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style4.xml" ContentType="application/vnd.ms-office.chartstyle+xml"/>
  <Override PartName="/xl/charts/colors4.xml" ContentType="application/vnd.ms-office.chartcolorstyle+xml"/>
  <Override PartName="/xl/charts/chart9.xml" ContentType="application/vnd.openxmlformats-officedocument.drawingml.chart+xml"/>
  <Override PartName="/xl/charts/style5.xml" ContentType="application/vnd.ms-office.chartstyle+xml"/>
  <Override PartName="/xl/charts/colors5.xml" ContentType="application/vnd.ms-office.chartcolorstyle+xml"/>
  <Override PartName="/xl/charts/chart10.xml" ContentType="application/vnd.openxmlformats-officedocument.drawingml.chart+xml"/>
  <Override PartName="/xl/charts/style6.xml" ContentType="application/vnd.ms-office.chartstyle+xml"/>
  <Override PartName="/xl/charts/colors6.xml" ContentType="application/vnd.ms-office.chartcolorstyle+xml"/>
  <Override PartName="/xl/charts/chart11.xml" ContentType="application/vnd.openxmlformats-officedocument.drawingml.chart+xml"/>
  <Override PartName="/xl/charts/style7.xml" ContentType="application/vnd.ms-office.chartstyle+xml"/>
  <Override PartName="/xl/charts/colors7.xml" ContentType="application/vnd.ms-office.chartcolorstyle+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4.xml" ContentType="application/vnd.openxmlformats-officedocument.drawing+xml"/>
  <Override PartName="/xl/charts/chart15.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5.xml" ContentType="application/vnd.openxmlformats-officedocument.drawing+xml"/>
  <Override PartName="/xl/charts/chart16.xml" ContentType="application/vnd.openxmlformats-officedocument.drawingml.chart+xml"/>
  <Override PartName="/xl/charts/style12.xml" ContentType="application/vnd.ms-office.chartstyle+xml"/>
  <Override PartName="/xl/charts/colors12.xml" ContentType="application/vnd.ms-office.chartcolorstyle+xml"/>
  <Override PartName="/xl/charts/chart17.xml" ContentType="application/vnd.openxmlformats-officedocument.drawingml.chart+xml"/>
  <Override PartName="/xl/charts/style13.xml" ContentType="application/vnd.ms-office.chartstyle+xml"/>
  <Override PartName="/xl/charts/colors13.xml" ContentType="application/vnd.ms-office.chartcolorstyle+xml"/>
  <Override PartName="/xl/charts/chart18.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6.xml" ContentType="application/vnd.openxmlformats-officedocument.drawing+xml"/>
  <Override PartName="/xl/charts/chart19.xml" ContentType="application/vnd.openxmlformats-officedocument.drawingml.chart+xml"/>
  <Override PartName="/xl/charts/style15.xml" ContentType="application/vnd.ms-office.chartstyle+xml"/>
  <Override PartName="/xl/charts/colors15.xml" ContentType="application/vnd.ms-office.chartcolorstyle+xml"/>
  <Override PartName="/xl/comments2.xml" ContentType="application/vnd.openxmlformats-officedocument.spreadsheetml.comments+xml"/>
  <Override PartName="/xl/threadedComments/threadedComment2.xml" ContentType="application/vnd.ms-excel.threadedcomments+xml"/>
  <Override PartName="/xl/drawings/drawing7.xml" ContentType="application/vnd.openxmlformats-officedocument.drawing+xml"/>
  <Override PartName="/xl/charts/chart20.xml" ContentType="application/vnd.openxmlformats-officedocument.drawingml.chart+xml"/>
  <Override PartName="/xl/charts/style16.xml" ContentType="application/vnd.ms-office.chartstyle+xml"/>
  <Override PartName="/xl/charts/colors16.xml" ContentType="application/vnd.ms-office.chartcolorstyle+xml"/>
  <Override PartName="/xl/charts/chart21.xml" ContentType="application/vnd.openxmlformats-officedocument.drawingml.chart+xml"/>
  <Override PartName="/xl/charts/style17.xml" ContentType="application/vnd.ms-office.chartstyle+xml"/>
  <Override PartName="/xl/charts/colors17.xml" ContentType="application/vnd.ms-office.chartcolorstyle+xml"/>
  <Override PartName="/xl/charts/chart22.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8.xml" ContentType="application/vnd.openxmlformats-officedocument.drawing+xml"/>
  <Override PartName="/xl/charts/chart23.xml" ContentType="application/vnd.openxmlformats-officedocument.drawingml.chart+xml"/>
  <Override PartName="/xl/charts/style19.xml" ContentType="application/vnd.ms-office.chartstyle+xml"/>
  <Override PartName="/xl/charts/colors19.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Models\SATIMGE\AFOLU\"/>
    </mc:Choice>
  </mc:AlternateContent>
  <xr:revisionPtr revIDLastSave="0" documentId="8_{A5233F43-9E5C-4096-9DF0-B6C5704900C9}" xr6:coauthVersionLast="47" xr6:coauthVersionMax="47" xr10:uidLastSave="{00000000-0000-0000-0000-000000000000}"/>
  <bookViews>
    <workbookView xWindow="-1800" yWindow="-16425" windowWidth="19200" windowHeight="14505" activeTab="3" xr2:uid="{00000000-000D-0000-FFFF-FFFF00000000}"/>
  </bookViews>
  <sheets>
    <sheet name="Notes" sheetId="56" r:id="rId1"/>
    <sheet name="IndexG2E" sheetId="59" r:id="rId2"/>
    <sheet name="IndexE2G" sheetId="60" r:id="rId3"/>
    <sheet name="DriversCGE" sheetId="61" r:id="rId4"/>
    <sheet name="GHGSummary" sheetId="62" r:id="rId5"/>
    <sheet name="IPCC Categories" sheetId="35" r:id="rId6"/>
    <sheet name="Drivers" sheetId="47" r:id="rId7"/>
    <sheet name="Constants" sheetId="46" r:id="rId8"/>
    <sheet name="Levers &amp; variables" sheetId="58" r:id="rId9"/>
    <sheet name="Intermediate calculations" sheetId="50" r:id="rId10"/>
    <sheet name="Data" sheetId="57" r:id="rId11"/>
    <sheet name="BFAP verification" sheetId="55" state="hidden" r:id="rId12"/>
    <sheet name="Mitigation drivers" sheetId="51" state="hidden" r:id="rId13"/>
    <sheet name="Activity data" sheetId="36" r:id="rId14"/>
    <sheet name="EF" sheetId="33" r:id="rId15"/>
    <sheet name="Aggregated EF" sheetId="39" r:id="rId16"/>
    <sheet name="Emissions" sheetId="34" r:id="rId17"/>
    <sheet name="Emissions summary" sheetId="45" r:id="rId18"/>
    <sheet name="Net zero activities &amp; levers" sheetId="64" r:id="rId19"/>
    <sheet name="Net zero Activity data" sheetId="70" r:id="rId20"/>
    <sheet name="Net zero Intermediate calcs" sheetId="69" r:id="rId21"/>
    <sheet name="Net zero supporting data" sheetId="65" r:id="rId22"/>
    <sheet name="Net zero emission reductions" sheetId="67" r:id="rId23"/>
    <sheet name="Net zero emission summary" sheetId="68" r:id="rId24"/>
    <sheet name="Net zero outputs" sheetId="63" r:id="rId25"/>
    <sheet name="Lists" sheetId="66" r:id="rId26"/>
  </sheets>
  <externalReferences>
    <externalReference r:id="rId27"/>
    <externalReference r:id="rId28"/>
    <externalReference r:id="rId29"/>
    <externalReference r:id="rId30"/>
  </externalReferences>
  <definedNames>
    <definedName name="AllYears">OFFSET(#REF!,0,COUNTIF(#REF!,"a"),1,COUNTIF(#REF!,"x"))</definedName>
    <definedName name="CH4_GWP">'[1]Constants &amp; CF'!$E$8</definedName>
    <definedName name="CH4GWP">Constants!$B$3</definedName>
    <definedName name="CO2toC">Constants!$B$6</definedName>
    <definedName name="CoAccrate">'[2]Carbon stock data'!$H$91</definedName>
    <definedName name="CoFireloss">'[2]Carbon stock data'!$H$99</definedName>
    <definedName name="CompostN2O">EF!$H$78</definedName>
    <definedName name="CREF">EF!$H$194</definedName>
    <definedName name="CtoCO2">Constants!$B$5</definedName>
    <definedName name="CvAccrate">'[2]Carbon stock data'!$H$92</definedName>
    <definedName name="CvFireloss">'[2]Carbon stock data'!$H$100</definedName>
    <definedName name="DailyspreadN2O">EF!$H$77</definedName>
    <definedName name="DigesterN2OEF">EF!$H$82</definedName>
    <definedName name="DrylotN2O">EF!$H$75</definedName>
    <definedName name="FFCgain">'[2]Carbon stock data'!$H$4</definedName>
    <definedName name="FpCgain">'[2]Carbon stock data'!$H$7</definedName>
    <definedName name="FpDistloss">'[2]Carbon stock data'!$H$22</definedName>
    <definedName name="FpHarvestloss">'[2]Carbon stock data'!$H$14</definedName>
    <definedName name="FracGASF">EF!$H$196</definedName>
    <definedName name="FracGASM">EF!$H$197</definedName>
    <definedName name="FracLEACH">EF!$H$198</definedName>
    <definedName name="FracLEACHMM">EF!$H$203</definedName>
    <definedName name="FracLEACHUD">EF!$H$199</definedName>
    <definedName name="FSOMEF">EF!$H$193</definedName>
    <definedName name="FtCgain">'[2]Carbon stock data'!$H$5</definedName>
    <definedName name="FwCgain">'[2]Carbon stock data'!$H$6</definedName>
    <definedName name="FwFireloss">'[2]Carbon stock data'!$H$17</definedName>
    <definedName name="FwFuelloss">'[2]Carbon stock data'!$H$13</definedName>
    <definedName name="Ggtot">Constants!$B$13</definedName>
    <definedName name="GsAccrate">'[2]Carbon stock data'!$H$96</definedName>
    <definedName name="HistoricYears">OFFSET(#REF!,0,COUNTIF(#REF!,"a"),1,COUNTIF(#REF!,"x"))</definedName>
    <definedName name="InputData">OFFSET(#REF!,0,COUNTIF(#REF!,"a"),1,COUNTIF(#REF!,"x"))</definedName>
    <definedName name="kgtoGg">Constants!$B$9</definedName>
    <definedName name="kgtot">Constants!$B$10</definedName>
    <definedName name="LagoonN2O">EF!$H$73</definedName>
    <definedName name="LiquidN2O">EF!$H$74</definedName>
    <definedName name="ManureNEF">EF!$H$190</definedName>
    <definedName name="ManwithbedN2O">EF!$H$79</definedName>
    <definedName name="MMLeachEF">EF!$H$205</definedName>
    <definedName name="MMVolatEF">EF!$H$204</definedName>
    <definedName name="MSLeachEF">EF!$H$201</definedName>
    <definedName name="MSVolatEF">EF!$H$200</definedName>
    <definedName name="N2OGWP">Constants!$B$4</definedName>
    <definedName name="NtoN2O">Constants!$B$8</definedName>
    <definedName name="ONEF">EF!$H$189</definedName>
    <definedName name="PMwithlitterN2O">EF!$H$81</definedName>
    <definedName name="PMwithoutlitterN2O">EF!$H$80</definedName>
    <definedName name="ProjectedAD">OFFSET(#REF!,0,COUNTIF(#REF!,"a"),1,COUNTIF(#REF!,"x"))</definedName>
    <definedName name="Proxy1_historic">OFFSET(#REF!,0,COUNTIF(#REF!,"a"),1,COUNTIF(#REF!,"x"))</definedName>
    <definedName name="Proxy2_historic">OFFSET(#REF!,0,COUNTIF(#REF!,"a"),1,COUNTIF(#REF!,"x"))</definedName>
    <definedName name="Proxy3_historic">OFFSET(#REF!,0,COUNTIF(#REF!,"a"),1,COUNTIF(#REF!,"x"))</definedName>
    <definedName name="ProxyList">OFFSET(#REF!,0,0,COUNTA(#REF!,0)-1,1)</definedName>
    <definedName name="SNEF">EF!$H$188</definedName>
    <definedName name="SolidStorageN2O">EF!$H$76</definedName>
    <definedName name="SSAccrate">'[2]Carbon stock data'!$H$97</definedName>
    <definedName name="Test">OFFSET(#REF!,0,COUNTIF(#REF!,"a"),1,COUNTIF(#REF!,"x"))</definedName>
    <definedName name="tontoGg">[2]Constants!$B$8</definedName>
    <definedName name="tTest">OFFSET(#REF!,0,COUNTIF(#REF!,"a"),1,COUNTIF(#REF!,"x"))</definedName>
    <definedName name="ttoGg">Constants!$B$11</definedName>
    <definedName name="ttokg">Constants!$B$12</definedName>
    <definedName name="UDCPPEF">EF!$H$191</definedName>
    <definedName name="UDSOEF">EF!$H$192</definedName>
    <definedName name="WoodyCf">'[1]Constants &amp; CF'!$E$52</definedName>
    <definedName name="WoodyFraction">'[2]Carbon stock data'!$H$98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A5" i="47" l="1"/>
  <c r="AB5" i="47"/>
  <c r="AC5" i="47"/>
  <c r="AD5" i="47"/>
  <c r="AE5" i="47"/>
  <c r="AF5" i="47"/>
  <c r="AG5" i="47"/>
  <c r="AH5" i="47"/>
  <c r="AI5" i="47"/>
  <c r="AJ5" i="47"/>
  <c r="AK5" i="47"/>
  <c r="AL5" i="47"/>
  <c r="AM5" i="47"/>
  <c r="AN5" i="47"/>
  <c r="AO5" i="47"/>
  <c r="AP5" i="47"/>
  <c r="AQ5" i="47"/>
  <c r="AR5" i="47"/>
  <c r="AS5" i="47"/>
  <c r="AT5" i="47"/>
  <c r="AU5" i="47"/>
  <c r="AV5" i="47"/>
  <c r="AW5" i="47"/>
  <c r="AX5" i="47"/>
  <c r="AY5" i="47"/>
  <c r="AZ5" i="47"/>
  <c r="BA5" i="47"/>
  <c r="BB5" i="47"/>
  <c r="BC5" i="47"/>
  <c r="BD5" i="47"/>
  <c r="BE5" i="47"/>
  <c r="BF5" i="47"/>
  <c r="BG5" i="47"/>
  <c r="BH5" i="47"/>
  <c r="BI5" i="47"/>
  <c r="BJ5" i="47"/>
  <c r="BK5" i="47"/>
  <c r="BL5" i="47"/>
  <c r="Z5" i="47"/>
  <c r="E11" i="62" l="1"/>
  <c r="F11" i="62"/>
  <c r="G11" i="62"/>
  <c r="H11" i="62"/>
  <c r="I11" i="62"/>
  <c r="J11" i="62"/>
  <c r="K11" i="62"/>
  <c r="L11" i="62"/>
  <c r="M11" i="62"/>
  <c r="N11" i="62"/>
  <c r="O11" i="62"/>
  <c r="P11" i="62"/>
  <c r="Q11" i="62"/>
  <c r="R11" i="62"/>
  <c r="S11" i="62"/>
  <c r="T11" i="62"/>
  <c r="U11" i="62"/>
  <c r="V11" i="62"/>
  <c r="W11" i="62"/>
  <c r="X11" i="62"/>
  <c r="Y11" i="62"/>
  <c r="Z11" i="62"/>
  <c r="AA11" i="62"/>
  <c r="AB11" i="62"/>
  <c r="AC11" i="62"/>
  <c r="AD11" i="62"/>
  <c r="AE11" i="62"/>
  <c r="AF11" i="62"/>
  <c r="AG11" i="62"/>
  <c r="AH11" i="62"/>
  <c r="AI11" i="62"/>
  <c r="AJ11" i="62"/>
  <c r="AK11" i="62"/>
  <c r="AL11" i="62"/>
  <c r="AM11" i="62"/>
  <c r="AN11" i="62"/>
  <c r="AO11" i="62"/>
  <c r="AP11" i="62"/>
  <c r="E17" i="62"/>
  <c r="F17" i="62"/>
  <c r="G17" i="62"/>
  <c r="H17" i="62"/>
  <c r="I17" i="62"/>
  <c r="J17" i="62"/>
  <c r="K17" i="62"/>
  <c r="L17" i="62"/>
  <c r="M17" i="62"/>
  <c r="N17" i="62"/>
  <c r="O17" i="62"/>
  <c r="P17" i="62"/>
  <c r="Q17" i="62"/>
  <c r="R17" i="62"/>
  <c r="S17" i="62"/>
  <c r="T17" i="62"/>
  <c r="U17" i="62"/>
  <c r="V17" i="62"/>
  <c r="W17" i="62"/>
  <c r="X17" i="62"/>
  <c r="Y17" i="62"/>
  <c r="Z17" i="62"/>
  <c r="AA17" i="62"/>
  <c r="AB17" i="62"/>
  <c r="AC17" i="62"/>
  <c r="AD17" i="62"/>
  <c r="AE17" i="62"/>
  <c r="AF17" i="62"/>
  <c r="AG17" i="62"/>
  <c r="AH17" i="62"/>
  <c r="AI17" i="62"/>
  <c r="AJ17" i="62"/>
  <c r="AK17" i="62"/>
  <c r="AL17" i="62"/>
  <c r="AM17" i="62"/>
  <c r="AN17" i="62"/>
  <c r="AO17" i="62"/>
  <c r="AP17" i="62"/>
  <c r="E25" i="62"/>
  <c r="F25" i="62"/>
  <c r="G25" i="62"/>
  <c r="H25" i="62"/>
  <c r="I25" i="62"/>
  <c r="J25" i="62"/>
  <c r="K25" i="62"/>
  <c r="L25" i="62"/>
  <c r="M25" i="62"/>
  <c r="N25" i="62"/>
  <c r="O25" i="62"/>
  <c r="P25" i="62"/>
  <c r="Q25" i="62"/>
  <c r="R25" i="62"/>
  <c r="S25" i="62"/>
  <c r="T25" i="62"/>
  <c r="U25" i="62"/>
  <c r="V25" i="62"/>
  <c r="W25" i="62"/>
  <c r="X25" i="62"/>
  <c r="Y25" i="62"/>
  <c r="Z25" i="62"/>
  <c r="AA25" i="62"/>
  <c r="AB25" i="62"/>
  <c r="AC25" i="62"/>
  <c r="AD25" i="62"/>
  <c r="AE25" i="62"/>
  <c r="AF25" i="62"/>
  <c r="AG25" i="62"/>
  <c r="AH25" i="62"/>
  <c r="AI25" i="62"/>
  <c r="AJ25" i="62"/>
  <c r="AK25" i="62"/>
  <c r="AL25" i="62"/>
  <c r="AM25" i="62"/>
  <c r="AN25" i="62"/>
  <c r="AO25" i="62"/>
  <c r="AP25" i="62"/>
  <c r="E26" i="62"/>
  <c r="F26" i="62"/>
  <c r="G26" i="62"/>
  <c r="H26" i="62"/>
  <c r="I26" i="62"/>
  <c r="J26" i="62"/>
  <c r="K26" i="62"/>
  <c r="L26" i="62"/>
  <c r="M26" i="62"/>
  <c r="N26" i="62"/>
  <c r="O26" i="62"/>
  <c r="P26" i="62"/>
  <c r="Q26" i="62"/>
  <c r="R26" i="62"/>
  <c r="S26" i="62"/>
  <c r="T26" i="62"/>
  <c r="U26" i="62"/>
  <c r="V26" i="62"/>
  <c r="W26" i="62"/>
  <c r="X26" i="62"/>
  <c r="Y26" i="62"/>
  <c r="Z26" i="62"/>
  <c r="AA26" i="62"/>
  <c r="AB26" i="62"/>
  <c r="AC26" i="62"/>
  <c r="AD26" i="62"/>
  <c r="AE26" i="62"/>
  <c r="AF26" i="62"/>
  <c r="AG26" i="62"/>
  <c r="AH26" i="62"/>
  <c r="AI26" i="62"/>
  <c r="AJ26" i="62"/>
  <c r="AK26" i="62"/>
  <c r="AL26" i="62"/>
  <c r="AM26" i="62"/>
  <c r="AN26" i="62"/>
  <c r="AO26" i="62"/>
  <c r="AP26" i="62"/>
  <c r="E27" i="62"/>
  <c r="F27" i="62"/>
  <c r="G27" i="62"/>
  <c r="H27" i="62"/>
  <c r="I27" i="62"/>
  <c r="J27" i="62"/>
  <c r="K27" i="62"/>
  <c r="L27" i="62"/>
  <c r="M27" i="62"/>
  <c r="N27" i="62"/>
  <c r="O27" i="62"/>
  <c r="P27" i="62"/>
  <c r="Q27" i="62"/>
  <c r="R27" i="62"/>
  <c r="S27" i="62"/>
  <c r="T27" i="62"/>
  <c r="U27" i="62"/>
  <c r="V27" i="62"/>
  <c r="W27" i="62"/>
  <c r="X27" i="62"/>
  <c r="Y27" i="62"/>
  <c r="Z27" i="62"/>
  <c r="AA27" i="62"/>
  <c r="AB27" i="62"/>
  <c r="AC27" i="62"/>
  <c r="AD27" i="62"/>
  <c r="AE27" i="62"/>
  <c r="AF27" i="62"/>
  <c r="AG27" i="62"/>
  <c r="AH27" i="62"/>
  <c r="AI27" i="62"/>
  <c r="AJ27" i="62"/>
  <c r="AK27" i="62"/>
  <c r="AL27" i="62"/>
  <c r="AM27" i="62"/>
  <c r="AN27" i="62"/>
  <c r="AO27" i="62"/>
  <c r="AP27" i="62"/>
  <c r="E28" i="62"/>
  <c r="F28" i="62"/>
  <c r="G28" i="62"/>
  <c r="H28" i="62"/>
  <c r="I28" i="62"/>
  <c r="J28" i="62"/>
  <c r="K28" i="62"/>
  <c r="L28" i="62"/>
  <c r="M28" i="62"/>
  <c r="N28" i="62"/>
  <c r="O28" i="62"/>
  <c r="P28" i="62"/>
  <c r="Q28" i="62"/>
  <c r="R28" i="62"/>
  <c r="S28" i="62"/>
  <c r="T28" i="62"/>
  <c r="U28" i="62"/>
  <c r="V28" i="62"/>
  <c r="W28" i="62"/>
  <c r="X28" i="62"/>
  <c r="Y28" i="62"/>
  <c r="Z28" i="62"/>
  <c r="AA28" i="62"/>
  <c r="AB28" i="62"/>
  <c r="AC28" i="62"/>
  <c r="AD28" i="62"/>
  <c r="AE28" i="62"/>
  <c r="AF28" i="62"/>
  <c r="AG28" i="62"/>
  <c r="AH28" i="62"/>
  <c r="AI28" i="62"/>
  <c r="AJ28" i="62"/>
  <c r="AK28" i="62"/>
  <c r="AL28" i="62"/>
  <c r="AM28" i="62"/>
  <c r="AN28" i="62"/>
  <c r="AO28" i="62"/>
  <c r="AP28" i="62"/>
  <c r="E29" i="62"/>
  <c r="F29" i="62"/>
  <c r="G29" i="62"/>
  <c r="H29" i="62"/>
  <c r="I29" i="62"/>
  <c r="J29" i="62"/>
  <c r="K29" i="62"/>
  <c r="L29" i="62"/>
  <c r="M29" i="62"/>
  <c r="N29" i="62"/>
  <c r="O29" i="62"/>
  <c r="P29" i="62"/>
  <c r="Q29" i="62"/>
  <c r="R29" i="62"/>
  <c r="S29" i="62"/>
  <c r="T29" i="62"/>
  <c r="U29" i="62"/>
  <c r="V29" i="62"/>
  <c r="W29" i="62"/>
  <c r="X29" i="62"/>
  <c r="Y29" i="62"/>
  <c r="Z29" i="62"/>
  <c r="AA29" i="62"/>
  <c r="AB29" i="62"/>
  <c r="AC29" i="62"/>
  <c r="AD29" i="62"/>
  <c r="AE29" i="62"/>
  <c r="AF29" i="62"/>
  <c r="AG29" i="62"/>
  <c r="AH29" i="62"/>
  <c r="AI29" i="62"/>
  <c r="AJ29" i="62"/>
  <c r="AK29" i="62"/>
  <c r="AL29" i="62"/>
  <c r="AM29" i="62"/>
  <c r="AN29" i="62"/>
  <c r="AO29" i="62"/>
  <c r="AP29" i="62"/>
  <c r="E30" i="62"/>
  <c r="F30" i="62"/>
  <c r="G30" i="62"/>
  <c r="H30" i="62"/>
  <c r="I30" i="62"/>
  <c r="J30" i="62"/>
  <c r="K30" i="62"/>
  <c r="L30" i="62"/>
  <c r="M30" i="62"/>
  <c r="N30" i="62"/>
  <c r="O30" i="62"/>
  <c r="P30" i="62"/>
  <c r="Q30" i="62"/>
  <c r="R30" i="62"/>
  <c r="S30" i="62"/>
  <c r="T30" i="62"/>
  <c r="U30" i="62"/>
  <c r="V30" i="62"/>
  <c r="W30" i="62"/>
  <c r="X30" i="62"/>
  <c r="Y30" i="62"/>
  <c r="Z30" i="62"/>
  <c r="AA30" i="62"/>
  <c r="AB30" i="62"/>
  <c r="AC30" i="62"/>
  <c r="AD30" i="62"/>
  <c r="AE30" i="62"/>
  <c r="AF30" i="62"/>
  <c r="AG30" i="62"/>
  <c r="AH30" i="62"/>
  <c r="AI30" i="62"/>
  <c r="AJ30" i="62"/>
  <c r="AK30" i="62"/>
  <c r="AL30" i="62"/>
  <c r="AM30" i="62"/>
  <c r="AN30" i="62"/>
  <c r="AO30" i="62"/>
  <c r="AP30" i="62"/>
  <c r="E31" i="62"/>
  <c r="F31" i="62"/>
  <c r="G31" i="62"/>
  <c r="H31" i="62"/>
  <c r="I31" i="62"/>
  <c r="J31" i="62"/>
  <c r="K31" i="62"/>
  <c r="L31" i="62"/>
  <c r="M31" i="62"/>
  <c r="N31" i="62"/>
  <c r="O31" i="62"/>
  <c r="P31" i="62"/>
  <c r="Q31" i="62"/>
  <c r="R31" i="62"/>
  <c r="S31" i="62"/>
  <c r="T31" i="62"/>
  <c r="U31" i="62"/>
  <c r="V31" i="62"/>
  <c r="W31" i="62"/>
  <c r="X31" i="62"/>
  <c r="Y31" i="62"/>
  <c r="Z31" i="62"/>
  <c r="AA31" i="62"/>
  <c r="AB31" i="62"/>
  <c r="AC31" i="62"/>
  <c r="AD31" i="62"/>
  <c r="AE31" i="62"/>
  <c r="AF31" i="62"/>
  <c r="AG31" i="62"/>
  <c r="AH31" i="62"/>
  <c r="AI31" i="62"/>
  <c r="AJ31" i="62"/>
  <c r="AK31" i="62"/>
  <c r="AL31" i="62"/>
  <c r="AM31" i="62"/>
  <c r="AN31" i="62"/>
  <c r="AO31" i="62"/>
  <c r="AP31" i="62"/>
  <c r="E32" i="62"/>
  <c r="F32" i="62"/>
  <c r="G32" i="62"/>
  <c r="H32" i="62"/>
  <c r="I32" i="62"/>
  <c r="J32" i="62"/>
  <c r="K32" i="62"/>
  <c r="L32" i="62"/>
  <c r="M32" i="62"/>
  <c r="N32" i="62"/>
  <c r="O32" i="62"/>
  <c r="P32" i="62"/>
  <c r="Q32" i="62"/>
  <c r="R32" i="62"/>
  <c r="S32" i="62"/>
  <c r="T32" i="62"/>
  <c r="U32" i="62"/>
  <c r="V32" i="62"/>
  <c r="W32" i="62"/>
  <c r="X32" i="62"/>
  <c r="Y32" i="62"/>
  <c r="Z32" i="62"/>
  <c r="AA32" i="62"/>
  <c r="AB32" i="62"/>
  <c r="AC32" i="62"/>
  <c r="AD32" i="62"/>
  <c r="AE32" i="62"/>
  <c r="AF32" i="62"/>
  <c r="AG32" i="62"/>
  <c r="AH32" i="62"/>
  <c r="AI32" i="62"/>
  <c r="AJ32" i="62"/>
  <c r="AK32" i="62"/>
  <c r="AL32" i="62"/>
  <c r="AM32" i="62"/>
  <c r="AN32" i="62"/>
  <c r="AO32" i="62"/>
  <c r="AP32" i="62"/>
  <c r="E33" i="62"/>
  <c r="F33" i="62"/>
  <c r="G33" i="62"/>
  <c r="H33" i="62"/>
  <c r="I33" i="62"/>
  <c r="J33" i="62"/>
  <c r="K33" i="62"/>
  <c r="L33" i="62"/>
  <c r="M33" i="62"/>
  <c r="N33" i="62"/>
  <c r="O33" i="62"/>
  <c r="P33" i="62"/>
  <c r="Q33" i="62"/>
  <c r="R33" i="62"/>
  <c r="S33" i="62"/>
  <c r="T33" i="62"/>
  <c r="U33" i="62"/>
  <c r="V33" i="62"/>
  <c r="W33" i="62"/>
  <c r="X33" i="62"/>
  <c r="Y33" i="62"/>
  <c r="Z33" i="62"/>
  <c r="AA33" i="62"/>
  <c r="AB33" i="62"/>
  <c r="AC33" i="62"/>
  <c r="AD33" i="62"/>
  <c r="AE33" i="62"/>
  <c r="AF33" i="62"/>
  <c r="AG33" i="62"/>
  <c r="AH33" i="62"/>
  <c r="AI33" i="62"/>
  <c r="AJ33" i="62"/>
  <c r="AK33" i="62"/>
  <c r="AL33" i="62"/>
  <c r="AM33" i="62"/>
  <c r="AN33" i="62"/>
  <c r="AO33" i="62"/>
  <c r="AP33" i="62"/>
  <c r="E34" i="62"/>
  <c r="F34" i="62"/>
  <c r="G34" i="62"/>
  <c r="H34" i="62"/>
  <c r="I34" i="62"/>
  <c r="J34" i="62"/>
  <c r="K34" i="62"/>
  <c r="L34" i="62"/>
  <c r="M34" i="62"/>
  <c r="N34" i="62"/>
  <c r="O34" i="62"/>
  <c r="P34" i="62"/>
  <c r="Q34" i="62"/>
  <c r="R34" i="62"/>
  <c r="S34" i="62"/>
  <c r="T34" i="62"/>
  <c r="U34" i="62"/>
  <c r="V34" i="62"/>
  <c r="W34" i="62"/>
  <c r="X34" i="62"/>
  <c r="Y34" i="62"/>
  <c r="Z34" i="62"/>
  <c r="AA34" i="62"/>
  <c r="AB34" i="62"/>
  <c r="AC34" i="62"/>
  <c r="AD34" i="62"/>
  <c r="AE34" i="62"/>
  <c r="AF34" i="62"/>
  <c r="AG34" i="62"/>
  <c r="AH34" i="62"/>
  <c r="AI34" i="62"/>
  <c r="AJ34" i="62"/>
  <c r="AK34" i="62"/>
  <c r="AL34" i="62"/>
  <c r="AM34" i="62"/>
  <c r="AN34" i="62"/>
  <c r="AO34" i="62"/>
  <c r="AP34" i="62"/>
  <c r="E35" i="62"/>
  <c r="F35" i="62"/>
  <c r="G35" i="62"/>
  <c r="H35" i="62"/>
  <c r="I35" i="62"/>
  <c r="J35" i="62"/>
  <c r="K35" i="62"/>
  <c r="L35" i="62"/>
  <c r="M35" i="62"/>
  <c r="N35" i="62"/>
  <c r="O35" i="62"/>
  <c r="P35" i="62"/>
  <c r="Q35" i="62"/>
  <c r="R35" i="62"/>
  <c r="S35" i="62"/>
  <c r="T35" i="62"/>
  <c r="U35" i="62"/>
  <c r="V35" i="62"/>
  <c r="W35" i="62"/>
  <c r="X35" i="62"/>
  <c r="Y35" i="62"/>
  <c r="Z35" i="62"/>
  <c r="AA35" i="62"/>
  <c r="AB35" i="62"/>
  <c r="AC35" i="62"/>
  <c r="AD35" i="62"/>
  <c r="AE35" i="62"/>
  <c r="AF35" i="62"/>
  <c r="AG35" i="62"/>
  <c r="AH35" i="62"/>
  <c r="AI35" i="62"/>
  <c r="AJ35" i="62"/>
  <c r="AK35" i="62"/>
  <c r="AL35" i="62"/>
  <c r="AM35" i="62"/>
  <c r="AN35" i="62"/>
  <c r="AO35" i="62"/>
  <c r="AP35" i="62"/>
  <c r="E36" i="62"/>
  <c r="F36" i="62"/>
  <c r="G36" i="62"/>
  <c r="H36" i="62"/>
  <c r="I36" i="62"/>
  <c r="J36" i="62"/>
  <c r="K36" i="62"/>
  <c r="L36" i="62"/>
  <c r="M36" i="62"/>
  <c r="N36" i="62"/>
  <c r="O36" i="62"/>
  <c r="P36" i="62"/>
  <c r="Q36" i="62"/>
  <c r="R36" i="62"/>
  <c r="S36" i="62"/>
  <c r="T36" i="62"/>
  <c r="U36" i="62"/>
  <c r="V36" i="62"/>
  <c r="W36" i="62"/>
  <c r="X36" i="62"/>
  <c r="Y36" i="62"/>
  <c r="Z36" i="62"/>
  <c r="AA36" i="62"/>
  <c r="AB36" i="62"/>
  <c r="AC36" i="62"/>
  <c r="AD36" i="62"/>
  <c r="AE36" i="62"/>
  <c r="AF36" i="62"/>
  <c r="AG36" i="62"/>
  <c r="AH36" i="62"/>
  <c r="AI36" i="62"/>
  <c r="AJ36" i="62"/>
  <c r="AK36" i="62"/>
  <c r="AL36" i="62"/>
  <c r="AM36" i="62"/>
  <c r="AN36" i="62"/>
  <c r="AO36" i="62"/>
  <c r="AP36" i="62"/>
  <c r="D37" i="62"/>
  <c r="D36" i="62"/>
  <c r="D35" i="62"/>
  <c r="D34" i="62"/>
  <c r="D33" i="62"/>
  <c r="D32" i="62"/>
  <c r="D31" i="62"/>
  <c r="D30" i="62"/>
  <c r="D29" i="62"/>
  <c r="D28" i="62"/>
  <c r="D27" i="62"/>
  <c r="D26" i="62"/>
  <c r="D25" i="62"/>
  <c r="D17" i="62"/>
  <c r="D11" i="62"/>
  <c r="C1" i="64"/>
  <c r="C6" i="64" s="1"/>
  <c r="C9" i="59"/>
  <c r="C12" i="64" l="1"/>
  <c r="C5" i="64"/>
  <c r="C13" i="64"/>
  <c r="C11" i="64"/>
  <c r="C14" i="64"/>
  <c r="C10" i="64"/>
  <c r="C9" i="64"/>
  <c r="C8" i="64"/>
  <c r="C7" i="64"/>
  <c r="AA10" i="47" l="1"/>
  <c r="AB10" i="47"/>
  <c r="AC10" i="47"/>
  <c r="AD10" i="47"/>
  <c r="AE10" i="47"/>
  <c r="AF10" i="47"/>
  <c r="AG10" i="47"/>
  <c r="AH10" i="47"/>
  <c r="AI10" i="47"/>
  <c r="AJ10" i="47"/>
  <c r="AK10" i="47"/>
  <c r="AL10" i="47"/>
  <c r="AM10" i="47"/>
  <c r="AN10" i="47"/>
  <c r="AO10" i="47"/>
  <c r="AP10" i="47"/>
  <c r="AQ10" i="47"/>
  <c r="AR10" i="47"/>
  <c r="AS10" i="47"/>
  <c r="AT10" i="47"/>
  <c r="AU10" i="47"/>
  <c r="AV10" i="47"/>
  <c r="AW10" i="47"/>
  <c r="AX10" i="47"/>
  <c r="AY10" i="47"/>
  <c r="AZ10" i="47"/>
  <c r="BA10" i="47"/>
  <c r="BB10" i="47"/>
  <c r="BC10" i="47"/>
  <c r="BD10" i="47"/>
  <c r="BE10" i="47"/>
  <c r="BF10" i="47"/>
  <c r="BG10" i="47"/>
  <c r="BH10" i="47"/>
  <c r="BI10" i="47"/>
  <c r="BJ10" i="47"/>
  <c r="BK10" i="47"/>
  <c r="BL10" i="47"/>
  <c r="Z10" i="47"/>
  <c r="F79" i="64"/>
  <c r="E79" i="64"/>
  <c r="D79" i="64"/>
  <c r="D80" i="64" s="1"/>
  <c r="E80" i="64"/>
  <c r="F80" i="64"/>
  <c r="K1018" i="67" l="1"/>
  <c r="K1014" i="67"/>
  <c r="K967" i="67"/>
  <c r="D83" i="64"/>
  <c r="T210" i="65" s="1"/>
  <c r="E83" i="64"/>
  <c r="AD210" i="65" s="1"/>
  <c r="F83" i="64"/>
  <c r="AN210" i="65" s="1"/>
  <c r="C83" i="64"/>
  <c r="B210" i="65" s="1"/>
  <c r="C210" i="65" s="1"/>
  <c r="D210" i="65" s="1"/>
  <c r="E210" i="65" s="1"/>
  <c r="F210" i="65" s="1"/>
  <c r="G210" i="65" s="1"/>
  <c r="H210" i="65" s="1"/>
  <c r="I210" i="65" s="1"/>
  <c r="J210" i="65" s="1"/>
  <c r="AD2" i="70"/>
  <c r="U210" i="65" l="1"/>
  <c r="V210" i="65" s="1"/>
  <c r="W210" i="65" s="1"/>
  <c r="X210" i="65" s="1"/>
  <c r="Y210" i="65" s="1"/>
  <c r="Z210" i="65" s="1"/>
  <c r="AA210" i="65" s="1"/>
  <c r="AB210" i="65" s="1"/>
  <c r="AC210" i="65" s="1"/>
  <c r="K210" i="65"/>
  <c r="L210" i="65" s="1"/>
  <c r="M210" i="65" s="1"/>
  <c r="N210" i="65" s="1"/>
  <c r="O210" i="65" s="1"/>
  <c r="P210" i="65" s="1"/>
  <c r="Q210" i="65" s="1"/>
  <c r="R210" i="65" s="1"/>
  <c r="S210" i="65" s="1"/>
  <c r="AE210" i="65"/>
  <c r="AF210" i="65" s="1"/>
  <c r="AG210" i="65" s="1"/>
  <c r="AH210" i="65" s="1"/>
  <c r="AI210" i="65" s="1"/>
  <c r="AJ210" i="65" s="1"/>
  <c r="AK210" i="65" s="1"/>
  <c r="AL210" i="65" s="1"/>
  <c r="AM210" i="65" s="1"/>
  <c r="A1065" i="67" l="1"/>
  <c r="A1064" i="67"/>
  <c r="A1063" i="67"/>
  <c r="A1062" i="67"/>
  <c r="A1061" i="67"/>
  <c r="A1060" i="67"/>
  <c r="A1059" i="67"/>
  <c r="A1058" i="67"/>
  <c r="A1057" i="67"/>
  <c r="A1056" i="67"/>
  <c r="A1055" i="67"/>
  <c r="A1054" i="67"/>
  <c r="A1053" i="67"/>
  <c r="A1052" i="67"/>
  <c r="A1051" i="67"/>
  <c r="A1050" i="67"/>
  <c r="A1049" i="67"/>
  <c r="A1048" i="67"/>
  <c r="A1047" i="67"/>
  <c r="A1046" i="67"/>
  <c r="A1045" i="67"/>
  <c r="A1044" i="67"/>
  <c r="A1043" i="67"/>
  <c r="A1042" i="67"/>
  <c r="A1041" i="67"/>
  <c r="A1040" i="67"/>
  <c r="A1039" i="67"/>
  <c r="A1038" i="67"/>
  <c r="A1037" i="67"/>
  <c r="A1036" i="67"/>
  <c r="A1035" i="67"/>
  <c r="A1034" i="67"/>
  <c r="A1033" i="67"/>
  <c r="A1032" i="67"/>
  <c r="A1031" i="67"/>
  <c r="A1030" i="67"/>
  <c r="A1029" i="67"/>
  <c r="A1028" i="67"/>
  <c r="A1027" i="67"/>
  <c r="A1026" i="67"/>
  <c r="A1025" i="67"/>
  <c r="A1024" i="67"/>
  <c r="A1023" i="67"/>
  <c r="A1022" i="67"/>
  <c r="A1021" i="67"/>
  <c r="A1020" i="67"/>
  <c r="A1019" i="67"/>
  <c r="A1018" i="67"/>
  <c r="A1017" i="67"/>
  <c r="A1016" i="67"/>
  <c r="A1015" i="67"/>
  <c r="A1014" i="67"/>
  <c r="A1013" i="67"/>
  <c r="A1012" i="67"/>
  <c r="A1011" i="67"/>
  <c r="A1010" i="67"/>
  <c r="A1009" i="67"/>
  <c r="A1008" i="67"/>
  <c r="A1007" i="67"/>
  <c r="A1006" i="67"/>
  <c r="A1005" i="67"/>
  <c r="A1004" i="67"/>
  <c r="A1003" i="67"/>
  <c r="A1002" i="67"/>
  <c r="A1001" i="67"/>
  <c r="A1000" i="67"/>
  <c r="A999" i="67"/>
  <c r="A998" i="67"/>
  <c r="A997" i="67"/>
  <c r="A996" i="67"/>
  <c r="A995" i="67"/>
  <c r="A994" i="67"/>
  <c r="A993" i="67"/>
  <c r="A992" i="67"/>
  <c r="A991" i="67"/>
  <c r="A990" i="67"/>
  <c r="A989" i="67"/>
  <c r="A988" i="67"/>
  <c r="A987" i="67"/>
  <c r="A986" i="67"/>
  <c r="A985" i="67"/>
  <c r="A984" i="67"/>
  <c r="A983" i="67"/>
  <c r="A982" i="67"/>
  <c r="A981" i="67"/>
  <c r="A980" i="67"/>
  <c r="A979" i="67"/>
  <c r="A978" i="67"/>
  <c r="A977" i="67"/>
  <c r="A976" i="67"/>
  <c r="A975" i="67"/>
  <c r="A974" i="67"/>
  <c r="A973" i="67"/>
  <c r="A972" i="67"/>
  <c r="A971" i="67"/>
  <c r="A970" i="67"/>
  <c r="A969" i="67"/>
  <c r="A968" i="67"/>
  <c r="A967" i="67"/>
  <c r="A966" i="67"/>
  <c r="A965" i="67"/>
  <c r="A964" i="67"/>
  <c r="A963" i="67"/>
  <c r="A962" i="67"/>
  <c r="A961" i="67"/>
  <c r="A960" i="67"/>
  <c r="A959" i="67"/>
  <c r="A958" i="67"/>
  <c r="A957" i="67"/>
  <c r="A956" i="67"/>
  <c r="A955" i="67"/>
  <c r="A954" i="67"/>
  <c r="A953" i="67"/>
  <c r="A952" i="67"/>
  <c r="A951" i="67"/>
  <c r="A950" i="67"/>
  <c r="A949" i="67"/>
  <c r="A948" i="67"/>
  <c r="A947" i="67"/>
  <c r="A946" i="67"/>
  <c r="A945" i="67"/>
  <c r="A944" i="67"/>
  <c r="A943" i="67"/>
  <c r="A942" i="67"/>
  <c r="A941" i="67"/>
  <c r="A940" i="67"/>
  <c r="A939" i="67"/>
  <c r="A938" i="67"/>
  <c r="A937" i="67"/>
  <c r="A936" i="67"/>
  <c r="A935" i="67"/>
  <c r="A934" i="67"/>
  <c r="A933" i="67"/>
  <c r="A932" i="67"/>
  <c r="A931" i="67"/>
  <c r="A930" i="67"/>
  <c r="A929" i="67"/>
  <c r="A928" i="67"/>
  <c r="A927" i="67"/>
  <c r="A926" i="67"/>
  <c r="A925" i="67"/>
  <c r="A924" i="67"/>
  <c r="A923" i="67"/>
  <c r="A922" i="67"/>
  <c r="A921" i="67"/>
  <c r="A920" i="67"/>
  <c r="A919" i="67"/>
  <c r="A918" i="67"/>
  <c r="A917" i="67"/>
  <c r="A916" i="67"/>
  <c r="B65" i="65"/>
  <c r="L1078" i="67"/>
  <c r="M1078" i="67"/>
  <c r="N1078" i="67"/>
  <c r="O1078" i="67"/>
  <c r="P1078" i="67"/>
  <c r="Q1078" i="67"/>
  <c r="R1078" i="67"/>
  <c r="S1078" i="67"/>
  <c r="T1078" i="67"/>
  <c r="U1078" i="67"/>
  <c r="V1078" i="67"/>
  <c r="W1078" i="67"/>
  <c r="X1078" i="67"/>
  <c r="Y1078" i="67"/>
  <c r="Z1078" i="67"/>
  <c r="AA1078" i="67"/>
  <c r="AB1078" i="67"/>
  <c r="AC1078" i="67"/>
  <c r="AD1078" i="67"/>
  <c r="AE1078" i="67"/>
  <c r="AF1078" i="67"/>
  <c r="AG1078" i="67"/>
  <c r="AH1078" i="67"/>
  <c r="AI1078" i="67"/>
  <c r="AJ1078" i="67"/>
  <c r="AK1078" i="67"/>
  <c r="AL1078" i="67"/>
  <c r="AM1078" i="67"/>
  <c r="AN1078" i="67"/>
  <c r="AO1078" i="67"/>
  <c r="AP1078" i="67"/>
  <c r="AQ1078" i="67"/>
  <c r="AR1078" i="67"/>
  <c r="AS1078" i="67"/>
  <c r="AT1078" i="67"/>
  <c r="AU1078" i="67"/>
  <c r="AV1078" i="67"/>
  <c r="AW1078" i="67"/>
  <c r="L1092" i="67"/>
  <c r="M1092" i="67"/>
  <c r="N1092" i="67"/>
  <c r="O1092" i="67"/>
  <c r="P1092" i="67"/>
  <c r="Q1092" i="67"/>
  <c r="R1092" i="67"/>
  <c r="S1092" i="67"/>
  <c r="T1092" i="67"/>
  <c r="U1092" i="67"/>
  <c r="V1092" i="67"/>
  <c r="W1092" i="67"/>
  <c r="X1092" i="67"/>
  <c r="Y1092" i="67"/>
  <c r="Z1092" i="67"/>
  <c r="AA1092" i="67"/>
  <c r="AB1092" i="67"/>
  <c r="AC1092" i="67"/>
  <c r="AD1092" i="67"/>
  <c r="AE1092" i="67"/>
  <c r="AF1092" i="67"/>
  <c r="AG1092" i="67"/>
  <c r="AH1092" i="67"/>
  <c r="AI1092" i="67"/>
  <c r="AJ1092" i="67"/>
  <c r="AK1092" i="67"/>
  <c r="AL1092" i="67"/>
  <c r="AM1092" i="67"/>
  <c r="AN1092" i="67"/>
  <c r="AO1092" i="67"/>
  <c r="AP1092" i="67"/>
  <c r="AQ1092" i="67"/>
  <c r="AR1092" i="67"/>
  <c r="AS1092" i="67"/>
  <c r="AT1092" i="67"/>
  <c r="AU1092" i="67"/>
  <c r="AV1092" i="67"/>
  <c r="AW1092" i="67"/>
  <c r="L1110" i="67"/>
  <c r="M1110" i="67"/>
  <c r="N1110" i="67"/>
  <c r="O1110" i="67"/>
  <c r="P1110" i="67"/>
  <c r="Q1110" i="67"/>
  <c r="R1110" i="67"/>
  <c r="S1110" i="67"/>
  <c r="T1110" i="67"/>
  <c r="U1110" i="67"/>
  <c r="V1110" i="67"/>
  <c r="W1110" i="67"/>
  <c r="X1110" i="67"/>
  <c r="Y1110" i="67"/>
  <c r="Z1110" i="67"/>
  <c r="AA1110" i="67"/>
  <c r="AB1110" i="67"/>
  <c r="AC1110" i="67"/>
  <c r="AD1110" i="67"/>
  <c r="AE1110" i="67"/>
  <c r="AF1110" i="67"/>
  <c r="AG1110" i="67"/>
  <c r="AH1110" i="67"/>
  <c r="AI1110" i="67"/>
  <c r="AJ1110" i="67"/>
  <c r="AK1110" i="67"/>
  <c r="AL1110" i="67"/>
  <c r="AM1110" i="67"/>
  <c r="AN1110" i="67"/>
  <c r="AO1110" i="67"/>
  <c r="AP1110" i="67"/>
  <c r="AQ1110" i="67"/>
  <c r="AR1110" i="67"/>
  <c r="AS1110" i="67"/>
  <c r="AT1110" i="67"/>
  <c r="AU1110" i="67"/>
  <c r="AV1110" i="67"/>
  <c r="AW1110" i="67"/>
  <c r="L1131" i="67"/>
  <c r="M1131" i="67"/>
  <c r="N1131" i="67"/>
  <c r="O1131" i="67"/>
  <c r="P1131" i="67"/>
  <c r="Q1131" i="67"/>
  <c r="R1131" i="67"/>
  <c r="S1131" i="67"/>
  <c r="T1131" i="67"/>
  <c r="U1131" i="67"/>
  <c r="V1131" i="67"/>
  <c r="W1131" i="67"/>
  <c r="X1131" i="67"/>
  <c r="Y1131" i="67"/>
  <c r="Z1131" i="67"/>
  <c r="AA1131" i="67"/>
  <c r="AB1131" i="67"/>
  <c r="AC1131" i="67"/>
  <c r="AD1131" i="67"/>
  <c r="AE1131" i="67"/>
  <c r="AF1131" i="67"/>
  <c r="AG1131" i="67"/>
  <c r="AH1131" i="67"/>
  <c r="AI1131" i="67"/>
  <c r="AJ1131" i="67"/>
  <c r="AK1131" i="67"/>
  <c r="AL1131" i="67"/>
  <c r="AM1131" i="67"/>
  <c r="AN1131" i="67"/>
  <c r="AO1131" i="67"/>
  <c r="AP1131" i="67"/>
  <c r="AQ1131" i="67"/>
  <c r="AR1131" i="67"/>
  <c r="AS1131" i="67"/>
  <c r="AT1131" i="67"/>
  <c r="AU1131" i="67"/>
  <c r="AV1131" i="67"/>
  <c r="AW1131" i="67"/>
  <c r="L1147" i="67"/>
  <c r="M1147" i="67"/>
  <c r="N1147" i="67"/>
  <c r="O1147" i="67"/>
  <c r="P1147" i="67"/>
  <c r="Q1147" i="67"/>
  <c r="R1147" i="67"/>
  <c r="S1147" i="67"/>
  <c r="T1147" i="67"/>
  <c r="U1147" i="67"/>
  <c r="V1147" i="67"/>
  <c r="W1147" i="67"/>
  <c r="X1147" i="67"/>
  <c r="Y1147" i="67"/>
  <c r="Z1147" i="67"/>
  <c r="AA1147" i="67"/>
  <c r="AB1147" i="67"/>
  <c r="AC1147" i="67"/>
  <c r="AD1147" i="67"/>
  <c r="AE1147" i="67"/>
  <c r="AF1147" i="67"/>
  <c r="AG1147" i="67"/>
  <c r="AH1147" i="67"/>
  <c r="AI1147" i="67"/>
  <c r="AJ1147" i="67"/>
  <c r="AK1147" i="67"/>
  <c r="AL1147" i="67"/>
  <c r="AM1147" i="67"/>
  <c r="AN1147" i="67"/>
  <c r="AO1147" i="67"/>
  <c r="AP1147" i="67"/>
  <c r="AQ1147" i="67"/>
  <c r="AR1147" i="67"/>
  <c r="AS1147" i="67"/>
  <c r="AT1147" i="67"/>
  <c r="AU1147" i="67"/>
  <c r="AV1147" i="67"/>
  <c r="AW1147" i="67"/>
  <c r="L1196" i="67"/>
  <c r="M1196" i="67"/>
  <c r="N1196" i="67"/>
  <c r="O1196" i="67"/>
  <c r="P1196" i="67"/>
  <c r="Q1196" i="67"/>
  <c r="R1196" i="67"/>
  <c r="S1196" i="67"/>
  <c r="T1196" i="67"/>
  <c r="U1196" i="67"/>
  <c r="V1196" i="67"/>
  <c r="W1196" i="67"/>
  <c r="X1196" i="67"/>
  <c r="Y1196" i="67"/>
  <c r="Z1196" i="67"/>
  <c r="AA1196" i="67"/>
  <c r="AB1196" i="67"/>
  <c r="AC1196" i="67"/>
  <c r="AD1196" i="67"/>
  <c r="AE1196" i="67"/>
  <c r="AF1196" i="67"/>
  <c r="AG1196" i="67"/>
  <c r="AH1196" i="67"/>
  <c r="AI1196" i="67"/>
  <c r="AJ1196" i="67"/>
  <c r="AK1196" i="67"/>
  <c r="AL1196" i="67"/>
  <c r="AM1196" i="67"/>
  <c r="AN1196" i="67"/>
  <c r="AO1196" i="67"/>
  <c r="AP1196" i="67"/>
  <c r="AQ1196" i="67"/>
  <c r="AR1196" i="67"/>
  <c r="AS1196" i="67"/>
  <c r="AT1196" i="67"/>
  <c r="AU1196" i="67"/>
  <c r="AV1196" i="67"/>
  <c r="AW1196" i="67"/>
  <c r="L1212" i="67"/>
  <c r="M1212" i="67"/>
  <c r="N1212" i="67"/>
  <c r="O1212" i="67"/>
  <c r="P1212" i="67"/>
  <c r="Q1212" i="67"/>
  <c r="R1212" i="67"/>
  <c r="S1212" i="67"/>
  <c r="T1212" i="67"/>
  <c r="U1212" i="67"/>
  <c r="V1212" i="67"/>
  <c r="W1212" i="67"/>
  <c r="X1212" i="67"/>
  <c r="Y1212" i="67"/>
  <c r="Z1212" i="67"/>
  <c r="AA1212" i="67"/>
  <c r="AB1212" i="67"/>
  <c r="AC1212" i="67"/>
  <c r="AD1212" i="67"/>
  <c r="AE1212" i="67"/>
  <c r="AF1212" i="67"/>
  <c r="AG1212" i="67"/>
  <c r="AH1212" i="67"/>
  <c r="AI1212" i="67"/>
  <c r="AJ1212" i="67"/>
  <c r="AK1212" i="67"/>
  <c r="AL1212" i="67"/>
  <c r="AM1212" i="67"/>
  <c r="AN1212" i="67"/>
  <c r="AO1212" i="67"/>
  <c r="AP1212" i="67"/>
  <c r="AQ1212" i="67"/>
  <c r="AR1212" i="67"/>
  <c r="AS1212" i="67"/>
  <c r="AT1212" i="67"/>
  <c r="AU1212" i="67"/>
  <c r="AV1212" i="67"/>
  <c r="AW1212" i="67"/>
  <c r="K1212" i="67"/>
  <c r="K1196" i="67"/>
  <c r="K1169" i="67"/>
  <c r="K1168" i="67"/>
  <c r="K1165" i="67"/>
  <c r="K1164" i="67"/>
  <c r="K1147" i="67"/>
  <c r="K1131" i="67"/>
  <c r="K1118" i="67"/>
  <c r="K1110" i="67"/>
  <c r="K1092" i="67"/>
  <c r="K1078" i="67"/>
  <c r="B101" i="65"/>
  <c r="B84" i="65" s="1"/>
  <c r="AN203" i="65" l="1"/>
  <c r="AN204" i="65"/>
  <c r="AN202" i="65"/>
  <c r="AD203" i="65"/>
  <c r="AD204" i="65"/>
  <c r="AD202" i="65"/>
  <c r="T203" i="65"/>
  <c r="T204" i="65"/>
  <c r="T202" i="65"/>
  <c r="B203" i="65"/>
  <c r="B204" i="65"/>
  <c r="C204" i="65" s="1"/>
  <c r="B202" i="65"/>
  <c r="C202" i="65" s="1"/>
  <c r="B35" i="65"/>
  <c r="B34" i="65"/>
  <c r="AN33" i="65"/>
  <c r="AN32" i="65"/>
  <c r="AD33" i="65"/>
  <c r="AD32" i="65"/>
  <c r="T33" i="65"/>
  <c r="T32" i="65"/>
  <c r="B33" i="65"/>
  <c r="C33" i="65" s="1"/>
  <c r="C35" i="65" s="1"/>
  <c r="B32" i="65"/>
  <c r="C32" i="65" s="1"/>
  <c r="C34" i="65" s="1"/>
  <c r="L1390" i="67"/>
  <c r="M1390" i="67"/>
  <c r="N1390" i="67"/>
  <c r="O1390" i="67"/>
  <c r="P1390" i="67"/>
  <c r="Q1390" i="67"/>
  <c r="R1390" i="67"/>
  <c r="S1390" i="67"/>
  <c r="T1390" i="67"/>
  <c r="U1390" i="67"/>
  <c r="V1390" i="67"/>
  <c r="W1390" i="67"/>
  <c r="X1390" i="67"/>
  <c r="Y1390" i="67"/>
  <c r="Z1390" i="67"/>
  <c r="AA1390" i="67"/>
  <c r="AB1390" i="67"/>
  <c r="AC1390" i="67"/>
  <c r="AD1390" i="67"/>
  <c r="AE1390" i="67"/>
  <c r="AF1390" i="67"/>
  <c r="AG1390" i="67"/>
  <c r="AH1390" i="67"/>
  <c r="AI1390" i="67"/>
  <c r="AJ1390" i="67"/>
  <c r="AK1390" i="67"/>
  <c r="AL1390" i="67"/>
  <c r="AM1390" i="67"/>
  <c r="AN1390" i="67"/>
  <c r="AO1390" i="67"/>
  <c r="AP1390" i="67"/>
  <c r="AQ1390" i="67"/>
  <c r="AR1390" i="67"/>
  <c r="AS1390" i="67"/>
  <c r="AT1390" i="67"/>
  <c r="AU1390" i="67"/>
  <c r="AV1390" i="67"/>
  <c r="AW1390" i="67"/>
  <c r="L1404" i="67"/>
  <c r="M1404" i="67"/>
  <c r="N1404" i="67"/>
  <c r="O1404" i="67"/>
  <c r="P1404" i="67"/>
  <c r="Q1404" i="67"/>
  <c r="R1404" i="67"/>
  <c r="S1404" i="67"/>
  <c r="T1404" i="67"/>
  <c r="U1404" i="67"/>
  <c r="V1404" i="67"/>
  <c r="W1404" i="67"/>
  <c r="X1404" i="67"/>
  <c r="Y1404" i="67"/>
  <c r="Z1404" i="67"/>
  <c r="AA1404" i="67"/>
  <c r="AB1404" i="67"/>
  <c r="AC1404" i="67"/>
  <c r="AD1404" i="67"/>
  <c r="AE1404" i="67"/>
  <c r="AF1404" i="67"/>
  <c r="AG1404" i="67"/>
  <c r="AH1404" i="67"/>
  <c r="AI1404" i="67"/>
  <c r="AJ1404" i="67"/>
  <c r="AK1404" i="67"/>
  <c r="AL1404" i="67"/>
  <c r="AM1404" i="67"/>
  <c r="AN1404" i="67"/>
  <c r="AO1404" i="67"/>
  <c r="AP1404" i="67"/>
  <c r="AQ1404" i="67"/>
  <c r="AR1404" i="67"/>
  <c r="AS1404" i="67"/>
  <c r="AT1404" i="67"/>
  <c r="AU1404" i="67"/>
  <c r="AV1404" i="67"/>
  <c r="AW1404" i="67"/>
  <c r="L1422" i="67"/>
  <c r="M1422" i="67"/>
  <c r="N1422" i="67"/>
  <c r="O1422" i="67"/>
  <c r="P1422" i="67"/>
  <c r="Q1422" i="67"/>
  <c r="R1422" i="67"/>
  <c r="S1422" i="67"/>
  <c r="T1422" i="67"/>
  <c r="U1422" i="67"/>
  <c r="V1422" i="67"/>
  <c r="W1422" i="67"/>
  <c r="X1422" i="67"/>
  <c r="Y1422" i="67"/>
  <c r="Z1422" i="67"/>
  <c r="AA1422" i="67"/>
  <c r="AB1422" i="67"/>
  <c r="AC1422" i="67"/>
  <c r="AD1422" i="67"/>
  <c r="AE1422" i="67"/>
  <c r="AF1422" i="67"/>
  <c r="AG1422" i="67"/>
  <c r="AH1422" i="67"/>
  <c r="AI1422" i="67"/>
  <c r="AJ1422" i="67"/>
  <c r="AK1422" i="67"/>
  <c r="AL1422" i="67"/>
  <c r="AM1422" i="67"/>
  <c r="AN1422" i="67"/>
  <c r="AO1422" i="67"/>
  <c r="AP1422" i="67"/>
  <c r="AQ1422" i="67"/>
  <c r="AR1422" i="67"/>
  <c r="AS1422" i="67"/>
  <c r="AT1422" i="67"/>
  <c r="AU1422" i="67"/>
  <c r="AV1422" i="67"/>
  <c r="AW1422" i="67"/>
  <c r="L1477" i="67"/>
  <c r="M1477" i="67"/>
  <c r="N1477" i="67"/>
  <c r="O1477" i="67"/>
  <c r="P1477" i="67"/>
  <c r="Q1477" i="67"/>
  <c r="R1477" i="67"/>
  <c r="S1477" i="67"/>
  <c r="T1477" i="67"/>
  <c r="U1477" i="67"/>
  <c r="V1477" i="67"/>
  <c r="W1477" i="67"/>
  <c r="X1477" i="67"/>
  <c r="Y1477" i="67"/>
  <c r="Z1477" i="67"/>
  <c r="AA1477" i="67"/>
  <c r="AB1477" i="67"/>
  <c r="AC1477" i="67"/>
  <c r="AD1477" i="67"/>
  <c r="AE1477" i="67"/>
  <c r="AF1477" i="67"/>
  <c r="AG1477" i="67"/>
  <c r="AH1477" i="67"/>
  <c r="AI1477" i="67"/>
  <c r="AJ1477" i="67"/>
  <c r="AK1477" i="67"/>
  <c r="AL1477" i="67"/>
  <c r="AM1477" i="67"/>
  <c r="AN1477" i="67"/>
  <c r="AO1477" i="67"/>
  <c r="AP1477" i="67"/>
  <c r="AQ1477" i="67"/>
  <c r="AR1477" i="67"/>
  <c r="AS1477" i="67"/>
  <c r="AT1477" i="67"/>
  <c r="AU1477" i="67"/>
  <c r="AV1477" i="67"/>
  <c r="AW1477" i="67"/>
  <c r="L1493" i="67"/>
  <c r="M1493" i="67"/>
  <c r="N1493" i="67"/>
  <c r="O1493" i="67"/>
  <c r="P1493" i="67"/>
  <c r="Q1493" i="67"/>
  <c r="R1493" i="67"/>
  <c r="S1493" i="67"/>
  <c r="T1493" i="67"/>
  <c r="U1493" i="67"/>
  <c r="V1493" i="67"/>
  <c r="W1493" i="67"/>
  <c r="X1493" i="67"/>
  <c r="Y1493" i="67"/>
  <c r="Z1493" i="67"/>
  <c r="AA1493" i="67"/>
  <c r="AB1493" i="67"/>
  <c r="AC1493" i="67"/>
  <c r="AD1493" i="67"/>
  <c r="AE1493" i="67"/>
  <c r="AF1493" i="67"/>
  <c r="AG1493" i="67"/>
  <c r="AH1493" i="67"/>
  <c r="AI1493" i="67"/>
  <c r="AJ1493" i="67"/>
  <c r="AK1493" i="67"/>
  <c r="AL1493" i="67"/>
  <c r="AM1493" i="67"/>
  <c r="AN1493" i="67"/>
  <c r="AO1493" i="67"/>
  <c r="AP1493" i="67"/>
  <c r="AQ1493" i="67"/>
  <c r="AR1493" i="67"/>
  <c r="AS1493" i="67"/>
  <c r="AT1493" i="67"/>
  <c r="AU1493" i="67"/>
  <c r="AV1493" i="67"/>
  <c r="AW1493" i="67"/>
  <c r="L1504" i="67"/>
  <c r="M1504" i="67"/>
  <c r="N1504" i="67"/>
  <c r="O1504" i="67"/>
  <c r="P1504" i="67"/>
  <c r="Q1504" i="67"/>
  <c r="R1504" i="67"/>
  <c r="S1504" i="67"/>
  <c r="T1504" i="67"/>
  <c r="U1504" i="67"/>
  <c r="V1504" i="67"/>
  <c r="W1504" i="67"/>
  <c r="X1504" i="67"/>
  <c r="Y1504" i="67"/>
  <c r="Z1504" i="67"/>
  <c r="AA1504" i="67"/>
  <c r="AB1504" i="67"/>
  <c r="AC1504" i="67"/>
  <c r="AD1504" i="67"/>
  <c r="AE1504" i="67"/>
  <c r="AF1504" i="67"/>
  <c r="AG1504" i="67"/>
  <c r="AH1504" i="67"/>
  <c r="AI1504" i="67"/>
  <c r="AJ1504" i="67"/>
  <c r="AK1504" i="67"/>
  <c r="AL1504" i="67"/>
  <c r="AM1504" i="67"/>
  <c r="AN1504" i="67"/>
  <c r="AO1504" i="67"/>
  <c r="AP1504" i="67"/>
  <c r="AQ1504" i="67"/>
  <c r="AR1504" i="67"/>
  <c r="AS1504" i="67"/>
  <c r="AT1504" i="67"/>
  <c r="AU1504" i="67"/>
  <c r="AV1504" i="67"/>
  <c r="AW1504" i="67"/>
  <c r="L1505" i="67"/>
  <c r="M1505" i="67"/>
  <c r="N1505" i="67"/>
  <c r="O1505" i="67"/>
  <c r="P1505" i="67"/>
  <c r="Q1505" i="67"/>
  <c r="R1505" i="67"/>
  <c r="S1505" i="67"/>
  <c r="T1505" i="67"/>
  <c r="U1505" i="67"/>
  <c r="V1505" i="67"/>
  <c r="W1505" i="67"/>
  <c r="X1505" i="67"/>
  <c r="Y1505" i="67"/>
  <c r="Z1505" i="67"/>
  <c r="AA1505" i="67"/>
  <c r="AB1505" i="67"/>
  <c r="AC1505" i="67"/>
  <c r="AD1505" i="67"/>
  <c r="AE1505" i="67"/>
  <c r="AF1505" i="67"/>
  <c r="AG1505" i="67"/>
  <c r="AH1505" i="67"/>
  <c r="AI1505" i="67"/>
  <c r="AJ1505" i="67"/>
  <c r="AK1505" i="67"/>
  <c r="AL1505" i="67"/>
  <c r="AM1505" i="67"/>
  <c r="AN1505" i="67"/>
  <c r="AO1505" i="67"/>
  <c r="AP1505" i="67"/>
  <c r="AQ1505" i="67"/>
  <c r="AR1505" i="67"/>
  <c r="AS1505" i="67"/>
  <c r="AT1505" i="67"/>
  <c r="AU1505" i="67"/>
  <c r="AV1505" i="67"/>
  <c r="AW1505" i="67"/>
  <c r="L1525" i="67"/>
  <c r="M1525" i="67"/>
  <c r="N1525" i="67"/>
  <c r="O1525" i="67"/>
  <c r="P1525" i="67"/>
  <c r="Q1525" i="67"/>
  <c r="R1525" i="67"/>
  <c r="S1525" i="67"/>
  <c r="T1525" i="67"/>
  <c r="U1525" i="67"/>
  <c r="V1525" i="67"/>
  <c r="W1525" i="67"/>
  <c r="X1525" i="67"/>
  <c r="Y1525" i="67"/>
  <c r="Z1525" i="67"/>
  <c r="AA1525" i="67"/>
  <c r="AB1525" i="67"/>
  <c r="AC1525" i="67"/>
  <c r="AD1525" i="67"/>
  <c r="AE1525" i="67"/>
  <c r="AF1525" i="67"/>
  <c r="AG1525" i="67"/>
  <c r="AH1525" i="67"/>
  <c r="AI1525" i="67"/>
  <c r="AJ1525" i="67"/>
  <c r="AK1525" i="67"/>
  <c r="AL1525" i="67"/>
  <c r="AM1525" i="67"/>
  <c r="AN1525" i="67"/>
  <c r="AO1525" i="67"/>
  <c r="AP1525" i="67"/>
  <c r="AQ1525" i="67"/>
  <c r="AR1525" i="67"/>
  <c r="AS1525" i="67"/>
  <c r="AT1525" i="67"/>
  <c r="AU1525" i="67"/>
  <c r="AV1525" i="67"/>
  <c r="AW1525" i="67"/>
  <c r="L1526" i="67"/>
  <c r="M1526" i="67"/>
  <c r="N1526" i="67"/>
  <c r="O1526" i="67"/>
  <c r="P1526" i="67"/>
  <c r="Q1526" i="67"/>
  <c r="R1526" i="67"/>
  <c r="S1526" i="67"/>
  <c r="T1526" i="67"/>
  <c r="U1526" i="67"/>
  <c r="V1526" i="67"/>
  <c r="W1526" i="67"/>
  <c r="X1526" i="67"/>
  <c r="Y1526" i="67"/>
  <c r="Z1526" i="67"/>
  <c r="AA1526" i="67"/>
  <c r="AB1526" i="67"/>
  <c r="AC1526" i="67"/>
  <c r="AD1526" i="67"/>
  <c r="AE1526" i="67"/>
  <c r="AF1526" i="67"/>
  <c r="AG1526" i="67"/>
  <c r="AH1526" i="67"/>
  <c r="AI1526" i="67"/>
  <c r="AJ1526" i="67"/>
  <c r="AK1526" i="67"/>
  <c r="AL1526" i="67"/>
  <c r="AM1526" i="67"/>
  <c r="AN1526" i="67"/>
  <c r="AO1526" i="67"/>
  <c r="AP1526" i="67"/>
  <c r="AQ1526" i="67"/>
  <c r="AR1526" i="67"/>
  <c r="AS1526" i="67"/>
  <c r="AT1526" i="67"/>
  <c r="AU1526" i="67"/>
  <c r="AV1526" i="67"/>
  <c r="AW1526" i="67"/>
  <c r="L1542" i="67"/>
  <c r="M1542" i="67"/>
  <c r="N1542" i="67"/>
  <c r="O1542" i="67"/>
  <c r="P1542" i="67"/>
  <c r="Q1542" i="67"/>
  <c r="R1542" i="67"/>
  <c r="S1542" i="67"/>
  <c r="T1542" i="67"/>
  <c r="U1542" i="67"/>
  <c r="V1542" i="67"/>
  <c r="W1542" i="67"/>
  <c r="X1542" i="67"/>
  <c r="Y1542" i="67"/>
  <c r="Z1542" i="67"/>
  <c r="AA1542" i="67"/>
  <c r="AB1542" i="67"/>
  <c r="AC1542" i="67"/>
  <c r="AD1542" i="67"/>
  <c r="AE1542" i="67"/>
  <c r="AF1542" i="67"/>
  <c r="AG1542" i="67"/>
  <c r="AH1542" i="67"/>
  <c r="AI1542" i="67"/>
  <c r="AJ1542" i="67"/>
  <c r="AK1542" i="67"/>
  <c r="AL1542" i="67"/>
  <c r="AM1542" i="67"/>
  <c r="AN1542" i="67"/>
  <c r="AO1542" i="67"/>
  <c r="AP1542" i="67"/>
  <c r="AQ1542" i="67"/>
  <c r="AR1542" i="67"/>
  <c r="AS1542" i="67"/>
  <c r="AT1542" i="67"/>
  <c r="AU1542" i="67"/>
  <c r="AV1542" i="67"/>
  <c r="AW1542" i="67"/>
  <c r="L1558" i="67"/>
  <c r="M1558" i="67"/>
  <c r="N1558" i="67"/>
  <c r="O1558" i="67"/>
  <c r="P1558" i="67"/>
  <c r="Q1558" i="67"/>
  <c r="R1558" i="67"/>
  <c r="S1558" i="67"/>
  <c r="T1558" i="67"/>
  <c r="U1558" i="67"/>
  <c r="V1558" i="67"/>
  <c r="W1558" i="67"/>
  <c r="X1558" i="67"/>
  <c r="Y1558" i="67"/>
  <c r="Z1558" i="67"/>
  <c r="AA1558" i="67"/>
  <c r="AB1558" i="67"/>
  <c r="AC1558" i="67"/>
  <c r="AD1558" i="67"/>
  <c r="AE1558" i="67"/>
  <c r="AF1558" i="67"/>
  <c r="AG1558" i="67"/>
  <c r="AH1558" i="67"/>
  <c r="AI1558" i="67"/>
  <c r="AJ1558" i="67"/>
  <c r="AK1558" i="67"/>
  <c r="AL1558" i="67"/>
  <c r="AM1558" i="67"/>
  <c r="AN1558" i="67"/>
  <c r="AO1558" i="67"/>
  <c r="AP1558" i="67"/>
  <c r="AQ1558" i="67"/>
  <c r="AR1558" i="67"/>
  <c r="AS1558" i="67"/>
  <c r="AT1558" i="67"/>
  <c r="AU1558" i="67"/>
  <c r="AV1558" i="67"/>
  <c r="AW1558" i="67"/>
  <c r="K1558" i="67"/>
  <c r="K1542" i="67"/>
  <c r="K1525" i="67"/>
  <c r="K1526" i="67"/>
  <c r="K1518" i="67"/>
  <c r="K1515" i="67"/>
  <c r="K1514" i="67"/>
  <c r="K1017" i="67" s="1"/>
  <c r="K1511" i="67"/>
  <c r="K1510" i="67"/>
  <c r="K1013" i="67" s="1"/>
  <c r="K1504" i="67"/>
  <c r="K1505" i="67"/>
  <c r="K1493" i="67"/>
  <c r="K1477" i="67"/>
  <c r="K1465" i="67"/>
  <c r="K968" i="67" s="1"/>
  <c r="K1464" i="67"/>
  <c r="K1463" i="67"/>
  <c r="K1461" i="67"/>
  <c r="K1422" i="67"/>
  <c r="K1404" i="67"/>
  <c r="K1390" i="67"/>
  <c r="A1221" i="67"/>
  <c r="A1222" i="67"/>
  <c r="A1223" i="67"/>
  <c r="A1224" i="67"/>
  <c r="A1225" i="67"/>
  <c r="A1226" i="67"/>
  <c r="A1227" i="67"/>
  <c r="A1228" i="67"/>
  <c r="A1229" i="67"/>
  <c r="A1230" i="67"/>
  <c r="A1231" i="67"/>
  <c r="A1232" i="67"/>
  <c r="A1233" i="67"/>
  <c r="A1234" i="67"/>
  <c r="A1235" i="67"/>
  <c r="A1236" i="67"/>
  <c r="A1237" i="67"/>
  <c r="A1238" i="67"/>
  <c r="A1239" i="67"/>
  <c r="A1240" i="67"/>
  <c r="A1241" i="67"/>
  <c r="A1242" i="67"/>
  <c r="A1243" i="67"/>
  <c r="A1244" i="67"/>
  <c r="A1245" i="67"/>
  <c r="A1246" i="67"/>
  <c r="A1247" i="67"/>
  <c r="A1248" i="67"/>
  <c r="A1249" i="67"/>
  <c r="A1250" i="67"/>
  <c r="A1251" i="67"/>
  <c r="A1252" i="67"/>
  <c r="A1253" i="67"/>
  <c r="A1254" i="67"/>
  <c r="A1255" i="67"/>
  <c r="A1256" i="67"/>
  <c r="A1257" i="67"/>
  <c r="A1258" i="67"/>
  <c r="A1259" i="67"/>
  <c r="A1260" i="67"/>
  <c r="A1261" i="67"/>
  <c r="A1262" i="67"/>
  <c r="A1263" i="67"/>
  <c r="A1264" i="67"/>
  <c r="A1265" i="67"/>
  <c r="A1266" i="67"/>
  <c r="A1267" i="67"/>
  <c r="A1268" i="67"/>
  <c r="A1269" i="67"/>
  <c r="A1270" i="67"/>
  <c r="A1271" i="67"/>
  <c r="A1272" i="67"/>
  <c r="A1273" i="67"/>
  <c r="A1274" i="67"/>
  <c r="A1275" i="67"/>
  <c r="A1276" i="67"/>
  <c r="A1277" i="67"/>
  <c r="A1278" i="67"/>
  <c r="A1279" i="67"/>
  <c r="A1280" i="67"/>
  <c r="A1281" i="67"/>
  <c r="A1282" i="67"/>
  <c r="A1283" i="67"/>
  <c r="A1284" i="67"/>
  <c r="A1285" i="67"/>
  <c r="A1286" i="67"/>
  <c r="A1287" i="67"/>
  <c r="A1288" i="67"/>
  <c r="A1289" i="67"/>
  <c r="A1290" i="67"/>
  <c r="A1291" i="67"/>
  <c r="A1292" i="67"/>
  <c r="A1293" i="67"/>
  <c r="A1294" i="67"/>
  <c r="A1295" i="67"/>
  <c r="A1296" i="67"/>
  <c r="A1297" i="67"/>
  <c r="A1298" i="67"/>
  <c r="A1299" i="67"/>
  <c r="A1300" i="67"/>
  <c r="A1301" i="67"/>
  <c r="A1302" i="67"/>
  <c r="A1303" i="67"/>
  <c r="A1304" i="67"/>
  <c r="A1305" i="67"/>
  <c r="A1306" i="67"/>
  <c r="A1307" i="67"/>
  <c r="A1308" i="67"/>
  <c r="A1309" i="67"/>
  <c r="A1310" i="67"/>
  <c r="A1311" i="67"/>
  <c r="A1312" i="67"/>
  <c r="A1313" i="67"/>
  <c r="A1314" i="67"/>
  <c r="A1315" i="67"/>
  <c r="A1316" i="67"/>
  <c r="A1317" i="67"/>
  <c r="A1369" i="67"/>
  <c r="A1368" i="67"/>
  <c r="A1367" i="67"/>
  <c r="A1366" i="67"/>
  <c r="A1365" i="67"/>
  <c r="A1364" i="67"/>
  <c r="A1363" i="67"/>
  <c r="A1362" i="67"/>
  <c r="A1361" i="67"/>
  <c r="A1360" i="67"/>
  <c r="A1359" i="67"/>
  <c r="A1358" i="67"/>
  <c r="A1357" i="67"/>
  <c r="A1356" i="67"/>
  <c r="A1355" i="67"/>
  <c r="A1354" i="67"/>
  <c r="A1353" i="67"/>
  <c r="A1352" i="67"/>
  <c r="A1351" i="67"/>
  <c r="A1350" i="67"/>
  <c r="A1349" i="67"/>
  <c r="A1348" i="67"/>
  <c r="A1347" i="67"/>
  <c r="A1346" i="67"/>
  <c r="A1345" i="67"/>
  <c r="A1344" i="67"/>
  <c r="A1343" i="67"/>
  <c r="A1342" i="67"/>
  <c r="A1341" i="67"/>
  <c r="A1340" i="67"/>
  <c r="A1339" i="67"/>
  <c r="A1338" i="67"/>
  <c r="J1272" i="67"/>
  <c r="I1272" i="67"/>
  <c r="E1272" i="67"/>
  <c r="D1272" i="67"/>
  <c r="N33" i="66"/>
  <c r="N34" i="66"/>
  <c r="N31" i="66"/>
  <c r="N32" i="66"/>
  <c r="N30" i="66"/>
  <c r="N29" i="66"/>
  <c r="N24" i="66"/>
  <c r="N25" i="66"/>
  <c r="N26" i="66"/>
  <c r="N27" i="66"/>
  <c r="N28" i="66"/>
  <c r="N23" i="66"/>
  <c r="Y1" i="69"/>
  <c r="B99" i="65"/>
  <c r="AN62" i="65"/>
  <c r="AN61" i="65"/>
  <c r="AN63" i="65" s="1"/>
  <c r="AD62" i="65"/>
  <c r="AD61" i="65"/>
  <c r="T62" i="65"/>
  <c r="T61" i="65"/>
  <c r="T63" i="65" s="1"/>
  <c r="B62" i="65"/>
  <c r="B61" i="65"/>
  <c r="B63" i="65" s="1"/>
  <c r="A429" i="67"/>
  <c r="A430" i="67"/>
  <c r="A431" i="67"/>
  <c r="A432" i="67"/>
  <c r="A433" i="67"/>
  <c r="A434" i="67"/>
  <c r="A435" i="67"/>
  <c r="A436" i="67"/>
  <c r="A437" i="67"/>
  <c r="A438" i="67"/>
  <c r="A439" i="67"/>
  <c r="A440" i="67"/>
  <c r="A441" i="67"/>
  <c r="A442" i="67"/>
  <c r="A443" i="67"/>
  <c r="A444" i="67"/>
  <c r="A445" i="67"/>
  <c r="A446" i="67"/>
  <c r="A447" i="67"/>
  <c r="A448" i="67"/>
  <c r="A449" i="67"/>
  <c r="A450" i="67"/>
  <c r="A451" i="67"/>
  <c r="A452" i="67"/>
  <c r="A453" i="67"/>
  <c r="A454" i="67"/>
  <c r="A455" i="67"/>
  <c r="A456" i="67"/>
  <c r="A457" i="67"/>
  <c r="A458" i="67"/>
  <c r="A459" i="67"/>
  <c r="A428" i="67"/>
  <c r="A311" i="67"/>
  <c r="A312" i="67"/>
  <c r="A313" i="67"/>
  <c r="A314" i="67"/>
  <c r="A315" i="67"/>
  <c r="A316" i="67"/>
  <c r="A317" i="67"/>
  <c r="A318" i="67"/>
  <c r="A319" i="67"/>
  <c r="A320" i="67"/>
  <c r="A321" i="67"/>
  <c r="A322" i="67"/>
  <c r="A323" i="67"/>
  <c r="A324" i="67"/>
  <c r="A325" i="67"/>
  <c r="A326" i="67"/>
  <c r="A327" i="67"/>
  <c r="A328" i="67"/>
  <c r="A329" i="67"/>
  <c r="A330" i="67"/>
  <c r="A331" i="67"/>
  <c r="A332" i="67"/>
  <c r="A333" i="67"/>
  <c r="A334" i="67"/>
  <c r="A335" i="67"/>
  <c r="A336" i="67"/>
  <c r="A337" i="67"/>
  <c r="A338" i="67"/>
  <c r="A339" i="67"/>
  <c r="A340" i="67"/>
  <c r="A341" i="67"/>
  <c r="A342" i="67"/>
  <c r="A343" i="67"/>
  <c r="A344" i="67"/>
  <c r="A345" i="67"/>
  <c r="A346" i="67"/>
  <c r="A347" i="67"/>
  <c r="A348" i="67"/>
  <c r="A349" i="67"/>
  <c r="A350" i="67"/>
  <c r="A351" i="67"/>
  <c r="A352" i="67"/>
  <c r="A353" i="67"/>
  <c r="A354" i="67"/>
  <c r="A355" i="67"/>
  <c r="A356" i="67"/>
  <c r="A357" i="67"/>
  <c r="A358" i="67"/>
  <c r="A359" i="67"/>
  <c r="A360" i="67"/>
  <c r="A361" i="67"/>
  <c r="A362" i="67"/>
  <c r="A363" i="67"/>
  <c r="A364" i="67"/>
  <c r="A365" i="67"/>
  <c r="A366" i="67"/>
  <c r="A367" i="67"/>
  <c r="A368" i="67"/>
  <c r="A369" i="67"/>
  <c r="A370" i="67"/>
  <c r="A371" i="67"/>
  <c r="A372" i="67"/>
  <c r="A373" i="67"/>
  <c r="A374" i="67"/>
  <c r="A375" i="67"/>
  <c r="A376" i="67"/>
  <c r="A377" i="67"/>
  <c r="A378" i="67"/>
  <c r="A379" i="67"/>
  <c r="A380" i="67"/>
  <c r="A381" i="67"/>
  <c r="A382" i="67"/>
  <c r="A383" i="67"/>
  <c r="A384" i="67"/>
  <c r="A385" i="67"/>
  <c r="A386" i="67"/>
  <c r="A387" i="67"/>
  <c r="A388" i="67"/>
  <c r="A389" i="67"/>
  <c r="A390" i="67"/>
  <c r="A391" i="67"/>
  <c r="A392" i="67"/>
  <c r="A393" i="67"/>
  <c r="A394" i="67"/>
  <c r="A395" i="67"/>
  <c r="A396" i="67"/>
  <c r="A397" i="67"/>
  <c r="A398" i="67"/>
  <c r="A399" i="67"/>
  <c r="A400" i="67"/>
  <c r="A401" i="67"/>
  <c r="A402" i="67"/>
  <c r="A403" i="67"/>
  <c r="A404" i="67"/>
  <c r="A405" i="67"/>
  <c r="A406" i="67"/>
  <c r="A407" i="67"/>
  <c r="A408" i="67"/>
  <c r="A409" i="67"/>
  <c r="A410" i="67"/>
  <c r="A411" i="67"/>
  <c r="A412" i="67"/>
  <c r="A413" i="67"/>
  <c r="A414" i="67"/>
  <c r="A415" i="67"/>
  <c r="A416" i="67"/>
  <c r="A417" i="67"/>
  <c r="A418" i="67"/>
  <c r="A419" i="67"/>
  <c r="A420" i="67"/>
  <c r="A421" i="67"/>
  <c r="A422" i="67"/>
  <c r="A423" i="67"/>
  <c r="A424" i="67"/>
  <c r="A425" i="67"/>
  <c r="A426" i="67"/>
  <c r="A310" i="67"/>
  <c r="AN67" i="65"/>
  <c r="AN68" i="65"/>
  <c r="AN69" i="65"/>
  <c r="AN70" i="65"/>
  <c r="AN66" i="65"/>
  <c r="AD67" i="65"/>
  <c r="AD68" i="65"/>
  <c r="AD69" i="65"/>
  <c r="AD70" i="65"/>
  <c r="AD66" i="65"/>
  <c r="T67" i="65"/>
  <c r="T68" i="65"/>
  <c r="T69" i="65"/>
  <c r="T70" i="65"/>
  <c r="T66" i="65"/>
  <c r="B67" i="65"/>
  <c r="C67" i="65" s="1"/>
  <c r="D67" i="65" s="1"/>
  <c r="E67" i="65" s="1"/>
  <c r="F67" i="65" s="1"/>
  <c r="G67" i="65" s="1"/>
  <c r="H67" i="65" s="1"/>
  <c r="I67" i="65" s="1"/>
  <c r="J67" i="65" s="1"/>
  <c r="B68" i="65"/>
  <c r="C68" i="65" s="1"/>
  <c r="D68" i="65" s="1"/>
  <c r="E68" i="65" s="1"/>
  <c r="F68" i="65" s="1"/>
  <c r="G68" i="65" s="1"/>
  <c r="H68" i="65" s="1"/>
  <c r="I68" i="65" s="1"/>
  <c r="J68" i="65" s="1"/>
  <c r="B69" i="65"/>
  <c r="C69" i="65" s="1"/>
  <c r="D69" i="65" s="1"/>
  <c r="E69" i="65" s="1"/>
  <c r="F69" i="65" s="1"/>
  <c r="G69" i="65" s="1"/>
  <c r="H69" i="65" s="1"/>
  <c r="I69" i="65" s="1"/>
  <c r="J69" i="65" s="1"/>
  <c r="B70" i="65"/>
  <c r="C70" i="65" s="1"/>
  <c r="D70" i="65" s="1"/>
  <c r="E70" i="65" s="1"/>
  <c r="F70" i="65" s="1"/>
  <c r="G70" i="65" s="1"/>
  <c r="H70" i="65" s="1"/>
  <c r="I70" i="65" s="1"/>
  <c r="J70" i="65" s="1"/>
  <c r="B66" i="65"/>
  <c r="C66" i="65" s="1"/>
  <c r="D66" i="65" s="1"/>
  <c r="E66" i="65" s="1"/>
  <c r="F66" i="65" s="1"/>
  <c r="G66" i="65" s="1"/>
  <c r="H66" i="65" s="1"/>
  <c r="I66" i="65" s="1"/>
  <c r="J66" i="65" s="1"/>
  <c r="B55" i="65"/>
  <c r="B54" i="65"/>
  <c r="B59" i="65" s="1"/>
  <c r="B53" i="65"/>
  <c r="B58" i="65" s="1"/>
  <c r="B52" i="65"/>
  <c r="B57" i="65" s="1"/>
  <c r="B51" i="65"/>
  <c r="AN47" i="65"/>
  <c r="AN48" i="65"/>
  <c r="AN49" i="65"/>
  <c r="AN50" i="65"/>
  <c r="AN46" i="65"/>
  <c r="AD47" i="65"/>
  <c r="AD48" i="65"/>
  <c r="AD49" i="65"/>
  <c r="AD50" i="65"/>
  <c r="AD46" i="65"/>
  <c r="T47" i="65"/>
  <c r="T48" i="65"/>
  <c r="T49" i="65"/>
  <c r="T50" i="65"/>
  <c r="T46" i="65"/>
  <c r="B47" i="65"/>
  <c r="C47" i="65" s="1"/>
  <c r="D47" i="65" s="1"/>
  <c r="B48" i="65"/>
  <c r="C48" i="65" s="1"/>
  <c r="D48" i="65" s="1"/>
  <c r="E48" i="65" s="1"/>
  <c r="F48" i="65" s="1"/>
  <c r="G48" i="65" s="1"/>
  <c r="H48" i="65" s="1"/>
  <c r="I48" i="65" s="1"/>
  <c r="J48" i="65" s="1"/>
  <c r="B49" i="65"/>
  <c r="C49" i="65" s="1"/>
  <c r="D49" i="65" s="1"/>
  <c r="E49" i="65" s="1"/>
  <c r="F49" i="65" s="1"/>
  <c r="G49" i="65" s="1"/>
  <c r="H49" i="65" s="1"/>
  <c r="I49" i="65" s="1"/>
  <c r="J49" i="65" s="1"/>
  <c r="B50" i="65"/>
  <c r="C50" i="65" s="1"/>
  <c r="D50" i="65" s="1"/>
  <c r="E50" i="65" s="1"/>
  <c r="F50" i="65" s="1"/>
  <c r="G50" i="65" s="1"/>
  <c r="H50" i="65" s="1"/>
  <c r="I50" i="65" s="1"/>
  <c r="J50" i="65" s="1"/>
  <c r="B46" i="65"/>
  <c r="C46" i="65" s="1"/>
  <c r="D46" i="65" s="1"/>
  <c r="E46" i="65" s="1"/>
  <c r="A1163" i="67"/>
  <c r="A1162" i="67"/>
  <c r="A1161" i="67"/>
  <c r="A1160" i="67"/>
  <c r="A1159" i="67"/>
  <c r="A1158" i="67"/>
  <c r="A1157" i="67"/>
  <c r="A1156" i="67"/>
  <c r="A1155" i="67"/>
  <c r="A1154" i="67"/>
  <c r="A1153" i="67"/>
  <c r="A1152" i="67"/>
  <c r="A1119" i="67"/>
  <c r="A1117" i="67"/>
  <c r="A914" i="67"/>
  <c r="A913" i="67"/>
  <c r="A912" i="67"/>
  <c r="A911" i="67"/>
  <c r="A910" i="67"/>
  <c r="A909" i="67"/>
  <c r="A908" i="67"/>
  <c r="A907" i="67"/>
  <c r="A906" i="67"/>
  <c r="A905" i="67"/>
  <c r="A904" i="67"/>
  <c r="A903" i="67"/>
  <c r="A902" i="67"/>
  <c r="A901" i="67"/>
  <c r="A900" i="67"/>
  <c r="A899" i="67"/>
  <c r="A898" i="67"/>
  <c r="A897" i="67"/>
  <c r="A896" i="67"/>
  <c r="A895" i="67"/>
  <c r="A894" i="67"/>
  <c r="A893" i="67"/>
  <c r="A892" i="67"/>
  <c r="A891" i="67"/>
  <c r="A890" i="67"/>
  <c r="A889" i="67"/>
  <c r="A888" i="67"/>
  <c r="A887" i="67"/>
  <c r="A886" i="67"/>
  <c r="A885" i="67"/>
  <c r="A884" i="67"/>
  <c r="A883" i="67"/>
  <c r="A881" i="67"/>
  <c r="A880" i="67"/>
  <c r="A879" i="67"/>
  <c r="A878" i="67"/>
  <c r="A877" i="67"/>
  <c r="A876" i="67"/>
  <c r="A875" i="67"/>
  <c r="A874" i="67"/>
  <c r="A873" i="67"/>
  <c r="A872" i="67"/>
  <c r="A871" i="67"/>
  <c r="A870" i="67"/>
  <c r="A869" i="67"/>
  <c r="A868" i="67"/>
  <c r="A867" i="67"/>
  <c r="A866" i="67"/>
  <c r="A865" i="67"/>
  <c r="A864" i="67"/>
  <c r="A863" i="67"/>
  <c r="A862" i="67"/>
  <c r="A861" i="67"/>
  <c r="A860" i="67"/>
  <c r="A859" i="67"/>
  <c r="A858" i="67"/>
  <c r="A857" i="67"/>
  <c r="A856" i="67"/>
  <c r="A855" i="67"/>
  <c r="A854" i="67"/>
  <c r="A853" i="67"/>
  <c r="A852" i="67"/>
  <c r="A851" i="67"/>
  <c r="A850" i="67"/>
  <c r="A849" i="67"/>
  <c r="A848" i="67"/>
  <c r="A847" i="67"/>
  <c r="A846" i="67"/>
  <c r="A845" i="67"/>
  <c r="A844" i="67"/>
  <c r="A843" i="67"/>
  <c r="A842" i="67"/>
  <c r="A841" i="67"/>
  <c r="A840" i="67"/>
  <c r="A839" i="67"/>
  <c r="A838" i="67"/>
  <c r="A837" i="67"/>
  <c r="A836" i="67"/>
  <c r="A835" i="67"/>
  <c r="A834" i="67"/>
  <c r="A833" i="67"/>
  <c r="A832" i="67"/>
  <c r="A831" i="67"/>
  <c r="A830" i="67"/>
  <c r="A829" i="67"/>
  <c r="A828" i="67"/>
  <c r="A827" i="67"/>
  <c r="A826" i="67"/>
  <c r="A825" i="67"/>
  <c r="A824" i="67"/>
  <c r="A823" i="67"/>
  <c r="A822" i="67"/>
  <c r="A821" i="67"/>
  <c r="A820" i="67"/>
  <c r="A819" i="67"/>
  <c r="A818" i="67"/>
  <c r="A817" i="67"/>
  <c r="A816" i="67"/>
  <c r="A815" i="67"/>
  <c r="A814" i="67"/>
  <c r="A813" i="67"/>
  <c r="A812" i="67"/>
  <c r="A811" i="67"/>
  <c r="A810" i="67"/>
  <c r="A809" i="67"/>
  <c r="A808" i="67"/>
  <c r="A807" i="67"/>
  <c r="A806" i="67"/>
  <c r="A805" i="67"/>
  <c r="A804" i="67"/>
  <c r="A803" i="67"/>
  <c r="A802" i="67"/>
  <c r="A801" i="67"/>
  <c r="A800" i="67"/>
  <c r="A799" i="67"/>
  <c r="A798" i="67"/>
  <c r="A797" i="67"/>
  <c r="A796" i="67"/>
  <c r="A795" i="67"/>
  <c r="A794" i="67"/>
  <c r="A793" i="67"/>
  <c r="A792" i="67"/>
  <c r="A791" i="67"/>
  <c r="A790" i="67"/>
  <c r="A789" i="67"/>
  <c r="A788" i="67"/>
  <c r="A787" i="67"/>
  <c r="A786" i="67"/>
  <c r="A785" i="67"/>
  <c r="A784" i="67"/>
  <c r="A783" i="67"/>
  <c r="A782" i="67"/>
  <c r="A781" i="67"/>
  <c r="A780" i="67"/>
  <c r="A779" i="67"/>
  <c r="A778" i="67"/>
  <c r="A777" i="67"/>
  <c r="A776" i="67"/>
  <c r="A775" i="67"/>
  <c r="A774" i="67"/>
  <c r="A773" i="67"/>
  <c r="A772" i="67"/>
  <c r="A771" i="67"/>
  <c r="A770" i="67"/>
  <c r="A769" i="67"/>
  <c r="A768" i="67"/>
  <c r="A767" i="67"/>
  <c r="A766" i="67"/>
  <c r="A765" i="67"/>
  <c r="A730" i="67"/>
  <c r="A729" i="67"/>
  <c r="A728" i="67"/>
  <c r="A727" i="67"/>
  <c r="A726" i="67"/>
  <c r="A725" i="67"/>
  <c r="A724" i="67"/>
  <c r="A723" i="67"/>
  <c r="A722" i="67"/>
  <c r="A721" i="67"/>
  <c r="A720" i="67"/>
  <c r="A719" i="67"/>
  <c r="A718" i="67"/>
  <c r="A717" i="67"/>
  <c r="A716" i="67"/>
  <c r="A715" i="67"/>
  <c r="A714" i="67"/>
  <c r="A713" i="67"/>
  <c r="A712" i="67"/>
  <c r="A711" i="67"/>
  <c r="A710" i="67"/>
  <c r="A709" i="67"/>
  <c r="A708" i="67"/>
  <c r="A707" i="67"/>
  <c r="A706" i="67"/>
  <c r="A705" i="67"/>
  <c r="A704" i="67"/>
  <c r="A703" i="67"/>
  <c r="A702" i="67"/>
  <c r="A701" i="67"/>
  <c r="A700" i="67"/>
  <c r="A699" i="67"/>
  <c r="A698" i="67"/>
  <c r="A697" i="67"/>
  <c r="A696" i="67"/>
  <c r="A695" i="67"/>
  <c r="A694" i="67"/>
  <c r="A693" i="67"/>
  <c r="A692" i="67"/>
  <c r="A691" i="67"/>
  <c r="A690" i="67"/>
  <c r="A689" i="67"/>
  <c r="A688" i="67"/>
  <c r="A687" i="67"/>
  <c r="A686" i="67"/>
  <c r="A685" i="67"/>
  <c r="A684" i="67"/>
  <c r="A683" i="67"/>
  <c r="A682" i="67"/>
  <c r="A681" i="67"/>
  <c r="A680" i="67"/>
  <c r="A679" i="67"/>
  <c r="A678" i="67"/>
  <c r="A677" i="67"/>
  <c r="A676" i="67"/>
  <c r="A675" i="67"/>
  <c r="A674" i="67"/>
  <c r="A673" i="67"/>
  <c r="A672" i="67"/>
  <c r="A671" i="67"/>
  <c r="A670" i="67"/>
  <c r="A669" i="67"/>
  <c r="A668" i="67"/>
  <c r="A667" i="67"/>
  <c r="A666" i="67"/>
  <c r="A665" i="67"/>
  <c r="A664" i="67"/>
  <c r="A663" i="67"/>
  <c r="A662" i="67"/>
  <c r="A661" i="67"/>
  <c r="A660" i="67"/>
  <c r="A659" i="67"/>
  <c r="A658" i="67"/>
  <c r="A657" i="67"/>
  <c r="A656" i="67"/>
  <c r="A655" i="67"/>
  <c r="A654" i="67"/>
  <c r="A653" i="67"/>
  <c r="A652" i="67"/>
  <c r="A651" i="67"/>
  <c r="A650" i="67"/>
  <c r="A649" i="67"/>
  <c r="A648" i="67"/>
  <c r="A647" i="67"/>
  <c r="A646" i="67"/>
  <c r="A645" i="67"/>
  <c r="A644" i="67"/>
  <c r="A643" i="67"/>
  <c r="A642" i="67"/>
  <c r="A641" i="67"/>
  <c r="A640" i="67"/>
  <c r="A639" i="67"/>
  <c r="A638" i="67"/>
  <c r="A637" i="67"/>
  <c r="A636" i="67"/>
  <c r="A635" i="67"/>
  <c r="A634" i="67"/>
  <c r="A633" i="67"/>
  <c r="A632" i="67"/>
  <c r="A631" i="67"/>
  <c r="A630" i="67"/>
  <c r="A629" i="67"/>
  <c r="A628" i="67"/>
  <c r="A627" i="67"/>
  <c r="A626" i="67"/>
  <c r="A625" i="67"/>
  <c r="A624" i="67"/>
  <c r="A623" i="67"/>
  <c r="A622" i="67"/>
  <c r="A621" i="67"/>
  <c r="A620" i="67"/>
  <c r="A619" i="67"/>
  <c r="A618" i="67"/>
  <c r="A617" i="67"/>
  <c r="A616" i="67"/>
  <c r="A615" i="67"/>
  <c r="A614" i="67"/>
  <c r="A732" i="67"/>
  <c r="A763" i="67"/>
  <c r="A762" i="67"/>
  <c r="A761" i="67"/>
  <c r="A760" i="67"/>
  <c r="A759" i="67"/>
  <c r="A758" i="67"/>
  <c r="A757" i="67"/>
  <c r="A756" i="67"/>
  <c r="A755" i="67"/>
  <c r="A754" i="67"/>
  <c r="A753" i="67"/>
  <c r="A752" i="67"/>
  <c r="A751" i="67"/>
  <c r="A750" i="67"/>
  <c r="A749" i="67"/>
  <c r="A748" i="67"/>
  <c r="A747" i="67"/>
  <c r="A746" i="67"/>
  <c r="A745" i="67"/>
  <c r="A744" i="67"/>
  <c r="A743" i="67"/>
  <c r="A742" i="67"/>
  <c r="A741" i="67"/>
  <c r="A740" i="67"/>
  <c r="A739" i="67"/>
  <c r="A738" i="67"/>
  <c r="A737" i="67"/>
  <c r="A736" i="67"/>
  <c r="A735" i="67"/>
  <c r="A734" i="67"/>
  <c r="A733" i="67"/>
  <c r="J666" i="67"/>
  <c r="I666" i="67"/>
  <c r="E666" i="67"/>
  <c r="D666" i="67"/>
  <c r="A611" i="67"/>
  <c r="A610" i="67"/>
  <c r="A609" i="67"/>
  <c r="A608" i="67"/>
  <c r="A607" i="67"/>
  <c r="A606" i="67"/>
  <c r="A605" i="67"/>
  <c r="A604" i="67"/>
  <c r="A603" i="67"/>
  <c r="A602" i="67"/>
  <c r="A601" i="67"/>
  <c r="A600" i="67"/>
  <c r="A599" i="67"/>
  <c r="A598" i="67"/>
  <c r="A597" i="67"/>
  <c r="A596" i="67"/>
  <c r="A595" i="67"/>
  <c r="A594" i="67"/>
  <c r="A593" i="67"/>
  <c r="A592" i="67"/>
  <c r="A591" i="67"/>
  <c r="A590" i="67"/>
  <c r="A589" i="67"/>
  <c r="A588" i="67"/>
  <c r="A587" i="67"/>
  <c r="A586" i="67"/>
  <c r="A585" i="67"/>
  <c r="A584" i="67"/>
  <c r="A583" i="67"/>
  <c r="A582" i="67"/>
  <c r="A581" i="67"/>
  <c r="A580" i="67"/>
  <c r="A579" i="67"/>
  <c r="A578" i="67"/>
  <c r="A577" i="67"/>
  <c r="A576" i="67"/>
  <c r="A575" i="67"/>
  <c r="A574" i="67"/>
  <c r="A573" i="67"/>
  <c r="A572" i="67"/>
  <c r="A571" i="67"/>
  <c r="A570" i="67"/>
  <c r="A569" i="67"/>
  <c r="A568" i="67"/>
  <c r="A567" i="67"/>
  <c r="A566" i="67"/>
  <c r="A565" i="67"/>
  <c r="A564" i="67"/>
  <c r="A563" i="67"/>
  <c r="A562" i="67"/>
  <c r="A561" i="67"/>
  <c r="A560" i="67"/>
  <c r="A559" i="67"/>
  <c r="A558" i="67"/>
  <c r="A557" i="67"/>
  <c r="A556" i="67"/>
  <c r="A555" i="67"/>
  <c r="A554" i="67"/>
  <c r="A553" i="67"/>
  <c r="A552" i="67"/>
  <c r="A551" i="67"/>
  <c r="A550" i="67"/>
  <c r="A549" i="67"/>
  <c r="A548" i="67"/>
  <c r="A547" i="67"/>
  <c r="A546" i="67"/>
  <c r="A545" i="67"/>
  <c r="A544" i="67"/>
  <c r="A543" i="67"/>
  <c r="A542" i="67"/>
  <c r="A541" i="67"/>
  <c r="A540" i="67"/>
  <c r="A539" i="67"/>
  <c r="A538" i="67"/>
  <c r="A537" i="67"/>
  <c r="A536" i="67"/>
  <c r="A535" i="67"/>
  <c r="A534" i="67"/>
  <c r="A533" i="67"/>
  <c r="A532" i="67"/>
  <c r="A531" i="67"/>
  <c r="A530" i="67"/>
  <c r="A529" i="67"/>
  <c r="A528" i="67"/>
  <c r="A527" i="67"/>
  <c r="A526" i="67"/>
  <c r="A525" i="67"/>
  <c r="A524" i="67"/>
  <c r="A523" i="67"/>
  <c r="A522" i="67"/>
  <c r="A521" i="67"/>
  <c r="A520" i="67"/>
  <c r="A519" i="67"/>
  <c r="A518" i="67"/>
  <c r="A517" i="67"/>
  <c r="A516" i="67"/>
  <c r="A515" i="67"/>
  <c r="A514" i="67"/>
  <c r="A513" i="67"/>
  <c r="A512" i="67"/>
  <c r="A511" i="67"/>
  <c r="A510" i="67"/>
  <c r="A509" i="67"/>
  <c r="A508" i="67"/>
  <c r="A507" i="67"/>
  <c r="A506" i="67"/>
  <c r="A505" i="67"/>
  <c r="A504" i="67"/>
  <c r="A503" i="67"/>
  <c r="A502" i="67"/>
  <c r="A501" i="67"/>
  <c r="A500" i="67"/>
  <c r="A499" i="67"/>
  <c r="A498" i="67"/>
  <c r="A497" i="67"/>
  <c r="A496" i="67"/>
  <c r="A495" i="67"/>
  <c r="A494" i="67"/>
  <c r="A493" i="67"/>
  <c r="A492" i="67"/>
  <c r="A491" i="67"/>
  <c r="A490" i="67"/>
  <c r="A489" i="67"/>
  <c r="A488" i="67"/>
  <c r="A487" i="67"/>
  <c r="A486" i="67"/>
  <c r="A485" i="67"/>
  <c r="A484" i="67"/>
  <c r="A483" i="67"/>
  <c r="A482" i="67"/>
  <c r="A481" i="67"/>
  <c r="A480" i="67"/>
  <c r="A479" i="67"/>
  <c r="A478" i="67"/>
  <c r="A477" i="67"/>
  <c r="A476" i="67"/>
  <c r="A475" i="67"/>
  <c r="A474" i="67"/>
  <c r="A473" i="67"/>
  <c r="A472" i="67"/>
  <c r="A306" i="67"/>
  <c r="A305" i="67"/>
  <c r="A304" i="67"/>
  <c r="A303" i="67"/>
  <c r="A302" i="67"/>
  <c r="A301" i="67"/>
  <c r="A300" i="67"/>
  <c r="A299" i="67"/>
  <c r="A298" i="67"/>
  <c r="A297" i="67"/>
  <c r="A296" i="67"/>
  <c r="A295" i="67"/>
  <c r="A294" i="67"/>
  <c r="A293" i="67"/>
  <c r="A292" i="67"/>
  <c r="A291" i="67"/>
  <c r="A290" i="67"/>
  <c r="A289" i="67"/>
  <c r="A288" i="67"/>
  <c r="A287" i="67"/>
  <c r="A286" i="67"/>
  <c r="A285" i="67"/>
  <c r="A284" i="67"/>
  <c r="A283" i="67"/>
  <c r="A282" i="67"/>
  <c r="A281" i="67"/>
  <c r="A280" i="67"/>
  <c r="A279" i="67"/>
  <c r="A278" i="67"/>
  <c r="A277" i="67"/>
  <c r="A276" i="67"/>
  <c r="A275" i="67"/>
  <c r="A274" i="67"/>
  <c r="A273" i="67"/>
  <c r="A272" i="67"/>
  <c r="A271" i="67"/>
  <c r="A270" i="67"/>
  <c r="A269" i="67"/>
  <c r="A268" i="67"/>
  <c r="A267" i="67"/>
  <c r="A266" i="67"/>
  <c r="A265" i="67"/>
  <c r="A264" i="67"/>
  <c r="A263" i="67"/>
  <c r="A262" i="67"/>
  <c r="A261" i="67"/>
  <c r="A260" i="67"/>
  <c r="A259" i="67"/>
  <c r="A258" i="67"/>
  <c r="A257" i="67"/>
  <c r="A256" i="67"/>
  <c r="A255" i="67"/>
  <c r="A254" i="67"/>
  <c r="A253" i="67"/>
  <c r="A252" i="67"/>
  <c r="A251" i="67"/>
  <c r="A250" i="67"/>
  <c r="A249" i="67"/>
  <c r="A248" i="67"/>
  <c r="A247" i="67"/>
  <c r="A246" i="67"/>
  <c r="A245" i="67"/>
  <c r="A244" i="67"/>
  <c r="A243" i="67"/>
  <c r="A242" i="67"/>
  <c r="A241" i="67"/>
  <c r="A240" i="67"/>
  <c r="A239" i="67"/>
  <c r="A238" i="67"/>
  <c r="A237" i="67"/>
  <c r="A236" i="67"/>
  <c r="A235" i="67"/>
  <c r="A234" i="67"/>
  <c r="A233" i="67"/>
  <c r="A232" i="67"/>
  <c r="A231" i="67"/>
  <c r="A230" i="67"/>
  <c r="A229" i="67"/>
  <c r="A228" i="67"/>
  <c r="A227" i="67"/>
  <c r="A226" i="67"/>
  <c r="A225" i="67"/>
  <c r="A224" i="67"/>
  <c r="A223" i="67"/>
  <c r="A222" i="67"/>
  <c r="A221" i="67"/>
  <c r="A220" i="67"/>
  <c r="A219" i="67"/>
  <c r="A218" i="67"/>
  <c r="A217" i="67"/>
  <c r="A216" i="67"/>
  <c r="A215" i="67"/>
  <c r="A214" i="67"/>
  <c r="A213" i="67"/>
  <c r="A212" i="67"/>
  <c r="A211" i="67"/>
  <c r="A210" i="67"/>
  <c r="A209" i="67"/>
  <c r="A208" i="67"/>
  <c r="A207" i="67"/>
  <c r="A206" i="67"/>
  <c r="A205" i="67"/>
  <c r="A204" i="67"/>
  <c r="A203" i="67"/>
  <c r="A202" i="67"/>
  <c r="A201" i="67"/>
  <c r="A200" i="67"/>
  <c r="A199" i="67"/>
  <c r="A198" i="67"/>
  <c r="A197" i="67"/>
  <c r="A196" i="67"/>
  <c r="A195" i="67"/>
  <c r="A194" i="67"/>
  <c r="A193" i="67"/>
  <c r="A192" i="67"/>
  <c r="A191" i="67"/>
  <c r="A190" i="67"/>
  <c r="A189" i="67"/>
  <c r="A188" i="67"/>
  <c r="A187" i="67"/>
  <c r="A186" i="67"/>
  <c r="A185" i="67"/>
  <c r="A184" i="67"/>
  <c r="A183" i="67"/>
  <c r="A182" i="67"/>
  <c r="A181" i="67"/>
  <c r="A180" i="67"/>
  <c r="A179" i="67"/>
  <c r="A178" i="67"/>
  <c r="A177" i="67"/>
  <c r="A176" i="67"/>
  <c r="A175" i="67"/>
  <c r="A174" i="67"/>
  <c r="A173" i="67"/>
  <c r="A172" i="67"/>
  <c r="A171" i="67"/>
  <c r="A170" i="67"/>
  <c r="A169" i="67"/>
  <c r="A168" i="67"/>
  <c r="A167" i="67"/>
  <c r="A166" i="67"/>
  <c r="A165" i="67"/>
  <c r="B54" i="68"/>
  <c r="B53" i="68"/>
  <c r="B51" i="68"/>
  <c r="B50" i="68"/>
  <c r="B48" i="68"/>
  <c r="B47" i="68"/>
  <c r="B46" i="68"/>
  <c r="B45" i="68"/>
  <c r="B44" i="68"/>
  <c r="B26" i="68"/>
  <c r="B25" i="68"/>
  <c r="B24" i="68"/>
  <c r="B23" i="68"/>
  <c r="B22" i="68"/>
  <c r="B21" i="68"/>
  <c r="B20" i="68"/>
  <c r="B18" i="68"/>
  <c r="B17" i="68"/>
  <c r="B16" i="68"/>
  <c r="B15" i="68"/>
  <c r="B14" i="68"/>
  <c r="B13" i="68"/>
  <c r="B12" i="68"/>
  <c r="B10" i="68"/>
  <c r="B9" i="68"/>
  <c r="B8" i="68"/>
  <c r="B7" i="68"/>
  <c r="B6" i="68"/>
  <c r="A10" i="67"/>
  <c r="A11" i="67"/>
  <c r="A12" i="67"/>
  <c r="A13" i="67"/>
  <c r="A14" i="67"/>
  <c r="A15" i="67"/>
  <c r="A16" i="67"/>
  <c r="A17" i="67"/>
  <c r="A18" i="67"/>
  <c r="A19" i="67"/>
  <c r="A20" i="67"/>
  <c r="A21" i="67"/>
  <c r="A22" i="67"/>
  <c r="A23" i="67"/>
  <c r="A24" i="67"/>
  <c r="A25" i="67"/>
  <c r="A26" i="67"/>
  <c r="A27" i="67"/>
  <c r="A28" i="67"/>
  <c r="A29" i="67"/>
  <c r="A30" i="67"/>
  <c r="A31" i="67"/>
  <c r="A32" i="67"/>
  <c r="A33" i="67"/>
  <c r="A34" i="67"/>
  <c r="A35" i="67"/>
  <c r="A36" i="67"/>
  <c r="A37" i="67"/>
  <c r="A38" i="67"/>
  <c r="A39" i="67"/>
  <c r="A40" i="67"/>
  <c r="A41" i="67"/>
  <c r="A42" i="67"/>
  <c r="A43" i="67"/>
  <c r="A44" i="67"/>
  <c r="A45" i="67"/>
  <c r="A46" i="67"/>
  <c r="A47" i="67"/>
  <c r="A48" i="67"/>
  <c r="A49" i="67"/>
  <c r="A50" i="67"/>
  <c r="A51" i="67"/>
  <c r="A52" i="67"/>
  <c r="A53" i="67"/>
  <c r="A54" i="67"/>
  <c r="A55" i="67"/>
  <c r="A56" i="67"/>
  <c r="A57" i="67"/>
  <c r="A58" i="67"/>
  <c r="A59" i="67"/>
  <c r="A60" i="67"/>
  <c r="A61" i="67"/>
  <c r="A62" i="67"/>
  <c r="A63" i="67"/>
  <c r="A64" i="67"/>
  <c r="A65" i="67"/>
  <c r="A66" i="67"/>
  <c r="A67" i="67"/>
  <c r="A68" i="67"/>
  <c r="A69" i="67"/>
  <c r="A70" i="67"/>
  <c r="A71" i="67"/>
  <c r="A72" i="67"/>
  <c r="A73" i="67"/>
  <c r="A74" i="67"/>
  <c r="A75" i="67"/>
  <c r="A76" i="67"/>
  <c r="A77" i="67"/>
  <c r="A78" i="67"/>
  <c r="A79" i="67"/>
  <c r="A80" i="67"/>
  <c r="A81" i="67"/>
  <c r="A82" i="67"/>
  <c r="A83" i="67"/>
  <c r="A84" i="67"/>
  <c r="A85" i="67"/>
  <c r="A86" i="67"/>
  <c r="A87" i="67"/>
  <c r="A88" i="67"/>
  <c r="A89" i="67"/>
  <c r="A90" i="67"/>
  <c r="A91" i="67"/>
  <c r="A92" i="67"/>
  <c r="A93" i="67"/>
  <c r="A94" i="67"/>
  <c r="A95" i="67"/>
  <c r="A96" i="67"/>
  <c r="A97" i="67"/>
  <c r="A98" i="67"/>
  <c r="A99" i="67"/>
  <c r="A100" i="67"/>
  <c r="A101" i="67"/>
  <c r="A102" i="67"/>
  <c r="A103" i="67"/>
  <c r="A104" i="67"/>
  <c r="A105" i="67"/>
  <c r="A106" i="67"/>
  <c r="A107" i="67"/>
  <c r="A108" i="67"/>
  <c r="A109" i="67"/>
  <c r="A110" i="67"/>
  <c r="A111" i="67"/>
  <c r="A112" i="67"/>
  <c r="A113" i="67"/>
  <c r="A114" i="67"/>
  <c r="A115" i="67"/>
  <c r="A116" i="67"/>
  <c r="A117" i="67"/>
  <c r="A118" i="67"/>
  <c r="A119" i="67"/>
  <c r="A120" i="67"/>
  <c r="A121" i="67"/>
  <c r="A122" i="67"/>
  <c r="A123" i="67"/>
  <c r="A124" i="67"/>
  <c r="A125" i="67"/>
  <c r="A126" i="67"/>
  <c r="A127" i="67"/>
  <c r="A128" i="67"/>
  <c r="A129" i="67"/>
  <c r="A130" i="67"/>
  <c r="A131" i="67"/>
  <c r="A132" i="67"/>
  <c r="A133" i="67"/>
  <c r="A134" i="67"/>
  <c r="A135" i="67"/>
  <c r="A136" i="67"/>
  <c r="A137" i="67"/>
  <c r="A138" i="67"/>
  <c r="A139" i="67"/>
  <c r="A140" i="67"/>
  <c r="A141" i="67"/>
  <c r="A142" i="67"/>
  <c r="A143" i="67"/>
  <c r="A144" i="67"/>
  <c r="A145" i="67"/>
  <c r="A146" i="67"/>
  <c r="A147" i="67"/>
  <c r="A148" i="67"/>
  <c r="A149" i="67"/>
  <c r="A150" i="67"/>
  <c r="A151" i="67"/>
  <c r="A152" i="67"/>
  <c r="A153" i="67"/>
  <c r="K996" i="67" l="1"/>
  <c r="K1179" i="67"/>
  <c r="K1028" i="67"/>
  <c r="AU1061" i="67"/>
  <c r="AQ1061" i="67"/>
  <c r="AM1061" i="67"/>
  <c r="AI1061" i="67"/>
  <c r="AE1061" i="67"/>
  <c r="AA1061" i="67"/>
  <c r="W1061" i="67"/>
  <c r="S1061" i="67"/>
  <c r="O1061" i="67"/>
  <c r="AU1045" i="67"/>
  <c r="AQ1045" i="67"/>
  <c r="AM1045" i="67"/>
  <c r="AI1045" i="67"/>
  <c r="AE1045" i="67"/>
  <c r="AA1045" i="67"/>
  <c r="W1045" i="67"/>
  <c r="S1045" i="67"/>
  <c r="O1045" i="67"/>
  <c r="AU1180" i="67"/>
  <c r="AU1029" i="67"/>
  <c r="AQ1180" i="67"/>
  <c r="AQ1029" i="67"/>
  <c r="AM1180" i="67"/>
  <c r="AM1029" i="67"/>
  <c r="AI1180" i="67"/>
  <c r="AI1029" i="67"/>
  <c r="AE1180" i="67"/>
  <c r="AE1029" i="67"/>
  <c r="AA1180" i="67"/>
  <c r="AA1029" i="67"/>
  <c r="W1180" i="67"/>
  <c r="W1029" i="67"/>
  <c r="S1180" i="67"/>
  <c r="S1029" i="67"/>
  <c r="O1180" i="67"/>
  <c r="O1029" i="67"/>
  <c r="AW1179" i="67"/>
  <c r="AW1028" i="67"/>
  <c r="AS1179" i="67"/>
  <c r="AS1028" i="67"/>
  <c r="AO1179" i="67"/>
  <c r="AO1028" i="67"/>
  <c r="AK1179" i="67"/>
  <c r="AK1028" i="67"/>
  <c r="AG1179" i="67"/>
  <c r="AG1028" i="67"/>
  <c r="AC1179" i="67"/>
  <c r="AC1028" i="67"/>
  <c r="Y1179" i="67"/>
  <c r="Y1028" i="67"/>
  <c r="U1179" i="67"/>
  <c r="U1028" i="67"/>
  <c r="Q1179" i="67"/>
  <c r="Q1028" i="67"/>
  <c r="M1179" i="67"/>
  <c r="M1028" i="67"/>
  <c r="AW1159" i="67"/>
  <c r="AW1008" i="67"/>
  <c r="AS1159" i="67"/>
  <c r="AS1008" i="67"/>
  <c r="AO1159" i="67"/>
  <c r="AO1008" i="67"/>
  <c r="AK1159" i="67"/>
  <c r="AK1008" i="67"/>
  <c r="AG1159" i="67"/>
  <c r="AG1008" i="67"/>
  <c r="AC1159" i="67"/>
  <c r="AC1008" i="67"/>
  <c r="Y1159" i="67"/>
  <c r="Y1008" i="67"/>
  <c r="U1159" i="67"/>
  <c r="U1008" i="67"/>
  <c r="Q1159" i="67"/>
  <c r="Q1008" i="67"/>
  <c r="M1159" i="67"/>
  <c r="M1008" i="67"/>
  <c r="AU1158" i="67"/>
  <c r="AU1007" i="67"/>
  <c r="AQ1158" i="67"/>
  <c r="AQ1007" i="67"/>
  <c r="AM1158" i="67"/>
  <c r="AM1007" i="67"/>
  <c r="AI1158" i="67"/>
  <c r="AI1007" i="67"/>
  <c r="AE1158" i="67"/>
  <c r="AE1007" i="67"/>
  <c r="AA1158" i="67"/>
  <c r="AA1007" i="67"/>
  <c r="W1158" i="67"/>
  <c r="W1007" i="67"/>
  <c r="S1158" i="67"/>
  <c r="S1007" i="67"/>
  <c r="O1158" i="67"/>
  <c r="O1007" i="67"/>
  <c r="AW996" i="67"/>
  <c r="AS996" i="67"/>
  <c r="AO996" i="67"/>
  <c r="AK996" i="67"/>
  <c r="AG996" i="67"/>
  <c r="AC996" i="67"/>
  <c r="Y996" i="67"/>
  <c r="U996" i="67"/>
  <c r="Q996" i="67"/>
  <c r="M996" i="67"/>
  <c r="AW980" i="67"/>
  <c r="AS980" i="67"/>
  <c r="AO980" i="67"/>
  <c r="AK980" i="67"/>
  <c r="AG980" i="67"/>
  <c r="AC980" i="67"/>
  <c r="Y980" i="67"/>
  <c r="U980" i="67"/>
  <c r="Q980" i="67"/>
  <c r="M980" i="67"/>
  <c r="AU959" i="67"/>
  <c r="AQ959" i="67"/>
  <c r="AM959" i="67"/>
  <c r="AI959" i="67"/>
  <c r="AE959" i="67"/>
  <c r="AA959" i="67"/>
  <c r="W959" i="67"/>
  <c r="S959" i="67"/>
  <c r="O959" i="67"/>
  <c r="AU941" i="67"/>
  <c r="AQ941" i="67"/>
  <c r="AM941" i="67"/>
  <c r="AI941" i="67"/>
  <c r="AE941" i="67"/>
  <c r="AA941" i="67"/>
  <c r="W941" i="67"/>
  <c r="S941" i="67"/>
  <c r="O941" i="67"/>
  <c r="AU927" i="67"/>
  <c r="AQ927" i="67"/>
  <c r="AM927" i="67"/>
  <c r="AI927" i="67"/>
  <c r="AE927" i="67"/>
  <c r="AA927" i="67"/>
  <c r="W927" i="67"/>
  <c r="S927" i="67"/>
  <c r="O927" i="67"/>
  <c r="K927" i="67"/>
  <c r="K959" i="67"/>
  <c r="K1172" i="67"/>
  <c r="K1021" i="67"/>
  <c r="AT1061" i="67"/>
  <c r="AP1061" i="67"/>
  <c r="AL1061" i="67"/>
  <c r="AH1061" i="67"/>
  <c r="AD1061" i="67"/>
  <c r="Z1061" i="67"/>
  <c r="V1061" i="67"/>
  <c r="R1061" i="67"/>
  <c r="N1061" i="67"/>
  <c r="AT1045" i="67"/>
  <c r="AP1045" i="67"/>
  <c r="AL1045" i="67"/>
  <c r="AH1045" i="67"/>
  <c r="AD1045" i="67"/>
  <c r="Z1045" i="67"/>
  <c r="V1045" i="67"/>
  <c r="R1045" i="67"/>
  <c r="N1045" i="67"/>
  <c r="AT1180" i="67"/>
  <c r="AT1029" i="67"/>
  <c r="AP1180" i="67"/>
  <c r="AP1029" i="67"/>
  <c r="AL1180" i="67"/>
  <c r="AL1029" i="67"/>
  <c r="AH1180" i="67"/>
  <c r="AH1029" i="67"/>
  <c r="AD1180" i="67"/>
  <c r="AD1029" i="67"/>
  <c r="Z1180" i="67"/>
  <c r="Z1029" i="67"/>
  <c r="V1180" i="67"/>
  <c r="V1029" i="67"/>
  <c r="R1180" i="67"/>
  <c r="R1029" i="67"/>
  <c r="N1180" i="67"/>
  <c r="N1029" i="67"/>
  <c r="AV1179" i="67"/>
  <c r="AV1028" i="67"/>
  <c r="AR1179" i="67"/>
  <c r="AR1028" i="67"/>
  <c r="AN1179" i="67"/>
  <c r="AN1028" i="67"/>
  <c r="AJ1179" i="67"/>
  <c r="AJ1028" i="67"/>
  <c r="AF1179" i="67"/>
  <c r="AF1028" i="67"/>
  <c r="AB1179" i="67"/>
  <c r="AB1028" i="67"/>
  <c r="X1179" i="67"/>
  <c r="X1028" i="67"/>
  <c r="T1179" i="67"/>
  <c r="T1028" i="67"/>
  <c r="P1179" i="67"/>
  <c r="P1028" i="67"/>
  <c r="L1179" i="67"/>
  <c r="L1028" i="67"/>
  <c r="AV1159" i="67"/>
  <c r="AV1008" i="67"/>
  <c r="AR1159" i="67"/>
  <c r="AR1008" i="67"/>
  <c r="AN1159" i="67"/>
  <c r="AN1008" i="67"/>
  <c r="AJ1159" i="67"/>
  <c r="AJ1008" i="67"/>
  <c r="AF1159" i="67"/>
  <c r="AF1008" i="67"/>
  <c r="AB1159" i="67"/>
  <c r="AB1008" i="67"/>
  <c r="X1159" i="67"/>
  <c r="X1008" i="67"/>
  <c r="T1159" i="67"/>
  <c r="T1008" i="67"/>
  <c r="P1159" i="67"/>
  <c r="P1008" i="67"/>
  <c r="L1159" i="67"/>
  <c r="L1008" i="67"/>
  <c r="AT1158" i="67"/>
  <c r="AT1007" i="67"/>
  <c r="AP1158" i="67"/>
  <c r="AP1007" i="67"/>
  <c r="AL1158" i="67"/>
  <c r="AL1007" i="67"/>
  <c r="AH1158" i="67"/>
  <c r="AH1007" i="67"/>
  <c r="AD1158" i="67"/>
  <c r="AD1007" i="67"/>
  <c r="Z1158" i="67"/>
  <c r="Z1007" i="67"/>
  <c r="V1158" i="67"/>
  <c r="V1007" i="67"/>
  <c r="R1158" i="67"/>
  <c r="R1007" i="67"/>
  <c r="N1158" i="67"/>
  <c r="N1007" i="67"/>
  <c r="AV996" i="67"/>
  <c r="AR996" i="67"/>
  <c r="AN996" i="67"/>
  <c r="AJ996" i="67"/>
  <c r="AF996" i="67"/>
  <c r="AB996" i="67"/>
  <c r="X996" i="67"/>
  <c r="T996" i="67"/>
  <c r="P996" i="67"/>
  <c r="L996" i="67"/>
  <c r="AV980" i="67"/>
  <c r="AR980" i="67"/>
  <c r="AN980" i="67"/>
  <c r="AJ980" i="67"/>
  <c r="AF980" i="67"/>
  <c r="AB980" i="67"/>
  <c r="X980" i="67"/>
  <c r="T980" i="67"/>
  <c r="P980" i="67"/>
  <c r="L980" i="67"/>
  <c r="AT959" i="67"/>
  <c r="AP959" i="67"/>
  <c r="AL959" i="67"/>
  <c r="AH959" i="67"/>
  <c r="AD959" i="67"/>
  <c r="Z959" i="67"/>
  <c r="V959" i="67"/>
  <c r="R959" i="67"/>
  <c r="N959" i="67"/>
  <c r="AT941" i="67"/>
  <c r="AP941" i="67"/>
  <c r="AL941" i="67"/>
  <c r="AH941" i="67"/>
  <c r="AD941" i="67"/>
  <c r="Z941" i="67"/>
  <c r="V941" i="67"/>
  <c r="R941" i="67"/>
  <c r="N941" i="67"/>
  <c r="AT927" i="67"/>
  <c r="AP927" i="67"/>
  <c r="AL927" i="67"/>
  <c r="AH927" i="67"/>
  <c r="AD927" i="67"/>
  <c r="Z927" i="67"/>
  <c r="V927" i="67"/>
  <c r="R927" i="67"/>
  <c r="N927" i="67"/>
  <c r="K1117" i="67"/>
  <c r="K966" i="67"/>
  <c r="K980" i="67"/>
  <c r="K1159" i="67"/>
  <c r="K1008" i="67"/>
  <c r="AW1061" i="67"/>
  <c r="AS1061" i="67"/>
  <c r="AO1061" i="67"/>
  <c r="AK1061" i="67"/>
  <c r="AG1061" i="67"/>
  <c r="AC1061" i="67"/>
  <c r="Y1061" i="67"/>
  <c r="U1061" i="67"/>
  <c r="Q1061" i="67"/>
  <c r="M1061" i="67"/>
  <c r="AW1045" i="67"/>
  <c r="AS1045" i="67"/>
  <c r="AO1045" i="67"/>
  <c r="AK1045" i="67"/>
  <c r="AG1045" i="67"/>
  <c r="AC1045" i="67"/>
  <c r="Y1045" i="67"/>
  <c r="U1045" i="67"/>
  <c r="Q1045" i="67"/>
  <c r="M1045" i="67"/>
  <c r="AW1180" i="67"/>
  <c r="AW1029" i="67"/>
  <c r="AS1180" i="67"/>
  <c r="AS1029" i="67"/>
  <c r="AO1180" i="67"/>
  <c r="AO1029" i="67"/>
  <c r="AK1180" i="67"/>
  <c r="AK1029" i="67"/>
  <c r="AG1180" i="67"/>
  <c r="AG1029" i="67"/>
  <c r="AC1180" i="67"/>
  <c r="AC1029" i="67"/>
  <c r="Y1180" i="67"/>
  <c r="Y1029" i="67"/>
  <c r="U1180" i="67"/>
  <c r="U1029" i="67"/>
  <c r="Q1180" i="67"/>
  <c r="Q1029" i="67"/>
  <c r="M1180" i="67"/>
  <c r="M1029" i="67"/>
  <c r="AU1179" i="67"/>
  <c r="AU1028" i="67"/>
  <c r="AQ1179" i="67"/>
  <c r="AQ1028" i="67"/>
  <c r="AM1179" i="67"/>
  <c r="AM1028" i="67"/>
  <c r="AI1179" i="67"/>
  <c r="AI1028" i="67"/>
  <c r="AE1179" i="67"/>
  <c r="AE1028" i="67"/>
  <c r="AA1179" i="67"/>
  <c r="AA1028" i="67"/>
  <c r="W1179" i="67"/>
  <c r="W1028" i="67"/>
  <c r="S1179" i="67"/>
  <c r="S1028" i="67"/>
  <c r="O1179" i="67"/>
  <c r="O1028" i="67"/>
  <c r="AU1159" i="67"/>
  <c r="AU1008" i="67"/>
  <c r="AQ1159" i="67"/>
  <c r="AQ1008" i="67"/>
  <c r="AM1159" i="67"/>
  <c r="AM1008" i="67"/>
  <c r="AI1159" i="67"/>
  <c r="AI1008" i="67"/>
  <c r="AE1159" i="67"/>
  <c r="AE1008" i="67"/>
  <c r="AA1159" i="67"/>
  <c r="AA1008" i="67"/>
  <c r="W1159" i="67"/>
  <c r="W1008" i="67"/>
  <c r="S1159" i="67"/>
  <c r="S1008" i="67"/>
  <c r="O1159" i="67"/>
  <c r="O1008" i="67"/>
  <c r="AW1158" i="67"/>
  <c r="AW1007" i="67"/>
  <c r="AS1158" i="67"/>
  <c r="AS1007" i="67"/>
  <c r="AO1158" i="67"/>
  <c r="AO1007" i="67"/>
  <c r="AK1158" i="67"/>
  <c r="AK1007" i="67"/>
  <c r="AG1158" i="67"/>
  <c r="AG1007" i="67"/>
  <c r="AC1158" i="67"/>
  <c r="AC1007" i="67"/>
  <c r="Y1158" i="67"/>
  <c r="Y1007" i="67"/>
  <c r="U1158" i="67"/>
  <c r="U1007" i="67"/>
  <c r="Q1158" i="67"/>
  <c r="Q1007" i="67"/>
  <c r="M1158" i="67"/>
  <c r="M1007" i="67"/>
  <c r="AU996" i="67"/>
  <c r="AQ996" i="67"/>
  <c r="AM996" i="67"/>
  <c r="AI996" i="67"/>
  <c r="AE996" i="67"/>
  <c r="AA996" i="67"/>
  <c r="W996" i="67"/>
  <c r="S996" i="67"/>
  <c r="O996" i="67"/>
  <c r="AU980" i="67"/>
  <c r="AQ980" i="67"/>
  <c r="AM980" i="67"/>
  <c r="AI980" i="67"/>
  <c r="AE980" i="67"/>
  <c r="AA980" i="67"/>
  <c r="W980" i="67"/>
  <c r="S980" i="67"/>
  <c r="O980" i="67"/>
  <c r="AW959" i="67"/>
  <c r="AS959" i="67"/>
  <c r="AO959" i="67"/>
  <c r="AK959" i="67"/>
  <c r="AG959" i="67"/>
  <c r="AC959" i="67"/>
  <c r="Y959" i="67"/>
  <c r="U959" i="67"/>
  <c r="Q959" i="67"/>
  <c r="M959" i="67"/>
  <c r="AW941" i="67"/>
  <c r="AS941" i="67"/>
  <c r="AO941" i="67"/>
  <c r="AK941" i="67"/>
  <c r="AG941" i="67"/>
  <c r="AC941" i="67"/>
  <c r="Y941" i="67"/>
  <c r="U941" i="67"/>
  <c r="Q941" i="67"/>
  <c r="M941" i="67"/>
  <c r="AW927" i="67"/>
  <c r="AS927" i="67"/>
  <c r="AO927" i="67"/>
  <c r="AK927" i="67"/>
  <c r="AG927" i="67"/>
  <c r="AC927" i="67"/>
  <c r="Y927" i="67"/>
  <c r="U927" i="67"/>
  <c r="Q927" i="67"/>
  <c r="M927" i="67"/>
  <c r="K941" i="67"/>
  <c r="K1158" i="67"/>
  <c r="K1007" i="67"/>
  <c r="K1180" i="67"/>
  <c r="K1029" i="67"/>
  <c r="K1045" i="67"/>
  <c r="K1061" i="67"/>
  <c r="AV1061" i="67"/>
  <c r="AR1061" i="67"/>
  <c r="AN1061" i="67"/>
  <c r="AJ1061" i="67"/>
  <c r="AF1061" i="67"/>
  <c r="AB1061" i="67"/>
  <c r="X1061" i="67"/>
  <c r="T1061" i="67"/>
  <c r="P1061" i="67"/>
  <c r="L1061" i="67"/>
  <c r="AV1045" i="67"/>
  <c r="AR1045" i="67"/>
  <c r="AN1045" i="67"/>
  <c r="AJ1045" i="67"/>
  <c r="AF1045" i="67"/>
  <c r="AB1045" i="67"/>
  <c r="X1045" i="67"/>
  <c r="T1045" i="67"/>
  <c r="P1045" i="67"/>
  <c r="L1045" i="67"/>
  <c r="AV1180" i="67"/>
  <c r="AV1029" i="67"/>
  <c r="AR1180" i="67"/>
  <c r="AR1029" i="67"/>
  <c r="AN1180" i="67"/>
  <c r="AN1029" i="67"/>
  <c r="AJ1180" i="67"/>
  <c r="AJ1029" i="67"/>
  <c r="AF1180" i="67"/>
  <c r="AF1029" i="67"/>
  <c r="AB1180" i="67"/>
  <c r="AB1029" i="67"/>
  <c r="X1180" i="67"/>
  <c r="X1029" i="67"/>
  <c r="T1180" i="67"/>
  <c r="T1029" i="67"/>
  <c r="P1180" i="67"/>
  <c r="P1029" i="67"/>
  <c r="L1180" i="67"/>
  <c r="L1029" i="67"/>
  <c r="AT1179" i="67"/>
  <c r="AT1028" i="67"/>
  <c r="AP1179" i="67"/>
  <c r="AP1028" i="67"/>
  <c r="AL1179" i="67"/>
  <c r="AL1028" i="67"/>
  <c r="AH1179" i="67"/>
  <c r="AH1028" i="67"/>
  <c r="AD1179" i="67"/>
  <c r="AD1028" i="67"/>
  <c r="Z1179" i="67"/>
  <c r="Z1028" i="67"/>
  <c r="V1179" i="67"/>
  <c r="V1028" i="67"/>
  <c r="R1179" i="67"/>
  <c r="R1028" i="67"/>
  <c r="N1179" i="67"/>
  <c r="N1028" i="67"/>
  <c r="AT1159" i="67"/>
  <c r="AT1008" i="67"/>
  <c r="AP1159" i="67"/>
  <c r="AP1008" i="67"/>
  <c r="AL1159" i="67"/>
  <c r="AL1008" i="67"/>
  <c r="AH1159" i="67"/>
  <c r="AH1008" i="67"/>
  <c r="AD1159" i="67"/>
  <c r="AD1008" i="67"/>
  <c r="Z1159" i="67"/>
  <c r="Z1008" i="67"/>
  <c r="V1159" i="67"/>
  <c r="V1008" i="67"/>
  <c r="R1159" i="67"/>
  <c r="R1008" i="67"/>
  <c r="N1159" i="67"/>
  <c r="N1008" i="67"/>
  <c r="AV1158" i="67"/>
  <c r="AV1007" i="67"/>
  <c r="AR1158" i="67"/>
  <c r="AR1007" i="67"/>
  <c r="AN1158" i="67"/>
  <c r="AN1007" i="67"/>
  <c r="AJ1158" i="67"/>
  <c r="AJ1007" i="67"/>
  <c r="AF1158" i="67"/>
  <c r="AF1007" i="67"/>
  <c r="AB1158" i="67"/>
  <c r="AB1007" i="67"/>
  <c r="X1158" i="67"/>
  <c r="X1007" i="67"/>
  <c r="T1158" i="67"/>
  <c r="T1007" i="67"/>
  <c r="P1158" i="67"/>
  <c r="P1007" i="67"/>
  <c r="L1158" i="67"/>
  <c r="L1007" i="67"/>
  <c r="AT996" i="67"/>
  <c r="AP996" i="67"/>
  <c r="AL996" i="67"/>
  <c r="AH996" i="67"/>
  <c r="AD996" i="67"/>
  <c r="Z996" i="67"/>
  <c r="V996" i="67"/>
  <c r="R996" i="67"/>
  <c r="N996" i="67"/>
  <c r="AT980" i="67"/>
  <c r="AP980" i="67"/>
  <c r="AL980" i="67"/>
  <c r="AH980" i="67"/>
  <c r="AD980" i="67"/>
  <c r="Z980" i="67"/>
  <c r="V980" i="67"/>
  <c r="R980" i="67"/>
  <c r="N980" i="67"/>
  <c r="AV959" i="67"/>
  <c r="AR959" i="67"/>
  <c r="AN959" i="67"/>
  <c r="AJ959" i="67"/>
  <c r="AF959" i="67"/>
  <c r="AB959" i="67"/>
  <c r="X959" i="67"/>
  <c r="T959" i="67"/>
  <c r="P959" i="67"/>
  <c r="L959" i="67"/>
  <c r="AV941" i="67"/>
  <c r="AR941" i="67"/>
  <c r="AN941" i="67"/>
  <c r="AJ941" i="67"/>
  <c r="AF941" i="67"/>
  <c r="AB941" i="67"/>
  <c r="X941" i="67"/>
  <c r="T941" i="67"/>
  <c r="P941" i="67"/>
  <c r="L941" i="67"/>
  <c r="AV927" i="67"/>
  <c r="AR927" i="67"/>
  <c r="AN927" i="67"/>
  <c r="AJ927" i="67"/>
  <c r="AF927" i="67"/>
  <c r="AB927" i="67"/>
  <c r="X927" i="67"/>
  <c r="T927" i="67"/>
  <c r="P927" i="67"/>
  <c r="L927" i="67"/>
  <c r="D202" i="65"/>
  <c r="D204" i="65"/>
  <c r="AE204" i="65"/>
  <c r="AE202" i="65"/>
  <c r="U202" i="65"/>
  <c r="K666" i="67"/>
  <c r="K1119" i="67"/>
  <c r="Y64" i="69"/>
  <c r="U203" i="65"/>
  <c r="T65" i="65"/>
  <c r="AD65" i="65"/>
  <c r="AN65" i="65"/>
  <c r="C203" i="65"/>
  <c r="B82" i="65"/>
  <c r="U204" i="65"/>
  <c r="AE203" i="65"/>
  <c r="T52" i="65"/>
  <c r="J54" i="65"/>
  <c r="J59" i="65" s="1"/>
  <c r="AN52" i="65"/>
  <c r="AD54" i="65"/>
  <c r="U33" i="65"/>
  <c r="V33" i="65" s="1"/>
  <c r="V35" i="65" s="1"/>
  <c r="AE32" i="65"/>
  <c r="AF32" i="65" s="1"/>
  <c r="AG32" i="65" s="1"/>
  <c r="AH32" i="65" s="1"/>
  <c r="AI32" i="65" s="1"/>
  <c r="AJ32" i="65" s="1"/>
  <c r="AK32" i="65" s="1"/>
  <c r="AL32" i="65" s="1"/>
  <c r="AM32" i="65" s="1"/>
  <c r="AM34" i="65" s="1"/>
  <c r="I55" i="65"/>
  <c r="I60" i="65" s="1"/>
  <c r="AE33" i="65"/>
  <c r="AF33" i="65" s="1"/>
  <c r="AG33" i="65" s="1"/>
  <c r="AH33" i="65" s="1"/>
  <c r="AI33" i="65" s="1"/>
  <c r="C51" i="65"/>
  <c r="C56" i="65" s="1"/>
  <c r="G53" i="65"/>
  <c r="G58" i="65" s="1"/>
  <c r="F54" i="65"/>
  <c r="F59" i="65" s="1"/>
  <c r="AD35" i="65"/>
  <c r="W33" i="65"/>
  <c r="X33" i="65" s="1"/>
  <c r="Y33" i="65" s="1"/>
  <c r="Z33" i="65" s="1"/>
  <c r="C55" i="65"/>
  <c r="C60" i="65" s="1"/>
  <c r="E47" i="65"/>
  <c r="F47" i="65" s="1"/>
  <c r="G47" i="65" s="1"/>
  <c r="D52" i="65"/>
  <c r="D57" i="65" s="1"/>
  <c r="B56" i="65"/>
  <c r="AD51" i="65"/>
  <c r="E51" i="65"/>
  <c r="E56" i="65" s="1"/>
  <c r="D51" i="65"/>
  <c r="D56" i="65" s="1"/>
  <c r="T51" i="65"/>
  <c r="AN51" i="65"/>
  <c r="B60" i="65"/>
  <c r="F55" i="65"/>
  <c r="F60" i="65" s="1"/>
  <c r="J55" i="65"/>
  <c r="J60" i="65" s="1"/>
  <c r="AD55" i="65"/>
  <c r="G55" i="65"/>
  <c r="G60" i="65" s="1"/>
  <c r="D55" i="65"/>
  <c r="D60" i="65" s="1"/>
  <c r="H55" i="65"/>
  <c r="H60" i="65" s="1"/>
  <c r="T55" i="65"/>
  <c r="AN55" i="65"/>
  <c r="E55" i="65"/>
  <c r="E60" i="65" s="1"/>
  <c r="C52" i="65"/>
  <c r="C57" i="65" s="1"/>
  <c r="I54" i="65"/>
  <c r="I59" i="65" s="1"/>
  <c r="E54" i="65"/>
  <c r="E59" i="65" s="1"/>
  <c r="AD53" i="65"/>
  <c r="J53" i="65"/>
  <c r="J58" i="65" s="1"/>
  <c r="F53" i="65"/>
  <c r="F58" i="65" s="1"/>
  <c r="AD34" i="65"/>
  <c r="C53" i="65"/>
  <c r="C58" i="65" s="1"/>
  <c r="AN54" i="65"/>
  <c r="T54" i="65"/>
  <c r="H54" i="65"/>
  <c r="H59" i="65" s="1"/>
  <c r="D54" i="65"/>
  <c r="D59" i="65" s="1"/>
  <c r="I53" i="65"/>
  <c r="I58" i="65" s="1"/>
  <c r="E53" i="65"/>
  <c r="E58" i="65" s="1"/>
  <c r="AD52" i="65"/>
  <c r="AN35" i="65"/>
  <c r="T35" i="65"/>
  <c r="C54" i="65"/>
  <c r="C59" i="65" s="1"/>
  <c r="G54" i="65"/>
  <c r="G59" i="65" s="1"/>
  <c r="AN53" i="65"/>
  <c r="T53" i="65"/>
  <c r="H53" i="65"/>
  <c r="H58" i="65" s="1"/>
  <c r="D53" i="65"/>
  <c r="D58" i="65" s="1"/>
  <c r="AN34" i="65"/>
  <c r="T34" i="65"/>
  <c r="D32" i="65"/>
  <c r="E32" i="65" s="1"/>
  <c r="F32" i="65" s="1"/>
  <c r="G32" i="65" s="1"/>
  <c r="U32" i="65"/>
  <c r="V32" i="65" s="1"/>
  <c r="W32" i="65" s="1"/>
  <c r="D33" i="65"/>
  <c r="E33" i="65" s="1"/>
  <c r="F33" i="65" s="1"/>
  <c r="K69" i="65"/>
  <c r="L69" i="65" s="1"/>
  <c r="M69" i="65" s="1"/>
  <c r="N69" i="65" s="1"/>
  <c r="O69" i="65" s="1"/>
  <c r="P69" i="65" s="1"/>
  <c r="Q69" i="65" s="1"/>
  <c r="R69" i="65" s="1"/>
  <c r="S69" i="65" s="1"/>
  <c r="U70" i="65"/>
  <c r="V70" i="65" s="1"/>
  <c r="W70" i="65" s="1"/>
  <c r="X70" i="65" s="1"/>
  <c r="Y70" i="65" s="1"/>
  <c r="Z70" i="65" s="1"/>
  <c r="AA70" i="65" s="1"/>
  <c r="AB70" i="65" s="1"/>
  <c r="AC70" i="65" s="1"/>
  <c r="AE66" i="65"/>
  <c r="AF66" i="65" s="1"/>
  <c r="AG66" i="65" s="1"/>
  <c r="AH66" i="65" s="1"/>
  <c r="AI66" i="65" s="1"/>
  <c r="AJ66" i="65" s="1"/>
  <c r="AK66" i="65" s="1"/>
  <c r="AL66" i="65" s="1"/>
  <c r="AM66" i="65" s="1"/>
  <c r="AE67" i="65"/>
  <c r="AF67" i="65" s="1"/>
  <c r="AG67" i="65" s="1"/>
  <c r="AH67" i="65" s="1"/>
  <c r="AI67" i="65" s="1"/>
  <c r="AJ67" i="65" s="1"/>
  <c r="AK67" i="65" s="1"/>
  <c r="AL67" i="65" s="1"/>
  <c r="AM67" i="65" s="1"/>
  <c r="Y16" i="69"/>
  <c r="C61" i="65"/>
  <c r="AE62" i="65"/>
  <c r="C62" i="65"/>
  <c r="C65" i="65" s="1"/>
  <c r="AD63" i="65"/>
  <c r="AE61" i="65"/>
  <c r="U61" i="65"/>
  <c r="U62" i="65"/>
  <c r="U65" i="65" s="1"/>
  <c r="U66" i="65"/>
  <c r="V66" i="65" s="1"/>
  <c r="W66" i="65" s="1"/>
  <c r="X66" i="65" s="1"/>
  <c r="Y66" i="65" s="1"/>
  <c r="Z66" i="65" s="1"/>
  <c r="AA66" i="65" s="1"/>
  <c r="AB66" i="65" s="1"/>
  <c r="AC66" i="65" s="1"/>
  <c r="U67" i="65"/>
  <c r="V67" i="65" s="1"/>
  <c r="W67" i="65" s="1"/>
  <c r="X67" i="65" s="1"/>
  <c r="Y67" i="65" s="1"/>
  <c r="Z67" i="65" s="1"/>
  <c r="AA67" i="65" s="1"/>
  <c r="AB67" i="65" s="1"/>
  <c r="AC67" i="65" s="1"/>
  <c r="AE68" i="65"/>
  <c r="AF68" i="65" s="1"/>
  <c r="AG68" i="65" s="1"/>
  <c r="AH68" i="65" s="1"/>
  <c r="AI68" i="65" s="1"/>
  <c r="AJ68" i="65" s="1"/>
  <c r="AK68" i="65" s="1"/>
  <c r="AL68" i="65" s="1"/>
  <c r="AM68" i="65" s="1"/>
  <c r="K68" i="65"/>
  <c r="L68" i="65" s="1"/>
  <c r="M68" i="65" s="1"/>
  <c r="N68" i="65" s="1"/>
  <c r="O68" i="65" s="1"/>
  <c r="P68" i="65" s="1"/>
  <c r="Q68" i="65" s="1"/>
  <c r="R68" i="65" s="1"/>
  <c r="S68" i="65" s="1"/>
  <c r="K49" i="65"/>
  <c r="L49" i="65" s="1"/>
  <c r="M49" i="65" s="1"/>
  <c r="N49" i="65" s="1"/>
  <c r="U50" i="65"/>
  <c r="V50" i="65" s="1"/>
  <c r="W50" i="65" s="1"/>
  <c r="X50" i="65" s="1"/>
  <c r="Y50" i="65" s="1"/>
  <c r="Z50" i="65" s="1"/>
  <c r="AA50" i="65" s="1"/>
  <c r="AB50" i="65" s="1"/>
  <c r="AC50" i="65" s="1"/>
  <c r="AE46" i="65"/>
  <c r="AF46" i="65" s="1"/>
  <c r="AG46" i="65" s="1"/>
  <c r="AH46" i="65" s="1"/>
  <c r="AI46" i="65" s="1"/>
  <c r="AJ46" i="65" s="1"/>
  <c r="AK46" i="65" s="1"/>
  <c r="AL46" i="65" s="1"/>
  <c r="AM46" i="65" s="1"/>
  <c r="AE47" i="65"/>
  <c r="AF47" i="65" s="1"/>
  <c r="K70" i="65"/>
  <c r="L70" i="65" s="1"/>
  <c r="M70" i="65" s="1"/>
  <c r="N70" i="65" s="1"/>
  <c r="O70" i="65" s="1"/>
  <c r="P70" i="65" s="1"/>
  <c r="Q70" i="65" s="1"/>
  <c r="R70" i="65" s="1"/>
  <c r="S70" i="65" s="1"/>
  <c r="U49" i="65"/>
  <c r="V49" i="65" s="1"/>
  <c r="AE50" i="65"/>
  <c r="AF50" i="65" s="1"/>
  <c r="AG50" i="65" s="1"/>
  <c r="AH50" i="65" s="1"/>
  <c r="AI50" i="65" s="1"/>
  <c r="AJ50" i="65" s="1"/>
  <c r="AK50" i="65" s="1"/>
  <c r="AL50" i="65" s="1"/>
  <c r="AM50" i="65" s="1"/>
  <c r="K66" i="65"/>
  <c r="L66" i="65" s="1"/>
  <c r="M66" i="65" s="1"/>
  <c r="N66" i="65" s="1"/>
  <c r="O66" i="65" s="1"/>
  <c r="P66" i="65" s="1"/>
  <c r="Q66" i="65" s="1"/>
  <c r="R66" i="65" s="1"/>
  <c r="S66" i="65" s="1"/>
  <c r="K67" i="65"/>
  <c r="L67" i="65" s="1"/>
  <c r="M67" i="65" s="1"/>
  <c r="N67" i="65" s="1"/>
  <c r="O67" i="65" s="1"/>
  <c r="P67" i="65" s="1"/>
  <c r="Q67" i="65" s="1"/>
  <c r="R67" i="65" s="1"/>
  <c r="S67" i="65" s="1"/>
  <c r="AE70" i="65"/>
  <c r="AF70" i="65" s="1"/>
  <c r="AG70" i="65" s="1"/>
  <c r="AH70" i="65" s="1"/>
  <c r="AI70" i="65" s="1"/>
  <c r="AJ70" i="65" s="1"/>
  <c r="AK70" i="65" s="1"/>
  <c r="AL70" i="65" s="1"/>
  <c r="AM70" i="65" s="1"/>
  <c r="U48" i="65"/>
  <c r="V48" i="65" s="1"/>
  <c r="W48" i="65" s="1"/>
  <c r="AE49" i="65"/>
  <c r="AF49" i="65" s="1"/>
  <c r="AG49" i="65" s="1"/>
  <c r="AH49" i="65" s="1"/>
  <c r="U68" i="65"/>
  <c r="V68" i="65" s="1"/>
  <c r="W68" i="65" s="1"/>
  <c r="X68" i="65" s="1"/>
  <c r="Y68" i="65" s="1"/>
  <c r="Z68" i="65" s="1"/>
  <c r="AA68" i="65" s="1"/>
  <c r="AB68" i="65" s="1"/>
  <c r="AC68" i="65" s="1"/>
  <c r="AE69" i="65"/>
  <c r="AF69" i="65" s="1"/>
  <c r="AG69" i="65" s="1"/>
  <c r="AH69" i="65" s="1"/>
  <c r="AI69" i="65" s="1"/>
  <c r="AJ69" i="65" s="1"/>
  <c r="AK69" i="65" s="1"/>
  <c r="AL69" i="65" s="1"/>
  <c r="AM69" i="65" s="1"/>
  <c r="U69" i="65"/>
  <c r="V69" i="65" s="1"/>
  <c r="W69" i="65" s="1"/>
  <c r="X69" i="65" s="1"/>
  <c r="Y69" i="65" s="1"/>
  <c r="Z69" i="65" s="1"/>
  <c r="AA69" i="65" s="1"/>
  <c r="AB69" i="65" s="1"/>
  <c r="AC69" i="65" s="1"/>
  <c r="U46" i="65"/>
  <c r="V46" i="65" s="1"/>
  <c r="W46" i="65" s="1"/>
  <c r="X46" i="65" s="1"/>
  <c r="X51" i="65" s="1"/>
  <c r="AE48" i="65"/>
  <c r="F46" i="65"/>
  <c r="G46" i="65" s="1"/>
  <c r="H46" i="65" s="1"/>
  <c r="I46" i="65" s="1"/>
  <c r="I51" i="65" s="1"/>
  <c r="K48" i="65"/>
  <c r="U47" i="65"/>
  <c r="V47" i="65" s="1"/>
  <c r="W47" i="65" s="1"/>
  <c r="W52" i="65" s="1"/>
  <c r="K50" i="65"/>
  <c r="L50" i="65" s="1"/>
  <c r="M50" i="65" s="1"/>
  <c r="N50" i="65" s="1"/>
  <c r="O50" i="65" s="1"/>
  <c r="O55" i="65" s="1"/>
  <c r="A47" i="68"/>
  <c r="A53" i="68"/>
  <c r="A54" i="68"/>
  <c r="A51" i="68"/>
  <c r="A50" i="68"/>
  <c r="A48" i="68"/>
  <c r="A46" i="68"/>
  <c r="A45" i="68"/>
  <c r="A44" i="68"/>
  <c r="A26" i="68"/>
  <c r="A25" i="68"/>
  <c r="A24" i="68"/>
  <c r="A23" i="68"/>
  <c r="A22" i="68"/>
  <c r="A21" i="68"/>
  <c r="A20" i="68"/>
  <c r="A18" i="68"/>
  <c r="A17" i="68"/>
  <c r="A16" i="68"/>
  <c r="A15" i="68"/>
  <c r="A14" i="68"/>
  <c r="A13" i="68"/>
  <c r="A12" i="68"/>
  <c r="A6" i="68"/>
  <c r="A7" i="68"/>
  <c r="A8" i="68"/>
  <c r="A9" i="68"/>
  <c r="A10" i="68"/>
  <c r="A5" i="68"/>
  <c r="A1172" i="67"/>
  <c r="A1173" i="67"/>
  <c r="A1174" i="67"/>
  <c r="A1175" i="67"/>
  <c r="A1176" i="67"/>
  <c r="A1177" i="67"/>
  <c r="A1178" i="67"/>
  <c r="A1179" i="67"/>
  <c r="A1180" i="67"/>
  <c r="A1181" i="67"/>
  <c r="A1182" i="67"/>
  <c r="A1183" i="67"/>
  <c r="A1184" i="67"/>
  <c r="A1216" i="67"/>
  <c r="A1215" i="67"/>
  <c r="A1214" i="67"/>
  <c r="A1213" i="67"/>
  <c r="A1212" i="67"/>
  <c r="A1211" i="67"/>
  <c r="A1210" i="67"/>
  <c r="A1209" i="67"/>
  <c r="A1208" i="67"/>
  <c r="A1207" i="67"/>
  <c r="A1206" i="67"/>
  <c r="A1205" i="67"/>
  <c r="A1204" i="67"/>
  <c r="A1203" i="67"/>
  <c r="A1202" i="67"/>
  <c r="A1201" i="67"/>
  <c r="A1200" i="67"/>
  <c r="A1199" i="67"/>
  <c r="A1198" i="67"/>
  <c r="A1197" i="67"/>
  <c r="A1196" i="67"/>
  <c r="A1195" i="67"/>
  <c r="A1194" i="67"/>
  <c r="A1193" i="67"/>
  <c r="A1192" i="67"/>
  <c r="A1191" i="67"/>
  <c r="A1190" i="67"/>
  <c r="A1189" i="67"/>
  <c r="A1188" i="67"/>
  <c r="A1187" i="67"/>
  <c r="A1186" i="67"/>
  <c r="A1185" i="67"/>
  <c r="A1171" i="67"/>
  <c r="A1170" i="67"/>
  <c r="A1169" i="67"/>
  <c r="A1168" i="67"/>
  <c r="A1167" i="67"/>
  <c r="A1166" i="67"/>
  <c r="A1165" i="67"/>
  <c r="A1164" i="67"/>
  <c r="A1151" i="67"/>
  <c r="A1150" i="67"/>
  <c r="A1149" i="67"/>
  <c r="A1148" i="67"/>
  <c r="A1147" i="67"/>
  <c r="A1146" i="67"/>
  <c r="A1145" i="67"/>
  <c r="A1144" i="67"/>
  <c r="A1143" i="67"/>
  <c r="A1142" i="67"/>
  <c r="A1141" i="67"/>
  <c r="A1140" i="67"/>
  <c r="A1139" i="67"/>
  <c r="A1138" i="67"/>
  <c r="A1137" i="67"/>
  <c r="A1136" i="67"/>
  <c r="A1135" i="67"/>
  <c r="A1134" i="67"/>
  <c r="A1133" i="67"/>
  <c r="A1132" i="67"/>
  <c r="A1131" i="67"/>
  <c r="A1130" i="67"/>
  <c r="A1129" i="67"/>
  <c r="A1128" i="67"/>
  <c r="A1127" i="67"/>
  <c r="A1126" i="67"/>
  <c r="A1125" i="67"/>
  <c r="A1124" i="67"/>
  <c r="A1123" i="67"/>
  <c r="A1122" i="67"/>
  <c r="A1121" i="67"/>
  <c r="A1120" i="67"/>
  <c r="A1118" i="67"/>
  <c r="A1116" i="67"/>
  <c r="A1115" i="67"/>
  <c r="A1114" i="67"/>
  <c r="A1113" i="67"/>
  <c r="A1112" i="67"/>
  <c r="A1111" i="67"/>
  <c r="A1110" i="67"/>
  <c r="A1109" i="67"/>
  <c r="A1108" i="67"/>
  <c r="A1107" i="67"/>
  <c r="A1106" i="67"/>
  <c r="A1105" i="67"/>
  <c r="A1104" i="67"/>
  <c r="A1103" i="67"/>
  <c r="A1102" i="67"/>
  <c r="A1101" i="67"/>
  <c r="A1100" i="67"/>
  <c r="A1099" i="67"/>
  <c r="A1098" i="67"/>
  <c r="A1097" i="67"/>
  <c r="A1096" i="67"/>
  <c r="A1095" i="67"/>
  <c r="A1094" i="67"/>
  <c r="A1093" i="67"/>
  <c r="A1092" i="67"/>
  <c r="A1091" i="67"/>
  <c r="A1090" i="67"/>
  <c r="A1089" i="67"/>
  <c r="A1088" i="67"/>
  <c r="A1087" i="67"/>
  <c r="A1086" i="67"/>
  <c r="A1085" i="67"/>
  <c r="A1084" i="67"/>
  <c r="A1083" i="67"/>
  <c r="A1082" i="67"/>
  <c r="A1081" i="67"/>
  <c r="A1080" i="67"/>
  <c r="A1079" i="67"/>
  <c r="A1078" i="67"/>
  <c r="A1077" i="67"/>
  <c r="A1076" i="67"/>
  <c r="A1075" i="67"/>
  <c r="A1074" i="67"/>
  <c r="A1073" i="67"/>
  <c r="A1072" i="67"/>
  <c r="A1071" i="67"/>
  <c r="A1070" i="67"/>
  <c r="A1069" i="67"/>
  <c r="A1068" i="67"/>
  <c r="A1067" i="67"/>
  <c r="A1220" i="67"/>
  <c r="A1318" i="67"/>
  <c r="A1319" i="67"/>
  <c r="A1320" i="67"/>
  <c r="D1320" i="67"/>
  <c r="E1320" i="67"/>
  <c r="F1320" i="67"/>
  <c r="H1320" i="67" s="1"/>
  <c r="I1320" i="67"/>
  <c r="J1320" i="67"/>
  <c r="A1321" i="67"/>
  <c r="A1322" i="67"/>
  <c r="A1323" i="67"/>
  <c r="A1324" i="67"/>
  <c r="D1324" i="67"/>
  <c r="D1325" i="67" s="1"/>
  <c r="E1324" i="67"/>
  <c r="E1325" i="67" s="1"/>
  <c r="F1324" i="67"/>
  <c r="G1324" i="67"/>
  <c r="I1324" i="67"/>
  <c r="I1325" i="67" s="1"/>
  <c r="J1324" i="67"/>
  <c r="J1325" i="67" s="1"/>
  <c r="A1325" i="67"/>
  <c r="A1326" i="67"/>
  <c r="A1327" i="67"/>
  <c r="A1328" i="67"/>
  <c r="A1329" i="67"/>
  <c r="A1330" i="67"/>
  <c r="A1331" i="67"/>
  <c r="A1332" i="67"/>
  <c r="A1333" i="67"/>
  <c r="A1334" i="67"/>
  <c r="A1335" i="67"/>
  <c r="A1336" i="67"/>
  <c r="D1379" i="67"/>
  <c r="D1380" i="67" s="1"/>
  <c r="D1381" i="67" s="1"/>
  <c r="D1382" i="67" s="1"/>
  <c r="D1383" i="67" s="1"/>
  <c r="D1384" i="67" s="1"/>
  <c r="D1385" i="67" s="1"/>
  <c r="D1386" i="67" s="1"/>
  <c r="D1387" i="67" s="1"/>
  <c r="D1388" i="67" s="1"/>
  <c r="D1389" i="67" s="1"/>
  <c r="D1390" i="67" s="1"/>
  <c r="D1391" i="67" s="1"/>
  <c r="D1392" i="67" s="1"/>
  <c r="D1393" i="67" s="1"/>
  <c r="D1394" i="67" s="1"/>
  <c r="D1395" i="67" s="1"/>
  <c r="D1396" i="67" s="1"/>
  <c r="D1397" i="67" s="1"/>
  <c r="D1398" i="67" s="1"/>
  <c r="D1399" i="67" s="1"/>
  <c r="D1400" i="67" s="1"/>
  <c r="D1401" i="67" s="1"/>
  <c r="D1402" i="67" s="1"/>
  <c r="D1403" i="67" s="1"/>
  <c r="D1404" i="67" s="1"/>
  <c r="D1405" i="67" s="1"/>
  <c r="D1406" i="67" s="1"/>
  <c r="D1407" i="67" s="1"/>
  <c r="D1408" i="67" s="1"/>
  <c r="D1409" i="67" s="1"/>
  <c r="D1410" i="67" s="1"/>
  <c r="D1411" i="67" s="1"/>
  <c r="D1412" i="67" s="1"/>
  <c r="D1413" i="67" s="1"/>
  <c r="D1414" i="67" s="1"/>
  <c r="D1415" i="67" s="1"/>
  <c r="D1416" i="67" s="1"/>
  <c r="D1417" i="67" s="1"/>
  <c r="D1418" i="67" s="1"/>
  <c r="D1419" i="67" s="1"/>
  <c r="D1420" i="67" s="1"/>
  <c r="D1421" i="67" s="1"/>
  <c r="D1422" i="67" s="1"/>
  <c r="D1423" i="67" s="1"/>
  <c r="D1424" i="67" s="1"/>
  <c r="D1425" i="67" s="1"/>
  <c r="D1426" i="67" s="1"/>
  <c r="D1427" i="67" s="1"/>
  <c r="D1428" i="67" s="1"/>
  <c r="E1379" i="67"/>
  <c r="E1380" i="67" s="1"/>
  <c r="E1381" i="67" s="1"/>
  <c r="E1382" i="67" s="1"/>
  <c r="E1383" i="67" s="1"/>
  <c r="E1384" i="67" s="1"/>
  <c r="E1385" i="67" s="1"/>
  <c r="E1386" i="67" s="1"/>
  <c r="E1387" i="67" s="1"/>
  <c r="E1388" i="67" s="1"/>
  <c r="E1389" i="67" s="1"/>
  <c r="E1390" i="67" s="1"/>
  <c r="E1391" i="67" s="1"/>
  <c r="E1392" i="67" s="1"/>
  <c r="F1379" i="67"/>
  <c r="G1379" i="67"/>
  <c r="H1379" i="67"/>
  <c r="H1380" i="67" s="1"/>
  <c r="H1381" i="67" s="1"/>
  <c r="F1380" i="67"/>
  <c r="G1380" i="67"/>
  <c r="I1380" i="67"/>
  <c r="I1382" i="67" s="1"/>
  <c r="I1383" i="67" s="1"/>
  <c r="I1384" i="67" s="1"/>
  <c r="I1385" i="67" s="1"/>
  <c r="I1386" i="67" s="1"/>
  <c r="I1387" i="67" s="1"/>
  <c r="I1388" i="67" s="1"/>
  <c r="I1389" i="67" s="1"/>
  <c r="I1390" i="67" s="1"/>
  <c r="I1391" i="67" s="1"/>
  <c r="I1392" i="67" s="1"/>
  <c r="I1393" i="67" s="1"/>
  <c r="I1394" i="67" s="1"/>
  <c r="J1380" i="67"/>
  <c r="J1382" i="67" s="1"/>
  <c r="J1383" i="67" s="1"/>
  <c r="J1384" i="67" s="1"/>
  <c r="J1385" i="67" s="1"/>
  <c r="J1386" i="67" s="1"/>
  <c r="J1387" i="67" s="1"/>
  <c r="J1388" i="67" s="1"/>
  <c r="J1389" i="67" s="1"/>
  <c r="J1390" i="67" s="1"/>
  <c r="J1391" i="67" s="1"/>
  <c r="J1392" i="67" s="1"/>
  <c r="J1393" i="67" s="1"/>
  <c r="J1394" i="67" s="1"/>
  <c r="F1381" i="67"/>
  <c r="G1381" i="67"/>
  <c r="F1382" i="67"/>
  <c r="G1382" i="67"/>
  <c r="F1383" i="67"/>
  <c r="G1383" i="67"/>
  <c r="F1384" i="67"/>
  <c r="G1384" i="67"/>
  <c r="F1385" i="67"/>
  <c r="G1385" i="67"/>
  <c r="F1386" i="67"/>
  <c r="G1386" i="67"/>
  <c r="F1387" i="67"/>
  <c r="G1387" i="67"/>
  <c r="F1388" i="67"/>
  <c r="G1388" i="67"/>
  <c r="F1389" i="67"/>
  <c r="G1389" i="67"/>
  <c r="F1390" i="67"/>
  <c r="G1390" i="67"/>
  <c r="F1391" i="67"/>
  <c r="G1391" i="67"/>
  <c r="F1392" i="67"/>
  <c r="G1392" i="67"/>
  <c r="E1393" i="67"/>
  <c r="E1394" i="67" s="1"/>
  <c r="E1395" i="67" s="1"/>
  <c r="E1396" i="67" s="1"/>
  <c r="E1397" i="67" s="1"/>
  <c r="E1398" i="67" s="1"/>
  <c r="E1399" i="67" s="1"/>
  <c r="E1400" i="67" s="1"/>
  <c r="E1401" i="67" s="1"/>
  <c r="E1402" i="67" s="1"/>
  <c r="E1403" i="67" s="1"/>
  <c r="E1404" i="67" s="1"/>
  <c r="E1405" i="67" s="1"/>
  <c r="E1406" i="67" s="1"/>
  <c r="E1407" i="67" s="1"/>
  <c r="E1408" i="67" s="1"/>
  <c r="E1409" i="67" s="1"/>
  <c r="E1410" i="67" s="1"/>
  <c r="F1393" i="67"/>
  <c r="G1393" i="67"/>
  <c r="H1393" i="67"/>
  <c r="H1394" i="67" s="1"/>
  <c r="H1395" i="67" s="1"/>
  <c r="F1394" i="67"/>
  <c r="G1394" i="67"/>
  <c r="F1395" i="67"/>
  <c r="G1395" i="67"/>
  <c r="F1396" i="67"/>
  <c r="G1396" i="67"/>
  <c r="F1397" i="67"/>
  <c r="G1397" i="67"/>
  <c r="F1398" i="67"/>
  <c r="G1398" i="67"/>
  <c r="F1399" i="67"/>
  <c r="G1399" i="67"/>
  <c r="F1400" i="67"/>
  <c r="G1400" i="67"/>
  <c r="F1401" i="67"/>
  <c r="G1401" i="67"/>
  <c r="F1402" i="67"/>
  <c r="G1402" i="67"/>
  <c r="F1403" i="67"/>
  <c r="G1403" i="67"/>
  <c r="F1404" i="67"/>
  <c r="G1404" i="67"/>
  <c r="F1405" i="67"/>
  <c r="G1405" i="67"/>
  <c r="F1406" i="67"/>
  <c r="G1406" i="67"/>
  <c r="F1407" i="67"/>
  <c r="G1407" i="67"/>
  <c r="F1408" i="67"/>
  <c r="G1408" i="67"/>
  <c r="F1409" i="67"/>
  <c r="G1409" i="67"/>
  <c r="F1410" i="67"/>
  <c r="G1410" i="67"/>
  <c r="E1411" i="67"/>
  <c r="E1412" i="67" s="1"/>
  <c r="E1413" i="67" s="1"/>
  <c r="E1414" i="67" s="1"/>
  <c r="E1415" i="67" s="1"/>
  <c r="E1416" i="67" s="1"/>
  <c r="E1417" i="67" s="1"/>
  <c r="E1418" i="67" s="1"/>
  <c r="E1419" i="67" s="1"/>
  <c r="E1420" i="67" s="1"/>
  <c r="E1421" i="67" s="1"/>
  <c r="E1422" i="67" s="1"/>
  <c r="E1423" i="67" s="1"/>
  <c r="E1424" i="67" s="1"/>
  <c r="E1425" i="67" s="1"/>
  <c r="E1426" i="67" s="1"/>
  <c r="E1427" i="67" s="1"/>
  <c r="E1428" i="67" s="1"/>
  <c r="F1411" i="67"/>
  <c r="G1411" i="67"/>
  <c r="F1412" i="67"/>
  <c r="G1412" i="67"/>
  <c r="J1412" i="67"/>
  <c r="J1414" i="67" s="1"/>
  <c r="J1415" i="67" s="1"/>
  <c r="J1416" i="67" s="1"/>
  <c r="J1417" i="67" s="1"/>
  <c r="J1418" i="67" s="1"/>
  <c r="J1419" i="67" s="1"/>
  <c r="J1420" i="67" s="1"/>
  <c r="J1421" i="67" s="1"/>
  <c r="J1422" i="67" s="1"/>
  <c r="J1423" i="67" s="1"/>
  <c r="J1424" i="67" s="1"/>
  <c r="J1425" i="67" s="1"/>
  <c r="J1426" i="67" s="1"/>
  <c r="J1427" i="67" s="1"/>
  <c r="J1428" i="67" s="1"/>
  <c r="F1413" i="67"/>
  <c r="G1413" i="67"/>
  <c r="F1414" i="67"/>
  <c r="G1414" i="67"/>
  <c r="F1415" i="67"/>
  <c r="G1415" i="67"/>
  <c r="F1416" i="67"/>
  <c r="G1416" i="67"/>
  <c r="F1417" i="67"/>
  <c r="G1417" i="67"/>
  <c r="F1418" i="67"/>
  <c r="G1418" i="67"/>
  <c r="F1419" i="67"/>
  <c r="G1419" i="67"/>
  <c r="F1420" i="67"/>
  <c r="G1420" i="67"/>
  <c r="F1421" i="67"/>
  <c r="G1421" i="67"/>
  <c r="F1422" i="67"/>
  <c r="G1422" i="67"/>
  <c r="F1423" i="67"/>
  <c r="G1423" i="67"/>
  <c r="F1424" i="67"/>
  <c r="G1424" i="67"/>
  <c r="F1425" i="67"/>
  <c r="G1425" i="67"/>
  <c r="F1426" i="67"/>
  <c r="G1426" i="67"/>
  <c r="F1427" i="67"/>
  <c r="G1427" i="67"/>
  <c r="F1428" i="67"/>
  <c r="G1428" i="67"/>
  <c r="D1429" i="67"/>
  <c r="D1430" i="67" s="1"/>
  <c r="D1431" i="67" s="1"/>
  <c r="D1432" i="67" s="1"/>
  <c r="D1433" i="67" s="1"/>
  <c r="D1434" i="67" s="1"/>
  <c r="D1435" i="67" s="1"/>
  <c r="D1436" i="67" s="1"/>
  <c r="D1437" i="67" s="1"/>
  <c r="D1438" i="67" s="1"/>
  <c r="D1439" i="67" s="1"/>
  <c r="D1440" i="67" s="1"/>
  <c r="D1441" i="67" s="1"/>
  <c r="D1442" i="67" s="1"/>
  <c r="D1443" i="67" s="1"/>
  <c r="D1444" i="67" s="1"/>
  <c r="D1445" i="67" s="1"/>
  <c r="D1446" i="67" s="1"/>
  <c r="D1447" i="67" s="1"/>
  <c r="D1448" i="67" s="1"/>
  <c r="D1449" i="67" s="1"/>
  <c r="D1450" i="67" s="1"/>
  <c r="E1429" i="67"/>
  <c r="E1430" i="67" s="1"/>
  <c r="E1431" i="67" s="1"/>
  <c r="E1432" i="67" s="1"/>
  <c r="E1433" i="67" s="1"/>
  <c r="E1434" i="67" s="1"/>
  <c r="E1435" i="67" s="1"/>
  <c r="E1436" i="67" s="1"/>
  <c r="E1437" i="67" s="1"/>
  <c r="E1438" i="67" s="1"/>
  <c r="E1439" i="67" s="1"/>
  <c r="E1440" i="67" s="1"/>
  <c r="E1441" i="67" s="1"/>
  <c r="E1442" i="67" s="1"/>
  <c r="E1443" i="67" s="1"/>
  <c r="E1444" i="67" s="1"/>
  <c r="F1429" i="67"/>
  <c r="F1430" i="67" s="1"/>
  <c r="F1431" i="67" s="1"/>
  <c r="G1429" i="67"/>
  <c r="G1430" i="67"/>
  <c r="I1430" i="67"/>
  <c r="I1431" i="67" s="1"/>
  <c r="I1432" i="67" s="1"/>
  <c r="I1433" i="67" s="1"/>
  <c r="I1434" i="67" s="1"/>
  <c r="I1435" i="67" s="1"/>
  <c r="I1436" i="67" s="1"/>
  <c r="I1437" i="67" s="1"/>
  <c r="I1438" i="67" s="1"/>
  <c r="I1439" i="67" s="1"/>
  <c r="I1440" i="67" s="1"/>
  <c r="I1441" i="67" s="1"/>
  <c r="I1442" i="67" s="1"/>
  <c r="I1443" i="67" s="1"/>
  <c r="I1444" i="67" s="1"/>
  <c r="J1430" i="67"/>
  <c r="J1431" i="67" s="1"/>
  <c r="J1432" i="67" s="1"/>
  <c r="J1433" i="67" s="1"/>
  <c r="J1434" i="67" s="1"/>
  <c r="J1435" i="67" s="1"/>
  <c r="J1436" i="67" s="1"/>
  <c r="J1437" i="67" s="1"/>
  <c r="J1438" i="67" s="1"/>
  <c r="J1439" i="67" s="1"/>
  <c r="J1440" i="67" s="1"/>
  <c r="J1441" i="67" s="1"/>
  <c r="J1442" i="67" s="1"/>
  <c r="J1443" i="67" s="1"/>
  <c r="J1444" i="67" s="1"/>
  <c r="G1431" i="67"/>
  <c r="G1432" i="67"/>
  <c r="F1433" i="67"/>
  <c r="F1449" i="67" s="1"/>
  <c r="G1433" i="67"/>
  <c r="G1434" i="67"/>
  <c r="G1435" i="67"/>
  <c r="G1436" i="67"/>
  <c r="G1437" i="67"/>
  <c r="F1438" i="67"/>
  <c r="F1439" i="67" s="1"/>
  <c r="F1440" i="67" s="1"/>
  <c r="G1438" i="67"/>
  <c r="G1439" i="67"/>
  <c r="G1440" i="67"/>
  <c r="F1441" i="67"/>
  <c r="G1441" i="67"/>
  <c r="F1442" i="67"/>
  <c r="F1443" i="67" s="1"/>
  <c r="G1442" i="67"/>
  <c r="G1443" i="67"/>
  <c r="F1444" i="67"/>
  <c r="G1444" i="67"/>
  <c r="E1445" i="67"/>
  <c r="E1446" i="67" s="1"/>
  <c r="E1447" i="67" s="1"/>
  <c r="E1448" i="67" s="1"/>
  <c r="E1449" i="67" s="1"/>
  <c r="E1450" i="67" s="1"/>
  <c r="G1445" i="67"/>
  <c r="G1446" i="67"/>
  <c r="I1446" i="67"/>
  <c r="I1447" i="67" s="1"/>
  <c r="I1448" i="67" s="1"/>
  <c r="I1449" i="67" s="1"/>
  <c r="I1450" i="67" s="1"/>
  <c r="J1446" i="67"/>
  <c r="J1447" i="67" s="1"/>
  <c r="J1448" i="67" s="1"/>
  <c r="J1449" i="67" s="1"/>
  <c r="J1450" i="67" s="1"/>
  <c r="G1447" i="67"/>
  <c r="G1448" i="67"/>
  <c r="G1449" i="67"/>
  <c r="G1450" i="67"/>
  <c r="AN214" i="65"/>
  <c r="AN215" i="65"/>
  <c r="AN216" i="65"/>
  <c r="AN213" i="65"/>
  <c r="AD214" i="65"/>
  <c r="AD215" i="65"/>
  <c r="AD216" i="65"/>
  <c r="AD213" i="65"/>
  <c r="T214" i="65"/>
  <c r="T215" i="65"/>
  <c r="T216" i="65"/>
  <c r="T213" i="65"/>
  <c r="B214" i="65"/>
  <c r="B215" i="65"/>
  <c r="B216" i="65"/>
  <c r="B213" i="65"/>
  <c r="C213" i="65" s="1"/>
  <c r="D213" i="65" s="1"/>
  <c r="E213" i="65" s="1"/>
  <c r="F213" i="65" s="1"/>
  <c r="G213" i="65" s="1"/>
  <c r="H213" i="65" s="1"/>
  <c r="I213" i="65" s="1"/>
  <c r="J213" i="65" s="1"/>
  <c r="AN196" i="65"/>
  <c r="AD196" i="65"/>
  <c r="T196" i="65"/>
  <c r="B196" i="65"/>
  <c r="C196" i="65" s="1"/>
  <c r="D196" i="65" s="1"/>
  <c r="E196" i="65" s="1"/>
  <c r="F196" i="65" s="1"/>
  <c r="G196" i="65" s="1"/>
  <c r="H196" i="65" s="1"/>
  <c r="I196" i="65" s="1"/>
  <c r="J196" i="65" s="1"/>
  <c r="AE213" i="65" l="1"/>
  <c r="AF213" i="65" s="1"/>
  <c r="AG213" i="65" s="1"/>
  <c r="AH213" i="65" s="1"/>
  <c r="AI213" i="65" s="1"/>
  <c r="AJ213" i="65" s="1"/>
  <c r="AK213" i="65" s="1"/>
  <c r="AL213" i="65" s="1"/>
  <c r="AM213" i="65" s="1"/>
  <c r="K213" i="65"/>
  <c r="L213" i="65" s="1"/>
  <c r="M213" i="65" s="1"/>
  <c r="N213" i="65" s="1"/>
  <c r="O213" i="65" s="1"/>
  <c r="P213" i="65" s="1"/>
  <c r="Q213" i="65" s="1"/>
  <c r="R213" i="65" s="1"/>
  <c r="S213" i="65" s="1"/>
  <c r="AF34" i="65"/>
  <c r="AG34" i="65"/>
  <c r="AK34" i="65"/>
  <c r="AH34" i="65"/>
  <c r="AL34" i="65"/>
  <c r="E204" i="65"/>
  <c r="D203" i="65"/>
  <c r="E202" i="65"/>
  <c r="AF204" i="65"/>
  <c r="V203" i="65"/>
  <c r="AF202" i="65"/>
  <c r="V202" i="65"/>
  <c r="AF62" i="65"/>
  <c r="AF65" i="65" s="1"/>
  <c r="AE65" i="65"/>
  <c r="V204" i="65"/>
  <c r="U35" i="65"/>
  <c r="AF203" i="65"/>
  <c r="E52" i="65"/>
  <c r="E57" i="65" s="1"/>
  <c r="AN56" i="65"/>
  <c r="AJ34" i="65"/>
  <c r="AE34" i="65"/>
  <c r="AD60" i="65"/>
  <c r="AF35" i="65"/>
  <c r="AG35" i="65"/>
  <c r="AJ33" i="65"/>
  <c r="AI35" i="65"/>
  <c r="AH35" i="65"/>
  <c r="W35" i="65"/>
  <c r="AE35" i="65"/>
  <c r="X35" i="65"/>
  <c r="Y35" i="65"/>
  <c r="AI34" i="65"/>
  <c r="H47" i="65"/>
  <c r="I47" i="65" s="1"/>
  <c r="I52" i="65" s="1"/>
  <c r="I57" i="65" s="1"/>
  <c r="G52" i="65"/>
  <c r="G57" i="65" s="1"/>
  <c r="M54" i="65"/>
  <c r="M59" i="65" s="1"/>
  <c r="AN60" i="65"/>
  <c r="F34" i="65"/>
  <c r="U54" i="65"/>
  <c r="U59" i="65" s="1"/>
  <c r="E34" i="65"/>
  <c r="AE54" i="65"/>
  <c r="AE59" i="65" s="1"/>
  <c r="AF54" i="65"/>
  <c r="AF59" i="65" s="1"/>
  <c r="L55" i="65"/>
  <c r="L60" i="65" s="1"/>
  <c r="AG51" i="65"/>
  <c r="AG56" i="65" s="1"/>
  <c r="AF51" i="65"/>
  <c r="AF56" i="65" s="1"/>
  <c r="AI51" i="65"/>
  <c r="AI56" i="65" s="1"/>
  <c r="L48" i="65"/>
  <c r="K53" i="65"/>
  <c r="K58" i="65" s="1"/>
  <c r="X48" i="65"/>
  <c r="W53" i="65"/>
  <c r="W58" i="65" s="1"/>
  <c r="AG47" i="65"/>
  <c r="AF52" i="65"/>
  <c r="AF57" i="65" s="1"/>
  <c r="AG55" i="65"/>
  <c r="AG60" i="65" s="1"/>
  <c r="AB55" i="65"/>
  <c r="AB60" i="65" s="1"/>
  <c r="AI55" i="65"/>
  <c r="AI60" i="65" s="1"/>
  <c r="AL55" i="65"/>
  <c r="AL60" i="65" s="1"/>
  <c r="V55" i="65"/>
  <c r="V60" i="65" s="1"/>
  <c r="W49" i="65"/>
  <c r="V54" i="65"/>
  <c r="V59" i="65" s="1"/>
  <c r="G33" i="65"/>
  <c r="F35" i="65"/>
  <c r="U52" i="65"/>
  <c r="U57" i="65" s="1"/>
  <c r="K54" i="65"/>
  <c r="K59" i="65" s="1"/>
  <c r="F52" i="65"/>
  <c r="F57" i="65" s="1"/>
  <c r="V52" i="65"/>
  <c r="V57" i="65" s="1"/>
  <c r="L54" i="65"/>
  <c r="L59" i="65" s="1"/>
  <c r="V53" i="65"/>
  <c r="V58" i="65" s="1"/>
  <c r="AG54" i="65"/>
  <c r="AG59" i="65" s="1"/>
  <c r="U55" i="65"/>
  <c r="U60" i="65" s="1"/>
  <c r="X55" i="65"/>
  <c r="X60" i="65" s="1"/>
  <c r="AE55" i="65"/>
  <c r="AE60" i="65" s="1"/>
  <c r="AH55" i="65"/>
  <c r="AH60" i="65" s="1"/>
  <c r="U51" i="65"/>
  <c r="U56" i="65" s="1"/>
  <c r="AE51" i="65"/>
  <c r="AE56" i="65" s="1"/>
  <c r="AA33" i="65"/>
  <c r="Z35" i="65"/>
  <c r="X32" i="65"/>
  <c r="W34" i="65"/>
  <c r="U34" i="65"/>
  <c r="U53" i="65"/>
  <c r="U58" i="65" s="1"/>
  <c r="V34" i="65"/>
  <c r="AE52" i="65"/>
  <c r="AE57" i="65" s="1"/>
  <c r="AK55" i="65"/>
  <c r="AK60" i="65" s="1"/>
  <c r="AJ55" i="65"/>
  <c r="AJ60" i="65" s="1"/>
  <c r="AA55" i="65"/>
  <c r="AA60" i="65" s="1"/>
  <c r="K55" i="65"/>
  <c r="K60" i="65" s="1"/>
  <c r="N55" i="65"/>
  <c r="N60" i="65" s="1"/>
  <c r="AK51" i="65"/>
  <c r="AK56" i="65" s="1"/>
  <c r="H51" i="65"/>
  <c r="H56" i="65" s="1"/>
  <c r="AL51" i="65"/>
  <c r="AL56" i="65" s="1"/>
  <c r="V51" i="65"/>
  <c r="V56" i="65" s="1"/>
  <c r="F51" i="65"/>
  <c r="F56" i="65" s="1"/>
  <c r="Y55" i="65"/>
  <c r="Y60" i="65" s="1"/>
  <c r="M55" i="65"/>
  <c r="M60" i="65" s="1"/>
  <c r="AF48" i="65"/>
  <c r="AE53" i="65"/>
  <c r="AE58" i="65" s="1"/>
  <c r="AI49" i="65"/>
  <c r="AH54" i="65"/>
  <c r="AH59" i="65" s="1"/>
  <c r="O49" i="65"/>
  <c r="N54" i="65"/>
  <c r="N59" i="65" s="1"/>
  <c r="H32" i="65"/>
  <c r="G34" i="65"/>
  <c r="D35" i="65"/>
  <c r="E35" i="65"/>
  <c r="D34" i="65"/>
  <c r="AF55" i="65"/>
  <c r="AM55" i="65"/>
  <c r="AM60" i="65" s="1"/>
  <c r="W55" i="65"/>
  <c r="W60" i="65" s="1"/>
  <c r="Z55" i="65"/>
  <c r="Z60" i="65" s="1"/>
  <c r="AJ51" i="65"/>
  <c r="AM51" i="65"/>
  <c r="AM56" i="65" s="1"/>
  <c r="W51" i="65"/>
  <c r="W56" i="65" s="1"/>
  <c r="G51" i="65"/>
  <c r="G56" i="65" s="1"/>
  <c r="AH51" i="65"/>
  <c r="AH56" i="65" s="1"/>
  <c r="AC55" i="65"/>
  <c r="AC60" i="65" s="1"/>
  <c r="AU353" i="67"/>
  <c r="AQ353" i="67"/>
  <c r="AM353" i="67"/>
  <c r="AI353" i="67"/>
  <c r="AE353" i="67"/>
  <c r="AA353" i="67"/>
  <c r="W353" i="67"/>
  <c r="S353" i="67"/>
  <c r="O353" i="67"/>
  <c r="K353" i="67"/>
  <c r="AU335" i="67"/>
  <c r="AQ335" i="67"/>
  <c r="AM335" i="67"/>
  <c r="AI335" i="67"/>
  <c r="AE335" i="67"/>
  <c r="AA335" i="67"/>
  <c r="W335" i="67"/>
  <c r="S335" i="67"/>
  <c r="O335" i="67"/>
  <c r="K335" i="67"/>
  <c r="AW321" i="67"/>
  <c r="AS321" i="67"/>
  <c r="AO321" i="67"/>
  <c r="AK321" i="67"/>
  <c r="AG321" i="67"/>
  <c r="AC321" i="67"/>
  <c r="Y321" i="67"/>
  <c r="U321" i="67"/>
  <c r="Q321" i="67"/>
  <c r="M321" i="67"/>
  <c r="AT353" i="67"/>
  <c r="AP353" i="67"/>
  <c r="AL353" i="67"/>
  <c r="AH353" i="67"/>
  <c r="AD353" i="67"/>
  <c r="Z353" i="67"/>
  <c r="V353" i="67"/>
  <c r="R353" i="67"/>
  <c r="N353" i="67"/>
  <c r="AT335" i="67"/>
  <c r="AP335" i="67"/>
  <c r="AL335" i="67"/>
  <c r="AH335" i="67"/>
  <c r="AD335" i="67"/>
  <c r="Z335" i="67"/>
  <c r="V335" i="67"/>
  <c r="R335" i="67"/>
  <c r="N335" i="67"/>
  <c r="AV321" i="67"/>
  <c r="AR321" i="67"/>
  <c r="AN321" i="67"/>
  <c r="AJ321" i="67"/>
  <c r="AF321" i="67"/>
  <c r="AB321" i="67"/>
  <c r="X321" i="67"/>
  <c r="T321" i="67"/>
  <c r="P321" i="67"/>
  <c r="L321" i="67"/>
  <c r="AW353" i="67"/>
  <c r="AS353" i="67"/>
  <c r="AO353" i="67"/>
  <c r="AK353" i="67"/>
  <c r="AG353" i="67"/>
  <c r="AC353" i="67"/>
  <c r="Y353" i="67"/>
  <c r="U353" i="67"/>
  <c r="Q353" i="67"/>
  <c r="M353" i="67"/>
  <c r="AW335" i="67"/>
  <c r="AS335" i="67"/>
  <c r="AO335" i="67"/>
  <c r="AK335" i="67"/>
  <c r="AG335" i="67"/>
  <c r="AC335" i="67"/>
  <c r="Y335" i="67"/>
  <c r="U335" i="67"/>
  <c r="Q335" i="67"/>
  <c r="M335" i="67"/>
  <c r="AU321" i="67"/>
  <c r="AQ321" i="67"/>
  <c r="AM321" i="67"/>
  <c r="AI321" i="67"/>
  <c r="AE321" i="67"/>
  <c r="AA321" i="67"/>
  <c r="W321" i="67"/>
  <c r="S321" i="67"/>
  <c r="O321" i="67"/>
  <c r="K321" i="67"/>
  <c r="AV353" i="67"/>
  <c r="AR353" i="67"/>
  <c r="AN353" i="67"/>
  <c r="AJ353" i="67"/>
  <c r="AF353" i="67"/>
  <c r="AB353" i="67"/>
  <c r="X353" i="67"/>
  <c r="T353" i="67"/>
  <c r="P353" i="67"/>
  <c r="L353" i="67"/>
  <c r="AV335" i="67"/>
  <c r="AR335" i="67"/>
  <c r="AN335" i="67"/>
  <c r="AJ335" i="67"/>
  <c r="AF335" i="67"/>
  <c r="AB335" i="67"/>
  <c r="X335" i="67"/>
  <c r="T335" i="67"/>
  <c r="P335" i="67"/>
  <c r="L335" i="67"/>
  <c r="AT321" i="67"/>
  <c r="AP321" i="67"/>
  <c r="AL321" i="67"/>
  <c r="AH321" i="67"/>
  <c r="AD321" i="67"/>
  <c r="Z321" i="67"/>
  <c r="V321" i="67"/>
  <c r="R321" i="67"/>
  <c r="N321" i="67"/>
  <c r="U213" i="65"/>
  <c r="V213" i="65" s="1"/>
  <c r="W213" i="65" s="1"/>
  <c r="X213" i="65" s="1"/>
  <c r="Y213" i="65" s="1"/>
  <c r="Z213" i="65" s="1"/>
  <c r="AA213" i="65" s="1"/>
  <c r="AB213" i="65" s="1"/>
  <c r="AC213" i="65" s="1"/>
  <c r="C63" i="65"/>
  <c r="D61" i="65"/>
  <c r="D62" i="65"/>
  <c r="D65" i="65" s="1"/>
  <c r="V62" i="65"/>
  <c r="V65" i="65" s="1"/>
  <c r="AE63" i="65"/>
  <c r="AF61" i="65"/>
  <c r="V61" i="65"/>
  <c r="U63" i="65"/>
  <c r="AG62" i="65"/>
  <c r="AG65" i="65" s="1"/>
  <c r="X56" i="65"/>
  <c r="AJ56" i="65"/>
  <c r="AF60" i="65"/>
  <c r="Y46" i="65"/>
  <c r="Y51" i="65" s="1"/>
  <c r="Y56" i="65" s="1"/>
  <c r="U196" i="65"/>
  <c r="V196" i="65" s="1"/>
  <c r="W196" i="65" s="1"/>
  <c r="X196" i="65" s="1"/>
  <c r="Y196" i="65" s="1"/>
  <c r="Z196" i="65" s="1"/>
  <c r="AA196" i="65" s="1"/>
  <c r="AB196" i="65" s="1"/>
  <c r="AC196" i="65" s="1"/>
  <c r="O60" i="65"/>
  <c r="J46" i="65"/>
  <c r="J51" i="65" s="1"/>
  <c r="J56" i="65" s="1"/>
  <c r="X47" i="65"/>
  <c r="X52" i="65" s="1"/>
  <c r="X57" i="65" s="1"/>
  <c r="P50" i="65"/>
  <c r="P55" i="65" s="1"/>
  <c r="P60" i="65" s="1"/>
  <c r="W57" i="65"/>
  <c r="I56" i="65"/>
  <c r="C216" i="65"/>
  <c r="U216" i="65"/>
  <c r="C215" i="65"/>
  <c r="AE215" i="65"/>
  <c r="AF215" i="65" s="1"/>
  <c r="AE196" i="65"/>
  <c r="AF196" i="65" s="1"/>
  <c r="AG196" i="65" s="1"/>
  <c r="AH196" i="65" s="1"/>
  <c r="AI196" i="65" s="1"/>
  <c r="AJ196" i="65" s="1"/>
  <c r="AK196" i="65" s="1"/>
  <c r="AL196" i="65" s="1"/>
  <c r="AM196" i="65" s="1"/>
  <c r="C214" i="65"/>
  <c r="U214" i="65"/>
  <c r="AE214" i="65"/>
  <c r="AF214" i="65" s="1"/>
  <c r="AE216" i="65"/>
  <c r="AQ657" i="67"/>
  <c r="AQ808" i="67"/>
  <c r="AE657" i="67"/>
  <c r="AE808" i="67"/>
  <c r="S657" i="67"/>
  <c r="S808" i="67"/>
  <c r="AS639" i="67"/>
  <c r="AS790" i="67"/>
  <c r="AG639" i="67"/>
  <c r="AG790" i="67"/>
  <c r="Q639" i="67"/>
  <c r="Q790" i="67"/>
  <c r="AU625" i="67"/>
  <c r="AU776" i="67"/>
  <c r="AI625" i="67"/>
  <c r="AI776" i="67"/>
  <c r="W625" i="67"/>
  <c r="W776" i="67"/>
  <c r="AU657" i="67"/>
  <c r="AU808" i="67"/>
  <c r="AA657" i="67"/>
  <c r="AA808" i="67"/>
  <c r="AO639" i="67"/>
  <c r="AO790" i="67"/>
  <c r="Y639" i="67"/>
  <c r="Y790" i="67"/>
  <c r="AE625" i="67"/>
  <c r="AE776" i="67"/>
  <c r="O625" i="67"/>
  <c r="O776" i="67"/>
  <c r="AT657" i="67"/>
  <c r="AT808" i="67"/>
  <c r="AP657" i="67"/>
  <c r="AP808" i="67"/>
  <c r="AL657" i="67"/>
  <c r="AL808" i="67"/>
  <c r="AH657" i="67"/>
  <c r="AH808" i="67"/>
  <c r="AD657" i="67"/>
  <c r="AD808" i="67"/>
  <c r="Z657" i="67"/>
  <c r="Z808" i="67"/>
  <c r="V657" i="67"/>
  <c r="V808" i="67"/>
  <c r="R657" i="67"/>
  <c r="R808" i="67"/>
  <c r="N657" i="67"/>
  <c r="N808" i="67"/>
  <c r="AV639" i="67"/>
  <c r="AV790" i="67"/>
  <c r="AR639" i="67"/>
  <c r="AR790" i="67"/>
  <c r="AN639" i="67"/>
  <c r="AN790" i="67"/>
  <c r="AJ639" i="67"/>
  <c r="AJ790" i="67"/>
  <c r="AF639" i="67"/>
  <c r="AF790" i="67"/>
  <c r="AB639" i="67"/>
  <c r="AB790" i="67"/>
  <c r="X639" i="67"/>
  <c r="X790" i="67"/>
  <c r="T639" i="67"/>
  <c r="T790" i="67"/>
  <c r="P639" i="67"/>
  <c r="P790" i="67"/>
  <c r="L639" i="67"/>
  <c r="L790" i="67"/>
  <c r="AT625" i="67"/>
  <c r="AT776" i="67"/>
  <c r="AP625" i="67"/>
  <c r="AP776" i="67"/>
  <c r="AL625" i="67"/>
  <c r="AL776" i="67"/>
  <c r="AH625" i="67"/>
  <c r="AH776" i="67"/>
  <c r="AD625" i="67"/>
  <c r="AD776" i="67"/>
  <c r="Z625" i="67"/>
  <c r="Z776" i="67"/>
  <c r="V625" i="67"/>
  <c r="V776" i="67"/>
  <c r="R625" i="67"/>
  <c r="R776" i="67"/>
  <c r="N625" i="67"/>
  <c r="N776" i="67"/>
  <c r="AM657" i="67"/>
  <c r="AM808" i="67"/>
  <c r="W657" i="67"/>
  <c r="W808" i="67"/>
  <c r="O657" i="67"/>
  <c r="O808" i="67"/>
  <c r="AW639" i="67"/>
  <c r="AW790" i="67"/>
  <c r="AK639" i="67"/>
  <c r="AK790" i="67"/>
  <c r="U639" i="67"/>
  <c r="U790" i="67"/>
  <c r="AQ625" i="67"/>
  <c r="AQ776" i="67"/>
  <c r="AA625" i="67"/>
  <c r="AA776" i="67"/>
  <c r="K625" i="67"/>
  <c r="K776" i="67"/>
  <c r="AW657" i="67"/>
  <c r="AW808" i="67"/>
  <c r="AS657" i="67"/>
  <c r="AS808" i="67"/>
  <c r="AO657" i="67"/>
  <c r="AO808" i="67"/>
  <c r="AK657" i="67"/>
  <c r="AK808" i="67"/>
  <c r="AG657" i="67"/>
  <c r="AG808" i="67"/>
  <c r="AC657" i="67"/>
  <c r="AC808" i="67"/>
  <c r="Y657" i="67"/>
  <c r="Y808" i="67"/>
  <c r="U657" i="67"/>
  <c r="U808" i="67"/>
  <c r="Q657" i="67"/>
  <c r="Q808" i="67"/>
  <c r="M657" i="67"/>
  <c r="M808" i="67"/>
  <c r="AU639" i="67"/>
  <c r="AU790" i="67"/>
  <c r="AQ639" i="67"/>
  <c r="AQ790" i="67"/>
  <c r="AM639" i="67"/>
  <c r="AM790" i="67"/>
  <c r="AI639" i="67"/>
  <c r="AI790" i="67"/>
  <c r="AE639" i="67"/>
  <c r="AE790" i="67"/>
  <c r="AA639" i="67"/>
  <c r="AA790" i="67"/>
  <c r="W639" i="67"/>
  <c r="W790" i="67"/>
  <c r="S639" i="67"/>
  <c r="S790" i="67"/>
  <c r="O639" i="67"/>
  <c r="O790" i="67"/>
  <c r="K639" i="67"/>
  <c r="K790" i="67"/>
  <c r="AW625" i="67"/>
  <c r="AW776" i="67"/>
  <c r="AS625" i="67"/>
  <c r="AS776" i="67"/>
  <c r="AO625" i="67"/>
  <c r="AO776" i="67"/>
  <c r="AK625" i="67"/>
  <c r="AK776" i="67"/>
  <c r="AG625" i="67"/>
  <c r="AG776" i="67"/>
  <c r="AC625" i="67"/>
  <c r="AC776" i="67"/>
  <c r="Y625" i="67"/>
  <c r="Y776" i="67"/>
  <c r="U625" i="67"/>
  <c r="U776" i="67"/>
  <c r="Q625" i="67"/>
  <c r="Q776" i="67"/>
  <c r="M625" i="67"/>
  <c r="M776" i="67"/>
  <c r="AI657" i="67"/>
  <c r="AI808" i="67"/>
  <c r="K657" i="67"/>
  <c r="K808" i="67"/>
  <c r="AC639" i="67"/>
  <c r="AC790" i="67"/>
  <c r="M639" i="67"/>
  <c r="M790" i="67"/>
  <c r="AM625" i="67"/>
  <c r="AM776" i="67"/>
  <c r="S625" i="67"/>
  <c r="S776" i="67"/>
  <c r="AV657" i="67"/>
  <c r="AV808" i="67"/>
  <c r="AR657" i="67"/>
  <c r="AR808" i="67"/>
  <c r="AN657" i="67"/>
  <c r="AN808" i="67"/>
  <c r="AJ657" i="67"/>
  <c r="AJ808" i="67"/>
  <c r="AF657" i="67"/>
  <c r="AF808" i="67"/>
  <c r="AB657" i="67"/>
  <c r="AB808" i="67"/>
  <c r="X657" i="67"/>
  <c r="X808" i="67"/>
  <c r="T657" i="67"/>
  <c r="T808" i="67"/>
  <c r="P657" i="67"/>
  <c r="P808" i="67"/>
  <c r="L657" i="67"/>
  <c r="L808" i="67"/>
  <c r="AT639" i="67"/>
  <c r="AT790" i="67"/>
  <c r="AP639" i="67"/>
  <c r="AP790" i="67"/>
  <c r="AL639" i="67"/>
  <c r="AL790" i="67"/>
  <c r="AH639" i="67"/>
  <c r="AH790" i="67"/>
  <c r="AD639" i="67"/>
  <c r="AD790" i="67"/>
  <c r="Z639" i="67"/>
  <c r="Z790" i="67"/>
  <c r="V639" i="67"/>
  <c r="V790" i="67"/>
  <c r="R639" i="67"/>
  <c r="R790" i="67"/>
  <c r="N639" i="67"/>
  <c r="N790" i="67"/>
  <c r="AV625" i="67"/>
  <c r="AV776" i="67"/>
  <c r="AR625" i="67"/>
  <c r="AR776" i="67"/>
  <c r="AN625" i="67"/>
  <c r="AN776" i="67"/>
  <c r="AJ625" i="67"/>
  <c r="AJ776" i="67"/>
  <c r="AF625" i="67"/>
  <c r="AF776" i="67"/>
  <c r="AB625" i="67"/>
  <c r="AB776" i="67"/>
  <c r="X625" i="67"/>
  <c r="X776" i="67"/>
  <c r="T625" i="67"/>
  <c r="T776" i="67"/>
  <c r="P625" i="67"/>
  <c r="P776" i="67"/>
  <c r="L625" i="67"/>
  <c r="L776" i="67"/>
  <c r="AM505" i="67"/>
  <c r="AA505" i="67"/>
  <c r="S505" i="67"/>
  <c r="AW487" i="67"/>
  <c r="AO487" i="67"/>
  <c r="AC487" i="67"/>
  <c r="U487" i="67"/>
  <c r="AU473" i="67"/>
  <c r="AI473" i="67"/>
  <c r="W473" i="67"/>
  <c r="K473" i="67"/>
  <c r="AT505" i="67"/>
  <c r="AP505" i="67"/>
  <c r="AL505" i="67"/>
  <c r="AH505" i="67"/>
  <c r="AD505" i="67"/>
  <c r="Z505" i="67"/>
  <c r="V505" i="67"/>
  <c r="R505" i="67"/>
  <c r="N505" i="67"/>
  <c r="AV487" i="67"/>
  <c r="AR487" i="67"/>
  <c r="AN487" i="67"/>
  <c r="AJ487" i="67"/>
  <c r="AF487" i="67"/>
  <c r="AB487" i="67"/>
  <c r="X487" i="67"/>
  <c r="T487" i="67"/>
  <c r="P487" i="67"/>
  <c r="L487" i="67"/>
  <c r="AT473" i="67"/>
  <c r="AP473" i="67"/>
  <c r="AL473" i="67"/>
  <c r="AH473" i="67"/>
  <c r="AD473" i="67"/>
  <c r="Z473" i="67"/>
  <c r="V473" i="67"/>
  <c r="R473" i="67"/>
  <c r="N473" i="67"/>
  <c r="AQ505" i="67"/>
  <c r="AI505" i="67"/>
  <c r="W505" i="67"/>
  <c r="O505" i="67"/>
  <c r="AS487" i="67"/>
  <c r="AK487" i="67"/>
  <c r="Y487" i="67"/>
  <c r="M487" i="67"/>
  <c r="AM473" i="67"/>
  <c r="AA473" i="67"/>
  <c r="O473" i="67"/>
  <c r="AO505" i="67"/>
  <c r="AG505" i="67"/>
  <c r="Y505" i="67"/>
  <c r="U505" i="67"/>
  <c r="Q505" i="67"/>
  <c r="M505" i="67"/>
  <c r="AU487" i="67"/>
  <c r="AQ487" i="67"/>
  <c r="AM487" i="67"/>
  <c r="AI487" i="67"/>
  <c r="AE487" i="67"/>
  <c r="AA487" i="67"/>
  <c r="W487" i="67"/>
  <c r="S487" i="67"/>
  <c r="O487" i="67"/>
  <c r="K487" i="67"/>
  <c r="AW473" i="67"/>
  <c r="AS473" i="67"/>
  <c r="AO473" i="67"/>
  <c r="AK473" i="67"/>
  <c r="AG473" i="67"/>
  <c r="AC473" i="67"/>
  <c r="Y473" i="67"/>
  <c r="U473" i="67"/>
  <c r="Q473" i="67"/>
  <c r="M473" i="67"/>
  <c r="AU505" i="67"/>
  <c r="AE505" i="67"/>
  <c r="K505" i="67"/>
  <c r="AG487" i="67"/>
  <c r="Q487" i="67"/>
  <c r="AQ473" i="67"/>
  <c r="AE473" i="67"/>
  <c r="S473" i="67"/>
  <c r="AW505" i="67"/>
  <c r="AS505" i="67"/>
  <c r="AK505" i="67"/>
  <c r="AC505" i="67"/>
  <c r="AV505" i="67"/>
  <c r="AR505" i="67"/>
  <c r="AN505" i="67"/>
  <c r="AJ505" i="67"/>
  <c r="AF505" i="67"/>
  <c r="AB505" i="67"/>
  <c r="X505" i="67"/>
  <c r="T505" i="67"/>
  <c r="P505" i="67"/>
  <c r="L505" i="67"/>
  <c r="AT487" i="67"/>
  <c r="AP487" i="67"/>
  <c r="AL487" i="67"/>
  <c r="AH487" i="67"/>
  <c r="AD487" i="67"/>
  <c r="Z487" i="67"/>
  <c r="V487" i="67"/>
  <c r="R487" i="67"/>
  <c r="N487" i="67"/>
  <c r="AV473" i="67"/>
  <c r="AR473" i="67"/>
  <c r="AN473" i="67"/>
  <c r="AJ473" i="67"/>
  <c r="AF473" i="67"/>
  <c r="AB473" i="67"/>
  <c r="X473" i="67"/>
  <c r="T473" i="67"/>
  <c r="P473" i="67"/>
  <c r="L473" i="67"/>
  <c r="AI47" i="67"/>
  <c r="AI200" i="67"/>
  <c r="W47" i="67"/>
  <c r="W200" i="67"/>
  <c r="K47" i="67"/>
  <c r="K200" i="67"/>
  <c r="AW29" i="67"/>
  <c r="AW182" i="67"/>
  <c r="AO29" i="67"/>
  <c r="AO182" i="67"/>
  <c r="AG29" i="67"/>
  <c r="AG182" i="67"/>
  <c r="Y29" i="67"/>
  <c r="Y182" i="67"/>
  <c r="Q29" i="67"/>
  <c r="Q182" i="67"/>
  <c r="AQ15" i="67"/>
  <c r="AQ1231" i="67" s="1"/>
  <c r="AQ168" i="67"/>
  <c r="AI15" i="67"/>
  <c r="AI168" i="67"/>
  <c r="W15" i="67"/>
  <c r="W1231" i="67" s="1"/>
  <c r="W168" i="67"/>
  <c r="O15" i="67"/>
  <c r="O168" i="67"/>
  <c r="AT47" i="67"/>
  <c r="AT200" i="67"/>
  <c r="AD47" i="67"/>
  <c r="AD1263" i="67" s="1"/>
  <c r="AD200" i="67"/>
  <c r="R47" i="67"/>
  <c r="R200" i="67"/>
  <c r="AJ29" i="67"/>
  <c r="AJ1245" i="67" s="1"/>
  <c r="AJ182" i="67"/>
  <c r="T29" i="67"/>
  <c r="T1245" i="67" s="1"/>
  <c r="T182" i="67"/>
  <c r="L29" i="67"/>
  <c r="L1245" i="67" s="1"/>
  <c r="L182" i="67"/>
  <c r="AT15" i="67"/>
  <c r="AT1231" i="67" s="1"/>
  <c r="AT168" i="67"/>
  <c r="AL15" i="67"/>
  <c r="AL1231" i="67" s="1"/>
  <c r="AL168" i="67"/>
  <c r="AD15" i="67"/>
  <c r="AD1231" i="67" s="1"/>
  <c r="AD168" i="67"/>
  <c r="V15" i="67"/>
  <c r="V1231" i="67" s="1"/>
  <c r="V168" i="67"/>
  <c r="N15" i="67"/>
  <c r="N1231" i="67" s="1"/>
  <c r="N168" i="67"/>
  <c r="AW47" i="67"/>
  <c r="AW200" i="67"/>
  <c r="AS47" i="67"/>
  <c r="AS1263" i="67" s="1"/>
  <c r="AS200" i="67"/>
  <c r="AO47" i="67"/>
  <c r="AO1263" i="67" s="1"/>
  <c r="AO200" i="67"/>
  <c r="AK47" i="67"/>
  <c r="AK1263" i="67" s="1"/>
  <c r="AK200" i="67"/>
  <c r="AG47" i="67"/>
  <c r="AG1263" i="67" s="1"/>
  <c r="AG200" i="67"/>
  <c r="AC47" i="67"/>
  <c r="AC1263" i="67" s="1"/>
  <c r="AC200" i="67"/>
  <c r="Y47" i="67"/>
  <c r="Y1263" i="67" s="1"/>
  <c r="Y200" i="67"/>
  <c r="U47" i="67"/>
  <c r="U1263" i="67" s="1"/>
  <c r="U200" i="67"/>
  <c r="Q47" i="67"/>
  <c r="Q1263" i="67" s="1"/>
  <c r="Q200" i="67"/>
  <c r="M47" i="67"/>
  <c r="M1263" i="67" s="1"/>
  <c r="M200" i="67"/>
  <c r="AU29" i="67"/>
  <c r="AU1245" i="67" s="1"/>
  <c r="AU182" i="67"/>
  <c r="AQ29" i="67"/>
  <c r="AQ1245" i="67" s="1"/>
  <c r="AQ182" i="67"/>
  <c r="AM29" i="67"/>
  <c r="AM1245" i="67" s="1"/>
  <c r="AM182" i="67"/>
  <c r="AI29" i="67"/>
  <c r="AI1245" i="67" s="1"/>
  <c r="AI182" i="67"/>
  <c r="AE29" i="67"/>
  <c r="AE1245" i="67" s="1"/>
  <c r="AE182" i="67"/>
  <c r="AA29" i="67"/>
  <c r="AA1245" i="67" s="1"/>
  <c r="AA182" i="67"/>
  <c r="W29" i="67"/>
  <c r="W1245" i="67" s="1"/>
  <c r="W182" i="67"/>
  <c r="S29" i="67"/>
  <c r="S1245" i="67" s="1"/>
  <c r="S182" i="67"/>
  <c r="O29" i="67"/>
  <c r="O1245" i="67" s="1"/>
  <c r="O182" i="67"/>
  <c r="K29" i="67"/>
  <c r="K1245" i="67" s="1"/>
  <c r="K182" i="67"/>
  <c r="AW15" i="67"/>
  <c r="AW1231" i="67" s="1"/>
  <c r="AW168" i="67"/>
  <c r="AS15" i="67"/>
  <c r="AS1231" i="67" s="1"/>
  <c r="AS168" i="67"/>
  <c r="AO15" i="67"/>
  <c r="AO1231" i="67" s="1"/>
  <c r="AO168" i="67"/>
  <c r="AK15" i="67"/>
  <c r="AK1231" i="67" s="1"/>
  <c r="AK168" i="67"/>
  <c r="AG15" i="67"/>
  <c r="AG1231" i="67" s="1"/>
  <c r="AG168" i="67"/>
  <c r="AC15" i="67"/>
  <c r="AC1231" i="67" s="1"/>
  <c r="AC168" i="67"/>
  <c r="Y15" i="67"/>
  <c r="Y1231" i="67" s="1"/>
  <c r="Y168" i="67"/>
  <c r="U15" i="67"/>
  <c r="U1231" i="67" s="1"/>
  <c r="U168" i="67"/>
  <c r="Q15" i="67"/>
  <c r="Q1231" i="67" s="1"/>
  <c r="Q168" i="67"/>
  <c r="M15" i="67"/>
  <c r="M1231" i="67" s="1"/>
  <c r="M168" i="67"/>
  <c r="AU47" i="67"/>
  <c r="AU1263" i="67" s="1"/>
  <c r="AU200" i="67"/>
  <c r="AQ47" i="67"/>
  <c r="AQ1263" i="67" s="1"/>
  <c r="AQ200" i="67"/>
  <c r="AM47" i="67"/>
  <c r="AM1263" i="67" s="1"/>
  <c r="AM200" i="67"/>
  <c r="AE47" i="67"/>
  <c r="AE1263" i="67" s="1"/>
  <c r="AE200" i="67"/>
  <c r="AA47" i="67"/>
  <c r="AA1263" i="67" s="1"/>
  <c r="AA200" i="67"/>
  <c r="S47" i="67"/>
  <c r="S1263" i="67" s="1"/>
  <c r="S200" i="67"/>
  <c r="O47" i="67"/>
  <c r="O1263" i="67" s="1"/>
  <c r="O200" i="67"/>
  <c r="AS29" i="67"/>
  <c r="AS1245" i="67" s="1"/>
  <c r="AS182" i="67"/>
  <c r="AK29" i="67"/>
  <c r="AK1245" i="67" s="1"/>
  <c r="AK182" i="67"/>
  <c r="AC29" i="67"/>
  <c r="AC1245" i="67" s="1"/>
  <c r="AC182" i="67"/>
  <c r="U29" i="67"/>
  <c r="U1245" i="67" s="1"/>
  <c r="U182" i="67"/>
  <c r="M29" i="67"/>
  <c r="M1245" i="67" s="1"/>
  <c r="M182" i="67"/>
  <c r="AU15" i="67"/>
  <c r="AU1231" i="67" s="1"/>
  <c r="AU168" i="67"/>
  <c r="AM15" i="67"/>
  <c r="AM1231" i="67" s="1"/>
  <c r="AM168" i="67"/>
  <c r="AE15" i="67"/>
  <c r="AE1231" i="67" s="1"/>
  <c r="AE168" i="67"/>
  <c r="AA15" i="67"/>
  <c r="AA1231" i="67" s="1"/>
  <c r="AA168" i="67"/>
  <c r="S15" i="67"/>
  <c r="S1231" i="67" s="1"/>
  <c r="S168" i="67"/>
  <c r="K15" i="67"/>
  <c r="K1231" i="67" s="1"/>
  <c r="K168" i="67"/>
  <c r="AP47" i="67"/>
  <c r="AP1263" i="67" s="1"/>
  <c r="AP200" i="67"/>
  <c r="AL47" i="67"/>
  <c r="AL1263" i="67" s="1"/>
  <c r="AL200" i="67"/>
  <c r="AH47" i="67"/>
  <c r="AH1263" i="67" s="1"/>
  <c r="AH200" i="67"/>
  <c r="Z47" i="67"/>
  <c r="Z1263" i="67" s="1"/>
  <c r="Z200" i="67"/>
  <c r="V47" i="67"/>
  <c r="V1263" i="67" s="1"/>
  <c r="V200" i="67"/>
  <c r="N47" i="67"/>
  <c r="N1263" i="67" s="1"/>
  <c r="N200" i="67"/>
  <c r="AV29" i="67"/>
  <c r="AV1245" i="67" s="1"/>
  <c r="AV182" i="67"/>
  <c r="AR29" i="67"/>
  <c r="AR1245" i="67" s="1"/>
  <c r="AR182" i="67"/>
  <c r="AN29" i="67"/>
  <c r="AN1245" i="67" s="1"/>
  <c r="AN182" i="67"/>
  <c r="AF29" i="67"/>
  <c r="AF1245" i="67" s="1"/>
  <c r="AF182" i="67"/>
  <c r="AB29" i="67"/>
  <c r="AB1245" i="67" s="1"/>
  <c r="AB182" i="67"/>
  <c r="X29" i="67"/>
  <c r="X1245" i="67" s="1"/>
  <c r="X182" i="67"/>
  <c r="P29" i="67"/>
  <c r="P1245" i="67" s="1"/>
  <c r="P182" i="67"/>
  <c r="AP15" i="67"/>
  <c r="AP1231" i="67" s="1"/>
  <c r="AP168" i="67"/>
  <c r="AH15" i="67"/>
  <c r="AH1231" i="67" s="1"/>
  <c r="AH168" i="67"/>
  <c r="Z15" i="67"/>
  <c r="Z1231" i="67" s="1"/>
  <c r="Z168" i="67"/>
  <c r="R15" i="67"/>
  <c r="R1231" i="67" s="1"/>
  <c r="R168" i="67"/>
  <c r="AV47" i="67"/>
  <c r="AV1263" i="67" s="1"/>
  <c r="AV200" i="67"/>
  <c r="AR47" i="67"/>
  <c r="AR1263" i="67" s="1"/>
  <c r="AR200" i="67"/>
  <c r="AN47" i="67"/>
  <c r="AN1263" i="67" s="1"/>
  <c r="AN200" i="67"/>
  <c r="AJ47" i="67"/>
  <c r="AJ1263" i="67" s="1"/>
  <c r="AJ200" i="67"/>
  <c r="AF47" i="67"/>
  <c r="AF1263" i="67" s="1"/>
  <c r="AF200" i="67"/>
  <c r="AB47" i="67"/>
  <c r="AB1263" i="67" s="1"/>
  <c r="AB200" i="67"/>
  <c r="X47" i="67"/>
  <c r="X1263" i="67" s="1"/>
  <c r="X200" i="67"/>
  <c r="T47" i="67"/>
  <c r="T1263" i="67" s="1"/>
  <c r="T200" i="67"/>
  <c r="P47" i="67"/>
  <c r="P1263" i="67" s="1"/>
  <c r="P200" i="67"/>
  <c r="L47" i="67"/>
  <c r="L1263" i="67" s="1"/>
  <c r="L200" i="67"/>
  <c r="AT29" i="67"/>
  <c r="AT1245" i="67" s="1"/>
  <c r="AT182" i="67"/>
  <c r="AP29" i="67"/>
  <c r="AP1245" i="67" s="1"/>
  <c r="AP182" i="67"/>
  <c r="AL29" i="67"/>
  <c r="AL1245" i="67" s="1"/>
  <c r="AL182" i="67"/>
  <c r="AH29" i="67"/>
  <c r="AH1245" i="67" s="1"/>
  <c r="AH182" i="67"/>
  <c r="AD29" i="67"/>
  <c r="AD1245" i="67" s="1"/>
  <c r="AD182" i="67"/>
  <c r="Z29" i="67"/>
  <c r="Z1245" i="67" s="1"/>
  <c r="Z182" i="67"/>
  <c r="V29" i="67"/>
  <c r="V1245" i="67" s="1"/>
  <c r="V182" i="67"/>
  <c r="R29" i="67"/>
  <c r="R1245" i="67" s="1"/>
  <c r="R182" i="67"/>
  <c r="N29" i="67"/>
  <c r="N1245" i="67" s="1"/>
  <c r="N182" i="67"/>
  <c r="AV15" i="67"/>
  <c r="AV1231" i="67" s="1"/>
  <c r="AV168" i="67"/>
  <c r="AR15" i="67"/>
  <c r="AR1231" i="67" s="1"/>
  <c r="AR168" i="67"/>
  <c r="AN15" i="67"/>
  <c r="AN1231" i="67" s="1"/>
  <c r="AN168" i="67"/>
  <c r="AJ15" i="67"/>
  <c r="AJ1231" i="67" s="1"/>
  <c r="AJ168" i="67"/>
  <c r="AF15" i="67"/>
  <c r="AF1231" i="67" s="1"/>
  <c r="AF168" i="67"/>
  <c r="AB15" i="67"/>
  <c r="AB1231" i="67" s="1"/>
  <c r="AB168" i="67"/>
  <c r="X15" i="67"/>
  <c r="X1231" i="67" s="1"/>
  <c r="X168" i="67"/>
  <c r="T15" i="67"/>
  <c r="T1231" i="67" s="1"/>
  <c r="T168" i="67"/>
  <c r="P15" i="67"/>
  <c r="P1231" i="67" s="1"/>
  <c r="P168" i="67"/>
  <c r="L15" i="67"/>
  <c r="L1231" i="67" s="1"/>
  <c r="L168" i="67"/>
  <c r="J1381" i="67"/>
  <c r="I1381" i="67"/>
  <c r="U215" i="65"/>
  <c r="K196" i="65"/>
  <c r="L196" i="65" s="1"/>
  <c r="M196" i="65" s="1"/>
  <c r="N196" i="65" s="1"/>
  <c r="O196" i="65" s="1"/>
  <c r="P196" i="65" s="1"/>
  <c r="Q196" i="65" s="1"/>
  <c r="R196" i="65" s="1"/>
  <c r="S196" i="65" s="1"/>
  <c r="F1445" i="67"/>
  <c r="F1434" i="67"/>
  <c r="F1432" i="67"/>
  <c r="F1448" i="67" s="1"/>
  <c r="F1447" i="67"/>
  <c r="F1446" i="67"/>
  <c r="J1413" i="67"/>
  <c r="I1396" i="67"/>
  <c r="I1397" i="67" s="1"/>
  <c r="I1398" i="67" s="1"/>
  <c r="I1399" i="67" s="1"/>
  <c r="I1400" i="67" s="1"/>
  <c r="I1401" i="67" s="1"/>
  <c r="I1402" i="67" s="1"/>
  <c r="I1403" i="67" s="1"/>
  <c r="I1404" i="67" s="1"/>
  <c r="I1405" i="67" s="1"/>
  <c r="I1406" i="67" s="1"/>
  <c r="I1407" i="67" s="1"/>
  <c r="I1408" i="67" s="1"/>
  <c r="I1409" i="67" s="1"/>
  <c r="I1410" i="67" s="1"/>
  <c r="I1395" i="67"/>
  <c r="J1396" i="67"/>
  <c r="J1397" i="67" s="1"/>
  <c r="J1398" i="67" s="1"/>
  <c r="J1399" i="67" s="1"/>
  <c r="J1400" i="67" s="1"/>
  <c r="J1401" i="67" s="1"/>
  <c r="J1402" i="67" s="1"/>
  <c r="J1403" i="67" s="1"/>
  <c r="J1404" i="67" s="1"/>
  <c r="J1405" i="67" s="1"/>
  <c r="J1406" i="67" s="1"/>
  <c r="J1407" i="67" s="1"/>
  <c r="J1408" i="67" s="1"/>
  <c r="J1409" i="67" s="1"/>
  <c r="J1410" i="67" s="1"/>
  <c r="J1395" i="67"/>
  <c r="H1324" i="67"/>
  <c r="F1325" i="67"/>
  <c r="H1325" i="67" s="1"/>
  <c r="H1396" i="67"/>
  <c r="H1397" i="67" s="1"/>
  <c r="H1398" i="67" s="1"/>
  <c r="H1399" i="67" s="1"/>
  <c r="H1400" i="67" s="1"/>
  <c r="H1401" i="67" s="1"/>
  <c r="H1402" i="67" s="1"/>
  <c r="H1403" i="67" s="1"/>
  <c r="H1404" i="67" s="1"/>
  <c r="H1405" i="67" s="1"/>
  <c r="H1406" i="67" s="1"/>
  <c r="H1407" i="67" s="1"/>
  <c r="H1408" i="67" s="1"/>
  <c r="H1409" i="67" s="1"/>
  <c r="H1410" i="67" s="1"/>
  <c r="H1411" i="67" s="1"/>
  <c r="H1412" i="67" s="1"/>
  <c r="H1382" i="67"/>
  <c r="H1383" i="67" s="1"/>
  <c r="H1384" i="67" s="1"/>
  <c r="H1385" i="67" s="1"/>
  <c r="H1386" i="67" s="1"/>
  <c r="H1387" i="67" s="1"/>
  <c r="H1388" i="67" s="1"/>
  <c r="H1389" i="67" s="1"/>
  <c r="H1390" i="67" s="1"/>
  <c r="H1391" i="67" s="1"/>
  <c r="H1392" i="67" s="1"/>
  <c r="AI1231" i="67" l="1"/>
  <c r="Y1245" i="67"/>
  <c r="Q1245" i="67"/>
  <c r="AG1245" i="67"/>
  <c r="R1263" i="67"/>
  <c r="AT1263" i="67"/>
  <c r="O1231" i="67"/>
  <c r="AO1245" i="67"/>
  <c r="W1263" i="67"/>
  <c r="AW1263" i="67"/>
  <c r="AW1245" i="67"/>
  <c r="K1263" i="67"/>
  <c r="AI1263" i="67"/>
  <c r="E203" i="65"/>
  <c r="F202" i="65"/>
  <c r="F204" i="65"/>
  <c r="AG204" i="65"/>
  <c r="W203" i="65"/>
  <c r="AG202" i="65"/>
  <c r="W202" i="65"/>
  <c r="AG203" i="65"/>
  <c r="W204" i="65"/>
  <c r="H52" i="65"/>
  <c r="H57" i="65" s="1"/>
  <c r="AK33" i="65"/>
  <c r="AJ35" i="65"/>
  <c r="J47" i="65"/>
  <c r="J52" i="65" s="1"/>
  <c r="J57" i="65" s="1"/>
  <c r="X49" i="65"/>
  <c r="W54" i="65"/>
  <c r="W59" i="65" s="1"/>
  <c r="P49" i="65"/>
  <c r="O54" i="65"/>
  <c r="O59" i="65" s="1"/>
  <c r="Y32" i="65"/>
  <c r="X34" i="65"/>
  <c r="Y48" i="65"/>
  <c r="X53" i="65"/>
  <c r="X58" i="65" s="1"/>
  <c r="H33" i="65"/>
  <c r="G35" i="65"/>
  <c r="I32" i="65"/>
  <c r="H34" i="65"/>
  <c r="AJ49" i="65"/>
  <c r="AI54" i="65"/>
  <c r="AI59" i="65" s="1"/>
  <c r="AG48" i="65"/>
  <c r="AF53" i="65"/>
  <c r="AF58" i="65" s="1"/>
  <c r="AB33" i="65"/>
  <c r="AA35" i="65"/>
  <c r="AH47" i="65"/>
  <c r="AG52" i="65"/>
  <c r="AG57" i="65" s="1"/>
  <c r="M48" i="65"/>
  <c r="L53" i="65"/>
  <c r="L58" i="65" s="1"/>
  <c r="D63" i="65"/>
  <c r="E61" i="65"/>
  <c r="AH62" i="65"/>
  <c r="AH65" i="65" s="1"/>
  <c r="V63" i="65"/>
  <c r="W61" i="65"/>
  <c r="AG61" i="65"/>
  <c r="AF63" i="65"/>
  <c r="E62" i="65"/>
  <c r="E65" i="65" s="1"/>
  <c r="W62" i="65"/>
  <c r="W65" i="65" s="1"/>
  <c r="Z46" i="65"/>
  <c r="Z51" i="65" s="1"/>
  <c r="Z56" i="65" s="1"/>
  <c r="K46" i="65"/>
  <c r="K51" i="65" s="1"/>
  <c r="K56" i="65" s="1"/>
  <c r="Q50" i="65"/>
  <c r="Q55" i="65" s="1"/>
  <c r="Q60" i="65" s="1"/>
  <c r="Y47" i="65"/>
  <c r="Y52" i="65" s="1"/>
  <c r="Y57" i="65" s="1"/>
  <c r="V216" i="65"/>
  <c r="V214" i="65"/>
  <c r="V215" i="65"/>
  <c r="D214" i="65"/>
  <c r="D215" i="65"/>
  <c r="D216" i="65"/>
  <c r="AF216" i="65"/>
  <c r="AG215" i="65"/>
  <c r="AG214" i="65"/>
  <c r="F1435" i="67"/>
  <c r="F1436" i="67" s="1"/>
  <c r="F1437" i="67" s="1"/>
  <c r="F1450" i="67"/>
  <c r="H1413" i="67"/>
  <c r="H1414" i="67"/>
  <c r="H1415" i="67" s="1"/>
  <c r="H1416" i="67" s="1"/>
  <c r="H1417" i="67" s="1"/>
  <c r="H1418" i="67" s="1"/>
  <c r="H1419" i="67" s="1"/>
  <c r="H1420" i="67" s="1"/>
  <c r="H1421" i="67" s="1"/>
  <c r="H1422" i="67" s="1"/>
  <c r="H1423" i="67" s="1"/>
  <c r="H1424" i="67" s="1"/>
  <c r="H1425" i="67" s="1"/>
  <c r="H1426" i="67" s="1"/>
  <c r="H1427" i="67" s="1"/>
  <c r="H1428" i="67" s="1"/>
  <c r="G202" i="65" l="1"/>
  <c r="G204" i="65"/>
  <c r="F203" i="65"/>
  <c r="AH204" i="65"/>
  <c r="X203" i="65"/>
  <c r="AH202" i="65"/>
  <c r="X202" i="65"/>
  <c r="X204" i="65"/>
  <c r="AH203" i="65"/>
  <c r="K47" i="65"/>
  <c r="K52" i="65" s="1"/>
  <c r="K57" i="65" s="1"/>
  <c r="AL33" i="65"/>
  <c r="AK35" i="65"/>
  <c r="AI47" i="65"/>
  <c r="AH52" i="65"/>
  <c r="AH57" i="65" s="1"/>
  <c r="AH48" i="65"/>
  <c r="AG53" i="65"/>
  <c r="AG58" i="65" s="1"/>
  <c r="J32" i="65"/>
  <c r="I34" i="65"/>
  <c r="Z48" i="65"/>
  <c r="Y53" i="65"/>
  <c r="Y58" i="65" s="1"/>
  <c r="Q49" i="65"/>
  <c r="P54" i="65"/>
  <c r="P59" i="65" s="1"/>
  <c r="N48" i="65"/>
  <c r="M53" i="65"/>
  <c r="M58" i="65" s="1"/>
  <c r="AC33" i="65"/>
  <c r="AC35" i="65" s="1"/>
  <c r="AB35" i="65"/>
  <c r="AK49" i="65"/>
  <c r="AJ54" i="65"/>
  <c r="AJ59" i="65" s="1"/>
  <c r="I33" i="65"/>
  <c r="H35" i="65"/>
  <c r="Z32" i="65"/>
  <c r="Y34" i="65"/>
  <c r="Y49" i="65"/>
  <c r="X54" i="65"/>
  <c r="X59" i="65" s="1"/>
  <c r="E63" i="65"/>
  <c r="F61" i="65"/>
  <c r="X62" i="65"/>
  <c r="X65" i="65" s="1"/>
  <c r="F62" i="65"/>
  <c r="F65" i="65" s="1"/>
  <c r="X61" i="65"/>
  <c r="W63" i="65"/>
  <c r="AH61" i="65"/>
  <c r="AG63" i="65"/>
  <c r="AI62" i="65"/>
  <c r="AI65" i="65" s="1"/>
  <c r="AA46" i="65"/>
  <c r="AA51" i="65" s="1"/>
  <c r="AA56" i="65" s="1"/>
  <c r="Z47" i="65"/>
  <c r="Z52" i="65" s="1"/>
  <c r="Z57" i="65" s="1"/>
  <c r="R50" i="65"/>
  <c r="R55" i="65" s="1"/>
  <c r="R60" i="65" s="1"/>
  <c r="L46" i="65"/>
  <c r="L51" i="65" s="1"/>
  <c r="L56" i="65" s="1"/>
  <c r="E215" i="65"/>
  <c r="E216" i="65"/>
  <c r="E214" i="65"/>
  <c r="W214" i="65"/>
  <c r="W215" i="65"/>
  <c r="W216" i="65"/>
  <c r="AG216" i="65"/>
  <c r="AH215" i="65"/>
  <c r="AH214" i="65"/>
  <c r="H204" i="65" l="1"/>
  <c r="G203" i="65"/>
  <c r="H202" i="65"/>
  <c r="AI204" i="65"/>
  <c r="Y203" i="65"/>
  <c r="AI202" i="65"/>
  <c r="Y202" i="65"/>
  <c r="AI203" i="65"/>
  <c r="L47" i="65"/>
  <c r="L52" i="65" s="1"/>
  <c r="L57" i="65" s="1"/>
  <c r="Y204" i="65"/>
  <c r="AM33" i="65"/>
  <c r="AM35" i="65" s="1"/>
  <c r="AL35" i="65"/>
  <c r="AA32" i="65"/>
  <c r="Z34" i="65"/>
  <c r="AL49" i="65"/>
  <c r="AK54" i="65"/>
  <c r="AK59" i="65" s="1"/>
  <c r="O48" i="65"/>
  <c r="N53" i="65"/>
  <c r="N58" i="65" s="1"/>
  <c r="AA48" i="65"/>
  <c r="Z53" i="65"/>
  <c r="Z58" i="65" s="1"/>
  <c r="AI48" i="65"/>
  <c r="AH53" i="65"/>
  <c r="AH58" i="65" s="1"/>
  <c r="Z49" i="65"/>
  <c r="Y54" i="65"/>
  <c r="Y59" i="65" s="1"/>
  <c r="J33" i="65"/>
  <c r="I35" i="65"/>
  <c r="R49" i="65"/>
  <c r="Q54" i="65"/>
  <c r="Q59" i="65" s="1"/>
  <c r="K32" i="65"/>
  <c r="J34" i="65"/>
  <c r="AJ47" i="65"/>
  <c r="AI52" i="65"/>
  <c r="AI57" i="65" s="1"/>
  <c r="G61" i="65"/>
  <c r="F63" i="65"/>
  <c r="AJ62" i="65"/>
  <c r="AJ65" i="65" s="1"/>
  <c r="G62" i="65"/>
  <c r="G65" i="65" s="1"/>
  <c r="AI61" i="65"/>
  <c r="AH63" i="65"/>
  <c r="Y61" i="65"/>
  <c r="X63" i="65"/>
  <c r="Y62" i="65"/>
  <c r="Y65" i="65" s="1"/>
  <c r="AB46" i="65"/>
  <c r="AB51" i="65" s="1"/>
  <c r="AB56" i="65" s="1"/>
  <c r="S50" i="65"/>
  <c r="M46" i="65"/>
  <c r="M51" i="65" s="1"/>
  <c r="M56" i="65" s="1"/>
  <c r="AA47" i="65"/>
  <c r="AA52" i="65" s="1"/>
  <c r="AA57" i="65" s="1"/>
  <c r="X214" i="65"/>
  <c r="X216" i="65"/>
  <c r="F216" i="65"/>
  <c r="X215" i="65"/>
  <c r="F214" i="65"/>
  <c r="F215" i="65"/>
  <c r="AH216" i="65"/>
  <c r="AI215" i="65"/>
  <c r="AI214" i="65"/>
  <c r="M47" i="65" l="1"/>
  <c r="M52" i="65" s="1"/>
  <c r="M57" i="65" s="1"/>
  <c r="H203" i="65"/>
  <c r="I202" i="65"/>
  <c r="I204" i="65"/>
  <c r="AJ204" i="65"/>
  <c r="Z203" i="65"/>
  <c r="AJ202" i="65"/>
  <c r="Z202" i="65"/>
  <c r="Z204" i="65"/>
  <c r="AJ203" i="65"/>
  <c r="AK47" i="65"/>
  <c r="AJ52" i="65"/>
  <c r="AJ57" i="65" s="1"/>
  <c r="S49" i="65"/>
  <c r="R54" i="65"/>
  <c r="R59" i="65" s="1"/>
  <c r="AA49" i="65"/>
  <c r="Z54" i="65"/>
  <c r="Z59" i="65" s="1"/>
  <c r="AB48" i="65"/>
  <c r="AA53" i="65"/>
  <c r="AA58" i="65" s="1"/>
  <c r="AM49" i="65"/>
  <c r="AL54" i="65"/>
  <c r="AL59" i="65" s="1"/>
  <c r="T60" i="65"/>
  <c r="S55" i="65"/>
  <c r="S60" i="65" s="1"/>
  <c r="L32" i="65"/>
  <c r="K34" i="65"/>
  <c r="K33" i="65"/>
  <c r="J35" i="65"/>
  <c r="AJ48" i="65"/>
  <c r="AI53" i="65"/>
  <c r="AI58" i="65" s="1"/>
  <c r="O53" i="65"/>
  <c r="O58" i="65" s="1"/>
  <c r="P48" i="65"/>
  <c r="AB32" i="65"/>
  <c r="AA34" i="65"/>
  <c r="H61" i="65"/>
  <c r="G63" i="65"/>
  <c r="AJ61" i="65"/>
  <c r="AI63" i="65"/>
  <c r="Z62" i="65"/>
  <c r="Z65" i="65" s="1"/>
  <c r="Z61" i="65"/>
  <c r="Y63" i="65"/>
  <c r="H62" i="65"/>
  <c r="H65" i="65" s="1"/>
  <c r="AK62" i="65"/>
  <c r="AK65" i="65" s="1"/>
  <c r="AC46" i="65"/>
  <c r="AB47" i="65"/>
  <c r="AB52" i="65" s="1"/>
  <c r="AB57" i="65" s="1"/>
  <c r="N46" i="65"/>
  <c r="N51" i="65" s="1"/>
  <c r="N56" i="65" s="1"/>
  <c r="N47" i="65"/>
  <c r="N52" i="65" s="1"/>
  <c r="N57" i="65" s="1"/>
  <c r="G215" i="65"/>
  <c r="Y216" i="65"/>
  <c r="Y215" i="65"/>
  <c r="G214" i="65"/>
  <c r="G216" i="65"/>
  <c r="Y214" i="65"/>
  <c r="AI216" i="65"/>
  <c r="AJ215" i="65"/>
  <c r="AJ214" i="65"/>
  <c r="J202" i="65" l="1"/>
  <c r="I203" i="65"/>
  <c r="J204" i="65"/>
  <c r="AK204" i="65"/>
  <c r="AA203" i="65"/>
  <c r="AK202" i="65"/>
  <c r="AA202" i="65"/>
  <c r="AK203" i="65"/>
  <c r="AA204" i="65"/>
  <c r="AD56" i="65"/>
  <c r="AC51" i="65"/>
  <c r="AC56" i="65" s="1"/>
  <c r="AC48" i="65"/>
  <c r="AB53" i="65"/>
  <c r="AB58" i="65" s="1"/>
  <c r="P53" i="65"/>
  <c r="P58" i="65" s="1"/>
  <c r="Q48" i="65"/>
  <c r="L33" i="65"/>
  <c r="K35" i="65"/>
  <c r="T59" i="65"/>
  <c r="S54" i="65"/>
  <c r="S59" i="65" s="1"/>
  <c r="AC32" i="65"/>
  <c r="AC34" i="65" s="1"/>
  <c r="AB34" i="65"/>
  <c r="AK48" i="65"/>
  <c r="AJ53" i="65"/>
  <c r="AJ58" i="65" s="1"/>
  <c r="M32" i="65"/>
  <c r="L34" i="65"/>
  <c r="AN59" i="65"/>
  <c r="AM54" i="65"/>
  <c r="AM59" i="65" s="1"/>
  <c r="AB49" i="65"/>
  <c r="AA54" i="65"/>
  <c r="AA59" i="65" s="1"/>
  <c r="AL47" i="65"/>
  <c r="AK52" i="65"/>
  <c r="AK57" i="65" s="1"/>
  <c r="I61" i="65"/>
  <c r="H63" i="65"/>
  <c r="AA62" i="65"/>
  <c r="AA65" i="65" s="1"/>
  <c r="AL62" i="65"/>
  <c r="AL65" i="65" s="1"/>
  <c r="AA61" i="65"/>
  <c r="Z63" i="65"/>
  <c r="I62" i="65"/>
  <c r="I65" i="65" s="1"/>
  <c r="AK61" i="65"/>
  <c r="AJ63" i="65"/>
  <c r="O46" i="65"/>
  <c r="O51" i="65" s="1"/>
  <c r="O56" i="65" s="1"/>
  <c r="O47" i="65"/>
  <c r="O52" i="65" s="1"/>
  <c r="O57" i="65" s="1"/>
  <c r="AC47" i="65"/>
  <c r="Z214" i="65"/>
  <c r="H214" i="65"/>
  <c r="Z216" i="65"/>
  <c r="H216" i="65"/>
  <c r="Z215" i="65"/>
  <c r="H215" i="65"/>
  <c r="AJ216" i="65"/>
  <c r="AK215" i="65"/>
  <c r="AK214" i="65"/>
  <c r="J203" i="65" l="1"/>
  <c r="K204" i="65"/>
  <c r="K202" i="65"/>
  <c r="AL204" i="65"/>
  <c r="AB203" i="65"/>
  <c r="AL202" i="65"/>
  <c r="AB202" i="65"/>
  <c r="AB204" i="65"/>
  <c r="AL203" i="65"/>
  <c r="AD57" i="65"/>
  <c r="AC52" i="65"/>
  <c r="AC57" i="65" s="1"/>
  <c r="AC49" i="65"/>
  <c r="AB54" i="65"/>
  <c r="AB59" i="65" s="1"/>
  <c r="N32" i="65"/>
  <c r="M34" i="65"/>
  <c r="M33" i="65"/>
  <c r="L35" i="65"/>
  <c r="AD58" i="65"/>
  <c r="AC53" i="65"/>
  <c r="AC58" i="65" s="1"/>
  <c r="Q53" i="65"/>
  <c r="Q58" i="65" s="1"/>
  <c r="R48" i="65"/>
  <c r="AM47" i="65"/>
  <c r="AL52" i="65"/>
  <c r="AL57" i="65" s="1"/>
  <c r="AL48" i="65"/>
  <c r="AK53" i="65"/>
  <c r="AK58" i="65" s="1"/>
  <c r="I63" i="65"/>
  <c r="J61" i="65"/>
  <c r="AL61" i="65"/>
  <c r="AK63" i="65"/>
  <c r="AM62" i="65"/>
  <c r="J62" i="65"/>
  <c r="J65" i="65" s="1"/>
  <c r="AB61" i="65"/>
  <c r="AA63" i="65"/>
  <c r="AB62" i="65"/>
  <c r="AB65" i="65" s="1"/>
  <c r="P47" i="65"/>
  <c r="P52" i="65" s="1"/>
  <c r="P57" i="65" s="1"/>
  <c r="P46" i="65"/>
  <c r="P51" i="65" s="1"/>
  <c r="P56" i="65" s="1"/>
  <c r="I215" i="65"/>
  <c r="I216" i="65"/>
  <c r="I214" i="65"/>
  <c r="AA215" i="65"/>
  <c r="AA216" i="65"/>
  <c r="AA214" i="65"/>
  <c r="AK216" i="65"/>
  <c r="AL215" i="65"/>
  <c r="AL214" i="65"/>
  <c r="L204" i="65" l="1"/>
  <c r="L202" i="65"/>
  <c r="K203" i="65"/>
  <c r="AM204" i="65"/>
  <c r="AC203" i="65"/>
  <c r="AM202" i="65"/>
  <c r="AC202" i="65"/>
  <c r="AM65" i="65"/>
  <c r="AM203" i="65"/>
  <c r="AC204" i="65"/>
  <c r="R53" i="65"/>
  <c r="R58" i="65" s="1"/>
  <c r="S48" i="65"/>
  <c r="AM48" i="65"/>
  <c r="AL53" i="65"/>
  <c r="AL58" i="65" s="1"/>
  <c r="N33" i="65"/>
  <c r="M35" i="65"/>
  <c r="AD59" i="65"/>
  <c r="AC54" i="65"/>
  <c r="AC59" i="65" s="1"/>
  <c r="AN57" i="65"/>
  <c r="AM52" i="65"/>
  <c r="AM57" i="65" s="1"/>
  <c r="O32" i="65"/>
  <c r="N34" i="65"/>
  <c r="K61" i="65"/>
  <c r="J63" i="65"/>
  <c r="AC62" i="65"/>
  <c r="AC61" i="65"/>
  <c r="AC63" i="65" s="1"/>
  <c r="AB63" i="65"/>
  <c r="K62" i="65"/>
  <c r="K65" i="65" s="1"/>
  <c r="AM61" i="65"/>
  <c r="AM63" i="65" s="1"/>
  <c r="AL63" i="65"/>
  <c r="Q46" i="65"/>
  <c r="Q51" i="65" s="1"/>
  <c r="Q56" i="65" s="1"/>
  <c r="Q47" i="65"/>
  <c r="Q52" i="65" s="1"/>
  <c r="Q57" i="65" s="1"/>
  <c r="AB214" i="65"/>
  <c r="AB215" i="65"/>
  <c r="J216" i="65"/>
  <c r="AB216" i="65"/>
  <c r="J214" i="65"/>
  <c r="J215" i="65"/>
  <c r="AL216" i="65"/>
  <c r="AM215" i="65"/>
  <c r="AM214" i="65"/>
  <c r="M202" i="65" l="1"/>
  <c r="L203" i="65"/>
  <c r="M204" i="65"/>
  <c r="AC65" i="65"/>
  <c r="P32" i="65"/>
  <c r="O34" i="65"/>
  <c r="AN58" i="65"/>
  <c r="AM53" i="65"/>
  <c r="AM58" i="65" s="1"/>
  <c r="T58" i="65"/>
  <c r="S53" i="65"/>
  <c r="S58" i="65" s="1"/>
  <c r="O33" i="65"/>
  <c r="N35" i="65"/>
  <c r="K63" i="65"/>
  <c r="L61" i="65"/>
  <c r="L62" i="65"/>
  <c r="L65" i="65" s="1"/>
  <c r="R47" i="65"/>
  <c r="R52" i="65" s="1"/>
  <c r="R57" i="65" s="1"/>
  <c r="R46" i="65"/>
  <c r="R51" i="65" s="1"/>
  <c r="R56" i="65" s="1"/>
  <c r="K215" i="65"/>
  <c r="AC216" i="65"/>
  <c r="AC215" i="65"/>
  <c r="K214" i="65"/>
  <c r="K216" i="65"/>
  <c r="AC214" i="65"/>
  <c r="AM216" i="65"/>
  <c r="M203" i="65" l="1"/>
  <c r="N204" i="65"/>
  <c r="N202" i="65"/>
  <c r="Q32" i="65"/>
  <c r="P34" i="65"/>
  <c r="P33" i="65"/>
  <c r="O35" i="65"/>
  <c r="L63" i="65"/>
  <c r="M61" i="65"/>
  <c r="M62" i="65"/>
  <c r="M65" i="65" s="1"/>
  <c r="S46" i="65"/>
  <c r="S47" i="65"/>
  <c r="L214" i="65"/>
  <c r="L216" i="65"/>
  <c r="L215" i="65"/>
  <c r="O204" i="65" l="1"/>
  <c r="N203" i="65"/>
  <c r="O202" i="65"/>
  <c r="T56" i="65"/>
  <c r="S51" i="65"/>
  <c r="S56" i="65" s="1"/>
  <c r="R32" i="65"/>
  <c r="Q34" i="65"/>
  <c r="T57" i="65"/>
  <c r="S52" i="65"/>
  <c r="S57" i="65" s="1"/>
  <c r="Q33" i="65"/>
  <c r="P35" i="65"/>
  <c r="N61" i="65"/>
  <c r="M63" i="65"/>
  <c r="N62" i="65"/>
  <c r="N65" i="65" s="1"/>
  <c r="M216" i="65"/>
  <c r="M215" i="65"/>
  <c r="M214" i="65"/>
  <c r="O203" i="65" l="1"/>
  <c r="P202" i="65"/>
  <c r="P204" i="65"/>
  <c r="R33" i="65"/>
  <c r="Q35" i="65"/>
  <c r="S32" i="65"/>
  <c r="S34" i="65" s="1"/>
  <c r="R34" i="65"/>
  <c r="N63" i="65"/>
  <c r="O61" i="65"/>
  <c r="O62" i="65"/>
  <c r="O65" i="65" s="1"/>
  <c r="N215" i="65"/>
  <c r="N214" i="65"/>
  <c r="N216" i="65"/>
  <c r="Q202" i="65" l="1"/>
  <c r="P203" i="65"/>
  <c r="Q204" i="65"/>
  <c r="S33" i="65"/>
  <c r="S35" i="65" s="1"/>
  <c r="R35" i="65"/>
  <c r="P61" i="65"/>
  <c r="O63" i="65"/>
  <c r="P62" i="65"/>
  <c r="P65" i="65" s="1"/>
  <c r="O214" i="65"/>
  <c r="O216" i="65"/>
  <c r="O215" i="65"/>
  <c r="Q203" i="65" l="1"/>
  <c r="R204" i="65"/>
  <c r="R202" i="65"/>
  <c r="Q61" i="65"/>
  <c r="P63" i="65"/>
  <c r="Q62" i="65"/>
  <c r="Q65" i="65" s="1"/>
  <c r="P216" i="65"/>
  <c r="P215" i="65"/>
  <c r="P214" i="65"/>
  <c r="S204" i="65" l="1"/>
  <c r="R203" i="65"/>
  <c r="S202" i="65"/>
  <c r="R61" i="65"/>
  <c r="Q63" i="65"/>
  <c r="R62" i="65"/>
  <c r="R65" i="65" s="1"/>
  <c r="Q215" i="65"/>
  <c r="Q214" i="65"/>
  <c r="Q216" i="65"/>
  <c r="S203" i="65" l="1"/>
  <c r="S61" i="65"/>
  <c r="S63" i="65" s="1"/>
  <c r="R63" i="65"/>
  <c r="S62" i="65"/>
  <c r="R214" i="65"/>
  <c r="R216" i="65"/>
  <c r="R215" i="65"/>
  <c r="S65" i="65" l="1"/>
  <c r="S216" i="65"/>
  <c r="S215" i="65"/>
  <c r="S214" i="65"/>
  <c r="AN189" i="65" l="1"/>
  <c r="AN188" i="65"/>
  <c r="AD189" i="65"/>
  <c r="AD188" i="65"/>
  <c r="T189" i="65"/>
  <c r="T188" i="65"/>
  <c r="B189" i="65"/>
  <c r="C189" i="65" s="1"/>
  <c r="D189" i="65" s="1"/>
  <c r="E189" i="65" s="1"/>
  <c r="F189" i="65" s="1"/>
  <c r="G189" i="65" s="1"/>
  <c r="H189" i="65" s="1"/>
  <c r="I189" i="65" s="1"/>
  <c r="J189" i="65" s="1"/>
  <c r="B188" i="65"/>
  <c r="C188" i="65" l="1"/>
  <c r="B191" i="65"/>
  <c r="B190" i="65"/>
  <c r="AN191" i="65"/>
  <c r="AN190" i="65"/>
  <c r="AD190" i="65"/>
  <c r="AD191" i="65"/>
  <c r="T191" i="65"/>
  <c r="T190" i="65"/>
  <c r="AE189" i="65"/>
  <c r="AF189" i="65" s="1"/>
  <c r="AG189" i="65" s="1"/>
  <c r="AH189" i="65" s="1"/>
  <c r="AI189" i="65" s="1"/>
  <c r="AJ189" i="65" s="1"/>
  <c r="AK189" i="65" s="1"/>
  <c r="AL189" i="65" s="1"/>
  <c r="AM189" i="65" s="1"/>
  <c r="U189" i="65"/>
  <c r="V189" i="65" s="1"/>
  <c r="W189" i="65" s="1"/>
  <c r="X189" i="65" s="1"/>
  <c r="Y189" i="65" s="1"/>
  <c r="Z189" i="65" s="1"/>
  <c r="AA189" i="65" s="1"/>
  <c r="AB189" i="65" s="1"/>
  <c r="AC189" i="65" s="1"/>
  <c r="AE188" i="65"/>
  <c r="K189" i="65"/>
  <c r="L189" i="65" s="1"/>
  <c r="M189" i="65" s="1"/>
  <c r="N189" i="65" s="1"/>
  <c r="O189" i="65" s="1"/>
  <c r="P189" i="65" s="1"/>
  <c r="Q189" i="65" s="1"/>
  <c r="R189" i="65" s="1"/>
  <c r="S189" i="65" s="1"/>
  <c r="C192" i="65"/>
  <c r="C193" i="65"/>
  <c r="C194" i="65"/>
  <c r="C195" i="65"/>
  <c r="D188" i="65"/>
  <c r="T194" i="65"/>
  <c r="T192" i="65"/>
  <c r="T193" i="65"/>
  <c r="T195" i="65"/>
  <c r="U188" i="65"/>
  <c r="AD192" i="65"/>
  <c r="AD193" i="65"/>
  <c r="AD194" i="65"/>
  <c r="AD195" i="65"/>
  <c r="AN194" i="65"/>
  <c r="AN192" i="65"/>
  <c r="AN193" i="65"/>
  <c r="AN195" i="65"/>
  <c r="B195" i="65"/>
  <c r="B193" i="65"/>
  <c r="B194" i="65"/>
  <c r="B192" i="65"/>
  <c r="AF16" i="68"/>
  <c r="AG16" i="68"/>
  <c r="AH16" i="68"/>
  <c r="AI16" i="68"/>
  <c r="AJ16" i="68"/>
  <c r="AK16" i="68"/>
  <c r="AL16" i="68"/>
  <c r="AM16" i="68"/>
  <c r="AN16" i="68"/>
  <c r="AO16" i="68"/>
  <c r="AP16" i="68"/>
  <c r="AQ16" i="68"/>
  <c r="AR16" i="68"/>
  <c r="AS16" i="68"/>
  <c r="AT16" i="68"/>
  <c r="AU16" i="68"/>
  <c r="AV16" i="68"/>
  <c r="AW16" i="68"/>
  <c r="AX16" i="68"/>
  <c r="AY16" i="68"/>
  <c r="AZ16" i="68"/>
  <c r="BA16" i="68"/>
  <c r="BB16" i="68"/>
  <c r="BC16" i="68"/>
  <c r="BD16" i="68"/>
  <c r="BE16" i="68"/>
  <c r="BF16" i="68"/>
  <c r="BG16" i="68"/>
  <c r="BH16" i="68"/>
  <c r="BI16" i="68"/>
  <c r="BJ16" i="68"/>
  <c r="BK16" i="68"/>
  <c r="BL16" i="68"/>
  <c r="BM16" i="68"/>
  <c r="BN16" i="68"/>
  <c r="BO16" i="68"/>
  <c r="BP16" i="68"/>
  <c r="BQ16" i="68"/>
  <c r="AF24" i="68"/>
  <c r="AG24" i="68"/>
  <c r="AH24" i="68"/>
  <c r="AJ24" i="68"/>
  <c r="AK24" i="68"/>
  <c r="AL24" i="68"/>
  <c r="AN24" i="68"/>
  <c r="AO24" i="68"/>
  <c r="AP24" i="68"/>
  <c r="AR24" i="68"/>
  <c r="AS24" i="68"/>
  <c r="AT24" i="68"/>
  <c r="AW24" i="68"/>
  <c r="AX24" i="68"/>
  <c r="AZ24" i="68"/>
  <c r="BA24" i="68"/>
  <c r="BB24" i="68"/>
  <c r="BD24" i="68"/>
  <c r="BE24" i="68"/>
  <c r="BF24" i="68"/>
  <c r="BI24" i="68"/>
  <c r="BM24" i="68"/>
  <c r="BN24" i="68"/>
  <c r="BP24" i="68"/>
  <c r="BQ24" i="68"/>
  <c r="L390" i="67"/>
  <c r="M390" i="67"/>
  <c r="N390" i="67"/>
  <c r="O390" i="67"/>
  <c r="P390" i="67"/>
  <c r="Q390" i="67"/>
  <c r="R390" i="67"/>
  <c r="S390" i="67"/>
  <c r="T390" i="67"/>
  <c r="U390" i="67"/>
  <c r="V390" i="67"/>
  <c r="W390" i="67"/>
  <c r="X390" i="67"/>
  <c r="Y390" i="67"/>
  <c r="Z390" i="67"/>
  <c r="AA390" i="67"/>
  <c r="AB390" i="67"/>
  <c r="AC390" i="67"/>
  <c r="AD390" i="67"/>
  <c r="AE390" i="67"/>
  <c r="AF390" i="67"/>
  <c r="AG390" i="67"/>
  <c r="AH390" i="67"/>
  <c r="AI390" i="67"/>
  <c r="AJ390" i="67"/>
  <c r="AK390" i="67"/>
  <c r="AL390" i="67"/>
  <c r="AM390" i="67"/>
  <c r="AN390" i="67"/>
  <c r="AO390" i="67"/>
  <c r="AP390" i="67"/>
  <c r="AQ390" i="67"/>
  <c r="AR390" i="67"/>
  <c r="AS390" i="67"/>
  <c r="AT390" i="67"/>
  <c r="AU390" i="67"/>
  <c r="AV390" i="67"/>
  <c r="AW390" i="67"/>
  <c r="L401" i="67"/>
  <c r="M401" i="67"/>
  <c r="N401" i="67"/>
  <c r="O401" i="67"/>
  <c r="P401" i="67"/>
  <c r="Q401" i="67"/>
  <c r="R401" i="67"/>
  <c r="S401" i="67"/>
  <c r="T401" i="67"/>
  <c r="U401" i="67"/>
  <c r="V401" i="67"/>
  <c r="W401" i="67"/>
  <c r="X401" i="67"/>
  <c r="Y401" i="67"/>
  <c r="Z401" i="67"/>
  <c r="AA401" i="67"/>
  <c r="AB401" i="67"/>
  <c r="AC401" i="67"/>
  <c r="AD401" i="67"/>
  <c r="AE401" i="67"/>
  <c r="AF401" i="67"/>
  <c r="AG401" i="67"/>
  <c r="AH401" i="67"/>
  <c r="AI401" i="67"/>
  <c r="AJ401" i="67"/>
  <c r="AK401" i="67"/>
  <c r="AL401" i="67"/>
  <c r="AM401" i="67"/>
  <c r="AN401" i="67"/>
  <c r="AO401" i="67"/>
  <c r="AP401" i="67"/>
  <c r="AQ401" i="67"/>
  <c r="AR401" i="67"/>
  <c r="AS401" i="67"/>
  <c r="AT401" i="67"/>
  <c r="AU401" i="67"/>
  <c r="AV401" i="67"/>
  <c r="AW401" i="67"/>
  <c r="L402" i="67"/>
  <c r="M402" i="67"/>
  <c r="N402" i="67"/>
  <c r="O402" i="67"/>
  <c r="P402" i="67"/>
  <c r="Q402" i="67"/>
  <c r="R402" i="67"/>
  <c r="S402" i="67"/>
  <c r="T402" i="67"/>
  <c r="U402" i="67"/>
  <c r="V402" i="67"/>
  <c r="W402" i="67"/>
  <c r="X402" i="67"/>
  <c r="Y402" i="67"/>
  <c r="Z402" i="67"/>
  <c r="AA402" i="67"/>
  <c r="AB402" i="67"/>
  <c r="AC402" i="67"/>
  <c r="AD402" i="67"/>
  <c r="AE402" i="67"/>
  <c r="AF402" i="67"/>
  <c r="AG402" i="67"/>
  <c r="AH402" i="67"/>
  <c r="AI402" i="67"/>
  <c r="AJ402" i="67"/>
  <c r="AK402" i="67"/>
  <c r="AL402" i="67"/>
  <c r="AM402" i="67"/>
  <c r="AN402" i="67"/>
  <c r="AO402" i="67"/>
  <c r="AP402" i="67"/>
  <c r="AQ402" i="67"/>
  <c r="AR402" i="67"/>
  <c r="AS402" i="67"/>
  <c r="AT402" i="67"/>
  <c r="AU402" i="67"/>
  <c r="AV402" i="67"/>
  <c r="AW402" i="67"/>
  <c r="AF9" i="68"/>
  <c r="AG9" i="68"/>
  <c r="AH9" i="68"/>
  <c r="AI9" i="68"/>
  <c r="AJ9" i="68"/>
  <c r="AK9" i="68"/>
  <c r="AL9" i="68"/>
  <c r="AM9" i="68"/>
  <c r="AN9" i="68"/>
  <c r="AO9" i="68"/>
  <c r="AP9" i="68"/>
  <c r="AQ9" i="68"/>
  <c r="AR9" i="68"/>
  <c r="AS9" i="68"/>
  <c r="AT9" i="68"/>
  <c r="AU9" i="68"/>
  <c r="AV9" i="68"/>
  <c r="AW9" i="68"/>
  <c r="AX9" i="68"/>
  <c r="AY9" i="68"/>
  <c r="AZ9" i="68"/>
  <c r="BA9" i="68"/>
  <c r="BB9" i="68"/>
  <c r="BC9" i="68"/>
  <c r="BD9" i="68"/>
  <c r="BE9" i="68"/>
  <c r="BF9" i="68"/>
  <c r="BG9" i="68"/>
  <c r="BH9" i="68"/>
  <c r="BI9" i="68"/>
  <c r="BJ9" i="68"/>
  <c r="BK9" i="68"/>
  <c r="BL9" i="68"/>
  <c r="BM9" i="68"/>
  <c r="BN9" i="68"/>
  <c r="BO9" i="68"/>
  <c r="BP9" i="68"/>
  <c r="BQ9" i="68"/>
  <c r="AI24" i="68"/>
  <c r="AM24" i="68"/>
  <c r="AQ24" i="68"/>
  <c r="AU24" i="68"/>
  <c r="AV24" i="68"/>
  <c r="AY24" i="68"/>
  <c r="BC24" i="68"/>
  <c r="BG24" i="68"/>
  <c r="BH24" i="68"/>
  <c r="BJ24" i="68"/>
  <c r="BK24" i="68"/>
  <c r="BL24" i="68"/>
  <c r="BO24" i="68"/>
  <c r="K402" i="67"/>
  <c r="K401" i="67"/>
  <c r="K390" i="67"/>
  <c r="AE24" i="68"/>
  <c r="AE16" i="68"/>
  <c r="AE9" i="68"/>
  <c r="AE16" i="70"/>
  <c r="AF16" i="70"/>
  <c r="AG16" i="70" s="1"/>
  <c r="AH16" i="70" s="1"/>
  <c r="AI16" i="70" s="1"/>
  <c r="AJ16" i="70" s="1"/>
  <c r="AK16" i="70" s="1"/>
  <c r="AL16" i="70" s="1"/>
  <c r="AM16" i="70" s="1"/>
  <c r="AN16" i="70" s="1"/>
  <c r="AO16" i="70" s="1"/>
  <c r="AP16" i="70" s="1"/>
  <c r="AQ16" i="70" s="1"/>
  <c r="AR16" i="70" s="1"/>
  <c r="AS16" i="70" s="1"/>
  <c r="AT16" i="70" s="1"/>
  <c r="AU16" i="70" s="1"/>
  <c r="AV16" i="70" s="1"/>
  <c r="AW16" i="70" s="1"/>
  <c r="AX16" i="70" s="1"/>
  <c r="AY16" i="70" s="1"/>
  <c r="AZ16" i="70" s="1"/>
  <c r="BA16" i="70" s="1"/>
  <c r="BB16" i="70" s="1"/>
  <c r="BC16" i="70" s="1"/>
  <c r="BD16" i="70" s="1"/>
  <c r="BE16" i="70" s="1"/>
  <c r="BF16" i="70" s="1"/>
  <c r="BG16" i="70" s="1"/>
  <c r="BH16" i="70" s="1"/>
  <c r="BI16" i="70" s="1"/>
  <c r="BJ16" i="70" s="1"/>
  <c r="BK16" i="70" s="1"/>
  <c r="BL16" i="70" s="1"/>
  <c r="BM16" i="70" s="1"/>
  <c r="BN16" i="70" s="1"/>
  <c r="BO16" i="70" s="1"/>
  <c r="BP16" i="70" s="1"/>
  <c r="J718" i="67"/>
  <c r="J719" i="67" s="1"/>
  <c r="I718" i="67"/>
  <c r="I719" i="67" s="1"/>
  <c r="G718" i="67"/>
  <c r="F718" i="67"/>
  <c r="F719" i="67" s="1"/>
  <c r="E718" i="67"/>
  <c r="E719" i="67" s="1"/>
  <c r="D718" i="67"/>
  <c r="D719" i="67" s="1"/>
  <c r="J714" i="67"/>
  <c r="I714" i="67"/>
  <c r="F714" i="67"/>
  <c r="H714" i="67" s="1"/>
  <c r="E714" i="67"/>
  <c r="D714" i="67"/>
  <c r="C181" i="65"/>
  <c r="D181" i="65"/>
  <c r="E181" i="65"/>
  <c r="F181" i="65"/>
  <c r="G181" i="65"/>
  <c r="H181" i="65"/>
  <c r="I181" i="65"/>
  <c r="J181" i="65"/>
  <c r="K181" i="65"/>
  <c r="L181" i="65"/>
  <c r="M181" i="65"/>
  <c r="N181" i="65"/>
  <c r="O181" i="65"/>
  <c r="P181" i="65"/>
  <c r="Q181" i="65"/>
  <c r="R181" i="65"/>
  <c r="S181" i="65"/>
  <c r="T181" i="65"/>
  <c r="U181" i="65"/>
  <c r="V181" i="65"/>
  <c r="W181" i="65"/>
  <c r="X181" i="65"/>
  <c r="Y181" i="65"/>
  <c r="Z181" i="65"/>
  <c r="AA181" i="65"/>
  <c r="AB181" i="65"/>
  <c r="AC181" i="65"/>
  <c r="AD181" i="65"/>
  <c r="AE181" i="65"/>
  <c r="AF181" i="65"/>
  <c r="AG181" i="65"/>
  <c r="AH181" i="65"/>
  <c r="AI181" i="65"/>
  <c r="AJ181" i="65"/>
  <c r="AK181" i="65"/>
  <c r="AL181" i="65"/>
  <c r="AM181" i="65"/>
  <c r="AN181" i="65"/>
  <c r="B181" i="65"/>
  <c r="AN155" i="65"/>
  <c r="AN156" i="65"/>
  <c r="AN154" i="65"/>
  <c r="AD155" i="65"/>
  <c r="AD156" i="65"/>
  <c r="AD154" i="65"/>
  <c r="T155" i="65"/>
  <c r="T156" i="65"/>
  <c r="T154" i="65"/>
  <c r="B156" i="65"/>
  <c r="B155" i="65"/>
  <c r="C155" i="65" s="1"/>
  <c r="D155" i="65" s="1"/>
  <c r="E155" i="65" s="1"/>
  <c r="F155" i="65" s="1"/>
  <c r="G155" i="65" s="1"/>
  <c r="H155" i="65" s="1"/>
  <c r="I155" i="65" s="1"/>
  <c r="J155" i="65" s="1"/>
  <c r="K155" i="65" s="1"/>
  <c r="L155" i="65" s="1"/>
  <c r="M155" i="65" s="1"/>
  <c r="N155" i="65" s="1"/>
  <c r="O155" i="65" s="1"/>
  <c r="P155" i="65" s="1"/>
  <c r="Q155" i="65" s="1"/>
  <c r="R155" i="65" s="1"/>
  <c r="S155" i="65" s="1"/>
  <c r="B154" i="65"/>
  <c r="C154" i="65" s="1"/>
  <c r="D154" i="65" s="1"/>
  <c r="E154" i="65" s="1"/>
  <c r="F154" i="65" s="1"/>
  <c r="G154" i="65" s="1"/>
  <c r="H154" i="65" s="1"/>
  <c r="I154" i="65" s="1"/>
  <c r="J154" i="65" s="1"/>
  <c r="C182" i="65"/>
  <c r="D182" i="65"/>
  <c r="E182" i="65"/>
  <c r="F182" i="65"/>
  <c r="G182" i="65"/>
  <c r="H182" i="65"/>
  <c r="I182" i="65"/>
  <c r="J182" i="65"/>
  <c r="K182" i="65"/>
  <c r="L182" i="65"/>
  <c r="M182" i="65"/>
  <c r="N182" i="65"/>
  <c r="O182" i="65"/>
  <c r="P182" i="65"/>
  <c r="Q182" i="65"/>
  <c r="R182" i="65"/>
  <c r="S182" i="65"/>
  <c r="T182" i="65"/>
  <c r="U182" i="65"/>
  <c r="V182" i="65"/>
  <c r="W182" i="65"/>
  <c r="X182" i="65"/>
  <c r="Y182" i="65"/>
  <c r="Z182" i="65"/>
  <c r="AA182" i="65"/>
  <c r="AB182" i="65"/>
  <c r="AC182" i="65"/>
  <c r="AD182" i="65"/>
  <c r="AE182" i="65"/>
  <c r="AF182" i="65"/>
  <c r="AG182" i="65"/>
  <c r="AH182" i="65"/>
  <c r="AI182" i="65"/>
  <c r="AJ182" i="65"/>
  <c r="AK182" i="65"/>
  <c r="AL182" i="65"/>
  <c r="AM182" i="65"/>
  <c r="AN182" i="65"/>
  <c r="C183" i="65"/>
  <c r="D183" i="65"/>
  <c r="E183" i="65"/>
  <c r="F183" i="65"/>
  <c r="G183" i="65"/>
  <c r="H183" i="65"/>
  <c r="I183" i="65"/>
  <c r="J183" i="65"/>
  <c r="K183" i="65"/>
  <c r="L183" i="65"/>
  <c r="M183" i="65"/>
  <c r="N183" i="65"/>
  <c r="O183" i="65"/>
  <c r="P183" i="65"/>
  <c r="Q183" i="65"/>
  <c r="R183" i="65"/>
  <c r="S183" i="65"/>
  <c r="T183" i="65"/>
  <c r="U183" i="65"/>
  <c r="V183" i="65"/>
  <c r="W183" i="65"/>
  <c r="X183" i="65"/>
  <c r="Y183" i="65"/>
  <c r="Z183" i="65"/>
  <c r="AA183" i="65"/>
  <c r="AB183" i="65"/>
  <c r="AC183" i="65"/>
  <c r="AD183" i="65"/>
  <c r="AE183" i="65"/>
  <c r="AF183" i="65"/>
  <c r="AG183" i="65"/>
  <c r="AH183" i="65"/>
  <c r="AI183" i="65"/>
  <c r="AJ183" i="65"/>
  <c r="AK183" i="65"/>
  <c r="AL183" i="65"/>
  <c r="AM183" i="65"/>
  <c r="AN183" i="65"/>
  <c r="C184" i="65"/>
  <c r="D184" i="65"/>
  <c r="E184" i="65"/>
  <c r="F184" i="65"/>
  <c r="G184" i="65"/>
  <c r="H184" i="65"/>
  <c r="I184" i="65"/>
  <c r="J184" i="65"/>
  <c r="K184" i="65"/>
  <c r="L184" i="65"/>
  <c r="M184" i="65"/>
  <c r="N184" i="65"/>
  <c r="O184" i="65"/>
  <c r="P184" i="65"/>
  <c r="Q184" i="65"/>
  <c r="R184" i="65"/>
  <c r="S184" i="65"/>
  <c r="T184" i="65"/>
  <c r="U184" i="65"/>
  <c r="V184" i="65"/>
  <c r="W184" i="65"/>
  <c r="X184" i="65"/>
  <c r="Y184" i="65"/>
  <c r="Z184" i="65"/>
  <c r="AA184" i="65"/>
  <c r="AB184" i="65"/>
  <c r="AC184" i="65"/>
  <c r="AD184" i="65"/>
  <c r="AE184" i="65"/>
  <c r="AF184" i="65"/>
  <c r="AG184" i="65"/>
  <c r="AH184" i="65"/>
  <c r="AI184" i="65"/>
  <c r="AJ184" i="65"/>
  <c r="AK184" i="65"/>
  <c r="AL184" i="65"/>
  <c r="AM184" i="65"/>
  <c r="AN184" i="65"/>
  <c r="C185" i="65"/>
  <c r="D185" i="65"/>
  <c r="E185" i="65"/>
  <c r="F185" i="65"/>
  <c r="G185" i="65"/>
  <c r="H185" i="65"/>
  <c r="I185" i="65"/>
  <c r="J185" i="65"/>
  <c r="K185" i="65"/>
  <c r="L185" i="65"/>
  <c r="M185" i="65"/>
  <c r="N185" i="65"/>
  <c r="O185" i="65"/>
  <c r="P185" i="65"/>
  <c r="Q185" i="65"/>
  <c r="R185" i="65"/>
  <c r="S185" i="65"/>
  <c r="T185" i="65"/>
  <c r="U185" i="65"/>
  <c r="V185" i="65"/>
  <c r="W185" i="65"/>
  <c r="X185" i="65"/>
  <c r="Y185" i="65"/>
  <c r="Z185" i="65"/>
  <c r="AA185" i="65"/>
  <c r="AB185" i="65"/>
  <c r="AC185" i="65"/>
  <c r="AD185" i="65"/>
  <c r="AE185" i="65"/>
  <c r="AF185" i="65"/>
  <c r="AG185" i="65"/>
  <c r="AH185" i="65"/>
  <c r="AI185" i="65"/>
  <c r="AJ185" i="65"/>
  <c r="AK185" i="65"/>
  <c r="AL185" i="65"/>
  <c r="AM185" i="65"/>
  <c r="AN185" i="65"/>
  <c r="B185" i="65"/>
  <c r="B184" i="65"/>
  <c r="B183" i="65"/>
  <c r="B182" i="65"/>
  <c r="BP98" i="70"/>
  <c r="BO98" i="70"/>
  <c r="BN98" i="70"/>
  <c r="BM98" i="70"/>
  <c r="BL98" i="70"/>
  <c r="BK98" i="70"/>
  <c r="BJ98" i="70"/>
  <c r="BI98" i="70"/>
  <c r="BH98" i="70"/>
  <c r="BG98" i="70"/>
  <c r="BF98" i="70"/>
  <c r="BE98" i="70"/>
  <c r="BD98" i="70"/>
  <c r="BC98" i="70"/>
  <c r="BB98" i="70"/>
  <c r="BA98" i="70"/>
  <c r="AZ98" i="70"/>
  <c r="AY98" i="70"/>
  <c r="AX98" i="70"/>
  <c r="AW98" i="70"/>
  <c r="AV98" i="70"/>
  <c r="AU98" i="70"/>
  <c r="AT98" i="70"/>
  <c r="AS98" i="70"/>
  <c r="AR98" i="70"/>
  <c r="AQ98" i="70"/>
  <c r="AP98" i="70"/>
  <c r="AO98" i="70"/>
  <c r="AN98" i="70"/>
  <c r="AM98" i="70"/>
  <c r="AL98" i="70"/>
  <c r="AK98" i="70"/>
  <c r="AJ98" i="70"/>
  <c r="AI98" i="70"/>
  <c r="AH98" i="70"/>
  <c r="AG98" i="70"/>
  <c r="AF98" i="70"/>
  <c r="AE98" i="70"/>
  <c r="AD98" i="70"/>
  <c r="BP97" i="70"/>
  <c r="BO97" i="70"/>
  <c r="BN97" i="70"/>
  <c r="BM97" i="70"/>
  <c r="BL97" i="70"/>
  <c r="BK97" i="70"/>
  <c r="BJ97" i="70"/>
  <c r="BI97" i="70"/>
  <c r="BH97" i="70"/>
  <c r="BG97" i="70"/>
  <c r="BF97" i="70"/>
  <c r="BE97" i="70"/>
  <c r="BD97" i="70"/>
  <c r="BC97" i="70"/>
  <c r="BB97" i="70"/>
  <c r="BA97" i="70"/>
  <c r="AZ97" i="70"/>
  <c r="AY97" i="70"/>
  <c r="AX97" i="70"/>
  <c r="AW97" i="70"/>
  <c r="AV97" i="70"/>
  <c r="AU97" i="70"/>
  <c r="AT97" i="70"/>
  <c r="AS97" i="70"/>
  <c r="AR97" i="70"/>
  <c r="AQ97" i="70"/>
  <c r="AP97" i="70"/>
  <c r="AO97" i="70"/>
  <c r="AN97" i="70"/>
  <c r="AM97" i="70"/>
  <c r="AL97" i="70"/>
  <c r="AK97" i="70"/>
  <c r="AJ97" i="70"/>
  <c r="AI97" i="70"/>
  <c r="AH97" i="70"/>
  <c r="AG97" i="70"/>
  <c r="AF97" i="70"/>
  <c r="AE97" i="70"/>
  <c r="AD97" i="70"/>
  <c r="AC97" i="70"/>
  <c r="AB97" i="70"/>
  <c r="AA97" i="70"/>
  <c r="Z97" i="70"/>
  <c r="Y97" i="70"/>
  <c r="X97" i="70"/>
  <c r="W97" i="70"/>
  <c r="V97" i="70"/>
  <c r="U97" i="70"/>
  <c r="T97" i="70"/>
  <c r="S97" i="70"/>
  <c r="R97" i="70"/>
  <c r="Q97" i="70"/>
  <c r="P97" i="70"/>
  <c r="O97" i="70"/>
  <c r="N97" i="70"/>
  <c r="M97" i="70"/>
  <c r="L97" i="70"/>
  <c r="K97" i="70"/>
  <c r="J97" i="70"/>
  <c r="I97" i="70"/>
  <c r="H97" i="70"/>
  <c r="BP96" i="70"/>
  <c r="BO96" i="70"/>
  <c r="BN96" i="70"/>
  <c r="BM96" i="70"/>
  <c r="BL96" i="70"/>
  <c r="BK96" i="70"/>
  <c r="BJ96" i="70"/>
  <c r="BI96" i="70"/>
  <c r="BH96" i="70"/>
  <c r="BG96" i="70"/>
  <c r="BF96" i="70"/>
  <c r="BE96" i="70"/>
  <c r="BD96" i="70"/>
  <c r="BC96" i="70"/>
  <c r="BB96" i="70"/>
  <c r="BA96" i="70"/>
  <c r="AZ96" i="70"/>
  <c r="AY96" i="70"/>
  <c r="AX96" i="70"/>
  <c r="AW96" i="70"/>
  <c r="AV96" i="70"/>
  <c r="AU96" i="70"/>
  <c r="AT96" i="70"/>
  <c r="AS96" i="70"/>
  <c r="AR96" i="70"/>
  <c r="AQ96" i="70"/>
  <c r="AP96" i="70"/>
  <c r="AO96" i="70"/>
  <c r="AN96" i="70"/>
  <c r="AM96" i="70"/>
  <c r="AL96" i="70"/>
  <c r="AK96" i="70"/>
  <c r="AJ96" i="70"/>
  <c r="AI96" i="70"/>
  <c r="AH96" i="70"/>
  <c r="AG96" i="70"/>
  <c r="AF96" i="70"/>
  <c r="AE96" i="70"/>
  <c r="AD96" i="70"/>
  <c r="BP95" i="70"/>
  <c r="BO95" i="70"/>
  <c r="BN95" i="70"/>
  <c r="BM95" i="70"/>
  <c r="BL95" i="70"/>
  <c r="BK95" i="70"/>
  <c r="BJ95" i="70"/>
  <c r="BI95" i="70"/>
  <c r="BH95" i="70"/>
  <c r="BG95" i="70"/>
  <c r="BF95" i="70"/>
  <c r="BE95" i="70"/>
  <c r="BD95" i="70"/>
  <c r="BC95" i="70"/>
  <c r="BB95" i="70"/>
  <c r="BA95" i="70"/>
  <c r="AZ95" i="70"/>
  <c r="AY95" i="70"/>
  <c r="AX95" i="70"/>
  <c r="AW95" i="70"/>
  <c r="AV95" i="70"/>
  <c r="AU95" i="70"/>
  <c r="AT95" i="70"/>
  <c r="AS95" i="70"/>
  <c r="AR95" i="70"/>
  <c r="AQ95" i="70"/>
  <c r="AP95" i="70"/>
  <c r="AO95" i="70"/>
  <c r="AN95" i="70"/>
  <c r="AM95" i="70"/>
  <c r="AL95" i="70"/>
  <c r="AK95" i="70"/>
  <c r="AJ95" i="70"/>
  <c r="AI95" i="70"/>
  <c r="AH95" i="70"/>
  <c r="AG95" i="70"/>
  <c r="AF95" i="70"/>
  <c r="AE95" i="70"/>
  <c r="AD95" i="70"/>
  <c r="BP92" i="70"/>
  <c r="BO92" i="70"/>
  <c r="BN92" i="70"/>
  <c r="BM92" i="70"/>
  <c r="BL92" i="70"/>
  <c r="BK92" i="70"/>
  <c r="BJ92" i="70"/>
  <c r="BI92" i="70"/>
  <c r="BH92" i="70"/>
  <c r="BG92" i="70"/>
  <c r="BF92" i="70"/>
  <c r="BE92" i="70"/>
  <c r="BD92" i="70"/>
  <c r="BC92" i="70"/>
  <c r="BB92" i="70"/>
  <c r="BA92" i="70"/>
  <c r="AZ92" i="70"/>
  <c r="AY92" i="70"/>
  <c r="AX92" i="70"/>
  <c r="AW92" i="70"/>
  <c r="AV92" i="70"/>
  <c r="AU92" i="70"/>
  <c r="AT92" i="70"/>
  <c r="AS92" i="70"/>
  <c r="AR92" i="70"/>
  <c r="AQ92" i="70"/>
  <c r="AP92" i="70"/>
  <c r="AO92" i="70"/>
  <c r="AN92" i="70"/>
  <c r="AM92" i="70"/>
  <c r="AL92" i="70"/>
  <c r="AK92" i="70"/>
  <c r="AJ92" i="70"/>
  <c r="AI92" i="70"/>
  <c r="AH92" i="70"/>
  <c r="AG92" i="70"/>
  <c r="AF92" i="70"/>
  <c r="AE92" i="70"/>
  <c r="AD92" i="70"/>
  <c r="BP91" i="70"/>
  <c r="BO91" i="70"/>
  <c r="BN91" i="70"/>
  <c r="BM91" i="70"/>
  <c r="BL91" i="70"/>
  <c r="BK91" i="70"/>
  <c r="BJ91" i="70"/>
  <c r="BI91" i="70"/>
  <c r="BH91" i="70"/>
  <c r="BG91" i="70"/>
  <c r="BF91" i="70"/>
  <c r="BE91" i="70"/>
  <c r="BD91" i="70"/>
  <c r="BC91" i="70"/>
  <c r="BB91" i="70"/>
  <c r="BA91" i="70"/>
  <c r="AZ91" i="70"/>
  <c r="AY91" i="70"/>
  <c r="AX91" i="70"/>
  <c r="AW91" i="70"/>
  <c r="AV91" i="70"/>
  <c r="AU91" i="70"/>
  <c r="AT91" i="70"/>
  <c r="AS91" i="70"/>
  <c r="AR91" i="70"/>
  <c r="AQ91" i="70"/>
  <c r="AP91" i="70"/>
  <c r="AO91" i="70"/>
  <c r="AN91" i="70"/>
  <c r="AM91" i="70"/>
  <c r="AL91" i="70"/>
  <c r="AK91" i="70"/>
  <c r="AJ91" i="70"/>
  <c r="AI91" i="70"/>
  <c r="AH91" i="70"/>
  <c r="AG91" i="70"/>
  <c r="AF91" i="70"/>
  <c r="AE91" i="70"/>
  <c r="AD91" i="70"/>
  <c r="BP90" i="70"/>
  <c r="BO90" i="70"/>
  <c r="BN90" i="70"/>
  <c r="BM90" i="70"/>
  <c r="BL90" i="70"/>
  <c r="BK90" i="70"/>
  <c r="BJ90" i="70"/>
  <c r="BI90" i="70"/>
  <c r="BH90" i="70"/>
  <c r="BG90" i="70"/>
  <c r="BF90" i="70"/>
  <c r="BE90" i="70"/>
  <c r="BD90" i="70"/>
  <c r="BC90" i="70"/>
  <c r="BB90" i="70"/>
  <c r="BA90" i="70"/>
  <c r="AZ90" i="70"/>
  <c r="AY90" i="70"/>
  <c r="AX90" i="70"/>
  <c r="AW90" i="70"/>
  <c r="AV90" i="70"/>
  <c r="AU90" i="70"/>
  <c r="AT90" i="70"/>
  <c r="AS90" i="70"/>
  <c r="AR90" i="70"/>
  <c r="AQ90" i="70"/>
  <c r="AP90" i="70"/>
  <c r="AO90" i="70"/>
  <c r="AN90" i="70"/>
  <c r="AM90" i="70"/>
  <c r="AL90" i="70"/>
  <c r="AK90" i="70"/>
  <c r="AJ90" i="70"/>
  <c r="AI90" i="70"/>
  <c r="AH90" i="70"/>
  <c r="AG90" i="70"/>
  <c r="AF90" i="70"/>
  <c r="AE90" i="70"/>
  <c r="AD90" i="70"/>
  <c r="BP89" i="70"/>
  <c r="BO89" i="70"/>
  <c r="BN89" i="70"/>
  <c r="BM89" i="70"/>
  <c r="BL89" i="70"/>
  <c r="BK89" i="70"/>
  <c r="BJ89" i="70"/>
  <c r="BI89" i="70"/>
  <c r="BH89" i="70"/>
  <c r="BG89" i="70"/>
  <c r="BF89" i="70"/>
  <c r="BE89" i="70"/>
  <c r="BD89" i="70"/>
  <c r="BC89" i="70"/>
  <c r="BB89" i="70"/>
  <c r="BA89" i="70"/>
  <c r="AZ89" i="70"/>
  <c r="AY89" i="70"/>
  <c r="AX89" i="70"/>
  <c r="AW89" i="70"/>
  <c r="AV89" i="70"/>
  <c r="AU89" i="70"/>
  <c r="AT89" i="70"/>
  <c r="AS89" i="70"/>
  <c r="AR89" i="70"/>
  <c r="AQ89" i="70"/>
  <c r="AP89" i="70"/>
  <c r="AO89" i="70"/>
  <c r="AN89" i="70"/>
  <c r="AM89" i="70"/>
  <c r="AL89" i="70"/>
  <c r="AK89" i="70"/>
  <c r="AJ89" i="70"/>
  <c r="AI89" i="70"/>
  <c r="AH89" i="70"/>
  <c r="AG89" i="70"/>
  <c r="AF89" i="70"/>
  <c r="AE89" i="70"/>
  <c r="AD89" i="70"/>
  <c r="BP88" i="70"/>
  <c r="BO88" i="70"/>
  <c r="BN88" i="70"/>
  <c r="BM88" i="70"/>
  <c r="BL88" i="70"/>
  <c r="BK88" i="70"/>
  <c r="BJ88" i="70"/>
  <c r="BI88" i="70"/>
  <c r="BH88" i="70"/>
  <c r="BG88" i="70"/>
  <c r="BF88" i="70"/>
  <c r="BE88" i="70"/>
  <c r="BD88" i="70"/>
  <c r="BC88" i="70"/>
  <c r="BB88" i="70"/>
  <c r="BA88" i="70"/>
  <c r="AZ88" i="70"/>
  <c r="AY88" i="70"/>
  <c r="AX88" i="70"/>
  <c r="AW88" i="70"/>
  <c r="AV88" i="70"/>
  <c r="AU88" i="70"/>
  <c r="AT88" i="70"/>
  <c r="AS88" i="70"/>
  <c r="AR88" i="70"/>
  <c r="AQ88" i="70"/>
  <c r="AP88" i="70"/>
  <c r="AO88" i="70"/>
  <c r="AN88" i="70"/>
  <c r="AM88" i="70"/>
  <c r="AL88" i="70"/>
  <c r="AK88" i="70"/>
  <c r="AJ88" i="70"/>
  <c r="AI88" i="70"/>
  <c r="AH88" i="70"/>
  <c r="AG88" i="70"/>
  <c r="AF88" i="70"/>
  <c r="AE88" i="70"/>
  <c r="AD88" i="70"/>
  <c r="BP87" i="70"/>
  <c r="BO87" i="70"/>
  <c r="BN87" i="70"/>
  <c r="BM87" i="70"/>
  <c r="BL87" i="70"/>
  <c r="BK87" i="70"/>
  <c r="BJ87" i="70"/>
  <c r="BI87" i="70"/>
  <c r="BH87" i="70"/>
  <c r="BG87" i="70"/>
  <c r="BF87" i="70"/>
  <c r="BE87" i="70"/>
  <c r="BD87" i="70"/>
  <c r="BC87" i="70"/>
  <c r="BB87" i="70"/>
  <c r="BA87" i="70"/>
  <c r="AZ87" i="70"/>
  <c r="AY87" i="70"/>
  <c r="AX87" i="70"/>
  <c r="AW87" i="70"/>
  <c r="AV87" i="70"/>
  <c r="AU87" i="70"/>
  <c r="AT87" i="70"/>
  <c r="AS87" i="70"/>
  <c r="AR87" i="70"/>
  <c r="AQ87" i="70"/>
  <c r="AP87" i="70"/>
  <c r="AO87" i="70"/>
  <c r="AN87" i="70"/>
  <c r="AM87" i="70"/>
  <c r="AL87" i="70"/>
  <c r="AK87" i="70"/>
  <c r="AJ87" i="70"/>
  <c r="AI87" i="70"/>
  <c r="AH87" i="70"/>
  <c r="AG87" i="70"/>
  <c r="AF87" i="70"/>
  <c r="AE87" i="70"/>
  <c r="AD87" i="70"/>
  <c r="B87" i="70"/>
  <c r="B95" i="70" s="1"/>
  <c r="B97" i="70" s="1"/>
  <c r="A87" i="70"/>
  <c r="AC85" i="70"/>
  <c r="AB85" i="70"/>
  <c r="AA85" i="70"/>
  <c r="Z85" i="70"/>
  <c r="Y85" i="70"/>
  <c r="X85" i="70"/>
  <c r="W85" i="70"/>
  <c r="V85" i="70"/>
  <c r="U85" i="70"/>
  <c r="T85" i="70"/>
  <c r="S85" i="70"/>
  <c r="R85" i="70"/>
  <c r="Q85" i="70"/>
  <c r="P85" i="70"/>
  <c r="O85" i="70"/>
  <c r="N85" i="70"/>
  <c r="M85" i="70"/>
  <c r="L85" i="70"/>
  <c r="K85" i="70"/>
  <c r="J85" i="70"/>
  <c r="I85" i="70"/>
  <c r="H85" i="70"/>
  <c r="C84" i="70"/>
  <c r="C83" i="70"/>
  <c r="E83" i="70" s="1"/>
  <c r="E82" i="70"/>
  <c r="AC81" i="70"/>
  <c r="AB81" i="70"/>
  <c r="AA81" i="70"/>
  <c r="Z81" i="70"/>
  <c r="Y81" i="70"/>
  <c r="X81" i="70"/>
  <c r="W81" i="70"/>
  <c r="V81" i="70"/>
  <c r="U81" i="70"/>
  <c r="T81" i="70"/>
  <c r="S81" i="70"/>
  <c r="R81" i="70"/>
  <c r="Q81" i="70"/>
  <c r="P81" i="70"/>
  <c r="O81" i="70"/>
  <c r="N81" i="70"/>
  <c r="M81" i="70"/>
  <c r="L81" i="70"/>
  <c r="K81" i="70"/>
  <c r="J81" i="70"/>
  <c r="I81" i="70"/>
  <c r="H81" i="70"/>
  <c r="AC80" i="70"/>
  <c r="AB80" i="70"/>
  <c r="AA80" i="70"/>
  <c r="Z80" i="70"/>
  <c r="Y80" i="70"/>
  <c r="X80" i="70"/>
  <c r="W80" i="70"/>
  <c r="V80" i="70"/>
  <c r="U80" i="70"/>
  <c r="T80" i="70"/>
  <c r="S80" i="70"/>
  <c r="R80" i="70"/>
  <c r="Q80" i="70"/>
  <c r="P80" i="70"/>
  <c r="O80" i="70"/>
  <c r="N80" i="70"/>
  <c r="M80" i="70"/>
  <c r="L80" i="70"/>
  <c r="K80" i="70"/>
  <c r="J80" i="70"/>
  <c r="I80" i="70"/>
  <c r="H80" i="70"/>
  <c r="AC79" i="70"/>
  <c r="AB79" i="70"/>
  <c r="AA79" i="70"/>
  <c r="Z79" i="70"/>
  <c r="Y79" i="70"/>
  <c r="X79" i="70"/>
  <c r="W79" i="70"/>
  <c r="V79" i="70"/>
  <c r="U79" i="70"/>
  <c r="T79" i="70"/>
  <c r="S79" i="70"/>
  <c r="R79" i="70"/>
  <c r="Q79" i="70"/>
  <c r="P79" i="70"/>
  <c r="O79" i="70"/>
  <c r="N79" i="70"/>
  <c r="M79" i="70"/>
  <c r="L79" i="70"/>
  <c r="K79" i="70"/>
  <c r="J79" i="70"/>
  <c r="I79" i="70"/>
  <c r="H79" i="70"/>
  <c r="AC78" i="70"/>
  <c r="AB78" i="70"/>
  <c r="AA78" i="70"/>
  <c r="Z78" i="70"/>
  <c r="Y78" i="70"/>
  <c r="X78" i="70"/>
  <c r="W78" i="70"/>
  <c r="V78" i="70"/>
  <c r="U78" i="70"/>
  <c r="T78" i="70"/>
  <c r="S78" i="70"/>
  <c r="R78" i="70"/>
  <c r="Q78" i="70"/>
  <c r="P78" i="70"/>
  <c r="O78" i="70"/>
  <c r="N78" i="70"/>
  <c r="M78" i="70"/>
  <c r="L78" i="70"/>
  <c r="K78" i="70"/>
  <c r="J78" i="70"/>
  <c r="I78" i="70"/>
  <c r="H78" i="70"/>
  <c r="AC77" i="70"/>
  <c r="AB77" i="70"/>
  <c r="AA77" i="70"/>
  <c r="Z77" i="70"/>
  <c r="Y77" i="70"/>
  <c r="X77" i="70"/>
  <c r="W77" i="70"/>
  <c r="V77" i="70"/>
  <c r="U77" i="70"/>
  <c r="T77" i="70"/>
  <c r="S77" i="70"/>
  <c r="R77" i="70"/>
  <c r="Q77" i="70"/>
  <c r="P77" i="70"/>
  <c r="O77" i="70"/>
  <c r="N77" i="70"/>
  <c r="M77" i="70"/>
  <c r="L77" i="70"/>
  <c r="K77" i="70"/>
  <c r="J77" i="70"/>
  <c r="I77" i="70"/>
  <c r="H77" i="70"/>
  <c r="AC76" i="70"/>
  <c r="AB76" i="70"/>
  <c r="AA76" i="70"/>
  <c r="Z76" i="70"/>
  <c r="Y76" i="70"/>
  <c r="X76" i="70"/>
  <c r="W76" i="70"/>
  <c r="V76" i="70"/>
  <c r="U76" i="70"/>
  <c r="T76" i="70"/>
  <c r="S76" i="70"/>
  <c r="R76" i="70"/>
  <c r="Q76" i="70"/>
  <c r="P76" i="70"/>
  <c r="O76" i="70"/>
  <c r="N76" i="70"/>
  <c r="M76" i="70"/>
  <c r="L76" i="70"/>
  <c r="K76" i="70"/>
  <c r="J76" i="70"/>
  <c r="I76" i="70"/>
  <c r="H76" i="70"/>
  <c r="AC75" i="70"/>
  <c r="AB75" i="70"/>
  <c r="AA75" i="70"/>
  <c r="Z75" i="70"/>
  <c r="Y75" i="70"/>
  <c r="X75" i="70"/>
  <c r="W75" i="70"/>
  <c r="V75" i="70"/>
  <c r="U75" i="70"/>
  <c r="T75" i="70"/>
  <c r="S75" i="70"/>
  <c r="R75" i="70"/>
  <c r="Q75" i="70"/>
  <c r="P75" i="70"/>
  <c r="O75" i="70"/>
  <c r="N75" i="70"/>
  <c r="M75" i="70"/>
  <c r="L75" i="70"/>
  <c r="K75" i="70"/>
  <c r="J75" i="70"/>
  <c r="I75" i="70"/>
  <c r="H75" i="70"/>
  <c r="AC74" i="70"/>
  <c r="AB74" i="70"/>
  <c r="AA74" i="70"/>
  <c r="Z74" i="70"/>
  <c r="Y74" i="70"/>
  <c r="X74" i="70"/>
  <c r="W74" i="70"/>
  <c r="V74" i="70"/>
  <c r="U74" i="70"/>
  <c r="T74" i="70"/>
  <c r="S74" i="70"/>
  <c r="R74" i="70"/>
  <c r="Q74" i="70"/>
  <c r="P74" i="70"/>
  <c r="O74" i="70"/>
  <c r="N74" i="70"/>
  <c r="M74" i="70"/>
  <c r="L74" i="70"/>
  <c r="K74" i="70"/>
  <c r="J74" i="70"/>
  <c r="I74" i="70"/>
  <c r="H74" i="70"/>
  <c r="AC73" i="70"/>
  <c r="AB73" i="70"/>
  <c r="AA73" i="70"/>
  <c r="Z73" i="70"/>
  <c r="Y73" i="70"/>
  <c r="X73" i="70"/>
  <c r="W73" i="70"/>
  <c r="V73" i="70"/>
  <c r="U73" i="70"/>
  <c r="T73" i="70"/>
  <c r="S73" i="70"/>
  <c r="R73" i="70"/>
  <c r="Q73" i="70"/>
  <c r="P73" i="70"/>
  <c r="O73" i="70"/>
  <c r="N73" i="70"/>
  <c r="M73" i="70"/>
  <c r="L73" i="70"/>
  <c r="K73" i="70"/>
  <c r="J73" i="70"/>
  <c r="I73" i="70"/>
  <c r="H73" i="70"/>
  <c r="AC72" i="70"/>
  <c r="AB72" i="70"/>
  <c r="AA72" i="70"/>
  <c r="Z72" i="70"/>
  <c r="Y72" i="70"/>
  <c r="X72" i="70"/>
  <c r="W72" i="70"/>
  <c r="V72" i="70"/>
  <c r="U72" i="70"/>
  <c r="T72" i="70"/>
  <c r="S72" i="70"/>
  <c r="R72" i="70"/>
  <c r="Q72" i="70"/>
  <c r="P72" i="70"/>
  <c r="O72" i="70"/>
  <c r="N72" i="70"/>
  <c r="M72" i="70"/>
  <c r="L72" i="70"/>
  <c r="K72" i="70"/>
  <c r="J72" i="70"/>
  <c r="I72" i="70"/>
  <c r="H72" i="70"/>
  <c r="AC71" i="70"/>
  <c r="AB71" i="70"/>
  <c r="AA71" i="70"/>
  <c r="Z71" i="70"/>
  <c r="Y71" i="70"/>
  <c r="X71" i="70"/>
  <c r="W71" i="70"/>
  <c r="V71" i="70"/>
  <c r="U71" i="70"/>
  <c r="T71" i="70"/>
  <c r="S71" i="70"/>
  <c r="R71" i="70"/>
  <c r="Q71" i="70"/>
  <c r="P71" i="70"/>
  <c r="O71" i="70"/>
  <c r="N71" i="70"/>
  <c r="M71" i="70"/>
  <c r="L71" i="70"/>
  <c r="K71" i="70"/>
  <c r="J71" i="70"/>
  <c r="I71" i="70"/>
  <c r="H71" i="70"/>
  <c r="AC65" i="70"/>
  <c r="AB65" i="70"/>
  <c r="AA65" i="70"/>
  <c r="Z65" i="70"/>
  <c r="Y65" i="70"/>
  <c r="X65" i="70"/>
  <c r="W65" i="70"/>
  <c r="V65" i="70"/>
  <c r="U65" i="70"/>
  <c r="T65" i="70"/>
  <c r="S65" i="70"/>
  <c r="R65" i="70"/>
  <c r="Q65" i="70"/>
  <c r="P65" i="70"/>
  <c r="O65" i="70"/>
  <c r="N65" i="70"/>
  <c r="M65" i="70"/>
  <c r="L65" i="70"/>
  <c r="K65" i="70"/>
  <c r="J65" i="70"/>
  <c r="I65" i="70"/>
  <c r="H65" i="70"/>
  <c r="D65" i="70"/>
  <c r="AC64" i="70"/>
  <c r="AB64" i="70"/>
  <c r="AA64" i="70"/>
  <c r="Z64" i="70"/>
  <c r="Y64" i="70"/>
  <c r="X64" i="70"/>
  <c r="W64" i="70"/>
  <c r="V64" i="70"/>
  <c r="U64" i="70"/>
  <c r="T64" i="70"/>
  <c r="S64" i="70"/>
  <c r="R64" i="70"/>
  <c r="Q64" i="70"/>
  <c r="P64" i="70"/>
  <c r="O64" i="70"/>
  <c r="N64" i="70"/>
  <c r="M64" i="70"/>
  <c r="L64" i="70"/>
  <c r="K64" i="70"/>
  <c r="J64" i="70"/>
  <c r="I64" i="70"/>
  <c r="H64" i="70"/>
  <c r="D64" i="70"/>
  <c r="D80" i="70" s="1"/>
  <c r="E80" i="70" s="1"/>
  <c r="AC63" i="70"/>
  <c r="AB63" i="70"/>
  <c r="AA63" i="70"/>
  <c r="Z63" i="70"/>
  <c r="Y63" i="70"/>
  <c r="X63" i="70"/>
  <c r="W63" i="70"/>
  <c r="V63" i="70"/>
  <c r="U63" i="70"/>
  <c r="T63" i="70"/>
  <c r="S63" i="70"/>
  <c r="R63" i="70"/>
  <c r="Q63" i="70"/>
  <c r="P63" i="70"/>
  <c r="O63" i="70"/>
  <c r="N63" i="70"/>
  <c r="M63" i="70"/>
  <c r="L63" i="70"/>
  <c r="K63" i="70"/>
  <c r="J63" i="70"/>
  <c r="I63" i="70"/>
  <c r="H63" i="70"/>
  <c r="D63" i="70"/>
  <c r="AC62" i="70"/>
  <c r="AB62" i="70"/>
  <c r="AA62" i="70"/>
  <c r="Z62" i="70"/>
  <c r="Y62" i="70"/>
  <c r="X62" i="70"/>
  <c r="W62" i="70"/>
  <c r="V62" i="70"/>
  <c r="U62" i="70"/>
  <c r="T62" i="70"/>
  <c r="S62" i="70"/>
  <c r="R62" i="70"/>
  <c r="Q62" i="70"/>
  <c r="P62" i="70"/>
  <c r="O62" i="70"/>
  <c r="N62" i="70"/>
  <c r="M62" i="70"/>
  <c r="L62" i="70"/>
  <c r="K62" i="70"/>
  <c r="J62" i="70"/>
  <c r="I62" i="70"/>
  <c r="H62" i="70"/>
  <c r="D62" i="70"/>
  <c r="D78" i="70" s="1"/>
  <c r="E78" i="70" s="1"/>
  <c r="AC61" i="70"/>
  <c r="AB61" i="70"/>
  <c r="AA61" i="70"/>
  <c r="Z61" i="70"/>
  <c r="Y61" i="70"/>
  <c r="X61" i="70"/>
  <c r="W61" i="70"/>
  <c r="V61" i="70"/>
  <c r="U61" i="70"/>
  <c r="T61" i="70"/>
  <c r="S61" i="70"/>
  <c r="R61" i="70"/>
  <c r="Q61" i="70"/>
  <c r="P61" i="70"/>
  <c r="O61" i="70"/>
  <c r="N61" i="70"/>
  <c r="M61" i="70"/>
  <c r="L61" i="70"/>
  <c r="K61" i="70"/>
  <c r="J61" i="70"/>
  <c r="I61" i="70"/>
  <c r="H61" i="70"/>
  <c r="E61" i="70"/>
  <c r="D61" i="70"/>
  <c r="D77" i="70" s="1"/>
  <c r="E77" i="70" s="1"/>
  <c r="AC60" i="70"/>
  <c r="AB60" i="70"/>
  <c r="AA60" i="70"/>
  <c r="Z60" i="70"/>
  <c r="Y60" i="70"/>
  <c r="X60" i="70"/>
  <c r="W60" i="70"/>
  <c r="V60" i="70"/>
  <c r="U60" i="70"/>
  <c r="T60" i="70"/>
  <c r="S60" i="70"/>
  <c r="R60" i="70"/>
  <c r="Q60" i="70"/>
  <c r="P60" i="70"/>
  <c r="O60" i="70"/>
  <c r="N60" i="70"/>
  <c r="M60" i="70"/>
  <c r="L60" i="70"/>
  <c r="K60" i="70"/>
  <c r="J60" i="70"/>
  <c r="I60" i="70"/>
  <c r="H60" i="70"/>
  <c r="D60" i="70"/>
  <c r="AC59" i="70"/>
  <c r="AB59" i="70"/>
  <c r="AA59" i="70"/>
  <c r="Z59" i="70"/>
  <c r="Y59" i="70"/>
  <c r="X59" i="70"/>
  <c r="W59" i="70"/>
  <c r="V59" i="70"/>
  <c r="U59" i="70"/>
  <c r="T59" i="70"/>
  <c r="S59" i="70"/>
  <c r="R59" i="70"/>
  <c r="Q59" i="70"/>
  <c r="P59" i="70"/>
  <c r="O59" i="70"/>
  <c r="N59" i="70"/>
  <c r="M59" i="70"/>
  <c r="L59" i="70"/>
  <c r="K59" i="70"/>
  <c r="J59" i="70"/>
  <c r="I59" i="70"/>
  <c r="H59" i="70"/>
  <c r="E59" i="70"/>
  <c r="D59" i="70"/>
  <c r="D75" i="70" s="1"/>
  <c r="E75" i="70" s="1"/>
  <c r="AC58" i="70"/>
  <c r="AB58" i="70"/>
  <c r="AA58" i="70"/>
  <c r="Z58" i="70"/>
  <c r="Y58" i="70"/>
  <c r="X58" i="70"/>
  <c r="W58" i="70"/>
  <c r="V58" i="70"/>
  <c r="U58" i="70"/>
  <c r="T58" i="70"/>
  <c r="S58" i="70"/>
  <c r="R58" i="70"/>
  <c r="Q58" i="70"/>
  <c r="P58" i="70"/>
  <c r="O58" i="70"/>
  <c r="N58" i="70"/>
  <c r="M58" i="70"/>
  <c r="L58" i="70"/>
  <c r="K58" i="70"/>
  <c r="J58" i="70"/>
  <c r="I58" i="70"/>
  <c r="H58" i="70"/>
  <c r="E58" i="70"/>
  <c r="D58" i="70"/>
  <c r="D74" i="70" s="1"/>
  <c r="E74" i="70" s="1"/>
  <c r="AC57" i="70"/>
  <c r="AB57" i="70"/>
  <c r="AA57" i="70"/>
  <c r="Z57" i="70"/>
  <c r="Y57" i="70"/>
  <c r="X57" i="70"/>
  <c r="W57" i="70"/>
  <c r="V57" i="70"/>
  <c r="U57" i="70"/>
  <c r="T57" i="70"/>
  <c r="S57" i="70"/>
  <c r="R57" i="70"/>
  <c r="Q57" i="70"/>
  <c r="P57" i="70"/>
  <c r="O57" i="70"/>
  <c r="N57" i="70"/>
  <c r="M57" i="70"/>
  <c r="L57" i="70"/>
  <c r="K57" i="70"/>
  <c r="J57" i="70"/>
  <c r="I57" i="70"/>
  <c r="H57" i="70"/>
  <c r="E57" i="70"/>
  <c r="D57" i="70"/>
  <c r="D73" i="70" s="1"/>
  <c r="E73" i="70" s="1"/>
  <c r="AC56" i="70"/>
  <c r="AB56" i="70"/>
  <c r="AA56" i="70"/>
  <c r="Z56" i="70"/>
  <c r="Y56" i="70"/>
  <c r="X56" i="70"/>
  <c r="W56" i="70"/>
  <c r="V56" i="70"/>
  <c r="U56" i="70"/>
  <c r="T56" i="70"/>
  <c r="S56" i="70"/>
  <c r="R56" i="70"/>
  <c r="Q56" i="70"/>
  <c r="P56" i="70"/>
  <c r="O56" i="70"/>
  <c r="N56" i="70"/>
  <c r="M56" i="70"/>
  <c r="L56" i="70"/>
  <c r="K56" i="70"/>
  <c r="J56" i="70"/>
  <c r="I56" i="70"/>
  <c r="H56" i="70"/>
  <c r="D56" i="70"/>
  <c r="D72" i="70" s="1"/>
  <c r="E72" i="70" s="1"/>
  <c r="AC55" i="70"/>
  <c r="AB55" i="70"/>
  <c r="AA55" i="70"/>
  <c r="Z55" i="70"/>
  <c r="Y55" i="70"/>
  <c r="X55" i="70"/>
  <c r="W55" i="70"/>
  <c r="V55" i="70"/>
  <c r="U55" i="70"/>
  <c r="T55" i="70"/>
  <c r="S55" i="70"/>
  <c r="R55" i="70"/>
  <c r="Q55" i="70"/>
  <c r="P55" i="70"/>
  <c r="O55" i="70"/>
  <c r="N55" i="70"/>
  <c r="M55" i="70"/>
  <c r="L55" i="70"/>
  <c r="K55" i="70"/>
  <c r="J55" i="70"/>
  <c r="I55" i="70"/>
  <c r="H55" i="70"/>
  <c r="E55" i="70"/>
  <c r="D55" i="70"/>
  <c r="D71" i="70" s="1"/>
  <c r="E71" i="70" s="1"/>
  <c r="E54" i="70"/>
  <c r="D54" i="70"/>
  <c r="D70" i="70" s="1"/>
  <c r="E70" i="70" s="1"/>
  <c r="E53" i="70"/>
  <c r="D53" i="70"/>
  <c r="D69" i="70" s="1"/>
  <c r="E69" i="70" s="1"/>
  <c r="E52" i="70"/>
  <c r="D52" i="70"/>
  <c r="D68" i="70" s="1"/>
  <c r="E68" i="70" s="1"/>
  <c r="F51" i="70"/>
  <c r="F52" i="70" s="1"/>
  <c r="F53" i="70" s="1"/>
  <c r="F54" i="70" s="1"/>
  <c r="F55" i="70" s="1"/>
  <c r="F56" i="70" s="1"/>
  <c r="F57" i="70" s="1"/>
  <c r="F58" i="70" s="1"/>
  <c r="F59" i="70" s="1"/>
  <c r="F60" i="70" s="1"/>
  <c r="F61" i="70" s="1"/>
  <c r="F62" i="70" s="1"/>
  <c r="F63" i="70" s="1"/>
  <c r="F64" i="70" s="1"/>
  <c r="F65" i="70" s="1"/>
  <c r="F66" i="70" s="1"/>
  <c r="F67" i="70" s="1"/>
  <c r="F68" i="70" s="1"/>
  <c r="F69" i="70" s="1"/>
  <c r="F70" i="70" s="1"/>
  <c r="F71" i="70" s="1"/>
  <c r="F72" i="70" s="1"/>
  <c r="F73" i="70" s="1"/>
  <c r="F74" i="70" s="1"/>
  <c r="F75" i="70" s="1"/>
  <c r="F76" i="70" s="1"/>
  <c r="F77" i="70" s="1"/>
  <c r="F78" i="70" s="1"/>
  <c r="F79" i="70" s="1"/>
  <c r="F80" i="70" s="1"/>
  <c r="F81" i="70" s="1"/>
  <c r="F82" i="70" s="1"/>
  <c r="F83" i="70" s="1"/>
  <c r="F84" i="70" s="1"/>
  <c r="F85" i="70" s="1"/>
  <c r="E51" i="70"/>
  <c r="D51" i="70"/>
  <c r="D67" i="70" s="1"/>
  <c r="E67" i="70" s="1"/>
  <c r="D50" i="70"/>
  <c r="B50" i="70"/>
  <c r="B51" i="70" s="1"/>
  <c r="B52" i="70" s="1"/>
  <c r="B53" i="70" s="1"/>
  <c r="B54" i="70" s="1"/>
  <c r="B55" i="70" s="1"/>
  <c r="B56" i="70" s="1"/>
  <c r="B57" i="70" s="1"/>
  <c r="B58" i="70" s="1"/>
  <c r="B59" i="70" s="1"/>
  <c r="B60" i="70" s="1"/>
  <c r="B61" i="70" s="1"/>
  <c r="B62" i="70" s="1"/>
  <c r="B63" i="70" s="1"/>
  <c r="B64" i="70" s="1"/>
  <c r="B65" i="70" s="1"/>
  <c r="B66" i="70" s="1"/>
  <c r="B67" i="70" s="1"/>
  <c r="B68" i="70" s="1"/>
  <c r="B69" i="70" s="1"/>
  <c r="B70" i="70" s="1"/>
  <c r="B71" i="70" s="1"/>
  <c r="B72" i="70" s="1"/>
  <c r="B73" i="70" s="1"/>
  <c r="B74" i="70" s="1"/>
  <c r="B75" i="70" s="1"/>
  <c r="B76" i="70" s="1"/>
  <c r="B77" i="70" s="1"/>
  <c r="B78" i="70" s="1"/>
  <c r="B79" i="70" s="1"/>
  <c r="B80" i="70" s="1"/>
  <c r="B81" i="70" s="1"/>
  <c r="B82" i="70" s="1"/>
  <c r="B83" i="70" s="1"/>
  <c r="B84" i="70" s="1"/>
  <c r="B85" i="70" s="1"/>
  <c r="A50" i="70"/>
  <c r="A51" i="70" s="1"/>
  <c r="A52" i="70" s="1"/>
  <c r="A53" i="70" s="1"/>
  <c r="A54" i="70" s="1"/>
  <c r="A55" i="70" s="1"/>
  <c r="A56" i="70" s="1"/>
  <c r="A57" i="70" s="1"/>
  <c r="A58" i="70" s="1"/>
  <c r="A59" i="70" s="1"/>
  <c r="A60" i="70" s="1"/>
  <c r="A61" i="70" s="1"/>
  <c r="A62" i="70" s="1"/>
  <c r="A63" i="70" s="1"/>
  <c r="A64" i="70" s="1"/>
  <c r="A65" i="70" s="1"/>
  <c r="A66" i="70" s="1"/>
  <c r="A67" i="70" s="1"/>
  <c r="A68" i="70" s="1"/>
  <c r="A69" i="70" s="1"/>
  <c r="A70" i="70" s="1"/>
  <c r="A71" i="70" s="1"/>
  <c r="A72" i="70" s="1"/>
  <c r="A73" i="70" s="1"/>
  <c r="A74" i="70" s="1"/>
  <c r="A75" i="70" s="1"/>
  <c r="A76" i="70" s="1"/>
  <c r="A77" i="70" s="1"/>
  <c r="A78" i="70" s="1"/>
  <c r="A79" i="70" s="1"/>
  <c r="A80" i="70" s="1"/>
  <c r="A81" i="70" s="1"/>
  <c r="A82" i="70" s="1"/>
  <c r="A83" i="70" s="1"/>
  <c r="A84" i="70" s="1"/>
  <c r="A85" i="70" s="1"/>
  <c r="AC48" i="70"/>
  <c r="AB48" i="70"/>
  <c r="AA48" i="70"/>
  <c r="Z48" i="70"/>
  <c r="Y48" i="70"/>
  <c r="X48" i="70"/>
  <c r="W48" i="70"/>
  <c r="V48" i="70"/>
  <c r="U48" i="70"/>
  <c r="T48" i="70"/>
  <c r="S48" i="70"/>
  <c r="R48" i="70"/>
  <c r="Q48" i="70"/>
  <c r="P48" i="70"/>
  <c r="O48" i="70"/>
  <c r="N48" i="70"/>
  <c r="M48" i="70"/>
  <c r="L48" i="70"/>
  <c r="K48" i="70"/>
  <c r="J48" i="70"/>
  <c r="I48" i="70"/>
  <c r="H48" i="70"/>
  <c r="E48" i="70"/>
  <c r="B48" i="70"/>
  <c r="E47" i="70"/>
  <c r="B47" i="70"/>
  <c r="E46" i="70"/>
  <c r="B46" i="70"/>
  <c r="A46" i="70"/>
  <c r="E45" i="70"/>
  <c r="B45" i="70"/>
  <c r="A45" i="70"/>
  <c r="A47" i="70" s="1"/>
  <c r="A48" i="70" s="1"/>
  <c r="BP43" i="70"/>
  <c r="BP84" i="70" s="1"/>
  <c r="BO43" i="70"/>
  <c r="BO84" i="70" s="1"/>
  <c r="BN43" i="70"/>
  <c r="BN84" i="70" s="1"/>
  <c r="BM43" i="70"/>
  <c r="BM84" i="70" s="1"/>
  <c r="BL43" i="70"/>
  <c r="BL84" i="70" s="1"/>
  <c r="BK43" i="70"/>
  <c r="BK84" i="70" s="1"/>
  <c r="BJ43" i="70"/>
  <c r="BJ84" i="70" s="1"/>
  <c r="BI43" i="70"/>
  <c r="BI84" i="70" s="1"/>
  <c r="BH43" i="70"/>
  <c r="BH84" i="70" s="1"/>
  <c r="BG43" i="70"/>
  <c r="BG84" i="70" s="1"/>
  <c r="BF43" i="70"/>
  <c r="BF84" i="70" s="1"/>
  <c r="BE43" i="70"/>
  <c r="BE84" i="70" s="1"/>
  <c r="BD43" i="70"/>
  <c r="BD84" i="70" s="1"/>
  <c r="BC43" i="70"/>
  <c r="BC84" i="70" s="1"/>
  <c r="BB43" i="70"/>
  <c r="BB84" i="70" s="1"/>
  <c r="BA43" i="70"/>
  <c r="BA84" i="70" s="1"/>
  <c r="AZ43" i="70"/>
  <c r="AZ84" i="70" s="1"/>
  <c r="AY43" i="70"/>
  <c r="AY84" i="70" s="1"/>
  <c r="AX43" i="70"/>
  <c r="AX84" i="70" s="1"/>
  <c r="AW43" i="70"/>
  <c r="AW84" i="70" s="1"/>
  <c r="AV43" i="70"/>
  <c r="AV84" i="70" s="1"/>
  <c r="AU43" i="70"/>
  <c r="AU84" i="70" s="1"/>
  <c r="AT43" i="70"/>
  <c r="AT84" i="70" s="1"/>
  <c r="AS43" i="70"/>
  <c r="AS84" i="70" s="1"/>
  <c r="AR43" i="70"/>
  <c r="AR84" i="70" s="1"/>
  <c r="AQ43" i="70"/>
  <c r="AQ84" i="70" s="1"/>
  <c r="AP43" i="70"/>
  <c r="AP84" i="70" s="1"/>
  <c r="AO43" i="70"/>
  <c r="AO84" i="70" s="1"/>
  <c r="AN43" i="70"/>
  <c r="AN84" i="70" s="1"/>
  <c r="AM43" i="70"/>
  <c r="AM84" i="70" s="1"/>
  <c r="AL43" i="70"/>
  <c r="AL84" i="70" s="1"/>
  <c r="AK43" i="70"/>
  <c r="AK84" i="70" s="1"/>
  <c r="AJ43" i="70"/>
  <c r="AJ84" i="70" s="1"/>
  <c r="AI43" i="70"/>
  <c r="AI84" i="70" s="1"/>
  <c r="AH43" i="70"/>
  <c r="AH84" i="70" s="1"/>
  <c r="AG43" i="70"/>
  <c r="AG84" i="70" s="1"/>
  <c r="AF43" i="70"/>
  <c r="AF84" i="70" s="1"/>
  <c r="AE43" i="70"/>
  <c r="AE84" i="70" s="1"/>
  <c r="AD43" i="70"/>
  <c r="AD84" i="70" s="1"/>
  <c r="AF42" i="70"/>
  <c r="AE42" i="70"/>
  <c r="AE83" i="70" s="1"/>
  <c r="AD42" i="70"/>
  <c r="AD83" i="70" s="1"/>
  <c r="A41" i="70"/>
  <c r="A42" i="70" s="1"/>
  <c r="A43" i="70" s="1"/>
  <c r="BP39" i="70"/>
  <c r="AW1444" i="67" s="1"/>
  <c r="BO39" i="70"/>
  <c r="AV1444" i="67" s="1"/>
  <c r="BN39" i="70"/>
  <c r="AU1444" i="67" s="1"/>
  <c r="BM39" i="70"/>
  <c r="AT1444" i="67" s="1"/>
  <c r="BL39" i="70"/>
  <c r="AS1444" i="67" s="1"/>
  <c r="BK39" i="70"/>
  <c r="AR1444" i="67" s="1"/>
  <c r="BJ39" i="70"/>
  <c r="AQ1444" i="67" s="1"/>
  <c r="BI39" i="70"/>
  <c r="AP1444" i="67" s="1"/>
  <c r="BH39" i="70"/>
  <c r="AO1444" i="67" s="1"/>
  <c r="BG39" i="70"/>
  <c r="AN1444" i="67" s="1"/>
  <c r="BF39" i="70"/>
  <c r="AM1444" i="67" s="1"/>
  <c r="BE39" i="70"/>
  <c r="AL1444" i="67" s="1"/>
  <c r="BD39" i="70"/>
  <c r="AK1444" i="67" s="1"/>
  <c r="BC39" i="70"/>
  <c r="AJ1444" i="67" s="1"/>
  <c r="BB39" i="70"/>
  <c r="AI1444" i="67" s="1"/>
  <c r="BA39" i="70"/>
  <c r="AH1444" i="67" s="1"/>
  <c r="AZ39" i="70"/>
  <c r="AG1444" i="67" s="1"/>
  <c r="AY39" i="70"/>
  <c r="AF1444" i="67" s="1"/>
  <c r="AX39" i="70"/>
  <c r="AE1444" i="67" s="1"/>
  <c r="AW39" i="70"/>
  <c r="AD1444" i="67" s="1"/>
  <c r="AV39" i="70"/>
  <c r="AC1444" i="67" s="1"/>
  <c r="AU39" i="70"/>
  <c r="AB1444" i="67" s="1"/>
  <c r="AT39" i="70"/>
  <c r="AA1444" i="67" s="1"/>
  <c r="AS39" i="70"/>
  <c r="Z1444" i="67" s="1"/>
  <c r="AR39" i="70"/>
  <c r="Y1444" i="67" s="1"/>
  <c r="AQ39" i="70"/>
  <c r="X1444" i="67" s="1"/>
  <c r="AP39" i="70"/>
  <c r="W1444" i="67" s="1"/>
  <c r="AO39" i="70"/>
  <c r="V1444" i="67" s="1"/>
  <c r="AN39" i="70"/>
  <c r="U1444" i="67" s="1"/>
  <c r="AM39" i="70"/>
  <c r="T1444" i="67" s="1"/>
  <c r="AL39" i="70"/>
  <c r="S1444" i="67" s="1"/>
  <c r="AK39" i="70"/>
  <c r="R1444" i="67" s="1"/>
  <c r="AJ39" i="70"/>
  <c r="Q1444" i="67" s="1"/>
  <c r="AI39" i="70"/>
  <c r="P1444" i="67" s="1"/>
  <c r="AH39" i="70"/>
  <c r="O1444" i="67" s="1"/>
  <c r="AG39" i="70"/>
  <c r="N1444" i="67" s="1"/>
  <c r="AF39" i="70"/>
  <c r="M1444" i="67" s="1"/>
  <c r="AE39" i="70"/>
  <c r="L1444" i="67" s="1"/>
  <c r="AD39" i="70"/>
  <c r="K1444" i="67" s="1"/>
  <c r="E39" i="70"/>
  <c r="C39" i="70"/>
  <c r="C35" i="70" s="1"/>
  <c r="BP38" i="70"/>
  <c r="AW1443" i="67" s="1"/>
  <c r="BO38" i="70"/>
  <c r="AV1443" i="67" s="1"/>
  <c r="BN38" i="70"/>
  <c r="AU1443" i="67" s="1"/>
  <c r="BM38" i="70"/>
  <c r="AT1443" i="67" s="1"/>
  <c r="BL38" i="70"/>
  <c r="AS1443" i="67" s="1"/>
  <c r="BK38" i="70"/>
  <c r="AR1443" i="67" s="1"/>
  <c r="BJ38" i="70"/>
  <c r="AQ1443" i="67" s="1"/>
  <c r="BI38" i="70"/>
  <c r="AP1443" i="67" s="1"/>
  <c r="BH38" i="70"/>
  <c r="AO1443" i="67" s="1"/>
  <c r="BG38" i="70"/>
  <c r="AN1443" i="67" s="1"/>
  <c r="BF38" i="70"/>
  <c r="AM1443" i="67" s="1"/>
  <c r="BE38" i="70"/>
  <c r="AL1443" i="67" s="1"/>
  <c r="BD38" i="70"/>
  <c r="AK1443" i="67" s="1"/>
  <c r="BC38" i="70"/>
  <c r="AJ1443" i="67" s="1"/>
  <c r="BB38" i="70"/>
  <c r="AI1443" i="67" s="1"/>
  <c r="BA38" i="70"/>
  <c r="AH1443" i="67" s="1"/>
  <c r="AZ38" i="70"/>
  <c r="AG1443" i="67" s="1"/>
  <c r="AY38" i="70"/>
  <c r="AF1443" i="67" s="1"/>
  <c r="AX38" i="70"/>
  <c r="AE1443" i="67" s="1"/>
  <c r="AW38" i="70"/>
  <c r="AD1443" i="67" s="1"/>
  <c r="AV38" i="70"/>
  <c r="AC1443" i="67" s="1"/>
  <c r="AU38" i="70"/>
  <c r="AB1443" i="67" s="1"/>
  <c r="AT38" i="70"/>
  <c r="AA1443" i="67" s="1"/>
  <c r="AS38" i="70"/>
  <c r="Z1443" i="67" s="1"/>
  <c r="AR38" i="70"/>
  <c r="Y1443" i="67" s="1"/>
  <c r="AQ38" i="70"/>
  <c r="X1443" i="67" s="1"/>
  <c r="AP38" i="70"/>
  <c r="W1443" i="67" s="1"/>
  <c r="AO38" i="70"/>
  <c r="V1443" i="67" s="1"/>
  <c r="AN38" i="70"/>
  <c r="U1443" i="67" s="1"/>
  <c r="AM38" i="70"/>
  <c r="T1443" i="67" s="1"/>
  <c r="AL38" i="70"/>
  <c r="S1443" i="67" s="1"/>
  <c r="AK38" i="70"/>
  <c r="R1443" i="67" s="1"/>
  <c r="AJ38" i="70"/>
  <c r="Q1443" i="67" s="1"/>
  <c r="AI38" i="70"/>
  <c r="P1443" i="67" s="1"/>
  <c r="AH38" i="70"/>
  <c r="O1443" i="67" s="1"/>
  <c r="AG38" i="70"/>
  <c r="N1443" i="67" s="1"/>
  <c r="AF38" i="70"/>
  <c r="M1443" i="67" s="1"/>
  <c r="AE38" i="70"/>
  <c r="L1443" i="67" s="1"/>
  <c r="AD38" i="70"/>
  <c r="K1443" i="67" s="1"/>
  <c r="E38" i="70"/>
  <c r="BP37" i="70"/>
  <c r="AW1442" i="67" s="1"/>
  <c r="BO37" i="70"/>
  <c r="AV1442" i="67" s="1"/>
  <c r="BN37" i="70"/>
  <c r="AU1442" i="67" s="1"/>
  <c r="BM37" i="70"/>
  <c r="AT1442" i="67" s="1"/>
  <c r="BL37" i="70"/>
  <c r="AS1442" i="67" s="1"/>
  <c r="BK37" i="70"/>
  <c r="AR1442" i="67" s="1"/>
  <c r="BJ37" i="70"/>
  <c r="AQ1442" i="67" s="1"/>
  <c r="BI37" i="70"/>
  <c r="AP1442" i="67" s="1"/>
  <c r="BH37" i="70"/>
  <c r="AO1442" i="67" s="1"/>
  <c r="BG37" i="70"/>
  <c r="AN1442" i="67" s="1"/>
  <c r="BF37" i="70"/>
  <c r="AM1442" i="67" s="1"/>
  <c r="BE37" i="70"/>
  <c r="AL1442" i="67" s="1"/>
  <c r="BD37" i="70"/>
  <c r="AK1442" i="67" s="1"/>
  <c r="BC37" i="70"/>
  <c r="AJ1442" i="67" s="1"/>
  <c r="BB37" i="70"/>
  <c r="AI1442" i="67" s="1"/>
  <c r="BA37" i="70"/>
  <c r="AH1442" i="67" s="1"/>
  <c r="AZ37" i="70"/>
  <c r="AG1442" i="67" s="1"/>
  <c r="AY37" i="70"/>
  <c r="AF1442" i="67" s="1"/>
  <c r="AX37" i="70"/>
  <c r="AE1442" i="67" s="1"/>
  <c r="AW37" i="70"/>
  <c r="AD1442" i="67" s="1"/>
  <c r="AV37" i="70"/>
  <c r="AC1442" i="67" s="1"/>
  <c r="AU37" i="70"/>
  <c r="AB1442" i="67" s="1"/>
  <c r="AT37" i="70"/>
  <c r="AA1442" i="67" s="1"/>
  <c r="AS37" i="70"/>
  <c r="Z1442" i="67" s="1"/>
  <c r="AR37" i="70"/>
  <c r="Y1442" i="67" s="1"/>
  <c r="AQ37" i="70"/>
  <c r="X1442" i="67" s="1"/>
  <c r="AP37" i="70"/>
  <c r="W1442" i="67" s="1"/>
  <c r="AO37" i="70"/>
  <c r="V1442" i="67" s="1"/>
  <c r="AN37" i="70"/>
  <c r="U1442" i="67" s="1"/>
  <c r="AM37" i="70"/>
  <c r="T1442" i="67" s="1"/>
  <c r="AL37" i="70"/>
  <c r="S1442" i="67" s="1"/>
  <c r="AK37" i="70"/>
  <c r="R1442" i="67" s="1"/>
  <c r="AJ37" i="70"/>
  <c r="Q1442" i="67" s="1"/>
  <c r="AI37" i="70"/>
  <c r="P1442" i="67" s="1"/>
  <c r="AH37" i="70"/>
  <c r="O1442" i="67" s="1"/>
  <c r="AG37" i="70"/>
  <c r="N1442" i="67" s="1"/>
  <c r="AF37" i="70"/>
  <c r="M1442" i="67" s="1"/>
  <c r="AE37" i="70"/>
  <c r="L1442" i="67" s="1"/>
  <c r="AD37" i="70"/>
  <c r="K1442" i="67" s="1"/>
  <c r="E37" i="70"/>
  <c r="C37" i="70"/>
  <c r="C38" i="70" s="1"/>
  <c r="BP36" i="70"/>
  <c r="AW1441" i="67" s="1"/>
  <c r="BO36" i="70"/>
  <c r="AV1441" i="67" s="1"/>
  <c r="BN36" i="70"/>
  <c r="AU1441" i="67" s="1"/>
  <c r="BM36" i="70"/>
  <c r="AT1441" i="67" s="1"/>
  <c r="BL36" i="70"/>
  <c r="AS1441" i="67" s="1"/>
  <c r="BK36" i="70"/>
  <c r="AR1441" i="67" s="1"/>
  <c r="BJ36" i="70"/>
  <c r="AQ1441" i="67" s="1"/>
  <c r="BI36" i="70"/>
  <c r="AP1441" i="67" s="1"/>
  <c r="BH36" i="70"/>
  <c r="AO1441" i="67" s="1"/>
  <c r="BG36" i="70"/>
  <c r="AN1441" i="67" s="1"/>
  <c r="BF36" i="70"/>
  <c r="AM1441" i="67" s="1"/>
  <c r="BE36" i="70"/>
  <c r="AL1441" i="67" s="1"/>
  <c r="BD36" i="70"/>
  <c r="AK1441" i="67" s="1"/>
  <c r="BC36" i="70"/>
  <c r="AJ1441" i="67" s="1"/>
  <c r="BB36" i="70"/>
  <c r="AI1441" i="67" s="1"/>
  <c r="BA36" i="70"/>
  <c r="AH1441" i="67" s="1"/>
  <c r="AZ36" i="70"/>
  <c r="AG1441" i="67" s="1"/>
  <c r="AY36" i="70"/>
  <c r="AF1441" i="67" s="1"/>
  <c r="AX36" i="70"/>
  <c r="AE1441" i="67" s="1"/>
  <c r="AW36" i="70"/>
  <c r="AD1441" i="67" s="1"/>
  <c r="AV36" i="70"/>
  <c r="AC1441" i="67" s="1"/>
  <c r="AU36" i="70"/>
  <c r="AB1441" i="67" s="1"/>
  <c r="AT36" i="70"/>
  <c r="AA1441" i="67" s="1"/>
  <c r="AS36" i="70"/>
  <c r="Z1441" i="67" s="1"/>
  <c r="AR36" i="70"/>
  <c r="Y1441" i="67" s="1"/>
  <c r="AQ36" i="70"/>
  <c r="X1441" i="67" s="1"/>
  <c r="AP36" i="70"/>
  <c r="W1441" i="67" s="1"/>
  <c r="AO36" i="70"/>
  <c r="V1441" i="67" s="1"/>
  <c r="AN36" i="70"/>
  <c r="U1441" i="67" s="1"/>
  <c r="AM36" i="70"/>
  <c r="T1441" i="67" s="1"/>
  <c r="AL36" i="70"/>
  <c r="S1441" i="67" s="1"/>
  <c r="AK36" i="70"/>
  <c r="R1441" i="67" s="1"/>
  <c r="AJ36" i="70"/>
  <c r="Q1441" i="67" s="1"/>
  <c r="AI36" i="70"/>
  <c r="P1441" i="67" s="1"/>
  <c r="AH36" i="70"/>
  <c r="O1441" i="67" s="1"/>
  <c r="AG36" i="70"/>
  <c r="N1441" i="67" s="1"/>
  <c r="AF36" i="70"/>
  <c r="M1441" i="67" s="1"/>
  <c r="AE36" i="70"/>
  <c r="L1441" i="67" s="1"/>
  <c r="AD36" i="70"/>
  <c r="K1441" i="67" s="1"/>
  <c r="E36" i="70"/>
  <c r="C36" i="70"/>
  <c r="BP35" i="70"/>
  <c r="AW1440" i="67" s="1"/>
  <c r="BO35" i="70"/>
  <c r="AV1440" i="67" s="1"/>
  <c r="BN35" i="70"/>
  <c r="AU1440" i="67" s="1"/>
  <c r="BM35" i="70"/>
  <c r="AT1440" i="67" s="1"/>
  <c r="BL35" i="70"/>
  <c r="AS1440" i="67" s="1"/>
  <c r="BK35" i="70"/>
  <c r="AR1440" i="67" s="1"/>
  <c r="BJ35" i="70"/>
  <c r="AQ1440" i="67" s="1"/>
  <c r="BI35" i="70"/>
  <c r="AP1440" i="67" s="1"/>
  <c r="BH35" i="70"/>
  <c r="AO1440" i="67" s="1"/>
  <c r="BG35" i="70"/>
  <c r="AN1440" i="67" s="1"/>
  <c r="BF35" i="70"/>
  <c r="AM1440" i="67" s="1"/>
  <c r="BE35" i="70"/>
  <c r="AL1440" i="67" s="1"/>
  <c r="BD35" i="70"/>
  <c r="AK1440" i="67" s="1"/>
  <c r="BC35" i="70"/>
  <c r="AJ1440" i="67" s="1"/>
  <c r="BB35" i="70"/>
  <c r="AI1440" i="67" s="1"/>
  <c r="BA35" i="70"/>
  <c r="AH1440" i="67" s="1"/>
  <c r="AZ35" i="70"/>
  <c r="AG1440" i="67" s="1"/>
  <c r="AY35" i="70"/>
  <c r="AF1440" i="67" s="1"/>
  <c r="AX35" i="70"/>
  <c r="AE1440" i="67" s="1"/>
  <c r="AW35" i="70"/>
  <c r="AD1440" i="67" s="1"/>
  <c r="AV35" i="70"/>
  <c r="AC1440" i="67" s="1"/>
  <c r="AU35" i="70"/>
  <c r="AB1440" i="67" s="1"/>
  <c r="AT35" i="70"/>
  <c r="AA1440" i="67" s="1"/>
  <c r="AS35" i="70"/>
  <c r="Z1440" i="67" s="1"/>
  <c r="AR35" i="70"/>
  <c r="Y1440" i="67" s="1"/>
  <c r="AQ35" i="70"/>
  <c r="X1440" i="67" s="1"/>
  <c r="AP35" i="70"/>
  <c r="W1440" i="67" s="1"/>
  <c r="AO35" i="70"/>
  <c r="V1440" i="67" s="1"/>
  <c r="AN35" i="70"/>
  <c r="U1440" i="67" s="1"/>
  <c r="AM35" i="70"/>
  <c r="T1440" i="67" s="1"/>
  <c r="AL35" i="70"/>
  <c r="S1440" i="67" s="1"/>
  <c r="AK35" i="70"/>
  <c r="R1440" i="67" s="1"/>
  <c r="AJ35" i="70"/>
  <c r="Q1440" i="67" s="1"/>
  <c r="AI35" i="70"/>
  <c r="P1440" i="67" s="1"/>
  <c r="AH35" i="70"/>
  <c r="O1440" i="67" s="1"/>
  <c r="AG35" i="70"/>
  <c r="N1440" i="67" s="1"/>
  <c r="AF35" i="70"/>
  <c r="M1440" i="67" s="1"/>
  <c r="AE35" i="70"/>
  <c r="L1440" i="67" s="1"/>
  <c r="AD35" i="70"/>
  <c r="K1440" i="67" s="1"/>
  <c r="E35" i="70"/>
  <c r="BP34" i="70"/>
  <c r="AW1439" i="67" s="1"/>
  <c r="BO34" i="70"/>
  <c r="AV1439" i="67" s="1"/>
  <c r="BN34" i="70"/>
  <c r="AU1439" i="67" s="1"/>
  <c r="BM34" i="70"/>
  <c r="AT1439" i="67" s="1"/>
  <c r="BL34" i="70"/>
  <c r="AS1439" i="67" s="1"/>
  <c r="BK34" i="70"/>
  <c r="AR1439" i="67" s="1"/>
  <c r="BJ34" i="70"/>
  <c r="AQ1439" i="67" s="1"/>
  <c r="BI34" i="70"/>
  <c r="AP1439" i="67" s="1"/>
  <c r="BH34" i="70"/>
  <c r="AO1439" i="67" s="1"/>
  <c r="BG34" i="70"/>
  <c r="AN1439" i="67" s="1"/>
  <c r="BF34" i="70"/>
  <c r="AM1439" i="67" s="1"/>
  <c r="BE34" i="70"/>
  <c r="AL1439" i="67" s="1"/>
  <c r="BD34" i="70"/>
  <c r="AK1439" i="67" s="1"/>
  <c r="BC34" i="70"/>
  <c r="AJ1439" i="67" s="1"/>
  <c r="BB34" i="70"/>
  <c r="AI1439" i="67" s="1"/>
  <c r="BA34" i="70"/>
  <c r="AH1439" i="67" s="1"/>
  <c r="AZ34" i="70"/>
  <c r="AG1439" i="67" s="1"/>
  <c r="AY34" i="70"/>
  <c r="AF1439" i="67" s="1"/>
  <c r="AX34" i="70"/>
  <c r="AE1439" i="67" s="1"/>
  <c r="AW34" i="70"/>
  <c r="AD1439" i="67" s="1"/>
  <c r="AV34" i="70"/>
  <c r="AC1439" i="67" s="1"/>
  <c r="AU34" i="70"/>
  <c r="AB1439" i="67" s="1"/>
  <c r="AT34" i="70"/>
  <c r="AA1439" i="67" s="1"/>
  <c r="AS34" i="70"/>
  <c r="Z1439" i="67" s="1"/>
  <c r="AR34" i="70"/>
  <c r="Y1439" i="67" s="1"/>
  <c r="AQ34" i="70"/>
  <c r="X1439" i="67" s="1"/>
  <c r="AP34" i="70"/>
  <c r="W1439" i="67" s="1"/>
  <c r="AO34" i="70"/>
  <c r="V1439" i="67" s="1"/>
  <c r="AN34" i="70"/>
  <c r="U1439" i="67" s="1"/>
  <c r="AM34" i="70"/>
  <c r="T1439" i="67" s="1"/>
  <c r="AL34" i="70"/>
  <c r="S1439" i="67" s="1"/>
  <c r="AK34" i="70"/>
  <c r="R1439" i="67" s="1"/>
  <c r="AJ34" i="70"/>
  <c r="Q1439" i="67" s="1"/>
  <c r="AI34" i="70"/>
  <c r="P1439" i="67" s="1"/>
  <c r="AH34" i="70"/>
  <c r="O1439" i="67" s="1"/>
  <c r="AG34" i="70"/>
  <c r="N1439" i="67" s="1"/>
  <c r="AF34" i="70"/>
  <c r="M1439" i="67" s="1"/>
  <c r="AE34" i="70"/>
  <c r="L1439" i="67" s="1"/>
  <c r="AD34" i="70"/>
  <c r="K1439" i="67" s="1"/>
  <c r="E34" i="70"/>
  <c r="BP33" i="70"/>
  <c r="AW1438" i="67" s="1"/>
  <c r="BO33" i="70"/>
  <c r="AV1438" i="67" s="1"/>
  <c r="BN33" i="70"/>
  <c r="AU1438" i="67" s="1"/>
  <c r="BM33" i="70"/>
  <c r="AT1438" i="67" s="1"/>
  <c r="BL33" i="70"/>
  <c r="AS1438" i="67" s="1"/>
  <c r="BK33" i="70"/>
  <c r="AR1438" i="67" s="1"/>
  <c r="BJ33" i="70"/>
  <c r="AQ1438" i="67" s="1"/>
  <c r="BI33" i="70"/>
  <c r="AP1438" i="67" s="1"/>
  <c r="BH33" i="70"/>
  <c r="AO1438" i="67" s="1"/>
  <c r="BG33" i="70"/>
  <c r="AN1438" i="67" s="1"/>
  <c r="BF33" i="70"/>
  <c r="AM1438" i="67" s="1"/>
  <c r="BE33" i="70"/>
  <c r="AL1438" i="67" s="1"/>
  <c r="BD33" i="70"/>
  <c r="AK1438" i="67" s="1"/>
  <c r="BC33" i="70"/>
  <c r="AJ1438" i="67" s="1"/>
  <c r="BB33" i="70"/>
  <c r="AI1438" i="67" s="1"/>
  <c r="BA33" i="70"/>
  <c r="AH1438" i="67" s="1"/>
  <c r="AZ33" i="70"/>
  <c r="AG1438" i="67" s="1"/>
  <c r="AY33" i="70"/>
  <c r="AF1438" i="67" s="1"/>
  <c r="AX33" i="70"/>
  <c r="AE1438" i="67" s="1"/>
  <c r="AW33" i="70"/>
  <c r="AD1438" i="67" s="1"/>
  <c r="AV33" i="70"/>
  <c r="AC1438" i="67" s="1"/>
  <c r="AU33" i="70"/>
  <c r="AB1438" i="67" s="1"/>
  <c r="AT33" i="70"/>
  <c r="AA1438" i="67" s="1"/>
  <c r="AS33" i="70"/>
  <c r="Z1438" i="67" s="1"/>
  <c r="AR33" i="70"/>
  <c r="Y1438" i="67" s="1"/>
  <c r="AQ33" i="70"/>
  <c r="X1438" i="67" s="1"/>
  <c r="AP33" i="70"/>
  <c r="W1438" i="67" s="1"/>
  <c r="AO33" i="70"/>
  <c r="V1438" i="67" s="1"/>
  <c r="AN33" i="70"/>
  <c r="U1438" i="67" s="1"/>
  <c r="AM33" i="70"/>
  <c r="T1438" i="67" s="1"/>
  <c r="AL33" i="70"/>
  <c r="S1438" i="67" s="1"/>
  <c r="AK33" i="70"/>
  <c r="R1438" i="67" s="1"/>
  <c r="AJ33" i="70"/>
  <c r="Q1438" i="67" s="1"/>
  <c r="AI33" i="70"/>
  <c r="P1438" i="67" s="1"/>
  <c r="AH33" i="70"/>
  <c r="O1438" i="67" s="1"/>
  <c r="AG33" i="70"/>
  <c r="N1438" i="67" s="1"/>
  <c r="AF33" i="70"/>
  <c r="M1438" i="67" s="1"/>
  <c r="AE33" i="70"/>
  <c r="L1438" i="67" s="1"/>
  <c r="AD33" i="70"/>
  <c r="K1438" i="67" s="1"/>
  <c r="E33" i="70"/>
  <c r="C33" i="70"/>
  <c r="C34" i="70" s="1"/>
  <c r="BP32" i="70"/>
  <c r="AW1437" i="67" s="1"/>
  <c r="BO32" i="70"/>
  <c r="AV1437" i="67" s="1"/>
  <c r="BN32" i="70"/>
  <c r="AU1437" i="67" s="1"/>
  <c r="BM32" i="70"/>
  <c r="AT1437" i="67" s="1"/>
  <c r="BL32" i="70"/>
  <c r="AS1437" i="67" s="1"/>
  <c r="BK32" i="70"/>
  <c r="AR1437" i="67" s="1"/>
  <c r="BJ32" i="70"/>
  <c r="AQ1437" i="67" s="1"/>
  <c r="BI32" i="70"/>
  <c r="AP1437" i="67" s="1"/>
  <c r="BH32" i="70"/>
  <c r="AO1437" i="67" s="1"/>
  <c r="BG32" i="70"/>
  <c r="AN1437" i="67" s="1"/>
  <c r="BF32" i="70"/>
  <c r="AM1437" i="67" s="1"/>
  <c r="BE32" i="70"/>
  <c r="AL1437" i="67" s="1"/>
  <c r="BD32" i="70"/>
  <c r="AK1437" i="67" s="1"/>
  <c r="BC32" i="70"/>
  <c r="AJ1437" i="67" s="1"/>
  <c r="BB32" i="70"/>
  <c r="AI1437" i="67" s="1"/>
  <c r="BA32" i="70"/>
  <c r="AH1437" i="67" s="1"/>
  <c r="AZ32" i="70"/>
  <c r="AG1437" i="67" s="1"/>
  <c r="AY32" i="70"/>
  <c r="AF1437" i="67" s="1"/>
  <c r="AX32" i="70"/>
  <c r="AE1437" i="67" s="1"/>
  <c r="AW32" i="70"/>
  <c r="AD1437" i="67" s="1"/>
  <c r="AV32" i="70"/>
  <c r="AC1437" i="67" s="1"/>
  <c r="AU32" i="70"/>
  <c r="AB1437" i="67" s="1"/>
  <c r="AT32" i="70"/>
  <c r="AA1437" i="67" s="1"/>
  <c r="AS32" i="70"/>
  <c r="Z1437" i="67" s="1"/>
  <c r="AR32" i="70"/>
  <c r="Y1437" i="67" s="1"/>
  <c r="AQ32" i="70"/>
  <c r="X1437" i="67" s="1"/>
  <c r="AP32" i="70"/>
  <c r="W1437" i="67" s="1"/>
  <c r="AO32" i="70"/>
  <c r="V1437" i="67" s="1"/>
  <c r="AN32" i="70"/>
  <c r="U1437" i="67" s="1"/>
  <c r="AM32" i="70"/>
  <c r="T1437" i="67" s="1"/>
  <c r="AL32" i="70"/>
  <c r="S1437" i="67" s="1"/>
  <c r="AK32" i="70"/>
  <c r="R1437" i="67" s="1"/>
  <c r="AJ32" i="70"/>
  <c r="Q1437" i="67" s="1"/>
  <c r="AI32" i="70"/>
  <c r="P1437" i="67" s="1"/>
  <c r="AH32" i="70"/>
  <c r="O1437" i="67" s="1"/>
  <c r="AG32" i="70"/>
  <c r="N1437" i="67" s="1"/>
  <c r="AF32" i="70"/>
  <c r="M1437" i="67" s="1"/>
  <c r="AE32" i="70"/>
  <c r="L1437" i="67" s="1"/>
  <c r="AD32" i="70"/>
  <c r="K1437" i="67" s="1"/>
  <c r="E32" i="70"/>
  <c r="BP31" i="70"/>
  <c r="AW1436" i="67" s="1"/>
  <c r="BO31" i="70"/>
  <c r="AV1436" i="67" s="1"/>
  <c r="BN31" i="70"/>
  <c r="AU1436" i="67" s="1"/>
  <c r="BM31" i="70"/>
  <c r="AT1436" i="67" s="1"/>
  <c r="BL31" i="70"/>
  <c r="AS1436" i="67" s="1"/>
  <c r="BK31" i="70"/>
  <c r="AR1436" i="67" s="1"/>
  <c r="BJ31" i="70"/>
  <c r="AQ1436" i="67" s="1"/>
  <c r="BI31" i="70"/>
  <c r="AP1436" i="67" s="1"/>
  <c r="BH31" i="70"/>
  <c r="AO1436" i="67" s="1"/>
  <c r="BG31" i="70"/>
  <c r="AN1436" i="67" s="1"/>
  <c r="BF31" i="70"/>
  <c r="AM1436" i="67" s="1"/>
  <c r="BE31" i="70"/>
  <c r="AL1436" i="67" s="1"/>
  <c r="BD31" i="70"/>
  <c r="AK1436" i="67" s="1"/>
  <c r="BC31" i="70"/>
  <c r="AJ1436" i="67" s="1"/>
  <c r="BB31" i="70"/>
  <c r="AI1436" i="67" s="1"/>
  <c r="BA31" i="70"/>
  <c r="AH1436" i="67" s="1"/>
  <c r="AZ31" i="70"/>
  <c r="AG1436" i="67" s="1"/>
  <c r="AY31" i="70"/>
  <c r="AF1436" i="67" s="1"/>
  <c r="AX31" i="70"/>
  <c r="AE1436" i="67" s="1"/>
  <c r="AW31" i="70"/>
  <c r="AD1436" i="67" s="1"/>
  <c r="AV31" i="70"/>
  <c r="AC1436" i="67" s="1"/>
  <c r="AU31" i="70"/>
  <c r="AB1436" i="67" s="1"/>
  <c r="AT31" i="70"/>
  <c r="AA1436" i="67" s="1"/>
  <c r="AS31" i="70"/>
  <c r="Z1436" i="67" s="1"/>
  <c r="AR31" i="70"/>
  <c r="Y1436" i="67" s="1"/>
  <c r="AQ31" i="70"/>
  <c r="X1436" i="67" s="1"/>
  <c r="AP31" i="70"/>
  <c r="W1436" i="67" s="1"/>
  <c r="AO31" i="70"/>
  <c r="V1436" i="67" s="1"/>
  <c r="AN31" i="70"/>
  <c r="U1436" i="67" s="1"/>
  <c r="AM31" i="70"/>
  <c r="T1436" i="67" s="1"/>
  <c r="AL31" i="70"/>
  <c r="S1436" i="67" s="1"/>
  <c r="AK31" i="70"/>
  <c r="R1436" i="67" s="1"/>
  <c r="AJ31" i="70"/>
  <c r="Q1436" i="67" s="1"/>
  <c r="AI31" i="70"/>
  <c r="P1436" i="67" s="1"/>
  <c r="AH31" i="70"/>
  <c r="O1436" i="67" s="1"/>
  <c r="AG31" i="70"/>
  <c r="N1436" i="67" s="1"/>
  <c r="AF31" i="70"/>
  <c r="M1436" i="67" s="1"/>
  <c r="AE31" i="70"/>
  <c r="L1436" i="67" s="1"/>
  <c r="AD31" i="70"/>
  <c r="K1436" i="67" s="1"/>
  <c r="E31" i="70"/>
  <c r="BP30" i="70"/>
  <c r="AW1435" i="67" s="1"/>
  <c r="BO30" i="70"/>
  <c r="AV1435" i="67" s="1"/>
  <c r="BN30" i="70"/>
  <c r="AU1435" i="67" s="1"/>
  <c r="BM30" i="70"/>
  <c r="AT1435" i="67" s="1"/>
  <c r="BL30" i="70"/>
  <c r="AS1435" i="67" s="1"/>
  <c r="BK30" i="70"/>
  <c r="AR1435" i="67" s="1"/>
  <c r="BJ30" i="70"/>
  <c r="AQ1435" i="67" s="1"/>
  <c r="BI30" i="70"/>
  <c r="AP1435" i="67" s="1"/>
  <c r="BH30" i="70"/>
  <c r="AO1435" i="67" s="1"/>
  <c r="BG30" i="70"/>
  <c r="AN1435" i="67" s="1"/>
  <c r="BF30" i="70"/>
  <c r="AM1435" i="67" s="1"/>
  <c r="BE30" i="70"/>
  <c r="AL1435" i="67" s="1"/>
  <c r="BD30" i="70"/>
  <c r="AK1435" i="67" s="1"/>
  <c r="BC30" i="70"/>
  <c r="AJ1435" i="67" s="1"/>
  <c r="BB30" i="70"/>
  <c r="AI1435" i="67" s="1"/>
  <c r="BA30" i="70"/>
  <c r="AH1435" i="67" s="1"/>
  <c r="AZ30" i="70"/>
  <c r="AG1435" i="67" s="1"/>
  <c r="AY30" i="70"/>
  <c r="AF1435" i="67" s="1"/>
  <c r="AX30" i="70"/>
  <c r="AE1435" i="67" s="1"/>
  <c r="AW30" i="70"/>
  <c r="AD1435" i="67" s="1"/>
  <c r="AV30" i="70"/>
  <c r="AC1435" i="67" s="1"/>
  <c r="AU30" i="70"/>
  <c r="AB1435" i="67" s="1"/>
  <c r="AT30" i="70"/>
  <c r="AA1435" i="67" s="1"/>
  <c r="AS30" i="70"/>
  <c r="Z1435" i="67" s="1"/>
  <c r="AR30" i="70"/>
  <c r="Y1435" i="67" s="1"/>
  <c r="AQ30" i="70"/>
  <c r="X1435" i="67" s="1"/>
  <c r="AP30" i="70"/>
  <c r="W1435" i="67" s="1"/>
  <c r="AO30" i="70"/>
  <c r="V1435" i="67" s="1"/>
  <c r="AN30" i="70"/>
  <c r="U1435" i="67" s="1"/>
  <c r="AM30" i="70"/>
  <c r="T1435" i="67" s="1"/>
  <c r="AL30" i="70"/>
  <c r="S1435" i="67" s="1"/>
  <c r="AK30" i="70"/>
  <c r="R1435" i="67" s="1"/>
  <c r="AJ30" i="70"/>
  <c r="Q1435" i="67" s="1"/>
  <c r="AI30" i="70"/>
  <c r="P1435" i="67" s="1"/>
  <c r="AH30" i="70"/>
  <c r="O1435" i="67" s="1"/>
  <c r="AG30" i="70"/>
  <c r="N1435" i="67" s="1"/>
  <c r="AF30" i="70"/>
  <c r="M1435" i="67" s="1"/>
  <c r="AE30" i="70"/>
  <c r="L1435" i="67" s="1"/>
  <c r="AD30" i="70"/>
  <c r="K1435" i="67" s="1"/>
  <c r="E30" i="70"/>
  <c r="BP29" i="70"/>
  <c r="BO29" i="70"/>
  <c r="BN29" i="70"/>
  <c r="BM29" i="70"/>
  <c r="BL29" i="70"/>
  <c r="BK29" i="70"/>
  <c r="BJ29" i="70"/>
  <c r="BI29" i="70"/>
  <c r="BH29" i="70"/>
  <c r="BG29" i="70"/>
  <c r="BF29" i="70"/>
  <c r="BE29" i="70"/>
  <c r="BD29" i="70"/>
  <c r="BC29" i="70"/>
  <c r="BB29" i="70"/>
  <c r="BA29" i="70"/>
  <c r="AZ29" i="70"/>
  <c r="AY29" i="70"/>
  <c r="AX29" i="70"/>
  <c r="AW29" i="70"/>
  <c r="AV29" i="70"/>
  <c r="AU29" i="70"/>
  <c r="AT29" i="70"/>
  <c r="AS29" i="70"/>
  <c r="AR29" i="70"/>
  <c r="AQ29" i="70"/>
  <c r="AP29" i="70"/>
  <c r="AO29" i="70"/>
  <c r="AN29" i="70"/>
  <c r="AM29" i="70"/>
  <c r="AL29" i="70"/>
  <c r="AK29" i="70"/>
  <c r="AJ29" i="70"/>
  <c r="AI29" i="70"/>
  <c r="AH29" i="70"/>
  <c r="AG29" i="70"/>
  <c r="AF29" i="70"/>
  <c r="AE29" i="70"/>
  <c r="AD29" i="70"/>
  <c r="E29" i="70"/>
  <c r="BP28" i="70"/>
  <c r="BO28" i="70"/>
  <c r="BN28" i="70"/>
  <c r="BM28" i="70"/>
  <c r="BL28" i="70"/>
  <c r="BK28" i="70"/>
  <c r="BJ28" i="70"/>
  <c r="BI28" i="70"/>
  <c r="BH28" i="70"/>
  <c r="BG28" i="70"/>
  <c r="BF28" i="70"/>
  <c r="BE28" i="70"/>
  <c r="BD28" i="70"/>
  <c r="BC28" i="70"/>
  <c r="BB28" i="70"/>
  <c r="BA28" i="70"/>
  <c r="AZ28" i="70"/>
  <c r="AY28" i="70"/>
  <c r="AX28" i="70"/>
  <c r="AW28" i="70"/>
  <c r="AV28" i="70"/>
  <c r="AU28" i="70"/>
  <c r="AT28" i="70"/>
  <c r="AS28" i="70"/>
  <c r="AR28" i="70"/>
  <c r="AQ28" i="70"/>
  <c r="AP28" i="70"/>
  <c r="AO28" i="70"/>
  <c r="AN28" i="70"/>
  <c r="AM28" i="70"/>
  <c r="AL28" i="70"/>
  <c r="AK28" i="70"/>
  <c r="AJ28" i="70"/>
  <c r="AI28" i="70"/>
  <c r="AH28" i="70"/>
  <c r="AG28" i="70"/>
  <c r="AF28" i="70"/>
  <c r="AE28" i="70"/>
  <c r="AD28" i="70"/>
  <c r="E28" i="70"/>
  <c r="C28" i="70"/>
  <c r="C29" i="70" s="1"/>
  <c r="C30" i="70" s="1"/>
  <c r="C31" i="70" s="1"/>
  <c r="C32" i="70" s="1"/>
  <c r="BP27" i="70"/>
  <c r="BO27" i="70"/>
  <c r="BN27" i="70"/>
  <c r="BM27" i="70"/>
  <c r="BL27" i="70"/>
  <c r="BK27" i="70"/>
  <c r="BJ27" i="70"/>
  <c r="BI27" i="70"/>
  <c r="BH27" i="70"/>
  <c r="BG27" i="70"/>
  <c r="BF27" i="70"/>
  <c r="BE27" i="70"/>
  <c r="BD27" i="70"/>
  <c r="BC27" i="70"/>
  <c r="BB27" i="70"/>
  <c r="BA27" i="70"/>
  <c r="AZ27" i="70"/>
  <c r="AY27" i="70"/>
  <c r="AX27" i="70"/>
  <c r="AW27" i="70"/>
  <c r="AV27" i="70"/>
  <c r="AU27" i="70"/>
  <c r="AT27" i="70"/>
  <c r="AS27" i="70"/>
  <c r="AR27" i="70"/>
  <c r="AQ27" i="70"/>
  <c r="AP27" i="70"/>
  <c r="AO27" i="70"/>
  <c r="AN27" i="70"/>
  <c r="AM27" i="70"/>
  <c r="AL27" i="70"/>
  <c r="AK27" i="70"/>
  <c r="AJ27" i="70"/>
  <c r="AI27" i="70"/>
  <c r="AH27" i="70"/>
  <c r="AG27" i="70"/>
  <c r="AF27" i="70"/>
  <c r="AE27" i="70"/>
  <c r="AD27" i="70"/>
  <c r="E27" i="70"/>
  <c r="BP26" i="70"/>
  <c r="BO26" i="70"/>
  <c r="BN26" i="70"/>
  <c r="BM26" i="70"/>
  <c r="BL26" i="70"/>
  <c r="BK26" i="70"/>
  <c r="BJ26" i="70"/>
  <c r="BI26" i="70"/>
  <c r="BH26" i="70"/>
  <c r="BG26" i="70"/>
  <c r="BF26" i="70"/>
  <c r="BE26" i="70"/>
  <c r="BD26" i="70"/>
  <c r="BC26" i="70"/>
  <c r="BB26" i="70"/>
  <c r="BA26" i="70"/>
  <c r="AZ26" i="70"/>
  <c r="AY26" i="70"/>
  <c r="AX26" i="70"/>
  <c r="AW26" i="70"/>
  <c r="AV26" i="70"/>
  <c r="AU26" i="70"/>
  <c r="AT26" i="70"/>
  <c r="AS26" i="70"/>
  <c r="AR26" i="70"/>
  <c r="AQ26" i="70"/>
  <c r="AP26" i="70"/>
  <c r="AO26" i="70"/>
  <c r="AN26" i="70"/>
  <c r="AM26" i="70"/>
  <c r="AL26" i="70"/>
  <c r="AK26" i="70"/>
  <c r="AJ26" i="70"/>
  <c r="AI26" i="70"/>
  <c r="AH26" i="70"/>
  <c r="AG26" i="70"/>
  <c r="AF26" i="70"/>
  <c r="AE26" i="70"/>
  <c r="AD26" i="70"/>
  <c r="E26" i="70"/>
  <c r="BP25" i="70"/>
  <c r="AW1446" i="67" s="1"/>
  <c r="BO25" i="70"/>
  <c r="AV1446" i="67" s="1"/>
  <c r="BN25" i="70"/>
  <c r="AU1446" i="67" s="1"/>
  <c r="BM25" i="70"/>
  <c r="AT1446" i="67" s="1"/>
  <c r="BL25" i="70"/>
  <c r="AS1446" i="67" s="1"/>
  <c r="BK25" i="70"/>
  <c r="AR1446" i="67" s="1"/>
  <c r="BJ25" i="70"/>
  <c r="AQ1446" i="67" s="1"/>
  <c r="BI25" i="70"/>
  <c r="AP1446" i="67" s="1"/>
  <c r="BH25" i="70"/>
  <c r="AO1446" i="67" s="1"/>
  <c r="BG25" i="70"/>
  <c r="AN1446" i="67" s="1"/>
  <c r="BF25" i="70"/>
  <c r="AM1446" i="67" s="1"/>
  <c r="BE25" i="70"/>
  <c r="AL1446" i="67" s="1"/>
  <c r="BD25" i="70"/>
  <c r="AK1446" i="67" s="1"/>
  <c r="BC25" i="70"/>
  <c r="AJ1446" i="67" s="1"/>
  <c r="BB25" i="70"/>
  <c r="AI1446" i="67" s="1"/>
  <c r="BA25" i="70"/>
  <c r="AH1446" i="67" s="1"/>
  <c r="AZ25" i="70"/>
  <c r="AG1446" i="67" s="1"/>
  <c r="AY25" i="70"/>
  <c r="AF1446" i="67" s="1"/>
  <c r="AX25" i="70"/>
  <c r="AE1446" i="67" s="1"/>
  <c r="AW25" i="70"/>
  <c r="AD1446" i="67" s="1"/>
  <c r="AV25" i="70"/>
  <c r="AC1446" i="67" s="1"/>
  <c r="AU25" i="70"/>
  <c r="AB1446" i="67" s="1"/>
  <c r="AT25" i="70"/>
  <c r="AA1446" i="67" s="1"/>
  <c r="AS25" i="70"/>
  <c r="Z1446" i="67" s="1"/>
  <c r="AR25" i="70"/>
  <c r="Y1446" i="67" s="1"/>
  <c r="AQ25" i="70"/>
  <c r="X1446" i="67" s="1"/>
  <c r="AP25" i="70"/>
  <c r="W1446" i="67" s="1"/>
  <c r="AO25" i="70"/>
  <c r="V1446" i="67" s="1"/>
  <c r="AN25" i="70"/>
  <c r="U1446" i="67" s="1"/>
  <c r="AM25" i="70"/>
  <c r="T1446" i="67" s="1"/>
  <c r="AL25" i="70"/>
  <c r="S1446" i="67" s="1"/>
  <c r="AK25" i="70"/>
  <c r="R1446" i="67" s="1"/>
  <c r="AJ25" i="70"/>
  <c r="Q1446" i="67" s="1"/>
  <c r="AI25" i="70"/>
  <c r="P1446" i="67" s="1"/>
  <c r="AH25" i="70"/>
  <c r="O1446" i="67" s="1"/>
  <c r="AG25" i="70"/>
  <c r="N1446" i="67" s="1"/>
  <c r="AF25" i="70"/>
  <c r="M1446" i="67" s="1"/>
  <c r="AE25" i="70"/>
  <c r="L1446" i="67" s="1"/>
  <c r="AD25" i="70"/>
  <c r="K1446" i="67" s="1"/>
  <c r="E25" i="70"/>
  <c r="A25" i="70"/>
  <c r="A26" i="70" s="1"/>
  <c r="A27" i="70" s="1"/>
  <c r="A28" i="70" s="1"/>
  <c r="A29" i="70" s="1"/>
  <c r="A30" i="70" s="1"/>
  <c r="A31" i="70" s="1"/>
  <c r="A32" i="70" s="1"/>
  <c r="A33" i="70" s="1"/>
  <c r="A34" i="70" s="1"/>
  <c r="A36" i="70" s="1"/>
  <c r="A37" i="70" s="1"/>
  <c r="A38" i="70" s="1"/>
  <c r="A39" i="70" s="1"/>
  <c r="A35" i="70" s="1"/>
  <c r="BP24" i="70"/>
  <c r="AW1445" i="67" s="1"/>
  <c r="BO24" i="70"/>
  <c r="AV1445" i="67" s="1"/>
  <c r="BN24" i="70"/>
  <c r="AU1445" i="67" s="1"/>
  <c r="BM24" i="70"/>
  <c r="AT1445" i="67" s="1"/>
  <c r="BL24" i="70"/>
  <c r="AS1445" i="67" s="1"/>
  <c r="BK24" i="70"/>
  <c r="AR1445" i="67" s="1"/>
  <c r="BJ24" i="70"/>
  <c r="AQ1445" i="67" s="1"/>
  <c r="BI24" i="70"/>
  <c r="AP1445" i="67" s="1"/>
  <c r="BH24" i="70"/>
  <c r="AO1445" i="67" s="1"/>
  <c r="BG24" i="70"/>
  <c r="AN1445" i="67" s="1"/>
  <c r="BF24" i="70"/>
  <c r="AM1445" i="67" s="1"/>
  <c r="BE24" i="70"/>
  <c r="AL1445" i="67" s="1"/>
  <c r="BD24" i="70"/>
  <c r="AK1445" i="67" s="1"/>
  <c r="BC24" i="70"/>
  <c r="AJ1445" i="67" s="1"/>
  <c r="BB24" i="70"/>
  <c r="AI1445" i="67" s="1"/>
  <c r="BA24" i="70"/>
  <c r="AH1445" i="67" s="1"/>
  <c r="AZ24" i="70"/>
  <c r="AG1445" i="67" s="1"/>
  <c r="AY24" i="70"/>
  <c r="AF1445" i="67" s="1"/>
  <c r="AX24" i="70"/>
  <c r="AE1445" i="67" s="1"/>
  <c r="AW24" i="70"/>
  <c r="AD1445" i="67" s="1"/>
  <c r="AV24" i="70"/>
  <c r="AC1445" i="67" s="1"/>
  <c r="AU24" i="70"/>
  <c r="AB1445" i="67" s="1"/>
  <c r="AT24" i="70"/>
  <c r="AA1445" i="67" s="1"/>
  <c r="AS24" i="70"/>
  <c r="Z1445" i="67" s="1"/>
  <c r="AR24" i="70"/>
  <c r="Y1445" i="67" s="1"/>
  <c r="AQ24" i="70"/>
  <c r="X1445" i="67" s="1"/>
  <c r="AP24" i="70"/>
  <c r="W1445" i="67" s="1"/>
  <c r="AO24" i="70"/>
  <c r="V1445" i="67" s="1"/>
  <c r="AN24" i="70"/>
  <c r="U1445" i="67" s="1"/>
  <c r="AM24" i="70"/>
  <c r="T1445" i="67" s="1"/>
  <c r="AL24" i="70"/>
  <c r="S1445" i="67" s="1"/>
  <c r="AK24" i="70"/>
  <c r="R1445" i="67" s="1"/>
  <c r="AJ24" i="70"/>
  <c r="Q1445" i="67" s="1"/>
  <c r="AI24" i="70"/>
  <c r="P1445" i="67" s="1"/>
  <c r="AH24" i="70"/>
  <c r="O1445" i="67" s="1"/>
  <c r="AG24" i="70"/>
  <c r="N1445" i="67" s="1"/>
  <c r="AF24" i="70"/>
  <c r="M1445" i="67" s="1"/>
  <c r="AE24" i="70"/>
  <c r="L1445" i="67" s="1"/>
  <c r="AD24" i="70"/>
  <c r="K1445" i="67" s="1"/>
  <c r="E24" i="70"/>
  <c r="C24" i="70"/>
  <c r="C25" i="70" s="1"/>
  <c r="C26" i="70" s="1"/>
  <c r="C27" i="70" s="1"/>
  <c r="B24" i="70"/>
  <c r="B25" i="70" s="1"/>
  <c r="B26" i="70" s="1"/>
  <c r="B27" i="70" s="1"/>
  <c r="B28" i="70" s="1"/>
  <c r="B29" i="70" s="1"/>
  <c r="B30" i="70" s="1"/>
  <c r="B31" i="70" s="1"/>
  <c r="B32" i="70" s="1"/>
  <c r="B33" i="70" s="1"/>
  <c r="B34" i="70" s="1"/>
  <c r="B36" i="70" s="1"/>
  <c r="B37" i="70" s="1"/>
  <c r="B38" i="70" s="1"/>
  <c r="B39" i="70" s="1"/>
  <c r="B35" i="70" s="1"/>
  <c r="A24" i="70"/>
  <c r="D22" i="70"/>
  <c r="D21" i="70"/>
  <c r="D20" i="70"/>
  <c r="D19" i="70"/>
  <c r="C19" i="70"/>
  <c r="C20" i="70" s="1"/>
  <c r="C21" i="70" s="1"/>
  <c r="C22" i="70" s="1"/>
  <c r="D18" i="70"/>
  <c r="D17" i="70"/>
  <c r="C17" i="70"/>
  <c r="C18" i="70" s="1"/>
  <c r="AD16" i="70"/>
  <c r="D16" i="70"/>
  <c r="C16" i="70"/>
  <c r="D15" i="70"/>
  <c r="C15" i="70"/>
  <c r="D13" i="70"/>
  <c r="C13" i="70"/>
  <c r="C14" i="70" s="1"/>
  <c r="D12" i="70"/>
  <c r="D14" i="70" s="1"/>
  <c r="C12" i="70"/>
  <c r="D11" i="70"/>
  <c r="C11" i="70"/>
  <c r="D10" i="70"/>
  <c r="AC9" i="70"/>
  <c r="AB9" i="70"/>
  <c r="AA9" i="70"/>
  <c r="Z9" i="70"/>
  <c r="Y9" i="70"/>
  <c r="Y70" i="70" s="1"/>
  <c r="X9" i="70"/>
  <c r="W9" i="70"/>
  <c r="V9" i="70"/>
  <c r="U9" i="70"/>
  <c r="T9" i="70"/>
  <c r="S9" i="70"/>
  <c r="R9" i="70"/>
  <c r="Q9" i="70"/>
  <c r="Q70" i="70" s="1"/>
  <c r="P9" i="70"/>
  <c r="O9" i="70"/>
  <c r="N9" i="70"/>
  <c r="M9" i="70"/>
  <c r="L9" i="70"/>
  <c r="K9" i="70"/>
  <c r="J9" i="70"/>
  <c r="I9" i="70"/>
  <c r="I70" i="70" s="1"/>
  <c r="H9" i="70"/>
  <c r="D9" i="70"/>
  <c r="AC8" i="70"/>
  <c r="AB8" i="70"/>
  <c r="AA8" i="70"/>
  <c r="AA69" i="70" s="1"/>
  <c r="Z8" i="70"/>
  <c r="Y8" i="70"/>
  <c r="X8" i="70"/>
  <c r="W8" i="70"/>
  <c r="V8" i="70"/>
  <c r="U8" i="70"/>
  <c r="T8" i="70"/>
  <c r="S8" i="70"/>
  <c r="S69" i="70" s="1"/>
  <c r="R8" i="70"/>
  <c r="Q8" i="70"/>
  <c r="P8" i="70"/>
  <c r="O8" i="70"/>
  <c r="N8" i="70"/>
  <c r="M8" i="70"/>
  <c r="L8" i="70"/>
  <c r="K8" i="70"/>
  <c r="K69" i="70" s="1"/>
  <c r="J8" i="70"/>
  <c r="I8" i="70"/>
  <c r="H8" i="70"/>
  <c r="D8" i="70"/>
  <c r="AC7" i="70"/>
  <c r="AB7" i="70"/>
  <c r="AA7" i="70"/>
  <c r="Z7" i="70"/>
  <c r="Y7" i="70"/>
  <c r="Y68" i="70" s="1"/>
  <c r="X7" i="70"/>
  <c r="W7" i="70"/>
  <c r="V7" i="70"/>
  <c r="U7" i="70"/>
  <c r="T7" i="70"/>
  <c r="S7" i="70"/>
  <c r="R7" i="70"/>
  <c r="Q7" i="70"/>
  <c r="Q68" i="70" s="1"/>
  <c r="P7" i="70"/>
  <c r="O7" i="70"/>
  <c r="N7" i="70"/>
  <c r="M7" i="70"/>
  <c r="L7" i="70"/>
  <c r="K7" i="70"/>
  <c r="J7" i="70"/>
  <c r="I7" i="70"/>
  <c r="I68" i="70" s="1"/>
  <c r="H7" i="70"/>
  <c r="D7" i="70"/>
  <c r="C7" i="70"/>
  <c r="C8" i="70" s="1"/>
  <c r="C9" i="70" s="1"/>
  <c r="C10" i="70" s="1"/>
  <c r="AC6" i="70"/>
  <c r="AB6" i="70"/>
  <c r="AA6" i="70"/>
  <c r="AA67" i="70" s="1"/>
  <c r="Z6" i="70"/>
  <c r="Y6" i="70"/>
  <c r="X6" i="70"/>
  <c r="W6" i="70"/>
  <c r="V6" i="70"/>
  <c r="V67" i="70" s="1"/>
  <c r="U6" i="70"/>
  <c r="T6" i="70"/>
  <c r="S6" i="70"/>
  <c r="R6" i="70"/>
  <c r="Q6" i="70"/>
  <c r="P6" i="70"/>
  <c r="P67" i="70" s="1"/>
  <c r="O6" i="70"/>
  <c r="N6" i="70"/>
  <c r="M6" i="70"/>
  <c r="L6" i="70"/>
  <c r="K6" i="70"/>
  <c r="K67" i="70" s="1"/>
  <c r="J6" i="70"/>
  <c r="I6" i="70"/>
  <c r="H6" i="70"/>
  <c r="F6" i="70"/>
  <c r="F8" i="70" s="1"/>
  <c r="F9" i="70" s="1"/>
  <c r="F10" i="70" s="1"/>
  <c r="F11" i="70" s="1"/>
  <c r="F12" i="70" s="1"/>
  <c r="F13" i="70" s="1"/>
  <c r="F14" i="70" s="1"/>
  <c r="F15" i="70" s="1"/>
  <c r="F16" i="70" s="1"/>
  <c r="F17" i="70" s="1"/>
  <c r="F18" i="70" s="1"/>
  <c r="F19" i="70" s="1"/>
  <c r="F20" i="70" s="1"/>
  <c r="F21" i="70" s="1"/>
  <c r="F22" i="70" s="1"/>
  <c r="E6" i="70"/>
  <c r="E8" i="70" s="1"/>
  <c r="E9" i="70" s="1"/>
  <c r="E10" i="70" s="1"/>
  <c r="E11" i="70" s="1"/>
  <c r="E12" i="70" s="1"/>
  <c r="E13" i="70" s="1"/>
  <c r="E14" i="70" s="1"/>
  <c r="E15" i="70" s="1"/>
  <c r="E16" i="70" s="1"/>
  <c r="E17" i="70" s="1"/>
  <c r="E18" i="70" s="1"/>
  <c r="E19" i="70" s="1"/>
  <c r="E20" i="70" s="1"/>
  <c r="E21" i="70" s="1"/>
  <c r="E22" i="70" s="1"/>
  <c r="D6" i="70"/>
  <c r="AC5" i="70"/>
  <c r="AB5" i="70"/>
  <c r="AA5" i="70"/>
  <c r="Z5" i="70"/>
  <c r="Y5" i="70"/>
  <c r="Y66" i="70" s="1"/>
  <c r="X5" i="70"/>
  <c r="W5" i="70"/>
  <c r="V5" i="70"/>
  <c r="U5" i="70"/>
  <c r="T5" i="70"/>
  <c r="T66" i="70" s="1"/>
  <c r="S5" i="70"/>
  <c r="R5" i="70"/>
  <c r="Q5" i="70"/>
  <c r="P5" i="70"/>
  <c r="O5" i="70"/>
  <c r="N5" i="70"/>
  <c r="N66" i="70" s="1"/>
  <c r="M5" i="70"/>
  <c r="L5" i="70"/>
  <c r="K5" i="70"/>
  <c r="J5" i="70"/>
  <c r="I5" i="70"/>
  <c r="I66" i="70" s="1"/>
  <c r="H5" i="70"/>
  <c r="E5" i="70"/>
  <c r="D5" i="70"/>
  <c r="C5" i="70"/>
  <c r="C6" i="70" s="1"/>
  <c r="A5" i="70"/>
  <c r="A6" i="70" s="1"/>
  <c r="A7" i="70" s="1"/>
  <c r="A8" i="70" s="1"/>
  <c r="A9" i="70" s="1"/>
  <c r="A10" i="70" s="1"/>
  <c r="A11" i="70" s="1"/>
  <c r="A12" i="70" s="1"/>
  <c r="A13" i="70" s="1"/>
  <c r="A14" i="70" s="1"/>
  <c r="A15" i="70" s="1"/>
  <c r="A16" i="70" s="1"/>
  <c r="A17" i="70" s="1"/>
  <c r="A18" i="70" s="1"/>
  <c r="A19" i="70" s="1"/>
  <c r="A20" i="70" s="1"/>
  <c r="A21" i="70" s="1"/>
  <c r="A22" i="70" s="1"/>
  <c r="Y16" i="50"/>
  <c r="AG16" i="50"/>
  <c r="AH16" i="50"/>
  <c r="AI16" i="50"/>
  <c r="AJ16" i="50"/>
  <c r="AK16" i="50"/>
  <c r="AL16" i="50"/>
  <c r="AM16" i="50"/>
  <c r="AN16" i="50"/>
  <c r="AO16" i="50"/>
  <c r="AP16" i="50"/>
  <c r="AQ16" i="50"/>
  <c r="AR16" i="50"/>
  <c r="AS16" i="50"/>
  <c r="AT16" i="50"/>
  <c r="AU16" i="50"/>
  <c r="AV16" i="50"/>
  <c r="AW16" i="50"/>
  <c r="AX16" i="50"/>
  <c r="AY16" i="50"/>
  <c r="AZ16" i="50"/>
  <c r="BA16" i="50"/>
  <c r="BB16" i="50"/>
  <c r="BC16" i="50"/>
  <c r="BD16" i="50"/>
  <c r="BE16" i="50"/>
  <c r="BF16" i="50"/>
  <c r="BG16" i="50"/>
  <c r="BH16" i="50"/>
  <c r="BI16" i="50"/>
  <c r="BJ16" i="50"/>
  <c r="BK16" i="50"/>
  <c r="BK65" i="69"/>
  <c r="BE65" i="69"/>
  <c r="BF65" i="69" s="1"/>
  <c r="BG65" i="69" s="1"/>
  <c r="BH65" i="69" s="1"/>
  <c r="BI65" i="69" s="1"/>
  <c r="BJ65" i="69" s="1"/>
  <c r="BA65" i="69"/>
  <c r="BB65" i="69" s="1"/>
  <c r="BC65" i="69" s="1"/>
  <c r="BD65" i="69" s="1"/>
  <c r="AS65" i="69"/>
  <c r="AT65" i="69" s="1"/>
  <c r="AU65" i="69" s="1"/>
  <c r="AV65" i="69" s="1"/>
  <c r="AW65" i="69" s="1"/>
  <c r="AX65" i="69" s="1"/>
  <c r="AY65" i="69" s="1"/>
  <c r="AZ65" i="69" s="1"/>
  <c r="AR65" i="69"/>
  <c r="AQ65" i="69"/>
  <c r="AK65" i="69"/>
  <c r="AL65" i="69" s="1"/>
  <c r="AM65" i="69" s="1"/>
  <c r="AN65" i="69" s="1"/>
  <c r="AO65" i="69" s="1"/>
  <c r="AP65" i="69" s="1"/>
  <c r="AJ65" i="69"/>
  <c r="AG65" i="69"/>
  <c r="AH65" i="69" s="1"/>
  <c r="AI65" i="69" s="1"/>
  <c r="AC65" i="69"/>
  <c r="AD65" i="69" s="1"/>
  <c r="AE65" i="69" s="1"/>
  <c r="AF65" i="69" s="1"/>
  <c r="AB65" i="69"/>
  <c r="Y65" i="69"/>
  <c r="Z65" i="69" s="1"/>
  <c r="AA65" i="69" s="1"/>
  <c r="BK63" i="69"/>
  <c r="BB63" i="69"/>
  <c r="BC63" i="69" s="1"/>
  <c r="BD63" i="69" s="1"/>
  <c r="BE63" i="69" s="1"/>
  <c r="BF63" i="69" s="1"/>
  <c r="BG63" i="69" s="1"/>
  <c r="BH63" i="69" s="1"/>
  <c r="BI63" i="69" s="1"/>
  <c r="BJ63" i="69" s="1"/>
  <c r="BA63" i="69"/>
  <c r="AQ63" i="69"/>
  <c r="AG63" i="69"/>
  <c r="Z63" i="69"/>
  <c r="AA63" i="69" s="1"/>
  <c r="AB63" i="69" s="1"/>
  <c r="AC63" i="69" s="1"/>
  <c r="AD63" i="69" s="1"/>
  <c r="AE63" i="69" s="1"/>
  <c r="AF63" i="69" s="1"/>
  <c r="Y63" i="69"/>
  <c r="X55" i="69"/>
  <c r="W55" i="69"/>
  <c r="V55" i="69"/>
  <c r="U55" i="69"/>
  <c r="T55" i="69"/>
  <c r="S55" i="69"/>
  <c r="R55" i="69"/>
  <c r="Q55" i="69"/>
  <c r="P55" i="69"/>
  <c r="O55" i="69"/>
  <c r="N55" i="69"/>
  <c r="M55" i="69"/>
  <c r="L55" i="69"/>
  <c r="K55" i="69"/>
  <c r="J55" i="69"/>
  <c r="I55" i="69"/>
  <c r="H55" i="69"/>
  <c r="G55" i="69"/>
  <c r="F55" i="69"/>
  <c r="E55" i="69"/>
  <c r="D55" i="69"/>
  <c r="C55" i="69"/>
  <c r="X54" i="69"/>
  <c r="W54" i="69"/>
  <c r="V54" i="69"/>
  <c r="U54" i="69"/>
  <c r="T54" i="69"/>
  <c r="S54" i="69"/>
  <c r="R54" i="69"/>
  <c r="Q54" i="69"/>
  <c r="P54" i="69"/>
  <c r="O54" i="69"/>
  <c r="N54" i="69"/>
  <c r="M54" i="69"/>
  <c r="L54" i="69"/>
  <c r="K54" i="69"/>
  <c r="J54" i="69"/>
  <c r="I54" i="69"/>
  <c r="H54" i="69"/>
  <c r="G54" i="69"/>
  <c r="F54" i="69"/>
  <c r="E54" i="69"/>
  <c r="D54" i="69"/>
  <c r="C54" i="69"/>
  <c r="X53" i="69"/>
  <c r="W53" i="69"/>
  <c r="V53" i="69"/>
  <c r="U53" i="69"/>
  <c r="T53" i="69"/>
  <c r="S53" i="69"/>
  <c r="R53" i="69"/>
  <c r="Q53" i="69"/>
  <c r="P53" i="69"/>
  <c r="O53" i="69"/>
  <c r="N53" i="69"/>
  <c r="M53" i="69"/>
  <c r="L53" i="69"/>
  <c r="K53" i="69"/>
  <c r="J53" i="69"/>
  <c r="I53" i="69"/>
  <c r="H53" i="69"/>
  <c r="G53" i="69"/>
  <c r="F53" i="69"/>
  <c r="E53" i="69"/>
  <c r="D53" i="69"/>
  <c r="C53" i="69"/>
  <c r="X51" i="69"/>
  <c r="W51" i="69"/>
  <c r="V51" i="69"/>
  <c r="U51" i="69"/>
  <c r="T51" i="69"/>
  <c r="S51" i="69"/>
  <c r="R51" i="69"/>
  <c r="Q51" i="69"/>
  <c r="P51" i="69"/>
  <c r="O51" i="69"/>
  <c r="N51" i="69"/>
  <c r="M51" i="69"/>
  <c r="L51" i="69"/>
  <c r="K51" i="69"/>
  <c r="J51" i="69"/>
  <c r="I51" i="69"/>
  <c r="H51" i="69"/>
  <c r="G51" i="69"/>
  <c r="F51" i="69"/>
  <c r="E51" i="69"/>
  <c r="D51" i="69"/>
  <c r="C51" i="69"/>
  <c r="X50" i="69"/>
  <c r="W50" i="69"/>
  <c r="V50" i="69"/>
  <c r="U50" i="69"/>
  <c r="T50" i="69"/>
  <c r="S50" i="69"/>
  <c r="R50" i="69"/>
  <c r="Q50" i="69"/>
  <c r="P50" i="69"/>
  <c r="O50" i="69"/>
  <c r="N50" i="69"/>
  <c r="M50" i="69"/>
  <c r="L50" i="69"/>
  <c r="K50" i="69"/>
  <c r="J50" i="69"/>
  <c r="I50" i="69"/>
  <c r="H50" i="69"/>
  <c r="G50" i="69"/>
  <c r="F50" i="69"/>
  <c r="E50" i="69"/>
  <c r="D50" i="69"/>
  <c r="C50" i="69"/>
  <c r="X48" i="69"/>
  <c r="W48" i="69"/>
  <c r="V48" i="69"/>
  <c r="U48" i="69"/>
  <c r="T48" i="69"/>
  <c r="S48" i="69"/>
  <c r="R48" i="69"/>
  <c r="Q48" i="69"/>
  <c r="P48" i="69"/>
  <c r="O48" i="69"/>
  <c r="N48" i="69"/>
  <c r="M48" i="69"/>
  <c r="L48" i="69"/>
  <c r="K48" i="69"/>
  <c r="J48" i="69"/>
  <c r="I48" i="69"/>
  <c r="H48" i="69"/>
  <c r="G48" i="69"/>
  <c r="F48" i="69"/>
  <c r="E48" i="69"/>
  <c r="D48" i="69"/>
  <c r="C48" i="69"/>
  <c r="BK43" i="69"/>
  <c r="BJ43" i="69"/>
  <c r="BI43" i="69"/>
  <c r="BH43" i="69"/>
  <c r="BG43" i="69"/>
  <c r="BF43" i="69"/>
  <c r="BE43" i="69"/>
  <c r="BD43" i="69"/>
  <c r="BC43" i="69"/>
  <c r="BB43" i="69"/>
  <c r="BA43" i="69"/>
  <c r="AZ43" i="69"/>
  <c r="AY43" i="69"/>
  <c r="AX43" i="69"/>
  <c r="AW43" i="69"/>
  <c r="AV43" i="69"/>
  <c r="AU43" i="69"/>
  <c r="AT43" i="69"/>
  <c r="AS43" i="69"/>
  <c r="AR43" i="69"/>
  <c r="AQ43" i="69"/>
  <c r="AP43" i="69"/>
  <c r="AO43" i="69"/>
  <c r="AN43" i="69"/>
  <c r="AM43" i="69"/>
  <c r="AL43" i="69"/>
  <c r="AK43" i="69"/>
  <c r="AJ43" i="69"/>
  <c r="AI43" i="69"/>
  <c r="AH43" i="69"/>
  <c r="AG43" i="69"/>
  <c r="AF43" i="69"/>
  <c r="AE43" i="69"/>
  <c r="AD43" i="69"/>
  <c r="AC43" i="69"/>
  <c r="AB43" i="69"/>
  <c r="AA43" i="69"/>
  <c r="Z43" i="69"/>
  <c r="Y43" i="69"/>
  <c r="X43" i="69"/>
  <c r="W43" i="69"/>
  <c r="V43" i="69"/>
  <c r="U43" i="69"/>
  <c r="T43" i="69"/>
  <c r="S43" i="69"/>
  <c r="R43" i="69"/>
  <c r="Q43" i="69"/>
  <c r="P43" i="69"/>
  <c r="O43" i="69"/>
  <c r="N43" i="69"/>
  <c r="M43" i="69"/>
  <c r="L43" i="69"/>
  <c r="K43" i="69"/>
  <c r="J43" i="69"/>
  <c r="I43" i="69"/>
  <c r="H43" i="69"/>
  <c r="G43" i="69"/>
  <c r="F43" i="69"/>
  <c r="E43" i="69"/>
  <c r="D43" i="69"/>
  <c r="C43" i="69"/>
  <c r="X41" i="69"/>
  <c r="W41" i="69"/>
  <c r="V41" i="69"/>
  <c r="U41" i="69"/>
  <c r="T41" i="69"/>
  <c r="S41" i="69"/>
  <c r="R41" i="69"/>
  <c r="Q41" i="69"/>
  <c r="P41" i="69"/>
  <c r="O41" i="69"/>
  <c r="N41" i="69"/>
  <c r="M41" i="69"/>
  <c r="L41" i="69"/>
  <c r="K41" i="69"/>
  <c r="J41" i="69"/>
  <c r="I41" i="69"/>
  <c r="H41" i="69"/>
  <c r="G41" i="69"/>
  <c r="F41" i="69"/>
  <c r="E41" i="69"/>
  <c r="D41" i="69"/>
  <c r="C41" i="69"/>
  <c r="X40" i="69"/>
  <c r="W40" i="69"/>
  <c r="V40" i="69"/>
  <c r="U40" i="69"/>
  <c r="T40" i="69"/>
  <c r="S40" i="69"/>
  <c r="R40" i="69"/>
  <c r="Q40" i="69"/>
  <c r="P40" i="69"/>
  <c r="O40" i="69"/>
  <c r="N40" i="69"/>
  <c r="M40" i="69"/>
  <c r="L40" i="69"/>
  <c r="K40" i="69"/>
  <c r="J40" i="69"/>
  <c r="I40" i="69"/>
  <c r="H40" i="69"/>
  <c r="G40" i="69"/>
  <c r="F40" i="69"/>
  <c r="E40" i="69"/>
  <c r="D40" i="69"/>
  <c r="C40" i="69"/>
  <c r="BK38" i="69"/>
  <c r="BJ38" i="69"/>
  <c r="BI38" i="69"/>
  <c r="BH38" i="69"/>
  <c r="BG38" i="69"/>
  <c r="BF38" i="69"/>
  <c r="BE38" i="69"/>
  <c r="BD38" i="69"/>
  <c r="BC38" i="69"/>
  <c r="BB38" i="69"/>
  <c r="BA38" i="69"/>
  <c r="AZ38" i="69"/>
  <c r="AY38" i="69"/>
  <c r="AX38" i="69"/>
  <c r="AW38" i="69"/>
  <c r="AV38" i="69"/>
  <c r="AU38" i="69"/>
  <c r="AT38" i="69"/>
  <c r="AS38" i="69"/>
  <c r="AR38" i="69"/>
  <c r="AQ38" i="69"/>
  <c r="AP38" i="69"/>
  <c r="AO38" i="69"/>
  <c r="AN38" i="69"/>
  <c r="AM38" i="69"/>
  <c r="AL38" i="69"/>
  <c r="AK38" i="69"/>
  <c r="AJ38" i="69"/>
  <c r="AI38" i="69"/>
  <c r="AH38" i="69"/>
  <c r="AG38" i="69"/>
  <c r="AF38" i="69"/>
  <c r="AE38" i="69"/>
  <c r="AD38" i="69"/>
  <c r="AC38" i="69"/>
  <c r="AB38" i="69"/>
  <c r="AA38" i="69"/>
  <c r="Z38" i="69"/>
  <c r="Y38" i="69"/>
  <c r="X38" i="69"/>
  <c r="W38" i="69"/>
  <c r="V38" i="69"/>
  <c r="U38" i="69"/>
  <c r="T38" i="69"/>
  <c r="S38" i="69"/>
  <c r="R38" i="69"/>
  <c r="Q38" i="69"/>
  <c r="P38" i="69"/>
  <c r="O38" i="69"/>
  <c r="N38" i="69"/>
  <c r="M38" i="69"/>
  <c r="L38" i="69"/>
  <c r="K38" i="69"/>
  <c r="J38" i="69"/>
  <c r="I38" i="69"/>
  <c r="H38" i="69"/>
  <c r="G38" i="69"/>
  <c r="F38" i="69"/>
  <c r="E38" i="69"/>
  <c r="D38" i="69"/>
  <c r="C38" i="69"/>
  <c r="X36" i="69"/>
  <c r="W36" i="69"/>
  <c r="V36" i="69"/>
  <c r="U36" i="69"/>
  <c r="T36" i="69"/>
  <c r="S36" i="69"/>
  <c r="R36" i="69"/>
  <c r="Q36" i="69"/>
  <c r="P36" i="69"/>
  <c r="O36" i="69"/>
  <c r="N36" i="69"/>
  <c r="M36" i="69"/>
  <c r="L36" i="69"/>
  <c r="K36" i="69"/>
  <c r="J36" i="69"/>
  <c r="I36" i="69"/>
  <c r="H36" i="69"/>
  <c r="G36" i="69"/>
  <c r="F36" i="69"/>
  <c r="E36" i="69"/>
  <c r="D36" i="69"/>
  <c r="C36" i="69"/>
  <c r="X35" i="69"/>
  <c r="W35" i="69"/>
  <c r="V35" i="69"/>
  <c r="U35" i="69"/>
  <c r="T35" i="69"/>
  <c r="S35" i="69"/>
  <c r="R35" i="69"/>
  <c r="Q35" i="69"/>
  <c r="P35" i="69"/>
  <c r="O35" i="69"/>
  <c r="N35" i="69"/>
  <c r="M35" i="69"/>
  <c r="L35" i="69"/>
  <c r="K35" i="69"/>
  <c r="J35" i="69"/>
  <c r="I35" i="69"/>
  <c r="H35" i="69"/>
  <c r="G35" i="69"/>
  <c r="F35" i="69"/>
  <c r="E35" i="69"/>
  <c r="D35" i="69"/>
  <c r="C35" i="69"/>
  <c r="BK33" i="69"/>
  <c r="BJ33" i="69"/>
  <c r="BI33" i="69"/>
  <c r="BH33" i="69"/>
  <c r="BG33" i="69"/>
  <c r="BF33" i="69"/>
  <c r="BE33" i="69"/>
  <c r="BD33" i="69"/>
  <c r="BC33" i="69"/>
  <c r="BB33" i="69"/>
  <c r="BA33" i="69"/>
  <c r="AZ33" i="69"/>
  <c r="AY33" i="69"/>
  <c r="AX33" i="69"/>
  <c r="AW33" i="69"/>
  <c r="AV33" i="69"/>
  <c r="AU33" i="69"/>
  <c r="AT33" i="69"/>
  <c r="AS33" i="69"/>
  <c r="AR33" i="69"/>
  <c r="AQ33" i="69"/>
  <c r="AP33" i="69"/>
  <c r="AO33" i="69"/>
  <c r="AN33" i="69"/>
  <c r="AM33" i="69"/>
  <c r="AL33" i="69"/>
  <c r="AK33" i="69"/>
  <c r="AJ33" i="69"/>
  <c r="AI33" i="69"/>
  <c r="AH33" i="69"/>
  <c r="AG33" i="69"/>
  <c r="AF33" i="69"/>
  <c r="AE33" i="69"/>
  <c r="AD33" i="69"/>
  <c r="AC33" i="69"/>
  <c r="AB33" i="69"/>
  <c r="AA33" i="69"/>
  <c r="Z33" i="69"/>
  <c r="Y33" i="69"/>
  <c r="X33" i="69"/>
  <c r="W33" i="69"/>
  <c r="V33" i="69"/>
  <c r="U33" i="69"/>
  <c r="T33" i="69"/>
  <c r="S33" i="69"/>
  <c r="R33" i="69"/>
  <c r="Q33" i="69"/>
  <c r="P33" i="69"/>
  <c r="O33" i="69"/>
  <c r="N33" i="69"/>
  <c r="M33" i="69"/>
  <c r="L33" i="69"/>
  <c r="K33" i="69"/>
  <c r="J33" i="69"/>
  <c r="I33" i="69"/>
  <c r="H33" i="69"/>
  <c r="G33" i="69"/>
  <c r="F33" i="69"/>
  <c r="E33" i="69"/>
  <c r="D33" i="69"/>
  <c r="C33" i="69"/>
  <c r="X31" i="69"/>
  <c r="W31" i="69"/>
  <c r="V31" i="69"/>
  <c r="U31" i="69"/>
  <c r="T31" i="69"/>
  <c r="S31" i="69"/>
  <c r="R31" i="69"/>
  <c r="Q31" i="69"/>
  <c r="P31" i="69"/>
  <c r="O31" i="69"/>
  <c r="N31" i="69"/>
  <c r="M31" i="69"/>
  <c r="L31" i="69"/>
  <c r="K31" i="69"/>
  <c r="J31" i="69"/>
  <c r="I31" i="69"/>
  <c r="H31" i="69"/>
  <c r="G31" i="69"/>
  <c r="F31" i="69"/>
  <c r="E31" i="69"/>
  <c r="D31" i="69"/>
  <c r="C31" i="69"/>
  <c r="X30" i="69"/>
  <c r="W30" i="69"/>
  <c r="V30" i="69"/>
  <c r="U30" i="69"/>
  <c r="T30" i="69"/>
  <c r="S30" i="69"/>
  <c r="R30" i="69"/>
  <c r="Q30" i="69"/>
  <c r="P30" i="69"/>
  <c r="O30" i="69"/>
  <c r="N30" i="69"/>
  <c r="M30" i="69"/>
  <c r="L30" i="69"/>
  <c r="K30" i="69"/>
  <c r="J30" i="69"/>
  <c r="I30" i="69"/>
  <c r="H30" i="69"/>
  <c r="G30" i="69"/>
  <c r="F30" i="69"/>
  <c r="E30" i="69"/>
  <c r="D30" i="69"/>
  <c r="C30" i="69"/>
  <c r="BK28" i="69"/>
  <c r="BJ28" i="69"/>
  <c r="BI28" i="69"/>
  <c r="BH28" i="69"/>
  <c r="BG28" i="69"/>
  <c r="BF28" i="69"/>
  <c r="BE28" i="69"/>
  <c r="BD28" i="69"/>
  <c r="BC28" i="69"/>
  <c r="BB28" i="69"/>
  <c r="BA28" i="69"/>
  <c r="AZ28" i="69"/>
  <c r="AY28" i="69"/>
  <c r="AX28" i="69"/>
  <c r="AW28" i="69"/>
  <c r="AV28" i="69"/>
  <c r="AU28" i="69"/>
  <c r="AT28" i="69"/>
  <c r="AS28" i="69"/>
  <c r="AR28" i="69"/>
  <c r="AQ28" i="69"/>
  <c r="AP28" i="69"/>
  <c r="AO28" i="69"/>
  <c r="AN28" i="69"/>
  <c r="AM28" i="69"/>
  <c r="AL28" i="69"/>
  <c r="AK28" i="69"/>
  <c r="AJ28" i="69"/>
  <c r="AI28" i="69"/>
  <c r="AH28" i="69"/>
  <c r="AG28" i="69"/>
  <c r="AF28" i="69"/>
  <c r="AE28" i="69"/>
  <c r="AD28" i="69"/>
  <c r="AC28" i="69"/>
  <c r="AB28" i="69"/>
  <c r="AA28" i="69"/>
  <c r="Z28" i="69"/>
  <c r="Y28" i="69"/>
  <c r="X28" i="69"/>
  <c r="W28" i="69"/>
  <c r="V28" i="69"/>
  <c r="U28" i="69"/>
  <c r="T28" i="69"/>
  <c r="S28" i="69"/>
  <c r="R28" i="69"/>
  <c r="Q28" i="69"/>
  <c r="P28" i="69"/>
  <c r="O28" i="69"/>
  <c r="N28" i="69"/>
  <c r="M28" i="69"/>
  <c r="L28" i="69"/>
  <c r="K28" i="69"/>
  <c r="J28" i="69"/>
  <c r="I28" i="69"/>
  <c r="H28" i="69"/>
  <c r="G28" i="69"/>
  <c r="F28" i="69"/>
  <c r="E28" i="69"/>
  <c r="D28" i="69"/>
  <c r="C28" i="69"/>
  <c r="BK25" i="69"/>
  <c r="BJ25" i="69"/>
  <c r="BI25" i="69"/>
  <c r="BH25" i="69"/>
  <c r="BG25" i="69"/>
  <c r="BF25" i="69"/>
  <c r="BE25" i="69"/>
  <c r="BD25" i="69"/>
  <c r="BC25" i="69"/>
  <c r="BB25" i="69"/>
  <c r="BA25" i="69"/>
  <c r="AZ25" i="69"/>
  <c r="AY25" i="69"/>
  <c r="AX25" i="69"/>
  <c r="AW25" i="69"/>
  <c r="AV25" i="69"/>
  <c r="AU25" i="69"/>
  <c r="AT25" i="69"/>
  <c r="AS25" i="69"/>
  <c r="AR25" i="69"/>
  <c r="AQ25" i="69"/>
  <c r="AP25" i="69"/>
  <c r="AO25" i="69"/>
  <c r="AN25" i="69"/>
  <c r="AM25" i="69"/>
  <c r="AL25" i="69"/>
  <c r="AK25" i="69"/>
  <c r="AJ25" i="69"/>
  <c r="AI25" i="69"/>
  <c r="AH25" i="69"/>
  <c r="AG25" i="69"/>
  <c r="AF25" i="69"/>
  <c r="AE25" i="69"/>
  <c r="AD25" i="69"/>
  <c r="AC25" i="69"/>
  <c r="AB25" i="69"/>
  <c r="AA25" i="69"/>
  <c r="Z25" i="69"/>
  <c r="Y25" i="69"/>
  <c r="X25" i="69"/>
  <c r="W25" i="69"/>
  <c r="V25" i="69"/>
  <c r="U25" i="69"/>
  <c r="T25" i="69"/>
  <c r="S25" i="69"/>
  <c r="R25" i="69"/>
  <c r="Q25" i="69"/>
  <c r="P25" i="69"/>
  <c r="O25" i="69"/>
  <c r="N25" i="69"/>
  <c r="M25" i="69"/>
  <c r="L25" i="69"/>
  <c r="K25" i="69"/>
  <c r="J25" i="69"/>
  <c r="I25" i="69"/>
  <c r="H25" i="69"/>
  <c r="G25" i="69"/>
  <c r="F25" i="69"/>
  <c r="E25" i="69"/>
  <c r="D25" i="69"/>
  <c r="C25" i="69"/>
  <c r="V24" i="69"/>
  <c r="N24" i="69"/>
  <c r="F24" i="69"/>
  <c r="V23" i="69"/>
  <c r="S23" i="69"/>
  <c r="S24" i="69" s="1"/>
  <c r="R23" i="69"/>
  <c r="R24" i="69" s="1"/>
  <c r="N23" i="69"/>
  <c r="K23" i="69"/>
  <c r="K24" i="69" s="1"/>
  <c r="J23" i="69"/>
  <c r="J24" i="69" s="1"/>
  <c r="F23" i="69"/>
  <c r="C23" i="69"/>
  <c r="C24" i="69" s="1"/>
  <c r="X22" i="69"/>
  <c r="W22" i="69"/>
  <c r="W23" i="69" s="1"/>
  <c r="W24" i="69" s="1"/>
  <c r="V22" i="69"/>
  <c r="U22" i="69"/>
  <c r="U23" i="69" s="1"/>
  <c r="U24" i="69" s="1"/>
  <c r="T22" i="69"/>
  <c r="S22" i="69"/>
  <c r="R22" i="69"/>
  <c r="Q22" i="69"/>
  <c r="Q23" i="69" s="1"/>
  <c r="Q24" i="69" s="1"/>
  <c r="P22" i="69"/>
  <c r="O22" i="69"/>
  <c r="O23" i="69" s="1"/>
  <c r="O24" i="69" s="1"/>
  <c r="N22" i="69"/>
  <c r="M22" i="69"/>
  <c r="M23" i="69" s="1"/>
  <c r="M24" i="69" s="1"/>
  <c r="L22" i="69"/>
  <c r="K22" i="69"/>
  <c r="J22" i="69"/>
  <c r="I22" i="69"/>
  <c r="I23" i="69" s="1"/>
  <c r="I24" i="69" s="1"/>
  <c r="H22" i="69"/>
  <c r="G22" i="69"/>
  <c r="G23" i="69" s="1"/>
  <c r="G24" i="69" s="1"/>
  <c r="F22" i="69"/>
  <c r="E22" i="69"/>
  <c r="E23" i="69" s="1"/>
  <c r="E24" i="69" s="1"/>
  <c r="D22" i="69"/>
  <c r="C22" i="69"/>
  <c r="V20" i="69"/>
  <c r="V21" i="69" s="1"/>
  <c r="N20" i="69"/>
  <c r="N21" i="69" s="1"/>
  <c r="F20" i="69"/>
  <c r="F21" i="69" s="1"/>
  <c r="V19" i="69"/>
  <c r="V26" i="69" s="1"/>
  <c r="S19" i="69"/>
  <c r="R19" i="69"/>
  <c r="R26" i="69" s="1"/>
  <c r="N19" i="69"/>
  <c r="N26" i="69" s="1"/>
  <c r="K19" i="69"/>
  <c r="K20" i="69" s="1"/>
  <c r="K21" i="69" s="1"/>
  <c r="J19" i="69"/>
  <c r="J26" i="69" s="1"/>
  <c r="F19" i="69"/>
  <c r="F26" i="69" s="1"/>
  <c r="D19" i="69"/>
  <c r="C19" i="69"/>
  <c r="C20" i="69" s="1"/>
  <c r="C21" i="69" s="1"/>
  <c r="W18" i="69"/>
  <c r="W52" i="69" s="1"/>
  <c r="V18" i="69"/>
  <c r="V52" i="69" s="1"/>
  <c r="U18" i="69"/>
  <c r="U52" i="69" s="1"/>
  <c r="S18" i="69"/>
  <c r="S52" i="69" s="1"/>
  <c r="R18" i="69"/>
  <c r="R52" i="69" s="1"/>
  <c r="Q18" i="69"/>
  <c r="Q52" i="69" s="1"/>
  <c r="O18" i="69"/>
  <c r="O52" i="69" s="1"/>
  <c r="N18" i="69"/>
  <c r="N52" i="69" s="1"/>
  <c r="M18" i="69"/>
  <c r="M52" i="69" s="1"/>
  <c r="K18" i="69"/>
  <c r="K52" i="69" s="1"/>
  <c r="J18" i="69"/>
  <c r="J52" i="69" s="1"/>
  <c r="I18" i="69"/>
  <c r="I52" i="69" s="1"/>
  <c r="G18" i="69"/>
  <c r="G52" i="69" s="1"/>
  <c r="F18" i="69"/>
  <c r="F52" i="69" s="1"/>
  <c r="E18" i="69"/>
  <c r="E52" i="69" s="1"/>
  <c r="C18" i="69"/>
  <c r="C52" i="69" s="1"/>
  <c r="X16" i="69"/>
  <c r="W16" i="69"/>
  <c r="V16" i="69"/>
  <c r="U16" i="69"/>
  <c r="T16" i="69"/>
  <c r="S16" i="69"/>
  <c r="R16" i="69"/>
  <c r="Q16" i="69"/>
  <c r="P16" i="69"/>
  <c r="O16" i="69"/>
  <c r="N16" i="69"/>
  <c r="M16" i="69"/>
  <c r="L16" i="69"/>
  <c r="K16" i="69"/>
  <c r="J16" i="69"/>
  <c r="I16" i="69"/>
  <c r="H16" i="69"/>
  <c r="G16" i="69"/>
  <c r="F16" i="69"/>
  <c r="E16" i="69"/>
  <c r="D16" i="69"/>
  <c r="C16" i="69"/>
  <c r="X14" i="69"/>
  <c r="W14" i="69"/>
  <c r="V14" i="69"/>
  <c r="U14" i="69"/>
  <c r="T14" i="69"/>
  <c r="S14" i="69"/>
  <c r="R14" i="69"/>
  <c r="Q14" i="69"/>
  <c r="P14" i="69"/>
  <c r="O14" i="69"/>
  <c r="N14" i="69"/>
  <c r="M14" i="69"/>
  <c r="L14" i="69"/>
  <c r="K14" i="69"/>
  <c r="J14" i="69"/>
  <c r="I14" i="69"/>
  <c r="H14" i="69"/>
  <c r="G14" i="69"/>
  <c r="F14" i="69"/>
  <c r="E14" i="69"/>
  <c r="D14" i="69"/>
  <c r="C14" i="69"/>
  <c r="X13" i="69"/>
  <c r="W13" i="69"/>
  <c r="V13" i="69"/>
  <c r="U13" i="69"/>
  <c r="T13" i="69"/>
  <c r="S13" i="69"/>
  <c r="R13" i="69"/>
  <c r="Q13" i="69"/>
  <c r="P13" i="69"/>
  <c r="O13" i="69"/>
  <c r="N13" i="69"/>
  <c r="M13" i="69"/>
  <c r="L13" i="69"/>
  <c r="K13" i="69"/>
  <c r="J13" i="69"/>
  <c r="I13" i="69"/>
  <c r="H13" i="69"/>
  <c r="G13" i="69"/>
  <c r="F13" i="69"/>
  <c r="E13" i="69"/>
  <c r="D13" i="69"/>
  <c r="C13" i="69"/>
  <c r="X11" i="69"/>
  <c r="W11" i="69"/>
  <c r="V11" i="69"/>
  <c r="U11" i="69"/>
  <c r="T11" i="69"/>
  <c r="S11" i="69"/>
  <c r="R11" i="69"/>
  <c r="Q11" i="69"/>
  <c r="P11" i="69"/>
  <c r="O11" i="69"/>
  <c r="N11" i="69"/>
  <c r="M11" i="69"/>
  <c r="L11" i="69"/>
  <c r="K11" i="69"/>
  <c r="J11" i="69"/>
  <c r="I11" i="69"/>
  <c r="H11" i="69"/>
  <c r="G11" i="69"/>
  <c r="F11" i="69"/>
  <c r="E11" i="69"/>
  <c r="D11" i="69"/>
  <c r="C11" i="69"/>
  <c r="W10" i="69"/>
  <c r="V10" i="69"/>
  <c r="R10" i="69"/>
  <c r="N10" i="69"/>
  <c r="K10" i="69"/>
  <c r="J10" i="69"/>
  <c r="G10" i="69"/>
  <c r="F10" i="69"/>
  <c r="X9" i="69"/>
  <c r="X10" i="69" s="1"/>
  <c r="W9" i="69"/>
  <c r="V9" i="69"/>
  <c r="U9" i="69"/>
  <c r="U10" i="69" s="1"/>
  <c r="T9" i="69"/>
  <c r="T10" i="69" s="1"/>
  <c r="S9" i="69"/>
  <c r="S10" i="69" s="1"/>
  <c r="R9" i="69"/>
  <c r="Q9" i="69"/>
  <c r="Q10" i="69" s="1"/>
  <c r="P9" i="69"/>
  <c r="P10" i="69" s="1"/>
  <c r="O9" i="69"/>
  <c r="O10" i="69" s="1"/>
  <c r="N9" i="69"/>
  <c r="M9" i="69"/>
  <c r="M10" i="69" s="1"/>
  <c r="L9" i="69"/>
  <c r="L10" i="69" s="1"/>
  <c r="K9" i="69"/>
  <c r="J9" i="69"/>
  <c r="I9" i="69"/>
  <c r="I10" i="69" s="1"/>
  <c r="H9" i="69"/>
  <c r="H10" i="69" s="1"/>
  <c r="G9" i="69"/>
  <c r="F9" i="69"/>
  <c r="E9" i="69"/>
  <c r="E10" i="69" s="1"/>
  <c r="D9" i="69"/>
  <c r="D10" i="69" s="1"/>
  <c r="C9" i="69"/>
  <c r="C10" i="69" s="1"/>
  <c r="X7" i="69"/>
  <c r="W7" i="69"/>
  <c r="V7" i="69"/>
  <c r="U7" i="69"/>
  <c r="T7" i="69"/>
  <c r="S7" i="69"/>
  <c r="R7" i="69"/>
  <c r="Q7" i="69"/>
  <c r="P7" i="69"/>
  <c r="O7" i="69"/>
  <c r="N7" i="69"/>
  <c r="M7" i="69"/>
  <c r="L7" i="69"/>
  <c r="K7" i="69"/>
  <c r="J7" i="69"/>
  <c r="I7" i="69"/>
  <c r="H7" i="69"/>
  <c r="G7" i="69"/>
  <c r="F7" i="69"/>
  <c r="E7" i="69"/>
  <c r="D7" i="69"/>
  <c r="C7" i="69"/>
  <c r="X6" i="69"/>
  <c r="W6" i="69"/>
  <c r="V6" i="69"/>
  <c r="U6" i="69"/>
  <c r="T6" i="69"/>
  <c r="S6" i="69"/>
  <c r="R6" i="69"/>
  <c r="Q6" i="69"/>
  <c r="P6" i="69"/>
  <c r="O6" i="69"/>
  <c r="N6" i="69"/>
  <c r="M6" i="69"/>
  <c r="L6" i="69"/>
  <c r="K6" i="69"/>
  <c r="J6" i="69"/>
  <c r="I6" i="69"/>
  <c r="H6" i="69"/>
  <c r="G6" i="69"/>
  <c r="F6" i="69"/>
  <c r="E6" i="69"/>
  <c r="D6" i="69"/>
  <c r="C6" i="69"/>
  <c r="A471" i="67"/>
  <c r="A470" i="67"/>
  <c r="A469" i="67"/>
  <c r="A468" i="67"/>
  <c r="A467" i="67"/>
  <c r="A466" i="67"/>
  <c r="A465" i="67"/>
  <c r="A464" i="67"/>
  <c r="A463" i="67"/>
  <c r="A462" i="67"/>
  <c r="A164" i="67"/>
  <c r="A163" i="67"/>
  <c r="A162" i="67"/>
  <c r="A161" i="67"/>
  <c r="A160" i="67"/>
  <c r="A159" i="67"/>
  <c r="A158" i="67"/>
  <c r="A157" i="67"/>
  <c r="A5" i="67"/>
  <c r="A6" i="67"/>
  <c r="A7" i="67"/>
  <c r="A8" i="67"/>
  <c r="A9" i="67"/>
  <c r="A4" i="67"/>
  <c r="AN113" i="65"/>
  <c r="AN114" i="65"/>
  <c r="AN115" i="65"/>
  <c r="AN116" i="65"/>
  <c r="AN117" i="65"/>
  <c r="AN118" i="65"/>
  <c r="AN119" i="65"/>
  <c r="AN120" i="65"/>
  <c r="AN121" i="65"/>
  <c r="AN112" i="65"/>
  <c r="AD113" i="65"/>
  <c r="AD114" i="65"/>
  <c r="AD115" i="65"/>
  <c r="AD116" i="65"/>
  <c r="AD117" i="65"/>
  <c r="AD118" i="65"/>
  <c r="AD119" i="65"/>
  <c r="AD120" i="65"/>
  <c r="AD121" i="65"/>
  <c r="AD112" i="65"/>
  <c r="T113" i="65"/>
  <c r="T114" i="65"/>
  <c r="T115" i="65"/>
  <c r="T116" i="65"/>
  <c r="T117" i="65"/>
  <c r="T118" i="65"/>
  <c r="T119" i="65"/>
  <c r="T120" i="65"/>
  <c r="T121" i="65"/>
  <c r="T112" i="65"/>
  <c r="B113" i="65"/>
  <c r="B114" i="65"/>
  <c r="B115" i="65"/>
  <c r="B116" i="65"/>
  <c r="C116" i="65" s="1"/>
  <c r="B117" i="65"/>
  <c r="B118" i="65"/>
  <c r="B119" i="65"/>
  <c r="B120" i="65"/>
  <c r="C120" i="65" s="1"/>
  <c r="B121" i="65"/>
  <c r="B112" i="65"/>
  <c r="AN88" i="65"/>
  <c r="AN89" i="65"/>
  <c r="AN90" i="65"/>
  <c r="AN91" i="65"/>
  <c r="AN92" i="65"/>
  <c r="AN93" i="65"/>
  <c r="AN94" i="65"/>
  <c r="AN95" i="65"/>
  <c r="AN96" i="65"/>
  <c r="AN87" i="65"/>
  <c r="AD87" i="65"/>
  <c r="AD88" i="65"/>
  <c r="AD89" i="65"/>
  <c r="AD90" i="65"/>
  <c r="AD91" i="65"/>
  <c r="AD92" i="65"/>
  <c r="AD93" i="65"/>
  <c r="AD94" i="65"/>
  <c r="AD95" i="65"/>
  <c r="AD96" i="65"/>
  <c r="T88" i="65"/>
  <c r="T89" i="65"/>
  <c r="T90" i="65"/>
  <c r="T91" i="65"/>
  <c r="T92" i="65"/>
  <c r="T93" i="65"/>
  <c r="T94" i="65"/>
  <c r="T95" i="65"/>
  <c r="T96" i="65"/>
  <c r="T87" i="65"/>
  <c r="B88" i="65"/>
  <c r="C88" i="65" s="1"/>
  <c r="D88" i="65" s="1"/>
  <c r="E88" i="65" s="1"/>
  <c r="F88" i="65" s="1"/>
  <c r="G88" i="65" s="1"/>
  <c r="H88" i="65" s="1"/>
  <c r="I88" i="65" s="1"/>
  <c r="J88" i="65" s="1"/>
  <c r="B89" i="65"/>
  <c r="B104" i="65" s="1"/>
  <c r="B144" i="65" s="1"/>
  <c r="B90" i="65"/>
  <c r="B91" i="65"/>
  <c r="B106" i="65" s="1"/>
  <c r="B92" i="65"/>
  <c r="C92" i="65" s="1"/>
  <c r="D92" i="65" s="1"/>
  <c r="E92" i="65" s="1"/>
  <c r="F92" i="65" s="1"/>
  <c r="G92" i="65" s="1"/>
  <c r="H92" i="65" s="1"/>
  <c r="I92" i="65" s="1"/>
  <c r="J92" i="65" s="1"/>
  <c r="B93" i="65"/>
  <c r="B108" i="65" s="1"/>
  <c r="B148" i="65" s="1"/>
  <c r="B94" i="65"/>
  <c r="C94" i="65" s="1"/>
  <c r="D94" i="65" s="1"/>
  <c r="E94" i="65" s="1"/>
  <c r="F94" i="65" s="1"/>
  <c r="G94" i="65" s="1"/>
  <c r="H94" i="65" s="1"/>
  <c r="I94" i="65" s="1"/>
  <c r="J94" i="65" s="1"/>
  <c r="B95" i="65"/>
  <c r="C95" i="65" s="1"/>
  <c r="D95" i="65" s="1"/>
  <c r="E95" i="65" s="1"/>
  <c r="F95" i="65" s="1"/>
  <c r="G95" i="65" s="1"/>
  <c r="H95" i="65" s="1"/>
  <c r="I95" i="65" s="1"/>
  <c r="J95" i="65" s="1"/>
  <c r="B96" i="65"/>
  <c r="C96" i="65" s="1"/>
  <c r="D96" i="65" s="1"/>
  <c r="E96" i="65" s="1"/>
  <c r="F96" i="65" s="1"/>
  <c r="G96" i="65" s="1"/>
  <c r="H96" i="65" s="1"/>
  <c r="I96" i="65" s="1"/>
  <c r="J96" i="65" s="1"/>
  <c r="B87" i="65"/>
  <c r="C87" i="65" s="1"/>
  <c r="D87" i="65" s="1"/>
  <c r="E87" i="65" s="1"/>
  <c r="F87" i="65" s="1"/>
  <c r="G87" i="65" s="1"/>
  <c r="H87" i="65" s="1"/>
  <c r="I87" i="65" s="1"/>
  <c r="J87" i="65" s="1"/>
  <c r="L4" i="33"/>
  <c r="N4" i="33"/>
  <c r="AN37" i="65"/>
  <c r="AN36" i="65"/>
  <c r="AD37" i="65"/>
  <c r="AD36" i="65"/>
  <c r="T37" i="65"/>
  <c r="T36" i="65"/>
  <c r="B37" i="65"/>
  <c r="C37" i="65" s="1"/>
  <c r="B36" i="65"/>
  <c r="AN43" i="65"/>
  <c r="AN42" i="65"/>
  <c r="U43" i="65"/>
  <c r="U42" i="65"/>
  <c r="T43" i="65"/>
  <c r="T42" i="65"/>
  <c r="J43" i="65"/>
  <c r="B42" i="65"/>
  <c r="P4" i="33"/>
  <c r="N6" i="33"/>
  <c r="N7" i="33"/>
  <c r="N8" i="33"/>
  <c r="N9" i="33"/>
  <c r="N10" i="33"/>
  <c r="N11" i="33"/>
  <c r="N12" i="33"/>
  <c r="N13" i="33"/>
  <c r="N14" i="33"/>
  <c r="N15" i="33"/>
  <c r="N16" i="33"/>
  <c r="N17" i="33"/>
  <c r="N5" i="33"/>
  <c r="R1447" i="67" l="1"/>
  <c r="R1431" i="67"/>
  <c r="AL1447" i="67"/>
  <c r="AL1431" i="67"/>
  <c r="K1447" i="67"/>
  <c r="K1431" i="67"/>
  <c r="O1431" i="67"/>
  <c r="O1447" i="67"/>
  <c r="S1431" i="67"/>
  <c r="S1447" i="67"/>
  <c r="W1431" i="67"/>
  <c r="W1447" i="67"/>
  <c r="AA1447" i="67"/>
  <c r="AA1431" i="67"/>
  <c r="AE1431" i="67"/>
  <c r="AE1447" i="67"/>
  <c r="AI1431" i="67"/>
  <c r="AI1447" i="67"/>
  <c r="AM1447" i="67"/>
  <c r="AM1431" i="67"/>
  <c r="AQ1447" i="67"/>
  <c r="AQ1431" i="67"/>
  <c r="AU1431" i="67"/>
  <c r="AU1447" i="67"/>
  <c r="K1448" i="67"/>
  <c r="K1432" i="67"/>
  <c r="O1432" i="67"/>
  <c r="O1448" i="67"/>
  <c r="S1448" i="67"/>
  <c r="S1432" i="67"/>
  <c r="AA1432" i="67"/>
  <c r="AA1448" i="67"/>
  <c r="AE1432" i="67"/>
  <c r="AE1448" i="67"/>
  <c r="AI1448" i="67"/>
  <c r="AI1432" i="67"/>
  <c r="AM1448" i="67"/>
  <c r="AM1432" i="67"/>
  <c r="AQ1432" i="67"/>
  <c r="AQ1448" i="67"/>
  <c r="AU1432" i="67"/>
  <c r="AU1448" i="67"/>
  <c r="N1433" i="67"/>
  <c r="N1449" i="67"/>
  <c r="R1433" i="67"/>
  <c r="R1449" i="67"/>
  <c r="V1449" i="67"/>
  <c r="V1433" i="67"/>
  <c r="Z1433" i="67"/>
  <c r="Z1449" i="67"/>
  <c r="AD1433" i="67"/>
  <c r="AD1449" i="67"/>
  <c r="AH1433" i="67"/>
  <c r="AH1449" i="67"/>
  <c r="AL1433" i="67"/>
  <c r="AL1449" i="67"/>
  <c r="AP1433" i="67"/>
  <c r="AP1449" i="67"/>
  <c r="AT1433" i="67"/>
  <c r="AT1449" i="67"/>
  <c r="N1450" i="67"/>
  <c r="N1434" i="67"/>
  <c r="R1434" i="67"/>
  <c r="R1450" i="67"/>
  <c r="V1450" i="67"/>
  <c r="V1434" i="67"/>
  <c r="Z1450" i="67"/>
  <c r="Z1434" i="67"/>
  <c r="AD1450" i="67"/>
  <c r="AD1434" i="67"/>
  <c r="AH1434" i="67"/>
  <c r="AH1450" i="67"/>
  <c r="AL1450" i="67"/>
  <c r="AL1434" i="67"/>
  <c r="AP1450" i="67"/>
  <c r="AP1434" i="67"/>
  <c r="AT1450" i="67"/>
  <c r="AT1434" i="67"/>
  <c r="N1431" i="67"/>
  <c r="N1447" i="67"/>
  <c r="Z1431" i="67"/>
  <c r="Z1447" i="67"/>
  <c r="AH1447" i="67"/>
  <c r="AH1431" i="67"/>
  <c r="AT1431" i="67"/>
  <c r="AT1447" i="67"/>
  <c r="N1432" i="67"/>
  <c r="N1448" i="67"/>
  <c r="R1432" i="67"/>
  <c r="R1448" i="67"/>
  <c r="V1432" i="67"/>
  <c r="V1448" i="67"/>
  <c r="AD1432" i="67"/>
  <c r="AD1448" i="67"/>
  <c r="AH1432" i="67"/>
  <c r="AH1448" i="67"/>
  <c r="AL1448" i="67"/>
  <c r="AL1432" i="67"/>
  <c r="AP1448" i="67"/>
  <c r="AP1432" i="67"/>
  <c r="AT1432" i="67"/>
  <c r="AT1448" i="67"/>
  <c r="M1433" i="67"/>
  <c r="M1449" i="67"/>
  <c r="Q1433" i="67"/>
  <c r="Q1449" i="67"/>
  <c r="U1433" i="67"/>
  <c r="U1449" i="67"/>
  <c r="Y1433" i="67"/>
  <c r="Y1449" i="67"/>
  <c r="AC1433" i="67"/>
  <c r="AC1449" i="67"/>
  <c r="AG1433" i="67"/>
  <c r="AG1449" i="67"/>
  <c r="AK1433" i="67"/>
  <c r="AK1449" i="67"/>
  <c r="AO1433" i="67"/>
  <c r="AO1449" i="67"/>
  <c r="AS1449" i="67"/>
  <c r="AS1433" i="67"/>
  <c r="AW1433" i="67"/>
  <c r="AW1449" i="67"/>
  <c r="M1450" i="67"/>
  <c r="M1434" i="67"/>
  <c r="Q1450" i="67"/>
  <c r="Q1434" i="67"/>
  <c r="U1450" i="67"/>
  <c r="U1434" i="67"/>
  <c r="Y1434" i="67"/>
  <c r="Y1450" i="67"/>
  <c r="AC1450" i="67"/>
  <c r="AC1434" i="67"/>
  <c r="AG1450" i="67"/>
  <c r="AG1434" i="67"/>
  <c r="AK1450" i="67"/>
  <c r="AK1434" i="67"/>
  <c r="AO1434" i="67"/>
  <c r="AO1450" i="67"/>
  <c r="AS1450" i="67"/>
  <c r="AS1434" i="67"/>
  <c r="AW1450" i="67"/>
  <c r="AW1434" i="67"/>
  <c r="W1448" i="67"/>
  <c r="W1432" i="67"/>
  <c r="L1431" i="67"/>
  <c r="L1447" i="67"/>
  <c r="P1431" i="67"/>
  <c r="P1447" i="67"/>
  <c r="T1447" i="67"/>
  <c r="T1431" i="67"/>
  <c r="X1431" i="67"/>
  <c r="X1447" i="67"/>
  <c r="AB1431" i="67"/>
  <c r="AB1447" i="67"/>
  <c r="AF1447" i="67"/>
  <c r="AF1431" i="67"/>
  <c r="AJ1447" i="67"/>
  <c r="AJ1431" i="67"/>
  <c r="AN1431" i="67"/>
  <c r="AN1447" i="67"/>
  <c r="AR1431" i="67"/>
  <c r="AR1447" i="67"/>
  <c r="AV1447" i="67"/>
  <c r="AV1431" i="67"/>
  <c r="L1448" i="67"/>
  <c r="L1432" i="67"/>
  <c r="P1448" i="67"/>
  <c r="P1432" i="67"/>
  <c r="T1432" i="67"/>
  <c r="T1448" i="67"/>
  <c r="X1432" i="67"/>
  <c r="X1448" i="67"/>
  <c r="AB1448" i="67"/>
  <c r="AB1432" i="67"/>
  <c r="AF1448" i="67"/>
  <c r="AF1432" i="67"/>
  <c r="AJ1432" i="67"/>
  <c r="AJ1448" i="67"/>
  <c r="AN1432" i="67"/>
  <c r="AN1448" i="67"/>
  <c r="AR1448" i="67"/>
  <c r="AR1432" i="67"/>
  <c r="AV1448" i="67"/>
  <c r="AV1432" i="67"/>
  <c r="K1433" i="67"/>
  <c r="K1449" i="67"/>
  <c r="O1433" i="67"/>
  <c r="O1449" i="67"/>
  <c r="S1433" i="67"/>
  <c r="S1449" i="67"/>
  <c r="W1433" i="67"/>
  <c r="W1449" i="67"/>
  <c r="AA1433" i="67"/>
  <c r="AA1449" i="67"/>
  <c r="AE1433" i="67"/>
  <c r="AE1449" i="67"/>
  <c r="AI1433" i="67"/>
  <c r="AI1449" i="67"/>
  <c r="AM1433" i="67"/>
  <c r="AM1449" i="67"/>
  <c r="AQ1433" i="67"/>
  <c r="AQ1449" i="67"/>
  <c r="AU1433" i="67"/>
  <c r="AU1449" i="67"/>
  <c r="K1450" i="67"/>
  <c r="K1434" i="67"/>
  <c r="O1450" i="67"/>
  <c r="O1434" i="67"/>
  <c r="S1450" i="67"/>
  <c r="S1434" i="67"/>
  <c r="W1450" i="67"/>
  <c r="W1434" i="67"/>
  <c r="AA1450" i="67"/>
  <c r="AA1434" i="67"/>
  <c r="AE1450" i="67"/>
  <c r="AE1434" i="67"/>
  <c r="AI1450" i="67"/>
  <c r="AI1434" i="67"/>
  <c r="AM1450" i="67"/>
  <c r="AM1434" i="67"/>
  <c r="AQ1450" i="67"/>
  <c r="AQ1434" i="67"/>
  <c r="AU1450" i="67"/>
  <c r="AU1434" i="67"/>
  <c r="V1447" i="67"/>
  <c r="V1431" i="67"/>
  <c r="AD1431" i="67"/>
  <c r="AD1447" i="67"/>
  <c r="AP1431" i="67"/>
  <c r="AP1447" i="67"/>
  <c r="Z1448" i="67"/>
  <c r="Z1432" i="67"/>
  <c r="M1447" i="67"/>
  <c r="M1431" i="67"/>
  <c r="Q1431" i="67"/>
  <c r="Q1447" i="67"/>
  <c r="U1431" i="67"/>
  <c r="U1447" i="67"/>
  <c r="Y1447" i="67"/>
  <c r="Y1431" i="67"/>
  <c r="AC1447" i="67"/>
  <c r="AC1431" i="67"/>
  <c r="AG1431" i="67"/>
  <c r="AG1447" i="67"/>
  <c r="AK1431" i="67"/>
  <c r="AK1447" i="67"/>
  <c r="AO1447" i="67"/>
  <c r="AO1431" i="67"/>
  <c r="AS1447" i="67"/>
  <c r="AS1431" i="67"/>
  <c r="AW1431" i="67"/>
  <c r="AW1447" i="67"/>
  <c r="M1448" i="67"/>
  <c r="M1432" i="67"/>
  <c r="Q1448" i="67"/>
  <c r="Q1432" i="67"/>
  <c r="U1448" i="67"/>
  <c r="U1432" i="67"/>
  <c r="Y1448" i="67"/>
  <c r="Y1432" i="67"/>
  <c r="AC1448" i="67"/>
  <c r="AC1432" i="67"/>
  <c r="AG1448" i="67"/>
  <c r="AG1432" i="67"/>
  <c r="AK1448" i="67"/>
  <c r="AK1432" i="67"/>
  <c r="AO1448" i="67"/>
  <c r="AO1432" i="67"/>
  <c r="AS1448" i="67"/>
  <c r="AS1432" i="67"/>
  <c r="AW1448" i="67"/>
  <c r="AW1432" i="67"/>
  <c r="L1433" i="67"/>
  <c r="L1449" i="67"/>
  <c r="P1433" i="67"/>
  <c r="P1449" i="67"/>
  <c r="T1449" i="67"/>
  <c r="T1433" i="67"/>
  <c r="X1433" i="67"/>
  <c r="X1449" i="67"/>
  <c r="AB1433" i="67"/>
  <c r="AB1449" i="67"/>
  <c r="AF1433" i="67"/>
  <c r="AF1449" i="67"/>
  <c r="AJ1449" i="67"/>
  <c r="AJ1433" i="67"/>
  <c r="AN1433" i="67"/>
  <c r="AN1449" i="67"/>
  <c r="AR1433" i="67"/>
  <c r="AR1449" i="67"/>
  <c r="AV1433" i="67"/>
  <c r="AV1449" i="67"/>
  <c r="L1450" i="67"/>
  <c r="L1434" i="67"/>
  <c r="P1434" i="67"/>
  <c r="P1450" i="67"/>
  <c r="T1450" i="67"/>
  <c r="T1434" i="67"/>
  <c r="X1450" i="67"/>
  <c r="X1434" i="67"/>
  <c r="AB1450" i="67"/>
  <c r="AB1434" i="67"/>
  <c r="AF1450" i="67"/>
  <c r="AF1434" i="67"/>
  <c r="AJ1450" i="67"/>
  <c r="AJ1434" i="67"/>
  <c r="AN1450" i="67"/>
  <c r="AN1434" i="67"/>
  <c r="AR1450" i="67"/>
  <c r="AR1434" i="67"/>
  <c r="AV1450" i="67"/>
  <c r="AV1434" i="67"/>
  <c r="U37" i="65"/>
  <c r="V37" i="65" s="1"/>
  <c r="W37" i="65" s="1"/>
  <c r="X37" i="65" s="1"/>
  <c r="Y37" i="65" s="1"/>
  <c r="Z37" i="65" s="1"/>
  <c r="AA37" i="65" s="1"/>
  <c r="AB37" i="65" s="1"/>
  <c r="AC37" i="65" s="1"/>
  <c r="U36" i="65"/>
  <c r="V36" i="65" s="1"/>
  <c r="W36" i="65" s="1"/>
  <c r="X36" i="65" s="1"/>
  <c r="Y36" i="65" s="1"/>
  <c r="Z36" i="65" s="1"/>
  <c r="AA36" i="65" s="1"/>
  <c r="AB36" i="65" s="1"/>
  <c r="AC36" i="65" s="1"/>
  <c r="U191" i="65"/>
  <c r="U190" i="65"/>
  <c r="AE195" i="65"/>
  <c r="AE191" i="65"/>
  <c r="AE190" i="65"/>
  <c r="D191" i="65"/>
  <c r="D190" i="65"/>
  <c r="C191" i="65"/>
  <c r="C190" i="65"/>
  <c r="K374" i="67"/>
  <c r="AU455" i="67"/>
  <c r="AQ455" i="67"/>
  <c r="AM455" i="67"/>
  <c r="AI455" i="67"/>
  <c r="AE455" i="67"/>
  <c r="AA455" i="67"/>
  <c r="W455" i="67"/>
  <c r="S455" i="67"/>
  <c r="O455" i="67"/>
  <c r="AW439" i="67"/>
  <c r="AS439" i="67"/>
  <c r="AO439" i="67"/>
  <c r="AK439" i="67"/>
  <c r="AG439" i="67"/>
  <c r="AC439" i="67"/>
  <c r="Y439" i="67"/>
  <c r="U439" i="67"/>
  <c r="Q439" i="67"/>
  <c r="M439" i="67"/>
  <c r="AW423" i="67"/>
  <c r="AS423" i="67"/>
  <c r="AO423" i="67"/>
  <c r="AK423" i="67"/>
  <c r="AG423" i="67"/>
  <c r="AC423" i="67"/>
  <c r="Y423" i="67"/>
  <c r="U423" i="67"/>
  <c r="Q423" i="67"/>
  <c r="M423" i="67"/>
  <c r="AU422" i="67"/>
  <c r="AQ422" i="67"/>
  <c r="AM422" i="67"/>
  <c r="AI422" i="67"/>
  <c r="AE422" i="67"/>
  <c r="AA422" i="67"/>
  <c r="W422" i="67"/>
  <c r="S422" i="67"/>
  <c r="O422" i="67"/>
  <c r="AW374" i="67"/>
  <c r="AS374" i="67"/>
  <c r="AO374" i="67"/>
  <c r="AK374" i="67"/>
  <c r="AG374" i="67"/>
  <c r="AC374" i="67"/>
  <c r="Y374" i="67"/>
  <c r="U374" i="67"/>
  <c r="Q374" i="67"/>
  <c r="M374" i="67"/>
  <c r="K422" i="67"/>
  <c r="AT455" i="67"/>
  <c r="AP455" i="67"/>
  <c r="AL455" i="67"/>
  <c r="AH455" i="67"/>
  <c r="AD455" i="67"/>
  <c r="Z455" i="67"/>
  <c r="V455" i="67"/>
  <c r="R455" i="67"/>
  <c r="N455" i="67"/>
  <c r="AV439" i="67"/>
  <c r="AR439" i="67"/>
  <c r="AN439" i="67"/>
  <c r="AJ439" i="67"/>
  <c r="AF439" i="67"/>
  <c r="AB439" i="67"/>
  <c r="X439" i="67"/>
  <c r="T439" i="67"/>
  <c r="P439" i="67"/>
  <c r="L439" i="67"/>
  <c r="AV423" i="67"/>
  <c r="AR423" i="67"/>
  <c r="AN423" i="67"/>
  <c r="AJ423" i="67"/>
  <c r="AF423" i="67"/>
  <c r="AB423" i="67"/>
  <c r="X423" i="67"/>
  <c r="T423" i="67"/>
  <c r="P423" i="67"/>
  <c r="L423" i="67"/>
  <c r="AT422" i="67"/>
  <c r="AP422" i="67"/>
  <c r="AL422" i="67"/>
  <c r="AH422" i="67"/>
  <c r="AD422" i="67"/>
  <c r="Z422" i="67"/>
  <c r="V422" i="67"/>
  <c r="R422" i="67"/>
  <c r="N422" i="67"/>
  <c r="AV374" i="67"/>
  <c r="AR374" i="67"/>
  <c r="AN374" i="67"/>
  <c r="AJ374" i="67"/>
  <c r="AF374" i="67"/>
  <c r="AB374" i="67"/>
  <c r="X374" i="67"/>
  <c r="T374" i="67"/>
  <c r="P374" i="67"/>
  <c r="L374" i="67"/>
  <c r="K423" i="67"/>
  <c r="K439" i="67"/>
  <c r="AW455" i="67"/>
  <c r="AS455" i="67"/>
  <c r="AO455" i="67"/>
  <c r="AK455" i="67"/>
  <c r="AG455" i="67"/>
  <c r="AC455" i="67"/>
  <c r="Y455" i="67"/>
  <c r="U455" i="67"/>
  <c r="Q455" i="67"/>
  <c r="M455" i="67"/>
  <c r="AU439" i="67"/>
  <c r="AQ439" i="67"/>
  <c r="AM439" i="67"/>
  <c r="AI439" i="67"/>
  <c r="AE439" i="67"/>
  <c r="AA439" i="67"/>
  <c r="W439" i="67"/>
  <c r="S439" i="67"/>
  <c r="O439" i="67"/>
  <c r="AU423" i="67"/>
  <c r="AQ423" i="67"/>
  <c r="AM423" i="67"/>
  <c r="AI423" i="67"/>
  <c r="AE423" i="67"/>
  <c r="AA423" i="67"/>
  <c r="W423" i="67"/>
  <c r="S423" i="67"/>
  <c r="O423" i="67"/>
  <c r="AW422" i="67"/>
  <c r="AS422" i="67"/>
  <c r="AO422" i="67"/>
  <c r="AK422" i="67"/>
  <c r="AG422" i="67"/>
  <c r="AC422" i="67"/>
  <c r="Y422" i="67"/>
  <c r="U422" i="67"/>
  <c r="Q422" i="67"/>
  <c r="M422" i="67"/>
  <c r="AU374" i="67"/>
  <c r="AQ374" i="67"/>
  <c r="AM374" i="67"/>
  <c r="AI374" i="67"/>
  <c r="AE374" i="67"/>
  <c r="AA374" i="67"/>
  <c r="W374" i="67"/>
  <c r="S374" i="67"/>
  <c r="O374" i="67"/>
  <c r="K455" i="67"/>
  <c r="AV455" i="67"/>
  <c r="AR455" i="67"/>
  <c r="AN455" i="67"/>
  <c r="AJ455" i="67"/>
  <c r="AF455" i="67"/>
  <c r="AB455" i="67"/>
  <c r="X455" i="67"/>
  <c r="T455" i="67"/>
  <c r="P455" i="67"/>
  <c r="L455" i="67"/>
  <c r="AT439" i="67"/>
  <c r="AP439" i="67"/>
  <c r="AL439" i="67"/>
  <c r="AH439" i="67"/>
  <c r="AD439" i="67"/>
  <c r="Z439" i="67"/>
  <c r="V439" i="67"/>
  <c r="R439" i="67"/>
  <c r="N439" i="67"/>
  <c r="AT423" i="67"/>
  <c r="AP423" i="67"/>
  <c r="AL423" i="67"/>
  <c r="AH423" i="67"/>
  <c r="AD423" i="67"/>
  <c r="Z423" i="67"/>
  <c r="V423" i="67"/>
  <c r="R423" i="67"/>
  <c r="N423" i="67"/>
  <c r="AV422" i="67"/>
  <c r="AR422" i="67"/>
  <c r="AN422" i="67"/>
  <c r="AJ422" i="67"/>
  <c r="AF422" i="67"/>
  <c r="AB422" i="67"/>
  <c r="X422" i="67"/>
  <c r="T422" i="67"/>
  <c r="P422" i="67"/>
  <c r="L422" i="67"/>
  <c r="AT374" i="67"/>
  <c r="AP374" i="67"/>
  <c r="AL374" i="67"/>
  <c r="AH374" i="67"/>
  <c r="AD374" i="67"/>
  <c r="Z374" i="67"/>
  <c r="V374" i="67"/>
  <c r="R374" i="67"/>
  <c r="N374" i="67"/>
  <c r="K857" i="67"/>
  <c r="AW857" i="67"/>
  <c r="AS857" i="67"/>
  <c r="AO857" i="67"/>
  <c r="AK857" i="67"/>
  <c r="AG857" i="67"/>
  <c r="AC857" i="67"/>
  <c r="Y857" i="67"/>
  <c r="U857" i="67"/>
  <c r="Q857" i="67"/>
  <c r="M857" i="67"/>
  <c r="AU856" i="67"/>
  <c r="AQ856" i="67"/>
  <c r="AM856" i="67"/>
  <c r="AI856" i="67"/>
  <c r="AE856" i="67"/>
  <c r="AA856" i="67"/>
  <c r="W856" i="67"/>
  <c r="S856" i="67"/>
  <c r="O856" i="67"/>
  <c r="AU845" i="67"/>
  <c r="AQ845" i="67"/>
  <c r="AM845" i="67"/>
  <c r="AI845" i="67"/>
  <c r="AE845" i="67"/>
  <c r="AA845" i="67"/>
  <c r="W845" i="67"/>
  <c r="S845" i="67"/>
  <c r="O845" i="67"/>
  <c r="K845" i="67"/>
  <c r="AV857" i="67"/>
  <c r="AR857" i="67"/>
  <c r="AN857" i="67"/>
  <c r="AJ857" i="67"/>
  <c r="AF857" i="67"/>
  <c r="AB857" i="67"/>
  <c r="X857" i="67"/>
  <c r="T857" i="67"/>
  <c r="P857" i="67"/>
  <c r="L857" i="67"/>
  <c r="AT856" i="67"/>
  <c r="AP856" i="67"/>
  <c r="AL856" i="67"/>
  <c r="AH856" i="67"/>
  <c r="AD856" i="67"/>
  <c r="Z856" i="67"/>
  <c r="V856" i="67"/>
  <c r="R856" i="67"/>
  <c r="N856" i="67"/>
  <c r="AT845" i="67"/>
  <c r="AP845" i="67"/>
  <c r="AL845" i="67"/>
  <c r="AH845" i="67"/>
  <c r="AD845" i="67"/>
  <c r="Z845" i="67"/>
  <c r="V845" i="67"/>
  <c r="R845" i="67"/>
  <c r="N845" i="67"/>
  <c r="AU857" i="67"/>
  <c r="AQ857" i="67"/>
  <c r="AM857" i="67"/>
  <c r="AI857" i="67"/>
  <c r="AE857" i="67"/>
  <c r="AA857" i="67"/>
  <c r="W857" i="67"/>
  <c r="S857" i="67"/>
  <c r="O857" i="67"/>
  <c r="AW856" i="67"/>
  <c r="AS856" i="67"/>
  <c r="AO856" i="67"/>
  <c r="AK856" i="67"/>
  <c r="AG856" i="67"/>
  <c r="AC856" i="67"/>
  <c r="Y856" i="67"/>
  <c r="U856" i="67"/>
  <c r="Q856" i="67"/>
  <c r="M856" i="67"/>
  <c r="AW845" i="67"/>
  <c r="AS845" i="67"/>
  <c r="AO845" i="67"/>
  <c r="AK845" i="67"/>
  <c r="AG845" i="67"/>
  <c r="AC845" i="67"/>
  <c r="Y845" i="67"/>
  <c r="U845" i="67"/>
  <c r="Q845" i="67"/>
  <c r="M845" i="67"/>
  <c r="K856" i="67"/>
  <c r="AT857" i="67"/>
  <c r="AP857" i="67"/>
  <c r="AL857" i="67"/>
  <c r="AH857" i="67"/>
  <c r="AD857" i="67"/>
  <c r="Z857" i="67"/>
  <c r="V857" i="67"/>
  <c r="R857" i="67"/>
  <c r="N857" i="67"/>
  <c r="AV856" i="67"/>
  <c r="AR856" i="67"/>
  <c r="AN856" i="67"/>
  <c r="AJ856" i="67"/>
  <c r="AF856" i="67"/>
  <c r="AB856" i="67"/>
  <c r="X856" i="67"/>
  <c r="T856" i="67"/>
  <c r="P856" i="67"/>
  <c r="L856" i="67"/>
  <c r="AV845" i="67"/>
  <c r="AR845" i="67"/>
  <c r="AN845" i="67"/>
  <c r="AJ845" i="67"/>
  <c r="AF845" i="67"/>
  <c r="AB845" i="67"/>
  <c r="X845" i="67"/>
  <c r="T845" i="67"/>
  <c r="P845" i="67"/>
  <c r="L845" i="67"/>
  <c r="AE193" i="65"/>
  <c r="AF188" i="65"/>
  <c r="AE192" i="65"/>
  <c r="AE194" i="65"/>
  <c r="K526" i="67"/>
  <c r="K829" i="67"/>
  <c r="K743" i="67"/>
  <c r="K894" i="67"/>
  <c r="K574" i="67"/>
  <c r="K877" i="67"/>
  <c r="AT759" i="67"/>
  <c r="AT910" i="67"/>
  <c r="AP759" i="67"/>
  <c r="AP910" i="67"/>
  <c r="K575" i="67"/>
  <c r="K878" i="67"/>
  <c r="K759" i="67"/>
  <c r="K910" i="67"/>
  <c r="AU759" i="67"/>
  <c r="AU910" i="67"/>
  <c r="AQ759" i="67"/>
  <c r="AQ910" i="67"/>
  <c r="AM759" i="67"/>
  <c r="AM910" i="67"/>
  <c r="AI759" i="67"/>
  <c r="AI910" i="67"/>
  <c r="AE759" i="67"/>
  <c r="AE910" i="67"/>
  <c r="AA759" i="67"/>
  <c r="AA910" i="67"/>
  <c r="W759" i="67"/>
  <c r="W910" i="67"/>
  <c r="S759" i="67"/>
  <c r="S910" i="67"/>
  <c r="O759" i="67"/>
  <c r="O910" i="67"/>
  <c r="AU743" i="67"/>
  <c r="AU894" i="67"/>
  <c r="AQ743" i="67"/>
  <c r="AQ894" i="67"/>
  <c r="AM743" i="67"/>
  <c r="AM894" i="67"/>
  <c r="AI743" i="67"/>
  <c r="AI894" i="67"/>
  <c r="AE743" i="67"/>
  <c r="AE894" i="67"/>
  <c r="AA743" i="67"/>
  <c r="AA894" i="67"/>
  <c r="W743" i="67"/>
  <c r="W894" i="67"/>
  <c r="S743" i="67"/>
  <c r="S894" i="67"/>
  <c r="O743" i="67"/>
  <c r="O894" i="67"/>
  <c r="AU575" i="67"/>
  <c r="AU878" i="67"/>
  <c r="AQ575" i="67"/>
  <c r="AQ878" i="67"/>
  <c r="AM575" i="67"/>
  <c r="AM878" i="67"/>
  <c r="AI575" i="67"/>
  <c r="AI878" i="67"/>
  <c r="AE575" i="67"/>
  <c r="AE878" i="67"/>
  <c r="AA575" i="67"/>
  <c r="AA878" i="67"/>
  <c r="W575" i="67"/>
  <c r="W878" i="67"/>
  <c r="S575" i="67"/>
  <c r="S878" i="67"/>
  <c r="O575" i="67"/>
  <c r="O878" i="67"/>
  <c r="AW574" i="67"/>
  <c r="AW877" i="67"/>
  <c r="AS574" i="67"/>
  <c r="AS877" i="67"/>
  <c r="AO574" i="67"/>
  <c r="AO877" i="67"/>
  <c r="AK574" i="67"/>
  <c r="AK877" i="67"/>
  <c r="AG574" i="67"/>
  <c r="AG877" i="67"/>
  <c r="AC574" i="67"/>
  <c r="AC877" i="67"/>
  <c r="Y574" i="67"/>
  <c r="Y877" i="67"/>
  <c r="U574" i="67"/>
  <c r="U877" i="67"/>
  <c r="Q574" i="67"/>
  <c r="Q877" i="67"/>
  <c r="M574" i="67"/>
  <c r="M877" i="67"/>
  <c r="AU526" i="67"/>
  <c r="AU829" i="67"/>
  <c r="AQ526" i="67"/>
  <c r="AQ829" i="67"/>
  <c r="AM526" i="67"/>
  <c r="AM829" i="67"/>
  <c r="AI526" i="67"/>
  <c r="AI829" i="67"/>
  <c r="AE526" i="67"/>
  <c r="AE829" i="67"/>
  <c r="AA526" i="67"/>
  <c r="AA829" i="67"/>
  <c r="W526" i="67"/>
  <c r="W829" i="67"/>
  <c r="S526" i="67"/>
  <c r="S829" i="67"/>
  <c r="O526" i="67"/>
  <c r="O829" i="67"/>
  <c r="AL759" i="67"/>
  <c r="AL910" i="67"/>
  <c r="AH759" i="67"/>
  <c r="AH910" i="67"/>
  <c r="AD759" i="67"/>
  <c r="AD910" i="67"/>
  <c r="Z759" i="67"/>
  <c r="Z910" i="67"/>
  <c r="V759" i="67"/>
  <c r="V910" i="67"/>
  <c r="R759" i="67"/>
  <c r="R910" i="67"/>
  <c r="N759" i="67"/>
  <c r="N910" i="67"/>
  <c r="AT743" i="67"/>
  <c r="AT894" i="67"/>
  <c r="AP743" i="67"/>
  <c r="AP894" i="67"/>
  <c r="AL743" i="67"/>
  <c r="AL894" i="67"/>
  <c r="AH743" i="67"/>
  <c r="AH894" i="67"/>
  <c r="AD743" i="67"/>
  <c r="AD894" i="67"/>
  <c r="Z743" i="67"/>
  <c r="Z894" i="67"/>
  <c r="V743" i="67"/>
  <c r="V894" i="67"/>
  <c r="R743" i="67"/>
  <c r="R894" i="67"/>
  <c r="N743" i="67"/>
  <c r="N894" i="67"/>
  <c r="AT575" i="67"/>
  <c r="AT878" i="67"/>
  <c r="AP575" i="67"/>
  <c r="AP878" i="67"/>
  <c r="AL575" i="67"/>
  <c r="AL878" i="67"/>
  <c r="AH575" i="67"/>
  <c r="AH878" i="67"/>
  <c r="AD575" i="67"/>
  <c r="AD878" i="67"/>
  <c r="Z575" i="67"/>
  <c r="Z878" i="67"/>
  <c r="V575" i="67"/>
  <c r="V878" i="67"/>
  <c r="R575" i="67"/>
  <c r="R878" i="67"/>
  <c r="N575" i="67"/>
  <c r="N878" i="67"/>
  <c r="AV574" i="67"/>
  <c r="AV877" i="67"/>
  <c r="AR574" i="67"/>
  <c r="AR877" i="67"/>
  <c r="AN574" i="67"/>
  <c r="AN877" i="67"/>
  <c r="AJ574" i="67"/>
  <c r="AJ877" i="67"/>
  <c r="AF574" i="67"/>
  <c r="AF877" i="67"/>
  <c r="AB574" i="67"/>
  <c r="AB877" i="67"/>
  <c r="X574" i="67"/>
  <c r="X877" i="67"/>
  <c r="T574" i="67"/>
  <c r="T877" i="67"/>
  <c r="P574" i="67"/>
  <c r="P877" i="67"/>
  <c r="L574" i="67"/>
  <c r="L877" i="67"/>
  <c r="AT526" i="67"/>
  <c r="AT829" i="67"/>
  <c r="AP526" i="67"/>
  <c r="AP829" i="67"/>
  <c r="AL526" i="67"/>
  <c r="AL829" i="67"/>
  <c r="AH526" i="67"/>
  <c r="AH829" i="67"/>
  <c r="AD526" i="67"/>
  <c r="AD829" i="67"/>
  <c r="Z526" i="67"/>
  <c r="Z829" i="67"/>
  <c r="V526" i="67"/>
  <c r="V829" i="67"/>
  <c r="R526" i="67"/>
  <c r="R829" i="67"/>
  <c r="N526" i="67"/>
  <c r="N829" i="67"/>
  <c r="AW759" i="67"/>
  <c r="AW910" i="67"/>
  <c r="AS759" i="67"/>
  <c r="AS910" i="67"/>
  <c r="AO759" i="67"/>
  <c r="AO910" i="67"/>
  <c r="AK759" i="67"/>
  <c r="AK910" i="67"/>
  <c r="AG759" i="67"/>
  <c r="AG910" i="67"/>
  <c r="AC759" i="67"/>
  <c r="AC910" i="67"/>
  <c r="Y759" i="67"/>
  <c r="Y910" i="67"/>
  <c r="U759" i="67"/>
  <c r="U910" i="67"/>
  <c r="Q759" i="67"/>
  <c r="Q910" i="67"/>
  <c r="M759" i="67"/>
  <c r="M910" i="67"/>
  <c r="AW743" i="67"/>
  <c r="AW894" i="67"/>
  <c r="AS743" i="67"/>
  <c r="AS894" i="67"/>
  <c r="AO743" i="67"/>
  <c r="AO894" i="67"/>
  <c r="AK743" i="67"/>
  <c r="AK894" i="67"/>
  <c r="AG743" i="67"/>
  <c r="AG894" i="67"/>
  <c r="AC743" i="67"/>
  <c r="AC894" i="67"/>
  <c r="Y743" i="67"/>
  <c r="Y894" i="67"/>
  <c r="U743" i="67"/>
  <c r="U894" i="67"/>
  <c r="Q743" i="67"/>
  <c r="Q894" i="67"/>
  <c r="M743" i="67"/>
  <c r="M894" i="67"/>
  <c r="AW575" i="67"/>
  <c r="AW878" i="67"/>
  <c r="AS575" i="67"/>
  <c r="AS878" i="67"/>
  <c r="AO575" i="67"/>
  <c r="AO878" i="67"/>
  <c r="AK575" i="67"/>
  <c r="AK878" i="67"/>
  <c r="AG575" i="67"/>
  <c r="AG878" i="67"/>
  <c r="AC575" i="67"/>
  <c r="AC878" i="67"/>
  <c r="Y575" i="67"/>
  <c r="Y878" i="67"/>
  <c r="U575" i="67"/>
  <c r="U878" i="67"/>
  <c r="Q575" i="67"/>
  <c r="Q878" i="67"/>
  <c r="M575" i="67"/>
  <c r="M878" i="67"/>
  <c r="AU574" i="67"/>
  <c r="AU877" i="67"/>
  <c r="AQ574" i="67"/>
  <c r="AQ877" i="67"/>
  <c r="AM574" i="67"/>
  <c r="AM877" i="67"/>
  <c r="AI574" i="67"/>
  <c r="AI877" i="67"/>
  <c r="AE574" i="67"/>
  <c r="AE877" i="67"/>
  <c r="AA574" i="67"/>
  <c r="AA877" i="67"/>
  <c r="W574" i="67"/>
  <c r="W877" i="67"/>
  <c r="S574" i="67"/>
  <c r="S877" i="67"/>
  <c r="O574" i="67"/>
  <c r="O877" i="67"/>
  <c r="AW526" i="67"/>
  <c r="AW829" i="67"/>
  <c r="AS526" i="67"/>
  <c r="AS829" i="67"/>
  <c r="AO526" i="67"/>
  <c r="AO829" i="67"/>
  <c r="AK526" i="67"/>
  <c r="AK829" i="67"/>
  <c r="AG526" i="67"/>
  <c r="AG829" i="67"/>
  <c r="AC526" i="67"/>
  <c r="AC829" i="67"/>
  <c r="Y526" i="67"/>
  <c r="Y829" i="67"/>
  <c r="U526" i="67"/>
  <c r="U829" i="67"/>
  <c r="Q526" i="67"/>
  <c r="Q829" i="67"/>
  <c r="M526" i="67"/>
  <c r="M829" i="67"/>
  <c r="AV759" i="67"/>
  <c r="AV910" i="67"/>
  <c r="AR759" i="67"/>
  <c r="AR910" i="67"/>
  <c r="AN759" i="67"/>
  <c r="AN910" i="67"/>
  <c r="AJ759" i="67"/>
  <c r="AJ910" i="67"/>
  <c r="AF759" i="67"/>
  <c r="AF910" i="67"/>
  <c r="AB759" i="67"/>
  <c r="AB910" i="67"/>
  <c r="X759" i="67"/>
  <c r="X910" i="67"/>
  <c r="T759" i="67"/>
  <c r="T910" i="67"/>
  <c r="P759" i="67"/>
  <c r="P910" i="67"/>
  <c r="L759" i="67"/>
  <c r="L910" i="67"/>
  <c r="AV743" i="67"/>
  <c r="AV894" i="67"/>
  <c r="AR743" i="67"/>
  <c r="AR894" i="67"/>
  <c r="AN743" i="67"/>
  <c r="AN894" i="67"/>
  <c r="AJ743" i="67"/>
  <c r="AJ894" i="67"/>
  <c r="AF743" i="67"/>
  <c r="AF894" i="67"/>
  <c r="AB743" i="67"/>
  <c r="AB894" i="67"/>
  <c r="X743" i="67"/>
  <c r="X894" i="67"/>
  <c r="T743" i="67"/>
  <c r="T894" i="67"/>
  <c r="P743" i="67"/>
  <c r="P894" i="67"/>
  <c r="L743" i="67"/>
  <c r="L894" i="67"/>
  <c r="AV575" i="67"/>
  <c r="AV878" i="67"/>
  <c r="AR575" i="67"/>
  <c r="AR878" i="67"/>
  <c r="AN575" i="67"/>
  <c r="AN878" i="67"/>
  <c r="AJ575" i="67"/>
  <c r="AJ878" i="67"/>
  <c r="AF575" i="67"/>
  <c r="AF878" i="67"/>
  <c r="AB575" i="67"/>
  <c r="AB878" i="67"/>
  <c r="X575" i="67"/>
  <c r="X878" i="67"/>
  <c r="T575" i="67"/>
  <c r="T878" i="67"/>
  <c r="P575" i="67"/>
  <c r="P878" i="67"/>
  <c r="L575" i="67"/>
  <c r="L878" i="67"/>
  <c r="AT574" i="67"/>
  <c r="AT877" i="67"/>
  <c r="AP574" i="67"/>
  <c r="AP877" i="67"/>
  <c r="AL574" i="67"/>
  <c r="AL877" i="67"/>
  <c r="AH574" i="67"/>
  <c r="AH877" i="67"/>
  <c r="AD574" i="67"/>
  <c r="AD877" i="67"/>
  <c r="Z574" i="67"/>
  <c r="Z877" i="67"/>
  <c r="V574" i="67"/>
  <c r="V877" i="67"/>
  <c r="R574" i="67"/>
  <c r="R877" i="67"/>
  <c r="N574" i="67"/>
  <c r="N877" i="67"/>
  <c r="AV526" i="67"/>
  <c r="AV829" i="67"/>
  <c r="AR526" i="67"/>
  <c r="AR829" i="67"/>
  <c r="AN526" i="67"/>
  <c r="AN829" i="67"/>
  <c r="AJ526" i="67"/>
  <c r="AJ829" i="67"/>
  <c r="AF526" i="67"/>
  <c r="AF829" i="67"/>
  <c r="AB526" i="67"/>
  <c r="AB829" i="67"/>
  <c r="X526" i="67"/>
  <c r="X829" i="67"/>
  <c r="T526" i="67"/>
  <c r="T829" i="67"/>
  <c r="P526" i="67"/>
  <c r="P829" i="67"/>
  <c r="L526" i="67"/>
  <c r="L829" i="67"/>
  <c r="K554" i="67"/>
  <c r="K706" i="67"/>
  <c r="AU554" i="67"/>
  <c r="AU706" i="67"/>
  <c r="AQ554" i="67"/>
  <c r="AQ706" i="67"/>
  <c r="AM554" i="67"/>
  <c r="AM706" i="67"/>
  <c r="AI554" i="67"/>
  <c r="AI706" i="67"/>
  <c r="AE554" i="67"/>
  <c r="AE706" i="67"/>
  <c r="AA554" i="67"/>
  <c r="AA706" i="67"/>
  <c r="W554" i="67"/>
  <c r="W706" i="67"/>
  <c r="S554" i="67"/>
  <c r="S706" i="67"/>
  <c r="O554" i="67"/>
  <c r="O706" i="67"/>
  <c r="AW553" i="67"/>
  <c r="AW705" i="67"/>
  <c r="AS553" i="67"/>
  <c r="AS705" i="67"/>
  <c r="AO553" i="67"/>
  <c r="AO705" i="67"/>
  <c r="AK553" i="67"/>
  <c r="AK705" i="67"/>
  <c r="AG553" i="67"/>
  <c r="AG705" i="67"/>
  <c r="AC553" i="67"/>
  <c r="AC705" i="67"/>
  <c r="Y553" i="67"/>
  <c r="Y705" i="67"/>
  <c r="U553" i="67"/>
  <c r="U705" i="67"/>
  <c r="Q553" i="67"/>
  <c r="Q705" i="67"/>
  <c r="M553" i="67"/>
  <c r="M705" i="67"/>
  <c r="AU542" i="67"/>
  <c r="AU694" i="67"/>
  <c r="AQ542" i="67"/>
  <c r="AQ694" i="67"/>
  <c r="AM542" i="67"/>
  <c r="AM694" i="67"/>
  <c r="AI542" i="67"/>
  <c r="AI694" i="67"/>
  <c r="AE542" i="67"/>
  <c r="AE694" i="67"/>
  <c r="AA542" i="67"/>
  <c r="AA694" i="67"/>
  <c r="W542" i="67"/>
  <c r="W694" i="67"/>
  <c r="S542" i="67"/>
  <c r="S694" i="67"/>
  <c r="O542" i="67"/>
  <c r="O694" i="67"/>
  <c r="AT554" i="67"/>
  <c r="AT706" i="67"/>
  <c r="AP554" i="67"/>
  <c r="AP706" i="67"/>
  <c r="AL554" i="67"/>
  <c r="AL706" i="67"/>
  <c r="AH554" i="67"/>
  <c r="AH706" i="67"/>
  <c r="AD554" i="67"/>
  <c r="AD706" i="67"/>
  <c r="Z554" i="67"/>
  <c r="Z706" i="67"/>
  <c r="V554" i="67"/>
  <c r="V706" i="67"/>
  <c r="R554" i="67"/>
  <c r="R706" i="67"/>
  <c r="N554" i="67"/>
  <c r="N706" i="67"/>
  <c r="AV553" i="67"/>
  <c r="AV705" i="67"/>
  <c r="AR553" i="67"/>
  <c r="AR705" i="67"/>
  <c r="AN553" i="67"/>
  <c r="AN705" i="67"/>
  <c r="AJ553" i="67"/>
  <c r="AJ705" i="67"/>
  <c r="AF553" i="67"/>
  <c r="AF705" i="67"/>
  <c r="AB553" i="67"/>
  <c r="AB705" i="67"/>
  <c r="X553" i="67"/>
  <c r="X705" i="67"/>
  <c r="T553" i="67"/>
  <c r="T705" i="67"/>
  <c r="P553" i="67"/>
  <c r="P705" i="67"/>
  <c r="L553" i="67"/>
  <c r="L705" i="67"/>
  <c r="AT542" i="67"/>
  <c r="AT694" i="67"/>
  <c r="AP542" i="67"/>
  <c r="AP694" i="67"/>
  <c r="AL542" i="67"/>
  <c r="AL694" i="67"/>
  <c r="AH542" i="67"/>
  <c r="AH694" i="67"/>
  <c r="AD542" i="67"/>
  <c r="AD694" i="67"/>
  <c r="Z542" i="67"/>
  <c r="Z694" i="67"/>
  <c r="V542" i="67"/>
  <c r="V694" i="67"/>
  <c r="R542" i="67"/>
  <c r="R694" i="67"/>
  <c r="N542" i="67"/>
  <c r="N694" i="67"/>
  <c r="K542" i="67"/>
  <c r="K694" i="67"/>
  <c r="AW554" i="67"/>
  <c r="AW706" i="67"/>
  <c r="AS554" i="67"/>
  <c r="AS706" i="67"/>
  <c r="AO554" i="67"/>
  <c r="AO706" i="67"/>
  <c r="AK554" i="67"/>
  <c r="AK706" i="67"/>
  <c r="AG554" i="67"/>
  <c r="AG706" i="67"/>
  <c r="AC554" i="67"/>
  <c r="AC706" i="67"/>
  <c r="Y554" i="67"/>
  <c r="Y706" i="67"/>
  <c r="U554" i="67"/>
  <c r="U706" i="67"/>
  <c r="Q554" i="67"/>
  <c r="Q706" i="67"/>
  <c r="M554" i="67"/>
  <c r="M706" i="67"/>
  <c r="AU553" i="67"/>
  <c r="AU705" i="67"/>
  <c r="AQ553" i="67"/>
  <c r="AQ705" i="67"/>
  <c r="AM553" i="67"/>
  <c r="AM705" i="67"/>
  <c r="AI553" i="67"/>
  <c r="AI705" i="67"/>
  <c r="AE553" i="67"/>
  <c r="AE705" i="67"/>
  <c r="AA553" i="67"/>
  <c r="AA705" i="67"/>
  <c r="W553" i="67"/>
  <c r="W705" i="67"/>
  <c r="S553" i="67"/>
  <c r="S705" i="67"/>
  <c r="O553" i="67"/>
  <c r="O705" i="67"/>
  <c r="AW542" i="67"/>
  <c r="AW694" i="67"/>
  <c r="AS542" i="67"/>
  <c r="AS694" i="67"/>
  <c r="AO542" i="67"/>
  <c r="AO694" i="67"/>
  <c r="AK542" i="67"/>
  <c r="AK694" i="67"/>
  <c r="AG542" i="67"/>
  <c r="AG694" i="67"/>
  <c r="AC542" i="67"/>
  <c r="AC694" i="67"/>
  <c r="Y542" i="67"/>
  <c r="Y694" i="67"/>
  <c r="U542" i="67"/>
  <c r="U694" i="67"/>
  <c r="Q542" i="67"/>
  <c r="Q694" i="67"/>
  <c r="M542" i="67"/>
  <c r="M694" i="67"/>
  <c r="K553" i="67"/>
  <c r="K705" i="67"/>
  <c r="AV554" i="67"/>
  <c r="AV706" i="67"/>
  <c r="AR554" i="67"/>
  <c r="AR706" i="67"/>
  <c r="AN554" i="67"/>
  <c r="AN706" i="67"/>
  <c r="AJ554" i="67"/>
  <c r="AJ706" i="67"/>
  <c r="AF554" i="67"/>
  <c r="AF706" i="67"/>
  <c r="AB554" i="67"/>
  <c r="AB706" i="67"/>
  <c r="X554" i="67"/>
  <c r="X706" i="67"/>
  <c r="T554" i="67"/>
  <c r="T706" i="67"/>
  <c r="P554" i="67"/>
  <c r="P706" i="67"/>
  <c r="L554" i="67"/>
  <c r="L706" i="67"/>
  <c r="AT553" i="67"/>
  <c r="AT705" i="67"/>
  <c r="AP553" i="67"/>
  <c r="AP705" i="67"/>
  <c r="AL553" i="67"/>
  <c r="AL705" i="67"/>
  <c r="AH553" i="67"/>
  <c r="AH705" i="67"/>
  <c r="AD553" i="67"/>
  <c r="AD705" i="67"/>
  <c r="Z553" i="67"/>
  <c r="Z705" i="67"/>
  <c r="V553" i="67"/>
  <c r="V705" i="67"/>
  <c r="R553" i="67"/>
  <c r="R705" i="67"/>
  <c r="N553" i="67"/>
  <c r="N705" i="67"/>
  <c r="AV542" i="67"/>
  <c r="AV694" i="67"/>
  <c r="AR542" i="67"/>
  <c r="AR694" i="67"/>
  <c r="AN542" i="67"/>
  <c r="AN694" i="67"/>
  <c r="AJ542" i="67"/>
  <c r="AJ694" i="67"/>
  <c r="AF542" i="67"/>
  <c r="AF694" i="67"/>
  <c r="AB542" i="67"/>
  <c r="AB694" i="67"/>
  <c r="X542" i="67"/>
  <c r="X694" i="67"/>
  <c r="T542" i="67"/>
  <c r="T694" i="67"/>
  <c r="P542" i="67"/>
  <c r="P694" i="67"/>
  <c r="L542" i="67"/>
  <c r="L694" i="67"/>
  <c r="K286" i="67"/>
  <c r="K591" i="67"/>
  <c r="AU607" i="67"/>
  <c r="AQ607" i="67"/>
  <c r="AM607" i="67"/>
  <c r="AI607" i="67"/>
  <c r="AE607" i="67"/>
  <c r="AA607" i="67"/>
  <c r="W607" i="67"/>
  <c r="S607" i="67"/>
  <c r="O607" i="67"/>
  <c r="AU286" i="67"/>
  <c r="AU591" i="67"/>
  <c r="AQ286" i="67"/>
  <c r="AQ591" i="67"/>
  <c r="AM286" i="67"/>
  <c r="AM591" i="67"/>
  <c r="AI286" i="67"/>
  <c r="AI591" i="67"/>
  <c r="AE286" i="67"/>
  <c r="AE591" i="67"/>
  <c r="AA286" i="67"/>
  <c r="AA591" i="67"/>
  <c r="W286" i="67"/>
  <c r="W591" i="67"/>
  <c r="S286" i="67"/>
  <c r="S591" i="67"/>
  <c r="O286" i="67"/>
  <c r="O591" i="67"/>
  <c r="AT607" i="67"/>
  <c r="AP607" i="67"/>
  <c r="AL607" i="67"/>
  <c r="AH607" i="67"/>
  <c r="AD607" i="67"/>
  <c r="Z607" i="67"/>
  <c r="V607" i="67"/>
  <c r="R607" i="67"/>
  <c r="N607" i="67"/>
  <c r="AT286" i="67"/>
  <c r="AT591" i="67"/>
  <c r="AP286" i="67"/>
  <c r="AP591" i="67"/>
  <c r="AL286" i="67"/>
  <c r="AL591" i="67"/>
  <c r="AH286" i="67"/>
  <c r="AH591" i="67"/>
  <c r="AD286" i="67"/>
  <c r="AD591" i="67"/>
  <c r="Z286" i="67"/>
  <c r="Z591" i="67"/>
  <c r="V286" i="67"/>
  <c r="V591" i="67"/>
  <c r="R286" i="67"/>
  <c r="R591" i="67"/>
  <c r="N286" i="67"/>
  <c r="N591" i="67"/>
  <c r="K607" i="67"/>
  <c r="AW607" i="67"/>
  <c r="AS607" i="67"/>
  <c r="AO607" i="67"/>
  <c r="AK607" i="67"/>
  <c r="AG607" i="67"/>
  <c r="AC607" i="67"/>
  <c r="Y607" i="67"/>
  <c r="U607" i="67"/>
  <c r="Q607" i="67"/>
  <c r="M607" i="67"/>
  <c r="AW286" i="67"/>
  <c r="AW591" i="67"/>
  <c r="AS286" i="67"/>
  <c r="AS591" i="67"/>
  <c r="AO286" i="67"/>
  <c r="AO591" i="67"/>
  <c r="AK286" i="67"/>
  <c r="AK591" i="67"/>
  <c r="AG286" i="67"/>
  <c r="AG591" i="67"/>
  <c r="AC286" i="67"/>
  <c r="AC591" i="67"/>
  <c r="Y286" i="67"/>
  <c r="Y591" i="67"/>
  <c r="U286" i="67"/>
  <c r="U591" i="67"/>
  <c r="Q286" i="67"/>
  <c r="Q591" i="67"/>
  <c r="M286" i="67"/>
  <c r="M591" i="67"/>
  <c r="AV607" i="67"/>
  <c r="AR607" i="67"/>
  <c r="AN607" i="67"/>
  <c r="AJ607" i="67"/>
  <c r="AF607" i="67"/>
  <c r="AB607" i="67"/>
  <c r="X607" i="67"/>
  <c r="T607" i="67"/>
  <c r="P607" i="67"/>
  <c r="L607" i="67"/>
  <c r="AV286" i="67"/>
  <c r="AV591" i="67"/>
  <c r="AR286" i="67"/>
  <c r="AR591" i="67"/>
  <c r="AN286" i="67"/>
  <c r="AN591" i="67"/>
  <c r="AJ286" i="67"/>
  <c r="AJ591" i="67"/>
  <c r="AF286" i="67"/>
  <c r="AF591" i="67"/>
  <c r="AB286" i="67"/>
  <c r="AB591" i="67"/>
  <c r="X286" i="67"/>
  <c r="X591" i="67"/>
  <c r="T286" i="67"/>
  <c r="T591" i="67"/>
  <c r="P286" i="67"/>
  <c r="P591" i="67"/>
  <c r="L286" i="67"/>
  <c r="L591" i="67"/>
  <c r="AQ302" i="67"/>
  <c r="AE302" i="67"/>
  <c r="S302" i="67"/>
  <c r="AT302" i="67"/>
  <c r="AP302" i="67"/>
  <c r="AL302" i="67"/>
  <c r="AH302" i="67"/>
  <c r="AD302" i="67"/>
  <c r="Z302" i="67"/>
  <c r="V302" i="67"/>
  <c r="R302" i="67"/>
  <c r="N302" i="67"/>
  <c r="AM302" i="67"/>
  <c r="AA302" i="67"/>
  <c r="O302" i="67"/>
  <c r="K302" i="67"/>
  <c r="AW302" i="67"/>
  <c r="AS302" i="67"/>
  <c r="AO302" i="67"/>
  <c r="AK302" i="67"/>
  <c r="AG302" i="67"/>
  <c r="AC302" i="67"/>
  <c r="Y302" i="67"/>
  <c r="U302" i="67"/>
  <c r="Q302" i="67"/>
  <c r="M302" i="67"/>
  <c r="AU302" i="67"/>
  <c r="AI302" i="67"/>
  <c r="W302" i="67"/>
  <c r="AV302" i="67"/>
  <c r="AR302" i="67"/>
  <c r="AN302" i="67"/>
  <c r="AJ302" i="67"/>
  <c r="AF302" i="67"/>
  <c r="AB302" i="67"/>
  <c r="X302" i="67"/>
  <c r="T302" i="67"/>
  <c r="P302" i="67"/>
  <c r="L302" i="67"/>
  <c r="K68" i="67"/>
  <c r="K221" i="67"/>
  <c r="AQ117" i="67"/>
  <c r="AQ270" i="67"/>
  <c r="AE117" i="67"/>
  <c r="AE270" i="67"/>
  <c r="S117" i="67"/>
  <c r="S270" i="67"/>
  <c r="AW116" i="67"/>
  <c r="AW269" i="67"/>
  <c r="AK116" i="67"/>
  <c r="AK269" i="67"/>
  <c r="Y116" i="67"/>
  <c r="Y269" i="67"/>
  <c r="M116" i="67"/>
  <c r="M269" i="67"/>
  <c r="AU96" i="67"/>
  <c r="AU249" i="67"/>
  <c r="AE96" i="67"/>
  <c r="AE1312" i="67" s="1"/>
  <c r="AE249" i="67"/>
  <c r="S96" i="67"/>
  <c r="S249" i="67"/>
  <c r="AW95" i="67"/>
  <c r="AW248" i="67"/>
  <c r="AK95" i="67"/>
  <c r="AK248" i="67"/>
  <c r="AC95" i="67"/>
  <c r="AC1311" i="67" s="1"/>
  <c r="AC248" i="67"/>
  <c r="U95" i="67"/>
  <c r="U248" i="67"/>
  <c r="AU84" i="67"/>
  <c r="AU1300" i="67" s="1"/>
  <c r="AU237" i="67"/>
  <c r="AM84" i="67"/>
  <c r="AM237" i="67"/>
  <c r="AA84" i="67"/>
  <c r="AA1300" i="67" s="1"/>
  <c r="AA237" i="67"/>
  <c r="S84" i="67"/>
  <c r="S237" i="67"/>
  <c r="AQ68" i="67"/>
  <c r="AQ221" i="67"/>
  <c r="AE68" i="67"/>
  <c r="AE221" i="67"/>
  <c r="W68" i="67"/>
  <c r="W221" i="67"/>
  <c r="K116" i="67"/>
  <c r="K269" i="67"/>
  <c r="K96" i="67"/>
  <c r="K1312" i="67" s="1"/>
  <c r="K249" i="67"/>
  <c r="AM117" i="67"/>
  <c r="AM270" i="67"/>
  <c r="AA117" i="67"/>
  <c r="AA270" i="67"/>
  <c r="AS116" i="67"/>
  <c r="AS269" i="67"/>
  <c r="AG116" i="67"/>
  <c r="AG269" i="67"/>
  <c r="U116" i="67"/>
  <c r="U269" i="67"/>
  <c r="AM96" i="67"/>
  <c r="AM1312" i="67" s="1"/>
  <c r="AM249" i="67"/>
  <c r="AA96" i="67"/>
  <c r="AA1312" i="67" s="1"/>
  <c r="AA249" i="67"/>
  <c r="AS95" i="67"/>
  <c r="AS1311" i="67" s="1"/>
  <c r="AS248" i="67"/>
  <c r="AG95" i="67"/>
  <c r="AG1311" i="67" s="1"/>
  <c r="AG248" i="67"/>
  <c r="Q95" i="67"/>
  <c r="Q1311" i="67" s="1"/>
  <c r="Q248" i="67"/>
  <c r="AQ84" i="67"/>
  <c r="AQ1300" i="67" s="1"/>
  <c r="AQ237" i="67"/>
  <c r="AE84" i="67"/>
  <c r="AE1300" i="67" s="1"/>
  <c r="AE237" i="67"/>
  <c r="AI68" i="67"/>
  <c r="AI221" i="67"/>
  <c r="S68" i="67"/>
  <c r="S221" i="67"/>
  <c r="K84" i="67"/>
  <c r="K1300" i="67" s="1"/>
  <c r="K237" i="67"/>
  <c r="K117" i="67"/>
  <c r="K270" i="67"/>
  <c r="AU117" i="67"/>
  <c r="AU270" i="67"/>
  <c r="AI117" i="67"/>
  <c r="AI270" i="67"/>
  <c r="W117" i="67"/>
  <c r="W270" i="67"/>
  <c r="O117" i="67"/>
  <c r="O270" i="67"/>
  <c r="AO116" i="67"/>
  <c r="AO269" i="67"/>
  <c r="AC116" i="67"/>
  <c r="AC269" i="67"/>
  <c r="Q116" i="67"/>
  <c r="Q269" i="67"/>
  <c r="AQ96" i="67"/>
  <c r="AQ1312" i="67" s="1"/>
  <c r="AQ249" i="67"/>
  <c r="AI96" i="67"/>
  <c r="AI1312" i="67" s="1"/>
  <c r="AI249" i="67"/>
  <c r="W96" i="67"/>
  <c r="W1312" i="67" s="1"/>
  <c r="W249" i="67"/>
  <c r="O96" i="67"/>
  <c r="O1312" i="67" s="1"/>
  <c r="O249" i="67"/>
  <c r="AO95" i="67"/>
  <c r="AO1311" i="67" s="1"/>
  <c r="AO248" i="67"/>
  <c r="Y95" i="67"/>
  <c r="Y1311" i="67" s="1"/>
  <c r="Y248" i="67"/>
  <c r="M95" i="67"/>
  <c r="M1311" i="67" s="1"/>
  <c r="M248" i="67"/>
  <c r="AI84" i="67"/>
  <c r="AI1300" i="67" s="1"/>
  <c r="AI237" i="67"/>
  <c r="W84" i="67"/>
  <c r="W1300" i="67" s="1"/>
  <c r="W237" i="67"/>
  <c r="O84" i="67"/>
  <c r="O1300" i="67" s="1"/>
  <c r="O237" i="67"/>
  <c r="AU68" i="67"/>
  <c r="AU221" i="67"/>
  <c r="AM68" i="67"/>
  <c r="AM221" i="67"/>
  <c r="AA68" i="67"/>
  <c r="AA221" i="67"/>
  <c r="O68" i="67"/>
  <c r="O221" i="67"/>
  <c r="K95" i="67"/>
  <c r="K1311" i="67" s="1"/>
  <c r="K248" i="67"/>
  <c r="AT117" i="67"/>
  <c r="AT270" i="67"/>
  <c r="AP117" i="67"/>
  <c r="AP270" i="67"/>
  <c r="AL117" i="67"/>
  <c r="AL270" i="67"/>
  <c r="AH117" i="67"/>
  <c r="AH270" i="67"/>
  <c r="AD117" i="67"/>
  <c r="AD270" i="67"/>
  <c r="Z117" i="67"/>
  <c r="Z270" i="67"/>
  <c r="V117" i="67"/>
  <c r="V270" i="67"/>
  <c r="R117" i="67"/>
  <c r="R270" i="67"/>
  <c r="N117" i="67"/>
  <c r="N270" i="67"/>
  <c r="AV116" i="67"/>
  <c r="AV269" i="67"/>
  <c r="AR116" i="67"/>
  <c r="AR269" i="67"/>
  <c r="AN116" i="67"/>
  <c r="AN269" i="67"/>
  <c r="AJ116" i="67"/>
  <c r="AJ269" i="67"/>
  <c r="AF116" i="67"/>
  <c r="AF269" i="67"/>
  <c r="AB116" i="67"/>
  <c r="AB269" i="67"/>
  <c r="X116" i="67"/>
  <c r="X269" i="67"/>
  <c r="T116" i="67"/>
  <c r="T269" i="67"/>
  <c r="P116" i="67"/>
  <c r="P269" i="67"/>
  <c r="L116" i="67"/>
  <c r="L269" i="67"/>
  <c r="AT96" i="67"/>
  <c r="AT1312" i="67" s="1"/>
  <c r="AT249" i="67"/>
  <c r="AP96" i="67"/>
  <c r="AP1312" i="67" s="1"/>
  <c r="AP249" i="67"/>
  <c r="AL96" i="67"/>
  <c r="AL1312" i="67" s="1"/>
  <c r="AL249" i="67"/>
  <c r="AH96" i="67"/>
  <c r="AH1312" i="67" s="1"/>
  <c r="AH249" i="67"/>
  <c r="AD96" i="67"/>
  <c r="AD1312" i="67" s="1"/>
  <c r="AD249" i="67"/>
  <c r="Z96" i="67"/>
  <c r="Z1312" i="67" s="1"/>
  <c r="Z249" i="67"/>
  <c r="V96" i="67"/>
  <c r="V1312" i="67" s="1"/>
  <c r="V249" i="67"/>
  <c r="R96" i="67"/>
  <c r="R1312" i="67" s="1"/>
  <c r="R249" i="67"/>
  <c r="N96" i="67"/>
  <c r="N1312" i="67" s="1"/>
  <c r="N249" i="67"/>
  <c r="AV95" i="67"/>
  <c r="AV1311" i="67" s="1"/>
  <c r="AV248" i="67"/>
  <c r="AR95" i="67"/>
  <c r="AR1311" i="67" s="1"/>
  <c r="AR248" i="67"/>
  <c r="AN95" i="67"/>
  <c r="AN1311" i="67" s="1"/>
  <c r="AN248" i="67"/>
  <c r="AJ95" i="67"/>
  <c r="AJ1311" i="67" s="1"/>
  <c r="AJ248" i="67"/>
  <c r="AF95" i="67"/>
  <c r="AF1311" i="67" s="1"/>
  <c r="AF248" i="67"/>
  <c r="AB95" i="67"/>
  <c r="AB1311" i="67" s="1"/>
  <c r="AB248" i="67"/>
  <c r="X95" i="67"/>
  <c r="X1311" i="67" s="1"/>
  <c r="X248" i="67"/>
  <c r="T95" i="67"/>
  <c r="T1311" i="67" s="1"/>
  <c r="T248" i="67"/>
  <c r="P95" i="67"/>
  <c r="P1311" i="67" s="1"/>
  <c r="P248" i="67"/>
  <c r="L95" i="67"/>
  <c r="L1311" i="67" s="1"/>
  <c r="L248" i="67"/>
  <c r="AT84" i="67"/>
  <c r="AT1300" i="67" s="1"/>
  <c r="AT237" i="67"/>
  <c r="AP84" i="67"/>
  <c r="AP1300" i="67" s="1"/>
  <c r="AP237" i="67"/>
  <c r="AL84" i="67"/>
  <c r="AL1300" i="67" s="1"/>
  <c r="AL237" i="67"/>
  <c r="AH84" i="67"/>
  <c r="AH1300" i="67" s="1"/>
  <c r="AH237" i="67"/>
  <c r="AD84" i="67"/>
  <c r="AD1300" i="67" s="1"/>
  <c r="AD237" i="67"/>
  <c r="Z84" i="67"/>
  <c r="Z1300" i="67" s="1"/>
  <c r="Z237" i="67"/>
  <c r="V84" i="67"/>
  <c r="V1300" i="67" s="1"/>
  <c r="V237" i="67"/>
  <c r="R84" i="67"/>
  <c r="R1300" i="67" s="1"/>
  <c r="R237" i="67"/>
  <c r="N84" i="67"/>
  <c r="N1300" i="67" s="1"/>
  <c r="N237" i="67"/>
  <c r="AT68" i="67"/>
  <c r="AT221" i="67"/>
  <c r="AP68" i="67"/>
  <c r="AP221" i="67"/>
  <c r="AL68" i="67"/>
  <c r="AL221" i="67"/>
  <c r="AH68" i="67"/>
  <c r="AH221" i="67"/>
  <c r="AD68" i="67"/>
  <c r="AD221" i="67"/>
  <c r="Z68" i="67"/>
  <c r="Z221" i="67"/>
  <c r="V68" i="67"/>
  <c r="V221" i="67"/>
  <c r="R68" i="67"/>
  <c r="R221" i="67"/>
  <c r="N68" i="67"/>
  <c r="N221" i="67"/>
  <c r="AW117" i="67"/>
  <c r="AW270" i="67"/>
  <c r="AS117" i="67"/>
  <c r="AS1333" i="67" s="1"/>
  <c r="AS270" i="67"/>
  <c r="AO117" i="67"/>
  <c r="AO270" i="67"/>
  <c r="AK117" i="67"/>
  <c r="AK1333" i="67" s="1"/>
  <c r="AK270" i="67"/>
  <c r="AG117" i="67"/>
  <c r="AG270" i="67"/>
  <c r="AC117" i="67"/>
  <c r="AC1333" i="67" s="1"/>
  <c r="AC270" i="67"/>
  <c r="Y117" i="67"/>
  <c r="Y270" i="67"/>
  <c r="U117" i="67"/>
  <c r="U1333" i="67" s="1"/>
  <c r="U270" i="67"/>
  <c r="Q117" i="67"/>
  <c r="Q270" i="67"/>
  <c r="M117" i="67"/>
  <c r="M1333" i="67" s="1"/>
  <c r="M270" i="67"/>
  <c r="AU116" i="67"/>
  <c r="AU269" i="67"/>
  <c r="AQ116" i="67"/>
  <c r="AQ1332" i="67" s="1"/>
  <c r="AQ269" i="67"/>
  <c r="AM116" i="67"/>
  <c r="AM269" i="67"/>
  <c r="AI116" i="67"/>
  <c r="AI1332" i="67" s="1"/>
  <c r="AI269" i="67"/>
  <c r="AE116" i="67"/>
  <c r="AE269" i="67"/>
  <c r="AA116" i="67"/>
  <c r="AA1332" i="67" s="1"/>
  <c r="AA269" i="67"/>
  <c r="W116" i="67"/>
  <c r="W269" i="67"/>
  <c r="S116" i="67"/>
  <c r="S1332" i="67" s="1"/>
  <c r="S269" i="67"/>
  <c r="O116" i="67"/>
  <c r="O269" i="67"/>
  <c r="AW96" i="67"/>
  <c r="AW249" i="67"/>
  <c r="AS96" i="67"/>
  <c r="AS1312" i="67" s="1"/>
  <c r="AS249" i="67"/>
  <c r="AO96" i="67"/>
  <c r="AO1312" i="67" s="1"/>
  <c r="AO249" i="67"/>
  <c r="AK96" i="67"/>
  <c r="AK1312" i="67" s="1"/>
  <c r="AK249" i="67"/>
  <c r="AG96" i="67"/>
  <c r="AG1312" i="67" s="1"/>
  <c r="AG249" i="67"/>
  <c r="AC96" i="67"/>
  <c r="AC1312" i="67" s="1"/>
  <c r="AC249" i="67"/>
  <c r="Y96" i="67"/>
  <c r="Y1312" i="67" s="1"/>
  <c r="Y249" i="67"/>
  <c r="U96" i="67"/>
  <c r="U1312" i="67" s="1"/>
  <c r="U249" i="67"/>
  <c r="Q96" i="67"/>
  <c r="Q1312" i="67" s="1"/>
  <c r="Q249" i="67"/>
  <c r="M96" i="67"/>
  <c r="M1312" i="67" s="1"/>
  <c r="M249" i="67"/>
  <c r="AU95" i="67"/>
  <c r="AU1311" i="67" s="1"/>
  <c r="AU248" i="67"/>
  <c r="AQ95" i="67"/>
  <c r="AQ1311" i="67" s="1"/>
  <c r="AQ248" i="67"/>
  <c r="AM95" i="67"/>
  <c r="AM1311" i="67" s="1"/>
  <c r="AM248" i="67"/>
  <c r="AI95" i="67"/>
  <c r="AI1311" i="67" s="1"/>
  <c r="AI248" i="67"/>
  <c r="AE95" i="67"/>
  <c r="AE1311" i="67" s="1"/>
  <c r="AE248" i="67"/>
  <c r="AA95" i="67"/>
  <c r="AA1311" i="67" s="1"/>
  <c r="AA248" i="67"/>
  <c r="W95" i="67"/>
  <c r="W1311" i="67" s="1"/>
  <c r="W248" i="67"/>
  <c r="S95" i="67"/>
  <c r="S1311" i="67" s="1"/>
  <c r="S248" i="67"/>
  <c r="O95" i="67"/>
  <c r="O1311" i="67" s="1"/>
  <c r="O248" i="67"/>
  <c r="AW84" i="67"/>
  <c r="AW237" i="67"/>
  <c r="AS84" i="67"/>
  <c r="AS1300" i="67" s="1"/>
  <c r="AS237" i="67"/>
  <c r="AO84" i="67"/>
  <c r="AO1300" i="67" s="1"/>
  <c r="AO237" i="67"/>
  <c r="AK84" i="67"/>
  <c r="AK1300" i="67" s="1"/>
  <c r="AK237" i="67"/>
  <c r="AG84" i="67"/>
  <c r="AG1300" i="67" s="1"/>
  <c r="AG237" i="67"/>
  <c r="AC84" i="67"/>
  <c r="AC1300" i="67" s="1"/>
  <c r="AC237" i="67"/>
  <c r="Y84" i="67"/>
  <c r="Y1300" i="67" s="1"/>
  <c r="Y237" i="67"/>
  <c r="U84" i="67"/>
  <c r="U1300" i="67" s="1"/>
  <c r="U237" i="67"/>
  <c r="Q84" i="67"/>
  <c r="Q1300" i="67" s="1"/>
  <c r="Q237" i="67"/>
  <c r="M84" i="67"/>
  <c r="M1300" i="67" s="1"/>
  <c r="M237" i="67"/>
  <c r="AW68" i="67"/>
  <c r="AW221" i="67"/>
  <c r="AS68" i="67"/>
  <c r="AS221" i="67"/>
  <c r="AO68" i="67"/>
  <c r="AO221" i="67"/>
  <c r="AK68" i="67"/>
  <c r="AK221" i="67"/>
  <c r="AG68" i="67"/>
  <c r="AG221" i="67"/>
  <c r="AC68" i="67"/>
  <c r="AC221" i="67"/>
  <c r="Y68" i="67"/>
  <c r="Y221" i="67"/>
  <c r="U68" i="67"/>
  <c r="U221" i="67"/>
  <c r="Q68" i="67"/>
  <c r="Q221" i="67"/>
  <c r="M68" i="67"/>
  <c r="M221" i="67"/>
  <c r="AV117" i="67"/>
  <c r="AV270" i="67"/>
  <c r="AR117" i="67"/>
  <c r="AR1333" i="67" s="1"/>
  <c r="AR270" i="67"/>
  <c r="AN117" i="67"/>
  <c r="AN270" i="67"/>
  <c r="AJ117" i="67"/>
  <c r="AJ1333" i="67" s="1"/>
  <c r="AJ270" i="67"/>
  <c r="AF117" i="67"/>
  <c r="AF270" i="67"/>
  <c r="AB117" i="67"/>
  <c r="AB1333" i="67" s="1"/>
  <c r="AB270" i="67"/>
  <c r="X117" i="67"/>
  <c r="X270" i="67"/>
  <c r="T117" i="67"/>
  <c r="T1333" i="67" s="1"/>
  <c r="T270" i="67"/>
  <c r="P117" i="67"/>
  <c r="P270" i="67"/>
  <c r="L117" i="67"/>
  <c r="L1333" i="67" s="1"/>
  <c r="L270" i="67"/>
  <c r="AT116" i="67"/>
  <c r="AT269" i="67"/>
  <c r="AP116" i="67"/>
  <c r="AP1332" i="67" s="1"/>
  <c r="AP269" i="67"/>
  <c r="AL116" i="67"/>
  <c r="AL269" i="67"/>
  <c r="AH116" i="67"/>
  <c r="AH1332" i="67" s="1"/>
  <c r="AH269" i="67"/>
  <c r="AD116" i="67"/>
  <c r="AD269" i="67"/>
  <c r="Z116" i="67"/>
  <c r="Z1332" i="67" s="1"/>
  <c r="Z269" i="67"/>
  <c r="V116" i="67"/>
  <c r="V269" i="67"/>
  <c r="R116" i="67"/>
  <c r="R1332" i="67" s="1"/>
  <c r="R269" i="67"/>
  <c r="N116" i="67"/>
  <c r="N269" i="67"/>
  <c r="AV96" i="67"/>
  <c r="AV1312" i="67" s="1"/>
  <c r="AV249" i="67"/>
  <c r="AR96" i="67"/>
  <c r="AR1312" i="67" s="1"/>
  <c r="AR249" i="67"/>
  <c r="AN96" i="67"/>
  <c r="AN1312" i="67" s="1"/>
  <c r="AN249" i="67"/>
  <c r="AJ96" i="67"/>
  <c r="AJ1312" i="67" s="1"/>
  <c r="AJ249" i="67"/>
  <c r="AF96" i="67"/>
  <c r="AF1312" i="67" s="1"/>
  <c r="AF249" i="67"/>
  <c r="AB96" i="67"/>
  <c r="AB1312" i="67" s="1"/>
  <c r="AB249" i="67"/>
  <c r="X96" i="67"/>
  <c r="X1312" i="67" s="1"/>
  <c r="X249" i="67"/>
  <c r="T96" i="67"/>
  <c r="T1312" i="67" s="1"/>
  <c r="T249" i="67"/>
  <c r="P96" i="67"/>
  <c r="P1312" i="67" s="1"/>
  <c r="P249" i="67"/>
  <c r="L96" i="67"/>
  <c r="L1312" i="67" s="1"/>
  <c r="L249" i="67"/>
  <c r="AT95" i="67"/>
  <c r="AT1311" i="67" s="1"/>
  <c r="AT248" i="67"/>
  <c r="AP95" i="67"/>
  <c r="AP1311" i="67" s="1"/>
  <c r="AP248" i="67"/>
  <c r="AL95" i="67"/>
  <c r="AL1311" i="67" s="1"/>
  <c r="AL248" i="67"/>
  <c r="AH95" i="67"/>
  <c r="AH1311" i="67" s="1"/>
  <c r="AH248" i="67"/>
  <c r="AD95" i="67"/>
  <c r="AD1311" i="67" s="1"/>
  <c r="AD248" i="67"/>
  <c r="Z95" i="67"/>
  <c r="Z1311" i="67" s="1"/>
  <c r="Z248" i="67"/>
  <c r="V95" i="67"/>
  <c r="V1311" i="67" s="1"/>
  <c r="V248" i="67"/>
  <c r="R95" i="67"/>
  <c r="R1311" i="67" s="1"/>
  <c r="R248" i="67"/>
  <c r="N95" i="67"/>
  <c r="N1311" i="67" s="1"/>
  <c r="N248" i="67"/>
  <c r="AV84" i="67"/>
  <c r="AV1300" i="67" s="1"/>
  <c r="AV237" i="67"/>
  <c r="AR84" i="67"/>
  <c r="AR1300" i="67" s="1"/>
  <c r="AR237" i="67"/>
  <c r="AN84" i="67"/>
  <c r="AN1300" i="67" s="1"/>
  <c r="AN237" i="67"/>
  <c r="AJ84" i="67"/>
  <c r="AJ1300" i="67" s="1"/>
  <c r="AJ237" i="67"/>
  <c r="AF84" i="67"/>
  <c r="AF1300" i="67" s="1"/>
  <c r="AF237" i="67"/>
  <c r="AB84" i="67"/>
  <c r="AB1300" i="67" s="1"/>
  <c r="AB237" i="67"/>
  <c r="X84" i="67"/>
  <c r="X1300" i="67" s="1"/>
  <c r="X237" i="67"/>
  <c r="T84" i="67"/>
  <c r="T1300" i="67" s="1"/>
  <c r="T237" i="67"/>
  <c r="P84" i="67"/>
  <c r="P1300" i="67" s="1"/>
  <c r="P237" i="67"/>
  <c r="L84" i="67"/>
  <c r="L1300" i="67" s="1"/>
  <c r="L237" i="67"/>
  <c r="AV68" i="67"/>
  <c r="AV221" i="67"/>
  <c r="AR68" i="67"/>
  <c r="AR221" i="67"/>
  <c r="AN68" i="67"/>
  <c r="AN221" i="67"/>
  <c r="AJ68" i="67"/>
  <c r="AJ221" i="67"/>
  <c r="AF68" i="67"/>
  <c r="AF221" i="67"/>
  <c r="AB68" i="67"/>
  <c r="AB221" i="67"/>
  <c r="X68" i="67"/>
  <c r="X221" i="67"/>
  <c r="T68" i="67"/>
  <c r="T221" i="67"/>
  <c r="P68" i="67"/>
  <c r="P221" i="67"/>
  <c r="L68" i="67"/>
  <c r="L221" i="67"/>
  <c r="K133" i="67"/>
  <c r="K1349" i="67" s="1"/>
  <c r="AU149" i="67"/>
  <c r="AU1365" i="67" s="1"/>
  <c r="AQ149" i="67"/>
  <c r="AQ1365" i="67" s="1"/>
  <c r="AM149" i="67"/>
  <c r="AM1365" i="67" s="1"/>
  <c r="AI149" i="67"/>
  <c r="AI1365" i="67" s="1"/>
  <c r="AE149" i="67"/>
  <c r="AE1365" i="67" s="1"/>
  <c r="AA149" i="67"/>
  <c r="AA1365" i="67" s="1"/>
  <c r="W149" i="67"/>
  <c r="W1365" i="67" s="1"/>
  <c r="S149" i="67"/>
  <c r="S1365" i="67" s="1"/>
  <c r="O149" i="67"/>
  <c r="O1365" i="67" s="1"/>
  <c r="AU133" i="67"/>
  <c r="AU1349" i="67" s="1"/>
  <c r="AQ133" i="67"/>
  <c r="AQ1349" i="67" s="1"/>
  <c r="AM133" i="67"/>
  <c r="AM1349" i="67" s="1"/>
  <c r="AI133" i="67"/>
  <c r="AI1349" i="67" s="1"/>
  <c r="AE133" i="67"/>
  <c r="AE1349" i="67" s="1"/>
  <c r="AA133" i="67"/>
  <c r="AA1349" i="67" s="1"/>
  <c r="W133" i="67"/>
  <c r="W1349" i="67" s="1"/>
  <c r="S133" i="67"/>
  <c r="S1349" i="67" s="1"/>
  <c r="O133" i="67"/>
  <c r="O1349" i="67" s="1"/>
  <c r="AT149" i="67"/>
  <c r="AT1365" i="67" s="1"/>
  <c r="AP149" i="67"/>
  <c r="AP1365" i="67" s="1"/>
  <c r="AL149" i="67"/>
  <c r="AL1365" i="67" s="1"/>
  <c r="AH149" i="67"/>
  <c r="AH1365" i="67" s="1"/>
  <c r="AD149" i="67"/>
  <c r="AD1365" i="67" s="1"/>
  <c r="Z149" i="67"/>
  <c r="Z1365" i="67" s="1"/>
  <c r="V149" i="67"/>
  <c r="V1365" i="67" s="1"/>
  <c r="R149" i="67"/>
  <c r="R1365" i="67" s="1"/>
  <c r="N149" i="67"/>
  <c r="N1365" i="67" s="1"/>
  <c r="AT133" i="67"/>
  <c r="AT1349" i="67" s="1"/>
  <c r="AP133" i="67"/>
  <c r="AP1349" i="67" s="1"/>
  <c r="AL133" i="67"/>
  <c r="AL1349" i="67" s="1"/>
  <c r="AH133" i="67"/>
  <c r="AH1349" i="67" s="1"/>
  <c r="AD133" i="67"/>
  <c r="AD1349" i="67" s="1"/>
  <c r="Z133" i="67"/>
  <c r="Z1349" i="67" s="1"/>
  <c r="V133" i="67"/>
  <c r="V1349" i="67" s="1"/>
  <c r="R133" i="67"/>
  <c r="R1349" i="67" s="1"/>
  <c r="N133" i="67"/>
  <c r="N1349" i="67" s="1"/>
  <c r="K149" i="67"/>
  <c r="K1365" i="67" s="1"/>
  <c r="AW149" i="67"/>
  <c r="AS149" i="67"/>
  <c r="AS1365" i="67" s="1"/>
  <c r="AO149" i="67"/>
  <c r="AO1365" i="67" s="1"/>
  <c r="AK149" i="67"/>
  <c r="AK1365" i="67" s="1"/>
  <c r="AG149" i="67"/>
  <c r="AG1365" i="67" s="1"/>
  <c r="AC149" i="67"/>
  <c r="AC1365" i="67" s="1"/>
  <c r="Y149" i="67"/>
  <c r="Y1365" i="67" s="1"/>
  <c r="U149" i="67"/>
  <c r="U1365" i="67" s="1"/>
  <c r="Q149" i="67"/>
  <c r="Q1365" i="67" s="1"/>
  <c r="M149" i="67"/>
  <c r="M1365" i="67" s="1"/>
  <c r="AW133" i="67"/>
  <c r="AW1349" i="67" s="1"/>
  <c r="AS133" i="67"/>
  <c r="AS1349" i="67" s="1"/>
  <c r="AO133" i="67"/>
  <c r="AO1349" i="67" s="1"/>
  <c r="AK133" i="67"/>
  <c r="AK1349" i="67" s="1"/>
  <c r="AG133" i="67"/>
  <c r="AG1349" i="67" s="1"/>
  <c r="AC133" i="67"/>
  <c r="AC1349" i="67" s="1"/>
  <c r="Y133" i="67"/>
  <c r="Y1349" i="67" s="1"/>
  <c r="U133" i="67"/>
  <c r="U1349" i="67" s="1"/>
  <c r="Q133" i="67"/>
  <c r="Q1349" i="67" s="1"/>
  <c r="M133" i="67"/>
  <c r="M1349" i="67" s="1"/>
  <c r="AV149" i="67"/>
  <c r="AV1365" i="67" s="1"/>
  <c r="AR149" i="67"/>
  <c r="AR1365" i="67" s="1"/>
  <c r="AN149" i="67"/>
  <c r="AN1365" i="67" s="1"/>
  <c r="AJ149" i="67"/>
  <c r="AJ1365" i="67" s="1"/>
  <c r="AF149" i="67"/>
  <c r="AF1365" i="67" s="1"/>
  <c r="AB149" i="67"/>
  <c r="AB1365" i="67" s="1"/>
  <c r="X149" i="67"/>
  <c r="X1365" i="67" s="1"/>
  <c r="T149" i="67"/>
  <c r="T1365" i="67" s="1"/>
  <c r="P149" i="67"/>
  <c r="P1365" i="67" s="1"/>
  <c r="L149" i="67"/>
  <c r="L1365" i="67" s="1"/>
  <c r="AV133" i="67"/>
  <c r="AV1349" i="67" s="1"/>
  <c r="AR133" i="67"/>
  <c r="AR1349" i="67" s="1"/>
  <c r="AN133" i="67"/>
  <c r="AN1349" i="67" s="1"/>
  <c r="AJ133" i="67"/>
  <c r="AJ1349" i="67" s="1"/>
  <c r="AF133" i="67"/>
  <c r="AF1349" i="67" s="1"/>
  <c r="AB133" i="67"/>
  <c r="AB1349" i="67" s="1"/>
  <c r="X133" i="67"/>
  <c r="X1349" i="67" s="1"/>
  <c r="T133" i="67"/>
  <c r="T1349" i="67" s="1"/>
  <c r="P133" i="67"/>
  <c r="P1349" i="67" s="1"/>
  <c r="L133" i="67"/>
  <c r="L1349" i="67" s="1"/>
  <c r="AU727" i="67"/>
  <c r="AQ727" i="67"/>
  <c r="AM727" i="67"/>
  <c r="AI727" i="67"/>
  <c r="AE727" i="67"/>
  <c r="AA727" i="67"/>
  <c r="W727" i="67"/>
  <c r="S727" i="67"/>
  <c r="O727" i="67"/>
  <c r="AW726" i="67"/>
  <c r="AS726" i="67"/>
  <c r="AO726" i="67"/>
  <c r="AK726" i="67"/>
  <c r="AG726" i="67"/>
  <c r="AC726" i="67"/>
  <c r="Y726" i="67"/>
  <c r="U726" i="67"/>
  <c r="Q726" i="67"/>
  <c r="M726" i="67"/>
  <c r="K726" i="67"/>
  <c r="AT727" i="67"/>
  <c r="AP727" i="67"/>
  <c r="AL727" i="67"/>
  <c r="AH727" i="67"/>
  <c r="AD727" i="67"/>
  <c r="Z727" i="67"/>
  <c r="V727" i="67"/>
  <c r="R727" i="67"/>
  <c r="N727" i="67"/>
  <c r="AV726" i="67"/>
  <c r="AR726" i="67"/>
  <c r="AN726" i="67"/>
  <c r="AJ726" i="67"/>
  <c r="AF726" i="67"/>
  <c r="AB726" i="67"/>
  <c r="X726" i="67"/>
  <c r="T726" i="67"/>
  <c r="P726" i="67"/>
  <c r="L726" i="67"/>
  <c r="K727" i="67"/>
  <c r="AW727" i="67"/>
  <c r="AS727" i="67"/>
  <c r="AO727" i="67"/>
  <c r="AK727" i="67"/>
  <c r="AG727" i="67"/>
  <c r="AC727" i="67"/>
  <c r="Y727" i="67"/>
  <c r="U727" i="67"/>
  <c r="Q727" i="67"/>
  <c r="M727" i="67"/>
  <c r="AU726" i="67"/>
  <c r="AQ726" i="67"/>
  <c r="AM726" i="67"/>
  <c r="AI726" i="67"/>
  <c r="AE726" i="67"/>
  <c r="AA726" i="67"/>
  <c r="W726" i="67"/>
  <c r="S726" i="67"/>
  <c r="O726" i="67"/>
  <c r="AV727" i="67"/>
  <c r="AR727" i="67"/>
  <c r="AN727" i="67"/>
  <c r="AJ727" i="67"/>
  <c r="AF727" i="67"/>
  <c r="AB727" i="67"/>
  <c r="X727" i="67"/>
  <c r="T727" i="67"/>
  <c r="P727" i="67"/>
  <c r="L727" i="67"/>
  <c r="AT726" i="67"/>
  <c r="AP726" i="67"/>
  <c r="AL726" i="67"/>
  <c r="AH726" i="67"/>
  <c r="AD726" i="67"/>
  <c r="Z726" i="67"/>
  <c r="V726" i="67"/>
  <c r="R726" i="67"/>
  <c r="N726" i="67"/>
  <c r="H718" i="67"/>
  <c r="E188" i="65"/>
  <c r="D192" i="65"/>
  <c r="D193" i="65"/>
  <c r="D194" i="65"/>
  <c r="D195" i="65"/>
  <c r="U193" i="65"/>
  <c r="U194" i="65"/>
  <c r="U195" i="65"/>
  <c r="U192" i="65"/>
  <c r="V188" i="65"/>
  <c r="H719" i="67"/>
  <c r="C156" i="65"/>
  <c r="U156" i="65"/>
  <c r="AE155" i="65"/>
  <c r="AF155" i="65" s="1"/>
  <c r="U155" i="65"/>
  <c r="V155" i="65" s="1"/>
  <c r="W155" i="65" s="1"/>
  <c r="X155" i="65" s="1"/>
  <c r="AE154" i="65"/>
  <c r="AF154" i="65" s="1"/>
  <c r="AG154" i="65" s="1"/>
  <c r="AH154" i="65" s="1"/>
  <c r="AI154" i="65" s="1"/>
  <c r="AJ154" i="65" s="1"/>
  <c r="AK154" i="65" s="1"/>
  <c r="AL154" i="65" s="1"/>
  <c r="AM154" i="65" s="1"/>
  <c r="K154" i="65"/>
  <c r="AE156" i="65"/>
  <c r="U154" i="65"/>
  <c r="L66" i="70"/>
  <c r="L50" i="70"/>
  <c r="X66" i="70"/>
  <c r="X50" i="70"/>
  <c r="J67" i="70"/>
  <c r="J51" i="70"/>
  <c r="R67" i="70"/>
  <c r="R51" i="70"/>
  <c r="L68" i="70"/>
  <c r="L52" i="70"/>
  <c r="T68" i="70"/>
  <c r="T52" i="70"/>
  <c r="AB68" i="70"/>
  <c r="AB52" i="70"/>
  <c r="J69" i="70"/>
  <c r="J53" i="70"/>
  <c r="V69" i="70"/>
  <c r="V53" i="70"/>
  <c r="Z69" i="70"/>
  <c r="Z53" i="70"/>
  <c r="T70" i="70"/>
  <c r="T54" i="70"/>
  <c r="X70" i="70"/>
  <c r="X54" i="70"/>
  <c r="AF77" i="70"/>
  <c r="AF61" i="70"/>
  <c r="J66" i="70"/>
  <c r="J50" i="70"/>
  <c r="R66" i="70"/>
  <c r="R50" i="70"/>
  <c r="V66" i="70"/>
  <c r="V50" i="70"/>
  <c r="Z66" i="70"/>
  <c r="Z50" i="70"/>
  <c r="H67" i="70"/>
  <c r="H51" i="70"/>
  <c r="L67" i="70"/>
  <c r="L51" i="70"/>
  <c r="T67" i="70"/>
  <c r="T51" i="70"/>
  <c r="X67" i="70"/>
  <c r="X51" i="70"/>
  <c r="AB67" i="70"/>
  <c r="AB51" i="70"/>
  <c r="E7" i="70"/>
  <c r="J68" i="70"/>
  <c r="J52" i="70"/>
  <c r="N68" i="70"/>
  <c r="N52" i="70"/>
  <c r="R68" i="70"/>
  <c r="R52" i="70"/>
  <c r="V68" i="70"/>
  <c r="V52" i="70"/>
  <c r="Z68" i="70"/>
  <c r="Z52" i="70"/>
  <c r="H69" i="70"/>
  <c r="H53" i="70"/>
  <c r="L69" i="70"/>
  <c r="L53" i="70"/>
  <c r="P69" i="70"/>
  <c r="P53" i="70"/>
  <c r="T69" i="70"/>
  <c r="T53" i="70"/>
  <c r="X69" i="70"/>
  <c r="X53" i="70"/>
  <c r="AB69" i="70"/>
  <c r="AB53" i="70"/>
  <c r="J70" i="70"/>
  <c r="J54" i="70"/>
  <c r="N70" i="70"/>
  <c r="N54" i="70"/>
  <c r="R70" i="70"/>
  <c r="R54" i="70"/>
  <c r="V70" i="70"/>
  <c r="V54" i="70"/>
  <c r="Z70" i="70"/>
  <c r="Z54" i="70"/>
  <c r="AD77" i="70"/>
  <c r="AD61" i="70"/>
  <c r="T50" i="70"/>
  <c r="AA51" i="70"/>
  <c r="S53" i="70"/>
  <c r="H66" i="70"/>
  <c r="H50" i="70"/>
  <c r="P66" i="70"/>
  <c r="P50" i="70"/>
  <c r="Z67" i="70"/>
  <c r="Z51" i="70"/>
  <c r="P68" i="70"/>
  <c r="P52" i="70"/>
  <c r="R69" i="70"/>
  <c r="R53" i="70"/>
  <c r="H70" i="70"/>
  <c r="H54" i="70"/>
  <c r="P70" i="70"/>
  <c r="P54" i="70"/>
  <c r="AB70" i="70"/>
  <c r="AB54" i="70"/>
  <c r="K66" i="70"/>
  <c r="K50" i="70"/>
  <c r="O66" i="70"/>
  <c r="O50" i="70"/>
  <c r="S66" i="70"/>
  <c r="S50" i="70"/>
  <c r="W66" i="70"/>
  <c r="W50" i="70"/>
  <c r="AA66" i="70"/>
  <c r="AA50" i="70"/>
  <c r="I67" i="70"/>
  <c r="I51" i="70"/>
  <c r="M67" i="70"/>
  <c r="M51" i="70"/>
  <c r="Q67" i="70"/>
  <c r="Q51" i="70"/>
  <c r="U67" i="70"/>
  <c r="U51" i="70"/>
  <c r="Y67" i="70"/>
  <c r="Y51" i="70"/>
  <c r="AC67" i="70"/>
  <c r="AC51" i="70"/>
  <c r="F7" i="70"/>
  <c r="K68" i="70"/>
  <c r="K52" i="70"/>
  <c r="O68" i="70"/>
  <c r="O52" i="70"/>
  <c r="S68" i="70"/>
  <c r="S52" i="70"/>
  <c r="W68" i="70"/>
  <c r="W52" i="70"/>
  <c r="AA68" i="70"/>
  <c r="AA52" i="70"/>
  <c r="I69" i="70"/>
  <c r="I53" i="70"/>
  <c r="M69" i="70"/>
  <c r="M53" i="70"/>
  <c r="Q69" i="70"/>
  <c r="Q53" i="70"/>
  <c r="U69" i="70"/>
  <c r="U53" i="70"/>
  <c r="Y69" i="70"/>
  <c r="Y53" i="70"/>
  <c r="AC69" i="70"/>
  <c r="AC53" i="70"/>
  <c r="K70" i="70"/>
  <c r="K54" i="70"/>
  <c r="O70" i="70"/>
  <c r="O54" i="70"/>
  <c r="S70" i="70"/>
  <c r="S54" i="70"/>
  <c r="W70" i="70"/>
  <c r="W54" i="70"/>
  <c r="AA70" i="70"/>
  <c r="AA54" i="70"/>
  <c r="AE77" i="70"/>
  <c r="AE61" i="70"/>
  <c r="AF83" i="70"/>
  <c r="AG42" i="70"/>
  <c r="Y50" i="70"/>
  <c r="K51" i="70"/>
  <c r="I52" i="70"/>
  <c r="AA53" i="70"/>
  <c r="I54" i="70"/>
  <c r="I50" i="70"/>
  <c r="P51" i="70"/>
  <c r="Q52" i="70"/>
  <c r="Q54" i="70"/>
  <c r="D79" i="70"/>
  <c r="E79" i="70" s="1"/>
  <c r="E63" i="70"/>
  <c r="AB66" i="70"/>
  <c r="AB50" i="70"/>
  <c r="N67" i="70"/>
  <c r="N51" i="70"/>
  <c r="H68" i="70"/>
  <c r="H52" i="70"/>
  <c r="X68" i="70"/>
  <c r="X52" i="70"/>
  <c r="N69" i="70"/>
  <c r="N53" i="70"/>
  <c r="L70" i="70"/>
  <c r="L54" i="70"/>
  <c r="M66" i="70"/>
  <c r="M50" i="70"/>
  <c r="Q66" i="70"/>
  <c r="Q50" i="70"/>
  <c r="U66" i="70"/>
  <c r="U50" i="70"/>
  <c r="AC66" i="70"/>
  <c r="AC50" i="70"/>
  <c r="O67" i="70"/>
  <c r="O51" i="70"/>
  <c r="S67" i="70"/>
  <c r="S51" i="70"/>
  <c r="W67" i="70"/>
  <c r="W51" i="70"/>
  <c r="M68" i="70"/>
  <c r="M52" i="70"/>
  <c r="U68" i="70"/>
  <c r="U52" i="70"/>
  <c r="AC68" i="70"/>
  <c r="AC52" i="70"/>
  <c r="O69" i="70"/>
  <c r="O53" i="70"/>
  <c r="W69" i="70"/>
  <c r="W53" i="70"/>
  <c r="M70" i="70"/>
  <c r="M54" i="70"/>
  <c r="U70" i="70"/>
  <c r="U54" i="70"/>
  <c r="AC70" i="70"/>
  <c r="AC54" i="70"/>
  <c r="N50" i="70"/>
  <c r="V51" i="70"/>
  <c r="Y52" i="70"/>
  <c r="K53" i="70"/>
  <c r="Y54" i="70"/>
  <c r="D66" i="70"/>
  <c r="E66" i="70" s="1"/>
  <c r="E50" i="70"/>
  <c r="E56" i="70"/>
  <c r="D76" i="70"/>
  <c r="E76" i="70" s="1"/>
  <c r="E60" i="70"/>
  <c r="E62" i="70"/>
  <c r="E64" i="70"/>
  <c r="D81" i="70"/>
  <c r="E81" i="70" s="1"/>
  <c r="E65" i="70"/>
  <c r="A93" i="70"/>
  <c r="A89" i="70"/>
  <c r="A91" i="70"/>
  <c r="A95" i="70"/>
  <c r="A97" i="70" s="1"/>
  <c r="E84" i="70"/>
  <c r="C85" i="70"/>
  <c r="E85" i="70" s="1"/>
  <c r="B89" i="70"/>
  <c r="B91" i="70"/>
  <c r="B93" i="70"/>
  <c r="C91" i="65"/>
  <c r="D91" i="65" s="1"/>
  <c r="E91" i="65" s="1"/>
  <c r="F91" i="65" s="1"/>
  <c r="G91" i="65" s="1"/>
  <c r="H91" i="65" s="1"/>
  <c r="I91" i="65" s="1"/>
  <c r="J91" i="65" s="1"/>
  <c r="K91" i="65" s="1"/>
  <c r="L91" i="65" s="1"/>
  <c r="M91" i="65" s="1"/>
  <c r="N91" i="65" s="1"/>
  <c r="O91" i="65" s="1"/>
  <c r="P91" i="65" s="1"/>
  <c r="Q91" i="65" s="1"/>
  <c r="R91" i="65" s="1"/>
  <c r="S91" i="65" s="1"/>
  <c r="C119" i="65"/>
  <c r="D119" i="65" s="1"/>
  <c r="U115" i="65"/>
  <c r="AE117" i="65"/>
  <c r="C89" i="65"/>
  <c r="D89" i="65" s="1"/>
  <c r="E89" i="65" s="1"/>
  <c r="F89" i="65" s="1"/>
  <c r="G89" i="65" s="1"/>
  <c r="H89" i="65" s="1"/>
  <c r="I89" i="65" s="1"/>
  <c r="J89" i="65" s="1"/>
  <c r="K89" i="65" s="1"/>
  <c r="L89" i="65" s="1"/>
  <c r="M89" i="65" s="1"/>
  <c r="N89" i="65" s="1"/>
  <c r="O89" i="65" s="1"/>
  <c r="P89" i="65" s="1"/>
  <c r="Q89" i="65" s="1"/>
  <c r="R89" i="65" s="1"/>
  <c r="S89" i="65" s="1"/>
  <c r="U96" i="65"/>
  <c r="V96" i="65" s="1"/>
  <c r="W96" i="65" s="1"/>
  <c r="X96" i="65" s="1"/>
  <c r="Y96" i="65" s="1"/>
  <c r="Z96" i="65" s="1"/>
  <c r="AA96" i="65" s="1"/>
  <c r="AB96" i="65" s="1"/>
  <c r="AC96" i="65" s="1"/>
  <c r="U92" i="65"/>
  <c r="V92" i="65" s="1"/>
  <c r="W92" i="65" s="1"/>
  <c r="X92" i="65" s="1"/>
  <c r="Y92" i="65" s="1"/>
  <c r="Z92" i="65" s="1"/>
  <c r="AA92" i="65" s="1"/>
  <c r="AB92" i="65" s="1"/>
  <c r="AC92" i="65" s="1"/>
  <c r="U88" i="65"/>
  <c r="AE94" i="65"/>
  <c r="AF94" i="65" s="1"/>
  <c r="AG94" i="65" s="1"/>
  <c r="AH94" i="65" s="1"/>
  <c r="AI94" i="65" s="1"/>
  <c r="AJ94" i="65" s="1"/>
  <c r="AK94" i="65" s="1"/>
  <c r="AL94" i="65" s="1"/>
  <c r="AM94" i="65" s="1"/>
  <c r="AE90" i="65"/>
  <c r="K94" i="65"/>
  <c r="L94" i="65" s="1"/>
  <c r="M94" i="65" s="1"/>
  <c r="N94" i="65" s="1"/>
  <c r="O94" i="65" s="1"/>
  <c r="P94" i="65" s="1"/>
  <c r="Q94" i="65" s="1"/>
  <c r="R94" i="65" s="1"/>
  <c r="S94" i="65" s="1"/>
  <c r="AE93" i="65"/>
  <c r="AF93" i="65" s="1"/>
  <c r="AG93" i="65" s="1"/>
  <c r="AH93" i="65" s="1"/>
  <c r="AI93" i="65" s="1"/>
  <c r="AJ93" i="65" s="1"/>
  <c r="AK93" i="65" s="1"/>
  <c r="AL93" i="65" s="1"/>
  <c r="AM93" i="65" s="1"/>
  <c r="AE89" i="65"/>
  <c r="AF89" i="65" s="1"/>
  <c r="AG89" i="65" s="1"/>
  <c r="AH89" i="65" s="1"/>
  <c r="AI89" i="65" s="1"/>
  <c r="AJ89" i="65" s="1"/>
  <c r="AK89" i="65" s="1"/>
  <c r="AL89" i="65" s="1"/>
  <c r="AM89" i="65" s="1"/>
  <c r="K87" i="65"/>
  <c r="L87" i="65" s="1"/>
  <c r="M87" i="65" s="1"/>
  <c r="N87" i="65" s="1"/>
  <c r="O87" i="65" s="1"/>
  <c r="P87" i="65" s="1"/>
  <c r="Q87" i="65" s="1"/>
  <c r="R87" i="65" s="1"/>
  <c r="S87" i="65" s="1"/>
  <c r="U95" i="65"/>
  <c r="V95" i="65" s="1"/>
  <c r="W95" i="65" s="1"/>
  <c r="X95" i="65" s="1"/>
  <c r="Y95" i="65" s="1"/>
  <c r="Z95" i="65" s="1"/>
  <c r="AA95" i="65" s="1"/>
  <c r="AB95" i="65" s="1"/>
  <c r="AC95" i="65" s="1"/>
  <c r="U91" i="65"/>
  <c r="V91" i="65" s="1"/>
  <c r="W91" i="65" s="1"/>
  <c r="X91" i="65" s="1"/>
  <c r="Y91" i="65" s="1"/>
  <c r="Z91" i="65" s="1"/>
  <c r="AA91" i="65" s="1"/>
  <c r="AB91" i="65" s="1"/>
  <c r="AC91" i="65" s="1"/>
  <c r="AE92" i="65"/>
  <c r="AF92" i="65" s="1"/>
  <c r="AG92" i="65" s="1"/>
  <c r="AH92" i="65" s="1"/>
  <c r="AI92" i="65" s="1"/>
  <c r="AJ92" i="65" s="1"/>
  <c r="AK92" i="65" s="1"/>
  <c r="AL92" i="65" s="1"/>
  <c r="AM92" i="65" s="1"/>
  <c r="AE88" i="65"/>
  <c r="U89" i="65"/>
  <c r="V89" i="65" s="1"/>
  <c r="W89" i="65" s="1"/>
  <c r="X89" i="65" s="1"/>
  <c r="Y89" i="65" s="1"/>
  <c r="Z89" i="65" s="1"/>
  <c r="AA89" i="65" s="1"/>
  <c r="AB89" i="65" s="1"/>
  <c r="AC89" i="65" s="1"/>
  <c r="AE96" i="65"/>
  <c r="AF96" i="65" s="1"/>
  <c r="AG96" i="65" s="1"/>
  <c r="AH96" i="65" s="1"/>
  <c r="AI96" i="65" s="1"/>
  <c r="AJ96" i="65" s="1"/>
  <c r="AK96" i="65" s="1"/>
  <c r="AL96" i="65" s="1"/>
  <c r="AM96" i="65" s="1"/>
  <c r="AE95" i="65"/>
  <c r="AF95" i="65" s="1"/>
  <c r="AG95" i="65" s="1"/>
  <c r="AH95" i="65" s="1"/>
  <c r="AI95" i="65" s="1"/>
  <c r="AJ95" i="65" s="1"/>
  <c r="AK95" i="65" s="1"/>
  <c r="AL95" i="65" s="1"/>
  <c r="AM95" i="65" s="1"/>
  <c r="AE91" i="65"/>
  <c r="AF91" i="65" s="1"/>
  <c r="AG91" i="65" s="1"/>
  <c r="AH91" i="65" s="1"/>
  <c r="AI91" i="65" s="1"/>
  <c r="AJ91" i="65" s="1"/>
  <c r="AK91" i="65" s="1"/>
  <c r="AL91" i="65" s="1"/>
  <c r="AM91" i="65" s="1"/>
  <c r="AE115" i="65"/>
  <c r="B105" i="65"/>
  <c r="C90" i="65"/>
  <c r="U116" i="65"/>
  <c r="AE114" i="65"/>
  <c r="AE118" i="65"/>
  <c r="B109" i="65"/>
  <c r="C115" i="65"/>
  <c r="AE112" i="65"/>
  <c r="AF112" i="65" s="1"/>
  <c r="U93" i="65"/>
  <c r="V93" i="65" s="1"/>
  <c r="W93" i="65" s="1"/>
  <c r="X93" i="65" s="1"/>
  <c r="Y93" i="65" s="1"/>
  <c r="Z93" i="65" s="1"/>
  <c r="AA93" i="65" s="1"/>
  <c r="AB93" i="65" s="1"/>
  <c r="AC93" i="65" s="1"/>
  <c r="K96" i="65"/>
  <c r="L96" i="65" s="1"/>
  <c r="M96" i="65" s="1"/>
  <c r="N96" i="65" s="1"/>
  <c r="O96" i="65" s="1"/>
  <c r="P96" i="65" s="1"/>
  <c r="Q96" i="65" s="1"/>
  <c r="R96" i="65" s="1"/>
  <c r="S96" i="65" s="1"/>
  <c r="K92" i="65"/>
  <c r="L92" i="65" s="1"/>
  <c r="M92" i="65" s="1"/>
  <c r="N92" i="65" s="1"/>
  <c r="O92" i="65" s="1"/>
  <c r="P92" i="65" s="1"/>
  <c r="Q92" i="65" s="1"/>
  <c r="R92" i="65" s="1"/>
  <c r="S92" i="65" s="1"/>
  <c r="K88" i="65"/>
  <c r="U94" i="65"/>
  <c r="V94" i="65" s="1"/>
  <c r="W94" i="65" s="1"/>
  <c r="X94" i="65" s="1"/>
  <c r="Y94" i="65" s="1"/>
  <c r="Z94" i="65" s="1"/>
  <c r="AA94" i="65" s="1"/>
  <c r="AB94" i="65" s="1"/>
  <c r="AC94" i="65" s="1"/>
  <c r="U90" i="65"/>
  <c r="C118" i="65"/>
  <c r="U114" i="65"/>
  <c r="K95" i="65"/>
  <c r="L95" i="65" s="1"/>
  <c r="M95" i="65" s="1"/>
  <c r="N95" i="65" s="1"/>
  <c r="O95" i="65" s="1"/>
  <c r="P95" i="65" s="1"/>
  <c r="Q95" i="65" s="1"/>
  <c r="R95" i="65" s="1"/>
  <c r="S95" i="65" s="1"/>
  <c r="U87" i="65"/>
  <c r="V87" i="65" s="1"/>
  <c r="W87" i="65" s="1"/>
  <c r="X87" i="65" s="1"/>
  <c r="Y87" i="65" s="1"/>
  <c r="Z87" i="65" s="1"/>
  <c r="AA87" i="65" s="1"/>
  <c r="AB87" i="65" s="1"/>
  <c r="AC87" i="65" s="1"/>
  <c r="C112" i="65"/>
  <c r="C114" i="65"/>
  <c r="U113" i="65"/>
  <c r="U121" i="65"/>
  <c r="B146" i="65"/>
  <c r="D20" i="69"/>
  <c r="D21" i="69" s="1"/>
  <c r="D26" i="69"/>
  <c r="K26" i="69"/>
  <c r="S20" i="69"/>
  <c r="S21" i="69" s="1"/>
  <c r="S26" i="69"/>
  <c r="D23" i="69"/>
  <c r="D24" i="69" s="1"/>
  <c r="D18" i="69"/>
  <c r="D52" i="69" s="1"/>
  <c r="D56" i="69" s="1"/>
  <c r="D58" i="69" s="1"/>
  <c r="D59" i="69" s="1"/>
  <c r="D60" i="69" s="1"/>
  <c r="D61" i="69" s="1"/>
  <c r="H23" i="69"/>
  <c r="H24" i="69" s="1"/>
  <c r="H19" i="69"/>
  <c r="H18" i="69"/>
  <c r="H52" i="69" s="1"/>
  <c r="L23" i="69"/>
  <c r="L24" i="69" s="1"/>
  <c r="L19" i="69"/>
  <c r="L18" i="69"/>
  <c r="L52" i="69" s="1"/>
  <c r="P23" i="69"/>
  <c r="P24" i="69" s="1"/>
  <c r="P19" i="69"/>
  <c r="P18" i="69"/>
  <c r="P52" i="69" s="1"/>
  <c r="T23" i="69"/>
  <c r="T24" i="69" s="1"/>
  <c r="T19" i="69"/>
  <c r="T18" i="69"/>
  <c r="T52" i="69" s="1"/>
  <c r="T56" i="69" s="1"/>
  <c r="T58" i="69" s="1"/>
  <c r="T59" i="69" s="1"/>
  <c r="T60" i="69" s="1"/>
  <c r="T61" i="69" s="1"/>
  <c r="X23" i="69"/>
  <c r="X24" i="69" s="1"/>
  <c r="X19" i="69"/>
  <c r="X18" i="69"/>
  <c r="X52" i="69" s="1"/>
  <c r="G19" i="69"/>
  <c r="O19" i="69"/>
  <c r="W19" i="69"/>
  <c r="J20" i="69"/>
  <c r="J21" i="69" s="1"/>
  <c r="R20" i="69"/>
  <c r="R21" i="69" s="1"/>
  <c r="C26" i="69"/>
  <c r="F56" i="69"/>
  <c r="F58" i="69" s="1"/>
  <c r="F59" i="69" s="1"/>
  <c r="F60" i="69" s="1"/>
  <c r="F61" i="69" s="1"/>
  <c r="J56" i="69"/>
  <c r="J58" i="69" s="1"/>
  <c r="J59" i="69" s="1"/>
  <c r="J60" i="69" s="1"/>
  <c r="J61" i="69" s="1"/>
  <c r="N56" i="69"/>
  <c r="N58" i="69" s="1"/>
  <c r="N59" i="69" s="1"/>
  <c r="N60" i="69" s="1"/>
  <c r="N61" i="69" s="1"/>
  <c r="R56" i="69"/>
  <c r="R58" i="69" s="1"/>
  <c r="R59" i="69" s="1"/>
  <c r="R60" i="69" s="1"/>
  <c r="R61" i="69" s="1"/>
  <c r="V56" i="69"/>
  <c r="V58" i="69" s="1"/>
  <c r="V59" i="69" s="1"/>
  <c r="V60" i="69" s="1"/>
  <c r="V61" i="69" s="1"/>
  <c r="E19" i="69"/>
  <c r="I19" i="69"/>
  <c r="M19" i="69"/>
  <c r="Q19" i="69"/>
  <c r="U19" i="69"/>
  <c r="C56" i="69"/>
  <c r="C58" i="69" s="1"/>
  <c r="C59" i="69" s="1"/>
  <c r="C60" i="69" s="1"/>
  <c r="C61" i="69" s="1"/>
  <c r="G56" i="69"/>
  <c r="G58" i="69" s="1"/>
  <c r="G59" i="69" s="1"/>
  <c r="G60" i="69" s="1"/>
  <c r="G61" i="69" s="1"/>
  <c r="K56" i="69"/>
  <c r="K58" i="69" s="1"/>
  <c r="K59" i="69" s="1"/>
  <c r="K60" i="69" s="1"/>
  <c r="K61" i="69" s="1"/>
  <c r="O56" i="69"/>
  <c r="O58" i="69" s="1"/>
  <c r="O59" i="69" s="1"/>
  <c r="O60" i="69" s="1"/>
  <c r="O61" i="69" s="1"/>
  <c r="S56" i="69"/>
  <c r="S58" i="69" s="1"/>
  <c r="S59" i="69" s="1"/>
  <c r="S60" i="69" s="1"/>
  <c r="S61" i="69" s="1"/>
  <c r="W56" i="69"/>
  <c r="W58" i="69" s="1"/>
  <c r="W59" i="69" s="1"/>
  <c r="W60" i="69" s="1"/>
  <c r="W61" i="69" s="1"/>
  <c r="H56" i="69"/>
  <c r="H58" i="69" s="1"/>
  <c r="H59" i="69" s="1"/>
  <c r="H60" i="69" s="1"/>
  <c r="H61" i="69" s="1"/>
  <c r="L56" i="69"/>
  <c r="L58" i="69" s="1"/>
  <c r="L59" i="69" s="1"/>
  <c r="L60" i="69" s="1"/>
  <c r="L61" i="69" s="1"/>
  <c r="P56" i="69"/>
  <c r="P58" i="69" s="1"/>
  <c r="P59" i="69" s="1"/>
  <c r="P60" i="69" s="1"/>
  <c r="P61" i="69" s="1"/>
  <c r="X56" i="69"/>
  <c r="X58" i="69" s="1"/>
  <c r="X59" i="69" s="1"/>
  <c r="X60" i="69" s="1"/>
  <c r="E56" i="69"/>
  <c r="E58" i="69" s="1"/>
  <c r="E59" i="69" s="1"/>
  <c r="E60" i="69" s="1"/>
  <c r="E61" i="69" s="1"/>
  <c r="I56" i="69"/>
  <c r="I58" i="69" s="1"/>
  <c r="I59" i="69" s="1"/>
  <c r="I60" i="69" s="1"/>
  <c r="I61" i="69" s="1"/>
  <c r="M56" i="69"/>
  <c r="M58" i="69" s="1"/>
  <c r="M59" i="69" s="1"/>
  <c r="M60" i="69" s="1"/>
  <c r="M61" i="69" s="1"/>
  <c r="Q56" i="69"/>
  <c r="Q58" i="69" s="1"/>
  <c r="Q59" i="69" s="1"/>
  <c r="Q60" i="69" s="1"/>
  <c r="Q61" i="69" s="1"/>
  <c r="U56" i="69"/>
  <c r="U58" i="69" s="1"/>
  <c r="U59" i="69" s="1"/>
  <c r="U60" i="69" s="1"/>
  <c r="U61" i="69" s="1"/>
  <c r="AR63" i="69"/>
  <c r="AS63" i="69" s="1"/>
  <c r="AT63" i="69" s="1"/>
  <c r="AU63" i="69" s="1"/>
  <c r="AV63" i="69" s="1"/>
  <c r="AW63" i="69" s="1"/>
  <c r="AX63" i="69" s="1"/>
  <c r="AY63" i="69" s="1"/>
  <c r="AZ63" i="69" s="1"/>
  <c r="AH63" i="69"/>
  <c r="AI63" i="69" s="1"/>
  <c r="AJ63" i="69" s="1"/>
  <c r="AK63" i="69" s="1"/>
  <c r="AL63" i="69" s="1"/>
  <c r="AM63" i="69" s="1"/>
  <c r="AN63" i="69" s="1"/>
  <c r="AO63" i="69" s="1"/>
  <c r="AP63" i="69" s="1"/>
  <c r="D120" i="65"/>
  <c r="D116" i="65"/>
  <c r="C93" i="65"/>
  <c r="D93" i="65" s="1"/>
  <c r="E93" i="65" s="1"/>
  <c r="F93" i="65" s="1"/>
  <c r="G93" i="65" s="1"/>
  <c r="H93" i="65" s="1"/>
  <c r="I93" i="65" s="1"/>
  <c r="J93" i="65" s="1"/>
  <c r="K93" i="65" s="1"/>
  <c r="L93" i="65" s="1"/>
  <c r="M93" i="65" s="1"/>
  <c r="N93" i="65" s="1"/>
  <c r="O93" i="65" s="1"/>
  <c r="P93" i="65" s="1"/>
  <c r="Q93" i="65" s="1"/>
  <c r="R93" i="65" s="1"/>
  <c r="S93" i="65" s="1"/>
  <c r="B102" i="65"/>
  <c r="AE120" i="65"/>
  <c r="B110" i="65"/>
  <c r="C121" i="65"/>
  <c r="C117" i="65"/>
  <c r="C113" i="65"/>
  <c r="U117" i="65"/>
  <c r="AE113" i="65"/>
  <c r="AE121" i="65"/>
  <c r="AE87" i="65"/>
  <c r="AF87" i="65" s="1"/>
  <c r="AG87" i="65" s="1"/>
  <c r="AH87" i="65" s="1"/>
  <c r="AI87" i="65" s="1"/>
  <c r="AJ87" i="65" s="1"/>
  <c r="AK87" i="65" s="1"/>
  <c r="AL87" i="65" s="1"/>
  <c r="AM87" i="65" s="1"/>
  <c r="U119" i="65"/>
  <c r="B103" i="65"/>
  <c r="B107" i="65"/>
  <c r="B111" i="65"/>
  <c r="U120" i="65"/>
  <c r="AE116" i="65"/>
  <c r="U112" i="65"/>
  <c r="U118" i="65"/>
  <c r="AE119" i="65"/>
  <c r="I43" i="65"/>
  <c r="E43" i="65"/>
  <c r="AB42" i="65"/>
  <c r="AE36" i="65"/>
  <c r="X42" i="65"/>
  <c r="J42" i="65"/>
  <c r="AC43" i="65"/>
  <c r="AA42" i="65"/>
  <c r="W42" i="65"/>
  <c r="AB43" i="65"/>
  <c r="X43" i="65"/>
  <c r="H43" i="65"/>
  <c r="D43" i="65"/>
  <c r="Y43" i="65"/>
  <c r="AD42" i="65"/>
  <c r="Z42" i="65"/>
  <c r="V42" i="65"/>
  <c r="AA43" i="65"/>
  <c r="W43" i="65"/>
  <c r="G43" i="65"/>
  <c r="C43" i="65"/>
  <c r="AC42" i="65"/>
  <c r="Y42" i="65"/>
  <c r="AD43" i="65"/>
  <c r="Z43" i="65"/>
  <c r="V43" i="65"/>
  <c r="F43" i="65"/>
  <c r="B43" i="65"/>
  <c r="C36" i="65"/>
  <c r="D36" i="65" s="1"/>
  <c r="E36" i="65" s="1"/>
  <c r="D37" i="65"/>
  <c r="AE37" i="65"/>
  <c r="AE42" i="65"/>
  <c r="S1300" i="67" l="1"/>
  <c r="AM1300" i="67"/>
  <c r="U1311" i="67"/>
  <c r="AK1311" i="67"/>
  <c r="S1312" i="67"/>
  <c r="AU1312" i="67"/>
  <c r="O1332" i="67"/>
  <c r="W1332" i="67"/>
  <c r="AE1332" i="67"/>
  <c r="AM1332" i="67"/>
  <c r="AU1332" i="67"/>
  <c r="Q1333" i="67"/>
  <c r="Y1333" i="67"/>
  <c r="AG1333" i="67"/>
  <c r="AO1333" i="67"/>
  <c r="AW1333" i="67"/>
  <c r="V1332" i="67"/>
  <c r="AD1332" i="67"/>
  <c r="AT1332" i="67"/>
  <c r="X1333" i="67"/>
  <c r="AV1333" i="67"/>
  <c r="AW1312" i="67"/>
  <c r="P1332" i="67"/>
  <c r="X1332" i="67"/>
  <c r="AF1332" i="67"/>
  <c r="AN1332" i="67"/>
  <c r="AV1332" i="67"/>
  <c r="R1333" i="67"/>
  <c r="Z1333" i="67"/>
  <c r="AH1333" i="67"/>
  <c r="AP1333" i="67"/>
  <c r="AC1332" i="67"/>
  <c r="O1333" i="67"/>
  <c r="AI1333" i="67"/>
  <c r="AG1332" i="67"/>
  <c r="AA1333" i="67"/>
  <c r="K1332" i="67"/>
  <c r="AW1311" i="67"/>
  <c r="M1332" i="67"/>
  <c r="AK1332" i="67"/>
  <c r="S1333" i="67"/>
  <c r="AQ1333" i="67"/>
  <c r="AW1365" i="67"/>
  <c r="N1332" i="67"/>
  <c r="AL1332" i="67"/>
  <c r="P1333" i="67"/>
  <c r="AF1333" i="67"/>
  <c r="AN1333" i="67"/>
  <c r="AW1300" i="67"/>
  <c r="L1332" i="67"/>
  <c r="T1332" i="67"/>
  <c r="AB1332" i="67"/>
  <c r="AJ1332" i="67"/>
  <c r="AR1332" i="67"/>
  <c r="N1333" i="67"/>
  <c r="V1333" i="67"/>
  <c r="AD1333" i="67"/>
  <c r="AL1333" i="67"/>
  <c r="AT1333" i="67"/>
  <c r="Q1332" i="67"/>
  <c r="AO1332" i="67"/>
  <c r="W1333" i="67"/>
  <c r="AU1333" i="67"/>
  <c r="K1333" i="67"/>
  <c r="U1332" i="67"/>
  <c r="AS1332" i="67"/>
  <c r="AM1333" i="67"/>
  <c r="Y1332" i="67"/>
  <c r="AW1332" i="67"/>
  <c r="AE1333" i="67"/>
  <c r="AF194" i="65"/>
  <c r="AF191" i="65"/>
  <c r="AF190" i="65"/>
  <c r="V190" i="65"/>
  <c r="V191" i="65"/>
  <c r="E191" i="65"/>
  <c r="E190" i="65"/>
  <c r="AG188" i="65"/>
  <c r="AF193" i="65"/>
  <c r="AF192" i="65"/>
  <c r="AF195" i="65"/>
  <c r="V192" i="65"/>
  <c r="V193" i="65"/>
  <c r="V194" i="65"/>
  <c r="V195" i="65"/>
  <c r="W188" i="65"/>
  <c r="F188" i="65"/>
  <c r="E192" i="65"/>
  <c r="E193" i="65"/>
  <c r="E194" i="65"/>
  <c r="E195" i="65"/>
  <c r="X61" i="69"/>
  <c r="AD41" i="70"/>
  <c r="D156" i="65"/>
  <c r="E156" i="65" s="1"/>
  <c r="V156" i="65"/>
  <c r="AF156" i="65"/>
  <c r="Y155" i="65"/>
  <c r="AG155" i="65"/>
  <c r="V154" i="65"/>
  <c r="L154" i="65"/>
  <c r="C106" i="65"/>
  <c r="D106" i="65" s="1"/>
  <c r="D90" i="65"/>
  <c r="E90" i="65" s="1"/>
  <c r="F90" i="65" s="1"/>
  <c r="G90" i="65" s="1"/>
  <c r="H90" i="65" s="1"/>
  <c r="I90" i="65" s="1"/>
  <c r="J90" i="65" s="1"/>
  <c r="K90" i="65" s="1"/>
  <c r="L90" i="65" s="1"/>
  <c r="C98" i="65"/>
  <c r="D115" i="65"/>
  <c r="AF115" i="65"/>
  <c r="AF117" i="65"/>
  <c r="AF114" i="65"/>
  <c r="AG114" i="65" s="1"/>
  <c r="V113" i="65"/>
  <c r="W113" i="65" s="1"/>
  <c r="V114" i="65"/>
  <c r="V115" i="65"/>
  <c r="AG83" i="70"/>
  <c r="AH42" i="70"/>
  <c r="AG77" i="70"/>
  <c r="AG61" i="70"/>
  <c r="V88" i="65"/>
  <c r="L88" i="65"/>
  <c r="AF88" i="65"/>
  <c r="AF90" i="65"/>
  <c r="V90" i="65"/>
  <c r="C104" i="65"/>
  <c r="C144" i="65" s="1"/>
  <c r="V116" i="65"/>
  <c r="AF118" i="65"/>
  <c r="C110" i="65"/>
  <c r="B150" i="65"/>
  <c r="C102" i="65"/>
  <c r="B142" i="65"/>
  <c r="C105" i="65"/>
  <c r="B145" i="65"/>
  <c r="C107" i="65"/>
  <c r="B147" i="65"/>
  <c r="D118" i="65"/>
  <c r="C111" i="65"/>
  <c r="B151" i="65"/>
  <c r="C103" i="65"/>
  <c r="B143" i="65"/>
  <c r="V121" i="65"/>
  <c r="D114" i="65"/>
  <c r="D112" i="65"/>
  <c r="C109" i="65"/>
  <c r="B149" i="65"/>
  <c r="U26" i="69"/>
  <c r="U20" i="69"/>
  <c r="U21" i="69" s="1"/>
  <c r="E26" i="69"/>
  <c r="E20" i="69"/>
  <c r="E21" i="69" s="1"/>
  <c r="W20" i="69"/>
  <c r="W21" i="69" s="1"/>
  <c r="W26" i="69"/>
  <c r="L20" i="69"/>
  <c r="L21" i="69" s="1"/>
  <c r="L26" i="69"/>
  <c r="Q26" i="69"/>
  <c r="Q20" i="69"/>
  <c r="Q21" i="69" s="1"/>
  <c r="O20" i="69"/>
  <c r="O21" i="69" s="1"/>
  <c r="O26" i="69"/>
  <c r="P20" i="69"/>
  <c r="P21" i="69" s="1"/>
  <c r="P26" i="69"/>
  <c r="M26" i="69"/>
  <c r="M20" i="69"/>
  <c r="M21" i="69" s="1"/>
  <c r="G20" i="69"/>
  <c r="G21" i="69" s="1"/>
  <c r="G26" i="69"/>
  <c r="T20" i="69"/>
  <c r="T21" i="69" s="1"/>
  <c r="T26" i="69"/>
  <c r="I26" i="69"/>
  <c r="I20" i="69"/>
  <c r="I21" i="69" s="1"/>
  <c r="X20" i="69"/>
  <c r="X21" i="69" s="1"/>
  <c r="X26" i="69"/>
  <c r="H20" i="69"/>
  <c r="H21" i="69" s="1"/>
  <c r="H26" i="69"/>
  <c r="AF116" i="65"/>
  <c r="V120" i="65"/>
  <c r="V118" i="65"/>
  <c r="V117" i="65"/>
  <c r="D113" i="65"/>
  <c r="C108" i="65"/>
  <c r="D121" i="65"/>
  <c r="AG112" i="65"/>
  <c r="E116" i="65"/>
  <c r="AF121" i="65"/>
  <c r="AF113" i="65"/>
  <c r="E119" i="65"/>
  <c r="E120" i="65"/>
  <c r="K42" i="65"/>
  <c r="AF36" i="65"/>
  <c r="AG36" i="65" s="1"/>
  <c r="G42" i="65"/>
  <c r="D42" i="65"/>
  <c r="AF119" i="65"/>
  <c r="V112" i="65"/>
  <c r="V119" i="65"/>
  <c r="D117" i="65"/>
  <c r="AF120" i="65"/>
  <c r="H42" i="65"/>
  <c r="E42" i="65"/>
  <c r="C42" i="65"/>
  <c r="F42" i="65"/>
  <c r="I42" i="65"/>
  <c r="K43" i="65"/>
  <c r="AE43" i="65"/>
  <c r="AF42" i="65"/>
  <c r="F36" i="65"/>
  <c r="E37" i="65"/>
  <c r="AF37" i="65"/>
  <c r="W191" i="65" l="1"/>
  <c r="W190" i="65"/>
  <c r="AG193" i="65"/>
  <c r="AG191" i="65"/>
  <c r="AG190" i="65"/>
  <c r="F190" i="65"/>
  <c r="F191" i="65"/>
  <c r="C101" i="65"/>
  <c r="AH188" i="65"/>
  <c r="AH192" i="65" s="1"/>
  <c r="AG192" i="65"/>
  <c r="AG194" i="65"/>
  <c r="AG195" i="65"/>
  <c r="G188" i="65"/>
  <c r="F192" i="65"/>
  <c r="F193" i="65"/>
  <c r="F194" i="65"/>
  <c r="F195" i="65"/>
  <c r="W195" i="65"/>
  <c r="W192" i="65"/>
  <c r="W193" i="65"/>
  <c r="W194" i="65"/>
  <c r="X188" i="65"/>
  <c r="AD47" i="70"/>
  <c r="AD45" i="70"/>
  <c r="AD82" i="70"/>
  <c r="AD85" i="70" s="1"/>
  <c r="W156" i="65"/>
  <c r="F156" i="65"/>
  <c r="AG156" i="65"/>
  <c r="C146" i="65"/>
  <c r="W115" i="65"/>
  <c r="AG117" i="65"/>
  <c r="AH155" i="65"/>
  <c r="Z155" i="65"/>
  <c r="M154" i="65"/>
  <c r="W154" i="65"/>
  <c r="D98" i="65"/>
  <c r="W121" i="65"/>
  <c r="W116" i="65"/>
  <c r="W114" i="65"/>
  <c r="AG115" i="65"/>
  <c r="AG118" i="65"/>
  <c r="E115" i="65"/>
  <c r="AH77" i="70"/>
  <c r="AH61" i="70"/>
  <c r="AH83" i="70"/>
  <c r="AI42" i="70"/>
  <c r="W90" i="65"/>
  <c r="AG88" i="65"/>
  <c r="M88" i="65"/>
  <c r="AG90" i="65"/>
  <c r="E114" i="65"/>
  <c r="F114" i="65" s="1"/>
  <c r="M90" i="65"/>
  <c r="W88" i="65"/>
  <c r="D104" i="65"/>
  <c r="E104" i="65" s="1"/>
  <c r="E144" i="65" s="1"/>
  <c r="L42" i="65"/>
  <c r="D103" i="65"/>
  <c r="C143" i="65"/>
  <c r="E118" i="65"/>
  <c r="E112" i="65"/>
  <c r="D111" i="65"/>
  <c r="C151" i="65"/>
  <c r="D107" i="65"/>
  <c r="C147" i="65"/>
  <c r="D109" i="65"/>
  <c r="C149" i="65"/>
  <c r="D105" i="65"/>
  <c r="C145" i="65"/>
  <c r="D102" i="65"/>
  <c r="C142" i="65"/>
  <c r="D108" i="65"/>
  <c r="C148" i="65"/>
  <c r="E106" i="65"/>
  <c r="D146" i="65"/>
  <c r="D110" i="65"/>
  <c r="C150" i="65"/>
  <c r="W112" i="65"/>
  <c r="AH114" i="65"/>
  <c r="X113" i="65"/>
  <c r="W117" i="65"/>
  <c r="AG119" i="65"/>
  <c r="F116" i="65"/>
  <c r="E117" i="65"/>
  <c r="W119" i="65"/>
  <c r="F119" i="65"/>
  <c r="AG121" i="65"/>
  <c r="AH112" i="65"/>
  <c r="E113" i="65"/>
  <c r="AG116" i="65"/>
  <c r="W120" i="65"/>
  <c r="AG120" i="65"/>
  <c r="F120" i="65"/>
  <c r="AG113" i="65"/>
  <c r="E121" i="65"/>
  <c r="W118" i="65"/>
  <c r="AF43" i="65"/>
  <c r="L43" i="65"/>
  <c r="AG42" i="65"/>
  <c r="AG37" i="65"/>
  <c r="G36" i="65"/>
  <c r="F37" i="65"/>
  <c r="AH36" i="65"/>
  <c r="C84" i="65" l="1"/>
  <c r="Z64" i="69"/>
  <c r="AH195" i="65"/>
  <c r="AH193" i="65"/>
  <c r="X191" i="65"/>
  <c r="X190" i="65"/>
  <c r="G191" i="65"/>
  <c r="G190" i="65"/>
  <c r="AH190" i="65"/>
  <c r="AH191" i="65"/>
  <c r="D101" i="65"/>
  <c r="AH194" i="65"/>
  <c r="AI188" i="65"/>
  <c r="AI194" i="65" s="1"/>
  <c r="X121" i="65"/>
  <c r="X115" i="65"/>
  <c r="Y115" i="65" s="1"/>
  <c r="AI195" i="65"/>
  <c r="Y188" i="65"/>
  <c r="X194" i="65"/>
  <c r="X192" i="65"/>
  <c r="X193" i="65"/>
  <c r="X195" i="65"/>
  <c r="H188" i="65"/>
  <c r="G192" i="65"/>
  <c r="G193" i="65"/>
  <c r="G194" i="65"/>
  <c r="G195" i="65"/>
  <c r="K362" i="67"/>
  <c r="AE41" i="68"/>
  <c r="B157" i="65"/>
  <c r="B169" i="65" s="1"/>
  <c r="AD46" i="70"/>
  <c r="AD48" i="70"/>
  <c r="AH117" i="65"/>
  <c r="AH156" i="65"/>
  <c r="X156" i="65"/>
  <c r="AH118" i="65"/>
  <c r="G156" i="65"/>
  <c r="AI155" i="65"/>
  <c r="X116" i="65"/>
  <c r="D144" i="65"/>
  <c r="AA155" i="65"/>
  <c r="X154" i="65"/>
  <c r="N154" i="65"/>
  <c r="E98" i="65"/>
  <c r="X114" i="65"/>
  <c r="F115" i="65"/>
  <c r="AH115" i="65"/>
  <c r="AI77" i="70"/>
  <c r="AI61" i="70"/>
  <c r="AI83" i="70"/>
  <c r="AJ42" i="70"/>
  <c r="X88" i="65"/>
  <c r="AH88" i="65"/>
  <c r="N90" i="65"/>
  <c r="AH90" i="65"/>
  <c r="F104" i="65"/>
  <c r="G104" i="65" s="1"/>
  <c r="N88" i="65"/>
  <c r="X90" i="65"/>
  <c r="M42" i="65"/>
  <c r="E102" i="65"/>
  <c r="D142" i="65"/>
  <c r="E108" i="65"/>
  <c r="D148" i="65"/>
  <c r="E109" i="65"/>
  <c r="D149" i="65"/>
  <c r="F112" i="65"/>
  <c r="E103" i="65"/>
  <c r="D143" i="65"/>
  <c r="E110" i="65"/>
  <c r="D150" i="65"/>
  <c r="F106" i="65"/>
  <c r="E146" i="65"/>
  <c r="E111" i="65"/>
  <c r="D151" i="65"/>
  <c r="E105" i="65"/>
  <c r="D145" i="65"/>
  <c r="E107" i="65"/>
  <c r="D147" i="65"/>
  <c r="F118" i="65"/>
  <c r="G120" i="65"/>
  <c r="X120" i="65"/>
  <c r="F113" i="65"/>
  <c r="F117" i="65"/>
  <c r="G114" i="65"/>
  <c r="AH119" i="65"/>
  <c r="Y113" i="65"/>
  <c r="AI114" i="65"/>
  <c r="X112" i="65"/>
  <c r="AH116" i="65"/>
  <c r="F121" i="65"/>
  <c r="G119" i="65"/>
  <c r="X118" i="65"/>
  <c r="AH113" i="65"/>
  <c r="AH120" i="65"/>
  <c r="AI112" i="65"/>
  <c r="AH121" i="65"/>
  <c r="X119" i="65"/>
  <c r="G116" i="65"/>
  <c r="X117" i="65"/>
  <c r="M43" i="65"/>
  <c r="AG43" i="65"/>
  <c r="AH42" i="65"/>
  <c r="G37" i="65"/>
  <c r="H36" i="65"/>
  <c r="AI36" i="65"/>
  <c r="AH37" i="65"/>
  <c r="D84" i="65" l="1"/>
  <c r="AA64" i="69"/>
  <c r="AI192" i="65"/>
  <c r="H191" i="65"/>
  <c r="H190" i="65"/>
  <c r="AJ188" i="65"/>
  <c r="AJ192" i="65" s="1"/>
  <c r="AI191" i="65"/>
  <c r="AI190" i="65"/>
  <c r="Y191" i="65"/>
  <c r="Y190" i="65"/>
  <c r="AI193" i="65"/>
  <c r="E101" i="65"/>
  <c r="Y121" i="65"/>
  <c r="K415" i="67"/>
  <c r="K411" i="67"/>
  <c r="K360" i="67"/>
  <c r="K407" i="67"/>
  <c r="K817" i="67"/>
  <c r="K567" i="67"/>
  <c r="K870" i="67"/>
  <c r="K563" i="67"/>
  <c r="K866" i="67"/>
  <c r="K559" i="67"/>
  <c r="K862" i="67"/>
  <c r="K512" i="67"/>
  <c r="K815" i="67"/>
  <c r="K209" i="67"/>
  <c r="K514" i="67"/>
  <c r="K105" i="67"/>
  <c r="K258" i="67"/>
  <c r="K101" i="67"/>
  <c r="K254" i="67"/>
  <c r="K54" i="67"/>
  <c r="K207" i="67"/>
  <c r="K109" i="67"/>
  <c r="K1325" i="67" s="1"/>
  <c r="K262" i="67"/>
  <c r="AE46" i="68"/>
  <c r="K56" i="67"/>
  <c r="K1272" i="67" s="1"/>
  <c r="K719" i="67"/>
  <c r="Z188" i="65"/>
  <c r="Y193" i="65"/>
  <c r="Y194" i="65"/>
  <c r="Y195" i="65"/>
  <c r="Y192" i="65"/>
  <c r="I188" i="65"/>
  <c r="H193" i="65"/>
  <c r="H195" i="65"/>
  <c r="H192" i="65"/>
  <c r="H194" i="65"/>
  <c r="AK188" i="65"/>
  <c r="AJ194" i="65"/>
  <c r="B158" i="65"/>
  <c r="B170" i="65" s="1"/>
  <c r="AI117" i="65"/>
  <c r="H156" i="65"/>
  <c r="Y156" i="65"/>
  <c r="AI118" i="65"/>
  <c r="AI156" i="65"/>
  <c r="Y116" i="65"/>
  <c r="AB155" i="65"/>
  <c r="AJ155" i="65"/>
  <c r="O154" i="65"/>
  <c r="Y154" i="65"/>
  <c r="F98" i="65"/>
  <c r="N42" i="65"/>
  <c r="G115" i="65"/>
  <c r="Y114" i="65"/>
  <c r="AI115" i="65"/>
  <c r="F144" i="65"/>
  <c r="AJ77" i="70"/>
  <c r="AJ61" i="70"/>
  <c r="AJ83" i="70"/>
  <c r="AK42" i="70"/>
  <c r="O88" i="65"/>
  <c r="Y90" i="65"/>
  <c r="AI90" i="65"/>
  <c r="AI88" i="65"/>
  <c r="O90" i="65"/>
  <c r="Y88" i="65"/>
  <c r="F105" i="65"/>
  <c r="E145" i="65"/>
  <c r="F111" i="65"/>
  <c r="E151" i="65"/>
  <c r="F110" i="65"/>
  <c r="E150" i="65"/>
  <c r="F108" i="65"/>
  <c r="E148" i="65"/>
  <c r="F107" i="65"/>
  <c r="E147" i="65"/>
  <c r="H104" i="65"/>
  <c r="G144" i="65"/>
  <c r="G106" i="65"/>
  <c r="F146" i="65"/>
  <c r="F103" i="65"/>
  <c r="E143" i="65"/>
  <c r="F109" i="65"/>
  <c r="E149" i="65"/>
  <c r="F102" i="65"/>
  <c r="E142" i="65"/>
  <c r="G118" i="65"/>
  <c r="G112" i="65"/>
  <c r="Z115" i="65"/>
  <c r="AI120" i="65"/>
  <c r="Y112" i="65"/>
  <c r="Z113" i="65"/>
  <c r="H114" i="65"/>
  <c r="G117" i="65"/>
  <c r="H120" i="65"/>
  <c r="AI119" i="65"/>
  <c r="H116" i="65"/>
  <c r="AI121" i="65"/>
  <c r="H119" i="65"/>
  <c r="G113" i="65"/>
  <c r="Y117" i="65"/>
  <c r="Y119" i="65"/>
  <c r="AJ112" i="65"/>
  <c r="AI113" i="65"/>
  <c r="Y118" i="65"/>
  <c r="G121" i="65"/>
  <c r="AI116" i="65"/>
  <c r="AJ114" i="65"/>
  <c r="Y120" i="65"/>
  <c r="AH43" i="65"/>
  <c r="N43" i="65"/>
  <c r="AI42" i="65"/>
  <c r="AI37" i="65"/>
  <c r="H37" i="65"/>
  <c r="AJ36" i="65"/>
  <c r="I36" i="65"/>
  <c r="E84" i="65" l="1"/>
  <c r="AB64" i="69"/>
  <c r="AJ195" i="65"/>
  <c r="AJ193" i="65"/>
  <c r="AK191" i="65"/>
  <c r="AK190" i="65"/>
  <c r="AJ191" i="65"/>
  <c r="AJ190" i="65"/>
  <c r="I191" i="65"/>
  <c r="I190" i="65"/>
  <c r="Z190" i="65"/>
  <c r="Z191" i="65"/>
  <c r="F101" i="65"/>
  <c r="Z121" i="65"/>
  <c r="K412" i="67"/>
  <c r="K408" i="67"/>
  <c r="K361" i="67"/>
  <c r="K513" i="67"/>
  <c r="K816" i="67"/>
  <c r="K560" i="67"/>
  <c r="K863" i="67"/>
  <c r="K564" i="67"/>
  <c r="K867" i="67"/>
  <c r="K106" i="67"/>
  <c r="K259" i="67"/>
  <c r="K102" i="67"/>
  <c r="K255" i="67"/>
  <c r="K55" i="67"/>
  <c r="K208" i="67"/>
  <c r="AJ118" i="65"/>
  <c r="AJ117" i="65"/>
  <c r="Z116" i="65"/>
  <c r="AA116" i="65" s="1"/>
  <c r="J188" i="65"/>
  <c r="I192" i="65"/>
  <c r="I193" i="65"/>
  <c r="I194" i="65"/>
  <c r="I195" i="65"/>
  <c r="AL188" i="65"/>
  <c r="AK193" i="65"/>
  <c r="AK194" i="65"/>
  <c r="AK195" i="65"/>
  <c r="AK192" i="65"/>
  <c r="AA188" i="65"/>
  <c r="Z192" i="65"/>
  <c r="Z193" i="65"/>
  <c r="Z194" i="65"/>
  <c r="Z195" i="65"/>
  <c r="I156" i="65"/>
  <c r="AJ156" i="65"/>
  <c r="Z156" i="65"/>
  <c r="AC155" i="65"/>
  <c r="AK155" i="65"/>
  <c r="Z154" i="65"/>
  <c r="P154" i="65"/>
  <c r="O42" i="65"/>
  <c r="G98" i="65"/>
  <c r="AJ115" i="65"/>
  <c r="H115" i="65"/>
  <c r="Z114" i="65"/>
  <c r="AK77" i="70"/>
  <c r="AK61" i="70"/>
  <c r="AK83" i="70"/>
  <c r="AL42" i="70"/>
  <c r="Z88" i="65"/>
  <c r="AJ88" i="65"/>
  <c r="Z90" i="65"/>
  <c r="P90" i="65"/>
  <c r="AJ90" i="65"/>
  <c r="P88" i="65"/>
  <c r="H118" i="65"/>
  <c r="G105" i="65"/>
  <c r="F145" i="65"/>
  <c r="G103" i="65"/>
  <c r="F143" i="65"/>
  <c r="G111" i="65"/>
  <c r="F151" i="65"/>
  <c r="G110" i="65"/>
  <c r="F150" i="65"/>
  <c r="H112" i="65"/>
  <c r="G102" i="65"/>
  <c r="F142" i="65"/>
  <c r="I104" i="65"/>
  <c r="H144" i="65"/>
  <c r="G108" i="65"/>
  <c r="F148" i="65"/>
  <c r="G109" i="65"/>
  <c r="F149" i="65"/>
  <c r="H106" i="65"/>
  <c r="G146" i="65"/>
  <c r="G107" i="65"/>
  <c r="F147" i="65"/>
  <c r="AJ113" i="65"/>
  <c r="Z119" i="65"/>
  <c r="AJ119" i="65"/>
  <c r="H117" i="65"/>
  <c r="AA113" i="65"/>
  <c r="AK114" i="65"/>
  <c r="H121" i="65"/>
  <c r="Z117" i="65"/>
  <c r="H113" i="65"/>
  <c r="I116" i="65"/>
  <c r="Z120" i="65"/>
  <c r="AJ116" i="65"/>
  <c r="Z118" i="65"/>
  <c r="AK112" i="65"/>
  <c r="I119" i="65"/>
  <c r="AJ121" i="65"/>
  <c r="I120" i="65"/>
  <c r="I114" i="65"/>
  <c r="Z112" i="65"/>
  <c r="AJ120" i="65"/>
  <c r="AA115" i="65"/>
  <c r="O43" i="65"/>
  <c r="AI43" i="65"/>
  <c r="AJ42" i="65"/>
  <c r="AK36" i="65"/>
  <c r="J36" i="65"/>
  <c r="I37" i="65"/>
  <c r="AJ37" i="65"/>
  <c r="F84" i="65" l="1"/>
  <c r="AC64" i="69"/>
  <c r="J190" i="65"/>
  <c r="J191" i="65"/>
  <c r="AA191" i="65"/>
  <c r="AA190" i="65"/>
  <c r="AL190" i="65"/>
  <c r="AL191" i="65"/>
  <c r="G101" i="65"/>
  <c r="AA121" i="65"/>
  <c r="AK118" i="65"/>
  <c r="AK117" i="65"/>
  <c r="AM188" i="65"/>
  <c r="AL192" i="65"/>
  <c r="AL193" i="65"/>
  <c r="AL194" i="65"/>
  <c r="AL195" i="65"/>
  <c r="AB188" i="65"/>
  <c r="AA195" i="65"/>
  <c r="AA192" i="65"/>
  <c r="AA193" i="65"/>
  <c r="AA194" i="65"/>
  <c r="J192" i="65"/>
  <c r="J193" i="65"/>
  <c r="J194" i="65"/>
  <c r="J195" i="65"/>
  <c r="K188" i="65"/>
  <c r="P42" i="65"/>
  <c r="J156" i="65"/>
  <c r="AK156" i="65"/>
  <c r="AA156" i="65"/>
  <c r="AL155" i="65"/>
  <c r="Q154" i="65"/>
  <c r="AA154" i="65"/>
  <c r="H98" i="65"/>
  <c r="I115" i="65"/>
  <c r="AA114" i="65"/>
  <c r="AK115" i="65"/>
  <c r="AL77" i="70"/>
  <c r="AL61" i="70"/>
  <c r="AL83" i="70"/>
  <c r="AM42" i="70"/>
  <c r="Q88" i="65"/>
  <c r="Q90" i="65"/>
  <c r="AK88" i="65"/>
  <c r="AK90" i="65"/>
  <c r="AA90" i="65"/>
  <c r="AA88" i="65"/>
  <c r="H103" i="65"/>
  <c r="G143" i="65"/>
  <c r="H105" i="65"/>
  <c r="G145" i="65"/>
  <c r="I106" i="65"/>
  <c r="H146" i="65"/>
  <c r="H110" i="65"/>
  <c r="G150" i="65"/>
  <c r="H102" i="65"/>
  <c r="G142" i="65"/>
  <c r="J104" i="65"/>
  <c r="I144" i="65"/>
  <c r="I112" i="65"/>
  <c r="H107" i="65"/>
  <c r="G147" i="65"/>
  <c r="H109" i="65"/>
  <c r="G149" i="65"/>
  <c r="H108" i="65"/>
  <c r="G148" i="65"/>
  <c r="I118" i="65"/>
  <c r="H111" i="65"/>
  <c r="G151" i="65"/>
  <c r="AB115" i="65"/>
  <c r="J120" i="65"/>
  <c r="AK121" i="65"/>
  <c r="AL112" i="65"/>
  <c r="AA120" i="65"/>
  <c r="AA117" i="65"/>
  <c r="AL114" i="65"/>
  <c r="AB113" i="65"/>
  <c r="AK119" i="65"/>
  <c r="AA112" i="65"/>
  <c r="AB121" i="65"/>
  <c r="AK116" i="65"/>
  <c r="J116" i="65"/>
  <c r="AA119" i="65"/>
  <c r="AK120" i="65"/>
  <c r="J114" i="65"/>
  <c r="J119" i="65"/>
  <c r="AA118" i="65"/>
  <c r="AB116" i="65"/>
  <c r="I113" i="65"/>
  <c r="I121" i="65"/>
  <c r="I117" i="65"/>
  <c r="AK113" i="65"/>
  <c r="AJ43" i="65"/>
  <c r="P43" i="65"/>
  <c r="AK42" i="65"/>
  <c r="AK37" i="65"/>
  <c r="K36" i="65"/>
  <c r="J37" i="65"/>
  <c r="AL36" i="65"/>
  <c r="G84" i="65" l="1"/>
  <c r="AD64" i="69"/>
  <c r="K191" i="65"/>
  <c r="K190" i="65"/>
  <c r="AB191" i="65"/>
  <c r="AB190" i="65"/>
  <c r="AM191" i="65"/>
  <c r="AM190" i="65"/>
  <c r="H101" i="65"/>
  <c r="AL118" i="65"/>
  <c r="AL117" i="65"/>
  <c r="Q42" i="65"/>
  <c r="AC188" i="65"/>
  <c r="AB194" i="65"/>
  <c r="AB192" i="65"/>
  <c r="AB193" i="65"/>
  <c r="AB195" i="65"/>
  <c r="L188" i="65"/>
  <c r="K192" i="65"/>
  <c r="K194" i="65"/>
  <c r="K195" i="65"/>
  <c r="K193" i="65"/>
  <c r="AM195" i="65"/>
  <c r="AM192" i="65"/>
  <c r="AM193" i="65"/>
  <c r="AM194" i="65"/>
  <c r="AB156" i="65"/>
  <c r="K156" i="65"/>
  <c r="AL156" i="65"/>
  <c r="AM155" i="65"/>
  <c r="AB154" i="65"/>
  <c r="R154" i="65"/>
  <c r="I98" i="65"/>
  <c r="AB114" i="65"/>
  <c r="AL115" i="65"/>
  <c r="J115" i="65"/>
  <c r="AM77" i="70"/>
  <c r="AM61" i="70"/>
  <c r="AM83" i="70"/>
  <c r="AN42" i="70"/>
  <c r="AB88" i="65"/>
  <c r="AL90" i="65"/>
  <c r="R90" i="65"/>
  <c r="AB90" i="65"/>
  <c r="AL88" i="65"/>
  <c r="R88" i="65"/>
  <c r="I107" i="65"/>
  <c r="H147" i="65"/>
  <c r="K104" i="65"/>
  <c r="J144" i="65"/>
  <c r="I102" i="65"/>
  <c r="H142" i="65"/>
  <c r="I105" i="65"/>
  <c r="H145" i="65"/>
  <c r="I111" i="65"/>
  <c r="H151" i="65"/>
  <c r="J106" i="65"/>
  <c r="I146" i="65"/>
  <c r="I103" i="65"/>
  <c r="H143" i="65"/>
  <c r="I108" i="65"/>
  <c r="H148" i="65"/>
  <c r="I110" i="65"/>
  <c r="H150" i="65"/>
  <c r="J118" i="65"/>
  <c r="I109" i="65"/>
  <c r="H149" i="65"/>
  <c r="J112" i="65"/>
  <c r="J113" i="65"/>
  <c r="AL120" i="65"/>
  <c r="AC121" i="65"/>
  <c r="AC113" i="65"/>
  <c r="AB117" i="65"/>
  <c r="K120" i="65"/>
  <c r="AC116" i="65"/>
  <c r="AM118" i="65"/>
  <c r="K116" i="65"/>
  <c r="AM112" i="65"/>
  <c r="AL113" i="65"/>
  <c r="J117" i="65"/>
  <c r="J121" i="65"/>
  <c r="AB118" i="65"/>
  <c r="K119" i="65"/>
  <c r="K114" i="65"/>
  <c r="AB119" i="65"/>
  <c r="AL116" i="65"/>
  <c r="AB112" i="65"/>
  <c r="AL119" i="65"/>
  <c r="AM114" i="65"/>
  <c r="AB120" i="65"/>
  <c r="AL121" i="65"/>
  <c r="AC115" i="65"/>
  <c r="Q43" i="65"/>
  <c r="AK43" i="65"/>
  <c r="AL42" i="65"/>
  <c r="L36" i="65"/>
  <c r="AM36" i="65"/>
  <c r="K37" i="65"/>
  <c r="AL37" i="65"/>
  <c r="H84" i="65" l="1"/>
  <c r="AE64" i="69"/>
  <c r="L191" i="65"/>
  <c r="L190" i="65"/>
  <c r="AC191" i="65"/>
  <c r="AC190" i="65"/>
  <c r="I101" i="65"/>
  <c r="AM117" i="65"/>
  <c r="R42" i="65"/>
  <c r="M188" i="65"/>
  <c r="L194" i="65"/>
  <c r="L195" i="65"/>
  <c r="L192" i="65"/>
  <c r="L193" i="65"/>
  <c r="AC193" i="65"/>
  <c r="AC194" i="65"/>
  <c r="AC195" i="65"/>
  <c r="AC192" i="65"/>
  <c r="L156" i="65"/>
  <c r="AC156" i="65"/>
  <c r="AM156" i="65"/>
  <c r="S154" i="65"/>
  <c r="AC154" i="65"/>
  <c r="J98" i="65"/>
  <c r="AM115" i="65"/>
  <c r="K115" i="65"/>
  <c r="AC114" i="65"/>
  <c r="AN83" i="70"/>
  <c r="AO42" i="70"/>
  <c r="AN77" i="70"/>
  <c r="AN61" i="70"/>
  <c r="S88" i="65"/>
  <c r="AC90" i="65"/>
  <c r="AM90" i="65"/>
  <c r="AM88" i="65"/>
  <c r="S90" i="65"/>
  <c r="AC88" i="65"/>
  <c r="K112" i="65"/>
  <c r="K118" i="65"/>
  <c r="J111" i="65"/>
  <c r="I151" i="65"/>
  <c r="J110" i="65"/>
  <c r="I150" i="65"/>
  <c r="J109" i="65"/>
  <c r="I149" i="65"/>
  <c r="J146" i="65"/>
  <c r="K106" i="65"/>
  <c r="J102" i="65"/>
  <c r="I142" i="65"/>
  <c r="J107" i="65"/>
  <c r="I147" i="65"/>
  <c r="J103" i="65"/>
  <c r="I143" i="65"/>
  <c r="J105" i="65"/>
  <c r="I145" i="65"/>
  <c r="L104" i="65"/>
  <c r="K144" i="65"/>
  <c r="J108" i="65"/>
  <c r="I148" i="65"/>
  <c r="L114" i="65"/>
  <c r="AC120" i="65"/>
  <c r="AM116" i="65"/>
  <c r="AC118" i="65"/>
  <c r="K117" i="65"/>
  <c r="AC117" i="65"/>
  <c r="L119" i="65"/>
  <c r="L116" i="65"/>
  <c r="L120" i="65"/>
  <c r="AM119" i="65"/>
  <c r="AM121" i="65"/>
  <c r="AC112" i="65"/>
  <c r="AC119" i="65"/>
  <c r="K121" i="65"/>
  <c r="AM113" i="65"/>
  <c r="AM120" i="65"/>
  <c r="K113" i="65"/>
  <c r="AM43" i="65"/>
  <c r="AL43" i="65"/>
  <c r="S43" i="65"/>
  <c r="R43" i="65"/>
  <c r="AM42" i="65"/>
  <c r="S42" i="65"/>
  <c r="AM37" i="65"/>
  <c r="L37" i="65"/>
  <c r="M36" i="65"/>
  <c r="I84" i="65" l="1"/>
  <c r="AF64" i="69"/>
  <c r="M191" i="65"/>
  <c r="M190" i="65"/>
  <c r="J101" i="65"/>
  <c r="N188" i="65"/>
  <c r="M193" i="65"/>
  <c r="M194" i="65"/>
  <c r="M195" i="65"/>
  <c r="M192" i="65"/>
  <c r="M156" i="65"/>
  <c r="K98" i="65"/>
  <c r="L115" i="65"/>
  <c r="AO83" i="70"/>
  <c r="AP42" i="70"/>
  <c r="AO77" i="70"/>
  <c r="AO61" i="70"/>
  <c r="K103" i="65"/>
  <c r="J143" i="65"/>
  <c r="M104" i="65"/>
  <c r="L144" i="65"/>
  <c r="K102" i="65"/>
  <c r="J142" i="65"/>
  <c r="K109" i="65"/>
  <c r="J149" i="65"/>
  <c r="L118" i="65"/>
  <c r="L106" i="65"/>
  <c r="K146" i="65"/>
  <c r="K110" i="65"/>
  <c r="J150" i="65"/>
  <c r="L112" i="65"/>
  <c r="K108" i="65"/>
  <c r="J148" i="65"/>
  <c r="K105" i="65"/>
  <c r="J145" i="65"/>
  <c r="K107" i="65"/>
  <c r="J147" i="65"/>
  <c r="K111" i="65"/>
  <c r="J151" i="65"/>
  <c r="L121" i="65"/>
  <c r="L117" i="65"/>
  <c r="M120" i="65"/>
  <c r="M119" i="65"/>
  <c r="L113" i="65"/>
  <c r="M116" i="65"/>
  <c r="M114" i="65"/>
  <c r="N36" i="65"/>
  <c r="M37" i="65"/>
  <c r="J84" i="65" l="1"/>
  <c r="AG64" i="69"/>
  <c r="N190" i="65"/>
  <c r="N191" i="65"/>
  <c r="K101" i="65"/>
  <c r="O188" i="65"/>
  <c r="N192" i="65"/>
  <c r="N193" i="65"/>
  <c r="N194" i="65"/>
  <c r="N195" i="65"/>
  <c r="N156" i="65"/>
  <c r="L98" i="65"/>
  <c r="M115" i="65"/>
  <c r="AP77" i="70"/>
  <c r="AP61" i="70"/>
  <c r="AP83" i="70"/>
  <c r="AQ42" i="70"/>
  <c r="N104" i="65"/>
  <c r="M144" i="65"/>
  <c r="L111" i="65"/>
  <c r="K151" i="65"/>
  <c r="L105" i="65"/>
  <c r="K145" i="65"/>
  <c r="L110" i="65"/>
  <c r="K150" i="65"/>
  <c r="M118" i="65"/>
  <c r="L102" i="65"/>
  <c r="K142" i="65"/>
  <c r="M106" i="65"/>
  <c r="L146" i="65"/>
  <c r="L109" i="65"/>
  <c r="K149" i="65"/>
  <c r="L103" i="65"/>
  <c r="K143" i="65"/>
  <c r="L107" i="65"/>
  <c r="K147" i="65"/>
  <c r="L108" i="65"/>
  <c r="K148" i="65"/>
  <c r="M112" i="65"/>
  <c r="M117" i="65"/>
  <c r="N114" i="65"/>
  <c r="M113" i="65"/>
  <c r="N120" i="65"/>
  <c r="N116" i="65"/>
  <c r="N119" i="65"/>
  <c r="M121" i="65"/>
  <c r="N37" i="65"/>
  <c r="O36" i="65"/>
  <c r="K84" i="65" l="1"/>
  <c r="AH64" i="69"/>
  <c r="O191" i="65"/>
  <c r="O190" i="65"/>
  <c r="L101" i="65"/>
  <c r="P188" i="65"/>
  <c r="O195" i="65"/>
  <c r="O192" i="65"/>
  <c r="O193" i="65"/>
  <c r="O194" i="65"/>
  <c r="O156" i="65"/>
  <c r="M98" i="65"/>
  <c r="N115" i="65"/>
  <c r="AQ77" i="70"/>
  <c r="AQ61" i="70"/>
  <c r="AQ83" i="70"/>
  <c r="AR42" i="70"/>
  <c r="N112" i="65"/>
  <c r="M107" i="65"/>
  <c r="L147" i="65"/>
  <c r="M109" i="65"/>
  <c r="L149" i="65"/>
  <c r="M111" i="65"/>
  <c r="L151" i="65"/>
  <c r="M103" i="65"/>
  <c r="L143" i="65"/>
  <c r="N106" i="65"/>
  <c r="M146" i="65"/>
  <c r="M102" i="65"/>
  <c r="L142" i="65"/>
  <c r="M110" i="65"/>
  <c r="L150" i="65"/>
  <c r="M105" i="65"/>
  <c r="L145" i="65"/>
  <c r="M108" i="65"/>
  <c r="L148" i="65"/>
  <c r="N118" i="65"/>
  <c r="O104" i="65"/>
  <c r="N144" i="65"/>
  <c r="O119" i="65"/>
  <c r="O116" i="65"/>
  <c r="O114" i="65"/>
  <c r="N121" i="65"/>
  <c r="N113" i="65"/>
  <c r="O120" i="65"/>
  <c r="N117" i="65"/>
  <c r="P36" i="65"/>
  <c r="O37" i="65"/>
  <c r="L84" i="65" l="1"/>
  <c r="AI64" i="69"/>
  <c r="P191" i="65"/>
  <c r="P190" i="65"/>
  <c r="M101" i="65"/>
  <c r="Q188" i="65"/>
  <c r="P194" i="65"/>
  <c r="P195" i="65"/>
  <c r="P192" i="65"/>
  <c r="P193" i="65"/>
  <c r="P156" i="65"/>
  <c r="N98" i="65"/>
  <c r="O115" i="65"/>
  <c r="AR83" i="70"/>
  <c r="AS42" i="70"/>
  <c r="AR77" i="70"/>
  <c r="AR61" i="70"/>
  <c r="O106" i="65"/>
  <c r="N146" i="65"/>
  <c r="P104" i="65"/>
  <c r="O144" i="65"/>
  <c r="N108" i="65"/>
  <c r="M148" i="65"/>
  <c r="N105" i="65"/>
  <c r="M145" i="65"/>
  <c r="N102" i="65"/>
  <c r="M142" i="65"/>
  <c r="N103" i="65"/>
  <c r="M143" i="65"/>
  <c r="N109" i="65"/>
  <c r="M149" i="65"/>
  <c r="N110" i="65"/>
  <c r="M150" i="65"/>
  <c r="N111" i="65"/>
  <c r="M151" i="65"/>
  <c r="N107" i="65"/>
  <c r="M147" i="65"/>
  <c r="O118" i="65"/>
  <c r="O112" i="65"/>
  <c r="P120" i="65"/>
  <c r="O121" i="65"/>
  <c r="P116" i="65"/>
  <c r="O117" i="65"/>
  <c r="O113" i="65"/>
  <c r="P114" i="65"/>
  <c r="P119" i="65"/>
  <c r="P37" i="65"/>
  <c r="Q36" i="65"/>
  <c r="M84" i="65" l="1"/>
  <c r="AJ64" i="69"/>
  <c r="Q191" i="65"/>
  <c r="Q190" i="65"/>
  <c r="N101" i="65"/>
  <c r="R188" i="65"/>
  <c r="Q193" i="65"/>
  <c r="Q194" i="65"/>
  <c r="Q195" i="65"/>
  <c r="Q192" i="65"/>
  <c r="Q156" i="65"/>
  <c r="O98" i="65"/>
  <c r="P115" i="65"/>
  <c r="AS83" i="70"/>
  <c r="AT42" i="70"/>
  <c r="AS77" i="70"/>
  <c r="AS61" i="70"/>
  <c r="P118" i="65"/>
  <c r="O110" i="65"/>
  <c r="N150" i="65"/>
  <c r="O109" i="65"/>
  <c r="N149" i="65"/>
  <c r="O102" i="65"/>
  <c r="N142" i="65"/>
  <c r="P106" i="65"/>
  <c r="O146" i="65"/>
  <c r="O107" i="65"/>
  <c r="N147" i="65"/>
  <c r="O108" i="65"/>
  <c r="N148" i="65"/>
  <c r="P112" i="65"/>
  <c r="O111" i="65"/>
  <c r="N151" i="65"/>
  <c r="O103" i="65"/>
  <c r="N143" i="65"/>
  <c r="O105" i="65"/>
  <c r="N145" i="65"/>
  <c r="Q104" i="65"/>
  <c r="P144" i="65"/>
  <c r="Q119" i="65"/>
  <c r="P113" i="65"/>
  <c r="P121" i="65"/>
  <c r="P117" i="65"/>
  <c r="Q114" i="65"/>
  <c r="Q116" i="65"/>
  <c r="Q120" i="65"/>
  <c r="R36" i="65"/>
  <c r="Q37" i="65"/>
  <c r="N84" i="65" l="1"/>
  <c r="AK64" i="69"/>
  <c r="R190" i="65"/>
  <c r="R191" i="65"/>
  <c r="O101" i="65"/>
  <c r="S188" i="65"/>
  <c r="R192" i="65"/>
  <c r="R193" i="65"/>
  <c r="R194" i="65"/>
  <c r="R195" i="65"/>
  <c r="R156" i="65"/>
  <c r="P98" i="65"/>
  <c r="Q115" i="65"/>
  <c r="AT83" i="70"/>
  <c r="AU42" i="70"/>
  <c r="AT77" i="70"/>
  <c r="AT61" i="70"/>
  <c r="P107" i="65"/>
  <c r="O147" i="65"/>
  <c r="P102" i="65"/>
  <c r="O142" i="65"/>
  <c r="P110" i="65"/>
  <c r="O150" i="65"/>
  <c r="P108" i="65"/>
  <c r="O148" i="65"/>
  <c r="Q106" i="65"/>
  <c r="P146" i="65"/>
  <c r="P109" i="65"/>
  <c r="O149" i="65"/>
  <c r="Q118" i="65"/>
  <c r="R104" i="65"/>
  <c r="Q144" i="65"/>
  <c r="P103" i="65"/>
  <c r="O143" i="65"/>
  <c r="Q112" i="65"/>
  <c r="P105" i="65"/>
  <c r="O145" i="65"/>
  <c r="P111" i="65"/>
  <c r="O151" i="65"/>
  <c r="R114" i="65"/>
  <c r="Q113" i="65"/>
  <c r="R120" i="65"/>
  <c r="Q121" i="65"/>
  <c r="R116" i="65"/>
  <c r="Q117" i="65"/>
  <c r="R119" i="65"/>
  <c r="R37" i="65"/>
  <c r="S36" i="65"/>
  <c r="O84" i="65" l="1"/>
  <c r="AL64" i="69"/>
  <c r="S191" i="65"/>
  <c r="S190" i="65"/>
  <c r="P101" i="65"/>
  <c r="S195" i="65"/>
  <c r="S192" i="65"/>
  <c r="S193" i="65"/>
  <c r="S194" i="65"/>
  <c r="S156" i="65"/>
  <c r="Q98" i="65"/>
  <c r="R115" i="65"/>
  <c r="AU83" i="70"/>
  <c r="AV42" i="70"/>
  <c r="AU77" i="70"/>
  <c r="AU61" i="70"/>
  <c r="Q103" i="65"/>
  <c r="P143" i="65"/>
  <c r="Q107" i="65"/>
  <c r="P147" i="65"/>
  <c r="R112" i="65"/>
  <c r="S104" i="65"/>
  <c r="R144" i="65"/>
  <c r="R118" i="65"/>
  <c r="R106" i="65"/>
  <c r="Q146" i="65"/>
  <c r="Q109" i="65"/>
  <c r="P149" i="65"/>
  <c r="Q108" i="65"/>
  <c r="P148" i="65"/>
  <c r="Q111" i="65"/>
  <c r="P151" i="65"/>
  <c r="Q110" i="65"/>
  <c r="P150" i="65"/>
  <c r="Q105" i="65"/>
  <c r="P145" i="65"/>
  <c r="Q102" i="65"/>
  <c r="P142" i="65"/>
  <c r="S119" i="65"/>
  <c r="R117" i="65"/>
  <c r="S116" i="65"/>
  <c r="S114" i="65"/>
  <c r="S120" i="65"/>
  <c r="R121" i="65"/>
  <c r="R113" i="65"/>
  <c r="S37" i="65"/>
  <c r="P84" i="65" l="1"/>
  <c r="AM64" i="69"/>
  <c r="Q101" i="65"/>
  <c r="R98" i="65"/>
  <c r="S115" i="65"/>
  <c r="AV83" i="70"/>
  <c r="AW42" i="70"/>
  <c r="AV77" i="70"/>
  <c r="AV61" i="70"/>
  <c r="R111" i="65"/>
  <c r="Q151" i="65"/>
  <c r="S118" i="65"/>
  <c r="S112" i="65"/>
  <c r="R107" i="65"/>
  <c r="Q147" i="65"/>
  <c r="R103" i="65"/>
  <c r="Q143" i="65"/>
  <c r="R105" i="65"/>
  <c r="Q145" i="65"/>
  <c r="R108" i="65"/>
  <c r="Q148" i="65"/>
  <c r="S106" i="65"/>
  <c r="R146" i="65"/>
  <c r="T104" i="65"/>
  <c r="S144" i="65"/>
  <c r="R102" i="65"/>
  <c r="Q142" i="65"/>
  <c r="R110" i="65"/>
  <c r="Q150" i="65"/>
  <c r="R109" i="65"/>
  <c r="Q149" i="65"/>
  <c r="S121" i="65"/>
  <c r="S117" i="65"/>
  <c r="S113" i="65"/>
  <c r="Q84" i="65" l="1"/>
  <c r="AN64" i="69"/>
  <c r="R101" i="65"/>
  <c r="S98" i="65"/>
  <c r="AW83" i="70"/>
  <c r="AX42" i="70"/>
  <c r="AW77" i="70"/>
  <c r="AW61" i="70"/>
  <c r="S110" i="65"/>
  <c r="R150" i="65"/>
  <c r="T106" i="65"/>
  <c r="S146" i="65"/>
  <c r="S103" i="65"/>
  <c r="R143" i="65"/>
  <c r="S111" i="65"/>
  <c r="R151" i="65"/>
  <c r="S105" i="65"/>
  <c r="R145" i="65"/>
  <c r="S109" i="65"/>
  <c r="R149" i="65"/>
  <c r="S102" i="65"/>
  <c r="R142" i="65"/>
  <c r="U104" i="65"/>
  <c r="T144" i="65"/>
  <c r="S108" i="65"/>
  <c r="R148" i="65"/>
  <c r="S107" i="65"/>
  <c r="R147" i="65"/>
  <c r="R84" i="65" l="1"/>
  <c r="AO64" i="69"/>
  <c r="S101" i="65"/>
  <c r="T98" i="65"/>
  <c r="AX83" i="70"/>
  <c r="AY42" i="70"/>
  <c r="AX77" i="70"/>
  <c r="AX61" i="70"/>
  <c r="T102" i="65"/>
  <c r="S142" i="65"/>
  <c r="T110" i="65"/>
  <c r="S150" i="65"/>
  <c r="T107" i="65"/>
  <c r="S147" i="65"/>
  <c r="V104" i="65"/>
  <c r="U144" i="65"/>
  <c r="T109" i="65"/>
  <c r="S149" i="65"/>
  <c r="T108" i="65"/>
  <c r="S148" i="65"/>
  <c r="T103" i="65"/>
  <c r="S143" i="65"/>
  <c r="T105" i="65"/>
  <c r="S145" i="65"/>
  <c r="T111" i="65"/>
  <c r="S151" i="65"/>
  <c r="U106" i="65"/>
  <c r="T146" i="65"/>
  <c r="S84" i="65" l="1"/>
  <c r="AP64" i="69"/>
  <c r="T101" i="65"/>
  <c r="U98" i="65"/>
  <c r="AY83" i="70"/>
  <c r="AZ42" i="70"/>
  <c r="AY77" i="70"/>
  <c r="AY61" i="70"/>
  <c r="V106" i="65"/>
  <c r="U146" i="65"/>
  <c r="T145" i="65"/>
  <c r="U105" i="65"/>
  <c r="U108" i="65"/>
  <c r="T148" i="65"/>
  <c r="W104" i="65"/>
  <c r="V144" i="65"/>
  <c r="U110" i="65"/>
  <c r="T150" i="65"/>
  <c r="U111" i="65"/>
  <c r="T151" i="65"/>
  <c r="U103" i="65"/>
  <c r="T143" i="65"/>
  <c r="T149" i="65"/>
  <c r="U109" i="65"/>
  <c r="U107" i="65"/>
  <c r="T147" i="65"/>
  <c r="U102" i="65"/>
  <c r="T142" i="65"/>
  <c r="T84" i="65" l="1"/>
  <c r="AQ64" i="69"/>
  <c r="U101" i="65"/>
  <c r="V98" i="65"/>
  <c r="AZ83" i="70"/>
  <c r="BA42" i="70"/>
  <c r="AZ77" i="70"/>
  <c r="AZ61" i="70"/>
  <c r="V109" i="65"/>
  <c r="U149" i="65"/>
  <c r="V102" i="65"/>
  <c r="U142" i="65"/>
  <c r="X104" i="65"/>
  <c r="W144" i="65"/>
  <c r="V105" i="65"/>
  <c r="U145" i="65"/>
  <c r="V111" i="65"/>
  <c r="U151" i="65"/>
  <c r="V107" i="65"/>
  <c r="U147" i="65"/>
  <c r="V103" i="65"/>
  <c r="U143" i="65"/>
  <c r="V110" i="65"/>
  <c r="U150" i="65"/>
  <c r="V108" i="65"/>
  <c r="U148" i="65"/>
  <c r="W106" i="65"/>
  <c r="V146" i="65"/>
  <c r="U84" i="65" l="1"/>
  <c r="AR64" i="69"/>
  <c r="V101" i="65"/>
  <c r="W98" i="65"/>
  <c r="BA83" i="70"/>
  <c r="BB42" i="70"/>
  <c r="BA77" i="70"/>
  <c r="BA61" i="70"/>
  <c r="W110" i="65"/>
  <c r="V150" i="65"/>
  <c r="W102" i="65"/>
  <c r="V142" i="65"/>
  <c r="X106" i="65"/>
  <c r="W146" i="65"/>
  <c r="W107" i="65"/>
  <c r="V147" i="65"/>
  <c r="W105" i="65"/>
  <c r="V145" i="65"/>
  <c r="W108" i="65"/>
  <c r="V148" i="65"/>
  <c r="W103" i="65"/>
  <c r="V143" i="65"/>
  <c r="W111" i="65"/>
  <c r="V151" i="65"/>
  <c r="Y104" i="65"/>
  <c r="X144" i="65"/>
  <c r="W109" i="65"/>
  <c r="V149" i="65"/>
  <c r="V84" i="65" l="1"/>
  <c r="AS64" i="69"/>
  <c r="W101" i="65"/>
  <c r="X98" i="65"/>
  <c r="BB83" i="70"/>
  <c r="BC42" i="70"/>
  <c r="BB77" i="70"/>
  <c r="BB61" i="70"/>
  <c r="X109" i="65"/>
  <c r="W149" i="65"/>
  <c r="X108" i="65"/>
  <c r="W148" i="65"/>
  <c r="X102" i="65"/>
  <c r="W142" i="65"/>
  <c r="X111" i="65"/>
  <c r="W151" i="65"/>
  <c r="X107" i="65"/>
  <c r="W147" i="65"/>
  <c r="Z104" i="65"/>
  <c r="Y144" i="65"/>
  <c r="X103" i="65"/>
  <c r="W143" i="65"/>
  <c r="X105" i="65"/>
  <c r="W145" i="65"/>
  <c r="Y106" i="65"/>
  <c r="X146" i="65"/>
  <c r="X110" i="65"/>
  <c r="W150" i="65"/>
  <c r="W84" i="65" l="1"/>
  <c r="AT64" i="69"/>
  <c r="X101" i="65"/>
  <c r="Y98" i="65"/>
  <c r="BC83" i="70"/>
  <c r="BD42" i="70"/>
  <c r="BC77" i="70"/>
  <c r="BC61" i="70"/>
  <c r="Y105" i="65"/>
  <c r="X145" i="65"/>
  <c r="Y111" i="65"/>
  <c r="X151" i="65"/>
  <c r="Y110" i="65"/>
  <c r="X150" i="65"/>
  <c r="AA104" i="65"/>
  <c r="Z144" i="65"/>
  <c r="Y108" i="65"/>
  <c r="X148" i="65"/>
  <c r="Z106" i="65"/>
  <c r="Y146" i="65"/>
  <c r="Y103" i="65"/>
  <c r="X143" i="65"/>
  <c r="Y107" i="65"/>
  <c r="X147" i="65"/>
  <c r="Y102" i="65"/>
  <c r="X142" i="65"/>
  <c r="Y109" i="65"/>
  <c r="X149" i="65"/>
  <c r="X84" i="65" l="1"/>
  <c r="AU64" i="69"/>
  <c r="Y101" i="65"/>
  <c r="Z98" i="65"/>
  <c r="BD83" i="70"/>
  <c r="BE42" i="70"/>
  <c r="BD77" i="70"/>
  <c r="BD61" i="70"/>
  <c r="Z109" i="65"/>
  <c r="Y149" i="65"/>
  <c r="Z107" i="65"/>
  <c r="Y147" i="65"/>
  <c r="AB104" i="65"/>
  <c r="AA144" i="65"/>
  <c r="AA106" i="65"/>
  <c r="Z146" i="65"/>
  <c r="Z111" i="65"/>
  <c r="Y151" i="65"/>
  <c r="Z102" i="65"/>
  <c r="Y142" i="65"/>
  <c r="Z103" i="65"/>
  <c r="Y143" i="65"/>
  <c r="Z108" i="65"/>
  <c r="Y148" i="65"/>
  <c r="Z110" i="65"/>
  <c r="Y150" i="65"/>
  <c r="Z105" i="65"/>
  <c r="Y145" i="65"/>
  <c r="Y84" i="65" l="1"/>
  <c r="AV64" i="69"/>
  <c r="Z101" i="65"/>
  <c r="AA98" i="65"/>
  <c r="BE83" i="70"/>
  <c r="BF42" i="70"/>
  <c r="BE77" i="70"/>
  <c r="BE61" i="70"/>
  <c r="AA108" i="65"/>
  <c r="Z148" i="65"/>
  <c r="AA102" i="65"/>
  <c r="Z142" i="65"/>
  <c r="AB106" i="65"/>
  <c r="AA146" i="65"/>
  <c r="AA107" i="65"/>
  <c r="Z147" i="65"/>
  <c r="AA105" i="65"/>
  <c r="Z145" i="65"/>
  <c r="AA110" i="65"/>
  <c r="Z150" i="65"/>
  <c r="AA103" i="65"/>
  <c r="Z143" i="65"/>
  <c r="AA111" i="65"/>
  <c r="Z151" i="65"/>
  <c r="AC104" i="65"/>
  <c r="AB144" i="65"/>
  <c r="AA109" i="65"/>
  <c r="Z149" i="65"/>
  <c r="Z84" i="65" l="1"/>
  <c r="AW64" i="69"/>
  <c r="AA101" i="65"/>
  <c r="AB98" i="65"/>
  <c r="BF83" i="70"/>
  <c r="BG42" i="70"/>
  <c r="BF77" i="70"/>
  <c r="BF61" i="70"/>
  <c r="AB111" i="65"/>
  <c r="AA151" i="65"/>
  <c r="AB109" i="65"/>
  <c r="AA149" i="65"/>
  <c r="AB110" i="65"/>
  <c r="AA150" i="65"/>
  <c r="AB107" i="65"/>
  <c r="AA147" i="65"/>
  <c r="AB102" i="65"/>
  <c r="AA142" i="65"/>
  <c r="AD104" i="65"/>
  <c r="AC144" i="65"/>
  <c r="AB103" i="65"/>
  <c r="AA143" i="65"/>
  <c r="AB105" i="65"/>
  <c r="AA145" i="65"/>
  <c r="AC106" i="65"/>
  <c r="AB146" i="65"/>
  <c r="AB108" i="65"/>
  <c r="AA148" i="65"/>
  <c r="AA84" i="65" l="1"/>
  <c r="AX64" i="69"/>
  <c r="AB101" i="65"/>
  <c r="AC98" i="65"/>
  <c r="BG83" i="70"/>
  <c r="BH42" i="70"/>
  <c r="BG77" i="70"/>
  <c r="BG61" i="70"/>
  <c r="AC108" i="65"/>
  <c r="AB148" i="65"/>
  <c r="AC105" i="65"/>
  <c r="AB145" i="65"/>
  <c r="AE104" i="65"/>
  <c r="AD144" i="65"/>
  <c r="AC107" i="65"/>
  <c r="AB147" i="65"/>
  <c r="AC109" i="65"/>
  <c r="AB149" i="65"/>
  <c r="AD106" i="65"/>
  <c r="AC146" i="65"/>
  <c r="AC103" i="65"/>
  <c r="AB143" i="65"/>
  <c r="AC102" i="65"/>
  <c r="AB142" i="65"/>
  <c r="AC110" i="65"/>
  <c r="AB150" i="65"/>
  <c r="AC111" i="65"/>
  <c r="AB151" i="65"/>
  <c r="AB84" i="65" l="1"/>
  <c r="AY64" i="69"/>
  <c r="AC101" i="65"/>
  <c r="AD98" i="65"/>
  <c r="BH83" i="70"/>
  <c r="BI42" i="70"/>
  <c r="BH77" i="70"/>
  <c r="BH61" i="70"/>
  <c r="AD111" i="65"/>
  <c r="AC151" i="65"/>
  <c r="AD102" i="65"/>
  <c r="AC142" i="65"/>
  <c r="AE106" i="65"/>
  <c r="AD146" i="65"/>
  <c r="AD107" i="65"/>
  <c r="AC147" i="65"/>
  <c r="AD105" i="65"/>
  <c r="AC145" i="65"/>
  <c r="AD110" i="65"/>
  <c r="AC150" i="65"/>
  <c r="AD103" i="65"/>
  <c r="AC143" i="65"/>
  <c r="AD109" i="65"/>
  <c r="AC149" i="65"/>
  <c r="AF104" i="65"/>
  <c r="AE144" i="65"/>
  <c r="AD108" i="65"/>
  <c r="AC148" i="65"/>
  <c r="AC84" i="65" l="1"/>
  <c r="AZ64" i="69"/>
  <c r="AD101" i="65"/>
  <c r="AE98" i="65"/>
  <c r="BI83" i="70"/>
  <c r="BJ42" i="70"/>
  <c r="BI77" i="70"/>
  <c r="BI61" i="70"/>
  <c r="AE108" i="65"/>
  <c r="AD148" i="65"/>
  <c r="AE109" i="65"/>
  <c r="AD149" i="65"/>
  <c r="AE110" i="65"/>
  <c r="AD150" i="65"/>
  <c r="AE107" i="65"/>
  <c r="AD147" i="65"/>
  <c r="AE102" i="65"/>
  <c r="AD142" i="65"/>
  <c r="AG104" i="65"/>
  <c r="AF144" i="65"/>
  <c r="AE103" i="65"/>
  <c r="AD143" i="65"/>
  <c r="AE105" i="65"/>
  <c r="AD145" i="65"/>
  <c r="AF106" i="65"/>
  <c r="AE146" i="65"/>
  <c r="AE111" i="65"/>
  <c r="AD151" i="65"/>
  <c r="AD84" i="65" l="1"/>
  <c r="BA64" i="69"/>
  <c r="AE101" i="65"/>
  <c r="AF98" i="65"/>
  <c r="BJ83" i="70"/>
  <c r="BK42" i="70"/>
  <c r="BJ77" i="70"/>
  <c r="BJ61" i="70"/>
  <c r="AF105" i="65"/>
  <c r="AE145" i="65"/>
  <c r="AF109" i="65"/>
  <c r="AE149" i="65"/>
  <c r="AF111" i="65"/>
  <c r="AE151" i="65"/>
  <c r="AH104" i="65"/>
  <c r="AG144" i="65"/>
  <c r="AF107" i="65"/>
  <c r="AE147" i="65"/>
  <c r="AG106" i="65"/>
  <c r="AF146" i="65"/>
  <c r="AF103" i="65"/>
  <c r="AE143" i="65"/>
  <c r="AF102" i="65"/>
  <c r="AE142" i="65"/>
  <c r="AF110" i="65"/>
  <c r="AE150" i="65"/>
  <c r="AF108" i="65"/>
  <c r="AE148" i="65"/>
  <c r="AE84" i="65" l="1"/>
  <c r="BB64" i="69"/>
  <c r="AF101" i="65"/>
  <c r="AG98" i="65"/>
  <c r="BK83" i="70"/>
  <c r="BL42" i="70"/>
  <c r="BK77" i="70"/>
  <c r="BK61" i="70"/>
  <c r="AG108" i="65"/>
  <c r="AF148" i="65"/>
  <c r="AG102" i="65"/>
  <c r="AF142" i="65"/>
  <c r="AH106" i="65"/>
  <c r="AG146" i="65"/>
  <c r="AI104" i="65"/>
  <c r="AH144" i="65"/>
  <c r="AG109" i="65"/>
  <c r="AF149" i="65"/>
  <c r="AG110" i="65"/>
  <c r="AF150" i="65"/>
  <c r="AG103" i="65"/>
  <c r="AF143" i="65"/>
  <c r="AG107" i="65"/>
  <c r="AF147" i="65"/>
  <c r="AG111" i="65"/>
  <c r="AF151" i="65"/>
  <c r="AG105" i="65"/>
  <c r="AF145" i="65"/>
  <c r="AF84" i="65" l="1"/>
  <c r="BC64" i="69"/>
  <c r="AG101" i="65"/>
  <c r="AH98" i="65"/>
  <c r="BL83" i="70"/>
  <c r="BM42" i="70"/>
  <c r="BL77" i="70"/>
  <c r="BL61" i="70"/>
  <c r="AH107" i="65"/>
  <c r="AG147" i="65"/>
  <c r="AH110" i="65"/>
  <c r="AG150" i="65"/>
  <c r="AJ104" i="65"/>
  <c r="AI144" i="65"/>
  <c r="AH102" i="65"/>
  <c r="AG142" i="65"/>
  <c r="AH105" i="65"/>
  <c r="AG145" i="65"/>
  <c r="AH111" i="65"/>
  <c r="AG151" i="65"/>
  <c r="AH103" i="65"/>
  <c r="AG143" i="65"/>
  <c r="AH109" i="65"/>
  <c r="AG149" i="65"/>
  <c r="AI106" i="65"/>
  <c r="AH146" i="65"/>
  <c r="AH108" i="65"/>
  <c r="AG148" i="65"/>
  <c r="AG84" i="65" l="1"/>
  <c r="BD64" i="69"/>
  <c r="AH101" i="65"/>
  <c r="AI98" i="65"/>
  <c r="BM83" i="70"/>
  <c r="BN42" i="70"/>
  <c r="BM77" i="70"/>
  <c r="BM61" i="70"/>
  <c r="AI109" i="65"/>
  <c r="AH149" i="65"/>
  <c r="AI110" i="65"/>
  <c r="AH150" i="65"/>
  <c r="AI108" i="65"/>
  <c r="AH148" i="65"/>
  <c r="AI111" i="65"/>
  <c r="AH151" i="65"/>
  <c r="AI102" i="65"/>
  <c r="AH142" i="65"/>
  <c r="AJ106" i="65"/>
  <c r="AI146" i="65"/>
  <c r="AI103" i="65"/>
  <c r="AH143" i="65"/>
  <c r="AI105" i="65"/>
  <c r="AH145" i="65"/>
  <c r="AK104" i="65"/>
  <c r="AJ144" i="65"/>
  <c r="AI107" i="65"/>
  <c r="AH147" i="65"/>
  <c r="AH84" i="65" l="1"/>
  <c r="BE64" i="69"/>
  <c r="AI101" i="65"/>
  <c r="AJ98" i="65"/>
  <c r="BN83" i="70"/>
  <c r="BO42" i="70"/>
  <c r="BN77" i="70"/>
  <c r="BN61" i="70"/>
  <c r="AJ105" i="65"/>
  <c r="AI145" i="65"/>
  <c r="AJ111" i="65"/>
  <c r="AI151" i="65"/>
  <c r="AJ107" i="65"/>
  <c r="AI147" i="65"/>
  <c r="AK106" i="65"/>
  <c r="AJ146" i="65"/>
  <c r="AJ110" i="65"/>
  <c r="AI150" i="65"/>
  <c r="AL104" i="65"/>
  <c r="AK144" i="65"/>
  <c r="AJ103" i="65"/>
  <c r="AI143" i="65"/>
  <c r="AJ102" i="65"/>
  <c r="AI142" i="65"/>
  <c r="AJ108" i="65"/>
  <c r="AI148" i="65"/>
  <c r="AJ109" i="65"/>
  <c r="AI149" i="65"/>
  <c r="AI84" i="65" l="1"/>
  <c r="BF64" i="69"/>
  <c r="AJ101" i="65"/>
  <c r="AK98" i="65"/>
  <c r="BO83" i="70"/>
  <c r="BP42" i="70"/>
  <c r="BP83" i="70" s="1"/>
  <c r="BO77" i="70"/>
  <c r="BO61" i="70"/>
  <c r="AK109" i="65"/>
  <c r="AJ149" i="65"/>
  <c r="AK102" i="65"/>
  <c r="AJ142" i="65"/>
  <c r="AM104" i="65"/>
  <c r="AL144" i="65"/>
  <c r="AL106" i="65"/>
  <c r="AK146" i="65"/>
  <c r="AK111" i="65"/>
  <c r="AJ151" i="65"/>
  <c r="AK108" i="65"/>
  <c r="AJ148" i="65"/>
  <c r="AK103" i="65"/>
  <c r="AJ143" i="65"/>
  <c r="AK110" i="65"/>
  <c r="AJ150" i="65"/>
  <c r="AK107" i="65"/>
  <c r="AJ147" i="65"/>
  <c r="AK105" i="65"/>
  <c r="AJ145" i="65"/>
  <c r="AJ84" i="65" l="1"/>
  <c r="BG64" i="69"/>
  <c r="AK101" i="65"/>
  <c r="AL98" i="65"/>
  <c r="BP77" i="70"/>
  <c r="BP61" i="70"/>
  <c r="AL110" i="65"/>
  <c r="AK150" i="65"/>
  <c r="AL102" i="65"/>
  <c r="AK142" i="65"/>
  <c r="AL105" i="65"/>
  <c r="AK145" i="65"/>
  <c r="AL108" i="65"/>
  <c r="AK148" i="65"/>
  <c r="AM106" i="65"/>
  <c r="AL146" i="65"/>
  <c r="AL107" i="65"/>
  <c r="AK147" i="65"/>
  <c r="AL103" i="65"/>
  <c r="AK143" i="65"/>
  <c r="AL111" i="65"/>
  <c r="AK151" i="65"/>
  <c r="AN104" i="65"/>
  <c r="AN144" i="65" s="1"/>
  <c r="AM144" i="65"/>
  <c r="AL109" i="65"/>
  <c r="AK149" i="65"/>
  <c r="AK84" i="65" l="1"/>
  <c r="BH64" i="69"/>
  <c r="AL101" i="65"/>
  <c r="AM98" i="65"/>
  <c r="AM109" i="65"/>
  <c r="AL149" i="65"/>
  <c r="AM111" i="65"/>
  <c r="AL151" i="65"/>
  <c r="AM107" i="65"/>
  <c r="AL147" i="65"/>
  <c r="AM108" i="65"/>
  <c r="AL148" i="65"/>
  <c r="AM102" i="65"/>
  <c r="AL142" i="65"/>
  <c r="AM103" i="65"/>
  <c r="AL143" i="65"/>
  <c r="AN106" i="65"/>
  <c r="AN146" i="65" s="1"/>
  <c r="AM146" i="65"/>
  <c r="AM105" i="65"/>
  <c r="AL145" i="65"/>
  <c r="AM110" i="65"/>
  <c r="AL150" i="65"/>
  <c r="AL84" i="65" l="1"/>
  <c r="BI64" i="69"/>
  <c r="AM101" i="65"/>
  <c r="AN98" i="65"/>
  <c r="AN105" i="65"/>
  <c r="AN145" i="65" s="1"/>
  <c r="AM145" i="65"/>
  <c r="AN103" i="65"/>
  <c r="AN143" i="65" s="1"/>
  <c r="AM143" i="65"/>
  <c r="AN108" i="65"/>
  <c r="AN148" i="65" s="1"/>
  <c r="AM148" i="65"/>
  <c r="AN111" i="65"/>
  <c r="AN151" i="65" s="1"/>
  <c r="AM151" i="65"/>
  <c r="AN110" i="65"/>
  <c r="AN150" i="65" s="1"/>
  <c r="AM150" i="65"/>
  <c r="AN102" i="65"/>
  <c r="AN142" i="65" s="1"/>
  <c r="AM142" i="65"/>
  <c r="AN107" i="65"/>
  <c r="AN147" i="65" s="1"/>
  <c r="AM147" i="65"/>
  <c r="AN109" i="65"/>
  <c r="AN149" i="65" s="1"/>
  <c r="AM149" i="65"/>
  <c r="AM84" i="65" l="1"/>
  <c r="BJ64" i="69"/>
  <c r="AN101" i="65"/>
  <c r="P5" i="33"/>
  <c r="P6" i="33"/>
  <c r="P7" i="33"/>
  <c r="P8" i="33"/>
  <c r="P9" i="33"/>
  <c r="P10" i="33"/>
  <c r="P11" i="33"/>
  <c r="P12" i="33"/>
  <c r="P13" i="33"/>
  <c r="P14" i="33"/>
  <c r="R14" i="33" s="1"/>
  <c r="T14" i="33" s="1"/>
  <c r="P15" i="33"/>
  <c r="P16" i="33"/>
  <c r="P17" i="33"/>
  <c r="L5" i="33"/>
  <c r="L6" i="33"/>
  <c r="L7" i="33"/>
  <c r="L8" i="33"/>
  <c r="L9" i="33"/>
  <c r="L10" i="33"/>
  <c r="L11" i="33"/>
  <c r="L12" i="33"/>
  <c r="L13" i="33"/>
  <c r="L14" i="33"/>
  <c r="L15" i="33"/>
  <c r="L16" i="33"/>
  <c r="L17" i="33"/>
  <c r="B25" i="65"/>
  <c r="I18" i="66"/>
  <c r="I17" i="66"/>
  <c r="I16" i="66"/>
  <c r="I14" i="66"/>
  <c r="I13" i="66"/>
  <c r="I12" i="66"/>
  <c r="I11" i="66"/>
  <c r="I10" i="66"/>
  <c r="J158" i="67"/>
  <c r="I158" i="67"/>
  <c r="AN14" i="65"/>
  <c r="AN13" i="65"/>
  <c r="AN12" i="65"/>
  <c r="AD14" i="65"/>
  <c r="AD13" i="65"/>
  <c r="AD12" i="65"/>
  <c r="T14" i="65"/>
  <c r="T13" i="65"/>
  <c r="T12" i="65"/>
  <c r="B14" i="65"/>
  <c r="B13" i="65"/>
  <c r="B12" i="65"/>
  <c r="F8" i="67"/>
  <c r="AN84" i="65" l="1"/>
  <c r="BK64" i="69"/>
  <c r="C13" i="65"/>
  <c r="C14" i="65"/>
  <c r="C12" i="65"/>
  <c r="R4" i="33"/>
  <c r="T4" i="33" s="1"/>
  <c r="R9" i="33"/>
  <c r="T9" i="33" s="1"/>
  <c r="R5" i="33"/>
  <c r="T5" i="33" s="1"/>
  <c r="R11" i="33"/>
  <c r="T11" i="33" s="1"/>
  <c r="R16" i="33"/>
  <c r="T16" i="33" s="1"/>
  <c r="R7" i="33"/>
  <c r="T7" i="33" s="1"/>
  <c r="R15" i="33"/>
  <c r="T15" i="33" s="1"/>
  <c r="R13" i="33"/>
  <c r="T13" i="33" s="1"/>
  <c r="R10" i="33"/>
  <c r="T10" i="33" s="1"/>
  <c r="R8" i="33"/>
  <c r="T8" i="33" s="1"/>
  <c r="R12" i="33"/>
  <c r="T12" i="33" s="1"/>
  <c r="R17" i="33"/>
  <c r="T17" i="33" s="1"/>
  <c r="R6" i="33"/>
  <c r="T6" i="33" s="1"/>
  <c r="I159" i="67"/>
  <c r="J159" i="67"/>
  <c r="U13" i="65"/>
  <c r="AE14" i="65"/>
  <c r="AE13" i="65"/>
  <c r="AE12" i="65"/>
  <c r="U14" i="65"/>
  <c r="U12" i="65"/>
  <c r="G9" i="67"/>
  <c r="F9" i="67"/>
  <c r="G7" i="67"/>
  <c r="F7" i="67"/>
  <c r="G6" i="67"/>
  <c r="F6" i="67"/>
  <c r="J5" i="67"/>
  <c r="I5" i="67"/>
  <c r="G5" i="67"/>
  <c r="F5" i="67"/>
  <c r="H4" i="67"/>
  <c r="H5" i="67" s="1"/>
  <c r="H6" i="67" s="1"/>
  <c r="G4" i="67"/>
  <c r="F4" i="67"/>
  <c r="E4" i="67"/>
  <c r="E5" i="67" s="1"/>
  <c r="E6" i="67" s="1"/>
  <c r="E7" i="67" s="1"/>
  <c r="E8" i="67" s="1"/>
  <c r="E157" i="67" s="1"/>
  <c r="E159" i="67" s="1"/>
  <c r="E161" i="67" s="1"/>
  <c r="D4" i="67"/>
  <c r="D5" i="67" s="1"/>
  <c r="D6" i="67" s="1"/>
  <c r="D7" i="67" s="1"/>
  <c r="AJ76" i="68"/>
  <c r="AI76" i="68"/>
  <c r="AH76" i="68"/>
  <c r="AG76" i="68"/>
  <c r="AF76" i="68"/>
  <c r="AE76" i="68"/>
  <c r="AD76" i="68"/>
  <c r="AC76" i="68"/>
  <c r="AB76" i="68"/>
  <c r="AA76" i="68"/>
  <c r="Z76" i="68"/>
  <c r="Y76" i="68"/>
  <c r="X76" i="68"/>
  <c r="W76" i="68"/>
  <c r="V76" i="68"/>
  <c r="U76" i="68"/>
  <c r="T76" i="68"/>
  <c r="S76" i="68"/>
  <c r="R76" i="68"/>
  <c r="Q76" i="68"/>
  <c r="P76" i="68"/>
  <c r="O76" i="68"/>
  <c r="N76" i="68"/>
  <c r="M76" i="68"/>
  <c r="L76" i="68"/>
  <c r="K76" i="68"/>
  <c r="J76" i="68"/>
  <c r="I76" i="68"/>
  <c r="G65" i="68"/>
  <c r="G63" i="68"/>
  <c r="G62" i="68"/>
  <c r="G61" i="68"/>
  <c r="F54" i="68"/>
  <c r="F53" i="68"/>
  <c r="E53" i="68"/>
  <c r="E54" i="68" s="1"/>
  <c r="E52" i="68"/>
  <c r="E67" i="68" s="1"/>
  <c r="F51" i="68"/>
  <c r="F50" i="68"/>
  <c r="E50" i="68"/>
  <c r="E51" i="68" s="1"/>
  <c r="E49" i="68"/>
  <c r="E66" i="68" s="1"/>
  <c r="F48" i="68"/>
  <c r="F47" i="68"/>
  <c r="F46" i="68"/>
  <c r="H45" i="68"/>
  <c r="H46" i="68" s="1"/>
  <c r="H47" i="68" s="1"/>
  <c r="H48" i="68" s="1"/>
  <c r="G45" i="68"/>
  <c r="G46" i="68" s="1"/>
  <c r="G47" i="68" s="1"/>
  <c r="G48" i="68" s="1"/>
  <c r="F45" i="68"/>
  <c r="F44" i="68"/>
  <c r="E44" i="68"/>
  <c r="E45" i="68" s="1"/>
  <c r="E46" i="68" s="1"/>
  <c r="E47" i="68" s="1"/>
  <c r="E48" i="68" s="1"/>
  <c r="E43" i="68"/>
  <c r="E65" i="68" s="1"/>
  <c r="H42" i="68"/>
  <c r="G42" i="68"/>
  <c r="G64" i="68" s="1"/>
  <c r="E42" i="68"/>
  <c r="E64" i="68" s="1"/>
  <c r="E41" i="68"/>
  <c r="E63" i="68" s="1"/>
  <c r="F40" i="68"/>
  <c r="F39" i="68"/>
  <c r="F38" i="68"/>
  <c r="F37" i="68"/>
  <c r="H36" i="68"/>
  <c r="H37" i="68" s="1"/>
  <c r="H38" i="68" s="1"/>
  <c r="H39" i="68" s="1"/>
  <c r="H40" i="68" s="1"/>
  <c r="G36" i="68"/>
  <c r="G37" i="68" s="1"/>
  <c r="G38" i="68" s="1"/>
  <c r="G39" i="68" s="1"/>
  <c r="G40" i="68" s="1"/>
  <c r="F36" i="68"/>
  <c r="F35" i="68"/>
  <c r="E35" i="68"/>
  <c r="E36" i="68" s="1"/>
  <c r="E37" i="68" s="1"/>
  <c r="E38" i="68" s="1"/>
  <c r="E39" i="68" s="1"/>
  <c r="E40" i="68" s="1"/>
  <c r="E34" i="68"/>
  <c r="E62" i="68" s="1"/>
  <c r="F33" i="68"/>
  <c r="F32" i="68"/>
  <c r="F31" i="68"/>
  <c r="F30" i="68"/>
  <c r="H29" i="68"/>
  <c r="H30" i="68" s="1"/>
  <c r="H31" i="68" s="1"/>
  <c r="H32" i="68" s="1"/>
  <c r="H33" i="68" s="1"/>
  <c r="G29" i="68"/>
  <c r="G30" i="68" s="1"/>
  <c r="G31" i="68" s="1"/>
  <c r="G32" i="68" s="1"/>
  <c r="G33" i="68" s="1"/>
  <c r="F29" i="68"/>
  <c r="F28" i="68"/>
  <c r="E28" i="68"/>
  <c r="E29" i="68" s="1"/>
  <c r="E30" i="68" s="1"/>
  <c r="E31" i="68" s="1"/>
  <c r="E32" i="68" s="1"/>
  <c r="E33" i="68" s="1"/>
  <c r="D28" i="68"/>
  <c r="D29" i="68" s="1"/>
  <c r="D30" i="68" s="1"/>
  <c r="D31" i="68" s="1"/>
  <c r="D32" i="68" s="1"/>
  <c r="D33" i="68" s="1"/>
  <c r="E27" i="68"/>
  <c r="E61" i="68" s="1"/>
  <c r="D27" i="68"/>
  <c r="D61" i="68" s="1"/>
  <c r="H21" i="68"/>
  <c r="H22" i="68" s="1"/>
  <c r="H23" i="68" s="1"/>
  <c r="H24" i="68" s="1"/>
  <c r="H25" i="68" s="1"/>
  <c r="H26" i="68" s="1"/>
  <c r="H19" i="68" s="1"/>
  <c r="G21" i="68"/>
  <c r="G22" i="68" s="1"/>
  <c r="G23" i="68" s="1"/>
  <c r="G24" i="68" s="1"/>
  <c r="G25" i="68" s="1"/>
  <c r="G26" i="68" s="1"/>
  <c r="G19" i="68" s="1"/>
  <c r="G60" i="68" s="1"/>
  <c r="E20" i="68"/>
  <c r="E21" i="68" s="1"/>
  <c r="E22" i="68" s="1"/>
  <c r="E23" i="68" s="1"/>
  <c r="E24" i="68" s="1"/>
  <c r="E25" i="68" s="1"/>
  <c r="E26" i="68" s="1"/>
  <c r="E19" i="68" s="1"/>
  <c r="E60" i="68" s="1"/>
  <c r="F18" i="68"/>
  <c r="F26" i="68" s="1"/>
  <c r="F17" i="68"/>
  <c r="F25" i="68" s="1"/>
  <c r="F16" i="68"/>
  <c r="F24" i="68" s="1"/>
  <c r="F15" i="68"/>
  <c r="F23" i="68" s="1"/>
  <c r="F14" i="68"/>
  <c r="F22" i="68" s="1"/>
  <c r="F13" i="68"/>
  <c r="F21" i="68" s="1"/>
  <c r="F12" i="68"/>
  <c r="F20" i="68" s="1"/>
  <c r="E12" i="68"/>
  <c r="E13" i="68" s="1"/>
  <c r="E14" i="68" s="1"/>
  <c r="E15" i="68" s="1"/>
  <c r="E16" i="68" s="1"/>
  <c r="E17" i="68" s="1"/>
  <c r="E18" i="68" s="1"/>
  <c r="E11" i="68" s="1"/>
  <c r="E59" i="68" s="1"/>
  <c r="F10" i="68"/>
  <c r="F9" i="68"/>
  <c r="F8" i="68"/>
  <c r="F7" i="68"/>
  <c r="H6" i="68"/>
  <c r="H7" i="68" s="1"/>
  <c r="H8" i="68" s="1"/>
  <c r="H9" i="68" s="1"/>
  <c r="H10" i="68" s="1"/>
  <c r="G6" i="68"/>
  <c r="G7" i="68" s="1"/>
  <c r="G8" i="68" s="1"/>
  <c r="G9" i="68" s="1"/>
  <c r="G10" i="68" s="1"/>
  <c r="F6" i="68"/>
  <c r="F5" i="68"/>
  <c r="E5" i="68"/>
  <c r="E6" i="68" s="1"/>
  <c r="E7" i="68" s="1"/>
  <c r="E8" i="68" s="1"/>
  <c r="E9" i="68" s="1"/>
  <c r="E10" i="68" s="1"/>
  <c r="E4" i="68" s="1"/>
  <c r="E58" i="68" s="1"/>
  <c r="D5" i="68"/>
  <c r="D6" i="68" s="1"/>
  <c r="D7" i="68" s="1"/>
  <c r="D8" i="68" s="1"/>
  <c r="D9" i="68" s="1"/>
  <c r="D10" i="68" s="1"/>
  <c r="F1547" i="67"/>
  <c r="F1548" i="67" s="1"/>
  <c r="G1546" i="67"/>
  <c r="G1562" i="67" s="1"/>
  <c r="G1545" i="67"/>
  <c r="G1561" i="67" s="1"/>
  <c r="G1544" i="67"/>
  <c r="G1560" i="67" s="1"/>
  <c r="G1543" i="67"/>
  <c r="G1559" i="67" s="1"/>
  <c r="G1542" i="67"/>
  <c r="G1558" i="67" s="1"/>
  <c r="G1541" i="67"/>
  <c r="G1557" i="67" s="1"/>
  <c r="G1540" i="67"/>
  <c r="G1556" i="67" s="1"/>
  <c r="G1539" i="67"/>
  <c r="G1555" i="67" s="1"/>
  <c r="G1538" i="67"/>
  <c r="G1554" i="67" s="1"/>
  <c r="G1537" i="67"/>
  <c r="G1553" i="67" s="1"/>
  <c r="G1536" i="67"/>
  <c r="G1552" i="67" s="1"/>
  <c r="G1535" i="67"/>
  <c r="G1551" i="67" s="1"/>
  <c r="G1534" i="67"/>
  <c r="G1550" i="67" s="1"/>
  <c r="G1533" i="67"/>
  <c r="G1549" i="67" s="1"/>
  <c r="G1532" i="67"/>
  <c r="G1548" i="67" s="1"/>
  <c r="G1531" i="67"/>
  <c r="G1547" i="67" s="1"/>
  <c r="F1531" i="67"/>
  <c r="E1531" i="67"/>
  <c r="E1532" i="67" s="1"/>
  <c r="E1533" i="67" s="1"/>
  <c r="E1534" i="67" s="1"/>
  <c r="E1535" i="67" s="1"/>
  <c r="E1536" i="67" s="1"/>
  <c r="E1537" i="67" s="1"/>
  <c r="E1538" i="67" s="1"/>
  <c r="E1539" i="67" s="1"/>
  <c r="E1540" i="67" s="1"/>
  <c r="E1541" i="67" s="1"/>
  <c r="E1542" i="67" s="1"/>
  <c r="E1543" i="67" s="1"/>
  <c r="E1544" i="67" s="1"/>
  <c r="E1545" i="67" s="1"/>
  <c r="E1546" i="67" s="1"/>
  <c r="E1547" i="67" s="1"/>
  <c r="E1548" i="67" s="1"/>
  <c r="E1549" i="67" s="1"/>
  <c r="E1550" i="67" s="1"/>
  <c r="E1551" i="67" s="1"/>
  <c r="E1552" i="67" s="1"/>
  <c r="E1553" i="67" s="1"/>
  <c r="E1554" i="67" s="1"/>
  <c r="E1555" i="67" s="1"/>
  <c r="E1556" i="67" s="1"/>
  <c r="E1557" i="67" s="1"/>
  <c r="E1558" i="67" s="1"/>
  <c r="E1559" i="67" s="1"/>
  <c r="E1560" i="67" s="1"/>
  <c r="E1561" i="67" s="1"/>
  <c r="E1562" i="67" s="1"/>
  <c r="G1530" i="67"/>
  <c r="G1529" i="67"/>
  <c r="G1528" i="67"/>
  <c r="G1527" i="67"/>
  <c r="G1526" i="67"/>
  <c r="G1525" i="67"/>
  <c r="G1524" i="67"/>
  <c r="G1523" i="67"/>
  <c r="G1522" i="67"/>
  <c r="G1521" i="67"/>
  <c r="G1520" i="67"/>
  <c r="G1519" i="67"/>
  <c r="E1519" i="67"/>
  <c r="E1520" i="67" s="1"/>
  <c r="E1521" i="67" s="1"/>
  <c r="E1522" i="67" s="1"/>
  <c r="E1523" i="67" s="1"/>
  <c r="E1524" i="67" s="1"/>
  <c r="E1525" i="67" s="1"/>
  <c r="E1526" i="67" s="1"/>
  <c r="E1527" i="67" s="1"/>
  <c r="E1528" i="67" s="1"/>
  <c r="E1529" i="67" s="1"/>
  <c r="E1530" i="67" s="1"/>
  <c r="G1517" i="67"/>
  <c r="G1516" i="67"/>
  <c r="G1515" i="67"/>
  <c r="G1514" i="67"/>
  <c r="F1514" i="67"/>
  <c r="F1515" i="67" s="1"/>
  <c r="F1510" i="67"/>
  <c r="F1511" i="67" s="1"/>
  <c r="E1510" i="67"/>
  <c r="E1511" i="67" s="1"/>
  <c r="E1512" i="67" s="1"/>
  <c r="E1513" i="67" s="1"/>
  <c r="E1514" i="67" s="1"/>
  <c r="E1515" i="67" s="1"/>
  <c r="E1516" i="67" s="1"/>
  <c r="E1517" i="67" s="1"/>
  <c r="E1518" i="67" s="1"/>
  <c r="G1509" i="67"/>
  <c r="H1509" i="67" s="1"/>
  <c r="G1508" i="67"/>
  <c r="H1508" i="67" s="1"/>
  <c r="G1507" i="67"/>
  <c r="H1507" i="67" s="1"/>
  <c r="G1506" i="67"/>
  <c r="H1506" i="67" s="1"/>
  <c r="G1505" i="67"/>
  <c r="H1505" i="67" s="1"/>
  <c r="G1504" i="67"/>
  <c r="H1504" i="67" s="1"/>
  <c r="G1503" i="67"/>
  <c r="H1503" i="67" s="1"/>
  <c r="G1502" i="67"/>
  <c r="H1502" i="67" s="1"/>
  <c r="G1501" i="67"/>
  <c r="H1501" i="67" s="1"/>
  <c r="G1500" i="67"/>
  <c r="H1500" i="67" s="1"/>
  <c r="G1499" i="67"/>
  <c r="H1499" i="67" s="1"/>
  <c r="G1498" i="67"/>
  <c r="H1498" i="67" s="1"/>
  <c r="G1481" i="67"/>
  <c r="G1497" i="67" s="1"/>
  <c r="H1497" i="67" s="1"/>
  <c r="G1480" i="67"/>
  <c r="G1496" i="67" s="1"/>
  <c r="H1496" i="67" s="1"/>
  <c r="G1479" i="67"/>
  <c r="G1495" i="67" s="1"/>
  <c r="H1495" i="67" s="1"/>
  <c r="G1478" i="67"/>
  <c r="G1494" i="67" s="1"/>
  <c r="H1494" i="67" s="1"/>
  <c r="AW678" i="67"/>
  <c r="AW1284" i="67" s="1"/>
  <c r="AV678" i="67"/>
  <c r="AV1284" i="67" s="1"/>
  <c r="AU678" i="67"/>
  <c r="AU1284" i="67" s="1"/>
  <c r="AT678" i="67"/>
  <c r="AT1284" i="67" s="1"/>
  <c r="AS678" i="67"/>
  <c r="AS1284" i="67" s="1"/>
  <c r="AR678" i="67"/>
  <c r="AR1284" i="67" s="1"/>
  <c r="AQ678" i="67"/>
  <c r="AQ1284" i="67" s="1"/>
  <c r="AP678" i="67"/>
  <c r="AP1284" i="67" s="1"/>
  <c r="AO678" i="67"/>
  <c r="AO1284" i="67" s="1"/>
  <c r="AN678" i="67"/>
  <c r="AN1284" i="67" s="1"/>
  <c r="AM678" i="67"/>
  <c r="AM1284" i="67" s="1"/>
  <c r="AL678" i="67"/>
  <c r="AL1284" i="67" s="1"/>
  <c r="AK678" i="67"/>
  <c r="AK1284" i="67" s="1"/>
  <c r="AJ678" i="67"/>
  <c r="AJ1284" i="67" s="1"/>
  <c r="AI678" i="67"/>
  <c r="AI1284" i="67" s="1"/>
  <c r="AH678" i="67"/>
  <c r="AH1284" i="67" s="1"/>
  <c r="AG678" i="67"/>
  <c r="AG1284" i="67" s="1"/>
  <c r="AF678" i="67"/>
  <c r="AF1284" i="67" s="1"/>
  <c r="AE678" i="67"/>
  <c r="AE1284" i="67" s="1"/>
  <c r="AD678" i="67"/>
  <c r="AD1284" i="67" s="1"/>
  <c r="AC678" i="67"/>
  <c r="AC1284" i="67" s="1"/>
  <c r="AB678" i="67"/>
  <c r="AB1284" i="67" s="1"/>
  <c r="AA678" i="67"/>
  <c r="AA1284" i="67" s="1"/>
  <c r="Z678" i="67"/>
  <c r="Z1284" i="67" s="1"/>
  <c r="Y678" i="67"/>
  <c r="Y1284" i="67" s="1"/>
  <c r="X678" i="67"/>
  <c r="X1284" i="67" s="1"/>
  <c r="W678" i="67"/>
  <c r="W1284" i="67" s="1"/>
  <c r="V678" i="67"/>
  <c r="V1284" i="67" s="1"/>
  <c r="U678" i="67"/>
  <c r="U1284" i="67" s="1"/>
  <c r="T678" i="67"/>
  <c r="T1284" i="67" s="1"/>
  <c r="S678" i="67"/>
  <c r="S1284" i="67" s="1"/>
  <c r="R678" i="67"/>
  <c r="R1284" i="67" s="1"/>
  <c r="Q678" i="67"/>
  <c r="Q1284" i="67" s="1"/>
  <c r="P678" i="67"/>
  <c r="P1284" i="67" s="1"/>
  <c r="O678" i="67"/>
  <c r="O1284" i="67" s="1"/>
  <c r="N678" i="67"/>
  <c r="N1284" i="67" s="1"/>
  <c r="M678" i="67"/>
  <c r="M1284" i="67" s="1"/>
  <c r="L678" i="67"/>
  <c r="L1284" i="67" s="1"/>
  <c r="K678" i="67"/>
  <c r="K1284" i="67" s="1"/>
  <c r="G1477" i="67"/>
  <c r="G1493" i="67" s="1"/>
  <c r="H1493" i="67" s="1"/>
  <c r="G1476" i="67"/>
  <c r="G1492" i="67" s="1"/>
  <c r="H1492" i="67" s="1"/>
  <c r="G1475" i="67"/>
  <c r="G1491" i="67" s="1"/>
  <c r="H1491" i="67" s="1"/>
  <c r="G1474" i="67"/>
  <c r="G1490" i="67" s="1"/>
  <c r="H1490" i="67" s="1"/>
  <c r="G1473" i="67"/>
  <c r="G1489" i="67" s="1"/>
  <c r="H1489" i="67" s="1"/>
  <c r="G1472" i="67"/>
  <c r="G1488" i="67" s="1"/>
  <c r="H1488" i="67" s="1"/>
  <c r="G1471" i="67"/>
  <c r="G1487" i="67" s="1"/>
  <c r="H1487" i="67" s="1"/>
  <c r="G1470" i="67"/>
  <c r="G1486" i="67" s="1"/>
  <c r="H1486" i="67" s="1"/>
  <c r="G1469" i="67"/>
  <c r="G1485" i="67" s="1"/>
  <c r="H1485" i="67" s="1"/>
  <c r="G1468" i="67"/>
  <c r="G1484" i="67" s="1"/>
  <c r="H1484" i="67" s="1"/>
  <c r="G1467" i="67"/>
  <c r="G1483" i="67" s="1"/>
  <c r="H1483" i="67" s="1"/>
  <c r="F1467" i="67"/>
  <c r="G1466" i="67"/>
  <c r="H1466" i="67" s="1"/>
  <c r="J1464" i="67"/>
  <c r="J1465" i="67" s="1"/>
  <c r="I1464" i="67"/>
  <c r="I1465" i="67" s="1"/>
  <c r="E1463" i="67"/>
  <c r="E1464" i="67" s="1"/>
  <c r="E1462" i="67"/>
  <c r="E1461" i="67"/>
  <c r="G1460" i="67"/>
  <c r="G1459" i="67"/>
  <c r="G1458" i="67"/>
  <c r="G1457" i="67"/>
  <c r="G1456" i="67"/>
  <c r="G1455" i="67"/>
  <c r="G1454" i="67"/>
  <c r="G1453" i="67"/>
  <c r="G1452" i="67"/>
  <c r="G1451" i="67"/>
  <c r="J1451" i="67"/>
  <c r="J1452" i="67" s="1"/>
  <c r="J1453" i="67" s="1"/>
  <c r="J1454" i="67" s="1"/>
  <c r="J1455" i="67" s="1"/>
  <c r="J1456" i="67" s="1"/>
  <c r="J1457" i="67" s="1"/>
  <c r="J1458" i="67" s="1"/>
  <c r="J1459" i="67" s="1"/>
  <c r="J1460" i="67" s="1"/>
  <c r="I1451" i="67"/>
  <c r="I1452" i="67" s="1"/>
  <c r="I1453" i="67" s="1"/>
  <c r="I1454" i="67" s="1"/>
  <c r="I1455" i="67" s="1"/>
  <c r="I1456" i="67" s="1"/>
  <c r="I1457" i="67" s="1"/>
  <c r="I1458" i="67" s="1"/>
  <c r="I1459" i="67" s="1"/>
  <c r="I1460" i="67" s="1"/>
  <c r="E1451" i="67"/>
  <c r="E1452" i="67" s="1"/>
  <c r="E1453" i="67" s="1"/>
  <c r="E1454" i="67" s="1"/>
  <c r="E1455" i="67" s="1"/>
  <c r="E1456" i="67" s="1"/>
  <c r="E1457" i="67" s="1"/>
  <c r="E1458" i="67" s="1"/>
  <c r="E1459" i="67" s="1"/>
  <c r="E1460" i="67" s="1"/>
  <c r="F1460" i="67"/>
  <c r="F1458" i="67"/>
  <c r="F1457" i="67"/>
  <c r="D1451" i="67"/>
  <c r="D1452" i="67" s="1"/>
  <c r="D1453" i="67" s="1"/>
  <c r="D1454" i="67" s="1"/>
  <c r="D1455" i="67" s="1"/>
  <c r="D1456" i="67" s="1"/>
  <c r="D1457" i="67" s="1"/>
  <c r="D1458" i="67" s="1"/>
  <c r="D1459" i="67" s="1"/>
  <c r="D1460" i="67" s="1"/>
  <c r="D1461" i="67" s="1"/>
  <c r="D1462" i="67" s="1"/>
  <c r="D1463" i="67" s="1"/>
  <c r="D1464" i="67" s="1"/>
  <c r="B29" i="65"/>
  <c r="B26" i="65"/>
  <c r="B27" i="65"/>
  <c r="B28" i="65"/>
  <c r="AN8" i="65"/>
  <c r="AN7" i="65"/>
  <c r="AN6" i="65"/>
  <c r="AD8" i="65"/>
  <c r="AD7" i="65"/>
  <c r="AD6" i="65"/>
  <c r="T8" i="65"/>
  <c r="T7" i="65"/>
  <c r="T6" i="65"/>
  <c r="C7" i="65"/>
  <c r="D7" i="65"/>
  <c r="E7" i="65"/>
  <c r="F7" i="65"/>
  <c r="G7" i="65"/>
  <c r="H7" i="65"/>
  <c r="I7" i="65"/>
  <c r="J7" i="65"/>
  <c r="B7" i="65"/>
  <c r="C8" i="65"/>
  <c r="D8" i="65"/>
  <c r="E8" i="65"/>
  <c r="F8" i="65"/>
  <c r="G8" i="65"/>
  <c r="H8" i="65"/>
  <c r="I8" i="65"/>
  <c r="J8" i="65"/>
  <c r="B8" i="65"/>
  <c r="C6" i="65"/>
  <c r="D6" i="65"/>
  <c r="E6" i="65"/>
  <c r="F6" i="65"/>
  <c r="G6" i="65"/>
  <c r="H6" i="65"/>
  <c r="I6" i="65"/>
  <c r="J6" i="65"/>
  <c r="B6" i="65"/>
  <c r="AE24" i="36"/>
  <c r="L1429" i="67" s="1"/>
  <c r="AF24" i="36"/>
  <c r="M1429" i="67" s="1"/>
  <c r="AG24" i="36"/>
  <c r="N1429" i="67" s="1"/>
  <c r="AH24" i="36"/>
  <c r="O1429" i="67" s="1"/>
  <c r="AI24" i="36"/>
  <c r="P1429" i="67" s="1"/>
  <c r="AJ24" i="36"/>
  <c r="Q1429" i="67" s="1"/>
  <c r="AK24" i="36"/>
  <c r="R1429" i="67" s="1"/>
  <c r="AL24" i="36"/>
  <c r="S1429" i="67" s="1"/>
  <c r="AM24" i="36"/>
  <c r="T1429" i="67" s="1"/>
  <c r="AN24" i="36"/>
  <c r="U1429" i="67" s="1"/>
  <c r="AO24" i="36"/>
  <c r="V1429" i="67" s="1"/>
  <c r="AP24" i="36"/>
  <c r="W1429" i="67" s="1"/>
  <c r="AQ24" i="36"/>
  <c r="X1429" i="67" s="1"/>
  <c r="AR24" i="36"/>
  <c r="Y1429" i="67" s="1"/>
  <c r="AS24" i="36"/>
  <c r="Z1429" i="67" s="1"/>
  <c r="AT24" i="36"/>
  <c r="AA1429" i="67" s="1"/>
  <c r="AU24" i="36"/>
  <c r="AB1429" i="67" s="1"/>
  <c r="AV24" i="36"/>
  <c r="AC1429" i="67" s="1"/>
  <c r="AW24" i="36"/>
  <c r="AD1429" i="67" s="1"/>
  <c r="AX24" i="36"/>
  <c r="AE1429" i="67" s="1"/>
  <c r="AY24" i="36"/>
  <c r="AF1429" i="67" s="1"/>
  <c r="AZ24" i="36"/>
  <c r="AG1429" i="67" s="1"/>
  <c r="BA24" i="36"/>
  <c r="AH1429" i="67" s="1"/>
  <c r="BB24" i="36"/>
  <c r="AI1429" i="67" s="1"/>
  <c r="BC24" i="36"/>
  <c r="AJ1429" i="67" s="1"/>
  <c r="BD24" i="36"/>
  <c r="AK1429" i="67" s="1"/>
  <c r="BE24" i="36"/>
  <c r="AL1429" i="67" s="1"/>
  <c r="BF24" i="36"/>
  <c r="AM1429" i="67" s="1"/>
  <c r="BG24" i="36"/>
  <c r="AN1429" i="67" s="1"/>
  <c r="BH24" i="36"/>
  <c r="AO1429" i="67" s="1"/>
  <c r="BI24" i="36"/>
  <c r="AP1429" i="67" s="1"/>
  <c r="BJ24" i="36"/>
  <c r="AQ1429" i="67" s="1"/>
  <c r="BK24" i="36"/>
  <c r="AR1429" i="67" s="1"/>
  <c r="BL24" i="36"/>
  <c r="AS1429" i="67" s="1"/>
  <c r="BM24" i="36"/>
  <c r="AT1429" i="67" s="1"/>
  <c r="BN24" i="36"/>
  <c r="AU1429" i="67" s="1"/>
  <c r="BO24" i="36"/>
  <c r="AV1429" i="67" s="1"/>
  <c r="BP24" i="36"/>
  <c r="AW1429" i="67" s="1"/>
  <c r="AE25" i="36"/>
  <c r="L1430" i="67" s="1"/>
  <c r="AF25" i="36"/>
  <c r="M1430" i="67" s="1"/>
  <c r="AG25" i="36"/>
  <c r="N1430" i="67" s="1"/>
  <c r="AH25" i="36"/>
  <c r="O1430" i="67" s="1"/>
  <c r="AI25" i="36"/>
  <c r="P1430" i="67" s="1"/>
  <c r="AJ25" i="36"/>
  <c r="Q1430" i="67" s="1"/>
  <c r="AK25" i="36"/>
  <c r="R1430" i="67" s="1"/>
  <c r="AL25" i="36"/>
  <c r="S1430" i="67" s="1"/>
  <c r="AM25" i="36"/>
  <c r="T1430" i="67" s="1"/>
  <c r="AN25" i="36"/>
  <c r="U1430" i="67" s="1"/>
  <c r="AO25" i="36"/>
  <c r="V1430" i="67" s="1"/>
  <c r="AP25" i="36"/>
  <c r="W1430" i="67" s="1"/>
  <c r="AQ25" i="36"/>
  <c r="X1430" i="67" s="1"/>
  <c r="AR25" i="36"/>
  <c r="Y1430" i="67" s="1"/>
  <c r="AS25" i="36"/>
  <c r="Z1430" i="67" s="1"/>
  <c r="AT25" i="36"/>
  <c r="AA1430" i="67" s="1"/>
  <c r="AU25" i="36"/>
  <c r="AB1430" i="67" s="1"/>
  <c r="AV25" i="36"/>
  <c r="AC1430" i="67" s="1"/>
  <c r="AW25" i="36"/>
  <c r="AD1430" i="67" s="1"/>
  <c r="AX25" i="36"/>
  <c r="AE1430" i="67" s="1"/>
  <c r="AY25" i="36"/>
  <c r="AF1430" i="67" s="1"/>
  <c r="AZ25" i="36"/>
  <c r="AG1430" i="67" s="1"/>
  <c r="BA25" i="36"/>
  <c r="AH1430" i="67" s="1"/>
  <c r="BB25" i="36"/>
  <c r="AI1430" i="67" s="1"/>
  <c r="BC25" i="36"/>
  <c r="AJ1430" i="67" s="1"/>
  <c r="BD25" i="36"/>
  <c r="AK1430" i="67" s="1"/>
  <c r="BE25" i="36"/>
  <c r="AL1430" i="67" s="1"/>
  <c r="BF25" i="36"/>
  <c r="AM1430" i="67" s="1"/>
  <c r="BG25" i="36"/>
  <c r="AN1430" i="67" s="1"/>
  <c r="BH25" i="36"/>
  <c r="AO1430" i="67" s="1"/>
  <c r="BI25" i="36"/>
  <c r="AP1430" i="67" s="1"/>
  <c r="BJ25" i="36"/>
  <c r="AQ1430" i="67" s="1"/>
  <c r="BK25" i="36"/>
  <c r="AR1430" i="67" s="1"/>
  <c r="BL25" i="36"/>
  <c r="AS1430" i="67" s="1"/>
  <c r="BM25" i="36"/>
  <c r="AT1430" i="67" s="1"/>
  <c r="BN25" i="36"/>
  <c r="AU1430" i="67" s="1"/>
  <c r="BO25" i="36"/>
  <c r="AV1430" i="67" s="1"/>
  <c r="BP25" i="36"/>
  <c r="AW1430" i="67" s="1"/>
  <c r="AE26" i="36"/>
  <c r="AF26" i="36"/>
  <c r="AG26" i="36"/>
  <c r="AH26" i="36"/>
  <c r="AI26" i="36"/>
  <c r="AJ26" i="36"/>
  <c r="AK26" i="36"/>
  <c r="AL26" i="36"/>
  <c r="AM26" i="36"/>
  <c r="AN26" i="36"/>
  <c r="AO26" i="36"/>
  <c r="AP26" i="36"/>
  <c r="AQ26" i="36"/>
  <c r="AR26" i="36"/>
  <c r="AS26" i="36"/>
  <c r="AT26" i="36"/>
  <c r="AU26" i="36"/>
  <c r="AV26" i="36"/>
  <c r="AW26" i="36"/>
  <c r="AX26" i="36"/>
  <c r="AY26" i="36"/>
  <c r="AZ26" i="36"/>
  <c r="BA26" i="36"/>
  <c r="BB26" i="36"/>
  <c r="BC26" i="36"/>
  <c r="BD26" i="36"/>
  <c r="BE26" i="36"/>
  <c r="BF26" i="36"/>
  <c r="BG26" i="36"/>
  <c r="BH26" i="36"/>
  <c r="BI26" i="36"/>
  <c r="BJ26" i="36"/>
  <c r="BK26" i="36"/>
  <c r="BL26" i="36"/>
  <c r="BM26" i="36"/>
  <c r="BN26" i="36"/>
  <c r="BO26" i="36"/>
  <c r="BP26" i="36"/>
  <c r="AE27" i="36"/>
  <c r="AF27" i="36"/>
  <c r="AG27" i="36"/>
  <c r="AH27" i="36"/>
  <c r="AI27" i="36"/>
  <c r="AJ27" i="36"/>
  <c r="AK27" i="36"/>
  <c r="AL27" i="36"/>
  <c r="AM27" i="36"/>
  <c r="AN27" i="36"/>
  <c r="AO27" i="36"/>
  <c r="AP27" i="36"/>
  <c r="AQ27" i="36"/>
  <c r="AR27" i="36"/>
  <c r="AS27" i="36"/>
  <c r="AT27" i="36"/>
  <c r="AU27" i="36"/>
  <c r="AV27" i="36"/>
  <c r="AW27" i="36"/>
  <c r="AX27" i="36"/>
  <c r="AY27" i="36"/>
  <c r="AZ27" i="36"/>
  <c r="BA27" i="36"/>
  <c r="BB27" i="36"/>
  <c r="BC27" i="36"/>
  <c r="BD27" i="36"/>
  <c r="BE27" i="36"/>
  <c r="BF27" i="36"/>
  <c r="BG27" i="36"/>
  <c r="BH27" i="36"/>
  <c r="BI27" i="36"/>
  <c r="BJ27" i="36"/>
  <c r="BK27" i="36"/>
  <c r="BL27" i="36"/>
  <c r="BM27" i="36"/>
  <c r="BN27" i="36"/>
  <c r="BO27" i="36"/>
  <c r="BP27" i="36"/>
  <c r="AE28" i="36"/>
  <c r="AF28" i="36"/>
  <c r="AG28" i="36"/>
  <c r="AH28" i="36"/>
  <c r="AI28" i="36"/>
  <c r="AJ28" i="36"/>
  <c r="AK28" i="36"/>
  <c r="AL28" i="36"/>
  <c r="AM28" i="36"/>
  <c r="AN28" i="36"/>
  <c r="AO28" i="36"/>
  <c r="AP28" i="36"/>
  <c r="AQ28" i="36"/>
  <c r="AR28" i="36"/>
  <c r="AS28" i="36"/>
  <c r="AT28" i="36"/>
  <c r="AU28" i="36"/>
  <c r="AV28" i="36"/>
  <c r="AW28" i="36"/>
  <c r="AX28" i="36"/>
  <c r="AY28" i="36"/>
  <c r="AZ28" i="36"/>
  <c r="BA28" i="36"/>
  <c r="BB28" i="36"/>
  <c r="BC28" i="36"/>
  <c r="BD28" i="36"/>
  <c r="BE28" i="36"/>
  <c r="BF28" i="36"/>
  <c r="BG28" i="36"/>
  <c r="BH28" i="36"/>
  <c r="BI28" i="36"/>
  <c r="BJ28" i="36"/>
  <c r="BK28" i="36"/>
  <c r="BL28" i="36"/>
  <c r="BM28" i="36"/>
  <c r="BN28" i="36"/>
  <c r="BO28" i="36"/>
  <c r="BP28" i="36"/>
  <c r="AE29" i="36"/>
  <c r="AF29" i="36"/>
  <c r="AG29" i="36"/>
  <c r="AH29" i="36"/>
  <c r="AI29" i="36"/>
  <c r="AJ29" i="36"/>
  <c r="AK29" i="36"/>
  <c r="AL29" i="36"/>
  <c r="AM29" i="36"/>
  <c r="AN29" i="36"/>
  <c r="AO29" i="36"/>
  <c r="AP29" i="36"/>
  <c r="AQ29" i="36"/>
  <c r="AR29" i="36"/>
  <c r="AS29" i="36"/>
  <c r="AT29" i="36"/>
  <c r="AU29" i="36"/>
  <c r="AV29" i="36"/>
  <c r="AW29" i="36"/>
  <c r="AX29" i="36"/>
  <c r="AY29" i="36"/>
  <c r="AZ29" i="36"/>
  <c r="BA29" i="36"/>
  <c r="BB29" i="36"/>
  <c r="BC29" i="36"/>
  <c r="BD29" i="36"/>
  <c r="BE29" i="36"/>
  <c r="BF29" i="36"/>
  <c r="BG29" i="36"/>
  <c r="BH29" i="36"/>
  <c r="BI29" i="36"/>
  <c r="BJ29" i="36"/>
  <c r="BK29" i="36"/>
  <c r="BL29" i="36"/>
  <c r="BM29" i="36"/>
  <c r="BN29" i="36"/>
  <c r="BO29" i="36"/>
  <c r="BP29" i="36"/>
  <c r="AE30" i="36"/>
  <c r="AF30" i="36"/>
  <c r="AG30" i="36"/>
  <c r="AH30" i="36"/>
  <c r="AI30" i="36"/>
  <c r="AJ30" i="36"/>
  <c r="AK30" i="36"/>
  <c r="AL30" i="36"/>
  <c r="AM30" i="36"/>
  <c r="AN30" i="36"/>
  <c r="AO30" i="36"/>
  <c r="AP30" i="36"/>
  <c r="AQ30" i="36"/>
  <c r="AR30" i="36"/>
  <c r="AS30" i="36"/>
  <c r="AT30" i="36"/>
  <c r="AU30" i="36"/>
  <c r="AV30" i="36"/>
  <c r="AW30" i="36"/>
  <c r="AX30" i="36"/>
  <c r="AY30" i="36"/>
  <c r="AZ30" i="36"/>
  <c r="BA30" i="36"/>
  <c r="BB30" i="36"/>
  <c r="BC30" i="36"/>
  <c r="BD30" i="36"/>
  <c r="BE30" i="36"/>
  <c r="BF30" i="36"/>
  <c r="BG30" i="36"/>
  <c r="BH30" i="36"/>
  <c r="BI30" i="36"/>
  <c r="BJ30" i="36"/>
  <c r="BK30" i="36"/>
  <c r="BL30" i="36"/>
  <c r="BM30" i="36"/>
  <c r="BN30" i="36"/>
  <c r="BO30" i="36"/>
  <c r="BP30" i="36"/>
  <c r="AE31" i="36"/>
  <c r="AF31" i="36"/>
  <c r="AG31" i="36"/>
  <c r="AH31" i="36"/>
  <c r="AI31" i="36"/>
  <c r="AJ31" i="36"/>
  <c r="AK31" i="36"/>
  <c r="AL31" i="36"/>
  <c r="AM31" i="36"/>
  <c r="AN31" i="36"/>
  <c r="AO31" i="36"/>
  <c r="AP31" i="36"/>
  <c r="AQ31" i="36"/>
  <c r="AR31" i="36"/>
  <c r="AS31" i="36"/>
  <c r="AT31" i="36"/>
  <c r="AU31" i="36"/>
  <c r="AV31" i="36"/>
  <c r="AW31" i="36"/>
  <c r="AX31" i="36"/>
  <c r="AY31" i="36"/>
  <c r="AZ31" i="36"/>
  <c r="BA31" i="36"/>
  <c r="BB31" i="36"/>
  <c r="BC31" i="36"/>
  <c r="BD31" i="36"/>
  <c r="BE31" i="36"/>
  <c r="BF31" i="36"/>
  <c r="BG31" i="36"/>
  <c r="BH31" i="36"/>
  <c r="BI31" i="36"/>
  <c r="BJ31" i="36"/>
  <c r="BK31" i="36"/>
  <c r="BL31" i="36"/>
  <c r="BM31" i="36"/>
  <c r="BN31" i="36"/>
  <c r="BO31" i="36"/>
  <c r="BP31" i="36"/>
  <c r="AE32" i="36"/>
  <c r="AF32" i="36"/>
  <c r="AG32" i="36"/>
  <c r="AH32" i="36"/>
  <c r="AI32" i="36"/>
  <c r="AJ32" i="36"/>
  <c r="AK32" i="36"/>
  <c r="AL32" i="36"/>
  <c r="AM32" i="36"/>
  <c r="AN32" i="36"/>
  <c r="AO32" i="36"/>
  <c r="AP32" i="36"/>
  <c r="AQ32" i="36"/>
  <c r="AR32" i="36"/>
  <c r="AS32" i="36"/>
  <c r="AT32" i="36"/>
  <c r="AU32" i="36"/>
  <c r="AV32" i="36"/>
  <c r="AW32" i="36"/>
  <c r="AX32" i="36"/>
  <c r="AY32" i="36"/>
  <c r="AZ32" i="36"/>
  <c r="BA32" i="36"/>
  <c r="BB32" i="36"/>
  <c r="BC32" i="36"/>
  <c r="BD32" i="36"/>
  <c r="BE32" i="36"/>
  <c r="BF32" i="36"/>
  <c r="BG32" i="36"/>
  <c r="BH32" i="36"/>
  <c r="BI32" i="36"/>
  <c r="BJ32" i="36"/>
  <c r="BK32" i="36"/>
  <c r="BL32" i="36"/>
  <c r="BM32" i="36"/>
  <c r="BN32" i="36"/>
  <c r="BO32" i="36"/>
  <c r="BP32" i="36"/>
  <c r="AE33" i="36"/>
  <c r="AF33" i="36"/>
  <c r="AG33" i="36"/>
  <c r="AH33" i="36"/>
  <c r="AI33" i="36"/>
  <c r="AJ33" i="36"/>
  <c r="AK33" i="36"/>
  <c r="AL33" i="36"/>
  <c r="AM33" i="36"/>
  <c r="AN33" i="36"/>
  <c r="AO33" i="36"/>
  <c r="AP33" i="36"/>
  <c r="AQ33" i="36"/>
  <c r="AR33" i="36"/>
  <c r="AS33" i="36"/>
  <c r="AT33" i="36"/>
  <c r="AU33" i="36"/>
  <c r="AV33" i="36"/>
  <c r="AW33" i="36"/>
  <c r="AX33" i="36"/>
  <c r="AY33" i="36"/>
  <c r="AZ33" i="36"/>
  <c r="BA33" i="36"/>
  <c r="BB33" i="36"/>
  <c r="BC33" i="36"/>
  <c r="BD33" i="36"/>
  <c r="BE33" i="36"/>
  <c r="BF33" i="36"/>
  <c r="BG33" i="36"/>
  <c r="BH33" i="36"/>
  <c r="BI33" i="36"/>
  <c r="BJ33" i="36"/>
  <c r="BK33" i="36"/>
  <c r="BL33" i="36"/>
  <c r="BM33" i="36"/>
  <c r="BN33" i="36"/>
  <c r="BO33" i="36"/>
  <c r="BP33" i="36"/>
  <c r="AE34" i="36"/>
  <c r="AF34" i="36"/>
  <c r="AG34" i="36"/>
  <c r="AH34" i="36"/>
  <c r="AI34" i="36"/>
  <c r="AJ34" i="36"/>
  <c r="AK34" i="36"/>
  <c r="AL34" i="36"/>
  <c r="AM34" i="36"/>
  <c r="AN34" i="36"/>
  <c r="AO34" i="36"/>
  <c r="AP34" i="36"/>
  <c r="AQ34" i="36"/>
  <c r="AR34" i="36"/>
  <c r="AS34" i="36"/>
  <c r="AT34" i="36"/>
  <c r="AU34" i="36"/>
  <c r="AV34" i="36"/>
  <c r="AW34" i="36"/>
  <c r="AX34" i="36"/>
  <c r="AY34" i="36"/>
  <c r="AZ34" i="36"/>
  <c r="BA34" i="36"/>
  <c r="BB34" i="36"/>
  <c r="BC34" i="36"/>
  <c r="BD34" i="36"/>
  <c r="BE34" i="36"/>
  <c r="BF34" i="36"/>
  <c r="BG34" i="36"/>
  <c r="BH34" i="36"/>
  <c r="BI34" i="36"/>
  <c r="BJ34" i="36"/>
  <c r="BK34" i="36"/>
  <c r="BL34" i="36"/>
  <c r="BM34" i="36"/>
  <c r="BN34" i="36"/>
  <c r="BO34" i="36"/>
  <c r="BP34" i="36"/>
  <c r="AE35" i="36"/>
  <c r="AF35" i="36"/>
  <c r="AG35" i="36"/>
  <c r="AH35" i="36"/>
  <c r="AI35" i="36"/>
  <c r="AJ35" i="36"/>
  <c r="AK35" i="36"/>
  <c r="AL35" i="36"/>
  <c r="AM35" i="36"/>
  <c r="AN35" i="36"/>
  <c r="AO35" i="36"/>
  <c r="AP35" i="36"/>
  <c r="AQ35" i="36"/>
  <c r="AR35" i="36"/>
  <c r="AS35" i="36"/>
  <c r="AT35" i="36"/>
  <c r="AU35" i="36"/>
  <c r="AV35" i="36"/>
  <c r="AW35" i="36"/>
  <c r="AX35" i="36"/>
  <c r="AY35" i="36"/>
  <c r="AZ35" i="36"/>
  <c r="BA35" i="36"/>
  <c r="BB35" i="36"/>
  <c r="BC35" i="36"/>
  <c r="BD35" i="36"/>
  <c r="BE35" i="36"/>
  <c r="BF35" i="36"/>
  <c r="BG35" i="36"/>
  <c r="BH35" i="36"/>
  <c r="BI35" i="36"/>
  <c r="BJ35" i="36"/>
  <c r="BK35" i="36"/>
  <c r="BL35" i="36"/>
  <c r="BM35" i="36"/>
  <c r="BN35" i="36"/>
  <c r="BO35" i="36"/>
  <c r="BP35" i="36"/>
  <c r="AE36" i="36"/>
  <c r="AF36" i="36"/>
  <c r="AG36" i="36"/>
  <c r="AH36" i="36"/>
  <c r="AI36" i="36"/>
  <c r="AJ36" i="36"/>
  <c r="AK36" i="36"/>
  <c r="AL36" i="36"/>
  <c r="AM36" i="36"/>
  <c r="AN36" i="36"/>
  <c r="AO36" i="36"/>
  <c r="AP36" i="36"/>
  <c r="AQ36" i="36"/>
  <c r="AR36" i="36"/>
  <c r="AS36" i="36"/>
  <c r="AT36" i="36"/>
  <c r="AU36" i="36"/>
  <c r="AV36" i="36"/>
  <c r="AW36" i="36"/>
  <c r="AX36" i="36"/>
  <c r="AY36" i="36"/>
  <c r="AZ36" i="36"/>
  <c r="BA36" i="36"/>
  <c r="BB36" i="36"/>
  <c r="BC36" i="36"/>
  <c r="BD36" i="36"/>
  <c r="BE36" i="36"/>
  <c r="BF36" i="36"/>
  <c r="BG36" i="36"/>
  <c r="BH36" i="36"/>
  <c r="BI36" i="36"/>
  <c r="BJ36" i="36"/>
  <c r="BK36" i="36"/>
  <c r="BL36" i="36"/>
  <c r="BM36" i="36"/>
  <c r="BN36" i="36"/>
  <c r="BO36" i="36"/>
  <c r="BP36" i="36"/>
  <c r="AE37" i="36"/>
  <c r="AF37" i="36"/>
  <c r="AG37" i="36"/>
  <c r="AH37" i="36"/>
  <c r="AI37" i="36"/>
  <c r="AJ37" i="36"/>
  <c r="AK37" i="36"/>
  <c r="AL37" i="36"/>
  <c r="AM37" i="36"/>
  <c r="AN37" i="36"/>
  <c r="AO37" i="36"/>
  <c r="AP37" i="36"/>
  <c r="AQ37" i="36"/>
  <c r="AR37" i="36"/>
  <c r="AS37" i="36"/>
  <c r="AT37" i="36"/>
  <c r="AU37" i="36"/>
  <c r="AV37" i="36"/>
  <c r="AW37" i="36"/>
  <c r="AX37" i="36"/>
  <c r="AY37" i="36"/>
  <c r="AZ37" i="36"/>
  <c r="BA37" i="36"/>
  <c r="BB37" i="36"/>
  <c r="BC37" i="36"/>
  <c r="BD37" i="36"/>
  <c r="BE37" i="36"/>
  <c r="BF37" i="36"/>
  <c r="BG37" i="36"/>
  <c r="BH37" i="36"/>
  <c r="BI37" i="36"/>
  <c r="BJ37" i="36"/>
  <c r="BK37" i="36"/>
  <c r="BL37" i="36"/>
  <c r="BM37" i="36"/>
  <c r="BN37" i="36"/>
  <c r="BO37" i="36"/>
  <c r="BP37" i="36"/>
  <c r="AE38" i="36"/>
  <c r="AF38" i="36"/>
  <c r="AG38" i="36"/>
  <c r="AH38" i="36"/>
  <c r="AI38" i="36"/>
  <c r="AJ38" i="36"/>
  <c r="AK38" i="36"/>
  <c r="AL38" i="36"/>
  <c r="AM38" i="36"/>
  <c r="AN38" i="36"/>
  <c r="AO38" i="36"/>
  <c r="AP38" i="36"/>
  <c r="AQ38" i="36"/>
  <c r="AR38" i="36"/>
  <c r="AS38" i="36"/>
  <c r="AT38" i="36"/>
  <c r="AU38" i="36"/>
  <c r="AV38" i="36"/>
  <c r="AW38" i="36"/>
  <c r="AX38" i="36"/>
  <c r="AY38" i="36"/>
  <c r="AZ38" i="36"/>
  <c r="BA38" i="36"/>
  <c r="BB38" i="36"/>
  <c r="BC38" i="36"/>
  <c r="BD38" i="36"/>
  <c r="BE38" i="36"/>
  <c r="BF38" i="36"/>
  <c r="BG38" i="36"/>
  <c r="BH38" i="36"/>
  <c r="BI38" i="36"/>
  <c r="BJ38" i="36"/>
  <c r="BK38" i="36"/>
  <c r="BL38" i="36"/>
  <c r="BM38" i="36"/>
  <c r="BN38" i="36"/>
  <c r="BO38" i="36"/>
  <c r="BP38" i="36"/>
  <c r="AE39" i="36"/>
  <c r="AF39" i="36"/>
  <c r="AG39" i="36"/>
  <c r="AH39" i="36"/>
  <c r="AI39" i="36"/>
  <c r="AJ39" i="36"/>
  <c r="AK39" i="36"/>
  <c r="AL39" i="36"/>
  <c r="AM39" i="36"/>
  <c r="AN39" i="36"/>
  <c r="AO39" i="36"/>
  <c r="AP39" i="36"/>
  <c r="AQ39" i="36"/>
  <c r="AR39" i="36"/>
  <c r="AS39" i="36"/>
  <c r="AT39" i="36"/>
  <c r="AU39" i="36"/>
  <c r="AV39" i="36"/>
  <c r="AW39" i="36"/>
  <c r="AX39" i="36"/>
  <c r="AY39" i="36"/>
  <c r="AZ39" i="36"/>
  <c r="BA39" i="36"/>
  <c r="BB39" i="36"/>
  <c r="BC39" i="36"/>
  <c r="BD39" i="36"/>
  <c r="BE39" i="36"/>
  <c r="BF39" i="36"/>
  <c r="BG39" i="36"/>
  <c r="BH39" i="36"/>
  <c r="BI39" i="36"/>
  <c r="BJ39" i="36"/>
  <c r="BK39" i="36"/>
  <c r="BL39" i="36"/>
  <c r="BM39" i="36"/>
  <c r="BN39" i="36"/>
  <c r="BO39" i="36"/>
  <c r="BP39" i="36"/>
  <c r="AD25" i="36"/>
  <c r="K1430" i="67" s="1"/>
  <c r="AD26" i="36"/>
  <c r="AD27" i="36"/>
  <c r="AD28" i="36"/>
  <c r="AD29" i="36"/>
  <c r="AD30" i="36"/>
  <c r="AD31" i="36"/>
  <c r="AD32" i="36"/>
  <c r="AD33" i="36"/>
  <c r="AD34" i="36"/>
  <c r="AD35" i="36"/>
  <c r="AD36" i="36"/>
  <c r="AD37" i="36"/>
  <c r="AD38" i="36"/>
  <c r="AD39" i="36"/>
  <c r="AD24" i="36"/>
  <c r="K1429" i="67" s="1"/>
  <c r="M1451" i="67" l="1"/>
  <c r="Q1451" i="67"/>
  <c r="U1451" i="67"/>
  <c r="Y1451" i="67"/>
  <c r="AC1451" i="67"/>
  <c r="AG1451" i="67"/>
  <c r="AK1451" i="67"/>
  <c r="AO1451" i="67"/>
  <c r="AS1451" i="67"/>
  <c r="AW1451" i="67"/>
  <c r="N1451" i="67"/>
  <c r="R1451" i="67"/>
  <c r="V1451" i="67"/>
  <c r="Z1451" i="67"/>
  <c r="AD1451" i="67"/>
  <c r="AH1451" i="67"/>
  <c r="AL1451" i="67"/>
  <c r="AP1451" i="67"/>
  <c r="AT1451" i="67"/>
  <c r="K1451" i="67"/>
  <c r="O1451" i="67"/>
  <c r="S1451" i="67"/>
  <c r="W1451" i="67"/>
  <c r="AA1451" i="67"/>
  <c r="AE1451" i="67"/>
  <c r="AI1451" i="67"/>
  <c r="AM1451" i="67"/>
  <c r="AQ1451" i="67"/>
  <c r="AU1451" i="67"/>
  <c r="L1451" i="67"/>
  <c r="P1451" i="67"/>
  <c r="T1451" i="67"/>
  <c r="X1451" i="67"/>
  <c r="AB1451" i="67"/>
  <c r="AF1451" i="67"/>
  <c r="AJ1451" i="67"/>
  <c r="AN1451" i="67"/>
  <c r="AR1451" i="67"/>
  <c r="AV1451" i="67"/>
  <c r="M1455" i="67"/>
  <c r="Q1455" i="67"/>
  <c r="U1455" i="67"/>
  <c r="Y1455" i="67"/>
  <c r="AC1455" i="67"/>
  <c r="AG1455" i="67"/>
  <c r="AK1455" i="67"/>
  <c r="AO1455" i="67"/>
  <c r="AS1455" i="67"/>
  <c r="AW1455" i="67"/>
  <c r="N1455" i="67"/>
  <c r="R1455" i="67"/>
  <c r="V1455" i="67"/>
  <c r="Z1455" i="67"/>
  <c r="AD1455" i="67"/>
  <c r="AH1455" i="67"/>
  <c r="AL1455" i="67"/>
  <c r="AP1455" i="67"/>
  <c r="AT1455" i="67"/>
  <c r="K1455" i="67"/>
  <c r="O1455" i="67"/>
  <c r="S1455" i="67"/>
  <c r="W1455" i="67"/>
  <c r="AA1455" i="67"/>
  <c r="AE1455" i="67"/>
  <c r="AI1455" i="67"/>
  <c r="AM1455" i="67"/>
  <c r="AQ1455" i="67"/>
  <c r="AU1455" i="67"/>
  <c r="L1455" i="67"/>
  <c r="P1455" i="67"/>
  <c r="T1455" i="67"/>
  <c r="X1455" i="67"/>
  <c r="AB1455" i="67"/>
  <c r="AF1455" i="67"/>
  <c r="AJ1455" i="67"/>
  <c r="AN1455" i="67"/>
  <c r="AR1455" i="67"/>
  <c r="AV1455" i="67"/>
  <c r="M1459" i="67"/>
  <c r="Q1459" i="67"/>
  <c r="U1459" i="67"/>
  <c r="Y1459" i="67"/>
  <c r="AC1459" i="67"/>
  <c r="AG1459" i="67"/>
  <c r="AK1459" i="67"/>
  <c r="AO1459" i="67"/>
  <c r="AS1459" i="67"/>
  <c r="AW1459" i="67"/>
  <c r="N1459" i="67"/>
  <c r="R1459" i="67"/>
  <c r="V1459" i="67"/>
  <c r="Z1459" i="67"/>
  <c r="AD1459" i="67"/>
  <c r="AH1459" i="67"/>
  <c r="AL1459" i="67"/>
  <c r="AP1459" i="67"/>
  <c r="AT1459" i="67"/>
  <c r="K1459" i="67"/>
  <c r="O1459" i="67"/>
  <c r="S1459" i="67"/>
  <c r="W1459" i="67"/>
  <c r="AA1459" i="67"/>
  <c r="AE1459" i="67"/>
  <c r="AI1459" i="67"/>
  <c r="AM1459" i="67"/>
  <c r="AQ1459" i="67"/>
  <c r="AU1459" i="67"/>
  <c r="L1459" i="67"/>
  <c r="P1459" i="67"/>
  <c r="T1459" i="67"/>
  <c r="X1459" i="67"/>
  <c r="AB1459" i="67"/>
  <c r="AF1459" i="67"/>
  <c r="AJ1459" i="67"/>
  <c r="AN1459" i="67"/>
  <c r="AR1459" i="67"/>
  <c r="AV1459" i="67"/>
  <c r="O1452" i="67"/>
  <c r="S1452" i="67"/>
  <c r="W1452" i="67"/>
  <c r="AA1452" i="67"/>
  <c r="AE1452" i="67"/>
  <c r="AI1452" i="67"/>
  <c r="AM1452" i="67"/>
  <c r="AQ1452" i="67"/>
  <c r="AU1452" i="67"/>
  <c r="L1452" i="67"/>
  <c r="P1452" i="67"/>
  <c r="T1452" i="67"/>
  <c r="X1452" i="67"/>
  <c r="AB1452" i="67"/>
  <c r="AF1452" i="67"/>
  <c r="AJ1452" i="67"/>
  <c r="AN1452" i="67"/>
  <c r="AR1452" i="67"/>
  <c r="AV1452" i="67"/>
  <c r="M1452" i="67"/>
  <c r="Q1452" i="67"/>
  <c r="U1452" i="67"/>
  <c r="Y1452" i="67"/>
  <c r="AC1452" i="67"/>
  <c r="AG1452" i="67"/>
  <c r="AK1452" i="67"/>
  <c r="AO1452" i="67"/>
  <c r="AS1452" i="67"/>
  <c r="AW1452" i="67"/>
  <c r="K1452" i="67"/>
  <c r="N1452" i="67"/>
  <c r="R1452" i="67"/>
  <c r="V1452" i="67"/>
  <c r="Z1452" i="67"/>
  <c r="AD1452" i="67"/>
  <c r="AH1452" i="67"/>
  <c r="AL1452" i="67"/>
  <c r="AP1452" i="67"/>
  <c r="AT1452" i="67"/>
  <c r="O1456" i="67"/>
  <c r="S1456" i="67"/>
  <c r="W1456" i="67"/>
  <c r="AA1456" i="67"/>
  <c r="AE1456" i="67"/>
  <c r="AI1456" i="67"/>
  <c r="AM1456" i="67"/>
  <c r="AQ1456" i="67"/>
  <c r="AU1456" i="67"/>
  <c r="L1456" i="67"/>
  <c r="P1456" i="67"/>
  <c r="T1456" i="67"/>
  <c r="X1456" i="67"/>
  <c r="AB1456" i="67"/>
  <c r="AF1456" i="67"/>
  <c r="AJ1456" i="67"/>
  <c r="AN1456" i="67"/>
  <c r="AR1456" i="67"/>
  <c r="AV1456" i="67"/>
  <c r="M1456" i="67"/>
  <c r="Q1456" i="67"/>
  <c r="U1456" i="67"/>
  <c r="Y1456" i="67"/>
  <c r="AC1456" i="67"/>
  <c r="AG1456" i="67"/>
  <c r="AK1456" i="67"/>
  <c r="AO1456" i="67"/>
  <c r="AS1456" i="67"/>
  <c r="AW1456" i="67"/>
  <c r="K1456" i="67"/>
  <c r="N1456" i="67"/>
  <c r="R1456" i="67"/>
  <c r="V1456" i="67"/>
  <c r="Z1456" i="67"/>
  <c r="AD1456" i="67"/>
  <c r="AH1456" i="67"/>
  <c r="AL1456" i="67"/>
  <c r="AP1456" i="67"/>
  <c r="AT1456" i="67"/>
  <c r="O1460" i="67"/>
  <c r="S1460" i="67"/>
  <c r="W1460" i="67"/>
  <c r="AA1460" i="67"/>
  <c r="AE1460" i="67"/>
  <c r="AY40" i="68" s="1"/>
  <c r="AI1460" i="67"/>
  <c r="AM1460" i="67"/>
  <c r="AQ1460" i="67"/>
  <c r="BK40" i="68" s="1"/>
  <c r="AU1460" i="67"/>
  <c r="L1460" i="67"/>
  <c r="P1460" i="67"/>
  <c r="T1460" i="67"/>
  <c r="X1460" i="67"/>
  <c r="AB1460" i="67"/>
  <c r="AF1460" i="67"/>
  <c r="AJ1460" i="67"/>
  <c r="BD40" i="68" s="1"/>
  <c r="AN1460" i="67"/>
  <c r="BH40" i="68" s="1"/>
  <c r="AR1460" i="67"/>
  <c r="AV1460" i="67"/>
  <c r="M1460" i="67"/>
  <c r="AG40" i="68" s="1"/>
  <c r="Q1460" i="67"/>
  <c r="AK40" i="68" s="1"/>
  <c r="U1460" i="67"/>
  <c r="Y1460" i="67"/>
  <c r="AC1460" i="67"/>
  <c r="AG1460" i="67"/>
  <c r="BA40" i="68" s="1"/>
  <c r="AK1460" i="67"/>
  <c r="AO1460" i="67"/>
  <c r="AS1460" i="67"/>
  <c r="BM40" i="68" s="1"/>
  <c r="AW1460" i="67"/>
  <c r="BQ40" i="68" s="1"/>
  <c r="K1460" i="67"/>
  <c r="N1460" i="67"/>
  <c r="R1460" i="67"/>
  <c r="AL40" i="68" s="1"/>
  <c r="V1460" i="67"/>
  <c r="AP40" i="68" s="1"/>
  <c r="Z1460" i="67"/>
  <c r="AD1460" i="67"/>
  <c r="AH1460" i="67"/>
  <c r="BB40" i="68" s="1"/>
  <c r="AL1460" i="67"/>
  <c r="AP1460" i="67"/>
  <c r="AT1460" i="67"/>
  <c r="M1453" i="67"/>
  <c r="Q1453" i="67"/>
  <c r="U1453" i="67"/>
  <c r="Y1453" i="67"/>
  <c r="AC1453" i="67"/>
  <c r="AG1453" i="67"/>
  <c r="AK1453" i="67"/>
  <c r="AO1453" i="67"/>
  <c r="AS1453" i="67"/>
  <c r="AW1453" i="67"/>
  <c r="K1453" i="67"/>
  <c r="N1453" i="67"/>
  <c r="R1453" i="67"/>
  <c r="V1453" i="67"/>
  <c r="Z1453" i="67"/>
  <c r="AD1453" i="67"/>
  <c r="AH1453" i="67"/>
  <c r="AL1453" i="67"/>
  <c r="AP1453" i="67"/>
  <c r="AT1453" i="67"/>
  <c r="O1453" i="67"/>
  <c r="S1453" i="67"/>
  <c r="W1453" i="67"/>
  <c r="AA1453" i="67"/>
  <c r="AE1453" i="67"/>
  <c r="AI1453" i="67"/>
  <c r="AM1453" i="67"/>
  <c r="AQ1453" i="67"/>
  <c r="AU1453" i="67"/>
  <c r="L1453" i="67"/>
  <c r="P1453" i="67"/>
  <c r="T1453" i="67"/>
  <c r="X1453" i="67"/>
  <c r="AB1453" i="67"/>
  <c r="AF1453" i="67"/>
  <c r="AJ1453" i="67"/>
  <c r="AN1453" i="67"/>
  <c r="AR1453" i="67"/>
  <c r="AV1453" i="67"/>
  <c r="M1457" i="67"/>
  <c r="AG38" i="68" s="1"/>
  <c r="Q1457" i="67"/>
  <c r="AK38" i="68" s="1"/>
  <c r="U1457" i="67"/>
  <c r="Y1457" i="67"/>
  <c r="AC1457" i="67"/>
  <c r="AG1457" i="67"/>
  <c r="AK1457" i="67"/>
  <c r="AO1457" i="67"/>
  <c r="AS1457" i="67"/>
  <c r="BM38" i="68" s="1"/>
  <c r="AW1457" i="67"/>
  <c r="BQ38" i="68" s="1"/>
  <c r="N1457" i="67"/>
  <c r="R1457" i="67"/>
  <c r="V1457" i="67"/>
  <c r="AP38" i="68" s="1"/>
  <c r="Z1457" i="67"/>
  <c r="AT38" i="68" s="1"/>
  <c r="AD1457" i="67"/>
  <c r="AH1457" i="67"/>
  <c r="AL1457" i="67"/>
  <c r="AP1457" i="67"/>
  <c r="BJ38" i="68" s="1"/>
  <c r="AT1457" i="67"/>
  <c r="O1457" i="67"/>
  <c r="S1457" i="67"/>
  <c r="AM38" i="68" s="1"/>
  <c r="W1457" i="67"/>
  <c r="AQ38" i="68" s="1"/>
  <c r="AA1457" i="67"/>
  <c r="AE1457" i="67"/>
  <c r="AI1457" i="67"/>
  <c r="BC38" i="68" s="1"/>
  <c r="AM1457" i="67"/>
  <c r="BG38" i="68" s="1"/>
  <c r="AQ1457" i="67"/>
  <c r="AU1457" i="67"/>
  <c r="K1457" i="67"/>
  <c r="AE38" i="68" s="1"/>
  <c r="L1457" i="67"/>
  <c r="P1457" i="67"/>
  <c r="T1457" i="67"/>
  <c r="X1457" i="67"/>
  <c r="AR38" i="68" s="1"/>
  <c r="AB1457" i="67"/>
  <c r="AV38" i="68" s="1"/>
  <c r="AF1457" i="67"/>
  <c r="AJ1457" i="67"/>
  <c r="AN1457" i="67"/>
  <c r="BH38" i="68" s="1"/>
  <c r="AR1457" i="67"/>
  <c r="AV1457" i="67"/>
  <c r="O1454" i="67"/>
  <c r="S1454" i="67"/>
  <c r="W1454" i="67"/>
  <c r="AA1454" i="67"/>
  <c r="AE1454" i="67"/>
  <c r="AI1454" i="67"/>
  <c r="AM1454" i="67"/>
  <c r="AQ1454" i="67"/>
  <c r="AU1454" i="67"/>
  <c r="K1454" i="67"/>
  <c r="L1454" i="67"/>
  <c r="P1454" i="67"/>
  <c r="T1454" i="67"/>
  <c r="X1454" i="67"/>
  <c r="AB1454" i="67"/>
  <c r="AF1454" i="67"/>
  <c r="AJ1454" i="67"/>
  <c r="AN1454" i="67"/>
  <c r="AR1454" i="67"/>
  <c r="AV1454" i="67"/>
  <c r="M1454" i="67"/>
  <c r="Q1454" i="67"/>
  <c r="U1454" i="67"/>
  <c r="Y1454" i="67"/>
  <c r="AC1454" i="67"/>
  <c r="AG1454" i="67"/>
  <c r="AK1454" i="67"/>
  <c r="AO1454" i="67"/>
  <c r="AS1454" i="67"/>
  <c r="AW1454" i="67"/>
  <c r="N1454" i="67"/>
  <c r="R1454" i="67"/>
  <c r="V1454" i="67"/>
  <c r="Z1454" i="67"/>
  <c r="AD1454" i="67"/>
  <c r="AH1454" i="67"/>
  <c r="AL1454" i="67"/>
  <c r="AP1454" i="67"/>
  <c r="AT1454" i="67"/>
  <c r="O1458" i="67"/>
  <c r="S1458" i="67"/>
  <c r="W1458" i="67"/>
  <c r="AA1458" i="67"/>
  <c r="AE1458" i="67"/>
  <c r="AI1458" i="67"/>
  <c r="AM1458" i="67"/>
  <c r="AQ1458" i="67"/>
  <c r="AU1458" i="67"/>
  <c r="K1458" i="67"/>
  <c r="L1458" i="67"/>
  <c r="P1458" i="67"/>
  <c r="T1458" i="67"/>
  <c r="X1458" i="67"/>
  <c r="AB1458" i="67"/>
  <c r="AF1458" i="67"/>
  <c r="AJ1458" i="67"/>
  <c r="AN1458" i="67"/>
  <c r="AR1458" i="67"/>
  <c r="AV1458" i="67"/>
  <c r="M1458" i="67"/>
  <c r="Q1458" i="67"/>
  <c r="U1458" i="67"/>
  <c r="Y1458" i="67"/>
  <c r="AC1458" i="67"/>
  <c r="AG1458" i="67"/>
  <c r="AK1458" i="67"/>
  <c r="AO1458" i="67"/>
  <c r="AS1458" i="67"/>
  <c r="AW1458" i="67"/>
  <c r="N1458" i="67"/>
  <c r="R1458" i="67"/>
  <c r="V1458" i="67"/>
  <c r="Z1458" i="67"/>
  <c r="AD1458" i="67"/>
  <c r="AX39" i="68" s="1"/>
  <c r="AH1458" i="67"/>
  <c r="AL1458" i="67"/>
  <c r="BF39" i="68" s="1"/>
  <c r="AP1458" i="67"/>
  <c r="AT1458" i="67"/>
  <c r="D13" i="65"/>
  <c r="AK31" i="68"/>
  <c r="AS31" i="68"/>
  <c r="BA31" i="68"/>
  <c r="BI31" i="68"/>
  <c r="AG31" i="68"/>
  <c r="AO31" i="68"/>
  <c r="AW31" i="68"/>
  <c r="BE31" i="68"/>
  <c r="BM31" i="68"/>
  <c r="BQ31" i="68"/>
  <c r="AI31" i="68"/>
  <c r="AQ31" i="68"/>
  <c r="AY31" i="68"/>
  <c r="BG31" i="68"/>
  <c r="BO31" i="68"/>
  <c r="AH31" i="68"/>
  <c r="AP31" i="68"/>
  <c r="AX31" i="68"/>
  <c r="BF31" i="68"/>
  <c r="BN31" i="68"/>
  <c r="AU31" i="68"/>
  <c r="BK31" i="68"/>
  <c r="AE31" i="68"/>
  <c r="AL31" i="68"/>
  <c r="AT31" i="68"/>
  <c r="BB31" i="68"/>
  <c r="BJ31" i="68"/>
  <c r="AM31" i="68"/>
  <c r="BC31" i="68"/>
  <c r="AF31" i="68"/>
  <c r="AN31" i="68"/>
  <c r="AV31" i="68"/>
  <c r="BD31" i="68"/>
  <c r="BL31" i="68"/>
  <c r="AJ31" i="68"/>
  <c r="AR31" i="68"/>
  <c r="AZ31" i="68"/>
  <c r="BH31" i="68"/>
  <c r="BP31" i="68"/>
  <c r="AE40" i="68"/>
  <c r="AM40" i="68"/>
  <c r="AU40" i="68"/>
  <c r="BC40" i="68"/>
  <c r="AI40" i="68"/>
  <c r="AQ40" i="68"/>
  <c r="BG40" i="68"/>
  <c r="BO40" i="68"/>
  <c r="AF40" i="68"/>
  <c r="AN40" i="68"/>
  <c r="AV40" i="68"/>
  <c r="BL40" i="68"/>
  <c r="AJ40" i="68"/>
  <c r="AS40" i="68"/>
  <c r="BI40" i="68"/>
  <c r="AR40" i="68"/>
  <c r="AZ40" i="68"/>
  <c r="BP40" i="68"/>
  <c r="AO40" i="68"/>
  <c r="AW40" i="68"/>
  <c r="BE40" i="68"/>
  <c r="AT40" i="68"/>
  <c r="BJ40" i="68"/>
  <c r="AH40" i="68"/>
  <c r="AX40" i="68"/>
  <c r="BF40" i="68"/>
  <c r="BN40" i="68"/>
  <c r="BP32" i="68"/>
  <c r="AF32" i="68"/>
  <c r="BD32" i="68"/>
  <c r="BL32" i="68"/>
  <c r="AV32" i="68"/>
  <c r="AR32" i="68"/>
  <c r="AZ32" i="68"/>
  <c r="BH32" i="68"/>
  <c r="AG32" i="68"/>
  <c r="AE32" i="68"/>
  <c r="AL32" i="68"/>
  <c r="AT32" i="68"/>
  <c r="BB32" i="68"/>
  <c r="AK32" i="68"/>
  <c r="AS32" i="68"/>
  <c r="BI32" i="68"/>
  <c r="BQ32" i="68"/>
  <c r="AH32" i="68"/>
  <c r="AP32" i="68"/>
  <c r="AX32" i="68"/>
  <c r="BF32" i="68"/>
  <c r="AW32" i="68"/>
  <c r="BE32" i="68"/>
  <c r="BM32" i="68"/>
  <c r="AI32" i="68"/>
  <c r="AQ32" i="68"/>
  <c r="AY32" i="68"/>
  <c r="BO32" i="68"/>
  <c r="AM32" i="68"/>
  <c r="AU32" i="68"/>
  <c r="BC32" i="68"/>
  <c r="BK32" i="68"/>
  <c r="AI33" i="68"/>
  <c r="AQ33" i="68"/>
  <c r="AY33" i="68"/>
  <c r="BG33" i="68"/>
  <c r="BO33" i="68"/>
  <c r="AM33" i="68"/>
  <c r="AU33" i="68"/>
  <c r="BC33" i="68"/>
  <c r="BK33" i="68"/>
  <c r="AR33" i="68"/>
  <c r="AZ33" i="68"/>
  <c r="BH33" i="68"/>
  <c r="BP33" i="68"/>
  <c r="AJ33" i="68"/>
  <c r="AG33" i="68"/>
  <c r="AO33" i="68"/>
  <c r="AW33" i="68"/>
  <c r="BE33" i="68"/>
  <c r="BM33" i="68"/>
  <c r="AF33" i="68"/>
  <c r="AN33" i="68"/>
  <c r="AV33" i="68"/>
  <c r="BD33" i="68"/>
  <c r="BL33" i="68"/>
  <c r="AK33" i="68"/>
  <c r="BQ33" i="68"/>
  <c r="AE33" i="68"/>
  <c r="AS33" i="68"/>
  <c r="AH33" i="68"/>
  <c r="AP33" i="68"/>
  <c r="AX33" i="68"/>
  <c r="BF33" i="68"/>
  <c r="BN33" i="68"/>
  <c r="BA33" i="68"/>
  <c r="BI33" i="68"/>
  <c r="AL33" i="68"/>
  <c r="AT33" i="68"/>
  <c r="BB33" i="68"/>
  <c r="BJ33" i="68"/>
  <c r="AS38" i="68"/>
  <c r="BA38" i="68"/>
  <c r="BI38" i="68"/>
  <c r="AO38" i="68"/>
  <c r="AW38" i="68"/>
  <c r="BE38" i="68"/>
  <c r="AL38" i="68"/>
  <c r="BB38" i="68"/>
  <c r="AI38" i="68"/>
  <c r="AY38" i="68"/>
  <c r="BO38" i="68"/>
  <c r="AH38" i="68"/>
  <c r="AX38" i="68"/>
  <c r="BF38" i="68"/>
  <c r="BN38" i="68"/>
  <c r="AU38" i="68"/>
  <c r="BK38" i="68"/>
  <c r="AJ38" i="68"/>
  <c r="AZ38" i="68"/>
  <c r="BP38" i="68"/>
  <c r="AF38" i="68"/>
  <c r="AN38" i="68"/>
  <c r="BD38" i="68"/>
  <c r="BL38" i="68"/>
  <c r="D12" i="65"/>
  <c r="E12" i="65" s="1"/>
  <c r="D14" i="65"/>
  <c r="H9" i="67"/>
  <c r="H7" i="67"/>
  <c r="H8" i="67" s="1"/>
  <c r="J162" i="67"/>
  <c r="J160" i="67"/>
  <c r="J161" i="67" s="1"/>
  <c r="I162" i="67"/>
  <c r="I160" i="67"/>
  <c r="I161" i="67" s="1"/>
  <c r="V14" i="65"/>
  <c r="AF13" i="65"/>
  <c r="V13" i="65"/>
  <c r="E13" i="65"/>
  <c r="AF12" i="65"/>
  <c r="V12" i="65"/>
  <c r="AF14" i="65"/>
  <c r="D8" i="67"/>
  <c r="D157" i="67" s="1"/>
  <c r="D159" i="67" s="1"/>
  <c r="D161" i="67" s="1"/>
  <c r="D9" i="67"/>
  <c r="D158" i="67" s="1"/>
  <c r="D160" i="67" s="1"/>
  <c r="D162" i="67" s="1"/>
  <c r="D163" i="67" s="1"/>
  <c r="D164" i="67" s="1"/>
  <c r="E9" i="67"/>
  <c r="E158" i="67" s="1"/>
  <c r="E160" i="67" s="1"/>
  <c r="E162" i="67" s="1"/>
  <c r="E163" i="67" s="1"/>
  <c r="E164" i="67" s="1"/>
  <c r="I6" i="67"/>
  <c r="J6" i="67"/>
  <c r="F1459" i="67"/>
  <c r="F1532" i="67"/>
  <c r="F1533" i="67" s="1"/>
  <c r="F1534" i="67" s="1"/>
  <c r="H1534" i="67" s="1"/>
  <c r="H1531" i="67"/>
  <c r="H1467" i="67"/>
  <c r="H1547" i="67"/>
  <c r="G12" i="68"/>
  <c r="G13" i="68" s="1"/>
  <c r="G14" i="68" s="1"/>
  <c r="G15" i="68" s="1"/>
  <c r="G16" i="68" s="1"/>
  <c r="G17" i="68" s="1"/>
  <c r="G18" i="68" s="1"/>
  <c r="G11" i="68" s="1"/>
  <c r="G59" i="68" s="1"/>
  <c r="G4" i="68"/>
  <c r="G58" i="68" s="1"/>
  <c r="D12" i="68"/>
  <c r="D13" i="68" s="1"/>
  <c r="D14" i="68" s="1"/>
  <c r="D15" i="68" s="1"/>
  <c r="D16" i="68" s="1"/>
  <c r="D17" i="68" s="1"/>
  <c r="D18" i="68" s="1"/>
  <c r="D4" i="68"/>
  <c r="D58" i="68" s="1"/>
  <c r="H12" i="68"/>
  <c r="H13" i="68" s="1"/>
  <c r="H14" i="68" s="1"/>
  <c r="H15" i="68" s="1"/>
  <c r="H16" i="68" s="1"/>
  <c r="H17" i="68" s="1"/>
  <c r="H18" i="68" s="1"/>
  <c r="H11" i="68" s="1"/>
  <c r="H4" i="68"/>
  <c r="D34" i="68"/>
  <c r="D62" i="68" s="1"/>
  <c r="D35" i="68"/>
  <c r="D36" i="68" s="1"/>
  <c r="D37" i="68" s="1"/>
  <c r="D38" i="68" s="1"/>
  <c r="D39" i="68" s="1"/>
  <c r="D40" i="68" s="1"/>
  <c r="D41" i="68" s="1"/>
  <c r="H49" i="68"/>
  <c r="H50" i="68"/>
  <c r="H51" i="68" s="1"/>
  <c r="G50" i="68"/>
  <c r="G51" i="68" s="1"/>
  <c r="G49" i="68"/>
  <c r="G66" i="68" s="1"/>
  <c r="D1465" i="67"/>
  <c r="D1466" i="67"/>
  <c r="D1467" i="67" s="1"/>
  <c r="D1468" i="67" s="1"/>
  <c r="D1469" i="67" s="1"/>
  <c r="D1470" i="67" s="1"/>
  <c r="D1471" i="67" s="1"/>
  <c r="D1472" i="67" s="1"/>
  <c r="D1473" i="67" s="1"/>
  <c r="D1474" i="67" s="1"/>
  <c r="D1475" i="67" s="1"/>
  <c r="D1476" i="67" s="1"/>
  <c r="D1477" i="67" s="1"/>
  <c r="D1478" i="67" s="1"/>
  <c r="D1479" i="67" s="1"/>
  <c r="D1480" i="67" s="1"/>
  <c r="D1481" i="67" s="1"/>
  <c r="D1482" i="67" s="1"/>
  <c r="D1483" i="67" s="1"/>
  <c r="D1484" i="67" s="1"/>
  <c r="D1485" i="67" s="1"/>
  <c r="D1486" i="67" s="1"/>
  <c r="D1487" i="67" s="1"/>
  <c r="D1488" i="67" s="1"/>
  <c r="D1489" i="67" s="1"/>
  <c r="D1490" i="67" s="1"/>
  <c r="D1491" i="67" s="1"/>
  <c r="D1492" i="67" s="1"/>
  <c r="D1493" i="67" s="1"/>
  <c r="D1494" i="67" s="1"/>
  <c r="D1495" i="67" s="1"/>
  <c r="D1496" i="67" s="1"/>
  <c r="D1497" i="67" s="1"/>
  <c r="F1516" i="67"/>
  <c r="H1515" i="67"/>
  <c r="F1454" i="67"/>
  <c r="E1466" i="67"/>
  <c r="E1467" i="67" s="1"/>
  <c r="E1468" i="67" s="1"/>
  <c r="E1469" i="67" s="1"/>
  <c r="E1470" i="67" s="1"/>
  <c r="E1471" i="67" s="1"/>
  <c r="E1472" i="67" s="1"/>
  <c r="E1473" i="67" s="1"/>
  <c r="E1474" i="67" s="1"/>
  <c r="E1475" i="67" s="1"/>
  <c r="E1476" i="67" s="1"/>
  <c r="E1477" i="67" s="1"/>
  <c r="E1478" i="67" s="1"/>
  <c r="E1479" i="67" s="1"/>
  <c r="E1480" i="67" s="1"/>
  <c r="E1481" i="67" s="1"/>
  <c r="E1482" i="67" s="1"/>
  <c r="E1483" i="67" s="1"/>
  <c r="E1484" i="67" s="1"/>
  <c r="E1485" i="67" s="1"/>
  <c r="E1486" i="67" s="1"/>
  <c r="E1487" i="67" s="1"/>
  <c r="E1488" i="67" s="1"/>
  <c r="E1489" i="67" s="1"/>
  <c r="E1490" i="67" s="1"/>
  <c r="E1491" i="67" s="1"/>
  <c r="E1492" i="67" s="1"/>
  <c r="E1493" i="67" s="1"/>
  <c r="E1494" i="67" s="1"/>
  <c r="E1495" i="67" s="1"/>
  <c r="E1496" i="67" s="1"/>
  <c r="E1497" i="67" s="1"/>
  <c r="E1498" i="67" s="1"/>
  <c r="E1499" i="67" s="1"/>
  <c r="E1500" i="67" s="1"/>
  <c r="E1501" i="67" s="1"/>
  <c r="E1502" i="67" s="1"/>
  <c r="E1503" i="67" s="1"/>
  <c r="E1504" i="67" s="1"/>
  <c r="E1505" i="67" s="1"/>
  <c r="E1506" i="67" s="1"/>
  <c r="E1507" i="67" s="1"/>
  <c r="E1508" i="67" s="1"/>
  <c r="E1509" i="67" s="1"/>
  <c r="E1465" i="67"/>
  <c r="I1466" i="67"/>
  <c r="I1467" i="67" s="1"/>
  <c r="I1468" i="67" s="1"/>
  <c r="I1469" i="67" s="1"/>
  <c r="I1470" i="67" s="1"/>
  <c r="I1471" i="67" s="1"/>
  <c r="I1472" i="67" s="1"/>
  <c r="I1473" i="67" s="1"/>
  <c r="I1474" i="67" s="1"/>
  <c r="I1475" i="67" s="1"/>
  <c r="I1476" i="67" s="1"/>
  <c r="I1477" i="67" s="1"/>
  <c r="I1478" i="67" s="1"/>
  <c r="I1479" i="67" s="1"/>
  <c r="I1480" i="67" s="1"/>
  <c r="I1481" i="67" s="1"/>
  <c r="I1482" i="67" s="1"/>
  <c r="I1483" i="67" s="1"/>
  <c r="I1484" i="67" s="1"/>
  <c r="I1485" i="67" s="1"/>
  <c r="I1486" i="67" s="1"/>
  <c r="I1487" i="67" s="1"/>
  <c r="I1488" i="67" s="1"/>
  <c r="I1489" i="67" s="1"/>
  <c r="I1490" i="67" s="1"/>
  <c r="I1491" i="67" s="1"/>
  <c r="I1492" i="67" s="1"/>
  <c r="I1493" i="67" s="1"/>
  <c r="I1494" i="67" s="1"/>
  <c r="I1495" i="67" s="1"/>
  <c r="I1496" i="67" s="1"/>
  <c r="I1497" i="67" s="1"/>
  <c r="I1510" i="67" s="1"/>
  <c r="I1511" i="67" s="1"/>
  <c r="I1512" i="67" s="1"/>
  <c r="I1513" i="67" s="1"/>
  <c r="I1514" i="67" s="1"/>
  <c r="I1515" i="67" s="1"/>
  <c r="I1516" i="67" s="1"/>
  <c r="I1517" i="67" s="1"/>
  <c r="I1518" i="67" s="1"/>
  <c r="I1519" i="67" s="1"/>
  <c r="I1520" i="67" s="1"/>
  <c r="I1521" i="67" s="1"/>
  <c r="I1522" i="67" s="1"/>
  <c r="I1523" i="67" s="1"/>
  <c r="I1524" i="67" s="1"/>
  <c r="I1525" i="67" s="1"/>
  <c r="I1526" i="67" s="1"/>
  <c r="I1527" i="67" s="1"/>
  <c r="I1528" i="67" s="1"/>
  <c r="I1529" i="67" s="1"/>
  <c r="I1530" i="67" s="1"/>
  <c r="I1531" i="67" s="1"/>
  <c r="I1532" i="67" s="1"/>
  <c r="I1533" i="67" s="1"/>
  <c r="I1534" i="67" s="1"/>
  <c r="I1535" i="67" s="1"/>
  <c r="I1536" i="67" s="1"/>
  <c r="I1537" i="67" s="1"/>
  <c r="I1538" i="67" s="1"/>
  <c r="I1539" i="67" s="1"/>
  <c r="I1540" i="67" s="1"/>
  <c r="I1541" i="67" s="1"/>
  <c r="I1542" i="67" s="1"/>
  <c r="I1543" i="67" s="1"/>
  <c r="I1544" i="67" s="1"/>
  <c r="I1545" i="67" s="1"/>
  <c r="I1546" i="67" s="1"/>
  <c r="I1547" i="67" s="1"/>
  <c r="I1548" i="67" s="1"/>
  <c r="I1549" i="67" s="1"/>
  <c r="I1550" i="67" s="1"/>
  <c r="I1551" i="67" s="1"/>
  <c r="I1552" i="67" s="1"/>
  <c r="I1553" i="67" s="1"/>
  <c r="I1554" i="67" s="1"/>
  <c r="I1555" i="67" s="1"/>
  <c r="I1556" i="67" s="1"/>
  <c r="I1557" i="67" s="1"/>
  <c r="I1558" i="67" s="1"/>
  <c r="I1559" i="67" s="1"/>
  <c r="I1560" i="67" s="1"/>
  <c r="I1561" i="67" s="1"/>
  <c r="I1562" i="67" s="1"/>
  <c r="J1466" i="67"/>
  <c r="J1467" i="67" s="1"/>
  <c r="J1468" i="67" s="1"/>
  <c r="J1469" i="67" s="1"/>
  <c r="J1470" i="67" s="1"/>
  <c r="J1471" i="67" s="1"/>
  <c r="J1472" i="67" s="1"/>
  <c r="J1473" i="67" s="1"/>
  <c r="J1474" i="67" s="1"/>
  <c r="J1475" i="67" s="1"/>
  <c r="J1476" i="67" s="1"/>
  <c r="J1477" i="67" s="1"/>
  <c r="J1478" i="67" s="1"/>
  <c r="J1479" i="67" s="1"/>
  <c r="J1480" i="67" s="1"/>
  <c r="J1481" i="67" s="1"/>
  <c r="J1482" i="67" s="1"/>
  <c r="J1483" i="67" s="1"/>
  <c r="J1484" i="67" s="1"/>
  <c r="J1485" i="67" s="1"/>
  <c r="J1486" i="67" s="1"/>
  <c r="J1487" i="67" s="1"/>
  <c r="J1488" i="67" s="1"/>
  <c r="J1489" i="67" s="1"/>
  <c r="J1490" i="67" s="1"/>
  <c r="J1491" i="67" s="1"/>
  <c r="J1492" i="67" s="1"/>
  <c r="J1493" i="67" s="1"/>
  <c r="J1494" i="67" s="1"/>
  <c r="J1495" i="67" s="1"/>
  <c r="J1496" i="67" s="1"/>
  <c r="J1497" i="67" s="1"/>
  <c r="F1468" i="67"/>
  <c r="G1482" i="67"/>
  <c r="H1482" i="67" s="1"/>
  <c r="H1511" i="67"/>
  <c r="F1512" i="67"/>
  <c r="H1510" i="67"/>
  <c r="H1514" i="67"/>
  <c r="F1549" i="67"/>
  <c r="H1548" i="67"/>
  <c r="AE8" i="65"/>
  <c r="AF8" i="65" s="1"/>
  <c r="J9" i="65"/>
  <c r="F9" i="65"/>
  <c r="G11" i="65"/>
  <c r="H10" i="65"/>
  <c r="D10" i="65"/>
  <c r="H9" i="65"/>
  <c r="D9" i="65"/>
  <c r="U6" i="65"/>
  <c r="U9" i="65" s="1"/>
  <c r="F11" i="65"/>
  <c r="G10" i="65"/>
  <c r="B11" i="65"/>
  <c r="I11" i="65"/>
  <c r="E11" i="65"/>
  <c r="J10" i="65"/>
  <c r="I9" i="65"/>
  <c r="E9" i="65"/>
  <c r="K8" i="65"/>
  <c r="K11" i="65" s="1"/>
  <c r="C10" i="65"/>
  <c r="AE6" i="65"/>
  <c r="AE9" i="65" s="1"/>
  <c r="C11" i="65"/>
  <c r="C29" i="65" s="1"/>
  <c r="F10" i="65"/>
  <c r="J11" i="65"/>
  <c r="G9" i="65"/>
  <c r="C9" i="65"/>
  <c r="C25" i="65" s="1"/>
  <c r="H11" i="65"/>
  <c r="D11" i="65"/>
  <c r="I10" i="65"/>
  <c r="E10" i="65"/>
  <c r="K6" i="65"/>
  <c r="L6" i="65" s="1"/>
  <c r="M6" i="65" s="1"/>
  <c r="B9" i="65"/>
  <c r="K7" i="65"/>
  <c r="U7" i="65"/>
  <c r="B10" i="65"/>
  <c r="U8" i="65"/>
  <c r="AE7" i="65"/>
  <c r="D33" i="57"/>
  <c r="E33" i="57"/>
  <c r="F33" i="57"/>
  <c r="G33" i="57"/>
  <c r="G35" i="57" s="1"/>
  <c r="H33" i="57"/>
  <c r="I33" i="57"/>
  <c r="J33" i="57"/>
  <c r="K33" i="57"/>
  <c r="K35" i="57" s="1"/>
  <c r="L33" i="57"/>
  <c r="M33" i="57"/>
  <c r="N33" i="57"/>
  <c r="N35" i="57" s="1"/>
  <c r="O33" i="57"/>
  <c r="O35" i="57" s="1"/>
  <c r="P33" i="57"/>
  <c r="Q33" i="57"/>
  <c r="R33" i="57"/>
  <c r="R35" i="57" s="1"/>
  <c r="S33" i="57"/>
  <c r="S35" i="57" s="1"/>
  <c r="T33" i="57"/>
  <c r="U33" i="57"/>
  <c r="V33" i="57"/>
  <c r="W33" i="57"/>
  <c r="W35" i="57" s="1"/>
  <c r="X33" i="57"/>
  <c r="Y33" i="57"/>
  <c r="Z33" i="57"/>
  <c r="AA33" i="57"/>
  <c r="AA35" i="57" s="1"/>
  <c r="AB33" i="57"/>
  <c r="AC33" i="57"/>
  <c r="AD33" i="57"/>
  <c r="AD35" i="57" s="1"/>
  <c r="C33" i="57"/>
  <c r="C35" i="57" s="1"/>
  <c r="D35" i="57"/>
  <c r="E35" i="57"/>
  <c r="F35" i="57"/>
  <c r="H35" i="57"/>
  <c r="I35" i="57"/>
  <c r="J35" i="57"/>
  <c r="L35" i="57"/>
  <c r="M35" i="57"/>
  <c r="P35" i="57"/>
  <c r="Q35" i="57"/>
  <c r="T35" i="57"/>
  <c r="U35" i="57"/>
  <c r="V35" i="57"/>
  <c r="X35" i="57"/>
  <c r="Y35" i="57"/>
  <c r="Z35" i="57"/>
  <c r="AB35" i="57"/>
  <c r="AC35" i="57"/>
  <c r="BJ39" i="68" l="1"/>
  <c r="AY39" i="68"/>
  <c r="AP39" i="68"/>
  <c r="BO39" i="68"/>
  <c r="AI39" i="68"/>
  <c r="AQ39" i="68"/>
  <c r="BF36" i="68"/>
  <c r="AP36" i="68"/>
  <c r="AV36" i="68"/>
  <c r="AL36" i="68"/>
  <c r="AR36" i="68"/>
  <c r="BG36" i="68"/>
  <c r="BK36" i="68"/>
  <c r="AE36" i="68"/>
  <c r="AH36" i="68"/>
  <c r="BI30" i="68"/>
  <c r="AG30" i="68"/>
  <c r="AY30" i="68"/>
  <c r="BK30" i="68"/>
  <c r="BL30" i="68"/>
  <c r="AF30" i="68"/>
  <c r="AL30" i="68"/>
  <c r="AP30" i="68"/>
  <c r="BE37" i="68"/>
  <c r="BQ37" i="68"/>
  <c r="AK37" i="68"/>
  <c r="AR37" i="68"/>
  <c r="AU37" i="68"/>
  <c r="AV37" i="68"/>
  <c r="BJ37" i="68"/>
  <c r="BN37" i="68"/>
  <c r="AH37" i="68"/>
  <c r="AN28" i="68"/>
  <c r="AY28" i="68"/>
  <c r="BA28" i="68"/>
  <c r="AT39" i="68"/>
  <c r="AV39" i="68"/>
  <c r="AJ39" i="68"/>
  <c r="AE35" i="68"/>
  <c r="AN35" i="68"/>
  <c r="BH35" i="68"/>
  <c r="BN35" i="68"/>
  <c r="AH35" i="68"/>
  <c r="BA35" i="68"/>
  <c r="AT35" i="68"/>
  <c r="AM28" i="68"/>
  <c r="AX28" i="68"/>
  <c r="AY36" i="68"/>
  <c r="BC36" i="68"/>
  <c r="AW30" i="68"/>
  <c r="AI37" i="68"/>
  <c r="AY35" i="68"/>
  <c r="BK35" i="68"/>
  <c r="AW35" i="68"/>
  <c r="BP28" i="68"/>
  <c r="AJ28" i="68"/>
  <c r="BI28" i="68"/>
  <c r="AT28" i="68"/>
  <c r="AW28" i="68"/>
  <c r="AS39" i="68"/>
  <c r="BE39" i="68"/>
  <c r="BL39" i="68"/>
  <c r="BQ29" i="68"/>
  <c r="AL29" i="68"/>
  <c r="AK29" i="68"/>
  <c r="AR29" i="68"/>
  <c r="AH29" i="68"/>
  <c r="AG29" i="68"/>
  <c r="AN29" i="68"/>
  <c r="AY29" i="68"/>
  <c r="AY27" i="68" s="1"/>
  <c r="BK29" i="68"/>
  <c r="AO36" i="68"/>
  <c r="BQ36" i="68"/>
  <c r="AG36" i="68"/>
  <c r="AN36" i="68"/>
  <c r="BI36" i="68"/>
  <c r="BP36" i="68"/>
  <c r="AF36" i="68"/>
  <c r="BJ32" i="68"/>
  <c r="BA30" i="68"/>
  <c r="BM30" i="68"/>
  <c r="AE30" i="68"/>
  <c r="AQ30" i="68"/>
  <c r="AZ30" i="68"/>
  <c r="BC30" i="68"/>
  <c r="BD30" i="68"/>
  <c r="BJ30" i="68"/>
  <c r="BN30" i="68"/>
  <c r="AH30" i="68"/>
  <c r="AO37" i="68"/>
  <c r="BI37" i="68"/>
  <c r="BP37" i="68"/>
  <c r="AJ37" i="68"/>
  <c r="AM37" i="68"/>
  <c r="AN37" i="68"/>
  <c r="BB37" i="68"/>
  <c r="BF37" i="68"/>
  <c r="AE37" i="68"/>
  <c r="BG39" i="68"/>
  <c r="AH39" i="68"/>
  <c r="BL35" i="68"/>
  <c r="AF35" i="68"/>
  <c r="AQ35" i="68"/>
  <c r="AZ35" i="68"/>
  <c r="BC35" i="68"/>
  <c r="BF35" i="68"/>
  <c r="BQ35" i="68"/>
  <c r="AK35" i="68"/>
  <c r="AL35" i="68"/>
  <c r="AO35" i="68"/>
  <c r="BH28" i="68"/>
  <c r="BK28" i="68"/>
  <c r="BL28" i="68"/>
  <c r="AF28" i="68"/>
  <c r="AQ28" i="68"/>
  <c r="AK28" i="68"/>
  <c r="AP28" i="68"/>
  <c r="AS28" i="68"/>
  <c r="AL28" i="68"/>
  <c r="AO28" i="68"/>
  <c r="BC39" i="68"/>
  <c r="AG39" i="68"/>
  <c r="AK39" i="68"/>
  <c r="AL39" i="68"/>
  <c r="AW39" i="68"/>
  <c r="BD39" i="68"/>
  <c r="BH39" i="68"/>
  <c r="AE39" i="68"/>
  <c r="BN29" i="68"/>
  <c r="BM29" i="68"/>
  <c r="BI29" i="68"/>
  <c r="BP29" i="68"/>
  <c r="AF29" i="68"/>
  <c r="BE29" i="68"/>
  <c r="BL29" i="68"/>
  <c r="AJ29" i="68"/>
  <c r="AQ29" i="68"/>
  <c r="BC29" i="68"/>
  <c r="AK36" i="68"/>
  <c r="BJ36" i="68"/>
  <c r="BM36" i="68"/>
  <c r="BE36" i="68"/>
  <c r="BL36" i="68"/>
  <c r="BB36" i="68"/>
  <c r="BA36" i="68"/>
  <c r="BH36" i="68"/>
  <c r="AJ36" i="68"/>
  <c r="AQ36" i="68"/>
  <c r="AU36" i="68"/>
  <c r="AO32" i="68"/>
  <c r="BA32" i="68"/>
  <c r="AJ32" i="68"/>
  <c r="AN32" i="68"/>
  <c r="AS30" i="68"/>
  <c r="BE30" i="68"/>
  <c r="BO30" i="68"/>
  <c r="AI30" i="68"/>
  <c r="AR30" i="68"/>
  <c r="AU30" i="68"/>
  <c r="AV30" i="68"/>
  <c r="BB30" i="68"/>
  <c r="BF30" i="68"/>
  <c r="AG37" i="68"/>
  <c r="BA37" i="68"/>
  <c r="BH37" i="68"/>
  <c r="BK37" i="68"/>
  <c r="BL37" i="68"/>
  <c r="AF37" i="68"/>
  <c r="AT37" i="68"/>
  <c r="AX37" i="68"/>
  <c r="BN39" i="68"/>
  <c r="BG37" i="68"/>
  <c r="BO37" i="68"/>
  <c r="BD35" i="68"/>
  <c r="BO35" i="68"/>
  <c r="AI35" i="68"/>
  <c r="AR35" i="68"/>
  <c r="AU35" i="68"/>
  <c r="AX35" i="68"/>
  <c r="BI35" i="68"/>
  <c r="BJ35" i="68"/>
  <c r="BM35" i="68"/>
  <c r="AG35" i="68"/>
  <c r="AZ28" i="68"/>
  <c r="BC28" i="68"/>
  <c r="BD28" i="68"/>
  <c r="BO28" i="68"/>
  <c r="AI28" i="68"/>
  <c r="BN28" i="68"/>
  <c r="AH28" i="68"/>
  <c r="BJ28" i="68"/>
  <c r="BM28" i="68"/>
  <c r="AG28" i="68"/>
  <c r="AU39" i="68"/>
  <c r="BI39" i="68"/>
  <c r="BQ39" i="68"/>
  <c r="AO39" i="68"/>
  <c r="AN39" i="68"/>
  <c r="AZ39" i="68"/>
  <c r="BF29" i="68"/>
  <c r="BB29" i="68"/>
  <c r="BA29" i="68"/>
  <c r="BH29" i="68"/>
  <c r="AX29" i="68"/>
  <c r="AW29" i="68"/>
  <c r="BD29" i="68"/>
  <c r="BO29" i="68"/>
  <c r="AI29" i="68"/>
  <c r="AU29" i="68"/>
  <c r="BH30" i="68"/>
  <c r="BN36" i="68"/>
  <c r="AX36" i="68"/>
  <c r="AW36" i="68"/>
  <c r="BD36" i="68"/>
  <c r="AT36" i="68"/>
  <c r="AS36" i="68"/>
  <c r="AZ36" i="68"/>
  <c r="BO36" i="68"/>
  <c r="AI36" i="68"/>
  <c r="AM36" i="68"/>
  <c r="BG32" i="68"/>
  <c r="BN32" i="68"/>
  <c r="BQ30" i="68"/>
  <c r="AK30" i="68"/>
  <c r="AO30" i="68"/>
  <c r="BG30" i="68"/>
  <c r="BP30" i="68"/>
  <c r="AJ30" i="68"/>
  <c r="AM30" i="68"/>
  <c r="AN30" i="68"/>
  <c r="AT30" i="68"/>
  <c r="AX30" i="68"/>
  <c r="BM37" i="68"/>
  <c r="AW37" i="68"/>
  <c r="AS37" i="68"/>
  <c r="AZ37" i="68"/>
  <c r="BC37" i="68"/>
  <c r="BD37" i="68"/>
  <c r="AL37" i="68"/>
  <c r="AP37" i="68"/>
  <c r="BK39" i="68"/>
  <c r="AY37" i="68"/>
  <c r="AQ37" i="68"/>
  <c r="AV35" i="68"/>
  <c r="BG35" i="68"/>
  <c r="BP35" i="68"/>
  <c r="AJ35" i="68"/>
  <c r="AM35" i="68"/>
  <c r="AP35" i="68"/>
  <c r="AS35" i="68"/>
  <c r="BB35" i="68"/>
  <c r="BE35" i="68"/>
  <c r="AR28" i="68"/>
  <c r="AU28" i="68"/>
  <c r="AV28" i="68"/>
  <c r="BG28" i="68"/>
  <c r="AE28" i="68"/>
  <c r="BF28" i="68"/>
  <c r="BQ28" i="68"/>
  <c r="BB28" i="68"/>
  <c r="BE28" i="68"/>
  <c r="AM39" i="68"/>
  <c r="BA39" i="68"/>
  <c r="BB39" i="68"/>
  <c r="BM39" i="68"/>
  <c r="BP39" i="68"/>
  <c r="AF39" i="68"/>
  <c r="AR39" i="68"/>
  <c r="BJ29" i="68"/>
  <c r="AT29" i="68"/>
  <c r="AS29" i="68"/>
  <c r="AZ29" i="68"/>
  <c r="AP29" i="68"/>
  <c r="AO29" i="68"/>
  <c r="AV29" i="68"/>
  <c r="BG29" i="68"/>
  <c r="AE29" i="68"/>
  <c r="AM29" i="68"/>
  <c r="E14" i="65"/>
  <c r="F1535" i="67"/>
  <c r="H1535" i="67" s="1"/>
  <c r="F1451" i="67"/>
  <c r="D25" i="65"/>
  <c r="E25" i="65" s="1"/>
  <c r="F25" i="65" s="1"/>
  <c r="G25" i="65" s="1"/>
  <c r="H25" i="65" s="1"/>
  <c r="I25" i="65" s="1"/>
  <c r="J25" i="65" s="1"/>
  <c r="I9" i="67"/>
  <c r="I7" i="67"/>
  <c r="I8" i="67" s="1"/>
  <c r="J9" i="67"/>
  <c r="J7" i="67"/>
  <c r="J8" i="67" s="1"/>
  <c r="AG14" i="65"/>
  <c r="F12" i="65"/>
  <c r="W12" i="65"/>
  <c r="AG12" i="65"/>
  <c r="AG13" i="65"/>
  <c r="F13" i="65"/>
  <c r="W13" i="65"/>
  <c r="W14" i="65"/>
  <c r="AE11" i="65"/>
  <c r="H1532" i="67"/>
  <c r="H1533" i="67"/>
  <c r="G52" i="68"/>
  <c r="G67" i="68" s="1"/>
  <c r="G53" i="68"/>
  <c r="G54" i="68" s="1"/>
  <c r="H53" i="68"/>
  <c r="H54" i="68" s="1"/>
  <c r="H52" i="68"/>
  <c r="D20" i="68"/>
  <c r="D21" i="68" s="1"/>
  <c r="D22" i="68" s="1"/>
  <c r="D23" i="68" s="1"/>
  <c r="D24" i="68" s="1"/>
  <c r="D25" i="68" s="1"/>
  <c r="D26" i="68" s="1"/>
  <c r="D19" i="68" s="1"/>
  <c r="D60" i="68" s="1"/>
  <c r="D11" i="68"/>
  <c r="D59" i="68" s="1"/>
  <c r="D63" i="68"/>
  <c r="D42" i="68"/>
  <c r="F1456" i="67"/>
  <c r="F1455" i="67"/>
  <c r="D1510" i="67"/>
  <c r="D1511" i="67" s="1"/>
  <c r="D1512" i="67" s="1"/>
  <c r="D1513" i="67" s="1"/>
  <c r="D1514" i="67" s="1"/>
  <c r="D1515" i="67" s="1"/>
  <c r="D1516" i="67" s="1"/>
  <c r="D1517" i="67" s="1"/>
  <c r="D1518" i="67" s="1"/>
  <c r="D1519" i="67" s="1"/>
  <c r="D1520" i="67" s="1"/>
  <c r="D1521" i="67" s="1"/>
  <c r="D1522" i="67" s="1"/>
  <c r="D1523" i="67" s="1"/>
  <c r="D1524" i="67" s="1"/>
  <c r="D1525" i="67" s="1"/>
  <c r="D1526" i="67" s="1"/>
  <c r="D1527" i="67" s="1"/>
  <c r="D1528" i="67" s="1"/>
  <c r="D1529" i="67" s="1"/>
  <c r="D1530" i="67" s="1"/>
  <c r="D1531" i="67" s="1"/>
  <c r="D1532" i="67" s="1"/>
  <c r="D1533" i="67" s="1"/>
  <c r="D1534" i="67" s="1"/>
  <c r="D1535" i="67" s="1"/>
  <c r="D1536" i="67" s="1"/>
  <c r="D1537" i="67" s="1"/>
  <c r="D1538" i="67" s="1"/>
  <c r="D1539" i="67" s="1"/>
  <c r="D1540" i="67" s="1"/>
  <c r="D1541" i="67" s="1"/>
  <c r="D1542" i="67" s="1"/>
  <c r="D1543" i="67" s="1"/>
  <c r="D1544" i="67" s="1"/>
  <c r="D1545" i="67" s="1"/>
  <c r="D1546" i="67" s="1"/>
  <c r="D1547" i="67" s="1"/>
  <c r="D1548" i="67" s="1"/>
  <c r="D1549" i="67" s="1"/>
  <c r="D1550" i="67" s="1"/>
  <c r="D1551" i="67" s="1"/>
  <c r="D1552" i="67" s="1"/>
  <c r="D1553" i="67" s="1"/>
  <c r="D1554" i="67" s="1"/>
  <c r="D1555" i="67" s="1"/>
  <c r="D1556" i="67" s="1"/>
  <c r="D1557" i="67" s="1"/>
  <c r="D1558" i="67" s="1"/>
  <c r="D1559" i="67" s="1"/>
  <c r="D1560" i="67" s="1"/>
  <c r="D1561" i="67" s="1"/>
  <c r="D1562" i="67" s="1"/>
  <c r="D1498" i="67"/>
  <c r="D1499" i="67" s="1"/>
  <c r="D1500" i="67" s="1"/>
  <c r="D1501" i="67" s="1"/>
  <c r="D1502" i="67" s="1"/>
  <c r="D1503" i="67" s="1"/>
  <c r="D1504" i="67" s="1"/>
  <c r="D1505" i="67" s="1"/>
  <c r="D1506" i="67" s="1"/>
  <c r="D1507" i="67" s="1"/>
  <c r="D1508" i="67" s="1"/>
  <c r="D1509" i="67" s="1"/>
  <c r="F1550" i="67"/>
  <c r="H1549" i="67"/>
  <c r="H1468" i="67"/>
  <c r="F1469" i="67"/>
  <c r="H1512" i="67"/>
  <c r="F1513" i="67"/>
  <c r="H1513" i="67" s="1"/>
  <c r="J1510" i="67"/>
  <c r="J1511" i="67" s="1"/>
  <c r="J1512" i="67" s="1"/>
  <c r="J1513" i="67" s="1"/>
  <c r="J1514" i="67" s="1"/>
  <c r="J1515" i="67" s="1"/>
  <c r="J1516" i="67" s="1"/>
  <c r="J1517" i="67" s="1"/>
  <c r="J1518" i="67" s="1"/>
  <c r="J1519" i="67" s="1"/>
  <c r="J1520" i="67" s="1"/>
  <c r="J1521" i="67" s="1"/>
  <c r="J1522" i="67" s="1"/>
  <c r="J1523" i="67" s="1"/>
  <c r="J1524" i="67" s="1"/>
  <c r="J1525" i="67" s="1"/>
  <c r="J1526" i="67" s="1"/>
  <c r="J1527" i="67" s="1"/>
  <c r="J1528" i="67" s="1"/>
  <c r="J1529" i="67" s="1"/>
  <c r="J1530" i="67" s="1"/>
  <c r="J1531" i="67" s="1"/>
  <c r="J1532" i="67" s="1"/>
  <c r="J1533" i="67" s="1"/>
  <c r="J1534" i="67" s="1"/>
  <c r="J1535" i="67" s="1"/>
  <c r="J1536" i="67" s="1"/>
  <c r="J1537" i="67" s="1"/>
  <c r="J1538" i="67" s="1"/>
  <c r="J1539" i="67" s="1"/>
  <c r="J1540" i="67" s="1"/>
  <c r="J1541" i="67" s="1"/>
  <c r="J1542" i="67" s="1"/>
  <c r="J1543" i="67" s="1"/>
  <c r="J1544" i="67" s="1"/>
  <c r="J1545" i="67" s="1"/>
  <c r="J1546" i="67" s="1"/>
  <c r="J1547" i="67" s="1"/>
  <c r="J1548" i="67" s="1"/>
  <c r="J1549" i="67" s="1"/>
  <c r="J1550" i="67" s="1"/>
  <c r="J1551" i="67" s="1"/>
  <c r="J1552" i="67" s="1"/>
  <c r="J1553" i="67" s="1"/>
  <c r="J1554" i="67" s="1"/>
  <c r="J1555" i="67" s="1"/>
  <c r="J1556" i="67" s="1"/>
  <c r="J1557" i="67" s="1"/>
  <c r="J1558" i="67" s="1"/>
  <c r="J1559" i="67" s="1"/>
  <c r="J1560" i="67" s="1"/>
  <c r="J1561" i="67" s="1"/>
  <c r="J1562" i="67" s="1"/>
  <c r="J1498" i="67"/>
  <c r="J1499" i="67" s="1"/>
  <c r="J1500" i="67" s="1"/>
  <c r="J1501" i="67" s="1"/>
  <c r="J1502" i="67" s="1"/>
  <c r="J1503" i="67" s="1"/>
  <c r="J1504" i="67" s="1"/>
  <c r="J1505" i="67" s="1"/>
  <c r="J1506" i="67" s="1"/>
  <c r="J1507" i="67" s="1"/>
  <c r="J1508" i="67" s="1"/>
  <c r="J1509" i="67" s="1"/>
  <c r="F1517" i="67"/>
  <c r="H1516" i="67"/>
  <c r="D29" i="65"/>
  <c r="E29" i="65" s="1"/>
  <c r="F29" i="65" s="1"/>
  <c r="G29" i="65" s="1"/>
  <c r="H29" i="65" s="1"/>
  <c r="I29" i="65" s="1"/>
  <c r="J29" i="65" s="1"/>
  <c r="L8" i="65"/>
  <c r="M8" i="65" s="1"/>
  <c r="C26" i="65"/>
  <c r="D26" i="65" s="1"/>
  <c r="E26" i="65" s="1"/>
  <c r="F26" i="65" s="1"/>
  <c r="G26" i="65" s="1"/>
  <c r="H26" i="65" s="1"/>
  <c r="I26" i="65" s="1"/>
  <c r="J26" i="65" s="1"/>
  <c r="C28" i="65"/>
  <c r="C27" i="65"/>
  <c r="D27" i="65" s="1"/>
  <c r="E27" i="65" s="1"/>
  <c r="F27" i="65" s="1"/>
  <c r="G27" i="65" s="1"/>
  <c r="H27" i="65" s="1"/>
  <c r="I27" i="65" s="1"/>
  <c r="J27" i="65" s="1"/>
  <c r="AF6" i="65"/>
  <c r="AG6" i="65" s="1"/>
  <c r="V6" i="65"/>
  <c r="W6" i="65" s="1"/>
  <c r="L9" i="65"/>
  <c r="K9" i="65"/>
  <c r="U11" i="65"/>
  <c r="V8" i="65"/>
  <c r="V7" i="65"/>
  <c r="U10" i="65"/>
  <c r="K10" i="65"/>
  <c r="L7" i="65"/>
  <c r="N6" i="65"/>
  <c r="M9" i="65"/>
  <c r="AE10" i="65"/>
  <c r="AF7" i="65"/>
  <c r="AG8" i="65"/>
  <c r="AF11" i="65"/>
  <c r="AJ35" i="57"/>
  <c r="AK35" i="57"/>
  <c r="Y43" i="50" s="1"/>
  <c r="BQ27" i="68" l="1"/>
  <c r="BF27" i="68"/>
  <c r="AG27" i="68"/>
  <c r="F1536" i="67"/>
  <c r="AP34" i="68"/>
  <c r="D28" i="65"/>
  <c r="E28" i="65" s="1"/>
  <c r="F28" i="65" s="1"/>
  <c r="G28" i="65" s="1"/>
  <c r="H28" i="65" s="1"/>
  <c r="I28" i="65" s="1"/>
  <c r="J28" i="65" s="1"/>
  <c r="K28" i="65" s="1"/>
  <c r="AV34" i="68"/>
  <c r="AH34" i="68"/>
  <c r="BJ34" i="68"/>
  <c r="AV27" i="68"/>
  <c r="BN34" i="68"/>
  <c r="AG34" i="68"/>
  <c r="AL27" i="68"/>
  <c r="BE27" i="68"/>
  <c r="AR27" i="68"/>
  <c r="BG34" i="68"/>
  <c r="BC27" i="68"/>
  <c r="BA34" i="68"/>
  <c r="AF27" i="68"/>
  <c r="AS34" i="68"/>
  <c r="BA27" i="68"/>
  <c r="BK27" i="68"/>
  <c r="BK34" i="68"/>
  <c r="BB27" i="68"/>
  <c r="BE34" i="68"/>
  <c r="AX27" i="68"/>
  <c r="BM27" i="68"/>
  <c r="AJ34" i="68"/>
  <c r="AT34" i="68"/>
  <c r="BL27" i="68"/>
  <c r="AN34" i="68"/>
  <c r="AM27" i="68"/>
  <c r="AU27" i="68"/>
  <c r="AH27" i="68"/>
  <c r="BH34" i="68"/>
  <c r="BF34" i="68"/>
  <c r="BP34" i="68"/>
  <c r="BD27" i="68"/>
  <c r="BM34" i="68"/>
  <c r="BD34" i="68"/>
  <c r="AS27" i="68"/>
  <c r="AO34" i="68"/>
  <c r="AF34" i="68"/>
  <c r="AT27" i="68"/>
  <c r="AW34" i="68"/>
  <c r="BN27" i="68"/>
  <c r="AR34" i="68"/>
  <c r="AU34" i="68"/>
  <c r="AP27" i="68"/>
  <c r="AL34" i="68"/>
  <c r="BC34" i="68"/>
  <c r="BL34" i="68"/>
  <c r="AN27" i="68"/>
  <c r="BI27" i="68"/>
  <c r="BG27" i="68"/>
  <c r="AM34" i="68"/>
  <c r="AI27" i="68"/>
  <c r="AZ27" i="68"/>
  <c r="BI34" i="68"/>
  <c r="AI34" i="68"/>
  <c r="AO27" i="68"/>
  <c r="AK27" i="68"/>
  <c r="AK34" i="68"/>
  <c r="AZ34" i="68"/>
  <c r="AJ27" i="68"/>
  <c r="BB34" i="68"/>
  <c r="BJ27" i="68"/>
  <c r="BO27" i="68"/>
  <c r="AX34" i="68"/>
  <c r="BO34" i="68"/>
  <c r="AQ27" i="68"/>
  <c r="BH27" i="68"/>
  <c r="BQ34" i="68"/>
  <c r="AQ34" i="68"/>
  <c r="AW27" i="68"/>
  <c r="BP27" i="68"/>
  <c r="AY34" i="68"/>
  <c r="F1453" i="67"/>
  <c r="F14" i="65"/>
  <c r="K25" i="65"/>
  <c r="L25" i="65" s="1"/>
  <c r="M25" i="65" s="1"/>
  <c r="X13" i="65"/>
  <c r="G12" i="65"/>
  <c r="AH13" i="65"/>
  <c r="AH12" i="65"/>
  <c r="X14" i="65"/>
  <c r="G13" i="65"/>
  <c r="X12" i="65"/>
  <c r="AH14" i="65"/>
  <c r="K29" i="65"/>
  <c r="L11" i="65"/>
  <c r="D64" i="68"/>
  <c r="D43" i="68"/>
  <c r="D65" i="68" s="1"/>
  <c r="D44" i="68"/>
  <c r="D45" i="68" s="1"/>
  <c r="D46" i="68" s="1"/>
  <c r="D47" i="68" s="1"/>
  <c r="D48" i="68" s="1"/>
  <c r="H1469" i="67"/>
  <c r="F1470" i="67"/>
  <c r="F1452" i="67"/>
  <c r="F1551" i="67"/>
  <c r="H1550" i="67"/>
  <c r="F1518" i="67"/>
  <c r="H1517" i="67"/>
  <c r="F1537" i="67"/>
  <c r="H1536" i="67"/>
  <c r="K26" i="65"/>
  <c r="AF9" i="65"/>
  <c r="K27" i="65"/>
  <c r="V9" i="65"/>
  <c r="AH6" i="65"/>
  <c r="AG9" i="65"/>
  <c r="AH8" i="65"/>
  <c r="AG11" i="65"/>
  <c r="O6" i="65"/>
  <c r="N9" i="65"/>
  <c r="W7" i="65"/>
  <c r="V10" i="65"/>
  <c r="N8" i="65"/>
  <c r="M11" i="65"/>
  <c r="AF10" i="65"/>
  <c r="AG7" i="65"/>
  <c r="L10" i="65"/>
  <c r="M7" i="65"/>
  <c r="W8" i="65"/>
  <c r="V11" i="65"/>
  <c r="X6" i="65"/>
  <c r="W9" i="65"/>
  <c r="C31" i="57"/>
  <c r="D31" i="57"/>
  <c r="E31" i="57"/>
  <c r="F31" i="57"/>
  <c r="G31" i="57"/>
  <c r="H31" i="57"/>
  <c r="I31" i="57"/>
  <c r="J31" i="57"/>
  <c r="K31" i="57"/>
  <c r="L31" i="57"/>
  <c r="M31" i="57"/>
  <c r="N31" i="57"/>
  <c r="O31" i="57"/>
  <c r="P31" i="57"/>
  <c r="Q31" i="57"/>
  <c r="R31" i="57"/>
  <c r="S31" i="57"/>
  <c r="T31" i="57"/>
  <c r="U31" i="57"/>
  <c r="V31" i="57"/>
  <c r="W31" i="57"/>
  <c r="X31" i="57"/>
  <c r="Y31" i="57"/>
  <c r="Z31" i="57"/>
  <c r="AA31" i="57"/>
  <c r="AB31" i="57"/>
  <c r="AC31" i="57"/>
  <c r="AD31" i="57"/>
  <c r="BK64" i="50"/>
  <c r="BA64" i="50"/>
  <c r="AQ64" i="50"/>
  <c r="AG64" i="50"/>
  <c r="Y64" i="50"/>
  <c r="D124" i="34"/>
  <c r="D125" i="34"/>
  <c r="D126" i="34"/>
  <c r="D127" i="34"/>
  <c r="D128" i="34"/>
  <c r="D129" i="34"/>
  <c r="D130" i="34"/>
  <c r="D131" i="34"/>
  <c r="D132" i="34"/>
  <c r="D133" i="34"/>
  <c r="D134" i="34"/>
  <c r="C69" i="57"/>
  <c r="G14" i="65" l="1"/>
  <c r="N25" i="65"/>
  <c r="H12" i="65"/>
  <c r="AI13" i="65"/>
  <c r="H13" i="65"/>
  <c r="AI12" i="65"/>
  <c r="Y13" i="65"/>
  <c r="Y14" i="65"/>
  <c r="AI14" i="65"/>
  <c r="Y12" i="65"/>
  <c r="L26" i="65"/>
  <c r="L29" i="65"/>
  <c r="D50" i="68"/>
  <c r="D51" i="68" s="1"/>
  <c r="D49" i="68"/>
  <c r="D66" i="68" s="1"/>
  <c r="F1552" i="67"/>
  <c r="H1551" i="67"/>
  <c r="H1518" i="67"/>
  <c r="F1519" i="67"/>
  <c r="H1470" i="67"/>
  <c r="F1471" i="67"/>
  <c r="F1538" i="67"/>
  <c r="H1537" i="67"/>
  <c r="L27" i="65"/>
  <c r="L28" i="65"/>
  <c r="AH7" i="65"/>
  <c r="AG10" i="65"/>
  <c r="X8" i="65"/>
  <c r="W11" i="65"/>
  <c r="X7" i="65"/>
  <c r="W10" i="65"/>
  <c r="AI8" i="65"/>
  <c r="AH11" i="65"/>
  <c r="M10" i="65"/>
  <c r="N7" i="65"/>
  <c r="Y6" i="65"/>
  <c r="X9" i="65"/>
  <c r="O8" i="65"/>
  <c r="N11" i="65"/>
  <c r="P6" i="65"/>
  <c r="O9" i="65"/>
  <c r="AI6" i="65"/>
  <c r="AH9" i="65"/>
  <c r="I5" i="36"/>
  <c r="J5" i="36"/>
  <c r="K5" i="36"/>
  <c r="L5" i="36"/>
  <c r="M5" i="36"/>
  <c r="N5" i="36"/>
  <c r="O5" i="36"/>
  <c r="P5" i="36"/>
  <c r="Q5" i="36"/>
  <c r="R5" i="36"/>
  <c r="S5" i="36"/>
  <c r="T5" i="36"/>
  <c r="U5" i="36"/>
  <c r="V5" i="36"/>
  <c r="W5" i="36"/>
  <c r="X5" i="36"/>
  <c r="Y5" i="36"/>
  <c r="Z5" i="36"/>
  <c r="AA5" i="36"/>
  <c r="AB5" i="36"/>
  <c r="AC5" i="36"/>
  <c r="I6" i="36"/>
  <c r="J6" i="36"/>
  <c r="K6" i="36"/>
  <c r="L6" i="36"/>
  <c r="M6" i="36"/>
  <c r="N6" i="36"/>
  <c r="O6" i="36"/>
  <c r="P6" i="36"/>
  <c r="Q6" i="36"/>
  <c r="R6" i="36"/>
  <c r="S6" i="36"/>
  <c r="T6" i="36"/>
  <c r="U6" i="36"/>
  <c r="V6" i="36"/>
  <c r="W6" i="36"/>
  <c r="X6" i="36"/>
  <c r="Y6" i="36"/>
  <c r="Z6" i="36"/>
  <c r="AA6" i="36"/>
  <c r="AB6" i="36"/>
  <c r="AC6" i="36"/>
  <c r="I8" i="36"/>
  <c r="J8" i="36"/>
  <c r="K8" i="36"/>
  <c r="L8" i="36"/>
  <c r="M8" i="36"/>
  <c r="N8" i="36"/>
  <c r="O8" i="36"/>
  <c r="P8" i="36"/>
  <c r="Q8" i="36"/>
  <c r="R8" i="36"/>
  <c r="S8" i="36"/>
  <c r="T8" i="36"/>
  <c r="U8" i="36"/>
  <c r="V8" i="36"/>
  <c r="W8" i="36"/>
  <c r="X8" i="36"/>
  <c r="Y8" i="36"/>
  <c r="Z8" i="36"/>
  <c r="AA8" i="36"/>
  <c r="AB8" i="36"/>
  <c r="AC8" i="36"/>
  <c r="I9" i="36"/>
  <c r="J9" i="36"/>
  <c r="K9" i="36"/>
  <c r="L9" i="36"/>
  <c r="M9" i="36"/>
  <c r="N9" i="36"/>
  <c r="O9" i="36"/>
  <c r="P9" i="36"/>
  <c r="Q9" i="36"/>
  <c r="R9" i="36"/>
  <c r="S9" i="36"/>
  <c r="T9" i="36"/>
  <c r="U9" i="36"/>
  <c r="V9" i="36"/>
  <c r="W9" i="36"/>
  <c r="X9" i="36"/>
  <c r="Y9" i="36"/>
  <c r="Z9" i="36"/>
  <c r="AA9" i="36"/>
  <c r="AB9" i="36"/>
  <c r="AC9" i="36"/>
  <c r="H8" i="36"/>
  <c r="H9" i="36"/>
  <c r="H6" i="36"/>
  <c r="H5" i="36"/>
  <c r="K7" i="36"/>
  <c r="L7" i="36"/>
  <c r="O7" i="36"/>
  <c r="P7" i="36"/>
  <c r="S7" i="36"/>
  <c r="T7" i="36"/>
  <c r="W7" i="36"/>
  <c r="X7" i="36"/>
  <c r="AA7" i="36"/>
  <c r="AB7" i="36"/>
  <c r="I7" i="36"/>
  <c r="M7" i="36"/>
  <c r="Q7" i="36"/>
  <c r="U7" i="36"/>
  <c r="Y7" i="36"/>
  <c r="AC7" i="36"/>
  <c r="J7" i="36"/>
  <c r="N7" i="36"/>
  <c r="R7" i="36"/>
  <c r="V7" i="36"/>
  <c r="Z7" i="36"/>
  <c r="C70" i="57"/>
  <c r="H14" i="65" l="1"/>
  <c r="O25" i="65"/>
  <c r="I13" i="65"/>
  <c r="Z12" i="65"/>
  <c r="Z14" i="65"/>
  <c r="AJ12" i="65"/>
  <c r="I12" i="65"/>
  <c r="AJ14" i="65"/>
  <c r="Z13" i="65"/>
  <c r="AJ13" i="65"/>
  <c r="M27" i="65"/>
  <c r="M29" i="65"/>
  <c r="M26" i="65"/>
  <c r="D53" i="68"/>
  <c r="D54" i="68" s="1"/>
  <c r="D52" i="68"/>
  <c r="D67" i="68" s="1"/>
  <c r="H1519" i="67"/>
  <c r="F1520" i="67"/>
  <c r="F1539" i="67"/>
  <c r="H1538" i="67"/>
  <c r="H1471" i="67"/>
  <c r="F1472" i="67"/>
  <c r="F1553" i="67"/>
  <c r="H1552" i="67"/>
  <c r="M28" i="65"/>
  <c r="Q6" i="65"/>
  <c r="P9" i="65"/>
  <c r="Z6" i="65"/>
  <c r="Y9" i="65"/>
  <c r="AJ8" i="65"/>
  <c r="AI11" i="65"/>
  <c r="Y8" i="65"/>
  <c r="X11" i="65"/>
  <c r="N10" i="65"/>
  <c r="O7" i="65"/>
  <c r="AJ6" i="65"/>
  <c r="AI9" i="65"/>
  <c r="P8" i="65"/>
  <c r="O11" i="65"/>
  <c r="Y7" i="65"/>
  <c r="X10" i="65"/>
  <c r="AI7" i="65"/>
  <c r="AH10" i="65"/>
  <c r="H7" i="36"/>
  <c r="H85" i="36"/>
  <c r="I85" i="36"/>
  <c r="J85" i="36"/>
  <c r="K85" i="36"/>
  <c r="L85" i="36"/>
  <c r="M85" i="36"/>
  <c r="N85" i="36"/>
  <c r="O85" i="36"/>
  <c r="P85" i="36"/>
  <c r="Q85" i="36"/>
  <c r="R85" i="36"/>
  <c r="S85" i="36"/>
  <c r="T85" i="36"/>
  <c r="U85" i="36"/>
  <c r="V85" i="36"/>
  <c r="W85" i="36"/>
  <c r="X85" i="36"/>
  <c r="Y85" i="36"/>
  <c r="Z85" i="36"/>
  <c r="AA85" i="36"/>
  <c r="AB85" i="36"/>
  <c r="AC85" i="36"/>
  <c r="AE43" i="36"/>
  <c r="AE84" i="36" s="1"/>
  <c r="AF43" i="36"/>
  <c r="AF84" i="36" s="1"/>
  <c r="AG43" i="36"/>
  <c r="AG84" i="36" s="1"/>
  <c r="AH43" i="36"/>
  <c r="AH84" i="36" s="1"/>
  <c r="AI43" i="36"/>
  <c r="AI84" i="36" s="1"/>
  <c r="AJ43" i="36"/>
  <c r="AJ84" i="36" s="1"/>
  <c r="AK43" i="36"/>
  <c r="AK84" i="36" s="1"/>
  <c r="AL43" i="36"/>
  <c r="AL84" i="36" s="1"/>
  <c r="AM43" i="36"/>
  <c r="AM84" i="36" s="1"/>
  <c r="AN43" i="36"/>
  <c r="AN84" i="36" s="1"/>
  <c r="AO43" i="36"/>
  <c r="AO84" i="36" s="1"/>
  <c r="AP43" i="36"/>
  <c r="AP84" i="36" s="1"/>
  <c r="AQ43" i="36"/>
  <c r="AQ84" i="36" s="1"/>
  <c r="AR43" i="36"/>
  <c r="AR84" i="36" s="1"/>
  <c r="AS43" i="36"/>
  <c r="AS84" i="36" s="1"/>
  <c r="AT43" i="36"/>
  <c r="AT84" i="36" s="1"/>
  <c r="AU43" i="36"/>
  <c r="AU84" i="36" s="1"/>
  <c r="AV43" i="36"/>
  <c r="AV84" i="36" s="1"/>
  <c r="AW43" i="36"/>
  <c r="AW84" i="36" s="1"/>
  <c r="AX43" i="36"/>
  <c r="AX84" i="36" s="1"/>
  <c r="AY43" i="36"/>
  <c r="AY84" i="36" s="1"/>
  <c r="AZ43" i="36"/>
  <c r="AZ84" i="36" s="1"/>
  <c r="BA43" i="36"/>
  <c r="BA84" i="36" s="1"/>
  <c r="BB43" i="36"/>
  <c r="BB84" i="36" s="1"/>
  <c r="BC43" i="36"/>
  <c r="BC84" i="36" s="1"/>
  <c r="BD43" i="36"/>
  <c r="BD84" i="36" s="1"/>
  <c r="BE43" i="36"/>
  <c r="BE84" i="36" s="1"/>
  <c r="BF43" i="36"/>
  <c r="BF84" i="36" s="1"/>
  <c r="BG43" i="36"/>
  <c r="BG84" i="36" s="1"/>
  <c r="BH43" i="36"/>
  <c r="BH84" i="36" s="1"/>
  <c r="BI43" i="36"/>
  <c r="BI84" i="36" s="1"/>
  <c r="BJ43" i="36"/>
  <c r="BJ84" i="36" s="1"/>
  <c r="BK43" i="36"/>
  <c r="BK84" i="36" s="1"/>
  <c r="BL43" i="36"/>
  <c r="BL84" i="36" s="1"/>
  <c r="BM43" i="36"/>
  <c r="BM84" i="36" s="1"/>
  <c r="BN43" i="36"/>
  <c r="BN84" i="36" s="1"/>
  <c r="BO43" i="36"/>
  <c r="BO84" i="36" s="1"/>
  <c r="BP43" i="36"/>
  <c r="BP84" i="36" s="1"/>
  <c r="AD43" i="36"/>
  <c r="AD84" i="36" s="1"/>
  <c r="AD42" i="36"/>
  <c r="AD83" i="36" s="1"/>
  <c r="I14" i="65" l="1"/>
  <c r="P25" i="65"/>
  <c r="N27" i="65"/>
  <c r="AK14" i="65"/>
  <c r="J13" i="65"/>
  <c r="AK13" i="65"/>
  <c r="AA13" i="65"/>
  <c r="J12" i="65"/>
  <c r="AK12" i="65"/>
  <c r="AA14" i="65"/>
  <c r="AA12" i="65"/>
  <c r="N29" i="65"/>
  <c r="N26" i="65"/>
  <c r="F1554" i="67"/>
  <c r="H1553" i="67"/>
  <c r="F1540" i="67"/>
  <c r="H1539" i="67"/>
  <c r="H1472" i="67"/>
  <c r="F1473" i="67"/>
  <c r="H1520" i="67"/>
  <c r="F1521" i="67"/>
  <c r="N28" i="65"/>
  <c r="Z7" i="65"/>
  <c r="Y10" i="65"/>
  <c r="AK6" i="65"/>
  <c r="AJ9" i="65"/>
  <c r="Z8" i="65"/>
  <c r="Y11" i="65"/>
  <c r="AA6" i="65"/>
  <c r="Z9" i="65"/>
  <c r="P7" i="65"/>
  <c r="O10" i="65"/>
  <c r="AJ7" i="65"/>
  <c r="AI10" i="65"/>
  <c r="Q8" i="65"/>
  <c r="P11" i="65"/>
  <c r="AK8" i="65"/>
  <c r="AJ11" i="65"/>
  <c r="R6" i="65"/>
  <c r="Q9" i="65"/>
  <c r="C37" i="62"/>
  <c r="J14" i="65" l="1"/>
  <c r="Q25" i="65"/>
  <c r="AB13" i="65"/>
  <c r="AB12" i="65"/>
  <c r="AL14" i="65"/>
  <c r="AB14" i="65"/>
  <c r="AL12" i="65"/>
  <c r="K12" i="65"/>
  <c r="AL13" i="65"/>
  <c r="K13" i="65"/>
  <c r="O29" i="65"/>
  <c r="P29" i="65" s="1"/>
  <c r="O26" i="65"/>
  <c r="O28" i="65"/>
  <c r="F1522" i="67"/>
  <c r="H1521" i="67"/>
  <c r="F1541" i="67"/>
  <c r="H1540" i="67"/>
  <c r="H1473" i="67"/>
  <c r="F1474" i="67"/>
  <c r="F1555" i="67"/>
  <c r="H1554" i="67"/>
  <c r="O27" i="65"/>
  <c r="AL8" i="65"/>
  <c r="AK11" i="65"/>
  <c r="AK7" i="65"/>
  <c r="AJ10" i="65"/>
  <c r="AB6" i="65"/>
  <c r="AA9" i="65"/>
  <c r="AL6" i="65"/>
  <c r="AK9" i="65"/>
  <c r="S6" i="65"/>
  <c r="R9" i="65"/>
  <c r="R8" i="65"/>
  <c r="Q11" i="65"/>
  <c r="Q7" i="65"/>
  <c r="P10" i="65"/>
  <c r="AA8" i="65"/>
  <c r="Z11" i="65"/>
  <c r="AA7" i="65"/>
  <c r="Z10" i="65"/>
  <c r="C14" i="45"/>
  <c r="C15" i="45"/>
  <c r="C16" i="45"/>
  <c r="C17" i="45"/>
  <c r="C18" i="45"/>
  <c r="C13" i="45"/>
  <c r="C12" i="45"/>
  <c r="K14" i="65" l="1"/>
  <c r="R25" i="65"/>
  <c r="L13" i="65"/>
  <c r="L12" i="65"/>
  <c r="AC13" i="65"/>
  <c r="AC12" i="65"/>
  <c r="AM13" i="65"/>
  <c r="AM12" i="65"/>
  <c r="AM14" i="65"/>
  <c r="AC14" i="65"/>
  <c r="P28" i="65"/>
  <c r="Q29" i="65"/>
  <c r="P26" i="65"/>
  <c r="H1522" i="67"/>
  <c r="F1523" i="67"/>
  <c r="H1474" i="67"/>
  <c r="F1475" i="67"/>
  <c r="F1556" i="67"/>
  <c r="H1555" i="67"/>
  <c r="F1542" i="67"/>
  <c r="H1541" i="67"/>
  <c r="P27" i="65"/>
  <c r="AB8" i="65"/>
  <c r="AA11" i="65"/>
  <c r="AM6" i="65"/>
  <c r="AL9" i="65"/>
  <c r="S8" i="65"/>
  <c r="R11" i="65"/>
  <c r="AL7" i="65"/>
  <c r="AK10" i="65"/>
  <c r="AB7" i="65"/>
  <c r="AA10" i="65"/>
  <c r="R7" i="65"/>
  <c r="Q10" i="65"/>
  <c r="S9" i="65"/>
  <c r="T9" i="65"/>
  <c r="AC6" i="65"/>
  <c r="AB9" i="65"/>
  <c r="AM8" i="65"/>
  <c r="AL11" i="65"/>
  <c r="A13" i="62"/>
  <c r="B13" i="62" s="1"/>
  <c r="A14" i="62"/>
  <c r="B14" i="62" s="1"/>
  <c r="A15" i="62"/>
  <c r="B15" i="62" s="1"/>
  <c r="A16" i="62"/>
  <c r="B16" i="62" s="1"/>
  <c r="A17" i="62"/>
  <c r="B17" i="62" s="1"/>
  <c r="A18" i="62"/>
  <c r="B18" i="62" s="1"/>
  <c r="A19" i="62"/>
  <c r="B19" i="62" s="1"/>
  <c r="C20" i="62"/>
  <c r="C25" i="62"/>
  <c r="C31" i="62"/>
  <c r="C39" i="62"/>
  <c r="C7" i="62"/>
  <c r="L14" i="65" l="1"/>
  <c r="S25" i="65"/>
  <c r="T25" i="65" s="1"/>
  <c r="Q28" i="65"/>
  <c r="M12" i="65"/>
  <c r="M13" i="65"/>
  <c r="R29" i="65"/>
  <c r="Q26" i="65"/>
  <c r="F1557" i="67"/>
  <c r="H1556" i="67"/>
  <c r="H1475" i="67"/>
  <c r="F1476" i="67"/>
  <c r="F1543" i="67"/>
  <c r="H1542" i="67"/>
  <c r="H1523" i="67"/>
  <c r="F1524" i="67"/>
  <c r="Q27" i="65"/>
  <c r="S7" i="65"/>
  <c r="R10" i="65"/>
  <c r="AM7" i="65"/>
  <c r="AL10" i="65"/>
  <c r="AC9" i="65"/>
  <c r="AD9" i="65"/>
  <c r="AM9" i="65"/>
  <c r="AN9" i="65"/>
  <c r="AM11" i="65"/>
  <c r="AN11" i="65"/>
  <c r="AC7" i="65"/>
  <c r="AB10" i="65"/>
  <c r="S11" i="65"/>
  <c r="T11" i="65"/>
  <c r="AC8" i="65"/>
  <c r="AB11" i="65"/>
  <c r="AA4" i="47"/>
  <c r="Z4" i="69" s="1"/>
  <c r="AB4" i="47"/>
  <c r="AA4" i="69" s="1"/>
  <c r="AC4" i="47"/>
  <c r="AB4" i="69" s="1"/>
  <c r="AD4" i="47"/>
  <c r="AC4" i="69" s="1"/>
  <c r="AE4" i="47"/>
  <c r="AD4" i="69" s="1"/>
  <c r="AF4" i="47"/>
  <c r="AE4" i="69" s="1"/>
  <c r="AG4" i="47"/>
  <c r="AF4" i="69" s="1"/>
  <c r="AH4" i="47"/>
  <c r="AG4" i="69" s="1"/>
  <c r="AI4" i="47"/>
  <c r="AH4" i="69" s="1"/>
  <c r="AJ4" i="47"/>
  <c r="AI4" i="69" s="1"/>
  <c r="AK4" i="47"/>
  <c r="AJ4" i="69" s="1"/>
  <c r="AL4" i="47"/>
  <c r="AK4" i="69" s="1"/>
  <c r="AM4" i="47"/>
  <c r="AL4" i="69" s="1"/>
  <c r="AN4" i="47"/>
  <c r="AM4" i="69" s="1"/>
  <c r="AO4" i="47"/>
  <c r="AN4" i="69" s="1"/>
  <c r="AP4" i="47"/>
  <c r="AO4" i="69" s="1"/>
  <c r="AQ4" i="47"/>
  <c r="AP4" i="69" s="1"/>
  <c r="AR4" i="47"/>
  <c r="AQ4" i="69" s="1"/>
  <c r="AS4" i="47"/>
  <c r="AR4" i="69" s="1"/>
  <c r="AT4" i="47"/>
  <c r="AS4" i="69" s="1"/>
  <c r="AU4" i="47"/>
  <c r="AT4" i="69" s="1"/>
  <c r="AV4" i="47"/>
  <c r="AU4" i="69" s="1"/>
  <c r="AW4" i="47"/>
  <c r="AV4" i="69" s="1"/>
  <c r="AX4" i="47"/>
  <c r="AW4" i="69" s="1"/>
  <c r="AY4" i="47"/>
  <c r="AX4" i="69" s="1"/>
  <c r="AZ4" i="47"/>
  <c r="AY4" i="69" s="1"/>
  <c r="BA4" i="47"/>
  <c r="AZ4" i="69" s="1"/>
  <c r="BB4" i="47"/>
  <c r="BA4" i="69" s="1"/>
  <c r="BC4" i="47"/>
  <c r="BB4" i="69" s="1"/>
  <c r="BD4" i="47"/>
  <c r="BC4" i="69" s="1"/>
  <c r="BE4" i="47"/>
  <c r="BD4" i="69" s="1"/>
  <c r="BF4" i="47"/>
  <c r="BE4" i="69" s="1"/>
  <c r="BG4" i="47"/>
  <c r="BF4" i="69" s="1"/>
  <c r="BH4" i="47"/>
  <c r="BG4" i="69" s="1"/>
  <c r="BI4" i="47"/>
  <c r="BH4" i="69" s="1"/>
  <c r="BJ4" i="47"/>
  <c r="BI4" i="69" s="1"/>
  <c r="BK4" i="47"/>
  <c r="BJ4" i="69" s="1"/>
  <c r="BL4" i="47"/>
  <c r="BK4" i="69" s="1"/>
  <c r="Z4" i="47"/>
  <c r="Y4" i="69" s="1"/>
  <c r="C8" i="59"/>
  <c r="M14" i="65" l="1"/>
  <c r="U25" i="65"/>
  <c r="R28" i="65"/>
  <c r="N12" i="65"/>
  <c r="N13" i="65"/>
  <c r="S29" i="65"/>
  <c r="T29" i="65" s="1"/>
  <c r="R26" i="65"/>
  <c r="H1524" i="67"/>
  <c r="F1525" i="67"/>
  <c r="H1476" i="67"/>
  <c r="F1477" i="67"/>
  <c r="F1544" i="67"/>
  <c r="H1543" i="67"/>
  <c r="F1558" i="67"/>
  <c r="H1557" i="67"/>
  <c r="R27" i="65"/>
  <c r="AC10" i="65"/>
  <c r="AD10" i="65"/>
  <c r="AM10" i="65"/>
  <c r="AN10" i="65"/>
  <c r="AC11" i="65"/>
  <c r="AD11" i="65"/>
  <c r="S10" i="65"/>
  <c r="T10" i="65"/>
  <c r="E6" i="62"/>
  <c r="F6" i="62" s="1"/>
  <c r="G6" i="62" s="1"/>
  <c r="H6" i="62" s="1"/>
  <c r="I6" i="62" s="1"/>
  <c r="J6" i="62" s="1"/>
  <c r="K6" i="62" s="1"/>
  <c r="L6" i="62" s="1"/>
  <c r="M6" i="62" s="1"/>
  <c r="N6" i="62" s="1"/>
  <c r="O6" i="62" s="1"/>
  <c r="P6" i="62" s="1"/>
  <c r="Q6" i="62" s="1"/>
  <c r="R6" i="62" s="1"/>
  <c r="S6" i="62" s="1"/>
  <c r="T6" i="62" s="1"/>
  <c r="U6" i="62" s="1"/>
  <c r="V6" i="62" s="1"/>
  <c r="W6" i="62" s="1"/>
  <c r="X6" i="62" s="1"/>
  <c r="Y6" i="62" s="1"/>
  <c r="Z6" i="62" s="1"/>
  <c r="AA6" i="62" s="1"/>
  <c r="AB6" i="62" s="1"/>
  <c r="AC6" i="62" s="1"/>
  <c r="AD6" i="62" s="1"/>
  <c r="AE6" i="62" s="1"/>
  <c r="AF6" i="62" s="1"/>
  <c r="AG6" i="62" s="1"/>
  <c r="AH6" i="62" s="1"/>
  <c r="AI6" i="62" s="1"/>
  <c r="AJ6" i="62" s="1"/>
  <c r="AK6" i="62" s="1"/>
  <c r="AL6" i="62" s="1"/>
  <c r="AM6" i="62" s="1"/>
  <c r="AN6" i="62" s="1"/>
  <c r="AO6" i="62" s="1"/>
  <c r="AP6" i="62" s="1"/>
  <c r="C7" i="60"/>
  <c r="C7" i="59"/>
  <c r="N14" i="65" l="1"/>
  <c r="V25" i="65"/>
  <c r="S28" i="65"/>
  <c r="T28" i="65" s="1"/>
  <c r="O12" i="65"/>
  <c r="O13" i="65"/>
  <c r="U29" i="65"/>
  <c r="S26" i="65"/>
  <c r="H1525" i="67"/>
  <c r="F1526" i="67"/>
  <c r="H1477" i="67"/>
  <c r="F1478" i="67"/>
  <c r="F1559" i="67"/>
  <c r="H1558" i="67"/>
  <c r="F1545" i="67"/>
  <c r="H1544" i="67"/>
  <c r="S27" i="65"/>
  <c r="C59" i="46"/>
  <c r="C60" i="46" s="1"/>
  <c r="C61" i="46" s="1"/>
  <c r="C62" i="46" s="1"/>
  <c r="AJ49" i="57"/>
  <c r="D38" i="57"/>
  <c r="E38" i="57"/>
  <c r="F38" i="57"/>
  <c r="G38" i="57"/>
  <c r="H38" i="57"/>
  <c r="I38" i="57"/>
  <c r="J38" i="57"/>
  <c r="K38" i="57"/>
  <c r="L38" i="57"/>
  <c r="M38" i="57"/>
  <c r="N38" i="57"/>
  <c r="O38" i="57"/>
  <c r="P38" i="57"/>
  <c r="Q38" i="57"/>
  <c r="R38" i="57"/>
  <c r="S38" i="57"/>
  <c r="T38" i="57"/>
  <c r="U38" i="57"/>
  <c r="V38" i="57"/>
  <c r="W38" i="57"/>
  <c r="X38" i="57"/>
  <c r="Y38" i="57"/>
  <c r="Z38" i="57"/>
  <c r="AA38" i="57"/>
  <c r="AB38" i="57"/>
  <c r="AC38" i="57"/>
  <c r="AD38" i="57"/>
  <c r="C38" i="57"/>
  <c r="O14" i="65" l="1"/>
  <c r="W25" i="65"/>
  <c r="P13" i="65"/>
  <c r="P12" i="65"/>
  <c r="T27" i="65"/>
  <c r="V29" i="65"/>
  <c r="U28" i="65"/>
  <c r="T26" i="65"/>
  <c r="F1546" i="67"/>
  <c r="H1546" i="67" s="1"/>
  <c r="H1545" i="67"/>
  <c r="H1478" i="67"/>
  <c r="F1479" i="67"/>
  <c r="H1526" i="67"/>
  <c r="F1527" i="67"/>
  <c r="F1560" i="67"/>
  <c r="H1559" i="67"/>
  <c r="C6" i="58"/>
  <c r="A6" i="58"/>
  <c r="P14" i="65" l="1"/>
  <c r="X25" i="65"/>
  <c r="Q13" i="65"/>
  <c r="Q12" i="65"/>
  <c r="U26" i="65"/>
  <c r="W29" i="65"/>
  <c r="V28" i="65"/>
  <c r="U27" i="65"/>
  <c r="F1561" i="67"/>
  <c r="H1560" i="67"/>
  <c r="H1479" i="67"/>
  <c r="F1480" i="67"/>
  <c r="H1527" i="67"/>
  <c r="F1528" i="67"/>
  <c r="U6" i="50"/>
  <c r="V6" i="50"/>
  <c r="W6" i="50"/>
  <c r="X6" i="50"/>
  <c r="U7" i="50"/>
  <c r="V7" i="50"/>
  <c r="W7" i="50"/>
  <c r="X7" i="50"/>
  <c r="U9" i="50"/>
  <c r="U10" i="50" s="1"/>
  <c r="V9" i="50"/>
  <c r="V10" i="50" s="1"/>
  <c r="W9" i="50"/>
  <c r="W10" i="50" s="1"/>
  <c r="X9" i="50"/>
  <c r="X10" i="50" s="1"/>
  <c r="U13" i="50"/>
  <c r="V13" i="50"/>
  <c r="W13" i="50"/>
  <c r="X13" i="50"/>
  <c r="U14" i="50"/>
  <c r="V14" i="50"/>
  <c r="W14" i="50"/>
  <c r="X14" i="50"/>
  <c r="U22" i="50"/>
  <c r="U18" i="50" s="1"/>
  <c r="V22" i="50"/>
  <c r="V18" i="50" s="1"/>
  <c r="W22" i="50"/>
  <c r="W18" i="50" s="1"/>
  <c r="X22" i="50"/>
  <c r="X18" i="50" s="1"/>
  <c r="U23" i="50"/>
  <c r="U24" i="50" s="1"/>
  <c r="U30" i="50"/>
  <c r="V30" i="50"/>
  <c r="W30" i="50"/>
  <c r="X30" i="50"/>
  <c r="U31" i="50"/>
  <c r="V31" i="50"/>
  <c r="W31" i="50"/>
  <c r="X31" i="50"/>
  <c r="U35" i="50"/>
  <c r="V35" i="50"/>
  <c r="W35" i="50"/>
  <c r="X35" i="50"/>
  <c r="U36" i="50"/>
  <c r="V36" i="50"/>
  <c r="W36" i="50"/>
  <c r="X36" i="50"/>
  <c r="U40" i="50"/>
  <c r="V40" i="50"/>
  <c r="W40" i="50"/>
  <c r="X40" i="50"/>
  <c r="U41" i="50"/>
  <c r="V41" i="50"/>
  <c r="W41" i="50"/>
  <c r="X41" i="50"/>
  <c r="U48" i="50"/>
  <c r="V48" i="50"/>
  <c r="W48" i="50"/>
  <c r="X48" i="50"/>
  <c r="R6" i="50"/>
  <c r="S6" i="50"/>
  <c r="T6" i="50"/>
  <c r="R7" i="50"/>
  <c r="S7" i="50"/>
  <c r="T7" i="50"/>
  <c r="R9" i="50"/>
  <c r="R10" i="50" s="1"/>
  <c r="S9" i="50"/>
  <c r="S10" i="50" s="1"/>
  <c r="T9" i="50"/>
  <c r="T10" i="50" s="1"/>
  <c r="R13" i="50"/>
  <c r="S13" i="50"/>
  <c r="T13" i="50"/>
  <c r="R14" i="50"/>
  <c r="S14" i="50"/>
  <c r="T14" i="50"/>
  <c r="R22" i="50"/>
  <c r="R18" i="50" s="1"/>
  <c r="S22" i="50"/>
  <c r="S18" i="50" s="1"/>
  <c r="T22" i="50"/>
  <c r="T19" i="50" s="1"/>
  <c r="R30" i="50"/>
  <c r="S30" i="50"/>
  <c r="T30" i="50"/>
  <c r="R31" i="50"/>
  <c r="S31" i="50"/>
  <c r="T31" i="50"/>
  <c r="R35" i="50"/>
  <c r="S35" i="50"/>
  <c r="T35" i="50"/>
  <c r="R36" i="50"/>
  <c r="S36" i="50"/>
  <c r="T36" i="50"/>
  <c r="R40" i="50"/>
  <c r="S40" i="50"/>
  <c r="T40" i="50"/>
  <c r="R41" i="50"/>
  <c r="S41" i="50"/>
  <c r="T41" i="50"/>
  <c r="R48" i="50"/>
  <c r="S48" i="50"/>
  <c r="T48" i="50"/>
  <c r="M6" i="50"/>
  <c r="N6" i="50"/>
  <c r="O6" i="50"/>
  <c r="P6" i="50"/>
  <c r="Q6" i="50"/>
  <c r="M7" i="50"/>
  <c r="N7" i="50"/>
  <c r="O7" i="50"/>
  <c r="P7" i="50"/>
  <c r="Q7" i="50"/>
  <c r="M9" i="50"/>
  <c r="M10" i="50" s="1"/>
  <c r="N9" i="50"/>
  <c r="N10" i="50" s="1"/>
  <c r="O9" i="50"/>
  <c r="P9" i="50"/>
  <c r="P10" i="50" s="1"/>
  <c r="Q9" i="50"/>
  <c r="Q10" i="50" s="1"/>
  <c r="O10" i="50"/>
  <c r="M13" i="50"/>
  <c r="N13" i="50"/>
  <c r="O13" i="50"/>
  <c r="P13" i="50"/>
  <c r="Q13" i="50"/>
  <c r="M14" i="50"/>
  <c r="N14" i="50"/>
  <c r="O14" i="50"/>
  <c r="P14" i="50"/>
  <c r="Q14" i="50"/>
  <c r="M22" i="50"/>
  <c r="M18" i="50" s="1"/>
  <c r="N22" i="50"/>
  <c r="N18" i="50" s="1"/>
  <c r="O22" i="50"/>
  <c r="O19" i="50" s="1"/>
  <c r="P22" i="50"/>
  <c r="P18" i="50" s="1"/>
  <c r="Q22" i="50"/>
  <c r="Q18" i="50" s="1"/>
  <c r="M30" i="50"/>
  <c r="N30" i="50"/>
  <c r="O30" i="50"/>
  <c r="P30" i="50"/>
  <c r="Q30" i="50"/>
  <c r="M31" i="50"/>
  <c r="N31" i="50"/>
  <c r="O31" i="50"/>
  <c r="P31" i="50"/>
  <c r="Q31" i="50"/>
  <c r="M35" i="50"/>
  <c r="N35" i="50"/>
  <c r="O35" i="50"/>
  <c r="P35" i="50"/>
  <c r="Q35" i="50"/>
  <c r="M36" i="50"/>
  <c r="N36" i="50"/>
  <c r="O36" i="50"/>
  <c r="P36" i="50"/>
  <c r="Q36" i="50"/>
  <c r="M40" i="50"/>
  <c r="N40" i="50"/>
  <c r="O40" i="50"/>
  <c r="P40" i="50"/>
  <c r="Q40" i="50"/>
  <c r="M41" i="50"/>
  <c r="N41" i="50"/>
  <c r="O41" i="50"/>
  <c r="P41" i="50"/>
  <c r="Q41" i="50"/>
  <c r="M48" i="50"/>
  <c r="N48" i="50"/>
  <c r="O48" i="50"/>
  <c r="P48" i="50"/>
  <c r="Q48" i="50"/>
  <c r="Q14" i="65" l="1"/>
  <c r="Y25" i="65"/>
  <c r="R12" i="65"/>
  <c r="R13" i="65"/>
  <c r="X29" i="65"/>
  <c r="V27" i="65"/>
  <c r="W28" i="65"/>
  <c r="V26" i="65"/>
  <c r="H1480" i="67"/>
  <c r="F1481" i="67"/>
  <c r="H1481" i="67" s="1"/>
  <c r="H1528" i="67"/>
  <c r="F1529" i="67"/>
  <c r="F1562" i="67"/>
  <c r="H1562" i="67" s="1"/>
  <c r="H1561" i="67"/>
  <c r="W23" i="50"/>
  <c r="W24" i="50" s="1"/>
  <c r="X23" i="50"/>
  <c r="X24" i="50" s="1"/>
  <c r="V23" i="50"/>
  <c r="V24" i="50" s="1"/>
  <c r="M19" i="50"/>
  <c r="M26" i="50" s="1"/>
  <c r="Q23" i="50"/>
  <c r="Q24" i="50" s="1"/>
  <c r="N23" i="50"/>
  <c r="N24" i="50" s="1"/>
  <c r="T23" i="50"/>
  <c r="T24" i="50" s="1"/>
  <c r="S23" i="50"/>
  <c r="S24" i="50" s="1"/>
  <c r="P23" i="50"/>
  <c r="P24" i="50" s="1"/>
  <c r="S19" i="50"/>
  <c r="S26" i="50" s="1"/>
  <c r="N19" i="50"/>
  <c r="N20" i="50" s="1"/>
  <c r="N21" i="50" s="1"/>
  <c r="M23" i="50"/>
  <c r="M24" i="50" s="1"/>
  <c r="Q19" i="50"/>
  <c r="X19" i="50"/>
  <c r="W19" i="50"/>
  <c r="V19" i="50"/>
  <c r="U19" i="50"/>
  <c r="T26" i="50"/>
  <c r="T20" i="50"/>
  <c r="T21" i="50" s="1"/>
  <c r="R23" i="50"/>
  <c r="R24" i="50" s="1"/>
  <c r="R19" i="50"/>
  <c r="T18" i="50"/>
  <c r="O20" i="50"/>
  <c r="O21" i="50" s="1"/>
  <c r="O26" i="50"/>
  <c r="O18" i="50"/>
  <c r="P19" i="50"/>
  <c r="O23" i="50"/>
  <c r="O24" i="50" s="1"/>
  <c r="AG63" i="50"/>
  <c r="AG65" i="50"/>
  <c r="R14" i="65" l="1"/>
  <c r="Z25" i="65"/>
  <c r="S13" i="65"/>
  <c r="S12" i="65"/>
  <c r="W27" i="65"/>
  <c r="Y29" i="65"/>
  <c r="W26" i="65"/>
  <c r="X28" i="65"/>
  <c r="H1529" i="67"/>
  <c r="F1530" i="67"/>
  <c r="H1530" i="67" s="1"/>
  <c r="M20" i="50"/>
  <c r="M21" i="50" s="1"/>
  <c r="S20" i="50"/>
  <c r="S21" i="50" s="1"/>
  <c r="N26" i="50"/>
  <c r="Q26" i="50"/>
  <c r="Q20" i="50"/>
  <c r="Q21" i="50" s="1"/>
  <c r="V20" i="50"/>
  <c r="V21" i="50" s="1"/>
  <c r="V26" i="50"/>
  <c r="W20" i="50"/>
  <c r="W21" i="50" s="1"/>
  <c r="W26" i="50"/>
  <c r="U20" i="50"/>
  <c r="U21" i="50" s="1"/>
  <c r="U26" i="50"/>
  <c r="X20" i="50"/>
  <c r="X21" i="50" s="1"/>
  <c r="X26" i="50"/>
  <c r="R20" i="50"/>
  <c r="R21" i="50" s="1"/>
  <c r="R26" i="50"/>
  <c r="P26" i="50"/>
  <c r="P20" i="50"/>
  <c r="P21" i="50" s="1"/>
  <c r="S14" i="65" l="1"/>
  <c r="AA25" i="65"/>
  <c r="Z29" i="65"/>
  <c r="Y28" i="65"/>
  <c r="X26" i="65"/>
  <c r="X27" i="65"/>
  <c r="C20" i="46"/>
  <c r="C21" i="46" s="1"/>
  <c r="BK63" i="50"/>
  <c r="BK65" i="50"/>
  <c r="BA63" i="50"/>
  <c r="BA65" i="50"/>
  <c r="AQ63" i="50"/>
  <c r="AH63" i="50" s="1"/>
  <c r="AI63" i="50" s="1"/>
  <c r="AJ63" i="50" s="1"/>
  <c r="AK63" i="50" s="1"/>
  <c r="AL63" i="50" s="1"/>
  <c r="AM63" i="50" s="1"/>
  <c r="AN63" i="50" s="1"/>
  <c r="AO63" i="50" s="1"/>
  <c r="AP63" i="50" s="1"/>
  <c r="AH64" i="50"/>
  <c r="AI64" i="50" s="1"/>
  <c r="AJ64" i="50" s="1"/>
  <c r="AK64" i="50" s="1"/>
  <c r="AL64" i="50" s="1"/>
  <c r="AM64" i="50" s="1"/>
  <c r="AN64" i="50" s="1"/>
  <c r="AO64" i="50" s="1"/>
  <c r="AP64" i="50" s="1"/>
  <c r="AQ65" i="50"/>
  <c r="Y63" i="50"/>
  <c r="Z63" i="50" s="1"/>
  <c r="AA63" i="50" s="1"/>
  <c r="AB63" i="50" s="1"/>
  <c r="AC63" i="50" s="1"/>
  <c r="AD63" i="50" s="1"/>
  <c r="AE63" i="50" s="1"/>
  <c r="AF63" i="50" s="1"/>
  <c r="Z64" i="50"/>
  <c r="AA64" i="50" s="1"/>
  <c r="AB64" i="50" s="1"/>
  <c r="AC64" i="50" s="1"/>
  <c r="AD64" i="50" s="1"/>
  <c r="AE64" i="50" s="1"/>
  <c r="AF64" i="50" s="1"/>
  <c r="Y65" i="50"/>
  <c r="AB25" i="65" l="1"/>
  <c r="AA29" i="65"/>
  <c r="Y27" i="65"/>
  <c r="Y26" i="65"/>
  <c r="Z28" i="65"/>
  <c r="AH65" i="50"/>
  <c r="Z65" i="50"/>
  <c r="BB65" i="50"/>
  <c r="BB64" i="50"/>
  <c r="AR64" i="50"/>
  <c r="AR63" i="50"/>
  <c r="AS63" i="50" s="1"/>
  <c r="AT63" i="50" s="1"/>
  <c r="AU63" i="50" s="1"/>
  <c r="AV63" i="50" s="1"/>
  <c r="AW63" i="50" s="1"/>
  <c r="AX63" i="50" s="1"/>
  <c r="AY63" i="50" s="1"/>
  <c r="AZ63" i="50" s="1"/>
  <c r="BB63" i="50"/>
  <c r="BC63" i="50" s="1"/>
  <c r="BD63" i="50" s="1"/>
  <c r="BE63" i="50" s="1"/>
  <c r="BF63" i="50" s="1"/>
  <c r="BG63" i="50" s="1"/>
  <c r="BH63" i="50" s="1"/>
  <c r="BI63" i="50" s="1"/>
  <c r="BJ63" i="50" s="1"/>
  <c r="AR65" i="50"/>
  <c r="AK42" i="57"/>
  <c r="AJ42" i="57"/>
  <c r="D50" i="50"/>
  <c r="E50" i="50"/>
  <c r="F50" i="50"/>
  <c r="G50" i="50"/>
  <c r="H50" i="50"/>
  <c r="I50" i="50"/>
  <c r="J50" i="50"/>
  <c r="K50" i="50"/>
  <c r="L50" i="50"/>
  <c r="M50" i="50"/>
  <c r="N50" i="50"/>
  <c r="O50" i="50"/>
  <c r="P50" i="50"/>
  <c r="Q50" i="50"/>
  <c r="R50" i="50"/>
  <c r="S50" i="50"/>
  <c r="T50" i="50"/>
  <c r="U50" i="50"/>
  <c r="V50" i="50"/>
  <c r="W50" i="50"/>
  <c r="X50" i="50"/>
  <c r="D51" i="50"/>
  <c r="E51" i="50"/>
  <c r="F51" i="50"/>
  <c r="G51" i="50"/>
  <c r="H51" i="50"/>
  <c r="I51" i="50"/>
  <c r="J51" i="50"/>
  <c r="K51" i="50"/>
  <c r="L51" i="50"/>
  <c r="M51" i="50"/>
  <c r="N51" i="50"/>
  <c r="O51" i="50"/>
  <c r="P51" i="50"/>
  <c r="Q51" i="50"/>
  <c r="R51" i="50"/>
  <c r="S51" i="50"/>
  <c r="T51" i="50"/>
  <c r="U51" i="50"/>
  <c r="V51" i="50"/>
  <c r="W51" i="50"/>
  <c r="X51" i="50"/>
  <c r="D53" i="50"/>
  <c r="E53" i="50"/>
  <c r="F53" i="50"/>
  <c r="G53" i="50"/>
  <c r="H53" i="50"/>
  <c r="I53" i="50"/>
  <c r="J53" i="50"/>
  <c r="K53" i="50"/>
  <c r="L53" i="50"/>
  <c r="M53" i="50"/>
  <c r="N53" i="50"/>
  <c r="O53" i="50"/>
  <c r="P53" i="50"/>
  <c r="Q53" i="50"/>
  <c r="R53" i="50"/>
  <c r="S53" i="50"/>
  <c r="T53" i="50"/>
  <c r="U53" i="50"/>
  <c r="V53" i="50"/>
  <c r="W53" i="50"/>
  <c r="X53" i="50"/>
  <c r="D54" i="50"/>
  <c r="E54" i="50"/>
  <c r="F54" i="50"/>
  <c r="G54" i="50"/>
  <c r="H54" i="50"/>
  <c r="I54" i="50"/>
  <c r="J54" i="50"/>
  <c r="K54" i="50"/>
  <c r="L54" i="50"/>
  <c r="M54" i="50"/>
  <c r="N54" i="50"/>
  <c r="O54" i="50"/>
  <c r="P54" i="50"/>
  <c r="Q54" i="50"/>
  <c r="R54" i="50"/>
  <c r="S54" i="50"/>
  <c r="T54" i="50"/>
  <c r="U54" i="50"/>
  <c r="V54" i="50"/>
  <c r="W54" i="50"/>
  <c r="X54" i="50"/>
  <c r="D55" i="50"/>
  <c r="E55" i="50"/>
  <c r="F55" i="50"/>
  <c r="G55" i="50"/>
  <c r="H55" i="50"/>
  <c r="I55" i="50"/>
  <c r="J55" i="50"/>
  <c r="K55" i="50"/>
  <c r="L55" i="50"/>
  <c r="M55" i="50"/>
  <c r="N55" i="50"/>
  <c r="O55" i="50"/>
  <c r="P55" i="50"/>
  <c r="Q55" i="50"/>
  <c r="R55" i="50"/>
  <c r="S55" i="50"/>
  <c r="T55" i="50"/>
  <c r="U55" i="50"/>
  <c r="V55" i="50"/>
  <c r="W55" i="50"/>
  <c r="X55" i="50"/>
  <c r="C55" i="50"/>
  <c r="C54" i="50"/>
  <c r="C53" i="50"/>
  <c r="C51" i="50"/>
  <c r="C50" i="50"/>
  <c r="C29" i="46"/>
  <c r="C30" i="46" s="1"/>
  <c r="C31" i="46" s="1"/>
  <c r="C32" i="46" s="1"/>
  <c r="C33" i="46" s="1"/>
  <c r="C34" i="46" s="1"/>
  <c r="C35" i="46" s="1"/>
  <c r="C36" i="46" s="1"/>
  <c r="C37" i="46" s="1"/>
  <c r="C38" i="46" s="1"/>
  <c r="C39" i="46" s="1"/>
  <c r="C40" i="46" s="1"/>
  <c r="D37" i="57"/>
  <c r="E37" i="57"/>
  <c r="F37" i="57"/>
  <c r="G37" i="57"/>
  <c r="H37" i="57"/>
  <c r="I37" i="57"/>
  <c r="J37" i="57"/>
  <c r="K37" i="57"/>
  <c r="L37" i="57"/>
  <c r="M37" i="57"/>
  <c r="N37" i="57"/>
  <c r="O37" i="57"/>
  <c r="P37" i="57"/>
  <c r="Q37" i="57"/>
  <c r="R37" i="57"/>
  <c r="S37" i="57"/>
  <c r="T37" i="57"/>
  <c r="U37" i="57"/>
  <c r="V37" i="57"/>
  <c r="W37" i="57"/>
  <c r="X37" i="57"/>
  <c r="Y37" i="57"/>
  <c r="Z37" i="57"/>
  <c r="AA37" i="57"/>
  <c r="AB37" i="57"/>
  <c r="AC37" i="57"/>
  <c r="AD37" i="57"/>
  <c r="C37" i="57"/>
  <c r="M15" i="57"/>
  <c r="M11" i="50" s="1"/>
  <c r="N15" i="57"/>
  <c r="N11" i="50" s="1"/>
  <c r="O15" i="57"/>
  <c r="O11" i="50" s="1"/>
  <c r="P15" i="57"/>
  <c r="P11" i="50" s="1"/>
  <c r="Q15" i="57"/>
  <c r="Q11" i="50" s="1"/>
  <c r="R15" i="57"/>
  <c r="R11" i="50" s="1"/>
  <c r="S15" i="57"/>
  <c r="S11" i="50" s="1"/>
  <c r="T15" i="57"/>
  <c r="T11" i="50" s="1"/>
  <c r="U15" i="57"/>
  <c r="U11" i="50" s="1"/>
  <c r="V15" i="57"/>
  <c r="V11" i="50" s="1"/>
  <c r="W15" i="57"/>
  <c r="W11" i="50" s="1"/>
  <c r="X15" i="57"/>
  <c r="X11" i="50" s="1"/>
  <c r="D9" i="50"/>
  <c r="D10" i="50" s="1"/>
  <c r="D15" i="57" s="1"/>
  <c r="D11" i="50" s="1"/>
  <c r="E9" i="50"/>
  <c r="E10" i="50" s="1"/>
  <c r="E15" i="57" s="1"/>
  <c r="E11" i="50" s="1"/>
  <c r="F9" i="50"/>
  <c r="F10" i="50" s="1"/>
  <c r="F15" i="57" s="1"/>
  <c r="F11" i="50" s="1"/>
  <c r="G9" i="50"/>
  <c r="G10" i="50" s="1"/>
  <c r="G15" i="57" s="1"/>
  <c r="G11" i="50" s="1"/>
  <c r="H9" i="50"/>
  <c r="H10" i="50" s="1"/>
  <c r="H15" i="57" s="1"/>
  <c r="H11" i="50" s="1"/>
  <c r="I9" i="50"/>
  <c r="I10" i="50" s="1"/>
  <c r="I15" i="57" s="1"/>
  <c r="I11" i="50" s="1"/>
  <c r="J9" i="50"/>
  <c r="J10" i="50" s="1"/>
  <c r="J15" i="57" s="1"/>
  <c r="J11" i="50" s="1"/>
  <c r="K9" i="50"/>
  <c r="K10" i="50" s="1"/>
  <c r="K15" i="57" s="1"/>
  <c r="K11" i="50" s="1"/>
  <c r="L9" i="50"/>
  <c r="L10" i="50" s="1"/>
  <c r="L15" i="57" s="1"/>
  <c r="L11" i="50" s="1"/>
  <c r="C9" i="50"/>
  <c r="C10" i="50" s="1"/>
  <c r="D43" i="50"/>
  <c r="E43" i="50"/>
  <c r="F43" i="50"/>
  <c r="G43" i="50"/>
  <c r="H43" i="50"/>
  <c r="I43" i="50"/>
  <c r="J43" i="50"/>
  <c r="K43" i="50"/>
  <c r="L43" i="50"/>
  <c r="M43" i="50"/>
  <c r="N43" i="50"/>
  <c r="O43" i="50"/>
  <c r="P43" i="50"/>
  <c r="Q43" i="50"/>
  <c r="R43" i="50"/>
  <c r="S43" i="50"/>
  <c r="T43" i="50"/>
  <c r="U43" i="50"/>
  <c r="V43" i="50"/>
  <c r="W43" i="50"/>
  <c r="X43" i="50"/>
  <c r="C43" i="50"/>
  <c r="D30" i="57"/>
  <c r="D38" i="50" s="1"/>
  <c r="E30" i="57"/>
  <c r="E38" i="50" s="1"/>
  <c r="F30" i="57"/>
  <c r="F38" i="50" s="1"/>
  <c r="G30" i="57"/>
  <c r="G38" i="50" s="1"/>
  <c r="H30" i="57"/>
  <c r="H38" i="50" s="1"/>
  <c r="I30" i="57"/>
  <c r="I38" i="50" s="1"/>
  <c r="J30" i="57"/>
  <c r="J38" i="50" s="1"/>
  <c r="K30" i="57"/>
  <c r="L30" i="57"/>
  <c r="L38" i="50" s="1"/>
  <c r="M30" i="57"/>
  <c r="M38" i="50" s="1"/>
  <c r="N30" i="57"/>
  <c r="N38" i="50" s="1"/>
  <c r="O30" i="57"/>
  <c r="O38" i="50" s="1"/>
  <c r="P30" i="57"/>
  <c r="P38" i="50" s="1"/>
  <c r="Q30" i="57"/>
  <c r="Q38" i="50" s="1"/>
  <c r="R30" i="57"/>
  <c r="R38" i="50" s="1"/>
  <c r="S30" i="57"/>
  <c r="S38" i="50" s="1"/>
  <c r="T30" i="57"/>
  <c r="T38" i="50" s="1"/>
  <c r="U30" i="57"/>
  <c r="U38" i="50" s="1"/>
  <c r="V30" i="57"/>
  <c r="V38" i="50" s="1"/>
  <c r="W30" i="57"/>
  <c r="W38" i="50" s="1"/>
  <c r="X30" i="57"/>
  <c r="X38" i="50" s="1"/>
  <c r="Y30" i="57"/>
  <c r="Z30" i="57"/>
  <c r="AA30" i="57"/>
  <c r="AB30" i="57"/>
  <c r="AC30" i="57"/>
  <c r="AD30" i="57"/>
  <c r="C30" i="57"/>
  <c r="C38" i="50" s="1"/>
  <c r="D27" i="57"/>
  <c r="D33" i="50" s="1"/>
  <c r="E27" i="57"/>
  <c r="E33" i="50" s="1"/>
  <c r="F27" i="57"/>
  <c r="F33" i="50" s="1"/>
  <c r="G27" i="57"/>
  <c r="G33" i="50" s="1"/>
  <c r="H27" i="57"/>
  <c r="H33" i="50" s="1"/>
  <c r="I27" i="57"/>
  <c r="I33" i="50" s="1"/>
  <c r="J27" i="57"/>
  <c r="J33" i="50" s="1"/>
  <c r="K27" i="57"/>
  <c r="L27" i="57"/>
  <c r="L33" i="50" s="1"/>
  <c r="M27" i="57"/>
  <c r="M33" i="50" s="1"/>
  <c r="N27" i="57"/>
  <c r="N33" i="50" s="1"/>
  <c r="O27" i="57"/>
  <c r="O33" i="50" s="1"/>
  <c r="P27" i="57"/>
  <c r="P33" i="50" s="1"/>
  <c r="Q27" i="57"/>
  <c r="Q33" i="50" s="1"/>
  <c r="R27" i="57"/>
  <c r="R33" i="50" s="1"/>
  <c r="S27" i="57"/>
  <c r="S33" i="50" s="1"/>
  <c r="T27" i="57"/>
  <c r="T33" i="50" s="1"/>
  <c r="U27" i="57"/>
  <c r="U33" i="50" s="1"/>
  <c r="V27" i="57"/>
  <c r="V33" i="50" s="1"/>
  <c r="W27" i="57"/>
  <c r="W33" i="50" s="1"/>
  <c r="X27" i="57"/>
  <c r="X33" i="50" s="1"/>
  <c r="Y27" i="57"/>
  <c r="Z27" i="57"/>
  <c r="AA27" i="57"/>
  <c r="AB27" i="57"/>
  <c r="AC27" i="57"/>
  <c r="AD27" i="57"/>
  <c r="C27" i="57"/>
  <c r="C33" i="50" s="1"/>
  <c r="D24" i="57"/>
  <c r="D28" i="50" s="1"/>
  <c r="E24" i="57"/>
  <c r="E28" i="50" s="1"/>
  <c r="F24" i="57"/>
  <c r="F28" i="50" s="1"/>
  <c r="G24" i="57"/>
  <c r="G28" i="50" s="1"/>
  <c r="H24" i="57"/>
  <c r="H28" i="50" s="1"/>
  <c r="I24" i="57"/>
  <c r="I28" i="50" s="1"/>
  <c r="J24" i="57"/>
  <c r="J28" i="50" s="1"/>
  <c r="K24" i="57"/>
  <c r="L24" i="57"/>
  <c r="L28" i="50" s="1"/>
  <c r="M24" i="57"/>
  <c r="M28" i="50" s="1"/>
  <c r="N24" i="57"/>
  <c r="N28" i="50" s="1"/>
  <c r="O24" i="57"/>
  <c r="O28" i="50" s="1"/>
  <c r="P24" i="57"/>
  <c r="P28" i="50" s="1"/>
  <c r="Q24" i="57"/>
  <c r="Q28" i="50" s="1"/>
  <c r="R24" i="57"/>
  <c r="R28" i="50" s="1"/>
  <c r="S24" i="57"/>
  <c r="S28" i="50" s="1"/>
  <c r="T24" i="57"/>
  <c r="T28" i="50" s="1"/>
  <c r="U24" i="57"/>
  <c r="U28" i="50" s="1"/>
  <c r="V24" i="57"/>
  <c r="V28" i="50" s="1"/>
  <c r="W24" i="57"/>
  <c r="W28" i="50" s="1"/>
  <c r="X24" i="57"/>
  <c r="X28" i="50" s="1"/>
  <c r="Y24" i="57"/>
  <c r="Z24" i="57"/>
  <c r="AA24" i="57"/>
  <c r="AB24" i="57"/>
  <c r="AC24" i="57"/>
  <c r="AD24" i="57"/>
  <c r="C24" i="57"/>
  <c r="C28" i="50" s="1"/>
  <c r="AC25" i="65" l="1"/>
  <c r="Z27" i="65"/>
  <c r="Z26" i="65"/>
  <c r="AA28" i="65"/>
  <c r="AB29" i="65"/>
  <c r="AK24" i="57"/>
  <c r="AJ24" i="57"/>
  <c r="AI65" i="50"/>
  <c r="AJ65" i="50" s="1"/>
  <c r="BC65" i="50"/>
  <c r="AS65" i="50"/>
  <c r="AA65" i="50"/>
  <c r="C15" i="57"/>
  <c r="C11" i="50" s="1"/>
  <c r="AK37" i="57"/>
  <c r="AS64" i="50"/>
  <c r="BC64" i="50"/>
  <c r="AJ37" i="57"/>
  <c r="AK30" i="57"/>
  <c r="AK27" i="57"/>
  <c r="K28" i="50"/>
  <c r="K38" i="50"/>
  <c r="AJ27" i="57"/>
  <c r="K33" i="50"/>
  <c r="AJ30" i="57"/>
  <c r="D18" i="57"/>
  <c r="D16" i="50" s="1"/>
  <c r="E18" i="57"/>
  <c r="E16" i="50" s="1"/>
  <c r="F18" i="57"/>
  <c r="F16" i="50" s="1"/>
  <c r="G18" i="57"/>
  <c r="G16" i="50" s="1"/>
  <c r="H18" i="57"/>
  <c r="H16" i="50" s="1"/>
  <c r="I18" i="57"/>
  <c r="I16" i="50" s="1"/>
  <c r="J18" i="57"/>
  <c r="J16" i="50" s="1"/>
  <c r="K18" i="57"/>
  <c r="K16" i="50" s="1"/>
  <c r="L18" i="57"/>
  <c r="L16" i="50" s="1"/>
  <c r="M18" i="57"/>
  <c r="M16" i="50" s="1"/>
  <c r="N18" i="57"/>
  <c r="N16" i="50" s="1"/>
  <c r="O18" i="57"/>
  <c r="O16" i="50" s="1"/>
  <c r="P18" i="57"/>
  <c r="P16" i="50" s="1"/>
  <c r="Q18" i="57"/>
  <c r="Q16" i="50" s="1"/>
  <c r="R18" i="57"/>
  <c r="R16" i="50" s="1"/>
  <c r="S18" i="57"/>
  <c r="S16" i="50" s="1"/>
  <c r="T18" i="57"/>
  <c r="T16" i="50" s="1"/>
  <c r="U18" i="57"/>
  <c r="U16" i="50" s="1"/>
  <c r="V18" i="57"/>
  <c r="V16" i="50" s="1"/>
  <c r="W18" i="57"/>
  <c r="W16" i="50" s="1"/>
  <c r="X18" i="57"/>
  <c r="X16" i="50" s="1"/>
  <c r="Y18" i="57"/>
  <c r="Z18" i="57"/>
  <c r="AA18" i="57"/>
  <c r="AB18" i="57"/>
  <c r="AC18" i="57"/>
  <c r="AD18" i="57"/>
  <c r="C18" i="57"/>
  <c r="C16" i="50" s="1"/>
  <c r="AD25" i="65" l="1"/>
  <c r="AB28" i="65"/>
  <c r="AC29" i="65"/>
  <c r="AA27" i="65"/>
  <c r="AA26" i="65"/>
  <c r="BD65" i="50"/>
  <c r="AT65" i="50"/>
  <c r="AK65" i="50"/>
  <c r="AB65" i="50"/>
  <c r="Y28" i="50"/>
  <c r="BE33" i="50"/>
  <c r="AG33" i="50"/>
  <c r="BD64" i="50"/>
  <c r="AT64" i="50"/>
  <c r="AA33" i="50"/>
  <c r="AR33" i="50"/>
  <c r="AY33" i="50"/>
  <c r="Z33" i="50"/>
  <c r="BI28" i="50"/>
  <c r="AE28" i="50"/>
  <c r="AA28" i="50"/>
  <c r="AH28" i="50"/>
  <c r="AQ28" i="50"/>
  <c r="AW28" i="50"/>
  <c r="AM28" i="50"/>
  <c r="AV28" i="50"/>
  <c r="AL28" i="50"/>
  <c r="BF28" i="50"/>
  <c r="BC28" i="50"/>
  <c r="Z28" i="50"/>
  <c r="AH33" i="50"/>
  <c r="BH33" i="50"/>
  <c r="AR28" i="50"/>
  <c r="AK28" i="50"/>
  <c r="BK28" i="50"/>
  <c r="BH28" i="50"/>
  <c r="AX28" i="50"/>
  <c r="AJ28" i="50"/>
  <c r="AS28" i="50"/>
  <c r="AF28" i="50"/>
  <c r="BB28" i="50"/>
  <c r="AZ28" i="50"/>
  <c r="AG28" i="50"/>
  <c r="BA28" i="50"/>
  <c r="BG28" i="50"/>
  <c r="BD28" i="50"/>
  <c r="AP28" i="50"/>
  <c r="AB28" i="50"/>
  <c r="AI33" i="50"/>
  <c r="AX33" i="50"/>
  <c r="AO33" i="50"/>
  <c r="AM33" i="50"/>
  <c r="BC33" i="50"/>
  <c r="BA33" i="50"/>
  <c r="AL33" i="50"/>
  <c r="BB33" i="50"/>
  <c r="AF33" i="50"/>
  <c r="AV33" i="50"/>
  <c r="Y33" i="50"/>
  <c r="AS33" i="50"/>
  <c r="AB33" i="50"/>
  <c r="AQ33" i="50"/>
  <c r="BG33" i="50"/>
  <c r="BI33" i="50"/>
  <c r="AP33" i="50"/>
  <c r="BF33" i="50"/>
  <c r="AJ33" i="50"/>
  <c r="AZ33" i="50"/>
  <c r="AC33" i="50"/>
  <c r="AW33" i="50"/>
  <c r="AO28" i="50"/>
  <c r="BE28" i="50"/>
  <c r="AY28" i="50"/>
  <c r="AN28" i="50"/>
  <c r="AD28" i="50"/>
  <c r="AT28" i="50"/>
  <c r="BJ28" i="50"/>
  <c r="AU28" i="50"/>
  <c r="AE33" i="50"/>
  <c r="AU33" i="50"/>
  <c r="BK33" i="50"/>
  <c r="AD33" i="50"/>
  <c r="AT33" i="50"/>
  <c r="BJ33" i="50"/>
  <c r="AN33" i="50"/>
  <c r="BD33" i="50"/>
  <c r="AK33" i="50"/>
  <c r="AC28" i="50"/>
  <c r="AB43" i="50"/>
  <c r="AF43" i="50"/>
  <c r="AJ43" i="50"/>
  <c r="AN43" i="50"/>
  <c r="AR43" i="50"/>
  <c r="AV43" i="50"/>
  <c r="AZ43" i="50"/>
  <c r="BD43" i="50"/>
  <c r="BH43" i="50"/>
  <c r="BG43" i="50"/>
  <c r="AC43" i="50"/>
  <c r="AG43" i="50"/>
  <c r="AK43" i="50"/>
  <c r="AO43" i="50"/>
  <c r="AS43" i="50"/>
  <c r="AW43" i="50"/>
  <c r="BA43" i="50"/>
  <c r="BE43" i="50"/>
  <c r="BI43" i="50"/>
  <c r="AA43" i="50"/>
  <c r="AQ43" i="50"/>
  <c r="BC43" i="50"/>
  <c r="Z43" i="50"/>
  <c r="AD43" i="50"/>
  <c r="AH43" i="50"/>
  <c r="AL43" i="50"/>
  <c r="AP43" i="50"/>
  <c r="AT43" i="50"/>
  <c r="AX43" i="50"/>
  <c r="BB43" i="50"/>
  <c r="BF43" i="50"/>
  <c r="BJ43" i="50"/>
  <c r="AE43" i="50"/>
  <c r="AI43" i="50"/>
  <c r="AM43" i="50"/>
  <c r="AU43" i="50"/>
  <c r="AY43" i="50"/>
  <c r="BK43" i="50"/>
  <c r="AJ18" i="57"/>
  <c r="AK18" i="57"/>
  <c r="Z38" i="50"/>
  <c r="AD38" i="50"/>
  <c r="AH38" i="50"/>
  <c r="AL38" i="50"/>
  <c r="AP38" i="50"/>
  <c r="AT38" i="50"/>
  <c r="AX38" i="50"/>
  <c r="BB38" i="50"/>
  <c r="BF38" i="50"/>
  <c r="BJ38" i="50"/>
  <c r="AA38" i="50"/>
  <c r="AE38" i="50"/>
  <c r="AI38" i="50"/>
  <c r="AM38" i="50"/>
  <c r="AQ38" i="50"/>
  <c r="AU38" i="50"/>
  <c r="AY38" i="50"/>
  <c r="BC38" i="50"/>
  <c r="BG38" i="50"/>
  <c r="BK38" i="50"/>
  <c r="AC38" i="50"/>
  <c r="AG38" i="50"/>
  <c r="AK38" i="50"/>
  <c r="AS38" i="50"/>
  <c r="BA38" i="50"/>
  <c r="BI38" i="50"/>
  <c r="AB38" i="50"/>
  <c r="AF38" i="50"/>
  <c r="AJ38" i="50"/>
  <c r="AN38" i="50"/>
  <c r="AR38" i="50"/>
  <c r="AV38" i="50"/>
  <c r="AZ38" i="50"/>
  <c r="BD38" i="50"/>
  <c r="BH38" i="50"/>
  <c r="Y38" i="50"/>
  <c r="AO38" i="50"/>
  <c r="AW38" i="50"/>
  <c r="BE38" i="50"/>
  <c r="AI28" i="50"/>
  <c r="AE25" i="65" l="1"/>
  <c r="AC28" i="65"/>
  <c r="AB27" i="65"/>
  <c r="AB26" i="65"/>
  <c r="AD29" i="65"/>
  <c r="BE65" i="50"/>
  <c r="AU65" i="50"/>
  <c r="AL65" i="50"/>
  <c r="AC65" i="50"/>
  <c r="AU64" i="50"/>
  <c r="BE64" i="50"/>
  <c r="AF16" i="50"/>
  <c r="AC16" i="50"/>
  <c r="AE16" i="50"/>
  <c r="AB16" i="50"/>
  <c r="Z16" i="50"/>
  <c r="AA16" i="50"/>
  <c r="AD16" i="50"/>
  <c r="AF25" i="65" l="1"/>
  <c r="AE29" i="65"/>
  <c r="AC27" i="65"/>
  <c r="AD28" i="65"/>
  <c r="AC26" i="65"/>
  <c r="BF65" i="50"/>
  <c r="AV65" i="50"/>
  <c r="AM65" i="50"/>
  <c r="AD65" i="50"/>
  <c r="BF64" i="50"/>
  <c r="AV64" i="50"/>
  <c r="AJ17" i="57"/>
  <c r="AK17" i="57"/>
  <c r="AG25" i="65" l="1"/>
  <c r="AE28" i="65"/>
  <c r="AF29" i="65"/>
  <c r="AD26" i="65"/>
  <c r="AD27" i="65"/>
  <c r="BG65" i="50"/>
  <c r="AW65" i="50"/>
  <c r="AN65" i="50"/>
  <c r="AE65" i="50"/>
  <c r="AW64" i="50"/>
  <c r="BG64" i="50"/>
  <c r="AH25" i="65" l="1"/>
  <c r="AE27" i="65"/>
  <c r="AG29" i="65"/>
  <c r="AE26" i="65"/>
  <c r="AF28" i="65"/>
  <c r="BH65" i="50"/>
  <c r="AX65" i="50"/>
  <c r="AO65" i="50"/>
  <c r="AF65" i="50"/>
  <c r="BH64" i="50"/>
  <c r="AX64" i="50"/>
  <c r="C7" i="58"/>
  <c r="C8" i="58" s="1"/>
  <c r="AI25" i="65" l="1"/>
  <c r="AF26" i="65"/>
  <c r="AH29" i="65"/>
  <c r="AG28" i="65"/>
  <c r="AF27" i="65"/>
  <c r="BI65" i="50"/>
  <c r="AY65" i="50"/>
  <c r="AP65" i="50"/>
  <c r="AY64" i="50"/>
  <c r="BI64" i="50"/>
  <c r="X52" i="50"/>
  <c r="X56" i="50" s="1"/>
  <c r="AJ25" i="65" l="1"/>
  <c r="AI29" i="65"/>
  <c r="AG27" i="65"/>
  <c r="AH28" i="65"/>
  <c r="AG26" i="65"/>
  <c r="BJ65" i="50"/>
  <c r="AZ65" i="50"/>
  <c r="BJ64" i="50"/>
  <c r="AZ64" i="50"/>
  <c r="X58" i="50"/>
  <c r="X59" i="50" s="1"/>
  <c r="Y4" i="50"/>
  <c r="Y4" i="57" s="1"/>
  <c r="Z4" i="50"/>
  <c r="Z4" i="57" s="1"/>
  <c r="AA4" i="50"/>
  <c r="AA4" i="57" s="1"/>
  <c r="AB4" i="50"/>
  <c r="AB4" i="57" s="1"/>
  <c r="AC4" i="50"/>
  <c r="AC4" i="57" s="1"/>
  <c r="AD4" i="50"/>
  <c r="AD4" i="57" s="1"/>
  <c r="AE4" i="50"/>
  <c r="AF4" i="50"/>
  <c r="AG4" i="50"/>
  <c r="AE4" i="57" s="1"/>
  <c r="AH4" i="50"/>
  <c r="AI4" i="50"/>
  <c r="AJ4" i="50"/>
  <c r="AK4" i="50"/>
  <c r="AL4" i="50"/>
  <c r="AM4" i="50"/>
  <c r="AN4" i="50"/>
  <c r="AO4" i="50"/>
  <c r="AP4" i="50"/>
  <c r="AQ4" i="50"/>
  <c r="AF4" i="57" s="1"/>
  <c r="AR4" i="50"/>
  <c r="AS4" i="50"/>
  <c r="AT4" i="50"/>
  <c r="AU4" i="50"/>
  <c r="AV4" i="50"/>
  <c r="AW4" i="50"/>
  <c r="AX4" i="50"/>
  <c r="AY4" i="50"/>
  <c r="AZ4" i="50"/>
  <c r="BA4" i="50"/>
  <c r="AG4" i="57" s="1"/>
  <c r="BB4" i="50"/>
  <c r="BC4" i="50"/>
  <c r="BD4" i="50"/>
  <c r="BE4" i="50"/>
  <c r="BF4" i="50"/>
  <c r="BG4" i="50"/>
  <c r="BH4" i="50"/>
  <c r="BI4" i="50"/>
  <c r="BJ4" i="50"/>
  <c r="BK4" i="50"/>
  <c r="AH4" i="57" s="1"/>
  <c r="AK25" i="65" l="1"/>
  <c r="AH26" i="65"/>
  <c r="AI28" i="65"/>
  <c r="AJ29" i="65"/>
  <c r="AH27" i="65"/>
  <c r="AK44" i="57"/>
  <c r="AJ44" i="57"/>
  <c r="AL25" i="65" l="1"/>
  <c r="AI27" i="65"/>
  <c r="AJ28" i="65"/>
  <c r="AK29" i="65"/>
  <c r="AI26" i="65"/>
  <c r="AJ57" i="57"/>
  <c r="AK57" i="57"/>
  <c r="AK63" i="57"/>
  <c r="AJ63" i="57"/>
  <c r="AK14" i="57"/>
  <c r="AJ14" i="57"/>
  <c r="AK54" i="57"/>
  <c r="AJ54" i="57"/>
  <c r="AE42" i="36"/>
  <c r="AD16" i="36"/>
  <c r="AE16" i="36" s="1"/>
  <c r="AF16" i="36" s="1"/>
  <c r="AG16" i="36" s="1"/>
  <c r="AH16" i="36" s="1"/>
  <c r="AI16" i="36" s="1"/>
  <c r="AK55" i="57"/>
  <c r="AJ60" i="57"/>
  <c r="AK65" i="57"/>
  <c r="AK66" i="57"/>
  <c r="AJ66" i="57"/>
  <c r="AK26" i="57"/>
  <c r="AJ26" i="57"/>
  <c r="W52" i="50"/>
  <c r="W56" i="50" s="1"/>
  <c r="AK56" i="57"/>
  <c r="AJ56" i="57"/>
  <c r="D12" i="57"/>
  <c r="E12" i="57"/>
  <c r="F12" i="57"/>
  <c r="G12" i="57"/>
  <c r="H12" i="57"/>
  <c r="I12" i="57"/>
  <c r="J12" i="57"/>
  <c r="K12" i="57"/>
  <c r="L12" i="57"/>
  <c r="M12" i="57"/>
  <c r="N12" i="57"/>
  <c r="O12" i="57"/>
  <c r="P12" i="57"/>
  <c r="Q12" i="57"/>
  <c r="R12" i="57"/>
  <c r="S12" i="57"/>
  <c r="T12" i="57"/>
  <c r="U12" i="57"/>
  <c r="V12" i="57"/>
  <c r="W12" i="57"/>
  <c r="X12" i="57"/>
  <c r="Y12" i="57"/>
  <c r="Z12" i="57"/>
  <c r="AA12" i="57"/>
  <c r="AB12" i="57"/>
  <c r="AC12" i="57"/>
  <c r="AD12" i="57"/>
  <c r="C12" i="57"/>
  <c r="D11" i="57"/>
  <c r="E11" i="57"/>
  <c r="F11" i="57"/>
  <c r="G11" i="57"/>
  <c r="H11" i="57"/>
  <c r="I11" i="57"/>
  <c r="J11" i="57"/>
  <c r="K11" i="57"/>
  <c r="L11" i="57"/>
  <c r="M11" i="57"/>
  <c r="N11" i="57"/>
  <c r="O11" i="57"/>
  <c r="P11" i="57"/>
  <c r="Q11" i="57"/>
  <c r="R11" i="57"/>
  <c r="S11" i="57"/>
  <c r="T11" i="57"/>
  <c r="U11" i="57"/>
  <c r="V11" i="57"/>
  <c r="W11" i="57"/>
  <c r="X11" i="57"/>
  <c r="Y11" i="57"/>
  <c r="Z11" i="57"/>
  <c r="AA11" i="57"/>
  <c r="AB11" i="57"/>
  <c r="AC11" i="57"/>
  <c r="AD11" i="57"/>
  <c r="C11" i="57"/>
  <c r="D10" i="57"/>
  <c r="E10" i="57"/>
  <c r="F10" i="57"/>
  <c r="G10" i="57"/>
  <c r="H10" i="57"/>
  <c r="I10" i="57"/>
  <c r="J10" i="57"/>
  <c r="K10" i="57"/>
  <c r="L10" i="57"/>
  <c r="M10" i="57"/>
  <c r="N10" i="57"/>
  <c r="O10" i="57"/>
  <c r="P10" i="57"/>
  <c r="Q10" i="57"/>
  <c r="R10" i="57"/>
  <c r="S10" i="57"/>
  <c r="T10" i="57"/>
  <c r="U10" i="57"/>
  <c r="V10" i="57"/>
  <c r="W10" i="57"/>
  <c r="X10" i="57"/>
  <c r="Y10" i="57"/>
  <c r="Z10" i="57"/>
  <c r="AA10" i="57"/>
  <c r="AB10" i="57"/>
  <c r="AC10" i="57"/>
  <c r="AD10" i="57"/>
  <c r="C10" i="57"/>
  <c r="D9" i="57"/>
  <c r="E9" i="57"/>
  <c r="F9" i="57"/>
  <c r="G9" i="57"/>
  <c r="H9" i="57"/>
  <c r="I9" i="57"/>
  <c r="J9" i="57"/>
  <c r="K9" i="57"/>
  <c r="L9" i="57"/>
  <c r="M9" i="57"/>
  <c r="N9" i="57"/>
  <c r="O9" i="57"/>
  <c r="P9" i="57"/>
  <c r="Q9" i="57"/>
  <c r="R9" i="57"/>
  <c r="S9" i="57"/>
  <c r="T9" i="57"/>
  <c r="U9" i="57"/>
  <c r="V9" i="57"/>
  <c r="W9" i="57"/>
  <c r="X9" i="57"/>
  <c r="Y9" i="57"/>
  <c r="Z9" i="57"/>
  <c r="AA9" i="57"/>
  <c r="AB9" i="57"/>
  <c r="AC9" i="57"/>
  <c r="AD9" i="57"/>
  <c r="C9" i="57"/>
  <c r="A20" i="57"/>
  <c r="B20" i="57"/>
  <c r="C20" i="57"/>
  <c r="D20" i="57"/>
  <c r="E20" i="57"/>
  <c r="F20" i="57"/>
  <c r="G20" i="57"/>
  <c r="H20" i="57"/>
  <c r="I20" i="57"/>
  <c r="J20" i="57"/>
  <c r="K20" i="57"/>
  <c r="K21" i="57" s="1"/>
  <c r="L20" i="57"/>
  <c r="M20" i="57"/>
  <c r="N20" i="57"/>
  <c r="O20" i="57"/>
  <c r="P20" i="57"/>
  <c r="Q20" i="57"/>
  <c r="R20" i="57"/>
  <c r="S20" i="57"/>
  <c r="T20" i="57"/>
  <c r="U20" i="57"/>
  <c r="V20" i="57"/>
  <c r="W20" i="57"/>
  <c r="X20" i="57"/>
  <c r="Y20" i="57"/>
  <c r="Z20" i="57"/>
  <c r="AA20" i="57"/>
  <c r="AB20" i="57"/>
  <c r="AC20" i="57"/>
  <c r="AD20" i="57"/>
  <c r="G22" i="57"/>
  <c r="G7" i="57" s="1"/>
  <c r="G5" i="57"/>
  <c r="K5" i="57"/>
  <c r="O5" i="57"/>
  <c r="S5" i="57"/>
  <c r="W5" i="57"/>
  <c r="AA5" i="57"/>
  <c r="C5" i="57"/>
  <c r="B19" i="57"/>
  <c r="A19" i="57"/>
  <c r="B44" i="57"/>
  <c r="A44" i="57"/>
  <c r="B43" i="57"/>
  <c r="A43" i="57"/>
  <c r="B41" i="57"/>
  <c r="A41" i="57"/>
  <c r="B39" i="57"/>
  <c r="B40" i="57"/>
  <c r="A39" i="57"/>
  <c r="A40" i="57"/>
  <c r="A13" i="57"/>
  <c r="B13" i="57"/>
  <c r="D5" i="57"/>
  <c r="E5" i="57"/>
  <c r="F5" i="57"/>
  <c r="H5" i="57"/>
  <c r="I5" i="57"/>
  <c r="J5" i="57"/>
  <c r="L5" i="57"/>
  <c r="M5" i="57"/>
  <c r="N5" i="57"/>
  <c r="P5" i="57"/>
  <c r="Q5" i="57"/>
  <c r="R5" i="57"/>
  <c r="T5" i="57"/>
  <c r="U5" i="57"/>
  <c r="V5" i="57"/>
  <c r="X5" i="57"/>
  <c r="Y5" i="57"/>
  <c r="Z5" i="57"/>
  <c r="AB5" i="57"/>
  <c r="AC5" i="57"/>
  <c r="AD5" i="57"/>
  <c r="B16" i="57"/>
  <c r="C6" i="57"/>
  <c r="D6" i="57"/>
  <c r="E6" i="57"/>
  <c r="F6" i="57"/>
  <c r="G6" i="57"/>
  <c r="H6" i="57"/>
  <c r="I6" i="57"/>
  <c r="J6" i="57"/>
  <c r="K6" i="57"/>
  <c r="L6" i="57"/>
  <c r="M6" i="57"/>
  <c r="N6" i="57"/>
  <c r="O6" i="57"/>
  <c r="P6" i="57"/>
  <c r="Q6" i="57"/>
  <c r="R6" i="57"/>
  <c r="S6" i="57"/>
  <c r="T6" i="57"/>
  <c r="U6" i="57"/>
  <c r="V6" i="57"/>
  <c r="W6" i="57"/>
  <c r="X6" i="57"/>
  <c r="Y6" i="57"/>
  <c r="Z6" i="57"/>
  <c r="AA6" i="57"/>
  <c r="AB6" i="57"/>
  <c r="AC6" i="57"/>
  <c r="B17" i="57"/>
  <c r="B22" i="57"/>
  <c r="B23" i="57"/>
  <c r="B25" i="57"/>
  <c r="B26" i="57"/>
  <c r="B28" i="57"/>
  <c r="B29" i="57"/>
  <c r="B31" i="57"/>
  <c r="B33" i="57"/>
  <c r="B36" i="57"/>
  <c r="A36" i="57"/>
  <c r="A33" i="57"/>
  <c r="A31" i="57"/>
  <c r="A29" i="57"/>
  <c r="A28" i="57"/>
  <c r="A26" i="57"/>
  <c r="A25" i="57"/>
  <c r="A23" i="57"/>
  <c r="A22" i="57"/>
  <c r="A17" i="57"/>
  <c r="A16" i="57"/>
  <c r="A14" i="57"/>
  <c r="B5" i="57"/>
  <c r="B6" i="57"/>
  <c r="B7" i="57"/>
  <c r="B8" i="57"/>
  <c r="B9" i="57"/>
  <c r="B10" i="57"/>
  <c r="B11" i="57"/>
  <c r="B12" i="57"/>
  <c r="A12" i="57"/>
  <c r="A11" i="57"/>
  <c r="A10" i="57"/>
  <c r="A9" i="57"/>
  <c r="A8" i="57"/>
  <c r="A7" i="57"/>
  <c r="A6" i="57"/>
  <c r="A5" i="57"/>
  <c r="B4" i="57"/>
  <c r="A4" i="57"/>
  <c r="AM25" i="65" l="1"/>
  <c r="AJ26" i="65"/>
  <c r="AJ27" i="65"/>
  <c r="AL29" i="65"/>
  <c r="AK28" i="65"/>
  <c r="AF42" i="36"/>
  <c r="AE83" i="36"/>
  <c r="W58" i="50"/>
  <c r="W59" i="50" s="1"/>
  <c r="V52" i="50"/>
  <c r="V56" i="50" s="1"/>
  <c r="U52" i="50"/>
  <c r="U56" i="50" s="1"/>
  <c r="N8" i="57"/>
  <c r="N21" i="57"/>
  <c r="N25" i="50" s="1"/>
  <c r="V8" i="57"/>
  <c r="V21" i="57"/>
  <c r="V25" i="50" s="1"/>
  <c r="J8" i="57"/>
  <c r="J21" i="57"/>
  <c r="J25" i="50" s="1"/>
  <c r="AC8" i="57"/>
  <c r="AC21" i="57"/>
  <c r="Y8" i="57"/>
  <c r="Y21" i="57"/>
  <c r="U8" i="57"/>
  <c r="U21" i="57"/>
  <c r="U25" i="50" s="1"/>
  <c r="Q8" i="57"/>
  <c r="Q21" i="57"/>
  <c r="Q25" i="50" s="1"/>
  <c r="M8" i="57"/>
  <c r="M21" i="57"/>
  <c r="M25" i="50" s="1"/>
  <c r="I8" i="57"/>
  <c r="I21" i="57"/>
  <c r="I25" i="50" s="1"/>
  <c r="E8" i="57"/>
  <c r="E21" i="57"/>
  <c r="E25" i="50" s="1"/>
  <c r="Z8" i="57"/>
  <c r="Z21" i="57"/>
  <c r="AB22" i="57"/>
  <c r="AB7" i="57" s="1"/>
  <c r="AB21" i="57"/>
  <c r="X22" i="57"/>
  <c r="X7" i="57" s="1"/>
  <c r="X21" i="57"/>
  <c r="X25" i="50" s="1"/>
  <c r="T22" i="57"/>
  <c r="T7" i="57" s="1"/>
  <c r="T21" i="57"/>
  <c r="T25" i="50" s="1"/>
  <c r="P22" i="57"/>
  <c r="P7" i="57" s="1"/>
  <c r="P21" i="57"/>
  <c r="P25" i="50" s="1"/>
  <c r="L22" i="57"/>
  <c r="L7" i="57" s="1"/>
  <c r="L21" i="57"/>
  <c r="L25" i="50" s="1"/>
  <c r="H22" i="57"/>
  <c r="H7" i="57" s="1"/>
  <c r="H21" i="57"/>
  <c r="H25" i="50" s="1"/>
  <c r="D22" i="57"/>
  <c r="D7" i="57" s="1"/>
  <c r="D21" i="57"/>
  <c r="D25" i="50" s="1"/>
  <c r="AD8" i="57"/>
  <c r="AD21" i="57"/>
  <c r="R8" i="57"/>
  <c r="R21" i="57"/>
  <c r="R25" i="50" s="1"/>
  <c r="F8" i="57"/>
  <c r="F21" i="57"/>
  <c r="F25" i="50" s="1"/>
  <c r="AA8" i="57"/>
  <c r="AA21" i="57"/>
  <c r="W8" i="57"/>
  <c r="W21" i="57"/>
  <c r="W25" i="50" s="1"/>
  <c r="S8" i="57"/>
  <c r="S21" i="57"/>
  <c r="S25" i="50" s="1"/>
  <c r="O8" i="57"/>
  <c r="O21" i="57"/>
  <c r="O25" i="50" s="1"/>
  <c r="K8" i="57"/>
  <c r="G8" i="57"/>
  <c r="G21" i="57"/>
  <c r="G25" i="50" s="1"/>
  <c r="C8" i="57"/>
  <c r="C21" i="57"/>
  <c r="C25" i="50" s="1"/>
  <c r="AJ59" i="57"/>
  <c r="S22" i="57"/>
  <c r="Z22" i="57"/>
  <c r="Z7" i="57" s="1"/>
  <c r="I22" i="57"/>
  <c r="I7" i="57" s="1"/>
  <c r="U22" i="57"/>
  <c r="U7" i="57" s="1"/>
  <c r="AK60" i="57"/>
  <c r="AJ55" i="57"/>
  <c r="AJ65" i="57"/>
  <c r="W22" i="57"/>
  <c r="W7" i="57" s="1"/>
  <c r="V22" i="57"/>
  <c r="V7" i="57" s="1"/>
  <c r="N22" i="57"/>
  <c r="N7" i="57" s="1"/>
  <c r="O22" i="57"/>
  <c r="O7" i="57" s="1"/>
  <c r="AD22" i="57"/>
  <c r="C22" i="57"/>
  <c r="C7" i="57" s="1"/>
  <c r="AA22" i="57"/>
  <c r="AA7" i="57" s="1"/>
  <c r="K22" i="57"/>
  <c r="K7" i="57" s="1"/>
  <c r="AK59" i="57"/>
  <c r="Y22" i="57"/>
  <c r="Y7" i="57" s="1"/>
  <c r="AC22" i="57"/>
  <c r="AC7" i="57" s="1"/>
  <c r="R22" i="57"/>
  <c r="R7" i="57" s="1"/>
  <c r="M22" i="57"/>
  <c r="M7" i="57" s="1"/>
  <c r="F22" i="57"/>
  <c r="F7" i="57" s="1"/>
  <c r="Q22" i="57"/>
  <c r="Q7" i="57" s="1"/>
  <c r="J22" i="57"/>
  <c r="J7" i="57" s="1"/>
  <c r="E22" i="57"/>
  <c r="E7" i="57" s="1"/>
  <c r="AB8" i="57"/>
  <c r="X8" i="57"/>
  <c r="T8" i="57"/>
  <c r="P8" i="57"/>
  <c r="L8" i="57"/>
  <c r="H8" i="57"/>
  <c r="D8" i="57"/>
  <c r="AN25" i="65" l="1"/>
  <c r="AK27" i="65"/>
  <c r="AL28" i="65"/>
  <c r="AK26" i="65"/>
  <c r="AM29" i="65"/>
  <c r="S7" i="57"/>
  <c r="AJ23" i="57"/>
  <c r="AK23" i="57"/>
  <c r="AG42" i="36"/>
  <c r="AF83" i="36"/>
  <c r="U58" i="50"/>
  <c r="U59" i="50" s="1"/>
  <c r="V58" i="50"/>
  <c r="V59" i="50" s="1"/>
  <c r="AK21" i="57"/>
  <c r="K25" i="50"/>
  <c r="AJ21" i="57"/>
  <c r="AD6" i="57"/>
  <c r="AN29" i="65" l="1"/>
  <c r="AM28" i="65"/>
  <c r="AL26" i="65"/>
  <c r="AL27" i="65"/>
  <c r="AH42" i="36"/>
  <c r="AG83" i="36"/>
  <c r="AA25" i="50"/>
  <c r="AE25" i="50"/>
  <c r="AI25" i="50"/>
  <c r="AM25" i="50"/>
  <c r="AQ25" i="50"/>
  <c r="AU25" i="50"/>
  <c r="AY25" i="50"/>
  <c r="BC25" i="50"/>
  <c r="BG25" i="50"/>
  <c r="BK25" i="50"/>
  <c r="AG25" i="50"/>
  <c r="AO25" i="50"/>
  <c r="AW25" i="50"/>
  <c r="BE25" i="50"/>
  <c r="Z25" i="50"/>
  <c r="AH25" i="50"/>
  <c r="AP25" i="50"/>
  <c r="AX25" i="50"/>
  <c r="BF25" i="50"/>
  <c r="AB25" i="50"/>
  <c r="AF25" i="50"/>
  <c r="AJ25" i="50"/>
  <c r="AN25" i="50"/>
  <c r="AR25" i="50"/>
  <c r="AV25" i="50"/>
  <c r="AZ25" i="50"/>
  <c r="BD25" i="50"/>
  <c r="BH25" i="50"/>
  <c r="Y25" i="50"/>
  <c r="AC25" i="50"/>
  <c r="AK25" i="50"/>
  <c r="AS25" i="50"/>
  <c r="BA25" i="50"/>
  <c r="BI25" i="50"/>
  <c r="AD25" i="50"/>
  <c r="AL25" i="50"/>
  <c r="AT25" i="50"/>
  <c r="BB25" i="50"/>
  <c r="BJ25" i="50"/>
  <c r="AD7" i="57"/>
  <c r="AM27" i="65" l="1"/>
  <c r="AN28" i="65"/>
  <c r="AM26" i="65"/>
  <c r="AI42" i="36"/>
  <c r="AI83" i="36" s="1"/>
  <c r="AH83" i="36"/>
  <c r="AJ16" i="36"/>
  <c r="AK16" i="36" s="1"/>
  <c r="AL16" i="36" s="1"/>
  <c r="AM16" i="36" s="1"/>
  <c r="AN16" i="36" s="1"/>
  <c r="AO16" i="36" s="1"/>
  <c r="AP16" i="36" s="1"/>
  <c r="AQ16" i="36" s="1"/>
  <c r="AR16" i="36" s="1"/>
  <c r="AS16" i="36" s="1"/>
  <c r="AT16" i="36" s="1"/>
  <c r="AU16" i="36" s="1"/>
  <c r="AV16" i="36" s="1"/>
  <c r="AW16" i="36" s="1"/>
  <c r="AX16" i="36" s="1"/>
  <c r="AY16" i="36" s="1"/>
  <c r="AZ16" i="36" s="1"/>
  <c r="BA16" i="36" s="1"/>
  <c r="BB16" i="36" s="1"/>
  <c r="BC16" i="36" s="1"/>
  <c r="BD16" i="36" s="1"/>
  <c r="BE16" i="36" s="1"/>
  <c r="BF16" i="36" s="1"/>
  <c r="BG16" i="36" s="1"/>
  <c r="BH16" i="36" s="1"/>
  <c r="BI16" i="36" s="1"/>
  <c r="BJ16" i="36" s="1"/>
  <c r="BK16" i="36" s="1"/>
  <c r="BL16" i="36" s="1"/>
  <c r="BM16" i="36" s="1"/>
  <c r="BN16" i="36" s="1"/>
  <c r="BO16" i="36" s="1"/>
  <c r="BP16" i="36" s="1"/>
  <c r="AN26" i="65" l="1"/>
  <c r="AN27" i="65"/>
  <c r="Y5" i="47"/>
  <c r="X4" i="50" l="1"/>
  <c r="X4" i="57" s="1"/>
  <c r="X4" i="69"/>
  <c r="X5" i="47"/>
  <c r="W4" i="50" l="1"/>
  <c r="W4" i="57" s="1"/>
  <c r="W4" i="69"/>
  <c r="W5" i="47"/>
  <c r="V4" i="50" l="1"/>
  <c r="V4" i="57" s="1"/>
  <c r="V4" i="69"/>
  <c r="V5" i="47"/>
  <c r="D145" i="34"/>
  <c r="D146" i="34"/>
  <c r="D147" i="34"/>
  <c r="D148" i="34"/>
  <c r="D149" i="34"/>
  <c r="D150" i="34"/>
  <c r="D151" i="34"/>
  <c r="D152" i="34"/>
  <c r="D153" i="34"/>
  <c r="D154" i="34"/>
  <c r="D155" i="34"/>
  <c r="D144" i="34"/>
  <c r="E130" i="34"/>
  <c r="E131" i="34"/>
  <c r="E132" i="34"/>
  <c r="E133" i="34"/>
  <c r="E134" i="34"/>
  <c r="E124" i="34"/>
  <c r="E125" i="34"/>
  <c r="E126" i="34"/>
  <c r="E127" i="34"/>
  <c r="E128" i="34"/>
  <c r="U4" i="50" l="1"/>
  <c r="U4" i="57" s="1"/>
  <c r="U4" i="69"/>
  <c r="U5" i="47"/>
  <c r="B6" i="46"/>
  <c r="T4" i="50" l="1"/>
  <c r="T4" i="57" s="1"/>
  <c r="T4" i="69"/>
  <c r="AD89" i="36"/>
  <c r="AH89" i="36"/>
  <c r="AG89" i="36"/>
  <c r="AE89" i="36"/>
  <c r="AI89" i="36"/>
  <c r="AJ89" i="36"/>
  <c r="AF89" i="36"/>
  <c r="AE87" i="36"/>
  <c r="AI87" i="36"/>
  <c r="AM87" i="36"/>
  <c r="AQ87" i="36"/>
  <c r="AU87" i="36"/>
  <c r="AY87" i="36"/>
  <c r="BC87" i="36"/>
  <c r="BG87" i="36"/>
  <c r="BK87" i="36"/>
  <c r="BO87" i="36"/>
  <c r="AG88" i="36"/>
  <c r="AK88" i="36"/>
  <c r="AO88" i="36"/>
  <c r="AS88" i="36"/>
  <c r="AW88" i="36"/>
  <c r="BA88" i="36"/>
  <c r="BE88" i="36"/>
  <c r="BI88" i="36"/>
  <c r="BM88" i="36"/>
  <c r="AK89" i="36"/>
  <c r="AO89" i="36"/>
  <c r="AS89" i="36"/>
  <c r="AW89" i="36"/>
  <c r="BA89" i="36"/>
  <c r="BE89" i="36"/>
  <c r="BI89" i="36"/>
  <c r="BM89" i="36"/>
  <c r="AE90" i="36"/>
  <c r="AI90" i="36"/>
  <c r="AM90" i="36"/>
  <c r="AQ90" i="36"/>
  <c r="AU90" i="36"/>
  <c r="AY90" i="36"/>
  <c r="BC90" i="36"/>
  <c r="BG90" i="36"/>
  <c r="BK90" i="36"/>
  <c r="BO90" i="36"/>
  <c r="AG91" i="36"/>
  <c r="AK91" i="36"/>
  <c r="AO91" i="36"/>
  <c r="AS91" i="36"/>
  <c r="AW91" i="36"/>
  <c r="BA91" i="36"/>
  <c r="BE91" i="36"/>
  <c r="BI91" i="36"/>
  <c r="BM91" i="36"/>
  <c r="AE92" i="36"/>
  <c r="AI92" i="36"/>
  <c r="AM92" i="36"/>
  <c r="AQ92" i="36"/>
  <c r="AU92" i="36"/>
  <c r="AY92" i="36"/>
  <c r="BC92" i="36"/>
  <c r="BG92" i="36"/>
  <c r="BK92" i="36"/>
  <c r="BO92" i="36"/>
  <c r="AG95" i="36"/>
  <c r="AK95" i="36"/>
  <c r="AO95" i="36"/>
  <c r="AS95" i="36"/>
  <c r="AW95" i="36"/>
  <c r="BA95" i="36"/>
  <c r="BE95" i="36"/>
  <c r="BI95" i="36"/>
  <c r="BM95" i="36"/>
  <c r="AE96" i="36"/>
  <c r="AI96" i="36"/>
  <c r="AM96" i="36"/>
  <c r="AQ96" i="36"/>
  <c r="AU96" i="36"/>
  <c r="AY96" i="36"/>
  <c r="BC96" i="36"/>
  <c r="BG96" i="36"/>
  <c r="BK96" i="36"/>
  <c r="BO96" i="36"/>
  <c r="AG97" i="36"/>
  <c r="AK97" i="36"/>
  <c r="AO97" i="36"/>
  <c r="AS97" i="36"/>
  <c r="AW97" i="36"/>
  <c r="BA97" i="36"/>
  <c r="BE97" i="36"/>
  <c r="BI97" i="36"/>
  <c r="BM97" i="36"/>
  <c r="AE98" i="36"/>
  <c r="AF87" i="36"/>
  <c r="AJ87" i="36"/>
  <c r="AN87" i="36"/>
  <c r="AR87" i="36"/>
  <c r="AV87" i="36"/>
  <c r="AZ87" i="36"/>
  <c r="BD87" i="36"/>
  <c r="BH87" i="36"/>
  <c r="BL87" i="36"/>
  <c r="BP87" i="36"/>
  <c r="AH88" i="36"/>
  <c r="AL88" i="36"/>
  <c r="AP88" i="36"/>
  <c r="AT88" i="36"/>
  <c r="AX88" i="36"/>
  <c r="BB88" i="36"/>
  <c r="BF88" i="36"/>
  <c r="BJ88" i="36"/>
  <c r="BN88" i="36"/>
  <c r="AL89" i="36"/>
  <c r="AP89" i="36"/>
  <c r="AT89" i="36"/>
  <c r="AX89" i="36"/>
  <c r="BB89" i="36"/>
  <c r="BF89" i="36"/>
  <c r="BJ89" i="36"/>
  <c r="BN89" i="36"/>
  <c r="AF90" i="36"/>
  <c r="AJ90" i="36"/>
  <c r="AN90" i="36"/>
  <c r="AR90" i="36"/>
  <c r="AV90" i="36"/>
  <c r="AZ90" i="36"/>
  <c r="BD90" i="36"/>
  <c r="BH90" i="36"/>
  <c r="BL90" i="36"/>
  <c r="BP90" i="36"/>
  <c r="AH91" i="36"/>
  <c r="AL91" i="36"/>
  <c r="AP91" i="36"/>
  <c r="AT91" i="36"/>
  <c r="AX91" i="36"/>
  <c r="BB91" i="36"/>
  <c r="BF91" i="36"/>
  <c r="BJ91" i="36"/>
  <c r="BN91" i="36"/>
  <c r="AF92" i="36"/>
  <c r="AJ92" i="36"/>
  <c r="AN92" i="36"/>
  <c r="AR92" i="36"/>
  <c r="AV92" i="36"/>
  <c r="AZ92" i="36"/>
  <c r="BD92" i="36"/>
  <c r="BH92" i="36"/>
  <c r="BL92" i="36"/>
  <c r="BP92" i="36"/>
  <c r="AH95" i="36"/>
  <c r="AL95" i="36"/>
  <c r="AP95" i="36"/>
  <c r="AT95" i="36"/>
  <c r="AX95" i="36"/>
  <c r="BB95" i="36"/>
  <c r="BF95" i="36"/>
  <c r="BJ95" i="36"/>
  <c r="BN95" i="36"/>
  <c r="AF96" i="36"/>
  <c r="AJ96" i="36"/>
  <c r="AN96" i="36"/>
  <c r="AR96" i="36"/>
  <c r="AV96" i="36"/>
  <c r="AZ96" i="36"/>
  <c r="BD96" i="36"/>
  <c r="BH96" i="36"/>
  <c r="BL96" i="36"/>
  <c r="BP96" i="36"/>
  <c r="AH97" i="36"/>
  <c r="AL97" i="36"/>
  <c r="AP97" i="36"/>
  <c r="AT97" i="36"/>
  <c r="AG87" i="36"/>
  <c r="AK87" i="36"/>
  <c r="AO87" i="36"/>
  <c r="AS87" i="36"/>
  <c r="AW87" i="36"/>
  <c r="BA87" i="36"/>
  <c r="BE87" i="36"/>
  <c r="BI87" i="36"/>
  <c r="BM87" i="36"/>
  <c r="AE88" i="36"/>
  <c r="AI88" i="36"/>
  <c r="AM88" i="36"/>
  <c r="AQ88" i="36"/>
  <c r="AU88" i="36"/>
  <c r="AY88" i="36"/>
  <c r="BC88" i="36"/>
  <c r="BG88" i="36"/>
  <c r="BK88" i="36"/>
  <c r="BO88" i="36"/>
  <c r="AM89" i="36"/>
  <c r="AQ89" i="36"/>
  <c r="AU89" i="36"/>
  <c r="AY89" i="36"/>
  <c r="BC89" i="36"/>
  <c r="BG89" i="36"/>
  <c r="BK89" i="36"/>
  <c r="BO89" i="36"/>
  <c r="AG90" i="36"/>
  <c r="AK90" i="36"/>
  <c r="AO90" i="36"/>
  <c r="AS90" i="36"/>
  <c r="AW90" i="36"/>
  <c r="BA90" i="36"/>
  <c r="BE90" i="36"/>
  <c r="BI90" i="36"/>
  <c r="BM90" i="36"/>
  <c r="AE91" i="36"/>
  <c r="AI91" i="36"/>
  <c r="AM91" i="36"/>
  <c r="AQ91" i="36"/>
  <c r="AU91" i="36"/>
  <c r="AY91" i="36"/>
  <c r="BC91" i="36"/>
  <c r="BG91" i="36"/>
  <c r="BK91" i="36"/>
  <c r="BO91" i="36"/>
  <c r="AG92" i="36"/>
  <c r="AK92" i="36"/>
  <c r="AO92" i="36"/>
  <c r="AS92" i="36"/>
  <c r="AW92" i="36"/>
  <c r="BA92" i="36"/>
  <c r="BE92" i="36"/>
  <c r="BI92" i="36"/>
  <c r="BM92" i="36"/>
  <c r="AE95" i="36"/>
  <c r="AI95" i="36"/>
  <c r="AM95" i="36"/>
  <c r="AQ95" i="36"/>
  <c r="AU95" i="36"/>
  <c r="AY95" i="36"/>
  <c r="BC95" i="36"/>
  <c r="BG95" i="36"/>
  <c r="BK95" i="36"/>
  <c r="BO95" i="36"/>
  <c r="AG96" i="36"/>
  <c r="AK96" i="36"/>
  <c r="AO96" i="36"/>
  <c r="AS96" i="36"/>
  <c r="AW96" i="36"/>
  <c r="BA96" i="36"/>
  <c r="BE96" i="36"/>
  <c r="BI96" i="36"/>
  <c r="BM96" i="36"/>
  <c r="AE97" i="36"/>
  <c r="AI97" i="36"/>
  <c r="AM97" i="36"/>
  <c r="AQ97" i="36"/>
  <c r="AU97" i="36"/>
  <c r="AY97" i="36"/>
  <c r="BC97" i="36"/>
  <c r="BG97" i="36"/>
  <c r="BK97" i="36"/>
  <c r="AH87" i="36"/>
  <c r="AX87" i="36"/>
  <c r="BN87" i="36"/>
  <c r="AR88" i="36"/>
  <c r="BH88" i="36"/>
  <c r="AR89" i="36"/>
  <c r="BH89" i="36"/>
  <c r="AL90" i="36"/>
  <c r="BB90" i="36"/>
  <c r="AF91" i="36"/>
  <c r="AV91" i="36"/>
  <c r="BL91" i="36"/>
  <c r="AP92" i="36"/>
  <c r="BF92" i="36"/>
  <c r="AJ95" i="36"/>
  <c r="AZ95" i="36"/>
  <c r="BP95" i="36"/>
  <c r="AT96" i="36"/>
  <c r="BJ96" i="36"/>
  <c r="AN97" i="36"/>
  <c r="AZ97" i="36"/>
  <c r="BH97" i="36"/>
  <c r="BO97" i="36"/>
  <c r="AH98" i="36"/>
  <c r="AL98" i="36"/>
  <c r="AP98" i="36"/>
  <c r="AT98" i="36"/>
  <c r="AX98" i="36"/>
  <c r="BB98" i="36"/>
  <c r="BF98" i="36"/>
  <c r="BJ98" i="36"/>
  <c r="BN98" i="36"/>
  <c r="AD97" i="36"/>
  <c r="AD91" i="36"/>
  <c r="BK98" i="36"/>
  <c r="AD90" i="36"/>
  <c r="AT87" i="36"/>
  <c r="AP96" i="36"/>
  <c r="AK98" i="36"/>
  <c r="BE98" i="36"/>
  <c r="AD98" i="36"/>
  <c r="AL87" i="36"/>
  <c r="BB87" i="36"/>
  <c r="AF88" i="36"/>
  <c r="AV88" i="36"/>
  <c r="BL88" i="36"/>
  <c r="AV89" i="36"/>
  <c r="BL89" i="36"/>
  <c r="AP90" i="36"/>
  <c r="BF90" i="36"/>
  <c r="AJ91" i="36"/>
  <c r="AZ91" i="36"/>
  <c r="BP91" i="36"/>
  <c r="AT92" i="36"/>
  <c r="BJ92" i="36"/>
  <c r="AN95" i="36"/>
  <c r="BD95" i="36"/>
  <c r="AH96" i="36"/>
  <c r="AX96" i="36"/>
  <c r="BN96" i="36"/>
  <c r="AR97" i="36"/>
  <c r="BB97" i="36"/>
  <c r="BJ97" i="36"/>
  <c r="BP97" i="36"/>
  <c r="AI98" i="36"/>
  <c r="AM98" i="36"/>
  <c r="AQ98" i="36"/>
  <c r="AU98" i="36"/>
  <c r="AY98" i="36"/>
  <c r="BC98" i="36"/>
  <c r="BG98" i="36"/>
  <c r="BO98" i="36"/>
  <c r="AD96" i="36"/>
  <c r="AD88" i="36"/>
  <c r="AN88" i="36"/>
  <c r="BD88" i="36"/>
  <c r="BD89" i="36"/>
  <c r="AX90" i="36"/>
  <c r="AR91" i="36"/>
  <c r="AL92" i="36"/>
  <c r="AF95" i="36"/>
  <c r="BL95" i="36"/>
  <c r="AJ97" i="36"/>
  <c r="BF97" i="36"/>
  <c r="AG98" i="36"/>
  <c r="AS98" i="36"/>
  <c r="BA98" i="36"/>
  <c r="BM98" i="36"/>
  <c r="AD87" i="36"/>
  <c r="AP87" i="36"/>
  <c r="BF87" i="36"/>
  <c r="AJ88" i="36"/>
  <c r="AZ88" i="36"/>
  <c r="BP88" i="36"/>
  <c r="AZ89" i="36"/>
  <c r="BP89" i="36"/>
  <c r="AT90" i="36"/>
  <c r="BJ90" i="36"/>
  <c r="AN91" i="36"/>
  <c r="BD91" i="36"/>
  <c r="AH92" i="36"/>
  <c r="AX92" i="36"/>
  <c r="BN92" i="36"/>
  <c r="AR95" i="36"/>
  <c r="BH95" i="36"/>
  <c r="AL96" i="36"/>
  <c r="BB96" i="36"/>
  <c r="AF97" i="36"/>
  <c r="AV97" i="36"/>
  <c r="BD97" i="36"/>
  <c r="BL97" i="36"/>
  <c r="AF98" i="36"/>
  <c r="AJ98" i="36"/>
  <c r="AN98" i="36"/>
  <c r="AR98" i="36"/>
  <c r="AV98" i="36"/>
  <c r="AZ98" i="36"/>
  <c r="BD98" i="36"/>
  <c r="BH98" i="36"/>
  <c r="BL98" i="36"/>
  <c r="BP98" i="36"/>
  <c r="AD95" i="36"/>
  <c r="BJ87" i="36"/>
  <c r="AN89" i="36"/>
  <c r="AH90" i="36"/>
  <c r="BN90" i="36"/>
  <c r="BH91" i="36"/>
  <c r="BB92" i="36"/>
  <c r="AV95" i="36"/>
  <c r="BF96" i="36"/>
  <c r="AX97" i="36"/>
  <c r="BN97" i="36"/>
  <c r="AO98" i="36"/>
  <c r="AW98" i="36"/>
  <c r="BI98" i="36"/>
  <c r="AD92" i="36"/>
  <c r="H97" i="36"/>
  <c r="Z97" i="36"/>
  <c r="V97" i="36"/>
  <c r="R97" i="36"/>
  <c r="N97" i="36"/>
  <c r="J97" i="36"/>
  <c r="AC97" i="36"/>
  <c r="Y97" i="36"/>
  <c r="U97" i="36"/>
  <c r="Q97" i="36"/>
  <c r="M97" i="36"/>
  <c r="I97" i="36"/>
  <c r="AB97" i="36"/>
  <c r="X97" i="36"/>
  <c r="T97" i="36"/>
  <c r="P97" i="36"/>
  <c r="L97" i="36"/>
  <c r="AA97" i="36"/>
  <c r="W97" i="36"/>
  <c r="S97" i="36"/>
  <c r="O97" i="36"/>
  <c r="K97" i="36"/>
  <c r="T5" i="47"/>
  <c r="AJ232" i="51"/>
  <c r="AI232" i="51"/>
  <c r="AH232" i="51"/>
  <c r="AG232" i="51"/>
  <c r="AF232" i="51"/>
  <c r="AE232" i="51"/>
  <c r="AD232" i="51"/>
  <c r="AC232" i="51"/>
  <c r="AB232" i="51"/>
  <c r="AA232" i="51"/>
  <c r="Z232" i="51"/>
  <c r="Y232" i="51"/>
  <c r="X232" i="51"/>
  <c r="W232" i="51"/>
  <c r="V232" i="51"/>
  <c r="U232" i="51"/>
  <c r="T232" i="51"/>
  <c r="S232" i="51"/>
  <c r="R232" i="51"/>
  <c r="Q232" i="51"/>
  <c r="P232" i="51"/>
  <c r="O232" i="51"/>
  <c r="N232" i="51"/>
  <c r="M232" i="51"/>
  <c r="L232" i="51"/>
  <c r="K232" i="51"/>
  <c r="J232" i="51"/>
  <c r="I232" i="51"/>
  <c r="H232" i="51"/>
  <c r="G232" i="51"/>
  <c r="F232" i="51"/>
  <c r="E232" i="51"/>
  <c r="D232" i="51"/>
  <c r="C232" i="51"/>
  <c r="AJ220" i="51"/>
  <c r="AI220" i="51"/>
  <c r="AH220" i="51"/>
  <c r="AG220" i="51"/>
  <c r="AF220" i="51"/>
  <c r="AE220" i="51"/>
  <c r="AD220" i="51"/>
  <c r="AC220" i="51"/>
  <c r="AB220" i="51"/>
  <c r="AA220" i="51"/>
  <c r="Z220" i="51"/>
  <c r="Y220" i="51"/>
  <c r="X220" i="51"/>
  <c r="W220" i="51"/>
  <c r="V220" i="51"/>
  <c r="U220" i="51"/>
  <c r="T220" i="51"/>
  <c r="S220" i="51"/>
  <c r="R220" i="51"/>
  <c r="Q220" i="51"/>
  <c r="P220" i="51"/>
  <c r="O220" i="51"/>
  <c r="N220" i="51"/>
  <c r="M220" i="51"/>
  <c r="L220" i="51"/>
  <c r="K220" i="51"/>
  <c r="J220" i="51"/>
  <c r="I220" i="51"/>
  <c r="H220" i="51"/>
  <c r="G220" i="51"/>
  <c r="F220" i="51"/>
  <c r="E220" i="51"/>
  <c r="D220" i="51"/>
  <c r="C220" i="51"/>
  <c r="AJ208" i="51"/>
  <c r="AI208" i="51"/>
  <c r="AH208" i="51"/>
  <c r="AG208" i="51"/>
  <c r="AF208" i="51"/>
  <c r="AE208" i="51"/>
  <c r="AD208" i="51"/>
  <c r="AC208" i="51"/>
  <c r="AB208" i="51"/>
  <c r="AA208" i="51"/>
  <c r="Z208" i="51"/>
  <c r="Y208" i="51"/>
  <c r="X208" i="51"/>
  <c r="W208" i="51"/>
  <c r="V208" i="51"/>
  <c r="U208" i="51"/>
  <c r="T208" i="51"/>
  <c r="S208" i="51"/>
  <c r="R208" i="51"/>
  <c r="Q208" i="51"/>
  <c r="P208" i="51"/>
  <c r="O208" i="51"/>
  <c r="N208" i="51"/>
  <c r="M208" i="51"/>
  <c r="L208" i="51"/>
  <c r="K208" i="51"/>
  <c r="J208" i="51"/>
  <c r="I208" i="51"/>
  <c r="H208" i="51"/>
  <c r="G208" i="51"/>
  <c r="F208" i="51"/>
  <c r="E208" i="51"/>
  <c r="D208" i="51"/>
  <c r="C208" i="51"/>
  <c r="AJ196" i="51"/>
  <c r="AI196" i="51"/>
  <c r="AH196" i="51"/>
  <c r="AG196" i="51"/>
  <c r="AF196" i="51"/>
  <c r="AE196" i="51"/>
  <c r="AD196" i="51"/>
  <c r="AC196" i="51"/>
  <c r="AB196" i="51"/>
  <c r="AA196" i="51"/>
  <c r="Z196" i="51"/>
  <c r="Y196" i="51"/>
  <c r="X196" i="51"/>
  <c r="W196" i="51"/>
  <c r="V196" i="51"/>
  <c r="U196" i="51"/>
  <c r="T196" i="51"/>
  <c r="S196" i="51"/>
  <c r="R196" i="51"/>
  <c r="Q196" i="51"/>
  <c r="P196" i="51"/>
  <c r="O196" i="51"/>
  <c r="N196" i="51"/>
  <c r="M196" i="51"/>
  <c r="L196" i="51"/>
  <c r="K196" i="51"/>
  <c r="J196" i="51"/>
  <c r="I196" i="51"/>
  <c r="H196" i="51"/>
  <c r="G196" i="51"/>
  <c r="F196" i="51"/>
  <c r="E196" i="51"/>
  <c r="D196" i="51"/>
  <c r="C196" i="51"/>
  <c r="AJ183" i="51"/>
  <c r="AI183" i="51"/>
  <c r="AH183" i="51"/>
  <c r="AG183" i="51"/>
  <c r="AF183" i="51"/>
  <c r="AE183" i="51"/>
  <c r="AD183" i="51"/>
  <c r="AC183" i="51"/>
  <c r="AB183" i="51"/>
  <c r="AA183" i="51"/>
  <c r="Z183" i="51"/>
  <c r="Y183" i="51"/>
  <c r="X183" i="51"/>
  <c r="W183" i="51"/>
  <c r="V183" i="51"/>
  <c r="U183" i="51"/>
  <c r="T183" i="51"/>
  <c r="S183" i="51"/>
  <c r="R183" i="51"/>
  <c r="Q183" i="51"/>
  <c r="P183" i="51"/>
  <c r="O183" i="51"/>
  <c r="N183" i="51"/>
  <c r="M183" i="51"/>
  <c r="L183" i="51"/>
  <c r="K183" i="51"/>
  <c r="J183" i="51"/>
  <c r="I183" i="51"/>
  <c r="H183" i="51"/>
  <c r="G183" i="51"/>
  <c r="F183" i="51"/>
  <c r="E183" i="51"/>
  <c r="D183" i="51"/>
  <c r="C183" i="51"/>
  <c r="AJ171" i="51"/>
  <c r="AI171" i="51"/>
  <c r="AH171" i="51"/>
  <c r="AG171" i="51"/>
  <c r="AF171" i="51"/>
  <c r="AE171" i="51"/>
  <c r="AD171" i="51"/>
  <c r="AC171" i="51"/>
  <c r="AB171" i="51"/>
  <c r="AA171" i="51"/>
  <c r="Z171" i="51"/>
  <c r="Y171" i="51"/>
  <c r="X171" i="51"/>
  <c r="W171" i="51"/>
  <c r="V171" i="51"/>
  <c r="U171" i="51"/>
  <c r="T171" i="51"/>
  <c r="S171" i="51"/>
  <c r="R171" i="51"/>
  <c r="Q171" i="51"/>
  <c r="P171" i="51"/>
  <c r="O171" i="51"/>
  <c r="N171" i="51"/>
  <c r="M171" i="51"/>
  <c r="L171" i="51"/>
  <c r="K171" i="51"/>
  <c r="J171" i="51"/>
  <c r="I171" i="51"/>
  <c r="H171" i="51"/>
  <c r="G171" i="51"/>
  <c r="F171" i="51"/>
  <c r="E171" i="51"/>
  <c r="D171" i="51"/>
  <c r="C171" i="51"/>
  <c r="AJ158" i="51"/>
  <c r="AI158" i="51"/>
  <c r="AH158" i="51"/>
  <c r="AG158" i="51"/>
  <c r="AF158" i="51"/>
  <c r="AE158" i="51"/>
  <c r="AD158" i="51"/>
  <c r="AC158" i="51"/>
  <c r="AB158" i="51"/>
  <c r="AA158" i="51"/>
  <c r="Z158" i="51"/>
  <c r="Y158" i="51"/>
  <c r="X158" i="51"/>
  <c r="W158" i="51"/>
  <c r="V158" i="51"/>
  <c r="U158" i="51"/>
  <c r="T158" i="51"/>
  <c r="S158" i="51"/>
  <c r="R158" i="51"/>
  <c r="Q158" i="51"/>
  <c r="P158" i="51"/>
  <c r="O158" i="51"/>
  <c r="N158" i="51"/>
  <c r="M158" i="51"/>
  <c r="L158" i="51"/>
  <c r="K158" i="51"/>
  <c r="J158" i="51"/>
  <c r="I158" i="51"/>
  <c r="H158" i="51"/>
  <c r="G158" i="51"/>
  <c r="F158" i="51"/>
  <c r="E158" i="51"/>
  <c r="D158" i="51"/>
  <c r="C158" i="51"/>
  <c r="AJ146" i="51"/>
  <c r="AI146" i="51"/>
  <c r="AH146" i="51"/>
  <c r="AG146" i="51"/>
  <c r="AF146" i="51"/>
  <c r="AE146" i="51"/>
  <c r="AD146" i="51"/>
  <c r="AC146" i="51"/>
  <c r="AB146" i="51"/>
  <c r="AA146" i="51"/>
  <c r="Z146" i="51"/>
  <c r="Y146" i="51"/>
  <c r="X146" i="51"/>
  <c r="W146" i="51"/>
  <c r="V146" i="51"/>
  <c r="U146" i="51"/>
  <c r="T146" i="51"/>
  <c r="S146" i="51"/>
  <c r="R146" i="51"/>
  <c r="Q146" i="51"/>
  <c r="P146" i="51"/>
  <c r="O146" i="51"/>
  <c r="N146" i="51"/>
  <c r="M146" i="51"/>
  <c r="L146" i="51"/>
  <c r="K146" i="51"/>
  <c r="J146" i="51"/>
  <c r="I146" i="51"/>
  <c r="H146" i="51"/>
  <c r="G146" i="51"/>
  <c r="F146" i="51"/>
  <c r="E146" i="51"/>
  <c r="D146" i="51"/>
  <c r="C146" i="51"/>
  <c r="AJ133" i="51"/>
  <c r="AI133" i="51"/>
  <c r="AH133" i="51"/>
  <c r="AG133" i="51"/>
  <c r="AF133" i="51"/>
  <c r="AE133" i="51"/>
  <c r="AD133" i="51"/>
  <c r="AC133" i="51"/>
  <c r="AB133" i="51"/>
  <c r="AA133" i="51"/>
  <c r="Z133" i="51"/>
  <c r="Y133" i="51"/>
  <c r="X133" i="51"/>
  <c r="W133" i="51"/>
  <c r="V133" i="51"/>
  <c r="U133" i="51"/>
  <c r="T133" i="51"/>
  <c r="S133" i="51"/>
  <c r="R133" i="51"/>
  <c r="Q133" i="51"/>
  <c r="P133" i="51"/>
  <c r="O133" i="51"/>
  <c r="N133" i="51"/>
  <c r="M133" i="51"/>
  <c r="L133" i="51"/>
  <c r="K133" i="51"/>
  <c r="J133" i="51"/>
  <c r="I133" i="51"/>
  <c r="H133" i="51"/>
  <c r="G133" i="51"/>
  <c r="F133" i="51"/>
  <c r="E133" i="51"/>
  <c r="D133" i="51"/>
  <c r="C133" i="51"/>
  <c r="AJ121" i="51"/>
  <c r="AI121" i="51"/>
  <c r="AH121" i="51"/>
  <c r="AG121" i="51"/>
  <c r="AF121" i="51"/>
  <c r="AE121" i="51"/>
  <c r="AD121" i="51"/>
  <c r="AC121" i="51"/>
  <c r="AB121" i="51"/>
  <c r="AA121" i="51"/>
  <c r="Z121" i="51"/>
  <c r="Y121" i="51"/>
  <c r="X121" i="51"/>
  <c r="W121" i="51"/>
  <c r="V121" i="51"/>
  <c r="U121" i="51"/>
  <c r="T121" i="51"/>
  <c r="S121" i="51"/>
  <c r="R121" i="51"/>
  <c r="Q121" i="51"/>
  <c r="P121" i="51"/>
  <c r="O121" i="51"/>
  <c r="N121" i="51"/>
  <c r="M121" i="51"/>
  <c r="L121" i="51"/>
  <c r="K121" i="51"/>
  <c r="J121" i="51"/>
  <c r="I121" i="51"/>
  <c r="H121" i="51"/>
  <c r="G121" i="51"/>
  <c r="F121" i="51"/>
  <c r="E121" i="51"/>
  <c r="D121" i="51"/>
  <c r="C121" i="51"/>
  <c r="AJ108" i="51"/>
  <c r="AI108" i="51"/>
  <c r="AH108" i="51"/>
  <c r="AG108" i="51"/>
  <c r="AF108" i="51"/>
  <c r="AE108" i="51"/>
  <c r="AD108" i="51"/>
  <c r="AC108" i="51"/>
  <c r="AB108" i="51"/>
  <c r="AA108" i="51"/>
  <c r="Z108" i="51"/>
  <c r="Y108" i="51"/>
  <c r="X108" i="51"/>
  <c r="W108" i="51"/>
  <c r="V108" i="51"/>
  <c r="U108" i="51"/>
  <c r="T108" i="51"/>
  <c r="S108" i="51"/>
  <c r="R108" i="51"/>
  <c r="Q108" i="51"/>
  <c r="P108" i="51"/>
  <c r="O108" i="51"/>
  <c r="N108" i="51"/>
  <c r="M108" i="51"/>
  <c r="L108" i="51"/>
  <c r="K108" i="51"/>
  <c r="J108" i="51"/>
  <c r="I108" i="51"/>
  <c r="H108" i="51"/>
  <c r="G108" i="51"/>
  <c r="F108" i="51"/>
  <c r="E108" i="51"/>
  <c r="D108" i="51"/>
  <c r="C108" i="51"/>
  <c r="AJ84" i="51"/>
  <c r="AI84" i="51"/>
  <c r="AH84" i="51"/>
  <c r="AG84" i="51"/>
  <c r="AF84" i="51"/>
  <c r="AE84" i="51"/>
  <c r="AD84" i="51"/>
  <c r="AC84" i="51"/>
  <c r="AB84" i="51"/>
  <c r="AA84" i="51"/>
  <c r="Z84" i="51"/>
  <c r="Y84" i="51"/>
  <c r="X84" i="51"/>
  <c r="W84" i="51"/>
  <c r="V84" i="51"/>
  <c r="U84" i="51"/>
  <c r="T84" i="51"/>
  <c r="S84" i="51"/>
  <c r="R84" i="51"/>
  <c r="Q84" i="51"/>
  <c r="P84" i="51"/>
  <c r="O84" i="51"/>
  <c r="N84" i="51"/>
  <c r="M84" i="51"/>
  <c r="L84" i="51"/>
  <c r="K84" i="51"/>
  <c r="J84" i="51"/>
  <c r="I84" i="51"/>
  <c r="H84" i="51"/>
  <c r="G84" i="51"/>
  <c r="F84" i="51"/>
  <c r="E84" i="51"/>
  <c r="D84" i="51"/>
  <c r="C84" i="51"/>
  <c r="AJ72" i="51"/>
  <c r="AI72" i="51"/>
  <c r="AH72"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J60" i="51"/>
  <c r="AI60" i="51"/>
  <c r="AH60"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J47" i="51"/>
  <c r="AI47" i="51"/>
  <c r="AH47"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J35" i="51"/>
  <c r="AI35" i="51"/>
  <c r="AH35"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D23" i="51"/>
  <c r="E23" i="51"/>
  <c r="F23" i="51"/>
  <c r="G23" i="51"/>
  <c r="H23" i="51"/>
  <c r="I23" i="51"/>
  <c r="J23" i="51"/>
  <c r="K23" i="51"/>
  <c r="L23" i="51"/>
  <c r="M23" i="51"/>
  <c r="N23" i="51"/>
  <c r="O23" i="51"/>
  <c r="P23" i="51"/>
  <c r="Q23" i="51"/>
  <c r="R23" i="51"/>
  <c r="S23" i="51"/>
  <c r="T23" i="51"/>
  <c r="U23" i="51"/>
  <c r="V23" i="51"/>
  <c r="W23" i="51"/>
  <c r="X23" i="51"/>
  <c r="Y23" i="51"/>
  <c r="Z23" i="51"/>
  <c r="AA23" i="51"/>
  <c r="AB23" i="51"/>
  <c r="AC23" i="51"/>
  <c r="AD23" i="51"/>
  <c r="AE23" i="51"/>
  <c r="AF23" i="51"/>
  <c r="AG23" i="51"/>
  <c r="AH23" i="51"/>
  <c r="AI23" i="51"/>
  <c r="AJ23" i="51"/>
  <c r="C23" i="51"/>
  <c r="AJ54" i="33"/>
  <c r="AK54" i="33"/>
  <c r="AL54" i="33"/>
  <c r="AM54" i="33"/>
  <c r="AN54" i="33"/>
  <c r="AO54" i="33"/>
  <c r="AJ55" i="33"/>
  <c r="AK55" i="33"/>
  <c r="AL55" i="33"/>
  <c r="AM55" i="33"/>
  <c r="AN55" i="33"/>
  <c r="AO55" i="33"/>
  <c r="AJ56" i="33"/>
  <c r="AK56" i="33"/>
  <c r="AL56" i="33"/>
  <c r="AM56" i="33"/>
  <c r="AN56" i="33"/>
  <c r="AO56" i="33"/>
  <c r="AJ57" i="33"/>
  <c r="AK57" i="33"/>
  <c r="AL57" i="33"/>
  <c r="AM57" i="33"/>
  <c r="AN57" i="33"/>
  <c r="AO57" i="33"/>
  <c r="AJ58" i="33"/>
  <c r="AK58" i="33"/>
  <c r="AL58" i="33"/>
  <c r="AM58" i="33"/>
  <c r="AN58" i="33"/>
  <c r="AO58" i="33"/>
  <c r="AJ59" i="33"/>
  <c r="AK59" i="33"/>
  <c r="AL59" i="33"/>
  <c r="AM59" i="33"/>
  <c r="AN59" i="33"/>
  <c r="AO59" i="33"/>
  <c r="AJ60" i="33"/>
  <c r="AK60" i="33"/>
  <c r="AL60" i="33"/>
  <c r="AM60" i="33"/>
  <c r="AN60" i="33"/>
  <c r="AO60" i="33"/>
  <c r="AJ61" i="33"/>
  <c r="AK61" i="33"/>
  <c r="AL61" i="33"/>
  <c r="AM61" i="33"/>
  <c r="AN61" i="33"/>
  <c r="AO61" i="33"/>
  <c r="AJ62" i="33"/>
  <c r="AK62" i="33"/>
  <c r="AL62" i="33"/>
  <c r="AM62" i="33"/>
  <c r="AN62" i="33"/>
  <c r="AO62" i="33"/>
  <c r="AJ63" i="33"/>
  <c r="AK63" i="33"/>
  <c r="AL63" i="33"/>
  <c r="AM63" i="33"/>
  <c r="AN63" i="33"/>
  <c r="AO63" i="33"/>
  <c r="AJ64" i="33"/>
  <c r="AK64" i="33"/>
  <c r="AL64" i="33"/>
  <c r="AM64" i="33"/>
  <c r="AN64" i="33"/>
  <c r="AO64" i="33"/>
  <c r="AJ65" i="33"/>
  <c r="AK65" i="33"/>
  <c r="AL65" i="33"/>
  <c r="AM65" i="33"/>
  <c r="AN65" i="33"/>
  <c r="AO65" i="33"/>
  <c r="AJ66" i="33"/>
  <c r="AK66" i="33"/>
  <c r="AL66" i="33"/>
  <c r="AM66" i="33"/>
  <c r="AN66" i="33"/>
  <c r="AO66" i="33"/>
  <c r="AJ67" i="33"/>
  <c r="AK67" i="33"/>
  <c r="AL67" i="33"/>
  <c r="AM67" i="33"/>
  <c r="AN67" i="33"/>
  <c r="AO67" i="33"/>
  <c r="AJ68" i="33"/>
  <c r="AK68" i="33"/>
  <c r="AL68" i="33"/>
  <c r="AM68" i="33"/>
  <c r="AN68" i="33"/>
  <c r="AO68" i="33"/>
  <c r="AJ69" i="33"/>
  <c r="AK69" i="33"/>
  <c r="AL69" i="33"/>
  <c r="AM69" i="33"/>
  <c r="AN69" i="33"/>
  <c r="AO69" i="33"/>
  <c r="AJ70" i="33"/>
  <c r="AK70" i="33"/>
  <c r="AL70" i="33"/>
  <c r="AM70" i="33"/>
  <c r="AN70" i="33"/>
  <c r="AO70" i="33"/>
  <c r="AJ71" i="33"/>
  <c r="AK71" i="33"/>
  <c r="AL71" i="33"/>
  <c r="AM71" i="33"/>
  <c r="AN71" i="33"/>
  <c r="AO71" i="33"/>
  <c r="I54" i="33"/>
  <c r="J54" i="33"/>
  <c r="K54" i="33"/>
  <c r="L54" i="33"/>
  <c r="M54" i="33"/>
  <c r="N54" i="33"/>
  <c r="O54" i="33"/>
  <c r="P54" i="33"/>
  <c r="Q54" i="33"/>
  <c r="R54" i="33"/>
  <c r="S54" i="33"/>
  <c r="T54" i="33"/>
  <c r="U54" i="33"/>
  <c r="V54" i="33"/>
  <c r="W54" i="33"/>
  <c r="X54" i="33"/>
  <c r="Y54" i="33"/>
  <c r="Z54" i="33"/>
  <c r="AA54" i="33"/>
  <c r="AB54" i="33"/>
  <c r="AC54" i="33"/>
  <c r="AD54" i="33"/>
  <c r="AE54" i="33"/>
  <c r="AF54" i="33"/>
  <c r="AG54" i="33"/>
  <c r="AH54" i="33"/>
  <c r="AI54" i="33"/>
  <c r="I55" i="33"/>
  <c r="J55" i="33"/>
  <c r="K55" i="33"/>
  <c r="L55" i="33"/>
  <c r="M55" i="33"/>
  <c r="N55" i="33"/>
  <c r="O55" i="33"/>
  <c r="P55" i="33"/>
  <c r="Q55" i="33"/>
  <c r="R55" i="33"/>
  <c r="S55" i="33"/>
  <c r="T55" i="33"/>
  <c r="U55" i="33"/>
  <c r="V55" i="33"/>
  <c r="W55" i="33"/>
  <c r="X55" i="33"/>
  <c r="Y55" i="33"/>
  <c r="Z55" i="33"/>
  <c r="AA55" i="33"/>
  <c r="AB55" i="33"/>
  <c r="AC55" i="33"/>
  <c r="AD55" i="33"/>
  <c r="AE55" i="33"/>
  <c r="AF55" i="33"/>
  <c r="AG55" i="33"/>
  <c r="AH55" i="33"/>
  <c r="AI55" i="33"/>
  <c r="I56" i="33"/>
  <c r="J56" i="33"/>
  <c r="K56" i="33"/>
  <c r="L56" i="33"/>
  <c r="M56" i="33"/>
  <c r="N56" i="33"/>
  <c r="O56" i="33"/>
  <c r="P56" i="33"/>
  <c r="Q56" i="33"/>
  <c r="R56" i="33"/>
  <c r="S56" i="33"/>
  <c r="T56" i="33"/>
  <c r="U56" i="33"/>
  <c r="V56" i="33"/>
  <c r="W56" i="33"/>
  <c r="X56" i="33"/>
  <c r="Y56" i="33"/>
  <c r="Z56" i="33"/>
  <c r="AA56" i="33"/>
  <c r="AB56" i="33"/>
  <c r="AC56" i="33"/>
  <c r="AD56" i="33"/>
  <c r="AE56" i="33"/>
  <c r="AF56" i="33"/>
  <c r="AG56" i="33"/>
  <c r="AH56" i="33"/>
  <c r="AI56" i="33"/>
  <c r="I57" i="33"/>
  <c r="J57" i="33"/>
  <c r="K57" i="33"/>
  <c r="L57" i="33"/>
  <c r="M57" i="33"/>
  <c r="N57" i="33"/>
  <c r="O57" i="33"/>
  <c r="P57" i="33"/>
  <c r="Q57" i="33"/>
  <c r="R57" i="33"/>
  <c r="S57" i="33"/>
  <c r="T57" i="33"/>
  <c r="U57" i="33"/>
  <c r="V57" i="33"/>
  <c r="W57" i="33"/>
  <c r="X57" i="33"/>
  <c r="Y57" i="33"/>
  <c r="Z57" i="33"/>
  <c r="AA57" i="33"/>
  <c r="AB57" i="33"/>
  <c r="AC57" i="33"/>
  <c r="AD57" i="33"/>
  <c r="AE57" i="33"/>
  <c r="AF57" i="33"/>
  <c r="AG57" i="33"/>
  <c r="AH57" i="33"/>
  <c r="AI57" i="33"/>
  <c r="I58" i="33"/>
  <c r="J58" i="33"/>
  <c r="K58" i="33"/>
  <c r="L58" i="33"/>
  <c r="M58" i="33"/>
  <c r="N58" i="33"/>
  <c r="O58" i="33"/>
  <c r="P58" i="33"/>
  <c r="Q58" i="33"/>
  <c r="R58" i="33"/>
  <c r="S58" i="33"/>
  <c r="T58" i="33"/>
  <c r="U58" i="33"/>
  <c r="V58" i="33"/>
  <c r="W58" i="33"/>
  <c r="X58" i="33"/>
  <c r="Y58" i="33"/>
  <c r="Z58" i="33"/>
  <c r="AA58" i="33"/>
  <c r="AB58" i="33"/>
  <c r="AC58" i="33"/>
  <c r="AD58" i="33"/>
  <c r="AE58" i="33"/>
  <c r="AF58" i="33"/>
  <c r="AG58" i="33"/>
  <c r="AH58" i="33"/>
  <c r="AI58" i="33"/>
  <c r="I59" i="33"/>
  <c r="J59" i="33"/>
  <c r="K59" i="33"/>
  <c r="L59" i="33"/>
  <c r="M59" i="33"/>
  <c r="N59" i="33"/>
  <c r="O59" i="33"/>
  <c r="P59" i="33"/>
  <c r="Q59" i="33"/>
  <c r="R59" i="33"/>
  <c r="S59" i="33"/>
  <c r="T59" i="33"/>
  <c r="U59" i="33"/>
  <c r="V59" i="33"/>
  <c r="W59" i="33"/>
  <c r="X59" i="33"/>
  <c r="Y59" i="33"/>
  <c r="Z59" i="33"/>
  <c r="AA59" i="33"/>
  <c r="AB59" i="33"/>
  <c r="AC59" i="33"/>
  <c r="AD59" i="33"/>
  <c r="AE59" i="33"/>
  <c r="AF59" i="33"/>
  <c r="AG59" i="33"/>
  <c r="AH59" i="33"/>
  <c r="AI59" i="33"/>
  <c r="I60" i="33"/>
  <c r="J60" i="33"/>
  <c r="K60" i="33"/>
  <c r="L60" i="33"/>
  <c r="M60" i="33"/>
  <c r="N60" i="33"/>
  <c r="O60" i="33"/>
  <c r="P60" i="33"/>
  <c r="Q60" i="33"/>
  <c r="R60" i="33"/>
  <c r="S60" i="33"/>
  <c r="T60" i="33"/>
  <c r="U60" i="33"/>
  <c r="V60" i="33"/>
  <c r="W60" i="33"/>
  <c r="X60" i="33"/>
  <c r="Y60" i="33"/>
  <c r="Z60" i="33"/>
  <c r="AA60" i="33"/>
  <c r="AB60" i="33"/>
  <c r="AC60" i="33"/>
  <c r="AD60" i="33"/>
  <c r="AE60" i="33"/>
  <c r="AF60" i="33"/>
  <c r="AG60" i="33"/>
  <c r="AH60" i="33"/>
  <c r="AI60" i="33"/>
  <c r="I61" i="33"/>
  <c r="J61" i="33"/>
  <c r="K61" i="33"/>
  <c r="L61" i="33"/>
  <c r="M61" i="33"/>
  <c r="N61" i="33"/>
  <c r="O61" i="33"/>
  <c r="P61" i="33"/>
  <c r="Q61" i="33"/>
  <c r="R61" i="33"/>
  <c r="S61" i="33"/>
  <c r="T61" i="33"/>
  <c r="U61" i="33"/>
  <c r="V61" i="33"/>
  <c r="W61" i="33"/>
  <c r="X61" i="33"/>
  <c r="Y61" i="33"/>
  <c r="Z61" i="33"/>
  <c r="AA61" i="33"/>
  <c r="AB61" i="33"/>
  <c r="AC61" i="33"/>
  <c r="AD61" i="33"/>
  <c r="AE61" i="33"/>
  <c r="AF61" i="33"/>
  <c r="AG61" i="33"/>
  <c r="AH61" i="33"/>
  <c r="AI61" i="33"/>
  <c r="I62" i="33"/>
  <c r="J62" i="33"/>
  <c r="K62" i="33"/>
  <c r="L62" i="33"/>
  <c r="M62" i="33"/>
  <c r="N62" i="33"/>
  <c r="O62" i="33"/>
  <c r="P62" i="33"/>
  <c r="Q62" i="33"/>
  <c r="R62" i="33"/>
  <c r="S62" i="33"/>
  <c r="T62" i="33"/>
  <c r="U62" i="33"/>
  <c r="V62" i="33"/>
  <c r="W62" i="33"/>
  <c r="X62" i="33"/>
  <c r="Y62" i="33"/>
  <c r="Z62" i="33"/>
  <c r="AA62" i="33"/>
  <c r="AB62" i="33"/>
  <c r="AC62" i="33"/>
  <c r="AD62" i="33"/>
  <c r="AE62" i="33"/>
  <c r="AF62" i="33"/>
  <c r="AG62" i="33"/>
  <c r="AH62" i="33"/>
  <c r="AI62" i="33"/>
  <c r="I63" i="33"/>
  <c r="J63" i="33"/>
  <c r="K63" i="33"/>
  <c r="L63" i="33"/>
  <c r="M63" i="33"/>
  <c r="N63" i="33"/>
  <c r="O63" i="33"/>
  <c r="P63" i="33"/>
  <c r="Q63" i="33"/>
  <c r="R63" i="33"/>
  <c r="S63" i="33"/>
  <c r="T63" i="33"/>
  <c r="U63" i="33"/>
  <c r="V63" i="33"/>
  <c r="W63" i="33"/>
  <c r="X63" i="33"/>
  <c r="Y63" i="33"/>
  <c r="Z63" i="33"/>
  <c r="AA63" i="33"/>
  <c r="AB63" i="33"/>
  <c r="AC63" i="33"/>
  <c r="AD63" i="33"/>
  <c r="AE63" i="33"/>
  <c r="AF63" i="33"/>
  <c r="AG63" i="33"/>
  <c r="AH63" i="33"/>
  <c r="AI63" i="33"/>
  <c r="I64" i="33"/>
  <c r="J64" i="33"/>
  <c r="K64" i="33"/>
  <c r="L64" i="33"/>
  <c r="M64" i="33"/>
  <c r="N64" i="33"/>
  <c r="O64" i="33"/>
  <c r="P64" i="33"/>
  <c r="Q64" i="33"/>
  <c r="R64" i="33"/>
  <c r="S64" i="33"/>
  <c r="T64" i="33"/>
  <c r="U64" i="33"/>
  <c r="V64" i="33"/>
  <c r="W64" i="33"/>
  <c r="X64" i="33"/>
  <c r="Y64" i="33"/>
  <c r="Z64" i="33"/>
  <c r="AA64" i="33"/>
  <c r="AB64" i="33"/>
  <c r="AC64" i="33"/>
  <c r="AD64" i="33"/>
  <c r="AE64" i="33"/>
  <c r="AF64" i="33"/>
  <c r="AG64" i="33"/>
  <c r="AH64" i="33"/>
  <c r="AI64" i="33"/>
  <c r="I65" i="33"/>
  <c r="J65" i="33"/>
  <c r="K65" i="33"/>
  <c r="L65" i="33"/>
  <c r="M65" i="33"/>
  <c r="N65" i="33"/>
  <c r="O65" i="33"/>
  <c r="P65" i="33"/>
  <c r="Q65" i="33"/>
  <c r="R65" i="33"/>
  <c r="S65" i="33"/>
  <c r="T65" i="33"/>
  <c r="U65" i="33"/>
  <c r="V65" i="33"/>
  <c r="W65" i="33"/>
  <c r="X65" i="33"/>
  <c r="Y65" i="33"/>
  <c r="Z65" i="33"/>
  <c r="AA65" i="33"/>
  <c r="AB65" i="33"/>
  <c r="AC65" i="33"/>
  <c r="AD65" i="33"/>
  <c r="AE65" i="33"/>
  <c r="AF65" i="33"/>
  <c r="AG65" i="33"/>
  <c r="AH65" i="33"/>
  <c r="AI65" i="33"/>
  <c r="I66" i="33"/>
  <c r="J66" i="33"/>
  <c r="K66" i="33"/>
  <c r="L66" i="33"/>
  <c r="M66" i="33"/>
  <c r="N66" i="33"/>
  <c r="O66" i="33"/>
  <c r="P66" i="33"/>
  <c r="Q66" i="33"/>
  <c r="R66" i="33"/>
  <c r="S66" i="33"/>
  <c r="T66" i="33"/>
  <c r="U66" i="33"/>
  <c r="V66" i="33"/>
  <c r="W66" i="33"/>
  <c r="X66" i="33"/>
  <c r="Y66" i="33"/>
  <c r="Z66" i="33"/>
  <c r="AA66" i="33"/>
  <c r="AB66" i="33"/>
  <c r="AC66" i="33"/>
  <c r="AD66" i="33"/>
  <c r="AE66" i="33"/>
  <c r="AF66" i="33"/>
  <c r="AG66" i="33"/>
  <c r="AH66" i="33"/>
  <c r="AI66" i="33"/>
  <c r="I67" i="33"/>
  <c r="J67" i="33"/>
  <c r="K67" i="33"/>
  <c r="L67" i="33"/>
  <c r="M67" i="33"/>
  <c r="N67" i="33"/>
  <c r="O67" i="33"/>
  <c r="P67" i="33"/>
  <c r="Q67" i="33"/>
  <c r="R67" i="33"/>
  <c r="S67" i="33"/>
  <c r="T67" i="33"/>
  <c r="U67" i="33"/>
  <c r="V67" i="33"/>
  <c r="W67" i="33"/>
  <c r="X67" i="33"/>
  <c r="Y67" i="33"/>
  <c r="Z67" i="33"/>
  <c r="AA67" i="33"/>
  <c r="AB67" i="33"/>
  <c r="AC67" i="33"/>
  <c r="AD67" i="33"/>
  <c r="AE67" i="33"/>
  <c r="AF67" i="33"/>
  <c r="AG67" i="33"/>
  <c r="AH67" i="33"/>
  <c r="AI67" i="33"/>
  <c r="I68" i="33"/>
  <c r="J68" i="33"/>
  <c r="K68" i="33"/>
  <c r="L68" i="33"/>
  <c r="M68" i="33"/>
  <c r="N68" i="33"/>
  <c r="O68" i="33"/>
  <c r="P68" i="33"/>
  <c r="Q68" i="33"/>
  <c r="R68" i="33"/>
  <c r="S68" i="33"/>
  <c r="T68" i="33"/>
  <c r="U68" i="33"/>
  <c r="V68" i="33"/>
  <c r="W68" i="33"/>
  <c r="X68" i="33"/>
  <c r="Y68" i="33"/>
  <c r="Z68" i="33"/>
  <c r="AA68" i="33"/>
  <c r="AB68" i="33"/>
  <c r="AC68" i="33"/>
  <c r="AD68" i="33"/>
  <c r="AE68" i="33"/>
  <c r="AF68" i="33"/>
  <c r="AG68" i="33"/>
  <c r="AH68" i="33"/>
  <c r="AI68" i="33"/>
  <c r="I69" i="33"/>
  <c r="J69" i="33"/>
  <c r="K69" i="33"/>
  <c r="L69" i="33"/>
  <c r="M69" i="33"/>
  <c r="N69" i="33"/>
  <c r="O69" i="33"/>
  <c r="P69" i="33"/>
  <c r="Q69" i="33"/>
  <c r="R69" i="33"/>
  <c r="S69" i="33"/>
  <c r="T69" i="33"/>
  <c r="U69" i="33"/>
  <c r="V69" i="33"/>
  <c r="W69" i="33"/>
  <c r="X69" i="33"/>
  <c r="Y69" i="33"/>
  <c r="Z69" i="33"/>
  <c r="AA69" i="33"/>
  <c r="AB69" i="33"/>
  <c r="AC69" i="33"/>
  <c r="AD69" i="33"/>
  <c r="AE69" i="33"/>
  <c r="AF69" i="33"/>
  <c r="AG69" i="33"/>
  <c r="AH69" i="33"/>
  <c r="AI69" i="33"/>
  <c r="I70" i="33"/>
  <c r="J70" i="33"/>
  <c r="K70" i="33"/>
  <c r="L70" i="33"/>
  <c r="M70" i="33"/>
  <c r="N70" i="33"/>
  <c r="O70" i="33"/>
  <c r="P70" i="33"/>
  <c r="Q70" i="33"/>
  <c r="R70" i="33"/>
  <c r="S70" i="33"/>
  <c r="T70" i="33"/>
  <c r="U70" i="33"/>
  <c r="V70" i="33"/>
  <c r="W70" i="33"/>
  <c r="X70" i="33"/>
  <c r="Y70" i="33"/>
  <c r="Z70" i="33"/>
  <c r="AA70" i="33"/>
  <c r="AB70" i="33"/>
  <c r="AC70" i="33"/>
  <c r="AD70" i="33"/>
  <c r="AE70" i="33"/>
  <c r="AF70" i="33"/>
  <c r="AG70" i="33"/>
  <c r="AH70" i="33"/>
  <c r="AI70" i="33"/>
  <c r="I71" i="33"/>
  <c r="J71" i="33"/>
  <c r="K71" i="33"/>
  <c r="L71" i="33"/>
  <c r="M71" i="33"/>
  <c r="N71" i="33"/>
  <c r="O71" i="33"/>
  <c r="P71" i="33"/>
  <c r="Q71" i="33"/>
  <c r="R71" i="33"/>
  <c r="S71" i="33"/>
  <c r="T71" i="33"/>
  <c r="U71" i="33"/>
  <c r="V71" i="33"/>
  <c r="W71" i="33"/>
  <c r="X71" i="33"/>
  <c r="Y71" i="33"/>
  <c r="Z71" i="33"/>
  <c r="AA71" i="33"/>
  <c r="AB71" i="33"/>
  <c r="AC71" i="33"/>
  <c r="AD71" i="33"/>
  <c r="AE71" i="33"/>
  <c r="AF71" i="33"/>
  <c r="AG71" i="33"/>
  <c r="AH71" i="33"/>
  <c r="AI71" i="33"/>
  <c r="H71" i="33"/>
  <c r="H70" i="33"/>
  <c r="H69" i="33"/>
  <c r="H68" i="33"/>
  <c r="H67" i="33"/>
  <c r="H66" i="33"/>
  <c r="H65" i="33"/>
  <c r="H64" i="33"/>
  <c r="H63" i="33"/>
  <c r="H62" i="33"/>
  <c r="AD1509" i="67" l="1"/>
  <c r="AD1530" i="67"/>
  <c r="K1506" i="67"/>
  <c r="K1527" i="67"/>
  <c r="AQ1501" i="67"/>
  <c r="AQ1522" i="67"/>
  <c r="K1503" i="67"/>
  <c r="K1524" i="67"/>
  <c r="AU1508" i="67"/>
  <c r="AU1529" i="67"/>
  <c r="AI1503" i="67"/>
  <c r="AI1524" i="67"/>
  <c r="U1500" i="67"/>
  <c r="U1521" i="67"/>
  <c r="AS1509" i="67"/>
  <c r="AS1530" i="67"/>
  <c r="AC1509" i="67"/>
  <c r="AC1530" i="67"/>
  <c r="M1509" i="67"/>
  <c r="M1530" i="67"/>
  <c r="M1508" i="67"/>
  <c r="M1529" i="67"/>
  <c r="Y1506" i="67"/>
  <c r="Y1527" i="67"/>
  <c r="AK1502" i="67"/>
  <c r="AK1523" i="67"/>
  <c r="AW1500" i="67"/>
  <c r="AW1521" i="67"/>
  <c r="Q1520" i="67"/>
  <c r="Q1499" i="67"/>
  <c r="AT1509" i="67"/>
  <c r="AT1530" i="67"/>
  <c r="AM1508" i="67"/>
  <c r="AM1529" i="67"/>
  <c r="S1503" i="67"/>
  <c r="S1524" i="67"/>
  <c r="AK1520" i="67"/>
  <c r="AK1499" i="67"/>
  <c r="AV1530" i="67"/>
  <c r="AV1509" i="67"/>
  <c r="AB1509" i="67"/>
  <c r="AB1530" i="67"/>
  <c r="AW1508" i="67"/>
  <c r="AW1529" i="67"/>
  <c r="AU1507" i="67"/>
  <c r="AU1528" i="67"/>
  <c r="U1506" i="67"/>
  <c r="U1527" i="67"/>
  <c r="AG1502" i="67"/>
  <c r="AG1523" i="67"/>
  <c r="AS1500" i="67"/>
  <c r="AS1521" i="67"/>
  <c r="M1520" i="67"/>
  <c r="M1499" i="67"/>
  <c r="AL1509" i="67"/>
  <c r="AL1530" i="67"/>
  <c r="K1522" i="67"/>
  <c r="K1501" i="67"/>
  <c r="AU1509" i="67"/>
  <c r="AU1530" i="67"/>
  <c r="AE1509" i="67"/>
  <c r="AE1530" i="67"/>
  <c r="O1509" i="67"/>
  <c r="O1530" i="67"/>
  <c r="U1508" i="67"/>
  <c r="U1529" i="67"/>
  <c r="AG1506" i="67"/>
  <c r="AG1527" i="67"/>
  <c r="AS1502" i="67"/>
  <c r="AS1523" i="67"/>
  <c r="S1501" i="67"/>
  <c r="S1522" i="67"/>
  <c r="Y1499" i="67"/>
  <c r="Y1520" i="67"/>
  <c r="AR1508" i="67"/>
  <c r="AR1529" i="67"/>
  <c r="AB1508" i="67"/>
  <c r="AB1529" i="67"/>
  <c r="L1508" i="67"/>
  <c r="L1529" i="67"/>
  <c r="AH1507" i="67"/>
  <c r="AH1528" i="67"/>
  <c r="R1507" i="67"/>
  <c r="R1528" i="67"/>
  <c r="AN1506" i="67"/>
  <c r="AN1527" i="67"/>
  <c r="X1506" i="67"/>
  <c r="X1527" i="67"/>
  <c r="AT1503" i="67"/>
  <c r="AT1524" i="67"/>
  <c r="AD1503" i="67"/>
  <c r="AD1524" i="67"/>
  <c r="N1503" i="67"/>
  <c r="N1524" i="67"/>
  <c r="AJ1502" i="67"/>
  <c r="AJ1523" i="67"/>
  <c r="T1502" i="67"/>
  <c r="T1523" i="67"/>
  <c r="AP1501" i="67"/>
  <c r="AP1522" i="67"/>
  <c r="Z1501" i="67"/>
  <c r="Z1522" i="67"/>
  <c r="AV1500" i="67"/>
  <c r="AV1521" i="67"/>
  <c r="AF1500" i="67"/>
  <c r="AF1521" i="67"/>
  <c r="AV1499" i="67"/>
  <c r="AV1520" i="67"/>
  <c r="AF1499" i="67"/>
  <c r="AF1520" i="67"/>
  <c r="P1499" i="67"/>
  <c r="P1520" i="67"/>
  <c r="AL1498" i="67"/>
  <c r="AL1519" i="67"/>
  <c r="V1498" i="67"/>
  <c r="V1519" i="67"/>
  <c r="W1508" i="67"/>
  <c r="W1529" i="67"/>
  <c r="AS1507" i="67"/>
  <c r="AS1528" i="67"/>
  <c r="AC1507" i="67"/>
  <c r="AC1528" i="67"/>
  <c r="M1507" i="67"/>
  <c r="M1528" i="67"/>
  <c r="AI1506" i="67"/>
  <c r="AI1527" i="67"/>
  <c r="S1506" i="67"/>
  <c r="S1527" i="67"/>
  <c r="AO1503" i="67"/>
  <c r="AO1524" i="67"/>
  <c r="Y1524" i="67"/>
  <c r="Y1503" i="67"/>
  <c r="AU1523" i="67"/>
  <c r="AU1502" i="67"/>
  <c r="AE1523" i="67"/>
  <c r="AE1502" i="67"/>
  <c r="O1523" i="67"/>
  <c r="O1502" i="67"/>
  <c r="AK1522" i="67"/>
  <c r="AK1501" i="67"/>
  <c r="U1522" i="67"/>
  <c r="U1501" i="67"/>
  <c r="AQ1521" i="67"/>
  <c r="AQ1500" i="67"/>
  <c r="AA1521" i="67"/>
  <c r="AA1500" i="67"/>
  <c r="AQ1499" i="67"/>
  <c r="AQ1520" i="67"/>
  <c r="AA1499" i="67"/>
  <c r="AA1520" i="67"/>
  <c r="AW1498" i="67"/>
  <c r="AW1519" i="67"/>
  <c r="AG1498" i="67"/>
  <c r="AG1519" i="67"/>
  <c r="Q1498" i="67"/>
  <c r="Q1519" i="67"/>
  <c r="AP1508" i="67"/>
  <c r="AP1529" i="67"/>
  <c r="Z1508" i="67"/>
  <c r="Z1529" i="67"/>
  <c r="AV1507" i="67"/>
  <c r="AV1528" i="67"/>
  <c r="AF1507" i="67"/>
  <c r="AF1528" i="67"/>
  <c r="P1507" i="67"/>
  <c r="P1528" i="67"/>
  <c r="AL1506" i="67"/>
  <c r="AL1527" i="67"/>
  <c r="V1506" i="67"/>
  <c r="V1527" i="67"/>
  <c r="AR1503" i="67"/>
  <c r="AR1524" i="67"/>
  <c r="AB1503" i="67"/>
  <c r="AB1524" i="67"/>
  <c r="L1503" i="67"/>
  <c r="L1524" i="67"/>
  <c r="AH1502" i="67"/>
  <c r="AH1523" i="67"/>
  <c r="R1502" i="67"/>
  <c r="R1523" i="67"/>
  <c r="AN1501" i="67"/>
  <c r="AN1522" i="67"/>
  <c r="X1501" i="67"/>
  <c r="X1522" i="67"/>
  <c r="AT1500" i="67"/>
  <c r="AT1521" i="67"/>
  <c r="AD1500" i="67"/>
  <c r="AD1521" i="67"/>
  <c r="AT1499" i="67"/>
  <c r="AT1520" i="67"/>
  <c r="AD1499" i="67"/>
  <c r="AD1520" i="67"/>
  <c r="N1499" i="67"/>
  <c r="N1520" i="67"/>
  <c r="AJ1498" i="67"/>
  <c r="AJ1519" i="67"/>
  <c r="T1498" i="67"/>
  <c r="T1519" i="67"/>
  <c r="Q1500" i="67"/>
  <c r="Q1521" i="67"/>
  <c r="O1521" i="67"/>
  <c r="O1500" i="67"/>
  <c r="AP1509" i="67"/>
  <c r="AP1530" i="67"/>
  <c r="AE1508" i="67"/>
  <c r="AE1529" i="67"/>
  <c r="AO1502" i="67"/>
  <c r="AO1523" i="67"/>
  <c r="AQ1519" i="67"/>
  <c r="AQ1498" i="67"/>
  <c r="AO1509" i="67"/>
  <c r="AO1530" i="67"/>
  <c r="Y1509" i="67"/>
  <c r="Y1530" i="67"/>
  <c r="AS1508" i="67"/>
  <c r="AS1529" i="67"/>
  <c r="AI1507" i="67"/>
  <c r="AI1528" i="67"/>
  <c r="AU1503" i="67"/>
  <c r="AU1524" i="67"/>
  <c r="U1502" i="67"/>
  <c r="U1523" i="67"/>
  <c r="AG1500" i="67"/>
  <c r="AG1521" i="67"/>
  <c r="AM1519" i="67"/>
  <c r="AM1498" i="67"/>
  <c r="AH1509" i="67"/>
  <c r="AH1530" i="67"/>
  <c r="Q1508" i="67"/>
  <c r="Q1529" i="67"/>
  <c r="Y1502" i="67"/>
  <c r="Y1523" i="67"/>
  <c r="U1520" i="67"/>
  <c r="U1499" i="67"/>
  <c r="AN1509" i="67"/>
  <c r="AN1530" i="67"/>
  <c r="X1509" i="67"/>
  <c r="X1530" i="67"/>
  <c r="AQ1508" i="67"/>
  <c r="AQ1529" i="67"/>
  <c r="AE1507" i="67"/>
  <c r="AE1528" i="67"/>
  <c r="AQ1503" i="67"/>
  <c r="AQ1524" i="67"/>
  <c r="Q1502" i="67"/>
  <c r="Q1523" i="67"/>
  <c r="AC1500" i="67"/>
  <c r="AC1521" i="67"/>
  <c r="AI1519" i="67"/>
  <c r="AI1498" i="67"/>
  <c r="R1509" i="67"/>
  <c r="R1530" i="67"/>
  <c r="AR1509" i="67"/>
  <c r="AR1530" i="67"/>
  <c r="AQ1509" i="67"/>
  <c r="AQ1530" i="67"/>
  <c r="AA1509" i="67"/>
  <c r="AA1530" i="67"/>
  <c r="AV1508" i="67"/>
  <c r="AV1529" i="67"/>
  <c r="AQ1507" i="67"/>
  <c r="AQ1528" i="67"/>
  <c r="Q1506" i="67"/>
  <c r="Q1527" i="67"/>
  <c r="AC1502" i="67"/>
  <c r="AC1523" i="67"/>
  <c r="AO1500" i="67"/>
  <c r="AO1521" i="67"/>
  <c r="AU1498" i="67"/>
  <c r="AU1519" i="67"/>
  <c r="AN1508" i="67"/>
  <c r="AN1529" i="67"/>
  <c r="X1508" i="67"/>
  <c r="X1529" i="67"/>
  <c r="AT1507" i="67"/>
  <c r="AT1528" i="67"/>
  <c r="AD1507" i="67"/>
  <c r="AD1528" i="67"/>
  <c r="N1507" i="67"/>
  <c r="N1528" i="67"/>
  <c r="AJ1506" i="67"/>
  <c r="AJ1527" i="67"/>
  <c r="T1506" i="67"/>
  <c r="T1527" i="67"/>
  <c r="AP1503" i="67"/>
  <c r="AP1524" i="67"/>
  <c r="Z1503" i="67"/>
  <c r="Z1524" i="67"/>
  <c r="AV1502" i="67"/>
  <c r="AV1523" i="67"/>
  <c r="AF1502" i="67"/>
  <c r="AF1523" i="67"/>
  <c r="P1502" i="67"/>
  <c r="P1523" i="67"/>
  <c r="AL1501" i="67"/>
  <c r="AL1522" i="67"/>
  <c r="V1501" i="67"/>
  <c r="V1522" i="67"/>
  <c r="AR1500" i="67"/>
  <c r="AR1521" i="67"/>
  <c r="AB1500" i="67"/>
  <c r="AB1521" i="67"/>
  <c r="AR1499" i="67"/>
  <c r="AR1520" i="67"/>
  <c r="AB1499" i="67"/>
  <c r="AB1520" i="67"/>
  <c r="L1499" i="67"/>
  <c r="L1520" i="67"/>
  <c r="AH1498" i="67"/>
  <c r="AH1519" i="67"/>
  <c r="R1498" i="67"/>
  <c r="R1519" i="67"/>
  <c r="S1508" i="67"/>
  <c r="S1529" i="67"/>
  <c r="AO1507" i="67"/>
  <c r="AO1528" i="67"/>
  <c r="Y1507" i="67"/>
  <c r="Y1528" i="67"/>
  <c r="AU1506" i="67"/>
  <c r="AU1527" i="67"/>
  <c r="AE1506" i="67"/>
  <c r="AE1527" i="67"/>
  <c r="O1506" i="67"/>
  <c r="O1527" i="67"/>
  <c r="AK1503" i="67"/>
  <c r="AK1524" i="67"/>
  <c r="U1524" i="67"/>
  <c r="U1503" i="67"/>
  <c r="AQ1523" i="67"/>
  <c r="AQ1502" i="67"/>
  <c r="AA1523" i="67"/>
  <c r="AA1502" i="67"/>
  <c r="AW1522" i="67"/>
  <c r="AW1501" i="67"/>
  <c r="AG1522" i="67"/>
  <c r="AG1501" i="67"/>
  <c r="Q1522" i="67"/>
  <c r="Q1501" i="67"/>
  <c r="AM1521" i="67"/>
  <c r="AM1500" i="67"/>
  <c r="W1521" i="67"/>
  <c r="W1500" i="67"/>
  <c r="AM1499" i="67"/>
  <c r="AM1520" i="67"/>
  <c r="W1499" i="67"/>
  <c r="W1520" i="67"/>
  <c r="AS1498" i="67"/>
  <c r="AS1519" i="67"/>
  <c r="AC1498" i="67"/>
  <c r="AC1519" i="67"/>
  <c r="M1498" i="67"/>
  <c r="M1519" i="67"/>
  <c r="AL1508" i="67"/>
  <c r="AL1529" i="67"/>
  <c r="V1508" i="67"/>
  <c r="V1529" i="67"/>
  <c r="AR1507" i="67"/>
  <c r="AR1528" i="67"/>
  <c r="AB1507" i="67"/>
  <c r="AB1528" i="67"/>
  <c r="L1507" i="67"/>
  <c r="L1528" i="67"/>
  <c r="AH1506" i="67"/>
  <c r="AH1527" i="67"/>
  <c r="R1506" i="67"/>
  <c r="R1527" i="67"/>
  <c r="AN1503" i="67"/>
  <c r="AN1524" i="67"/>
  <c r="X1503" i="67"/>
  <c r="X1524" i="67"/>
  <c r="AT1502" i="67"/>
  <c r="AT1523" i="67"/>
  <c r="AD1502" i="67"/>
  <c r="AD1523" i="67"/>
  <c r="N1502" i="67"/>
  <c r="N1523" i="67"/>
  <c r="AJ1501" i="67"/>
  <c r="AJ1522" i="67"/>
  <c r="T1501" i="67"/>
  <c r="T1522" i="67"/>
  <c r="AP1500" i="67"/>
  <c r="AP1521" i="67"/>
  <c r="Z1500" i="67"/>
  <c r="Z1521" i="67"/>
  <c r="AP1499" i="67"/>
  <c r="AP1520" i="67"/>
  <c r="Z1499" i="67"/>
  <c r="Z1520" i="67"/>
  <c r="AV1498" i="67"/>
  <c r="AV1519" i="67"/>
  <c r="AF1498" i="67"/>
  <c r="AF1519" i="67"/>
  <c r="P1498" i="67"/>
  <c r="P1519" i="67"/>
  <c r="P1500" i="67"/>
  <c r="P1521" i="67"/>
  <c r="K1521" i="67"/>
  <c r="K1500" i="67"/>
  <c r="AU1501" i="67"/>
  <c r="AU1522" i="67"/>
  <c r="U1509" i="67"/>
  <c r="U1530" i="67"/>
  <c r="AK1508" i="67"/>
  <c r="AK1529" i="67"/>
  <c r="S1507" i="67"/>
  <c r="S1528" i="67"/>
  <c r="AE1503" i="67"/>
  <c r="AE1524" i="67"/>
  <c r="W1519" i="67"/>
  <c r="W1498" i="67"/>
  <c r="Z1509" i="67"/>
  <c r="Z1530" i="67"/>
  <c r="AS1506" i="67"/>
  <c r="AS1527" i="67"/>
  <c r="AE1501" i="67"/>
  <c r="AE1522" i="67"/>
  <c r="K1499" i="67"/>
  <c r="K1520" i="67"/>
  <c r="AJ1530" i="67"/>
  <c r="AJ1509" i="67"/>
  <c r="T1530" i="67"/>
  <c r="T1509" i="67"/>
  <c r="AI1508" i="67"/>
  <c r="AI1529" i="67"/>
  <c r="O1507" i="67"/>
  <c r="O1528" i="67"/>
  <c r="AA1503" i="67"/>
  <c r="AA1524" i="67"/>
  <c r="AM1501" i="67"/>
  <c r="AM1522" i="67"/>
  <c r="AS1520" i="67"/>
  <c r="AS1499" i="67"/>
  <c r="S1519" i="67"/>
  <c r="S1498" i="67"/>
  <c r="W1507" i="67"/>
  <c r="W1528" i="67"/>
  <c r="K1502" i="67"/>
  <c r="K1523" i="67"/>
  <c r="AM1509" i="67"/>
  <c r="AM1530" i="67"/>
  <c r="W1509" i="67"/>
  <c r="W1530" i="67"/>
  <c r="AO1508" i="67"/>
  <c r="AO1529" i="67"/>
  <c r="AA1507" i="67"/>
  <c r="AA1528" i="67"/>
  <c r="AM1503" i="67"/>
  <c r="AM1524" i="67"/>
  <c r="M1502" i="67"/>
  <c r="M1523" i="67"/>
  <c r="Y1500" i="67"/>
  <c r="Y1521" i="67"/>
  <c r="AE1498" i="67"/>
  <c r="AE1519" i="67"/>
  <c r="AJ1508" i="67"/>
  <c r="AJ1529" i="67"/>
  <c r="T1508" i="67"/>
  <c r="T1529" i="67"/>
  <c r="AP1507" i="67"/>
  <c r="AP1528" i="67"/>
  <c r="Z1507" i="67"/>
  <c r="Z1528" i="67"/>
  <c r="AV1506" i="67"/>
  <c r="AV1527" i="67"/>
  <c r="AF1506" i="67"/>
  <c r="AF1527" i="67"/>
  <c r="P1506" i="67"/>
  <c r="P1527" i="67"/>
  <c r="AL1503" i="67"/>
  <c r="AL1524" i="67"/>
  <c r="V1503" i="67"/>
  <c r="V1524" i="67"/>
  <c r="AR1502" i="67"/>
  <c r="AR1523" i="67"/>
  <c r="AB1502" i="67"/>
  <c r="AB1523" i="67"/>
  <c r="L1502" i="67"/>
  <c r="L1523" i="67"/>
  <c r="AH1501" i="67"/>
  <c r="AH1522" i="67"/>
  <c r="R1501" i="67"/>
  <c r="R1522" i="67"/>
  <c r="AN1500" i="67"/>
  <c r="AN1521" i="67"/>
  <c r="X1500" i="67"/>
  <c r="X1521" i="67"/>
  <c r="AN1499" i="67"/>
  <c r="AN1520" i="67"/>
  <c r="X1499" i="67"/>
  <c r="X1520" i="67"/>
  <c r="AT1498" i="67"/>
  <c r="AT1519" i="67"/>
  <c r="AD1498" i="67"/>
  <c r="AD1519" i="67"/>
  <c r="N1498" i="67"/>
  <c r="N1519" i="67"/>
  <c r="O1508" i="67"/>
  <c r="O1529" i="67"/>
  <c r="AK1507" i="67"/>
  <c r="AK1528" i="67"/>
  <c r="U1507" i="67"/>
  <c r="U1528" i="67"/>
  <c r="AQ1506" i="67"/>
  <c r="AQ1527" i="67"/>
  <c r="AA1506" i="67"/>
  <c r="AA1527" i="67"/>
  <c r="AW1503" i="67"/>
  <c r="AW1524" i="67"/>
  <c r="AG1503" i="67"/>
  <c r="AG1524" i="67"/>
  <c r="Q1503" i="67"/>
  <c r="Q1524" i="67"/>
  <c r="AM1502" i="67"/>
  <c r="AM1523" i="67"/>
  <c r="W1502" i="67"/>
  <c r="W1523" i="67"/>
  <c r="AS1501" i="67"/>
  <c r="AS1522" i="67"/>
  <c r="AC1501" i="67"/>
  <c r="AC1522" i="67"/>
  <c r="M1501" i="67"/>
  <c r="M1522" i="67"/>
  <c r="AI1500" i="67"/>
  <c r="AI1521" i="67"/>
  <c r="S1500" i="67"/>
  <c r="S1521" i="67"/>
  <c r="AI1499" i="67"/>
  <c r="AI1520" i="67"/>
  <c r="S1499" i="67"/>
  <c r="S1520" i="67"/>
  <c r="AO1498" i="67"/>
  <c r="AO1519" i="67"/>
  <c r="Y1498" i="67"/>
  <c r="Y1519" i="67"/>
  <c r="L1509" i="67"/>
  <c r="L1530" i="67"/>
  <c r="AH1508" i="67"/>
  <c r="AH1529" i="67"/>
  <c r="R1508" i="67"/>
  <c r="R1529" i="67"/>
  <c r="AN1507" i="67"/>
  <c r="AN1528" i="67"/>
  <c r="X1507" i="67"/>
  <c r="X1528" i="67"/>
  <c r="AT1506" i="67"/>
  <c r="AT1527" i="67"/>
  <c r="AD1506" i="67"/>
  <c r="AD1527" i="67"/>
  <c r="N1506" i="67"/>
  <c r="N1527" i="67"/>
  <c r="AJ1503" i="67"/>
  <c r="AJ1524" i="67"/>
  <c r="T1503" i="67"/>
  <c r="T1524" i="67"/>
  <c r="AP1502" i="67"/>
  <c r="AP1523" i="67"/>
  <c r="Z1502" i="67"/>
  <c r="Z1523" i="67"/>
  <c r="AV1501" i="67"/>
  <c r="AV1522" i="67"/>
  <c r="AF1501" i="67"/>
  <c r="AF1522" i="67"/>
  <c r="P1501" i="67"/>
  <c r="P1522" i="67"/>
  <c r="AL1500" i="67"/>
  <c r="AL1521" i="67"/>
  <c r="V1500" i="67"/>
  <c r="V1521" i="67"/>
  <c r="AL1499" i="67"/>
  <c r="AL1520" i="67"/>
  <c r="V1499" i="67"/>
  <c r="V1520" i="67"/>
  <c r="AR1498" i="67"/>
  <c r="AR1519" i="67"/>
  <c r="AB1498" i="67"/>
  <c r="AB1519" i="67"/>
  <c r="L1498" i="67"/>
  <c r="L1519" i="67"/>
  <c r="L1500" i="67"/>
  <c r="L1521" i="67"/>
  <c r="AM1507" i="67"/>
  <c r="AM1528" i="67"/>
  <c r="AK1509" i="67"/>
  <c r="AK1530" i="67"/>
  <c r="AW1520" i="67"/>
  <c r="AW1499" i="67"/>
  <c r="V1509" i="67"/>
  <c r="V1530" i="67"/>
  <c r="AC1506" i="67"/>
  <c r="AC1527" i="67"/>
  <c r="O1501" i="67"/>
  <c r="O1522" i="67"/>
  <c r="AW1509" i="67"/>
  <c r="AW1530" i="67"/>
  <c r="AG1509" i="67"/>
  <c r="AG1530" i="67"/>
  <c r="Q1509" i="67"/>
  <c r="Q1530" i="67"/>
  <c r="AC1508" i="67"/>
  <c r="AC1529" i="67"/>
  <c r="AO1506" i="67"/>
  <c r="AO1527" i="67"/>
  <c r="O1503" i="67"/>
  <c r="O1524" i="67"/>
  <c r="AA1501" i="67"/>
  <c r="AA1522" i="67"/>
  <c r="AG1520" i="67"/>
  <c r="AG1499" i="67"/>
  <c r="K1519" i="67"/>
  <c r="K1498" i="67"/>
  <c r="N1509" i="67"/>
  <c r="N1530" i="67"/>
  <c r="M1506" i="67"/>
  <c r="M1527" i="67"/>
  <c r="AK1500" i="67"/>
  <c r="AK1521" i="67"/>
  <c r="K1507" i="67"/>
  <c r="K1528" i="67"/>
  <c r="AF1530" i="67"/>
  <c r="AF1509" i="67"/>
  <c r="P1530" i="67"/>
  <c r="P1509" i="67"/>
  <c r="Y1508" i="67"/>
  <c r="Y1529" i="67"/>
  <c r="AK1506" i="67"/>
  <c r="AK1527" i="67"/>
  <c r="AW1502" i="67"/>
  <c r="AW1523" i="67"/>
  <c r="W1501" i="67"/>
  <c r="W1522" i="67"/>
  <c r="AC1520" i="67"/>
  <c r="AC1499" i="67"/>
  <c r="K1530" i="67"/>
  <c r="K1509" i="67"/>
  <c r="AA1519" i="67"/>
  <c r="AA1498" i="67"/>
  <c r="K1529" i="67"/>
  <c r="K1508" i="67"/>
  <c r="AI1509" i="67"/>
  <c r="AI1530" i="67"/>
  <c r="S1509" i="67"/>
  <c r="S1530" i="67"/>
  <c r="AG1508" i="67"/>
  <c r="AG1529" i="67"/>
  <c r="AW1506" i="67"/>
  <c r="AW1527" i="67"/>
  <c r="W1503" i="67"/>
  <c r="W1524" i="67"/>
  <c r="AI1501" i="67"/>
  <c r="AI1522" i="67"/>
  <c r="AO1499" i="67"/>
  <c r="AO1520" i="67"/>
  <c r="O1498" i="67"/>
  <c r="O1519" i="67"/>
  <c r="AF1508" i="67"/>
  <c r="AF1529" i="67"/>
  <c r="P1508" i="67"/>
  <c r="P1529" i="67"/>
  <c r="AL1507" i="67"/>
  <c r="AL1528" i="67"/>
  <c r="V1507" i="67"/>
  <c r="V1528" i="67"/>
  <c r="AR1506" i="67"/>
  <c r="AR1527" i="67"/>
  <c r="AB1506" i="67"/>
  <c r="AB1527" i="67"/>
  <c r="L1506" i="67"/>
  <c r="L1527" i="67"/>
  <c r="AH1503" i="67"/>
  <c r="AH1524" i="67"/>
  <c r="R1503" i="67"/>
  <c r="R1524" i="67"/>
  <c r="AN1502" i="67"/>
  <c r="AN1523" i="67"/>
  <c r="X1502" i="67"/>
  <c r="X1523" i="67"/>
  <c r="AT1501" i="67"/>
  <c r="AT1522" i="67"/>
  <c r="AD1501" i="67"/>
  <c r="AD1522" i="67"/>
  <c r="N1501" i="67"/>
  <c r="N1522" i="67"/>
  <c r="AJ1500" i="67"/>
  <c r="AJ1521" i="67"/>
  <c r="T1500" i="67"/>
  <c r="T1521" i="67"/>
  <c r="AJ1499" i="67"/>
  <c r="AJ1520" i="67"/>
  <c r="T1499" i="67"/>
  <c r="T1520" i="67"/>
  <c r="AP1498" i="67"/>
  <c r="AP1519" i="67"/>
  <c r="Z1498" i="67"/>
  <c r="Z1519" i="67"/>
  <c r="AA1529" i="67"/>
  <c r="AA1508" i="67"/>
  <c r="AW1528" i="67"/>
  <c r="AW1507" i="67"/>
  <c r="AG1528" i="67"/>
  <c r="AG1507" i="67"/>
  <c r="Q1507" i="67"/>
  <c r="Q1528" i="67"/>
  <c r="AM1527" i="67"/>
  <c r="AM1506" i="67"/>
  <c r="W1527" i="67"/>
  <c r="W1506" i="67"/>
  <c r="AS1524" i="67"/>
  <c r="AS1503" i="67"/>
  <c r="AC1524" i="67"/>
  <c r="AC1503" i="67"/>
  <c r="M1524" i="67"/>
  <c r="M1503" i="67"/>
  <c r="AI1523" i="67"/>
  <c r="AI1502" i="67"/>
  <c r="S1523" i="67"/>
  <c r="S1502" i="67"/>
  <c r="AO1522" i="67"/>
  <c r="AO1501" i="67"/>
  <c r="Y1522" i="67"/>
  <c r="Y1501" i="67"/>
  <c r="AU1521" i="67"/>
  <c r="AU1500" i="67"/>
  <c r="AE1521" i="67"/>
  <c r="AE1500" i="67"/>
  <c r="AU1499" i="67"/>
  <c r="AU1520" i="67"/>
  <c r="AE1499" i="67"/>
  <c r="AE1520" i="67"/>
  <c r="O1499" i="67"/>
  <c r="O1520" i="67"/>
  <c r="AK1498" i="67"/>
  <c r="AK1519" i="67"/>
  <c r="U1498" i="67"/>
  <c r="U1519" i="67"/>
  <c r="AT1508" i="67"/>
  <c r="AT1529" i="67"/>
  <c r="AD1508" i="67"/>
  <c r="AD1529" i="67"/>
  <c r="N1508" i="67"/>
  <c r="N1529" i="67"/>
  <c r="AJ1507" i="67"/>
  <c r="AJ1528" i="67"/>
  <c r="T1507" i="67"/>
  <c r="T1528" i="67"/>
  <c r="AP1506" i="67"/>
  <c r="AP1527" i="67"/>
  <c r="Z1506" i="67"/>
  <c r="Z1527" i="67"/>
  <c r="AV1503" i="67"/>
  <c r="AV1524" i="67"/>
  <c r="AF1503" i="67"/>
  <c r="AF1524" i="67"/>
  <c r="P1503" i="67"/>
  <c r="P1524" i="67"/>
  <c r="AL1502" i="67"/>
  <c r="AL1523" i="67"/>
  <c r="V1502" i="67"/>
  <c r="V1523" i="67"/>
  <c r="AR1501" i="67"/>
  <c r="AR1522" i="67"/>
  <c r="AB1501" i="67"/>
  <c r="AB1522" i="67"/>
  <c r="L1501" i="67"/>
  <c r="L1522" i="67"/>
  <c r="AH1500" i="67"/>
  <c r="AH1521" i="67"/>
  <c r="R1500" i="67"/>
  <c r="R1521" i="67"/>
  <c r="AH1499" i="67"/>
  <c r="AH1520" i="67"/>
  <c r="R1499" i="67"/>
  <c r="R1520" i="67"/>
  <c r="AN1498" i="67"/>
  <c r="AN1519" i="67"/>
  <c r="X1498" i="67"/>
  <c r="X1519" i="67"/>
  <c r="M1500" i="67"/>
  <c r="M1521" i="67"/>
  <c r="N1500" i="67"/>
  <c r="N1521" i="67"/>
  <c r="S4" i="50"/>
  <c r="S4" i="57" s="1"/>
  <c r="S4" i="69"/>
  <c r="S5" i="47"/>
  <c r="H61" i="33"/>
  <c r="H60" i="33"/>
  <c r="H59" i="33"/>
  <c r="H58" i="33"/>
  <c r="H57" i="33"/>
  <c r="H56" i="33"/>
  <c r="H55" i="33"/>
  <c r="H54" i="33"/>
  <c r="AN1022" i="67" l="1"/>
  <c r="AN1173" i="67"/>
  <c r="AN416" i="67"/>
  <c r="AN568" i="67"/>
  <c r="AN871" i="67"/>
  <c r="AN110" i="67"/>
  <c r="AN263" i="67"/>
  <c r="AN720" i="67"/>
  <c r="AN1326" i="67"/>
  <c r="N1024" i="67"/>
  <c r="N1175" i="67"/>
  <c r="N418" i="67"/>
  <c r="N873" i="67"/>
  <c r="N570" i="67"/>
  <c r="N112" i="67"/>
  <c r="N265" i="67"/>
  <c r="N722" i="67"/>
  <c r="R1023" i="67"/>
  <c r="R1174" i="67"/>
  <c r="R417" i="67"/>
  <c r="R872" i="67"/>
  <c r="R569" i="67"/>
  <c r="R111" i="67"/>
  <c r="R264" i="67"/>
  <c r="R1327" i="67" s="1"/>
  <c r="R721" i="67"/>
  <c r="L1025" i="67"/>
  <c r="L1176" i="67"/>
  <c r="L419" i="67"/>
  <c r="L571" i="67"/>
  <c r="L874" i="67"/>
  <c r="L113" i="67"/>
  <c r="L1329" i="67" s="1"/>
  <c r="L266" i="67"/>
  <c r="L723" i="67"/>
  <c r="AF1027" i="67"/>
  <c r="AF1178" i="67"/>
  <c r="AF421" i="67"/>
  <c r="AF573" i="67"/>
  <c r="AF876" i="67"/>
  <c r="AF115" i="67"/>
  <c r="AF1331" i="67" s="1"/>
  <c r="AF268" i="67"/>
  <c r="AF725" i="67"/>
  <c r="T1182" i="67"/>
  <c r="T1031" i="67"/>
  <c r="T425" i="67"/>
  <c r="T577" i="67"/>
  <c r="T880" i="67"/>
  <c r="T119" i="67"/>
  <c r="T272" i="67"/>
  <c r="T729" i="67"/>
  <c r="AT1183" i="67"/>
  <c r="AT1032" i="67"/>
  <c r="AT426" i="67"/>
  <c r="AT578" i="67"/>
  <c r="AT881" i="67"/>
  <c r="AT120" i="67"/>
  <c r="AT273" i="67"/>
  <c r="AT730" i="67"/>
  <c r="AT1336" i="67"/>
  <c r="AE1174" i="67"/>
  <c r="AE1023" i="67"/>
  <c r="AE417" i="67"/>
  <c r="AE569" i="67"/>
  <c r="AE1327" i="67" s="1"/>
  <c r="AE872" i="67"/>
  <c r="AE264" i="67"/>
  <c r="AE111" i="67"/>
  <c r="AE721" i="67"/>
  <c r="AE1003" i="67"/>
  <c r="AE1154" i="67"/>
  <c r="AE397" i="67"/>
  <c r="AE1307" i="67" s="1"/>
  <c r="AE852" i="67"/>
  <c r="AE91" i="67"/>
  <c r="AE244" i="67"/>
  <c r="AE549" i="67"/>
  <c r="AE701" i="67"/>
  <c r="Y1004" i="67"/>
  <c r="Y1155" i="67"/>
  <c r="Y398" i="67"/>
  <c r="Y853" i="67"/>
  <c r="Y702" i="67"/>
  <c r="Y550" i="67"/>
  <c r="Y92" i="67"/>
  <c r="Y1308" i="67" s="1"/>
  <c r="Y245" i="67"/>
  <c r="S1005" i="67"/>
  <c r="S1156" i="67"/>
  <c r="S399" i="67"/>
  <c r="S854" i="67"/>
  <c r="S551" i="67"/>
  <c r="S703" i="67"/>
  <c r="S93" i="67"/>
  <c r="S246" i="67"/>
  <c r="M1006" i="67"/>
  <c r="M1157" i="67"/>
  <c r="M400" i="67"/>
  <c r="M855" i="67"/>
  <c r="M704" i="67"/>
  <c r="M552" i="67"/>
  <c r="M247" i="67"/>
  <c r="M94" i="67"/>
  <c r="AS1006" i="67"/>
  <c r="AS1157" i="67"/>
  <c r="AS400" i="67"/>
  <c r="AS855" i="67"/>
  <c r="AS704" i="67"/>
  <c r="AS552" i="67"/>
  <c r="AS247" i="67"/>
  <c r="AS94" i="67"/>
  <c r="AM1160" i="67"/>
  <c r="AM1009" i="67"/>
  <c r="AM403" i="67"/>
  <c r="AM858" i="67"/>
  <c r="AM97" i="67"/>
  <c r="AM250" i="67"/>
  <c r="AM555" i="67"/>
  <c r="AM707" i="67"/>
  <c r="AM1313" i="67"/>
  <c r="AG1161" i="67"/>
  <c r="AG1010" i="67"/>
  <c r="AG404" i="67"/>
  <c r="AG859" i="67"/>
  <c r="AG708" i="67"/>
  <c r="AG556" i="67"/>
  <c r="AG98" i="67"/>
  <c r="AG251" i="67"/>
  <c r="AG1314" i="67" s="1"/>
  <c r="AA1162" i="67"/>
  <c r="AA1011" i="67"/>
  <c r="AA405" i="67"/>
  <c r="AA1315" i="67" s="1"/>
  <c r="AA860" i="67"/>
  <c r="AA99" i="67"/>
  <c r="AA252" i="67"/>
  <c r="AA557" i="67"/>
  <c r="AA709" i="67"/>
  <c r="AP1022" i="67"/>
  <c r="AP1173" i="67"/>
  <c r="AP416" i="67"/>
  <c r="AP871" i="67"/>
  <c r="AP568" i="67"/>
  <c r="AP110" i="67"/>
  <c r="AP1326" i="67" s="1"/>
  <c r="AP263" i="67"/>
  <c r="AP720" i="67"/>
  <c r="AJ1023" i="67"/>
  <c r="AJ1174" i="67"/>
  <c r="AJ417" i="67"/>
  <c r="AJ872" i="67"/>
  <c r="AJ569" i="67"/>
  <c r="AJ111" i="67"/>
  <c r="AJ264" i="67"/>
  <c r="AJ721" i="67"/>
  <c r="AJ1024" i="67"/>
  <c r="AJ1175" i="67"/>
  <c r="AJ418" i="67"/>
  <c r="AJ570" i="67"/>
  <c r="AJ873" i="67"/>
  <c r="AJ112" i="67"/>
  <c r="AJ265" i="67"/>
  <c r="AJ722" i="67"/>
  <c r="AD1025" i="67"/>
  <c r="AD1176" i="67"/>
  <c r="AD419" i="67"/>
  <c r="AD874" i="67"/>
  <c r="AD571" i="67"/>
  <c r="AD113" i="67"/>
  <c r="AD266" i="67"/>
  <c r="AD723" i="67"/>
  <c r="AD1329" i="67"/>
  <c r="X1026" i="67"/>
  <c r="X1177" i="67"/>
  <c r="X420" i="67"/>
  <c r="X572" i="67"/>
  <c r="X875" i="67"/>
  <c r="X267" i="67"/>
  <c r="X724" i="67"/>
  <c r="X114" i="67"/>
  <c r="X1330" i="67" s="1"/>
  <c r="R1027" i="67"/>
  <c r="R1178" i="67"/>
  <c r="R421" i="67"/>
  <c r="R573" i="67"/>
  <c r="R1331" i="67" s="1"/>
  <c r="R876" i="67"/>
  <c r="R115" i="67"/>
  <c r="R268" i="67"/>
  <c r="R725" i="67"/>
  <c r="L1181" i="67"/>
  <c r="L1030" i="67"/>
  <c r="L424" i="67"/>
  <c r="L879" i="67"/>
  <c r="L576" i="67"/>
  <c r="L118" i="67"/>
  <c r="L271" i="67"/>
  <c r="L728" i="67"/>
  <c r="AR1181" i="67"/>
  <c r="AR1030" i="67"/>
  <c r="AR424" i="67"/>
  <c r="AR879" i="67"/>
  <c r="AR576" i="67"/>
  <c r="AR118" i="67"/>
  <c r="AR271" i="67"/>
  <c r="AR1334" i="67" s="1"/>
  <c r="AR728" i="67"/>
  <c r="AL1182" i="67"/>
  <c r="AL1031" i="67"/>
  <c r="AL425" i="67"/>
  <c r="AL577" i="67"/>
  <c r="AL880" i="67"/>
  <c r="AL119" i="67"/>
  <c r="AL1335" i="67" s="1"/>
  <c r="AL272" i="67"/>
  <c r="AL729" i="67"/>
  <c r="AF1183" i="67"/>
  <c r="AF1032" i="67"/>
  <c r="AF426" i="67"/>
  <c r="AF881" i="67"/>
  <c r="AF578" i="67"/>
  <c r="AF273" i="67"/>
  <c r="AF730" i="67"/>
  <c r="AF120" i="67"/>
  <c r="AO1174" i="67"/>
  <c r="AO1023" i="67"/>
  <c r="AO417" i="67"/>
  <c r="AO872" i="67"/>
  <c r="AO569" i="67"/>
  <c r="AO111" i="67"/>
  <c r="AO264" i="67"/>
  <c r="AO721" i="67"/>
  <c r="W1178" i="67"/>
  <c r="W1027" i="67"/>
  <c r="W421" i="67"/>
  <c r="W876" i="67"/>
  <c r="W573" i="67"/>
  <c r="W268" i="67"/>
  <c r="W725" i="67"/>
  <c r="W115" i="67"/>
  <c r="AG1183" i="67"/>
  <c r="AG1032" i="67"/>
  <c r="AG426" i="67"/>
  <c r="AG578" i="67"/>
  <c r="AG881" i="67"/>
  <c r="AG120" i="67"/>
  <c r="AG273" i="67"/>
  <c r="AG730" i="67"/>
  <c r="AG1336" i="67"/>
  <c r="AI1184" i="67"/>
  <c r="AI1033" i="67"/>
  <c r="AI427" i="67"/>
  <c r="AI882" i="67"/>
  <c r="AI579" i="67"/>
  <c r="AI121" i="67"/>
  <c r="AI731" i="67"/>
  <c r="AI274" i="67"/>
  <c r="AA1001" i="67"/>
  <c r="AA1152" i="67"/>
  <c r="AA395" i="67"/>
  <c r="AA850" i="67"/>
  <c r="AA547" i="67"/>
  <c r="AA699" i="67"/>
  <c r="AA89" i="67"/>
  <c r="AA242" i="67"/>
  <c r="AU48" i="68"/>
  <c r="AC1002" i="67"/>
  <c r="AC1153" i="67"/>
  <c r="AC396" i="67"/>
  <c r="AC851" i="67"/>
  <c r="AC548" i="67"/>
  <c r="AC700" i="67"/>
  <c r="AC90" i="67"/>
  <c r="AC1306" i="67" s="1"/>
  <c r="AC243" i="67"/>
  <c r="AW1026" i="67"/>
  <c r="AW1177" i="67"/>
  <c r="AW420" i="67"/>
  <c r="AW875" i="67"/>
  <c r="AW572" i="67"/>
  <c r="AW114" i="67"/>
  <c r="AW267" i="67"/>
  <c r="AW724" i="67"/>
  <c r="Y1183" i="67"/>
  <c r="Y1032" i="67"/>
  <c r="Y426" i="67"/>
  <c r="Y881" i="67"/>
  <c r="Y578" i="67"/>
  <c r="Y120" i="67"/>
  <c r="Y273" i="67"/>
  <c r="Y730" i="67"/>
  <c r="AF1012" i="67"/>
  <c r="AF1163" i="67"/>
  <c r="AF406" i="67"/>
  <c r="AF861" i="67"/>
  <c r="AF558" i="67"/>
  <c r="AF710" i="67"/>
  <c r="AF253" i="67"/>
  <c r="AF100" i="67"/>
  <c r="AK1024" i="67"/>
  <c r="AK1175" i="67"/>
  <c r="AK418" i="67"/>
  <c r="AK873" i="67"/>
  <c r="AK570" i="67"/>
  <c r="AK112" i="67"/>
  <c r="AK265" i="67"/>
  <c r="AK722" i="67"/>
  <c r="AK1328" i="67"/>
  <c r="N1033" i="67"/>
  <c r="N1184" i="67"/>
  <c r="N427" i="67"/>
  <c r="N882" i="67"/>
  <c r="N579" i="67"/>
  <c r="N121" i="67"/>
  <c r="N731" i="67"/>
  <c r="N274" i="67"/>
  <c r="AG1153" i="67"/>
  <c r="AG1002" i="67"/>
  <c r="AG396" i="67"/>
  <c r="AG851" i="67"/>
  <c r="AG548" i="67"/>
  <c r="AG700" i="67"/>
  <c r="AG90" i="67"/>
  <c r="AG243" i="67"/>
  <c r="AG1306" i="67" s="1"/>
  <c r="O1178" i="67"/>
  <c r="O1027" i="67"/>
  <c r="O421" i="67"/>
  <c r="O876" i="67"/>
  <c r="O573" i="67"/>
  <c r="O115" i="67"/>
  <c r="O268" i="67"/>
  <c r="O1331" i="67" s="1"/>
  <c r="O725" i="67"/>
  <c r="AC1032" i="67"/>
  <c r="AC1183" i="67"/>
  <c r="AC426" i="67"/>
  <c r="AC578" i="67"/>
  <c r="AC881" i="67"/>
  <c r="AC120" i="67"/>
  <c r="AC1336" i="67" s="1"/>
  <c r="AC273" i="67"/>
  <c r="AC730" i="67"/>
  <c r="AG1033" i="67"/>
  <c r="AG1184" i="67"/>
  <c r="AG427" i="67"/>
  <c r="AG579" i="67"/>
  <c r="AG731" i="67"/>
  <c r="AG882" i="67"/>
  <c r="AG121" i="67"/>
  <c r="AG274" i="67"/>
  <c r="AG1337" i="67"/>
  <c r="O1025" i="67"/>
  <c r="O1176" i="67"/>
  <c r="O419" i="67"/>
  <c r="O571" i="67"/>
  <c r="O874" i="67"/>
  <c r="O113" i="67"/>
  <c r="O723" i="67"/>
  <c r="O266" i="67"/>
  <c r="O1329" i="67" s="1"/>
  <c r="V1033" i="67"/>
  <c r="V1184" i="67"/>
  <c r="V427" i="67"/>
  <c r="V882" i="67"/>
  <c r="V579" i="67"/>
  <c r="V121" i="67"/>
  <c r="V731" i="67"/>
  <c r="V274" i="67"/>
  <c r="V1337" i="67" s="1"/>
  <c r="AK1033" i="67"/>
  <c r="AK1184" i="67"/>
  <c r="AK427" i="67"/>
  <c r="AK882" i="67"/>
  <c r="AK579" i="67"/>
  <c r="AK731" i="67"/>
  <c r="AK121" i="67"/>
  <c r="AK274" i="67"/>
  <c r="L1024" i="67"/>
  <c r="L1175" i="67"/>
  <c r="L418" i="67"/>
  <c r="L873" i="67"/>
  <c r="L570" i="67"/>
  <c r="L112" i="67"/>
  <c r="L1328" i="67" s="1"/>
  <c r="L265" i="67"/>
  <c r="L722" i="67"/>
  <c r="AB1173" i="67"/>
  <c r="AB1022" i="67"/>
  <c r="AB416" i="67"/>
  <c r="AB568" i="67"/>
  <c r="AB871" i="67"/>
  <c r="AB110" i="67"/>
  <c r="AB263" i="67"/>
  <c r="AB720" i="67"/>
  <c r="AB1326" i="67"/>
  <c r="V1174" i="67"/>
  <c r="V1023" i="67"/>
  <c r="V417" i="67"/>
  <c r="V569" i="67"/>
  <c r="V872" i="67"/>
  <c r="V111" i="67"/>
  <c r="V264" i="67"/>
  <c r="V721" i="67"/>
  <c r="V1024" i="67"/>
  <c r="V1175" i="67"/>
  <c r="V418" i="67"/>
  <c r="V570" i="67"/>
  <c r="V873" i="67"/>
  <c r="V112" i="67"/>
  <c r="V265" i="67"/>
  <c r="V722" i="67"/>
  <c r="P1025" i="67"/>
  <c r="P1176" i="67"/>
  <c r="P419" i="67"/>
  <c r="P571" i="67"/>
  <c r="P874" i="67"/>
  <c r="P113" i="67"/>
  <c r="P1329" i="67" s="1"/>
  <c r="P266" i="67"/>
  <c r="P723" i="67"/>
  <c r="AV1025" i="67"/>
  <c r="AV1176" i="67"/>
  <c r="AV419" i="67"/>
  <c r="AV571" i="67"/>
  <c r="AV874" i="67"/>
  <c r="AV113" i="67"/>
  <c r="AV266" i="67"/>
  <c r="AV1329" i="67" s="1"/>
  <c r="AV723" i="67"/>
  <c r="AP1026" i="67"/>
  <c r="AP1177" i="67"/>
  <c r="AP420" i="67"/>
  <c r="AP572" i="67"/>
  <c r="AP875" i="67"/>
  <c r="AP267" i="67"/>
  <c r="AP114" i="67"/>
  <c r="AP1330" i="67" s="1"/>
  <c r="AP724" i="67"/>
  <c r="AJ1027" i="67"/>
  <c r="AJ1178" i="67"/>
  <c r="AJ421" i="67"/>
  <c r="AJ573" i="67"/>
  <c r="AJ876" i="67"/>
  <c r="AJ115" i="67"/>
  <c r="AJ268" i="67"/>
  <c r="AJ725" i="67"/>
  <c r="AD1030" i="67"/>
  <c r="AD1181" i="67"/>
  <c r="AD424" i="67"/>
  <c r="AD576" i="67"/>
  <c r="AD879" i="67"/>
  <c r="AD118" i="67"/>
  <c r="AD271" i="67"/>
  <c r="AD728" i="67"/>
  <c r="X1031" i="67"/>
  <c r="X1182" i="67"/>
  <c r="X425" i="67"/>
  <c r="X577" i="67"/>
  <c r="X880" i="67"/>
  <c r="X272" i="67"/>
  <c r="X729" i="67"/>
  <c r="X119" i="67"/>
  <c r="X1335" i="67"/>
  <c r="R1032" i="67"/>
  <c r="R1183" i="67"/>
  <c r="R426" i="67"/>
  <c r="R578" i="67"/>
  <c r="R1336" i="67" s="1"/>
  <c r="R881" i="67"/>
  <c r="R120" i="67"/>
  <c r="R273" i="67"/>
  <c r="R730" i="67"/>
  <c r="L1033" i="67"/>
  <c r="L1184" i="67"/>
  <c r="L427" i="67"/>
  <c r="L882" i="67"/>
  <c r="L579" i="67"/>
  <c r="L731" i="67"/>
  <c r="L121" i="67"/>
  <c r="L1337" i="67" s="1"/>
  <c r="L274" i="67"/>
  <c r="AO1022" i="67"/>
  <c r="AO1173" i="67"/>
  <c r="AO416" i="67"/>
  <c r="AO871" i="67"/>
  <c r="AO568" i="67"/>
  <c r="AO263" i="67"/>
  <c r="AO720" i="67"/>
  <c r="AO110" i="67"/>
  <c r="AI1023" i="67"/>
  <c r="AI1174" i="67"/>
  <c r="AI417" i="67"/>
  <c r="AI872" i="67"/>
  <c r="AI569" i="67"/>
  <c r="AI111" i="67"/>
  <c r="AI264" i="67"/>
  <c r="AI1327" i="67" s="1"/>
  <c r="AI721" i="67"/>
  <c r="AI1024" i="67"/>
  <c r="AI1175" i="67"/>
  <c r="AI418" i="67"/>
  <c r="AI570" i="67"/>
  <c r="AI873" i="67"/>
  <c r="AI112" i="67"/>
  <c r="AI1328" i="67" s="1"/>
  <c r="AI265" i="67"/>
  <c r="AI722" i="67"/>
  <c r="AC1025" i="67"/>
  <c r="AC1176" i="67"/>
  <c r="AC419" i="67"/>
  <c r="AC874" i="67"/>
  <c r="AC571" i="67"/>
  <c r="AC113" i="67"/>
  <c r="AC1329" i="67" s="1"/>
  <c r="AC266" i="67"/>
  <c r="AC723" i="67"/>
  <c r="W1026" i="67"/>
  <c r="W1177" i="67"/>
  <c r="W420" i="67"/>
  <c r="W572" i="67"/>
  <c r="W875" i="67"/>
  <c r="W114" i="67"/>
  <c r="W1330" i="67" s="1"/>
  <c r="W267" i="67"/>
  <c r="W724" i="67"/>
  <c r="Q1027" i="67"/>
  <c r="Q1178" i="67"/>
  <c r="Q421" i="67"/>
  <c r="Q573" i="67"/>
  <c r="Q876" i="67"/>
  <c r="Q115" i="67"/>
  <c r="Q268" i="67"/>
  <c r="Q725" i="67"/>
  <c r="Q1331" i="67"/>
  <c r="AW1027" i="67"/>
  <c r="AW1178" i="67"/>
  <c r="AW421" i="67"/>
  <c r="AW573" i="67"/>
  <c r="AW876" i="67"/>
  <c r="AW115" i="67"/>
  <c r="AW268" i="67"/>
  <c r="AW725" i="67"/>
  <c r="AQ1030" i="67"/>
  <c r="AQ1181" i="67"/>
  <c r="AQ424" i="67"/>
  <c r="AQ576" i="67"/>
  <c r="AQ879" i="67"/>
  <c r="AQ118" i="67"/>
  <c r="AQ271" i="67"/>
  <c r="AQ728" i="67"/>
  <c r="AK1031" i="67"/>
  <c r="AK1182" i="67"/>
  <c r="AK425" i="67"/>
  <c r="AK880" i="67"/>
  <c r="AK577" i="67"/>
  <c r="AK119" i="67"/>
  <c r="AK272" i="67"/>
  <c r="AK729" i="67"/>
  <c r="N1022" i="67"/>
  <c r="N1173" i="67"/>
  <c r="N416" i="67"/>
  <c r="N568" i="67"/>
  <c r="N871" i="67"/>
  <c r="N110" i="67"/>
  <c r="N263" i="67"/>
  <c r="N1326" i="67" s="1"/>
  <c r="N720" i="67"/>
  <c r="AT1022" i="67"/>
  <c r="AT1173" i="67"/>
  <c r="AT416" i="67"/>
  <c r="AT568" i="67"/>
  <c r="AT871" i="67"/>
  <c r="AT110" i="67"/>
  <c r="AT1326" i="67" s="1"/>
  <c r="AT263" i="67"/>
  <c r="AT720" i="67"/>
  <c r="AN1023" i="67"/>
  <c r="AN1174" i="67"/>
  <c r="AN417" i="67"/>
  <c r="AN569" i="67"/>
  <c r="AN872" i="67"/>
  <c r="AN111" i="67"/>
  <c r="AN1327" i="67" s="1"/>
  <c r="AN264" i="67"/>
  <c r="AN721" i="67"/>
  <c r="AN1175" i="67"/>
  <c r="AN1024" i="67"/>
  <c r="AN418" i="67"/>
  <c r="AN873" i="67"/>
  <c r="AN570" i="67"/>
  <c r="AN265" i="67"/>
  <c r="AN722" i="67"/>
  <c r="AN112" i="67"/>
  <c r="AH1176" i="67"/>
  <c r="AH1025" i="67"/>
  <c r="AH419" i="67"/>
  <c r="AH874" i="67"/>
  <c r="AH571" i="67"/>
  <c r="AH113" i="67"/>
  <c r="AH266" i="67"/>
  <c r="AH723" i="67"/>
  <c r="AB1177" i="67"/>
  <c r="AB1026" i="67"/>
  <c r="AB420" i="67"/>
  <c r="AB875" i="67"/>
  <c r="AB572" i="67"/>
  <c r="AB114" i="67"/>
  <c r="AB267" i="67"/>
  <c r="AB724" i="67"/>
  <c r="V1178" i="67"/>
  <c r="V1027" i="67"/>
  <c r="V421" i="67"/>
  <c r="V573" i="67"/>
  <c r="V876" i="67"/>
  <c r="V115" i="67"/>
  <c r="V268" i="67"/>
  <c r="V725" i="67"/>
  <c r="V1331" i="67"/>
  <c r="P1030" i="67"/>
  <c r="P1181" i="67"/>
  <c r="P424" i="67"/>
  <c r="P879" i="67"/>
  <c r="P576" i="67"/>
  <c r="P271" i="67"/>
  <c r="P728" i="67"/>
  <c r="P118" i="67"/>
  <c r="P1334" i="67" s="1"/>
  <c r="AV1030" i="67"/>
  <c r="AV1181" i="67"/>
  <c r="AV424" i="67"/>
  <c r="AV879" i="67"/>
  <c r="AV576" i="67"/>
  <c r="AV271" i="67"/>
  <c r="AV728" i="67"/>
  <c r="AV118" i="67"/>
  <c r="AV1334" i="67" s="1"/>
  <c r="AP1031" i="67"/>
  <c r="AP1182" i="67"/>
  <c r="AP425" i="67"/>
  <c r="AP577" i="67"/>
  <c r="AP880" i="67"/>
  <c r="AP119" i="67"/>
  <c r="AP272" i="67"/>
  <c r="AP729" i="67"/>
  <c r="AJ1032" i="67"/>
  <c r="AJ1183" i="67"/>
  <c r="AJ426" i="67"/>
  <c r="AJ578" i="67"/>
  <c r="AJ1336" i="67" s="1"/>
  <c r="AJ881" i="67"/>
  <c r="AJ120" i="67"/>
  <c r="AJ273" i="67"/>
  <c r="AJ730" i="67"/>
  <c r="Y1175" i="67"/>
  <c r="Y1024" i="67"/>
  <c r="Y418" i="67"/>
  <c r="Y873" i="67"/>
  <c r="Y570" i="67"/>
  <c r="Y112" i="67"/>
  <c r="Y265" i="67"/>
  <c r="Y1328" i="67" s="1"/>
  <c r="Y722" i="67"/>
  <c r="AM1178" i="67"/>
  <c r="AM1027" i="67"/>
  <c r="AM421" i="67"/>
  <c r="AM573" i="67"/>
  <c r="AM876" i="67"/>
  <c r="AM268" i="67"/>
  <c r="AM115" i="67"/>
  <c r="AM1331" i="67" s="1"/>
  <c r="AM725" i="67"/>
  <c r="AO1183" i="67"/>
  <c r="AO1032" i="67"/>
  <c r="AO426" i="67"/>
  <c r="AO881" i="67"/>
  <c r="AO578" i="67"/>
  <c r="AO120" i="67"/>
  <c r="AO273" i="67"/>
  <c r="AO730" i="67"/>
  <c r="AO1336" i="67"/>
  <c r="AM1033" i="67"/>
  <c r="AM1184" i="67"/>
  <c r="AM427" i="67"/>
  <c r="AM882" i="67"/>
  <c r="AM731" i="67"/>
  <c r="AM579" i="67"/>
  <c r="AM121" i="67"/>
  <c r="AM274" i="67"/>
  <c r="AM1337" i="67" s="1"/>
  <c r="W1182" i="67"/>
  <c r="W1031" i="67"/>
  <c r="W425" i="67"/>
  <c r="W577" i="67"/>
  <c r="W880" i="67"/>
  <c r="W119" i="67"/>
  <c r="W272" i="67"/>
  <c r="W1335" i="67" s="1"/>
  <c r="W729" i="67"/>
  <c r="AS1002" i="67"/>
  <c r="AS1153" i="67"/>
  <c r="AS396" i="67"/>
  <c r="AS851" i="67"/>
  <c r="AS548" i="67"/>
  <c r="AS700" i="67"/>
  <c r="AS90" i="67"/>
  <c r="AS1306" i="67" s="1"/>
  <c r="AS243" i="67"/>
  <c r="AA1027" i="67"/>
  <c r="AA1178" i="67"/>
  <c r="AA421" i="67"/>
  <c r="AA573" i="67"/>
  <c r="AA876" i="67"/>
  <c r="AA115" i="67"/>
  <c r="AA268" i="67"/>
  <c r="AA725" i="67"/>
  <c r="AA1331" i="67"/>
  <c r="AI1032" i="67"/>
  <c r="AI1183" i="67"/>
  <c r="AI426" i="67"/>
  <c r="AI578" i="67"/>
  <c r="AI1336" i="67" s="1"/>
  <c r="AI881" i="67"/>
  <c r="AI120" i="67"/>
  <c r="AI273" i="67"/>
  <c r="AI730" i="67"/>
  <c r="AJ1163" i="67"/>
  <c r="AJ1012" i="67"/>
  <c r="AJ406" i="67"/>
  <c r="AJ1316" i="67" s="1"/>
  <c r="AJ861" i="67"/>
  <c r="AJ100" i="67"/>
  <c r="AJ253" i="67"/>
  <c r="AJ558" i="67"/>
  <c r="AJ710" i="67"/>
  <c r="AE1025" i="67"/>
  <c r="AE1176" i="67"/>
  <c r="AE419" i="67"/>
  <c r="AE571" i="67"/>
  <c r="AE874" i="67"/>
  <c r="AE266" i="67"/>
  <c r="AE113" i="67"/>
  <c r="AE1329" i="67" s="1"/>
  <c r="AE723" i="67"/>
  <c r="Z1184" i="67"/>
  <c r="Z1033" i="67"/>
  <c r="Z427" i="67"/>
  <c r="Z882" i="67"/>
  <c r="Z731" i="67"/>
  <c r="Z579" i="67"/>
  <c r="Z121" i="67"/>
  <c r="Z274" i="67"/>
  <c r="Z1337" i="67"/>
  <c r="AE1178" i="67"/>
  <c r="AE1027" i="67"/>
  <c r="AE421" i="67"/>
  <c r="AE573" i="67"/>
  <c r="AE876" i="67"/>
  <c r="AE725" i="67"/>
  <c r="AE115" i="67"/>
  <c r="AE268" i="67"/>
  <c r="AE1331" i="67" s="1"/>
  <c r="AK1032" i="67"/>
  <c r="AK1183" i="67"/>
  <c r="AK426" i="67"/>
  <c r="AK578" i="67"/>
  <c r="AK881" i="67"/>
  <c r="AK120" i="67"/>
  <c r="AK273" i="67"/>
  <c r="AK730" i="67"/>
  <c r="AU1025" i="67"/>
  <c r="AU1176" i="67"/>
  <c r="AU419" i="67"/>
  <c r="AU571" i="67"/>
  <c r="AU874" i="67"/>
  <c r="AU113" i="67"/>
  <c r="AU266" i="67"/>
  <c r="AU1329" i="67" s="1"/>
  <c r="AU723" i="67"/>
  <c r="P1175" i="67"/>
  <c r="P1024" i="67"/>
  <c r="P418" i="67"/>
  <c r="P570" i="67"/>
  <c r="P873" i="67"/>
  <c r="P722" i="67"/>
  <c r="P112" i="67"/>
  <c r="P1328" i="67" s="1"/>
  <c r="P265" i="67"/>
  <c r="AF1022" i="67"/>
  <c r="AF1173" i="67"/>
  <c r="AF416" i="67"/>
  <c r="AF871" i="67"/>
  <c r="AF568" i="67"/>
  <c r="AF110" i="67"/>
  <c r="AF263" i="67"/>
  <c r="AF720" i="67"/>
  <c r="Z1023" i="67"/>
  <c r="Z1174" i="67"/>
  <c r="Z417" i="67"/>
  <c r="Z569" i="67"/>
  <c r="Z872" i="67"/>
  <c r="Z111" i="67"/>
  <c r="Z264" i="67"/>
  <c r="Z721" i="67"/>
  <c r="Z1024" i="67"/>
  <c r="Z1175" i="67"/>
  <c r="Z418" i="67"/>
  <c r="Z570" i="67"/>
  <c r="Z873" i="67"/>
  <c r="Z112" i="67"/>
  <c r="Z265" i="67"/>
  <c r="Z722" i="67"/>
  <c r="Z1328" i="67"/>
  <c r="T1025" i="67"/>
  <c r="T1176" i="67"/>
  <c r="T419" i="67"/>
  <c r="T874" i="67"/>
  <c r="T571" i="67"/>
  <c r="T113" i="67"/>
  <c r="T266" i="67"/>
  <c r="T723" i="67"/>
  <c r="T1329" i="67" s="1"/>
  <c r="N1026" i="67"/>
  <c r="N1177" i="67"/>
  <c r="N420" i="67"/>
  <c r="N572" i="67"/>
  <c r="N875" i="67"/>
  <c r="N114" i="67"/>
  <c r="N267" i="67"/>
  <c r="N1330" i="67" s="1"/>
  <c r="N724" i="67"/>
  <c r="AT1026" i="67"/>
  <c r="AT1177" i="67"/>
  <c r="AT420" i="67"/>
  <c r="AT572" i="67"/>
  <c r="AT875" i="67"/>
  <c r="AT114" i="67"/>
  <c r="AT1330" i="67" s="1"/>
  <c r="AT267" i="67"/>
  <c r="AT724" i="67"/>
  <c r="AN1027" i="67"/>
  <c r="AN1178" i="67"/>
  <c r="AN421" i="67"/>
  <c r="AN876" i="67"/>
  <c r="AN573" i="67"/>
  <c r="AN115" i="67"/>
  <c r="AN268" i="67"/>
  <c r="AN725" i="67"/>
  <c r="AN1331" i="67"/>
  <c r="AH1030" i="67"/>
  <c r="AH1181" i="67"/>
  <c r="AH424" i="67"/>
  <c r="AH879" i="67"/>
  <c r="AH576" i="67"/>
  <c r="AH118" i="67"/>
  <c r="AH271" i="67"/>
  <c r="AH728" i="67"/>
  <c r="AH1334" i="67" s="1"/>
  <c r="AB1182" i="67"/>
  <c r="AB1031" i="67"/>
  <c r="AB425" i="67"/>
  <c r="AB880" i="67"/>
  <c r="AB577" i="67"/>
  <c r="AB119" i="67"/>
  <c r="AB272" i="67"/>
  <c r="AB1335" i="67" s="1"/>
  <c r="AB729" i="67"/>
  <c r="V1183" i="67"/>
  <c r="V1032" i="67"/>
  <c r="V426" i="67"/>
  <c r="V881" i="67"/>
  <c r="V578" i="67"/>
  <c r="V120" i="67"/>
  <c r="V1336" i="67" s="1"/>
  <c r="V273" i="67"/>
  <c r="V730" i="67"/>
  <c r="M1173" i="67"/>
  <c r="M1022" i="67"/>
  <c r="M416" i="67"/>
  <c r="M568" i="67"/>
  <c r="M871" i="67"/>
  <c r="M110" i="67"/>
  <c r="M1326" i="67" s="1"/>
  <c r="M263" i="67"/>
  <c r="M720" i="67"/>
  <c r="AS1173" i="67"/>
  <c r="AS1022" i="67"/>
  <c r="AS416" i="67"/>
  <c r="AS568" i="67"/>
  <c r="AS871" i="67"/>
  <c r="AS110" i="67"/>
  <c r="AS1326" i="67" s="1"/>
  <c r="AS263" i="67"/>
  <c r="AS720" i="67"/>
  <c r="AM1174" i="67"/>
  <c r="AM1023" i="67"/>
  <c r="AM417" i="67"/>
  <c r="AM872" i="67"/>
  <c r="AM569" i="67"/>
  <c r="AM111" i="67"/>
  <c r="AM1327" i="67" s="1"/>
  <c r="AM264" i="67"/>
  <c r="AM721" i="67"/>
  <c r="AM1003" i="67"/>
  <c r="AM1154" i="67"/>
  <c r="AM397" i="67"/>
  <c r="AM852" i="67"/>
  <c r="AM549" i="67"/>
  <c r="AM701" i="67"/>
  <c r="AM91" i="67"/>
  <c r="AM244" i="67"/>
  <c r="AG1004" i="67"/>
  <c r="AG1155" i="67"/>
  <c r="AG398" i="67"/>
  <c r="AG853" i="67"/>
  <c r="AG550" i="67"/>
  <c r="AG702" i="67"/>
  <c r="AG92" i="67"/>
  <c r="AG245" i="67"/>
  <c r="AA1005" i="67"/>
  <c r="AA1156" i="67"/>
  <c r="AA399" i="67"/>
  <c r="AA854" i="67"/>
  <c r="AA93" i="67"/>
  <c r="AA246" i="67"/>
  <c r="AA551" i="67"/>
  <c r="AA703" i="67"/>
  <c r="AA1309" i="67"/>
  <c r="U1006" i="67"/>
  <c r="U1157" i="67"/>
  <c r="U400" i="67"/>
  <c r="U855" i="67"/>
  <c r="U552" i="67"/>
  <c r="U704" i="67"/>
  <c r="U94" i="67"/>
  <c r="U247" i="67"/>
  <c r="U1310" i="67" s="1"/>
  <c r="O1030" i="67"/>
  <c r="O1181" i="67"/>
  <c r="O424" i="67"/>
  <c r="O576" i="67"/>
  <c r="O879" i="67"/>
  <c r="O118" i="67"/>
  <c r="O271" i="67"/>
  <c r="O1334" i="67" s="1"/>
  <c r="O728" i="67"/>
  <c r="AU1030" i="67"/>
  <c r="AU1181" i="67"/>
  <c r="AU424" i="67"/>
  <c r="AU576" i="67"/>
  <c r="AU879" i="67"/>
  <c r="AU118" i="67"/>
  <c r="AU1334" i="67" s="1"/>
  <c r="AU271" i="67"/>
  <c r="AU728" i="67"/>
  <c r="AO1031" i="67"/>
  <c r="AO1182" i="67"/>
  <c r="AO425" i="67"/>
  <c r="AO880" i="67"/>
  <c r="AO577" i="67"/>
  <c r="AO272" i="67"/>
  <c r="AO729" i="67"/>
  <c r="AO119" i="67"/>
  <c r="R1022" i="67"/>
  <c r="R1173" i="67"/>
  <c r="R416" i="67"/>
  <c r="R871" i="67"/>
  <c r="R568" i="67"/>
  <c r="R263" i="67"/>
  <c r="R720" i="67"/>
  <c r="R110" i="67"/>
  <c r="L1023" i="67"/>
  <c r="L1174" i="67"/>
  <c r="L417" i="67"/>
  <c r="L569" i="67"/>
  <c r="L872" i="67"/>
  <c r="L111" i="67"/>
  <c r="L264" i="67"/>
  <c r="L721" i="67"/>
  <c r="L1327" i="67"/>
  <c r="AR1023" i="67"/>
  <c r="AR1174" i="67"/>
  <c r="AR417" i="67"/>
  <c r="AR569" i="67"/>
  <c r="AR1327" i="67" s="1"/>
  <c r="AR872" i="67"/>
  <c r="AR111" i="67"/>
  <c r="AR264" i="67"/>
  <c r="AR721" i="67"/>
  <c r="AR1024" i="67"/>
  <c r="AR1175" i="67"/>
  <c r="AR418" i="67"/>
  <c r="AR873" i="67"/>
  <c r="AR570" i="67"/>
  <c r="AR112" i="67"/>
  <c r="AR265" i="67"/>
  <c r="AR1328" i="67" s="1"/>
  <c r="AR722" i="67"/>
  <c r="AL1025" i="67"/>
  <c r="AL1176" i="67"/>
  <c r="AL419" i="67"/>
  <c r="AL571" i="67"/>
  <c r="AL874" i="67"/>
  <c r="AL113" i="67"/>
  <c r="AL1329" i="67" s="1"/>
  <c r="AL266" i="67"/>
  <c r="AL723" i="67"/>
  <c r="AF1026" i="67"/>
  <c r="AF1177" i="67"/>
  <c r="AF420" i="67"/>
  <c r="AF875" i="67"/>
  <c r="AF572" i="67"/>
  <c r="AF114" i="67"/>
  <c r="AF267" i="67"/>
  <c r="AF724" i="67"/>
  <c r="AF1330" i="67"/>
  <c r="Z1027" i="67"/>
  <c r="Z1178" i="67"/>
  <c r="Z421" i="67"/>
  <c r="Z876" i="67"/>
  <c r="Z573" i="67"/>
  <c r="Z115" i="67"/>
  <c r="Z268" i="67"/>
  <c r="Z725" i="67"/>
  <c r="Z1331" i="67" s="1"/>
  <c r="T1181" i="67"/>
  <c r="T1030" i="67"/>
  <c r="T424" i="67"/>
  <c r="T576" i="67"/>
  <c r="T879" i="67"/>
  <c r="T118" i="67"/>
  <c r="T271" i="67"/>
  <c r="T1334" i="67" s="1"/>
  <c r="T728" i="67"/>
  <c r="N1182" i="67"/>
  <c r="N1031" i="67"/>
  <c r="N425" i="67"/>
  <c r="N880" i="67"/>
  <c r="N577" i="67"/>
  <c r="N119" i="67"/>
  <c r="N1335" i="67" s="1"/>
  <c r="N272" i="67"/>
  <c r="N729" i="67"/>
  <c r="AT1182" i="67"/>
  <c r="AT1031" i="67"/>
  <c r="AT425" i="67"/>
  <c r="AT880" i="67"/>
  <c r="AT577" i="67"/>
  <c r="AT119" i="67"/>
  <c r="AT272" i="67"/>
  <c r="AT729" i="67"/>
  <c r="AT1335" i="67"/>
  <c r="AN1183" i="67"/>
  <c r="AN1032" i="67"/>
  <c r="AN426" i="67"/>
  <c r="AN578" i="67"/>
  <c r="AN881" i="67"/>
  <c r="AN730" i="67"/>
  <c r="AN120" i="67"/>
  <c r="AN273" i="67"/>
  <c r="AN1336" i="67" s="1"/>
  <c r="AO1175" i="67"/>
  <c r="AO1024" i="67"/>
  <c r="AO418" i="67"/>
  <c r="AO570" i="67"/>
  <c r="AO873" i="67"/>
  <c r="AO112" i="67"/>
  <c r="AO265" i="67"/>
  <c r="AO722" i="67"/>
  <c r="Q1030" i="67"/>
  <c r="Q1181" i="67"/>
  <c r="Q424" i="67"/>
  <c r="Q879" i="67"/>
  <c r="Q576" i="67"/>
  <c r="Q118" i="67"/>
  <c r="Q271" i="67"/>
  <c r="Q728" i="67"/>
  <c r="AV1183" i="67"/>
  <c r="AV1032" i="67"/>
  <c r="AV426" i="67"/>
  <c r="AV578" i="67"/>
  <c r="AV881" i="67"/>
  <c r="AV273" i="67"/>
  <c r="AV120" i="67"/>
  <c r="AV1336" i="67" s="1"/>
  <c r="AV730" i="67"/>
  <c r="AQ1184" i="67"/>
  <c r="AQ1033" i="67"/>
  <c r="AQ427" i="67"/>
  <c r="AQ882" i="67"/>
  <c r="AQ579" i="67"/>
  <c r="AQ731" i="67"/>
  <c r="AQ121" i="67"/>
  <c r="AQ1337" i="67" s="1"/>
  <c r="AQ274" i="67"/>
  <c r="R1184" i="67"/>
  <c r="R1033" i="67"/>
  <c r="R427" i="67"/>
  <c r="R882" i="67"/>
  <c r="R731" i="67"/>
  <c r="R579" i="67"/>
  <c r="R121" i="67"/>
  <c r="R274" i="67"/>
  <c r="AC1024" i="67"/>
  <c r="AC1175" i="67"/>
  <c r="AC418" i="67"/>
  <c r="AC570" i="67"/>
  <c r="AC873" i="67"/>
  <c r="AC112" i="67"/>
  <c r="AC265" i="67"/>
  <c r="AC722" i="67"/>
  <c r="AC1328" i="67"/>
  <c r="AQ1027" i="67"/>
  <c r="AQ1178" i="67"/>
  <c r="AQ421" i="67"/>
  <c r="AQ573" i="67"/>
  <c r="AQ876" i="67"/>
  <c r="AQ115" i="67"/>
  <c r="AQ1331" i="67" s="1"/>
  <c r="AQ268" i="67"/>
  <c r="AQ725" i="67"/>
  <c r="AQ1032" i="67"/>
  <c r="AQ1183" i="67"/>
  <c r="AQ426" i="67"/>
  <c r="AQ881" i="67"/>
  <c r="AQ578" i="67"/>
  <c r="AQ120" i="67"/>
  <c r="AQ273" i="67"/>
  <c r="AQ1336" i="67" s="1"/>
  <c r="AQ730" i="67"/>
  <c r="AN1184" i="67"/>
  <c r="AN1033" i="67"/>
  <c r="AN427" i="67"/>
  <c r="AN882" i="67"/>
  <c r="AN579" i="67"/>
  <c r="AN121" i="67"/>
  <c r="AN1337" i="67" s="1"/>
  <c r="AN731" i="67"/>
  <c r="AN274" i="67"/>
  <c r="Y1026" i="67"/>
  <c r="Y1177" i="67"/>
  <c r="Y420" i="67"/>
  <c r="Y875" i="67"/>
  <c r="Y572" i="67"/>
  <c r="Y114" i="67"/>
  <c r="Y1330" i="67" s="1"/>
  <c r="Y267" i="67"/>
  <c r="Y724" i="67"/>
  <c r="AH1184" i="67"/>
  <c r="AH1033" i="67"/>
  <c r="AH427" i="67"/>
  <c r="AH882" i="67"/>
  <c r="AH579" i="67"/>
  <c r="AH731" i="67"/>
  <c r="AH121" i="67"/>
  <c r="AH274" i="67"/>
  <c r="AG1175" i="67"/>
  <c r="AG1024" i="67"/>
  <c r="AG418" i="67"/>
  <c r="AG570" i="67"/>
  <c r="AG873" i="67"/>
  <c r="AG112" i="67"/>
  <c r="AG1328" i="67" s="1"/>
  <c r="AG265" i="67"/>
  <c r="AG722" i="67"/>
  <c r="AU1178" i="67"/>
  <c r="AU1027" i="67"/>
  <c r="AU421" i="67"/>
  <c r="AU876" i="67"/>
  <c r="AU573" i="67"/>
  <c r="AU115" i="67"/>
  <c r="AU268" i="67"/>
  <c r="AU725" i="67"/>
  <c r="AU1331" i="67"/>
  <c r="AS1032" i="67"/>
  <c r="AS1183" i="67"/>
  <c r="AS426" i="67"/>
  <c r="AS578" i="67"/>
  <c r="AS1336" i="67" s="1"/>
  <c r="AS881" i="67"/>
  <c r="AS120" i="67"/>
  <c r="AS273" i="67"/>
  <c r="AS730" i="67"/>
  <c r="AO1033" i="67"/>
  <c r="AO1184" i="67"/>
  <c r="AO427" i="67"/>
  <c r="AO731" i="67"/>
  <c r="AO882" i="67"/>
  <c r="AO579" i="67"/>
  <c r="AO274" i="67"/>
  <c r="AO121" i="67"/>
  <c r="AO1026" i="67"/>
  <c r="AO1177" i="67"/>
  <c r="AO420" i="67"/>
  <c r="AO572" i="67"/>
  <c r="AO875" i="67"/>
  <c r="AO114" i="67"/>
  <c r="AO267" i="67"/>
  <c r="AO724" i="67"/>
  <c r="AP1184" i="67"/>
  <c r="AP1033" i="67"/>
  <c r="AP427" i="67"/>
  <c r="AP882" i="67"/>
  <c r="AP731" i="67"/>
  <c r="AP579" i="67"/>
  <c r="AP121" i="67"/>
  <c r="AP1337" i="67" s="1"/>
  <c r="AP274" i="67"/>
  <c r="Q1175" i="67"/>
  <c r="Q1024" i="67"/>
  <c r="Q418" i="67"/>
  <c r="Q873" i="67"/>
  <c r="Q570" i="67"/>
  <c r="Q112" i="67"/>
  <c r="Q1328" i="67" s="1"/>
  <c r="Q265" i="67"/>
  <c r="Q722" i="67"/>
  <c r="AJ1173" i="67"/>
  <c r="AJ1022" i="67"/>
  <c r="AJ416" i="67"/>
  <c r="AJ568" i="67"/>
  <c r="AJ871" i="67"/>
  <c r="AJ110" i="67"/>
  <c r="AJ263" i="67"/>
  <c r="AJ720" i="67"/>
  <c r="AD1174" i="67"/>
  <c r="AD1023" i="67"/>
  <c r="AD417" i="67"/>
  <c r="AD872" i="67"/>
  <c r="AD569" i="67"/>
  <c r="AD111" i="67"/>
  <c r="AD264" i="67"/>
  <c r="AD721" i="67"/>
  <c r="AD1327" i="67"/>
  <c r="AD1024" i="67"/>
  <c r="AD1175" i="67"/>
  <c r="AD418" i="67"/>
  <c r="AD873" i="67"/>
  <c r="AD570" i="67"/>
  <c r="AD112" i="67"/>
  <c r="AD265" i="67"/>
  <c r="AD722" i="67"/>
  <c r="AD1328" i="67" s="1"/>
  <c r="X1025" i="67"/>
  <c r="X1176" i="67"/>
  <c r="X419" i="67"/>
  <c r="X874" i="67"/>
  <c r="X571" i="67"/>
  <c r="X266" i="67"/>
  <c r="X113" i="67"/>
  <c r="X1329" i="67" s="1"/>
  <c r="X723" i="67"/>
  <c r="R1026" i="67"/>
  <c r="R1177" i="67"/>
  <c r="R420" i="67"/>
  <c r="R875" i="67"/>
  <c r="R572" i="67"/>
  <c r="R114" i="67"/>
  <c r="R1330" i="67" s="1"/>
  <c r="R267" i="67"/>
  <c r="R724" i="67"/>
  <c r="L1027" i="67"/>
  <c r="L1178" i="67"/>
  <c r="L421" i="67"/>
  <c r="L876" i="67"/>
  <c r="L573" i="67"/>
  <c r="L115" i="67"/>
  <c r="L268" i="67"/>
  <c r="L725" i="67"/>
  <c r="AR1027" i="67"/>
  <c r="AR1178" i="67"/>
  <c r="AR421" i="67"/>
  <c r="AR876" i="67"/>
  <c r="AR573" i="67"/>
  <c r="AR115" i="67"/>
  <c r="AR268" i="67"/>
  <c r="AR725" i="67"/>
  <c r="AR1331" i="67"/>
  <c r="AL1030" i="67"/>
  <c r="AL1181" i="67"/>
  <c r="AL424" i="67"/>
  <c r="AL879" i="67"/>
  <c r="AL576" i="67"/>
  <c r="AL118" i="67"/>
  <c r="AL271" i="67"/>
  <c r="AL728" i="67"/>
  <c r="AL1334" i="67" s="1"/>
  <c r="AF1031" i="67"/>
  <c r="AF1182" i="67"/>
  <c r="AF425" i="67"/>
  <c r="AF880" i="67"/>
  <c r="AF577" i="67"/>
  <c r="AF119" i="67"/>
  <c r="AF272" i="67"/>
  <c r="AF1335" i="67" s="1"/>
  <c r="AF729" i="67"/>
  <c r="Z1032" i="67"/>
  <c r="Z1183" i="67"/>
  <c r="Z426" i="67"/>
  <c r="Z881" i="67"/>
  <c r="Z578" i="67"/>
  <c r="Z120" i="67"/>
  <c r="Z1336" i="67" s="1"/>
  <c r="Z273" i="67"/>
  <c r="Z730" i="67"/>
  <c r="Q1022" i="67"/>
  <c r="Q1173" i="67"/>
  <c r="Q416" i="67"/>
  <c r="Q568" i="67"/>
  <c r="Q871" i="67"/>
  <c r="Q110" i="67"/>
  <c r="Q263" i="67"/>
  <c r="Q720" i="67"/>
  <c r="AW1022" i="67"/>
  <c r="AW1173" i="67"/>
  <c r="AW416" i="67"/>
  <c r="AW568" i="67"/>
  <c r="AW871" i="67"/>
  <c r="AW110" i="67"/>
  <c r="AW263" i="67"/>
  <c r="AW720" i="67"/>
  <c r="AW1326" i="67"/>
  <c r="AQ1023" i="67"/>
  <c r="AQ1174" i="67"/>
  <c r="AQ417" i="67"/>
  <c r="AQ569" i="67"/>
  <c r="AQ872" i="67"/>
  <c r="AQ111" i="67"/>
  <c r="AQ264" i="67"/>
  <c r="AQ721" i="67"/>
  <c r="AQ1154" i="67"/>
  <c r="AQ1003" i="67"/>
  <c r="AQ397" i="67"/>
  <c r="AQ852" i="67"/>
  <c r="AQ549" i="67"/>
  <c r="AQ701" i="67"/>
  <c r="AQ244" i="67"/>
  <c r="AQ91" i="67"/>
  <c r="AQ1307" i="67" s="1"/>
  <c r="AK1155" i="67"/>
  <c r="AK1004" i="67"/>
  <c r="AK398" i="67"/>
  <c r="AK853" i="67"/>
  <c r="AK92" i="67"/>
  <c r="AK245" i="67"/>
  <c r="AK550" i="67"/>
  <c r="AK702" i="67"/>
  <c r="AK1308" i="67" s="1"/>
  <c r="AE1156" i="67"/>
  <c r="AE1005" i="67"/>
  <c r="AE399" i="67"/>
  <c r="AE551" i="67"/>
  <c r="AE703" i="67"/>
  <c r="AE854" i="67"/>
  <c r="AE93" i="67"/>
  <c r="AE1309" i="67" s="1"/>
  <c r="AE246" i="67"/>
  <c r="Y1157" i="67"/>
  <c r="Y1006" i="67"/>
  <c r="Y400" i="67"/>
  <c r="Y855" i="67"/>
  <c r="Y704" i="67"/>
  <c r="Y552" i="67"/>
  <c r="Y94" i="67"/>
  <c r="Y247" i="67"/>
  <c r="S1030" i="67"/>
  <c r="S1181" i="67"/>
  <c r="S424" i="67"/>
  <c r="S879" i="67"/>
  <c r="S576" i="67"/>
  <c r="S118" i="67"/>
  <c r="S1334" i="67" s="1"/>
  <c r="S271" i="67"/>
  <c r="S728" i="67"/>
  <c r="M1031" i="67"/>
  <c r="M1182" i="67"/>
  <c r="M425" i="67"/>
  <c r="M577" i="67"/>
  <c r="M880" i="67"/>
  <c r="M119" i="67"/>
  <c r="M272" i="67"/>
  <c r="M729" i="67"/>
  <c r="M1335" i="67"/>
  <c r="AS1031" i="67"/>
  <c r="AS1182" i="67"/>
  <c r="AS425" i="67"/>
  <c r="AS577" i="67"/>
  <c r="AS1335" i="67" s="1"/>
  <c r="AS880" i="67"/>
  <c r="AS119" i="67"/>
  <c r="AS272" i="67"/>
  <c r="AS729" i="67"/>
  <c r="V1022" i="67"/>
  <c r="V1173" i="67"/>
  <c r="V416" i="67"/>
  <c r="V871" i="67"/>
  <c r="V568" i="67"/>
  <c r="V110" i="67"/>
  <c r="V263" i="67"/>
  <c r="V1326" i="67" s="1"/>
  <c r="V720" i="67"/>
  <c r="P1023" i="67"/>
  <c r="P1174" i="67"/>
  <c r="P417" i="67"/>
  <c r="P872" i="67"/>
  <c r="P569" i="67"/>
  <c r="P111" i="67"/>
  <c r="P1327" i="67" s="1"/>
  <c r="P264" i="67"/>
  <c r="P721" i="67"/>
  <c r="AV1023" i="67"/>
  <c r="AV1174" i="67"/>
  <c r="AV417" i="67"/>
  <c r="AV569" i="67"/>
  <c r="AV872" i="67"/>
  <c r="AV111" i="67"/>
  <c r="AV1327" i="67" s="1"/>
  <c r="AV264" i="67"/>
  <c r="AV721" i="67"/>
  <c r="AV1175" i="67"/>
  <c r="AV1024" i="67"/>
  <c r="AV418" i="67"/>
  <c r="AV570" i="67"/>
  <c r="AV873" i="67"/>
  <c r="AV722" i="67"/>
  <c r="AV112" i="67"/>
  <c r="AV1328" i="67" s="1"/>
  <c r="AV265" i="67"/>
  <c r="AP1176" i="67"/>
  <c r="AP1025" i="67"/>
  <c r="AP419" i="67"/>
  <c r="AP571" i="67"/>
  <c r="AP874" i="67"/>
  <c r="AP113" i="67"/>
  <c r="AP266" i="67"/>
  <c r="AP723" i="67"/>
  <c r="AP1329" i="67"/>
  <c r="AJ1177" i="67"/>
  <c r="AJ1026" i="67"/>
  <c r="AJ420" i="67"/>
  <c r="AJ572" i="67"/>
  <c r="AJ1330" i="67" s="1"/>
  <c r="AJ875" i="67"/>
  <c r="AJ114" i="67"/>
  <c r="AJ267" i="67"/>
  <c r="AJ724" i="67"/>
  <c r="AD1178" i="67"/>
  <c r="AD1027" i="67"/>
  <c r="AD421" i="67"/>
  <c r="AD573" i="67"/>
  <c r="AD876" i="67"/>
  <c r="AD115" i="67"/>
  <c r="AD268" i="67"/>
  <c r="AD725" i="67"/>
  <c r="X1030" i="67"/>
  <c r="X1181" i="67"/>
  <c r="X424" i="67"/>
  <c r="X576" i="67"/>
  <c r="X879" i="67"/>
  <c r="X728" i="67"/>
  <c r="X118" i="67"/>
  <c r="X1334" i="67" s="1"/>
  <c r="X271" i="67"/>
  <c r="R1031" i="67"/>
  <c r="R1182" i="67"/>
  <c r="R425" i="67"/>
  <c r="R880" i="67"/>
  <c r="R577" i="67"/>
  <c r="R119" i="67"/>
  <c r="R1335" i="67" s="1"/>
  <c r="R272" i="67"/>
  <c r="R729" i="67"/>
  <c r="L1032" i="67"/>
  <c r="L1183" i="67"/>
  <c r="L426" i="67"/>
  <c r="L881" i="67"/>
  <c r="L578" i="67"/>
  <c r="L120" i="67"/>
  <c r="L273" i="67"/>
  <c r="L730" i="67"/>
  <c r="L1336" i="67"/>
  <c r="AR1032" i="67"/>
  <c r="AR1183" i="67"/>
  <c r="AR426" i="67"/>
  <c r="AR881" i="67"/>
  <c r="AR578" i="67"/>
  <c r="AR120" i="67"/>
  <c r="AR273" i="67"/>
  <c r="AR730" i="67"/>
  <c r="S1176" i="67"/>
  <c r="S1025" i="67"/>
  <c r="S419" i="67"/>
  <c r="S571" i="67"/>
  <c r="S874" i="67"/>
  <c r="S113" i="67"/>
  <c r="S266" i="67"/>
  <c r="S723" i="67"/>
  <c r="AG1030" i="67"/>
  <c r="AG1181" i="67"/>
  <c r="AG424" i="67"/>
  <c r="AG576" i="67"/>
  <c r="AG879" i="67"/>
  <c r="AG118" i="67"/>
  <c r="AG1334" i="67" s="1"/>
  <c r="AG271" i="67"/>
  <c r="AG728" i="67"/>
  <c r="O1033" i="67"/>
  <c r="O1184" i="67"/>
  <c r="O427" i="67"/>
  <c r="O882" i="67"/>
  <c r="O579" i="67"/>
  <c r="O731" i="67"/>
  <c r="O121" i="67"/>
  <c r="O1337" i="67" s="1"/>
  <c r="O274" i="67"/>
  <c r="AU1033" i="67"/>
  <c r="AU1184" i="67"/>
  <c r="AU427" i="67"/>
  <c r="AU882" i="67"/>
  <c r="AU579" i="67"/>
  <c r="AU731" i="67"/>
  <c r="AU121" i="67"/>
  <c r="AU1337" i="67" s="1"/>
  <c r="AU274" i="67"/>
  <c r="AL1033" i="67"/>
  <c r="AL1184" i="67"/>
  <c r="AL427" i="67"/>
  <c r="AL1337" i="67" s="1"/>
  <c r="AL882" i="67"/>
  <c r="AL579" i="67"/>
  <c r="AL121" i="67"/>
  <c r="AL731" i="67"/>
  <c r="AL274" i="67"/>
  <c r="AS1024" i="67"/>
  <c r="AS1175" i="67"/>
  <c r="AS418" i="67"/>
  <c r="AS570" i="67"/>
  <c r="AS873" i="67"/>
  <c r="AS112" i="67"/>
  <c r="AS1328" i="67" s="1"/>
  <c r="AS265" i="67"/>
  <c r="AS722" i="67"/>
  <c r="U1181" i="67"/>
  <c r="U1030" i="67"/>
  <c r="U424" i="67"/>
  <c r="U879" i="67"/>
  <c r="U576" i="67"/>
  <c r="U118" i="67"/>
  <c r="U271" i="67"/>
  <c r="U728" i="67"/>
  <c r="U1334" i="67"/>
  <c r="AW1183" i="67"/>
  <c r="AW1032" i="67"/>
  <c r="AW426" i="67"/>
  <c r="AW578" i="67"/>
  <c r="AW881" i="67"/>
  <c r="AW120" i="67"/>
  <c r="AW273" i="67"/>
  <c r="AW730" i="67"/>
  <c r="AV1012" i="67"/>
  <c r="AV1163" i="67"/>
  <c r="AV406" i="67"/>
  <c r="AV558" i="67"/>
  <c r="AV710" i="67"/>
  <c r="AV861" i="67"/>
  <c r="AV253" i="67"/>
  <c r="AV100" i="67"/>
  <c r="S1027" i="67"/>
  <c r="S1178" i="67"/>
  <c r="S421" i="67"/>
  <c r="S876" i="67"/>
  <c r="S573" i="67"/>
  <c r="S115" i="67"/>
  <c r="S268" i="67"/>
  <c r="S725" i="67"/>
  <c r="AT1184" i="67"/>
  <c r="AT1033" i="67"/>
  <c r="AT427" i="67"/>
  <c r="AT882" i="67"/>
  <c r="AT579" i="67"/>
  <c r="AT121" i="67"/>
  <c r="AT731" i="67"/>
  <c r="AT274" i="67"/>
  <c r="AW1175" i="67"/>
  <c r="AW1024" i="67"/>
  <c r="AW418" i="67"/>
  <c r="AW570" i="67"/>
  <c r="AW873" i="67"/>
  <c r="AW112" i="67"/>
  <c r="AW265" i="67"/>
  <c r="AW722" i="67"/>
  <c r="Y1030" i="67"/>
  <c r="Y1181" i="67"/>
  <c r="Y424" i="67"/>
  <c r="Y576" i="67"/>
  <c r="Y879" i="67"/>
  <c r="Y118" i="67"/>
  <c r="Y1334" i="67" s="1"/>
  <c r="Y271" i="67"/>
  <c r="Y728" i="67"/>
  <c r="M1033" i="67"/>
  <c r="M1184" i="67"/>
  <c r="M427" i="67"/>
  <c r="M882" i="67"/>
  <c r="M121" i="67"/>
  <c r="M274" i="67"/>
  <c r="M579" i="67"/>
  <c r="M731" i="67"/>
  <c r="M1337" i="67"/>
  <c r="AS1033" i="67"/>
  <c r="AS1184" i="67"/>
  <c r="AS427" i="67"/>
  <c r="AS882" i="67"/>
  <c r="AS121" i="67"/>
  <c r="AS274" i="67"/>
  <c r="AS579" i="67"/>
  <c r="AS731" i="67"/>
  <c r="AS1337" i="67" s="1"/>
  <c r="AI1027" i="67"/>
  <c r="AI1178" i="67"/>
  <c r="AI421" i="67"/>
  <c r="AI876" i="67"/>
  <c r="AI573" i="67"/>
  <c r="AI115" i="67"/>
  <c r="AI268" i="67"/>
  <c r="AI725" i="67"/>
  <c r="K1027" i="67"/>
  <c r="K1178" i="67"/>
  <c r="K725" i="67"/>
  <c r="K573" i="67"/>
  <c r="K115" i="67"/>
  <c r="K421" i="67"/>
  <c r="K876" i="67"/>
  <c r="K268" i="67"/>
  <c r="K1331" i="67" s="1"/>
  <c r="K1181" i="67"/>
  <c r="K1030" i="67"/>
  <c r="K271" i="67"/>
  <c r="K576" i="67"/>
  <c r="K879" i="67"/>
  <c r="K728" i="67"/>
  <c r="K424" i="67"/>
  <c r="K118" i="67"/>
  <c r="K1334" i="67" s="1"/>
  <c r="AH1024" i="67"/>
  <c r="AH1175" i="67"/>
  <c r="AH418" i="67"/>
  <c r="AH873" i="67"/>
  <c r="AH570" i="67"/>
  <c r="AH112" i="67"/>
  <c r="AH265" i="67"/>
  <c r="AH722" i="67"/>
  <c r="X1022" i="67"/>
  <c r="X1173" i="67"/>
  <c r="X416" i="67"/>
  <c r="X568" i="67"/>
  <c r="X871" i="67"/>
  <c r="X110" i="67"/>
  <c r="X263" i="67"/>
  <c r="X720" i="67"/>
  <c r="R1024" i="67"/>
  <c r="R1175" i="67"/>
  <c r="R418" i="67"/>
  <c r="R873" i="67"/>
  <c r="R570" i="67"/>
  <c r="R112" i="67"/>
  <c r="R265" i="67"/>
  <c r="R722" i="67"/>
  <c r="R1328" i="67"/>
  <c r="AR1025" i="67"/>
  <c r="AR1176" i="67"/>
  <c r="AR419" i="67"/>
  <c r="AR571" i="67"/>
  <c r="AR874" i="67"/>
  <c r="AR113" i="67"/>
  <c r="AR266" i="67"/>
  <c r="AR723" i="67"/>
  <c r="AL1026" i="67"/>
  <c r="AL1177" i="67"/>
  <c r="AL420" i="67"/>
  <c r="AL875" i="67"/>
  <c r="AL572" i="67"/>
  <c r="AL114" i="67"/>
  <c r="AL267" i="67"/>
  <c r="AL724" i="67"/>
  <c r="AL1330" i="67" s="1"/>
  <c r="Z1030" i="67"/>
  <c r="Z1181" i="67"/>
  <c r="Z424" i="67"/>
  <c r="Z576" i="67"/>
  <c r="Z879" i="67"/>
  <c r="Z118" i="67"/>
  <c r="Z271" i="67"/>
  <c r="Z1334" i="67" s="1"/>
  <c r="Z728" i="67"/>
  <c r="N1183" i="67"/>
  <c r="N1032" i="67"/>
  <c r="N426" i="67"/>
  <c r="N881" i="67"/>
  <c r="N578" i="67"/>
  <c r="N120" i="67"/>
  <c r="N1336" i="67" s="1"/>
  <c r="N273" i="67"/>
  <c r="N730" i="67"/>
  <c r="AK1173" i="67"/>
  <c r="AK1022" i="67"/>
  <c r="AK416" i="67"/>
  <c r="AK871" i="67"/>
  <c r="AK568" i="67"/>
  <c r="AK110" i="67"/>
  <c r="AK263" i="67"/>
  <c r="AK720" i="67"/>
  <c r="AK1326" i="67"/>
  <c r="N1003" i="67"/>
  <c r="N1154" i="67"/>
  <c r="N397" i="67"/>
  <c r="N852" i="67"/>
  <c r="N701" i="67"/>
  <c r="N549" i="67"/>
  <c r="N244" i="67"/>
  <c r="N91" i="67"/>
  <c r="N1307" i="67" s="1"/>
  <c r="X1152" i="67"/>
  <c r="X1001" i="67"/>
  <c r="X395" i="67"/>
  <c r="X850" i="67"/>
  <c r="X547" i="67"/>
  <c r="X699" i="67"/>
  <c r="X89" i="67"/>
  <c r="X242" i="67"/>
  <c r="AR48" i="68"/>
  <c r="R1153" i="67"/>
  <c r="R1002" i="67"/>
  <c r="R396" i="67"/>
  <c r="R1306" i="67" s="1"/>
  <c r="R851" i="67"/>
  <c r="R90" i="67"/>
  <c r="R243" i="67"/>
  <c r="R548" i="67"/>
  <c r="R700" i="67"/>
  <c r="R1154" i="67"/>
  <c r="R1003" i="67"/>
  <c r="R397" i="67"/>
  <c r="R852" i="67"/>
  <c r="R701" i="67"/>
  <c r="R549" i="67"/>
  <c r="R91" i="67"/>
  <c r="R1307" i="67" s="1"/>
  <c r="R244" i="67"/>
  <c r="L1155" i="67"/>
  <c r="L1004" i="67"/>
  <c r="L398" i="67"/>
  <c r="L853" i="67"/>
  <c r="L702" i="67"/>
  <c r="L550" i="67"/>
  <c r="L92" i="67"/>
  <c r="L245" i="67"/>
  <c r="L1308" i="67"/>
  <c r="AR1155" i="67"/>
  <c r="AR1004" i="67"/>
  <c r="AR398" i="67"/>
  <c r="AR853" i="67"/>
  <c r="AR702" i="67"/>
  <c r="AR550" i="67"/>
  <c r="AR92" i="67"/>
  <c r="AR245" i="67"/>
  <c r="AR1308" i="67" s="1"/>
  <c r="AL1156" i="67"/>
  <c r="AL1005" i="67"/>
  <c r="AL399" i="67"/>
  <c r="AL854" i="67"/>
  <c r="AL551" i="67"/>
  <c r="AL703" i="67"/>
  <c r="AL93" i="67"/>
  <c r="AL1309" i="67" s="1"/>
  <c r="AL246" i="67"/>
  <c r="AF1157" i="67"/>
  <c r="AF1006" i="67"/>
  <c r="AF400" i="67"/>
  <c r="AF704" i="67"/>
  <c r="AF855" i="67"/>
  <c r="AF552" i="67"/>
  <c r="AF247" i="67"/>
  <c r="AF94" i="67"/>
  <c r="Z1009" i="67"/>
  <c r="Z1160" i="67"/>
  <c r="Z403" i="67"/>
  <c r="Z858" i="67"/>
  <c r="Z555" i="67"/>
  <c r="Z707" i="67"/>
  <c r="Z97" i="67"/>
  <c r="Z1313" i="67" s="1"/>
  <c r="Z250" i="67"/>
  <c r="T1010" i="67"/>
  <c r="T1161" i="67"/>
  <c r="T404" i="67"/>
  <c r="T859" i="67"/>
  <c r="T708" i="67"/>
  <c r="T556" i="67"/>
  <c r="T98" i="67"/>
  <c r="T1314" i="67" s="1"/>
  <c r="T251" i="67"/>
  <c r="N1011" i="67"/>
  <c r="N1162" i="67"/>
  <c r="N405" i="67"/>
  <c r="N860" i="67"/>
  <c r="N709" i="67"/>
  <c r="N557" i="67"/>
  <c r="N252" i="67"/>
  <c r="N99" i="67"/>
  <c r="AT1011" i="67"/>
  <c r="AT1162" i="67"/>
  <c r="AT405" i="67"/>
  <c r="AT860" i="67"/>
  <c r="AT709" i="67"/>
  <c r="AT557" i="67"/>
  <c r="AT252" i="67"/>
  <c r="AT99" i="67"/>
  <c r="AK1152" i="67"/>
  <c r="AK1001" i="67"/>
  <c r="AK395" i="67"/>
  <c r="AK547" i="67"/>
  <c r="AK699" i="67"/>
  <c r="AK850" i="67"/>
  <c r="AK242" i="67"/>
  <c r="BE48" i="68"/>
  <c r="AK89" i="67"/>
  <c r="AK1305" i="67" s="1"/>
  <c r="AE1153" i="67"/>
  <c r="AE1002" i="67"/>
  <c r="AE396" i="67"/>
  <c r="AE851" i="67"/>
  <c r="AE548" i="67"/>
  <c r="AE700" i="67"/>
  <c r="AE90" i="67"/>
  <c r="AE243" i="67"/>
  <c r="AE1024" i="67"/>
  <c r="AE1175" i="67"/>
  <c r="AE418" i="67"/>
  <c r="AE873" i="67"/>
  <c r="AE570" i="67"/>
  <c r="AE112" i="67"/>
  <c r="AE265" i="67"/>
  <c r="AE722" i="67"/>
  <c r="Y1025" i="67"/>
  <c r="Y1176" i="67"/>
  <c r="Y419" i="67"/>
  <c r="Y874" i="67"/>
  <c r="Y571" i="67"/>
  <c r="Y113" i="67"/>
  <c r="Y1329" i="67" s="1"/>
  <c r="Y266" i="67"/>
  <c r="Y723" i="67"/>
  <c r="S1026" i="67"/>
  <c r="S1177" i="67"/>
  <c r="S420" i="67"/>
  <c r="S875" i="67"/>
  <c r="S572" i="67"/>
  <c r="S114" i="67"/>
  <c r="S267" i="67"/>
  <c r="S1330" i="67" s="1"/>
  <c r="S724" i="67"/>
  <c r="M1027" i="67"/>
  <c r="M1178" i="67"/>
  <c r="M421" i="67"/>
  <c r="M876" i="67"/>
  <c r="M573" i="67"/>
  <c r="M115" i="67"/>
  <c r="M1331" i="67" s="1"/>
  <c r="M268" i="67"/>
  <c r="M725" i="67"/>
  <c r="AS1027" i="67"/>
  <c r="AS1178" i="67"/>
  <c r="AS421" i="67"/>
  <c r="AS876" i="67"/>
  <c r="AS573" i="67"/>
  <c r="AS115" i="67"/>
  <c r="AS268" i="67"/>
  <c r="AS725" i="67"/>
  <c r="AS1331" i="67"/>
  <c r="AM1030" i="67"/>
  <c r="AM1181" i="67"/>
  <c r="AM424" i="67"/>
  <c r="AM879" i="67"/>
  <c r="AM576" i="67"/>
  <c r="AM118" i="67"/>
  <c r="AM271" i="67"/>
  <c r="AM728" i="67"/>
  <c r="AM1334" i="67" s="1"/>
  <c r="AG1031" i="67"/>
  <c r="AG1182" i="67"/>
  <c r="AG425" i="67"/>
  <c r="AG880" i="67"/>
  <c r="AG577" i="67"/>
  <c r="AG119" i="67"/>
  <c r="AG272" i="67"/>
  <c r="AG1335" i="67" s="1"/>
  <c r="AG729" i="67"/>
  <c r="AA1032" i="67"/>
  <c r="AA1183" i="67"/>
  <c r="AA426" i="67"/>
  <c r="AA881" i="67"/>
  <c r="AA578" i="67"/>
  <c r="AA120" i="67"/>
  <c r="AA1336" i="67" s="1"/>
  <c r="AA273" i="67"/>
  <c r="AA730" i="67"/>
  <c r="AP1001" i="67"/>
  <c r="AP1152" i="67"/>
  <c r="AP395" i="67"/>
  <c r="AP850" i="67"/>
  <c r="AP699" i="67"/>
  <c r="AP547" i="67"/>
  <c r="AP89" i="67"/>
  <c r="AP242" i="67"/>
  <c r="BJ48" i="68"/>
  <c r="AJ1002" i="67"/>
  <c r="AJ1153" i="67"/>
  <c r="AJ396" i="67"/>
  <c r="AJ851" i="67"/>
  <c r="AJ548" i="67"/>
  <c r="AJ700" i="67"/>
  <c r="AJ90" i="67"/>
  <c r="AJ243" i="67"/>
  <c r="AJ1154" i="67"/>
  <c r="AJ1003" i="67"/>
  <c r="AJ397" i="67"/>
  <c r="AJ852" i="67"/>
  <c r="AJ549" i="67"/>
  <c r="AJ91" i="67"/>
  <c r="AJ701" i="67"/>
  <c r="AJ244" i="67"/>
  <c r="AD1155" i="67"/>
  <c r="AD1004" i="67"/>
  <c r="AD398" i="67"/>
  <c r="AD853" i="67"/>
  <c r="AD550" i="67"/>
  <c r="AD702" i="67"/>
  <c r="AD92" i="67"/>
  <c r="AD245" i="67"/>
  <c r="X1156" i="67"/>
  <c r="X1005" i="67"/>
  <c r="X399" i="67"/>
  <c r="X854" i="67"/>
  <c r="X703" i="67"/>
  <c r="X551" i="67"/>
  <c r="X93" i="67"/>
  <c r="X246" i="67"/>
  <c r="X1309" i="67"/>
  <c r="R1157" i="67"/>
  <c r="R1006" i="67"/>
  <c r="R400" i="67"/>
  <c r="R855" i="67"/>
  <c r="R552" i="67"/>
  <c r="R704" i="67"/>
  <c r="R94" i="67"/>
  <c r="R247" i="67"/>
  <c r="L1160" i="67"/>
  <c r="L1009" i="67"/>
  <c r="L403" i="67"/>
  <c r="L858" i="67"/>
  <c r="L555" i="67"/>
  <c r="L707" i="67"/>
  <c r="L97" i="67"/>
  <c r="L250" i="67"/>
  <c r="AR1009" i="67"/>
  <c r="AR1160" i="67"/>
  <c r="AR403" i="67"/>
  <c r="AR858" i="67"/>
  <c r="AR555" i="67"/>
  <c r="AR707" i="67"/>
  <c r="AR97" i="67"/>
  <c r="AR250" i="67"/>
  <c r="AL1010" i="67"/>
  <c r="AL1161" i="67"/>
  <c r="AL404" i="67"/>
  <c r="AL859" i="67"/>
  <c r="AL556" i="67"/>
  <c r="AL708" i="67"/>
  <c r="AL251" i="67"/>
  <c r="AL98" i="67"/>
  <c r="AL1314" i="67" s="1"/>
  <c r="AF1011" i="67"/>
  <c r="AF1162" i="67"/>
  <c r="AF405" i="67"/>
  <c r="AF860" i="67"/>
  <c r="AF557" i="67"/>
  <c r="AF709" i="67"/>
  <c r="AF99" i="67"/>
  <c r="AF252" i="67"/>
  <c r="AO1153" i="67"/>
  <c r="AO1002" i="67"/>
  <c r="AO396" i="67"/>
  <c r="AO851" i="67"/>
  <c r="AO700" i="67"/>
  <c r="AO548" i="67"/>
  <c r="AO243" i="67"/>
  <c r="AO90" i="67"/>
  <c r="AO1306" i="67" s="1"/>
  <c r="W1157" i="67"/>
  <c r="W1006" i="67"/>
  <c r="W400" i="67"/>
  <c r="W855" i="67"/>
  <c r="W552" i="67"/>
  <c r="W704" i="67"/>
  <c r="W94" i="67"/>
  <c r="W247" i="67"/>
  <c r="AG1162" i="67"/>
  <c r="AG1011" i="67"/>
  <c r="AG405" i="67"/>
  <c r="AG860" i="67"/>
  <c r="AG709" i="67"/>
  <c r="AG557" i="67"/>
  <c r="AG252" i="67"/>
  <c r="AG99" i="67"/>
  <c r="AG1315" i="67" s="1"/>
  <c r="AI1163" i="67"/>
  <c r="AI1012" i="67"/>
  <c r="AI406" i="67"/>
  <c r="AI861" i="67"/>
  <c r="AI558" i="67"/>
  <c r="AI710" i="67"/>
  <c r="AI100" i="67"/>
  <c r="AI253" i="67"/>
  <c r="AI1316" i="67" s="1"/>
  <c r="AA1173" i="67"/>
  <c r="AA1022" i="67"/>
  <c r="AA416" i="67"/>
  <c r="AA871" i="67"/>
  <c r="AA568" i="67"/>
  <c r="AA110" i="67"/>
  <c r="AA263" i="67"/>
  <c r="AA1326" i="67" s="1"/>
  <c r="AA720" i="67"/>
  <c r="AC1174" i="67"/>
  <c r="AC1023" i="67"/>
  <c r="AC417" i="67"/>
  <c r="AC569" i="67"/>
  <c r="AC872" i="67"/>
  <c r="AC111" i="67"/>
  <c r="AC1327" i="67" s="1"/>
  <c r="AC264" i="67"/>
  <c r="AC721" i="67"/>
  <c r="AW1156" i="67"/>
  <c r="AW1005" i="67"/>
  <c r="AW399" i="67"/>
  <c r="AW854" i="67"/>
  <c r="AW93" i="67"/>
  <c r="AW246" i="67"/>
  <c r="AW551" i="67"/>
  <c r="AW703" i="67"/>
  <c r="Y1162" i="67"/>
  <c r="Y1011" i="67"/>
  <c r="Y405" i="67"/>
  <c r="Y860" i="67"/>
  <c r="Y99" i="67"/>
  <c r="Y557" i="67"/>
  <c r="Y252" i="67"/>
  <c r="Y709" i="67"/>
  <c r="Y1315" i="67"/>
  <c r="AF1184" i="67"/>
  <c r="AF1033" i="67"/>
  <c r="AF427" i="67"/>
  <c r="AF882" i="67"/>
  <c r="AF579" i="67"/>
  <c r="AF121" i="67"/>
  <c r="AF731" i="67"/>
  <c r="AF274" i="67"/>
  <c r="AF1337" i="67" s="1"/>
  <c r="AK1154" i="67"/>
  <c r="AK1003" i="67"/>
  <c r="AK397" i="67"/>
  <c r="AK852" i="67"/>
  <c r="AK549" i="67"/>
  <c r="AK701" i="67"/>
  <c r="AK91" i="67"/>
  <c r="AK1307" i="67" s="1"/>
  <c r="AK244" i="67"/>
  <c r="N1012" i="67"/>
  <c r="N1163" i="67"/>
  <c r="N406" i="67"/>
  <c r="N861" i="67"/>
  <c r="N558" i="67"/>
  <c r="N710" i="67"/>
  <c r="N100" i="67"/>
  <c r="N1316" i="67" s="1"/>
  <c r="N253" i="67"/>
  <c r="AG1174" i="67"/>
  <c r="AG1023" i="67"/>
  <c r="AG417" i="67"/>
  <c r="AG569" i="67"/>
  <c r="AG872" i="67"/>
  <c r="AG111" i="67"/>
  <c r="AG1327" i="67" s="1"/>
  <c r="AG264" i="67"/>
  <c r="AG721" i="67"/>
  <c r="O1157" i="67"/>
  <c r="O1006" i="67"/>
  <c r="O400" i="67"/>
  <c r="O855" i="67"/>
  <c r="O704" i="67"/>
  <c r="O552" i="67"/>
  <c r="O94" i="67"/>
  <c r="O247" i="67"/>
  <c r="O1310" i="67"/>
  <c r="AC1162" i="67"/>
  <c r="AC1011" i="67"/>
  <c r="AC405" i="67"/>
  <c r="AC860" i="67"/>
  <c r="AC709" i="67"/>
  <c r="AC557" i="67"/>
  <c r="AC252" i="67"/>
  <c r="AC99" i="67"/>
  <c r="AC1315" i="67" s="1"/>
  <c r="AG1012" i="67"/>
  <c r="AG1163" i="67"/>
  <c r="AG406" i="67"/>
  <c r="AG861" i="67"/>
  <c r="AG710" i="67"/>
  <c r="AG558" i="67"/>
  <c r="AG100" i="67"/>
  <c r="AG253" i="67"/>
  <c r="AG1316" i="67" s="1"/>
  <c r="O1155" i="67"/>
  <c r="O1004" i="67"/>
  <c r="O398" i="67"/>
  <c r="O853" i="67"/>
  <c r="O702" i="67"/>
  <c r="O550" i="67"/>
  <c r="O92" i="67"/>
  <c r="O1308" i="67" s="1"/>
  <c r="O245" i="67"/>
  <c r="V1012" i="67"/>
  <c r="V1163" i="67"/>
  <c r="V406" i="67"/>
  <c r="V861" i="67"/>
  <c r="V710" i="67"/>
  <c r="V558" i="67"/>
  <c r="V253" i="67"/>
  <c r="V100" i="67"/>
  <c r="AK1163" i="67"/>
  <c r="AK1012" i="67"/>
  <c r="AK406" i="67"/>
  <c r="AK861" i="67"/>
  <c r="AK558" i="67"/>
  <c r="AK710" i="67"/>
  <c r="AK100" i="67"/>
  <c r="AK253" i="67"/>
  <c r="L1154" i="67"/>
  <c r="L1003" i="67"/>
  <c r="L397" i="67"/>
  <c r="L852" i="67"/>
  <c r="L549" i="67"/>
  <c r="L91" i="67"/>
  <c r="L1307" i="67" s="1"/>
  <c r="L701" i="67"/>
  <c r="L244" i="67"/>
  <c r="AB1152" i="67"/>
  <c r="AB1001" i="67"/>
  <c r="AB395" i="67"/>
  <c r="AB850" i="67"/>
  <c r="AB699" i="67"/>
  <c r="AB547" i="67"/>
  <c r="AB242" i="67"/>
  <c r="AV48" i="68"/>
  <c r="AB89" i="67"/>
  <c r="AB1305" i="67" s="1"/>
  <c r="V1153" i="67"/>
  <c r="V1002" i="67"/>
  <c r="V396" i="67"/>
  <c r="V851" i="67"/>
  <c r="V700" i="67"/>
  <c r="V548" i="67"/>
  <c r="V90" i="67"/>
  <c r="V243" i="67"/>
  <c r="V1306" i="67" s="1"/>
  <c r="V1003" i="67"/>
  <c r="V1154" i="67"/>
  <c r="V397" i="67"/>
  <c r="V852" i="67"/>
  <c r="V549" i="67"/>
  <c r="V701" i="67"/>
  <c r="V91" i="67"/>
  <c r="V1307" i="67" s="1"/>
  <c r="V244" i="67"/>
  <c r="P1004" i="67"/>
  <c r="P1155" i="67"/>
  <c r="P398" i="67"/>
  <c r="P853" i="67"/>
  <c r="P550" i="67"/>
  <c r="P702" i="67"/>
  <c r="P92" i="67"/>
  <c r="P245" i="67"/>
  <c r="AV1004" i="67"/>
  <c r="AV1155" i="67"/>
  <c r="AV398" i="67"/>
  <c r="AV853" i="67"/>
  <c r="AV550" i="67"/>
  <c r="AV702" i="67"/>
  <c r="AV92" i="67"/>
  <c r="AV245" i="67"/>
  <c r="AP1005" i="67"/>
  <c r="AP1156" i="67"/>
  <c r="AP399" i="67"/>
  <c r="AP854" i="67"/>
  <c r="AP551" i="67"/>
  <c r="AP703" i="67"/>
  <c r="AP246" i="67"/>
  <c r="AP1309" i="67" s="1"/>
  <c r="AP93" i="67"/>
  <c r="AJ1006" i="67"/>
  <c r="AJ1157" i="67"/>
  <c r="AJ400" i="67"/>
  <c r="AJ855" i="67"/>
  <c r="AJ94" i="67"/>
  <c r="AJ247" i="67"/>
  <c r="AJ552" i="67"/>
  <c r="AJ704" i="67"/>
  <c r="AJ1310" i="67"/>
  <c r="AD1160" i="67"/>
  <c r="AD1009" i="67"/>
  <c r="AD403" i="67"/>
  <c r="AD858" i="67"/>
  <c r="AD555" i="67"/>
  <c r="AD707" i="67"/>
  <c r="AD97" i="67"/>
  <c r="AD250" i="67"/>
  <c r="AD1313" i="67" s="1"/>
  <c r="X1161" i="67"/>
  <c r="X1010" i="67"/>
  <c r="X404" i="67"/>
  <c r="X859" i="67"/>
  <c r="X556" i="67"/>
  <c r="X708" i="67"/>
  <c r="X98" i="67"/>
  <c r="X1314" i="67" s="1"/>
  <c r="X251" i="67"/>
  <c r="R1162" i="67"/>
  <c r="R1011" i="67"/>
  <c r="R405" i="67"/>
  <c r="R860" i="67"/>
  <c r="R557" i="67"/>
  <c r="R709" i="67"/>
  <c r="R99" i="67"/>
  <c r="R1315" i="67" s="1"/>
  <c r="R252" i="67"/>
  <c r="L1163" i="67"/>
  <c r="L1012" i="67"/>
  <c r="L406" i="67"/>
  <c r="L861" i="67"/>
  <c r="L558" i="67"/>
  <c r="L710" i="67"/>
  <c r="L100" i="67"/>
  <c r="L1316" i="67" s="1"/>
  <c r="L253" i="67"/>
  <c r="AO1152" i="67"/>
  <c r="AO1001" i="67"/>
  <c r="AO395" i="67"/>
  <c r="AO1305" i="67" s="1"/>
  <c r="AO850" i="67"/>
  <c r="AO89" i="67"/>
  <c r="AO242" i="67"/>
  <c r="AO547" i="67"/>
  <c r="AO699" i="67"/>
  <c r="BI48" i="68"/>
  <c r="AI1153" i="67"/>
  <c r="AI1002" i="67"/>
  <c r="AI396" i="67"/>
  <c r="AI851" i="67"/>
  <c r="AI548" i="67"/>
  <c r="AI90" i="67"/>
  <c r="AI700" i="67"/>
  <c r="AI243" i="67"/>
  <c r="AI1306" i="67"/>
  <c r="AI1154" i="67"/>
  <c r="AI1003" i="67"/>
  <c r="AI397" i="67"/>
  <c r="AI701" i="67"/>
  <c r="AI852" i="67"/>
  <c r="AI549" i="67"/>
  <c r="AI91" i="67"/>
  <c r="AI1307" i="67" s="1"/>
  <c r="AI244" i="67"/>
  <c r="AC1155" i="67"/>
  <c r="AC1004" i="67"/>
  <c r="AC398" i="67"/>
  <c r="AC853" i="67"/>
  <c r="AC550" i="67"/>
  <c r="AC702" i="67"/>
  <c r="AC92" i="67"/>
  <c r="AC1308" i="67" s="1"/>
  <c r="AC245" i="67"/>
  <c r="W1156" i="67"/>
  <c r="W1005" i="67"/>
  <c r="W399" i="67"/>
  <c r="W854" i="67"/>
  <c r="W703" i="67"/>
  <c r="W551" i="67"/>
  <c r="W246" i="67"/>
  <c r="W93" i="67"/>
  <c r="Q1157" i="67"/>
  <c r="Q1006" i="67"/>
  <c r="Q400" i="67"/>
  <c r="Q855" i="67"/>
  <c r="Q552" i="67"/>
  <c r="Q704" i="67"/>
  <c r="Q247" i="67"/>
  <c r="Q94" i="67"/>
  <c r="AW1157" i="67"/>
  <c r="AW1006" i="67"/>
  <c r="AW400" i="67"/>
  <c r="AW855" i="67"/>
  <c r="AW552" i="67"/>
  <c r="AW704" i="67"/>
  <c r="AW247" i="67"/>
  <c r="AW94" i="67"/>
  <c r="AQ1009" i="67"/>
  <c r="AQ1160" i="67"/>
  <c r="AQ403" i="67"/>
  <c r="AQ707" i="67"/>
  <c r="AQ858" i="67"/>
  <c r="AQ555" i="67"/>
  <c r="AQ97" i="67"/>
  <c r="AQ1313" i="67" s="1"/>
  <c r="AQ250" i="67"/>
  <c r="AK1010" i="67"/>
  <c r="AK1161" i="67"/>
  <c r="AK404" i="67"/>
  <c r="AK859" i="67"/>
  <c r="AK556" i="67"/>
  <c r="AK708" i="67"/>
  <c r="AK98" i="67"/>
  <c r="AK251" i="67"/>
  <c r="N1152" i="67"/>
  <c r="N1001" i="67"/>
  <c r="N395" i="67"/>
  <c r="N850" i="67"/>
  <c r="N547" i="67"/>
  <c r="N89" i="67"/>
  <c r="N699" i="67"/>
  <c r="N242" i="67"/>
  <c r="AH48" i="68"/>
  <c r="AT1152" i="67"/>
  <c r="AT1001" i="67"/>
  <c r="AT395" i="67"/>
  <c r="AT850" i="67"/>
  <c r="AT547" i="67"/>
  <c r="AT89" i="67"/>
  <c r="AT699" i="67"/>
  <c r="AT242" i="67"/>
  <c r="BN48" i="68"/>
  <c r="AN1153" i="67"/>
  <c r="AN1002" i="67"/>
  <c r="AN396" i="67"/>
  <c r="AN851" i="67"/>
  <c r="AN700" i="67"/>
  <c r="AN548" i="67"/>
  <c r="AN243" i="67"/>
  <c r="AN90" i="67"/>
  <c r="AN1154" i="67"/>
  <c r="AN1003" i="67"/>
  <c r="AN397" i="67"/>
  <c r="AN852" i="67"/>
  <c r="AN549" i="67"/>
  <c r="AN701" i="67"/>
  <c r="AN244" i="67"/>
  <c r="AN91" i="67"/>
  <c r="AN1307" i="67" s="1"/>
  <c r="AH1155" i="67"/>
  <c r="AH1004" i="67"/>
  <c r="AH398" i="67"/>
  <c r="AH550" i="67"/>
  <c r="AH702" i="67"/>
  <c r="AH853" i="67"/>
  <c r="AH92" i="67"/>
  <c r="AH1308" i="67" s="1"/>
  <c r="AH245" i="67"/>
  <c r="AB1156" i="67"/>
  <c r="AB1005" i="67"/>
  <c r="AB399" i="67"/>
  <c r="AB854" i="67"/>
  <c r="AB551" i="67"/>
  <c r="AB703" i="67"/>
  <c r="AB93" i="67"/>
  <c r="AB246" i="67"/>
  <c r="AB1309" i="67"/>
  <c r="V1157" i="67"/>
  <c r="V1006" i="67"/>
  <c r="V400" i="67"/>
  <c r="V855" i="67"/>
  <c r="V552" i="67"/>
  <c r="V704" i="67"/>
  <c r="V247" i="67"/>
  <c r="V94" i="67"/>
  <c r="V1310" i="67" s="1"/>
  <c r="P1009" i="67"/>
  <c r="P1160" i="67"/>
  <c r="P403" i="67"/>
  <c r="P858" i="67"/>
  <c r="P555" i="67"/>
  <c r="P707" i="67"/>
  <c r="P97" i="67"/>
  <c r="P250" i="67"/>
  <c r="AV1009" i="67"/>
  <c r="AV1160" i="67"/>
  <c r="AV403" i="67"/>
  <c r="AV858" i="67"/>
  <c r="AV555" i="67"/>
  <c r="AV707" i="67"/>
  <c r="AV250" i="67"/>
  <c r="AV97" i="67"/>
  <c r="AV1313" i="67" s="1"/>
  <c r="AP1010" i="67"/>
  <c r="AP1161" i="67"/>
  <c r="AP404" i="67"/>
  <c r="AP556" i="67"/>
  <c r="AP708" i="67"/>
  <c r="AP859" i="67"/>
  <c r="AP98" i="67"/>
  <c r="AP1314" i="67" s="1"/>
  <c r="AP251" i="67"/>
  <c r="AJ1011" i="67"/>
  <c r="AJ1162" i="67"/>
  <c r="AJ405" i="67"/>
  <c r="AJ860" i="67"/>
  <c r="AJ99" i="67"/>
  <c r="AJ252" i="67"/>
  <c r="AJ1315" i="67" s="1"/>
  <c r="AJ557" i="67"/>
  <c r="AJ709" i="67"/>
  <c r="Y1154" i="67"/>
  <c r="Y1003" i="67"/>
  <c r="Y397" i="67"/>
  <c r="Y852" i="67"/>
  <c r="Y549" i="67"/>
  <c r="Y701" i="67"/>
  <c r="Y91" i="67"/>
  <c r="Y244" i="67"/>
  <c r="Y1307" i="67"/>
  <c r="AM1157" i="67"/>
  <c r="AM1006" i="67"/>
  <c r="AM400" i="67"/>
  <c r="AM855" i="67"/>
  <c r="AM552" i="67"/>
  <c r="AM704" i="67"/>
  <c r="AM247" i="67"/>
  <c r="AM94" i="67"/>
  <c r="AM1310" i="67" s="1"/>
  <c r="AO1162" i="67"/>
  <c r="AO1011" i="67"/>
  <c r="AO405" i="67"/>
  <c r="AO860" i="67"/>
  <c r="AO557" i="67"/>
  <c r="AO99" i="67"/>
  <c r="AO709" i="67"/>
  <c r="AO252" i="67"/>
  <c r="AM1163" i="67"/>
  <c r="AM1012" i="67"/>
  <c r="AM406" i="67"/>
  <c r="AM861" i="67"/>
  <c r="AM710" i="67"/>
  <c r="AM558" i="67"/>
  <c r="AM100" i="67"/>
  <c r="AM1316" i="67" s="1"/>
  <c r="AM253" i="67"/>
  <c r="W1161" i="67"/>
  <c r="W1010" i="67"/>
  <c r="W404" i="67"/>
  <c r="W859" i="67"/>
  <c r="W556" i="67"/>
  <c r="W708" i="67"/>
  <c r="W98" i="67"/>
  <c r="W1314" i="67" s="1"/>
  <c r="W251" i="67"/>
  <c r="AS1174" i="67"/>
  <c r="AS1023" i="67"/>
  <c r="AS417" i="67"/>
  <c r="AS569" i="67"/>
  <c r="AS872" i="67"/>
  <c r="AS111" i="67"/>
  <c r="AS264" i="67"/>
  <c r="AS721" i="67"/>
  <c r="AA1157" i="67"/>
  <c r="AA1006" i="67"/>
  <c r="AA400" i="67"/>
  <c r="AA855" i="67"/>
  <c r="AA94" i="67"/>
  <c r="AA247" i="67"/>
  <c r="AA552" i="67"/>
  <c r="AA704" i="67"/>
  <c r="AA1310" i="67"/>
  <c r="AI1162" i="67"/>
  <c r="AI1011" i="67"/>
  <c r="AI405" i="67"/>
  <c r="AI860" i="67"/>
  <c r="AI557" i="67"/>
  <c r="AI709" i="67"/>
  <c r="AI99" i="67"/>
  <c r="AI252" i="67"/>
  <c r="AJ1033" i="67"/>
  <c r="AJ1184" i="67"/>
  <c r="AJ427" i="67"/>
  <c r="AJ882" i="67"/>
  <c r="AJ731" i="67"/>
  <c r="AJ579" i="67"/>
  <c r="AJ274" i="67"/>
  <c r="AJ121" i="67"/>
  <c r="AJ1337" i="67" s="1"/>
  <c r="AE1155" i="67"/>
  <c r="AE1004" i="67"/>
  <c r="AE398" i="67"/>
  <c r="AE853" i="67"/>
  <c r="AE550" i="67"/>
  <c r="AE702" i="67"/>
  <c r="AE92" i="67"/>
  <c r="AE1308" i="67" s="1"/>
  <c r="AE245" i="67"/>
  <c r="Z1012" i="67"/>
  <c r="Z1163" i="67"/>
  <c r="Z406" i="67"/>
  <c r="Z861" i="67"/>
  <c r="Z710" i="67"/>
  <c r="Z558" i="67"/>
  <c r="Z253" i="67"/>
  <c r="Z100" i="67"/>
  <c r="AE1157" i="67"/>
  <c r="AE1006" i="67"/>
  <c r="AE400" i="67"/>
  <c r="AE855" i="67"/>
  <c r="AE704" i="67"/>
  <c r="AE552" i="67"/>
  <c r="AE94" i="67"/>
  <c r="AE1310" i="67" s="1"/>
  <c r="AE247" i="67"/>
  <c r="AK1162" i="67"/>
  <c r="AK1011" i="67"/>
  <c r="AK405" i="67"/>
  <c r="AK557" i="67"/>
  <c r="AK709" i="67"/>
  <c r="AK860" i="67"/>
  <c r="AK99" i="67"/>
  <c r="AK252" i="67"/>
  <c r="AK1315" i="67"/>
  <c r="AU1155" i="67"/>
  <c r="AU1004" i="67"/>
  <c r="AU398" i="67"/>
  <c r="AU853" i="67"/>
  <c r="AU550" i="67"/>
  <c r="AU702" i="67"/>
  <c r="AU92" i="67"/>
  <c r="AU245" i="67"/>
  <c r="AU1308" i="67" s="1"/>
  <c r="P1154" i="67"/>
  <c r="P1003" i="67"/>
  <c r="P397" i="67"/>
  <c r="P852" i="67"/>
  <c r="P701" i="67"/>
  <c r="P549" i="67"/>
  <c r="P91" i="67"/>
  <c r="P1307" i="67" s="1"/>
  <c r="P244" i="67"/>
  <c r="AF1152" i="67"/>
  <c r="AF1001" i="67"/>
  <c r="AF395" i="67"/>
  <c r="AF850" i="67"/>
  <c r="AF699" i="67"/>
  <c r="AF547" i="67"/>
  <c r="AF89" i="67"/>
  <c r="AF1305" i="67" s="1"/>
  <c r="AF242" i="67"/>
  <c r="AZ48" i="68"/>
  <c r="Z1153" i="67"/>
  <c r="Z1002" i="67"/>
  <c r="Z396" i="67"/>
  <c r="Z851" i="67"/>
  <c r="Z548" i="67"/>
  <c r="Z700" i="67"/>
  <c r="Z90" i="67"/>
  <c r="Z243" i="67"/>
  <c r="Z1154" i="67"/>
  <c r="Z1003" i="67"/>
  <c r="Z397" i="67"/>
  <c r="Z852" i="67"/>
  <c r="Z549" i="67"/>
  <c r="Z701" i="67"/>
  <c r="Z91" i="67"/>
  <c r="Z244" i="67"/>
  <c r="Z1307" i="67"/>
  <c r="T1155" i="67"/>
  <c r="T1004" i="67"/>
  <c r="T398" i="67"/>
  <c r="T550" i="67"/>
  <c r="T702" i="67"/>
  <c r="T853" i="67"/>
  <c r="T245" i="67"/>
  <c r="T92" i="67"/>
  <c r="T1308" i="67" s="1"/>
  <c r="N1156" i="67"/>
  <c r="N1005" i="67"/>
  <c r="N399" i="67"/>
  <c r="N854" i="67"/>
  <c r="N93" i="67"/>
  <c r="N246" i="67"/>
  <c r="N1309" i="67" s="1"/>
  <c r="N551" i="67"/>
  <c r="N703" i="67"/>
  <c r="AT1156" i="67"/>
  <c r="AT1005" i="67"/>
  <c r="AT399" i="67"/>
  <c r="AT1309" i="67" s="1"/>
  <c r="AT854" i="67"/>
  <c r="AT93" i="67"/>
  <c r="AT246" i="67"/>
  <c r="AT551" i="67"/>
  <c r="AT703" i="67"/>
  <c r="AN1157" i="67"/>
  <c r="AN1006" i="67"/>
  <c r="AN400" i="67"/>
  <c r="AN855" i="67"/>
  <c r="AN552" i="67"/>
  <c r="AN704" i="67"/>
  <c r="AN94" i="67"/>
  <c r="AN1310" i="67" s="1"/>
  <c r="AN247" i="67"/>
  <c r="AH1009" i="67"/>
  <c r="AH1160" i="67"/>
  <c r="AH403" i="67"/>
  <c r="AH858" i="67"/>
  <c r="AH707" i="67"/>
  <c r="AH555" i="67"/>
  <c r="AH97" i="67"/>
  <c r="AH250" i="67"/>
  <c r="AH1313" i="67"/>
  <c r="AB1010" i="67"/>
  <c r="AB1161" i="67"/>
  <c r="AB404" i="67"/>
  <c r="AB556" i="67"/>
  <c r="AB708" i="67"/>
  <c r="AB859" i="67"/>
  <c r="AB251" i="67"/>
  <c r="AB98" i="67"/>
  <c r="AB1314" i="67" s="1"/>
  <c r="V1011" i="67"/>
  <c r="V1162" i="67"/>
  <c r="V405" i="67"/>
  <c r="V860" i="67"/>
  <c r="V557" i="67"/>
  <c r="V709" i="67"/>
  <c r="V99" i="67"/>
  <c r="V252" i="67"/>
  <c r="V1315" i="67" s="1"/>
  <c r="M1152" i="67"/>
  <c r="M1001" i="67"/>
  <c r="M395" i="67"/>
  <c r="M699" i="67"/>
  <c r="M850" i="67"/>
  <c r="M547" i="67"/>
  <c r="M89" i="67"/>
  <c r="M1305" i="67" s="1"/>
  <c r="M242" i="67"/>
  <c r="AG48" i="68"/>
  <c r="AS1152" i="67"/>
  <c r="AS1001" i="67"/>
  <c r="AS395" i="67"/>
  <c r="AS699" i="67"/>
  <c r="AS850" i="67"/>
  <c r="AS547" i="67"/>
  <c r="AS89" i="67"/>
  <c r="AS1305" i="67" s="1"/>
  <c r="AS242" i="67"/>
  <c r="BM48" i="68"/>
  <c r="AM1153" i="67"/>
  <c r="AM1002" i="67"/>
  <c r="AM396" i="67"/>
  <c r="AM851" i="67"/>
  <c r="AM700" i="67"/>
  <c r="AM548" i="67"/>
  <c r="AM243" i="67"/>
  <c r="AM1306" i="67" s="1"/>
  <c r="AM90" i="67"/>
  <c r="AM1024" i="67"/>
  <c r="AM1175" i="67"/>
  <c r="AM418" i="67"/>
  <c r="AM570" i="67"/>
  <c r="AM873" i="67"/>
  <c r="AM112" i="67"/>
  <c r="AM1328" i="67" s="1"/>
  <c r="AM722" i="67"/>
  <c r="AM265" i="67"/>
  <c r="AG1025" i="67"/>
  <c r="AG1176" i="67"/>
  <c r="AG419" i="67"/>
  <c r="AG874" i="67"/>
  <c r="AG571" i="67"/>
  <c r="AG266" i="67"/>
  <c r="AG723" i="67"/>
  <c r="AG113" i="67"/>
  <c r="AA1026" i="67"/>
  <c r="AA1177" i="67"/>
  <c r="AA420" i="67"/>
  <c r="AA572" i="67"/>
  <c r="AA875" i="67"/>
  <c r="AA114" i="67"/>
  <c r="AA267" i="67"/>
  <c r="AA724" i="67"/>
  <c r="AA1330" i="67"/>
  <c r="U1027" i="67"/>
  <c r="U1178" i="67"/>
  <c r="U421" i="67"/>
  <c r="U876" i="67"/>
  <c r="U573" i="67"/>
  <c r="U115" i="67"/>
  <c r="U268" i="67"/>
  <c r="U725" i="67"/>
  <c r="O1160" i="67"/>
  <c r="O1009" i="67"/>
  <c r="O403" i="67"/>
  <c r="O858" i="67"/>
  <c r="O555" i="67"/>
  <c r="O707" i="67"/>
  <c r="O97" i="67"/>
  <c r="O250" i="67"/>
  <c r="AU1160" i="67"/>
  <c r="AU1009" i="67"/>
  <c r="AU403" i="67"/>
  <c r="AU858" i="67"/>
  <c r="AU555" i="67"/>
  <c r="AU707" i="67"/>
  <c r="AU97" i="67"/>
  <c r="AU250" i="67"/>
  <c r="AO1161" i="67"/>
  <c r="AO1010" i="67"/>
  <c r="AO404" i="67"/>
  <c r="AO859" i="67"/>
  <c r="AO556" i="67"/>
  <c r="AO708" i="67"/>
  <c r="AO98" i="67"/>
  <c r="AO251" i="67"/>
  <c r="R1001" i="67"/>
  <c r="R1152" i="67"/>
  <c r="R395" i="67"/>
  <c r="R850" i="67"/>
  <c r="R547" i="67"/>
  <c r="R699" i="67"/>
  <c r="R89" i="67"/>
  <c r="R242" i="67"/>
  <c r="AL48" i="68"/>
  <c r="L1002" i="67"/>
  <c r="L1153" i="67"/>
  <c r="L396" i="67"/>
  <c r="L851" i="67"/>
  <c r="L90" i="67"/>
  <c r="L243" i="67"/>
  <c r="L1306" i="67" s="1"/>
  <c r="L548" i="67"/>
  <c r="L700" i="67"/>
  <c r="AR1002" i="67"/>
  <c r="AR1153" i="67"/>
  <c r="AR396" i="67"/>
  <c r="AR851" i="67"/>
  <c r="AR90" i="67"/>
  <c r="AR243" i="67"/>
  <c r="AR1306" i="67" s="1"/>
  <c r="AR548" i="67"/>
  <c r="AR700" i="67"/>
  <c r="AR1154" i="67"/>
  <c r="AR1003" i="67"/>
  <c r="AR397" i="67"/>
  <c r="AR852" i="67"/>
  <c r="AR549" i="67"/>
  <c r="AR91" i="67"/>
  <c r="AR701" i="67"/>
  <c r="AR244" i="67"/>
  <c r="AR1307" i="67"/>
  <c r="AL1155" i="67"/>
  <c r="AL1004" i="67"/>
  <c r="AL398" i="67"/>
  <c r="AL853" i="67"/>
  <c r="AL702" i="67"/>
  <c r="AL550" i="67"/>
  <c r="AL92" i="67"/>
  <c r="AL245" i="67"/>
  <c r="AF1156" i="67"/>
  <c r="AF1005" i="67"/>
  <c r="AF399" i="67"/>
  <c r="AF854" i="67"/>
  <c r="AF703" i="67"/>
  <c r="AF551" i="67"/>
  <c r="AF93" i="67"/>
  <c r="AF246" i="67"/>
  <c r="Z1157" i="67"/>
  <c r="Z1006" i="67"/>
  <c r="Z400" i="67"/>
  <c r="Z1310" i="67" s="1"/>
  <c r="Z855" i="67"/>
  <c r="Z94" i="67"/>
  <c r="Z247" i="67"/>
  <c r="Z552" i="67"/>
  <c r="Z704" i="67"/>
  <c r="T1009" i="67"/>
  <c r="T1160" i="67"/>
  <c r="T403" i="67"/>
  <c r="T858" i="67"/>
  <c r="T97" i="67"/>
  <c r="T250" i="67"/>
  <c r="T1313" i="67" s="1"/>
  <c r="T555" i="67"/>
  <c r="T707" i="67"/>
  <c r="N1010" i="67"/>
  <c r="N1161" i="67"/>
  <c r="N404" i="67"/>
  <c r="N859" i="67"/>
  <c r="N556" i="67"/>
  <c r="N708" i="67"/>
  <c r="N98" i="67"/>
  <c r="N251" i="67"/>
  <c r="AT1010" i="67"/>
  <c r="AT1161" i="67"/>
  <c r="AT404" i="67"/>
  <c r="AT859" i="67"/>
  <c r="AT556" i="67"/>
  <c r="AT708" i="67"/>
  <c r="AT98" i="67"/>
  <c r="AT251" i="67"/>
  <c r="AN1011" i="67"/>
  <c r="AN1162" i="67"/>
  <c r="AN405" i="67"/>
  <c r="AN860" i="67"/>
  <c r="AN709" i="67"/>
  <c r="AN557" i="67"/>
  <c r="AN99" i="67"/>
  <c r="AN252" i="67"/>
  <c r="AO1154" i="67"/>
  <c r="AO1003" i="67"/>
  <c r="AO397" i="67"/>
  <c r="AO549" i="67"/>
  <c r="AO701" i="67"/>
  <c r="AO852" i="67"/>
  <c r="AO1307" i="67" s="1"/>
  <c r="AO91" i="67"/>
  <c r="AO244" i="67"/>
  <c r="Q1160" i="67"/>
  <c r="Q1009" i="67"/>
  <c r="Q403" i="67"/>
  <c r="Q555" i="67"/>
  <c r="Q707" i="67"/>
  <c r="Q858" i="67"/>
  <c r="Q97" i="67"/>
  <c r="Q250" i="67"/>
  <c r="Q1313" i="67"/>
  <c r="AV1011" i="67"/>
  <c r="AV1162" i="67"/>
  <c r="AV405" i="67"/>
  <c r="AV860" i="67"/>
  <c r="AV557" i="67"/>
  <c r="AV709" i="67"/>
  <c r="AV99" i="67"/>
  <c r="AV252" i="67"/>
  <c r="AQ1163" i="67"/>
  <c r="AQ1012" i="67"/>
  <c r="AQ406" i="67"/>
  <c r="AQ861" i="67"/>
  <c r="AQ710" i="67"/>
  <c r="AQ558" i="67"/>
  <c r="AQ253" i="67"/>
  <c r="AQ100" i="67"/>
  <c r="AQ1316" i="67" s="1"/>
  <c r="R1012" i="67"/>
  <c r="R1163" i="67"/>
  <c r="R406" i="67"/>
  <c r="R861" i="67"/>
  <c r="R558" i="67"/>
  <c r="R710" i="67"/>
  <c r="R100" i="67"/>
  <c r="R1316" i="67" s="1"/>
  <c r="R253" i="67"/>
  <c r="AC1154" i="67"/>
  <c r="AC1003" i="67"/>
  <c r="AC397" i="67"/>
  <c r="AC852" i="67"/>
  <c r="AC701" i="67"/>
  <c r="AC549" i="67"/>
  <c r="AC91" i="67"/>
  <c r="AC1307" i="67" s="1"/>
  <c r="AC244" i="67"/>
  <c r="AQ1157" i="67"/>
  <c r="AQ1006" i="67"/>
  <c r="AQ400" i="67"/>
  <c r="AQ855" i="67"/>
  <c r="AQ94" i="67"/>
  <c r="AQ247" i="67"/>
  <c r="AQ1310" i="67" s="1"/>
  <c r="AQ552" i="67"/>
  <c r="AQ704" i="67"/>
  <c r="AQ1162" i="67"/>
  <c r="AQ1011" i="67"/>
  <c r="AQ405" i="67"/>
  <c r="AQ860" i="67"/>
  <c r="AQ99" i="67"/>
  <c r="AQ252" i="67"/>
  <c r="AQ1315" i="67" s="1"/>
  <c r="AQ557" i="67"/>
  <c r="AQ709" i="67"/>
  <c r="AN1012" i="67"/>
  <c r="AN1163" i="67"/>
  <c r="AN406" i="67"/>
  <c r="AN861" i="67"/>
  <c r="AN710" i="67"/>
  <c r="AN558" i="67"/>
  <c r="AN100" i="67"/>
  <c r="AN253" i="67"/>
  <c r="AN1316" i="67"/>
  <c r="Y1156" i="67"/>
  <c r="Y1005" i="67"/>
  <c r="Y399" i="67"/>
  <c r="Y854" i="67"/>
  <c r="Y703" i="67"/>
  <c r="Y551" i="67"/>
  <c r="Y93" i="67"/>
  <c r="Y1309" i="67" s="1"/>
  <c r="Y246" i="67"/>
  <c r="AH1012" i="67"/>
  <c r="AH1163" i="67"/>
  <c r="AH406" i="67"/>
  <c r="AH861" i="67"/>
  <c r="AH558" i="67"/>
  <c r="AH710" i="67"/>
  <c r="AH100" i="67"/>
  <c r="AH1316" i="67" s="1"/>
  <c r="AH253" i="67"/>
  <c r="AG1154" i="67"/>
  <c r="AG1003" i="67"/>
  <c r="AG397" i="67"/>
  <c r="AG852" i="67"/>
  <c r="AG701" i="67"/>
  <c r="AG549" i="67"/>
  <c r="AG244" i="67"/>
  <c r="AG91" i="67"/>
  <c r="AU1157" i="67"/>
  <c r="AU1006" i="67"/>
  <c r="AU400" i="67"/>
  <c r="AU855" i="67"/>
  <c r="AU704" i="67"/>
  <c r="AU552" i="67"/>
  <c r="AU94" i="67"/>
  <c r="AU1310" i="67" s="1"/>
  <c r="AU247" i="67"/>
  <c r="AS1162" i="67"/>
  <c r="AS1011" i="67"/>
  <c r="AS405" i="67"/>
  <c r="AS709" i="67"/>
  <c r="AS860" i="67"/>
  <c r="AS557" i="67"/>
  <c r="AS252" i="67"/>
  <c r="AS99" i="67"/>
  <c r="AO1012" i="67"/>
  <c r="AO1163" i="67"/>
  <c r="AO406" i="67"/>
  <c r="AO861" i="67"/>
  <c r="AO558" i="67"/>
  <c r="AO710" i="67"/>
  <c r="AO100" i="67"/>
  <c r="AO1316" i="67" s="1"/>
  <c r="AO253" i="67"/>
  <c r="AO1156" i="67"/>
  <c r="AO1005" i="67"/>
  <c r="AO399" i="67"/>
  <c r="AO854" i="67"/>
  <c r="AO551" i="67"/>
  <c r="AO703" i="67"/>
  <c r="AO93" i="67"/>
  <c r="AO1309" i="67" s="1"/>
  <c r="AO246" i="67"/>
  <c r="AP1012" i="67"/>
  <c r="AP1163" i="67"/>
  <c r="AP406" i="67"/>
  <c r="AP861" i="67"/>
  <c r="AP710" i="67"/>
  <c r="AP558" i="67"/>
  <c r="AP100" i="67"/>
  <c r="AP1316" i="67" s="1"/>
  <c r="AP253" i="67"/>
  <c r="Q1154" i="67"/>
  <c r="Q1003" i="67"/>
  <c r="Q397" i="67"/>
  <c r="Q701" i="67"/>
  <c r="Q852" i="67"/>
  <c r="Q549" i="67"/>
  <c r="Q244" i="67"/>
  <c r="Q91" i="67"/>
  <c r="AJ1152" i="67"/>
  <c r="AJ1001" i="67"/>
  <c r="AJ395" i="67"/>
  <c r="AJ850" i="67"/>
  <c r="AJ547" i="67"/>
  <c r="AJ699" i="67"/>
  <c r="BD48" i="68"/>
  <c r="AJ89" i="67"/>
  <c r="AJ242" i="67"/>
  <c r="AJ1305" i="67"/>
  <c r="AD1153" i="67"/>
  <c r="AD1002" i="67"/>
  <c r="AD396" i="67"/>
  <c r="AD548" i="67"/>
  <c r="AD700" i="67"/>
  <c r="AD851" i="67"/>
  <c r="AD243" i="67"/>
  <c r="AD90" i="67"/>
  <c r="AD1306" i="67" s="1"/>
  <c r="AD1003" i="67"/>
  <c r="AD1154" i="67"/>
  <c r="AD397" i="67"/>
  <c r="AD852" i="67"/>
  <c r="AD701" i="67"/>
  <c r="AD549" i="67"/>
  <c r="AD244" i="67"/>
  <c r="AD91" i="67"/>
  <c r="AD1307" i="67" s="1"/>
  <c r="X1004" i="67"/>
  <c r="X1155" i="67"/>
  <c r="X398" i="67"/>
  <c r="X1308" i="67" s="1"/>
  <c r="X853" i="67"/>
  <c r="X92" i="67"/>
  <c r="X245" i="67"/>
  <c r="X550" i="67"/>
  <c r="X702" i="67"/>
  <c r="R1005" i="67"/>
  <c r="R1156" i="67"/>
  <c r="R399" i="67"/>
  <c r="R854" i="67"/>
  <c r="R703" i="67"/>
  <c r="R551" i="67"/>
  <c r="R93" i="67"/>
  <c r="R1309" i="67" s="1"/>
  <c r="R246" i="67"/>
  <c r="L1006" i="67"/>
  <c r="L1157" i="67"/>
  <c r="L400" i="67"/>
  <c r="L855" i="67"/>
  <c r="L552" i="67"/>
  <c r="L704" i="67"/>
  <c r="L94" i="67"/>
  <c r="L1310" i="67" s="1"/>
  <c r="L247" i="67"/>
  <c r="AR1006" i="67"/>
  <c r="AR1157" i="67"/>
  <c r="AR400" i="67"/>
  <c r="AR855" i="67"/>
  <c r="AR552" i="67"/>
  <c r="AR704" i="67"/>
  <c r="AR94" i="67"/>
  <c r="AR1310" i="67" s="1"/>
  <c r="AR247" i="67"/>
  <c r="AL1160" i="67"/>
  <c r="AL1009" i="67"/>
  <c r="AL403" i="67"/>
  <c r="AL858" i="67"/>
  <c r="AL707" i="67"/>
  <c r="AL555" i="67"/>
  <c r="AL250" i="67"/>
  <c r="AL97" i="67"/>
  <c r="AF1161" i="67"/>
  <c r="AF1010" i="67"/>
  <c r="AF404" i="67"/>
  <c r="AF859" i="67"/>
  <c r="AF98" i="67"/>
  <c r="AF251" i="67"/>
  <c r="AF1314" i="67" s="1"/>
  <c r="AF556" i="67"/>
  <c r="AF708" i="67"/>
  <c r="Z1162" i="67"/>
  <c r="Z1011" i="67"/>
  <c r="Z405" i="67"/>
  <c r="Z860" i="67"/>
  <c r="Z709" i="67"/>
  <c r="Z557" i="67"/>
  <c r="Z1315" i="67" s="1"/>
  <c r="Z99" i="67"/>
  <c r="Z252" i="67"/>
  <c r="Q1152" i="67"/>
  <c r="Q1001" i="67"/>
  <c r="Q395" i="67"/>
  <c r="Q850" i="67"/>
  <c r="Q547" i="67"/>
  <c r="Q699" i="67"/>
  <c r="Q89" i="67"/>
  <c r="Q242" i="67"/>
  <c r="AK48" i="68"/>
  <c r="AW1152" i="67"/>
  <c r="AW1001" i="67"/>
  <c r="AW395" i="67"/>
  <c r="AW850" i="67"/>
  <c r="AW547" i="67"/>
  <c r="AW699" i="67"/>
  <c r="AW89" i="67"/>
  <c r="AW242" i="67"/>
  <c r="BQ48" i="68"/>
  <c r="AQ1153" i="67"/>
  <c r="AQ1002" i="67"/>
  <c r="AQ396" i="67"/>
  <c r="AQ851" i="67"/>
  <c r="AQ548" i="67"/>
  <c r="AQ90" i="67"/>
  <c r="AQ1306" i="67" s="1"/>
  <c r="AQ700" i="67"/>
  <c r="AQ243" i="67"/>
  <c r="AQ1024" i="67"/>
  <c r="AQ1175" i="67"/>
  <c r="AQ418" i="67"/>
  <c r="AQ873" i="67"/>
  <c r="AQ570" i="67"/>
  <c r="AQ112" i="67"/>
  <c r="AQ1328" i="67" s="1"/>
  <c r="AQ265" i="67"/>
  <c r="AQ722" i="67"/>
  <c r="AK1025" i="67"/>
  <c r="AK1176" i="67"/>
  <c r="AK419" i="67"/>
  <c r="AK571" i="67"/>
  <c r="AK874" i="67"/>
  <c r="AK113" i="67"/>
  <c r="AK266" i="67"/>
  <c r="AK723" i="67"/>
  <c r="AK1329" i="67"/>
  <c r="AE1026" i="67"/>
  <c r="AE1177" i="67"/>
  <c r="AE420" i="67"/>
  <c r="AE875" i="67"/>
  <c r="AE572" i="67"/>
  <c r="AE114" i="67"/>
  <c r="AE267" i="67"/>
  <c r="AE724" i="67"/>
  <c r="Y1027" i="67"/>
  <c r="Y1178" i="67"/>
  <c r="Y421" i="67"/>
  <c r="Y876" i="67"/>
  <c r="Y573" i="67"/>
  <c r="Y115" i="67"/>
  <c r="Y1331" i="67" s="1"/>
  <c r="Y268" i="67"/>
  <c r="Y725" i="67"/>
  <c r="S1009" i="67"/>
  <c r="S1160" i="67"/>
  <c r="S403" i="67"/>
  <c r="S858" i="67"/>
  <c r="S555" i="67"/>
  <c r="S707" i="67"/>
  <c r="S250" i="67"/>
  <c r="S97" i="67"/>
  <c r="M1010" i="67"/>
  <c r="M1161" i="67"/>
  <c r="M404" i="67"/>
  <c r="M859" i="67"/>
  <c r="M98" i="67"/>
  <c r="M251" i="67"/>
  <c r="M1314" i="67" s="1"/>
  <c r="M556" i="67"/>
  <c r="M708" i="67"/>
  <c r="AS1010" i="67"/>
  <c r="AS1161" i="67"/>
  <c r="AS404" i="67"/>
  <c r="AS859" i="67"/>
  <c r="AS98" i="67"/>
  <c r="AS251" i="67"/>
  <c r="AS1314" i="67" s="1"/>
  <c r="AS556" i="67"/>
  <c r="AS708" i="67"/>
  <c r="V1152" i="67"/>
  <c r="V1001" i="67"/>
  <c r="V395" i="67"/>
  <c r="V850" i="67"/>
  <c r="V547" i="67"/>
  <c r="V89" i="67"/>
  <c r="V699" i="67"/>
  <c r="V242" i="67"/>
  <c r="V1305" i="67" s="1"/>
  <c r="AP48" i="68"/>
  <c r="P1153" i="67"/>
  <c r="P1002" i="67"/>
  <c r="P396" i="67"/>
  <c r="P548" i="67"/>
  <c r="P700" i="67"/>
  <c r="P851" i="67"/>
  <c r="P90" i="67"/>
  <c r="P1306" i="67" s="1"/>
  <c r="P243" i="67"/>
  <c r="AV1153" i="67"/>
  <c r="AV1002" i="67"/>
  <c r="AV396" i="67"/>
  <c r="AV548" i="67"/>
  <c r="AV700" i="67"/>
  <c r="AV851" i="67"/>
  <c r="AV1306" i="67" s="1"/>
  <c r="AV90" i="67"/>
  <c r="AV243" i="67"/>
  <c r="AV1154" i="67"/>
  <c r="AV1003" i="67"/>
  <c r="AV397" i="67"/>
  <c r="AV852" i="67"/>
  <c r="AV701" i="67"/>
  <c r="AV549" i="67"/>
  <c r="AV91" i="67"/>
  <c r="AV244" i="67"/>
  <c r="AV1307" i="67"/>
  <c r="AP1155" i="67"/>
  <c r="AP1004" i="67"/>
  <c r="AP398" i="67"/>
  <c r="AP702" i="67"/>
  <c r="AP853" i="67"/>
  <c r="AP550" i="67"/>
  <c r="AP245" i="67"/>
  <c r="AP92" i="67"/>
  <c r="AP1308" i="67" s="1"/>
  <c r="AJ1156" i="67"/>
  <c r="AJ1005" i="67"/>
  <c r="AJ399" i="67"/>
  <c r="AJ854" i="67"/>
  <c r="AJ703" i="67"/>
  <c r="AJ551" i="67"/>
  <c r="AJ246" i="67"/>
  <c r="AJ93" i="67"/>
  <c r="AJ1309" i="67" s="1"/>
  <c r="AD1157" i="67"/>
  <c r="AD1006" i="67"/>
  <c r="AD400" i="67"/>
  <c r="AD855" i="67"/>
  <c r="AD704" i="67"/>
  <c r="AD552" i="67"/>
  <c r="AD94" i="67"/>
  <c r="AD1310" i="67" s="1"/>
  <c r="AD247" i="67"/>
  <c r="X1009" i="67"/>
  <c r="X1160" i="67"/>
  <c r="X403" i="67"/>
  <c r="X858" i="67"/>
  <c r="X707" i="67"/>
  <c r="X555" i="67"/>
  <c r="X97" i="67"/>
  <c r="X1313" i="67" s="1"/>
  <c r="X250" i="67"/>
  <c r="R1010" i="67"/>
  <c r="R1161" i="67"/>
  <c r="R404" i="67"/>
  <c r="R708" i="67"/>
  <c r="R859" i="67"/>
  <c r="R556" i="67"/>
  <c r="R251" i="67"/>
  <c r="R98" i="67"/>
  <c r="L1011" i="67"/>
  <c r="L1162" i="67"/>
  <c r="L405" i="67"/>
  <c r="L860" i="67"/>
  <c r="L557" i="67"/>
  <c r="L709" i="67"/>
  <c r="L99" i="67"/>
  <c r="L252" i="67"/>
  <c r="AR1011" i="67"/>
  <c r="AR1162" i="67"/>
  <c r="AR405" i="67"/>
  <c r="AR860" i="67"/>
  <c r="AR557" i="67"/>
  <c r="AR709" i="67"/>
  <c r="AR99" i="67"/>
  <c r="AR252" i="67"/>
  <c r="S1155" i="67"/>
  <c r="S1004" i="67"/>
  <c r="S398" i="67"/>
  <c r="S853" i="67"/>
  <c r="S550" i="67"/>
  <c r="S702" i="67"/>
  <c r="S1308" i="67" s="1"/>
  <c r="S92" i="67"/>
  <c r="S245" i="67"/>
  <c r="AG1160" i="67"/>
  <c r="AG1009" i="67"/>
  <c r="AG403" i="67"/>
  <c r="AG858" i="67"/>
  <c r="AG555" i="67"/>
  <c r="AG707" i="67"/>
  <c r="AG97" i="67"/>
  <c r="AG250" i="67"/>
  <c r="AG1313" i="67"/>
  <c r="O1163" i="67"/>
  <c r="O1012" i="67"/>
  <c r="O406" i="67"/>
  <c r="O861" i="67"/>
  <c r="O558" i="67"/>
  <c r="O710" i="67"/>
  <c r="O100" i="67"/>
  <c r="O1316" i="67" s="1"/>
  <c r="O253" i="67"/>
  <c r="AU1163" i="67"/>
  <c r="AU1012" i="67"/>
  <c r="AU406" i="67"/>
  <c r="AU861" i="67"/>
  <c r="AU558" i="67"/>
  <c r="AU710" i="67"/>
  <c r="AU100" i="67"/>
  <c r="AU1316" i="67" s="1"/>
  <c r="AU253" i="67"/>
  <c r="AL1012" i="67"/>
  <c r="AL1163" i="67"/>
  <c r="AL406" i="67"/>
  <c r="AL861" i="67"/>
  <c r="AL710" i="67"/>
  <c r="AL558" i="67"/>
  <c r="AL253" i="67"/>
  <c r="AL100" i="67"/>
  <c r="AS1154" i="67"/>
  <c r="AS1003" i="67"/>
  <c r="AS397" i="67"/>
  <c r="AS852" i="67"/>
  <c r="AS701" i="67"/>
  <c r="AS549" i="67"/>
  <c r="AS1307" i="67" s="1"/>
  <c r="AS91" i="67"/>
  <c r="AS244" i="67"/>
  <c r="U1160" i="67"/>
  <c r="U1009" i="67"/>
  <c r="U403" i="67"/>
  <c r="U858" i="67"/>
  <c r="U555" i="67"/>
  <c r="U707" i="67"/>
  <c r="U97" i="67"/>
  <c r="U250" i="67"/>
  <c r="AW1162" i="67"/>
  <c r="AW1011" i="67"/>
  <c r="AW405" i="67"/>
  <c r="AW860" i="67"/>
  <c r="AW709" i="67"/>
  <c r="AW557" i="67"/>
  <c r="AW99" i="67"/>
  <c r="AW252" i="67"/>
  <c r="AW1315" i="67"/>
  <c r="AV1184" i="67"/>
  <c r="AV1033" i="67"/>
  <c r="AV427" i="67"/>
  <c r="AV882" i="67"/>
  <c r="AV579" i="67"/>
  <c r="AV121" i="67"/>
  <c r="AV1337" i="67" s="1"/>
  <c r="AV731" i="67"/>
  <c r="AV274" i="67"/>
  <c r="S1157" i="67"/>
  <c r="S1006" i="67"/>
  <c r="S400" i="67"/>
  <c r="S855" i="67"/>
  <c r="S552" i="67"/>
  <c r="S704" i="67"/>
  <c r="S94" i="67"/>
  <c r="S1310" i="67" s="1"/>
  <c r="S247" i="67"/>
  <c r="AT1012" i="67"/>
  <c r="AT1163" i="67"/>
  <c r="AT406" i="67"/>
  <c r="AT861" i="67"/>
  <c r="AT558" i="67"/>
  <c r="AT710" i="67"/>
  <c r="AT100" i="67"/>
  <c r="AT1316" i="67" s="1"/>
  <c r="AT253" i="67"/>
  <c r="AW1154" i="67"/>
  <c r="AW1003" i="67"/>
  <c r="AW397" i="67"/>
  <c r="AW701" i="67"/>
  <c r="AW852" i="67"/>
  <c r="AW549" i="67"/>
  <c r="AW244" i="67"/>
  <c r="AW91" i="67"/>
  <c r="Y1160" i="67"/>
  <c r="Y1009" i="67"/>
  <c r="Y403" i="67"/>
  <c r="Y707" i="67"/>
  <c r="Y858" i="67"/>
  <c r="Y555" i="67"/>
  <c r="Y250" i="67"/>
  <c r="Y97" i="67"/>
  <c r="M1163" i="67"/>
  <c r="M1012" i="67"/>
  <c r="M406" i="67"/>
  <c r="M861" i="67"/>
  <c r="M100" i="67"/>
  <c r="M253" i="67"/>
  <c r="M1316" i="67" s="1"/>
  <c r="M558" i="67"/>
  <c r="M710" i="67"/>
  <c r="AS1163" i="67"/>
  <c r="AS1012" i="67"/>
  <c r="AS406" i="67"/>
  <c r="AS861" i="67"/>
  <c r="AS100" i="67"/>
  <c r="AS253" i="67"/>
  <c r="AS558" i="67"/>
  <c r="AS710" i="67"/>
  <c r="AS1316" i="67"/>
  <c r="AI1157" i="67"/>
  <c r="AI1006" i="67"/>
  <c r="AI400" i="67"/>
  <c r="AI855" i="67"/>
  <c r="AI552" i="67"/>
  <c r="AI704" i="67"/>
  <c r="AI94" i="67"/>
  <c r="AI247" i="67"/>
  <c r="K1006" i="67"/>
  <c r="K1157" i="67"/>
  <c r="K400" i="67"/>
  <c r="K855" i="67"/>
  <c r="K552" i="67"/>
  <c r="K704" i="67"/>
  <c r="K94" i="67"/>
  <c r="K247" i="67"/>
  <c r="K1160" i="67"/>
  <c r="K1009" i="67"/>
  <c r="K403" i="67"/>
  <c r="K707" i="67"/>
  <c r="K858" i="67"/>
  <c r="K555" i="67"/>
  <c r="K97" i="67"/>
  <c r="K1313" i="67" s="1"/>
  <c r="K250" i="67"/>
  <c r="M1024" i="67"/>
  <c r="M1175" i="67"/>
  <c r="M418" i="67"/>
  <c r="M873" i="67"/>
  <c r="M570" i="67"/>
  <c r="M112" i="67"/>
  <c r="M1328" i="67" s="1"/>
  <c r="M265" i="67"/>
  <c r="M722" i="67"/>
  <c r="AB1025" i="67"/>
  <c r="AB1176" i="67"/>
  <c r="AB419" i="67"/>
  <c r="AB571" i="67"/>
  <c r="AB874" i="67"/>
  <c r="AB113" i="67"/>
  <c r="AB1329" i="67" s="1"/>
  <c r="AB266" i="67"/>
  <c r="AB723" i="67"/>
  <c r="P1027" i="67"/>
  <c r="P1178" i="67"/>
  <c r="P421" i="67"/>
  <c r="P573" i="67"/>
  <c r="P876" i="67"/>
  <c r="P115" i="67"/>
  <c r="P1331" i="67" s="1"/>
  <c r="P268" i="67"/>
  <c r="P725" i="67"/>
  <c r="AP1030" i="67"/>
  <c r="AP1181" i="67"/>
  <c r="AP424" i="67"/>
  <c r="AP576" i="67"/>
  <c r="AP879" i="67"/>
  <c r="AP118" i="67"/>
  <c r="AP271" i="67"/>
  <c r="AP728" i="67"/>
  <c r="AP1334" i="67"/>
  <c r="AJ1182" i="67"/>
  <c r="AJ1031" i="67"/>
  <c r="AJ425" i="67"/>
  <c r="AJ577" i="67"/>
  <c r="AJ880" i="67"/>
  <c r="AJ119" i="67"/>
  <c r="AJ272" i="67"/>
  <c r="AJ729" i="67"/>
  <c r="U1173" i="67"/>
  <c r="U1022" i="67"/>
  <c r="U416" i="67"/>
  <c r="U871" i="67"/>
  <c r="U568" i="67"/>
  <c r="U110" i="67"/>
  <c r="U1326" i="67" s="1"/>
  <c r="U263" i="67"/>
  <c r="U720" i="67"/>
  <c r="O1174" i="67"/>
  <c r="O1023" i="67"/>
  <c r="O417" i="67"/>
  <c r="O872" i="67"/>
  <c r="O569" i="67"/>
  <c r="O264" i="67"/>
  <c r="O721" i="67"/>
  <c r="O111" i="67"/>
  <c r="AU1174" i="67"/>
  <c r="AU1023" i="67"/>
  <c r="AU417" i="67"/>
  <c r="AU872" i="67"/>
  <c r="AU569" i="67"/>
  <c r="AU264" i="67"/>
  <c r="AU721" i="67"/>
  <c r="AU111" i="67"/>
  <c r="AU1003" i="67"/>
  <c r="AU1154" i="67"/>
  <c r="AU397" i="67"/>
  <c r="AU852" i="67"/>
  <c r="AU91" i="67"/>
  <c r="AU244" i="67"/>
  <c r="AU1307" i="67" s="1"/>
  <c r="AU549" i="67"/>
  <c r="AU701" i="67"/>
  <c r="AO1004" i="67"/>
  <c r="AO1155" i="67"/>
  <c r="AO398" i="67"/>
  <c r="AO853" i="67"/>
  <c r="AO702" i="67"/>
  <c r="AO550" i="67"/>
  <c r="AO1308" i="67" s="1"/>
  <c r="AO245" i="67"/>
  <c r="AO92" i="67"/>
  <c r="AI1005" i="67"/>
  <c r="AI1156" i="67"/>
  <c r="AI399" i="67"/>
  <c r="AI854" i="67"/>
  <c r="AI551" i="67"/>
  <c r="AI703" i="67"/>
  <c r="AI93" i="67"/>
  <c r="AI246" i="67"/>
  <c r="AC1006" i="67"/>
  <c r="AC1157" i="67"/>
  <c r="AC400" i="67"/>
  <c r="AC855" i="67"/>
  <c r="AC704" i="67"/>
  <c r="AC552" i="67"/>
  <c r="AC247" i="67"/>
  <c r="AC94" i="67"/>
  <c r="W1160" i="67"/>
  <c r="W1009" i="67"/>
  <c r="W403" i="67"/>
  <c r="W858" i="67"/>
  <c r="W97" i="67"/>
  <c r="W250" i="67"/>
  <c r="W555" i="67"/>
  <c r="W707" i="67"/>
  <c r="W1313" i="67"/>
  <c r="Q1031" i="67"/>
  <c r="Q1182" i="67"/>
  <c r="Q425" i="67"/>
  <c r="Q577" i="67"/>
  <c r="Q880" i="67"/>
  <c r="Q729" i="67"/>
  <c r="Q119" i="67"/>
  <c r="Q1335" i="67" s="1"/>
  <c r="Q272" i="67"/>
  <c r="AW1161" i="67"/>
  <c r="AW1010" i="67"/>
  <c r="AW404" i="67"/>
  <c r="AW859" i="67"/>
  <c r="AW708" i="67"/>
  <c r="AW556" i="67"/>
  <c r="AW98" i="67"/>
  <c r="AW251" i="67"/>
  <c r="Z1022" i="67"/>
  <c r="Z1173" i="67"/>
  <c r="Z416" i="67"/>
  <c r="Z568" i="67"/>
  <c r="Z871" i="67"/>
  <c r="Z720" i="67"/>
  <c r="Z110" i="67"/>
  <c r="Z1326" i="67" s="1"/>
  <c r="Z263" i="67"/>
  <c r="T1023" i="67"/>
  <c r="T1174" i="67"/>
  <c r="T417" i="67"/>
  <c r="T872" i="67"/>
  <c r="T569" i="67"/>
  <c r="T111" i="67"/>
  <c r="T1327" i="67" s="1"/>
  <c r="T264" i="67"/>
  <c r="T721" i="67"/>
  <c r="T1024" i="67"/>
  <c r="T1175" i="67"/>
  <c r="T418" i="67"/>
  <c r="T570" i="67"/>
  <c r="T873" i="67"/>
  <c r="T112" i="67"/>
  <c r="T265" i="67"/>
  <c r="T722" i="67"/>
  <c r="N1025" i="67"/>
  <c r="N1176" i="67"/>
  <c r="N419" i="67"/>
  <c r="N874" i="67"/>
  <c r="N571" i="67"/>
  <c r="N113" i="67"/>
  <c r="N266" i="67"/>
  <c r="N723" i="67"/>
  <c r="N1329" i="67"/>
  <c r="AT1025" i="67"/>
  <c r="AT1176" i="67"/>
  <c r="AT419" i="67"/>
  <c r="AT874" i="67"/>
  <c r="AT571" i="67"/>
  <c r="AT113" i="67"/>
  <c r="AT266" i="67"/>
  <c r="AT1329" i="67" s="1"/>
  <c r="AT723" i="67"/>
  <c r="AN1026" i="67"/>
  <c r="AN1177" i="67"/>
  <c r="AN420" i="67"/>
  <c r="AN572" i="67"/>
  <c r="AN875" i="67"/>
  <c r="AN114" i="67"/>
  <c r="AN1330" i="67" s="1"/>
  <c r="AN267" i="67"/>
  <c r="AN724" i="67"/>
  <c r="AH1027" i="67"/>
  <c r="AH1178" i="67"/>
  <c r="AH421" i="67"/>
  <c r="AH573" i="67"/>
  <c r="AH876" i="67"/>
  <c r="AH268" i="67"/>
  <c r="AH725" i="67"/>
  <c r="AH115" i="67"/>
  <c r="AB1181" i="67"/>
  <c r="AB1030" i="67"/>
  <c r="AB424" i="67"/>
  <c r="AB879" i="67"/>
  <c r="AB576" i="67"/>
  <c r="AB118" i="67"/>
  <c r="AB1334" i="67" s="1"/>
  <c r="AB271" i="67"/>
  <c r="AB728" i="67"/>
  <c r="V1182" i="67"/>
  <c r="V1031" i="67"/>
  <c r="V425" i="67"/>
  <c r="V577" i="67"/>
  <c r="V880" i="67"/>
  <c r="V119" i="67"/>
  <c r="V1335" i="67" s="1"/>
  <c r="V272" i="67"/>
  <c r="V729" i="67"/>
  <c r="P1183" i="67"/>
  <c r="P1032" i="67"/>
  <c r="P426" i="67"/>
  <c r="P578" i="67"/>
  <c r="P881" i="67"/>
  <c r="P273" i="67"/>
  <c r="P1336" i="67" s="1"/>
  <c r="P120" i="67"/>
  <c r="P730" i="67"/>
  <c r="O1173" i="67"/>
  <c r="O1022" i="67"/>
  <c r="O416" i="67"/>
  <c r="O871" i="67"/>
  <c r="O568" i="67"/>
  <c r="O110" i="67"/>
  <c r="O263" i="67"/>
  <c r="O720" i="67"/>
  <c r="O1326" i="67"/>
  <c r="AI1176" i="67"/>
  <c r="AI1025" i="67"/>
  <c r="AI419" i="67"/>
  <c r="AI874" i="67"/>
  <c r="AI571" i="67"/>
  <c r="AI113" i="67"/>
  <c r="AI266" i="67"/>
  <c r="AI723" i="67"/>
  <c r="AW1030" i="67"/>
  <c r="AW1181" i="67"/>
  <c r="AW424" i="67"/>
  <c r="AW879" i="67"/>
  <c r="AW576" i="67"/>
  <c r="AW118" i="67"/>
  <c r="AW271" i="67"/>
  <c r="AW728" i="67"/>
  <c r="S1184" i="67"/>
  <c r="S1033" i="67"/>
  <c r="S427" i="67"/>
  <c r="S882" i="67"/>
  <c r="S579" i="67"/>
  <c r="S731" i="67"/>
  <c r="S121" i="67"/>
  <c r="S1337" i="67" s="1"/>
  <c r="S274" i="67"/>
  <c r="K1011" i="67"/>
  <c r="K1162" i="67"/>
  <c r="K405" i="67"/>
  <c r="K860" i="67"/>
  <c r="K557" i="67"/>
  <c r="K709" i="67"/>
  <c r="K99" i="67"/>
  <c r="K1315" i="67" s="1"/>
  <c r="K252" i="67"/>
  <c r="K1163" i="67"/>
  <c r="K1012" i="67"/>
  <c r="K406" i="67"/>
  <c r="K861" i="67"/>
  <c r="K710" i="67"/>
  <c r="K558" i="67"/>
  <c r="K100" i="67"/>
  <c r="K1316" i="67" s="1"/>
  <c r="K253" i="67"/>
  <c r="W1025" i="67"/>
  <c r="W1176" i="67"/>
  <c r="W419" i="67"/>
  <c r="W874" i="67"/>
  <c r="W571" i="67"/>
  <c r="W113" i="67"/>
  <c r="W1329" i="67" s="1"/>
  <c r="W266" i="67"/>
  <c r="W723" i="67"/>
  <c r="AK1181" i="67"/>
  <c r="AK1030" i="67"/>
  <c r="AK424" i="67"/>
  <c r="AK879" i="67"/>
  <c r="AK576" i="67"/>
  <c r="AK118" i="67"/>
  <c r="AK1334" i="67" s="1"/>
  <c r="AK271" i="67"/>
  <c r="AK728" i="67"/>
  <c r="P1012" i="67"/>
  <c r="P1163" i="67"/>
  <c r="P406" i="67"/>
  <c r="P558" i="67"/>
  <c r="P710" i="67"/>
  <c r="P861" i="67"/>
  <c r="P253" i="67"/>
  <c r="P100" i="67"/>
  <c r="K1182" i="67"/>
  <c r="K1031" i="67"/>
  <c r="K425" i="67"/>
  <c r="K880" i="67"/>
  <c r="K119" i="67"/>
  <c r="K272" i="67"/>
  <c r="K1335" i="67" s="1"/>
  <c r="K577" i="67"/>
  <c r="K729" i="67"/>
  <c r="M1181" i="67"/>
  <c r="M1030" i="67"/>
  <c r="M424" i="67"/>
  <c r="M576" i="67"/>
  <c r="M879" i="67"/>
  <c r="M118" i="67"/>
  <c r="M271" i="67"/>
  <c r="M728" i="67"/>
  <c r="K1152" i="67"/>
  <c r="K1001" i="67"/>
  <c r="K395" i="67"/>
  <c r="K850" i="67"/>
  <c r="K89" i="67"/>
  <c r="K1305" i="67" s="1"/>
  <c r="K242" i="67"/>
  <c r="K547" i="67"/>
  <c r="K699" i="67"/>
  <c r="AE48" i="68"/>
  <c r="AA1176" i="67"/>
  <c r="AA1025" i="67"/>
  <c r="AA419" i="67"/>
  <c r="AA874" i="67"/>
  <c r="AA571" i="67"/>
  <c r="AA113" i="67"/>
  <c r="AA1329" i="67" s="1"/>
  <c r="AA266" i="67"/>
  <c r="AA723" i="67"/>
  <c r="AO1030" i="67"/>
  <c r="AO1181" i="67"/>
  <c r="AO424" i="67"/>
  <c r="AO576" i="67"/>
  <c r="AO879" i="67"/>
  <c r="AO118" i="67"/>
  <c r="AO1334" i="67" s="1"/>
  <c r="AO271" i="67"/>
  <c r="AO728" i="67"/>
  <c r="Q1033" i="67"/>
  <c r="Q1184" i="67"/>
  <c r="Q427" i="67"/>
  <c r="Q882" i="67"/>
  <c r="Q579" i="67"/>
  <c r="Q731" i="67"/>
  <c r="Q121" i="67"/>
  <c r="Q274" i="67"/>
  <c r="Q1337" i="67"/>
  <c r="AW1033" i="67"/>
  <c r="AW1184" i="67"/>
  <c r="AW427" i="67"/>
  <c r="AW882" i="67"/>
  <c r="AW579" i="67"/>
  <c r="AW731" i="67"/>
  <c r="AW121" i="67"/>
  <c r="AW274" i="67"/>
  <c r="AC1181" i="67"/>
  <c r="AC1030" i="67"/>
  <c r="AC424" i="67"/>
  <c r="AC576" i="67"/>
  <c r="AC879" i="67"/>
  <c r="AC118" i="67"/>
  <c r="AC1334" i="67" s="1"/>
  <c r="AC271" i="67"/>
  <c r="AC728" i="67"/>
  <c r="AW1153" i="67"/>
  <c r="AW1002" i="67"/>
  <c r="AW396" i="67"/>
  <c r="AW851" i="67"/>
  <c r="AW548" i="67"/>
  <c r="AW700" i="67"/>
  <c r="AW90" i="67"/>
  <c r="AW243" i="67"/>
  <c r="AM1182" i="67"/>
  <c r="AM1031" i="67"/>
  <c r="AM425" i="67"/>
  <c r="AM577" i="67"/>
  <c r="AM880" i="67"/>
  <c r="AM119" i="67"/>
  <c r="AM272" i="67"/>
  <c r="AM729" i="67"/>
  <c r="AM1335" i="67"/>
  <c r="L1173" i="67"/>
  <c r="L1022" i="67"/>
  <c r="L416" i="67"/>
  <c r="L871" i="67"/>
  <c r="L568" i="67"/>
  <c r="L110" i="67"/>
  <c r="L263" i="67"/>
  <c r="L1326" i="67" s="1"/>
  <c r="L720" i="67"/>
  <c r="AR1173" i="67"/>
  <c r="AR1022" i="67"/>
  <c r="AR416" i="67"/>
  <c r="AR871" i="67"/>
  <c r="AR568" i="67"/>
  <c r="AR110" i="67"/>
  <c r="AR1326" i="67" s="1"/>
  <c r="AR263" i="67"/>
  <c r="AR720" i="67"/>
  <c r="AL1174" i="67"/>
  <c r="AL1023" i="67"/>
  <c r="AL417" i="67"/>
  <c r="AL569" i="67"/>
  <c r="AL872" i="67"/>
  <c r="AL111" i="67"/>
  <c r="AL1327" i="67" s="1"/>
  <c r="AL264" i="67"/>
  <c r="AL721" i="67"/>
  <c r="AL1024" i="67"/>
  <c r="AL1175" i="67"/>
  <c r="AL418" i="67"/>
  <c r="AL873" i="67"/>
  <c r="AL570" i="67"/>
  <c r="AL112" i="67"/>
  <c r="AL1328" i="67" s="1"/>
  <c r="AL265" i="67"/>
  <c r="AL722" i="67"/>
  <c r="AF1025" i="67"/>
  <c r="AF1176" i="67"/>
  <c r="AF419" i="67"/>
  <c r="AF571" i="67"/>
  <c r="AF874" i="67"/>
  <c r="AF113" i="67"/>
  <c r="AF1329" i="67" s="1"/>
  <c r="AF266" i="67"/>
  <c r="AF723" i="67"/>
  <c r="Z1026" i="67"/>
  <c r="Z1177" i="67"/>
  <c r="Z420" i="67"/>
  <c r="Z875" i="67"/>
  <c r="Z572" i="67"/>
  <c r="Z267" i="67"/>
  <c r="Z724" i="67"/>
  <c r="Z114" i="67"/>
  <c r="T1027" i="67"/>
  <c r="T1178" i="67"/>
  <c r="T421" i="67"/>
  <c r="T573" i="67"/>
  <c r="T876" i="67"/>
  <c r="T115" i="67"/>
  <c r="T1331" i="67" s="1"/>
  <c r="T268" i="67"/>
  <c r="T725" i="67"/>
  <c r="N1030" i="67"/>
  <c r="N1181" i="67"/>
  <c r="N424" i="67"/>
  <c r="N879" i="67"/>
  <c r="N576" i="67"/>
  <c r="N118" i="67"/>
  <c r="N271" i="67"/>
  <c r="N728" i="67"/>
  <c r="AT1030" i="67"/>
  <c r="AT1181" i="67"/>
  <c r="AT424" i="67"/>
  <c r="AT879" i="67"/>
  <c r="AT576" i="67"/>
  <c r="AT118" i="67"/>
  <c r="AT271" i="67"/>
  <c r="AT728" i="67"/>
  <c r="AN1031" i="67"/>
  <c r="AN1182" i="67"/>
  <c r="AN425" i="67"/>
  <c r="AN577" i="67"/>
  <c r="AN880" i="67"/>
  <c r="AN119" i="67"/>
  <c r="AN272" i="67"/>
  <c r="AN729" i="67"/>
  <c r="AN1335" i="67"/>
  <c r="AH1032" i="67"/>
  <c r="AH1183" i="67"/>
  <c r="AH426" i="67"/>
  <c r="AH578" i="67"/>
  <c r="AH881" i="67"/>
  <c r="AH120" i="67"/>
  <c r="AH273" i="67"/>
  <c r="AH1336" i="67" s="1"/>
  <c r="AH730" i="67"/>
  <c r="Y1022" i="67"/>
  <c r="Y1173" i="67"/>
  <c r="Y416" i="67"/>
  <c r="Y871" i="67"/>
  <c r="Y568" i="67"/>
  <c r="Y110" i="67"/>
  <c r="Y1326" i="67" s="1"/>
  <c r="Y263" i="67"/>
  <c r="Y720" i="67"/>
  <c r="S1023" i="67"/>
  <c r="S1174" i="67"/>
  <c r="S417" i="67"/>
  <c r="S872" i="67"/>
  <c r="S569" i="67"/>
  <c r="S111" i="67"/>
  <c r="S1327" i="67" s="1"/>
  <c r="S264" i="67"/>
  <c r="S721" i="67"/>
  <c r="S1024" i="67"/>
  <c r="S1175" i="67"/>
  <c r="S418" i="67"/>
  <c r="S873" i="67"/>
  <c r="S570" i="67"/>
  <c r="S112" i="67"/>
  <c r="S265" i="67"/>
  <c r="S722" i="67"/>
  <c r="M1025" i="67"/>
  <c r="M1176" i="67"/>
  <c r="M419" i="67"/>
  <c r="M874" i="67"/>
  <c r="M571" i="67"/>
  <c r="M113" i="67"/>
  <c r="M266" i="67"/>
  <c r="M723" i="67"/>
  <c r="AS1025" i="67"/>
  <c r="AS1176" i="67"/>
  <c r="AS419" i="67"/>
  <c r="AS874" i="67"/>
  <c r="AS571" i="67"/>
  <c r="AS113" i="67"/>
  <c r="AS266" i="67"/>
  <c r="AS723" i="67"/>
  <c r="AM1026" i="67"/>
  <c r="AM1177" i="67"/>
  <c r="AM420" i="67"/>
  <c r="AM875" i="67"/>
  <c r="AM572" i="67"/>
  <c r="AM114" i="67"/>
  <c r="AM267" i="67"/>
  <c r="AM724" i="67"/>
  <c r="AM1330" i="67"/>
  <c r="AG1027" i="67"/>
  <c r="AG1178" i="67"/>
  <c r="AG421" i="67"/>
  <c r="AG573" i="67"/>
  <c r="AG876" i="67"/>
  <c r="AG115" i="67"/>
  <c r="AG268" i="67"/>
  <c r="AG1331" i="67" s="1"/>
  <c r="AG725" i="67"/>
  <c r="AA1030" i="67"/>
  <c r="AA1181" i="67"/>
  <c r="AA424" i="67"/>
  <c r="AA576" i="67"/>
  <c r="AA879" i="67"/>
  <c r="AA118" i="67"/>
  <c r="AA271" i="67"/>
  <c r="AA728" i="67"/>
  <c r="U1031" i="67"/>
  <c r="U1182" i="67"/>
  <c r="U425" i="67"/>
  <c r="U880" i="67"/>
  <c r="U577" i="67"/>
  <c r="U119" i="67"/>
  <c r="U272" i="67"/>
  <c r="U729" i="67"/>
  <c r="O1032" i="67"/>
  <c r="O1183" i="67"/>
  <c r="O426" i="67"/>
  <c r="O881" i="67"/>
  <c r="O578" i="67"/>
  <c r="O120" i="67"/>
  <c r="O273" i="67"/>
  <c r="O730" i="67"/>
  <c r="AD1022" i="67"/>
  <c r="AD1173" i="67"/>
  <c r="AD416" i="67"/>
  <c r="AD568" i="67"/>
  <c r="AD871" i="67"/>
  <c r="AD110" i="67"/>
  <c r="AD263" i="67"/>
  <c r="AD720" i="67"/>
  <c r="X1023" i="67"/>
  <c r="X1174" i="67"/>
  <c r="X417" i="67"/>
  <c r="X872" i="67"/>
  <c r="X569" i="67"/>
  <c r="X111" i="67"/>
  <c r="X1327" i="67" s="1"/>
  <c r="X264" i="67"/>
  <c r="X721" i="67"/>
  <c r="X1175" i="67"/>
  <c r="X1024" i="67"/>
  <c r="X418" i="67"/>
  <c r="X570" i="67"/>
  <c r="X873" i="67"/>
  <c r="X265" i="67"/>
  <c r="X1328" i="67" s="1"/>
  <c r="X112" i="67"/>
  <c r="X722" i="67"/>
  <c r="R1176" i="67"/>
  <c r="R1025" i="67"/>
  <c r="R419" i="67"/>
  <c r="R874" i="67"/>
  <c r="R571" i="67"/>
  <c r="R113" i="67"/>
  <c r="R266" i="67"/>
  <c r="R723" i="67"/>
  <c r="R1329" i="67"/>
  <c r="L1177" i="67"/>
  <c r="L1026" i="67"/>
  <c r="L420" i="67"/>
  <c r="L572" i="67"/>
  <c r="L875" i="67"/>
  <c r="L114" i="67"/>
  <c r="L267" i="67"/>
  <c r="L724" i="67"/>
  <c r="AR1177" i="67"/>
  <c r="AR1026" i="67"/>
  <c r="AR420" i="67"/>
  <c r="AR572" i="67"/>
  <c r="AR875" i="67"/>
  <c r="AR114" i="67"/>
  <c r="AR267" i="67"/>
  <c r="AR724" i="67"/>
  <c r="AL1178" i="67"/>
  <c r="AL1027" i="67"/>
  <c r="AL421" i="67"/>
  <c r="AL876" i="67"/>
  <c r="AL573" i="67"/>
  <c r="AL115" i="67"/>
  <c r="AL1331" i="67" s="1"/>
  <c r="AL268" i="67"/>
  <c r="AL725" i="67"/>
  <c r="AF1030" i="67"/>
  <c r="AF1181" i="67"/>
  <c r="AF424" i="67"/>
  <c r="AF576" i="67"/>
  <c r="AF879" i="67"/>
  <c r="AF271" i="67"/>
  <c r="AF118" i="67"/>
  <c r="AF1334" i="67" s="1"/>
  <c r="AF728" i="67"/>
  <c r="Z1031" i="67"/>
  <c r="Z1182" i="67"/>
  <c r="Z425" i="67"/>
  <c r="Z577" i="67"/>
  <c r="Z880" i="67"/>
  <c r="Z119" i="67"/>
  <c r="Z1335" i="67" s="1"/>
  <c r="Z272" i="67"/>
  <c r="Z729" i="67"/>
  <c r="T1032" i="67"/>
  <c r="T1183" i="67"/>
  <c r="T426" i="67"/>
  <c r="T578" i="67"/>
  <c r="T881" i="67"/>
  <c r="T120" i="67"/>
  <c r="T273" i="67"/>
  <c r="T730" i="67"/>
  <c r="T1336" i="67"/>
  <c r="AE1173" i="67"/>
  <c r="AE1022" i="67"/>
  <c r="AE416" i="67"/>
  <c r="AE568" i="67"/>
  <c r="AE871" i="67"/>
  <c r="AE110" i="67"/>
  <c r="AE263" i="67"/>
  <c r="AE1326" i="67" s="1"/>
  <c r="AE720" i="67"/>
  <c r="M1177" i="67"/>
  <c r="M1026" i="67"/>
  <c r="M420" i="67"/>
  <c r="M875" i="67"/>
  <c r="M572" i="67"/>
  <c r="M114" i="67"/>
  <c r="M1330" i="67" s="1"/>
  <c r="M267" i="67"/>
  <c r="M724" i="67"/>
  <c r="AA1031" i="67"/>
  <c r="AA1182" i="67"/>
  <c r="AA425" i="67"/>
  <c r="AA577" i="67"/>
  <c r="AA880" i="67"/>
  <c r="AA119" i="67"/>
  <c r="AA1335" i="67" s="1"/>
  <c r="AA272" i="67"/>
  <c r="AA729" i="67"/>
  <c r="W1033" i="67"/>
  <c r="W1184" i="67"/>
  <c r="W427" i="67"/>
  <c r="W882" i="67"/>
  <c r="W579" i="67"/>
  <c r="W731" i="67"/>
  <c r="W121" i="67"/>
  <c r="W274" i="67"/>
  <c r="K1026" i="67"/>
  <c r="K1177" i="67"/>
  <c r="K267" i="67"/>
  <c r="K572" i="67"/>
  <c r="K724" i="67"/>
  <c r="K420" i="67"/>
  <c r="K1330" i="67" s="1"/>
  <c r="K875" i="67"/>
  <c r="K114" i="67"/>
  <c r="S1001" i="67"/>
  <c r="S1152" i="67"/>
  <c r="S395" i="67"/>
  <c r="S850" i="67"/>
  <c r="S89" i="67"/>
  <c r="S1305" i="67" s="1"/>
  <c r="S242" i="67"/>
  <c r="S547" i="67"/>
  <c r="S699" i="67"/>
  <c r="AM48" i="68"/>
  <c r="AM1025" i="67"/>
  <c r="AM1176" i="67"/>
  <c r="AM419" i="67"/>
  <c r="AM874" i="67"/>
  <c r="AM571" i="67"/>
  <c r="AM113" i="67"/>
  <c r="AM1329" i="67" s="1"/>
  <c r="AM266" i="67"/>
  <c r="AM723" i="67"/>
  <c r="O1182" i="67"/>
  <c r="O1031" i="67"/>
  <c r="O425" i="67"/>
  <c r="O880" i="67"/>
  <c r="O577" i="67"/>
  <c r="O119" i="67"/>
  <c r="O1335" i="67" s="1"/>
  <c r="O272" i="67"/>
  <c r="O729" i="67"/>
  <c r="T1163" i="67"/>
  <c r="T1012" i="67"/>
  <c r="T406" i="67"/>
  <c r="T861" i="67"/>
  <c r="T100" i="67"/>
  <c r="T253" i="67"/>
  <c r="T1316" i="67" s="1"/>
  <c r="T558" i="67"/>
  <c r="T710" i="67"/>
  <c r="K1174" i="67"/>
  <c r="K1023" i="67"/>
  <c r="K872" i="67"/>
  <c r="K264" i="67"/>
  <c r="K417" i="67"/>
  <c r="K569" i="67"/>
  <c r="K111" i="67"/>
  <c r="K721" i="67"/>
  <c r="K1327" i="67"/>
  <c r="AS1181" i="67"/>
  <c r="AS1030" i="67"/>
  <c r="AS424" i="67"/>
  <c r="AS576" i="67"/>
  <c r="AS879" i="67"/>
  <c r="AS118" i="67"/>
  <c r="AS271" i="67"/>
  <c r="AS1334" i="67" s="1"/>
  <c r="AS728" i="67"/>
  <c r="W1152" i="67"/>
  <c r="W1001" i="67"/>
  <c r="W395" i="67"/>
  <c r="W1305" i="67" s="1"/>
  <c r="W547" i="67"/>
  <c r="W699" i="67"/>
  <c r="W850" i="67"/>
  <c r="AQ48" i="68"/>
  <c r="W89" i="67"/>
  <c r="W242" i="67"/>
  <c r="S1031" i="67"/>
  <c r="S1182" i="67"/>
  <c r="S425" i="67"/>
  <c r="S577" i="67"/>
  <c r="S880" i="67"/>
  <c r="S119" i="67"/>
  <c r="S272" i="67"/>
  <c r="S729" i="67"/>
  <c r="S1335" i="67"/>
  <c r="U1033" i="67"/>
  <c r="U1184" i="67"/>
  <c r="U427" i="67"/>
  <c r="U882" i="67"/>
  <c r="U579" i="67"/>
  <c r="U731" i="67"/>
  <c r="U121" i="67"/>
  <c r="U274" i="67"/>
  <c r="K1003" i="67"/>
  <c r="K1154" i="67"/>
  <c r="K397" i="67"/>
  <c r="K852" i="67"/>
  <c r="K549" i="67"/>
  <c r="K701" i="67"/>
  <c r="K91" i="67"/>
  <c r="K1307" i="67" s="1"/>
  <c r="K244" i="67"/>
  <c r="P1022" i="67"/>
  <c r="P1173" i="67"/>
  <c r="P416" i="67"/>
  <c r="P871" i="67"/>
  <c r="P568" i="67"/>
  <c r="P110" i="67"/>
  <c r="P1326" i="67" s="1"/>
  <c r="P263" i="67"/>
  <c r="P720" i="67"/>
  <c r="AV1022" i="67"/>
  <c r="AV1173" i="67"/>
  <c r="AV416" i="67"/>
  <c r="AV871" i="67"/>
  <c r="AV568" i="67"/>
  <c r="AV110" i="67"/>
  <c r="AV1326" i="67" s="1"/>
  <c r="AV263" i="67"/>
  <c r="AV720" i="67"/>
  <c r="AP1023" i="67"/>
  <c r="AP1174" i="67"/>
  <c r="AP417" i="67"/>
  <c r="AP569" i="67"/>
  <c r="AP872" i="67"/>
  <c r="AP264" i="67"/>
  <c r="AP721" i="67"/>
  <c r="AP111" i="67"/>
  <c r="AP1024" i="67"/>
  <c r="AP1175" i="67"/>
  <c r="AP418" i="67"/>
  <c r="AP570" i="67"/>
  <c r="AP873" i="67"/>
  <c r="AP112" i="67"/>
  <c r="AP265" i="67"/>
  <c r="AP722" i="67"/>
  <c r="AJ1025" i="67"/>
  <c r="AJ1176" i="67"/>
  <c r="AJ419" i="67"/>
  <c r="AJ571" i="67"/>
  <c r="AJ874" i="67"/>
  <c r="AJ113" i="67"/>
  <c r="AJ266" i="67"/>
  <c r="AJ723" i="67"/>
  <c r="AJ1329" i="67"/>
  <c r="AD1026" i="67"/>
  <c r="AD1177" i="67"/>
  <c r="AD420" i="67"/>
  <c r="AD572" i="67"/>
  <c r="AD875" i="67"/>
  <c r="AD114" i="67"/>
  <c r="AD267" i="67"/>
  <c r="AD1330" i="67" s="1"/>
  <c r="AD724" i="67"/>
  <c r="X1027" i="67"/>
  <c r="X1178" i="67"/>
  <c r="X421" i="67"/>
  <c r="X573" i="67"/>
  <c r="X876" i="67"/>
  <c r="X115" i="67"/>
  <c r="X268" i="67"/>
  <c r="X725" i="67"/>
  <c r="R1030" i="67"/>
  <c r="R1181" i="67"/>
  <c r="R424" i="67"/>
  <c r="R879" i="67"/>
  <c r="R576" i="67"/>
  <c r="R118" i="67"/>
  <c r="R1334" i="67" s="1"/>
  <c r="R271" i="67"/>
  <c r="R728" i="67"/>
  <c r="L1182" i="67"/>
  <c r="L1031" i="67"/>
  <c r="L425" i="67"/>
  <c r="L577" i="67"/>
  <c r="L880" i="67"/>
  <c r="L119" i="67"/>
  <c r="L1335" i="67" s="1"/>
  <c r="L272" i="67"/>
  <c r="L729" i="67"/>
  <c r="AR1182" i="67"/>
  <c r="AR1031" i="67"/>
  <c r="AR425" i="67"/>
  <c r="AR880" i="67"/>
  <c r="AR577" i="67"/>
  <c r="AR119" i="67"/>
  <c r="AR272" i="67"/>
  <c r="AR729" i="67"/>
  <c r="AR1335" i="67"/>
  <c r="AL1183" i="67"/>
  <c r="AL1032" i="67"/>
  <c r="AL426" i="67"/>
  <c r="AL881" i="67"/>
  <c r="AL578" i="67"/>
  <c r="AL120" i="67"/>
  <c r="AL273" i="67"/>
  <c r="AL730" i="67"/>
  <c r="AC1173" i="67"/>
  <c r="AC1022" i="67"/>
  <c r="AC416" i="67"/>
  <c r="AC568" i="67"/>
  <c r="AC871" i="67"/>
  <c r="AC110" i="67"/>
  <c r="AC263" i="67"/>
  <c r="AC720" i="67"/>
  <c r="W1174" i="67"/>
  <c r="W1023" i="67"/>
  <c r="W417" i="67"/>
  <c r="W569" i="67"/>
  <c r="W872" i="67"/>
  <c r="W721" i="67"/>
  <c r="W111" i="67"/>
  <c r="W1327" i="67" s="1"/>
  <c r="W264" i="67"/>
  <c r="W1003" i="67"/>
  <c r="W1154" i="67"/>
  <c r="W397" i="67"/>
  <c r="W852" i="67"/>
  <c r="W549" i="67"/>
  <c r="W701" i="67"/>
  <c r="W91" i="67"/>
  <c r="W1307" i="67" s="1"/>
  <c r="W244" i="67"/>
  <c r="Q1004" i="67"/>
  <c r="Q1155" i="67"/>
  <c r="Q398" i="67"/>
  <c r="Q853" i="67"/>
  <c r="Q550" i="67"/>
  <c r="Q702" i="67"/>
  <c r="Q92" i="67"/>
  <c r="Q1308" i="67" s="1"/>
  <c r="Q245" i="67"/>
  <c r="AW1004" i="67"/>
  <c r="AW1155" i="67"/>
  <c r="AW398" i="67"/>
  <c r="AW853" i="67"/>
  <c r="AW550" i="67"/>
  <c r="AW702" i="67"/>
  <c r="AW92" i="67"/>
  <c r="AW245" i="67"/>
  <c r="AQ1005" i="67"/>
  <c r="AQ1156" i="67"/>
  <c r="AQ399" i="67"/>
  <c r="AQ854" i="67"/>
  <c r="AQ93" i="67"/>
  <c r="AQ246" i="67"/>
  <c r="AQ1309" i="67" s="1"/>
  <c r="AQ551" i="67"/>
  <c r="AQ703" i="67"/>
  <c r="AK1027" i="67"/>
  <c r="AK1178" i="67"/>
  <c r="AK421" i="67"/>
  <c r="AK573" i="67"/>
  <c r="AK876" i="67"/>
  <c r="AK115" i="67"/>
  <c r="AK268" i="67"/>
  <c r="AK725" i="67"/>
  <c r="AE1030" i="67"/>
  <c r="AE1181" i="67"/>
  <c r="AE424" i="67"/>
  <c r="AE576" i="67"/>
  <c r="AE879" i="67"/>
  <c r="AE118" i="67"/>
  <c r="AE271" i="67"/>
  <c r="AE728" i="67"/>
  <c r="AE1334" i="67"/>
  <c r="Y1031" i="67"/>
  <c r="Y1182" i="67"/>
  <c r="Y425" i="67"/>
  <c r="Y577" i="67"/>
  <c r="Y880" i="67"/>
  <c r="Y272" i="67"/>
  <c r="Y119" i="67"/>
  <c r="Y1335" i="67" s="1"/>
  <c r="Y729" i="67"/>
  <c r="S1032" i="67"/>
  <c r="S1183" i="67"/>
  <c r="S426" i="67"/>
  <c r="S578" i="67"/>
  <c r="S881" i="67"/>
  <c r="S273" i="67"/>
  <c r="S120" i="67"/>
  <c r="S1336" i="67" s="1"/>
  <c r="S730" i="67"/>
  <c r="AH1022" i="67"/>
  <c r="AH1173" i="67"/>
  <c r="AH416" i="67"/>
  <c r="AH568" i="67"/>
  <c r="AH871" i="67"/>
  <c r="AH263" i="67"/>
  <c r="AH1326" i="67" s="1"/>
  <c r="AH110" i="67"/>
  <c r="AH720" i="67"/>
  <c r="AB1023" i="67"/>
  <c r="AB1174" i="67"/>
  <c r="AB417" i="67"/>
  <c r="AB569" i="67"/>
  <c r="AB872" i="67"/>
  <c r="AB111" i="67"/>
  <c r="AB264" i="67"/>
  <c r="AB721" i="67"/>
  <c r="AB1024" i="67"/>
  <c r="AB1175" i="67"/>
  <c r="AB418" i="67"/>
  <c r="AB570" i="67"/>
  <c r="AB873" i="67"/>
  <c r="AB112" i="67"/>
  <c r="AB265" i="67"/>
  <c r="AB722" i="67"/>
  <c r="AB1328" i="67"/>
  <c r="V1025" i="67"/>
  <c r="V1176" i="67"/>
  <c r="V419" i="67"/>
  <c r="V571" i="67"/>
  <c r="V874" i="67"/>
  <c r="V113" i="67"/>
  <c r="V266" i="67"/>
  <c r="V1329" i="67" s="1"/>
  <c r="V723" i="67"/>
  <c r="P1026" i="67"/>
  <c r="P1177" i="67"/>
  <c r="P420" i="67"/>
  <c r="P875" i="67"/>
  <c r="P572" i="67"/>
  <c r="P114" i="67"/>
  <c r="P1330" i="67" s="1"/>
  <c r="P267" i="67"/>
  <c r="P724" i="67"/>
  <c r="AV1026" i="67"/>
  <c r="AV1177" i="67"/>
  <c r="AV420" i="67"/>
  <c r="AV875" i="67"/>
  <c r="AV572" i="67"/>
  <c r="AV114" i="67"/>
  <c r="AV1330" i="67" s="1"/>
  <c r="AV267" i="67"/>
  <c r="AV724" i="67"/>
  <c r="AP1027" i="67"/>
  <c r="AP1178" i="67"/>
  <c r="AP421" i="67"/>
  <c r="AP876" i="67"/>
  <c r="AP573" i="67"/>
  <c r="AP115" i="67"/>
  <c r="AP268" i="67"/>
  <c r="AP725" i="67"/>
  <c r="AJ1181" i="67"/>
  <c r="AJ1030" i="67"/>
  <c r="AJ424" i="67"/>
  <c r="AJ576" i="67"/>
  <c r="AJ879" i="67"/>
  <c r="AJ118" i="67"/>
  <c r="AJ271" i="67"/>
  <c r="AJ728" i="67"/>
  <c r="AJ1334" i="67"/>
  <c r="AD1182" i="67"/>
  <c r="AD1031" i="67"/>
  <c r="AD425" i="67"/>
  <c r="AD880" i="67"/>
  <c r="AD577" i="67"/>
  <c r="AD119" i="67"/>
  <c r="AD272" i="67"/>
  <c r="AD1335" i="67" s="1"/>
  <c r="AD729" i="67"/>
  <c r="X1183" i="67"/>
  <c r="X1032" i="67"/>
  <c r="X426" i="67"/>
  <c r="X881" i="67"/>
  <c r="X578" i="67"/>
  <c r="X120" i="67"/>
  <c r="X1336" i="67" s="1"/>
  <c r="X273" i="67"/>
  <c r="X730" i="67"/>
  <c r="AU1173" i="67"/>
  <c r="AU1022" i="67"/>
  <c r="AU416" i="67"/>
  <c r="AU568" i="67"/>
  <c r="AU871" i="67"/>
  <c r="AU110" i="67"/>
  <c r="AU1326" i="67" s="1"/>
  <c r="AU263" i="67"/>
  <c r="AU720" i="67"/>
  <c r="AC1177" i="67"/>
  <c r="AC1026" i="67"/>
  <c r="AC420" i="67"/>
  <c r="AC572" i="67"/>
  <c r="AC875" i="67"/>
  <c r="AC114" i="67"/>
  <c r="AC267" i="67"/>
  <c r="AC724" i="67"/>
  <c r="AC1330" i="67"/>
  <c r="AQ1031" i="67"/>
  <c r="AQ1182" i="67"/>
  <c r="AQ425" i="67"/>
  <c r="AQ880" i="67"/>
  <c r="AQ577" i="67"/>
  <c r="AQ119" i="67"/>
  <c r="AQ272" i="67"/>
  <c r="AQ729" i="67"/>
  <c r="AA1184" i="67"/>
  <c r="AA1033" i="67"/>
  <c r="AA427" i="67"/>
  <c r="AA882" i="67"/>
  <c r="AA731" i="67"/>
  <c r="AA579" i="67"/>
  <c r="AA121" i="67"/>
  <c r="AA1337" i="67" s="1"/>
  <c r="AA274" i="67"/>
  <c r="AR1033" i="67"/>
  <c r="AR1184" i="67"/>
  <c r="AR427" i="67"/>
  <c r="AR882" i="67"/>
  <c r="AR579" i="67"/>
  <c r="AR731" i="67"/>
  <c r="AR121" i="67"/>
  <c r="AR1337" i="67" s="1"/>
  <c r="AR274" i="67"/>
  <c r="AI1001" i="67"/>
  <c r="AI1152" i="67"/>
  <c r="AI395" i="67"/>
  <c r="AI1305" i="67" s="1"/>
  <c r="AI850" i="67"/>
  <c r="AI89" i="67"/>
  <c r="AI242" i="67"/>
  <c r="AI547" i="67"/>
  <c r="AI699" i="67"/>
  <c r="BC48" i="68"/>
  <c r="Q1026" i="67"/>
  <c r="Q1177" i="67"/>
  <c r="Q420" i="67"/>
  <c r="Q572" i="67"/>
  <c r="Q875" i="67"/>
  <c r="Q114" i="67"/>
  <c r="Q267" i="67"/>
  <c r="Q724" i="67"/>
  <c r="Q1330" i="67"/>
  <c r="AE1182" i="67"/>
  <c r="AE1031" i="67"/>
  <c r="AE425" i="67"/>
  <c r="AE880" i="67"/>
  <c r="AE577" i="67"/>
  <c r="AE119" i="67"/>
  <c r="AE272" i="67"/>
  <c r="AE729" i="67"/>
  <c r="X1184" i="67"/>
  <c r="X1033" i="67"/>
  <c r="X427" i="67"/>
  <c r="X882" i="67"/>
  <c r="X579" i="67"/>
  <c r="X121" i="67"/>
  <c r="X731" i="67"/>
  <c r="X274" i="67"/>
  <c r="U1002" i="67"/>
  <c r="U1153" i="67"/>
  <c r="U396" i="67"/>
  <c r="U851" i="67"/>
  <c r="U700" i="67"/>
  <c r="U548" i="67"/>
  <c r="U243" i="67"/>
  <c r="U90" i="67"/>
  <c r="U1306" i="67" s="1"/>
  <c r="Q1183" i="67"/>
  <c r="Q1032" i="67"/>
  <c r="Q426" i="67"/>
  <c r="Q578" i="67"/>
  <c r="Q881" i="67"/>
  <c r="Q120" i="67"/>
  <c r="Q273" i="67"/>
  <c r="Q730" i="67"/>
  <c r="AM1152" i="67"/>
  <c r="AM1001" i="67"/>
  <c r="AM395" i="67"/>
  <c r="AM850" i="67"/>
  <c r="AM547" i="67"/>
  <c r="AM699" i="67"/>
  <c r="AM89" i="67"/>
  <c r="AM1305" i="67" s="1"/>
  <c r="AM242" i="67"/>
  <c r="BG48" i="68"/>
  <c r="U1177" i="67"/>
  <c r="U1026" i="67"/>
  <c r="U420" i="67"/>
  <c r="U875" i="67"/>
  <c r="U572" i="67"/>
  <c r="U114" i="67"/>
  <c r="U1330" i="67" s="1"/>
  <c r="U267" i="67"/>
  <c r="U724" i="67"/>
  <c r="AI1031" i="67"/>
  <c r="AI1182" i="67"/>
  <c r="AI425" i="67"/>
  <c r="AI880" i="67"/>
  <c r="AI577" i="67"/>
  <c r="AI119" i="67"/>
  <c r="AI1335" i="67" s="1"/>
  <c r="AI272" i="67"/>
  <c r="AI729" i="67"/>
  <c r="Y1033" i="67"/>
  <c r="Y1184" i="67"/>
  <c r="Y427" i="67"/>
  <c r="Y882" i="67"/>
  <c r="Y731" i="67"/>
  <c r="Y579" i="67"/>
  <c r="Y274" i="67"/>
  <c r="Y121" i="67"/>
  <c r="AQ1001" i="67"/>
  <c r="AQ1152" i="67"/>
  <c r="AQ395" i="67"/>
  <c r="AQ850" i="67"/>
  <c r="AQ547" i="67"/>
  <c r="AQ699" i="67"/>
  <c r="AQ89" i="67"/>
  <c r="AQ242" i="67"/>
  <c r="BK48" i="68"/>
  <c r="AE1032" i="67"/>
  <c r="AE1183" i="67"/>
  <c r="AE426" i="67"/>
  <c r="AE578" i="67"/>
  <c r="AE881" i="67"/>
  <c r="AE120" i="67"/>
  <c r="AE273" i="67"/>
  <c r="AE730" i="67"/>
  <c r="O1003" i="67"/>
  <c r="O1154" i="67"/>
  <c r="O397" i="67"/>
  <c r="O852" i="67"/>
  <c r="O91" i="67"/>
  <c r="O244" i="67"/>
  <c r="O1307" i="67" s="1"/>
  <c r="O549" i="67"/>
  <c r="O701" i="67"/>
  <c r="T1173" i="67"/>
  <c r="T1022" i="67"/>
  <c r="T416" i="67"/>
  <c r="T871" i="67"/>
  <c r="T568" i="67"/>
  <c r="T110" i="67"/>
  <c r="T263" i="67"/>
  <c r="T720" i="67"/>
  <c r="N1174" i="67"/>
  <c r="N1023" i="67"/>
  <c r="N417" i="67"/>
  <c r="N872" i="67"/>
  <c r="N569" i="67"/>
  <c r="N111" i="67"/>
  <c r="N1327" i="67" s="1"/>
  <c r="N264" i="67"/>
  <c r="N721" i="67"/>
  <c r="AT1174" i="67"/>
  <c r="AT1023" i="67"/>
  <c r="AT417" i="67"/>
  <c r="AT872" i="67"/>
  <c r="AT569" i="67"/>
  <c r="AT111" i="67"/>
  <c r="AT1327" i="67" s="1"/>
  <c r="AT264" i="67"/>
  <c r="AT721" i="67"/>
  <c r="AT1024" i="67"/>
  <c r="AT1175" i="67"/>
  <c r="AT418" i="67"/>
  <c r="AT570" i="67"/>
  <c r="AT873" i="67"/>
  <c r="AT112" i="67"/>
  <c r="AT265" i="67"/>
  <c r="AT722" i="67"/>
  <c r="AT1328" i="67"/>
  <c r="AN1025" i="67"/>
  <c r="AN1176" i="67"/>
  <c r="AN419" i="67"/>
  <c r="AN874" i="67"/>
  <c r="AN571" i="67"/>
  <c r="AN113" i="67"/>
  <c r="AN266" i="67"/>
  <c r="AN1329" i="67" s="1"/>
  <c r="AN723" i="67"/>
  <c r="AH1026" i="67"/>
  <c r="AH1177" i="67"/>
  <c r="AH420" i="67"/>
  <c r="AH572" i="67"/>
  <c r="AH875" i="67"/>
  <c r="AH724" i="67"/>
  <c r="AH114" i="67"/>
  <c r="AH1330" i="67" s="1"/>
  <c r="AH267" i="67"/>
  <c r="AB1027" i="67"/>
  <c r="AB1178" i="67"/>
  <c r="AB421" i="67"/>
  <c r="AB876" i="67"/>
  <c r="AB573" i="67"/>
  <c r="AB115" i="67"/>
  <c r="AB1331" i="67" s="1"/>
  <c r="AB268" i="67"/>
  <c r="AB725" i="67"/>
  <c r="V1030" i="67"/>
  <c r="V1181" i="67"/>
  <c r="V424" i="67"/>
  <c r="V576" i="67"/>
  <c r="V879" i="67"/>
  <c r="V118" i="67"/>
  <c r="V271" i="67"/>
  <c r="V728" i="67"/>
  <c r="V1334" i="67"/>
  <c r="P1031" i="67"/>
  <c r="P1182" i="67"/>
  <c r="P425" i="67"/>
  <c r="P880" i="67"/>
  <c r="P577" i="67"/>
  <c r="P119" i="67"/>
  <c r="P272" i="67"/>
  <c r="P729" i="67"/>
  <c r="AV1031" i="67"/>
  <c r="AV1182" i="67"/>
  <c r="AV425" i="67"/>
  <c r="AV880" i="67"/>
  <c r="AV577" i="67"/>
  <c r="AV119" i="67"/>
  <c r="AV729" i="67"/>
  <c r="AV272" i="67"/>
  <c r="AP1032" i="67"/>
  <c r="AP1183" i="67"/>
  <c r="AP426" i="67"/>
  <c r="AP881" i="67"/>
  <c r="AP578" i="67"/>
  <c r="AP120" i="67"/>
  <c r="AP273" i="67"/>
  <c r="AP730" i="67"/>
  <c r="AG1022" i="67"/>
  <c r="AG1173" i="67"/>
  <c r="AG416" i="67"/>
  <c r="AG568" i="67"/>
  <c r="AG871" i="67"/>
  <c r="AG110" i="67"/>
  <c r="AG263" i="67"/>
  <c r="AG1326" i="67" s="1"/>
  <c r="AG720" i="67"/>
  <c r="AA1023" i="67"/>
  <c r="AA1174" i="67"/>
  <c r="AA417" i="67"/>
  <c r="AA569" i="67"/>
  <c r="AA872" i="67"/>
  <c r="AA111" i="67"/>
  <c r="AA264" i="67"/>
  <c r="AA721" i="67"/>
  <c r="AA1154" i="67"/>
  <c r="AA1003" i="67"/>
  <c r="AA397" i="67"/>
  <c r="AA549" i="67"/>
  <c r="AA701" i="67"/>
  <c r="AA852" i="67"/>
  <c r="AA244" i="67"/>
  <c r="AA91" i="67"/>
  <c r="U1155" i="67"/>
  <c r="U1004" i="67"/>
  <c r="U398" i="67"/>
  <c r="U853" i="67"/>
  <c r="U92" i="67"/>
  <c r="U245" i="67"/>
  <c r="U1308" i="67" s="1"/>
  <c r="U550" i="67"/>
  <c r="U702" i="67"/>
  <c r="O1156" i="67"/>
  <c r="O1005" i="67"/>
  <c r="O399" i="67"/>
  <c r="O854" i="67"/>
  <c r="O551" i="67"/>
  <c r="O703" i="67"/>
  <c r="O1309" i="67" s="1"/>
  <c r="O93" i="67"/>
  <c r="O246" i="67"/>
  <c r="AU1156" i="67"/>
  <c r="AU1005" i="67"/>
  <c r="AU399" i="67"/>
  <c r="AU854" i="67"/>
  <c r="AU551" i="67"/>
  <c r="AU703" i="67"/>
  <c r="AU93" i="67"/>
  <c r="AU246" i="67"/>
  <c r="AU1309" i="67"/>
  <c r="AO1027" i="67"/>
  <c r="AO1178" i="67"/>
  <c r="AO421" i="67"/>
  <c r="AO876" i="67"/>
  <c r="AO573" i="67"/>
  <c r="AO115" i="67"/>
  <c r="AO268" i="67"/>
  <c r="AO725" i="67"/>
  <c r="AI1030" i="67"/>
  <c r="AI1181" i="67"/>
  <c r="AI424" i="67"/>
  <c r="AI879" i="67"/>
  <c r="AI576" i="67"/>
  <c r="AI118" i="67"/>
  <c r="AI1334" i="67" s="1"/>
  <c r="AI271" i="67"/>
  <c r="AI728" i="67"/>
  <c r="AC1031" i="67"/>
  <c r="AC1182" i="67"/>
  <c r="AC425" i="67"/>
  <c r="AC577" i="67"/>
  <c r="AC880" i="67"/>
  <c r="AC119" i="67"/>
  <c r="AC1335" i="67" s="1"/>
  <c r="AC272" i="67"/>
  <c r="AC729" i="67"/>
  <c r="W1032" i="67"/>
  <c r="W1183" i="67"/>
  <c r="W426" i="67"/>
  <c r="W881" i="67"/>
  <c r="W578" i="67"/>
  <c r="W120" i="67"/>
  <c r="W1336" i="67" s="1"/>
  <c r="W273" i="67"/>
  <c r="W730" i="67"/>
  <c r="AL1022" i="67"/>
  <c r="AL1173" i="67"/>
  <c r="AL416" i="67"/>
  <c r="AL871" i="67"/>
  <c r="AL568" i="67"/>
  <c r="AL110" i="67"/>
  <c r="AL263" i="67"/>
  <c r="AL720" i="67"/>
  <c r="AL1326" i="67"/>
  <c r="AF1023" i="67"/>
  <c r="AF1174" i="67"/>
  <c r="AF417" i="67"/>
  <c r="AF872" i="67"/>
  <c r="AF569" i="67"/>
  <c r="AF111" i="67"/>
  <c r="AF264" i="67"/>
  <c r="AF1327" i="67" s="1"/>
  <c r="AF721" i="67"/>
  <c r="AF1175" i="67"/>
  <c r="AF1024" i="67"/>
  <c r="AF418" i="67"/>
  <c r="AF873" i="67"/>
  <c r="AF570" i="67"/>
  <c r="AF112" i="67"/>
  <c r="AF1328" i="67" s="1"/>
  <c r="AF265" i="67"/>
  <c r="AF722" i="67"/>
  <c r="Z1176" i="67"/>
  <c r="Z1025" i="67"/>
  <c r="Z419" i="67"/>
  <c r="Z874" i="67"/>
  <c r="Z571" i="67"/>
  <c r="Z113" i="67"/>
  <c r="Z1329" i="67" s="1"/>
  <c r="Z266" i="67"/>
  <c r="Z723" i="67"/>
  <c r="T1177" i="67"/>
  <c r="T1026" i="67"/>
  <c r="T420" i="67"/>
  <c r="T875" i="67"/>
  <c r="T572" i="67"/>
  <c r="T114" i="67"/>
  <c r="T267" i="67"/>
  <c r="T724" i="67"/>
  <c r="T1330" i="67"/>
  <c r="N1178" i="67"/>
  <c r="N1027" i="67"/>
  <c r="N421" i="67"/>
  <c r="N573" i="67"/>
  <c r="N876" i="67"/>
  <c r="N115" i="67"/>
  <c r="N268" i="67"/>
  <c r="N725" i="67"/>
  <c r="AT1178" i="67"/>
  <c r="AT1027" i="67"/>
  <c r="AT421" i="67"/>
  <c r="AT876" i="67"/>
  <c r="AT573" i="67"/>
  <c r="AT115" i="67"/>
  <c r="AT268" i="67"/>
  <c r="AT725" i="67"/>
  <c r="AN1030" i="67"/>
  <c r="AN1181" i="67"/>
  <c r="AN424" i="67"/>
  <c r="AN879" i="67"/>
  <c r="AN576" i="67"/>
  <c r="AN118" i="67"/>
  <c r="AN1334" i="67" s="1"/>
  <c r="AN271" i="67"/>
  <c r="AN728" i="67"/>
  <c r="AH1031" i="67"/>
  <c r="AH1182" i="67"/>
  <c r="AH425" i="67"/>
  <c r="AH880" i="67"/>
  <c r="AH577" i="67"/>
  <c r="AH119" i="67"/>
  <c r="AH1335" i="67" s="1"/>
  <c r="AH272" i="67"/>
  <c r="AH729" i="67"/>
  <c r="AB1032" i="67"/>
  <c r="AB1183" i="67"/>
  <c r="AB426" i="67"/>
  <c r="AB881" i="67"/>
  <c r="AB578" i="67"/>
  <c r="AB120" i="67"/>
  <c r="AB1336" i="67" s="1"/>
  <c r="AB273" i="67"/>
  <c r="AB730" i="67"/>
  <c r="Y1174" i="67"/>
  <c r="Y1023" i="67"/>
  <c r="Y417" i="67"/>
  <c r="Y872" i="67"/>
  <c r="Y569" i="67"/>
  <c r="Y111" i="67"/>
  <c r="Y1327" i="67" s="1"/>
  <c r="Y264" i="67"/>
  <c r="Y721" i="67"/>
  <c r="AS1177" i="67"/>
  <c r="AS1026" i="67"/>
  <c r="AS420" i="67"/>
  <c r="AS875" i="67"/>
  <c r="AS572" i="67"/>
  <c r="AS114" i="67"/>
  <c r="AS1330" i="67" s="1"/>
  <c r="AS267" i="67"/>
  <c r="AS724" i="67"/>
  <c r="U1032" i="67"/>
  <c r="U1183" i="67"/>
  <c r="U426" i="67"/>
  <c r="U881" i="67"/>
  <c r="U578" i="67"/>
  <c r="U120" i="67"/>
  <c r="U273" i="67"/>
  <c r="U730" i="67"/>
  <c r="U1336" i="67"/>
  <c r="AE1033" i="67"/>
  <c r="AE1184" i="67"/>
  <c r="AE427" i="67"/>
  <c r="AE882" i="67"/>
  <c r="AE731" i="67"/>
  <c r="AE579" i="67"/>
  <c r="AE121" i="67"/>
  <c r="AE1337" i="67" s="1"/>
  <c r="AE274" i="67"/>
  <c r="K1155" i="67"/>
  <c r="K1004" i="67"/>
  <c r="K398" i="67"/>
  <c r="K853" i="67"/>
  <c r="K550" i="67"/>
  <c r="K702" i="67"/>
  <c r="K92" i="67"/>
  <c r="K1308" i="67" s="1"/>
  <c r="K245" i="67"/>
  <c r="M1002" i="67"/>
  <c r="M1153" i="67"/>
  <c r="M396" i="67"/>
  <c r="M548" i="67"/>
  <c r="M700" i="67"/>
  <c r="M851" i="67"/>
  <c r="M1306" i="67" s="1"/>
  <c r="M90" i="67"/>
  <c r="M243" i="67"/>
  <c r="AG1026" i="67"/>
  <c r="AG1177" i="67"/>
  <c r="AG420" i="67"/>
  <c r="AG875" i="67"/>
  <c r="AG572" i="67"/>
  <c r="AG267" i="67"/>
  <c r="AG724" i="67"/>
  <c r="AG114" i="67"/>
  <c r="AU1182" i="67"/>
  <c r="AU1031" i="67"/>
  <c r="AU425" i="67"/>
  <c r="AU880" i="67"/>
  <c r="AU577" i="67"/>
  <c r="AU119" i="67"/>
  <c r="AU272" i="67"/>
  <c r="AU729" i="67"/>
  <c r="AU1335" i="67"/>
  <c r="AB1033" i="67"/>
  <c r="AB1184" i="67"/>
  <c r="AB427" i="67"/>
  <c r="AB882" i="67"/>
  <c r="AB579" i="67"/>
  <c r="AB731" i="67"/>
  <c r="AB121" i="67"/>
  <c r="AB274" i="67"/>
  <c r="AK1002" i="67"/>
  <c r="AK1153" i="67"/>
  <c r="AK396" i="67"/>
  <c r="AK700" i="67"/>
  <c r="AK851" i="67"/>
  <c r="AK548" i="67"/>
  <c r="AK243" i="67"/>
  <c r="AK90" i="67"/>
  <c r="AK1306" i="67" s="1"/>
  <c r="AM1032" i="67"/>
  <c r="AM1183" i="67"/>
  <c r="AM426" i="67"/>
  <c r="AM881" i="67"/>
  <c r="AM578" i="67"/>
  <c r="AM120" i="67"/>
  <c r="AM273" i="67"/>
  <c r="AM1336" i="67" s="1"/>
  <c r="AM730" i="67"/>
  <c r="Q1153" i="67"/>
  <c r="Q1002" i="67"/>
  <c r="Q396" i="67"/>
  <c r="Q851" i="67"/>
  <c r="Q548" i="67"/>
  <c r="Q700" i="67"/>
  <c r="Q90" i="67"/>
  <c r="Q1306" i="67" s="1"/>
  <c r="Q243" i="67"/>
  <c r="AK1177" i="67"/>
  <c r="AK1026" i="67"/>
  <c r="AK420" i="67"/>
  <c r="AK875" i="67"/>
  <c r="AK572" i="67"/>
  <c r="AK114" i="67"/>
  <c r="AK267" i="67"/>
  <c r="AK724" i="67"/>
  <c r="M1032" i="67"/>
  <c r="M1183" i="67"/>
  <c r="M426" i="67"/>
  <c r="M881" i="67"/>
  <c r="M578" i="67"/>
  <c r="M120" i="67"/>
  <c r="M1336" i="67" s="1"/>
  <c r="M273" i="67"/>
  <c r="M730" i="67"/>
  <c r="AC1033" i="67"/>
  <c r="AC1184" i="67"/>
  <c r="AC427" i="67"/>
  <c r="AC882" i="67"/>
  <c r="AC121" i="67"/>
  <c r="AC274" i="67"/>
  <c r="AC1337" i="67" s="1"/>
  <c r="AC579" i="67"/>
  <c r="AC731" i="67"/>
  <c r="U1024" i="67"/>
  <c r="U1175" i="67"/>
  <c r="U418" i="67"/>
  <c r="U570" i="67"/>
  <c r="U873" i="67"/>
  <c r="U112" i="67"/>
  <c r="U265" i="67"/>
  <c r="U722" i="67"/>
  <c r="U1328" i="67"/>
  <c r="AU1032" i="67"/>
  <c r="AU1183" i="67"/>
  <c r="AU426" i="67"/>
  <c r="AU578" i="67"/>
  <c r="AU881" i="67"/>
  <c r="AU120" i="67"/>
  <c r="AU273" i="67"/>
  <c r="AU730" i="67"/>
  <c r="AQ1176" i="67"/>
  <c r="AQ1025" i="67"/>
  <c r="AQ419" i="67"/>
  <c r="AQ571" i="67"/>
  <c r="AQ874" i="67"/>
  <c r="AQ113" i="67"/>
  <c r="AQ266" i="67"/>
  <c r="AQ1329" i="67" s="1"/>
  <c r="AQ723" i="67"/>
  <c r="AD1033" i="67"/>
  <c r="AD1184" i="67"/>
  <c r="AD427" i="67"/>
  <c r="AD882" i="67"/>
  <c r="AD579" i="67"/>
  <c r="AD121" i="67"/>
  <c r="AD731" i="67"/>
  <c r="AD274" i="67"/>
  <c r="AH1023" i="67"/>
  <c r="AH1174" i="67"/>
  <c r="AH417" i="67"/>
  <c r="AH872" i="67"/>
  <c r="AH569" i="67"/>
  <c r="AH111" i="67"/>
  <c r="AH1327" i="67" s="1"/>
  <c r="AH721" i="67"/>
  <c r="AH264" i="67"/>
  <c r="V1026" i="67"/>
  <c r="V1177" i="67"/>
  <c r="V420" i="67"/>
  <c r="V875" i="67"/>
  <c r="V572" i="67"/>
  <c r="V114" i="67"/>
  <c r="V1330" i="67" s="1"/>
  <c r="V267" i="67"/>
  <c r="V724" i="67"/>
  <c r="AV1027" i="67"/>
  <c r="AV1178" i="67"/>
  <c r="AV421" i="67"/>
  <c r="AV876" i="67"/>
  <c r="AV573" i="67"/>
  <c r="AV115" i="67"/>
  <c r="AV268" i="67"/>
  <c r="AV725" i="67"/>
  <c r="AV1331" i="67"/>
  <c r="AD1183" i="67"/>
  <c r="AD1032" i="67"/>
  <c r="AD426" i="67"/>
  <c r="AD578" i="67"/>
  <c r="AD881" i="67"/>
  <c r="AD120" i="67"/>
  <c r="AD273" i="67"/>
  <c r="AD1336" i="67" s="1"/>
  <c r="AD730" i="67"/>
  <c r="M1154" i="67"/>
  <c r="M1003" i="67"/>
  <c r="M397" i="67"/>
  <c r="M852" i="67"/>
  <c r="M549" i="67"/>
  <c r="M701" i="67"/>
  <c r="M91" i="67"/>
  <c r="M244" i="67"/>
  <c r="AN1152" i="67"/>
  <c r="AN1001" i="67"/>
  <c r="AN395" i="67"/>
  <c r="AN850" i="67"/>
  <c r="AN547" i="67"/>
  <c r="AN699" i="67"/>
  <c r="AN89" i="67"/>
  <c r="AN1305" i="67" s="1"/>
  <c r="AN242" i="67"/>
  <c r="BH48" i="68"/>
  <c r="AH1153" i="67"/>
  <c r="AH1002" i="67"/>
  <c r="AH396" i="67"/>
  <c r="AH851" i="67"/>
  <c r="AH90" i="67"/>
  <c r="AH243" i="67"/>
  <c r="AH548" i="67"/>
  <c r="AH700" i="67"/>
  <c r="AH1306" i="67"/>
  <c r="AH1154" i="67"/>
  <c r="AH1003" i="67"/>
  <c r="AH397" i="67"/>
  <c r="AH852" i="67"/>
  <c r="AH701" i="67"/>
  <c r="AH549" i="67"/>
  <c r="AH244" i="67"/>
  <c r="AH91" i="67"/>
  <c r="AH1307" i="67" s="1"/>
  <c r="AB1155" i="67"/>
  <c r="AB1004" i="67"/>
  <c r="AB398" i="67"/>
  <c r="AB702" i="67"/>
  <c r="AB853" i="67"/>
  <c r="AB550" i="67"/>
  <c r="AB92" i="67"/>
  <c r="AB1308" i="67" s="1"/>
  <c r="AB245" i="67"/>
  <c r="V1156" i="67"/>
  <c r="V1005" i="67"/>
  <c r="V399" i="67"/>
  <c r="V854" i="67"/>
  <c r="V551" i="67"/>
  <c r="V703" i="67"/>
  <c r="V93" i="67"/>
  <c r="V1309" i="67" s="1"/>
  <c r="V246" i="67"/>
  <c r="P1157" i="67"/>
  <c r="P1006" i="67"/>
  <c r="P400" i="67"/>
  <c r="P855" i="67"/>
  <c r="P704" i="67"/>
  <c r="P552" i="67"/>
  <c r="P247" i="67"/>
  <c r="P94" i="67"/>
  <c r="AV1157" i="67"/>
  <c r="AV1006" i="67"/>
  <c r="AV400" i="67"/>
  <c r="AV855" i="67"/>
  <c r="AV704" i="67"/>
  <c r="AV552" i="67"/>
  <c r="AV247" i="67"/>
  <c r="AV94" i="67"/>
  <c r="AP1009" i="67"/>
  <c r="AP1160" i="67"/>
  <c r="AP403" i="67"/>
  <c r="AP858" i="67"/>
  <c r="AP555" i="67"/>
  <c r="AP707" i="67"/>
  <c r="AP250" i="67"/>
  <c r="AP97" i="67"/>
  <c r="AJ1010" i="67"/>
  <c r="AJ1161" i="67"/>
  <c r="AJ404" i="67"/>
  <c r="AJ708" i="67"/>
  <c r="AJ859" i="67"/>
  <c r="AJ556" i="67"/>
  <c r="AJ98" i="67"/>
  <c r="AJ1314" i="67" s="1"/>
  <c r="AJ251" i="67"/>
  <c r="AD1011" i="67"/>
  <c r="AD1162" i="67"/>
  <c r="AD405" i="67"/>
  <c r="AD860" i="67"/>
  <c r="AD709" i="67"/>
  <c r="AD557" i="67"/>
  <c r="AD252" i="67"/>
  <c r="AD99" i="67"/>
  <c r="U1152" i="67"/>
  <c r="U1001" i="67"/>
  <c r="U395" i="67"/>
  <c r="U850" i="67"/>
  <c r="U547" i="67"/>
  <c r="U699" i="67"/>
  <c r="U242" i="67"/>
  <c r="AO48" i="68"/>
  <c r="U89" i="67"/>
  <c r="O1153" i="67"/>
  <c r="O1002" i="67"/>
  <c r="O396" i="67"/>
  <c r="O851" i="67"/>
  <c r="O548" i="67"/>
  <c r="O700" i="67"/>
  <c r="O90" i="67"/>
  <c r="O243" i="67"/>
  <c r="AU1153" i="67"/>
  <c r="AU1002" i="67"/>
  <c r="AU396" i="67"/>
  <c r="AU851" i="67"/>
  <c r="AU548" i="67"/>
  <c r="AU700" i="67"/>
  <c r="AU90" i="67"/>
  <c r="AU243" i="67"/>
  <c r="AU1024" i="67"/>
  <c r="AU1175" i="67"/>
  <c r="AU418" i="67"/>
  <c r="AU873" i="67"/>
  <c r="AU570" i="67"/>
  <c r="AU112" i="67"/>
  <c r="AU265" i="67"/>
  <c r="AU722" i="67"/>
  <c r="AU1328" i="67"/>
  <c r="AO1025" i="67"/>
  <c r="AO1176" i="67"/>
  <c r="AO419" i="67"/>
  <c r="AO571" i="67"/>
  <c r="AO874" i="67"/>
  <c r="AO723" i="67"/>
  <c r="AO113" i="67"/>
  <c r="AO1329" i="67" s="1"/>
  <c r="AO266" i="67"/>
  <c r="AI1026" i="67"/>
  <c r="AI1177" i="67"/>
  <c r="AI420" i="67"/>
  <c r="AI875" i="67"/>
  <c r="AI572" i="67"/>
  <c r="AI114" i="67"/>
  <c r="AI1330" i="67" s="1"/>
  <c r="AI267" i="67"/>
  <c r="AI724" i="67"/>
  <c r="AC1027" i="67"/>
  <c r="AC1178" i="67"/>
  <c r="AC421" i="67"/>
  <c r="AC573" i="67"/>
  <c r="AC876" i="67"/>
  <c r="AC115" i="67"/>
  <c r="AC1331" i="67" s="1"/>
  <c r="AC268" i="67"/>
  <c r="AC725" i="67"/>
  <c r="W1030" i="67"/>
  <c r="W1181" i="67"/>
  <c r="W424" i="67"/>
  <c r="W879" i="67"/>
  <c r="W576" i="67"/>
  <c r="W118" i="67"/>
  <c r="W271" i="67"/>
  <c r="W728" i="67"/>
  <c r="W1334" i="67"/>
  <c r="Q1161" i="67"/>
  <c r="Q1010" i="67"/>
  <c r="Q404" i="67"/>
  <c r="Q859" i="67"/>
  <c r="Q708" i="67"/>
  <c r="Q556" i="67"/>
  <c r="Q98" i="67"/>
  <c r="Q251" i="67"/>
  <c r="AW1031" i="67"/>
  <c r="AW1182" i="67"/>
  <c r="AW425" i="67"/>
  <c r="AW577" i="67"/>
  <c r="AW880" i="67"/>
  <c r="AW729" i="67"/>
  <c r="AW119" i="67"/>
  <c r="AW272" i="67"/>
  <c r="Z1001" i="67"/>
  <c r="Z1152" i="67"/>
  <c r="Z395" i="67"/>
  <c r="Z850" i="67"/>
  <c r="Z699" i="67"/>
  <c r="Z547" i="67"/>
  <c r="Z89" i="67"/>
  <c r="Z1305" i="67" s="1"/>
  <c r="Z242" i="67"/>
  <c r="AT48" i="68"/>
  <c r="T1002" i="67"/>
  <c r="T1153" i="67"/>
  <c r="T396" i="67"/>
  <c r="T851" i="67"/>
  <c r="T548" i="67"/>
  <c r="T700" i="67"/>
  <c r="T90" i="67"/>
  <c r="T243" i="67"/>
  <c r="T1154" i="67"/>
  <c r="T1003" i="67"/>
  <c r="T397" i="67"/>
  <c r="T852" i="67"/>
  <c r="T549" i="67"/>
  <c r="T91" i="67"/>
  <c r="T1307" i="67" s="1"/>
  <c r="T701" i="67"/>
  <c r="T244" i="67"/>
  <c r="N1155" i="67"/>
  <c r="N1004" i="67"/>
  <c r="N398" i="67"/>
  <c r="N853" i="67"/>
  <c r="N550" i="67"/>
  <c r="N702" i="67"/>
  <c r="N92" i="67"/>
  <c r="N245" i="67"/>
  <c r="AT1155" i="67"/>
  <c r="AT1004" i="67"/>
  <c r="AT398" i="67"/>
  <c r="AT853" i="67"/>
  <c r="AT550" i="67"/>
  <c r="AT702" i="67"/>
  <c r="AT92" i="67"/>
  <c r="AT245" i="67"/>
  <c r="AN1156" i="67"/>
  <c r="AN1005" i="67"/>
  <c r="AN399" i="67"/>
  <c r="AN854" i="67"/>
  <c r="AN551" i="67"/>
  <c r="AN703" i="67"/>
  <c r="AN93" i="67"/>
  <c r="AN246" i="67"/>
  <c r="AN1309" i="67"/>
  <c r="AH1157" i="67"/>
  <c r="AH1006" i="67"/>
  <c r="AH400" i="67"/>
  <c r="AH855" i="67"/>
  <c r="AH552" i="67"/>
  <c r="AH704" i="67"/>
  <c r="AH94" i="67"/>
  <c r="AH247" i="67"/>
  <c r="AB1009" i="67"/>
  <c r="AB1160" i="67"/>
  <c r="AB403" i="67"/>
  <c r="AB858" i="67"/>
  <c r="AB555" i="67"/>
  <c r="AB707" i="67"/>
  <c r="AB97" i="67"/>
  <c r="AB250" i="67"/>
  <c r="V1010" i="67"/>
  <c r="V1161" i="67"/>
  <c r="V404" i="67"/>
  <c r="V859" i="67"/>
  <c r="V556" i="67"/>
  <c r="V708" i="67"/>
  <c r="V98" i="67"/>
  <c r="V1314" i="67" s="1"/>
  <c r="V251" i="67"/>
  <c r="P1011" i="67"/>
  <c r="P1162" i="67"/>
  <c r="P405" i="67"/>
  <c r="P860" i="67"/>
  <c r="P557" i="67"/>
  <c r="P709" i="67"/>
  <c r="P99" i="67"/>
  <c r="P1315" i="67" s="1"/>
  <c r="P252" i="67"/>
  <c r="O1152" i="67"/>
  <c r="O1001" i="67"/>
  <c r="O395" i="67"/>
  <c r="O850" i="67"/>
  <c r="O699" i="67"/>
  <c r="O547" i="67"/>
  <c r="O242" i="67"/>
  <c r="AI48" i="68"/>
  <c r="O89" i="67"/>
  <c r="AI1155" i="67"/>
  <c r="AI1004" i="67"/>
  <c r="AI398" i="67"/>
  <c r="AI853" i="67"/>
  <c r="AI550" i="67"/>
  <c r="AI702" i="67"/>
  <c r="AI92" i="67"/>
  <c r="AI245" i="67"/>
  <c r="AI1308" i="67"/>
  <c r="AW1160" i="67"/>
  <c r="AW1009" i="67"/>
  <c r="AW403" i="67"/>
  <c r="AW555" i="67"/>
  <c r="AW707" i="67"/>
  <c r="AW858" i="67"/>
  <c r="AW97" i="67"/>
  <c r="AW250" i="67"/>
  <c r="S1163" i="67"/>
  <c r="S1012" i="67"/>
  <c r="S406" i="67"/>
  <c r="S861" i="67"/>
  <c r="S558" i="67"/>
  <c r="S710" i="67"/>
  <c r="S100" i="67"/>
  <c r="S1316" i="67" s="1"/>
  <c r="S253" i="67"/>
  <c r="K1032" i="67"/>
  <c r="K1183" i="67"/>
  <c r="K426" i="67"/>
  <c r="K881" i="67"/>
  <c r="K120" i="67"/>
  <c r="K273" i="67"/>
  <c r="K1336" i="67" s="1"/>
  <c r="K578" i="67"/>
  <c r="K730" i="67"/>
  <c r="K1184" i="67"/>
  <c r="K1033" i="67"/>
  <c r="K274" i="67"/>
  <c r="K731" i="67"/>
  <c r="K427" i="67"/>
  <c r="K579" i="67"/>
  <c r="K882" i="67"/>
  <c r="K121" i="67"/>
  <c r="K1337" i="67"/>
  <c r="W1155" i="67"/>
  <c r="W1004" i="67"/>
  <c r="W398" i="67"/>
  <c r="W853" i="67"/>
  <c r="W550" i="67"/>
  <c r="W702" i="67"/>
  <c r="W92" i="67"/>
  <c r="W1308" i="67" s="1"/>
  <c r="W245" i="67"/>
  <c r="AK1160" i="67"/>
  <c r="AK1009" i="67"/>
  <c r="AK403" i="67"/>
  <c r="AK858" i="67"/>
  <c r="AK555" i="67"/>
  <c r="AK97" i="67"/>
  <c r="AK1313" i="67" s="1"/>
  <c r="AK707" i="67"/>
  <c r="AK250" i="67"/>
  <c r="P1184" i="67"/>
  <c r="P1033" i="67"/>
  <c r="P427" i="67"/>
  <c r="P882" i="67"/>
  <c r="P579" i="67"/>
  <c r="P121" i="67"/>
  <c r="P1337" i="67" s="1"/>
  <c r="P731" i="67"/>
  <c r="P274" i="67"/>
  <c r="K1161" i="67"/>
  <c r="K1010" i="67"/>
  <c r="K404" i="67"/>
  <c r="K859" i="67"/>
  <c r="K556" i="67"/>
  <c r="K708" i="67"/>
  <c r="K98" i="67"/>
  <c r="K251" i="67"/>
  <c r="K1314" i="67"/>
  <c r="M1160" i="67"/>
  <c r="M1009" i="67"/>
  <c r="M403" i="67"/>
  <c r="M1313" i="67" s="1"/>
  <c r="M858" i="67"/>
  <c r="M97" i="67"/>
  <c r="M250" i="67"/>
  <c r="M555" i="67"/>
  <c r="M707" i="67"/>
  <c r="K1022" i="67"/>
  <c r="K1173" i="67"/>
  <c r="K416" i="67"/>
  <c r="K871" i="67"/>
  <c r="K720" i="67"/>
  <c r="K110" i="67"/>
  <c r="K1326" i="67" s="1"/>
  <c r="K263" i="67"/>
  <c r="K568" i="67"/>
  <c r="AA1155" i="67"/>
  <c r="AA1004" i="67"/>
  <c r="AA398" i="67"/>
  <c r="AA702" i="67"/>
  <c r="AA853" i="67"/>
  <c r="AA550" i="67"/>
  <c r="AA245" i="67"/>
  <c r="AA92" i="67"/>
  <c r="AO1160" i="67"/>
  <c r="AO1009" i="67"/>
  <c r="AO403" i="67"/>
  <c r="AO858" i="67"/>
  <c r="AO707" i="67"/>
  <c r="AO555" i="67"/>
  <c r="AO250" i="67"/>
  <c r="AO97" i="67"/>
  <c r="Q1012" i="67"/>
  <c r="Q1163" i="67"/>
  <c r="Q406" i="67"/>
  <c r="Q861" i="67"/>
  <c r="Q710" i="67"/>
  <c r="Q558" i="67"/>
  <c r="Q100" i="67"/>
  <c r="Q253" i="67"/>
  <c r="AW1012" i="67"/>
  <c r="AW1163" i="67"/>
  <c r="AW406" i="67"/>
  <c r="AW861" i="67"/>
  <c r="AW710" i="67"/>
  <c r="AW558" i="67"/>
  <c r="AW100" i="67"/>
  <c r="AW253" i="67"/>
  <c r="AC1160" i="67"/>
  <c r="AC1009" i="67"/>
  <c r="AC403" i="67"/>
  <c r="AC858" i="67"/>
  <c r="AC97" i="67"/>
  <c r="AC1313" i="67" s="1"/>
  <c r="AC250" i="67"/>
  <c r="AC555" i="67"/>
  <c r="AC707" i="67"/>
  <c r="AW1174" i="67"/>
  <c r="AW1023" i="67"/>
  <c r="AW417" i="67"/>
  <c r="AW569" i="67"/>
  <c r="AW872" i="67"/>
  <c r="AW111" i="67"/>
  <c r="AW264" i="67"/>
  <c r="AW721" i="67"/>
  <c r="AM1161" i="67"/>
  <c r="AM1010" i="67"/>
  <c r="AM404" i="67"/>
  <c r="AM859" i="67"/>
  <c r="AM556" i="67"/>
  <c r="AM708" i="67"/>
  <c r="AM251" i="67"/>
  <c r="AM98" i="67"/>
  <c r="L1152" i="67"/>
  <c r="L1001" i="67"/>
  <c r="L395" i="67"/>
  <c r="L699" i="67"/>
  <c r="L850" i="67"/>
  <c r="L547" i="67"/>
  <c r="L242" i="67"/>
  <c r="L89" i="67"/>
  <c r="AF48" i="68"/>
  <c r="AR1152" i="67"/>
  <c r="AR1001" i="67"/>
  <c r="AR395" i="67"/>
  <c r="AR850" i="67"/>
  <c r="AR699" i="67"/>
  <c r="AR547" i="67"/>
  <c r="AR242" i="67"/>
  <c r="AR89" i="67"/>
  <c r="BL48" i="68"/>
  <c r="AL1153" i="67"/>
  <c r="AL1002" i="67"/>
  <c r="AL396" i="67"/>
  <c r="AL700" i="67"/>
  <c r="AL851" i="67"/>
  <c r="AL548" i="67"/>
  <c r="AL90" i="67"/>
  <c r="AL243" i="67"/>
  <c r="AL1306" i="67"/>
  <c r="AL1003" i="67"/>
  <c r="AL1154" i="67"/>
  <c r="AL397" i="67"/>
  <c r="AL549" i="67"/>
  <c r="AL701" i="67"/>
  <c r="AL852" i="67"/>
  <c r="AL91" i="67"/>
  <c r="AL1307" i="67" s="1"/>
  <c r="AL244" i="67"/>
  <c r="AF1004" i="67"/>
  <c r="AF1155" i="67"/>
  <c r="AF398" i="67"/>
  <c r="AF853" i="67"/>
  <c r="AF550" i="67"/>
  <c r="AF702" i="67"/>
  <c r="AF92" i="67"/>
  <c r="AF1308" i="67" s="1"/>
  <c r="AF245" i="67"/>
  <c r="Z1005" i="67"/>
  <c r="Z1156" i="67"/>
  <c r="Z399" i="67"/>
  <c r="Z854" i="67"/>
  <c r="Z551" i="67"/>
  <c r="Z703" i="67"/>
  <c r="Z93" i="67"/>
  <c r="Z1309" i="67" s="1"/>
  <c r="Z246" i="67"/>
  <c r="T1006" i="67"/>
  <c r="T1157" i="67"/>
  <c r="T400" i="67"/>
  <c r="T855" i="67"/>
  <c r="T94" i="67"/>
  <c r="T247" i="67"/>
  <c r="T1310" i="67" s="1"/>
  <c r="T552" i="67"/>
  <c r="T704" i="67"/>
  <c r="N1160" i="67"/>
  <c r="N1009" i="67"/>
  <c r="N403" i="67"/>
  <c r="N858" i="67"/>
  <c r="N555" i="67"/>
  <c r="N707" i="67"/>
  <c r="N97" i="67"/>
  <c r="N250" i="67"/>
  <c r="AT1160" i="67"/>
  <c r="AT1009" i="67"/>
  <c r="AT403" i="67"/>
  <c r="AT858" i="67"/>
  <c r="AT555" i="67"/>
  <c r="AT707" i="67"/>
  <c r="AT97" i="67"/>
  <c r="AT250" i="67"/>
  <c r="AT1313" i="67"/>
  <c r="AN1161" i="67"/>
  <c r="AN1010" i="67"/>
  <c r="AN404" i="67"/>
  <c r="AN859" i="67"/>
  <c r="AN556" i="67"/>
  <c r="AN708" i="67"/>
  <c r="AN98" i="67"/>
  <c r="AN251" i="67"/>
  <c r="AH1162" i="67"/>
  <c r="AH1011" i="67"/>
  <c r="AH405" i="67"/>
  <c r="AH860" i="67"/>
  <c r="AH557" i="67"/>
  <c r="AH709" i="67"/>
  <c r="AH252" i="67"/>
  <c r="AH99" i="67"/>
  <c r="AH1315" i="67" s="1"/>
  <c r="Y1152" i="67"/>
  <c r="Y1001" i="67"/>
  <c r="Y395" i="67"/>
  <c r="Y1305" i="67" s="1"/>
  <c r="Y850" i="67"/>
  <c r="Y89" i="67"/>
  <c r="Y242" i="67"/>
  <c r="Y547" i="67"/>
  <c r="Y699" i="67"/>
  <c r="AS48" i="68"/>
  <c r="S1153" i="67"/>
  <c r="S1002" i="67"/>
  <c r="S396" i="67"/>
  <c r="S851" i="67"/>
  <c r="S548" i="67"/>
  <c r="S90" i="67"/>
  <c r="S1306" i="67" s="1"/>
  <c r="S700" i="67"/>
  <c r="S243" i="67"/>
  <c r="S1003" i="67"/>
  <c r="S1154" i="67"/>
  <c r="S397" i="67"/>
  <c r="S852" i="67"/>
  <c r="S701" i="67"/>
  <c r="S549" i="67"/>
  <c r="S91" i="67"/>
  <c r="S244" i="67"/>
  <c r="S1307" i="67"/>
  <c r="M1155" i="67"/>
  <c r="M1004" i="67"/>
  <c r="M398" i="67"/>
  <c r="M853" i="67"/>
  <c r="M550" i="67"/>
  <c r="M702" i="67"/>
  <c r="M92" i="67"/>
  <c r="M245" i="67"/>
  <c r="AS1155" i="67"/>
  <c r="AS1004" i="67"/>
  <c r="AS398" i="67"/>
  <c r="AS853" i="67"/>
  <c r="AS550" i="67"/>
  <c r="AS702" i="67"/>
  <c r="AS92" i="67"/>
  <c r="AS245" i="67"/>
  <c r="AM1156" i="67"/>
  <c r="AM1005" i="67"/>
  <c r="AM399" i="67"/>
  <c r="AM703" i="67"/>
  <c r="AM854" i="67"/>
  <c r="AM551" i="67"/>
  <c r="AM246" i="67"/>
  <c r="AM93" i="67"/>
  <c r="AM1309" i="67" s="1"/>
  <c r="AG1157" i="67"/>
  <c r="AG1006" i="67"/>
  <c r="AG400" i="67"/>
  <c r="AG855" i="67"/>
  <c r="AG552" i="67"/>
  <c r="AG704" i="67"/>
  <c r="AG94" i="67"/>
  <c r="AG1310" i="67" s="1"/>
  <c r="AG247" i="67"/>
  <c r="AA1009" i="67"/>
  <c r="AA1160" i="67"/>
  <c r="AA403" i="67"/>
  <c r="AA858" i="67"/>
  <c r="AA707" i="67"/>
  <c r="AA555" i="67"/>
  <c r="AA97" i="67"/>
  <c r="AA1313" i="67" s="1"/>
  <c r="AA250" i="67"/>
  <c r="U1010" i="67"/>
  <c r="U1161" i="67"/>
  <c r="U404" i="67"/>
  <c r="U859" i="67"/>
  <c r="U556" i="67"/>
  <c r="U708" i="67"/>
  <c r="U98" i="67"/>
  <c r="U251" i="67"/>
  <c r="O1011" i="67"/>
  <c r="O1162" i="67"/>
  <c r="O405" i="67"/>
  <c r="O860" i="67"/>
  <c r="O709" i="67"/>
  <c r="O557" i="67"/>
  <c r="O1315" i="67" s="1"/>
  <c r="O99" i="67"/>
  <c r="O252" i="67"/>
  <c r="AD1152" i="67"/>
  <c r="AD1001" i="67"/>
  <c r="AD395" i="67"/>
  <c r="AD850" i="67"/>
  <c r="AD547" i="67"/>
  <c r="AD89" i="67"/>
  <c r="AD699" i="67"/>
  <c r="AD242" i="67"/>
  <c r="AX48" i="68"/>
  <c r="X1153" i="67"/>
  <c r="X1002" i="67"/>
  <c r="X396" i="67"/>
  <c r="X700" i="67"/>
  <c r="X851" i="67"/>
  <c r="X548" i="67"/>
  <c r="X243" i="67"/>
  <c r="X90" i="67"/>
  <c r="X1306" i="67" s="1"/>
  <c r="X1154" i="67"/>
  <c r="X1003" i="67"/>
  <c r="X397" i="67"/>
  <c r="X852" i="67"/>
  <c r="X549" i="67"/>
  <c r="X701" i="67"/>
  <c r="X91" i="67"/>
  <c r="X244" i="67"/>
  <c r="R1155" i="67"/>
  <c r="R1004" i="67"/>
  <c r="R398" i="67"/>
  <c r="R853" i="67"/>
  <c r="R550" i="67"/>
  <c r="R702" i="67"/>
  <c r="R92" i="67"/>
  <c r="R1308" i="67" s="1"/>
  <c r="R245" i="67"/>
  <c r="L1156" i="67"/>
  <c r="L1005" i="67"/>
  <c r="L399" i="67"/>
  <c r="L854" i="67"/>
  <c r="L551" i="67"/>
  <c r="L703" i="67"/>
  <c r="L93" i="67"/>
  <c r="L1309" i="67" s="1"/>
  <c r="L246" i="67"/>
  <c r="AR1156" i="67"/>
  <c r="AR1005" i="67"/>
  <c r="AR399" i="67"/>
  <c r="AR854" i="67"/>
  <c r="AR551" i="67"/>
  <c r="AR703" i="67"/>
  <c r="AR1309" i="67" s="1"/>
  <c r="AR93" i="67"/>
  <c r="AR246" i="67"/>
  <c r="AL1157" i="67"/>
  <c r="AL1006" i="67"/>
  <c r="AL400" i="67"/>
  <c r="AL552" i="67"/>
  <c r="AL704" i="67"/>
  <c r="AL855" i="67"/>
  <c r="AL247" i="67"/>
  <c r="AL94" i="67"/>
  <c r="AF1009" i="67"/>
  <c r="AF1160" i="67"/>
  <c r="AF403" i="67"/>
  <c r="AF858" i="67"/>
  <c r="AF555" i="67"/>
  <c r="AF707" i="67"/>
  <c r="AF97" i="67"/>
  <c r="AF250" i="67"/>
  <c r="Z1010" i="67"/>
  <c r="Z1161" i="67"/>
  <c r="Z404" i="67"/>
  <c r="Z859" i="67"/>
  <c r="Z556" i="67"/>
  <c r="Z708" i="67"/>
  <c r="Z98" i="67"/>
  <c r="Z251" i="67"/>
  <c r="Z1314" i="67"/>
  <c r="T1011" i="67"/>
  <c r="T1162" i="67"/>
  <c r="T405" i="67"/>
  <c r="T1315" i="67" s="1"/>
  <c r="T860" i="67"/>
  <c r="T99" i="67"/>
  <c r="T252" i="67"/>
  <c r="T557" i="67"/>
  <c r="T709" i="67"/>
  <c r="AE1001" i="67"/>
  <c r="AE1152" i="67"/>
  <c r="AE395" i="67"/>
  <c r="AE699" i="67"/>
  <c r="AE850" i="67"/>
  <c r="AE547" i="67"/>
  <c r="AE242" i="67"/>
  <c r="AE89" i="67"/>
  <c r="AY48" i="68"/>
  <c r="M1156" i="67"/>
  <c r="M1005" i="67"/>
  <c r="M399" i="67"/>
  <c r="M551" i="67"/>
  <c r="M703" i="67"/>
  <c r="M854" i="67"/>
  <c r="M246" i="67"/>
  <c r="M93" i="67"/>
  <c r="AA1161" i="67"/>
  <c r="AA1010" i="67"/>
  <c r="AA404" i="67"/>
  <c r="AA859" i="67"/>
  <c r="AA556" i="67"/>
  <c r="AA708" i="67"/>
  <c r="AA1314" i="67" s="1"/>
  <c r="AA98" i="67"/>
  <c r="AA251" i="67"/>
  <c r="W1163" i="67"/>
  <c r="W1012" i="67"/>
  <c r="W406" i="67"/>
  <c r="W861" i="67"/>
  <c r="W710" i="67"/>
  <c r="W558" i="67"/>
  <c r="W100" i="67"/>
  <c r="W253" i="67"/>
  <c r="K1156" i="67"/>
  <c r="K1005" i="67"/>
  <c r="K399" i="67"/>
  <c r="K854" i="67"/>
  <c r="K703" i="67"/>
  <c r="K551" i="67"/>
  <c r="K93" i="67"/>
  <c r="K246" i="67"/>
  <c r="S1173" i="67"/>
  <c r="S1022" i="67"/>
  <c r="S416" i="67"/>
  <c r="S568" i="67"/>
  <c r="S871" i="67"/>
  <c r="S110" i="67"/>
  <c r="S263" i="67"/>
  <c r="S720" i="67"/>
  <c r="S1326" i="67"/>
  <c r="AM1155" i="67"/>
  <c r="AM1004" i="67"/>
  <c r="AM398" i="67"/>
  <c r="AM853" i="67"/>
  <c r="AM702" i="67"/>
  <c r="AM550" i="67"/>
  <c r="AM92" i="67"/>
  <c r="AM245" i="67"/>
  <c r="O1161" i="67"/>
  <c r="O1010" i="67"/>
  <c r="O404" i="67"/>
  <c r="O859" i="67"/>
  <c r="O708" i="67"/>
  <c r="O556" i="67"/>
  <c r="O98" i="67"/>
  <c r="O251" i="67"/>
  <c r="T1033" i="67"/>
  <c r="T1184" i="67"/>
  <c r="T427" i="67"/>
  <c r="T882" i="67"/>
  <c r="T731" i="67"/>
  <c r="T579" i="67"/>
  <c r="T121" i="67"/>
  <c r="T1337" i="67" s="1"/>
  <c r="T274" i="67"/>
  <c r="K1153" i="67"/>
  <c r="K1002" i="67"/>
  <c r="K396" i="67"/>
  <c r="K851" i="67"/>
  <c r="K548" i="67"/>
  <c r="K700" i="67"/>
  <c r="K90" i="67"/>
  <c r="K1306" i="67" s="1"/>
  <c r="K243" i="67"/>
  <c r="AS1160" i="67"/>
  <c r="AS1009" i="67"/>
  <c r="AS403" i="67"/>
  <c r="AS858" i="67"/>
  <c r="AS555" i="67"/>
  <c r="AS707" i="67"/>
  <c r="AS250" i="67"/>
  <c r="AS97" i="67"/>
  <c r="W1173" i="67"/>
  <c r="W1022" i="67"/>
  <c r="W416" i="67"/>
  <c r="W871" i="67"/>
  <c r="W568" i="67"/>
  <c r="W110" i="67"/>
  <c r="W263" i="67"/>
  <c r="W720" i="67"/>
  <c r="S1161" i="67"/>
  <c r="S1010" i="67"/>
  <c r="S404" i="67"/>
  <c r="S859" i="67"/>
  <c r="S708" i="67"/>
  <c r="S556" i="67"/>
  <c r="S251" i="67"/>
  <c r="S98" i="67"/>
  <c r="U1163" i="67"/>
  <c r="U1012" i="67"/>
  <c r="U406" i="67"/>
  <c r="U861" i="67"/>
  <c r="U558" i="67"/>
  <c r="U710" i="67"/>
  <c r="U100" i="67"/>
  <c r="U1316" i="67" s="1"/>
  <c r="U253" i="67"/>
  <c r="K1024" i="67"/>
  <c r="K1175" i="67"/>
  <c r="K873" i="67"/>
  <c r="K112" i="67"/>
  <c r="K722" i="67"/>
  <c r="K265" i="67"/>
  <c r="K1328" i="67" s="1"/>
  <c r="K418" i="67"/>
  <c r="K570" i="67"/>
  <c r="P1152" i="67"/>
  <c r="P1001" i="67"/>
  <c r="P395" i="67"/>
  <c r="P850" i="67"/>
  <c r="P699" i="67"/>
  <c r="P547" i="67"/>
  <c r="P242" i="67"/>
  <c r="AJ48" i="68"/>
  <c r="P89" i="67"/>
  <c r="AV1152" i="67"/>
  <c r="AV1001" i="67"/>
  <c r="AV395" i="67"/>
  <c r="AV850" i="67"/>
  <c r="AV699" i="67"/>
  <c r="AV547" i="67"/>
  <c r="AV242" i="67"/>
  <c r="BP48" i="68"/>
  <c r="AV89" i="67"/>
  <c r="AV1305" i="67" s="1"/>
  <c r="AP1153" i="67"/>
  <c r="AP1002" i="67"/>
  <c r="AP396" i="67"/>
  <c r="AP851" i="67"/>
  <c r="AP548" i="67"/>
  <c r="AP700" i="67"/>
  <c r="AP90" i="67"/>
  <c r="AP243" i="67"/>
  <c r="AP1154" i="67"/>
  <c r="AP1003" i="67"/>
  <c r="AP397" i="67"/>
  <c r="AP852" i="67"/>
  <c r="AP549" i="67"/>
  <c r="AP701" i="67"/>
  <c r="AP91" i="67"/>
  <c r="AP244" i="67"/>
  <c r="AJ1155" i="67"/>
  <c r="AJ1004" i="67"/>
  <c r="AJ398" i="67"/>
  <c r="AJ853" i="67"/>
  <c r="AJ550" i="67"/>
  <c r="AJ702" i="67"/>
  <c r="AJ245" i="67"/>
  <c r="AJ92" i="67"/>
  <c r="AJ1308" i="67" s="1"/>
  <c r="AD1156" i="67"/>
  <c r="AD1005" i="67"/>
  <c r="AD399" i="67"/>
  <c r="AD1309" i="67" s="1"/>
  <c r="AD854" i="67"/>
  <c r="AD93" i="67"/>
  <c r="AD246" i="67"/>
  <c r="AD551" i="67"/>
  <c r="AD703" i="67"/>
  <c r="X1157" i="67"/>
  <c r="X1006" i="67"/>
  <c r="X400" i="67"/>
  <c r="X552" i="67"/>
  <c r="X704" i="67"/>
  <c r="X855" i="67"/>
  <c r="X94" i="67"/>
  <c r="X1310" i="67" s="1"/>
  <c r="X247" i="67"/>
  <c r="R1009" i="67"/>
  <c r="R1160" i="67"/>
  <c r="R403" i="67"/>
  <c r="R858" i="67"/>
  <c r="R707" i="67"/>
  <c r="R555" i="67"/>
  <c r="R97" i="67"/>
  <c r="R250" i="67"/>
  <c r="L1010" i="67"/>
  <c r="L1161" i="67"/>
  <c r="L404" i="67"/>
  <c r="L859" i="67"/>
  <c r="L556" i="67"/>
  <c r="L708" i="67"/>
  <c r="L251" i="67"/>
  <c r="L98" i="67"/>
  <c r="AR1010" i="67"/>
  <c r="AR1161" i="67"/>
  <c r="AR404" i="67"/>
  <c r="AR859" i="67"/>
  <c r="AR556" i="67"/>
  <c r="AR708" i="67"/>
  <c r="AR251" i="67"/>
  <c r="AR98" i="67"/>
  <c r="AL1011" i="67"/>
  <c r="AL1162" i="67"/>
  <c r="AL405" i="67"/>
  <c r="AL860" i="67"/>
  <c r="AL557" i="67"/>
  <c r="AL709" i="67"/>
  <c r="AL1315" i="67" s="1"/>
  <c r="AL99" i="67"/>
  <c r="AL252" i="67"/>
  <c r="AC1152" i="67"/>
  <c r="AC1001" i="67"/>
  <c r="AC395" i="67"/>
  <c r="AC850" i="67"/>
  <c r="AC699" i="67"/>
  <c r="AC547" i="67"/>
  <c r="AC89" i="67"/>
  <c r="AC1305" i="67" s="1"/>
  <c r="AW48" i="68"/>
  <c r="AC242" i="67"/>
  <c r="W1153" i="67"/>
  <c r="W1002" i="67"/>
  <c r="W396" i="67"/>
  <c r="W851" i="67"/>
  <c r="W700" i="67"/>
  <c r="W548" i="67"/>
  <c r="W90" i="67"/>
  <c r="W1306" i="67" s="1"/>
  <c r="W243" i="67"/>
  <c r="W1024" i="67"/>
  <c r="W1175" i="67"/>
  <c r="W418" i="67"/>
  <c r="W570" i="67"/>
  <c r="W873" i="67"/>
  <c r="W112" i="67"/>
  <c r="W1328" i="67" s="1"/>
  <c r="W265" i="67"/>
  <c r="W722" i="67"/>
  <c r="Q1025" i="67"/>
  <c r="Q1176" i="67"/>
  <c r="Q419" i="67"/>
  <c r="Q571" i="67"/>
  <c r="Q874" i="67"/>
  <c r="Q266" i="67"/>
  <c r="Q113" i="67"/>
  <c r="Q723" i="67"/>
  <c r="Q1329" i="67"/>
  <c r="AW1025" i="67"/>
  <c r="AW1176" i="67"/>
  <c r="AW419" i="67"/>
  <c r="AW571" i="67"/>
  <c r="AW874" i="67"/>
  <c r="AW266" i="67"/>
  <c r="AW113" i="67"/>
  <c r="AW723" i="67"/>
  <c r="AQ1026" i="67"/>
  <c r="AQ1177" i="67"/>
  <c r="AQ420" i="67"/>
  <c r="AQ572" i="67"/>
  <c r="AQ875" i="67"/>
  <c r="AQ114" i="67"/>
  <c r="AQ1330" i="67" s="1"/>
  <c r="AQ267" i="67"/>
  <c r="AQ724" i="67"/>
  <c r="AK1006" i="67"/>
  <c r="AK1157" i="67"/>
  <c r="AK400" i="67"/>
  <c r="AK855" i="67"/>
  <c r="AK552" i="67"/>
  <c r="AK704" i="67"/>
  <c r="AK1310" i="67" s="1"/>
  <c r="AK94" i="67"/>
  <c r="AK247" i="67"/>
  <c r="AE1160" i="67"/>
  <c r="AE1009" i="67"/>
  <c r="AE403" i="67"/>
  <c r="AE858" i="67"/>
  <c r="AE555" i="67"/>
  <c r="AE707" i="67"/>
  <c r="AE97" i="67"/>
  <c r="AE250" i="67"/>
  <c r="Y1161" i="67"/>
  <c r="Y1010" i="67"/>
  <c r="Y404" i="67"/>
  <c r="Y859" i="67"/>
  <c r="Y556" i="67"/>
  <c r="Y708" i="67"/>
  <c r="Y98" i="67"/>
  <c r="Y251" i="67"/>
  <c r="S1162" i="67"/>
  <c r="S1011" i="67"/>
  <c r="S405" i="67"/>
  <c r="S860" i="67"/>
  <c r="S557" i="67"/>
  <c r="S709" i="67"/>
  <c r="S99" i="67"/>
  <c r="S252" i="67"/>
  <c r="AH1001" i="67"/>
  <c r="AH1152" i="67"/>
  <c r="AH395" i="67"/>
  <c r="AH850" i="67"/>
  <c r="AH547" i="67"/>
  <c r="AH699" i="67"/>
  <c r="AH242" i="67"/>
  <c r="AH89" i="67"/>
  <c r="AH1305" i="67" s="1"/>
  <c r="BB48" i="68"/>
  <c r="AB1002" i="67"/>
  <c r="AB1153" i="67"/>
  <c r="AB396" i="67"/>
  <c r="AB851" i="67"/>
  <c r="AB90" i="67"/>
  <c r="AB243" i="67"/>
  <c r="AB1306" i="67" s="1"/>
  <c r="AB548" i="67"/>
  <c r="AB700" i="67"/>
  <c r="AB1154" i="67"/>
  <c r="AB1003" i="67"/>
  <c r="AB397" i="67"/>
  <c r="AB852" i="67"/>
  <c r="AB549" i="67"/>
  <c r="AB91" i="67"/>
  <c r="AB1307" i="67" s="1"/>
  <c r="AB701" i="67"/>
  <c r="AB244" i="67"/>
  <c r="V1155" i="67"/>
  <c r="V1004" i="67"/>
  <c r="V398" i="67"/>
  <c r="V853" i="67"/>
  <c r="V702" i="67"/>
  <c r="V550" i="67"/>
  <c r="V1308" i="67" s="1"/>
  <c r="V92" i="67"/>
  <c r="V245" i="67"/>
  <c r="P1156" i="67"/>
  <c r="P1005" i="67"/>
  <c r="P399" i="67"/>
  <c r="P854" i="67"/>
  <c r="P703" i="67"/>
  <c r="P551" i="67"/>
  <c r="P93" i="67"/>
  <c r="P246" i="67"/>
  <c r="AV1156" i="67"/>
  <c r="AV1005" i="67"/>
  <c r="AV399" i="67"/>
  <c r="AV854" i="67"/>
  <c r="AV703" i="67"/>
  <c r="AV551" i="67"/>
  <c r="AV93" i="67"/>
  <c r="AV246" i="67"/>
  <c r="AV1309" i="67"/>
  <c r="AP1157" i="67"/>
  <c r="AP1006" i="67"/>
  <c r="AP400" i="67"/>
  <c r="AP1310" i="67" s="1"/>
  <c r="AP855" i="67"/>
  <c r="AP94" i="67"/>
  <c r="AP247" i="67"/>
  <c r="AP552" i="67"/>
  <c r="AP704" i="67"/>
  <c r="AJ1009" i="67"/>
  <c r="AJ1160" i="67"/>
  <c r="AJ403" i="67"/>
  <c r="AJ858" i="67"/>
  <c r="AJ97" i="67"/>
  <c r="AJ250" i="67"/>
  <c r="AJ1313" i="67" s="1"/>
  <c r="AJ555" i="67"/>
  <c r="AJ707" i="67"/>
  <c r="AD1010" i="67"/>
  <c r="AD1161" i="67"/>
  <c r="AD404" i="67"/>
  <c r="AD859" i="67"/>
  <c r="AD556" i="67"/>
  <c r="AD98" i="67"/>
  <c r="AD1314" i="67" s="1"/>
  <c r="AD708" i="67"/>
  <c r="AD251" i="67"/>
  <c r="X1011" i="67"/>
  <c r="X1162" i="67"/>
  <c r="X405" i="67"/>
  <c r="X860" i="67"/>
  <c r="X709" i="67"/>
  <c r="X557" i="67"/>
  <c r="X99" i="67"/>
  <c r="X252" i="67"/>
  <c r="X1315" i="67"/>
  <c r="AU1152" i="67"/>
  <c r="AU1001" i="67"/>
  <c r="AU395" i="67"/>
  <c r="AU850" i="67"/>
  <c r="AU699" i="67"/>
  <c r="AU547" i="67"/>
  <c r="AU242" i="67"/>
  <c r="BO48" i="68"/>
  <c r="AU89" i="67"/>
  <c r="AC1156" i="67"/>
  <c r="AC1005" i="67"/>
  <c r="AC399" i="67"/>
  <c r="AC854" i="67"/>
  <c r="AC551" i="67"/>
  <c r="AC703" i="67"/>
  <c r="AC246" i="67"/>
  <c r="AC93" i="67"/>
  <c r="AQ1161" i="67"/>
  <c r="AQ1010" i="67"/>
  <c r="AQ404" i="67"/>
  <c r="AQ859" i="67"/>
  <c r="AQ556" i="67"/>
  <c r="AQ708" i="67"/>
  <c r="AQ98" i="67"/>
  <c r="AQ1314" i="67" s="1"/>
  <c r="AQ251" i="67"/>
  <c r="AA1163" i="67"/>
  <c r="AA1012" i="67"/>
  <c r="AA406" i="67"/>
  <c r="AA861" i="67"/>
  <c r="AA710" i="67"/>
  <c r="AA558" i="67"/>
  <c r="AA253" i="67"/>
  <c r="AA100" i="67"/>
  <c r="AR1163" i="67"/>
  <c r="AR1012" i="67"/>
  <c r="AR406" i="67"/>
  <c r="AR861" i="67"/>
  <c r="AR558" i="67"/>
  <c r="AR710" i="67"/>
  <c r="AR100" i="67"/>
  <c r="AR253" i="67"/>
  <c r="AI1173" i="67"/>
  <c r="AI1022" i="67"/>
  <c r="AI416" i="67"/>
  <c r="AI568" i="67"/>
  <c r="AI871" i="67"/>
  <c r="AI110" i="67"/>
  <c r="AI1326" i="67" s="1"/>
  <c r="AI263" i="67"/>
  <c r="AI720" i="67"/>
  <c r="Q1156" i="67"/>
  <c r="Q1005" i="67"/>
  <c r="Q399" i="67"/>
  <c r="Q854" i="67"/>
  <c r="Q551" i="67"/>
  <c r="Q703" i="67"/>
  <c r="Q93" i="67"/>
  <c r="Q246" i="67"/>
  <c r="AE1161" i="67"/>
  <c r="AE1010" i="67"/>
  <c r="AE404" i="67"/>
  <c r="AE859" i="67"/>
  <c r="AE708" i="67"/>
  <c r="AE556" i="67"/>
  <c r="AE1314" i="67" s="1"/>
  <c r="AE98" i="67"/>
  <c r="AE251" i="67"/>
  <c r="X1012" i="67"/>
  <c r="X1163" i="67"/>
  <c r="X406" i="67"/>
  <c r="X710" i="67"/>
  <c r="X861" i="67"/>
  <c r="X558" i="67"/>
  <c r="X100" i="67"/>
  <c r="X253" i="67"/>
  <c r="X1316" i="67"/>
  <c r="U1174" i="67"/>
  <c r="U1023" i="67"/>
  <c r="U417" i="67"/>
  <c r="U569" i="67"/>
  <c r="U872" i="67"/>
  <c r="U111" i="67"/>
  <c r="U264" i="67"/>
  <c r="U1327" i="67" s="1"/>
  <c r="U721" i="67"/>
  <c r="Q1162" i="67"/>
  <c r="Q1011" i="67"/>
  <c r="Q405" i="67"/>
  <c r="Q860" i="67"/>
  <c r="Q709" i="67"/>
  <c r="Q557" i="67"/>
  <c r="Q99" i="67"/>
  <c r="Q1315" i="67" s="1"/>
  <c r="Q252" i="67"/>
  <c r="AM1173" i="67"/>
  <c r="AM1022" i="67"/>
  <c r="AM416" i="67"/>
  <c r="AM568" i="67"/>
  <c r="AM871" i="67"/>
  <c r="AM110" i="67"/>
  <c r="AM1326" i="67" s="1"/>
  <c r="AM263" i="67"/>
  <c r="AM720" i="67"/>
  <c r="U1156" i="67"/>
  <c r="U1005" i="67"/>
  <c r="U399" i="67"/>
  <c r="U703" i="67"/>
  <c r="U854" i="67"/>
  <c r="U551" i="67"/>
  <c r="U93" i="67"/>
  <c r="U246" i="67"/>
  <c r="U1309" i="67"/>
  <c r="AI1161" i="67"/>
  <c r="AI1010" i="67"/>
  <c r="AI404" i="67"/>
  <c r="AI859" i="67"/>
  <c r="AI708" i="67"/>
  <c r="AI556" i="67"/>
  <c r="AI251" i="67"/>
  <c r="AI98" i="67"/>
  <c r="AI1314" i="67" s="1"/>
  <c r="Y1012" i="67"/>
  <c r="Y1163" i="67"/>
  <c r="Y406" i="67"/>
  <c r="Y861" i="67"/>
  <c r="Y558" i="67"/>
  <c r="Y710" i="67"/>
  <c r="Y100" i="67"/>
  <c r="Y1316" i="67" s="1"/>
  <c r="Y253" i="67"/>
  <c r="AQ1173" i="67"/>
  <c r="AQ1022" i="67"/>
  <c r="AQ416" i="67"/>
  <c r="AQ871" i="67"/>
  <c r="AQ568" i="67"/>
  <c r="AQ110" i="67"/>
  <c r="AQ1326" i="67" s="1"/>
  <c r="AQ263" i="67"/>
  <c r="AQ720" i="67"/>
  <c r="AE1011" i="67"/>
  <c r="AE1162" i="67"/>
  <c r="AE405" i="67"/>
  <c r="AE709" i="67"/>
  <c r="AE860" i="67"/>
  <c r="AE557" i="67"/>
  <c r="AE1315" i="67" s="1"/>
  <c r="AE99" i="67"/>
  <c r="AE252" i="67"/>
  <c r="O1175" i="67"/>
  <c r="O1024" i="67"/>
  <c r="O418" i="67"/>
  <c r="O873" i="67"/>
  <c r="O570" i="67"/>
  <c r="O112" i="67"/>
  <c r="O265" i="67"/>
  <c r="O722" i="67"/>
  <c r="O1328" i="67"/>
  <c r="T1152" i="67"/>
  <c r="T1001" i="67"/>
  <c r="T395" i="67"/>
  <c r="T850" i="67"/>
  <c r="T547" i="67"/>
  <c r="T699" i="67"/>
  <c r="T89" i="67"/>
  <c r="T1305" i="67" s="1"/>
  <c r="T242" i="67"/>
  <c r="AN48" i="68"/>
  <c r="N1153" i="67"/>
  <c r="N1002" i="67"/>
  <c r="N396" i="67"/>
  <c r="N851" i="67"/>
  <c r="N548" i="67"/>
  <c r="N700" i="67"/>
  <c r="N243" i="67"/>
  <c r="N90" i="67"/>
  <c r="AT1153" i="67"/>
  <c r="AT1002" i="67"/>
  <c r="AT396" i="67"/>
  <c r="AT851" i="67"/>
  <c r="AT548" i="67"/>
  <c r="AT700" i="67"/>
  <c r="AT243" i="67"/>
  <c r="AT90" i="67"/>
  <c r="AT1003" i="67"/>
  <c r="AT1154" i="67"/>
  <c r="AT397" i="67"/>
  <c r="AT852" i="67"/>
  <c r="AT701" i="67"/>
  <c r="AT549" i="67"/>
  <c r="AT244" i="67"/>
  <c r="AT91" i="67"/>
  <c r="AN1004" i="67"/>
  <c r="AN1155" i="67"/>
  <c r="AN398" i="67"/>
  <c r="AN853" i="67"/>
  <c r="AN92" i="67"/>
  <c r="AN245" i="67"/>
  <c r="AN1308" i="67" s="1"/>
  <c r="AN550" i="67"/>
  <c r="AN702" i="67"/>
  <c r="AH1005" i="67"/>
  <c r="AH1156" i="67"/>
  <c r="AH399" i="67"/>
  <c r="AH854" i="67"/>
  <c r="AH703" i="67"/>
  <c r="AH551" i="67"/>
  <c r="AH93" i="67"/>
  <c r="AH246" i="67"/>
  <c r="AB1006" i="67"/>
  <c r="AB1157" i="67"/>
  <c r="AB400" i="67"/>
  <c r="AB855" i="67"/>
  <c r="AB552" i="67"/>
  <c r="AB704" i="67"/>
  <c r="AB94" i="67"/>
  <c r="AB247" i="67"/>
  <c r="V1160" i="67"/>
  <c r="V1009" i="67"/>
  <c r="V403" i="67"/>
  <c r="V858" i="67"/>
  <c r="V707" i="67"/>
  <c r="V555" i="67"/>
  <c r="V250" i="67"/>
  <c r="V97" i="67"/>
  <c r="P1161" i="67"/>
  <c r="P1010" i="67"/>
  <c r="P404" i="67"/>
  <c r="P859" i="67"/>
  <c r="P98" i="67"/>
  <c r="P251" i="67"/>
  <c r="P556" i="67"/>
  <c r="P708" i="67"/>
  <c r="P1314" i="67"/>
  <c r="AV1161" i="67"/>
  <c r="AV1010" i="67"/>
  <c r="AV404" i="67"/>
  <c r="AV859" i="67"/>
  <c r="AV98" i="67"/>
  <c r="AV251" i="67"/>
  <c r="AV1314" i="67" s="1"/>
  <c r="AV556" i="67"/>
  <c r="AV708" i="67"/>
  <c r="AP1162" i="67"/>
  <c r="AP1011" i="67"/>
  <c r="AP405" i="67"/>
  <c r="AP860" i="67"/>
  <c r="AP709" i="67"/>
  <c r="AP557" i="67"/>
  <c r="AP99" i="67"/>
  <c r="AP1315" i="67" s="1"/>
  <c r="AP252" i="67"/>
  <c r="AG1152" i="67"/>
  <c r="AG1001" i="67"/>
  <c r="AG395" i="67"/>
  <c r="AG850" i="67"/>
  <c r="AG547" i="67"/>
  <c r="AG699" i="67"/>
  <c r="AG89" i="67"/>
  <c r="AG242" i="67"/>
  <c r="BA48" i="68"/>
  <c r="AA1153" i="67"/>
  <c r="AA1002" i="67"/>
  <c r="AA396" i="67"/>
  <c r="AA851" i="67"/>
  <c r="AA548" i="67"/>
  <c r="AA90" i="67"/>
  <c r="AA700" i="67"/>
  <c r="AA243" i="67"/>
  <c r="AA1024" i="67"/>
  <c r="AA1175" i="67"/>
  <c r="AA418" i="67"/>
  <c r="AA873" i="67"/>
  <c r="AA570" i="67"/>
  <c r="AA112" i="67"/>
  <c r="AA265" i="67"/>
  <c r="AA722" i="67"/>
  <c r="AA1328" i="67"/>
  <c r="U1025" i="67"/>
  <c r="U1176" i="67"/>
  <c r="U419" i="67"/>
  <c r="U571" i="67"/>
  <c r="U874" i="67"/>
  <c r="U113" i="67"/>
  <c r="U1329" i="67" s="1"/>
  <c r="U266" i="67"/>
  <c r="U723" i="67"/>
  <c r="O1026" i="67"/>
  <c r="O1177" i="67"/>
  <c r="O420" i="67"/>
  <c r="O572" i="67"/>
  <c r="O875" i="67"/>
  <c r="O114" i="67"/>
  <c r="O1330" i="67" s="1"/>
  <c r="O267" i="67"/>
  <c r="O724" i="67"/>
  <c r="AU1026" i="67"/>
  <c r="AU1177" i="67"/>
  <c r="AU420" i="67"/>
  <c r="AU875" i="67"/>
  <c r="AU572" i="67"/>
  <c r="AU114" i="67"/>
  <c r="AU1330" i="67" s="1"/>
  <c r="AU267" i="67"/>
  <c r="AU724" i="67"/>
  <c r="AO1157" i="67"/>
  <c r="AO1006" i="67"/>
  <c r="AO400" i="67"/>
  <c r="AO855" i="67"/>
  <c r="AO704" i="67"/>
  <c r="AO552" i="67"/>
  <c r="AO94" i="67"/>
  <c r="AO247" i="67"/>
  <c r="AO1310" i="67"/>
  <c r="AI1009" i="67"/>
  <c r="AI1160" i="67"/>
  <c r="AI403" i="67"/>
  <c r="AI555" i="67"/>
  <c r="AI707" i="67"/>
  <c r="AI858" i="67"/>
  <c r="AI250" i="67"/>
  <c r="AI97" i="67"/>
  <c r="AI1313" i="67" s="1"/>
  <c r="AC1010" i="67"/>
  <c r="AC1161" i="67"/>
  <c r="AC404" i="67"/>
  <c r="AC859" i="67"/>
  <c r="AC98" i="67"/>
  <c r="AC251" i="67"/>
  <c r="AC1314" i="67" s="1"/>
  <c r="AC556" i="67"/>
  <c r="AC708" i="67"/>
  <c r="W1011" i="67"/>
  <c r="W1162" i="67"/>
  <c r="W405" i="67"/>
  <c r="W557" i="67"/>
  <c r="W709" i="67"/>
  <c r="W860" i="67"/>
  <c r="W252" i="67"/>
  <c r="W99" i="67"/>
  <c r="AL1152" i="67"/>
  <c r="AL1001" i="67"/>
  <c r="AL395" i="67"/>
  <c r="AL1305" i="67" s="1"/>
  <c r="AL850" i="67"/>
  <c r="AL547" i="67"/>
  <c r="AL89" i="67"/>
  <c r="AL699" i="67"/>
  <c r="AL242" i="67"/>
  <c r="BF48" i="68"/>
  <c r="AF1153" i="67"/>
  <c r="AF1002" i="67"/>
  <c r="AF396" i="67"/>
  <c r="AF851" i="67"/>
  <c r="AF548" i="67"/>
  <c r="AF700" i="67"/>
  <c r="AF90" i="67"/>
  <c r="AF243" i="67"/>
  <c r="AF1306" i="67"/>
  <c r="AF1154" i="67"/>
  <c r="AF1003" i="67"/>
  <c r="AF397" i="67"/>
  <c r="AF852" i="67"/>
  <c r="AF701" i="67"/>
  <c r="AF549" i="67"/>
  <c r="AF91" i="67"/>
  <c r="AF244" i="67"/>
  <c r="Z1155" i="67"/>
  <c r="Z1004" i="67"/>
  <c r="Z398" i="67"/>
  <c r="Z853" i="67"/>
  <c r="Z702" i="67"/>
  <c r="Z550" i="67"/>
  <c r="Z245" i="67"/>
  <c r="Z92" i="67"/>
  <c r="Z1308" i="67" s="1"/>
  <c r="T1156" i="67"/>
  <c r="T1005" i="67"/>
  <c r="T399" i="67"/>
  <c r="T854" i="67"/>
  <c r="T703" i="67"/>
  <c r="T551" i="67"/>
  <c r="T246" i="67"/>
  <c r="T93" i="67"/>
  <c r="T1309" i="67" s="1"/>
  <c r="N1157" i="67"/>
  <c r="N1006" i="67"/>
  <c r="N400" i="67"/>
  <c r="N704" i="67"/>
  <c r="N855" i="67"/>
  <c r="N552" i="67"/>
  <c r="N94" i="67"/>
  <c r="N1310" i="67" s="1"/>
  <c r="N247" i="67"/>
  <c r="AT1157" i="67"/>
  <c r="AT1006" i="67"/>
  <c r="AT400" i="67"/>
  <c r="AT704" i="67"/>
  <c r="AT855" i="67"/>
  <c r="AT552" i="67"/>
  <c r="AT94" i="67"/>
  <c r="AT1310" i="67" s="1"/>
  <c r="AT247" i="67"/>
  <c r="AN1009" i="67"/>
  <c r="AN1160" i="67"/>
  <c r="AN403" i="67"/>
  <c r="AN858" i="67"/>
  <c r="AN707" i="67"/>
  <c r="AN555" i="67"/>
  <c r="AN1313" i="67" s="1"/>
  <c r="AN97" i="67"/>
  <c r="AN250" i="67"/>
  <c r="AH1010" i="67"/>
  <c r="AH1161" i="67"/>
  <c r="AH404" i="67"/>
  <c r="AH859" i="67"/>
  <c r="AH708" i="67"/>
  <c r="AH556" i="67"/>
  <c r="AH251" i="67"/>
  <c r="AH98" i="67"/>
  <c r="AB1011" i="67"/>
  <c r="AB1162" i="67"/>
  <c r="AB405" i="67"/>
  <c r="AB860" i="67"/>
  <c r="AB557" i="67"/>
  <c r="AB709" i="67"/>
  <c r="AB99" i="67"/>
  <c r="AB252" i="67"/>
  <c r="Y1002" i="67"/>
  <c r="Y1153" i="67"/>
  <c r="Y396" i="67"/>
  <c r="Y851" i="67"/>
  <c r="Y700" i="67"/>
  <c r="Y548" i="67"/>
  <c r="Y90" i="67"/>
  <c r="Y243" i="67"/>
  <c r="Y1306" i="67"/>
  <c r="AS1156" i="67"/>
  <c r="AS1005" i="67"/>
  <c r="AS399" i="67"/>
  <c r="AS551" i="67"/>
  <c r="AS703" i="67"/>
  <c r="AS854" i="67"/>
  <c r="AS246" i="67"/>
  <c r="AS93" i="67"/>
  <c r="AS1309" i="67" s="1"/>
  <c r="U1162" i="67"/>
  <c r="U1011" i="67"/>
  <c r="U405" i="67"/>
  <c r="U860" i="67"/>
  <c r="U557" i="67"/>
  <c r="U709" i="67"/>
  <c r="U99" i="67"/>
  <c r="U1315" i="67" s="1"/>
  <c r="U252" i="67"/>
  <c r="AE1163" i="67"/>
  <c r="AE1012" i="67"/>
  <c r="AE406" i="67"/>
  <c r="AE861" i="67"/>
  <c r="AE558" i="67"/>
  <c r="AE710" i="67"/>
  <c r="AE253" i="67"/>
  <c r="AE100" i="67"/>
  <c r="K1176" i="67"/>
  <c r="K1025" i="67"/>
  <c r="K266" i="67"/>
  <c r="K1329" i="67" s="1"/>
  <c r="K571" i="67"/>
  <c r="K874" i="67"/>
  <c r="K723" i="67"/>
  <c r="K419" i="67"/>
  <c r="K113" i="67"/>
  <c r="M1174" i="67"/>
  <c r="M1023" i="67"/>
  <c r="M417" i="67"/>
  <c r="M872" i="67"/>
  <c r="M569" i="67"/>
  <c r="M111" i="67"/>
  <c r="M1327" i="67" s="1"/>
  <c r="M264" i="67"/>
  <c r="M721" i="67"/>
  <c r="AG1156" i="67"/>
  <c r="AG1005" i="67"/>
  <c r="AG399" i="67"/>
  <c r="AG854" i="67"/>
  <c r="AG93" i="67"/>
  <c r="AG1309" i="67" s="1"/>
  <c r="AG246" i="67"/>
  <c r="AG551" i="67"/>
  <c r="AG703" i="67"/>
  <c r="AU1161" i="67"/>
  <c r="AU1010" i="67"/>
  <c r="AU404" i="67"/>
  <c r="AU859" i="67"/>
  <c r="AU708" i="67"/>
  <c r="AU556" i="67"/>
  <c r="AU98" i="67"/>
  <c r="AU251" i="67"/>
  <c r="AB1163" i="67"/>
  <c r="AB1012" i="67"/>
  <c r="AB406" i="67"/>
  <c r="AB861" i="67"/>
  <c r="AB558" i="67"/>
  <c r="AB710" i="67"/>
  <c r="AB100" i="67"/>
  <c r="AB253" i="67"/>
  <c r="AK1174" i="67"/>
  <c r="AK1023" i="67"/>
  <c r="AK417" i="67"/>
  <c r="AK872" i="67"/>
  <c r="AK569" i="67"/>
  <c r="AK111" i="67"/>
  <c r="AK264" i="67"/>
  <c r="AK721" i="67"/>
  <c r="AK1327" i="67"/>
  <c r="AM1011" i="67"/>
  <c r="AM1162" i="67"/>
  <c r="AM405" i="67"/>
  <c r="AM860" i="67"/>
  <c r="AM557" i="67"/>
  <c r="AM709" i="67"/>
  <c r="AM252" i="67"/>
  <c r="AM99" i="67"/>
  <c r="AM1315" i="67" s="1"/>
  <c r="Q1174" i="67"/>
  <c r="Q1023" i="67"/>
  <c r="Q417" i="67"/>
  <c r="Q569" i="67"/>
  <c r="Q872" i="67"/>
  <c r="Q111" i="67"/>
  <c r="Q1327" i="67" s="1"/>
  <c r="Q264" i="67"/>
  <c r="Q721" i="67"/>
  <c r="AK1156" i="67"/>
  <c r="AK1005" i="67"/>
  <c r="AK399" i="67"/>
  <c r="AK854" i="67"/>
  <c r="AK703" i="67"/>
  <c r="AK551" i="67"/>
  <c r="AK93" i="67"/>
  <c r="AK1309" i="67" s="1"/>
  <c r="AK246" i="67"/>
  <c r="M1162" i="67"/>
  <c r="M1011" i="67"/>
  <c r="M405" i="67"/>
  <c r="M709" i="67"/>
  <c r="M860" i="67"/>
  <c r="M557" i="67"/>
  <c r="M252" i="67"/>
  <c r="M99" i="67"/>
  <c r="AC1163" i="67"/>
  <c r="AC1012" i="67"/>
  <c r="AC406" i="67"/>
  <c r="AC861" i="67"/>
  <c r="AC100" i="67"/>
  <c r="AC253" i="67"/>
  <c r="AC1316" i="67" s="1"/>
  <c r="AC558" i="67"/>
  <c r="AC710" i="67"/>
  <c r="U1154" i="67"/>
  <c r="U1003" i="67"/>
  <c r="U397" i="67"/>
  <c r="U852" i="67"/>
  <c r="U91" i="67"/>
  <c r="U244" i="67"/>
  <c r="U549" i="67"/>
  <c r="U701" i="67"/>
  <c r="U1307" i="67"/>
  <c r="AU1011" i="67"/>
  <c r="AU1162" i="67"/>
  <c r="AU405" i="67"/>
  <c r="AU860" i="67"/>
  <c r="AU709" i="67"/>
  <c r="AU557" i="67"/>
  <c r="AU99" i="67"/>
  <c r="AU1315" i="67" s="1"/>
  <c r="AU252" i="67"/>
  <c r="AQ1155" i="67"/>
  <c r="AQ1004" i="67"/>
  <c r="AQ398" i="67"/>
  <c r="AQ853" i="67"/>
  <c r="AQ702" i="67"/>
  <c r="AQ550" i="67"/>
  <c r="AQ245" i="67"/>
  <c r="AQ92" i="67"/>
  <c r="AD1012" i="67"/>
  <c r="AD1163" i="67"/>
  <c r="AD406" i="67"/>
  <c r="AD558" i="67"/>
  <c r="AD710" i="67"/>
  <c r="AD861" i="67"/>
  <c r="AD100" i="67"/>
  <c r="AD1316" i="67" s="1"/>
  <c r="AD253" i="67"/>
  <c r="R4" i="50"/>
  <c r="R4" i="57" s="1"/>
  <c r="R4" i="69"/>
  <c r="AJ9" i="57"/>
  <c r="AK12" i="57"/>
  <c r="AJ12" i="57"/>
  <c r="AK9" i="57"/>
  <c r="R5" i="47"/>
  <c r="D48" i="50"/>
  <c r="E48" i="50"/>
  <c r="F48" i="50"/>
  <c r="G48" i="50"/>
  <c r="H48" i="50"/>
  <c r="I48" i="50"/>
  <c r="J48" i="50"/>
  <c r="K48" i="50"/>
  <c r="L48" i="50"/>
  <c r="C48" i="50"/>
  <c r="AJ42" i="36"/>
  <c r="AH1314" i="67" l="1"/>
  <c r="AF1307" i="67"/>
  <c r="V1313" i="67"/>
  <c r="AP1307" i="67"/>
  <c r="AP1306" i="67"/>
  <c r="P1305" i="67"/>
  <c r="W1326" i="67"/>
  <c r="O1314" i="67"/>
  <c r="AM1308" i="67"/>
  <c r="AL1310" i="67"/>
  <c r="X1307" i="67"/>
  <c r="AS1308" i="67"/>
  <c r="M1308" i="67"/>
  <c r="AN1314" i="67"/>
  <c r="N1313" i="67"/>
  <c r="AW1316" i="67"/>
  <c r="O1305" i="67"/>
  <c r="AB1313" i="67"/>
  <c r="AH1310" i="67"/>
  <c r="N1308" i="67"/>
  <c r="Q1314" i="67"/>
  <c r="U1305" i="67"/>
  <c r="AD1337" i="67"/>
  <c r="AK1330" i="67"/>
  <c r="AB1337" i="67"/>
  <c r="AG1330" i="67"/>
  <c r="AA1327" i="67"/>
  <c r="T1326" i="67"/>
  <c r="Y1337" i="67"/>
  <c r="X1331" i="67"/>
  <c r="AP1327" i="67"/>
  <c r="U1337" i="67"/>
  <c r="AD1326" i="67"/>
  <c r="O1336" i="67"/>
  <c r="U1335" i="67"/>
  <c r="AA1334" i="67"/>
  <c r="AW1306" i="67"/>
  <c r="AC1310" i="67"/>
  <c r="K1310" i="67"/>
  <c r="AI1310" i="67"/>
  <c r="AV1315" i="67"/>
  <c r="AF1309" i="67"/>
  <c r="AL1308" i="67"/>
  <c r="R1305" i="67"/>
  <c r="AO1314" i="67"/>
  <c r="AU1313" i="67"/>
  <c r="O1313" i="67"/>
  <c r="AG1329" i="67"/>
  <c r="AI1315" i="67"/>
  <c r="AO1315" i="67"/>
  <c r="P1313" i="67"/>
  <c r="AW1309" i="67"/>
  <c r="W1310" i="67"/>
  <c r="AF1315" i="67"/>
  <c r="AR1313" i="67"/>
  <c r="L1313" i="67"/>
  <c r="R1310" i="67"/>
  <c r="AE1306" i="67"/>
  <c r="AT1315" i="67"/>
  <c r="N1315" i="67"/>
  <c r="X1305" i="67"/>
  <c r="AI1331" i="67"/>
  <c r="AT1337" i="67"/>
  <c r="S1331" i="67"/>
  <c r="AD1331" i="67"/>
  <c r="AO1330" i="67"/>
  <c r="Q1334" i="67"/>
  <c r="AO1328" i="67"/>
  <c r="R1326" i="67"/>
  <c r="AO1335" i="67"/>
  <c r="AK1336" i="67"/>
  <c r="AN1328" i="67"/>
  <c r="AK1335" i="67"/>
  <c r="AQ1334" i="67"/>
  <c r="AF1316" i="67"/>
  <c r="AW1330" i="67"/>
  <c r="AA1305" i="67"/>
  <c r="W1331" i="67"/>
  <c r="AF1336" i="67"/>
  <c r="L1334" i="67"/>
  <c r="AS1310" i="67"/>
  <c r="M1310" i="67"/>
  <c r="M1307" i="67"/>
  <c r="AB1315" i="67"/>
  <c r="AB1310" i="67"/>
  <c r="AH1309" i="67"/>
  <c r="AT1307" i="67"/>
  <c r="AT1306" i="67"/>
  <c r="N1306" i="67"/>
  <c r="AA1316" i="67"/>
  <c r="P1309" i="67"/>
  <c r="S1315" i="67"/>
  <c r="Y1314" i="67"/>
  <c r="AE1313" i="67"/>
  <c r="AR1314" i="67"/>
  <c r="L1314" i="67"/>
  <c r="K1309" i="67"/>
  <c r="W1316" i="67"/>
  <c r="M1309" i="67"/>
  <c r="AF1313" i="67"/>
  <c r="AR1305" i="67"/>
  <c r="AO1313" i="67"/>
  <c r="AA1308" i="67"/>
  <c r="AT1308" i="67"/>
  <c r="AU1306" i="67"/>
  <c r="O1306" i="67"/>
  <c r="AD1315" i="67"/>
  <c r="AU1336" i="67"/>
  <c r="AT1331" i="67"/>
  <c r="N1331" i="67"/>
  <c r="AO1331" i="67"/>
  <c r="AP1336" i="67"/>
  <c r="AV1335" i="67"/>
  <c r="P1335" i="67"/>
  <c r="AE1336" i="67"/>
  <c r="AQ1305" i="67"/>
  <c r="Q1336" i="67"/>
  <c r="X1337" i="67"/>
  <c r="AE1335" i="67"/>
  <c r="AQ1335" i="67"/>
  <c r="AW1308" i="67"/>
  <c r="AC1326" i="67"/>
  <c r="AL1336" i="67"/>
  <c r="AR1330" i="67"/>
  <c r="L1330" i="67"/>
  <c r="Z1330" i="67"/>
  <c r="P1316" i="67"/>
  <c r="AI1329" i="67"/>
  <c r="AH1331" i="67"/>
  <c r="AI1309" i="67"/>
  <c r="AJ1335" i="67"/>
  <c r="Y1313" i="67"/>
  <c r="AW1307" i="67"/>
  <c r="U1313" i="67"/>
  <c r="AL1316" i="67"/>
  <c r="R1314" i="67"/>
  <c r="AE1330" i="67"/>
  <c r="AW1305" i="67"/>
  <c r="Q1305" i="67"/>
  <c r="Q1307" i="67"/>
  <c r="U1331" i="67"/>
  <c r="Z1306" i="67"/>
  <c r="Z1316" i="67"/>
  <c r="AT1305" i="67"/>
  <c r="AK1314" i="67"/>
  <c r="AW1310" i="67"/>
  <c r="V1316" i="67"/>
  <c r="AD1308" i="67"/>
  <c r="AJ1306" i="67"/>
  <c r="AE1328" i="67"/>
  <c r="AR1329" i="67"/>
  <c r="AW1328" i="67"/>
  <c r="S1329" i="67"/>
  <c r="AR1336" i="67"/>
  <c r="AQ1327" i="67"/>
  <c r="R1337" i="67"/>
  <c r="AG1308" i="67"/>
  <c r="AM1307" i="67"/>
  <c r="AP1335" i="67"/>
  <c r="V1328" i="67"/>
  <c r="V1327" i="67"/>
  <c r="N1337" i="67"/>
  <c r="AI1337" i="67"/>
  <c r="S1309" i="67"/>
  <c r="M1315" i="67"/>
  <c r="AB1316" i="67"/>
  <c r="AU1314" i="67"/>
  <c r="AQ1308" i="67"/>
  <c r="AE1316" i="67"/>
  <c r="W1315" i="67"/>
  <c r="AA1306" i="67"/>
  <c r="AG1305" i="67"/>
  <c r="Q1309" i="67"/>
  <c r="AR1316" i="67"/>
  <c r="AC1309" i="67"/>
  <c r="AU1305" i="67"/>
  <c r="AW1329" i="67"/>
  <c r="R1313" i="67"/>
  <c r="S1314" i="67"/>
  <c r="AS1313" i="67"/>
  <c r="AE1305" i="67"/>
  <c r="AD1305" i="67"/>
  <c r="U1314" i="67"/>
  <c r="L1305" i="67"/>
  <c r="AM1314" i="67"/>
  <c r="AW1327" i="67"/>
  <c r="Q1316" i="67"/>
  <c r="AW1313" i="67"/>
  <c r="T1306" i="67"/>
  <c r="AW1335" i="67"/>
  <c r="AP1313" i="67"/>
  <c r="AV1310" i="67"/>
  <c r="P1310" i="67"/>
  <c r="AA1307" i="67"/>
  <c r="AP1331" i="67"/>
  <c r="AB1327" i="67"/>
  <c r="AK1331" i="67"/>
  <c r="AP1328" i="67"/>
  <c r="W1337" i="67"/>
  <c r="AS1329" i="67"/>
  <c r="M1329" i="67"/>
  <c r="S1328" i="67"/>
  <c r="AT1334" i="67"/>
  <c r="N1334" i="67"/>
  <c r="AW1337" i="67"/>
  <c r="M1334" i="67"/>
  <c r="AW1334" i="67"/>
  <c r="T1328" i="67"/>
  <c r="AU1327" i="67"/>
  <c r="O1327" i="67"/>
  <c r="AR1315" i="67"/>
  <c r="L1315" i="67"/>
  <c r="S1313" i="67"/>
  <c r="AL1313" i="67"/>
  <c r="AS1315" i="67"/>
  <c r="AG1307" i="67"/>
  <c r="AN1315" i="67"/>
  <c r="AT1314" i="67"/>
  <c r="N1314" i="67"/>
  <c r="AS1327" i="67"/>
  <c r="AN1306" i="67"/>
  <c r="N1305" i="67"/>
  <c r="Q1310" i="67"/>
  <c r="W1309" i="67"/>
  <c r="AV1308" i="67"/>
  <c r="P1308" i="67"/>
  <c r="AK1316" i="67"/>
  <c r="AJ1307" i="67"/>
  <c r="AP1305" i="67"/>
  <c r="AF1310" i="67"/>
  <c r="X1326" i="67"/>
  <c r="AH1328" i="67"/>
  <c r="AV1316" i="67"/>
  <c r="AW1336" i="67"/>
  <c r="Y1310" i="67"/>
  <c r="Q1326" i="67"/>
  <c r="L1331" i="67"/>
  <c r="AJ1326" i="67"/>
  <c r="AO1337" i="67"/>
  <c r="AH1337" i="67"/>
  <c r="Z1327" i="67"/>
  <c r="AF1326" i="67"/>
  <c r="AB1330" i="67"/>
  <c r="AH1329" i="67"/>
  <c r="AW1331" i="67"/>
  <c r="AO1326" i="67"/>
  <c r="AD1334" i="67"/>
  <c r="AJ1331" i="67"/>
  <c r="AK1337" i="67"/>
  <c r="Y1336" i="67"/>
  <c r="AO1327" i="67"/>
  <c r="AJ1328" i="67"/>
  <c r="AJ1327" i="67"/>
  <c r="T1335" i="67"/>
  <c r="N1328" i="67"/>
  <c r="AW1314" i="67"/>
  <c r="Q4" i="50"/>
  <c r="Q4" i="57" s="1"/>
  <c r="Q4" i="69"/>
  <c r="BJ29" i="69"/>
  <c r="AL29" i="69"/>
  <c r="AD29" i="69"/>
  <c r="AA29" i="69"/>
  <c r="AU29" i="69"/>
  <c r="AF29" i="69"/>
  <c r="AN29" i="69"/>
  <c r="AV29" i="69"/>
  <c r="BD29" i="69"/>
  <c r="AT29" i="69"/>
  <c r="Z29" i="69"/>
  <c r="BF29" i="69"/>
  <c r="AE29" i="69"/>
  <c r="AY29" i="69"/>
  <c r="BC29" i="69"/>
  <c r="Y29" i="69"/>
  <c r="AG29" i="69"/>
  <c r="AO29" i="69"/>
  <c r="AW29" i="69"/>
  <c r="BE29" i="69"/>
  <c r="AX29" i="69"/>
  <c r="BB29" i="69"/>
  <c r="AI29" i="69"/>
  <c r="AM29" i="69"/>
  <c r="BG29" i="69"/>
  <c r="AB29" i="69"/>
  <c r="AJ29" i="69"/>
  <c r="AR29" i="69"/>
  <c r="AZ29" i="69"/>
  <c r="BH29" i="69"/>
  <c r="AP29" i="69"/>
  <c r="AQ29" i="69"/>
  <c r="BK29" i="69"/>
  <c r="AC29" i="69"/>
  <c r="AK29" i="69"/>
  <c r="AS29" i="69"/>
  <c r="BA29" i="69"/>
  <c r="BI29" i="69"/>
  <c r="AH29" i="69"/>
  <c r="BI47" i="69"/>
  <c r="BI49" i="69" s="1"/>
  <c r="BE47" i="69"/>
  <c r="BE49" i="69" s="1"/>
  <c r="BA47" i="69"/>
  <c r="BA49" i="69" s="1"/>
  <c r="AW47" i="69"/>
  <c r="AW49" i="69" s="1"/>
  <c r="AS47" i="69"/>
  <c r="AS49" i="69" s="1"/>
  <c r="AO47" i="69"/>
  <c r="AO49" i="69" s="1"/>
  <c r="AK47" i="69"/>
  <c r="AK49" i="69" s="1"/>
  <c r="AG47" i="69"/>
  <c r="AG49" i="69" s="1"/>
  <c r="AC47" i="69"/>
  <c r="AC49" i="69" s="1"/>
  <c r="Y47" i="69"/>
  <c r="Y49" i="69" s="1"/>
  <c r="BH47" i="69"/>
  <c r="BH49" i="69" s="1"/>
  <c r="BD47" i="69"/>
  <c r="BD49" i="69" s="1"/>
  <c r="AZ47" i="69"/>
  <c r="AZ49" i="69" s="1"/>
  <c r="AV47" i="69"/>
  <c r="AV49" i="69" s="1"/>
  <c r="AR47" i="69"/>
  <c r="AR49" i="69" s="1"/>
  <c r="AN47" i="69"/>
  <c r="AN49" i="69" s="1"/>
  <c r="AJ47" i="69"/>
  <c r="AJ49" i="69" s="1"/>
  <c r="AF47" i="69"/>
  <c r="AF49" i="69" s="1"/>
  <c r="AB47" i="69"/>
  <c r="AB49" i="69" s="1"/>
  <c r="BK47" i="69"/>
  <c r="BK49" i="69" s="1"/>
  <c r="BG47" i="69"/>
  <c r="BG49" i="69" s="1"/>
  <c r="BC47" i="69"/>
  <c r="BC49" i="69" s="1"/>
  <c r="AY47" i="69"/>
  <c r="AY49" i="69" s="1"/>
  <c r="AU47" i="69"/>
  <c r="AU49" i="69" s="1"/>
  <c r="AQ47" i="69"/>
  <c r="AQ49" i="69" s="1"/>
  <c r="AM47" i="69"/>
  <c r="AM49" i="69" s="1"/>
  <c r="AI47" i="69"/>
  <c r="AI49" i="69" s="1"/>
  <c r="AE47" i="69"/>
  <c r="AE49" i="69" s="1"/>
  <c r="AA47" i="69"/>
  <c r="AA49" i="69" s="1"/>
  <c r="BJ47" i="69"/>
  <c r="BJ49" i="69" s="1"/>
  <c r="BF47" i="69"/>
  <c r="BF49" i="69" s="1"/>
  <c r="BB47" i="69"/>
  <c r="BB49" i="69" s="1"/>
  <c r="AX47" i="69"/>
  <c r="AX49" i="69" s="1"/>
  <c r="AT47" i="69"/>
  <c r="AT49" i="69" s="1"/>
  <c r="AP47" i="69"/>
  <c r="AP49" i="69" s="1"/>
  <c r="AL47" i="69"/>
  <c r="AL49" i="69" s="1"/>
  <c r="AH47" i="69"/>
  <c r="AH49" i="69" s="1"/>
  <c r="AD47" i="69"/>
  <c r="AD49" i="69" s="1"/>
  <c r="Z47" i="69"/>
  <c r="Z49" i="69" s="1"/>
  <c r="AE29" i="50"/>
  <c r="AK42" i="36"/>
  <c r="AJ83" i="36"/>
  <c r="Y47" i="50"/>
  <c r="BI47" i="50"/>
  <c r="AE47" i="50"/>
  <c r="AM47" i="50"/>
  <c r="Z47" i="50"/>
  <c r="AI47" i="50"/>
  <c r="AA47" i="50"/>
  <c r="BC47" i="50"/>
  <c r="AD47" i="50"/>
  <c r="AQ47" i="50"/>
  <c r="AB47" i="50"/>
  <c r="BK47" i="50"/>
  <c r="AH47" i="50"/>
  <c r="AF47" i="50"/>
  <c r="AC47" i="50"/>
  <c r="AL47" i="50"/>
  <c r="AY47" i="50"/>
  <c r="AJ47" i="50"/>
  <c r="AP47" i="50"/>
  <c r="AT47" i="50"/>
  <c r="AO47" i="50"/>
  <c r="AU47" i="50"/>
  <c r="AG47" i="50"/>
  <c r="BG47" i="50"/>
  <c r="AR47" i="50"/>
  <c r="AW47" i="50"/>
  <c r="AX47" i="50"/>
  <c r="AV47" i="50"/>
  <c r="AS47" i="50"/>
  <c r="AN47" i="50"/>
  <c r="AK47" i="50"/>
  <c r="AZ47" i="50"/>
  <c r="BF47" i="50"/>
  <c r="BB47" i="50"/>
  <c r="BD47" i="50"/>
  <c r="BA47" i="50"/>
  <c r="BJ47" i="50"/>
  <c r="BH47" i="50"/>
  <c r="BE47" i="50"/>
  <c r="AG29" i="50"/>
  <c r="AR29" i="50"/>
  <c r="BJ29" i="50"/>
  <c r="BH29" i="50"/>
  <c r="BG29" i="50"/>
  <c r="BK29" i="50"/>
  <c r="AT29" i="50"/>
  <c r="BD29" i="50"/>
  <c r="AC29" i="50"/>
  <c r="AD29" i="50"/>
  <c r="AB29" i="50"/>
  <c r="AX29" i="50"/>
  <c r="BA29" i="50"/>
  <c r="Y29" i="50"/>
  <c r="AA29" i="50"/>
  <c r="AH29" i="50"/>
  <c r="AK29" i="50"/>
  <c r="AI29" i="50"/>
  <c r="AF29" i="50"/>
  <c r="AM29" i="50"/>
  <c r="BE29" i="50"/>
  <c r="AQ29" i="50"/>
  <c r="BB29" i="50"/>
  <c r="AO29" i="50"/>
  <c r="AN29" i="50"/>
  <c r="BC29" i="50"/>
  <c r="AU29" i="50"/>
  <c r="AL29" i="50"/>
  <c r="AZ29" i="50"/>
  <c r="BF29" i="50"/>
  <c r="BI29" i="50"/>
  <c r="AP29" i="50"/>
  <c r="AS29" i="50"/>
  <c r="AW29" i="50"/>
  <c r="Z29" i="50"/>
  <c r="AY29" i="50"/>
  <c r="AJ29" i="50"/>
  <c r="AV29" i="50"/>
  <c r="Q5" i="47"/>
  <c r="D41" i="50"/>
  <c r="E41" i="50"/>
  <c r="F41" i="50"/>
  <c r="G41" i="50"/>
  <c r="H41" i="50"/>
  <c r="I41" i="50"/>
  <c r="J41" i="50"/>
  <c r="K41" i="50"/>
  <c r="L41" i="50"/>
  <c r="C41" i="50"/>
  <c r="D36" i="50"/>
  <c r="E36" i="50"/>
  <c r="F36" i="50"/>
  <c r="G36" i="50"/>
  <c r="H36" i="50"/>
  <c r="I36" i="50"/>
  <c r="J36" i="50"/>
  <c r="K36" i="50"/>
  <c r="L36" i="50"/>
  <c r="C36" i="50"/>
  <c r="D31" i="50"/>
  <c r="E31" i="50"/>
  <c r="F31" i="50"/>
  <c r="G31" i="50"/>
  <c r="H31" i="50"/>
  <c r="I31" i="50"/>
  <c r="J31" i="50"/>
  <c r="K31" i="50"/>
  <c r="L31" i="50"/>
  <c r="C31" i="50"/>
  <c r="D22" i="50"/>
  <c r="D18" i="50" s="1"/>
  <c r="D52" i="50" s="1"/>
  <c r="D56" i="50" s="1"/>
  <c r="E22" i="50"/>
  <c r="E18" i="50" s="1"/>
  <c r="E52" i="50" s="1"/>
  <c r="E56" i="50" s="1"/>
  <c r="F22" i="50"/>
  <c r="F18" i="50" s="1"/>
  <c r="F52" i="50" s="1"/>
  <c r="F56" i="50" s="1"/>
  <c r="G22" i="50"/>
  <c r="G18" i="50" s="1"/>
  <c r="G52" i="50" s="1"/>
  <c r="G56" i="50" s="1"/>
  <c r="H22" i="50"/>
  <c r="H18" i="50" s="1"/>
  <c r="H52" i="50" s="1"/>
  <c r="H56" i="50" s="1"/>
  <c r="I22" i="50"/>
  <c r="I18" i="50" s="1"/>
  <c r="I52" i="50" s="1"/>
  <c r="I56" i="50" s="1"/>
  <c r="J22" i="50"/>
  <c r="J18" i="50" s="1"/>
  <c r="J52" i="50" s="1"/>
  <c r="J56" i="50" s="1"/>
  <c r="K22" i="50"/>
  <c r="K18" i="50" s="1"/>
  <c r="K52" i="50" s="1"/>
  <c r="K56" i="50" s="1"/>
  <c r="L22" i="50"/>
  <c r="L18" i="50" s="1"/>
  <c r="L52" i="50" s="1"/>
  <c r="L56" i="50" s="1"/>
  <c r="M52" i="50"/>
  <c r="M56" i="50" s="1"/>
  <c r="N52" i="50"/>
  <c r="N56" i="50" s="1"/>
  <c r="O52" i="50"/>
  <c r="O56" i="50" s="1"/>
  <c r="P52" i="50"/>
  <c r="P56" i="50" s="1"/>
  <c r="Q52" i="50"/>
  <c r="Q56" i="50" s="1"/>
  <c r="R52" i="50"/>
  <c r="R56" i="50" s="1"/>
  <c r="S52" i="50"/>
  <c r="S56" i="50" s="1"/>
  <c r="T52" i="50"/>
  <c r="T56" i="50" s="1"/>
  <c r="C22" i="50"/>
  <c r="C18" i="50" s="1"/>
  <c r="C52" i="50" s="1"/>
  <c r="C56" i="50" s="1"/>
  <c r="D14" i="50"/>
  <c r="E14" i="50"/>
  <c r="F14" i="50"/>
  <c r="G14" i="50"/>
  <c r="H14" i="50"/>
  <c r="I14" i="50"/>
  <c r="J14" i="50"/>
  <c r="K14" i="50"/>
  <c r="L14" i="50"/>
  <c r="C14" i="50"/>
  <c r="D6" i="50"/>
  <c r="E6" i="50"/>
  <c r="F6" i="50"/>
  <c r="G6" i="50"/>
  <c r="H6" i="50"/>
  <c r="I6" i="50"/>
  <c r="J6" i="50"/>
  <c r="K6" i="50"/>
  <c r="L6" i="50"/>
  <c r="C6" i="50"/>
  <c r="AC32" i="69" l="1"/>
  <c r="AC30" i="69"/>
  <c r="AB32" i="69"/>
  <c r="AB30" i="69"/>
  <c r="AO32" i="69"/>
  <c r="AO30" i="69"/>
  <c r="AY32" i="69"/>
  <c r="AY30" i="69"/>
  <c r="AT32" i="69"/>
  <c r="AT30" i="69"/>
  <c r="AF32" i="69"/>
  <c r="AF30" i="69"/>
  <c r="AL32" i="69"/>
  <c r="AL30" i="69"/>
  <c r="BA32" i="69"/>
  <c r="BA30" i="69"/>
  <c r="BK32" i="69"/>
  <c r="BK30" i="69"/>
  <c r="AZ32" i="69"/>
  <c r="AZ30" i="69"/>
  <c r="BG32" i="69"/>
  <c r="BG30" i="69"/>
  <c r="AX32" i="69"/>
  <c r="AX30" i="69"/>
  <c r="AG32" i="69"/>
  <c r="AG30" i="69"/>
  <c r="AE32" i="69"/>
  <c r="AE30" i="69"/>
  <c r="BD32" i="69"/>
  <c r="BD30" i="69"/>
  <c r="AU32" i="69"/>
  <c r="AU30" i="69"/>
  <c r="BJ32" i="69"/>
  <c r="BJ30" i="69"/>
  <c r="BH32" i="69"/>
  <c r="BH30" i="69"/>
  <c r="AS32" i="69"/>
  <c r="AS30" i="69"/>
  <c r="AQ32" i="69"/>
  <c r="AQ30" i="69"/>
  <c r="AR32" i="69"/>
  <c r="AR30" i="69"/>
  <c r="AM32" i="69"/>
  <c r="AM30" i="69"/>
  <c r="BE32" i="69"/>
  <c r="BE30" i="69"/>
  <c r="Y32" i="69"/>
  <c r="Y30" i="69"/>
  <c r="BF32" i="69"/>
  <c r="BF30" i="69"/>
  <c r="AV32" i="69"/>
  <c r="AV30" i="69"/>
  <c r="AA32" i="69"/>
  <c r="AA30" i="69"/>
  <c r="BI32" i="69"/>
  <c r="BI30" i="69"/>
  <c r="BB32" i="69"/>
  <c r="BB30" i="69"/>
  <c r="P4" i="50"/>
  <c r="P4" i="57" s="1"/>
  <c r="P4" i="69"/>
  <c r="AH32" i="69"/>
  <c r="AH30" i="69"/>
  <c r="AK32" i="69"/>
  <c r="AK30" i="69"/>
  <c r="AP32" i="69"/>
  <c r="AP30" i="69"/>
  <c r="AJ32" i="69"/>
  <c r="AJ30" i="69"/>
  <c r="AI32" i="69"/>
  <c r="AI30" i="69"/>
  <c r="AW32" i="69"/>
  <c r="AW30" i="69"/>
  <c r="BC32" i="69"/>
  <c r="BC30" i="69"/>
  <c r="Z32" i="69"/>
  <c r="Z30" i="69"/>
  <c r="AN32" i="69"/>
  <c r="AN30" i="69"/>
  <c r="AD32" i="69"/>
  <c r="AD30" i="69"/>
  <c r="AL42" i="36"/>
  <c r="AK83" i="36"/>
  <c r="T58" i="50"/>
  <c r="T59" i="50" s="1"/>
  <c r="P58" i="50"/>
  <c r="P59" i="50" s="1"/>
  <c r="L58" i="50"/>
  <c r="L59" i="50" s="1"/>
  <c r="H58" i="50"/>
  <c r="H59" i="50" s="1"/>
  <c r="D58" i="50"/>
  <c r="D59" i="50" s="1"/>
  <c r="S58" i="50"/>
  <c r="S59" i="50" s="1"/>
  <c r="O58" i="50"/>
  <c r="O59" i="50" s="1"/>
  <c r="K58" i="50"/>
  <c r="K59" i="50" s="1"/>
  <c r="G58" i="50"/>
  <c r="G59" i="50" s="1"/>
  <c r="R58" i="50"/>
  <c r="R59" i="50" s="1"/>
  <c r="N58" i="50"/>
  <c r="N59" i="50" s="1"/>
  <c r="J58" i="50"/>
  <c r="J59" i="50" s="1"/>
  <c r="F58" i="50"/>
  <c r="F59" i="50" s="1"/>
  <c r="C58" i="50"/>
  <c r="C59" i="50" s="1"/>
  <c r="Q58" i="50"/>
  <c r="Q59" i="50" s="1"/>
  <c r="M58" i="50"/>
  <c r="M59" i="50" s="1"/>
  <c r="I58" i="50"/>
  <c r="I59" i="50" s="1"/>
  <c r="E58" i="50"/>
  <c r="E59" i="50" s="1"/>
  <c r="J19" i="50"/>
  <c r="J20" i="50" s="1"/>
  <c r="J21" i="50" s="1"/>
  <c r="F19" i="50"/>
  <c r="F20" i="50" s="1"/>
  <c r="F21" i="50" s="1"/>
  <c r="K19" i="50"/>
  <c r="K20" i="50" s="1"/>
  <c r="K21" i="50" s="1"/>
  <c r="C19" i="50"/>
  <c r="C20" i="50" s="1"/>
  <c r="C21" i="50" s="1"/>
  <c r="I19" i="50"/>
  <c r="I20" i="50" s="1"/>
  <c r="I21" i="50" s="1"/>
  <c r="E19" i="50"/>
  <c r="E20" i="50" s="1"/>
  <c r="E21" i="50" s="1"/>
  <c r="G19" i="50"/>
  <c r="G20" i="50" s="1"/>
  <c r="G21" i="50" s="1"/>
  <c r="L19" i="50"/>
  <c r="L20" i="50" s="1"/>
  <c r="L21" i="50" s="1"/>
  <c r="H19" i="50"/>
  <c r="H20" i="50" s="1"/>
  <c r="H21" i="50" s="1"/>
  <c r="D19" i="50"/>
  <c r="D20" i="50" s="1"/>
  <c r="D21" i="50" s="1"/>
  <c r="P5" i="47"/>
  <c r="C23" i="50"/>
  <c r="C24" i="50" s="1"/>
  <c r="K23" i="50"/>
  <c r="K24" i="50" s="1"/>
  <c r="G23" i="50"/>
  <c r="G24" i="50" s="1"/>
  <c r="L23" i="50"/>
  <c r="L24" i="50" s="1"/>
  <c r="D23" i="50"/>
  <c r="D24" i="50" s="1"/>
  <c r="J23" i="50"/>
  <c r="J24" i="50" s="1"/>
  <c r="F23" i="50"/>
  <c r="F24" i="50" s="1"/>
  <c r="H23" i="50"/>
  <c r="H24" i="50" s="1"/>
  <c r="I23" i="50"/>
  <c r="I24" i="50" s="1"/>
  <c r="E23" i="50"/>
  <c r="E24" i="50" s="1"/>
  <c r="AI17" i="70" l="1"/>
  <c r="AI18" i="70"/>
  <c r="AD53" i="69"/>
  <c r="BB17" i="70"/>
  <c r="BB18" i="70"/>
  <c r="AW53" i="69"/>
  <c r="AO18" i="70"/>
  <c r="AO17" i="70"/>
  <c r="AJ53" i="69"/>
  <c r="AP17" i="70"/>
  <c r="AP18" i="70"/>
  <c r="AK53" i="69"/>
  <c r="BN17" i="70"/>
  <c r="BN18" i="70"/>
  <c r="BI53" i="69"/>
  <c r="BA18" i="70"/>
  <c r="BA17" i="70"/>
  <c r="AV53" i="69"/>
  <c r="AD18" i="70"/>
  <c r="AD17" i="70"/>
  <c r="Y53" i="69"/>
  <c r="AR18" i="70"/>
  <c r="AR17" i="70"/>
  <c r="AM53" i="69"/>
  <c r="AV18" i="70"/>
  <c r="AV17" i="70"/>
  <c r="AQ53" i="69"/>
  <c r="AQ31" i="69"/>
  <c r="BM18" i="70"/>
  <c r="BM17" i="70"/>
  <c r="BH53" i="69"/>
  <c r="AZ18" i="70"/>
  <c r="AZ17" i="70"/>
  <c r="AU53" i="69"/>
  <c r="AJ18" i="70"/>
  <c r="AJ17" i="70"/>
  <c r="AE53" i="69"/>
  <c r="BC17" i="70"/>
  <c r="BC18" i="70"/>
  <c r="AX53" i="69"/>
  <c r="BE18" i="70"/>
  <c r="BE17" i="70"/>
  <c r="AZ53" i="69"/>
  <c r="BF17" i="70"/>
  <c r="BF18" i="70"/>
  <c r="BA53" i="69"/>
  <c r="AK18" i="70"/>
  <c r="AK17" i="70"/>
  <c r="AF53" i="69"/>
  <c r="BD18" i="70"/>
  <c r="BD17" i="70"/>
  <c r="AY53" i="69"/>
  <c r="AG18" i="70"/>
  <c r="AG17" i="70"/>
  <c r="AB53" i="69"/>
  <c r="AE17" i="70"/>
  <c r="AE18" i="70"/>
  <c r="Z53" i="69"/>
  <c r="O4" i="50"/>
  <c r="O4" i="57" s="1"/>
  <c r="O4" i="69"/>
  <c r="AS18" i="70"/>
  <c r="AS17" i="70"/>
  <c r="AN53" i="69"/>
  <c r="BH18" i="70"/>
  <c r="BH17" i="70"/>
  <c r="BC53" i="69"/>
  <c r="AN18" i="70"/>
  <c r="AN17" i="70"/>
  <c r="AI53" i="69"/>
  <c r="AU17" i="70"/>
  <c r="AU18" i="70"/>
  <c r="AP53" i="69"/>
  <c r="AM17" i="70"/>
  <c r="AM18" i="70"/>
  <c r="AH53" i="69"/>
  <c r="BG17" i="70"/>
  <c r="BG18" i="70"/>
  <c r="BB53" i="69"/>
  <c r="AF18" i="70"/>
  <c r="AF17" i="70"/>
  <c r="AA53" i="69"/>
  <c r="BK17" i="70"/>
  <c r="BK18" i="70"/>
  <c r="BF53" i="69"/>
  <c r="BJ17" i="70"/>
  <c r="BJ18" i="70"/>
  <c r="BE53" i="69"/>
  <c r="AW18" i="70"/>
  <c r="AW17" i="70"/>
  <c r="AR53" i="69"/>
  <c r="AX17" i="70"/>
  <c r="AX18" i="70"/>
  <c r="AS53" i="69"/>
  <c r="BO17" i="70"/>
  <c r="BO18" i="70"/>
  <c r="BJ53" i="69"/>
  <c r="BI18" i="70"/>
  <c r="BI17" i="70"/>
  <c r="BD53" i="69"/>
  <c r="AL17" i="70"/>
  <c r="AL18" i="70"/>
  <c r="AG53" i="69"/>
  <c r="BL18" i="70"/>
  <c r="BL17" i="70"/>
  <c r="BG53" i="69"/>
  <c r="BP18" i="70"/>
  <c r="BP17" i="70"/>
  <c r="BK53" i="69"/>
  <c r="AQ17" i="70"/>
  <c r="AQ18" i="70"/>
  <c r="AL53" i="69"/>
  <c r="AY17" i="70"/>
  <c r="AY18" i="70"/>
  <c r="AT53" i="69"/>
  <c r="AT17" i="70"/>
  <c r="AT18" i="70"/>
  <c r="AO53" i="69"/>
  <c r="AO31" i="69"/>
  <c r="AH17" i="70"/>
  <c r="AH18" i="70"/>
  <c r="AC53" i="69"/>
  <c r="AM42" i="36"/>
  <c r="AL83" i="36"/>
  <c r="O5" i="47"/>
  <c r="AQ78" i="70" l="1"/>
  <c r="AQ62" i="70"/>
  <c r="BI63" i="70"/>
  <c r="BI79" i="70"/>
  <c r="AW62" i="70"/>
  <c r="AW78" i="70"/>
  <c r="BJ78" i="70"/>
  <c r="BJ62" i="70"/>
  <c r="N4" i="50"/>
  <c r="N4" i="57" s="1"/>
  <c r="N4" i="69"/>
  <c r="AT79" i="70"/>
  <c r="AT63" i="70"/>
  <c r="BL78" i="70"/>
  <c r="BL62" i="70"/>
  <c r="AW79" i="70"/>
  <c r="AW63" i="70"/>
  <c r="AF78" i="70"/>
  <c r="AF62" i="70"/>
  <c r="AN78" i="70"/>
  <c r="AN62" i="70"/>
  <c r="BF78" i="70"/>
  <c r="BF62" i="70"/>
  <c r="AJ62" i="70"/>
  <c r="AJ78" i="70"/>
  <c r="BA63" i="70"/>
  <c r="BA79" i="70"/>
  <c r="AO62" i="70"/>
  <c r="AO78" i="70"/>
  <c r="AH78" i="70"/>
  <c r="AH62" i="70"/>
  <c r="AT78" i="70"/>
  <c r="AT62" i="70"/>
  <c r="BP62" i="70"/>
  <c r="BP78" i="70"/>
  <c r="BL79" i="70"/>
  <c r="BL63" i="70"/>
  <c r="BO79" i="70"/>
  <c r="BO63" i="70"/>
  <c r="AX78" i="70"/>
  <c r="AX62" i="70"/>
  <c r="BK79" i="70"/>
  <c r="BK63" i="70"/>
  <c r="AF79" i="70"/>
  <c r="AF63" i="70"/>
  <c r="AU79" i="70"/>
  <c r="AU63" i="70"/>
  <c r="AN63" i="70"/>
  <c r="AN79" i="70"/>
  <c r="BD78" i="70"/>
  <c r="BD62" i="70"/>
  <c r="AK63" i="70"/>
  <c r="AK79" i="70"/>
  <c r="BC79" i="70"/>
  <c r="BC63" i="70"/>
  <c r="AJ79" i="70"/>
  <c r="AJ63" i="70"/>
  <c r="AR62" i="70"/>
  <c r="AR78" i="70"/>
  <c r="AD79" i="70"/>
  <c r="AD63" i="70"/>
  <c r="AP79" i="70"/>
  <c r="AP63" i="70"/>
  <c r="AO79" i="70"/>
  <c r="AO63" i="70"/>
  <c r="AY79" i="70"/>
  <c r="AY63" i="70"/>
  <c r="AH79" i="70"/>
  <c r="AH63" i="70"/>
  <c r="AY78" i="70"/>
  <c r="AY62" i="70"/>
  <c r="AL78" i="70"/>
  <c r="AL62" i="70"/>
  <c r="AX79" i="70"/>
  <c r="AX63" i="70"/>
  <c r="BG78" i="70"/>
  <c r="BG62" i="70"/>
  <c r="BH79" i="70"/>
  <c r="BH63" i="70"/>
  <c r="AE78" i="70"/>
  <c r="AE62" i="70"/>
  <c r="AK78" i="70"/>
  <c r="AK62" i="70"/>
  <c r="AZ79" i="70"/>
  <c r="AZ63" i="70"/>
  <c r="AD62" i="70"/>
  <c r="AD78" i="70"/>
  <c r="BB78" i="70"/>
  <c r="BB62" i="70"/>
  <c r="AQ79" i="70"/>
  <c r="AQ63" i="70"/>
  <c r="BP79" i="70"/>
  <c r="BP63" i="70"/>
  <c r="BI78" i="70"/>
  <c r="BI62" i="70"/>
  <c r="BO78" i="70"/>
  <c r="BO62" i="70"/>
  <c r="BJ79" i="70"/>
  <c r="BJ63" i="70"/>
  <c r="BK78" i="70"/>
  <c r="BK62" i="70"/>
  <c r="AM79" i="70"/>
  <c r="AM63" i="70"/>
  <c r="AU78" i="70"/>
  <c r="AU62" i="70"/>
  <c r="AS78" i="70"/>
  <c r="AS62" i="70"/>
  <c r="AG62" i="70"/>
  <c r="AG78" i="70"/>
  <c r="BD63" i="70"/>
  <c r="BD79" i="70"/>
  <c r="BE62" i="70"/>
  <c r="BE78" i="70"/>
  <c r="BC78" i="70"/>
  <c r="BC62" i="70"/>
  <c r="BM62" i="70"/>
  <c r="BM78" i="70"/>
  <c r="AV78" i="70"/>
  <c r="AV62" i="70"/>
  <c r="AR79" i="70"/>
  <c r="AR63" i="70"/>
  <c r="BN79" i="70"/>
  <c r="BN63" i="70"/>
  <c r="AP78" i="70"/>
  <c r="AP62" i="70"/>
  <c r="AI79" i="70"/>
  <c r="AI63" i="70"/>
  <c r="AL79" i="70"/>
  <c r="AL63" i="70"/>
  <c r="BG79" i="70"/>
  <c r="BG63" i="70"/>
  <c r="AM78" i="70"/>
  <c r="AM62" i="70"/>
  <c r="BH62" i="70"/>
  <c r="BH78" i="70"/>
  <c r="AS63" i="70"/>
  <c r="AS79" i="70"/>
  <c r="AE79" i="70"/>
  <c r="AE63" i="70"/>
  <c r="AG79" i="70"/>
  <c r="AG63" i="70"/>
  <c r="BF79" i="70"/>
  <c r="BF63" i="70"/>
  <c r="BE79" i="70"/>
  <c r="BE63" i="70"/>
  <c r="AZ62" i="70"/>
  <c r="AZ78" i="70"/>
  <c r="BM79" i="70"/>
  <c r="BM63" i="70"/>
  <c r="AV79" i="70"/>
  <c r="AV63" i="70"/>
  <c r="BA78" i="70"/>
  <c r="BA62" i="70"/>
  <c r="BN78" i="70"/>
  <c r="BN62" i="70"/>
  <c r="BB79" i="70"/>
  <c r="BB63" i="70"/>
  <c r="AI78" i="70"/>
  <c r="AI62" i="70"/>
  <c r="AN42" i="36"/>
  <c r="AM83" i="36"/>
  <c r="N5" i="47"/>
  <c r="G76" i="45"/>
  <c r="H76" i="45"/>
  <c r="I76" i="45"/>
  <c r="J76" i="45"/>
  <c r="K76" i="45"/>
  <c r="L76" i="45"/>
  <c r="M76" i="45"/>
  <c r="N76" i="45"/>
  <c r="O76" i="45"/>
  <c r="P76" i="45"/>
  <c r="Q76" i="45"/>
  <c r="R76" i="45"/>
  <c r="S76" i="45"/>
  <c r="T76" i="45"/>
  <c r="U76" i="45"/>
  <c r="V76" i="45"/>
  <c r="W76" i="45"/>
  <c r="X76" i="45"/>
  <c r="Y76" i="45"/>
  <c r="Z76" i="45"/>
  <c r="AA76" i="45"/>
  <c r="AB76" i="45"/>
  <c r="AC76" i="45"/>
  <c r="AD76" i="45"/>
  <c r="AE76" i="45"/>
  <c r="AF76" i="45"/>
  <c r="AG76" i="45"/>
  <c r="F76" i="45"/>
  <c r="D123" i="34"/>
  <c r="E123" i="34" s="1"/>
  <c r="B144" i="34"/>
  <c r="B145" i="34" s="1"/>
  <c r="B146" i="34" s="1"/>
  <c r="B147" i="34" s="1"/>
  <c r="B148" i="34" s="1"/>
  <c r="B149" i="34" s="1"/>
  <c r="B150" i="34" s="1"/>
  <c r="B151" i="34" s="1"/>
  <c r="B152" i="34" s="1"/>
  <c r="B153" i="34" s="1"/>
  <c r="B154" i="34" s="1"/>
  <c r="B155" i="34" s="1"/>
  <c r="H135" i="46"/>
  <c r="C132" i="46"/>
  <c r="C133" i="46" s="1"/>
  <c r="C134" i="46" s="1"/>
  <c r="C135" i="46" s="1"/>
  <c r="B132" i="46"/>
  <c r="B133" i="46" s="1"/>
  <c r="B134" i="46" s="1"/>
  <c r="B135" i="46" s="1"/>
  <c r="A132" i="46"/>
  <c r="A133" i="46" s="1"/>
  <c r="A134" i="46" s="1"/>
  <c r="A135" i="46" s="1"/>
  <c r="B87" i="36"/>
  <c r="B95" i="36" s="1"/>
  <c r="B97" i="36" s="1"/>
  <c r="A87" i="36"/>
  <c r="A93" i="36" s="1"/>
  <c r="B5" i="46"/>
  <c r="B8" i="46"/>
  <c r="Y166" i="65" l="1"/>
  <c r="Y178" i="65" s="1"/>
  <c r="K166" i="65"/>
  <c r="K178" i="65" s="1"/>
  <c r="N166" i="65"/>
  <c r="N178" i="65" s="1"/>
  <c r="AI166" i="65"/>
  <c r="AI178" i="65" s="1"/>
  <c r="Z166" i="65"/>
  <c r="Z178" i="65" s="1"/>
  <c r="AE166" i="65"/>
  <c r="AE178" i="65" s="1"/>
  <c r="V166" i="65"/>
  <c r="V178" i="65" s="1"/>
  <c r="AK166" i="65"/>
  <c r="AK178" i="65" s="1"/>
  <c r="AC166" i="65"/>
  <c r="AC178" i="65" s="1"/>
  <c r="E166" i="65"/>
  <c r="E178" i="65" s="1"/>
  <c r="M166" i="65"/>
  <c r="M178" i="65" s="1"/>
  <c r="H166" i="65"/>
  <c r="H178" i="65" s="1"/>
  <c r="S166" i="65"/>
  <c r="S178" i="65" s="1"/>
  <c r="C166" i="65"/>
  <c r="C178" i="65" s="1"/>
  <c r="AH166" i="65"/>
  <c r="AH178" i="65" s="1"/>
  <c r="G166" i="65"/>
  <c r="G178" i="65" s="1"/>
  <c r="AL166" i="65"/>
  <c r="AL178" i="65" s="1"/>
  <c r="T166" i="65"/>
  <c r="T178" i="65" s="1"/>
  <c r="AA166" i="65"/>
  <c r="AA178" i="65" s="1"/>
  <c r="Q166" i="65"/>
  <c r="Q178" i="65" s="1"/>
  <c r="AG166" i="65"/>
  <c r="AG178" i="65" s="1"/>
  <c r="I166" i="65"/>
  <c r="I178" i="65" s="1"/>
  <c r="W166" i="65"/>
  <c r="W178" i="65" s="1"/>
  <c r="AB166" i="65"/>
  <c r="AB178" i="65" s="1"/>
  <c r="F166" i="65"/>
  <c r="F178" i="65" s="1"/>
  <c r="AD166" i="65"/>
  <c r="AD178" i="65" s="1"/>
  <c r="D166" i="65"/>
  <c r="D178" i="65" s="1"/>
  <c r="AJ166" i="65"/>
  <c r="AJ178" i="65" s="1"/>
  <c r="O166" i="65"/>
  <c r="O178" i="65" s="1"/>
  <c r="AM166" i="65"/>
  <c r="AM178" i="65" s="1"/>
  <c r="J166" i="65"/>
  <c r="J178" i="65" s="1"/>
  <c r="R166" i="65"/>
  <c r="R178" i="65" s="1"/>
  <c r="L166" i="65"/>
  <c r="L178" i="65" s="1"/>
  <c r="M4" i="50"/>
  <c r="M4" i="57" s="1"/>
  <c r="AK5" i="57" s="1"/>
  <c r="M4" i="69"/>
  <c r="X166" i="65"/>
  <c r="X178" i="65" s="1"/>
  <c r="AF166" i="65"/>
  <c r="AF178" i="65" s="1"/>
  <c r="B166" i="65"/>
  <c r="B178" i="65" s="1"/>
  <c r="P166" i="65"/>
  <c r="P178" i="65" s="1"/>
  <c r="AN166" i="65"/>
  <c r="AN178" i="65" s="1"/>
  <c r="U166" i="65"/>
  <c r="U178" i="65" s="1"/>
  <c r="K123" i="34"/>
  <c r="O123" i="34"/>
  <c r="S123" i="34"/>
  <c r="W123" i="34"/>
  <c r="AA123" i="34"/>
  <c r="K124" i="34"/>
  <c r="O124" i="34"/>
  <c r="S124" i="34"/>
  <c r="W124" i="34"/>
  <c r="AA124" i="34"/>
  <c r="K125" i="34"/>
  <c r="O125" i="34"/>
  <c r="S125" i="34"/>
  <c r="W125" i="34"/>
  <c r="AA125" i="34"/>
  <c r="K126" i="34"/>
  <c r="O126" i="34"/>
  <c r="S126" i="34"/>
  <c r="W126" i="34"/>
  <c r="AA126" i="34"/>
  <c r="K127" i="34"/>
  <c r="O127" i="34"/>
  <c r="S127" i="34"/>
  <c r="W127" i="34"/>
  <c r="AA127" i="34"/>
  <c r="K128" i="34"/>
  <c r="O128" i="34"/>
  <c r="S128" i="34"/>
  <c r="W128" i="34"/>
  <c r="AA128" i="34"/>
  <c r="K132" i="34"/>
  <c r="O132" i="34"/>
  <c r="S132" i="34"/>
  <c r="W132" i="34"/>
  <c r="AA132" i="34"/>
  <c r="K134" i="34"/>
  <c r="O134" i="34"/>
  <c r="S134" i="34"/>
  <c r="W134" i="34"/>
  <c r="AA134" i="34"/>
  <c r="AC126" i="34"/>
  <c r="AC132" i="34"/>
  <c r="AB126" i="34"/>
  <c r="AB125" i="34"/>
  <c r="I123" i="34"/>
  <c r="M123" i="34"/>
  <c r="Q123" i="34"/>
  <c r="U123" i="34"/>
  <c r="Y123" i="34"/>
  <c r="I124" i="34"/>
  <c r="M124" i="34"/>
  <c r="Q124" i="34"/>
  <c r="U124" i="34"/>
  <c r="Y124" i="34"/>
  <c r="I125" i="34"/>
  <c r="M125" i="34"/>
  <c r="Q125" i="34"/>
  <c r="U125" i="34"/>
  <c r="Y125" i="34"/>
  <c r="I126" i="34"/>
  <c r="M126" i="34"/>
  <c r="Q126" i="34"/>
  <c r="U126" i="34"/>
  <c r="Y126" i="34"/>
  <c r="I127" i="34"/>
  <c r="M127" i="34"/>
  <c r="Q127" i="34"/>
  <c r="U127" i="34"/>
  <c r="Y127" i="34"/>
  <c r="I128" i="34"/>
  <c r="M128" i="34"/>
  <c r="Q128" i="34"/>
  <c r="U128" i="34"/>
  <c r="Y128" i="34"/>
  <c r="I132" i="34"/>
  <c r="M132" i="34"/>
  <c r="Q132" i="34"/>
  <c r="U132" i="34"/>
  <c r="Y132" i="34"/>
  <c r="I134" i="34"/>
  <c r="M134" i="34"/>
  <c r="Q134" i="34"/>
  <c r="U134" i="34"/>
  <c r="Y134" i="34"/>
  <c r="AC124" i="34"/>
  <c r="AC128" i="34"/>
  <c r="AB134" i="34"/>
  <c r="AB128" i="34"/>
  <c r="AB124" i="34"/>
  <c r="J123" i="34"/>
  <c r="N123" i="34"/>
  <c r="R123" i="34"/>
  <c r="V123" i="34"/>
  <c r="Z123" i="34"/>
  <c r="J124" i="34"/>
  <c r="N124" i="34"/>
  <c r="R124" i="34"/>
  <c r="V124" i="34"/>
  <c r="H123" i="34"/>
  <c r="L123" i="34"/>
  <c r="P123" i="34"/>
  <c r="T123" i="34"/>
  <c r="X123" i="34"/>
  <c r="H124" i="34"/>
  <c r="L124" i="34"/>
  <c r="P124" i="34"/>
  <c r="T124" i="34"/>
  <c r="X124" i="34"/>
  <c r="H125" i="34"/>
  <c r="L125" i="34"/>
  <c r="P125" i="34"/>
  <c r="T125" i="34"/>
  <c r="X125" i="34"/>
  <c r="H126" i="34"/>
  <c r="L126" i="34"/>
  <c r="P126" i="34"/>
  <c r="T126" i="34"/>
  <c r="X126" i="34"/>
  <c r="H127" i="34"/>
  <c r="L127" i="34"/>
  <c r="P127" i="34"/>
  <c r="T127" i="34"/>
  <c r="X127" i="34"/>
  <c r="H128" i="34"/>
  <c r="L128" i="34"/>
  <c r="P128" i="34"/>
  <c r="T128" i="34"/>
  <c r="X128" i="34"/>
  <c r="H132" i="34"/>
  <c r="L132" i="34"/>
  <c r="P132" i="34"/>
  <c r="T132" i="34"/>
  <c r="X132" i="34"/>
  <c r="H134" i="34"/>
  <c r="L134" i="34"/>
  <c r="P134" i="34"/>
  <c r="T134" i="34"/>
  <c r="X134" i="34"/>
  <c r="AC123" i="34"/>
  <c r="AC127" i="34"/>
  <c r="AC134" i="34"/>
  <c r="R125" i="34"/>
  <c r="N126" i="34"/>
  <c r="J127" i="34"/>
  <c r="Z127" i="34"/>
  <c r="V128" i="34"/>
  <c r="V132" i="34"/>
  <c r="R134" i="34"/>
  <c r="Z124" i="34"/>
  <c r="V125" i="34"/>
  <c r="R126" i="34"/>
  <c r="N127" i="34"/>
  <c r="J128" i="34"/>
  <c r="Z128" i="34"/>
  <c r="J132" i="34"/>
  <c r="Z132" i="34"/>
  <c r="V134" i="34"/>
  <c r="AB132" i="34"/>
  <c r="AB127" i="34"/>
  <c r="J125" i="34"/>
  <c r="Z125" i="34"/>
  <c r="V126" i="34"/>
  <c r="R127" i="34"/>
  <c r="N128" i="34"/>
  <c r="N132" i="34"/>
  <c r="J134" i="34"/>
  <c r="Z134" i="34"/>
  <c r="AB123" i="34"/>
  <c r="N125" i="34"/>
  <c r="J126" i="34"/>
  <c r="Z126" i="34"/>
  <c r="V127" i="34"/>
  <c r="R128" i="34"/>
  <c r="R132" i="34"/>
  <c r="N134" i="34"/>
  <c r="AC125" i="34"/>
  <c r="AW134" i="34"/>
  <c r="BB132" i="34"/>
  <c r="AL132" i="34"/>
  <c r="BF128" i="34"/>
  <c r="BI125" i="34"/>
  <c r="BO123" i="34"/>
  <c r="BD134" i="34"/>
  <c r="AN134" i="34"/>
  <c r="BE133" i="34"/>
  <c r="AO133" i="34"/>
  <c r="BM132" i="34"/>
  <c r="AW132" i="34"/>
  <c r="AW128" i="34"/>
  <c r="AX127" i="34"/>
  <c r="AY126" i="34"/>
  <c r="AS125" i="34"/>
  <c r="BO134" i="34"/>
  <c r="BP133" i="34"/>
  <c r="AJ133" i="34"/>
  <c r="BH132" i="34"/>
  <c r="AR132" i="34"/>
  <c r="AL128" i="34"/>
  <c r="AM127" i="34"/>
  <c r="AN126" i="34"/>
  <c r="BF124" i="34"/>
  <c r="AI124" i="34"/>
  <c r="AG127" i="34"/>
  <c r="AE132" i="34"/>
  <c r="AE127" i="34"/>
  <c r="AF127" i="34"/>
  <c r="AH134" i="34"/>
  <c r="AH125" i="34"/>
  <c r="AE125" i="34"/>
  <c r="AE133" i="34"/>
  <c r="AV123" i="34"/>
  <c r="BL123" i="34"/>
  <c r="AU124" i="34"/>
  <c r="BK124" i="34"/>
  <c r="AT125" i="34"/>
  <c r="BJ125" i="34"/>
  <c r="AS126" i="34"/>
  <c r="BI126" i="34"/>
  <c r="AR127" i="34"/>
  <c r="BH127" i="34"/>
  <c r="AQ128" i="34"/>
  <c r="BG128" i="34"/>
  <c r="AK123" i="34"/>
  <c r="BA123" i="34"/>
  <c r="AJ124" i="34"/>
  <c r="BI134" i="34"/>
  <c r="AS134" i="34"/>
  <c r="BJ133" i="34"/>
  <c r="BN132" i="34"/>
  <c r="AX132" i="34"/>
  <c r="AX128" i="34"/>
  <c r="AY127" i="34"/>
  <c r="AZ126" i="34"/>
  <c r="AW125" i="34"/>
  <c r="BA133" i="34"/>
  <c r="AK133" i="34"/>
  <c r="BI132" i="34"/>
  <c r="AS132" i="34"/>
  <c r="AO128" i="34"/>
  <c r="AP127" i="34"/>
  <c r="AQ126" i="34"/>
  <c r="BJ124" i="34"/>
  <c r="BK134" i="34"/>
  <c r="AU134" i="34"/>
  <c r="BL133" i="34"/>
  <c r="BD132" i="34"/>
  <c r="AN132" i="34"/>
  <c r="BJ128" i="34"/>
  <c r="BK127" i="34"/>
  <c r="BL126" i="34"/>
  <c r="BM125" i="34"/>
  <c r="AP124" i="34"/>
  <c r="AE128" i="34"/>
  <c r="AI132" i="34"/>
  <c r="AI123" i="34"/>
  <c r="AG128" i="34"/>
  <c r="AD124" i="34"/>
  <c r="AD128" i="34"/>
  <c r="AF126" i="34"/>
  <c r="AH133" i="34"/>
  <c r="AJ123" i="34"/>
  <c r="AZ123" i="34"/>
  <c r="BP123" i="34"/>
  <c r="AY124" i="34"/>
  <c r="BO124" i="34"/>
  <c r="AV127" i="34"/>
  <c r="BL127" i="34"/>
  <c r="AU128" i="34"/>
  <c r="BK128" i="34"/>
  <c r="AO123" i="34"/>
  <c r="BE123" i="34"/>
  <c r="AN124" i="34"/>
  <c r="BD124" i="34"/>
  <c r="AL126" i="34"/>
  <c r="AK127" i="34"/>
  <c r="BA127" i="34"/>
  <c r="AJ128" i="34"/>
  <c r="AZ128" i="34"/>
  <c r="BP128" i="34"/>
  <c r="AL123" i="34"/>
  <c r="BB123" i="34"/>
  <c r="BE134" i="34"/>
  <c r="BF133" i="34"/>
  <c r="AP133" i="34"/>
  <c r="BJ132" i="34"/>
  <c r="AT132" i="34"/>
  <c r="BL134" i="34"/>
  <c r="AV134" i="34"/>
  <c r="BM128" i="34"/>
  <c r="BN127" i="34"/>
  <c r="BO126" i="34"/>
  <c r="BP125" i="34"/>
  <c r="AT124" i="34"/>
  <c r="BG134" i="34"/>
  <c r="AQ134" i="34"/>
  <c r="BH133" i="34"/>
  <c r="BB128" i="34"/>
  <c r="BC127" i="34"/>
  <c r="BD126" i="34"/>
  <c r="BE125" i="34"/>
  <c r="AG123" i="34"/>
  <c r="AG124" i="34"/>
  <c r="AF124" i="34"/>
  <c r="AD127" i="34"/>
  <c r="AF134" i="34"/>
  <c r="AI127" i="34"/>
  <c r="AF123" i="34"/>
  <c r="AL125" i="34"/>
  <c r="BB125" i="34"/>
  <c r="AK126" i="34"/>
  <c r="BA126" i="34"/>
  <c r="AJ127" i="34"/>
  <c r="AZ127" i="34"/>
  <c r="AR124" i="34"/>
  <c r="AQ125" i="34"/>
  <c r="BG125" i="34"/>
  <c r="BF126" i="34"/>
  <c r="AN128" i="34"/>
  <c r="BD128" i="34"/>
  <c r="AP123" i="34"/>
  <c r="BF123" i="34"/>
  <c r="AO124" i="34"/>
  <c r="AK134" i="34"/>
  <c r="BF132" i="34"/>
  <c r="BO127" i="34"/>
  <c r="BH134" i="34"/>
  <c r="BH125" i="34"/>
  <c r="BD133" i="34"/>
  <c r="AV132" i="34"/>
  <c r="AU127" i="34"/>
  <c r="AI126" i="34"/>
  <c r="AG132" i="34"/>
  <c r="AH127" i="34"/>
  <c r="AF125" i="34"/>
  <c r="AQ124" i="34"/>
  <c r="AO126" i="34"/>
  <c r="AM128" i="34"/>
  <c r="BM123" i="34"/>
  <c r="AU125" i="34"/>
  <c r="AS127" i="34"/>
  <c r="AR128" i="34"/>
  <c r="AS124" i="34"/>
  <c r="BM124" i="34"/>
  <c r="AV125" i="34"/>
  <c r="AQ123" i="34"/>
  <c r="BJ134" i="34"/>
  <c r="AT134" i="34"/>
  <c r="BK133" i="34"/>
  <c r="AU133" i="34"/>
  <c r="BO132" i="34"/>
  <c r="AY132" i="34"/>
  <c r="BC126" i="34"/>
  <c r="BA125" i="34"/>
  <c r="BC123" i="34"/>
  <c r="BN128" i="34"/>
  <c r="AS133" i="34"/>
  <c r="AK132" i="34"/>
  <c r="AM134" i="34"/>
  <c r="AT128" i="34"/>
  <c r="AI125" i="34"/>
  <c r="BD127" i="34"/>
  <c r="BP124" i="34"/>
  <c r="BM127" i="34"/>
  <c r="AR125" i="34"/>
  <c r="BN134" i="34"/>
  <c r="BO133" i="34"/>
  <c r="BJ127" i="34"/>
  <c r="BL125" i="34"/>
  <c r="BB133" i="34"/>
  <c r="AP132" i="34"/>
  <c r="BP126" i="34"/>
  <c r="AR134" i="34"/>
  <c r="BE128" i="34"/>
  <c r="BK123" i="34"/>
  <c r="AN133" i="34"/>
  <c r="AV126" i="34"/>
  <c r="AD126" i="34"/>
  <c r="AF132" i="34"/>
  <c r="AH132" i="34"/>
  <c r="BG124" i="34"/>
  <c r="BE126" i="34"/>
  <c r="BC128" i="34"/>
  <c r="AY125" i="34"/>
  <c r="AX126" i="34"/>
  <c r="AW127" i="34"/>
  <c r="AX123" i="34"/>
  <c r="AW124" i="34"/>
  <c r="AJ125" i="34"/>
  <c r="AZ125" i="34"/>
  <c r="AU123" i="34"/>
  <c r="BF134" i="34"/>
  <c r="AP134" i="34"/>
  <c r="BG133" i="34"/>
  <c r="AQ133" i="34"/>
  <c r="BK132" i="34"/>
  <c r="AU132" i="34"/>
  <c r="AS128" i="34"/>
  <c r="AT127" i="34"/>
  <c r="AU126" i="34"/>
  <c r="AK125" i="34"/>
  <c r="BO125" i="34"/>
  <c r="BC132" i="34"/>
  <c r="AM132" i="34"/>
  <c r="BI128" i="34"/>
  <c r="BK126" i="34"/>
  <c r="AL133" i="34"/>
  <c r="AJ126" i="34"/>
  <c r="BI133" i="34"/>
  <c r="BA132" i="34"/>
  <c r="BF127" i="34"/>
  <c r="BC134" i="34"/>
  <c r="AO125" i="34"/>
  <c r="AE134" i="34"/>
  <c r="AF133" i="34"/>
  <c r="AE123" i="34"/>
  <c r="AR123" i="34"/>
  <c r="AP125" i="34"/>
  <c r="AN127" i="34"/>
  <c r="BL124" i="34"/>
  <c r="BK125" i="34"/>
  <c r="BJ126" i="34"/>
  <c r="BI127" i="34"/>
  <c r="BH128" i="34"/>
  <c r="BJ123" i="34"/>
  <c r="BE124" i="34"/>
  <c r="AN125" i="34"/>
  <c r="BD125" i="34"/>
  <c r="AY123" i="34"/>
  <c r="BB134" i="34"/>
  <c r="AL134" i="34"/>
  <c r="BC133" i="34"/>
  <c r="AM133" i="34"/>
  <c r="BG132" i="34"/>
  <c r="AQ132" i="34"/>
  <c r="AK128" i="34"/>
  <c r="AL127" i="34"/>
  <c r="AM126" i="34"/>
  <c r="BB124" i="34"/>
  <c r="BA134" i="34"/>
  <c r="AX124" i="34"/>
  <c r="BG126" i="34"/>
  <c r="BL132" i="34"/>
  <c r="AE124" i="34"/>
  <c r="AD125" i="34"/>
  <c r="BH123" i="34"/>
  <c r="BF125" i="34"/>
  <c r="AW123" i="34"/>
  <c r="BN126" i="34"/>
  <c r="BL128" i="34"/>
  <c r="BN123" i="34"/>
  <c r="BI124" i="34"/>
  <c r="AM123" i="34"/>
  <c r="AX134" i="34"/>
  <c r="AY133" i="34"/>
  <c r="AL124" i="34"/>
  <c r="AV128" i="34"/>
  <c r="N133" i="34"/>
  <c r="BP134" i="34"/>
  <c r="AR133" i="34"/>
  <c r="AD134" i="34"/>
  <c r="BB126" i="34"/>
  <c r="BE132" i="34"/>
  <c r="AQ127" i="34"/>
  <c r="BC125" i="34"/>
  <c r="BI123" i="34"/>
  <c r="AZ132" i="34"/>
  <c r="AR126" i="34"/>
  <c r="AH124" i="34"/>
  <c r="AW133" i="34"/>
  <c r="BO128" i="34"/>
  <c r="AO127" i="34"/>
  <c r="BG123" i="34"/>
  <c r="Y133" i="34"/>
  <c r="W133" i="34"/>
  <c r="M133" i="34"/>
  <c r="Q133" i="34"/>
  <c r="J133" i="34"/>
  <c r="AI133" i="34"/>
  <c r="BP132" i="34"/>
  <c r="BN124" i="34"/>
  <c r="BE127" i="34"/>
  <c r="AK124" i="34"/>
  <c r="X133" i="34"/>
  <c r="AT126" i="34"/>
  <c r="BB127" i="34"/>
  <c r="H133" i="34"/>
  <c r="AZ134" i="34"/>
  <c r="AH128" i="34"/>
  <c r="AD132" i="34"/>
  <c r="AD133" i="34"/>
  <c r="BH124" i="34"/>
  <c r="AO132" i="34"/>
  <c r="BM126" i="34"/>
  <c r="AM125" i="34"/>
  <c r="AS123" i="34"/>
  <c r="AJ132" i="34"/>
  <c r="BN125" i="34"/>
  <c r="BD123" i="34"/>
  <c r="AG133" i="34"/>
  <c r="AY128" i="34"/>
  <c r="AE126" i="34"/>
  <c r="AG125" i="34"/>
  <c r="BN133" i="34"/>
  <c r="T133" i="34"/>
  <c r="AC133" i="34"/>
  <c r="V133" i="34"/>
  <c r="Z133" i="34"/>
  <c r="AB133" i="34"/>
  <c r="AP126" i="34"/>
  <c r="BM133" i="34"/>
  <c r="I133" i="34"/>
  <c r="L133" i="34"/>
  <c r="AV124" i="34"/>
  <c r="BA128" i="34"/>
  <c r="AA133" i="34"/>
  <c r="AO134" i="34"/>
  <c r="AJ134" i="34"/>
  <c r="AZ124" i="34"/>
  <c r="AY134" i="34"/>
  <c r="BP127" i="34"/>
  <c r="AZ133" i="34"/>
  <c r="AH123" i="34"/>
  <c r="AW126" i="34"/>
  <c r="BC124" i="34"/>
  <c r="AT133" i="34"/>
  <c r="AF128" i="34"/>
  <c r="AX125" i="34"/>
  <c r="AN123" i="34"/>
  <c r="AI128" i="34"/>
  <c r="BA124" i="34"/>
  <c r="S133" i="34"/>
  <c r="BM134" i="34"/>
  <c r="AX133" i="34"/>
  <c r="R133" i="34"/>
  <c r="P133" i="34"/>
  <c r="AT123" i="34"/>
  <c r="O133" i="34"/>
  <c r="AH126" i="34"/>
  <c r="AV133" i="34"/>
  <c r="AG134" i="34"/>
  <c r="AI134" i="34"/>
  <c r="AP128" i="34"/>
  <c r="BG127" i="34"/>
  <c r="AG126" i="34"/>
  <c r="AM124" i="34"/>
  <c r="BH126" i="34"/>
  <c r="K133" i="34"/>
  <c r="U133" i="34"/>
  <c r="K129" i="34"/>
  <c r="O129" i="34"/>
  <c r="S129" i="34"/>
  <c r="W129" i="34"/>
  <c r="AA129" i="34"/>
  <c r="K130" i="34"/>
  <c r="O130" i="34"/>
  <c r="S130" i="34"/>
  <c r="W130" i="34"/>
  <c r="AA130" i="34"/>
  <c r="K131" i="34"/>
  <c r="O131" i="34"/>
  <c r="S131" i="34"/>
  <c r="W131" i="34"/>
  <c r="AA131" i="34"/>
  <c r="AD129" i="34"/>
  <c r="AH129" i="34"/>
  <c r="AL129" i="34"/>
  <c r="AP129" i="34"/>
  <c r="AT129" i="34"/>
  <c r="AX129" i="34"/>
  <c r="BB129" i="34"/>
  <c r="BF129" i="34"/>
  <c r="BJ129" i="34"/>
  <c r="BN129" i="34"/>
  <c r="AD130" i="34"/>
  <c r="AH130" i="34"/>
  <c r="AL130" i="34"/>
  <c r="AP130" i="34"/>
  <c r="AT130" i="34"/>
  <c r="AX130" i="34"/>
  <c r="BB130" i="34"/>
  <c r="BF130" i="34"/>
  <c r="BJ130" i="34"/>
  <c r="BN130" i="34"/>
  <c r="AB131" i="34"/>
  <c r="I129" i="34"/>
  <c r="M129" i="34"/>
  <c r="Q129" i="34"/>
  <c r="U129" i="34"/>
  <c r="Y129" i="34"/>
  <c r="I130" i="34"/>
  <c r="M130" i="34"/>
  <c r="Q130" i="34"/>
  <c r="U130" i="34"/>
  <c r="Y130" i="34"/>
  <c r="I131" i="34"/>
  <c r="M131" i="34"/>
  <c r="Q131" i="34"/>
  <c r="U131" i="34"/>
  <c r="Y131" i="34"/>
  <c r="AF129" i="34"/>
  <c r="AJ129" i="34"/>
  <c r="AN129" i="34"/>
  <c r="AR129" i="34"/>
  <c r="AV129" i="34"/>
  <c r="AZ129" i="34"/>
  <c r="BD129" i="34"/>
  <c r="BH129" i="34"/>
  <c r="BL129" i="34"/>
  <c r="BP129" i="34"/>
  <c r="AF130" i="34"/>
  <c r="AJ130" i="34"/>
  <c r="AN130" i="34"/>
  <c r="AR130" i="34"/>
  <c r="AV130" i="34"/>
  <c r="AZ130" i="34"/>
  <c r="BD130" i="34"/>
  <c r="BH130" i="34"/>
  <c r="BL130" i="34"/>
  <c r="BP130" i="34"/>
  <c r="AB129" i="34"/>
  <c r="H129" i="34"/>
  <c r="L129" i="34"/>
  <c r="P129" i="34"/>
  <c r="T129" i="34"/>
  <c r="X129" i="34"/>
  <c r="H130" i="34"/>
  <c r="L130" i="34"/>
  <c r="P130" i="34"/>
  <c r="T130" i="34"/>
  <c r="X130" i="34"/>
  <c r="H131" i="34"/>
  <c r="L131" i="34"/>
  <c r="P131" i="34"/>
  <c r="T131" i="34"/>
  <c r="X131" i="34"/>
  <c r="AE129" i="34"/>
  <c r="AI129" i="34"/>
  <c r="AM129" i="34"/>
  <c r="AQ129" i="34"/>
  <c r="AU129" i="34"/>
  <c r="AY129" i="34"/>
  <c r="BC129" i="34"/>
  <c r="BG129" i="34"/>
  <c r="BK129" i="34"/>
  <c r="BO129" i="34"/>
  <c r="AE130" i="34"/>
  <c r="AI130" i="34"/>
  <c r="AM130" i="34"/>
  <c r="AQ130" i="34"/>
  <c r="AU130" i="34"/>
  <c r="AY130" i="34"/>
  <c r="BC130" i="34"/>
  <c r="BG130" i="34"/>
  <c r="BK130" i="34"/>
  <c r="BO130" i="34"/>
  <c r="AB130" i="34"/>
  <c r="R129" i="34"/>
  <c r="N130" i="34"/>
  <c r="J131" i="34"/>
  <c r="Z131" i="34"/>
  <c r="AC129" i="34"/>
  <c r="AS129" i="34"/>
  <c r="BI129" i="34"/>
  <c r="AK130" i="34"/>
  <c r="BA130" i="34"/>
  <c r="AC131" i="34"/>
  <c r="V129" i="34"/>
  <c r="R130" i="34"/>
  <c r="N131" i="34"/>
  <c r="AG129" i="34"/>
  <c r="AW129" i="34"/>
  <c r="BM129" i="34"/>
  <c r="AO130" i="34"/>
  <c r="BE130" i="34"/>
  <c r="J129" i="34"/>
  <c r="Z129" i="34"/>
  <c r="V130" i="34"/>
  <c r="R131" i="34"/>
  <c r="AK129" i="34"/>
  <c r="BA129" i="34"/>
  <c r="AC130" i="34"/>
  <c r="AS130" i="34"/>
  <c r="BI130" i="34"/>
  <c r="N129" i="34"/>
  <c r="J130" i="34"/>
  <c r="Z130" i="34"/>
  <c r="V131" i="34"/>
  <c r="AO129" i="34"/>
  <c r="BE129" i="34"/>
  <c r="AG130" i="34"/>
  <c r="AW130" i="34"/>
  <c r="BM130" i="34"/>
  <c r="AZ131" i="34"/>
  <c r="BN131" i="34"/>
  <c r="AK131" i="34"/>
  <c r="BO131" i="34"/>
  <c r="AT131" i="34"/>
  <c r="AN131" i="34"/>
  <c r="BB131" i="34"/>
  <c r="AD131" i="34"/>
  <c r="AY131" i="34"/>
  <c r="BJ131" i="34"/>
  <c r="AO131" i="34"/>
  <c r="AW131" i="34"/>
  <c r="AH131" i="34"/>
  <c r="AM131" i="34"/>
  <c r="BC131" i="34"/>
  <c r="AX131" i="34"/>
  <c r="AQ131" i="34"/>
  <c r="AI131" i="34"/>
  <c r="BK131" i="34"/>
  <c r="BM131" i="34"/>
  <c r="AG131" i="34"/>
  <c r="BL131" i="34"/>
  <c r="BE131" i="34"/>
  <c r="AR131" i="34"/>
  <c r="AL131" i="34"/>
  <c r="BG131" i="34"/>
  <c r="BF131" i="34"/>
  <c r="AJ131" i="34"/>
  <c r="BA131" i="34"/>
  <c r="AV131" i="34"/>
  <c r="BP131" i="34"/>
  <c r="BH131" i="34"/>
  <c r="AF131" i="34"/>
  <c r="AU131" i="34"/>
  <c r="BD131" i="34"/>
  <c r="AE131" i="34"/>
  <c r="BI131" i="34"/>
  <c r="AP131" i="34"/>
  <c r="AS131" i="34"/>
  <c r="AO42" i="36"/>
  <c r="AN83" i="36"/>
  <c r="T144" i="34"/>
  <c r="J144" i="34"/>
  <c r="O144" i="34"/>
  <c r="V144" i="34"/>
  <c r="AA144" i="34"/>
  <c r="J145" i="34"/>
  <c r="N145" i="34"/>
  <c r="R145" i="34"/>
  <c r="V145" i="34"/>
  <c r="Z145" i="34"/>
  <c r="K146" i="34"/>
  <c r="O146" i="34"/>
  <c r="S146" i="34"/>
  <c r="W146" i="34"/>
  <c r="AA146" i="34"/>
  <c r="L147" i="34"/>
  <c r="P147" i="34"/>
  <c r="T147" i="34"/>
  <c r="X147" i="34"/>
  <c r="AB147" i="34"/>
  <c r="I148" i="34"/>
  <c r="M148" i="34"/>
  <c r="Q148" i="34"/>
  <c r="U148" i="34"/>
  <c r="Y148" i="34"/>
  <c r="AC148" i="34"/>
  <c r="J149" i="34"/>
  <c r="N149" i="34"/>
  <c r="R149" i="34"/>
  <c r="V149" i="34"/>
  <c r="Z149" i="34"/>
  <c r="K150" i="34"/>
  <c r="O150" i="34"/>
  <c r="S150" i="34"/>
  <c r="W150" i="34"/>
  <c r="AA150" i="34"/>
  <c r="AE150" i="34"/>
  <c r="AI150" i="34"/>
  <c r="AM150" i="34"/>
  <c r="AQ150" i="34"/>
  <c r="AU150" i="34"/>
  <c r="AY150" i="34"/>
  <c r="BC150" i="34"/>
  <c r="BG150" i="34"/>
  <c r="BK150" i="34"/>
  <c r="BO150" i="34"/>
  <c r="K151" i="34"/>
  <c r="O151" i="34"/>
  <c r="S151" i="34"/>
  <c r="W151" i="34"/>
  <c r="AA151" i="34"/>
  <c r="AE151" i="34"/>
  <c r="AI151" i="34"/>
  <c r="AM151" i="34"/>
  <c r="AQ151" i="34"/>
  <c r="AU151" i="34"/>
  <c r="AY151" i="34"/>
  <c r="BC151" i="34"/>
  <c r="BG151" i="34"/>
  <c r="BK151" i="34"/>
  <c r="BO151" i="34"/>
  <c r="AC144" i="34"/>
  <c r="Q144" i="34"/>
  <c r="K144" i="34"/>
  <c r="P144" i="34"/>
  <c r="W144" i="34"/>
  <c r="AB144" i="34"/>
  <c r="K145" i="34"/>
  <c r="O145" i="34"/>
  <c r="S145" i="34"/>
  <c r="W145" i="34"/>
  <c r="AA145" i="34"/>
  <c r="L146" i="34"/>
  <c r="P146" i="34"/>
  <c r="T146" i="34"/>
  <c r="X146" i="34"/>
  <c r="AB146" i="34"/>
  <c r="I147" i="34"/>
  <c r="M147" i="34"/>
  <c r="Q147" i="34"/>
  <c r="U147" i="34"/>
  <c r="Y147" i="34"/>
  <c r="AC147" i="34"/>
  <c r="J148" i="34"/>
  <c r="N148" i="34"/>
  <c r="R148" i="34"/>
  <c r="V148" i="34"/>
  <c r="Z148" i="34"/>
  <c r="K149" i="34"/>
  <c r="O149" i="34"/>
  <c r="S149" i="34"/>
  <c r="W149" i="34"/>
  <c r="AA149" i="34"/>
  <c r="L150" i="34"/>
  <c r="P150" i="34"/>
  <c r="T150" i="34"/>
  <c r="X150" i="34"/>
  <c r="AB150" i="34"/>
  <c r="AF150" i="34"/>
  <c r="AJ150" i="34"/>
  <c r="AN150" i="34"/>
  <c r="AR150" i="34"/>
  <c r="AV150" i="34"/>
  <c r="AZ150" i="34"/>
  <c r="BD150" i="34"/>
  <c r="BH150" i="34"/>
  <c r="BL150" i="34"/>
  <c r="BP150" i="34"/>
  <c r="L151" i="34"/>
  <c r="P151" i="34"/>
  <c r="T151" i="34"/>
  <c r="X151" i="34"/>
  <c r="AB151" i="34"/>
  <c r="AF151" i="34"/>
  <c r="AJ151" i="34"/>
  <c r="AN151" i="34"/>
  <c r="AR151" i="34"/>
  <c r="AV151" i="34"/>
  <c r="AZ151" i="34"/>
  <c r="BD151" i="34"/>
  <c r="BH151" i="34"/>
  <c r="BL151" i="34"/>
  <c r="BP151" i="34"/>
  <c r="L152" i="34"/>
  <c r="P152" i="34"/>
  <c r="T152" i="34"/>
  <c r="X152" i="34"/>
  <c r="AB152" i="34"/>
  <c r="I153" i="34"/>
  <c r="M153" i="34"/>
  <c r="Q153" i="34"/>
  <c r="U153" i="34"/>
  <c r="Y153" i="34"/>
  <c r="AC153" i="34"/>
  <c r="J155" i="34"/>
  <c r="Y144" i="34"/>
  <c r="M144" i="34"/>
  <c r="L144" i="34"/>
  <c r="R144" i="34"/>
  <c r="X144" i="34"/>
  <c r="L145" i="34"/>
  <c r="P145" i="34"/>
  <c r="T145" i="34"/>
  <c r="X145" i="34"/>
  <c r="AB145" i="34"/>
  <c r="I146" i="34"/>
  <c r="M146" i="34"/>
  <c r="Q146" i="34"/>
  <c r="U146" i="34"/>
  <c r="Y146" i="34"/>
  <c r="AC146" i="34"/>
  <c r="J147" i="34"/>
  <c r="N147" i="34"/>
  <c r="R147" i="34"/>
  <c r="V147" i="34"/>
  <c r="Z147" i="34"/>
  <c r="K148" i="34"/>
  <c r="O148" i="34"/>
  <c r="S148" i="34"/>
  <c r="W148" i="34"/>
  <c r="AA148" i="34"/>
  <c r="L149" i="34"/>
  <c r="P149" i="34"/>
  <c r="T149" i="34"/>
  <c r="X149" i="34"/>
  <c r="AB149" i="34"/>
  <c r="I150" i="34"/>
  <c r="M150" i="34"/>
  <c r="Q150" i="34"/>
  <c r="U150" i="34"/>
  <c r="Y150" i="34"/>
  <c r="AC150" i="34"/>
  <c r="AG150" i="34"/>
  <c r="AK150" i="34"/>
  <c r="AO150" i="34"/>
  <c r="AS150" i="34"/>
  <c r="AW150" i="34"/>
  <c r="BA150" i="34"/>
  <c r="BE150" i="34"/>
  <c r="BI150" i="34"/>
  <c r="BM150" i="34"/>
  <c r="I151" i="34"/>
  <c r="M151" i="34"/>
  <c r="Q151" i="34"/>
  <c r="U151" i="34"/>
  <c r="Y151" i="34"/>
  <c r="AC151" i="34"/>
  <c r="AG151" i="34"/>
  <c r="AK151" i="34"/>
  <c r="AO151" i="34"/>
  <c r="AS151" i="34"/>
  <c r="AW151" i="34"/>
  <c r="BA151" i="34"/>
  <c r="BE151" i="34"/>
  <c r="BI151" i="34"/>
  <c r="BM151" i="34"/>
  <c r="I152" i="34"/>
  <c r="M152" i="34"/>
  <c r="Q152" i="34"/>
  <c r="U152" i="34"/>
  <c r="Y152" i="34"/>
  <c r="AC152" i="34"/>
  <c r="J153" i="34"/>
  <c r="N153" i="34"/>
  <c r="R153" i="34"/>
  <c r="V153" i="34"/>
  <c r="U144" i="34"/>
  <c r="Z144" i="34"/>
  <c r="Q145" i="34"/>
  <c r="V146" i="34"/>
  <c r="K147" i="34"/>
  <c r="AA147" i="34"/>
  <c r="P148" i="34"/>
  <c r="U149" i="34"/>
  <c r="J150" i="34"/>
  <c r="Z150" i="34"/>
  <c r="AP150" i="34"/>
  <c r="BF150" i="34"/>
  <c r="N151" i="34"/>
  <c r="AD151" i="34"/>
  <c r="AT151" i="34"/>
  <c r="BJ151" i="34"/>
  <c r="N152" i="34"/>
  <c r="V152" i="34"/>
  <c r="K153" i="34"/>
  <c r="S153" i="34"/>
  <c r="Z153" i="34"/>
  <c r="I155" i="34"/>
  <c r="N155" i="34"/>
  <c r="R155" i="34"/>
  <c r="V155" i="34"/>
  <c r="Z155" i="34"/>
  <c r="H147" i="34"/>
  <c r="H151" i="34"/>
  <c r="I144" i="34"/>
  <c r="U145" i="34"/>
  <c r="J146" i="34"/>
  <c r="Z146" i="34"/>
  <c r="O147" i="34"/>
  <c r="T148" i="34"/>
  <c r="I149" i="34"/>
  <c r="Y149" i="34"/>
  <c r="N150" i="34"/>
  <c r="AD150" i="34"/>
  <c r="AT150" i="34"/>
  <c r="BJ150" i="34"/>
  <c r="R151" i="34"/>
  <c r="AH151" i="34"/>
  <c r="AX151" i="34"/>
  <c r="BN151" i="34"/>
  <c r="O152" i="34"/>
  <c r="W152" i="34"/>
  <c r="L153" i="34"/>
  <c r="T153" i="34"/>
  <c r="AA153" i="34"/>
  <c r="K155" i="34"/>
  <c r="O155" i="34"/>
  <c r="S155" i="34"/>
  <c r="W155" i="34"/>
  <c r="AA155" i="34"/>
  <c r="H148" i="34"/>
  <c r="H152" i="34"/>
  <c r="N144" i="34"/>
  <c r="I145" i="34"/>
  <c r="Y145" i="34"/>
  <c r="N146" i="34"/>
  <c r="S147" i="34"/>
  <c r="X148" i="34"/>
  <c r="M149" i="34"/>
  <c r="AC149" i="34"/>
  <c r="R150" i="34"/>
  <c r="AH150" i="34"/>
  <c r="AX150" i="34"/>
  <c r="BN150" i="34"/>
  <c r="V151" i="34"/>
  <c r="AL151" i="34"/>
  <c r="BB151" i="34"/>
  <c r="J152" i="34"/>
  <c r="R152" i="34"/>
  <c r="Z152" i="34"/>
  <c r="O153" i="34"/>
  <c r="W153" i="34"/>
  <c r="AB153" i="34"/>
  <c r="L155" i="34"/>
  <c r="P155" i="34"/>
  <c r="T155" i="34"/>
  <c r="X155" i="34"/>
  <c r="AB155" i="34"/>
  <c r="H145" i="34"/>
  <c r="H149" i="34"/>
  <c r="H153" i="34"/>
  <c r="S144" i="34"/>
  <c r="M145" i="34"/>
  <c r="AC145" i="34"/>
  <c r="R146" i="34"/>
  <c r="W147" i="34"/>
  <c r="L148" i="34"/>
  <c r="AB148" i="34"/>
  <c r="Q149" i="34"/>
  <c r="V150" i="34"/>
  <c r="AL150" i="34"/>
  <c r="BB150" i="34"/>
  <c r="J151" i="34"/>
  <c r="Z151" i="34"/>
  <c r="AP151" i="34"/>
  <c r="BF151" i="34"/>
  <c r="K152" i="34"/>
  <c r="S152" i="34"/>
  <c r="AA152" i="34"/>
  <c r="P153" i="34"/>
  <c r="X153" i="34"/>
  <c r="M155" i="34"/>
  <c r="Q155" i="34"/>
  <c r="U155" i="34"/>
  <c r="Y155" i="34"/>
  <c r="AC155" i="34"/>
  <c r="H146" i="34"/>
  <c r="H150" i="34"/>
  <c r="H155" i="34"/>
  <c r="BG144" i="34"/>
  <c r="H154" i="34"/>
  <c r="AP152" i="34"/>
  <c r="AZ146" i="34"/>
  <c r="BC147" i="34"/>
  <c r="BP152" i="34"/>
  <c r="AU154" i="34"/>
  <c r="AQ144" i="34"/>
  <c r="BN144" i="34"/>
  <c r="AU147" i="34"/>
  <c r="AQ154" i="34"/>
  <c r="AK145" i="34"/>
  <c r="BK147" i="34"/>
  <c r="AM153" i="34"/>
  <c r="AY154" i="34"/>
  <c r="AM144" i="34"/>
  <c r="AK149" i="34"/>
  <c r="BG153" i="34"/>
  <c r="AL155" i="34"/>
  <c r="AN146" i="34"/>
  <c r="AX144" i="34"/>
  <c r="AV149" i="34"/>
  <c r="AX147" i="34"/>
  <c r="AZ145" i="34"/>
  <c r="BG149" i="34"/>
  <c r="BI147" i="34"/>
  <c r="BK145" i="34"/>
  <c r="AD155" i="34"/>
  <c r="AD154" i="34"/>
  <c r="AD149" i="34"/>
  <c r="AI153" i="34"/>
  <c r="BM146" i="34"/>
  <c r="BB152" i="34"/>
  <c r="AB154" i="34"/>
  <c r="BK155" i="34"/>
  <c r="AO149" i="34"/>
  <c r="BI153" i="34"/>
  <c r="AJ155" i="34"/>
  <c r="AZ147" i="34"/>
  <c r="BO152" i="34"/>
  <c r="AT154" i="34"/>
  <c r="BJ144" i="34"/>
  <c r="BH149" i="34"/>
  <c r="BJ147" i="34"/>
  <c r="BL145" i="34"/>
  <c r="AL152" i="34"/>
  <c r="AN148" i="34"/>
  <c r="AP146" i="34"/>
  <c r="AR144" i="34"/>
  <c r="AE144" i="34"/>
  <c r="AH155" i="34"/>
  <c r="AI155" i="34"/>
  <c r="BF145" i="34"/>
  <c r="AK152" i="34"/>
  <c r="P154" i="34"/>
  <c r="AY155" i="34"/>
  <c r="AX148" i="34"/>
  <c r="AW153" i="34"/>
  <c r="BE154" i="34"/>
  <c r="BI146" i="34"/>
  <c r="AZ152" i="34"/>
  <c r="Z154" i="34"/>
  <c r="BM155" i="34"/>
  <c r="BD149" i="34"/>
  <c r="BF147" i="34"/>
  <c r="BH145" i="34"/>
  <c r="BO149" i="34"/>
  <c r="AJ148" i="34"/>
  <c r="AL146" i="34"/>
  <c r="AN144" i="34"/>
  <c r="AF155" i="34"/>
  <c r="AF154" i="34"/>
  <c r="AE155" i="34"/>
  <c r="AO146" i="34"/>
  <c r="AR152" i="34"/>
  <c r="T154" i="34"/>
  <c r="BC155" i="34"/>
  <c r="BF148" i="34"/>
  <c r="BA153" i="34"/>
  <c r="BI154" i="34"/>
  <c r="AJ147" i="34"/>
  <c r="BE152" i="34"/>
  <c r="AL154" i="34"/>
  <c r="BB144" i="34"/>
  <c r="AU153" i="34"/>
  <c r="BA145" i="34"/>
  <c r="BB148" i="34"/>
  <c r="AY153" i="34"/>
  <c r="BK154" i="34"/>
  <c r="AV146" i="34"/>
  <c r="AS149" i="34"/>
  <c r="AP155" i="34"/>
  <c r="BJ148" i="34"/>
  <c r="BC153" i="34"/>
  <c r="BO154" i="34"/>
  <c r="AR146" i="34"/>
  <c r="BB145" i="34"/>
  <c r="AJ152" i="34"/>
  <c r="O154" i="34"/>
  <c r="BB155" i="34"/>
  <c r="BE145" i="34"/>
  <c r="BK152" i="34"/>
  <c r="BM148" i="34"/>
  <c r="BO146" i="34"/>
  <c r="AJ145" i="34"/>
  <c r="AQ149" i="34"/>
  <c r="AS147" i="34"/>
  <c r="AU145" i="34"/>
  <c r="AH147" i="34"/>
  <c r="AF149" i="34"/>
  <c r="AD145" i="34"/>
  <c r="AE149" i="34"/>
  <c r="BL147" i="34"/>
  <c r="AN153" i="34"/>
  <c r="AV154" i="34"/>
  <c r="BJ145" i="34"/>
  <c r="AN152" i="34"/>
  <c r="Q154" i="34"/>
  <c r="AZ155" i="34"/>
  <c r="AY148" i="34"/>
  <c r="AX153" i="34"/>
  <c r="BJ154" i="34"/>
  <c r="AT144" i="34"/>
  <c r="AR149" i="34"/>
  <c r="AT147" i="34"/>
  <c r="AV145" i="34"/>
  <c r="BC149" i="34"/>
  <c r="BE147" i="34"/>
  <c r="BG145" i="34"/>
  <c r="AH153" i="34"/>
  <c r="AF153" i="34"/>
  <c r="AF148" i="34"/>
  <c r="AE153" i="34"/>
  <c r="AN147" i="34"/>
  <c r="BH152" i="34"/>
  <c r="AJ154" i="34"/>
  <c r="BO155" i="34"/>
  <c r="AW149" i="34"/>
  <c r="BM153" i="34"/>
  <c r="AN155" i="34"/>
  <c r="BH147" i="34"/>
  <c r="AL153" i="34"/>
  <c r="AX154" i="34"/>
  <c r="AP144" i="34"/>
  <c r="AN149" i="34"/>
  <c r="AP147" i="34"/>
  <c r="AR145" i="34"/>
  <c r="AY149" i="34"/>
  <c r="BA147" i="34"/>
  <c r="BC145" i="34"/>
  <c r="AD153" i="34"/>
  <c r="AH152" i="34"/>
  <c r="AD147" i="34"/>
  <c r="AG152" i="34"/>
  <c r="AV147" i="34"/>
  <c r="BM152" i="34"/>
  <c r="AN154" i="34"/>
  <c r="BK144" i="34"/>
  <c r="BE149" i="34"/>
  <c r="AK146" i="34"/>
  <c r="S154" i="34"/>
  <c r="BC144" i="34"/>
  <c r="BA149" i="34"/>
  <c r="BO153" i="34"/>
  <c r="AT155" i="34"/>
  <c r="BM145" i="34"/>
  <c r="BL152" i="34"/>
  <c r="AU144" i="34"/>
  <c r="AL145" i="34"/>
  <c r="BI149" i="34"/>
  <c r="K154" i="34"/>
  <c r="AX155" i="34"/>
  <c r="BI145" i="34"/>
  <c r="AM147" i="34"/>
  <c r="BF152" i="34"/>
  <c r="AM154" i="34"/>
  <c r="AY144" i="34"/>
  <c r="AO145" i="34"/>
  <c r="AU152" i="34"/>
  <c r="AW148" i="34"/>
  <c r="AY146" i="34"/>
  <c r="BA144" i="34"/>
  <c r="BH148" i="34"/>
  <c r="BJ146" i="34"/>
  <c r="BL144" i="34"/>
  <c r="AE154" i="34"/>
  <c r="AH146" i="34"/>
  <c r="AG149" i="34"/>
  <c r="AG146" i="34"/>
  <c r="BK148" i="34"/>
  <c r="BD153" i="34"/>
  <c r="BL154" i="34"/>
  <c r="AQ147" i="34"/>
  <c r="BI152" i="34"/>
  <c r="AK154" i="34"/>
  <c r="BP155" i="34"/>
  <c r="AX149" i="34"/>
  <c r="BN153" i="34"/>
  <c r="AS155" i="34"/>
  <c r="BG152" i="34"/>
  <c r="BI148" i="34"/>
  <c r="BK146" i="34"/>
  <c r="BM144" i="34"/>
  <c r="AM149" i="34"/>
  <c r="AO147" i="34"/>
  <c r="AQ145" i="34"/>
  <c r="AF146" i="34"/>
  <c r="AH148" i="34"/>
  <c r="AI154" i="34"/>
  <c r="AG148" i="34"/>
  <c r="AM148" i="34"/>
  <c r="AR153" i="34"/>
  <c r="AZ154" i="34"/>
  <c r="AS146" i="34"/>
  <c r="AS152" i="34"/>
  <c r="U154" i="34"/>
  <c r="BD155" i="34"/>
  <c r="BG148" i="34"/>
  <c r="BB153" i="34"/>
  <c r="BN154" i="34"/>
  <c r="BC152" i="34"/>
  <c r="BE148" i="34"/>
  <c r="BG146" i="34"/>
  <c r="BI144" i="34"/>
  <c r="BP148" i="34"/>
  <c r="AK147" i="34"/>
  <c r="AM145" i="34"/>
  <c r="AF144" i="34"/>
  <c r="AD148" i="34"/>
  <c r="AG153" i="34"/>
  <c r="AI147" i="34"/>
  <c r="AU148" i="34"/>
  <c r="AV153" i="34"/>
  <c r="BD154" i="34"/>
  <c r="BH146" i="34"/>
  <c r="AX152" i="34"/>
  <c r="AT148" i="34"/>
  <c r="BF155" i="34"/>
  <c r="BA146" i="34"/>
  <c r="AV152" i="34"/>
  <c r="W154" i="34"/>
  <c r="BJ155" i="34"/>
  <c r="AW145" i="34"/>
  <c r="BK153" i="34"/>
  <c r="AJ146" i="34"/>
  <c r="BL146" i="34"/>
  <c r="BA152" i="34"/>
  <c r="AA154" i="34"/>
  <c r="BN155" i="34"/>
  <c r="AS145" i="34"/>
  <c r="BG154" i="34"/>
  <c r="AL148" i="34"/>
  <c r="AQ153" i="34"/>
  <c r="BC154" i="34"/>
  <c r="BD146" i="34"/>
  <c r="BF144" i="34"/>
  <c r="BL149" i="34"/>
  <c r="BN147" i="34"/>
  <c r="BP145" i="34"/>
  <c r="AK144" i="34"/>
  <c r="AR148" i="34"/>
  <c r="AT146" i="34"/>
  <c r="AV144" i="34"/>
  <c r="AE146" i="34"/>
  <c r="AI144" i="34"/>
  <c r="AP145" i="34"/>
  <c r="BJ149" i="34"/>
  <c r="L154" i="34"/>
  <c r="AU155" i="34"/>
  <c r="AP148" i="34"/>
  <c r="AS153" i="34"/>
  <c r="BA154" i="34"/>
  <c r="AW146" i="34"/>
  <c r="AT152" i="34"/>
  <c r="V154" i="34"/>
  <c r="BI155" i="34"/>
  <c r="AQ152" i="34"/>
  <c r="AS148" i="34"/>
  <c r="AU146" i="34"/>
  <c r="AW144" i="34"/>
  <c r="BD148" i="34"/>
  <c r="BF146" i="34"/>
  <c r="BH144" i="34"/>
  <c r="AI152" i="34"/>
  <c r="AD146" i="34"/>
  <c r="AE148" i="34"/>
  <c r="AI145" i="34"/>
  <c r="AL149" i="34"/>
  <c r="BH153" i="34"/>
  <c r="BP154" i="34"/>
  <c r="AY147" i="34"/>
  <c r="BN152" i="34"/>
  <c r="AO154" i="34"/>
  <c r="BO144" i="34"/>
  <c r="BF149" i="34"/>
  <c r="J154" i="34"/>
  <c r="AW155" i="34"/>
  <c r="AM152" i="34"/>
  <c r="AO148" i="34"/>
  <c r="AQ146" i="34"/>
  <c r="AS144" i="34"/>
  <c r="AZ148" i="34"/>
  <c r="BB146" i="34"/>
  <c r="BD144" i="34"/>
  <c r="AI148" i="34"/>
  <c r="AF145" i="34"/>
  <c r="AI146" i="34"/>
  <c r="AE145" i="34"/>
  <c r="AT149" i="34"/>
  <c r="BL153" i="34"/>
  <c r="AM155" i="34"/>
  <c r="BG147" i="34"/>
  <c r="AK153" i="34"/>
  <c r="I154" i="34"/>
  <c r="BH155" i="34"/>
  <c r="BN149" i="34"/>
  <c r="BB154" i="34"/>
  <c r="AY152" i="34"/>
  <c r="BA148" i="34"/>
  <c r="BC146" i="34"/>
  <c r="BE144" i="34"/>
  <c r="BL148" i="34"/>
  <c r="BN146" i="34"/>
  <c r="BP144" i="34"/>
  <c r="AG155" i="34"/>
  <c r="AF147" i="34"/>
  <c r="AE152" i="34"/>
  <c r="AE147" i="34"/>
  <c r="BC148" i="34"/>
  <c r="AZ153" i="34"/>
  <c r="BH154" i="34"/>
  <c r="BP146" i="34"/>
  <c r="BD152" i="34"/>
  <c r="AC154" i="34"/>
  <c r="BL155" i="34"/>
  <c r="AP149" i="34"/>
  <c r="BJ153" i="34"/>
  <c r="Y154" i="34"/>
  <c r="AX145" i="34"/>
  <c r="AP153" i="34"/>
  <c r="AK155" i="34"/>
  <c r="BP149" i="34"/>
  <c r="AK148" i="34"/>
  <c r="AM146" i="34"/>
  <c r="AO144" i="34"/>
  <c r="AV148" i="34"/>
  <c r="AX146" i="34"/>
  <c r="AZ144" i="34"/>
  <c r="AG147" i="34"/>
  <c r="AH144" i="34"/>
  <c r="AG145" i="34"/>
  <c r="AG144" i="34"/>
  <c r="BB149" i="34"/>
  <c r="BP153" i="34"/>
  <c r="AQ155" i="34"/>
  <c r="BO147" i="34"/>
  <c r="AO153" i="34"/>
  <c r="AW154" i="34"/>
  <c r="BN145" i="34"/>
  <c r="AO152" i="34"/>
  <c r="R154" i="34"/>
  <c r="BE155" i="34"/>
  <c r="BM154" i="34"/>
  <c r="BJ152" i="34"/>
  <c r="AO155" i="34"/>
  <c r="AS154" i="34"/>
  <c r="BP147" i="34"/>
  <c r="BF153" i="34"/>
  <c r="BA155" i="34"/>
  <c r="AZ149" i="34"/>
  <c r="BB147" i="34"/>
  <c r="BD145" i="34"/>
  <c r="BK149" i="34"/>
  <c r="BM147" i="34"/>
  <c r="BO145" i="34"/>
  <c r="AJ144" i="34"/>
  <c r="AH154" i="34"/>
  <c r="AF152" i="34"/>
  <c r="AG154" i="34"/>
  <c r="BE146" i="34"/>
  <c r="AW152" i="34"/>
  <c r="X154" i="34"/>
  <c r="BG155" i="34"/>
  <c r="BN148" i="34"/>
  <c r="BE153" i="34"/>
  <c r="AR147" i="34"/>
  <c r="AP154" i="34"/>
  <c r="AR155" i="34"/>
  <c r="BO148" i="34"/>
  <c r="N154" i="34"/>
  <c r="AL144" i="34"/>
  <c r="AJ149" i="34"/>
  <c r="AL147" i="34"/>
  <c r="AN145" i="34"/>
  <c r="AU149" i="34"/>
  <c r="AW147" i="34"/>
  <c r="AY145" i="34"/>
  <c r="AH149" i="34"/>
  <c r="AD152" i="34"/>
  <c r="AH145" i="34"/>
  <c r="AI149" i="34"/>
  <c r="BD147" i="34"/>
  <c r="AJ153" i="34"/>
  <c r="AR154" i="34"/>
  <c r="AT145" i="34"/>
  <c r="BM149" i="34"/>
  <c r="M154" i="34"/>
  <c r="AV155" i="34"/>
  <c r="AQ148" i="34"/>
  <c r="AT153" i="34"/>
  <c r="BF154" i="34"/>
  <c r="H144" i="34"/>
  <c r="M5" i="47"/>
  <c r="B93" i="36"/>
  <c r="E129" i="34"/>
  <c r="A91" i="36"/>
  <c r="A95" i="36"/>
  <c r="A97" i="36" s="1"/>
  <c r="B89" i="36"/>
  <c r="A89" i="36"/>
  <c r="B91" i="36"/>
  <c r="AK8" i="57" l="1"/>
  <c r="AK11" i="57"/>
  <c r="AJ8" i="57"/>
  <c r="BD22" i="69" s="1"/>
  <c r="AK10" i="57"/>
  <c r="AK7" i="57"/>
  <c r="AJ7" i="57"/>
  <c r="AK6" i="57"/>
  <c r="AJ11" i="57"/>
  <c r="AL39" i="50" s="1"/>
  <c r="O207" i="65" s="1"/>
  <c r="AL39" i="69" s="1"/>
  <c r="AJ5" i="57"/>
  <c r="AX5" i="50" s="1"/>
  <c r="AJ6" i="57"/>
  <c r="AM14" i="50" s="1"/>
  <c r="AJ10" i="57"/>
  <c r="Y34" i="69" s="1"/>
  <c r="L4" i="50"/>
  <c r="L4" i="57" s="1"/>
  <c r="L4" i="69"/>
  <c r="BG22" i="69"/>
  <c r="AC22" i="69"/>
  <c r="AS22" i="69"/>
  <c r="BI22" i="69"/>
  <c r="AH22" i="69"/>
  <c r="AU22" i="69"/>
  <c r="BH22" i="69"/>
  <c r="BF22" i="69"/>
  <c r="AE22" i="69"/>
  <c r="BC22" i="69"/>
  <c r="AW22" i="69"/>
  <c r="AJ22" i="69"/>
  <c r="BE48" i="45"/>
  <c r="Z48" i="45"/>
  <c r="AC48" i="68" s="1"/>
  <c r="AL48" i="45"/>
  <c r="J48" i="45"/>
  <c r="M48" i="68" s="1"/>
  <c r="AK48" i="45"/>
  <c r="AW48" i="45"/>
  <c r="AY48" i="45"/>
  <c r="I48" i="45"/>
  <c r="L48" i="68" s="1"/>
  <c r="N48" i="45"/>
  <c r="Q48" i="68" s="1"/>
  <c r="Q48" i="45"/>
  <c r="T48" i="68" s="1"/>
  <c r="Y48" i="45"/>
  <c r="AB48" i="68" s="1"/>
  <c r="G48" i="45"/>
  <c r="J48" i="68" s="1"/>
  <c r="X48" i="45"/>
  <c r="AA48" i="68" s="1"/>
  <c r="AQ48" i="45"/>
  <c r="V48" i="45"/>
  <c r="Y48" i="68" s="1"/>
  <c r="K48" i="45"/>
  <c r="N48" i="68" s="1"/>
  <c r="AU48" i="45"/>
  <c r="AC48" i="45"/>
  <c r="AD48" i="45"/>
  <c r="BC48" i="45"/>
  <c r="BN48" i="45"/>
  <c r="AG48" i="45"/>
  <c r="AI48" i="45"/>
  <c r="AT48" i="45"/>
  <c r="O48" i="45"/>
  <c r="R48" i="68" s="1"/>
  <c r="BH48" i="45"/>
  <c r="AJ48" i="45"/>
  <c r="P48" i="45"/>
  <c r="S48" i="68" s="1"/>
  <c r="AF48" i="45"/>
  <c r="T48" i="45"/>
  <c r="W48" i="68" s="1"/>
  <c r="BB48" i="45"/>
  <c r="F48" i="45"/>
  <c r="I48" i="68" s="1"/>
  <c r="U48" i="45"/>
  <c r="X48" i="68" s="1"/>
  <c r="BL48" i="45"/>
  <c r="AS48" i="45"/>
  <c r="AV48" i="45"/>
  <c r="BI48" i="45"/>
  <c r="BA48" i="45"/>
  <c r="BK48" i="45"/>
  <c r="AM48" i="45"/>
  <c r="AX48" i="45"/>
  <c r="BM48" i="45"/>
  <c r="S48" i="45"/>
  <c r="V48" i="68" s="1"/>
  <c r="AR48" i="45"/>
  <c r="R48" i="45"/>
  <c r="U48" i="68" s="1"/>
  <c r="AP48" i="45"/>
  <c r="AN48" i="45"/>
  <c r="BJ48" i="45"/>
  <c r="M48" i="45"/>
  <c r="P48" i="68" s="1"/>
  <c r="AA48" i="45"/>
  <c r="AD48" i="68" s="1"/>
  <c r="H48" i="45"/>
  <c r="K48" i="68" s="1"/>
  <c r="W48" i="45"/>
  <c r="Z48" i="68" s="1"/>
  <c r="BG48" i="45"/>
  <c r="L48" i="45"/>
  <c r="O48" i="68" s="1"/>
  <c r="BF48" i="45"/>
  <c r="AO48" i="45"/>
  <c r="BD48" i="45"/>
  <c r="AE48" i="45"/>
  <c r="AZ48" i="45"/>
  <c r="AH48" i="45"/>
  <c r="AP42" i="36"/>
  <c r="AO83" i="36"/>
  <c r="AL22" i="50"/>
  <c r="BH22" i="50"/>
  <c r="AH22" i="50"/>
  <c r="AP22" i="50"/>
  <c r="AA22" i="50"/>
  <c r="AT22" i="50"/>
  <c r="Y22" i="50"/>
  <c r="AR22" i="50"/>
  <c r="AE22" i="50"/>
  <c r="BB22" i="50"/>
  <c r="AC22" i="50"/>
  <c r="AX22" i="50"/>
  <c r="BC22" i="50"/>
  <c r="AI22" i="50"/>
  <c r="BJ22" i="50"/>
  <c r="AG22" i="50"/>
  <c r="BF22" i="50"/>
  <c r="AF22" i="50"/>
  <c r="BA22" i="50"/>
  <c r="Z22" i="50"/>
  <c r="AM22" i="50"/>
  <c r="AB22" i="50"/>
  <c r="AK22" i="50"/>
  <c r="AQ22" i="50"/>
  <c r="AO22" i="50"/>
  <c r="BD22" i="50"/>
  <c r="AU22" i="50"/>
  <c r="AJ22" i="50"/>
  <c r="AS22" i="50"/>
  <c r="AY22" i="50"/>
  <c r="AN22" i="50"/>
  <c r="AW22" i="50"/>
  <c r="BI22" i="50"/>
  <c r="BG22" i="50"/>
  <c r="AV22" i="50"/>
  <c r="BE22" i="50"/>
  <c r="BK22" i="50"/>
  <c r="AZ22" i="50"/>
  <c r="AJ61" i="57"/>
  <c r="AK61" i="57"/>
  <c r="L5" i="47"/>
  <c r="AH34" i="50" l="1"/>
  <c r="AW14" i="50"/>
  <c r="AV14" i="50"/>
  <c r="AR22" i="69"/>
  <c r="AD22" i="50"/>
  <c r="AG22" i="69"/>
  <c r="BI34" i="50"/>
  <c r="AT34" i="50"/>
  <c r="AI22" i="69"/>
  <c r="BA34" i="50"/>
  <c r="AC34" i="50"/>
  <c r="AZ34" i="50"/>
  <c r="AU34" i="50"/>
  <c r="AM34" i="50"/>
  <c r="AL22" i="69"/>
  <c r="AZ14" i="69"/>
  <c r="AW34" i="50"/>
  <c r="BJ34" i="50"/>
  <c r="AN34" i="50"/>
  <c r="AI34" i="50"/>
  <c r="BK34" i="50"/>
  <c r="BB34" i="50"/>
  <c r="AD34" i="50"/>
  <c r="Y34" i="50"/>
  <c r="BG34" i="50"/>
  <c r="AY34" i="50"/>
  <c r="AD22" i="69"/>
  <c r="AP34" i="50"/>
  <c r="BF34" i="50"/>
  <c r="AV34" i="50"/>
  <c r="AF34" i="50"/>
  <c r="AQ34" i="50"/>
  <c r="AE34" i="50"/>
  <c r="AA34" i="50"/>
  <c r="AL34" i="50"/>
  <c r="Z34" i="50"/>
  <c r="AG34" i="50"/>
  <c r="AS34" i="50"/>
  <c r="AO34" i="50"/>
  <c r="AJ34" i="50"/>
  <c r="BH34" i="50"/>
  <c r="BE34" i="50"/>
  <c r="BC34" i="50"/>
  <c r="AK34" i="50"/>
  <c r="AX34" i="50"/>
  <c r="AB34" i="50"/>
  <c r="BD34" i="50"/>
  <c r="AR34" i="50"/>
  <c r="AV22" i="69"/>
  <c r="AN39" i="50"/>
  <c r="Q207" i="65" s="1"/>
  <c r="AN39" i="69" s="1"/>
  <c r="AK39" i="50"/>
  <c r="N207" i="65" s="1"/>
  <c r="AK39" i="69" s="1"/>
  <c r="AW39" i="50"/>
  <c r="Z207" i="65" s="1"/>
  <c r="AW39" i="69" s="1"/>
  <c r="BH39" i="50"/>
  <c r="AK207" i="65" s="1"/>
  <c r="BH39" i="69" s="1"/>
  <c r="Z39" i="50"/>
  <c r="C207" i="65" s="1"/>
  <c r="BG39" i="50"/>
  <c r="AJ207" i="65" s="1"/>
  <c r="BG39" i="69" s="1"/>
  <c r="BJ39" i="50"/>
  <c r="AM207" i="65" s="1"/>
  <c r="BJ39" i="69" s="1"/>
  <c r="BD39" i="50"/>
  <c r="AG207" i="65" s="1"/>
  <c r="BD39" i="69" s="1"/>
  <c r="AP39" i="50"/>
  <c r="S207" i="65" s="1"/>
  <c r="AP39" i="69" s="1"/>
  <c r="AZ39" i="50"/>
  <c r="AC207" i="65" s="1"/>
  <c r="AZ39" i="69" s="1"/>
  <c r="AX39" i="50"/>
  <c r="AA207" i="65" s="1"/>
  <c r="AX39" i="69" s="1"/>
  <c r="BI39" i="50"/>
  <c r="AL207" i="65" s="1"/>
  <c r="BI39" i="69" s="1"/>
  <c r="AV39" i="50"/>
  <c r="Y207" i="65" s="1"/>
  <c r="AV39" i="69" s="1"/>
  <c r="AE39" i="50"/>
  <c r="H207" i="65" s="1"/>
  <c r="AJ39" i="50"/>
  <c r="M207" i="65" s="1"/>
  <c r="AJ39" i="69" s="1"/>
  <c r="BC39" i="50"/>
  <c r="AF207" i="65" s="1"/>
  <c r="BC39" i="69" s="1"/>
  <c r="BB39" i="50"/>
  <c r="AE207" i="65" s="1"/>
  <c r="BB39" i="69" s="1"/>
  <c r="Y39" i="50"/>
  <c r="B207" i="65" s="1"/>
  <c r="AD39" i="50"/>
  <c r="G207" i="65" s="1"/>
  <c r="AS39" i="50"/>
  <c r="V207" i="65" s="1"/>
  <c r="AS39" i="69" s="1"/>
  <c r="BF39" i="50"/>
  <c r="AI207" i="65" s="1"/>
  <c r="BF39" i="69" s="1"/>
  <c r="AU39" i="50"/>
  <c r="X207" i="65" s="1"/>
  <c r="AU39" i="69" s="1"/>
  <c r="AA39" i="50"/>
  <c r="D207" i="65" s="1"/>
  <c r="AE39" i="69"/>
  <c r="AO39" i="50"/>
  <c r="R207" i="65" s="1"/>
  <c r="AO39" i="69" s="1"/>
  <c r="AY39" i="50"/>
  <c r="AB207" i="65" s="1"/>
  <c r="AY39" i="69" s="1"/>
  <c r="AI39" i="50"/>
  <c r="L207" i="65" s="1"/>
  <c r="AI39" i="69" s="1"/>
  <c r="BE39" i="50"/>
  <c r="AH207" i="65" s="1"/>
  <c r="BE39" i="69" s="1"/>
  <c r="AQ39" i="50"/>
  <c r="T207" i="65" s="1"/>
  <c r="AQ39" i="69" s="1"/>
  <c r="Y12" i="50"/>
  <c r="AQ14" i="50"/>
  <c r="BH14" i="50"/>
  <c r="AF22" i="69"/>
  <c r="AK12" i="50"/>
  <c r="AK13" i="50" s="1"/>
  <c r="AN12" i="50"/>
  <c r="AN13" i="50" s="1"/>
  <c r="AL14" i="50"/>
  <c r="AJ14" i="50"/>
  <c r="BE12" i="50"/>
  <c r="BE13" i="50" s="1"/>
  <c r="BK12" i="50"/>
  <c r="BK13" i="50" s="1"/>
  <c r="AG14" i="50"/>
  <c r="BG14" i="50"/>
  <c r="AL12" i="50"/>
  <c r="AL13" i="50" s="1"/>
  <c r="AH14" i="50"/>
  <c r="BC12" i="50"/>
  <c r="BC13" i="50" s="1"/>
  <c r="Y14" i="50"/>
  <c r="AT12" i="50"/>
  <c r="AT13" i="50" s="1"/>
  <c r="BK14" i="50"/>
  <c r="AS14" i="50"/>
  <c r="AV12" i="50"/>
  <c r="AV13" i="50" s="1"/>
  <c r="AU12" i="50"/>
  <c r="AU13" i="50" s="1"/>
  <c r="AT14" i="50"/>
  <c r="AF14" i="50"/>
  <c r="BH12" i="50"/>
  <c r="BH13" i="50" s="1"/>
  <c r="AZ14" i="50"/>
  <c r="AI14" i="50"/>
  <c r="AX14" i="50"/>
  <c r="AP14" i="50"/>
  <c r="BG12" i="50"/>
  <c r="BG13" i="50" s="1"/>
  <c r="AD14" i="50"/>
  <c r="AY14" i="50"/>
  <c r="Z14" i="50"/>
  <c r="AF12" i="50"/>
  <c r="AF13" i="50" s="1"/>
  <c r="BI12" i="50"/>
  <c r="BI13" i="50" s="1"/>
  <c r="BA12" i="50"/>
  <c r="BA13" i="50" s="1"/>
  <c r="AA39" i="69"/>
  <c r="AC14" i="50"/>
  <c r="AN14" i="50"/>
  <c r="BD14" i="50"/>
  <c r="AC12" i="50"/>
  <c r="AC13" i="50" s="1"/>
  <c r="AZ12" i="50"/>
  <c r="AZ13" i="50" s="1"/>
  <c r="AE34" i="69"/>
  <c r="BA14" i="50"/>
  <c r="AO14" i="50"/>
  <c r="BB14" i="50"/>
  <c r="AH12" i="50"/>
  <c r="AH13" i="50" s="1"/>
  <c r="BF12" i="50"/>
  <c r="BF13" i="50" s="1"/>
  <c r="BD14" i="69"/>
  <c r="BJ12" i="50"/>
  <c r="BJ13" i="50" s="1"/>
  <c r="AO12" i="50"/>
  <c r="AO13" i="50" s="1"/>
  <c r="AB12" i="50"/>
  <c r="AB13" i="50" s="1"/>
  <c r="AR14" i="50"/>
  <c r="AL12" i="69"/>
  <c r="AL15" i="69" s="1"/>
  <c r="AL50" i="69" s="1"/>
  <c r="AV34" i="69"/>
  <c r="BB14" i="69"/>
  <c r="AU12" i="69"/>
  <c r="AB12" i="69"/>
  <c r="BC14" i="50"/>
  <c r="AU14" i="50"/>
  <c r="AQ12" i="50"/>
  <c r="AQ13" i="50" s="1"/>
  <c r="BE14" i="50"/>
  <c r="AV14" i="69"/>
  <c r="AB14" i="50"/>
  <c r="AJ12" i="50"/>
  <c r="AJ13" i="50" s="1"/>
  <c r="AP12" i="50"/>
  <c r="AP13" i="50" s="1"/>
  <c r="BF14" i="50"/>
  <c r="Z39" i="69"/>
  <c r="AM12" i="69"/>
  <c r="AM12" i="50"/>
  <c r="AM13" i="50" s="1"/>
  <c r="BJ14" i="50"/>
  <c r="AX12" i="50"/>
  <c r="AX13" i="50" s="1"/>
  <c r="AA12" i="50"/>
  <c r="AA13" i="50" s="1"/>
  <c r="AR12" i="50"/>
  <c r="AR13" i="50" s="1"/>
  <c r="BI14" i="50"/>
  <c r="AB39" i="69"/>
  <c r="BI14" i="69"/>
  <c r="BB12" i="50"/>
  <c r="BB13" i="50" s="1"/>
  <c r="AE14" i="50"/>
  <c r="AW12" i="50"/>
  <c r="AW13" i="50" s="1"/>
  <c r="Z12" i="50"/>
  <c r="Z13" i="50" s="1"/>
  <c r="AY12" i="50"/>
  <c r="AY13" i="50" s="1"/>
  <c r="AS12" i="50"/>
  <c r="AS13" i="50" s="1"/>
  <c r="AD39" i="69"/>
  <c r="BH14" i="69"/>
  <c r="AA34" i="69"/>
  <c r="AX14" i="69"/>
  <c r="BI12" i="69"/>
  <c r="BA34" i="69"/>
  <c r="AH12" i="69"/>
  <c r="AH15" i="69" s="1"/>
  <c r="AH50" i="69" s="1"/>
  <c r="AS12" i="69"/>
  <c r="AP14" i="69"/>
  <c r="BK34" i="69"/>
  <c r="AF12" i="69"/>
  <c r="AF14" i="69"/>
  <c r="BH34" i="69"/>
  <c r="AO12" i="69"/>
  <c r="AO15" i="69" s="1"/>
  <c r="AO50" i="69" s="1"/>
  <c r="BG12" i="69"/>
  <c r="AD19" i="69"/>
  <c r="AB34" i="69"/>
  <c r="Y12" i="69"/>
  <c r="AE12" i="69"/>
  <c r="AE15" i="69" s="1"/>
  <c r="AE50" i="69" s="1"/>
  <c r="AX34" i="69"/>
  <c r="AY14" i="69"/>
  <c r="BF14" i="69"/>
  <c r="AA14" i="50"/>
  <c r="Y39" i="69"/>
  <c r="AG34" i="69"/>
  <c r="AS14" i="69"/>
  <c r="BD12" i="50"/>
  <c r="BD13" i="50" s="1"/>
  <c r="AG12" i="50"/>
  <c r="AG13" i="50" s="1"/>
  <c r="AD12" i="50"/>
  <c r="AD13" i="50" s="1"/>
  <c r="BE22" i="69"/>
  <c r="BJ14" i="70" s="1"/>
  <c r="Y22" i="69"/>
  <c r="AD14" i="70" s="1"/>
  <c r="AA22" i="69"/>
  <c r="AB22" i="69"/>
  <c r="AZ22" i="69"/>
  <c r="BE13" i="70" s="1"/>
  <c r="AK22" i="69"/>
  <c r="AP22" i="69"/>
  <c r="AT22" i="69"/>
  <c r="BB22" i="69"/>
  <c r="BG14" i="70" s="1"/>
  <c r="AN22" i="69"/>
  <c r="AN34" i="69"/>
  <c r="AS34" i="69"/>
  <c r="AZ34" i="69"/>
  <c r="AZ37" i="69" s="1"/>
  <c r="BE34" i="69"/>
  <c r="BE35" i="69" s="1"/>
  <c r="AD34" i="69"/>
  <c r="AG14" i="69"/>
  <c r="AM14" i="69"/>
  <c r="AB14" i="69"/>
  <c r="AG12" i="69"/>
  <c r="AE14" i="69"/>
  <c r="BB12" i="69"/>
  <c r="BB15" i="69" s="1"/>
  <c r="BB50" i="69" s="1"/>
  <c r="AA14" i="69"/>
  <c r="AL14" i="69"/>
  <c r="AC12" i="69"/>
  <c r="BC12" i="69"/>
  <c r="BC13" i="69" s="1"/>
  <c r="AN12" i="69"/>
  <c r="AN13" i="69" s="1"/>
  <c r="AE12" i="50"/>
  <c r="AE13" i="50" s="1"/>
  <c r="AK14" i="50"/>
  <c r="AI12" i="50"/>
  <c r="AI13" i="50" s="1"/>
  <c r="AX22" i="69"/>
  <c r="AO22" i="69"/>
  <c r="AY22" i="69"/>
  <c r="Z22" i="69"/>
  <c r="Z23" i="69" s="1"/>
  <c r="Z24" i="69" s="1"/>
  <c r="AQ22" i="69"/>
  <c r="BA22" i="69"/>
  <c r="BK22" i="69"/>
  <c r="AM22" i="69"/>
  <c r="AR13" i="70" s="1"/>
  <c r="BJ22" i="69"/>
  <c r="BO14" i="70" s="1"/>
  <c r="BF34" i="69"/>
  <c r="BB34" i="69"/>
  <c r="AQ34" i="69"/>
  <c r="AQ35" i="69" s="1"/>
  <c r="BG34" i="69"/>
  <c r="AH14" i="69"/>
  <c r="BG14" i="69"/>
  <c r="AC14" i="69"/>
  <c r="BE12" i="69"/>
  <c r="BC14" i="69"/>
  <c r="BH12" i="69"/>
  <c r="AU14" i="69"/>
  <c r="AX12" i="69"/>
  <c r="AX13" i="69" s="1"/>
  <c r="BA12" i="69"/>
  <c r="AZ12" i="69"/>
  <c r="AY12" i="69"/>
  <c r="AY15" i="69" s="1"/>
  <c r="AY50" i="69" s="1"/>
  <c r="BJ12" i="69"/>
  <c r="Z12" i="69"/>
  <c r="AO14" i="69"/>
  <c r="AA19" i="69"/>
  <c r="BJ34" i="69"/>
  <c r="AB39" i="50"/>
  <c r="E207" i="65" s="1"/>
  <c r="BK39" i="50"/>
  <c r="AN207" i="65" s="1"/>
  <c r="BK39" i="69" s="1"/>
  <c r="AH39" i="50"/>
  <c r="K207" i="65" s="1"/>
  <c r="AH39" i="69" s="1"/>
  <c r="BA39" i="50"/>
  <c r="AD207" i="65" s="1"/>
  <c r="BA39" i="69" s="1"/>
  <c r="AG39" i="50"/>
  <c r="J207" i="65" s="1"/>
  <c r="AR39" i="50"/>
  <c r="U207" i="65" s="1"/>
  <c r="AR39" i="69" s="1"/>
  <c r="AT39" i="50"/>
  <c r="W207" i="65" s="1"/>
  <c r="AT39" i="69" s="1"/>
  <c r="AM39" i="50"/>
  <c r="P207" i="65" s="1"/>
  <c r="AM39" i="69" s="1"/>
  <c r="AC39" i="50"/>
  <c r="F207" i="65" s="1"/>
  <c r="AF39" i="50"/>
  <c r="I207" i="65" s="1"/>
  <c r="AE5" i="50"/>
  <c r="AE8" i="50" s="1"/>
  <c r="AE9" i="50" s="1"/>
  <c r="AJ10" i="36" s="1"/>
  <c r="AG39" i="69"/>
  <c r="AC39" i="69"/>
  <c r="Z34" i="69"/>
  <c r="AF34" i="69"/>
  <c r="AF37" i="69" s="1"/>
  <c r="AH34" i="69"/>
  <c r="AH35" i="69" s="1"/>
  <c r="AK34" i="69"/>
  <c r="AP34" i="69"/>
  <c r="AR34" i="69"/>
  <c r="AR37" i="69" s="1"/>
  <c r="AM34" i="69"/>
  <c r="AM37" i="69" s="1"/>
  <c r="AW34" i="69"/>
  <c r="BC34" i="69"/>
  <c r="AL34" i="69"/>
  <c r="AL37" i="69" s="1"/>
  <c r="AR12" i="69"/>
  <c r="AR15" i="69" s="1"/>
  <c r="AR50" i="69" s="1"/>
  <c r="AJ12" i="69"/>
  <c r="AI14" i="69"/>
  <c r="AW14" i="69"/>
  <c r="AW12" i="69"/>
  <c r="AW15" i="69" s="1"/>
  <c r="AW50" i="69" s="1"/>
  <c r="BK12" i="69"/>
  <c r="AA12" i="69"/>
  <c r="AR14" i="69"/>
  <c r="AQ12" i="69"/>
  <c r="AQ13" i="69" s="1"/>
  <c r="AN14" i="69"/>
  <c r="AV12" i="69"/>
  <c r="AK12" i="69"/>
  <c r="AK13" i="69" s="1"/>
  <c r="BK14" i="69"/>
  <c r="AI12" i="69"/>
  <c r="Y14" i="69"/>
  <c r="AD14" i="69"/>
  <c r="AB19" i="50"/>
  <c r="AB20" i="50" s="1"/>
  <c r="AB21" i="50" s="1"/>
  <c r="AF39" i="69"/>
  <c r="BD34" i="69"/>
  <c r="AU34" i="69"/>
  <c r="AU37" i="69" s="1"/>
  <c r="BI34" i="69"/>
  <c r="AC34" i="69"/>
  <c r="AT34" i="69"/>
  <c r="AJ34" i="69"/>
  <c r="AJ37" i="69" s="1"/>
  <c r="AI34" i="69"/>
  <c r="AO34" i="69"/>
  <c r="AY34" i="69"/>
  <c r="AY35" i="69" s="1"/>
  <c r="AU5" i="50"/>
  <c r="X205" i="65" s="1"/>
  <c r="AU5" i="69" s="1"/>
  <c r="AN19" i="50"/>
  <c r="AN20" i="50" s="1"/>
  <c r="AN21" i="50" s="1"/>
  <c r="AQ5" i="50"/>
  <c r="BE19" i="50"/>
  <c r="AJ5" i="50"/>
  <c r="AJ8" i="50" s="1"/>
  <c r="BH19" i="50"/>
  <c r="BH20" i="50" s="1"/>
  <c r="BH21" i="50" s="1"/>
  <c r="AE19" i="50"/>
  <c r="AC5" i="50"/>
  <c r="BI5" i="50"/>
  <c r="AL205" i="65" s="1"/>
  <c r="BI5" i="69" s="1"/>
  <c r="BD5" i="50"/>
  <c r="BD8" i="50" s="1"/>
  <c r="BE5" i="50"/>
  <c r="AA19" i="50"/>
  <c r="Z19" i="50"/>
  <c r="Z20" i="50" s="1"/>
  <c r="Z21" i="50" s="1"/>
  <c r="AW19" i="50"/>
  <c r="Z206" i="65" s="1"/>
  <c r="AW19" i="69" s="1"/>
  <c r="Y19" i="50"/>
  <c r="AD19" i="50"/>
  <c r="AN5" i="50"/>
  <c r="AN8" i="50" s="1"/>
  <c r="BF5" i="50"/>
  <c r="AM5" i="50"/>
  <c r="AS5" i="50"/>
  <c r="AI19" i="50"/>
  <c r="L206" i="65" s="1"/>
  <c r="AI19" i="69" s="1"/>
  <c r="AG19" i="50"/>
  <c r="AG20" i="50" s="1"/>
  <c r="AG21" i="50" s="1"/>
  <c r="AS19" i="50"/>
  <c r="AX19" i="50"/>
  <c r="AX20" i="50" s="1"/>
  <c r="AX21" i="50" s="1"/>
  <c r="AG19" i="69"/>
  <c r="AY5" i="50"/>
  <c r="AB205" i="65" s="1"/>
  <c r="AY5" i="69" s="1"/>
  <c r="AI5" i="50"/>
  <c r="AV5" i="50"/>
  <c r="AF19" i="50"/>
  <c r="AF20" i="50" s="1"/>
  <c r="AF21" i="50" s="1"/>
  <c r="AY19" i="50"/>
  <c r="AY20" i="50" s="1"/>
  <c r="AY21" i="50" s="1"/>
  <c r="AT19" i="50"/>
  <c r="W206" i="65" s="1"/>
  <c r="AT19" i="69" s="1"/>
  <c r="AK19" i="50"/>
  <c r="AZ19" i="50"/>
  <c r="AC206" i="65" s="1"/>
  <c r="AZ19" i="69" s="1"/>
  <c r="Y19" i="69"/>
  <c r="AT14" i="69"/>
  <c r="AK14" i="69"/>
  <c r="BA14" i="69"/>
  <c r="AC19" i="69"/>
  <c r="Z19" i="69"/>
  <c r="AD5" i="50"/>
  <c r="G205" i="65" s="1"/>
  <c r="AD5" i="69" s="1"/>
  <c r="AO5" i="50"/>
  <c r="AO8" i="50" s="1"/>
  <c r="AZ5" i="50"/>
  <c r="AC205" i="65" s="1"/>
  <c r="AZ5" i="69" s="1"/>
  <c r="AK5" i="50"/>
  <c r="N205" i="65" s="1"/>
  <c r="AK5" i="69" s="1"/>
  <c r="BG5" i="50"/>
  <c r="AG5" i="50"/>
  <c r="AG8" i="50" s="1"/>
  <c r="AB5" i="50"/>
  <c r="AB8" i="50" s="1"/>
  <c r="BJ19" i="50"/>
  <c r="AR19" i="50"/>
  <c r="BG19" i="50"/>
  <c r="BG20" i="50" s="1"/>
  <c r="BG21" i="50" s="1"/>
  <c r="AM19" i="50"/>
  <c r="AM20" i="50" s="1"/>
  <c r="AM21" i="50" s="1"/>
  <c r="BB19" i="50"/>
  <c r="AP19" i="50"/>
  <c r="AO19" i="50"/>
  <c r="AO20" i="50" s="1"/>
  <c r="AO21" i="50" s="1"/>
  <c r="BA19" i="50"/>
  <c r="BA20" i="50" s="1"/>
  <c r="BA21" i="50" s="1"/>
  <c r="AU19" i="50"/>
  <c r="AL19" i="50"/>
  <c r="AF19" i="69"/>
  <c r="AB19" i="69"/>
  <c r="AA5" i="50"/>
  <c r="BA5" i="50"/>
  <c r="AT5" i="50"/>
  <c r="AT8" i="50" s="1"/>
  <c r="AH5" i="50"/>
  <c r="AH8" i="50" s="1"/>
  <c r="BJ5" i="50"/>
  <c r="AW5" i="50"/>
  <c r="Z205" i="65" s="1"/>
  <c r="AW5" i="69" s="1"/>
  <c r="AP5" i="50"/>
  <c r="S205" i="65" s="1"/>
  <c r="AP5" i="69" s="1"/>
  <c r="BK19" i="50"/>
  <c r="AN206" i="65" s="1"/>
  <c r="BK19" i="69" s="1"/>
  <c r="BD19" i="50"/>
  <c r="BC19" i="50"/>
  <c r="BF19" i="50"/>
  <c r="BF20" i="50" s="1"/>
  <c r="BF21" i="50" s="1"/>
  <c r="BI19" i="50"/>
  <c r="AC19" i="50"/>
  <c r="AQ19" i="50"/>
  <c r="AV19" i="50"/>
  <c r="AV20" i="50" s="1"/>
  <c r="AV21" i="50" s="1"/>
  <c r="AJ19" i="50"/>
  <c r="M206" i="65" s="1"/>
  <c r="AJ19" i="69" s="1"/>
  <c r="AH19" i="50"/>
  <c r="AE19" i="69"/>
  <c r="AP12" i="69"/>
  <c r="AP15" i="69" s="1"/>
  <c r="AP50" i="69" s="1"/>
  <c r="AD12" i="69"/>
  <c r="AD15" i="69" s="1"/>
  <c r="AD50" i="69" s="1"/>
  <c r="BF12" i="69"/>
  <c r="BE14" i="69"/>
  <c r="AF5" i="50"/>
  <c r="I205" i="65" s="1"/>
  <c r="AF5" i="69" s="1"/>
  <c r="Z5" i="50"/>
  <c r="BC5" i="50"/>
  <c r="Y5" i="50"/>
  <c r="B205" i="65" s="1"/>
  <c r="Y5" i="69" s="1"/>
  <c r="BB5" i="50"/>
  <c r="BB8" i="50" s="1"/>
  <c r="BK5" i="50"/>
  <c r="BK8" i="50" s="1"/>
  <c r="BH5" i="50"/>
  <c r="AK205" i="65" s="1"/>
  <c r="BH5" i="69" s="1"/>
  <c r="AL5" i="50"/>
  <c r="AL8" i="50" s="1"/>
  <c r="AR5" i="50"/>
  <c r="AR8" i="50" s="1"/>
  <c r="AQ14" i="69"/>
  <c r="AJ14" i="69"/>
  <c r="BD12" i="69"/>
  <c r="BD15" i="69" s="1"/>
  <c r="BD50" i="69" s="1"/>
  <c r="BJ14" i="69"/>
  <c r="Z14" i="69"/>
  <c r="AT12" i="69"/>
  <c r="AA20" i="50"/>
  <c r="AA21" i="50" s="1"/>
  <c r="D206" i="65"/>
  <c r="AT20" i="50"/>
  <c r="AT21" i="50" s="1"/>
  <c r="AO23" i="69"/>
  <c r="AO24" i="69" s="1"/>
  <c r="AT13" i="70"/>
  <c r="AT14" i="70"/>
  <c r="BK23" i="69"/>
  <c r="BK24" i="69" s="1"/>
  <c r="BP14" i="70"/>
  <c r="BP13" i="70"/>
  <c r="AW35" i="69"/>
  <c r="AW37" i="69"/>
  <c r="AK8" i="50"/>
  <c r="AW8" i="50"/>
  <c r="AS8" i="50"/>
  <c r="V205" i="65"/>
  <c r="AS5" i="69" s="1"/>
  <c r="J206" i="65"/>
  <c r="AS20" i="50"/>
  <c r="AS21" i="50" s="1"/>
  <c r="V206" i="65"/>
  <c r="AS19" i="69" s="1"/>
  <c r="BE20" i="50"/>
  <c r="BE21" i="50" s="1"/>
  <c r="AH206" i="65"/>
  <c r="BE19" i="69" s="1"/>
  <c r="AE20" i="50"/>
  <c r="AE21" i="50" s="1"/>
  <c r="H206" i="65"/>
  <c r="AJ23" i="69"/>
  <c r="AJ24" i="69" s="1"/>
  <c r="AO14" i="70"/>
  <c r="AO13" i="70"/>
  <c r="AG23" i="69"/>
  <c r="AG24" i="69" s="1"/>
  <c r="AL13" i="70"/>
  <c r="AL14" i="70"/>
  <c r="AE23" i="69"/>
  <c r="AE24" i="69" s="1"/>
  <c r="AJ14" i="70"/>
  <c r="AJ13" i="70"/>
  <c r="BH23" i="69"/>
  <c r="BH24" i="69" s="1"/>
  <c r="BM14" i="70"/>
  <c r="BM13" i="70"/>
  <c r="AH23" i="69"/>
  <c r="AH24" i="69" s="1"/>
  <c r="AM13" i="70"/>
  <c r="AM14" i="70"/>
  <c r="AS23" i="69"/>
  <c r="AS24" i="69" s="1"/>
  <c r="AX13" i="70"/>
  <c r="AX14" i="70"/>
  <c r="BG23" i="69"/>
  <c r="BG24" i="69" s="1"/>
  <c r="BL14" i="70"/>
  <c r="BL13" i="70"/>
  <c r="AI23" i="69"/>
  <c r="AI24" i="69" s="1"/>
  <c r="AN14" i="70"/>
  <c r="AN13" i="70"/>
  <c r="AI13" i="70"/>
  <c r="AD23" i="69"/>
  <c r="AD24" i="69" s="1"/>
  <c r="AI14" i="70"/>
  <c r="AF23" i="69"/>
  <c r="AF24" i="69" s="1"/>
  <c r="AK14" i="70"/>
  <c r="AK13" i="70"/>
  <c r="Y42" i="69"/>
  <c r="Y40" i="69"/>
  <c r="BD37" i="69"/>
  <c r="BD35" i="69"/>
  <c r="BI35" i="69"/>
  <c r="BI37" i="69"/>
  <c r="AC35" i="69"/>
  <c r="AC37" i="69"/>
  <c r="AT37" i="69"/>
  <c r="AT35" i="69"/>
  <c r="AI37" i="69"/>
  <c r="AI35" i="69"/>
  <c r="AO35" i="69"/>
  <c r="AO37" i="69"/>
  <c r="AY37" i="69"/>
  <c r="BJ35" i="69"/>
  <c r="BJ37" i="69"/>
  <c r="AM13" i="69"/>
  <c r="AM15" i="69"/>
  <c r="AM50" i="69" s="1"/>
  <c r="AX15" i="69"/>
  <c r="AX50" i="69" s="1"/>
  <c r="BI13" i="69"/>
  <c r="BI15" i="69"/>
  <c r="BI50" i="69" s="1"/>
  <c r="AC13" i="69"/>
  <c r="AC15" i="69"/>
  <c r="AC50" i="69" s="1"/>
  <c r="BG15" i="69"/>
  <c r="BG50" i="69" s="1"/>
  <c r="BG13" i="69"/>
  <c r="AI15" i="69"/>
  <c r="AI50" i="69" s="1"/>
  <c r="AI13" i="69"/>
  <c r="Y8" i="50"/>
  <c r="I206" i="65"/>
  <c r="AK20" i="50"/>
  <c r="AK21" i="50" s="1"/>
  <c r="N206" i="65"/>
  <c r="AK19" i="69" s="1"/>
  <c r="AD20" i="50"/>
  <c r="AD21" i="50" s="1"/>
  <c r="G206" i="65"/>
  <c r="AY23" i="69"/>
  <c r="AY24" i="69" s="1"/>
  <c r="BD14" i="70"/>
  <c r="BD13" i="70"/>
  <c r="AQ23" i="69"/>
  <c r="AQ24" i="69" s="1"/>
  <c r="AV14" i="70"/>
  <c r="AV13" i="70"/>
  <c r="AR14" i="70"/>
  <c r="BD23" i="69"/>
  <c r="BD24" i="69" s="1"/>
  <c r="BI14" i="70"/>
  <c r="BI13" i="70"/>
  <c r="Z37" i="69"/>
  <c r="Z35" i="69"/>
  <c r="AK37" i="69"/>
  <c r="AK35" i="69"/>
  <c r="BK15" i="69"/>
  <c r="BK50" i="69" s="1"/>
  <c r="BK13" i="69"/>
  <c r="AV15" i="69"/>
  <c r="AV50" i="69" s="1"/>
  <c r="AV13" i="69"/>
  <c r="AH15" i="70"/>
  <c r="AL15" i="70"/>
  <c r="AP15" i="70"/>
  <c r="AT15" i="70"/>
  <c r="AX15" i="70"/>
  <c r="BB15" i="70"/>
  <c r="BF15" i="70"/>
  <c r="BJ15" i="70"/>
  <c r="BN15" i="70"/>
  <c r="AE15" i="70"/>
  <c r="AI15" i="70"/>
  <c r="AM15" i="70"/>
  <c r="AQ15" i="70"/>
  <c r="AU15" i="70"/>
  <c r="AY15" i="70"/>
  <c r="BC15" i="70"/>
  <c r="BG15" i="70"/>
  <c r="BK15" i="70"/>
  <c r="BO15" i="70"/>
  <c r="AD15" i="70"/>
  <c r="AF15" i="70"/>
  <c r="AJ15" i="70"/>
  <c r="AN15" i="70"/>
  <c r="AR15" i="70"/>
  <c r="AV15" i="70"/>
  <c r="AZ15" i="70"/>
  <c r="BD15" i="70"/>
  <c r="BH15" i="70"/>
  <c r="BL15" i="70"/>
  <c r="BP15" i="70"/>
  <c r="AG15" i="70"/>
  <c r="AK15" i="70"/>
  <c r="AO15" i="70"/>
  <c r="AS15" i="70"/>
  <c r="AW15" i="70"/>
  <c r="BA15" i="70"/>
  <c r="BE15" i="70"/>
  <c r="BI15" i="70"/>
  <c r="BM15" i="70"/>
  <c r="Y13" i="50"/>
  <c r="Y15" i="50"/>
  <c r="AA8" i="50"/>
  <c r="AA9" i="50" s="1"/>
  <c r="AF10" i="36" s="1"/>
  <c r="D205" i="65"/>
  <c r="AA5" i="69" s="1"/>
  <c r="BI8" i="50"/>
  <c r="BG8" i="50"/>
  <c r="AJ205" i="65"/>
  <c r="BG5" i="69" s="1"/>
  <c r="AM8" i="50"/>
  <c r="AM9" i="50" s="1"/>
  <c r="AR10" i="36" s="1"/>
  <c r="P205" i="65"/>
  <c r="AM5" i="69" s="1"/>
  <c r="AV8" i="50"/>
  <c r="Y205" i="65"/>
  <c r="AV5" i="69" s="1"/>
  <c r="BJ20" i="50"/>
  <c r="BJ21" i="50" s="1"/>
  <c r="AM206" i="65"/>
  <c r="BJ19" i="69" s="1"/>
  <c r="AR20" i="50"/>
  <c r="AR21" i="50" s="1"/>
  <c r="U206" i="65"/>
  <c r="AR19" i="69" s="1"/>
  <c r="BB20" i="50"/>
  <c r="BB21" i="50" s="1"/>
  <c r="AE206" i="65"/>
  <c r="BB19" i="69" s="1"/>
  <c r="AP20" i="50"/>
  <c r="AP21" i="50" s="1"/>
  <c r="S206" i="65"/>
  <c r="AP19" i="69" s="1"/>
  <c r="AU20" i="50"/>
  <c r="AU21" i="50" s="1"/>
  <c r="X206" i="65"/>
  <c r="AU19" i="69" s="1"/>
  <c r="AL20" i="50"/>
  <c r="AL21" i="50" s="1"/>
  <c r="O206" i="65"/>
  <c r="AL19" i="69" s="1"/>
  <c r="BJ13" i="70"/>
  <c r="Y23" i="69"/>
  <c r="Y24" i="69" s="1"/>
  <c r="AA23" i="69"/>
  <c r="AA24" i="69" s="1"/>
  <c r="AF14" i="70"/>
  <c r="AF13" i="70"/>
  <c r="AB23" i="69"/>
  <c r="AB24" i="69" s="1"/>
  <c r="AG14" i="70"/>
  <c r="AG13" i="70"/>
  <c r="BE14" i="70"/>
  <c r="AK23" i="69"/>
  <c r="AK24" i="69" s="1"/>
  <c r="AP13" i="70"/>
  <c r="AP14" i="70"/>
  <c r="AP23" i="69"/>
  <c r="AP24" i="69" s="1"/>
  <c r="AU13" i="70"/>
  <c r="AU14" i="70"/>
  <c r="AY13" i="70"/>
  <c r="AY14" i="70"/>
  <c r="AT23" i="69"/>
  <c r="AT24" i="69" s="1"/>
  <c r="AN23" i="69"/>
  <c r="AN24" i="69" s="1"/>
  <c r="AS14" i="70"/>
  <c r="AS13" i="70"/>
  <c r="AV37" i="69"/>
  <c r="AV35" i="69"/>
  <c r="AA37" i="69"/>
  <c r="AA35" i="69"/>
  <c r="BA37" i="69"/>
  <c r="BA35" i="69"/>
  <c r="BK35" i="69"/>
  <c r="BK37" i="69"/>
  <c r="BH37" i="69"/>
  <c r="BH35" i="69"/>
  <c r="AB37" i="69"/>
  <c r="AB35" i="69"/>
  <c r="AX35" i="69"/>
  <c r="AX37" i="69"/>
  <c r="AG35" i="69"/>
  <c r="AG37" i="69"/>
  <c r="AE35" i="69"/>
  <c r="AE37" i="69"/>
  <c r="AU15" i="69"/>
  <c r="AU50" i="69" s="1"/>
  <c r="AU13" i="69"/>
  <c r="AF13" i="69"/>
  <c r="AF15" i="69"/>
  <c r="AF50" i="69" s="1"/>
  <c r="AG15" i="69"/>
  <c r="AG50" i="69" s="1"/>
  <c r="AG13" i="69"/>
  <c r="BH13" i="69"/>
  <c r="BH15" i="69"/>
  <c r="BH50" i="69" s="1"/>
  <c r="BA13" i="69"/>
  <c r="BA15" i="69"/>
  <c r="BA50" i="69" s="1"/>
  <c r="AY13" i="69"/>
  <c r="BF15" i="69"/>
  <c r="BF50" i="69" s="1"/>
  <c r="BF13" i="69"/>
  <c r="AD13" i="69"/>
  <c r="Z8" i="50"/>
  <c r="Z9" i="50" s="1"/>
  <c r="AE10" i="36" s="1"/>
  <c r="C205" i="65"/>
  <c r="Z5" i="69" s="1"/>
  <c r="BC8" i="50"/>
  <c r="AF205" i="65"/>
  <c r="BC5" i="69" s="1"/>
  <c r="O205" i="65"/>
  <c r="AL5" i="69" s="1"/>
  <c r="AX8" i="50"/>
  <c r="AA205" i="65"/>
  <c r="AX5" i="69" s="1"/>
  <c r="Y20" i="50"/>
  <c r="Y21" i="50" s="1"/>
  <c r="B206" i="65"/>
  <c r="AX23" i="69"/>
  <c r="AX24" i="69" s="1"/>
  <c r="BC13" i="70"/>
  <c r="BC14" i="70"/>
  <c r="BA23" i="69"/>
  <c r="BA24" i="69" s="1"/>
  <c r="BF13" i="70"/>
  <c r="BF14" i="70"/>
  <c r="BO13" i="70"/>
  <c r="AP37" i="69"/>
  <c r="AP35" i="69"/>
  <c r="AM35" i="69"/>
  <c r="BC35" i="69"/>
  <c r="BC37" i="69"/>
  <c r="AJ13" i="69"/>
  <c r="AJ15" i="69"/>
  <c r="AJ50" i="69" s="1"/>
  <c r="AA15" i="69"/>
  <c r="AA50" i="69" s="1"/>
  <c r="AA13" i="69"/>
  <c r="Z15" i="69"/>
  <c r="Z50" i="69" s="1"/>
  <c r="Z13" i="69"/>
  <c r="BJ15" i="69"/>
  <c r="BJ50" i="69" s="1"/>
  <c r="BJ13" i="69"/>
  <c r="K4" i="50"/>
  <c r="K4" i="57" s="1"/>
  <c r="K4" i="69"/>
  <c r="M205" i="65"/>
  <c r="AJ5" i="69" s="1"/>
  <c r="AC8" i="50"/>
  <c r="AC51" i="50" s="1"/>
  <c r="F205" i="65"/>
  <c r="AC5" i="69" s="1"/>
  <c r="BA8" i="50"/>
  <c r="AD205" i="65"/>
  <c r="BA5" i="69" s="1"/>
  <c r="AZ8" i="50"/>
  <c r="BF8" i="50"/>
  <c r="AI205" i="65"/>
  <c r="BF5" i="69" s="1"/>
  <c r="AI8" i="50"/>
  <c r="AI9" i="50" s="1"/>
  <c r="AN10" i="36" s="1"/>
  <c r="L205" i="65"/>
  <c r="AI5" i="69" s="1"/>
  <c r="BJ8" i="50"/>
  <c r="AM205" i="65"/>
  <c r="BJ5" i="69" s="1"/>
  <c r="AQ8" i="50"/>
  <c r="T205" i="65"/>
  <c r="AQ5" i="69" s="1"/>
  <c r="BE8" i="50"/>
  <c r="AH205" i="65"/>
  <c r="BE5" i="69" s="1"/>
  <c r="BK20" i="50"/>
  <c r="BK21" i="50" s="1"/>
  <c r="BD20" i="50"/>
  <c r="BD21" i="50" s="1"/>
  <c r="AG206" i="65"/>
  <c r="BD19" i="69" s="1"/>
  <c r="BC20" i="50"/>
  <c r="BC21" i="50" s="1"/>
  <c r="AF206" i="65"/>
  <c r="BC19" i="69" s="1"/>
  <c r="BI20" i="50"/>
  <c r="BI21" i="50" s="1"/>
  <c r="AL206" i="65"/>
  <c r="BI19" i="69" s="1"/>
  <c r="AC20" i="50"/>
  <c r="AC21" i="50" s="1"/>
  <c r="F206" i="65"/>
  <c r="AQ20" i="50"/>
  <c r="AQ21" i="50" s="1"/>
  <c r="T206" i="65"/>
  <c r="AQ19" i="69" s="1"/>
  <c r="AH20" i="50"/>
  <c r="AH21" i="50" s="1"/>
  <c r="K206" i="65"/>
  <c r="AH19" i="69" s="1"/>
  <c r="Y27" i="69"/>
  <c r="Y20" i="69"/>
  <c r="Y21" i="69" s="1"/>
  <c r="AW23" i="69"/>
  <c r="AW24" i="69" s="1"/>
  <c r="BB13" i="70"/>
  <c r="BB14" i="70"/>
  <c r="BC23" i="69"/>
  <c r="BC24" i="69" s="1"/>
  <c r="BH14" i="70"/>
  <c r="BH13" i="70"/>
  <c r="BF23" i="69"/>
  <c r="BF24" i="69" s="1"/>
  <c r="BK13" i="70"/>
  <c r="BK14" i="70"/>
  <c r="AU23" i="69"/>
  <c r="AU24" i="69" s="1"/>
  <c r="AZ14" i="70"/>
  <c r="AZ13" i="70"/>
  <c r="BI23" i="69"/>
  <c r="BI24" i="69" s="1"/>
  <c r="BN13" i="70"/>
  <c r="BN14" i="70"/>
  <c r="AC23" i="69"/>
  <c r="AC24" i="69" s="1"/>
  <c r="AH13" i="70"/>
  <c r="AH14" i="70"/>
  <c r="AR23" i="69"/>
  <c r="AR24" i="69" s="1"/>
  <c r="AW14" i="70"/>
  <c r="AW13" i="70"/>
  <c r="AL23" i="69"/>
  <c r="AL24" i="69" s="1"/>
  <c r="AQ13" i="70"/>
  <c r="AQ14" i="70"/>
  <c r="AV23" i="69"/>
  <c r="AV24" i="69" s="1"/>
  <c r="BA14" i="70"/>
  <c r="BA13" i="70"/>
  <c r="BF37" i="69"/>
  <c r="BF35" i="69"/>
  <c r="AN37" i="69"/>
  <c r="AN35" i="69"/>
  <c r="BB37" i="69"/>
  <c r="BB35" i="69"/>
  <c r="AS35" i="69"/>
  <c r="AS37" i="69"/>
  <c r="AQ37" i="69"/>
  <c r="BG35" i="69"/>
  <c r="BG37" i="69"/>
  <c r="Y35" i="69"/>
  <c r="Y37" i="69"/>
  <c r="AD35" i="69"/>
  <c r="AD37" i="69"/>
  <c r="AL13" i="69"/>
  <c r="BE15" i="69"/>
  <c r="BE50" i="69" s="1"/>
  <c r="BE13" i="69"/>
  <c r="Y15" i="69"/>
  <c r="Y50" i="69" s="1"/>
  <c r="Y13" i="69"/>
  <c r="AB15" i="69"/>
  <c r="AB50" i="69" s="1"/>
  <c r="AB13" i="69"/>
  <c r="AS13" i="69"/>
  <c r="AS15" i="69"/>
  <c r="AS50" i="69" s="1"/>
  <c r="AZ15" i="69"/>
  <c r="AZ50" i="69" s="1"/>
  <c r="AZ13" i="69"/>
  <c r="BD13" i="69"/>
  <c r="AT15" i="69"/>
  <c r="AT50" i="69" s="1"/>
  <c r="AT13" i="69"/>
  <c r="AD8" i="50"/>
  <c r="AD51" i="50" s="1"/>
  <c r="Z51" i="50"/>
  <c r="AQ42" i="36"/>
  <c r="AP83" i="36"/>
  <c r="AO13" i="36"/>
  <c r="AO14" i="36"/>
  <c r="AJ23" i="50"/>
  <c r="AJ24" i="50" s="1"/>
  <c r="AL13" i="36"/>
  <c r="AL14" i="36"/>
  <c r="AG23" i="50"/>
  <c r="AG24" i="50" s="1"/>
  <c r="AI14" i="36"/>
  <c r="AD23" i="50"/>
  <c r="AD24" i="50" s="1"/>
  <c r="AI13" i="36"/>
  <c r="AX13" i="36"/>
  <c r="AX14" i="36"/>
  <c r="AS23" i="50"/>
  <c r="AS24" i="50" s="1"/>
  <c r="AZ13" i="36"/>
  <c r="AU23" i="50"/>
  <c r="AU24" i="50" s="1"/>
  <c r="AZ14" i="36"/>
  <c r="BO13" i="36"/>
  <c r="BO14" i="36"/>
  <c r="BJ23" i="50"/>
  <c r="BJ24" i="50" s="1"/>
  <c r="AU13" i="36"/>
  <c r="AP23" i="50"/>
  <c r="AP24" i="50" s="1"/>
  <c r="AU14" i="36"/>
  <c r="AZ23" i="50"/>
  <c r="AZ24" i="50" s="1"/>
  <c r="BE14" i="36"/>
  <c r="BE13" i="36"/>
  <c r="BI14" i="36"/>
  <c r="BD23" i="50"/>
  <c r="BD24" i="50" s="1"/>
  <c r="BI13" i="36"/>
  <c r="AN13" i="36"/>
  <c r="AN14" i="36"/>
  <c r="AI23" i="50"/>
  <c r="AI24" i="50" s="1"/>
  <c r="AM13" i="36"/>
  <c r="AM14" i="36"/>
  <c r="AH23" i="50"/>
  <c r="AH24" i="50" s="1"/>
  <c r="BF23" i="50"/>
  <c r="BF24" i="50" s="1"/>
  <c r="BK13" i="36"/>
  <c r="BK14" i="36"/>
  <c r="BP14" i="36"/>
  <c r="BP13" i="36"/>
  <c r="BK23" i="50"/>
  <c r="BK24" i="50" s="1"/>
  <c r="AO23" i="50"/>
  <c r="AO24" i="50" s="1"/>
  <c r="AT13" i="36"/>
  <c r="AT14" i="36"/>
  <c r="BC23" i="50"/>
  <c r="BC24" i="50" s="1"/>
  <c r="BH14" i="36"/>
  <c r="BH13" i="36"/>
  <c r="BH23" i="50"/>
  <c r="BH24" i="50" s="1"/>
  <c r="BM14" i="36"/>
  <c r="BM13" i="36"/>
  <c r="BJ13" i="36"/>
  <c r="BE23" i="50"/>
  <c r="BE24" i="50" s="1"/>
  <c r="BJ14" i="36"/>
  <c r="AQ23" i="50"/>
  <c r="AQ24" i="50" s="1"/>
  <c r="AV13" i="36"/>
  <c r="AV14" i="36"/>
  <c r="AX23" i="50"/>
  <c r="AX24" i="50" s="1"/>
  <c r="BC13" i="36"/>
  <c r="BC14" i="36"/>
  <c r="AQ14" i="36"/>
  <c r="AL23" i="50"/>
  <c r="AL24" i="50" s="1"/>
  <c r="AQ13" i="36"/>
  <c r="AF14" i="36"/>
  <c r="AF13" i="36"/>
  <c r="AA23" i="50"/>
  <c r="AA24" i="50" s="1"/>
  <c r="BA14" i="36"/>
  <c r="AV23" i="50"/>
  <c r="AV24" i="50" s="1"/>
  <c r="BA13" i="36"/>
  <c r="AK23" i="50"/>
  <c r="AK24" i="50" s="1"/>
  <c r="AP13" i="36"/>
  <c r="AP14" i="36"/>
  <c r="AH14" i="36"/>
  <c r="AC23" i="50"/>
  <c r="AC24" i="50" s="1"/>
  <c r="AH13" i="36"/>
  <c r="BG23" i="50"/>
  <c r="BG24" i="50" s="1"/>
  <c r="BL14" i="36"/>
  <c r="BL13" i="36"/>
  <c r="AB23" i="50"/>
  <c r="AB24" i="50" s="1"/>
  <c r="AG14" i="36"/>
  <c r="AG13" i="36"/>
  <c r="BG14" i="36"/>
  <c r="BG13" i="36"/>
  <c r="BB23" i="50"/>
  <c r="BB24" i="50" s="1"/>
  <c r="BN13" i="36"/>
  <c r="BI23" i="50"/>
  <c r="BI24" i="50" s="1"/>
  <c r="BN14" i="36"/>
  <c r="AM23" i="50"/>
  <c r="AM24" i="50" s="1"/>
  <c r="AR14" i="36"/>
  <c r="AR13" i="36"/>
  <c r="AJ13" i="36"/>
  <c r="AE23" i="50"/>
  <c r="AE24" i="50" s="1"/>
  <c r="AJ14" i="36"/>
  <c r="BB13" i="36"/>
  <c r="AW23" i="50"/>
  <c r="AW24" i="50" s="1"/>
  <c r="BB14" i="36"/>
  <c r="AE14" i="36"/>
  <c r="Z23" i="50"/>
  <c r="Z24" i="50" s="1"/>
  <c r="AE13" i="36"/>
  <c r="AW14" i="36"/>
  <c r="AW13" i="36"/>
  <c r="AR23" i="50"/>
  <c r="AR24" i="50" s="1"/>
  <c r="AS13" i="36"/>
  <c r="AN23" i="50"/>
  <c r="AN24" i="50" s="1"/>
  <c r="AS14" i="36"/>
  <c r="BA23" i="50"/>
  <c r="BA24" i="50" s="1"/>
  <c r="BF13" i="36"/>
  <c r="BF14" i="36"/>
  <c r="AD13" i="36"/>
  <c r="Y23" i="50"/>
  <c r="Y24" i="50" s="1"/>
  <c r="AD14" i="36"/>
  <c r="BD14" i="36"/>
  <c r="AY23" i="50"/>
  <c r="AY24" i="50" s="1"/>
  <c r="BD13" i="36"/>
  <c r="AK14" i="36"/>
  <c r="AF23" i="50"/>
  <c r="AF24" i="50" s="1"/>
  <c r="AK13" i="36"/>
  <c r="AY14" i="36"/>
  <c r="AT23" i="50"/>
  <c r="AT24" i="50" s="1"/>
  <c r="AY13" i="36"/>
  <c r="AF15" i="36"/>
  <c r="AJ15" i="36"/>
  <c r="AN15" i="36"/>
  <c r="AR15" i="36"/>
  <c r="AV15" i="36"/>
  <c r="AZ15" i="36"/>
  <c r="BD15" i="36"/>
  <c r="BH15" i="36"/>
  <c r="BL15" i="36"/>
  <c r="BP15" i="36"/>
  <c r="AS15" i="36"/>
  <c r="BA15" i="36"/>
  <c r="BI15" i="36"/>
  <c r="BM15" i="36"/>
  <c r="BN15" i="36"/>
  <c r="AG15" i="36"/>
  <c r="AK15" i="36"/>
  <c r="AO15" i="36"/>
  <c r="AW15" i="36"/>
  <c r="BE15" i="36"/>
  <c r="AD15" i="36"/>
  <c r="AH15" i="36"/>
  <c r="AL15" i="36"/>
  <c r="AP15" i="36"/>
  <c r="AT15" i="36"/>
  <c r="AX15" i="36"/>
  <c r="BB15" i="36"/>
  <c r="BF15" i="36"/>
  <c r="AE15" i="36"/>
  <c r="AI15" i="36"/>
  <c r="AM15" i="36"/>
  <c r="AQ15" i="36"/>
  <c r="AU15" i="36"/>
  <c r="AY15" i="36"/>
  <c r="BC15" i="36"/>
  <c r="BG15" i="36"/>
  <c r="BK15" i="36"/>
  <c r="BO15" i="36"/>
  <c r="BJ15" i="36"/>
  <c r="AE35" i="50"/>
  <c r="Z32" i="50"/>
  <c r="Z53" i="50" s="1"/>
  <c r="AC32" i="50"/>
  <c r="AC53" i="50" s="1"/>
  <c r="AO32" i="50"/>
  <c r="AO53" i="50" s="1"/>
  <c r="AA32" i="50"/>
  <c r="AA53" i="50" s="1"/>
  <c r="AI32" i="50"/>
  <c r="AI53" i="50" s="1"/>
  <c r="AN32" i="50"/>
  <c r="AN53" i="50" s="1"/>
  <c r="AD32" i="50"/>
  <c r="AD53" i="50" s="1"/>
  <c r="AH32" i="50"/>
  <c r="AH53" i="50" s="1"/>
  <c r="AB32" i="50"/>
  <c r="AB53" i="50" s="1"/>
  <c r="AE32" i="50"/>
  <c r="AE53" i="50" s="1"/>
  <c r="AM32" i="50"/>
  <c r="AM53" i="50" s="1"/>
  <c r="K5" i="47"/>
  <c r="AH13" i="69" l="1"/>
  <c r="BJ23" i="69"/>
  <c r="BJ24" i="69" s="1"/>
  <c r="AD13" i="70"/>
  <c r="AW13" i="69"/>
  <c r="AE13" i="69"/>
  <c r="Y26" i="69"/>
  <c r="BE37" i="69"/>
  <c r="AN15" i="69"/>
  <c r="AN50" i="69" s="1"/>
  <c r="AW20" i="50"/>
  <c r="AW21" i="50" s="1"/>
  <c r="P206" i="65"/>
  <c r="AM19" i="69" s="1"/>
  <c r="K205" i="65"/>
  <c r="AH5" i="69" s="1"/>
  <c r="AJ20" i="50"/>
  <c r="AJ21" i="50" s="1"/>
  <c r="BB23" i="69"/>
  <c r="BB24" i="69" s="1"/>
  <c r="BB13" i="69"/>
  <c r="AO13" i="69"/>
  <c r="AK15" i="69"/>
  <c r="AK50" i="69" s="1"/>
  <c r="AQ15" i="69"/>
  <c r="AQ50" i="69" s="1"/>
  <c r="AA206" i="65"/>
  <c r="AX19" i="69" s="1"/>
  <c r="AY8" i="50"/>
  <c r="AF35" i="69"/>
  <c r="AE14" i="70"/>
  <c r="BG13" i="70"/>
  <c r="AZ23" i="69"/>
  <c r="AZ24" i="69" s="1"/>
  <c r="BE23" i="69"/>
  <c r="BE24" i="69" s="1"/>
  <c r="H205" i="65"/>
  <c r="AE5" i="69" s="1"/>
  <c r="AL35" i="69"/>
  <c r="AM23" i="69"/>
  <c r="AM24" i="69" s="1"/>
  <c r="AI20" i="50"/>
  <c r="AI21" i="50" s="1"/>
  <c r="AZ20" i="50"/>
  <c r="AZ21" i="50" s="1"/>
  <c r="AZ35" i="69"/>
  <c r="AE13" i="70"/>
  <c r="C130" i="65" s="1"/>
  <c r="C140" i="65" s="1"/>
  <c r="C206" i="65"/>
  <c r="BC15" i="69"/>
  <c r="BC50" i="69" s="1"/>
  <c r="AR35" i="69"/>
  <c r="AU8" i="50"/>
  <c r="AF8" i="50"/>
  <c r="AB51" i="50"/>
  <c r="AB9" i="50"/>
  <c r="AG10" i="36" s="1"/>
  <c r="AK206" i="65"/>
  <c r="BH19" i="69" s="1"/>
  <c r="E205" i="65"/>
  <c r="AB5" i="69" s="1"/>
  <c r="AG205" i="65"/>
  <c r="BD5" i="69" s="1"/>
  <c r="AR13" i="69"/>
  <c r="AH37" i="69"/>
  <c r="AM19" i="70" s="1"/>
  <c r="AD206" i="65"/>
  <c r="BA19" i="69" s="1"/>
  <c r="AP8" i="50"/>
  <c r="AB206" i="65"/>
  <c r="AY19" i="69" s="1"/>
  <c r="AN205" i="65"/>
  <c r="BK5" i="69" s="1"/>
  <c r="AJ35" i="69"/>
  <c r="AU35" i="69"/>
  <c r="Q206" i="65"/>
  <c r="AN19" i="69" s="1"/>
  <c r="E206" i="65"/>
  <c r="BH8" i="50"/>
  <c r="AI10" i="50"/>
  <c r="AC9" i="50"/>
  <c r="AH10" i="36" s="1"/>
  <c r="O1384" i="67" s="1"/>
  <c r="AN9" i="50"/>
  <c r="AS10" i="36" s="1"/>
  <c r="AN51" i="50"/>
  <c r="Q205" i="65"/>
  <c r="AN5" i="69" s="1"/>
  <c r="AE205" i="65"/>
  <c r="BB5" i="69" s="1"/>
  <c r="R206" i="65"/>
  <c r="AO19" i="69" s="1"/>
  <c r="AJ206" i="65"/>
  <c r="BG19" i="69" s="1"/>
  <c r="R205" i="65"/>
  <c r="AO5" i="69" s="1"/>
  <c r="AP13" i="69"/>
  <c r="W205" i="65"/>
  <c r="AT5" i="69" s="1"/>
  <c r="Y206" i="65"/>
  <c r="AV19" i="69" s="1"/>
  <c r="AI206" i="65"/>
  <c r="BF19" i="69" s="1"/>
  <c r="J205" i="65"/>
  <c r="AG5" i="69" s="1"/>
  <c r="U205" i="65"/>
  <c r="AR5" i="69" s="1"/>
  <c r="AI51" i="50"/>
  <c r="Y7" i="50"/>
  <c r="AM10" i="50"/>
  <c r="AA51" i="50"/>
  <c r="M1384" i="67"/>
  <c r="M1398" i="67"/>
  <c r="M1416" i="67"/>
  <c r="M1536" i="67"/>
  <c r="M1552" i="67"/>
  <c r="Q1384" i="67"/>
  <c r="Q1398" i="67"/>
  <c r="Q1416" i="67"/>
  <c r="Q1552" i="67"/>
  <c r="Q1536" i="67"/>
  <c r="X1109" i="67"/>
  <c r="X1091" i="67"/>
  <c r="X1195" i="67"/>
  <c r="X1077" i="67"/>
  <c r="X1211" i="67"/>
  <c r="X1389" i="67"/>
  <c r="X1403" i="67"/>
  <c r="X1421" i="67"/>
  <c r="X1541" i="67"/>
  <c r="X1557" i="67"/>
  <c r="AM1077" i="67"/>
  <c r="AM1091" i="67"/>
  <c r="AM1195" i="67"/>
  <c r="AM1109" i="67"/>
  <c r="AM1211" i="67"/>
  <c r="AM1389" i="67"/>
  <c r="AM1403" i="67"/>
  <c r="AM1421" i="67"/>
  <c r="AM1541" i="67"/>
  <c r="AM1557" i="67"/>
  <c r="N1077" i="67"/>
  <c r="N1091" i="67"/>
  <c r="N1109" i="67"/>
  <c r="N1211" i="67"/>
  <c r="N1195" i="67"/>
  <c r="N1389" i="67"/>
  <c r="N1403" i="67"/>
  <c r="N1421" i="67"/>
  <c r="N1541" i="67"/>
  <c r="N1557" i="67"/>
  <c r="AH1077" i="67"/>
  <c r="AH1091" i="67"/>
  <c r="AH1109" i="67"/>
  <c r="AH1211" i="67"/>
  <c r="AH1195" i="67"/>
  <c r="AH1389" i="67"/>
  <c r="AH1403" i="67"/>
  <c r="AH1421" i="67"/>
  <c r="AH1541" i="67"/>
  <c r="AH1557" i="67"/>
  <c r="AO1077" i="67"/>
  <c r="AO1091" i="67"/>
  <c r="AO1109" i="67"/>
  <c r="AO1211" i="67"/>
  <c r="AO1195" i="67"/>
  <c r="AO1389" i="67"/>
  <c r="AO1403" i="67"/>
  <c r="AO1421" i="67"/>
  <c r="AO1541" i="67"/>
  <c r="AO1557" i="67"/>
  <c r="Y1077" i="67"/>
  <c r="Y1091" i="67"/>
  <c r="Y1109" i="67"/>
  <c r="Y1211" i="67"/>
  <c r="Y1195" i="67"/>
  <c r="Y1389" i="67"/>
  <c r="Y1403" i="67"/>
  <c r="Y1421" i="67"/>
  <c r="Y1541" i="67"/>
  <c r="Y1557" i="67"/>
  <c r="AF1089" i="67"/>
  <c r="AF1107" i="67"/>
  <c r="AF1075" i="67"/>
  <c r="AF1193" i="67"/>
  <c r="AF1209" i="67"/>
  <c r="AF1387" i="67"/>
  <c r="AF1401" i="67"/>
  <c r="AF1419" i="67"/>
  <c r="AF1539" i="67"/>
  <c r="AF1555" i="67"/>
  <c r="AK1076" i="67"/>
  <c r="AK1090" i="67"/>
  <c r="AK1194" i="67"/>
  <c r="AK1108" i="67"/>
  <c r="AK1210" i="67"/>
  <c r="AK1388" i="67"/>
  <c r="AK1402" i="67"/>
  <c r="AK1420" i="67"/>
  <c r="AK1540" i="67"/>
  <c r="AK1556" i="67"/>
  <c r="AM1076" i="67"/>
  <c r="AM1090" i="67"/>
  <c r="AM1108" i="67"/>
  <c r="AM1210" i="67"/>
  <c r="AM1194" i="67"/>
  <c r="AM1388" i="67"/>
  <c r="AM1402" i="67"/>
  <c r="AM1420" i="67"/>
  <c r="AM1540" i="67"/>
  <c r="AM1556" i="67"/>
  <c r="AD1108" i="67"/>
  <c r="AD1090" i="67"/>
  <c r="AD1076" i="67"/>
  <c r="AD1194" i="67"/>
  <c r="AD1210" i="67"/>
  <c r="AD1388" i="67"/>
  <c r="AD1402" i="67"/>
  <c r="AD1420" i="67"/>
  <c r="AD1540" i="67"/>
  <c r="AD1556" i="67"/>
  <c r="AI1076" i="67"/>
  <c r="AI1090" i="67"/>
  <c r="AI1108" i="67"/>
  <c r="AI1210" i="67"/>
  <c r="AI1194" i="67"/>
  <c r="AI1388" i="67"/>
  <c r="AI1402" i="67"/>
  <c r="AI1420" i="67"/>
  <c r="AI1540" i="67"/>
  <c r="AI1556" i="67"/>
  <c r="N1108" i="67"/>
  <c r="N1090" i="67"/>
  <c r="N1194" i="67"/>
  <c r="N1076" i="67"/>
  <c r="N1210" i="67"/>
  <c r="N1388" i="67"/>
  <c r="N1402" i="67"/>
  <c r="N1420" i="67"/>
  <c r="N1540" i="67"/>
  <c r="N1556" i="67"/>
  <c r="W1076" i="67"/>
  <c r="W1090" i="67"/>
  <c r="W1108" i="67"/>
  <c r="W1210" i="67"/>
  <c r="W1194" i="67"/>
  <c r="W1388" i="67"/>
  <c r="W1402" i="67"/>
  <c r="W1420" i="67"/>
  <c r="W1540" i="67"/>
  <c r="W1556" i="67"/>
  <c r="M1076" i="67"/>
  <c r="M1090" i="67"/>
  <c r="M1194" i="67"/>
  <c r="M1108" i="67"/>
  <c r="M1210" i="67"/>
  <c r="M1388" i="67"/>
  <c r="M1402" i="67"/>
  <c r="M1420" i="67"/>
  <c r="M1540" i="67"/>
  <c r="M1556" i="67"/>
  <c r="AJ1076" i="67"/>
  <c r="AJ1090" i="67"/>
  <c r="AJ1108" i="67"/>
  <c r="AJ1210" i="67"/>
  <c r="AJ1194" i="67"/>
  <c r="AJ1388" i="67"/>
  <c r="AJ1402" i="67"/>
  <c r="AJ1420" i="67"/>
  <c r="AJ1556" i="67"/>
  <c r="AJ1540" i="67"/>
  <c r="AC1075" i="67"/>
  <c r="AC1089" i="67"/>
  <c r="AC1107" i="67"/>
  <c r="AC1209" i="67"/>
  <c r="AC1193" i="67"/>
  <c r="AC1387" i="67"/>
  <c r="AC1401" i="67"/>
  <c r="AC1419" i="67"/>
  <c r="AC1539" i="67"/>
  <c r="AC1555" i="67"/>
  <c r="AQ1075" i="67"/>
  <c r="AQ1089" i="67"/>
  <c r="AQ1107" i="67"/>
  <c r="AQ1193" i="67"/>
  <c r="AQ1209" i="67"/>
  <c r="AQ1387" i="67"/>
  <c r="AQ1401" i="67"/>
  <c r="AQ1419" i="67"/>
  <c r="AQ1539" i="67"/>
  <c r="AQ1555" i="67"/>
  <c r="AO1075" i="67"/>
  <c r="AO1089" i="67"/>
  <c r="AO1107" i="67"/>
  <c r="AO1209" i="67"/>
  <c r="AO1193" i="67"/>
  <c r="AO1387" i="67"/>
  <c r="AO1401" i="67"/>
  <c r="AO1419" i="67"/>
  <c r="AO1539" i="67"/>
  <c r="AO1555" i="67"/>
  <c r="AA1075" i="67"/>
  <c r="AA1089" i="67"/>
  <c r="AA1107" i="67"/>
  <c r="AA1193" i="67"/>
  <c r="AA1209" i="67"/>
  <c r="AA1387" i="67"/>
  <c r="AA1401" i="67"/>
  <c r="AA1419" i="67"/>
  <c r="AA1539" i="67"/>
  <c r="AA1555" i="67"/>
  <c r="AW1076" i="67"/>
  <c r="AW1090" i="67"/>
  <c r="AW1194" i="67"/>
  <c r="AW1108" i="67"/>
  <c r="AW1210" i="67"/>
  <c r="AW1388" i="67"/>
  <c r="AW1402" i="67"/>
  <c r="AW1420" i="67"/>
  <c r="AW1540" i="67"/>
  <c r="AW1556" i="67"/>
  <c r="U1076" i="67"/>
  <c r="U1090" i="67"/>
  <c r="U1194" i="67"/>
  <c r="U1210" i="67"/>
  <c r="U1108" i="67"/>
  <c r="U1388" i="67"/>
  <c r="U1402" i="67"/>
  <c r="U1420" i="67"/>
  <c r="U1540" i="67"/>
  <c r="U1556" i="67"/>
  <c r="AP1108" i="67"/>
  <c r="AP1090" i="67"/>
  <c r="AP1076" i="67"/>
  <c r="AP1194" i="67"/>
  <c r="AP1210" i="67"/>
  <c r="AP1388" i="67"/>
  <c r="AP1402" i="67"/>
  <c r="AP1420" i="67"/>
  <c r="AP1540" i="67"/>
  <c r="AP1556" i="67"/>
  <c r="AB1076" i="67"/>
  <c r="AB1090" i="67"/>
  <c r="AB1108" i="67"/>
  <c r="AB1210" i="67"/>
  <c r="AB1194" i="67"/>
  <c r="AB1388" i="67"/>
  <c r="AB1402" i="67"/>
  <c r="AB1420" i="67"/>
  <c r="AB1556" i="67"/>
  <c r="AB1540" i="67"/>
  <c r="AV1076" i="67"/>
  <c r="AV1090" i="67"/>
  <c r="AV1108" i="67"/>
  <c r="AV1210" i="67"/>
  <c r="AV1194" i="67"/>
  <c r="AV1388" i="67"/>
  <c r="AV1402" i="67"/>
  <c r="AV1420" i="67"/>
  <c r="AV1540" i="67"/>
  <c r="AV1556" i="67"/>
  <c r="AG1075" i="67"/>
  <c r="AG1089" i="67"/>
  <c r="AG1107" i="67"/>
  <c r="AG1209" i="67"/>
  <c r="AG1193" i="67"/>
  <c r="AG1419" i="67"/>
  <c r="AG1387" i="67"/>
  <c r="AG1401" i="67"/>
  <c r="AG1539" i="67"/>
  <c r="AG1555" i="67"/>
  <c r="P1089" i="67"/>
  <c r="P1107" i="67"/>
  <c r="P1075" i="67"/>
  <c r="P1193" i="67"/>
  <c r="P1209" i="67"/>
  <c r="P1387" i="67"/>
  <c r="P1401" i="67"/>
  <c r="P1419" i="67"/>
  <c r="P1539" i="67"/>
  <c r="P1555" i="67"/>
  <c r="S1076" i="67"/>
  <c r="S1090" i="67"/>
  <c r="S1108" i="67"/>
  <c r="S1210" i="67"/>
  <c r="S1194" i="67"/>
  <c r="S1388" i="67"/>
  <c r="S1402" i="67"/>
  <c r="S1420" i="67"/>
  <c r="S1540" i="67"/>
  <c r="S1556" i="67"/>
  <c r="V1075" i="67"/>
  <c r="V1089" i="67"/>
  <c r="V1107" i="67"/>
  <c r="V1209" i="67"/>
  <c r="V1193" i="67"/>
  <c r="V1387" i="67"/>
  <c r="V1401" i="67"/>
  <c r="V1419" i="67"/>
  <c r="V1539" i="67"/>
  <c r="V1555" i="67"/>
  <c r="AN54" i="69"/>
  <c r="AS21" i="70"/>
  <c r="AS19" i="70"/>
  <c r="AH75" i="70"/>
  <c r="AH59" i="70"/>
  <c r="F131" i="65"/>
  <c r="F141" i="65" s="1"/>
  <c r="BH74" i="70"/>
  <c r="BH58" i="70"/>
  <c r="AF130" i="65"/>
  <c r="AF140" i="65" s="1"/>
  <c r="AO470" i="67" s="1"/>
  <c r="BH54" i="69"/>
  <c r="BM21" i="70"/>
  <c r="BM19" i="70"/>
  <c r="BG75" i="70"/>
  <c r="BG59" i="70"/>
  <c r="AE131" i="65"/>
  <c r="AE141" i="65" s="1"/>
  <c r="AG75" i="70"/>
  <c r="AG59" i="70"/>
  <c r="E131" i="65"/>
  <c r="E141" i="65" s="1"/>
  <c r="N471" i="67" s="1"/>
  <c r="AS60" i="70"/>
  <c r="AS76" i="70"/>
  <c r="BK60" i="70"/>
  <c r="BK76" i="70"/>
  <c r="AL76" i="70"/>
  <c r="AL60" i="70"/>
  <c r="BD75" i="70"/>
  <c r="BD59" i="70"/>
  <c r="AB131" i="65"/>
  <c r="AB141" i="65" s="1"/>
  <c r="AK471" i="67" s="1"/>
  <c r="BJ54" i="69"/>
  <c r="BO19" i="70"/>
  <c r="BO21" i="70"/>
  <c r="AC54" i="69"/>
  <c r="AH19" i="70"/>
  <c r="AH21" i="70"/>
  <c r="AJ59" i="70"/>
  <c r="AJ75" i="70"/>
  <c r="H131" i="65"/>
  <c r="AI1077" i="67"/>
  <c r="AI1091" i="67"/>
  <c r="AI1109" i="67"/>
  <c r="AI1195" i="67"/>
  <c r="AI1211" i="67"/>
  <c r="AI1389" i="67"/>
  <c r="AI1403" i="67"/>
  <c r="AI1421" i="67"/>
  <c r="AI1541" i="67"/>
  <c r="AI1557" i="67"/>
  <c r="Q1075" i="67"/>
  <c r="Q1089" i="67"/>
  <c r="Q1107" i="67"/>
  <c r="Q1209" i="67"/>
  <c r="Q1193" i="67"/>
  <c r="Q1387" i="67"/>
  <c r="Q1419" i="67"/>
  <c r="Q1401" i="67"/>
  <c r="Q1539" i="67"/>
  <c r="Q1555" i="67"/>
  <c r="X1075" i="67"/>
  <c r="X1107" i="67"/>
  <c r="X1193" i="67"/>
  <c r="X1089" i="67"/>
  <c r="X1209" i="67"/>
  <c r="X1387" i="67"/>
  <c r="X1401" i="67"/>
  <c r="X1419" i="67"/>
  <c r="X1539" i="67"/>
  <c r="X1555" i="67"/>
  <c r="U1075" i="67"/>
  <c r="U1089" i="67"/>
  <c r="U1107" i="67"/>
  <c r="U1209" i="67"/>
  <c r="U1193" i="67"/>
  <c r="U1387" i="67"/>
  <c r="U1419" i="67"/>
  <c r="U1401" i="67"/>
  <c r="U1539" i="67"/>
  <c r="U1555" i="67"/>
  <c r="S1075" i="67"/>
  <c r="S1089" i="67"/>
  <c r="S1107" i="67"/>
  <c r="S1193" i="67"/>
  <c r="S1209" i="67"/>
  <c r="S1387" i="67"/>
  <c r="S1401" i="67"/>
  <c r="S1419" i="67"/>
  <c r="S1539" i="67"/>
  <c r="S1555" i="67"/>
  <c r="O1536" i="67"/>
  <c r="O1416" i="67"/>
  <c r="AM51" i="50"/>
  <c r="Y54" i="69"/>
  <c r="AD19" i="70"/>
  <c r="AD21" i="70"/>
  <c r="BG54" i="69"/>
  <c r="BL21" i="70"/>
  <c r="BL19" i="70"/>
  <c r="AV21" i="70"/>
  <c r="AV19" i="70"/>
  <c r="AQ36" i="69"/>
  <c r="AQ54" i="69"/>
  <c r="AW74" i="70"/>
  <c r="AW58" i="70"/>
  <c r="U130" i="65"/>
  <c r="U140" i="65" s="1"/>
  <c r="AH74" i="70"/>
  <c r="AH58" i="70"/>
  <c r="F130" i="65"/>
  <c r="F140" i="65" s="1"/>
  <c r="BK59" i="70"/>
  <c r="BK75" i="70"/>
  <c r="AI131" i="65"/>
  <c r="AI141" i="65" s="1"/>
  <c r="BH75" i="70"/>
  <c r="BH59" i="70"/>
  <c r="AF131" i="65"/>
  <c r="AF141" i="65" s="1"/>
  <c r="AM54" i="69"/>
  <c r="AR21" i="70"/>
  <c r="AR19" i="70"/>
  <c r="BO74" i="70"/>
  <c r="BO58" i="70"/>
  <c r="AM130" i="65"/>
  <c r="AM140" i="65" s="1"/>
  <c r="AE59" i="70"/>
  <c r="AE75" i="70"/>
  <c r="C131" i="65"/>
  <c r="C141" i="65" s="1"/>
  <c r="BC58" i="70"/>
  <c r="BC74" i="70"/>
  <c r="AA130" i="65"/>
  <c r="AA140" i="65" s="1"/>
  <c r="AG54" i="69"/>
  <c r="AL19" i="70"/>
  <c r="AL21" i="70"/>
  <c r="BK54" i="69"/>
  <c r="BP21" i="70"/>
  <c r="BP19" i="70"/>
  <c r="AS58" i="70"/>
  <c r="AS74" i="70"/>
  <c r="Q130" i="65"/>
  <c r="Q140" i="65" s="1"/>
  <c r="AY74" i="70"/>
  <c r="AY58" i="70"/>
  <c r="W130" i="65"/>
  <c r="W140" i="65" s="1"/>
  <c r="AF470" i="67" s="1"/>
  <c r="AP75" i="70"/>
  <c r="AP59" i="70"/>
  <c r="N131" i="65"/>
  <c r="N141" i="65" s="1"/>
  <c r="W471" i="67" s="1"/>
  <c r="BE59" i="70"/>
  <c r="BE75" i="70"/>
  <c r="AC131" i="65"/>
  <c r="AC141" i="65" s="1"/>
  <c r="AD75" i="70"/>
  <c r="B131" i="65"/>
  <c r="B141" i="65" s="1"/>
  <c r="AD59" i="70"/>
  <c r="BJ74" i="70"/>
  <c r="BJ58" i="70"/>
  <c r="AH130" i="65"/>
  <c r="AH140" i="65" s="1"/>
  <c r="AQ470" i="67" s="1"/>
  <c r="BE76" i="70"/>
  <c r="BE60" i="70"/>
  <c r="AO76" i="70"/>
  <c r="AO60" i="70"/>
  <c r="BL76" i="70"/>
  <c r="BL60" i="70"/>
  <c r="AV76" i="70"/>
  <c r="AV60" i="70"/>
  <c r="AF76" i="70"/>
  <c r="AF60" i="70"/>
  <c r="BG76" i="70"/>
  <c r="BG60" i="70"/>
  <c r="AQ76" i="70"/>
  <c r="AQ60" i="70"/>
  <c r="BN76" i="70"/>
  <c r="BN60" i="70"/>
  <c r="AX76" i="70"/>
  <c r="AX60" i="70"/>
  <c r="AH76" i="70"/>
  <c r="AH60" i="70"/>
  <c r="AR54" i="69"/>
  <c r="AW21" i="70"/>
  <c r="AW19" i="70"/>
  <c r="Z54" i="69"/>
  <c r="AE19" i="70"/>
  <c r="AE21" i="70"/>
  <c r="AR74" i="70"/>
  <c r="AR58" i="70"/>
  <c r="P130" i="65"/>
  <c r="P140" i="65" s="1"/>
  <c r="T131" i="65"/>
  <c r="T141" i="65" s="1"/>
  <c r="AV75" i="70"/>
  <c r="AV59" i="70"/>
  <c r="AJ54" i="69"/>
  <c r="AO21" i="70"/>
  <c r="AO19" i="70"/>
  <c r="AU54" i="69"/>
  <c r="AZ21" i="70"/>
  <c r="AZ19" i="70"/>
  <c r="AD22" i="70"/>
  <c r="AD20" i="70"/>
  <c r="Y55" i="69"/>
  <c r="AI75" i="70"/>
  <c r="AI59" i="70"/>
  <c r="G131" i="65"/>
  <c r="G141" i="65" s="1"/>
  <c r="AN75" i="70"/>
  <c r="AN59" i="70"/>
  <c r="L131" i="65"/>
  <c r="L141" i="65" s="1"/>
  <c r="U471" i="67" s="1"/>
  <c r="AM59" i="70"/>
  <c r="AM75" i="70"/>
  <c r="K131" i="65"/>
  <c r="K141" i="65" s="1"/>
  <c r="BM59" i="70"/>
  <c r="BM75" i="70"/>
  <c r="AK131" i="65"/>
  <c r="AK141" i="65" s="1"/>
  <c r="AO74" i="70"/>
  <c r="AO58" i="70"/>
  <c r="M130" i="65"/>
  <c r="M140" i="65" s="1"/>
  <c r="V470" i="67" s="1"/>
  <c r="AT75" i="70"/>
  <c r="AT59" i="70"/>
  <c r="R131" i="65"/>
  <c r="R141" i="65" s="1"/>
  <c r="W1077" i="67"/>
  <c r="W1091" i="67"/>
  <c r="W1195" i="67"/>
  <c r="W1109" i="67"/>
  <c r="W1211" i="67"/>
  <c r="W1389" i="67"/>
  <c r="W1403" i="67"/>
  <c r="W1421" i="67"/>
  <c r="W1541" i="67"/>
  <c r="W1557" i="67"/>
  <c r="AZ54" i="69"/>
  <c r="BE21" i="70"/>
  <c r="BE19" i="70"/>
  <c r="BA75" i="70"/>
  <c r="BA59" i="70"/>
  <c r="Y131" i="65"/>
  <c r="Y141" i="65" s="1"/>
  <c r="AH471" i="67" s="1"/>
  <c r="BN74" i="70"/>
  <c r="BN58" i="70"/>
  <c r="AL130" i="65"/>
  <c r="AL140" i="65" s="1"/>
  <c r="BB74" i="70"/>
  <c r="BB58" i="70"/>
  <c r="Z130" i="65"/>
  <c r="Z140" i="65" s="1"/>
  <c r="BC59" i="70"/>
  <c r="BC75" i="70"/>
  <c r="AA131" i="65"/>
  <c r="AA141" i="65" s="1"/>
  <c r="AJ471" i="67" s="1"/>
  <c r="AV54" i="69"/>
  <c r="BA21" i="70"/>
  <c r="BA19" i="70"/>
  <c r="AY75" i="70"/>
  <c r="AY59" i="70"/>
  <c r="W131" i="65"/>
  <c r="W141" i="65" s="1"/>
  <c r="BE58" i="70"/>
  <c r="BE74" i="70"/>
  <c r="AC130" i="65"/>
  <c r="AC140" i="65" s="1"/>
  <c r="BJ75" i="70"/>
  <c r="BJ59" i="70"/>
  <c r="AH131" i="65"/>
  <c r="AH141" i="65" s="1"/>
  <c r="AH51" i="50"/>
  <c r="AH9" i="50"/>
  <c r="AM10" i="36" s="1"/>
  <c r="BI60" i="70"/>
  <c r="BI76" i="70"/>
  <c r="AZ76" i="70"/>
  <c r="AZ60" i="70"/>
  <c r="AU60" i="70"/>
  <c r="AU76" i="70"/>
  <c r="BB76" i="70"/>
  <c r="BB60" i="70"/>
  <c r="BL75" i="70"/>
  <c r="BL59" i="70"/>
  <c r="AJ131" i="65"/>
  <c r="AJ141" i="65" s="1"/>
  <c r="BM58" i="70"/>
  <c r="BM74" i="70"/>
  <c r="AK130" i="65"/>
  <c r="AK140" i="65" s="1"/>
  <c r="AH54" i="69"/>
  <c r="T1109" i="67"/>
  <c r="T1091" i="67"/>
  <c r="T1077" i="67"/>
  <c r="T1195" i="67"/>
  <c r="T1211" i="67"/>
  <c r="T1389" i="67"/>
  <c r="T1403" i="67"/>
  <c r="T1421" i="67"/>
  <c r="T1541" i="67"/>
  <c r="T1557" i="67"/>
  <c r="AD1077" i="67"/>
  <c r="AD1091" i="67"/>
  <c r="AD1109" i="67"/>
  <c r="AD1211" i="67"/>
  <c r="AD1195" i="67"/>
  <c r="AD1389" i="67"/>
  <c r="AD1403" i="67"/>
  <c r="AD1421" i="67"/>
  <c r="AD1541" i="67"/>
  <c r="AD1557" i="67"/>
  <c r="Z1077" i="67"/>
  <c r="Z1091" i="67"/>
  <c r="Z1109" i="67"/>
  <c r="Z1211" i="67"/>
  <c r="Z1195" i="67"/>
  <c r="Z1389" i="67"/>
  <c r="Z1403" i="67"/>
  <c r="Z1421" i="67"/>
  <c r="Z1541" i="67"/>
  <c r="Z1557" i="67"/>
  <c r="U1077" i="67"/>
  <c r="U1091" i="67"/>
  <c r="U1109" i="67"/>
  <c r="U1211" i="67"/>
  <c r="U1195" i="67"/>
  <c r="U1421" i="67"/>
  <c r="U1389" i="67"/>
  <c r="U1403" i="67"/>
  <c r="U1541" i="67"/>
  <c r="U1557" i="67"/>
  <c r="K1090" i="67"/>
  <c r="K1210" i="67"/>
  <c r="K1194" i="67"/>
  <c r="K1108" i="67"/>
  <c r="K1076" i="67"/>
  <c r="K1556" i="67"/>
  <c r="K1540" i="67"/>
  <c r="K1402" i="67"/>
  <c r="K1388" i="67"/>
  <c r="K1420" i="67"/>
  <c r="K471" i="67"/>
  <c r="Z1075" i="67"/>
  <c r="Z1089" i="67"/>
  <c r="Z1107" i="67"/>
  <c r="Z1209" i="67"/>
  <c r="Z1193" i="67"/>
  <c r="Z1387" i="67"/>
  <c r="Z1401" i="67"/>
  <c r="Z1419" i="67"/>
  <c r="Z1539" i="67"/>
  <c r="Z1555" i="67"/>
  <c r="Z470" i="67"/>
  <c r="AN1075" i="67"/>
  <c r="AN1107" i="67"/>
  <c r="AN1193" i="67"/>
  <c r="AN1089" i="67"/>
  <c r="AN1209" i="67"/>
  <c r="AN1387" i="67"/>
  <c r="AN1401" i="67"/>
  <c r="AN1419" i="67"/>
  <c r="AN1539" i="67"/>
  <c r="AN1555" i="67"/>
  <c r="O1075" i="67"/>
  <c r="O1089" i="67"/>
  <c r="O1107" i="67"/>
  <c r="O1193" i="67"/>
  <c r="O1209" i="67"/>
  <c r="O1387" i="67"/>
  <c r="O1401" i="67"/>
  <c r="O1419" i="67"/>
  <c r="O1539" i="67"/>
  <c r="O1555" i="67"/>
  <c r="O470" i="67"/>
  <c r="AH1076" i="67"/>
  <c r="AH1108" i="67"/>
  <c r="AH1090" i="67"/>
  <c r="AH1194" i="67"/>
  <c r="AH1210" i="67"/>
  <c r="AH1388" i="67"/>
  <c r="AH1402" i="67"/>
  <c r="AH1420" i="67"/>
  <c r="AH1540" i="67"/>
  <c r="AH1556" i="67"/>
  <c r="T1076" i="67"/>
  <c r="T1090" i="67"/>
  <c r="T1108" i="67"/>
  <c r="T1210" i="67"/>
  <c r="T1194" i="67"/>
  <c r="T1388" i="67"/>
  <c r="T1402" i="67"/>
  <c r="T1420" i="67"/>
  <c r="T1556" i="67"/>
  <c r="T1540" i="67"/>
  <c r="T471" i="67"/>
  <c r="AL1075" i="67"/>
  <c r="AL1089" i="67"/>
  <c r="AL1107" i="67"/>
  <c r="AL1209" i="67"/>
  <c r="AL1193" i="67"/>
  <c r="AL1387" i="67"/>
  <c r="AL1401" i="67"/>
  <c r="AL1419" i="67"/>
  <c r="AL1539" i="67"/>
  <c r="AL1555" i="67"/>
  <c r="AL470" i="67"/>
  <c r="AV1091" i="67"/>
  <c r="AV1109" i="67"/>
  <c r="AV1077" i="67"/>
  <c r="AV1195" i="67"/>
  <c r="AV1211" i="67"/>
  <c r="AV1389" i="67"/>
  <c r="AV1403" i="67"/>
  <c r="AV1421" i="67"/>
  <c r="AV1541" i="67"/>
  <c r="AV1557" i="67"/>
  <c r="AF1091" i="67"/>
  <c r="AF1109" i="67"/>
  <c r="AF1077" i="67"/>
  <c r="AF1195" i="67"/>
  <c r="AF1211" i="67"/>
  <c r="AF1389" i="67"/>
  <c r="AF1403" i="67"/>
  <c r="AF1421" i="67"/>
  <c r="AF1541" i="67"/>
  <c r="AF1557" i="67"/>
  <c r="P1091" i="67"/>
  <c r="P1109" i="67"/>
  <c r="P1077" i="67"/>
  <c r="P1195" i="67"/>
  <c r="P1211" i="67"/>
  <c r="P1389" i="67"/>
  <c r="P1403" i="67"/>
  <c r="P1421" i="67"/>
  <c r="P1541" i="67"/>
  <c r="P1557" i="67"/>
  <c r="AE1077" i="67"/>
  <c r="AE1091" i="67"/>
  <c r="AE1195" i="67"/>
  <c r="AE1109" i="67"/>
  <c r="AE1211" i="67"/>
  <c r="AE1389" i="67"/>
  <c r="AE1403" i="67"/>
  <c r="AE1421" i="67"/>
  <c r="AE1541" i="67"/>
  <c r="AE1557" i="67"/>
  <c r="O1077" i="67"/>
  <c r="O1091" i="67"/>
  <c r="O1195" i="67"/>
  <c r="O1211" i="67"/>
  <c r="O1109" i="67"/>
  <c r="O1389" i="67"/>
  <c r="O1403" i="67"/>
  <c r="O1421" i="67"/>
  <c r="O1541" i="67"/>
  <c r="O1557" i="67"/>
  <c r="V1077" i="67"/>
  <c r="V1091" i="67"/>
  <c r="V1109" i="67"/>
  <c r="V1211" i="67"/>
  <c r="V1195" i="67"/>
  <c r="V1389" i="67"/>
  <c r="V1403" i="67"/>
  <c r="V1421" i="67"/>
  <c r="V1541" i="67"/>
  <c r="V1557" i="67"/>
  <c r="AT1077" i="67"/>
  <c r="AT1091" i="67"/>
  <c r="AT1109" i="67"/>
  <c r="AT1211" i="67"/>
  <c r="AT1195" i="67"/>
  <c r="AT1389" i="67"/>
  <c r="AT1403" i="67"/>
  <c r="AT1421" i="67"/>
  <c r="AT1541" i="67"/>
  <c r="AT1557" i="67"/>
  <c r="AW1077" i="67"/>
  <c r="AW1091" i="67"/>
  <c r="AW1109" i="67"/>
  <c r="AW1211" i="67"/>
  <c r="AW1195" i="67"/>
  <c r="AW1389" i="67"/>
  <c r="AW1403" i="67"/>
  <c r="AW1541" i="67"/>
  <c r="AW1557" i="67"/>
  <c r="AW1421" i="67"/>
  <c r="AG1077" i="67"/>
  <c r="AG1091" i="67"/>
  <c r="AG1109" i="67"/>
  <c r="AG1211" i="67"/>
  <c r="AG1195" i="67"/>
  <c r="AG1389" i="67"/>
  <c r="AG1403" i="67"/>
  <c r="AG1421" i="67"/>
  <c r="AG1541" i="67"/>
  <c r="AG1557" i="67"/>
  <c r="Q1077" i="67"/>
  <c r="Q1091" i="67"/>
  <c r="Q1109" i="67"/>
  <c r="Q1211" i="67"/>
  <c r="Q1195" i="67"/>
  <c r="Q1389" i="67"/>
  <c r="Q1403" i="67"/>
  <c r="Q1421" i="67"/>
  <c r="Q1541" i="67"/>
  <c r="Q1557" i="67"/>
  <c r="AF1076" i="67"/>
  <c r="AF1090" i="67"/>
  <c r="AF1108" i="67"/>
  <c r="AF1210" i="67"/>
  <c r="AF1194" i="67"/>
  <c r="AF1388" i="67"/>
  <c r="AF1402" i="67"/>
  <c r="AF1420" i="67"/>
  <c r="AF1540" i="67"/>
  <c r="AF1556" i="67"/>
  <c r="AF471" i="67"/>
  <c r="AK1075" i="67"/>
  <c r="AK1089" i="67"/>
  <c r="AK1107" i="67"/>
  <c r="AK1209" i="67"/>
  <c r="AK1193" i="67"/>
  <c r="AK1387" i="67"/>
  <c r="AK1401" i="67"/>
  <c r="AK1419" i="67"/>
  <c r="AK1539" i="67"/>
  <c r="AK1555" i="67"/>
  <c r="AI1075" i="67"/>
  <c r="AI1089" i="67"/>
  <c r="AI1107" i="67"/>
  <c r="AI1193" i="67"/>
  <c r="AI1209" i="67"/>
  <c r="AI1387" i="67"/>
  <c r="AI1401" i="67"/>
  <c r="AI1419" i="67"/>
  <c r="AI1539" i="67"/>
  <c r="AI1555" i="67"/>
  <c r="AI470" i="67"/>
  <c r="Y1075" i="67"/>
  <c r="Y1089" i="67"/>
  <c r="Y1107" i="67"/>
  <c r="Y1209" i="67"/>
  <c r="Y1193" i="67"/>
  <c r="Y1387" i="67"/>
  <c r="Y1401" i="67"/>
  <c r="Y1419" i="67"/>
  <c r="Y1539" i="67"/>
  <c r="Y1555" i="67"/>
  <c r="Y470" i="67"/>
  <c r="AN1076" i="67"/>
  <c r="AN1090" i="67"/>
  <c r="AN1108" i="67"/>
  <c r="AN1210" i="67"/>
  <c r="AN1194" i="67"/>
  <c r="AN1388" i="67"/>
  <c r="AN1402" i="67"/>
  <c r="AN1420" i="67"/>
  <c r="AN1540" i="67"/>
  <c r="AN1556" i="67"/>
  <c r="AN471" i="67"/>
  <c r="AS1075" i="67"/>
  <c r="AS1089" i="67"/>
  <c r="AS1107" i="67"/>
  <c r="AS1209" i="67"/>
  <c r="AS1193" i="67"/>
  <c r="AS1387" i="67"/>
  <c r="AS1401" i="67"/>
  <c r="AS1419" i="67"/>
  <c r="AS1539" i="67"/>
  <c r="AS1555" i="67"/>
  <c r="AQ1076" i="67"/>
  <c r="AQ1090" i="67"/>
  <c r="AQ1108" i="67"/>
  <c r="AQ1210" i="67"/>
  <c r="AQ1194" i="67"/>
  <c r="AQ1388" i="67"/>
  <c r="AQ1420" i="67"/>
  <c r="AQ1402" i="67"/>
  <c r="AQ1540" i="67"/>
  <c r="AQ1556" i="67"/>
  <c r="AQ471" i="67"/>
  <c r="AT1108" i="67"/>
  <c r="AT1090" i="67"/>
  <c r="AT1076" i="67"/>
  <c r="AT1194" i="67"/>
  <c r="AT1210" i="67"/>
  <c r="AT1388" i="67"/>
  <c r="AT1402" i="67"/>
  <c r="AT1420" i="67"/>
  <c r="AT1540" i="67"/>
  <c r="AT1556" i="67"/>
  <c r="AT471" i="67"/>
  <c r="AR1089" i="67"/>
  <c r="AR1075" i="67"/>
  <c r="AR1107" i="67"/>
  <c r="AR1193" i="67"/>
  <c r="AR1209" i="67"/>
  <c r="AR1387" i="67"/>
  <c r="AR1401" i="67"/>
  <c r="AR1419" i="67"/>
  <c r="AR1539" i="67"/>
  <c r="AR1555" i="67"/>
  <c r="T1089" i="67"/>
  <c r="T1075" i="67"/>
  <c r="T1107" i="67"/>
  <c r="T1193" i="67"/>
  <c r="T1209" i="67"/>
  <c r="T1387" i="67"/>
  <c r="T1401" i="67"/>
  <c r="T1419" i="67"/>
  <c r="T1539" i="67"/>
  <c r="T1555" i="67"/>
  <c r="AP1075" i="67"/>
  <c r="AP1089" i="67"/>
  <c r="AP1107" i="67"/>
  <c r="AP1209" i="67"/>
  <c r="AP1193" i="67"/>
  <c r="AP1387" i="67"/>
  <c r="AP1401" i="67"/>
  <c r="AP1419" i="67"/>
  <c r="AP1539" i="67"/>
  <c r="AP1555" i="67"/>
  <c r="AL1090" i="67"/>
  <c r="AL1108" i="67"/>
  <c r="AL1076" i="67"/>
  <c r="AL1194" i="67"/>
  <c r="AL1210" i="67"/>
  <c r="AL1388" i="67"/>
  <c r="AL1402" i="67"/>
  <c r="AL1420" i="67"/>
  <c r="AL1540" i="67"/>
  <c r="AL1556" i="67"/>
  <c r="AL471" i="67"/>
  <c r="AB1089" i="67"/>
  <c r="AB1075" i="67"/>
  <c r="AB1193" i="67"/>
  <c r="AB1107" i="67"/>
  <c r="AB1209" i="67"/>
  <c r="AB1387" i="67"/>
  <c r="AB1401" i="67"/>
  <c r="AB1419" i="67"/>
  <c r="AB1539" i="67"/>
  <c r="AB1555" i="67"/>
  <c r="AG1076" i="67"/>
  <c r="AG1090" i="67"/>
  <c r="AG1194" i="67"/>
  <c r="AG1108" i="67"/>
  <c r="AG1210" i="67"/>
  <c r="AG1388" i="67"/>
  <c r="AG1402" i="67"/>
  <c r="AG1420" i="67"/>
  <c r="AG1540" i="67"/>
  <c r="AG1556" i="67"/>
  <c r="AE1076" i="67"/>
  <c r="AE1090" i="67"/>
  <c r="AE1108" i="67"/>
  <c r="AE1210" i="67"/>
  <c r="AE1194" i="67"/>
  <c r="AE1388" i="67"/>
  <c r="AE1420" i="67"/>
  <c r="AE1402" i="67"/>
  <c r="AE1540" i="67"/>
  <c r="AE1556" i="67"/>
  <c r="P1076" i="67"/>
  <c r="P1090" i="67"/>
  <c r="P1108" i="67"/>
  <c r="P1210" i="67"/>
  <c r="P1194" i="67"/>
  <c r="P1388" i="67"/>
  <c r="P1402" i="67"/>
  <c r="P1420" i="67"/>
  <c r="P1540" i="67"/>
  <c r="P1556" i="67"/>
  <c r="P471" i="67"/>
  <c r="L1384" i="67"/>
  <c r="L1398" i="67"/>
  <c r="L1416" i="67"/>
  <c r="L1536" i="67"/>
  <c r="L1552" i="67"/>
  <c r="AE51" i="50"/>
  <c r="BB54" i="69"/>
  <c r="BG19" i="70"/>
  <c r="BG21" i="70"/>
  <c r="BF54" i="69"/>
  <c r="BK19" i="70"/>
  <c r="BK21" i="70"/>
  <c r="AQ75" i="70"/>
  <c r="AQ59" i="70"/>
  <c r="O131" i="65"/>
  <c r="O141" i="65" s="1"/>
  <c r="AW59" i="70"/>
  <c r="AW75" i="70"/>
  <c r="U131" i="65"/>
  <c r="U141" i="65" s="1"/>
  <c r="AD471" i="67" s="1"/>
  <c r="AZ74" i="70"/>
  <c r="AZ58" i="70"/>
  <c r="X130" i="65"/>
  <c r="X140" i="65" s="1"/>
  <c r="AG470" i="67" s="1"/>
  <c r="BK58" i="70"/>
  <c r="BK74" i="70"/>
  <c r="AI130" i="65"/>
  <c r="AI140" i="65" s="1"/>
  <c r="AR470" i="67" s="1"/>
  <c r="U1384" i="67"/>
  <c r="U1398" i="67"/>
  <c r="U1416" i="67"/>
  <c r="U1552" i="67"/>
  <c r="U1536" i="67"/>
  <c r="AF54" i="69"/>
  <c r="AK21" i="70"/>
  <c r="AK19" i="70"/>
  <c r="AD131" i="65"/>
  <c r="AD141" i="65" s="1"/>
  <c r="AM471" i="67" s="1"/>
  <c r="BF75" i="70"/>
  <c r="BF59" i="70"/>
  <c r="AB54" i="69"/>
  <c r="AG21" i="70"/>
  <c r="AG19" i="70"/>
  <c r="AA54" i="69"/>
  <c r="AF21" i="70"/>
  <c r="AF19" i="70"/>
  <c r="AS75" i="70"/>
  <c r="AS59" i="70"/>
  <c r="Q131" i="65"/>
  <c r="Q141" i="65" s="1"/>
  <c r="BG74" i="70"/>
  <c r="BG58" i="70"/>
  <c r="AE130" i="65"/>
  <c r="AE140" i="65" s="1"/>
  <c r="AN470" i="67" s="1"/>
  <c r="AU59" i="70"/>
  <c r="AU75" i="70"/>
  <c r="S131" i="65"/>
  <c r="S141" i="65" s="1"/>
  <c r="AB471" i="67" s="1"/>
  <c r="AP74" i="70"/>
  <c r="AP58" i="70"/>
  <c r="N130" i="65"/>
  <c r="N140" i="65" s="1"/>
  <c r="W470" i="67" s="1"/>
  <c r="AF74" i="70"/>
  <c r="AF58" i="70"/>
  <c r="D130" i="65"/>
  <c r="D140" i="65" s="1"/>
  <c r="B130" i="65"/>
  <c r="B140" i="65" s="1"/>
  <c r="AD74" i="70"/>
  <c r="AD58" i="70"/>
  <c r="AO51" i="50"/>
  <c r="AO9" i="50"/>
  <c r="BA60" i="70"/>
  <c r="BA76" i="70"/>
  <c r="AK60" i="70"/>
  <c r="AK76" i="70"/>
  <c r="BH60" i="70"/>
  <c r="BH76" i="70"/>
  <c r="AR60" i="70"/>
  <c r="AR76" i="70"/>
  <c r="AD76" i="70"/>
  <c r="AD60" i="70"/>
  <c r="BC60" i="70"/>
  <c r="BC76" i="70"/>
  <c r="AM60" i="70"/>
  <c r="AM76" i="70"/>
  <c r="BJ76" i="70"/>
  <c r="BJ60" i="70"/>
  <c r="AT76" i="70"/>
  <c r="AT60" i="70"/>
  <c r="AL54" i="69"/>
  <c r="AQ19" i="70"/>
  <c r="AQ21" i="70"/>
  <c r="BI74" i="70"/>
  <c r="BI58" i="70"/>
  <c r="AG130" i="65"/>
  <c r="AG140" i="65" s="1"/>
  <c r="AP470" i="67" s="1"/>
  <c r="AR75" i="70"/>
  <c r="AR59" i="70"/>
  <c r="P131" i="65"/>
  <c r="P141" i="65" s="1"/>
  <c r="Y471" i="67" s="1"/>
  <c r="Y8" i="69"/>
  <c r="Y7" i="69"/>
  <c r="AY54" i="69"/>
  <c r="BD21" i="70"/>
  <c r="BD19" i="70"/>
  <c r="BI54" i="69"/>
  <c r="BN19" i="70"/>
  <c r="BN21" i="70"/>
  <c r="AK74" i="70"/>
  <c r="AK58" i="70"/>
  <c r="I130" i="65"/>
  <c r="I140" i="65" s="1"/>
  <c r="R470" i="67" s="1"/>
  <c r="AX75" i="70"/>
  <c r="AX59" i="70"/>
  <c r="V131" i="65"/>
  <c r="V141" i="65" s="1"/>
  <c r="AE471" i="67" s="1"/>
  <c r="AM58" i="70"/>
  <c r="AM74" i="70"/>
  <c r="K130" i="65"/>
  <c r="K140" i="65" s="1"/>
  <c r="T470" i="67" s="1"/>
  <c r="AL75" i="70"/>
  <c r="AL59" i="70"/>
  <c r="J131" i="65"/>
  <c r="J141" i="65" s="1"/>
  <c r="S471" i="67" s="1"/>
  <c r="AO75" i="70"/>
  <c r="AO59" i="70"/>
  <c r="M131" i="65"/>
  <c r="M141" i="65" s="1"/>
  <c r="V471" i="67" s="1"/>
  <c r="AW54" i="69"/>
  <c r="BB19" i="70"/>
  <c r="BB21" i="70"/>
  <c r="AN130" i="65"/>
  <c r="AN140" i="65" s="1"/>
  <c r="BP74" i="70"/>
  <c r="BP58" i="70"/>
  <c r="AT74" i="70"/>
  <c r="AT58" i="70"/>
  <c r="R130" i="65"/>
  <c r="R140" i="65" s="1"/>
  <c r="AA470" i="67" s="1"/>
  <c r="AN1109" i="67"/>
  <c r="AN1091" i="67"/>
  <c r="AN1195" i="67"/>
  <c r="AN1077" i="67"/>
  <c r="AN1211" i="67"/>
  <c r="AN1389" i="67"/>
  <c r="AN1403" i="67"/>
  <c r="AN1421" i="67"/>
  <c r="AN1541" i="67"/>
  <c r="AN1557" i="67"/>
  <c r="AL1077" i="67"/>
  <c r="AL1091" i="67"/>
  <c r="AL1109" i="67"/>
  <c r="AL1211" i="67"/>
  <c r="AL1195" i="67"/>
  <c r="AL1389" i="67"/>
  <c r="AL1403" i="67"/>
  <c r="AL1421" i="67"/>
  <c r="AL1541" i="67"/>
  <c r="AL1557" i="67"/>
  <c r="AD12" i="70"/>
  <c r="AD11" i="70"/>
  <c r="Y18" i="69"/>
  <c r="Y52" i="69" s="1"/>
  <c r="AP54" i="69"/>
  <c r="AU19" i="70"/>
  <c r="AU21" i="70"/>
  <c r="BA54" i="69"/>
  <c r="BF19" i="70"/>
  <c r="BF21" i="70"/>
  <c r="Y1384" i="67"/>
  <c r="Y1398" i="67"/>
  <c r="Y1416" i="67"/>
  <c r="Y1552" i="67"/>
  <c r="Y1536" i="67"/>
  <c r="BP76" i="70"/>
  <c r="BP60" i="70"/>
  <c r="AJ76" i="70"/>
  <c r="AJ60" i="70"/>
  <c r="AE60" i="70"/>
  <c r="AE76" i="70"/>
  <c r="T130" i="65"/>
  <c r="T140" i="65" s="1"/>
  <c r="AC470" i="67" s="1"/>
  <c r="AV74" i="70"/>
  <c r="AV58" i="70"/>
  <c r="AT19" i="70"/>
  <c r="AT21" i="70"/>
  <c r="AO54" i="69"/>
  <c r="AO36" i="69"/>
  <c r="AN58" i="70"/>
  <c r="AN74" i="70"/>
  <c r="L130" i="65"/>
  <c r="L140" i="65" s="1"/>
  <c r="U470" i="67" s="1"/>
  <c r="J4" i="50"/>
  <c r="J4" i="57" s="1"/>
  <c r="J4" i="69"/>
  <c r="AQ1077" i="67"/>
  <c r="AQ1091" i="67"/>
  <c r="AQ1195" i="67"/>
  <c r="AQ1109" i="67"/>
  <c r="AQ1211" i="67"/>
  <c r="AQ1389" i="67"/>
  <c r="AQ1403" i="67"/>
  <c r="AQ1421" i="67"/>
  <c r="AQ1541" i="67"/>
  <c r="AQ1557" i="67"/>
  <c r="AJ1109" i="67"/>
  <c r="AJ1091" i="67"/>
  <c r="AJ1077" i="67"/>
  <c r="AJ1195" i="67"/>
  <c r="AJ1211" i="67"/>
  <c r="AJ1389" i="67"/>
  <c r="AJ1403" i="67"/>
  <c r="AJ1421" i="67"/>
  <c r="AJ1541" i="67"/>
  <c r="AJ1557" i="67"/>
  <c r="S1077" i="67"/>
  <c r="S1091" i="67"/>
  <c r="S1109" i="67"/>
  <c r="S1195" i="67"/>
  <c r="S1211" i="67"/>
  <c r="S1389" i="67"/>
  <c r="S1403" i="67"/>
  <c r="S1421" i="67"/>
  <c r="S1541" i="67"/>
  <c r="S1557" i="67"/>
  <c r="AU1077" i="67"/>
  <c r="AU1091" i="67"/>
  <c r="AU1195" i="67"/>
  <c r="AU1211" i="67"/>
  <c r="AU1109" i="67"/>
  <c r="AU1389" i="67"/>
  <c r="AU1403" i="67"/>
  <c r="AU1421" i="67"/>
  <c r="AU1541" i="67"/>
  <c r="AU1557" i="67"/>
  <c r="AK1077" i="67"/>
  <c r="AK1091" i="67"/>
  <c r="AK1109" i="67"/>
  <c r="AK1211" i="67"/>
  <c r="AK1195" i="67"/>
  <c r="AK1421" i="67"/>
  <c r="AK1403" i="67"/>
  <c r="AK1389" i="67"/>
  <c r="AK1541" i="67"/>
  <c r="AK1557" i="67"/>
  <c r="R1076" i="67"/>
  <c r="R1108" i="67"/>
  <c r="R1090" i="67"/>
  <c r="R1194" i="67"/>
  <c r="R1210" i="67"/>
  <c r="R1388" i="67"/>
  <c r="R1402" i="67"/>
  <c r="R1420" i="67"/>
  <c r="R1540" i="67"/>
  <c r="R1556" i="67"/>
  <c r="AM1075" i="67"/>
  <c r="AM1089" i="67"/>
  <c r="AM1107" i="67"/>
  <c r="AM1193" i="67"/>
  <c r="AM1209" i="67"/>
  <c r="AM1387" i="67"/>
  <c r="AM1401" i="67"/>
  <c r="AM1419" i="67"/>
  <c r="AM1539" i="67"/>
  <c r="AM1555" i="67"/>
  <c r="L1089" i="67"/>
  <c r="L1075" i="67"/>
  <c r="L1107" i="67"/>
  <c r="L1193" i="67"/>
  <c r="L1209" i="67"/>
  <c r="L1387" i="67"/>
  <c r="L1401" i="67"/>
  <c r="L1419" i="67"/>
  <c r="L1539" i="67"/>
  <c r="L1555" i="67"/>
  <c r="L470" i="67"/>
  <c r="AU1076" i="67"/>
  <c r="AU1090" i="67"/>
  <c r="AU1108" i="67"/>
  <c r="AU1210" i="67"/>
  <c r="AU1194" i="67"/>
  <c r="AU1388" i="67"/>
  <c r="AU1420" i="67"/>
  <c r="AU1402" i="67"/>
  <c r="AU1540" i="67"/>
  <c r="AU1556" i="67"/>
  <c r="W1075" i="67"/>
  <c r="W1089" i="67"/>
  <c r="W1107" i="67"/>
  <c r="W1193" i="67"/>
  <c r="W1209" i="67"/>
  <c r="W1387" i="67"/>
  <c r="W1401" i="67"/>
  <c r="W1419" i="67"/>
  <c r="W1539" i="67"/>
  <c r="W1555" i="67"/>
  <c r="AJ1089" i="67"/>
  <c r="AJ1193" i="67"/>
  <c r="AJ1107" i="67"/>
  <c r="AJ1075" i="67"/>
  <c r="AJ1209" i="67"/>
  <c r="AJ1387" i="67"/>
  <c r="AJ1401" i="67"/>
  <c r="AJ1419" i="67"/>
  <c r="AJ1539" i="67"/>
  <c r="AJ1555" i="67"/>
  <c r="AJ470" i="67"/>
  <c r="AT1075" i="67"/>
  <c r="AT1089" i="67"/>
  <c r="AT1107" i="67"/>
  <c r="AT1209" i="67"/>
  <c r="AT1193" i="67"/>
  <c r="AT1387" i="67"/>
  <c r="AT1401" i="67"/>
  <c r="AT1419" i="67"/>
  <c r="AT1539" i="67"/>
  <c r="AT1555" i="67"/>
  <c r="AT470" i="67"/>
  <c r="AO1076" i="67"/>
  <c r="AO1090" i="67"/>
  <c r="AO1108" i="67"/>
  <c r="AO1194" i="67"/>
  <c r="AO1210" i="67"/>
  <c r="AO1388" i="67"/>
  <c r="AO1402" i="67"/>
  <c r="AO1420" i="67"/>
  <c r="AO1540" i="67"/>
  <c r="AO1556" i="67"/>
  <c r="AO471" i="67"/>
  <c r="AR1076" i="67"/>
  <c r="AR1090" i="67"/>
  <c r="AR1108" i="67"/>
  <c r="AR1210" i="67"/>
  <c r="AR1194" i="67"/>
  <c r="AR1388" i="67"/>
  <c r="AR1402" i="67"/>
  <c r="AR1420" i="67"/>
  <c r="AR1540" i="67"/>
  <c r="AR1556" i="67"/>
  <c r="AR471" i="67"/>
  <c r="AV1089" i="67"/>
  <c r="AV1107" i="67"/>
  <c r="AV1075" i="67"/>
  <c r="AV1193" i="67"/>
  <c r="AV1209" i="67"/>
  <c r="AV1387" i="67"/>
  <c r="AV1401" i="67"/>
  <c r="AV1419" i="67"/>
  <c r="AV1539" i="67"/>
  <c r="AV1555" i="67"/>
  <c r="AV470" i="67"/>
  <c r="AR1077" i="67"/>
  <c r="AR1109" i="67"/>
  <c r="AR1091" i="67"/>
  <c r="AR1195" i="67"/>
  <c r="AR1211" i="67"/>
  <c r="AR1389" i="67"/>
  <c r="AR1403" i="67"/>
  <c r="AR1421" i="67"/>
  <c r="AR1541" i="67"/>
  <c r="AR1557" i="67"/>
  <c r="AB1077" i="67"/>
  <c r="AB1109" i="67"/>
  <c r="AB1195" i="67"/>
  <c r="AB1091" i="67"/>
  <c r="AB1211" i="67"/>
  <c r="AB1389" i="67"/>
  <c r="AB1403" i="67"/>
  <c r="AB1421" i="67"/>
  <c r="AB1541" i="67"/>
  <c r="AB1557" i="67"/>
  <c r="L1077" i="67"/>
  <c r="L1109" i="67"/>
  <c r="L1195" i="67"/>
  <c r="L1091" i="67"/>
  <c r="L1211" i="67"/>
  <c r="L1389" i="67"/>
  <c r="L1403" i="67"/>
  <c r="L1421" i="67"/>
  <c r="L1541" i="67"/>
  <c r="L1557" i="67"/>
  <c r="AA1077" i="67"/>
  <c r="AA1091" i="67"/>
  <c r="AA1195" i="67"/>
  <c r="AA1109" i="67"/>
  <c r="AA1211" i="67"/>
  <c r="AA1389" i="67"/>
  <c r="AA1403" i="67"/>
  <c r="AA1421" i="67"/>
  <c r="AA1541" i="67"/>
  <c r="AA1557" i="67"/>
  <c r="K1195" i="67"/>
  <c r="K1109" i="67"/>
  <c r="K1077" i="67"/>
  <c r="K1091" i="67"/>
  <c r="K1211" i="67"/>
  <c r="K1421" i="67"/>
  <c r="K1389" i="67"/>
  <c r="K1557" i="67"/>
  <c r="K1541" i="67"/>
  <c r="K1403" i="67"/>
  <c r="R1077" i="67"/>
  <c r="R1091" i="67"/>
  <c r="R1109" i="67"/>
  <c r="R1211" i="67"/>
  <c r="R1195" i="67"/>
  <c r="R1389" i="67"/>
  <c r="R1403" i="67"/>
  <c r="R1421" i="67"/>
  <c r="R1541" i="67"/>
  <c r="R1557" i="67"/>
  <c r="AP1077" i="67"/>
  <c r="AP1091" i="67"/>
  <c r="AP1109" i="67"/>
  <c r="AP1211" i="67"/>
  <c r="AP1195" i="67"/>
  <c r="AP1389" i="67"/>
  <c r="AP1403" i="67"/>
  <c r="AP1421" i="67"/>
  <c r="AP1541" i="67"/>
  <c r="AP1557" i="67"/>
  <c r="AS1077" i="67"/>
  <c r="AS1091" i="67"/>
  <c r="AS1109" i="67"/>
  <c r="AS1211" i="67"/>
  <c r="AS1195" i="67"/>
  <c r="AS1389" i="67"/>
  <c r="AS1403" i="67"/>
  <c r="AS1421" i="67"/>
  <c r="AS1541" i="67"/>
  <c r="AS1557" i="67"/>
  <c r="AC1077" i="67"/>
  <c r="AC1091" i="67"/>
  <c r="AC1109" i="67"/>
  <c r="AC1211" i="67"/>
  <c r="AC1195" i="67"/>
  <c r="AC1389" i="67"/>
  <c r="AC1403" i="67"/>
  <c r="AC1421" i="67"/>
  <c r="AC1541" i="67"/>
  <c r="AC1557" i="67"/>
  <c r="M1077" i="67"/>
  <c r="M1091" i="67"/>
  <c r="M1109" i="67"/>
  <c r="M1211" i="67"/>
  <c r="M1195" i="67"/>
  <c r="M1389" i="67"/>
  <c r="M1403" i="67"/>
  <c r="M1421" i="67"/>
  <c r="M1541" i="67"/>
  <c r="M1557" i="67"/>
  <c r="R1075" i="67"/>
  <c r="R1089" i="67"/>
  <c r="R1107" i="67"/>
  <c r="R1209" i="67"/>
  <c r="R1193" i="67"/>
  <c r="R1387" i="67"/>
  <c r="R1401" i="67"/>
  <c r="R1419" i="67"/>
  <c r="R1539" i="67"/>
  <c r="R1555" i="67"/>
  <c r="K1089" i="67"/>
  <c r="K1209" i="67"/>
  <c r="K1193" i="67"/>
  <c r="K1107" i="67"/>
  <c r="K1075" i="67"/>
  <c r="K1555" i="67"/>
  <c r="K1539" i="67"/>
  <c r="K1401" i="67"/>
  <c r="K1419" i="67"/>
  <c r="K1387" i="67"/>
  <c r="K470" i="67"/>
  <c r="Z1108" i="67"/>
  <c r="Z1090" i="67"/>
  <c r="Z1076" i="67"/>
  <c r="Z1194" i="67"/>
  <c r="Z1210" i="67"/>
  <c r="Z1388" i="67"/>
  <c r="Z1402" i="67"/>
  <c r="Z1420" i="67"/>
  <c r="Z1540" i="67"/>
  <c r="Z1556" i="67"/>
  <c r="Z471" i="67"/>
  <c r="AD1075" i="67"/>
  <c r="AD1089" i="67"/>
  <c r="AD1107" i="67"/>
  <c r="AD1209" i="67"/>
  <c r="AD1193" i="67"/>
  <c r="AD1387" i="67"/>
  <c r="AD1401" i="67"/>
  <c r="AD1419" i="67"/>
  <c r="AD1539" i="67"/>
  <c r="AD1555" i="67"/>
  <c r="AD470" i="67"/>
  <c r="L1076" i="67"/>
  <c r="L1090" i="67"/>
  <c r="L1108" i="67"/>
  <c r="L1210" i="67"/>
  <c r="L1194" i="67"/>
  <c r="L1388" i="67"/>
  <c r="L1402" i="67"/>
  <c r="L1420" i="67"/>
  <c r="L1540" i="67"/>
  <c r="L1556" i="67"/>
  <c r="L471" i="67"/>
  <c r="Q1076" i="67"/>
  <c r="Q1090" i="67"/>
  <c r="Q1194" i="67"/>
  <c r="Q1108" i="67"/>
  <c r="Q1210" i="67"/>
  <c r="Q1388" i="67"/>
  <c r="Q1402" i="67"/>
  <c r="Q1420" i="67"/>
  <c r="Q1540" i="67"/>
  <c r="Q1556" i="67"/>
  <c r="H141" i="65"/>
  <c r="Q471" i="67" s="1"/>
  <c r="Y1076" i="67"/>
  <c r="Y1090" i="67"/>
  <c r="Y1108" i="67"/>
  <c r="Y1194" i="67"/>
  <c r="Y1210" i="67"/>
  <c r="Y1388" i="67"/>
  <c r="Y1402" i="67"/>
  <c r="Y1420" i="67"/>
  <c r="Y1540" i="67"/>
  <c r="Y1556" i="67"/>
  <c r="AU1075" i="67"/>
  <c r="AU1089" i="67"/>
  <c r="AU1107" i="67"/>
  <c r="AU1193" i="67"/>
  <c r="AU1209" i="67"/>
  <c r="AU1387" i="67"/>
  <c r="AU1401" i="67"/>
  <c r="AU1419" i="67"/>
  <c r="AU1539" i="67"/>
  <c r="AU1555" i="67"/>
  <c r="AU470" i="67"/>
  <c r="N1075" i="67"/>
  <c r="N1089" i="67"/>
  <c r="N1107" i="67"/>
  <c r="N1209" i="67"/>
  <c r="N1193" i="67"/>
  <c r="N1387" i="67"/>
  <c r="N1401" i="67"/>
  <c r="N1419" i="67"/>
  <c r="N1555" i="67"/>
  <c r="N1539" i="67"/>
  <c r="AS1076" i="67"/>
  <c r="AS1090" i="67"/>
  <c r="AS1194" i="67"/>
  <c r="AS1108" i="67"/>
  <c r="AS1210" i="67"/>
  <c r="AS1388" i="67"/>
  <c r="AS1402" i="67"/>
  <c r="AS1420" i="67"/>
  <c r="AS1540" i="67"/>
  <c r="AS1556" i="67"/>
  <c r="AS471" i="67"/>
  <c r="O1076" i="67"/>
  <c r="O1090" i="67"/>
  <c r="O1108" i="67"/>
  <c r="O1210" i="67"/>
  <c r="O1194" i="67"/>
  <c r="O1388" i="67"/>
  <c r="O1402" i="67"/>
  <c r="O1420" i="67"/>
  <c r="O1540" i="67"/>
  <c r="O1556" i="67"/>
  <c r="O471" i="67"/>
  <c r="AH1075" i="67"/>
  <c r="AH1089" i="67"/>
  <c r="AH1107" i="67"/>
  <c r="AH1209" i="67"/>
  <c r="AH1193" i="67"/>
  <c r="AH1387" i="67"/>
  <c r="AH1401" i="67"/>
  <c r="AH1419" i="67"/>
  <c r="AH1539" i="67"/>
  <c r="AH1555" i="67"/>
  <c r="M1075" i="67"/>
  <c r="M1089" i="67"/>
  <c r="M1107" i="67"/>
  <c r="M1209" i="67"/>
  <c r="M1193" i="67"/>
  <c r="M1387" i="67"/>
  <c r="M1401" i="67"/>
  <c r="M1419" i="67"/>
  <c r="M1539" i="67"/>
  <c r="M1555" i="67"/>
  <c r="M470" i="67"/>
  <c r="X1076" i="67"/>
  <c r="X1090" i="67"/>
  <c r="X1108" i="67"/>
  <c r="X1210" i="67"/>
  <c r="X1194" i="67"/>
  <c r="X1388" i="67"/>
  <c r="X1402" i="67"/>
  <c r="X1420" i="67"/>
  <c r="X1540" i="67"/>
  <c r="X1556" i="67"/>
  <c r="X471" i="67"/>
  <c r="AC1076" i="67"/>
  <c r="AC1090" i="67"/>
  <c r="AC1194" i="67"/>
  <c r="AC1108" i="67"/>
  <c r="AC1210" i="67"/>
  <c r="AC1388" i="67"/>
  <c r="AC1402" i="67"/>
  <c r="AC1420" i="67"/>
  <c r="AC1540" i="67"/>
  <c r="AC1556" i="67"/>
  <c r="AC471" i="67"/>
  <c r="AA1076" i="67"/>
  <c r="AA1090" i="67"/>
  <c r="AA1108" i="67"/>
  <c r="AA1210" i="67"/>
  <c r="AA1194" i="67"/>
  <c r="AA1388" i="67"/>
  <c r="AA1420" i="67"/>
  <c r="AA1402" i="67"/>
  <c r="AA1540" i="67"/>
  <c r="AA1556" i="67"/>
  <c r="AA471" i="67"/>
  <c r="AW1075" i="67"/>
  <c r="AW1089" i="67"/>
  <c r="AW1107" i="67"/>
  <c r="AW1209" i="67"/>
  <c r="AW1193" i="67"/>
  <c r="AW1419" i="67"/>
  <c r="AW1401" i="67"/>
  <c r="AW1539" i="67"/>
  <c r="AW1555" i="67"/>
  <c r="AW1387" i="67"/>
  <c r="AW470" i="67"/>
  <c r="AE1075" i="67"/>
  <c r="AE1089" i="67"/>
  <c r="AE1107" i="67"/>
  <c r="AE1193" i="67"/>
  <c r="AE1209" i="67"/>
  <c r="AE1387" i="67"/>
  <c r="AE1401" i="67"/>
  <c r="AE1419" i="67"/>
  <c r="AE1539" i="67"/>
  <c r="AE1555" i="67"/>
  <c r="V1090" i="67"/>
  <c r="V1108" i="67"/>
  <c r="V1076" i="67"/>
  <c r="V1194" i="67"/>
  <c r="V1210" i="67"/>
  <c r="V1388" i="67"/>
  <c r="V1402" i="67"/>
  <c r="V1420" i="67"/>
  <c r="V1540" i="67"/>
  <c r="V1556" i="67"/>
  <c r="N1384" i="67"/>
  <c r="N1398" i="67"/>
  <c r="N1416" i="67"/>
  <c r="N1536" i="67"/>
  <c r="N1552" i="67"/>
  <c r="AD54" i="69"/>
  <c r="AI19" i="70"/>
  <c r="AI21" i="70"/>
  <c r="BE54" i="69"/>
  <c r="BJ19" i="70"/>
  <c r="BJ21" i="70"/>
  <c r="AS54" i="69"/>
  <c r="AX19" i="70"/>
  <c r="AX21" i="70"/>
  <c r="BA74" i="70"/>
  <c r="BA58" i="70"/>
  <c r="Y130" i="65"/>
  <c r="Y140" i="65" s="1"/>
  <c r="AH470" i="67" s="1"/>
  <c r="AQ74" i="70"/>
  <c r="AQ58" i="70"/>
  <c r="O130" i="65"/>
  <c r="O140" i="65" s="1"/>
  <c r="X470" i="67" s="1"/>
  <c r="BN75" i="70"/>
  <c r="BN59" i="70"/>
  <c r="AL131" i="65"/>
  <c r="AL141" i="65" s="1"/>
  <c r="AU471" i="67" s="1"/>
  <c r="AZ59" i="70"/>
  <c r="AZ75" i="70"/>
  <c r="X131" i="65"/>
  <c r="X141" i="65" s="1"/>
  <c r="AG471" i="67" s="1"/>
  <c r="BB75" i="70"/>
  <c r="BB59" i="70"/>
  <c r="Z131" i="65"/>
  <c r="Z141" i="65" s="1"/>
  <c r="AI471" i="67" s="1"/>
  <c r="BC54" i="69"/>
  <c r="BH21" i="70"/>
  <c r="BH19" i="70"/>
  <c r="BO75" i="70"/>
  <c r="BO59" i="70"/>
  <c r="AM131" i="65"/>
  <c r="AM141" i="65" s="1"/>
  <c r="AV471" i="67" s="1"/>
  <c r="BF74" i="70"/>
  <c r="BF58" i="70"/>
  <c r="AD130" i="65"/>
  <c r="AD140" i="65" s="1"/>
  <c r="AM470" i="67" s="1"/>
  <c r="AE54" i="69"/>
  <c r="AJ21" i="70"/>
  <c r="AJ19" i="70"/>
  <c r="AX54" i="69"/>
  <c r="BC19" i="70"/>
  <c r="BC21" i="70"/>
  <c r="AU58" i="70"/>
  <c r="AU74" i="70"/>
  <c r="S130" i="65"/>
  <c r="S140" i="65" s="1"/>
  <c r="AB470" i="67" s="1"/>
  <c r="AG58" i="70"/>
  <c r="AG74" i="70"/>
  <c r="E130" i="65"/>
  <c r="E140" i="65" s="1"/>
  <c r="N470" i="67" s="1"/>
  <c r="AF75" i="70"/>
  <c r="AF59" i="70"/>
  <c r="D131" i="65"/>
  <c r="D141" i="65" s="1"/>
  <c r="M471" i="67" s="1"/>
  <c r="BM76" i="70"/>
  <c r="BM60" i="70"/>
  <c r="AW76" i="70"/>
  <c r="AW60" i="70"/>
  <c r="AG76" i="70"/>
  <c r="AG60" i="70"/>
  <c r="BD76" i="70"/>
  <c r="BD60" i="70"/>
  <c r="AN60" i="70"/>
  <c r="AN76" i="70"/>
  <c r="BO76" i="70"/>
  <c r="BO60" i="70"/>
  <c r="AY76" i="70"/>
  <c r="AY60" i="70"/>
  <c r="AI76" i="70"/>
  <c r="AI60" i="70"/>
  <c r="BF76" i="70"/>
  <c r="BF60" i="70"/>
  <c r="AP76" i="70"/>
  <c r="AP60" i="70"/>
  <c r="AK54" i="69"/>
  <c r="AP19" i="70"/>
  <c r="AP21" i="70"/>
  <c r="BI75" i="70"/>
  <c r="BI59" i="70"/>
  <c r="AG131" i="65"/>
  <c r="AG141" i="65" s="1"/>
  <c r="AP471" i="67" s="1"/>
  <c r="BD58" i="70"/>
  <c r="BD74" i="70"/>
  <c r="AB130" i="65"/>
  <c r="AB140" i="65" s="1"/>
  <c r="AK470" i="67" s="1"/>
  <c r="AI54" i="69"/>
  <c r="AN21" i="70"/>
  <c r="AN19" i="70"/>
  <c r="AT54" i="69"/>
  <c r="AY19" i="70"/>
  <c r="AY21" i="70"/>
  <c r="BD54" i="69"/>
  <c r="BI21" i="70"/>
  <c r="BI19" i="70"/>
  <c r="AK59" i="70"/>
  <c r="AK75" i="70"/>
  <c r="I131" i="65"/>
  <c r="I141" i="65" s="1"/>
  <c r="R471" i="67" s="1"/>
  <c r="AI74" i="70"/>
  <c r="AI58" i="70"/>
  <c r="G130" i="65"/>
  <c r="G140" i="65" s="1"/>
  <c r="P470" i="67" s="1"/>
  <c r="BL74" i="70"/>
  <c r="BL58" i="70"/>
  <c r="AJ130" i="65"/>
  <c r="AJ140" i="65" s="1"/>
  <c r="AS470" i="67" s="1"/>
  <c r="AX74" i="70"/>
  <c r="AX58" i="70"/>
  <c r="V130" i="65"/>
  <c r="V140" i="65" s="1"/>
  <c r="AE470" i="67" s="1"/>
  <c r="AJ74" i="70"/>
  <c r="AJ58" i="70"/>
  <c r="H130" i="65"/>
  <c r="H140" i="65" s="1"/>
  <c r="Q470" i="67" s="1"/>
  <c r="AL74" i="70"/>
  <c r="AL58" i="70"/>
  <c r="J130" i="65"/>
  <c r="J140" i="65" s="1"/>
  <c r="S470" i="67" s="1"/>
  <c r="Z1384" i="67"/>
  <c r="Z1398" i="67"/>
  <c r="Z1416" i="67"/>
  <c r="Z1536" i="67"/>
  <c r="Z1552" i="67"/>
  <c r="AN131" i="65"/>
  <c r="AN141" i="65" s="1"/>
  <c r="AW471" i="67" s="1"/>
  <c r="BP59" i="70"/>
  <c r="BP75" i="70"/>
  <c r="Z10" i="50"/>
  <c r="Z15" i="57" s="1"/>
  <c r="AA10" i="50"/>
  <c r="AA15" i="57" s="1"/>
  <c r="AB10" i="50"/>
  <c r="AB15" i="57" s="1"/>
  <c r="Y51" i="50"/>
  <c r="Y9" i="50"/>
  <c r="AD10" i="36" s="1"/>
  <c r="AE10" i="50"/>
  <c r="AC10" i="50"/>
  <c r="AC15" i="57" s="1"/>
  <c r="AD9" i="50"/>
  <c r="AI10" i="36" s="1"/>
  <c r="AR42" i="36"/>
  <c r="AQ83" i="36"/>
  <c r="AE30" i="50"/>
  <c r="Z40" i="50"/>
  <c r="AN40" i="50"/>
  <c r="AB40" i="50"/>
  <c r="AA40" i="50"/>
  <c r="AH40" i="50"/>
  <c r="AI40" i="50"/>
  <c r="AE40" i="50"/>
  <c r="AO40" i="50"/>
  <c r="Y40" i="50"/>
  <c r="AM40" i="50"/>
  <c r="AC40" i="50"/>
  <c r="AD40" i="50"/>
  <c r="AF18" i="36"/>
  <c r="AF17" i="36"/>
  <c r="AI18" i="36"/>
  <c r="AI17" i="36"/>
  <c r="AJ17" i="36"/>
  <c r="AJ18" i="36"/>
  <c r="AS17" i="36"/>
  <c r="AS18" i="36"/>
  <c r="AH18" i="36"/>
  <c r="AH17" i="36"/>
  <c r="AM18" i="36"/>
  <c r="AM17" i="36"/>
  <c r="AR17" i="36"/>
  <c r="AR18" i="36"/>
  <c r="AT17" i="36"/>
  <c r="AT18" i="36"/>
  <c r="AG18" i="36"/>
  <c r="AG17" i="36"/>
  <c r="AN17" i="36"/>
  <c r="AN18" i="36"/>
  <c r="AE18" i="36"/>
  <c r="AE17" i="36"/>
  <c r="AC7" i="50"/>
  <c r="AC30" i="50"/>
  <c r="Y35" i="50"/>
  <c r="AB26" i="50"/>
  <c r="Y26" i="50"/>
  <c r="AA7" i="50"/>
  <c r="AB30" i="50"/>
  <c r="AD35" i="50"/>
  <c r="AA26" i="50"/>
  <c r="AD26" i="50"/>
  <c r="AB7" i="50"/>
  <c r="AD7" i="50"/>
  <c r="Y30" i="50"/>
  <c r="Y32" i="50"/>
  <c r="Y53" i="50" s="1"/>
  <c r="Z30" i="50"/>
  <c r="AC35" i="50"/>
  <c r="AB35" i="50"/>
  <c r="AC26" i="50"/>
  <c r="Z7" i="50"/>
  <c r="AD30" i="50"/>
  <c r="AA30" i="50"/>
  <c r="Z35" i="50"/>
  <c r="AA35" i="50"/>
  <c r="Z26" i="50"/>
  <c r="AO6" i="50"/>
  <c r="J5" i="47"/>
  <c r="AE26" i="50"/>
  <c r="AE7" i="50"/>
  <c r="D12" i="55"/>
  <c r="E12" i="55"/>
  <c r="F12" i="55"/>
  <c r="G12" i="55"/>
  <c r="H12" i="55"/>
  <c r="I12" i="55"/>
  <c r="J12" i="55"/>
  <c r="K12" i="55"/>
  <c r="L12" i="55"/>
  <c r="M12" i="55"/>
  <c r="N12" i="55"/>
  <c r="C12" i="55"/>
  <c r="D6" i="55"/>
  <c r="E6" i="55"/>
  <c r="F6" i="55"/>
  <c r="G6" i="55"/>
  <c r="H6" i="55"/>
  <c r="I6" i="55"/>
  <c r="J6" i="55"/>
  <c r="K6" i="55"/>
  <c r="L6" i="55"/>
  <c r="M6" i="55"/>
  <c r="N6" i="55"/>
  <c r="C6" i="55"/>
  <c r="Z28" i="55"/>
  <c r="AA28" i="55" s="1"/>
  <c r="AB28" i="55" s="1"/>
  <c r="AC28" i="55" s="1"/>
  <c r="AD28" i="55" s="1"/>
  <c r="AE28" i="55" s="1"/>
  <c r="S11" i="55"/>
  <c r="T11" i="55"/>
  <c r="U11" i="55"/>
  <c r="V11" i="55"/>
  <c r="W11" i="55"/>
  <c r="X11" i="55"/>
  <c r="Y11" i="55"/>
  <c r="Z11" i="55"/>
  <c r="AA11" i="55"/>
  <c r="AB11" i="55"/>
  <c r="AC11" i="55"/>
  <c r="AD11" i="55"/>
  <c r="AE11" i="55"/>
  <c r="R11" i="55"/>
  <c r="D24" i="55"/>
  <c r="E24" i="55"/>
  <c r="F24" i="55"/>
  <c r="G24" i="55"/>
  <c r="H24" i="55"/>
  <c r="I24" i="55"/>
  <c r="J24" i="55"/>
  <c r="K24" i="55"/>
  <c r="L24" i="55"/>
  <c r="M24" i="55"/>
  <c r="N24" i="55"/>
  <c r="Q24" i="55"/>
  <c r="C24" i="55"/>
  <c r="D37" i="55"/>
  <c r="E37" i="55"/>
  <c r="F37" i="55"/>
  <c r="G37" i="55"/>
  <c r="H37" i="55"/>
  <c r="I37" i="55"/>
  <c r="J37" i="55"/>
  <c r="K37" i="55"/>
  <c r="L37" i="55"/>
  <c r="M37" i="55"/>
  <c r="N37" i="55"/>
  <c r="C37" i="55"/>
  <c r="D31" i="55"/>
  <c r="E31" i="55"/>
  <c r="F31" i="55"/>
  <c r="G31" i="55"/>
  <c r="H31" i="55"/>
  <c r="I31" i="55"/>
  <c r="J31" i="55"/>
  <c r="K31" i="55"/>
  <c r="L31" i="55"/>
  <c r="M31" i="55"/>
  <c r="N31" i="55"/>
  <c r="C31" i="55"/>
  <c r="D18" i="55"/>
  <c r="E18" i="55"/>
  <c r="F18" i="55"/>
  <c r="G18" i="55"/>
  <c r="H18" i="55"/>
  <c r="I18" i="55"/>
  <c r="J18" i="55"/>
  <c r="K18" i="55"/>
  <c r="L18" i="55"/>
  <c r="M18" i="55"/>
  <c r="N18" i="55"/>
  <c r="O18" i="55"/>
  <c r="P18" i="55"/>
  <c r="Q18" i="55"/>
  <c r="R18" i="55"/>
  <c r="S18" i="55"/>
  <c r="C18" i="55"/>
  <c r="D38" i="55"/>
  <c r="E38" i="55"/>
  <c r="F38" i="55"/>
  <c r="G38" i="55"/>
  <c r="H38" i="55"/>
  <c r="I38" i="55"/>
  <c r="J38" i="55"/>
  <c r="K38" i="55"/>
  <c r="L38" i="55"/>
  <c r="M38" i="55"/>
  <c r="N38" i="55"/>
  <c r="O38" i="55"/>
  <c r="P38" i="55"/>
  <c r="Q38" i="55"/>
  <c r="R38" i="55"/>
  <c r="S38" i="55"/>
  <c r="T38" i="55"/>
  <c r="C38" i="55"/>
  <c r="D32" i="55"/>
  <c r="E32" i="55"/>
  <c r="F32" i="55"/>
  <c r="G32" i="55"/>
  <c r="H32" i="55"/>
  <c r="I32" i="55"/>
  <c r="J32" i="55"/>
  <c r="K32" i="55"/>
  <c r="L32" i="55"/>
  <c r="M32" i="55"/>
  <c r="N32" i="55"/>
  <c r="O32" i="55"/>
  <c r="P32" i="55"/>
  <c r="Q32" i="55"/>
  <c r="R32" i="55"/>
  <c r="S32" i="55"/>
  <c r="T32" i="55"/>
  <c r="U32" i="55"/>
  <c r="C32" i="55"/>
  <c r="D25" i="55"/>
  <c r="E25" i="55"/>
  <c r="F25" i="55"/>
  <c r="G25" i="55"/>
  <c r="H25" i="55"/>
  <c r="I25" i="55"/>
  <c r="J25" i="55"/>
  <c r="K25" i="55"/>
  <c r="L25" i="55"/>
  <c r="M25" i="55"/>
  <c r="N25" i="55"/>
  <c r="O25" i="55"/>
  <c r="P25" i="55"/>
  <c r="Q25" i="55"/>
  <c r="R25" i="55"/>
  <c r="S25" i="55"/>
  <c r="T25" i="55"/>
  <c r="U25" i="55"/>
  <c r="C25" i="55"/>
  <c r="D19" i="55"/>
  <c r="E19" i="55"/>
  <c r="F19" i="55"/>
  <c r="G19" i="55"/>
  <c r="H19" i="55"/>
  <c r="I19" i="55"/>
  <c r="J19" i="55"/>
  <c r="K19" i="55"/>
  <c r="L19" i="55"/>
  <c r="M19" i="55"/>
  <c r="N19" i="55"/>
  <c r="O19" i="55"/>
  <c r="P19" i="55"/>
  <c r="Q19" i="55"/>
  <c r="R19" i="55"/>
  <c r="S19" i="55"/>
  <c r="T19" i="55"/>
  <c r="C19" i="55"/>
  <c r="D13" i="55"/>
  <c r="E13" i="55"/>
  <c r="F13" i="55"/>
  <c r="G13" i="55"/>
  <c r="H13" i="55"/>
  <c r="I13" i="55"/>
  <c r="J13" i="55"/>
  <c r="K13" i="55"/>
  <c r="L13" i="55"/>
  <c r="M13" i="55"/>
  <c r="N13" i="55"/>
  <c r="O13" i="55"/>
  <c r="P13" i="55"/>
  <c r="Q13" i="55"/>
  <c r="R13" i="55"/>
  <c r="S13" i="55"/>
  <c r="T13" i="55"/>
  <c r="U13" i="55"/>
  <c r="C13" i="55"/>
  <c r="D7" i="55"/>
  <c r="E7" i="55"/>
  <c r="F7" i="55"/>
  <c r="G7" i="55"/>
  <c r="H7" i="55"/>
  <c r="I7" i="55"/>
  <c r="J7" i="55"/>
  <c r="K7" i="55"/>
  <c r="L7" i="55"/>
  <c r="M7" i="55"/>
  <c r="N7" i="55"/>
  <c r="O7" i="55"/>
  <c r="P7" i="55"/>
  <c r="Q7" i="55"/>
  <c r="R7" i="55"/>
  <c r="S7" i="55"/>
  <c r="T7" i="55"/>
  <c r="U7" i="55"/>
  <c r="C7" i="55"/>
  <c r="O1552" i="67" l="1"/>
  <c r="O1398" i="67"/>
  <c r="AE74" i="70"/>
  <c r="AE58" i="70"/>
  <c r="AM21" i="70"/>
  <c r="AN10" i="50"/>
  <c r="AH10" i="50"/>
  <c r="AA1062" i="67"/>
  <c r="AA1391" i="67"/>
  <c r="AA1405" i="67"/>
  <c r="AA1423" i="67"/>
  <c r="AA1543" i="67"/>
  <c r="AA1559" i="67"/>
  <c r="AA1046" i="67"/>
  <c r="AA1111" i="67"/>
  <c r="AA960" i="67"/>
  <c r="AA1197" i="67"/>
  <c r="AA942" i="67"/>
  <c r="AA1079" i="67"/>
  <c r="AA1213" i="67"/>
  <c r="AA928" i="67"/>
  <c r="AA1093" i="67"/>
  <c r="AA791" i="67"/>
  <c r="Z1062" i="67"/>
  <c r="Z1391" i="67"/>
  <c r="Z1405" i="67"/>
  <c r="Z1423" i="67"/>
  <c r="Z1543" i="67"/>
  <c r="Z1559" i="67"/>
  <c r="Z960" i="67"/>
  <c r="Z1197" i="67"/>
  <c r="Z942" i="67"/>
  <c r="Z1079" i="67"/>
  <c r="Z1213" i="67"/>
  <c r="Z1046" i="67"/>
  <c r="Z1093" i="67"/>
  <c r="Z928" i="67"/>
  <c r="Z1111" i="67"/>
  <c r="Z791" i="67"/>
  <c r="Z651" i="67"/>
  <c r="Z194" i="67"/>
  <c r="Z347" i="67"/>
  <c r="Z802" i="67"/>
  <c r="Z499" i="67"/>
  <c r="Z41" i="67"/>
  <c r="AB165" i="65"/>
  <c r="AB177" i="65" s="1"/>
  <c r="V957" i="67"/>
  <c r="V351" i="67"/>
  <c r="V806" i="67"/>
  <c r="V655" i="67"/>
  <c r="V503" i="67"/>
  <c r="V45" i="67"/>
  <c r="V198" i="67"/>
  <c r="AA957" i="67"/>
  <c r="AA351" i="67"/>
  <c r="AA806" i="67"/>
  <c r="AA198" i="67"/>
  <c r="AA503" i="67"/>
  <c r="AA655" i="67"/>
  <c r="AA45" i="67"/>
  <c r="X1059" i="67"/>
  <c r="X908" i="67"/>
  <c r="X453" i="67"/>
  <c r="X757" i="67"/>
  <c r="X605" i="67"/>
  <c r="X300" i="67"/>
  <c r="X147" i="67"/>
  <c r="M924" i="67"/>
  <c r="M773" i="67"/>
  <c r="M318" i="67"/>
  <c r="M622" i="67"/>
  <c r="M12" i="67"/>
  <c r="M165" i="67"/>
  <c r="O1059" i="67"/>
  <c r="O908" i="67"/>
  <c r="O453" i="67"/>
  <c r="O757" i="67"/>
  <c r="O300" i="67"/>
  <c r="O147" i="67"/>
  <c r="O605" i="67"/>
  <c r="AS925" i="67"/>
  <c r="AS319" i="67"/>
  <c r="AS623" i="67"/>
  <c r="AS774" i="67"/>
  <c r="AS13" i="67"/>
  <c r="AS166" i="67"/>
  <c r="N924" i="67"/>
  <c r="N622" i="67"/>
  <c r="N318" i="67"/>
  <c r="N773" i="67"/>
  <c r="N12" i="67"/>
  <c r="N165" i="67"/>
  <c r="Y1059" i="67"/>
  <c r="Y453" i="67"/>
  <c r="Y757" i="67"/>
  <c r="Y908" i="67"/>
  <c r="Y605" i="67"/>
  <c r="Y300" i="67"/>
  <c r="Y147" i="67"/>
  <c r="Q925" i="67"/>
  <c r="Q319" i="67"/>
  <c r="Q774" i="67"/>
  <c r="Q623" i="67"/>
  <c r="Q166" i="67"/>
  <c r="Q13" i="67"/>
  <c r="L925" i="67"/>
  <c r="L774" i="67"/>
  <c r="L319" i="67"/>
  <c r="L623" i="67"/>
  <c r="L13" i="67"/>
  <c r="L166" i="67"/>
  <c r="AP1044" i="67"/>
  <c r="AP893" i="67"/>
  <c r="AP438" i="67"/>
  <c r="AP742" i="67"/>
  <c r="AP285" i="67"/>
  <c r="AP132" i="67"/>
  <c r="AP590" i="67"/>
  <c r="AO957" i="67"/>
  <c r="AO351" i="67"/>
  <c r="AO806" i="67"/>
  <c r="AO503" i="67"/>
  <c r="AO655" i="67"/>
  <c r="AO45" i="67"/>
  <c r="AO198" i="67"/>
  <c r="L956" i="67"/>
  <c r="L350" i="67"/>
  <c r="L805" i="67"/>
  <c r="L197" i="67"/>
  <c r="L654" i="67"/>
  <c r="L502" i="67"/>
  <c r="L44" i="67"/>
  <c r="AF22" i="68"/>
  <c r="E22" i="62" s="1"/>
  <c r="AQ1044" i="67"/>
  <c r="AQ893" i="67"/>
  <c r="AQ438" i="67"/>
  <c r="AQ742" i="67"/>
  <c r="AQ285" i="67"/>
  <c r="AQ132" i="67"/>
  <c r="AQ590" i="67"/>
  <c r="AN1044" i="67"/>
  <c r="AN893" i="67"/>
  <c r="AN438" i="67"/>
  <c r="AN742" i="67"/>
  <c r="AN285" i="67"/>
  <c r="AN132" i="67"/>
  <c r="AN590" i="67"/>
  <c r="AN165" i="65"/>
  <c r="AN177" i="65" s="1"/>
  <c r="AT10" i="36"/>
  <c r="AO10" i="50"/>
  <c r="U449" i="67"/>
  <c r="U143" i="67"/>
  <c r="U904" i="67"/>
  <c r="U601" i="67"/>
  <c r="U296" i="67"/>
  <c r="U753" i="67"/>
  <c r="AG940" i="67"/>
  <c r="AG638" i="67"/>
  <c r="AG334" i="67"/>
  <c r="AG789" i="67"/>
  <c r="AG486" i="67"/>
  <c r="AG28" i="67"/>
  <c r="AG181" i="67"/>
  <c r="BA15" i="68"/>
  <c r="Z16" i="62" s="1"/>
  <c r="T939" i="67"/>
  <c r="T333" i="67"/>
  <c r="T637" i="67"/>
  <c r="T788" i="67"/>
  <c r="T485" i="67"/>
  <c r="T27" i="67"/>
  <c r="T180" i="67"/>
  <c r="AH925" i="67"/>
  <c r="AH319" i="67"/>
  <c r="AH623" i="67"/>
  <c r="AH774" i="67"/>
  <c r="AH13" i="67"/>
  <c r="AH166" i="67"/>
  <c r="O924" i="67"/>
  <c r="O318" i="67"/>
  <c r="O622" i="67"/>
  <c r="O773" i="67"/>
  <c r="O12" i="67"/>
  <c r="O165" i="67"/>
  <c r="K925" i="67"/>
  <c r="K319" i="67"/>
  <c r="K623" i="67"/>
  <c r="K13" i="67"/>
  <c r="K774" i="67"/>
  <c r="K166" i="67"/>
  <c r="T1044" i="67"/>
  <c r="T438" i="67"/>
  <c r="T742" i="67"/>
  <c r="T893" i="67"/>
  <c r="T285" i="67"/>
  <c r="T590" i="67"/>
  <c r="T132" i="67"/>
  <c r="F165" i="65"/>
  <c r="F177" i="65" s="1"/>
  <c r="O619" i="67"/>
  <c r="O770" i="67"/>
  <c r="S939" i="67"/>
  <c r="S333" i="67"/>
  <c r="S485" i="67"/>
  <c r="S180" i="67"/>
  <c r="S637" i="67"/>
  <c r="S788" i="67"/>
  <c r="S27" i="67"/>
  <c r="AB1059" i="67"/>
  <c r="AB453" i="67"/>
  <c r="AB757" i="67"/>
  <c r="AB908" i="67"/>
  <c r="AB605" i="67"/>
  <c r="AB300" i="67"/>
  <c r="AB147" i="67"/>
  <c r="AY80" i="70"/>
  <c r="AY64" i="70"/>
  <c r="AP80" i="70"/>
  <c r="AP64" i="70"/>
  <c r="BC80" i="70"/>
  <c r="BC64" i="70"/>
  <c r="O165" i="65"/>
  <c r="O177" i="65" s="1"/>
  <c r="AE938" i="67"/>
  <c r="AE787" i="67"/>
  <c r="AE332" i="67"/>
  <c r="AE636" i="67"/>
  <c r="AE484" i="67"/>
  <c r="AE179" i="67"/>
  <c r="AE26" i="67"/>
  <c r="AY14" i="68"/>
  <c r="X15" i="62" s="1"/>
  <c r="Y1043" i="67"/>
  <c r="Y892" i="67"/>
  <c r="Y437" i="67"/>
  <c r="Y741" i="67"/>
  <c r="Y131" i="67"/>
  <c r="Y284" i="67"/>
  <c r="Y589" i="67"/>
  <c r="L1043" i="67"/>
  <c r="L437" i="67"/>
  <c r="L741" i="67"/>
  <c r="L892" i="67"/>
  <c r="L589" i="67"/>
  <c r="L131" i="67"/>
  <c r="L284" i="67"/>
  <c r="AD1042" i="67"/>
  <c r="AD436" i="67"/>
  <c r="AD891" i="67"/>
  <c r="AD588" i="67"/>
  <c r="AD130" i="67"/>
  <c r="AD740" i="67"/>
  <c r="AD283" i="67"/>
  <c r="Z1043" i="67"/>
  <c r="Z437" i="67"/>
  <c r="Z741" i="67"/>
  <c r="Z892" i="67"/>
  <c r="Z284" i="67"/>
  <c r="Z589" i="67"/>
  <c r="Z131" i="67"/>
  <c r="K938" i="67"/>
  <c r="K636" i="67"/>
  <c r="K332" i="67"/>
  <c r="K787" i="67"/>
  <c r="K484" i="67"/>
  <c r="K26" i="67"/>
  <c r="K179" i="67"/>
  <c r="AE14" i="68"/>
  <c r="D15" i="62" s="1"/>
  <c r="R956" i="67"/>
  <c r="R350" i="67"/>
  <c r="R805" i="67"/>
  <c r="R654" i="67"/>
  <c r="R502" i="67"/>
  <c r="R44" i="67"/>
  <c r="R197" i="67"/>
  <c r="AL22" i="68"/>
  <c r="K22" i="62" s="1"/>
  <c r="M1060" i="67"/>
  <c r="M454" i="67"/>
  <c r="M758" i="67"/>
  <c r="M909" i="67"/>
  <c r="M148" i="67"/>
  <c r="M606" i="67"/>
  <c r="M301" i="67"/>
  <c r="M926" i="67"/>
  <c r="M320" i="67"/>
  <c r="M624" i="67"/>
  <c r="M775" i="67"/>
  <c r="M472" i="67"/>
  <c r="M14" i="67"/>
  <c r="M167" i="67"/>
  <c r="AG8" i="68"/>
  <c r="F10" i="62" s="1"/>
  <c r="AC958" i="67"/>
  <c r="AC352" i="67"/>
  <c r="AC504" i="67"/>
  <c r="AC656" i="67"/>
  <c r="AC807" i="67"/>
  <c r="AC46" i="67"/>
  <c r="AC199" i="67"/>
  <c r="AW23" i="68"/>
  <c r="AS1060" i="67"/>
  <c r="AS454" i="67"/>
  <c r="AS758" i="67"/>
  <c r="AS909" i="67"/>
  <c r="AS148" i="67"/>
  <c r="AS606" i="67"/>
  <c r="AS301" i="67"/>
  <c r="AS926" i="67"/>
  <c r="AS320" i="67"/>
  <c r="AS624" i="67"/>
  <c r="AS775" i="67"/>
  <c r="AS472" i="67"/>
  <c r="AS14" i="67"/>
  <c r="AS167" i="67"/>
  <c r="BM8" i="68"/>
  <c r="AL10" i="62" s="1"/>
  <c r="AP958" i="67"/>
  <c r="AP352" i="67"/>
  <c r="AP656" i="67"/>
  <c r="AP807" i="67"/>
  <c r="AP504" i="67"/>
  <c r="AP46" i="67"/>
  <c r="AP199" i="67"/>
  <c r="BJ23" i="68"/>
  <c r="R1060" i="67"/>
  <c r="R909" i="67"/>
  <c r="R454" i="67"/>
  <c r="R758" i="67"/>
  <c r="R606" i="67"/>
  <c r="R301" i="67"/>
  <c r="R148" i="67"/>
  <c r="R926" i="67"/>
  <c r="R320" i="67"/>
  <c r="R775" i="67"/>
  <c r="R167" i="67"/>
  <c r="R624" i="67"/>
  <c r="R472" i="67"/>
  <c r="R14" i="67"/>
  <c r="AL8" i="68"/>
  <c r="K10" i="62" s="1"/>
  <c r="K1060" i="67"/>
  <c r="K758" i="67"/>
  <c r="K454" i="67"/>
  <c r="K909" i="67"/>
  <c r="K301" i="67"/>
  <c r="K606" i="67"/>
  <c r="K148" i="67"/>
  <c r="AA1060" i="67"/>
  <c r="AA758" i="67"/>
  <c r="AA909" i="67"/>
  <c r="AA454" i="67"/>
  <c r="AA301" i="67"/>
  <c r="AA148" i="67"/>
  <c r="AA606" i="67"/>
  <c r="AA926" i="67"/>
  <c r="AA775" i="67"/>
  <c r="AA320" i="67"/>
  <c r="AA624" i="67"/>
  <c r="AA472" i="67"/>
  <c r="AA14" i="67"/>
  <c r="AA167" i="67"/>
  <c r="AU8" i="68"/>
  <c r="T10" i="62" s="1"/>
  <c r="L958" i="67"/>
  <c r="L352" i="67"/>
  <c r="L656" i="67"/>
  <c r="L807" i="67"/>
  <c r="L504" i="67"/>
  <c r="L46" i="67"/>
  <c r="L199" i="67"/>
  <c r="AF23" i="68"/>
  <c r="AB1060" i="67"/>
  <c r="AB909" i="67"/>
  <c r="AB454" i="67"/>
  <c r="AB758" i="67"/>
  <c r="AB148" i="67"/>
  <c r="AB301" i="67"/>
  <c r="AB606" i="67"/>
  <c r="AB926" i="67"/>
  <c r="AB624" i="67"/>
  <c r="AB775" i="67"/>
  <c r="AB320" i="67"/>
  <c r="AB472" i="67"/>
  <c r="AB14" i="67"/>
  <c r="AB167" i="67"/>
  <c r="AV8" i="68"/>
  <c r="U10" i="62" s="1"/>
  <c r="AR958" i="67"/>
  <c r="AR352" i="67"/>
  <c r="AR656" i="67"/>
  <c r="AR807" i="67"/>
  <c r="AR504" i="67"/>
  <c r="AR46" i="67"/>
  <c r="AR199" i="67"/>
  <c r="BL23" i="68"/>
  <c r="AV938" i="67"/>
  <c r="AV332" i="67"/>
  <c r="AV787" i="67"/>
  <c r="AV636" i="67"/>
  <c r="AV484" i="67"/>
  <c r="AV26" i="67"/>
  <c r="AV179" i="67"/>
  <c r="BP14" i="68"/>
  <c r="AO15" i="62" s="1"/>
  <c r="AR939" i="67"/>
  <c r="AR333" i="67"/>
  <c r="AR485" i="67"/>
  <c r="AR637" i="67"/>
  <c r="AR788" i="67"/>
  <c r="AR27" i="67"/>
  <c r="AR180" i="67"/>
  <c r="AO939" i="67"/>
  <c r="AO333" i="67"/>
  <c r="AO788" i="67"/>
  <c r="AO180" i="67"/>
  <c r="AO485" i="67"/>
  <c r="AO637" i="67"/>
  <c r="AO27" i="67"/>
  <c r="AT938" i="67"/>
  <c r="AT332" i="67"/>
  <c r="AT787" i="67"/>
  <c r="AT179" i="67"/>
  <c r="AT484" i="67"/>
  <c r="AT636" i="67"/>
  <c r="AT26" i="67"/>
  <c r="BN14" i="68"/>
  <c r="AM15" i="62" s="1"/>
  <c r="AJ938" i="67"/>
  <c r="AJ332" i="67"/>
  <c r="AJ787" i="67"/>
  <c r="AJ484" i="67"/>
  <c r="AJ636" i="67"/>
  <c r="AJ26" i="67"/>
  <c r="AJ179" i="67"/>
  <c r="BD14" i="68"/>
  <c r="AC15" i="62" s="1"/>
  <c r="W938" i="67"/>
  <c r="W787" i="67"/>
  <c r="W332" i="67"/>
  <c r="W636" i="67"/>
  <c r="W26" i="67"/>
  <c r="W484" i="67"/>
  <c r="W179" i="67"/>
  <c r="AQ14" i="68"/>
  <c r="P15" i="62" s="1"/>
  <c r="AU957" i="67"/>
  <c r="AU351" i="67"/>
  <c r="AU655" i="67"/>
  <c r="AU503" i="67"/>
  <c r="AU45" i="67"/>
  <c r="AU806" i="67"/>
  <c r="AU198" i="67"/>
  <c r="L938" i="67"/>
  <c r="L787" i="67"/>
  <c r="L332" i="67"/>
  <c r="L636" i="67"/>
  <c r="L484" i="67"/>
  <c r="L26" i="67"/>
  <c r="L179" i="67"/>
  <c r="AF14" i="68"/>
  <c r="E15" i="62" s="1"/>
  <c r="AM1058" i="67"/>
  <c r="AM756" i="67"/>
  <c r="AM907" i="67"/>
  <c r="AM452" i="67"/>
  <c r="AM299" i="67"/>
  <c r="AM146" i="67"/>
  <c r="AM604" i="67"/>
  <c r="AM924" i="67"/>
  <c r="AM318" i="67"/>
  <c r="AM622" i="67"/>
  <c r="AM773" i="67"/>
  <c r="AM12" i="67"/>
  <c r="AM165" i="67"/>
  <c r="R1059" i="67"/>
  <c r="R908" i="67"/>
  <c r="R453" i="67"/>
  <c r="R757" i="67"/>
  <c r="R147" i="67"/>
  <c r="R300" i="67"/>
  <c r="R605" i="67"/>
  <c r="R925" i="67"/>
  <c r="R319" i="67"/>
  <c r="R623" i="67"/>
  <c r="R774" i="67"/>
  <c r="R13" i="67"/>
  <c r="R166" i="67"/>
  <c r="AK926" i="67"/>
  <c r="AK320" i="67"/>
  <c r="AK472" i="67"/>
  <c r="AK624" i="67"/>
  <c r="AK775" i="67"/>
  <c r="AK14" i="67"/>
  <c r="AK167" i="67"/>
  <c r="BE8" i="68"/>
  <c r="AD10" i="62" s="1"/>
  <c r="AU1060" i="67"/>
  <c r="AU909" i="67"/>
  <c r="AU454" i="67"/>
  <c r="AU758" i="67"/>
  <c r="AU148" i="67"/>
  <c r="AU606" i="67"/>
  <c r="AU301" i="67"/>
  <c r="AU926" i="67"/>
  <c r="AU320" i="67"/>
  <c r="AU624" i="67"/>
  <c r="AU775" i="67"/>
  <c r="AU472" i="67"/>
  <c r="AU14" i="67"/>
  <c r="AU167" i="67"/>
  <c r="BO8" i="68"/>
  <c r="AN10" i="62" s="1"/>
  <c r="S958" i="67"/>
  <c r="S352" i="67"/>
  <c r="S807" i="67"/>
  <c r="S656" i="67"/>
  <c r="S504" i="67"/>
  <c r="S46" i="67"/>
  <c r="S199" i="67"/>
  <c r="AM23" i="68"/>
  <c r="AJ1060" i="67"/>
  <c r="AJ909" i="67"/>
  <c r="AJ454" i="67"/>
  <c r="AJ758" i="67"/>
  <c r="AJ606" i="67"/>
  <c r="AJ148" i="67"/>
  <c r="AJ301" i="67"/>
  <c r="AJ926" i="67"/>
  <c r="AJ320" i="67"/>
  <c r="AJ624" i="67"/>
  <c r="AJ775" i="67"/>
  <c r="AJ472" i="67"/>
  <c r="AJ14" i="67"/>
  <c r="AJ167" i="67"/>
  <c r="BD8" i="68"/>
  <c r="AC10" i="62" s="1"/>
  <c r="AQ958" i="67"/>
  <c r="AQ352" i="67"/>
  <c r="AQ807" i="67"/>
  <c r="AQ656" i="67"/>
  <c r="AQ199" i="67"/>
  <c r="AQ504" i="67"/>
  <c r="AQ46" i="67"/>
  <c r="BK23" i="68"/>
  <c r="L165" i="65"/>
  <c r="L177" i="65" s="1"/>
  <c r="AT80" i="70"/>
  <c r="AT64" i="70"/>
  <c r="Y499" i="67"/>
  <c r="Y41" i="67"/>
  <c r="Y651" i="67"/>
  <c r="Y194" i="67"/>
  <c r="Y347" i="67"/>
  <c r="Y802" i="67"/>
  <c r="BF80" i="70"/>
  <c r="BF64" i="70"/>
  <c r="AL1060" i="67"/>
  <c r="AL454" i="67"/>
  <c r="AL758" i="67"/>
  <c r="AL909" i="67"/>
  <c r="AL606" i="67"/>
  <c r="AL301" i="67"/>
  <c r="AL148" i="67"/>
  <c r="AL926" i="67"/>
  <c r="AL320" i="67"/>
  <c r="AL624" i="67"/>
  <c r="AL14" i="67"/>
  <c r="AL775" i="67"/>
  <c r="AL472" i="67"/>
  <c r="AL167" i="67"/>
  <c r="BF8" i="68"/>
  <c r="AE10" i="62" s="1"/>
  <c r="AN958" i="67"/>
  <c r="AN352" i="67"/>
  <c r="AN656" i="67"/>
  <c r="AN807" i="67"/>
  <c r="AN504" i="67"/>
  <c r="AN46" i="67"/>
  <c r="AN199" i="67"/>
  <c r="BH23" i="68"/>
  <c r="AG165" i="65"/>
  <c r="AG177" i="65" s="1"/>
  <c r="N165" i="65"/>
  <c r="N177" i="65" s="1"/>
  <c r="U802" i="67"/>
  <c r="U194" i="67"/>
  <c r="U347" i="67"/>
  <c r="U651" i="67"/>
  <c r="U499" i="67"/>
  <c r="U41" i="67"/>
  <c r="BK80" i="70"/>
  <c r="BK64" i="70"/>
  <c r="L651" i="67"/>
  <c r="L194" i="67"/>
  <c r="L802" i="67"/>
  <c r="L499" i="67"/>
  <c r="L347" i="67"/>
  <c r="L41" i="67"/>
  <c r="P939" i="67"/>
  <c r="P333" i="67"/>
  <c r="P788" i="67"/>
  <c r="P637" i="67"/>
  <c r="P485" i="67"/>
  <c r="P27" i="67"/>
  <c r="P180" i="67"/>
  <c r="AE1059" i="67"/>
  <c r="AE908" i="67"/>
  <c r="AE453" i="67"/>
  <c r="AE757" i="67"/>
  <c r="AE300" i="67"/>
  <c r="AE147" i="67"/>
  <c r="AE605" i="67"/>
  <c r="AE925" i="67"/>
  <c r="AE319" i="67"/>
  <c r="AE774" i="67"/>
  <c r="AE166" i="67"/>
  <c r="AE623" i="67"/>
  <c r="AE13" i="67"/>
  <c r="AG1043" i="67"/>
  <c r="AG892" i="67"/>
  <c r="AG437" i="67"/>
  <c r="AG741" i="67"/>
  <c r="AG284" i="67"/>
  <c r="AG131" i="67"/>
  <c r="AG589" i="67"/>
  <c r="AB956" i="67"/>
  <c r="AB350" i="67"/>
  <c r="AB805" i="67"/>
  <c r="AB197" i="67"/>
  <c r="AB654" i="67"/>
  <c r="AB502" i="67"/>
  <c r="AB44" i="67"/>
  <c r="AV22" i="68"/>
  <c r="U22" i="62" s="1"/>
  <c r="AL939" i="67"/>
  <c r="AL637" i="67"/>
  <c r="AL333" i="67"/>
  <c r="AL788" i="67"/>
  <c r="AL485" i="67"/>
  <c r="AL27" i="67"/>
  <c r="AL180" i="67"/>
  <c r="AP938" i="67"/>
  <c r="AP332" i="67"/>
  <c r="AP636" i="67"/>
  <c r="AP26" i="67"/>
  <c r="AP787" i="67"/>
  <c r="AP484" i="67"/>
  <c r="AP179" i="67"/>
  <c r="BJ14" i="68"/>
  <c r="AI15" i="62" s="1"/>
  <c r="T938" i="67"/>
  <c r="T332" i="67"/>
  <c r="T484" i="67"/>
  <c r="T636" i="67"/>
  <c r="T787" i="67"/>
  <c r="T26" i="67"/>
  <c r="T179" i="67"/>
  <c r="AN14" i="68"/>
  <c r="M15" i="62" s="1"/>
  <c r="AR938" i="67"/>
  <c r="AR332" i="67"/>
  <c r="AR787" i="67"/>
  <c r="AR636" i="67"/>
  <c r="AR484" i="67"/>
  <c r="AR26" i="67"/>
  <c r="AR179" i="67"/>
  <c r="BL14" i="68"/>
  <c r="AK15" i="62" s="1"/>
  <c r="AT939" i="67"/>
  <c r="AT333" i="67"/>
  <c r="AT637" i="67"/>
  <c r="AT788" i="67"/>
  <c r="AT485" i="67"/>
  <c r="AT27" i="67"/>
  <c r="AT180" i="67"/>
  <c r="AQ957" i="67"/>
  <c r="AQ351" i="67"/>
  <c r="AQ655" i="67"/>
  <c r="AQ198" i="67"/>
  <c r="AQ503" i="67"/>
  <c r="AQ806" i="67"/>
  <c r="AQ45" i="67"/>
  <c r="AS938" i="67"/>
  <c r="AS332" i="67"/>
  <c r="AS636" i="67"/>
  <c r="AS787" i="67"/>
  <c r="AS484" i="67"/>
  <c r="AS26" i="67"/>
  <c r="AS179" i="67"/>
  <c r="BM14" i="68"/>
  <c r="AL15" i="62" s="1"/>
  <c r="AN939" i="67"/>
  <c r="AN333" i="67"/>
  <c r="AN788" i="67"/>
  <c r="AN485" i="67"/>
  <c r="AN637" i="67"/>
  <c r="AN27" i="67"/>
  <c r="AN180" i="67"/>
  <c r="Y938" i="67"/>
  <c r="Y332" i="67"/>
  <c r="Y787" i="67"/>
  <c r="Y636" i="67"/>
  <c r="Y484" i="67"/>
  <c r="Y26" i="67"/>
  <c r="Y179" i="67"/>
  <c r="AS14" i="68"/>
  <c r="R15" i="62" s="1"/>
  <c r="AI938" i="67"/>
  <c r="AI332" i="67"/>
  <c r="AI636" i="67"/>
  <c r="AI787" i="67"/>
  <c r="AI484" i="67"/>
  <c r="AI26" i="67"/>
  <c r="AI179" i="67"/>
  <c r="BC14" i="68"/>
  <c r="AB15" i="62" s="1"/>
  <c r="AK938" i="67"/>
  <c r="AK332" i="67"/>
  <c r="AK484" i="67"/>
  <c r="AK636" i="67"/>
  <c r="AK787" i="67"/>
  <c r="AK26" i="67"/>
  <c r="AK179" i="67"/>
  <c r="BE14" i="68"/>
  <c r="AD15" i="62" s="1"/>
  <c r="AF1059" i="67"/>
  <c r="AF908" i="67"/>
  <c r="AF453" i="67"/>
  <c r="AF757" i="67"/>
  <c r="AF605" i="67"/>
  <c r="AF300" i="67"/>
  <c r="AF147" i="67"/>
  <c r="AF925" i="67"/>
  <c r="AF623" i="67"/>
  <c r="AF319" i="67"/>
  <c r="AF774" i="67"/>
  <c r="AF166" i="67"/>
  <c r="AF13" i="67"/>
  <c r="Q958" i="67"/>
  <c r="Q352" i="67"/>
  <c r="Q807" i="67"/>
  <c r="Q656" i="67"/>
  <c r="Q504" i="67"/>
  <c r="Q46" i="67"/>
  <c r="Q199" i="67"/>
  <c r="AK23" i="68"/>
  <c r="AG1060" i="67"/>
  <c r="AG454" i="67"/>
  <c r="AG909" i="67"/>
  <c r="AG758" i="67"/>
  <c r="AG606" i="67"/>
  <c r="AG301" i="67"/>
  <c r="AG148" i="67"/>
  <c r="AG926" i="67"/>
  <c r="AG320" i="67"/>
  <c r="AG775" i="67"/>
  <c r="AG472" i="67"/>
  <c r="AG624" i="67"/>
  <c r="AG14" i="67"/>
  <c r="AG167" i="67"/>
  <c r="BA8" i="68"/>
  <c r="Z10" i="62" s="1"/>
  <c r="AW1044" i="67"/>
  <c r="AW893" i="67"/>
  <c r="AW438" i="67"/>
  <c r="AW742" i="67"/>
  <c r="AW590" i="67"/>
  <c r="AW285" i="67"/>
  <c r="AW132" i="67"/>
  <c r="AT1060" i="67"/>
  <c r="AT758" i="67"/>
  <c r="AT454" i="67"/>
  <c r="AT909" i="67"/>
  <c r="AT606" i="67"/>
  <c r="AT301" i="67"/>
  <c r="AT148" i="67"/>
  <c r="AT926" i="67"/>
  <c r="AT320" i="67"/>
  <c r="AT472" i="67"/>
  <c r="AT624" i="67"/>
  <c r="AT14" i="67"/>
  <c r="AT775" i="67"/>
  <c r="AT167" i="67"/>
  <c r="BN8" i="68"/>
  <c r="AM10" i="62" s="1"/>
  <c r="V958" i="67"/>
  <c r="V352" i="67"/>
  <c r="V656" i="67"/>
  <c r="V199" i="67"/>
  <c r="V504" i="67"/>
  <c r="V807" i="67"/>
  <c r="V46" i="67"/>
  <c r="AP23" i="68"/>
  <c r="O1060" i="67"/>
  <c r="O909" i="67"/>
  <c r="O454" i="67"/>
  <c r="O758" i="67"/>
  <c r="O148" i="67"/>
  <c r="O606" i="67"/>
  <c r="O301" i="67"/>
  <c r="O926" i="67"/>
  <c r="O320" i="67"/>
  <c r="O624" i="67"/>
  <c r="O775" i="67"/>
  <c r="O14" i="67"/>
  <c r="O167" i="67"/>
  <c r="O472" i="67"/>
  <c r="AI8" i="68"/>
  <c r="H10" i="62" s="1"/>
  <c r="AE958" i="67"/>
  <c r="AE352" i="67"/>
  <c r="AE656" i="67"/>
  <c r="AE807" i="67"/>
  <c r="AE504" i="67"/>
  <c r="AE46" i="67"/>
  <c r="AE199" i="67"/>
  <c r="AY23" i="68"/>
  <c r="P1060" i="67"/>
  <c r="P758" i="67"/>
  <c r="P454" i="67"/>
  <c r="P909" i="67"/>
  <c r="P301" i="67"/>
  <c r="P606" i="67"/>
  <c r="P148" i="67"/>
  <c r="P926" i="67"/>
  <c r="P775" i="67"/>
  <c r="P320" i="67"/>
  <c r="P624" i="67"/>
  <c r="P472" i="67"/>
  <c r="P14" i="67"/>
  <c r="P167" i="67"/>
  <c r="AJ8" i="68"/>
  <c r="I10" i="62" s="1"/>
  <c r="AF958" i="67"/>
  <c r="AF352" i="67"/>
  <c r="AF807" i="67"/>
  <c r="AF656" i="67"/>
  <c r="AF504" i="67"/>
  <c r="AF46" i="67"/>
  <c r="AF199" i="67"/>
  <c r="AZ23" i="68"/>
  <c r="AV1060" i="67"/>
  <c r="AV758" i="67"/>
  <c r="AV454" i="67"/>
  <c r="AV909" i="67"/>
  <c r="AV301" i="67"/>
  <c r="AV606" i="67"/>
  <c r="AV148" i="67"/>
  <c r="AV926" i="67"/>
  <c r="AV775" i="67"/>
  <c r="AV320" i="67"/>
  <c r="AV624" i="67"/>
  <c r="AV167" i="67"/>
  <c r="AV472" i="67"/>
  <c r="AV14" i="67"/>
  <c r="BP8" i="68"/>
  <c r="AO10" i="62" s="1"/>
  <c r="AL1058" i="67"/>
  <c r="AL907" i="67"/>
  <c r="AL452" i="67"/>
  <c r="AL756" i="67"/>
  <c r="AL604" i="67"/>
  <c r="AL299" i="67"/>
  <c r="AL146" i="67"/>
  <c r="AL924" i="67"/>
  <c r="AL318" i="67"/>
  <c r="AL773" i="67"/>
  <c r="AL622" i="67"/>
  <c r="AL165" i="67"/>
  <c r="AL12" i="67"/>
  <c r="T1043" i="67"/>
  <c r="T741" i="67"/>
  <c r="T437" i="67"/>
  <c r="T892" i="67"/>
  <c r="T589" i="67"/>
  <c r="T131" i="67"/>
  <c r="T284" i="67"/>
  <c r="T925" i="67"/>
  <c r="T774" i="67"/>
  <c r="T319" i="67"/>
  <c r="T623" i="67"/>
  <c r="T13" i="67"/>
  <c r="T166" i="67"/>
  <c r="AH1043" i="67"/>
  <c r="AH741" i="67"/>
  <c r="AH437" i="67"/>
  <c r="AH892" i="67"/>
  <c r="AH284" i="67"/>
  <c r="AH589" i="67"/>
  <c r="AH131" i="67"/>
  <c r="O1042" i="67"/>
  <c r="O436" i="67"/>
  <c r="O891" i="67"/>
  <c r="O588" i="67"/>
  <c r="O130" i="67"/>
  <c r="O740" i="67"/>
  <c r="O283" i="67"/>
  <c r="AN1042" i="67"/>
  <c r="AN436" i="67"/>
  <c r="AN891" i="67"/>
  <c r="AN588" i="67"/>
  <c r="AN740" i="67"/>
  <c r="AN130" i="67"/>
  <c r="AN283" i="67"/>
  <c r="Z1042" i="67"/>
  <c r="Z436" i="67"/>
  <c r="Z891" i="67"/>
  <c r="Z588" i="67"/>
  <c r="Z130" i="67"/>
  <c r="Z740" i="67"/>
  <c r="Z283" i="67"/>
  <c r="K939" i="67"/>
  <c r="K333" i="67"/>
  <c r="K788" i="67"/>
  <c r="K637" i="67"/>
  <c r="K485" i="67"/>
  <c r="K27" i="67"/>
  <c r="K180" i="67"/>
  <c r="U1060" i="67"/>
  <c r="U758" i="67"/>
  <c r="U909" i="67"/>
  <c r="U454" i="67"/>
  <c r="U301" i="67"/>
  <c r="U148" i="67"/>
  <c r="U606" i="67"/>
  <c r="U958" i="67"/>
  <c r="U352" i="67"/>
  <c r="U656" i="67"/>
  <c r="U807" i="67"/>
  <c r="U504" i="67"/>
  <c r="U46" i="67"/>
  <c r="U199" i="67"/>
  <c r="AO23" i="68"/>
  <c r="Z958" i="67"/>
  <c r="Z352" i="67"/>
  <c r="Z656" i="67"/>
  <c r="Z504" i="67"/>
  <c r="Z46" i="67"/>
  <c r="Z807" i="67"/>
  <c r="Z199" i="67"/>
  <c r="AT23" i="68"/>
  <c r="AD1060" i="67"/>
  <c r="AD758" i="67"/>
  <c r="AD454" i="67"/>
  <c r="AD909" i="67"/>
  <c r="AD606" i="67"/>
  <c r="AD301" i="67"/>
  <c r="AD148" i="67"/>
  <c r="AD926" i="67"/>
  <c r="AD320" i="67"/>
  <c r="AD472" i="67"/>
  <c r="AD624" i="67"/>
  <c r="AD14" i="67"/>
  <c r="AD775" i="67"/>
  <c r="AD167" i="67"/>
  <c r="AX8" i="68"/>
  <c r="W10" i="62" s="1"/>
  <c r="T958" i="67"/>
  <c r="T352" i="67"/>
  <c r="T199" i="67"/>
  <c r="T656" i="67"/>
  <c r="T807" i="67"/>
  <c r="T504" i="67"/>
  <c r="T46" i="67"/>
  <c r="AN23" i="68"/>
  <c r="AC165" i="65"/>
  <c r="AC177" i="65" s="1"/>
  <c r="BA80" i="70"/>
  <c r="BA64" i="70"/>
  <c r="W1044" i="67"/>
  <c r="W742" i="67"/>
  <c r="W438" i="67"/>
  <c r="W893" i="67"/>
  <c r="W285" i="67"/>
  <c r="W590" i="67"/>
  <c r="W132" i="67"/>
  <c r="AD81" i="70"/>
  <c r="AD65" i="70"/>
  <c r="P165" i="65"/>
  <c r="P177" i="65" s="1"/>
  <c r="BL80" i="70"/>
  <c r="BL64" i="70"/>
  <c r="AD80" i="70"/>
  <c r="AD64" i="70"/>
  <c r="O194" i="67"/>
  <c r="O347" i="67"/>
  <c r="O651" i="67"/>
  <c r="O802" i="67"/>
  <c r="O499" i="67"/>
  <c r="O41" i="67"/>
  <c r="S956" i="67"/>
  <c r="S350" i="67"/>
  <c r="S805" i="67"/>
  <c r="S502" i="67"/>
  <c r="S654" i="67"/>
  <c r="S44" i="67"/>
  <c r="S197" i="67"/>
  <c r="AM22" i="68"/>
  <c r="L22" i="62" s="1"/>
  <c r="U938" i="67"/>
  <c r="U332" i="67"/>
  <c r="U484" i="67"/>
  <c r="U636" i="67"/>
  <c r="U787" i="67"/>
  <c r="U26" i="67"/>
  <c r="U179" i="67"/>
  <c r="AO14" i="68"/>
  <c r="N15" i="62" s="1"/>
  <c r="X956" i="67"/>
  <c r="X350" i="67"/>
  <c r="X502" i="67"/>
  <c r="X654" i="67"/>
  <c r="X44" i="67"/>
  <c r="X805" i="67"/>
  <c r="X197" i="67"/>
  <c r="AR22" i="68"/>
  <c r="Q22" i="62" s="1"/>
  <c r="Q938" i="67"/>
  <c r="Q332" i="67"/>
  <c r="Q787" i="67"/>
  <c r="Q484" i="67"/>
  <c r="Q636" i="67"/>
  <c r="Q26" i="67"/>
  <c r="Q179" i="67"/>
  <c r="AK14" i="68"/>
  <c r="J15" i="62" s="1"/>
  <c r="AI1060" i="67"/>
  <c r="AI454" i="67"/>
  <c r="AI758" i="67"/>
  <c r="AI909" i="67"/>
  <c r="AI606" i="67"/>
  <c r="AI301" i="67"/>
  <c r="AI148" i="67"/>
  <c r="AI926" i="67"/>
  <c r="AI775" i="67"/>
  <c r="AI320" i="67"/>
  <c r="AI624" i="67"/>
  <c r="AI167" i="67"/>
  <c r="AI472" i="67"/>
  <c r="AI14" i="67"/>
  <c r="BC8" i="68"/>
  <c r="AB10" i="62" s="1"/>
  <c r="V1058" i="67"/>
  <c r="V907" i="67"/>
  <c r="V452" i="67"/>
  <c r="V756" i="67"/>
  <c r="V604" i="67"/>
  <c r="V299" i="67"/>
  <c r="V146" i="67"/>
  <c r="V924" i="67"/>
  <c r="V318" i="67"/>
  <c r="V165" i="67"/>
  <c r="V622" i="67"/>
  <c r="V773" i="67"/>
  <c r="V12" i="67"/>
  <c r="S1059" i="67"/>
  <c r="S453" i="67"/>
  <c r="S757" i="67"/>
  <c r="S908" i="67"/>
  <c r="S147" i="67"/>
  <c r="S605" i="67"/>
  <c r="S300" i="67"/>
  <c r="S925" i="67"/>
  <c r="S319" i="67"/>
  <c r="S623" i="67"/>
  <c r="S13" i="67"/>
  <c r="S774" i="67"/>
  <c r="S166" i="67"/>
  <c r="P1058" i="67"/>
  <c r="P907" i="67"/>
  <c r="P452" i="67"/>
  <c r="P756" i="67"/>
  <c r="P604" i="67"/>
  <c r="P146" i="67"/>
  <c r="P299" i="67"/>
  <c r="P924" i="67"/>
  <c r="P318" i="67"/>
  <c r="P773" i="67"/>
  <c r="P165" i="67"/>
  <c r="P622" i="67"/>
  <c r="P12" i="67"/>
  <c r="AG1058" i="67"/>
  <c r="AG756" i="67"/>
  <c r="AG907" i="67"/>
  <c r="AG452" i="67"/>
  <c r="AG299" i="67"/>
  <c r="AG146" i="67"/>
  <c r="AG604" i="67"/>
  <c r="AG956" i="67"/>
  <c r="AG350" i="67"/>
  <c r="AG654" i="67"/>
  <c r="AG805" i="67"/>
  <c r="AG502" i="67"/>
  <c r="AG44" i="67"/>
  <c r="AG197" i="67"/>
  <c r="BA22" i="68"/>
  <c r="Z22" i="62" s="1"/>
  <c r="AV1043" i="67"/>
  <c r="AV892" i="67"/>
  <c r="AV437" i="67"/>
  <c r="AV741" i="67"/>
  <c r="AV284" i="67"/>
  <c r="AV131" i="67"/>
  <c r="AV589" i="67"/>
  <c r="AB957" i="67"/>
  <c r="AB351" i="67"/>
  <c r="AB806" i="67"/>
  <c r="AB655" i="67"/>
  <c r="AB503" i="67"/>
  <c r="AB198" i="67"/>
  <c r="AB45" i="67"/>
  <c r="AP957" i="67"/>
  <c r="AP351" i="67"/>
  <c r="AP655" i="67"/>
  <c r="AP806" i="67"/>
  <c r="AP503" i="67"/>
  <c r="AP45" i="67"/>
  <c r="AP198" i="67"/>
  <c r="U957" i="67"/>
  <c r="U351" i="67"/>
  <c r="U655" i="67"/>
  <c r="U806" i="67"/>
  <c r="U503" i="67"/>
  <c r="U45" i="67"/>
  <c r="U198" i="67"/>
  <c r="AW939" i="67"/>
  <c r="AW333" i="67"/>
  <c r="AW788" i="67"/>
  <c r="AW180" i="67"/>
  <c r="AW637" i="67"/>
  <c r="AW485" i="67"/>
  <c r="AW27" i="67"/>
  <c r="AA938" i="67"/>
  <c r="AA636" i="67"/>
  <c r="AA332" i="67"/>
  <c r="AA787" i="67"/>
  <c r="AA484" i="67"/>
  <c r="AA26" i="67"/>
  <c r="AA179" i="67"/>
  <c r="AU14" i="68"/>
  <c r="T15" i="62" s="1"/>
  <c r="AO938" i="67"/>
  <c r="AO332" i="67"/>
  <c r="AO787" i="67"/>
  <c r="AO636" i="67"/>
  <c r="AO484" i="67"/>
  <c r="AO26" i="67"/>
  <c r="AO179" i="67"/>
  <c r="BI14" i="68"/>
  <c r="AH15" i="62" s="1"/>
  <c r="AQ938" i="67"/>
  <c r="AQ636" i="67"/>
  <c r="AQ332" i="67"/>
  <c r="AQ787" i="67"/>
  <c r="AQ484" i="67"/>
  <c r="AQ26" i="67"/>
  <c r="AQ179" i="67"/>
  <c r="BK14" i="68"/>
  <c r="AJ15" i="62" s="1"/>
  <c r="AC938" i="67"/>
  <c r="AC332" i="67"/>
  <c r="AC636" i="67"/>
  <c r="AC787" i="67"/>
  <c r="AC484" i="67"/>
  <c r="AC26" i="67"/>
  <c r="AC179" i="67"/>
  <c r="AW14" i="68"/>
  <c r="V15" i="62" s="1"/>
  <c r="AJ939" i="67"/>
  <c r="AJ333" i="67"/>
  <c r="AJ637" i="67"/>
  <c r="AJ788" i="67"/>
  <c r="AJ485" i="67"/>
  <c r="AJ27" i="67"/>
  <c r="AJ180" i="67"/>
  <c r="M939" i="67"/>
  <c r="M333" i="67"/>
  <c r="M485" i="67"/>
  <c r="M637" i="67"/>
  <c r="M27" i="67"/>
  <c r="M788" i="67"/>
  <c r="M180" i="67"/>
  <c r="W939" i="67"/>
  <c r="W333" i="67"/>
  <c r="W637" i="67"/>
  <c r="W788" i="67"/>
  <c r="W485" i="67"/>
  <c r="W27" i="67"/>
  <c r="W180" i="67"/>
  <c r="N939" i="67"/>
  <c r="N333" i="67"/>
  <c r="N637" i="67"/>
  <c r="N788" i="67"/>
  <c r="N27" i="67"/>
  <c r="N180" i="67"/>
  <c r="N485" i="67"/>
  <c r="AI1059" i="67"/>
  <c r="AI453" i="67"/>
  <c r="AI757" i="67"/>
  <c r="AI908" i="67"/>
  <c r="AI147" i="67"/>
  <c r="AI605" i="67"/>
  <c r="AI300" i="67"/>
  <c r="AI925" i="67"/>
  <c r="AI319" i="67"/>
  <c r="AI623" i="67"/>
  <c r="AI13" i="67"/>
  <c r="AI774" i="67"/>
  <c r="AI166" i="67"/>
  <c r="AD1043" i="67"/>
  <c r="AD892" i="67"/>
  <c r="AD437" i="67"/>
  <c r="AD741" i="67"/>
  <c r="AD284" i="67"/>
  <c r="AD131" i="67"/>
  <c r="AD589" i="67"/>
  <c r="AM1043" i="67"/>
  <c r="AM892" i="67"/>
  <c r="AM437" i="67"/>
  <c r="AM741" i="67"/>
  <c r="AM589" i="67"/>
  <c r="AM284" i="67"/>
  <c r="AM131" i="67"/>
  <c r="AK1043" i="67"/>
  <c r="AK437" i="67"/>
  <c r="AK741" i="67"/>
  <c r="AK892" i="67"/>
  <c r="AK284" i="67"/>
  <c r="AK589" i="67"/>
  <c r="AK131" i="67"/>
  <c r="AF1042" i="67"/>
  <c r="AF436" i="67"/>
  <c r="AF891" i="67"/>
  <c r="AF588" i="67"/>
  <c r="AF130" i="67"/>
  <c r="AF740" i="67"/>
  <c r="AF283" i="67"/>
  <c r="Y940" i="67"/>
  <c r="Y334" i="67"/>
  <c r="Y638" i="67"/>
  <c r="Y789" i="67"/>
  <c r="Y486" i="67"/>
  <c r="Y28" i="67"/>
  <c r="Y181" i="67"/>
  <c r="AS15" i="68"/>
  <c r="R16" i="62" s="1"/>
  <c r="AO1044" i="67"/>
  <c r="AO893" i="67"/>
  <c r="AO438" i="67"/>
  <c r="AO742" i="67"/>
  <c r="AO590" i="67"/>
  <c r="AO132" i="67"/>
  <c r="AO285" i="67"/>
  <c r="AH940" i="67"/>
  <c r="AH334" i="67"/>
  <c r="AH789" i="67"/>
  <c r="AH638" i="67"/>
  <c r="AH486" i="67"/>
  <c r="AH28" i="67"/>
  <c r="AH181" i="67"/>
  <c r="BB15" i="68"/>
  <c r="AA16" i="62" s="1"/>
  <c r="N1044" i="67"/>
  <c r="N742" i="67"/>
  <c r="N438" i="67"/>
  <c r="N893" i="67"/>
  <c r="N590" i="67"/>
  <c r="N132" i="67"/>
  <c r="N285" i="67"/>
  <c r="AM940" i="67"/>
  <c r="AM334" i="67"/>
  <c r="AM789" i="67"/>
  <c r="AM638" i="67"/>
  <c r="AM486" i="67"/>
  <c r="AM28" i="67"/>
  <c r="AM181" i="67"/>
  <c r="BG15" i="68"/>
  <c r="AF16" i="62" s="1"/>
  <c r="X1044" i="67"/>
  <c r="X893" i="67"/>
  <c r="X438" i="67"/>
  <c r="X742" i="67"/>
  <c r="X285" i="67"/>
  <c r="X132" i="67"/>
  <c r="X590" i="67"/>
  <c r="Q329" i="67"/>
  <c r="Q23" i="67"/>
  <c r="Q481" i="67"/>
  <c r="Q176" i="67"/>
  <c r="Q633" i="67"/>
  <c r="M347" i="67"/>
  <c r="M802" i="67"/>
  <c r="M499" i="67"/>
  <c r="M194" i="67"/>
  <c r="M651" i="67"/>
  <c r="M41" i="67"/>
  <c r="J165" i="65"/>
  <c r="J177" i="65" s="1"/>
  <c r="G165" i="65"/>
  <c r="G177" i="65" s="1"/>
  <c r="E165" i="65"/>
  <c r="E177" i="65" s="1"/>
  <c r="AW938" i="67"/>
  <c r="AW332" i="67"/>
  <c r="AW787" i="67"/>
  <c r="AW484" i="67"/>
  <c r="AW636" i="67"/>
  <c r="AW26" i="67"/>
  <c r="AW179" i="67"/>
  <c r="BQ14" i="68"/>
  <c r="AP15" i="62" s="1"/>
  <c r="AC1059" i="67"/>
  <c r="AC453" i="67"/>
  <c r="AC908" i="67"/>
  <c r="AC757" i="67"/>
  <c r="AC605" i="67"/>
  <c r="AC300" i="67"/>
  <c r="AC147" i="67"/>
  <c r="M1058" i="67"/>
  <c r="M452" i="67"/>
  <c r="M907" i="67"/>
  <c r="M756" i="67"/>
  <c r="M604" i="67"/>
  <c r="M299" i="67"/>
  <c r="M146" i="67"/>
  <c r="AH1058" i="67"/>
  <c r="AH452" i="67"/>
  <c r="AH756" i="67"/>
  <c r="AH907" i="67"/>
  <c r="AH604" i="67"/>
  <c r="AH299" i="67"/>
  <c r="AH146" i="67"/>
  <c r="AS1059" i="67"/>
  <c r="AS453" i="67"/>
  <c r="AS908" i="67"/>
  <c r="AS757" i="67"/>
  <c r="AS605" i="67"/>
  <c r="AS300" i="67"/>
  <c r="AS147" i="67"/>
  <c r="AU924" i="67"/>
  <c r="AU318" i="67"/>
  <c r="AU622" i="67"/>
  <c r="AU773" i="67"/>
  <c r="AU12" i="67"/>
  <c r="AU165" i="67"/>
  <c r="Y925" i="67"/>
  <c r="Y623" i="67"/>
  <c r="Y319" i="67"/>
  <c r="Y774" i="67"/>
  <c r="Y13" i="67"/>
  <c r="Y166" i="67"/>
  <c r="L1059" i="67"/>
  <c r="L453" i="67"/>
  <c r="L757" i="67"/>
  <c r="L908" i="67"/>
  <c r="L605" i="67"/>
  <c r="L300" i="67"/>
  <c r="L147" i="67"/>
  <c r="AD924" i="67"/>
  <c r="AD773" i="67"/>
  <c r="AD318" i="67"/>
  <c r="AD622" i="67"/>
  <c r="AD12" i="67"/>
  <c r="AD165" i="67"/>
  <c r="K956" i="67"/>
  <c r="K350" i="67"/>
  <c r="K805" i="67"/>
  <c r="K654" i="67"/>
  <c r="K502" i="67"/>
  <c r="K44" i="67"/>
  <c r="K197" i="67"/>
  <c r="AE22" i="68"/>
  <c r="D22" i="62" s="1"/>
  <c r="R1042" i="67"/>
  <c r="R436" i="67"/>
  <c r="R891" i="67"/>
  <c r="R588" i="67"/>
  <c r="R130" i="67"/>
  <c r="R740" i="67"/>
  <c r="R283" i="67"/>
  <c r="AS940" i="67"/>
  <c r="AS789" i="67"/>
  <c r="AS334" i="67"/>
  <c r="AS638" i="67"/>
  <c r="AS486" i="67"/>
  <c r="AS28" i="67"/>
  <c r="AS181" i="67"/>
  <c r="BM15" i="68"/>
  <c r="AL16" i="62" s="1"/>
  <c r="R940" i="67"/>
  <c r="R334" i="67"/>
  <c r="R181" i="67"/>
  <c r="R638" i="67"/>
  <c r="R486" i="67"/>
  <c r="R789" i="67"/>
  <c r="R28" i="67"/>
  <c r="AL15" i="68"/>
  <c r="K16" i="62" s="1"/>
  <c r="AA940" i="67"/>
  <c r="AA334" i="67"/>
  <c r="AA638" i="67"/>
  <c r="AA789" i="67"/>
  <c r="AA486" i="67"/>
  <c r="AA28" i="67"/>
  <c r="AA181" i="67"/>
  <c r="AU15" i="68"/>
  <c r="T16" i="62" s="1"/>
  <c r="L1044" i="67"/>
  <c r="L742" i="67"/>
  <c r="L438" i="67"/>
  <c r="L893" i="67"/>
  <c r="L285" i="67"/>
  <c r="L590" i="67"/>
  <c r="L132" i="67"/>
  <c r="AJ956" i="67"/>
  <c r="AJ350" i="67"/>
  <c r="AJ805" i="67"/>
  <c r="AJ197" i="67"/>
  <c r="AJ502" i="67"/>
  <c r="AJ654" i="67"/>
  <c r="AJ44" i="67"/>
  <c r="BD22" i="68"/>
  <c r="AC22" i="62" s="1"/>
  <c r="W956" i="67"/>
  <c r="W350" i="67"/>
  <c r="W502" i="67"/>
  <c r="W654" i="67"/>
  <c r="W805" i="67"/>
  <c r="W44" i="67"/>
  <c r="W197" i="67"/>
  <c r="AQ22" i="68"/>
  <c r="P22" i="62" s="1"/>
  <c r="AU939" i="67"/>
  <c r="AU333" i="67"/>
  <c r="AU637" i="67"/>
  <c r="AU788" i="67"/>
  <c r="AU485" i="67"/>
  <c r="AU27" i="67"/>
  <c r="AU180" i="67"/>
  <c r="AJ940" i="67"/>
  <c r="AJ334" i="67"/>
  <c r="AJ486" i="67"/>
  <c r="AJ638" i="67"/>
  <c r="AJ28" i="67"/>
  <c r="AJ789" i="67"/>
  <c r="AJ181" i="67"/>
  <c r="BD15" i="68"/>
  <c r="AC16" i="62" s="1"/>
  <c r="AD73" i="70"/>
  <c r="AD57" i="70"/>
  <c r="B129" i="65"/>
  <c r="BD80" i="70"/>
  <c r="BD64" i="70"/>
  <c r="X165" i="65"/>
  <c r="X177" i="65" s="1"/>
  <c r="L433" i="67"/>
  <c r="L127" i="67"/>
  <c r="L888" i="67"/>
  <c r="L585" i="67"/>
  <c r="L280" i="67"/>
  <c r="L737" i="67"/>
  <c r="AE957" i="67"/>
  <c r="AE351" i="67"/>
  <c r="AE655" i="67"/>
  <c r="AE503" i="67"/>
  <c r="AE45" i="67"/>
  <c r="AE806" i="67"/>
  <c r="AE198" i="67"/>
  <c r="AG925" i="67"/>
  <c r="AG319" i="67"/>
  <c r="AG623" i="67"/>
  <c r="AG774" i="67"/>
  <c r="AG13" i="67"/>
  <c r="AG166" i="67"/>
  <c r="AQ939" i="67"/>
  <c r="AQ333" i="67"/>
  <c r="AQ788" i="67"/>
  <c r="AQ637" i="67"/>
  <c r="AQ27" i="67"/>
  <c r="AQ485" i="67"/>
  <c r="AQ180" i="67"/>
  <c r="AS956" i="67"/>
  <c r="AS350" i="67"/>
  <c r="AS805" i="67"/>
  <c r="AS654" i="67"/>
  <c r="AS502" i="67"/>
  <c r="AS44" i="67"/>
  <c r="AS197" i="67"/>
  <c r="BM22" i="68"/>
  <c r="AL22" i="62" s="1"/>
  <c r="AN957" i="67"/>
  <c r="AN351" i="67"/>
  <c r="AN655" i="67"/>
  <c r="AN806" i="67"/>
  <c r="AN503" i="67"/>
  <c r="AN45" i="67"/>
  <c r="AN198" i="67"/>
  <c r="Y956" i="67"/>
  <c r="Y350" i="67"/>
  <c r="Y654" i="67"/>
  <c r="Y805" i="67"/>
  <c r="Y502" i="67"/>
  <c r="Y44" i="67"/>
  <c r="Y197" i="67"/>
  <c r="AS22" i="68"/>
  <c r="R22" i="62" s="1"/>
  <c r="AI956" i="67"/>
  <c r="AI350" i="67"/>
  <c r="AI805" i="67"/>
  <c r="AI502" i="67"/>
  <c r="AI654" i="67"/>
  <c r="AI44" i="67"/>
  <c r="AI197" i="67"/>
  <c r="BC22" i="68"/>
  <c r="AB22" i="62" s="1"/>
  <c r="AK956" i="67"/>
  <c r="AK350" i="67"/>
  <c r="AK805" i="67"/>
  <c r="AK654" i="67"/>
  <c r="AK502" i="67"/>
  <c r="AK44" i="67"/>
  <c r="AK197" i="67"/>
  <c r="BE22" i="68"/>
  <c r="AD22" i="62" s="1"/>
  <c r="AF939" i="67"/>
  <c r="AF333" i="67"/>
  <c r="AF788" i="67"/>
  <c r="AF637" i="67"/>
  <c r="AF485" i="67"/>
  <c r="AF27" i="67"/>
  <c r="AF180" i="67"/>
  <c r="AW1060" i="67"/>
  <c r="AW454" i="67"/>
  <c r="AW909" i="67"/>
  <c r="AW758" i="67"/>
  <c r="AW606" i="67"/>
  <c r="AW301" i="67"/>
  <c r="AW148" i="67"/>
  <c r="AT940" i="67"/>
  <c r="AT334" i="67"/>
  <c r="AT638" i="67"/>
  <c r="AT789" i="67"/>
  <c r="AT28" i="67"/>
  <c r="AT486" i="67"/>
  <c r="AT181" i="67"/>
  <c r="BN15" i="68"/>
  <c r="AM16" i="62" s="1"/>
  <c r="V1044" i="67"/>
  <c r="V438" i="67"/>
  <c r="V742" i="67"/>
  <c r="V893" i="67"/>
  <c r="V590" i="67"/>
  <c r="V132" i="67"/>
  <c r="V285" i="67"/>
  <c r="O940" i="67"/>
  <c r="O334" i="67"/>
  <c r="O789" i="67"/>
  <c r="O486" i="67"/>
  <c r="O638" i="67"/>
  <c r="O28" i="67"/>
  <c r="O181" i="67"/>
  <c r="AI15" i="68"/>
  <c r="H16" i="62" s="1"/>
  <c r="AE1044" i="67"/>
  <c r="AE438" i="67"/>
  <c r="AE742" i="67"/>
  <c r="AE893" i="67"/>
  <c r="AE285" i="67"/>
  <c r="AE590" i="67"/>
  <c r="AE132" i="67"/>
  <c r="AF1044" i="67"/>
  <c r="AF893" i="67"/>
  <c r="AF438" i="67"/>
  <c r="AF742" i="67"/>
  <c r="AF132" i="67"/>
  <c r="AF285" i="67"/>
  <c r="AF590" i="67"/>
  <c r="AH1059" i="67"/>
  <c r="AH908" i="67"/>
  <c r="AH453" i="67"/>
  <c r="AH757" i="67"/>
  <c r="AH147" i="67"/>
  <c r="AH300" i="67"/>
  <c r="AH605" i="67"/>
  <c r="AN924" i="67"/>
  <c r="AN318" i="67"/>
  <c r="AN773" i="67"/>
  <c r="AN165" i="67"/>
  <c r="AN622" i="67"/>
  <c r="AN12" i="67"/>
  <c r="Z924" i="67"/>
  <c r="Z622" i="67"/>
  <c r="Z773" i="67"/>
  <c r="Z318" i="67"/>
  <c r="Z12" i="67"/>
  <c r="Z165" i="67"/>
  <c r="U926" i="67"/>
  <c r="U320" i="67"/>
  <c r="U472" i="67"/>
  <c r="U624" i="67"/>
  <c r="U775" i="67"/>
  <c r="U14" i="67"/>
  <c r="U167" i="67"/>
  <c r="AO8" i="68"/>
  <c r="N10" i="62" s="1"/>
  <c r="Z165" i="65"/>
  <c r="Z177" i="65" s="1"/>
  <c r="W1060" i="67"/>
  <c r="W454" i="67"/>
  <c r="W909" i="67"/>
  <c r="W758" i="67"/>
  <c r="W606" i="67"/>
  <c r="W301" i="67"/>
  <c r="W148" i="67"/>
  <c r="AM165" i="65"/>
  <c r="AM177" i="65" s="1"/>
  <c r="O904" i="67"/>
  <c r="O601" i="67"/>
  <c r="O143" i="67"/>
  <c r="O753" i="67"/>
  <c r="O449" i="67"/>
  <c r="O296" i="67"/>
  <c r="S1042" i="67"/>
  <c r="S436" i="67"/>
  <c r="S891" i="67"/>
  <c r="S588" i="67"/>
  <c r="S130" i="67"/>
  <c r="S740" i="67"/>
  <c r="S283" i="67"/>
  <c r="U1042" i="67"/>
  <c r="U436" i="67"/>
  <c r="U891" i="67"/>
  <c r="U588" i="67"/>
  <c r="U130" i="67"/>
  <c r="U740" i="67"/>
  <c r="U283" i="67"/>
  <c r="Q1042" i="67"/>
  <c r="Q436" i="67"/>
  <c r="Q891" i="67"/>
  <c r="Q588" i="67"/>
  <c r="Q130" i="67"/>
  <c r="Q740" i="67"/>
  <c r="Q283" i="67"/>
  <c r="AS80" i="70"/>
  <c r="AS64" i="70"/>
  <c r="AG924" i="67"/>
  <c r="AG318" i="67"/>
  <c r="AG622" i="67"/>
  <c r="AG773" i="67"/>
  <c r="AG12" i="67"/>
  <c r="AG165" i="67"/>
  <c r="AV925" i="67"/>
  <c r="AV623" i="67"/>
  <c r="AV319" i="67"/>
  <c r="AV774" i="67"/>
  <c r="AV166" i="67"/>
  <c r="AV13" i="67"/>
  <c r="AP1043" i="67"/>
  <c r="AP437" i="67"/>
  <c r="AP741" i="67"/>
  <c r="AP892" i="67"/>
  <c r="AP284" i="67"/>
  <c r="AP589" i="67"/>
  <c r="AP131" i="67"/>
  <c r="U1043" i="67"/>
  <c r="U437" i="67"/>
  <c r="U741" i="67"/>
  <c r="U892" i="67"/>
  <c r="U284" i="67"/>
  <c r="U589" i="67"/>
  <c r="U131" i="67"/>
  <c r="AA956" i="67"/>
  <c r="AA350" i="67"/>
  <c r="AA805" i="67"/>
  <c r="AA654" i="67"/>
  <c r="AA502" i="67"/>
  <c r="AA44" i="67"/>
  <c r="AA197" i="67"/>
  <c r="AU22" i="68"/>
  <c r="T22" i="62" s="1"/>
  <c r="AQ956" i="67"/>
  <c r="AQ350" i="67"/>
  <c r="AQ805" i="67"/>
  <c r="AQ654" i="67"/>
  <c r="AQ502" i="67"/>
  <c r="AQ44" i="67"/>
  <c r="AQ197" i="67"/>
  <c r="BK22" i="68"/>
  <c r="AJ22" i="62" s="1"/>
  <c r="AJ957" i="67"/>
  <c r="AJ351" i="67"/>
  <c r="AJ806" i="67"/>
  <c r="AJ655" i="67"/>
  <c r="AJ503" i="67"/>
  <c r="AJ45" i="67"/>
  <c r="AJ198" i="67"/>
  <c r="W957" i="67"/>
  <c r="W351" i="67"/>
  <c r="W655" i="67"/>
  <c r="W45" i="67"/>
  <c r="W806" i="67"/>
  <c r="W503" i="67"/>
  <c r="W198" i="67"/>
  <c r="AD925" i="67"/>
  <c r="AD319" i="67"/>
  <c r="AD774" i="67"/>
  <c r="AD623" i="67"/>
  <c r="AD13" i="67"/>
  <c r="AD166" i="67"/>
  <c r="AM1059" i="67"/>
  <c r="AM453" i="67"/>
  <c r="AM908" i="67"/>
  <c r="AM757" i="67"/>
  <c r="AM605" i="67"/>
  <c r="AM300" i="67"/>
  <c r="AM147" i="67"/>
  <c r="AK925" i="67"/>
  <c r="AK774" i="67"/>
  <c r="AK319" i="67"/>
  <c r="AK623" i="67"/>
  <c r="AK166" i="67"/>
  <c r="AK13" i="67"/>
  <c r="AF924" i="67"/>
  <c r="AF318" i="67"/>
  <c r="AF773" i="67"/>
  <c r="AF165" i="67"/>
  <c r="AF622" i="67"/>
  <c r="AF12" i="67"/>
  <c r="Y958" i="67"/>
  <c r="Y352" i="67"/>
  <c r="Y807" i="67"/>
  <c r="Y504" i="67"/>
  <c r="Y656" i="67"/>
  <c r="Y46" i="67"/>
  <c r="Y199" i="67"/>
  <c r="AS23" i="68"/>
  <c r="AO1060" i="67"/>
  <c r="AO909" i="67"/>
  <c r="AO454" i="67"/>
  <c r="AO758" i="67"/>
  <c r="AO301" i="67"/>
  <c r="AO148" i="67"/>
  <c r="AO606" i="67"/>
  <c r="N926" i="67"/>
  <c r="N320" i="67"/>
  <c r="N472" i="67"/>
  <c r="N624" i="67"/>
  <c r="N14" i="67"/>
  <c r="N775" i="67"/>
  <c r="N167" i="67"/>
  <c r="AH8" i="68"/>
  <c r="G10" i="62" s="1"/>
  <c r="AM958" i="67"/>
  <c r="AM352" i="67"/>
  <c r="AM656" i="67"/>
  <c r="AM807" i="67"/>
  <c r="AM504" i="67"/>
  <c r="AM46" i="67"/>
  <c r="AM199" i="67"/>
  <c r="BG23" i="68"/>
  <c r="X1060" i="67"/>
  <c r="X454" i="67"/>
  <c r="X758" i="67"/>
  <c r="X909" i="67"/>
  <c r="X148" i="67"/>
  <c r="X301" i="67"/>
  <c r="X606" i="67"/>
  <c r="M433" i="67"/>
  <c r="M888" i="67"/>
  <c r="M585" i="67"/>
  <c r="M127" i="67"/>
  <c r="M737" i="67"/>
  <c r="M280" i="67"/>
  <c r="N1062" i="67"/>
  <c r="N1391" i="67"/>
  <c r="N1405" i="67"/>
  <c r="N1423" i="67"/>
  <c r="N1543" i="67"/>
  <c r="N1559" i="67"/>
  <c r="N960" i="67"/>
  <c r="N791" i="67"/>
  <c r="N1093" i="67"/>
  <c r="N1213" i="67"/>
  <c r="N942" i="67"/>
  <c r="N1079" i="67"/>
  <c r="N1046" i="67"/>
  <c r="N1111" i="67"/>
  <c r="N928" i="67"/>
  <c r="N1197" i="67"/>
  <c r="O1062" i="67"/>
  <c r="O1391" i="67"/>
  <c r="O1405" i="67"/>
  <c r="O1423" i="67"/>
  <c r="O1543" i="67"/>
  <c r="O1559" i="67"/>
  <c r="O1046" i="67"/>
  <c r="O791" i="67"/>
  <c r="O1197" i="67"/>
  <c r="O960" i="67"/>
  <c r="O1093" i="67"/>
  <c r="O1213" i="67"/>
  <c r="O942" i="67"/>
  <c r="O1111" i="67"/>
  <c r="O928" i="67"/>
  <c r="O1079" i="67"/>
  <c r="M1062" i="67"/>
  <c r="M1391" i="67"/>
  <c r="M1405" i="67"/>
  <c r="M1423" i="67"/>
  <c r="M1543" i="67"/>
  <c r="M1559" i="67"/>
  <c r="M1046" i="67"/>
  <c r="M1111" i="67"/>
  <c r="M942" i="67"/>
  <c r="M791" i="67"/>
  <c r="M1093" i="67"/>
  <c r="M960" i="67"/>
  <c r="M1197" i="67"/>
  <c r="M928" i="67"/>
  <c r="M1079" i="67"/>
  <c r="M1213" i="67"/>
  <c r="AJ165" i="65"/>
  <c r="AJ177" i="65" s="1"/>
  <c r="BI80" i="70"/>
  <c r="BI64" i="70"/>
  <c r="AI80" i="70"/>
  <c r="AI64" i="70"/>
  <c r="V939" i="67"/>
  <c r="V637" i="67"/>
  <c r="V333" i="67"/>
  <c r="V788" i="67"/>
  <c r="V180" i="67"/>
  <c r="V485" i="67"/>
  <c r="V27" i="67"/>
  <c r="AW924" i="67"/>
  <c r="AW318" i="67"/>
  <c r="AW622" i="67"/>
  <c r="AW773" i="67"/>
  <c r="AW12" i="67"/>
  <c r="AW165" i="67"/>
  <c r="AA1059" i="67"/>
  <c r="AA757" i="67"/>
  <c r="AA908" i="67"/>
  <c r="AA453" i="67"/>
  <c r="AA147" i="67"/>
  <c r="AA605" i="67"/>
  <c r="AA300" i="67"/>
  <c r="X1043" i="67"/>
  <c r="X892" i="67"/>
  <c r="X437" i="67"/>
  <c r="X741" i="67"/>
  <c r="X284" i="67"/>
  <c r="X589" i="67"/>
  <c r="X131" i="67"/>
  <c r="O1043" i="67"/>
  <c r="O892" i="67"/>
  <c r="O437" i="67"/>
  <c r="O741" i="67"/>
  <c r="O589" i="67"/>
  <c r="O131" i="67"/>
  <c r="O284" i="67"/>
  <c r="AS1043" i="67"/>
  <c r="AS741" i="67"/>
  <c r="AS437" i="67"/>
  <c r="AS892" i="67"/>
  <c r="AS284" i="67"/>
  <c r="AS589" i="67"/>
  <c r="AS131" i="67"/>
  <c r="N1058" i="67"/>
  <c r="N907" i="67"/>
  <c r="N452" i="67"/>
  <c r="N756" i="67"/>
  <c r="N604" i="67"/>
  <c r="N299" i="67"/>
  <c r="N146" i="67"/>
  <c r="L1063" i="67"/>
  <c r="L1392" i="67"/>
  <c r="L1406" i="67"/>
  <c r="L1424" i="67"/>
  <c r="L1544" i="67"/>
  <c r="L1560" i="67"/>
  <c r="L961" i="67"/>
  <c r="L1080" i="67"/>
  <c r="L1047" i="67"/>
  <c r="L1094" i="67"/>
  <c r="L943" i="67"/>
  <c r="L792" i="67"/>
  <c r="L1198" i="67"/>
  <c r="L929" i="67"/>
  <c r="L1112" i="67"/>
  <c r="L1214" i="67"/>
  <c r="Y1062" i="67"/>
  <c r="Y1391" i="67"/>
  <c r="Y1423" i="67"/>
  <c r="Y1405" i="67"/>
  <c r="Y1543" i="67"/>
  <c r="Y1559" i="67"/>
  <c r="Y1046" i="67"/>
  <c r="Y1111" i="67"/>
  <c r="Y1213" i="67"/>
  <c r="Y960" i="67"/>
  <c r="Y1079" i="67"/>
  <c r="Y942" i="67"/>
  <c r="Y1093" i="67"/>
  <c r="Y928" i="67"/>
  <c r="Y1197" i="67"/>
  <c r="Y791" i="67"/>
  <c r="Q1062" i="67"/>
  <c r="Q1391" i="67"/>
  <c r="Q1405" i="67"/>
  <c r="Q1423" i="67"/>
  <c r="Q1543" i="67"/>
  <c r="Q1559" i="67"/>
  <c r="Q1046" i="67"/>
  <c r="Q791" i="67"/>
  <c r="Q1111" i="67"/>
  <c r="Q960" i="67"/>
  <c r="Q1197" i="67"/>
  <c r="Q942" i="67"/>
  <c r="Q1079" i="67"/>
  <c r="Q1213" i="67"/>
  <c r="Q928" i="67"/>
  <c r="Q1093" i="67"/>
  <c r="P1384" i="67"/>
  <c r="P1398" i="67"/>
  <c r="P1416" i="67"/>
  <c r="P1536" i="67"/>
  <c r="P1552" i="67"/>
  <c r="Z449" i="67"/>
  <c r="Z601" i="67"/>
  <c r="Z296" i="67"/>
  <c r="Z904" i="67"/>
  <c r="Z753" i="67"/>
  <c r="Z143" i="67"/>
  <c r="Z619" i="67"/>
  <c r="Z770" i="67"/>
  <c r="V165" i="65"/>
  <c r="V177" i="65" s="1"/>
  <c r="BJ80" i="70"/>
  <c r="BJ64" i="70"/>
  <c r="N329" i="67"/>
  <c r="N23" i="67"/>
  <c r="N633" i="67"/>
  <c r="N481" i="67"/>
  <c r="N176" i="67"/>
  <c r="V1059" i="67"/>
  <c r="V757" i="67"/>
  <c r="V453" i="67"/>
  <c r="V908" i="67"/>
  <c r="V300" i="67"/>
  <c r="V605" i="67"/>
  <c r="V147" i="67"/>
  <c r="V925" i="67"/>
  <c r="V319" i="67"/>
  <c r="V774" i="67"/>
  <c r="V623" i="67"/>
  <c r="V13" i="67"/>
  <c r="V166" i="67"/>
  <c r="AE1058" i="67"/>
  <c r="AE452" i="67"/>
  <c r="AE756" i="67"/>
  <c r="AE907" i="67"/>
  <c r="AE604" i="67"/>
  <c r="AE299" i="67"/>
  <c r="AE146" i="67"/>
  <c r="AE924" i="67"/>
  <c r="AE318" i="67"/>
  <c r="AE622" i="67"/>
  <c r="AE773" i="67"/>
  <c r="AE12" i="67"/>
  <c r="AE165" i="67"/>
  <c r="AW1058" i="67"/>
  <c r="AW756" i="67"/>
  <c r="AW907" i="67"/>
  <c r="AW452" i="67"/>
  <c r="AW146" i="67"/>
  <c r="AW604" i="67"/>
  <c r="AW299" i="67"/>
  <c r="AA1043" i="67"/>
  <c r="AA437" i="67"/>
  <c r="AA741" i="67"/>
  <c r="AA892" i="67"/>
  <c r="AA284" i="67"/>
  <c r="AA589" i="67"/>
  <c r="AA131" i="67"/>
  <c r="AC957" i="67"/>
  <c r="AC351" i="67"/>
  <c r="AC655" i="67"/>
  <c r="AC806" i="67"/>
  <c r="AC198" i="67"/>
  <c r="AC503" i="67"/>
  <c r="AC45" i="67"/>
  <c r="X957" i="67"/>
  <c r="X351" i="67"/>
  <c r="X655" i="67"/>
  <c r="X806" i="67"/>
  <c r="X503" i="67"/>
  <c r="X45" i="67"/>
  <c r="X198" i="67"/>
  <c r="M956" i="67"/>
  <c r="M350" i="67"/>
  <c r="M805" i="67"/>
  <c r="M654" i="67"/>
  <c r="M197" i="67"/>
  <c r="M502" i="67"/>
  <c r="M44" i="67"/>
  <c r="AG22" i="68"/>
  <c r="F22" i="62" s="1"/>
  <c r="AH956" i="67"/>
  <c r="AH350" i="67"/>
  <c r="AH654" i="67"/>
  <c r="AH805" i="67"/>
  <c r="AH502" i="67"/>
  <c r="AH44" i="67"/>
  <c r="AH197" i="67"/>
  <c r="BB22" i="68"/>
  <c r="AA22" i="62" s="1"/>
  <c r="O957" i="67"/>
  <c r="O351" i="67"/>
  <c r="O503" i="67"/>
  <c r="O655" i="67"/>
  <c r="O45" i="67"/>
  <c r="O806" i="67"/>
  <c r="O198" i="67"/>
  <c r="AS957" i="67"/>
  <c r="AS351" i="67"/>
  <c r="AS806" i="67"/>
  <c r="AS655" i="67"/>
  <c r="AS503" i="67"/>
  <c r="AS45" i="67"/>
  <c r="AS198" i="67"/>
  <c r="N956" i="67"/>
  <c r="N350" i="67"/>
  <c r="N197" i="67"/>
  <c r="N654" i="67"/>
  <c r="N805" i="67"/>
  <c r="N502" i="67"/>
  <c r="N44" i="67"/>
  <c r="AH22" i="68"/>
  <c r="G22" i="62" s="1"/>
  <c r="AU956" i="67"/>
  <c r="AU350" i="67"/>
  <c r="AU654" i="67"/>
  <c r="AU805" i="67"/>
  <c r="AU502" i="67"/>
  <c r="AU44" i="67"/>
  <c r="AU197" i="67"/>
  <c r="BO22" i="68"/>
  <c r="AN22" i="62" s="1"/>
  <c r="Y957" i="67"/>
  <c r="Y351" i="67"/>
  <c r="Y655" i="67"/>
  <c r="Y806" i="67"/>
  <c r="Y503" i="67"/>
  <c r="Y45" i="67"/>
  <c r="Y198" i="67"/>
  <c r="Q957" i="67"/>
  <c r="Q351" i="67"/>
  <c r="Q655" i="67"/>
  <c r="Q806" i="67"/>
  <c r="Q503" i="67"/>
  <c r="Q45" i="67"/>
  <c r="Q198" i="67"/>
  <c r="L957" i="67"/>
  <c r="L351" i="67"/>
  <c r="L806" i="67"/>
  <c r="L655" i="67"/>
  <c r="L503" i="67"/>
  <c r="L45" i="67"/>
  <c r="L198" i="67"/>
  <c r="AD956" i="67"/>
  <c r="AD350" i="67"/>
  <c r="AD805" i="67"/>
  <c r="AD44" i="67"/>
  <c r="AD502" i="67"/>
  <c r="AD197" i="67"/>
  <c r="AD654" i="67"/>
  <c r="AX22" i="68"/>
  <c r="W22" i="62" s="1"/>
  <c r="Z957" i="67"/>
  <c r="Z351" i="67"/>
  <c r="Z655" i="67"/>
  <c r="Z806" i="67"/>
  <c r="Z503" i="67"/>
  <c r="Z45" i="67"/>
  <c r="Z198" i="67"/>
  <c r="K1042" i="67"/>
  <c r="K436" i="67"/>
  <c r="K891" i="67"/>
  <c r="K588" i="67"/>
  <c r="K130" i="67"/>
  <c r="K740" i="67"/>
  <c r="K283" i="67"/>
  <c r="R938" i="67"/>
  <c r="R332" i="67"/>
  <c r="R484" i="67"/>
  <c r="R636" i="67"/>
  <c r="R26" i="67"/>
  <c r="R787" i="67"/>
  <c r="R179" i="67"/>
  <c r="AL14" i="68"/>
  <c r="K15" i="62" s="1"/>
  <c r="M1044" i="67"/>
  <c r="M742" i="67"/>
  <c r="M438" i="67"/>
  <c r="M893" i="67"/>
  <c r="M132" i="67"/>
  <c r="M285" i="67"/>
  <c r="M590" i="67"/>
  <c r="AC940" i="67"/>
  <c r="AC789" i="67"/>
  <c r="AC334" i="67"/>
  <c r="AC638" i="67"/>
  <c r="AC486" i="67"/>
  <c r="AC28" i="67"/>
  <c r="AC181" i="67"/>
  <c r="AW15" i="68"/>
  <c r="V16" i="62" s="1"/>
  <c r="AS1044" i="67"/>
  <c r="AS742" i="67"/>
  <c r="AS438" i="67"/>
  <c r="AS893" i="67"/>
  <c r="AS132" i="67"/>
  <c r="AS285" i="67"/>
  <c r="AS590" i="67"/>
  <c r="AP940" i="67"/>
  <c r="AP334" i="67"/>
  <c r="AP789" i="67"/>
  <c r="AP638" i="67"/>
  <c r="AP486" i="67"/>
  <c r="AP28" i="67"/>
  <c r="AP181" i="67"/>
  <c r="BJ15" i="68"/>
  <c r="AI16" i="62" s="1"/>
  <c r="R1044" i="67"/>
  <c r="R893" i="67"/>
  <c r="R438" i="67"/>
  <c r="R742" i="67"/>
  <c r="R285" i="67"/>
  <c r="R590" i="67"/>
  <c r="R132" i="67"/>
  <c r="K926" i="67"/>
  <c r="K775" i="67"/>
  <c r="K320" i="67"/>
  <c r="K624" i="67"/>
  <c r="K472" i="67"/>
  <c r="K14" i="67"/>
  <c r="K167" i="67"/>
  <c r="AE8" i="68"/>
  <c r="D10" i="62" s="1"/>
  <c r="AA1044" i="67"/>
  <c r="AA893" i="67"/>
  <c r="AA438" i="67"/>
  <c r="AA742" i="67"/>
  <c r="AA285" i="67"/>
  <c r="AA132" i="67"/>
  <c r="AA590" i="67"/>
  <c r="L940" i="67"/>
  <c r="L334" i="67"/>
  <c r="L638" i="67"/>
  <c r="L28" i="67"/>
  <c r="L789" i="67"/>
  <c r="L486" i="67"/>
  <c r="L181" i="67"/>
  <c r="AF15" i="68"/>
  <c r="E16" i="62" s="1"/>
  <c r="AB1044" i="67"/>
  <c r="AB742" i="67"/>
  <c r="AB438" i="67"/>
  <c r="AB893" i="67"/>
  <c r="AB285" i="67"/>
  <c r="AB590" i="67"/>
  <c r="AB132" i="67"/>
  <c r="AR940" i="67"/>
  <c r="AR334" i="67"/>
  <c r="AR638" i="67"/>
  <c r="AR28" i="67"/>
  <c r="AR789" i="67"/>
  <c r="AR486" i="67"/>
  <c r="AR181" i="67"/>
  <c r="BL15" i="68"/>
  <c r="AK16" i="62" s="1"/>
  <c r="AV1058" i="67"/>
  <c r="AV907" i="67"/>
  <c r="AV452" i="67"/>
  <c r="AV756" i="67"/>
  <c r="AV604" i="67"/>
  <c r="AV146" i="67"/>
  <c r="AV299" i="67"/>
  <c r="AV924" i="67"/>
  <c r="AV318" i="67"/>
  <c r="AV773" i="67"/>
  <c r="AV165" i="67"/>
  <c r="AV622" i="67"/>
  <c r="AV12" i="67"/>
  <c r="AR1059" i="67"/>
  <c r="AR453" i="67"/>
  <c r="AR757" i="67"/>
  <c r="AR908" i="67"/>
  <c r="AR605" i="67"/>
  <c r="AR300" i="67"/>
  <c r="AR147" i="67"/>
  <c r="AR925" i="67"/>
  <c r="AR774" i="67"/>
  <c r="AR319" i="67"/>
  <c r="AR623" i="67"/>
  <c r="AR13" i="67"/>
  <c r="AR166" i="67"/>
  <c r="AO1059" i="67"/>
  <c r="AO453" i="67"/>
  <c r="AO757" i="67"/>
  <c r="AO908" i="67"/>
  <c r="AO605" i="67"/>
  <c r="AO300" i="67"/>
  <c r="AO147" i="67"/>
  <c r="AO925" i="67"/>
  <c r="AO774" i="67"/>
  <c r="AO319" i="67"/>
  <c r="AO623" i="67"/>
  <c r="AO13" i="67"/>
  <c r="AO166" i="67"/>
  <c r="AT1058" i="67"/>
  <c r="AT907" i="67"/>
  <c r="AT452" i="67"/>
  <c r="AT756" i="67"/>
  <c r="AT604" i="67"/>
  <c r="AT299" i="67"/>
  <c r="AT146" i="67"/>
  <c r="AT924" i="67"/>
  <c r="AT318" i="67"/>
  <c r="AT622" i="67"/>
  <c r="AT12" i="67"/>
  <c r="AT773" i="67"/>
  <c r="AT165" i="67"/>
  <c r="AJ1058" i="67"/>
  <c r="AJ452" i="67"/>
  <c r="AJ756" i="67"/>
  <c r="AJ907" i="67"/>
  <c r="AJ146" i="67"/>
  <c r="AJ299" i="67"/>
  <c r="AJ604" i="67"/>
  <c r="AJ924" i="67"/>
  <c r="AJ318" i="67"/>
  <c r="AJ622" i="67"/>
  <c r="AJ12" i="67"/>
  <c r="AJ773" i="67"/>
  <c r="AJ165" i="67"/>
  <c r="W1058" i="67"/>
  <c r="W756" i="67"/>
  <c r="W907" i="67"/>
  <c r="W452" i="67"/>
  <c r="W299" i="67"/>
  <c r="W146" i="67"/>
  <c r="W604" i="67"/>
  <c r="W924" i="67"/>
  <c r="W318" i="67"/>
  <c r="W622" i="67"/>
  <c r="W773" i="67"/>
  <c r="W12" i="67"/>
  <c r="W165" i="67"/>
  <c r="AU1059" i="67"/>
  <c r="AU908" i="67"/>
  <c r="AU453" i="67"/>
  <c r="AU757" i="67"/>
  <c r="AU300" i="67"/>
  <c r="AU147" i="67"/>
  <c r="AU605" i="67"/>
  <c r="AU925" i="67"/>
  <c r="AU319" i="67"/>
  <c r="AU774" i="67"/>
  <c r="AU166" i="67"/>
  <c r="AU623" i="67"/>
  <c r="AU13" i="67"/>
  <c r="L1058" i="67"/>
  <c r="L756" i="67"/>
  <c r="L452" i="67"/>
  <c r="L907" i="67"/>
  <c r="L299" i="67"/>
  <c r="L604" i="67"/>
  <c r="L146" i="67"/>
  <c r="L924" i="67"/>
  <c r="L318" i="67"/>
  <c r="L622" i="67"/>
  <c r="L12" i="67"/>
  <c r="L773" i="67"/>
  <c r="L165" i="67"/>
  <c r="AM1042" i="67"/>
  <c r="AM436" i="67"/>
  <c r="AM891" i="67"/>
  <c r="AM588" i="67"/>
  <c r="AM130" i="67"/>
  <c r="AM740" i="67"/>
  <c r="AM283" i="67"/>
  <c r="R1043" i="67"/>
  <c r="R741" i="67"/>
  <c r="R437" i="67"/>
  <c r="R892" i="67"/>
  <c r="R284" i="67"/>
  <c r="R589" i="67"/>
  <c r="R131" i="67"/>
  <c r="AK940" i="67"/>
  <c r="AK789" i="67"/>
  <c r="AK334" i="67"/>
  <c r="AK638" i="67"/>
  <c r="AK486" i="67"/>
  <c r="AK28" i="67"/>
  <c r="AK181" i="67"/>
  <c r="BE15" i="68"/>
  <c r="AD16" i="62" s="1"/>
  <c r="AU1044" i="67"/>
  <c r="AU438" i="67"/>
  <c r="AU742" i="67"/>
  <c r="AU893" i="67"/>
  <c r="AU285" i="67"/>
  <c r="AU590" i="67"/>
  <c r="AU132" i="67"/>
  <c r="S940" i="67"/>
  <c r="S334" i="67"/>
  <c r="S486" i="67"/>
  <c r="S638" i="67"/>
  <c r="S789" i="67"/>
  <c r="S28" i="67"/>
  <c r="S181" i="67"/>
  <c r="AM15" i="68"/>
  <c r="L16" i="62" s="1"/>
  <c r="AJ1044" i="67"/>
  <c r="AJ438" i="67"/>
  <c r="AJ742" i="67"/>
  <c r="AJ893" i="67"/>
  <c r="AJ285" i="67"/>
  <c r="AJ590" i="67"/>
  <c r="AJ132" i="67"/>
  <c r="AQ940" i="67"/>
  <c r="AQ334" i="67"/>
  <c r="AQ638" i="67"/>
  <c r="AQ789" i="67"/>
  <c r="AQ486" i="67"/>
  <c r="AQ28" i="67"/>
  <c r="AQ181" i="67"/>
  <c r="BK15" i="68"/>
  <c r="AJ16" i="62" s="1"/>
  <c r="T165" i="65"/>
  <c r="T177" i="65" s="1"/>
  <c r="Y329" i="67"/>
  <c r="Y176" i="67"/>
  <c r="Y633" i="67"/>
  <c r="Y481" i="67"/>
  <c r="Y23" i="67"/>
  <c r="AL1044" i="67"/>
  <c r="AL438" i="67"/>
  <c r="AL742" i="67"/>
  <c r="AL893" i="67"/>
  <c r="AL590" i="67"/>
  <c r="AL132" i="67"/>
  <c r="AL285" i="67"/>
  <c r="AN940" i="67"/>
  <c r="AN334" i="67"/>
  <c r="AN789" i="67"/>
  <c r="AN181" i="67"/>
  <c r="AN638" i="67"/>
  <c r="AN486" i="67"/>
  <c r="AN28" i="67"/>
  <c r="BH15" i="68"/>
  <c r="AG16" i="62" s="1"/>
  <c r="R165" i="65"/>
  <c r="R177" i="65" s="1"/>
  <c r="K165" i="65"/>
  <c r="K177" i="65" s="1"/>
  <c r="BN80" i="70"/>
  <c r="BN64" i="70"/>
  <c r="B165" i="65"/>
  <c r="B177" i="65" s="1"/>
  <c r="D165" i="65"/>
  <c r="D177" i="65" s="1"/>
  <c r="U633" i="67"/>
  <c r="U481" i="67"/>
  <c r="U23" i="67"/>
  <c r="U329" i="67"/>
  <c r="U176" i="67"/>
  <c r="AI165" i="65"/>
  <c r="AI177" i="65" s="1"/>
  <c r="L329" i="67"/>
  <c r="L23" i="67"/>
  <c r="L633" i="67"/>
  <c r="L176" i="67"/>
  <c r="L481" i="67"/>
  <c r="P1059" i="67"/>
  <c r="P908" i="67"/>
  <c r="P453" i="67"/>
  <c r="P757" i="67"/>
  <c r="P605" i="67"/>
  <c r="P300" i="67"/>
  <c r="P147" i="67"/>
  <c r="P925" i="67"/>
  <c r="P623" i="67"/>
  <c r="P319" i="67"/>
  <c r="P774" i="67"/>
  <c r="P166" i="67"/>
  <c r="P13" i="67"/>
  <c r="AE1043" i="67"/>
  <c r="AE892" i="67"/>
  <c r="AE437" i="67"/>
  <c r="AE741" i="67"/>
  <c r="AE589" i="67"/>
  <c r="AE131" i="67"/>
  <c r="AE284" i="67"/>
  <c r="AG957" i="67"/>
  <c r="AG351" i="67"/>
  <c r="AG806" i="67"/>
  <c r="AG655" i="67"/>
  <c r="AG503" i="67"/>
  <c r="AG45" i="67"/>
  <c r="AG198" i="67"/>
  <c r="AB938" i="67"/>
  <c r="AB636" i="67"/>
  <c r="AB787" i="67"/>
  <c r="AB332" i="67"/>
  <c r="AB484" i="67"/>
  <c r="AB26" i="67"/>
  <c r="AB179" i="67"/>
  <c r="AV14" i="68"/>
  <c r="U15" i="62" s="1"/>
  <c r="AL1059" i="67"/>
  <c r="AL757" i="67"/>
  <c r="AL453" i="67"/>
  <c r="AL908" i="67"/>
  <c r="AL300" i="67"/>
  <c r="AL605" i="67"/>
  <c r="AL147" i="67"/>
  <c r="AL925" i="67"/>
  <c r="AL319" i="67"/>
  <c r="AL774" i="67"/>
  <c r="AL623" i="67"/>
  <c r="AL13" i="67"/>
  <c r="AL166" i="67"/>
  <c r="AP1058" i="67"/>
  <c r="AP756" i="67"/>
  <c r="AP452" i="67"/>
  <c r="AP907" i="67"/>
  <c r="AP604" i="67"/>
  <c r="AP299" i="67"/>
  <c r="AP146" i="67"/>
  <c r="AP924" i="67"/>
  <c r="AP622" i="67"/>
  <c r="AP773" i="67"/>
  <c r="AP318" i="67"/>
  <c r="AP12" i="67"/>
  <c r="AP165" i="67"/>
  <c r="T1058" i="67"/>
  <c r="T452" i="67"/>
  <c r="T756" i="67"/>
  <c r="T907" i="67"/>
  <c r="T146" i="67"/>
  <c r="T299" i="67"/>
  <c r="T604" i="67"/>
  <c r="T924" i="67"/>
  <c r="T318" i="67"/>
  <c r="T622" i="67"/>
  <c r="T12" i="67"/>
  <c r="T773" i="67"/>
  <c r="T165" i="67"/>
  <c r="AR1058" i="67"/>
  <c r="AR756" i="67"/>
  <c r="AR452" i="67"/>
  <c r="AR907" i="67"/>
  <c r="AR299" i="67"/>
  <c r="AR604" i="67"/>
  <c r="AR146" i="67"/>
  <c r="AR924" i="67"/>
  <c r="AR318" i="67"/>
  <c r="AR622" i="67"/>
  <c r="AR12" i="67"/>
  <c r="AR773" i="67"/>
  <c r="AR165" i="67"/>
  <c r="AT1059" i="67"/>
  <c r="AT453" i="67"/>
  <c r="AT757" i="67"/>
  <c r="AT908" i="67"/>
  <c r="AT147" i="67"/>
  <c r="AT300" i="67"/>
  <c r="AT605" i="67"/>
  <c r="AT925" i="67"/>
  <c r="AT319" i="67"/>
  <c r="AT774" i="67"/>
  <c r="AT623" i="67"/>
  <c r="AT13" i="67"/>
  <c r="AT166" i="67"/>
  <c r="AQ1059" i="67"/>
  <c r="AQ757" i="67"/>
  <c r="AQ908" i="67"/>
  <c r="AQ453" i="67"/>
  <c r="AQ147" i="67"/>
  <c r="AQ605" i="67"/>
  <c r="AQ300" i="67"/>
  <c r="AQ925" i="67"/>
  <c r="AQ319" i="67"/>
  <c r="AQ623" i="67"/>
  <c r="AQ13" i="67"/>
  <c r="AQ774" i="67"/>
  <c r="AQ166" i="67"/>
  <c r="AS1058" i="67"/>
  <c r="AS452" i="67"/>
  <c r="AS907" i="67"/>
  <c r="AS756" i="67"/>
  <c r="AS604" i="67"/>
  <c r="AS299" i="67"/>
  <c r="AS146" i="67"/>
  <c r="AS924" i="67"/>
  <c r="AS773" i="67"/>
  <c r="AS318" i="67"/>
  <c r="AS622" i="67"/>
  <c r="AS165" i="67"/>
  <c r="AS12" i="67"/>
  <c r="AN1059" i="67"/>
  <c r="AN908" i="67"/>
  <c r="AN453" i="67"/>
  <c r="AN757" i="67"/>
  <c r="AN605" i="67"/>
  <c r="AN300" i="67"/>
  <c r="AN147" i="67"/>
  <c r="AN925" i="67"/>
  <c r="AN319" i="67"/>
  <c r="AN623" i="67"/>
  <c r="AN774" i="67"/>
  <c r="AN13" i="67"/>
  <c r="AN166" i="67"/>
  <c r="Y1058" i="67"/>
  <c r="Y452" i="67"/>
  <c r="Y756" i="67"/>
  <c r="Y907" i="67"/>
  <c r="Y299" i="67"/>
  <c r="Y146" i="67"/>
  <c r="Y604" i="67"/>
  <c r="Y924" i="67"/>
  <c r="Y622" i="67"/>
  <c r="Y318" i="67"/>
  <c r="Y773" i="67"/>
  <c r="Y12" i="67"/>
  <c r="Y165" i="67"/>
  <c r="AI1058" i="67"/>
  <c r="AI452" i="67"/>
  <c r="AI907" i="67"/>
  <c r="AI756" i="67"/>
  <c r="AI604" i="67"/>
  <c r="AI299" i="67"/>
  <c r="AI146" i="67"/>
  <c r="AI924" i="67"/>
  <c r="AI318" i="67"/>
  <c r="AI773" i="67"/>
  <c r="AI622" i="67"/>
  <c r="AI12" i="67"/>
  <c r="AI165" i="67"/>
  <c r="AK1058" i="67"/>
  <c r="AK907" i="67"/>
  <c r="AK452" i="67"/>
  <c r="AK756" i="67"/>
  <c r="AK146" i="67"/>
  <c r="AK604" i="67"/>
  <c r="AK299" i="67"/>
  <c r="AK924" i="67"/>
  <c r="AK773" i="67"/>
  <c r="AK318" i="67"/>
  <c r="AK622" i="67"/>
  <c r="AK12" i="67"/>
  <c r="AK165" i="67"/>
  <c r="AF1043" i="67"/>
  <c r="AF892" i="67"/>
  <c r="AF437" i="67"/>
  <c r="AF741" i="67"/>
  <c r="AF284" i="67"/>
  <c r="AF131" i="67"/>
  <c r="AF589" i="67"/>
  <c r="Q940" i="67"/>
  <c r="Q638" i="67"/>
  <c r="Q334" i="67"/>
  <c r="Q789" i="67"/>
  <c r="Q486" i="67"/>
  <c r="Q28" i="67"/>
  <c r="Q181" i="67"/>
  <c r="AK15" i="68"/>
  <c r="J16" i="62" s="1"/>
  <c r="AG1044" i="67"/>
  <c r="AG893" i="67"/>
  <c r="AG438" i="67"/>
  <c r="AG742" i="67"/>
  <c r="AG590" i="67"/>
  <c r="AG285" i="67"/>
  <c r="AG132" i="67"/>
  <c r="AW940" i="67"/>
  <c r="AW638" i="67"/>
  <c r="AW334" i="67"/>
  <c r="AW789" i="67"/>
  <c r="AW486" i="67"/>
  <c r="AW28" i="67"/>
  <c r="AW181" i="67"/>
  <c r="BQ15" i="68"/>
  <c r="AP16" i="62" s="1"/>
  <c r="AT1044" i="67"/>
  <c r="AT742" i="67"/>
  <c r="AT438" i="67"/>
  <c r="AT893" i="67"/>
  <c r="AT590" i="67"/>
  <c r="AT132" i="67"/>
  <c r="AT285" i="67"/>
  <c r="V940" i="67"/>
  <c r="V334" i="67"/>
  <c r="V789" i="67"/>
  <c r="V638" i="67"/>
  <c r="V486" i="67"/>
  <c r="V28" i="67"/>
  <c r="V181" i="67"/>
  <c r="AP15" i="68"/>
  <c r="O16" i="62" s="1"/>
  <c r="O1044" i="67"/>
  <c r="O438" i="67"/>
  <c r="O742" i="67"/>
  <c r="O893" i="67"/>
  <c r="O285" i="67"/>
  <c r="O590" i="67"/>
  <c r="O132" i="67"/>
  <c r="AE940" i="67"/>
  <c r="AE334" i="67"/>
  <c r="AE789" i="67"/>
  <c r="AE486" i="67"/>
  <c r="AE638" i="67"/>
  <c r="AE28" i="67"/>
  <c r="AE181" i="67"/>
  <c r="AY15" i="68"/>
  <c r="X16" i="62" s="1"/>
  <c r="P1044" i="67"/>
  <c r="P893" i="67"/>
  <c r="P438" i="67"/>
  <c r="P742" i="67"/>
  <c r="P132" i="67"/>
  <c r="P285" i="67"/>
  <c r="P590" i="67"/>
  <c r="AF940" i="67"/>
  <c r="AF334" i="67"/>
  <c r="AF789" i="67"/>
  <c r="AF181" i="67"/>
  <c r="AF486" i="67"/>
  <c r="AF638" i="67"/>
  <c r="AF28" i="67"/>
  <c r="AZ15" i="68"/>
  <c r="Y16" i="62" s="1"/>
  <c r="AV1044" i="67"/>
  <c r="AV893" i="67"/>
  <c r="AV438" i="67"/>
  <c r="AV742" i="67"/>
  <c r="AV132" i="67"/>
  <c r="AV285" i="67"/>
  <c r="AV590" i="67"/>
  <c r="AL1042" i="67"/>
  <c r="AL436" i="67"/>
  <c r="AL891" i="67"/>
  <c r="AL588" i="67"/>
  <c r="AL130" i="67"/>
  <c r="AL740" i="67"/>
  <c r="AL283" i="67"/>
  <c r="T1059" i="67"/>
  <c r="T757" i="67"/>
  <c r="T453" i="67"/>
  <c r="T908" i="67"/>
  <c r="T605" i="67"/>
  <c r="T300" i="67"/>
  <c r="T147" i="67"/>
  <c r="AH957" i="67"/>
  <c r="AH351" i="67"/>
  <c r="AH503" i="67"/>
  <c r="AH655" i="67"/>
  <c r="AH806" i="67"/>
  <c r="AH45" i="67"/>
  <c r="AH198" i="67"/>
  <c r="O956" i="67"/>
  <c r="O350" i="67"/>
  <c r="O654" i="67"/>
  <c r="O805" i="67"/>
  <c r="O502" i="67"/>
  <c r="O44" i="67"/>
  <c r="O197" i="67"/>
  <c r="AI22" i="68"/>
  <c r="H22" i="62" s="1"/>
  <c r="AN956" i="67"/>
  <c r="AN350" i="67"/>
  <c r="AN502" i="67"/>
  <c r="AN654" i="67"/>
  <c r="AN44" i="67"/>
  <c r="AN805" i="67"/>
  <c r="AN197" i="67"/>
  <c r="BH22" i="68"/>
  <c r="AG22" i="62" s="1"/>
  <c r="Z956" i="67"/>
  <c r="Z350" i="67"/>
  <c r="Z805" i="67"/>
  <c r="Z654" i="67"/>
  <c r="Z502" i="67"/>
  <c r="Z44" i="67"/>
  <c r="Z197" i="67"/>
  <c r="AT22" i="68"/>
  <c r="S22" i="62" s="1"/>
  <c r="K1043" i="67"/>
  <c r="K892" i="67"/>
  <c r="K437" i="67"/>
  <c r="K741" i="67"/>
  <c r="K284" i="67"/>
  <c r="K589" i="67"/>
  <c r="K131" i="67"/>
  <c r="U1044" i="67"/>
  <c r="U438" i="67"/>
  <c r="U742" i="67"/>
  <c r="U893" i="67"/>
  <c r="U285" i="67"/>
  <c r="U590" i="67"/>
  <c r="U132" i="67"/>
  <c r="Z940" i="67"/>
  <c r="Z334" i="67"/>
  <c r="Z638" i="67"/>
  <c r="Z789" i="67"/>
  <c r="Z486" i="67"/>
  <c r="Z28" i="67"/>
  <c r="Z181" i="67"/>
  <c r="AT15" i="68"/>
  <c r="S16" i="62" s="1"/>
  <c r="AD1044" i="67"/>
  <c r="AD742" i="67"/>
  <c r="AD438" i="67"/>
  <c r="AD893" i="67"/>
  <c r="AD590" i="67"/>
  <c r="AD132" i="67"/>
  <c r="AD285" i="67"/>
  <c r="T940" i="67"/>
  <c r="T334" i="67"/>
  <c r="T486" i="67"/>
  <c r="T638" i="67"/>
  <c r="T28" i="67"/>
  <c r="T789" i="67"/>
  <c r="T181" i="67"/>
  <c r="AN15" i="68"/>
  <c r="M16" i="62" s="1"/>
  <c r="AM80" i="70"/>
  <c r="AM64" i="70"/>
  <c r="AK165" i="65"/>
  <c r="AK177" i="65" s="1"/>
  <c r="T1384" i="67"/>
  <c r="T1398" i="67"/>
  <c r="T1416" i="67"/>
  <c r="T1536" i="67"/>
  <c r="T1552" i="67"/>
  <c r="W958" i="67"/>
  <c r="W352" i="67"/>
  <c r="W656" i="67"/>
  <c r="W807" i="67"/>
  <c r="W504" i="67"/>
  <c r="W46" i="67"/>
  <c r="W199" i="67"/>
  <c r="AQ23" i="68"/>
  <c r="M165" i="65"/>
  <c r="M177" i="65" s="1"/>
  <c r="AO64" i="70"/>
  <c r="AO80" i="70"/>
  <c r="AW64" i="70"/>
  <c r="AW80" i="70"/>
  <c r="AH165" i="65"/>
  <c r="AH177" i="65" s="1"/>
  <c r="W165" i="65"/>
  <c r="W177" i="65" s="1"/>
  <c r="Q165" i="65"/>
  <c r="Q177" i="65" s="1"/>
  <c r="AR80" i="70"/>
  <c r="AR64" i="70"/>
  <c r="O433" i="67"/>
  <c r="O280" i="67"/>
  <c r="O888" i="67"/>
  <c r="O585" i="67"/>
  <c r="O737" i="67"/>
  <c r="O127" i="67"/>
  <c r="S938" i="67"/>
  <c r="S332" i="67"/>
  <c r="S636" i="67"/>
  <c r="S787" i="67"/>
  <c r="S179" i="67"/>
  <c r="S484" i="67"/>
  <c r="S26" i="67"/>
  <c r="AM14" i="68"/>
  <c r="L15" i="62" s="1"/>
  <c r="U956" i="67"/>
  <c r="U350" i="67"/>
  <c r="U805" i="67"/>
  <c r="U654" i="67"/>
  <c r="U502" i="67"/>
  <c r="U44" i="67"/>
  <c r="U197" i="67"/>
  <c r="AO22" i="68"/>
  <c r="N22" i="62" s="1"/>
  <c r="X938" i="67"/>
  <c r="X332" i="67"/>
  <c r="X787" i="67"/>
  <c r="X636" i="67"/>
  <c r="X179" i="67"/>
  <c r="X484" i="67"/>
  <c r="X26" i="67"/>
  <c r="AR14" i="68"/>
  <c r="Q15" i="62" s="1"/>
  <c r="Q956" i="67"/>
  <c r="Q350" i="67"/>
  <c r="Q654" i="67"/>
  <c r="Q805" i="67"/>
  <c r="Q502" i="67"/>
  <c r="Q44" i="67"/>
  <c r="Q197" i="67"/>
  <c r="AK22" i="68"/>
  <c r="J22" i="62" s="1"/>
  <c r="AI1044" i="67"/>
  <c r="AI893" i="67"/>
  <c r="AI438" i="67"/>
  <c r="AI742" i="67"/>
  <c r="AI132" i="67"/>
  <c r="AI285" i="67"/>
  <c r="AI590" i="67"/>
  <c r="BO80" i="70"/>
  <c r="BO64" i="70"/>
  <c r="V1042" i="67"/>
  <c r="V436" i="67"/>
  <c r="V891" i="67"/>
  <c r="V588" i="67"/>
  <c r="V130" i="67"/>
  <c r="V740" i="67"/>
  <c r="V283" i="67"/>
  <c r="S1043" i="67"/>
  <c r="S741" i="67"/>
  <c r="S437" i="67"/>
  <c r="S892" i="67"/>
  <c r="S131" i="67"/>
  <c r="S284" i="67"/>
  <c r="S589" i="67"/>
  <c r="P1042" i="67"/>
  <c r="P436" i="67"/>
  <c r="P891" i="67"/>
  <c r="P588" i="67"/>
  <c r="P130" i="67"/>
  <c r="P740" i="67"/>
  <c r="P283" i="67"/>
  <c r="AG1042" i="67"/>
  <c r="AG436" i="67"/>
  <c r="AG891" i="67"/>
  <c r="AG588" i="67"/>
  <c r="AG130" i="67"/>
  <c r="AG740" i="67"/>
  <c r="AG283" i="67"/>
  <c r="AV957" i="67"/>
  <c r="AV351" i="67"/>
  <c r="AV655" i="67"/>
  <c r="AV806" i="67"/>
  <c r="AV503" i="67"/>
  <c r="AV45" i="67"/>
  <c r="AV198" i="67"/>
  <c r="AB939" i="67"/>
  <c r="AB333" i="67"/>
  <c r="AB485" i="67"/>
  <c r="AB637" i="67"/>
  <c r="AB788" i="67"/>
  <c r="AB27" i="67"/>
  <c r="AB180" i="67"/>
  <c r="AP939" i="67"/>
  <c r="AP788" i="67"/>
  <c r="AP333" i="67"/>
  <c r="AP637" i="67"/>
  <c r="AP485" i="67"/>
  <c r="AP27" i="67"/>
  <c r="AP180" i="67"/>
  <c r="U939" i="67"/>
  <c r="U333" i="67"/>
  <c r="U637" i="67"/>
  <c r="U27" i="67"/>
  <c r="U788" i="67"/>
  <c r="U485" i="67"/>
  <c r="U180" i="67"/>
  <c r="AW1059" i="67"/>
  <c r="AW757" i="67"/>
  <c r="AW908" i="67"/>
  <c r="AW453" i="67"/>
  <c r="AW300" i="67"/>
  <c r="AW147" i="67"/>
  <c r="AW605" i="67"/>
  <c r="AW925" i="67"/>
  <c r="AW319" i="67"/>
  <c r="AW774" i="67"/>
  <c r="AW623" i="67"/>
  <c r="AW13" i="67"/>
  <c r="AW166" i="67"/>
  <c r="AA1058" i="67"/>
  <c r="AA907" i="67"/>
  <c r="AA452" i="67"/>
  <c r="AA756" i="67"/>
  <c r="AA146" i="67"/>
  <c r="AA604" i="67"/>
  <c r="AA299" i="67"/>
  <c r="AA924" i="67"/>
  <c r="AA318" i="67"/>
  <c r="AA773" i="67"/>
  <c r="AA622" i="67"/>
  <c r="AA12" i="67"/>
  <c r="AA165" i="67"/>
  <c r="AO1058" i="67"/>
  <c r="AO452" i="67"/>
  <c r="AO756" i="67"/>
  <c r="AO907" i="67"/>
  <c r="AO299" i="67"/>
  <c r="AO146" i="67"/>
  <c r="AO604" i="67"/>
  <c r="AO924" i="67"/>
  <c r="AO622" i="67"/>
  <c r="AO318" i="67"/>
  <c r="AO773" i="67"/>
  <c r="AO12" i="67"/>
  <c r="AO165" i="67"/>
  <c r="AQ1058" i="67"/>
  <c r="AQ907" i="67"/>
  <c r="AQ452" i="67"/>
  <c r="AQ756" i="67"/>
  <c r="AQ146" i="67"/>
  <c r="AQ604" i="67"/>
  <c r="AQ299" i="67"/>
  <c r="AQ924" i="67"/>
  <c r="AQ318" i="67"/>
  <c r="AQ773" i="67"/>
  <c r="AQ622" i="67"/>
  <c r="AQ12" i="67"/>
  <c r="AQ165" i="67"/>
  <c r="AC1058" i="67"/>
  <c r="AC452" i="67"/>
  <c r="AC907" i="67"/>
  <c r="AC756" i="67"/>
  <c r="AC604" i="67"/>
  <c r="AC299" i="67"/>
  <c r="AC146" i="67"/>
  <c r="AC924" i="67"/>
  <c r="AC773" i="67"/>
  <c r="AC318" i="67"/>
  <c r="AC622" i="67"/>
  <c r="AC165" i="67"/>
  <c r="AC12" i="67"/>
  <c r="AJ1043" i="67"/>
  <c r="AJ741" i="67"/>
  <c r="AJ437" i="67"/>
  <c r="AJ892" i="67"/>
  <c r="AJ589" i="67"/>
  <c r="AJ131" i="67"/>
  <c r="AJ284" i="67"/>
  <c r="AJ925" i="67"/>
  <c r="AJ774" i="67"/>
  <c r="AJ319" i="67"/>
  <c r="AJ623" i="67"/>
  <c r="AJ13" i="67"/>
  <c r="AJ166" i="67"/>
  <c r="M1059" i="67"/>
  <c r="M453" i="67"/>
  <c r="M908" i="67"/>
  <c r="M757" i="67"/>
  <c r="M605" i="67"/>
  <c r="M300" i="67"/>
  <c r="M147" i="67"/>
  <c r="M925" i="67"/>
  <c r="M319" i="67"/>
  <c r="M623" i="67"/>
  <c r="M774" i="67"/>
  <c r="M13" i="67"/>
  <c r="M166" i="67"/>
  <c r="W1059" i="67"/>
  <c r="W453" i="67"/>
  <c r="W908" i="67"/>
  <c r="W757" i="67"/>
  <c r="W605" i="67"/>
  <c r="W300" i="67"/>
  <c r="W147" i="67"/>
  <c r="W925" i="67"/>
  <c r="W319" i="67"/>
  <c r="W774" i="67"/>
  <c r="W166" i="67"/>
  <c r="W623" i="67"/>
  <c r="W13" i="67"/>
  <c r="N1059" i="67"/>
  <c r="N453" i="67"/>
  <c r="N757" i="67"/>
  <c r="N908" i="67"/>
  <c r="N147" i="67"/>
  <c r="N300" i="67"/>
  <c r="N605" i="67"/>
  <c r="N925" i="67"/>
  <c r="N319" i="67"/>
  <c r="N774" i="67"/>
  <c r="N623" i="67"/>
  <c r="N13" i="67"/>
  <c r="N166" i="67"/>
  <c r="AI1043" i="67"/>
  <c r="AI741" i="67"/>
  <c r="AI437" i="67"/>
  <c r="AI892" i="67"/>
  <c r="AI131" i="67"/>
  <c r="AI284" i="67"/>
  <c r="AI589" i="67"/>
  <c r="AD957" i="67"/>
  <c r="AD351" i="67"/>
  <c r="AD806" i="67"/>
  <c r="AD503" i="67"/>
  <c r="AD655" i="67"/>
  <c r="AD45" i="67"/>
  <c r="AD198" i="67"/>
  <c r="AM957" i="67"/>
  <c r="AM351" i="67"/>
  <c r="AM655" i="67"/>
  <c r="AM806" i="67"/>
  <c r="AM45" i="67"/>
  <c r="AM503" i="67"/>
  <c r="AM198" i="67"/>
  <c r="AK957" i="67"/>
  <c r="AK351" i="67"/>
  <c r="AK806" i="67"/>
  <c r="AK655" i="67"/>
  <c r="AK503" i="67"/>
  <c r="AK45" i="67"/>
  <c r="AK198" i="67"/>
  <c r="AF956" i="67"/>
  <c r="AF350" i="67"/>
  <c r="AF654" i="67"/>
  <c r="AF44" i="67"/>
  <c r="AF805" i="67"/>
  <c r="AF502" i="67"/>
  <c r="AF197" i="67"/>
  <c r="AZ22" i="68"/>
  <c r="Y22" i="62" s="1"/>
  <c r="Y1060" i="67"/>
  <c r="Y909" i="67"/>
  <c r="Y454" i="67"/>
  <c r="Y758" i="67"/>
  <c r="Y148" i="67"/>
  <c r="Y606" i="67"/>
  <c r="Y301" i="67"/>
  <c r="Y926" i="67"/>
  <c r="Y320" i="67"/>
  <c r="Y775" i="67"/>
  <c r="Y624" i="67"/>
  <c r="Y472" i="67"/>
  <c r="Y14" i="67"/>
  <c r="Y167" i="67"/>
  <c r="AS8" i="68"/>
  <c r="R10" i="62" s="1"/>
  <c r="AO958" i="67"/>
  <c r="AO352" i="67"/>
  <c r="AO807" i="67"/>
  <c r="AO504" i="67"/>
  <c r="AO656" i="67"/>
  <c r="AO46" i="67"/>
  <c r="AO199" i="67"/>
  <c r="BI23" i="68"/>
  <c r="AH1060" i="67"/>
  <c r="AH909" i="67"/>
  <c r="AH454" i="67"/>
  <c r="AH758" i="67"/>
  <c r="AH606" i="67"/>
  <c r="AH301" i="67"/>
  <c r="AH148" i="67"/>
  <c r="AH926" i="67"/>
  <c r="AH320" i="67"/>
  <c r="AH775" i="67"/>
  <c r="AH167" i="67"/>
  <c r="AH624" i="67"/>
  <c r="AH472" i="67"/>
  <c r="AH14" i="67"/>
  <c r="BB8" i="68"/>
  <c r="AA10" i="62" s="1"/>
  <c r="N958" i="67"/>
  <c r="N352" i="67"/>
  <c r="N656" i="67"/>
  <c r="N504" i="67"/>
  <c r="N199" i="67"/>
  <c r="N807" i="67"/>
  <c r="N46" i="67"/>
  <c r="AH23" i="68"/>
  <c r="AM1060" i="67"/>
  <c r="AM454" i="67"/>
  <c r="AM909" i="67"/>
  <c r="AM758" i="67"/>
  <c r="AM606" i="67"/>
  <c r="AM301" i="67"/>
  <c r="AM148" i="67"/>
  <c r="AM926" i="67"/>
  <c r="AM624" i="67"/>
  <c r="AM320" i="67"/>
  <c r="AM775" i="67"/>
  <c r="AM472" i="67"/>
  <c r="AM14" i="67"/>
  <c r="AM167" i="67"/>
  <c r="BG8" i="68"/>
  <c r="AF10" i="62" s="1"/>
  <c r="X958" i="67"/>
  <c r="X352" i="67"/>
  <c r="X807" i="67"/>
  <c r="X656" i="67"/>
  <c r="X504" i="67"/>
  <c r="X46" i="67"/>
  <c r="X199" i="67"/>
  <c r="AR23" i="68"/>
  <c r="Q433" i="67"/>
  <c r="Q585" i="67"/>
  <c r="Q127" i="67"/>
  <c r="Q888" i="67"/>
  <c r="Q737" i="67"/>
  <c r="Q280" i="67"/>
  <c r="Q770" i="67"/>
  <c r="Q619" i="67"/>
  <c r="M329" i="67"/>
  <c r="M481" i="67"/>
  <c r="M23" i="67"/>
  <c r="M633" i="67"/>
  <c r="M176" i="67"/>
  <c r="U1062" i="67"/>
  <c r="U1391" i="67"/>
  <c r="U1405" i="67"/>
  <c r="U1423" i="67"/>
  <c r="U1543" i="67"/>
  <c r="U1559" i="67"/>
  <c r="U1046" i="67"/>
  <c r="U1197" i="67"/>
  <c r="U960" i="67"/>
  <c r="U1093" i="67"/>
  <c r="U1213" i="67"/>
  <c r="U942" i="67"/>
  <c r="U1079" i="67"/>
  <c r="U928" i="67"/>
  <c r="U1111" i="67"/>
  <c r="U791" i="67"/>
  <c r="T1063" i="67"/>
  <c r="T1392" i="67"/>
  <c r="T1406" i="67"/>
  <c r="T1424" i="67"/>
  <c r="T1544" i="67"/>
  <c r="T1560" i="67"/>
  <c r="T961" i="67"/>
  <c r="T1198" i="67"/>
  <c r="T1047" i="67"/>
  <c r="T1080" i="67"/>
  <c r="T1214" i="67"/>
  <c r="T943" i="67"/>
  <c r="T1094" i="67"/>
  <c r="T929" i="67"/>
  <c r="T1112" i="67"/>
  <c r="T792" i="67"/>
  <c r="P1063" i="67"/>
  <c r="P1392" i="67"/>
  <c r="P1406" i="67"/>
  <c r="P1424" i="67"/>
  <c r="P1560" i="67"/>
  <c r="P1544" i="67"/>
  <c r="P961" i="67"/>
  <c r="P1112" i="67"/>
  <c r="P1047" i="67"/>
  <c r="P792" i="67"/>
  <c r="P1198" i="67"/>
  <c r="P943" i="67"/>
  <c r="P1080" i="67"/>
  <c r="P1214" i="67"/>
  <c r="P929" i="67"/>
  <c r="P1094" i="67"/>
  <c r="BH80" i="70"/>
  <c r="BH64" i="70"/>
  <c r="Y165" i="65"/>
  <c r="Y177" i="65" s="1"/>
  <c r="N585" i="67"/>
  <c r="N127" i="67"/>
  <c r="N433" i="67"/>
  <c r="N737" i="67"/>
  <c r="N280" i="67"/>
  <c r="N888" i="67"/>
  <c r="AE956" i="67"/>
  <c r="AE350" i="67"/>
  <c r="AE654" i="67"/>
  <c r="AE805" i="67"/>
  <c r="AE502" i="67"/>
  <c r="AE44" i="67"/>
  <c r="AE197" i="67"/>
  <c r="AY22" i="68"/>
  <c r="X22" i="62" s="1"/>
  <c r="AC925" i="67"/>
  <c r="AC774" i="67"/>
  <c r="AC319" i="67"/>
  <c r="AC623" i="67"/>
  <c r="AC13" i="67"/>
  <c r="AC166" i="67"/>
  <c r="X925" i="67"/>
  <c r="X319" i="67"/>
  <c r="X623" i="67"/>
  <c r="X774" i="67"/>
  <c r="X13" i="67"/>
  <c r="X166" i="67"/>
  <c r="AH924" i="67"/>
  <c r="AH318" i="67"/>
  <c r="AH773" i="67"/>
  <c r="AH622" i="67"/>
  <c r="AH12" i="67"/>
  <c r="AH165" i="67"/>
  <c r="O925" i="67"/>
  <c r="O319" i="67"/>
  <c r="O774" i="67"/>
  <c r="O166" i="67"/>
  <c r="O623" i="67"/>
  <c r="O13" i="67"/>
  <c r="N1042" i="67"/>
  <c r="N436" i="67"/>
  <c r="N891" i="67"/>
  <c r="N588" i="67"/>
  <c r="N130" i="67"/>
  <c r="N740" i="67"/>
  <c r="N283" i="67"/>
  <c r="AU1058" i="67"/>
  <c r="AU452" i="67"/>
  <c r="AU756" i="67"/>
  <c r="AU907" i="67"/>
  <c r="AU604" i="67"/>
  <c r="AU299" i="67"/>
  <c r="AU146" i="67"/>
  <c r="Q1059" i="67"/>
  <c r="Q757" i="67"/>
  <c r="Q908" i="67"/>
  <c r="Q453" i="67"/>
  <c r="Q300" i="67"/>
  <c r="Q147" i="67"/>
  <c r="Q605" i="67"/>
  <c r="AD1058" i="67"/>
  <c r="AD907" i="67"/>
  <c r="AD452" i="67"/>
  <c r="AD756" i="67"/>
  <c r="AD604" i="67"/>
  <c r="AD299" i="67"/>
  <c r="AD146" i="67"/>
  <c r="Z1059" i="67"/>
  <c r="Z908" i="67"/>
  <c r="Z453" i="67"/>
  <c r="Z757" i="67"/>
  <c r="Z605" i="67"/>
  <c r="Z147" i="67"/>
  <c r="Z300" i="67"/>
  <c r="Z925" i="67"/>
  <c r="Z319" i="67"/>
  <c r="Z623" i="67"/>
  <c r="Z774" i="67"/>
  <c r="Z13" i="67"/>
  <c r="Z166" i="67"/>
  <c r="M940" i="67"/>
  <c r="M789" i="67"/>
  <c r="M334" i="67"/>
  <c r="M638" i="67"/>
  <c r="M486" i="67"/>
  <c r="M28" i="67"/>
  <c r="M181" i="67"/>
  <c r="AG15" i="68"/>
  <c r="F16" i="62" s="1"/>
  <c r="AC1044" i="67"/>
  <c r="AC742" i="67"/>
  <c r="AC438" i="67"/>
  <c r="AC893" i="67"/>
  <c r="AC132" i="67"/>
  <c r="AC285" i="67"/>
  <c r="AC590" i="67"/>
  <c r="K1044" i="67"/>
  <c r="K438" i="67"/>
  <c r="K742" i="67"/>
  <c r="K893" i="67"/>
  <c r="K132" i="67"/>
  <c r="K285" i="67"/>
  <c r="K590" i="67"/>
  <c r="AB940" i="67"/>
  <c r="AB334" i="67"/>
  <c r="AB638" i="67"/>
  <c r="AB28" i="67"/>
  <c r="AB789" i="67"/>
  <c r="AB486" i="67"/>
  <c r="AB181" i="67"/>
  <c r="AV15" i="68"/>
  <c r="U16" i="62" s="1"/>
  <c r="AR1044" i="67"/>
  <c r="AR742" i="67"/>
  <c r="AR438" i="67"/>
  <c r="AR893" i="67"/>
  <c r="AR285" i="67"/>
  <c r="AR590" i="67"/>
  <c r="AR132" i="67"/>
  <c r="AV956" i="67"/>
  <c r="AV350" i="67"/>
  <c r="AV654" i="67"/>
  <c r="AV44" i="67"/>
  <c r="AV805" i="67"/>
  <c r="AV502" i="67"/>
  <c r="AV197" i="67"/>
  <c r="BP22" i="68"/>
  <c r="AO22" i="62" s="1"/>
  <c r="AR957" i="67"/>
  <c r="AR351" i="67"/>
  <c r="AR806" i="67"/>
  <c r="AR655" i="67"/>
  <c r="AR503" i="67"/>
  <c r="AR45" i="67"/>
  <c r="AR198" i="67"/>
  <c r="AT956" i="67"/>
  <c r="AT350" i="67"/>
  <c r="AT805" i="67"/>
  <c r="AT654" i="67"/>
  <c r="AT502" i="67"/>
  <c r="AT44" i="67"/>
  <c r="AT197" i="67"/>
  <c r="BN22" i="68"/>
  <c r="AM22" i="62" s="1"/>
  <c r="AM938" i="67"/>
  <c r="AM787" i="67"/>
  <c r="AM332" i="67"/>
  <c r="AM636" i="67"/>
  <c r="AM26" i="67"/>
  <c r="AM484" i="67"/>
  <c r="AM179" i="67"/>
  <c r="BG14" i="68"/>
  <c r="AF15" i="62" s="1"/>
  <c r="R939" i="67"/>
  <c r="R788" i="67"/>
  <c r="R333" i="67"/>
  <c r="R637" i="67"/>
  <c r="R485" i="67"/>
  <c r="R27" i="67"/>
  <c r="R180" i="67"/>
  <c r="AK1044" i="67"/>
  <c r="AK438" i="67"/>
  <c r="AK742" i="67"/>
  <c r="AK893" i="67"/>
  <c r="AK285" i="67"/>
  <c r="AK590" i="67"/>
  <c r="AK132" i="67"/>
  <c r="AU940" i="67"/>
  <c r="AU334" i="67"/>
  <c r="AU789" i="67"/>
  <c r="AU486" i="67"/>
  <c r="AU638" i="67"/>
  <c r="AU28" i="67"/>
  <c r="AU181" i="67"/>
  <c r="BO15" i="68"/>
  <c r="AN16" i="62" s="1"/>
  <c r="S1044" i="67"/>
  <c r="S893" i="67"/>
  <c r="S438" i="67"/>
  <c r="S742" i="67"/>
  <c r="S132" i="67"/>
  <c r="S285" i="67"/>
  <c r="S590" i="67"/>
  <c r="Y449" i="67"/>
  <c r="Y904" i="67"/>
  <c r="Y296" i="67"/>
  <c r="Y601" i="67"/>
  <c r="Y143" i="67"/>
  <c r="Y753" i="67"/>
  <c r="AU80" i="70"/>
  <c r="AU64" i="70"/>
  <c r="AL940" i="67"/>
  <c r="AL334" i="67"/>
  <c r="AL638" i="67"/>
  <c r="AL789" i="67"/>
  <c r="AL181" i="67"/>
  <c r="AL486" i="67"/>
  <c r="AL28" i="67"/>
  <c r="BF15" i="68"/>
  <c r="AE16" i="62" s="1"/>
  <c r="BB80" i="70"/>
  <c r="BB64" i="70"/>
  <c r="Y51" i="69"/>
  <c r="Y56" i="69" s="1"/>
  <c r="Y58" i="69" s="1"/>
  <c r="Y59" i="69" s="1"/>
  <c r="Y60" i="69" s="1"/>
  <c r="Y61" i="69" s="1"/>
  <c r="Y9" i="69"/>
  <c r="AD10" i="70" s="1"/>
  <c r="K953" i="67" s="1"/>
  <c r="AQ80" i="70"/>
  <c r="AQ64" i="70"/>
  <c r="AF80" i="70"/>
  <c r="AF64" i="70"/>
  <c r="AK80" i="70"/>
  <c r="AK64" i="70"/>
  <c r="BG80" i="70"/>
  <c r="BG64" i="70"/>
  <c r="P957" i="67"/>
  <c r="P351" i="67"/>
  <c r="P655" i="67"/>
  <c r="P806" i="67"/>
  <c r="P45" i="67"/>
  <c r="P198" i="67"/>
  <c r="P503" i="67"/>
  <c r="AG1059" i="67"/>
  <c r="AG757" i="67"/>
  <c r="AG908" i="67"/>
  <c r="AG453" i="67"/>
  <c r="AG300" i="67"/>
  <c r="AG147" i="67"/>
  <c r="AG605" i="67"/>
  <c r="AB1042" i="67"/>
  <c r="AB436" i="67"/>
  <c r="AB891" i="67"/>
  <c r="AB588" i="67"/>
  <c r="AB130" i="67"/>
  <c r="AB740" i="67"/>
  <c r="AB283" i="67"/>
  <c r="AL957" i="67"/>
  <c r="AL351" i="67"/>
  <c r="AL806" i="67"/>
  <c r="AL655" i="67"/>
  <c r="AL503" i="67"/>
  <c r="AL45" i="67"/>
  <c r="AL198" i="67"/>
  <c r="AP956" i="67"/>
  <c r="AP350" i="67"/>
  <c r="AP654" i="67"/>
  <c r="AP805" i="67"/>
  <c r="AP197" i="67"/>
  <c r="AP502" i="67"/>
  <c r="AP44" i="67"/>
  <c r="BJ22" i="68"/>
  <c r="AI22" i="62" s="1"/>
  <c r="T956" i="67"/>
  <c r="T350" i="67"/>
  <c r="T805" i="67"/>
  <c r="T197" i="67"/>
  <c r="T502" i="67"/>
  <c r="T654" i="67"/>
  <c r="T44" i="67"/>
  <c r="AN22" i="68"/>
  <c r="M22" i="62" s="1"/>
  <c r="AR956" i="67"/>
  <c r="AR350" i="67"/>
  <c r="AR805" i="67"/>
  <c r="AR197" i="67"/>
  <c r="AR654" i="67"/>
  <c r="AR502" i="67"/>
  <c r="AR44" i="67"/>
  <c r="BL22" i="68"/>
  <c r="AK22" i="62" s="1"/>
  <c r="AT957" i="67"/>
  <c r="AT351" i="67"/>
  <c r="AT806" i="67"/>
  <c r="AT503" i="67"/>
  <c r="AT655" i="67"/>
  <c r="AT45" i="67"/>
  <c r="AT198" i="67"/>
  <c r="Q1044" i="67"/>
  <c r="Q893" i="67"/>
  <c r="Q438" i="67"/>
  <c r="Q742" i="67"/>
  <c r="Q590" i="67"/>
  <c r="Q285" i="67"/>
  <c r="Q132" i="67"/>
  <c r="P940" i="67"/>
  <c r="P334" i="67"/>
  <c r="P789" i="67"/>
  <c r="P181" i="67"/>
  <c r="P486" i="67"/>
  <c r="P638" i="67"/>
  <c r="P28" i="67"/>
  <c r="AJ15" i="68"/>
  <c r="I16" i="62" s="1"/>
  <c r="AV940" i="67"/>
  <c r="AV334" i="67"/>
  <c r="AV789" i="67"/>
  <c r="AV181" i="67"/>
  <c r="AV486" i="67"/>
  <c r="AV638" i="67"/>
  <c r="AV28" i="67"/>
  <c r="BP15" i="68"/>
  <c r="AO16" i="62" s="1"/>
  <c r="AL938" i="67"/>
  <c r="AL332" i="67"/>
  <c r="AL787" i="67"/>
  <c r="AL179" i="67"/>
  <c r="AL636" i="67"/>
  <c r="AL484" i="67"/>
  <c r="AL26" i="67"/>
  <c r="BF14" i="68"/>
  <c r="AE15" i="62" s="1"/>
  <c r="O1058" i="67"/>
  <c r="O452" i="67"/>
  <c r="O756" i="67"/>
  <c r="O907" i="67"/>
  <c r="O604" i="67"/>
  <c r="O299" i="67"/>
  <c r="O146" i="67"/>
  <c r="AN1058" i="67"/>
  <c r="AN907" i="67"/>
  <c r="AN452" i="67"/>
  <c r="AN756" i="67"/>
  <c r="AN146" i="67"/>
  <c r="AN299" i="67"/>
  <c r="AN604" i="67"/>
  <c r="Z1058" i="67"/>
  <c r="Z756" i="67"/>
  <c r="Z452" i="67"/>
  <c r="Z907" i="67"/>
  <c r="Z604" i="67"/>
  <c r="Z299" i="67"/>
  <c r="Z146" i="67"/>
  <c r="Z1044" i="67"/>
  <c r="Z893" i="67"/>
  <c r="Z438" i="67"/>
  <c r="Z742" i="67"/>
  <c r="Z285" i="67"/>
  <c r="Z132" i="67"/>
  <c r="Z590" i="67"/>
  <c r="AD940" i="67"/>
  <c r="AD334" i="67"/>
  <c r="AD789" i="67"/>
  <c r="AD638" i="67"/>
  <c r="AD486" i="67"/>
  <c r="AD28" i="67"/>
  <c r="AD181" i="67"/>
  <c r="AX15" i="68"/>
  <c r="W16" i="62" s="1"/>
  <c r="BE64" i="70"/>
  <c r="BE80" i="70"/>
  <c r="W926" i="67"/>
  <c r="W624" i="67"/>
  <c r="W320" i="67"/>
  <c r="W775" i="67"/>
  <c r="W472" i="67"/>
  <c r="W14" i="67"/>
  <c r="W167" i="67"/>
  <c r="AQ8" i="68"/>
  <c r="P10" i="62" s="1"/>
  <c r="AE80" i="70"/>
  <c r="AE64" i="70"/>
  <c r="X1042" i="67"/>
  <c r="X436" i="67"/>
  <c r="X891" i="67"/>
  <c r="X588" i="67"/>
  <c r="X130" i="67"/>
  <c r="X740" i="67"/>
  <c r="X283" i="67"/>
  <c r="AI940" i="67"/>
  <c r="AI334" i="67"/>
  <c r="AI486" i="67"/>
  <c r="AI638" i="67"/>
  <c r="AI789" i="67"/>
  <c r="AI28" i="67"/>
  <c r="AI181" i="67"/>
  <c r="BC15" i="68"/>
  <c r="AB16" i="62" s="1"/>
  <c r="V938" i="67"/>
  <c r="V332" i="67"/>
  <c r="V787" i="67"/>
  <c r="V179" i="67"/>
  <c r="V636" i="67"/>
  <c r="V484" i="67"/>
  <c r="V26" i="67"/>
  <c r="AP14" i="68"/>
  <c r="O15" i="62" s="1"/>
  <c r="P938" i="67"/>
  <c r="P787" i="67"/>
  <c r="P332" i="67"/>
  <c r="P636" i="67"/>
  <c r="P484" i="67"/>
  <c r="P26" i="67"/>
  <c r="P179" i="67"/>
  <c r="AJ14" i="68"/>
  <c r="I15" i="62" s="1"/>
  <c r="AV1059" i="67"/>
  <c r="AV908" i="67"/>
  <c r="AV453" i="67"/>
  <c r="AV757" i="67"/>
  <c r="AV605" i="67"/>
  <c r="AV300" i="67"/>
  <c r="AV147" i="67"/>
  <c r="AW957" i="67"/>
  <c r="AW351" i="67"/>
  <c r="AW655" i="67"/>
  <c r="AW806" i="67"/>
  <c r="AW45" i="67"/>
  <c r="AW198" i="67"/>
  <c r="AW503" i="67"/>
  <c r="AO956" i="67"/>
  <c r="AO350" i="67"/>
  <c r="AO654" i="67"/>
  <c r="AO805" i="67"/>
  <c r="AO44" i="67"/>
  <c r="AO197" i="67"/>
  <c r="AO502" i="67"/>
  <c r="BI22" i="68"/>
  <c r="AH22" i="62" s="1"/>
  <c r="AC956" i="67"/>
  <c r="AC350" i="67"/>
  <c r="AC805" i="67"/>
  <c r="AC654" i="67"/>
  <c r="AC197" i="67"/>
  <c r="AC502" i="67"/>
  <c r="AC44" i="67"/>
  <c r="AW22" i="68"/>
  <c r="V22" i="62" s="1"/>
  <c r="M957" i="67"/>
  <c r="M351" i="67"/>
  <c r="M806" i="67"/>
  <c r="M655" i="67"/>
  <c r="M503" i="67"/>
  <c r="M45" i="67"/>
  <c r="M198" i="67"/>
  <c r="N957" i="67"/>
  <c r="N351" i="67"/>
  <c r="N806" i="67"/>
  <c r="N503" i="67"/>
  <c r="N655" i="67"/>
  <c r="N45" i="67"/>
  <c r="N198" i="67"/>
  <c r="AI939" i="67"/>
  <c r="AI333" i="67"/>
  <c r="AI788" i="67"/>
  <c r="AI180" i="67"/>
  <c r="AI637" i="67"/>
  <c r="AI485" i="67"/>
  <c r="AI27" i="67"/>
  <c r="AD1059" i="67"/>
  <c r="AD453" i="67"/>
  <c r="AD757" i="67"/>
  <c r="AD908" i="67"/>
  <c r="AD147" i="67"/>
  <c r="AD300" i="67"/>
  <c r="AD605" i="67"/>
  <c r="AM925" i="67"/>
  <c r="AM319" i="67"/>
  <c r="AM774" i="67"/>
  <c r="AM166" i="67"/>
  <c r="AM623" i="67"/>
  <c r="AM13" i="67"/>
  <c r="AK1059" i="67"/>
  <c r="AK908" i="67"/>
  <c r="AK453" i="67"/>
  <c r="AK757" i="67"/>
  <c r="AK147" i="67"/>
  <c r="AK605" i="67"/>
  <c r="AK300" i="67"/>
  <c r="AF1058" i="67"/>
  <c r="AF907" i="67"/>
  <c r="AF452" i="67"/>
  <c r="AF756" i="67"/>
  <c r="AF604" i="67"/>
  <c r="AF146" i="67"/>
  <c r="AF299" i="67"/>
  <c r="AO926" i="67"/>
  <c r="AO320" i="67"/>
  <c r="AO775" i="67"/>
  <c r="AO624" i="67"/>
  <c r="AO472" i="67"/>
  <c r="AO14" i="67"/>
  <c r="AO167" i="67"/>
  <c r="BI8" i="68"/>
  <c r="AH10" i="62" s="1"/>
  <c r="AH958" i="67"/>
  <c r="AH352" i="67"/>
  <c r="AH656" i="67"/>
  <c r="AH807" i="67"/>
  <c r="AH46" i="67"/>
  <c r="AH199" i="67"/>
  <c r="AH504" i="67"/>
  <c r="BB23" i="68"/>
  <c r="N1060" i="67"/>
  <c r="N758" i="67"/>
  <c r="N454" i="67"/>
  <c r="N909" i="67"/>
  <c r="N606" i="67"/>
  <c r="N301" i="67"/>
  <c r="N148" i="67"/>
  <c r="X926" i="67"/>
  <c r="X320" i="67"/>
  <c r="X775" i="67"/>
  <c r="X624" i="67"/>
  <c r="X472" i="67"/>
  <c r="X14" i="67"/>
  <c r="X167" i="67"/>
  <c r="AR8" i="68"/>
  <c r="Q10" i="62" s="1"/>
  <c r="Q802" i="67"/>
  <c r="Q194" i="67"/>
  <c r="Q499" i="67"/>
  <c r="Q347" i="67"/>
  <c r="Q651" i="67"/>
  <c r="Q41" i="67"/>
  <c r="L1062" i="67"/>
  <c r="L1391" i="67"/>
  <c r="L1405" i="67"/>
  <c r="L1423" i="67"/>
  <c r="L1543" i="67"/>
  <c r="L1559" i="67"/>
  <c r="L1046" i="67"/>
  <c r="L791" i="67"/>
  <c r="L1111" i="67"/>
  <c r="L960" i="67"/>
  <c r="L1197" i="67"/>
  <c r="L942" i="67"/>
  <c r="L1079" i="67"/>
  <c r="L1213" i="67"/>
  <c r="L928" i="67"/>
  <c r="L1093" i="67"/>
  <c r="Y1063" i="67"/>
  <c r="Y1392" i="67"/>
  <c r="Y1406" i="67"/>
  <c r="Y1424" i="67"/>
  <c r="Y1544" i="67"/>
  <c r="Y1560" i="67"/>
  <c r="Y1047" i="67"/>
  <c r="Y1198" i="67"/>
  <c r="Y961" i="67"/>
  <c r="Y1080" i="67"/>
  <c r="Y1214" i="67"/>
  <c r="Y943" i="67"/>
  <c r="Y1094" i="67"/>
  <c r="Y929" i="67"/>
  <c r="Y1112" i="67"/>
  <c r="Y792" i="67"/>
  <c r="Q1063" i="67"/>
  <c r="Q1392" i="67"/>
  <c r="Q1406" i="67"/>
  <c r="Q1424" i="67"/>
  <c r="Q1544" i="67"/>
  <c r="Q1560" i="67"/>
  <c r="Q1047" i="67"/>
  <c r="Q792" i="67"/>
  <c r="Q1080" i="67"/>
  <c r="Q961" i="67"/>
  <c r="Q1112" i="67"/>
  <c r="Q943" i="67"/>
  <c r="Q1198" i="67"/>
  <c r="Q929" i="67"/>
  <c r="Q1094" i="67"/>
  <c r="Q1214" i="67"/>
  <c r="K1552" i="67"/>
  <c r="K1536" i="67"/>
  <c r="K1398" i="67"/>
  <c r="K1384" i="67"/>
  <c r="K1416" i="67"/>
  <c r="K921" i="67"/>
  <c r="K1206" i="67"/>
  <c r="Z633" i="67"/>
  <c r="Z176" i="67"/>
  <c r="Z481" i="67"/>
  <c r="Z329" i="67"/>
  <c r="Z23" i="67"/>
  <c r="N651" i="67"/>
  <c r="N41" i="67"/>
  <c r="N802" i="67"/>
  <c r="N499" i="67"/>
  <c r="N194" i="67"/>
  <c r="N347" i="67"/>
  <c r="AW956" i="67"/>
  <c r="AW350" i="67"/>
  <c r="AW654" i="67"/>
  <c r="AW805" i="67"/>
  <c r="AW197" i="67"/>
  <c r="AW502" i="67"/>
  <c r="AW44" i="67"/>
  <c r="BQ22" i="68"/>
  <c r="AP22" i="62" s="1"/>
  <c r="AA925" i="67"/>
  <c r="AA319" i="67"/>
  <c r="AA623" i="67"/>
  <c r="AA13" i="67"/>
  <c r="AA774" i="67"/>
  <c r="AA166" i="67"/>
  <c r="AC1043" i="67"/>
  <c r="AC741" i="67"/>
  <c r="AC437" i="67"/>
  <c r="AC892" i="67"/>
  <c r="AC284" i="67"/>
  <c r="AC589" i="67"/>
  <c r="AC131" i="67"/>
  <c r="M1042" i="67"/>
  <c r="M436" i="67"/>
  <c r="M891" i="67"/>
  <c r="M130" i="67"/>
  <c r="M283" i="67"/>
  <c r="M588" i="67"/>
  <c r="M740" i="67"/>
  <c r="AH1042" i="67"/>
  <c r="AH436" i="67"/>
  <c r="AH891" i="67"/>
  <c r="AH588" i="67"/>
  <c r="AH130" i="67"/>
  <c r="AH740" i="67"/>
  <c r="AH283" i="67"/>
  <c r="AU1042" i="67"/>
  <c r="AU436" i="67"/>
  <c r="AU891" i="67"/>
  <c r="AU588" i="67"/>
  <c r="AU130" i="67"/>
  <c r="AU740" i="67"/>
  <c r="AU283" i="67"/>
  <c r="Q1043" i="67"/>
  <c r="Q892" i="67"/>
  <c r="Q437" i="67"/>
  <c r="Q741" i="67"/>
  <c r="Q284" i="67"/>
  <c r="Q131" i="67"/>
  <c r="Q589" i="67"/>
  <c r="N1063" i="67"/>
  <c r="N1392" i="67"/>
  <c r="N1406" i="67"/>
  <c r="N1424" i="67"/>
  <c r="N1544" i="67"/>
  <c r="N1560" i="67"/>
  <c r="N1047" i="67"/>
  <c r="N1080" i="67"/>
  <c r="N1214" i="67"/>
  <c r="N961" i="67"/>
  <c r="N1094" i="67"/>
  <c r="N943" i="67"/>
  <c r="N792" i="67"/>
  <c r="N1112" i="67"/>
  <c r="N929" i="67"/>
  <c r="N1198" i="67"/>
  <c r="O1063" i="67"/>
  <c r="O1392" i="67"/>
  <c r="O1406" i="67"/>
  <c r="O1544" i="67"/>
  <c r="O1560" i="67"/>
  <c r="O1424" i="67"/>
  <c r="O1047" i="67"/>
  <c r="O1198" i="67"/>
  <c r="O943" i="67"/>
  <c r="O792" i="67"/>
  <c r="O1080" i="67"/>
  <c r="O1214" i="67"/>
  <c r="O961" i="67"/>
  <c r="O1094" i="67"/>
  <c r="O929" i="67"/>
  <c r="O1112" i="67"/>
  <c r="M1063" i="67"/>
  <c r="M1392" i="67"/>
  <c r="M1406" i="67"/>
  <c r="M1424" i="67"/>
  <c r="M1544" i="67"/>
  <c r="M1560" i="67"/>
  <c r="M1047" i="67"/>
  <c r="M1094" i="67"/>
  <c r="M1214" i="67"/>
  <c r="M943" i="67"/>
  <c r="M792" i="67"/>
  <c r="M1080" i="67"/>
  <c r="M961" i="67"/>
  <c r="M1112" i="67"/>
  <c r="M929" i="67"/>
  <c r="M1198" i="67"/>
  <c r="I4" i="50"/>
  <c r="I4" i="57" s="1"/>
  <c r="I4" i="69"/>
  <c r="U1063" i="67"/>
  <c r="U1392" i="67"/>
  <c r="U1406" i="67"/>
  <c r="U1424" i="67"/>
  <c r="U1544" i="67"/>
  <c r="U1560" i="67"/>
  <c r="U961" i="67"/>
  <c r="U1112" i="67"/>
  <c r="U943" i="67"/>
  <c r="U1198" i="67"/>
  <c r="U1047" i="67"/>
  <c r="U1094" i="67"/>
  <c r="U1214" i="67"/>
  <c r="U929" i="67"/>
  <c r="U1080" i="67"/>
  <c r="U792" i="67"/>
  <c r="AA1063" i="67"/>
  <c r="AA1392" i="67"/>
  <c r="AA1406" i="67"/>
  <c r="AA1424" i="67"/>
  <c r="AA1544" i="67"/>
  <c r="AA1560" i="67"/>
  <c r="AA1047" i="67"/>
  <c r="AA1080" i="67"/>
  <c r="AA943" i="67"/>
  <c r="AA1198" i="67"/>
  <c r="AA961" i="67"/>
  <c r="AA1094" i="67"/>
  <c r="AA1214" i="67"/>
  <c r="AA929" i="67"/>
  <c r="AA1112" i="67"/>
  <c r="AA792" i="67"/>
  <c r="T1062" i="67"/>
  <c r="T1391" i="67"/>
  <c r="T1405" i="67"/>
  <c r="T1423" i="67"/>
  <c r="T1543" i="67"/>
  <c r="T1559" i="67"/>
  <c r="T1046" i="67"/>
  <c r="T1079" i="67"/>
  <c r="T1213" i="67"/>
  <c r="T960" i="67"/>
  <c r="T1111" i="67"/>
  <c r="T942" i="67"/>
  <c r="T1093" i="67"/>
  <c r="T928" i="67"/>
  <c r="T1197" i="67"/>
  <c r="T791" i="67"/>
  <c r="Z1063" i="67"/>
  <c r="Z1392" i="67"/>
  <c r="Z1406" i="67"/>
  <c r="Z1424" i="67"/>
  <c r="Z1544" i="67"/>
  <c r="Z1560" i="67"/>
  <c r="Z1047" i="67"/>
  <c r="Z1198" i="67"/>
  <c r="Z943" i="67"/>
  <c r="Z1080" i="67"/>
  <c r="Z1214" i="67"/>
  <c r="Z961" i="67"/>
  <c r="Z1094" i="67"/>
  <c r="Z929" i="67"/>
  <c r="Z1112" i="67"/>
  <c r="Z792" i="67"/>
  <c r="P1062" i="67"/>
  <c r="P1391" i="67"/>
  <c r="P1405" i="67"/>
  <c r="P1423" i="67"/>
  <c r="P1543" i="67"/>
  <c r="P1559" i="67"/>
  <c r="P1046" i="67"/>
  <c r="P1197" i="67"/>
  <c r="P960" i="67"/>
  <c r="P1079" i="67"/>
  <c r="P1213" i="67"/>
  <c r="P942" i="67"/>
  <c r="P1093" i="67"/>
  <c r="P928" i="67"/>
  <c r="P791" i="67"/>
  <c r="P1111" i="67"/>
  <c r="Z280" i="67"/>
  <c r="Z433" i="67"/>
  <c r="Z585" i="67"/>
  <c r="Z888" i="67"/>
  <c r="Z737" i="67"/>
  <c r="Z127" i="67"/>
  <c r="H165" i="65"/>
  <c r="H177" i="65" s="1"/>
  <c r="AN80" i="70"/>
  <c r="AN64" i="70"/>
  <c r="S165" i="65"/>
  <c r="S177" i="65" s="1"/>
  <c r="AJ80" i="70"/>
  <c r="AJ64" i="70"/>
  <c r="AD165" i="65"/>
  <c r="AD177" i="65" s="1"/>
  <c r="AX80" i="70"/>
  <c r="AX64" i="70"/>
  <c r="N904" i="67"/>
  <c r="N601" i="67"/>
  <c r="N753" i="67"/>
  <c r="N296" i="67"/>
  <c r="N143" i="67"/>
  <c r="N449" i="67"/>
  <c r="N619" i="67"/>
  <c r="N770" i="67"/>
  <c r="V1043" i="67"/>
  <c r="V892" i="67"/>
  <c r="V437" i="67"/>
  <c r="V741" i="67"/>
  <c r="V131" i="67"/>
  <c r="V284" i="67"/>
  <c r="V589" i="67"/>
  <c r="AE1042" i="67"/>
  <c r="AE436" i="67"/>
  <c r="AE891" i="67"/>
  <c r="AE588" i="67"/>
  <c r="AE130" i="67"/>
  <c r="AE740" i="67"/>
  <c r="AE283" i="67"/>
  <c r="AW1042" i="67"/>
  <c r="AW436" i="67"/>
  <c r="AW891" i="67"/>
  <c r="AW588" i="67"/>
  <c r="AW740" i="67"/>
  <c r="AW130" i="67"/>
  <c r="AW283" i="67"/>
  <c r="AA939" i="67"/>
  <c r="AA333" i="67"/>
  <c r="AA637" i="67"/>
  <c r="AA788" i="67"/>
  <c r="AA485" i="67"/>
  <c r="AA27" i="67"/>
  <c r="AA180" i="67"/>
  <c r="AC939" i="67"/>
  <c r="AC333" i="67"/>
  <c r="AC485" i="67"/>
  <c r="AC637" i="67"/>
  <c r="AC27" i="67"/>
  <c r="AC788" i="67"/>
  <c r="AC180" i="67"/>
  <c r="X939" i="67"/>
  <c r="X333" i="67"/>
  <c r="X788" i="67"/>
  <c r="X485" i="67"/>
  <c r="X637" i="67"/>
  <c r="X27" i="67"/>
  <c r="X180" i="67"/>
  <c r="M938" i="67"/>
  <c r="M332" i="67"/>
  <c r="M636" i="67"/>
  <c r="M787" i="67"/>
  <c r="M484" i="67"/>
  <c r="M26" i="67"/>
  <c r="M179" i="67"/>
  <c r="AG14" i="68"/>
  <c r="F15" i="62" s="1"/>
  <c r="AH938" i="67"/>
  <c r="AH332" i="67"/>
  <c r="AH484" i="67"/>
  <c r="AH636" i="67"/>
  <c r="AH26" i="67"/>
  <c r="AH787" i="67"/>
  <c r="AH179" i="67"/>
  <c r="BB14" i="68"/>
  <c r="AA15" i="62" s="1"/>
  <c r="O939" i="67"/>
  <c r="O637" i="67"/>
  <c r="O788" i="67"/>
  <c r="O333" i="67"/>
  <c r="O485" i="67"/>
  <c r="O27" i="67"/>
  <c r="O180" i="67"/>
  <c r="AS939" i="67"/>
  <c r="AS333" i="67"/>
  <c r="AS485" i="67"/>
  <c r="AS637" i="67"/>
  <c r="AS27" i="67"/>
  <c r="AS788" i="67"/>
  <c r="AS180" i="67"/>
  <c r="N938" i="67"/>
  <c r="N332" i="67"/>
  <c r="N787" i="67"/>
  <c r="N179" i="67"/>
  <c r="N484" i="67"/>
  <c r="N636" i="67"/>
  <c r="N26" i="67"/>
  <c r="AH14" i="68"/>
  <c r="G15" i="62" s="1"/>
  <c r="AU938" i="67"/>
  <c r="AU787" i="67"/>
  <c r="AU332" i="67"/>
  <c r="AU636" i="67"/>
  <c r="AU484" i="67"/>
  <c r="AU179" i="67"/>
  <c r="AU26" i="67"/>
  <c r="BO14" i="68"/>
  <c r="AN15" i="62" s="1"/>
  <c r="Y939" i="67"/>
  <c r="Y333" i="67"/>
  <c r="Y788" i="67"/>
  <c r="Y180" i="67"/>
  <c r="Y485" i="67"/>
  <c r="Y637" i="67"/>
  <c r="Y27" i="67"/>
  <c r="Q939" i="67"/>
  <c r="Q333" i="67"/>
  <c r="Q788" i="67"/>
  <c r="Q180" i="67"/>
  <c r="Q637" i="67"/>
  <c r="Q485" i="67"/>
  <c r="Q27" i="67"/>
  <c r="L939" i="67"/>
  <c r="L333" i="67"/>
  <c r="L485" i="67"/>
  <c r="L637" i="67"/>
  <c r="L788" i="67"/>
  <c r="L27" i="67"/>
  <c r="L180" i="67"/>
  <c r="AD938" i="67"/>
  <c r="AD332" i="67"/>
  <c r="AD787" i="67"/>
  <c r="AD179" i="67"/>
  <c r="AD484" i="67"/>
  <c r="AD636" i="67"/>
  <c r="AD26" i="67"/>
  <c r="AX14" i="68"/>
  <c r="W15" i="62" s="1"/>
  <c r="Z939" i="67"/>
  <c r="Z788" i="67"/>
  <c r="Z333" i="67"/>
  <c r="Z637" i="67"/>
  <c r="Z485" i="67"/>
  <c r="Z27" i="67"/>
  <c r="Z180" i="67"/>
  <c r="K924" i="67"/>
  <c r="K318" i="67"/>
  <c r="K773" i="67"/>
  <c r="K622" i="67"/>
  <c r="K12" i="67"/>
  <c r="K165" i="67"/>
  <c r="K1058" i="67"/>
  <c r="K756" i="67"/>
  <c r="K907" i="67"/>
  <c r="K452" i="67"/>
  <c r="K604" i="67"/>
  <c r="K299" i="67"/>
  <c r="K146" i="67"/>
  <c r="R1058" i="67"/>
  <c r="R452" i="67"/>
  <c r="R756" i="67"/>
  <c r="R907" i="67"/>
  <c r="R604" i="67"/>
  <c r="R299" i="67"/>
  <c r="R146" i="67"/>
  <c r="R924" i="67"/>
  <c r="R773" i="67"/>
  <c r="R318" i="67"/>
  <c r="R622" i="67"/>
  <c r="R12" i="67"/>
  <c r="R165" i="67"/>
  <c r="M958" i="67"/>
  <c r="M352" i="67"/>
  <c r="M504" i="67"/>
  <c r="M656" i="67"/>
  <c r="M807" i="67"/>
  <c r="M46" i="67"/>
  <c r="M199" i="67"/>
  <c r="AG23" i="68"/>
  <c r="AC1060" i="67"/>
  <c r="AC454" i="67"/>
  <c r="AC758" i="67"/>
  <c r="AC909" i="67"/>
  <c r="AC148" i="67"/>
  <c r="AC606" i="67"/>
  <c r="AC301" i="67"/>
  <c r="AC926" i="67"/>
  <c r="AC320" i="67"/>
  <c r="AC624" i="67"/>
  <c r="AC775" i="67"/>
  <c r="AC472" i="67"/>
  <c r="AC14" i="67"/>
  <c r="AC167" i="67"/>
  <c r="AW8" i="68"/>
  <c r="V10" i="62" s="1"/>
  <c r="AS958" i="67"/>
  <c r="AS352" i="67"/>
  <c r="AS504" i="67"/>
  <c r="AS656" i="67"/>
  <c r="AS807" i="67"/>
  <c r="AS46" i="67"/>
  <c r="AS199" i="67"/>
  <c r="BM23" i="68"/>
  <c r="AP1060" i="67"/>
  <c r="AP909" i="67"/>
  <c r="AP454" i="67"/>
  <c r="AP758" i="67"/>
  <c r="AP606" i="67"/>
  <c r="AP301" i="67"/>
  <c r="AP148" i="67"/>
  <c r="AP926" i="67"/>
  <c r="AP320" i="67"/>
  <c r="AP775" i="67"/>
  <c r="AP167" i="67"/>
  <c r="AP472" i="67"/>
  <c r="AP624" i="67"/>
  <c r="AP14" i="67"/>
  <c r="BJ8" i="68"/>
  <c r="AI10" i="62" s="1"/>
  <c r="R958" i="67"/>
  <c r="R352" i="67"/>
  <c r="R656" i="67"/>
  <c r="R807" i="67"/>
  <c r="R46" i="67"/>
  <c r="R199" i="67"/>
  <c r="R504" i="67"/>
  <c r="AL23" i="68"/>
  <c r="K940" i="67"/>
  <c r="K334" i="67"/>
  <c r="K638" i="67"/>
  <c r="K789" i="67"/>
  <c r="K486" i="67"/>
  <c r="K28" i="67"/>
  <c r="K181" i="67"/>
  <c r="AE15" i="68"/>
  <c r="D16" i="62" s="1"/>
  <c r="K958" i="67"/>
  <c r="K352" i="67"/>
  <c r="K807" i="67"/>
  <c r="K656" i="67"/>
  <c r="K504" i="67"/>
  <c r="K46" i="67"/>
  <c r="K199" i="67"/>
  <c r="AE23" i="68"/>
  <c r="AA958" i="67"/>
  <c r="AA352" i="67"/>
  <c r="AA807" i="67"/>
  <c r="AA656" i="67"/>
  <c r="AA504" i="67"/>
  <c r="AA46" i="67"/>
  <c r="AA199" i="67"/>
  <c r="AU23" i="68"/>
  <c r="L1060" i="67"/>
  <c r="L909" i="67"/>
  <c r="L454" i="67"/>
  <c r="L758" i="67"/>
  <c r="L148" i="67"/>
  <c r="L301" i="67"/>
  <c r="L606" i="67"/>
  <c r="L926" i="67"/>
  <c r="L624" i="67"/>
  <c r="L775" i="67"/>
  <c r="L320" i="67"/>
  <c r="L167" i="67"/>
  <c r="L472" i="67"/>
  <c r="L14" i="67"/>
  <c r="AF8" i="68"/>
  <c r="E10" i="62" s="1"/>
  <c r="AB958" i="67"/>
  <c r="AB352" i="67"/>
  <c r="AB807" i="67"/>
  <c r="AB656" i="67"/>
  <c r="AB504" i="67"/>
  <c r="AB46" i="67"/>
  <c r="AB199" i="67"/>
  <c r="AV23" i="68"/>
  <c r="AR1060" i="67"/>
  <c r="AR909" i="67"/>
  <c r="AR454" i="67"/>
  <c r="AR758" i="67"/>
  <c r="AR148" i="67"/>
  <c r="AR301" i="67"/>
  <c r="AR606" i="67"/>
  <c r="AR926" i="67"/>
  <c r="AR775" i="67"/>
  <c r="AR320" i="67"/>
  <c r="AR624" i="67"/>
  <c r="AR472" i="67"/>
  <c r="AR14" i="67"/>
  <c r="AR167" i="67"/>
  <c r="BL8" i="68"/>
  <c r="AK10" i="62" s="1"/>
  <c r="AV1042" i="67"/>
  <c r="AV436" i="67"/>
  <c r="AV891" i="67"/>
  <c r="AV588" i="67"/>
  <c r="AV740" i="67"/>
  <c r="AV130" i="67"/>
  <c r="AV283" i="67"/>
  <c r="AR1043" i="67"/>
  <c r="AR437" i="67"/>
  <c r="AR741" i="67"/>
  <c r="AR892" i="67"/>
  <c r="AR589" i="67"/>
  <c r="AR131" i="67"/>
  <c r="AR284" i="67"/>
  <c r="AO1043" i="67"/>
  <c r="AO892" i="67"/>
  <c r="AO437" i="67"/>
  <c r="AO741" i="67"/>
  <c r="AO131" i="67"/>
  <c r="AO284" i="67"/>
  <c r="AO589" i="67"/>
  <c r="AT1042" i="67"/>
  <c r="AT436" i="67"/>
  <c r="AT891" i="67"/>
  <c r="AT588" i="67"/>
  <c r="AT130" i="67"/>
  <c r="AT740" i="67"/>
  <c r="AT283" i="67"/>
  <c r="AJ1042" i="67"/>
  <c r="AJ436" i="67"/>
  <c r="AJ891" i="67"/>
  <c r="AJ588" i="67"/>
  <c r="AJ130" i="67"/>
  <c r="AJ740" i="67"/>
  <c r="AJ283" i="67"/>
  <c r="W1042" i="67"/>
  <c r="W436" i="67"/>
  <c r="W891" i="67"/>
  <c r="W588" i="67"/>
  <c r="W130" i="67"/>
  <c r="W740" i="67"/>
  <c r="W283" i="67"/>
  <c r="AU1043" i="67"/>
  <c r="AU892" i="67"/>
  <c r="AU437" i="67"/>
  <c r="AU741" i="67"/>
  <c r="AU589" i="67"/>
  <c r="AU131" i="67"/>
  <c r="AU284" i="67"/>
  <c r="L1042" i="67"/>
  <c r="L436" i="67"/>
  <c r="L891" i="67"/>
  <c r="L588" i="67"/>
  <c r="L130" i="67"/>
  <c r="L740" i="67"/>
  <c r="L283" i="67"/>
  <c r="AM956" i="67"/>
  <c r="AM350" i="67"/>
  <c r="AM502" i="67"/>
  <c r="AM654" i="67"/>
  <c r="AM805" i="67"/>
  <c r="AM44" i="67"/>
  <c r="AM197" i="67"/>
  <c r="BG22" i="68"/>
  <c r="AF22" i="62" s="1"/>
  <c r="R957" i="67"/>
  <c r="R351" i="67"/>
  <c r="R503" i="67"/>
  <c r="R655" i="67"/>
  <c r="R806" i="67"/>
  <c r="R45" i="67"/>
  <c r="R198" i="67"/>
  <c r="AK1060" i="67"/>
  <c r="AK758" i="67"/>
  <c r="AK909" i="67"/>
  <c r="AK454" i="67"/>
  <c r="AK301" i="67"/>
  <c r="AK148" i="67"/>
  <c r="AK606" i="67"/>
  <c r="AK958" i="67"/>
  <c r="AK352" i="67"/>
  <c r="AK656" i="67"/>
  <c r="AK807" i="67"/>
  <c r="AK504" i="67"/>
  <c r="AK46" i="67"/>
  <c r="AK199" i="67"/>
  <c r="BE23" i="68"/>
  <c r="AU958" i="67"/>
  <c r="AU352" i="67"/>
  <c r="AU656" i="67"/>
  <c r="AU807" i="67"/>
  <c r="AU504" i="67"/>
  <c r="AU46" i="67"/>
  <c r="AU199" i="67"/>
  <c r="BO23" i="68"/>
  <c r="S1060" i="67"/>
  <c r="S454" i="67"/>
  <c r="S758" i="67"/>
  <c r="S909" i="67"/>
  <c r="S606" i="67"/>
  <c r="S301" i="67"/>
  <c r="S148" i="67"/>
  <c r="S926" i="67"/>
  <c r="S775" i="67"/>
  <c r="S320" i="67"/>
  <c r="S624" i="67"/>
  <c r="S167" i="67"/>
  <c r="S472" i="67"/>
  <c r="S14" i="67"/>
  <c r="AM8" i="68"/>
  <c r="L10" i="62" s="1"/>
  <c r="AJ958" i="67"/>
  <c r="AJ352" i="67"/>
  <c r="AJ807" i="67"/>
  <c r="AJ504" i="67"/>
  <c r="AJ46" i="67"/>
  <c r="AJ199" i="67"/>
  <c r="AJ656" i="67"/>
  <c r="BD23" i="68"/>
  <c r="AQ1060" i="67"/>
  <c r="AQ758" i="67"/>
  <c r="AQ909" i="67"/>
  <c r="AQ454" i="67"/>
  <c r="AQ301" i="67"/>
  <c r="AQ148" i="67"/>
  <c r="AQ606" i="67"/>
  <c r="AQ926" i="67"/>
  <c r="AQ775" i="67"/>
  <c r="AQ320" i="67"/>
  <c r="AQ624" i="67"/>
  <c r="AQ472" i="67"/>
  <c r="AQ14" i="67"/>
  <c r="AQ167" i="67"/>
  <c r="BK8" i="68"/>
  <c r="AJ10" i="62" s="1"/>
  <c r="Y888" i="67"/>
  <c r="Y280" i="67"/>
  <c r="Y585" i="67"/>
  <c r="Y433" i="67"/>
  <c r="Y737" i="67"/>
  <c r="Y127" i="67"/>
  <c r="Y619" i="67"/>
  <c r="Y770" i="67"/>
  <c r="B128" i="65"/>
  <c r="AD72" i="70"/>
  <c r="AD56" i="70"/>
  <c r="AL958" i="67"/>
  <c r="AL352" i="67"/>
  <c r="AL656" i="67"/>
  <c r="AL199" i="67"/>
  <c r="AL504" i="67"/>
  <c r="AL807" i="67"/>
  <c r="AL46" i="67"/>
  <c r="BF23" i="68"/>
  <c r="AN1060" i="67"/>
  <c r="AN454" i="67"/>
  <c r="AN758" i="67"/>
  <c r="AN909" i="67"/>
  <c r="AN148" i="67"/>
  <c r="AN301" i="67"/>
  <c r="AN606" i="67"/>
  <c r="AN926" i="67"/>
  <c r="AN320" i="67"/>
  <c r="AN775" i="67"/>
  <c r="AN472" i="67"/>
  <c r="AN14" i="67"/>
  <c r="AN167" i="67"/>
  <c r="AN624" i="67"/>
  <c r="BH8" i="68"/>
  <c r="AG10" i="62" s="1"/>
  <c r="I165" i="65"/>
  <c r="I177" i="65" s="1"/>
  <c r="AE165" i="65"/>
  <c r="AE177" i="65" s="1"/>
  <c r="AG64" i="70"/>
  <c r="AG80" i="70"/>
  <c r="C165" i="65"/>
  <c r="C177" i="65" s="1"/>
  <c r="U737" i="67"/>
  <c r="U280" i="67"/>
  <c r="U888" i="67"/>
  <c r="U433" i="67"/>
  <c r="U585" i="67"/>
  <c r="U127" i="67"/>
  <c r="U770" i="67"/>
  <c r="U619" i="67"/>
  <c r="L449" i="67"/>
  <c r="L904" i="67"/>
  <c r="L601" i="67"/>
  <c r="L296" i="67"/>
  <c r="L753" i="67"/>
  <c r="L143" i="67"/>
  <c r="L619" i="67"/>
  <c r="L770" i="67"/>
  <c r="P1043" i="67"/>
  <c r="P892" i="67"/>
  <c r="P437" i="67"/>
  <c r="P741" i="67"/>
  <c r="P284" i="67"/>
  <c r="P131" i="67"/>
  <c r="P589" i="67"/>
  <c r="AE939" i="67"/>
  <c r="AE788" i="67"/>
  <c r="AE333" i="67"/>
  <c r="AE637" i="67"/>
  <c r="AE485" i="67"/>
  <c r="AE27" i="67"/>
  <c r="AE180" i="67"/>
  <c r="AG939" i="67"/>
  <c r="AG333" i="67"/>
  <c r="AG788" i="67"/>
  <c r="AG180" i="67"/>
  <c r="AG637" i="67"/>
  <c r="AG485" i="67"/>
  <c r="AG27" i="67"/>
  <c r="AB1058" i="67"/>
  <c r="AB756" i="67"/>
  <c r="AB452" i="67"/>
  <c r="AB907" i="67"/>
  <c r="AB299" i="67"/>
  <c r="AB604" i="67"/>
  <c r="AB146" i="67"/>
  <c r="AB924" i="67"/>
  <c r="AB318" i="67"/>
  <c r="AB622" i="67"/>
  <c r="AB12" i="67"/>
  <c r="AB773" i="67"/>
  <c r="AB165" i="67"/>
  <c r="AL1043" i="67"/>
  <c r="AL892" i="67"/>
  <c r="AL437" i="67"/>
  <c r="AL741" i="67"/>
  <c r="AL131" i="67"/>
  <c r="AL284" i="67"/>
  <c r="AL589" i="67"/>
  <c r="AP1042" i="67"/>
  <c r="AP436" i="67"/>
  <c r="AP891" i="67"/>
  <c r="AP588" i="67"/>
  <c r="AP130" i="67"/>
  <c r="AP740" i="67"/>
  <c r="AP283" i="67"/>
  <c r="T1042" i="67"/>
  <c r="T436" i="67"/>
  <c r="T891" i="67"/>
  <c r="T588" i="67"/>
  <c r="T130" i="67"/>
  <c r="T740" i="67"/>
  <c r="T283" i="67"/>
  <c r="AR1042" i="67"/>
  <c r="AR436" i="67"/>
  <c r="AR891" i="67"/>
  <c r="AR130" i="67"/>
  <c r="AR283" i="67"/>
  <c r="AR588" i="67"/>
  <c r="AR740" i="67"/>
  <c r="AT1043" i="67"/>
  <c r="AT892" i="67"/>
  <c r="AT437" i="67"/>
  <c r="AT741" i="67"/>
  <c r="AT284" i="67"/>
  <c r="AT131" i="67"/>
  <c r="AT589" i="67"/>
  <c r="AQ1043" i="67"/>
  <c r="AQ437" i="67"/>
  <c r="AQ741" i="67"/>
  <c r="AQ892" i="67"/>
  <c r="AQ284" i="67"/>
  <c r="AQ589" i="67"/>
  <c r="AQ131" i="67"/>
  <c r="AS1042" i="67"/>
  <c r="AS436" i="67"/>
  <c r="AS891" i="67"/>
  <c r="AS588" i="67"/>
  <c r="AS130" i="67"/>
  <c r="AS740" i="67"/>
  <c r="AS283" i="67"/>
  <c r="AN1043" i="67"/>
  <c r="AN892" i="67"/>
  <c r="AN437" i="67"/>
  <c r="AN741" i="67"/>
  <c r="AN284" i="67"/>
  <c r="AN589" i="67"/>
  <c r="AN131" i="67"/>
  <c r="Y1042" i="67"/>
  <c r="Y436" i="67"/>
  <c r="Y891" i="67"/>
  <c r="Y588" i="67"/>
  <c r="Y740" i="67"/>
  <c r="Y130" i="67"/>
  <c r="Y283" i="67"/>
  <c r="AI1042" i="67"/>
  <c r="AI436" i="67"/>
  <c r="AI891" i="67"/>
  <c r="AI588" i="67"/>
  <c r="AI130" i="67"/>
  <c r="AI740" i="67"/>
  <c r="AI283" i="67"/>
  <c r="AK1042" i="67"/>
  <c r="AK436" i="67"/>
  <c r="AK891" i="67"/>
  <c r="AK130" i="67"/>
  <c r="AK283" i="67"/>
  <c r="AK588" i="67"/>
  <c r="AK740" i="67"/>
  <c r="AF957" i="67"/>
  <c r="AF351" i="67"/>
  <c r="AF655" i="67"/>
  <c r="AF806" i="67"/>
  <c r="AF503" i="67"/>
  <c r="AF45" i="67"/>
  <c r="AF198" i="67"/>
  <c r="Q1060" i="67"/>
  <c r="Q454" i="67"/>
  <c r="Q909" i="67"/>
  <c r="Q758" i="67"/>
  <c r="Q606" i="67"/>
  <c r="Q301" i="67"/>
  <c r="Q148" i="67"/>
  <c r="Q926" i="67"/>
  <c r="Q320" i="67"/>
  <c r="Q775" i="67"/>
  <c r="Q472" i="67"/>
  <c r="Q624" i="67"/>
  <c r="Q14" i="67"/>
  <c r="Q167" i="67"/>
  <c r="AK8" i="68"/>
  <c r="J10" i="62" s="1"/>
  <c r="AG958" i="67"/>
  <c r="AG352" i="67"/>
  <c r="AG807" i="67"/>
  <c r="AG656" i="67"/>
  <c r="AG504" i="67"/>
  <c r="AG46" i="67"/>
  <c r="AG199" i="67"/>
  <c r="BA23" i="68"/>
  <c r="AW958" i="67"/>
  <c r="AW352" i="67"/>
  <c r="AW807" i="67"/>
  <c r="AW656" i="67"/>
  <c r="AW504" i="67"/>
  <c r="AW46" i="67"/>
  <c r="AW199" i="67"/>
  <c r="BQ23" i="68"/>
  <c r="AW926" i="67"/>
  <c r="AW320" i="67"/>
  <c r="AW775" i="67"/>
  <c r="AW472" i="67"/>
  <c r="AW624" i="67"/>
  <c r="AW14" i="67"/>
  <c r="AW167" i="67"/>
  <c r="BQ8" i="68"/>
  <c r="AP10" i="62" s="1"/>
  <c r="AT958" i="67"/>
  <c r="AT352" i="67"/>
  <c r="AT807" i="67"/>
  <c r="AT656" i="67"/>
  <c r="AT504" i="67"/>
  <c r="AT199" i="67"/>
  <c r="AT46" i="67"/>
  <c r="BN23" i="68"/>
  <c r="V1060" i="67"/>
  <c r="V454" i="67"/>
  <c r="V758" i="67"/>
  <c r="V909" i="67"/>
  <c r="V606" i="67"/>
  <c r="V301" i="67"/>
  <c r="V148" i="67"/>
  <c r="V926" i="67"/>
  <c r="V320" i="67"/>
  <c r="V624" i="67"/>
  <c r="V14" i="67"/>
  <c r="V775" i="67"/>
  <c r="V472" i="67"/>
  <c r="V167" i="67"/>
  <c r="AP8" i="68"/>
  <c r="O10" i="62" s="1"/>
  <c r="O958" i="67"/>
  <c r="O352" i="67"/>
  <c r="O656" i="67"/>
  <c r="O807" i="67"/>
  <c r="O199" i="67"/>
  <c r="O504" i="67"/>
  <c r="O46" i="67"/>
  <c r="AI23" i="68"/>
  <c r="AE1060" i="67"/>
  <c r="AE909" i="67"/>
  <c r="AE454" i="67"/>
  <c r="AE758" i="67"/>
  <c r="AE148" i="67"/>
  <c r="AE606" i="67"/>
  <c r="AE301" i="67"/>
  <c r="AE926" i="67"/>
  <c r="AE320" i="67"/>
  <c r="AE624" i="67"/>
  <c r="AE775" i="67"/>
  <c r="AE472" i="67"/>
  <c r="AE14" i="67"/>
  <c r="AE167" i="67"/>
  <c r="AY8" i="68"/>
  <c r="X10" i="62" s="1"/>
  <c r="P958" i="67"/>
  <c r="P352" i="67"/>
  <c r="P656" i="67"/>
  <c r="P807" i="67"/>
  <c r="P504" i="67"/>
  <c r="P46" i="67"/>
  <c r="P199" i="67"/>
  <c r="AJ23" i="68"/>
  <c r="AF1060" i="67"/>
  <c r="AF758" i="67"/>
  <c r="AF454" i="67"/>
  <c r="AF909" i="67"/>
  <c r="AF301" i="67"/>
  <c r="AF606" i="67"/>
  <c r="AF148" i="67"/>
  <c r="AF926" i="67"/>
  <c r="AF624" i="67"/>
  <c r="AF320" i="67"/>
  <c r="AF775" i="67"/>
  <c r="AF167" i="67"/>
  <c r="AF472" i="67"/>
  <c r="AF14" i="67"/>
  <c r="AZ8" i="68"/>
  <c r="Y10" i="62" s="1"/>
  <c r="AV958" i="67"/>
  <c r="AV352" i="67"/>
  <c r="AV656" i="67"/>
  <c r="AV807" i="67"/>
  <c r="AV504" i="67"/>
  <c r="AV46" i="67"/>
  <c r="AV199" i="67"/>
  <c r="BP23" i="68"/>
  <c r="AL956" i="67"/>
  <c r="AL350" i="67"/>
  <c r="AL805" i="67"/>
  <c r="AL654" i="67"/>
  <c r="AL502" i="67"/>
  <c r="AL44" i="67"/>
  <c r="AL197" i="67"/>
  <c r="BF22" i="68"/>
  <c r="AE22" i="62" s="1"/>
  <c r="T957" i="67"/>
  <c r="T351" i="67"/>
  <c r="T806" i="67"/>
  <c r="T655" i="67"/>
  <c r="T503" i="67"/>
  <c r="T45" i="67"/>
  <c r="T198" i="67"/>
  <c r="AH939" i="67"/>
  <c r="AH788" i="67"/>
  <c r="AH333" i="67"/>
  <c r="AH637" i="67"/>
  <c r="AH485" i="67"/>
  <c r="AH27" i="67"/>
  <c r="AH180" i="67"/>
  <c r="O938" i="67"/>
  <c r="O787" i="67"/>
  <c r="O332" i="67"/>
  <c r="O636" i="67"/>
  <c r="O484" i="67"/>
  <c r="O26" i="67"/>
  <c r="O179" i="67"/>
  <c r="AI14" i="68"/>
  <c r="H15" i="62" s="1"/>
  <c r="AN938" i="67"/>
  <c r="AN332" i="67"/>
  <c r="AN636" i="67"/>
  <c r="AN787" i="67"/>
  <c r="AN179" i="67"/>
  <c r="AN484" i="67"/>
  <c r="AN26" i="67"/>
  <c r="BH14" i="68"/>
  <c r="AG15" i="62" s="1"/>
  <c r="Z938" i="67"/>
  <c r="Z332" i="67"/>
  <c r="Z636" i="67"/>
  <c r="Z26" i="67"/>
  <c r="Z787" i="67"/>
  <c r="Z484" i="67"/>
  <c r="Z179" i="67"/>
  <c r="AT14" i="68"/>
  <c r="S15" i="62" s="1"/>
  <c r="K957" i="67"/>
  <c r="K351" i="67"/>
  <c r="K806" i="67"/>
  <c r="K198" i="67"/>
  <c r="K503" i="67"/>
  <c r="K655" i="67"/>
  <c r="K45" i="67"/>
  <c r="K1059" i="67"/>
  <c r="K908" i="67"/>
  <c r="K453" i="67"/>
  <c r="K757" i="67"/>
  <c r="K300" i="67"/>
  <c r="K147" i="67"/>
  <c r="K605" i="67"/>
  <c r="U940" i="67"/>
  <c r="U789" i="67"/>
  <c r="U334" i="67"/>
  <c r="U638" i="67"/>
  <c r="U486" i="67"/>
  <c r="U181" i="67"/>
  <c r="U28" i="67"/>
  <c r="AO15" i="68"/>
  <c r="N16" i="62" s="1"/>
  <c r="Z1060" i="67"/>
  <c r="Z909" i="67"/>
  <c r="Z454" i="67"/>
  <c r="Z758" i="67"/>
  <c r="Z606" i="67"/>
  <c r="Z301" i="67"/>
  <c r="Z148" i="67"/>
  <c r="Z926" i="67"/>
  <c r="Z320" i="67"/>
  <c r="Z775" i="67"/>
  <c r="Z167" i="67"/>
  <c r="Z472" i="67"/>
  <c r="Z624" i="67"/>
  <c r="Z14" i="67"/>
  <c r="AT8" i="68"/>
  <c r="S10" i="62" s="1"/>
  <c r="AD958" i="67"/>
  <c r="AD352" i="67"/>
  <c r="AD656" i="67"/>
  <c r="AD504" i="67"/>
  <c r="AD199" i="67"/>
  <c r="AD807" i="67"/>
  <c r="AD46" i="67"/>
  <c r="AX23" i="68"/>
  <c r="T1060" i="67"/>
  <c r="T909" i="67"/>
  <c r="T454" i="67"/>
  <c r="T758" i="67"/>
  <c r="T606" i="67"/>
  <c r="T148" i="67"/>
  <c r="T301" i="67"/>
  <c r="T926" i="67"/>
  <c r="T320" i="67"/>
  <c r="T472" i="67"/>
  <c r="T624" i="67"/>
  <c r="T775" i="67"/>
  <c r="T14" i="67"/>
  <c r="T167" i="67"/>
  <c r="AN8" i="68"/>
  <c r="M10" i="62" s="1"/>
  <c r="AL165" i="65"/>
  <c r="AL177" i="65" s="1"/>
  <c r="W940" i="67"/>
  <c r="W334" i="67"/>
  <c r="W789" i="67"/>
  <c r="W638" i="67"/>
  <c r="W486" i="67"/>
  <c r="W28" i="67"/>
  <c r="W181" i="67"/>
  <c r="AQ15" i="68"/>
  <c r="P16" i="62" s="1"/>
  <c r="AZ80" i="70"/>
  <c r="AZ64" i="70"/>
  <c r="BP80" i="70"/>
  <c r="BP64" i="70"/>
  <c r="AL80" i="70"/>
  <c r="AL64" i="70"/>
  <c r="AA165" i="65"/>
  <c r="AA177" i="65" s="1"/>
  <c r="U165" i="65"/>
  <c r="U177" i="65" s="1"/>
  <c r="AV80" i="70"/>
  <c r="AV64" i="70"/>
  <c r="O633" i="67"/>
  <c r="O481" i="67"/>
  <c r="O176" i="67"/>
  <c r="O329" i="67"/>
  <c r="O23" i="67"/>
  <c r="S1058" i="67"/>
  <c r="S452" i="67"/>
  <c r="S907" i="67"/>
  <c r="S756" i="67"/>
  <c r="S604" i="67"/>
  <c r="S299" i="67"/>
  <c r="S146" i="67"/>
  <c r="S924" i="67"/>
  <c r="S318" i="67"/>
  <c r="S773" i="67"/>
  <c r="S622" i="67"/>
  <c r="S165" i="67"/>
  <c r="S12" i="67"/>
  <c r="U1058" i="67"/>
  <c r="U907" i="67"/>
  <c r="U452" i="67"/>
  <c r="U756" i="67"/>
  <c r="U146" i="67"/>
  <c r="U604" i="67"/>
  <c r="U299" i="67"/>
  <c r="U924" i="67"/>
  <c r="U773" i="67"/>
  <c r="U318" i="67"/>
  <c r="U622" i="67"/>
  <c r="U12" i="67"/>
  <c r="U165" i="67"/>
  <c r="X1058" i="67"/>
  <c r="X907" i="67"/>
  <c r="X452" i="67"/>
  <c r="X756" i="67"/>
  <c r="X146" i="67"/>
  <c r="X299" i="67"/>
  <c r="X604" i="67"/>
  <c r="X924" i="67"/>
  <c r="X318" i="67"/>
  <c r="X773" i="67"/>
  <c r="X165" i="67"/>
  <c r="X622" i="67"/>
  <c r="X12" i="67"/>
  <c r="Q1058" i="67"/>
  <c r="Q756" i="67"/>
  <c r="Q907" i="67"/>
  <c r="Q452" i="67"/>
  <c r="Q299" i="67"/>
  <c r="Q146" i="67"/>
  <c r="Q604" i="67"/>
  <c r="Q924" i="67"/>
  <c r="Q318" i="67"/>
  <c r="Q622" i="67"/>
  <c r="Q773" i="67"/>
  <c r="Q165" i="67"/>
  <c r="Q12" i="67"/>
  <c r="AI958" i="67"/>
  <c r="AI352" i="67"/>
  <c r="AI807" i="67"/>
  <c r="AI656" i="67"/>
  <c r="AI504" i="67"/>
  <c r="AI46" i="67"/>
  <c r="AI199" i="67"/>
  <c r="BC23" i="68"/>
  <c r="AH80" i="70"/>
  <c r="AH64" i="70"/>
  <c r="BM64" i="70"/>
  <c r="BM80" i="70"/>
  <c r="AF165" i="65"/>
  <c r="AF177" i="65" s="1"/>
  <c r="V956" i="67"/>
  <c r="V350" i="67"/>
  <c r="V654" i="67"/>
  <c r="V805" i="67"/>
  <c r="V502" i="67"/>
  <c r="V44" i="67"/>
  <c r="V197" i="67"/>
  <c r="AP22" i="68"/>
  <c r="O22" i="62" s="1"/>
  <c r="S957" i="67"/>
  <c r="S351" i="67"/>
  <c r="S806" i="67"/>
  <c r="S198" i="67"/>
  <c r="S655" i="67"/>
  <c r="S503" i="67"/>
  <c r="S45" i="67"/>
  <c r="P956" i="67"/>
  <c r="P350" i="67"/>
  <c r="P654" i="67"/>
  <c r="P44" i="67"/>
  <c r="P805" i="67"/>
  <c r="P502" i="67"/>
  <c r="P197" i="67"/>
  <c r="AJ22" i="68"/>
  <c r="I22" i="62" s="1"/>
  <c r="AG938" i="67"/>
  <c r="AG332" i="67"/>
  <c r="AG787" i="67"/>
  <c r="AG484" i="67"/>
  <c r="AG636" i="67"/>
  <c r="AG26" i="67"/>
  <c r="AG179" i="67"/>
  <c r="BA14" i="68"/>
  <c r="Z15" i="62" s="1"/>
  <c r="AV939" i="67"/>
  <c r="AV333" i="67"/>
  <c r="AV788" i="67"/>
  <c r="AV637" i="67"/>
  <c r="AV485" i="67"/>
  <c r="AV27" i="67"/>
  <c r="AV180" i="67"/>
  <c r="AB1043" i="67"/>
  <c r="AB437" i="67"/>
  <c r="AB741" i="67"/>
  <c r="AB892" i="67"/>
  <c r="AB589" i="67"/>
  <c r="AB131" i="67"/>
  <c r="AB284" i="67"/>
  <c r="AB925" i="67"/>
  <c r="AB774" i="67"/>
  <c r="AB319" i="67"/>
  <c r="AB623" i="67"/>
  <c r="AB13" i="67"/>
  <c r="AB166" i="67"/>
  <c r="AP1059" i="67"/>
  <c r="AP908" i="67"/>
  <c r="AP453" i="67"/>
  <c r="AP757" i="67"/>
  <c r="AP605" i="67"/>
  <c r="AP147" i="67"/>
  <c r="AP300" i="67"/>
  <c r="AP925" i="67"/>
  <c r="AP319" i="67"/>
  <c r="AP623" i="67"/>
  <c r="AP774" i="67"/>
  <c r="AP13" i="67"/>
  <c r="AP166" i="67"/>
  <c r="U1059" i="67"/>
  <c r="U908" i="67"/>
  <c r="U453" i="67"/>
  <c r="U757" i="67"/>
  <c r="U147" i="67"/>
  <c r="U605" i="67"/>
  <c r="U300" i="67"/>
  <c r="U925" i="67"/>
  <c r="U319" i="67"/>
  <c r="U774" i="67"/>
  <c r="U623" i="67"/>
  <c r="U13" i="67"/>
  <c r="U166" i="67"/>
  <c r="AW1043" i="67"/>
  <c r="AW892" i="67"/>
  <c r="AW437" i="67"/>
  <c r="AW741" i="67"/>
  <c r="AW284" i="67"/>
  <c r="AW131" i="67"/>
  <c r="AW589" i="67"/>
  <c r="AA1042" i="67"/>
  <c r="AA436" i="67"/>
  <c r="AA891" i="67"/>
  <c r="AA588" i="67"/>
  <c r="AA130" i="67"/>
  <c r="AA740" i="67"/>
  <c r="AA283" i="67"/>
  <c r="AO1042" i="67"/>
  <c r="AO436" i="67"/>
  <c r="AO891" i="67"/>
  <c r="AO588" i="67"/>
  <c r="AO130" i="67"/>
  <c r="AO740" i="67"/>
  <c r="AO283" i="67"/>
  <c r="AQ1042" i="67"/>
  <c r="AQ436" i="67"/>
  <c r="AQ891" i="67"/>
  <c r="AQ588" i="67"/>
  <c r="AQ130" i="67"/>
  <c r="AQ740" i="67"/>
  <c r="AQ283" i="67"/>
  <c r="AC1042" i="67"/>
  <c r="AC436" i="67"/>
  <c r="AC891" i="67"/>
  <c r="AC588" i="67"/>
  <c r="AC130" i="67"/>
  <c r="AC740" i="67"/>
  <c r="AC283" i="67"/>
  <c r="AJ1059" i="67"/>
  <c r="AJ757" i="67"/>
  <c r="AJ453" i="67"/>
  <c r="AJ908" i="67"/>
  <c r="AJ605" i="67"/>
  <c r="AJ300" i="67"/>
  <c r="AJ147" i="67"/>
  <c r="M1043" i="67"/>
  <c r="M741" i="67"/>
  <c r="M437" i="67"/>
  <c r="M892" i="67"/>
  <c r="M284" i="67"/>
  <c r="M589" i="67"/>
  <c r="M131" i="67"/>
  <c r="W1043" i="67"/>
  <c r="W892" i="67"/>
  <c r="W437" i="67"/>
  <c r="W741" i="67"/>
  <c r="W589" i="67"/>
  <c r="W284" i="67"/>
  <c r="W131" i="67"/>
  <c r="N1043" i="67"/>
  <c r="N892" i="67"/>
  <c r="N437" i="67"/>
  <c r="N741" i="67"/>
  <c r="N284" i="67"/>
  <c r="N131" i="67"/>
  <c r="N589" i="67"/>
  <c r="AI957" i="67"/>
  <c r="AI351" i="67"/>
  <c r="AI655" i="67"/>
  <c r="AI198" i="67"/>
  <c r="AI806" i="67"/>
  <c r="AI503" i="67"/>
  <c r="AI45" i="67"/>
  <c r="AD939" i="67"/>
  <c r="AD333" i="67"/>
  <c r="AD637" i="67"/>
  <c r="AD788" i="67"/>
  <c r="AD27" i="67"/>
  <c r="AD180" i="67"/>
  <c r="AD485" i="67"/>
  <c r="AM939" i="67"/>
  <c r="AM333" i="67"/>
  <c r="AM788" i="67"/>
  <c r="AM637" i="67"/>
  <c r="AM485" i="67"/>
  <c r="AM27" i="67"/>
  <c r="AM180" i="67"/>
  <c r="AK939" i="67"/>
  <c r="AK333" i="67"/>
  <c r="AK637" i="67"/>
  <c r="AK27" i="67"/>
  <c r="AK788" i="67"/>
  <c r="AK485" i="67"/>
  <c r="AK180" i="67"/>
  <c r="AF938" i="67"/>
  <c r="AF332" i="67"/>
  <c r="AF636" i="67"/>
  <c r="AF787" i="67"/>
  <c r="AF26" i="67"/>
  <c r="AF179" i="67"/>
  <c r="AF484" i="67"/>
  <c r="AZ14" i="68"/>
  <c r="Y15" i="62" s="1"/>
  <c r="Y1044" i="67"/>
  <c r="Y893" i="67"/>
  <c r="Y438" i="67"/>
  <c r="Y742" i="67"/>
  <c r="Y590" i="67"/>
  <c r="Y132" i="67"/>
  <c r="Y285" i="67"/>
  <c r="AO940" i="67"/>
  <c r="AO334" i="67"/>
  <c r="AO638" i="67"/>
  <c r="AO789" i="67"/>
  <c r="AO486" i="67"/>
  <c r="AO28" i="67"/>
  <c r="AO181" i="67"/>
  <c r="BI15" i="68"/>
  <c r="AH16" i="62" s="1"/>
  <c r="AH1044" i="67"/>
  <c r="AH893" i="67"/>
  <c r="AH438" i="67"/>
  <c r="AH742" i="67"/>
  <c r="AH285" i="67"/>
  <c r="AH590" i="67"/>
  <c r="AH132" i="67"/>
  <c r="N940" i="67"/>
  <c r="N334" i="67"/>
  <c r="N638" i="67"/>
  <c r="N789" i="67"/>
  <c r="N486" i="67"/>
  <c r="N28" i="67"/>
  <c r="N181" i="67"/>
  <c r="AH15" i="68"/>
  <c r="G16" i="62" s="1"/>
  <c r="AM1044" i="67"/>
  <c r="AM742" i="67"/>
  <c r="AM438" i="67"/>
  <c r="AM893" i="67"/>
  <c r="AM285" i="67"/>
  <c r="AM590" i="67"/>
  <c r="AM132" i="67"/>
  <c r="X940" i="67"/>
  <c r="X334" i="67"/>
  <c r="X789" i="67"/>
  <c r="X181" i="67"/>
  <c r="X638" i="67"/>
  <c r="X486" i="67"/>
  <c r="X28" i="67"/>
  <c r="AR15" i="68"/>
  <c r="Q16" i="62" s="1"/>
  <c r="Q449" i="67"/>
  <c r="Q904" i="67"/>
  <c r="Q601" i="67"/>
  <c r="Q753" i="67"/>
  <c r="Q296" i="67"/>
  <c r="Q143" i="67"/>
  <c r="M753" i="67"/>
  <c r="M904" i="67"/>
  <c r="M449" i="67"/>
  <c r="M143" i="67"/>
  <c r="M601" i="67"/>
  <c r="M296" i="67"/>
  <c r="M619" i="67"/>
  <c r="M770" i="67"/>
  <c r="AD10" i="50"/>
  <c r="AD15" i="57" s="1"/>
  <c r="Y10" i="50"/>
  <c r="Y15" i="57" s="1"/>
  <c r="AS42" i="36"/>
  <c r="AR83" i="36"/>
  <c r="AD17" i="36"/>
  <c r="AD18" i="36"/>
  <c r="O24" i="55"/>
  <c r="S24" i="55"/>
  <c r="R24" i="55"/>
  <c r="P24" i="55"/>
  <c r="I5" i="47"/>
  <c r="D35" i="50"/>
  <c r="E35" i="50"/>
  <c r="F35" i="50"/>
  <c r="G35" i="50"/>
  <c r="H35" i="50"/>
  <c r="I35" i="50"/>
  <c r="J35" i="50"/>
  <c r="K35" i="50"/>
  <c r="L35" i="50"/>
  <c r="C35" i="50"/>
  <c r="D40" i="50"/>
  <c r="E40" i="50"/>
  <c r="F40" i="50"/>
  <c r="G40" i="50"/>
  <c r="H40" i="50"/>
  <c r="I40" i="50"/>
  <c r="J40" i="50"/>
  <c r="K40" i="50"/>
  <c r="L40" i="50"/>
  <c r="C40" i="50"/>
  <c r="D30" i="50"/>
  <c r="E30" i="50"/>
  <c r="F30" i="50"/>
  <c r="G30" i="50"/>
  <c r="H30" i="50"/>
  <c r="I30" i="50"/>
  <c r="J30" i="50"/>
  <c r="K30" i="50"/>
  <c r="L30" i="50"/>
  <c r="C30" i="50"/>
  <c r="D26" i="50"/>
  <c r="E26" i="50"/>
  <c r="F26" i="50"/>
  <c r="G26" i="50"/>
  <c r="H26" i="50"/>
  <c r="I26" i="50"/>
  <c r="J26" i="50"/>
  <c r="K26" i="50"/>
  <c r="L26" i="50"/>
  <c r="C26" i="50"/>
  <c r="D13" i="50"/>
  <c r="E13" i="50"/>
  <c r="F13" i="50"/>
  <c r="G13" i="50"/>
  <c r="H13" i="50"/>
  <c r="I13" i="50"/>
  <c r="J13" i="50"/>
  <c r="K13" i="50"/>
  <c r="L13" i="50"/>
  <c r="C13" i="50"/>
  <c r="D7" i="50"/>
  <c r="E7" i="50"/>
  <c r="F7" i="50"/>
  <c r="G7" i="50"/>
  <c r="H7" i="50"/>
  <c r="I7" i="50"/>
  <c r="J7" i="50"/>
  <c r="K7" i="50"/>
  <c r="L7" i="50"/>
  <c r="C7" i="50"/>
  <c r="K1190" i="67" l="1"/>
  <c r="K1055" i="67"/>
  <c r="K1086" i="67"/>
  <c r="K784" i="67"/>
  <c r="K1072" i="67"/>
  <c r="K1104" i="67"/>
  <c r="K1039" i="67"/>
  <c r="K935" i="67"/>
  <c r="L1229" i="67"/>
  <c r="Q1229" i="67"/>
  <c r="AS1229" i="67"/>
  <c r="M1228" i="67"/>
  <c r="L1228" i="67"/>
  <c r="AF7" i="68" s="1"/>
  <c r="E9" i="62" s="1"/>
  <c r="AT1228" i="67"/>
  <c r="R1228" i="67"/>
  <c r="K1228" i="67"/>
  <c r="Z1229" i="67"/>
  <c r="AC1229" i="67"/>
  <c r="AM1261" i="67"/>
  <c r="N1229" i="67"/>
  <c r="W1229" i="67"/>
  <c r="AQ1228" i="67"/>
  <c r="T1262" i="67"/>
  <c r="O1228" i="67"/>
  <c r="AI1261" i="67"/>
  <c r="N1347" i="67"/>
  <c r="AJ1363" i="67"/>
  <c r="AQ1346" i="67"/>
  <c r="AP1229" i="67"/>
  <c r="S1261" i="67"/>
  <c r="AP1260" i="67"/>
  <c r="Z1260" i="67"/>
  <c r="AA1243" i="67"/>
  <c r="AO1230" i="67"/>
  <c r="AM1229" i="67"/>
  <c r="AD1363" i="67"/>
  <c r="AT1244" i="67"/>
  <c r="R1229" i="67"/>
  <c r="AM1228" i="67"/>
  <c r="AO1348" i="67"/>
  <c r="Y1244" i="67"/>
  <c r="AF1346" i="67"/>
  <c r="AM1347" i="67"/>
  <c r="AD1347" i="67"/>
  <c r="AI1229" i="67"/>
  <c r="V1228" i="67"/>
  <c r="W1348" i="67"/>
  <c r="U1364" i="67"/>
  <c r="AF1230" i="67"/>
  <c r="P1262" i="67"/>
  <c r="AE1230" i="67"/>
  <c r="AE1364" i="67"/>
  <c r="Q1364" i="67"/>
  <c r="AF1261" i="67"/>
  <c r="AK1346" i="67"/>
  <c r="AE1243" i="67"/>
  <c r="AJ1262" i="67"/>
  <c r="AR1260" i="67"/>
  <c r="T1260" i="67"/>
  <c r="Y10" i="69"/>
  <c r="AI1228" i="67"/>
  <c r="T1228" i="67"/>
  <c r="AP1228" i="67"/>
  <c r="AU1229" i="67"/>
  <c r="AC1261" i="67"/>
  <c r="AM1262" i="67"/>
  <c r="AF1228" i="67"/>
  <c r="AK1229" i="67"/>
  <c r="AD1229" i="67"/>
  <c r="U1228" i="67"/>
  <c r="AR1364" i="67"/>
  <c r="AP1364" i="67"/>
  <c r="X1230" i="67"/>
  <c r="X1229" i="67"/>
  <c r="AP1243" i="67"/>
  <c r="Q1244" i="67"/>
  <c r="AK1228" i="67"/>
  <c r="AI1362" i="67"/>
  <c r="Y1228" i="67"/>
  <c r="AQ1229" i="67"/>
  <c r="AT1229" i="67"/>
  <c r="AP1362" i="67"/>
  <c r="AL1229" i="67"/>
  <c r="AR1229" i="67"/>
  <c r="AV1228" i="67"/>
  <c r="K1346" i="67"/>
  <c r="N1260" i="67"/>
  <c r="N1228" i="67"/>
  <c r="V1243" i="67"/>
  <c r="AE1229" i="67"/>
  <c r="AN1262" i="67"/>
  <c r="AD1346" i="67"/>
  <c r="AE1242" i="67"/>
  <c r="AR1346" i="67"/>
  <c r="AB1228" i="67"/>
  <c r="AM1260" i="67"/>
  <c r="AT1346" i="67"/>
  <c r="AV1346" i="67"/>
  <c r="R1362" i="67"/>
  <c r="L1243" i="67"/>
  <c r="O1243" i="67"/>
  <c r="AM1348" i="67"/>
  <c r="AF1242" i="67"/>
  <c r="AG1242" i="67"/>
  <c r="Q1228" i="67"/>
  <c r="AK7" i="68" s="1"/>
  <c r="J9" i="62" s="1"/>
  <c r="AN1242" i="67"/>
  <c r="AH1243" i="67"/>
  <c r="AS1346" i="67"/>
  <c r="AN1364" i="67"/>
  <c r="S1364" i="67"/>
  <c r="AK1364" i="67"/>
  <c r="AE1346" i="67"/>
  <c r="M1346" i="67"/>
  <c r="AA1229" i="67"/>
  <c r="M1261" i="67"/>
  <c r="Z1348" i="67"/>
  <c r="O1362" i="67"/>
  <c r="AL1242" i="67"/>
  <c r="AV1244" i="67"/>
  <c r="P1244" i="67"/>
  <c r="AL1244" i="67"/>
  <c r="AU1244" i="67"/>
  <c r="AM1364" i="67"/>
  <c r="N1262" i="67"/>
  <c r="AH1230" i="67"/>
  <c r="AO1262" i="67"/>
  <c r="Y1230" i="67"/>
  <c r="Y1364" i="67"/>
  <c r="M1229" i="67"/>
  <c r="AG7" i="68" s="1"/>
  <c r="F9" i="62" s="1"/>
  <c r="T1363" i="67"/>
  <c r="AV1348" i="67"/>
  <c r="O1348" i="67"/>
  <c r="AT1348" i="67"/>
  <c r="AN1229" i="67"/>
  <c r="AS1228" i="67"/>
  <c r="AJ1348" i="67"/>
  <c r="AK1244" i="67"/>
  <c r="AU1363" i="67"/>
  <c r="W1228" i="67"/>
  <c r="AJ1228" i="67"/>
  <c r="AO1229" i="67"/>
  <c r="AR1363" i="67"/>
  <c r="AR1244" i="67"/>
  <c r="AB1348" i="67"/>
  <c r="AA1348" i="67"/>
  <c r="K1230" i="67"/>
  <c r="AD1260" i="67"/>
  <c r="AU1260" i="67"/>
  <c r="X1261" i="67"/>
  <c r="AE1228" i="67"/>
  <c r="AA1363" i="67"/>
  <c r="AQ1243" i="67"/>
  <c r="AG1229" i="67"/>
  <c r="R1244" i="67"/>
  <c r="AS1244" i="67"/>
  <c r="R1346" i="67"/>
  <c r="AD1228" i="67"/>
  <c r="Y1229" i="67"/>
  <c r="AU1228" i="67"/>
  <c r="M1362" i="67"/>
  <c r="P1228" i="67"/>
  <c r="S1229" i="67"/>
  <c r="S1363" i="67"/>
  <c r="AL1228" i="67"/>
  <c r="AG1364" i="67"/>
  <c r="AF1229" i="67"/>
  <c r="AA1364" i="67"/>
  <c r="R1260" i="67"/>
  <c r="AB1229" i="67"/>
  <c r="T1261" i="67"/>
  <c r="AB1362" i="67"/>
  <c r="L1346" i="67"/>
  <c r="AR1230" i="67"/>
  <c r="M1262" i="67"/>
  <c r="AD1242" i="67"/>
  <c r="M1242" i="67"/>
  <c r="U1229" i="67"/>
  <c r="AB1347" i="67"/>
  <c r="X1228" i="67"/>
  <c r="X1362" i="67"/>
  <c r="S1228" i="67"/>
  <c r="S1362" i="67"/>
  <c r="T1230" i="67"/>
  <c r="AI1346" i="67"/>
  <c r="AN1347" i="67"/>
  <c r="AN1230" i="67"/>
  <c r="AH1346" i="67"/>
  <c r="AI1243" i="67"/>
  <c r="AW1261" i="67"/>
  <c r="AV1363" i="67"/>
  <c r="V1242" i="67"/>
  <c r="AD1244" i="67"/>
  <c r="P1261" i="67"/>
  <c r="K1348" i="67"/>
  <c r="N1346" i="67"/>
  <c r="O1229" i="67"/>
  <c r="AI7" i="68" s="1"/>
  <c r="H9" i="62" s="1"/>
  <c r="AH1228" i="67"/>
  <c r="N1363" i="67"/>
  <c r="M1363" i="67"/>
  <c r="AJ1229" i="67"/>
  <c r="AC1228" i="67"/>
  <c r="AO1228" i="67"/>
  <c r="AA1228" i="67"/>
  <c r="AW1229" i="67"/>
  <c r="AG1346" i="67"/>
  <c r="X1242" i="67"/>
  <c r="S1242" i="67"/>
  <c r="AR1228" i="67"/>
  <c r="P1229" i="67"/>
  <c r="AE1362" i="67"/>
  <c r="V1229" i="67"/>
  <c r="AP1347" i="67"/>
  <c r="AV1229" i="67"/>
  <c r="AG1228" i="67"/>
  <c r="Z1228" i="67"/>
  <c r="AT7" i="68" s="1"/>
  <c r="S9" i="62" s="1"/>
  <c r="AN1228" i="67"/>
  <c r="AF1348" i="67"/>
  <c r="AF1243" i="67"/>
  <c r="AK1260" i="67"/>
  <c r="AI1260" i="67"/>
  <c r="Y1260" i="67"/>
  <c r="K1243" i="67"/>
  <c r="Z1346" i="67"/>
  <c r="T1229" i="67"/>
  <c r="AN7" i="68" s="1"/>
  <c r="M9" i="62" s="1"/>
  <c r="AV1364" i="67"/>
  <c r="AE1262" i="67"/>
  <c r="L1242" i="67"/>
  <c r="AU1261" i="67"/>
  <c r="W1242" i="67"/>
  <c r="S1243" i="67"/>
  <c r="K1229" i="67"/>
  <c r="AE7" i="68" s="1"/>
  <c r="D9" i="62" s="1"/>
  <c r="AH1229" i="67"/>
  <c r="T1243" i="67"/>
  <c r="AK167" i="65"/>
  <c r="AK179" i="65" s="1"/>
  <c r="V167" i="65"/>
  <c r="V179" i="65" s="1"/>
  <c r="U609" i="67"/>
  <c r="U151" i="67"/>
  <c r="U304" i="67"/>
  <c r="U457" i="67"/>
  <c r="U761" i="67"/>
  <c r="U912" i="67"/>
  <c r="Y760" i="67"/>
  <c r="Y456" i="67"/>
  <c r="Y911" i="67"/>
  <c r="Y150" i="67"/>
  <c r="Y608" i="67"/>
  <c r="Y303" i="67"/>
  <c r="N895" i="67"/>
  <c r="N440" i="67"/>
  <c r="N744" i="67"/>
  <c r="N287" i="67"/>
  <c r="N134" i="67"/>
  <c r="N592" i="67"/>
  <c r="AW1364" i="67"/>
  <c r="AT25" i="68"/>
  <c r="S23" i="62" s="1"/>
  <c r="Z354" i="67"/>
  <c r="Z809" i="67"/>
  <c r="Z658" i="67"/>
  <c r="Z201" i="67"/>
  <c r="Z48" i="67"/>
  <c r="Z506" i="67"/>
  <c r="K1062" i="67"/>
  <c r="K1559" i="67"/>
  <c r="K1543" i="67"/>
  <c r="K1405" i="67"/>
  <c r="K1423" i="67"/>
  <c r="K1391" i="67"/>
  <c r="K1046" i="67"/>
  <c r="K1093" i="67"/>
  <c r="K960" i="67"/>
  <c r="K1111" i="67"/>
  <c r="K942" i="67"/>
  <c r="K791" i="67"/>
  <c r="K1213" i="67"/>
  <c r="K1079" i="67"/>
  <c r="K928" i="67"/>
  <c r="K1197" i="67"/>
  <c r="AI1262" i="67"/>
  <c r="Z1364" i="67"/>
  <c r="AL1260" i="67"/>
  <c r="V1230" i="67"/>
  <c r="S1230" i="67"/>
  <c r="AR1347" i="67"/>
  <c r="AP1230" i="67"/>
  <c r="AS1262" i="67"/>
  <c r="AC1364" i="67"/>
  <c r="Z1243" i="67"/>
  <c r="Y1243" i="67"/>
  <c r="AU1242" i="67"/>
  <c r="N1242" i="67"/>
  <c r="AH1242" i="67"/>
  <c r="P744" i="67"/>
  <c r="P895" i="67"/>
  <c r="P440" i="67"/>
  <c r="P287" i="67"/>
  <c r="P592" i="67"/>
  <c r="P134" i="67"/>
  <c r="Z745" i="67"/>
  <c r="Z896" i="67"/>
  <c r="Z441" i="67"/>
  <c r="Z288" i="67"/>
  <c r="Z593" i="67"/>
  <c r="Z135" i="67"/>
  <c r="T895" i="67"/>
  <c r="T440" i="67"/>
  <c r="T744" i="67"/>
  <c r="T134" i="67"/>
  <c r="T287" i="67"/>
  <c r="T592" i="67"/>
  <c r="AA593" i="67"/>
  <c r="AA135" i="67"/>
  <c r="AA441" i="67"/>
  <c r="AA288" i="67"/>
  <c r="AA745" i="67"/>
  <c r="AA896" i="67"/>
  <c r="U745" i="67"/>
  <c r="U441" i="67"/>
  <c r="U896" i="67"/>
  <c r="U288" i="67"/>
  <c r="U593" i="67"/>
  <c r="U135" i="67"/>
  <c r="M337" i="67"/>
  <c r="M641" i="67"/>
  <c r="M31" i="67"/>
  <c r="M489" i="67"/>
  <c r="M184" i="67"/>
  <c r="O337" i="67"/>
  <c r="O184" i="67"/>
  <c r="O31" i="67"/>
  <c r="O489" i="67"/>
  <c r="O641" i="67"/>
  <c r="N337" i="67"/>
  <c r="N489" i="67"/>
  <c r="N641" i="67"/>
  <c r="N184" i="67"/>
  <c r="N31" i="67"/>
  <c r="Q1347" i="67"/>
  <c r="AU1346" i="67"/>
  <c r="AC1347" i="67"/>
  <c r="K329" i="67"/>
  <c r="K176" i="67"/>
  <c r="K633" i="67"/>
  <c r="K481" i="67"/>
  <c r="K23" i="67"/>
  <c r="Q337" i="67"/>
  <c r="Q184" i="67"/>
  <c r="Q31" i="67"/>
  <c r="Q641" i="67"/>
  <c r="Q489" i="67"/>
  <c r="Y337" i="67"/>
  <c r="Y489" i="67"/>
  <c r="Y184" i="67"/>
  <c r="Y31" i="67"/>
  <c r="Y641" i="67"/>
  <c r="L336" i="67"/>
  <c r="L30" i="67"/>
  <c r="L640" i="67"/>
  <c r="L488" i="67"/>
  <c r="L183" i="67"/>
  <c r="AH1262" i="67"/>
  <c r="P1242" i="67"/>
  <c r="AI1244" i="67"/>
  <c r="X1346" i="67"/>
  <c r="AC167" i="65"/>
  <c r="AC179" i="65" s="1"/>
  <c r="AT1261" i="67"/>
  <c r="AL1261" i="67"/>
  <c r="AB1346" i="67"/>
  <c r="AE167" i="65"/>
  <c r="AE179" i="65" s="1"/>
  <c r="D167" i="65"/>
  <c r="D179" i="65" s="1"/>
  <c r="S1348" i="67"/>
  <c r="AT1260" i="67"/>
  <c r="AR1261" i="67"/>
  <c r="AD1362" i="67"/>
  <c r="Q1363" i="67"/>
  <c r="AF167" i="65"/>
  <c r="AF179" i="65" s="1"/>
  <c r="P896" i="67"/>
  <c r="P441" i="67"/>
  <c r="P745" i="67"/>
  <c r="P288" i="67"/>
  <c r="P593" i="67"/>
  <c r="P135" i="67"/>
  <c r="P323" i="67"/>
  <c r="P170" i="67"/>
  <c r="P778" i="67"/>
  <c r="P627" i="67"/>
  <c r="P17" i="67"/>
  <c r="P475" i="67"/>
  <c r="T457" i="67"/>
  <c r="T151" i="67"/>
  <c r="T304" i="67"/>
  <c r="T761" i="67"/>
  <c r="T912" i="67"/>
  <c r="T609" i="67"/>
  <c r="T323" i="67"/>
  <c r="T17" i="67"/>
  <c r="T778" i="67"/>
  <c r="T170" i="67"/>
  <c r="T627" i="67"/>
  <c r="T475" i="67"/>
  <c r="U911" i="67"/>
  <c r="U456" i="67"/>
  <c r="U760" i="67"/>
  <c r="U150" i="67"/>
  <c r="U608" i="67"/>
  <c r="U303" i="67"/>
  <c r="U322" i="67"/>
  <c r="U169" i="67"/>
  <c r="U474" i="67"/>
  <c r="U16" i="67"/>
  <c r="U777" i="67"/>
  <c r="U626" i="67"/>
  <c r="AO10" i="68"/>
  <c r="N12" i="62" s="1"/>
  <c r="AF1260" i="67"/>
  <c r="AQ1362" i="67"/>
  <c r="AO1362" i="67"/>
  <c r="V1346" i="67"/>
  <c r="Q1260" i="67"/>
  <c r="U1260" i="67"/>
  <c r="P167" i="65"/>
  <c r="P179" i="65" s="1"/>
  <c r="W1262" i="67"/>
  <c r="T194" i="67"/>
  <c r="T347" i="67"/>
  <c r="T651" i="67"/>
  <c r="T499" i="67"/>
  <c r="T802" i="67"/>
  <c r="T41" i="67"/>
  <c r="AD1348" i="67"/>
  <c r="Z1244" i="67"/>
  <c r="AL1346" i="67"/>
  <c r="V1244" i="67"/>
  <c r="AK1362" i="67"/>
  <c r="T1362" i="67"/>
  <c r="AL1363" i="67"/>
  <c r="AE1347" i="67"/>
  <c r="P1363" i="67"/>
  <c r="S1244" i="67"/>
  <c r="W1362" i="67"/>
  <c r="Z1261" i="67"/>
  <c r="V1363" i="67"/>
  <c r="AH167" i="65"/>
  <c r="AH179" i="65" s="1"/>
  <c r="P449" i="67"/>
  <c r="P601" i="67"/>
  <c r="P904" i="67"/>
  <c r="P753" i="67"/>
  <c r="P296" i="67"/>
  <c r="P143" i="67"/>
  <c r="P619" i="67"/>
  <c r="P770" i="67"/>
  <c r="Q440" i="67"/>
  <c r="Q592" i="67"/>
  <c r="Q134" i="67"/>
  <c r="Q895" i="67"/>
  <c r="Q287" i="67"/>
  <c r="Q744" i="67"/>
  <c r="Y134" i="67"/>
  <c r="Y287" i="67"/>
  <c r="Y440" i="67"/>
  <c r="Y744" i="67"/>
  <c r="Y592" i="67"/>
  <c r="Y895" i="67"/>
  <c r="L745" i="67"/>
  <c r="L441" i="67"/>
  <c r="L896" i="67"/>
  <c r="L593" i="67"/>
  <c r="L135" i="67"/>
  <c r="L288" i="67"/>
  <c r="AS1347" i="67"/>
  <c r="O1347" i="67"/>
  <c r="AW1228" i="67"/>
  <c r="AG167" i="65"/>
  <c r="AG179" i="65" s="1"/>
  <c r="M354" i="67"/>
  <c r="M809" i="67"/>
  <c r="M658" i="67"/>
  <c r="M48" i="67"/>
  <c r="M506" i="67"/>
  <c r="AG25" i="68"/>
  <c r="F23" i="62" s="1"/>
  <c r="M201" i="67"/>
  <c r="O354" i="67"/>
  <c r="O809" i="67"/>
  <c r="O658" i="67"/>
  <c r="O48" i="67"/>
  <c r="O506" i="67"/>
  <c r="AI25" i="68"/>
  <c r="H23" i="62" s="1"/>
  <c r="O201" i="67"/>
  <c r="N354" i="67"/>
  <c r="N48" i="67"/>
  <c r="N658" i="67"/>
  <c r="N201" i="67"/>
  <c r="N506" i="67"/>
  <c r="AH25" i="68"/>
  <c r="G23" i="62" s="1"/>
  <c r="N809" i="67"/>
  <c r="X1364" i="67"/>
  <c r="N1230" i="67"/>
  <c r="AM1363" i="67"/>
  <c r="AJ1261" i="67"/>
  <c r="U1347" i="67"/>
  <c r="S1346" i="67"/>
  <c r="U1230" i="67"/>
  <c r="AH1363" i="67"/>
  <c r="AE1348" i="67"/>
  <c r="V1348" i="67"/>
  <c r="AE1261" i="67"/>
  <c r="AH1362" i="67"/>
  <c r="N1348" i="67"/>
  <c r="AH1244" i="67"/>
  <c r="AK1347" i="67"/>
  <c r="N1243" i="67"/>
  <c r="AJ1243" i="67"/>
  <c r="AC1242" i="67"/>
  <c r="AQ1242" i="67"/>
  <c r="AO1242" i="67"/>
  <c r="AA1242" i="67"/>
  <c r="AG1362" i="67"/>
  <c r="X1260" i="67"/>
  <c r="U1242" i="67"/>
  <c r="AJ167" i="65"/>
  <c r="AJ179" i="65" s="1"/>
  <c r="B168" i="65"/>
  <c r="B180" i="65" s="1"/>
  <c r="U1262" i="67"/>
  <c r="T1347" i="67"/>
  <c r="AL1362" i="67"/>
  <c r="AV1230" i="67"/>
  <c r="AF1262" i="67"/>
  <c r="P1230" i="67"/>
  <c r="O1364" i="67"/>
  <c r="AT1230" i="67"/>
  <c r="AW1348" i="67"/>
  <c r="Q1262" i="67"/>
  <c r="AF1363" i="67"/>
  <c r="AN1243" i="67"/>
  <c r="AS1242" i="67"/>
  <c r="AP1242" i="67"/>
  <c r="AD167" i="65"/>
  <c r="AD179" i="65" s="1"/>
  <c r="R167" i="65"/>
  <c r="R179" i="65" s="1"/>
  <c r="AK1230" i="67"/>
  <c r="AO1243" i="67"/>
  <c r="AR1243" i="67"/>
  <c r="AV1242" i="67"/>
  <c r="L1262" i="67"/>
  <c r="AA1230" i="67"/>
  <c r="R1364" i="67"/>
  <c r="AC1262" i="67"/>
  <c r="M1230" i="67"/>
  <c r="M1364" i="67"/>
  <c r="K1242" i="67"/>
  <c r="AA167" i="65"/>
  <c r="AA179" i="65" s="1"/>
  <c r="W167" i="65"/>
  <c r="W179" i="65" s="1"/>
  <c r="AG1244" i="67"/>
  <c r="L1260" i="67"/>
  <c r="AO1261" i="67"/>
  <c r="AP1348" i="67"/>
  <c r="Z336" i="67"/>
  <c r="Z183" i="67"/>
  <c r="Z640" i="67"/>
  <c r="Z488" i="67"/>
  <c r="Z30" i="67"/>
  <c r="AA336" i="67"/>
  <c r="AA30" i="67"/>
  <c r="AA640" i="67"/>
  <c r="AA183" i="67"/>
  <c r="AA488" i="67"/>
  <c r="AN167" i="65"/>
  <c r="AN179" i="65" s="1"/>
  <c r="E167" i="65"/>
  <c r="E179" i="65" s="1"/>
  <c r="L167" i="65"/>
  <c r="L179" i="65" s="1"/>
  <c r="P456" i="67"/>
  <c r="P303" i="67"/>
  <c r="P608" i="67"/>
  <c r="P150" i="67"/>
  <c r="P911" i="67"/>
  <c r="P760" i="67"/>
  <c r="Z609" i="67"/>
  <c r="Z912" i="67"/>
  <c r="Z151" i="67"/>
  <c r="Z457" i="67"/>
  <c r="Z304" i="67"/>
  <c r="Z761" i="67"/>
  <c r="T322" i="67"/>
  <c r="AN10" i="68"/>
  <c r="M12" i="62" s="1"/>
  <c r="T16" i="67"/>
  <c r="T626" i="67"/>
  <c r="T777" i="67"/>
  <c r="T474" i="67"/>
  <c r="T169" i="67"/>
  <c r="AA609" i="67"/>
  <c r="AA912" i="67"/>
  <c r="AA151" i="67"/>
  <c r="AA761" i="67"/>
  <c r="AA457" i="67"/>
  <c r="AA304" i="67"/>
  <c r="U323" i="67"/>
  <c r="U778" i="67"/>
  <c r="U475" i="67"/>
  <c r="U17" i="67"/>
  <c r="U627" i="67"/>
  <c r="U170" i="67"/>
  <c r="O745" i="67"/>
  <c r="O288" i="67"/>
  <c r="O441" i="67"/>
  <c r="O896" i="67"/>
  <c r="O135" i="67"/>
  <c r="O593" i="67"/>
  <c r="K619" i="67"/>
  <c r="K770" i="67"/>
  <c r="Q355" i="67"/>
  <c r="Q659" i="67"/>
  <c r="Q810" i="67"/>
  <c r="Q507" i="67"/>
  <c r="Q49" i="67"/>
  <c r="Q202" i="67"/>
  <c r="Y355" i="67"/>
  <c r="Y49" i="67"/>
  <c r="Y507" i="67"/>
  <c r="Y810" i="67"/>
  <c r="Y659" i="67"/>
  <c r="Y202" i="67"/>
  <c r="L354" i="67"/>
  <c r="L48" i="67"/>
  <c r="L809" i="67"/>
  <c r="L658" i="67"/>
  <c r="L201" i="67"/>
  <c r="AF25" i="68"/>
  <c r="E23" i="62" s="1"/>
  <c r="L506" i="67"/>
  <c r="P337" i="67"/>
  <c r="P31" i="67"/>
  <c r="P184" i="67"/>
  <c r="P641" i="67"/>
  <c r="P489" i="67"/>
  <c r="T337" i="67"/>
  <c r="T489" i="67"/>
  <c r="T184" i="67"/>
  <c r="T31" i="67"/>
  <c r="T641" i="67"/>
  <c r="U336" i="67"/>
  <c r="U640" i="67"/>
  <c r="U488" i="67"/>
  <c r="U183" i="67"/>
  <c r="U30" i="67"/>
  <c r="M167" i="65"/>
  <c r="M179" i="65" s="1"/>
  <c r="T585" i="67"/>
  <c r="T280" i="67"/>
  <c r="T737" i="67"/>
  <c r="T433" i="67"/>
  <c r="T888" i="67"/>
  <c r="T127" i="67"/>
  <c r="P633" i="67"/>
  <c r="P23" i="67"/>
  <c r="P481" i="67"/>
  <c r="P176" i="67"/>
  <c r="P329" i="67"/>
  <c r="Q456" i="67"/>
  <c r="Q608" i="67"/>
  <c r="Q303" i="67"/>
  <c r="Q150" i="67"/>
  <c r="Q911" i="67"/>
  <c r="Q760" i="67"/>
  <c r="Y322" i="67"/>
  <c r="Y777" i="67"/>
  <c r="Y626" i="67"/>
  <c r="Y16" i="67"/>
  <c r="Y474" i="67"/>
  <c r="AS10" i="68"/>
  <c r="R12" i="62" s="1"/>
  <c r="Y169" i="67"/>
  <c r="L151" i="67"/>
  <c r="L609" i="67"/>
  <c r="L457" i="67"/>
  <c r="L761" i="67"/>
  <c r="L304" i="67"/>
  <c r="L912" i="67"/>
  <c r="M287" i="67"/>
  <c r="M440" i="67"/>
  <c r="M134" i="67"/>
  <c r="M592" i="67"/>
  <c r="M744" i="67"/>
  <c r="M895" i="67"/>
  <c r="O895" i="67"/>
  <c r="O440" i="67"/>
  <c r="O744" i="67"/>
  <c r="O287" i="67"/>
  <c r="O134" i="67"/>
  <c r="O592" i="67"/>
  <c r="AD1364" i="67"/>
  <c r="N1244" i="67"/>
  <c r="AC1346" i="67"/>
  <c r="U1362" i="67"/>
  <c r="U1244" i="67"/>
  <c r="O1242" i="67"/>
  <c r="AV1262" i="67"/>
  <c r="V1364" i="67"/>
  <c r="AL1347" i="67"/>
  <c r="AQ1364" i="67"/>
  <c r="AU1262" i="67"/>
  <c r="AC1230" i="67"/>
  <c r="AM1243" i="67"/>
  <c r="AD1243" i="67"/>
  <c r="W1347" i="67"/>
  <c r="AA1346" i="67"/>
  <c r="V1260" i="67"/>
  <c r="Q1362" i="67"/>
  <c r="J167" i="65"/>
  <c r="J179" i="65" s="1"/>
  <c r="X167" i="65"/>
  <c r="X179" i="65" s="1"/>
  <c r="W1244" i="67"/>
  <c r="AD1262" i="67"/>
  <c r="Z1230" i="67"/>
  <c r="Z1242" i="67"/>
  <c r="O1262" i="67"/>
  <c r="AW1230" i="67"/>
  <c r="AW1262" i="67"/>
  <c r="AG1262" i="67"/>
  <c r="Q1230" i="67"/>
  <c r="Y1346" i="67"/>
  <c r="AP1346" i="67"/>
  <c r="AL1262" i="67"/>
  <c r="AQ1230" i="67"/>
  <c r="AU1347" i="67"/>
  <c r="W1346" i="67"/>
  <c r="L1230" i="67"/>
  <c r="AA1262" i="67"/>
  <c r="K1262" i="67"/>
  <c r="K1244" i="67"/>
  <c r="Q1243" i="67"/>
  <c r="AS1243" i="67"/>
  <c r="AW1346" i="67"/>
  <c r="AJ25" i="68"/>
  <c r="I23" i="62" s="1"/>
  <c r="P354" i="67"/>
  <c r="P658" i="67"/>
  <c r="P809" i="67"/>
  <c r="P506" i="67"/>
  <c r="P48" i="67"/>
  <c r="P201" i="67"/>
  <c r="Z355" i="67"/>
  <c r="Z507" i="67"/>
  <c r="Z202" i="67"/>
  <c r="Z49" i="67"/>
  <c r="Z659" i="67"/>
  <c r="Z810" i="67"/>
  <c r="AN25" i="68"/>
  <c r="M23" i="62" s="1"/>
  <c r="T354" i="67"/>
  <c r="T201" i="67"/>
  <c r="T658" i="67"/>
  <c r="T809" i="67"/>
  <c r="T48" i="67"/>
  <c r="T506" i="67"/>
  <c r="AA355" i="67"/>
  <c r="AA659" i="67"/>
  <c r="AA810" i="67"/>
  <c r="AA507" i="67"/>
  <c r="AA49" i="67"/>
  <c r="AA202" i="67"/>
  <c r="U355" i="67"/>
  <c r="U49" i="67"/>
  <c r="U810" i="67"/>
  <c r="U659" i="67"/>
  <c r="U202" i="67"/>
  <c r="U507" i="67"/>
  <c r="M457" i="67"/>
  <c r="M609" i="67"/>
  <c r="M912" i="67"/>
  <c r="M304" i="67"/>
  <c r="M151" i="67"/>
  <c r="M761" i="67"/>
  <c r="M323" i="67"/>
  <c r="M17" i="67"/>
  <c r="M170" i="67"/>
  <c r="M475" i="67"/>
  <c r="M778" i="67"/>
  <c r="M627" i="67"/>
  <c r="O355" i="67"/>
  <c r="O49" i="67"/>
  <c r="O202" i="67"/>
  <c r="O810" i="67"/>
  <c r="O659" i="67"/>
  <c r="O507" i="67"/>
  <c r="O323" i="67"/>
  <c r="O627" i="67"/>
  <c r="O17" i="67"/>
  <c r="O475" i="67"/>
  <c r="O170" i="67"/>
  <c r="O778" i="67"/>
  <c r="N912" i="67"/>
  <c r="N609" i="67"/>
  <c r="N457" i="67"/>
  <c r="N761" i="67"/>
  <c r="N304" i="67"/>
  <c r="N151" i="67"/>
  <c r="N323" i="67"/>
  <c r="N778" i="67"/>
  <c r="N627" i="67"/>
  <c r="N17" i="67"/>
  <c r="N475" i="67"/>
  <c r="N170" i="67"/>
  <c r="K888" i="67"/>
  <c r="K585" i="67"/>
  <c r="K280" i="67"/>
  <c r="K737" i="67"/>
  <c r="K433" i="67"/>
  <c r="K127" i="67"/>
  <c r="Q457" i="67"/>
  <c r="Q151" i="67"/>
  <c r="Q912" i="67"/>
  <c r="Q761" i="67"/>
  <c r="Q304" i="67"/>
  <c r="Q609" i="67"/>
  <c r="Q323" i="67"/>
  <c r="Q475" i="67"/>
  <c r="Q778" i="67"/>
  <c r="Q627" i="67"/>
  <c r="Q170" i="67"/>
  <c r="Q17" i="67"/>
  <c r="Y912" i="67"/>
  <c r="Y457" i="67"/>
  <c r="Y609" i="67"/>
  <c r="Y151" i="67"/>
  <c r="Y304" i="67"/>
  <c r="Y761" i="67"/>
  <c r="Y323" i="67"/>
  <c r="Y17" i="67"/>
  <c r="Y778" i="67"/>
  <c r="Y170" i="67"/>
  <c r="Y627" i="67"/>
  <c r="Y475" i="67"/>
  <c r="L456" i="67"/>
  <c r="L760" i="67"/>
  <c r="L608" i="67"/>
  <c r="L911" i="67"/>
  <c r="L150" i="67"/>
  <c r="L303" i="67"/>
  <c r="L322" i="67"/>
  <c r="AF10" i="68"/>
  <c r="E12" i="62" s="1"/>
  <c r="L169" i="67"/>
  <c r="L777" i="67"/>
  <c r="L626" i="67"/>
  <c r="L16" i="67"/>
  <c r="L474" i="67"/>
  <c r="N1261" i="67"/>
  <c r="AO1260" i="67"/>
  <c r="C167" i="65"/>
  <c r="C179" i="65" s="1"/>
  <c r="W1230" i="67"/>
  <c r="Z1362" i="67"/>
  <c r="B75" i="65"/>
  <c r="B80" i="65" s="1"/>
  <c r="K315" i="67" s="1"/>
  <c r="AD71" i="70"/>
  <c r="B39" i="65"/>
  <c r="B41" i="65" s="1"/>
  <c r="K162" i="67" s="1"/>
  <c r="B127" i="65"/>
  <c r="B137" i="65" s="1"/>
  <c r="K467" i="67" s="1"/>
  <c r="AD55" i="70"/>
  <c r="B19" i="65"/>
  <c r="AK1348" i="67"/>
  <c r="R1243" i="67"/>
  <c r="AB1244" i="67"/>
  <c r="M1244" i="67"/>
  <c r="P457" i="67"/>
  <c r="P151" i="67"/>
  <c r="P304" i="67"/>
  <c r="P609" i="67"/>
  <c r="P912" i="67"/>
  <c r="P761" i="67"/>
  <c r="T745" i="67"/>
  <c r="T896" i="67"/>
  <c r="T441" i="67"/>
  <c r="T593" i="67"/>
  <c r="T135" i="67"/>
  <c r="T288" i="67"/>
  <c r="U895" i="67"/>
  <c r="U440" i="67"/>
  <c r="U134" i="67"/>
  <c r="U287" i="67"/>
  <c r="U592" i="67"/>
  <c r="U744" i="67"/>
  <c r="X1262" i="67"/>
  <c r="AM1230" i="67"/>
  <c r="AJ1347" i="67"/>
  <c r="AC1362" i="67"/>
  <c r="U1243" i="67"/>
  <c r="S1347" i="67"/>
  <c r="AM167" i="65"/>
  <c r="AM179" i="65" s="1"/>
  <c r="AI1348" i="67"/>
  <c r="U167" i="65"/>
  <c r="U179" i="65" s="1"/>
  <c r="T176" i="67"/>
  <c r="T329" i="67"/>
  <c r="T481" i="67"/>
  <c r="T633" i="67"/>
  <c r="T23" i="67"/>
  <c r="K167" i="65"/>
  <c r="K179" i="65" s="1"/>
  <c r="K1347" i="67"/>
  <c r="AN1260" i="67"/>
  <c r="O1260" i="67"/>
  <c r="AH1261" i="67"/>
  <c r="AF1244" i="67"/>
  <c r="AE1244" i="67"/>
  <c r="Y1362" i="67"/>
  <c r="AN1363" i="67"/>
  <c r="AQ1363" i="67"/>
  <c r="AR1362" i="67"/>
  <c r="AB1242" i="67"/>
  <c r="AG1261" i="67"/>
  <c r="AQ1244" i="67"/>
  <c r="R1347" i="67"/>
  <c r="L1362" i="67"/>
  <c r="AT1362" i="67"/>
  <c r="AV1362" i="67"/>
  <c r="R1348" i="67"/>
  <c r="AC1244" i="67"/>
  <c r="M1348" i="67"/>
  <c r="R1242" i="67"/>
  <c r="AS1261" i="67"/>
  <c r="AW1362" i="67"/>
  <c r="P585" i="67"/>
  <c r="P280" i="67"/>
  <c r="P433" i="67"/>
  <c r="P737" i="67"/>
  <c r="P888" i="67"/>
  <c r="P127" i="67"/>
  <c r="Q354" i="67"/>
  <c r="Q658" i="67"/>
  <c r="AK25" i="68"/>
  <c r="J23" i="62" s="1"/>
  <c r="Q506" i="67"/>
  <c r="Q809" i="67"/>
  <c r="Q48" i="67"/>
  <c r="Q201" i="67"/>
  <c r="Y336" i="67"/>
  <c r="Y183" i="67"/>
  <c r="Y640" i="67"/>
  <c r="Y488" i="67"/>
  <c r="Y30" i="67"/>
  <c r="L355" i="67"/>
  <c r="L49" i="67"/>
  <c r="L659" i="67"/>
  <c r="L202" i="67"/>
  <c r="L507" i="67"/>
  <c r="L810" i="67"/>
  <c r="N1362" i="67"/>
  <c r="M336" i="67"/>
  <c r="M30" i="67"/>
  <c r="M640" i="67"/>
  <c r="M488" i="67"/>
  <c r="M183" i="67"/>
  <c r="O336" i="67"/>
  <c r="O640" i="67"/>
  <c r="O488" i="67"/>
  <c r="O183" i="67"/>
  <c r="O30" i="67"/>
  <c r="N336" i="67"/>
  <c r="N183" i="67"/>
  <c r="N30" i="67"/>
  <c r="N640" i="67"/>
  <c r="N488" i="67"/>
  <c r="AQ1260" i="67"/>
  <c r="U1346" i="67"/>
  <c r="W1364" i="67"/>
  <c r="O1244" i="67"/>
  <c r="AJ1260" i="67"/>
  <c r="L1348" i="67"/>
  <c r="AS1363" i="67"/>
  <c r="X1348" i="67"/>
  <c r="AM1244" i="67"/>
  <c r="AI1363" i="67"/>
  <c r="AB1261" i="67"/>
  <c r="AV1347" i="67"/>
  <c r="AG1260" i="67"/>
  <c r="P1362" i="67"/>
  <c r="AI1364" i="67"/>
  <c r="S1260" i="67"/>
  <c r="Z1262" i="67"/>
  <c r="AN1346" i="67"/>
  <c r="O1346" i="67"/>
  <c r="O1230" i="67"/>
  <c r="AT1364" i="67"/>
  <c r="AG1230" i="67"/>
  <c r="AK1242" i="67"/>
  <c r="AI1242" i="67"/>
  <c r="Y1242" i="67"/>
  <c r="AL1243" i="67"/>
  <c r="AB1260" i="67"/>
  <c r="AG1347" i="67"/>
  <c r="P1243" i="67"/>
  <c r="AI167" i="65"/>
  <c r="AI179" i="65" s="1"/>
  <c r="AL1230" i="67"/>
  <c r="AL1364" i="67"/>
  <c r="AQ1262" i="67"/>
  <c r="AJ1364" i="67"/>
  <c r="S1262" i="67"/>
  <c r="AU1230" i="67"/>
  <c r="AU1364" i="67"/>
  <c r="AT1242" i="67"/>
  <c r="AR1262" i="67"/>
  <c r="AB1230" i="67"/>
  <c r="AB1364" i="67"/>
  <c r="K1364" i="67"/>
  <c r="R1230" i="67"/>
  <c r="AP1262" i="67"/>
  <c r="AS1230" i="67"/>
  <c r="AS1364" i="67"/>
  <c r="L1347" i="67"/>
  <c r="Y1347" i="67"/>
  <c r="T1348" i="67"/>
  <c r="AQ1348" i="67"/>
  <c r="AA1261" i="67"/>
  <c r="V1261" i="67"/>
  <c r="Z760" i="67"/>
  <c r="Z303" i="67"/>
  <c r="Z911" i="67"/>
  <c r="Z456" i="67"/>
  <c r="Z608" i="67"/>
  <c r="Z150" i="67"/>
  <c r="AT10" i="68"/>
  <c r="S12" i="62" s="1"/>
  <c r="Z322" i="67"/>
  <c r="Z474" i="67"/>
  <c r="Z169" i="67"/>
  <c r="Z777" i="67"/>
  <c r="Z626" i="67"/>
  <c r="Z16" i="67"/>
  <c r="AA303" i="67"/>
  <c r="AA760" i="67"/>
  <c r="AA911" i="67"/>
  <c r="AA456" i="67"/>
  <c r="AA608" i="67"/>
  <c r="AA150" i="67"/>
  <c r="AA322" i="67"/>
  <c r="AA777" i="67"/>
  <c r="AA169" i="67"/>
  <c r="AU10" i="68"/>
  <c r="T12" i="62" s="1"/>
  <c r="AA626" i="67"/>
  <c r="AA16" i="67"/>
  <c r="AA474" i="67"/>
  <c r="K1063" i="67"/>
  <c r="K1560" i="67"/>
  <c r="K1544" i="67"/>
  <c r="K1406" i="67"/>
  <c r="K1392" i="67"/>
  <c r="K1424" i="67"/>
  <c r="K961" i="67"/>
  <c r="K792" i="67"/>
  <c r="K1198" i="67"/>
  <c r="K1047" i="67"/>
  <c r="K1112" i="67"/>
  <c r="K1094" i="67"/>
  <c r="K943" i="67"/>
  <c r="K1080" i="67"/>
  <c r="K929" i="67"/>
  <c r="K1214" i="67"/>
  <c r="AO1244" i="67"/>
  <c r="T167" i="65"/>
  <c r="T179" i="65" s="1"/>
  <c r="H167" i="65"/>
  <c r="H179" i="65" s="1"/>
  <c r="P322" i="67"/>
  <c r="P777" i="67"/>
  <c r="AJ10" i="68"/>
  <c r="I12" i="62" s="1"/>
  <c r="P16" i="67"/>
  <c r="P474" i="67"/>
  <c r="P626" i="67"/>
  <c r="P169" i="67"/>
  <c r="Z323" i="67"/>
  <c r="Z627" i="67"/>
  <c r="Z475" i="67"/>
  <c r="Z17" i="67"/>
  <c r="Z170" i="67"/>
  <c r="Z778" i="67"/>
  <c r="T911" i="67"/>
  <c r="T608" i="67"/>
  <c r="T303" i="67"/>
  <c r="T456" i="67"/>
  <c r="T150" i="67"/>
  <c r="T760" i="67"/>
  <c r="AA323" i="67"/>
  <c r="AA778" i="67"/>
  <c r="AA475" i="67"/>
  <c r="AA17" i="67"/>
  <c r="AA627" i="67"/>
  <c r="AA170" i="67"/>
  <c r="M355" i="67"/>
  <c r="M507" i="67"/>
  <c r="M659" i="67"/>
  <c r="M49" i="67"/>
  <c r="M810" i="67"/>
  <c r="M202" i="67"/>
  <c r="N355" i="67"/>
  <c r="N49" i="67"/>
  <c r="N810" i="67"/>
  <c r="N659" i="67"/>
  <c r="N202" i="67"/>
  <c r="N507" i="67"/>
  <c r="Z167" i="65"/>
  <c r="Z179" i="65" s="1"/>
  <c r="AL167" i="65"/>
  <c r="AL179" i="65" s="1"/>
  <c r="AH7" i="68"/>
  <c r="G9" i="62" s="1"/>
  <c r="Q322" i="67"/>
  <c r="Q777" i="67"/>
  <c r="Q626" i="67"/>
  <c r="Q169" i="67"/>
  <c r="Q474" i="67"/>
  <c r="AK10" i="68"/>
  <c r="J12" i="62" s="1"/>
  <c r="Q16" i="67"/>
  <c r="L323" i="67"/>
  <c r="L475" i="67"/>
  <c r="L17" i="67"/>
  <c r="L778" i="67"/>
  <c r="L627" i="67"/>
  <c r="L170" i="67"/>
  <c r="AW1242" i="67"/>
  <c r="AA354" i="67"/>
  <c r="AA809" i="67"/>
  <c r="AU25" i="68"/>
  <c r="T23" i="62" s="1"/>
  <c r="AA506" i="67"/>
  <c r="AA48" i="67"/>
  <c r="AA658" i="67"/>
  <c r="AA201" i="67"/>
  <c r="X1244" i="67"/>
  <c r="AK1243" i="67"/>
  <c r="M1347" i="67"/>
  <c r="F167" i="65"/>
  <c r="F179" i="65" s="1"/>
  <c r="K1363" i="67"/>
  <c r="AT1262" i="67"/>
  <c r="B164" i="65"/>
  <c r="B176" i="65" s="1"/>
  <c r="AK1262" i="67"/>
  <c r="AJ1346" i="67"/>
  <c r="H4" i="50"/>
  <c r="H4" i="57" s="1"/>
  <c r="H4" i="69"/>
  <c r="AH1348" i="67"/>
  <c r="Y1348" i="67"/>
  <c r="AO1346" i="67"/>
  <c r="AW1347" i="67"/>
  <c r="U1363" i="67"/>
  <c r="AP1363" i="67"/>
  <c r="AV1243" i="67"/>
  <c r="P1260" i="67"/>
  <c r="T1364" i="67"/>
  <c r="K1261" i="67"/>
  <c r="AF1364" i="67"/>
  <c r="AQ1347" i="67"/>
  <c r="AT1347" i="67"/>
  <c r="T1346" i="67"/>
  <c r="AG1243" i="67"/>
  <c r="P1347" i="67"/>
  <c r="R1261" i="67"/>
  <c r="AO1347" i="67"/>
  <c r="AB1262" i="67"/>
  <c r="L1364" i="67"/>
  <c r="R1262" i="67"/>
  <c r="K1362" i="67"/>
  <c r="X1243" i="67"/>
  <c r="AC1243" i="67"/>
  <c r="V1347" i="67"/>
  <c r="P336" i="67"/>
  <c r="P30" i="67"/>
  <c r="P488" i="67"/>
  <c r="P183" i="67"/>
  <c r="P640" i="67"/>
  <c r="Z337" i="67"/>
  <c r="Z31" i="67"/>
  <c r="Z489" i="67"/>
  <c r="Z184" i="67"/>
  <c r="Z641" i="67"/>
  <c r="T336" i="67"/>
  <c r="T183" i="67"/>
  <c r="T640" i="67"/>
  <c r="T488" i="67"/>
  <c r="T30" i="67"/>
  <c r="AA337" i="67"/>
  <c r="AA31" i="67"/>
  <c r="AA641" i="67"/>
  <c r="AA184" i="67"/>
  <c r="AA489" i="67"/>
  <c r="U337" i="67"/>
  <c r="U489" i="67"/>
  <c r="U31" i="67"/>
  <c r="U184" i="67"/>
  <c r="U641" i="67"/>
  <c r="M441" i="67"/>
  <c r="M745" i="67"/>
  <c r="M896" i="67"/>
  <c r="M288" i="67"/>
  <c r="M593" i="67"/>
  <c r="M135" i="67"/>
  <c r="O912" i="67"/>
  <c r="O457" i="67"/>
  <c r="O761" i="67"/>
  <c r="O609" i="67"/>
  <c r="O304" i="67"/>
  <c r="O151" i="67"/>
  <c r="N896" i="67"/>
  <c r="N441" i="67"/>
  <c r="N745" i="67"/>
  <c r="N135" i="67"/>
  <c r="N288" i="67"/>
  <c r="N593" i="67"/>
  <c r="AW1260" i="67"/>
  <c r="K651" i="67"/>
  <c r="K194" i="67"/>
  <c r="K802" i="67"/>
  <c r="K347" i="67"/>
  <c r="K499" i="67"/>
  <c r="K41" i="67"/>
  <c r="K296" i="67"/>
  <c r="K143" i="67"/>
  <c r="K449" i="67"/>
  <c r="K904" i="67"/>
  <c r="K601" i="67"/>
  <c r="K753" i="67"/>
  <c r="Q896" i="67"/>
  <c r="Q441" i="67"/>
  <c r="Q745" i="67"/>
  <c r="Q135" i="67"/>
  <c r="Q288" i="67"/>
  <c r="Q593" i="67"/>
  <c r="Y896" i="67"/>
  <c r="Y441" i="67"/>
  <c r="Y745" i="67"/>
  <c r="Y288" i="67"/>
  <c r="Y135" i="67"/>
  <c r="Y593" i="67"/>
  <c r="L440" i="67"/>
  <c r="L895" i="67"/>
  <c r="L744" i="67"/>
  <c r="L287" i="67"/>
  <c r="L134" i="67"/>
  <c r="L592" i="67"/>
  <c r="N1364" i="67"/>
  <c r="AF1362" i="67"/>
  <c r="AK1363" i="67"/>
  <c r="AC1260" i="67"/>
  <c r="AN1362" i="67"/>
  <c r="Q1348" i="67"/>
  <c r="AG1363" i="67"/>
  <c r="I167" i="65"/>
  <c r="I179" i="65" s="1"/>
  <c r="O167" i="65"/>
  <c r="O179" i="65" s="1"/>
  <c r="S167" i="65"/>
  <c r="S179" i="65" s="1"/>
  <c r="AM1242" i="67"/>
  <c r="AV1260" i="67"/>
  <c r="AR1348" i="67"/>
  <c r="AC1348" i="67"/>
  <c r="Z1363" i="67"/>
  <c r="AU1362" i="67"/>
  <c r="AE1260" i="67"/>
  <c r="P355" i="67"/>
  <c r="P810" i="67"/>
  <c r="P202" i="67"/>
  <c r="P659" i="67"/>
  <c r="P507" i="67"/>
  <c r="P49" i="67"/>
  <c r="T355" i="67"/>
  <c r="T810" i="67"/>
  <c r="T659" i="67"/>
  <c r="T49" i="67"/>
  <c r="T507" i="67"/>
  <c r="T202" i="67"/>
  <c r="U354" i="67"/>
  <c r="U506" i="67"/>
  <c r="AO25" i="68"/>
  <c r="N23" i="62" s="1"/>
  <c r="U809" i="67"/>
  <c r="U48" i="67"/>
  <c r="U658" i="67"/>
  <c r="U201" i="67"/>
  <c r="AH1364" i="67"/>
  <c r="AK1261" i="67"/>
  <c r="AD1261" i="67"/>
  <c r="AI1347" i="67"/>
  <c r="W1363" i="67"/>
  <c r="AA1362" i="67"/>
  <c r="AW1363" i="67"/>
  <c r="AB1243" i="67"/>
  <c r="AV1261" i="67"/>
  <c r="P1346" i="67"/>
  <c r="T601" i="67"/>
  <c r="T753" i="67"/>
  <c r="T449" i="67"/>
  <c r="T296" i="67"/>
  <c r="T143" i="67"/>
  <c r="T904" i="67"/>
  <c r="T619" i="67"/>
  <c r="T770" i="67"/>
  <c r="T1244" i="67"/>
  <c r="U1348" i="67"/>
  <c r="P1348" i="67"/>
  <c r="AW1244" i="67"/>
  <c r="AG1348" i="67"/>
  <c r="AF1347" i="67"/>
  <c r="AS1362" i="67"/>
  <c r="AT1363" i="67"/>
  <c r="AN1244" i="67"/>
  <c r="AL1348" i="67"/>
  <c r="AU1348" i="67"/>
  <c r="AM1346" i="67"/>
  <c r="AJ1362" i="67"/>
  <c r="AO1363" i="67"/>
  <c r="L1244" i="67"/>
  <c r="AP1244" i="67"/>
  <c r="AS1348" i="67"/>
  <c r="L1261" i="67"/>
  <c r="Q1261" i="67"/>
  <c r="Y1261" i="67"/>
  <c r="O1261" i="67"/>
  <c r="AH1260" i="67"/>
  <c r="M1260" i="67"/>
  <c r="AA1347" i="67"/>
  <c r="P347" i="67"/>
  <c r="P651" i="67"/>
  <c r="P499" i="67"/>
  <c r="P802" i="67"/>
  <c r="P41" i="67"/>
  <c r="P194" i="67"/>
  <c r="Q336" i="67"/>
  <c r="Q640" i="67"/>
  <c r="Q488" i="67"/>
  <c r="Q30" i="67"/>
  <c r="Q183" i="67"/>
  <c r="Y354" i="67"/>
  <c r="Y658" i="67"/>
  <c r="Y48" i="67"/>
  <c r="Y809" i="67"/>
  <c r="AS25" i="68"/>
  <c r="R23" i="62" s="1"/>
  <c r="Y201" i="67"/>
  <c r="Y506" i="67"/>
  <c r="L337" i="67"/>
  <c r="L31" i="67"/>
  <c r="L641" i="67"/>
  <c r="L489" i="67"/>
  <c r="L184" i="67"/>
  <c r="X1347" i="67"/>
  <c r="G167" i="65"/>
  <c r="G179" i="65" s="1"/>
  <c r="M456" i="67"/>
  <c r="M911" i="67"/>
  <c r="M608" i="67"/>
  <c r="M150" i="67"/>
  <c r="M760" i="67"/>
  <c r="M303" i="67"/>
  <c r="M322" i="67"/>
  <c r="M777" i="67"/>
  <c r="M16" i="67"/>
  <c r="M626" i="67"/>
  <c r="M169" i="67"/>
  <c r="M474" i="67"/>
  <c r="AG10" i="68"/>
  <c r="F12" i="62" s="1"/>
  <c r="O150" i="67"/>
  <c r="O760" i="67"/>
  <c r="O456" i="67"/>
  <c r="O303" i="67"/>
  <c r="O911" i="67"/>
  <c r="O608" i="67"/>
  <c r="AI10" i="68"/>
  <c r="H12" i="62" s="1"/>
  <c r="O322" i="67"/>
  <c r="O16" i="67"/>
  <c r="O169" i="67"/>
  <c r="O626" i="67"/>
  <c r="O777" i="67"/>
  <c r="O474" i="67"/>
  <c r="N760" i="67"/>
  <c r="N911" i="67"/>
  <c r="N608" i="67"/>
  <c r="N150" i="67"/>
  <c r="N456" i="67"/>
  <c r="N303" i="67"/>
  <c r="N322" i="67"/>
  <c r="AH10" i="68"/>
  <c r="G12" i="62" s="1"/>
  <c r="N474" i="67"/>
  <c r="N169" i="67"/>
  <c r="N777" i="67"/>
  <c r="N626" i="67"/>
  <c r="N16" i="67"/>
  <c r="AO1364" i="67"/>
  <c r="Y1262" i="67"/>
  <c r="W1261" i="67"/>
  <c r="AA1260" i="67"/>
  <c r="Q167" i="65"/>
  <c r="Q179" i="65" s="1"/>
  <c r="Q1346" i="67"/>
  <c r="AN1261" i="67"/>
  <c r="AS1260" i="67"/>
  <c r="AB167" i="65"/>
  <c r="AB179" i="65" s="1"/>
  <c r="AJ1244" i="67"/>
  <c r="AU1243" i="67"/>
  <c r="W1260" i="67"/>
  <c r="AA1244" i="67"/>
  <c r="K1260" i="67"/>
  <c r="L1363" i="67"/>
  <c r="AC1363" i="67"/>
  <c r="W1243" i="67"/>
  <c r="M1243" i="67"/>
  <c r="AW1243" i="67"/>
  <c r="U1261" i="67"/>
  <c r="AP1261" i="67"/>
  <c r="V1362" i="67"/>
  <c r="AI1230" i="67"/>
  <c r="Q1242" i="67"/>
  <c r="B167" i="65"/>
  <c r="B179" i="65" s="1"/>
  <c r="Y167" i="65"/>
  <c r="Y179" i="65" s="1"/>
  <c r="AD1230" i="67"/>
  <c r="AH1347" i="67"/>
  <c r="P1364" i="67"/>
  <c r="V1262" i="67"/>
  <c r="AQ1261" i="67"/>
  <c r="AT1243" i="67"/>
  <c r="AR1242" i="67"/>
  <c r="T1242" i="67"/>
  <c r="AE1363" i="67"/>
  <c r="AJ1230" i="67"/>
  <c r="R1363" i="67"/>
  <c r="AM1362" i="67"/>
  <c r="AJ1242" i="67"/>
  <c r="Z1347" i="67"/>
  <c r="N167" i="65"/>
  <c r="N179" i="65" s="1"/>
  <c r="AB1363" i="67"/>
  <c r="AA1384" i="67"/>
  <c r="AA1398" i="67"/>
  <c r="AA1416" i="67"/>
  <c r="AA1536" i="67"/>
  <c r="AA1552" i="67"/>
  <c r="AN1348" i="67"/>
  <c r="Y1363" i="67"/>
  <c r="O1363" i="67"/>
  <c r="X1363" i="67"/>
  <c r="Z744" i="67"/>
  <c r="Z440" i="67"/>
  <c r="Z895" i="67"/>
  <c r="Z592" i="67"/>
  <c r="Z134" i="67"/>
  <c r="Z287" i="67"/>
  <c r="AA744" i="67"/>
  <c r="AA440" i="67"/>
  <c r="AA895" i="67"/>
  <c r="AA287" i="67"/>
  <c r="AA592" i="67"/>
  <c r="AA134" i="67"/>
  <c r="AJ15" i="57"/>
  <c r="AK15" i="57"/>
  <c r="AT42" i="36"/>
  <c r="AS83" i="36"/>
  <c r="H5" i="47"/>
  <c r="U38" i="55"/>
  <c r="B24" i="65" l="1"/>
  <c r="K9" i="67"/>
  <c r="M1351" i="67"/>
  <c r="U1247" i="67"/>
  <c r="AA1247" i="67"/>
  <c r="T1246" i="67"/>
  <c r="Z1247" i="67"/>
  <c r="Q1232" i="67"/>
  <c r="L1264" i="67"/>
  <c r="Z1264" i="67"/>
  <c r="Y1366" i="67"/>
  <c r="M1232" i="67"/>
  <c r="Y1265" i="67"/>
  <c r="P1265" i="67"/>
  <c r="AU7" i="68"/>
  <c r="T9" i="62" s="1"/>
  <c r="L1366" i="67"/>
  <c r="Q1265" i="67"/>
  <c r="O1351" i="67"/>
  <c r="T1367" i="67"/>
  <c r="Q1247" i="67"/>
  <c r="U1351" i="67"/>
  <c r="T1350" i="67"/>
  <c r="P1350" i="67"/>
  <c r="AJ7" i="68"/>
  <c r="I9" i="62" s="1"/>
  <c r="AS7" i="68"/>
  <c r="R9" i="62" s="1"/>
  <c r="O1265" i="67"/>
  <c r="T1232" i="67"/>
  <c r="T1265" i="67"/>
  <c r="L1350" i="67"/>
  <c r="O1366" i="67"/>
  <c r="AO7" i="68"/>
  <c r="N9" i="62" s="1"/>
  <c r="N1351" i="67"/>
  <c r="O1246" i="67"/>
  <c r="M1246" i="67"/>
  <c r="T1351" i="67"/>
  <c r="N1265" i="67"/>
  <c r="U1265" i="67"/>
  <c r="Y1232" i="67"/>
  <c r="Z1367" i="67"/>
  <c r="O1247" i="67"/>
  <c r="AA1351" i="67"/>
  <c r="Z1232" i="67"/>
  <c r="Q1264" i="67"/>
  <c r="L1232" i="67"/>
  <c r="Q1367" i="67"/>
  <c r="N1233" i="67"/>
  <c r="U1246" i="67"/>
  <c r="AA1367" i="67"/>
  <c r="L1351" i="67"/>
  <c r="U1366" i="67"/>
  <c r="Z1350" i="67"/>
  <c r="N1232" i="67"/>
  <c r="AA1350" i="67"/>
  <c r="L1247" i="67"/>
  <c r="O1367" i="67"/>
  <c r="P1246" i="67"/>
  <c r="M1265" i="67"/>
  <c r="P1232" i="67"/>
  <c r="L1265" i="67"/>
  <c r="Y1246" i="67"/>
  <c r="U1350" i="67"/>
  <c r="K1225" i="67"/>
  <c r="Y1233" i="67"/>
  <c r="O1233" i="67"/>
  <c r="T1264" i="67"/>
  <c r="M1350" i="67"/>
  <c r="T1247" i="67"/>
  <c r="AN17" i="68" s="1"/>
  <c r="M18" i="62" s="1"/>
  <c r="U1233" i="67"/>
  <c r="N1264" i="67"/>
  <c r="O1264" i="67"/>
  <c r="Y1350" i="67"/>
  <c r="T1233" i="67"/>
  <c r="P1233" i="67"/>
  <c r="L1246" i="67"/>
  <c r="AF17" i="68" s="1"/>
  <c r="E18" i="62" s="1"/>
  <c r="Y1247" i="67"/>
  <c r="U1367" i="67"/>
  <c r="O1232" i="67"/>
  <c r="Q1351" i="67"/>
  <c r="K1359" i="67"/>
  <c r="L1233" i="67"/>
  <c r="AA1233" i="67"/>
  <c r="Z1233" i="67"/>
  <c r="N1246" i="67"/>
  <c r="K1343" i="67"/>
  <c r="M1233" i="67"/>
  <c r="O1350" i="67"/>
  <c r="P1247" i="67"/>
  <c r="AA1246" i="67"/>
  <c r="AU17" i="68" s="1"/>
  <c r="T18" i="62" s="1"/>
  <c r="Z1246" i="67"/>
  <c r="U1232" i="67"/>
  <c r="N1350" i="67"/>
  <c r="Y1264" i="67"/>
  <c r="Q1246" i="67"/>
  <c r="Y1351" i="67"/>
  <c r="P1367" i="67"/>
  <c r="Q1233" i="67"/>
  <c r="L1367" i="67"/>
  <c r="P1366" i="67"/>
  <c r="M1264" i="67"/>
  <c r="Q1350" i="67"/>
  <c r="P1351" i="67"/>
  <c r="N1247" i="67"/>
  <c r="M1247" i="67"/>
  <c r="AG17" i="68" s="1"/>
  <c r="F18" i="62" s="1"/>
  <c r="Z1351" i="67"/>
  <c r="AT17" i="68"/>
  <c r="S18" i="62" s="1"/>
  <c r="AA1265" i="67"/>
  <c r="Z1265" i="67"/>
  <c r="K336" i="67"/>
  <c r="K30" i="67"/>
  <c r="K183" i="67"/>
  <c r="K640" i="67"/>
  <c r="K488" i="67"/>
  <c r="K355" i="67"/>
  <c r="K202" i="67"/>
  <c r="K49" i="67"/>
  <c r="K659" i="67"/>
  <c r="K810" i="67"/>
  <c r="K507" i="67"/>
  <c r="K354" i="67"/>
  <c r="AE25" i="68"/>
  <c r="D23" i="62" s="1"/>
  <c r="K48" i="67"/>
  <c r="K201" i="67"/>
  <c r="K809" i="67"/>
  <c r="K506" i="67"/>
  <c r="K658" i="67"/>
  <c r="G4" i="50"/>
  <c r="G4" i="57" s="1"/>
  <c r="G4" i="69"/>
  <c r="K323" i="67"/>
  <c r="K778" i="67"/>
  <c r="K170" i="67"/>
  <c r="K627" i="67"/>
  <c r="K475" i="67"/>
  <c r="K17" i="67"/>
  <c r="AA1366" i="67"/>
  <c r="N1367" i="67"/>
  <c r="AA585" i="67"/>
  <c r="AA280" i="67"/>
  <c r="AA433" i="67"/>
  <c r="AA737" i="67"/>
  <c r="AA888" i="67"/>
  <c r="AA127" i="67"/>
  <c r="AA1264" i="67"/>
  <c r="K337" i="67"/>
  <c r="K489" i="67"/>
  <c r="K31" i="67"/>
  <c r="K184" i="67"/>
  <c r="K641" i="67"/>
  <c r="Q1366" i="67"/>
  <c r="K1239" i="67"/>
  <c r="K440" i="67"/>
  <c r="K287" i="67"/>
  <c r="K895" i="67"/>
  <c r="K134" i="67"/>
  <c r="K744" i="67"/>
  <c r="K592" i="67"/>
  <c r="AA329" i="67"/>
  <c r="AA23" i="67"/>
  <c r="AA633" i="67"/>
  <c r="AA481" i="67"/>
  <c r="AA176" i="67"/>
  <c r="K761" i="67"/>
  <c r="K151" i="67"/>
  <c r="K609" i="67"/>
  <c r="K457" i="67"/>
  <c r="K304" i="67"/>
  <c r="K912" i="67"/>
  <c r="B163" i="65"/>
  <c r="B175" i="65" s="1"/>
  <c r="AA449" i="67"/>
  <c r="AA601" i="67"/>
  <c r="AA296" i="67"/>
  <c r="AA143" i="67"/>
  <c r="AA904" i="67"/>
  <c r="AA753" i="67"/>
  <c r="AA619" i="67"/>
  <c r="AA770" i="67"/>
  <c r="N1366" i="67"/>
  <c r="T1366" i="67"/>
  <c r="M1366" i="67"/>
  <c r="U1264" i="67"/>
  <c r="K1257" i="67"/>
  <c r="Y1367" i="67"/>
  <c r="AA651" i="67"/>
  <c r="AA802" i="67"/>
  <c r="AA41" i="67"/>
  <c r="AA194" i="67"/>
  <c r="AA347" i="67"/>
  <c r="AA499" i="67"/>
  <c r="K441" i="67"/>
  <c r="K896" i="67"/>
  <c r="K288" i="67"/>
  <c r="K745" i="67"/>
  <c r="K135" i="67"/>
  <c r="K593" i="67"/>
  <c r="AA1232" i="67"/>
  <c r="Z1366" i="67"/>
  <c r="M1367" i="67"/>
  <c r="P1264" i="67"/>
  <c r="K322" i="67"/>
  <c r="AE10" i="68"/>
  <c r="D12" i="62" s="1"/>
  <c r="K777" i="67"/>
  <c r="K16" i="67"/>
  <c r="K169" i="67"/>
  <c r="K474" i="67"/>
  <c r="K626" i="67"/>
  <c r="K608" i="67"/>
  <c r="K150" i="67"/>
  <c r="K303" i="67"/>
  <c r="K911" i="67"/>
  <c r="K760" i="67"/>
  <c r="K456" i="67"/>
  <c r="AT11" i="50"/>
  <c r="AZ11" i="50"/>
  <c r="BC11" i="50"/>
  <c r="BJ11" i="50"/>
  <c r="BA11" i="50"/>
  <c r="Z11" i="50"/>
  <c r="AE11" i="50"/>
  <c r="AG11" i="50"/>
  <c r="AY11" i="50"/>
  <c r="BE11" i="50"/>
  <c r="AW11" i="50"/>
  <c r="AU11" i="50"/>
  <c r="AM11" i="50"/>
  <c r="AD11" i="50"/>
  <c r="AA11" i="50"/>
  <c r="BH11" i="50"/>
  <c r="AL11" i="50"/>
  <c r="AN11" i="50"/>
  <c r="BF11" i="50"/>
  <c r="AQ11" i="50"/>
  <c r="AS11" i="50"/>
  <c r="AV11" i="50"/>
  <c r="AK11" i="50"/>
  <c r="AB11" i="50"/>
  <c r="AC11" i="50"/>
  <c r="Y11" i="50"/>
  <c r="AD8" i="36" s="1"/>
  <c r="BG11" i="50"/>
  <c r="AP11" i="50"/>
  <c r="AX11" i="50"/>
  <c r="BD11" i="50"/>
  <c r="BK11" i="50"/>
  <c r="AF11" i="50"/>
  <c r="BB11" i="50"/>
  <c r="AO11" i="50"/>
  <c r="AJ11" i="50"/>
  <c r="AH11" i="50"/>
  <c r="BI11" i="50"/>
  <c r="AR11" i="50"/>
  <c r="AI11" i="50"/>
  <c r="AU42" i="36"/>
  <c r="AT83" i="36"/>
  <c r="G5" i="47"/>
  <c r="AO17" i="68" l="1"/>
  <c r="N18" i="62" s="1"/>
  <c r="AK17" i="68"/>
  <c r="J18" i="62" s="1"/>
  <c r="AH17" i="68"/>
  <c r="G18" i="62" s="1"/>
  <c r="K1247" i="67"/>
  <c r="K1367" i="67"/>
  <c r="AS17" i="68"/>
  <c r="R18" i="62" s="1"/>
  <c r="AJ17" i="68"/>
  <c r="I18" i="62" s="1"/>
  <c r="K1351" i="67"/>
  <c r="K1233" i="67"/>
  <c r="K1265" i="67"/>
  <c r="K1366" i="67"/>
  <c r="AI17" i="68"/>
  <c r="H18" i="62" s="1"/>
  <c r="K1264" i="67"/>
  <c r="K1232" i="67"/>
  <c r="K1246" i="67"/>
  <c r="F4" i="50"/>
  <c r="F4" i="57" s="1"/>
  <c r="F4" i="69"/>
  <c r="I64" i="65"/>
  <c r="I100" i="65"/>
  <c r="I83" i="65" s="1"/>
  <c r="AF11" i="69" s="1"/>
  <c r="K1414" i="67"/>
  <c r="K1382" i="67"/>
  <c r="K160" i="67" s="1"/>
  <c r="K1550" i="67"/>
  <c r="K1534" i="67"/>
  <c r="K1396" i="67"/>
  <c r="AM8" i="36"/>
  <c r="K64" i="65"/>
  <c r="K100" i="65"/>
  <c r="K83" i="65" s="1"/>
  <c r="AH11" i="69" s="1"/>
  <c r="S64" i="65"/>
  <c r="S100" i="65"/>
  <c r="AG9" i="36"/>
  <c r="E64" i="65"/>
  <c r="E100" i="65"/>
  <c r="T64" i="65"/>
  <c r="T100" i="65"/>
  <c r="T83" i="65" s="1"/>
  <c r="AQ11" i="69" s="1"/>
  <c r="AK64" i="65"/>
  <c r="AK100" i="65"/>
  <c r="X64" i="65"/>
  <c r="X100" i="65"/>
  <c r="X83" i="65" s="1"/>
  <c r="AU11" i="69" s="1"/>
  <c r="J64" i="65"/>
  <c r="J100" i="65"/>
  <c r="AM64" i="65"/>
  <c r="AM100" i="65"/>
  <c r="AM83" i="65" s="1"/>
  <c r="BJ11" i="69" s="1"/>
  <c r="AN8" i="36"/>
  <c r="L64" i="65"/>
  <c r="L100" i="65"/>
  <c r="M64" i="65"/>
  <c r="M100" i="65"/>
  <c r="AN64" i="65"/>
  <c r="AN100" i="65"/>
  <c r="AJ64" i="65"/>
  <c r="AJ100" i="65"/>
  <c r="N64" i="65"/>
  <c r="N83" i="65" s="1"/>
  <c r="AK11" i="69" s="1"/>
  <c r="N100" i="65"/>
  <c r="AI64" i="65"/>
  <c r="AI100" i="65"/>
  <c r="AF8" i="36"/>
  <c r="D64" i="65"/>
  <c r="D100" i="65"/>
  <c r="Z64" i="65"/>
  <c r="Z100" i="65"/>
  <c r="AJ8" i="36"/>
  <c r="H64" i="65"/>
  <c r="H100" i="65"/>
  <c r="AF64" i="65"/>
  <c r="AF100" i="65"/>
  <c r="AF83" i="65" s="1"/>
  <c r="BC11" i="69" s="1"/>
  <c r="U64" i="65"/>
  <c r="U100" i="65"/>
  <c r="AT8" i="36"/>
  <c r="R64" i="65"/>
  <c r="R100" i="65"/>
  <c r="AG64" i="65"/>
  <c r="AG100" i="65"/>
  <c r="AD9" i="36"/>
  <c r="B100" i="65"/>
  <c r="B64" i="65"/>
  <c r="Y64" i="65"/>
  <c r="Y100" i="65"/>
  <c r="AS8" i="36"/>
  <c r="Q64" i="65"/>
  <c r="Q100" i="65"/>
  <c r="AI8" i="36"/>
  <c r="G64" i="65"/>
  <c r="G100" i="65"/>
  <c r="AH64" i="65"/>
  <c r="AH100" i="65"/>
  <c r="AE8" i="36"/>
  <c r="C64" i="65"/>
  <c r="C100" i="65"/>
  <c r="AC64" i="65"/>
  <c r="AC100" i="65"/>
  <c r="AJ9" i="36"/>
  <c r="AL64" i="65"/>
  <c r="AL100" i="65"/>
  <c r="AE64" i="65"/>
  <c r="AE100" i="65"/>
  <c r="AA64" i="65"/>
  <c r="AA100" i="65"/>
  <c r="AH8" i="36"/>
  <c r="F64" i="65"/>
  <c r="F100" i="65"/>
  <c r="V64" i="65"/>
  <c r="V100" i="65"/>
  <c r="O64" i="65"/>
  <c r="O100" i="65"/>
  <c r="AR9" i="36"/>
  <c r="P64" i="65"/>
  <c r="P100" i="65"/>
  <c r="AB64" i="65"/>
  <c r="AB100" i="65"/>
  <c r="AD64" i="65"/>
  <c r="AD100" i="65"/>
  <c r="W64" i="65"/>
  <c r="W100" i="65"/>
  <c r="K1350" i="67"/>
  <c r="AI9" i="36"/>
  <c r="AS9" i="36"/>
  <c r="AE9" i="36"/>
  <c r="AM9" i="36"/>
  <c r="AG8" i="36"/>
  <c r="AN9" i="36"/>
  <c r="AH9" i="36"/>
  <c r="AR8" i="36"/>
  <c r="AF9" i="36"/>
  <c r="AT9" i="36"/>
  <c r="AV42" i="36"/>
  <c r="AU83" i="36"/>
  <c r="F5" i="47"/>
  <c r="U19" i="55"/>
  <c r="AL83" i="65" l="1"/>
  <c r="BI11" i="69" s="1"/>
  <c r="AE17" i="68"/>
  <c r="D18" i="62" s="1"/>
  <c r="R83" i="65"/>
  <c r="AO11" i="69" s="1"/>
  <c r="O83" i="65"/>
  <c r="AL11" i="69" s="1"/>
  <c r="Z83" i="65"/>
  <c r="AW11" i="69" s="1"/>
  <c r="U83" i="65"/>
  <c r="AR11" i="69" s="1"/>
  <c r="AK83" i="65"/>
  <c r="BH11" i="69" s="1"/>
  <c r="AH83" i="65"/>
  <c r="BE11" i="69" s="1"/>
  <c r="P83" i="65"/>
  <c r="AM11" i="69" s="1"/>
  <c r="C83" i="65"/>
  <c r="Z11" i="69" s="1"/>
  <c r="V83" i="65"/>
  <c r="AS11" i="69" s="1"/>
  <c r="AC83" i="65"/>
  <c r="AZ11" i="69" s="1"/>
  <c r="AG83" i="65"/>
  <c r="BD11" i="69" s="1"/>
  <c r="AJ83" i="65"/>
  <c r="BG11" i="69" s="1"/>
  <c r="E83" i="65"/>
  <c r="AB11" i="69" s="1"/>
  <c r="AB83" i="65"/>
  <c r="AY11" i="69" s="1"/>
  <c r="AE83" i="65"/>
  <c r="BB11" i="69" s="1"/>
  <c r="W83" i="65"/>
  <c r="AT11" i="69" s="1"/>
  <c r="AD83" i="65"/>
  <c r="BA11" i="69" s="1"/>
  <c r="AA83" i="65"/>
  <c r="AX11" i="69" s="1"/>
  <c r="Y83" i="65"/>
  <c r="AV11" i="69" s="1"/>
  <c r="L83" i="65"/>
  <c r="AI11" i="69" s="1"/>
  <c r="AI83" i="65"/>
  <c r="BF11" i="69" s="1"/>
  <c r="J83" i="65"/>
  <c r="AG11" i="69" s="1"/>
  <c r="F83" i="65"/>
  <c r="AC11" i="69" s="1"/>
  <c r="Q83" i="65"/>
  <c r="AN11" i="69" s="1"/>
  <c r="M83" i="65"/>
  <c r="AJ11" i="69" s="1"/>
  <c r="D83" i="65"/>
  <c r="AA11" i="69" s="1"/>
  <c r="G83" i="65"/>
  <c r="AD11" i="69" s="1"/>
  <c r="B83" i="65"/>
  <c r="Y11" i="69" s="1"/>
  <c r="H83" i="65"/>
  <c r="AE11" i="69" s="1"/>
  <c r="AN83" i="65"/>
  <c r="BK11" i="69" s="1"/>
  <c r="S83" i="65"/>
  <c r="AP11" i="69" s="1"/>
  <c r="Z1383" i="67"/>
  <c r="Z1397" i="67"/>
  <c r="Z1415" i="67"/>
  <c r="Z1535" i="67"/>
  <c r="Z1551" i="67"/>
  <c r="M1383" i="67"/>
  <c r="M1397" i="67"/>
  <c r="M1535" i="67"/>
  <c r="M1415" i="67"/>
  <c r="M1551" i="67"/>
  <c r="P1383" i="67"/>
  <c r="P1397" i="67"/>
  <c r="P1415" i="67"/>
  <c r="P1535" i="67"/>
  <c r="P1551" i="67"/>
  <c r="O1396" i="67"/>
  <c r="O1382" i="67"/>
  <c r="O160" i="67" s="1"/>
  <c r="O1414" i="67"/>
  <c r="O1534" i="67"/>
  <c r="O1550" i="67"/>
  <c r="P1382" i="67"/>
  <c r="P160" i="67" s="1"/>
  <c r="P1396" i="67"/>
  <c r="P1414" i="67"/>
  <c r="P1534" i="67"/>
  <c r="P1550" i="67"/>
  <c r="Z1382" i="67"/>
  <c r="Z160" i="67" s="1"/>
  <c r="Z1396" i="67"/>
  <c r="Z1414" i="67"/>
  <c r="Z1534" i="67"/>
  <c r="Z1550" i="67"/>
  <c r="Q1382" i="67"/>
  <c r="Q160" i="67" s="1"/>
  <c r="Q1396" i="67"/>
  <c r="Q1414" i="67"/>
  <c r="Q1550" i="67"/>
  <c r="Q1534" i="67"/>
  <c r="T1382" i="67"/>
  <c r="T160" i="67" s="1"/>
  <c r="T1396" i="67"/>
  <c r="T1414" i="67"/>
  <c r="T1534" i="67"/>
  <c r="T1550" i="67"/>
  <c r="O1383" i="67"/>
  <c r="O1397" i="67"/>
  <c r="O1415" i="67"/>
  <c r="O1551" i="67"/>
  <c r="O1535" i="67"/>
  <c r="L1383" i="67"/>
  <c r="L1397" i="67"/>
  <c r="L1415" i="67"/>
  <c r="L1535" i="67"/>
  <c r="L1551" i="67"/>
  <c r="Y1397" i="67"/>
  <c r="Y1383" i="67"/>
  <c r="Y1415" i="67"/>
  <c r="Y1535" i="67"/>
  <c r="Y1551" i="67"/>
  <c r="Q1383" i="67"/>
  <c r="Q1397" i="67"/>
  <c r="Q1415" i="67"/>
  <c r="Q1535" i="67"/>
  <c r="Q1551" i="67"/>
  <c r="K1551" i="67"/>
  <c r="K1535" i="67"/>
  <c r="K1397" i="67"/>
  <c r="K1415" i="67"/>
  <c r="K1383" i="67"/>
  <c r="AA1383" i="67"/>
  <c r="AA1397" i="67"/>
  <c r="AA1415" i="67"/>
  <c r="AA1551" i="67"/>
  <c r="AA1535" i="67"/>
  <c r="U1397" i="67"/>
  <c r="U1383" i="67"/>
  <c r="U1535" i="67"/>
  <c r="U1551" i="67"/>
  <c r="U1415" i="67"/>
  <c r="M1382" i="67"/>
  <c r="M160" i="67" s="1"/>
  <c r="M1396" i="67"/>
  <c r="M1414" i="67"/>
  <c r="M1550" i="67"/>
  <c r="M1534" i="67"/>
  <c r="E4" i="50"/>
  <c r="E4" i="57" s="1"/>
  <c r="E4" i="69"/>
  <c r="N1382" i="67"/>
  <c r="N160" i="67" s="1"/>
  <c r="N1396" i="67"/>
  <c r="N1414" i="67"/>
  <c r="N1534" i="67"/>
  <c r="N1550" i="67"/>
  <c r="Y1382" i="67"/>
  <c r="Y160" i="67" s="1"/>
  <c r="Y1396" i="67"/>
  <c r="Y1414" i="67"/>
  <c r="Y1534" i="67"/>
  <c r="Y1550" i="67"/>
  <c r="T1383" i="67"/>
  <c r="T1397" i="67"/>
  <c r="T1415" i="67"/>
  <c r="T1535" i="67"/>
  <c r="T1551" i="67"/>
  <c r="L1382" i="67"/>
  <c r="L160" i="67" s="1"/>
  <c r="L1396" i="67"/>
  <c r="L1414" i="67"/>
  <c r="L1534" i="67"/>
  <c r="L1550" i="67"/>
  <c r="AA1396" i="67"/>
  <c r="AA1382" i="67"/>
  <c r="AA160" i="67" s="1"/>
  <c r="AA1534" i="67"/>
  <c r="AA1414" i="67"/>
  <c r="AA1550" i="67"/>
  <c r="N1383" i="67"/>
  <c r="N1397" i="67"/>
  <c r="N1415" i="67"/>
  <c r="N1535" i="67"/>
  <c r="N1551" i="67"/>
  <c r="U1382" i="67"/>
  <c r="U160" i="67" s="1"/>
  <c r="U1396" i="67"/>
  <c r="U1414" i="67"/>
  <c r="U1550" i="67"/>
  <c r="U1534" i="67"/>
  <c r="AW42" i="36"/>
  <c r="AV83" i="36"/>
  <c r="E5" i="47"/>
  <c r="A63" i="46"/>
  <c r="A64" i="46" s="1"/>
  <c r="A65" i="46" s="1"/>
  <c r="A66" i="46" s="1"/>
  <c r="A67" i="46" s="1"/>
  <c r="A68" i="46" s="1"/>
  <c r="B63" i="46"/>
  <c r="B64" i="46" s="1"/>
  <c r="B65" i="46" s="1"/>
  <c r="B66" i="46" s="1"/>
  <c r="B67" i="46" s="1"/>
  <c r="B68" i="46" s="1"/>
  <c r="C64" i="46"/>
  <c r="C65" i="46" s="1"/>
  <c r="C66" i="46" s="1"/>
  <c r="F64" i="46"/>
  <c r="F65" i="46" s="1"/>
  <c r="F66" i="46" s="1"/>
  <c r="F67" i="46" s="1"/>
  <c r="F68" i="46" s="1"/>
  <c r="F69" i="46" s="1"/>
  <c r="F70" i="46" s="1"/>
  <c r="F71" i="46" s="1"/>
  <c r="F72" i="46" s="1"/>
  <c r="F73" i="46" s="1"/>
  <c r="F74" i="46" s="1"/>
  <c r="F75" i="46" s="1"/>
  <c r="F76" i="46" s="1"/>
  <c r="F77" i="46" s="1"/>
  <c r="F78" i="46" s="1"/>
  <c r="F79" i="46" s="1"/>
  <c r="F80" i="46" s="1"/>
  <c r="F115" i="46"/>
  <c r="F116" i="46" s="1"/>
  <c r="F117" i="46" s="1"/>
  <c r="F118" i="46" s="1"/>
  <c r="F119" i="46" s="1"/>
  <c r="F120" i="46" s="1"/>
  <c r="F121" i="46" s="1"/>
  <c r="F122" i="46" s="1"/>
  <c r="F123" i="46" s="1"/>
  <c r="F124" i="46" s="1"/>
  <c r="F125" i="46" s="1"/>
  <c r="F126" i="46" s="1"/>
  <c r="F127" i="46" s="1"/>
  <c r="F128" i="46" s="1"/>
  <c r="F129" i="46" s="1"/>
  <c r="F130" i="46" s="1"/>
  <c r="C41" i="46"/>
  <c r="C42" i="46" s="1"/>
  <c r="C43" i="46" s="1"/>
  <c r="C44" i="46" s="1"/>
  <c r="C45" i="46" s="1"/>
  <c r="C46" i="46" s="1"/>
  <c r="C47" i="46" s="1"/>
  <c r="B41" i="46"/>
  <c r="A41" i="46"/>
  <c r="C25" i="46"/>
  <c r="C24" i="46"/>
  <c r="C23" i="46"/>
  <c r="C22" i="46"/>
  <c r="A18" i="46"/>
  <c r="D18" i="46"/>
  <c r="C18" i="46"/>
  <c r="P161" i="67" l="1"/>
  <c r="P8" i="67"/>
  <c r="D4" i="50"/>
  <c r="D4" i="57" s="1"/>
  <c r="D4" i="69"/>
  <c r="N161" i="67"/>
  <c r="N8" i="67"/>
  <c r="U161" i="67"/>
  <c r="U8" i="67"/>
  <c r="Q8" i="67"/>
  <c r="Q161" i="67"/>
  <c r="Y8" i="67"/>
  <c r="Y161" i="67"/>
  <c r="AA8" i="67"/>
  <c r="AA161" i="67"/>
  <c r="L161" i="67"/>
  <c r="L8" i="67"/>
  <c r="M8" i="67"/>
  <c r="M161" i="67"/>
  <c r="T161" i="67"/>
  <c r="T8" i="67"/>
  <c r="K161" i="67"/>
  <c r="K8" i="67"/>
  <c r="O8" i="67"/>
  <c r="O161" i="67"/>
  <c r="Z8" i="67"/>
  <c r="Z161" i="67"/>
  <c r="AX42" i="36"/>
  <c r="AW83" i="36"/>
  <c r="B59" i="46"/>
  <c r="B60" i="46" s="1"/>
  <c r="B61" i="46" s="1"/>
  <c r="B42" i="46"/>
  <c r="B43" i="46" s="1"/>
  <c r="B44" i="46" s="1"/>
  <c r="B45" i="46" s="1"/>
  <c r="B46" i="46" s="1"/>
  <c r="B47" i="46" s="1"/>
  <c r="C54" i="46"/>
  <c r="C55" i="46" s="1"/>
  <c r="C56" i="46" s="1"/>
  <c r="C57" i="46" s="1"/>
  <c r="C58" i="46" s="1"/>
  <c r="C48" i="46"/>
  <c r="C49" i="46" s="1"/>
  <c r="C50" i="46" s="1"/>
  <c r="C51" i="46" s="1"/>
  <c r="C52" i="46" s="1"/>
  <c r="C53" i="46" s="1"/>
  <c r="A59" i="46"/>
  <c r="A60" i="46" s="1"/>
  <c r="A61" i="46" s="1"/>
  <c r="A42" i="46"/>
  <c r="A43" i="46" s="1"/>
  <c r="A44" i="46" s="1"/>
  <c r="A45" i="46" s="1"/>
  <c r="A46" i="46" s="1"/>
  <c r="A47" i="46" s="1"/>
  <c r="B29" i="46"/>
  <c r="B30" i="46" s="1"/>
  <c r="B31" i="46" s="1"/>
  <c r="B32" i="46" s="1"/>
  <c r="B33" i="46" s="1"/>
  <c r="B34" i="46" s="1"/>
  <c r="B62" i="46"/>
  <c r="A29" i="46"/>
  <c r="A30" i="46" s="1"/>
  <c r="A31" i="46" s="1"/>
  <c r="A32" i="46" s="1"/>
  <c r="A33" i="46" s="1"/>
  <c r="A34" i="46" s="1"/>
  <c r="A62" i="46"/>
  <c r="B69" i="46"/>
  <c r="B70" i="46" s="1"/>
  <c r="B71" i="46" s="1"/>
  <c r="B72" i="46" s="1"/>
  <c r="B73" i="46" s="1"/>
  <c r="B74" i="46" s="1"/>
  <c r="B75" i="46" s="1"/>
  <c r="B76" i="46" s="1"/>
  <c r="B77" i="46" s="1"/>
  <c r="B78" i="46" s="1"/>
  <c r="B79" i="46" s="1"/>
  <c r="B80" i="46" s="1"/>
  <c r="B81" i="46" s="1"/>
  <c r="B82" i="46" s="1"/>
  <c r="B83" i="46" s="1"/>
  <c r="B84" i="46" s="1"/>
  <c r="B85" i="46" s="1"/>
  <c r="B86" i="46" s="1"/>
  <c r="B87" i="46" s="1"/>
  <c r="B88" i="46" s="1"/>
  <c r="B89" i="46" s="1"/>
  <c r="B90" i="46" s="1"/>
  <c r="B91" i="46" s="1"/>
  <c r="B92" i="46" s="1"/>
  <c r="B93" i="46" s="1"/>
  <c r="B94" i="46" s="1"/>
  <c r="B95" i="46" s="1"/>
  <c r="B96" i="46" s="1"/>
  <c r="B97" i="46" s="1"/>
  <c r="B98" i="46" s="1"/>
  <c r="B99" i="46" s="1"/>
  <c r="B100" i="46" s="1"/>
  <c r="B101" i="46" s="1"/>
  <c r="B102" i="46" s="1"/>
  <c r="B103" i="46" s="1"/>
  <c r="B104" i="46" s="1"/>
  <c r="B105" i="46" s="1"/>
  <c r="B106" i="46" s="1"/>
  <c r="B107" i="46" s="1"/>
  <c r="B108" i="46" s="1"/>
  <c r="B109" i="46" s="1"/>
  <c r="B110" i="46" s="1"/>
  <c r="B111" i="46" s="1"/>
  <c r="B112" i="46" s="1"/>
  <c r="B113" i="46" s="1"/>
  <c r="B114" i="46" s="1"/>
  <c r="B115" i="46" s="1"/>
  <c r="B116" i="46" s="1"/>
  <c r="B117" i="46" s="1"/>
  <c r="B118" i="46" s="1"/>
  <c r="B119" i="46" s="1"/>
  <c r="B120" i="46" s="1"/>
  <c r="B121" i="46" s="1"/>
  <c r="B122" i="46" s="1"/>
  <c r="B123" i="46" s="1"/>
  <c r="B124" i="46" s="1"/>
  <c r="B125" i="46" s="1"/>
  <c r="B126" i="46" s="1"/>
  <c r="B127" i="46" s="1"/>
  <c r="B128" i="46" s="1"/>
  <c r="B129" i="46" s="1"/>
  <c r="B130" i="46" s="1"/>
  <c r="B35" i="46"/>
  <c r="B36" i="46" s="1"/>
  <c r="B37" i="46" s="1"/>
  <c r="B38" i="46" s="1"/>
  <c r="B39" i="46" s="1"/>
  <c r="B40" i="46" s="1"/>
  <c r="A69" i="46"/>
  <c r="A70" i="46" s="1"/>
  <c r="A71" i="46" s="1"/>
  <c r="A72" i="46" s="1"/>
  <c r="A73" i="46" s="1"/>
  <c r="A74" i="46" s="1"/>
  <c r="A75" i="46" s="1"/>
  <c r="A76" i="46" s="1"/>
  <c r="A77" i="46" s="1"/>
  <c r="A78" i="46" s="1"/>
  <c r="A79" i="46" s="1"/>
  <c r="A80" i="46" s="1"/>
  <c r="A81" i="46" s="1"/>
  <c r="A82" i="46" s="1"/>
  <c r="A83" i="46" s="1"/>
  <c r="A84" i="46" s="1"/>
  <c r="A85" i="46" s="1"/>
  <c r="A86" i="46" s="1"/>
  <c r="A87" i="46" s="1"/>
  <c r="A88" i="46" s="1"/>
  <c r="A89" i="46" s="1"/>
  <c r="A90" i="46" s="1"/>
  <c r="A91" i="46" s="1"/>
  <c r="A92" i="46" s="1"/>
  <c r="A93" i="46" s="1"/>
  <c r="A94" i="46" s="1"/>
  <c r="A95" i="46" s="1"/>
  <c r="A96" i="46" s="1"/>
  <c r="A97" i="46" s="1"/>
  <c r="A98" i="46" s="1"/>
  <c r="A99" i="46" s="1"/>
  <c r="A100" i="46" s="1"/>
  <c r="A101" i="46" s="1"/>
  <c r="A102" i="46" s="1"/>
  <c r="A103" i="46" s="1"/>
  <c r="A104" i="46" s="1"/>
  <c r="A105" i="46" s="1"/>
  <c r="A106" i="46" s="1"/>
  <c r="A107" i="46" s="1"/>
  <c r="A108" i="46" s="1"/>
  <c r="A109" i="46" s="1"/>
  <c r="A110" i="46" s="1"/>
  <c r="A111" i="46" s="1"/>
  <c r="A112" i="46" s="1"/>
  <c r="A113" i="46" s="1"/>
  <c r="A114" i="46" s="1"/>
  <c r="A115" i="46" s="1"/>
  <c r="A116" i="46" s="1"/>
  <c r="A117" i="46" s="1"/>
  <c r="A118" i="46" s="1"/>
  <c r="A119" i="46" s="1"/>
  <c r="A120" i="46" s="1"/>
  <c r="A121" i="46" s="1"/>
  <c r="A122" i="46" s="1"/>
  <c r="A123" i="46" s="1"/>
  <c r="A124" i="46" s="1"/>
  <c r="A125" i="46" s="1"/>
  <c r="A126" i="46" s="1"/>
  <c r="A127" i="46" s="1"/>
  <c r="A128" i="46" s="1"/>
  <c r="A129" i="46" s="1"/>
  <c r="A130" i="46" s="1"/>
  <c r="A35" i="46"/>
  <c r="A36" i="46" s="1"/>
  <c r="A37" i="46" s="1"/>
  <c r="A38" i="46" s="1"/>
  <c r="A39" i="46" s="1"/>
  <c r="A40" i="46" s="1"/>
  <c r="A19" i="46"/>
  <c r="A20" i="46" s="1"/>
  <c r="A21" i="46" s="1"/>
  <c r="C19" i="46"/>
  <c r="C27" i="46"/>
  <c r="A22" i="46"/>
  <c r="C26" i="46"/>
  <c r="D5" i="47"/>
  <c r="C67" i="46"/>
  <c r="C4" i="50" l="1"/>
  <c r="C4" i="57" s="1"/>
  <c r="C4" i="69"/>
  <c r="AY42" i="36"/>
  <c r="AX83" i="36"/>
  <c r="A48" i="46"/>
  <c r="A49" i="46" s="1"/>
  <c r="A50" i="46" s="1"/>
  <c r="A51" i="46" s="1"/>
  <c r="A52" i="46" s="1"/>
  <c r="A53" i="46" s="1"/>
  <c r="A54" i="46"/>
  <c r="A55" i="46" s="1"/>
  <c r="A56" i="46" s="1"/>
  <c r="A57" i="46" s="1"/>
  <c r="A58" i="46" s="1"/>
  <c r="B54" i="46"/>
  <c r="B55" i="46" s="1"/>
  <c r="B56" i="46" s="1"/>
  <c r="B57" i="46" s="1"/>
  <c r="B58" i="46" s="1"/>
  <c r="B48" i="46"/>
  <c r="B49" i="46" s="1"/>
  <c r="B50" i="46" s="1"/>
  <c r="B51" i="46" s="1"/>
  <c r="B52" i="46" s="1"/>
  <c r="B53" i="46" s="1"/>
  <c r="A23" i="46"/>
  <c r="A7" i="58" s="1"/>
  <c r="A8" i="58" s="1"/>
  <c r="C68" i="46"/>
  <c r="AZ42" i="36" l="1"/>
  <c r="AY83" i="36"/>
  <c r="A24" i="46"/>
  <c r="C69" i="46"/>
  <c r="BA42" i="36" l="1"/>
  <c r="AZ83" i="36"/>
  <c r="A25" i="46"/>
  <c r="C70" i="46"/>
  <c r="BB42" i="36" l="1"/>
  <c r="BA83" i="36"/>
  <c r="A26" i="46"/>
  <c r="C71" i="46"/>
  <c r="BC42" i="36" l="1"/>
  <c r="BB83" i="36"/>
  <c r="A27" i="46"/>
  <c r="C72" i="46"/>
  <c r="BD42" i="36" l="1"/>
  <c r="BC83" i="36"/>
  <c r="C73" i="46"/>
  <c r="BE42" i="36" l="1"/>
  <c r="BD83" i="36"/>
  <c r="C74" i="46"/>
  <c r="BF42" i="36" l="1"/>
  <c r="BE83" i="36"/>
  <c r="C75" i="46"/>
  <c r="BG42" i="36" l="1"/>
  <c r="BF83" i="36"/>
  <c r="C76" i="46"/>
  <c r="BH42" i="36" l="1"/>
  <c r="BG83" i="36"/>
  <c r="C77" i="46"/>
  <c r="BI42" i="36" l="1"/>
  <c r="BH83" i="36"/>
  <c r="C78" i="46"/>
  <c r="BJ42" i="36" l="1"/>
  <c r="BI83" i="36"/>
  <c r="C79" i="46"/>
  <c r="BK42" i="36" l="1"/>
  <c r="BJ83" i="36"/>
  <c r="C80" i="46"/>
  <c r="BL42" i="36" l="1"/>
  <c r="BK83" i="36"/>
  <c r="D61" i="45"/>
  <c r="D62" i="45"/>
  <c r="D63" i="45"/>
  <c r="D65" i="45"/>
  <c r="BM42" i="36" l="1"/>
  <c r="BL83" i="36"/>
  <c r="AL32" i="50"/>
  <c r="AL53" i="50" s="1"/>
  <c r="BE32" i="50"/>
  <c r="BE53" i="50" s="1"/>
  <c r="AW32" i="50"/>
  <c r="AW53" i="50" s="1"/>
  <c r="AF32" i="50"/>
  <c r="AF53" i="50" s="1"/>
  <c r="BH32" i="50"/>
  <c r="BH53" i="50" s="1"/>
  <c r="BD32" i="50"/>
  <c r="BD53" i="50" s="1"/>
  <c r="AZ32" i="50"/>
  <c r="AZ53" i="50" s="1"/>
  <c r="AV32" i="50"/>
  <c r="AV53" i="50" s="1"/>
  <c r="AR32" i="50"/>
  <c r="AR53" i="50" s="1"/>
  <c r="AK32" i="50"/>
  <c r="AK53" i="50" s="1"/>
  <c r="BA32" i="50"/>
  <c r="BA53" i="50" s="1"/>
  <c r="BG32" i="50"/>
  <c r="BG53" i="50" s="1"/>
  <c r="AY32" i="50"/>
  <c r="AY53" i="50" s="1"/>
  <c r="AU32" i="50"/>
  <c r="AU53" i="50" s="1"/>
  <c r="AQ32" i="50"/>
  <c r="AQ53" i="50" s="1"/>
  <c r="AJ32" i="50"/>
  <c r="AJ53" i="50" s="1"/>
  <c r="BI32" i="50"/>
  <c r="BI53" i="50" s="1"/>
  <c r="AS32" i="50"/>
  <c r="AS53" i="50" s="1"/>
  <c r="BK32" i="50"/>
  <c r="BK53" i="50" s="1"/>
  <c r="BC32" i="50"/>
  <c r="BC53" i="50" s="1"/>
  <c r="BJ32" i="50"/>
  <c r="BJ53" i="50" s="1"/>
  <c r="BF32" i="50"/>
  <c r="BF53" i="50" s="1"/>
  <c r="BB32" i="50"/>
  <c r="BB53" i="50" s="1"/>
  <c r="AX32" i="50"/>
  <c r="AX53" i="50" s="1"/>
  <c r="AT32" i="50"/>
  <c r="AT53" i="50" s="1"/>
  <c r="AP32" i="50"/>
  <c r="AP53" i="50" s="1"/>
  <c r="AG32" i="50"/>
  <c r="AG53" i="50" s="1"/>
  <c r="BN42" i="36" l="1"/>
  <c r="BM83" i="36"/>
  <c r="BF40" i="50"/>
  <c r="BD40" i="50"/>
  <c r="AP40" i="50"/>
  <c r="AJ40" i="50"/>
  <c r="AK40" i="50"/>
  <c r="AG40" i="50"/>
  <c r="AT40" i="50"/>
  <c r="BB40" i="50"/>
  <c r="BE40" i="50"/>
  <c r="AU40" i="50"/>
  <c r="AY40" i="50"/>
  <c r="BK40" i="50"/>
  <c r="AL40" i="50"/>
  <c r="AW40" i="50"/>
  <c r="AX40" i="50"/>
  <c r="BH40" i="50"/>
  <c r="AV40" i="50"/>
  <c r="BJ40" i="50"/>
  <c r="BG40" i="50"/>
  <c r="BI40" i="50"/>
  <c r="AQ40" i="50"/>
  <c r="BC40" i="50"/>
  <c r="AF40" i="50"/>
  <c r="AR40" i="50"/>
  <c r="AZ40" i="50"/>
  <c r="BA40" i="50"/>
  <c r="AS40" i="50"/>
  <c r="AY17" i="36"/>
  <c r="AY18" i="36"/>
  <c r="BP18" i="36"/>
  <c r="BP17" i="36"/>
  <c r="AV18" i="36"/>
  <c r="AV17" i="36"/>
  <c r="BF18" i="36"/>
  <c r="BF17" i="36"/>
  <c r="BE17" i="36"/>
  <c r="BE18" i="36"/>
  <c r="BB17" i="36"/>
  <c r="BB18" i="36"/>
  <c r="AU17" i="36"/>
  <c r="AU18" i="36"/>
  <c r="BC18" i="36"/>
  <c r="BC17" i="36"/>
  <c r="BK18" i="36"/>
  <c r="BK17" i="36"/>
  <c r="BH17" i="36"/>
  <c r="BH18" i="36"/>
  <c r="AX18" i="36"/>
  <c r="AX17" i="36"/>
  <c r="AO17" i="36"/>
  <c r="AO18" i="36"/>
  <c r="AZ18" i="36"/>
  <c r="AZ17" i="36"/>
  <c r="BL18" i="36"/>
  <c r="BL17" i="36"/>
  <c r="AP18" i="36"/>
  <c r="AP17" i="36"/>
  <c r="BA18" i="36"/>
  <c r="BA17" i="36"/>
  <c r="BI18" i="36"/>
  <c r="BI17" i="36"/>
  <c r="AK18" i="36"/>
  <c r="AK17" i="36"/>
  <c r="BJ17" i="36"/>
  <c r="BJ18" i="36"/>
  <c r="AL17" i="36"/>
  <c r="AL18" i="36"/>
  <c r="BG17" i="36"/>
  <c r="BG18" i="36"/>
  <c r="BO17" i="36"/>
  <c r="BO18" i="36"/>
  <c r="BN17" i="36"/>
  <c r="BN18" i="36"/>
  <c r="BD17" i="36"/>
  <c r="BD18" i="36"/>
  <c r="AW17" i="36"/>
  <c r="AW18" i="36"/>
  <c r="BM17" i="36"/>
  <c r="BM18" i="36"/>
  <c r="AQ18" i="36"/>
  <c r="AQ17" i="36"/>
  <c r="E36" i="45"/>
  <c r="E37" i="45" s="1"/>
  <c r="E38" i="45" s="1"/>
  <c r="E39" i="45" s="1"/>
  <c r="E40" i="45" s="1"/>
  <c r="AW1063" i="67" l="1"/>
  <c r="AW1392" i="67"/>
  <c r="AW1406" i="67"/>
  <c r="AW1424" i="67"/>
  <c r="AW1544" i="67"/>
  <c r="AW1560" i="67"/>
  <c r="AW1047" i="67"/>
  <c r="AW1080" i="67"/>
  <c r="AW961" i="67"/>
  <c r="AW792" i="67"/>
  <c r="AW1112" i="67"/>
  <c r="AW943" i="67"/>
  <c r="AW1198" i="67"/>
  <c r="AW929" i="67"/>
  <c r="AW1094" i="67"/>
  <c r="AW1214" i="67"/>
  <c r="X1062" i="67"/>
  <c r="X1391" i="67"/>
  <c r="X1405" i="67"/>
  <c r="X1423" i="67"/>
  <c r="X1543" i="67"/>
  <c r="X1559" i="67"/>
  <c r="X1046" i="67"/>
  <c r="X1093" i="67"/>
  <c r="X942" i="67"/>
  <c r="X1111" i="67"/>
  <c r="X960" i="67"/>
  <c r="X1197" i="67"/>
  <c r="X928" i="67"/>
  <c r="X1079" i="67"/>
  <c r="X1213" i="67"/>
  <c r="X791" i="67"/>
  <c r="AQ1063" i="67"/>
  <c r="AQ1392" i="67"/>
  <c r="AQ1406" i="67"/>
  <c r="AQ1424" i="67"/>
  <c r="AQ1544" i="67"/>
  <c r="AQ1560" i="67"/>
  <c r="AQ1047" i="67"/>
  <c r="AQ1094" i="67"/>
  <c r="AQ1214" i="67"/>
  <c r="AQ943" i="67"/>
  <c r="AQ1112" i="67"/>
  <c r="AQ961" i="67"/>
  <c r="AQ1080" i="67"/>
  <c r="AQ929" i="67"/>
  <c r="AQ1198" i="67"/>
  <c r="AQ792" i="67"/>
  <c r="AT1062" i="67"/>
  <c r="AT1391" i="67"/>
  <c r="AT1405" i="67"/>
  <c r="AT1423" i="67"/>
  <c r="AT1559" i="67"/>
  <c r="AT1543" i="67"/>
  <c r="AT960" i="67"/>
  <c r="AT1079" i="67"/>
  <c r="AT1213" i="67"/>
  <c r="AT1046" i="67"/>
  <c r="AT1093" i="67"/>
  <c r="AT942" i="67"/>
  <c r="AT1111" i="67"/>
  <c r="AT928" i="67"/>
  <c r="AT1197" i="67"/>
  <c r="AT791" i="67"/>
  <c r="AK1062" i="67"/>
  <c r="AK1405" i="67"/>
  <c r="AK1423" i="67"/>
  <c r="AK1391" i="67"/>
  <c r="AK1543" i="67"/>
  <c r="AK1559" i="67"/>
  <c r="AK1046" i="67"/>
  <c r="AK1197" i="67"/>
  <c r="AK960" i="67"/>
  <c r="AK1079" i="67"/>
  <c r="AK1213" i="67"/>
  <c r="AK942" i="67"/>
  <c r="AK1093" i="67"/>
  <c r="AK928" i="67"/>
  <c r="AK1111" i="67"/>
  <c r="AK791" i="67"/>
  <c r="AV1062" i="67"/>
  <c r="AV1391" i="67"/>
  <c r="AV1405" i="67"/>
  <c r="AV1423" i="67"/>
  <c r="AV1543" i="67"/>
  <c r="AV1559" i="67"/>
  <c r="AV1046" i="67"/>
  <c r="AV1197" i="67"/>
  <c r="AV960" i="67"/>
  <c r="AV1079" i="67"/>
  <c r="AV1213" i="67"/>
  <c r="AV942" i="67"/>
  <c r="AV1093" i="67"/>
  <c r="AV928" i="67"/>
  <c r="AV1111" i="67"/>
  <c r="AV791" i="67"/>
  <c r="S1062" i="67"/>
  <c r="S1391" i="67"/>
  <c r="S1405" i="67"/>
  <c r="S1423" i="67"/>
  <c r="S1543" i="67"/>
  <c r="S1559" i="67"/>
  <c r="S960" i="67"/>
  <c r="S1079" i="67"/>
  <c r="S1213" i="67"/>
  <c r="S1046" i="67"/>
  <c r="S1093" i="67"/>
  <c r="S942" i="67"/>
  <c r="S1111" i="67"/>
  <c r="S928" i="67"/>
  <c r="S791" i="67"/>
  <c r="S1197" i="67"/>
  <c r="R1063" i="67"/>
  <c r="R1392" i="67"/>
  <c r="R1406" i="67"/>
  <c r="R1424" i="67"/>
  <c r="R1544" i="67"/>
  <c r="R1560" i="67"/>
  <c r="R1047" i="67"/>
  <c r="R1094" i="67"/>
  <c r="R961" i="67"/>
  <c r="R792" i="67"/>
  <c r="R1112" i="67"/>
  <c r="R943" i="67"/>
  <c r="R1198" i="67"/>
  <c r="R929" i="67"/>
  <c r="R1080" i="67"/>
  <c r="R1214" i="67"/>
  <c r="AH1063" i="67"/>
  <c r="AH1392" i="67"/>
  <c r="AH1406" i="67"/>
  <c r="AH1424" i="67"/>
  <c r="AH1544" i="67"/>
  <c r="AH1560" i="67"/>
  <c r="AH1047" i="67"/>
  <c r="AH1094" i="67"/>
  <c r="AH943" i="67"/>
  <c r="AH1112" i="67"/>
  <c r="AH961" i="67"/>
  <c r="AH1198" i="67"/>
  <c r="AH929" i="67"/>
  <c r="AH1080" i="67"/>
  <c r="AH1214" i="67"/>
  <c r="AH792" i="67"/>
  <c r="AS1063" i="67"/>
  <c r="AS1392" i="67"/>
  <c r="AS1406" i="67"/>
  <c r="AS1424" i="67"/>
  <c r="AS1544" i="67"/>
  <c r="AS1560" i="67"/>
  <c r="AS961" i="67"/>
  <c r="AS1094" i="67"/>
  <c r="AS1214" i="67"/>
  <c r="AS1047" i="67"/>
  <c r="AS1080" i="67"/>
  <c r="AS943" i="67"/>
  <c r="AS1112" i="67"/>
  <c r="AS929" i="67"/>
  <c r="AS1198" i="67"/>
  <c r="AS792" i="67"/>
  <c r="V1062" i="67"/>
  <c r="V1391" i="67"/>
  <c r="V1405" i="67"/>
  <c r="V1423" i="67"/>
  <c r="V1543" i="67"/>
  <c r="V1559" i="67"/>
  <c r="V960" i="67"/>
  <c r="V1111" i="67"/>
  <c r="V942" i="67"/>
  <c r="V1197" i="67"/>
  <c r="V1046" i="67"/>
  <c r="V1079" i="67"/>
  <c r="V1213" i="67"/>
  <c r="V928" i="67"/>
  <c r="V1093" i="67"/>
  <c r="V791" i="67"/>
  <c r="AO1062" i="67"/>
  <c r="AO1391" i="67"/>
  <c r="AO1423" i="67"/>
  <c r="AO1405" i="67"/>
  <c r="AO1543" i="67"/>
  <c r="AO1559" i="67"/>
  <c r="AO1046" i="67"/>
  <c r="AO1079" i="67"/>
  <c r="AO1213" i="67"/>
  <c r="AO960" i="67"/>
  <c r="AO1111" i="67"/>
  <c r="AO942" i="67"/>
  <c r="AO1093" i="67"/>
  <c r="AO928" i="67"/>
  <c r="AO1197" i="67"/>
  <c r="AO791" i="67"/>
  <c r="AJ1063" i="67"/>
  <c r="AJ1392" i="67"/>
  <c r="AJ1406" i="67"/>
  <c r="AJ1424" i="67"/>
  <c r="AJ1544" i="67"/>
  <c r="AJ1560" i="67"/>
  <c r="AJ961" i="67"/>
  <c r="AJ1198" i="67"/>
  <c r="AJ1047" i="67"/>
  <c r="AJ1080" i="67"/>
  <c r="AJ1214" i="67"/>
  <c r="AJ943" i="67"/>
  <c r="AJ1094" i="67"/>
  <c r="AJ929" i="67"/>
  <c r="AJ1112" i="67"/>
  <c r="AJ792" i="67"/>
  <c r="AI1062" i="67"/>
  <c r="AI1391" i="67"/>
  <c r="AI1405" i="67"/>
  <c r="AI1423" i="67"/>
  <c r="AI1543" i="67"/>
  <c r="AI1559" i="67"/>
  <c r="AI960" i="67"/>
  <c r="AI1093" i="67"/>
  <c r="AI1213" i="67"/>
  <c r="AI1046" i="67"/>
  <c r="AI1079" i="67"/>
  <c r="AI942" i="67"/>
  <c r="AI1111" i="67"/>
  <c r="AI928" i="67"/>
  <c r="AI1197" i="67"/>
  <c r="AI791" i="67"/>
  <c r="AM1063" i="67"/>
  <c r="AM1392" i="67"/>
  <c r="AM1406" i="67"/>
  <c r="AM1424" i="67"/>
  <c r="AM1544" i="67"/>
  <c r="AM1560" i="67"/>
  <c r="AM1047" i="67"/>
  <c r="AM1198" i="67"/>
  <c r="AM943" i="67"/>
  <c r="AM1080" i="67"/>
  <c r="AM1214" i="67"/>
  <c r="AM961" i="67"/>
  <c r="AM1094" i="67"/>
  <c r="AM929" i="67"/>
  <c r="AM792" i="67"/>
  <c r="AM1112" i="67"/>
  <c r="AD1063" i="67"/>
  <c r="AD1392" i="67"/>
  <c r="AD1406" i="67"/>
  <c r="AD1424" i="67"/>
  <c r="AD1544" i="67"/>
  <c r="AD1560" i="67"/>
  <c r="AD1047" i="67"/>
  <c r="AD1080" i="67"/>
  <c r="AD1214" i="67"/>
  <c r="AD961" i="67"/>
  <c r="AD1094" i="67"/>
  <c r="AD943" i="67"/>
  <c r="AD1112" i="67"/>
  <c r="AD929" i="67"/>
  <c r="AD1198" i="67"/>
  <c r="AD792" i="67"/>
  <c r="AU1063" i="67"/>
  <c r="AU1392" i="67"/>
  <c r="AU1406" i="67"/>
  <c r="AU1424" i="67"/>
  <c r="AU1544" i="67"/>
  <c r="AU1560" i="67"/>
  <c r="AU1047" i="67"/>
  <c r="AU1094" i="67"/>
  <c r="AU943" i="67"/>
  <c r="AU1112" i="67"/>
  <c r="AU961" i="67"/>
  <c r="AU1198" i="67"/>
  <c r="AU929" i="67"/>
  <c r="AU1080" i="67"/>
  <c r="AU1214" i="67"/>
  <c r="AU792" i="67"/>
  <c r="AN1063" i="67"/>
  <c r="AN1392" i="67"/>
  <c r="AN1406" i="67"/>
  <c r="AN1424" i="67"/>
  <c r="AN1560" i="67"/>
  <c r="AN1544" i="67"/>
  <c r="AN961" i="67"/>
  <c r="AN1094" i="67"/>
  <c r="AN1214" i="67"/>
  <c r="AN1047" i="67"/>
  <c r="AN1112" i="67"/>
  <c r="AN943" i="67"/>
  <c r="AN1080" i="67"/>
  <c r="AN929" i="67"/>
  <c r="AN1198" i="67"/>
  <c r="AN792" i="67"/>
  <c r="AP1062" i="67"/>
  <c r="AP1391" i="67"/>
  <c r="AP1405" i="67"/>
  <c r="AP1423" i="67"/>
  <c r="AP1543" i="67"/>
  <c r="AP1559" i="67"/>
  <c r="AP960" i="67"/>
  <c r="AP1197" i="67"/>
  <c r="AP1046" i="67"/>
  <c r="AP1093" i="67"/>
  <c r="AP1213" i="67"/>
  <c r="AP942" i="67"/>
  <c r="AP1079" i="67"/>
  <c r="AP928" i="67"/>
  <c r="AP1111" i="67"/>
  <c r="AP791" i="67"/>
  <c r="W1062" i="67"/>
  <c r="W1391" i="67"/>
  <c r="W1405" i="67"/>
  <c r="W1423" i="67"/>
  <c r="W1543" i="67"/>
  <c r="W1559" i="67"/>
  <c r="W1046" i="67"/>
  <c r="W1079" i="67"/>
  <c r="W960" i="67"/>
  <c r="W1111" i="67"/>
  <c r="W942" i="67"/>
  <c r="W1197" i="67"/>
  <c r="W928" i="67"/>
  <c r="W1093" i="67"/>
  <c r="W1213" i="67"/>
  <c r="W791" i="67"/>
  <c r="AE1062" i="67"/>
  <c r="AE1391" i="67"/>
  <c r="AE1405" i="67"/>
  <c r="AE1423" i="67"/>
  <c r="AE1543" i="67"/>
  <c r="AE1559" i="67"/>
  <c r="AE1046" i="67"/>
  <c r="AE1197" i="67"/>
  <c r="AE960" i="67"/>
  <c r="AE1093" i="67"/>
  <c r="AE1213" i="67"/>
  <c r="AE942" i="67"/>
  <c r="AE1079" i="67"/>
  <c r="AE928" i="67"/>
  <c r="AE1111" i="67"/>
  <c r="AE791" i="67"/>
  <c r="AR1062" i="67"/>
  <c r="AR1391" i="67"/>
  <c r="AR1405" i="67"/>
  <c r="AR1423" i="67"/>
  <c r="AR1543" i="67"/>
  <c r="AR1559" i="67"/>
  <c r="AR1046" i="67"/>
  <c r="AR1111" i="67"/>
  <c r="AR942" i="67"/>
  <c r="AR1197" i="67"/>
  <c r="AR960" i="67"/>
  <c r="AR1079" i="67"/>
  <c r="AR1213" i="67"/>
  <c r="AR928" i="67"/>
  <c r="AR1093" i="67"/>
  <c r="AR791" i="67"/>
  <c r="AL1063" i="67"/>
  <c r="AL1392" i="67"/>
  <c r="AL1406" i="67"/>
  <c r="AL1424" i="67"/>
  <c r="AL1544" i="67"/>
  <c r="AL1560" i="67"/>
  <c r="AL1047" i="67"/>
  <c r="AL1112" i="67"/>
  <c r="AL961" i="67"/>
  <c r="AL1198" i="67"/>
  <c r="AL943" i="67"/>
  <c r="AL1080" i="67"/>
  <c r="AL1214" i="67"/>
  <c r="AL929" i="67"/>
  <c r="AL1094" i="67"/>
  <c r="AL792" i="67"/>
  <c r="AC1062" i="67"/>
  <c r="AC1391" i="67"/>
  <c r="AC1405" i="67"/>
  <c r="AC1423" i="67"/>
  <c r="AC1543" i="67"/>
  <c r="AC1559" i="67"/>
  <c r="AC1046" i="67"/>
  <c r="AC1111" i="67"/>
  <c r="AC942" i="67"/>
  <c r="AC1093" i="67"/>
  <c r="AC960" i="67"/>
  <c r="AC1197" i="67"/>
  <c r="AC928" i="67"/>
  <c r="AC791" i="67"/>
  <c r="AC1079" i="67"/>
  <c r="AC1213" i="67"/>
  <c r="AG1062" i="67"/>
  <c r="AG1391" i="67"/>
  <c r="AG1405" i="67"/>
  <c r="AG1423" i="67"/>
  <c r="AG1543" i="67"/>
  <c r="AG1559" i="67"/>
  <c r="AG1046" i="67"/>
  <c r="AG1111" i="67"/>
  <c r="AG960" i="67"/>
  <c r="AG1197" i="67"/>
  <c r="AG942" i="67"/>
  <c r="AG1079" i="67"/>
  <c r="AG1213" i="67"/>
  <c r="AG928" i="67"/>
  <c r="AG1093" i="67"/>
  <c r="AG791" i="67"/>
  <c r="AB1063" i="67"/>
  <c r="AB1392" i="67"/>
  <c r="AB1406" i="67"/>
  <c r="AB1424" i="67"/>
  <c r="AB1544" i="67"/>
  <c r="AB1560" i="67"/>
  <c r="AB961" i="67"/>
  <c r="AB1112" i="67"/>
  <c r="AB1047" i="67"/>
  <c r="AB1080" i="67"/>
  <c r="AB943" i="67"/>
  <c r="AB1198" i="67"/>
  <c r="AB929" i="67"/>
  <c r="AB1094" i="67"/>
  <c r="AB1214" i="67"/>
  <c r="AB792" i="67"/>
  <c r="AF1063" i="67"/>
  <c r="AF1392" i="67"/>
  <c r="AF1406" i="67"/>
  <c r="AF1424" i="67"/>
  <c r="AF1560" i="67"/>
  <c r="AF1544" i="67"/>
  <c r="AF961" i="67"/>
  <c r="AF1112" i="67"/>
  <c r="AF1047" i="67"/>
  <c r="AF1198" i="67"/>
  <c r="AF943" i="67"/>
  <c r="AF1080" i="67"/>
  <c r="AF1214" i="67"/>
  <c r="AF929" i="67"/>
  <c r="AF1094" i="67"/>
  <c r="AF792" i="67"/>
  <c r="X1063" i="67"/>
  <c r="X1392" i="67"/>
  <c r="X1406" i="67"/>
  <c r="X1424" i="67"/>
  <c r="X1560" i="67"/>
  <c r="X1544" i="67"/>
  <c r="X961" i="67"/>
  <c r="X1080" i="67"/>
  <c r="X1214" i="67"/>
  <c r="X1047" i="67"/>
  <c r="X1112" i="67"/>
  <c r="X943" i="67"/>
  <c r="X1094" i="67"/>
  <c r="X929" i="67"/>
  <c r="X1198" i="67"/>
  <c r="X792" i="67"/>
  <c r="AD1062" i="67"/>
  <c r="AD1391" i="67"/>
  <c r="AD1405" i="67"/>
  <c r="AD1423" i="67"/>
  <c r="AD1543" i="67"/>
  <c r="AD1559" i="67"/>
  <c r="AD960" i="67"/>
  <c r="AD1079" i="67"/>
  <c r="AD1213" i="67"/>
  <c r="AD942" i="67"/>
  <c r="AD1111" i="67"/>
  <c r="AD1046" i="67"/>
  <c r="AD1093" i="67"/>
  <c r="AD928" i="67"/>
  <c r="AD1197" i="67"/>
  <c r="AD791" i="67"/>
  <c r="AU1062" i="67"/>
  <c r="AU1391" i="67"/>
  <c r="AU1405" i="67"/>
  <c r="AU1423" i="67"/>
  <c r="AU1543" i="67"/>
  <c r="AU1559" i="67"/>
  <c r="AU1046" i="67"/>
  <c r="AU1197" i="67"/>
  <c r="AU960" i="67"/>
  <c r="AU1079" i="67"/>
  <c r="AU1213" i="67"/>
  <c r="AU942" i="67"/>
  <c r="AU1093" i="67"/>
  <c r="AU928" i="67"/>
  <c r="AU1111" i="67"/>
  <c r="AU791" i="67"/>
  <c r="AN1062" i="67"/>
  <c r="AN1391" i="67"/>
  <c r="AN1405" i="67"/>
  <c r="AN1423" i="67"/>
  <c r="AN1543" i="67"/>
  <c r="AN1559" i="67"/>
  <c r="AN1046" i="67"/>
  <c r="AN1093" i="67"/>
  <c r="AN942" i="67"/>
  <c r="AN1111" i="67"/>
  <c r="AN960" i="67"/>
  <c r="AN1197" i="67"/>
  <c r="AN928" i="67"/>
  <c r="AN1079" i="67"/>
  <c r="AN1213" i="67"/>
  <c r="AN791" i="67"/>
  <c r="AQ1062" i="67"/>
  <c r="AQ1391" i="67"/>
  <c r="AQ1405" i="67"/>
  <c r="AQ1423" i="67"/>
  <c r="AQ1543" i="67"/>
  <c r="AQ1559" i="67"/>
  <c r="AQ960" i="67"/>
  <c r="AQ1111" i="67"/>
  <c r="AQ1046" i="67"/>
  <c r="AQ1197" i="67"/>
  <c r="AQ942" i="67"/>
  <c r="AQ1079" i="67"/>
  <c r="AQ1213" i="67"/>
  <c r="AQ928" i="67"/>
  <c r="AQ1093" i="67"/>
  <c r="AQ791" i="67"/>
  <c r="AP1063" i="67"/>
  <c r="AP1392" i="67"/>
  <c r="AP1406" i="67"/>
  <c r="AP1424" i="67"/>
  <c r="AP1544" i="67"/>
  <c r="AP1560" i="67"/>
  <c r="AP1047" i="67"/>
  <c r="AP1198" i="67"/>
  <c r="AP961" i="67"/>
  <c r="AP1080" i="67"/>
  <c r="AP1214" i="67"/>
  <c r="AP943" i="67"/>
  <c r="AP1094" i="67"/>
  <c r="AP929" i="67"/>
  <c r="AP1112" i="67"/>
  <c r="AP792" i="67"/>
  <c r="W1063" i="67"/>
  <c r="W1392" i="67"/>
  <c r="W1406" i="67"/>
  <c r="W1424" i="67"/>
  <c r="W1544" i="67"/>
  <c r="W1560" i="67"/>
  <c r="W1047" i="67"/>
  <c r="W1112" i="67"/>
  <c r="W943" i="67"/>
  <c r="W1094" i="67"/>
  <c r="W961" i="67"/>
  <c r="W1198" i="67"/>
  <c r="W929" i="67"/>
  <c r="W1080" i="67"/>
  <c r="W1214" i="67"/>
  <c r="W792" i="67"/>
  <c r="AG1063" i="67"/>
  <c r="AG1392" i="67"/>
  <c r="AG1406" i="67"/>
  <c r="AG1424" i="67"/>
  <c r="AG1544" i="67"/>
  <c r="AG1560" i="67"/>
  <c r="AG1047" i="67"/>
  <c r="AG1080" i="67"/>
  <c r="AG961" i="67"/>
  <c r="AG1112" i="67"/>
  <c r="AG943" i="67"/>
  <c r="AG1198" i="67"/>
  <c r="AG929" i="67"/>
  <c r="AG1094" i="67"/>
  <c r="AG1214" i="67"/>
  <c r="AG792" i="67"/>
  <c r="AE1063" i="67"/>
  <c r="AE1392" i="67"/>
  <c r="AE1406" i="67"/>
  <c r="AE1424" i="67"/>
  <c r="AE1544" i="67"/>
  <c r="AE1560" i="67"/>
  <c r="AE1047" i="67"/>
  <c r="AE1080" i="67"/>
  <c r="AE1214" i="67"/>
  <c r="AE943" i="67"/>
  <c r="AE1094" i="67"/>
  <c r="AE961" i="67"/>
  <c r="AE1112" i="67"/>
  <c r="AE929" i="67"/>
  <c r="AE1198" i="67"/>
  <c r="AE792" i="67"/>
  <c r="AR1063" i="67"/>
  <c r="AR1392" i="67"/>
  <c r="AR1406" i="67"/>
  <c r="AR1424" i="67"/>
  <c r="AR1544" i="67"/>
  <c r="AR1560" i="67"/>
  <c r="AR961" i="67"/>
  <c r="AR1112" i="67"/>
  <c r="AR1047" i="67"/>
  <c r="AR1094" i="67"/>
  <c r="AR943" i="67"/>
  <c r="AR1198" i="67"/>
  <c r="AR929" i="67"/>
  <c r="AR1080" i="67"/>
  <c r="AR1214" i="67"/>
  <c r="AR792" i="67"/>
  <c r="AB1062" i="67"/>
  <c r="AB1391" i="67"/>
  <c r="AB1405" i="67"/>
  <c r="AB1423" i="67"/>
  <c r="AB1543" i="67"/>
  <c r="AB1559" i="67"/>
  <c r="AB1046" i="67"/>
  <c r="AB1111" i="67"/>
  <c r="AB960" i="67"/>
  <c r="AB1197" i="67"/>
  <c r="AB942" i="67"/>
  <c r="AB1079" i="67"/>
  <c r="AB1213" i="67"/>
  <c r="AB928" i="67"/>
  <c r="AB1093" i="67"/>
  <c r="AB791" i="67"/>
  <c r="AL1062" i="67"/>
  <c r="AL1391" i="67"/>
  <c r="AL1405" i="67"/>
  <c r="AL1423" i="67"/>
  <c r="AL1559" i="67"/>
  <c r="AL1543" i="67"/>
  <c r="AL960" i="67"/>
  <c r="AL1111" i="67"/>
  <c r="AL942" i="67"/>
  <c r="AL1197" i="67"/>
  <c r="AL1046" i="67"/>
  <c r="AL1079" i="67"/>
  <c r="AL1213" i="67"/>
  <c r="AL928" i="67"/>
  <c r="AL1093" i="67"/>
  <c r="AL791" i="67"/>
  <c r="AC1063" i="67"/>
  <c r="AC1392" i="67"/>
  <c r="AC1406" i="67"/>
  <c r="AC1424" i="67"/>
  <c r="AC1544" i="67"/>
  <c r="AC1560" i="67"/>
  <c r="AC1047" i="67"/>
  <c r="AC1094" i="67"/>
  <c r="AC1214" i="67"/>
  <c r="AC943" i="67"/>
  <c r="AC1080" i="67"/>
  <c r="AC961" i="67"/>
  <c r="AC1112" i="67"/>
  <c r="AC929" i="67"/>
  <c r="AC792" i="67"/>
  <c r="AC1198" i="67"/>
  <c r="AF1062" i="67"/>
  <c r="AF1391" i="67"/>
  <c r="AF1405" i="67"/>
  <c r="AF1423" i="67"/>
  <c r="AF1543" i="67"/>
  <c r="AF1559" i="67"/>
  <c r="AF1046" i="67"/>
  <c r="AF1197" i="67"/>
  <c r="AF960" i="67"/>
  <c r="AF1079" i="67"/>
  <c r="AF1213" i="67"/>
  <c r="AF942" i="67"/>
  <c r="AF1093" i="67"/>
  <c r="AF928" i="67"/>
  <c r="AF1111" i="67"/>
  <c r="AF791" i="67"/>
  <c r="AT1063" i="67"/>
  <c r="AT1392" i="67"/>
  <c r="AT1406" i="67"/>
  <c r="AT1424" i="67"/>
  <c r="AT1544" i="67"/>
  <c r="AT1560" i="67"/>
  <c r="AT1047" i="67"/>
  <c r="AT1080" i="67"/>
  <c r="AT1214" i="67"/>
  <c r="AT961" i="67"/>
  <c r="AT1094" i="67"/>
  <c r="AT943" i="67"/>
  <c r="AT1112" i="67"/>
  <c r="AT929" i="67"/>
  <c r="AT1198" i="67"/>
  <c r="AT792" i="67"/>
  <c r="AK1063" i="67"/>
  <c r="AK1392" i="67"/>
  <c r="AK1406" i="67"/>
  <c r="AK1424" i="67"/>
  <c r="AK1544" i="67"/>
  <c r="AK1560" i="67"/>
  <c r="AK1047" i="67"/>
  <c r="AK1112" i="67"/>
  <c r="AK961" i="67"/>
  <c r="AK1198" i="67"/>
  <c r="AK943" i="67"/>
  <c r="AK1094" i="67"/>
  <c r="AK1214" i="67"/>
  <c r="AK929" i="67"/>
  <c r="AK1080" i="67"/>
  <c r="AK792" i="67"/>
  <c r="AV1063" i="67"/>
  <c r="AV1392" i="67"/>
  <c r="AV1406" i="67"/>
  <c r="AV1424" i="67"/>
  <c r="AV1560" i="67"/>
  <c r="AV1544" i="67"/>
  <c r="AV961" i="67"/>
  <c r="AV1112" i="67"/>
  <c r="AV1047" i="67"/>
  <c r="AV1198" i="67"/>
  <c r="AV943" i="67"/>
  <c r="AV1094" i="67"/>
  <c r="AV1214" i="67"/>
  <c r="AV929" i="67"/>
  <c r="AV1080" i="67"/>
  <c r="AV792" i="67"/>
  <c r="S1063" i="67"/>
  <c r="S1392" i="67"/>
  <c r="S1424" i="67"/>
  <c r="S1406" i="67"/>
  <c r="S1544" i="67"/>
  <c r="S1560" i="67"/>
  <c r="S1047" i="67"/>
  <c r="S792" i="67"/>
  <c r="S1080" i="67"/>
  <c r="S1214" i="67"/>
  <c r="S961" i="67"/>
  <c r="S1112" i="67"/>
  <c r="S943" i="67"/>
  <c r="S1094" i="67"/>
  <c r="S929" i="67"/>
  <c r="S1198" i="67"/>
  <c r="R1062" i="67"/>
  <c r="R1391" i="67"/>
  <c r="R1405" i="67"/>
  <c r="R1423" i="67"/>
  <c r="R1543" i="67"/>
  <c r="R1559" i="67"/>
  <c r="R960" i="67"/>
  <c r="R1093" i="67"/>
  <c r="R942" i="67"/>
  <c r="R1111" i="67"/>
  <c r="R1046" i="67"/>
  <c r="R1197" i="67"/>
  <c r="R928" i="67"/>
  <c r="R791" i="67"/>
  <c r="R1079" i="67"/>
  <c r="R1213" i="67"/>
  <c r="AH1062" i="67"/>
  <c r="AH1391" i="67"/>
  <c r="AH1405" i="67"/>
  <c r="AH1423" i="67"/>
  <c r="AH1543" i="67"/>
  <c r="AH1559" i="67"/>
  <c r="AH960" i="67"/>
  <c r="AH1093" i="67"/>
  <c r="AH942" i="67"/>
  <c r="AH1111" i="67"/>
  <c r="AH1046" i="67"/>
  <c r="AH1197" i="67"/>
  <c r="AH928" i="67"/>
  <c r="AH1079" i="67"/>
  <c r="AH1213" i="67"/>
  <c r="AH791" i="67"/>
  <c r="AS1062" i="67"/>
  <c r="AS1391" i="67"/>
  <c r="AS1405" i="67"/>
  <c r="AS1423" i="67"/>
  <c r="AS1543" i="67"/>
  <c r="AS1559" i="67"/>
  <c r="AS1046" i="67"/>
  <c r="AS1111" i="67"/>
  <c r="AS942" i="67"/>
  <c r="AS1079" i="67"/>
  <c r="AS960" i="67"/>
  <c r="AS1197" i="67"/>
  <c r="AS928" i="67"/>
  <c r="AS1093" i="67"/>
  <c r="AS1213" i="67"/>
  <c r="AS791" i="67"/>
  <c r="V1063" i="67"/>
  <c r="V1392" i="67"/>
  <c r="V1406" i="67"/>
  <c r="V1424" i="67"/>
  <c r="V1544" i="67"/>
  <c r="V1560" i="67"/>
  <c r="V1047" i="67"/>
  <c r="V1112" i="67"/>
  <c r="V961" i="67"/>
  <c r="V1198" i="67"/>
  <c r="V943" i="67"/>
  <c r="V1080" i="67"/>
  <c r="V1214" i="67"/>
  <c r="V929" i="67"/>
  <c r="V1094" i="67"/>
  <c r="V792" i="67"/>
  <c r="AO1063" i="67"/>
  <c r="AO1392" i="67"/>
  <c r="AO1406" i="67"/>
  <c r="AO1424" i="67"/>
  <c r="AO1544" i="67"/>
  <c r="AO1560" i="67"/>
  <c r="AO1047" i="67"/>
  <c r="AO1198" i="67"/>
  <c r="AO961" i="67"/>
  <c r="AO1080" i="67"/>
  <c r="AO1214" i="67"/>
  <c r="AO943" i="67"/>
  <c r="AO1094" i="67"/>
  <c r="AO929" i="67"/>
  <c r="AO1112" i="67"/>
  <c r="AO792" i="67"/>
  <c r="AJ1062" i="67"/>
  <c r="AJ1391" i="67"/>
  <c r="AJ1405" i="67"/>
  <c r="AJ1423" i="67"/>
  <c r="AJ1543" i="67"/>
  <c r="AJ1559" i="67"/>
  <c r="AJ1046" i="67"/>
  <c r="AJ1079" i="67"/>
  <c r="AJ1213" i="67"/>
  <c r="AJ960" i="67"/>
  <c r="AJ1093" i="67"/>
  <c r="AJ942" i="67"/>
  <c r="AJ1111" i="67"/>
  <c r="AJ928" i="67"/>
  <c r="AJ1197" i="67"/>
  <c r="AJ791" i="67"/>
  <c r="AI1063" i="67"/>
  <c r="AI1392" i="67"/>
  <c r="AI1424" i="67"/>
  <c r="AI1406" i="67"/>
  <c r="AI1544" i="67"/>
  <c r="AI1560" i="67"/>
  <c r="AI1047" i="67"/>
  <c r="AI1080" i="67"/>
  <c r="AI961" i="67"/>
  <c r="AI1094" i="67"/>
  <c r="AI943" i="67"/>
  <c r="AI1198" i="67"/>
  <c r="AI929" i="67"/>
  <c r="AI1112" i="67"/>
  <c r="AI1214" i="67"/>
  <c r="AI792" i="67"/>
  <c r="AM1062" i="67"/>
  <c r="AM1391" i="67"/>
  <c r="AM1405" i="67"/>
  <c r="AM1423" i="67"/>
  <c r="AM1543" i="67"/>
  <c r="AM1559" i="67"/>
  <c r="AM1046" i="67"/>
  <c r="AM1079" i="67"/>
  <c r="AM960" i="67"/>
  <c r="AM1111" i="67"/>
  <c r="AM942" i="67"/>
  <c r="AM791" i="67"/>
  <c r="AM1197" i="67"/>
  <c r="AM928" i="67"/>
  <c r="AM1093" i="67"/>
  <c r="AM1213" i="67"/>
  <c r="AW1062" i="67"/>
  <c r="AW1391" i="67"/>
  <c r="AW1405" i="67"/>
  <c r="AW1423" i="67"/>
  <c r="AW1543" i="67"/>
  <c r="AW1559" i="67"/>
  <c r="AW1046" i="67"/>
  <c r="AW1111" i="67"/>
  <c r="AW942" i="67"/>
  <c r="AW1197" i="67"/>
  <c r="AW960" i="67"/>
  <c r="AW791" i="67"/>
  <c r="AW1079" i="67"/>
  <c r="AW1213" i="67"/>
  <c r="AW928" i="67"/>
  <c r="AW1093" i="67"/>
  <c r="BF9" i="50"/>
  <c r="BK10" i="36" s="1"/>
  <c r="AK9" i="50"/>
  <c r="AP10" i="36" s="1"/>
  <c r="AG9" i="50"/>
  <c r="AL10" i="36" s="1"/>
  <c r="BB9" i="50"/>
  <c r="BG10" i="36" s="1"/>
  <c r="AW9" i="50"/>
  <c r="BB10" i="36" s="1"/>
  <c r="AZ9" i="50"/>
  <c r="BE10" i="36" s="1"/>
  <c r="BA9" i="50"/>
  <c r="BF10" i="36" s="1"/>
  <c r="AQ9" i="50"/>
  <c r="AV10" i="36" s="1"/>
  <c r="BJ9" i="50"/>
  <c r="BO10" i="36" s="1"/>
  <c r="BD9" i="50"/>
  <c r="BI10" i="36" s="1"/>
  <c r="BC9" i="50"/>
  <c r="BH10" i="36" s="1"/>
  <c r="BI9" i="50"/>
  <c r="BN10" i="36" s="1"/>
  <c r="AP9" i="50"/>
  <c r="AU10" i="36" s="1"/>
  <c r="AF9" i="50"/>
  <c r="AK10" i="36" s="1"/>
  <c r="AV9" i="50"/>
  <c r="BA10" i="36" s="1"/>
  <c r="BG9" i="50"/>
  <c r="BL10" i="36" s="1"/>
  <c r="AJ9" i="50"/>
  <c r="AO10" i="36" s="1"/>
  <c r="AX9" i="50"/>
  <c r="BC10" i="36" s="1"/>
  <c r="BE9" i="50"/>
  <c r="BJ10" i="36" s="1"/>
  <c r="AU9" i="50"/>
  <c r="AZ10" i="36" s="1"/>
  <c r="AS9" i="50"/>
  <c r="AX10" i="36" s="1"/>
  <c r="AL9" i="50"/>
  <c r="AQ10" i="36" s="1"/>
  <c r="BH9" i="50"/>
  <c r="BM10" i="36" s="1"/>
  <c r="AR9" i="50"/>
  <c r="AW10" i="36" s="1"/>
  <c r="AY9" i="50"/>
  <c r="BD10" i="36" s="1"/>
  <c r="BK9" i="50"/>
  <c r="BP10" i="36" s="1"/>
  <c r="AT9" i="50"/>
  <c r="AY10" i="36" s="1"/>
  <c r="BO42" i="36"/>
  <c r="BN83" i="36"/>
  <c r="BI51" i="50"/>
  <c r="AF51" i="50"/>
  <c r="BG51" i="50"/>
  <c r="AX51" i="50"/>
  <c r="AL51" i="50"/>
  <c r="AR51" i="50"/>
  <c r="BK51" i="50"/>
  <c r="BF51" i="50"/>
  <c r="BE51" i="50"/>
  <c r="BD51" i="50"/>
  <c r="AK51" i="50"/>
  <c r="AU51" i="50"/>
  <c r="BC51" i="50"/>
  <c r="AG51" i="50"/>
  <c r="AP51" i="50"/>
  <c r="AV51" i="50"/>
  <c r="AJ51" i="50"/>
  <c r="AS51" i="50"/>
  <c r="BH51" i="50"/>
  <c r="AY51" i="50"/>
  <c r="AT51" i="50"/>
  <c r="BB51" i="50"/>
  <c r="AW51" i="50"/>
  <c r="AZ51" i="50"/>
  <c r="BA51" i="50"/>
  <c r="AQ51" i="50"/>
  <c r="BJ51" i="50"/>
  <c r="AQ6" i="50"/>
  <c r="E29" i="45"/>
  <c r="E30" i="45" s="1"/>
  <c r="E31" i="45" s="1"/>
  <c r="E32" i="45" s="1"/>
  <c r="E33" i="45" s="1"/>
  <c r="AW10" i="50" l="1"/>
  <c r="AX10" i="50"/>
  <c r="AN1384" i="67"/>
  <c r="AN1398" i="67"/>
  <c r="AN1416" i="67"/>
  <c r="AN1536" i="67"/>
  <c r="AN1552" i="67"/>
  <c r="AW354" i="67"/>
  <c r="AW506" i="67"/>
  <c r="BQ25" i="68"/>
  <c r="AP23" i="62" s="1"/>
  <c r="AW201" i="67"/>
  <c r="AW809" i="67"/>
  <c r="AW658" i="67"/>
  <c r="AW48" i="67"/>
  <c r="AJ354" i="67"/>
  <c r="BD25" i="68"/>
  <c r="AC23" i="62" s="1"/>
  <c r="AJ48" i="67"/>
  <c r="AJ201" i="67"/>
  <c r="AJ809" i="67"/>
  <c r="AJ658" i="67"/>
  <c r="AJ506" i="67"/>
  <c r="AU354" i="67"/>
  <c r="AU506" i="67"/>
  <c r="BO25" i="68"/>
  <c r="AN23" i="62" s="1"/>
  <c r="AU201" i="67"/>
  <c r="AU809" i="67"/>
  <c r="AU658" i="67"/>
  <c r="AU48" i="67"/>
  <c r="AD354" i="67"/>
  <c r="AD658" i="67"/>
  <c r="AD201" i="67"/>
  <c r="AD809" i="67"/>
  <c r="AX25" i="68"/>
  <c r="W23" i="62" s="1"/>
  <c r="AD48" i="67"/>
  <c r="AD506" i="67"/>
  <c r="AL355" i="67"/>
  <c r="AL659" i="67"/>
  <c r="AL202" i="67"/>
  <c r="AL810" i="67"/>
  <c r="AL49" i="67"/>
  <c r="AL507" i="67"/>
  <c r="AP354" i="67"/>
  <c r="BJ25" i="68"/>
  <c r="AI23" i="62" s="1"/>
  <c r="AP506" i="67"/>
  <c r="AP809" i="67"/>
  <c r="AP48" i="67"/>
  <c r="AP658" i="67"/>
  <c r="AP201" i="67"/>
  <c r="AU355" i="67"/>
  <c r="AU202" i="67"/>
  <c r="AU659" i="67"/>
  <c r="AU810" i="67"/>
  <c r="AU49" i="67"/>
  <c r="AU507" i="67"/>
  <c r="AD355" i="67"/>
  <c r="AD659" i="67"/>
  <c r="AD507" i="67"/>
  <c r="AD49" i="67"/>
  <c r="AD810" i="67"/>
  <c r="AD202" i="67"/>
  <c r="AM355" i="67"/>
  <c r="AM49" i="67"/>
  <c r="AM507" i="67"/>
  <c r="AM810" i="67"/>
  <c r="AM659" i="67"/>
  <c r="AM202" i="67"/>
  <c r="AI354" i="67"/>
  <c r="AI201" i="67"/>
  <c r="AI658" i="67"/>
  <c r="AI506" i="67"/>
  <c r="AI48" i="67"/>
  <c r="BC25" i="68"/>
  <c r="AB23" i="62" s="1"/>
  <c r="AI809" i="67"/>
  <c r="AW1384" i="67"/>
  <c r="AW1398" i="67"/>
  <c r="AW1416" i="67"/>
  <c r="AW1552" i="67"/>
  <c r="AW1536" i="67"/>
  <c r="X1384" i="67"/>
  <c r="X1398" i="67"/>
  <c r="X1416" i="67"/>
  <c r="X1536" i="67"/>
  <c r="X1552" i="67"/>
  <c r="R1384" i="67"/>
  <c r="R1398" i="67"/>
  <c r="R1416" i="67"/>
  <c r="R1536" i="67"/>
  <c r="R1552" i="67"/>
  <c r="AP1384" i="67"/>
  <c r="AP1398" i="67"/>
  <c r="AP1416" i="67"/>
  <c r="AP1536" i="67"/>
  <c r="AP1552" i="67"/>
  <c r="AL1384" i="67"/>
  <c r="AL1398" i="67"/>
  <c r="AL1416" i="67"/>
  <c r="AL1536" i="67"/>
  <c r="AL1552" i="67"/>
  <c r="W1384" i="67"/>
  <c r="W1398" i="67"/>
  <c r="W1416" i="67"/>
  <c r="W1536" i="67"/>
  <c r="W1552" i="67"/>
  <c r="AW456" i="67"/>
  <c r="AW760" i="67"/>
  <c r="AW150" i="67"/>
  <c r="AW608" i="67"/>
  <c r="AW303" i="67"/>
  <c r="AW911" i="67"/>
  <c r="AW322" i="67"/>
  <c r="AW16" i="67"/>
  <c r="AW626" i="67"/>
  <c r="AW169" i="67"/>
  <c r="AW474" i="67"/>
  <c r="BQ10" i="68"/>
  <c r="AP12" i="62" s="1"/>
  <c r="AW777" i="67"/>
  <c r="AM150" i="67"/>
  <c r="AM911" i="67"/>
  <c r="AM608" i="67"/>
  <c r="AM303" i="67"/>
  <c r="AM760" i="67"/>
  <c r="AM456" i="67"/>
  <c r="AM322" i="67"/>
  <c r="BG10" i="68"/>
  <c r="AF12" i="62" s="1"/>
  <c r="AM777" i="67"/>
  <c r="AM16" i="67"/>
  <c r="AM474" i="67"/>
  <c r="AM626" i="67"/>
  <c r="AM169" i="67"/>
  <c r="AI609" i="67"/>
  <c r="AI912" i="67"/>
  <c r="AI457" i="67"/>
  <c r="AI151" i="67"/>
  <c r="AI304" i="67"/>
  <c r="AI761" i="67"/>
  <c r="AI323" i="67"/>
  <c r="AI170" i="67"/>
  <c r="AI627" i="67"/>
  <c r="AI475" i="67"/>
  <c r="AI17" i="67"/>
  <c r="AI778" i="67"/>
  <c r="AJ456" i="67"/>
  <c r="AJ911" i="67"/>
  <c r="AJ608" i="67"/>
  <c r="AJ150" i="67"/>
  <c r="AJ760" i="67"/>
  <c r="AJ303" i="67"/>
  <c r="BD10" i="68"/>
  <c r="AC12" i="62" s="1"/>
  <c r="AJ322" i="67"/>
  <c r="AJ474" i="67"/>
  <c r="AJ169" i="67"/>
  <c r="AJ777" i="67"/>
  <c r="AJ626" i="67"/>
  <c r="AJ16" i="67"/>
  <c r="AO761" i="67"/>
  <c r="AO609" i="67"/>
  <c r="AO457" i="67"/>
  <c r="AO304" i="67"/>
  <c r="AO151" i="67"/>
  <c r="AO912" i="67"/>
  <c r="AO323" i="67"/>
  <c r="AO17" i="67"/>
  <c r="AO627" i="67"/>
  <c r="AO170" i="67"/>
  <c r="AO475" i="67"/>
  <c r="AO778" i="67"/>
  <c r="V457" i="67"/>
  <c r="V151" i="67"/>
  <c r="V304" i="67"/>
  <c r="V761" i="67"/>
  <c r="V912" i="67"/>
  <c r="V609" i="67"/>
  <c r="AK1384" i="67"/>
  <c r="AK1398" i="67"/>
  <c r="AK1416" i="67"/>
  <c r="AK1552" i="67"/>
  <c r="AK1536" i="67"/>
  <c r="AE1384" i="67"/>
  <c r="AE1398" i="67"/>
  <c r="AE1416" i="67"/>
  <c r="AE1536" i="67"/>
  <c r="AE1552" i="67"/>
  <c r="V1384" i="67"/>
  <c r="V1398" i="67"/>
  <c r="V1416" i="67"/>
  <c r="V1536" i="67"/>
  <c r="V1552" i="67"/>
  <c r="AB1384" i="67"/>
  <c r="AB1398" i="67"/>
  <c r="AB1416" i="67"/>
  <c r="AB1536" i="67"/>
  <c r="AB1552" i="67"/>
  <c r="AV1384" i="67"/>
  <c r="AV1398" i="67"/>
  <c r="AV1416" i="67"/>
  <c r="AV1536" i="67"/>
  <c r="AV1552" i="67"/>
  <c r="AI1416" i="67"/>
  <c r="AI1398" i="67"/>
  <c r="AI1384" i="67"/>
  <c r="AI1536" i="67"/>
  <c r="AI1552" i="67"/>
  <c r="AR1384" i="67"/>
  <c r="AR1398" i="67"/>
  <c r="AR1416" i="67"/>
  <c r="AR1552" i="67"/>
  <c r="AR1536" i="67"/>
  <c r="AW592" i="67"/>
  <c r="AW440" i="67"/>
  <c r="AW134" i="67"/>
  <c r="AW895" i="67"/>
  <c r="AW744" i="67"/>
  <c r="AW287" i="67"/>
  <c r="AM895" i="67"/>
  <c r="AM440" i="67"/>
  <c r="AM744" i="67"/>
  <c r="AM134" i="67"/>
  <c r="AM287" i="67"/>
  <c r="AM592" i="67"/>
  <c r="AI135" i="67"/>
  <c r="AI288" i="67"/>
  <c r="AI441" i="67"/>
  <c r="AI745" i="67"/>
  <c r="AI896" i="67"/>
  <c r="AI593" i="67"/>
  <c r="AJ895" i="67"/>
  <c r="AJ440" i="67"/>
  <c r="AJ744" i="67"/>
  <c r="AJ134" i="67"/>
  <c r="AJ287" i="67"/>
  <c r="AJ592" i="67"/>
  <c r="AO896" i="67"/>
  <c r="AO441" i="67"/>
  <c r="AO745" i="67"/>
  <c r="AO288" i="67"/>
  <c r="AO135" i="67"/>
  <c r="AO593" i="67"/>
  <c r="V441" i="67"/>
  <c r="V896" i="67"/>
  <c r="V745" i="67"/>
  <c r="V288" i="67"/>
  <c r="V135" i="67"/>
  <c r="V593" i="67"/>
  <c r="AS440" i="67"/>
  <c r="AS134" i="67"/>
  <c r="AS744" i="67"/>
  <c r="AS592" i="67"/>
  <c r="AS287" i="67"/>
  <c r="AS895" i="67"/>
  <c r="AH440" i="67"/>
  <c r="AH744" i="67"/>
  <c r="AH895" i="67"/>
  <c r="AH592" i="67"/>
  <c r="AH134" i="67"/>
  <c r="AH287" i="67"/>
  <c r="R440" i="67"/>
  <c r="R744" i="67"/>
  <c r="R895" i="67"/>
  <c r="R592" i="67"/>
  <c r="R134" i="67"/>
  <c r="R287" i="67"/>
  <c r="S135" i="67"/>
  <c r="S896" i="67"/>
  <c r="S288" i="67"/>
  <c r="S593" i="67"/>
  <c r="S441" i="67"/>
  <c r="S745" i="67"/>
  <c r="AV457" i="67"/>
  <c r="AV151" i="67"/>
  <c r="AV761" i="67"/>
  <c r="AV304" i="67"/>
  <c r="AV609" i="67"/>
  <c r="AV912" i="67"/>
  <c r="AK745" i="67"/>
  <c r="AK441" i="67"/>
  <c r="AK896" i="67"/>
  <c r="AK288" i="67"/>
  <c r="AK593" i="67"/>
  <c r="AK135" i="67"/>
  <c r="AT896" i="67"/>
  <c r="AT441" i="67"/>
  <c r="AT745" i="67"/>
  <c r="AT135" i="67"/>
  <c r="AT288" i="67"/>
  <c r="AT593" i="67"/>
  <c r="AF744" i="67"/>
  <c r="AF895" i="67"/>
  <c r="AF440" i="67"/>
  <c r="AF287" i="67"/>
  <c r="AF592" i="67"/>
  <c r="AF134" i="67"/>
  <c r="AC441" i="67"/>
  <c r="AC745" i="67"/>
  <c r="AC896" i="67"/>
  <c r="AC288" i="67"/>
  <c r="AC593" i="67"/>
  <c r="AC135" i="67"/>
  <c r="AL150" i="67"/>
  <c r="AL456" i="67"/>
  <c r="AL760" i="67"/>
  <c r="AL303" i="67"/>
  <c r="AL911" i="67"/>
  <c r="AL608" i="67"/>
  <c r="AB440" i="67"/>
  <c r="AB895" i="67"/>
  <c r="AB744" i="67"/>
  <c r="AB287" i="67"/>
  <c r="AB134" i="67"/>
  <c r="AB592" i="67"/>
  <c r="AR441" i="67"/>
  <c r="AR745" i="67"/>
  <c r="AR896" i="67"/>
  <c r="AR593" i="67"/>
  <c r="AR135" i="67"/>
  <c r="AR288" i="67"/>
  <c r="AE441" i="67"/>
  <c r="AE288" i="67"/>
  <c r="AE593" i="67"/>
  <c r="AE896" i="67"/>
  <c r="AE745" i="67"/>
  <c r="AE135" i="67"/>
  <c r="AG896" i="67"/>
  <c r="AG441" i="67"/>
  <c r="AG745" i="67"/>
  <c r="AG135" i="67"/>
  <c r="AG288" i="67"/>
  <c r="AG593" i="67"/>
  <c r="W135" i="67"/>
  <c r="W441" i="67"/>
  <c r="W288" i="67"/>
  <c r="W896" i="67"/>
  <c r="W745" i="67"/>
  <c r="W593" i="67"/>
  <c r="AP745" i="67"/>
  <c r="AP896" i="67"/>
  <c r="AP441" i="67"/>
  <c r="AP288" i="67"/>
  <c r="AP593" i="67"/>
  <c r="AP135" i="67"/>
  <c r="AD1384" i="67"/>
  <c r="AD1398" i="67"/>
  <c r="AD1416" i="67"/>
  <c r="AD1536" i="67"/>
  <c r="AD1552" i="67"/>
  <c r="AG1384" i="67"/>
  <c r="AG1398" i="67"/>
  <c r="AG1416" i="67"/>
  <c r="AG1552" i="67"/>
  <c r="AG1536" i="67"/>
  <c r="AS1384" i="67"/>
  <c r="AS1398" i="67"/>
  <c r="AS1416" i="67"/>
  <c r="AS1552" i="67"/>
  <c r="AS1536" i="67"/>
  <c r="AU1384" i="67"/>
  <c r="AU1398" i="67"/>
  <c r="AU1536" i="67"/>
  <c r="AU1416" i="67"/>
  <c r="AU1552" i="67"/>
  <c r="AC1384" i="67"/>
  <c r="AC1398" i="67"/>
  <c r="AC1416" i="67"/>
  <c r="AC1536" i="67"/>
  <c r="AC1552" i="67"/>
  <c r="AM354" i="67"/>
  <c r="AM506" i="67"/>
  <c r="BG25" i="68"/>
  <c r="AF23" i="62" s="1"/>
  <c r="AM201" i="67"/>
  <c r="AM809" i="67"/>
  <c r="AM658" i="67"/>
  <c r="AM48" i="67"/>
  <c r="AI337" i="67"/>
  <c r="AI184" i="67"/>
  <c r="AI641" i="67"/>
  <c r="AI489" i="67"/>
  <c r="AI31" i="67"/>
  <c r="AO355" i="67"/>
  <c r="AO49" i="67"/>
  <c r="AO507" i="67"/>
  <c r="AO202" i="67"/>
  <c r="AO659" i="67"/>
  <c r="AO810" i="67"/>
  <c r="V355" i="67"/>
  <c r="V507" i="67"/>
  <c r="V49" i="67"/>
  <c r="V659" i="67"/>
  <c r="V202" i="67"/>
  <c r="V810" i="67"/>
  <c r="AS354" i="67"/>
  <c r="AS48" i="67"/>
  <c r="BM25" i="68"/>
  <c r="AL23" i="62" s="1"/>
  <c r="AS506" i="67"/>
  <c r="AS201" i="67"/>
  <c r="AS658" i="67"/>
  <c r="AS809" i="67"/>
  <c r="AH354" i="67"/>
  <c r="BB25" i="68"/>
  <c r="AA23" i="62" s="1"/>
  <c r="AH48" i="67"/>
  <c r="AH809" i="67"/>
  <c r="AH506" i="67"/>
  <c r="AH658" i="67"/>
  <c r="AH201" i="67"/>
  <c r="AL25" i="68"/>
  <c r="K23" i="62" s="1"/>
  <c r="R354" i="67"/>
  <c r="R506" i="67"/>
  <c r="R809" i="67"/>
  <c r="R658" i="67"/>
  <c r="R48" i="67"/>
  <c r="R201" i="67"/>
  <c r="S337" i="67"/>
  <c r="S184" i="67"/>
  <c r="S641" i="67"/>
  <c r="S489" i="67"/>
  <c r="S31" i="67"/>
  <c r="AV355" i="67"/>
  <c r="AV202" i="67"/>
  <c r="AV507" i="67"/>
  <c r="AV659" i="67"/>
  <c r="AV49" i="67"/>
  <c r="AV810" i="67"/>
  <c r="AK355" i="67"/>
  <c r="AK49" i="67"/>
  <c r="AK810" i="67"/>
  <c r="AK659" i="67"/>
  <c r="AK507" i="67"/>
  <c r="AK202" i="67"/>
  <c r="AT355" i="67"/>
  <c r="AT49" i="67"/>
  <c r="AT810" i="67"/>
  <c r="AT659" i="67"/>
  <c r="AT202" i="67"/>
  <c r="AT507" i="67"/>
  <c r="AZ25" i="68"/>
  <c r="Y23" i="62" s="1"/>
  <c r="AF354" i="67"/>
  <c r="AF48" i="67"/>
  <c r="AF201" i="67"/>
  <c r="AF658" i="67"/>
  <c r="AF809" i="67"/>
  <c r="AF506" i="67"/>
  <c r="AC355" i="67"/>
  <c r="AC202" i="67"/>
  <c r="AC810" i="67"/>
  <c r="AC507" i="67"/>
  <c r="AC659" i="67"/>
  <c r="AC49" i="67"/>
  <c r="AL354" i="67"/>
  <c r="AL658" i="67"/>
  <c r="BF25" i="68"/>
  <c r="AE23" i="62" s="1"/>
  <c r="AL809" i="67"/>
  <c r="AL201" i="67"/>
  <c r="AL506" i="67"/>
  <c r="AL48" i="67"/>
  <c r="AV25" i="68"/>
  <c r="U23" i="62" s="1"/>
  <c r="AB354" i="67"/>
  <c r="AB809" i="67"/>
  <c r="AB658" i="67"/>
  <c r="AB201" i="67"/>
  <c r="AB506" i="67"/>
  <c r="AB48" i="67"/>
  <c r="AR355" i="67"/>
  <c r="AR810" i="67"/>
  <c r="AR659" i="67"/>
  <c r="AR202" i="67"/>
  <c r="AR507" i="67"/>
  <c r="AR49" i="67"/>
  <c r="AE355" i="67"/>
  <c r="AE507" i="67"/>
  <c r="AE659" i="67"/>
  <c r="AE810" i="67"/>
  <c r="AE49" i="67"/>
  <c r="AE202" i="67"/>
  <c r="AG355" i="67"/>
  <c r="AG507" i="67"/>
  <c r="AG810" i="67"/>
  <c r="AG659" i="67"/>
  <c r="AG202" i="67"/>
  <c r="AG49" i="67"/>
  <c r="W355" i="67"/>
  <c r="W659" i="67"/>
  <c r="W202" i="67"/>
  <c r="W507" i="67"/>
  <c r="W49" i="67"/>
  <c r="W810" i="67"/>
  <c r="AP355" i="67"/>
  <c r="AP202" i="67"/>
  <c r="AP810" i="67"/>
  <c r="AP659" i="67"/>
  <c r="AP49" i="67"/>
  <c r="AP507" i="67"/>
  <c r="AQ354" i="67"/>
  <c r="AQ48" i="67"/>
  <c r="AQ506" i="67"/>
  <c r="AQ658" i="67"/>
  <c r="AQ201" i="67"/>
  <c r="AQ809" i="67"/>
  <c r="BK25" i="68"/>
  <c r="AJ23" i="62" s="1"/>
  <c r="AN354" i="67"/>
  <c r="BH25" i="68"/>
  <c r="AG23" i="62" s="1"/>
  <c r="AN506" i="67"/>
  <c r="AN658" i="67"/>
  <c r="AN201" i="67"/>
  <c r="AN48" i="67"/>
  <c r="AN809" i="67"/>
  <c r="X355" i="67"/>
  <c r="X810" i="67"/>
  <c r="X507" i="67"/>
  <c r="X49" i="67"/>
  <c r="X202" i="67"/>
  <c r="X659" i="67"/>
  <c r="AF355" i="67"/>
  <c r="AF659" i="67"/>
  <c r="AF202" i="67"/>
  <c r="AF49" i="67"/>
  <c r="AF810" i="67"/>
  <c r="AF507" i="67"/>
  <c r="AB355" i="67"/>
  <c r="AB507" i="67"/>
  <c r="AB810" i="67"/>
  <c r="AB49" i="67"/>
  <c r="AB659" i="67"/>
  <c r="AB202" i="67"/>
  <c r="AG354" i="67"/>
  <c r="AG506" i="67"/>
  <c r="AG658" i="67"/>
  <c r="AG201" i="67"/>
  <c r="AG48" i="67"/>
  <c r="BA25" i="68"/>
  <c r="Z23" i="62" s="1"/>
  <c r="AG809" i="67"/>
  <c r="AC354" i="67"/>
  <c r="AC658" i="67"/>
  <c r="AC809" i="67"/>
  <c r="AC506" i="67"/>
  <c r="AW25" i="68"/>
  <c r="V23" i="62" s="1"/>
  <c r="AC48" i="67"/>
  <c r="AC201" i="67"/>
  <c r="AR354" i="67"/>
  <c r="BL25" i="68"/>
  <c r="AK23" i="62" s="1"/>
  <c r="AR48" i="67"/>
  <c r="AR506" i="67"/>
  <c r="AR809" i="67"/>
  <c r="AR658" i="67"/>
  <c r="AR201" i="67"/>
  <c r="AE354" i="67"/>
  <c r="AE658" i="67"/>
  <c r="AE48" i="67"/>
  <c r="AE506" i="67"/>
  <c r="AY25" i="68"/>
  <c r="X23" i="62" s="1"/>
  <c r="AE201" i="67"/>
  <c r="AE809" i="67"/>
  <c r="W354" i="67"/>
  <c r="W658" i="67"/>
  <c r="W48" i="67"/>
  <c r="W506" i="67"/>
  <c r="AQ25" i="68"/>
  <c r="P23" i="62" s="1"/>
  <c r="W201" i="67"/>
  <c r="W809" i="67"/>
  <c r="AN355" i="67"/>
  <c r="AN659" i="67"/>
  <c r="AN202" i="67"/>
  <c r="AN507" i="67"/>
  <c r="AN49" i="67"/>
  <c r="AN810" i="67"/>
  <c r="AJ355" i="67"/>
  <c r="AJ507" i="67"/>
  <c r="AJ202" i="67"/>
  <c r="AJ810" i="67"/>
  <c r="AJ659" i="67"/>
  <c r="AJ49" i="67"/>
  <c r="AO336" i="67"/>
  <c r="AO30" i="67"/>
  <c r="AO488" i="67"/>
  <c r="AO183" i="67"/>
  <c r="AO640" i="67"/>
  <c r="V354" i="67"/>
  <c r="V658" i="67"/>
  <c r="V48" i="67"/>
  <c r="V506" i="67"/>
  <c r="AP25" i="68"/>
  <c r="O23" i="62" s="1"/>
  <c r="V201" i="67"/>
  <c r="V809" i="67"/>
  <c r="AS355" i="67"/>
  <c r="AS810" i="67"/>
  <c r="AS507" i="67"/>
  <c r="AS49" i="67"/>
  <c r="AS659" i="67"/>
  <c r="AS202" i="67"/>
  <c r="AH355" i="67"/>
  <c r="AH659" i="67"/>
  <c r="AH49" i="67"/>
  <c r="AH507" i="67"/>
  <c r="AH202" i="67"/>
  <c r="AH810" i="67"/>
  <c r="R355" i="67"/>
  <c r="R202" i="67"/>
  <c r="R810" i="67"/>
  <c r="R659" i="67"/>
  <c r="R49" i="67"/>
  <c r="R507" i="67"/>
  <c r="S354" i="67"/>
  <c r="S48" i="67"/>
  <c r="S809" i="67"/>
  <c r="S658" i="67"/>
  <c r="S201" i="67"/>
  <c r="S506" i="67"/>
  <c r="AM25" i="68"/>
  <c r="L23" i="62" s="1"/>
  <c r="BP25" i="68"/>
  <c r="AO23" i="62" s="1"/>
  <c r="AV354" i="67"/>
  <c r="AV506" i="67"/>
  <c r="AV809" i="67"/>
  <c r="AV658" i="67"/>
  <c r="AV48" i="67"/>
  <c r="AV201" i="67"/>
  <c r="AK322" i="67"/>
  <c r="AK169" i="67"/>
  <c r="AK474" i="67"/>
  <c r="AK16" i="67"/>
  <c r="AK777" i="67"/>
  <c r="AK626" i="67"/>
  <c r="BE10" i="68"/>
  <c r="AD12" i="62" s="1"/>
  <c r="AT354" i="67"/>
  <c r="AT658" i="67"/>
  <c r="AT809" i="67"/>
  <c r="AT506" i="67"/>
  <c r="BN25" i="68"/>
  <c r="AM23" i="62" s="1"/>
  <c r="AT48" i="67"/>
  <c r="AT201" i="67"/>
  <c r="AQ355" i="67"/>
  <c r="AQ202" i="67"/>
  <c r="AQ507" i="67"/>
  <c r="AQ810" i="67"/>
  <c r="AQ659" i="67"/>
  <c r="AQ49" i="67"/>
  <c r="X354" i="67"/>
  <c r="X48" i="67"/>
  <c r="AR25" i="68"/>
  <c r="Q23" i="62" s="1"/>
  <c r="X506" i="67"/>
  <c r="X809" i="67"/>
  <c r="X658" i="67"/>
  <c r="X201" i="67"/>
  <c r="AW355" i="67"/>
  <c r="AW507" i="67"/>
  <c r="AW202" i="67"/>
  <c r="AW659" i="67"/>
  <c r="AW49" i="67"/>
  <c r="AW810" i="67"/>
  <c r="AF1384" i="67"/>
  <c r="AF1398" i="67"/>
  <c r="AF1416" i="67"/>
  <c r="AF1536" i="67"/>
  <c r="AF1552" i="67"/>
  <c r="AT1384" i="67"/>
  <c r="AT1398" i="67"/>
  <c r="AT1416" i="67"/>
  <c r="AT1536" i="67"/>
  <c r="AT1552" i="67"/>
  <c r="AQ1384" i="67"/>
  <c r="AQ1398" i="67"/>
  <c r="AQ1416" i="67"/>
  <c r="AQ1536" i="67"/>
  <c r="AQ1552" i="67"/>
  <c r="AH1384" i="67"/>
  <c r="AH1398" i="67"/>
  <c r="AH1416" i="67"/>
  <c r="AH1536" i="67"/>
  <c r="AH1552" i="67"/>
  <c r="AO1384" i="67"/>
  <c r="AO1398" i="67"/>
  <c r="AO1416" i="67"/>
  <c r="AO1552" i="67"/>
  <c r="AO1536" i="67"/>
  <c r="AM1384" i="67"/>
  <c r="AM1398" i="67"/>
  <c r="AM1536" i="67"/>
  <c r="AM1416" i="67"/>
  <c r="AM1552" i="67"/>
  <c r="S1416" i="67"/>
  <c r="S1384" i="67"/>
  <c r="S1398" i="67"/>
  <c r="S1536" i="67"/>
  <c r="S1552" i="67"/>
  <c r="AW336" i="67"/>
  <c r="AW488" i="67"/>
  <c r="AW30" i="67"/>
  <c r="AW183" i="67"/>
  <c r="AW640" i="67"/>
  <c r="AM336" i="67"/>
  <c r="AM488" i="67"/>
  <c r="AM30" i="67"/>
  <c r="AM183" i="67"/>
  <c r="AM640" i="67"/>
  <c r="AI355" i="67"/>
  <c r="AI49" i="67"/>
  <c r="AI810" i="67"/>
  <c r="AI507" i="67"/>
  <c r="AI659" i="67"/>
  <c r="AI202" i="67"/>
  <c r="AJ336" i="67"/>
  <c r="AJ30" i="67"/>
  <c r="AJ488" i="67"/>
  <c r="AJ183" i="67"/>
  <c r="AJ640" i="67"/>
  <c r="AO337" i="67"/>
  <c r="AO31" i="67"/>
  <c r="AO641" i="67"/>
  <c r="AO489" i="67"/>
  <c r="AO184" i="67"/>
  <c r="V337" i="67"/>
  <c r="V31" i="67"/>
  <c r="V489" i="67"/>
  <c r="V184" i="67"/>
  <c r="V641" i="67"/>
  <c r="AS336" i="67"/>
  <c r="AS640" i="67"/>
  <c r="AS488" i="67"/>
  <c r="AS183" i="67"/>
  <c r="AS30" i="67"/>
  <c r="AH336" i="67"/>
  <c r="AH30" i="67"/>
  <c r="AH183" i="67"/>
  <c r="AH640" i="67"/>
  <c r="AH488" i="67"/>
  <c r="R336" i="67"/>
  <c r="R640" i="67"/>
  <c r="R30" i="67"/>
  <c r="R488" i="67"/>
  <c r="R183" i="67"/>
  <c r="S355" i="67"/>
  <c r="S507" i="67"/>
  <c r="S659" i="67"/>
  <c r="S202" i="67"/>
  <c r="S49" i="67"/>
  <c r="S810" i="67"/>
  <c r="AV337" i="67"/>
  <c r="AV31" i="67"/>
  <c r="AV184" i="67"/>
  <c r="AV641" i="67"/>
  <c r="AV489" i="67"/>
  <c r="AK337" i="67"/>
  <c r="AK489" i="67"/>
  <c r="AK641" i="67"/>
  <c r="AK31" i="67"/>
  <c r="AK184" i="67"/>
  <c r="AT337" i="67"/>
  <c r="AT31" i="67"/>
  <c r="AT641" i="67"/>
  <c r="AT184" i="67"/>
  <c r="AT489" i="67"/>
  <c r="AF336" i="67"/>
  <c r="AF183" i="67"/>
  <c r="AF640" i="67"/>
  <c r="AF30" i="67"/>
  <c r="AF488" i="67"/>
  <c r="AC337" i="67"/>
  <c r="AC31" i="67"/>
  <c r="AC184" i="67"/>
  <c r="AC641" i="67"/>
  <c r="AC489" i="67"/>
  <c r="AL336" i="67"/>
  <c r="AL183" i="67"/>
  <c r="AL30" i="67"/>
  <c r="AL640" i="67"/>
  <c r="AL488" i="67"/>
  <c r="AB336" i="67"/>
  <c r="AB488" i="67"/>
  <c r="AB30" i="67"/>
  <c r="AB183" i="67"/>
  <c r="AB640" i="67"/>
  <c r="AR337" i="67"/>
  <c r="AR31" i="67"/>
  <c r="AR641" i="67"/>
  <c r="AR489" i="67"/>
  <c r="AR184" i="67"/>
  <c r="AE337" i="67"/>
  <c r="AE184" i="67"/>
  <c r="AE641" i="67"/>
  <c r="AE489" i="67"/>
  <c r="AE31" i="67"/>
  <c r="AG337" i="67"/>
  <c r="AG641" i="67"/>
  <c r="AG489" i="67"/>
  <c r="AG184" i="67"/>
  <c r="AG31" i="67"/>
  <c r="W337" i="67"/>
  <c r="W184" i="67"/>
  <c r="W641" i="67"/>
  <c r="W31" i="67"/>
  <c r="W489" i="67"/>
  <c r="AP337" i="67"/>
  <c r="AP184" i="67"/>
  <c r="AP641" i="67"/>
  <c r="AP31" i="67"/>
  <c r="AP489" i="67"/>
  <c r="AQ336" i="67"/>
  <c r="AQ640" i="67"/>
  <c r="AQ488" i="67"/>
  <c r="AQ183" i="67"/>
  <c r="AQ30" i="67"/>
  <c r="AN336" i="67"/>
  <c r="AN640" i="67"/>
  <c r="AN488" i="67"/>
  <c r="AN183" i="67"/>
  <c r="AN30" i="67"/>
  <c r="AU336" i="67"/>
  <c r="AU30" i="67"/>
  <c r="AU183" i="67"/>
  <c r="AU640" i="67"/>
  <c r="AU488" i="67"/>
  <c r="AD336" i="67"/>
  <c r="AD183" i="67"/>
  <c r="AD30" i="67"/>
  <c r="AD640" i="67"/>
  <c r="AD488" i="67"/>
  <c r="X337" i="67"/>
  <c r="X641" i="67"/>
  <c r="X31" i="67"/>
  <c r="X184" i="67"/>
  <c r="X489" i="67"/>
  <c r="AF337" i="67"/>
  <c r="AF641" i="67"/>
  <c r="AF31" i="67"/>
  <c r="AF489" i="67"/>
  <c r="AF184" i="67"/>
  <c r="AB337" i="67"/>
  <c r="AB489" i="67"/>
  <c r="AB184" i="67"/>
  <c r="AB31" i="67"/>
  <c r="AB641" i="67"/>
  <c r="AG336" i="67"/>
  <c r="AG30" i="67"/>
  <c r="AG183" i="67"/>
  <c r="AG488" i="67"/>
  <c r="AG640" i="67"/>
  <c r="AC336" i="67"/>
  <c r="AC488" i="67"/>
  <c r="AC183" i="67"/>
  <c r="AC30" i="67"/>
  <c r="AC640" i="67"/>
  <c r="AL337" i="67"/>
  <c r="AL184" i="67"/>
  <c r="AL641" i="67"/>
  <c r="AL489" i="67"/>
  <c r="AL31" i="67"/>
  <c r="AR336" i="67"/>
  <c r="AR183" i="67"/>
  <c r="AR640" i="67"/>
  <c r="AR488" i="67"/>
  <c r="AR30" i="67"/>
  <c r="AE336" i="67"/>
  <c r="AE488" i="67"/>
  <c r="AE30" i="67"/>
  <c r="AE183" i="67"/>
  <c r="AE640" i="67"/>
  <c r="W336" i="67"/>
  <c r="W640" i="67"/>
  <c r="W488" i="67"/>
  <c r="W30" i="67"/>
  <c r="W183" i="67"/>
  <c r="AP336" i="67"/>
  <c r="AP640" i="67"/>
  <c r="AP30" i="67"/>
  <c r="AP183" i="67"/>
  <c r="AP488" i="67"/>
  <c r="AN337" i="67"/>
  <c r="AN31" i="67"/>
  <c r="AN184" i="67"/>
  <c r="AN641" i="67"/>
  <c r="AN489" i="67"/>
  <c r="AU337" i="67"/>
  <c r="AU489" i="67"/>
  <c r="AU184" i="67"/>
  <c r="AU641" i="67"/>
  <c r="AU31" i="67"/>
  <c r="AD337" i="67"/>
  <c r="AD184" i="67"/>
  <c r="AD489" i="67"/>
  <c r="AD31" i="67"/>
  <c r="AD641" i="67"/>
  <c r="AM337" i="67"/>
  <c r="AM641" i="67"/>
  <c r="AM489" i="67"/>
  <c r="AM184" i="67"/>
  <c r="AM31" i="67"/>
  <c r="AI336" i="67"/>
  <c r="AI30" i="67"/>
  <c r="AI183" i="67"/>
  <c r="AI640" i="67"/>
  <c r="AI488" i="67"/>
  <c r="AJ337" i="67"/>
  <c r="AJ31" i="67"/>
  <c r="AJ641" i="67"/>
  <c r="AJ489" i="67"/>
  <c r="AJ184" i="67"/>
  <c r="AO354" i="67"/>
  <c r="AO809" i="67"/>
  <c r="BI25" i="68"/>
  <c r="AH23" i="62" s="1"/>
  <c r="AO506" i="67"/>
  <c r="AO48" i="67"/>
  <c r="AO658" i="67"/>
  <c r="AO201" i="67"/>
  <c r="V336" i="67"/>
  <c r="V488" i="67"/>
  <c r="V183" i="67"/>
  <c r="V30" i="67"/>
  <c r="V640" i="67"/>
  <c r="AS337" i="67"/>
  <c r="AS641" i="67"/>
  <c r="AS31" i="67"/>
  <c r="AS489" i="67"/>
  <c r="AS184" i="67"/>
  <c r="AH337" i="67"/>
  <c r="AH184" i="67"/>
  <c r="AH641" i="67"/>
  <c r="AH489" i="67"/>
  <c r="AH31" i="67"/>
  <c r="R337" i="67"/>
  <c r="R489" i="67"/>
  <c r="R31" i="67"/>
  <c r="R184" i="67"/>
  <c r="R641" i="67"/>
  <c r="S336" i="67"/>
  <c r="S30" i="67"/>
  <c r="S183" i="67"/>
  <c r="S488" i="67"/>
  <c r="S640" i="67"/>
  <c r="AV336" i="67"/>
  <c r="AV488" i="67"/>
  <c r="AV30" i="67"/>
  <c r="AV183" i="67"/>
  <c r="AV640" i="67"/>
  <c r="AK354" i="67"/>
  <c r="AK809" i="67"/>
  <c r="AK658" i="67"/>
  <c r="AK48" i="67"/>
  <c r="AK506" i="67"/>
  <c r="BE25" i="68"/>
  <c r="AD23" i="62" s="1"/>
  <c r="AK201" i="67"/>
  <c r="AT336" i="67"/>
  <c r="AT30" i="67"/>
  <c r="AT640" i="67"/>
  <c r="AT488" i="67"/>
  <c r="AT183" i="67"/>
  <c r="AQ337" i="67"/>
  <c r="AQ489" i="67"/>
  <c r="AQ31" i="67"/>
  <c r="AQ184" i="67"/>
  <c r="AQ641" i="67"/>
  <c r="X336" i="67"/>
  <c r="X183" i="67"/>
  <c r="X30" i="67"/>
  <c r="X640" i="67"/>
  <c r="X488" i="67"/>
  <c r="AW337" i="67"/>
  <c r="AW184" i="67"/>
  <c r="AW31" i="67"/>
  <c r="AW641" i="67"/>
  <c r="AW489" i="67"/>
  <c r="AJ1384" i="67"/>
  <c r="AJ1398" i="67"/>
  <c r="AJ1416" i="67"/>
  <c r="AJ1552" i="67"/>
  <c r="AJ1536" i="67"/>
  <c r="V323" i="67"/>
  <c r="V475" i="67"/>
  <c r="V778" i="67"/>
  <c r="V170" i="67"/>
  <c r="V627" i="67"/>
  <c r="V17" i="67"/>
  <c r="AS760" i="67"/>
  <c r="AS150" i="67"/>
  <c r="AS911" i="67"/>
  <c r="AS456" i="67"/>
  <c r="AS303" i="67"/>
  <c r="AS608" i="67"/>
  <c r="AS322" i="67"/>
  <c r="AS16" i="67"/>
  <c r="BM10" i="68"/>
  <c r="AL12" i="62" s="1"/>
  <c r="AS474" i="67"/>
  <c r="AS777" i="67"/>
  <c r="AS626" i="67"/>
  <c r="AS169" i="67"/>
  <c r="AH303" i="67"/>
  <c r="AH456" i="67"/>
  <c r="AH150" i="67"/>
  <c r="AH608" i="67"/>
  <c r="AH911" i="67"/>
  <c r="AH760" i="67"/>
  <c r="BB10" i="68"/>
  <c r="AA12" i="62" s="1"/>
  <c r="AH322" i="67"/>
  <c r="AH777" i="67"/>
  <c r="AH169" i="67"/>
  <c r="AH626" i="67"/>
  <c r="AH474" i="67"/>
  <c r="AH16" i="67"/>
  <c r="R456" i="67"/>
  <c r="R760" i="67"/>
  <c r="R150" i="67"/>
  <c r="R608" i="67"/>
  <c r="R911" i="67"/>
  <c r="R303" i="67"/>
  <c r="R322" i="67"/>
  <c r="R16" i="67"/>
  <c r="R169" i="67"/>
  <c r="R626" i="67"/>
  <c r="R777" i="67"/>
  <c r="R474" i="67"/>
  <c r="AL10" i="68"/>
  <c r="K12" i="62" s="1"/>
  <c r="S761" i="67"/>
  <c r="S457" i="67"/>
  <c r="S304" i="67"/>
  <c r="S609" i="67"/>
  <c r="S912" i="67"/>
  <c r="S151" i="67"/>
  <c r="S323" i="67"/>
  <c r="S627" i="67"/>
  <c r="S170" i="67"/>
  <c r="S475" i="67"/>
  <c r="S17" i="67"/>
  <c r="S778" i="67"/>
  <c r="AV896" i="67"/>
  <c r="AV441" i="67"/>
  <c r="AV745" i="67"/>
  <c r="AV288" i="67"/>
  <c r="AV593" i="67"/>
  <c r="AV135" i="67"/>
  <c r="AV323" i="67"/>
  <c r="AV17" i="67"/>
  <c r="AV170" i="67"/>
  <c r="AV627" i="67"/>
  <c r="AV778" i="67"/>
  <c r="AV475" i="67"/>
  <c r="AK457" i="67"/>
  <c r="AK151" i="67"/>
  <c r="AK609" i="67"/>
  <c r="AK912" i="67"/>
  <c r="AK761" i="67"/>
  <c r="AK304" i="67"/>
  <c r="AK323" i="67"/>
  <c r="AK627" i="67"/>
  <c r="AK475" i="67"/>
  <c r="AK778" i="67"/>
  <c r="AK17" i="67"/>
  <c r="AK170" i="67"/>
  <c r="AT457" i="67"/>
  <c r="AT151" i="67"/>
  <c r="AT761" i="67"/>
  <c r="AT609" i="67"/>
  <c r="AT304" i="67"/>
  <c r="AT912" i="67"/>
  <c r="AT323" i="67"/>
  <c r="AT778" i="67"/>
  <c r="AT627" i="67"/>
  <c r="AT17" i="67"/>
  <c r="AT475" i="67"/>
  <c r="AT170" i="67"/>
  <c r="AF303" i="67"/>
  <c r="AF760" i="67"/>
  <c r="AF456" i="67"/>
  <c r="AF150" i="67"/>
  <c r="AF911" i="67"/>
  <c r="AF608" i="67"/>
  <c r="AF322" i="67"/>
  <c r="AZ10" i="68"/>
  <c r="Y12" i="62" s="1"/>
  <c r="AF474" i="67"/>
  <c r="AF16" i="67"/>
  <c r="AF626" i="67"/>
  <c r="AF169" i="67"/>
  <c r="AF777" i="67"/>
  <c r="AC457" i="67"/>
  <c r="AC912" i="67"/>
  <c r="AC761" i="67"/>
  <c r="AC304" i="67"/>
  <c r="AC609" i="67"/>
  <c r="AC151" i="67"/>
  <c r="AC323" i="67"/>
  <c r="AC627" i="67"/>
  <c r="AC170" i="67"/>
  <c r="AC17" i="67"/>
  <c r="AC778" i="67"/>
  <c r="AC475" i="67"/>
  <c r="AL895" i="67"/>
  <c r="AL440" i="67"/>
  <c r="AL744" i="67"/>
  <c r="AL287" i="67"/>
  <c r="AL592" i="67"/>
  <c r="AL134" i="67"/>
  <c r="AL322" i="67"/>
  <c r="AL777" i="67"/>
  <c r="AL169" i="67"/>
  <c r="AL626" i="67"/>
  <c r="AL474" i="67"/>
  <c r="AL16" i="67"/>
  <c r="BF10" i="68"/>
  <c r="AE12" i="62" s="1"/>
  <c r="AB456" i="67"/>
  <c r="AB608" i="67"/>
  <c r="AB760" i="67"/>
  <c r="AB150" i="67"/>
  <c r="AB303" i="67"/>
  <c r="AB911" i="67"/>
  <c r="AB322" i="67"/>
  <c r="AB626" i="67"/>
  <c r="AB16" i="67"/>
  <c r="AB474" i="67"/>
  <c r="AV10" i="68"/>
  <c r="U12" i="62" s="1"/>
  <c r="AB169" i="67"/>
  <c r="AB777" i="67"/>
  <c r="AR151" i="67"/>
  <c r="AR761" i="67"/>
  <c r="AR457" i="67"/>
  <c r="AR304" i="67"/>
  <c r="AR912" i="67"/>
  <c r="AR609" i="67"/>
  <c r="AR323" i="67"/>
  <c r="AR778" i="67"/>
  <c r="AR627" i="67"/>
  <c r="AR475" i="67"/>
  <c r="AR17" i="67"/>
  <c r="AR170" i="67"/>
  <c r="AE912" i="67"/>
  <c r="AE151" i="67"/>
  <c r="AE457" i="67"/>
  <c r="AE609" i="67"/>
  <c r="AE761" i="67"/>
  <c r="AE304" i="67"/>
  <c r="AE323" i="67"/>
  <c r="AE170" i="67"/>
  <c r="AE17" i="67"/>
  <c r="AE627" i="67"/>
  <c r="AE778" i="67"/>
  <c r="AE475" i="67"/>
  <c r="AG912" i="67"/>
  <c r="AG457" i="67"/>
  <c r="AG304" i="67"/>
  <c r="AG609" i="67"/>
  <c r="AG761" i="67"/>
  <c r="AG151" i="67"/>
  <c r="AG323" i="67"/>
  <c r="AG627" i="67"/>
  <c r="AG778" i="67"/>
  <c r="AG170" i="67"/>
  <c r="AG475" i="67"/>
  <c r="AG17" i="67"/>
  <c r="W457" i="67"/>
  <c r="W761" i="67"/>
  <c r="W912" i="67"/>
  <c r="W151" i="67"/>
  <c r="W609" i="67"/>
  <c r="W304" i="67"/>
  <c r="W323" i="67"/>
  <c r="W627" i="67"/>
  <c r="W17" i="67"/>
  <c r="W475" i="67"/>
  <c r="W170" i="67"/>
  <c r="W778" i="67"/>
  <c r="AP457" i="67"/>
  <c r="AP609" i="67"/>
  <c r="AP912" i="67"/>
  <c r="AP761" i="67"/>
  <c r="AP151" i="67"/>
  <c r="AP304" i="67"/>
  <c r="AP323" i="67"/>
  <c r="AP170" i="67"/>
  <c r="AP627" i="67"/>
  <c r="AP778" i="67"/>
  <c r="AP475" i="67"/>
  <c r="AP17" i="67"/>
  <c r="AQ456" i="67"/>
  <c r="AQ911" i="67"/>
  <c r="AQ303" i="67"/>
  <c r="AQ760" i="67"/>
  <c r="AQ608" i="67"/>
  <c r="AQ150" i="67"/>
  <c r="AQ322" i="67"/>
  <c r="AQ169" i="67"/>
  <c r="AQ626" i="67"/>
  <c r="AQ16" i="67"/>
  <c r="AQ474" i="67"/>
  <c r="BK10" i="68"/>
  <c r="AJ12" i="62" s="1"/>
  <c r="AQ777" i="67"/>
  <c r="AN303" i="67"/>
  <c r="AN608" i="67"/>
  <c r="AN456" i="67"/>
  <c r="AN150" i="67"/>
  <c r="AN760" i="67"/>
  <c r="AN911" i="67"/>
  <c r="AN322" i="67"/>
  <c r="BH10" i="68"/>
  <c r="AG12" i="62" s="1"/>
  <c r="AN626" i="67"/>
  <c r="AN474" i="67"/>
  <c r="AN16" i="67"/>
  <c r="AN777" i="67"/>
  <c r="AN169" i="67"/>
  <c r="AU456" i="67"/>
  <c r="AU150" i="67"/>
  <c r="AU911" i="67"/>
  <c r="AU760" i="67"/>
  <c r="AU608" i="67"/>
  <c r="AU303" i="67"/>
  <c r="AU322" i="67"/>
  <c r="AU626" i="67"/>
  <c r="AU777" i="67"/>
  <c r="AU474" i="67"/>
  <c r="BO10" i="68"/>
  <c r="AN12" i="62" s="1"/>
  <c r="AU16" i="67"/>
  <c r="AU169" i="67"/>
  <c r="AD608" i="67"/>
  <c r="AD303" i="67"/>
  <c r="AD760" i="67"/>
  <c r="AD150" i="67"/>
  <c r="AD456" i="67"/>
  <c r="AD911" i="67"/>
  <c r="AD322" i="67"/>
  <c r="AD169" i="67"/>
  <c r="AD626" i="67"/>
  <c r="AD777" i="67"/>
  <c r="AD16" i="67"/>
  <c r="AX10" i="68"/>
  <c r="W12" i="62" s="1"/>
  <c r="AD474" i="67"/>
  <c r="X896" i="67"/>
  <c r="X441" i="67"/>
  <c r="X745" i="67"/>
  <c r="X288" i="67"/>
  <c r="X135" i="67"/>
  <c r="X593" i="67"/>
  <c r="X323" i="67"/>
  <c r="X778" i="67"/>
  <c r="X17" i="67"/>
  <c r="X627" i="67"/>
  <c r="X170" i="67"/>
  <c r="X475" i="67"/>
  <c r="AF896" i="67"/>
  <c r="AF441" i="67"/>
  <c r="AF745" i="67"/>
  <c r="AF288" i="67"/>
  <c r="AF593" i="67"/>
  <c r="AF135" i="67"/>
  <c r="AF323" i="67"/>
  <c r="AF627" i="67"/>
  <c r="AF170" i="67"/>
  <c r="AF475" i="67"/>
  <c r="AF17" i="67"/>
  <c r="AF778" i="67"/>
  <c r="AB457" i="67"/>
  <c r="AB609" i="67"/>
  <c r="AB151" i="67"/>
  <c r="AB304" i="67"/>
  <c r="AB912" i="67"/>
  <c r="AB761" i="67"/>
  <c r="AB323" i="67"/>
  <c r="AB627" i="67"/>
  <c r="AB170" i="67"/>
  <c r="AB475" i="67"/>
  <c r="AB17" i="67"/>
  <c r="AB778" i="67"/>
  <c r="AG303" i="67"/>
  <c r="AG456" i="67"/>
  <c r="AG760" i="67"/>
  <c r="AG150" i="67"/>
  <c r="AG911" i="67"/>
  <c r="AG608" i="67"/>
  <c r="AG322" i="67"/>
  <c r="AG474" i="67"/>
  <c r="BA10" i="68"/>
  <c r="Z12" i="62" s="1"/>
  <c r="AG777" i="67"/>
  <c r="AG16" i="67"/>
  <c r="AG626" i="67"/>
  <c r="AG169" i="67"/>
  <c r="AC456" i="67"/>
  <c r="AC911" i="67"/>
  <c r="AC303" i="67"/>
  <c r="AC150" i="67"/>
  <c r="AC608" i="67"/>
  <c r="AC760" i="67"/>
  <c r="AC322" i="67"/>
  <c r="AC169" i="67"/>
  <c r="AC626" i="67"/>
  <c r="AC474" i="67"/>
  <c r="AC16" i="67"/>
  <c r="AW10" i="68"/>
  <c r="V12" i="62" s="1"/>
  <c r="AC777" i="67"/>
  <c r="AL457" i="67"/>
  <c r="AL761" i="67"/>
  <c r="AL609" i="67"/>
  <c r="AL912" i="67"/>
  <c r="AL151" i="67"/>
  <c r="AL304" i="67"/>
  <c r="AL323" i="67"/>
  <c r="AL170" i="67"/>
  <c r="AL627" i="67"/>
  <c r="AL17" i="67"/>
  <c r="AL475" i="67"/>
  <c r="AL778" i="67"/>
  <c r="AR456" i="67"/>
  <c r="AR760" i="67"/>
  <c r="AR911" i="67"/>
  <c r="AR608" i="67"/>
  <c r="AR150" i="67"/>
  <c r="AR303" i="67"/>
  <c r="AR322" i="67"/>
  <c r="BL10" i="68"/>
  <c r="AK12" i="62" s="1"/>
  <c r="AR169" i="67"/>
  <c r="AR777" i="67"/>
  <c r="AR626" i="67"/>
  <c r="AR16" i="67"/>
  <c r="AR474" i="67"/>
  <c r="AE150" i="67"/>
  <c r="AE456" i="67"/>
  <c r="AE760" i="67"/>
  <c r="AE911" i="67"/>
  <c r="AE608" i="67"/>
  <c r="AE303" i="67"/>
  <c r="AE322" i="67"/>
  <c r="AY10" i="68"/>
  <c r="X12" i="62" s="1"/>
  <c r="AE777" i="67"/>
  <c r="AE626" i="67"/>
  <c r="AE474" i="67"/>
  <c r="AE16" i="67"/>
  <c r="AE169" i="67"/>
  <c r="W911" i="67"/>
  <c r="W456" i="67"/>
  <c r="W150" i="67"/>
  <c r="W303" i="67"/>
  <c r="W608" i="67"/>
  <c r="W760" i="67"/>
  <c r="W322" i="67"/>
  <c r="W626" i="67"/>
  <c r="W169" i="67"/>
  <c r="W474" i="67"/>
  <c r="W777" i="67"/>
  <c r="AQ10" i="68"/>
  <c r="P12" i="62" s="1"/>
  <c r="W16" i="67"/>
  <c r="AP303" i="67"/>
  <c r="AP150" i="67"/>
  <c r="AP760" i="67"/>
  <c r="AP456" i="67"/>
  <c r="AP608" i="67"/>
  <c r="AP911" i="67"/>
  <c r="AP322" i="67"/>
  <c r="AP169" i="67"/>
  <c r="AP777" i="67"/>
  <c r="AP626" i="67"/>
  <c r="AP16" i="67"/>
  <c r="AP474" i="67"/>
  <c r="BJ10" i="68"/>
  <c r="AI12" i="62" s="1"/>
  <c r="AN441" i="67"/>
  <c r="AN896" i="67"/>
  <c r="AN745" i="67"/>
  <c r="AN288" i="67"/>
  <c r="AN135" i="67"/>
  <c r="AN593" i="67"/>
  <c r="AN323" i="67"/>
  <c r="AN627" i="67"/>
  <c r="AN170" i="67"/>
  <c r="AN475" i="67"/>
  <c r="AN17" i="67"/>
  <c r="AN778" i="67"/>
  <c r="AU912" i="67"/>
  <c r="AU457" i="67"/>
  <c r="AU761" i="67"/>
  <c r="AU151" i="67"/>
  <c r="AU609" i="67"/>
  <c r="AU304" i="67"/>
  <c r="AU323" i="67"/>
  <c r="AU627" i="67"/>
  <c r="AU778" i="67"/>
  <c r="AU475" i="67"/>
  <c r="AU170" i="67"/>
  <c r="AU17" i="67"/>
  <c r="AD304" i="67"/>
  <c r="AD151" i="67"/>
  <c r="AD761" i="67"/>
  <c r="AD457" i="67"/>
  <c r="AD912" i="67"/>
  <c r="AD609" i="67"/>
  <c r="AD323" i="67"/>
  <c r="AD475" i="67"/>
  <c r="AD170" i="67"/>
  <c r="AD778" i="67"/>
  <c r="AD627" i="67"/>
  <c r="AD17" i="67"/>
  <c r="AM457" i="67"/>
  <c r="AM761" i="67"/>
  <c r="AM304" i="67"/>
  <c r="AM609" i="67"/>
  <c r="AM912" i="67"/>
  <c r="AM151" i="67"/>
  <c r="AM323" i="67"/>
  <c r="AM778" i="67"/>
  <c r="AM627" i="67"/>
  <c r="AM17" i="67"/>
  <c r="AM475" i="67"/>
  <c r="AM170" i="67"/>
  <c r="AI456" i="67"/>
  <c r="AI760" i="67"/>
  <c r="AI303" i="67"/>
  <c r="AI608" i="67"/>
  <c r="AI150" i="67"/>
  <c r="AI911" i="67"/>
  <c r="BC10" i="68"/>
  <c r="AB12" i="62" s="1"/>
  <c r="AI322" i="67"/>
  <c r="AI169" i="67"/>
  <c r="AI777" i="67"/>
  <c r="AI626" i="67"/>
  <c r="AI16" i="67"/>
  <c r="AI474" i="67"/>
  <c r="AJ457" i="67"/>
  <c r="AJ761" i="67"/>
  <c r="AJ304" i="67"/>
  <c r="AJ609" i="67"/>
  <c r="AJ151" i="67"/>
  <c r="AJ912" i="67"/>
  <c r="AJ323" i="67"/>
  <c r="AJ778" i="67"/>
  <c r="AJ627" i="67"/>
  <c r="AJ17" i="67"/>
  <c r="AJ475" i="67"/>
  <c r="AJ170" i="67"/>
  <c r="AO456" i="67"/>
  <c r="AO608" i="67"/>
  <c r="AO150" i="67"/>
  <c r="AO911" i="67"/>
  <c r="AO303" i="67"/>
  <c r="AO760" i="67"/>
  <c r="AO322" i="67"/>
  <c r="AO169" i="67"/>
  <c r="AO777" i="67"/>
  <c r="AO626" i="67"/>
  <c r="AO16" i="67"/>
  <c r="AO474" i="67"/>
  <c r="BI10" i="68"/>
  <c r="AH12" i="62" s="1"/>
  <c r="V150" i="67"/>
  <c r="V456" i="67"/>
  <c r="V760" i="67"/>
  <c r="V303" i="67"/>
  <c r="V608" i="67"/>
  <c r="V911" i="67"/>
  <c r="AP10" i="68"/>
  <c r="O12" i="62" s="1"/>
  <c r="V322" i="67"/>
  <c r="V626" i="67"/>
  <c r="V777" i="67"/>
  <c r="V474" i="67"/>
  <c r="V16" i="67"/>
  <c r="V169" i="67"/>
  <c r="AS457" i="67"/>
  <c r="AS151" i="67"/>
  <c r="AS761" i="67"/>
  <c r="AS609" i="67"/>
  <c r="AS912" i="67"/>
  <c r="AS304" i="67"/>
  <c r="AS323" i="67"/>
  <c r="AS778" i="67"/>
  <c r="AS475" i="67"/>
  <c r="AS627" i="67"/>
  <c r="AS170" i="67"/>
  <c r="AS17" i="67"/>
  <c r="AH609" i="67"/>
  <c r="AH151" i="67"/>
  <c r="AH912" i="67"/>
  <c r="AH457" i="67"/>
  <c r="AH761" i="67"/>
  <c r="AH304" i="67"/>
  <c r="AH323" i="67"/>
  <c r="AH778" i="67"/>
  <c r="AH17" i="67"/>
  <c r="AH475" i="67"/>
  <c r="AH627" i="67"/>
  <c r="AH170" i="67"/>
  <c r="R457" i="67"/>
  <c r="R304" i="67"/>
  <c r="R151" i="67"/>
  <c r="R912" i="67"/>
  <c r="R761" i="67"/>
  <c r="R609" i="67"/>
  <c r="R323" i="67"/>
  <c r="R17" i="67"/>
  <c r="R627" i="67"/>
  <c r="R170" i="67"/>
  <c r="R475" i="67"/>
  <c r="R778" i="67"/>
  <c r="S456" i="67"/>
  <c r="S150" i="67"/>
  <c r="S760" i="67"/>
  <c r="S608" i="67"/>
  <c r="S911" i="67"/>
  <c r="S303" i="67"/>
  <c r="AM10" i="68"/>
  <c r="L12" i="62" s="1"/>
  <c r="S322" i="67"/>
  <c r="S474" i="67"/>
  <c r="S169" i="67"/>
  <c r="S777" i="67"/>
  <c r="S626" i="67"/>
  <c r="S16" i="67"/>
  <c r="AV608" i="67"/>
  <c r="AV456" i="67"/>
  <c r="AV760" i="67"/>
  <c r="AV150" i="67"/>
  <c r="AV303" i="67"/>
  <c r="AV911" i="67"/>
  <c r="AV322" i="67"/>
  <c r="AV626" i="67"/>
  <c r="AV169" i="67"/>
  <c r="AV777" i="67"/>
  <c r="BP10" i="68"/>
  <c r="AO12" i="62" s="1"/>
  <c r="AV16" i="67"/>
  <c r="AV474" i="67"/>
  <c r="AK608" i="67"/>
  <c r="AK303" i="67"/>
  <c r="AK911" i="67"/>
  <c r="AK456" i="67"/>
  <c r="AK150" i="67"/>
  <c r="AK760" i="67"/>
  <c r="AK336" i="67"/>
  <c r="AK640" i="67"/>
  <c r="AK488" i="67"/>
  <c r="AK183" i="67"/>
  <c r="AK30" i="67"/>
  <c r="AT440" i="67"/>
  <c r="AT895" i="67"/>
  <c r="AT744" i="67"/>
  <c r="AT287" i="67"/>
  <c r="AT134" i="67"/>
  <c r="AT592" i="67"/>
  <c r="BN10" i="68"/>
  <c r="AM12" i="62" s="1"/>
  <c r="AT322" i="67"/>
  <c r="AT626" i="67"/>
  <c r="AT169" i="67"/>
  <c r="AT16" i="67"/>
  <c r="AT777" i="67"/>
  <c r="AT474" i="67"/>
  <c r="AQ457" i="67"/>
  <c r="AQ609" i="67"/>
  <c r="AQ912" i="67"/>
  <c r="AQ151" i="67"/>
  <c r="AQ304" i="67"/>
  <c r="AQ761" i="67"/>
  <c r="AQ323" i="67"/>
  <c r="AQ17" i="67"/>
  <c r="AQ475" i="67"/>
  <c r="AQ627" i="67"/>
  <c r="AQ170" i="67"/>
  <c r="AQ778" i="67"/>
  <c r="X456" i="67"/>
  <c r="X303" i="67"/>
  <c r="X911" i="67"/>
  <c r="X608" i="67"/>
  <c r="X150" i="67"/>
  <c r="X760" i="67"/>
  <c r="AR10" i="68"/>
  <c r="Q12" i="62" s="1"/>
  <c r="X322" i="67"/>
  <c r="X16" i="67"/>
  <c r="X777" i="67"/>
  <c r="X626" i="67"/>
  <c r="X169" i="67"/>
  <c r="X474" i="67"/>
  <c r="AW761" i="67"/>
  <c r="AW457" i="67"/>
  <c r="AW151" i="67"/>
  <c r="AW304" i="67"/>
  <c r="AW609" i="67"/>
  <c r="AW912" i="67"/>
  <c r="AW323" i="67"/>
  <c r="AW170" i="67"/>
  <c r="AW778" i="67"/>
  <c r="AW475" i="67"/>
  <c r="AW17" i="67"/>
  <c r="AW627" i="67"/>
  <c r="AQ744" i="67"/>
  <c r="AQ440" i="67"/>
  <c r="AQ895" i="67"/>
  <c r="AQ287" i="67"/>
  <c r="AQ592" i="67"/>
  <c r="AQ134" i="67"/>
  <c r="AN440" i="67"/>
  <c r="AN744" i="67"/>
  <c r="AN895" i="67"/>
  <c r="AN287" i="67"/>
  <c r="AN592" i="67"/>
  <c r="AN134" i="67"/>
  <c r="AU895" i="67"/>
  <c r="AU440" i="67"/>
  <c r="AU744" i="67"/>
  <c r="AU287" i="67"/>
  <c r="AU134" i="67"/>
  <c r="AU592" i="67"/>
  <c r="AD440" i="67"/>
  <c r="AD895" i="67"/>
  <c r="AD744" i="67"/>
  <c r="AD287" i="67"/>
  <c r="AD134" i="67"/>
  <c r="AD592" i="67"/>
  <c r="X457" i="67"/>
  <c r="X151" i="67"/>
  <c r="X912" i="67"/>
  <c r="X761" i="67"/>
  <c r="X609" i="67"/>
  <c r="X304" i="67"/>
  <c r="AF151" i="67"/>
  <c r="AF457" i="67"/>
  <c r="AF912" i="67"/>
  <c r="AF609" i="67"/>
  <c r="AF761" i="67"/>
  <c r="AF304" i="67"/>
  <c r="AB441" i="67"/>
  <c r="AB745" i="67"/>
  <c r="AB896" i="67"/>
  <c r="AB593" i="67"/>
  <c r="AB135" i="67"/>
  <c r="AB288" i="67"/>
  <c r="AG440" i="67"/>
  <c r="AG592" i="67"/>
  <c r="AG134" i="67"/>
  <c r="AG744" i="67"/>
  <c r="AG895" i="67"/>
  <c r="AG287" i="67"/>
  <c r="AC895" i="67"/>
  <c r="AC287" i="67"/>
  <c r="AC592" i="67"/>
  <c r="AC440" i="67"/>
  <c r="AC134" i="67"/>
  <c r="AC744" i="67"/>
  <c r="AL441" i="67"/>
  <c r="AL896" i="67"/>
  <c r="AL745" i="67"/>
  <c r="AL288" i="67"/>
  <c r="AL135" i="67"/>
  <c r="AL593" i="67"/>
  <c r="AR440" i="67"/>
  <c r="AR895" i="67"/>
  <c r="AR744" i="67"/>
  <c r="AR287" i="67"/>
  <c r="AR134" i="67"/>
  <c r="AR592" i="67"/>
  <c r="AE895" i="67"/>
  <c r="AE440" i="67"/>
  <c r="AE744" i="67"/>
  <c r="AE287" i="67"/>
  <c r="AE134" i="67"/>
  <c r="AE592" i="67"/>
  <c r="W895" i="67"/>
  <c r="W440" i="67"/>
  <c r="W744" i="67"/>
  <c r="W134" i="67"/>
  <c r="W287" i="67"/>
  <c r="W592" i="67"/>
  <c r="AP744" i="67"/>
  <c r="AP895" i="67"/>
  <c r="AP440" i="67"/>
  <c r="AP592" i="67"/>
  <c r="AP134" i="67"/>
  <c r="AP287" i="67"/>
  <c r="AN761" i="67"/>
  <c r="AN304" i="67"/>
  <c r="AN151" i="67"/>
  <c r="AN457" i="67"/>
  <c r="AN609" i="67"/>
  <c r="AN912" i="67"/>
  <c r="AU288" i="67"/>
  <c r="AU135" i="67"/>
  <c r="AU593" i="67"/>
  <c r="AU441" i="67"/>
  <c r="AU745" i="67"/>
  <c r="AU896" i="67"/>
  <c r="AD896" i="67"/>
  <c r="AD441" i="67"/>
  <c r="AD745" i="67"/>
  <c r="AD135" i="67"/>
  <c r="AD288" i="67"/>
  <c r="AD593" i="67"/>
  <c r="AM441" i="67"/>
  <c r="AM593" i="67"/>
  <c r="AM135" i="67"/>
  <c r="AM745" i="67"/>
  <c r="AM288" i="67"/>
  <c r="AM896" i="67"/>
  <c r="AI440" i="67"/>
  <c r="AI744" i="67"/>
  <c r="AI895" i="67"/>
  <c r="AI287" i="67"/>
  <c r="AI592" i="67"/>
  <c r="AI134" i="67"/>
  <c r="AJ441" i="67"/>
  <c r="AJ745" i="67"/>
  <c r="AJ896" i="67"/>
  <c r="AJ593" i="67"/>
  <c r="AJ135" i="67"/>
  <c r="AJ288" i="67"/>
  <c r="AO895" i="67"/>
  <c r="AO287" i="67"/>
  <c r="AO744" i="67"/>
  <c r="AO440" i="67"/>
  <c r="AO592" i="67"/>
  <c r="AO134" i="67"/>
  <c r="V440" i="67"/>
  <c r="V895" i="67"/>
  <c r="V744" i="67"/>
  <c r="V287" i="67"/>
  <c r="V592" i="67"/>
  <c r="V134" i="67"/>
  <c r="AS441" i="67"/>
  <c r="AS745" i="67"/>
  <c r="AS896" i="67"/>
  <c r="AS288" i="67"/>
  <c r="AS593" i="67"/>
  <c r="AS135" i="67"/>
  <c r="AH441" i="67"/>
  <c r="AH745" i="67"/>
  <c r="AH896" i="67"/>
  <c r="AH288" i="67"/>
  <c r="AH593" i="67"/>
  <c r="AH135" i="67"/>
  <c r="R441" i="67"/>
  <c r="R745" i="67"/>
  <c r="R896" i="67"/>
  <c r="R288" i="67"/>
  <c r="R593" i="67"/>
  <c r="R135" i="67"/>
  <c r="S440" i="67"/>
  <c r="S744" i="67"/>
  <c r="S895" i="67"/>
  <c r="S287" i="67"/>
  <c r="S592" i="67"/>
  <c r="S134" i="67"/>
  <c r="AV744" i="67"/>
  <c r="AV895" i="67"/>
  <c r="AV440" i="67"/>
  <c r="AV287" i="67"/>
  <c r="AV592" i="67"/>
  <c r="AV134" i="67"/>
  <c r="AK287" i="67"/>
  <c r="AK895" i="67"/>
  <c r="AK440" i="67"/>
  <c r="AK592" i="67"/>
  <c r="AK744" i="67"/>
  <c r="AK134" i="67"/>
  <c r="AT303" i="67"/>
  <c r="AT608" i="67"/>
  <c r="AT456" i="67"/>
  <c r="AT911" i="67"/>
  <c r="AT760" i="67"/>
  <c r="AT150" i="67"/>
  <c r="AQ441" i="67"/>
  <c r="AQ135" i="67"/>
  <c r="AQ593" i="67"/>
  <c r="AQ896" i="67"/>
  <c r="AQ288" i="67"/>
  <c r="AQ745" i="67"/>
  <c r="X440" i="67"/>
  <c r="X744" i="67"/>
  <c r="X895" i="67"/>
  <c r="X287" i="67"/>
  <c r="X592" i="67"/>
  <c r="X134" i="67"/>
  <c r="AW896" i="67"/>
  <c r="AW441" i="67"/>
  <c r="AW745" i="67"/>
  <c r="AW135" i="67"/>
  <c r="AW288" i="67"/>
  <c r="AW593" i="67"/>
  <c r="AX7" i="68"/>
  <c r="W9" i="62" s="1"/>
  <c r="BM7" i="68"/>
  <c r="AL9" i="62" s="1"/>
  <c r="BH7" i="68"/>
  <c r="AG9" i="62" s="1"/>
  <c r="AZ7" i="68"/>
  <c r="Y9" i="62" s="1"/>
  <c r="BN7" i="68"/>
  <c r="AM9" i="62" s="1"/>
  <c r="BK7" i="68"/>
  <c r="AJ9" i="62" s="1"/>
  <c r="BB7" i="68"/>
  <c r="AA9" i="62" s="1"/>
  <c r="BI7" i="68"/>
  <c r="AH9" i="62" s="1"/>
  <c r="BG7" i="68"/>
  <c r="AF9" i="62" s="1"/>
  <c r="AM7" i="68"/>
  <c r="L9" i="62" s="1"/>
  <c r="BO7" i="68"/>
  <c r="AN9" i="62" s="1"/>
  <c r="BQ7" i="68"/>
  <c r="AP9" i="62" s="1"/>
  <c r="AR7" i="68"/>
  <c r="Q9" i="62" s="1"/>
  <c r="BD7" i="68"/>
  <c r="AC9" i="62" s="1"/>
  <c r="AL7" i="68"/>
  <c r="K9" i="62" s="1"/>
  <c r="BJ7" i="68"/>
  <c r="AI9" i="62" s="1"/>
  <c r="BF7" i="68"/>
  <c r="AE9" i="62" s="1"/>
  <c r="AQ7" i="68"/>
  <c r="P9" i="62" s="1"/>
  <c r="BA7" i="68"/>
  <c r="Z9" i="62" s="1"/>
  <c r="AW7" i="68"/>
  <c r="V9" i="62" s="1"/>
  <c r="BE7" i="68"/>
  <c r="AD9" i="62" s="1"/>
  <c r="AY7" i="68"/>
  <c r="X9" i="62" s="1"/>
  <c r="AP7" i="68"/>
  <c r="O9" i="62" s="1"/>
  <c r="AV7" i="68"/>
  <c r="U9" i="62" s="1"/>
  <c r="BP7" i="68"/>
  <c r="AO9" i="62" s="1"/>
  <c r="BC7" i="68"/>
  <c r="AB9" i="62" s="1"/>
  <c r="BL7" i="68"/>
  <c r="AK9" i="62" s="1"/>
  <c r="BJ10" i="50"/>
  <c r="BO8" i="36" s="1"/>
  <c r="AJ10" i="50"/>
  <c r="AO8" i="36" s="1"/>
  <c r="BP42" i="36"/>
  <c r="BP83" i="36" s="1"/>
  <c r="BO83" i="36"/>
  <c r="AY10" i="50"/>
  <c r="BD8" i="36" s="1"/>
  <c r="BH10" i="50"/>
  <c r="BM9" i="36" s="1"/>
  <c r="AS10" i="50"/>
  <c r="AX8" i="36" s="1"/>
  <c r="BC9" i="36"/>
  <c r="BC8" i="36"/>
  <c r="BB10" i="50"/>
  <c r="BB8" i="36"/>
  <c r="BB9" i="36"/>
  <c r="AU10" i="50"/>
  <c r="AT10" i="50"/>
  <c r="AK10" i="50"/>
  <c r="AV10" i="50"/>
  <c r="BD10" i="50"/>
  <c r="BF10" i="50"/>
  <c r="AG10" i="50"/>
  <c r="AQ10" i="50"/>
  <c r="BE10" i="50"/>
  <c r="BI10" i="50"/>
  <c r="AZ10" i="50"/>
  <c r="BG10" i="50"/>
  <c r="AP10" i="50"/>
  <c r="BC10" i="50"/>
  <c r="BA10" i="50"/>
  <c r="AL10" i="50"/>
  <c r="BK10" i="50"/>
  <c r="AF10" i="50"/>
  <c r="AR10" i="50"/>
  <c r="BA13" i="55"/>
  <c r="BA32" i="55"/>
  <c r="AW13" i="55"/>
  <c r="AW32" i="55"/>
  <c r="AS13" i="55"/>
  <c r="AS32" i="55"/>
  <c r="AO13" i="55"/>
  <c r="AO32" i="55"/>
  <c r="AK13" i="55"/>
  <c r="AK32" i="55"/>
  <c r="AG13" i="55"/>
  <c r="AG32" i="55"/>
  <c r="AC13" i="55"/>
  <c r="AC32" i="55"/>
  <c r="Y32" i="55"/>
  <c r="AV32" i="55"/>
  <c r="AV13" i="55"/>
  <c r="AR32" i="55"/>
  <c r="AR13" i="55"/>
  <c r="AN32" i="55"/>
  <c r="AN13" i="55"/>
  <c r="AJ32" i="55"/>
  <c r="AJ13" i="55"/>
  <c r="AF32" i="55"/>
  <c r="AF13" i="55"/>
  <c r="AB32" i="55"/>
  <c r="AB13" i="55"/>
  <c r="X32" i="55"/>
  <c r="AY13" i="55"/>
  <c r="AY32" i="55"/>
  <c r="AU13" i="55"/>
  <c r="AU32" i="55"/>
  <c r="AQ13" i="55"/>
  <c r="AQ32" i="55"/>
  <c r="AM13" i="55"/>
  <c r="AM32" i="55"/>
  <c r="AI13" i="55"/>
  <c r="AI32" i="55"/>
  <c r="AE32" i="55"/>
  <c r="AA13" i="55"/>
  <c r="AA32" i="55"/>
  <c r="W13" i="55"/>
  <c r="W32" i="55"/>
  <c r="AZ32" i="55"/>
  <c r="AZ13" i="55"/>
  <c r="AX13" i="55"/>
  <c r="AX32" i="55"/>
  <c r="AT13" i="55"/>
  <c r="AT32" i="55"/>
  <c r="AP13" i="55"/>
  <c r="AP32" i="55"/>
  <c r="AL13" i="55"/>
  <c r="AL32" i="55"/>
  <c r="AH13" i="55"/>
  <c r="AH32" i="55"/>
  <c r="AD13" i="55"/>
  <c r="AD32" i="55"/>
  <c r="Z13" i="55"/>
  <c r="Z32" i="55"/>
  <c r="V19" i="55"/>
  <c r="V32" i="55"/>
  <c r="AC1265" i="67" l="1"/>
  <c r="R1350" i="67"/>
  <c r="S1351" i="67"/>
  <c r="AS1264" i="67"/>
  <c r="AD1351" i="67"/>
  <c r="AH1350" i="67"/>
  <c r="AQ1233" i="67"/>
  <c r="AH1233" i="67"/>
  <c r="AC1366" i="67"/>
  <c r="AF1366" i="67"/>
  <c r="AK1233" i="67"/>
  <c r="AO1367" i="67"/>
  <c r="AQ1350" i="67"/>
  <c r="AF1232" i="67"/>
  <c r="AK1350" i="67"/>
  <c r="AH1351" i="67"/>
  <c r="AS1351" i="67"/>
  <c r="AI1350" i="67"/>
  <c r="AM1351" i="67"/>
  <c r="AB1366" i="67"/>
  <c r="AM1246" i="67"/>
  <c r="S1264" i="67"/>
  <c r="AS1265" i="67"/>
  <c r="AJ1265" i="67"/>
  <c r="X1265" i="67"/>
  <c r="AE1367" i="67"/>
  <c r="V1233" i="67"/>
  <c r="V1264" i="67"/>
  <c r="X1350" i="67"/>
  <c r="X1367" i="67"/>
  <c r="AN1350" i="67"/>
  <c r="X1366" i="67"/>
  <c r="AQ1367" i="67"/>
  <c r="AM1233" i="67"/>
  <c r="AM1367" i="67"/>
  <c r="AB1232" i="67"/>
  <c r="AL1232" i="67"/>
  <c r="AC1367" i="67"/>
  <c r="AC1247" i="67"/>
  <c r="AF1246" i="67"/>
  <c r="S1265" i="67"/>
  <c r="AH1246" i="67"/>
  <c r="AT1265" i="67"/>
  <c r="W1351" i="67"/>
  <c r="AB1350" i="67"/>
  <c r="AC1351" i="67"/>
  <c r="AI1367" i="67"/>
  <c r="AM1265" i="67"/>
  <c r="AD1264" i="67"/>
  <c r="AU1264" i="67"/>
  <c r="AC1350" i="67"/>
  <c r="AB1351" i="67"/>
  <c r="R1367" i="67"/>
  <c r="AS1367" i="67"/>
  <c r="AJ1233" i="67"/>
  <c r="AN1351" i="67"/>
  <c r="AR1366" i="67"/>
  <c r="AL1367" i="67"/>
  <c r="AG1366" i="67"/>
  <c r="AB1367" i="67"/>
  <c r="AP1233" i="67"/>
  <c r="AG1233" i="67"/>
  <c r="AV1351" i="67"/>
  <c r="R1247" i="67"/>
  <c r="AE1246" i="67"/>
  <c r="AL1247" i="67"/>
  <c r="AB1247" i="67"/>
  <c r="AD1246" i="67"/>
  <c r="W1247" i="67"/>
  <c r="AG1247" i="67"/>
  <c r="AM1264" i="67"/>
  <c r="AR1351" i="67"/>
  <c r="AO1351" i="67"/>
  <c r="AO1233" i="67"/>
  <c r="AJ1366" i="67"/>
  <c r="W1350" i="67"/>
  <c r="AO1232" i="67"/>
  <c r="AU1233" i="67"/>
  <c r="X1233" i="67"/>
  <c r="W1233" i="67"/>
  <c r="R1366" i="67"/>
  <c r="AS1366" i="67"/>
  <c r="AW1247" i="67"/>
  <c r="X1246" i="67"/>
  <c r="AE1247" i="67"/>
  <c r="AY17" i="68" s="1"/>
  <c r="X18" i="62" s="1"/>
  <c r="AG1265" i="67"/>
  <c r="AK1265" i="67"/>
  <c r="AH1264" i="67"/>
  <c r="AD1232" i="67"/>
  <c r="AI1265" i="67"/>
  <c r="AO1265" i="67"/>
  <c r="AT1351" i="67"/>
  <c r="BO9" i="36"/>
  <c r="S1350" i="67"/>
  <c r="R1351" i="67"/>
  <c r="AN1367" i="67"/>
  <c r="AP1350" i="67"/>
  <c r="AE1350" i="67"/>
  <c r="AG1350" i="67"/>
  <c r="AU1350" i="67"/>
  <c r="X1232" i="67"/>
  <c r="AT1350" i="67"/>
  <c r="AV1366" i="67"/>
  <c r="S1366" i="67"/>
  <c r="R1233" i="67"/>
  <c r="V1366" i="67"/>
  <c r="AI1366" i="67"/>
  <c r="AU1367" i="67"/>
  <c r="AL1233" i="67"/>
  <c r="AF1351" i="67"/>
  <c r="X1351" i="67"/>
  <c r="AN1366" i="67"/>
  <c r="AR1367" i="67"/>
  <c r="AS1232" i="67"/>
  <c r="AQ1247" i="67"/>
  <c r="AJ1247" i="67"/>
  <c r="AM1247" i="67"/>
  <c r="BG17" i="68" s="1"/>
  <c r="AF18" i="62" s="1"/>
  <c r="AN1247" i="67"/>
  <c r="AG1246" i="67"/>
  <c r="BA17" i="68" s="1"/>
  <c r="Z18" i="62" s="1"/>
  <c r="AN1246" i="67"/>
  <c r="BH17" i="68" s="1"/>
  <c r="AG18" i="62" s="1"/>
  <c r="AQ1246" i="67"/>
  <c r="AP1247" i="67"/>
  <c r="AV1247" i="67"/>
  <c r="AJ1246" i="67"/>
  <c r="X1264" i="67"/>
  <c r="AQ1265" i="67"/>
  <c r="AV1264" i="67"/>
  <c r="W1264" i="67"/>
  <c r="AR1265" i="67"/>
  <c r="AL1264" i="67"/>
  <c r="AI1247" i="67"/>
  <c r="AF1350" i="67"/>
  <c r="AV1367" i="67"/>
  <c r="V1351" i="67"/>
  <c r="V1367" i="67"/>
  <c r="AM1232" i="67"/>
  <c r="AM1366" i="67"/>
  <c r="AJ1264" i="67"/>
  <c r="AQ1351" i="67"/>
  <c r="V1350" i="67"/>
  <c r="AJ1351" i="67"/>
  <c r="AL1351" i="67"/>
  <c r="AK1246" i="67"/>
  <c r="S1232" i="67"/>
  <c r="AH1367" i="67"/>
  <c r="AS1233" i="67"/>
  <c r="V1232" i="67"/>
  <c r="AD1233" i="67"/>
  <c r="AD1367" i="67"/>
  <c r="AE1366" i="67"/>
  <c r="AB1233" i="67"/>
  <c r="AF1233" i="67"/>
  <c r="AU1366" i="67"/>
  <c r="AN1232" i="67"/>
  <c r="AQ1366" i="67"/>
  <c r="AP1367" i="67"/>
  <c r="AE1233" i="67"/>
  <c r="AR1233" i="67"/>
  <c r="AL1350" i="67"/>
  <c r="AC1233" i="67"/>
  <c r="AV1233" i="67"/>
  <c r="S1233" i="67"/>
  <c r="R1232" i="67"/>
  <c r="AH1232" i="67"/>
  <c r="AH1366" i="67"/>
  <c r="AV1246" i="67"/>
  <c r="AH1247" i="67"/>
  <c r="AS1247" i="67"/>
  <c r="AI1246" i="67"/>
  <c r="AU1247" i="67"/>
  <c r="AP1246" i="67"/>
  <c r="W1246" i="67"/>
  <c r="AQ17" i="68" s="1"/>
  <c r="P18" i="62" s="1"/>
  <c r="AF1247" i="67"/>
  <c r="AZ17" i="68" s="1"/>
  <c r="Y18" i="62" s="1"/>
  <c r="AU1246" i="67"/>
  <c r="BO17" i="68" s="1"/>
  <c r="AN18" i="62" s="1"/>
  <c r="AR1247" i="67"/>
  <c r="AB1246" i="67"/>
  <c r="AK1247" i="67"/>
  <c r="AK1232" i="67"/>
  <c r="AH1265" i="67"/>
  <c r="AR1264" i="67"/>
  <c r="AF1265" i="67"/>
  <c r="AQ1264" i="67"/>
  <c r="S1247" i="67"/>
  <c r="V1265" i="67"/>
  <c r="AG1351" i="67"/>
  <c r="AL1366" i="67"/>
  <c r="AK1351" i="67"/>
  <c r="AS1350" i="67"/>
  <c r="AJ1350" i="67"/>
  <c r="AM1350" i="67"/>
  <c r="AW1350" i="67"/>
  <c r="AV1350" i="67"/>
  <c r="AU1351" i="67"/>
  <c r="AR1350" i="67"/>
  <c r="AF1367" i="67"/>
  <c r="AD1350" i="67"/>
  <c r="AT1232" i="67"/>
  <c r="AO1366" i="67"/>
  <c r="AJ1367" i="67"/>
  <c r="AP1366" i="67"/>
  <c r="W1232" i="67"/>
  <c r="W1366" i="67"/>
  <c r="AE1232" i="67"/>
  <c r="AD1366" i="67"/>
  <c r="AQ1232" i="67"/>
  <c r="W1367" i="67"/>
  <c r="AT1233" i="67"/>
  <c r="AT1246" i="67"/>
  <c r="AK1264" i="67"/>
  <c r="S1246" i="67"/>
  <c r="V1246" i="67"/>
  <c r="AR1246" i="67"/>
  <c r="X1247" i="67"/>
  <c r="AL1246" i="67"/>
  <c r="AT1247" i="67"/>
  <c r="AS1246" i="67"/>
  <c r="V1247" i="67"/>
  <c r="AO1247" i="67"/>
  <c r="R1265" i="67"/>
  <c r="AO1246" i="67"/>
  <c r="AE1264" i="67"/>
  <c r="AB1264" i="67"/>
  <c r="AF1264" i="67"/>
  <c r="AP1351" i="67"/>
  <c r="AE1351" i="67"/>
  <c r="AI1351" i="67"/>
  <c r="AJ1232" i="67"/>
  <c r="AD1265" i="67"/>
  <c r="BD17" i="68"/>
  <c r="AC18" i="62" s="1"/>
  <c r="AI1383" i="67"/>
  <c r="AI1397" i="67"/>
  <c r="AI1415" i="67"/>
  <c r="AI1535" i="67"/>
  <c r="AI1551" i="67"/>
  <c r="AV1382" i="67"/>
  <c r="AV160" i="67" s="1"/>
  <c r="AV1396" i="67"/>
  <c r="AV1414" i="67"/>
  <c r="AV1534" i="67"/>
  <c r="AV1550" i="67"/>
  <c r="AT1383" i="67"/>
  <c r="AT1397" i="67"/>
  <c r="AT1415" i="67"/>
  <c r="AT1535" i="67"/>
  <c r="AT1551" i="67"/>
  <c r="V1382" i="67"/>
  <c r="V160" i="67" s="1"/>
  <c r="V1396" i="67"/>
  <c r="V1414" i="67"/>
  <c r="V1534" i="67"/>
  <c r="V1550" i="67"/>
  <c r="AJ904" i="67"/>
  <c r="AJ601" i="67"/>
  <c r="AJ753" i="67"/>
  <c r="AJ296" i="67"/>
  <c r="AJ143" i="67"/>
  <c r="AJ449" i="67"/>
  <c r="AO633" i="67"/>
  <c r="AO329" i="67"/>
  <c r="AO23" i="67"/>
  <c r="AO176" i="67"/>
  <c r="AO481" i="67"/>
  <c r="AV176" i="67"/>
  <c r="AV329" i="67"/>
  <c r="AV481" i="67"/>
  <c r="AV633" i="67"/>
  <c r="AV23" i="67"/>
  <c r="AN888" i="67"/>
  <c r="AN585" i="67"/>
  <c r="AN280" i="67"/>
  <c r="AN737" i="67"/>
  <c r="AN433" i="67"/>
  <c r="AN127" i="67"/>
  <c r="AI1382" i="67"/>
  <c r="AI160" i="67" s="1"/>
  <c r="AI1396" i="67"/>
  <c r="AI1414" i="67"/>
  <c r="AI1534" i="67"/>
  <c r="AI1550" i="67"/>
  <c r="AJ1382" i="67"/>
  <c r="AJ160" i="67" s="1"/>
  <c r="AJ1396" i="67"/>
  <c r="AJ1414" i="67"/>
  <c r="AJ1534" i="67"/>
  <c r="AJ1550" i="67"/>
  <c r="AK1382" i="67"/>
  <c r="AK160" i="67" s="1"/>
  <c r="AK1396" i="67"/>
  <c r="AK1414" i="67"/>
  <c r="AK1550" i="67"/>
  <c r="AK1534" i="67"/>
  <c r="AW1351" i="67"/>
  <c r="AO1350" i="67"/>
  <c r="AV1232" i="67"/>
  <c r="AP1232" i="67"/>
  <c r="AG1232" i="67"/>
  <c r="AU1232" i="67"/>
  <c r="S1367" i="67"/>
  <c r="AJ347" i="67"/>
  <c r="AJ499" i="67"/>
  <c r="AJ41" i="67"/>
  <c r="AJ651" i="67"/>
  <c r="AJ194" i="67"/>
  <c r="AJ802" i="67"/>
  <c r="AD1247" i="67"/>
  <c r="AX17" i="68" s="1"/>
  <c r="W18" i="62" s="1"/>
  <c r="AW1246" i="67"/>
  <c r="S329" i="67"/>
  <c r="S481" i="67"/>
  <c r="S23" i="67"/>
  <c r="S633" i="67"/>
  <c r="S176" i="67"/>
  <c r="AM347" i="67"/>
  <c r="AM651" i="67"/>
  <c r="AM802" i="67"/>
  <c r="AM499" i="67"/>
  <c r="AM41" i="67"/>
  <c r="AM194" i="67"/>
  <c r="AO888" i="67"/>
  <c r="AO737" i="67"/>
  <c r="AO433" i="67"/>
  <c r="AO127" i="67"/>
  <c r="AO280" i="67"/>
  <c r="AO585" i="67"/>
  <c r="AO619" i="67"/>
  <c r="AO770" i="67"/>
  <c r="AH329" i="67"/>
  <c r="AH633" i="67"/>
  <c r="AH481" i="67"/>
  <c r="AH23" i="67"/>
  <c r="AH176" i="67"/>
  <c r="AQ41" i="67"/>
  <c r="AQ347" i="67"/>
  <c r="AQ194" i="67"/>
  <c r="AQ651" i="67"/>
  <c r="AQ499" i="67"/>
  <c r="AQ802" i="67"/>
  <c r="AT888" i="67"/>
  <c r="AT280" i="67"/>
  <c r="AT585" i="67"/>
  <c r="AT433" i="67"/>
  <c r="AT737" i="67"/>
  <c r="AT127" i="67"/>
  <c r="AF753" i="67"/>
  <c r="AF296" i="67"/>
  <c r="AF143" i="67"/>
  <c r="AF449" i="67"/>
  <c r="AF904" i="67"/>
  <c r="AF601" i="67"/>
  <c r="AF619" i="67"/>
  <c r="AF770" i="67"/>
  <c r="AN1265" i="67"/>
  <c r="AC1264" i="67"/>
  <c r="AG1264" i="67"/>
  <c r="AB1265" i="67"/>
  <c r="AE1265" i="67"/>
  <c r="AV1265" i="67"/>
  <c r="AC888" i="67"/>
  <c r="AC127" i="67"/>
  <c r="AC585" i="67"/>
  <c r="AC280" i="67"/>
  <c r="AC433" i="67"/>
  <c r="AC737" i="67"/>
  <c r="AU449" i="67"/>
  <c r="AU904" i="67"/>
  <c r="AU601" i="67"/>
  <c r="AU296" i="67"/>
  <c r="AU143" i="67"/>
  <c r="AU753" i="67"/>
  <c r="AU619" i="67"/>
  <c r="AU770" i="67"/>
  <c r="AS481" i="67"/>
  <c r="AS176" i="67"/>
  <c r="AS329" i="67"/>
  <c r="AS633" i="67"/>
  <c r="AS23" i="67"/>
  <c r="AG651" i="67"/>
  <c r="AG802" i="67"/>
  <c r="AG41" i="67"/>
  <c r="AG347" i="67"/>
  <c r="AG194" i="67"/>
  <c r="AG499" i="67"/>
  <c r="AD127" i="67"/>
  <c r="AD433" i="67"/>
  <c r="AD585" i="67"/>
  <c r="AD280" i="67"/>
  <c r="AD888" i="67"/>
  <c r="AD737" i="67"/>
  <c r="AR651" i="67"/>
  <c r="AR41" i="67"/>
  <c r="AR802" i="67"/>
  <c r="AR194" i="67"/>
  <c r="AR347" i="67"/>
  <c r="AR499" i="67"/>
  <c r="AI585" i="67"/>
  <c r="AI280" i="67"/>
  <c r="AI737" i="67"/>
  <c r="AI433" i="67"/>
  <c r="AI888" i="67"/>
  <c r="AI127" i="67"/>
  <c r="AV449" i="67"/>
  <c r="AV296" i="67"/>
  <c r="AV143" i="67"/>
  <c r="AV601" i="67"/>
  <c r="AV753" i="67"/>
  <c r="AV904" i="67"/>
  <c r="AV619" i="67"/>
  <c r="AV770" i="67"/>
  <c r="AB329" i="67"/>
  <c r="AB23" i="67"/>
  <c r="AB633" i="67"/>
  <c r="AB176" i="67"/>
  <c r="AB481" i="67"/>
  <c r="V651" i="67"/>
  <c r="V802" i="67"/>
  <c r="V41" i="67"/>
  <c r="V347" i="67"/>
  <c r="V499" i="67"/>
  <c r="V194" i="67"/>
  <c r="AE433" i="67"/>
  <c r="AE127" i="67"/>
  <c r="AE888" i="67"/>
  <c r="AE585" i="67"/>
  <c r="AE280" i="67"/>
  <c r="AE737" i="67"/>
  <c r="AK888" i="67"/>
  <c r="AK280" i="67"/>
  <c r="AK433" i="67"/>
  <c r="AK585" i="67"/>
  <c r="AK737" i="67"/>
  <c r="AK127" i="67"/>
  <c r="AK619" i="67"/>
  <c r="AK770" i="67"/>
  <c r="W449" i="67"/>
  <c r="W296" i="67"/>
  <c r="W904" i="67"/>
  <c r="W601" i="67"/>
  <c r="W753" i="67"/>
  <c r="W143" i="67"/>
  <c r="W619" i="67"/>
  <c r="W770" i="67"/>
  <c r="AL329" i="67"/>
  <c r="AL176" i="67"/>
  <c r="AL633" i="67"/>
  <c r="AL481" i="67"/>
  <c r="AL23" i="67"/>
  <c r="AP651" i="67"/>
  <c r="AP499" i="67"/>
  <c r="AP194" i="67"/>
  <c r="AP802" i="67"/>
  <c r="AP347" i="67"/>
  <c r="AP41" i="67"/>
  <c r="R585" i="67"/>
  <c r="R433" i="67"/>
  <c r="R737" i="67"/>
  <c r="R888" i="67"/>
  <c r="R127" i="67"/>
  <c r="R280" i="67"/>
  <c r="X601" i="67"/>
  <c r="X296" i="67"/>
  <c r="X753" i="67"/>
  <c r="X143" i="67"/>
  <c r="X449" i="67"/>
  <c r="X904" i="67"/>
  <c r="X770" i="67"/>
  <c r="X619" i="67"/>
  <c r="AW481" i="67"/>
  <c r="AW23" i="67"/>
  <c r="AW329" i="67"/>
  <c r="AW176" i="67"/>
  <c r="AW633" i="67"/>
  <c r="AL1265" i="67"/>
  <c r="AN651" i="67"/>
  <c r="AN194" i="67"/>
  <c r="AN802" i="67"/>
  <c r="AN499" i="67"/>
  <c r="AN347" i="67"/>
  <c r="AN41" i="67"/>
  <c r="S585" i="67"/>
  <c r="S737" i="67"/>
  <c r="S433" i="67"/>
  <c r="S127" i="67"/>
  <c r="S888" i="67"/>
  <c r="S280" i="67"/>
  <c r="AM143" i="67"/>
  <c r="AM449" i="67"/>
  <c r="AM904" i="67"/>
  <c r="AM601" i="67"/>
  <c r="AM296" i="67"/>
  <c r="AM753" i="67"/>
  <c r="AM619" i="67"/>
  <c r="AM770" i="67"/>
  <c r="AH499" i="67"/>
  <c r="AH347" i="67"/>
  <c r="AH651" i="67"/>
  <c r="AH41" i="67"/>
  <c r="AH802" i="67"/>
  <c r="AH194" i="67"/>
  <c r="AQ433" i="67"/>
  <c r="AQ585" i="67"/>
  <c r="AQ127" i="67"/>
  <c r="AQ888" i="67"/>
  <c r="AQ737" i="67"/>
  <c r="AQ280" i="67"/>
  <c r="AT904" i="67"/>
  <c r="AT601" i="67"/>
  <c r="AT753" i="67"/>
  <c r="AT143" i="67"/>
  <c r="AT449" i="67"/>
  <c r="AT296" i="67"/>
  <c r="AT619" i="67"/>
  <c r="AT770" i="67"/>
  <c r="AF329" i="67"/>
  <c r="AF23" i="67"/>
  <c r="AF633" i="67"/>
  <c r="AF176" i="67"/>
  <c r="AF481" i="67"/>
  <c r="AC449" i="67"/>
  <c r="AC601" i="67"/>
  <c r="AC904" i="67"/>
  <c r="AC753" i="67"/>
  <c r="AC296" i="67"/>
  <c r="AC143" i="67"/>
  <c r="AC619" i="67"/>
  <c r="AC770" i="67"/>
  <c r="AU329" i="67"/>
  <c r="AU23" i="67"/>
  <c r="AU633" i="67"/>
  <c r="AU481" i="67"/>
  <c r="AU176" i="67"/>
  <c r="AS347" i="67"/>
  <c r="AS499" i="67"/>
  <c r="AS41" i="67"/>
  <c r="AS651" i="67"/>
  <c r="AS194" i="67"/>
  <c r="AS802" i="67"/>
  <c r="AG449" i="67"/>
  <c r="AG904" i="67"/>
  <c r="AG601" i="67"/>
  <c r="AG753" i="67"/>
  <c r="AG296" i="67"/>
  <c r="AG143" i="67"/>
  <c r="AD601" i="67"/>
  <c r="AD296" i="67"/>
  <c r="AD753" i="67"/>
  <c r="AD143" i="67"/>
  <c r="AD449" i="67"/>
  <c r="AD904" i="67"/>
  <c r="AD619" i="67"/>
  <c r="AD770" i="67"/>
  <c r="AR296" i="67"/>
  <c r="AR449" i="67"/>
  <c r="AR601" i="67"/>
  <c r="AR904" i="67"/>
  <c r="AR753" i="67"/>
  <c r="AR143" i="67"/>
  <c r="AI904" i="67"/>
  <c r="AI601" i="67"/>
  <c r="AI753" i="67"/>
  <c r="AI143" i="67"/>
  <c r="AI449" i="67"/>
  <c r="AI296" i="67"/>
  <c r="AI347" i="67"/>
  <c r="AI651" i="67"/>
  <c r="AI802" i="67"/>
  <c r="AI499" i="67"/>
  <c r="AI41" i="67"/>
  <c r="AI194" i="67"/>
  <c r="AB651" i="67"/>
  <c r="AB194" i="67"/>
  <c r="AB802" i="67"/>
  <c r="AB499" i="67"/>
  <c r="AB347" i="67"/>
  <c r="AB41" i="67"/>
  <c r="V585" i="67"/>
  <c r="V127" i="67"/>
  <c r="V737" i="67"/>
  <c r="V280" i="67"/>
  <c r="V433" i="67"/>
  <c r="V888" i="67"/>
  <c r="AE143" i="67"/>
  <c r="AE449" i="67"/>
  <c r="AE904" i="67"/>
  <c r="AE601" i="67"/>
  <c r="AE296" i="67"/>
  <c r="AE753" i="67"/>
  <c r="AE619" i="67"/>
  <c r="AE770" i="67"/>
  <c r="AK176" i="67"/>
  <c r="AK633" i="67"/>
  <c r="AK481" i="67"/>
  <c r="AK329" i="67"/>
  <c r="AK23" i="67"/>
  <c r="W481" i="67"/>
  <c r="W176" i="67"/>
  <c r="W329" i="67"/>
  <c r="W633" i="67"/>
  <c r="W23" i="67"/>
  <c r="AL651" i="67"/>
  <c r="AL194" i="67"/>
  <c r="AL802" i="67"/>
  <c r="AL347" i="67"/>
  <c r="AL499" i="67"/>
  <c r="AL41" i="67"/>
  <c r="AP433" i="67"/>
  <c r="AP127" i="67"/>
  <c r="AP888" i="67"/>
  <c r="AP585" i="67"/>
  <c r="AP280" i="67"/>
  <c r="AP737" i="67"/>
  <c r="R143" i="67"/>
  <c r="R296" i="67"/>
  <c r="R449" i="67"/>
  <c r="R601" i="67"/>
  <c r="R904" i="67"/>
  <c r="R753" i="67"/>
  <c r="R619" i="67"/>
  <c r="R770" i="67"/>
  <c r="X329" i="67"/>
  <c r="X176" i="67"/>
  <c r="X481" i="67"/>
  <c r="X633" i="67"/>
  <c r="X23" i="67"/>
  <c r="AW651" i="67"/>
  <c r="AW802" i="67"/>
  <c r="AW499" i="67"/>
  <c r="AW41" i="67"/>
  <c r="AW194" i="67"/>
  <c r="AW347" i="67"/>
  <c r="AJ1383" i="67"/>
  <c r="AJ1397" i="67"/>
  <c r="AJ1415" i="67"/>
  <c r="AJ1535" i="67"/>
  <c r="AJ1551" i="67"/>
  <c r="AT1366" i="67"/>
  <c r="AW1367" i="67"/>
  <c r="AR1232" i="67"/>
  <c r="AT1367" i="67"/>
  <c r="AJ329" i="67"/>
  <c r="AJ633" i="67"/>
  <c r="AJ23" i="67"/>
  <c r="AJ176" i="67"/>
  <c r="AJ481" i="67"/>
  <c r="S619" i="67"/>
  <c r="S770" i="67"/>
  <c r="AM888" i="67"/>
  <c r="AM585" i="67"/>
  <c r="AM127" i="67"/>
  <c r="AM433" i="67"/>
  <c r="AM737" i="67"/>
  <c r="AM280" i="67"/>
  <c r="AO904" i="67"/>
  <c r="AO753" i="67"/>
  <c r="AO143" i="67"/>
  <c r="AO296" i="67"/>
  <c r="AO449" i="67"/>
  <c r="AO601" i="67"/>
  <c r="AH449" i="67"/>
  <c r="AH904" i="67"/>
  <c r="AH143" i="67"/>
  <c r="AH601" i="67"/>
  <c r="AH753" i="67"/>
  <c r="AH296" i="67"/>
  <c r="AH619" i="67"/>
  <c r="AH770" i="67"/>
  <c r="AQ23" i="67"/>
  <c r="AQ329" i="67"/>
  <c r="AQ176" i="67"/>
  <c r="AQ633" i="67"/>
  <c r="AQ481" i="67"/>
  <c r="AT347" i="67"/>
  <c r="AT41" i="67"/>
  <c r="AT651" i="67"/>
  <c r="AT499" i="67"/>
  <c r="AT194" i="67"/>
  <c r="AT802" i="67"/>
  <c r="AF737" i="67"/>
  <c r="AF127" i="67"/>
  <c r="AF888" i="67"/>
  <c r="AF280" i="67"/>
  <c r="AF433" i="67"/>
  <c r="AF585" i="67"/>
  <c r="AW1265" i="67"/>
  <c r="W1265" i="67"/>
  <c r="R1264" i="67"/>
  <c r="AC651" i="67"/>
  <c r="AC499" i="67"/>
  <c r="AC802" i="67"/>
  <c r="AC41" i="67"/>
  <c r="AC194" i="67"/>
  <c r="AC347" i="67"/>
  <c r="AU499" i="67"/>
  <c r="AU41" i="67"/>
  <c r="AU651" i="67"/>
  <c r="AU194" i="67"/>
  <c r="AU347" i="67"/>
  <c r="AU802" i="67"/>
  <c r="AS433" i="67"/>
  <c r="AS585" i="67"/>
  <c r="AS888" i="67"/>
  <c r="AS737" i="67"/>
  <c r="AS127" i="67"/>
  <c r="AS280" i="67"/>
  <c r="AS619" i="67"/>
  <c r="AS770" i="67"/>
  <c r="AG176" i="67"/>
  <c r="AG329" i="67"/>
  <c r="AG633" i="67"/>
  <c r="AG481" i="67"/>
  <c r="AG23" i="67"/>
  <c r="AD651" i="67"/>
  <c r="AD347" i="67"/>
  <c r="AD802" i="67"/>
  <c r="AD499" i="67"/>
  <c r="AD41" i="67"/>
  <c r="AD194" i="67"/>
  <c r="AR633" i="67"/>
  <c r="AR23" i="67"/>
  <c r="AR176" i="67"/>
  <c r="AR329" i="67"/>
  <c r="AR481" i="67"/>
  <c r="AI619" i="67"/>
  <c r="AI770" i="67"/>
  <c r="AV433" i="67"/>
  <c r="AV888" i="67"/>
  <c r="AV737" i="67"/>
  <c r="AV127" i="67"/>
  <c r="AV280" i="67"/>
  <c r="AV585" i="67"/>
  <c r="AB296" i="67"/>
  <c r="AB449" i="67"/>
  <c r="AB601" i="67"/>
  <c r="AB143" i="67"/>
  <c r="AB904" i="67"/>
  <c r="AB753" i="67"/>
  <c r="AB619" i="67"/>
  <c r="AB770" i="67"/>
  <c r="V633" i="67"/>
  <c r="V481" i="67"/>
  <c r="V23" i="67"/>
  <c r="V329" i="67"/>
  <c r="V176" i="67"/>
  <c r="AE194" i="67"/>
  <c r="AE347" i="67"/>
  <c r="AE651" i="67"/>
  <c r="AE802" i="67"/>
  <c r="AE499" i="67"/>
  <c r="AE41" i="67"/>
  <c r="AK449" i="67"/>
  <c r="AK601" i="67"/>
  <c r="AK904" i="67"/>
  <c r="AK753" i="67"/>
  <c r="AK296" i="67"/>
  <c r="AK143" i="67"/>
  <c r="AW1232" i="67"/>
  <c r="AW1366" i="67"/>
  <c r="W433" i="67"/>
  <c r="W888" i="67"/>
  <c r="W127" i="67"/>
  <c r="W585" i="67"/>
  <c r="W280" i="67"/>
  <c r="W737" i="67"/>
  <c r="AL601" i="67"/>
  <c r="AL449" i="67"/>
  <c r="AL753" i="67"/>
  <c r="AL904" i="67"/>
  <c r="AL296" i="67"/>
  <c r="AL143" i="67"/>
  <c r="AL619" i="67"/>
  <c r="AL770" i="67"/>
  <c r="AP481" i="67"/>
  <c r="AP23" i="67"/>
  <c r="AP329" i="67"/>
  <c r="AP176" i="67"/>
  <c r="AP633" i="67"/>
  <c r="R651" i="67"/>
  <c r="R41" i="67"/>
  <c r="R802" i="67"/>
  <c r="R499" i="67"/>
  <c r="R194" i="67"/>
  <c r="R347" i="67"/>
  <c r="X888" i="67"/>
  <c r="X737" i="67"/>
  <c r="X127" i="67"/>
  <c r="X433" i="67"/>
  <c r="X280" i="67"/>
  <c r="X585" i="67"/>
  <c r="AW888" i="67"/>
  <c r="AW585" i="67"/>
  <c r="AW737" i="67"/>
  <c r="AW127" i="67"/>
  <c r="AW280" i="67"/>
  <c r="AW433" i="67"/>
  <c r="AW619" i="67"/>
  <c r="AW770" i="67"/>
  <c r="AI1264" i="67"/>
  <c r="AU1265" i="67"/>
  <c r="AP1264" i="67"/>
  <c r="AN329" i="67"/>
  <c r="AN481" i="67"/>
  <c r="AN176" i="67"/>
  <c r="AN633" i="67"/>
  <c r="AN23" i="67"/>
  <c r="AV1383" i="67"/>
  <c r="AV1397" i="67"/>
  <c r="AV1415" i="67"/>
  <c r="AV1535" i="67"/>
  <c r="AV1551" i="67"/>
  <c r="AE1396" i="67"/>
  <c r="AE1414" i="67"/>
  <c r="AE1382" i="67"/>
  <c r="AE160" i="67" s="1"/>
  <c r="AE1534" i="67"/>
  <c r="AE1550" i="67"/>
  <c r="AW1233" i="67"/>
  <c r="AK1366" i="67"/>
  <c r="AI1232" i="67"/>
  <c r="AN1233" i="67"/>
  <c r="AC1232" i="67"/>
  <c r="AG1367" i="67"/>
  <c r="AK1367" i="67"/>
  <c r="AJ433" i="67"/>
  <c r="AJ585" i="67"/>
  <c r="AJ280" i="67"/>
  <c r="AJ888" i="67"/>
  <c r="AJ737" i="67"/>
  <c r="AJ127" i="67"/>
  <c r="AJ619" i="67"/>
  <c r="AJ770" i="67"/>
  <c r="AO1264" i="67"/>
  <c r="AC1246" i="67"/>
  <c r="AW17" i="68" s="1"/>
  <c r="V18" i="62" s="1"/>
  <c r="R1246" i="67"/>
  <c r="AL17" i="68" s="1"/>
  <c r="K18" i="62" s="1"/>
  <c r="S904" i="67"/>
  <c r="S296" i="67"/>
  <c r="S601" i="67"/>
  <c r="S143" i="67"/>
  <c r="S449" i="67"/>
  <c r="S753" i="67"/>
  <c r="S347" i="67"/>
  <c r="S651" i="67"/>
  <c r="S499" i="67"/>
  <c r="S41" i="67"/>
  <c r="S802" i="67"/>
  <c r="S194" i="67"/>
  <c r="AM329" i="67"/>
  <c r="AM633" i="67"/>
  <c r="AM481" i="67"/>
  <c r="AM23" i="67"/>
  <c r="AM176" i="67"/>
  <c r="AO194" i="67"/>
  <c r="AO651" i="67"/>
  <c r="AO347" i="67"/>
  <c r="AO802" i="67"/>
  <c r="AO499" i="67"/>
  <c r="AO41" i="67"/>
  <c r="AH585" i="67"/>
  <c r="AH433" i="67"/>
  <c r="AH737" i="67"/>
  <c r="AH888" i="67"/>
  <c r="AH127" i="67"/>
  <c r="AH280" i="67"/>
  <c r="AQ601" i="67"/>
  <c r="AQ753" i="67"/>
  <c r="AQ296" i="67"/>
  <c r="AQ449" i="67"/>
  <c r="AQ904" i="67"/>
  <c r="AQ143" i="67"/>
  <c r="AQ619" i="67"/>
  <c r="AQ770" i="67"/>
  <c r="AT481" i="67"/>
  <c r="AT23" i="67"/>
  <c r="AT329" i="67"/>
  <c r="AT176" i="67"/>
  <c r="AT633" i="67"/>
  <c r="AF802" i="67"/>
  <c r="AF41" i="67"/>
  <c r="AF194" i="67"/>
  <c r="AF347" i="67"/>
  <c r="AF651" i="67"/>
  <c r="AF499" i="67"/>
  <c r="AT1264" i="67"/>
  <c r="AN1264" i="67"/>
  <c r="AP1265" i="67"/>
  <c r="AC176" i="67"/>
  <c r="AC481" i="67"/>
  <c r="AC329" i="67"/>
  <c r="AC633" i="67"/>
  <c r="AC23" i="67"/>
  <c r="AU585" i="67"/>
  <c r="AU433" i="67"/>
  <c r="AU737" i="67"/>
  <c r="AU127" i="67"/>
  <c r="AU888" i="67"/>
  <c r="AU280" i="67"/>
  <c r="AS143" i="67"/>
  <c r="AS449" i="67"/>
  <c r="AS601" i="67"/>
  <c r="AS296" i="67"/>
  <c r="AS904" i="67"/>
  <c r="AS753" i="67"/>
  <c r="AG433" i="67"/>
  <c r="AG127" i="67"/>
  <c r="AG888" i="67"/>
  <c r="AG585" i="67"/>
  <c r="AG280" i="67"/>
  <c r="AG737" i="67"/>
  <c r="AG619" i="67"/>
  <c r="AG770" i="67"/>
  <c r="AD633" i="67"/>
  <c r="AD23" i="67"/>
  <c r="AD481" i="67"/>
  <c r="AD176" i="67"/>
  <c r="AD329" i="67"/>
  <c r="AR433" i="67"/>
  <c r="AR585" i="67"/>
  <c r="AR127" i="67"/>
  <c r="AR888" i="67"/>
  <c r="AR737" i="67"/>
  <c r="AR280" i="67"/>
  <c r="AR619" i="67"/>
  <c r="AR770" i="67"/>
  <c r="AI633" i="67"/>
  <c r="AI176" i="67"/>
  <c r="AI481" i="67"/>
  <c r="AI329" i="67"/>
  <c r="AI23" i="67"/>
  <c r="AV802" i="67"/>
  <c r="AV499" i="67"/>
  <c r="AV194" i="67"/>
  <c r="AV347" i="67"/>
  <c r="AV651" i="67"/>
  <c r="AV41" i="67"/>
  <c r="AB585" i="67"/>
  <c r="AB737" i="67"/>
  <c r="AB127" i="67"/>
  <c r="AB433" i="67"/>
  <c r="AB280" i="67"/>
  <c r="AB888" i="67"/>
  <c r="V449" i="67"/>
  <c r="V904" i="67"/>
  <c r="V143" i="67"/>
  <c r="V601" i="67"/>
  <c r="V753" i="67"/>
  <c r="V296" i="67"/>
  <c r="V619" i="67"/>
  <c r="V770" i="67"/>
  <c r="AE329" i="67"/>
  <c r="AE633" i="67"/>
  <c r="AE23" i="67"/>
  <c r="AE481" i="67"/>
  <c r="AE176" i="67"/>
  <c r="AK499" i="67"/>
  <c r="AK194" i="67"/>
  <c r="AK651" i="67"/>
  <c r="AK347" i="67"/>
  <c r="AK802" i="67"/>
  <c r="AK41" i="67"/>
  <c r="AI1233" i="67"/>
  <c r="W347" i="67"/>
  <c r="W651" i="67"/>
  <c r="W194" i="67"/>
  <c r="W802" i="67"/>
  <c r="W499" i="67"/>
  <c r="W41" i="67"/>
  <c r="AL585" i="67"/>
  <c r="AL737" i="67"/>
  <c r="AL127" i="67"/>
  <c r="AL433" i="67"/>
  <c r="AL280" i="67"/>
  <c r="AL888" i="67"/>
  <c r="AP296" i="67"/>
  <c r="AP143" i="67"/>
  <c r="AP449" i="67"/>
  <c r="AP601" i="67"/>
  <c r="AP904" i="67"/>
  <c r="AP753" i="67"/>
  <c r="AP619" i="67"/>
  <c r="AP770" i="67"/>
  <c r="R633" i="67"/>
  <c r="R481" i="67"/>
  <c r="R23" i="67"/>
  <c r="R176" i="67"/>
  <c r="R329" i="67"/>
  <c r="X347" i="67"/>
  <c r="X499" i="67"/>
  <c r="X651" i="67"/>
  <c r="X41" i="67"/>
  <c r="X802" i="67"/>
  <c r="X194" i="67"/>
  <c r="AW904" i="67"/>
  <c r="AW143" i="67"/>
  <c r="AW601" i="67"/>
  <c r="AW449" i="67"/>
  <c r="AW753" i="67"/>
  <c r="AW296" i="67"/>
  <c r="AW1264" i="67"/>
  <c r="AN449" i="67"/>
  <c r="AN904" i="67"/>
  <c r="AN296" i="67"/>
  <c r="AN601" i="67"/>
  <c r="AN753" i="67"/>
  <c r="AN143" i="67"/>
  <c r="AN619" i="67"/>
  <c r="AN770" i="67"/>
  <c r="AO9" i="36"/>
  <c r="BD9" i="36"/>
  <c r="BM8" i="36"/>
  <c r="AX9" i="36"/>
  <c r="AU9" i="36"/>
  <c r="AU8" i="36"/>
  <c r="BI8" i="36"/>
  <c r="BI9" i="36"/>
  <c r="AQ8" i="36"/>
  <c r="AQ9" i="36"/>
  <c r="BL9" i="36"/>
  <c r="BL8" i="36"/>
  <c r="AV9" i="36"/>
  <c r="AV8" i="36"/>
  <c r="BA8" i="36"/>
  <c r="BA9" i="36"/>
  <c r="AW8" i="36"/>
  <c r="AW9" i="36"/>
  <c r="BF8" i="36"/>
  <c r="BF9" i="36"/>
  <c r="BE9" i="36"/>
  <c r="BE8" i="36"/>
  <c r="AL8" i="36"/>
  <c r="AL9" i="36"/>
  <c r="AP8" i="36"/>
  <c r="AP9" i="36"/>
  <c r="BP9" i="36"/>
  <c r="BP8" i="36"/>
  <c r="BJ8" i="36"/>
  <c r="BJ9" i="36"/>
  <c r="AZ9" i="36"/>
  <c r="AZ8" i="36"/>
  <c r="AK9" i="36"/>
  <c r="AK8" i="36"/>
  <c r="BH9" i="36"/>
  <c r="BH8" i="36"/>
  <c r="BN8" i="36"/>
  <c r="BN9" i="36"/>
  <c r="BK9" i="36"/>
  <c r="BK8" i="36"/>
  <c r="AY8" i="36"/>
  <c r="AY9" i="36"/>
  <c r="BG8" i="36"/>
  <c r="BG9" i="36"/>
  <c r="AE13" i="55"/>
  <c r="Y13" i="55"/>
  <c r="X13" i="55"/>
  <c r="V13" i="55"/>
  <c r="AO7" i="55"/>
  <c r="AQ7" i="55"/>
  <c r="AF7" i="55"/>
  <c r="AV7" i="55"/>
  <c r="AC7" i="55"/>
  <c r="AS7" i="55"/>
  <c r="AT7" i="55"/>
  <c r="AZ7" i="55"/>
  <c r="AM7" i="55"/>
  <c r="AB7" i="55"/>
  <c r="AR7" i="55"/>
  <c r="V7" i="55"/>
  <c r="AH7" i="55"/>
  <c r="AX7" i="55"/>
  <c r="AA7" i="55"/>
  <c r="AL7" i="55"/>
  <c r="AE7" i="55"/>
  <c r="AU7" i="55"/>
  <c r="X7" i="55"/>
  <c r="AJ7" i="55"/>
  <c r="AG7" i="55"/>
  <c r="AW7" i="55"/>
  <c r="AD7" i="55"/>
  <c r="Z7" i="55"/>
  <c r="AP7" i="55"/>
  <c r="W7" i="55"/>
  <c r="AI7" i="55"/>
  <c r="AY7" i="55"/>
  <c r="AN7" i="55"/>
  <c r="Y7" i="55"/>
  <c r="AK7" i="55"/>
  <c r="BA7" i="55"/>
  <c r="AH38" i="55"/>
  <c r="AX38" i="55"/>
  <c r="AA38" i="55"/>
  <c r="AQ38" i="55"/>
  <c r="X38" i="55"/>
  <c r="AN38" i="55"/>
  <c r="Y38" i="55"/>
  <c r="AO38" i="55"/>
  <c r="V38" i="55"/>
  <c r="AL38" i="55"/>
  <c r="AZ38" i="55"/>
  <c r="AE38" i="55"/>
  <c r="AU38" i="55"/>
  <c r="AB38" i="55"/>
  <c r="AR38" i="55"/>
  <c r="AC38" i="55"/>
  <c r="AS38" i="55"/>
  <c r="Z38" i="55"/>
  <c r="AP38" i="55"/>
  <c r="AI38" i="55"/>
  <c r="AY38" i="55"/>
  <c r="AF38" i="55"/>
  <c r="AV38" i="55"/>
  <c r="AG38" i="55"/>
  <c r="AW38" i="55"/>
  <c r="AD38" i="55"/>
  <c r="AT38" i="55"/>
  <c r="W38" i="55"/>
  <c r="AM38" i="55"/>
  <c r="AJ38" i="55"/>
  <c r="AK38" i="55"/>
  <c r="BA38" i="55"/>
  <c r="Z19" i="55"/>
  <c r="AE19" i="55"/>
  <c r="AM19" i="55"/>
  <c r="AU19" i="55"/>
  <c r="X19" i="55"/>
  <c r="AG19" i="55"/>
  <c r="AO19" i="55"/>
  <c r="AW19" i="55"/>
  <c r="AD19" i="55"/>
  <c r="AT19" i="55"/>
  <c r="AZ19" i="55"/>
  <c r="AF19" i="55"/>
  <c r="AN19" i="55"/>
  <c r="AV19" i="55"/>
  <c r="AA19" i="55"/>
  <c r="AI19" i="55"/>
  <c r="AQ19" i="55"/>
  <c r="AY19" i="55"/>
  <c r="AC19" i="55"/>
  <c r="AK19" i="55"/>
  <c r="AS19" i="55"/>
  <c r="BA19" i="55"/>
  <c r="AP19" i="55"/>
  <c r="AX19" i="55"/>
  <c r="W19" i="55"/>
  <c r="AB19" i="55"/>
  <c r="AJ19" i="55"/>
  <c r="AR19" i="55"/>
  <c r="Y19" i="55"/>
  <c r="AL25" i="55"/>
  <c r="AR25" i="55"/>
  <c r="AL19" i="55"/>
  <c r="AA25" i="55"/>
  <c r="AI25" i="55"/>
  <c r="AQ25" i="55"/>
  <c r="AY25" i="55"/>
  <c r="X25" i="55"/>
  <c r="AD25" i="55"/>
  <c r="AT25" i="55"/>
  <c r="AB25" i="55"/>
  <c r="AJ25" i="55"/>
  <c r="AG25" i="55"/>
  <c r="AW25" i="55"/>
  <c r="Z25" i="55"/>
  <c r="AH25" i="55"/>
  <c r="AP25" i="55"/>
  <c r="AX25" i="55"/>
  <c r="AZ25" i="55"/>
  <c r="W25" i="55"/>
  <c r="AF25" i="55"/>
  <c r="AN25" i="55"/>
  <c r="AV25" i="55"/>
  <c r="AC25" i="55"/>
  <c r="AK25" i="55"/>
  <c r="AS25" i="55"/>
  <c r="BA25" i="55"/>
  <c r="AO25" i="55"/>
  <c r="V25" i="55"/>
  <c r="AH19" i="55"/>
  <c r="AE25" i="55"/>
  <c r="AM25" i="55"/>
  <c r="AU25" i="55"/>
  <c r="Y25" i="55"/>
  <c r="AF26" i="50"/>
  <c r="AN26" i="50"/>
  <c r="AR30" i="50"/>
  <c r="BD26" i="50"/>
  <c r="AF35" i="50"/>
  <c r="AF7" i="50"/>
  <c r="AJ26" i="50"/>
  <c r="AN30" i="50"/>
  <c r="AR26" i="50"/>
  <c r="AV30" i="50"/>
  <c r="AZ26" i="50"/>
  <c r="BD30" i="50"/>
  <c r="BH26" i="50"/>
  <c r="AO35" i="50"/>
  <c r="AO7" i="50"/>
  <c r="AW35" i="50"/>
  <c r="AW7" i="50"/>
  <c r="BE35" i="50"/>
  <c r="BE7" i="50"/>
  <c r="AH7" i="50"/>
  <c r="AL30" i="50"/>
  <c r="AL26" i="50"/>
  <c r="AT30" i="50"/>
  <c r="AT26" i="50"/>
  <c r="BB30" i="50"/>
  <c r="BB26" i="50"/>
  <c r="AI35" i="50"/>
  <c r="AQ30" i="50"/>
  <c r="AQ7" i="50"/>
  <c r="AY30" i="50"/>
  <c r="AY7" i="50"/>
  <c r="BG30" i="50"/>
  <c r="BG7" i="50"/>
  <c r="AN7" i="50"/>
  <c r="AV35" i="50"/>
  <c r="AV7" i="50"/>
  <c r="BD35" i="50"/>
  <c r="BD7" i="50"/>
  <c r="BJ7" i="50"/>
  <c r="AG26" i="50"/>
  <c r="AK30" i="50"/>
  <c r="AO26" i="50"/>
  <c r="AS30" i="50"/>
  <c r="AW26" i="50"/>
  <c r="BA30" i="50"/>
  <c r="BE26" i="50"/>
  <c r="BI30" i="50"/>
  <c r="AH30" i="50"/>
  <c r="AL35" i="50"/>
  <c r="AP7" i="50"/>
  <c r="AT35" i="50"/>
  <c r="AX7" i="50"/>
  <c r="BB35" i="50"/>
  <c r="BF7" i="50"/>
  <c r="AI26" i="50"/>
  <c r="AQ35" i="50"/>
  <c r="AQ26" i="50"/>
  <c r="AY35" i="50"/>
  <c r="AY26" i="50"/>
  <c r="BG35" i="50"/>
  <c r="BG26" i="50"/>
  <c r="AZ30" i="50"/>
  <c r="BJ30" i="50"/>
  <c r="BJ26" i="50"/>
  <c r="AG30" i="50"/>
  <c r="AK35" i="50"/>
  <c r="AK7" i="50"/>
  <c r="AS35" i="50"/>
  <c r="AS7" i="50"/>
  <c r="BA35" i="50"/>
  <c r="BA7" i="50"/>
  <c r="BI35" i="50"/>
  <c r="BI7" i="50"/>
  <c r="AH35" i="50"/>
  <c r="AH26" i="50"/>
  <c r="AP30" i="50"/>
  <c r="AP26" i="50"/>
  <c r="AX30" i="50"/>
  <c r="AX26" i="50"/>
  <c r="BF30" i="50"/>
  <c r="BF26" i="50"/>
  <c r="AM30" i="50"/>
  <c r="AM7" i="50"/>
  <c r="AU30" i="50"/>
  <c r="AU7" i="50"/>
  <c r="BC30" i="50"/>
  <c r="BC7" i="50"/>
  <c r="BK30" i="50"/>
  <c r="BK7" i="50"/>
  <c r="AN35" i="50"/>
  <c r="AJ30" i="50"/>
  <c r="AV26" i="50"/>
  <c r="BH30" i="50"/>
  <c r="AF30" i="50"/>
  <c r="AJ35" i="50"/>
  <c r="AJ7" i="50"/>
  <c r="AR35" i="50"/>
  <c r="AR7" i="50"/>
  <c r="AZ35" i="50"/>
  <c r="AZ7" i="50"/>
  <c r="BH35" i="50"/>
  <c r="BH7" i="50"/>
  <c r="BJ35" i="50"/>
  <c r="AG35" i="50"/>
  <c r="AG7" i="50"/>
  <c r="AK26" i="50"/>
  <c r="AO30" i="50"/>
  <c r="AS26" i="50"/>
  <c r="AW30" i="50"/>
  <c r="BA26" i="50"/>
  <c r="BE30" i="50"/>
  <c r="BI26" i="50"/>
  <c r="AL7" i="50"/>
  <c r="AP35" i="50"/>
  <c r="AT7" i="50"/>
  <c r="AX35" i="50"/>
  <c r="BB7" i="50"/>
  <c r="BF35" i="50"/>
  <c r="AI30" i="50"/>
  <c r="AI7" i="50"/>
  <c r="AM35" i="50"/>
  <c r="AM26" i="50"/>
  <c r="AU35" i="50"/>
  <c r="AU26" i="50"/>
  <c r="BC35" i="50"/>
  <c r="BC26" i="50"/>
  <c r="BK35" i="50"/>
  <c r="BK26" i="50"/>
  <c r="AR17" i="68" l="1"/>
  <c r="Q18" i="62" s="1"/>
  <c r="BB17" i="68"/>
  <c r="AA18" i="62" s="1"/>
  <c r="BJ17" i="68"/>
  <c r="AI18" i="62" s="1"/>
  <c r="BI17" i="68"/>
  <c r="AH18" i="62" s="1"/>
  <c r="AV17" i="68"/>
  <c r="U18" i="62" s="1"/>
  <c r="BP17" i="68"/>
  <c r="AO18" i="62" s="1"/>
  <c r="BC17" i="68"/>
  <c r="AB18" i="62" s="1"/>
  <c r="BK17" i="68"/>
  <c r="AJ18" i="62" s="1"/>
  <c r="AP17" i="68"/>
  <c r="O18" i="62" s="1"/>
  <c r="BM17" i="68"/>
  <c r="AL18" i="62" s="1"/>
  <c r="BL17" i="68"/>
  <c r="AK18" i="62" s="1"/>
  <c r="BF17" i="68"/>
  <c r="AE18" i="62" s="1"/>
  <c r="BE17" i="68"/>
  <c r="AD18" i="62" s="1"/>
  <c r="AM17" i="68"/>
  <c r="L18" i="62" s="1"/>
  <c r="BN17" i="68"/>
  <c r="AM18" i="62" s="1"/>
  <c r="AN1383" i="67"/>
  <c r="AN1397" i="67"/>
  <c r="AN1415" i="67"/>
  <c r="AN1535" i="67"/>
  <c r="AN1551" i="67"/>
  <c r="AR1382" i="67"/>
  <c r="AR160" i="67" s="1"/>
  <c r="AR1396" i="67"/>
  <c r="AR1414" i="67"/>
  <c r="AR1534" i="67"/>
  <c r="AR1550" i="67"/>
  <c r="AO1382" i="67"/>
  <c r="AO160" i="67" s="1"/>
  <c r="AO1396" i="67"/>
  <c r="AO1414" i="67"/>
  <c r="AO1534" i="67"/>
  <c r="AO1550" i="67"/>
  <c r="AG1382" i="67"/>
  <c r="AG160" i="67" s="1"/>
  <c r="AG1396" i="67"/>
  <c r="AG1414" i="67"/>
  <c r="AG1550" i="67"/>
  <c r="AG1534" i="67"/>
  <c r="AW1382" i="67"/>
  <c r="AW160" i="67" s="1"/>
  <c r="AW1396" i="67"/>
  <c r="AW1414" i="67"/>
  <c r="AW1550" i="67"/>
  <c r="AW1534" i="67"/>
  <c r="S1383" i="67"/>
  <c r="S1397" i="67"/>
  <c r="S1415" i="67"/>
  <c r="S1535" i="67"/>
  <c r="S1551" i="67"/>
  <c r="AM1383" i="67"/>
  <c r="AM1397" i="67"/>
  <c r="AM1415" i="67"/>
  <c r="AM1551" i="67"/>
  <c r="AM1535" i="67"/>
  <c r="AH1383" i="67"/>
  <c r="AH1415" i="67"/>
  <c r="AH1397" i="67"/>
  <c r="AH1535" i="67"/>
  <c r="AH1551" i="67"/>
  <c r="AS1382" i="67"/>
  <c r="AS160" i="67" s="1"/>
  <c r="AS1396" i="67"/>
  <c r="AS1414" i="67"/>
  <c r="AS1550" i="67"/>
  <c r="AS1534" i="67"/>
  <c r="AP1383" i="67"/>
  <c r="AP1415" i="67"/>
  <c r="AP1397" i="67"/>
  <c r="AP1535" i="67"/>
  <c r="AP1551" i="67"/>
  <c r="AE1383" i="67"/>
  <c r="AE1397" i="67"/>
  <c r="AE1415" i="67"/>
  <c r="AE1551" i="67"/>
  <c r="AE1535" i="67"/>
  <c r="BQ17" i="68"/>
  <c r="AP18" i="62" s="1"/>
  <c r="AN1382" i="67"/>
  <c r="AN160" i="67" s="1"/>
  <c r="AN1396" i="67"/>
  <c r="AN1414" i="67"/>
  <c r="AN1534" i="67"/>
  <c r="AN1550" i="67"/>
  <c r="AR1383" i="67"/>
  <c r="AR1397" i="67"/>
  <c r="AR1415" i="67"/>
  <c r="AR1535" i="67"/>
  <c r="AR1551" i="67"/>
  <c r="AO1397" i="67"/>
  <c r="AO1383" i="67"/>
  <c r="AO1415" i="67"/>
  <c r="AO1535" i="67"/>
  <c r="AO1551" i="67"/>
  <c r="AG1397" i="67"/>
  <c r="AG1383" i="67"/>
  <c r="AG1415" i="67"/>
  <c r="AG1535" i="67"/>
  <c r="AG1551" i="67"/>
  <c r="AW1383" i="67"/>
  <c r="AW1397" i="67"/>
  <c r="AW1415" i="67"/>
  <c r="AW1535" i="67"/>
  <c r="AW1551" i="67"/>
  <c r="S1382" i="67"/>
  <c r="S160" i="67" s="1"/>
  <c r="S1396" i="67"/>
  <c r="S1534" i="67"/>
  <c r="S1414" i="67"/>
  <c r="S1550" i="67"/>
  <c r="AM1382" i="67"/>
  <c r="AM160" i="67" s="1"/>
  <c r="AM1414" i="67"/>
  <c r="AM1534" i="67"/>
  <c r="AM1396" i="67"/>
  <c r="AM1550" i="67"/>
  <c r="AH1382" i="67"/>
  <c r="AH160" i="67" s="1"/>
  <c r="AH1396" i="67"/>
  <c r="AH1414" i="67"/>
  <c r="AH1534" i="67"/>
  <c r="AH1550" i="67"/>
  <c r="AS1383" i="67"/>
  <c r="AS1535" i="67"/>
  <c r="AS1415" i="67"/>
  <c r="AS1551" i="67"/>
  <c r="AS1397" i="67"/>
  <c r="AP1382" i="67"/>
  <c r="AP160" i="67" s="1"/>
  <c r="AP1396" i="67"/>
  <c r="AP1414" i="67"/>
  <c r="AP1534" i="67"/>
  <c r="AP1550" i="67"/>
  <c r="AT1382" i="67"/>
  <c r="AT160" i="67" s="1"/>
  <c r="AT1396" i="67"/>
  <c r="AT1414" i="67"/>
  <c r="AT1534" i="67"/>
  <c r="AT1550" i="67"/>
  <c r="AJ161" i="67"/>
  <c r="AJ8" i="67"/>
  <c r="AT161" i="67"/>
  <c r="AT8" i="67"/>
  <c r="AF1383" i="67"/>
  <c r="AF1397" i="67"/>
  <c r="AF1415" i="67"/>
  <c r="AF1535" i="67"/>
  <c r="AF1551" i="67"/>
  <c r="R1382" i="67"/>
  <c r="R160" i="67" s="1"/>
  <c r="R1396" i="67"/>
  <c r="R1414" i="67"/>
  <c r="R1534" i="67"/>
  <c r="R1550" i="67"/>
  <c r="AQ1383" i="67"/>
  <c r="AQ1415" i="67"/>
  <c r="AQ1397" i="67"/>
  <c r="AQ1551" i="67"/>
  <c r="AQ1535" i="67"/>
  <c r="AL1382" i="67"/>
  <c r="AL160" i="67" s="1"/>
  <c r="AL1396" i="67"/>
  <c r="AL1414" i="67"/>
  <c r="AL1534" i="67"/>
  <c r="AL1550" i="67"/>
  <c r="AC1382" i="67"/>
  <c r="AC160" i="67" s="1"/>
  <c r="AC1396" i="67"/>
  <c r="AC1414" i="67"/>
  <c r="AC1550" i="67"/>
  <c r="AC1534" i="67"/>
  <c r="AB1382" i="67"/>
  <c r="AB160" i="67" s="1"/>
  <c r="AB1396" i="67"/>
  <c r="AB1414" i="67"/>
  <c r="AB1534" i="67"/>
  <c r="AB1550" i="67"/>
  <c r="AU1383" i="67"/>
  <c r="AU1397" i="67"/>
  <c r="AU1415" i="67"/>
  <c r="AU1551" i="67"/>
  <c r="AU1535" i="67"/>
  <c r="W1383" i="67"/>
  <c r="W1397" i="67"/>
  <c r="W1415" i="67"/>
  <c r="W1551" i="67"/>
  <c r="W1535" i="67"/>
  <c r="AD1383" i="67"/>
  <c r="AD1415" i="67"/>
  <c r="AD1397" i="67"/>
  <c r="AD1535" i="67"/>
  <c r="AD1551" i="67"/>
  <c r="X1383" i="67"/>
  <c r="X1397" i="67"/>
  <c r="X1415" i="67"/>
  <c r="X1535" i="67"/>
  <c r="X1551" i="67"/>
  <c r="AK1383" i="67"/>
  <c r="AK1397" i="67"/>
  <c r="AK1415" i="67"/>
  <c r="AK1535" i="67"/>
  <c r="AK1551" i="67"/>
  <c r="AF1382" i="67"/>
  <c r="AF160" i="67" s="1"/>
  <c r="AF1396" i="67"/>
  <c r="AF1414" i="67"/>
  <c r="AF1534" i="67"/>
  <c r="AF1550" i="67"/>
  <c r="AU1396" i="67"/>
  <c r="AU1414" i="67"/>
  <c r="AU1382" i="67"/>
  <c r="AU160" i="67" s="1"/>
  <c r="AU1534" i="67"/>
  <c r="AU1550" i="67"/>
  <c r="R1383" i="67"/>
  <c r="R1397" i="67"/>
  <c r="R1415" i="67"/>
  <c r="R1535" i="67"/>
  <c r="R1551" i="67"/>
  <c r="AQ1396" i="67"/>
  <c r="AQ1382" i="67"/>
  <c r="AQ160" i="67" s="1"/>
  <c r="AQ1414" i="67"/>
  <c r="AQ1534" i="67"/>
  <c r="AQ1550" i="67"/>
  <c r="W1382" i="67"/>
  <c r="W160" i="67" s="1"/>
  <c r="W1414" i="67"/>
  <c r="W1396" i="67"/>
  <c r="W1534" i="67"/>
  <c r="W1550" i="67"/>
  <c r="AL1383" i="67"/>
  <c r="AL1415" i="67"/>
  <c r="AL1397" i="67"/>
  <c r="AL1535" i="67"/>
  <c r="AL1551" i="67"/>
  <c r="AD1382" i="67"/>
  <c r="AD160" i="67" s="1"/>
  <c r="AD1396" i="67"/>
  <c r="AD1414" i="67"/>
  <c r="AD1534" i="67"/>
  <c r="AD1550" i="67"/>
  <c r="AC1383" i="67"/>
  <c r="AC1397" i="67"/>
  <c r="AC1415" i="67"/>
  <c r="AC1535" i="67"/>
  <c r="AC1551" i="67"/>
  <c r="X1382" i="67"/>
  <c r="X160" i="67" s="1"/>
  <c r="X1396" i="67"/>
  <c r="X1414" i="67"/>
  <c r="X1534" i="67"/>
  <c r="X1550" i="67"/>
  <c r="AB1383" i="67"/>
  <c r="AB1397" i="67"/>
  <c r="AB1415" i="67"/>
  <c r="AB1535" i="67"/>
  <c r="AB1551" i="67"/>
  <c r="V1383" i="67"/>
  <c r="V1397" i="67"/>
  <c r="V1415" i="67"/>
  <c r="V1535" i="67"/>
  <c r="V1551" i="67"/>
  <c r="AV8" i="67"/>
  <c r="AV161" i="67"/>
  <c r="AI8" i="67"/>
  <c r="AI161" i="67"/>
  <c r="B52" i="45"/>
  <c r="B49" i="45"/>
  <c r="B43" i="45"/>
  <c r="B65" i="45" s="1"/>
  <c r="E194" i="33"/>
  <c r="E82" i="36"/>
  <c r="C83" i="36"/>
  <c r="C84" i="36" s="1"/>
  <c r="C85" i="36" s="1"/>
  <c r="E85" i="36" s="1"/>
  <c r="C172" i="34"/>
  <c r="C173" i="34" s="1"/>
  <c r="C174" i="34" s="1"/>
  <c r="C175" i="34" s="1"/>
  <c r="C176" i="34" s="1"/>
  <c r="C177" i="34" s="1"/>
  <c r="C178" i="34" s="1"/>
  <c r="C179" i="34" s="1"/>
  <c r="C180" i="34" s="1"/>
  <c r="C181" i="34" s="1"/>
  <c r="C182" i="34" s="1"/>
  <c r="C183" i="34" s="1"/>
  <c r="C184" i="34" s="1"/>
  <c r="C185" i="34" s="1"/>
  <c r="C186" i="34" s="1"/>
  <c r="C187" i="34" s="1"/>
  <c r="F204" i="33"/>
  <c r="F205" i="33" s="1"/>
  <c r="F206" i="33" s="1"/>
  <c r="F207" i="33" s="1"/>
  <c r="F208" i="33" s="1"/>
  <c r="F209" i="33" s="1"/>
  <c r="F210" i="33" s="1"/>
  <c r="F211" i="33" s="1"/>
  <c r="F212" i="33" s="1"/>
  <c r="F213" i="33" s="1"/>
  <c r="F214" i="33" s="1"/>
  <c r="F215" i="33" s="1"/>
  <c r="F216" i="33" s="1"/>
  <c r="F217" i="33" s="1"/>
  <c r="F218" i="33" s="1"/>
  <c r="F219" i="33" s="1"/>
  <c r="F220" i="33" s="1"/>
  <c r="F221" i="33" s="1"/>
  <c r="E204" i="33"/>
  <c r="C205" i="33"/>
  <c r="E205" i="33" s="1"/>
  <c r="E203" i="33"/>
  <c r="A203" i="33"/>
  <c r="A204" i="33" s="1"/>
  <c r="A205" i="33" s="1"/>
  <c r="A206" i="33" s="1"/>
  <c r="A207" i="33" s="1"/>
  <c r="A208" i="33" s="1"/>
  <c r="A209" i="33" s="1"/>
  <c r="A210" i="33" s="1"/>
  <c r="A211" i="33" s="1"/>
  <c r="A212" i="33" s="1"/>
  <c r="A213" i="33" s="1"/>
  <c r="A214" i="33" s="1"/>
  <c r="A215" i="33" s="1"/>
  <c r="A216" i="33" s="1"/>
  <c r="A217" i="33" s="1"/>
  <c r="A218" i="33" s="1"/>
  <c r="A219" i="33" s="1"/>
  <c r="A220" i="33" s="1"/>
  <c r="A221" i="33" s="1"/>
  <c r="B203" i="33"/>
  <c r="B204" i="33" s="1"/>
  <c r="B205" i="33" s="1"/>
  <c r="B206" i="33" s="1"/>
  <c r="B207" i="33" s="1"/>
  <c r="B208" i="33" s="1"/>
  <c r="B209" i="33" s="1"/>
  <c r="B210" i="33" s="1"/>
  <c r="B211" i="33" s="1"/>
  <c r="B212" i="33" s="1"/>
  <c r="B213" i="33" s="1"/>
  <c r="B214" i="33" s="1"/>
  <c r="B215" i="33" s="1"/>
  <c r="B216" i="33" s="1"/>
  <c r="B217" i="33" s="1"/>
  <c r="B218" i="33" s="1"/>
  <c r="B219" i="33" s="1"/>
  <c r="B220" i="33" s="1"/>
  <c r="B221" i="33" s="1"/>
  <c r="C156" i="34"/>
  <c r="C157" i="34" s="1"/>
  <c r="C158" i="34" s="1"/>
  <c r="C159" i="34" s="1"/>
  <c r="C160" i="34" s="1"/>
  <c r="C161" i="34" s="1"/>
  <c r="C162" i="34" s="1"/>
  <c r="C163" i="34" s="1"/>
  <c r="C164" i="34" s="1"/>
  <c r="C165" i="34" s="1"/>
  <c r="C166" i="34" s="1"/>
  <c r="C167" i="34" s="1"/>
  <c r="C168" i="34" s="1"/>
  <c r="C169" i="34" s="1"/>
  <c r="C170" i="34" s="1"/>
  <c r="C171" i="34" s="1"/>
  <c r="B156" i="34"/>
  <c r="B157" i="34" s="1"/>
  <c r="B158" i="34" s="1"/>
  <c r="B159" i="34" s="1"/>
  <c r="B160" i="34" s="1"/>
  <c r="B161" i="34" s="1"/>
  <c r="B162" i="34" s="1"/>
  <c r="B163" i="34" s="1"/>
  <c r="B164" i="34" s="1"/>
  <c r="B165" i="34" s="1"/>
  <c r="B166" i="34" s="1"/>
  <c r="B167" i="34" s="1"/>
  <c r="B168" i="34" s="1"/>
  <c r="B169" i="34" s="1"/>
  <c r="B170" i="34" s="1"/>
  <c r="B171" i="34" s="1"/>
  <c r="B172" i="34" s="1"/>
  <c r="B173" i="34" s="1"/>
  <c r="B174" i="34" s="1"/>
  <c r="B175" i="34" s="1"/>
  <c r="B176" i="34" s="1"/>
  <c r="B177" i="34" s="1"/>
  <c r="B178" i="34" s="1"/>
  <c r="B179" i="34" s="1"/>
  <c r="B180" i="34" s="1"/>
  <c r="B181" i="34" s="1"/>
  <c r="B182" i="34" s="1"/>
  <c r="B183" i="34" s="1"/>
  <c r="B184" i="34" s="1"/>
  <c r="B185" i="34" s="1"/>
  <c r="B186" i="34" s="1"/>
  <c r="B187" i="34" s="1"/>
  <c r="D140" i="34"/>
  <c r="D141" i="34"/>
  <c r="D142" i="34"/>
  <c r="D139" i="34"/>
  <c r="C139" i="34"/>
  <c r="C135" i="34"/>
  <c r="E135" i="34" s="1"/>
  <c r="B135" i="34"/>
  <c r="B136" i="34" s="1"/>
  <c r="B137" i="34" s="1"/>
  <c r="B138" i="34" s="1"/>
  <c r="B139" i="34" s="1"/>
  <c r="B140" i="34" s="1"/>
  <c r="B141" i="34" s="1"/>
  <c r="B142" i="34" s="1"/>
  <c r="B143" i="34" s="1"/>
  <c r="E200" i="33"/>
  <c r="C201" i="33"/>
  <c r="E201" i="33" s="1"/>
  <c r="G197" i="33"/>
  <c r="G198" i="33" s="1"/>
  <c r="G199" i="33" s="1"/>
  <c r="F197" i="33"/>
  <c r="F198" i="33" s="1"/>
  <c r="F199" i="33" s="1"/>
  <c r="F200" i="33" s="1"/>
  <c r="F201" i="33" s="1"/>
  <c r="E199" i="33"/>
  <c r="E198" i="33"/>
  <c r="E197" i="33"/>
  <c r="E196" i="33"/>
  <c r="B196" i="33"/>
  <c r="B197" i="33" s="1"/>
  <c r="B198" i="33" s="1"/>
  <c r="B199" i="33" s="1"/>
  <c r="B200" i="33" s="1"/>
  <c r="B201" i="33" s="1"/>
  <c r="A196" i="33"/>
  <c r="A197" i="33" s="1"/>
  <c r="A198" i="33" s="1"/>
  <c r="A199" i="33" s="1"/>
  <c r="A200" i="33" s="1"/>
  <c r="A201" i="33" s="1"/>
  <c r="C54" i="45"/>
  <c r="C53" i="45"/>
  <c r="B53" i="45"/>
  <c r="B54" i="45" s="1"/>
  <c r="C51" i="45"/>
  <c r="C50" i="45"/>
  <c r="B50" i="45"/>
  <c r="B51" i="45" s="1"/>
  <c r="C46" i="45"/>
  <c r="C47" i="45"/>
  <c r="C48" i="45"/>
  <c r="E45" i="45"/>
  <c r="E46" i="45" s="1"/>
  <c r="E47" i="45" s="1"/>
  <c r="E48" i="45" s="1"/>
  <c r="E50" i="45" s="1"/>
  <c r="E51" i="45" s="1"/>
  <c r="D45" i="45"/>
  <c r="D46" i="45" s="1"/>
  <c r="D47" i="45" s="1"/>
  <c r="D48" i="45" s="1"/>
  <c r="D50" i="45" s="1"/>
  <c r="D51" i="45" s="1"/>
  <c r="C45" i="45"/>
  <c r="C44" i="45"/>
  <c r="B44" i="45"/>
  <c r="E42" i="45"/>
  <c r="D42" i="45"/>
  <c r="B42" i="45"/>
  <c r="B41" i="45"/>
  <c r="G89" i="34"/>
  <c r="G91" i="34" s="1"/>
  <c r="G92" i="34" s="1"/>
  <c r="G93" i="34" s="1"/>
  <c r="G94" i="34" s="1"/>
  <c r="G95" i="34" s="1"/>
  <c r="G96" i="34" s="1"/>
  <c r="G97" i="34" s="1"/>
  <c r="G98" i="34" s="1"/>
  <c r="G99" i="34" s="1"/>
  <c r="G100" i="34" s="1"/>
  <c r="G101" i="34" s="1"/>
  <c r="G102" i="34" s="1"/>
  <c r="G103" i="34" s="1"/>
  <c r="G104" i="34" s="1"/>
  <c r="G105" i="34" s="1"/>
  <c r="G106" i="34" s="1"/>
  <c r="G107" i="34" s="1"/>
  <c r="G108" i="34" s="1"/>
  <c r="G109" i="34" s="1"/>
  <c r="G110" i="34" s="1"/>
  <c r="G111" i="34" s="1"/>
  <c r="G112" i="34" s="1"/>
  <c r="G113" i="34" s="1"/>
  <c r="G114" i="34" s="1"/>
  <c r="G115" i="34" s="1"/>
  <c r="G116" i="34" s="1"/>
  <c r="G117" i="34" s="1"/>
  <c r="G118" i="34" s="1"/>
  <c r="G119" i="34" s="1"/>
  <c r="G120" i="34" s="1"/>
  <c r="G121" i="34" s="1"/>
  <c r="G122" i="34" s="1"/>
  <c r="F89" i="34"/>
  <c r="F90" i="34" s="1"/>
  <c r="C92" i="34"/>
  <c r="C93" i="34" s="1"/>
  <c r="C94" i="34" s="1"/>
  <c r="C95" i="34" s="1"/>
  <c r="C96" i="34" s="1"/>
  <c r="C97" i="34" s="1"/>
  <c r="C98" i="34" s="1"/>
  <c r="C99" i="34" s="1"/>
  <c r="C100" i="34" s="1"/>
  <c r="C101" i="34" s="1"/>
  <c r="C102" i="34" s="1"/>
  <c r="C103" i="34" s="1"/>
  <c r="C104" i="34" s="1"/>
  <c r="C105" i="34" s="1"/>
  <c r="C106" i="34" s="1"/>
  <c r="B88" i="34"/>
  <c r="B89" i="34" s="1"/>
  <c r="B91" i="34" s="1"/>
  <c r="B92" i="34" s="1"/>
  <c r="B93" i="34" s="1"/>
  <c r="B94" i="34" s="1"/>
  <c r="B95" i="34" s="1"/>
  <c r="B96" i="34" s="1"/>
  <c r="B97" i="34" s="1"/>
  <c r="B98" i="34" s="1"/>
  <c r="B99" i="34" s="1"/>
  <c r="B100" i="34" s="1"/>
  <c r="B101" i="34" s="1"/>
  <c r="B102" i="34" s="1"/>
  <c r="B103" i="34" s="1"/>
  <c r="B104" i="34" s="1"/>
  <c r="B105" i="34" s="1"/>
  <c r="B106" i="34" s="1"/>
  <c r="B107" i="34" s="1"/>
  <c r="B108" i="34" s="1"/>
  <c r="B109" i="34" s="1"/>
  <c r="B110" i="34" s="1"/>
  <c r="B111" i="34" s="1"/>
  <c r="B112" i="34" s="1"/>
  <c r="B113" i="34" s="1"/>
  <c r="B114" i="34" s="1"/>
  <c r="B115" i="34" s="1"/>
  <c r="B116" i="34" s="1"/>
  <c r="B117" i="34" s="1"/>
  <c r="B118" i="34" s="1"/>
  <c r="B119" i="34" s="1"/>
  <c r="B120" i="34" s="1"/>
  <c r="B121" i="34" s="1"/>
  <c r="B122" i="34" s="1"/>
  <c r="B123" i="34" s="1"/>
  <c r="B124" i="34" s="1"/>
  <c r="B125" i="34" s="1"/>
  <c r="B126" i="34" s="1"/>
  <c r="B127" i="34" s="1"/>
  <c r="B128" i="34" s="1"/>
  <c r="B129" i="34" s="1"/>
  <c r="B130" i="34" s="1"/>
  <c r="B131" i="34" s="1"/>
  <c r="B132" i="34" s="1"/>
  <c r="B133" i="34" s="1"/>
  <c r="B134" i="34" s="1"/>
  <c r="E188" i="33"/>
  <c r="D189" i="33"/>
  <c r="D190" i="33" s="1"/>
  <c r="F51" i="36"/>
  <c r="F52" i="36" s="1"/>
  <c r="F53" i="36" s="1"/>
  <c r="F54" i="36" s="1"/>
  <c r="F55" i="36" s="1"/>
  <c r="F56" i="36" s="1"/>
  <c r="F57" i="36" s="1"/>
  <c r="F58" i="36" s="1"/>
  <c r="F59" i="36" s="1"/>
  <c r="F60" i="36" s="1"/>
  <c r="F61" i="36" s="1"/>
  <c r="F62" i="36" s="1"/>
  <c r="F63" i="36" s="1"/>
  <c r="F64" i="36" s="1"/>
  <c r="F65" i="36" s="1"/>
  <c r="F66" i="36" s="1"/>
  <c r="F67" i="36" s="1"/>
  <c r="F68" i="36" s="1"/>
  <c r="F69" i="36" s="1"/>
  <c r="F70" i="36" s="1"/>
  <c r="F71" i="36" s="1"/>
  <c r="F72" i="36" s="1"/>
  <c r="F73" i="36" s="1"/>
  <c r="F74" i="36" s="1"/>
  <c r="F75" i="36" s="1"/>
  <c r="F76" i="36" s="1"/>
  <c r="F77" i="36" s="1"/>
  <c r="F78" i="36" s="1"/>
  <c r="F79" i="36" s="1"/>
  <c r="F80" i="36" s="1"/>
  <c r="F81" i="36" s="1"/>
  <c r="F82" i="36" s="1"/>
  <c r="F83" i="36" s="1"/>
  <c r="F84" i="36" s="1"/>
  <c r="F85" i="36" s="1"/>
  <c r="B50" i="36"/>
  <c r="B51" i="36" s="1"/>
  <c r="B52" i="36" s="1"/>
  <c r="B53" i="36" s="1"/>
  <c r="B54" i="36" s="1"/>
  <c r="B55" i="36" s="1"/>
  <c r="B56" i="36" s="1"/>
  <c r="B57" i="36" s="1"/>
  <c r="B58" i="36" s="1"/>
  <c r="B59" i="36" s="1"/>
  <c r="B60" i="36" s="1"/>
  <c r="B61" i="36" s="1"/>
  <c r="B62" i="36" s="1"/>
  <c r="B63" i="36" s="1"/>
  <c r="B64" i="36" s="1"/>
  <c r="B65" i="36" s="1"/>
  <c r="B66" i="36" s="1"/>
  <c r="B67" i="36" s="1"/>
  <c r="B68" i="36" s="1"/>
  <c r="B69" i="36" s="1"/>
  <c r="B70" i="36" s="1"/>
  <c r="B71" i="36" s="1"/>
  <c r="B72" i="36" s="1"/>
  <c r="B73" i="36" s="1"/>
  <c r="B74" i="36" s="1"/>
  <c r="B75" i="36" s="1"/>
  <c r="B76" i="36" s="1"/>
  <c r="B77" i="36" s="1"/>
  <c r="B78" i="36" s="1"/>
  <c r="B79" i="36" s="1"/>
  <c r="B80" i="36" s="1"/>
  <c r="B81" i="36" s="1"/>
  <c r="B82" i="36" s="1"/>
  <c r="B83" i="36" s="1"/>
  <c r="B84" i="36" s="1"/>
  <c r="B85" i="36" s="1"/>
  <c r="A50" i="36"/>
  <c r="A51" i="36" s="1"/>
  <c r="A52" i="36" s="1"/>
  <c r="A53" i="36" s="1"/>
  <c r="A54" i="36" s="1"/>
  <c r="A55" i="36" s="1"/>
  <c r="A56" i="36" s="1"/>
  <c r="A57" i="36" s="1"/>
  <c r="A58" i="36" s="1"/>
  <c r="A59" i="36" s="1"/>
  <c r="A60" i="36" s="1"/>
  <c r="A61" i="36" s="1"/>
  <c r="A62" i="36" s="1"/>
  <c r="A63" i="36" s="1"/>
  <c r="A64" i="36" s="1"/>
  <c r="A65" i="36" s="1"/>
  <c r="A66" i="36" s="1"/>
  <c r="A67" i="36" s="1"/>
  <c r="A68" i="36" s="1"/>
  <c r="A69" i="36" s="1"/>
  <c r="A70" i="36" s="1"/>
  <c r="A71" i="36" s="1"/>
  <c r="A72" i="36" s="1"/>
  <c r="A73" i="36" s="1"/>
  <c r="A74" i="36" s="1"/>
  <c r="A75" i="36" s="1"/>
  <c r="A76" i="36" s="1"/>
  <c r="A77" i="36" s="1"/>
  <c r="A78" i="36" s="1"/>
  <c r="A79" i="36" s="1"/>
  <c r="A80" i="36" s="1"/>
  <c r="A81" i="36" s="1"/>
  <c r="A82" i="36" s="1"/>
  <c r="A83" i="36" s="1"/>
  <c r="A84" i="36" s="1"/>
  <c r="A85" i="36" s="1"/>
  <c r="C165" i="33"/>
  <c r="C166" i="33" s="1"/>
  <c r="C167" i="33" s="1"/>
  <c r="D165" i="33"/>
  <c r="D177" i="33" s="1"/>
  <c r="E177" i="33" s="1"/>
  <c r="D166" i="33"/>
  <c r="D178" i="33" s="1"/>
  <c r="E178" i="33" s="1"/>
  <c r="D167" i="33"/>
  <c r="D179" i="33" s="1"/>
  <c r="E179" i="33" s="1"/>
  <c r="D168" i="33"/>
  <c r="D180" i="33" s="1"/>
  <c r="E180" i="33" s="1"/>
  <c r="D169" i="33"/>
  <c r="D181" i="33" s="1"/>
  <c r="E181" i="33" s="1"/>
  <c r="D170" i="33"/>
  <c r="D182" i="33" s="1"/>
  <c r="E182" i="33" s="1"/>
  <c r="D171" i="33"/>
  <c r="D183" i="33" s="1"/>
  <c r="E183" i="33" s="1"/>
  <c r="D172" i="33"/>
  <c r="D184" i="33" s="1"/>
  <c r="E184" i="33" s="1"/>
  <c r="D173" i="33"/>
  <c r="D185" i="33" s="1"/>
  <c r="E185" i="33" s="1"/>
  <c r="D174" i="33"/>
  <c r="D186" i="33" s="1"/>
  <c r="E186" i="33" s="1"/>
  <c r="D175" i="33"/>
  <c r="D187" i="33" s="1"/>
  <c r="E187" i="33" s="1"/>
  <c r="F164" i="33"/>
  <c r="F176" i="33" s="1"/>
  <c r="F188" i="33" s="1"/>
  <c r="G164" i="33"/>
  <c r="G176" i="33" s="1"/>
  <c r="D164" i="33"/>
  <c r="E164" i="33" s="1"/>
  <c r="H163" i="33"/>
  <c r="H162" i="33"/>
  <c r="H161" i="33"/>
  <c r="H160" i="33"/>
  <c r="H159" i="33"/>
  <c r="H158" i="33"/>
  <c r="H157" i="33"/>
  <c r="H156" i="33"/>
  <c r="H155" i="33"/>
  <c r="H154" i="33"/>
  <c r="H153" i="33"/>
  <c r="G154" i="33"/>
  <c r="G166" i="33" s="1"/>
  <c r="G178" i="33" s="1"/>
  <c r="G153" i="33"/>
  <c r="G165" i="33" s="1"/>
  <c r="G177" i="33" s="1"/>
  <c r="F153" i="33"/>
  <c r="F165" i="33" s="1"/>
  <c r="F177" i="33" s="1"/>
  <c r="F189" i="33" s="1"/>
  <c r="E152" i="33"/>
  <c r="C153" i="33"/>
  <c r="C154" i="33" s="1"/>
  <c r="C155" i="33" s="1"/>
  <c r="C156" i="33" s="1"/>
  <c r="C157" i="33" s="1"/>
  <c r="C158" i="33" s="1"/>
  <c r="C159" i="33" s="1"/>
  <c r="C160" i="33" s="1"/>
  <c r="C161" i="33" s="1"/>
  <c r="C162" i="33" s="1"/>
  <c r="C163" i="33" s="1"/>
  <c r="E163" i="33" s="1"/>
  <c r="H152" i="33"/>
  <c r="B152" i="33"/>
  <c r="B153" i="33" s="1"/>
  <c r="B154" i="33" s="1"/>
  <c r="B155" i="33" s="1"/>
  <c r="B156" i="33" s="1"/>
  <c r="B157" i="33" s="1"/>
  <c r="B158" i="33" s="1"/>
  <c r="B159" i="33" s="1"/>
  <c r="B160" i="33" s="1"/>
  <c r="B161" i="33" s="1"/>
  <c r="B162" i="33" s="1"/>
  <c r="B163" i="33" s="1"/>
  <c r="B164" i="33" s="1"/>
  <c r="B165" i="33" s="1"/>
  <c r="B166" i="33" s="1"/>
  <c r="B167" i="33" s="1"/>
  <c r="B168" i="33" s="1"/>
  <c r="B169" i="33" s="1"/>
  <c r="B170" i="33" s="1"/>
  <c r="B171" i="33" s="1"/>
  <c r="B172" i="33" s="1"/>
  <c r="B173" i="33" s="1"/>
  <c r="B174" i="33" s="1"/>
  <c r="B175" i="33" s="1"/>
  <c r="B176" i="33" s="1"/>
  <c r="B177" i="33" s="1"/>
  <c r="B178" i="33" s="1"/>
  <c r="B179" i="33" s="1"/>
  <c r="B180" i="33" s="1"/>
  <c r="B181" i="33" s="1"/>
  <c r="B182" i="33" s="1"/>
  <c r="B183" i="33" s="1"/>
  <c r="B184" i="33" s="1"/>
  <c r="B185" i="33" s="1"/>
  <c r="B186" i="33" s="1"/>
  <c r="B187" i="33" s="1"/>
  <c r="B188" i="33" s="1"/>
  <c r="B189" i="33" s="1"/>
  <c r="B190" i="33" s="1"/>
  <c r="B191" i="33" s="1"/>
  <c r="B192" i="33" s="1"/>
  <c r="B193" i="33" s="1"/>
  <c r="B194" i="33" s="1"/>
  <c r="E47" i="36"/>
  <c r="E48" i="36"/>
  <c r="B45" i="36"/>
  <c r="A45" i="36"/>
  <c r="A46" i="36" s="1"/>
  <c r="B87" i="34"/>
  <c r="B150" i="33"/>
  <c r="E46" i="36"/>
  <c r="B46" i="36"/>
  <c r="B47" i="36"/>
  <c r="B48" i="36" s="1"/>
  <c r="B86" i="34"/>
  <c r="B149" i="33"/>
  <c r="A149" i="33"/>
  <c r="A150" i="33" s="1"/>
  <c r="A152" i="33" s="1"/>
  <c r="A153" i="33" s="1"/>
  <c r="A154" i="33" s="1"/>
  <c r="A155" i="33" s="1"/>
  <c r="A156" i="33" s="1"/>
  <c r="A157" i="33" s="1"/>
  <c r="A158" i="33" s="1"/>
  <c r="A159" i="33" s="1"/>
  <c r="A160" i="33" s="1"/>
  <c r="A161" i="33" s="1"/>
  <c r="A162" i="33" s="1"/>
  <c r="A163" i="33" s="1"/>
  <c r="A164" i="33" s="1"/>
  <c r="A165" i="33" s="1"/>
  <c r="A166" i="33" s="1"/>
  <c r="A167" i="33" s="1"/>
  <c r="A168" i="33" s="1"/>
  <c r="A169" i="33" s="1"/>
  <c r="A170" i="33" s="1"/>
  <c r="A171" i="33" s="1"/>
  <c r="A172" i="33" s="1"/>
  <c r="A173" i="33" s="1"/>
  <c r="A174" i="33" s="1"/>
  <c r="A175" i="33" s="1"/>
  <c r="A176" i="33" s="1"/>
  <c r="A177" i="33" s="1"/>
  <c r="A178" i="33" s="1"/>
  <c r="A179" i="33" s="1"/>
  <c r="A180" i="33" s="1"/>
  <c r="A181" i="33" s="1"/>
  <c r="A182" i="33" s="1"/>
  <c r="A183" i="33" s="1"/>
  <c r="A184" i="33" s="1"/>
  <c r="A185" i="33" s="1"/>
  <c r="A186" i="33" s="1"/>
  <c r="A187" i="33" s="1"/>
  <c r="A188" i="33" s="1"/>
  <c r="A189" i="33" s="1"/>
  <c r="A190" i="33" s="1"/>
  <c r="A191" i="33" s="1"/>
  <c r="A192" i="33" s="1"/>
  <c r="A193" i="33" s="1"/>
  <c r="A194" i="33" s="1"/>
  <c r="E45" i="36"/>
  <c r="A41" i="36"/>
  <c r="A42" i="36" s="1"/>
  <c r="A43" i="36" s="1"/>
  <c r="AU8" i="67" l="1"/>
  <c r="AU161" i="67"/>
  <c r="AQ8" i="67"/>
  <c r="AQ161" i="67"/>
  <c r="AR161" i="67"/>
  <c r="AR8" i="67"/>
  <c r="AE8" i="67"/>
  <c r="AE161" i="67"/>
  <c r="AM8" i="67"/>
  <c r="AM161" i="67"/>
  <c r="S161" i="67"/>
  <c r="S8" i="67"/>
  <c r="W8" i="67"/>
  <c r="W161" i="67"/>
  <c r="AH8" i="67"/>
  <c r="AH161" i="67"/>
  <c r="AC8" i="67"/>
  <c r="AC161" i="67"/>
  <c r="AK161" i="67"/>
  <c r="AK8" i="67"/>
  <c r="V161" i="67"/>
  <c r="V8" i="67"/>
  <c r="R8" i="67"/>
  <c r="R161" i="67"/>
  <c r="X161" i="67"/>
  <c r="X8" i="67"/>
  <c r="AS8" i="67"/>
  <c r="AS161" i="67"/>
  <c r="AW8" i="67"/>
  <c r="AW161" i="67"/>
  <c r="AG8" i="67"/>
  <c r="AG161" i="67"/>
  <c r="AP8" i="67"/>
  <c r="AP161" i="67"/>
  <c r="AB161" i="67"/>
  <c r="AB8" i="67"/>
  <c r="AL161" i="67"/>
  <c r="AL8" i="67"/>
  <c r="AD161" i="67"/>
  <c r="AD8" i="67"/>
  <c r="AF8" i="67"/>
  <c r="AF161" i="67"/>
  <c r="AO8" i="67"/>
  <c r="AO161" i="67"/>
  <c r="AN161" i="67"/>
  <c r="AN8" i="67"/>
  <c r="D64" i="45"/>
  <c r="C38" i="62"/>
  <c r="B63" i="45"/>
  <c r="A37" i="62"/>
  <c r="B37" i="62" s="1"/>
  <c r="B45" i="45"/>
  <c r="B46" i="45" s="1"/>
  <c r="B47" i="45" s="1"/>
  <c r="B48" i="45" s="1"/>
  <c r="A39" i="62"/>
  <c r="B39" i="62" s="1"/>
  <c r="B64" i="45"/>
  <c r="A38" i="62"/>
  <c r="B38" i="62" s="1"/>
  <c r="B66" i="45"/>
  <c r="A40" i="62"/>
  <c r="B40" i="62" s="1"/>
  <c r="B67" i="45"/>
  <c r="A41" i="62"/>
  <c r="B41" i="62" s="1"/>
  <c r="E153" i="33"/>
  <c r="G135" i="34"/>
  <c r="G136" i="34" s="1"/>
  <c r="G137" i="34" s="1"/>
  <c r="G138" i="34" s="1"/>
  <c r="G139" i="34" s="1"/>
  <c r="G140" i="34" s="1"/>
  <c r="G141" i="34" s="1"/>
  <c r="G142" i="34" s="1"/>
  <c r="G143" i="34" s="1"/>
  <c r="G144" i="34" s="1"/>
  <c r="G123" i="34"/>
  <c r="G124" i="34" s="1"/>
  <c r="G125" i="34" s="1"/>
  <c r="G126" i="34" s="1"/>
  <c r="G127" i="34" s="1"/>
  <c r="G128" i="34" s="1"/>
  <c r="G129" i="34" s="1"/>
  <c r="G130" i="34" s="1"/>
  <c r="G131" i="34" s="1"/>
  <c r="G132" i="34" s="1"/>
  <c r="G133" i="34" s="1"/>
  <c r="G134" i="34" s="1"/>
  <c r="F91" i="34"/>
  <c r="F92" i="34" s="1"/>
  <c r="F93" i="34" s="1"/>
  <c r="F94" i="34" s="1"/>
  <c r="F95" i="34" s="1"/>
  <c r="F96" i="34" s="1"/>
  <c r="F97" i="34" s="1"/>
  <c r="F98" i="34" s="1"/>
  <c r="F99" i="34" s="1"/>
  <c r="F100" i="34" s="1"/>
  <c r="F101" i="34" s="1"/>
  <c r="F102" i="34" s="1"/>
  <c r="F103" i="34" s="1"/>
  <c r="F104" i="34" s="1"/>
  <c r="F105" i="34" s="1"/>
  <c r="F106" i="34" s="1"/>
  <c r="F107" i="34" s="1"/>
  <c r="F108" i="34" s="1"/>
  <c r="F109" i="34" s="1"/>
  <c r="F110" i="34" s="1"/>
  <c r="F111" i="34" s="1"/>
  <c r="F112" i="34" s="1"/>
  <c r="F113" i="34" s="1"/>
  <c r="F114" i="34" s="1"/>
  <c r="F115" i="34" s="1"/>
  <c r="F116" i="34" s="1"/>
  <c r="F117" i="34" s="1"/>
  <c r="F118" i="34" s="1"/>
  <c r="F119" i="34" s="1"/>
  <c r="F120" i="34" s="1"/>
  <c r="F121" i="34" s="1"/>
  <c r="F122" i="34" s="1"/>
  <c r="F135" i="34" s="1"/>
  <c r="F136" i="34" s="1"/>
  <c r="F137" i="34" s="1"/>
  <c r="F138" i="34" s="1"/>
  <c r="F139" i="34" s="1"/>
  <c r="F140" i="34" s="1"/>
  <c r="F141" i="34" s="1"/>
  <c r="F142" i="34" s="1"/>
  <c r="F143" i="34" s="1"/>
  <c r="F144" i="34" s="1"/>
  <c r="E139" i="34"/>
  <c r="G90" i="34"/>
  <c r="B90" i="34"/>
  <c r="D176" i="33"/>
  <c r="E176" i="33" s="1"/>
  <c r="E165" i="33"/>
  <c r="E166" i="33"/>
  <c r="D53" i="45"/>
  <c r="D54" i="45" s="1"/>
  <c r="D52" i="45"/>
  <c r="E53" i="45"/>
  <c r="E54" i="45" s="1"/>
  <c r="E52" i="45"/>
  <c r="E84" i="36"/>
  <c r="E49" i="45"/>
  <c r="D49" i="45"/>
  <c r="C136" i="34"/>
  <c r="E136" i="34" s="1"/>
  <c r="C140" i="34"/>
  <c r="E83" i="36"/>
  <c r="D191" i="33"/>
  <c r="E190" i="33"/>
  <c r="C168" i="33"/>
  <c r="C169" i="33" s="1"/>
  <c r="E167" i="33"/>
  <c r="E160" i="33"/>
  <c r="E156" i="33"/>
  <c r="F154" i="33"/>
  <c r="E189" i="33"/>
  <c r="E159" i="33"/>
  <c r="E155" i="33"/>
  <c r="E161" i="33"/>
  <c r="E157" i="33"/>
  <c r="E162" i="33"/>
  <c r="E158" i="33"/>
  <c r="E154" i="33"/>
  <c r="G155" i="33"/>
  <c r="A47" i="36"/>
  <c r="A48" i="36" s="1"/>
  <c r="E168" i="33"/>
  <c r="D67" i="45" l="1"/>
  <c r="C41" i="62"/>
  <c r="D66" i="45"/>
  <c r="C40" i="62"/>
  <c r="G145" i="34"/>
  <c r="G146" i="34" s="1"/>
  <c r="G147" i="34" s="1"/>
  <c r="G148" i="34" s="1"/>
  <c r="G149" i="34" s="1"/>
  <c r="G150" i="34" s="1"/>
  <c r="G151" i="34" s="1"/>
  <c r="G152" i="34" s="1"/>
  <c r="G153" i="34" s="1"/>
  <c r="G154" i="34" s="1"/>
  <c r="G155" i="34" s="1"/>
  <c r="G156" i="34" s="1"/>
  <c r="G157" i="34" s="1"/>
  <c r="G158" i="34" s="1"/>
  <c r="G159" i="34" s="1"/>
  <c r="G160" i="34" s="1"/>
  <c r="G161" i="34" s="1"/>
  <c r="G162" i="34" s="1"/>
  <c r="G163" i="34" s="1"/>
  <c r="G164" i="34" s="1"/>
  <c r="G165" i="34" s="1"/>
  <c r="G166" i="34" s="1"/>
  <c r="G167" i="34" s="1"/>
  <c r="G168" i="34" s="1"/>
  <c r="G169" i="34" s="1"/>
  <c r="G170" i="34" s="1"/>
  <c r="G171" i="34" s="1"/>
  <c r="G172" i="34" s="1"/>
  <c r="G173" i="34" s="1"/>
  <c r="G174" i="34" s="1"/>
  <c r="G175" i="34" s="1"/>
  <c r="G176" i="34" s="1"/>
  <c r="G177" i="34" s="1"/>
  <c r="G178" i="34" s="1"/>
  <c r="G179" i="34" s="1"/>
  <c r="G180" i="34" s="1"/>
  <c r="G181" i="34" s="1"/>
  <c r="G182" i="34" s="1"/>
  <c r="G183" i="34" s="1"/>
  <c r="G184" i="34" s="1"/>
  <c r="G185" i="34" s="1"/>
  <c r="G186" i="34" s="1"/>
  <c r="G187" i="34" s="1"/>
  <c r="F145" i="34"/>
  <c r="F146" i="34" s="1"/>
  <c r="F147" i="34" s="1"/>
  <c r="F148" i="34" s="1"/>
  <c r="F149" i="34" s="1"/>
  <c r="F150" i="34" s="1"/>
  <c r="F151" i="34" s="1"/>
  <c r="F152" i="34" s="1"/>
  <c r="F153" i="34" s="1"/>
  <c r="F154" i="34" s="1"/>
  <c r="F155" i="34" s="1"/>
  <c r="F156" i="34" s="1"/>
  <c r="F157" i="34" s="1"/>
  <c r="F158" i="34" s="1"/>
  <c r="F159" i="34" s="1"/>
  <c r="F160" i="34" s="1"/>
  <c r="F161" i="34" s="1"/>
  <c r="F162" i="34" s="1"/>
  <c r="F163" i="34" s="1"/>
  <c r="F164" i="34" s="1"/>
  <c r="F165" i="34" s="1"/>
  <c r="F166" i="34" s="1"/>
  <c r="F167" i="34" s="1"/>
  <c r="F168" i="34" s="1"/>
  <c r="F169" i="34" s="1"/>
  <c r="F170" i="34" s="1"/>
  <c r="F171" i="34" s="1"/>
  <c r="F172" i="34" s="1"/>
  <c r="F173" i="34" s="1"/>
  <c r="F174" i="34" s="1"/>
  <c r="F175" i="34" s="1"/>
  <c r="F176" i="34" s="1"/>
  <c r="F177" i="34" s="1"/>
  <c r="F178" i="34" s="1"/>
  <c r="F179" i="34" s="1"/>
  <c r="F180" i="34" s="1"/>
  <c r="F181" i="34" s="1"/>
  <c r="F182" i="34" s="1"/>
  <c r="F183" i="34" s="1"/>
  <c r="F184" i="34" s="1"/>
  <c r="F185" i="34" s="1"/>
  <c r="F186" i="34" s="1"/>
  <c r="F187" i="34" s="1"/>
  <c r="C137" i="34"/>
  <c r="E137" i="34" s="1"/>
  <c r="E140" i="34"/>
  <c r="C141" i="34"/>
  <c r="G156" i="33"/>
  <c r="G167" i="33"/>
  <c r="G179" i="33" s="1"/>
  <c r="F155" i="33"/>
  <c r="F166" i="33"/>
  <c r="F178" i="33" s="1"/>
  <c r="F190" i="33" s="1"/>
  <c r="D192" i="33"/>
  <c r="E191" i="33"/>
  <c r="E169" i="33"/>
  <c r="C170" i="33"/>
  <c r="C138" i="34" l="1"/>
  <c r="E138" i="34" s="1"/>
  <c r="C142" i="34"/>
  <c r="E141" i="34"/>
  <c r="F156" i="33"/>
  <c r="F167" i="33"/>
  <c r="F179" i="33" s="1"/>
  <c r="F191" i="33" s="1"/>
  <c r="D193" i="33"/>
  <c r="E193" i="33" s="1"/>
  <c r="E192" i="33"/>
  <c r="G157" i="33"/>
  <c r="G168" i="33"/>
  <c r="G180" i="33" s="1"/>
  <c r="C171" i="33"/>
  <c r="E170" i="33"/>
  <c r="C143" i="34" l="1"/>
  <c r="C144" i="34" s="1"/>
  <c r="C145" i="34" s="1"/>
  <c r="E142" i="34"/>
  <c r="G158" i="33"/>
  <c r="G169" i="33"/>
  <c r="G181" i="33" s="1"/>
  <c r="F157" i="33"/>
  <c r="F168" i="33"/>
  <c r="F180" i="33" s="1"/>
  <c r="F192" i="33" s="1"/>
  <c r="E171" i="33"/>
  <c r="C172" i="33"/>
  <c r="C146" i="34" l="1"/>
  <c r="E145" i="34"/>
  <c r="E144" i="34"/>
  <c r="E143" i="34"/>
  <c r="F158" i="33"/>
  <c r="F169" i="33"/>
  <c r="F181" i="33" s="1"/>
  <c r="F193" i="33" s="1"/>
  <c r="G159" i="33"/>
  <c r="G170" i="33"/>
  <c r="G182" i="33" s="1"/>
  <c r="E172" i="33"/>
  <c r="C173" i="33"/>
  <c r="C147" i="34" l="1"/>
  <c r="E146" i="34"/>
  <c r="G160" i="33"/>
  <c r="G171" i="33"/>
  <c r="G183" i="33" s="1"/>
  <c r="F159" i="33"/>
  <c r="F170" i="33"/>
  <c r="F182" i="33" s="1"/>
  <c r="F194" i="33" s="1"/>
  <c r="C174" i="33"/>
  <c r="E173" i="33"/>
  <c r="C148" i="34" l="1"/>
  <c r="E147" i="34"/>
  <c r="F160" i="33"/>
  <c r="F171" i="33"/>
  <c r="F183" i="33" s="1"/>
  <c r="G161" i="33"/>
  <c r="G172" i="33"/>
  <c r="G184" i="33" s="1"/>
  <c r="C175" i="33"/>
  <c r="E175" i="33" s="1"/>
  <c r="E174" i="33"/>
  <c r="C149" i="34" l="1"/>
  <c r="E148" i="34"/>
  <c r="G162" i="33"/>
  <c r="G173" i="33"/>
  <c r="G185" i="33" s="1"/>
  <c r="F161" i="33"/>
  <c r="F172" i="33"/>
  <c r="F184" i="33" s="1"/>
  <c r="C150" i="34" l="1"/>
  <c r="E149" i="34"/>
  <c r="F162" i="33"/>
  <c r="F173" i="33"/>
  <c r="F185" i="33" s="1"/>
  <c r="G163" i="33"/>
  <c r="G175" i="33" s="1"/>
  <c r="G187" i="33" s="1"/>
  <c r="G174" i="33"/>
  <c r="G186" i="33" s="1"/>
  <c r="C151" i="34" l="1"/>
  <c r="E150" i="34"/>
  <c r="F163" i="33"/>
  <c r="F175" i="33" s="1"/>
  <c r="F187" i="33" s="1"/>
  <c r="F174" i="33"/>
  <c r="F186" i="33" s="1"/>
  <c r="C152" i="34" l="1"/>
  <c r="E151" i="34"/>
  <c r="C153" i="34" l="1"/>
  <c r="E152" i="34"/>
  <c r="G71" i="34"/>
  <c r="G72" i="34" s="1"/>
  <c r="G73" i="34" s="1"/>
  <c r="G74" i="34" s="1"/>
  <c r="G75" i="34" s="1"/>
  <c r="G76" i="34" s="1"/>
  <c r="G77" i="34" s="1"/>
  <c r="G78" i="34" s="1"/>
  <c r="G79" i="34" s="1"/>
  <c r="G80" i="34" s="1"/>
  <c r="G81" i="34" s="1"/>
  <c r="G82" i="34" s="1"/>
  <c r="G83" i="34" s="1"/>
  <c r="G84" i="34" s="1"/>
  <c r="G85" i="34" s="1"/>
  <c r="F71" i="34"/>
  <c r="F72" i="34" s="1"/>
  <c r="F73" i="34" s="1"/>
  <c r="F74" i="34" s="1"/>
  <c r="F75" i="34" s="1"/>
  <c r="F76" i="34" s="1"/>
  <c r="F77" i="34" s="1"/>
  <c r="F78" i="34" s="1"/>
  <c r="F79" i="34" s="1"/>
  <c r="F80" i="34" s="1"/>
  <c r="F81" i="34" s="1"/>
  <c r="F82" i="34" s="1"/>
  <c r="F83" i="34" s="1"/>
  <c r="F84" i="34" s="1"/>
  <c r="F85" i="34" s="1"/>
  <c r="B70" i="34"/>
  <c r="B71" i="34" s="1"/>
  <c r="B72" i="34" s="1"/>
  <c r="B73" i="34" s="1"/>
  <c r="B74" i="34" s="1"/>
  <c r="B75" i="34" s="1"/>
  <c r="B76" i="34" s="1"/>
  <c r="B77" i="34" s="1"/>
  <c r="B78" i="34" s="1"/>
  <c r="B79" i="34" s="1"/>
  <c r="B80" i="34" s="1"/>
  <c r="B81" i="34" s="1"/>
  <c r="B82" i="34" s="1"/>
  <c r="B83" i="34" s="1"/>
  <c r="B84" i="34" s="1"/>
  <c r="B85" i="34" s="1"/>
  <c r="C69" i="34"/>
  <c r="C85" i="34" s="1"/>
  <c r="C67" i="34"/>
  <c r="C68" i="34" s="1"/>
  <c r="C84" i="34" s="1"/>
  <c r="C66" i="34"/>
  <c r="C82" i="34" s="1"/>
  <c r="C63" i="34"/>
  <c r="C79" i="34" s="1"/>
  <c r="C58" i="34"/>
  <c r="C59" i="34" s="1"/>
  <c r="C154" i="34" l="1"/>
  <c r="E153" i="34"/>
  <c r="C83" i="34"/>
  <c r="C75" i="34"/>
  <c r="C60" i="34"/>
  <c r="C61" i="34" s="1"/>
  <c r="C62" i="34" s="1"/>
  <c r="C78" i="34" s="1"/>
  <c r="C74" i="34"/>
  <c r="C64" i="34"/>
  <c r="C155" i="34" l="1"/>
  <c r="E155" i="34" s="1"/>
  <c r="E154" i="34"/>
  <c r="C76" i="34"/>
  <c r="C77" i="34"/>
  <c r="C65" i="34"/>
  <c r="C81" i="34" s="1"/>
  <c r="C80" i="34"/>
  <c r="B34" i="45"/>
  <c r="B62" i="45" s="1"/>
  <c r="B27" i="45"/>
  <c r="B61" i="45" s="1"/>
  <c r="A27" i="45"/>
  <c r="A61" i="45" s="1"/>
  <c r="D36" i="45"/>
  <c r="C36" i="45"/>
  <c r="A32" i="62" s="1"/>
  <c r="B32" i="62" s="1"/>
  <c r="C37" i="45"/>
  <c r="A33" i="62" s="1"/>
  <c r="B33" i="62" s="1"/>
  <c r="C38" i="45"/>
  <c r="A34" i="62" s="1"/>
  <c r="B34" i="62" s="1"/>
  <c r="C39" i="45"/>
  <c r="A35" i="62" s="1"/>
  <c r="B35" i="62" s="1"/>
  <c r="C40" i="45"/>
  <c r="A36" i="62" s="1"/>
  <c r="B36" i="62" s="1"/>
  <c r="C35" i="45"/>
  <c r="A31" i="62" s="1"/>
  <c r="B31" i="62" s="1"/>
  <c r="B35" i="45"/>
  <c r="B36" i="45" s="1"/>
  <c r="B37" i="45" s="1"/>
  <c r="B38" i="45" s="1"/>
  <c r="B39" i="45" s="1"/>
  <c r="B40" i="45" s="1"/>
  <c r="D29" i="45"/>
  <c r="C29" i="45"/>
  <c r="A26" i="62" s="1"/>
  <c r="B26" i="62" s="1"/>
  <c r="C30" i="45"/>
  <c r="A27" i="62" s="1"/>
  <c r="B27" i="62" s="1"/>
  <c r="C31" i="45"/>
  <c r="A28" i="62" s="1"/>
  <c r="B28" i="62" s="1"/>
  <c r="C32" i="45"/>
  <c r="A29" i="62" s="1"/>
  <c r="B29" i="62" s="1"/>
  <c r="C33" i="45"/>
  <c r="A30" i="62" s="1"/>
  <c r="B30" i="62" s="1"/>
  <c r="C28" i="45"/>
  <c r="A25" i="62" s="1"/>
  <c r="B25" i="62" s="1"/>
  <c r="B28" i="45"/>
  <c r="B29" i="45" s="1"/>
  <c r="B30" i="45" s="1"/>
  <c r="B31" i="45" s="1"/>
  <c r="B32" i="45" s="1"/>
  <c r="B33" i="45" s="1"/>
  <c r="A28" i="45"/>
  <c r="A29" i="45" s="1"/>
  <c r="A30" i="45" s="1"/>
  <c r="A31" i="45" s="1"/>
  <c r="A32" i="45" s="1"/>
  <c r="A33" i="45" s="1"/>
  <c r="A35" i="45" s="1"/>
  <c r="A36" i="45" s="1"/>
  <c r="A37" i="45" s="1"/>
  <c r="A38" i="45" s="1"/>
  <c r="A39" i="45" s="1"/>
  <c r="A40" i="45" s="1"/>
  <c r="A41" i="45" s="1"/>
  <c r="G55" i="34"/>
  <c r="G56" i="34" s="1"/>
  <c r="G57" i="34" s="1"/>
  <c r="G58" i="34" s="1"/>
  <c r="G59" i="34" s="1"/>
  <c r="G60" i="34" s="1"/>
  <c r="G61" i="34" s="1"/>
  <c r="G62" i="34" s="1"/>
  <c r="G63" i="34" s="1"/>
  <c r="G64" i="34" s="1"/>
  <c r="G65" i="34" s="1"/>
  <c r="G66" i="34" s="1"/>
  <c r="G67" i="34" s="1"/>
  <c r="G68" i="34" s="1"/>
  <c r="G69" i="34" s="1"/>
  <c r="F55" i="34"/>
  <c r="F56" i="34" s="1"/>
  <c r="F57" i="34" s="1"/>
  <c r="F58" i="34" s="1"/>
  <c r="F59" i="34" s="1"/>
  <c r="F60" i="34" s="1"/>
  <c r="F61" i="34" s="1"/>
  <c r="F62" i="34" s="1"/>
  <c r="F63" i="34" s="1"/>
  <c r="F64" i="34" s="1"/>
  <c r="F65" i="34" s="1"/>
  <c r="F66" i="34" s="1"/>
  <c r="F67" i="34" s="1"/>
  <c r="F68" i="34" s="1"/>
  <c r="F69" i="34" s="1"/>
  <c r="C54" i="34"/>
  <c r="B54" i="34"/>
  <c r="B55" i="34" s="1"/>
  <c r="B56" i="34" s="1"/>
  <c r="B57" i="34" s="1"/>
  <c r="B58" i="34" s="1"/>
  <c r="B59" i="34" s="1"/>
  <c r="B60" i="34" s="1"/>
  <c r="B61" i="34" s="1"/>
  <c r="B62" i="34" s="1"/>
  <c r="B63" i="34" s="1"/>
  <c r="B64" i="34" s="1"/>
  <c r="B65" i="34" s="1"/>
  <c r="B66" i="34" s="1"/>
  <c r="B67" i="34" s="1"/>
  <c r="B68" i="34" s="1"/>
  <c r="B69" i="34" s="1"/>
  <c r="A54" i="34"/>
  <c r="A55" i="34" s="1"/>
  <c r="A56" i="34" s="1"/>
  <c r="A57" i="34" s="1"/>
  <c r="A58" i="34" s="1"/>
  <c r="A59" i="34" s="1"/>
  <c r="A60" i="34" s="1"/>
  <c r="A61" i="34" s="1"/>
  <c r="A62" i="34" s="1"/>
  <c r="A63" i="34" s="1"/>
  <c r="A64" i="34" s="1"/>
  <c r="A65" i="34" s="1"/>
  <c r="A66" i="34" s="1"/>
  <c r="A67" i="34" s="1"/>
  <c r="A68" i="34" s="1"/>
  <c r="A69" i="34" s="1"/>
  <c r="A70" i="34" s="1"/>
  <c r="A71" i="34" s="1"/>
  <c r="A72" i="34" s="1"/>
  <c r="A73" i="34" s="1"/>
  <c r="A74" i="34" s="1"/>
  <c r="A75" i="34" s="1"/>
  <c r="A76" i="34" s="1"/>
  <c r="A77" i="34" s="1"/>
  <c r="A78" i="34" s="1"/>
  <c r="A79" i="34" s="1"/>
  <c r="A80" i="34" s="1"/>
  <c r="A81" i="34" s="1"/>
  <c r="A82" i="34" s="1"/>
  <c r="A83" i="34" s="1"/>
  <c r="A84" i="34" s="1"/>
  <c r="A85" i="34" s="1"/>
  <c r="A86" i="34" s="1"/>
  <c r="A87" i="34" s="1"/>
  <c r="A88" i="34" s="1"/>
  <c r="A89" i="34" s="1"/>
  <c r="D30" i="45" l="1"/>
  <c r="C26" i="62"/>
  <c r="D37" i="45"/>
  <c r="C32" i="62"/>
  <c r="A91" i="34"/>
  <c r="A92" i="34" s="1"/>
  <c r="A93" i="34" s="1"/>
  <c r="A94" i="34" s="1"/>
  <c r="A95" i="34" s="1"/>
  <c r="A96" i="34" s="1"/>
  <c r="A97" i="34" s="1"/>
  <c r="A98" i="34" s="1"/>
  <c r="A99" i="34" s="1"/>
  <c r="A100" i="34" s="1"/>
  <c r="A101" i="34" s="1"/>
  <c r="A102" i="34" s="1"/>
  <c r="A103" i="34" s="1"/>
  <c r="A104" i="34" s="1"/>
  <c r="A105" i="34" s="1"/>
  <c r="A106" i="34" s="1"/>
  <c r="A107" i="34" s="1"/>
  <c r="A108" i="34" s="1"/>
  <c r="A109" i="34" s="1"/>
  <c r="A110" i="34" s="1"/>
  <c r="A111" i="34" s="1"/>
  <c r="A112" i="34" s="1"/>
  <c r="A113" i="34" s="1"/>
  <c r="A114" i="34" s="1"/>
  <c r="A115" i="34" s="1"/>
  <c r="A116" i="34" s="1"/>
  <c r="A117" i="34" s="1"/>
  <c r="A118" i="34" s="1"/>
  <c r="A119" i="34" s="1"/>
  <c r="A120" i="34" s="1"/>
  <c r="A121" i="34" s="1"/>
  <c r="A122" i="34" s="1"/>
  <c r="A90" i="34"/>
  <c r="A42" i="45"/>
  <c r="A64" i="45" s="1"/>
  <c r="A63" i="45"/>
  <c r="C70" i="34"/>
  <c r="C55" i="34"/>
  <c r="A34" i="45"/>
  <c r="A62" i="45" s="1"/>
  <c r="F133" i="33"/>
  <c r="F134" i="33" s="1"/>
  <c r="F135" i="33" s="1"/>
  <c r="F136" i="33" s="1"/>
  <c r="F137" i="33" s="1"/>
  <c r="F138" i="33" s="1"/>
  <c r="F139" i="33" s="1"/>
  <c r="F140" i="33" s="1"/>
  <c r="F141" i="33" s="1"/>
  <c r="F142" i="33" s="1"/>
  <c r="F144" i="33" s="1"/>
  <c r="F145" i="33" s="1"/>
  <c r="F146" i="33" s="1"/>
  <c r="F147" i="33" s="1"/>
  <c r="F143" i="33" s="1"/>
  <c r="F117" i="33"/>
  <c r="F118" i="33" s="1"/>
  <c r="F119" i="33" s="1"/>
  <c r="F120" i="33" s="1"/>
  <c r="F121" i="33" s="1"/>
  <c r="F122" i="33" s="1"/>
  <c r="F123" i="33" s="1"/>
  <c r="F124" i="33" s="1"/>
  <c r="F125" i="33" s="1"/>
  <c r="F126" i="33" s="1"/>
  <c r="F128" i="33" s="1"/>
  <c r="F129" i="33" s="1"/>
  <c r="F130" i="33" s="1"/>
  <c r="F131" i="33" s="1"/>
  <c r="F127" i="33" s="1"/>
  <c r="E117" i="33"/>
  <c r="E118" i="33" s="1"/>
  <c r="E119" i="33" s="1"/>
  <c r="E120" i="33" s="1"/>
  <c r="E121" i="33" s="1"/>
  <c r="E122" i="33" s="1"/>
  <c r="E123" i="33" s="1"/>
  <c r="E124" i="33" s="1"/>
  <c r="E125" i="33" s="1"/>
  <c r="E126" i="33" s="1"/>
  <c r="E128" i="33" s="1"/>
  <c r="E129" i="33" s="1"/>
  <c r="E130" i="33" s="1"/>
  <c r="E131" i="33" s="1"/>
  <c r="E127" i="33" s="1"/>
  <c r="E132" i="33" s="1"/>
  <c r="E133" i="33" s="1"/>
  <c r="E134" i="33" s="1"/>
  <c r="E135" i="33" s="1"/>
  <c r="E136" i="33" s="1"/>
  <c r="E137" i="33" s="1"/>
  <c r="E138" i="33" s="1"/>
  <c r="E139" i="33" s="1"/>
  <c r="E140" i="33" s="1"/>
  <c r="E141" i="33" s="1"/>
  <c r="E142" i="33" s="1"/>
  <c r="E144" i="33" s="1"/>
  <c r="E145" i="33" s="1"/>
  <c r="E146" i="33" s="1"/>
  <c r="E147" i="33" s="1"/>
  <c r="E143" i="33" s="1"/>
  <c r="E85" i="33"/>
  <c r="E86" i="33" s="1"/>
  <c r="E87" i="33" s="1"/>
  <c r="E88" i="33" s="1"/>
  <c r="E89" i="33" s="1"/>
  <c r="E90" i="33" s="1"/>
  <c r="E91" i="33" s="1"/>
  <c r="E92" i="33" s="1"/>
  <c r="E93" i="33" s="1"/>
  <c r="E94" i="33" s="1"/>
  <c r="E96" i="33" s="1"/>
  <c r="E97" i="33" s="1"/>
  <c r="E98" i="33" s="1"/>
  <c r="E99" i="33" s="1"/>
  <c r="E95" i="33" s="1"/>
  <c r="E101" i="33" s="1"/>
  <c r="E102" i="33" s="1"/>
  <c r="E103" i="33" s="1"/>
  <c r="E104" i="33" s="1"/>
  <c r="E105" i="33" s="1"/>
  <c r="E106" i="33" s="1"/>
  <c r="E107" i="33" s="1"/>
  <c r="E108" i="33" s="1"/>
  <c r="E109" i="33" s="1"/>
  <c r="E110" i="33" s="1"/>
  <c r="E112" i="33" s="1"/>
  <c r="E113" i="33" s="1"/>
  <c r="E114" i="33" s="1"/>
  <c r="E115" i="33" s="1"/>
  <c r="E111" i="33" s="1"/>
  <c r="B100" i="33"/>
  <c r="B101" i="33" s="1"/>
  <c r="B102" i="33" s="1"/>
  <c r="B103" i="33" s="1"/>
  <c r="B104" i="33" s="1"/>
  <c r="B105" i="33" s="1"/>
  <c r="B106" i="33" s="1"/>
  <c r="B107" i="33" s="1"/>
  <c r="B108" i="33" s="1"/>
  <c r="B109" i="33" s="1"/>
  <c r="B110" i="33" s="1"/>
  <c r="B112" i="33" s="1"/>
  <c r="B113" i="33" s="1"/>
  <c r="B114" i="33" s="1"/>
  <c r="B115" i="33" s="1"/>
  <c r="D95" i="33"/>
  <c r="D85" i="33"/>
  <c r="D86" i="33"/>
  <c r="D87" i="33"/>
  <c r="D88" i="33"/>
  <c r="D89" i="33"/>
  <c r="D90" i="33"/>
  <c r="D91" i="33"/>
  <c r="D92" i="33"/>
  <c r="D93" i="33"/>
  <c r="D94" i="33"/>
  <c r="D96" i="33"/>
  <c r="D97" i="33"/>
  <c r="D98" i="33"/>
  <c r="D99" i="33"/>
  <c r="D84" i="33"/>
  <c r="B84" i="33"/>
  <c r="B85" i="33" s="1"/>
  <c r="B86" i="33" s="1"/>
  <c r="B87" i="33" s="1"/>
  <c r="B88" i="33" s="1"/>
  <c r="B89" i="33" s="1"/>
  <c r="B90" i="33" s="1"/>
  <c r="B91" i="33" s="1"/>
  <c r="B92" i="33" s="1"/>
  <c r="B93" i="33" s="1"/>
  <c r="B94" i="33" s="1"/>
  <c r="B96" i="33" s="1"/>
  <c r="B97" i="33" s="1"/>
  <c r="B98" i="33" s="1"/>
  <c r="B99" i="33" s="1"/>
  <c r="B95" i="33" s="1"/>
  <c r="A84" i="33"/>
  <c r="A85" i="33" s="1"/>
  <c r="A86" i="33" s="1"/>
  <c r="A87" i="33" s="1"/>
  <c r="A88" i="33" s="1"/>
  <c r="A89" i="33" s="1"/>
  <c r="A90" i="33" s="1"/>
  <c r="A91" i="33" s="1"/>
  <c r="A92" i="33" s="1"/>
  <c r="A93" i="33" s="1"/>
  <c r="A94" i="33" s="1"/>
  <c r="A96" i="33" s="1"/>
  <c r="A97" i="33" s="1"/>
  <c r="A98" i="33" s="1"/>
  <c r="A99" i="33" s="1"/>
  <c r="A95" i="33" s="1"/>
  <c r="A100" i="33" s="1"/>
  <c r="A101" i="33" s="1"/>
  <c r="A102" i="33" s="1"/>
  <c r="A103" i="33" s="1"/>
  <c r="A104" i="33" s="1"/>
  <c r="A105" i="33" s="1"/>
  <c r="A106" i="33" s="1"/>
  <c r="A107" i="33" s="1"/>
  <c r="A108" i="33" s="1"/>
  <c r="A109" i="33" s="1"/>
  <c r="A110" i="33" s="1"/>
  <c r="A112" i="33" s="1"/>
  <c r="A113" i="33" s="1"/>
  <c r="A114" i="33" s="1"/>
  <c r="A115" i="33" s="1"/>
  <c r="B73" i="33"/>
  <c r="B74" i="33" s="1"/>
  <c r="B75" i="33" s="1"/>
  <c r="B76" i="33" s="1"/>
  <c r="B77" i="33" s="1"/>
  <c r="B78" i="33" s="1"/>
  <c r="B79" i="33" s="1"/>
  <c r="B80" i="33" s="1"/>
  <c r="B81" i="33" s="1"/>
  <c r="B82" i="33" s="1"/>
  <c r="A73" i="33"/>
  <c r="A74" i="33" s="1"/>
  <c r="A75" i="33" s="1"/>
  <c r="A76" i="33" s="1"/>
  <c r="A77" i="33" s="1"/>
  <c r="A78" i="33" s="1"/>
  <c r="A79" i="33" s="1"/>
  <c r="A80" i="33" s="1"/>
  <c r="A81" i="33" s="1"/>
  <c r="A82" i="33" s="1"/>
  <c r="D38" i="45" l="1"/>
  <c r="C33" i="62"/>
  <c r="D31" i="45"/>
  <c r="C27" i="62"/>
  <c r="A135" i="34"/>
  <c r="A136" i="34" s="1"/>
  <c r="A137" i="34" s="1"/>
  <c r="A138" i="34" s="1"/>
  <c r="A139" i="34" s="1"/>
  <c r="A140" i="34" s="1"/>
  <c r="A141" i="34" s="1"/>
  <c r="A142" i="34" s="1"/>
  <c r="A143" i="34" s="1"/>
  <c r="A144" i="34" s="1"/>
  <c r="A145" i="34" s="1"/>
  <c r="A146" i="34" s="1"/>
  <c r="A147" i="34" s="1"/>
  <c r="A148" i="34" s="1"/>
  <c r="A149" i="34" s="1"/>
  <c r="A150" i="34" s="1"/>
  <c r="A151" i="34" s="1"/>
  <c r="A152" i="34" s="1"/>
  <c r="A153" i="34" s="1"/>
  <c r="A154" i="34" s="1"/>
  <c r="A155" i="34" s="1"/>
  <c r="A156" i="34" s="1"/>
  <c r="A157" i="34" s="1"/>
  <c r="A158" i="34" s="1"/>
  <c r="A159" i="34" s="1"/>
  <c r="A160" i="34" s="1"/>
  <c r="A161" i="34" s="1"/>
  <c r="A162" i="34" s="1"/>
  <c r="A163" i="34" s="1"/>
  <c r="A164" i="34" s="1"/>
  <c r="A165" i="34" s="1"/>
  <c r="A166" i="34" s="1"/>
  <c r="A167" i="34" s="1"/>
  <c r="A168" i="34" s="1"/>
  <c r="A169" i="34" s="1"/>
  <c r="A170" i="34" s="1"/>
  <c r="A171" i="34" s="1"/>
  <c r="A172" i="34" s="1"/>
  <c r="A173" i="34" s="1"/>
  <c r="A174" i="34" s="1"/>
  <c r="A175" i="34" s="1"/>
  <c r="A176" i="34" s="1"/>
  <c r="A177" i="34" s="1"/>
  <c r="A178" i="34" s="1"/>
  <c r="A179" i="34" s="1"/>
  <c r="A180" i="34" s="1"/>
  <c r="A181" i="34" s="1"/>
  <c r="A182" i="34" s="1"/>
  <c r="A183" i="34" s="1"/>
  <c r="A184" i="34" s="1"/>
  <c r="A185" i="34" s="1"/>
  <c r="A186" i="34" s="1"/>
  <c r="A187" i="34" s="1"/>
  <c r="A123" i="34"/>
  <c r="A124" i="34" s="1"/>
  <c r="A125" i="34" s="1"/>
  <c r="A126" i="34" s="1"/>
  <c r="A127" i="34" s="1"/>
  <c r="A128" i="34" s="1"/>
  <c r="A129" i="34" s="1"/>
  <c r="A130" i="34" s="1"/>
  <c r="A131" i="34" s="1"/>
  <c r="A132" i="34" s="1"/>
  <c r="A133" i="34" s="1"/>
  <c r="A134" i="34" s="1"/>
  <c r="A44" i="45"/>
  <c r="A45" i="45" s="1"/>
  <c r="A46" i="45" s="1"/>
  <c r="A47" i="45" s="1"/>
  <c r="A48" i="45" s="1"/>
  <c r="A50" i="45" s="1"/>
  <c r="A51" i="45" s="1"/>
  <c r="A43" i="45"/>
  <c r="A65" i="45" s="1"/>
  <c r="A111" i="33"/>
  <c r="A116" i="33"/>
  <c r="A117" i="33" s="1"/>
  <c r="A118" i="33" s="1"/>
  <c r="A119" i="33" s="1"/>
  <c r="A120" i="33" s="1"/>
  <c r="A121" i="33" s="1"/>
  <c r="A122" i="33" s="1"/>
  <c r="A123" i="33" s="1"/>
  <c r="A124" i="33" s="1"/>
  <c r="A125" i="33" s="1"/>
  <c r="A126" i="33" s="1"/>
  <c r="A127" i="33" s="1"/>
  <c r="A128" i="33" s="1"/>
  <c r="A129" i="33" s="1"/>
  <c r="A130" i="33" s="1"/>
  <c r="A131" i="33" s="1"/>
  <c r="A132" i="33" s="1"/>
  <c r="A133" i="33" s="1"/>
  <c r="A134" i="33" s="1"/>
  <c r="A135" i="33" s="1"/>
  <c r="A136" i="33" s="1"/>
  <c r="A137" i="33" s="1"/>
  <c r="A138" i="33" s="1"/>
  <c r="A139" i="33" s="1"/>
  <c r="A140" i="33" s="1"/>
  <c r="A141" i="33" s="1"/>
  <c r="A142" i="33" s="1"/>
  <c r="A143" i="33" s="1"/>
  <c r="A144" i="33" s="1"/>
  <c r="A145" i="33" s="1"/>
  <c r="A146" i="33" s="1"/>
  <c r="A147" i="33" s="1"/>
  <c r="B111" i="33"/>
  <c r="B116" i="33"/>
  <c r="B117" i="33" s="1"/>
  <c r="B118" i="33" s="1"/>
  <c r="B119" i="33" s="1"/>
  <c r="B120" i="33" s="1"/>
  <c r="B121" i="33" s="1"/>
  <c r="B122" i="33" s="1"/>
  <c r="B123" i="33" s="1"/>
  <c r="B124" i="33" s="1"/>
  <c r="B125" i="33" s="1"/>
  <c r="B126" i="33" s="1"/>
  <c r="B127" i="33" s="1"/>
  <c r="B128" i="33" s="1"/>
  <c r="B129" i="33" s="1"/>
  <c r="B130" i="33" s="1"/>
  <c r="B131" i="33" s="1"/>
  <c r="B132" i="33" s="1"/>
  <c r="B133" i="33" s="1"/>
  <c r="B134" i="33" s="1"/>
  <c r="B135" i="33" s="1"/>
  <c r="B136" i="33" s="1"/>
  <c r="B137" i="33" s="1"/>
  <c r="B138" i="33" s="1"/>
  <c r="B139" i="33" s="1"/>
  <c r="B140" i="33" s="1"/>
  <c r="B141" i="33" s="1"/>
  <c r="B142" i="33" s="1"/>
  <c r="B143" i="33" s="1"/>
  <c r="B144" i="33" s="1"/>
  <c r="B145" i="33" s="1"/>
  <c r="B146" i="33" s="1"/>
  <c r="B147" i="33" s="1"/>
  <c r="C71" i="34"/>
  <c r="C56" i="34"/>
  <c r="D104" i="33"/>
  <c r="D58" i="34"/>
  <c r="D114" i="33"/>
  <c r="D68" i="34"/>
  <c r="D105" i="33"/>
  <c r="D59" i="34"/>
  <c r="D113" i="33"/>
  <c r="D67" i="34"/>
  <c r="D108" i="33"/>
  <c r="D62" i="34"/>
  <c r="D111" i="33"/>
  <c r="D65" i="34"/>
  <c r="D100" i="33"/>
  <c r="D54" i="34"/>
  <c r="D112" i="33"/>
  <c r="D66" i="34"/>
  <c r="D107" i="33"/>
  <c r="D61" i="34"/>
  <c r="D103" i="33"/>
  <c r="D57" i="34"/>
  <c r="D109" i="33"/>
  <c r="D63" i="34"/>
  <c r="D101" i="33"/>
  <c r="D55" i="34"/>
  <c r="D115" i="33"/>
  <c r="D69" i="34"/>
  <c r="D110" i="33"/>
  <c r="D64" i="34"/>
  <c r="D106" i="33"/>
  <c r="D60" i="34"/>
  <c r="D102" i="33"/>
  <c r="D56" i="34"/>
  <c r="D32" i="45" l="1"/>
  <c r="C28" i="62"/>
  <c r="D39" i="45"/>
  <c r="C34" i="62"/>
  <c r="A49" i="45"/>
  <c r="A66" i="45" s="1"/>
  <c r="A53" i="45"/>
  <c r="A54" i="45" s="1"/>
  <c r="A52" i="45"/>
  <c r="A67" i="45" s="1"/>
  <c r="C57" i="34"/>
  <c r="C72" i="34"/>
  <c r="D118" i="33"/>
  <c r="D134" i="33" s="1"/>
  <c r="D72" i="34"/>
  <c r="D126" i="33"/>
  <c r="D142" i="33" s="1"/>
  <c r="D80" i="34"/>
  <c r="D117" i="33"/>
  <c r="D133" i="33" s="1"/>
  <c r="D71" i="34"/>
  <c r="D119" i="33"/>
  <c r="D135" i="33" s="1"/>
  <c r="D73" i="34"/>
  <c r="D128" i="33"/>
  <c r="D144" i="33" s="1"/>
  <c r="D82" i="34"/>
  <c r="D127" i="33"/>
  <c r="D143" i="33" s="1"/>
  <c r="D81" i="34"/>
  <c r="D129" i="33"/>
  <c r="D145" i="33" s="1"/>
  <c r="D83" i="34"/>
  <c r="D130" i="33"/>
  <c r="D146" i="33" s="1"/>
  <c r="D84" i="34"/>
  <c r="D122" i="33"/>
  <c r="D138" i="33" s="1"/>
  <c r="D76" i="34"/>
  <c r="D131" i="33"/>
  <c r="D147" i="33" s="1"/>
  <c r="D85" i="34"/>
  <c r="D125" i="33"/>
  <c r="D141" i="33" s="1"/>
  <c r="D79" i="34"/>
  <c r="D123" i="33"/>
  <c r="D139" i="33" s="1"/>
  <c r="D77" i="34"/>
  <c r="D116" i="33"/>
  <c r="D70" i="34"/>
  <c r="D124" i="33"/>
  <c r="D140" i="33" s="1"/>
  <c r="D78" i="34"/>
  <c r="D121" i="33"/>
  <c r="D137" i="33" s="1"/>
  <c r="D75" i="34"/>
  <c r="D120" i="33"/>
  <c r="D136" i="33" s="1"/>
  <c r="D74" i="34"/>
  <c r="D40" i="45" l="1"/>
  <c r="C36" i="62" s="1"/>
  <c r="C35" i="62"/>
  <c r="D33" i="45"/>
  <c r="C30" i="62" s="1"/>
  <c r="C29" i="62"/>
  <c r="R61" i="34"/>
  <c r="H64" i="34"/>
  <c r="O62" i="34"/>
  <c r="S61" i="34"/>
  <c r="H67" i="34"/>
  <c r="M64" i="34"/>
  <c r="L69" i="34"/>
  <c r="S68" i="34"/>
  <c r="V58" i="34"/>
  <c r="X54" i="34"/>
  <c r="Z63" i="34"/>
  <c r="K60" i="34"/>
  <c r="Q67" i="34"/>
  <c r="D132" i="33"/>
  <c r="AC64" i="34"/>
  <c r="O57" i="34"/>
  <c r="O67" i="34"/>
  <c r="U60" i="34"/>
  <c r="W60" i="34"/>
  <c r="AB69" i="34"/>
  <c r="U63" i="34"/>
  <c r="AB63" i="34"/>
  <c r="Q61" i="34"/>
  <c r="O54" i="34"/>
  <c r="Q54" i="34"/>
  <c r="U59" i="34"/>
  <c r="K59" i="34"/>
  <c r="H58" i="34"/>
  <c r="X58" i="34"/>
  <c r="U55" i="34"/>
  <c r="I55" i="34"/>
  <c r="H66" i="34"/>
  <c r="AB66" i="34"/>
  <c r="U68" i="34"/>
  <c r="O68" i="34"/>
  <c r="P64" i="34"/>
  <c r="Q57" i="34"/>
  <c r="I60" i="34"/>
  <c r="S69" i="34"/>
  <c r="M69" i="34"/>
  <c r="J63" i="34"/>
  <c r="W63" i="34"/>
  <c r="H61" i="34"/>
  <c r="V62" i="34"/>
  <c r="L62" i="34"/>
  <c r="J59" i="34"/>
  <c r="AA59" i="34"/>
  <c r="O58" i="34"/>
  <c r="Q58" i="34"/>
  <c r="J55" i="34"/>
  <c r="W55" i="34"/>
  <c r="O66" i="34"/>
  <c r="Y66" i="34"/>
  <c r="I68" i="34"/>
  <c r="Z64" i="34"/>
  <c r="Z57" i="34"/>
  <c r="V67" i="34"/>
  <c r="T60" i="34"/>
  <c r="R60" i="34"/>
  <c r="AC69" i="34"/>
  <c r="I63" i="34"/>
  <c r="T63" i="34"/>
  <c r="X61" i="34"/>
  <c r="V54" i="34"/>
  <c r="H62" i="34"/>
  <c r="AB62" i="34"/>
  <c r="R59" i="34"/>
  <c r="AB59" i="34"/>
  <c r="R55" i="34"/>
  <c r="L55" i="34"/>
  <c r="T68" i="34"/>
  <c r="N68" i="34"/>
  <c r="V66" i="34"/>
  <c r="Y62" i="34"/>
  <c r="L66" i="34"/>
  <c r="H54" i="34"/>
  <c r="P57" i="34"/>
  <c r="K77" i="34"/>
  <c r="AA77" i="34"/>
  <c r="V77" i="34"/>
  <c r="L77" i="34"/>
  <c r="R77" i="34"/>
  <c r="M77" i="34"/>
  <c r="Z77" i="34"/>
  <c r="R84" i="34"/>
  <c r="Z84" i="34"/>
  <c r="U84" i="34"/>
  <c r="K84" i="34"/>
  <c r="L84" i="34"/>
  <c r="AB84" i="34"/>
  <c r="M84" i="34"/>
  <c r="J65" i="34"/>
  <c r="V56" i="34"/>
  <c r="Y56" i="34"/>
  <c r="X56" i="34"/>
  <c r="H68" i="34"/>
  <c r="Z68" i="34"/>
  <c r="Q68" i="34"/>
  <c r="P68" i="34"/>
  <c r="Q66" i="34"/>
  <c r="X66" i="34"/>
  <c r="AC66" i="34"/>
  <c r="AA66" i="34"/>
  <c r="K66" i="34"/>
  <c r="R66" i="34"/>
  <c r="S55" i="34"/>
  <c r="N55" i="34"/>
  <c r="Q55" i="34"/>
  <c r="J58" i="34"/>
  <c r="T58" i="34"/>
  <c r="U58" i="34"/>
  <c r="AA58" i="34"/>
  <c r="K58" i="34"/>
  <c r="R58" i="34"/>
  <c r="P59" i="34"/>
  <c r="W59" i="34"/>
  <c r="N59" i="34"/>
  <c r="Q59" i="34"/>
  <c r="M62" i="34"/>
  <c r="X62" i="34"/>
  <c r="U62" i="34"/>
  <c r="AA62" i="34"/>
  <c r="K62" i="34"/>
  <c r="R62" i="34"/>
  <c r="J54" i="34"/>
  <c r="T54" i="34"/>
  <c r="U54" i="34"/>
  <c r="AA54" i="34"/>
  <c r="K54" i="34"/>
  <c r="R54" i="34"/>
  <c r="AC61" i="34"/>
  <c r="M61" i="34"/>
  <c r="N61" i="34"/>
  <c r="T61" i="34"/>
  <c r="O61" i="34"/>
  <c r="S63" i="34"/>
  <c r="L63" i="34"/>
  <c r="V63" i="34"/>
  <c r="X63" i="34"/>
  <c r="Q63" i="34"/>
  <c r="Y69" i="34"/>
  <c r="H69" i="34"/>
  <c r="X69" i="34"/>
  <c r="Z69" i="34"/>
  <c r="O69" i="34"/>
  <c r="O60" i="34"/>
  <c r="N60" i="34"/>
  <c r="Q60" i="34"/>
  <c r="P60" i="34"/>
  <c r="AA67" i="34"/>
  <c r="K67" i="34"/>
  <c r="R67" i="34"/>
  <c r="X67" i="34"/>
  <c r="AC67" i="34"/>
  <c r="M67" i="34"/>
  <c r="AC57" i="34"/>
  <c r="M57" i="34"/>
  <c r="AB57" i="34"/>
  <c r="L57" i="34"/>
  <c r="N57" i="34"/>
  <c r="AA57" i="34"/>
  <c r="K57" i="34"/>
  <c r="J64" i="34"/>
  <c r="V64" i="34"/>
  <c r="O64" i="34"/>
  <c r="Y64" i="34"/>
  <c r="AB64" i="34"/>
  <c r="L64" i="34"/>
  <c r="I65" i="34"/>
  <c r="AC65" i="34"/>
  <c r="M65" i="34"/>
  <c r="AB65" i="34"/>
  <c r="L65" i="34"/>
  <c r="S65" i="34"/>
  <c r="W56" i="34"/>
  <c r="R56" i="34"/>
  <c r="I56" i="34"/>
  <c r="U56" i="34"/>
  <c r="O56" i="34"/>
  <c r="T56" i="34"/>
  <c r="L74" i="34"/>
  <c r="P74" i="34"/>
  <c r="T74" i="34"/>
  <c r="AB74" i="34"/>
  <c r="H74" i="34"/>
  <c r="AA74" i="34"/>
  <c r="I74" i="34"/>
  <c r="M74" i="34"/>
  <c r="U74" i="34"/>
  <c r="Y74" i="34"/>
  <c r="AC74" i="34"/>
  <c r="S74" i="34"/>
  <c r="J74" i="34"/>
  <c r="R74" i="34"/>
  <c r="V74" i="34"/>
  <c r="Z74" i="34"/>
  <c r="K74" i="34"/>
  <c r="W74" i="34"/>
  <c r="K85" i="34"/>
  <c r="O85" i="34"/>
  <c r="S85" i="34"/>
  <c r="AA85" i="34"/>
  <c r="Z85" i="34"/>
  <c r="L85" i="34"/>
  <c r="T85" i="34"/>
  <c r="X85" i="34"/>
  <c r="AB85" i="34"/>
  <c r="R85" i="34"/>
  <c r="H85" i="34"/>
  <c r="M85" i="34"/>
  <c r="Q85" i="34"/>
  <c r="U85" i="34"/>
  <c r="AC85" i="34"/>
  <c r="J85" i="34"/>
  <c r="K73" i="34"/>
  <c r="O73" i="34"/>
  <c r="S73" i="34"/>
  <c r="AA73" i="34"/>
  <c r="V73" i="34"/>
  <c r="L73" i="34"/>
  <c r="T73" i="34"/>
  <c r="X73" i="34"/>
  <c r="AB73" i="34"/>
  <c r="R73" i="34"/>
  <c r="I73" i="34"/>
  <c r="Q73" i="34"/>
  <c r="U73" i="34"/>
  <c r="Y73" i="34"/>
  <c r="N73" i="34"/>
  <c r="Z73" i="34"/>
  <c r="H65" i="34"/>
  <c r="Q65" i="34"/>
  <c r="P65" i="34"/>
  <c r="W65" i="34"/>
  <c r="J56" i="34"/>
  <c r="S56" i="34"/>
  <c r="AA56" i="34"/>
  <c r="M75" i="34"/>
  <c r="Q75" i="34"/>
  <c r="U75" i="34"/>
  <c r="AC75" i="34"/>
  <c r="L75" i="34"/>
  <c r="J75" i="34"/>
  <c r="N75" i="34"/>
  <c r="R75" i="34"/>
  <c r="Z75" i="34"/>
  <c r="T75" i="34"/>
  <c r="K75" i="34"/>
  <c r="S75" i="34"/>
  <c r="W75" i="34"/>
  <c r="AA75" i="34"/>
  <c r="P75" i="34"/>
  <c r="AB75" i="34"/>
  <c r="P70" i="34"/>
  <c r="T70" i="34"/>
  <c r="X70" i="34"/>
  <c r="H70" i="34"/>
  <c r="K70" i="34"/>
  <c r="AA70" i="34"/>
  <c r="I70" i="34"/>
  <c r="Q70" i="34"/>
  <c r="U70" i="34"/>
  <c r="Y70" i="34"/>
  <c r="J70" i="34"/>
  <c r="N70" i="34"/>
  <c r="V70" i="34"/>
  <c r="Z70" i="34"/>
  <c r="O70" i="34"/>
  <c r="W70" i="34"/>
  <c r="M79" i="34"/>
  <c r="Q79" i="34"/>
  <c r="U79" i="34"/>
  <c r="AC79" i="34"/>
  <c r="T79" i="34"/>
  <c r="J79" i="34"/>
  <c r="N79" i="34"/>
  <c r="R79" i="34"/>
  <c r="Z79" i="34"/>
  <c r="P79" i="34"/>
  <c r="AB79" i="34"/>
  <c r="K79" i="34"/>
  <c r="S79" i="34"/>
  <c r="W79" i="34"/>
  <c r="AA79" i="34"/>
  <c r="L79" i="34"/>
  <c r="X79" i="34"/>
  <c r="N76" i="34"/>
  <c r="R76" i="34"/>
  <c r="V76" i="34"/>
  <c r="M76" i="34"/>
  <c r="K76" i="34"/>
  <c r="O76" i="34"/>
  <c r="S76" i="34"/>
  <c r="AA76" i="34"/>
  <c r="L76" i="34"/>
  <c r="P76" i="34"/>
  <c r="X76" i="34"/>
  <c r="AB76" i="34"/>
  <c r="I76" i="34"/>
  <c r="U76" i="34"/>
  <c r="AC76" i="34"/>
  <c r="M83" i="34"/>
  <c r="Q83" i="34"/>
  <c r="U83" i="34"/>
  <c r="AC83" i="34"/>
  <c r="P83" i="34"/>
  <c r="J83" i="34"/>
  <c r="N83" i="34"/>
  <c r="R83" i="34"/>
  <c r="Z83" i="34"/>
  <c r="T83" i="34"/>
  <c r="K83" i="34"/>
  <c r="S83" i="34"/>
  <c r="W83" i="34"/>
  <c r="AA83" i="34"/>
  <c r="L83" i="34"/>
  <c r="X83" i="34"/>
  <c r="P82" i="34"/>
  <c r="T82" i="34"/>
  <c r="X82" i="34"/>
  <c r="H82" i="34"/>
  <c r="S82" i="34"/>
  <c r="I82" i="34"/>
  <c r="M82" i="34"/>
  <c r="Q82" i="34"/>
  <c r="Y82" i="34"/>
  <c r="AC82" i="34"/>
  <c r="W82" i="34"/>
  <c r="J82" i="34"/>
  <c r="R82" i="34"/>
  <c r="V82" i="34"/>
  <c r="Z82" i="34"/>
  <c r="O82" i="34"/>
  <c r="AA82" i="34"/>
  <c r="M71" i="34"/>
  <c r="Q71" i="34"/>
  <c r="U71" i="34"/>
  <c r="AC71" i="34"/>
  <c r="P71" i="34"/>
  <c r="J71" i="34"/>
  <c r="N71" i="34"/>
  <c r="V71" i="34"/>
  <c r="Z71" i="34"/>
  <c r="H71" i="34"/>
  <c r="K71" i="34"/>
  <c r="O71" i="34"/>
  <c r="W71" i="34"/>
  <c r="AA71" i="34"/>
  <c r="L71" i="34"/>
  <c r="T71" i="34"/>
  <c r="AB71" i="34"/>
  <c r="N72" i="34"/>
  <c r="R72" i="34"/>
  <c r="V72" i="34"/>
  <c r="Q72" i="34"/>
  <c r="K72" i="34"/>
  <c r="O72" i="34"/>
  <c r="S72" i="34"/>
  <c r="AA72" i="34"/>
  <c r="L72" i="34"/>
  <c r="P72" i="34"/>
  <c r="X72" i="34"/>
  <c r="AB72" i="34"/>
  <c r="M72" i="34"/>
  <c r="U72" i="34"/>
  <c r="AC72" i="34"/>
  <c r="J68" i="34"/>
  <c r="V68" i="34"/>
  <c r="W68" i="34"/>
  <c r="AC68" i="34"/>
  <c r="M68" i="34"/>
  <c r="AB68" i="34"/>
  <c r="L68" i="34"/>
  <c r="J66" i="34"/>
  <c r="T66" i="34"/>
  <c r="I66" i="34"/>
  <c r="W66" i="34"/>
  <c r="U66" i="34"/>
  <c r="N66" i="34"/>
  <c r="O55" i="34"/>
  <c r="T55" i="34"/>
  <c r="Z55" i="34"/>
  <c r="AB55" i="34"/>
  <c r="AC55" i="34"/>
  <c r="M55" i="34"/>
  <c r="P58" i="34"/>
  <c r="I58" i="34"/>
  <c r="W58" i="34"/>
  <c r="Y58" i="34"/>
  <c r="N58" i="34"/>
  <c r="S59" i="34"/>
  <c r="T59" i="34"/>
  <c r="Z59" i="34"/>
  <c r="X59" i="34"/>
  <c r="AC59" i="34"/>
  <c r="M59" i="34"/>
  <c r="J62" i="34"/>
  <c r="T62" i="34"/>
  <c r="I62" i="34"/>
  <c r="W62" i="34"/>
  <c r="AC62" i="34"/>
  <c r="N62" i="34"/>
  <c r="P54" i="34"/>
  <c r="I54" i="34"/>
  <c r="W54" i="34"/>
  <c r="AC54" i="34"/>
  <c r="N54" i="34"/>
  <c r="Y61" i="34"/>
  <c r="I61" i="34"/>
  <c r="P61" i="34"/>
  <c r="V61" i="34"/>
  <c r="AA61" i="34"/>
  <c r="K61" i="34"/>
  <c r="O63" i="34"/>
  <c r="R63" i="34"/>
  <c r="P63" i="34"/>
  <c r="AC63" i="34"/>
  <c r="M63" i="34"/>
  <c r="R69" i="34"/>
  <c r="U69" i="34"/>
  <c r="V69" i="34"/>
  <c r="T69" i="34"/>
  <c r="N69" i="34"/>
  <c r="AA69" i="34"/>
  <c r="K69" i="34"/>
  <c r="H60" i="34"/>
  <c r="Z60" i="34"/>
  <c r="AC60" i="34"/>
  <c r="M60" i="34"/>
  <c r="AB60" i="34"/>
  <c r="L60" i="34"/>
  <c r="T67" i="34"/>
  <c r="W67" i="34"/>
  <c r="AB67" i="34"/>
  <c r="N67" i="34"/>
  <c r="L67" i="34"/>
  <c r="Y67" i="34"/>
  <c r="Y57" i="34"/>
  <c r="H57" i="34"/>
  <c r="X57" i="34"/>
  <c r="I57" i="34"/>
  <c r="J57" i="34"/>
  <c r="W57" i="34"/>
  <c r="AA64" i="34"/>
  <c r="R64" i="34"/>
  <c r="I64" i="34"/>
  <c r="U64" i="34"/>
  <c r="W64" i="34"/>
  <c r="X64" i="34"/>
  <c r="Y65" i="34"/>
  <c r="X65" i="34"/>
  <c r="Z65" i="34"/>
  <c r="O65" i="34"/>
  <c r="K56" i="34"/>
  <c r="N56" i="34"/>
  <c r="Q56" i="34"/>
  <c r="P56" i="34"/>
  <c r="P78" i="34"/>
  <c r="T78" i="34"/>
  <c r="X78" i="34"/>
  <c r="AB78" i="34"/>
  <c r="H78" i="34"/>
  <c r="K78" i="34"/>
  <c r="W78" i="34"/>
  <c r="I78" i="34"/>
  <c r="M78" i="34"/>
  <c r="Q78" i="34"/>
  <c r="U78" i="34"/>
  <c r="Y78" i="34"/>
  <c r="AC78" i="34"/>
  <c r="S78" i="34"/>
  <c r="J78" i="34"/>
  <c r="N78" i="34"/>
  <c r="R78" i="34"/>
  <c r="V78" i="34"/>
  <c r="Z78" i="34"/>
  <c r="O78" i="34"/>
  <c r="AA78" i="34"/>
  <c r="K81" i="34"/>
  <c r="O81" i="34"/>
  <c r="S81" i="34"/>
  <c r="W81" i="34"/>
  <c r="AA81" i="34"/>
  <c r="N81" i="34"/>
  <c r="Z81" i="34"/>
  <c r="L81" i="34"/>
  <c r="P81" i="34"/>
  <c r="T81" i="34"/>
  <c r="X81" i="34"/>
  <c r="AB81" i="34"/>
  <c r="J81" i="34"/>
  <c r="V81" i="34"/>
  <c r="I81" i="34"/>
  <c r="M81" i="34"/>
  <c r="Q81" i="34"/>
  <c r="U81" i="34"/>
  <c r="Y81" i="34"/>
  <c r="AC81" i="34"/>
  <c r="R81" i="34"/>
  <c r="H81" i="34"/>
  <c r="J80" i="34"/>
  <c r="N80" i="34"/>
  <c r="R80" i="34"/>
  <c r="V80" i="34"/>
  <c r="Z80" i="34"/>
  <c r="Q80" i="34"/>
  <c r="AC80" i="34"/>
  <c r="K80" i="34"/>
  <c r="O80" i="34"/>
  <c r="S80" i="34"/>
  <c r="W80" i="34"/>
  <c r="AA80" i="34"/>
  <c r="M80" i="34"/>
  <c r="Y80" i="34"/>
  <c r="L80" i="34"/>
  <c r="P80" i="34"/>
  <c r="T80" i="34"/>
  <c r="X80" i="34"/>
  <c r="AB80" i="34"/>
  <c r="H80" i="34"/>
  <c r="I80" i="34"/>
  <c r="U80" i="34"/>
  <c r="AA68" i="34"/>
  <c r="R68" i="34"/>
  <c r="K68" i="34"/>
  <c r="Y68" i="34"/>
  <c r="X68" i="34"/>
  <c r="P66" i="34"/>
  <c r="S66" i="34"/>
  <c r="M66" i="34"/>
  <c r="Z66" i="34"/>
  <c r="X55" i="34"/>
  <c r="AA55" i="34"/>
  <c r="K55" i="34"/>
  <c r="H55" i="34"/>
  <c r="V55" i="34"/>
  <c r="P55" i="34"/>
  <c r="Y55" i="34"/>
  <c r="AC58" i="34"/>
  <c r="AB58" i="34"/>
  <c r="L58" i="34"/>
  <c r="S58" i="34"/>
  <c r="M58" i="34"/>
  <c r="Z58" i="34"/>
  <c r="I59" i="34"/>
  <c r="O59" i="34"/>
  <c r="H59" i="34"/>
  <c r="V59" i="34"/>
  <c r="L59" i="34"/>
  <c r="Y59" i="34"/>
  <c r="P62" i="34"/>
  <c r="S62" i="34"/>
  <c r="Q62" i="34"/>
  <c r="Z62" i="34"/>
  <c r="Y54" i="34"/>
  <c r="AB54" i="34"/>
  <c r="L54" i="34"/>
  <c r="S54" i="34"/>
  <c r="M54" i="34"/>
  <c r="Z54" i="34"/>
  <c r="Z61" i="34"/>
  <c r="U61" i="34"/>
  <c r="AB61" i="34"/>
  <c r="L61" i="34"/>
  <c r="J61" i="34"/>
  <c r="W61" i="34"/>
  <c r="AA63" i="34"/>
  <c r="K63" i="34"/>
  <c r="N63" i="34"/>
  <c r="H63" i="34"/>
  <c r="Y63" i="34"/>
  <c r="I69" i="34"/>
  <c r="Q69" i="34"/>
  <c r="P69" i="34"/>
  <c r="J69" i="34"/>
  <c r="W69" i="34"/>
  <c r="J60" i="34"/>
  <c r="V60" i="34"/>
  <c r="S60" i="34"/>
  <c r="Y60" i="34"/>
  <c r="AA60" i="34"/>
  <c r="X60" i="34"/>
  <c r="S67" i="34"/>
  <c r="P67" i="34"/>
  <c r="Z67" i="34"/>
  <c r="I67" i="34"/>
  <c r="J67" i="34"/>
  <c r="U67" i="34"/>
  <c r="V57" i="34"/>
  <c r="U57" i="34"/>
  <c r="R57" i="34"/>
  <c r="T57" i="34"/>
  <c r="S57" i="34"/>
  <c r="S64" i="34"/>
  <c r="N64" i="34"/>
  <c r="Q64" i="34"/>
  <c r="K64" i="34"/>
  <c r="T64" i="34"/>
  <c r="N65" i="34"/>
  <c r="U65" i="34"/>
  <c r="V65" i="34"/>
  <c r="T65" i="34"/>
  <c r="R65" i="34"/>
  <c r="AA65" i="34"/>
  <c r="K65" i="34"/>
  <c r="H56" i="34"/>
  <c r="Z56" i="34"/>
  <c r="AC56" i="34"/>
  <c r="M56" i="34"/>
  <c r="AB56" i="34"/>
  <c r="L56" i="34"/>
  <c r="C73" i="34"/>
  <c r="M31" i="45" l="1"/>
  <c r="P31" i="68" s="1"/>
  <c r="J31" i="45"/>
  <c r="M31" i="68" s="1"/>
  <c r="Q33" i="45"/>
  <c r="T33" i="68" s="1"/>
  <c r="J33" i="45"/>
  <c r="M33" i="68" s="1"/>
  <c r="K33" i="45"/>
  <c r="N33" i="68" s="1"/>
  <c r="F31" i="45"/>
  <c r="I31" i="68" s="1"/>
  <c r="T31" i="45"/>
  <c r="W31" i="68" s="1"/>
  <c r="W31" i="45"/>
  <c r="Z31" i="68" s="1"/>
  <c r="O77" i="34"/>
  <c r="AB77" i="34"/>
  <c r="Q77" i="34"/>
  <c r="I84" i="34"/>
  <c r="AA84" i="34"/>
  <c r="Y39" i="45" s="1"/>
  <c r="AB39" i="68" s="1"/>
  <c r="P84" i="34"/>
  <c r="N39" i="45" s="1"/>
  <c r="Q39" i="68" s="1"/>
  <c r="X74" i="34"/>
  <c r="O74" i="34"/>
  <c r="Q74" i="34"/>
  <c r="N74" i="34"/>
  <c r="W85" i="34"/>
  <c r="N85" i="34"/>
  <c r="P85" i="34"/>
  <c r="I85" i="34"/>
  <c r="Y85" i="34"/>
  <c r="V85" i="34"/>
  <c r="W73" i="34"/>
  <c r="J73" i="34"/>
  <c r="P73" i="34"/>
  <c r="N35" i="45" s="1"/>
  <c r="Q35" i="68" s="1"/>
  <c r="M73" i="34"/>
  <c r="AC73" i="34"/>
  <c r="H73" i="34"/>
  <c r="I75" i="34"/>
  <c r="Y75" i="34"/>
  <c r="X75" i="34"/>
  <c r="V75" i="34"/>
  <c r="H75" i="34"/>
  <c r="O75" i="34"/>
  <c r="L70" i="34"/>
  <c r="AB70" i="34"/>
  <c r="S70" i="34"/>
  <c r="M70" i="34"/>
  <c r="AC70" i="34"/>
  <c r="R70" i="34"/>
  <c r="I79" i="34"/>
  <c r="Y79" i="34"/>
  <c r="V79" i="34"/>
  <c r="H79" i="34"/>
  <c r="O79" i="34"/>
  <c r="J76" i="34"/>
  <c r="Z76" i="34"/>
  <c r="X36" i="45" s="1"/>
  <c r="AA36" i="68" s="1"/>
  <c r="Y76" i="34"/>
  <c r="W76" i="34"/>
  <c r="Q76" i="34"/>
  <c r="T76" i="34"/>
  <c r="H76" i="34"/>
  <c r="I83" i="34"/>
  <c r="Y83" i="34"/>
  <c r="AB83" i="34"/>
  <c r="V83" i="34"/>
  <c r="H83" i="34"/>
  <c r="O83" i="34"/>
  <c r="L82" i="34"/>
  <c r="AB82" i="34"/>
  <c r="U82" i="34"/>
  <c r="K82" i="34"/>
  <c r="N82" i="34"/>
  <c r="I71" i="34"/>
  <c r="Y71" i="34"/>
  <c r="X71" i="34"/>
  <c r="V35" i="45" s="1"/>
  <c r="Y35" i="68" s="1"/>
  <c r="R71" i="34"/>
  <c r="S71" i="34"/>
  <c r="J72" i="34"/>
  <c r="Z72" i="34"/>
  <c r="X35" i="45" s="1"/>
  <c r="AA35" i="68" s="1"/>
  <c r="Y72" i="34"/>
  <c r="W72" i="34"/>
  <c r="I72" i="34"/>
  <c r="T72" i="34"/>
  <c r="R35" i="45" s="1"/>
  <c r="U35" i="68" s="1"/>
  <c r="H72" i="34"/>
  <c r="F35" i="45" s="1"/>
  <c r="I35" i="68" s="1"/>
  <c r="L78" i="34"/>
  <c r="J36" i="45" s="1"/>
  <c r="M36" i="68" s="1"/>
  <c r="S84" i="34"/>
  <c r="Q39" i="45" s="1"/>
  <c r="T39" i="68" s="1"/>
  <c r="V84" i="34"/>
  <c r="T39" i="45" s="1"/>
  <c r="W39" i="68" s="1"/>
  <c r="Y77" i="34"/>
  <c r="P77" i="34"/>
  <c r="N36" i="45" s="1"/>
  <c r="Q36" i="68" s="1"/>
  <c r="W77" i="34"/>
  <c r="O32" i="45"/>
  <c r="R32" i="68" s="1"/>
  <c r="Y84" i="34"/>
  <c r="X84" i="34"/>
  <c r="V39" i="45" s="1"/>
  <c r="Y39" i="68" s="1"/>
  <c r="O84" i="34"/>
  <c r="J84" i="34"/>
  <c r="H39" i="45" s="1"/>
  <c r="K39" i="68" s="1"/>
  <c r="AC77" i="34"/>
  <c r="I77" i="34"/>
  <c r="T77" i="34"/>
  <c r="J77" i="34"/>
  <c r="S77" i="34"/>
  <c r="Q36" i="45" s="1"/>
  <c r="T36" i="68" s="1"/>
  <c r="H84" i="34"/>
  <c r="T84" i="34"/>
  <c r="Q84" i="34"/>
  <c r="O39" i="45" s="1"/>
  <c r="R39" i="68" s="1"/>
  <c r="W84" i="34"/>
  <c r="AC84" i="34"/>
  <c r="N84" i="34"/>
  <c r="L39" i="45" s="1"/>
  <c r="O39" i="68" s="1"/>
  <c r="N77" i="34"/>
  <c r="L36" i="45" s="1"/>
  <c r="O36" i="68" s="1"/>
  <c r="U77" i="34"/>
  <c r="S36" i="45" s="1"/>
  <c r="V36" i="68" s="1"/>
  <c r="X77" i="34"/>
  <c r="H77" i="34"/>
  <c r="M32" i="45"/>
  <c r="P32" i="68" s="1"/>
  <c r="T29" i="45"/>
  <c r="W29" i="68" s="1"/>
  <c r="F28" i="45"/>
  <c r="I28" i="68" s="1"/>
  <c r="U30" i="45"/>
  <c r="X30" i="68" s="1"/>
  <c r="O29" i="45"/>
  <c r="R29" i="68" s="1"/>
  <c r="U33" i="45"/>
  <c r="X33" i="68" s="1"/>
  <c r="Y30" i="45"/>
  <c r="AB30" i="68" s="1"/>
  <c r="Q29" i="45"/>
  <c r="T29" i="68" s="1"/>
  <c r="N30" i="45"/>
  <c r="Q30" i="68" s="1"/>
  <c r="L28" i="45"/>
  <c r="O28" i="68" s="1"/>
  <c r="U29" i="45"/>
  <c r="X29" i="68" s="1"/>
  <c r="M38" i="45"/>
  <c r="P38" i="68" s="1"/>
  <c r="R38" i="45"/>
  <c r="U38" i="68" s="1"/>
  <c r="H40" i="45"/>
  <c r="K40" i="68" s="1"/>
  <c r="Q40" i="45"/>
  <c r="T40" i="68" s="1"/>
  <c r="V30" i="45"/>
  <c r="Y30" i="68" s="1"/>
  <c r="P28" i="45"/>
  <c r="S28" i="68" s="1"/>
  <c r="Y29" i="45"/>
  <c r="AB29" i="68" s="1"/>
  <c r="S32" i="45"/>
  <c r="V32" i="68" s="1"/>
  <c r="N32" i="45"/>
  <c r="Q32" i="68" s="1"/>
  <c r="H33" i="45"/>
  <c r="K33" i="68" s="1"/>
  <c r="L30" i="45"/>
  <c r="O30" i="68" s="1"/>
  <c r="X28" i="45"/>
  <c r="AA28" i="68" s="1"/>
  <c r="J28" i="45"/>
  <c r="M28" i="68" s="1"/>
  <c r="X30" i="45"/>
  <c r="AA30" i="68" s="1"/>
  <c r="J32" i="45"/>
  <c r="M32" i="68" s="1"/>
  <c r="U32" i="45"/>
  <c r="X32" i="68" s="1"/>
  <c r="L33" i="45"/>
  <c r="O33" i="68" s="1"/>
  <c r="P33" i="45"/>
  <c r="S33" i="68" s="1"/>
  <c r="P30" i="45"/>
  <c r="S30" i="68" s="1"/>
  <c r="N28" i="45"/>
  <c r="Q28" i="68" s="1"/>
  <c r="L29" i="45"/>
  <c r="O29" i="68" s="1"/>
  <c r="G29" i="45"/>
  <c r="J29" i="68" s="1"/>
  <c r="L31" i="45"/>
  <c r="O31" i="68" s="1"/>
  <c r="G31" i="45"/>
  <c r="J31" i="68" s="1"/>
  <c r="P38" i="45"/>
  <c r="S38" i="68" s="1"/>
  <c r="U38" i="45"/>
  <c r="X38" i="68" s="1"/>
  <c r="W38" i="45"/>
  <c r="Z38" i="68" s="1"/>
  <c r="G38" i="45"/>
  <c r="J38" i="68" s="1"/>
  <c r="N38" i="45"/>
  <c r="Q38" i="68" s="1"/>
  <c r="X39" i="45"/>
  <c r="AA39" i="68" s="1"/>
  <c r="K39" i="45"/>
  <c r="N39" i="68" s="1"/>
  <c r="Q37" i="45"/>
  <c r="T37" i="68" s="1"/>
  <c r="N37" i="45"/>
  <c r="Q37" i="68" s="1"/>
  <c r="X37" i="45"/>
  <c r="AA37" i="68" s="1"/>
  <c r="H37" i="45"/>
  <c r="K37" i="68" s="1"/>
  <c r="K37" i="45"/>
  <c r="N37" i="68" s="1"/>
  <c r="M35" i="45"/>
  <c r="P35" i="68" s="1"/>
  <c r="T35" i="45"/>
  <c r="W35" i="68" s="1"/>
  <c r="O35" i="45"/>
  <c r="R35" i="68" s="1"/>
  <c r="Y35" i="45"/>
  <c r="AB35" i="68" s="1"/>
  <c r="O40" i="45"/>
  <c r="R40" i="68" s="1"/>
  <c r="V40" i="45"/>
  <c r="Y40" i="68" s="1"/>
  <c r="M40" i="45"/>
  <c r="P40" i="68" s="1"/>
  <c r="I36" i="45"/>
  <c r="L36" i="68" s="1"/>
  <c r="T36" i="45"/>
  <c r="W36" i="68" s="1"/>
  <c r="V32" i="45"/>
  <c r="Y32" i="68" s="1"/>
  <c r="Y32" i="45"/>
  <c r="AB32" i="68" s="1"/>
  <c r="X33" i="45"/>
  <c r="AA33" i="68" s="1"/>
  <c r="T30" i="45"/>
  <c r="W30" i="68" s="1"/>
  <c r="R28" i="45"/>
  <c r="U28" i="68" s="1"/>
  <c r="P29" i="45"/>
  <c r="S29" i="68" s="1"/>
  <c r="S29" i="45"/>
  <c r="V29" i="68" s="1"/>
  <c r="P31" i="45"/>
  <c r="S31" i="68" s="1"/>
  <c r="M28" i="45"/>
  <c r="P28" i="68" s="1"/>
  <c r="F29" i="45"/>
  <c r="I29" i="68" s="1"/>
  <c r="X32" i="45"/>
  <c r="AA32" i="68" s="1"/>
  <c r="F30" i="45"/>
  <c r="I30" i="68" s="1"/>
  <c r="Q31" i="45"/>
  <c r="T31" i="68" s="1"/>
  <c r="S33" i="45"/>
  <c r="V33" i="68" s="1"/>
  <c r="F38" i="45"/>
  <c r="I38" i="68" s="1"/>
  <c r="J39" i="45"/>
  <c r="M39" i="68" s="1"/>
  <c r="U37" i="45"/>
  <c r="X37" i="68" s="1"/>
  <c r="L37" i="45"/>
  <c r="O37" i="68" s="1"/>
  <c r="S35" i="45"/>
  <c r="V35" i="68" s="1"/>
  <c r="F40" i="45"/>
  <c r="I40" i="68" s="1"/>
  <c r="K36" i="45"/>
  <c r="N36" i="68" s="1"/>
  <c r="H32" i="45"/>
  <c r="K32" i="68" s="1"/>
  <c r="Q32" i="45"/>
  <c r="T32" i="68" s="1"/>
  <c r="N33" i="45"/>
  <c r="Q33" i="68" s="1"/>
  <c r="G33" i="45"/>
  <c r="J33" i="68" s="1"/>
  <c r="K28" i="45"/>
  <c r="N28" i="68" s="1"/>
  <c r="X29" i="45"/>
  <c r="AA29" i="68" s="1"/>
  <c r="J29" i="45"/>
  <c r="M29" i="68" s="1"/>
  <c r="X31" i="45"/>
  <c r="AA31" i="68" s="1"/>
  <c r="N31" i="45"/>
  <c r="Q31" i="68" s="1"/>
  <c r="L32" i="45"/>
  <c r="O32" i="68" s="1"/>
  <c r="R32" i="45"/>
  <c r="U32" i="68" s="1"/>
  <c r="R33" i="45"/>
  <c r="U33" i="68" s="1"/>
  <c r="K30" i="45"/>
  <c r="N30" i="68" s="1"/>
  <c r="N29" i="45"/>
  <c r="Q29" i="68" s="1"/>
  <c r="R31" i="45"/>
  <c r="U31" i="68" s="1"/>
  <c r="I38" i="45"/>
  <c r="L38" i="68" s="1"/>
  <c r="J38" i="45"/>
  <c r="M38" i="68" s="1"/>
  <c r="J35" i="45"/>
  <c r="M35" i="68" s="1"/>
  <c r="T32" i="45"/>
  <c r="W32" i="68" s="1"/>
  <c r="G30" i="45"/>
  <c r="J30" i="68" s="1"/>
  <c r="T28" i="45"/>
  <c r="W28" i="68" s="1"/>
  <c r="V28" i="45"/>
  <c r="Y28" i="68" s="1"/>
  <c r="M29" i="45"/>
  <c r="P29" i="68" s="1"/>
  <c r="K40" i="45"/>
  <c r="N40" i="68" s="1"/>
  <c r="P40" i="45"/>
  <c r="S40" i="68" s="1"/>
  <c r="R40" i="45"/>
  <c r="U40" i="68" s="1"/>
  <c r="X40" i="45"/>
  <c r="AA40" i="68" s="1"/>
  <c r="Y40" i="45"/>
  <c r="AB40" i="68" s="1"/>
  <c r="I40" i="45"/>
  <c r="L40" i="68" s="1"/>
  <c r="P36" i="45"/>
  <c r="S36" i="68" s="1"/>
  <c r="Y36" i="45"/>
  <c r="AB36" i="68" s="1"/>
  <c r="P32" i="45"/>
  <c r="S32" i="68" s="1"/>
  <c r="V33" i="45"/>
  <c r="Y33" i="68" s="1"/>
  <c r="O30" i="45"/>
  <c r="R30" i="68" s="1"/>
  <c r="J30" i="45"/>
  <c r="M30" i="68" s="1"/>
  <c r="I28" i="45"/>
  <c r="L28" i="68" s="1"/>
  <c r="H28" i="45"/>
  <c r="K28" i="68" s="1"/>
  <c r="R29" i="45"/>
  <c r="U29" i="68" s="1"/>
  <c r="V31" i="45"/>
  <c r="Y31" i="68" s="1"/>
  <c r="F32" i="45"/>
  <c r="I32" i="68" s="1"/>
  <c r="O33" i="45"/>
  <c r="R33" i="68" s="1"/>
  <c r="W32" i="45"/>
  <c r="Z32" i="68" s="1"/>
  <c r="Y33" i="45"/>
  <c r="AB33" i="68" s="1"/>
  <c r="G28" i="45"/>
  <c r="J28" i="68" s="1"/>
  <c r="U31" i="45"/>
  <c r="X31" i="68" s="1"/>
  <c r="T38" i="45"/>
  <c r="W38" i="68" s="1"/>
  <c r="K38" i="45"/>
  <c r="N38" i="68" s="1"/>
  <c r="J37" i="45"/>
  <c r="M37" i="68" s="1"/>
  <c r="O37" i="45"/>
  <c r="R37" i="68" s="1"/>
  <c r="S40" i="45"/>
  <c r="V40" i="68" s="1"/>
  <c r="J40" i="45"/>
  <c r="M40" i="68" s="1"/>
  <c r="I32" i="45"/>
  <c r="L32" i="68" s="1"/>
  <c r="W33" i="45"/>
  <c r="Z33" i="68" s="1"/>
  <c r="S28" i="45"/>
  <c r="V28" i="68" s="1"/>
  <c r="Y31" i="45"/>
  <c r="AB31" i="68" s="1"/>
  <c r="G32" i="45"/>
  <c r="J32" i="68" s="1"/>
  <c r="W30" i="45"/>
  <c r="Z30" i="68" s="1"/>
  <c r="I30" i="45"/>
  <c r="L30" i="68" s="1"/>
  <c r="Q28" i="45"/>
  <c r="T28" i="68" s="1"/>
  <c r="W28" i="45"/>
  <c r="Z28" i="68" s="1"/>
  <c r="K29" i="45"/>
  <c r="N29" i="68" s="1"/>
  <c r="K31" i="45"/>
  <c r="N31" i="68" s="1"/>
  <c r="S30" i="45"/>
  <c r="V30" i="68" s="1"/>
  <c r="R30" i="45"/>
  <c r="U30" i="68" s="1"/>
  <c r="I33" i="45"/>
  <c r="L33" i="68" s="1"/>
  <c r="T33" i="45"/>
  <c r="W33" i="68" s="1"/>
  <c r="M30" i="45"/>
  <c r="P30" i="68" s="1"/>
  <c r="U28" i="45"/>
  <c r="X28" i="68" s="1"/>
  <c r="W29" i="45"/>
  <c r="Z29" i="68" s="1"/>
  <c r="S31" i="45"/>
  <c r="V31" i="68" s="1"/>
  <c r="H31" i="45"/>
  <c r="K31" i="68" s="1"/>
  <c r="Y38" i="45"/>
  <c r="AB38" i="68" s="1"/>
  <c r="X38" i="45"/>
  <c r="AA38" i="68" s="1"/>
  <c r="H38" i="45"/>
  <c r="K38" i="68" s="1"/>
  <c r="O38" i="45"/>
  <c r="R38" i="68" s="1"/>
  <c r="Q38" i="45"/>
  <c r="T38" i="68" s="1"/>
  <c r="V38" i="45"/>
  <c r="Y38" i="68" s="1"/>
  <c r="I39" i="45"/>
  <c r="L39" i="68" s="1"/>
  <c r="P39" i="45"/>
  <c r="S39" i="68" s="1"/>
  <c r="S39" i="45"/>
  <c r="V39" i="68" s="1"/>
  <c r="V37" i="45"/>
  <c r="Y37" i="68" s="1"/>
  <c r="Y37" i="45"/>
  <c r="AB37" i="68" s="1"/>
  <c r="I37" i="45"/>
  <c r="L37" i="68" s="1"/>
  <c r="P37" i="45"/>
  <c r="S37" i="68" s="1"/>
  <c r="R37" i="45"/>
  <c r="U37" i="68" s="1"/>
  <c r="S37" i="45"/>
  <c r="V37" i="68" s="1"/>
  <c r="L35" i="45"/>
  <c r="O35" i="68" s="1"/>
  <c r="I35" i="45"/>
  <c r="L35" i="68" s="1"/>
  <c r="N40" i="45"/>
  <c r="Q40" i="68" s="1"/>
  <c r="K32" i="45"/>
  <c r="N32" i="68" s="1"/>
  <c r="M33" i="45"/>
  <c r="P33" i="68" s="1"/>
  <c r="F33" i="45"/>
  <c r="I33" i="68" s="1"/>
  <c r="Q30" i="45"/>
  <c r="T30" i="68" s="1"/>
  <c r="Y28" i="45"/>
  <c r="AB28" i="68" s="1"/>
  <c r="I29" i="45"/>
  <c r="L29" i="68" s="1"/>
  <c r="H29" i="45"/>
  <c r="K29" i="68" s="1"/>
  <c r="I31" i="45"/>
  <c r="L31" i="68" s="1"/>
  <c r="O31" i="45"/>
  <c r="R31" i="68" s="1"/>
  <c r="H30" i="45"/>
  <c r="K30" i="68" s="1"/>
  <c r="O28" i="45"/>
  <c r="R28" i="68" s="1"/>
  <c r="R27" i="68" s="1"/>
  <c r="V29" i="45"/>
  <c r="Y29" i="68" s="1"/>
  <c r="E25" i="36"/>
  <c r="E26" i="36"/>
  <c r="E27" i="36"/>
  <c r="E28" i="36"/>
  <c r="E29" i="36"/>
  <c r="E30" i="36"/>
  <c r="E31" i="36"/>
  <c r="E32" i="36"/>
  <c r="E33" i="36"/>
  <c r="E34" i="36"/>
  <c r="E36" i="36"/>
  <c r="E37" i="36"/>
  <c r="E38" i="36"/>
  <c r="E39" i="36"/>
  <c r="E35" i="36"/>
  <c r="E24" i="36"/>
  <c r="C39" i="36"/>
  <c r="C99" i="33" s="1"/>
  <c r="C115" i="33" s="1"/>
  <c r="C131" i="33" s="1"/>
  <c r="C147" i="33" s="1"/>
  <c r="C37" i="36"/>
  <c r="C97" i="33" s="1"/>
  <c r="C113" i="33" s="1"/>
  <c r="C129" i="33" s="1"/>
  <c r="C145" i="33" s="1"/>
  <c r="C36" i="36"/>
  <c r="C96" i="33" s="1"/>
  <c r="C112" i="33" s="1"/>
  <c r="C128" i="33" s="1"/>
  <c r="C144" i="33" s="1"/>
  <c r="C33" i="36"/>
  <c r="C93" i="33" s="1"/>
  <c r="C109" i="33" s="1"/>
  <c r="C125" i="33" s="1"/>
  <c r="C141" i="33" s="1"/>
  <c r="C28" i="36"/>
  <c r="C88" i="33" s="1"/>
  <c r="C104" i="33" s="1"/>
  <c r="C120" i="33" s="1"/>
  <c r="C136" i="33" s="1"/>
  <c r="C24" i="36"/>
  <c r="C84" i="33" s="1"/>
  <c r="C100" i="33" s="1"/>
  <c r="C116" i="33" s="1"/>
  <c r="C132" i="33" s="1"/>
  <c r="B24" i="36"/>
  <c r="B25" i="36" s="1"/>
  <c r="B26" i="36" s="1"/>
  <c r="B27" i="36" s="1"/>
  <c r="B28" i="36" s="1"/>
  <c r="B29" i="36" s="1"/>
  <c r="B30" i="36" s="1"/>
  <c r="B31" i="36" s="1"/>
  <c r="B32" i="36" s="1"/>
  <c r="B33" i="36" s="1"/>
  <c r="B34" i="36" s="1"/>
  <c r="B36" i="36" s="1"/>
  <c r="B37" i="36" s="1"/>
  <c r="B38" i="36" s="1"/>
  <c r="B39" i="36" s="1"/>
  <c r="B35" i="36" s="1"/>
  <c r="A24" i="36"/>
  <c r="A25" i="36" s="1"/>
  <c r="A26" i="36" s="1"/>
  <c r="A27" i="36" s="1"/>
  <c r="A28" i="36" s="1"/>
  <c r="A29" i="36" s="1"/>
  <c r="A30" i="36" s="1"/>
  <c r="A31" i="36" s="1"/>
  <c r="A32" i="36" s="1"/>
  <c r="A33" i="36" s="1"/>
  <c r="A34" i="36" s="1"/>
  <c r="A36" i="36" s="1"/>
  <c r="A37" i="36" s="1"/>
  <c r="A38" i="36" s="1"/>
  <c r="A39" i="36" s="1"/>
  <c r="A35" i="36" s="1"/>
  <c r="T27" i="68" l="1"/>
  <c r="T61" i="68" s="1"/>
  <c r="Q34" i="68"/>
  <c r="AB27" i="68"/>
  <c r="V27" i="68"/>
  <c r="V61" i="68" s="1"/>
  <c r="Y27" i="68"/>
  <c r="Y61" i="68" s="1"/>
  <c r="M34" i="68"/>
  <c r="AB34" i="68"/>
  <c r="AB62" i="68" s="1"/>
  <c r="Q27" i="68"/>
  <c r="Q61" i="68" s="1"/>
  <c r="AA27" i="68"/>
  <c r="AA61" i="68" s="1"/>
  <c r="K27" i="68"/>
  <c r="K61" i="68" s="1"/>
  <c r="W27" i="68"/>
  <c r="N27" i="68"/>
  <c r="N61" i="68" s="1"/>
  <c r="O27" i="68"/>
  <c r="M27" i="68"/>
  <c r="L34" i="68"/>
  <c r="X27" i="68"/>
  <c r="X61" i="68" s="1"/>
  <c r="Z27" i="68"/>
  <c r="Z61" i="68" s="1"/>
  <c r="J27" i="68"/>
  <c r="L27" i="68"/>
  <c r="L61" i="68" s="1"/>
  <c r="P27" i="68"/>
  <c r="P61" i="68" s="1"/>
  <c r="U27" i="68"/>
  <c r="S27" i="68"/>
  <c r="AA34" i="68"/>
  <c r="L62" i="68"/>
  <c r="I27" i="68"/>
  <c r="I61" i="68" s="1"/>
  <c r="M61" i="68"/>
  <c r="AB61" i="68"/>
  <c r="J61" i="68"/>
  <c r="S38" i="45"/>
  <c r="V38" i="68" s="1"/>
  <c r="V34" i="68" s="1"/>
  <c r="G37" i="45"/>
  <c r="J37" i="68" s="1"/>
  <c r="U40" i="45"/>
  <c r="X40" i="68" s="1"/>
  <c r="M37" i="45"/>
  <c r="P37" i="68" s="1"/>
  <c r="F37" i="45"/>
  <c r="I37" i="68" s="1"/>
  <c r="G40" i="45"/>
  <c r="J40" i="68" s="1"/>
  <c r="U61" i="68"/>
  <c r="W61" i="68"/>
  <c r="O61" i="68"/>
  <c r="W40" i="45"/>
  <c r="Z40" i="68" s="1"/>
  <c r="L38" i="45"/>
  <c r="O38" i="68" s="1"/>
  <c r="T37" i="45"/>
  <c r="W37" i="68" s="1"/>
  <c r="S61" i="68"/>
  <c r="W37" i="45"/>
  <c r="Z37" i="68" s="1"/>
  <c r="K35" i="45"/>
  <c r="T40" i="45"/>
  <c r="W40" i="68" s="1"/>
  <c r="L40" i="45"/>
  <c r="O40" i="68" s="1"/>
  <c r="R61" i="68"/>
  <c r="M62" i="68"/>
  <c r="Q62" i="68"/>
  <c r="G39" i="45"/>
  <c r="J39" i="68" s="1"/>
  <c r="M39" i="45"/>
  <c r="P39" i="68" s="1"/>
  <c r="G35" i="45"/>
  <c r="J35" i="68" s="1"/>
  <c r="W35" i="45"/>
  <c r="Z35" i="68" s="1"/>
  <c r="F39" i="45"/>
  <c r="I39" i="68" s="1"/>
  <c r="G36" i="45"/>
  <c r="J36" i="68" s="1"/>
  <c r="U36" i="45"/>
  <c r="X36" i="68" s="1"/>
  <c r="P35" i="45"/>
  <c r="M36" i="45"/>
  <c r="Q35" i="45"/>
  <c r="W36" i="45"/>
  <c r="Z36" i="68" s="1"/>
  <c r="U35" i="45"/>
  <c r="X35" i="68" s="1"/>
  <c r="H36" i="45"/>
  <c r="K36" i="68" s="1"/>
  <c r="H35" i="45"/>
  <c r="K35" i="68" s="1"/>
  <c r="O36" i="45"/>
  <c r="V36" i="45"/>
  <c r="Y27" i="45"/>
  <c r="Y61" i="45" s="1"/>
  <c r="F36" i="45"/>
  <c r="I36" i="68" s="1"/>
  <c r="U39" i="45"/>
  <c r="X39" i="68" s="1"/>
  <c r="W39" i="45"/>
  <c r="Z39" i="68" s="1"/>
  <c r="R36" i="45"/>
  <c r="U36" i="68" s="1"/>
  <c r="R39" i="45"/>
  <c r="U39" i="68" s="1"/>
  <c r="I34" i="45"/>
  <c r="I62" i="45" s="1"/>
  <c r="S27" i="45"/>
  <c r="S61" i="45" s="1"/>
  <c r="V27" i="45"/>
  <c r="V61" i="45" s="1"/>
  <c r="F27" i="45"/>
  <c r="F61" i="45" s="1"/>
  <c r="N34" i="45"/>
  <c r="N62" i="45" s="1"/>
  <c r="N27" i="45"/>
  <c r="N61" i="45" s="1"/>
  <c r="I27" i="45"/>
  <c r="I61" i="45" s="1"/>
  <c r="J27" i="45"/>
  <c r="J61" i="45" s="1"/>
  <c r="U27" i="45"/>
  <c r="U61" i="45" s="1"/>
  <c r="G27" i="45"/>
  <c r="G61" i="45" s="1"/>
  <c r="K27" i="45"/>
  <c r="K61" i="45" s="1"/>
  <c r="R27" i="45"/>
  <c r="R61" i="45" s="1"/>
  <c r="Y34" i="45"/>
  <c r="Y62" i="45" s="1"/>
  <c r="T34" i="45"/>
  <c r="T62" i="45" s="1"/>
  <c r="X34" i="45"/>
  <c r="X62" i="45" s="1"/>
  <c r="L27" i="45"/>
  <c r="L61" i="45" s="1"/>
  <c r="W27" i="45"/>
  <c r="W61" i="45" s="1"/>
  <c r="O27" i="45"/>
  <c r="O61" i="45" s="1"/>
  <c r="L34" i="45"/>
  <c r="L62" i="45" s="1"/>
  <c r="Q27" i="45"/>
  <c r="Q61" i="45" s="1"/>
  <c r="J34" i="45"/>
  <c r="J62" i="45" s="1"/>
  <c r="H27" i="45"/>
  <c r="H61" i="45" s="1"/>
  <c r="T27" i="45"/>
  <c r="T61" i="45" s="1"/>
  <c r="M27" i="45"/>
  <c r="M61" i="45" s="1"/>
  <c r="X27" i="45"/>
  <c r="X61" i="45" s="1"/>
  <c r="P27" i="45"/>
  <c r="P61" i="45" s="1"/>
  <c r="C34" i="36"/>
  <c r="C94" i="33" s="1"/>
  <c r="C110" i="33" s="1"/>
  <c r="C126" i="33" s="1"/>
  <c r="C142" i="33" s="1"/>
  <c r="C25" i="36"/>
  <c r="C85" i="33" s="1"/>
  <c r="C101" i="33" s="1"/>
  <c r="C117" i="33" s="1"/>
  <c r="C133" i="33" s="1"/>
  <c r="C29" i="36"/>
  <c r="C38" i="36"/>
  <c r="C98" i="33" s="1"/>
  <c r="C114" i="33" s="1"/>
  <c r="C130" i="33" s="1"/>
  <c r="C146" i="33" s="1"/>
  <c r="C35" i="36"/>
  <c r="C95" i="33" s="1"/>
  <c r="C111" i="33" s="1"/>
  <c r="C127" i="33" s="1"/>
  <c r="C143" i="33" s="1"/>
  <c r="I34" i="68" l="1"/>
  <c r="I62" i="68" s="1"/>
  <c r="W34" i="68"/>
  <c r="O34" i="68"/>
  <c r="X34" i="68"/>
  <c r="X62" i="68" s="1"/>
  <c r="U34" i="68"/>
  <c r="U62" i="68" s="1"/>
  <c r="V34" i="45"/>
  <c r="V62" i="45" s="1"/>
  <c r="Y36" i="68"/>
  <c r="Y34" i="68" s="1"/>
  <c r="Y62" i="68" s="1"/>
  <c r="P34" i="45"/>
  <c r="P62" i="45" s="1"/>
  <c r="S35" i="68"/>
  <c r="S34" i="68" s="1"/>
  <c r="S62" i="68" s="1"/>
  <c r="Z34" i="68"/>
  <c r="S34" i="45"/>
  <c r="S62" i="45" s="1"/>
  <c r="O34" i="45"/>
  <c r="O62" i="45" s="1"/>
  <c r="R36" i="68"/>
  <c r="R34" i="68" s="1"/>
  <c r="R62" i="68" s="1"/>
  <c r="J34" i="68"/>
  <c r="J62" i="68" s="1"/>
  <c r="M34" i="45"/>
  <c r="M62" i="45" s="1"/>
  <c r="P36" i="68"/>
  <c r="P34" i="68" s="1"/>
  <c r="P62" i="68" s="1"/>
  <c r="K34" i="45"/>
  <c r="K62" i="45" s="1"/>
  <c r="N35" i="68"/>
  <c r="N34" i="68" s="1"/>
  <c r="N62" i="68" s="1"/>
  <c r="K34" i="68"/>
  <c r="K62" i="68" s="1"/>
  <c r="Q34" i="45"/>
  <c r="Q62" i="45" s="1"/>
  <c r="T35" i="68"/>
  <c r="T34" i="68" s="1"/>
  <c r="T62" i="68" s="1"/>
  <c r="Z62" i="68"/>
  <c r="V62" i="68"/>
  <c r="W62" i="68"/>
  <c r="O62" i="68"/>
  <c r="G34" i="45"/>
  <c r="G62" i="45" s="1"/>
  <c r="AA62" i="68"/>
  <c r="F34" i="45"/>
  <c r="F62" i="45" s="1"/>
  <c r="H34" i="45"/>
  <c r="H62" i="45" s="1"/>
  <c r="W34" i="45"/>
  <c r="W62" i="45" s="1"/>
  <c r="U34" i="45"/>
  <c r="U62" i="45" s="1"/>
  <c r="R34" i="45"/>
  <c r="R62" i="45" s="1"/>
  <c r="C26" i="36"/>
  <c r="C27" i="36" s="1"/>
  <c r="C87" i="33" s="1"/>
  <c r="C103" i="33" s="1"/>
  <c r="C119" i="33" s="1"/>
  <c r="C135" i="33" s="1"/>
  <c r="C89" i="33"/>
  <c r="C105" i="33" s="1"/>
  <c r="C121" i="33" s="1"/>
  <c r="C137" i="33" s="1"/>
  <c r="C30" i="36"/>
  <c r="C86" i="33" l="1"/>
  <c r="C102" i="33" s="1"/>
  <c r="C118" i="33" s="1"/>
  <c r="C134" i="33" s="1"/>
  <c r="C90" i="33"/>
  <c r="C106" i="33" s="1"/>
  <c r="C122" i="33" s="1"/>
  <c r="C138" i="33" s="1"/>
  <c r="C31" i="36"/>
  <c r="C91" i="33" l="1"/>
  <c r="C107" i="33" s="1"/>
  <c r="C123" i="33" s="1"/>
  <c r="C139" i="33" s="1"/>
  <c r="C32" i="36"/>
  <c r="C92" i="33" s="1"/>
  <c r="C108" i="33" s="1"/>
  <c r="C124" i="33" s="1"/>
  <c r="C140" i="33" s="1"/>
  <c r="E21" i="45" l="1"/>
  <c r="D21" i="45"/>
  <c r="C21" i="62" s="1"/>
  <c r="B20" i="45"/>
  <c r="B21" i="45" s="1"/>
  <c r="B22" i="45" s="1"/>
  <c r="B23" i="45" s="1"/>
  <c r="B24" i="45" s="1"/>
  <c r="B25" i="45" s="1"/>
  <c r="B26" i="45" s="1"/>
  <c r="B19" i="45" s="1"/>
  <c r="B60" i="45" s="1"/>
  <c r="C26" i="45"/>
  <c r="A24" i="62" s="1"/>
  <c r="B24" i="62" s="1"/>
  <c r="B12" i="45"/>
  <c r="B13" i="45" s="1"/>
  <c r="E6" i="45"/>
  <c r="D6" i="45"/>
  <c r="C8" i="62" s="1"/>
  <c r="B36" i="34"/>
  <c r="B37" i="34" s="1"/>
  <c r="B38" i="34" s="1"/>
  <c r="B39" i="34" s="1"/>
  <c r="B40" i="34" s="1"/>
  <c r="B41" i="34" s="1"/>
  <c r="B42" i="34" s="1"/>
  <c r="B43" i="34" s="1"/>
  <c r="B44" i="34" s="1"/>
  <c r="B45" i="34" s="1"/>
  <c r="B46" i="34" s="1"/>
  <c r="B47" i="34" s="1"/>
  <c r="B48" i="34" s="1"/>
  <c r="B49" i="34" s="1"/>
  <c r="B50" i="34" s="1"/>
  <c r="B51" i="34" s="1"/>
  <c r="B52" i="34" s="1"/>
  <c r="B53" i="34" s="1"/>
  <c r="B18" i="34"/>
  <c r="B19" i="34" s="1"/>
  <c r="B20" i="34" s="1"/>
  <c r="B21" i="34" s="1"/>
  <c r="B22" i="34" s="1"/>
  <c r="B23" i="34" s="1"/>
  <c r="B24" i="34" s="1"/>
  <c r="B25" i="34" s="1"/>
  <c r="B26" i="34" s="1"/>
  <c r="B27" i="34" s="1"/>
  <c r="B28" i="34" s="1"/>
  <c r="B29" i="34" s="1"/>
  <c r="B30" i="34" s="1"/>
  <c r="B31" i="34" s="1"/>
  <c r="B32" i="34" s="1"/>
  <c r="B33" i="34" s="1"/>
  <c r="B34" i="34" s="1"/>
  <c r="B35" i="34" s="1"/>
  <c r="B4" i="34"/>
  <c r="B5" i="34" s="1"/>
  <c r="B6" i="34" s="1"/>
  <c r="B7" i="34" s="1"/>
  <c r="B8" i="34" s="1"/>
  <c r="B9" i="34" s="1"/>
  <c r="B10" i="34" s="1"/>
  <c r="B11" i="34" s="1"/>
  <c r="B12" i="34" s="1"/>
  <c r="B13" i="34" s="1"/>
  <c r="B14" i="34" s="1"/>
  <c r="B15" i="34" s="1"/>
  <c r="B16" i="34" s="1"/>
  <c r="B17" i="34" s="1"/>
  <c r="A4" i="34"/>
  <c r="A5" i="34" s="1"/>
  <c r="A6" i="34" s="1"/>
  <c r="A7" i="34" s="1"/>
  <c r="A8" i="34" s="1"/>
  <c r="A9" i="34" s="1"/>
  <c r="A10" i="34" s="1"/>
  <c r="A11" i="34" s="1"/>
  <c r="A12" i="34" s="1"/>
  <c r="A13" i="34" s="1"/>
  <c r="A14" i="34" s="1"/>
  <c r="A15" i="34" s="1"/>
  <c r="A16" i="34" s="1"/>
  <c r="A17" i="34" s="1"/>
  <c r="A18" i="34" s="1"/>
  <c r="A19" i="34" s="1"/>
  <c r="A20" i="34" s="1"/>
  <c r="A21" i="34" s="1"/>
  <c r="A22" i="34" s="1"/>
  <c r="A23" i="34" s="1"/>
  <c r="A24" i="34" s="1"/>
  <c r="A25" i="34" s="1"/>
  <c r="A26" i="34" s="1"/>
  <c r="A27" i="34" s="1"/>
  <c r="A28" i="34" s="1"/>
  <c r="A29" i="34" s="1"/>
  <c r="A30" i="34" s="1"/>
  <c r="A31" i="34" s="1"/>
  <c r="A32" i="34" s="1"/>
  <c r="A33" i="34" s="1"/>
  <c r="A34" i="34" s="1"/>
  <c r="A35" i="34" s="1"/>
  <c r="A36" i="34" s="1"/>
  <c r="A37" i="34" s="1"/>
  <c r="A38" i="34" s="1"/>
  <c r="A39" i="34" s="1"/>
  <c r="A40" i="34" s="1"/>
  <c r="A41" i="34" s="1"/>
  <c r="A42" i="34" s="1"/>
  <c r="A43" i="34" s="1"/>
  <c r="A44" i="34" s="1"/>
  <c r="A45" i="34" s="1"/>
  <c r="A46" i="34" s="1"/>
  <c r="A47" i="34" s="1"/>
  <c r="A48" i="34" s="1"/>
  <c r="A49" i="34" s="1"/>
  <c r="A50" i="34" s="1"/>
  <c r="A51" i="34" s="1"/>
  <c r="A52" i="34" s="1"/>
  <c r="A53" i="34" s="1"/>
  <c r="B36" i="33"/>
  <c r="B37" i="33" s="1"/>
  <c r="B38" i="33" s="1"/>
  <c r="B39" i="33" s="1"/>
  <c r="B40" i="33" s="1"/>
  <c r="B41" i="33" s="1"/>
  <c r="B42" i="33" s="1"/>
  <c r="B43" i="33" s="1"/>
  <c r="B44" i="33" s="1"/>
  <c r="B45" i="33" s="1"/>
  <c r="B46" i="33" s="1"/>
  <c r="B47" i="33" s="1"/>
  <c r="B48" i="33" s="1"/>
  <c r="B49" i="33" s="1"/>
  <c r="B50" i="33" s="1"/>
  <c r="B51" i="33" s="1"/>
  <c r="B52" i="33" s="1"/>
  <c r="B53" i="33" s="1"/>
  <c r="B54" i="33" s="1"/>
  <c r="B55" i="33" s="1"/>
  <c r="B56" i="33" s="1"/>
  <c r="B57" i="33" s="1"/>
  <c r="B58" i="33" s="1"/>
  <c r="B59" i="33" s="1"/>
  <c r="B60" i="33" s="1"/>
  <c r="B61" i="33" s="1"/>
  <c r="B62" i="33" s="1"/>
  <c r="B63" i="33" s="1"/>
  <c r="B64" i="33" s="1"/>
  <c r="B65" i="33" s="1"/>
  <c r="B66" i="33" s="1"/>
  <c r="B67" i="33" s="1"/>
  <c r="B68" i="33" s="1"/>
  <c r="B69" i="33" s="1"/>
  <c r="B70" i="33" s="1"/>
  <c r="B71" i="33" s="1"/>
  <c r="B18" i="33"/>
  <c r="B19" i="33" s="1"/>
  <c r="B20" i="33" s="1"/>
  <c r="B21" i="33" s="1"/>
  <c r="B22" i="33" s="1"/>
  <c r="B23" i="33" s="1"/>
  <c r="B24" i="33" s="1"/>
  <c r="B25" i="33" s="1"/>
  <c r="B26" i="33" s="1"/>
  <c r="B27" i="33" s="1"/>
  <c r="B28" i="33" s="1"/>
  <c r="B29" i="33" s="1"/>
  <c r="B30" i="33" s="1"/>
  <c r="B31" i="33" s="1"/>
  <c r="B32" i="33" s="1"/>
  <c r="B33" i="33" s="1"/>
  <c r="B34" i="33" s="1"/>
  <c r="B35" i="33" s="1"/>
  <c r="B4" i="33"/>
  <c r="B5" i="33" s="1"/>
  <c r="B6" i="33" s="1"/>
  <c r="B7" i="33" s="1"/>
  <c r="B8" i="33" s="1"/>
  <c r="B9" i="33" s="1"/>
  <c r="B10" i="33" s="1"/>
  <c r="B11" i="33" s="1"/>
  <c r="B12" i="33" s="1"/>
  <c r="B13" i="33" s="1"/>
  <c r="B14" i="33" s="1"/>
  <c r="B15" i="33" s="1"/>
  <c r="B16" i="33" s="1"/>
  <c r="B17" i="33" s="1"/>
  <c r="A4" i="33"/>
  <c r="A5" i="33" s="1"/>
  <c r="A6" i="33" s="1"/>
  <c r="A7" i="33" s="1"/>
  <c r="A8" i="33" s="1"/>
  <c r="A9" i="33" s="1"/>
  <c r="A10" i="33" s="1"/>
  <c r="A11" i="33" s="1"/>
  <c r="A12" i="33" s="1"/>
  <c r="A13" i="33" s="1"/>
  <c r="A14" i="33" s="1"/>
  <c r="A15" i="33" s="1"/>
  <c r="A16" i="33" s="1"/>
  <c r="A17" i="33" s="1"/>
  <c r="A18" i="33" s="1"/>
  <c r="A19" i="33" s="1"/>
  <c r="A20" i="33" s="1"/>
  <c r="A21" i="33" s="1"/>
  <c r="A22" i="33" s="1"/>
  <c r="A23" i="33" s="1"/>
  <c r="A24" i="33" s="1"/>
  <c r="A25" i="33" s="1"/>
  <c r="A26" i="33" s="1"/>
  <c r="A27" i="33" s="1"/>
  <c r="A28" i="33" s="1"/>
  <c r="A29" i="33" s="1"/>
  <c r="A30" i="33" s="1"/>
  <c r="A31" i="33" s="1"/>
  <c r="A32" i="33" s="1"/>
  <c r="A33" i="33" s="1"/>
  <c r="A34" i="33" s="1"/>
  <c r="A35" i="33" s="1"/>
  <c r="A36" i="33" s="1"/>
  <c r="A37" i="33" s="1"/>
  <c r="A38" i="33" s="1"/>
  <c r="A39" i="33" s="1"/>
  <c r="A40" i="33" s="1"/>
  <c r="A41" i="33" s="1"/>
  <c r="A42" i="33" s="1"/>
  <c r="A43" i="33" s="1"/>
  <c r="A44" i="33" s="1"/>
  <c r="A45" i="33" s="1"/>
  <c r="A46" i="33" s="1"/>
  <c r="A47" i="33" s="1"/>
  <c r="A48" i="33" s="1"/>
  <c r="A49" i="33" s="1"/>
  <c r="A50" i="33" s="1"/>
  <c r="A51" i="33" s="1"/>
  <c r="A52" i="33" s="1"/>
  <c r="A53" i="33" s="1"/>
  <c r="A54" i="33" s="1"/>
  <c r="A55" i="33" s="1"/>
  <c r="A56" i="33" s="1"/>
  <c r="A57" i="33" s="1"/>
  <c r="A58" i="33" s="1"/>
  <c r="A59" i="33" s="1"/>
  <c r="A60" i="33" s="1"/>
  <c r="A61" i="33" s="1"/>
  <c r="A62" i="33" s="1"/>
  <c r="A63" i="33" s="1"/>
  <c r="A64" i="33" s="1"/>
  <c r="A65" i="33" s="1"/>
  <c r="A66" i="33" s="1"/>
  <c r="A67" i="33" s="1"/>
  <c r="A68" i="33" s="1"/>
  <c r="A69" i="33" s="1"/>
  <c r="A70" i="33" s="1"/>
  <c r="A71" i="33" s="1"/>
  <c r="A5" i="36"/>
  <c r="A6" i="36" s="1"/>
  <c r="A7" i="36" s="1"/>
  <c r="A8" i="36" s="1"/>
  <c r="A9" i="36" s="1"/>
  <c r="A10" i="36" s="1"/>
  <c r="A11" i="36" s="1"/>
  <c r="A12" i="36" s="1"/>
  <c r="A13" i="36" s="1"/>
  <c r="A14" i="36" s="1"/>
  <c r="A15" i="36" s="1"/>
  <c r="A16" i="36" s="1"/>
  <c r="A17" i="36" s="1"/>
  <c r="A18" i="36" s="1"/>
  <c r="A19" i="36" s="1"/>
  <c r="A20" i="36" s="1"/>
  <c r="A21" i="36" s="1"/>
  <c r="A22" i="36" s="1"/>
  <c r="B5" i="45"/>
  <c r="B6" i="45" s="1"/>
  <c r="B7" i="45" s="1"/>
  <c r="B8" i="45" s="1"/>
  <c r="B9" i="45" s="1"/>
  <c r="B10" i="45" s="1"/>
  <c r="C7" i="45"/>
  <c r="C8" i="45"/>
  <c r="A10" i="62" s="1"/>
  <c r="B10" i="62" s="1"/>
  <c r="C9" i="45"/>
  <c r="C10" i="45"/>
  <c r="C6" i="45"/>
  <c r="C5" i="45"/>
  <c r="A5" i="45"/>
  <c r="A6" i="45" s="1"/>
  <c r="A7" i="45" s="1"/>
  <c r="A8" i="45" s="1"/>
  <c r="A9" i="45" s="1"/>
  <c r="A10" i="45" s="1"/>
  <c r="A12" i="45" s="1"/>
  <c r="A13" i="45" s="1"/>
  <c r="A14" i="45" s="1"/>
  <c r="A15" i="45" s="1"/>
  <c r="A16" i="45" s="1"/>
  <c r="A17" i="45" s="1"/>
  <c r="A18" i="45" s="1"/>
  <c r="A20" i="45" s="1"/>
  <c r="A21" i="45" s="1"/>
  <c r="A22" i="45" s="1"/>
  <c r="A23" i="45" s="1"/>
  <c r="A24" i="45" s="1"/>
  <c r="A25" i="45" s="1"/>
  <c r="A26" i="45" s="1"/>
  <c r="T136" i="39"/>
  <c r="H77" i="46" s="1"/>
  <c r="O170" i="34" s="1"/>
  <c r="T137" i="39"/>
  <c r="H80" i="46" s="1"/>
  <c r="T138" i="39"/>
  <c r="T135" i="39"/>
  <c r="H78" i="46" s="1"/>
  <c r="J171" i="34" s="1"/>
  <c r="H41" i="33"/>
  <c r="G37" i="33"/>
  <c r="G38" i="33" s="1"/>
  <c r="G39" i="33" s="1"/>
  <c r="G40" i="33" s="1"/>
  <c r="G41" i="33" s="1"/>
  <c r="G42" i="33" s="1"/>
  <c r="G43" i="33" s="1"/>
  <c r="G44" i="33" s="1"/>
  <c r="G45" i="33" s="1"/>
  <c r="G46" i="33" s="1"/>
  <c r="G47" i="33" s="1"/>
  <c r="G48" i="33" s="1"/>
  <c r="G49" i="33" s="1"/>
  <c r="G50" i="33" s="1"/>
  <c r="G51" i="33" s="1"/>
  <c r="G52" i="33" s="1"/>
  <c r="G53" i="33" s="1"/>
  <c r="F37" i="33"/>
  <c r="F38" i="33" s="1"/>
  <c r="F39" i="33" s="1"/>
  <c r="F40" i="33" s="1"/>
  <c r="F41" i="33" s="1"/>
  <c r="F42" i="33" s="1"/>
  <c r="F43" i="33" s="1"/>
  <c r="F44" i="33" s="1"/>
  <c r="F45" i="33" s="1"/>
  <c r="F46" i="33" s="1"/>
  <c r="F47" i="33" s="1"/>
  <c r="F48" i="33" s="1"/>
  <c r="F49" i="33" s="1"/>
  <c r="F50" i="33" s="1"/>
  <c r="F51" i="33" s="1"/>
  <c r="F52" i="33" s="1"/>
  <c r="F53" i="33" s="1"/>
  <c r="T112" i="39"/>
  <c r="H74" i="46" s="1"/>
  <c r="T110" i="39"/>
  <c r="H73" i="46" s="1"/>
  <c r="T131" i="39"/>
  <c r="T119" i="39"/>
  <c r="T25" i="39"/>
  <c r="H68" i="46" s="1"/>
  <c r="G125" i="39"/>
  <c r="T125" i="39" s="1"/>
  <c r="G126" i="39"/>
  <c r="T126" i="39" s="1"/>
  <c r="G127" i="39"/>
  <c r="T127" i="39" s="1"/>
  <c r="G128" i="39"/>
  <c r="T128" i="39" s="1"/>
  <c r="G129" i="39"/>
  <c r="T129" i="39" s="1"/>
  <c r="G130" i="39"/>
  <c r="T130" i="39" s="1"/>
  <c r="G131" i="39"/>
  <c r="G132" i="39"/>
  <c r="T132" i="39" s="1"/>
  <c r="G133" i="39"/>
  <c r="T133" i="39" s="1"/>
  <c r="G124" i="39"/>
  <c r="T124" i="39" s="1"/>
  <c r="G115" i="39"/>
  <c r="T115" i="39" s="1"/>
  <c r="G116" i="39"/>
  <c r="T116" i="39" s="1"/>
  <c r="G117" i="39"/>
  <c r="T117" i="39" s="1"/>
  <c r="G118" i="39"/>
  <c r="T118" i="39" s="1"/>
  <c r="G119" i="39"/>
  <c r="G120" i="39"/>
  <c r="T120" i="39" s="1"/>
  <c r="G121" i="39"/>
  <c r="T121" i="39" s="1"/>
  <c r="G122" i="39"/>
  <c r="T122" i="39" s="1"/>
  <c r="G123" i="39"/>
  <c r="T123" i="39" s="1"/>
  <c r="G114" i="39"/>
  <c r="T114" i="39" s="1"/>
  <c r="G28" i="39"/>
  <c r="T28" i="39" s="1"/>
  <c r="G27" i="39"/>
  <c r="T27" i="39" s="1"/>
  <c r="G26" i="39"/>
  <c r="T26" i="39" s="1"/>
  <c r="G23" i="39"/>
  <c r="T23" i="39" s="1"/>
  <c r="G24" i="39"/>
  <c r="T24" i="39" s="1"/>
  <c r="G22" i="39"/>
  <c r="T22" i="39" s="1"/>
  <c r="G13" i="39"/>
  <c r="T13" i="39" s="1"/>
  <c r="G14" i="39"/>
  <c r="T14" i="39" s="1"/>
  <c r="G15" i="39"/>
  <c r="T15" i="39" s="1"/>
  <c r="G16" i="39"/>
  <c r="T16" i="39" s="1"/>
  <c r="G17" i="39"/>
  <c r="T17" i="39" s="1"/>
  <c r="G18" i="39"/>
  <c r="T18" i="39" s="1"/>
  <c r="G19" i="39"/>
  <c r="T19" i="39" s="1"/>
  <c r="G20" i="39"/>
  <c r="T20" i="39" s="1"/>
  <c r="G21" i="39"/>
  <c r="T21" i="39" s="1"/>
  <c r="G12" i="39"/>
  <c r="T12" i="39" s="1"/>
  <c r="D18" i="36"/>
  <c r="D76" i="46" s="1"/>
  <c r="D17" i="36"/>
  <c r="D75" i="46" s="1"/>
  <c r="D7" i="36"/>
  <c r="D65" i="46" s="1"/>
  <c r="C7" i="36"/>
  <c r="G74" i="33"/>
  <c r="G75" i="33" s="1"/>
  <c r="G76" i="33" s="1"/>
  <c r="G77" i="33" s="1"/>
  <c r="G78" i="33" s="1"/>
  <c r="G79" i="33" s="1"/>
  <c r="G80" i="33" s="1"/>
  <c r="G81" i="33" s="1"/>
  <c r="G82" i="33" s="1"/>
  <c r="F74" i="33"/>
  <c r="F75" i="33" s="1"/>
  <c r="F76" i="33" s="1"/>
  <c r="F77" i="33" s="1"/>
  <c r="F78" i="33" s="1"/>
  <c r="F79" i="33" s="1"/>
  <c r="F80" i="33" s="1"/>
  <c r="F81" i="33" s="1"/>
  <c r="F82" i="33" s="1"/>
  <c r="E74" i="33"/>
  <c r="E75" i="33" s="1"/>
  <c r="E76" i="33" s="1"/>
  <c r="E77" i="33" s="1"/>
  <c r="E78" i="33" s="1"/>
  <c r="E79" i="33" s="1"/>
  <c r="E80" i="33" s="1"/>
  <c r="E81" i="33" s="1"/>
  <c r="E82" i="33" s="1"/>
  <c r="C73" i="33"/>
  <c r="C74" i="33" s="1"/>
  <c r="C75" i="33" s="1"/>
  <c r="C76" i="33" s="1"/>
  <c r="C77" i="33" s="1"/>
  <c r="C78" i="33" s="1"/>
  <c r="C79" i="33" s="1"/>
  <c r="C80" i="33" s="1"/>
  <c r="C81" i="33" s="1"/>
  <c r="C82" i="33" s="1"/>
  <c r="Q138" i="39"/>
  <c r="P138" i="39"/>
  <c r="Q137" i="39"/>
  <c r="P137" i="39"/>
  <c r="Q136" i="39"/>
  <c r="P136" i="39"/>
  <c r="Q135" i="39"/>
  <c r="P135" i="39"/>
  <c r="Q133" i="39"/>
  <c r="P133" i="39"/>
  <c r="Q132" i="39"/>
  <c r="P132" i="39"/>
  <c r="Q131" i="39"/>
  <c r="P131" i="39"/>
  <c r="Q130" i="39"/>
  <c r="P130" i="39"/>
  <c r="Q129" i="39"/>
  <c r="P129" i="39"/>
  <c r="Q128" i="39"/>
  <c r="P128" i="39"/>
  <c r="Q127" i="39"/>
  <c r="P127" i="39"/>
  <c r="Q126" i="39"/>
  <c r="P126" i="39"/>
  <c r="Q125" i="39"/>
  <c r="P125" i="39"/>
  <c r="Q124" i="39"/>
  <c r="P124" i="39"/>
  <c r="Q123" i="39"/>
  <c r="P123" i="39"/>
  <c r="Q122" i="39"/>
  <c r="P122" i="39"/>
  <c r="Q121" i="39"/>
  <c r="P121" i="39"/>
  <c r="Q120" i="39"/>
  <c r="P120" i="39"/>
  <c r="Q119" i="39"/>
  <c r="P119" i="39"/>
  <c r="Q118" i="39"/>
  <c r="P118" i="39"/>
  <c r="Q117" i="39"/>
  <c r="P117" i="39"/>
  <c r="Q116" i="39"/>
  <c r="P116" i="39"/>
  <c r="Q115" i="39"/>
  <c r="P115" i="39"/>
  <c r="Q114" i="39"/>
  <c r="P114" i="39"/>
  <c r="Q112" i="39"/>
  <c r="P112" i="39"/>
  <c r="Q110" i="39"/>
  <c r="P110" i="39"/>
  <c r="Q108" i="39"/>
  <c r="P108" i="39"/>
  <c r="Q107" i="39"/>
  <c r="P107" i="39"/>
  <c r="Q106" i="39"/>
  <c r="P106" i="39"/>
  <c r="Q105" i="39"/>
  <c r="P105" i="39"/>
  <c r="Q104" i="39"/>
  <c r="P104" i="39"/>
  <c r="Q103" i="39"/>
  <c r="P103" i="39"/>
  <c r="Q102" i="39"/>
  <c r="P102" i="39"/>
  <c r="Q101" i="39"/>
  <c r="P101" i="39"/>
  <c r="Q100" i="39"/>
  <c r="P100" i="39"/>
  <c r="Q99" i="39"/>
  <c r="P99" i="39"/>
  <c r="Q98" i="39"/>
  <c r="P98" i="39"/>
  <c r="Q97" i="39"/>
  <c r="P97" i="39"/>
  <c r="Q96" i="39"/>
  <c r="P96" i="39"/>
  <c r="Q95" i="39"/>
  <c r="P95" i="39"/>
  <c r="Q94" i="39"/>
  <c r="P94" i="39"/>
  <c r="Q93" i="39"/>
  <c r="P93" i="39"/>
  <c r="Q92" i="39"/>
  <c r="P92" i="39"/>
  <c r="Q91" i="39"/>
  <c r="P91" i="39"/>
  <c r="Q90" i="39"/>
  <c r="P90" i="39"/>
  <c r="Q89" i="39"/>
  <c r="P89" i="39"/>
  <c r="Q88" i="39"/>
  <c r="P88" i="39"/>
  <c r="Q87" i="39"/>
  <c r="P87" i="39"/>
  <c r="Q86" i="39"/>
  <c r="P86" i="39"/>
  <c r="Q85" i="39"/>
  <c r="P85" i="39"/>
  <c r="Q83" i="39"/>
  <c r="P83" i="39"/>
  <c r="Q82" i="39"/>
  <c r="P82" i="39"/>
  <c r="Q81" i="39"/>
  <c r="P81" i="39"/>
  <c r="Q80" i="39"/>
  <c r="P80" i="39"/>
  <c r="Q79" i="39"/>
  <c r="P79" i="39"/>
  <c r="Q78" i="39"/>
  <c r="P78" i="39"/>
  <c r="Q77" i="39"/>
  <c r="P77" i="39"/>
  <c r="Q76" i="39"/>
  <c r="P76" i="39"/>
  <c r="Q75" i="39"/>
  <c r="P75" i="39"/>
  <c r="Q74" i="39"/>
  <c r="P74" i="39"/>
  <c r="Q73" i="39"/>
  <c r="P73" i="39"/>
  <c r="Q72" i="39"/>
  <c r="P72" i="39"/>
  <c r="Q71" i="39"/>
  <c r="P71" i="39"/>
  <c r="Q70" i="39"/>
  <c r="P70" i="39"/>
  <c r="Q69" i="39"/>
  <c r="P69" i="39"/>
  <c r="Q68" i="39"/>
  <c r="P68" i="39"/>
  <c r="Q67" i="39"/>
  <c r="P67" i="39"/>
  <c r="Q66" i="39"/>
  <c r="P66" i="39"/>
  <c r="Q65" i="39"/>
  <c r="P65" i="39"/>
  <c r="Q64" i="39"/>
  <c r="P64" i="39"/>
  <c r="Q63" i="39"/>
  <c r="P63" i="39"/>
  <c r="Q62" i="39"/>
  <c r="P62" i="39"/>
  <c r="Q61" i="39"/>
  <c r="P61" i="39"/>
  <c r="Q60" i="39"/>
  <c r="P60" i="39"/>
  <c r="Q59" i="39"/>
  <c r="P59" i="39"/>
  <c r="Q58" i="39"/>
  <c r="P58" i="39"/>
  <c r="Q57" i="39"/>
  <c r="P57" i="39"/>
  <c r="Q56" i="39"/>
  <c r="P56" i="39"/>
  <c r="Q55" i="39"/>
  <c r="P55" i="39"/>
  <c r="Q54" i="39"/>
  <c r="P54" i="39"/>
  <c r="Q53" i="39"/>
  <c r="P53" i="39"/>
  <c r="Q52" i="39"/>
  <c r="P52" i="39"/>
  <c r="Q51" i="39"/>
  <c r="P51" i="39"/>
  <c r="Q50" i="39"/>
  <c r="P50" i="39"/>
  <c r="Q49" i="39"/>
  <c r="P49" i="39"/>
  <c r="Q48" i="39"/>
  <c r="P48" i="39"/>
  <c r="Q47" i="39"/>
  <c r="P47" i="39"/>
  <c r="Q46" i="39"/>
  <c r="P46" i="39"/>
  <c r="Q45" i="39"/>
  <c r="P45" i="39"/>
  <c r="Q44" i="39"/>
  <c r="P44" i="39"/>
  <c r="Q43" i="39"/>
  <c r="P43" i="39"/>
  <c r="Q42" i="39"/>
  <c r="P42" i="39"/>
  <c r="Q41" i="39"/>
  <c r="P41" i="39"/>
  <c r="Q40" i="39"/>
  <c r="P40" i="39"/>
  <c r="Q39" i="39"/>
  <c r="P39" i="39"/>
  <c r="Q38" i="39"/>
  <c r="P38" i="39"/>
  <c r="Q37" i="39"/>
  <c r="P37" i="39"/>
  <c r="Q36" i="39"/>
  <c r="P36" i="39"/>
  <c r="Q34" i="39"/>
  <c r="P34" i="39"/>
  <c r="Q33" i="39"/>
  <c r="P33" i="39"/>
  <c r="Q32" i="39"/>
  <c r="P32" i="39"/>
  <c r="Q31" i="39"/>
  <c r="P31" i="39"/>
  <c r="Q30" i="39"/>
  <c r="P30" i="39"/>
  <c r="Q29" i="39"/>
  <c r="P29" i="39"/>
  <c r="Q28" i="39"/>
  <c r="P28" i="39"/>
  <c r="Q27" i="39"/>
  <c r="P27" i="39"/>
  <c r="Q26" i="39"/>
  <c r="P26" i="39"/>
  <c r="Q25" i="39"/>
  <c r="P25" i="39"/>
  <c r="Q24" i="39"/>
  <c r="P24" i="39"/>
  <c r="Q23" i="39"/>
  <c r="P23" i="39"/>
  <c r="Q22" i="39"/>
  <c r="P22" i="39"/>
  <c r="Q21" i="39"/>
  <c r="P21" i="39"/>
  <c r="Q20" i="39"/>
  <c r="P20" i="39"/>
  <c r="Q19" i="39"/>
  <c r="P19" i="39"/>
  <c r="Q18" i="39"/>
  <c r="P18" i="39"/>
  <c r="Q17" i="39"/>
  <c r="P17" i="39"/>
  <c r="Q16" i="39"/>
  <c r="P16" i="39"/>
  <c r="Q15" i="39"/>
  <c r="P15" i="39"/>
  <c r="Q14" i="39"/>
  <c r="P14" i="39"/>
  <c r="Q13" i="39"/>
  <c r="P13" i="39"/>
  <c r="Q12" i="39"/>
  <c r="P12" i="39"/>
  <c r="Q10" i="39"/>
  <c r="P10" i="39"/>
  <c r="Q9" i="39"/>
  <c r="P9" i="39"/>
  <c r="Q8" i="39"/>
  <c r="P8" i="39"/>
  <c r="Q7" i="39"/>
  <c r="P7" i="39"/>
  <c r="Q6" i="39"/>
  <c r="P6" i="39"/>
  <c r="N136" i="39"/>
  <c r="H32" i="33" s="1"/>
  <c r="N137" i="39"/>
  <c r="H35" i="33" s="1"/>
  <c r="N138" i="39"/>
  <c r="H34" i="33" s="1"/>
  <c r="N135" i="39"/>
  <c r="H33" i="33" s="1"/>
  <c r="H46" i="33" l="1"/>
  <c r="C20" i="45"/>
  <c r="A20" i="62" s="1"/>
  <c r="B20" i="62" s="1"/>
  <c r="A7" i="62"/>
  <c r="B7" i="62" s="1"/>
  <c r="C21" i="45"/>
  <c r="A21" i="62" s="1"/>
  <c r="B21" i="62" s="1"/>
  <c r="A8" i="62"/>
  <c r="B8" i="62" s="1"/>
  <c r="C22" i="45"/>
  <c r="A22" i="62" s="1"/>
  <c r="B22" i="62" s="1"/>
  <c r="A9" i="62"/>
  <c r="B9" i="62" s="1"/>
  <c r="C24" i="45"/>
  <c r="A11" i="62"/>
  <c r="B11" i="62" s="1"/>
  <c r="C25" i="45"/>
  <c r="A23" i="62" s="1"/>
  <c r="B23" i="62" s="1"/>
  <c r="A12" i="62"/>
  <c r="B12" i="62" s="1"/>
  <c r="AB64" i="36"/>
  <c r="AB105" i="34" s="1"/>
  <c r="X186" i="34"/>
  <c r="K64" i="36"/>
  <c r="Q80" i="36"/>
  <c r="Z80" i="36"/>
  <c r="Z121" i="34" s="1"/>
  <c r="AC80" i="36"/>
  <c r="AC121" i="34" s="1"/>
  <c r="P186" i="34"/>
  <c r="W64" i="36"/>
  <c r="H65" i="46"/>
  <c r="P52" i="36" s="1"/>
  <c r="H38" i="33"/>
  <c r="W38" i="34" s="1"/>
  <c r="H75" i="46"/>
  <c r="H48" i="33"/>
  <c r="AI48" i="34" s="1"/>
  <c r="X81" i="36"/>
  <c r="X122" i="34" s="1"/>
  <c r="H52" i="33"/>
  <c r="H79" i="46"/>
  <c r="AB81" i="36"/>
  <c r="AB186" i="34"/>
  <c r="K170" i="34"/>
  <c r="Z170" i="34"/>
  <c r="Q65" i="36"/>
  <c r="Q106" i="34" s="1"/>
  <c r="P80" i="36"/>
  <c r="P121" i="34" s="1"/>
  <c r="H81" i="36"/>
  <c r="AC65" i="36"/>
  <c r="X170" i="34"/>
  <c r="X65" i="36"/>
  <c r="X106" i="34" s="1"/>
  <c r="Q186" i="34"/>
  <c r="AC186" i="34"/>
  <c r="R171" i="34"/>
  <c r="W80" i="36"/>
  <c r="W121" i="34" s="1"/>
  <c r="H187" i="34"/>
  <c r="AB187" i="34"/>
  <c r="AB80" i="36"/>
  <c r="AB121" i="34" s="1"/>
  <c r="K186" i="34"/>
  <c r="Z186" i="34"/>
  <c r="Q81" i="36"/>
  <c r="P170" i="34"/>
  <c r="H65" i="36"/>
  <c r="H106" i="34" s="1"/>
  <c r="AC187" i="34"/>
  <c r="X64" i="36"/>
  <c r="X187" i="34"/>
  <c r="Q64" i="36"/>
  <c r="Q105" i="34" s="1"/>
  <c r="AC64" i="36"/>
  <c r="AC105" i="34" s="1"/>
  <c r="R81" i="36"/>
  <c r="W186" i="34"/>
  <c r="AC81" i="36"/>
  <c r="AC122" i="34" s="1"/>
  <c r="AH76" i="36"/>
  <c r="AG76" i="36"/>
  <c r="AF76" i="36"/>
  <c r="AE76" i="36"/>
  <c r="AI76" i="36"/>
  <c r="AD60" i="36"/>
  <c r="AI60" i="36"/>
  <c r="AD76" i="36"/>
  <c r="AG60" i="36"/>
  <c r="AH60" i="36"/>
  <c r="AF60" i="36"/>
  <c r="AE60" i="36"/>
  <c r="BP60" i="36"/>
  <c r="AJ76" i="36"/>
  <c r="BG76" i="36"/>
  <c r="AU76" i="36"/>
  <c r="BL76" i="36"/>
  <c r="AN60" i="36"/>
  <c r="BF76" i="36"/>
  <c r="AT76" i="36"/>
  <c r="AR76" i="36"/>
  <c r="BE76" i="36"/>
  <c r="AS76" i="36"/>
  <c r="AP182" i="34"/>
  <c r="AK76" i="36"/>
  <c r="AM60" i="36"/>
  <c r="AX166" i="34"/>
  <c r="AY182" i="34"/>
  <c r="BP76" i="36"/>
  <c r="AJ60" i="36"/>
  <c r="BG60" i="36"/>
  <c r="AU60" i="36"/>
  <c r="BL60" i="36"/>
  <c r="AN76" i="36"/>
  <c r="BF60" i="36"/>
  <c r="AT60" i="36"/>
  <c r="AR60" i="36"/>
  <c r="BE60" i="36"/>
  <c r="AS60" i="36"/>
  <c r="BI60" i="36"/>
  <c r="AY166" i="34"/>
  <c r="AL182" i="34"/>
  <c r="AW166" i="34"/>
  <c r="BP166" i="34"/>
  <c r="AJ166" i="34"/>
  <c r="BG166" i="34"/>
  <c r="AU182" i="34"/>
  <c r="BL166" i="34"/>
  <c r="AN182" i="34"/>
  <c r="BF166" i="34"/>
  <c r="AT166" i="34"/>
  <c r="AR166" i="34"/>
  <c r="BE166" i="34"/>
  <c r="AS166" i="34"/>
  <c r="BC166" i="34"/>
  <c r="AX60" i="36"/>
  <c r="BI182" i="34"/>
  <c r="BK166" i="34"/>
  <c r="BP182" i="34"/>
  <c r="AJ182" i="34"/>
  <c r="BG182" i="34"/>
  <c r="AU166" i="34"/>
  <c r="BL182" i="34"/>
  <c r="AN166" i="34"/>
  <c r="BF182" i="34"/>
  <c r="AT182" i="34"/>
  <c r="AR182" i="34"/>
  <c r="BE182" i="34"/>
  <c r="AS182" i="34"/>
  <c r="AO60" i="36"/>
  <c r="AQ166" i="34"/>
  <c r="BM166" i="34"/>
  <c r="AQ182" i="34"/>
  <c r="AO182" i="34"/>
  <c r="AW60" i="36"/>
  <c r="AV166" i="34"/>
  <c r="BJ182" i="34"/>
  <c r="BH76" i="36"/>
  <c r="BO76" i="36"/>
  <c r="BC76" i="36"/>
  <c r="AQ76" i="36"/>
  <c r="BD60" i="36"/>
  <c r="BN76" i="36"/>
  <c r="BB76" i="36"/>
  <c r="AP60" i="36"/>
  <c r="BM76" i="36"/>
  <c r="BA76" i="36"/>
  <c r="AO76" i="36"/>
  <c r="BN60" i="36"/>
  <c r="BM60" i="36"/>
  <c r="BC182" i="34"/>
  <c r="BD166" i="34"/>
  <c r="AP166" i="34"/>
  <c r="AO166" i="34"/>
  <c r="BB166" i="34"/>
  <c r="BM182" i="34"/>
  <c r="AW76" i="36"/>
  <c r="AV76" i="36"/>
  <c r="BJ166" i="34"/>
  <c r="AK166" i="34"/>
  <c r="AV182" i="34"/>
  <c r="AK182" i="34"/>
  <c r="BH60" i="36"/>
  <c r="BO60" i="36"/>
  <c r="BC60" i="36"/>
  <c r="AQ60" i="36"/>
  <c r="BD76" i="36"/>
  <c r="BB60" i="36"/>
  <c r="AP76" i="36"/>
  <c r="BA60" i="36"/>
  <c r="BO166" i="34"/>
  <c r="BN182" i="34"/>
  <c r="BA166" i="34"/>
  <c r="BD182" i="34"/>
  <c r="BA182" i="34"/>
  <c r="AL60" i="36"/>
  <c r="AM182" i="34"/>
  <c r="AX182" i="34"/>
  <c r="BH182" i="34"/>
  <c r="BB182" i="34"/>
  <c r="BI76" i="36"/>
  <c r="BK182" i="34"/>
  <c r="BH166" i="34"/>
  <c r="BO182" i="34"/>
  <c r="BN166" i="34"/>
  <c r="AZ182" i="34"/>
  <c r="AZ60" i="36"/>
  <c r="BK76" i="36"/>
  <c r="AY76" i="36"/>
  <c r="AM76" i="36"/>
  <c r="AV60" i="36"/>
  <c r="BJ76" i="36"/>
  <c r="AX76" i="36"/>
  <c r="AL76" i="36"/>
  <c r="BJ60" i="36"/>
  <c r="AL166" i="34"/>
  <c r="AM166" i="34"/>
  <c r="BI166" i="34"/>
  <c r="AZ76" i="36"/>
  <c r="BK60" i="36"/>
  <c r="AY60" i="36"/>
  <c r="AK60" i="36"/>
  <c r="AW182" i="34"/>
  <c r="AZ166" i="34"/>
  <c r="X76" i="36"/>
  <c r="X117" i="34" s="1"/>
  <c r="Z182" i="34"/>
  <c r="P76" i="36"/>
  <c r="P117" i="34" s="1"/>
  <c r="AA182" i="34"/>
  <c r="I182" i="34"/>
  <c r="U166" i="34"/>
  <c r="K182" i="34"/>
  <c r="AD166" i="34"/>
  <c r="AE166" i="34"/>
  <c r="T76" i="36"/>
  <c r="T117" i="34" s="1"/>
  <c r="Y60" i="36"/>
  <c r="Y101" i="34" s="1"/>
  <c r="AC60" i="36"/>
  <c r="AC101" i="34" s="1"/>
  <c r="L60" i="36"/>
  <c r="L101" i="34" s="1"/>
  <c r="AB76" i="36"/>
  <c r="AB117" i="34" s="1"/>
  <c r="AC76" i="36"/>
  <c r="AC117" i="34" s="1"/>
  <c r="Z166" i="34"/>
  <c r="X182" i="34"/>
  <c r="Z60" i="36"/>
  <c r="Z101" i="34" s="1"/>
  <c r="P166" i="34"/>
  <c r="AA166" i="34"/>
  <c r="I76" i="36"/>
  <c r="I117" i="34" s="1"/>
  <c r="U76" i="36"/>
  <c r="U117" i="34" s="1"/>
  <c r="K166" i="34"/>
  <c r="AE182" i="34"/>
  <c r="AI182" i="34"/>
  <c r="H182" i="34"/>
  <c r="T182" i="34"/>
  <c r="W76" i="36"/>
  <c r="W117" i="34" s="1"/>
  <c r="AC182" i="34"/>
  <c r="V182" i="34"/>
  <c r="AG166" i="34"/>
  <c r="X166" i="34"/>
  <c r="Z76" i="36"/>
  <c r="Z117" i="34" s="1"/>
  <c r="P182" i="34"/>
  <c r="AA60" i="36"/>
  <c r="AA101" i="34" s="1"/>
  <c r="I60" i="36"/>
  <c r="I101" i="34" s="1"/>
  <c r="U60" i="36"/>
  <c r="U101" i="34" s="1"/>
  <c r="K76" i="36"/>
  <c r="K117" i="34" s="1"/>
  <c r="N166" i="34"/>
  <c r="W60" i="36"/>
  <c r="W101" i="34" s="1"/>
  <c r="N60" i="36"/>
  <c r="N101" i="34" s="1"/>
  <c r="AH182" i="34"/>
  <c r="AF166" i="34"/>
  <c r="AF182" i="34"/>
  <c r="L166" i="34"/>
  <c r="S166" i="34"/>
  <c r="I166" i="34"/>
  <c r="R182" i="34"/>
  <c r="H166" i="34"/>
  <c r="T166" i="34"/>
  <c r="N182" i="34"/>
  <c r="M60" i="36"/>
  <c r="M101" i="34" s="1"/>
  <c r="Y166" i="34"/>
  <c r="W166" i="34"/>
  <c r="AI166" i="34"/>
  <c r="Y182" i="34"/>
  <c r="M76" i="36"/>
  <c r="M117" i="34" s="1"/>
  <c r="R76" i="36"/>
  <c r="R117" i="34" s="1"/>
  <c r="Q166" i="34"/>
  <c r="S60" i="36"/>
  <c r="S101" i="34" s="1"/>
  <c r="J60" i="36"/>
  <c r="J101" i="34" s="1"/>
  <c r="O182" i="34"/>
  <c r="AD182" i="34"/>
  <c r="R166" i="34"/>
  <c r="H76" i="36"/>
  <c r="H117" i="34" s="1"/>
  <c r="T60" i="36"/>
  <c r="T101" i="34" s="1"/>
  <c r="N76" i="36"/>
  <c r="N117" i="34" s="1"/>
  <c r="M166" i="34"/>
  <c r="W182" i="34"/>
  <c r="Y76" i="36"/>
  <c r="Y117" i="34" s="1"/>
  <c r="H60" i="36"/>
  <c r="H101" i="34" s="1"/>
  <c r="AB166" i="34"/>
  <c r="O60" i="36"/>
  <c r="O101" i="34" s="1"/>
  <c r="AB182" i="34"/>
  <c r="AA76" i="36"/>
  <c r="AA117" i="34" s="1"/>
  <c r="R60" i="36"/>
  <c r="R101" i="34" s="1"/>
  <c r="AH166" i="34"/>
  <c r="O76" i="36"/>
  <c r="O117" i="34" s="1"/>
  <c r="X60" i="36"/>
  <c r="X101" i="34" s="1"/>
  <c r="M182" i="34"/>
  <c r="J166" i="34"/>
  <c r="U182" i="34"/>
  <c r="L76" i="36"/>
  <c r="L117" i="34" s="1"/>
  <c r="V166" i="34"/>
  <c r="J182" i="34"/>
  <c r="S76" i="36"/>
  <c r="S117" i="34" s="1"/>
  <c r="V60" i="36"/>
  <c r="V101" i="34" s="1"/>
  <c r="Q60" i="36"/>
  <c r="Q101" i="34" s="1"/>
  <c r="Q76" i="36"/>
  <c r="Q117" i="34" s="1"/>
  <c r="P60" i="36"/>
  <c r="P101" i="34" s="1"/>
  <c r="K60" i="36"/>
  <c r="K101" i="34" s="1"/>
  <c r="L182" i="34"/>
  <c r="V76" i="36"/>
  <c r="V117" i="34" s="1"/>
  <c r="J76" i="36"/>
  <c r="J117" i="34" s="1"/>
  <c r="S182" i="34"/>
  <c r="AB60" i="36"/>
  <c r="AB101" i="34" s="1"/>
  <c r="Q182" i="34"/>
  <c r="AC166" i="34"/>
  <c r="O166" i="34"/>
  <c r="AG182" i="34"/>
  <c r="Y81" i="36"/>
  <c r="Y122" i="34" s="1"/>
  <c r="O81" i="36"/>
  <c r="M81" i="36"/>
  <c r="N81" i="36"/>
  <c r="N122" i="34" s="1"/>
  <c r="Q187" i="34"/>
  <c r="P64" i="36"/>
  <c r="H171" i="34"/>
  <c r="AC171" i="34"/>
  <c r="X80" i="36"/>
  <c r="X171" i="34"/>
  <c r="Q170" i="34"/>
  <c r="AC170" i="34"/>
  <c r="R187" i="34"/>
  <c r="W170" i="34"/>
  <c r="AE61" i="36"/>
  <c r="AG61" i="36"/>
  <c r="AF61" i="36"/>
  <c r="AD77" i="36"/>
  <c r="AH77" i="36"/>
  <c r="AE77" i="36"/>
  <c r="AI77" i="36"/>
  <c r="AI61" i="36"/>
  <c r="AG77" i="36"/>
  <c r="AD61" i="36"/>
  <c r="AH61" i="36"/>
  <c r="AF77" i="36"/>
  <c r="Y187" i="34"/>
  <c r="O65" i="36"/>
  <c r="O106" i="34" s="1"/>
  <c r="M187" i="34"/>
  <c r="N65" i="36"/>
  <c r="V64" i="36"/>
  <c r="V105" i="34" s="1"/>
  <c r="AA81" i="36"/>
  <c r="AA122" i="34" s="1"/>
  <c r="I80" i="36"/>
  <c r="J64" i="36"/>
  <c r="L171" i="34"/>
  <c r="H186" i="34"/>
  <c r="S65" i="36"/>
  <c r="S106" i="34" s="1"/>
  <c r="U187" i="34"/>
  <c r="AA64" i="36"/>
  <c r="AA105" i="34" s="1"/>
  <c r="W81" i="36"/>
  <c r="W122" i="34" s="1"/>
  <c r="Z187" i="34"/>
  <c r="AM46" i="34"/>
  <c r="AR46" i="34"/>
  <c r="AT46" i="34"/>
  <c r="AJ46" i="34"/>
  <c r="AN46" i="34"/>
  <c r="AS46" i="34"/>
  <c r="AI46" i="34"/>
  <c r="BA46" i="34"/>
  <c r="BD46" i="34"/>
  <c r="BG46" i="34"/>
  <c r="BJ46" i="34"/>
  <c r="AU46" i="34"/>
  <c r="BI46" i="34"/>
  <c r="BF46" i="34"/>
  <c r="AX46" i="34"/>
  <c r="AQ46" i="34"/>
  <c r="BE46" i="34"/>
  <c r="BN46" i="34"/>
  <c r="AW46" i="34"/>
  <c r="AZ46" i="34"/>
  <c r="BC46" i="34"/>
  <c r="AO46" i="34"/>
  <c r="BO46" i="34"/>
  <c r="AK46" i="34"/>
  <c r="AP46" i="34"/>
  <c r="AV46" i="34"/>
  <c r="AY46" i="34"/>
  <c r="BB46" i="34"/>
  <c r="BM46" i="34"/>
  <c r="AL46" i="34"/>
  <c r="BH46" i="34"/>
  <c r="BP46" i="34"/>
  <c r="BL46" i="34"/>
  <c r="BK46" i="34"/>
  <c r="Y65" i="36"/>
  <c r="O171" i="34"/>
  <c r="M171" i="34"/>
  <c r="N171" i="34"/>
  <c r="V80" i="36"/>
  <c r="V121" i="34" s="1"/>
  <c r="AA65" i="36"/>
  <c r="AA106" i="34" s="1"/>
  <c r="I186" i="34"/>
  <c r="J80" i="36"/>
  <c r="J121" i="34" s="1"/>
  <c r="L187" i="34"/>
  <c r="H64" i="36"/>
  <c r="S81" i="36"/>
  <c r="U81" i="36"/>
  <c r="U122" i="34" s="1"/>
  <c r="AA170" i="34"/>
  <c r="W187" i="34"/>
  <c r="Z171" i="34"/>
  <c r="R65" i="36"/>
  <c r="R106" i="34" s="1"/>
  <c r="H66" i="46"/>
  <c r="U175" i="34" s="1"/>
  <c r="H47" i="33"/>
  <c r="Y171" i="34"/>
  <c r="O187" i="34"/>
  <c r="M65" i="36"/>
  <c r="N187" i="34"/>
  <c r="V186" i="34"/>
  <c r="AA187" i="34"/>
  <c r="I170" i="34"/>
  <c r="J186" i="34"/>
  <c r="L81" i="36"/>
  <c r="H170" i="34"/>
  <c r="S171" i="34"/>
  <c r="U171" i="34"/>
  <c r="AA80" i="36"/>
  <c r="W65" i="36"/>
  <c r="W106" i="34" s="1"/>
  <c r="Z65" i="36"/>
  <c r="Z106" i="34" s="1"/>
  <c r="T171" i="34"/>
  <c r="L186" i="34"/>
  <c r="U80" i="36"/>
  <c r="U121" i="34" s="1"/>
  <c r="V65" i="36"/>
  <c r="V106" i="34" s="1"/>
  <c r="V170" i="34"/>
  <c r="AA171" i="34"/>
  <c r="I64" i="36"/>
  <c r="I105" i="34" s="1"/>
  <c r="J170" i="34"/>
  <c r="L65" i="36"/>
  <c r="L106" i="34" s="1"/>
  <c r="H80" i="36"/>
  <c r="S187" i="34"/>
  <c r="U65" i="36"/>
  <c r="U106" i="34" s="1"/>
  <c r="AA186" i="34"/>
  <c r="W171" i="34"/>
  <c r="Z81" i="36"/>
  <c r="Z122" i="34" s="1"/>
  <c r="H76" i="46"/>
  <c r="H49" i="33"/>
  <c r="AI49" i="34" s="1"/>
  <c r="T65" i="36"/>
  <c r="L170" i="34"/>
  <c r="U186" i="34"/>
  <c r="V81" i="36"/>
  <c r="V122" i="34" s="1"/>
  <c r="P187" i="34"/>
  <c r="I187" i="34"/>
  <c r="M186" i="34"/>
  <c r="R64" i="36"/>
  <c r="R105" i="34" s="1"/>
  <c r="K171" i="34"/>
  <c r="N64" i="36"/>
  <c r="N105" i="34" s="1"/>
  <c r="T64" i="36"/>
  <c r="T105" i="34" s="1"/>
  <c r="Y80" i="36"/>
  <c r="Y121" i="34" s="1"/>
  <c r="J65" i="36"/>
  <c r="S64" i="36"/>
  <c r="S105" i="34" s="1"/>
  <c r="O64" i="36"/>
  <c r="AT41" i="34"/>
  <c r="AM41" i="34"/>
  <c r="AS41" i="34"/>
  <c r="AN41" i="34"/>
  <c r="AR41" i="34"/>
  <c r="AI41" i="34"/>
  <c r="BH41" i="34"/>
  <c r="BI41" i="34"/>
  <c r="AY41" i="34"/>
  <c r="AX41" i="34"/>
  <c r="BB41" i="34"/>
  <c r="AO41" i="34"/>
  <c r="BA41" i="34"/>
  <c r="AK41" i="34"/>
  <c r="BD41" i="34"/>
  <c r="BO41" i="34"/>
  <c r="BK41" i="34"/>
  <c r="AV41" i="34"/>
  <c r="AU41" i="34"/>
  <c r="AL41" i="34"/>
  <c r="BJ41" i="34"/>
  <c r="BE41" i="34"/>
  <c r="BL41" i="34"/>
  <c r="BN41" i="34"/>
  <c r="BM41" i="34"/>
  <c r="BC41" i="34"/>
  <c r="AZ41" i="34"/>
  <c r="BG41" i="34"/>
  <c r="BP41" i="34"/>
  <c r="AP41" i="34"/>
  <c r="AQ41" i="34"/>
  <c r="BF41" i="34"/>
  <c r="AW41" i="34"/>
  <c r="AB65" i="36"/>
  <c r="Q171" i="34"/>
  <c r="AH71" i="36"/>
  <c r="O1487" i="67" s="1"/>
  <c r="AI71" i="36"/>
  <c r="P1487" i="67" s="1"/>
  <c r="AG71" i="36"/>
  <c r="N1487" i="67" s="1"/>
  <c r="AI55" i="36"/>
  <c r="P1471" i="67" s="1"/>
  <c r="AH55" i="36"/>
  <c r="O1471" i="67" s="1"/>
  <c r="AE71" i="36"/>
  <c r="L1487" i="67" s="1"/>
  <c r="AD55" i="36"/>
  <c r="AF55" i="36"/>
  <c r="M1471" i="67" s="1"/>
  <c r="AE55" i="36"/>
  <c r="L1471" i="67" s="1"/>
  <c r="AG55" i="36"/>
  <c r="N1471" i="67" s="1"/>
  <c r="AD71" i="36"/>
  <c r="AF71" i="36"/>
  <c r="M1487" i="67" s="1"/>
  <c r="H50" i="33"/>
  <c r="W50" i="34" s="1"/>
  <c r="T187" i="34"/>
  <c r="L80" i="36"/>
  <c r="U64" i="36"/>
  <c r="U105" i="34" s="1"/>
  <c r="V171" i="34"/>
  <c r="P171" i="34"/>
  <c r="I81" i="36"/>
  <c r="M64" i="36"/>
  <c r="R80" i="36"/>
  <c r="K187" i="34"/>
  <c r="N80" i="36"/>
  <c r="T186" i="34"/>
  <c r="Y170" i="34"/>
  <c r="J187" i="34"/>
  <c r="S186" i="34"/>
  <c r="O80" i="36"/>
  <c r="O121" i="34" s="1"/>
  <c r="H39" i="33"/>
  <c r="AI39" i="34" s="1"/>
  <c r="H51" i="33"/>
  <c r="T81" i="36"/>
  <c r="L64" i="36"/>
  <c r="L105" i="34" s="1"/>
  <c r="U170" i="34"/>
  <c r="V187" i="34"/>
  <c r="P65" i="36"/>
  <c r="I65" i="36"/>
  <c r="I106" i="34" s="1"/>
  <c r="M170" i="34"/>
  <c r="R186" i="34"/>
  <c r="K65" i="36"/>
  <c r="N186" i="34"/>
  <c r="T170" i="34"/>
  <c r="Y64" i="36"/>
  <c r="Y105" i="34" s="1"/>
  <c r="J81" i="36"/>
  <c r="S170" i="34"/>
  <c r="O186" i="34"/>
  <c r="C8" i="36"/>
  <c r="A53" i="57"/>
  <c r="H53" i="33"/>
  <c r="AB171" i="34"/>
  <c r="AB170" i="34"/>
  <c r="K80" i="36"/>
  <c r="Z64" i="36"/>
  <c r="Z105" i="34" s="1"/>
  <c r="P81" i="36"/>
  <c r="P122" i="34" s="1"/>
  <c r="I171" i="34"/>
  <c r="M80" i="36"/>
  <c r="R170" i="34"/>
  <c r="K81" i="36"/>
  <c r="K122" i="34" s="1"/>
  <c r="N170" i="34"/>
  <c r="T80" i="36"/>
  <c r="Y186" i="34"/>
  <c r="S80" i="36"/>
  <c r="S121" i="34" s="1"/>
  <c r="J33" i="34"/>
  <c r="N33" i="34"/>
  <c r="R33" i="34"/>
  <c r="V33" i="34"/>
  <c r="Z33" i="34"/>
  <c r="K33" i="34"/>
  <c r="O33" i="34"/>
  <c r="S33" i="34"/>
  <c r="W33" i="34"/>
  <c r="AA33" i="34"/>
  <c r="L33" i="34"/>
  <c r="P33" i="34"/>
  <c r="T33" i="34"/>
  <c r="X33" i="34"/>
  <c r="AB33" i="34"/>
  <c r="M33" i="34"/>
  <c r="Q33" i="34"/>
  <c r="U33" i="34"/>
  <c r="Y33" i="34"/>
  <c r="AC33" i="34"/>
  <c r="I33" i="34"/>
  <c r="H33" i="34"/>
  <c r="K34" i="34"/>
  <c r="O34" i="34"/>
  <c r="S34" i="34"/>
  <c r="W34" i="34"/>
  <c r="AA34" i="34"/>
  <c r="L34" i="34"/>
  <c r="P34" i="34"/>
  <c r="T34" i="34"/>
  <c r="X34" i="34"/>
  <c r="AB34" i="34"/>
  <c r="M34" i="34"/>
  <c r="Q34" i="34"/>
  <c r="U34" i="34"/>
  <c r="Y34" i="34"/>
  <c r="AC34" i="34"/>
  <c r="J34" i="34"/>
  <c r="N34" i="34"/>
  <c r="R34" i="34"/>
  <c r="V34" i="34"/>
  <c r="Z34" i="34"/>
  <c r="H34" i="34"/>
  <c r="I34" i="34"/>
  <c r="X39" i="34"/>
  <c r="Q39" i="34"/>
  <c r="AG39" i="34"/>
  <c r="V39" i="34"/>
  <c r="K39" i="34"/>
  <c r="AA39" i="34"/>
  <c r="L47" i="34"/>
  <c r="P47" i="34"/>
  <c r="T47" i="34"/>
  <c r="X47" i="34"/>
  <c r="AB47" i="34"/>
  <c r="AF47" i="34"/>
  <c r="M47" i="34"/>
  <c r="Q47" i="34"/>
  <c r="U47" i="34"/>
  <c r="Y47" i="34"/>
  <c r="AC47" i="34"/>
  <c r="AG47" i="34"/>
  <c r="J47" i="34"/>
  <c r="N47" i="34"/>
  <c r="R47" i="34"/>
  <c r="V47" i="34"/>
  <c r="Z47" i="34"/>
  <c r="AD47" i="34"/>
  <c r="AH47" i="34"/>
  <c r="K47" i="34"/>
  <c r="O47" i="34"/>
  <c r="S47" i="34"/>
  <c r="W47" i="34"/>
  <c r="AA47" i="34"/>
  <c r="AE47" i="34"/>
  <c r="I47" i="34"/>
  <c r="H47" i="34"/>
  <c r="L51" i="34"/>
  <c r="P51" i="34"/>
  <c r="T51" i="34"/>
  <c r="X51" i="34"/>
  <c r="AB51" i="34"/>
  <c r="M51" i="34"/>
  <c r="Q51" i="34"/>
  <c r="U51" i="34"/>
  <c r="Y51" i="34"/>
  <c r="AC51" i="34"/>
  <c r="J51" i="34"/>
  <c r="N51" i="34"/>
  <c r="R51" i="34"/>
  <c r="V51" i="34"/>
  <c r="Z51" i="34"/>
  <c r="K51" i="34"/>
  <c r="O51" i="34"/>
  <c r="S51" i="34"/>
  <c r="W51" i="34"/>
  <c r="AA51" i="34"/>
  <c r="I51" i="34"/>
  <c r="H51" i="34"/>
  <c r="L35" i="34"/>
  <c r="P35" i="34"/>
  <c r="T35" i="34"/>
  <c r="X35" i="34"/>
  <c r="AB35" i="34"/>
  <c r="M35" i="34"/>
  <c r="Q35" i="34"/>
  <c r="U35" i="34"/>
  <c r="Y35" i="34"/>
  <c r="AC35" i="34"/>
  <c r="J35" i="34"/>
  <c r="N35" i="34"/>
  <c r="R35" i="34"/>
  <c r="V35" i="34"/>
  <c r="Z35" i="34"/>
  <c r="K35" i="34"/>
  <c r="O35" i="34"/>
  <c r="S35" i="34"/>
  <c r="W35" i="34"/>
  <c r="AA35" i="34"/>
  <c r="H35" i="34"/>
  <c r="I35" i="34"/>
  <c r="M48" i="34"/>
  <c r="Q48" i="34"/>
  <c r="U48" i="34"/>
  <c r="Y48" i="34"/>
  <c r="AC48" i="34"/>
  <c r="AG48" i="34"/>
  <c r="J48" i="34"/>
  <c r="N48" i="34"/>
  <c r="R48" i="34"/>
  <c r="V48" i="34"/>
  <c r="Z48" i="34"/>
  <c r="AD48" i="34"/>
  <c r="AH48" i="34"/>
  <c r="K48" i="34"/>
  <c r="O48" i="34"/>
  <c r="S48" i="34"/>
  <c r="W48" i="34"/>
  <c r="AA48" i="34"/>
  <c r="AE48" i="34"/>
  <c r="L48" i="34"/>
  <c r="P48" i="34"/>
  <c r="T48" i="34"/>
  <c r="X48" i="34"/>
  <c r="AB48" i="34"/>
  <c r="AF48" i="34"/>
  <c r="H48" i="34"/>
  <c r="I48" i="34"/>
  <c r="O38" i="34"/>
  <c r="S38" i="34"/>
  <c r="L38" i="34"/>
  <c r="P38" i="34"/>
  <c r="AB38" i="34"/>
  <c r="M38" i="34"/>
  <c r="Y38" i="34"/>
  <c r="AC38" i="34"/>
  <c r="R38" i="34"/>
  <c r="V38" i="34"/>
  <c r="H38" i="34"/>
  <c r="K46" i="34"/>
  <c r="O46" i="34"/>
  <c r="S46" i="34"/>
  <c r="W46" i="34"/>
  <c r="AA46" i="34"/>
  <c r="AE46" i="34"/>
  <c r="L46" i="34"/>
  <c r="P46" i="34"/>
  <c r="T46" i="34"/>
  <c r="X46" i="34"/>
  <c r="AB46" i="34"/>
  <c r="AF46" i="34"/>
  <c r="M46" i="34"/>
  <c r="Q46" i="34"/>
  <c r="U46" i="34"/>
  <c r="Y46" i="34"/>
  <c r="AC46" i="34"/>
  <c r="AG46" i="34"/>
  <c r="J46" i="34"/>
  <c r="N46" i="34"/>
  <c r="R46" i="34"/>
  <c r="V46" i="34"/>
  <c r="Z46" i="34"/>
  <c r="AD46" i="34"/>
  <c r="AH46" i="34"/>
  <c r="I46" i="34"/>
  <c r="H46" i="34"/>
  <c r="S50" i="34"/>
  <c r="P50" i="34"/>
  <c r="M50" i="34"/>
  <c r="AC50" i="34"/>
  <c r="V50" i="34"/>
  <c r="M52" i="34"/>
  <c r="Q52" i="34"/>
  <c r="U52" i="34"/>
  <c r="Y52" i="34"/>
  <c r="AC52" i="34"/>
  <c r="J52" i="34"/>
  <c r="N52" i="34"/>
  <c r="R52" i="34"/>
  <c r="V52" i="34"/>
  <c r="Z52" i="34"/>
  <c r="K52" i="34"/>
  <c r="O52" i="34"/>
  <c r="S52" i="34"/>
  <c r="W52" i="34"/>
  <c r="AA52" i="34"/>
  <c r="L52" i="34"/>
  <c r="P52" i="34"/>
  <c r="T52" i="34"/>
  <c r="X52" i="34"/>
  <c r="AB52" i="34"/>
  <c r="H52" i="34"/>
  <c r="I52" i="34"/>
  <c r="AF28" i="34"/>
  <c r="M32" i="34"/>
  <c r="Q32" i="34"/>
  <c r="U32" i="34"/>
  <c r="Y32" i="34"/>
  <c r="AC32" i="34"/>
  <c r="J32" i="34"/>
  <c r="N32" i="34"/>
  <c r="R32" i="34"/>
  <c r="V32" i="34"/>
  <c r="Z32" i="34"/>
  <c r="K32" i="34"/>
  <c r="O32" i="34"/>
  <c r="S32" i="34"/>
  <c r="W32" i="34"/>
  <c r="AA32" i="34"/>
  <c r="L32" i="34"/>
  <c r="P32" i="34"/>
  <c r="T32" i="34"/>
  <c r="X32" i="34"/>
  <c r="AB32" i="34"/>
  <c r="I32" i="34"/>
  <c r="H32" i="34"/>
  <c r="J41" i="34"/>
  <c r="N41" i="34"/>
  <c r="R41" i="34"/>
  <c r="V41" i="34"/>
  <c r="Z41" i="34"/>
  <c r="AD41" i="34"/>
  <c r="AH41" i="34"/>
  <c r="K41" i="34"/>
  <c r="O41" i="34"/>
  <c r="S41" i="34"/>
  <c r="W41" i="34"/>
  <c r="AA41" i="34"/>
  <c r="AE41" i="34"/>
  <c r="L41" i="34"/>
  <c r="P41" i="34"/>
  <c r="T41" i="34"/>
  <c r="X41" i="34"/>
  <c r="AB41" i="34"/>
  <c r="AF41" i="34"/>
  <c r="M41" i="34"/>
  <c r="Q41" i="34"/>
  <c r="U41" i="34"/>
  <c r="Y41" i="34"/>
  <c r="AC41" i="34"/>
  <c r="AG41" i="34"/>
  <c r="I41" i="34"/>
  <c r="H41" i="34"/>
  <c r="J49" i="34"/>
  <c r="N49" i="34"/>
  <c r="R49" i="34"/>
  <c r="V49" i="34"/>
  <c r="Z49" i="34"/>
  <c r="AD49" i="34"/>
  <c r="AH49" i="34"/>
  <c r="K49" i="34"/>
  <c r="O49" i="34"/>
  <c r="S49" i="34"/>
  <c r="W49" i="34"/>
  <c r="AA49" i="34"/>
  <c r="AE49" i="34"/>
  <c r="L49" i="34"/>
  <c r="P49" i="34"/>
  <c r="T49" i="34"/>
  <c r="X49" i="34"/>
  <c r="AB49" i="34"/>
  <c r="AF49" i="34"/>
  <c r="M49" i="34"/>
  <c r="Q49" i="34"/>
  <c r="U49" i="34"/>
  <c r="Y49" i="34"/>
  <c r="AC49" i="34"/>
  <c r="AG49" i="34"/>
  <c r="I49" i="34"/>
  <c r="H49" i="34"/>
  <c r="D94" i="46"/>
  <c r="E76" i="46"/>
  <c r="D93" i="46"/>
  <c r="E75" i="46"/>
  <c r="E65" i="46"/>
  <c r="D83" i="46"/>
  <c r="H105" i="34"/>
  <c r="T122" i="34"/>
  <c r="M106" i="34"/>
  <c r="P106" i="34"/>
  <c r="Q122" i="34"/>
  <c r="L122" i="34"/>
  <c r="K106" i="34"/>
  <c r="X105" i="34"/>
  <c r="AA121" i="34"/>
  <c r="J122" i="34"/>
  <c r="R122" i="34"/>
  <c r="Y106" i="34"/>
  <c r="I122" i="34"/>
  <c r="H122" i="34"/>
  <c r="R121" i="34"/>
  <c r="O122" i="34"/>
  <c r="M122" i="34"/>
  <c r="K121" i="34"/>
  <c r="P105" i="34"/>
  <c r="M121" i="34"/>
  <c r="X121" i="34"/>
  <c r="H121" i="34"/>
  <c r="T121" i="34"/>
  <c r="AB122" i="34"/>
  <c r="L121" i="34"/>
  <c r="M105" i="34"/>
  <c r="AC106" i="34"/>
  <c r="N121" i="34"/>
  <c r="S122" i="34"/>
  <c r="T106" i="34"/>
  <c r="AB106" i="34"/>
  <c r="K105" i="34"/>
  <c r="N106" i="34"/>
  <c r="I121" i="34"/>
  <c r="J105" i="34"/>
  <c r="Q121" i="34"/>
  <c r="J106" i="34"/>
  <c r="W105" i="34"/>
  <c r="O105" i="34"/>
  <c r="X86" i="34"/>
  <c r="X87" i="34"/>
  <c r="R86" i="34"/>
  <c r="R87" i="34"/>
  <c r="AA86" i="34"/>
  <c r="AA87" i="34"/>
  <c r="H86" i="34"/>
  <c r="I41" i="68" s="1"/>
  <c r="I63" i="68" s="1"/>
  <c r="H87" i="34"/>
  <c r="I42" i="68" s="1"/>
  <c r="I64" i="68" s="1"/>
  <c r="U86" i="34"/>
  <c r="U87" i="34"/>
  <c r="L86" i="34"/>
  <c r="L87" i="34"/>
  <c r="S86" i="34"/>
  <c r="S87" i="34"/>
  <c r="N86" i="34"/>
  <c r="N87" i="34"/>
  <c r="W86" i="34"/>
  <c r="W87" i="34"/>
  <c r="Q86" i="34"/>
  <c r="Q87" i="34"/>
  <c r="AB86" i="34"/>
  <c r="AB87" i="34"/>
  <c r="Z86" i="34"/>
  <c r="Z87" i="34"/>
  <c r="J86" i="34"/>
  <c r="J87" i="34"/>
  <c r="O86" i="34"/>
  <c r="O87" i="34"/>
  <c r="AC86" i="34"/>
  <c r="AC87" i="34"/>
  <c r="M86" i="34"/>
  <c r="M87" i="34"/>
  <c r="T86" i="34"/>
  <c r="T87" i="34"/>
  <c r="P86" i="34"/>
  <c r="P87" i="34"/>
  <c r="V86" i="34"/>
  <c r="V87" i="34"/>
  <c r="K86" i="34"/>
  <c r="K87" i="34"/>
  <c r="Y86" i="34"/>
  <c r="Y87" i="34"/>
  <c r="I86" i="34"/>
  <c r="I87" i="34"/>
  <c r="P68" i="36"/>
  <c r="AI159" i="34"/>
  <c r="S158" i="34"/>
  <c r="I159" i="34"/>
  <c r="Q158" i="34"/>
  <c r="H175" i="34"/>
  <c r="J53" i="36"/>
  <c r="AD159" i="34"/>
  <c r="AB159" i="34"/>
  <c r="X53" i="36"/>
  <c r="AA53" i="36"/>
  <c r="R158" i="34"/>
  <c r="M68" i="36"/>
  <c r="Y174" i="34"/>
  <c r="P53" i="36"/>
  <c r="O174" i="34"/>
  <c r="U68" i="36"/>
  <c r="AC174" i="34"/>
  <c r="W52" i="36"/>
  <c r="S53" i="36"/>
  <c r="Q53" i="36"/>
  <c r="L52" i="36"/>
  <c r="M175" i="34"/>
  <c r="Y53" i="36"/>
  <c r="K52" i="36"/>
  <c r="O175" i="34"/>
  <c r="AC69" i="36"/>
  <c r="W69" i="36"/>
  <c r="AH159" i="34"/>
  <c r="V52" i="36"/>
  <c r="Z158" i="34"/>
  <c r="AA158" i="34"/>
  <c r="N158" i="34"/>
  <c r="L159" i="34"/>
  <c r="R159" i="34"/>
  <c r="T158" i="34"/>
  <c r="K175" i="34"/>
  <c r="AE159" i="34"/>
  <c r="I174" i="34"/>
  <c r="V159" i="34"/>
  <c r="H52" i="36"/>
  <c r="J174" i="34"/>
  <c r="AB158" i="34"/>
  <c r="X52" i="36"/>
  <c r="N159" i="34"/>
  <c r="D20" i="33"/>
  <c r="E22" i="45"/>
  <c r="E7" i="45"/>
  <c r="E8" i="45" s="1"/>
  <c r="E9" i="45" s="1"/>
  <c r="D22" i="45"/>
  <c r="C22" i="62" s="1"/>
  <c r="D7" i="45"/>
  <c r="A19" i="45"/>
  <c r="A60" i="45" s="1"/>
  <c r="A11" i="45"/>
  <c r="A59" i="45" s="1"/>
  <c r="B4" i="45"/>
  <c r="B58" i="45" s="1"/>
  <c r="A4" i="45"/>
  <c r="A58" i="45" s="1"/>
  <c r="B14" i="45"/>
  <c r="C20" i="33"/>
  <c r="C6" i="33"/>
  <c r="C56" i="33"/>
  <c r="D6" i="33"/>
  <c r="D56" i="33"/>
  <c r="N133" i="39"/>
  <c r="N132" i="39"/>
  <c r="N131" i="39"/>
  <c r="N130" i="39"/>
  <c r="N129" i="39"/>
  <c r="N128" i="39"/>
  <c r="N127" i="39"/>
  <c r="N126" i="39"/>
  <c r="N125" i="39"/>
  <c r="N124" i="39"/>
  <c r="N123" i="39"/>
  <c r="N122" i="39"/>
  <c r="N121" i="39"/>
  <c r="N120" i="39"/>
  <c r="N119" i="39"/>
  <c r="N118" i="39"/>
  <c r="N117" i="39"/>
  <c r="N116" i="39"/>
  <c r="N115" i="39"/>
  <c r="N114" i="39"/>
  <c r="N112" i="39"/>
  <c r="H29" i="33" s="1"/>
  <c r="O29" i="34" s="1"/>
  <c r="N110" i="39"/>
  <c r="H28" i="33" s="1"/>
  <c r="R28" i="34" s="1"/>
  <c r="N28" i="39"/>
  <c r="N27" i="39"/>
  <c r="N26" i="39"/>
  <c r="N25" i="39"/>
  <c r="H23" i="33" s="1"/>
  <c r="AP23" i="34" s="1"/>
  <c r="N24" i="39"/>
  <c r="N23" i="39"/>
  <c r="N22" i="39"/>
  <c r="N21" i="39"/>
  <c r="N20" i="39"/>
  <c r="N19" i="39"/>
  <c r="N18" i="39"/>
  <c r="N17" i="39"/>
  <c r="N16" i="39"/>
  <c r="N15" i="39"/>
  <c r="N14" i="39"/>
  <c r="N13" i="39"/>
  <c r="N12" i="39"/>
  <c r="K138" i="39"/>
  <c r="J138" i="39"/>
  <c r="K137" i="39"/>
  <c r="J137" i="39"/>
  <c r="K136" i="39"/>
  <c r="J136" i="39"/>
  <c r="K135" i="39"/>
  <c r="J135" i="39"/>
  <c r="K133" i="39"/>
  <c r="J133" i="39"/>
  <c r="K132" i="39"/>
  <c r="J132" i="39"/>
  <c r="K131" i="39"/>
  <c r="J131" i="39"/>
  <c r="K130" i="39"/>
  <c r="J130" i="39"/>
  <c r="K129" i="39"/>
  <c r="J129" i="39"/>
  <c r="K128" i="39"/>
  <c r="J128" i="39"/>
  <c r="K127" i="39"/>
  <c r="J127" i="39"/>
  <c r="K126" i="39"/>
  <c r="J126" i="39"/>
  <c r="K125" i="39"/>
  <c r="J125" i="39"/>
  <c r="K124" i="39"/>
  <c r="J124" i="39"/>
  <c r="K123" i="39"/>
  <c r="J123" i="39"/>
  <c r="K122" i="39"/>
  <c r="J122" i="39"/>
  <c r="K121" i="39"/>
  <c r="J121" i="39"/>
  <c r="K120" i="39"/>
  <c r="J120" i="39"/>
  <c r="K119" i="39"/>
  <c r="J119" i="39"/>
  <c r="K118" i="39"/>
  <c r="J118" i="39"/>
  <c r="K117" i="39"/>
  <c r="J117" i="39"/>
  <c r="K116" i="39"/>
  <c r="J116" i="39"/>
  <c r="K115" i="39"/>
  <c r="J115" i="39"/>
  <c r="K114" i="39"/>
  <c r="J114" i="39"/>
  <c r="K112" i="39"/>
  <c r="J112" i="39"/>
  <c r="K110" i="39"/>
  <c r="J110" i="39"/>
  <c r="K108" i="39"/>
  <c r="J108" i="39"/>
  <c r="K107" i="39"/>
  <c r="J107" i="39"/>
  <c r="K106" i="39"/>
  <c r="J106" i="39"/>
  <c r="K105" i="39"/>
  <c r="J105" i="39"/>
  <c r="K104" i="39"/>
  <c r="J104" i="39"/>
  <c r="K103" i="39"/>
  <c r="J103" i="39"/>
  <c r="K102" i="39"/>
  <c r="J102" i="39"/>
  <c r="K101" i="39"/>
  <c r="J101" i="39"/>
  <c r="K100" i="39"/>
  <c r="J100" i="39"/>
  <c r="K99" i="39"/>
  <c r="J99" i="39"/>
  <c r="K98" i="39"/>
  <c r="J98" i="39"/>
  <c r="K97" i="39"/>
  <c r="J97" i="39"/>
  <c r="K96" i="39"/>
  <c r="J96" i="39"/>
  <c r="K95" i="39"/>
  <c r="J95" i="39"/>
  <c r="K94" i="39"/>
  <c r="J94" i="39"/>
  <c r="K93" i="39"/>
  <c r="J93" i="39"/>
  <c r="K92" i="39"/>
  <c r="J92" i="39"/>
  <c r="K91" i="39"/>
  <c r="J91" i="39"/>
  <c r="K90" i="39"/>
  <c r="J90" i="39"/>
  <c r="K89" i="39"/>
  <c r="J89" i="39"/>
  <c r="K88" i="39"/>
  <c r="J88" i="39"/>
  <c r="K87" i="39"/>
  <c r="J87" i="39"/>
  <c r="K86" i="39"/>
  <c r="J86" i="39"/>
  <c r="K85" i="39"/>
  <c r="J85" i="39"/>
  <c r="K83" i="39"/>
  <c r="J83" i="39"/>
  <c r="K82" i="39"/>
  <c r="J82" i="39"/>
  <c r="K81" i="39"/>
  <c r="J81" i="39"/>
  <c r="K80" i="39"/>
  <c r="J80" i="39"/>
  <c r="K79" i="39"/>
  <c r="J79" i="39"/>
  <c r="K78" i="39"/>
  <c r="J78" i="39"/>
  <c r="K77" i="39"/>
  <c r="J77" i="39"/>
  <c r="K76" i="39"/>
  <c r="J76" i="39"/>
  <c r="K75" i="39"/>
  <c r="J75" i="39"/>
  <c r="K74" i="39"/>
  <c r="J74" i="39"/>
  <c r="K73" i="39"/>
  <c r="J73" i="39"/>
  <c r="K72" i="39"/>
  <c r="J72" i="39"/>
  <c r="K71" i="39"/>
  <c r="J71" i="39"/>
  <c r="K70" i="39"/>
  <c r="J70" i="39"/>
  <c r="K69" i="39"/>
  <c r="J69" i="39"/>
  <c r="K68" i="39"/>
  <c r="J68" i="39"/>
  <c r="K67" i="39"/>
  <c r="J67" i="39"/>
  <c r="K66" i="39"/>
  <c r="J66" i="39"/>
  <c r="K65" i="39"/>
  <c r="J65" i="39"/>
  <c r="K64" i="39"/>
  <c r="J64" i="39"/>
  <c r="K63" i="39"/>
  <c r="J63" i="39"/>
  <c r="K62" i="39"/>
  <c r="J62" i="39"/>
  <c r="K61" i="39"/>
  <c r="J61" i="39"/>
  <c r="K60" i="39"/>
  <c r="J60" i="39"/>
  <c r="K59" i="39"/>
  <c r="J59" i="39"/>
  <c r="K58" i="39"/>
  <c r="J58" i="39"/>
  <c r="K57" i="39"/>
  <c r="J57" i="39"/>
  <c r="K56" i="39"/>
  <c r="J56" i="39"/>
  <c r="K55" i="39"/>
  <c r="J55" i="39"/>
  <c r="K54" i="39"/>
  <c r="J54" i="39"/>
  <c r="K53" i="39"/>
  <c r="J53" i="39"/>
  <c r="K52" i="39"/>
  <c r="J52" i="39"/>
  <c r="K51" i="39"/>
  <c r="J51" i="39"/>
  <c r="K50" i="39"/>
  <c r="J50" i="39"/>
  <c r="K49" i="39"/>
  <c r="J49" i="39"/>
  <c r="K48" i="39"/>
  <c r="J48" i="39"/>
  <c r="K47" i="39"/>
  <c r="J47" i="39"/>
  <c r="K46" i="39"/>
  <c r="J46" i="39"/>
  <c r="K45" i="39"/>
  <c r="J45" i="39"/>
  <c r="K44" i="39"/>
  <c r="J44" i="39"/>
  <c r="K43" i="39"/>
  <c r="J43" i="39"/>
  <c r="K42" i="39"/>
  <c r="J42" i="39"/>
  <c r="K41" i="39"/>
  <c r="J41" i="39"/>
  <c r="K40" i="39"/>
  <c r="J40" i="39"/>
  <c r="K39" i="39"/>
  <c r="J39" i="39"/>
  <c r="K38" i="39"/>
  <c r="J38" i="39"/>
  <c r="K37" i="39"/>
  <c r="J37" i="39"/>
  <c r="K36" i="39"/>
  <c r="J36" i="39"/>
  <c r="K34" i="39"/>
  <c r="J34" i="39"/>
  <c r="K33" i="39"/>
  <c r="J33" i="39"/>
  <c r="K32" i="39"/>
  <c r="J32" i="39"/>
  <c r="K31" i="39"/>
  <c r="J31" i="39"/>
  <c r="K30" i="39"/>
  <c r="J30" i="39"/>
  <c r="K29" i="39"/>
  <c r="J29" i="39"/>
  <c r="K28" i="39"/>
  <c r="J28" i="39"/>
  <c r="K27" i="39"/>
  <c r="J27" i="39"/>
  <c r="K26" i="39"/>
  <c r="J26" i="39"/>
  <c r="K25" i="39"/>
  <c r="J25" i="39"/>
  <c r="K24" i="39"/>
  <c r="J24" i="39"/>
  <c r="K23" i="39"/>
  <c r="J23" i="39"/>
  <c r="K22" i="39"/>
  <c r="J22" i="39"/>
  <c r="K21" i="39"/>
  <c r="J21" i="39"/>
  <c r="K20" i="39"/>
  <c r="J20" i="39"/>
  <c r="K19" i="39"/>
  <c r="J19" i="39"/>
  <c r="K18" i="39"/>
  <c r="J18" i="39"/>
  <c r="K17" i="39"/>
  <c r="J17" i="39"/>
  <c r="K16" i="39"/>
  <c r="J16" i="39"/>
  <c r="K15" i="39"/>
  <c r="J15" i="39"/>
  <c r="K14" i="39"/>
  <c r="J14" i="39"/>
  <c r="K13" i="39"/>
  <c r="J13" i="39"/>
  <c r="K12" i="39"/>
  <c r="J12" i="39"/>
  <c r="K10" i="39"/>
  <c r="J10" i="39"/>
  <c r="K9" i="39"/>
  <c r="J9" i="39"/>
  <c r="K8" i="39"/>
  <c r="J8" i="39"/>
  <c r="K7" i="39"/>
  <c r="J7" i="39"/>
  <c r="K6" i="39"/>
  <c r="J6" i="39"/>
  <c r="BK101" i="34" l="1"/>
  <c r="AR1130" i="67"/>
  <c r="AR1476" i="67"/>
  <c r="BJ117" i="34"/>
  <c r="AQ1146" i="67"/>
  <c r="AQ1492" i="67"/>
  <c r="BK117" i="34"/>
  <c r="AR1146" i="67"/>
  <c r="AR1492" i="67"/>
  <c r="AL101" i="34"/>
  <c r="S1130" i="67"/>
  <c r="S1476" i="67"/>
  <c r="BB101" i="34"/>
  <c r="AI1130" i="67"/>
  <c r="AI1476" i="67"/>
  <c r="BO101" i="34"/>
  <c r="AV1130" i="67"/>
  <c r="AV1476" i="67"/>
  <c r="AO117" i="34"/>
  <c r="V1146" i="67"/>
  <c r="V1492" i="67"/>
  <c r="BB117" i="34"/>
  <c r="AI1146" i="67"/>
  <c r="AI1492" i="67"/>
  <c r="BC117" i="34"/>
  <c r="AJ1146" i="67"/>
  <c r="AJ1492" i="67"/>
  <c r="AX101" i="34"/>
  <c r="AE1130" i="67"/>
  <c r="AE1476" i="67"/>
  <c r="BI101" i="34"/>
  <c r="AP1130" i="67"/>
  <c r="AP1476" i="67"/>
  <c r="AT101" i="34"/>
  <c r="AA1130" i="67"/>
  <c r="AA1476" i="67"/>
  <c r="AU101" i="34"/>
  <c r="AB1130" i="67"/>
  <c r="AB1476" i="67"/>
  <c r="AT117" i="34"/>
  <c r="AA1146" i="67"/>
  <c r="AA1492" i="67"/>
  <c r="AU117" i="34"/>
  <c r="AB1146" i="67"/>
  <c r="AB1492" i="67"/>
  <c r="AE101" i="34"/>
  <c r="L1130" i="67"/>
  <c r="L1476" i="67"/>
  <c r="AD117" i="34"/>
  <c r="K1146" i="67"/>
  <c r="K1492" i="67"/>
  <c r="AE117" i="34"/>
  <c r="L1146" i="67"/>
  <c r="L1492" i="67"/>
  <c r="M62" i="67"/>
  <c r="M823" i="67"/>
  <c r="M215" i="67"/>
  <c r="M368" i="67"/>
  <c r="M520" i="67"/>
  <c r="P368" i="67"/>
  <c r="P520" i="67"/>
  <c r="P62" i="67"/>
  <c r="P823" i="67"/>
  <c r="P215" i="67"/>
  <c r="AZ117" i="34"/>
  <c r="AG1146" i="67"/>
  <c r="AG1492" i="67"/>
  <c r="BJ101" i="34"/>
  <c r="AQ1130" i="67"/>
  <c r="AQ1476" i="67"/>
  <c r="AV101" i="34"/>
  <c r="AC1130" i="67"/>
  <c r="AC1476" i="67"/>
  <c r="AZ101" i="34"/>
  <c r="AG1130" i="67"/>
  <c r="AG1476" i="67"/>
  <c r="BD117" i="34"/>
  <c r="AK1146" i="67"/>
  <c r="AK1492" i="67"/>
  <c r="BH101" i="34"/>
  <c r="AO1130" i="67"/>
  <c r="AO1476" i="67"/>
  <c r="BA117" i="34"/>
  <c r="AH1146" i="67"/>
  <c r="AH1492" i="67"/>
  <c r="BN117" i="34"/>
  <c r="AU1146" i="67"/>
  <c r="AU1492" i="67"/>
  <c r="BO117" i="34"/>
  <c r="AV1146" i="67"/>
  <c r="AV1492" i="67"/>
  <c r="AW101" i="34"/>
  <c r="AD1130" i="67"/>
  <c r="AD1476" i="67"/>
  <c r="AS101" i="34"/>
  <c r="Z1130" i="67"/>
  <c r="Z1476" i="67"/>
  <c r="BF101" i="34"/>
  <c r="AM1130" i="67"/>
  <c r="AM1476" i="67"/>
  <c r="BG101" i="34"/>
  <c r="AN1130" i="67"/>
  <c r="AN1476" i="67"/>
  <c r="AS117" i="34"/>
  <c r="Z1146" i="67"/>
  <c r="Z1492" i="67"/>
  <c r="BF117" i="34"/>
  <c r="AM1146" i="67"/>
  <c r="AM1492" i="67"/>
  <c r="BG117" i="34"/>
  <c r="AN1146" i="67"/>
  <c r="AN1492" i="67"/>
  <c r="AF101" i="34"/>
  <c r="M1130" i="67"/>
  <c r="M1476" i="67"/>
  <c r="AI101" i="34"/>
  <c r="P1130" i="67"/>
  <c r="P1476" i="67"/>
  <c r="AF117" i="34"/>
  <c r="M1146" i="67"/>
  <c r="M1492" i="67"/>
  <c r="K1487" i="67"/>
  <c r="K1141" i="67"/>
  <c r="K990" i="67"/>
  <c r="K1471" i="67"/>
  <c r="K1125" i="67"/>
  <c r="K974" i="67"/>
  <c r="K672" i="67"/>
  <c r="N839" i="67"/>
  <c r="N231" i="67"/>
  <c r="N536" i="67"/>
  <c r="N384" i="67"/>
  <c r="N688" i="67"/>
  <c r="N78" i="67"/>
  <c r="AK101" i="34"/>
  <c r="R1130" i="67"/>
  <c r="R1476" i="67"/>
  <c r="AL117" i="34"/>
  <c r="S1146" i="67"/>
  <c r="S1492" i="67"/>
  <c r="AM117" i="34"/>
  <c r="T1146" i="67"/>
  <c r="T1492" i="67"/>
  <c r="BA101" i="34"/>
  <c r="AH1130" i="67"/>
  <c r="AH1476" i="67"/>
  <c r="AQ101" i="34"/>
  <c r="X1130" i="67"/>
  <c r="X1476" i="67"/>
  <c r="AV117" i="34"/>
  <c r="AC1146" i="67"/>
  <c r="AC1492" i="67"/>
  <c r="BM101" i="34"/>
  <c r="AT1130" i="67"/>
  <c r="AT1476" i="67"/>
  <c r="BM117" i="34"/>
  <c r="AT1146" i="67"/>
  <c r="AT1492" i="67"/>
  <c r="BD101" i="34"/>
  <c r="AK1130" i="67"/>
  <c r="AK1476" i="67"/>
  <c r="BH117" i="34"/>
  <c r="AO1146" i="67"/>
  <c r="AO1492" i="67"/>
  <c r="AO101" i="34"/>
  <c r="V1130" i="67"/>
  <c r="V1476" i="67"/>
  <c r="BE101" i="34"/>
  <c r="AL1130" i="67"/>
  <c r="AL1476" i="67"/>
  <c r="AN117" i="34"/>
  <c r="U1146" i="67"/>
  <c r="U1492" i="67"/>
  <c r="AJ101" i="34"/>
  <c r="Q1130" i="67"/>
  <c r="Q1476" i="67"/>
  <c r="AM101" i="34"/>
  <c r="T1130" i="67"/>
  <c r="T1476" i="67"/>
  <c r="BE117" i="34"/>
  <c r="AL1146" i="67"/>
  <c r="AL1492" i="67"/>
  <c r="AN101" i="34"/>
  <c r="U1130" i="67"/>
  <c r="U1476" i="67"/>
  <c r="AJ117" i="34"/>
  <c r="Q1146" i="67"/>
  <c r="Q1492" i="67"/>
  <c r="AH101" i="34"/>
  <c r="O1130" i="67"/>
  <c r="O1476" i="67"/>
  <c r="AD101" i="34"/>
  <c r="K1130" i="67"/>
  <c r="K1476" i="67"/>
  <c r="AG117" i="34"/>
  <c r="N1146" i="67"/>
  <c r="N1492" i="67"/>
  <c r="L368" i="67"/>
  <c r="L520" i="67"/>
  <c r="L62" i="67"/>
  <c r="L823" i="67"/>
  <c r="L215" i="67"/>
  <c r="O823" i="67"/>
  <c r="O215" i="67"/>
  <c r="O368" i="67"/>
  <c r="O520" i="67"/>
  <c r="O62" i="67"/>
  <c r="O384" i="67"/>
  <c r="O688" i="67"/>
  <c r="O839" i="67"/>
  <c r="O78" i="67"/>
  <c r="O231" i="67"/>
  <c r="O536" i="67"/>
  <c r="M384" i="67"/>
  <c r="M839" i="67"/>
  <c r="M231" i="67"/>
  <c r="M536" i="67"/>
  <c r="M78" i="67"/>
  <c r="M688" i="67"/>
  <c r="N368" i="67"/>
  <c r="N62" i="67"/>
  <c r="N520" i="67"/>
  <c r="N215" i="67"/>
  <c r="N823" i="67"/>
  <c r="L231" i="67"/>
  <c r="L384" i="67"/>
  <c r="L536" i="67"/>
  <c r="L688" i="67"/>
  <c r="L839" i="67"/>
  <c r="L78" i="67"/>
  <c r="P839" i="67"/>
  <c r="P231" i="67"/>
  <c r="P536" i="67"/>
  <c r="P384" i="67"/>
  <c r="P688" i="67"/>
  <c r="P78" i="67"/>
  <c r="AY101" i="34"/>
  <c r="AF1130" i="67"/>
  <c r="AF1476" i="67"/>
  <c r="AX117" i="34"/>
  <c r="AE1146" i="67"/>
  <c r="AE1492" i="67"/>
  <c r="AY117" i="34"/>
  <c r="AF1146" i="67"/>
  <c r="AF1492" i="67"/>
  <c r="BI117" i="34"/>
  <c r="AP1146" i="67"/>
  <c r="AP1492" i="67"/>
  <c r="AP117" i="34"/>
  <c r="W1146" i="67"/>
  <c r="W1492" i="67"/>
  <c r="BC101" i="34"/>
  <c r="AJ1130" i="67"/>
  <c r="AJ1476" i="67"/>
  <c r="AW117" i="34"/>
  <c r="AD1146" i="67"/>
  <c r="AD1492" i="67"/>
  <c r="BN101" i="34"/>
  <c r="AU1130" i="67"/>
  <c r="AU1476" i="67"/>
  <c r="AP101" i="34"/>
  <c r="W1130" i="67"/>
  <c r="W1476" i="67"/>
  <c r="AQ117" i="34"/>
  <c r="X1146" i="67"/>
  <c r="X1492" i="67"/>
  <c r="AR101" i="34"/>
  <c r="Y1130" i="67"/>
  <c r="Y1476" i="67"/>
  <c r="BL101" i="34"/>
  <c r="AS1130" i="67"/>
  <c r="AS1476" i="67"/>
  <c r="BP117" i="34"/>
  <c r="AW1146" i="67"/>
  <c r="AW1492" i="67"/>
  <c r="AK117" i="34"/>
  <c r="R1146" i="67"/>
  <c r="R1492" i="67"/>
  <c r="AR117" i="34"/>
  <c r="Y1146" i="67"/>
  <c r="Y1492" i="67"/>
  <c r="BL117" i="34"/>
  <c r="AS1146" i="67"/>
  <c r="AS1492" i="67"/>
  <c r="BP101" i="34"/>
  <c r="AW1130" i="67"/>
  <c r="AW1476" i="67"/>
  <c r="AG101" i="34"/>
  <c r="N1130" i="67"/>
  <c r="N1476" i="67"/>
  <c r="AI117" i="34"/>
  <c r="P1146" i="67"/>
  <c r="P1492" i="67"/>
  <c r="AH117" i="34"/>
  <c r="O1146" i="67"/>
  <c r="O1492" i="67"/>
  <c r="Q42" i="68"/>
  <c r="Q64" i="68" s="1"/>
  <c r="U41" i="68"/>
  <c r="U63" i="68" s="1"/>
  <c r="AD41" i="68"/>
  <c r="AD63" i="68" s="1"/>
  <c r="AC41" i="68"/>
  <c r="AC63" i="68" s="1"/>
  <c r="T41" i="68"/>
  <c r="T63" i="68" s="1"/>
  <c r="AB41" i="68"/>
  <c r="AB63" i="68" s="1"/>
  <c r="L42" i="68"/>
  <c r="L64" i="68" s="1"/>
  <c r="P42" i="68"/>
  <c r="P64" i="68" s="1"/>
  <c r="R42" i="68"/>
  <c r="R64" i="68" s="1"/>
  <c r="M42" i="68"/>
  <c r="M64" i="68" s="1"/>
  <c r="J41" i="68"/>
  <c r="J63" i="68" s="1"/>
  <c r="L41" i="68"/>
  <c r="L63" i="68" s="1"/>
  <c r="Q41" i="68"/>
  <c r="Q63" i="68" s="1"/>
  <c r="N41" i="68"/>
  <c r="N63" i="68" s="1"/>
  <c r="P41" i="68"/>
  <c r="P63" i="68" s="1"/>
  <c r="AA41" i="68"/>
  <c r="AA63" i="68" s="1"/>
  <c r="R41" i="68"/>
  <c r="R63" i="68" s="1"/>
  <c r="O41" i="68"/>
  <c r="O63" i="68" s="1"/>
  <c r="M41" i="68"/>
  <c r="M63" i="68" s="1"/>
  <c r="S41" i="68"/>
  <c r="S63" i="68" s="1"/>
  <c r="Z41" i="68"/>
  <c r="Z63" i="68" s="1"/>
  <c r="W41" i="68"/>
  <c r="W63" i="68" s="1"/>
  <c r="K41" i="68"/>
  <c r="K63" i="68" s="1"/>
  <c r="X41" i="68"/>
  <c r="X63" i="68" s="1"/>
  <c r="V41" i="68"/>
  <c r="V63" i="68" s="1"/>
  <c r="Y41" i="68"/>
  <c r="Y63" i="68" s="1"/>
  <c r="J42" i="68"/>
  <c r="J64" i="68" s="1"/>
  <c r="N42" i="68"/>
  <c r="N64" i="68" s="1"/>
  <c r="AA42" i="68"/>
  <c r="AA64" i="68" s="1"/>
  <c r="O42" i="68"/>
  <c r="O64" i="68" s="1"/>
  <c r="S42" i="68"/>
  <c r="S64" i="68" s="1"/>
  <c r="Z42" i="68"/>
  <c r="Z64" i="68" s="1"/>
  <c r="W42" i="68"/>
  <c r="W64" i="68" s="1"/>
  <c r="U42" i="68"/>
  <c r="U64" i="68" s="1"/>
  <c r="AD42" i="68"/>
  <c r="AD64" i="68" s="1"/>
  <c r="K42" i="68"/>
  <c r="K64" i="68" s="1"/>
  <c r="AC42" i="68"/>
  <c r="AC64" i="68" s="1"/>
  <c r="X42" i="68"/>
  <c r="X64" i="68" s="1"/>
  <c r="T42" i="68"/>
  <c r="T64" i="68" s="1"/>
  <c r="V42" i="68"/>
  <c r="V64" i="68" s="1"/>
  <c r="AB42" i="68"/>
  <c r="AB64" i="68" s="1"/>
  <c r="Y42" i="68"/>
  <c r="Y64" i="68" s="1"/>
  <c r="N53" i="36"/>
  <c r="X174" i="34"/>
  <c r="AB52" i="36"/>
  <c r="J52" i="36"/>
  <c r="J93" i="34" s="1"/>
  <c r="H174" i="34"/>
  <c r="V53" i="36"/>
  <c r="I52" i="36"/>
  <c r="AF175" i="34"/>
  <c r="K53" i="36"/>
  <c r="T52" i="36"/>
  <c r="R53" i="36"/>
  <c r="L53" i="36"/>
  <c r="L94" i="34" s="1"/>
  <c r="N52" i="36"/>
  <c r="AA52" i="36"/>
  <c r="Z68" i="36"/>
  <c r="V158" i="34"/>
  <c r="W53" i="36"/>
  <c r="AC159" i="34"/>
  <c r="U69" i="36"/>
  <c r="O69" i="36"/>
  <c r="K68" i="36"/>
  <c r="Y69" i="36"/>
  <c r="M69" i="36"/>
  <c r="L68" i="36"/>
  <c r="Q69" i="36"/>
  <c r="S69" i="36"/>
  <c r="W68" i="36"/>
  <c r="AC68" i="36"/>
  <c r="U52" i="36"/>
  <c r="O52" i="36"/>
  <c r="P69" i="36"/>
  <c r="Y68" i="36"/>
  <c r="Y109" i="34" s="1"/>
  <c r="M52" i="36"/>
  <c r="R68" i="36"/>
  <c r="AA69" i="36"/>
  <c r="X69" i="36"/>
  <c r="X110" i="34" s="1"/>
  <c r="AB69" i="36"/>
  <c r="J175" i="34"/>
  <c r="AG159" i="34"/>
  <c r="H53" i="36"/>
  <c r="H94" i="34" s="1"/>
  <c r="Q52" i="36"/>
  <c r="I69" i="36"/>
  <c r="S52" i="36"/>
  <c r="P174" i="34"/>
  <c r="T69" i="36"/>
  <c r="AQ28" i="34"/>
  <c r="H50" i="34"/>
  <c r="R50" i="34"/>
  <c r="Y50" i="34"/>
  <c r="AB50" i="34"/>
  <c r="L50" i="34"/>
  <c r="O50" i="34"/>
  <c r="AF29" i="34"/>
  <c r="H39" i="34"/>
  <c r="W39" i="34"/>
  <c r="AH39" i="34"/>
  <c r="R39" i="34"/>
  <c r="AC39" i="34"/>
  <c r="M39" i="34"/>
  <c r="T39" i="34"/>
  <c r="D8" i="45"/>
  <c r="C9" i="62"/>
  <c r="N69" i="36"/>
  <c r="X68" i="36"/>
  <c r="X109" i="34" s="1"/>
  <c r="AB68" i="36"/>
  <c r="J68" i="36"/>
  <c r="H68" i="36"/>
  <c r="V69" i="36"/>
  <c r="V110" i="34" s="1"/>
  <c r="I68" i="36"/>
  <c r="AF159" i="34"/>
  <c r="K69" i="36"/>
  <c r="T68" i="36"/>
  <c r="T109" i="34" s="1"/>
  <c r="R69" i="36"/>
  <c r="L69" i="36"/>
  <c r="N68" i="36"/>
  <c r="AA68" i="36"/>
  <c r="AA109" i="34" s="1"/>
  <c r="Z52" i="36"/>
  <c r="V68" i="36"/>
  <c r="W159" i="34"/>
  <c r="AC53" i="36"/>
  <c r="AC94" i="34" s="1"/>
  <c r="O53" i="36"/>
  <c r="K174" i="34"/>
  <c r="Y175" i="34"/>
  <c r="M159" i="34"/>
  <c r="L158" i="34"/>
  <c r="Q159" i="34"/>
  <c r="S159" i="34"/>
  <c r="W174" i="34"/>
  <c r="AC158" i="34"/>
  <c r="U158" i="34"/>
  <c r="O68" i="36"/>
  <c r="P159" i="34"/>
  <c r="Y158" i="34"/>
  <c r="M174" i="34"/>
  <c r="R174" i="34"/>
  <c r="AA175" i="34"/>
  <c r="X159" i="34"/>
  <c r="Z53" i="36"/>
  <c r="AB53" i="36"/>
  <c r="J159" i="34"/>
  <c r="AG175" i="34"/>
  <c r="H69" i="36"/>
  <c r="Q68" i="36"/>
  <c r="I53" i="36"/>
  <c r="I94" i="34" s="1"/>
  <c r="S68" i="36"/>
  <c r="P158" i="34"/>
  <c r="Z159" i="34"/>
  <c r="I28" i="34"/>
  <c r="BB28" i="34"/>
  <c r="I50" i="34"/>
  <c r="N50" i="34"/>
  <c r="U50" i="34"/>
  <c r="X50" i="34"/>
  <c r="AA50" i="34"/>
  <c r="K50" i="34"/>
  <c r="I39" i="34"/>
  <c r="S39" i="34"/>
  <c r="AD39" i="34"/>
  <c r="N39" i="34"/>
  <c r="Y39" i="34"/>
  <c r="AF39" i="34"/>
  <c r="P39" i="34"/>
  <c r="N175" i="34"/>
  <c r="X158" i="34"/>
  <c r="AB174" i="34"/>
  <c r="J158" i="34"/>
  <c r="H158" i="34"/>
  <c r="V175" i="34"/>
  <c r="I158" i="34"/>
  <c r="AE175" i="34"/>
  <c r="K159" i="34"/>
  <c r="T174" i="34"/>
  <c r="R175" i="34"/>
  <c r="L175" i="34"/>
  <c r="N174" i="34"/>
  <c r="AA174" i="34"/>
  <c r="Z174" i="34"/>
  <c r="V174" i="34"/>
  <c r="AH175" i="34"/>
  <c r="W175" i="34"/>
  <c r="AC175" i="34"/>
  <c r="O159" i="34"/>
  <c r="K158" i="34"/>
  <c r="Y159" i="34"/>
  <c r="M53" i="36"/>
  <c r="L174" i="34"/>
  <c r="Q175" i="34"/>
  <c r="S175" i="34"/>
  <c r="W158" i="34"/>
  <c r="AC52" i="36"/>
  <c r="U174" i="34"/>
  <c r="O158" i="34"/>
  <c r="P175" i="34"/>
  <c r="Y52" i="36"/>
  <c r="M158" i="34"/>
  <c r="R52" i="36"/>
  <c r="AA159" i="34"/>
  <c r="X175" i="34"/>
  <c r="AB175" i="34"/>
  <c r="AD175" i="34"/>
  <c r="J69" i="36"/>
  <c r="H159" i="34"/>
  <c r="Q174" i="34"/>
  <c r="I175" i="34"/>
  <c r="S174" i="34"/>
  <c r="AI175" i="34"/>
  <c r="U28" i="34"/>
  <c r="Z50" i="34"/>
  <c r="J50" i="34"/>
  <c r="Q50" i="34"/>
  <c r="T50" i="34"/>
  <c r="I23" i="34"/>
  <c r="AE39" i="34"/>
  <c r="O39" i="34"/>
  <c r="Z39" i="34"/>
  <c r="J39" i="34"/>
  <c r="U39" i="34"/>
  <c r="AB39" i="34"/>
  <c r="L39" i="34"/>
  <c r="I38" i="34"/>
  <c r="N38" i="34"/>
  <c r="U38" i="34"/>
  <c r="X38" i="34"/>
  <c r="AA38" i="34"/>
  <c r="K38" i="34"/>
  <c r="Z38" i="34"/>
  <c r="J38" i="34"/>
  <c r="Q38" i="34"/>
  <c r="T38" i="34"/>
  <c r="Q53" i="34"/>
  <c r="S53" i="34"/>
  <c r="U53" i="34"/>
  <c r="AA53" i="34"/>
  <c r="Y53" i="34"/>
  <c r="N53" i="34"/>
  <c r="AC53" i="34"/>
  <c r="V53" i="34"/>
  <c r="O53" i="34"/>
  <c r="W53" i="34"/>
  <c r="P53" i="34"/>
  <c r="J53" i="34"/>
  <c r="T53" i="34"/>
  <c r="R53" i="34"/>
  <c r="X53" i="34"/>
  <c r="Z53" i="34"/>
  <c r="AB53" i="34"/>
  <c r="H53" i="34"/>
  <c r="BM28" i="34"/>
  <c r="Q28" i="34"/>
  <c r="AB28" i="34"/>
  <c r="AM28" i="34"/>
  <c r="AX28" i="34"/>
  <c r="BK29" i="34"/>
  <c r="AR23" i="34"/>
  <c r="H21" i="33"/>
  <c r="BI28" i="34"/>
  <c r="M28" i="34"/>
  <c r="X28" i="34"/>
  <c r="AI28" i="34"/>
  <c r="AT28" i="34"/>
  <c r="AQ29" i="34"/>
  <c r="T23" i="34"/>
  <c r="H31" i="33"/>
  <c r="BE28" i="34"/>
  <c r="BP28" i="34"/>
  <c r="T28" i="34"/>
  <c r="AE28" i="34"/>
  <c r="AP28" i="34"/>
  <c r="K53" i="34"/>
  <c r="AY23" i="34"/>
  <c r="H20" i="33"/>
  <c r="S29" i="34"/>
  <c r="BO29" i="34"/>
  <c r="BD29" i="34"/>
  <c r="AS29" i="34"/>
  <c r="AH29" i="34"/>
  <c r="W29" i="34"/>
  <c r="L29" i="34"/>
  <c r="BH29" i="34"/>
  <c r="AW29" i="34"/>
  <c r="AL29" i="34"/>
  <c r="AA29" i="34"/>
  <c r="P29" i="34"/>
  <c r="BL29" i="34"/>
  <c r="BA29" i="34"/>
  <c r="AP29" i="34"/>
  <c r="AE29" i="34"/>
  <c r="T29" i="34"/>
  <c r="BP29" i="34"/>
  <c r="BE29" i="34"/>
  <c r="AT29" i="34"/>
  <c r="AI29" i="34"/>
  <c r="X29" i="34"/>
  <c r="M29" i="34"/>
  <c r="BI29" i="34"/>
  <c r="AX29" i="34"/>
  <c r="AM29" i="34"/>
  <c r="AB29" i="34"/>
  <c r="Q29" i="34"/>
  <c r="BM29" i="34"/>
  <c r="BB29" i="34"/>
  <c r="AU29" i="34"/>
  <c r="AJ29" i="34"/>
  <c r="Y29" i="34"/>
  <c r="N29" i="34"/>
  <c r="BJ29" i="34"/>
  <c r="AY29" i="34"/>
  <c r="AN29" i="34"/>
  <c r="AC29" i="34"/>
  <c r="R29" i="34"/>
  <c r="BN29" i="34"/>
  <c r="BC29" i="34"/>
  <c r="AR29" i="34"/>
  <c r="AG29" i="34"/>
  <c r="V29" i="34"/>
  <c r="I29" i="34"/>
  <c r="K29" i="34"/>
  <c r="BG29" i="34"/>
  <c r="AV29" i="34"/>
  <c r="AK29" i="34"/>
  <c r="Z29" i="34"/>
  <c r="H29" i="34"/>
  <c r="BA28" i="34"/>
  <c r="BL28" i="34"/>
  <c r="P28" i="34"/>
  <c r="AA28" i="34"/>
  <c r="AL28" i="34"/>
  <c r="I53" i="34"/>
  <c r="AE23" i="34"/>
  <c r="AW28" i="34"/>
  <c r="BH28" i="34"/>
  <c r="L28" i="34"/>
  <c r="W28" i="34"/>
  <c r="AH28" i="34"/>
  <c r="M53" i="34"/>
  <c r="BJ23" i="34"/>
  <c r="H30" i="33"/>
  <c r="AS28" i="34"/>
  <c r="BD28" i="34"/>
  <c r="BO28" i="34"/>
  <c r="S28" i="34"/>
  <c r="AD28" i="34"/>
  <c r="BF29" i="34"/>
  <c r="L53" i="34"/>
  <c r="AC23" i="34"/>
  <c r="R23" i="34"/>
  <c r="BN23" i="34"/>
  <c r="BC23" i="34"/>
  <c r="AV23" i="34"/>
  <c r="AG23" i="34"/>
  <c r="V23" i="34"/>
  <c r="K23" i="34"/>
  <c r="BG23" i="34"/>
  <c r="AZ23" i="34"/>
  <c r="AK23" i="34"/>
  <c r="Z23" i="34"/>
  <c r="O23" i="34"/>
  <c r="BK23" i="34"/>
  <c r="BD23" i="34"/>
  <c r="AO23" i="34"/>
  <c r="AD23" i="34"/>
  <c r="S23" i="34"/>
  <c r="BO23" i="34"/>
  <c r="BH23" i="34"/>
  <c r="AS23" i="34"/>
  <c r="AH23" i="34"/>
  <c r="W23" i="34"/>
  <c r="L23" i="34"/>
  <c r="BL23" i="34"/>
  <c r="AW23" i="34"/>
  <c r="AL23" i="34"/>
  <c r="AA23" i="34"/>
  <c r="P23" i="34"/>
  <c r="BP23" i="34"/>
  <c r="BE23" i="34"/>
  <c r="AT23" i="34"/>
  <c r="AI23" i="34"/>
  <c r="X23" i="34"/>
  <c r="H23" i="34"/>
  <c r="M23" i="34"/>
  <c r="BI23" i="34"/>
  <c r="AX23" i="34"/>
  <c r="AM23" i="34"/>
  <c r="AB23" i="34"/>
  <c r="Q23" i="34"/>
  <c r="BM23" i="34"/>
  <c r="BB23" i="34"/>
  <c r="AQ23" i="34"/>
  <c r="AF23" i="34"/>
  <c r="U23" i="34"/>
  <c r="J23" i="34"/>
  <c r="BF23" i="34"/>
  <c r="AU23" i="34"/>
  <c r="AN23" i="34"/>
  <c r="AO28" i="34"/>
  <c r="AZ28" i="34"/>
  <c r="BK28" i="34"/>
  <c r="O28" i="34"/>
  <c r="Z28" i="34"/>
  <c r="AD29" i="34"/>
  <c r="N23" i="34"/>
  <c r="AK28" i="34"/>
  <c r="AV28" i="34"/>
  <c r="BG28" i="34"/>
  <c r="K28" i="34"/>
  <c r="V28" i="34"/>
  <c r="J29" i="34"/>
  <c r="BA23" i="34"/>
  <c r="AG28" i="34"/>
  <c r="AR28" i="34"/>
  <c r="BC28" i="34"/>
  <c r="BN28" i="34"/>
  <c r="N28" i="34"/>
  <c r="AO29" i="34"/>
  <c r="Y23" i="34"/>
  <c r="AC28" i="34"/>
  <c r="AN28" i="34"/>
  <c r="AY28" i="34"/>
  <c r="BJ28" i="34"/>
  <c r="J28" i="34"/>
  <c r="U29" i="34"/>
  <c r="H28" i="34"/>
  <c r="Y28" i="34"/>
  <c r="AJ28" i="34"/>
  <c r="AU28" i="34"/>
  <c r="BF28" i="34"/>
  <c r="AZ29" i="34"/>
  <c r="AH63" i="36"/>
  <c r="AD63" i="36"/>
  <c r="AH79" i="36"/>
  <c r="AF79" i="36"/>
  <c r="AF63" i="36"/>
  <c r="AE63" i="36"/>
  <c r="AI63" i="36"/>
  <c r="AE79" i="36"/>
  <c r="AG63" i="36"/>
  <c r="AI79" i="36"/>
  <c r="AG79" i="36"/>
  <c r="AD79" i="36"/>
  <c r="AH78" i="36"/>
  <c r="AG62" i="36"/>
  <c r="AI78" i="36"/>
  <c r="AF62" i="36"/>
  <c r="AD62" i="36"/>
  <c r="AF78" i="36"/>
  <c r="AE62" i="36"/>
  <c r="AG78" i="36"/>
  <c r="AH62" i="36"/>
  <c r="AD78" i="36"/>
  <c r="AE78" i="36"/>
  <c r="AI62" i="36"/>
  <c r="BI47" i="34"/>
  <c r="AO47" i="34"/>
  <c r="BB47" i="34"/>
  <c r="AS47" i="34"/>
  <c r="AI47" i="34"/>
  <c r="AL47" i="34"/>
  <c r="AV47" i="34"/>
  <c r="BK47" i="34"/>
  <c r="AU47" i="34"/>
  <c r="AW47" i="34"/>
  <c r="BN47" i="34"/>
  <c r="AJ47" i="34"/>
  <c r="AZ47" i="34"/>
  <c r="BO47" i="34"/>
  <c r="AY47" i="34"/>
  <c r="BF47" i="34"/>
  <c r="AN47" i="34"/>
  <c r="BM47" i="34"/>
  <c r="AP47" i="34"/>
  <c r="BH47" i="34"/>
  <c r="BD47" i="34"/>
  <c r="BE47" i="34"/>
  <c r="BC47" i="34"/>
  <c r="BJ47" i="34"/>
  <c r="BA47" i="34"/>
  <c r="AR47" i="34"/>
  <c r="AM47" i="34"/>
  <c r="AT47" i="34"/>
  <c r="AK47" i="34"/>
  <c r="AX47" i="34"/>
  <c r="BL47" i="34"/>
  <c r="BG47" i="34"/>
  <c r="BP47" i="34"/>
  <c r="AQ47" i="34"/>
  <c r="AE69" i="36"/>
  <c r="AF53" i="36"/>
  <c r="AI69" i="36"/>
  <c r="AD69" i="36"/>
  <c r="AI53" i="36"/>
  <c r="AD53" i="36"/>
  <c r="AG53" i="36"/>
  <c r="AF69" i="36"/>
  <c r="AH53" i="36"/>
  <c r="AE53" i="36"/>
  <c r="AG69" i="36"/>
  <c r="AH69" i="36"/>
  <c r="D111" i="46"/>
  <c r="E93" i="46"/>
  <c r="D101" i="46"/>
  <c r="E83" i="46"/>
  <c r="D112" i="46"/>
  <c r="E94" i="46"/>
  <c r="C38" i="34"/>
  <c r="N94" i="34"/>
  <c r="K94" i="34"/>
  <c r="R94" i="34"/>
  <c r="AA93" i="34"/>
  <c r="AC93" i="34"/>
  <c r="M93" i="34"/>
  <c r="AA110" i="34"/>
  <c r="AB110" i="34"/>
  <c r="S93" i="34"/>
  <c r="P93" i="34"/>
  <c r="W42" i="45"/>
  <c r="W64" i="45" s="1"/>
  <c r="N42" i="45"/>
  <c r="N64" i="45" s="1"/>
  <c r="AA42" i="45"/>
  <c r="AA64" i="45" s="1"/>
  <c r="H42" i="45"/>
  <c r="H64" i="45" s="1"/>
  <c r="Z42" i="45"/>
  <c r="Z64" i="45" s="1"/>
  <c r="Q42" i="45"/>
  <c r="Q64" i="45" s="1"/>
  <c r="S41" i="45"/>
  <c r="S63" i="45" s="1"/>
  <c r="Y41" i="45"/>
  <c r="Y63" i="45" s="1"/>
  <c r="C6" i="34"/>
  <c r="D20" i="34"/>
  <c r="N110" i="34"/>
  <c r="AB109" i="34"/>
  <c r="J109" i="34"/>
  <c r="H109" i="34"/>
  <c r="I109" i="34"/>
  <c r="K110" i="34"/>
  <c r="R110" i="34"/>
  <c r="L110" i="34"/>
  <c r="N109" i="34"/>
  <c r="Z93" i="34"/>
  <c r="V109" i="34"/>
  <c r="W110" i="34"/>
  <c r="AC110" i="34"/>
  <c r="K93" i="34"/>
  <c r="Y94" i="34"/>
  <c r="L93" i="34"/>
  <c r="Q94" i="34"/>
  <c r="S94" i="34"/>
  <c r="W93" i="34"/>
  <c r="U109" i="34"/>
  <c r="Z94" i="34"/>
  <c r="AB94" i="34"/>
  <c r="J94" i="34"/>
  <c r="H110" i="34"/>
  <c r="Q109" i="34"/>
  <c r="S109" i="34"/>
  <c r="P109" i="34"/>
  <c r="G42" i="45"/>
  <c r="G64" i="45" s="1"/>
  <c r="W41" i="45"/>
  <c r="W63" i="45" s="1"/>
  <c r="I42" i="45"/>
  <c r="I64" i="45" s="1"/>
  <c r="N41" i="45"/>
  <c r="N63" i="45" s="1"/>
  <c r="R42" i="45"/>
  <c r="R64" i="45" s="1"/>
  <c r="K42" i="45"/>
  <c r="K64" i="45" s="1"/>
  <c r="AA41" i="45"/>
  <c r="AA63" i="45" s="1"/>
  <c r="M42" i="45"/>
  <c r="M64" i="45" s="1"/>
  <c r="H41" i="45"/>
  <c r="H63" i="45" s="1"/>
  <c r="Z41" i="45"/>
  <c r="Z63" i="45" s="1"/>
  <c r="L42" i="45"/>
  <c r="L64" i="45" s="1"/>
  <c r="Q41" i="45"/>
  <c r="Q63" i="45" s="1"/>
  <c r="J42" i="45"/>
  <c r="J64" i="45" s="1"/>
  <c r="F41" i="45"/>
  <c r="F63" i="45" s="1"/>
  <c r="V94" i="34"/>
  <c r="T93" i="34"/>
  <c r="Z109" i="34"/>
  <c r="R109" i="34"/>
  <c r="Q93" i="34"/>
  <c r="W94" i="34"/>
  <c r="U110" i="34"/>
  <c r="O110" i="34"/>
  <c r="K109" i="34"/>
  <c r="Y110" i="34"/>
  <c r="M110" i="34"/>
  <c r="L109" i="34"/>
  <c r="Q110" i="34"/>
  <c r="S110" i="34"/>
  <c r="W109" i="34"/>
  <c r="AC109" i="34"/>
  <c r="U93" i="34"/>
  <c r="O93" i="34"/>
  <c r="Y93" i="34"/>
  <c r="R93" i="34"/>
  <c r="G41" i="45"/>
  <c r="G63" i="45" s="1"/>
  <c r="I41" i="45"/>
  <c r="I63" i="45" s="1"/>
  <c r="R41" i="45"/>
  <c r="R63" i="45" s="1"/>
  <c r="K41" i="45"/>
  <c r="K63" i="45" s="1"/>
  <c r="M41" i="45"/>
  <c r="M63" i="45" s="1"/>
  <c r="O42" i="45"/>
  <c r="O64" i="45" s="1"/>
  <c r="U42" i="45"/>
  <c r="U64" i="45" s="1"/>
  <c r="L41" i="45"/>
  <c r="L63" i="45" s="1"/>
  <c r="J41" i="45"/>
  <c r="J63" i="45" s="1"/>
  <c r="P42" i="45"/>
  <c r="P64" i="45" s="1"/>
  <c r="V42" i="45"/>
  <c r="V64" i="45" s="1"/>
  <c r="T110" i="34"/>
  <c r="AB93" i="34"/>
  <c r="I93" i="34"/>
  <c r="N93" i="34"/>
  <c r="M94" i="34"/>
  <c r="P110" i="34"/>
  <c r="J110" i="34"/>
  <c r="I110" i="34"/>
  <c r="T41" i="45"/>
  <c r="T63" i="45" s="1"/>
  <c r="X41" i="45"/>
  <c r="X63" i="45" s="1"/>
  <c r="F42" i="45"/>
  <c r="F64" i="45" s="1"/>
  <c r="D38" i="34"/>
  <c r="D6" i="34"/>
  <c r="X93" i="34"/>
  <c r="H93" i="34"/>
  <c r="V93" i="34"/>
  <c r="O94" i="34"/>
  <c r="O109" i="34"/>
  <c r="P94" i="34"/>
  <c r="M109" i="34"/>
  <c r="AA94" i="34"/>
  <c r="X94" i="34"/>
  <c r="T42" i="45"/>
  <c r="T64" i="45" s="1"/>
  <c r="X42" i="45"/>
  <c r="X64" i="45" s="1"/>
  <c r="O41" i="45"/>
  <c r="O63" i="45" s="1"/>
  <c r="U41" i="45"/>
  <c r="U63" i="45" s="1"/>
  <c r="S42" i="45"/>
  <c r="S64" i="45" s="1"/>
  <c r="Y42" i="45"/>
  <c r="Y64" i="45" s="1"/>
  <c r="P41" i="45"/>
  <c r="P63" i="45" s="1"/>
  <c r="V41" i="45"/>
  <c r="V63" i="45" s="1"/>
  <c r="U159" i="34"/>
  <c r="Z69" i="36"/>
  <c r="U53" i="36"/>
  <c r="Z175" i="34"/>
  <c r="T53" i="36"/>
  <c r="T175" i="34"/>
  <c r="T159" i="34"/>
  <c r="I48" i="36"/>
  <c r="I139" i="34"/>
  <c r="I135" i="34"/>
  <c r="I88" i="34"/>
  <c r="Y48" i="36"/>
  <c r="Y139" i="34"/>
  <c r="Y135" i="34"/>
  <c r="Y88" i="34"/>
  <c r="K48" i="36"/>
  <c r="K135" i="34"/>
  <c r="K88" i="34"/>
  <c r="K139" i="34"/>
  <c r="L78" i="36"/>
  <c r="L184" i="34"/>
  <c r="L62" i="36"/>
  <c r="L168" i="34"/>
  <c r="K62" i="36"/>
  <c r="K184" i="34"/>
  <c r="K168" i="34"/>
  <c r="K78" i="36"/>
  <c r="AI168" i="34"/>
  <c r="AI184" i="34"/>
  <c r="M48" i="36"/>
  <c r="M139" i="34"/>
  <c r="M135" i="34"/>
  <c r="M88" i="34"/>
  <c r="AC48" i="36"/>
  <c r="AC139" i="34"/>
  <c r="AC135" i="34"/>
  <c r="AC88" i="34"/>
  <c r="O48" i="36"/>
  <c r="O139" i="34"/>
  <c r="O135" i="34"/>
  <c r="O88" i="34"/>
  <c r="AE169" i="34"/>
  <c r="AE185" i="34"/>
  <c r="AA184" i="34"/>
  <c r="AA168" i="34"/>
  <c r="AA62" i="36"/>
  <c r="AA78" i="36"/>
  <c r="R79" i="36"/>
  <c r="R185" i="34"/>
  <c r="R169" i="34"/>
  <c r="R63" i="36"/>
  <c r="N48" i="36"/>
  <c r="N88" i="34"/>
  <c r="N139" i="34"/>
  <c r="N135" i="34"/>
  <c r="L48" i="36"/>
  <c r="L139" i="34"/>
  <c r="L135" i="34"/>
  <c r="L88" i="34"/>
  <c r="Q78" i="36"/>
  <c r="Q168" i="34"/>
  <c r="Q184" i="34"/>
  <c r="Q62" i="36"/>
  <c r="X79" i="36"/>
  <c r="X185" i="34"/>
  <c r="X63" i="36"/>
  <c r="X169" i="34"/>
  <c r="AH168" i="34"/>
  <c r="AH184" i="34"/>
  <c r="W63" i="36"/>
  <c r="W185" i="34"/>
  <c r="W169" i="34"/>
  <c r="W79" i="36"/>
  <c r="S62" i="36"/>
  <c r="S78" i="36"/>
  <c r="S168" i="34"/>
  <c r="S184" i="34"/>
  <c r="AF168" i="34"/>
  <c r="AF184" i="34"/>
  <c r="Y185" i="34"/>
  <c r="Y63" i="36"/>
  <c r="Y79" i="36"/>
  <c r="Y169" i="34"/>
  <c r="I143" i="34"/>
  <c r="I90" i="34"/>
  <c r="Y143" i="34"/>
  <c r="Y90" i="34"/>
  <c r="K143" i="34"/>
  <c r="K90" i="34"/>
  <c r="V143" i="34"/>
  <c r="V90" i="34"/>
  <c r="P143" i="34"/>
  <c r="P90" i="34"/>
  <c r="T143" i="34"/>
  <c r="T90" i="34"/>
  <c r="P184" i="34"/>
  <c r="P78" i="36"/>
  <c r="P168" i="34"/>
  <c r="P62" i="36"/>
  <c r="L185" i="34"/>
  <c r="L79" i="36"/>
  <c r="L63" i="36"/>
  <c r="L169" i="34"/>
  <c r="AD185" i="34"/>
  <c r="AD169" i="34"/>
  <c r="J63" i="36"/>
  <c r="J79" i="36"/>
  <c r="J169" i="34"/>
  <c r="J185" i="34"/>
  <c r="M143" i="34"/>
  <c r="M90" i="34"/>
  <c r="AC143" i="34"/>
  <c r="AC90" i="34"/>
  <c r="O143" i="34"/>
  <c r="O90" i="34"/>
  <c r="J143" i="34"/>
  <c r="J90" i="34"/>
  <c r="Z143" i="34"/>
  <c r="Z90" i="34"/>
  <c r="AB143" i="34"/>
  <c r="AB90" i="34"/>
  <c r="AC79" i="36"/>
  <c r="AC185" i="34"/>
  <c r="AC63" i="36"/>
  <c r="AC169" i="34"/>
  <c r="AE184" i="34"/>
  <c r="AE168" i="34"/>
  <c r="T62" i="36"/>
  <c r="T184" i="34"/>
  <c r="T168" i="34"/>
  <c r="T78" i="36"/>
  <c r="R62" i="36"/>
  <c r="R168" i="34"/>
  <c r="R78" i="36"/>
  <c r="R184" i="34"/>
  <c r="Q48" i="36"/>
  <c r="Q139" i="34"/>
  <c r="Q135" i="34"/>
  <c r="Q88" i="34"/>
  <c r="W48" i="36"/>
  <c r="W139" i="34"/>
  <c r="W135" i="34"/>
  <c r="W88" i="34"/>
  <c r="S48" i="36"/>
  <c r="S139" i="34"/>
  <c r="S135" i="34"/>
  <c r="S88" i="34"/>
  <c r="Z79" i="36"/>
  <c r="Z169" i="34"/>
  <c r="Z63" i="36"/>
  <c r="Z185" i="34"/>
  <c r="X78" i="36"/>
  <c r="X184" i="34"/>
  <c r="X62" i="36"/>
  <c r="X168" i="34"/>
  <c r="AB185" i="34"/>
  <c r="AB63" i="36"/>
  <c r="AB79" i="36"/>
  <c r="AB169" i="34"/>
  <c r="R48" i="36"/>
  <c r="R88" i="34"/>
  <c r="R135" i="34"/>
  <c r="R139" i="34"/>
  <c r="X48" i="36"/>
  <c r="X88" i="34"/>
  <c r="X135" i="34"/>
  <c r="X139" i="34"/>
  <c r="W168" i="34"/>
  <c r="W62" i="36"/>
  <c r="W184" i="34"/>
  <c r="W78" i="36"/>
  <c r="V168" i="34"/>
  <c r="V184" i="34"/>
  <c r="V78" i="36"/>
  <c r="V62" i="36"/>
  <c r="AF185" i="34"/>
  <c r="AF169" i="34"/>
  <c r="H168" i="34"/>
  <c r="H78" i="36"/>
  <c r="H62" i="36"/>
  <c r="H184" i="34"/>
  <c r="AD168" i="34"/>
  <c r="AD184" i="34"/>
  <c r="O169" i="34"/>
  <c r="O79" i="36"/>
  <c r="O63" i="36"/>
  <c r="O185" i="34"/>
  <c r="AC168" i="34"/>
  <c r="AC78" i="36"/>
  <c r="AC62" i="36"/>
  <c r="AC184" i="34"/>
  <c r="U168" i="34"/>
  <c r="U62" i="36"/>
  <c r="U78" i="36"/>
  <c r="U184" i="34"/>
  <c r="T185" i="34"/>
  <c r="T79" i="36"/>
  <c r="T169" i="34"/>
  <c r="T63" i="36"/>
  <c r="Q143" i="34"/>
  <c r="Q90" i="34"/>
  <c r="W143" i="34"/>
  <c r="W90" i="34"/>
  <c r="N143" i="34"/>
  <c r="N90" i="34"/>
  <c r="S143" i="34"/>
  <c r="S90" i="34"/>
  <c r="L143" i="34"/>
  <c r="L90" i="34"/>
  <c r="N185" i="34"/>
  <c r="N169" i="34"/>
  <c r="N79" i="36"/>
  <c r="N63" i="36"/>
  <c r="Z62" i="36"/>
  <c r="Z184" i="34"/>
  <c r="Z78" i="36"/>
  <c r="Z168" i="34"/>
  <c r="AG184" i="34"/>
  <c r="AG168" i="34"/>
  <c r="AB168" i="34"/>
  <c r="AB78" i="36"/>
  <c r="AB62" i="36"/>
  <c r="AB184" i="34"/>
  <c r="U48" i="36"/>
  <c r="U139" i="34"/>
  <c r="U135" i="34"/>
  <c r="U88" i="34"/>
  <c r="H48" i="36"/>
  <c r="H88" i="34"/>
  <c r="H139" i="34"/>
  <c r="H135" i="34"/>
  <c r="AA48" i="36"/>
  <c r="AA139" i="34"/>
  <c r="AA135" i="34"/>
  <c r="AA88" i="34"/>
  <c r="I79" i="36"/>
  <c r="I185" i="34"/>
  <c r="I63" i="36"/>
  <c r="I169" i="34"/>
  <c r="V185" i="34"/>
  <c r="V63" i="36"/>
  <c r="V79" i="36"/>
  <c r="V169" i="34"/>
  <c r="M63" i="36"/>
  <c r="M169" i="34"/>
  <c r="M79" i="36"/>
  <c r="M185" i="34"/>
  <c r="V48" i="36"/>
  <c r="V135" i="34"/>
  <c r="V139" i="34"/>
  <c r="V88" i="34"/>
  <c r="P48" i="36"/>
  <c r="P139" i="34"/>
  <c r="P88" i="34"/>
  <c r="P135" i="34"/>
  <c r="T48" i="36"/>
  <c r="T139" i="34"/>
  <c r="T135" i="34"/>
  <c r="T88" i="34"/>
  <c r="K79" i="36"/>
  <c r="K185" i="34"/>
  <c r="K63" i="36"/>
  <c r="K169" i="34"/>
  <c r="H79" i="36"/>
  <c r="H63" i="36"/>
  <c r="H169" i="34"/>
  <c r="H185" i="34"/>
  <c r="J78" i="36"/>
  <c r="J184" i="34"/>
  <c r="J62" i="36"/>
  <c r="J168" i="34"/>
  <c r="AI169" i="34"/>
  <c r="AI185" i="34"/>
  <c r="J48" i="36"/>
  <c r="J135" i="34"/>
  <c r="J139" i="34"/>
  <c r="J88" i="34"/>
  <c r="Z48" i="36"/>
  <c r="Z139" i="34"/>
  <c r="Z135" i="34"/>
  <c r="Z88" i="34"/>
  <c r="AB48" i="36"/>
  <c r="AB139" i="34"/>
  <c r="AB135" i="34"/>
  <c r="AB88" i="34"/>
  <c r="O78" i="36"/>
  <c r="O62" i="36"/>
  <c r="O168" i="34"/>
  <c r="O184" i="34"/>
  <c r="AA185" i="34"/>
  <c r="AA79" i="36"/>
  <c r="AA63" i="36"/>
  <c r="AA169" i="34"/>
  <c r="U185" i="34"/>
  <c r="U63" i="36"/>
  <c r="U79" i="36"/>
  <c r="U169" i="34"/>
  <c r="Q185" i="34"/>
  <c r="Q63" i="36"/>
  <c r="Q79" i="36"/>
  <c r="Q169" i="34"/>
  <c r="N184" i="34"/>
  <c r="N168" i="34"/>
  <c r="N62" i="36"/>
  <c r="N78" i="36"/>
  <c r="AH185" i="34"/>
  <c r="AH169" i="34"/>
  <c r="AG185" i="34"/>
  <c r="AG169" i="34"/>
  <c r="U143" i="34"/>
  <c r="U90" i="34"/>
  <c r="H90" i="34"/>
  <c r="H143" i="34"/>
  <c r="AA143" i="34"/>
  <c r="AA90" i="34"/>
  <c r="R143" i="34"/>
  <c r="R90" i="34"/>
  <c r="X143" i="34"/>
  <c r="X90" i="34"/>
  <c r="S79" i="36"/>
  <c r="S185" i="34"/>
  <c r="S63" i="36"/>
  <c r="S169" i="34"/>
  <c r="I168" i="34"/>
  <c r="I62" i="36"/>
  <c r="I78" i="36"/>
  <c r="I184" i="34"/>
  <c r="Y62" i="36"/>
  <c r="Y184" i="34"/>
  <c r="Y78" i="36"/>
  <c r="Y168" i="34"/>
  <c r="M78" i="36"/>
  <c r="M184" i="34"/>
  <c r="M62" i="36"/>
  <c r="M168" i="34"/>
  <c r="D38" i="33"/>
  <c r="D23" i="45"/>
  <c r="E23" i="45"/>
  <c r="B15" i="45"/>
  <c r="C23" i="45"/>
  <c r="E10" i="45"/>
  <c r="E4" i="45" s="1"/>
  <c r="C38" i="33"/>
  <c r="C20" i="34"/>
  <c r="G86" i="39"/>
  <c r="G87" i="39"/>
  <c r="H87" i="39" s="1"/>
  <c r="G88" i="39"/>
  <c r="G89" i="39"/>
  <c r="G90" i="39"/>
  <c r="G91" i="39"/>
  <c r="G92" i="39"/>
  <c r="G93" i="39"/>
  <c r="G94" i="39"/>
  <c r="G95" i="39"/>
  <c r="H95" i="39" s="1"/>
  <c r="G96" i="39"/>
  <c r="H96" i="39" s="1"/>
  <c r="G97" i="39"/>
  <c r="G98" i="39"/>
  <c r="G99" i="39"/>
  <c r="H99" i="39" s="1"/>
  <c r="G100" i="39"/>
  <c r="G101" i="39"/>
  <c r="G102" i="39"/>
  <c r="G85" i="39"/>
  <c r="H51" i="39"/>
  <c r="H53" i="39"/>
  <c r="G37" i="39"/>
  <c r="G38" i="39"/>
  <c r="G39" i="39"/>
  <c r="G40" i="39"/>
  <c r="G41" i="39"/>
  <c r="H41" i="39" s="1"/>
  <c r="G42" i="39"/>
  <c r="G43" i="39"/>
  <c r="G44" i="39"/>
  <c r="G45" i="39"/>
  <c r="H45" i="39" s="1"/>
  <c r="G46" i="39"/>
  <c r="G47" i="39"/>
  <c r="G48" i="39"/>
  <c r="G49" i="39"/>
  <c r="H49" i="39" s="1"/>
  <c r="G50" i="39"/>
  <c r="G51" i="39"/>
  <c r="G52" i="39"/>
  <c r="G53" i="39"/>
  <c r="G54" i="39"/>
  <c r="G55" i="39"/>
  <c r="H55" i="39" s="1"/>
  <c r="G56" i="39"/>
  <c r="G57" i="39"/>
  <c r="H57" i="39" s="1"/>
  <c r="G58" i="39"/>
  <c r="G59" i="39"/>
  <c r="H59" i="39" s="1"/>
  <c r="G36" i="39"/>
  <c r="H36" i="39" s="1"/>
  <c r="D13" i="36"/>
  <c r="D71" i="46" s="1"/>
  <c r="C12" i="36"/>
  <c r="D11" i="36"/>
  <c r="D69" i="46" s="1"/>
  <c r="G9" i="39"/>
  <c r="H9" i="39" s="1"/>
  <c r="G10" i="39"/>
  <c r="H10" i="39" s="1"/>
  <c r="G8" i="39"/>
  <c r="G6" i="39"/>
  <c r="H6" i="39" s="1"/>
  <c r="G7" i="39"/>
  <c r="G5" i="39"/>
  <c r="H133" i="39"/>
  <c r="H130" i="39"/>
  <c r="H129" i="39"/>
  <c r="H124" i="39"/>
  <c r="H121" i="39"/>
  <c r="H120" i="39"/>
  <c r="H117" i="39"/>
  <c r="H114" i="39"/>
  <c r="H132" i="39"/>
  <c r="H131" i="39"/>
  <c r="H126" i="39"/>
  <c r="H127" i="39"/>
  <c r="H128" i="39"/>
  <c r="H125" i="39"/>
  <c r="H123" i="39"/>
  <c r="H122" i="39"/>
  <c r="H116" i="39"/>
  <c r="H118" i="39"/>
  <c r="H119" i="39"/>
  <c r="H115" i="39"/>
  <c r="H112" i="39"/>
  <c r="H15" i="33" s="1"/>
  <c r="H110" i="39"/>
  <c r="H14" i="33" s="1"/>
  <c r="H102" i="39"/>
  <c r="H100" i="39"/>
  <c r="H92" i="39"/>
  <c r="H90" i="39"/>
  <c r="G104" i="39"/>
  <c r="G105" i="39"/>
  <c r="H105" i="39" s="1"/>
  <c r="G106" i="39"/>
  <c r="G107" i="39"/>
  <c r="G108" i="39"/>
  <c r="G103" i="39"/>
  <c r="H74" i="39"/>
  <c r="H62" i="39"/>
  <c r="G61" i="39"/>
  <c r="G62" i="39"/>
  <c r="G63" i="39"/>
  <c r="H63" i="39" s="1"/>
  <c r="G64" i="39"/>
  <c r="G65" i="39"/>
  <c r="G66" i="39"/>
  <c r="H66" i="39" s="1"/>
  <c r="G67" i="39"/>
  <c r="H67" i="39" s="1"/>
  <c r="G68" i="39"/>
  <c r="G69" i="39"/>
  <c r="G70" i="39"/>
  <c r="H70" i="39" s="1"/>
  <c r="G71" i="39"/>
  <c r="H71" i="39" s="1"/>
  <c r="G72" i="39"/>
  <c r="G73" i="39"/>
  <c r="G74" i="39"/>
  <c r="G75" i="39"/>
  <c r="H75" i="39" s="1"/>
  <c r="G76" i="39"/>
  <c r="G77" i="39"/>
  <c r="G78" i="39"/>
  <c r="G79" i="39"/>
  <c r="G80" i="39"/>
  <c r="G81" i="39"/>
  <c r="G82" i="39"/>
  <c r="G83" i="39"/>
  <c r="H83" i="39" s="1"/>
  <c r="G60" i="39"/>
  <c r="H28" i="39"/>
  <c r="H25" i="39"/>
  <c r="H9" i="33" s="1"/>
  <c r="H26" i="39"/>
  <c r="H23" i="39"/>
  <c r="H24" i="39"/>
  <c r="H15" i="39"/>
  <c r="H16" i="39"/>
  <c r="H19" i="39"/>
  <c r="H20" i="39"/>
  <c r="H7" i="39"/>
  <c r="G30" i="39"/>
  <c r="G31" i="39"/>
  <c r="G32" i="39"/>
  <c r="H32" i="39" s="1"/>
  <c r="G33" i="39"/>
  <c r="G34" i="39"/>
  <c r="G29" i="39"/>
  <c r="H13" i="39"/>
  <c r="H14" i="39"/>
  <c r="H17" i="39"/>
  <c r="H18" i="39"/>
  <c r="H21" i="39"/>
  <c r="H22" i="39"/>
  <c r="H27" i="39"/>
  <c r="H12" i="39"/>
  <c r="C133" i="39"/>
  <c r="B133" i="39"/>
  <c r="C132" i="39"/>
  <c r="B132" i="39"/>
  <c r="C131" i="39"/>
  <c r="B131" i="39"/>
  <c r="C130" i="39"/>
  <c r="B130" i="39"/>
  <c r="C129" i="39"/>
  <c r="B129" i="39"/>
  <c r="C128" i="39"/>
  <c r="B128" i="39"/>
  <c r="C127" i="39"/>
  <c r="B127" i="39"/>
  <c r="C126" i="39"/>
  <c r="B126" i="39"/>
  <c r="C125" i="39"/>
  <c r="B125" i="39"/>
  <c r="C124" i="39"/>
  <c r="B124" i="39"/>
  <c r="C123" i="39"/>
  <c r="B123" i="39"/>
  <c r="C122" i="39"/>
  <c r="B122" i="39"/>
  <c r="C121" i="39"/>
  <c r="B121" i="39"/>
  <c r="C120" i="39"/>
  <c r="B120" i="39"/>
  <c r="C119" i="39"/>
  <c r="B119" i="39"/>
  <c r="C118" i="39"/>
  <c r="B118" i="39"/>
  <c r="C117" i="39"/>
  <c r="B117" i="39"/>
  <c r="C116" i="39"/>
  <c r="B116" i="39"/>
  <c r="C115" i="39"/>
  <c r="B115" i="39"/>
  <c r="C114" i="39"/>
  <c r="B114" i="39"/>
  <c r="C112" i="39"/>
  <c r="B112" i="39"/>
  <c r="C110" i="39"/>
  <c r="B110" i="39"/>
  <c r="C108" i="39"/>
  <c r="B108" i="39"/>
  <c r="C107" i="39"/>
  <c r="B107" i="39"/>
  <c r="C106" i="39"/>
  <c r="B106" i="39"/>
  <c r="C105" i="39"/>
  <c r="B105" i="39"/>
  <c r="C104" i="39"/>
  <c r="B104" i="39"/>
  <c r="C103" i="39"/>
  <c r="B103" i="39"/>
  <c r="C102" i="39"/>
  <c r="B102" i="39"/>
  <c r="C101" i="39"/>
  <c r="B101" i="39"/>
  <c r="C100" i="39"/>
  <c r="B100" i="39"/>
  <c r="C99" i="39"/>
  <c r="B99" i="39"/>
  <c r="C98" i="39"/>
  <c r="B98" i="39"/>
  <c r="C97" i="39"/>
  <c r="B97" i="39"/>
  <c r="C96" i="39"/>
  <c r="B96" i="39"/>
  <c r="C95" i="39"/>
  <c r="B95" i="39"/>
  <c r="C94" i="39"/>
  <c r="B94" i="39"/>
  <c r="C93" i="39"/>
  <c r="B93" i="39"/>
  <c r="C92" i="39"/>
  <c r="B92" i="39"/>
  <c r="C91" i="39"/>
  <c r="B91" i="39"/>
  <c r="C90" i="39"/>
  <c r="B90" i="39"/>
  <c r="C89" i="39"/>
  <c r="B89" i="39"/>
  <c r="C88" i="39"/>
  <c r="B88" i="39"/>
  <c r="C87" i="39"/>
  <c r="B87" i="39"/>
  <c r="C86" i="39"/>
  <c r="B86" i="39"/>
  <c r="C85" i="39"/>
  <c r="B85" i="39"/>
  <c r="C83" i="39"/>
  <c r="B83" i="39"/>
  <c r="C82" i="39"/>
  <c r="B82" i="39"/>
  <c r="C81" i="39"/>
  <c r="B81" i="39"/>
  <c r="C80" i="39"/>
  <c r="B80" i="39"/>
  <c r="C79" i="39"/>
  <c r="B79" i="39"/>
  <c r="C78" i="39"/>
  <c r="B78" i="39"/>
  <c r="C77" i="39"/>
  <c r="B77" i="39"/>
  <c r="C76" i="39"/>
  <c r="B76" i="39"/>
  <c r="C75" i="39"/>
  <c r="B75" i="39"/>
  <c r="C74" i="39"/>
  <c r="B74" i="39"/>
  <c r="C73" i="39"/>
  <c r="B73" i="39"/>
  <c r="C72" i="39"/>
  <c r="B72" i="39"/>
  <c r="C71" i="39"/>
  <c r="B71" i="39"/>
  <c r="C70" i="39"/>
  <c r="B70" i="39"/>
  <c r="C69" i="39"/>
  <c r="B69" i="39"/>
  <c r="C68" i="39"/>
  <c r="B68" i="39"/>
  <c r="C67" i="39"/>
  <c r="B67" i="39"/>
  <c r="C66" i="39"/>
  <c r="B66" i="39"/>
  <c r="C65" i="39"/>
  <c r="B65" i="39"/>
  <c r="C64" i="39"/>
  <c r="B64" i="39"/>
  <c r="C63" i="39"/>
  <c r="B63" i="39"/>
  <c r="C62" i="39"/>
  <c r="B62" i="39"/>
  <c r="C61" i="39"/>
  <c r="B61" i="39"/>
  <c r="C60" i="39"/>
  <c r="B60" i="39"/>
  <c r="C59" i="39"/>
  <c r="B59" i="39"/>
  <c r="C58" i="39"/>
  <c r="B58" i="39"/>
  <c r="C57" i="39"/>
  <c r="B57" i="39"/>
  <c r="C56" i="39"/>
  <c r="B56" i="39"/>
  <c r="C55" i="39"/>
  <c r="B55" i="39"/>
  <c r="C54" i="39"/>
  <c r="B54" i="39"/>
  <c r="C53" i="39"/>
  <c r="B53" i="39"/>
  <c r="C52" i="39"/>
  <c r="B52" i="39"/>
  <c r="C51" i="39"/>
  <c r="B51" i="39"/>
  <c r="C50" i="39"/>
  <c r="B50" i="39"/>
  <c r="C49" i="39"/>
  <c r="B49" i="39"/>
  <c r="C48" i="39"/>
  <c r="B48" i="39"/>
  <c r="C47" i="39"/>
  <c r="B47" i="39"/>
  <c r="C46" i="39"/>
  <c r="B46" i="39"/>
  <c r="C45" i="39"/>
  <c r="B45" i="39"/>
  <c r="C44" i="39"/>
  <c r="B44" i="39"/>
  <c r="C43" i="39"/>
  <c r="B43" i="39"/>
  <c r="C42" i="39"/>
  <c r="B42" i="39"/>
  <c r="C41" i="39"/>
  <c r="B41" i="39"/>
  <c r="C40" i="39"/>
  <c r="B40" i="39"/>
  <c r="C39" i="39"/>
  <c r="B39" i="39"/>
  <c r="C38" i="39"/>
  <c r="B38" i="39"/>
  <c r="C37" i="39"/>
  <c r="B37" i="39"/>
  <c r="C36" i="39"/>
  <c r="B36" i="39"/>
  <c r="C34" i="39"/>
  <c r="B34" i="39"/>
  <c r="C33" i="39"/>
  <c r="B33" i="39"/>
  <c r="C32" i="39"/>
  <c r="B32" i="39"/>
  <c r="C31" i="39"/>
  <c r="B31" i="39"/>
  <c r="C30" i="39"/>
  <c r="B30" i="39"/>
  <c r="C29" i="39"/>
  <c r="B29" i="39"/>
  <c r="C28" i="39"/>
  <c r="B28" i="39"/>
  <c r="C27" i="39"/>
  <c r="B27" i="39"/>
  <c r="C26" i="39"/>
  <c r="B26" i="39"/>
  <c r="C25" i="39"/>
  <c r="B25" i="39"/>
  <c r="C24" i="39"/>
  <c r="B24" i="39"/>
  <c r="C23" i="39"/>
  <c r="B23" i="39"/>
  <c r="C22" i="39"/>
  <c r="B22" i="39"/>
  <c r="C21" i="39"/>
  <c r="B21" i="39"/>
  <c r="C20" i="39"/>
  <c r="B20" i="39"/>
  <c r="C19" i="39"/>
  <c r="B19" i="39"/>
  <c r="C18" i="39"/>
  <c r="B18" i="39"/>
  <c r="C17" i="39"/>
  <c r="B17" i="39"/>
  <c r="C16" i="39"/>
  <c r="B16" i="39"/>
  <c r="C15" i="39"/>
  <c r="B15" i="39"/>
  <c r="C14" i="39"/>
  <c r="B14" i="39"/>
  <c r="C13" i="39"/>
  <c r="B13" i="39"/>
  <c r="C12" i="39"/>
  <c r="B12" i="39"/>
  <c r="C10" i="39"/>
  <c r="B10" i="39"/>
  <c r="C9" i="39"/>
  <c r="B9" i="39"/>
  <c r="C8" i="39"/>
  <c r="B8" i="39"/>
  <c r="C7" i="39"/>
  <c r="B7" i="39"/>
  <c r="C6" i="39"/>
  <c r="B6" i="39"/>
  <c r="AH94" i="34" l="1"/>
  <c r="O1469" i="67"/>
  <c r="AI94" i="34"/>
  <c r="P1469" i="67"/>
  <c r="AE110" i="34"/>
  <c r="L1485" i="67"/>
  <c r="L1494" i="67"/>
  <c r="L1148" i="67"/>
  <c r="L997" i="67"/>
  <c r="L1478" i="67"/>
  <c r="L1132" i="67"/>
  <c r="L981" i="67"/>
  <c r="L679" i="67"/>
  <c r="P1494" i="67"/>
  <c r="P1148" i="67"/>
  <c r="P997" i="67"/>
  <c r="N1495" i="67"/>
  <c r="N1149" i="67"/>
  <c r="N998" i="67"/>
  <c r="P1479" i="67"/>
  <c r="P1133" i="67"/>
  <c r="P982" i="67"/>
  <c r="O1495" i="67"/>
  <c r="O1149" i="67"/>
  <c r="O998" i="67"/>
  <c r="O995" i="67"/>
  <c r="O389" i="67"/>
  <c r="O844" i="67"/>
  <c r="O541" i="67"/>
  <c r="O693" i="67"/>
  <c r="O83" i="67"/>
  <c r="O236" i="67"/>
  <c r="AS995" i="67"/>
  <c r="AS389" i="67"/>
  <c r="AS844" i="67"/>
  <c r="AS541" i="67"/>
  <c r="AS693" i="67"/>
  <c r="AS83" i="67"/>
  <c r="AS236" i="67"/>
  <c r="AS979" i="67"/>
  <c r="AS828" i="67"/>
  <c r="AS373" i="67"/>
  <c r="AS525" i="67"/>
  <c r="AS67" i="67"/>
  <c r="AS220" i="67"/>
  <c r="AS677" i="67"/>
  <c r="AU979" i="67"/>
  <c r="AU828" i="67"/>
  <c r="AU373" i="67"/>
  <c r="AU525" i="67"/>
  <c r="AU67" i="67"/>
  <c r="AU220" i="67"/>
  <c r="AU677" i="67"/>
  <c r="AP995" i="67"/>
  <c r="AP389" i="67"/>
  <c r="AP844" i="67"/>
  <c r="AP83" i="67"/>
  <c r="AP236" i="67"/>
  <c r="AP541" i="67"/>
  <c r="AP693" i="67"/>
  <c r="Q995" i="67"/>
  <c r="Q389" i="67"/>
  <c r="Q844" i="67"/>
  <c r="Q541" i="67"/>
  <c r="Q83" i="67"/>
  <c r="Q693" i="67"/>
  <c r="Q236" i="67"/>
  <c r="Q979" i="67"/>
  <c r="Q525" i="67"/>
  <c r="Q373" i="67"/>
  <c r="Q828" i="67"/>
  <c r="Q67" i="67"/>
  <c r="Q220" i="67"/>
  <c r="Q677" i="67"/>
  <c r="AO995" i="67"/>
  <c r="AO389" i="67"/>
  <c r="AO844" i="67"/>
  <c r="AO541" i="67"/>
  <c r="AO83" i="67"/>
  <c r="AO693" i="67"/>
  <c r="AO236" i="67"/>
  <c r="AC995" i="67"/>
  <c r="AC389" i="67"/>
  <c r="AC844" i="67"/>
  <c r="AC541" i="67"/>
  <c r="AC83" i="67"/>
  <c r="AC693" i="67"/>
  <c r="AC236" i="67"/>
  <c r="S995" i="67"/>
  <c r="S389" i="67"/>
  <c r="S844" i="67"/>
  <c r="S83" i="67"/>
  <c r="S236" i="67"/>
  <c r="S541" i="67"/>
  <c r="S693" i="67"/>
  <c r="AN995" i="67"/>
  <c r="AN389" i="67"/>
  <c r="AN844" i="67"/>
  <c r="AN83" i="67"/>
  <c r="AN236" i="67"/>
  <c r="AN541" i="67"/>
  <c r="AN693" i="67"/>
  <c r="AM979" i="67"/>
  <c r="AM828" i="67"/>
  <c r="AM373" i="67"/>
  <c r="AM525" i="67"/>
  <c r="AM67" i="67"/>
  <c r="AM220" i="67"/>
  <c r="AM677" i="67"/>
  <c r="AU995" i="67"/>
  <c r="AU389" i="67"/>
  <c r="AU844" i="67"/>
  <c r="AU541" i="67"/>
  <c r="AU693" i="67"/>
  <c r="AU83" i="67"/>
  <c r="AU236" i="67"/>
  <c r="AG979" i="67"/>
  <c r="AG525" i="67"/>
  <c r="AG373" i="67"/>
  <c r="AG828" i="67"/>
  <c r="AG67" i="67"/>
  <c r="AG220" i="67"/>
  <c r="AG677" i="67"/>
  <c r="L979" i="67"/>
  <c r="L828" i="67"/>
  <c r="L373" i="67"/>
  <c r="L525" i="67"/>
  <c r="L67" i="67"/>
  <c r="L220" i="67"/>
  <c r="L677" i="67"/>
  <c r="AA979" i="67"/>
  <c r="AA525" i="67"/>
  <c r="AA373" i="67"/>
  <c r="AA828" i="67"/>
  <c r="AA67" i="67"/>
  <c r="AA220" i="67"/>
  <c r="AA677" i="67"/>
  <c r="AI995" i="67"/>
  <c r="AI389" i="67"/>
  <c r="AI844" i="67"/>
  <c r="AI83" i="67"/>
  <c r="AI236" i="67"/>
  <c r="AI541" i="67"/>
  <c r="AI693" i="67"/>
  <c r="S979" i="67"/>
  <c r="S373" i="67"/>
  <c r="S525" i="67"/>
  <c r="S828" i="67"/>
  <c r="S67" i="67"/>
  <c r="S220" i="67"/>
  <c r="S677" i="67"/>
  <c r="AH110" i="34"/>
  <c r="O1485" i="67"/>
  <c r="AF110" i="34"/>
  <c r="M1485" i="67"/>
  <c r="AD110" i="34"/>
  <c r="K1485" i="67"/>
  <c r="K1494" i="67"/>
  <c r="K1148" i="67"/>
  <c r="K997" i="67"/>
  <c r="M1494" i="67"/>
  <c r="M1148" i="67"/>
  <c r="M997" i="67"/>
  <c r="N1478" i="67"/>
  <c r="N1132" i="67"/>
  <c r="N981" i="67"/>
  <c r="N679" i="67"/>
  <c r="P1495" i="67"/>
  <c r="P1149" i="67"/>
  <c r="P998" i="67"/>
  <c r="L1479" i="67"/>
  <c r="L1133" i="67"/>
  <c r="L982" i="67"/>
  <c r="K1479" i="67"/>
  <c r="K1133" i="67"/>
  <c r="K982" i="67"/>
  <c r="AW979" i="67"/>
  <c r="AW525" i="67"/>
  <c r="AW373" i="67"/>
  <c r="AW828" i="67"/>
  <c r="AW67" i="67"/>
  <c r="AW220" i="67"/>
  <c r="AW677" i="67"/>
  <c r="AW995" i="67"/>
  <c r="AW389" i="67"/>
  <c r="AW844" i="67"/>
  <c r="AW83" i="67"/>
  <c r="AW236" i="67"/>
  <c r="AW541" i="67"/>
  <c r="AW693" i="67"/>
  <c r="W979" i="67"/>
  <c r="W828" i="67"/>
  <c r="W373" i="67"/>
  <c r="W525" i="67"/>
  <c r="W67" i="67"/>
  <c r="W220" i="67"/>
  <c r="W677" i="67"/>
  <c r="W995" i="67"/>
  <c r="W389" i="67"/>
  <c r="W844" i="67"/>
  <c r="W541" i="67"/>
  <c r="W693" i="67"/>
  <c r="W83" i="67"/>
  <c r="W236" i="67"/>
  <c r="AF979" i="67"/>
  <c r="AF525" i="67"/>
  <c r="AF373" i="67"/>
  <c r="AF828" i="67"/>
  <c r="AF67" i="67"/>
  <c r="AF220" i="67"/>
  <c r="AF677" i="67"/>
  <c r="O979" i="67"/>
  <c r="O828" i="67"/>
  <c r="O373" i="67"/>
  <c r="O525" i="67"/>
  <c r="O67" i="67"/>
  <c r="O220" i="67"/>
  <c r="O677" i="67"/>
  <c r="T979" i="67"/>
  <c r="T828" i="67"/>
  <c r="T373" i="67"/>
  <c r="T525" i="67"/>
  <c r="T67" i="67"/>
  <c r="T220" i="67"/>
  <c r="T677" i="67"/>
  <c r="V979" i="67"/>
  <c r="V828" i="67"/>
  <c r="V373" i="67"/>
  <c r="V525" i="67"/>
  <c r="V67" i="67"/>
  <c r="V220" i="67"/>
  <c r="V677" i="67"/>
  <c r="AT979" i="67"/>
  <c r="AT828" i="67"/>
  <c r="AT373" i="67"/>
  <c r="AT525" i="67"/>
  <c r="AT67" i="67"/>
  <c r="AT220" i="67"/>
  <c r="AT677" i="67"/>
  <c r="T995" i="67"/>
  <c r="T389" i="67"/>
  <c r="T844" i="67"/>
  <c r="T541" i="67"/>
  <c r="T693" i="67"/>
  <c r="T83" i="67"/>
  <c r="T236" i="67"/>
  <c r="M979" i="67"/>
  <c r="M828" i="67"/>
  <c r="M373" i="67"/>
  <c r="M525" i="67"/>
  <c r="M67" i="67"/>
  <c r="M220" i="67"/>
  <c r="M677" i="67"/>
  <c r="AN979" i="67"/>
  <c r="AN373" i="67"/>
  <c r="AN525" i="67"/>
  <c r="AN828" i="67"/>
  <c r="AN67" i="67"/>
  <c r="AN220" i="67"/>
  <c r="AN677" i="67"/>
  <c r="AV995" i="67"/>
  <c r="AV389" i="67"/>
  <c r="AV844" i="67"/>
  <c r="AV83" i="67"/>
  <c r="AV236" i="67"/>
  <c r="AV541" i="67"/>
  <c r="AV693" i="67"/>
  <c r="AK995" i="67"/>
  <c r="AK389" i="67"/>
  <c r="AK844" i="67"/>
  <c r="AK541" i="67"/>
  <c r="AK693" i="67"/>
  <c r="AK83" i="67"/>
  <c r="AK236" i="67"/>
  <c r="AG995" i="67"/>
  <c r="AG389" i="67"/>
  <c r="AG844" i="67"/>
  <c r="AG83" i="67"/>
  <c r="AG236" i="67"/>
  <c r="AG541" i="67"/>
  <c r="AG693" i="67"/>
  <c r="K995" i="67"/>
  <c r="K389" i="67"/>
  <c r="K844" i="67"/>
  <c r="K541" i="67"/>
  <c r="K693" i="67"/>
  <c r="K83" i="67"/>
  <c r="K236" i="67"/>
  <c r="AB979" i="67"/>
  <c r="AB828" i="67"/>
  <c r="AB373" i="67"/>
  <c r="AB525" i="67"/>
  <c r="AB67" i="67"/>
  <c r="AB220" i="67"/>
  <c r="AB677" i="67"/>
  <c r="AJ995" i="67"/>
  <c r="AJ389" i="67"/>
  <c r="AJ844" i="67"/>
  <c r="AJ541" i="67"/>
  <c r="AJ693" i="67"/>
  <c r="AJ83" i="67"/>
  <c r="AJ236" i="67"/>
  <c r="AI979" i="67"/>
  <c r="AI373" i="67"/>
  <c r="AI525" i="67"/>
  <c r="AI828" i="67"/>
  <c r="AI67" i="67"/>
  <c r="AI220" i="67"/>
  <c r="AI677" i="67"/>
  <c r="AR979" i="67"/>
  <c r="AR828" i="67"/>
  <c r="AR373" i="67"/>
  <c r="AR525" i="67"/>
  <c r="AR67" i="67"/>
  <c r="AR220" i="67"/>
  <c r="AR677" i="67"/>
  <c r="N979" i="67"/>
  <c r="N828" i="67"/>
  <c r="N373" i="67"/>
  <c r="N525" i="67"/>
  <c r="N67" i="67"/>
  <c r="N220" i="67"/>
  <c r="N677" i="67"/>
  <c r="R995" i="67"/>
  <c r="R389" i="67"/>
  <c r="R844" i="67"/>
  <c r="R83" i="67"/>
  <c r="R236" i="67"/>
  <c r="R541" i="67"/>
  <c r="R693" i="67"/>
  <c r="X995" i="67"/>
  <c r="X389" i="67"/>
  <c r="X844" i="67"/>
  <c r="X83" i="67"/>
  <c r="X236" i="67"/>
  <c r="X541" i="67"/>
  <c r="X693" i="67"/>
  <c r="AJ979" i="67"/>
  <c r="AJ828" i="67"/>
  <c r="AJ373" i="67"/>
  <c r="AJ525" i="67"/>
  <c r="AJ67" i="67"/>
  <c r="AJ220" i="67"/>
  <c r="AJ677" i="67"/>
  <c r="AE995" i="67"/>
  <c r="AE389" i="67"/>
  <c r="AE844" i="67"/>
  <c r="AE541" i="67"/>
  <c r="AE693" i="67"/>
  <c r="AE83" i="67"/>
  <c r="AE236" i="67"/>
  <c r="K979" i="67"/>
  <c r="K373" i="67"/>
  <c r="K525" i="67"/>
  <c r="K828" i="67"/>
  <c r="K67" i="67"/>
  <c r="K220" i="67"/>
  <c r="K677" i="67"/>
  <c r="AL995" i="67"/>
  <c r="AL389" i="67"/>
  <c r="AL844" i="67"/>
  <c r="AL541" i="67"/>
  <c r="AL693" i="67"/>
  <c r="AL83" i="67"/>
  <c r="AL236" i="67"/>
  <c r="AL979" i="67"/>
  <c r="AL828" i="67"/>
  <c r="AL373" i="67"/>
  <c r="AL525" i="67"/>
  <c r="AL67" i="67"/>
  <c r="AL220" i="67"/>
  <c r="AL677" i="67"/>
  <c r="AT995" i="67"/>
  <c r="AT389" i="67"/>
  <c r="AT844" i="67"/>
  <c r="AT541" i="67"/>
  <c r="AT693" i="67"/>
  <c r="AT83" i="67"/>
  <c r="AT236" i="67"/>
  <c r="AH979" i="67"/>
  <c r="AH525" i="67"/>
  <c r="AH373" i="67"/>
  <c r="AH828" i="67"/>
  <c r="AH67" i="67"/>
  <c r="AH220" i="67"/>
  <c r="AH677" i="67"/>
  <c r="K231" i="67"/>
  <c r="K536" i="67"/>
  <c r="K384" i="67"/>
  <c r="K688" i="67"/>
  <c r="K839" i="67"/>
  <c r="K78" i="67"/>
  <c r="P979" i="67"/>
  <c r="P525" i="67"/>
  <c r="P373" i="67"/>
  <c r="P828" i="67"/>
  <c r="P67" i="67"/>
  <c r="P220" i="67"/>
  <c r="P677" i="67"/>
  <c r="Z995" i="67"/>
  <c r="Z389" i="67"/>
  <c r="Z844" i="67"/>
  <c r="Z83" i="67"/>
  <c r="Z236" i="67"/>
  <c r="Z541" i="67"/>
  <c r="Z693" i="67"/>
  <c r="AD979" i="67"/>
  <c r="AD828" i="67"/>
  <c r="AD373" i="67"/>
  <c r="AD525" i="67"/>
  <c r="AD67" i="67"/>
  <c r="AD220" i="67"/>
  <c r="AD677" i="67"/>
  <c r="AO979" i="67"/>
  <c r="AO373" i="67"/>
  <c r="AO525" i="67"/>
  <c r="AO828" i="67"/>
  <c r="AO67" i="67"/>
  <c r="AO220" i="67"/>
  <c r="AO677" i="67"/>
  <c r="AQ979" i="67"/>
  <c r="AQ525" i="67"/>
  <c r="AQ373" i="67"/>
  <c r="AQ828" i="67"/>
  <c r="AQ67" i="67"/>
  <c r="AQ220" i="67"/>
  <c r="AQ677" i="67"/>
  <c r="L995" i="67"/>
  <c r="L389" i="67"/>
  <c r="L844" i="67"/>
  <c r="L541" i="67"/>
  <c r="L693" i="67"/>
  <c r="L83" i="67"/>
  <c r="L236" i="67"/>
  <c r="AA995" i="67"/>
  <c r="AA389" i="67"/>
  <c r="AA844" i="67"/>
  <c r="AA83" i="67"/>
  <c r="AA236" i="67"/>
  <c r="AA541" i="67"/>
  <c r="AA693" i="67"/>
  <c r="AE979" i="67"/>
  <c r="AE828" i="67"/>
  <c r="AE373" i="67"/>
  <c r="AE525" i="67"/>
  <c r="AE67" i="67"/>
  <c r="AE220" i="67"/>
  <c r="AE677" i="67"/>
  <c r="AV979" i="67"/>
  <c r="AV525" i="67"/>
  <c r="AV373" i="67"/>
  <c r="AV828" i="67"/>
  <c r="AV67" i="67"/>
  <c r="AV220" i="67"/>
  <c r="AV677" i="67"/>
  <c r="AQ995" i="67"/>
  <c r="AQ389" i="67"/>
  <c r="AQ844" i="67"/>
  <c r="AQ83" i="67"/>
  <c r="AQ236" i="67"/>
  <c r="AQ541" i="67"/>
  <c r="AQ693" i="67"/>
  <c r="AG110" i="34"/>
  <c r="N1485" i="67"/>
  <c r="AG94" i="34"/>
  <c r="N1469" i="67"/>
  <c r="AI110" i="34"/>
  <c r="P1485" i="67"/>
  <c r="O1478" i="67"/>
  <c r="O1132" i="67"/>
  <c r="O981" i="67"/>
  <c r="O679" i="67"/>
  <c r="K1478" i="67"/>
  <c r="K1132" i="67"/>
  <c r="K981" i="67"/>
  <c r="K679" i="67"/>
  <c r="O1494" i="67"/>
  <c r="O1148" i="67"/>
  <c r="O997" i="67"/>
  <c r="N1479" i="67"/>
  <c r="N1133" i="67"/>
  <c r="N982" i="67"/>
  <c r="M1479" i="67"/>
  <c r="M1133" i="67"/>
  <c r="M982" i="67"/>
  <c r="O1479" i="67"/>
  <c r="O1133" i="67"/>
  <c r="O982" i="67"/>
  <c r="AE94" i="34"/>
  <c r="L1469" i="67"/>
  <c r="AD94" i="34"/>
  <c r="K1469" i="67"/>
  <c r="AF94" i="34"/>
  <c r="M1469" i="67"/>
  <c r="P1478" i="67"/>
  <c r="P1132" i="67"/>
  <c r="P981" i="67"/>
  <c r="P679" i="67"/>
  <c r="N1494" i="67"/>
  <c r="N1148" i="67"/>
  <c r="N997" i="67"/>
  <c r="M1478" i="67"/>
  <c r="M1132" i="67"/>
  <c r="M981" i="67"/>
  <c r="M679" i="67"/>
  <c r="K1495" i="67"/>
  <c r="K1149" i="67"/>
  <c r="K998" i="67"/>
  <c r="L1495" i="67"/>
  <c r="L1149" i="67"/>
  <c r="L998" i="67"/>
  <c r="M1495" i="67"/>
  <c r="M1149" i="67"/>
  <c r="M998" i="67"/>
  <c r="P995" i="67"/>
  <c r="P389" i="67"/>
  <c r="P844" i="67"/>
  <c r="P83" i="67"/>
  <c r="P236" i="67"/>
  <c r="P541" i="67"/>
  <c r="P693" i="67"/>
  <c r="Y995" i="67"/>
  <c r="Y389" i="67"/>
  <c r="Y844" i="67"/>
  <c r="Y83" i="67"/>
  <c r="Y236" i="67"/>
  <c r="Y541" i="67"/>
  <c r="Y693" i="67"/>
  <c r="Y979" i="67"/>
  <c r="Y373" i="67"/>
  <c r="Y525" i="67"/>
  <c r="Y828" i="67"/>
  <c r="Y67" i="67"/>
  <c r="Y220" i="67"/>
  <c r="Y677" i="67"/>
  <c r="AD995" i="67"/>
  <c r="AD389" i="67"/>
  <c r="AD844" i="67"/>
  <c r="AD541" i="67"/>
  <c r="AD693" i="67"/>
  <c r="AD83" i="67"/>
  <c r="AD236" i="67"/>
  <c r="AF995" i="67"/>
  <c r="AF389" i="67"/>
  <c r="AF844" i="67"/>
  <c r="AF83" i="67"/>
  <c r="AF236" i="67"/>
  <c r="AF541" i="67"/>
  <c r="AF693" i="67"/>
  <c r="N995" i="67"/>
  <c r="N389" i="67"/>
  <c r="N844" i="67"/>
  <c r="N541" i="67"/>
  <c r="N693" i="67"/>
  <c r="N83" i="67"/>
  <c r="N236" i="67"/>
  <c r="U979" i="67"/>
  <c r="U828" i="67"/>
  <c r="U373" i="67"/>
  <c r="U525" i="67"/>
  <c r="U67" i="67"/>
  <c r="U220" i="67"/>
  <c r="U677" i="67"/>
  <c r="U995" i="67"/>
  <c r="U389" i="67"/>
  <c r="U844" i="67"/>
  <c r="U541" i="67"/>
  <c r="U693" i="67"/>
  <c r="U83" i="67"/>
  <c r="U236" i="67"/>
  <c r="AK979" i="67"/>
  <c r="AK828" i="67"/>
  <c r="AK373" i="67"/>
  <c r="AK525" i="67"/>
  <c r="AK67" i="67"/>
  <c r="AK220" i="67"/>
  <c r="AK677" i="67"/>
  <c r="X979" i="67"/>
  <c r="X373" i="67"/>
  <c r="X525" i="67"/>
  <c r="X828" i="67"/>
  <c r="X67" i="67"/>
  <c r="X220" i="67"/>
  <c r="X677" i="67"/>
  <c r="R979" i="67"/>
  <c r="R525" i="67"/>
  <c r="R373" i="67"/>
  <c r="R828" i="67"/>
  <c r="R67" i="67"/>
  <c r="R220" i="67"/>
  <c r="R677" i="67"/>
  <c r="K520" i="67"/>
  <c r="K62" i="67"/>
  <c r="K368" i="67"/>
  <c r="K823" i="67"/>
  <c r="K215" i="67"/>
  <c r="M995" i="67"/>
  <c r="M389" i="67"/>
  <c r="M844" i="67"/>
  <c r="M541" i="67"/>
  <c r="M83" i="67"/>
  <c r="M693" i="67"/>
  <c r="M236" i="67"/>
  <c r="AM995" i="67"/>
  <c r="AM389" i="67"/>
  <c r="AM844" i="67"/>
  <c r="AM541" i="67"/>
  <c r="AM693" i="67"/>
  <c r="AM83" i="67"/>
  <c r="AM236" i="67"/>
  <c r="Z979" i="67"/>
  <c r="Z373" i="67"/>
  <c r="Z525" i="67"/>
  <c r="Z828" i="67"/>
  <c r="Z67" i="67"/>
  <c r="Z220" i="67"/>
  <c r="Z677" i="67"/>
  <c r="AH995" i="67"/>
  <c r="AH389" i="67"/>
  <c r="AH844" i="67"/>
  <c r="AH83" i="67"/>
  <c r="AH236" i="67"/>
  <c r="AH541" i="67"/>
  <c r="AH693" i="67"/>
  <c r="AC979" i="67"/>
  <c r="AC828" i="67"/>
  <c r="AC373" i="67"/>
  <c r="AC525" i="67"/>
  <c r="AC67" i="67"/>
  <c r="AC220" i="67"/>
  <c r="AC677" i="67"/>
  <c r="AB995" i="67"/>
  <c r="AB389" i="67"/>
  <c r="AB844" i="67"/>
  <c r="AB541" i="67"/>
  <c r="AB693" i="67"/>
  <c r="AB83" i="67"/>
  <c r="AB236" i="67"/>
  <c r="AP979" i="67"/>
  <c r="AP373" i="67"/>
  <c r="AP525" i="67"/>
  <c r="AP828" i="67"/>
  <c r="AP67" i="67"/>
  <c r="AP220" i="67"/>
  <c r="AP677" i="67"/>
  <c r="V995" i="67"/>
  <c r="V389" i="67"/>
  <c r="V844" i="67"/>
  <c r="V541" i="67"/>
  <c r="V693" i="67"/>
  <c r="V83" i="67"/>
  <c r="V236" i="67"/>
  <c r="AR995" i="67"/>
  <c r="AR389" i="67"/>
  <c r="AR844" i="67"/>
  <c r="AR541" i="67"/>
  <c r="AR693" i="67"/>
  <c r="AR83" i="67"/>
  <c r="AR236" i="67"/>
  <c r="V46" i="45"/>
  <c r="Y46" i="68" s="1"/>
  <c r="P46" i="45"/>
  <c r="S46" i="68" s="1"/>
  <c r="Z44" i="45"/>
  <c r="AC44" i="68" s="1"/>
  <c r="X44" i="45"/>
  <c r="AA44" i="68" s="1"/>
  <c r="H44" i="45"/>
  <c r="K44" i="68" s="1"/>
  <c r="F44" i="45"/>
  <c r="I44" i="68" s="1"/>
  <c r="J46" i="45"/>
  <c r="M46" i="68" s="1"/>
  <c r="L46" i="45"/>
  <c r="O46" i="68" s="1"/>
  <c r="O46" i="45"/>
  <c r="R46" i="68" s="1"/>
  <c r="V44" i="45"/>
  <c r="Y44" i="68" s="1"/>
  <c r="P44" i="45"/>
  <c r="S44" i="68" s="1"/>
  <c r="Z46" i="45"/>
  <c r="AC46" i="68" s="1"/>
  <c r="H46" i="45"/>
  <c r="K46" i="68" s="1"/>
  <c r="AA46" i="45"/>
  <c r="AD46" i="68" s="1"/>
  <c r="N46" i="45"/>
  <c r="Q46" i="68" s="1"/>
  <c r="I46" i="45"/>
  <c r="L46" i="68" s="1"/>
  <c r="G46" i="45"/>
  <c r="J46" i="68" s="1"/>
  <c r="L44" i="45"/>
  <c r="O44" i="68" s="1"/>
  <c r="M44" i="45"/>
  <c r="P44" i="68" s="1"/>
  <c r="AA44" i="45"/>
  <c r="AD44" i="68" s="1"/>
  <c r="K44" i="45"/>
  <c r="N44" i="68" s="1"/>
  <c r="F46" i="45"/>
  <c r="I46" i="68" s="1"/>
  <c r="S46" i="45"/>
  <c r="V46" i="68" s="1"/>
  <c r="T44" i="45"/>
  <c r="W44" i="68" s="1"/>
  <c r="Y44" i="45"/>
  <c r="AB44" i="68" s="1"/>
  <c r="S44" i="45"/>
  <c r="V44" i="68" s="1"/>
  <c r="Q46" i="45"/>
  <c r="T46" i="68" s="1"/>
  <c r="U46" i="45"/>
  <c r="X46" i="68" s="1"/>
  <c r="Q44" i="45"/>
  <c r="T44" i="68" s="1"/>
  <c r="U44" i="45"/>
  <c r="X44" i="68" s="1"/>
  <c r="O44" i="45"/>
  <c r="R44" i="68" s="1"/>
  <c r="X46" i="45"/>
  <c r="AA46" i="68" s="1"/>
  <c r="M46" i="45"/>
  <c r="P46" i="68" s="1"/>
  <c r="K46" i="45"/>
  <c r="N46" i="68" s="1"/>
  <c r="R46" i="45"/>
  <c r="U46" i="68" s="1"/>
  <c r="T46" i="45"/>
  <c r="W46" i="68" s="1"/>
  <c r="W46" i="45"/>
  <c r="Z46" i="68" s="1"/>
  <c r="J44" i="45"/>
  <c r="M44" i="68" s="1"/>
  <c r="W44" i="45"/>
  <c r="Z44" i="68" s="1"/>
  <c r="G44" i="45"/>
  <c r="J44" i="68" s="1"/>
  <c r="Y46" i="45"/>
  <c r="AB46" i="68" s="1"/>
  <c r="R44" i="45"/>
  <c r="U44" i="68" s="1"/>
  <c r="N44" i="45"/>
  <c r="Q44" i="68" s="1"/>
  <c r="I44" i="45"/>
  <c r="L44" i="68" s="1"/>
  <c r="H17" i="33"/>
  <c r="D9" i="45"/>
  <c r="C10" i="62"/>
  <c r="T85" i="39"/>
  <c r="N85" i="39"/>
  <c r="M30" i="34"/>
  <c r="AH30" i="34"/>
  <c r="Q30" i="34"/>
  <c r="K30" i="34"/>
  <c r="U30" i="34"/>
  <c r="O30" i="34"/>
  <c r="Y30" i="34"/>
  <c r="S30" i="34"/>
  <c r="AC30" i="34"/>
  <c r="W30" i="34"/>
  <c r="AG30" i="34"/>
  <c r="AA30" i="34"/>
  <c r="L30" i="34"/>
  <c r="J30" i="34"/>
  <c r="AE30" i="34"/>
  <c r="P30" i="34"/>
  <c r="N30" i="34"/>
  <c r="AI30" i="34"/>
  <c r="T30" i="34"/>
  <c r="R30" i="34"/>
  <c r="I30" i="34"/>
  <c r="X30" i="34"/>
  <c r="V30" i="34"/>
  <c r="H30" i="34"/>
  <c r="AB30" i="34"/>
  <c r="Z30" i="34"/>
  <c r="AF30" i="34"/>
  <c r="AD30" i="34"/>
  <c r="H34" i="39"/>
  <c r="T34" i="39"/>
  <c r="N34" i="39"/>
  <c r="H81" i="39"/>
  <c r="T81" i="39"/>
  <c r="N81" i="39"/>
  <c r="H69" i="39"/>
  <c r="T69" i="39"/>
  <c r="N69" i="39"/>
  <c r="H107" i="39"/>
  <c r="T107" i="39"/>
  <c r="N107" i="39"/>
  <c r="T36" i="39"/>
  <c r="N36" i="39"/>
  <c r="H48" i="39"/>
  <c r="T48" i="39"/>
  <c r="N48" i="39"/>
  <c r="T102" i="39"/>
  <c r="N102" i="39"/>
  <c r="T90" i="39"/>
  <c r="N90" i="39"/>
  <c r="H33" i="39"/>
  <c r="T33" i="39"/>
  <c r="N33" i="39"/>
  <c r="H106" i="39"/>
  <c r="T106" i="39"/>
  <c r="N106" i="39"/>
  <c r="H89" i="39"/>
  <c r="T89" i="39"/>
  <c r="N89" i="39"/>
  <c r="Y31" i="34"/>
  <c r="S31" i="34"/>
  <c r="H31" i="34"/>
  <c r="AC31" i="34"/>
  <c r="W31" i="34"/>
  <c r="AG31" i="34"/>
  <c r="AA31" i="34"/>
  <c r="J31" i="34"/>
  <c r="AE31" i="34"/>
  <c r="N31" i="34"/>
  <c r="AI31" i="34"/>
  <c r="R31" i="34"/>
  <c r="L31" i="34"/>
  <c r="Z31" i="34"/>
  <c r="T31" i="34"/>
  <c r="AD31" i="34"/>
  <c r="X31" i="34"/>
  <c r="M31" i="34"/>
  <c r="AH31" i="34"/>
  <c r="AB31" i="34"/>
  <c r="Q31" i="34"/>
  <c r="K31" i="34"/>
  <c r="AF31" i="34"/>
  <c r="O31" i="34"/>
  <c r="P31" i="34"/>
  <c r="I31" i="34"/>
  <c r="V31" i="34"/>
  <c r="U31" i="34"/>
  <c r="H108" i="39"/>
  <c r="T108" i="39"/>
  <c r="N108" i="39"/>
  <c r="T91" i="39"/>
  <c r="N91" i="39"/>
  <c r="T32" i="39"/>
  <c r="N32" i="39"/>
  <c r="T79" i="39"/>
  <c r="N79" i="39"/>
  <c r="T67" i="39"/>
  <c r="N67" i="39"/>
  <c r="T105" i="39"/>
  <c r="N105" i="39"/>
  <c r="H58" i="39"/>
  <c r="T58" i="39"/>
  <c r="N58" i="39"/>
  <c r="H46" i="39"/>
  <c r="T46" i="39"/>
  <c r="N46" i="39"/>
  <c r="T100" i="39"/>
  <c r="N100" i="39"/>
  <c r="T88" i="39"/>
  <c r="N88" i="39"/>
  <c r="T59" i="39"/>
  <c r="N59" i="39"/>
  <c r="H6" i="33"/>
  <c r="T31" i="39"/>
  <c r="N31" i="39"/>
  <c r="T78" i="39"/>
  <c r="N78" i="39"/>
  <c r="T66" i="39"/>
  <c r="N66" i="39"/>
  <c r="H104" i="39"/>
  <c r="T104" i="39"/>
  <c r="N104" i="39"/>
  <c r="T5" i="39"/>
  <c r="N5" i="39"/>
  <c r="T57" i="39"/>
  <c r="N57" i="39"/>
  <c r="T45" i="39"/>
  <c r="N45" i="39"/>
  <c r="T99" i="39"/>
  <c r="N99" i="39"/>
  <c r="T87" i="39"/>
  <c r="N87" i="39"/>
  <c r="H68" i="39"/>
  <c r="T68" i="39"/>
  <c r="N68" i="39"/>
  <c r="H47" i="39"/>
  <c r="T47" i="39"/>
  <c r="N47" i="39"/>
  <c r="T7" i="39"/>
  <c r="N7" i="39"/>
  <c r="H98" i="39"/>
  <c r="T98" i="39"/>
  <c r="N98" i="39"/>
  <c r="T70" i="39"/>
  <c r="N70" i="39"/>
  <c r="H30" i="39"/>
  <c r="T30" i="39"/>
  <c r="N30" i="39"/>
  <c r="H77" i="39"/>
  <c r="T77" i="39"/>
  <c r="N77" i="39"/>
  <c r="H65" i="39"/>
  <c r="T65" i="39"/>
  <c r="N65" i="39"/>
  <c r="H85" i="39"/>
  <c r="H56" i="39"/>
  <c r="T56" i="39"/>
  <c r="N56" i="39"/>
  <c r="H44" i="39"/>
  <c r="T44" i="39"/>
  <c r="N44" i="39"/>
  <c r="T86" i="39"/>
  <c r="N86" i="39"/>
  <c r="H7" i="33"/>
  <c r="H5" i="39"/>
  <c r="H5" i="33" s="1"/>
  <c r="H76" i="39"/>
  <c r="T76" i="39"/>
  <c r="N76" i="39"/>
  <c r="H64" i="39"/>
  <c r="T64" i="39"/>
  <c r="N64" i="39"/>
  <c r="H86" i="39"/>
  <c r="T6" i="39"/>
  <c r="N6" i="39"/>
  <c r="T55" i="39"/>
  <c r="N55" i="39"/>
  <c r="T43" i="39"/>
  <c r="N43" i="39"/>
  <c r="H97" i="39"/>
  <c r="T97" i="39"/>
  <c r="N97" i="39"/>
  <c r="R20" i="34"/>
  <c r="X20" i="34"/>
  <c r="V20" i="34"/>
  <c r="Q20" i="34"/>
  <c r="Z20" i="34"/>
  <c r="Y20" i="34"/>
  <c r="K20" i="34"/>
  <c r="L20" i="34"/>
  <c r="O20" i="34"/>
  <c r="T20" i="34"/>
  <c r="S20" i="34"/>
  <c r="AB20" i="34"/>
  <c r="AA20" i="34"/>
  <c r="H20" i="34"/>
  <c r="M20" i="34"/>
  <c r="U20" i="34"/>
  <c r="J20" i="34"/>
  <c r="AC20" i="34"/>
  <c r="P20" i="34"/>
  <c r="I20" i="34"/>
  <c r="W20" i="34"/>
  <c r="N20" i="34"/>
  <c r="T75" i="39"/>
  <c r="N75" i="39"/>
  <c r="H8" i="39"/>
  <c r="H4" i="33" s="1"/>
  <c r="T8" i="39"/>
  <c r="N8" i="39"/>
  <c r="T49" i="39"/>
  <c r="N49" i="39"/>
  <c r="H80" i="39"/>
  <c r="T80" i="39"/>
  <c r="N80" i="39"/>
  <c r="T63" i="39"/>
  <c r="N63" i="39"/>
  <c r="H78" i="39"/>
  <c r="H54" i="39"/>
  <c r="T54" i="39"/>
  <c r="N54" i="39"/>
  <c r="H42" i="39"/>
  <c r="T42" i="39"/>
  <c r="N42" i="39"/>
  <c r="T96" i="39"/>
  <c r="N96" i="39"/>
  <c r="H31" i="39"/>
  <c r="T74" i="39"/>
  <c r="N74" i="39"/>
  <c r="T62" i="39"/>
  <c r="N62" i="39"/>
  <c r="H79" i="39"/>
  <c r="H88" i="39"/>
  <c r="H16" i="33"/>
  <c r="T10" i="39"/>
  <c r="N10" i="39"/>
  <c r="T53" i="39"/>
  <c r="N53" i="39"/>
  <c r="T41" i="39"/>
  <c r="N41" i="39"/>
  <c r="H43" i="39"/>
  <c r="T95" i="39"/>
  <c r="N95" i="39"/>
  <c r="H29" i="39"/>
  <c r="T29" i="39"/>
  <c r="N29" i="39"/>
  <c r="T82" i="39"/>
  <c r="N82" i="39"/>
  <c r="T37" i="39"/>
  <c r="N37" i="39"/>
  <c r="H101" i="39"/>
  <c r="T101" i="39"/>
  <c r="N101" i="39"/>
  <c r="H61" i="39"/>
  <c r="T61" i="39"/>
  <c r="N61" i="39"/>
  <c r="H52" i="39"/>
  <c r="T52" i="39"/>
  <c r="N52" i="39"/>
  <c r="H60" i="39"/>
  <c r="T60" i="39"/>
  <c r="N60" i="39"/>
  <c r="H72" i="39"/>
  <c r="T72" i="39"/>
  <c r="N72" i="39"/>
  <c r="H91" i="39"/>
  <c r="T51" i="39"/>
  <c r="N51" i="39"/>
  <c r="T39" i="39"/>
  <c r="N39" i="39"/>
  <c r="H39" i="39"/>
  <c r="H93" i="39"/>
  <c r="T93" i="39"/>
  <c r="N93" i="39"/>
  <c r="T21" i="34"/>
  <c r="V21" i="34"/>
  <c r="X21" i="34"/>
  <c r="Z21" i="34"/>
  <c r="K21" i="34"/>
  <c r="AB21" i="34"/>
  <c r="AD21" i="34"/>
  <c r="J21" i="34"/>
  <c r="AF21" i="34"/>
  <c r="AH21" i="34"/>
  <c r="O21" i="34"/>
  <c r="M21" i="34"/>
  <c r="I21" i="34"/>
  <c r="S21" i="34"/>
  <c r="Q21" i="34"/>
  <c r="H21" i="34"/>
  <c r="W21" i="34"/>
  <c r="U21" i="34"/>
  <c r="AA21" i="34"/>
  <c r="Y21" i="34"/>
  <c r="AE21" i="34"/>
  <c r="AC21" i="34"/>
  <c r="AI21" i="34"/>
  <c r="AG21" i="34"/>
  <c r="L21" i="34"/>
  <c r="N21" i="34"/>
  <c r="P21" i="34"/>
  <c r="R21" i="34"/>
  <c r="Y17" i="34"/>
  <c r="S17" i="34"/>
  <c r="H17" i="34"/>
  <c r="R17" i="34"/>
  <c r="L17" i="34"/>
  <c r="AG17" i="34"/>
  <c r="AI17" i="34"/>
  <c r="AC17" i="34"/>
  <c r="J17" i="34"/>
  <c r="P17" i="34"/>
  <c r="N17" i="34"/>
  <c r="T17" i="34"/>
  <c r="AE17" i="34"/>
  <c r="V17" i="34"/>
  <c r="X17" i="34"/>
  <c r="Z17" i="34"/>
  <c r="AB17" i="34"/>
  <c r="AD17" i="34"/>
  <c r="AF17" i="34"/>
  <c r="AH17" i="34"/>
  <c r="I17" i="34"/>
  <c r="K17" i="34"/>
  <c r="M17" i="34"/>
  <c r="O17" i="34"/>
  <c r="Q17" i="34"/>
  <c r="W17" i="34"/>
  <c r="U17" i="34"/>
  <c r="AA17" i="34"/>
  <c r="H73" i="39"/>
  <c r="T73" i="39"/>
  <c r="N73" i="39"/>
  <c r="H82" i="39"/>
  <c r="T9" i="39"/>
  <c r="N9" i="39"/>
  <c r="H40" i="39"/>
  <c r="T40" i="39"/>
  <c r="N40" i="39"/>
  <c r="H94" i="39"/>
  <c r="T94" i="39"/>
  <c r="N94" i="39"/>
  <c r="T83" i="39"/>
  <c r="N83" i="39"/>
  <c r="T71" i="39"/>
  <c r="N71" i="39"/>
  <c r="H103" i="39"/>
  <c r="T103" i="39"/>
  <c r="N103" i="39"/>
  <c r="H50" i="39"/>
  <c r="T50" i="39"/>
  <c r="N50" i="39"/>
  <c r="H38" i="39"/>
  <c r="T38" i="39"/>
  <c r="N38" i="39"/>
  <c r="H37" i="39"/>
  <c r="T92" i="39"/>
  <c r="N92" i="39"/>
  <c r="K15" i="34"/>
  <c r="O15" i="34"/>
  <c r="S15" i="34"/>
  <c r="W15" i="34"/>
  <c r="AA15" i="34"/>
  <c r="AE15" i="34"/>
  <c r="AI15" i="34"/>
  <c r="AM15" i="34"/>
  <c r="L15" i="34"/>
  <c r="P15" i="34"/>
  <c r="T15" i="34"/>
  <c r="X15" i="34"/>
  <c r="AB15" i="34"/>
  <c r="AF15" i="34"/>
  <c r="AJ15" i="34"/>
  <c r="AN15" i="34"/>
  <c r="M15" i="34"/>
  <c r="U15" i="34"/>
  <c r="AC15" i="34"/>
  <c r="AK15" i="34"/>
  <c r="AQ15" i="34"/>
  <c r="AU15" i="34"/>
  <c r="AY15" i="34"/>
  <c r="BC15" i="34"/>
  <c r="BG15" i="34"/>
  <c r="BK15" i="34"/>
  <c r="BO15" i="34"/>
  <c r="N15" i="34"/>
  <c r="V15" i="34"/>
  <c r="AD15" i="34"/>
  <c r="AL15" i="34"/>
  <c r="AR15" i="34"/>
  <c r="AV15" i="34"/>
  <c r="AZ15" i="34"/>
  <c r="BD15" i="34"/>
  <c r="BH15" i="34"/>
  <c r="BL15" i="34"/>
  <c r="BP15" i="34"/>
  <c r="Q15" i="34"/>
  <c r="Y15" i="34"/>
  <c r="AG15" i="34"/>
  <c r="AO15" i="34"/>
  <c r="AS15" i="34"/>
  <c r="AW15" i="34"/>
  <c r="BA15" i="34"/>
  <c r="BE15" i="34"/>
  <c r="BI15" i="34"/>
  <c r="BM15" i="34"/>
  <c r="J15" i="34"/>
  <c r="R15" i="34"/>
  <c r="Z15" i="34"/>
  <c r="AH15" i="34"/>
  <c r="AP15" i="34"/>
  <c r="AT15" i="34"/>
  <c r="AX15" i="34"/>
  <c r="BB15" i="34"/>
  <c r="BF15" i="34"/>
  <c r="BJ15" i="34"/>
  <c r="BN15" i="34"/>
  <c r="I15" i="34"/>
  <c r="H15" i="34"/>
  <c r="K9" i="34"/>
  <c r="O9" i="34"/>
  <c r="S9" i="34"/>
  <c r="W9" i="34"/>
  <c r="AA9" i="34"/>
  <c r="AE9" i="34"/>
  <c r="AI9" i="34"/>
  <c r="AM9" i="34"/>
  <c r="AQ9" i="34"/>
  <c r="AU9" i="34"/>
  <c r="AY9" i="34"/>
  <c r="L9" i="34"/>
  <c r="P9" i="34"/>
  <c r="T9" i="34"/>
  <c r="X9" i="34"/>
  <c r="AB9" i="34"/>
  <c r="AF9" i="34"/>
  <c r="AN9" i="34"/>
  <c r="AR9" i="34"/>
  <c r="AV9" i="34"/>
  <c r="AZ9" i="34"/>
  <c r="M9" i="34"/>
  <c r="Q9" i="34"/>
  <c r="U9" i="34"/>
  <c r="Y9" i="34"/>
  <c r="AC9" i="34"/>
  <c r="AG9" i="34"/>
  <c r="AK9" i="34"/>
  <c r="AO9" i="34"/>
  <c r="AS9" i="34"/>
  <c r="AW9" i="34"/>
  <c r="BA9" i="34"/>
  <c r="J9" i="34"/>
  <c r="N9" i="34"/>
  <c r="R9" i="34"/>
  <c r="V9" i="34"/>
  <c r="Z9" i="34"/>
  <c r="AD9" i="34"/>
  <c r="AH9" i="34"/>
  <c r="AL9" i="34"/>
  <c r="AP9" i="34"/>
  <c r="AT9" i="34"/>
  <c r="AX9" i="34"/>
  <c r="BB9" i="34"/>
  <c r="BC9" i="34"/>
  <c r="BG9" i="34"/>
  <c r="BK9" i="34"/>
  <c r="BO9" i="34"/>
  <c r="BD9" i="34"/>
  <c r="BH9" i="34"/>
  <c r="BL9" i="34"/>
  <c r="BP9" i="34"/>
  <c r="BE9" i="34"/>
  <c r="BI9" i="34"/>
  <c r="BM9" i="34"/>
  <c r="BF9" i="34"/>
  <c r="BJ9" i="34"/>
  <c r="BN9" i="34"/>
  <c r="I9" i="34"/>
  <c r="H9" i="34"/>
  <c r="L14" i="34"/>
  <c r="P14" i="34"/>
  <c r="T14" i="34"/>
  <c r="X14" i="34"/>
  <c r="AB14" i="34"/>
  <c r="AF14" i="34"/>
  <c r="AJ14" i="34"/>
  <c r="AN14" i="34"/>
  <c r="AR14" i="34"/>
  <c r="AV14" i="34"/>
  <c r="AZ14" i="34"/>
  <c r="BD14" i="34"/>
  <c r="BH14" i="34"/>
  <c r="BL14" i="34"/>
  <c r="M14" i="34"/>
  <c r="Q14" i="34"/>
  <c r="U14" i="34"/>
  <c r="Y14" i="34"/>
  <c r="AC14" i="34"/>
  <c r="AG14" i="34"/>
  <c r="AK14" i="34"/>
  <c r="AO14" i="34"/>
  <c r="AS14" i="34"/>
  <c r="AW14" i="34"/>
  <c r="BA14" i="34"/>
  <c r="BE14" i="34"/>
  <c r="J14" i="34"/>
  <c r="N14" i="34"/>
  <c r="R14" i="34"/>
  <c r="V14" i="34"/>
  <c r="Z14" i="34"/>
  <c r="AD14" i="34"/>
  <c r="AH14" i="34"/>
  <c r="AL14" i="34"/>
  <c r="AP14" i="34"/>
  <c r="AT14" i="34"/>
  <c r="AX14" i="34"/>
  <c r="BB14" i="34"/>
  <c r="BF14" i="34"/>
  <c r="BJ14" i="34"/>
  <c r="BN14" i="34"/>
  <c r="K14" i="34"/>
  <c r="O14" i="34"/>
  <c r="S14" i="34"/>
  <c r="W14" i="34"/>
  <c r="AA14" i="34"/>
  <c r="AE14" i="34"/>
  <c r="AI14" i="34"/>
  <c r="AM14" i="34"/>
  <c r="AQ14" i="34"/>
  <c r="AU14" i="34"/>
  <c r="AY14" i="34"/>
  <c r="BC14" i="34"/>
  <c r="BG14" i="34"/>
  <c r="BK14" i="34"/>
  <c r="BO14" i="34"/>
  <c r="BI14" i="34"/>
  <c r="BM14" i="34"/>
  <c r="BP14" i="34"/>
  <c r="I14" i="34"/>
  <c r="H14" i="34"/>
  <c r="D117" i="46"/>
  <c r="E117" i="46" s="1"/>
  <c r="E101" i="46"/>
  <c r="D89" i="46"/>
  <c r="E71" i="46"/>
  <c r="D87" i="46"/>
  <c r="E69" i="46"/>
  <c r="E112" i="46"/>
  <c r="D128" i="46"/>
  <c r="E128" i="46" s="1"/>
  <c r="D127" i="46"/>
  <c r="E127" i="46" s="1"/>
  <c r="E111" i="46"/>
  <c r="H104" i="34"/>
  <c r="V104" i="34"/>
  <c r="W119" i="34"/>
  <c r="J120" i="34"/>
  <c r="L120" i="34"/>
  <c r="S119" i="34"/>
  <c r="AE104" i="34"/>
  <c r="AI103" i="34"/>
  <c r="I119" i="34"/>
  <c r="AG104" i="34"/>
  <c r="O119" i="34"/>
  <c r="AI120" i="34"/>
  <c r="J119" i="34"/>
  <c r="H120" i="34"/>
  <c r="K120" i="34"/>
  <c r="M104" i="34"/>
  <c r="I120" i="34"/>
  <c r="AG103" i="34"/>
  <c r="Z103" i="34"/>
  <c r="U119" i="34"/>
  <c r="AC103" i="34"/>
  <c r="O104" i="34"/>
  <c r="H103" i="34"/>
  <c r="AF104" i="34"/>
  <c r="V119" i="34"/>
  <c r="AB120" i="34"/>
  <c r="X103" i="34"/>
  <c r="Z104" i="34"/>
  <c r="R119" i="34"/>
  <c r="AC104" i="34"/>
  <c r="J104" i="34"/>
  <c r="AD120" i="34"/>
  <c r="S103" i="34"/>
  <c r="W104" i="34"/>
  <c r="AH103" i="34"/>
  <c r="X120" i="34"/>
  <c r="Q119" i="34"/>
  <c r="R120" i="34"/>
  <c r="AI119" i="34"/>
  <c r="K103" i="34"/>
  <c r="L119" i="34"/>
  <c r="U104" i="34"/>
  <c r="AA120" i="34"/>
  <c r="AB119" i="34"/>
  <c r="AG119" i="34"/>
  <c r="T119" i="34"/>
  <c r="AE103" i="34"/>
  <c r="Y104" i="34"/>
  <c r="Y119" i="34"/>
  <c r="AH120" i="34"/>
  <c r="I103" i="34"/>
  <c r="N119" i="34"/>
  <c r="N104" i="34"/>
  <c r="T120" i="34"/>
  <c r="U103" i="34"/>
  <c r="AC119" i="34"/>
  <c r="O120" i="34"/>
  <c r="H119" i="34"/>
  <c r="AF120" i="34"/>
  <c r="W103" i="34"/>
  <c r="AB104" i="34"/>
  <c r="AE119" i="34"/>
  <c r="P103" i="34"/>
  <c r="AF119" i="34"/>
  <c r="W120" i="34"/>
  <c r="Q103" i="34"/>
  <c r="R104" i="34"/>
  <c r="AA119" i="34"/>
  <c r="K119" i="34"/>
  <c r="AG120" i="34"/>
  <c r="Q104" i="34"/>
  <c r="O103" i="34"/>
  <c r="T104" i="34"/>
  <c r="AD119" i="34"/>
  <c r="V103" i="34"/>
  <c r="P119" i="34"/>
  <c r="T94" i="34"/>
  <c r="Z110" i="34"/>
  <c r="M103" i="34"/>
  <c r="S104" i="34"/>
  <c r="M119" i="34"/>
  <c r="Y103" i="34"/>
  <c r="S120" i="34"/>
  <c r="AH104" i="34"/>
  <c r="N103" i="34"/>
  <c r="Q120" i="34"/>
  <c r="U120" i="34"/>
  <c r="AA104" i="34"/>
  <c r="AI104" i="34"/>
  <c r="J103" i="34"/>
  <c r="K104" i="34"/>
  <c r="M120" i="34"/>
  <c r="V120" i="34"/>
  <c r="I104" i="34"/>
  <c r="AB103" i="34"/>
  <c r="Z119" i="34"/>
  <c r="N120" i="34"/>
  <c r="AD103" i="34"/>
  <c r="X119" i="34"/>
  <c r="Z120" i="34"/>
  <c r="R103" i="34"/>
  <c r="T103" i="34"/>
  <c r="AC120" i="34"/>
  <c r="AD104" i="34"/>
  <c r="L104" i="34"/>
  <c r="Y120" i="34"/>
  <c r="AF103" i="34"/>
  <c r="AH119" i="34"/>
  <c r="X104" i="34"/>
  <c r="AA103" i="34"/>
  <c r="AE120" i="34"/>
  <c r="L103" i="34"/>
  <c r="U94" i="34"/>
  <c r="P136" i="34"/>
  <c r="P89" i="34"/>
  <c r="P140" i="34"/>
  <c r="V136" i="34"/>
  <c r="V140" i="34"/>
  <c r="V89" i="34"/>
  <c r="AA89" i="34"/>
  <c r="AA140" i="34"/>
  <c r="AA136" i="34"/>
  <c r="X89" i="34"/>
  <c r="X140" i="34"/>
  <c r="X136" i="34"/>
  <c r="R89" i="34"/>
  <c r="R136" i="34"/>
  <c r="R140" i="34"/>
  <c r="AB140" i="34"/>
  <c r="AB89" i="34"/>
  <c r="AB136" i="34"/>
  <c r="Z140" i="34"/>
  <c r="Z89" i="34"/>
  <c r="Z136" i="34"/>
  <c r="J136" i="34"/>
  <c r="J140" i="34"/>
  <c r="J89" i="34"/>
  <c r="T140" i="34"/>
  <c r="T89" i="34"/>
  <c r="T136" i="34"/>
  <c r="H140" i="34"/>
  <c r="H136" i="34"/>
  <c r="H89" i="34"/>
  <c r="U89" i="34"/>
  <c r="U140" i="34"/>
  <c r="U136" i="34"/>
  <c r="P63" i="36"/>
  <c r="P79" i="36"/>
  <c r="P185" i="34"/>
  <c r="P169" i="34"/>
  <c r="S89" i="34"/>
  <c r="S140" i="34"/>
  <c r="S136" i="34"/>
  <c r="W136" i="34"/>
  <c r="W89" i="34"/>
  <c r="W140" i="34"/>
  <c r="Q140" i="34"/>
  <c r="Q136" i="34"/>
  <c r="Q89" i="34"/>
  <c r="L140" i="34"/>
  <c r="L89" i="34"/>
  <c r="L136" i="34"/>
  <c r="N140" i="34"/>
  <c r="N89" i="34"/>
  <c r="N136" i="34"/>
  <c r="O140" i="34"/>
  <c r="O136" i="34"/>
  <c r="O89" i="34"/>
  <c r="AC136" i="34"/>
  <c r="AC89" i="34"/>
  <c r="AC140" i="34"/>
  <c r="M140" i="34"/>
  <c r="M136" i="34"/>
  <c r="M89" i="34"/>
  <c r="K140" i="34"/>
  <c r="K136" i="34"/>
  <c r="K89" i="34"/>
  <c r="Y140" i="34"/>
  <c r="Y136" i="34"/>
  <c r="Y89" i="34"/>
  <c r="I89" i="34"/>
  <c r="I140" i="34"/>
  <c r="I136" i="34"/>
  <c r="D24" i="45"/>
  <c r="E24" i="45"/>
  <c r="E12" i="45"/>
  <c r="B16" i="45"/>
  <c r="K1278" i="67" l="1"/>
  <c r="S1299" i="67"/>
  <c r="K1294" i="67"/>
  <c r="AH1283" i="67"/>
  <c r="AT1299" i="67"/>
  <c r="K1283" i="67"/>
  <c r="AE1299" i="67"/>
  <c r="X1299" i="67"/>
  <c r="AG1299" i="67"/>
  <c r="AT1283" i="67"/>
  <c r="AF1283" i="67"/>
  <c r="W1299" i="67"/>
  <c r="AK1283" i="67"/>
  <c r="U1299" i="67"/>
  <c r="AD1299" i="67"/>
  <c r="Y1299" i="67"/>
  <c r="L1299" i="67"/>
  <c r="AD1283" i="67"/>
  <c r="O391" i="67"/>
  <c r="O85" i="67"/>
  <c r="O543" i="67"/>
  <c r="O238" i="67"/>
  <c r="O846" i="67"/>
  <c r="O695" i="67"/>
  <c r="N376" i="67"/>
  <c r="N70" i="67"/>
  <c r="N528" i="67"/>
  <c r="N223" i="67"/>
  <c r="N831" i="67"/>
  <c r="N680" i="67"/>
  <c r="AE1283" i="67"/>
  <c r="AO1283" i="67"/>
  <c r="AI1283" i="67"/>
  <c r="AJ1299" i="67"/>
  <c r="O1283" i="67"/>
  <c r="AW1299" i="67"/>
  <c r="AW1283" i="67"/>
  <c r="L376" i="67"/>
  <c r="L528" i="67"/>
  <c r="L831" i="67"/>
  <c r="L70" i="67"/>
  <c r="L223" i="67"/>
  <c r="L680" i="67"/>
  <c r="S1283" i="67"/>
  <c r="AG1283" i="67"/>
  <c r="AU1299" i="67"/>
  <c r="AN1299" i="67"/>
  <c r="AO1299" i="67"/>
  <c r="O1299" i="67"/>
  <c r="O392" i="67"/>
  <c r="O544" i="67"/>
  <c r="O86" i="67"/>
  <c r="O239" i="67"/>
  <c r="O847" i="67"/>
  <c r="O696" i="67"/>
  <c r="L391" i="67"/>
  <c r="L543" i="67"/>
  <c r="L238" i="67"/>
  <c r="L846" i="67"/>
  <c r="L695" i="67"/>
  <c r="L85" i="67"/>
  <c r="L392" i="67"/>
  <c r="L239" i="67"/>
  <c r="L847" i="67"/>
  <c r="L544" i="67"/>
  <c r="L696" i="67"/>
  <c r="L86" i="67"/>
  <c r="K375" i="67"/>
  <c r="K830" i="67"/>
  <c r="K69" i="67"/>
  <c r="K527" i="67"/>
  <c r="K222" i="67"/>
  <c r="O375" i="67"/>
  <c r="O222" i="67"/>
  <c r="O830" i="67"/>
  <c r="O69" i="67"/>
  <c r="O527" i="67"/>
  <c r="W1283" i="67"/>
  <c r="K376" i="67"/>
  <c r="K831" i="67"/>
  <c r="K528" i="67"/>
  <c r="K70" i="67"/>
  <c r="K223" i="67"/>
  <c r="K680" i="67"/>
  <c r="K391" i="67"/>
  <c r="K85" i="67"/>
  <c r="K238" i="67"/>
  <c r="K846" i="67"/>
  <c r="K543" i="67"/>
  <c r="K695" i="67"/>
  <c r="L1283" i="67"/>
  <c r="AC1299" i="67"/>
  <c r="Q1283" i="67"/>
  <c r="AS1283" i="67"/>
  <c r="AS1299" i="67"/>
  <c r="P391" i="67"/>
  <c r="P543" i="67"/>
  <c r="P85" i="67"/>
  <c r="P846" i="67"/>
  <c r="P238" i="67"/>
  <c r="P695" i="67"/>
  <c r="L375" i="67"/>
  <c r="L222" i="67"/>
  <c r="L830" i="67"/>
  <c r="L69" i="67"/>
  <c r="L527" i="67"/>
  <c r="P392" i="67"/>
  <c r="P86" i="67"/>
  <c r="P847" i="67"/>
  <c r="P544" i="67"/>
  <c r="P696" i="67"/>
  <c r="P239" i="67"/>
  <c r="N375" i="67"/>
  <c r="N527" i="67"/>
  <c r="N830" i="67"/>
  <c r="N69" i="67"/>
  <c r="N222" i="67"/>
  <c r="P376" i="67"/>
  <c r="P528" i="67"/>
  <c r="P223" i="67"/>
  <c r="P831" i="67"/>
  <c r="P70" i="67"/>
  <c r="P680" i="67"/>
  <c r="V1299" i="67"/>
  <c r="AC1283" i="67"/>
  <c r="X1283" i="67"/>
  <c r="M392" i="67"/>
  <c r="M239" i="67"/>
  <c r="M544" i="67"/>
  <c r="M847" i="67"/>
  <c r="M86" i="67"/>
  <c r="M696" i="67"/>
  <c r="AR1299" i="67"/>
  <c r="R1283" i="67"/>
  <c r="U1283" i="67"/>
  <c r="N1299" i="67"/>
  <c r="Y1283" i="67"/>
  <c r="N391" i="67"/>
  <c r="N85" i="67"/>
  <c r="N695" i="67"/>
  <c r="N238" i="67"/>
  <c r="N846" i="67"/>
  <c r="N543" i="67"/>
  <c r="P375" i="67"/>
  <c r="P830" i="67"/>
  <c r="P69" i="67"/>
  <c r="P527" i="67"/>
  <c r="P222" i="67"/>
  <c r="M376" i="67"/>
  <c r="M70" i="67"/>
  <c r="M528" i="67"/>
  <c r="M223" i="67"/>
  <c r="M831" i="67"/>
  <c r="M680" i="67"/>
  <c r="AQ1299" i="67"/>
  <c r="AV1283" i="67"/>
  <c r="AQ1283" i="67"/>
  <c r="Z1299" i="67"/>
  <c r="P1283" i="67"/>
  <c r="AL1283" i="67"/>
  <c r="AL1299" i="67"/>
  <c r="AJ1283" i="67"/>
  <c r="AR1283" i="67"/>
  <c r="AK1299" i="67"/>
  <c r="M1283" i="67"/>
  <c r="T1299" i="67"/>
  <c r="T1283" i="67"/>
  <c r="AP1283" i="67"/>
  <c r="AB1299" i="67"/>
  <c r="AH1299" i="67"/>
  <c r="Z1283" i="67"/>
  <c r="AM1299" i="67"/>
  <c r="M1299" i="67"/>
  <c r="AF1299" i="67"/>
  <c r="P1299" i="67"/>
  <c r="K392" i="67"/>
  <c r="K847" i="67"/>
  <c r="K544" i="67"/>
  <c r="K86" i="67"/>
  <c r="K696" i="67"/>
  <c r="K239" i="67"/>
  <c r="M375" i="67"/>
  <c r="M527" i="67"/>
  <c r="M69" i="67"/>
  <c r="M830" i="67"/>
  <c r="M222" i="67"/>
  <c r="O376" i="67"/>
  <c r="O223" i="67"/>
  <c r="O528" i="67"/>
  <c r="O831" i="67"/>
  <c r="O70" i="67"/>
  <c r="O680" i="67"/>
  <c r="AA1299" i="67"/>
  <c r="R1299" i="67"/>
  <c r="N1283" i="67"/>
  <c r="AB1283" i="67"/>
  <c r="K1299" i="67"/>
  <c r="AV1299" i="67"/>
  <c r="AN1283" i="67"/>
  <c r="V1283" i="67"/>
  <c r="M391" i="67"/>
  <c r="M543" i="67"/>
  <c r="M85" i="67"/>
  <c r="M238" i="67"/>
  <c r="M846" i="67"/>
  <c r="M695" i="67"/>
  <c r="AI1299" i="67"/>
  <c r="AA1283" i="67"/>
  <c r="AM1283" i="67"/>
  <c r="Q1299" i="67"/>
  <c r="AP1299" i="67"/>
  <c r="AU1283" i="67"/>
  <c r="N392" i="67"/>
  <c r="N239" i="67"/>
  <c r="N847" i="67"/>
  <c r="N696" i="67"/>
  <c r="N86" i="67"/>
  <c r="N544" i="67"/>
  <c r="H27" i="33"/>
  <c r="D10" i="45"/>
  <c r="C11" i="62"/>
  <c r="H10" i="33"/>
  <c r="S10" i="34" s="1"/>
  <c r="H22" i="33"/>
  <c r="U10" i="34"/>
  <c r="R10" i="34"/>
  <c r="Z10" i="34"/>
  <c r="H72" i="46"/>
  <c r="H45" i="33"/>
  <c r="H12" i="33"/>
  <c r="H13" i="33"/>
  <c r="H25" i="33"/>
  <c r="AD7" i="34"/>
  <c r="X7" i="34"/>
  <c r="AC7" i="34"/>
  <c r="W7" i="34"/>
  <c r="J7" i="34"/>
  <c r="L7" i="34"/>
  <c r="N7" i="34"/>
  <c r="P7" i="34"/>
  <c r="AI7" i="34"/>
  <c r="R7" i="34"/>
  <c r="T7" i="34"/>
  <c r="V7" i="34"/>
  <c r="AB7" i="34"/>
  <c r="Z7" i="34"/>
  <c r="AF7" i="34"/>
  <c r="AH7" i="34"/>
  <c r="I7" i="34"/>
  <c r="K7" i="34"/>
  <c r="H7" i="34"/>
  <c r="M7" i="34"/>
  <c r="O7" i="34"/>
  <c r="AG7" i="34"/>
  <c r="Q7" i="34"/>
  <c r="S7" i="34"/>
  <c r="U7" i="34"/>
  <c r="AA7" i="34"/>
  <c r="Y7" i="34"/>
  <c r="AE7" i="34"/>
  <c r="H70" i="46"/>
  <c r="H43" i="33"/>
  <c r="H24" i="33"/>
  <c r="Q5" i="34"/>
  <c r="AA5" i="34"/>
  <c r="N5" i="34"/>
  <c r="P5" i="34"/>
  <c r="H5" i="34"/>
  <c r="T5" i="34"/>
  <c r="I5" i="34"/>
  <c r="X5" i="34"/>
  <c r="AB5" i="34"/>
  <c r="M5" i="34"/>
  <c r="U5" i="34"/>
  <c r="Y5" i="34"/>
  <c r="K5" i="34"/>
  <c r="AC5" i="34"/>
  <c r="L5" i="34"/>
  <c r="O5" i="34"/>
  <c r="J5" i="34"/>
  <c r="S5" i="34"/>
  <c r="R5" i="34"/>
  <c r="W5" i="34"/>
  <c r="V5" i="34"/>
  <c r="Z5" i="34"/>
  <c r="H11" i="33"/>
  <c r="H69" i="46"/>
  <c r="H42" i="33"/>
  <c r="Y6" i="34"/>
  <c r="I6" i="34"/>
  <c r="AC6" i="34"/>
  <c r="H6" i="34"/>
  <c r="J6" i="34"/>
  <c r="N6" i="34"/>
  <c r="L6" i="34"/>
  <c r="R6" i="34"/>
  <c r="P6" i="34"/>
  <c r="V6" i="34"/>
  <c r="X6" i="34"/>
  <c r="K6" i="34"/>
  <c r="AB6" i="34"/>
  <c r="O6" i="34"/>
  <c r="M6" i="34"/>
  <c r="S6" i="34"/>
  <c r="Q6" i="34"/>
  <c r="W6" i="34"/>
  <c r="AA6" i="34"/>
  <c r="Z6" i="34"/>
  <c r="T6" i="34"/>
  <c r="U6" i="34"/>
  <c r="AR22" i="34"/>
  <c r="AG22" i="34"/>
  <c r="V22" i="34"/>
  <c r="K22" i="34"/>
  <c r="BG22" i="34"/>
  <c r="AV22" i="34"/>
  <c r="AK22" i="34"/>
  <c r="Z22" i="34"/>
  <c r="O22" i="34"/>
  <c r="BK22" i="34"/>
  <c r="AZ22" i="34"/>
  <c r="AO22" i="34"/>
  <c r="AD22" i="34"/>
  <c r="S22" i="34"/>
  <c r="BO22" i="34"/>
  <c r="BD22" i="34"/>
  <c r="AS22" i="34"/>
  <c r="AH22" i="34"/>
  <c r="W22" i="34"/>
  <c r="I22" i="34"/>
  <c r="L22" i="34"/>
  <c r="BH22" i="34"/>
  <c r="AW22" i="34"/>
  <c r="AL22" i="34"/>
  <c r="AA22" i="34"/>
  <c r="H22" i="34"/>
  <c r="P22" i="34"/>
  <c r="BL22" i="34"/>
  <c r="BA22" i="34"/>
  <c r="AP22" i="34"/>
  <c r="AE22" i="34"/>
  <c r="T22" i="34"/>
  <c r="BP22" i="34"/>
  <c r="BE22" i="34"/>
  <c r="AT22" i="34"/>
  <c r="AI22" i="34"/>
  <c r="X22" i="34"/>
  <c r="M22" i="34"/>
  <c r="BI22" i="34"/>
  <c r="AX22" i="34"/>
  <c r="AM22" i="34"/>
  <c r="AB22" i="34"/>
  <c r="Q22" i="34"/>
  <c r="BM22" i="34"/>
  <c r="BB22" i="34"/>
  <c r="AQ22" i="34"/>
  <c r="AF22" i="34"/>
  <c r="U22" i="34"/>
  <c r="J22" i="34"/>
  <c r="BF22" i="34"/>
  <c r="AU22" i="34"/>
  <c r="AJ22" i="34"/>
  <c r="Y22" i="34"/>
  <c r="N22" i="34"/>
  <c r="BJ22" i="34"/>
  <c r="AY22" i="34"/>
  <c r="AN22" i="34"/>
  <c r="AC22" i="34"/>
  <c r="R22" i="34"/>
  <c r="BN22" i="34"/>
  <c r="BC22" i="34"/>
  <c r="M16" i="34"/>
  <c r="AH16" i="34"/>
  <c r="Q16" i="34"/>
  <c r="K16" i="34"/>
  <c r="U16" i="34"/>
  <c r="O16" i="34"/>
  <c r="Y16" i="34"/>
  <c r="S16" i="34"/>
  <c r="AC16" i="34"/>
  <c r="W16" i="34"/>
  <c r="AG16" i="34"/>
  <c r="AA16" i="34"/>
  <c r="P16" i="34"/>
  <c r="N16" i="34"/>
  <c r="AI16" i="34"/>
  <c r="T16" i="34"/>
  <c r="R16" i="34"/>
  <c r="I16" i="34"/>
  <c r="X16" i="34"/>
  <c r="V16" i="34"/>
  <c r="H16" i="34"/>
  <c r="AB16" i="34"/>
  <c r="Z16" i="34"/>
  <c r="L16" i="34"/>
  <c r="AF16" i="34"/>
  <c r="J16" i="34"/>
  <c r="AD16" i="34"/>
  <c r="AE16" i="34"/>
  <c r="H18" i="33"/>
  <c r="H19" i="33"/>
  <c r="H67" i="46"/>
  <c r="H40" i="33"/>
  <c r="H63" i="46"/>
  <c r="H36" i="33"/>
  <c r="H64" i="46"/>
  <c r="H37" i="33"/>
  <c r="H8" i="33"/>
  <c r="R4" i="34"/>
  <c r="AB4" i="34"/>
  <c r="V4" i="34"/>
  <c r="M4" i="34"/>
  <c r="Z4" i="34"/>
  <c r="Q4" i="34"/>
  <c r="K4" i="34"/>
  <c r="U4" i="34"/>
  <c r="O4" i="34"/>
  <c r="Y4" i="34"/>
  <c r="S4" i="34"/>
  <c r="AC4" i="34"/>
  <c r="AA4" i="34"/>
  <c r="H4" i="34"/>
  <c r="L4" i="34"/>
  <c r="P4" i="34"/>
  <c r="J4" i="34"/>
  <c r="T4" i="34"/>
  <c r="X4" i="34"/>
  <c r="I4" i="34"/>
  <c r="W4" i="34"/>
  <c r="N4" i="34"/>
  <c r="H26" i="33"/>
  <c r="AC27" i="34"/>
  <c r="R27" i="34"/>
  <c r="BN27" i="34"/>
  <c r="BC27" i="34"/>
  <c r="AR27" i="34"/>
  <c r="AG27" i="34"/>
  <c r="V27" i="34"/>
  <c r="K27" i="34"/>
  <c r="BG27" i="34"/>
  <c r="AV27" i="34"/>
  <c r="AK27" i="34"/>
  <c r="Z27" i="34"/>
  <c r="O27" i="34"/>
  <c r="BK27" i="34"/>
  <c r="AZ27" i="34"/>
  <c r="AO27" i="34"/>
  <c r="AD27" i="34"/>
  <c r="S27" i="34"/>
  <c r="BO27" i="34"/>
  <c r="BD27" i="34"/>
  <c r="AS27" i="34"/>
  <c r="AH27" i="34"/>
  <c r="W27" i="34"/>
  <c r="L27" i="34"/>
  <c r="BH27" i="34"/>
  <c r="AW27" i="34"/>
  <c r="AL27" i="34"/>
  <c r="AA27" i="34"/>
  <c r="P27" i="34"/>
  <c r="BL27" i="34"/>
  <c r="BE27" i="34"/>
  <c r="AT27" i="34"/>
  <c r="AI27" i="34"/>
  <c r="X27" i="34"/>
  <c r="I27" i="34"/>
  <c r="M27" i="34"/>
  <c r="BI27" i="34"/>
  <c r="AX27" i="34"/>
  <c r="AM27" i="34"/>
  <c r="AB27" i="34"/>
  <c r="H27" i="34"/>
  <c r="Q27" i="34"/>
  <c r="BM27" i="34"/>
  <c r="BB27" i="34"/>
  <c r="AQ27" i="34"/>
  <c r="AF27" i="34"/>
  <c r="U27" i="34"/>
  <c r="J27" i="34"/>
  <c r="BF27" i="34"/>
  <c r="AU27" i="34"/>
  <c r="AJ27" i="34"/>
  <c r="Y27" i="34"/>
  <c r="BA27" i="34"/>
  <c r="N27" i="34"/>
  <c r="AP27" i="34"/>
  <c r="BJ27" i="34"/>
  <c r="AE27" i="34"/>
  <c r="AY27" i="34"/>
  <c r="T27" i="34"/>
  <c r="AN27" i="34"/>
  <c r="BP27" i="34"/>
  <c r="H71" i="46"/>
  <c r="H44" i="33"/>
  <c r="D107" i="46"/>
  <c r="E89" i="46"/>
  <c r="E87" i="46"/>
  <c r="D105" i="46"/>
  <c r="P104" i="34"/>
  <c r="P120" i="34"/>
  <c r="E25" i="45"/>
  <c r="D25" i="45"/>
  <c r="C23" i="62" s="1"/>
  <c r="B17" i="45"/>
  <c r="E13" i="45"/>
  <c r="P1302" i="67" l="1"/>
  <c r="K1301" i="67"/>
  <c r="K1285" i="67"/>
  <c r="N1285" i="67"/>
  <c r="L1285" i="67"/>
  <c r="O1301" i="67"/>
  <c r="P1301" i="67"/>
  <c r="K1286" i="67"/>
  <c r="O1285" i="67"/>
  <c r="L1301" i="67"/>
  <c r="N1302" i="67"/>
  <c r="K1302" i="67"/>
  <c r="O1302" i="67"/>
  <c r="M1286" i="67"/>
  <c r="P1285" i="67"/>
  <c r="O1286" i="67"/>
  <c r="M1285" i="67"/>
  <c r="L1302" i="67"/>
  <c r="M1301" i="67"/>
  <c r="N1301" i="67"/>
  <c r="M1302" i="67"/>
  <c r="P1286" i="67"/>
  <c r="N1286" i="67"/>
  <c r="L1286" i="67"/>
  <c r="AC10" i="34"/>
  <c r="M10" i="34"/>
  <c r="K10" i="34"/>
  <c r="T10" i="34"/>
  <c r="L10" i="34"/>
  <c r="H10" i="34"/>
  <c r="W10" i="34"/>
  <c r="O10" i="34"/>
  <c r="J10" i="34"/>
  <c r="V10" i="34"/>
  <c r="N10" i="34"/>
  <c r="Y10" i="34"/>
  <c r="Q10" i="34"/>
  <c r="AB10" i="34"/>
  <c r="C12" i="62"/>
  <c r="D12" i="45"/>
  <c r="D4" i="45"/>
  <c r="D58" i="45" s="1"/>
  <c r="X10" i="34"/>
  <c r="P10" i="34"/>
  <c r="I10" i="34"/>
  <c r="AA10" i="34"/>
  <c r="AG74" i="36"/>
  <c r="AE74" i="36"/>
  <c r="AH74" i="36"/>
  <c r="AD74" i="36"/>
  <c r="AE58" i="36"/>
  <c r="AI58" i="36"/>
  <c r="AH58" i="36"/>
  <c r="AD58" i="36"/>
  <c r="AI74" i="36"/>
  <c r="AF74" i="36"/>
  <c r="AG58" i="36"/>
  <c r="AF58" i="36"/>
  <c r="AX74" i="36"/>
  <c r="BM74" i="36"/>
  <c r="BL74" i="36"/>
  <c r="AZ74" i="36"/>
  <c r="AN74" i="36"/>
  <c r="BJ58" i="36"/>
  <c r="AL74" i="36"/>
  <c r="BI74" i="36"/>
  <c r="AO74" i="36"/>
  <c r="BG74" i="36"/>
  <c r="AU74" i="36"/>
  <c r="BC180" i="34"/>
  <c r="BP74" i="36"/>
  <c r="AR58" i="36"/>
  <c r="AT74" i="36"/>
  <c r="AY58" i="36"/>
  <c r="BF180" i="34"/>
  <c r="BD180" i="34"/>
  <c r="AX58" i="36"/>
  <c r="BM58" i="36"/>
  <c r="BL58" i="36"/>
  <c r="AZ58" i="36"/>
  <c r="AN58" i="36"/>
  <c r="BJ74" i="36"/>
  <c r="AL58" i="36"/>
  <c r="BI58" i="36"/>
  <c r="AO58" i="36"/>
  <c r="BG58" i="36"/>
  <c r="AU58" i="36"/>
  <c r="AW180" i="34"/>
  <c r="AX164" i="34"/>
  <c r="BM164" i="34"/>
  <c r="BL164" i="34"/>
  <c r="AZ180" i="34"/>
  <c r="AN164" i="34"/>
  <c r="BJ180" i="34"/>
  <c r="AL164" i="34"/>
  <c r="BI180" i="34"/>
  <c r="AO180" i="34"/>
  <c r="BG180" i="34"/>
  <c r="AU180" i="34"/>
  <c r="BP164" i="34"/>
  <c r="AX180" i="34"/>
  <c r="BM180" i="34"/>
  <c r="BL180" i="34"/>
  <c r="AZ164" i="34"/>
  <c r="AN180" i="34"/>
  <c r="BJ164" i="34"/>
  <c r="AL180" i="34"/>
  <c r="BI164" i="34"/>
  <c r="AO164" i="34"/>
  <c r="BG164" i="34"/>
  <c r="AU164" i="34"/>
  <c r="AW58" i="36"/>
  <c r="AM58" i="36"/>
  <c r="BN74" i="36"/>
  <c r="AP74" i="36"/>
  <c r="BA74" i="36"/>
  <c r="BH74" i="36"/>
  <c r="AV74" i="36"/>
  <c r="AJ58" i="36"/>
  <c r="BB58" i="36"/>
  <c r="BE74" i="36"/>
  <c r="AK74" i="36"/>
  <c r="BO74" i="36"/>
  <c r="BC74" i="36"/>
  <c r="AQ74" i="36"/>
  <c r="AS58" i="36"/>
  <c r="BD58" i="36"/>
  <c r="BN58" i="36"/>
  <c r="AP58" i="36"/>
  <c r="BA58" i="36"/>
  <c r="BH58" i="36"/>
  <c r="AV58" i="36"/>
  <c r="AJ74" i="36"/>
  <c r="BB74" i="36"/>
  <c r="BE58" i="36"/>
  <c r="AK58" i="36"/>
  <c r="BO58" i="36"/>
  <c r="BC58" i="36"/>
  <c r="AQ58" i="36"/>
  <c r="BE164" i="34"/>
  <c r="BC164" i="34"/>
  <c r="AQ180" i="34"/>
  <c r="AT180" i="34"/>
  <c r="AY164" i="34"/>
  <c r="BN164" i="34"/>
  <c r="AP164" i="34"/>
  <c r="BA164" i="34"/>
  <c r="BH180" i="34"/>
  <c r="AV164" i="34"/>
  <c r="AJ180" i="34"/>
  <c r="BB164" i="34"/>
  <c r="AK164" i="34"/>
  <c r="BO180" i="34"/>
  <c r="BK58" i="36"/>
  <c r="BK164" i="34"/>
  <c r="BN180" i="34"/>
  <c r="AP180" i="34"/>
  <c r="BA180" i="34"/>
  <c r="BH164" i="34"/>
  <c r="AV180" i="34"/>
  <c r="AJ164" i="34"/>
  <c r="BB180" i="34"/>
  <c r="BE180" i="34"/>
  <c r="AK180" i="34"/>
  <c r="BO164" i="34"/>
  <c r="AQ164" i="34"/>
  <c r="BF58" i="36"/>
  <c r="AR180" i="34"/>
  <c r="BF74" i="36"/>
  <c r="AS74" i="36"/>
  <c r="BP58" i="36"/>
  <c r="BD74" i="36"/>
  <c r="AR74" i="36"/>
  <c r="AT58" i="36"/>
  <c r="AW74" i="36"/>
  <c r="BK74" i="36"/>
  <c r="AY74" i="36"/>
  <c r="AM74" i="36"/>
  <c r="BF164" i="34"/>
  <c r="AS180" i="34"/>
  <c r="BP180" i="34"/>
  <c r="BD164" i="34"/>
  <c r="AR164" i="34"/>
  <c r="AT164" i="34"/>
  <c r="AW164" i="34"/>
  <c r="BK180" i="34"/>
  <c r="AY180" i="34"/>
  <c r="AM164" i="34"/>
  <c r="AS164" i="34"/>
  <c r="AM180" i="34"/>
  <c r="K180" i="34"/>
  <c r="T74" i="36"/>
  <c r="T115" i="34" s="1"/>
  <c r="L164" i="34"/>
  <c r="V164" i="34"/>
  <c r="J58" i="36"/>
  <c r="J99" i="34" s="1"/>
  <c r="AH180" i="34"/>
  <c r="M58" i="36"/>
  <c r="M99" i="34" s="1"/>
  <c r="O58" i="36"/>
  <c r="O99" i="34" s="1"/>
  <c r="AH164" i="34"/>
  <c r="P164" i="34"/>
  <c r="T164" i="34"/>
  <c r="AC180" i="34"/>
  <c r="X164" i="34"/>
  <c r="J164" i="34"/>
  <c r="AF180" i="34"/>
  <c r="AA58" i="36"/>
  <c r="AA99" i="34" s="1"/>
  <c r="S164" i="34"/>
  <c r="K74" i="36"/>
  <c r="K115" i="34" s="1"/>
  <c r="P58" i="36"/>
  <c r="P99" i="34" s="1"/>
  <c r="T180" i="34"/>
  <c r="AC74" i="36"/>
  <c r="AC115" i="34" s="1"/>
  <c r="X58" i="36"/>
  <c r="X99" i="34" s="1"/>
  <c r="J180" i="34"/>
  <c r="AF164" i="34"/>
  <c r="AA180" i="34"/>
  <c r="S74" i="36"/>
  <c r="S115" i="34" s="1"/>
  <c r="P74" i="36"/>
  <c r="P115" i="34" s="1"/>
  <c r="U58" i="36"/>
  <c r="U99" i="34" s="1"/>
  <c r="AC164" i="34"/>
  <c r="X74" i="36"/>
  <c r="X115" i="34" s="1"/>
  <c r="N164" i="34"/>
  <c r="W58" i="36"/>
  <c r="W99" i="34" s="1"/>
  <c r="AA74" i="36"/>
  <c r="AA115" i="34" s="1"/>
  <c r="S58" i="36"/>
  <c r="S99" i="34" s="1"/>
  <c r="T58" i="36"/>
  <c r="T99" i="34" s="1"/>
  <c r="P180" i="34"/>
  <c r="U180" i="34"/>
  <c r="AC58" i="36"/>
  <c r="AC99" i="34" s="1"/>
  <c r="X180" i="34"/>
  <c r="N58" i="36"/>
  <c r="N99" i="34" s="1"/>
  <c r="W74" i="36"/>
  <c r="W115" i="34" s="1"/>
  <c r="AA164" i="34"/>
  <c r="S180" i="34"/>
  <c r="K164" i="34"/>
  <c r="AB74" i="36"/>
  <c r="AB115" i="34" s="1"/>
  <c r="Z164" i="34"/>
  <c r="U164" i="34"/>
  <c r="Q58" i="36"/>
  <c r="Q99" i="34" s="1"/>
  <c r="R180" i="34"/>
  <c r="N74" i="36"/>
  <c r="N115" i="34" s="1"/>
  <c r="W180" i="34"/>
  <c r="H180" i="34"/>
  <c r="I180" i="34"/>
  <c r="M74" i="36"/>
  <c r="M115" i="34" s="1"/>
  <c r="AB58" i="36"/>
  <c r="AB99" i="34" s="1"/>
  <c r="Z180" i="34"/>
  <c r="U74" i="36"/>
  <c r="U115" i="34" s="1"/>
  <c r="Q180" i="34"/>
  <c r="R164" i="34"/>
  <c r="N180" i="34"/>
  <c r="W164" i="34"/>
  <c r="H74" i="36"/>
  <c r="H115" i="34" s="1"/>
  <c r="I58" i="36"/>
  <c r="I99" i="34" s="1"/>
  <c r="J74" i="36"/>
  <c r="J115" i="34" s="1"/>
  <c r="AB164" i="34"/>
  <c r="Z58" i="36"/>
  <c r="Z99" i="34" s="1"/>
  <c r="AE164" i="34"/>
  <c r="Q164" i="34"/>
  <c r="R58" i="36"/>
  <c r="R99" i="34" s="1"/>
  <c r="Y180" i="34"/>
  <c r="AD164" i="34"/>
  <c r="H58" i="36"/>
  <c r="H99" i="34" s="1"/>
  <c r="I74" i="36"/>
  <c r="I115" i="34" s="1"/>
  <c r="L74" i="36"/>
  <c r="L115" i="34" s="1"/>
  <c r="AB180" i="34"/>
  <c r="Z74" i="36"/>
  <c r="Z115" i="34" s="1"/>
  <c r="AE180" i="34"/>
  <c r="Q74" i="36"/>
  <c r="Q115" i="34" s="1"/>
  <c r="R74" i="36"/>
  <c r="R115" i="34" s="1"/>
  <c r="Y58" i="36"/>
  <c r="Y99" i="34" s="1"/>
  <c r="AD180" i="34"/>
  <c r="H164" i="34"/>
  <c r="I164" i="34"/>
  <c r="Y164" i="34"/>
  <c r="V74" i="36"/>
  <c r="V115" i="34" s="1"/>
  <c r="AG164" i="34"/>
  <c r="V180" i="34"/>
  <c r="AI164" i="34"/>
  <c r="M180" i="34"/>
  <c r="O180" i="34"/>
  <c r="K58" i="36"/>
  <c r="K99" i="34" s="1"/>
  <c r="AG180" i="34"/>
  <c r="L180" i="34"/>
  <c r="V58" i="36"/>
  <c r="V99" i="34" s="1"/>
  <c r="AI180" i="34"/>
  <c r="Y74" i="36"/>
  <c r="Y115" i="34" s="1"/>
  <c r="M164" i="34"/>
  <c r="O164" i="34"/>
  <c r="L58" i="36"/>
  <c r="L99" i="34" s="1"/>
  <c r="O74" i="36"/>
  <c r="O115" i="34" s="1"/>
  <c r="AP45" i="34"/>
  <c r="BP45" i="34"/>
  <c r="AN45" i="34"/>
  <c r="AK45" i="34"/>
  <c r="AY45" i="34"/>
  <c r="BD45" i="34"/>
  <c r="AL45" i="34"/>
  <c r="BB45" i="34"/>
  <c r="AS45" i="34"/>
  <c r="AQ45" i="34"/>
  <c r="AM45" i="34"/>
  <c r="AO45" i="34"/>
  <c r="AR45" i="34"/>
  <c r="AT45" i="34"/>
  <c r="AJ45" i="34"/>
  <c r="AZ45" i="34"/>
  <c r="AU45" i="34"/>
  <c r="BG45" i="34"/>
  <c r="BI45" i="34"/>
  <c r="AX45" i="34"/>
  <c r="BK45" i="34"/>
  <c r="BJ45" i="34"/>
  <c r="BN45" i="34"/>
  <c r="BF45" i="34"/>
  <c r="BO45" i="34"/>
  <c r="BC45" i="34"/>
  <c r="AI45" i="34"/>
  <c r="BA45" i="34"/>
  <c r="BL45" i="34"/>
  <c r="BM45" i="34"/>
  <c r="AW45" i="34"/>
  <c r="AV45" i="34"/>
  <c r="BE45" i="34"/>
  <c r="BH45" i="34"/>
  <c r="J45" i="34"/>
  <c r="AE45" i="34"/>
  <c r="AG45" i="34"/>
  <c r="N45" i="34"/>
  <c r="L45" i="34"/>
  <c r="I45" i="34"/>
  <c r="AA45" i="34"/>
  <c r="R45" i="34"/>
  <c r="P45" i="34"/>
  <c r="H45" i="34"/>
  <c r="V45" i="34"/>
  <c r="T45" i="34"/>
  <c r="Z45" i="34"/>
  <c r="X45" i="34"/>
  <c r="AD45" i="34"/>
  <c r="AB45" i="34"/>
  <c r="AH45" i="34"/>
  <c r="AF45" i="34"/>
  <c r="K45" i="34"/>
  <c r="M45" i="34"/>
  <c r="AC45" i="34"/>
  <c r="O45" i="34"/>
  <c r="Q45" i="34"/>
  <c r="S45" i="34"/>
  <c r="U45" i="34"/>
  <c r="W45" i="34"/>
  <c r="Y45" i="34"/>
  <c r="AN26" i="34"/>
  <c r="AC26" i="34"/>
  <c r="R26" i="34"/>
  <c r="BN26" i="34"/>
  <c r="BC26" i="34"/>
  <c r="AR26" i="34"/>
  <c r="AG26" i="34"/>
  <c r="V26" i="34"/>
  <c r="K26" i="34"/>
  <c r="BG26" i="34"/>
  <c r="AV26" i="34"/>
  <c r="AK26" i="34"/>
  <c r="Z26" i="34"/>
  <c r="O26" i="34"/>
  <c r="BK26" i="34"/>
  <c r="AZ26" i="34"/>
  <c r="AO26" i="34"/>
  <c r="AD26" i="34"/>
  <c r="S26" i="34"/>
  <c r="BO26" i="34"/>
  <c r="BD26" i="34"/>
  <c r="AS26" i="34"/>
  <c r="AH26" i="34"/>
  <c r="W26" i="34"/>
  <c r="H26" i="34"/>
  <c r="L26" i="34"/>
  <c r="BH26" i="34"/>
  <c r="AW26" i="34"/>
  <c r="AL26" i="34"/>
  <c r="AA26" i="34"/>
  <c r="I26" i="34"/>
  <c r="P26" i="34"/>
  <c r="BL26" i="34"/>
  <c r="BA26" i="34"/>
  <c r="AP26" i="34"/>
  <c r="AE26" i="34"/>
  <c r="T26" i="34"/>
  <c r="BP26" i="34"/>
  <c r="BE26" i="34"/>
  <c r="AT26" i="34"/>
  <c r="AI26" i="34"/>
  <c r="X26" i="34"/>
  <c r="M26" i="34"/>
  <c r="BI26" i="34"/>
  <c r="AX26" i="34"/>
  <c r="AM26" i="34"/>
  <c r="AB26" i="34"/>
  <c r="Q26" i="34"/>
  <c r="BM26" i="34"/>
  <c r="BB26" i="34"/>
  <c r="AQ26" i="34"/>
  <c r="AF26" i="34"/>
  <c r="U26" i="34"/>
  <c r="J26" i="34"/>
  <c r="BF26" i="34"/>
  <c r="AU26" i="34"/>
  <c r="Y26" i="34"/>
  <c r="AJ26" i="34"/>
  <c r="N26" i="34"/>
  <c r="BJ26" i="34"/>
  <c r="AY26" i="34"/>
  <c r="N37" i="34"/>
  <c r="X37" i="34"/>
  <c r="R37" i="34"/>
  <c r="AB37" i="34"/>
  <c r="V37" i="34"/>
  <c r="M37" i="34"/>
  <c r="T37" i="34"/>
  <c r="Z37" i="34"/>
  <c r="Q37" i="34"/>
  <c r="J37" i="34"/>
  <c r="K37" i="34"/>
  <c r="U37" i="34"/>
  <c r="O37" i="34"/>
  <c r="Y37" i="34"/>
  <c r="S37" i="34"/>
  <c r="AC37" i="34"/>
  <c r="W37" i="34"/>
  <c r="I37" i="34"/>
  <c r="AA37" i="34"/>
  <c r="H37" i="34"/>
  <c r="L37" i="34"/>
  <c r="P37" i="34"/>
  <c r="X178" i="34"/>
  <c r="Z72" i="36"/>
  <c r="Z113" i="34" s="1"/>
  <c r="O72" i="36"/>
  <c r="O113" i="34" s="1"/>
  <c r="J162" i="34"/>
  <c r="J178" i="34"/>
  <c r="J72" i="36"/>
  <c r="J113" i="34" s="1"/>
  <c r="J56" i="36"/>
  <c r="J97" i="34" s="1"/>
  <c r="R56" i="36"/>
  <c r="R97" i="34" s="1"/>
  <c r="V56" i="36"/>
  <c r="V97" i="34" s="1"/>
  <c r="Q72" i="36"/>
  <c r="Q113" i="34" s="1"/>
  <c r="R178" i="34"/>
  <c r="U178" i="34"/>
  <c r="AB72" i="36"/>
  <c r="AB113" i="34" s="1"/>
  <c r="AA162" i="34"/>
  <c r="S178" i="34"/>
  <c r="V162" i="34"/>
  <c r="V72" i="36"/>
  <c r="V113" i="34" s="1"/>
  <c r="AB162" i="34"/>
  <c r="AC72" i="36"/>
  <c r="AC113" i="34" s="1"/>
  <c r="Z162" i="34"/>
  <c r="R72" i="36"/>
  <c r="R113" i="34" s="1"/>
  <c r="AA178" i="34"/>
  <c r="Z56" i="36"/>
  <c r="Z97" i="34" s="1"/>
  <c r="Z178" i="34"/>
  <c r="P72" i="36"/>
  <c r="P113" i="34" s="1"/>
  <c r="O162" i="34"/>
  <c r="I178" i="34"/>
  <c r="S72" i="36"/>
  <c r="S113" i="34" s="1"/>
  <c r="X56" i="36"/>
  <c r="X97" i="34" s="1"/>
  <c r="N162" i="34"/>
  <c r="P162" i="34"/>
  <c r="T178" i="34"/>
  <c r="O178" i="34"/>
  <c r="I162" i="34"/>
  <c r="X162" i="34"/>
  <c r="W162" i="34"/>
  <c r="P178" i="34"/>
  <c r="AA56" i="36"/>
  <c r="AA97" i="34" s="1"/>
  <c r="X72" i="36"/>
  <c r="X113" i="34" s="1"/>
  <c r="P56" i="36"/>
  <c r="P97" i="34" s="1"/>
  <c r="U56" i="36"/>
  <c r="U97" i="34" s="1"/>
  <c r="L178" i="34"/>
  <c r="L56" i="36"/>
  <c r="L97" i="34" s="1"/>
  <c r="AB178" i="34"/>
  <c r="I56" i="36"/>
  <c r="I97" i="34" s="1"/>
  <c r="L162" i="34"/>
  <c r="Q178" i="34"/>
  <c r="Q162" i="34"/>
  <c r="S56" i="36"/>
  <c r="S97" i="34" s="1"/>
  <c r="K162" i="34"/>
  <c r="K178" i="34"/>
  <c r="AB56" i="36"/>
  <c r="AB97" i="34" s="1"/>
  <c r="U72" i="36"/>
  <c r="U113" i="34" s="1"/>
  <c r="S162" i="34"/>
  <c r="V178" i="34"/>
  <c r="W178" i="34"/>
  <c r="AA72" i="36"/>
  <c r="AA113" i="34" s="1"/>
  <c r="O56" i="36"/>
  <c r="O97" i="34" s="1"/>
  <c r="Q56" i="36"/>
  <c r="Q97" i="34" s="1"/>
  <c r="I72" i="36"/>
  <c r="I113" i="34" s="1"/>
  <c r="R162" i="34"/>
  <c r="L72" i="36"/>
  <c r="L113" i="34" s="1"/>
  <c r="U162" i="34"/>
  <c r="T56" i="36"/>
  <c r="T97" i="34" s="1"/>
  <c r="N178" i="34"/>
  <c r="T72" i="36"/>
  <c r="T113" i="34" s="1"/>
  <c r="AC178" i="34"/>
  <c r="N72" i="36"/>
  <c r="N113" i="34" s="1"/>
  <c r="K56" i="36"/>
  <c r="K97" i="34" s="1"/>
  <c r="N56" i="36"/>
  <c r="N97" i="34" s="1"/>
  <c r="K72" i="36"/>
  <c r="K113" i="34" s="1"/>
  <c r="W72" i="36"/>
  <c r="W113" i="34" s="1"/>
  <c r="W56" i="36"/>
  <c r="W97" i="34" s="1"/>
  <c r="H178" i="34"/>
  <c r="M178" i="34"/>
  <c r="H56" i="36"/>
  <c r="H97" i="34" s="1"/>
  <c r="M56" i="36"/>
  <c r="M97" i="34" s="1"/>
  <c r="H162" i="34"/>
  <c r="M72" i="36"/>
  <c r="M113" i="34" s="1"/>
  <c r="T162" i="34"/>
  <c r="H72" i="36"/>
  <c r="H113" i="34" s="1"/>
  <c r="M162" i="34"/>
  <c r="Y56" i="36"/>
  <c r="Y97" i="34" s="1"/>
  <c r="AC162" i="34"/>
  <c r="Y162" i="34"/>
  <c r="Y72" i="36"/>
  <c r="Y113" i="34" s="1"/>
  <c r="AC56" i="36"/>
  <c r="AC97" i="34" s="1"/>
  <c r="Y178" i="34"/>
  <c r="S24" i="34"/>
  <c r="AC24" i="34"/>
  <c r="J24" i="34"/>
  <c r="T24" i="34"/>
  <c r="O24" i="34"/>
  <c r="H24" i="34"/>
  <c r="W24" i="34"/>
  <c r="AA24" i="34"/>
  <c r="L24" i="34"/>
  <c r="P24" i="34"/>
  <c r="X24" i="34"/>
  <c r="AB24" i="34"/>
  <c r="N24" i="34"/>
  <c r="M24" i="34"/>
  <c r="R24" i="34"/>
  <c r="Q24" i="34"/>
  <c r="I24" i="34"/>
  <c r="V24" i="34"/>
  <c r="U24" i="34"/>
  <c r="K24" i="34"/>
  <c r="Z24" i="34"/>
  <c r="Y24" i="34"/>
  <c r="AG75" i="36"/>
  <c r="AD59" i="36"/>
  <c r="AE75" i="36"/>
  <c r="AI59" i="36"/>
  <c r="AH75" i="36"/>
  <c r="AE59" i="36"/>
  <c r="AI75" i="36"/>
  <c r="AH59" i="36"/>
  <c r="AD75" i="36"/>
  <c r="AF59" i="36"/>
  <c r="AG59" i="36"/>
  <c r="AF75" i="36"/>
  <c r="BM75" i="36"/>
  <c r="AO59" i="36"/>
  <c r="BD75" i="36"/>
  <c r="BO75" i="36"/>
  <c r="BC75" i="36"/>
  <c r="AQ75" i="36"/>
  <c r="BA75" i="36"/>
  <c r="AZ75" i="36"/>
  <c r="BJ59" i="36"/>
  <c r="AX75" i="36"/>
  <c r="AL59" i="36"/>
  <c r="AW75" i="36"/>
  <c r="BG59" i="36"/>
  <c r="AU59" i="36"/>
  <c r="BN59" i="36"/>
  <c r="BN165" i="34"/>
  <c r="BM59" i="36"/>
  <c r="AO75" i="36"/>
  <c r="BD59" i="36"/>
  <c r="BO59" i="36"/>
  <c r="BC59" i="36"/>
  <c r="AQ59" i="36"/>
  <c r="BA59" i="36"/>
  <c r="AZ59" i="36"/>
  <c r="BJ75" i="36"/>
  <c r="AX59" i="36"/>
  <c r="AL75" i="36"/>
  <c r="AN59" i="36"/>
  <c r="BH59" i="36"/>
  <c r="BM165" i="34"/>
  <c r="AO181" i="34"/>
  <c r="BD181" i="34"/>
  <c r="BO165" i="34"/>
  <c r="BC165" i="34"/>
  <c r="AQ181" i="34"/>
  <c r="BA165" i="34"/>
  <c r="AZ165" i="34"/>
  <c r="BJ165" i="34"/>
  <c r="AX165" i="34"/>
  <c r="AL181" i="34"/>
  <c r="BF181" i="34"/>
  <c r="BB59" i="36"/>
  <c r="BL181" i="34"/>
  <c r="BG181" i="34"/>
  <c r="BI181" i="34"/>
  <c r="AP165" i="34"/>
  <c r="BM181" i="34"/>
  <c r="AO165" i="34"/>
  <c r="BD165" i="34"/>
  <c r="BO181" i="34"/>
  <c r="BC181" i="34"/>
  <c r="AQ165" i="34"/>
  <c r="BA181" i="34"/>
  <c r="AZ181" i="34"/>
  <c r="BJ181" i="34"/>
  <c r="AX181" i="34"/>
  <c r="AL165" i="34"/>
  <c r="BL59" i="36"/>
  <c r="BH181" i="34"/>
  <c r="BE59" i="36"/>
  <c r="AV75" i="36"/>
  <c r="BK75" i="36"/>
  <c r="AY59" i="36"/>
  <c r="AM75" i="36"/>
  <c r="AS75" i="36"/>
  <c r="BP75" i="36"/>
  <c r="AR75" i="36"/>
  <c r="BF75" i="36"/>
  <c r="AT75" i="36"/>
  <c r="AK59" i="36"/>
  <c r="AP59" i="36"/>
  <c r="AK165" i="34"/>
  <c r="BE75" i="36"/>
  <c r="AV59" i="36"/>
  <c r="BK59" i="36"/>
  <c r="AY75" i="36"/>
  <c r="AM59" i="36"/>
  <c r="AS59" i="36"/>
  <c r="BP59" i="36"/>
  <c r="AR59" i="36"/>
  <c r="BF59" i="36"/>
  <c r="AT59" i="36"/>
  <c r="AT181" i="34"/>
  <c r="BI59" i="36"/>
  <c r="AN181" i="34"/>
  <c r="BE165" i="34"/>
  <c r="AV165" i="34"/>
  <c r="BK181" i="34"/>
  <c r="AY181" i="34"/>
  <c r="AM165" i="34"/>
  <c r="AS181" i="34"/>
  <c r="BP165" i="34"/>
  <c r="AR181" i="34"/>
  <c r="BE181" i="34"/>
  <c r="AV181" i="34"/>
  <c r="BK165" i="34"/>
  <c r="AY165" i="34"/>
  <c r="AM181" i="34"/>
  <c r="AS165" i="34"/>
  <c r="BP181" i="34"/>
  <c r="AR165" i="34"/>
  <c r="BF165" i="34"/>
  <c r="AT165" i="34"/>
  <c r="AJ59" i="36"/>
  <c r="AW181" i="34"/>
  <c r="AU181" i="34"/>
  <c r="BB165" i="34"/>
  <c r="AW59" i="36"/>
  <c r="BL75" i="36"/>
  <c r="AN75" i="36"/>
  <c r="BG75" i="36"/>
  <c r="AU75" i="36"/>
  <c r="BI75" i="36"/>
  <c r="AK75" i="36"/>
  <c r="BH75" i="36"/>
  <c r="AJ75" i="36"/>
  <c r="BN75" i="36"/>
  <c r="BB75" i="36"/>
  <c r="AP75" i="36"/>
  <c r="AW165" i="34"/>
  <c r="BL165" i="34"/>
  <c r="AN165" i="34"/>
  <c r="BG165" i="34"/>
  <c r="AU165" i="34"/>
  <c r="BI165" i="34"/>
  <c r="AK181" i="34"/>
  <c r="BH165" i="34"/>
  <c r="AJ165" i="34"/>
  <c r="BN181" i="34"/>
  <c r="BB181" i="34"/>
  <c r="AP181" i="34"/>
  <c r="AJ181" i="34"/>
  <c r="M75" i="36"/>
  <c r="M116" i="34" s="1"/>
  <c r="AI181" i="34"/>
  <c r="Z165" i="34"/>
  <c r="V59" i="36"/>
  <c r="V100" i="34" s="1"/>
  <c r="AD165" i="34"/>
  <c r="I181" i="34"/>
  <c r="P165" i="34"/>
  <c r="Q165" i="34"/>
  <c r="H59" i="36"/>
  <c r="H100" i="34" s="1"/>
  <c r="AA59" i="36"/>
  <c r="AA100" i="34" s="1"/>
  <c r="Z59" i="36"/>
  <c r="Z100" i="34" s="1"/>
  <c r="M59" i="36"/>
  <c r="M100" i="34" s="1"/>
  <c r="AI165" i="34"/>
  <c r="Z75" i="36"/>
  <c r="Z116" i="34" s="1"/>
  <c r="V165" i="34"/>
  <c r="AD181" i="34"/>
  <c r="I165" i="34"/>
  <c r="P181" i="34"/>
  <c r="Q59" i="36"/>
  <c r="Q100" i="34" s="1"/>
  <c r="X75" i="36"/>
  <c r="X116" i="34" s="1"/>
  <c r="W181" i="34"/>
  <c r="S75" i="36"/>
  <c r="S116" i="34" s="1"/>
  <c r="K59" i="36"/>
  <c r="K100" i="34" s="1"/>
  <c r="AC59" i="36"/>
  <c r="AC100" i="34" s="1"/>
  <c r="AF181" i="34"/>
  <c r="I75" i="36"/>
  <c r="I116" i="34" s="1"/>
  <c r="AB181" i="34"/>
  <c r="L165" i="34"/>
  <c r="U181" i="34"/>
  <c r="N165" i="34"/>
  <c r="W75" i="36"/>
  <c r="W116" i="34" s="1"/>
  <c r="S181" i="34"/>
  <c r="K181" i="34"/>
  <c r="AC75" i="36"/>
  <c r="AC116" i="34" s="1"/>
  <c r="AF165" i="34"/>
  <c r="I59" i="36"/>
  <c r="I100" i="34" s="1"/>
  <c r="AB165" i="34"/>
  <c r="L75" i="36"/>
  <c r="L116" i="34" s="1"/>
  <c r="T75" i="36"/>
  <c r="T116" i="34" s="1"/>
  <c r="J59" i="36"/>
  <c r="J100" i="34" s="1"/>
  <c r="Q181" i="34"/>
  <c r="W165" i="34"/>
  <c r="S59" i="36"/>
  <c r="S100" i="34" s="1"/>
  <c r="K75" i="36"/>
  <c r="K116" i="34" s="1"/>
  <c r="AC165" i="34"/>
  <c r="Y181" i="34"/>
  <c r="O75" i="36"/>
  <c r="O116" i="34" s="1"/>
  <c r="AB75" i="36"/>
  <c r="AB116" i="34" s="1"/>
  <c r="L59" i="36"/>
  <c r="L100" i="34" s="1"/>
  <c r="AA75" i="36"/>
  <c r="AA116" i="34" s="1"/>
  <c r="W59" i="36"/>
  <c r="W100" i="34" s="1"/>
  <c r="S165" i="34"/>
  <c r="K165" i="34"/>
  <c r="AC181" i="34"/>
  <c r="Y59" i="36"/>
  <c r="Y100" i="34" s="1"/>
  <c r="O165" i="34"/>
  <c r="AB59" i="36"/>
  <c r="AB100" i="34" s="1"/>
  <c r="L181" i="34"/>
  <c r="H181" i="34"/>
  <c r="AH181" i="34"/>
  <c r="T165" i="34"/>
  <c r="AE181" i="34"/>
  <c r="Y165" i="34"/>
  <c r="O59" i="36"/>
  <c r="O100" i="34" s="1"/>
  <c r="U165" i="34"/>
  <c r="AG165" i="34"/>
  <c r="V181" i="34"/>
  <c r="R181" i="34"/>
  <c r="X165" i="34"/>
  <c r="R165" i="34"/>
  <c r="P59" i="36"/>
  <c r="P100" i="34" s="1"/>
  <c r="H75" i="36"/>
  <c r="H116" i="34" s="1"/>
  <c r="AH165" i="34"/>
  <c r="T59" i="36"/>
  <c r="T100" i="34" s="1"/>
  <c r="R75" i="36"/>
  <c r="R116" i="34" s="1"/>
  <c r="AE165" i="34"/>
  <c r="Y75" i="36"/>
  <c r="Y116" i="34" s="1"/>
  <c r="O181" i="34"/>
  <c r="X59" i="36"/>
  <c r="X100" i="34" s="1"/>
  <c r="U75" i="36"/>
  <c r="U116" i="34" s="1"/>
  <c r="J165" i="34"/>
  <c r="H165" i="34"/>
  <c r="N181" i="34"/>
  <c r="T181" i="34"/>
  <c r="R59" i="36"/>
  <c r="R100" i="34" s="1"/>
  <c r="AA165" i="34"/>
  <c r="J75" i="36"/>
  <c r="J116" i="34" s="1"/>
  <c r="AG181" i="34"/>
  <c r="X181" i="34"/>
  <c r="U59" i="36"/>
  <c r="U100" i="34" s="1"/>
  <c r="N75" i="36"/>
  <c r="N116" i="34" s="1"/>
  <c r="M181" i="34"/>
  <c r="N59" i="36"/>
  <c r="N100" i="34" s="1"/>
  <c r="Z181" i="34"/>
  <c r="V75" i="36"/>
  <c r="V116" i="34" s="1"/>
  <c r="AA181" i="34"/>
  <c r="J181" i="34"/>
  <c r="P75" i="36"/>
  <c r="P116" i="34" s="1"/>
  <c r="Q75" i="36"/>
  <c r="Q116" i="34" s="1"/>
  <c r="M165" i="34"/>
  <c r="Q157" i="34"/>
  <c r="Z51" i="36"/>
  <c r="Z92" i="34" s="1"/>
  <c r="S157" i="34"/>
  <c r="N67" i="36"/>
  <c r="N108" i="34" s="1"/>
  <c r="V67" i="36"/>
  <c r="V108" i="34" s="1"/>
  <c r="W51" i="36"/>
  <c r="W92" i="34" s="1"/>
  <c r="L173" i="34"/>
  <c r="AB51" i="36"/>
  <c r="AB92" i="34" s="1"/>
  <c r="I157" i="34"/>
  <c r="O173" i="34"/>
  <c r="Q173" i="34"/>
  <c r="I67" i="36"/>
  <c r="I108" i="34" s="1"/>
  <c r="O67" i="36"/>
  <c r="O108" i="34" s="1"/>
  <c r="P51" i="36"/>
  <c r="P92" i="34" s="1"/>
  <c r="K67" i="36"/>
  <c r="K108" i="34" s="1"/>
  <c r="Y173" i="34"/>
  <c r="AC173" i="34"/>
  <c r="W67" i="36"/>
  <c r="W108" i="34" s="1"/>
  <c r="AA157" i="34"/>
  <c r="P173" i="34"/>
  <c r="K157" i="34"/>
  <c r="Y51" i="36"/>
  <c r="Y92" i="34" s="1"/>
  <c r="S51" i="36"/>
  <c r="S92" i="34" s="1"/>
  <c r="Z67" i="36"/>
  <c r="Z108" i="34" s="1"/>
  <c r="AA51" i="36"/>
  <c r="AA92" i="34" s="1"/>
  <c r="P67" i="36"/>
  <c r="P108" i="34" s="1"/>
  <c r="K51" i="36"/>
  <c r="K92" i="34" s="1"/>
  <c r="Y67" i="36"/>
  <c r="Y108" i="34" s="1"/>
  <c r="AC157" i="34"/>
  <c r="AC67" i="36"/>
  <c r="AC108" i="34" s="1"/>
  <c r="N157" i="34"/>
  <c r="H51" i="36"/>
  <c r="H92" i="34" s="1"/>
  <c r="AB67" i="36"/>
  <c r="AB108" i="34" s="1"/>
  <c r="L51" i="36"/>
  <c r="L92" i="34" s="1"/>
  <c r="AB157" i="34"/>
  <c r="V51" i="36"/>
  <c r="V92" i="34" s="1"/>
  <c r="P157" i="34"/>
  <c r="K173" i="34"/>
  <c r="Y157" i="34"/>
  <c r="AC51" i="36"/>
  <c r="AC92" i="34" s="1"/>
  <c r="Q67" i="36"/>
  <c r="Q108" i="34" s="1"/>
  <c r="L157" i="34"/>
  <c r="S173" i="34"/>
  <c r="AA67" i="36"/>
  <c r="AA108" i="34" s="1"/>
  <c r="J157" i="34"/>
  <c r="R173" i="34"/>
  <c r="T173" i="34"/>
  <c r="X67" i="36"/>
  <c r="X108" i="34" s="1"/>
  <c r="Q51" i="36"/>
  <c r="Q92" i="34" s="1"/>
  <c r="O157" i="34"/>
  <c r="I51" i="36"/>
  <c r="I92" i="34" s="1"/>
  <c r="Z173" i="34"/>
  <c r="N173" i="34"/>
  <c r="J51" i="36"/>
  <c r="J92" i="34" s="1"/>
  <c r="R157" i="34"/>
  <c r="T67" i="36"/>
  <c r="T108" i="34" s="1"/>
  <c r="X51" i="36"/>
  <c r="X92" i="34" s="1"/>
  <c r="W157" i="34"/>
  <c r="AA173" i="34"/>
  <c r="J173" i="34"/>
  <c r="T51" i="36"/>
  <c r="T92" i="34" s="1"/>
  <c r="X157" i="34"/>
  <c r="H67" i="36"/>
  <c r="H108" i="34" s="1"/>
  <c r="L67" i="36"/>
  <c r="L108" i="34" s="1"/>
  <c r="U67" i="36"/>
  <c r="U108" i="34" s="1"/>
  <c r="I173" i="34"/>
  <c r="R51" i="36"/>
  <c r="R92" i="34" s="1"/>
  <c r="AB173" i="34"/>
  <c r="V173" i="34"/>
  <c r="J67" i="36"/>
  <c r="J108" i="34" s="1"/>
  <c r="R67" i="36"/>
  <c r="R108" i="34" s="1"/>
  <c r="T157" i="34"/>
  <c r="X173" i="34"/>
  <c r="M67" i="36"/>
  <c r="M108" i="34" s="1"/>
  <c r="Z157" i="34"/>
  <c r="S67" i="36"/>
  <c r="S108" i="34" s="1"/>
  <c r="N51" i="36"/>
  <c r="N92" i="34" s="1"/>
  <c r="M173" i="34"/>
  <c r="U157" i="34"/>
  <c r="H173" i="34"/>
  <c r="U51" i="36"/>
  <c r="U92" i="34" s="1"/>
  <c r="W173" i="34"/>
  <c r="O51" i="36"/>
  <c r="O92" i="34" s="1"/>
  <c r="V157" i="34"/>
  <c r="M157" i="34"/>
  <c r="U173" i="34"/>
  <c r="H157" i="34"/>
  <c r="M51" i="36"/>
  <c r="M92" i="34" s="1"/>
  <c r="Q11" i="34"/>
  <c r="W11" i="34"/>
  <c r="N11" i="34"/>
  <c r="X11" i="34"/>
  <c r="S11" i="34"/>
  <c r="AA11" i="34"/>
  <c r="M11" i="34"/>
  <c r="L11" i="34"/>
  <c r="U11" i="34"/>
  <c r="P11" i="34"/>
  <c r="Y11" i="34"/>
  <c r="T11" i="34"/>
  <c r="AC11" i="34"/>
  <c r="AB11" i="34"/>
  <c r="J11" i="34"/>
  <c r="I11" i="34"/>
  <c r="R11" i="34"/>
  <c r="H11" i="34"/>
  <c r="V11" i="34"/>
  <c r="Z11" i="34"/>
  <c r="O11" i="34"/>
  <c r="K11" i="34"/>
  <c r="P43" i="34"/>
  <c r="N43" i="34"/>
  <c r="T43" i="34"/>
  <c r="V43" i="34"/>
  <c r="X43" i="34"/>
  <c r="Q43" i="34"/>
  <c r="AB43" i="34"/>
  <c r="Y43" i="34"/>
  <c r="K43" i="34"/>
  <c r="J43" i="34"/>
  <c r="O43" i="34"/>
  <c r="R43" i="34"/>
  <c r="S43" i="34"/>
  <c r="Z43" i="34"/>
  <c r="W43" i="34"/>
  <c r="I43" i="34"/>
  <c r="AA43" i="34"/>
  <c r="H43" i="34"/>
  <c r="M43" i="34"/>
  <c r="U43" i="34"/>
  <c r="L43" i="34"/>
  <c r="AC43" i="34"/>
  <c r="Q36" i="34"/>
  <c r="W36" i="34"/>
  <c r="U36" i="34"/>
  <c r="AA36" i="34"/>
  <c r="Y36" i="34"/>
  <c r="L36" i="34"/>
  <c r="AC36" i="34"/>
  <c r="P36" i="34"/>
  <c r="J36" i="34"/>
  <c r="T36" i="34"/>
  <c r="N36" i="34"/>
  <c r="X36" i="34"/>
  <c r="V36" i="34"/>
  <c r="I36" i="34"/>
  <c r="Z36" i="34"/>
  <c r="H36" i="34"/>
  <c r="K36" i="34"/>
  <c r="O36" i="34"/>
  <c r="M36" i="34"/>
  <c r="R36" i="34"/>
  <c r="S36" i="34"/>
  <c r="AB36" i="34"/>
  <c r="K57" i="36"/>
  <c r="K98" i="34" s="1"/>
  <c r="V57" i="36"/>
  <c r="V98" i="34" s="1"/>
  <c r="H179" i="34"/>
  <c r="AA57" i="36"/>
  <c r="AA98" i="34" s="1"/>
  <c r="AA73" i="36"/>
  <c r="AA114" i="34" s="1"/>
  <c r="Z163" i="34"/>
  <c r="V73" i="36"/>
  <c r="V114" i="34" s="1"/>
  <c r="H57" i="36"/>
  <c r="H98" i="34" s="1"/>
  <c r="AA163" i="34"/>
  <c r="H73" i="36"/>
  <c r="H114" i="34" s="1"/>
  <c r="N73" i="36"/>
  <c r="N114" i="34" s="1"/>
  <c r="Z73" i="36"/>
  <c r="Z114" i="34" s="1"/>
  <c r="J179" i="34"/>
  <c r="T179" i="34"/>
  <c r="Z179" i="34"/>
  <c r="J57" i="36"/>
  <c r="J98" i="34" s="1"/>
  <c r="T57" i="36"/>
  <c r="T98" i="34" s="1"/>
  <c r="V163" i="34"/>
  <c r="N179" i="34"/>
  <c r="AB73" i="36"/>
  <c r="AB114" i="34" s="1"/>
  <c r="Z57" i="36"/>
  <c r="Z98" i="34" s="1"/>
  <c r="J163" i="34"/>
  <c r="T73" i="36"/>
  <c r="T114" i="34" s="1"/>
  <c r="W179" i="34"/>
  <c r="N163" i="34"/>
  <c r="AB179" i="34"/>
  <c r="W57" i="36"/>
  <c r="W98" i="34" s="1"/>
  <c r="J73" i="36"/>
  <c r="J114" i="34" s="1"/>
  <c r="T163" i="34"/>
  <c r="K179" i="34"/>
  <c r="AB163" i="34"/>
  <c r="R163" i="34"/>
  <c r="P57" i="36"/>
  <c r="P98" i="34" s="1"/>
  <c r="X57" i="36"/>
  <c r="X98" i="34" s="1"/>
  <c r="AB57" i="36"/>
  <c r="AB98" i="34" s="1"/>
  <c r="R57" i="36"/>
  <c r="R98" i="34" s="1"/>
  <c r="P163" i="34"/>
  <c r="X73" i="36"/>
  <c r="X114" i="34" s="1"/>
  <c r="AC179" i="34"/>
  <c r="K73" i="36"/>
  <c r="K114" i="34" s="1"/>
  <c r="R179" i="34"/>
  <c r="P73" i="36"/>
  <c r="P114" i="34" s="1"/>
  <c r="X163" i="34"/>
  <c r="AC163" i="34"/>
  <c r="R73" i="36"/>
  <c r="R114" i="34" s="1"/>
  <c r="P179" i="34"/>
  <c r="X179" i="34"/>
  <c r="AC73" i="36"/>
  <c r="AC114" i="34" s="1"/>
  <c r="N57" i="36"/>
  <c r="N98" i="34" s="1"/>
  <c r="V179" i="34"/>
  <c r="H163" i="34"/>
  <c r="AA179" i="34"/>
  <c r="AC57" i="36"/>
  <c r="AC98" i="34" s="1"/>
  <c r="K163" i="34"/>
  <c r="Y73" i="36"/>
  <c r="Y114" i="34" s="1"/>
  <c r="Y163" i="34"/>
  <c r="Y179" i="34"/>
  <c r="U73" i="36"/>
  <c r="U114" i="34" s="1"/>
  <c r="Y57" i="36"/>
  <c r="Y98" i="34" s="1"/>
  <c r="W163" i="34"/>
  <c r="W73" i="36"/>
  <c r="W114" i="34" s="1"/>
  <c r="U57" i="36"/>
  <c r="U98" i="34" s="1"/>
  <c r="I179" i="34"/>
  <c r="M57" i="36"/>
  <c r="M98" i="34" s="1"/>
  <c r="I57" i="36"/>
  <c r="I98" i="34" s="1"/>
  <c r="I73" i="36"/>
  <c r="I114" i="34" s="1"/>
  <c r="S179" i="34"/>
  <c r="L163" i="34"/>
  <c r="S57" i="36"/>
  <c r="S98" i="34" s="1"/>
  <c r="L73" i="36"/>
  <c r="L114" i="34" s="1"/>
  <c r="M73" i="36"/>
  <c r="M114" i="34" s="1"/>
  <c r="S73" i="36"/>
  <c r="S114" i="34" s="1"/>
  <c r="L179" i="34"/>
  <c r="S163" i="34"/>
  <c r="L57" i="36"/>
  <c r="L98" i="34" s="1"/>
  <c r="O179" i="34"/>
  <c r="Q57" i="36"/>
  <c r="Q98" i="34" s="1"/>
  <c r="Q179" i="34"/>
  <c r="O57" i="36"/>
  <c r="O98" i="34" s="1"/>
  <c r="M163" i="34"/>
  <c r="O73" i="36"/>
  <c r="O114" i="34" s="1"/>
  <c r="Q163" i="34"/>
  <c r="O163" i="34"/>
  <c r="Q73" i="36"/>
  <c r="Q114" i="34" s="1"/>
  <c r="U163" i="34"/>
  <c r="I163" i="34"/>
  <c r="M179" i="34"/>
  <c r="U179" i="34"/>
  <c r="R156" i="34"/>
  <c r="V156" i="34"/>
  <c r="K156" i="34"/>
  <c r="AB156" i="34"/>
  <c r="Q50" i="36"/>
  <c r="Q91" i="34" s="1"/>
  <c r="X66" i="36"/>
  <c r="X107" i="34" s="1"/>
  <c r="H156" i="34"/>
  <c r="AB50" i="36"/>
  <c r="AB91" i="34" s="1"/>
  <c r="R66" i="36"/>
  <c r="R107" i="34" s="1"/>
  <c r="V172" i="34"/>
  <c r="K50" i="36"/>
  <c r="K91" i="34" s="1"/>
  <c r="AB66" i="36"/>
  <c r="AB107" i="34" s="1"/>
  <c r="Q66" i="36"/>
  <c r="Q107" i="34" s="1"/>
  <c r="X50" i="36"/>
  <c r="X91" i="34" s="1"/>
  <c r="H172" i="34"/>
  <c r="X156" i="34"/>
  <c r="O172" i="34"/>
  <c r="S172" i="34"/>
  <c r="J156" i="34"/>
  <c r="AA156" i="34"/>
  <c r="L50" i="36"/>
  <c r="L91" i="34" s="1"/>
  <c r="AC50" i="36"/>
  <c r="AC91" i="34" s="1"/>
  <c r="T50" i="36"/>
  <c r="T91" i="34" s="1"/>
  <c r="V66" i="36"/>
  <c r="V107" i="34" s="1"/>
  <c r="O66" i="36"/>
  <c r="O107" i="34" s="1"/>
  <c r="S156" i="34"/>
  <c r="J66" i="36"/>
  <c r="J107" i="34" s="1"/>
  <c r="AA172" i="34"/>
  <c r="L156" i="34"/>
  <c r="AC66" i="36"/>
  <c r="AC107" i="34" s="1"/>
  <c r="T172" i="34"/>
  <c r="Q172" i="34"/>
  <c r="Y50" i="36"/>
  <c r="Y91" i="34" s="1"/>
  <c r="O156" i="34"/>
  <c r="S66" i="36"/>
  <c r="S107" i="34" s="1"/>
  <c r="J50" i="36"/>
  <c r="J91" i="34" s="1"/>
  <c r="AA50" i="36"/>
  <c r="AA91" i="34" s="1"/>
  <c r="L66" i="36"/>
  <c r="L107" i="34" s="1"/>
  <c r="AC156" i="34"/>
  <c r="T66" i="36"/>
  <c r="T107" i="34" s="1"/>
  <c r="U156" i="34"/>
  <c r="Y172" i="34"/>
  <c r="O50" i="36"/>
  <c r="O91" i="34" s="1"/>
  <c r="S50" i="36"/>
  <c r="S91" i="34" s="1"/>
  <c r="J172" i="34"/>
  <c r="AA66" i="36"/>
  <c r="AA107" i="34" s="1"/>
  <c r="L172" i="34"/>
  <c r="AC172" i="34"/>
  <c r="T156" i="34"/>
  <c r="Y66" i="36"/>
  <c r="Y107" i="34" s="1"/>
  <c r="I50" i="36"/>
  <c r="I91" i="34" s="1"/>
  <c r="Z156" i="34"/>
  <c r="P172" i="34"/>
  <c r="W172" i="34"/>
  <c r="N172" i="34"/>
  <c r="M66" i="36"/>
  <c r="M107" i="34" s="1"/>
  <c r="R172" i="34"/>
  <c r="Y156" i="34"/>
  <c r="I66" i="36"/>
  <c r="I107" i="34" s="1"/>
  <c r="Z66" i="36"/>
  <c r="Z107" i="34" s="1"/>
  <c r="P50" i="36"/>
  <c r="P91" i="34" s="1"/>
  <c r="W156" i="34"/>
  <c r="N50" i="36"/>
  <c r="N91" i="34" s="1"/>
  <c r="M156" i="34"/>
  <c r="K66" i="36"/>
  <c r="K107" i="34" s="1"/>
  <c r="U50" i="36"/>
  <c r="U91" i="34" s="1"/>
  <c r="I172" i="34"/>
  <c r="Z50" i="36"/>
  <c r="Z91" i="34" s="1"/>
  <c r="P156" i="34"/>
  <c r="W66" i="36"/>
  <c r="W107" i="34" s="1"/>
  <c r="N156" i="34"/>
  <c r="M172" i="34"/>
  <c r="H66" i="36"/>
  <c r="H107" i="34" s="1"/>
  <c r="U172" i="34"/>
  <c r="I156" i="34"/>
  <c r="Z172" i="34"/>
  <c r="P66" i="36"/>
  <c r="P107" i="34" s="1"/>
  <c r="W50" i="36"/>
  <c r="W91" i="34" s="1"/>
  <c r="N66" i="36"/>
  <c r="N107" i="34" s="1"/>
  <c r="M50" i="36"/>
  <c r="M91" i="34" s="1"/>
  <c r="U66" i="36"/>
  <c r="U107" i="34" s="1"/>
  <c r="V50" i="36"/>
  <c r="V91" i="34" s="1"/>
  <c r="K172" i="34"/>
  <c r="AB172" i="34"/>
  <c r="Q156" i="34"/>
  <c r="X172" i="34"/>
  <c r="H50" i="36"/>
  <c r="H91" i="34" s="1"/>
  <c r="R50" i="36"/>
  <c r="R91" i="34" s="1"/>
  <c r="AR40" i="34"/>
  <c r="AJ40" i="34"/>
  <c r="AT40" i="34"/>
  <c r="AN40" i="34"/>
  <c r="AI40" i="34"/>
  <c r="AS40" i="34"/>
  <c r="AM40" i="34"/>
  <c r="BB40" i="34"/>
  <c r="BO40" i="34"/>
  <c r="AO40" i="34"/>
  <c r="BC40" i="34"/>
  <c r="BM40" i="34"/>
  <c r="BF40" i="34"/>
  <c r="BJ40" i="34"/>
  <c r="BI40" i="34"/>
  <c r="AV40" i="34"/>
  <c r="AZ40" i="34"/>
  <c r="BG40" i="34"/>
  <c r="BD40" i="34"/>
  <c r="AU40" i="34"/>
  <c r="AL40" i="34"/>
  <c r="BA40" i="34"/>
  <c r="AW40" i="34"/>
  <c r="AX40" i="34"/>
  <c r="BH40" i="34"/>
  <c r="BK40" i="34"/>
  <c r="BL40" i="34"/>
  <c r="BP40" i="34"/>
  <c r="AQ40" i="34"/>
  <c r="AY40" i="34"/>
  <c r="AK40" i="34"/>
  <c r="BN40" i="34"/>
  <c r="BE40" i="34"/>
  <c r="AP40" i="34"/>
  <c r="Y40" i="34"/>
  <c r="S40" i="34"/>
  <c r="AC40" i="34"/>
  <c r="W40" i="34"/>
  <c r="AG40" i="34"/>
  <c r="AA40" i="34"/>
  <c r="J40" i="34"/>
  <c r="AE40" i="34"/>
  <c r="N40" i="34"/>
  <c r="L40" i="34"/>
  <c r="R40" i="34"/>
  <c r="P40" i="34"/>
  <c r="Z40" i="34"/>
  <c r="X40" i="34"/>
  <c r="AD40" i="34"/>
  <c r="AB40" i="34"/>
  <c r="M40" i="34"/>
  <c r="AH40" i="34"/>
  <c r="AF40" i="34"/>
  <c r="Q40" i="34"/>
  <c r="K40" i="34"/>
  <c r="H40" i="34"/>
  <c r="U40" i="34"/>
  <c r="V40" i="34"/>
  <c r="O40" i="34"/>
  <c r="T40" i="34"/>
  <c r="I40" i="34"/>
  <c r="AD70" i="36"/>
  <c r="AI54" i="36"/>
  <c r="AF70" i="36"/>
  <c r="AD54" i="36"/>
  <c r="AE54" i="36"/>
  <c r="AH54" i="36"/>
  <c r="AG70" i="36"/>
  <c r="AH70" i="36"/>
  <c r="AI70" i="36"/>
  <c r="AF54" i="36"/>
  <c r="AE70" i="36"/>
  <c r="AG54" i="36"/>
  <c r="BF160" i="34"/>
  <c r="BI176" i="34"/>
  <c r="AK176" i="34"/>
  <c r="AM160" i="34"/>
  <c r="AW176" i="34"/>
  <c r="BL160" i="34"/>
  <c r="AZ176" i="34"/>
  <c r="AN176" i="34"/>
  <c r="AY176" i="34"/>
  <c r="BJ160" i="34"/>
  <c r="AT160" i="34"/>
  <c r="AT176" i="34"/>
  <c r="AO54" i="36"/>
  <c r="AQ54" i="36"/>
  <c r="AP176" i="34"/>
  <c r="BP54" i="36"/>
  <c r="BN70" i="36"/>
  <c r="BN54" i="36"/>
  <c r="BP160" i="34"/>
  <c r="BE176" i="34"/>
  <c r="BL70" i="36"/>
  <c r="AT70" i="36"/>
  <c r="AW54" i="36"/>
  <c r="AN54" i="36"/>
  <c r="BI160" i="34"/>
  <c r="AK160" i="34"/>
  <c r="AM176" i="34"/>
  <c r="AW160" i="34"/>
  <c r="BL176" i="34"/>
  <c r="AZ160" i="34"/>
  <c r="AN160" i="34"/>
  <c r="AY160" i="34"/>
  <c r="BJ176" i="34"/>
  <c r="BH54" i="36"/>
  <c r="AJ70" i="36"/>
  <c r="AP54" i="36"/>
  <c r="AS70" i="36"/>
  <c r="BK54" i="36"/>
  <c r="BD54" i="36"/>
  <c r="BD160" i="34"/>
  <c r="AS160" i="34"/>
  <c r="AY70" i="36"/>
  <c r="AK54" i="36"/>
  <c r="BJ54" i="36"/>
  <c r="BG70" i="36"/>
  <c r="BA70" i="36"/>
  <c r="BO70" i="36"/>
  <c r="BM70" i="36"/>
  <c r="AO70" i="36"/>
  <c r="BH70" i="36"/>
  <c r="AV70" i="36"/>
  <c r="AJ54" i="36"/>
  <c r="AQ70" i="36"/>
  <c r="BB70" i="36"/>
  <c r="AP70" i="36"/>
  <c r="AV54" i="36"/>
  <c r="BC54" i="36"/>
  <c r="BC160" i="34"/>
  <c r="BN176" i="34"/>
  <c r="AL176" i="34"/>
  <c r="AK70" i="36"/>
  <c r="BG54" i="36"/>
  <c r="BA54" i="36"/>
  <c r="BO54" i="36"/>
  <c r="BM54" i="36"/>
  <c r="BB54" i="36"/>
  <c r="AR54" i="36"/>
  <c r="BK70" i="36"/>
  <c r="BN160" i="34"/>
  <c r="BC176" i="34"/>
  <c r="AN70" i="36"/>
  <c r="AM54" i="36"/>
  <c r="BG160" i="34"/>
  <c r="BA176" i="34"/>
  <c r="BO160" i="34"/>
  <c r="BM176" i="34"/>
  <c r="AO160" i="34"/>
  <c r="BH160" i="34"/>
  <c r="AV176" i="34"/>
  <c r="AJ160" i="34"/>
  <c r="AQ160" i="34"/>
  <c r="BB160" i="34"/>
  <c r="AP160" i="34"/>
  <c r="BH176" i="34"/>
  <c r="AQ176" i="34"/>
  <c r="BE54" i="36"/>
  <c r="AL70" i="36"/>
  <c r="AX54" i="36"/>
  <c r="BE160" i="34"/>
  <c r="BP176" i="34"/>
  <c r="AX176" i="34"/>
  <c r="AW70" i="36"/>
  <c r="BI54" i="36"/>
  <c r="BG176" i="34"/>
  <c r="BA160" i="34"/>
  <c r="BO176" i="34"/>
  <c r="BM160" i="34"/>
  <c r="AO176" i="34"/>
  <c r="AV160" i="34"/>
  <c r="AJ176" i="34"/>
  <c r="BB176" i="34"/>
  <c r="BD70" i="36"/>
  <c r="AX70" i="36"/>
  <c r="AR70" i="36"/>
  <c r="AR160" i="34"/>
  <c r="AL160" i="34"/>
  <c r="AR176" i="34"/>
  <c r="BI70" i="36"/>
  <c r="AT54" i="36"/>
  <c r="AU54" i="36"/>
  <c r="AU176" i="34"/>
  <c r="AZ54" i="36"/>
  <c r="AU70" i="36"/>
  <c r="AS54" i="36"/>
  <c r="BC70" i="36"/>
  <c r="BE70" i="36"/>
  <c r="BP70" i="36"/>
  <c r="AL54" i="36"/>
  <c r="AX160" i="34"/>
  <c r="BD176" i="34"/>
  <c r="AZ70" i="36"/>
  <c r="BJ70" i="36"/>
  <c r="BL54" i="36"/>
  <c r="AY54" i="36"/>
  <c r="AU160" i="34"/>
  <c r="AS176" i="34"/>
  <c r="BK160" i="34"/>
  <c r="BK176" i="34"/>
  <c r="AM70" i="36"/>
  <c r="BF54" i="36"/>
  <c r="BF176" i="34"/>
  <c r="BF70" i="36"/>
  <c r="AF176" i="34"/>
  <c r="AD160" i="34"/>
  <c r="X54" i="36"/>
  <c r="X95" i="34" s="1"/>
  <c r="AC160" i="34"/>
  <c r="L54" i="36"/>
  <c r="L95" i="34" s="1"/>
  <c r="Q176" i="34"/>
  <c r="R160" i="34"/>
  <c r="AF160" i="34"/>
  <c r="AI160" i="34"/>
  <c r="AD176" i="34"/>
  <c r="X160" i="34"/>
  <c r="W54" i="36"/>
  <c r="W95" i="34" s="1"/>
  <c r="L160" i="34"/>
  <c r="AE176" i="34"/>
  <c r="H54" i="36"/>
  <c r="H95" i="34" s="1"/>
  <c r="AB70" i="36"/>
  <c r="AB111" i="34" s="1"/>
  <c r="AA70" i="36"/>
  <c r="AA111" i="34" s="1"/>
  <c r="W70" i="36"/>
  <c r="W111" i="34" s="1"/>
  <c r="L176" i="34"/>
  <c r="L70" i="36"/>
  <c r="L111" i="34" s="1"/>
  <c r="AE160" i="34"/>
  <c r="H70" i="36"/>
  <c r="H111" i="34" s="1"/>
  <c r="AB54" i="36"/>
  <c r="AB95" i="34" s="1"/>
  <c r="AA54" i="36"/>
  <c r="AA95" i="34" s="1"/>
  <c r="W160" i="34"/>
  <c r="R70" i="36"/>
  <c r="R111" i="34" s="1"/>
  <c r="Y70" i="36"/>
  <c r="Y111" i="34" s="1"/>
  <c r="H176" i="34"/>
  <c r="AB160" i="34"/>
  <c r="AA160" i="34"/>
  <c r="W176" i="34"/>
  <c r="R54" i="36"/>
  <c r="R95" i="34" s="1"/>
  <c r="AH160" i="34"/>
  <c r="J160" i="34"/>
  <c r="N70" i="36"/>
  <c r="N111" i="34" s="1"/>
  <c r="H160" i="34"/>
  <c r="AB176" i="34"/>
  <c r="AA176" i="34"/>
  <c r="Q70" i="36"/>
  <c r="Q111" i="34" s="1"/>
  <c r="Y54" i="36"/>
  <c r="Y95" i="34" s="1"/>
  <c r="AH176" i="34"/>
  <c r="R176" i="34"/>
  <c r="N176" i="34"/>
  <c r="AG176" i="34"/>
  <c r="Z70" i="36"/>
  <c r="Z111" i="34" s="1"/>
  <c r="AC176" i="34"/>
  <c r="N54" i="36"/>
  <c r="N95" i="34" s="1"/>
  <c r="AG160" i="34"/>
  <c r="Z54" i="36"/>
  <c r="Z95" i="34" s="1"/>
  <c r="Q54" i="36"/>
  <c r="Q95" i="34" s="1"/>
  <c r="Y160" i="34"/>
  <c r="N160" i="34"/>
  <c r="J70" i="36"/>
  <c r="J111" i="34" s="1"/>
  <c r="Z176" i="34"/>
  <c r="Q160" i="34"/>
  <c r="Y176" i="34"/>
  <c r="X176" i="34"/>
  <c r="J176" i="34"/>
  <c r="Z160" i="34"/>
  <c r="AC70" i="36"/>
  <c r="AC111" i="34" s="1"/>
  <c r="AI176" i="34"/>
  <c r="J54" i="36"/>
  <c r="J95" i="34" s="1"/>
  <c r="X70" i="36"/>
  <c r="X111" i="34" s="1"/>
  <c r="AC54" i="36"/>
  <c r="AC95" i="34" s="1"/>
  <c r="I70" i="36"/>
  <c r="I111" i="34" s="1"/>
  <c r="M70" i="36"/>
  <c r="M111" i="34" s="1"/>
  <c r="P70" i="36"/>
  <c r="P111" i="34" s="1"/>
  <c r="I160" i="34"/>
  <c r="M176" i="34"/>
  <c r="P176" i="34"/>
  <c r="V54" i="36"/>
  <c r="V95" i="34" s="1"/>
  <c r="I54" i="36"/>
  <c r="I95" i="34" s="1"/>
  <c r="M54" i="36"/>
  <c r="M95" i="34" s="1"/>
  <c r="P160" i="34"/>
  <c r="I176" i="34"/>
  <c r="M160" i="34"/>
  <c r="P54" i="36"/>
  <c r="P95" i="34" s="1"/>
  <c r="V160" i="34"/>
  <c r="O176" i="34"/>
  <c r="U70" i="36"/>
  <c r="U111" i="34" s="1"/>
  <c r="T70" i="36"/>
  <c r="T111" i="34" s="1"/>
  <c r="K70" i="36"/>
  <c r="K111" i="34" s="1"/>
  <c r="U54" i="36"/>
  <c r="U95" i="34" s="1"/>
  <c r="T54" i="36"/>
  <c r="T95" i="34" s="1"/>
  <c r="K54" i="36"/>
  <c r="K95" i="34" s="1"/>
  <c r="U176" i="34"/>
  <c r="K160" i="34"/>
  <c r="T176" i="34"/>
  <c r="S54" i="36"/>
  <c r="S95" i="34" s="1"/>
  <c r="U160" i="34"/>
  <c r="T160" i="34"/>
  <c r="K176" i="34"/>
  <c r="S160" i="34"/>
  <c r="S70" i="36"/>
  <c r="S111" i="34" s="1"/>
  <c r="O54" i="36"/>
  <c r="O95" i="34" s="1"/>
  <c r="V70" i="36"/>
  <c r="V111" i="34" s="1"/>
  <c r="O70" i="36"/>
  <c r="O111" i="34" s="1"/>
  <c r="S176" i="34"/>
  <c r="O160" i="34"/>
  <c r="V176" i="34"/>
  <c r="AP8" i="34"/>
  <c r="AE8" i="34"/>
  <c r="T8" i="34"/>
  <c r="BP8" i="34"/>
  <c r="BE8" i="34"/>
  <c r="AT8" i="34"/>
  <c r="AI8" i="34"/>
  <c r="X8" i="34"/>
  <c r="M8" i="34"/>
  <c r="BI8" i="34"/>
  <c r="AX8" i="34"/>
  <c r="AM8" i="34"/>
  <c r="AB8" i="34"/>
  <c r="Q8" i="34"/>
  <c r="BM8" i="34"/>
  <c r="BB8" i="34"/>
  <c r="AQ8" i="34"/>
  <c r="AF8" i="34"/>
  <c r="U8" i="34"/>
  <c r="I8" i="34"/>
  <c r="J8" i="34"/>
  <c r="BF8" i="34"/>
  <c r="AU8" i="34"/>
  <c r="AJ8" i="34"/>
  <c r="Y8" i="34"/>
  <c r="H8" i="34"/>
  <c r="N8" i="34"/>
  <c r="BJ8" i="34"/>
  <c r="AY8" i="34"/>
  <c r="AN8" i="34"/>
  <c r="AC8" i="34"/>
  <c r="R8" i="34"/>
  <c r="BN8" i="34"/>
  <c r="BC8" i="34"/>
  <c r="AR8" i="34"/>
  <c r="AG8" i="34"/>
  <c r="V8" i="34"/>
  <c r="K8" i="34"/>
  <c r="BG8" i="34"/>
  <c r="AV8" i="34"/>
  <c r="AK8" i="34"/>
  <c r="Z8" i="34"/>
  <c r="O8" i="34"/>
  <c r="BK8" i="34"/>
  <c r="AZ8" i="34"/>
  <c r="AO8" i="34"/>
  <c r="AD8" i="34"/>
  <c r="S8" i="34"/>
  <c r="BO8" i="34"/>
  <c r="BD8" i="34"/>
  <c r="AS8" i="34"/>
  <c r="AH8" i="34"/>
  <c r="W8" i="34"/>
  <c r="L8" i="34"/>
  <c r="BH8" i="34"/>
  <c r="AW8" i="34"/>
  <c r="AL8" i="34"/>
  <c r="AA8" i="34"/>
  <c r="P8" i="34"/>
  <c r="BL8" i="34"/>
  <c r="BA8" i="34"/>
  <c r="W42" i="34"/>
  <c r="J42" i="34"/>
  <c r="AA42" i="34"/>
  <c r="N42" i="34"/>
  <c r="L42" i="34"/>
  <c r="R42" i="34"/>
  <c r="P42" i="34"/>
  <c r="V42" i="34"/>
  <c r="T42" i="34"/>
  <c r="Z42" i="34"/>
  <c r="X42" i="34"/>
  <c r="I42" i="34"/>
  <c r="M42" i="34"/>
  <c r="Q42" i="34"/>
  <c r="K42" i="34"/>
  <c r="U42" i="34"/>
  <c r="O42" i="34"/>
  <c r="Y42" i="34"/>
  <c r="S42" i="34"/>
  <c r="AB42" i="34"/>
  <c r="AC42" i="34"/>
  <c r="H42" i="34"/>
  <c r="P19" i="34"/>
  <c r="V19" i="34"/>
  <c r="T19" i="34"/>
  <c r="Z19" i="34"/>
  <c r="X19" i="34"/>
  <c r="I19" i="34"/>
  <c r="AB19" i="34"/>
  <c r="H19" i="34"/>
  <c r="M19" i="34"/>
  <c r="Q19" i="34"/>
  <c r="K19" i="34"/>
  <c r="U19" i="34"/>
  <c r="O19" i="34"/>
  <c r="Y19" i="34"/>
  <c r="S19" i="34"/>
  <c r="AC19" i="34"/>
  <c r="W19" i="34"/>
  <c r="J19" i="34"/>
  <c r="AA19" i="34"/>
  <c r="N19" i="34"/>
  <c r="L19" i="34"/>
  <c r="R19" i="34"/>
  <c r="L18" i="34"/>
  <c r="P18" i="34"/>
  <c r="J18" i="34"/>
  <c r="T18" i="34"/>
  <c r="N18" i="34"/>
  <c r="X18" i="34"/>
  <c r="R18" i="34"/>
  <c r="AB18" i="34"/>
  <c r="V18" i="34"/>
  <c r="M18" i="34"/>
  <c r="K18" i="34"/>
  <c r="U18" i="34"/>
  <c r="O18" i="34"/>
  <c r="Y18" i="34"/>
  <c r="S18" i="34"/>
  <c r="AC18" i="34"/>
  <c r="W18" i="34"/>
  <c r="H18" i="34"/>
  <c r="Z18" i="34"/>
  <c r="AA18" i="34"/>
  <c r="Q18" i="34"/>
  <c r="I18" i="34"/>
  <c r="K25" i="34"/>
  <c r="U25" i="34"/>
  <c r="O25" i="34"/>
  <c r="Y25" i="34"/>
  <c r="S25" i="34"/>
  <c r="AC25" i="34"/>
  <c r="W25" i="34"/>
  <c r="J25" i="34"/>
  <c r="AA25" i="34"/>
  <c r="N25" i="34"/>
  <c r="L25" i="34"/>
  <c r="R25" i="34"/>
  <c r="T25" i="34"/>
  <c r="Z25" i="34"/>
  <c r="X25" i="34"/>
  <c r="I25" i="34"/>
  <c r="AB25" i="34"/>
  <c r="H25" i="34"/>
  <c r="M25" i="34"/>
  <c r="P25" i="34"/>
  <c r="Q25" i="34"/>
  <c r="V25" i="34"/>
  <c r="AM13" i="34"/>
  <c r="AB13" i="34"/>
  <c r="Q13" i="34"/>
  <c r="BM13" i="34"/>
  <c r="BB13" i="34"/>
  <c r="AQ13" i="34"/>
  <c r="AF13" i="34"/>
  <c r="U13" i="34"/>
  <c r="J13" i="34"/>
  <c r="BF13" i="34"/>
  <c r="AU13" i="34"/>
  <c r="AJ13" i="34"/>
  <c r="Y13" i="34"/>
  <c r="N13" i="34"/>
  <c r="BJ13" i="34"/>
  <c r="AY13" i="34"/>
  <c r="AN13" i="34"/>
  <c r="AC13" i="34"/>
  <c r="R13" i="34"/>
  <c r="BN13" i="34"/>
  <c r="BC13" i="34"/>
  <c r="AR13" i="34"/>
  <c r="AG13" i="34"/>
  <c r="V13" i="34"/>
  <c r="I13" i="34"/>
  <c r="K13" i="34"/>
  <c r="BG13" i="34"/>
  <c r="AV13" i="34"/>
  <c r="AK13" i="34"/>
  <c r="Z13" i="34"/>
  <c r="H13" i="34"/>
  <c r="O13" i="34"/>
  <c r="BK13" i="34"/>
  <c r="AZ13" i="34"/>
  <c r="AO13" i="34"/>
  <c r="AD13" i="34"/>
  <c r="S13" i="34"/>
  <c r="BO13" i="34"/>
  <c r="BD13" i="34"/>
  <c r="AS13" i="34"/>
  <c r="AH13" i="34"/>
  <c r="W13" i="34"/>
  <c r="L13" i="34"/>
  <c r="BH13" i="34"/>
  <c r="AW13" i="34"/>
  <c r="AL13" i="34"/>
  <c r="AA13" i="34"/>
  <c r="P13" i="34"/>
  <c r="BL13" i="34"/>
  <c r="BA13" i="34"/>
  <c r="AP13" i="34"/>
  <c r="AE13" i="34"/>
  <c r="T13" i="34"/>
  <c r="BP13" i="34"/>
  <c r="BE13" i="34"/>
  <c r="AT13" i="34"/>
  <c r="X13" i="34"/>
  <c r="M13" i="34"/>
  <c r="BI13" i="34"/>
  <c r="AX13" i="34"/>
  <c r="AI13" i="34"/>
  <c r="AN44" i="34"/>
  <c r="AJ44" i="34"/>
  <c r="AT44" i="34"/>
  <c r="AR44" i="34"/>
  <c r="AS44" i="34"/>
  <c r="AI44" i="34"/>
  <c r="AM44" i="34"/>
  <c r="AX44" i="34"/>
  <c r="BE44" i="34"/>
  <c r="BA44" i="34"/>
  <c r="AW44" i="34"/>
  <c r="AZ44" i="34"/>
  <c r="BC44" i="34"/>
  <c r="BF44" i="34"/>
  <c r="BL44" i="34"/>
  <c r="BN44" i="34"/>
  <c r="AL44" i="34"/>
  <c r="AK44" i="34"/>
  <c r="AP44" i="34"/>
  <c r="AV44" i="34"/>
  <c r="AY44" i="34"/>
  <c r="BB44" i="34"/>
  <c r="AU44" i="34"/>
  <c r="BI44" i="34"/>
  <c r="BO44" i="34"/>
  <c r="BK44" i="34"/>
  <c r="BG44" i="34"/>
  <c r="BM44" i="34"/>
  <c r="BP44" i="34"/>
  <c r="AO44" i="34"/>
  <c r="AQ44" i="34"/>
  <c r="BH44" i="34"/>
  <c r="BJ44" i="34"/>
  <c r="BD44" i="34"/>
  <c r="M44" i="34"/>
  <c r="AH44" i="34"/>
  <c r="AF44" i="34"/>
  <c r="Q44" i="34"/>
  <c r="K44" i="34"/>
  <c r="H44" i="34"/>
  <c r="U44" i="34"/>
  <c r="O44" i="34"/>
  <c r="I44" i="34"/>
  <c r="Y44" i="34"/>
  <c r="S44" i="34"/>
  <c r="AC44" i="34"/>
  <c r="W44" i="34"/>
  <c r="AG44" i="34"/>
  <c r="AA44" i="34"/>
  <c r="N44" i="34"/>
  <c r="L44" i="34"/>
  <c r="R44" i="34"/>
  <c r="P44" i="34"/>
  <c r="V44" i="34"/>
  <c r="T44" i="34"/>
  <c r="Z44" i="34"/>
  <c r="X44" i="34"/>
  <c r="AE44" i="34"/>
  <c r="AD44" i="34"/>
  <c r="AB44" i="34"/>
  <c r="J44" i="34"/>
  <c r="BB12" i="34"/>
  <c r="AQ12" i="34"/>
  <c r="AF12" i="34"/>
  <c r="U12" i="34"/>
  <c r="I12" i="34"/>
  <c r="J12" i="34"/>
  <c r="BF12" i="34"/>
  <c r="AU12" i="34"/>
  <c r="AJ12" i="34"/>
  <c r="Y12" i="34"/>
  <c r="H12" i="34"/>
  <c r="N12" i="34"/>
  <c r="BJ12" i="34"/>
  <c r="AY12" i="34"/>
  <c r="AN12" i="34"/>
  <c r="AC12" i="34"/>
  <c r="R12" i="34"/>
  <c r="BN12" i="34"/>
  <c r="BC12" i="34"/>
  <c r="AR12" i="34"/>
  <c r="AG12" i="34"/>
  <c r="V12" i="34"/>
  <c r="K12" i="34"/>
  <c r="BG12" i="34"/>
  <c r="AV12" i="34"/>
  <c r="AK12" i="34"/>
  <c r="Z12" i="34"/>
  <c r="O12" i="34"/>
  <c r="BK12" i="34"/>
  <c r="AZ12" i="34"/>
  <c r="AO12" i="34"/>
  <c r="AD12" i="34"/>
  <c r="S12" i="34"/>
  <c r="BO12" i="34"/>
  <c r="BD12" i="34"/>
  <c r="AS12" i="34"/>
  <c r="AH12" i="34"/>
  <c r="W12" i="34"/>
  <c r="L12" i="34"/>
  <c r="BH12" i="34"/>
  <c r="AW12" i="34"/>
  <c r="AL12" i="34"/>
  <c r="AA12" i="34"/>
  <c r="P12" i="34"/>
  <c r="BL12" i="34"/>
  <c r="BA12" i="34"/>
  <c r="AP12" i="34"/>
  <c r="AE12" i="34"/>
  <c r="T12" i="34"/>
  <c r="BP12" i="34"/>
  <c r="BE12" i="34"/>
  <c r="AT12" i="34"/>
  <c r="AI12" i="34"/>
  <c r="X12" i="34"/>
  <c r="M12" i="34"/>
  <c r="BI12" i="34"/>
  <c r="AX12" i="34"/>
  <c r="AM12" i="34"/>
  <c r="AB12" i="34"/>
  <c r="Q12" i="34"/>
  <c r="BM12" i="34"/>
  <c r="D121" i="46"/>
  <c r="E121" i="46" s="1"/>
  <c r="E105" i="46"/>
  <c r="D123" i="46"/>
  <c r="E123" i="46" s="1"/>
  <c r="E107" i="46"/>
  <c r="D63" i="36"/>
  <c r="D52" i="36"/>
  <c r="D62" i="36"/>
  <c r="D26" i="45"/>
  <c r="C24" i="62" s="1"/>
  <c r="E26" i="45"/>
  <c r="E14" i="45"/>
  <c r="B18" i="45"/>
  <c r="AE95" i="34" l="1"/>
  <c r="L1470" i="67"/>
  <c r="BF95" i="34"/>
  <c r="AM1470" i="67"/>
  <c r="BJ111" i="34"/>
  <c r="AQ1486" i="67"/>
  <c r="AL95" i="34"/>
  <c r="S1470" i="67"/>
  <c r="AS95" i="34"/>
  <c r="Z1470" i="67"/>
  <c r="AU95" i="34"/>
  <c r="AB1470" i="67"/>
  <c r="BD111" i="34"/>
  <c r="AK1486" i="67"/>
  <c r="BE95" i="34"/>
  <c r="AL1470" i="67"/>
  <c r="BB95" i="34"/>
  <c r="AI1470" i="67"/>
  <c r="BG95" i="34"/>
  <c r="AN1470" i="67"/>
  <c r="BB111" i="34"/>
  <c r="AI1486" i="67"/>
  <c r="BH111" i="34"/>
  <c r="AO1486" i="67"/>
  <c r="BA111" i="34"/>
  <c r="AH1486" i="67"/>
  <c r="AY111" i="34"/>
  <c r="AF1486" i="67"/>
  <c r="BK95" i="34"/>
  <c r="AR1470" i="67"/>
  <c r="BH95" i="34"/>
  <c r="AO1470" i="67"/>
  <c r="AT111" i="34"/>
  <c r="AA1486" i="67"/>
  <c r="BN95" i="34"/>
  <c r="AU1470" i="67"/>
  <c r="AQ95" i="34"/>
  <c r="X1470" i="67"/>
  <c r="AF95" i="34"/>
  <c r="M1470" i="67"/>
  <c r="AH95" i="34"/>
  <c r="O1470" i="67"/>
  <c r="AI95" i="34"/>
  <c r="P1470" i="67"/>
  <c r="BN116" i="34"/>
  <c r="AU1145" i="67"/>
  <c r="AU1491" i="67"/>
  <c r="BI116" i="34"/>
  <c r="AP1145" i="67"/>
  <c r="AP1491" i="67"/>
  <c r="BL116" i="34"/>
  <c r="AS1145" i="67"/>
  <c r="AS1491" i="67"/>
  <c r="BF100" i="34"/>
  <c r="AM1129" i="67"/>
  <c r="AM1475" i="67"/>
  <c r="AM100" i="34"/>
  <c r="T1129" i="67"/>
  <c r="T1475" i="67"/>
  <c r="BE116" i="34"/>
  <c r="AL1145" i="67"/>
  <c r="AL1491" i="67"/>
  <c r="AT116" i="34"/>
  <c r="AA1145" i="67"/>
  <c r="AA1491" i="67"/>
  <c r="AS116" i="34"/>
  <c r="Z1145" i="67"/>
  <c r="Z1491" i="67"/>
  <c r="AV116" i="34"/>
  <c r="AC1145" i="67"/>
  <c r="AC1491" i="67"/>
  <c r="BH100" i="34"/>
  <c r="AO1129" i="67"/>
  <c r="AO1475" i="67"/>
  <c r="BJ116" i="34"/>
  <c r="AQ1145" i="67"/>
  <c r="AQ1491" i="67"/>
  <c r="BC100" i="34"/>
  <c r="AJ1129" i="67"/>
  <c r="AJ1475" i="67"/>
  <c r="BM100" i="34"/>
  <c r="AT1129" i="67"/>
  <c r="AT1475" i="67"/>
  <c r="BG100" i="34"/>
  <c r="AN1129" i="67"/>
  <c r="AN1475" i="67"/>
  <c r="BJ100" i="34"/>
  <c r="AQ1129" i="67"/>
  <c r="AQ1475" i="67"/>
  <c r="BC116" i="34"/>
  <c r="AJ1145" i="67"/>
  <c r="AJ1491" i="67"/>
  <c r="BM116" i="34"/>
  <c r="AT1145" i="67"/>
  <c r="AT1491" i="67"/>
  <c r="AD116" i="34"/>
  <c r="K1145" i="67"/>
  <c r="K1491" i="67"/>
  <c r="AH116" i="34"/>
  <c r="O1145" i="67"/>
  <c r="O1491" i="67"/>
  <c r="AG116" i="34"/>
  <c r="N1145" i="67"/>
  <c r="N1491" i="67"/>
  <c r="AY115" i="34"/>
  <c r="AF1144" i="67"/>
  <c r="AF1490" i="67"/>
  <c r="AR115" i="34"/>
  <c r="Y1144" i="67"/>
  <c r="Y1490" i="67"/>
  <c r="BF115" i="34"/>
  <c r="AM1144" i="67"/>
  <c r="AM1490" i="67"/>
  <c r="BO99" i="34"/>
  <c r="AV1128" i="67"/>
  <c r="AV1474" i="67"/>
  <c r="AV675" i="67"/>
  <c r="AJ115" i="34"/>
  <c r="Q1144" i="67"/>
  <c r="Q1490" i="67"/>
  <c r="AP99" i="34"/>
  <c r="W1128" i="67"/>
  <c r="W1474" i="67"/>
  <c r="W675" i="67"/>
  <c r="AQ115" i="34"/>
  <c r="X1144" i="67"/>
  <c r="X1490" i="67"/>
  <c r="BE115" i="34"/>
  <c r="AL1144" i="67"/>
  <c r="AL1490" i="67"/>
  <c r="BH115" i="34"/>
  <c r="AO1144" i="67"/>
  <c r="AO1490" i="67"/>
  <c r="AM99" i="34"/>
  <c r="T1128" i="67"/>
  <c r="T1474" i="67"/>
  <c r="T675" i="67"/>
  <c r="AO99" i="34"/>
  <c r="V1128" i="67"/>
  <c r="V1474" i="67"/>
  <c r="V675" i="67"/>
  <c r="AN99" i="34"/>
  <c r="U1128" i="67"/>
  <c r="U1474" i="67"/>
  <c r="U675" i="67"/>
  <c r="AX99" i="34"/>
  <c r="AE1128" i="67"/>
  <c r="AE1474" i="67"/>
  <c r="AE675" i="67"/>
  <c r="AT115" i="34"/>
  <c r="AA1144" i="67"/>
  <c r="AA1490" i="67"/>
  <c r="AU115" i="34"/>
  <c r="AB1144" i="67"/>
  <c r="AB1490" i="67"/>
  <c r="AL115" i="34"/>
  <c r="S1144" i="67"/>
  <c r="S1490" i="67"/>
  <c r="BL115" i="34"/>
  <c r="AS1144" i="67"/>
  <c r="AS1490" i="67"/>
  <c r="AG99" i="34"/>
  <c r="N1128" i="67"/>
  <c r="N1474" i="67"/>
  <c r="N675" i="67"/>
  <c r="AH99" i="34"/>
  <c r="O1128" i="67"/>
  <c r="O1474" i="67"/>
  <c r="O675" i="67"/>
  <c r="AH115" i="34"/>
  <c r="O1144" i="67"/>
  <c r="O1490" i="67"/>
  <c r="BK115" i="34"/>
  <c r="AR1144" i="67"/>
  <c r="AR1490" i="67"/>
  <c r="BD115" i="34"/>
  <c r="AK1144" i="67"/>
  <c r="AK1490" i="67"/>
  <c r="AK99" i="34"/>
  <c r="R1128" i="67"/>
  <c r="R1474" i="67"/>
  <c r="R675" i="67"/>
  <c r="AV99" i="34"/>
  <c r="AC1128" i="67"/>
  <c r="AC1474" i="67"/>
  <c r="AC675" i="67"/>
  <c r="BN99" i="34"/>
  <c r="AU1128" i="67"/>
  <c r="AU1474" i="67"/>
  <c r="AU675" i="67"/>
  <c r="BC115" i="34"/>
  <c r="AJ1144" i="67"/>
  <c r="AJ1490" i="67"/>
  <c r="BB99" i="34"/>
  <c r="AI1128" i="67"/>
  <c r="AI1474" i="67"/>
  <c r="AI675" i="67"/>
  <c r="BA115" i="34"/>
  <c r="AH1144" i="67"/>
  <c r="AH1490" i="67"/>
  <c r="AW99" i="34"/>
  <c r="AD1128" i="67"/>
  <c r="AD1474" i="67"/>
  <c r="AD675" i="67"/>
  <c r="BI99" i="34"/>
  <c r="AP1128" i="67"/>
  <c r="AP1474" i="67"/>
  <c r="AP675" i="67"/>
  <c r="AZ99" i="34"/>
  <c r="AG1128" i="67"/>
  <c r="AG1474" i="67"/>
  <c r="AG675" i="67"/>
  <c r="AR99" i="34"/>
  <c r="Y1128" i="67"/>
  <c r="Y1474" i="67"/>
  <c r="Y675" i="67"/>
  <c r="BG115" i="34"/>
  <c r="AN1144" i="67"/>
  <c r="AN1490" i="67"/>
  <c r="BJ99" i="34"/>
  <c r="AQ1128" i="67"/>
  <c r="AQ1474" i="67"/>
  <c r="AQ675" i="67"/>
  <c r="BM115" i="34"/>
  <c r="AT1144" i="67"/>
  <c r="AT1490" i="67"/>
  <c r="AF115" i="34"/>
  <c r="M1144" i="67"/>
  <c r="M1490" i="67"/>
  <c r="AI99" i="34"/>
  <c r="P1128" i="67"/>
  <c r="P1474" i="67"/>
  <c r="P675" i="67"/>
  <c r="AE115" i="34"/>
  <c r="L1144" i="67"/>
  <c r="L1490" i="67"/>
  <c r="AJ116" i="34"/>
  <c r="Q1145" i="67"/>
  <c r="Q1491" i="67"/>
  <c r="AU116" i="34"/>
  <c r="AB1145" i="67"/>
  <c r="AB1491" i="67"/>
  <c r="AW100" i="34"/>
  <c r="AD1129" i="67"/>
  <c r="AD1475" i="67"/>
  <c r="AJ100" i="34"/>
  <c r="Q1129" i="67"/>
  <c r="Q1475" i="67"/>
  <c r="BI100" i="34"/>
  <c r="AP1129" i="67"/>
  <c r="AP1475" i="67"/>
  <c r="AR100" i="34"/>
  <c r="Y1129" i="67"/>
  <c r="Y1475" i="67"/>
  <c r="AY116" i="34"/>
  <c r="AF1145" i="67"/>
  <c r="AF1491" i="67"/>
  <c r="BF116" i="34"/>
  <c r="AM1145" i="67"/>
  <c r="AM1491" i="67"/>
  <c r="AM116" i="34"/>
  <c r="T1145" i="67"/>
  <c r="T1491" i="67"/>
  <c r="BE100" i="34"/>
  <c r="AL1129" i="67"/>
  <c r="AL1475" i="67"/>
  <c r="AN100" i="34"/>
  <c r="U1129" i="67"/>
  <c r="U1475" i="67"/>
  <c r="AZ100" i="34"/>
  <c r="AG1129" i="67"/>
  <c r="AG1475" i="67"/>
  <c r="BO100" i="34"/>
  <c r="AV1129" i="67"/>
  <c r="AV1475" i="67"/>
  <c r="AW116" i="34"/>
  <c r="AD1145" i="67"/>
  <c r="AD1491" i="67"/>
  <c r="AZ116" i="34"/>
  <c r="AG1145" i="67"/>
  <c r="AG1491" i="67"/>
  <c r="BO116" i="34"/>
  <c r="AV1145" i="67"/>
  <c r="AV1491" i="67"/>
  <c r="AF116" i="34"/>
  <c r="M1145" i="67"/>
  <c r="M1491" i="67"/>
  <c r="AH100" i="34"/>
  <c r="O1129" i="67"/>
  <c r="O1475" i="67"/>
  <c r="AI100" i="34"/>
  <c r="P1129" i="67"/>
  <c r="P1475" i="67"/>
  <c r="BF111" i="34"/>
  <c r="AM1486" i="67"/>
  <c r="AY95" i="34"/>
  <c r="AF1470" i="67"/>
  <c r="BE111" i="34"/>
  <c r="AL1486" i="67"/>
  <c r="AZ95" i="34"/>
  <c r="AG1470" i="67"/>
  <c r="BI111" i="34"/>
  <c r="AP1486" i="67"/>
  <c r="AR111" i="34"/>
  <c r="Y1486" i="67"/>
  <c r="AW111" i="34"/>
  <c r="AD1486" i="67"/>
  <c r="AX95" i="34"/>
  <c r="AE1470" i="67"/>
  <c r="AM95" i="34"/>
  <c r="T1470" i="67"/>
  <c r="BK111" i="34"/>
  <c r="AR1486" i="67"/>
  <c r="BO95" i="34"/>
  <c r="AV1470" i="67"/>
  <c r="AV95" i="34"/>
  <c r="AC1470" i="67"/>
  <c r="AJ95" i="34"/>
  <c r="Q1470" i="67"/>
  <c r="BM111" i="34"/>
  <c r="AT1486" i="67"/>
  <c r="BJ95" i="34"/>
  <c r="AQ1470" i="67"/>
  <c r="AP95" i="34"/>
  <c r="W1470" i="67"/>
  <c r="AN95" i="34"/>
  <c r="U1470" i="67"/>
  <c r="BP95" i="34"/>
  <c r="AW1470" i="67"/>
  <c r="AG95" i="34"/>
  <c r="N1470" i="67"/>
  <c r="AH111" i="34"/>
  <c r="O1486" i="67"/>
  <c r="AD95" i="34"/>
  <c r="K1470" i="67"/>
  <c r="AP116" i="34"/>
  <c r="W1145" i="67"/>
  <c r="W1491" i="67"/>
  <c r="BH116" i="34"/>
  <c r="AO1145" i="67"/>
  <c r="AO1491" i="67"/>
  <c r="BG116" i="34"/>
  <c r="AN1145" i="67"/>
  <c r="AN1491" i="67"/>
  <c r="BP100" i="34"/>
  <c r="AW1129" i="67"/>
  <c r="AW1475" i="67"/>
  <c r="BK100" i="34"/>
  <c r="AR1129" i="67"/>
  <c r="AR1475" i="67"/>
  <c r="AP100" i="34"/>
  <c r="W1129" i="67"/>
  <c r="W1475" i="67"/>
  <c r="AR116" i="34"/>
  <c r="Y1145" i="67"/>
  <c r="Y1491" i="67"/>
  <c r="AY100" i="34"/>
  <c r="AF1129" i="67"/>
  <c r="AF1475" i="67"/>
  <c r="AL116" i="34"/>
  <c r="S1145" i="67"/>
  <c r="S1491" i="67"/>
  <c r="BA100" i="34"/>
  <c r="AH1129" i="67"/>
  <c r="AH1475" i="67"/>
  <c r="BD100" i="34"/>
  <c r="AK1129" i="67"/>
  <c r="AK1475" i="67"/>
  <c r="BN100" i="34"/>
  <c r="AU1129" i="67"/>
  <c r="AU1475" i="67"/>
  <c r="AL100" i="34"/>
  <c r="S1129" i="67"/>
  <c r="S1475" i="67"/>
  <c r="BA116" i="34"/>
  <c r="AH1145" i="67"/>
  <c r="AH1491" i="67"/>
  <c r="BD116" i="34"/>
  <c r="AK1145" i="67"/>
  <c r="AK1491" i="67"/>
  <c r="AG100" i="34"/>
  <c r="N1129" i="67"/>
  <c r="N1475" i="67"/>
  <c r="AI116" i="34"/>
  <c r="P1145" i="67"/>
  <c r="P1491" i="67"/>
  <c r="AE116" i="34"/>
  <c r="L1145" i="67"/>
  <c r="L1491" i="67"/>
  <c r="AW115" i="34"/>
  <c r="AD1144" i="67"/>
  <c r="AD1490" i="67"/>
  <c r="BP99" i="34"/>
  <c r="AW1128" i="67"/>
  <c r="AW1474" i="67"/>
  <c r="AW675" i="67"/>
  <c r="BF99" i="34"/>
  <c r="AM1128" i="67"/>
  <c r="AM1474" i="67"/>
  <c r="AM675" i="67"/>
  <c r="AQ99" i="34"/>
  <c r="X1128" i="67"/>
  <c r="X1474" i="67"/>
  <c r="X675" i="67"/>
  <c r="BE99" i="34"/>
  <c r="AL1128" i="67"/>
  <c r="AL1474" i="67"/>
  <c r="AL675" i="67"/>
  <c r="BH99" i="34"/>
  <c r="AO1128" i="67"/>
  <c r="AO1474" i="67"/>
  <c r="AO675" i="67"/>
  <c r="BD99" i="34"/>
  <c r="AK1128" i="67"/>
  <c r="AK1474" i="67"/>
  <c r="AK675" i="67"/>
  <c r="BO115" i="34"/>
  <c r="AV1144" i="67"/>
  <c r="AV1490" i="67"/>
  <c r="AJ99" i="34"/>
  <c r="Q1128" i="67"/>
  <c r="Q1474" i="67"/>
  <c r="Q675" i="67"/>
  <c r="AP115" i="34"/>
  <c r="W1144" i="67"/>
  <c r="W1490" i="67"/>
  <c r="AU99" i="34"/>
  <c r="AB1128" i="67"/>
  <c r="AB1474" i="67"/>
  <c r="AB675" i="67"/>
  <c r="AL99" i="34"/>
  <c r="S1128" i="67"/>
  <c r="S1474" i="67"/>
  <c r="S675" i="67"/>
  <c r="BL99" i="34"/>
  <c r="AS1128" i="67"/>
  <c r="AS1474" i="67"/>
  <c r="AS675" i="67"/>
  <c r="BP115" i="34"/>
  <c r="AW1144" i="67"/>
  <c r="AW1490" i="67"/>
  <c r="AO115" i="34"/>
  <c r="V1144" i="67"/>
  <c r="V1490" i="67"/>
  <c r="AN115" i="34"/>
  <c r="U1144" i="67"/>
  <c r="U1490" i="67"/>
  <c r="AX115" i="34"/>
  <c r="AE1144" i="67"/>
  <c r="AE1490" i="67"/>
  <c r="AI115" i="34"/>
  <c r="P1144" i="67"/>
  <c r="P1490" i="67"/>
  <c r="AE99" i="34"/>
  <c r="L1128" i="67"/>
  <c r="L1474" i="67"/>
  <c r="L675" i="67"/>
  <c r="AG115" i="34"/>
  <c r="N1144" i="67"/>
  <c r="N1490" i="67"/>
  <c r="AM111" i="34"/>
  <c r="T1486" i="67"/>
  <c r="AZ111" i="34"/>
  <c r="AG1486" i="67"/>
  <c r="BP111" i="34"/>
  <c r="AW1486" i="67"/>
  <c r="AU111" i="34"/>
  <c r="AB1486" i="67"/>
  <c r="AT95" i="34"/>
  <c r="AA1470" i="67"/>
  <c r="BI95" i="34"/>
  <c r="AP1470" i="67"/>
  <c r="BM95" i="34"/>
  <c r="AT1470" i="67"/>
  <c r="AK111" i="34"/>
  <c r="R1486" i="67"/>
  <c r="BC95" i="34"/>
  <c r="AJ1470" i="67"/>
  <c r="AQ111" i="34"/>
  <c r="X1486" i="67"/>
  <c r="AO111" i="34"/>
  <c r="V1486" i="67"/>
  <c r="BG111" i="34"/>
  <c r="AN1486" i="67"/>
  <c r="AS111" i="34"/>
  <c r="Z1486" i="67"/>
  <c r="BL111" i="34"/>
  <c r="AS1486" i="67"/>
  <c r="BN111" i="34"/>
  <c r="AU1486" i="67"/>
  <c r="AO95" i="34"/>
  <c r="V1470" i="67"/>
  <c r="AI111" i="34"/>
  <c r="P1486" i="67"/>
  <c r="AD111" i="34"/>
  <c r="K1486" i="67"/>
  <c r="BL95" i="34"/>
  <c r="AS1470" i="67"/>
  <c r="BC111" i="34"/>
  <c r="AJ1486" i="67"/>
  <c r="AX111" i="34"/>
  <c r="AE1486" i="67"/>
  <c r="AL111" i="34"/>
  <c r="S1486" i="67"/>
  <c r="AN111" i="34"/>
  <c r="U1486" i="67"/>
  <c r="AR95" i="34"/>
  <c r="Y1470" i="67"/>
  <c r="BA95" i="34"/>
  <c r="AH1470" i="67"/>
  <c r="AP111" i="34"/>
  <c r="W1486" i="67"/>
  <c r="AV111" i="34"/>
  <c r="AC1486" i="67"/>
  <c r="BO111" i="34"/>
  <c r="AV1486" i="67"/>
  <c r="AK95" i="34"/>
  <c r="R1470" i="67"/>
  <c r="BD95" i="34"/>
  <c r="AK1470" i="67"/>
  <c r="AJ111" i="34"/>
  <c r="Q1486" i="67"/>
  <c r="AW95" i="34"/>
  <c r="AD1470" i="67"/>
  <c r="AE111" i="34"/>
  <c r="L1486" i="67"/>
  <c r="AG111" i="34"/>
  <c r="N1486" i="67"/>
  <c r="AF111" i="34"/>
  <c r="M1486" i="67"/>
  <c r="BB116" i="34"/>
  <c r="AI1145" i="67"/>
  <c r="AI1491" i="67"/>
  <c r="AK116" i="34"/>
  <c r="R1145" i="67"/>
  <c r="R1491" i="67"/>
  <c r="AN116" i="34"/>
  <c r="U1145" i="67"/>
  <c r="U1491" i="67"/>
  <c r="AT100" i="34"/>
  <c r="AA1129" i="67"/>
  <c r="AA1475" i="67"/>
  <c r="AS100" i="34"/>
  <c r="Z1129" i="67"/>
  <c r="Z1475" i="67"/>
  <c r="AV100" i="34"/>
  <c r="AC1129" i="67"/>
  <c r="AC1475" i="67"/>
  <c r="AK100" i="34"/>
  <c r="R1129" i="67"/>
  <c r="R1475" i="67"/>
  <c r="BP116" i="34"/>
  <c r="AW1145" i="67"/>
  <c r="AW1491" i="67"/>
  <c r="BK116" i="34"/>
  <c r="AR1145" i="67"/>
  <c r="AR1491" i="67"/>
  <c r="BL100" i="34"/>
  <c r="AS1129" i="67"/>
  <c r="AS1475" i="67"/>
  <c r="BB100" i="34"/>
  <c r="AI1129" i="67"/>
  <c r="AI1475" i="67"/>
  <c r="AX100" i="34"/>
  <c r="AE1129" i="67"/>
  <c r="AE1475" i="67"/>
  <c r="AQ100" i="34"/>
  <c r="X1129" i="67"/>
  <c r="X1475" i="67"/>
  <c r="AO116" i="34"/>
  <c r="V1145" i="67"/>
  <c r="V1491" i="67"/>
  <c r="AU100" i="34"/>
  <c r="AB1129" i="67"/>
  <c r="AB1475" i="67"/>
  <c r="AX116" i="34"/>
  <c r="AE1145" i="67"/>
  <c r="AE1491" i="67"/>
  <c r="AQ116" i="34"/>
  <c r="X1145" i="67"/>
  <c r="X1491" i="67"/>
  <c r="AO100" i="34"/>
  <c r="V1129" i="67"/>
  <c r="V1475" i="67"/>
  <c r="AF100" i="34"/>
  <c r="M1129" i="67"/>
  <c r="M1475" i="67"/>
  <c r="AE100" i="34"/>
  <c r="L1129" i="67"/>
  <c r="L1475" i="67"/>
  <c r="AD100" i="34"/>
  <c r="K1129" i="67"/>
  <c r="K1475" i="67"/>
  <c r="AM115" i="34"/>
  <c r="T1144" i="67"/>
  <c r="T1490" i="67"/>
  <c r="AT99" i="34"/>
  <c r="AA1128" i="67"/>
  <c r="AA1474" i="67"/>
  <c r="AA675" i="67"/>
  <c r="AS115" i="34"/>
  <c r="Z1144" i="67"/>
  <c r="Z1490" i="67"/>
  <c r="BK99" i="34"/>
  <c r="AR1128" i="67"/>
  <c r="AR1474" i="67"/>
  <c r="AR675" i="67"/>
  <c r="BC99" i="34"/>
  <c r="AJ1128" i="67"/>
  <c r="AJ1474" i="67"/>
  <c r="AJ675" i="67"/>
  <c r="BB115" i="34"/>
  <c r="AI1144" i="67"/>
  <c r="AI1490" i="67"/>
  <c r="BA99" i="34"/>
  <c r="AH1128" i="67"/>
  <c r="AH1474" i="67"/>
  <c r="AH675" i="67"/>
  <c r="AS99" i="34"/>
  <c r="Z1128" i="67"/>
  <c r="Z1474" i="67"/>
  <c r="Z675" i="67"/>
  <c r="AK115" i="34"/>
  <c r="R1144" i="67"/>
  <c r="R1490" i="67"/>
  <c r="AV115" i="34"/>
  <c r="AC1144" i="67"/>
  <c r="AC1490" i="67"/>
  <c r="BN115" i="34"/>
  <c r="AU1144" i="67"/>
  <c r="AU1490" i="67"/>
  <c r="BG99" i="34"/>
  <c r="AN1128" i="67"/>
  <c r="AN1474" i="67"/>
  <c r="AN675" i="67"/>
  <c r="BJ115" i="34"/>
  <c r="AQ1144" i="67"/>
  <c r="AQ1490" i="67"/>
  <c r="BM99" i="34"/>
  <c r="AT1128" i="67"/>
  <c r="AT1474" i="67"/>
  <c r="AT675" i="67"/>
  <c r="AY99" i="34"/>
  <c r="AF1128" i="67"/>
  <c r="AF1474" i="67"/>
  <c r="AF675" i="67"/>
  <c r="BI115" i="34"/>
  <c r="AP1144" i="67"/>
  <c r="AP1490" i="67"/>
  <c r="AZ115" i="34"/>
  <c r="AG1144" i="67"/>
  <c r="AG1490" i="67"/>
  <c r="AF99" i="34"/>
  <c r="M1128" i="67"/>
  <c r="M1474" i="67"/>
  <c r="M675" i="67"/>
  <c r="AD99" i="34"/>
  <c r="K1128" i="67"/>
  <c r="K1474" i="67"/>
  <c r="K675" i="67"/>
  <c r="AD115" i="34"/>
  <c r="K1144" i="67"/>
  <c r="K1490" i="67"/>
  <c r="D13" i="45"/>
  <c r="C13" i="62"/>
  <c r="E52" i="36"/>
  <c r="D93" i="34"/>
  <c r="D68" i="36"/>
  <c r="E63" i="36"/>
  <c r="D104" i="34"/>
  <c r="D79" i="36"/>
  <c r="D78" i="36"/>
  <c r="E62" i="36"/>
  <c r="D103" i="34"/>
  <c r="E19" i="45"/>
  <c r="D19" i="45"/>
  <c r="D60" i="45" s="1"/>
  <c r="B11" i="45"/>
  <c r="B59" i="45" s="1"/>
  <c r="E15" i="45"/>
  <c r="S977" i="67" l="1"/>
  <c r="S826" i="67"/>
  <c r="S371" i="67"/>
  <c r="S523" i="67"/>
  <c r="S65" i="67"/>
  <c r="S218" i="67"/>
  <c r="T993" i="67"/>
  <c r="T387" i="67"/>
  <c r="T842" i="67"/>
  <c r="T81" i="67"/>
  <c r="T234" i="67"/>
  <c r="T539" i="67"/>
  <c r="T691" i="67"/>
  <c r="V978" i="67"/>
  <c r="V524" i="67"/>
  <c r="V372" i="67"/>
  <c r="V827" i="67"/>
  <c r="V66" i="67"/>
  <c r="V219" i="67"/>
  <c r="V676" i="67"/>
  <c r="V994" i="67"/>
  <c r="V388" i="67"/>
  <c r="V843" i="67"/>
  <c r="V82" i="67"/>
  <c r="V235" i="67"/>
  <c r="V540" i="67"/>
  <c r="V692" i="67"/>
  <c r="AS978" i="67"/>
  <c r="AS827" i="67"/>
  <c r="AS372" i="67"/>
  <c r="AS524" i="67"/>
  <c r="AS66" i="67"/>
  <c r="AS219" i="67"/>
  <c r="AS676" i="67"/>
  <c r="R994" i="67"/>
  <c r="R388" i="67"/>
  <c r="R843" i="67"/>
  <c r="R540" i="67"/>
  <c r="R692" i="67"/>
  <c r="R82" i="67"/>
  <c r="R235" i="67"/>
  <c r="AN994" i="67"/>
  <c r="AN388" i="67"/>
  <c r="AN843" i="67"/>
  <c r="AN82" i="67"/>
  <c r="AN235" i="67"/>
  <c r="AN540" i="67"/>
  <c r="AN692" i="67"/>
  <c r="AH993" i="67"/>
  <c r="AH387" i="67"/>
  <c r="AH842" i="67"/>
  <c r="AH539" i="67"/>
  <c r="AH691" i="67"/>
  <c r="AH81" i="67"/>
  <c r="AH234" i="67"/>
  <c r="K977" i="67"/>
  <c r="K523" i="67"/>
  <c r="K371" i="67"/>
  <c r="K826" i="67"/>
  <c r="K65" i="67"/>
  <c r="K218" i="67"/>
  <c r="M977" i="67"/>
  <c r="M523" i="67"/>
  <c r="M371" i="67"/>
  <c r="M826" i="67"/>
  <c r="M65" i="67"/>
  <c r="M218" i="67"/>
  <c r="AU993" i="67"/>
  <c r="AU387" i="67"/>
  <c r="AU842" i="67"/>
  <c r="AU81" i="67"/>
  <c r="AU234" i="67"/>
  <c r="AU539" i="67"/>
  <c r="AU691" i="67"/>
  <c r="AA977" i="67"/>
  <c r="AA826" i="67"/>
  <c r="AA371" i="67"/>
  <c r="AA523" i="67"/>
  <c r="AA65" i="67"/>
  <c r="AA218" i="67"/>
  <c r="AB978" i="67"/>
  <c r="AB372" i="67"/>
  <c r="AB524" i="67"/>
  <c r="AB66" i="67"/>
  <c r="AB827" i="67"/>
  <c r="AB219" i="67"/>
  <c r="AB676" i="67"/>
  <c r="U994" i="67"/>
  <c r="U388" i="67"/>
  <c r="U843" i="67"/>
  <c r="U540" i="67"/>
  <c r="U692" i="67"/>
  <c r="U82" i="67"/>
  <c r="U235" i="67"/>
  <c r="AD977" i="67"/>
  <c r="AD371" i="67"/>
  <c r="AD826" i="67"/>
  <c r="AD523" i="67"/>
  <c r="AD65" i="67"/>
  <c r="AD218" i="67"/>
  <c r="AR993" i="67"/>
  <c r="AR387" i="67"/>
  <c r="AR842" i="67"/>
  <c r="AR81" i="67"/>
  <c r="AR234" i="67"/>
  <c r="AR539" i="67"/>
  <c r="AR691" i="67"/>
  <c r="AB993" i="67"/>
  <c r="AB387" i="67"/>
  <c r="AB842" i="67"/>
  <c r="AB81" i="67"/>
  <c r="AB234" i="67"/>
  <c r="AB539" i="67"/>
  <c r="AB691" i="67"/>
  <c r="X993" i="67"/>
  <c r="X387" i="67"/>
  <c r="X842" i="67"/>
  <c r="X539" i="67"/>
  <c r="X691" i="67"/>
  <c r="X81" i="67"/>
  <c r="X234" i="67"/>
  <c r="W977" i="67"/>
  <c r="W523" i="67"/>
  <c r="W371" i="67"/>
  <c r="W826" i="67"/>
  <c r="W65" i="67"/>
  <c r="W218" i="67"/>
  <c r="AF993" i="67"/>
  <c r="AF387" i="67"/>
  <c r="AF842" i="67"/>
  <c r="AF539" i="67"/>
  <c r="AF691" i="67"/>
  <c r="AF81" i="67"/>
  <c r="AF234" i="67"/>
  <c r="AT994" i="67"/>
  <c r="AT388" i="67"/>
  <c r="AT843" i="67"/>
  <c r="AT82" i="67"/>
  <c r="AT235" i="67"/>
  <c r="AT540" i="67"/>
  <c r="AT692" i="67"/>
  <c r="AT978" i="67"/>
  <c r="AT372" i="67"/>
  <c r="AT524" i="67"/>
  <c r="AT827" i="67"/>
  <c r="AT66" i="67"/>
  <c r="AT219" i="67"/>
  <c r="AT676" i="67"/>
  <c r="AC994" i="67"/>
  <c r="AC388" i="67"/>
  <c r="AC843" i="67"/>
  <c r="AC540" i="67"/>
  <c r="AC692" i="67"/>
  <c r="AC82" i="67"/>
  <c r="AC235" i="67"/>
  <c r="T978" i="67"/>
  <c r="T372" i="67"/>
  <c r="T524" i="67"/>
  <c r="T66" i="67"/>
  <c r="T219" i="67"/>
  <c r="T827" i="67"/>
  <c r="T676" i="67"/>
  <c r="AU994" i="67"/>
  <c r="AU388" i="67"/>
  <c r="AU843" i="67"/>
  <c r="AU82" i="67"/>
  <c r="AU235" i="67"/>
  <c r="AU540" i="67"/>
  <c r="AU692" i="67"/>
  <c r="K978" i="67"/>
  <c r="K827" i="67"/>
  <c r="K372" i="67"/>
  <c r="K524" i="67"/>
  <c r="K66" i="67"/>
  <c r="K219" i="67"/>
  <c r="K676" i="67"/>
  <c r="X994" i="67"/>
  <c r="X388" i="67"/>
  <c r="X843" i="67"/>
  <c r="X82" i="67"/>
  <c r="X235" i="67"/>
  <c r="X540" i="67"/>
  <c r="X692" i="67"/>
  <c r="AI994" i="67"/>
  <c r="AI388" i="67"/>
  <c r="AI843" i="67"/>
  <c r="AI540" i="67"/>
  <c r="AI692" i="67"/>
  <c r="AI82" i="67"/>
  <c r="AI235" i="67"/>
  <c r="AH978" i="67"/>
  <c r="AH827" i="67"/>
  <c r="AH372" i="67"/>
  <c r="AH524" i="67"/>
  <c r="AH66" i="67"/>
  <c r="AH219" i="67"/>
  <c r="AH676" i="67"/>
  <c r="AG993" i="67"/>
  <c r="AG387" i="67"/>
  <c r="AG842" i="67"/>
  <c r="AG539" i="67"/>
  <c r="AG691" i="67"/>
  <c r="AG81" i="67"/>
  <c r="AG234" i="67"/>
  <c r="AC993" i="67"/>
  <c r="AC387" i="67"/>
  <c r="AC842" i="67"/>
  <c r="AC539" i="67"/>
  <c r="AC81" i="67"/>
  <c r="AC691" i="67"/>
  <c r="AC234" i="67"/>
  <c r="AC978" i="67"/>
  <c r="AC827" i="67"/>
  <c r="AC372" i="67"/>
  <c r="AC524" i="67"/>
  <c r="AC66" i="67"/>
  <c r="AC219" i="67"/>
  <c r="AC676" i="67"/>
  <c r="N993" i="67"/>
  <c r="N387" i="67"/>
  <c r="N842" i="67"/>
  <c r="N81" i="67"/>
  <c r="N234" i="67"/>
  <c r="N539" i="67"/>
  <c r="N691" i="67"/>
  <c r="L977" i="67"/>
  <c r="L523" i="67"/>
  <c r="L371" i="67"/>
  <c r="L826" i="67"/>
  <c r="L65" i="67"/>
  <c r="L218" i="67"/>
  <c r="V993" i="67"/>
  <c r="V387" i="67"/>
  <c r="V842" i="67"/>
  <c r="V81" i="67"/>
  <c r="V234" i="67"/>
  <c r="V539" i="67"/>
  <c r="V691" i="67"/>
  <c r="AD993" i="67"/>
  <c r="AD387" i="67"/>
  <c r="AD842" i="67"/>
  <c r="AD81" i="67"/>
  <c r="AD234" i="67"/>
  <c r="AD539" i="67"/>
  <c r="AD691" i="67"/>
  <c r="AK994" i="67"/>
  <c r="AK388" i="67"/>
  <c r="AK843" i="67"/>
  <c r="AK540" i="67"/>
  <c r="AK692" i="67"/>
  <c r="AK82" i="67"/>
  <c r="AK235" i="67"/>
  <c r="AK978" i="67"/>
  <c r="AK827" i="67"/>
  <c r="AK372" i="67"/>
  <c r="AK524" i="67"/>
  <c r="AK66" i="67"/>
  <c r="AK219" i="67"/>
  <c r="AK676" i="67"/>
  <c r="Y994" i="67"/>
  <c r="Y388" i="67"/>
  <c r="Y843" i="67"/>
  <c r="Y82" i="67"/>
  <c r="Y235" i="67"/>
  <c r="Y540" i="67"/>
  <c r="Y692" i="67"/>
  <c r="AV994" i="67"/>
  <c r="AV388" i="67"/>
  <c r="AV843" i="67"/>
  <c r="AV82" i="67"/>
  <c r="AV235" i="67"/>
  <c r="AV540" i="67"/>
  <c r="AV692" i="67"/>
  <c r="AG978" i="67"/>
  <c r="AG524" i="67"/>
  <c r="AG372" i="67"/>
  <c r="AG827" i="67"/>
  <c r="AG66" i="67"/>
  <c r="AG219" i="67"/>
  <c r="AG676" i="67"/>
  <c r="AM994" i="67"/>
  <c r="AM388" i="67"/>
  <c r="AM843" i="67"/>
  <c r="AM540" i="67"/>
  <c r="AM82" i="67"/>
  <c r="AM692" i="67"/>
  <c r="AM235" i="67"/>
  <c r="Q978" i="67"/>
  <c r="Q524" i="67"/>
  <c r="Q372" i="67"/>
  <c r="Q827" i="67"/>
  <c r="Q66" i="67"/>
  <c r="Q219" i="67"/>
  <c r="Q676" i="67"/>
  <c r="L993" i="67"/>
  <c r="L387" i="67"/>
  <c r="L842" i="67"/>
  <c r="L81" i="67"/>
  <c r="L234" i="67"/>
  <c r="L539" i="67"/>
  <c r="L691" i="67"/>
  <c r="P977" i="67"/>
  <c r="P826" i="67"/>
  <c r="P371" i="67"/>
  <c r="P523" i="67"/>
  <c r="P65" i="67"/>
  <c r="P218" i="67"/>
  <c r="AI977" i="67"/>
  <c r="AI826" i="67"/>
  <c r="AI371" i="67"/>
  <c r="AI523" i="67"/>
  <c r="AI65" i="67"/>
  <c r="AI218" i="67"/>
  <c r="O993" i="67"/>
  <c r="O387" i="67"/>
  <c r="O842" i="67"/>
  <c r="O81" i="67"/>
  <c r="O234" i="67"/>
  <c r="O539" i="67"/>
  <c r="O691" i="67"/>
  <c r="O977" i="67"/>
  <c r="O371" i="67"/>
  <c r="O523" i="67"/>
  <c r="O826" i="67"/>
  <c r="O65" i="67"/>
  <c r="O218" i="67"/>
  <c r="N977" i="67"/>
  <c r="N371" i="67"/>
  <c r="N523" i="67"/>
  <c r="N826" i="67"/>
  <c r="N65" i="67"/>
  <c r="N218" i="67"/>
  <c r="AA993" i="67"/>
  <c r="AA387" i="67"/>
  <c r="AA842" i="67"/>
  <c r="AA539" i="67"/>
  <c r="AA691" i="67"/>
  <c r="AA81" i="67"/>
  <c r="AA234" i="67"/>
  <c r="AE977" i="67"/>
  <c r="AE371" i="67"/>
  <c r="AE523" i="67"/>
  <c r="AE826" i="67"/>
  <c r="AE65" i="67"/>
  <c r="AE218" i="67"/>
  <c r="U977" i="67"/>
  <c r="U371" i="67"/>
  <c r="U523" i="67"/>
  <c r="U826" i="67"/>
  <c r="U65" i="67"/>
  <c r="U218" i="67"/>
  <c r="V977" i="67"/>
  <c r="V371" i="67"/>
  <c r="V523" i="67"/>
  <c r="V826" i="67"/>
  <c r="V65" i="67"/>
  <c r="V218" i="67"/>
  <c r="T977" i="67"/>
  <c r="T371" i="67"/>
  <c r="T523" i="67"/>
  <c r="T826" i="67"/>
  <c r="T65" i="67"/>
  <c r="T218" i="67"/>
  <c r="Q993" i="67"/>
  <c r="Q387" i="67"/>
  <c r="Q842" i="67"/>
  <c r="Q539" i="67"/>
  <c r="Q691" i="67"/>
  <c r="Q81" i="67"/>
  <c r="Q234" i="67"/>
  <c r="AV977" i="67"/>
  <c r="AV826" i="67"/>
  <c r="AV371" i="67"/>
  <c r="AV523" i="67"/>
  <c r="AV65" i="67"/>
  <c r="AV218" i="67"/>
  <c r="N994" i="67"/>
  <c r="N388" i="67"/>
  <c r="N843" i="67"/>
  <c r="N82" i="67"/>
  <c r="N235" i="67"/>
  <c r="N540" i="67"/>
  <c r="N692" i="67"/>
  <c r="AJ994" i="67"/>
  <c r="AJ388" i="67"/>
  <c r="AJ843" i="67"/>
  <c r="AJ540" i="67"/>
  <c r="AJ692" i="67"/>
  <c r="AJ82" i="67"/>
  <c r="AJ235" i="67"/>
  <c r="AJ978" i="67"/>
  <c r="AJ372" i="67"/>
  <c r="AJ524" i="67"/>
  <c r="AJ827" i="67"/>
  <c r="AJ66" i="67"/>
  <c r="AJ219" i="67"/>
  <c r="AJ676" i="67"/>
  <c r="Z994" i="67"/>
  <c r="Z388" i="67"/>
  <c r="Z843" i="67"/>
  <c r="Z540" i="67"/>
  <c r="Z692" i="67"/>
  <c r="Z82" i="67"/>
  <c r="Z235" i="67"/>
  <c r="AM978" i="67"/>
  <c r="AM524" i="67"/>
  <c r="AM372" i="67"/>
  <c r="AM827" i="67"/>
  <c r="AM66" i="67"/>
  <c r="AM219" i="67"/>
  <c r="AM676" i="67"/>
  <c r="K993" i="67"/>
  <c r="K387" i="67"/>
  <c r="K842" i="67"/>
  <c r="K539" i="67"/>
  <c r="K691" i="67"/>
  <c r="K81" i="67"/>
  <c r="K234" i="67"/>
  <c r="Z993" i="67"/>
  <c r="Z387" i="67"/>
  <c r="Z842" i="67"/>
  <c r="Z539" i="67"/>
  <c r="Z691" i="67"/>
  <c r="Z81" i="67"/>
  <c r="Z234" i="67"/>
  <c r="M978" i="67"/>
  <c r="M827" i="67"/>
  <c r="M372" i="67"/>
  <c r="M524" i="67"/>
  <c r="M66" i="67"/>
  <c r="M219" i="67"/>
  <c r="M676" i="67"/>
  <c r="AI978" i="67"/>
  <c r="AI827" i="67"/>
  <c r="AI372" i="67"/>
  <c r="AI524" i="67"/>
  <c r="AI66" i="67"/>
  <c r="AI219" i="67"/>
  <c r="AI676" i="67"/>
  <c r="R978" i="67"/>
  <c r="R827" i="67"/>
  <c r="R372" i="67"/>
  <c r="R524" i="67"/>
  <c r="R66" i="67"/>
  <c r="R219" i="67"/>
  <c r="R676" i="67"/>
  <c r="U993" i="67"/>
  <c r="U387" i="67"/>
  <c r="U842" i="67"/>
  <c r="U81" i="67"/>
  <c r="U234" i="67"/>
  <c r="U539" i="67"/>
  <c r="U691" i="67"/>
  <c r="AV993" i="67"/>
  <c r="AV387" i="67"/>
  <c r="AV842" i="67"/>
  <c r="AV539" i="67"/>
  <c r="AV691" i="67"/>
  <c r="AV81" i="67"/>
  <c r="AV234" i="67"/>
  <c r="AK977" i="67"/>
  <c r="AK371" i="67"/>
  <c r="AK523" i="67"/>
  <c r="AK826" i="67"/>
  <c r="AK65" i="67"/>
  <c r="AK218" i="67"/>
  <c r="AO977" i="67"/>
  <c r="AO826" i="67"/>
  <c r="AO371" i="67"/>
  <c r="AO523" i="67"/>
  <c r="AO65" i="67"/>
  <c r="AO218" i="67"/>
  <c r="AL977" i="67"/>
  <c r="AL371" i="67"/>
  <c r="AL826" i="67"/>
  <c r="AL523" i="67"/>
  <c r="AL65" i="67"/>
  <c r="AL218" i="67"/>
  <c r="X977" i="67"/>
  <c r="X826" i="67"/>
  <c r="X371" i="67"/>
  <c r="X523" i="67"/>
  <c r="X65" i="67"/>
  <c r="X218" i="67"/>
  <c r="AM977" i="67"/>
  <c r="AM523" i="67"/>
  <c r="AM371" i="67"/>
  <c r="AM826" i="67"/>
  <c r="AM65" i="67"/>
  <c r="AM218" i="67"/>
  <c r="AW977" i="67"/>
  <c r="AW826" i="67"/>
  <c r="AW371" i="67"/>
  <c r="AW523" i="67"/>
  <c r="AW65" i="67"/>
  <c r="AW218" i="67"/>
  <c r="N978" i="67"/>
  <c r="N372" i="67"/>
  <c r="N524" i="67"/>
  <c r="N827" i="67"/>
  <c r="N66" i="67"/>
  <c r="N219" i="67"/>
  <c r="N676" i="67"/>
  <c r="AU978" i="67"/>
  <c r="AU372" i="67"/>
  <c r="AU524" i="67"/>
  <c r="AU827" i="67"/>
  <c r="AU66" i="67"/>
  <c r="AU219" i="67"/>
  <c r="AU676" i="67"/>
  <c r="AF978" i="67"/>
  <c r="AF372" i="67"/>
  <c r="AF524" i="67"/>
  <c r="AF827" i="67"/>
  <c r="AF66" i="67"/>
  <c r="AF219" i="67"/>
  <c r="AF676" i="67"/>
  <c r="AW978" i="67"/>
  <c r="AW524" i="67"/>
  <c r="AW372" i="67"/>
  <c r="AW827" i="67"/>
  <c r="AW66" i="67"/>
  <c r="AW219" i="67"/>
  <c r="AW676" i="67"/>
  <c r="M994" i="67"/>
  <c r="M388" i="67"/>
  <c r="M843" i="67"/>
  <c r="M540" i="67"/>
  <c r="M692" i="67"/>
  <c r="M82" i="67"/>
  <c r="M235" i="67"/>
  <c r="AV978" i="67"/>
  <c r="AV372" i="67"/>
  <c r="AV524" i="67"/>
  <c r="AV827" i="67"/>
  <c r="AV66" i="67"/>
  <c r="AV219" i="67"/>
  <c r="AV676" i="67"/>
  <c r="T994" i="67"/>
  <c r="T388" i="67"/>
  <c r="T843" i="67"/>
  <c r="T540" i="67"/>
  <c r="T692" i="67"/>
  <c r="T82" i="67"/>
  <c r="T235" i="67"/>
  <c r="AP978" i="67"/>
  <c r="AP827" i="67"/>
  <c r="AP372" i="67"/>
  <c r="AP524" i="67"/>
  <c r="AP66" i="67"/>
  <c r="AP219" i="67"/>
  <c r="AP676" i="67"/>
  <c r="Q994" i="67"/>
  <c r="Q388" i="67"/>
  <c r="Q843" i="67"/>
  <c r="Q82" i="67"/>
  <c r="Q235" i="67"/>
  <c r="Q540" i="67"/>
  <c r="Q692" i="67"/>
  <c r="AN993" i="67"/>
  <c r="AN387" i="67"/>
  <c r="AN842" i="67"/>
  <c r="AN539" i="67"/>
  <c r="AN691" i="67"/>
  <c r="AN81" i="67"/>
  <c r="AN234" i="67"/>
  <c r="Y977" i="67"/>
  <c r="Y826" i="67"/>
  <c r="Y371" i="67"/>
  <c r="Y523" i="67"/>
  <c r="Y65" i="67"/>
  <c r="Y218" i="67"/>
  <c r="AG977" i="67"/>
  <c r="AG826" i="67"/>
  <c r="AG371" i="67"/>
  <c r="AG523" i="67"/>
  <c r="AG65" i="67"/>
  <c r="AG218" i="67"/>
  <c r="AP977" i="67"/>
  <c r="AP371" i="67"/>
  <c r="AP523" i="67"/>
  <c r="AP65" i="67"/>
  <c r="AP826" i="67"/>
  <c r="AP218" i="67"/>
  <c r="AQ993" i="67"/>
  <c r="AQ387" i="67"/>
  <c r="AQ842" i="67"/>
  <c r="AQ539" i="67"/>
  <c r="AQ691" i="67"/>
  <c r="AQ81" i="67"/>
  <c r="AQ234" i="67"/>
  <c r="AN977" i="67"/>
  <c r="AN826" i="67"/>
  <c r="AN371" i="67"/>
  <c r="AN523" i="67"/>
  <c r="AN65" i="67"/>
  <c r="AN218" i="67"/>
  <c r="AI993" i="67"/>
  <c r="AI387" i="67"/>
  <c r="AI842" i="67"/>
  <c r="AI539" i="67"/>
  <c r="AI691" i="67"/>
  <c r="AI81" i="67"/>
  <c r="AI234" i="67"/>
  <c r="AJ977" i="67"/>
  <c r="AJ371" i="67"/>
  <c r="AJ523" i="67"/>
  <c r="AJ826" i="67"/>
  <c r="AJ65" i="67"/>
  <c r="AJ218" i="67"/>
  <c r="AR977" i="67"/>
  <c r="AR523" i="67"/>
  <c r="AR371" i="67"/>
  <c r="AR826" i="67"/>
  <c r="AR65" i="67"/>
  <c r="AR218" i="67"/>
  <c r="L978" i="67"/>
  <c r="L372" i="67"/>
  <c r="L524" i="67"/>
  <c r="L66" i="67"/>
  <c r="L219" i="67"/>
  <c r="L827" i="67"/>
  <c r="L676" i="67"/>
  <c r="AE994" i="67"/>
  <c r="AE388" i="67"/>
  <c r="AE843" i="67"/>
  <c r="AE82" i="67"/>
  <c r="AE235" i="67"/>
  <c r="AE540" i="67"/>
  <c r="AE692" i="67"/>
  <c r="AE978" i="67"/>
  <c r="AE372" i="67"/>
  <c r="AE524" i="67"/>
  <c r="AE827" i="67"/>
  <c r="AE66" i="67"/>
  <c r="AE219" i="67"/>
  <c r="AE676" i="67"/>
  <c r="AW994" i="67"/>
  <c r="AW388" i="67"/>
  <c r="AW843" i="67"/>
  <c r="AW82" i="67"/>
  <c r="AW235" i="67"/>
  <c r="AW540" i="67"/>
  <c r="AW692" i="67"/>
  <c r="AA978" i="67"/>
  <c r="AA827" i="67"/>
  <c r="AA372" i="67"/>
  <c r="AA524" i="67"/>
  <c r="AA66" i="67"/>
  <c r="AA219" i="67"/>
  <c r="AA676" i="67"/>
  <c r="AE993" i="67"/>
  <c r="AE387" i="67"/>
  <c r="AE842" i="67"/>
  <c r="AE81" i="67"/>
  <c r="AE234" i="67"/>
  <c r="AE539" i="67"/>
  <c r="AE691" i="67"/>
  <c r="W993" i="67"/>
  <c r="W387" i="67"/>
  <c r="W842" i="67"/>
  <c r="W81" i="67"/>
  <c r="W234" i="67"/>
  <c r="W539" i="67"/>
  <c r="W691" i="67"/>
  <c r="Q977" i="67"/>
  <c r="Q826" i="67"/>
  <c r="Q371" i="67"/>
  <c r="Q523" i="67"/>
  <c r="Q65" i="67"/>
  <c r="Q218" i="67"/>
  <c r="P994" i="67"/>
  <c r="P388" i="67"/>
  <c r="P843" i="67"/>
  <c r="P82" i="67"/>
  <c r="P235" i="67"/>
  <c r="P540" i="67"/>
  <c r="P692" i="67"/>
  <c r="S978" i="67"/>
  <c r="S827" i="67"/>
  <c r="S372" i="67"/>
  <c r="S524" i="67"/>
  <c r="S66" i="67"/>
  <c r="S219" i="67"/>
  <c r="S676" i="67"/>
  <c r="S994" i="67"/>
  <c r="S388" i="67"/>
  <c r="S843" i="67"/>
  <c r="S540" i="67"/>
  <c r="S692" i="67"/>
  <c r="S82" i="67"/>
  <c r="S235" i="67"/>
  <c r="AR978" i="67"/>
  <c r="AR372" i="67"/>
  <c r="AR524" i="67"/>
  <c r="AR66" i="67"/>
  <c r="AR219" i="67"/>
  <c r="AR827" i="67"/>
  <c r="AR676" i="67"/>
  <c r="W994" i="67"/>
  <c r="W388" i="67"/>
  <c r="W843" i="67"/>
  <c r="W82" i="67"/>
  <c r="W235" i="67"/>
  <c r="W540" i="67"/>
  <c r="W692" i="67"/>
  <c r="O978" i="67"/>
  <c r="O372" i="67"/>
  <c r="O524" i="67"/>
  <c r="O827" i="67"/>
  <c r="O66" i="67"/>
  <c r="O219" i="67"/>
  <c r="O676" i="67"/>
  <c r="AD994" i="67"/>
  <c r="AD388" i="67"/>
  <c r="AD843" i="67"/>
  <c r="AD82" i="67"/>
  <c r="AD235" i="67"/>
  <c r="AD540" i="67"/>
  <c r="AD692" i="67"/>
  <c r="AL978" i="67"/>
  <c r="AL524" i="67"/>
  <c r="AL372" i="67"/>
  <c r="AL827" i="67"/>
  <c r="AL66" i="67"/>
  <c r="AL219" i="67"/>
  <c r="AL676" i="67"/>
  <c r="Y978" i="67"/>
  <c r="Y372" i="67"/>
  <c r="Y524" i="67"/>
  <c r="Y827" i="67"/>
  <c r="Y66" i="67"/>
  <c r="Y219" i="67"/>
  <c r="Y676" i="67"/>
  <c r="AB994" i="67"/>
  <c r="AB388" i="67"/>
  <c r="AB843" i="67"/>
  <c r="AB540" i="67"/>
  <c r="AB692" i="67"/>
  <c r="AB82" i="67"/>
  <c r="AB235" i="67"/>
  <c r="AT993" i="67"/>
  <c r="AT387" i="67"/>
  <c r="AT842" i="67"/>
  <c r="AT81" i="67"/>
  <c r="AT234" i="67"/>
  <c r="AT539" i="67"/>
  <c r="AT691" i="67"/>
  <c r="AQ977" i="67"/>
  <c r="AQ826" i="67"/>
  <c r="AQ371" i="67"/>
  <c r="AQ523" i="67"/>
  <c r="AQ65" i="67"/>
  <c r="AQ218" i="67"/>
  <c r="AK993" i="67"/>
  <c r="AK387" i="67"/>
  <c r="AK842" i="67"/>
  <c r="AK81" i="67"/>
  <c r="AK234" i="67"/>
  <c r="AK539" i="67"/>
  <c r="AK691" i="67"/>
  <c r="S993" i="67"/>
  <c r="S387" i="67"/>
  <c r="S842" i="67"/>
  <c r="S539" i="67"/>
  <c r="S691" i="67"/>
  <c r="S81" i="67"/>
  <c r="S234" i="67"/>
  <c r="AL993" i="67"/>
  <c r="AL387" i="67"/>
  <c r="AL842" i="67"/>
  <c r="AL81" i="67"/>
  <c r="AL234" i="67"/>
  <c r="AL539" i="67"/>
  <c r="AL691" i="67"/>
  <c r="Y993" i="67"/>
  <c r="Y387" i="67"/>
  <c r="Y842" i="67"/>
  <c r="Y539" i="67"/>
  <c r="Y81" i="67"/>
  <c r="Y691" i="67"/>
  <c r="Y234" i="67"/>
  <c r="K994" i="67"/>
  <c r="K388" i="67"/>
  <c r="K843" i="67"/>
  <c r="K82" i="67"/>
  <c r="K235" i="67"/>
  <c r="K540" i="67"/>
  <c r="K692" i="67"/>
  <c r="AN978" i="67"/>
  <c r="AN524" i="67"/>
  <c r="AN372" i="67"/>
  <c r="AN827" i="67"/>
  <c r="AN66" i="67"/>
  <c r="AN219" i="67"/>
  <c r="AN676" i="67"/>
  <c r="AO978" i="67"/>
  <c r="AO372" i="67"/>
  <c r="AO524" i="67"/>
  <c r="AO827" i="67"/>
  <c r="AO66" i="67"/>
  <c r="AO219" i="67"/>
  <c r="AO676" i="67"/>
  <c r="AL994" i="67"/>
  <c r="AL388" i="67"/>
  <c r="AL843" i="67"/>
  <c r="AL82" i="67"/>
  <c r="AL235" i="67"/>
  <c r="AL540" i="67"/>
  <c r="AL692" i="67"/>
  <c r="AP994" i="67"/>
  <c r="AP388" i="67"/>
  <c r="AP843" i="67"/>
  <c r="AP540" i="67"/>
  <c r="AP692" i="67"/>
  <c r="AP82" i="67"/>
  <c r="AP235" i="67"/>
  <c r="AP993" i="67"/>
  <c r="AP387" i="67"/>
  <c r="AP842" i="67"/>
  <c r="AP539" i="67"/>
  <c r="AP691" i="67"/>
  <c r="AP81" i="67"/>
  <c r="AP234" i="67"/>
  <c r="AF977" i="67"/>
  <c r="AF826" i="67"/>
  <c r="AF371" i="67"/>
  <c r="AF523" i="67"/>
  <c r="AF65" i="67"/>
  <c r="AF218" i="67"/>
  <c r="AT977" i="67"/>
  <c r="AT523" i="67"/>
  <c r="AT371" i="67"/>
  <c r="AT826" i="67"/>
  <c r="AT65" i="67"/>
  <c r="AT218" i="67"/>
  <c r="R993" i="67"/>
  <c r="R387" i="67"/>
  <c r="R842" i="67"/>
  <c r="R539" i="67"/>
  <c r="R691" i="67"/>
  <c r="R81" i="67"/>
  <c r="R234" i="67"/>
  <c r="Z977" i="67"/>
  <c r="Z371" i="67"/>
  <c r="Z65" i="67"/>
  <c r="Z218" i="67"/>
  <c r="Z523" i="67"/>
  <c r="Z826" i="67"/>
  <c r="AH977" i="67"/>
  <c r="AH371" i="67"/>
  <c r="AH826" i="67"/>
  <c r="AH65" i="67"/>
  <c r="AH218" i="67"/>
  <c r="AH523" i="67"/>
  <c r="X978" i="67"/>
  <c r="X524" i="67"/>
  <c r="X372" i="67"/>
  <c r="X827" i="67"/>
  <c r="X66" i="67"/>
  <c r="X219" i="67"/>
  <c r="X676" i="67"/>
  <c r="AR994" i="67"/>
  <c r="AR388" i="67"/>
  <c r="AR843" i="67"/>
  <c r="AR540" i="67"/>
  <c r="AR692" i="67"/>
  <c r="AR82" i="67"/>
  <c r="AR235" i="67"/>
  <c r="Z978" i="67"/>
  <c r="Z827" i="67"/>
  <c r="Z372" i="67"/>
  <c r="Z524" i="67"/>
  <c r="Z66" i="67"/>
  <c r="Z219" i="67"/>
  <c r="Z676" i="67"/>
  <c r="P993" i="67"/>
  <c r="P387" i="67"/>
  <c r="P842" i="67"/>
  <c r="P539" i="67"/>
  <c r="P691" i="67"/>
  <c r="P81" i="67"/>
  <c r="P234" i="67"/>
  <c r="AW993" i="67"/>
  <c r="AW387" i="67"/>
  <c r="AW842" i="67"/>
  <c r="AW539" i="67"/>
  <c r="AW691" i="67"/>
  <c r="AW81" i="67"/>
  <c r="AW234" i="67"/>
  <c r="AS977" i="67"/>
  <c r="AS523" i="67"/>
  <c r="AS371" i="67"/>
  <c r="AS826" i="67"/>
  <c r="AS65" i="67"/>
  <c r="AS218" i="67"/>
  <c r="AB977" i="67"/>
  <c r="AB523" i="67"/>
  <c r="AB371" i="67"/>
  <c r="AB826" i="67"/>
  <c r="AB65" i="67"/>
  <c r="AB218" i="67"/>
  <c r="L994" i="67"/>
  <c r="L388" i="67"/>
  <c r="L843" i="67"/>
  <c r="L540" i="67"/>
  <c r="L692" i="67"/>
  <c r="L82" i="67"/>
  <c r="L235" i="67"/>
  <c r="AH994" i="67"/>
  <c r="AH388" i="67"/>
  <c r="AH843" i="67"/>
  <c r="AH540" i="67"/>
  <c r="AH692" i="67"/>
  <c r="AH82" i="67"/>
  <c r="AH235" i="67"/>
  <c r="W978" i="67"/>
  <c r="W524" i="67"/>
  <c r="W372" i="67"/>
  <c r="W827" i="67"/>
  <c r="W66" i="67"/>
  <c r="W219" i="67"/>
  <c r="W676" i="67"/>
  <c r="AO994" i="67"/>
  <c r="AO388" i="67"/>
  <c r="AO843" i="67"/>
  <c r="AO82" i="67"/>
  <c r="AO235" i="67"/>
  <c r="AO540" i="67"/>
  <c r="AO692" i="67"/>
  <c r="P978" i="67"/>
  <c r="P372" i="67"/>
  <c r="P524" i="67"/>
  <c r="P827" i="67"/>
  <c r="P66" i="67"/>
  <c r="P219" i="67"/>
  <c r="P676" i="67"/>
  <c r="AG994" i="67"/>
  <c r="AG388" i="67"/>
  <c r="AG843" i="67"/>
  <c r="AG82" i="67"/>
  <c r="AG235" i="67"/>
  <c r="AG540" i="67"/>
  <c r="AG692" i="67"/>
  <c r="U978" i="67"/>
  <c r="U827" i="67"/>
  <c r="U372" i="67"/>
  <c r="U524" i="67"/>
  <c r="U66" i="67"/>
  <c r="U219" i="67"/>
  <c r="U676" i="67"/>
  <c r="AF994" i="67"/>
  <c r="AF388" i="67"/>
  <c r="AF843" i="67"/>
  <c r="AF82" i="67"/>
  <c r="AF235" i="67"/>
  <c r="AF540" i="67"/>
  <c r="AF692" i="67"/>
  <c r="AD978" i="67"/>
  <c r="AD372" i="67"/>
  <c r="AD524" i="67"/>
  <c r="AD827" i="67"/>
  <c r="AD66" i="67"/>
  <c r="AD219" i="67"/>
  <c r="AD676" i="67"/>
  <c r="M993" i="67"/>
  <c r="M387" i="67"/>
  <c r="M842" i="67"/>
  <c r="M539" i="67"/>
  <c r="M81" i="67"/>
  <c r="M691" i="67"/>
  <c r="M234" i="67"/>
  <c r="AJ993" i="67"/>
  <c r="AJ387" i="67"/>
  <c r="AJ842" i="67"/>
  <c r="AJ81" i="67"/>
  <c r="AJ234" i="67"/>
  <c r="AJ539" i="67"/>
  <c r="AJ691" i="67"/>
  <c r="AU977" i="67"/>
  <c r="AU371" i="67"/>
  <c r="AU523" i="67"/>
  <c r="AU826" i="67"/>
  <c r="AU65" i="67"/>
  <c r="AU218" i="67"/>
  <c r="AC977" i="67"/>
  <c r="AC523" i="67"/>
  <c r="AC371" i="67"/>
  <c r="AC826" i="67"/>
  <c r="AC65" i="67"/>
  <c r="AC218" i="67"/>
  <c r="R977" i="67"/>
  <c r="R371" i="67"/>
  <c r="R65" i="67"/>
  <c r="R218" i="67"/>
  <c r="R523" i="67"/>
  <c r="R826" i="67"/>
  <c r="AS993" i="67"/>
  <c r="AS387" i="67"/>
  <c r="AS842" i="67"/>
  <c r="AS81" i="67"/>
  <c r="AS234" i="67"/>
  <c r="AS539" i="67"/>
  <c r="AS691" i="67"/>
  <c r="AO993" i="67"/>
  <c r="AO387" i="67"/>
  <c r="AO842" i="67"/>
  <c r="AO539" i="67"/>
  <c r="AO81" i="67"/>
  <c r="AO691" i="67"/>
  <c r="AO234" i="67"/>
  <c r="AM993" i="67"/>
  <c r="AM387" i="67"/>
  <c r="AM842" i="67"/>
  <c r="AM81" i="67"/>
  <c r="AM234" i="67"/>
  <c r="AM539" i="67"/>
  <c r="AM691" i="67"/>
  <c r="O994" i="67"/>
  <c r="O388" i="67"/>
  <c r="O843" i="67"/>
  <c r="O540" i="67"/>
  <c r="O82" i="67"/>
  <c r="O692" i="67"/>
  <c r="O235" i="67"/>
  <c r="AQ978" i="67"/>
  <c r="AQ827" i="67"/>
  <c r="AQ372" i="67"/>
  <c r="AQ524" i="67"/>
  <c r="AQ66" i="67"/>
  <c r="AQ219" i="67"/>
  <c r="AQ676" i="67"/>
  <c r="AQ994" i="67"/>
  <c r="AQ388" i="67"/>
  <c r="AQ843" i="67"/>
  <c r="AQ540" i="67"/>
  <c r="AQ692" i="67"/>
  <c r="AQ82" i="67"/>
  <c r="AQ235" i="67"/>
  <c r="AA994" i="67"/>
  <c r="AA388" i="67"/>
  <c r="AA843" i="67"/>
  <c r="AA540" i="67"/>
  <c r="AA82" i="67"/>
  <c r="AA692" i="67"/>
  <c r="AA235" i="67"/>
  <c r="AS994" i="67"/>
  <c r="AS388" i="67"/>
  <c r="AS843" i="67"/>
  <c r="AS540" i="67"/>
  <c r="AS692" i="67"/>
  <c r="AS82" i="67"/>
  <c r="AS235" i="67"/>
  <c r="C14" i="62"/>
  <c r="D14" i="45"/>
  <c r="E78" i="36"/>
  <c r="D218" i="33"/>
  <c r="E218" i="33" s="1"/>
  <c r="D168" i="34"/>
  <c r="E68" i="36"/>
  <c r="D158" i="34"/>
  <c r="D208" i="33"/>
  <c r="E208" i="33" s="1"/>
  <c r="E79" i="36"/>
  <c r="D169" i="34"/>
  <c r="D219" i="33"/>
  <c r="E219" i="33" s="1"/>
  <c r="D58" i="36"/>
  <c r="D109" i="34"/>
  <c r="E109" i="34" s="1"/>
  <c r="E93" i="34"/>
  <c r="D56" i="36"/>
  <c r="D119" i="34"/>
  <c r="E119" i="34" s="1"/>
  <c r="E103" i="34"/>
  <c r="D120" i="34"/>
  <c r="E120" i="34" s="1"/>
  <c r="E104" i="34"/>
  <c r="E16" i="45"/>
  <c r="U1281" i="67" l="1"/>
  <c r="AD1281" i="67"/>
  <c r="M1281" i="67"/>
  <c r="P1281" i="67"/>
  <c r="Y1298" i="67"/>
  <c r="AT1282" i="67"/>
  <c r="X1297" i="67"/>
  <c r="AR1297" i="67"/>
  <c r="S1281" i="67"/>
  <c r="AO1297" i="67"/>
  <c r="AF1298" i="67"/>
  <c r="U1282" i="67"/>
  <c r="AO1298" i="67"/>
  <c r="W1282" i="67"/>
  <c r="AB1281" i="67"/>
  <c r="AS1281" i="67"/>
  <c r="AF1281" i="67"/>
  <c r="AR1281" i="67"/>
  <c r="Y1281" i="67"/>
  <c r="X1281" i="67"/>
  <c r="AO1281" i="67"/>
  <c r="AK1281" i="67"/>
  <c r="AV1297" i="67"/>
  <c r="V1281" i="67"/>
  <c r="AE1281" i="67"/>
  <c r="AS1282" i="67"/>
  <c r="AA1298" i="67"/>
  <c r="R1281" i="67"/>
  <c r="AQ1281" i="67"/>
  <c r="AT1297" i="67"/>
  <c r="AD1298" i="67"/>
  <c r="O1282" i="67"/>
  <c r="W1298" i="67"/>
  <c r="AJ1281" i="67"/>
  <c r="AG1281" i="67"/>
  <c r="AA1281" i="67"/>
  <c r="AC1281" i="67"/>
  <c r="AU1281" i="67"/>
  <c r="Z1282" i="67"/>
  <c r="AR1298" i="67"/>
  <c r="AT1281" i="67"/>
  <c r="AP1298" i="67"/>
  <c r="AN1282" i="67"/>
  <c r="K1298" i="67"/>
  <c r="AN1281" i="67"/>
  <c r="M1282" i="67"/>
  <c r="Z1297" i="67"/>
  <c r="L1281" i="67"/>
  <c r="AU1298" i="67"/>
  <c r="W1281" i="67"/>
  <c r="AH1298" i="67"/>
  <c r="AH1281" i="67"/>
  <c r="N1281" i="67"/>
  <c r="O1281" i="67"/>
  <c r="AI1281" i="67"/>
  <c r="AC1297" i="67"/>
  <c r="T1297" i="67"/>
  <c r="AS1298" i="67"/>
  <c r="AQ1282" i="67"/>
  <c r="M1297" i="67"/>
  <c r="Z1281" i="67"/>
  <c r="Y1297" i="67"/>
  <c r="AK1297" i="67"/>
  <c r="Q1281" i="67"/>
  <c r="W1297" i="67"/>
  <c r="AP1281" i="67"/>
  <c r="AM1281" i="67"/>
  <c r="AL1281" i="67"/>
  <c r="AV1281" i="67"/>
  <c r="T1281" i="67"/>
  <c r="AK1282" i="67"/>
  <c r="AK1298" i="67"/>
  <c r="K1281" i="67"/>
  <c r="AN1298" i="67"/>
  <c r="AB1282" i="67"/>
  <c r="AM1297" i="67"/>
  <c r="AJ1297" i="67"/>
  <c r="AW1297" i="67"/>
  <c r="AP1297" i="67"/>
  <c r="AL1298" i="67"/>
  <c r="AW1298" i="67"/>
  <c r="AE1282" i="67"/>
  <c r="AN1297" i="67"/>
  <c r="AV1282" i="67"/>
  <c r="M1298" i="67"/>
  <c r="AU1282" i="67"/>
  <c r="AI1282" i="67"/>
  <c r="K1297" i="67"/>
  <c r="AJ1282" i="67"/>
  <c r="AJ1298" i="67"/>
  <c r="Q1297" i="67"/>
  <c r="AA1297" i="67"/>
  <c r="L1297" i="67"/>
  <c r="Q1282" i="67"/>
  <c r="AV1298" i="67"/>
  <c r="AD1297" i="67"/>
  <c r="AB1297" i="67"/>
  <c r="AQ1298" i="67"/>
  <c r="AD1282" i="67"/>
  <c r="AG1298" i="67"/>
  <c r="P1282" i="67"/>
  <c r="P1297" i="67"/>
  <c r="X1282" i="67"/>
  <c r="R1297" i="67"/>
  <c r="AL1297" i="67"/>
  <c r="AL1282" i="67"/>
  <c r="AE1297" i="67"/>
  <c r="AA1282" i="67"/>
  <c r="AQ1297" i="67"/>
  <c r="AF1282" i="67"/>
  <c r="U1297" i="67"/>
  <c r="R1282" i="67"/>
  <c r="N1298" i="67"/>
  <c r="O1297" i="67"/>
  <c r="AM1298" i="67"/>
  <c r="AW1281" i="67"/>
  <c r="V1297" i="67"/>
  <c r="AG1297" i="67"/>
  <c r="AH1282" i="67"/>
  <c r="AI1298" i="67"/>
  <c r="T1282" i="67"/>
  <c r="AC1298" i="67"/>
  <c r="AT1298" i="67"/>
  <c r="AU1297" i="67"/>
  <c r="R1298" i="67"/>
  <c r="V1298" i="67"/>
  <c r="V1282" i="67"/>
  <c r="N1282" i="67"/>
  <c r="O1298" i="67"/>
  <c r="AS1297" i="67"/>
  <c r="AO1282" i="67"/>
  <c r="AB1298" i="67"/>
  <c r="S1282" i="67"/>
  <c r="L1298" i="67"/>
  <c r="S1297" i="67"/>
  <c r="Y1282" i="67"/>
  <c r="AR1282" i="67"/>
  <c r="S1298" i="67"/>
  <c r="P1298" i="67"/>
  <c r="AE1298" i="67"/>
  <c r="L1282" i="67"/>
  <c r="AI1297" i="67"/>
  <c r="Q1298" i="67"/>
  <c r="AP1282" i="67"/>
  <c r="T1298" i="67"/>
  <c r="AW1282" i="67"/>
  <c r="AM1282" i="67"/>
  <c r="Z1298" i="67"/>
  <c r="AG1282" i="67"/>
  <c r="N1297" i="67"/>
  <c r="AC1282" i="67"/>
  <c r="X1298" i="67"/>
  <c r="K1282" i="67"/>
  <c r="AF1297" i="67"/>
  <c r="U1298" i="67"/>
  <c r="AH1297" i="67"/>
  <c r="C15" i="62"/>
  <c r="D15" i="45"/>
  <c r="D185" i="34"/>
  <c r="E185" i="34" s="1"/>
  <c r="E169" i="34"/>
  <c r="E168" i="34"/>
  <c r="D184" i="34"/>
  <c r="E184" i="34" s="1"/>
  <c r="E158" i="34"/>
  <c r="D174" i="34"/>
  <c r="E174" i="34" s="1"/>
  <c r="E56" i="36"/>
  <c r="D97" i="34"/>
  <c r="D72" i="36"/>
  <c r="E58" i="36"/>
  <c r="D99" i="34"/>
  <c r="D74" i="36"/>
  <c r="E17" i="45"/>
  <c r="C16" i="62" l="1"/>
  <c r="D16" i="45"/>
  <c r="E74" i="36"/>
  <c r="D214" i="33"/>
  <c r="E214" i="33" s="1"/>
  <c r="D164" i="34"/>
  <c r="E72" i="36"/>
  <c r="D212" i="33"/>
  <c r="E212" i="33" s="1"/>
  <c r="D162" i="34"/>
  <c r="E97" i="34"/>
  <c r="D113" i="34"/>
  <c r="E113" i="34" s="1"/>
  <c r="D115" i="34"/>
  <c r="E115" i="34" s="1"/>
  <c r="E99" i="34"/>
  <c r="E18" i="45"/>
  <c r="C17" i="62" l="1"/>
  <c r="D17" i="45"/>
  <c r="E164" i="34"/>
  <c r="D180" i="34"/>
  <c r="E180" i="34" s="1"/>
  <c r="D178" i="34"/>
  <c r="E178" i="34" s="1"/>
  <c r="E162" i="34"/>
  <c r="E11" i="45"/>
  <c r="C18" i="62" l="1"/>
  <c r="D18" i="45"/>
  <c r="E18" i="34"/>
  <c r="E19" i="34" s="1"/>
  <c r="E4" i="34"/>
  <c r="E5" i="34" s="1"/>
  <c r="E18" i="33"/>
  <c r="E36" i="33" s="1"/>
  <c r="E4" i="33"/>
  <c r="C19" i="62" l="1"/>
  <c r="D11" i="45"/>
  <c r="D59" i="45" s="1"/>
  <c r="E21" i="34"/>
  <c r="E22" i="34" s="1"/>
  <c r="E23" i="34" s="1"/>
  <c r="E24" i="34" s="1"/>
  <c r="E25" i="34" s="1"/>
  <c r="E26" i="34" s="1"/>
  <c r="E27" i="34" s="1"/>
  <c r="E28" i="34" s="1"/>
  <c r="E29" i="34" s="1"/>
  <c r="E30" i="34" s="1"/>
  <c r="E20" i="34"/>
  <c r="E7" i="34"/>
  <c r="E8" i="34" s="1"/>
  <c r="E9" i="34" s="1"/>
  <c r="E10" i="34" s="1"/>
  <c r="E11" i="34" s="1"/>
  <c r="E12" i="34" s="1"/>
  <c r="E13" i="34" s="1"/>
  <c r="E14" i="34" s="1"/>
  <c r="E15" i="34" s="1"/>
  <c r="E16" i="34" s="1"/>
  <c r="E17" i="34" s="1"/>
  <c r="E6" i="34"/>
  <c r="H77" i="36" l="1"/>
  <c r="H61" i="36"/>
  <c r="H167" i="34"/>
  <c r="H183" i="34"/>
  <c r="E31" i="34"/>
  <c r="E32" i="34" s="1"/>
  <c r="E33" i="34" s="1"/>
  <c r="E34" i="34" s="1"/>
  <c r="E35" i="34" s="1"/>
  <c r="E36" i="34" s="1"/>
  <c r="E37" i="34" s="1"/>
  <c r="F9" i="45" l="1"/>
  <c r="I9" i="68" s="1"/>
  <c r="F16" i="45"/>
  <c r="I16" i="68" s="1"/>
  <c r="H102" i="34"/>
  <c r="F24" i="45"/>
  <c r="I24" i="68" s="1"/>
  <c r="H118" i="34"/>
  <c r="I61" i="36"/>
  <c r="I77" i="36"/>
  <c r="I167" i="34"/>
  <c r="I183" i="34"/>
  <c r="E39" i="34"/>
  <c r="E40" i="34" s="1"/>
  <c r="E41" i="34" s="1"/>
  <c r="E42" i="34" s="1"/>
  <c r="E43" i="34" s="1"/>
  <c r="E44" i="34" s="1"/>
  <c r="E45" i="34" s="1"/>
  <c r="E46" i="34" s="1"/>
  <c r="E47" i="34" s="1"/>
  <c r="E48" i="34" s="1"/>
  <c r="E49" i="34" s="1"/>
  <c r="E50" i="34" s="1"/>
  <c r="E51" i="34" s="1"/>
  <c r="E52" i="34" s="1"/>
  <c r="E53" i="34" s="1"/>
  <c r="E38" i="34"/>
  <c r="G16" i="45" l="1"/>
  <c r="J16" i="68" s="1"/>
  <c r="I102" i="34"/>
  <c r="G24" i="45"/>
  <c r="J24" i="68" s="1"/>
  <c r="G9" i="45"/>
  <c r="J9" i="68" s="1"/>
  <c r="I118" i="34"/>
  <c r="K61" i="36" l="1"/>
  <c r="K77" i="36"/>
  <c r="K167" i="34"/>
  <c r="K183" i="34"/>
  <c r="J77" i="36"/>
  <c r="J61" i="36"/>
  <c r="J167" i="34"/>
  <c r="J183" i="34"/>
  <c r="I24" i="45" l="1"/>
  <c r="L24" i="68" s="1"/>
  <c r="J102" i="34"/>
  <c r="H16" i="45"/>
  <c r="K16" i="68" s="1"/>
  <c r="H9" i="45"/>
  <c r="K9" i="68" s="1"/>
  <c r="J118" i="34"/>
  <c r="K118" i="34"/>
  <c r="I9" i="45"/>
  <c r="L9" i="68" s="1"/>
  <c r="I16" i="45"/>
  <c r="L16" i="68" s="1"/>
  <c r="H24" i="45"/>
  <c r="K24" i="68" s="1"/>
  <c r="K102" i="34"/>
  <c r="L77" i="36"/>
  <c r="L61" i="36"/>
  <c r="L167" i="34"/>
  <c r="L183" i="34"/>
  <c r="J16" i="45" l="1"/>
  <c r="M16" i="68" s="1"/>
  <c r="J9" i="45"/>
  <c r="M9" i="68" s="1"/>
  <c r="L102" i="34"/>
  <c r="J24" i="45"/>
  <c r="M24" i="68" s="1"/>
  <c r="L118" i="34"/>
  <c r="M77" i="36"/>
  <c r="M61" i="36"/>
  <c r="M183" i="34"/>
  <c r="M167" i="34"/>
  <c r="K9" i="45" l="1"/>
  <c r="N9" i="68" s="1"/>
  <c r="K24" i="45"/>
  <c r="N24" i="68" s="1"/>
  <c r="M102" i="34"/>
  <c r="M118" i="34"/>
  <c r="K16" i="45"/>
  <c r="N16" i="68" s="1"/>
  <c r="N77" i="36"/>
  <c r="N61" i="36"/>
  <c r="N183" i="34"/>
  <c r="N167" i="34"/>
  <c r="L16" i="45" l="1"/>
  <c r="O16" i="68" s="1"/>
  <c r="L9" i="45"/>
  <c r="O9" i="68" s="1"/>
  <c r="N102" i="34"/>
  <c r="L24" i="45"/>
  <c r="O24" i="68" s="1"/>
  <c r="N118" i="34"/>
  <c r="O61" i="36"/>
  <c r="O77" i="36"/>
  <c r="O167" i="34"/>
  <c r="O183" i="34"/>
  <c r="M9" i="45" l="1"/>
  <c r="P9" i="68" s="1"/>
  <c r="O102" i="34"/>
  <c r="M24" i="45"/>
  <c r="P24" i="68" s="1"/>
  <c r="M16" i="45"/>
  <c r="P16" i="68" s="1"/>
  <c r="O118" i="34"/>
  <c r="P77" i="36"/>
  <c r="P61" i="36"/>
  <c r="P167" i="34"/>
  <c r="P183" i="34"/>
  <c r="N16" i="45" l="1"/>
  <c r="Q16" i="68" s="1"/>
  <c r="P102" i="34"/>
  <c r="P118" i="34"/>
  <c r="N24" i="45"/>
  <c r="Q24" i="68" s="1"/>
  <c r="N9" i="45"/>
  <c r="Q9" i="68" s="1"/>
  <c r="Q77" i="36"/>
  <c r="Q61" i="36"/>
  <c r="Q167" i="34"/>
  <c r="Q183" i="34"/>
  <c r="O24" i="45" l="1"/>
  <c r="R24" i="68" s="1"/>
  <c r="O9" i="45"/>
  <c r="R9" i="68" s="1"/>
  <c r="Q118" i="34"/>
  <c r="Q102" i="34"/>
  <c r="O16" i="45"/>
  <c r="R16" i="68" s="1"/>
  <c r="R77" i="36"/>
  <c r="R61" i="36"/>
  <c r="R183" i="34"/>
  <c r="R167" i="34"/>
  <c r="R102" i="34" l="1"/>
  <c r="R118" i="34"/>
  <c r="P16" i="45"/>
  <c r="S16" i="68" s="1"/>
  <c r="P24" i="45"/>
  <c r="S24" i="68" s="1"/>
  <c r="P9" i="45"/>
  <c r="S9" i="68" s="1"/>
  <c r="S61" i="36"/>
  <c r="S77" i="36"/>
  <c r="S183" i="34"/>
  <c r="S167" i="34"/>
  <c r="Q24" i="45" l="1"/>
  <c r="T24" i="68" s="1"/>
  <c r="Q16" i="45"/>
  <c r="T16" i="68" s="1"/>
  <c r="S102" i="34"/>
  <c r="Q9" i="45"/>
  <c r="T9" i="68" s="1"/>
  <c r="S118" i="34"/>
  <c r="T77" i="36"/>
  <c r="T61" i="36"/>
  <c r="T183" i="34"/>
  <c r="T167" i="34"/>
  <c r="R9" i="45" l="1"/>
  <c r="U9" i="68" s="1"/>
  <c r="T102" i="34"/>
  <c r="R16" i="45"/>
  <c r="U16" i="68" s="1"/>
  <c r="T118" i="34"/>
  <c r="R24" i="45"/>
  <c r="U24" i="68" s="1"/>
  <c r="U77" i="36"/>
  <c r="U61" i="36"/>
  <c r="U167" i="34"/>
  <c r="U183" i="34"/>
  <c r="U102" i="34" l="1"/>
  <c r="U118" i="34"/>
  <c r="S9" i="45"/>
  <c r="V9" i="68" s="1"/>
  <c r="S24" i="45"/>
  <c r="V24" i="68" s="1"/>
  <c r="S16" i="45"/>
  <c r="V16" i="68" s="1"/>
  <c r="V77" i="36"/>
  <c r="V61" i="36"/>
  <c r="V167" i="34"/>
  <c r="V183" i="34"/>
  <c r="T9" i="45" l="1"/>
  <c r="W9" i="68" s="1"/>
  <c r="T24" i="45"/>
  <c r="W24" i="68" s="1"/>
  <c r="V118" i="34"/>
  <c r="V102" i="34"/>
  <c r="T16" i="45"/>
  <c r="W16" i="68" s="1"/>
  <c r="W77" i="36"/>
  <c r="W61" i="36"/>
  <c r="W167" i="34"/>
  <c r="W183" i="34"/>
  <c r="U24" i="45" l="1"/>
  <c r="X24" i="68" s="1"/>
  <c r="W118" i="34"/>
  <c r="U9" i="45"/>
  <c r="X9" i="68" s="1"/>
  <c r="U16" i="45"/>
  <c r="X16" i="68" s="1"/>
  <c r="W102" i="34"/>
  <c r="X61" i="36"/>
  <c r="X77" i="36"/>
  <c r="X167" i="34"/>
  <c r="X183" i="34"/>
  <c r="X102" i="34" l="1"/>
  <c r="V9" i="45"/>
  <c r="Y9" i="68" s="1"/>
  <c r="V24" i="45"/>
  <c r="Y24" i="68" s="1"/>
  <c r="X118" i="34"/>
  <c r="V16" i="45"/>
  <c r="Y16" i="68" s="1"/>
  <c r="Y61" i="36"/>
  <c r="Y77" i="36"/>
  <c r="Y183" i="34"/>
  <c r="Y167" i="34"/>
  <c r="W9" i="45" l="1"/>
  <c r="Z9" i="68" s="1"/>
  <c r="Y102" i="34"/>
  <c r="Y118" i="34"/>
  <c r="W24" i="45"/>
  <c r="Z24" i="68" s="1"/>
  <c r="W16" i="45"/>
  <c r="Z16" i="68" s="1"/>
  <c r="Z77" i="36"/>
  <c r="Z61" i="36"/>
  <c r="Z167" i="34"/>
  <c r="Z183" i="34"/>
  <c r="Z102" i="34" l="1"/>
  <c r="X24" i="45"/>
  <c r="AA24" i="68" s="1"/>
  <c r="Z118" i="34"/>
  <c r="X16" i="45"/>
  <c r="AA16" i="68" s="1"/>
  <c r="X9" i="45"/>
  <c r="AA9" i="68" s="1"/>
  <c r="AA77" i="36"/>
  <c r="AA61" i="36"/>
  <c r="AA167" i="34"/>
  <c r="AA183" i="34"/>
  <c r="Y9" i="45" l="1"/>
  <c r="AB9" i="68" s="1"/>
  <c r="Y16" i="45"/>
  <c r="AB16" i="68" s="1"/>
  <c r="AA102" i="34"/>
  <c r="Y24" i="45"/>
  <c r="AB24" i="68" s="1"/>
  <c r="AA118" i="34"/>
  <c r="AB77" i="36"/>
  <c r="AB61" i="36"/>
  <c r="AB167" i="34"/>
  <c r="AB183" i="34"/>
  <c r="Z9" i="45" l="1"/>
  <c r="AC9" i="68" s="1"/>
  <c r="Z24" i="45"/>
  <c r="AC24" i="68" s="1"/>
  <c r="AB118" i="34"/>
  <c r="AB102" i="34"/>
  <c r="Z16" i="45"/>
  <c r="AC16" i="68" s="1"/>
  <c r="AC77" i="36"/>
  <c r="AC61" i="36"/>
  <c r="AC167" i="34"/>
  <c r="AC183" i="34"/>
  <c r="AA9" i="45" l="1"/>
  <c r="AD9" i="68" s="1"/>
  <c r="AC118" i="34"/>
  <c r="AC102" i="34"/>
  <c r="AA24" i="45"/>
  <c r="AD24" i="68" s="1"/>
  <c r="AA16" i="45"/>
  <c r="AD16" i="68" s="1"/>
  <c r="AD183" i="34"/>
  <c r="AD167" i="34"/>
  <c r="AD118" i="34" l="1"/>
  <c r="AB24" i="45"/>
  <c r="AB9" i="45"/>
  <c r="AD102" i="34"/>
  <c r="AB16" i="45"/>
  <c r="AE167" i="34"/>
  <c r="AE183" i="34"/>
  <c r="AE118" i="34" l="1"/>
  <c r="AC9" i="45"/>
  <c r="AE102" i="34"/>
  <c r="AC24" i="45"/>
  <c r="AC16" i="45"/>
  <c r="AF167" i="34"/>
  <c r="AF183" i="34"/>
  <c r="AF118" i="34" l="1"/>
  <c r="AD9" i="45"/>
  <c r="AD16" i="45"/>
  <c r="AD24" i="45"/>
  <c r="AF102" i="34"/>
  <c r="AG167" i="34"/>
  <c r="AG183" i="34"/>
  <c r="AE16" i="45" l="1"/>
  <c r="AE24" i="45"/>
  <c r="AE9" i="45"/>
  <c r="AG102" i="34"/>
  <c r="AG118" i="34"/>
  <c r="AH183" i="34"/>
  <c r="AH167" i="34"/>
  <c r="AF16" i="45" l="1"/>
  <c r="AF24" i="45"/>
  <c r="AF9" i="45"/>
  <c r="AH102" i="34"/>
  <c r="AH118" i="34"/>
  <c r="AI183" i="34"/>
  <c r="AI167" i="34"/>
  <c r="AG24" i="45" l="1"/>
  <c r="AI118" i="34"/>
  <c r="AG9" i="45"/>
  <c r="AG16" i="45"/>
  <c r="AI102" i="34"/>
  <c r="AJ77" i="36" l="1"/>
  <c r="AJ167" i="34"/>
  <c r="AJ183" i="34"/>
  <c r="AJ61" i="36"/>
  <c r="AH16" i="45" l="1"/>
  <c r="AH9" i="45"/>
  <c r="AH24" i="45"/>
  <c r="AJ102" i="34"/>
  <c r="AJ118" i="34"/>
  <c r="AK77" i="36"/>
  <c r="AK167" i="34"/>
  <c r="AK183" i="34"/>
  <c r="AK61" i="36"/>
  <c r="AK102" i="34" l="1"/>
  <c r="AI24" i="45"/>
  <c r="AI16" i="45"/>
  <c r="AK118" i="34"/>
  <c r="AI9" i="45"/>
  <c r="AL77" i="36"/>
  <c r="AL167" i="34"/>
  <c r="AL183" i="34"/>
  <c r="AL61" i="36"/>
  <c r="AL102" i="34" l="1"/>
  <c r="AJ9" i="45"/>
  <c r="AJ24" i="45"/>
  <c r="AJ16" i="45"/>
  <c r="AL118" i="34"/>
  <c r="AM77" i="36"/>
  <c r="AM167" i="34"/>
  <c r="AM183" i="34"/>
  <c r="AM61" i="36"/>
  <c r="AM102" i="34" l="1"/>
  <c r="AK24" i="45"/>
  <c r="AK9" i="45"/>
  <c r="AM118" i="34"/>
  <c r="AK16" i="45"/>
  <c r="AN77" i="36"/>
  <c r="AN167" i="34"/>
  <c r="AN183" i="34"/>
  <c r="AN61" i="36"/>
  <c r="AL9" i="45" l="1"/>
  <c r="AN102" i="34"/>
  <c r="AN118" i="34"/>
  <c r="AL24" i="45"/>
  <c r="AL16" i="45"/>
  <c r="AO77" i="36"/>
  <c r="AO167" i="34"/>
  <c r="AO183" i="34"/>
  <c r="AO61" i="36"/>
  <c r="AM16" i="45" l="1"/>
  <c r="AO118" i="34"/>
  <c r="AM9" i="45"/>
  <c r="AO102" i="34"/>
  <c r="AM24" i="45"/>
  <c r="AP77" i="36"/>
  <c r="AP167" i="34"/>
  <c r="AP183" i="34"/>
  <c r="AP61" i="36"/>
  <c r="AP102" i="34" l="1"/>
  <c r="AP118" i="34"/>
  <c r="AN9" i="45"/>
  <c r="AN24" i="45"/>
  <c r="AN16" i="45"/>
  <c r="AQ77" i="36"/>
  <c r="AQ167" i="34"/>
  <c r="AQ183" i="34"/>
  <c r="AQ61" i="36"/>
  <c r="AO9" i="45" l="1"/>
  <c r="AQ118" i="34"/>
  <c r="AO24" i="45"/>
  <c r="AQ102" i="34"/>
  <c r="AO16" i="45"/>
  <c r="AR77" i="36"/>
  <c r="AR167" i="34"/>
  <c r="AR183" i="34"/>
  <c r="AR61" i="36"/>
  <c r="AP16" i="45" l="1"/>
  <c r="AR118" i="34"/>
  <c r="AP24" i="45"/>
  <c r="AR102" i="34"/>
  <c r="AP9" i="45"/>
  <c r="AS77" i="36"/>
  <c r="AS167" i="34"/>
  <c r="AS183" i="34"/>
  <c r="AS61" i="36"/>
  <c r="AQ16" i="45" l="1"/>
  <c r="AS102" i="34"/>
  <c r="AS118" i="34"/>
  <c r="AQ9" i="45"/>
  <c r="AQ24" i="45"/>
  <c r="AT77" i="36"/>
  <c r="AT167" i="34"/>
  <c r="AT183" i="34"/>
  <c r="AT61" i="36"/>
  <c r="AR16" i="45" l="1"/>
  <c r="AT102" i="34"/>
  <c r="AT118" i="34"/>
  <c r="AR9" i="45"/>
  <c r="AR24" i="45"/>
  <c r="AU77" i="36"/>
  <c r="AU167" i="34"/>
  <c r="AU183" i="34"/>
  <c r="AU61" i="36"/>
  <c r="AU102" i="34" l="1"/>
  <c r="AU118" i="34"/>
  <c r="AS16" i="45"/>
  <c r="AS9" i="45"/>
  <c r="AS24" i="45"/>
  <c r="AV77" i="36"/>
  <c r="AV167" i="34"/>
  <c r="AV183" i="34"/>
  <c r="AV61" i="36"/>
  <c r="AV102" i="34" l="1"/>
  <c r="AV118" i="34"/>
  <c r="AT16" i="45"/>
  <c r="AT24" i="45"/>
  <c r="AT9" i="45"/>
  <c r="AW77" i="36"/>
  <c r="AW167" i="34"/>
  <c r="AW183" i="34"/>
  <c r="AW61" i="36"/>
  <c r="AU9" i="45" l="1"/>
  <c r="AW118" i="34"/>
  <c r="AW102" i="34"/>
  <c r="AU24" i="45"/>
  <c r="AU16" i="45"/>
  <c r="AX77" i="36"/>
  <c r="AX167" i="34"/>
  <c r="AX183" i="34"/>
  <c r="AX61" i="36"/>
  <c r="AV9" i="45" l="1"/>
  <c r="AX102" i="34"/>
  <c r="AX118" i="34"/>
  <c r="AV24" i="45"/>
  <c r="AV16" i="45"/>
  <c r="AY77" i="36"/>
  <c r="AY167" i="34"/>
  <c r="AY183" i="34"/>
  <c r="AY61" i="36"/>
  <c r="AY102" i="34" l="1"/>
  <c r="AW9" i="45"/>
  <c r="AW24" i="45"/>
  <c r="AW16" i="45"/>
  <c r="AY118" i="34"/>
  <c r="AZ77" i="36"/>
  <c r="AZ167" i="34"/>
  <c r="AZ183" i="34"/>
  <c r="AZ61" i="36"/>
  <c r="AZ102" i="34" l="1"/>
  <c r="AZ118" i="34"/>
  <c r="AX16" i="45"/>
  <c r="AX24" i="45"/>
  <c r="AX9" i="45"/>
  <c r="BA77" i="36"/>
  <c r="BA167" i="34"/>
  <c r="BA183" i="34"/>
  <c r="BA61" i="36"/>
  <c r="AY9" i="45" l="1"/>
  <c r="BA102" i="34"/>
  <c r="BA118" i="34"/>
  <c r="AY24" i="45"/>
  <c r="AY16" i="45"/>
  <c r="BB77" i="36"/>
  <c r="BB167" i="34"/>
  <c r="BB183" i="34"/>
  <c r="BB61" i="36"/>
  <c r="AZ9" i="45" l="1"/>
  <c r="BB102" i="34"/>
  <c r="BB118" i="34"/>
  <c r="AZ24" i="45"/>
  <c r="AZ16" i="45"/>
  <c r="BC77" i="36"/>
  <c r="BC167" i="34"/>
  <c r="BC183" i="34"/>
  <c r="BC61" i="36"/>
  <c r="BA16" i="45" l="1"/>
  <c r="BC118" i="34"/>
  <c r="BA9" i="45"/>
  <c r="BA24" i="45"/>
  <c r="BC102" i="34"/>
  <c r="BD77" i="36"/>
  <c r="BD167" i="34"/>
  <c r="BD183" i="34"/>
  <c r="BD61" i="36"/>
  <c r="BB16" i="45" l="1"/>
  <c r="BD102" i="34"/>
  <c r="BD118" i="34"/>
  <c r="BB9" i="45"/>
  <c r="BB24" i="45"/>
  <c r="BE77" i="36"/>
  <c r="BE167" i="34"/>
  <c r="BE183" i="34"/>
  <c r="BE61" i="36"/>
  <c r="BC9" i="45" l="1"/>
  <c r="BE102" i="34"/>
  <c r="BE118" i="34"/>
  <c r="BC24" i="45"/>
  <c r="BC16" i="45"/>
  <c r="BF77" i="36"/>
  <c r="BF167" i="34"/>
  <c r="BF183" i="34"/>
  <c r="BF61" i="36"/>
  <c r="BD9" i="45" l="1"/>
  <c r="BF102" i="34"/>
  <c r="BF118" i="34"/>
  <c r="BD16" i="45"/>
  <c r="BD24" i="45"/>
  <c r="BG77" i="36"/>
  <c r="BG167" i="34"/>
  <c r="BG183" i="34"/>
  <c r="BG61" i="36"/>
  <c r="BE9" i="45" l="1"/>
  <c r="BG102" i="34"/>
  <c r="BG118" i="34"/>
  <c r="BE24" i="45"/>
  <c r="BE16" i="45"/>
  <c r="BH77" i="36"/>
  <c r="BH183" i="34"/>
  <c r="BH167" i="34"/>
  <c r="BH61" i="36"/>
  <c r="BH118" i="34" l="1"/>
  <c r="BF24" i="45"/>
  <c r="BF9" i="45"/>
  <c r="BH102" i="34"/>
  <c r="BF16" i="45"/>
  <c r="BI77" i="36"/>
  <c r="BI167" i="34"/>
  <c r="BI183" i="34"/>
  <c r="BI61" i="36"/>
  <c r="BG16" i="45" l="1"/>
  <c r="BI102" i="34"/>
  <c r="BI118" i="34"/>
  <c r="BG9" i="45"/>
  <c r="BG24" i="45"/>
  <c r="BJ77" i="36"/>
  <c r="BJ167" i="34"/>
  <c r="BJ183" i="34"/>
  <c r="BJ61" i="36"/>
  <c r="BH9" i="45" l="1"/>
  <c r="BH16" i="45"/>
  <c r="BJ102" i="34"/>
  <c r="BJ118" i="34"/>
  <c r="BH24" i="45"/>
  <c r="BK77" i="36"/>
  <c r="BK167" i="34"/>
  <c r="BK183" i="34"/>
  <c r="BK61" i="36"/>
  <c r="BI16" i="45" l="1"/>
  <c r="BK102" i="34"/>
  <c r="BK118" i="34"/>
  <c r="BI9" i="45"/>
  <c r="BI24" i="45"/>
  <c r="BL77" i="36"/>
  <c r="BL167" i="34"/>
  <c r="BL183" i="34"/>
  <c r="BL61" i="36"/>
  <c r="BL102" i="34" l="1"/>
  <c r="BJ9" i="45"/>
  <c r="BL118" i="34"/>
  <c r="BJ24" i="45"/>
  <c r="BJ16" i="45"/>
  <c r="BM77" i="36"/>
  <c r="BM167" i="34"/>
  <c r="BM183" i="34"/>
  <c r="BM61" i="36"/>
  <c r="BK16" i="45" l="1"/>
  <c r="BM102" i="34"/>
  <c r="BM118" i="34"/>
  <c r="BK9" i="45"/>
  <c r="BK24" i="45"/>
  <c r="BN77" i="36"/>
  <c r="BN167" i="34"/>
  <c r="BN183" i="34"/>
  <c r="BN61" i="36"/>
  <c r="BL9" i="45" l="1"/>
  <c r="BN102" i="34"/>
  <c r="BN118" i="34"/>
  <c r="BL24" i="45"/>
  <c r="BL16" i="45"/>
  <c r="BP77" i="36"/>
  <c r="BP167" i="34"/>
  <c r="BP183" i="34"/>
  <c r="BO77" i="36"/>
  <c r="BO167" i="34"/>
  <c r="BO183" i="34"/>
  <c r="BP61" i="36"/>
  <c r="BO61" i="36"/>
  <c r="BN16" i="45" l="1"/>
  <c r="BO102" i="34"/>
  <c r="BM24" i="45"/>
  <c r="BP118" i="34"/>
  <c r="BM9" i="45"/>
  <c r="BN9" i="45"/>
  <c r="BM16" i="45"/>
  <c r="BP102" i="34"/>
  <c r="BO118" i="34"/>
  <c r="BN24" i="45"/>
  <c r="G55" i="33"/>
  <c r="F55" i="33"/>
  <c r="F5" i="33"/>
  <c r="E19" i="33"/>
  <c r="E5" i="33"/>
  <c r="E6" i="33" s="1"/>
  <c r="G5" i="33"/>
  <c r="D20" i="36"/>
  <c r="D78" i="46" s="1"/>
  <c r="D21" i="36"/>
  <c r="D79" i="46" s="1"/>
  <c r="D22" i="36"/>
  <c r="D80" i="46" s="1"/>
  <c r="D19" i="36"/>
  <c r="D77" i="46" s="1"/>
  <c r="C19" i="36"/>
  <c r="C17" i="36"/>
  <c r="A63" i="57" s="1"/>
  <c r="D16" i="36"/>
  <c r="D74" i="46" s="1"/>
  <c r="C16" i="36"/>
  <c r="A62" i="57" s="1"/>
  <c r="D15" i="36"/>
  <c r="D73" i="46" s="1"/>
  <c r="C15" i="36"/>
  <c r="C13" i="36"/>
  <c r="A59" i="57" s="1"/>
  <c r="D12" i="36"/>
  <c r="C11" i="36"/>
  <c r="A57" i="57" s="1"/>
  <c r="D10" i="36"/>
  <c r="D68" i="46" s="1"/>
  <c r="D9" i="36"/>
  <c r="D67" i="46" s="1"/>
  <c r="D8" i="36"/>
  <c r="F6" i="36"/>
  <c r="F5" i="34"/>
  <c r="D6" i="36"/>
  <c r="D64" i="46" s="1"/>
  <c r="D5" i="36"/>
  <c r="D63" i="46" s="1"/>
  <c r="E5" i="36"/>
  <c r="E6" i="36" s="1"/>
  <c r="C5" i="36"/>
  <c r="G5" i="34"/>
  <c r="A65" i="57" l="1"/>
  <c r="D66" i="46"/>
  <c r="D84" i="46" s="1"/>
  <c r="A54" i="57"/>
  <c r="D70" i="46"/>
  <c r="E70" i="46" s="1"/>
  <c r="A58" i="57"/>
  <c r="A51" i="57"/>
  <c r="A61" i="57"/>
  <c r="D91" i="46"/>
  <c r="E73" i="46"/>
  <c r="D81" i="46"/>
  <c r="E63" i="46"/>
  <c r="E66" i="46"/>
  <c r="D95" i="46"/>
  <c r="E77" i="46"/>
  <c r="D85" i="46"/>
  <c r="E67" i="46"/>
  <c r="D92" i="46"/>
  <c r="E74" i="46"/>
  <c r="D98" i="46"/>
  <c r="E98" i="46" s="1"/>
  <c r="E80" i="46"/>
  <c r="D96" i="46"/>
  <c r="E78" i="46"/>
  <c r="E64" i="46"/>
  <c r="D82" i="46"/>
  <c r="D86" i="46"/>
  <c r="E68" i="46"/>
  <c r="D97" i="46"/>
  <c r="E97" i="46" s="1"/>
  <c r="E79" i="46"/>
  <c r="E20" i="33"/>
  <c r="E38" i="33" s="1"/>
  <c r="E37" i="33"/>
  <c r="G7" i="34"/>
  <c r="G8" i="34" s="1"/>
  <c r="G9" i="34" s="1"/>
  <c r="G10" i="34" s="1"/>
  <c r="G11" i="34" s="1"/>
  <c r="G12" i="34" s="1"/>
  <c r="G13" i="34" s="1"/>
  <c r="G14" i="34" s="1"/>
  <c r="G15" i="34" s="1"/>
  <c r="G16" i="34" s="1"/>
  <c r="G6" i="34"/>
  <c r="F7" i="34"/>
  <c r="F8" i="34" s="1"/>
  <c r="F9" i="34" s="1"/>
  <c r="F10" i="34" s="1"/>
  <c r="F11" i="34" s="1"/>
  <c r="F12" i="34" s="1"/>
  <c r="F13" i="34" s="1"/>
  <c r="F14" i="34" s="1"/>
  <c r="F15" i="34" s="1"/>
  <c r="F16" i="34" s="1"/>
  <c r="F6" i="34"/>
  <c r="C18" i="36"/>
  <c r="A64" i="57" s="1"/>
  <c r="F57" i="33"/>
  <c r="F58" i="33" s="1"/>
  <c r="F59" i="33" s="1"/>
  <c r="F60" i="33" s="1"/>
  <c r="F61" i="33" s="1"/>
  <c r="F62" i="33" s="1"/>
  <c r="F63" i="33" s="1"/>
  <c r="F64" i="33" s="1"/>
  <c r="F65" i="33" s="1"/>
  <c r="F66" i="33" s="1"/>
  <c r="F67" i="33" s="1"/>
  <c r="F68" i="33" s="1"/>
  <c r="F69" i="33" s="1"/>
  <c r="F70" i="33" s="1"/>
  <c r="F71" i="33" s="1"/>
  <c r="F56" i="33"/>
  <c r="G57" i="33"/>
  <c r="G58" i="33" s="1"/>
  <c r="G59" i="33" s="1"/>
  <c r="G60" i="33" s="1"/>
  <c r="G61" i="33" s="1"/>
  <c r="G62" i="33" s="1"/>
  <c r="G63" i="33" s="1"/>
  <c r="G64" i="33" s="1"/>
  <c r="G65" i="33" s="1"/>
  <c r="G66" i="33" s="1"/>
  <c r="G67" i="33" s="1"/>
  <c r="G68" i="33" s="1"/>
  <c r="G69" i="33" s="1"/>
  <c r="G70" i="33" s="1"/>
  <c r="G71" i="33" s="1"/>
  <c r="G56" i="33"/>
  <c r="G7" i="33"/>
  <c r="G8" i="33" s="1"/>
  <c r="G9" i="33" s="1"/>
  <c r="G10" i="33" s="1"/>
  <c r="G11" i="33" s="1"/>
  <c r="G12" i="33" s="1"/>
  <c r="G13" i="33" s="1"/>
  <c r="G14" i="33" s="1"/>
  <c r="G15" i="33" s="1"/>
  <c r="G16" i="33" s="1"/>
  <c r="G17" i="33" s="1"/>
  <c r="G6" i="33"/>
  <c r="F7" i="33"/>
  <c r="F8" i="33" s="1"/>
  <c r="F9" i="33" s="1"/>
  <c r="F10" i="33" s="1"/>
  <c r="F11" i="33" s="1"/>
  <c r="F12" i="33" s="1"/>
  <c r="F13" i="33" s="1"/>
  <c r="F14" i="33" s="1"/>
  <c r="F15" i="33" s="1"/>
  <c r="F16" i="33" s="1"/>
  <c r="F17" i="33" s="1"/>
  <c r="F18" i="33" s="1"/>
  <c r="F19" i="33" s="1"/>
  <c r="F6" i="33"/>
  <c r="E8" i="36"/>
  <c r="E9" i="36" s="1"/>
  <c r="E10" i="36" s="1"/>
  <c r="E11" i="36" s="1"/>
  <c r="E12" i="36" s="1"/>
  <c r="E13" i="36" s="1"/>
  <c r="E14" i="36" s="1"/>
  <c r="E15" i="36" s="1"/>
  <c r="E16" i="36" s="1"/>
  <c r="E17" i="36" s="1"/>
  <c r="E18" i="36" s="1"/>
  <c r="E19" i="36" s="1"/>
  <c r="E20" i="36" s="1"/>
  <c r="E21" i="36" s="1"/>
  <c r="E22" i="36" s="1"/>
  <c r="E7" i="36"/>
  <c r="F8" i="36"/>
  <c r="F9" i="36" s="1"/>
  <c r="F10" i="36" s="1"/>
  <c r="F11" i="36" s="1"/>
  <c r="F12" i="36" s="1"/>
  <c r="F13" i="36" s="1"/>
  <c r="F14" i="36" s="1"/>
  <c r="F15" i="36" s="1"/>
  <c r="F16" i="36" s="1"/>
  <c r="F17" i="36" s="1"/>
  <c r="F18" i="36" s="1"/>
  <c r="F19" i="36" s="1"/>
  <c r="F20" i="36" s="1"/>
  <c r="F21" i="36" s="1"/>
  <c r="F22" i="36" s="1"/>
  <c r="F7" i="36"/>
  <c r="C14" i="36"/>
  <c r="E21" i="33"/>
  <c r="E39" i="33" s="1"/>
  <c r="E7" i="33"/>
  <c r="D18" i="33"/>
  <c r="D54" i="33"/>
  <c r="D4" i="33"/>
  <c r="C24" i="33"/>
  <c r="C60" i="33"/>
  <c r="C10" i="33"/>
  <c r="D16" i="33"/>
  <c r="D30" i="33"/>
  <c r="D66" i="33"/>
  <c r="D33" i="33"/>
  <c r="D69" i="33"/>
  <c r="D55" i="33"/>
  <c r="D19" i="33"/>
  <c r="D5" i="33"/>
  <c r="D57" i="33"/>
  <c r="D7" i="33"/>
  <c r="D21" i="33"/>
  <c r="D10" i="33"/>
  <c r="D24" i="33"/>
  <c r="D60" i="33"/>
  <c r="D26" i="33"/>
  <c r="D62" i="33"/>
  <c r="D12" i="33"/>
  <c r="C15" i="33"/>
  <c r="C29" i="33"/>
  <c r="C65" i="33"/>
  <c r="D68" i="33"/>
  <c r="D32" i="33"/>
  <c r="D28" i="33"/>
  <c r="D64" i="33"/>
  <c r="D14" i="33"/>
  <c r="C6" i="36"/>
  <c r="A52" i="57" s="1"/>
  <c r="C54" i="33"/>
  <c r="C4" i="33"/>
  <c r="C18" i="33"/>
  <c r="D71" i="33"/>
  <c r="D35" i="33"/>
  <c r="C9" i="36"/>
  <c r="A55" i="57" s="1"/>
  <c r="C57" i="33"/>
  <c r="C21" i="33"/>
  <c r="C7" i="33"/>
  <c r="C12" i="33"/>
  <c r="C62" i="33"/>
  <c r="C26" i="33"/>
  <c r="D58" i="33"/>
  <c r="D8" i="33"/>
  <c r="D22" i="33"/>
  <c r="D29" i="33"/>
  <c r="D65" i="33"/>
  <c r="D15" i="33"/>
  <c r="C68" i="33"/>
  <c r="C32" i="33"/>
  <c r="D23" i="33"/>
  <c r="D59" i="33"/>
  <c r="D9" i="33"/>
  <c r="D14" i="36"/>
  <c r="D72" i="46" s="1"/>
  <c r="D61" i="33"/>
  <c r="D11" i="33"/>
  <c r="D25" i="33"/>
  <c r="C64" i="33"/>
  <c r="C14" i="33"/>
  <c r="C28" i="33"/>
  <c r="C30" i="33"/>
  <c r="C66" i="33"/>
  <c r="C16" i="33"/>
  <c r="D31" i="33"/>
  <c r="D67" i="33"/>
  <c r="D17" i="33"/>
  <c r="C20" i="36"/>
  <c r="A66" i="57" s="1"/>
  <c r="D34" i="33"/>
  <c r="D70" i="33"/>
  <c r="D88" i="46" l="1"/>
  <c r="A60" i="57"/>
  <c r="D103" i="46"/>
  <c r="E85" i="46"/>
  <c r="D106" i="46"/>
  <c r="E88" i="46"/>
  <c r="E81" i="46"/>
  <c r="D99" i="46"/>
  <c r="E82" i="46"/>
  <c r="D100" i="46"/>
  <c r="D90" i="46"/>
  <c r="E72" i="46"/>
  <c r="D104" i="46"/>
  <c r="E86" i="46"/>
  <c r="D114" i="46"/>
  <c r="E96" i="46"/>
  <c r="D110" i="46"/>
  <c r="E92" i="46"/>
  <c r="D113" i="46"/>
  <c r="E95" i="46"/>
  <c r="E84" i="46"/>
  <c r="D102" i="46"/>
  <c r="D109" i="46"/>
  <c r="E91" i="46"/>
  <c r="D11" i="34"/>
  <c r="D41" i="34"/>
  <c r="D15" i="34"/>
  <c r="D8" i="34"/>
  <c r="C12" i="34"/>
  <c r="C4" i="34"/>
  <c r="D46" i="34"/>
  <c r="C47" i="34"/>
  <c r="D44" i="34"/>
  <c r="D10" i="34"/>
  <c r="D5" i="34"/>
  <c r="C10" i="34"/>
  <c r="D36" i="34"/>
  <c r="C16" i="34"/>
  <c r="C14" i="34"/>
  <c r="D43" i="34"/>
  <c r="D47" i="34"/>
  <c r="D40" i="34"/>
  <c r="C7" i="34"/>
  <c r="C36" i="34"/>
  <c r="D48" i="34"/>
  <c r="C42" i="34"/>
  <c r="D17" i="34"/>
  <c r="C48" i="34"/>
  <c r="C46" i="34"/>
  <c r="D53" i="34"/>
  <c r="C15" i="34"/>
  <c r="D42" i="34"/>
  <c r="D7" i="34"/>
  <c r="D37" i="34"/>
  <c r="D52" i="34"/>
  <c r="D49" i="34"/>
  <c r="D9" i="34"/>
  <c r="C50" i="34"/>
  <c r="C44" i="34"/>
  <c r="C39" i="34"/>
  <c r="D14" i="34"/>
  <c r="D50" i="34"/>
  <c r="D12" i="34"/>
  <c r="D39" i="34"/>
  <c r="D51" i="34"/>
  <c r="D16" i="34"/>
  <c r="D4" i="34"/>
  <c r="D34" i="34"/>
  <c r="D52" i="33"/>
  <c r="D31" i="34"/>
  <c r="D49" i="33"/>
  <c r="C28" i="34"/>
  <c r="C46" i="33"/>
  <c r="D33" i="34"/>
  <c r="D51" i="33"/>
  <c r="D23" i="34"/>
  <c r="D41" i="33"/>
  <c r="D35" i="34"/>
  <c r="D53" i="33"/>
  <c r="D28" i="34"/>
  <c r="D46" i="33"/>
  <c r="C29" i="34"/>
  <c r="C47" i="33"/>
  <c r="D26" i="34"/>
  <c r="D44" i="33"/>
  <c r="D21" i="34"/>
  <c r="D39" i="33"/>
  <c r="D19" i="34"/>
  <c r="D37" i="33"/>
  <c r="D18" i="34"/>
  <c r="D36" i="33"/>
  <c r="C32" i="34"/>
  <c r="C50" i="33"/>
  <c r="D29" i="34"/>
  <c r="D47" i="33"/>
  <c r="C26" i="34"/>
  <c r="C44" i="33"/>
  <c r="C21" i="34"/>
  <c r="C39" i="33"/>
  <c r="D32" i="34"/>
  <c r="D50" i="33"/>
  <c r="D30" i="34"/>
  <c r="D48" i="33"/>
  <c r="C24" i="34"/>
  <c r="C42" i="33"/>
  <c r="C30" i="34"/>
  <c r="C48" i="33"/>
  <c r="D25" i="34"/>
  <c r="D43" i="33"/>
  <c r="D22" i="34"/>
  <c r="D40" i="33"/>
  <c r="C18" i="34"/>
  <c r="C36" i="33"/>
  <c r="D24" i="34"/>
  <c r="D42" i="33"/>
  <c r="F17" i="34"/>
  <c r="F18" i="34" s="1"/>
  <c r="F19" i="34" s="1"/>
  <c r="G17" i="34"/>
  <c r="G18" i="34" s="1"/>
  <c r="G19" i="34" s="1"/>
  <c r="F21" i="33"/>
  <c r="F22" i="33" s="1"/>
  <c r="F23" i="33" s="1"/>
  <c r="F24" i="33" s="1"/>
  <c r="F25" i="33" s="1"/>
  <c r="F26" i="33" s="1"/>
  <c r="F27" i="33" s="1"/>
  <c r="F28" i="33" s="1"/>
  <c r="F29" i="33" s="1"/>
  <c r="F30" i="33" s="1"/>
  <c r="F31" i="33" s="1"/>
  <c r="F32" i="33" s="1"/>
  <c r="F33" i="33" s="1"/>
  <c r="F34" i="33" s="1"/>
  <c r="F35" i="33" s="1"/>
  <c r="F20" i="33"/>
  <c r="C10" i="36"/>
  <c r="A56" i="57" s="1"/>
  <c r="G37" i="34"/>
  <c r="E22" i="33"/>
  <c r="E40" i="33" s="1"/>
  <c r="E8" i="33"/>
  <c r="C61" i="33"/>
  <c r="C11" i="33"/>
  <c r="C25" i="33"/>
  <c r="C69" i="33"/>
  <c r="C33" i="33"/>
  <c r="C21" i="36"/>
  <c r="A67" i="57" s="1"/>
  <c r="C19" i="33"/>
  <c r="C55" i="33"/>
  <c r="C5" i="33"/>
  <c r="C58" i="33"/>
  <c r="C8" i="33"/>
  <c r="C22" i="33"/>
  <c r="D63" i="33"/>
  <c r="D13" i="33"/>
  <c r="D27" i="33"/>
  <c r="E100" i="46" l="1"/>
  <c r="D116" i="46"/>
  <c r="E116" i="46" s="1"/>
  <c r="D126" i="46"/>
  <c r="E126" i="46" s="1"/>
  <c r="E110" i="46"/>
  <c r="D120" i="46"/>
  <c r="E120" i="46" s="1"/>
  <c r="E104" i="46"/>
  <c r="D122" i="46"/>
  <c r="E122" i="46" s="1"/>
  <c r="E106" i="46"/>
  <c r="D118" i="46"/>
  <c r="E118" i="46" s="1"/>
  <c r="E102" i="46"/>
  <c r="D115" i="46"/>
  <c r="E115" i="46" s="1"/>
  <c r="E99" i="46"/>
  <c r="D125" i="46"/>
  <c r="E125" i="46" s="1"/>
  <c r="E109" i="46"/>
  <c r="D129" i="46"/>
  <c r="E129" i="46" s="1"/>
  <c r="E113" i="46"/>
  <c r="D130" i="46"/>
  <c r="E130" i="46" s="1"/>
  <c r="E114" i="46"/>
  <c r="D108" i="46"/>
  <c r="E90" i="46"/>
  <c r="D119" i="46"/>
  <c r="E119" i="46" s="1"/>
  <c r="E103" i="46"/>
  <c r="C8" i="34"/>
  <c r="C40" i="34"/>
  <c r="C11" i="34"/>
  <c r="D13" i="34"/>
  <c r="D45" i="34"/>
  <c r="C5" i="34"/>
  <c r="C43" i="34"/>
  <c r="C37" i="34"/>
  <c r="C51" i="34"/>
  <c r="C23" i="33"/>
  <c r="C41" i="33" s="1"/>
  <c r="C22" i="34"/>
  <c r="C40" i="33"/>
  <c r="C33" i="34"/>
  <c r="C51" i="33"/>
  <c r="D27" i="34"/>
  <c r="D45" i="33"/>
  <c r="C19" i="34"/>
  <c r="C37" i="33"/>
  <c r="C25" i="34"/>
  <c r="C43" i="33"/>
  <c r="G39" i="34"/>
  <c r="G40" i="34" s="1"/>
  <c r="G41" i="34" s="1"/>
  <c r="G42" i="34" s="1"/>
  <c r="G43" i="34" s="1"/>
  <c r="G44" i="34" s="1"/>
  <c r="G45" i="34" s="1"/>
  <c r="G46" i="34" s="1"/>
  <c r="G47" i="34" s="1"/>
  <c r="G48" i="34" s="1"/>
  <c r="G49" i="34" s="1"/>
  <c r="G50" i="34" s="1"/>
  <c r="G51" i="34" s="1"/>
  <c r="G52" i="34" s="1"/>
  <c r="G53" i="34" s="1"/>
  <c r="G38" i="34"/>
  <c r="G21" i="34"/>
  <c r="G22" i="34" s="1"/>
  <c r="G23" i="34" s="1"/>
  <c r="G24" i="34" s="1"/>
  <c r="G25" i="34" s="1"/>
  <c r="G26" i="34" s="1"/>
  <c r="G27" i="34" s="1"/>
  <c r="G28" i="34" s="1"/>
  <c r="G29" i="34" s="1"/>
  <c r="G30" i="34" s="1"/>
  <c r="G31" i="34" s="1"/>
  <c r="G32" i="34" s="1"/>
  <c r="G33" i="34" s="1"/>
  <c r="G34" i="34" s="1"/>
  <c r="G35" i="34" s="1"/>
  <c r="G20" i="34"/>
  <c r="F21" i="34"/>
  <c r="F22" i="34" s="1"/>
  <c r="F23" i="34" s="1"/>
  <c r="F24" i="34" s="1"/>
  <c r="F25" i="34" s="1"/>
  <c r="F26" i="34" s="1"/>
  <c r="F27" i="34" s="1"/>
  <c r="F28" i="34" s="1"/>
  <c r="F29" i="34" s="1"/>
  <c r="F30" i="34" s="1"/>
  <c r="F31" i="34" s="1"/>
  <c r="F32" i="34" s="1"/>
  <c r="F33" i="34" s="1"/>
  <c r="F34" i="34" s="1"/>
  <c r="F35" i="34" s="1"/>
  <c r="F20" i="34"/>
  <c r="C9" i="33"/>
  <c r="C59" i="33"/>
  <c r="E23" i="33"/>
  <c r="E41" i="33" s="1"/>
  <c r="E9" i="33"/>
  <c r="C63" i="33"/>
  <c r="C27" i="33"/>
  <c r="C13" i="33"/>
  <c r="C67" i="33"/>
  <c r="C17" i="33"/>
  <c r="C31" i="33"/>
  <c r="C22" i="36"/>
  <c r="A68" i="57" s="1"/>
  <c r="C34" i="33"/>
  <c r="C70" i="33"/>
  <c r="E108" i="46" l="1"/>
  <c r="D124" i="46"/>
  <c r="E124" i="46" s="1"/>
  <c r="C52" i="34"/>
  <c r="C9" i="34"/>
  <c r="C49" i="34"/>
  <c r="C13" i="34"/>
  <c r="C23" i="34"/>
  <c r="C45" i="34"/>
  <c r="C41" i="34"/>
  <c r="C17" i="34"/>
  <c r="C31" i="34"/>
  <c r="C49" i="33"/>
  <c r="C27" i="34"/>
  <c r="C45" i="33"/>
  <c r="C34" i="34"/>
  <c r="C52" i="33"/>
  <c r="E24" i="33"/>
  <c r="E10" i="33"/>
  <c r="E11" i="33" s="1"/>
  <c r="E12" i="33" s="1"/>
  <c r="E13" i="33" s="1"/>
  <c r="E14" i="33" s="1"/>
  <c r="E15" i="33" s="1"/>
  <c r="E16" i="33" s="1"/>
  <c r="E17" i="33" s="1"/>
  <c r="C71" i="33"/>
  <c r="C35" i="33"/>
  <c r="C53" i="34" l="1"/>
  <c r="D57" i="36"/>
  <c r="D61" i="36"/>
  <c r="D54" i="36"/>
  <c r="D55" i="36"/>
  <c r="D64" i="36"/>
  <c r="D50" i="36"/>
  <c r="D65" i="36"/>
  <c r="D53" i="36"/>
  <c r="D51" i="36"/>
  <c r="D60" i="36"/>
  <c r="E25" i="33"/>
  <c r="E42" i="33"/>
  <c r="C35" i="34"/>
  <c r="C53" i="33"/>
  <c r="E51" i="36" l="1"/>
  <c r="D67" i="36"/>
  <c r="D92" i="34"/>
  <c r="D94" i="34"/>
  <c r="D69" i="36"/>
  <c r="E53" i="36"/>
  <c r="E61" i="36"/>
  <c r="D102" i="34"/>
  <c r="D77" i="36"/>
  <c r="E50" i="36"/>
  <c r="D66" i="36"/>
  <c r="D91" i="34"/>
  <c r="E60" i="36"/>
  <c r="D101" i="34"/>
  <c r="D76" i="36"/>
  <c r="D59" i="36"/>
  <c r="E65" i="36"/>
  <c r="D106" i="34"/>
  <c r="D81" i="36"/>
  <c r="E64" i="36"/>
  <c r="D80" i="36"/>
  <c r="D105" i="34"/>
  <c r="D95" i="34"/>
  <c r="E54" i="36"/>
  <c r="D70" i="36"/>
  <c r="E57" i="36"/>
  <c r="D98" i="34"/>
  <c r="D73" i="36"/>
  <c r="E55" i="36"/>
  <c r="D96" i="34"/>
  <c r="D71" i="36"/>
  <c r="E26" i="33"/>
  <c r="E43" i="33"/>
  <c r="E71" i="36" l="1"/>
  <c r="D161" i="34"/>
  <c r="D211" i="33"/>
  <c r="E211" i="33" s="1"/>
  <c r="E76" i="36"/>
  <c r="D166" i="34"/>
  <c r="D216" i="33"/>
  <c r="E216" i="33" s="1"/>
  <c r="E66" i="36"/>
  <c r="D206" i="33"/>
  <c r="E206" i="33" s="1"/>
  <c r="D156" i="34"/>
  <c r="H71" i="36"/>
  <c r="H55" i="36"/>
  <c r="H177" i="34"/>
  <c r="H161" i="34"/>
  <c r="E70" i="36"/>
  <c r="D210" i="33"/>
  <c r="E210" i="33" s="1"/>
  <c r="D160" i="34"/>
  <c r="E80" i="36"/>
  <c r="D170" i="34"/>
  <c r="D220" i="33"/>
  <c r="E220" i="33" s="1"/>
  <c r="E67" i="36"/>
  <c r="D157" i="34"/>
  <c r="D207" i="33"/>
  <c r="E207" i="33" s="1"/>
  <c r="E81" i="36"/>
  <c r="D171" i="34"/>
  <c r="D221" i="33"/>
  <c r="E221" i="33" s="1"/>
  <c r="E73" i="36"/>
  <c r="D163" i="34"/>
  <c r="D213" i="33"/>
  <c r="E213" i="33" s="1"/>
  <c r="E77" i="36"/>
  <c r="D167" i="34"/>
  <c r="D217" i="33"/>
  <c r="E217" i="33" s="1"/>
  <c r="E69" i="36"/>
  <c r="D159" i="34"/>
  <c r="D209" i="33"/>
  <c r="E209" i="33" s="1"/>
  <c r="D111" i="34"/>
  <c r="E111" i="34" s="1"/>
  <c r="E95" i="34"/>
  <c r="D107" i="34"/>
  <c r="E107" i="34" s="1"/>
  <c r="E91" i="34"/>
  <c r="D118" i="34"/>
  <c r="E118" i="34" s="1"/>
  <c r="E102" i="34"/>
  <c r="E94" i="34"/>
  <c r="D110" i="34"/>
  <c r="E110" i="34" s="1"/>
  <c r="D112" i="34"/>
  <c r="E112" i="34" s="1"/>
  <c r="E96" i="34"/>
  <c r="E105" i="34"/>
  <c r="D121" i="34"/>
  <c r="E121" i="34" s="1"/>
  <c r="D122" i="34"/>
  <c r="E122" i="34" s="1"/>
  <c r="E106" i="34"/>
  <c r="D108" i="34"/>
  <c r="E108" i="34" s="1"/>
  <c r="E92" i="34"/>
  <c r="D75" i="36"/>
  <c r="E59" i="36"/>
  <c r="D100" i="34"/>
  <c r="D114" i="34"/>
  <c r="E114" i="34" s="1"/>
  <c r="E98" i="34"/>
  <c r="E101" i="34"/>
  <c r="D117" i="34"/>
  <c r="E117" i="34" s="1"/>
  <c r="E27" i="33"/>
  <c r="E44" i="33"/>
  <c r="F54" i="45" l="1"/>
  <c r="I54" i="68" s="1"/>
  <c r="F53" i="45"/>
  <c r="I53" i="68" s="1"/>
  <c r="F17" i="45"/>
  <c r="I17" i="68" s="1"/>
  <c r="H14" i="45"/>
  <c r="K14" i="68" s="1"/>
  <c r="G22" i="45"/>
  <c r="J22" i="68" s="1"/>
  <c r="F13" i="45"/>
  <c r="I13" i="68" s="1"/>
  <c r="F23" i="45"/>
  <c r="I23" i="68" s="1"/>
  <c r="F25" i="45"/>
  <c r="I25" i="68" s="1"/>
  <c r="H22" i="45"/>
  <c r="K22" i="68" s="1"/>
  <c r="F14" i="45"/>
  <c r="I14" i="68" s="1"/>
  <c r="F8" i="45"/>
  <c r="I8" i="68" s="1"/>
  <c r="F21" i="45"/>
  <c r="I21" i="68" s="1"/>
  <c r="H7" i="45"/>
  <c r="K7" i="68" s="1"/>
  <c r="F22" i="45"/>
  <c r="I22" i="68" s="1"/>
  <c r="G7" i="45"/>
  <c r="J7" i="68" s="1"/>
  <c r="F10" i="45"/>
  <c r="I10" i="68" s="1"/>
  <c r="F7" i="45"/>
  <c r="I7" i="68" s="1"/>
  <c r="G14" i="45"/>
  <c r="J14" i="68" s="1"/>
  <c r="F15" i="45"/>
  <c r="I15" i="68" s="1"/>
  <c r="F6" i="45"/>
  <c r="I6" i="68" s="1"/>
  <c r="F52" i="45"/>
  <c r="F67" i="45" s="1"/>
  <c r="F18" i="45"/>
  <c r="I18" i="68" s="1"/>
  <c r="F26" i="45"/>
  <c r="I26" i="68" s="1"/>
  <c r="E171" i="34"/>
  <c r="D187" i="34"/>
  <c r="E187" i="34" s="1"/>
  <c r="D176" i="34"/>
  <c r="E176" i="34" s="1"/>
  <c r="E160" i="34"/>
  <c r="E75" i="36"/>
  <c r="D165" i="34"/>
  <c r="D215" i="33"/>
  <c r="E215" i="33" s="1"/>
  <c r="D179" i="34"/>
  <c r="E179" i="34" s="1"/>
  <c r="E163" i="34"/>
  <c r="H96" i="34"/>
  <c r="H137" i="34"/>
  <c r="H141" i="34"/>
  <c r="I71" i="36"/>
  <c r="I55" i="36"/>
  <c r="I161" i="34"/>
  <c r="I177" i="34"/>
  <c r="D183" i="34"/>
  <c r="E183" i="34" s="1"/>
  <c r="E167" i="34"/>
  <c r="E170" i="34"/>
  <c r="D186" i="34"/>
  <c r="E186" i="34" s="1"/>
  <c r="H112" i="34"/>
  <c r="H138" i="34"/>
  <c r="H142" i="34"/>
  <c r="D177" i="34"/>
  <c r="E177" i="34" s="1"/>
  <c r="E161" i="34"/>
  <c r="D175" i="34"/>
  <c r="E175" i="34" s="1"/>
  <c r="E159" i="34"/>
  <c r="E157" i="34"/>
  <c r="D173" i="34"/>
  <c r="E173" i="34" s="1"/>
  <c r="D172" i="34"/>
  <c r="E172" i="34" s="1"/>
  <c r="E156" i="34"/>
  <c r="E166" i="34"/>
  <c r="D182" i="34"/>
  <c r="E182" i="34" s="1"/>
  <c r="D116" i="34"/>
  <c r="E116" i="34" s="1"/>
  <c r="E100" i="34"/>
  <c r="E28" i="33"/>
  <c r="E45" i="33"/>
  <c r="I52" i="68" l="1"/>
  <c r="I67" i="68" s="1"/>
  <c r="F45" i="45"/>
  <c r="I45" i="68" s="1"/>
  <c r="G53" i="45"/>
  <c r="F47" i="45"/>
  <c r="I47" i="68" s="1"/>
  <c r="G54" i="45"/>
  <c r="J54" i="68" s="1"/>
  <c r="F51" i="45"/>
  <c r="I51" i="68" s="1"/>
  <c r="G25" i="45"/>
  <c r="J25" i="68" s="1"/>
  <c r="I22" i="45"/>
  <c r="L22" i="68" s="1"/>
  <c r="G8" i="45"/>
  <c r="J8" i="68" s="1"/>
  <c r="G13" i="45"/>
  <c r="J13" i="68" s="1"/>
  <c r="G18" i="45"/>
  <c r="J18" i="68" s="1"/>
  <c r="G17" i="45"/>
  <c r="J17" i="68" s="1"/>
  <c r="G6" i="45"/>
  <c r="J6" i="68" s="1"/>
  <c r="I14" i="45"/>
  <c r="L14" i="68" s="1"/>
  <c r="G15" i="45"/>
  <c r="J15" i="68" s="1"/>
  <c r="G23" i="45"/>
  <c r="J23" i="68" s="1"/>
  <c r="G26" i="45"/>
  <c r="J26" i="68" s="1"/>
  <c r="G10" i="45"/>
  <c r="J10" i="68" s="1"/>
  <c r="G21" i="45"/>
  <c r="J21" i="68" s="1"/>
  <c r="I7" i="45"/>
  <c r="L7" i="68" s="1"/>
  <c r="F50" i="45"/>
  <c r="I50" i="68" s="1"/>
  <c r="I96" i="34"/>
  <c r="I141" i="34"/>
  <c r="I137" i="34"/>
  <c r="D181" i="34"/>
  <c r="E181" i="34" s="1"/>
  <c r="E165" i="34"/>
  <c r="J71" i="36"/>
  <c r="J55" i="36"/>
  <c r="J161" i="34"/>
  <c r="J177" i="34"/>
  <c r="I112" i="34"/>
  <c r="I138" i="34"/>
  <c r="I142" i="34"/>
  <c r="E29" i="33"/>
  <c r="E46" i="33"/>
  <c r="I49" i="68" l="1"/>
  <c r="I66" i="68" s="1"/>
  <c r="F43" i="45"/>
  <c r="F65" i="45" s="1"/>
  <c r="G52" i="45"/>
  <c r="G67" i="45" s="1"/>
  <c r="J53" i="68"/>
  <c r="J52" i="68" s="1"/>
  <c r="J67" i="68" s="1"/>
  <c r="I43" i="68"/>
  <c r="I65" i="68" s="1"/>
  <c r="I72" i="68" s="1"/>
  <c r="G47" i="45"/>
  <c r="J47" i="68" s="1"/>
  <c r="H54" i="45"/>
  <c r="K54" i="68" s="1"/>
  <c r="G45" i="45"/>
  <c r="J45" i="68" s="1"/>
  <c r="J43" i="68" s="1"/>
  <c r="J65" i="68" s="1"/>
  <c r="H53" i="45"/>
  <c r="K53" i="68" s="1"/>
  <c r="G51" i="45"/>
  <c r="J51" i="68" s="1"/>
  <c r="H26" i="45"/>
  <c r="K26" i="68" s="1"/>
  <c r="H17" i="45"/>
  <c r="K17" i="68" s="1"/>
  <c r="H15" i="45"/>
  <c r="K15" i="68" s="1"/>
  <c r="H13" i="45"/>
  <c r="K13" i="68" s="1"/>
  <c r="H18" i="45"/>
  <c r="K18" i="68" s="1"/>
  <c r="H6" i="45"/>
  <c r="K6" i="68" s="1"/>
  <c r="H10" i="45"/>
  <c r="K10" i="68" s="1"/>
  <c r="H8" i="45"/>
  <c r="K8" i="68" s="1"/>
  <c r="J14" i="45"/>
  <c r="M14" i="68" s="1"/>
  <c r="H21" i="45"/>
  <c r="K21" i="68" s="1"/>
  <c r="J22" i="45"/>
  <c r="M22" i="68" s="1"/>
  <c r="H25" i="45"/>
  <c r="K25" i="68" s="1"/>
  <c r="H23" i="45"/>
  <c r="K23" i="68" s="1"/>
  <c r="J7" i="45"/>
  <c r="M7" i="68" s="1"/>
  <c r="F49" i="45"/>
  <c r="F66" i="45" s="1"/>
  <c r="F72" i="45" s="1"/>
  <c r="H52" i="45"/>
  <c r="H67" i="45" s="1"/>
  <c r="G50" i="45"/>
  <c r="J50" i="68" s="1"/>
  <c r="J96" i="34"/>
  <c r="J137" i="34"/>
  <c r="J141" i="34"/>
  <c r="J112" i="34"/>
  <c r="J142" i="34"/>
  <c r="J138" i="34"/>
  <c r="K71" i="36"/>
  <c r="K55" i="36"/>
  <c r="K177" i="34"/>
  <c r="K161" i="34"/>
  <c r="E30" i="33"/>
  <c r="E47" i="33"/>
  <c r="G43" i="45" l="1"/>
  <c r="G65" i="45" s="1"/>
  <c r="K52" i="68"/>
  <c r="K67" i="68" s="1"/>
  <c r="J49" i="68"/>
  <c r="J66" i="68" s="1"/>
  <c r="J72" i="68" s="1"/>
  <c r="I53" i="45"/>
  <c r="L53" i="68" s="1"/>
  <c r="I54" i="45"/>
  <c r="H45" i="45"/>
  <c r="K45" i="68" s="1"/>
  <c r="H47" i="45"/>
  <c r="H51" i="45"/>
  <c r="K51" i="68" s="1"/>
  <c r="G49" i="45"/>
  <c r="G66" i="45" s="1"/>
  <c r="I26" i="45"/>
  <c r="L26" i="68" s="1"/>
  <c r="I21" i="45"/>
  <c r="L21" i="68" s="1"/>
  <c r="I6" i="45"/>
  <c r="L6" i="68" s="1"/>
  <c r="K7" i="45"/>
  <c r="N7" i="68" s="1"/>
  <c r="I8" i="45"/>
  <c r="L8" i="68" s="1"/>
  <c r="I10" i="45"/>
  <c r="L10" i="68" s="1"/>
  <c r="I23" i="45"/>
  <c r="L23" i="68" s="1"/>
  <c r="I25" i="45"/>
  <c r="L25" i="68" s="1"/>
  <c r="I15" i="45"/>
  <c r="L15" i="68" s="1"/>
  <c r="I17" i="45"/>
  <c r="L17" i="68" s="1"/>
  <c r="K22" i="45"/>
  <c r="N22" i="68" s="1"/>
  <c r="I13" i="45"/>
  <c r="L13" i="68" s="1"/>
  <c r="K14" i="45"/>
  <c r="N14" i="68" s="1"/>
  <c r="I18" i="45"/>
  <c r="L18" i="68" s="1"/>
  <c r="H50" i="45"/>
  <c r="K50" i="68" s="1"/>
  <c r="L71" i="36"/>
  <c r="L55" i="36"/>
  <c r="L177" i="34"/>
  <c r="L161" i="34"/>
  <c r="K112" i="34"/>
  <c r="K142" i="34"/>
  <c r="K138" i="34"/>
  <c r="K96" i="34"/>
  <c r="K141" i="34"/>
  <c r="K137" i="34"/>
  <c r="E31" i="33"/>
  <c r="E48" i="33"/>
  <c r="G72" i="45" l="1"/>
  <c r="I52" i="45"/>
  <c r="I67" i="45" s="1"/>
  <c r="L54" i="68"/>
  <c r="L52" i="68" s="1"/>
  <c r="L67" i="68" s="1"/>
  <c r="K49" i="68"/>
  <c r="K66" i="68" s="1"/>
  <c r="H43" i="45"/>
  <c r="H65" i="45" s="1"/>
  <c r="K47" i="68"/>
  <c r="K43" i="68" s="1"/>
  <c r="K65" i="68" s="1"/>
  <c r="J53" i="45"/>
  <c r="M53" i="68" s="1"/>
  <c r="J54" i="45"/>
  <c r="M54" i="68" s="1"/>
  <c r="I45" i="45"/>
  <c r="I47" i="45"/>
  <c r="L47" i="68" s="1"/>
  <c r="I51" i="45"/>
  <c r="L51" i="68" s="1"/>
  <c r="J15" i="45"/>
  <c r="M15" i="68" s="1"/>
  <c r="J13" i="45"/>
  <c r="M13" i="68" s="1"/>
  <c r="L22" i="45"/>
  <c r="O22" i="68" s="1"/>
  <c r="J8" i="45"/>
  <c r="M8" i="68" s="1"/>
  <c r="I50" i="45"/>
  <c r="L50" i="68" s="1"/>
  <c r="J26" i="45"/>
  <c r="M26" i="68" s="1"/>
  <c r="J6" i="45"/>
  <c r="M6" i="68" s="1"/>
  <c r="J10" i="45"/>
  <c r="M10" i="68" s="1"/>
  <c r="J23" i="45"/>
  <c r="M23" i="68" s="1"/>
  <c r="L7" i="45"/>
  <c r="O7" i="68" s="1"/>
  <c r="J17" i="45"/>
  <c r="M17" i="68" s="1"/>
  <c r="J18" i="45"/>
  <c r="M18" i="68" s="1"/>
  <c r="J25" i="45"/>
  <c r="M25" i="68" s="1"/>
  <c r="L14" i="45"/>
  <c r="O14" i="68" s="1"/>
  <c r="J21" i="45"/>
  <c r="M21" i="68" s="1"/>
  <c r="H49" i="45"/>
  <c r="H66" i="45" s="1"/>
  <c r="M71" i="36"/>
  <c r="M55" i="36"/>
  <c r="M177" i="34"/>
  <c r="M161" i="34"/>
  <c r="L96" i="34"/>
  <c r="L137" i="34"/>
  <c r="L141" i="34"/>
  <c r="L112" i="34"/>
  <c r="L138" i="34"/>
  <c r="L142" i="34"/>
  <c r="E32" i="33"/>
  <c r="E49" i="33"/>
  <c r="H72" i="45" l="1"/>
  <c r="L49" i="68"/>
  <c r="L66" i="68" s="1"/>
  <c r="M52" i="68"/>
  <c r="K72" i="68"/>
  <c r="I43" i="45"/>
  <c r="I65" i="45" s="1"/>
  <c r="L45" i="68"/>
  <c r="L43" i="68" s="1"/>
  <c r="L65" i="68" s="1"/>
  <c r="L72" i="68" s="1"/>
  <c r="J52" i="45"/>
  <c r="J67" i="45" s="1"/>
  <c r="J45" i="45"/>
  <c r="M45" i="68" s="1"/>
  <c r="J47" i="45"/>
  <c r="M47" i="68" s="1"/>
  <c r="K53" i="45"/>
  <c r="N53" i="68" s="1"/>
  <c r="M67" i="68"/>
  <c r="K54" i="45"/>
  <c r="N54" i="68" s="1"/>
  <c r="J51" i="45"/>
  <c r="M51" i="68" s="1"/>
  <c r="I49" i="45"/>
  <c r="I66" i="45" s="1"/>
  <c r="K10" i="45"/>
  <c r="N10" i="68" s="1"/>
  <c r="K26" i="45"/>
  <c r="N26" i="68" s="1"/>
  <c r="K21" i="45"/>
  <c r="N21" i="68" s="1"/>
  <c r="K8" i="45"/>
  <c r="N8" i="68" s="1"/>
  <c r="M7" i="45"/>
  <c r="P7" i="68" s="1"/>
  <c r="K6" i="45"/>
  <c r="N6" i="68" s="1"/>
  <c r="M14" i="45"/>
  <c r="P14" i="68" s="1"/>
  <c r="K17" i="45"/>
  <c r="N17" i="68" s="1"/>
  <c r="K15" i="45"/>
  <c r="N15" i="68" s="1"/>
  <c r="M22" i="45"/>
  <c r="P22" i="68" s="1"/>
  <c r="K25" i="45"/>
  <c r="N25" i="68" s="1"/>
  <c r="K23" i="45"/>
  <c r="N23" i="68" s="1"/>
  <c r="K18" i="45"/>
  <c r="N18" i="68" s="1"/>
  <c r="K13" i="45"/>
  <c r="N13" i="68" s="1"/>
  <c r="J50" i="45"/>
  <c r="M50" i="68" s="1"/>
  <c r="K52" i="45"/>
  <c r="K67" i="45" s="1"/>
  <c r="M96" i="34"/>
  <c r="M137" i="34"/>
  <c r="M141" i="34"/>
  <c r="N55" i="36"/>
  <c r="N71" i="36"/>
  <c r="N177" i="34"/>
  <c r="N161" i="34"/>
  <c r="M112" i="34"/>
  <c r="M142" i="34"/>
  <c r="M138" i="34"/>
  <c r="E33" i="33"/>
  <c r="E50" i="33"/>
  <c r="J43" i="45" l="1"/>
  <c r="J65" i="45" s="1"/>
  <c r="I72" i="45"/>
  <c r="M49" i="68"/>
  <c r="M66" i="68" s="1"/>
  <c r="N52" i="68"/>
  <c r="M43" i="68"/>
  <c r="M65" i="68" s="1"/>
  <c r="K47" i="45"/>
  <c r="N47" i="68" s="1"/>
  <c r="K45" i="45"/>
  <c r="L53" i="45"/>
  <c r="O53" i="68" s="1"/>
  <c r="N67" i="68"/>
  <c r="L54" i="45"/>
  <c r="O54" i="68" s="1"/>
  <c r="K51" i="45"/>
  <c r="N51" i="68" s="1"/>
  <c r="L10" i="45"/>
  <c r="O10" i="68" s="1"/>
  <c r="L8" i="45"/>
  <c r="O8" i="68" s="1"/>
  <c r="N14" i="45"/>
  <c r="Q14" i="68" s="1"/>
  <c r="L26" i="45"/>
  <c r="O26" i="68" s="1"/>
  <c r="L23" i="45"/>
  <c r="O23" i="68" s="1"/>
  <c r="N22" i="45"/>
  <c r="Q22" i="68" s="1"/>
  <c r="L21" i="45"/>
  <c r="O21" i="68" s="1"/>
  <c r="L17" i="45"/>
  <c r="O17" i="68" s="1"/>
  <c r="L25" i="45"/>
  <c r="O25" i="68" s="1"/>
  <c r="L6" i="45"/>
  <c r="O6" i="68" s="1"/>
  <c r="L15" i="45"/>
  <c r="O15" i="68" s="1"/>
  <c r="N7" i="45"/>
  <c r="Q7" i="68" s="1"/>
  <c r="L13" i="45"/>
  <c r="O13" i="68" s="1"/>
  <c r="L18" i="45"/>
  <c r="O18" i="68" s="1"/>
  <c r="L52" i="45"/>
  <c r="L67" i="45" s="1"/>
  <c r="J49" i="45"/>
  <c r="J66" i="45" s="1"/>
  <c r="J72" i="45" s="1"/>
  <c r="K50" i="45"/>
  <c r="N50" i="68" s="1"/>
  <c r="O71" i="36"/>
  <c r="O55" i="36"/>
  <c r="O161" i="34"/>
  <c r="O177" i="34"/>
  <c r="N112" i="34"/>
  <c r="N138" i="34"/>
  <c r="N142" i="34"/>
  <c r="N96" i="34"/>
  <c r="N137" i="34"/>
  <c r="N141" i="34"/>
  <c r="E34" i="33"/>
  <c r="E51" i="33"/>
  <c r="M72" i="68" l="1"/>
  <c r="N49" i="68"/>
  <c r="N66" i="68" s="1"/>
  <c r="O52" i="68"/>
  <c r="O67" i="68" s="1"/>
  <c r="K43" i="45"/>
  <c r="K65" i="45" s="1"/>
  <c r="N45" i="68"/>
  <c r="N43" i="68" s="1"/>
  <c r="N65" i="68" s="1"/>
  <c r="L45" i="45"/>
  <c r="O45" i="68" s="1"/>
  <c r="M53" i="45"/>
  <c r="P53" i="68" s="1"/>
  <c r="M54" i="45"/>
  <c r="P54" i="68" s="1"/>
  <c r="L47" i="45"/>
  <c r="L51" i="45"/>
  <c r="O51" i="68" s="1"/>
  <c r="L50" i="45"/>
  <c r="O50" i="68" s="1"/>
  <c r="M21" i="45"/>
  <c r="P21" i="68" s="1"/>
  <c r="M23" i="45"/>
  <c r="P23" i="68" s="1"/>
  <c r="M26" i="45"/>
  <c r="P26" i="68" s="1"/>
  <c r="O22" i="45"/>
  <c r="R22" i="68" s="1"/>
  <c r="M15" i="45"/>
  <c r="P15" i="68" s="1"/>
  <c r="M18" i="45"/>
  <c r="P18" i="68" s="1"/>
  <c r="M25" i="45"/>
  <c r="P25" i="68" s="1"/>
  <c r="O7" i="45"/>
  <c r="R7" i="68" s="1"/>
  <c r="M13" i="45"/>
  <c r="P13" i="68" s="1"/>
  <c r="M10" i="45"/>
  <c r="P10" i="68" s="1"/>
  <c r="M8" i="45"/>
  <c r="P8" i="68" s="1"/>
  <c r="M6" i="45"/>
  <c r="P6" i="68" s="1"/>
  <c r="M17" i="45"/>
  <c r="P17" i="68" s="1"/>
  <c r="O14" i="45"/>
  <c r="R14" i="68" s="1"/>
  <c r="M52" i="45"/>
  <c r="M67" i="45" s="1"/>
  <c r="K49" i="45"/>
  <c r="K66" i="45" s="1"/>
  <c r="O96" i="34"/>
  <c r="O141" i="34"/>
  <c r="O137" i="34"/>
  <c r="O112" i="34"/>
  <c r="O138" i="34"/>
  <c r="O142" i="34"/>
  <c r="P71" i="36"/>
  <c r="P55" i="36"/>
  <c r="P177" i="34"/>
  <c r="P161" i="34"/>
  <c r="E35" i="33"/>
  <c r="E52" i="33"/>
  <c r="K72" i="45" l="1"/>
  <c r="N72" i="68"/>
  <c r="O49" i="68"/>
  <c r="O66" i="68" s="1"/>
  <c r="P52" i="68"/>
  <c r="P67" i="68" s="1"/>
  <c r="L43" i="45"/>
  <c r="L65" i="45" s="1"/>
  <c r="O47" i="68"/>
  <c r="O43" i="68" s="1"/>
  <c r="O65" i="68" s="1"/>
  <c r="N54" i="45"/>
  <c r="Q54" i="68" s="1"/>
  <c r="M45" i="45"/>
  <c r="P45" i="68" s="1"/>
  <c r="M47" i="45"/>
  <c r="P47" i="68" s="1"/>
  <c r="N53" i="45"/>
  <c r="M51" i="45"/>
  <c r="P51" i="68" s="1"/>
  <c r="L49" i="45"/>
  <c r="L66" i="45" s="1"/>
  <c r="N13" i="45"/>
  <c r="Q13" i="68" s="1"/>
  <c r="P14" i="45"/>
  <c r="S14" i="68" s="1"/>
  <c r="N6" i="45"/>
  <c r="Q6" i="68" s="1"/>
  <c r="N17" i="45"/>
  <c r="Q17" i="68" s="1"/>
  <c r="N8" i="45"/>
  <c r="Q8" i="68" s="1"/>
  <c r="N15" i="45"/>
  <c r="Q15" i="68" s="1"/>
  <c r="P7" i="45"/>
  <c r="S7" i="68" s="1"/>
  <c r="N21" i="45"/>
  <c r="Q21" i="68" s="1"/>
  <c r="N25" i="45"/>
  <c r="Q25" i="68" s="1"/>
  <c r="N23" i="45"/>
  <c r="Q23" i="68" s="1"/>
  <c r="N18" i="45"/>
  <c r="Q18" i="68" s="1"/>
  <c r="P22" i="45"/>
  <c r="S22" i="68" s="1"/>
  <c r="N26" i="45"/>
  <c r="Q26" i="68" s="1"/>
  <c r="N10" i="45"/>
  <c r="Q10" i="68" s="1"/>
  <c r="M50" i="45"/>
  <c r="P50" i="68" s="1"/>
  <c r="Q71" i="36"/>
  <c r="Q55" i="36"/>
  <c r="Q161" i="34"/>
  <c r="Q177" i="34"/>
  <c r="P96" i="34"/>
  <c r="P137" i="34"/>
  <c r="P141" i="34"/>
  <c r="P112" i="34"/>
  <c r="P138" i="34"/>
  <c r="P142" i="34"/>
  <c r="E54" i="33"/>
  <c r="E55" i="33" s="1"/>
  <c r="E56" i="33" s="1"/>
  <c r="E53" i="33"/>
  <c r="L72" i="45" l="1"/>
  <c r="P43" i="68"/>
  <c r="P65" i="68" s="1"/>
  <c r="O72" i="68"/>
  <c r="N52" i="45"/>
  <c r="N67" i="45" s="1"/>
  <c r="Q53" i="68"/>
  <c r="Q52" i="68" s="1"/>
  <c r="Q67" i="68" s="1"/>
  <c r="M43" i="45"/>
  <c r="M65" i="45" s="1"/>
  <c r="P49" i="68"/>
  <c r="P66" i="68" s="1"/>
  <c r="N45" i="45"/>
  <c r="Q45" i="68" s="1"/>
  <c r="N47" i="45"/>
  <c r="Q47" i="68" s="1"/>
  <c r="O54" i="45"/>
  <c r="R54" i="68" s="1"/>
  <c r="O53" i="45"/>
  <c r="R53" i="68" s="1"/>
  <c r="N51" i="45"/>
  <c r="Q51" i="68" s="1"/>
  <c r="O15" i="45"/>
  <c r="R15" i="68" s="1"/>
  <c r="O18" i="45"/>
  <c r="R18" i="68" s="1"/>
  <c r="O8" i="45"/>
  <c r="R8" i="68" s="1"/>
  <c r="O26" i="45"/>
  <c r="R26" i="68" s="1"/>
  <c r="Q7" i="45"/>
  <c r="T7" i="68" s="1"/>
  <c r="O25" i="45"/>
  <c r="R25" i="68" s="1"/>
  <c r="O23" i="45"/>
  <c r="R23" i="68" s="1"/>
  <c r="O13" i="45"/>
  <c r="R13" i="68" s="1"/>
  <c r="Q14" i="45"/>
  <c r="T14" i="68" s="1"/>
  <c r="O17" i="45"/>
  <c r="R17" i="68" s="1"/>
  <c r="O21" i="45"/>
  <c r="R21" i="68" s="1"/>
  <c r="Q22" i="45"/>
  <c r="T22" i="68" s="1"/>
  <c r="O10" i="45"/>
  <c r="R10" i="68" s="1"/>
  <c r="O6" i="45"/>
  <c r="R6" i="68" s="1"/>
  <c r="M49" i="45"/>
  <c r="M66" i="45" s="1"/>
  <c r="O52" i="45"/>
  <c r="O67" i="45" s="1"/>
  <c r="N50" i="45"/>
  <c r="Q50" i="68" s="1"/>
  <c r="Q96" i="34"/>
  <c r="Q141" i="34"/>
  <c r="Q137" i="34"/>
  <c r="R71" i="36"/>
  <c r="R55" i="36"/>
  <c r="R177" i="34"/>
  <c r="R161" i="34"/>
  <c r="Q112" i="34"/>
  <c r="Q142" i="34"/>
  <c r="Q138" i="34"/>
  <c r="M72" i="45" l="1"/>
  <c r="R52" i="68"/>
  <c r="R67" i="68" s="1"/>
  <c r="P72" i="68"/>
  <c r="Q49" i="68"/>
  <c r="Q66" i="68" s="1"/>
  <c r="Q43" i="68"/>
  <c r="Q65" i="68" s="1"/>
  <c r="N43" i="45"/>
  <c r="N65" i="45" s="1"/>
  <c r="O45" i="45"/>
  <c r="R45" i="68" s="1"/>
  <c r="P54" i="45"/>
  <c r="S54" i="68" s="1"/>
  <c r="O47" i="45"/>
  <c r="R47" i="68" s="1"/>
  <c r="P53" i="45"/>
  <c r="S53" i="68" s="1"/>
  <c r="O51" i="45"/>
  <c r="R51" i="68" s="1"/>
  <c r="N49" i="45"/>
  <c r="N66" i="45" s="1"/>
  <c r="N72" i="45" s="1"/>
  <c r="P13" i="45"/>
  <c r="S13" i="68" s="1"/>
  <c r="R14" i="45"/>
  <c r="U14" i="68" s="1"/>
  <c r="P8" i="45"/>
  <c r="S8" i="68" s="1"/>
  <c r="P6" i="45"/>
  <c r="S6" i="68" s="1"/>
  <c r="P18" i="45"/>
  <c r="S18" i="68" s="1"/>
  <c r="P17" i="45"/>
  <c r="S17" i="68" s="1"/>
  <c r="R22" i="45"/>
  <c r="U22" i="68" s="1"/>
  <c r="P23" i="45"/>
  <c r="S23" i="68" s="1"/>
  <c r="P10" i="45"/>
  <c r="S10" i="68" s="1"/>
  <c r="P21" i="45"/>
  <c r="S21" i="68" s="1"/>
  <c r="P26" i="45"/>
  <c r="S26" i="68" s="1"/>
  <c r="R7" i="45"/>
  <c r="U7" i="68" s="1"/>
  <c r="P15" i="45"/>
  <c r="S15" i="68" s="1"/>
  <c r="P25" i="45"/>
  <c r="S25" i="68" s="1"/>
  <c r="P52" i="45"/>
  <c r="P67" i="45" s="1"/>
  <c r="O50" i="45"/>
  <c r="R50" i="68" s="1"/>
  <c r="R112" i="34"/>
  <c r="R142" i="34"/>
  <c r="R138" i="34"/>
  <c r="S71" i="36"/>
  <c r="S55" i="36"/>
  <c r="S177" i="34"/>
  <c r="S161" i="34"/>
  <c r="R96" i="34"/>
  <c r="R137" i="34"/>
  <c r="R141" i="34"/>
  <c r="O43" i="45" l="1"/>
  <c r="O65" i="45" s="1"/>
  <c r="Q72" i="68"/>
  <c r="R49" i="68"/>
  <c r="R66" i="68" s="1"/>
  <c r="S52" i="68"/>
  <c r="S67" i="68" s="1"/>
  <c r="R43" i="68"/>
  <c r="R65" i="68" s="1"/>
  <c r="Q53" i="45"/>
  <c r="T53" i="68" s="1"/>
  <c r="Q54" i="45"/>
  <c r="T54" i="68" s="1"/>
  <c r="P47" i="45"/>
  <c r="S47" i="68" s="1"/>
  <c r="P45" i="45"/>
  <c r="S45" i="68" s="1"/>
  <c r="P51" i="45"/>
  <c r="S51" i="68" s="1"/>
  <c r="S22" i="45"/>
  <c r="V22" i="68" s="1"/>
  <c r="S7" i="45"/>
  <c r="V7" i="68" s="1"/>
  <c r="Q18" i="45"/>
  <c r="T18" i="68" s="1"/>
  <c r="Q6" i="45"/>
  <c r="T6" i="68" s="1"/>
  <c r="Q10" i="45"/>
  <c r="T10" i="68" s="1"/>
  <c r="Q26" i="45"/>
  <c r="T26" i="68" s="1"/>
  <c r="Q21" i="45"/>
  <c r="T21" i="68" s="1"/>
  <c r="Q17" i="45"/>
  <c r="T17" i="68" s="1"/>
  <c r="Q8" i="45"/>
  <c r="T8" i="68" s="1"/>
  <c r="O49" i="45"/>
  <c r="O66" i="45" s="1"/>
  <c r="O72" i="45" s="1"/>
  <c r="Q13" i="45"/>
  <c r="T13" i="68" s="1"/>
  <c r="Q15" i="45"/>
  <c r="T15" i="68" s="1"/>
  <c r="S14" i="45"/>
  <c r="V14" i="68" s="1"/>
  <c r="Q25" i="45"/>
  <c r="T25" i="68" s="1"/>
  <c r="Q23" i="45"/>
  <c r="T23" i="68" s="1"/>
  <c r="P50" i="45"/>
  <c r="S50" i="68" s="1"/>
  <c r="T55" i="36"/>
  <c r="T71" i="36"/>
  <c r="T161" i="34"/>
  <c r="T177" i="34"/>
  <c r="S96" i="34"/>
  <c r="S141" i="34"/>
  <c r="S137" i="34"/>
  <c r="S112" i="34"/>
  <c r="S138" i="34"/>
  <c r="S142" i="34"/>
  <c r="S43" i="68" l="1"/>
  <c r="S65" i="68" s="1"/>
  <c r="R72" i="68"/>
  <c r="P43" i="45"/>
  <c r="P65" i="45" s="1"/>
  <c r="T52" i="68"/>
  <c r="T67" i="68" s="1"/>
  <c r="S49" i="68"/>
  <c r="S66" i="68" s="1"/>
  <c r="S72" i="68" s="1"/>
  <c r="Q52" i="45"/>
  <c r="Q67" i="45" s="1"/>
  <c r="Q45" i="45"/>
  <c r="T45" i="68" s="1"/>
  <c r="Q47" i="45"/>
  <c r="R54" i="45"/>
  <c r="U54" i="68" s="1"/>
  <c r="R53" i="45"/>
  <c r="U53" i="68" s="1"/>
  <c r="P49" i="45"/>
  <c r="P66" i="45" s="1"/>
  <c r="Q51" i="45"/>
  <c r="T51" i="68" s="1"/>
  <c r="R8" i="45"/>
  <c r="U8" i="68" s="1"/>
  <c r="R23" i="45"/>
  <c r="U23" i="68" s="1"/>
  <c r="T7" i="45"/>
  <c r="W7" i="68" s="1"/>
  <c r="R21" i="45"/>
  <c r="U21" i="68" s="1"/>
  <c r="R18" i="45"/>
  <c r="U18" i="68" s="1"/>
  <c r="T22" i="45"/>
  <c r="W22" i="68" s="1"/>
  <c r="R17" i="45"/>
  <c r="U17" i="68" s="1"/>
  <c r="R15" i="45"/>
  <c r="U15" i="68" s="1"/>
  <c r="R26" i="45"/>
  <c r="U26" i="68" s="1"/>
  <c r="R10" i="45"/>
  <c r="U10" i="68" s="1"/>
  <c r="R13" i="45"/>
  <c r="U13" i="68" s="1"/>
  <c r="T14" i="45"/>
  <c r="W14" i="68" s="1"/>
  <c r="R25" i="45"/>
  <c r="U25" i="68" s="1"/>
  <c r="R6" i="45"/>
  <c r="U6" i="68" s="1"/>
  <c r="Q50" i="45"/>
  <c r="T50" i="68" s="1"/>
  <c r="R52" i="45"/>
  <c r="R67" i="45" s="1"/>
  <c r="T112" i="34"/>
  <c r="T142" i="34"/>
  <c r="T138" i="34"/>
  <c r="U71" i="36"/>
  <c r="U55" i="36"/>
  <c r="U161" i="34"/>
  <c r="U177" i="34"/>
  <c r="T96" i="34"/>
  <c r="T141" i="34"/>
  <c r="T137" i="34"/>
  <c r="P72" i="45" l="1"/>
  <c r="U52" i="68"/>
  <c r="U67" i="68" s="1"/>
  <c r="T49" i="68"/>
  <c r="T66" i="68" s="1"/>
  <c r="Q43" i="45"/>
  <c r="Q65" i="45" s="1"/>
  <c r="T47" i="68"/>
  <c r="T43" i="68" s="1"/>
  <c r="T65" i="68" s="1"/>
  <c r="R47" i="45"/>
  <c r="U47" i="68" s="1"/>
  <c r="R45" i="45"/>
  <c r="U45" i="68" s="1"/>
  <c r="S54" i="45"/>
  <c r="V54" i="68" s="1"/>
  <c r="S53" i="45"/>
  <c r="V53" i="68" s="1"/>
  <c r="R51" i="45"/>
  <c r="U51" i="68" s="1"/>
  <c r="Q49" i="45"/>
  <c r="Q66" i="45" s="1"/>
  <c r="S13" i="45"/>
  <c r="V13" i="68" s="1"/>
  <c r="S15" i="45"/>
  <c r="V15" i="68" s="1"/>
  <c r="S26" i="45"/>
  <c r="V26" i="68" s="1"/>
  <c r="S10" i="45"/>
  <c r="V10" i="68" s="1"/>
  <c r="S23" i="45"/>
  <c r="V23" i="68" s="1"/>
  <c r="U14" i="45"/>
  <c r="X14" i="68" s="1"/>
  <c r="S8" i="45"/>
  <c r="V8" i="68" s="1"/>
  <c r="S17" i="45"/>
  <c r="V17" i="68" s="1"/>
  <c r="S21" i="45"/>
  <c r="V21" i="68" s="1"/>
  <c r="S25" i="45"/>
  <c r="V25" i="68" s="1"/>
  <c r="S6" i="45"/>
  <c r="V6" i="68" s="1"/>
  <c r="U22" i="45"/>
  <c r="X22" i="68" s="1"/>
  <c r="S18" i="45"/>
  <c r="V18" i="68" s="1"/>
  <c r="U7" i="45"/>
  <c r="X7" i="68" s="1"/>
  <c r="R50" i="45"/>
  <c r="U50" i="68" s="1"/>
  <c r="U96" i="34"/>
  <c r="U137" i="34"/>
  <c r="U141" i="34"/>
  <c r="V71" i="36"/>
  <c r="V55" i="36"/>
  <c r="V161" i="34"/>
  <c r="V177" i="34"/>
  <c r="U112" i="34"/>
  <c r="U138" i="34"/>
  <c r="U142" i="34"/>
  <c r="Q72" i="45" l="1"/>
  <c r="U43" i="68"/>
  <c r="U65" i="68" s="1"/>
  <c r="V52" i="68"/>
  <c r="V67" i="68" s="1"/>
  <c r="S52" i="45"/>
  <c r="S67" i="45" s="1"/>
  <c r="T72" i="68"/>
  <c r="R43" i="45"/>
  <c r="R65" i="45" s="1"/>
  <c r="U49" i="68"/>
  <c r="U66" i="68" s="1"/>
  <c r="T53" i="45"/>
  <c r="W53" i="68" s="1"/>
  <c r="S45" i="45"/>
  <c r="V45" i="68" s="1"/>
  <c r="S47" i="45"/>
  <c r="V47" i="68" s="1"/>
  <c r="T54" i="45"/>
  <c r="W54" i="68" s="1"/>
  <c r="S51" i="45"/>
  <c r="V51" i="68" s="1"/>
  <c r="R49" i="45"/>
  <c r="R66" i="45" s="1"/>
  <c r="T26" i="45"/>
  <c r="W26" i="68" s="1"/>
  <c r="T6" i="45"/>
  <c r="W6" i="68" s="1"/>
  <c r="T10" i="45"/>
  <c r="W10" i="68" s="1"/>
  <c r="V22" i="45"/>
  <c r="Y22" i="68" s="1"/>
  <c r="T8" i="45"/>
  <c r="W8" i="68" s="1"/>
  <c r="T18" i="45"/>
  <c r="W18" i="68" s="1"/>
  <c r="T17" i="45"/>
  <c r="W17" i="68" s="1"/>
  <c r="V14" i="45"/>
  <c r="Y14" i="68" s="1"/>
  <c r="T15" i="45"/>
  <c r="W15" i="68" s="1"/>
  <c r="T13" i="45"/>
  <c r="W13" i="68" s="1"/>
  <c r="T25" i="45"/>
  <c r="W25" i="68" s="1"/>
  <c r="T23" i="45"/>
  <c r="W23" i="68" s="1"/>
  <c r="T21" i="45"/>
  <c r="W21" i="68" s="1"/>
  <c r="V7" i="45"/>
  <c r="Y7" i="68" s="1"/>
  <c r="T52" i="45"/>
  <c r="T67" i="45" s="1"/>
  <c r="S50" i="45"/>
  <c r="V50" i="68" s="1"/>
  <c r="W71" i="36"/>
  <c r="W55" i="36"/>
  <c r="W177" i="34"/>
  <c r="W161" i="34"/>
  <c r="V112" i="34"/>
  <c r="V142" i="34"/>
  <c r="V138" i="34"/>
  <c r="V96" i="34"/>
  <c r="V137" i="34"/>
  <c r="V141" i="34"/>
  <c r="U72" i="68" l="1"/>
  <c r="R72" i="45"/>
  <c r="V43" i="68"/>
  <c r="V65" i="68" s="1"/>
  <c r="S43" i="45"/>
  <c r="S65" i="45" s="1"/>
  <c r="V49" i="68"/>
  <c r="V66" i="68" s="1"/>
  <c r="W52" i="68"/>
  <c r="U54" i="45"/>
  <c r="X54" i="68" s="1"/>
  <c r="T47" i="45"/>
  <c r="W47" i="68" s="1"/>
  <c r="W67" i="68"/>
  <c r="T45" i="45"/>
  <c r="U53" i="45"/>
  <c r="X53" i="68" s="1"/>
  <c r="T51" i="45"/>
  <c r="W51" i="68" s="1"/>
  <c r="W22" i="45"/>
  <c r="Z22" i="68" s="1"/>
  <c r="U23" i="45"/>
  <c r="X23" i="68" s="1"/>
  <c r="U17" i="45"/>
  <c r="X17" i="68" s="1"/>
  <c r="U18" i="45"/>
  <c r="X18" i="68" s="1"/>
  <c r="U25" i="45"/>
  <c r="X25" i="68" s="1"/>
  <c r="W14" i="45"/>
  <c r="Z14" i="68" s="1"/>
  <c r="U6" i="45"/>
  <c r="X6" i="68" s="1"/>
  <c r="U15" i="45"/>
  <c r="X15" i="68" s="1"/>
  <c r="U10" i="45"/>
  <c r="X10" i="68" s="1"/>
  <c r="U26" i="45"/>
  <c r="X26" i="68" s="1"/>
  <c r="U13" i="45"/>
  <c r="X13" i="68" s="1"/>
  <c r="W7" i="45"/>
  <c r="Z7" i="68" s="1"/>
  <c r="U21" i="45"/>
  <c r="X21" i="68" s="1"/>
  <c r="U8" i="45"/>
  <c r="X8" i="68" s="1"/>
  <c r="U52" i="45"/>
  <c r="U67" i="45" s="1"/>
  <c r="S49" i="45"/>
  <c r="S66" i="45" s="1"/>
  <c r="T50" i="45"/>
  <c r="W50" i="68" s="1"/>
  <c r="X71" i="36"/>
  <c r="X55" i="36"/>
  <c r="X161" i="34"/>
  <c r="X177" i="34"/>
  <c r="W96" i="34"/>
  <c r="W141" i="34"/>
  <c r="W137" i="34"/>
  <c r="W112" i="34"/>
  <c r="W138" i="34"/>
  <c r="W142" i="34"/>
  <c r="E57" i="33"/>
  <c r="S72" i="45" l="1"/>
  <c r="V72" i="68"/>
  <c r="W49" i="68"/>
  <c r="W66" i="68" s="1"/>
  <c r="X52" i="68"/>
  <c r="X67" i="68" s="1"/>
  <c r="T43" i="45"/>
  <c r="T65" i="45" s="1"/>
  <c r="W45" i="68"/>
  <c r="W43" i="68" s="1"/>
  <c r="W65" i="68" s="1"/>
  <c r="U45" i="45"/>
  <c r="X45" i="68" s="1"/>
  <c r="U47" i="45"/>
  <c r="V54" i="45"/>
  <c r="Y54" i="68" s="1"/>
  <c r="V53" i="45"/>
  <c r="Y53" i="68" s="1"/>
  <c r="U51" i="45"/>
  <c r="X51" i="68" s="1"/>
  <c r="T49" i="45"/>
  <c r="T66" i="45" s="1"/>
  <c r="X14" i="45"/>
  <c r="AA14" i="68" s="1"/>
  <c r="V8" i="45"/>
  <c r="Y8" i="68" s="1"/>
  <c r="X7" i="45"/>
  <c r="AA7" i="68" s="1"/>
  <c r="V25" i="45"/>
  <c r="Y25" i="68" s="1"/>
  <c r="X22" i="45"/>
  <c r="AA22" i="68" s="1"/>
  <c r="V18" i="45"/>
  <c r="Y18" i="68" s="1"/>
  <c r="V10" i="45"/>
  <c r="Y10" i="68" s="1"/>
  <c r="V13" i="45"/>
  <c r="Y13" i="68" s="1"/>
  <c r="V17" i="45"/>
  <c r="Y17" i="68" s="1"/>
  <c r="V21" i="45"/>
  <c r="Y21" i="68" s="1"/>
  <c r="V23" i="45"/>
  <c r="Y23" i="68" s="1"/>
  <c r="V26" i="45"/>
  <c r="Y26" i="68" s="1"/>
  <c r="V15" i="45"/>
  <c r="Y15" i="68" s="1"/>
  <c r="V6" i="45"/>
  <c r="Y6" i="68" s="1"/>
  <c r="U50" i="45"/>
  <c r="X50" i="68" s="1"/>
  <c r="Y71" i="36"/>
  <c r="Y55" i="36"/>
  <c r="Y161" i="34"/>
  <c r="Y177" i="34"/>
  <c r="X96" i="34"/>
  <c r="X141" i="34"/>
  <c r="X137" i="34"/>
  <c r="X112" i="34"/>
  <c r="X142" i="34"/>
  <c r="X138" i="34"/>
  <c r="E58" i="33"/>
  <c r="W72" i="68" l="1"/>
  <c r="V52" i="45"/>
  <c r="V67" i="45" s="1"/>
  <c r="T72" i="45"/>
  <c r="U43" i="45"/>
  <c r="U65" i="45" s="1"/>
  <c r="X47" i="68"/>
  <c r="X43" i="68" s="1"/>
  <c r="X65" i="68" s="1"/>
  <c r="X49" i="68"/>
  <c r="X66" i="68" s="1"/>
  <c r="Y52" i="68"/>
  <c r="Y67" i="68" s="1"/>
  <c r="V45" i="45"/>
  <c r="Y45" i="68" s="1"/>
  <c r="V47" i="45"/>
  <c r="Y47" i="68" s="1"/>
  <c r="W54" i="45"/>
  <c r="Z54" i="68" s="1"/>
  <c r="W53" i="45"/>
  <c r="Z53" i="68" s="1"/>
  <c r="V51" i="45"/>
  <c r="Y51" i="68" s="1"/>
  <c r="W26" i="45"/>
  <c r="Z26" i="68" s="1"/>
  <c r="W8" i="45"/>
  <c r="Z8" i="68" s="1"/>
  <c r="W17" i="45"/>
  <c r="Z17" i="68" s="1"/>
  <c r="W13" i="45"/>
  <c r="Z13" i="68" s="1"/>
  <c r="W18" i="45"/>
  <c r="Z18" i="68" s="1"/>
  <c r="W15" i="45"/>
  <c r="Z15" i="68" s="1"/>
  <c r="W6" i="45"/>
  <c r="Z6" i="68" s="1"/>
  <c r="Y14" i="45"/>
  <c r="AB14" i="68" s="1"/>
  <c r="W10" i="45"/>
  <c r="Z10" i="68" s="1"/>
  <c r="Y7" i="45"/>
  <c r="AB7" i="68" s="1"/>
  <c r="Y22" i="45"/>
  <c r="AB22" i="68" s="1"/>
  <c r="W25" i="45"/>
  <c r="Z25" i="68" s="1"/>
  <c r="W23" i="45"/>
  <c r="Z23" i="68" s="1"/>
  <c r="W21" i="45"/>
  <c r="Z21" i="68" s="1"/>
  <c r="V50" i="45"/>
  <c r="Y50" i="68" s="1"/>
  <c r="U49" i="45"/>
  <c r="U66" i="45" s="1"/>
  <c r="U72" i="45" s="1"/>
  <c r="W52" i="45"/>
  <c r="W67" i="45" s="1"/>
  <c r="Z71" i="36"/>
  <c r="Z55" i="36"/>
  <c r="Z161" i="34"/>
  <c r="Z177" i="34"/>
  <c r="Y96" i="34"/>
  <c r="Y141" i="34"/>
  <c r="Y137" i="34"/>
  <c r="Y112" i="34"/>
  <c r="Y142" i="34"/>
  <c r="Y138" i="34"/>
  <c r="E59" i="33"/>
  <c r="Z52" i="68" l="1"/>
  <c r="Z67" i="68" s="1"/>
  <c r="V43" i="45"/>
  <c r="V65" i="45" s="1"/>
  <c r="Y43" i="68"/>
  <c r="Y65" i="68" s="1"/>
  <c r="X72" i="68"/>
  <c r="Y49" i="68"/>
  <c r="Y66" i="68" s="1"/>
  <c r="W45" i="45"/>
  <c r="Z45" i="68" s="1"/>
  <c r="X53" i="45"/>
  <c r="AA53" i="68" s="1"/>
  <c r="W47" i="45"/>
  <c r="Z47" i="68" s="1"/>
  <c r="X54" i="45"/>
  <c r="AA54" i="68" s="1"/>
  <c r="W51" i="45"/>
  <c r="Z51" i="68" s="1"/>
  <c r="X13" i="45"/>
  <c r="AA13" i="68" s="1"/>
  <c r="Z22" i="45"/>
  <c r="AC22" i="68" s="1"/>
  <c r="X21" i="45"/>
  <c r="AA21" i="68" s="1"/>
  <c r="X15" i="45"/>
  <c r="AA15" i="68" s="1"/>
  <c r="Z14" i="45"/>
  <c r="AC14" i="68" s="1"/>
  <c r="X17" i="45"/>
  <c r="AA17" i="68" s="1"/>
  <c r="X8" i="45"/>
  <c r="AA8" i="68" s="1"/>
  <c r="V49" i="45"/>
  <c r="V66" i="45" s="1"/>
  <c r="V72" i="45" s="1"/>
  <c r="X18" i="45"/>
  <c r="AA18" i="68" s="1"/>
  <c r="X10" i="45"/>
  <c r="AA10" i="68" s="1"/>
  <c r="X26" i="45"/>
  <c r="AA26" i="68" s="1"/>
  <c r="X6" i="45"/>
  <c r="AA6" i="68" s="1"/>
  <c r="Z7" i="45"/>
  <c r="AC7" i="68" s="1"/>
  <c r="X25" i="45"/>
  <c r="AA25" i="68" s="1"/>
  <c r="X23" i="45"/>
  <c r="AA23" i="68" s="1"/>
  <c r="X52" i="45"/>
  <c r="X67" i="45" s="1"/>
  <c r="W50" i="45"/>
  <c r="Z50" i="68" s="1"/>
  <c r="AA71" i="36"/>
  <c r="AA55" i="36"/>
  <c r="AA161" i="34"/>
  <c r="AA177" i="34"/>
  <c r="Z96" i="34"/>
  <c r="Z141" i="34"/>
  <c r="Z137" i="34"/>
  <c r="Z112" i="34"/>
  <c r="Z142" i="34"/>
  <c r="Z138" i="34"/>
  <c r="E60" i="33"/>
  <c r="E61" i="33" s="1"/>
  <c r="E62" i="33" s="1"/>
  <c r="E63" i="33" s="1"/>
  <c r="E64" i="33" s="1"/>
  <c r="E65" i="33" s="1"/>
  <c r="E66" i="33" s="1"/>
  <c r="E67" i="33" s="1"/>
  <c r="E68" i="33" s="1"/>
  <c r="E69" i="33" s="1"/>
  <c r="E70" i="33" s="1"/>
  <c r="E71" i="33" s="1"/>
  <c r="W43" i="45" l="1"/>
  <c r="W65" i="45" s="1"/>
  <c r="Z43" i="68"/>
  <c r="Z65" i="68" s="1"/>
  <c r="Y72" i="68"/>
  <c r="Z49" i="68"/>
  <c r="Z66" i="68" s="1"/>
  <c r="AA52" i="68"/>
  <c r="AA67" i="68" s="1"/>
  <c r="Y53" i="45"/>
  <c r="AB53" i="68" s="1"/>
  <c r="X45" i="45"/>
  <c r="AA45" i="68" s="1"/>
  <c r="X47" i="45"/>
  <c r="AA47" i="68" s="1"/>
  <c r="Y54" i="45"/>
  <c r="AB54" i="68" s="1"/>
  <c r="X51" i="45"/>
  <c r="AA51" i="68" s="1"/>
  <c r="Y25" i="45"/>
  <c r="AB25" i="68" s="1"/>
  <c r="AA14" i="45"/>
  <c r="AD14" i="68" s="1"/>
  <c r="Y18" i="45"/>
  <c r="AB18" i="68" s="1"/>
  <c r="Y10" i="45"/>
  <c r="AB10" i="68" s="1"/>
  <c r="Y21" i="45"/>
  <c r="AB21" i="68" s="1"/>
  <c r="Y15" i="45"/>
  <c r="AB15" i="68" s="1"/>
  <c r="AA7" i="45"/>
  <c r="AD7" i="68" s="1"/>
  <c r="Y13" i="45"/>
  <c r="AB13" i="68" s="1"/>
  <c r="Y26" i="45"/>
  <c r="AB26" i="68" s="1"/>
  <c r="W49" i="45"/>
  <c r="W66" i="45" s="1"/>
  <c r="W72" i="45" s="1"/>
  <c r="Y23" i="45"/>
  <c r="AB23" i="68" s="1"/>
  <c r="Y17" i="45"/>
  <c r="AB17" i="68" s="1"/>
  <c r="Y8" i="45"/>
  <c r="AB8" i="68" s="1"/>
  <c r="AA22" i="45"/>
  <c r="AD22" i="68" s="1"/>
  <c r="Y6" i="45"/>
  <c r="AB6" i="68" s="1"/>
  <c r="X50" i="45"/>
  <c r="AA50" i="68" s="1"/>
  <c r="Y52" i="45"/>
  <c r="Y67" i="45" s="1"/>
  <c r="AA96" i="34"/>
  <c r="AA137" i="34"/>
  <c r="AA141" i="34"/>
  <c r="AB71" i="36"/>
  <c r="AB55" i="36"/>
  <c r="AB161" i="34"/>
  <c r="AB177" i="34"/>
  <c r="AA112" i="34"/>
  <c r="AA142" i="34"/>
  <c r="AA138" i="34"/>
  <c r="Z72" i="68" l="1"/>
  <c r="AA43" i="68"/>
  <c r="AA65" i="68" s="1"/>
  <c r="X43" i="45"/>
  <c r="X65" i="45" s="1"/>
  <c r="AB52" i="68"/>
  <c r="AB67" i="68" s="1"/>
  <c r="AA49" i="68"/>
  <c r="AA66" i="68" s="1"/>
  <c r="Y47" i="45"/>
  <c r="AB47" i="68" s="1"/>
  <c r="Y45" i="45"/>
  <c r="AB45" i="68" s="1"/>
  <c r="Z54" i="45"/>
  <c r="AC54" i="68" s="1"/>
  <c r="Z53" i="45"/>
  <c r="AC53" i="68" s="1"/>
  <c r="Y51" i="45"/>
  <c r="AB51" i="68" s="1"/>
  <c r="X49" i="45"/>
  <c r="X66" i="45" s="1"/>
  <c r="Z8" i="45"/>
  <c r="AC8" i="68" s="1"/>
  <c r="Z25" i="45"/>
  <c r="AC25" i="68" s="1"/>
  <c r="AB22" i="45"/>
  <c r="Z18" i="45"/>
  <c r="AC18" i="68" s="1"/>
  <c r="Z21" i="45"/>
  <c r="AC21" i="68" s="1"/>
  <c r="AB7" i="45"/>
  <c r="Z6" i="45"/>
  <c r="AC6" i="68" s="1"/>
  <c r="Z15" i="45"/>
  <c r="AC15" i="68" s="1"/>
  <c r="Z10" i="45"/>
  <c r="AC10" i="68" s="1"/>
  <c r="Z26" i="45"/>
  <c r="AC26" i="68" s="1"/>
  <c r="Z17" i="45"/>
  <c r="AC17" i="68" s="1"/>
  <c r="Z23" i="45"/>
  <c r="AC23" i="68" s="1"/>
  <c r="AB14" i="45"/>
  <c r="Z13" i="45"/>
  <c r="AC13" i="68" s="1"/>
  <c r="Y50" i="45"/>
  <c r="AB50" i="68" s="1"/>
  <c r="AB96" i="34"/>
  <c r="AB141" i="34"/>
  <c r="AB137" i="34"/>
  <c r="AC71" i="36"/>
  <c r="AC55" i="36"/>
  <c r="AC161" i="34"/>
  <c r="AC177" i="34"/>
  <c r="AB112" i="34"/>
  <c r="AB138" i="34"/>
  <c r="AB142" i="34"/>
  <c r="X72" i="45" l="1"/>
  <c r="AB43" i="68"/>
  <c r="AB65" i="68" s="1"/>
  <c r="Z52" i="45"/>
  <c r="Z67" i="45" s="1"/>
  <c r="Y43" i="45"/>
  <c r="Y65" i="45" s="1"/>
  <c r="AA72" i="68"/>
  <c r="AC52" i="68"/>
  <c r="AC67" i="68" s="1"/>
  <c r="AB49" i="68"/>
  <c r="AB66" i="68" s="1"/>
  <c r="Z47" i="45"/>
  <c r="AC47" i="68" s="1"/>
  <c r="AA54" i="45"/>
  <c r="AD54" i="68" s="1"/>
  <c r="AA53" i="45"/>
  <c r="AD53" i="68" s="1"/>
  <c r="Z45" i="45"/>
  <c r="AC45" i="68" s="1"/>
  <c r="Z51" i="45"/>
  <c r="AC51" i="68" s="1"/>
  <c r="AC7" i="45"/>
  <c r="AA26" i="45"/>
  <c r="AD26" i="68" s="1"/>
  <c r="AC22" i="45"/>
  <c r="AA10" i="45"/>
  <c r="AD10" i="68" s="1"/>
  <c r="AA13" i="45"/>
  <c r="AD13" i="68" s="1"/>
  <c r="AA8" i="45"/>
  <c r="AD8" i="68" s="1"/>
  <c r="AA25" i="45"/>
  <c r="AD25" i="68" s="1"/>
  <c r="AA21" i="45"/>
  <c r="AD21" i="68" s="1"/>
  <c r="AA15" i="45"/>
  <c r="AD15" i="68" s="1"/>
  <c r="AC14" i="45"/>
  <c r="AA18" i="45"/>
  <c r="AD18" i="68" s="1"/>
  <c r="AA6" i="45"/>
  <c r="AD6" i="68" s="1"/>
  <c r="AA23" i="45"/>
  <c r="AD23" i="68" s="1"/>
  <c r="AA17" i="45"/>
  <c r="AD17" i="68" s="1"/>
  <c r="Y49" i="45"/>
  <c r="Y66" i="45" s="1"/>
  <c r="Z50" i="45"/>
  <c r="AC50" i="68" s="1"/>
  <c r="AC96" i="34"/>
  <c r="AC137" i="34"/>
  <c r="AC141" i="34"/>
  <c r="AD177" i="34"/>
  <c r="AD161" i="34"/>
  <c r="AC112" i="34"/>
  <c r="AC138" i="34"/>
  <c r="AC142" i="34"/>
  <c r="Y72" i="45" l="1"/>
  <c r="AB72" i="68"/>
  <c r="Z43" i="45"/>
  <c r="Z65" i="45" s="1"/>
  <c r="AC43" i="68"/>
  <c r="AC65" i="68" s="1"/>
  <c r="AA52" i="45"/>
  <c r="AA67" i="45" s="1"/>
  <c r="AC49" i="68"/>
  <c r="AC66" i="68" s="1"/>
  <c r="AD52" i="68"/>
  <c r="AD67" i="68" s="1"/>
  <c r="AA45" i="45"/>
  <c r="AD45" i="68" s="1"/>
  <c r="AA47" i="45"/>
  <c r="AD47" i="68" s="1"/>
  <c r="AA51" i="45"/>
  <c r="AD51" i="68" s="1"/>
  <c r="AD14" i="45"/>
  <c r="AB17" i="45"/>
  <c r="AD22" i="45"/>
  <c r="AB15" i="45"/>
  <c r="AB10" i="45"/>
  <c r="AD7" i="45"/>
  <c r="AB23" i="45"/>
  <c r="AB8" i="45"/>
  <c r="AB25" i="45"/>
  <c r="Z49" i="45"/>
  <c r="Z66" i="45" s="1"/>
  <c r="AE177" i="34"/>
  <c r="AE161" i="34"/>
  <c r="AA50" i="45"/>
  <c r="AD50" i="68" s="1"/>
  <c r="AD112" i="34"/>
  <c r="AD96" i="34"/>
  <c r="AD43" i="68" l="1"/>
  <c r="AD65" i="68" s="1"/>
  <c r="AA43" i="45"/>
  <c r="AA65" i="45" s="1"/>
  <c r="AD49" i="68"/>
  <c r="AD66" i="68" s="1"/>
  <c r="AC8" i="45"/>
  <c r="AE22" i="45"/>
  <c r="AC10" i="45"/>
  <c r="AC23" i="45"/>
  <c r="AC25" i="45"/>
  <c r="AC15" i="45"/>
  <c r="AE7" i="45"/>
  <c r="AC17" i="45"/>
  <c r="AE14" i="45"/>
  <c r="AA49" i="45"/>
  <c r="AA66" i="45" s="1"/>
  <c r="AF161" i="34"/>
  <c r="AF177" i="34"/>
  <c r="AE96" i="34"/>
  <c r="AE112" i="34"/>
  <c r="AD23" i="45" l="1"/>
  <c r="AF22" i="45"/>
  <c r="AD10" i="45"/>
  <c r="AD15" i="45"/>
  <c r="AF7" i="45"/>
  <c r="AD25" i="45"/>
  <c r="AF14" i="45"/>
  <c r="AD17" i="45"/>
  <c r="AD8" i="45"/>
  <c r="AF96" i="34"/>
  <c r="AG161" i="34"/>
  <c r="AG177" i="34"/>
  <c r="AF112" i="34"/>
  <c r="AE25" i="45" l="1"/>
  <c r="AE10" i="45"/>
  <c r="AG22" i="45"/>
  <c r="AE15" i="45"/>
  <c r="AE23" i="45"/>
  <c r="AG7" i="45"/>
  <c r="AE17" i="45"/>
  <c r="AE8" i="45"/>
  <c r="AG14" i="45"/>
  <c r="AH177" i="34"/>
  <c r="AH161" i="34"/>
  <c r="AG96" i="34"/>
  <c r="AG112" i="34"/>
  <c r="AF25" i="45" l="1"/>
  <c r="AF15" i="45"/>
  <c r="AF17" i="45"/>
  <c r="AF8" i="45"/>
  <c r="AF10" i="45"/>
  <c r="AF23" i="45"/>
  <c r="AI177" i="34"/>
  <c r="AI161" i="34"/>
  <c r="AH96" i="34"/>
  <c r="AH112" i="34"/>
  <c r="AG8" i="45" l="1"/>
  <c r="AG23" i="45"/>
  <c r="AG10" i="45"/>
  <c r="AG17" i="45"/>
  <c r="AG15" i="45"/>
  <c r="AG25" i="45"/>
  <c r="AI96" i="34"/>
  <c r="AI112" i="34"/>
  <c r="AH22" i="45" l="1"/>
  <c r="AH14" i="45" l="1"/>
  <c r="AH7" i="45"/>
  <c r="AI22" i="45"/>
  <c r="AH23" i="45" l="1"/>
  <c r="AI14" i="45"/>
  <c r="AI7" i="45"/>
  <c r="AJ22" i="45"/>
  <c r="AI23" i="45" l="1"/>
  <c r="AH8" i="45"/>
  <c r="AH15" i="45"/>
  <c r="AJ14" i="45"/>
  <c r="AK22" i="45"/>
  <c r="AJ7" i="45"/>
  <c r="AK71" i="36"/>
  <c r="R1487" i="67" s="1"/>
  <c r="AK161" i="34"/>
  <c r="AK177" i="34"/>
  <c r="AK55" i="36"/>
  <c r="R1471" i="67" s="1"/>
  <c r="R384" i="67" l="1"/>
  <c r="R536" i="67"/>
  <c r="R839" i="67"/>
  <c r="R688" i="67"/>
  <c r="R78" i="67"/>
  <c r="R231" i="67"/>
  <c r="R368" i="67"/>
  <c r="R215" i="67"/>
  <c r="R520" i="67"/>
  <c r="R823" i="67"/>
  <c r="R62" i="67"/>
  <c r="AI15" i="45"/>
  <c r="AI8" i="45"/>
  <c r="AJ23" i="45"/>
  <c r="AL22" i="45"/>
  <c r="AK14" i="45"/>
  <c r="AK7" i="45"/>
  <c r="AK112" i="34"/>
  <c r="AL71" i="36"/>
  <c r="S1487" i="67" s="1"/>
  <c r="AL161" i="34"/>
  <c r="AL177" i="34"/>
  <c r="AK96" i="34"/>
  <c r="AL55" i="36"/>
  <c r="S1471" i="67" s="1"/>
  <c r="S78" i="67" l="1"/>
  <c r="S384" i="67"/>
  <c r="S536" i="67"/>
  <c r="S231" i="67"/>
  <c r="S839" i="67"/>
  <c r="S688" i="67"/>
  <c r="S368" i="67"/>
  <c r="S520" i="67"/>
  <c r="S823" i="67"/>
  <c r="S62" i="67"/>
  <c r="S215" i="67"/>
  <c r="AJ15" i="45"/>
  <c r="AJ8" i="45"/>
  <c r="AK23" i="45"/>
  <c r="AL14" i="45"/>
  <c r="AL7" i="45"/>
  <c r="AM22" i="45"/>
  <c r="AL112" i="34"/>
  <c r="AM71" i="36"/>
  <c r="T1487" i="67" s="1"/>
  <c r="AM161" i="34"/>
  <c r="AM177" i="34"/>
  <c r="AL96" i="34"/>
  <c r="AM55" i="36"/>
  <c r="T1471" i="67" s="1"/>
  <c r="T368" i="67" l="1"/>
  <c r="T823" i="67"/>
  <c r="T215" i="67"/>
  <c r="T520" i="67"/>
  <c r="T62" i="67"/>
  <c r="T231" i="67"/>
  <c r="T839" i="67"/>
  <c r="T536" i="67"/>
  <c r="T384" i="67"/>
  <c r="T688" i="67"/>
  <c r="T78" i="67"/>
  <c r="AK15" i="45"/>
  <c r="AK8" i="45"/>
  <c r="AL23" i="45"/>
  <c r="AN22" i="45"/>
  <c r="AM7" i="45"/>
  <c r="AM14" i="45"/>
  <c r="AM112" i="34"/>
  <c r="AN71" i="36"/>
  <c r="U1487" i="67" s="1"/>
  <c r="AN177" i="34"/>
  <c r="AN161" i="34"/>
  <c r="AM96" i="34"/>
  <c r="AN55" i="36"/>
  <c r="U1471" i="67" s="1"/>
  <c r="U536" i="67" l="1"/>
  <c r="U78" i="67"/>
  <c r="U688" i="67"/>
  <c r="U231" i="67"/>
  <c r="U384" i="67"/>
  <c r="U839" i="67"/>
  <c r="U368" i="67"/>
  <c r="U520" i="67"/>
  <c r="U823" i="67"/>
  <c r="U215" i="67"/>
  <c r="U62" i="67"/>
  <c r="AM23" i="45"/>
  <c r="AL8" i="45"/>
  <c r="AL15" i="45"/>
  <c r="AN7" i="45"/>
  <c r="AO22" i="45"/>
  <c r="AN14" i="45"/>
  <c r="AN112" i="34"/>
  <c r="AO71" i="36"/>
  <c r="V1487" i="67" s="1"/>
  <c r="AO161" i="34"/>
  <c r="AO177" i="34"/>
  <c r="AN96" i="34"/>
  <c r="AO55" i="36"/>
  <c r="V1471" i="67" s="1"/>
  <c r="V520" i="67" l="1"/>
  <c r="V215" i="67"/>
  <c r="V368" i="67"/>
  <c r="V823" i="67"/>
  <c r="V62" i="67"/>
  <c r="V231" i="67"/>
  <c r="V384" i="67"/>
  <c r="V536" i="67"/>
  <c r="V839" i="67"/>
  <c r="V688" i="67"/>
  <c r="V78" i="67"/>
  <c r="AN23" i="45"/>
  <c r="AM8" i="45"/>
  <c r="AM15" i="45"/>
  <c r="AO14" i="45"/>
  <c r="AO7" i="45"/>
  <c r="AP22" i="45"/>
  <c r="AO112" i="34"/>
  <c r="AP71" i="36"/>
  <c r="W1487" i="67" s="1"/>
  <c r="AP161" i="34"/>
  <c r="AP177" i="34"/>
  <c r="AO96" i="34"/>
  <c r="AP55" i="36"/>
  <c r="W1471" i="67" s="1"/>
  <c r="W368" i="67" l="1"/>
  <c r="W823" i="67"/>
  <c r="W62" i="67"/>
  <c r="W215" i="67"/>
  <c r="W520" i="67"/>
  <c r="W688" i="67"/>
  <c r="W839" i="67"/>
  <c r="W78" i="67"/>
  <c r="W231" i="67"/>
  <c r="W384" i="67"/>
  <c r="W536" i="67"/>
  <c r="AN15" i="45"/>
  <c r="AO23" i="45"/>
  <c r="AN8" i="45"/>
  <c r="AQ22" i="45"/>
  <c r="AP7" i="45"/>
  <c r="AP14" i="45"/>
  <c r="AP112" i="34"/>
  <c r="AQ71" i="36"/>
  <c r="X1487" i="67" s="1"/>
  <c r="AQ161" i="34"/>
  <c r="AQ177" i="34"/>
  <c r="AP96" i="34"/>
  <c r="AQ55" i="36"/>
  <c r="X1471" i="67" s="1"/>
  <c r="X536" i="67" l="1"/>
  <c r="X78" i="67"/>
  <c r="X688" i="67"/>
  <c r="X231" i="67"/>
  <c r="X839" i="67"/>
  <c r="X384" i="67"/>
  <c r="X823" i="67"/>
  <c r="X215" i="67"/>
  <c r="X368" i="67"/>
  <c r="X520" i="67"/>
  <c r="X62" i="67"/>
  <c r="AO15" i="45"/>
  <c r="AP23" i="45"/>
  <c r="AO8" i="45"/>
  <c r="AR22" i="45"/>
  <c r="AQ7" i="45"/>
  <c r="AQ14" i="45"/>
  <c r="AQ112" i="34"/>
  <c r="AR71" i="36"/>
  <c r="Y1487" i="67" s="1"/>
  <c r="AR161" i="34"/>
  <c r="AR177" i="34"/>
  <c r="AQ96" i="34"/>
  <c r="AR55" i="36"/>
  <c r="Y1471" i="67" s="1"/>
  <c r="Y520" i="67" l="1"/>
  <c r="Y62" i="67"/>
  <c r="Y823" i="67"/>
  <c r="Y215" i="67"/>
  <c r="Y368" i="67"/>
  <c r="Y688" i="67"/>
  <c r="Y231" i="67"/>
  <c r="Y384" i="67"/>
  <c r="Y839" i="67"/>
  <c r="Y536" i="67"/>
  <c r="Y78" i="67"/>
  <c r="AP15" i="45"/>
  <c r="AQ23" i="45"/>
  <c r="AP8" i="45"/>
  <c r="AS22" i="45"/>
  <c r="AR14" i="45"/>
  <c r="AR7" i="45"/>
  <c r="AR112" i="34"/>
  <c r="AS71" i="36"/>
  <c r="Z1487" i="67" s="1"/>
  <c r="AS161" i="34"/>
  <c r="AS177" i="34"/>
  <c r="AR96" i="34"/>
  <c r="AS55" i="36"/>
  <c r="Z1471" i="67" s="1"/>
  <c r="Z839" i="67" l="1"/>
  <c r="Z688" i="67"/>
  <c r="Z231" i="67"/>
  <c r="Z384" i="67"/>
  <c r="Z536" i="67"/>
  <c r="Z78" i="67"/>
  <c r="Z520" i="67"/>
  <c r="Z62" i="67"/>
  <c r="Z368" i="67"/>
  <c r="Z823" i="67"/>
  <c r="Z215" i="67"/>
  <c r="AQ15" i="45"/>
  <c r="AQ8" i="45"/>
  <c r="AR23" i="45"/>
  <c r="AS14" i="45"/>
  <c r="AT22" i="45"/>
  <c r="AS7" i="45"/>
  <c r="AS112" i="34"/>
  <c r="AT71" i="36"/>
  <c r="AA1487" i="67" s="1"/>
  <c r="AT161" i="34"/>
  <c r="AT177" i="34"/>
  <c r="AS96" i="34"/>
  <c r="AT55" i="36"/>
  <c r="AA1471" i="67" s="1"/>
  <c r="AA839" i="67" l="1"/>
  <c r="AA688" i="67"/>
  <c r="AA78" i="67"/>
  <c r="AA231" i="67"/>
  <c r="AA384" i="67"/>
  <c r="AA536" i="67"/>
  <c r="AA368" i="67"/>
  <c r="AA520" i="67"/>
  <c r="AA62" i="67"/>
  <c r="AA823" i="67"/>
  <c r="AA215" i="67"/>
  <c r="AR15" i="45"/>
  <c r="AS23" i="45"/>
  <c r="AR8" i="45"/>
  <c r="AT7" i="45"/>
  <c r="AU22" i="45"/>
  <c r="AT14" i="45"/>
  <c r="AT112" i="34"/>
  <c r="AU71" i="36"/>
  <c r="AB1487" i="67" s="1"/>
  <c r="AU161" i="34"/>
  <c r="AU177" i="34"/>
  <c r="AT96" i="34"/>
  <c r="AU55" i="36"/>
  <c r="AB1471" i="67" s="1"/>
  <c r="AB823" i="67" l="1"/>
  <c r="AB215" i="67"/>
  <c r="AB368" i="67"/>
  <c r="AB520" i="67"/>
  <c r="AB62" i="67"/>
  <c r="AB231" i="67"/>
  <c r="AB384" i="67"/>
  <c r="AB536" i="67"/>
  <c r="AB688" i="67"/>
  <c r="AB839" i="67"/>
  <c r="AB78" i="67"/>
  <c r="AT23" i="45"/>
  <c r="AS15" i="45"/>
  <c r="AS8" i="45"/>
  <c r="AU7" i="45"/>
  <c r="AV22" i="45"/>
  <c r="AU14" i="45"/>
  <c r="AU112" i="34"/>
  <c r="AV71" i="36"/>
  <c r="AC1487" i="67" s="1"/>
  <c r="AV177" i="34"/>
  <c r="AV161" i="34"/>
  <c r="AU96" i="34"/>
  <c r="AV55" i="36"/>
  <c r="AC1471" i="67" s="1"/>
  <c r="AC839" i="67" l="1"/>
  <c r="AC688" i="67"/>
  <c r="AC231" i="67"/>
  <c r="AC384" i="67"/>
  <c r="AC536" i="67"/>
  <c r="AC78" i="67"/>
  <c r="AC215" i="67"/>
  <c r="AC368" i="67"/>
  <c r="AC520" i="67"/>
  <c r="AC823" i="67"/>
  <c r="AC62" i="67"/>
  <c r="AU23" i="45"/>
  <c r="AT8" i="45"/>
  <c r="AT15" i="45"/>
  <c r="AV7" i="45"/>
  <c r="AW22" i="45"/>
  <c r="AV14" i="45"/>
  <c r="AV112" i="34"/>
  <c r="AW71" i="36"/>
  <c r="AD1487" i="67" s="1"/>
  <c r="AW161" i="34"/>
  <c r="AW177" i="34"/>
  <c r="AV96" i="34"/>
  <c r="AW55" i="36"/>
  <c r="AD1471" i="67" s="1"/>
  <c r="AD368" i="67" l="1"/>
  <c r="AD520" i="67"/>
  <c r="AD62" i="67"/>
  <c r="AD823" i="67"/>
  <c r="AD215" i="67"/>
  <c r="AD231" i="67"/>
  <c r="AD536" i="67"/>
  <c r="AD688" i="67"/>
  <c r="AD384" i="67"/>
  <c r="AD839" i="67"/>
  <c r="AD78" i="67"/>
  <c r="AV23" i="45"/>
  <c r="AU8" i="45"/>
  <c r="AU15" i="45"/>
  <c r="AW7" i="45"/>
  <c r="AX22" i="45"/>
  <c r="AW14" i="45"/>
  <c r="AW112" i="34"/>
  <c r="AX71" i="36"/>
  <c r="AE1487" i="67" s="1"/>
  <c r="AX161" i="34"/>
  <c r="AX177" i="34"/>
  <c r="AW96" i="34"/>
  <c r="AX55" i="36"/>
  <c r="AE1471" i="67" s="1"/>
  <c r="AE823" i="67" l="1"/>
  <c r="AE62" i="67"/>
  <c r="AE215" i="67"/>
  <c r="AE368" i="67"/>
  <c r="AE520" i="67"/>
  <c r="AE384" i="67"/>
  <c r="AE688" i="67"/>
  <c r="AE231" i="67"/>
  <c r="AE839" i="67"/>
  <c r="AE536" i="67"/>
  <c r="AE78" i="67"/>
  <c r="AV8" i="45"/>
  <c r="AW23" i="45"/>
  <c r="AV15" i="45"/>
  <c r="AX7" i="45"/>
  <c r="AY22" i="45"/>
  <c r="AX14" i="45"/>
  <c r="AX112" i="34"/>
  <c r="AY71" i="36"/>
  <c r="AF1487" i="67" s="1"/>
  <c r="AY161" i="34"/>
  <c r="AY177" i="34"/>
  <c r="AX96" i="34"/>
  <c r="AY55" i="36"/>
  <c r="AF1471" i="67" s="1"/>
  <c r="AF839" i="67" l="1"/>
  <c r="AF688" i="67"/>
  <c r="AF231" i="67"/>
  <c r="AF384" i="67"/>
  <c r="AF536" i="67"/>
  <c r="AF78" i="67"/>
  <c r="AF368" i="67"/>
  <c r="AF520" i="67"/>
  <c r="AF823" i="67"/>
  <c r="AF215" i="67"/>
  <c r="AF62" i="67"/>
  <c r="AX23" i="45"/>
  <c r="AW8" i="45"/>
  <c r="AW15" i="45"/>
  <c r="AY7" i="45"/>
  <c r="AY14" i="45"/>
  <c r="AZ22" i="45"/>
  <c r="AY112" i="34"/>
  <c r="AZ71" i="36"/>
  <c r="AG1487" i="67" s="1"/>
  <c r="AZ161" i="34"/>
  <c r="AZ177" i="34"/>
  <c r="AY96" i="34"/>
  <c r="AZ55" i="36"/>
  <c r="AG1471" i="67" s="1"/>
  <c r="AG839" i="67" l="1"/>
  <c r="AG536" i="67"/>
  <c r="AG78" i="67"/>
  <c r="AG688" i="67"/>
  <c r="AG231" i="67"/>
  <c r="AG384" i="67"/>
  <c r="AG215" i="67"/>
  <c r="AG368" i="67"/>
  <c r="AG520" i="67"/>
  <c r="AG823" i="67"/>
  <c r="AG62" i="67"/>
  <c r="AX8" i="45"/>
  <c r="AY23" i="45"/>
  <c r="AX15" i="45"/>
  <c r="BA22" i="45"/>
  <c r="AZ7" i="45"/>
  <c r="AZ14" i="45"/>
  <c r="AZ112" i="34"/>
  <c r="BA71" i="36"/>
  <c r="AH1487" i="67" s="1"/>
  <c r="BA161" i="34"/>
  <c r="BA177" i="34"/>
  <c r="AZ96" i="34"/>
  <c r="BA55" i="36"/>
  <c r="AH1471" i="67" s="1"/>
  <c r="AH368" i="67" l="1"/>
  <c r="AH520" i="67"/>
  <c r="AH215" i="67"/>
  <c r="AH823" i="67"/>
  <c r="AH62" i="67"/>
  <c r="AH839" i="67"/>
  <c r="AH536" i="67"/>
  <c r="AH688" i="67"/>
  <c r="AH78" i="67"/>
  <c r="AH231" i="67"/>
  <c r="AH384" i="67"/>
  <c r="AY15" i="45"/>
  <c r="AY8" i="45"/>
  <c r="AZ23" i="45"/>
  <c r="BA14" i="45"/>
  <c r="BA7" i="45"/>
  <c r="BB22" i="45"/>
  <c r="BA112" i="34"/>
  <c r="BB71" i="36"/>
  <c r="AI1487" i="67" s="1"/>
  <c r="BB161" i="34"/>
  <c r="BB177" i="34"/>
  <c r="BA96" i="34"/>
  <c r="BB55" i="36"/>
  <c r="AI1471" i="67" s="1"/>
  <c r="AI384" i="67" l="1"/>
  <c r="AI839" i="67"/>
  <c r="AI536" i="67"/>
  <c r="AI78" i="67"/>
  <c r="AI688" i="67"/>
  <c r="AI231" i="67"/>
  <c r="AI823" i="67"/>
  <c r="AI62" i="67"/>
  <c r="AI215" i="67"/>
  <c r="AI368" i="67"/>
  <c r="AI520" i="67"/>
  <c r="G5" i="45"/>
  <c r="F5" i="45"/>
  <c r="G12" i="45"/>
  <c r="AZ8" i="45"/>
  <c r="BA23" i="45"/>
  <c r="F12" i="45"/>
  <c r="G20" i="45"/>
  <c r="AZ15" i="45"/>
  <c r="F20" i="45"/>
  <c r="BB7" i="45"/>
  <c r="BC22" i="45"/>
  <c r="BB14" i="45"/>
  <c r="BB112" i="34"/>
  <c r="BC71" i="36"/>
  <c r="AJ1487" i="67" s="1"/>
  <c r="BC161" i="34"/>
  <c r="BC177" i="34"/>
  <c r="BB96" i="34"/>
  <c r="BC55" i="36"/>
  <c r="AJ1471" i="67" s="1"/>
  <c r="AJ368" i="67" l="1"/>
  <c r="AJ520" i="67"/>
  <c r="AJ62" i="67"/>
  <c r="AJ823" i="67"/>
  <c r="AJ215" i="67"/>
  <c r="AJ688" i="67"/>
  <c r="AJ231" i="67"/>
  <c r="AJ384" i="67"/>
  <c r="AJ839" i="67"/>
  <c r="AJ536" i="67"/>
  <c r="AJ78" i="67"/>
  <c r="G19" i="45"/>
  <c r="G60" i="45" s="1"/>
  <c r="J20" i="68"/>
  <c r="J19" i="68" s="1"/>
  <c r="J60" i="68" s="1"/>
  <c r="G11" i="45"/>
  <c r="G59" i="45" s="1"/>
  <c r="G71" i="45" s="1"/>
  <c r="G73" i="45" s="1"/>
  <c r="G80" i="45" s="1"/>
  <c r="J12" i="68"/>
  <c r="J11" i="68" s="1"/>
  <c r="J59" i="68" s="1"/>
  <c r="F11" i="45"/>
  <c r="F59" i="45" s="1"/>
  <c r="I12" i="68"/>
  <c r="I11" i="68" s="1"/>
  <c r="I59" i="68" s="1"/>
  <c r="F4" i="45"/>
  <c r="F58" i="45" s="1"/>
  <c r="I5" i="68"/>
  <c r="I4" i="68" s="1"/>
  <c r="I58" i="68" s="1"/>
  <c r="F19" i="45"/>
  <c r="F60" i="45" s="1"/>
  <c r="I20" i="68"/>
  <c r="I19" i="68" s="1"/>
  <c r="I60" i="68" s="1"/>
  <c r="G4" i="45"/>
  <c r="G58" i="45" s="1"/>
  <c r="J5" i="68"/>
  <c r="J4" i="68" s="1"/>
  <c r="J58" i="68" s="1"/>
  <c r="BB23" i="45"/>
  <c r="H5" i="45"/>
  <c r="H20" i="45"/>
  <c r="H12" i="45"/>
  <c r="BA15" i="45"/>
  <c r="BA8" i="45"/>
  <c r="BC7" i="45"/>
  <c r="BC14" i="45"/>
  <c r="BD22" i="45"/>
  <c r="BC112" i="34"/>
  <c r="BD71" i="36"/>
  <c r="AK1487" i="67" s="1"/>
  <c r="BD177" i="34"/>
  <c r="BD161" i="34"/>
  <c r="BC96" i="34"/>
  <c r="BD55" i="36"/>
  <c r="AK1471" i="67" s="1"/>
  <c r="AK839" i="67" l="1"/>
  <c r="AK536" i="67"/>
  <c r="AK78" i="67"/>
  <c r="AK688" i="67"/>
  <c r="AK231" i="67"/>
  <c r="AK384" i="67"/>
  <c r="AK62" i="67"/>
  <c r="AK368" i="67"/>
  <c r="AK215" i="67"/>
  <c r="AK823" i="67"/>
  <c r="AK520" i="67"/>
  <c r="J71" i="68"/>
  <c r="J73" i="68" s="1"/>
  <c r="J80" i="68" s="1"/>
  <c r="I71" i="68"/>
  <c r="I73" i="68" s="1"/>
  <c r="I80" i="68" s="1"/>
  <c r="F71" i="45"/>
  <c r="F73" i="45" s="1"/>
  <c r="F80" i="45" s="1"/>
  <c r="H11" i="45"/>
  <c r="H59" i="45" s="1"/>
  <c r="K12" i="68"/>
  <c r="K11" i="68" s="1"/>
  <c r="K59" i="68" s="1"/>
  <c r="H4" i="45"/>
  <c r="H58" i="45" s="1"/>
  <c r="H71" i="45" s="1"/>
  <c r="H73" i="45" s="1"/>
  <c r="H80" i="45" s="1"/>
  <c r="K5" i="68"/>
  <c r="K4" i="68" s="1"/>
  <c r="K58" i="68" s="1"/>
  <c r="H19" i="45"/>
  <c r="H60" i="45" s="1"/>
  <c r="K20" i="68"/>
  <c r="K19" i="68" s="1"/>
  <c r="K60" i="68" s="1"/>
  <c r="I20" i="45"/>
  <c r="BB8" i="45"/>
  <c r="BB15" i="45"/>
  <c r="I5" i="45"/>
  <c r="BC23" i="45"/>
  <c r="I12" i="45"/>
  <c r="BD14" i="45"/>
  <c r="BE22" i="45"/>
  <c r="BD7" i="45"/>
  <c r="BD112" i="34"/>
  <c r="BE71" i="36"/>
  <c r="AL1487" i="67" s="1"/>
  <c r="BE161" i="34"/>
  <c r="BE177" i="34"/>
  <c r="BD96" i="34"/>
  <c r="BE55" i="36"/>
  <c r="AL1471" i="67" s="1"/>
  <c r="AL520" i="67" l="1"/>
  <c r="AL62" i="67"/>
  <c r="AL368" i="67"/>
  <c r="AL823" i="67"/>
  <c r="AL215" i="67"/>
  <c r="AL688" i="67"/>
  <c r="AL78" i="67"/>
  <c r="AL384" i="67"/>
  <c r="AL839" i="67"/>
  <c r="AL231" i="67"/>
  <c r="AL536" i="67"/>
  <c r="K71" i="68"/>
  <c r="K73" i="68" s="1"/>
  <c r="K80" i="68" s="1"/>
  <c r="I19" i="45"/>
  <c r="I60" i="45" s="1"/>
  <c r="L20" i="68"/>
  <c r="L19" i="68" s="1"/>
  <c r="L60" i="68" s="1"/>
  <c r="I4" i="45"/>
  <c r="I58" i="45" s="1"/>
  <c r="L5" i="68"/>
  <c r="L4" i="68" s="1"/>
  <c r="L58" i="68" s="1"/>
  <c r="I11" i="45"/>
  <c r="I59" i="45" s="1"/>
  <c r="L12" i="68"/>
  <c r="L11" i="68" s="1"/>
  <c r="L59" i="68" s="1"/>
  <c r="BD23" i="45"/>
  <c r="J20" i="45"/>
  <c r="J5" i="45"/>
  <c r="BC8" i="45"/>
  <c r="BC15" i="45"/>
  <c r="J12" i="45"/>
  <c r="BE14" i="45"/>
  <c r="BE7" i="45"/>
  <c r="BF22" i="45"/>
  <c r="BE112" i="34"/>
  <c r="BF71" i="36"/>
  <c r="AM1487" i="67" s="1"/>
  <c r="BF161" i="34"/>
  <c r="BF177" i="34"/>
  <c r="BE96" i="34"/>
  <c r="BF55" i="36"/>
  <c r="AM1471" i="67" s="1"/>
  <c r="AM215" i="67" l="1"/>
  <c r="AM368" i="67"/>
  <c r="AM520" i="67"/>
  <c r="AM823" i="67"/>
  <c r="AM62" i="67"/>
  <c r="AM536" i="67"/>
  <c r="AM688" i="67"/>
  <c r="AM78" i="67"/>
  <c r="AM384" i="67"/>
  <c r="AM231" i="67"/>
  <c r="AM839" i="67"/>
  <c r="I71" i="45"/>
  <c r="I73" i="45" s="1"/>
  <c r="I80" i="45" s="1"/>
  <c r="L71" i="68"/>
  <c r="L73" i="68" s="1"/>
  <c r="L80" i="68" s="1"/>
  <c r="J4" i="45"/>
  <c r="J58" i="45" s="1"/>
  <c r="M5" i="68"/>
  <c r="M4" i="68" s="1"/>
  <c r="M58" i="68" s="1"/>
  <c r="J11" i="45"/>
  <c r="J59" i="45" s="1"/>
  <c r="M12" i="68"/>
  <c r="M11" i="68" s="1"/>
  <c r="M59" i="68" s="1"/>
  <c r="J19" i="45"/>
  <c r="J60" i="45" s="1"/>
  <c r="M20" i="68"/>
  <c r="M19" i="68" s="1"/>
  <c r="M60" i="68" s="1"/>
  <c r="J71" i="45"/>
  <c r="J73" i="45" s="1"/>
  <c r="J80" i="45" s="1"/>
  <c r="K20" i="45"/>
  <c r="BD15" i="45"/>
  <c r="K5" i="45"/>
  <c r="BE23" i="45"/>
  <c r="BD8" i="45"/>
  <c r="K12" i="45"/>
  <c r="BF7" i="45"/>
  <c r="BG22" i="45"/>
  <c r="BF14" i="45"/>
  <c r="BF112" i="34"/>
  <c r="BG71" i="36"/>
  <c r="AN1487" i="67" s="1"/>
  <c r="BG161" i="34"/>
  <c r="BG177" i="34"/>
  <c r="BF96" i="34"/>
  <c r="BG55" i="36"/>
  <c r="AN1471" i="67" s="1"/>
  <c r="AN823" i="67" l="1"/>
  <c r="AN62" i="67"/>
  <c r="AN368" i="67"/>
  <c r="AN215" i="67"/>
  <c r="AN520" i="67"/>
  <c r="AN839" i="67"/>
  <c r="AN688" i="67"/>
  <c r="AN78" i="67"/>
  <c r="AN384" i="67"/>
  <c r="AN231" i="67"/>
  <c r="AN536" i="67"/>
  <c r="K4" i="45"/>
  <c r="K58" i="45" s="1"/>
  <c r="N5" i="68"/>
  <c r="N4" i="68" s="1"/>
  <c r="N58" i="68" s="1"/>
  <c r="K11" i="45"/>
  <c r="K59" i="45" s="1"/>
  <c r="N12" i="68"/>
  <c r="N11" i="68" s="1"/>
  <c r="N59" i="68" s="1"/>
  <c r="K19" i="45"/>
  <c r="K60" i="45" s="1"/>
  <c r="N20" i="68"/>
  <c r="N19" i="68" s="1"/>
  <c r="N60" i="68" s="1"/>
  <c r="M71" i="68"/>
  <c r="M73" i="68" s="1"/>
  <c r="M80" i="68" s="1"/>
  <c r="BF23" i="45"/>
  <c r="L5" i="45"/>
  <c r="BE15" i="45"/>
  <c r="L20" i="45"/>
  <c r="BE8" i="45"/>
  <c r="L12" i="45"/>
  <c r="BG14" i="45"/>
  <c r="BG7" i="45"/>
  <c r="BH22" i="45"/>
  <c r="BG112" i="34"/>
  <c r="BH71" i="36"/>
  <c r="AO1487" i="67" s="1"/>
  <c r="BH161" i="34"/>
  <c r="BH177" i="34"/>
  <c r="BG96" i="34"/>
  <c r="BH55" i="36"/>
  <c r="AO1471" i="67" s="1"/>
  <c r="AO384" i="67" l="1"/>
  <c r="AO839" i="67"/>
  <c r="AO688" i="67"/>
  <c r="AO231" i="67"/>
  <c r="AO536" i="67"/>
  <c r="AO78" i="67"/>
  <c r="AO520" i="67"/>
  <c r="AO62" i="67"/>
  <c r="AO823" i="67"/>
  <c r="AO215" i="67"/>
  <c r="AO368" i="67"/>
  <c r="K71" i="45"/>
  <c r="K73" i="45" s="1"/>
  <c r="K80" i="45" s="1"/>
  <c r="L19" i="45"/>
  <c r="L60" i="45" s="1"/>
  <c r="L71" i="45" s="1"/>
  <c r="L73" i="45" s="1"/>
  <c r="L80" i="45" s="1"/>
  <c r="O20" i="68"/>
  <c r="O19" i="68" s="1"/>
  <c r="O60" i="68" s="1"/>
  <c r="N71" i="68"/>
  <c r="N73" i="68" s="1"/>
  <c r="N80" i="68" s="1"/>
  <c r="L11" i="45"/>
  <c r="L59" i="45" s="1"/>
  <c r="O12" i="68"/>
  <c r="O11" i="68" s="1"/>
  <c r="O59" i="68" s="1"/>
  <c r="L4" i="45"/>
  <c r="L58" i="45" s="1"/>
  <c r="O5" i="68"/>
  <c r="O4" i="68" s="1"/>
  <c r="O58" i="68" s="1"/>
  <c r="M20" i="45"/>
  <c r="BF15" i="45"/>
  <c r="M12" i="45"/>
  <c r="BG23" i="45"/>
  <c r="BF8" i="45"/>
  <c r="M5" i="45"/>
  <c r="BI22" i="45"/>
  <c r="BH14" i="45"/>
  <c r="BH7" i="45"/>
  <c r="BH112" i="34"/>
  <c r="BI71" i="36"/>
  <c r="AP1487" i="67" s="1"/>
  <c r="BI161" i="34"/>
  <c r="BI177" i="34"/>
  <c r="BH96" i="34"/>
  <c r="BI55" i="36"/>
  <c r="AP1471" i="67" s="1"/>
  <c r="AP520" i="67" l="1"/>
  <c r="AP62" i="67"/>
  <c r="AP368" i="67"/>
  <c r="AP823" i="67"/>
  <c r="AP215" i="67"/>
  <c r="AP688" i="67"/>
  <c r="AP231" i="67"/>
  <c r="AP839" i="67"/>
  <c r="AP384" i="67"/>
  <c r="AP536" i="67"/>
  <c r="AP78" i="67"/>
  <c r="M11" i="45"/>
  <c r="M59" i="45" s="1"/>
  <c r="P12" i="68"/>
  <c r="P11" i="68" s="1"/>
  <c r="P59" i="68" s="1"/>
  <c r="M4" i="45"/>
  <c r="M58" i="45" s="1"/>
  <c r="P5" i="68"/>
  <c r="P4" i="68" s="1"/>
  <c r="P58" i="68" s="1"/>
  <c r="M19" i="45"/>
  <c r="M60" i="45" s="1"/>
  <c r="P20" i="68"/>
  <c r="P19" i="68" s="1"/>
  <c r="P60" i="68" s="1"/>
  <c r="O71" i="68"/>
  <c r="O73" i="68" s="1"/>
  <c r="O80" i="68" s="1"/>
  <c r="BG8" i="45"/>
  <c r="N20" i="45"/>
  <c r="BG15" i="45"/>
  <c r="N12" i="45"/>
  <c r="BH23" i="45"/>
  <c r="N5" i="45"/>
  <c r="BI14" i="45"/>
  <c r="BJ22" i="45"/>
  <c r="BI7" i="45"/>
  <c r="BI112" i="34"/>
  <c r="BJ71" i="36"/>
  <c r="AQ1487" i="67" s="1"/>
  <c r="BJ161" i="34"/>
  <c r="BJ177" i="34"/>
  <c r="BI96" i="34"/>
  <c r="BJ55" i="36"/>
  <c r="AQ1471" i="67" s="1"/>
  <c r="AQ520" i="67" l="1"/>
  <c r="AQ215" i="67"/>
  <c r="AQ368" i="67"/>
  <c r="AQ823" i="67"/>
  <c r="AQ62" i="67"/>
  <c r="AQ839" i="67"/>
  <c r="AQ231" i="67"/>
  <c r="AQ536" i="67"/>
  <c r="AQ384" i="67"/>
  <c r="AQ688" i="67"/>
  <c r="AQ78" i="67"/>
  <c r="M71" i="45"/>
  <c r="M73" i="45" s="1"/>
  <c r="M80" i="45" s="1"/>
  <c r="N11" i="45"/>
  <c r="N59" i="45" s="1"/>
  <c r="N71" i="45" s="1"/>
  <c r="N73" i="45" s="1"/>
  <c r="N80" i="45" s="1"/>
  <c r="Q12" i="68"/>
  <c r="Q11" i="68" s="1"/>
  <c r="Q59" i="68" s="1"/>
  <c r="P71" i="68"/>
  <c r="P73" i="68" s="1"/>
  <c r="P80" i="68" s="1"/>
  <c r="N4" i="45"/>
  <c r="N58" i="45" s="1"/>
  <c r="Q5" i="68"/>
  <c r="Q4" i="68" s="1"/>
  <c r="Q58" i="68" s="1"/>
  <c r="N19" i="45"/>
  <c r="N60" i="45" s="1"/>
  <c r="Q20" i="68"/>
  <c r="Q19" i="68" s="1"/>
  <c r="Q60" i="68" s="1"/>
  <c r="BH15" i="45"/>
  <c r="O20" i="45"/>
  <c r="BH8" i="45"/>
  <c r="O12" i="45"/>
  <c r="BI23" i="45"/>
  <c r="O5" i="45"/>
  <c r="BK22" i="45"/>
  <c r="BJ14" i="45"/>
  <c r="BJ7" i="45"/>
  <c r="BJ112" i="34"/>
  <c r="BK71" i="36"/>
  <c r="AR1487" i="67" s="1"/>
  <c r="BK161" i="34"/>
  <c r="BK177" i="34"/>
  <c r="BJ96" i="34"/>
  <c r="BK55" i="36"/>
  <c r="AR1471" i="67" s="1"/>
  <c r="AR215" i="67" l="1"/>
  <c r="AR520" i="67"/>
  <c r="AR368" i="67"/>
  <c r="AR823" i="67"/>
  <c r="AR62" i="67"/>
  <c r="AR536" i="67"/>
  <c r="AR384" i="67"/>
  <c r="AR688" i="67"/>
  <c r="AR78" i="67"/>
  <c r="AR839" i="67"/>
  <c r="AR231" i="67"/>
  <c r="O11" i="45"/>
  <c r="O59" i="45" s="1"/>
  <c r="R12" i="68"/>
  <c r="R11" i="68" s="1"/>
  <c r="R59" i="68" s="1"/>
  <c r="O4" i="45"/>
  <c r="O58" i="45" s="1"/>
  <c r="R5" i="68"/>
  <c r="R4" i="68" s="1"/>
  <c r="R58" i="68" s="1"/>
  <c r="O19" i="45"/>
  <c r="O60" i="45" s="1"/>
  <c r="R20" i="68"/>
  <c r="R19" i="68" s="1"/>
  <c r="R60" i="68" s="1"/>
  <c r="Q71" i="68"/>
  <c r="Q73" i="68" s="1"/>
  <c r="Q80" i="68" s="1"/>
  <c r="P5" i="45"/>
  <c r="BI15" i="45"/>
  <c r="P20" i="45"/>
  <c r="BJ23" i="45"/>
  <c r="BI8" i="45"/>
  <c r="P12" i="45"/>
  <c r="BL22" i="45"/>
  <c r="BK14" i="45"/>
  <c r="BK7" i="45"/>
  <c r="BK112" i="34"/>
  <c r="BL71" i="36"/>
  <c r="AS1487" i="67" s="1"/>
  <c r="BL161" i="34"/>
  <c r="BL177" i="34"/>
  <c r="BK96" i="34"/>
  <c r="BL55" i="36"/>
  <c r="AS1471" i="67" s="1"/>
  <c r="AS368" i="67" l="1"/>
  <c r="AS823" i="67"/>
  <c r="AS215" i="67"/>
  <c r="AS520" i="67"/>
  <c r="AS62" i="67"/>
  <c r="AS384" i="67"/>
  <c r="AS688" i="67"/>
  <c r="AS231" i="67"/>
  <c r="AS839" i="67"/>
  <c r="AS536" i="67"/>
  <c r="AS78" i="67"/>
  <c r="R71" i="68"/>
  <c r="R73" i="68" s="1"/>
  <c r="R80" i="68" s="1"/>
  <c r="O71" i="45"/>
  <c r="O73" i="45" s="1"/>
  <c r="O80" i="45" s="1"/>
  <c r="P19" i="45"/>
  <c r="P60" i="45" s="1"/>
  <c r="S20" i="68"/>
  <c r="S19" i="68" s="1"/>
  <c r="S60" i="68" s="1"/>
  <c r="P11" i="45"/>
  <c r="P59" i="45" s="1"/>
  <c r="S12" i="68"/>
  <c r="S11" i="68" s="1"/>
  <c r="S59" i="68" s="1"/>
  <c r="P4" i="45"/>
  <c r="P58" i="45" s="1"/>
  <c r="P71" i="45" s="1"/>
  <c r="P73" i="45" s="1"/>
  <c r="P80" i="45" s="1"/>
  <c r="S5" i="68"/>
  <c r="S4" i="68" s="1"/>
  <c r="S58" i="68" s="1"/>
  <c r="BK23" i="45"/>
  <c r="BJ8" i="45"/>
  <c r="Q12" i="45"/>
  <c r="Q20" i="45"/>
  <c r="BJ15" i="45"/>
  <c r="Q5" i="45"/>
  <c r="BL7" i="45"/>
  <c r="BN22" i="45"/>
  <c r="BM22" i="45"/>
  <c r="BL14" i="45"/>
  <c r="BL112" i="34"/>
  <c r="BM71" i="36"/>
  <c r="AT1487" i="67" s="1"/>
  <c r="BM161" i="34"/>
  <c r="BM177" i="34"/>
  <c r="BL96" i="34"/>
  <c r="BM55" i="36"/>
  <c r="AT1471" i="67" s="1"/>
  <c r="AT215" i="67" l="1"/>
  <c r="AT520" i="67"/>
  <c r="AT823" i="67"/>
  <c r="AT368" i="67"/>
  <c r="AT62" i="67"/>
  <c r="AT384" i="67"/>
  <c r="AT231" i="67"/>
  <c r="AT536" i="67"/>
  <c r="AT688" i="67"/>
  <c r="AT839" i="67"/>
  <c r="AT78" i="67"/>
  <c r="S71" i="68"/>
  <c r="S73" i="68" s="1"/>
  <c r="S80" i="68" s="1"/>
  <c r="Q19" i="45"/>
  <c r="Q60" i="45" s="1"/>
  <c r="T20" i="68"/>
  <c r="T19" i="68" s="1"/>
  <c r="T60" i="68" s="1"/>
  <c r="Q11" i="45"/>
  <c r="Q59" i="45" s="1"/>
  <c r="T12" i="68"/>
  <c r="T11" i="68" s="1"/>
  <c r="T59" i="68" s="1"/>
  <c r="Q4" i="45"/>
  <c r="Q58" i="45" s="1"/>
  <c r="T5" i="68"/>
  <c r="T4" i="68" s="1"/>
  <c r="T58" i="68" s="1"/>
  <c r="Q71" i="45"/>
  <c r="Q73" i="45" s="1"/>
  <c r="Q80" i="45" s="1"/>
  <c r="BK8" i="45"/>
  <c r="R5" i="45"/>
  <c r="BL23" i="45"/>
  <c r="R20" i="45"/>
  <c r="BK15" i="45"/>
  <c r="R12" i="45"/>
  <c r="BM7" i="45"/>
  <c r="BN7" i="45"/>
  <c r="BN14" i="45"/>
  <c r="BM14" i="45"/>
  <c r="BM112" i="34"/>
  <c r="BN71" i="36"/>
  <c r="AU1487" i="67" s="1"/>
  <c r="BN161" i="34"/>
  <c r="BN177" i="34"/>
  <c r="BM96" i="34"/>
  <c r="BN55" i="36"/>
  <c r="AU1471" i="67" s="1"/>
  <c r="AU823" i="67" l="1"/>
  <c r="AU215" i="67"/>
  <c r="AU368" i="67"/>
  <c r="AU520" i="67"/>
  <c r="AU62" i="67"/>
  <c r="AU384" i="67"/>
  <c r="AU536" i="67"/>
  <c r="AU78" i="67"/>
  <c r="AU839" i="67"/>
  <c r="AU688" i="67"/>
  <c r="AU231" i="67"/>
  <c r="T71" i="68"/>
  <c r="T73" i="68" s="1"/>
  <c r="T80" i="68" s="1"/>
  <c r="R11" i="45"/>
  <c r="R59" i="45" s="1"/>
  <c r="U12" i="68"/>
  <c r="U11" i="68" s="1"/>
  <c r="U59" i="68" s="1"/>
  <c r="R19" i="45"/>
  <c r="R60" i="45" s="1"/>
  <c r="U20" i="68"/>
  <c r="U19" i="68" s="1"/>
  <c r="U60" i="68" s="1"/>
  <c r="R4" i="45"/>
  <c r="R58" i="45" s="1"/>
  <c r="R71" i="45" s="1"/>
  <c r="R73" i="45" s="1"/>
  <c r="R80" i="45" s="1"/>
  <c r="U5" i="68"/>
  <c r="U4" i="68" s="1"/>
  <c r="U58" i="68" s="1"/>
  <c r="BM23" i="45"/>
  <c r="BN23" i="45"/>
  <c r="S12" i="45"/>
  <c r="S5" i="45"/>
  <c r="S20" i="45"/>
  <c r="BL15" i="45"/>
  <c r="BL8" i="45"/>
  <c r="BN112" i="34"/>
  <c r="BP71" i="36"/>
  <c r="AW1487" i="67" s="1"/>
  <c r="BP161" i="34"/>
  <c r="BP177" i="34"/>
  <c r="BO71" i="36"/>
  <c r="AV1487" i="67" s="1"/>
  <c r="BO161" i="34"/>
  <c r="BO177" i="34"/>
  <c r="BN96" i="34"/>
  <c r="BP55" i="36"/>
  <c r="AW1471" i="67" s="1"/>
  <c r="BO55" i="36"/>
  <c r="AV1471" i="67" s="1"/>
  <c r="AV384" i="67" l="1"/>
  <c r="AV688" i="67"/>
  <c r="AV231" i="67"/>
  <c r="AV839" i="67"/>
  <c r="AV536" i="67"/>
  <c r="AV78" i="67"/>
  <c r="AW823" i="67"/>
  <c r="AW215" i="67"/>
  <c r="AW368" i="67"/>
  <c r="AW520" i="67"/>
  <c r="AW62" i="67"/>
  <c r="AV62" i="67"/>
  <c r="AV368" i="67"/>
  <c r="AV215" i="67"/>
  <c r="AV823" i="67"/>
  <c r="AV520" i="67"/>
  <c r="AW536" i="67"/>
  <c r="AW78" i="67"/>
  <c r="AW384" i="67"/>
  <c r="AW839" i="67"/>
  <c r="AW688" i="67"/>
  <c r="AW231" i="67"/>
  <c r="U71" i="68"/>
  <c r="U73" i="68" s="1"/>
  <c r="U80" i="68" s="1"/>
  <c r="S4" i="45"/>
  <c r="S58" i="45" s="1"/>
  <c r="V5" i="68"/>
  <c r="V4" i="68" s="1"/>
  <c r="V58" i="68" s="1"/>
  <c r="S11" i="45"/>
  <c r="S59" i="45" s="1"/>
  <c r="V12" i="68"/>
  <c r="V11" i="68" s="1"/>
  <c r="V59" i="68" s="1"/>
  <c r="S19" i="45"/>
  <c r="S60" i="45" s="1"/>
  <c r="V20" i="68"/>
  <c r="V19" i="68" s="1"/>
  <c r="V60" i="68" s="1"/>
  <c r="S71" i="45"/>
  <c r="S73" i="45" s="1"/>
  <c r="S80" i="45" s="1"/>
  <c r="BN15" i="45"/>
  <c r="BN8" i="45"/>
  <c r="BM8" i="45"/>
  <c r="T12" i="45"/>
  <c r="T5" i="45"/>
  <c r="BM15" i="45"/>
  <c r="T20" i="45"/>
  <c r="BP112" i="34"/>
  <c r="BO112" i="34"/>
  <c r="BP96" i="34"/>
  <c r="BO96" i="34"/>
  <c r="T4" i="45" l="1"/>
  <c r="T58" i="45" s="1"/>
  <c r="W5" i="68"/>
  <c r="W4" i="68" s="1"/>
  <c r="W58" i="68" s="1"/>
  <c r="T11" i="45"/>
  <c r="T59" i="45" s="1"/>
  <c r="W12" i="68"/>
  <c r="W11" i="68" s="1"/>
  <c r="W59" i="68" s="1"/>
  <c r="T19" i="45"/>
  <c r="T60" i="45" s="1"/>
  <c r="W20" i="68"/>
  <c r="W19" i="68" s="1"/>
  <c r="W60" i="68" s="1"/>
  <c r="V71" i="68"/>
  <c r="V73" i="68" s="1"/>
  <c r="V80" i="68" s="1"/>
  <c r="U5" i="45"/>
  <c r="U12" i="45"/>
  <c r="U20" i="45"/>
  <c r="T71" i="45" l="1"/>
  <c r="T73" i="45" s="1"/>
  <c r="T80" i="45" s="1"/>
  <c r="W71" i="68"/>
  <c r="W73" i="68" s="1"/>
  <c r="W80" i="68" s="1"/>
  <c r="U4" i="45"/>
  <c r="U58" i="45" s="1"/>
  <c r="X5" i="68"/>
  <c r="X4" i="68" s="1"/>
  <c r="X58" i="68" s="1"/>
  <c r="U19" i="45"/>
  <c r="U60" i="45" s="1"/>
  <c r="X20" i="68"/>
  <c r="X19" i="68" s="1"/>
  <c r="X60" i="68" s="1"/>
  <c r="U11" i="45"/>
  <c r="U59" i="45" s="1"/>
  <c r="U71" i="45" s="1"/>
  <c r="U73" i="45" s="1"/>
  <c r="U80" i="45" s="1"/>
  <c r="X12" i="68"/>
  <c r="X11" i="68" s="1"/>
  <c r="X59" i="68" s="1"/>
  <c r="V20" i="45"/>
  <c r="V5" i="45"/>
  <c r="V12" i="45"/>
  <c r="X71" i="68" l="1"/>
  <c r="X73" i="68" s="1"/>
  <c r="X80" i="68" s="1"/>
  <c r="V11" i="45"/>
  <c r="V59" i="45" s="1"/>
  <c r="Y12" i="68"/>
  <c r="Y11" i="68" s="1"/>
  <c r="Y59" i="68" s="1"/>
  <c r="V19" i="45"/>
  <c r="V60" i="45" s="1"/>
  <c r="Y20" i="68"/>
  <c r="Y19" i="68" s="1"/>
  <c r="Y60" i="68" s="1"/>
  <c r="V4" i="45"/>
  <c r="V58" i="45" s="1"/>
  <c r="V71" i="45" s="1"/>
  <c r="V73" i="45" s="1"/>
  <c r="V80" i="45" s="1"/>
  <c r="Y5" i="68"/>
  <c r="Y4" i="68" s="1"/>
  <c r="Y58" i="68" s="1"/>
  <c r="W12" i="45"/>
  <c r="W20" i="45"/>
  <c r="W5" i="45"/>
  <c r="W11" i="45" l="1"/>
  <c r="W59" i="45" s="1"/>
  <c r="Z12" i="68"/>
  <c r="Z11" i="68" s="1"/>
  <c r="Z59" i="68" s="1"/>
  <c r="Y71" i="68"/>
  <c r="Y73" i="68" s="1"/>
  <c r="Y80" i="68" s="1"/>
  <c r="W4" i="45"/>
  <c r="W58" i="45" s="1"/>
  <c r="Z5" i="68"/>
  <c r="Z4" i="68" s="1"/>
  <c r="Z58" i="68" s="1"/>
  <c r="W19" i="45"/>
  <c r="W60" i="45" s="1"/>
  <c r="Z20" i="68"/>
  <c r="Z19" i="68" s="1"/>
  <c r="Z60" i="68" s="1"/>
  <c r="X20" i="45"/>
  <c r="X5" i="45"/>
  <c r="X12" i="45"/>
  <c r="W71" i="45" l="1"/>
  <c r="W73" i="45" s="1"/>
  <c r="W80" i="45" s="1"/>
  <c r="Z71" i="68"/>
  <c r="Z73" i="68" s="1"/>
  <c r="Z80" i="68" s="1"/>
  <c r="X11" i="45"/>
  <c r="X59" i="45" s="1"/>
  <c r="AA12" i="68"/>
  <c r="AA11" i="68" s="1"/>
  <c r="AA59" i="68" s="1"/>
  <c r="X4" i="45"/>
  <c r="X58" i="45" s="1"/>
  <c r="AA5" i="68"/>
  <c r="AA4" i="68" s="1"/>
  <c r="AA58" i="68" s="1"/>
  <c r="X19" i="45"/>
  <c r="X60" i="45" s="1"/>
  <c r="AA20" i="68"/>
  <c r="AA19" i="68" s="1"/>
  <c r="AA60" i="68" s="1"/>
  <c r="Y12" i="45"/>
  <c r="Y20" i="45"/>
  <c r="Y5" i="45"/>
  <c r="X71" i="45" l="1"/>
  <c r="X73" i="45" s="1"/>
  <c r="X80" i="45" s="1"/>
  <c r="AA71" i="68"/>
  <c r="AA73" i="68" s="1"/>
  <c r="AA80" i="68" s="1"/>
  <c r="Y4" i="45"/>
  <c r="Y58" i="45" s="1"/>
  <c r="AB5" i="68"/>
  <c r="AB4" i="68" s="1"/>
  <c r="AB58" i="68" s="1"/>
  <c r="Y19" i="45"/>
  <c r="Y60" i="45" s="1"/>
  <c r="AB20" i="68"/>
  <c r="AB19" i="68" s="1"/>
  <c r="AB60" i="68" s="1"/>
  <c r="Y11" i="45"/>
  <c r="Y59" i="45" s="1"/>
  <c r="AB12" i="68"/>
  <c r="AB11" i="68" s="1"/>
  <c r="AB59" i="68" s="1"/>
  <c r="Z5" i="45"/>
  <c r="Z20" i="45"/>
  <c r="Z12" i="45"/>
  <c r="AB71" i="68" l="1"/>
  <c r="AB73" i="68" s="1"/>
  <c r="AB80" i="68" s="1"/>
  <c r="Y71" i="45"/>
  <c r="Y73" i="45" s="1"/>
  <c r="Y80" i="45" s="1"/>
  <c r="Z4" i="45"/>
  <c r="Z58" i="45" s="1"/>
  <c r="AC5" i="68"/>
  <c r="AC4" i="68" s="1"/>
  <c r="AC58" i="68" s="1"/>
  <c r="Z11" i="45"/>
  <c r="Z59" i="45" s="1"/>
  <c r="AC12" i="68"/>
  <c r="AC11" i="68" s="1"/>
  <c r="AC59" i="68" s="1"/>
  <c r="Z19" i="45"/>
  <c r="Z60" i="45" s="1"/>
  <c r="AC20" i="68"/>
  <c r="AC19" i="68" s="1"/>
  <c r="AC60" i="68" s="1"/>
  <c r="AA5" i="45"/>
  <c r="AA20" i="45"/>
  <c r="AA12" i="45"/>
  <c r="Z71" i="45" l="1"/>
  <c r="AA11" i="45"/>
  <c r="AA59" i="45" s="1"/>
  <c r="AD12" i="68"/>
  <c r="AD11" i="68" s="1"/>
  <c r="AD59" i="68" s="1"/>
  <c r="AA4" i="45"/>
  <c r="AA58" i="45" s="1"/>
  <c r="AD5" i="68"/>
  <c r="AD4" i="68" s="1"/>
  <c r="AD58" i="68" s="1"/>
  <c r="AC71" i="68"/>
  <c r="AA19" i="45"/>
  <c r="AA60" i="45" s="1"/>
  <c r="AA71" i="45" s="1"/>
  <c r="AD20" i="68"/>
  <c r="AD19" i="68" s="1"/>
  <c r="AD60" i="68" s="1"/>
  <c r="AD71" i="68" l="1"/>
  <c r="AA30" i="45"/>
  <c r="AD30" i="68" s="1"/>
  <c r="AA37" i="45"/>
  <c r="AD37" i="68" s="1"/>
  <c r="Z37" i="45"/>
  <c r="AC37" i="68" s="1"/>
  <c r="Z30" i="45"/>
  <c r="AC30" i="68" s="1"/>
  <c r="AA31" i="45" l="1"/>
  <c r="AD31" i="68" s="1"/>
  <c r="AA38" i="45"/>
  <c r="AD38" i="68" s="1"/>
  <c r="Z33" i="45"/>
  <c r="AC33" i="68" s="1"/>
  <c r="Z40" i="45"/>
  <c r="AC40" i="68" s="1"/>
  <c r="Z31" i="45"/>
  <c r="AC31" i="68" s="1"/>
  <c r="Z38" i="45"/>
  <c r="AC38" i="68" s="1"/>
  <c r="Z32" i="45"/>
  <c r="AC32" i="68" s="1"/>
  <c r="Z39" i="45"/>
  <c r="AC39" i="68" s="1"/>
  <c r="AA40" i="45"/>
  <c r="AD40" i="68" s="1"/>
  <c r="AA33" i="45"/>
  <c r="AD33" i="68" s="1"/>
  <c r="AA32" i="45"/>
  <c r="AD32" i="68" s="1"/>
  <c r="AA39" i="45"/>
  <c r="AD39" i="68" s="1"/>
  <c r="Z35" i="45" l="1"/>
  <c r="AC35" i="68" s="1"/>
  <c r="Z29" i="45"/>
  <c r="AC29" i="68" s="1"/>
  <c r="Z28" i="45"/>
  <c r="AC28" i="68" s="1"/>
  <c r="Z36" i="45"/>
  <c r="AC36" i="68" s="1"/>
  <c r="AA28" i="45"/>
  <c r="AD28" i="68" s="1"/>
  <c r="AA29" i="45"/>
  <c r="AD29" i="68" s="1"/>
  <c r="AA35" i="45"/>
  <c r="AD35" i="68" s="1"/>
  <c r="AA36" i="45"/>
  <c r="AD36" i="68" s="1"/>
  <c r="AD34" i="68" l="1"/>
  <c r="AD62" i="68" s="1"/>
  <c r="AC34" i="68"/>
  <c r="AC62" i="68" s="1"/>
  <c r="AD27" i="68"/>
  <c r="AD61" i="68" s="1"/>
  <c r="AC27" i="68"/>
  <c r="AC61" i="68" s="1"/>
  <c r="Z27" i="45"/>
  <c r="Z61" i="45" s="1"/>
  <c r="Z34" i="45"/>
  <c r="Z62" i="45" s="1"/>
  <c r="AA34" i="45"/>
  <c r="AA62" i="45" s="1"/>
  <c r="AA27" i="45"/>
  <c r="AA61" i="45" s="1"/>
  <c r="AD72" i="68" l="1"/>
  <c r="AD73" i="68" s="1"/>
  <c r="AD80" i="68" s="1"/>
  <c r="AC72" i="68"/>
  <c r="AC73" i="68" s="1"/>
  <c r="AC80" i="68" s="1"/>
  <c r="AA72" i="45"/>
  <c r="AA73" i="45" s="1"/>
  <c r="AA80" i="45" s="1"/>
  <c r="Z72" i="45"/>
  <c r="Z73" i="45" s="1"/>
  <c r="Z80" i="45" s="1"/>
  <c r="AJ71" i="36" l="1"/>
  <c r="Q1487" i="67" s="1"/>
  <c r="AJ177" i="34"/>
  <c r="AJ161" i="34"/>
  <c r="AJ41" i="34"/>
  <c r="AJ9" i="34"/>
  <c r="AJ23" i="34"/>
  <c r="AJ55" i="36"/>
  <c r="Q1471" i="67" s="1"/>
  <c r="Q520" i="67" l="1"/>
  <c r="Q62" i="67"/>
  <c r="Q368" i="67"/>
  <c r="Q823" i="67"/>
  <c r="Q215" i="67"/>
  <c r="Q536" i="67"/>
  <c r="Q231" i="67"/>
  <c r="Q384" i="67"/>
  <c r="Q839" i="67"/>
  <c r="Q688" i="67"/>
  <c r="Q78" i="67"/>
  <c r="AJ112" i="34"/>
  <c r="AJ96" i="34"/>
  <c r="T24" i="55"/>
  <c r="AJ39" i="57"/>
  <c r="AK29" i="57"/>
  <c r="AK40" i="57"/>
  <c r="AJ40" i="57" l="1"/>
  <c r="AK39" i="57"/>
  <c r="AR45" i="50" s="1"/>
  <c r="AR44" i="50" s="1"/>
  <c r="AJ29" i="57"/>
  <c r="AK33" i="57"/>
  <c r="AJ33" i="57"/>
  <c r="AK41" i="57"/>
  <c r="AJ41" i="57"/>
  <c r="BG45" i="69" l="1"/>
  <c r="BG44" i="69" s="1"/>
  <c r="BG46" i="69" s="1"/>
  <c r="AX45" i="69"/>
  <c r="AX44" i="69" s="1"/>
  <c r="AX46" i="69" s="1"/>
  <c r="AU45" i="69"/>
  <c r="AU44" i="69" s="1"/>
  <c r="AU46" i="69" s="1"/>
  <c r="BC45" i="69"/>
  <c r="BC44" i="69" s="1"/>
  <c r="BC46" i="69" s="1"/>
  <c r="AJ45" i="69"/>
  <c r="AJ44" i="69" s="1"/>
  <c r="AJ46" i="69" s="1"/>
  <c r="BK45" i="69"/>
  <c r="BK44" i="69" s="1"/>
  <c r="BK46" i="69" s="1"/>
  <c r="AZ45" i="69"/>
  <c r="AZ44" i="69" s="1"/>
  <c r="AZ46" i="69" s="1"/>
  <c r="AE45" i="69"/>
  <c r="AE44" i="69" s="1"/>
  <c r="AE46" i="69" s="1"/>
  <c r="AQ45" i="69"/>
  <c r="AQ44" i="69" s="1"/>
  <c r="AQ46" i="69" s="1"/>
  <c r="AA45" i="69"/>
  <c r="AA44" i="69" s="1"/>
  <c r="AA46" i="69" s="1"/>
  <c r="AF45" i="69"/>
  <c r="AF44" i="69" s="1"/>
  <c r="AF46" i="69" s="1"/>
  <c r="AR45" i="69"/>
  <c r="AR44" i="69" s="1"/>
  <c r="AR46" i="69" s="1"/>
  <c r="AV45" i="69"/>
  <c r="AV44" i="69" s="1"/>
  <c r="AV46" i="69" s="1"/>
  <c r="BD45" i="69"/>
  <c r="BD44" i="69" s="1"/>
  <c r="BD46" i="69" s="1"/>
  <c r="Y45" i="69"/>
  <c r="Y44" i="69" s="1"/>
  <c r="Y46" i="69" s="1"/>
  <c r="AK45" i="69"/>
  <c r="AK44" i="69" s="1"/>
  <c r="AK46" i="69" s="1"/>
  <c r="AD45" i="69"/>
  <c r="AD44" i="69" s="1"/>
  <c r="AD46" i="69" s="1"/>
  <c r="AC45" i="69"/>
  <c r="AC44" i="69" s="1"/>
  <c r="AC46" i="69" s="1"/>
  <c r="AI45" i="69"/>
  <c r="AI44" i="69" s="1"/>
  <c r="AI46" i="69" s="1"/>
  <c r="BJ45" i="69"/>
  <c r="BJ44" i="69" s="1"/>
  <c r="BJ46" i="69" s="1"/>
  <c r="AM45" i="69"/>
  <c r="AM44" i="69" s="1"/>
  <c r="AM46" i="69" s="1"/>
  <c r="AY45" i="69"/>
  <c r="AY44" i="69" s="1"/>
  <c r="AY46" i="69" s="1"/>
  <c r="BH45" i="69"/>
  <c r="BH44" i="69" s="1"/>
  <c r="BH46" i="69" s="1"/>
  <c r="AG45" i="69"/>
  <c r="AG44" i="69" s="1"/>
  <c r="AG46" i="69" s="1"/>
  <c r="AB45" i="69"/>
  <c r="AB44" i="69" s="1"/>
  <c r="AB46" i="69" s="1"/>
  <c r="AS45" i="69"/>
  <c r="AS44" i="69" s="1"/>
  <c r="AS46" i="69" s="1"/>
  <c r="BE45" i="69"/>
  <c r="BE44" i="69" s="1"/>
  <c r="BE46" i="69" s="1"/>
  <c r="AH45" i="69"/>
  <c r="AH44" i="69" s="1"/>
  <c r="AH46" i="69" s="1"/>
  <c r="Z45" i="69"/>
  <c r="Z44" i="69" s="1"/>
  <c r="Z46" i="69" s="1"/>
  <c r="AO45" i="69"/>
  <c r="AO44" i="69" s="1"/>
  <c r="AO46" i="69" s="1"/>
  <c r="AN45" i="69"/>
  <c r="AN44" i="69" s="1"/>
  <c r="AN46" i="69" s="1"/>
  <c r="AW45" i="69"/>
  <c r="AW44" i="69" s="1"/>
  <c r="AW46" i="69" s="1"/>
  <c r="BI45" i="69"/>
  <c r="BI44" i="69" s="1"/>
  <c r="BI46" i="69" s="1"/>
  <c r="AP45" i="69"/>
  <c r="AP44" i="69" s="1"/>
  <c r="AP46" i="69" s="1"/>
  <c r="AT45" i="69"/>
  <c r="AT44" i="69" s="1"/>
  <c r="AT46" i="69" s="1"/>
  <c r="BB45" i="69"/>
  <c r="BB44" i="69" s="1"/>
  <c r="BB46" i="69" s="1"/>
  <c r="BF45" i="69"/>
  <c r="BF44" i="69" s="1"/>
  <c r="BF46" i="69" s="1"/>
  <c r="AL45" i="69"/>
  <c r="AL44" i="69" s="1"/>
  <c r="AL46" i="69" s="1"/>
  <c r="BA45" i="69"/>
  <c r="BA44" i="69" s="1"/>
  <c r="BA46" i="69" s="1"/>
  <c r="X60" i="50"/>
  <c r="W60" i="50"/>
  <c r="W61" i="50" s="1"/>
  <c r="V60" i="50"/>
  <c r="V61" i="50" s="1"/>
  <c r="U60" i="50"/>
  <c r="U61" i="50" s="1"/>
  <c r="T60" i="50"/>
  <c r="T61" i="50" s="1"/>
  <c r="K60" i="50"/>
  <c r="K61" i="50" s="1"/>
  <c r="N60" i="50"/>
  <c r="N61" i="50" s="1"/>
  <c r="D60" i="50"/>
  <c r="D61" i="50" s="1"/>
  <c r="I60" i="50"/>
  <c r="I61" i="50" s="1"/>
  <c r="R60" i="50"/>
  <c r="R61" i="50" s="1"/>
  <c r="H60" i="50"/>
  <c r="H61" i="50" s="1"/>
  <c r="G60" i="50"/>
  <c r="G61" i="50" s="1"/>
  <c r="J60" i="50"/>
  <c r="J61" i="50" s="1"/>
  <c r="C60" i="50"/>
  <c r="C61" i="50" s="1"/>
  <c r="E60" i="50"/>
  <c r="E61" i="50" s="1"/>
  <c r="M60" i="50"/>
  <c r="M61" i="50" s="1"/>
  <c r="S60" i="50"/>
  <c r="S61" i="50" s="1"/>
  <c r="L60" i="50"/>
  <c r="L61" i="50" s="1"/>
  <c r="F60" i="50"/>
  <c r="F61" i="50" s="1"/>
  <c r="Q60" i="50"/>
  <c r="Q61" i="50" s="1"/>
  <c r="O60" i="50"/>
  <c r="O61" i="50" s="1"/>
  <c r="P60" i="50"/>
  <c r="P61" i="50" s="1"/>
  <c r="AE42" i="50"/>
  <c r="AE55" i="50" s="1"/>
  <c r="AN42" i="50"/>
  <c r="AN55" i="50" s="1"/>
  <c r="AA42" i="50"/>
  <c r="AA55" i="50" s="1"/>
  <c r="AI42" i="50"/>
  <c r="AI55" i="50" s="1"/>
  <c r="AO42" i="50"/>
  <c r="AO55" i="50" s="1"/>
  <c r="AD42" i="50"/>
  <c r="AD55" i="50" s="1"/>
  <c r="AM42" i="50"/>
  <c r="AM55" i="50" s="1"/>
  <c r="Z42" i="50"/>
  <c r="Z55" i="50" s="1"/>
  <c r="AB42" i="50"/>
  <c r="AB55" i="50" s="1"/>
  <c r="AH42" i="50"/>
  <c r="AH55" i="50" s="1"/>
  <c r="Y42" i="50"/>
  <c r="AD20" i="36" s="1"/>
  <c r="AC42" i="50"/>
  <c r="AC55" i="50" s="1"/>
  <c r="BF42" i="50"/>
  <c r="BF55" i="50" s="1"/>
  <c r="AP42" i="50"/>
  <c r="AP55" i="50" s="1"/>
  <c r="AK42" i="50"/>
  <c r="AK55" i="50" s="1"/>
  <c r="AT42" i="50"/>
  <c r="AT55" i="50" s="1"/>
  <c r="BE42" i="50"/>
  <c r="BE55" i="50" s="1"/>
  <c r="AY42" i="50"/>
  <c r="AY55" i="50" s="1"/>
  <c r="AL42" i="50"/>
  <c r="AL55" i="50" s="1"/>
  <c r="AX42" i="50"/>
  <c r="AX55" i="50" s="1"/>
  <c r="AV42" i="50"/>
  <c r="AV55" i="50" s="1"/>
  <c r="AQ42" i="50"/>
  <c r="AQ55" i="50" s="1"/>
  <c r="AF42" i="50"/>
  <c r="AF55" i="50" s="1"/>
  <c r="AZ42" i="50"/>
  <c r="AZ55" i="50" s="1"/>
  <c r="AS42" i="50"/>
  <c r="AS55" i="50" s="1"/>
  <c r="BG42" i="50"/>
  <c r="BG55" i="50" s="1"/>
  <c r="BD42" i="50"/>
  <c r="BD55" i="50" s="1"/>
  <c r="AJ42" i="50"/>
  <c r="AJ55" i="50" s="1"/>
  <c r="AG42" i="50"/>
  <c r="AG55" i="50" s="1"/>
  <c r="BB42" i="50"/>
  <c r="BB55" i="50" s="1"/>
  <c r="BK42" i="50"/>
  <c r="BK55" i="50" s="1"/>
  <c r="AW42" i="50"/>
  <c r="AW55" i="50" s="1"/>
  <c r="BH42" i="50"/>
  <c r="BH55" i="50" s="1"/>
  <c r="BJ42" i="50"/>
  <c r="BJ55" i="50" s="1"/>
  <c r="BI42" i="50"/>
  <c r="BI55" i="50" s="1"/>
  <c r="BC42" i="50"/>
  <c r="BC55" i="50" s="1"/>
  <c r="AR42" i="50"/>
  <c r="AR55" i="50" s="1"/>
  <c r="BA42" i="50"/>
  <c r="BA55" i="50" s="1"/>
  <c r="AU42" i="50"/>
  <c r="AU55" i="50" s="1"/>
  <c r="Z27" i="50"/>
  <c r="Z18" i="50" s="1"/>
  <c r="Z52" i="50" s="1"/>
  <c r="Y27" i="50"/>
  <c r="Y18" i="50" s="1"/>
  <c r="Y52" i="50" s="1"/>
  <c r="AD37" i="50"/>
  <c r="AD54" i="50" s="1"/>
  <c r="AB37" i="50"/>
  <c r="AB54" i="50" s="1"/>
  <c r="AE37" i="50"/>
  <c r="AE54" i="50" s="1"/>
  <c r="AC37" i="50"/>
  <c r="AC54" i="50" s="1"/>
  <c r="Z37" i="50"/>
  <c r="Z54" i="50" s="1"/>
  <c r="AA37" i="50"/>
  <c r="AA54" i="50" s="1"/>
  <c r="AN37" i="50"/>
  <c r="AN54" i="50" s="1"/>
  <c r="AI37" i="50"/>
  <c r="AI54" i="50" s="1"/>
  <c r="AO37" i="50"/>
  <c r="AO54" i="50" s="1"/>
  <c r="AH37" i="50"/>
  <c r="AH54" i="50" s="1"/>
  <c r="AM37" i="50"/>
  <c r="AM54" i="50" s="1"/>
  <c r="AP37" i="50"/>
  <c r="AP54" i="50" s="1"/>
  <c r="AK37" i="50"/>
  <c r="AK54" i="50" s="1"/>
  <c r="AY37" i="50"/>
  <c r="AY54" i="50" s="1"/>
  <c r="AW37" i="50"/>
  <c r="AW54" i="50" s="1"/>
  <c r="AQ37" i="50"/>
  <c r="AQ54" i="50" s="1"/>
  <c r="AZ37" i="50"/>
  <c r="AZ54" i="50" s="1"/>
  <c r="AT37" i="50"/>
  <c r="AT54" i="50" s="1"/>
  <c r="AX37" i="50"/>
  <c r="AX54" i="50" s="1"/>
  <c r="AV37" i="50"/>
  <c r="AV54" i="50" s="1"/>
  <c r="BK37" i="50"/>
  <c r="BK54" i="50" s="1"/>
  <c r="BJ37" i="50"/>
  <c r="BJ54" i="50" s="1"/>
  <c r="BC37" i="50"/>
  <c r="BC54" i="50" s="1"/>
  <c r="BA37" i="50"/>
  <c r="BA54" i="50" s="1"/>
  <c r="BB37" i="50"/>
  <c r="BB54" i="50" s="1"/>
  <c r="BH37" i="50"/>
  <c r="BH54" i="50" s="1"/>
  <c r="BF37" i="50"/>
  <c r="BF54" i="50" s="1"/>
  <c r="BD37" i="50"/>
  <c r="BD54" i="50" s="1"/>
  <c r="BG37" i="50"/>
  <c r="BG54" i="50" s="1"/>
  <c r="AF37" i="50"/>
  <c r="AF54" i="50" s="1"/>
  <c r="AS37" i="50"/>
  <c r="AS54" i="50" s="1"/>
  <c r="BE37" i="50"/>
  <c r="BE54" i="50" s="1"/>
  <c r="AJ37" i="50"/>
  <c r="AJ54" i="50" s="1"/>
  <c r="AU37" i="50"/>
  <c r="AU54" i="50" s="1"/>
  <c r="AL37" i="50"/>
  <c r="AL54" i="50" s="1"/>
  <c r="BI37" i="50"/>
  <c r="BI54" i="50" s="1"/>
  <c r="AR37" i="50"/>
  <c r="AR54" i="50" s="1"/>
  <c r="AG37" i="50"/>
  <c r="AG54" i="50" s="1"/>
  <c r="AI15" i="50"/>
  <c r="AI50" i="50" s="1"/>
  <c r="Y50" i="50"/>
  <c r="AC15" i="50"/>
  <c r="AC50" i="50" s="1"/>
  <c r="AB15" i="50"/>
  <c r="AB50" i="50" s="1"/>
  <c r="Z15" i="50"/>
  <c r="Z50" i="50" s="1"/>
  <c r="AD15" i="50"/>
  <c r="AD50" i="50" s="1"/>
  <c r="AA15" i="50"/>
  <c r="AA50" i="50" s="1"/>
  <c r="Y37" i="50"/>
  <c r="AE49" i="50"/>
  <c r="AD49" i="50"/>
  <c r="AA49" i="50"/>
  <c r="AC49" i="50"/>
  <c r="Y49" i="50"/>
  <c r="AB49" i="50"/>
  <c r="Z49" i="50"/>
  <c r="AD45" i="50"/>
  <c r="AD44" i="50" s="1"/>
  <c r="AA27" i="50"/>
  <c r="AA18" i="50" s="1"/>
  <c r="AA52" i="50" s="1"/>
  <c r="AB27" i="50"/>
  <c r="AB18" i="50" s="1"/>
  <c r="AB52" i="50" s="1"/>
  <c r="AC27" i="50"/>
  <c r="AC18" i="50" s="1"/>
  <c r="AC52" i="50" s="1"/>
  <c r="AD27" i="50"/>
  <c r="AD18" i="50" s="1"/>
  <c r="AD52" i="50" s="1"/>
  <c r="Z45" i="50"/>
  <c r="Z44" i="50" s="1"/>
  <c r="AA45" i="50"/>
  <c r="AA44" i="50" s="1"/>
  <c r="AC45" i="50"/>
  <c r="AC44" i="50" s="1"/>
  <c r="AB45" i="50"/>
  <c r="AB44" i="50" s="1"/>
  <c r="Y45" i="50"/>
  <c r="Y44" i="50" s="1"/>
  <c r="AE15" i="50"/>
  <c r="AE50" i="50" s="1"/>
  <c r="AO27" i="50"/>
  <c r="AO18" i="50" s="1"/>
  <c r="AO52" i="50" s="1"/>
  <c r="AE27" i="50"/>
  <c r="AE18" i="50" s="1"/>
  <c r="AE52" i="50" s="1"/>
  <c r="AE45" i="50"/>
  <c r="AE44" i="50" s="1"/>
  <c r="BG27" i="50"/>
  <c r="BG18" i="50" s="1"/>
  <c r="BG52" i="50" s="1"/>
  <c r="AJ27" i="50"/>
  <c r="AJ18" i="50" s="1"/>
  <c r="AJ52" i="50" s="1"/>
  <c r="BK27" i="50"/>
  <c r="BK18" i="50" s="1"/>
  <c r="BK52" i="50" s="1"/>
  <c r="BC27" i="50"/>
  <c r="BC18" i="50" s="1"/>
  <c r="BC52" i="50" s="1"/>
  <c r="AP27" i="50"/>
  <c r="AP18" i="50" s="1"/>
  <c r="AP52" i="50" s="1"/>
  <c r="BF27" i="50"/>
  <c r="BF18" i="50" s="1"/>
  <c r="BF52" i="50" s="1"/>
  <c r="AS27" i="50"/>
  <c r="AS18" i="50" s="1"/>
  <c r="AS52" i="50" s="1"/>
  <c r="BI27" i="50"/>
  <c r="BI18" i="50" s="1"/>
  <c r="BI52" i="50" s="1"/>
  <c r="AY27" i="50"/>
  <c r="AY18" i="50" s="1"/>
  <c r="AY52" i="50" s="1"/>
  <c r="AT27" i="50"/>
  <c r="AT18" i="50" s="1"/>
  <c r="AT52" i="50" s="1"/>
  <c r="AG27" i="50"/>
  <c r="AQ27" i="50"/>
  <c r="AQ18" i="50" s="1"/>
  <c r="AQ52" i="50" s="1"/>
  <c r="AF27" i="50"/>
  <c r="AF18" i="50" s="1"/>
  <c r="AF52" i="50" s="1"/>
  <c r="AL27" i="50"/>
  <c r="AL18" i="50" s="1"/>
  <c r="AL52" i="50" s="1"/>
  <c r="BB27" i="50"/>
  <c r="BB18" i="50" s="1"/>
  <c r="BB52" i="50" s="1"/>
  <c r="AV27" i="50"/>
  <c r="AV18" i="50" s="1"/>
  <c r="AV52" i="50" s="1"/>
  <c r="BE27" i="50"/>
  <c r="BE18" i="50" s="1"/>
  <c r="BE52" i="50" s="1"/>
  <c r="BD27" i="50"/>
  <c r="BD18" i="50" s="1"/>
  <c r="BD52" i="50" s="1"/>
  <c r="AX27" i="50"/>
  <c r="AX18" i="50" s="1"/>
  <c r="AX52" i="50" s="1"/>
  <c r="AU27" i="50"/>
  <c r="AU18" i="50" s="1"/>
  <c r="AU52" i="50" s="1"/>
  <c r="AW27" i="50"/>
  <c r="AW18" i="50" s="1"/>
  <c r="AW52" i="50" s="1"/>
  <c r="AM27" i="50"/>
  <c r="AM18" i="50" s="1"/>
  <c r="AM52" i="50" s="1"/>
  <c r="AR27" i="50"/>
  <c r="AR18" i="50" s="1"/>
  <c r="AR52" i="50" s="1"/>
  <c r="BA27" i="50"/>
  <c r="BA18" i="50" s="1"/>
  <c r="BA52" i="50" s="1"/>
  <c r="AI27" i="50"/>
  <c r="AI18" i="50" s="1"/>
  <c r="AI52" i="50" s="1"/>
  <c r="BH27" i="50"/>
  <c r="BH18" i="50" s="1"/>
  <c r="BH52" i="50" s="1"/>
  <c r="AH27" i="50"/>
  <c r="AH18" i="50" s="1"/>
  <c r="AH52" i="50" s="1"/>
  <c r="BJ27" i="50"/>
  <c r="BJ18" i="50" s="1"/>
  <c r="BJ52" i="50" s="1"/>
  <c r="AU15" i="50"/>
  <c r="AU50" i="50" s="1"/>
  <c r="AT15" i="50"/>
  <c r="AT50" i="50" s="1"/>
  <c r="AW15" i="50"/>
  <c r="AW50" i="50" s="1"/>
  <c r="BK15" i="50"/>
  <c r="BK50" i="50" s="1"/>
  <c r="AS15" i="50"/>
  <c r="AS50" i="50" s="1"/>
  <c r="BE15" i="50"/>
  <c r="BE50" i="50" s="1"/>
  <c r="BB15" i="50"/>
  <c r="BB50" i="50" s="1"/>
  <c r="AN15" i="50"/>
  <c r="AN50" i="50" s="1"/>
  <c r="BI15" i="50"/>
  <c r="BI50" i="50" s="1"/>
  <c r="AL15" i="50"/>
  <c r="AL50" i="50" s="1"/>
  <c r="BD15" i="50"/>
  <c r="BD50" i="50" s="1"/>
  <c r="AZ15" i="50"/>
  <c r="AZ50" i="50" s="1"/>
  <c r="AH15" i="50"/>
  <c r="AH50" i="50" s="1"/>
  <c r="AG15" i="50"/>
  <c r="AG50" i="50" s="1"/>
  <c r="AK15" i="50"/>
  <c r="AK50" i="50" s="1"/>
  <c r="AV45" i="50"/>
  <c r="AV44" i="50" s="1"/>
  <c r="AK27" i="50"/>
  <c r="AK18" i="50" s="1"/>
  <c r="AK52" i="50" s="1"/>
  <c r="BE45" i="50"/>
  <c r="BE44" i="50" s="1"/>
  <c r="AX45" i="50"/>
  <c r="AX44" i="50" s="1"/>
  <c r="BI45" i="50"/>
  <c r="BI44" i="50" s="1"/>
  <c r="AI45" i="50"/>
  <c r="AI44" i="50" s="1"/>
  <c r="BF15" i="50"/>
  <c r="BF50" i="50" s="1"/>
  <c r="BA15" i="50"/>
  <c r="BA50" i="50" s="1"/>
  <c r="BJ15" i="50"/>
  <c r="BJ50" i="50" s="1"/>
  <c r="AF15" i="50"/>
  <c r="AF50" i="50" s="1"/>
  <c r="AJ15" i="50"/>
  <c r="AJ50" i="50" s="1"/>
  <c r="BH15" i="50"/>
  <c r="BH50" i="50" s="1"/>
  <c r="BC15" i="50"/>
  <c r="BC50" i="50" s="1"/>
  <c r="AX15" i="50"/>
  <c r="AX50" i="50" s="1"/>
  <c r="AF45" i="50"/>
  <c r="AF44" i="50" s="1"/>
  <c r="AG45" i="50"/>
  <c r="AG44" i="50" s="1"/>
  <c r="AG46" i="50" s="1"/>
  <c r="AN45" i="50"/>
  <c r="AN44" i="50" s="1"/>
  <c r="AY15" i="50"/>
  <c r="AY50" i="50" s="1"/>
  <c r="AM15" i="50"/>
  <c r="AM50" i="50" s="1"/>
  <c r="AV15" i="50"/>
  <c r="AV50" i="50" s="1"/>
  <c r="AP15" i="50"/>
  <c r="AP50" i="50" s="1"/>
  <c r="AR15" i="50"/>
  <c r="AR50" i="50" s="1"/>
  <c r="AQ15" i="50"/>
  <c r="AQ50" i="50" s="1"/>
  <c r="BG15" i="50"/>
  <c r="BG50" i="50" s="1"/>
  <c r="AO15" i="50"/>
  <c r="AO50" i="50" s="1"/>
  <c r="BG45" i="50"/>
  <c r="BG44" i="50" s="1"/>
  <c r="BA45" i="50"/>
  <c r="BA44" i="50" s="1"/>
  <c r="AM45" i="50"/>
  <c r="AM44" i="50" s="1"/>
  <c r="BK45" i="50"/>
  <c r="BK44" i="50" s="1"/>
  <c r="AZ45" i="50"/>
  <c r="AZ44" i="50" s="1"/>
  <c r="AO45" i="50"/>
  <c r="AO44" i="50" s="1"/>
  <c r="AH45" i="50"/>
  <c r="AH44" i="50" s="1"/>
  <c r="BF45" i="50"/>
  <c r="BF44" i="50" s="1"/>
  <c r="AK45" i="50"/>
  <c r="AK44" i="50" s="1"/>
  <c r="AS45" i="50"/>
  <c r="AS44" i="50" s="1"/>
  <c r="BB45" i="50"/>
  <c r="BB44" i="50" s="1"/>
  <c r="BJ45" i="50"/>
  <c r="BJ44" i="50" s="1"/>
  <c r="AU45" i="50"/>
  <c r="AU44" i="50" s="1"/>
  <c r="AJ45" i="50"/>
  <c r="AJ44" i="50" s="1"/>
  <c r="AJ46" i="50" s="1"/>
  <c r="BH45" i="50"/>
  <c r="BH44" i="50" s="1"/>
  <c r="AQ45" i="50"/>
  <c r="AQ44" i="50" s="1"/>
  <c r="AY45" i="50"/>
  <c r="AY44" i="50" s="1"/>
  <c r="BD45" i="50"/>
  <c r="BD44" i="50" s="1"/>
  <c r="AL45" i="50"/>
  <c r="AL44" i="50" s="1"/>
  <c r="AT45" i="50"/>
  <c r="AT44" i="50" s="1"/>
  <c r="BC45" i="50"/>
  <c r="BC44" i="50" s="1"/>
  <c r="AN27" i="50"/>
  <c r="AN18" i="50" s="1"/>
  <c r="AN52" i="50" s="1"/>
  <c r="AZ27" i="50"/>
  <c r="AZ18" i="50" s="1"/>
  <c r="AZ52" i="50" s="1"/>
  <c r="AW45" i="50"/>
  <c r="AW44" i="50" s="1"/>
  <c r="AP45" i="50"/>
  <c r="AP44" i="50" s="1"/>
  <c r="AY49" i="50"/>
  <c r="AS49" i="50"/>
  <c r="AM49" i="50"/>
  <c r="AG49" i="50"/>
  <c r="AQ49" i="50"/>
  <c r="AK49" i="50"/>
  <c r="AU49" i="50"/>
  <c r="AO49" i="50"/>
  <c r="AH49" i="50"/>
  <c r="AF49" i="50"/>
  <c r="BI49" i="50"/>
  <c r="BC49" i="50"/>
  <c r="AW49" i="50"/>
  <c r="BG49" i="50"/>
  <c r="BA49" i="50"/>
  <c r="BK49" i="50"/>
  <c r="BE49" i="50"/>
  <c r="AX49" i="50"/>
  <c r="AV49" i="50"/>
  <c r="AL49" i="50"/>
  <c r="AJ49" i="50"/>
  <c r="AP49" i="50"/>
  <c r="AN49" i="50"/>
  <c r="AT49" i="50"/>
  <c r="AR49" i="50"/>
  <c r="AZ49" i="50"/>
  <c r="BH49" i="50"/>
  <c r="AI49" i="50"/>
  <c r="BF49" i="50"/>
  <c r="BD49" i="50"/>
  <c r="BB49" i="50"/>
  <c r="BJ49" i="50"/>
  <c r="AR46" i="50"/>
  <c r="K1065" i="67" l="1"/>
  <c r="K1426" i="67"/>
  <c r="K1408" i="67"/>
  <c r="K1562" i="67"/>
  <c r="K1546" i="67"/>
  <c r="K945" i="67"/>
  <c r="K1096" i="67"/>
  <c r="K1114" i="67"/>
  <c r="K1216" i="67"/>
  <c r="K963" i="67"/>
  <c r="K1200" i="67"/>
  <c r="K1049" i="67"/>
  <c r="Y55" i="50"/>
  <c r="BC56" i="50"/>
  <c r="BC58" i="50" s="1"/>
  <c r="BC59" i="50" s="1"/>
  <c r="BC60" i="50" s="1"/>
  <c r="BI41" i="70" s="1"/>
  <c r="BE56" i="50"/>
  <c r="AO56" i="50"/>
  <c r="AP56" i="50"/>
  <c r="BJ56" i="50"/>
  <c r="BK56" i="50"/>
  <c r="Z56" i="50"/>
  <c r="BG56" i="50"/>
  <c r="BH56" i="50"/>
  <c r="AK56" i="50"/>
  <c r="BD56" i="50"/>
  <c r="BB56" i="50"/>
  <c r="X61" i="50"/>
  <c r="AD41" i="36"/>
  <c r="BA56" i="50"/>
  <c r="AQ56" i="50"/>
  <c r="AV56" i="50"/>
  <c r="AR56" i="50"/>
  <c r="AY56" i="50"/>
  <c r="AF56" i="50"/>
  <c r="AH56" i="50"/>
  <c r="BI56" i="50"/>
  <c r="AU56" i="50"/>
  <c r="AZ56" i="50"/>
  <c r="AN56" i="50"/>
  <c r="AI56" i="50"/>
  <c r="AG18" i="50"/>
  <c r="AG52" i="50" s="1"/>
  <c r="AG56" i="50" s="1"/>
  <c r="AB56" i="50"/>
  <c r="AA56" i="50"/>
  <c r="AD56" i="50"/>
  <c r="AM56" i="50"/>
  <c r="BF56" i="50"/>
  <c r="AL56" i="50"/>
  <c r="AS56" i="50"/>
  <c r="AE56" i="50"/>
  <c r="AW56" i="50"/>
  <c r="AJ56" i="50"/>
  <c r="AT56" i="50"/>
  <c r="AC56" i="50"/>
  <c r="AX56" i="50"/>
  <c r="AD21" i="36"/>
  <c r="Y54" i="50"/>
  <c r="BB20" i="36"/>
  <c r="BB22" i="36"/>
  <c r="BE22" i="36"/>
  <c r="BE20" i="36"/>
  <c r="AY20" i="36"/>
  <c r="AY22" i="36"/>
  <c r="AE22" i="36"/>
  <c r="AE20" i="36"/>
  <c r="AZ20" i="36"/>
  <c r="AZ22" i="36"/>
  <c r="BN20" i="36"/>
  <c r="BN22" i="36"/>
  <c r="BP22" i="36"/>
  <c r="BP20" i="36"/>
  <c r="BI20" i="36"/>
  <c r="BI22" i="36"/>
  <c r="AK22" i="36"/>
  <c r="AK20" i="36"/>
  <c r="AQ22" i="36"/>
  <c r="AQ20" i="36"/>
  <c r="AP22" i="36"/>
  <c r="AP20" i="36"/>
  <c r="AD22" i="36"/>
  <c r="AR22" i="36"/>
  <c r="AR20" i="36"/>
  <c r="AF20" i="36"/>
  <c r="AF22" i="36"/>
  <c r="BH22" i="36"/>
  <c r="BH20" i="36"/>
  <c r="AO20" i="36"/>
  <c r="AO22" i="36"/>
  <c r="BC20" i="36"/>
  <c r="BC22" i="36"/>
  <c r="AH20" i="36"/>
  <c r="AH22" i="36"/>
  <c r="BF22" i="36"/>
  <c r="BF20" i="36"/>
  <c r="BO20" i="36"/>
  <c r="BO22" i="36"/>
  <c r="BG22" i="36"/>
  <c r="BG20" i="36"/>
  <c r="BL22" i="36"/>
  <c r="BL20" i="36"/>
  <c r="AV22" i="36"/>
  <c r="AV20" i="36"/>
  <c r="BD22" i="36"/>
  <c r="BD20" i="36"/>
  <c r="AU20" i="36"/>
  <c r="AU22" i="36"/>
  <c r="AM22" i="36"/>
  <c r="AM20" i="36"/>
  <c r="AI22" i="36"/>
  <c r="AI20" i="36"/>
  <c r="AS22" i="36"/>
  <c r="AS20" i="36"/>
  <c r="AN20" i="36"/>
  <c r="AN22" i="36"/>
  <c r="AW22" i="36"/>
  <c r="AW20" i="36"/>
  <c r="BM22" i="36"/>
  <c r="BM20" i="36"/>
  <c r="AL22" i="36"/>
  <c r="AL20" i="36"/>
  <c r="AX22" i="36"/>
  <c r="AX20" i="36"/>
  <c r="BA22" i="36"/>
  <c r="BA20" i="36"/>
  <c r="BJ20" i="36"/>
  <c r="BJ22" i="36"/>
  <c r="BK20" i="36"/>
  <c r="BK22" i="36"/>
  <c r="AG20" i="36"/>
  <c r="AG22" i="36"/>
  <c r="AT22" i="36"/>
  <c r="AT20" i="36"/>
  <c r="AJ22" i="36"/>
  <c r="AJ20" i="36"/>
  <c r="BM7" i="36"/>
  <c r="BM5" i="36"/>
  <c r="BM6" i="36"/>
  <c r="AP6" i="36"/>
  <c r="AP5" i="36"/>
  <c r="AP7" i="36"/>
  <c r="BB7" i="36"/>
  <c r="BB5" i="36"/>
  <c r="BB6" i="36"/>
  <c r="AV7" i="36"/>
  <c r="AV5" i="36"/>
  <c r="AV6" i="36"/>
  <c r="AR5" i="36"/>
  <c r="AR6" i="36"/>
  <c r="AR7" i="36"/>
  <c r="AO5" i="36"/>
  <c r="AO7" i="36"/>
  <c r="AO6" i="36"/>
  <c r="BK7" i="36"/>
  <c r="BK6" i="36"/>
  <c r="BK5" i="36"/>
  <c r="AL5" i="36"/>
  <c r="AL7" i="36"/>
  <c r="AL6" i="36"/>
  <c r="BJ6" i="36"/>
  <c r="BJ7" i="36"/>
  <c r="BJ5" i="36"/>
  <c r="AY5" i="36"/>
  <c r="AY7" i="36"/>
  <c r="AY6" i="36"/>
  <c r="AF7" i="36"/>
  <c r="AF6" i="36"/>
  <c r="AF5" i="36"/>
  <c r="AH5" i="36"/>
  <c r="AH6" i="36"/>
  <c r="AH7" i="36"/>
  <c r="BL5" i="36"/>
  <c r="BL7" i="36"/>
  <c r="BL6" i="36"/>
  <c r="BG6" i="36"/>
  <c r="BG7" i="36"/>
  <c r="BG5" i="36"/>
  <c r="AG6" i="36"/>
  <c r="AG7" i="36"/>
  <c r="AG5" i="36"/>
  <c r="AW5" i="36"/>
  <c r="AW7" i="36"/>
  <c r="AW6" i="36"/>
  <c r="BD6" i="36"/>
  <c r="BD5" i="36"/>
  <c r="BD7" i="36"/>
  <c r="BC6" i="36"/>
  <c r="BC7" i="36"/>
  <c r="BC5" i="36"/>
  <c r="AK6" i="36"/>
  <c r="AK7" i="36"/>
  <c r="AK5" i="36"/>
  <c r="AM6" i="36"/>
  <c r="AM5" i="36"/>
  <c r="AM7" i="36"/>
  <c r="BN5" i="36"/>
  <c r="BN7" i="36"/>
  <c r="BN6" i="36"/>
  <c r="AX5" i="36"/>
  <c r="AX6" i="36"/>
  <c r="AX7" i="36"/>
  <c r="AZ6" i="36"/>
  <c r="AZ7" i="36"/>
  <c r="AZ5" i="36"/>
  <c r="AJ6" i="36"/>
  <c r="AJ5" i="36"/>
  <c r="AJ7" i="36"/>
  <c r="AI7" i="36"/>
  <c r="AI6" i="36"/>
  <c r="AI5" i="36"/>
  <c r="BA5" i="36"/>
  <c r="BA7" i="36"/>
  <c r="BA6" i="36"/>
  <c r="BF5" i="36"/>
  <c r="BF7" i="36"/>
  <c r="BF6" i="36"/>
  <c r="BI5" i="36"/>
  <c r="BI7" i="36"/>
  <c r="BI6" i="36"/>
  <c r="AT5" i="36"/>
  <c r="AT7" i="36"/>
  <c r="AT6" i="36"/>
  <c r="AU7" i="36"/>
  <c r="AU5" i="36"/>
  <c r="AU6" i="36"/>
  <c r="BH6" i="36"/>
  <c r="BH7" i="36"/>
  <c r="BH5" i="36"/>
  <c r="BO7" i="36"/>
  <c r="BO6" i="36"/>
  <c r="BO5" i="36"/>
  <c r="BE6" i="36"/>
  <c r="BE5" i="36"/>
  <c r="BE7" i="36"/>
  <c r="AS5" i="36"/>
  <c r="AS6" i="36"/>
  <c r="AS7" i="36"/>
  <c r="BP5" i="36"/>
  <c r="BP6" i="36"/>
  <c r="BP7" i="36"/>
  <c r="AE5" i="36"/>
  <c r="AE6" i="36"/>
  <c r="AE7" i="36"/>
  <c r="AN7" i="36"/>
  <c r="AN5" i="36"/>
  <c r="AN6" i="36"/>
  <c r="AQ5" i="36"/>
  <c r="AQ7" i="36"/>
  <c r="AQ6" i="36"/>
  <c r="AD6" i="36"/>
  <c r="AD7" i="36"/>
  <c r="AD5" i="36"/>
  <c r="AW31" i="55"/>
  <c r="AL31" i="55"/>
  <c r="AX31" i="55"/>
  <c r="AQ31" i="55"/>
  <c r="AA31" i="55"/>
  <c r="AT31" i="55"/>
  <c r="AR31" i="55"/>
  <c r="AM31" i="55"/>
  <c r="AC31" i="55"/>
  <c r="Z31" i="55"/>
  <c r="AV31" i="55"/>
  <c r="W31" i="55"/>
  <c r="AB31" i="55"/>
  <c r="AU31" i="55"/>
  <c r="AJ31" i="55"/>
  <c r="AH31" i="55"/>
  <c r="AO31" i="55"/>
  <c r="AN31" i="55"/>
  <c r="V31" i="55"/>
  <c r="X31" i="55"/>
  <c r="AY31" i="55"/>
  <c r="AI31" i="55"/>
  <c r="AK31" i="55"/>
  <c r="AE31" i="55"/>
  <c r="AF31" i="55"/>
  <c r="AS31" i="55"/>
  <c r="AZ31" i="55"/>
  <c r="AP31" i="55"/>
  <c r="AD31" i="55"/>
  <c r="BA31" i="55"/>
  <c r="Y31" i="55"/>
  <c r="AL19" i="36"/>
  <c r="AL21" i="36"/>
  <c r="BM19" i="36"/>
  <c r="BM21" i="36"/>
  <c r="AY21" i="36"/>
  <c r="AY19" i="36"/>
  <c r="AM21" i="36"/>
  <c r="AM19" i="36"/>
  <c r="AG19" i="36"/>
  <c r="AG21" i="36"/>
  <c r="AW19" i="36"/>
  <c r="AW21" i="36"/>
  <c r="AO19" i="36"/>
  <c r="AO21" i="36"/>
  <c r="BL21" i="36"/>
  <c r="BL19" i="36"/>
  <c r="BG21" i="36"/>
  <c r="BG19" i="36"/>
  <c r="BP19" i="36"/>
  <c r="BP21" i="36"/>
  <c r="BE19" i="36"/>
  <c r="BE21" i="36"/>
  <c r="AP21" i="36"/>
  <c r="AP19" i="36"/>
  <c r="AT19" i="36"/>
  <c r="AT21" i="36"/>
  <c r="AE21" i="36"/>
  <c r="AE19" i="36"/>
  <c r="AI21" i="36"/>
  <c r="AI19" i="36"/>
  <c r="AZ21" i="36"/>
  <c r="AZ19" i="36"/>
  <c r="AK19" i="36"/>
  <c r="AK21" i="36"/>
  <c r="BO21" i="36"/>
  <c r="BO19" i="36"/>
  <c r="BD19" i="36"/>
  <c r="BD21" i="36"/>
  <c r="AF19" i="36"/>
  <c r="AF21" i="36"/>
  <c r="AD19" i="36"/>
  <c r="BN21" i="36"/>
  <c r="BN19" i="36"/>
  <c r="BJ19" i="36"/>
  <c r="BJ21" i="36"/>
  <c r="BI19" i="36"/>
  <c r="BI21" i="36"/>
  <c r="BF21" i="36"/>
  <c r="BF19" i="36"/>
  <c r="BA19" i="36"/>
  <c r="BA21" i="36"/>
  <c r="AV19" i="36"/>
  <c r="AV21" i="36"/>
  <c r="AU21" i="36"/>
  <c r="AU19" i="36"/>
  <c r="AN19" i="36"/>
  <c r="AN21" i="36"/>
  <c r="AH19" i="36"/>
  <c r="AH21" i="36"/>
  <c r="AQ21" i="36"/>
  <c r="AQ19" i="36"/>
  <c r="AX21" i="36"/>
  <c r="AX19" i="36"/>
  <c r="BK21" i="36"/>
  <c r="BK19" i="36"/>
  <c r="BH19" i="36"/>
  <c r="BH21" i="36"/>
  <c r="BC21" i="36"/>
  <c r="BC19" i="36"/>
  <c r="BB19" i="36"/>
  <c r="BB21" i="36"/>
  <c r="AR21" i="36"/>
  <c r="AR19" i="36"/>
  <c r="AS19" i="36"/>
  <c r="AS21" i="36"/>
  <c r="AJ21" i="36"/>
  <c r="AJ19" i="36"/>
  <c r="BE12" i="36"/>
  <c r="BE11" i="36"/>
  <c r="AM12" i="36"/>
  <c r="AM11" i="36"/>
  <c r="BC12" i="36"/>
  <c r="BC11" i="36"/>
  <c r="AL12" i="36"/>
  <c r="AL11" i="36"/>
  <c r="BP11" i="36"/>
  <c r="BP12" i="36"/>
  <c r="AI12" i="36"/>
  <c r="AI11" i="36"/>
  <c r="AS12" i="36"/>
  <c r="AS11" i="36"/>
  <c r="AR12" i="36"/>
  <c r="AR11" i="36"/>
  <c r="AP12" i="36"/>
  <c r="AP11" i="36"/>
  <c r="AN12" i="36"/>
  <c r="AN11" i="36"/>
  <c r="BB12" i="36"/>
  <c r="BB11" i="36"/>
  <c r="BJ12" i="36"/>
  <c r="BJ11" i="36"/>
  <c r="AK12" i="36"/>
  <c r="AK11" i="36"/>
  <c r="BD12" i="36"/>
  <c r="BD11" i="36"/>
  <c r="AU12" i="36"/>
  <c r="AU11" i="36"/>
  <c r="BL12" i="36"/>
  <c r="BL11" i="36"/>
  <c r="AG12" i="36"/>
  <c r="AG11" i="36"/>
  <c r="AD11" i="36"/>
  <c r="AD12" i="36"/>
  <c r="AW12" i="36"/>
  <c r="AW11" i="36"/>
  <c r="BG12" i="36"/>
  <c r="BG11" i="36"/>
  <c r="AX12" i="36"/>
  <c r="AX11" i="36"/>
  <c r="AJ12" i="36"/>
  <c r="AJ11" i="36"/>
  <c r="BM12" i="36"/>
  <c r="BM11" i="36"/>
  <c r="BI12" i="36"/>
  <c r="BI11" i="36"/>
  <c r="AQ12" i="36"/>
  <c r="AQ11" i="36"/>
  <c r="AY12" i="36"/>
  <c r="AY11" i="36"/>
  <c r="BK12" i="36"/>
  <c r="BK11" i="36"/>
  <c r="AO12" i="36"/>
  <c r="AO11" i="36"/>
  <c r="AT12" i="36"/>
  <c r="AT11" i="36"/>
  <c r="AH12" i="36"/>
  <c r="AH11" i="36"/>
  <c r="BO12" i="36"/>
  <c r="BO11" i="36"/>
  <c r="BF12" i="36"/>
  <c r="BF11" i="36"/>
  <c r="AZ12" i="36"/>
  <c r="AZ11" i="36"/>
  <c r="BA12" i="36"/>
  <c r="BA11" i="36"/>
  <c r="AV12" i="36"/>
  <c r="AV11" i="36"/>
  <c r="BN12" i="36"/>
  <c r="BN11" i="36"/>
  <c r="BH12" i="36"/>
  <c r="BH11" i="36"/>
  <c r="AF12" i="36"/>
  <c r="AF11" i="36"/>
  <c r="AE11" i="36"/>
  <c r="AE12" i="36"/>
  <c r="AN37" i="55"/>
  <c r="AR37" i="55"/>
  <c r="AI37" i="55"/>
  <c r="AX37" i="55"/>
  <c r="AJ37" i="55"/>
  <c r="AH37" i="55"/>
  <c r="AE37" i="55"/>
  <c r="AA37" i="55"/>
  <c r="AC37" i="55"/>
  <c r="AB37" i="55"/>
  <c r="Z37" i="55"/>
  <c r="X37" i="55"/>
  <c r="W37" i="55"/>
  <c r="U37" i="55"/>
  <c r="BA37" i="55"/>
  <c r="S12" i="55"/>
  <c r="T12" i="55"/>
  <c r="R31" i="55"/>
  <c r="AV46" i="50"/>
  <c r="O12" i="55"/>
  <c r="Q6" i="55"/>
  <c r="Q31" i="55"/>
  <c r="S31" i="55"/>
  <c r="T6" i="55"/>
  <c r="BI46" i="50"/>
  <c r="U31" i="55"/>
  <c r="P12" i="55"/>
  <c r="O6" i="55"/>
  <c r="P6" i="55"/>
  <c r="T31" i="55"/>
  <c r="O31" i="55"/>
  <c r="AM46" i="50"/>
  <c r="Q12" i="55"/>
  <c r="R12" i="55"/>
  <c r="R6" i="55"/>
  <c r="S6" i="55"/>
  <c r="P31" i="55"/>
  <c r="AM37" i="55"/>
  <c r="AO37" i="55"/>
  <c r="V37" i="55"/>
  <c r="AW37" i="55"/>
  <c r="Y37" i="55"/>
  <c r="AU37" i="55"/>
  <c r="AF37" i="55"/>
  <c r="Y46" i="50"/>
  <c r="Z46" i="50"/>
  <c r="O37" i="55"/>
  <c r="AB46" i="50"/>
  <c r="T37" i="55"/>
  <c r="R37" i="55"/>
  <c r="AC46" i="50"/>
  <c r="P37" i="55"/>
  <c r="Q37" i="55"/>
  <c r="AA46" i="50"/>
  <c r="S37" i="55"/>
  <c r="AD46" i="50"/>
  <c r="AD37" i="55"/>
  <c r="BD46" i="50"/>
  <c r="AS46" i="50"/>
  <c r="AO46" i="50"/>
  <c r="BA46" i="50"/>
  <c r="AX46" i="50"/>
  <c r="AP46" i="50"/>
  <c r="BC46" i="50"/>
  <c r="AY46" i="50"/>
  <c r="AU46" i="50"/>
  <c r="AZ46" i="50"/>
  <c r="BG46" i="50"/>
  <c r="BE46" i="50"/>
  <c r="AW46" i="50"/>
  <c r="AT46" i="50"/>
  <c r="AQ46" i="50"/>
  <c r="BJ46" i="50"/>
  <c r="BF46" i="50"/>
  <c r="BK46" i="50"/>
  <c r="BH46" i="50"/>
  <c r="BB46" i="50"/>
  <c r="AN46" i="50"/>
  <c r="AT37" i="55"/>
  <c r="AV37" i="55"/>
  <c r="AH46" i="50"/>
  <c r="AE46" i="50"/>
  <c r="AQ31" i="50"/>
  <c r="AQ36" i="50"/>
  <c r="AQ41" i="50"/>
  <c r="AG31" i="55"/>
  <c r="AO41" i="50"/>
  <c r="AX24" i="55"/>
  <c r="AT24" i="55"/>
  <c r="BA24" i="55"/>
  <c r="AL24" i="55"/>
  <c r="AQ24" i="55"/>
  <c r="AN24" i="55"/>
  <c r="AP24" i="55"/>
  <c r="AM24" i="55"/>
  <c r="AO24" i="55"/>
  <c r="AV24" i="55"/>
  <c r="AI24" i="55"/>
  <c r="AY24" i="55"/>
  <c r="AH24" i="55"/>
  <c r="AJ24" i="55"/>
  <c r="AK24" i="55"/>
  <c r="AU24" i="55"/>
  <c r="AS24" i="55"/>
  <c r="AW24" i="55"/>
  <c r="AR24" i="55"/>
  <c r="AZ24" i="55"/>
  <c r="AQ37" i="55"/>
  <c r="AK37" i="55"/>
  <c r="AL37" i="55"/>
  <c r="AG37" i="55"/>
  <c r="AS37" i="55"/>
  <c r="AY37" i="55"/>
  <c r="AZ37" i="55"/>
  <c r="AK46" i="50"/>
  <c r="AF46" i="50"/>
  <c r="AI46" i="50"/>
  <c r="AP37" i="55"/>
  <c r="AL46" i="50"/>
  <c r="W24" i="55"/>
  <c r="AA24" i="55"/>
  <c r="BA12" i="55"/>
  <c r="AS12" i="55"/>
  <c r="X12" i="55"/>
  <c r="AA12" i="55"/>
  <c r="AV12" i="55"/>
  <c r="AK12" i="55"/>
  <c r="W12" i="55"/>
  <c r="U12" i="55"/>
  <c r="AW6" i="55"/>
  <c r="AT6" i="55"/>
  <c r="AV6" i="55"/>
  <c r="AC6" i="55"/>
  <c r="AQ6" i="55"/>
  <c r="AF6" i="55"/>
  <c r="AZ6" i="55"/>
  <c r="AO6" i="55"/>
  <c r="V24" i="55"/>
  <c r="AE24" i="55"/>
  <c r="AO31" i="50"/>
  <c r="Z24" i="55"/>
  <c r="AG12" i="55"/>
  <c r="AZ12" i="55"/>
  <c r="AY12" i="55"/>
  <c r="AC12" i="55"/>
  <c r="AR12" i="55"/>
  <c r="AM12" i="55"/>
  <c r="AF12" i="55"/>
  <c r="AN12" i="55"/>
  <c r="AO36" i="50"/>
  <c r="AE12" i="55"/>
  <c r="AX6" i="55"/>
  <c r="AY6" i="55"/>
  <c r="AK6" i="55"/>
  <c r="W6" i="55"/>
  <c r="AN6" i="55"/>
  <c r="BA6" i="55"/>
  <c r="AI6" i="55"/>
  <c r="U6" i="55"/>
  <c r="X24" i="55"/>
  <c r="AC24" i="55"/>
  <c r="U24" i="55"/>
  <c r="Y12" i="55"/>
  <c r="AQ12" i="55"/>
  <c r="Z12" i="55"/>
  <c r="AJ12" i="55"/>
  <c r="AI12" i="55"/>
  <c r="AX12" i="55"/>
  <c r="AW12" i="55"/>
  <c r="AB12" i="55"/>
  <c r="AS6" i="55"/>
  <c r="AP6" i="55"/>
  <c r="AJ6" i="55"/>
  <c r="AD6" i="55"/>
  <c r="AU6" i="55"/>
  <c r="AG6" i="55"/>
  <c r="Z6" i="55"/>
  <c r="X6" i="55"/>
  <c r="AE6" i="55"/>
  <c r="Y24" i="55"/>
  <c r="AD24" i="55"/>
  <c r="AG24" i="55"/>
  <c r="AB24" i="55"/>
  <c r="AF24" i="55"/>
  <c r="AD12" i="55"/>
  <c r="AT12" i="55"/>
  <c r="V12" i="55"/>
  <c r="AO12" i="55"/>
  <c r="AL12" i="55"/>
  <c r="AU12" i="55"/>
  <c r="AH12" i="55"/>
  <c r="AP12" i="55"/>
  <c r="Y6" i="55"/>
  <c r="AA6" i="55"/>
  <c r="V6" i="55"/>
  <c r="AH6" i="55"/>
  <c r="AB6" i="55"/>
  <c r="AR6" i="55"/>
  <c r="AL6" i="55"/>
  <c r="AM6" i="55"/>
  <c r="Y56" i="50" l="1"/>
  <c r="M1386" i="67"/>
  <c r="M1400" i="67"/>
  <c r="M1418" i="67"/>
  <c r="M1538" i="67"/>
  <c r="M1554" i="67"/>
  <c r="AM1386" i="67"/>
  <c r="AM1418" i="67"/>
  <c r="AM1400" i="67"/>
  <c r="AM1538" i="67"/>
  <c r="AM1554" i="67"/>
  <c r="V1386" i="67"/>
  <c r="V1400" i="67"/>
  <c r="V1418" i="67"/>
  <c r="V1538" i="67"/>
  <c r="V1554" i="67"/>
  <c r="Q1386" i="67"/>
  <c r="Q1400" i="67"/>
  <c r="Q1418" i="67"/>
  <c r="Q1538" i="67"/>
  <c r="Q1554" i="67"/>
  <c r="K1417" i="67"/>
  <c r="K1385" i="67"/>
  <c r="K1553" i="67"/>
  <c r="K1537" i="67"/>
  <c r="K1399" i="67"/>
  <c r="K954" i="67"/>
  <c r="K1191" i="67"/>
  <c r="K922" i="67"/>
  <c r="K936" i="67"/>
  <c r="K1105" i="67"/>
  <c r="K1087" i="67"/>
  <c r="K1040" i="67"/>
  <c r="K1073" i="67"/>
  <c r="K1056" i="67"/>
  <c r="K1207" i="67"/>
  <c r="B138" i="65"/>
  <c r="K468" i="67" s="1"/>
  <c r="AQ1386" i="67"/>
  <c r="AQ1418" i="67"/>
  <c r="AQ1400" i="67"/>
  <c r="AQ1538" i="67"/>
  <c r="AQ1554" i="67"/>
  <c r="Y1386" i="67"/>
  <c r="Y1400" i="67"/>
  <c r="Y1418" i="67"/>
  <c r="Y1538" i="67"/>
  <c r="Y1554" i="67"/>
  <c r="S1386" i="67"/>
  <c r="S1400" i="67"/>
  <c r="S1418" i="67"/>
  <c r="S1538" i="67"/>
  <c r="S1554" i="67"/>
  <c r="Q964" i="67"/>
  <c r="Q946" i="67"/>
  <c r="Q1097" i="67"/>
  <c r="Q1115" i="67"/>
  <c r="Q1427" i="67"/>
  <c r="Q1409" i="67"/>
  <c r="AJ964" i="67"/>
  <c r="AJ946" i="67"/>
  <c r="AJ1097" i="67"/>
  <c r="AJ1115" i="67"/>
  <c r="AJ1409" i="67"/>
  <c r="AJ1427" i="67"/>
  <c r="X964" i="67"/>
  <c r="X946" i="67"/>
  <c r="X1097" i="67"/>
  <c r="X1115" i="67"/>
  <c r="X1409" i="67"/>
  <c r="X1427" i="67"/>
  <c r="AM946" i="67"/>
  <c r="AM964" i="67"/>
  <c r="AM1097" i="67"/>
  <c r="AM1115" i="67"/>
  <c r="AM1409" i="67"/>
  <c r="AM1427" i="67"/>
  <c r="AQ962" i="67"/>
  <c r="AQ1064" i="67"/>
  <c r="AQ1048" i="67"/>
  <c r="AQ944" i="67"/>
  <c r="AQ1095" i="67"/>
  <c r="AQ1199" i="67"/>
  <c r="AQ1113" i="67"/>
  <c r="AQ1215" i="67"/>
  <c r="AQ1407" i="67"/>
  <c r="AQ1425" i="67"/>
  <c r="AQ1545" i="67"/>
  <c r="AQ1561" i="67"/>
  <c r="AQ793" i="67"/>
  <c r="AG1064" i="67"/>
  <c r="AG1048" i="67"/>
  <c r="AG962" i="67"/>
  <c r="AG944" i="67"/>
  <c r="AG1095" i="67"/>
  <c r="AG1113" i="67"/>
  <c r="AG1215" i="67"/>
  <c r="AG1199" i="67"/>
  <c r="AG1407" i="67"/>
  <c r="AG1425" i="67"/>
  <c r="AG1545" i="67"/>
  <c r="AG1561" i="67"/>
  <c r="AG793" i="67"/>
  <c r="W962" i="67"/>
  <c r="W944" i="67"/>
  <c r="W1064" i="67"/>
  <c r="W1048" i="67"/>
  <c r="W1095" i="67"/>
  <c r="W1113" i="67"/>
  <c r="W1199" i="67"/>
  <c r="W1215" i="67"/>
  <c r="W1407" i="67"/>
  <c r="W1425" i="67"/>
  <c r="W1545" i="67"/>
  <c r="W1561" i="67"/>
  <c r="W793" i="67"/>
  <c r="AS1064" i="67"/>
  <c r="AS1048" i="67"/>
  <c r="AS944" i="67"/>
  <c r="AS962" i="67"/>
  <c r="AS1095" i="67"/>
  <c r="AS1113" i="67"/>
  <c r="AS1215" i="67"/>
  <c r="AS1199" i="67"/>
  <c r="AS1425" i="67"/>
  <c r="AS1407" i="67"/>
  <c r="AS1545" i="67"/>
  <c r="AS1561" i="67"/>
  <c r="AS793" i="67"/>
  <c r="T1064" i="67"/>
  <c r="T1048" i="67"/>
  <c r="T962" i="67"/>
  <c r="T944" i="67"/>
  <c r="T1113" i="67"/>
  <c r="T1095" i="67"/>
  <c r="T1199" i="67"/>
  <c r="T1215" i="67"/>
  <c r="T1407" i="67"/>
  <c r="T1425" i="67"/>
  <c r="T1545" i="67"/>
  <c r="T1561" i="67"/>
  <c r="T793" i="67"/>
  <c r="X1379" i="67"/>
  <c r="X916" i="67" s="1"/>
  <c r="X1393" i="67"/>
  <c r="X930" i="67" s="1"/>
  <c r="X1411" i="67"/>
  <c r="X948" i="67" s="1"/>
  <c r="X1531" i="67"/>
  <c r="X1034" i="67" s="1"/>
  <c r="X1547" i="67"/>
  <c r="X1050" i="67" s="1"/>
  <c r="AW1380" i="67"/>
  <c r="AW1394" i="67"/>
  <c r="AW931" i="67" s="1"/>
  <c r="AW1412" i="67"/>
  <c r="AW949" i="67" s="1"/>
  <c r="AW1548" i="67"/>
  <c r="AW1051" i="67" s="1"/>
  <c r="AW1532" i="67"/>
  <c r="AW1035" i="67" s="1"/>
  <c r="AV1379" i="67"/>
  <c r="AV916" i="67" s="1"/>
  <c r="AV1393" i="67"/>
  <c r="AV930" i="67" s="1"/>
  <c r="AV1411" i="67"/>
  <c r="AV948" i="67" s="1"/>
  <c r="AV1531" i="67"/>
  <c r="AV1034" i="67" s="1"/>
  <c r="AV1547" i="67"/>
  <c r="AV1050" i="67" s="1"/>
  <c r="AB1381" i="67"/>
  <c r="AB1395" i="67"/>
  <c r="AB932" i="67" s="1"/>
  <c r="AB1413" i="67"/>
  <c r="AB950" i="67" s="1"/>
  <c r="AB1533" i="67"/>
  <c r="AB1036" i="67" s="1"/>
  <c r="AB1549" i="67"/>
  <c r="AB1052" i="67" s="1"/>
  <c r="AM1381" i="67"/>
  <c r="AM1395" i="67"/>
  <c r="AM932" i="67" s="1"/>
  <c r="AM1413" i="67"/>
  <c r="AM950" i="67" s="1"/>
  <c r="AM1549" i="67"/>
  <c r="AM1052" i="67" s="1"/>
  <c r="AM1533" i="67"/>
  <c r="AM1036" i="67" s="1"/>
  <c r="Q1395" i="67"/>
  <c r="Q932" i="67" s="1"/>
  <c r="Q1381" i="67"/>
  <c r="Q1413" i="67"/>
  <c r="Q950" i="67" s="1"/>
  <c r="Q1533" i="67"/>
  <c r="Q1036" i="67" s="1"/>
  <c r="Q1549" i="67"/>
  <c r="Q1052" i="67" s="1"/>
  <c r="AE1379" i="67"/>
  <c r="AE916" i="67" s="1"/>
  <c r="AE1393" i="67"/>
  <c r="AE930" i="67" s="1"/>
  <c r="AE1411" i="67"/>
  <c r="AE948" i="67" s="1"/>
  <c r="AE1547" i="67"/>
  <c r="AE1050" i="67" s="1"/>
  <c r="AE1531" i="67"/>
  <c r="AE1034" i="67" s="1"/>
  <c r="R1381" i="67"/>
  <c r="R1395" i="67"/>
  <c r="R932" i="67" s="1"/>
  <c r="R1413" i="67"/>
  <c r="R950" i="67" s="1"/>
  <c r="R1533" i="67"/>
  <c r="R1036" i="67" s="1"/>
  <c r="R1549" i="67"/>
  <c r="R1052" i="67" s="1"/>
  <c r="AD1380" i="67"/>
  <c r="AD1394" i="67"/>
  <c r="AD931" i="67" s="1"/>
  <c r="AD1412" i="67"/>
  <c r="AD949" i="67" s="1"/>
  <c r="AD1532" i="67"/>
  <c r="AD1035" i="67" s="1"/>
  <c r="AD1548" i="67"/>
  <c r="AD1051" i="67" s="1"/>
  <c r="AN1380" i="67"/>
  <c r="AN1394" i="67"/>
  <c r="AN931" i="67" s="1"/>
  <c r="AN1412" i="67"/>
  <c r="AN949" i="67" s="1"/>
  <c r="AN1532" i="67"/>
  <c r="AN1035" i="67" s="1"/>
  <c r="AN1548" i="67"/>
  <c r="AN1051" i="67" s="1"/>
  <c r="M1380" i="67"/>
  <c r="M1394" i="67"/>
  <c r="M931" i="67" s="1"/>
  <c r="M1412" i="67"/>
  <c r="M949" i="67" s="1"/>
  <c r="M1548" i="67"/>
  <c r="M1051" i="67" s="1"/>
  <c r="M1532" i="67"/>
  <c r="M1035" i="67" s="1"/>
  <c r="S1380" i="67"/>
  <c r="S1412" i="67"/>
  <c r="S949" i="67" s="1"/>
  <c r="S1394" i="67"/>
  <c r="S931" i="67" s="1"/>
  <c r="S1532" i="67"/>
  <c r="S1035" i="67" s="1"/>
  <c r="S1548" i="67"/>
  <c r="S1051" i="67" s="1"/>
  <c r="V1379" i="67"/>
  <c r="V916" i="67" s="1"/>
  <c r="V1393" i="67"/>
  <c r="V930" i="67" s="1"/>
  <c r="V1411" i="67"/>
  <c r="V948" i="67" s="1"/>
  <c r="V1531" i="67"/>
  <c r="V1034" i="67" s="1"/>
  <c r="V1547" i="67"/>
  <c r="V1050" i="67" s="1"/>
  <c r="AC1380" i="67"/>
  <c r="AC1394" i="67"/>
  <c r="AC931" i="67" s="1"/>
  <c r="AC1412" i="67"/>
  <c r="AC949" i="67" s="1"/>
  <c r="AC1548" i="67"/>
  <c r="AC1051" i="67" s="1"/>
  <c r="AC1532" i="67"/>
  <c r="AC1035" i="67" s="1"/>
  <c r="W1394" i="67"/>
  <c r="W931" i="67" s="1"/>
  <c r="W1380" i="67"/>
  <c r="W1412" i="67"/>
  <c r="W949" i="67" s="1"/>
  <c r="W1532" i="67"/>
  <c r="W1035" i="67" s="1"/>
  <c r="W1548" i="67"/>
  <c r="W1051" i="67" s="1"/>
  <c r="N1410" i="67"/>
  <c r="N1428" i="67"/>
  <c r="AE1065" i="67"/>
  <c r="AE1408" i="67"/>
  <c r="AE1426" i="67"/>
  <c r="AE1546" i="67"/>
  <c r="AE1562" i="67"/>
  <c r="U1410" i="67"/>
  <c r="U1428" i="67"/>
  <c r="AB1410" i="67"/>
  <c r="AB1428" i="67"/>
  <c r="AM1065" i="67"/>
  <c r="AM1426" i="67"/>
  <c r="AM1408" i="67"/>
  <c r="AM1546" i="67"/>
  <c r="AM1562" i="67"/>
  <c r="AO1065" i="67"/>
  <c r="AO1408" i="67"/>
  <c r="AO1426" i="67"/>
  <c r="AO1546" i="67"/>
  <c r="AO1562" i="67"/>
  <c r="W1410" i="67"/>
  <c r="W1428" i="67"/>
  <c r="AW1410" i="67"/>
  <c r="AW1428" i="67"/>
  <c r="AG1065" i="67"/>
  <c r="AG1408" i="67"/>
  <c r="AG1426" i="67"/>
  <c r="AG1546" i="67"/>
  <c r="AG1562" i="67"/>
  <c r="AI1065" i="67"/>
  <c r="AI1408" i="67"/>
  <c r="AI1426" i="67"/>
  <c r="AI1546" i="67"/>
  <c r="AI1562" i="67"/>
  <c r="AC1385" i="67"/>
  <c r="AC1417" i="67"/>
  <c r="AC1399" i="67"/>
  <c r="AC1537" i="67"/>
  <c r="AC1553" i="67"/>
  <c r="AT162" i="34"/>
  <c r="AA1385" i="67"/>
  <c r="AA1399" i="67"/>
  <c r="AA1417" i="67"/>
  <c r="AA1553" i="67"/>
  <c r="AA1537" i="67"/>
  <c r="AT1385" i="67"/>
  <c r="AT1399" i="67"/>
  <c r="AT1417" i="67"/>
  <c r="AT1537" i="67"/>
  <c r="AT1553" i="67"/>
  <c r="N1385" i="67"/>
  <c r="N1399" i="67"/>
  <c r="N1417" i="67"/>
  <c r="N1553" i="67"/>
  <c r="N1537" i="67"/>
  <c r="AI1385" i="67"/>
  <c r="AI1399" i="67"/>
  <c r="AI1417" i="67"/>
  <c r="AI1537" i="67"/>
  <c r="AI1553" i="67"/>
  <c r="Z1385" i="67"/>
  <c r="Z1399" i="67"/>
  <c r="Z1417" i="67"/>
  <c r="Z1537" i="67"/>
  <c r="Z1553" i="67"/>
  <c r="AL1385" i="67"/>
  <c r="AL1399" i="67"/>
  <c r="AL1417" i="67"/>
  <c r="AL1537" i="67"/>
  <c r="AL1553" i="67"/>
  <c r="AO964" i="67"/>
  <c r="AO946" i="67"/>
  <c r="AO1097" i="67"/>
  <c r="AO1115" i="67"/>
  <c r="AO1409" i="67"/>
  <c r="AO1427" i="67"/>
  <c r="AH964" i="67"/>
  <c r="AH946" i="67"/>
  <c r="AH1115" i="67"/>
  <c r="AH1097" i="67"/>
  <c r="AH1409" i="67"/>
  <c r="AH1427" i="67"/>
  <c r="AH1386" i="67"/>
  <c r="AH1400" i="67"/>
  <c r="AH1418" i="67"/>
  <c r="AH1538" i="67"/>
  <c r="AH1554" i="67"/>
  <c r="AF1386" i="67"/>
  <c r="AF1400" i="67"/>
  <c r="AF1418" i="67"/>
  <c r="AF1538" i="67"/>
  <c r="AF1554" i="67"/>
  <c r="AK1386" i="67"/>
  <c r="AK1400" i="67"/>
  <c r="AK1418" i="67"/>
  <c r="AK1538" i="67"/>
  <c r="AK1554" i="67"/>
  <c r="AV1064" i="67"/>
  <c r="AV1048" i="67"/>
  <c r="AV944" i="67"/>
  <c r="AV962" i="67"/>
  <c r="AV1095" i="67"/>
  <c r="AV1113" i="67"/>
  <c r="AV1199" i="67"/>
  <c r="AV1215" i="67"/>
  <c r="AV1407" i="67"/>
  <c r="AV1425" i="67"/>
  <c r="AV1545" i="67"/>
  <c r="AV1561" i="67"/>
  <c r="AV793" i="67"/>
  <c r="AO1385" i="67"/>
  <c r="AO1399" i="67"/>
  <c r="AO1417" i="67"/>
  <c r="AO1537" i="67"/>
  <c r="AO1553" i="67"/>
  <c r="AR1385" i="67"/>
  <c r="AR1399" i="67"/>
  <c r="AR1417" i="67"/>
  <c r="AR1537" i="67"/>
  <c r="AR1553" i="67"/>
  <c r="AE1385" i="67"/>
  <c r="AE1399" i="67"/>
  <c r="AE1417" i="67"/>
  <c r="AE1537" i="67"/>
  <c r="AE1553" i="67"/>
  <c r="AK162" i="34"/>
  <c r="R1385" i="67"/>
  <c r="R1399" i="67"/>
  <c r="R1417" i="67"/>
  <c r="R1537" i="67"/>
  <c r="R1553" i="67"/>
  <c r="AW1386" i="67"/>
  <c r="AW1400" i="67"/>
  <c r="AW1418" i="67"/>
  <c r="AW1538" i="67"/>
  <c r="AW1554" i="67"/>
  <c r="AI964" i="67"/>
  <c r="AI946" i="67"/>
  <c r="AI1097" i="67"/>
  <c r="AI1115" i="67"/>
  <c r="AI1409" i="67"/>
  <c r="AI1427" i="67"/>
  <c r="O964" i="67"/>
  <c r="O946" i="67"/>
  <c r="O1097" i="67"/>
  <c r="O1115" i="67"/>
  <c r="O1409" i="67"/>
  <c r="O1427" i="67"/>
  <c r="AP946" i="67"/>
  <c r="AP964" i="67"/>
  <c r="AP1097" i="67"/>
  <c r="AP1115" i="67"/>
  <c r="AP1409" i="67"/>
  <c r="AP1427" i="67"/>
  <c r="M1064" i="67"/>
  <c r="M1048" i="67"/>
  <c r="M944" i="67"/>
  <c r="M962" i="67"/>
  <c r="M1095" i="67"/>
  <c r="M1113" i="67"/>
  <c r="M1215" i="67"/>
  <c r="M793" i="67"/>
  <c r="M1199" i="67"/>
  <c r="M1425" i="67"/>
  <c r="M1407" i="67"/>
  <c r="M1545" i="67"/>
  <c r="M1561" i="67"/>
  <c r="L964" i="67"/>
  <c r="L946" i="67"/>
  <c r="L1097" i="67"/>
  <c r="L1115" i="67"/>
  <c r="L1409" i="67"/>
  <c r="L1427" i="67"/>
  <c r="AW1064" i="67"/>
  <c r="AW1048" i="67"/>
  <c r="AW962" i="67"/>
  <c r="AW944" i="67"/>
  <c r="AW1095" i="67"/>
  <c r="AW1113" i="67"/>
  <c r="AW1215" i="67"/>
  <c r="AW1199" i="67"/>
  <c r="AW1407" i="67"/>
  <c r="AW1425" i="67"/>
  <c r="AW1545" i="67"/>
  <c r="AW1561" i="67"/>
  <c r="AW793" i="67"/>
  <c r="AD1064" i="67"/>
  <c r="AD1048" i="67"/>
  <c r="AD962" i="67"/>
  <c r="AD944" i="67"/>
  <c r="AD1095" i="67"/>
  <c r="AD1113" i="67"/>
  <c r="AD1215" i="67"/>
  <c r="AD1199" i="67"/>
  <c r="AD1407" i="67"/>
  <c r="AD1425" i="67"/>
  <c r="AD1545" i="67"/>
  <c r="AD1561" i="67"/>
  <c r="AD793" i="67"/>
  <c r="AT962" i="67"/>
  <c r="AT944" i="67"/>
  <c r="AT1064" i="67"/>
  <c r="AT1048" i="67"/>
  <c r="AT1095" i="67"/>
  <c r="AT1113" i="67"/>
  <c r="AT1215" i="67"/>
  <c r="AT1199" i="67"/>
  <c r="AT1407" i="67"/>
  <c r="AT1425" i="67"/>
  <c r="AT1545" i="67"/>
  <c r="AT1561" i="67"/>
  <c r="AT793" i="67"/>
  <c r="U1380" i="67"/>
  <c r="U1394" i="67"/>
  <c r="U931" i="67" s="1"/>
  <c r="U1412" i="67"/>
  <c r="U949" i="67" s="1"/>
  <c r="U1532" i="67"/>
  <c r="U1035" i="67" s="1"/>
  <c r="U1548" i="67"/>
  <c r="U1051" i="67" s="1"/>
  <c r="AW1393" i="67"/>
  <c r="AW930" i="67" s="1"/>
  <c r="AW1379" i="67"/>
  <c r="AW916" i="67" s="1"/>
  <c r="AW1411" i="67"/>
  <c r="AW948" i="67" s="1"/>
  <c r="AW1531" i="67"/>
  <c r="AW1034" i="67" s="1"/>
  <c r="AW1547" i="67"/>
  <c r="AW1050" i="67" s="1"/>
  <c r="AV1380" i="67"/>
  <c r="AV1394" i="67"/>
  <c r="AV931" i="67" s="1"/>
  <c r="AV1412" i="67"/>
  <c r="AV949" i="67" s="1"/>
  <c r="AV1532" i="67"/>
  <c r="AV1035" i="67" s="1"/>
  <c r="AV1548" i="67"/>
  <c r="AV1051" i="67" s="1"/>
  <c r="AP1381" i="67"/>
  <c r="AP1395" i="67"/>
  <c r="AP932" i="67" s="1"/>
  <c r="AP1413" i="67"/>
  <c r="AP950" i="67" s="1"/>
  <c r="AP1533" i="67"/>
  <c r="AP1036" i="67" s="1"/>
  <c r="AP1549" i="67"/>
  <c r="AP1052" i="67" s="1"/>
  <c r="AM1379" i="67"/>
  <c r="AM916" i="67" s="1"/>
  <c r="AM1393" i="67"/>
  <c r="AM930" i="67" s="1"/>
  <c r="AM1411" i="67"/>
  <c r="AM948" i="67" s="1"/>
  <c r="AM1547" i="67"/>
  <c r="AM1050" i="67" s="1"/>
  <c r="AM1531" i="67"/>
  <c r="AM1034" i="67" s="1"/>
  <c r="AG1380" i="67"/>
  <c r="AG1394" i="67"/>
  <c r="AG931" i="67" s="1"/>
  <c r="AG1412" i="67"/>
  <c r="AG949" i="67" s="1"/>
  <c r="AG1548" i="67"/>
  <c r="AG1051" i="67" s="1"/>
  <c r="AG1532" i="67"/>
  <c r="AG1035" i="67" s="1"/>
  <c r="T1379" i="67"/>
  <c r="T916" i="67" s="1"/>
  <c r="T1393" i="67"/>
  <c r="T930" i="67" s="1"/>
  <c r="T1411" i="67"/>
  <c r="T948" i="67" s="1"/>
  <c r="T1531" i="67"/>
  <c r="T1034" i="67" s="1"/>
  <c r="T1547" i="67"/>
  <c r="T1050" i="67" s="1"/>
  <c r="AK1395" i="67"/>
  <c r="AK932" i="67" s="1"/>
  <c r="AK1381" i="67"/>
  <c r="AK1413" i="67"/>
  <c r="AK950" i="67" s="1"/>
  <c r="AK1533" i="67"/>
  <c r="AK1036" i="67" s="1"/>
  <c r="AK1549" i="67"/>
  <c r="AK1052" i="67" s="1"/>
  <c r="N1380" i="67"/>
  <c r="N1394" i="67"/>
  <c r="N931" i="67" s="1"/>
  <c r="N1412" i="67"/>
  <c r="N949" i="67" s="1"/>
  <c r="N1532" i="67"/>
  <c r="N1035" i="67" s="1"/>
  <c r="N1548" i="67"/>
  <c r="N1051" i="67" s="1"/>
  <c r="M1381" i="67"/>
  <c r="M1413" i="67"/>
  <c r="M950" i="67" s="1"/>
  <c r="M1395" i="67"/>
  <c r="M932" i="67" s="1"/>
  <c r="M1533" i="67"/>
  <c r="M1036" i="67" s="1"/>
  <c r="M1549" i="67"/>
  <c r="M1052" i="67" s="1"/>
  <c r="S1381" i="67"/>
  <c r="S1395" i="67"/>
  <c r="S932" i="67" s="1"/>
  <c r="S1413" i="67"/>
  <c r="S950" i="67" s="1"/>
  <c r="S1549" i="67"/>
  <c r="S1052" i="67" s="1"/>
  <c r="S1533" i="67"/>
  <c r="S1036" i="67" s="1"/>
  <c r="Y1381" i="67"/>
  <c r="Y1395" i="67"/>
  <c r="Y932" i="67" s="1"/>
  <c r="Y1533" i="67"/>
  <c r="Y1036" i="67" s="1"/>
  <c r="Y1413" i="67"/>
  <c r="Y950" i="67" s="1"/>
  <c r="Y1549" i="67"/>
  <c r="Y1052" i="67" s="1"/>
  <c r="AC1393" i="67"/>
  <c r="AC930" i="67" s="1"/>
  <c r="AC1379" i="67"/>
  <c r="AC916" i="67" s="1"/>
  <c r="AC1411" i="67"/>
  <c r="AC948" i="67" s="1"/>
  <c r="AC1531" i="67"/>
  <c r="AC1034" i="67" s="1"/>
  <c r="AC1547" i="67"/>
  <c r="AC1050" i="67" s="1"/>
  <c r="AT1380" i="67"/>
  <c r="AT1394" i="67"/>
  <c r="AT931" i="67" s="1"/>
  <c r="AT1412" i="67"/>
  <c r="AT949" i="67" s="1"/>
  <c r="AT1532" i="67"/>
  <c r="AT1035" i="67" s="1"/>
  <c r="AT1548" i="67"/>
  <c r="AT1051" i="67" s="1"/>
  <c r="N1065" i="67"/>
  <c r="N1408" i="67"/>
  <c r="N1426" i="67"/>
  <c r="N1546" i="67"/>
  <c r="N1562" i="67"/>
  <c r="AE1410" i="67"/>
  <c r="AE1428" i="67"/>
  <c r="U1065" i="67"/>
  <c r="U1408" i="67"/>
  <c r="U1426" i="67"/>
  <c r="U1546" i="67"/>
  <c r="U1562" i="67"/>
  <c r="AB1065" i="67"/>
  <c r="AB1408" i="67"/>
  <c r="AB1426" i="67"/>
  <c r="AB1546" i="67"/>
  <c r="AB1562" i="67"/>
  <c r="AN1410" i="67"/>
  <c r="AN1428" i="67"/>
  <c r="AJ1065" i="67"/>
  <c r="AJ1408" i="67"/>
  <c r="AJ1426" i="67"/>
  <c r="AJ1546" i="67"/>
  <c r="AJ1562" i="67"/>
  <c r="Y1410" i="67"/>
  <c r="Y1428" i="67"/>
  <c r="AP1410" i="67"/>
  <c r="AP1428" i="67"/>
  <c r="L1065" i="67"/>
  <c r="L1408" i="67"/>
  <c r="L1426" i="67"/>
  <c r="L1546" i="67"/>
  <c r="L1562" i="67"/>
  <c r="L1385" i="67"/>
  <c r="L1399" i="67"/>
  <c r="L1417" i="67"/>
  <c r="L1537" i="67"/>
  <c r="L1553" i="67"/>
  <c r="AO1386" i="67"/>
  <c r="AO1400" i="67"/>
  <c r="AO1418" i="67"/>
  <c r="AO1538" i="67"/>
  <c r="AO1554" i="67"/>
  <c r="AC1386" i="67"/>
  <c r="AC1400" i="67"/>
  <c r="AC1418" i="67"/>
  <c r="AC1538" i="67"/>
  <c r="AC1554" i="67"/>
  <c r="AG1386" i="67"/>
  <c r="AG1400" i="67"/>
  <c r="AG1418" i="67"/>
  <c r="AG1538" i="67"/>
  <c r="AG1554" i="67"/>
  <c r="AV1386" i="67"/>
  <c r="AV1400" i="67"/>
  <c r="AV1418" i="67"/>
  <c r="AV1538" i="67"/>
  <c r="AV1554" i="67"/>
  <c r="AA1386" i="67"/>
  <c r="AA1400" i="67"/>
  <c r="AA1418" i="67"/>
  <c r="AA1538" i="67"/>
  <c r="AA1554" i="67"/>
  <c r="AR1386" i="67"/>
  <c r="AR1400" i="67"/>
  <c r="AR1418" i="67"/>
  <c r="AR1554" i="67"/>
  <c r="AR1538" i="67"/>
  <c r="X1386" i="67"/>
  <c r="X1400" i="67"/>
  <c r="X1418" i="67"/>
  <c r="X1538" i="67"/>
  <c r="X1554" i="67"/>
  <c r="AT1386" i="67"/>
  <c r="AT1400" i="67"/>
  <c r="AT1418" i="67"/>
  <c r="AT1538" i="67"/>
  <c r="AT1554" i="67"/>
  <c r="AE1386" i="67"/>
  <c r="AE1400" i="67"/>
  <c r="AE1418" i="67"/>
  <c r="AE1538" i="67"/>
  <c r="AE1554" i="67"/>
  <c r="AD1386" i="67"/>
  <c r="AD1400" i="67"/>
  <c r="AD1418" i="67"/>
  <c r="AD1538" i="67"/>
  <c r="AD1554" i="67"/>
  <c r="N1386" i="67"/>
  <c r="N1400" i="67"/>
  <c r="N1418" i="67"/>
  <c r="N1538" i="67"/>
  <c r="N1554" i="67"/>
  <c r="AB1386" i="67"/>
  <c r="AB1400" i="67"/>
  <c r="AB1418" i="67"/>
  <c r="AB1554" i="67"/>
  <c r="AB1538" i="67"/>
  <c r="R1386" i="67"/>
  <c r="R1400" i="67"/>
  <c r="R1418" i="67"/>
  <c r="R1538" i="67"/>
  <c r="R1554" i="67"/>
  <c r="AI1386" i="67"/>
  <c r="AI1400" i="67"/>
  <c r="AI1538" i="67"/>
  <c r="AI1554" i="67"/>
  <c r="AI1418" i="67"/>
  <c r="W1418" i="67"/>
  <c r="W1400" i="67"/>
  <c r="W1386" i="67"/>
  <c r="W1538" i="67"/>
  <c r="W1554" i="67"/>
  <c r="Z1386" i="67"/>
  <c r="Z1400" i="67"/>
  <c r="Z1418" i="67"/>
  <c r="Z1538" i="67"/>
  <c r="Z1554" i="67"/>
  <c r="AW1385" i="67"/>
  <c r="AW1399" i="67"/>
  <c r="AW1417" i="67"/>
  <c r="AW1537" i="67"/>
  <c r="AW1553" i="67"/>
  <c r="AJ1386" i="67"/>
  <c r="AJ1400" i="67"/>
  <c r="AJ1418" i="67"/>
  <c r="AJ1554" i="67"/>
  <c r="AJ1538" i="67"/>
  <c r="AL1386" i="67"/>
  <c r="AL1400" i="67"/>
  <c r="AL1418" i="67"/>
  <c r="AL1538" i="67"/>
  <c r="AL1554" i="67"/>
  <c r="Z1064" i="67"/>
  <c r="Z1048" i="67"/>
  <c r="Z962" i="67"/>
  <c r="Z944" i="67"/>
  <c r="Z1095" i="67"/>
  <c r="Z1113" i="67"/>
  <c r="Z1215" i="67"/>
  <c r="Z1199" i="67"/>
  <c r="Z1407" i="67"/>
  <c r="Z1425" i="67"/>
  <c r="Z1545" i="67"/>
  <c r="Z1561" i="67"/>
  <c r="Z793" i="67"/>
  <c r="AI962" i="67"/>
  <c r="AI1064" i="67"/>
  <c r="AI1048" i="67"/>
  <c r="AI944" i="67"/>
  <c r="AI1095" i="67"/>
  <c r="AI1199" i="67"/>
  <c r="AI1215" i="67"/>
  <c r="AI1113" i="67"/>
  <c r="AI1407" i="67"/>
  <c r="AI1425" i="67"/>
  <c r="AI1545" i="67"/>
  <c r="AI1561" i="67"/>
  <c r="AI793" i="67"/>
  <c r="AO1064" i="67"/>
  <c r="AO1048" i="67"/>
  <c r="AO962" i="67"/>
  <c r="AO944" i="67"/>
  <c r="AO1095" i="67"/>
  <c r="AO1113" i="67"/>
  <c r="AO1215" i="67"/>
  <c r="AO1199" i="67"/>
  <c r="AO1407" i="67"/>
  <c r="AO1425" i="67"/>
  <c r="AO1545" i="67"/>
  <c r="AO1561" i="67"/>
  <c r="AO793" i="67"/>
  <c r="AE946" i="67"/>
  <c r="AE964" i="67"/>
  <c r="AE1097" i="67"/>
  <c r="AE1115" i="67"/>
  <c r="AE1409" i="67"/>
  <c r="AE1427" i="67"/>
  <c r="O962" i="67"/>
  <c r="O944" i="67"/>
  <c r="O1064" i="67"/>
  <c r="O1048" i="67"/>
  <c r="O1095" i="67"/>
  <c r="O1199" i="67"/>
  <c r="O1113" i="67"/>
  <c r="O1215" i="67"/>
  <c r="O793" i="67"/>
  <c r="O1407" i="67"/>
  <c r="O1425" i="67"/>
  <c r="O1545" i="67"/>
  <c r="O1561" i="67"/>
  <c r="AB946" i="67"/>
  <c r="AB964" i="67"/>
  <c r="AB1097" i="67"/>
  <c r="AB1115" i="67"/>
  <c r="AB1409" i="67"/>
  <c r="AB1427" i="67"/>
  <c r="AH1064" i="67"/>
  <c r="AH1048" i="67"/>
  <c r="AH962" i="67"/>
  <c r="AH944" i="67"/>
  <c r="AH1095" i="67"/>
  <c r="AH1113" i="67"/>
  <c r="AH1215" i="67"/>
  <c r="AH1199" i="67"/>
  <c r="AH1407" i="67"/>
  <c r="AH1425" i="67"/>
  <c r="AH1545" i="67"/>
  <c r="AH1561" i="67"/>
  <c r="AH793" i="67"/>
  <c r="AP1064" i="67"/>
  <c r="AP1048" i="67"/>
  <c r="AP962" i="67"/>
  <c r="AP944" i="67"/>
  <c r="AP1095" i="67"/>
  <c r="AP1113" i="67"/>
  <c r="AP1215" i="67"/>
  <c r="AP1199" i="67"/>
  <c r="AP1407" i="67"/>
  <c r="AP1425" i="67"/>
  <c r="AP1561" i="67"/>
  <c r="AP1545" i="67"/>
  <c r="AP793" i="67"/>
  <c r="AU964" i="67"/>
  <c r="AU946" i="67"/>
  <c r="AU1097" i="67"/>
  <c r="AU1115" i="67"/>
  <c r="AU1409" i="67"/>
  <c r="AU1427" i="67"/>
  <c r="AK964" i="67"/>
  <c r="AK946" i="67"/>
  <c r="AK1097" i="67"/>
  <c r="AK1115" i="67"/>
  <c r="AK1409" i="67"/>
  <c r="AK1427" i="67"/>
  <c r="R964" i="67"/>
  <c r="R946" i="67"/>
  <c r="R1115" i="67"/>
  <c r="R1097" i="67"/>
  <c r="R1409" i="67"/>
  <c r="R1427" i="67"/>
  <c r="P1064" i="67"/>
  <c r="P1048" i="67"/>
  <c r="P962" i="67"/>
  <c r="P944" i="67"/>
  <c r="P1095" i="67"/>
  <c r="P1113" i="67"/>
  <c r="P1199" i="67"/>
  <c r="P1215" i="67"/>
  <c r="P793" i="67"/>
  <c r="P1407" i="67"/>
  <c r="P1425" i="67"/>
  <c r="P1545" i="67"/>
  <c r="P1561" i="67"/>
  <c r="AA964" i="67"/>
  <c r="AA946" i="67"/>
  <c r="AA1097" i="67"/>
  <c r="AA1115" i="67"/>
  <c r="AA1409" i="67"/>
  <c r="AA1427" i="67"/>
  <c r="AL964" i="67"/>
  <c r="AL946" i="67"/>
  <c r="AL1115" i="67"/>
  <c r="AL1097" i="67"/>
  <c r="AL1409" i="67"/>
  <c r="AL1427" i="67"/>
  <c r="AN1064" i="67"/>
  <c r="AN1048" i="67"/>
  <c r="AN962" i="67"/>
  <c r="AN944" i="67"/>
  <c r="AN1113" i="67"/>
  <c r="AN1095" i="67"/>
  <c r="AN1199" i="67"/>
  <c r="AN1215" i="67"/>
  <c r="AN1407" i="67"/>
  <c r="AN1425" i="67"/>
  <c r="AN1545" i="67"/>
  <c r="AN1561" i="67"/>
  <c r="AN793" i="67"/>
  <c r="V964" i="67"/>
  <c r="V946" i="67"/>
  <c r="V1115" i="67"/>
  <c r="V1097" i="67"/>
  <c r="V1409" i="67"/>
  <c r="V1427" i="67"/>
  <c r="N946" i="67"/>
  <c r="N964" i="67"/>
  <c r="N1115" i="67"/>
  <c r="N1097" i="67"/>
  <c r="N1409" i="67"/>
  <c r="N1427" i="67"/>
  <c r="AF1064" i="67"/>
  <c r="AF1048" i="67"/>
  <c r="AF944" i="67"/>
  <c r="AF962" i="67"/>
  <c r="AF1095" i="67"/>
  <c r="AF1113" i="67"/>
  <c r="AF1199" i="67"/>
  <c r="AF1215" i="67"/>
  <c r="AF1407" i="67"/>
  <c r="AF1425" i="67"/>
  <c r="AF1545" i="67"/>
  <c r="AF1561" i="67"/>
  <c r="AF793" i="67"/>
  <c r="S946" i="67"/>
  <c r="S964" i="67"/>
  <c r="S1097" i="67"/>
  <c r="S1115" i="67"/>
  <c r="S1409" i="67"/>
  <c r="S1427" i="67"/>
  <c r="X1380" i="67"/>
  <c r="X1394" i="67"/>
  <c r="X931" i="67" s="1"/>
  <c r="X1412" i="67"/>
  <c r="X949" i="67" s="1"/>
  <c r="X1532" i="67"/>
  <c r="X1035" i="67" s="1"/>
  <c r="X1548" i="67"/>
  <c r="X1051" i="67" s="1"/>
  <c r="U1379" i="67"/>
  <c r="U916" i="67" s="1"/>
  <c r="U1393" i="67"/>
  <c r="U930" i="67" s="1"/>
  <c r="U1531" i="67"/>
  <c r="U1034" i="67" s="1"/>
  <c r="U1411" i="67"/>
  <c r="U948" i="67" s="1"/>
  <c r="U1547" i="67"/>
  <c r="U1050" i="67" s="1"/>
  <c r="L1379" i="67"/>
  <c r="L916" i="67" s="1"/>
  <c r="L1393" i="67"/>
  <c r="L930" i="67" s="1"/>
  <c r="L1411" i="67"/>
  <c r="L948" i="67" s="1"/>
  <c r="L1531" i="67"/>
  <c r="L1034" i="67" s="1"/>
  <c r="L1547" i="67"/>
  <c r="L1050" i="67" s="1"/>
  <c r="Z1381" i="67"/>
  <c r="Z1395" i="67"/>
  <c r="Z932" i="67" s="1"/>
  <c r="Z1413" i="67"/>
  <c r="Z950" i="67" s="1"/>
  <c r="Z1533" i="67"/>
  <c r="Z1036" i="67" s="1"/>
  <c r="Z1549" i="67"/>
  <c r="Z1052" i="67" s="1"/>
  <c r="AL1379" i="67"/>
  <c r="AL916" i="67" s="1"/>
  <c r="AL1393" i="67"/>
  <c r="AL930" i="67" s="1"/>
  <c r="AL1411" i="67"/>
  <c r="AL948" i="67" s="1"/>
  <c r="AL1531" i="67"/>
  <c r="AL1034" i="67" s="1"/>
  <c r="AL1547" i="67"/>
  <c r="AL1050" i="67" s="1"/>
  <c r="AV1381" i="67"/>
  <c r="AV1395" i="67"/>
  <c r="AV932" i="67" s="1"/>
  <c r="AV1413" i="67"/>
  <c r="AV950" i="67" s="1"/>
  <c r="AV1533" i="67"/>
  <c r="AV1036" i="67" s="1"/>
  <c r="AV1549" i="67"/>
  <c r="AV1052" i="67" s="1"/>
  <c r="AB1380" i="67"/>
  <c r="AB1394" i="67"/>
  <c r="AB931" i="67" s="1"/>
  <c r="AB1412" i="67"/>
  <c r="AB949" i="67" s="1"/>
  <c r="AB1532" i="67"/>
  <c r="AB1035" i="67" s="1"/>
  <c r="AB1548" i="67"/>
  <c r="AB1051" i="67" s="1"/>
  <c r="AA1381" i="67"/>
  <c r="AA1395" i="67"/>
  <c r="AA932" i="67" s="1"/>
  <c r="AA1413" i="67"/>
  <c r="AA950" i="67" s="1"/>
  <c r="AA1549" i="67"/>
  <c r="AA1052" i="67" s="1"/>
  <c r="AA1533" i="67"/>
  <c r="AA1036" i="67" s="1"/>
  <c r="AP1379" i="67"/>
  <c r="AP916" i="67" s="1"/>
  <c r="AP1393" i="67"/>
  <c r="AP930" i="67" s="1"/>
  <c r="AP1411" i="67"/>
  <c r="AP948" i="67" s="1"/>
  <c r="AP1531" i="67"/>
  <c r="AP1034" i="67" s="1"/>
  <c r="AP1547" i="67"/>
  <c r="AP1050" i="67" s="1"/>
  <c r="AH1380" i="67"/>
  <c r="AH1394" i="67"/>
  <c r="AH931" i="67" s="1"/>
  <c r="AH1412" i="67"/>
  <c r="AH949" i="67" s="1"/>
  <c r="AH1532" i="67"/>
  <c r="AH1035" i="67" s="1"/>
  <c r="AH1548" i="67"/>
  <c r="AH1051" i="67" s="1"/>
  <c r="P1380" i="67"/>
  <c r="P1394" i="67"/>
  <c r="P931" i="67" s="1"/>
  <c r="P1412" i="67"/>
  <c r="P949" i="67" s="1"/>
  <c r="P1532" i="67"/>
  <c r="P1035" i="67" s="1"/>
  <c r="P1548" i="67"/>
  <c r="P1051" i="67" s="1"/>
  <c r="Q1380" i="67"/>
  <c r="Q1394" i="67"/>
  <c r="Q931" i="67" s="1"/>
  <c r="Q1412" i="67"/>
  <c r="Q949" i="67" s="1"/>
  <c r="Q1548" i="67"/>
  <c r="Q1051" i="67" s="1"/>
  <c r="Q1532" i="67"/>
  <c r="Q1035" i="67" s="1"/>
  <c r="AE1381" i="67"/>
  <c r="AE1395" i="67"/>
  <c r="AE932" i="67" s="1"/>
  <c r="AE1413" i="67"/>
  <c r="AE950" i="67" s="1"/>
  <c r="AE1533" i="67"/>
  <c r="AE1036" i="67" s="1"/>
  <c r="AE1549" i="67"/>
  <c r="AE1052" i="67" s="1"/>
  <c r="AU1381" i="67"/>
  <c r="AU1395" i="67"/>
  <c r="AU932" i="67" s="1"/>
  <c r="AU1413" i="67"/>
  <c r="AU950" i="67" s="1"/>
  <c r="AU1533" i="67"/>
  <c r="AU1036" i="67" s="1"/>
  <c r="AU1549" i="67"/>
  <c r="AU1052" i="67" s="1"/>
  <c r="T1380" i="67"/>
  <c r="T1394" i="67"/>
  <c r="T931" i="67" s="1"/>
  <c r="T1412" i="67"/>
  <c r="T949" i="67" s="1"/>
  <c r="T1532" i="67"/>
  <c r="T1035" i="67" s="1"/>
  <c r="T1548" i="67"/>
  <c r="T1051" i="67" s="1"/>
  <c r="AJ1379" i="67"/>
  <c r="AJ916" i="67" s="1"/>
  <c r="AJ1393" i="67"/>
  <c r="AJ930" i="67" s="1"/>
  <c r="AJ1411" i="67"/>
  <c r="AJ948" i="67" s="1"/>
  <c r="AJ1531" i="67"/>
  <c r="AJ1034" i="67" s="1"/>
  <c r="AJ1547" i="67"/>
  <c r="AJ1050" i="67" s="1"/>
  <c r="AK1379" i="67"/>
  <c r="AK916" i="67" s="1"/>
  <c r="AK1393" i="67"/>
  <c r="AK930" i="67" s="1"/>
  <c r="AK1531" i="67"/>
  <c r="AK1034" i="67" s="1"/>
  <c r="AK1411" i="67"/>
  <c r="AK948" i="67" s="1"/>
  <c r="AK1547" i="67"/>
  <c r="AK1050" i="67" s="1"/>
  <c r="AD1379" i="67"/>
  <c r="AD916" i="67" s="1"/>
  <c r="AD1393" i="67"/>
  <c r="AD930" i="67" s="1"/>
  <c r="AD1411" i="67"/>
  <c r="AD948" i="67" s="1"/>
  <c r="AD1531" i="67"/>
  <c r="AD1034" i="67" s="1"/>
  <c r="AD1547" i="67"/>
  <c r="AD1050" i="67" s="1"/>
  <c r="AN1379" i="67"/>
  <c r="AN916" i="67" s="1"/>
  <c r="AN1393" i="67"/>
  <c r="AN930" i="67" s="1"/>
  <c r="AN1411" i="67"/>
  <c r="AN948" i="67" s="1"/>
  <c r="AN1531" i="67"/>
  <c r="AN1034" i="67" s="1"/>
  <c r="AN1547" i="67"/>
  <c r="AN1050" i="67" s="1"/>
  <c r="AS1381" i="67"/>
  <c r="AS1395" i="67"/>
  <c r="AS932" i="67" s="1"/>
  <c r="AS1413" i="67"/>
  <c r="AS950" i="67" s="1"/>
  <c r="AS1533" i="67"/>
  <c r="AS1036" i="67" s="1"/>
  <c r="AS1549" i="67"/>
  <c r="AS1052" i="67" s="1"/>
  <c r="O1379" i="67"/>
  <c r="O916" i="67" s="1"/>
  <c r="O1393" i="67"/>
  <c r="O930" i="67" s="1"/>
  <c r="O1411" i="67"/>
  <c r="O948" i="67" s="1"/>
  <c r="O1547" i="67"/>
  <c r="O1050" i="67" s="1"/>
  <c r="O1531" i="67"/>
  <c r="O1034" i="67" s="1"/>
  <c r="AF1380" i="67"/>
  <c r="AF1394" i="67"/>
  <c r="AF931" i="67" s="1"/>
  <c r="AF1412" i="67"/>
  <c r="AF949" i="67" s="1"/>
  <c r="AF1532" i="67"/>
  <c r="AF1035" i="67" s="1"/>
  <c r="AF1548" i="67"/>
  <c r="AF1051" i="67" s="1"/>
  <c r="AQ1381" i="67"/>
  <c r="AQ1395" i="67"/>
  <c r="AQ932" i="67" s="1"/>
  <c r="AQ1413" i="67"/>
  <c r="AQ950" i="67" s="1"/>
  <c r="AQ1549" i="67"/>
  <c r="AQ1052" i="67" s="1"/>
  <c r="AQ1533" i="67"/>
  <c r="AQ1036" i="67" s="1"/>
  <c r="S1379" i="67"/>
  <c r="S916" i="67" s="1"/>
  <c r="S1393" i="67"/>
  <c r="S930" i="67" s="1"/>
  <c r="S1411" i="67"/>
  <c r="S948" i="67" s="1"/>
  <c r="S1547" i="67"/>
  <c r="S1050" i="67" s="1"/>
  <c r="S1531" i="67"/>
  <c r="S1034" i="67" s="1"/>
  <c r="V1380" i="67"/>
  <c r="V1394" i="67"/>
  <c r="V931" i="67" s="1"/>
  <c r="V1412" i="67"/>
  <c r="V949" i="67" s="1"/>
  <c r="V1532" i="67"/>
  <c r="V1035" i="67" s="1"/>
  <c r="V1548" i="67"/>
  <c r="V1051" i="67" s="1"/>
  <c r="Y1380" i="67"/>
  <c r="Y1394" i="67"/>
  <c r="Y931" i="67" s="1"/>
  <c r="Y1412" i="67"/>
  <c r="Y949" i="67" s="1"/>
  <c r="Y1548" i="67"/>
  <c r="Y1051" i="67" s="1"/>
  <c r="Y1532" i="67"/>
  <c r="Y1035" i="67" s="1"/>
  <c r="AC1381" i="67"/>
  <c r="AC1395" i="67"/>
  <c r="AC932" i="67" s="1"/>
  <c r="AC1413" i="67"/>
  <c r="AC950" i="67" s="1"/>
  <c r="AC1533" i="67"/>
  <c r="AC1036" i="67" s="1"/>
  <c r="AC1549" i="67"/>
  <c r="AC1052" i="67" s="1"/>
  <c r="W1381" i="67"/>
  <c r="W1395" i="67"/>
  <c r="W932" i="67" s="1"/>
  <c r="W1413" i="67"/>
  <c r="W950" i="67" s="1"/>
  <c r="W1549" i="67"/>
  <c r="W1052" i="67" s="1"/>
  <c r="W1533" i="67"/>
  <c r="W1036" i="67" s="1"/>
  <c r="AT1379" i="67"/>
  <c r="AT916" i="67" s="1"/>
  <c r="AT1393" i="67"/>
  <c r="AT930" i="67" s="1"/>
  <c r="AT1411" i="67"/>
  <c r="AT948" i="67" s="1"/>
  <c r="AT1531" i="67"/>
  <c r="AT1034" i="67" s="1"/>
  <c r="AT1547" i="67"/>
  <c r="AT1050" i="67" s="1"/>
  <c r="AA1065" i="67"/>
  <c r="AA1408" i="67"/>
  <c r="AA1426" i="67"/>
  <c r="AA1546" i="67"/>
  <c r="AA1562" i="67"/>
  <c r="AR1410" i="67"/>
  <c r="AR1428" i="67"/>
  <c r="AH1065" i="67"/>
  <c r="AH1408" i="67"/>
  <c r="AH1426" i="67"/>
  <c r="AH1546" i="67"/>
  <c r="AH1562" i="67"/>
  <c r="S1065" i="67"/>
  <c r="S1408" i="67"/>
  <c r="S1426" i="67"/>
  <c r="S1546" i="67"/>
  <c r="S1562" i="67"/>
  <c r="AD1065" i="67"/>
  <c r="AD1408" i="67"/>
  <c r="AD1426" i="67"/>
  <c r="AD1546" i="67"/>
  <c r="AD1562" i="67"/>
  <c r="Z1065" i="67"/>
  <c r="Z1408" i="67"/>
  <c r="Z1426" i="67"/>
  <c r="Z1546" i="67"/>
  <c r="Z1562" i="67"/>
  <c r="T1065" i="67"/>
  <c r="T1408" i="67"/>
  <c r="T1426" i="67"/>
  <c r="T1546" i="67"/>
  <c r="T1562" i="67"/>
  <c r="AK1065" i="67"/>
  <c r="AK1408" i="67"/>
  <c r="AK1426" i="67"/>
  <c r="AK1546" i="67"/>
  <c r="AK1562" i="67"/>
  <c r="AS1065" i="67"/>
  <c r="AS1408" i="67"/>
  <c r="AS1426" i="67"/>
  <c r="AS1546" i="67"/>
  <c r="AS1562" i="67"/>
  <c r="AV1410" i="67"/>
  <c r="AV1428" i="67"/>
  <c r="O1410" i="67"/>
  <c r="O1428" i="67"/>
  <c r="V1410" i="67"/>
  <c r="V1428" i="67"/>
  <c r="M1410" i="67"/>
  <c r="M1428" i="67"/>
  <c r="K1410" i="67"/>
  <c r="K1428" i="67"/>
  <c r="K947" i="67"/>
  <c r="K1116" i="67"/>
  <c r="K965" i="67"/>
  <c r="K1098" i="67"/>
  <c r="X1410" i="67"/>
  <c r="X1428" i="67"/>
  <c r="AP1065" i="67"/>
  <c r="AP1408" i="67"/>
  <c r="AP1426" i="67"/>
  <c r="AP1546" i="67"/>
  <c r="AP1562" i="67"/>
  <c r="AU1065" i="67"/>
  <c r="AU1408" i="67"/>
  <c r="AU1426" i="67"/>
  <c r="AU1546" i="67"/>
  <c r="AU1562" i="67"/>
  <c r="L1410" i="67"/>
  <c r="L1428" i="67"/>
  <c r="AL1410" i="67"/>
  <c r="AL1428" i="67"/>
  <c r="K946" i="67"/>
  <c r="K964" i="67"/>
  <c r="K1097" i="67"/>
  <c r="K1115" i="67"/>
  <c r="K1409" i="67"/>
  <c r="K1427" i="67"/>
  <c r="K357" i="67"/>
  <c r="K51" i="67"/>
  <c r="K812" i="67"/>
  <c r="K661" i="67"/>
  <c r="K204" i="67"/>
  <c r="K509" i="67"/>
  <c r="AU1386" i="67"/>
  <c r="AU1400" i="67"/>
  <c r="AU1418" i="67"/>
  <c r="AU1538" i="67"/>
  <c r="AU1554" i="67"/>
  <c r="O1386" i="67"/>
  <c r="O1400" i="67"/>
  <c r="O1418" i="67"/>
  <c r="O1538" i="67"/>
  <c r="O1554" i="67"/>
  <c r="AP1386" i="67"/>
  <c r="AP1400" i="67"/>
  <c r="AP1418" i="67"/>
  <c r="AP1538" i="67"/>
  <c r="AP1554" i="67"/>
  <c r="AN1386" i="67"/>
  <c r="AN1400" i="67"/>
  <c r="AN1418" i="67"/>
  <c r="AN1538" i="67"/>
  <c r="AN1554" i="67"/>
  <c r="AS1386" i="67"/>
  <c r="AS1400" i="67"/>
  <c r="AS1418" i="67"/>
  <c r="AS1538" i="67"/>
  <c r="AS1554" i="67"/>
  <c r="U1386" i="67"/>
  <c r="U1400" i="67"/>
  <c r="U1418" i="67"/>
  <c r="U1538" i="67"/>
  <c r="U1554" i="67"/>
  <c r="P1386" i="67"/>
  <c r="P1400" i="67"/>
  <c r="P1418" i="67"/>
  <c r="P1538" i="67"/>
  <c r="P1554" i="67"/>
  <c r="T1386" i="67"/>
  <c r="T1400" i="67"/>
  <c r="T1418" i="67"/>
  <c r="T1554" i="67"/>
  <c r="T1538" i="67"/>
  <c r="Y964" i="67"/>
  <c r="Y946" i="67"/>
  <c r="Y1097" i="67"/>
  <c r="Y1115" i="67"/>
  <c r="Y1409" i="67"/>
  <c r="Y1427" i="67"/>
  <c r="AR964" i="67"/>
  <c r="AR946" i="67"/>
  <c r="AR1097" i="67"/>
  <c r="AR1115" i="67"/>
  <c r="AR1409" i="67"/>
  <c r="AR1427" i="67"/>
  <c r="U1064" i="67"/>
  <c r="U1048" i="67"/>
  <c r="U944" i="67"/>
  <c r="U962" i="67"/>
  <c r="U1095" i="67"/>
  <c r="U1113" i="67"/>
  <c r="U1215" i="67"/>
  <c r="U1199" i="67"/>
  <c r="U1407" i="67"/>
  <c r="U1425" i="67"/>
  <c r="U1545" i="67"/>
  <c r="U1561" i="67"/>
  <c r="U793" i="67"/>
  <c r="AC1064" i="67"/>
  <c r="AC1048" i="67"/>
  <c r="AC944" i="67"/>
  <c r="AC962" i="67"/>
  <c r="AC1095" i="67"/>
  <c r="AC1113" i="67"/>
  <c r="AC1215" i="67"/>
  <c r="AC1199" i="67"/>
  <c r="AC1425" i="67"/>
  <c r="AC1407" i="67"/>
  <c r="AC1545" i="67"/>
  <c r="AC1561" i="67"/>
  <c r="AC793" i="67"/>
  <c r="M964" i="67"/>
  <c r="M946" i="67"/>
  <c r="M1097" i="67"/>
  <c r="M1115" i="67"/>
  <c r="M1409" i="67"/>
  <c r="M1427" i="67"/>
  <c r="L1064" i="67"/>
  <c r="L1048" i="67"/>
  <c r="L962" i="67"/>
  <c r="L944" i="67"/>
  <c r="L1113" i="67"/>
  <c r="L1199" i="67"/>
  <c r="L1095" i="67"/>
  <c r="L1215" i="67"/>
  <c r="L793" i="67"/>
  <c r="L1407" i="67"/>
  <c r="L1425" i="67"/>
  <c r="L1545" i="67"/>
  <c r="L1561" i="67"/>
  <c r="AW946" i="67"/>
  <c r="AW964" i="67"/>
  <c r="AW1097" i="67"/>
  <c r="AW1115" i="67"/>
  <c r="AW1427" i="67"/>
  <c r="AW1409" i="67"/>
  <c r="AD946" i="67"/>
  <c r="AD964" i="67"/>
  <c r="AD1115" i="67"/>
  <c r="AD1097" i="67"/>
  <c r="AD1409" i="67"/>
  <c r="AD1427" i="67"/>
  <c r="AT964" i="67"/>
  <c r="AT946" i="67"/>
  <c r="AT1115" i="67"/>
  <c r="AT1097" i="67"/>
  <c r="AT1409" i="67"/>
  <c r="AT1427" i="67"/>
  <c r="K1413" i="67"/>
  <c r="K950" i="67" s="1"/>
  <c r="K1381" i="67"/>
  <c r="K1549" i="67"/>
  <c r="K1052" i="67" s="1"/>
  <c r="K1533" i="67"/>
  <c r="K1036" i="67" s="1"/>
  <c r="K1395" i="67"/>
  <c r="K932" i="67" s="1"/>
  <c r="L1381" i="67"/>
  <c r="L1395" i="67"/>
  <c r="L932" i="67" s="1"/>
  <c r="L1413" i="67"/>
  <c r="L950" i="67" s="1"/>
  <c r="L1533" i="67"/>
  <c r="L1036" i="67" s="1"/>
  <c r="L1549" i="67"/>
  <c r="L1052" i="67" s="1"/>
  <c r="Z1379" i="67"/>
  <c r="Z916" i="67" s="1"/>
  <c r="Z1393" i="67"/>
  <c r="Z930" i="67" s="1"/>
  <c r="Z1411" i="67"/>
  <c r="Z948" i="67" s="1"/>
  <c r="Z1531" i="67"/>
  <c r="Z1034" i="67" s="1"/>
  <c r="Z1547" i="67"/>
  <c r="Z1050" i="67" s="1"/>
  <c r="AO1381" i="67"/>
  <c r="AO1395" i="67"/>
  <c r="AO932" i="67" s="1"/>
  <c r="AO1413" i="67"/>
  <c r="AO950" i="67" s="1"/>
  <c r="AO1533" i="67"/>
  <c r="AO1036" i="67" s="1"/>
  <c r="AO1549" i="67"/>
  <c r="AO1052" i="67" s="1"/>
  <c r="AP1380" i="67"/>
  <c r="AP1394" i="67"/>
  <c r="AP931" i="67" s="1"/>
  <c r="AP1412" i="67"/>
  <c r="AP949" i="67" s="1"/>
  <c r="AP1532" i="67"/>
  <c r="AP1035" i="67" s="1"/>
  <c r="AP1548" i="67"/>
  <c r="AP1051" i="67" s="1"/>
  <c r="AH1379" i="67"/>
  <c r="AH916" i="67" s="1"/>
  <c r="AH1393" i="67"/>
  <c r="AH930" i="67" s="1"/>
  <c r="AH1411" i="67"/>
  <c r="AH948" i="67" s="1"/>
  <c r="AH1531" i="67"/>
  <c r="AH1034" i="67" s="1"/>
  <c r="AH1547" i="67"/>
  <c r="AH1050" i="67" s="1"/>
  <c r="AG1395" i="67"/>
  <c r="AG932" i="67" s="1"/>
  <c r="AG1381" i="67"/>
  <c r="AG1413" i="67"/>
  <c r="AG950" i="67" s="1"/>
  <c r="AG1533" i="67"/>
  <c r="AG1036" i="67" s="1"/>
  <c r="AG1549" i="67"/>
  <c r="AG1052" i="67" s="1"/>
  <c r="T1381" i="67"/>
  <c r="T1395" i="67"/>
  <c r="T932" i="67" s="1"/>
  <c r="T1413" i="67"/>
  <c r="T950" i="67" s="1"/>
  <c r="T1533" i="67"/>
  <c r="T1036" i="67" s="1"/>
  <c r="T1549" i="67"/>
  <c r="T1052" i="67" s="1"/>
  <c r="AJ1380" i="67"/>
  <c r="AJ1394" i="67"/>
  <c r="AJ931" i="67" s="1"/>
  <c r="AJ1412" i="67"/>
  <c r="AJ949" i="67" s="1"/>
  <c r="AJ1532" i="67"/>
  <c r="AJ1035" i="67" s="1"/>
  <c r="AJ1548" i="67"/>
  <c r="AJ1051" i="67" s="1"/>
  <c r="N1381" i="67"/>
  <c r="N1395" i="67"/>
  <c r="N932" i="67" s="1"/>
  <c r="N1413" i="67"/>
  <c r="N950" i="67" s="1"/>
  <c r="N1533" i="67"/>
  <c r="N1036" i="67" s="1"/>
  <c r="N1549" i="67"/>
  <c r="N1052" i="67" s="1"/>
  <c r="O1381" i="67"/>
  <c r="O1395" i="67"/>
  <c r="O932" i="67" s="1"/>
  <c r="O1413" i="67"/>
  <c r="O950" i="67" s="1"/>
  <c r="O1533" i="67"/>
  <c r="O1036" i="67" s="1"/>
  <c r="O1549" i="67"/>
  <c r="O1052" i="67" s="1"/>
  <c r="AF1379" i="67"/>
  <c r="AF916" i="67" s="1"/>
  <c r="AF1393" i="67"/>
  <c r="AF930" i="67" s="1"/>
  <c r="AF1411" i="67"/>
  <c r="AF948" i="67" s="1"/>
  <c r="AF1531" i="67"/>
  <c r="AF1034" i="67" s="1"/>
  <c r="AF1547" i="67"/>
  <c r="AF1050" i="67" s="1"/>
  <c r="AR1380" i="67"/>
  <c r="AR1394" i="67"/>
  <c r="AR931" i="67" s="1"/>
  <c r="AR1412" i="67"/>
  <c r="AR949" i="67" s="1"/>
  <c r="AR1532" i="67"/>
  <c r="AR1035" i="67" s="1"/>
  <c r="AR1548" i="67"/>
  <c r="AR1051" i="67" s="1"/>
  <c r="AI1379" i="67"/>
  <c r="AI916" i="67" s="1"/>
  <c r="AI1393" i="67"/>
  <c r="AI930" i="67" s="1"/>
  <c r="AI1411" i="67"/>
  <c r="AI948" i="67" s="1"/>
  <c r="AI1547" i="67"/>
  <c r="AI1050" i="67" s="1"/>
  <c r="AI1531" i="67"/>
  <c r="AI1034" i="67" s="1"/>
  <c r="Q1065" i="67"/>
  <c r="Q1408" i="67"/>
  <c r="Q1426" i="67"/>
  <c r="Q1546" i="67"/>
  <c r="Q1562" i="67"/>
  <c r="AQ1428" i="67"/>
  <c r="AQ1410" i="67"/>
  <c r="AT1065" i="67"/>
  <c r="AT1408" i="67"/>
  <c r="AT1426" i="67"/>
  <c r="AT1546" i="67"/>
  <c r="AT1562" i="67"/>
  <c r="P1065" i="67"/>
  <c r="P1408" i="67"/>
  <c r="P1426" i="67"/>
  <c r="P1546" i="67"/>
  <c r="P1562" i="67"/>
  <c r="AC1065" i="67"/>
  <c r="AC1408" i="67"/>
  <c r="AC1426" i="67"/>
  <c r="AC1546" i="67"/>
  <c r="AC1562" i="67"/>
  <c r="AN1065" i="67"/>
  <c r="AN1408" i="67"/>
  <c r="AN1426" i="67"/>
  <c r="AN1546" i="67"/>
  <c r="AN1562" i="67"/>
  <c r="AJ1410" i="67"/>
  <c r="AJ1428" i="67"/>
  <c r="Y1065" i="67"/>
  <c r="Y1408" i="67"/>
  <c r="Y1426" i="67"/>
  <c r="Y1546" i="67"/>
  <c r="Y1562" i="67"/>
  <c r="R1410" i="67"/>
  <c r="R1428" i="67"/>
  <c r="AF1065" i="67"/>
  <c r="AF1408" i="67"/>
  <c r="AF1426" i="67"/>
  <c r="AF1546" i="67"/>
  <c r="AF1562" i="67"/>
  <c r="K153" i="67"/>
  <c r="K611" i="67"/>
  <c r="K459" i="67"/>
  <c r="K306" i="67"/>
  <c r="K763" i="67"/>
  <c r="K914" i="67"/>
  <c r="L1386" i="67"/>
  <c r="L1400" i="67"/>
  <c r="L1418" i="67"/>
  <c r="L1554" i="67"/>
  <c r="L1538" i="67"/>
  <c r="AG1385" i="67"/>
  <c r="AG1417" i="67"/>
  <c r="AG1399" i="67"/>
  <c r="AG1537" i="67"/>
  <c r="AG1553" i="67"/>
  <c r="AV1385" i="67"/>
  <c r="AV1399" i="67"/>
  <c r="AV1417" i="67"/>
  <c r="AV1537" i="67"/>
  <c r="AV1553" i="67"/>
  <c r="X1385" i="67"/>
  <c r="X1399" i="67"/>
  <c r="X1417" i="67"/>
  <c r="X1537" i="67"/>
  <c r="X1553" i="67"/>
  <c r="AD1385" i="67"/>
  <c r="AD1399" i="67"/>
  <c r="AD1417" i="67"/>
  <c r="AD1553" i="67"/>
  <c r="AD1537" i="67"/>
  <c r="AU10" i="34"/>
  <c r="AB1385" i="67"/>
  <c r="AB1399" i="67"/>
  <c r="AB1417" i="67"/>
  <c r="AB1537" i="67"/>
  <c r="AB1553" i="67"/>
  <c r="W1385" i="67"/>
  <c r="W1399" i="67"/>
  <c r="W1417" i="67"/>
  <c r="W1553" i="67"/>
  <c r="W1537" i="67"/>
  <c r="AJ1385" i="67"/>
  <c r="AJ1399" i="67"/>
  <c r="AJ1417" i="67"/>
  <c r="AJ1537" i="67"/>
  <c r="AJ1553" i="67"/>
  <c r="Z964" i="67"/>
  <c r="Z946" i="67"/>
  <c r="Z1097" i="67"/>
  <c r="Z1115" i="67"/>
  <c r="Z1409" i="67"/>
  <c r="Z1427" i="67"/>
  <c r="AE962" i="67"/>
  <c r="AE944" i="67"/>
  <c r="AE1064" i="67"/>
  <c r="AE1048" i="67"/>
  <c r="AE1095" i="67"/>
  <c r="AE1199" i="67"/>
  <c r="AE1113" i="67"/>
  <c r="AE1215" i="67"/>
  <c r="AE1407" i="67"/>
  <c r="AE1425" i="67"/>
  <c r="AE1545" i="67"/>
  <c r="AE1561" i="67"/>
  <c r="AE793" i="67"/>
  <c r="AB1064" i="67"/>
  <c r="AB1048" i="67"/>
  <c r="AB962" i="67"/>
  <c r="AB944" i="67"/>
  <c r="AB1113" i="67"/>
  <c r="AB1095" i="67"/>
  <c r="AB1199" i="67"/>
  <c r="AB1215" i="67"/>
  <c r="AB1407" i="67"/>
  <c r="AB1425" i="67"/>
  <c r="AB1545" i="67"/>
  <c r="AB1561" i="67"/>
  <c r="AB793" i="67"/>
  <c r="AU962" i="67"/>
  <c r="AU944" i="67"/>
  <c r="AU1064" i="67"/>
  <c r="AU1048" i="67"/>
  <c r="AU1095" i="67"/>
  <c r="AU1199" i="67"/>
  <c r="AU1113" i="67"/>
  <c r="AU1215" i="67"/>
  <c r="AU1407" i="67"/>
  <c r="AU1425" i="67"/>
  <c r="AU1545" i="67"/>
  <c r="AU1561" i="67"/>
  <c r="AU793" i="67"/>
  <c r="AV946" i="67"/>
  <c r="AV964" i="67"/>
  <c r="AV1097" i="67"/>
  <c r="AV1115" i="67"/>
  <c r="AV1409" i="67"/>
  <c r="AV1427" i="67"/>
  <c r="AG964" i="67"/>
  <c r="AG946" i="67"/>
  <c r="AG1097" i="67"/>
  <c r="AG1115" i="67"/>
  <c r="AG1427" i="67"/>
  <c r="AG1409" i="67"/>
  <c r="W964" i="67"/>
  <c r="W946" i="67"/>
  <c r="W1097" i="67"/>
  <c r="W1115" i="67"/>
  <c r="W1409" i="67"/>
  <c r="W1427" i="67"/>
  <c r="AS946" i="67"/>
  <c r="AS964" i="67"/>
  <c r="AS1097" i="67"/>
  <c r="AS1115" i="67"/>
  <c r="AS1409" i="67"/>
  <c r="AS1427" i="67"/>
  <c r="T946" i="67"/>
  <c r="T964" i="67"/>
  <c r="T1097" i="67"/>
  <c r="T1115" i="67"/>
  <c r="T1409" i="67"/>
  <c r="T1427" i="67"/>
  <c r="K1548" i="67"/>
  <c r="K1051" i="67" s="1"/>
  <c r="K1532" i="67"/>
  <c r="K1035" i="67" s="1"/>
  <c r="K1394" i="67"/>
  <c r="K931" i="67" s="1"/>
  <c r="K1412" i="67"/>
  <c r="K949" i="67" s="1"/>
  <c r="K1380" i="67"/>
  <c r="L1380" i="67"/>
  <c r="L1394" i="67"/>
  <c r="L931" i="67" s="1"/>
  <c r="L1412" i="67"/>
  <c r="L949" i="67" s="1"/>
  <c r="L1532" i="67"/>
  <c r="L1035" i="67" s="1"/>
  <c r="L1548" i="67"/>
  <c r="L1051" i="67" s="1"/>
  <c r="AL1381" i="67"/>
  <c r="AL1395" i="67"/>
  <c r="AL932" i="67" s="1"/>
  <c r="AL1413" i="67"/>
  <c r="AL950" i="67" s="1"/>
  <c r="AL1533" i="67"/>
  <c r="AL1036" i="67" s="1"/>
  <c r="AL1549" i="67"/>
  <c r="AL1052" i="67" s="1"/>
  <c r="AO1380" i="67"/>
  <c r="AO1394" i="67"/>
  <c r="AO931" i="67" s="1"/>
  <c r="AO1412" i="67"/>
  <c r="AO949" i="67" s="1"/>
  <c r="AO1548" i="67"/>
  <c r="AO1051" i="67" s="1"/>
  <c r="AO1532" i="67"/>
  <c r="AO1035" i="67" s="1"/>
  <c r="AA1394" i="67"/>
  <c r="AA931" i="67" s="1"/>
  <c r="AA1380" i="67"/>
  <c r="AA1412" i="67"/>
  <c r="AA949" i="67" s="1"/>
  <c r="AA1532" i="67"/>
  <c r="AA1035" i="67" s="1"/>
  <c r="AA1548" i="67"/>
  <c r="AA1051" i="67" s="1"/>
  <c r="P1379" i="67"/>
  <c r="P916" i="67" s="1"/>
  <c r="P1393" i="67"/>
  <c r="P930" i="67" s="1"/>
  <c r="P1411" i="67"/>
  <c r="P948" i="67" s="1"/>
  <c r="P1531" i="67"/>
  <c r="P1034" i="67" s="1"/>
  <c r="P1547" i="67"/>
  <c r="P1050" i="67" s="1"/>
  <c r="Q1393" i="67"/>
  <c r="Q930" i="67" s="1"/>
  <c r="Q1379" i="67"/>
  <c r="Q916" i="67" s="1"/>
  <c r="Q1411" i="67"/>
  <c r="Q948" i="67" s="1"/>
  <c r="Q1531" i="67"/>
  <c r="Q1034" i="67" s="1"/>
  <c r="Q1547" i="67"/>
  <c r="Q1050" i="67" s="1"/>
  <c r="AU1380" i="67"/>
  <c r="AU1394" i="67"/>
  <c r="AU931" i="67" s="1"/>
  <c r="AU1532" i="67"/>
  <c r="AU1035" i="67" s="1"/>
  <c r="AU1412" i="67"/>
  <c r="AU949" i="67" s="1"/>
  <c r="AU1548" i="67"/>
  <c r="AU1051" i="67" s="1"/>
  <c r="R1380" i="67"/>
  <c r="R1394" i="67"/>
  <c r="R931" i="67" s="1"/>
  <c r="R1412" i="67"/>
  <c r="R949" i="67" s="1"/>
  <c r="R1532" i="67"/>
  <c r="R1035" i="67" s="1"/>
  <c r="R1548" i="67"/>
  <c r="R1051" i="67" s="1"/>
  <c r="AD1381" i="67"/>
  <c r="AD1395" i="67"/>
  <c r="AD932" i="67" s="1"/>
  <c r="AD1413" i="67"/>
  <c r="AD950" i="67" s="1"/>
  <c r="AD1533" i="67"/>
  <c r="AD1036" i="67" s="1"/>
  <c r="AD1549" i="67"/>
  <c r="AD1052" i="67" s="1"/>
  <c r="AS1380" i="67"/>
  <c r="AS1394" i="67"/>
  <c r="AS931" i="67" s="1"/>
  <c r="AS1412" i="67"/>
  <c r="AS949" i="67" s="1"/>
  <c r="AS1548" i="67"/>
  <c r="AS1051" i="67" s="1"/>
  <c r="AS1532" i="67"/>
  <c r="AS1035" i="67" s="1"/>
  <c r="O1380" i="67"/>
  <c r="O1394" i="67"/>
  <c r="O931" i="67" s="1"/>
  <c r="O1412" i="67"/>
  <c r="O949" i="67" s="1"/>
  <c r="O1532" i="67"/>
  <c r="O1035" i="67" s="1"/>
  <c r="O1548" i="67"/>
  <c r="O1051" i="67" s="1"/>
  <c r="AQ1379" i="67"/>
  <c r="AQ916" i="67" s="1"/>
  <c r="AQ1393" i="67"/>
  <c r="AQ930" i="67" s="1"/>
  <c r="AQ1411" i="67"/>
  <c r="AQ948" i="67" s="1"/>
  <c r="AQ1531" i="67"/>
  <c r="AQ1034" i="67" s="1"/>
  <c r="AQ1547" i="67"/>
  <c r="AQ1050" i="67" s="1"/>
  <c r="AR1381" i="67"/>
  <c r="AR1395" i="67"/>
  <c r="AR932" i="67" s="1"/>
  <c r="AR1413" i="67"/>
  <c r="AR950" i="67" s="1"/>
  <c r="AR1533" i="67"/>
  <c r="AR1036" i="67" s="1"/>
  <c r="AR1549" i="67"/>
  <c r="AR1052" i="67" s="1"/>
  <c r="AI1381" i="67"/>
  <c r="AI1395" i="67"/>
  <c r="AI932" i="67" s="1"/>
  <c r="AI1413" i="67"/>
  <c r="AI950" i="67" s="1"/>
  <c r="AI1549" i="67"/>
  <c r="AI1052" i="67" s="1"/>
  <c r="AI1533" i="67"/>
  <c r="AI1036" i="67" s="1"/>
  <c r="Q1410" i="67"/>
  <c r="Q1428" i="67"/>
  <c r="AQ1065" i="67"/>
  <c r="AQ1408" i="67"/>
  <c r="AQ1426" i="67"/>
  <c r="AQ1546" i="67"/>
  <c r="AQ1562" i="67"/>
  <c r="AT1410" i="67"/>
  <c r="AT1428" i="67"/>
  <c r="P1410" i="67"/>
  <c r="P1428" i="67"/>
  <c r="AC1410" i="67"/>
  <c r="AC1428" i="67"/>
  <c r="AM1410" i="67"/>
  <c r="AM1428" i="67"/>
  <c r="AO1410" i="67"/>
  <c r="AO1428" i="67"/>
  <c r="X1065" i="67"/>
  <c r="X1408" i="67"/>
  <c r="X1426" i="67"/>
  <c r="X1546" i="67"/>
  <c r="X1562" i="67"/>
  <c r="AU1410" i="67"/>
  <c r="AU1428" i="67"/>
  <c r="AL1065" i="67"/>
  <c r="AL1408" i="67"/>
  <c r="AL1426" i="67"/>
  <c r="AL1546" i="67"/>
  <c r="AL1562" i="67"/>
  <c r="K339" i="67"/>
  <c r="K491" i="67"/>
  <c r="K643" i="67"/>
  <c r="K186" i="67"/>
  <c r="K33" i="67"/>
  <c r="K794" i="67"/>
  <c r="M1385" i="67"/>
  <c r="M1417" i="67"/>
  <c r="M1399" i="67"/>
  <c r="M1537" i="67"/>
  <c r="M1553" i="67"/>
  <c r="AU1385" i="67"/>
  <c r="AU1399" i="67"/>
  <c r="AU1417" i="67"/>
  <c r="AU1537" i="67"/>
  <c r="AU1553" i="67"/>
  <c r="AH1385" i="67"/>
  <c r="AH1399" i="67"/>
  <c r="AH1417" i="67"/>
  <c r="AH1537" i="67"/>
  <c r="AH1553" i="67"/>
  <c r="AM1385" i="67"/>
  <c r="AM1399" i="67"/>
  <c r="AM1417" i="67"/>
  <c r="AM1537" i="67"/>
  <c r="AM1553" i="67"/>
  <c r="O1385" i="67"/>
  <c r="O1399" i="67"/>
  <c r="O1417" i="67"/>
  <c r="O1553" i="67"/>
  <c r="O1537" i="67"/>
  <c r="V1385" i="67"/>
  <c r="V1399" i="67"/>
  <c r="V1417" i="67"/>
  <c r="V1553" i="67"/>
  <c r="V1537" i="67"/>
  <c r="AF1385" i="67"/>
  <c r="AF1399" i="67"/>
  <c r="AF1417" i="67"/>
  <c r="AF1537" i="67"/>
  <c r="AF1553" i="67"/>
  <c r="AP1385" i="67"/>
  <c r="AP1399" i="67"/>
  <c r="AP1417" i="67"/>
  <c r="AP1553" i="67"/>
  <c r="AP1537" i="67"/>
  <c r="Q1385" i="67"/>
  <c r="Q1417" i="67"/>
  <c r="Q1537" i="67"/>
  <c r="Q1399" i="67"/>
  <c r="Q1553" i="67"/>
  <c r="AN1385" i="67"/>
  <c r="AN1399" i="67"/>
  <c r="AN1417" i="67"/>
  <c r="AN1537" i="67"/>
  <c r="AN1553" i="67"/>
  <c r="K1418" i="67"/>
  <c r="K1386" i="67"/>
  <c r="K1538" i="67"/>
  <c r="K1554" i="67"/>
  <c r="K1400" i="67"/>
  <c r="K1041" i="67"/>
  <c r="K1208" i="67"/>
  <c r="K1074" i="67"/>
  <c r="K955" i="67"/>
  <c r="K1192" i="67"/>
  <c r="K923" i="67"/>
  <c r="K937" i="67"/>
  <c r="K1088" i="67"/>
  <c r="K1057" i="67"/>
  <c r="K1106" i="67"/>
  <c r="B139" i="65"/>
  <c r="K469" i="67" s="1"/>
  <c r="AS1417" i="67"/>
  <c r="AS1385" i="67"/>
  <c r="AS1399" i="67"/>
  <c r="AS1537" i="67"/>
  <c r="AS1553" i="67"/>
  <c r="AK1385" i="67"/>
  <c r="AK1399" i="67"/>
  <c r="AK1417" i="67"/>
  <c r="AK1537" i="67"/>
  <c r="AK1553" i="67"/>
  <c r="AQ1385" i="67"/>
  <c r="AQ1399" i="67"/>
  <c r="AQ1417" i="67"/>
  <c r="AQ1537" i="67"/>
  <c r="AQ1553" i="67"/>
  <c r="U1385" i="67"/>
  <c r="U1399" i="67"/>
  <c r="U1417" i="67"/>
  <c r="U1537" i="67"/>
  <c r="U1553" i="67"/>
  <c r="Y1385" i="67"/>
  <c r="Y1399" i="67"/>
  <c r="Y1417" i="67"/>
  <c r="Y1537" i="67"/>
  <c r="Y1553" i="67"/>
  <c r="P1385" i="67"/>
  <c r="P1399" i="67"/>
  <c r="P1417" i="67"/>
  <c r="P1537" i="67"/>
  <c r="P1553" i="67"/>
  <c r="S1385" i="67"/>
  <c r="S1399" i="67"/>
  <c r="S1417" i="67"/>
  <c r="S1553" i="67"/>
  <c r="S1537" i="67"/>
  <c r="T1385" i="67"/>
  <c r="T1399" i="67"/>
  <c r="T1417" i="67"/>
  <c r="T1537" i="67"/>
  <c r="T1553" i="67"/>
  <c r="Q1064" i="67"/>
  <c r="Q1048" i="67"/>
  <c r="Q962" i="67"/>
  <c r="Q944" i="67"/>
  <c r="Q1095" i="67"/>
  <c r="Q1113" i="67"/>
  <c r="Q1215" i="67"/>
  <c r="Q793" i="67"/>
  <c r="Q1199" i="67"/>
  <c r="Q1407" i="67"/>
  <c r="Q1425" i="67"/>
  <c r="Q1545" i="67"/>
  <c r="Q1561" i="67"/>
  <c r="Y1064" i="67"/>
  <c r="Y1048" i="67"/>
  <c r="Y962" i="67"/>
  <c r="Y944" i="67"/>
  <c r="Y1095" i="67"/>
  <c r="Y1113" i="67"/>
  <c r="Y1215" i="67"/>
  <c r="Y1199" i="67"/>
  <c r="Y1407" i="67"/>
  <c r="Y1425" i="67"/>
  <c r="Y1545" i="67"/>
  <c r="Y1561" i="67"/>
  <c r="Y793" i="67"/>
  <c r="AJ1064" i="67"/>
  <c r="AJ1048" i="67"/>
  <c r="AJ962" i="67"/>
  <c r="AJ944" i="67"/>
  <c r="AJ1113" i="67"/>
  <c r="AJ1095" i="67"/>
  <c r="AJ1199" i="67"/>
  <c r="AJ1215" i="67"/>
  <c r="AJ1407" i="67"/>
  <c r="AJ1425" i="67"/>
  <c r="AJ1545" i="67"/>
  <c r="AJ1561" i="67"/>
  <c r="AJ793" i="67"/>
  <c r="AR1064" i="67"/>
  <c r="AR1048" i="67"/>
  <c r="AR962" i="67"/>
  <c r="AR944" i="67"/>
  <c r="AR1113" i="67"/>
  <c r="AR1095" i="67"/>
  <c r="AR1199" i="67"/>
  <c r="AR1215" i="67"/>
  <c r="AR1407" i="67"/>
  <c r="AR1425" i="67"/>
  <c r="AR1545" i="67"/>
  <c r="AR1561" i="67"/>
  <c r="AR793" i="67"/>
  <c r="X1064" i="67"/>
  <c r="X1048" i="67"/>
  <c r="X962" i="67"/>
  <c r="X944" i="67"/>
  <c r="X1113" i="67"/>
  <c r="X1095" i="67"/>
  <c r="X1199" i="67"/>
  <c r="X1215" i="67"/>
  <c r="X1407" i="67"/>
  <c r="X1425" i="67"/>
  <c r="X1545" i="67"/>
  <c r="X1561" i="67"/>
  <c r="X793" i="67"/>
  <c r="U964" i="67"/>
  <c r="U946" i="67"/>
  <c r="U1097" i="67"/>
  <c r="U1115" i="67"/>
  <c r="U1409" i="67"/>
  <c r="U1427" i="67"/>
  <c r="AC964" i="67"/>
  <c r="AC946" i="67"/>
  <c r="AC1097" i="67"/>
  <c r="AC1115" i="67"/>
  <c r="AC1409" i="67"/>
  <c r="AC1427" i="67"/>
  <c r="AM962" i="67"/>
  <c r="AM944" i="67"/>
  <c r="AM1064" i="67"/>
  <c r="AM1048" i="67"/>
  <c r="AM1095" i="67"/>
  <c r="AM1113" i="67"/>
  <c r="AM1199" i="67"/>
  <c r="AM1215" i="67"/>
  <c r="AM1407" i="67"/>
  <c r="AM1425" i="67"/>
  <c r="AM1545" i="67"/>
  <c r="AM1561" i="67"/>
  <c r="AM793" i="67"/>
  <c r="AQ964" i="67"/>
  <c r="AQ946" i="67"/>
  <c r="AQ1097" i="67"/>
  <c r="AQ1115" i="67"/>
  <c r="AQ1409" i="67"/>
  <c r="AQ1427" i="67"/>
  <c r="K1064" i="67"/>
  <c r="K1048" i="67"/>
  <c r="K962" i="67"/>
  <c r="K944" i="67"/>
  <c r="K1095" i="67"/>
  <c r="K1215" i="67"/>
  <c r="K1199" i="67"/>
  <c r="K1113" i="67"/>
  <c r="K793" i="67"/>
  <c r="K1425" i="67"/>
  <c r="K1561" i="67"/>
  <c r="K1545" i="67"/>
  <c r="K1407" i="67"/>
  <c r="AK1064" i="67"/>
  <c r="AK1048" i="67"/>
  <c r="AK944" i="67"/>
  <c r="AK962" i="67"/>
  <c r="AK1095" i="67"/>
  <c r="AK1113" i="67"/>
  <c r="AK1215" i="67"/>
  <c r="AK1199" i="67"/>
  <c r="AK1407" i="67"/>
  <c r="AK1425" i="67"/>
  <c r="AK1545" i="67"/>
  <c r="AK1561" i="67"/>
  <c r="AK793" i="67"/>
  <c r="R1064" i="67"/>
  <c r="R1048" i="67"/>
  <c r="R944" i="67"/>
  <c r="R962" i="67"/>
  <c r="R1095" i="67"/>
  <c r="R1113" i="67"/>
  <c r="R1215" i="67"/>
  <c r="R793" i="67"/>
  <c r="R1199" i="67"/>
  <c r="R1407" i="67"/>
  <c r="R1425" i="67"/>
  <c r="R1561" i="67"/>
  <c r="R1545" i="67"/>
  <c r="P964" i="67"/>
  <c r="P946" i="67"/>
  <c r="P1097" i="67"/>
  <c r="P1115" i="67"/>
  <c r="P1409" i="67"/>
  <c r="P1427" i="67"/>
  <c r="AA962" i="67"/>
  <c r="AA1064" i="67"/>
  <c r="AA1048" i="67"/>
  <c r="AA944" i="67"/>
  <c r="AA1095" i="67"/>
  <c r="AA1199" i="67"/>
  <c r="AA1113" i="67"/>
  <c r="AA1215" i="67"/>
  <c r="AA1407" i="67"/>
  <c r="AA1425" i="67"/>
  <c r="AA1545" i="67"/>
  <c r="AA1561" i="67"/>
  <c r="AA793" i="67"/>
  <c r="AL1064" i="67"/>
  <c r="AL1048" i="67"/>
  <c r="AL962" i="67"/>
  <c r="AL944" i="67"/>
  <c r="AL1095" i="67"/>
  <c r="AL1113" i="67"/>
  <c r="AL1215" i="67"/>
  <c r="AL1199" i="67"/>
  <c r="AL1407" i="67"/>
  <c r="AL1425" i="67"/>
  <c r="AL1545" i="67"/>
  <c r="AL1561" i="67"/>
  <c r="AL793" i="67"/>
  <c r="AN964" i="67"/>
  <c r="AN946" i="67"/>
  <c r="AN1097" i="67"/>
  <c r="AN1115" i="67"/>
  <c r="AN1409" i="67"/>
  <c r="AN1427" i="67"/>
  <c r="V1064" i="67"/>
  <c r="V1048" i="67"/>
  <c r="V962" i="67"/>
  <c r="V944" i="67"/>
  <c r="V1095" i="67"/>
  <c r="V1113" i="67"/>
  <c r="V1215" i="67"/>
  <c r="V1199" i="67"/>
  <c r="V1407" i="67"/>
  <c r="V1425" i="67"/>
  <c r="V1545" i="67"/>
  <c r="V1561" i="67"/>
  <c r="V793" i="67"/>
  <c r="N1048" i="67"/>
  <c r="N944" i="67"/>
  <c r="N1064" i="67"/>
  <c r="N962" i="67"/>
  <c r="N1095" i="67"/>
  <c r="N1113" i="67"/>
  <c r="N1215" i="67"/>
  <c r="N793" i="67"/>
  <c r="N1199" i="67"/>
  <c r="N1407" i="67"/>
  <c r="N1425" i="67"/>
  <c r="N1545" i="67"/>
  <c r="N1561" i="67"/>
  <c r="AF964" i="67"/>
  <c r="AF946" i="67"/>
  <c r="AF1097" i="67"/>
  <c r="AF1115" i="67"/>
  <c r="AF1409" i="67"/>
  <c r="AF1427" i="67"/>
  <c r="S962" i="67"/>
  <c r="S1064" i="67"/>
  <c r="S1048" i="67"/>
  <c r="S944" i="67"/>
  <c r="S1095" i="67"/>
  <c r="S1199" i="67"/>
  <c r="S1113" i="67"/>
  <c r="S1215" i="67"/>
  <c r="S793" i="67"/>
  <c r="S1407" i="67"/>
  <c r="S1425" i="67"/>
  <c r="S1545" i="67"/>
  <c r="S1561" i="67"/>
  <c r="K1547" i="67"/>
  <c r="K1050" i="67" s="1"/>
  <c r="K1531" i="67"/>
  <c r="K1034" i="67" s="1"/>
  <c r="K1411" i="67"/>
  <c r="K948" i="67" s="1"/>
  <c r="K1379" i="67"/>
  <c r="K916" i="67" s="1"/>
  <c r="K1393" i="67"/>
  <c r="K930" i="67" s="1"/>
  <c r="X1381" i="67"/>
  <c r="X1395" i="67"/>
  <c r="X932" i="67" s="1"/>
  <c r="X1413" i="67"/>
  <c r="X950" i="67" s="1"/>
  <c r="X1533" i="67"/>
  <c r="X1036" i="67" s="1"/>
  <c r="X1549" i="67"/>
  <c r="X1052" i="67" s="1"/>
  <c r="U1395" i="67"/>
  <c r="U932" i="67" s="1"/>
  <c r="U1413" i="67"/>
  <c r="U950" i="67" s="1"/>
  <c r="U1533" i="67"/>
  <c r="U1036" i="67" s="1"/>
  <c r="U1381" i="67"/>
  <c r="U1549" i="67"/>
  <c r="U1052" i="67" s="1"/>
  <c r="AW1395" i="67"/>
  <c r="AW932" i="67" s="1"/>
  <c r="AW1381" i="67"/>
  <c r="AW1413" i="67"/>
  <c r="AW950" i="67" s="1"/>
  <c r="AW1533" i="67"/>
  <c r="AW1036" i="67" s="1"/>
  <c r="AW1549" i="67"/>
  <c r="AW1052" i="67" s="1"/>
  <c r="Z1380" i="67"/>
  <c r="Z1394" i="67"/>
  <c r="Z931" i="67" s="1"/>
  <c r="Z1412" i="67"/>
  <c r="Z949" i="67" s="1"/>
  <c r="Z1532" i="67"/>
  <c r="Z1035" i="67" s="1"/>
  <c r="Z1548" i="67"/>
  <c r="Z1051" i="67" s="1"/>
  <c r="AL1380" i="67"/>
  <c r="AL1394" i="67"/>
  <c r="AL931" i="67" s="1"/>
  <c r="AL1412" i="67"/>
  <c r="AL949" i="67" s="1"/>
  <c r="AL1532" i="67"/>
  <c r="AL1035" i="67" s="1"/>
  <c r="AL1548" i="67"/>
  <c r="AL1051" i="67" s="1"/>
  <c r="AO1379" i="67"/>
  <c r="AO916" i="67" s="1"/>
  <c r="AO1393" i="67"/>
  <c r="AO930" i="67" s="1"/>
  <c r="AO1411" i="67"/>
  <c r="AO948" i="67" s="1"/>
  <c r="AO1531" i="67"/>
  <c r="AO1034" i="67" s="1"/>
  <c r="AO1547" i="67"/>
  <c r="AO1050" i="67" s="1"/>
  <c r="AB1379" i="67"/>
  <c r="AB916" i="67" s="1"/>
  <c r="AB1393" i="67"/>
  <c r="AB930" i="67" s="1"/>
  <c r="AB1411" i="67"/>
  <c r="AB948" i="67" s="1"/>
  <c r="AB1531" i="67"/>
  <c r="AB1034" i="67" s="1"/>
  <c r="AB1547" i="67"/>
  <c r="AB1050" i="67" s="1"/>
  <c r="AA1379" i="67"/>
  <c r="AA916" i="67" s="1"/>
  <c r="AA1393" i="67"/>
  <c r="AA930" i="67" s="1"/>
  <c r="AA1411" i="67"/>
  <c r="AA948" i="67" s="1"/>
  <c r="AA1531" i="67"/>
  <c r="AA1034" i="67" s="1"/>
  <c r="AA1547" i="67"/>
  <c r="AA1050" i="67" s="1"/>
  <c r="AM1394" i="67"/>
  <c r="AM931" i="67" s="1"/>
  <c r="AM1380" i="67"/>
  <c r="AM1412" i="67"/>
  <c r="AM949" i="67" s="1"/>
  <c r="AM1532" i="67"/>
  <c r="AM1035" i="67" s="1"/>
  <c r="AM1548" i="67"/>
  <c r="AM1051" i="67" s="1"/>
  <c r="AH1381" i="67"/>
  <c r="AH1395" i="67"/>
  <c r="AH932" i="67" s="1"/>
  <c r="AH1413" i="67"/>
  <c r="AH950" i="67" s="1"/>
  <c r="AH1533" i="67"/>
  <c r="AH1036" i="67" s="1"/>
  <c r="AH1549" i="67"/>
  <c r="AH1052" i="67" s="1"/>
  <c r="P1381" i="67"/>
  <c r="P1395" i="67"/>
  <c r="P932" i="67" s="1"/>
  <c r="P1413" i="67"/>
  <c r="P950" i="67" s="1"/>
  <c r="P1533" i="67"/>
  <c r="P1036" i="67" s="1"/>
  <c r="P1549" i="67"/>
  <c r="P1052" i="67" s="1"/>
  <c r="AG1393" i="67"/>
  <c r="AG930" i="67" s="1"/>
  <c r="AG1411" i="67"/>
  <c r="AG948" i="67" s="1"/>
  <c r="AG1531" i="67"/>
  <c r="AG1034" i="67" s="1"/>
  <c r="AG1379" i="67"/>
  <c r="AG916" i="67" s="1"/>
  <c r="AG1547" i="67"/>
  <c r="AG1050" i="67" s="1"/>
  <c r="AE1380" i="67"/>
  <c r="AE1394" i="67"/>
  <c r="AE931" i="67" s="1"/>
  <c r="AE1412" i="67"/>
  <c r="AE949" i="67" s="1"/>
  <c r="AE1532" i="67"/>
  <c r="AE1035" i="67" s="1"/>
  <c r="AE1548" i="67"/>
  <c r="AE1051" i="67" s="1"/>
  <c r="AU1379" i="67"/>
  <c r="AU916" i="67" s="1"/>
  <c r="AU1393" i="67"/>
  <c r="AU930" i="67" s="1"/>
  <c r="AU1411" i="67"/>
  <c r="AU948" i="67" s="1"/>
  <c r="AU1547" i="67"/>
  <c r="AU1050" i="67" s="1"/>
  <c r="AU1531" i="67"/>
  <c r="AU1034" i="67" s="1"/>
  <c r="R1379" i="67"/>
  <c r="R916" i="67" s="1"/>
  <c r="R1393" i="67"/>
  <c r="R930" i="67" s="1"/>
  <c r="R1411" i="67"/>
  <c r="R948" i="67" s="1"/>
  <c r="R1531" i="67"/>
  <c r="R1034" i="67" s="1"/>
  <c r="R1547" i="67"/>
  <c r="R1050" i="67" s="1"/>
  <c r="AJ1381" i="67"/>
  <c r="AJ1395" i="67"/>
  <c r="AJ932" i="67" s="1"/>
  <c r="AJ1413" i="67"/>
  <c r="AJ950" i="67" s="1"/>
  <c r="AJ1533" i="67"/>
  <c r="AJ1036" i="67" s="1"/>
  <c r="AJ1549" i="67"/>
  <c r="AJ1052" i="67" s="1"/>
  <c r="AK1380" i="67"/>
  <c r="AK1394" i="67"/>
  <c r="AK931" i="67" s="1"/>
  <c r="AK1412" i="67"/>
  <c r="AK949" i="67" s="1"/>
  <c r="AK1532" i="67"/>
  <c r="AK1035" i="67" s="1"/>
  <c r="AK1548" i="67"/>
  <c r="AK1051" i="67" s="1"/>
  <c r="N1379" i="67"/>
  <c r="N916" i="67" s="1"/>
  <c r="N1393" i="67"/>
  <c r="N930" i="67" s="1"/>
  <c r="N1411" i="67"/>
  <c r="N948" i="67" s="1"/>
  <c r="N1531" i="67"/>
  <c r="N1034" i="67" s="1"/>
  <c r="N1547" i="67"/>
  <c r="N1050" i="67" s="1"/>
  <c r="AN1381" i="67"/>
  <c r="AN1395" i="67"/>
  <c r="AN932" i="67" s="1"/>
  <c r="AN1413" i="67"/>
  <c r="AN950" i="67" s="1"/>
  <c r="AN1533" i="67"/>
  <c r="AN1036" i="67" s="1"/>
  <c r="AN1549" i="67"/>
  <c r="AN1052" i="67" s="1"/>
  <c r="AS1393" i="67"/>
  <c r="AS930" i="67" s="1"/>
  <c r="AS1379" i="67"/>
  <c r="AS916" i="67" s="1"/>
  <c r="AS1411" i="67"/>
  <c r="AS948" i="67" s="1"/>
  <c r="AS1531" i="67"/>
  <c r="AS1034" i="67" s="1"/>
  <c r="AS1547" i="67"/>
  <c r="AS1050" i="67" s="1"/>
  <c r="M1393" i="67"/>
  <c r="M930" i="67" s="1"/>
  <c r="M1379" i="67"/>
  <c r="M916" i="67" s="1"/>
  <c r="M1411" i="67"/>
  <c r="M948" i="67" s="1"/>
  <c r="M1531" i="67"/>
  <c r="M1034" i="67" s="1"/>
  <c r="M1547" i="67"/>
  <c r="M1050" i="67" s="1"/>
  <c r="AF1381" i="67"/>
  <c r="AF1395" i="67"/>
  <c r="AF932" i="67" s="1"/>
  <c r="AF1413" i="67"/>
  <c r="AF950" i="67" s="1"/>
  <c r="AF1533" i="67"/>
  <c r="AF1036" i="67" s="1"/>
  <c r="AF1549" i="67"/>
  <c r="AF1052" i="67" s="1"/>
  <c r="AQ1394" i="67"/>
  <c r="AQ931" i="67" s="1"/>
  <c r="AQ1380" i="67"/>
  <c r="AQ1412" i="67"/>
  <c r="AQ949" i="67" s="1"/>
  <c r="AQ1532" i="67"/>
  <c r="AQ1035" i="67" s="1"/>
  <c r="AQ1548" i="67"/>
  <c r="AQ1051" i="67" s="1"/>
  <c r="AR1379" i="67"/>
  <c r="AR916" i="67" s="1"/>
  <c r="AR1393" i="67"/>
  <c r="AR930" i="67" s="1"/>
  <c r="AR1411" i="67"/>
  <c r="AR948" i="67" s="1"/>
  <c r="AR1531" i="67"/>
  <c r="AR1034" i="67" s="1"/>
  <c r="AR1547" i="67"/>
  <c r="AR1050" i="67" s="1"/>
  <c r="V1381" i="67"/>
  <c r="V1395" i="67"/>
  <c r="V932" i="67" s="1"/>
  <c r="V1413" i="67"/>
  <c r="V950" i="67" s="1"/>
  <c r="V1533" i="67"/>
  <c r="V1036" i="67" s="1"/>
  <c r="V1549" i="67"/>
  <c r="V1052" i="67" s="1"/>
  <c r="Y1379" i="67"/>
  <c r="Y916" i="67" s="1"/>
  <c r="Y1411" i="67"/>
  <c r="Y948" i="67" s="1"/>
  <c r="Y1393" i="67"/>
  <c r="Y930" i="67" s="1"/>
  <c r="Y1531" i="67"/>
  <c r="Y1034" i="67" s="1"/>
  <c r="Y1547" i="67"/>
  <c r="Y1050" i="67" s="1"/>
  <c r="AI1380" i="67"/>
  <c r="AI1412" i="67"/>
  <c r="AI949" i="67" s="1"/>
  <c r="AI1394" i="67"/>
  <c r="AI931" i="67" s="1"/>
  <c r="AI1532" i="67"/>
  <c r="AI1035" i="67" s="1"/>
  <c r="AI1548" i="67"/>
  <c r="AI1051" i="67" s="1"/>
  <c r="W1379" i="67"/>
  <c r="W916" i="67" s="1"/>
  <c r="W1393" i="67"/>
  <c r="W930" i="67" s="1"/>
  <c r="W1411" i="67"/>
  <c r="W948" i="67" s="1"/>
  <c r="W1547" i="67"/>
  <c r="W1050" i="67" s="1"/>
  <c r="W1531" i="67"/>
  <c r="W1034" i="67" s="1"/>
  <c r="AT1381" i="67"/>
  <c r="AT1395" i="67"/>
  <c r="AT932" i="67" s="1"/>
  <c r="AT1413" i="67"/>
  <c r="AT950" i="67" s="1"/>
  <c r="AT1533" i="67"/>
  <c r="AT1036" i="67" s="1"/>
  <c r="AT1549" i="67"/>
  <c r="AT1052" i="67" s="1"/>
  <c r="AA1428" i="67"/>
  <c r="AA1410" i="67"/>
  <c r="AR1065" i="67"/>
  <c r="AR1408" i="67"/>
  <c r="AR1426" i="67"/>
  <c r="AR1546" i="67"/>
  <c r="AR1562" i="67"/>
  <c r="AH1410" i="67"/>
  <c r="AH1428" i="67"/>
  <c r="S1410" i="67"/>
  <c r="S1428" i="67"/>
  <c r="AD1410" i="67"/>
  <c r="AD1428" i="67"/>
  <c r="Z1410" i="67"/>
  <c r="Z1428" i="67"/>
  <c r="T1410" i="67"/>
  <c r="T1428" i="67"/>
  <c r="AK1410" i="67"/>
  <c r="AK1428" i="67"/>
  <c r="AS1410" i="67"/>
  <c r="AS1428" i="67"/>
  <c r="AV1065" i="67"/>
  <c r="AV1408" i="67"/>
  <c r="AV1426" i="67"/>
  <c r="AV1546" i="67"/>
  <c r="AV1562" i="67"/>
  <c r="O1065" i="67"/>
  <c r="O1408" i="67"/>
  <c r="O1426" i="67"/>
  <c r="O1546" i="67"/>
  <c r="O1562" i="67"/>
  <c r="V1065" i="67"/>
  <c r="V1408" i="67"/>
  <c r="V1426" i="67"/>
  <c r="V1546" i="67"/>
  <c r="V1562" i="67"/>
  <c r="M1065" i="67"/>
  <c r="M1408" i="67"/>
  <c r="M1426" i="67"/>
  <c r="M1546" i="67"/>
  <c r="M1562" i="67"/>
  <c r="W1065" i="67"/>
  <c r="W1426" i="67"/>
  <c r="W1408" i="67"/>
  <c r="W1546" i="67"/>
  <c r="W1562" i="67"/>
  <c r="R1065" i="67"/>
  <c r="R1408" i="67"/>
  <c r="R1426" i="67"/>
  <c r="R1546" i="67"/>
  <c r="R1562" i="67"/>
  <c r="AW1065" i="67"/>
  <c r="AW1408" i="67"/>
  <c r="AW1426" i="67"/>
  <c r="AW1546" i="67"/>
  <c r="AW1562" i="67"/>
  <c r="AG1410" i="67"/>
  <c r="AG1428" i="67"/>
  <c r="AF1410" i="67"/>
  <c r="AF1428" i="67"/>
  <c r="AI1410" i="67"/>
  <c r="AI1428" i="67"/>
  <c r="K443" i="67"/>
  <c r="K137" i="67"/>
  <c r="K290" i="67"/>
  <c r="K747" i="67"/>
  <c r="K898" i="67"/>
  <c r="K595" i="67"/>
  <c r="BI82" i="70"/>
  <c r="BI85" i="70" s="1"/>
  <c r="BI47" i="70"/>
  <c r="AD45" i="36"/>
  <c r="AD82" i="36"/>
  <c r="AD85" i="36" s="1"/>
  <c r="BE58" i="50"/>
  <c r="BE59" i="50" s="1"/>
  <c r="BE60" i="50" s="1"/>
  <c r="BK58" i="50"/>
  <c r="BK59" i="50" s="1"/>
  <c r="BK60" i="50" s="1"/>
  <c r="BK61" i="50" s="1"/>
  <c r="BJ58" i="50"/>
  <c r="BJ59" i="50" s="1"/>
  <c r="BJ60" i="50" s="1"/>
  <c r="BB58" i="50"/>
  <c r="BB59" i="50" s="1"/>
  <c r="BB60" i="50" s="1"/>
  <c r="BG58" i="50"/>
  <c r="BG59" i="50" s="1"/>
  <c r="BG60" i="50" s="1"/>
  <c r="AP58" i="50"/>
  <c r="AP59" i="50" s="1"/>
  <c r="AP60" i="50" s="1"/>
  <c r="AK58" i="50"/>
  <c r="AK59" i="50" s="1"/>
  <c r="AK60" i="50" s="1"/>
  <c r="BH58" i="50"/>
  <c r="BH59" i="50" s="1"/>
  <c r="BH60" i="50" s="1"/>
  <c r="BD58" i="50"/>
  <c r="BD59" i="50" s="1"/>
  <c r="BD60" i="50" s="1"/>
  <c r="Z58" i="50"/>
  <c r="Z59" i="50" s="1"/>
  <c r="Z60" i="50" s="1"/>
  <c r="AO58" i="50"/>
  <c r="AO59" i="50" s="1"/>
  <c r="AO60" i="50" s="1"/>
  <c r="AX58" i="50"/>
  <c r="AX59" i="50" s="1"/>
  <c r="AX60" i="50" s="1"/>
  <c r="BD41" i="70" s="1"/>
  <c r="BF58" i="50"/>
  <c r="BF59" i="50" s="1"/>
  <c r="BF60" i="50" s="1"/>
  <c r="BL41" i="70" s="1"/>
  <c r="AG58" i="50"/>
  <c r="AG59" i="50" s="1"/>
  <c r="AG60" i="50" s="1"/>
  <c r="AM41" i="70" s="1"/>
  <c r="AI58" i="50"/>
  <c r="AI59" i="50" s="1"/>
  <c r="AI60" i="50" s="1"/>
  <c r="AO41" i="70" s="1"/>
  <c r="BI58" i="50"/>
  <c r="BI59" i="50" s="1"/>
  <c r="BI60" i="50" s="1"/>
  <c r="BO41" i="70" s="1"/>
  <c r="AR58" i="50"/>
  <c r="AR59" i="50" s="1"/>
  <c r="AR60" i="50" s="1"/>
  <c r="AX41" i="70" s="1"/>
  <c r="AE58" i="50"/>
  <c r="AE59" i="50" s="1"/>
  <c r="AE60" i="50" s="1"/>
  <c r="AK41" i="70" s="1"/>
  <c r="AM58" i="50"/>
  <c r="AM59" i="50" s="1"/>
  <c r="AM60" i="50" s="1"/>
  <c r="AS41" i="70" s="1"/>
  <c r="AN58" i="50"/>
  <c r="AN59" i="50" s="1"/>
  <c r="AN60" i="50" s="1"/>
  <c r="AT41" i="70" s="1"/>
  <c r="AH58" i="50"/>
  <c r="AH59" i="50" s="1"/>
  <c r="AH60" i="50" s="1"/>
  <c r="AN41" i="70" s="1"/>
  <c r="AV58" i="50"/>
  <c r="AV59" i="50" s="1"/>
  <c r="AV60" i="50" s="1"/>
  <c r="BB41" i="70" s="1"/>
  <c r="Y58" i="50"/>
  <c r="Y59" i="50" s="1"/>
  <c r="Y60" i="50" s="1"/>
  <c r="AE41" i="70" s="1"/>
  <c r="AT58" i="50"/>
  <c r="AT59" i="50" s="1"/>
  <c r="AT60" i="50" s="1"/>
  <c r="AZ41" i="70" s="1"/>
  <c r="AS58" i="50"/>
  <c r="AS59" i="50" s="1"/>
  <c r="AS60" i="50" s="1"/>
  <c r="AY41" i="70" s="1"/>
  <c r="AD58" i="50"/>
  <c r="AD59" i="50" s="1"/>
  <c r="AD60" i="50" s="1"/>
  <c r="AJ41" i="70" s="1"/>
  <c r="AZ58" i="50"/>
  <c r="AZ59" i="50" s="1"/>
  <c r="AZ60" i="50" s="1"/>
  <c r="BF41" i="70" s="1"/>
  <c r="AF58" i="50"/>
  <c r="AF59" i="50" s="1"/>
  <c r="AF60" i="50" s="1"/>
  <c r="AL41" i="70" s="1"/>
  <c r="AQ58" i="50"/>
  <c r="AQ59" i="50" s="1"/>
  <c r="AQ60" i="50" s="1"/>
  <c r="AW41" i="70" s="1"/>
  <c r="AW58" i="50"/>
  <c r="AW59" i="50" s="1"/>
  <c r="AW60" i="50" s="1"/>
  <c r="BC41" i="70" s="1"/>
  <c r="BI41" i="36"/>
  <c r="BI82" i="36" s="1"/>
  <c r="BC61" i="50"/>
  <c r="AC58" i="50"/>
  <c r="AC59" i="50" s="1"/>
  <c r="AC60" i="50" s="1"/>
  <c r="AI41" i="70" s="1"/>
  <c r="AB58" i="50"/>
  <c r="AB59" i="50" s="1"/>
  <c r="AB60" i="50" s="1"/>
  <c r="AH41" i="70" s="1"/>
  <c r="AJ58" i="50"/>
  <c r="AJ59" i="50" s="1"/>
  <c r="AJ60" i="50" s="1"/>
  <c r="AP41" i="70" s="1"/>
  <c r="AL58" i="50"/>
  <c r="AL59" i="50" s="1"/>
  <c r="AL60" i="50" s="1"/>
  <c r="AR41" i="70" s="1"/>
  <c r="AA58" i="50"/>
  <c r="AA59" i="50" s="1"/>
  <c r="AA60" i="50" s="1"/>
  <c r="AG41" i="70" s="1"/>
  <c r="AU58" i="50"/>
  <c r="AU59" i="50" s="1"/>
  <c r="AU60" i="50" s="1"/>
  <c r="BA41" i="70" s="1"/>
  <c r="AY58" i="50"/>
  <c r="AY59" i="50" s="1"/>
  <c r="AY60" i="50" s="1"/>
  <c r="BE41" i="70" s="1"/>
  <c r="BA58" i="50"/>
  <c r="BA59" i="50" s="1"/>
  <c r="BA60" i="50" s="1"/>
  <c r="BG41" i="70" s="1"/>
  <c r="AP178" i="34"/>
  <c r="AP179" i="34"/>
  <c r="AL179" i="34"/>
  <c r="AL72" i="36"/>
  <c r="AL42" i="34"/>
  <c r="AO25" i="34"/>
  <c r="AO56" i="36"/>
  <c r="AM24" i="34"/>
  <c r="AM43" i="34"/>
  <c r="AN72" i="36"/>
  <c r="AK10" i="34"/>
  <c r="AQ24" i="34"/>
  <c r="AQ178" i="34"/>
  <c r="AU162" i="34"/>
  <c r="AJ56" i="36"/>
  <c r="AQ10" i="34"/>
  <c r="AU43" i="34"/>
  <c r="AU4" i="36"/>
  <c r="AU56" i="36"/>
  <c r="AO10" i="34"/>
  <c r="AO72" i="36"/>
  <c r="AK178" i="34"/>
  <c r="AN24" i="34"/>
  <c r="AN56" i="36"/>
  <c r="AJ42" i="34"/>
  <c r="AJ72" i="36"/>
  <c r="AV4" i="36"/>
  <c r="AU24" i="34"/>
  <c r="AU72" i="36"/>
  <c r="AO42" i="34"/>
  <c r="AO162" i="34"/>
  <c r="AN10" i="34"/>
  <c r="AN178" i="34"/>
  <c r="AJ10" i="34"/>
  <c r="AJ162" i="34"/>
  <c r="AU42" i="34"/>
  <c r="AU178" i="34"/>
  <c r="AO24" i="34"/>
  <c r="AO178" i="34"/>
  <c r="AN42" i="34"/>
  <c r="AN162" i="34"/>
  <c r="AJ24" i="34"/>
  <c r="AJ178" i="34"/>
  <c r="AT179" i="34"/>
  <c r="AT4" i="36"/>
  <c r="AQ56" i="36"/>
  <c r="AP10" i="34"/>
  <c r="AM56" i="36"/>
  <c r="AL162" i="34"/>
  <c r="AQ42" i="34"/>
  <c r="AQ162" i="34"/>
  <c r="AP72" i="36"/>
  <c r="AM72" i="36"/>
  <c r="AL10" i="34"/>
  <c r="AT56" i="36"/>
  <c r="AQ72" i="36"/>
  <c r="AP42" i="34"/>
  <c r="AP56" i="36"/>
  <c r="AM10" i="34"/>
  <c r="AM178" i="34"/>
  <c r="AL178" i="34"/>
  <c r="AT10" i="34"/>
  <c r="AP24" i="34"/>
  <c r="AP162" i="34"/>
  <c r="AM42" i="34"/>
  <c r="AM162" i="34"/>
  <c r="AL24" i="34"/>
  <c r="AL56" i="36"/>
  <c r="AT42" i="34"/>
  <c r="AS72" i="36"/>
  <c r="AT72" i="36"/>
  <c r="AT24" i="34"/>
  <c r="AT178" i="34"/>
  <c r="AR72" i="36"/>
  <c r="AR10" i="34"/>
  <c r="AR56" i="36"/>
  <c r="AR24" i="34"/>
  <c r="AR178" i="34"/>
  <c r="AR42" i="34"/>
  <c r="AR162" i="34"/>
  <c r="AD80" i="36"/>
  <c r="AD64" i="36"/>
  <c r="AD186" i="34"/>
  <c r="AD170" i="34"/>
  <c r="AD50" i="34"/>
  <c r="AD32" i="34"/>
  <c r="AK72" i="36"/>
  <c r="AH81" i="36"/>
  <c r="AH65" i="36"/>
  <c r="AH187" i="34"/>
  <c r="AH171" i="34"/>
  <c r="AH33" i="34"/>
  <c r="AH51" i="34"/>
  <c r="AG80" i="36"/>
  <c r="AG64" i="36"/>
  <c r="AG186" i="34"/>
  <c r="AG170" i="34"/>
  <c r="AG32" i="34"/>
  <c r="AG50" i="34"/>
  <c r="AK11" i="34"/>
  <c r="AE65" i="36"/>
  <c r="AE81" i="36"/>
  <c r="AE187" i="34"/>
  <c r="AE171" i="34"/>
  <c r="AE33" i="34"/>
  <c r="AE51" i="34"/>
  <c r="AE64" i="36"/>
  <c r="AE80" i="36"/>
  <c r="AE186" i="34"/>
  <c r="AE170" i="34"/>
  <c r="AE50" i="34"/>
  <c r="AE32" i="34"/>
  <c r="AH64" i="36"/>
  <c r="AH80" i="36"/>
  <c r="AH186" i="34"/>
  <c r="AH170" i="34"/>
  <c r="AH32" i="34"/>
  <c r="AH50" i="34"/>
  <c r="AK24" i="34"/>
  <c r="AK56" i="36"/>
  <c r="AI51" i="34"/>
  <c r="AI65" i="36"/>
  <c r="AI81" i="36"/>
  <c r="AI187" i="34"/>
  <c r="AI171" i="34"/>
  <c r="AI33" i="34"/>
  <c r="AF65" i="36"/>
  <c r="AF81" i="36"/>
  <c r="AF171" i="34"/>
  <c r="AF187" i="34"/>
  <c r="AF33" i="34"/>
  <c r="AF51" i="34"/>
  <c r="AK42" i="34"/>
  <c r="AG81" i="36"/>
  <c r="AG65" i="36"/>
  <c r="AG171" i="34"/>
  <c r="AG187" i="34"/>
  <c r="AG51" i="34"/>
  <c r="AG33" i="34"/>
  <c r="AF64" i="36"/>
  <c r="AF80" i="36"/>
  <c r="AF186" i="34"/>
  <c r="AF170" i="34"/>
  <c r="AF50" i="34"/>
  <c r="AF32" i="34"/>
  <c r="AD81" i="36"/>
  <c r="AD65" i="36"/>
  <c r="AD187" i="34"/>
  <c r="AD171" i="34"/>
  <c r="AD33" i="34"/>
  <c r="AD51" i="34"/>
  <c r="AI50" i="34"/>
  <c r="AI80" i="36"/>
  <c r="AI64" i="36"/>
  <c r="AI186" i="34"/>
  <c r="AI170" i="34"/>
  <c r="AI32" i="34"/>
  <c r="AE56" i="36"/>
  <c r="L1472" i="67" s="1"/>
  <c r="AE72" i="36"/>
  <c r="L1488" i="67" s="1"/>
  <c r="AE162" i="34"/>
  <c r="AE10" i="34"/>
  <c r="AE24" i="34"/>
  <c r="AE42" i="34"/>
  <c r="AE178" i="34"/>
  <c r="AG72" i="36"/>
  <c r="N1488" i="67" s="1"/>
  <c r="AG56" i="36"/>
  <c r="N1472" i="67" s="1"/>
  <c r="AG10" i="34"/>
  <c r="AG42" i="34"/>
  <c r="AG24" i="34"/>
  <c r="AG162" i="34"/>
  <c r="AG178" i="34"/>
  <c r="AH56" i="36"/>
  <c r="O1472" i="67" s="1"/>
  <c r="AH72" i="36"/>
  <c r="O1488" i="67" s="1"/>
  <c r="AH24" i="34"/>
  <c r="AH42" i="34"/>
  <c r="AH10" i="34"/>
  <c r="AH162" i="34"/>
  <c r="AH178" i="34"/>
  <c r="AF56" i="36"/>
  <c r="M1472" i="67" s="1"/>
  <c r="AF72" i="36"/>
  <c r="M1488" i="67" s="1"/>
  <c r="AF42" i="34"/>
  <c r="AF24" i="34"/>
  <c r="AF10" i="34"/>
  <c r="AF162" i="34"/>
  <c r="AF178" i="34"/>
  <c r="AI56" i="36"/>
  <c r="P1472" i="67" s="1"/>
  <c r="AI72" i="36"/>
  <c r="P1488" i="67" s="1"/>
  <c r="AI42" i="34"/>
  <c r="AI10" i="34"/>
  <c r="AI24" i="34"/>
  <c r="AI162" i="34"/>
  <c r="AI178" i="34"/>
  <c r="AD56" i="36"/>
  <c r="AD72" i="36"/>
  <c r="AD162" i="34"/>
  <c r="AD178" i="34"/>
  <c r="AD42" i="34"/>
  <c r="AD10" i="34"/>
  <c r="AD24" i="34"/>
  <c r="AS162" i="34"/>
  <c r="AS10" i="34"/>
  <c r="AS56" i="36"/>
  <c r="AS42" i="34"/>
  <c r="AS178" i="34"/>
  <c r="AS24" i="34"/>
  <c r="AV10" i="34"/>
  <c r="AV56" i="36"/>
  <c r="AV162" i="34"/>
  <c r="BE170" i="34"/>
  <c r="BE186" i="34"/>
  <c r="BE80" i="36"/>
  <c r="BE64" i="36"/>
  <c r="BE50" i="34"/>
  <c r="BE32" i="34"/>
  <c r="BD170" i="34"/>
  <c r="BD186" i="34"/>
  <c r="BD80" i="36"/>
  <c r="BD64" i="36"/>
  <c r="BD32" i="34"/>
  <c r="BD50" i="34"/>
  <c r="AO51" i="34"/>
  <c r="AO187" i="34"/>
  <c r="AO171" i="34"/>
  <c r="AO33" i="34"/>
  <c r="AO65" i="36"/>
  <c r="AO81" i="36"/>
  <c r="BJ171" i="34"/>
  <c r="BJ33" i="34"/>
  <c r="BJ187" i="34"/>
  <c r="BJ51" i="34"/>
  <c r="BJ65" i="36"/>
  <c r="BJ81" i="36"/>
  <c r="BH171" i="34"/>
  <c r="BH187" i="34"/>
  <c r="BH33" i="34"/>
  <c r="BH51" i="34"/>
  <c r="BH81" i="36"/>
  <c r="BH65" i="36"/>
  <c r="BL170" i="34"/>
  <c r="BL186" i="34"/>
  <c r="BL80" i="36"/>
  <c r="BL64" i="36"/>
  <c r="BL50" i="34"/>
  <c r="BL32" i="34"/>
  <c r="AX186" i="34"/>
  <c r="AX170" i="34"/>
  <c r="AX64" i="36"/>
  <c r="AX80" i="36"/>
  <c r="AX32" i="34"/>
  <c r="AX50" i="34"/>
  <c r="AO170" i="34"/>
  <c r="AO186" i="34"/>
  <c r="AO64" i="36"/>
  <c r="AO80" i="36"/>
  <c r="AO50" i="34"/>
  <c r="AO32" i="34"/>
  <c r="AN170" i="34"/>
  <c r="AN186" i="34"/>
  <c r="AN80" i="36"/>
  <c r="AN64" i="36"/>
  <c r="AN32" i="34"/>
  <c r="AN50" i="34"/>
  <c r="AR168" i="34"/>
  <c r="AR184" i="34"/>
  <c r="AR62" i="36"/>
  <c r="AR78" i="36"/>
  <c r="AR16" i="34"/>
  <c r="AR48" i="34"/>
  <c r="AR30" i="34"/>
  <c r="AJ187" i="34"/>
  <c r="AJ171" i="34"/>
  <c r="AJ33" i="34"/>
  <c r="AJ51" i="34"/>
  <c r="AJ65" i="36"/>
  <c r="AJ81" i="36"/>
  <c r="BP171" i="34"/>
  <c r="BP33" i="34"/>
  <c r="BP51" i="34"/>
  <c r="BP65" i="36"/>
  <c r="BP187" i="34"/>
  <c r="BP81" i="36"/>
  <c r="AL171" i="34"/>
  <c r="AL33" i="34"/>
  <c r="AL51" i="34"/>
  <c r="AL187" i="34"/>
  <c r="AL81" i="36"/>
  <c r="AL65" i="36"/>
  <c r="BN187" i="34"/>
  <c r="BN171" i="34"/>
  <c r="BN33" i="34"/>
  <c r="BN51" i="34"/>
  <c r="BN81" i="36"/>
  <c r="BN65" i="36"/>
  <c r="AT186" i="34"/>
  <c r="AT170" i="34"/>
  <c r="AT80" i="36"/>
  <c r="AT64" i="36"/>
  <c r="AT32" i="34"/>
  <c r="AT50" i="34"/>
  <c r="AK168" i="34"/>
  <c r="AK184" i="34"/>
  <c r="AK78" i="36"/>
  <c r="AK62" i="36"/>
  <c r="AK48" i="34"/>
  <c r="AK30" i="34"/>
  <c r="AK16" i="34"/>
  <c r="BO187" i="34"/>
  <c r="BO33" i="34"/>
  <c r="BO51" i="34"/>
  <c r="BO171" i="34"/>
  <c r="BO65" i="36"/>
  <c r="BO81" i="36"/>
  <c r="BF187" i="34"/>
  <c r="BF33" i="34"/>
  <c r="BF51" i="34"/>
  <c r="BF171" i="34"/>
  <c r="BF81" i="36"/>
  <c r="BF65" i="36"/>
  <c r="BK187" i="34"/>
  <c r="BK33" i="34"/>
  <c r="BK51" i="34"/>
  <c r="BK171" i="34"/>
  <c r="BK65" i="36"/>
  <c r="BK81" i="36"/>
  <c r="BL171" i="34"/>
  <c r="BL51" i="34"/>
  <c r="BL33" i="34"/>
  <c r="BL187" i="34"/>
  <c r="BL81" i="36"/>
  <c r="BL65" i="36"/>
  <c r="AL170" i="34"/>
  <c r="AL186" i="34"/>
  <c r="AL80" i="36"/>
  <c r="AL64" i="36"/>
  <c r="AL50" i="34"/>
  <c r="AL32" i="34"/>
  <c r="BK170" i="34"/>
  <c r="BK186" i="34"/>
  <c r="BK64" i="36"/>
  <c r="BK80" i="36"/>
  <c r="BK32" i="34"/>
  <c r="BK50" i="34"/>
  <c r="AM186" i="34"/>
  <c r="AM170" i="34"/>
  <c r="AM64" i="36"/>
  <c r="AM80" i="36"/>
  <c r="AM50" i="34"/>
  <c r="AM32" i="34"/>
  <c r="BP186" i="34"/>
  <c r="BP170" i="34"/>
  <c r="BP80" i="36"/>
  <c r="BP64" i="36"/>
  <c r="BP32" i="34"/>
  <c r="BP50" i="34"/>
  <c r="AN43" i="34"/>
  <c r="AN25" i="34"/>
  <c r="AN11" i="34"/>
  <c r="AN179" i="34"/>
  <c r="AN57" i="36"/>
  <c r="AN163" i="34"/>
  <c r="AN73" i="36"/>
  <c r="BJ186" i="34"/>
  <c r="BJ170" i="34"/>
  <c r="BJ64" i="36"/>
  <c r="BJ80" i="36"/>
  <c r="BJ32" i="34"/>
  <c r="BJ50" i="34"/>
  <c r="BI186" i="34"/>
  <c r="BI170" i="34"/>
  <c r="BI80" i="36"/>
  <c r="BI64" i="36"/>
  <c r="BI32" i="34"/>
  <c r="BI50" i="34"/>
  <c r="AY187" i="34"/>
  <c r="AY33" i="34"/>
  <c r="AY51" i="34"/>
  <c r="AY171" i="34"/>
  <c r="AY65" i="36"/>
  <c r="AY81" i="36"/>
  <c r="BB187" i="34"/>
  <c r="BB33" i="34"/>
  <c r="BB51" i="34"/>
  <c r="BB171" i="34"/>
  <c r="BB65" i="36"/>
  <c r="BB81" i="36"/>
  <c r="BG187" i="34"/>
  <c r="BG33" i="34"/>
  <c r="BG51" i="34"/>
  <c r="BG171" i="34"/>
  <c r="BG81" i="36"/>
  <c r="BG65" i="36"/>
  <c r="AW187" i="34"/>
  <c r="AW33" i="34"/>
  <c r="AW51" i="34"/>
  <c r="AW171" i="34"/>
  <c r="AW65" i="36"/>
  <c r="AW81" i="36"/>
  <c r="AP171" i="34"/>
  <c r="AP33" i="34"/>
  <c r="AP51" i="34"/>
  <c r="AP187" i="34"/>
  <c r="AP81" i="36"/>
  <c r="AP65" i="36"/>
  <c r="AQ184" i="34"/>
  <c r="AQ168" i="34"/>
  <c r="AQ62" i="36"/>
  <c r="AQ78" i="36"/>
  <c r="AQ30" i="34"/>
  <c r="AQ16" i="34"/>
  <c r="AQ48" i="34"/>
  <c r="AS168" i="34"/>
  <c r="AS184" i="34"/>
  <c r="AS78" i="36"/>
  <c r="AS62" i="36"/>
  <c r="AS16" i="34"/>
  <c r="AS30" i="34"/>
  <c r="AS48" i="34"/>
  <c r="AU186" i="34"/>
  <c r="AU170" i="34"/>
  <c r="AU80" i="36"/>
  <c r="AU64" i="36"/>
  <c r="AU50" i="34"/>
  <c r="AU32" i="34"/>
  <c r="BG186" i="34"/>
  <c r="BG170" i="34"/>
  <c r="BG80" i="36"/>
  <c r="BG64" i="36"/>
  <c r="BG50" i="34"/>
  <c r="BG32" i="34"/>
  <c r="BN170" i="34"/>
  <c r="BN186" i="34"/>
  <c r="BN64" i="36"/>
  <c r="BN80" i="36"/>
  <c r="BN32" i="34"/>
  <c r="BN50" i="34"/>
  <c r="AV186" i="34"/>
  <c r="AV170" i="34"/>
  <c r="AV64" i="36"/>
  <c r="AV80" i="36"/>
  <c r="AV50" i="34"/>
  <c r="AV32" i="34"/>
  <c r="AT168" i="34"/>
  <c r="AT184" i="34"/>
  <c r="AT78" i="36"/>
  <c r="AT62" i="36"/>
  <c r="AT16" i="34"/>
  <c r="AT48" i="34"/>
  <c r="AT30" i="34"/>
  <c r="AP184" i="34"/>
  <c r="AP168" i="34"/>
  <c r="AP78" i="36"/>
  <c r="AP62" i="36"/>
  <c r="AP30" i="34"/>
  <c r="AP16" i="34"/>
  <c r="AP48" i="34"/>
  <c r="BA186" i="34"/>
  <c r="BA170" i="34"/>
  <c r="BA64" i="36"/>
  <c r="BA80" i="36"/>
  <c r="BA32" i="34"/>
  <c r="BA50" i="34"/>
  <c r="AK186" i="34"/>
  <c r="AK170" i="34"/>
  <c r="AK64" i="36"/>
  <c r="AK80" i="36"/>
  <c r="AK50" i="34"/>
  <c r="AK32" i="34"/>
  <c r="AM171" i="34"/>
  <c r="AM33" i="34"/>
  <c r="AM51" i="34"/>
  <c r="AM187" i="34"/>
  <c r="AM65" i="36"/>
  <c r="AM81" i="36"/>
  <c r="AV187" i="34"/>
  <c r="AV171" i="34"/>
  <c r="AV33" i="34"/>
  <c r="AV81" i="36"/>
  <c r="AV65" i="36"/>
  <c r="AV51" i="34"/>
  <c r="AS187" i="34"/>
  <c r="AS33" i="34"/>
  <c r="AS51" i="34"/>
  <c r="AS171" i="34"/>
  <c r="AS65" i="36"/>
  <c r="AS81" i="36"/>
  <c r="BE171" i="34"/>
  <c r="BE33" i="34"/>
  <c r="BE51" i="34"/>
  <c r="BE187" i="34"/>
  <c r="BE65" i="36"/>
  <c r="BE81" i="36"/>
  <c r="AQ186" i="34"/>
  <c r="AQ170" i="34"/>
  <c r="AQ80" i="36"/>
  <c r="AQ64" i="36"/>
  <c r="AQ50" i="34"/>
  <c r="AQ32" i="34"/>
  <c r="BM170" i="34"/>
  <c r="BM186" i="34"/>
  <c r="BM64" i="36"/>
  <c r="BM80" i="36"/>
  <c r="BM50" i="34"/>
  <c r="BM32" i="34"/>
  <c r="AY170" i="34"/>
  <c r="AY186" i="34"/>
  <c r="AY80" i="36"/>
  <c r="AY64" i="36"/>
  <c r="AY32" i="34"/>
  <c r="AY50" i="34"/>
  <c r="BF170" i="34"/>
  <c r="BF186" i="34"/>
  <c r="BF80" i="36"/>
  <c r="BF64" i="36"/>
  <c r="BF50" i="34"/>
  <c r="BF32" i="34"/>
  <c r="AJ184" i="34"/>
  <c r="AJ168" i="34"/>
  <c r="AJ78" i="36"/>
  <c r="AJ62" i="36"/>
  <c r="AJ48" i="34"/>
  <c r="AJ16" i="34"/>
  <c r="AJ30" i="34"/>
  <c r="AM184" i="34"/>
  <c r="AM168" i="34"/>
  <c r="AM78" i="36"/>
  <c r="AM62" i="36"/>
  <c r="AM30" i="34"/>
  <c r="AM16" i="34"/>
  <c r="AM48" i="34"/>
  <c r="AR11" i="34"/>
  <c r="AR179" i="34"/>
  <c r="AR25" i="34"/>
  <c r="AR43" i="34"/>
  <c r="AR163" i="34"/>
  <c r="AR57" i="36"/>
  <c r="AR73" i="36"/>
  <c r="AX171" i="34"/>
  <c r="AX33" i="34"/>
  <c r="AX51" i="34"/>
  <c r="AX187" i="34"/>
  <c r="AX81" i="36"/>
  <c r="AX65" i="36"/>
  <c r="BC187" i="34"/>
  <c r="BC33" i="34"/>
  <c r="BC51" i="34"/>
  <c r="BC65" i="36"/>
  <c r="BC171" i="34"/>
  <c r="BC81" i="36"/>
  <c r="AZ187" i="34"/>
  <c r="AZ171" i="34"/>
  <c r="AZ33" i="34"/>
  <c r="AZ51" i="34"/>
  <c r="AZ65" i="36"/>
  <c r="AZ81" i="36"/>
  <c r="BM187" i="34"/>
  <c r="BM33" i="34"/>
  <c r="BM51" i="34"/>
  <c r="BM171" i="34"/>
  <c r="BM65" i="36"/>
  <c r="BM81" i="36"/>
  <c r="AS43" i="34"/>
  <c r="AS25" i="34"/>
  <c r="AS11" i="34"/>
  <c r="AS179" i="34"/>
  <c r="AS163" i="34"/>
  <c r="AS73" i="36"/>
  <c r="AS57" i="36"/>
  <c r="BD171" i="34"/>
  <c r="BD187" i="34"/>
  <c r="BD33" i="34"/>
  <c r="BD51" i="34"/>
  <c r="BD81" i="36"/>
  <c r="BD65" i="36"/>
  <c r="AU187" i="34"/>
  <c r="AU33" i="34"/>
  <c r="AU51" i="34"/>
  <c r="AU171" i="34"/>
  <c r="AU65" i="36"/>
  <c r="AU81" i="36"/>
  <c r="AR171" i="34"/>
  <c r="AR187" i="34"/>
  <c r="AR33" i="34"/>
  <c r="AR51" i="34"/>
  <c r="AR65" i="36"/>
  <c r="AR81" i="36"/>
  <c r="BI171" i="34"/>
  <c r="BI33" i="34"/>
  <c r="BI51" i="34"/>
  <c r="BI187" i="34"/>
  <c r="BI81" i="36"/>
  <c r="BI65" i="36"/>
  <c r="AJ170" i="34"/>
  <c r="AJ186" i="34"/>
  <c r="AJ64" i="36"/>
  <c r="AJ80" i="36"/>
  <c r="AJ50" i="34"/>
  <c r="AJ32" i="34"/>
  <c r="AZ186" i="34"/>
  <c r="AZ170" i="34"/>
  <c r="AZ64" i="36"/>
  <c r="AZ80" i="36"/>
  <c r="AZ50" i="34"/>
  <c r="AZ32" i="34"/>
  <c r="AP186" i="34"/>
  <c r="AP170" i="34"/>
  <c r="AP80" i="36"/>
  <c r="AP64" i="36"/>
  <c r="AP50" i="34"/>
  <c r="AP32" i="34"/>
  <c r="BH186" i="34"/>
  <c r="BH170" i="34"/>
  <c r="BH64" i="36"/>
  <c r="BH80" i="36"/>
  <c r="BH50" i="34"/>
  <c r="BH32" i="34"/>
  <c r="AW186" i="34"/>
  <c r="AW170" i="34"/>
  <c r="AW64" i="36"/>
  <c r="AW80" i="36"/>
  <c r="AW32" i="34"/>
  <c r="AW50" i="34"/>
  <c r="AS170" i="34"/>
  <c r="AS186" i="34"/>
  <c r="AS64" i="36"/>
  <c r="AS80" i="36"/>
  <c r="AS32" i="34"/>
  <c r="AS50" i="34"/>
  <c r="BA187" i="34"/>
  <c r="BA33" i="34"/>
  <c r="BA51" i="34"/>
  <c r="BA171" i="34"/>
  <c r="BA65" i="36"/>
  <c r="BA81" i="36"/>
  <c r="AQ171" i="34"/>
  <c r="AQ33" i="34"/>
  <c r="AQ51" i="34"/>
  <c r="AQ187" i="34"/>
  <c r="AQ81" i="36"/>
  <c r="AQ65" i="36"/>
  <c r="AK51" i="34"/>
  <c r="AK171" i="34"/>
  <c r="AK187" i="34"/>
  <c r="AK33" i="34"/>
  <c r="AK81" i="36"/>
  <c r="AK65" i="36"/>
  <c r="AN51" i="34"/>
  <c r="AN187" i="34"/>
  <c r="AN171" i="34"/>
  <c r="AN33" i="34"/>
  <c r="AN65" i="36"/>
  <c r="AN81" i="36"/>
  <c r="AU168" i="34"/>
  <c r="AU184" i="34"/>
  <c r="AU78" i="36"/>
  <c r="AU62" i="36"/>
  <c r="AU48" i="34"/>
  <c r="AU16" i="34"/>
  <c r="AU30" i="34"/>
  <c r="AV168" i="34"/>
  <c r="AV184" i="34"/>
  <c r="AV62" i="36"/>
  <c r="AV78" i="36"/>
  <c r="AV30" i="34"/>
  <c r="AV48" i="34"/>
  <c r="AV16" i="34"/>
  <c r="AN184" i="34"/>
  <c r="AN168" i="34"/>
  <c r="AN78" i="36"/>
  <c r="AN62" i="36"/>
  <c r="AN48" i="34"/>
  <c r="AN30" i="34"/>
  <c r="AN16" i="34"/>
  <c r="AV43" i="34"/>
  <c r="AV25" i="34"/>
  <c r="AV179" i="34"/>
  <c r="AV163" i="34"/>
  <c r="AV11" i="34"/>
  <c r="AV57" i="36"/>
  <c r="AV73" i="36"/>
  <c r="AQ11" i="34"/>
  <c r="AQ179" i="34"/>
  <c r="AQ25" i="34"/>
  <c r="AQ43" i="34"/>
  <c r="AQ163" i="34"/>
  <c r="AQ57" i="36"/>
  <c r="AQ73" i="36"/>
  <c r="AT187" i="34"/>
  <c r="AT33" i="34"/>
  <c r="AT51" i="34"/>
  <c r="AT171" i="34"/>
  <c r="AT65" i="36"/>
  <c r="AT81" i="36"/>
  <c r="BC186" i="34"/>
  <c r="BC170" i="34"/>
  <c r="BC80" i="36"/>
  <c r="BC64" i="36"/>
  <c r="BC50" i="34"/>
  <c r="BC32" i="34"/>
  <c r="BB170" i="34"/>
  <c r="BB186" i="34"/>
  <c r="BB64" i="36"/>
  <c r="BB80" i="36"/>
  <c r="BB50" i="34"/>
  <c r="BB32" i="34"/>
  <c r="AR186" i="34"/>
  <c r="AR170" i="34"/>
  <c r="AR80" i="36"/>
  <c r="AR64" i="36"/>
  <c r="AR32" i="34"/>
  <c r="AR50" i="34"/>
  <c r="BO170" i="34"/>
  <c r="BO186" i="34"/>
  <c r="BO64" i="36"/>
  <c r="BO80" i="36"/>
  <c r="BO32" i="34"/>
  <c r="BO50" i="34"/>
  <c r="AO168" i="34"/>
  <c r="AO184" i="34"/>
  <c r="AO78" i="36"/>
  <c r="AO62" i="36"/>
  <c r="AO16" i="34"/>
  <c r="AO30" i="34"/>
  <c r="AO48" i="34"/>
  <c r="AP163" i="34"/>
  <c r="AL168" i="34"/>
  <c r="AL184" i="34"/>
  <c r="AL78" i="36"/>
  <c r="AL62" i="36"/>
  <c r="AL30" i="34"/>
  <c r="AL48" i="34"/>
  <c r="AL16" i="34"/>
  <c r="AM179" i="34"/>
  <c r="AJ179" i="34"/>
  <c r="AJ11" i="34"/>
  <c r="AJ43" i="34"/>
  <c r="AJ163" i="34"/>
  <c r="AJ57" i="36"/>
  <c r="AJ25" i="34"/>
  <c r="AJ73" i="36"/>
  <c r="K1369" i="67" l="1"/>
  <c r="K1249" i="67"/>
  <c r="K1353" i="67"/>
  <c r="K1267" i="67"/>
  <c r="AU119" i="34"/>
  <c r="AB1494" i="67"/>
  <c r="AB1148" i="67"/>
  <c r="AB997" i="67"/>
  <c r="AQ122" i="34"/>
  <c r="X1497" i="67"/>
  <c r="AW105" i="34"/>
  <c r="AD983" i="67"/>
  <c r="AD1134" i="67"/>
  <c r="AD1480" i="67"/>
  <c r="AD681" i="67"/>
  <c r="AU106" i="34"/>
  <c r="AB1481" i="67"/>
  <c r="AZ122" i="34"/>
  <c r="AG1497" i="67"/>
  <c r="AX106" i="34"/>
  <c r="AE1481" i="67"/>
  <c r="BA105" i="34"/>
  <c r="AH983" i="67"/>
  <c r="AH1134" i="67"/>
  <c r="AH1480" i="67"/>
  <c r="AH681" i="67"/>
  <c r="BG121" i="34"/>
  <c r="AN999" i="67"/>
  <c r="AN1150" i="67"/>
  <c r="AN1496" i="67"/>
  <c r="BG122" i="34"/>
  <c r="AN1497" i="67"/>
  <c r="BF106" i="34"/>
  <c r="AM1481" i="67"/>
  <c r="AO121" i="34"/>
  <c r="V999" i="67"/>
  <c r="V1150" i="67"/>
  <c r="V1496" i="67"/>
  <c r="BL105" i="34"/>
  <c r="AS983" i="67"/>
  <c r="AS1134" i="67"/>
  <c r="AS1480" i="67"/>
  <c r="AS681" i="67"/>
  <c r="BH106" i="34"/>
  <c r="AO1481" i="67"/>
  <c r="BD105" i="34"/>
  <c r="AK983" i="67"/>
  <c r="AK1134" i="67"/>
  <c r="AK1480" i="67"/>
  <c r="AK681" i="67"/>
  <c r="P63" i="67"/>
  <c r="P369" i="67"/>
  <c r="P216" i="67"/>
  <c r="P521" i="67"/>
  <c r="P824" i="67"/>
  <c r="L216" i="67"/>
  <c r="L369" i="67"/>
  <c r="L521" i="67"/>
  <c r="L63" i="67"/>
  <c r="L824" i="67"/>
  <c r="AD122" i="34"/>
  <c r="K1497" i="67"/>
  <c r="K1151" i="67"/>
  <c r="K1000" i="67"/>
  <c r="AI106" i="34"/>
  <c r="P1481" i="67"/>
  <c r="AS113" i="34"/>
  <c r="Z1488" i="67"/>
  <c r="AP97" i="34"/>
  <c r="W1472" i="67"/>
  <c r="AJ113" i="34"/>
  <c r="Q1488" i="67"/>
  <c r="AF341" i="67"/>
  <c r="AF493" i="67"/>
  <c r="AF188" i="67"/>
  <c r="AF645" i="67"/>
  <c r="AF35" i="67"/>
  <c r="AF796" i="67"/>
  <c r="V898" i="67"/>
  <c r="V443" i="67"/>
  <c r="V747" i="67"/>
  <c r="V137" i="67"/>
  <c r="V290" i="67"/>
  <c r="V595" i="67"/>
  <c r="AK359" i="67"/>
  <c r="AK663" i="67"/>
  <c r="AK53" i="67"/>
  <c r="AK206" i="67"/>
  <c r="AK511" i="67"/>
  <c r="AK814" i="67"/>
  <c r="AW159" i="67"/>
  <c r="AW918" i="67"/>
  <c r="AK356" i="67"/>
  <c r="AK660" i="67"/>
  <c r="AK811" i="67"/>
  <c r="AK508" i="67"/>
  <c r="AK50" i="67"/>
  <c r="AK203" i="67"/>
  <c r="BE26" i="68"/>
  <c r="AD24" i="62" s="1"/>
  <c r="AQ340" i="67"/>
  <c r="AQ795" i="67"/>
  <c r="AQ644" i="67"/>
  <c r="AQ492" i="67"/>
  <c r="AQ34" i="67"/>
  <c r="AQ187" i="67"/>
  <c r="AM811" i="67"/>
  <c r="AM356" i="67"/>
  <c r="AM660" i="67"/>
  <c r="AM508" i="67"/>
  <c r="AM50" i="67"/>
  <c r="AM203" i="67"/>
  <c r="BG26" i="68"/>
  <c r="AF24" i="62" s="1"/>
  <c r="AR458" i="67"/>
  <c r="AR762" i="67"/>
  <c r="AR913" i="67"/>
  <c r="AR152" i="67"/>
  <c r="AR305" i="67"/>
  <c r="AR610" i="67"/>
  <c r="Q356" i="67"/>
  <c r="Q811" i="67"/>
  <c r="Q660" i="67"/>
  <c r="Q508" i="67"/>
  <c r="Q50" i="67"/>
  <c r="Q203" i="67"/>
  <c r="AK26" i="68"/>
  <c r="J24" i="62" s="1"/>
  <c r="S586" i="67"/>
  <c r="S281" i="67"/>
  <c r="S128" i="67"/>
  <c r="S434" i="67"/>
  <c r="S738" i="67"/>
  <c r="S889" i="67"/>
  <c r="Y348" i="67"/>
  <c r="Y42" i="67"/>
  <c r="Y652" i="67"/>
  <c r="Y195" i="67"/>
  <c r="Y803" i="67"/>
  <c r="AS21" i="68"/>
  <c r="R21" i="62" s="1"/>
  <c r="Y500" i="67"/>
  <c r="AQ450" i="67"/>
  <c r="AQ297" i="67"/>
  <c r="AQ602" i="67"/>
  <c r="AQ144" i="67"/>
  <c r="AQ754" i="67"/>
  <c r="AQ905" i="67"/>
  <c r="BE13" i="68"/>
  <c r="AD14" i="62" s="1"/>
  <c r="AK330" i="67"/>
  <c r="AK634" i="67"/>
  <c r="AK24" i="67"/>
  <c r="AK785" i="67"/>
  <c r="AK482" i="67"/>
  <c r="AK177" i="67"/>
  <c r="AS340" i="67"/>
  <c r="AS795" i="67"/>
  <c r="AS492" i="67"/>
  <c r="AS644" i="67"/>
  <c r="AS34" i="67"/>
  <c r="AS187" i="67"/>
  <c r="AJ163" i="67"/>
  <c r="AJ316" i="67"/>
  <c r="AJ771" i="67"/>
  <c r="AJ10" i="67"/>
  <c r="AJ620" i="67"/>
  <c r="AV348" i="67"/>
  <c r="BP21" i="68"/>
  <c r="AO21" i="62" s="1"/>
  <c r="AV652" i="67"/>
  <c r="AV42" i="67"/>
  <c r="AV803" i="67"/>
  <c r="AV500" i="67"/>
  <c r="AV195" i="67"/>
  <c r="AC290" i="67"/>
  <c r="AC137" i="67"/>
  <c r="AC443" i="67"/>
  <c r="AC595" i="67"/>
  <c r="AC898" i="67"/>
  <c r="AC747" i="67"/>
  <c r="AT339" i="67"/>
  <c r="AT643" i="67"/>
  <c r="AT33" i="67"/>
  <c r="AT794" i="67"/>
  <c r="AT491" i="67"/>
  <c r="AT186" i="67"/>
  <c r="P435" i="67"/>
  <c r="P282" i="67"/>
  <c r="P587" i="67"/>
  <c r="P129" i="67"/>
  <c r="P739" i="67"/>
  <c r="P890" i="67"/>
  <c r="AS331" i="67"/>
  <c r="AS635" i="67"/>
  <c r="AS483" i="67"/>
  <c r="AS25" i="67"/>
  <c r="AS178" i="67"/>
  <c r="AS786" i="67"/>
  <c r="O164" i="67"/>
  <c r="O317" i="67"/>
  <c r="O772" i="67"/>
  <c r="O621" i="67"/>
  <c r="O11" i="67"/>
  <c r="AP153" i="67"/>
  <c r="AP459" i="67"/>
  <c r="AP611" i="67"/>
  <c r="AP914" i="67"/>
  <c r="AP763" i="67"/>
  <c r="AP306" i="67"/>
  <c r="AV341" i="67"/>
  <c r="AV645" i="67"/>
  <c r="AV35" i="67"/>
  <c r="AV796" i="67"/>
  <c r="AV493" i="67"/>
  <c r="AV188" i="67"/>
  <c r="S357" i="67"/>
  <c r="S812" i="67"/>
  <c r="S509" i="67"/>
  <c r="S204" i="67"/>
  <c r="S51" i="67"/>
  <c r="S661" i="67"/>
  <c r="AA357" i="67"/>
  <c r="AA509" i="67"/>
  <c r="AA51" i="67"/>
  <c r="AA661" i="67"/>
  <c r="AA204" i="67"/>
  <c r="AA812" i="67"/>
  <c r="P913" i="67"/>
  <c r="P458" i="67"/>
  <c r="P762" i="67"/>
  <c r="P152" i="67"/>
  <c r="P305" i="67"/>
  <c r="P610" i="67"/>
  <c r="AK340" i="67"/>
  <c r="AK795" i="67"/>
  <c r="AK644" i="67"/>
  <c r="AK492" i="67"/>
  <c r="AK34" i="67"/>
  <c r="AK187" i="67"/>
  <c r="AH338" i="67"/>
  <c r="AH642" i="67"/>
  <c r="AH490" i="67"/>
  <c r="AH32" i="67"/>
  <c r="AH185" i="67"/>
  <c r="AO442" i="67"/>
  <c r="AO746" i="67"/>
  <c r="AO897" i="67"/>
  <c r="AO289" i="67"/>
  <c r="AO594" i="67"/>
  <c r="AO136" i="67"/>
  <c r="AI762" i="67"/>
  <c r="AI458" i="67"/>
  <c r="AI913" i="67"/>
  <c r="AI152" i="67"/>
  <c r="AI610" i="67"/>
  <c r="AI305" i="67"/>
  <c r="Z338" i="67"/>
  <c r="Z642" i="67"/>
  <c r="Z490" i="67"/>
  <c r="Z32" i="67"/>
  <c r="Z185" i="67"/>
  <c r="AL331" i="67"/>
  <c r="AL786" i="67"/>
  <c r="AL483" i="67"/>
  <c r="AL25" i="67"/>
  <c r="AL635" i="67"/>
  <c r="AL178" i="67"/>
  <c r="AJ349" i="67"/>
  <c r="AJ501" i="67"/>
  <c r="AJ653" i="67"/>
  <c r="AJ196" i="67"/>
  <c r="AJ804" i="67"/>
  <c r="AJ43" i="67"/>
  <c r="AW434" i="67"/>
  <c r="AW889" i="67"/>
  <c r="AW128" i="67"/>
  <c r="AW281" i="67"/>
  <c r="AW586" i="67"/>
  <c r="AW738" i="67"/>
  <c r="Z145" i="67"/>
  <c r="Z603" i="67"/>
  <c r="Z755" i="67"/>
  <c r="Z451" i="67"/>
  <c r="Z906" i="67"/>
  <c r="Z298" i="67"/>
  <c r="Z164" i="67"/>
  <c r="Z317" i="67"/>
  <c r="Z772" i="67"/>
  <c r="Z11" i="67"/>
  <c r="Z621" i="67"/>
  <c r="W331" i="67"/>
  <c r="W178" i="67"/>
  <c r="W483" i="67"/>
  <c r="W635" i="67"/>
  <c r="W25" i="67"/>
  <c r="W786" i="67"/>
  <c r="AI435" i="67"/>
  <c r="AI890" i="67"/>
  <c r="AI129" i="67"/>
  <c r="AI282" i="67"/>
  <c r="AI587" i="67"/>
  <c r="AI739" i="67"/>
  <c r="R129" i="67"/>
  <c r="R435" i="67"/>
  <c r="R282" i="67"/>
  <c r="R739" i="67"/>
  <c r="R587" i="67"/>
  <c r="R890" i="67"/>
  <c r="AB739" i="67"/>
  <c r="AB129" i="67"/>
  <c r="AB282" i="67"/>
  <c r="AB435" i="67"/>
  <c r="AB890" i="67"/>
  <c r="AB587" i="67"/>
  <c r="AB164" i="67"/>
  <c r="AB317" i="67"/>
  <c r="AB11" i="67"/>
  <c r="AB621" i="67"/>
  <c r="AB772" i="67"/>
  <c r="N331" i="67"/>
  <c r="N25" i="67"/>
  <c r="N483" i="67"/>
  <c r="N178" i="67"/>
  <c r="N635" i="67"/>
  <c r="N786" i="67"/>
  <c r="AD349" i="67"/>
  <c r="AD501" i="67"/>
  <c r="AD196" i="67"/>
  <c r="AD804" i="67"/>
  <c r="AD653" i="67"/>
  <c r="AD43" i="67"/>
  <c r="AE435" i="67"/>
  <c r="AE890" i="67"/>
  <c r="AE587" i="67"/>
  <c r="AE739" i="67"/>
  <c r="AE129" i="67"/>
  <c r="AE282" i="67"/>
  <c r="X331" i="67"/>
  <c r="X483" i="67"/>
  <c r="X635" i="67"/>
  <c r="X25" i="67"/>
  <c r="X786" i="67"/>
  <c r="X178" i="67"/>
  <c r="AR349" i="67"/>
  <c r="AR501" i="67"/>
  <c r="AR804" i="67"/>
  <c r="AR43" i="67"/>
  <c r="AR196" i="67"/>
  <c r="AR653" i="67"/>
  <c r="AA435" i="67"/>
  <c r="AA890" i="67"/>
  <c r="AA129" i="67"/>
  <c r="AA282" i="67"/>
  <c r="AA587" i="67"/>
  <c r="AA739" i="67"/>
  <c r="AV451" i="67"/>
  <c r="AV906" i="67"/>
  <c r="AV298" i="67"/>
  <c r="AV755" i="67"/>
  <c r="AV145" i="67"/>
  <c r="AV603" i="67"/>
  <c r="AV164" i="67"/>
  <c r="AV317" i="67"/>
  <c r="AV11" i="67"/>
  <c r="AV772" i="67"/>
  <c r="AV621" i="67"/>
  <c r="AG331" i="67"/>
  <c r="AG786" i="67"/>
  <c r="AG635" i="67"/>
  <c r="AG25" i="67"/>
  <c r="AG483" i="67"/>
  <c r="AG178" i="67"/>
  <c r="AC349" i="67"/>
  <c r="AC501" i="67"/>
  <c r="AC43" i="67"/>
  <c r="AC653" i="67"/>
  <c r="AC196" i="67"/>
  <c r="AC804" i="67"/>
  <c r="AO282" i="67"/>
  <c r="AO129" i="67"/>
  <c r="AO587" i="67"/>
  <c r="AO435" i="67"/>
  <c r="AO739" i="67"/>
  <c r="AO890" i="67"/>
  <c r="L450" i="67"/>
  <c r="L754" i="67"/>
  <c r="L144" i="67"/>
  <c r="L602" i="67"/>
  <c r="L297" i="67"/>
  <c r="L905" i="67"/>
  <c r="L163" i="67"/>
  <c r="L316" i="67"/>
  <c r="L771" i="67"/>
  <c r="L10" i="67"/>
  <c r="L620" i="67"/>
  <c r="L339" i="67"/>
  <c r="L491" i="67"/>
  <c r="L643" i="67"/>
  <c r="L186" i="67"/>
  <c r="L794" i="67"/>
  <c r="L33" i="67"/>
  <c r="Y359" i="67"/>
  <c r="Y206" i="67"/>
  <c r="Y511" i="67"/>
  <c r="Y53" i="67"/>
  <c r="Y663" i="67"/>
  <c r="Y814" i="67"/>
  <c r="AJ357" i="67"/>
  <c r="AJ509" i="67"/>
  <c r="AJ204" i="67"/>
  <c r="AJ661" i="67"/>
  <c r="AJ51" i="67"/>
  <c r="AJ812" i="67"/>
  <c r="AN341" i="67"/>
  <c r="AN796" i="67"/>
  <c r="AN493" i="67"/>
  <c r="AN188" i="67"/>
  <c r="AN645" i="67"/>
  <c r="AN35" i="67"/>
  <c r="AB339" i="67"/>
  <c r="AB794" i="67"/>
  <c r="AB33" i="67"/>
  <c r="AB186" i="67"/>
  <c r="AB643" i="67"/>
  <c r="AB491" i="67"/>
  <c r="U357" i="67"/>
  <c r="U661" i="67"/>
  <c r="U812" i="67"/>
  <c r="U51" i="67"/>
  <c r="U509" i="67"/>
  <c r="U204" i="67"/>
  <c r="AE341" i="67"/>
  <c r="AE796" i="67"/>
  <c r="AE493" i="67"/>
  <c r="AE188" i="67"/>
  <c r="AE645" i="67"/>
  <c r="AE35" i="67"/>
  <c r="N339" i="67"/>
  <c r="N643" i="67"/>
  <c r="N33" i="67"/>
  <c r="N794" i="67"/>
  <c r="N491" i="67"/>
  <c r="N186" i="67"/>
  <c r="Y159" i="67"/>
  <c r="Y918" i="67"/>
  <c r="AP918" i="67"/>
  <c r="AP159" i="67"/>
  <c r="AT338" i="67"/>
  <c r="AT642" i="67"/>
  <c r="AT490" i="67"/>
  <c r="AT32" i="67"/>
  <c r="AT185" i="67"/>
  <c r="AD356" i="67"/>
  <c r="AD660" i="67"/>
  <c r="AD811" i="67"/>
  <c r="AD508" i="67"/>
  <c r="AD50" i="67"/>
  <c r="AD203" i="67"/>
  <c r="AX26" i="68"/>
  <c r="W24" i="62" s="1"/>
  <c r="AW746" i="67"/>
  <c r="AW442" i="67"/>
  <c r="AW897" i="67"/>
  <c r="AW136" i="67"/>
  <c r="AW289" i="67"/>
  <c r="AW594" i="67"/>
  <c r="L340" i="67"/>
  <c r="L644" i="67"/>
  <c r="L795" i="67"/>
  <c r="L492" i="67"/>
  <c r="L34" i="67"/>
  <c r="L187" i="67"/>
  <c r="M356" i="67"/>
  <c r="M508" i="67"/>
  <c r="M660" i="67"/>
  <c r="M811" i="67"/>
  <c r="M50" i="67"/>
  <c r="M203" i="67"/>
  <c r="AG26" i="68"/>
  <c r="F24" i="62" s="1"/>
  <c r="O358" i="67"/>
  <c r="O813" i="67"/>
  <c r="O510" i="67"/>
  <c r="O662" i="67"/>
  <c r="O52" i="67"/>
  <c r="O205" i="67"/>
  <c r="AW451" i="67"/>
  <c r="AW906" i="67"/>
  <c r="AW603" i="67"/>
  <c r="AW755" i="67"/>
  <c r="AW145" i="67"/>
  <c r="AW298" i="67"/>
  <c r="AW164" i="67"/>
  <c r="AW317" i="67"/>
  <c r="AW621" i="67"/>
  <c r="AW11" i="67"/>
  <c r="AW772" i="67"/>
  <c r="AL13" i="68"/>
  <c r="K14" i="62" s="1"/>
  <c r="R330" i="67"/>
  <c r="R482" i="67"/>
  <c r="R24" i="67"/>
  <c r="R634" i="67"/>
  <c r="R177" i="67"/>
  <c r="R785" i="67"/>
  <c r="AE434" i="67"/>
  <c r="AE738" i="67"/>
  <c r="AE281" i="67"/>
  <c r="AE128" i="67"/>
  <c r="AE586" i="67"/>
  <c r="AE889" i="67"/>
  <c r="AR144" i="67"/>
  <c r="AR754" i="67"/>
  <c r="AR602" i="67"/>
  <c r="AR450" i="67"/>
  <c r="AR297" i="67"/>
  <c r="AR905" i="67"/>
  <c r="AR163" i="67"/>
  <c r="AR316" i="67"/>
  <c r="AR771" i="67"/>
  <c r="AR10" i="67"/>
  <c r="AR620" i="67"/>
  <c r="AO330" i="67"/>
  <c r="BI13" i="68"/>
  <c r="AH14" i="62" s="1"/>
  <c r="AO785" i="67"/>
  <c r="AO634" i="67"/>
  <c r="AO177" i="67"/>
  <c r="AO482" i="67"/>
  <c r="AO24" i="67"/>
  <c r="AV897" i="67"/>
  <c r="AV442" i="67"/>
  <c r="AV746" i="67"/>
  <c r="AV289" i="67"/>
  <c r="AV136" i="67"/>
  <c r="AV594" i="67"/>
  <c r="AK129" i="67"/>
  <c r="AK739" i="67"/>
  <c r="AK587" i="67"/>
  <c r="AK435" i="67"/>
  <c r="AK282" i="67"/>
  <c r="AK890" i="67"/>
  <c r="AF603" i="67"/>
  <c r="AF145" i="67"/>
  <c r="AF298" i="67"/>
  <c r="AF451" i="67"/>
  <c r="AF755" i="67"/>
  <c r="AF906" i="67"/>
  <c r="AF164" i="67"/>
  <c r="AF317" i="67"/>
  <c r="AF772" i="67"/>
  <c r="AF621" i="67"/>
  <c r="AF11" i="67"/>
  <c r="AH331" i="67"/>
  <c r="AH786" i="67"/>
  <c r="AH25" i="67"/>
  <c r="AH178" i="67"/>
  <c r="AH635" i="67"/>
  <c r="AH483" i="67"/>
  <c r="AO358" i="67"/>
  <c r="AO813" i="67"/>
  <c r="AO662" i="67"/>
  <c r="AO205" i="67"/>
  <c r="AO510" i="67"/>
  <c r="AO52" i="67"/>
  <c r="BF21" i="68"/>
  <c r="AE21" i="62" s="1"/>
  <c r="AL348" i="67"/>
  <c r="AL652" i="67"/>
  <c r="AL42" i="67"/>
  <c r="AL803" i="67"/>
  <c r="AL195" i="67"/>
  <c r="AL500" i="67"/>
  <c r="Z586" i="67"/>
  <c r="Z738" i="67"/>
  <c r="Z281" i="67"/>
  <c r="Z128" i="67"/>
  <c r="Z434" i="67"/>
  <c r="Z889" i="67"/>
  <c r="AI297" i="67"/>
  <c r="AI144" i="67"/>
  <c r="AI450" i="67"/>
  <c r="AI602" i="67"/>
  <c r="AI754" i="67"/>
  <c r="AI905" i="67"/>
  <c r="AI163" i="67"/>
  <c r="AI316" i="67"/>
  <c r="AI10" i="67"/>
  <c r="AI620" i="67"/>
  <c r="AI771" i="67"/>
  <c r="AH13" i="68"/>
  <c r="G14" i="62" s="1"/>
  <c r="N330" i="67"/>
  <c r="N634" i="67"/>
  <c r="N24" i="67"/>
  <c r="N785" i="67"/>
  <c r="N482" i="67"/>
  <c r="N177" i="67"/>
  <c r="AT348" i="67"/>
  <c r="BN21" i="68"/>
  <c r="AM21" i="62" s="1"/>
  <c r="AT803" i="67"/>
  <c r="AT195" i="67"/>
  <c r="AT500" i="67"/>
  <c r="AT652" i="67"/>
  <c r="AT42" i="67"/>
  <c r="AA450" i="67"/>
  <c r="AA144" i="67"/>
  <c r="AA297" i="67"/>
  <c r="AA602" i="67"/>
  <c r="AA905" i="67"/>
  <c r="AA754" i="67"/>
  <c r="AC348" i="67"/>
  <c r="AC652" i="67"/>
  <c r="AC803" i="67"/>
  <c r="AC42" i="67"/>
  <c r="AC500" i="67"/>
  <c r="AW21" i="68"/>
  <c r="V21" i="62" s="1"/>
  <c r="AC195" i="67"/>
  <c r="AI357" i="67"/>
  <c r="AI812" i="67"/>
  <c r="AI509" i="67"/>
  <c r="AI51" i="67"/>
  <c r="AI661" i="67"/>
  <c r="AI204" i="67"/>
  <c r="AG747" i="67"/>
  <c r="AG898" i="67"/>
  <c r="AG443" i="67"/>
  <c r="AG290" i="67"/>
  <c r="AG595" i="67"/>
  <c r="AG137" i="67"/>
  <c r="AW359" i="67"/>
  <c r="AW511" i="67"/>
  <c r="AW206" i="67"/>
  <c r="AW663" i="67"/>
  <c r="AW53" i="67"/>
  <c r="AW814" i="67"/>
  <c r="AO459" i="67"/>
  <c r="AO306" i="67"/>
  <c r="AO611" i="67"/>
  <c r="AO153" i="67"/>
  <c r="AO914" i="67"/>
  <c r="AO763" i="67"/>
  <c r="AM357" i="67"/>
  <c r="AM51" i="67"/>
  <c r="AM661" i="67"/>
  <c r="AM204" i="67"/>
  <c r="AM812" i="67"/>
  <c r="AM509" i="67"/>
  <c r="U359" i="67"/>
  <c r="U814" i="67"/>
  <c r="U511" i="67"/>
  <c r="U53" i="67"/>
  <c r="U663" i="67"/>
  <c r="U206" i="67"/>
  <c r="AE357" i="67"/>
  <c r="AE661" i="67"/>
  <c r="AE51" i="67"/>
  <c r="AE204" i="67"/>
  <c r="AE509" i="67"/>
  <c r="AE812" i="67"/>
  <c r="N341" i="67"/>
  <c r="N796" i="67"/>
  <c r="N493" i="67"/>
  <c r="N35" i="67"/>
  <c r="N645" i="67"/>
  <c r="N188" i="67"/>
  <c r="W158" i="67"/>
  <c r="W917" i="67"/>
  <c r="S158" i="67"/>
  <c r="S917" i="67"/>
  <c r="R918" i="67"/>
  <c r="R159" i="67"/>
  <c r="AB918" i="67"/>
  <c r="AB159" i="67"/>
  <c r="T338" i="67"/>
  <c r="T642" i="67"/>
  <c r="T490" i="67"/>
  <c r="T32" i="67"/>
  <c r="T185" i="67"/>
  <c r="AS338" i="67"/>
  <c r="AS642" i="67"/>
  <c r="AS185" i="67"/>
  <c r="AS490" i="67"/>
  <c r="AS32" i="67"/>
  <c r="W746" i="67"/>
  <c r="W897" i="67"/>
  <c r="W442" i="67"/>
  <c r="W289" i="67"/>
  <c r="W594" i="67"/>
  <c r="W136" i="67"/>
  <c r="AG913" i="67"/>
  <c r="AG458" i="67"/>
  <c r="AG762" i="67"/>
  <c r="AG610" i="67"/>
  <c r="AG305" i="67"/>
  <c r="AG152" i="67"/>
  <c r="AQ338" i="67"/>
  <c r="AQ642" i="67"/>
  <c r="AQ490" i="67"/>
  <c r="AQ32" i="67"/>
  <c r="AQ185" i="67"/>
  <c r="X340" i="67"/>
  <c r="X644" i="67"/>
  <c r="X795" i="67"/>
  <c r="X492" i="67"/>
  <c r="X34" i="67"/>
  <c r="X187" i="67"/>
  <c r="Q358" i="67"/>
  <c r="Q813" i="67"/>
  <c r="Q662" i="67"/>
  <c r="Q510" i="67"/>
  <c r="Q52" i="67"/>
  <c r="Q205" i="67"/>
  <c r="S331" i="67"/>
  <c r="S25" i="67"/>
  <c r="S483" i="67"/>
  <c r="S635" i="67"/>
  <c r="S178" i="67"/>
  <c r="S786" i="67"/>
  <c r="Y349" i="67"/>
  <c r="Y804" i="67"/>
  <c r="Y196" i="67"/>
  <c r="Y501" i="67"/>
  <c r="Y653" i="67"/>
  <c r="Y43" i="67"/>
  <c r="AQ435" i="67"/>
  <c r="AQ890" i="67"/>
  <c r="AQ587" i="67"/>
  <c r="AQ129" i="67"/>
  <c r="AQ739" i="67"/>
  <c r="AQ282" i="67"/>
  <c r="K128" i="67"/>
  <c r="K586" i="67"/>
  <c r="K738" i="67"/>
  <c r="K434" i="67"/>
  <c r="K281" i="67"/>
  <c r="K889" i="67"/>
  <c r="Q451" i="67"/>
  <c r="Q298" i="67"/>
  <c r="Q603" i="67"/>
  <c r="Q755" i="67"/>
  <c r="Q145" i="67"/>
  <c r="Q906" i="67"/>
  <c r="Q164" i="67"/>
  <c r="Q317" i="67"/>
  <c r="Q621" i="67"/>
  <c r="Q11" i="67"/>
  <c r="Q772" i="67"/>
  <c r="V331" i="67"/>
  <c r="V483" i="67"/>
  <c r="V25" i="67"/>
  <c r="V635" i="67"/>
  <c r="V178" i="67"/>
  <c r="V786" i="67"/>
  <c r="AM331" i="67"/>
  <c r="AM786" i="67"/>
  <c r="AM178" i="67"/>
  <c r="AM483" i="67"/>
  <c r="AM635" i="67"/>
  <c r="AM25" i="67"/>
  <c r="M282" i="67"/>
  <c r="M435" i="67"/>
  <c r="M587" i="67"/>
  <c r="M739" i="67"/>
  <c r="M129" i="67"/>
  <c r="M890" i="67"/>
  <c r="N746" i="67"/>
  <c r="N897" i="67"/>
  <c r="N442" i="67"/>
  <c r="N594" i="67"/>
  <c r="N136" i="67"/>
  <c r="N289" i="67"/>
  <c r="Q297" i="67"/>
  <c r="Q450" i="67"/>
  <c r="Q602" i="67"/>
  <c r="Q144" i="67"/>
  <c r="Q754" i="67"/>
  <c r="Q905" i="67"/>
  <c r="AC359" i="67"/>
  <c r="AC53" i="67"/>
  <c r="AC511" i="67"/>
  <c r="AC663" i="67"/>
  <c r="AC206" i="67"/>
  <c r="AC814" i="67"/>
  <c r="AO158" i="67"/>
  <c r="AO917" i="67"/>
  <c r="AD358" i="67"/>
  <c r="AD662" i="67"/>
  <c r="AD813" i="67"/>
  <c r="AD52" i="67"/>
  <c r="AD510" i="67"/>
  <c r="AD205" i="67"/>
  <c r="AA348" i="67"/>
  <c r="AU21" i="68"/>
  <c r="T21" i="62" s="1"/>
  <c r="AA195" i="67"/>
  <c r="AA500" i="67"/>
  <c r="AA42" i="67"/>
  <c r="AA652" i="67"/>
  <c r="AA803" i="67"/>
  <c r="AC905" i="67"/>
  <c r="AC754" i="67"/>
  <c r="AC450" i="67"/>
  <c r="AC144" i="67"/>
  <c r="AC297" i="67"/>
  <c r="AC602" i="67"/>
  <c r="AC163" i="67"/>
  <c r="AC316" i="67"/>
  <c r="AC771" i="67"/>
  <c r="AC10" i="67"/>
  <c r="AC620" i="67"/>
  <c r="AI339" i="67"/>
  <c r="AI794" i="67"/>
  <c r="AI491" i="67"/>
  <c r="AI186" i="67"/>
  <c r="AI643" i="67"/>
  <c r="AI33" i="67"/>
  <c r="AG357" i="67"/>
  <c r="AG204" i="67"/>
  <c r="AG509" i="67"/>
  <c r="AG661" i="67"/>
  <c r="AG51" i="67"/>
  <c r="AG812" i="67"/>
  <c r="AW341" i="67"/>
  <c r="AW645" i="67"/>
  <c r="AW35" i="67"/>
  <c r="AW796" i="67"/>
  <c r="AW493" i="67"/>
  <c r="AW188" i="67"/>
  <c r="AO898" i="67"/>
  <c r="AO443" i="67"/>
  <c r="AO747" i="67"/>
  <c r="AO137" i="67"/>
  <c r="AO290" i="67"/>
  <c r="AO595" i="67"/>
  <c r="AM459" i="67"/>
  <c r="AM763" i="67"/>
  <c r="AM914" i="67"/>
  <c r="AM153" i="67"/>
  <c r="AM611" i="67"/>
  <c r="AM306" i="67"/>
  <c r="U341" i="67"/>
  <c r="U796" i="67"/>
  <c r="U35" i="67"/>
  <c r="U493" i="67"/>
  <c r="U645" i="67"/>
  <c r="U188" i="67"/>
  <c r="AE339" i="67"/>
  <c r="AE643" i="67"/>
  <c r="AE491" i="67"/>
  <c r="AE794" i="67"/>
  <c r="AE33" i="67"/>
  <c r="AE186" i="67"/>
  <c r="M158" i="67"/>
  <c r="M917" i="67"/>
  <c r="Q159" i="67"/>
  <c r="Q918" i="67"/>
  <c r="T762" i="67"/>
  <c r="T458" i="67"/>
  <c r="T913" i="67"/>
  <c r="T305" i="67"/>
  <c r="T610" i="67"/>
  <c r="T152" i="67"/>
  <c r="AS356" i="67"/>
  <c r="AS508" i="67"/>
  <c r="AS660" i="67"/>
  <c r="AS811" i="67"/>
  <c r="AS50" i="67"/>
  <c r="AS203" i="67"/>
  <c r="BM26" i="68"/>
  <c r="AL24" i="62" s="1"/>
  <c r="W811" i="67"/>
  <c r="W356" i="67"/>
  <c r="W660" i="67"/>
  <c r="W508" i="67"/>
  <c r="W50" i="67"/>
  <c r="W203" i="67"/>
  <c r="AQ26" i="68"/>
  <c r="P24" i="62" s="1"/>
  <c r="AG746" i="67"/>
  <c r="AG442" i="67"/>
  <c r="AG897" i="67"/>
  <c r="AG136" i="67"/>
  <c r="AG289" i="67"/>
  <c r="AG594" i="67"/>
  <c r="AQ458" i="67"/>
  <c r="AQ762" i="67"/>
  <c r="AQ913" i="67"/>
  <c r="AQ610" i="67"/>
  <c r="AQ305" i="67"/>
  <c r="AQ152" i="67"/>
  <c r="AM358" i="67"/>
  <c r="AM813" i="67"/>
  <c r="AM662" i="67"/>
  <c r="AM510" i="67"/>
  <c r="AM52" i="67"/>
  <c r="AM205" i="67"/>
  <c r="AJ813" i="67"/>
  <c r="AJ358" i="67"/>
  <c r="AJ662" i="67"/>
  <c r="AJ205" i="67"/>
  <c r="AJ510" i="67"/>
  <c r="AJ52" i="67"/>
  <c r="S451" i="67"/>
  <c r="S755" i="67"/>
  <c r="S145" i="67"/>
  <c r="S906" i="67"/>
  <c r="S603" i="67"/>
  <c r="S298" i="67"/>
  <c r="S164" i="67"/>
  <c r="S317" i="67"/>
  <c r="S772" i="67"/>
  <c r="S11" i="67"/>
  <c r="S621" i="67"/>
  <c r="Y331" i="67"/>
  <c r="Y178" i="67"/>
  <c r="Y635" i="67"/>
  <c r="Y483" i="67"/>
  <c r="Y786" i="67"/>
  <c r="Y25" i="67"/>
  <c r="AQ331" i="67"/>
  <c r="AQ786" i="67"/>
  <c r="AQ483" i="67"/>
  <c r="AQ25" i="67"/>
  <c r="AQ635" i="67"/>
  <c r="AQ178" i="67"/>
  <c r="K450" i="67"/>
  <c r="K905" i="67"/>
  <c r="K602" i="67"/>
  <c r="K144" i="67"/>
  <c r="K754" i="67"/>
  <c r="K297" i="67"/>
  <c r="Q435" i="67"/>
  <c r="Q282" i="67"/>
  <c r="Q739" i="67"/>
  <c r="Q129" i="67"/>
  <c r="Q587" i="67"/>
  <c r="Q890" i="67"/>
  <c r="V451" i="67"/>
  <c r="V145" i="67"/>
  <c r="V906" i="67"/>
  <c r="V298" i="67"/>
  <c r="V755" i="67"/>
  <c r="V603" i="67"/>
  <c r="V164" i="67"/>
  <c r="V317" i="67"/>
  <c r="V621" i="67"/>
  <c r="V772" i="67"/>
  <c r="V11" i="67"/>
  <c r="AM349" i="67"/>
  <c r="AM196" i="67"/>
  <c r="AM501" i="67"/>
  <c r="AM653" i="67"/>
  <c r="AM43" i="67"/>
  <c r="AM804" i="67"/>
  <c r="M349" i="67"/>
  <c r="M501" i="67"/>
  <c r="M43" i="67"/>
  <c r="M804" i="67"/>
  <c r="M653" i="67"/>
  <c r="M196" i="67"/>
  <c r="BO121" i="34"/>
  <c r="AV999" i="67"/>
  <c r="AV1150" i="67"/>
  <c r="AV1496" i="67"/>
  <c r="BB121" i="34"/>
  <c r="AI999" i="67"/>
  <c r="AI1150" i="67"/>
  <c r="AI1496" i="67"/>
  <c r="AV98" i="34"/>
  <c r="AC1473" i="67"/>
  <c r="AN106" i="34"/>
  <c r="U1481" i="67"/>
  <c r="AP121" i="34"/>
  <c r="W999" i="67"/>
  <c r="W1150" i="67"/>
  <c r="W1496" i="67"/>
  <c r="AJ105" i="34"/>
  <c r="Q983" i="67"/>
  <c r="Q1134" i="67"/>
  <c r="Q1480" i="67"/>
  <c r="Q681" i="67"/>
  <c r="AS114" i="34"/>
  <c r="Z1489" i="67"/>
  <c r="AM103" i="34"/>
  <c r="T1478" i="67"/>
  <c r="T1132" i="67"/>
  <c r="T981" i="67"/>
  <c r="T679" i="67"/>
  <c r="AY121" i="34"/>
  <c r="AF999" i="67"/>
  <c r="AF1150" i="67"/>
  <c r="AF1496" i="67"/>
  <c r="AQ121" i="34"/>
  <c r="X999" i="67"/>
  <c r="X1150" i="67"/>
  <c r="X1496" i="67"/>
  <c r="BE106" i="34"/>
  <c r="AL1481" i="67"/>
  <c r="AV106" i="34"/>
  <c r="AC1481" i="67"/>
  <c r="AQ103" i="34"/>
  <c r="X1478" i="67"/>
  <c r="X1132" i="67"/>
  <c r="X981" i="67"/>
  <c r="X679" i="67"/>
  <c r="AP122" i="34"/>
  <c r="W1497" i="67"/>
  <c r="AY106" i="34"/>
  <c r="AF1481" i="67"/>
  <c r="AK119" i="34"/>
  <c r="R1494" i="67"/>
  <c r="R1148" i="67"/>
  <c r="R997" i="67"/>
  <c r="AL122" i="34"/>
  <c r="S1497" i="67"/>
  <c r="AJ106" i="34"/>
  <c r="Q1481" i="67"/>
  <c r="AO122" i="34"/>
  <c r="V1497" i="67"/>
  <c r="K1488" i="67"/>
  <c r="K1142" i="67"/>
  <c r="K991" i="67"/>
  <c r="N369" i="67"/>
  <c r="N63" i="67"/>
  <c r="N521" i="67"/>
  <c r="N824" i="67"/>
  <c r="N216" i="67"/>
  <c r="AI105" i="34"/>
  <c r="P983" i="67"/>
  <c r="P1134" i="67"/>
  <c r="P1480" i="67"/>
  <c r="P681" i="67"/>
  <c r="AG122" i="34"/>
  <c r="N1497" i="67"/>
  <c r="AH121" i="34"/>
  <c r="O999" i="67"/>
  <c r="O1150" i="67"/>
  <c r="O1496" i="67"/>
  <c r="AE122" i="34"/>
  <c r="L1497" i="67"/>
  <c r="AG121" i="34"/>
  <c r="N999" i="67"/>
  <c r="N1150" i="67"/>
  <c r="N1496" i="67"/>
  <c r="AN113" i="34"/>
  <c r="U1488" i="67"/>
  <c r="AW898" i="67"/>
  <c r="AW595" i="67"/>
  <c r="AW137" i="67"/>
  <c r="AW290" i="67"/>
  <c r="AW443" i="67"/>
  <c r="AW747" i="67"/>
  <c r="M357" i="67"/>
  <c r="M51" i="67"/>
  <c r="M661" i="67"/>
  <c r="M204" i="67"/>
  <c r="M812" i="67"/>
  <c r="M509" i="67"/>
  <c r="O763" i="67"/>
  <c r="O459" i="67"/>
  <c r="O914" i="67"/>
  <c r="O153" i="67"/>
  <c r="O611" i="67"/>
  <c r="O306" i="67"/>
  <c r="AV339" i="67"/>
  <c r="AV794" i="67"/>
  <c r="AV491" i="67"/>
  <c r="AV33" i="67"/>
  <c r="AV643" i="67"/>
  <c r="AV186" i="67"/>
  <c r="S359" i="67"/>
  <c r="S814" i="67"/>
  <c r="S511" i="67"/>
  <c r="S206" i="67"/>
  <c r="S663" i="67"/>
  <c r="S53" i="67"/>
  <c r="AJ918" i="67"/>
  <c r="AJ159" i="67"/>
  <c r="Z917" i="67"/>
  <c r="Z158" i="67"/>
  <c r="N913" i="67"/>
  <c r="N458" i="67"/>
  <c r="N762" i="67"/>
  <c r="N610" i="67"/>
  <c r="N305" i="67"/>
  <c r="N152" i="67"/>
  <c r="V356" i="67"/>
  <c r="V660" i="67"/>
  <c r="V811" i="67"/>
  <c r="V508" i="67"/>
  <c r="V50" i="67"/>
  <c r="V203" i="67"/>
  <c r="AP26" i="68"/>
  <c r="O24" i="62" s="1"/>
  <c r="R897" i="67"/>
  <c r="R442" i="67"/>
  <c r="R746" i="67"/>
  <c r="R289" i="67"/>
  <c r="R136" i="67"/>
  <c r="R594" i="67"/>
  <c r="AN754" i="67"/>
  <c r="AN144" i="67"/>
  <c r="AN297" i="67"/>
  <c r="AN602" i="67"/>
  <c r="AN450" i="67"/>
  <c r="AN905" i="67"/>
  <c r="Q348" i="67"/>
  <c r="Q500" i="67"/>
  <c r="Q195" i="67"/>
  <c r="Q652" i="67"/>
  <c r="AK21" i="68"/>
  <c r="J21" i="62" s="1"/>
  <c r="Q803" i="67"/>
  <c r="Q42" i="67"/>
  <c r="AF434" i="67"/>
  <c r="AF128" i="67"/>
  <c r="AF586" i="67"/>
  <c r="AF281" i="67"/>
  <c r="AF738" i="67"/>
  <c r="AF889" i="67"/>
  <c r="V163" i="67"/>
  <c r="V316" i="67"/>
  <c r="V10" i="67"/>
  <c r="V771" i="67"/>
  <c r="V620" i="67"/>
  <c r="O330" i="67"/>
  <c r="O177" i="67"/>
  <c r="O24" i="67"/>
  <c r="O785" i="67"/>
  <c r="O634" i="67"/>
  <c r="O482" i="67"/>
  <c r="AI13" i="68"/>
  <c r="H14" i="62" s="1"/>
  <c r="AH738" i="67"/>
  <c r="AH434" i="67"/>
  <c r="AH128" i="67"/>
  <c r="AH281" i="67"/>
  <c r="AH586" i="67"/>
  <c r="AH889" i="67"/>
  <c r="M348" i="67"/>
  <c r="M500" i="67"/>
  <c r="AG21" i="68"/>
  <c r="F21" i="62" s="1"/>
  <c r="M652" i="67"/>
  <c r="M195" i="67"/>
  <c r="M803" i="67"/>
  <c r="M42" i="67"/>
  <c r="AL339" i="67"/>
  <c r="AL794" i="67"/>
  <c r="AL491" i="67"/>
  <c r="AL186" i="67"/>
  <c r="AL643" i="67"/>
  <c r="AL33" i="67"/>
  <c r="AM341" i="67"/>
  <c r="AM645" i="67"/>
  <c r="AM188" i="67"/>
  <c r="AM796" i="67"/>
  <c r="AM493" i="67"/>
  <c r="AM35" i="67"/>
  <c r="Q359" i="67"/>
  <c r="Q814" i="67"/>
  <c r="Q511" i="67"/>
  <c r="Q53" i="67"/>
  <c r="Q663" i="67"/>
  <c r="Q206" i="67"/>
  <c r="K158" i="67"/>
  <c r="K917" i="67"/>
  <c r="AG358" i="67"/>
  <c r="AG813" i="67"/>
  <c r="AG662" i="67"/>
  <c r="AG510" i="67"/>
  <c r="AG52" i="67"/>
  <c r="AG205" i="67"/>
  <c r="AJ450" i="67"/>
  <c r="AJ754" i="67"/>
  <c r="AJ297" i="67"/>
  <c r="AJ602" i="67"/>
  <c r="AJ144" i="67"/>
  <c r="AJ905" i="67"/>
  <c r="W330" i="67"/>
  <c r="W177" i="67"/>
  <c r="W482" i="67"/>
  <c r="W785" i="67"/>
  <c r="W24" i="67"/>
  <c r="W634" i="67"/>
  <c r="AQ13" i="68"/>
  <c r="P14" i="62" s="1"/>
  <c r="AD434" i="67"/>
  <c r="AD128" i="67"/>
  <c r="AD738" i="67"/>
  <c r="AD281" i="67"/>
  <c r="AD586" i="67"/>
  <c r="AD889" i="67"/>
  <c r="X330" i="67"/>
  <c r="X24" i="67"/>
  <c r="X482" i="67"/>
  <c r="X634" i="67"/>
  <c r="X177" i="67"/>
  <c r="X785" i="67"/>
  <c r="AR13" i="68"/>
  <c r="Q14" i="62" s="1"/>
  <c r="L435" i="67"/>
  <c r="L587" i="67"/>
  <c r="L739" i="67"/>
  <c r="L129" i="67"/>
  <c r="L282" i="67"/>
  <c r="L890" i="67"/>
  <c r="AF459" i="67"/>
  <c r="AF763" i="67"/>
  <c r="AF914" i="67"/>
  <c r="AF611" i="67"/>
  <c r="AF153" i="67"/>
  <c r="AF306" i="67"/>
  <c r="AJ359" i="67"/>
  <c r="AJ53" i="67"/>
  <c r="AJ206" i="67"/>
  <c r="AJ663" i="67"/>
  <c r="AJ814" i="67"/>
  <c r="AJ511" i="67"/>
  <c r="P459" i="67"/>
  <c r="P763" i="67"/>
  <c r="P611" i="67"/>
  <c r="P153" i="67"/>
  <c r="P306" i="67"/>
  <c r="P914" i="67"/>
  <c r="Q611" i="67"/>
  <c r="Q153" i="67"/>
  <c r="Q914" i="67"/>
  <c r="Q763" i="67"/>
  <c r="Q459" i="67"/>
  <c r="Q306" i="67"/>
  <c r="O918" i="67"/>
  <c r="O159" i="67"/>
  <c r="AC356" i="67"/>
  <c r="AC508" i="67"/>
  <c r="AC660" i="67"/>
  <c r="AC811" i="67"/>
  <c r="AC50" i="67"/>
  <c r="AC203" i="67"/>
  <c r="AW26" i="68"/>
  <c r="V24" i="62" s="1"/>
  <c r="U356" i="67"/>
  <c r="U660" i="67"/>
  <c r="U811" i="67"/>
  <c r="U508" i="67"/>
  <c r="U50" i="67"/>
  <c r="U203" i="67"/>
  <c r="AO26" i="68"/>
  <c r="N24" i="62" s="1"/>
  <c r="U145" i="67"/>
  <c r="U451" i="67"/>
  <c r="U298" i="67"/>
  <c r="U603" i="67"/>
  <c r="U755" i="67"/>
  <c r="U906" i="67"/>
  <c r="AN349" i="67"/>
  <c r="AN43" i="67"/>
  <c r="AN501" i="67"/>
  <c r="AN196" i="67"/>
  <c r="AN653" i="67"/>
  <c r="AN804" i="67"/>
  <c r="O906" i="67"/>
  <c r="O603" i="67"/>
  <c r="O451" i="67"/>
  <c r="O145" i="67"/>
  <c r="O755" i="67"/>
  <c r="O298" i="67"/>
  <c r="AL341" i="67"/>
  <c r="AL796" i="67"/>
  <c r="AL35" i="67"/>
  <c r="AL493" i="67"/>
  <c r="AL645" i="67"/>
  <c r="AL188" i="67"/>
  <c r="K341" i="67"/>
  <c r="K35" i="67"/>
  <c r="K188" i="67"/>
  <c r="K645" i="67"/>
  <c r="K493" i="67"/>
  <c r="K796" i="67"/>
  <c r="AS339" i="67"/>
  <c r="AS643" i="67"/>
  <c r="AS33" i="67"/>
  <c r="AS794" i="67"/>
  <c r="AS186" i="67"/>
  <c r="AS491" i="67"/>
  <c r="T290" i="67"/>
  <c r="T137" i="67"/>
  <c r="T898" i="67"/>
  <c r="T443" i="67"/>
  <c r="T747" i="67"/>
  <c r="T595" i="67"/>
  <c r="Z306" i="67"/>
  <c r="Z611" i="67"/>
  <c r="Z914" i="67"/>
  <c r="Z763" i="67"/>
  <c r="Z153" i="67"/>
  <c r="Z459" i="67"/>
  <c r="AR359" i="67"/>
  <c r="AR206" i="67"/>
  <c r="AR663" i="67"/>
  <c r="AR53" i="67"/>
  <c r="AR814" i="67"/>
  <c r="AR511" i="67"/>
  <c r="AS159" i="67"/>
  <c r="AS918" i="67"/>
  <c r="N340" i="67"/>
  <c r="N492" i="67"/>
  <c r="N644" i="67"/>
  <c r="N34" i="67"/>
  <c r="N795" i="67"/>
  <c r="N187" i="67"/>
  <c r="AN913" i="67"/>
  <c r="AN458" i="67"/>
  <c r="AN762" i="67"/>
  <c r="AN610" i="67"/>
  <c r="AN152" i="67"/>
  <c r="AN305" i="67"/>
  <c r="AP442" i="67"/>
  <c r="AP897" i="67"/>
  <c r="AP746" i="67"/>
  <c r="AP289" i="67"/>
  <c r="AP594" i="67"/>
  <c r="AP136" i="67"/>
  <c r="O442" i="67"/>
  <c r="O746" i="67"/>
  <c r="O897" i="67"/>
  <c r="O289" i="67"/>
  <c r="O594" i="67"/>
  <c r="O136" i="67"/>
  <c r="AE358" i="67"/>
  <c r="AE813" i="67"/>
  <c r="AE510" i="67"/>
  <c r="AE662" i="67"/>
  <c r="AE52" i="67"/>
  <c r="AE205" i="67"/>
  <c r="AT603" i="67"/>
  <c r="AT298" i="67"/>
  <c r="AT755" i="67"/>
  <c r="AT145" i="67"/>
  <c r="AT451" i="67"/>
  <c r="AT906" i="67"/>
  <c r="AJ98" i="34"/>
  <c r="Q1473" i="67"/>
  <c r="BO105" i="34"/>
  <c r="AV983" i="67"/>
  <c r="AV1134" i="67"/>
  <c r="AV1480" i="67"/>
  <c r="AV681" i="67"/>
  <c r="BB105" i="34"/>
  <c r="AI983" i="67"/>
  <c r="AI1134" i="67"/>
  <c r="AI1480" i="67"/>
  <c r="AI681" i="67"/>
  <c r="AQ98" i="34"/>
  <c r="X1473" i="67"/>
  <c r="AN103" i="34"/>
  <c r="U1478" i="67"/>
  <c r="U1132" i="67"/>
  <c r="U981" i="67"/>
  <c r="U679" i="67"/>
  <c r="AV103" i="34"/>
  <c r="AC1478" i="67"/>
  <c r="AC1132" i="67"/>
  <c r="AC679" i="67"/>
  <c r="AC981" i="67"/>
  <c r="AS121" i="34"/>
  <c r="Z999" i="67"/>
  <c r="Z1150" i="67"/>
  <c r="Z1496" i="67"/>
  <c r="AZ121" i="34"/>
  <c r="AG999" i="67"/>
  <c r="AG1150" i="67"/>
  <c r="AG1496" i="67"/>
  <c r="AR122" i="34"/>
  <c r="Y1497" i="67"/>
  <c r="BD106" i="34"/>
  <c r="AK1481" i="67"/>
  <c r="BF105" i="34"/>
  <c r="AM983" i="67"/>
  <c r="AM1134" i="67"/>
  <c r="AM1480" i="67"/>
  <c r="AM681" i="67"/>
  <c r="BM121" i="34"/>
  <c r="AT999" i="67"/>
  <c r="AT1150" i="67"/>
  <c r="AT1496" i="67"/>
  <c r="AS122" i="34"/>
  <c r="Z1497" i="67"/>
  <c r="AV122" i="34"/>
  <c r="AC1497" i="67"/>
  <c r="AM122" i="34"/>
  <c r="T1497" i="67"/>
  <c r="AT103" i="34"/>
  <c r="AA1478" i="67"/>
  <c r="AA1132" i="67"/>
  <c r="AA981" i="67"/>
  <c r="AA679" i="67"/>
  <c r="BN121" i="34"/>
  <c r="AU999" i="67"/>
  <c r="AU1150" i="67"/>
  <c r="AU1496" i="67"/>
  <c r="AU105" i="34"/>
  <c r="AB983" i="67"/>
  <c r="AB1134" i="67"/>
  <c r="AB1480" i="67"/>
  <c r="AB681" i="67"/>
  <c r="BJ121" i="34"/>
  <c r="AQ999" i="67"/>
  <c r="AQ1150" i="67"/>
  <c r="AQ1496" i="67"/>
  <c r="AL121" i="34"/>
  <c r="S999" i="67"/>
  <c r="S1150" i="67"/>
  <c r="S1496" i="67"/>
  <c r="BF122" i="34"/>
  <c r="AM1497" i="67"/>
  <c r="BN106" i="34"/>
  <c r="AU1481" i="67"/>
  <c r="AR103" i="34"/>
  <c r="Y1478" i="67"/>
  <c r="Y1132" i="67"/>
  <c r="Y981" i="67"/>
  <c r="Y679" i="67"/>
  <c r="BH122" i="34"/>
  <c r="AO1497" i="67"/>
  <c r="AO106" i="34"/>
  <c r="V1481" i="67"/>
  <c r="K1472" i="67"/>
  <c r="K1126" i="67"/>
  <c r="K673" i="67"/>
  <c r="K975" i="67"/>
  <c r="N385" i="67"/>
  <c r="N79" i="67"/>
  <c r="N689" i="67"/>
  <c r="N840" i="67"/>
  <c r="N232" i="67"/>
  <c r="N537" i="67"/>
  <c r="AE106" i="34"/>
  <c r="L1481" i="67"/>
  <c r="AM113" i="34"/>
  <c r="T1488" i="67"/>
  <c r="AG359" i="67"/>
  <c r="AG511" i="67"/>
  <c r="AG663" i="67"/>
  <c r="AG206" i="67"/>
  <c r="AG53" i="67"/>
  <c r="AG814" i="67"/>
  <c r="R443" i="67"/>
  <c r="R747" i="67"/>
  <c r="R898" i="67"/>
  <c r="R290" i="67"/>
  <c r="R595" i="67"/>
  <c r="R137" i="67"/>
  <c r="W459" i="67"/>
  <c r="W763" i="67"/>
  <c r="W914" i="67"/>
  <c r="W153" i="67"/>
  <c r="W611" i="67"/>
  <c r="W306" i="67"/>
  <c r="M339" i="67"/>
  <c r="M186" i="67"/>
  <c r="M643" i="67"/>
  <c r="M33" i="67"/>
  <c r="M491" i="67"/>
  <c r="M794" i="67"/>
  <c r="O443" i="67"/>
  <c r="O595" i="67"/>
  <c r="O747" i="67"/>
  <c r="O137" i="67"/>
  <c r="O898" i="67"/>
  <c r="O290" i="67"/>
  <c r="Z341" i="67"/>
  <c r="Z796" i="67"/>
  <c r="Z35" i="67"/>
  <c r="Z645" i="67"/>
  <c r="Z188" i="67"/>
  <c r="Z493" i="67"/>
  <c r="AR898" i="67"/>
  <c r="AR443" i="67"/>
  <c r="AR747" i="67"/>
  <c r="AR137" i="67"/>
  <c r="AR595" i="67"/>
  <c r="AR290" i="67"/>
  <c r="AA341" i="67"/>
  <c r="AA493" i="67"/>
  <c r="AA645" i="67"/>
  <c r="AA188" i="67"/>
  <c r="AA35" i="67"/>
  <c r="AA796" i="67"/>
  <c r="AI158" i="67"/>
  <c r="AI917" i="67"/>
  <c r="AN159" i="67"/>
  <c r="AN918" i="67"/>
  <c r="S762" i="67"/>
  <c r="S458" i="67"/>
  <c r="S913" i="67"/>
  <c r="S152" i="67"/>
  <c r="S610" i="67"/>
  <c r="S305" i="67"/>
  <c r="V338" i="67"/>
  <c r="V642" i="67"/>
  <c r="V490" i="67"/>
  <c r="V32" i="67"/>
  <c r="V185" i="67"/>
  <c r="AA338" i="67"/>
  <c r="AA642" i="67"/>
  <c r="AA490" i="67"/>
  <c r="AA32" i="67"/>
  <c r="AA185" i="67"/>
  <c r="K660" i="67"/>
  <c r="K356" i="67"/>
  <c r="K811" i="67"/>
  <c r="K203" i="67"/>
  <c r="K508" i="67"/>
  <c r="K50" i="67"/>
  <c r="AE26" i="68"/>
  <c r="D24" i="62" s="1"/>
  <c r="X356" i="67"/>
  <c r="X660" i="67"/>
  <c r="X811" i="67"/>
  <c r="X508" i="67"/>
  <c r="X203" i="67"/>
  <c r="X50" i="67"/>
  <c r="AR26" i="68"/>
  <c r="Q24" i="62" s="1"/>
  <c r="AJ762" i="67"/>
  <c r="AJ458" i="67"/>
  <c r="AJ913" i="67"/>
  <c r="AJ305" i="67"/>
  <c r="AJ610" i="67"/>
  <c r="AJ152" i="67"/>
  <c r="Y338" i="67"/>
  <c r="Y642" i="67"/>
  <c r="Y185" i="67"/>
  <c r="Y490" i="67"/>
  <c r="Y32" i="67"/>
  <c r="T348" i="67"/>
  <c r="T803" i="67"/>
  <c r="T42" i="67"/>
  <c r="T652" i="67"/>
  <c r="T195" i="67"/>
  <c r="T500" i="67"/>
  <c r="AN21" i="68"/>
  <c r="M21" i="62" s="1"/>
  <c r="P754" i="67"/>
  <c r="P450" i="67"/>
  <c r="P144" i="67"/>
  <c r="P602" i="67"/>
  <c r="P297" i="67"/>
  <c r="P905" i="67"/>
  <c r="Y330" i="67"/>
  <c r="AS13" i="68"/>
  <c r="R14" i="62" s="1"/>
  <c r="Y785" i="67"/>
  <c r="Y482" i="67"/>
  <c r="Y24" i="67"/>
  <c r="Y634" i="67"/>
  <c r="Y177" i="67"/>
  <c r="AQ128" i="67"/>
  <c r="AQ586" i="67"/>
  <c r="AQ281" i="67"/>
  <c r="AQ434" i="67"/>
  <c r="AQ738" i="67"/>
  <c r="AQ889" i="67"/>
  <c r="AK163" i="67"/>
  <c r="AK316" i="67"/>
  <c r="AK771" i="67"/>
  <c r="AK10" i="67"/>
  <c r="AK620" i="67"/>
  <c r="K435" i="67"/>
  <c r="K282" i="67"/>
  <c r="K587" i="67"/>
  <c r="K129" i="67"/>
  <c r="K739" i="67"/>
  <c r="K890" i="67"/>
  <c r="Q163" i="67"/>
  <c r="Q316" i="67"/>
  <c r="Q10" i="67"/>
  <c r="Q620" i="67"/>
  <c r="Q771" i="67"/>
  <c r="AF348" i="67"/>
  <c r="AZ21" i="68"/>
  <c r="Y21" i="62" s="1"/>
  <c r="AF803" i="67"/>
  <c r="AF42" i="67"/>
  <c r="AF500" i="67"/>
  <c r="AF652" i="67"/>
  <c r="AF195" i="67"/>
  <c r="O738" i="67"/>
  <c r="O128" i="67"/>
  <c r="O434" i="67"/>
  <c r="O586" i="67"/>
  <c r="O281" i="67"/>
  <c r="O889" i="67"/>
  <c r="AH348" i="67"/>
  <c r="AH42" i="67"/>
  <c r="AH652" i="67"/>
  <c r="AH195" i="67"/>
  <c r="AH803" i="67"/>
  <c r="BB21" i="68"/>
  <c r="AA21" i="62" s="1"/>
  <c r="AH500" i="67"/>
  <c r="M450" i="67"/>
  <c r="M144" i="67"/>
  <c r="M754" i="67"/>
  <c r="M602" i="67"/>
  <c r="M297" i="67"/>
  <c r="M905" i="67"/>
  <c r="AL306" i="67"/>
  <c r="AL611" i="67"/>
  <c r="AL914" i="67"/>
  <c r="AL763" i="67"/>
  <c r="AL153" i="67"/>
  <c r="AL459" i="67"/>
  <c r="AO359" i="67"/>
  <c r="AO663" i="67"/>
  <c r="AO206" i="67"/>
  <c r="AO814" i="67"/>
  <c r="AO511" i="67"/>
  <c r="AO53" i="67"/>
  <c r="AQ357" i="67"/>
  <c r="AQ661" i="67"/>
  <c r="AQ509" i="67"/>
  <c r="AQ812" i="67"/>
  <c r="AQ204" i="67"/>
  <c r="AQ51" i="67"/>
  <c r="Q341" i="67"/>
  <c r="Q796" i="67"/>
  <c r="Q493" i="67"/>
  <c r="Q188" i="67"/>
  <c r="Q645" i="67"/>
  <c r="Q35" i="67"/>
  <c r="W358" i="67"/>
  <c r="W813" i="67"/>
  <c r="W662" i="67"/>
  <c r="W510" i="67"/>
  <c r="W52" i="67"/>
  <c r="W205" i="67"/>
  <c r="AJ128" i="67"/>
  <c r="AJ281" i="67"/>
  <c r="AJ586" i="67"/>
  <c r="AJ434" i="67"/>
  <c r="AJ738" i="67"/>
  <c r="AJ889" i="67"/>
  <c r="W163" i="67"/>
  <c r="W316" i="67"/>
  <c r="W10" i="67"/>
  <c r="W620" i="67"/>
  <c r="W771" i="67"/>
  <c r="AD754" i="67"/>
  <c r="AD602" i="67"/>
  <c r="AD144" i="67"/>
  <c r="AD450" i="67"/>
  <c r="AD297" i="67"/>
  <c r="AD905" i="67"/>
  <c r="X163" i="67"/>
  <c r="X316" i="67"/>
  <c r="X10" i="67"/>
  <c r="X620" i="67"/>
  <c r="X771" i="67"/>
  <c r="BA13" i="68"/>
  <c r="Z14" i="62" s="1"/>
  <c r="AG330" i="67"/>
  <c r="AG785" i="67"/>
  <c r="AG482" i="67"/>
  <c r="AG177" i="67"/>
  <c r="AG634" i="67"/>
  <c r="AG24" i="67"/>
  <c r="L451" i="67"/>
  <c r="L603" i="67"/>
  <c r="L755" i="67"/>
  <c r="L298" i="67"/>
  <c r="L145" i="67"/>
  <c r="L906" i="67"/>
  <c r="R359" i="67"/>
  <c r="R53" i="67"/>
  <c r="R663" i="67"/>
  <c r="R206" i="67"/>
  <c r="R511" i="67"/>
  <c r="R814" i="67"/>
  <c r="AJ341" i="67"/>
  <c r="AJ796" i="67"/>
  <c r="AJ645" i="67"/>
  <c r="AJ188" i="67"/>
  <c r="AJ493" i="67"/>
  <c r="AJ35" i="67"/>
  <c r="AN339" i="67"/>
  <c r="AN794" i="67"/>
  <c r="AN186" i="67"/>
  <c r="AN491" i="67"/>
  <c r="AN33" i="67"/>
  <c r="AN643" i="67"/>
  <c r="P443" i="67"/>
  <c r="P898" i="67"/>
  <c r="P595" i="67"/>
  <c r="P290" i="67"/>
  <c r="P137" i="67"/>
  <c r="P747" i="67"/>
  <c r="K159" i="67"/>
  <c r="K918" i="67"/>
  <c r="L458" i="67"/>
  <c r="L762" i="67"/>
  <c r="L913" i="67"/>
  <c r="L152" i="67"/>
  <c r="L305" i="67"/>
  <c r="L610" i="67"/>
  <c r="P349" i="67"/>
  <c r="P43" i="67"/>
  <c r="P653" i="67"/>
  <c r="P196" i="67"/>
  <c r="P804" i="67"/>
  <c r="P501" i="67"/>
  <c r="AS755" i="67"/>
  <c r="AS603" i="67"/>
  <c r="AS298" i="67"/>
  <c r="AS451" i="67"/>
  <c r="AS906" i="67"/>
  <c r="AS145" i="67"/>
  <c r="AN331" i="67"/>
  <c r="AN786" i="67"/>
  <c r="AN178" i="67"/>
  <c r="AN635" i="67"/>
  <c r="AN25" i="67"/>
  <c r="AN483" i="67"/>
  <c r="O435" i="67"/>
  <c r="O890" i="67"/>
  <c r="O587" i="67"/>
  <c r="O739" i="67"/>
  <c r="O129" i="67"/>
  <c r="O282" i="67"/>
  <c r="AU164" i="67"/>
  <c r="AU317" i="67"/>
  <c r="AU772" i="67"/>
  <c r="AU621" i="67"/>
  <c r="AU11" i="67"/>
  <c r="AU357" i="67"/>
  <c r="AU51" i="67"/>
  <c r="AU204" i="67"/>
  <c r="AU661" i="67"/>
  <c r="AU509" i="67"/>
  <c r="AU812" i="67"/>
  <c r="M359" i="67"/>
  <c r="M814" i="67"/>
  <c r="M511" i="67"/>
  <c r="M206" i="67"/>
  <c r="M663" i="67"/>
  <c r="M53" i="67"/>
  <c r="AS306" i="67"/>
  <c r="AS153" i="67"/>
  <c r="AS459" i="67"/>
  <c r="AS763" i="67"/>
  <c r="AS611" i="67"/>
  <c r="AS914" i="67"/>
  <c r="AK339" i="67"/>
  <c r="AK186" i="67"/>
  <c r="AK491" i="67"/>
  <c r="AK643" i="67"/>
  <c r="AK33" i="67"/>
  <c r="AK794" i="67"/>
  <c r="Z747" i="67"/>
  <c r="Z443" i="67"/>
  <c r="Z898" i="67"/>
  <c r="Z290" i="67"/>
  <c r="Z595" i="67"/>
  <c r="Z137" i="67"/>
  <c r="AD914" i="67"/>
  <c r="AD459" i="67"/>
  <c r="AD763" i="67"/>
  <c r="AD611" i="67"/>
  <c r="AD153" i="67"/>
  <c r="AD306" i="67"/>
  <c r="S339" i="67"/>
  <c r="S186" i="67"/>
  <c r="S643" i="67"/>
  <c r="S33" i="67"/>
  <c r="S794" i="67"/>
  <c r="S491" i="67"/>
  <c r="AR341" i="67"/>
  <c r="AR35" i="67"/>
  <c r="AR796" i="67"/>
  <c r="AR645" i="67"/>
  <c r="AR188" i="67"/>
  <c r="AR493" i="67"/>
  <c r="AA339" i="67"/>
  <c r="AA491" i="67"/>
  <c r="AA186" i="67"/>
  <c r="AA643" i="67"/>
  <c r="AA33" i="67"/>
  <c r="AA794" i="67"/>
  <c r="AC159" i="67"/>
  <c r="AC918" i="67"/>
  <c r="AQ159" i="67"/>
  <c r="AQ918" i="67"/>
  <c r="AB158" i="67"/>
  <c r="AB917" i="67"/>
  <c r="S340" i="67"/>
  <c r="S795" i="67"/>
  <c r="S644" i="67"/>
  <c r="S34" i="67"/>
  <c r="S492" i="67"/>
  <c r="S187" i="67"/>
  <c r="AB358" i="67"/>
  <c r="AB813" i="67"/>
  <c r="AB662" i="67"/>
  <c r="AB510" i="67"/>
  <c r="AB205" i="67"/>
  <c r="AB52" i="67"/>
  <c r="AO356" i="67"/>
  <c r="AO811" i="67"/>
  <c r="AO508" i="67"/>
  <c r="AO660" i="67"/>
  <c r="AO50" i="67"/>
  <c r="AO203" i="67"/>
  <c r="BI26" i="68"/>
  <c r="AH24" i="62" s="1"/>
  <c r="Z458" i="67"/>
  <c r="Z762" i="67"/>
  <c r="Z913" i="67"/>
  <c r="Z610" i="67"/>
  <c r="Z305" i="67"/>
  <c r="Z152" i="67"/>
  <c r="AL164" i="67"/>
  <c r="AL317" i="67"/>
  <c r="AL621" i="67"/>
  <c r="AL772" i="67"/>
  <c r="AL11" i="67"/>
  <c r="AW348" i="67"/>
  <c r="AW500" i="67"/>
  <c r="AW195" i="67"/>
  <c r="AW652" i="67"/>
  <c r="BQ21" i="68"/>
  <c r="AP21" i="62" s="1"/>
  <c r="AW803" i="67"/>
  <c r="AW42" i="67"/>
  <c r="W906" i="67"/>
  <c r="W755" i="67"/>
  <c r="W451" i="67"/>
  <c r="W145" i="67"/>
  <c r="W603" i="67"/>
  <c r="W298" i="67"/>
  <c r="AI331" i="67"/>
  <c r="AI786" i="67"/>
  <c r="AI25" i="67"/>
  <c r="AI483" i="67"/>
  <c r="AI635" i="67"/>
  <c r="AI178" i="67"/>
  <c r="AB298" i="67"/>
  <c r="AB145" i="67"/>
  <c r="AB755" i="67"/>
  <c r="AB451" i="67"/>
  <c r="AB603" i="67"/>
  <c r="AB906" i="67"/>
  <c r="N164" i="67"/>
  <c r="N317" i="67"/>
  <c r="N11" i="67"/>
  <c r="N621" i="67"/>
  <c r="N772" i="67"/>
  <c r="AD331" i="67"/>
  <c r="AD786" i="67"/>
  <c r="AD25" i="67"/>
  <c r="AD483" i="67"/>
  <c r="AD178" i="67"/>
  <c r="AD635" i="67"/>
  <c r="AT435" i="67"/>
  <c r="AT587" i="67"/>
  <c r="AT282" i="67"/>
  <c r="AT129" i="67"/>
  <c r="AT739" i="67"/>
  <c r="AT890" i="67"/>
  <c r="X164" i="67"/>
  <c r="X317" i="67"/>
  <c r="X772" i="67"/>
  <c r="X11" i="67"/>
  <c r="X621" i="67"/>
  <c r="AR331" i="67"/>
  <c r="AR483" i="67"/>
  <c r="AR25" i="67"/>
  <c r="AR635" i="67"/>
  <c r="AR178" i="67"/>
  <c r="AR786" i="67"/>
  <c r="AV739" i="67"/>
  <c r="AV587" i="67"/>
  <c r="AV282" i="67"/>
  <c r="AV435" i="67"/>
  <c r="AV129" i="67"/>
  <c r="AV890" i="67"/>
  <c r="AG164" i="67"/>
  <c r="AG317" i="67"/>
  <c r="AG621" i="67"/>
  <c r="AG11" i="67"/>
  <c r="AG772" i="67"/>
  <c r="AO349" i="67"/>
  <c r="AO804" i="67"/>
  <c r="AO196" i="67"/>
  <c r="AO501" i="67"/>
  <c r="AO653" i="67"/>
  <c r="AO43" i="67"/>
  <c r="L459" i="67"/>
  <c r="L611" i="67"/>
  <c r="L914" i="67"/>
  <c r="L763" i="67"/>
  <c r="L306" i="67"/>
  <c r="L153" i="67"/>
  <c r="Y341" i="67"/>
  <c r="Y796" i="67"/>
  <c r="Y493" i="67"/>
  <c r="Y188" i="67"/>
  <c r="Y645" i="67"/>
  <c r="Y35" i="67"/>
  <c r="AB459" i="67"/>
  <c r="AB914" i="67"/>
  <c r="AB763" i="67"/>
  <c r="AB611" i="67"/>
  <c r="AB306" i="67"/>
  <c r="AB153" i="67"/>
  <c r="U339" i="67"/>
  <c r="U186" i="67"/>
  <c r="U794" i="67"/>
  <c r="U491" i="67"/>
  <c r="U643" i="67"/>
  <c r="U33" i="67"/>
  <c r="AT913" i="67"/>
  <c r="AT458" i="67"/>
  <c r="AT762" i="67"/>
  <c r="AT610" i="67"/>
  <c r="AT305" i="67"/>
  <c r="AT152" i="67"/>
  <c r="AW587" i="67"/>
  <c r="AW739" i="67"/>
  <c r="AW129" i="67"/>
  <c r="AW435" i="67"/>
  <c r="AW282" i="67"/>
  <c r="AW890" i="67"/>
  <c r="AY21" i="68"/>
  <c r="X21" i="62" s="1"/>
  <c r="AE348" i="67"/>
  <c r="AE652" i="67"/>
  <c r="AE42" i="67"/>
  <c r="AE803" i="67"/>
  <c r="AE195" i="67"/>
  <c r="AE500" i="67"/>
  <c r="AO754" i="67"/>
  <c r="AO905" i="67"/>
  <c r="AO450" i="67"/>
  <c r="AO602" i="67"/>
  <c r="AO297" i="67"/>
  <c r="AO144" i="67"/>
  <c r="AV356" i="67"/>
  <c r="AV660" i="67"/>
  <c r="AV811" i="67"/>
  <c r="AV508" i="67"/>
  <c r="AV50" i="67"/>
  <c r="AV203" i="67"/>
  <c r="BP26" i="68"/>
  <c r="AO24" i="62" s="1"/>
  <c r="AK349" i="67"/>
  <c r="AK501" i="67"/>
  <c r="AK196" i="67"/>
  <c r="AK653" i="67"/>
  <c r="AK804" i="67"/>
  <c r="AK43" i="67"/>
  <c r="AH451" i="67"/>
  <c r="AH298" i="67"/>
  <c r="AH145" i="67"/>
  <c r="AH906" i="67"/>
  <c r="AH603" i="67"/>
  <c r="AH755" i="67"/>
  <c r="AH164" i="67"/>
  <c r="AH317" i="67"/>
  <c r="AH11" i="67"/>
  <c r="AH772" i="67"/>
  <c r="AH621" i="67"/>
  <c r="AL330" i="67"/>
  <c r="BF13" i="68"/>
  <c r="AE14" i="62" s="1"/>
  <c r="AL785" i="67"/>
  <c r="AL177" i="67"/>
  <c r="AL482" i="67"/>
  <c r="AL634" i="67"/>
  <c r="AL24" i="67"/>
  <c r="N586" i="67"/>
  <c r="N128" i="67"/>
  <c r="N281" i="67"/>
  <c r="N434" i="67"/>
  <c r="N738" i="67"/>
  <c r="N889" i="67"/>
  <c r="BN13" i="68"/>
  <c r="AM14" i="62" s="1"/>
  <c r="AT330" i="67"/>
  <c r="AT634" i="67"/>
  <c r="AT177" i="67"/>
  <c r="AT785" i="67"/>
  <c r="AT482" i="67"/>
  <c r="AT24" i="67"/>
  <c r="AL103" i="34"/>
  <c r="S1478" i="67"/>
  <c r="S1132" i="67"/>
  <c r="S981" i="67"/>
  <c r="S679" i="67"/>
  <c r="AO103" i="34"/>
  <c r="V1478" i="67"/>
  <c r="V1132" i="67"/>
  <c r="V981" i="67"/>
  <c r="V679" i="67"/>
  <c r="AR105" i="34"/>
  <c r="Y983" i="67"/>
  <c r="Y1134" i="67"/>
  <c r="Y1480" i="67"/>
  <c r="Y681" i="67"/>
  <c r="BC105" i="34"/>
  <c r="AJ983" i="67"/>
  <c r="AJ1134" i="67"/>
  <c r="AJ1480" i="67"/>
  <c r="AJ681" i="67"/>
  <c r="AT122" i="34"/>
  <c r="AA1497" i="67"/>
  <c r="AN119" i="34"/>
  <c r="U1494" i="67"/>
  <c r="U1148" i="67"/>
  <c r="U997" i="67"/>
  <c r="AK122" i="34"/>
  <c r="R1497" i="67"/>
  <c r="BA106" i="34"/>
  <c r="AH1481" i="67"/>
  <c r="AS105" i="34"/>
  <c r="Z983" i="67"/>
  <c r="Z1134" i="67"/>
  <c r="Z1480" i="67"/>
  <c r="Z681" i="67"/>
  <c r="BH105" i="34"/>
  <c r="AO983" i="67"/>
  <c r="AO1134" i="67"/>
  <c r="AO1480" i="67"/>
  <c r="AO681" i="67"/>
  <c r="AZ105" i="34"/>
  <c r="AG983" i="67"/>
  <c r="AG1134" i="67"/>
  <c r="AG1480" i="67"/>
  <c r="AG681" i="67"/>
  <c r="AR106" i="34"/>
  <c r="Y1481" i="67"/>
  <c r="BD122" i="34"/>
  <c r="AK1497" i="67"/>
  <c r="BM122" i="34"/>
  <c r="AT1497" i="67"/>
  <c r="BC122" i="34"/>
  <c r="AJ1497" i="67"/>
  <c r="AR114" i="34"/>
  <c r="Y1489" i="67"/>
  <c r="BF121" i="34"/>
  <c r="AM999" i="67"/>
  <c r="AM1150" i="67"/>
  <c r="AM1496" i="67"/>
  <c r="BM105" i="34"/>
  <c r="AT983" i="67"/>
  <c r="AT1134" i="67"/>
  <c r="AT1480" i="67"/>
  <c r="AT681" i="67"/>
  <c r="AS106" i="34"/>
  <c r="Z1481" i="67"/>
  <c r="AM106" i="34"/>
  <c r="T1481" i="67"/>
  <c r="AK105" i="34"/>
  <c r="R983" i="67"/>
  <c r="R1134" i="67"/>
  <c r="R1480" i="67"/>
  <c r="R681" i="67"/>
  <c r="AP103" i="34"/>
  <c r="W1478" i="67"/>
  <c r="W1132" i="67"/>
  <c r="W981" i="67"/>
  <c r="W679" i="67"/>
  <c r="AT119" i="34"/>
  <c r="AA1494" i="67"/>
  <c r="AA1148" i="67"/>
  <c r="AA997" i="67"/>
  <c r="BN105" i="34"/>
  <c r="AU983" i="67"/>
  <c r="AU1134" i="67"/>
  <c r="AU1480" i="67"/>
  <c r="AU681" i="67"/>
  <c r="AU121" i="34"/>
  <c r="AB999" i="67"/>
  <c r="AB1150" i="67"/>
  <c r="AB1496" i="67"/>
  <c r="AW106" i="34"/>
  <c r="AD1481" i="67"/>
  <c r="BB106" i="34"/>
  <c r="AI1481" i="67"/>
  <c r="BJ105" i="34"/>
  <c r="AQ983" i="67"/>
  <c r="AQ1134" i="67"/>
  <c r="AQ1480" i="67"/>
  <c r="AQ681" i="67"/>
  <c r="BP105" i="34"/>
  <c r="AW983" i="67"/>
  <c r="AW1134" i="67"/>
  <c r="AW1480" i="67"/>
  <c r="AW681" i="67"/>
  <c r="BK121" i="34"/>
  <c r="AR999" i="67"/>
  <c r="AR1150" i="67"/>
  <c r="AR1496" i="67"/>
  <c r="BK122" i="34"/>
  <c r="AR1497" i="67"/>
  <c r="BO122" i="34"/>
  <c r="AV1497" i="67"/>
  <c r="AT121" i="34"/>
  <c r="AA999" i="67"/>
  <c r="AA1150" i="67"/>
  <c r="AA1496" i="67"/>
  <c r="BN122" i="34"/>
  <c r="AU1497" i="67"/>
  <c r="AN105" i="34"/>
  <c r="U983" i="67"/>
  <c r="U1134" i="67"/>
  <c r="U1480" i="67"/>
  <c r="U681" i="67"/>
  <c r="AX121" i="34"/>
  <c r="AE999" i="67"/>
  <c r="AE1150" i="67"/>
  <c r="AE1496" i="67"/>
  <c r="BJ122" i="34"/>
  <c r="AQ1497" i="67"/>
  <c r="BE105" i="34"/>
  <c r="AL983" i="67"/>
  <c r="AL1134" i="67"/>
  <c r="AL1480" i="67"/>
  <c r="AL681" i="67"/>
  <c r="M385" i="67"/>
  <c r="M537" i="67"/>
  <c r="M689" i="67"/>
  <c r="M232" i="67"/>
  <c r="M840" i="67"/>
  <c r="M79" i="67"/>
  <c r="O63" i="67"/>
  <c r="O369" i="67"/>
  <c r="O824" i="67"/>
  <c r="O216" i="67"/>
  <c r="O521" i="67"/>
  <c r="AF105" i="34"/>
  <c r="M983" i="67"/>
  <c r="M1134" i="67"/>
  <c r="M1480" i="67"/>
  <c r="M681" i="67"/>
  <c r="AF122" i="34"/>
  <c r="M1497" i="67"/>
  <c r="AK97" i="34"/>
  <c r="R1472" i="67"/>
  <c r="AE121" i="34"/>
  <c r="L999" i="67"/>
  <c r="L1150" i="67"/>
  <c r="L1496" i="67"/>
  <c r="AH122" i="34"/>
  <c r="O1497" i="67"/>
  <c r="AR97" i="34"/>
  <c r="Y1472" i="67"/>
  <c r="AL97" i="34"/>
  <c r="S1472" i="67"/>
  <c r="AQ113" i="34"/>
  <c r="X1488" i="67"/>
  <c r="AP113" i="34"/>
  <c r="W1488" i="67"/>
  <c r="AM97" i="34"/>
  <c r="T1472" i="67"/>
  <c r="AN97" i="34"/>
  <c r="U1472" i="67"/>
  <c r="AL113" i="34"/>
  <c r="S1488" i="67"/>
  <c r="AI341" i="67"/>
  <c r="AI188" i="67"/>
  <c r="AI796" i="67"/>
  <c r="AI645" i="67"/>
  <c r="AI493" i="67"/>
  <c r="AI35" i="67"/>
  <c r="AG341" i="67"/>
  <c r="AG188" i="67"/>
  <c r="AG645" i="67"/>
  <c r="AG35" i="67"/>
  <c r="AG796" i="67"/>
  <c r="AG493" i="67"/>
  <c r="AW339" i="67"/>
  <c r="AW491" i="67"/>
  <c r="AW33" i="67"/>
  <c r="AW643" i="67"/>
  <c r="AW186" i="67"/>
  <c r="AW794" i="67"/>
  <c r="R357" i="67"/>
  <c r="R812" i="67"/>
  <c r="R51" i="67"/>
  <c r="R661" i="67"/>
  <c r="R204" i="67"/>
  <c r="R509" i="67"/>
  <c r="W443" i="67"/>
  <c r="W290" i="67"/>
  <c r="W898" i="67"/>
  <c r="W747" i="67"/>
  <c r="W137" i="67"/>
  <c r="W595" i="67"/>
  <c r="M763" i="67"/>
  <c r="M459" i="67"/>
  <c r="M914" i="67"/>
  <c r="M153" i="67"/>
  <c r="M611" i="67"/>
  <c r="M306" i="67"/>
  <c r="V339" i="67"/>
  <c r="V186" i="67"/>
  <c r="V643" i="67"/>
  <c r="V33" i="67"/>
  <c r="V794" i="67"/>
  <c r="V491" i="67"/>
  <c r="O357" i="67"/>
  <c r="O51" i="67"/>
  <c r="O509" i="67"/>
  <c r="O661" i="67"/>
  <c r="O204" i="67"/>
  <c r="O812" i="67"/>
  <c r="AV898" i="67"/>
  <c r="AV443" i="67"/>
  <c r="AV595" i="67"/>
  <c r="AV290" i="67"/>
  <c r="AV137" i="67"/>
  <c r="AV747" i="67"/>
  <c r="AS359" i="67"/>
  <c r="AS663" i="67"/>
  <c r="AS206" i="67"/>
  <c r="AS814" i="67"/>
  <c r="AS511" i="67"/>
  <c r="AS53" i="67"/>
  <c r="T359" i="67"/>
  <c r="T663" i="67"/>
  <c r="T511" i="67"/>
  <c r="T814" i="67"/>
  <c r="T53" i="67"/>
  <c r="T206" i="67"/>
  <c r="AD359" i="67"/>
  <c r="AD663" i="67"/>
  <c r="AD53" i="67"/>
  <c r="AD814" i="67"/>
  <c r="AD511" i="67"/>
  <c r="AD206" i="67"/>
  <c r="AH359" i="67"/>
  <c r="AH814" i="67"/>
  <c r="AH511" i="67"/>
  <c r="AH53" i="67"/>
  <c r="AH663" i="67"/>
  <c r="AH206" i="67"/>
  <c r="AR357" i="67"/>
  <c r="AR509" i="67"/>
  <c r="AR204" i="67"/>
  <c r="AR661" i="67"/>
  <c r="AR51" i="67"/>
  <c r="AR812" i="67"/>
  <c r="AA359" i="67"/>
  <c r="AA663" i="67"/>
  <c r="AA511" i="67"/>
  <c r="AA814" i="67"/>
  <c r="AA206" i="67"/>
  <c r="AA53" i="67"/>
  <c r="AF159" i="67"/>
  <c r="AF918" i="67"/>
  <c r="AH918" i="67"/>
  <c r="AH159" i="67"/>
  <c r="AM158" i="67"/>
  <c r="AM917" i="67"/>
  <c r="S442" i="67"/>
  <c r="S897" i="67"/>
  <c r="S746" i="67"/>
  <c r="S289" i="67"/>
  <c r="S136" i="67"/>
  <c r="S594" i="67"/>
  <c r="AF662" i="67"/>
  <c r="AF813" i="67"/>
  <c r="AF358" i="67"/>
  <c r="AF52" i="67"/>
  <c r="AF205" i="67"/>
  <c r="AF510" i="67"/>
  <c r="N356" i="67"/>
  <c r="N660" i="67"/>
  <c r="N811" i="67"/>
  <c r="N508" i="67"/>
  <c r="N50" i="67"/>
  <c r="N203" i="67"/>
  <c r="AH26" i="68"/>
  <c r="G24" i="62" s="1"/>
  <c r="V913" i="67"/>
  <c r="V458" i="67"/>
  <c r="V762" i="67"/>
  <c r="V610" i="67"/>
  <c r="V305" i="67"/>
  <c r="V152" i="67"/>
  <c r="AN358" i="67"/>
  <c r="AN662" i="67"/>
  <c r="AN813" i="67"/>
  <c r="AN52" i="67"/>
  <c r="AN510" i="67"/>
  <c r="AN205" i="67"/>
  <c r="AL442" i="67"/>
  <c r="AL746" i="67"/>
  <c r="AL897" i="67"/>
  <c r="AL594" i="67"/>
  <c r="AL136" i="67"/>
  <c r="AL289" i="67"/>
  <c r="AA458" i="67"/>
  <c r="AA762" i="67"/>
  <c r="AA913" i="67"/>
  <c r="AA610" i="67"/>
  <c r="AA305" i="67"/>
  <c r="AA152" i="67"/>
  <c r="P662" i="67"/>
  <c r="P813" i="67"/>
  <c r="P358" i="67"/>
  <c r="P52" i="67"/>
  <c r="P510" i="67"/>
  <c r="P205" i="67"/>
  <c r="R356" i="67"/>
  <c r="R811" i="67"/>
  <c r="R660" i="67"/>
  <c r="R203" i="67"/>
  <c r="R508" i="67"/>
  <c r="R50" i="67"/>
  <c r="AL26" i="68"/>
  <c r="K24" i="62" s="1"/>
  <c r="AK458" i="67"/>
  <c r="AK762" i="67"/>
  <c r="AK913" i="67"/>
  <c r="AK305" i="67"/>
  <c r="AK152" i="67"/>
  <c r="AK610" i="67"/>
  <c r="K338" i="67"/>
  <c r="K642" i="67"/>
  <c r="K490" i="67"/>
  <c r="K32" i="67"/>
  <c r="K185" i="67"/>
  <c r="AM913" i="67"/>
  <c r="AM458" i="67"/>
  <c r="AM762" i="67"/>
  <c r="AM610" i="67"/>
  <c r="AM305" i="67"/>
  <c r="AM152" i="67"/>
  <c r="AC358" i="67"/>
  <c r="AC662" i="67"/>
  <c r="AC813" i="67"/>
  <c r="AC510" i="67"/>
  <c r="AC52" i="67"/>
  <c r="AC205" i="67"/>
  <c r="X338" i="67"/>
  <c r="X642" i="67"/>
  <c r="X185" i="67"/>
  <c r="X490" i="67"/>
  <c r="X32" i="67"/>
  <c r="AR356" i="67"/>
  <c r="AR660" i="67"/>
  <c r="AR811" i="67"/>
  <c r="AR203" i="67"/>
  <c r="AR508" i="67"/>
  <c r="AR50" i="67"/>
  <c r="BL26" i="68"/>
  <c r="AK24" i="62" s="1"/>
  <c r="AJ442" i="67"/>
  <c r="AJ746" i="67"/>
  <c r="AJ897" i="67"/>
  <c r="AJ289" i="67"/>
  <c r="AJ594" i="67"/>
  <c r="AJ136" i="67"/>
  <c r="Y913" i="67"/>
  <c r="Y458" i="67"/>
  <c r="Y762" i="67"/>
  <c r="Y152" i="67"/>
  <c r="Y610" i="67"/>
  <c r="Y305" i="67"/>
  <c r="Q913" i="67"/>
  <c r="Q458" i="67"/>
  <c r="Q762" i="67"/>
  <c r="Q610" i="67"/>
  <c r="Q305" i="67"/>
  <c r="Q152" i="67"/>
  <c r="T330" i="67"/>
  <c r="T634" i="67"/>
  <c r="T482" i="67"/>
  <c r="T177" i="67"/>
  <c r="AN13" i="68"/>
  <c r="M14" i="62" s="1"/>
  <c r="T785" i="67"/>
  <c r="T24" i="67"/>
  <c r="S348" i="67"/>
  <c r="AM21" i="68"/>
  <c r="L21" i="62" s="1"/>
  <c r="S195" i="67"/>
  <c r="S652" i="67"/>
  <c r="S42" i="67"/>
  <c r="S803" i="67"/>
  <c r="S500" i="67"/>
  <c r="P738" i="67"/>
  <c r="P586" i="67"/>
  <c r="P281" i="67"/>
  <c r="P128" i="67"/>
  <c r="P434" i="67"/>
  <c r="P889" i="67"/>
  <c r="Y297" i="67"/>
  <c r="Y602" i="67"/>
  <c r="Y450" i="67"/>
  <c r="Y144" i="67"/>
  <c r="Y754" i="67"/>
  <c r="Y905" i="67"/>
  <c r="Y163" i="67"/>
  <c r="Y316" i="67"/>
  <c r="Y10" i="67"/>
  <c r="Y771" i="67"/>
  <c r="Y620" i="67"/>
  <c r="U330" i="67"/>
  <c r="AO13" i="68"/>
  <c r="N14" i="62" s="1"/>
  <c r="U482" i="67"/>
  <c r="U177" i="67"/>
  <c r="U634" i="67"/>
  <c r="U24" i="67"/>
  <c r="U785" i="67"/>
  <c r="AQ348" i="67"/>
  <c r="AQ500" i="67"/>
  <c r="AQ652" i="67"/>
  <c r="AQ195" i="67"/>
  <c r="AQ803" i="67"/>
  <c r="BK21" i="68"/>
  <c r="AJ21" i="62" s="1"/>
  <c r="AQ42" i="67"/>
  <c r="AK434" i="67"/>
  <c r="AK889" i="67"/>
  <c r="AK586" i="67"/>
  <c r="AK128" i="67"/>
  <c r="AK738" i="67"/>
  <c r="AK281" i="67"/>
  <c r="AS450" i="67"/>
  <c r="AS754" i="67"/>
  <c r="AS144" i="67"/>
  <c r="AS602" i="67"/>
  <c r="AS297" i="67"/>
  <c r="AS905" i="67"/>
  <c r="AS348" i="67"/>
  <c r="AS500" i="67"/>
  <c r="BM21" i="68"/>
  <c r="AL21" i="62" s="1"/>
  <c r="AS652" i="67"/>
  <c r="AS195" i="67"/>
  <c r="AS803" i="67"/>
  <c r="AS42" i="67"/>
  <c r="K164" i="67"/>
  <c r="K317" i="67"/>
  <c r="K772" i="67"/>
  <c r="K11" i="67"/>
  <c r="K621" i="67"/>
  <c r="AN348" i="67"/>
  <c r="AN803" i="67"/>
  <c r="AN652" i="67"/>
  <c r="AN195" i="67"/>
  <c r="AN500" i="67"/>
  <c r="BH21" i="68"/>
  <c r="AG21" i="62" s="1"/>
  <c r="AN42" i="67"/>
  <c r="AK13" i="68"/>
  <c r="J14" i="62" s="1"/>
  <c r="Q330" i="67"/>
  <c r="Q177" i="67"/>
  <c r="Q634" i="67"/>
  <c r="Q24" i="67"/>
  <c r="Q482" i="67"/>
  <c r="Q785" i="67"/>
  <c r="AP434" i="67"/>
  <c r="AP128" i="67"/>
  <c r="AP281" i="67"/>
  <c r="AP738" i="67"/>
  <c r="AP586" i="67"/>
  <c r="AP889" i="67"/>
  <c r="AP163" i="67"/>
  <c r="AP316" i="67"/>
  <c r="AP620" i="67"/>
  <c r="AP10" i="67"/>
  <c r="AP771" i="67"/>
  <c r="AF330" i="67"/>
  <c r="AF634" i="67"/>
  <c r="AF785" i="67"/>
  <c r="AF482" i="67"/>
  <c r="AZ13" i="68"/>
  <c r="Y14" i="62" s="1"/>
  <c r="AF24" i="67"/>
  <c r="AF177" i="67"/>
  <c r="V348" i="67"/>
  <c r="AP21" i="68"/>
  <c r="O21" i="62" s="1"/>
  <c r="V803" i="67"/>
  <c r="V195" i="67"/>
  <c r="V42" i="67"/>
  <c r="V652" i="67"/>
  <c r="V500" i="67"/>
  <c r="O602" i="67"/>
  <c r="O144" i="67"/>
  <c r="O450" i="67"/>
  <c r="O754" i="67"/>
  <c r="O297" i="67"/>
  <c r="O905" i="67"/>
  <c r="AM754" i="67"/>
  <c r="AM144" i="67"/>
  <c r="AM297" i="67"/>
  <c r="AM602" i="67"/>
  <c r="AM450" i="67"/>
  <c r="AM905" i="67"/>
  <c r="AM163" i="67"/>
  <c r="AM316" i="67"/>
  <c r="AM620" i="67"/>
  <c r="AM10" i="67"/>
  <c r="AM771" i="67"/>
  <c r="AH330" i="67"/>
  <c r="BB13" i="68"/>
  <c r="AA14" i="62" s="1"/>
  <c r="AH177" i="67"/>
  <c r="AH482" i="67"/>
  <c r="AH24" i="67"/>
  <c r="AH634" i="67"/>
  <c r="AH785" i="67"/>
  <c r="AU348" i="67"/>
  <c r="AU803" i="67"/>
  <c r="BO21" i="68"/>
  <c r="AN21" i="62" s="1"/>
  <c r="AU500" i="67"/>
  <c r="AU42" i="67"/>
  <c r="AU652" i="67"/>
  <c r="AU195" i="67"/>
  <c r="M889" i="67"/>
  <c r="M434" i="67"/>
  <c r="M586" i="67"/>
  <c r="M738" i="67"/>
  <c r="M128" i="67"/>
  <c r="M281" i="67"/>
  <c r="AL747" i="67"/>
  <c r="AL898" i="67"/>
  <c r="AL443" i="67"/>
  <c r="AL290" i="67"/>
  <c r="AL595" i="67"/>
  <c r="AL137" i="67"/>
  <c r="AU359" i="67"/>
  <c r="AU53" i="67"/>
  <c r="AU511" i="67"/>
  <c r="AU206" i="67"/>
  <c r="AU663" i="67"/>
  <c r="AU814" i="67"/>
  <c r="X357" i="67"/>
  <c r="X509" i="67"/>
  <c r="X51" i="67"/>
  <c r="X812" i="67"/>
  <c r="X661" i="67"/>
  <c r="X204" i="67"/>
  <c r="AO341" i="67"/>
  <c r="AO796" i="67"/>
  <c r="AO493" i="67"/>
  <c r="AO188" i="67"/>
  <c r="AO645" i="67"/>
  <c r="AO35" i="67"/>
  <c r="AC341" i="67"/>
  <c r="AC188" i="67"/>
  <c r="AC645" i="67"/>
  <c r="AC796" i="67"/>
  <c r="AC493" i="67"/>
  <c r="AC35" i="67"/>
  <c r="AT341" i="67"/>
  <c r="AT493" i="67"/>
  <c r="AT645" i="67"/>
  <c r="AT35" i="67"/>
  <c r="AT796" i="67"/>
  <c r="AT188" i="67"/>
  <c r="AQ339" i="67"/>
  <c r="AQ643" i="67"/>
  <c r="AQ33" i="67"/>
  <c r="AQ794" i="67"/>
  <c r="AQ491" i="67"/>
  <c r="AQ186" i="67"/>
  <c r="AI159" i="67"/>
  <c r="AI918" i="67"/>
  <c r="AS158" i="67"/>
  <c r="AS917" i="67"/>
  <c r="AL159" i="67"/>
  <c r="AL918" i="67"/>
  <c r="T340" i="67"/>
  <c r="T644" i="67"/>
  <c r="T795" i="67"/>
  <c r="T492" i="67"/>
  <c r="T34" i="67"/>
  <c r="T187" i="67"/>
  <c r="W340" i="67"/>
  <c r="W644" i="67"/>
  <c r="W795" i="67"/>
  <c r="W492" i="67"/>
  <c r="W34" i="67"/>
  <c r="W187" i="67"/>
  <c r="AV644" i="67"/>
  <c r="AV340" i="67"/>
  <c r="AV795" i="67"/>
  <c r="AV34" i="67"/>
  <c r="AV492" i="67"/>
  <c r="AV187" i="67"/>
  <c r="AU811" i="67"/>
  <c r="AU356" i="67"/>
  <c r="AU660" i="67"/>
  <c r="AU203" i="67"/>
  <c r="AU508" i="67"/>
  <c r="AU50" i="67"/>
  <c r="BO26" i="68"/>
  <c r="AN24" i="62" s="1"/>
  <c r="AB746" i="67"/>
  <c r="AB897" i="67"/>
  <c r="AB442" i="67"/>
  <c r="AB289" i="67"/>
  <c r="AB594" i="67"/>
  <c r="AB136" i="67"/>
  <c r="AE913" i="67"/>
  <c r="AE458" i="67"/>
  <c r="AE762" i="67"/>
  <c r="AE305" i="67"/>
  <c r="AE152" i="67"/>
  <c r="AE610" i="67"/>
  <c r="Z358" i="67"/>
  <c r="Z813" i="67"/>
  <c r="Z662" i="67"/>
  <c r="Z205" i="67"/>
  <c r="Z510" i="67"/>
  <c r="Z52" i="67"/>
  <c r="AJ348" i="67"/>
  <c r="BD21" i="68"/>
  <c r="AC21" i="62" s="1"/>
  <c r="AJ652" i="67"/>
  <c r="AJ42" i="67"/>
  <c r="AJ803" i="67"/>
  <c r="AJ195" i="67"/>
  <c r="AJ500" i="67"/>
  <c r="W450" i="67"/>
  <c r="W297" i="67"/>
  <c r="W144" i="67"/>
  <c r="W754" i="67"/>
  <c r="W602" i="67"/>
  <c r="W905" i="67"/>
  <c r="AB754" i="67"/>
  <c r="AB144" i="67"/>
  <c r="AB602" i="67"/>
  <c r="AB450" i="67"/>
  <c r="AB297" i="67"/>
  <c r="AB905" i="67"/>
  <c r="AB163" i="67"/>
  <c r="AB316" i="67"/>
  <c r="AB620" i="67"/>
  <c r="AB771" i="67"/>
  <c r="AB10" i="67"/>
  <c r="AX21" i="68"/>
  <c r="W21" i="62" s="1"/>
  <c r="AD348" i="67"/>
  <c r="AD195" i="67"/>
  <c r="AD500" i="67"/>
  <c r="AD652" i="67"/>
  <c r="AD42" i="67"/>
  <c r="AD803" i="67"/>
  <c r="X434" i="67"/>
  <c r="X738" i="67"/>
  <c r="X128" i="67"/>
  <c r="X586" i="67"/>
  <c r="X281" i="67"/>
  <c r="X889" i="67"/>
  <c r="AV450" i="67"/>
  <c r="AV297" i="67"/>
  <c r="AV144" i="67"/>
  <c r="AV754" i="67"/>
  <c r="AV905" i="67"/>
  <c r="AV602" i="67"/>
  <c r="AV163" i="67"/>
  <c r="AV316" i="67"/>
  <c r="AV10" i="67"/>
  <c r="AV771" i="67"/>
  <c r="AV620" i="67"/>
  <c r="AG348" i="67"/>
  <c r="AG803" i="67"/>
  <c r="AG42" i="67"/>
  <c r="AG500" i="67"/>
  <c r="AG195" i="67"/>
  <c r="AG652" i="67"/>
  <c r="BA21" i="68"/>
  <c r="Z21" i="62" s="1"/>
  <c r="L349" i="67"/>
  <c r="L196" i="67"/>
  <c r="L501" i="67"/>
  <c r="L653" i="67"/>
  <c r="L804" i="67"/>
  <c r="L43" i="67"/>
  <c r="AF357" i="67"/>
  <c r="AF661" i="67"/>
  <c r="AF204" i="67"/>
  <c r="AF812" i="67"/>
  <c r="AF509" i="67"/>
  <c r="AF51" i="67"/>
  <c r="R341" i="67"/>
  <c r="R796" i="67"/>
  <c r="R645" i="67"/>
  <c r="R188" i="67"/>
  <c r="R493" i="67"/>
  <c r="R35" i="67"/>
  <c r="Y339" i="67"/>
  <c r="Y643" i="67"/>
  <c r="Y186" i="67"/>
  <c r="Y491" i="67"/>
  <c r="Y794" i="67"/>
  <c r="Y33" i="67"/>
  <c r="AN153" i="67"/>
  <c r="AN914" i="67"/>
  <c r="AN763" i="67"/>
  <c r="AN459" i="67"/>
  <c r="AN306" i="67"/>
  <c r="AN611" i="67"/>
  <c r="AC339" i="67"/>
  <c r="AC794" i="67"/>
  <c r="AC643" i="67"/>
  <c r="AC491" i="67"/>
  <c r="AC186" i="67"/>
  <c r="AC33" i="67"/>
  <c r="P357" i="67"/>
  <c r="P509" i="67"/>
  <c r="P661" i="67"/>
  <c r="P204" i="67"/>
  <c r="P812" i="67"/>
  <c r="P51" i="67"/>
  <c r="AT290" i="67"/>
  <c r="AT137" i="67"/>
  <c r="AT595" i="67"/>
  <c r="AT443" i="67"/>
  <c r="AT747" i="67"/>
  <c r="AT898" i="67"/>
  <c r="AQ341" i="67"/>
  <c r="AQ35" i="67"/>
  <c r="AQ645" i="67"/>
  <c r="AQ188" i="67"/>
  <c r="AQ796" i="67"/>
  <c r="AQ493" i="67"/>
  <c r="Q357" i="67"/>
  <c r="Q51" i="67"/>
  <c r="Q661" i="67"/>
  <c r="Q509" i="67"/>
  <c r="Q812" i="67"/>
  <c r="Q204" i="67"/>
  <c r="AR158" i="67"/>
  <c r="AR917" i="67"/>
  <c r="AJ158" i="67"/>
  <c r="AJ917" i="67"/>
  <c r="AP917" i="67"/>
  <c r="AP158" i="67"/>
  <c r="AD340" i="67"/>
  <c r="AD492" i="67"/>
  <c r="AD644" i="67"/>
  <c r="AD34" i="67"/>
  <c r="AD795" i="67"/>
  <c r="AD187" i="67"/>
  <c r="L746" i="67"/>
  <c r="L897" i="67"/>
  <c r="L442" i="67"/>
  <c r="L289" i="67"/>
  <c r="L594" i="67"/>
  <c r="L136" i="67"/>
  <c r="M358" i="67"/>
  <c r="M662" i="67"/>
  <c r="M813" i="67"/>
  <c r="M510" i="67"/>
  <c r="M52" i="67"/>
  <c r="M205" i="67"/>
  <c r="AC897" i="67"/>
  <c r="AC442" i="67"/>
  <c r="AC746" i="67"/>
  <c r="AC594" i="67"/>
  <c r="AC136" i="67"/>
  <c r="AC289" i="67"/>
  <c r="U458" i="67"/>
  <c r="U762" i="67"/>
  <c r="U913" i="67"/>
  <c r="U305" i="67"/>
  <c r="U152" i="67"/>
  <c r="U610" i="67"/>
  <c r="AR358" i="67"/>
  <c r="AR813" i="67"/>
  <c r="AR662" i="67"/>
  <c r="AR205" i="67"/>
  <c r="AR510" i="67"/>
  <c r="AR52" i="67"/>
  <c r="T435" i="67"/>
  <c r="T587" i="67"/>
  <c r="T282" i="67"/>
  <c r="T129" i="67"/>
  <c r="T739" i="67"/>
  <c r="T890" i="67"/>
  <c r="T164" i="67"/>
  <c r="T317" i="67"/>
  <c r="T11" i="67"/>
  <c r="T621" i="67"/>
  <c r="T772" i="67"/>
  <c r="P331" i="67"/>
  <c r="P178" i="67"/>
  <c r="P635" i="67"/>
  <c r="P483" i="67"/>
  <c r="P786" i="67"/>
  <c r="P25" i="67"/>
  <c r="U349" i="67"/>
  <c r="U653" i="67"/>
  <c r="U196" i="67"/>
  <c r="U804" i="67"/>
  <c r="U43" i="67"/>
  <c r="U501" i="67"/>
  <c r="AS587" i="67"/>
  <c r="AS739" i="67"/>
  <c r="AS282" i="67"/>
  <c r="AS129" i="67"/>
  <c r="AS435" i="67"/>
  <c r="AS890" i="67"/>
  <c r="AN451" i="67"/>
  <c r="AN145" i="67"/>
  <c r="AN603" i="67"/>
  <c r="AN298" i="67"/>
  <c r="AN906" i="67"/>
  <c r="AN755" i="67"/>
  <c r="AN164" i="67"/>
  <c r="AN317" i="67"/>
  <c r="AN621" i="67"/>
  <c r="AN772" i="67"/>
  <c r="AN11" i="67"/>
  <c r="AP331" i="67"/>
  <c r="AP483" i="67"/>
  <c r="AP178" i="67"/>
  <c r="AP25" i="67"/>
  <c r="AP786" i="67"/>
  <c r="AP635" i="67"/>
  <c r="O349" i="67"/>
  <c r="O196" i="67"/>
  <c r="O653" i="67"/>
  <c r="O43" i="67"/>
  <c r="O804" i="67"/>
  <c r="O501" i="67"/>
  <c r="AU435" i="67"/>
  <c r="AU890" i="67"/>
  <c r="AU587" i="67"/>
  <c r="AU129" i="67"/>
  <c r="AU739" i="67"/>
  <c r="AU282" i="67"/>
  <c r="K340" i="67"/>
  <c r="K795" i="67"/>
  <c r="K644" i="67"/>
  <c r="K492" i="67"/>
  <c r="K34" i="67"/>
  <c r="K187" i="67"/>
  <c r="L341" i="67"/>
  <c r="L35" i="67"/>
  <c r="L796" i="67"/>
  <c r="L645" i="67"/>
  <c r="L188" i="67"/>
  <c r="L493" i="67"/>
  <c r="AU339" i="67"/>
  <c r="AU794" i="67"/>
  <c r="AU643" i="67"/>
  <c r="AU186" i="67"/>
  <c r="AU491" i="67"/>
  <c r="AU33" i="67"/>
  <c r="AP357" i="67"/>
  <c r="AP204" i="67"/>
  <c r="AP509" i="67"/>
  <c r="AP812" i="67"/>
  <c r="AP51" i="67"/>
  <c r="AP661" i="67"/>
  <c r="X341" i="67"/>
  <c r="X493" i="67"/>
  <c r="X188" i="67"/>
  <c r="X645" i="67"/>
  <c r="X35" i="67"/>
  <c r="X796" i="67"/>
  <c r="M341" i="67"/>
  <c r="M35" i="67"/>
  <c r="M493" i="67"/>
  <c r="M645" i="67"/>
  <c r="M188" i="67"/>
  <c r="M796" i="67"/>
  <c r="O341" i="67"/>
  <c r="O796" i="67"/>
  <c r="O645" i="67"/>
  <c r="O188" i="67"/>
  <c r="O493" i="67"/>
  <c r="O35" i="67"/>
  <c r="AS443" i="67"/>
  <c r="AS747" i="67"/>
  <c r="AS595" i="67"/>
  <c r="AS898" i="67"/>
  <c r="AS290" i="67"/>
  <c r="AS137" i="67"/>
  <c r="AK763" i="67"/>
  <c r="AK459" i="67"/>
  <c r="AK914" i="67"/>
  <c r="AK611" i="67"/>
  <c r="AK306" i="67"/>
  <c r="AK153" i="67"/>
  <c r="T339" i="67"/>
  <c r="T33" i="67"/>
  <c r="T186" i="67"/>
  <c r="T643" i="67"/>
  <c r="T491" i="67"/>
  <c r="T794" i="67"/>
  <c r="Z357" i="67"/>
  <c r="Z661" i="67"/>
  <c r="Z204" i="67"/>
  <c r="Z812" i="67"/>
  <c r="Z51" i="67"/>
  <c r="Z509" i="67"/>
  <c r="AD595" i="67"/>
  <c r="AD898" i="67"/>
  <c r="AD290" i="67"/>
  <c r="AD443" i="67"/>
  <c r="AD747" i="67"/>
  <c r="AD137" i="67"/>
  <c r="S914" i="67"/>
  <c r="S459" i="67"/>
  <c r="S763" i="67"/>
  <c r="S306" i="67"/>
  <c r="S153" i="67"/>
  <c r="S611" i="67"/>
  <c r="AH339" i="67"/>
  <c r="AH33" i="67"/>
  <c r="AH643" i="67"/>
  <c r="AH186" i="67"/>
  <c r="AH794" i="67"/>
  <c r="AH491" i="67"/>
  <c r="AA914" i="67"/>
  <c r="AA459" i="67"/>
  <c r="AA763" i="67"/>
  <c r="AA611" i="67"/>
  <c r="AA306" i="67"/>
  <c r="AA153" i="67"/>
  <c r="Y158" i="67"/>
  <c r="Y917" i="67"/>
  <c r="AF917" i="67"/>
  <c r="AF158" i="67"/>
  <c r="AU918" i="67"/>
  <c r="AU159" i="67"/>
  <c r="AH917" i="67"/>
  <c r="AH158" i="67"/>
  <c r="AV159" i="67"/>
  <c r="AV918" i="67"/>
  <c r="AF338" i="67"/>
  <c r="AF642" i="67"/>
  <c r="AF185" i="67"/>
  <c r="AF490" i="67"/>
  <c r="AF32" i="67"/>
  <c r="V340" i="67"/>
  <c r="V644" i="67"/>
  <c r="V34" i="67"/>
  <c r="V795" i="67"/>
  <c r="V492" i="67"/>
  <c r="V187" i="67"/>
  <c r="AN356" i="67"/>
  <c r="AN811" i="67"/>
  <c r="AN660" i="67"/>
  <c r="AN203" i="67"/>
  <c r="AN508" i="67"/>
  <c r="AN50" i="67"/>
  <c r="BH26" i="68"/>
  <c r="AG24" i="62" s="1"/>
  <c r="AA358" i="67"/>
  <c r="AA662" i="67"/>
  <c r="AA813" i="67"/>
  <c r="AA510" i="67"/>
  <c r="AA52" i="67"/>
  <c r="AA205" i="67"/>
  <c r="P356" i="67"/>
  <c r="P811" i="67"/>
  <c r="P660" i="67"/>
  <c r="P50" i="67"/>
  <c r="P203" i="67"/>
  <c r="P508" i="67"/>
  <c r="AJ26" i="68"/>
  <c r="I24" i="62" s="1"/>
  <c r="R340" i="67"/>
  <c r="R795" i="67"/>
  <c r="R187" i="67"/>
  <c r="R644" i="67"/>
  <c r="R492" i="67"/>
  <c r="R34" i="67"/>
  <c r="AU340" i="67"/>
  <c r="AU644" i="67"/>
  <c r="AU795" i="67"/>
  <c r="AU34" i="67"/>
  <c r="AU187" i="67"/>
  <c r="AU492" i="67"/>
  <c r="AP356" i="67"/>
  <c r="AP811" i="67"/>
  <c r="AP660" i="67"/>
  <c r="AP203" i="67"/>
  <c r="AP508" i="67"/>
  <c r="AP50" i="67"/>
  <c r="BJ26" i="68"/>
  <c r="AI24" i="62" s="1"/>
  <c r="AH897" i="67"/>
  <c r="AH442" i="67"/>
  <c r="AH746" i="67"/>
  <c r="AH289" i="67"/>
  <c r="AH136" i="67"/>
  <c r="AH594" i="67"/>
  <c r="AB340" i="67"/>
  <c r="AB795" i="67"/>
  <c r="AB492" i="67"/>
  <c r="AB34" i="67"/>
  <c r="AB187" i="67"/>
  <c r="AB644" i="67"/>
  <c r="O338" i="67"/>
  <c r="O642" i="67"/>
  <c r="O490" i="67"/>
  <c r="O32" i="67"/>
  <c r="O185" i="67"/>
  <c r="AO338" i="67"/>
  <c r="AO642" i="67"/>
  <c r="AO490" i="67"/>
  <c r="AO32" i="67"/>
  <c r="AO185" i="67"/>
  <c r="AI356" i="67"/>
  <c r="AI660" i="67"/>
  <c r="AI811" i="67"/>
  <c r="AI508" i="67"/>
  <c r="AI50" i="67"/>
  <c r="AI203" i="67"/>
  <c r="BC26" i="68"/>
  <c r="AB24" i="62" s="1"/>
  <c r="Z442" i="67"/>
  <c r="Z897" i="67"/>
  <c r="Z746" i="67"/>
  <c r="Z289" i="67"/>
  <c r="Z594" i="67"/>
  <c r="Z136" i="67"/>
  <c r="AL435" i="67"/>
  <c r="AL587" i="67"/>
  <c r="AL282" i="67"/>
  <c r="AL739" i="67"/>
  <c r="AL890" i="67"/>
  <c r="AL129" i="67"/>
  <c r="AJ739" i="67"/>
  <c r="AJ282" i="67"/>
  <c r="AJ587" i="67"/>
  <c r="AJ435" i="67"/>
  <c r="AJ129" i="67"/>
  <c r="AJ890" i="67"/>
  <c r="AJ164" i="67"/>
  <c r="AJ317" i="67"/>
  <c r="AJ11" i="67"/>
  <c r="AJ621" i="67"/>
  <c r="AJ772" i="67"/>
  <c r="BQ13" i="68"/>
  <c r="AP14" i="62" s="1"/>
  <c r="AW330" i="67"/>
  <c r="AW785" i="67"/>
  <c r="AW634" i="67"/>
  <c r="AW24" i="67"/>
  <c r="AW177" i="67"/>
  <c r="AW482" i="67"/>
  <c r="Z349" i="67"/>
  <c r="Z43" i="67"/>
  <c r="Z653" i="67"/>
  <c r="Z196" i="67"/>
  <c r="Z804" i="67"/>
  <c r="Z501" i="67"/>
  <c r="W890" i="67"/>
  <c r="W435" i="67"/>
  <c r="W587" i="67"/>
  <c r="W739" i="67"/>
  <c r="W129" i="67"/>
  <c r="W282" i="67"/>
  <c r="AI349" i="67"/>
  <c r="AI196" i="67"/>
  <c r="AI501" i="67"/>
  <c r="AI653" i="67"/>
  <c r="AI43" i="67"/>
  <c r="AI804" i="67"/>
  <c r="AI164" i="67"/>
  <c r="AI317" i="67"/>
  <c r="AI621" i="67"/>
  <c r="AI11" i="67"/>
  <c r="AI772" i="67"/>
  <c r="R331" i="67"/>
  <c r="R635" i="67"/>
  <c r="R178" i="67"/>
  <c r="R483" i="67"/>
  <c r="R786" i="67"/>
  <c r="R25" i="67"/>
  <c r="AB349" i="67"/>
  <c r="AB196" i="67"/>
  <c r="AB43" i="67"/>
  <c r="AB804" i="67"/>
  <c r="AB653" i="67"/>
  <c r="AB501" i="67"/>
  <c r="N435" i="67"/>
  <c r="N129" i="67"/>
  <c r="N282" i="67"/>
  <c r="N739" i="67"/>
  <c r="N587" i="67"/>
  <c r="N890" i="67"/>
  <c r="AD145" i="67"/>
  <c r="AD603" i="67"/>
  <c r="AD755" i="67"/>
  <c r="AD298" i="67"/>
  <c r="AD451" i="67"/>
  <c r="AD906" i="67"/>
  <c r="AD164" i="67"/>
  <c r="AD317" i="67"/>
  <c r="AD772" i="67"/>
  <c r="AD11" i="67"/>
  <c r="AD621" i="67"/>
  <c r="AE331" i="67"/>
  <c r="AE178" i="67"/>
  <c r="AE786" i="67"/>
  <c r="AE483" i="67"/>
  <c r="AE635" i="67"/>
  <c r="AE25" i="67"/>
  <c r="AT349" i="67"/>
  <c r="AT653" i="67"/>
  <c r="AT43" i="67"/>
  <c r="AT804" i="67"/>
  <c r="AT501" i="67"/>
  <c r="AT196" i="67"/>
  <c r="X435" i="67"/>
  <c r="X587" i="67"/>
  <c r="X739" i="67"/>
  <c r="X282" i="67"/>
  <c r="X129" i="67"/>
  <c r="X890" i="67"/>
  <c r="AR587" i="67"/>
  <c r="AR435" i="67"/>
  <c r="AR739" i="67"/>
  <c r="AR129" i="67"/>
  <c r="AR890" i="67"/>
  <c r="AR282" i="67"/>
  <c r="AR164" i="67"/>
  <c r="AR317" i="67"/>
  <c r="AR11" i="67"/>
  <c r="AR621" i="67"/>
  <c r="AR772" i="67"/>
  <c r="AA331" i="67"/>
  <c r="AA25" i="67"/>
  <c r="AA178" i="67"/>
  <c r="AA635" i="67"/>
  <c r="AA786" i="67"/>
  <c r="AA483" i="67"/>
  <c r="AV349" i="67"/>
  <c r="AV804" i="67"/>
  <c r="AV501" i="67"/>
  <c r="AV43" i="67"/>
  <c r="AV653" i="67"/>
  <c r="AV196" i="67"/>
  <c r="AG129" i="67"/>
  <c r="AG282" i="67"/>
  <c r="AG435" i="67"/>
  <c r="AG739" i="67"/>
  <c r="AG587" i="67"/>
  <c r="AG890" i="67"/>
  <c r="AC451" i="67"/>
  <c r="AC906" i="67"/>
  <c r="AC755" i="67"/>
  <c r="AC298" i="67"/>
  <c r="AC145" i="67"/>
  <c r="AC603" i="67"/>
  <c r="AC164" i="67"/>
  <c r="AC317" i="67"/>
  <c r="AC11" i="67"/>
  <c r="AC621" i="67"/>
  <c r="AC772" i="67"/>
  <c r="AO331" i="67"/>
  <c r="AO483" i="67"/>
  <c r="AO635" i="67"/>
  <c r="AO25" i="67"/>
  <c r="AO178" i="67"/>
  <c r="AO786" i="67"/>
  <c r="AF21" i="68"/>
  <c r="E21" i="62" s="1"/>
  <c r="L348" i="67"/>
  <c r="L652" i="67"/>
  <c r="L195" i="67"/>
  <c r="L803" i="67"/>
  <c r="L500" i="67"/>
  <c r="L42" i="67"/>
  <c r="L898" i="67"/>
  <c r="L443" i="67"/>
  <c r="L290" i="67"/>
  <c r="L747" i="67"/>
  <c r="L137" i="67"/>
  <c r="L595" i="67"/>
  <c r="AP359" i="67"/>
  <c r="AP663" i="67"/>
  <c r="AP206" i="67"/>
  <c r="AP814" i="67"/>
  <c r="AP511" i="67"/>
  <c r="AP53" i="67"/>
  <c r="AJ611" i="67"/>
  <c r="AJ153" i="67"/>
  <c r="AJ459" i="67"/>
  <c r="AJ763" i="67"/>
  <c r="AJ306" i="67"/>
  <c r="AJ914" i="67"/>
  <c r="AB747" i="67"/>
  <c r="AB443" i="67"/>
  <c r="AB595" i="67"/>
  <c r="AB898" i="67"/>
  <c r="AB137" i="67"/>
  <c r="AB290" i="67"/>
  <c r="U914" i="67"/>
  <c r="U763" i="67"/>
  <c r="U153" i="67"/>
  <c r="U459" i="67"/>
  <c r="U611" i="67"/>
  <c r="U306" i="67"/>
  <c r="N443" i="67"/>
  <c r="N137" i="67"/>
  <c r="N898" i="67"/>
  <c r="N290" i="67"/>
  <c r="N747" i="67"/>
  <c r="N595" i="67"/>
  <c r="AT158" i="67"/>
  <c r="AT917" i="67"/>
  <c r="M159" i="67"/>
  <c r="M918" i="67"/>
  <c r="AG158" i="67"/>
  <c r="AG917" i="67"/>
  <c r="AT746" i="67"/>
  <c r="AT897" i="67"/>
  <c r="AT442" i="67"/>
  <c r="AT594" i="67"/>
  <c r="AT136" i="67"/>
  <c r="AT289" i="67"/>
  <c r="AD913" i="67"/>
  <c r="AD458" i="67"/>
  <c r="AD762" i="67"/>
  <c r="AD610" i="67"/>
  <c r="AD305" i="67"/>
  <c r="AD152" i="67"/>
  <c r="AW338" i="67"/>
  <c r="AW642" i="67"/>
  <c r="AW490" i="67"/>
  <c r="AW32" i="67"/>
  <c r="AW185" i="67"/>
  <c r="M897" i="67"/>
  <c r="M442" i="67"/>
  <c r="M746" i="67"/>
  <c r="M594" i="67"/>
  <c r="M136" i="67"/>
  <c r="M289" i="67"/>
  <c r="AP358" i="67"/>
  <c r="AP662" i="67"/>
  <c r="AP813" i="67"/>
  <c r="AP510" i="67"/>
  <c r="AP52" i="67"/>
  <c r="AP205" i="67"/>
  <c r="AI358" i="67"/>
  <c r="AI510" i="67"/>
  <c r="AI662" i="67"/>
  <c r="AI813" i="67"/>
  <c r="AI52" i="67"/>
  <c r="AI205" i="67"/>
  <c r="AW349" i="67"/>
  <c r="AW196" i="67"/>
  <c r="AW43" i="67"/>
  <c r="AW653" i="67"/>
  <c r="AW501" i="67"/>
  <c r="AW804" i="67"/>
  <c r="R281" i="67"/>
  <c r="R434" i="67"/>
  <c r="R738" i="67"/>
  <c r="R128" i="67"/>
  <c r="R889" i="67"/>
  <c r="R586" i="67"/>
  <c r="AE330" i="67"/>
  <c r="AE785" i="67"/>
  <c r="AE24" i="67"/>
  <c r="AE482" i="67"/>
  <c r="AY13" i="68"/>
  <c r="X14" i="62" s="1"/>
  <c r="AE177" i="67"/>
  <c r="AE634" i="67"/>
  <c r="BL21" i="68"/>
  <c r="AK21" i="62" s="1"/>
  <c r="AR348" i="67"/>
  <c r="AR42" i="67"/>
  <c r="AR803" i="67"/>
  <c r="AR652" i="67"/>
  <c r="AR195" i="67"/>
  <c r="AR500" i="67"/>
  <c r="AO434" i="67"/>
  <c r="AO889" i="67"/>
  <c r="AO586" i="67"/>
  <c r="AO128" i="67"/>
  <c r="AO738" i="67"/>
  <c r="AO281" i="67"/>
  <c r="AV338" i="67"/>
  <c r="AV642" i="67"/>
  <c r="AV185" i="67"/>
  <c r="AV490" i="67"/>
  <c r="AV32" i="67"/>
  <c r="AK331" i="67"/>
  <c r="AK635" i="67"/>
  <c r="AK178" i="67"/>
  <c r="AK786" i="67"/>
  <c r="AK25" i="67"/>
  <c r="AK483" i="67"/>
  <c r="AF349" i="67"/>
  <c r="AF501" i="67"/>
  <c r="AF43" i="67"/>
  <c r="AF653" i="67"/>
  <c r="AF196" i="67"/>
  <c r="AF804" i="67"/>
  <c r="AH282" i="67"/>
  <c r="AH435" i="67"/>
  <c r="AH587" i="67"/>
  <c r="AH129" i="67"/>
  <c r="AH739" i="67"/>
  <c r="AH890" i="67"/>
  <c r="AH358" i="67"/>
  <c r="AH662" i="67"/>
  <c r="AH813" i="67"/>
  <c r="AH205" i="67"/>
  <c r="AH510" i="67"/>
  <c r="AH52" i="67"/>
  <c r="AL297" i="67"/>
  <c r="AL144" i="67"/>
  <c r="AL754" i="67"/>
  <c r="AL450" i="67"/>
  <c r="AL602" i="67"/>
  <c r="AL905" i="67"/>
  <c r="AL163" i="67"/>
  <c r="AL316" i="67"/>
  <c r="AL620" i="67"/>
  <c r="AL10" i="67"/>
  <c r="AL771" i="67"/>
  <c r="AT13" i="68"/>
  <c r="S14" i="62" s="1"/>
  <c r="Z330" i="67"/>
  <c r="Z634" i="67"/>
  <c r="Z785" i="67"/>
  <c r="Z24" i="67"/>
  <c r="Z177" i="67"/>
  <c r="Z482" i="67"/>
  <c r="BC21" i="68"/>
  <c r="AB21" i="62" s="1"/>
  <c r="AI348" i="67"/>
  <c r="AI803" i="67"/>
  <c r="AI652" i="67"/>
  <c r="AI195" i="67"/>
  <c r="AI500" i="67"/>
  <c r="AI42" i="67"/>
  <c r="N450" i="67"/>
  <c r="N754" i="67"/>
  <c r="N297" i="67"/>
  <c r="N602" i="67"/>
  <c r="N144" i="67"/>
  <c r="N905" i="67"/>
  <c r="AT754" i="67"/>
  <c r="AT144" i="67"/>
  <c r="AT602" i="67"/>
  <c r="AT450" i="67"/>
  <c r="AT297" i="67"/>
  <c r="AT905" i="67"/>
  <c r="AT163" i="67"/>
  <c r="AT316" i="67"/>
  <c r="AT10" i="67"/>
  <c r="AT620" i="67"/>
  <c r="AT771" i="67"/>
  <c r="AA330" i="67"/>
  <c r="AA482" i="67"/>
  <c r="AA24" i="67"/>
  <c r="AA634" i="67"/>
  <c r="AA177" i="67"/>
  <c r="AA785" i="67"/>
  <c r="AU13" i="68"/>
  <c r="T14" i="62" s="1"/>
  <c r="AC889" i="67"/>
  <c r="AC434" i="67"/>
  <c r="AC586" i="67"/>
  <c r="AC738" i="67"/>
  <c r="AC128" i="67"/>
  <c r="AC281" i="67"/>
  <c r="AI914" i="67"/>
  <c r="AI459" i="67"/>
  <c r="AI763" i="67"/>
  <c r="AI153" i="67"/>
  <c r="AI611" i="67"/>
  <c r="AI306" i="67"/>
  <c r="AG339" i="67"/>
  <c r="AG491" i="67"/>
  <c r="AG33" i="67"/>
  <c r="AG643" i="67"/>
  <c r="AG186" i="67"/>
  <c r="AG794" i="67"/>
  <c r="W359" i="67"/>
  <c r="W511" i="67"/>
  <c r="W53" i="67"/>
  <c r="W663" i="67"/>
  <c r="W206" i="67"/>
  <c r="W814" i="67"/>
  <c r="AO357" i="67"/>
  <c r="AO661" i="67"/>
  <c r="AO51" i="67"/>
  <c r="AO812" i="67"/>
  <c r="AO509" i="67"/>
  <c r="AO204" i="67"/>
  <c r="AM290" i="67"/>
  <c r="AM443" i="67"/>
  <c r="AM595" i="67"/>
  <c r="AM898" i="67"/>
  <c r="AM747" i="67"/>
  <c r="AM137" i="67"/>
  <c r="AB359" i="67"/>
  <c r="AB663" i="67"/>
  <c r="AB206" i="67"/>
  <c r="AB814" i="67"/>
  <c r="AB53" i="67"/>
  <c r="AB511" i="67"/>
  <c r="AE763" i="67"/>
  <c r="AE459" i="67"/>
  <c r="AE914" i="67"/>
  <c r="AE306" i="67"/>
  <c r="AE153" i="67"/>
  <c r="AE611" i="67"/>
  <c r="AC158" i="67"/>
  <c r="AC917" i="67"/>
  <c r="AN917" i="67"/>
  <c r="AN158" i="67"/>
  <c r="AW158" i="67"/>
  <c r="AW917" i="67"/>
  <c r="T442" i="67"/>
  <c r="T746" i="67"/>
  <c r="T897" i="67"/>
  <c r="T289" i="67"/>
  <c r="T594" i="67"/>
  <c r="T136" i="67"/>
  <c r="AS762" i="67"/>
  <c r="AS458" i="67"/>
  <c r="AS913" i="67"/>
  <c r="AS152" i="67"/>
  <c r="AS610" i="67"/>
  <c r="AS305" i="67"/>
  <c r="W338" i="67"/>
  <c r="W642" i="67"/>
  <c r="W490" i="67"/>
  <c r="W32" i="67"/>
  <c r="W185" i="67"/>
  <c r="AG356" i="67"/>
  <c r="AG811" i="67"/>
  <c r="AG660" i="67"/>
  <c r="AG508" i="67"/>
  <c r="AG50" i="67"/>
  <c r="AG203" i="67"/>
  <c r="BA26" i="68"/>
  <c r="Z24" i="62" s="1"/>
  <c r="AQ897" i="67"/>
  <c r="AQ442" i="67"/>
  <c r="AQ746" i="67"/>
  <c r="AQ136" i="67"/>
  <c r="AQ289" i="67"/>
  <c r="AQ594" i="67"/>
  <c r="AM340" i="67"/>
  <c r="AM644" i="67"/>
  <c r="AM795" i="67"/>
  <c r="AM492" i="67"/>
  <c r="AM34" i="67"/>
  <c r="AM187" i="67"/>
  <c r="AJ795" i="67"/>
  <c r="AJ340" i="67"/>
  <c r="AJ644" i="67"/>
  <c r="AJ492" i="67"/>
  <c r="AJ34" i="67"/>
  <c r="AJ187" i="67"/>
  <c r="S435" i="67"/>
  <c r="S890" i="67"/>
  <c r="S129" i="67"/>
  <c r="S282" i="67"/>
  <c r="S587" i="67"/>
  <c r="S739" i="67"/>
  <c r="Y298" i="67"/>
  <c r="Y755" i="67"/>
  <c r="Y145" i="67"/>
  <c r="Y906" i="67"/>
  <c r="Y451" i="67"/>
  <c r="Y603" i="67"/>
  <c r="Y164" i="67"/>
  <c r="Y317" i="67"/>
  <c r="Y11" i="67"/>
  <c r="Y621" i="67"/>
  <c r="Y772" i="67"/>
  <c r="AQ349" i="67"/>
  <c r="AQ653" i="67"/>
  <c r="AQ196" i="67"/>
  <c r="AQ804" i="67"/>
  <c r="AQ501" i="67"/>
  <c r="AQ43" i="67"/>
  <c r="K163" i="67"/>
  <c r="K316" i="67"/>
  <c r="K620" i="67"/>
  <c r="K771" i="67"/>
  <c r="K10" i="67"/>
  <c r="Q349" i="67"/>
  <c r="Q653" i="67"/>
  <c r="Q501" i="67"/>
  <c r="Q804" i="67"/>
  <c r="Q196" i="67"/>
  <c r="Q43" i="67"/>
  <c r="V435" i="67"/>
  <c r="V587" i="67"/>
  <c r="V282" i="67"/>
  <c r="V739" i="67"/>
  <c r="V129" i="67"/>
  <c r="V890" i="67"/>
  <c r="AM145" i="67"/>
  <c r="AM603" i="67"/>
  <c r="AM451" i="67"/>
  <c r="AM906" i="67"/>
  <c r="AM755" i="67"/>
  <c r="AM298" i="67"/>
  <c r="AM164" i="67"/>
  <c r="AM317" i="67"/>
  <c r="AM621" i="67"/>
  <c r="AM772" i="67"/>
  <c r="AM11" i="67"/>
  <c r="M331" i="67"/>
  <c r="M178" i="67"/>
  <c r="M635" i="67"/>
  <c r="M25" i="67"/>
  <c r="M786" i="67"/>
  <c r="M483" i="67"/>
  <c r="AQ114" i="34"/>
  <c r="X1489" i="67"/>
  <c r="AV119" i="34"/>
  <c r="AC1494" i="67"/>
  <c r="AC1148" i="67"/>
  <c r="AC997" i="67"/>
  <c r="BI122" i="34"/>
  <c r="AP1497" i="67"/>
  <c r="BC106" i="34"/>
  <c r="AJ1481" i="67"/>
  <c r="AJ119" i="34"/>
  <c r="Q1494" i="67"/>
  <c r="Q1148" i="67"/>
  <c r="Q997" i="67"/>
  <c r="AV105" i="34"/>
  <c r="AC983" i="67"/>
  <c r="AC1134" i="67"/>
  <c r="AC1480" i="67"/>
  <c r="AC681" i="67"/>
  <c r="AS103" i="34"/>
  <c r="Z1478" i="67"/>
  <c r="Z1132" i="67"/>
  <c r="Z981" i="67"/>
  <c r="Z679" i="67"/>
  <c r="BI121" i="34"/>
  <c r="AP999" i="67"/>
  <c r="AP1150" i="67"/>
  <c r="AP1496" i="67"/>
  <c r="AM121" i="34"/>
  <c r="T999" i="67"/>
  <c r="T1150" i="67"/>
  <c r="T1496" i="67"/>
  <c r="AL105" i="34"/>
  <c r="S983" i="67"/>
  <c r="S1134" i="67"/>
  <c r="S1480" i="67"/>
  <c r="S681" i="67"/>
  <c r="BL106" i="34"/>
  <c r="AS1481" i="67"/>
  <c r="AR119" i="34"/>
  <c r="Y1494" i="67"/>
  <c r="Y1148" i="67"/>
  <c r="Y997" i="67"/>
  <c r="AS97" i="34"/>
  <c r="Z1472" i="67"/>
  <c r="AD105" i="34"/>
  <c r="K983" i="67"/>
  <c r="K1134" i="67"/>
  <c r="K1480" i="67"/>
  <c r="K681" i="67"/>
  <c r="AR113" i="34"/>
  <c r="Y1488" i="67"/>
  <c r="AQ97" i="34"/>
  <c r="X1472" i="67"/>
  <c r="R914" i="67"/>
  <c r="R306" i="67"/>
  <c r="R459" i="67"/>
  <c r="R153" i="67"/>
  <c r="R611" i="67"/>
  <c r="R763" i="67"/>
  <c r="W357" i="67"/>
  <c r="W812" i="67"/>
  <c r="W204" i="67"/>
  <c r="W509" i="67"/>
  <c r="W661" i="67"/>
  <c r="W51" i="67"/>
  <c r="Z359" i="67"/>
  <c r="Z53" i="67"/>
  <c r="Z511" i="67"/>
  <c r="Z663" i="67"/>
  <c r="Z206" i="67"/>
  <c r="Z814" i="67"/>
  <c r="AR306" i="67"/>
  <c r="AR914" i="67"/>
  <c r="AR459" i="67"/>
  <c r="AR763" i="67"/>
  <c r="AR611" i="67"/>
  <c r="AR153" i="67"/>
  <c r="AQ158" i="67"/>
  <c r="AQ917" i="67"/>
  <c r="S338" i="67"/>
  <c r="S642" i="67"/>
  <c r="S490" i="67"/>
  <c r="S32" i="67"/>
  <c r="S185" i="67"/>
  <c r="AL338" i="67"/>
  <c r="AL642" i="67"/>
  <c r="AL490" i="67"/>
  <c r="AL32" i="67"/>
  <c r="AL185" i="67"/>
  <c r="AA660" i="67"/>
  <c r="AA356" i="67"/>
  <c r="AA811" i="67"/>
  <c r="AA203" i="67"/>
  <c r="AA508" i="67"/>
  <c r="AA50" i="67"/>
  <c r="AU26" i="68"/>
  <c r="T24" i="62" s="1"/>
  <c r="K458" i="67"/>
  <c r="K913" i="67"/>
  <c r="K762" i="67"/>
  <c r="K152" i="67"/>
  <c r="K305" i="67"/>
  <c r="K610" i="67"/>
  <c r="U358" i="67"/>
  <c r="U662" i="67"/>
  <c r="U813" i="67"/>
  <c r="U510" i="67"/>
  <c r="U52" i="67"/>
  <c r="U205" i="67"/>
  <c r="X442" i="67"/>
  <c r="X897" i="67"/>
  <c r="X746" i="67"/>
  <c r="X136" i="67"/>
  <c r="X289" i="67"/>
  <c r="X594" i="67"/>
  <c r="AJ338" i="67"/>
  <c r="AJ642" i="67"/>
  <c r="AJ490" i="67"/>
  <c r="AJ32" i="67"/>
  <c r="AJ185" i="67"/>
  <c r="Y356" i="67"/>
  <c r="Y811" i="67"/>
  <c r="Y508" i="67"/>
  <c r="Y660" i="67"/>
  <c r="Y50" i="67"/>
  <c r="Y203" i="67"/>
  <c r="AS26" i="68"/>
  <c r="R24" i="62" s="1"/>
  <c r="T434" i="67"/>
  <c r="T738" i="67"/>
  <c r="T586" i="67"/>
  <c r="T128" i="67"/>
  <c r="T281" i="67"/>
  <c r="T889" i="67"/>
  <c r="S163" i="67"/>
  <c r="S316" i="67"/>
  <c r="S620" i="67"/>
  <c r="S771" i="67"/>
  <c r="S10" i="67"/>
  <c r="AJ13" i="68"/>
  <c r="I14" i="62" s="1"/>
  <c r="P330" i="67"/>
  <c r="P177" i="67"/>
  <c r="P634" i="67"/>
  <c r="P785" i="67"/>
  <c r="P482" i="67"/>
  <c r="P24" i="67"/>
  <c r="U434" i="67"/>
  <c r="U889" i="67"/>
  <c r="U586" i="67"/>
  <c r="U738" i="67"/>
  <c r="U128" i="67"/>
  <c r="U281" i="67"/>
  <c r="AQ163" i="67"/>
  <c r="AQ316" i="67"/>
  <c r="AQ620" i="67"/>
  <c r="AQ771" i="67"/>
  <c r="AQ10" i="67"/>
  <c r="AS330" i="67"/>
  <c r="BM13" i="68"/>
  <c r="AL14" i="62" s="1"/>
  <c r="AS482" i="67"/>
  <c r="AS634" i="67"/>
  <c r="AS177" i="67"/>
  <c r="AS785" i="67"/>
  <c r="AS24" i="67"/>
  <c r="K451" i="67"/>
  <c r="K298" i="67"/>
  <c r="K145" i="67"/>
  <c r="K603" i="67"/>
  <c r="K755" i="67"/>
  <c r="K906" i="67"/>
  <c r="AN163" i="67"/>
  <c r="AN316" i="67"/>
  <c r="AN620" i="67"/>
  <c r="AN10" i="67"/>
  <c r="AN771" i="67"/>
  <c r="AP348" i="67"/>
  <c r="AP500" i="67"/>
  <c r="AP195" i="67"/>
  <c r="AP652" i="67"/>
  <c r="AP803" i="67"/>
  <c r="AP42" i="67"/>
  <c r="BJ21" i="68"/>
  <c r="AI21" i="62" s="1"/>
  <c r="V738" i="67"/>
  <c r="V586" i="67"/>
  <c r="V434" i="67"/>
  <c r="V128" i="67"/>
  <c r="V281" i="67"/>
  <c r="V889" i="67"/>
  <c r="BG21" i="68"/>
  <c r="AF21" i="62" s="1"/>
  <c r="AM348" i="67"/>
  <c r="AM500" i="67"/>
  <c r="AM652" i="67"/>
  <c r="AM42" i="67"/>
  <c r="AM803" i="67"/>
  <c r="AM195" i="67"/>
  <c r="AU602" i="67"/>
  <c r="AU297" i="67"/>
  <c r="AU450" i="67"/>
  <c r="AU144" i="67"/>
  <c r="AU754" i="67"/>
  <c r="AU905" i="67"/>
  <c r="AU163" i="67"/>
  <c r="AU316" i="67"/>
  <c r="AU620" i="67"/>
  <c r="AU771" i="67"/>
  <c r="AU10" i="67"/>
  <c r="X459" i="67"/>
  <c r="X914" i="67"/>
  <c r="X611" i="67"/>
  <c r="X153" i="67"/>
  <c r="X306" i="67"/>
  <c r="X763" i="67"/>
  <c r="P341" i="67"/>
  <c r="P645" i="67"/>
  <c r="P35" i="67"/>
  <c r="P796" i="67"/>
  <c r="P493" i="67"/>
  <c r="P188" i="67"/>
  <c r="AQ443" i="67"/>
  <c r="AQ595" i="67"/>
  <c r="AQ137" i="67"/>
  <c r="AQ898" i="67"/>
  <c r="AQ290" i="67"/>
  <c r="AQ747" i="67"/>
  <c r="R917" i="67"/>
  <c r="R158" i="67"/>
  <c r="AU913" i="67"/>
  <c r="AU458" i="67"/>
  <c r="AU762" i="67"/>
  <c r="AU305" i="67"/>
  <c r="AU152" i="67"/>
  <c r="AU610" i="67"/>
  <c r="AB338" i="67"/>
  <c r="AB642" i="67"/>
  <c r="AB32" i="67"/>
  <c r="AB490" i="67"/>
  <c r="AB185" i="67"/>
  <c r="AE811" i="67"/>
  <c r="AE356" i="67"/>
  <c r="AE660" i="67"/>
  <c r="AE508" i="67"/>
  <c r="AE50" i="67"/>
  <c r="AE203" i="67"/>
  <c r="AY26" i="68"/>
  <c r="X24" i="62" s="1"/>
  <c r="AV21" i="68"/>
  <c r="U21" i="62" s="1"/>
  <c r="AB348" i="67"/>
  <c r="AB195" i="67"/>
  <c r="AB500" i="67"/>
  <c r="AB42" i="67"/>
  <c r="AB652" i="67"/>
  <c r="AB803" i="67"/>
  <c r="AD163" i="67"/>
  <c r="AD316" i="67"/>
  <c r="AD620" i="67"/>
  <c r="AD771" i="67"/>
  <c r="AD10" i="67"/>
  <c r="AG434" i="67"/>
  <c r="AG889" i="67"/>
  <c r="AG128" i="67"/>
  <c r="AG281" i="67"/>
  <c r="AG586" i="67"/>
  <c r="AG738" i="67"/>
  <c r="L164" i="67"/>
  <c r="L317" i="67"/>
  <c r="L772" i="67"/>
  <c r="L11" i="67"/>
  <c r="L621" i="67"/>
  <c r="Y595" i="67"/>
  <c r="Y747" i="67"/>
  <c r="Y290" i="67"/>
  <c r="Y137" i="67"/>
  <c r="Y443" i="67"/>
  <c r="Y898" i="67"/>
  <c r="AN357" i="67"/>
  <c r="AN812" i="67"/>
  <c r="AN204" i="67"/>
  <c r="AN661" i="67"/>
  <c r="AN509" i="67"/>
  <c r="AN51" i="67"/>
  <c r="AT340" i="67"/>
  <c r="AT492" i="67"/>
  <c r="AT644" i="67"/>
  <c r="AT34" i="67"/>
  <c r="AT795" i="67"/>
  <c r="AT187" i="67"/>
  <c r="AW358" i="67"/>
  <c r="AW813" i="67"/>
  <c r="AW662" i="67"/>
  <c r="AW510" i="67"/>
  <c r="AW52" i="67"/>
  <c r="AW205" i="67"/>
  <c r="L338" i="67"/>
  <c r="L642" i="67"/>
  <c r="L32" i="67"/>
  <c r="L490" i="67"/>
  <c r="L185" i="67"/>
  <c r="Y358" i="67"/>
  <c r="Y813" i="67"/>
  <c r="Y662" i="67"/>
  <c r="Y205" i="67"/>
  <c r="Y510" i="67"/>
  <c r="Y52" i="67"/>
  <c r="T349" i="67"/>
  <c r="T804" i="67"/>
  <c r="T653" i="67"/>
  <c r="T501" i="67"/>
  <c r="T196" i="67"/>
  <c r="T43" i="67"/>
  <c r="U164" i="67"/>
  <c r="U317" i="67"/>
  <c r="U11" i="67"/>
  <c r="U772" i="67"/>
  <c r="U621" i="67"/>
  <c r="AP129" i="67"/>
  <c r="AP435" i="67"/>
  <c r="AP739" i="67"/>
  <c r="AP587" i="67"/>
  <c r="AP282" i="67"/>
  <c r="AP890" i="67"/>
  <c r="AU331" i="67"/>
  <c r="AU635" i="67"/>
  <c r="AU483" i="67"/>
  <c r="AU178" i="67"/>
  <c r="AU25" i="67"/>
  <c r="AU786" i="67"/>
  <c r="AU290" i="67"/>
  <c r="AU595" i="67"/>
  <c r="AU137" i="67"/>
  <c r="AU443" i="67"/>
  <c r="AU898" i="67"/>
  <c r="AU747" i="67"/>
  <c r="V341" i="67"/>
  <c r="V493" i="67"/>
  <c r="V188" i="67"/>
  <c r="V645" i="67"/>
  <c r="V35" i="67"/>
  <c r="V796" i="67"/>
  <c r="AK357" i="67"/>
  <c r="AK812" i="67"/>
  <c r="AK51" i="67"/>
  <c r="AK509" i="67"/>
  <c r="AK204" i="67"/>
  <c r="AK661" i="67"/>
  <c r="AD339" i="67"/>
  <c r="AD491" i="67"/>
  <c r="AD186" i="67"/>
  <c r="AD643" i="67"/>
  <c r="AD33" i="67"/>
  <c r="AD794" i="67"/>
  <c r="AH443" i="67"/>
  <c r="AH898" i="67"/>
  <c r="AH747" i="67"/>
  <c r="AH290" i="67"/>
  <c r="AH137" i="67"/>
  <c r="AH595" i="67"/>
  <c r="W159" i="67"/>
  <c r="W918" i="67"/>
  <c r="Q158" i="67"/>
  <c r="Q917" i="67"/>
  <c r="AA159" i="67"/>
  <c r="AA918" i="67"/>
  <c r="Z918" i="67"/>
  <c r="Z159" i="67"/>
  <c r="S358" i="67"/>
  <c r="S510" i="67"/>
  <c r="S662" i="67"/>
  <c r="S813" i="67"/>
  <c r="S52" i="67"/>
  <c r="S205" i="67"/>
  <c r="AF897" i="67"/>
  <c r="AF442" i="67"/>
  <c r="AF746" i="67"/>
  <c r="AF289" i="67"/>
  <c r="AF136" i="67"/>
  <c r="AF594" i="67"/>
  <c r="AL358" i="67"/>
  <c r="AL813" i="67"/>
  <c r="AL205" i="67"/>
  <c r="AL510" i="67"/>
  <c r="AL662" i="67"/>
  <c r="AL52" i="67"/>
  <c r="AT164" i="67"/>
  <c r="AT317" i="67"/>
  <c r="AT621" i="67"/>
  <c r="AT772" i="67"/>
  <c r="AT11" i="67"/>
  <c r="AK106" i="34"/>
  <c r="R1481" i="67"/>
  <c r="BA122" i="34"/>
  <c r="AH1497" i="67"/>
  <c r="BH121" i="34"/>
  <c r="AO999" i="67"/>
  <c r="AO1150" i="67"/>
  <c r="AO1496" i="67"/>
  <c r="AZ106" i="34"/>
  <c r="AG1481" i="67"/>
  <c r="AX122" i="34"/>
  <c r="AE1497" i="67"/>
  <c r="AM119" i="34"/>
  <c r="T1494" i="67"/>
  <c r="T1148" i="67"/>
  <c r="T997" i="67"/>
  <c r="AK121" i="34"/>
  <c r="R999" i="67"/>
  <c r="R1150" i="67"/>
  <c r="R1496" i="67"/>
  <c r="AS119" i="34"/>
  <c r="Z1494" i="67"/>
  <c r="Z1148" i="67"/>
  <c r="Z997" i="67"/>
  <c r="AW122" i="34"/>
  <c r="AD1497" i="67"/>
  <c r="BB122" i="34"/>
  <c r="AI1497" i="67"/>
  <c r="AN114" i="34"/>
  <c r="U1489" i="67"/>
  <c r="AM105" i="34"/>
  <c r="T983" i="67"/>
  <c r="T1134" i="67"/>
  <c r="T1480" i="67"/>
  <c r="T681" i="67"/>
  <c r="BL122" i="34"/>
  <c r="AS1497" i="67"/>
  <c r="AT105" i="34"/>
  <c r="AA983" i="67"/>
  <c r="AA1134" i="67"/>
  <c r="AA1480" i="67"/>
  <c r="AA681" i="67"/>
  <c r="BP122" i="34"/>
  <c r="AW1497" i="67"/>
  <c r="AO105" i="34"/>
  <c r="V983" i="67"/>
  <c r="V1134" i="67"/>
  <c r="V1480" i="67"/>
  <c r="V681" i="67"/>
  <c r="BL121" i="34"/>
  <c r="AS999" i="67"/>
  <c r="AS1150" i="67"/>
  <c r="AS1496" i="67"/>
  <c r="BD121" i="34"/>
  <c r="AK999" i="67"/>
  <c r="AK1150" i="67"/>
  <c r="AK1496" i="67"/>
  <c r="O385" i="67"/>
  <c r="O840" i="67"/>
  <c r="O689" i="67"/>
  <c r="O79" i="67"/>
  <c r="O537" i="67"/>
  <c r="O232" i="67"/>
  <c r="AI121" i="34"/>
  <c r="P999" i="67"/>
  <c r="P1150" i="67"/>
  <c r="P1496" i="67"/>
  <c r="AF121" i="34"/>
  <c r="M999" i="67"/>
  <c r="M1150" i="67"/>
  <c r="M1496" i="67"/>
  <c r="AH105" i="34"/>
  <c r="O983" i="67"/>
  <c r="O1134" i="67"/>
  <c r="O1480" i="67"/>
  <c r="O681" i="67"/>
  <c r="AH106" i="34"/>
  <c r="O1481" i="67"/>
  <c r="AD121" i="34"/>
  <c r="K999" i="67"/>
  <c r="K1150" i="67"/>
  <c r="K1496" i="67"/>
  <c r="AU113" i="34"/>
  <c r="AB1488" i="67"/>
  <c r="AO113" i="34"/>
  <c r="V1488" i="67"/>
  <c r="AI359" i="67"/>
  <c r="AI206" i="67"/>
  <c r="AI663" i="67"/>
  <c r="AI53" i="67"/>
  <c r="AI814" i="67"/>
  <c r="AI511" i="67"/>
  <c r="AW357" i="67"/>
  <c r="AW661" i="67"/>
  <c r="AW51" i="67"/>
  <c r="AW812" i="67"/>
  <c r="AW509" i="67"/>
  <c r="AW204" i="67"/>
  <c r="V357" i="67"/>
  <c r="V204" i="67"/>
  <c r="V661" i="67"/>
  <c r="V51" i="67"/>
  <c r="V812" i="67"/>
  <c r="V509" i="67"/>
  <c r="AV459" i="67"/>
  <c r="AV153" i="67"/>
  <c r="AV306" i="67"/>
  <c r="AV914" i="67"/>
  <c r="AV763" i="67"/>
  <c r="AV611" i="67"/>
  <c r="AK341" i="67"/>
  <c r="AK645" i="67"/>
  <c r="AK188" i="67"/>
  <c r="AK796" i="67"/>
  <c r="AK493" i="67"/>
  <c r="AK35" i="67"/>
  <c r="S341" i="67"/>
  <c r="S493" i="67"/>
  <c r="S188" i="67"/>
  <c r="S645" i="67"/>
  <c r="S796" i="67"/>
  <c r="S35" i="67"/>
  <c r="P159" i="67"/>
  <c r="P918" i="67"/>
  <c r="AL913" i="67"/>
  <c r="AL458" i="67"/>
  <c r="AL762" i="67"/>
  <c r="AL610" i="67"/>
  <c r="AL305" i="67"/>
  <c r="AL152" i="67"/>
  <c r="R762" i="67"/>
  <c r="R458" i="67"/>
  <c r="R913" i="67"/>
  <c r="R610" i="67"/>
  <c r="R305" i="67"/>
  <c r="R152" i="67"/>
  <c r="AK338" i="67"/>
  <c r="AK642" i="67"/>
  <c r="AK490" i="67"/>
  <c r="AK32" i="67"/>
  <c r="AK185" i="67"/>
  <c r="AM338" i="67"/>
  <c r="AM642" i="67"/>
  <c r="AM490" i="67"/>
  <c r="AM32" i="67"/>
  <c r="AM185" i="67"/>
  <c r="U340" i="67"/>
  <c r="U795" i="67"/>
  <c r="U644" i="67"/>
  <c r="U492" i="67"/>
  <c r="U34" i="67"/>
  <c r="U187" i="67"/>
  <c r="AR746" i="67"/>
  <c r="AR897" i="67"/>
  <c r="AR442" i="67"/>
  <c r="AR289" i="67"/>
  <c r="AR594" i="67"/>
  <c r="AR136" i="67"/>
  <c r="Q338" i="67"/>
  <c r="Q642" i="67"/>
  <c r="Q490" i="67"/>
  <c r="Q32" i="67"/>
  <c r="Q185" i="67"/>
  <c r="S450" i="67"/>
  <c r="S144" i="67"/>
  <c r="S602" i="67"/>
  <c r="S754" i="67"/>
  <c r="S297" i="67"/>
  <c r="S905" i="67"/>
  <c r="P163" i="67"/>
  <c r="P316" i="67"/>
  <c r="P10" i="67"/>
  <c r="P620" i="67"/>
  <c r="P771" i="67"/>
  <c r="U348" i="67"/>
  <c r="U42" i="67"/>
  <c r="U803" i="67"/>
  <c r="U652" i="67"/>
  <c r="U195" i="67"/>
  <c r="AO21" i="68"/>
  <c r="N21" i="62" s="1"/>
  <c r="U500" i="67"/>
  <c r="AK297" i="67"/>
  <c r="AK144" i="67"/>
  <c r="AK754" i="67"/>
  <c r="AK450" i="67"/>
  <c r="AK602" i="67"/>
  <c r="AK905" i="67"/>
  <c r="AS163" i="67"/>
  <c r="AS316" i="67"/>
  <c r="AS620" i="67"/>
  <c r="AS771" i="67"/>
  <c r="AS10" i="67"/>
  <c r="AN586" i="67"/>
  <c r="AN128" i="67"/>
  <c r="AN738" i="67"/>
  <c r="AN281" i="67"/>
  <c r="AN434" i="67"/>
  <c r="AN889" i="67"/>
  <c r="AP330" i="67"/>
  <c r="BJ13" i="68"/>
  <c r="AI14" i="62" s="1"/>
  <c r="AP482" i="67"/>
  <c r="AP634" i="67"/>
  <c r="AP177" i="67"/>
  <c r="AP785" i="67"/>
  <c r="AP24" i="67"/>
  <c r="V450" i="67"/>
  <c r="V602" i="67"/>
  <c r="V297" i="67"/>
  <c r="V144" i="67"/>
  <c r="V754" i="67"/>
  <c r="V905" i="67"/>
  <c r="O163" i="67"/>
  <c r="O316" i="67"/>
  <c r="O10" i="67"/>
  <c r="O620" i="67"/>
  <c r="O771" i="67"/>
  <c r="AM330" i="67"/>
  <c r="AM177" i="67"/>
  <c r="AM24" i="67"/>
  <c r="AM785" i="67"/>
  <c r="AM634" i="67"/>
  <c r="AM482" i="67"/>
  <c r="BG13" i="68"/>
  <c r="AF14" i="62" s="1"/>
  <c r="AU128" i="67"/>
  <c r="AU738" i="67"/>
  <c r="AU281" i="67"/>
  <c r="AU434" i="67"/>
  <c r="AU586" i="67"/>
  <c r="AU889" i="67"/>
  <c r="M163" i="67"/>
  <c r="M316" i="67"/>
  <c r="M620" i="67"/>
  <c r="M771" i="67"/>
  <c r="M10" i="67"/>
  <c r="X137" i="67"/>
  <c r="X290" i="67"/>
  <c r="X443" i="67"/>
  <c r="X595" i="67"/>
  <c r="X898" i="67"/>
  <c r="X747" i="67"/>
  <c r="AT359" i="67"/>
  <c r="AT511" i="67"/>
  <c r="AT206" i="67"/>
  <c r="AT663" i="67"/>
  <c r="AT53" i="67"/>
  <c r="AT814" i="67"/>
  <c r="O158" i="67"/>
  <c r="O917" i="67"/>
  <c r="AU158" i="67"/>
  <c r="AU917" i="67"/>
  <c r="T813" i="67"/>
  <c r="T358" i="67"/>
  <c r="T662" i="67"/>
  <c r="T510" i="67"/>
  <c r="T205" i="67"/>
  <c r="T52" i="67"/>
  <c r="AV662" i="67"/>
  <c r="AV813" i="67"/>
  <c r="AV358" i="67"/>
  <c r="AV510" i="67"/>
  <c r="AV52" i="67"/>
  <c r="AV205" i="67"/>
  <c r="AU442" i="67"/>
  <c r="AU746" i="67"/>
  <c r="AU897" i="67"/>
  <c r="AU289" i="67"/>
  <c r="AU594" i="67"/>
  <c r="AU136" i="67"/>
  <c r="AB458" i="67"/>
  <c r="AB762" i="67"/>
  <c r="AB913" i="67"/>
  <c r="AB152" i="67"/>
  <c r="AB305" i="67"/>
  <c r="AB610" i="67"/>
  <c r="AE338" i="67"/>
  <c r="AE642" i="67"/>
  <c r="AE490" i="67"/>
  <c r="AE32" i="67"/>
  <c r="AE185" i="67"/>
  <c r="W434" i="67"/>
  <c r="W586" i="67"/>
  <c r="W128" i="67"/>
  <c r="W281" i="67"/>
  <c r="W889" i="67"/>
  <c r="W738" i="67"/>
  <c r="AB330" i="67"/>
  <c r="AB482" i="67"/>
  <c r="AB634" i="67"/>
  <c r="AB24" i="67"/>
  <c r="AB785" i="67"/>
  <c r="AV13" i="68"/>
  <c r="U14" i="62" s="1"/>
  <c r="AB177" i="67"/>
  <c r="X297" i="67"/>
  <c r="X450" i="67"/>
  <c r="X144" i="67"/>
  <c r="X754" i="67"/>
  <c r="X602" i="67"/>
  <c r="X905" i="67"/>
  <c r="AV330" i="67"/>
  <c r="AV482" i="67"/>
  <c r="BP13" i="68"/>
  <c r="AO14" i="62" s="1"/>
  <c r="AV24" i="67"/>
  <c r="AV177" i="67"/>
  <c r="AV634" i="67"/>
  <c r="AV785" i="67"/>
  <c r="AF443" i="67"/>
  <c r="AF595" i="67"/>
  <c r="AF898" i="67"/>
  <c r="AF747" i="67"/>
  <c r="AF290" i="67"/>
  <c r="AF137" i="67"/>
  <c r="Y357" i="67"/>
  <c r="Y812" i="67"/>
  <c r="Y509" i="67"/>
  <c r="Y204" i="67"/>
  <c r="Y661" i="67"/>
  <c r="Y51" i="67"/>
  <c r="AC357" i="67"/>
  <c r="AC509" i="67"/>
  <c r="AC51" i="67"/>
  <c r="AC661" i="67"/>
  <c r="AC204" i="67"/>
  <c r="AC812" i="67"/>
  <c r="AT459" i="67"/>
  <c r="AT763" i="67"/>
  <c r="AT914" i="67"/>
  <c r="AT153" i="67"/>
  <c r="AT306" i="67"/>
  <c r="AT611" i="67"/>
  <c r="Q595" i="67"/>
  <c r="Q290" i="67"/>
  <c r="Q443" i="67"/>
  <c r="Q137" i="67"/>
  <c r="Q747" i="67"/>
  <c r="Q898" i="67"/>
  <c r="N159" i="67"/>
  <c r="N918" i="67"/>
  <c r="L918" i="67"/>
  <c r="L159" i="67"/>
  <c r="AC762" i="67"/>
  <c r="AC458" i="67"/>
  <c r="AC913" i="67"/>
  <c r="AC152" i="67"/>
  <c r="AC610" i="67"/>
  <c r="AC305" i="67"/>
  <c r="U338" i="67"/>
  <c r="U642" i="67"/>
  <c r="U490" i="67"/>
  <c r="U32" i="67"/>
  <c r="U185" i="67"/>
  <c r="Y340" i="67"/>
  <c r="Y644" i="67"/>
  <c r="Y795" i="67"/>
  <c r="Y492" i="67"/>
  <c r="Y34" i="67"/>
  <c r="Y187" i="67"/>
  <c r="T331" i="67"/>
  <c r="T483" i="67"/>
  <c r="T178" i="67"/>
  <c r="T635" i="67"/>
  <c r="T25" i="67"/>
  <c r="T786" i="67"/>
  <c r="U739" i="67"/>
  <c r="U129" i="67"/>
  <c r="U435" i="67"/>
  <c r="U282" i="67"/>
  <c r="U587" i="67"/>
  <c r="U890" i="67"/>
  <c r="AS164" i="67"/>
  <c r="AS317" i="67"/>
  <c r="AS11" i="67"/>
  <c r="AS621" i="67"/>
  <c r="AS772" i="67"/>
  <c r="AP349" i="67"/>
  <c r="AP501" i="67"/>
  <c r="AP43" i="67"/>
  <c r="AP653" i="67"/>
  <c r="AP196" i="67"/>
  <c r="AP804" i="67"/>
  <c r="AU451" i="67"/>
  <c r="AU906" i="67"/>
  <c r="AU755" i="67"/>
  <c r="AU298" i="67"/>
  <c r="AU145" i="67"/>
  <c r="AU603" i="67"/>
  <c r="K358" i="67"/>
  <c r="K662" i="67"/>
  <c r="K813" i="67"/>
  <c r="K510" i="67"/>
  <c r="K52" i="67"/>
  <c r="K205" i="67"/>
  <c r="L359" i="67"/>
  <c r="L511" i="67"/>
  <c r="L814" i="67"/>
  <c r="L53" i="67"/>
  <c r="L663" i="67"/>
  <c r="L206" i="67"/>
  <c r="AP898" i="67"/>
  <c r="AP443" i="67"/>
  <c r="AP747" i="67"/>
  <c r="AP137" i="67"/>
  <c r="AP290" i="67"/>
  <c r="AP595" i="67"/>
  <c r="X359" i="67"/>
  <c r="X53" i="67"/>
  <c r="X663" i="67"/>
  <c r="X206" i="67"/>
  <c r="X814" i="67"/>
  <c r="X511" i="67"/>
  <c r="O359" i="67"/>
  <c r="O206" i="67"/>
  <c r="O511" i="67"/>
  <c r="O814" i="67"/>
  <c r="O663" i="67"/>
  <c r="O53" i="67"/>
  <c r="T357" i="67"/>
  <c r="T204" i="67"/>
  <c r="T661" i="67"/>
  <c r="T51" i="67"/>
  <c r="T812" i="67"/>
  <c r="T509" i="67"/>
  <c r="AH357" i="67"/>
  <c r="AH661" i="67"/>
  <c r="AH509" i="67"/>
  <c r="AH812" i="67"/>
  <c r="AH51" i="67"/>
  <c r="AH204" i="67"/>
  <c r="T158" i="67"/>
  <c r="T917" i="67"/>
  <c r="P917" i="67"/>
  <c r="P158" i="67"/>
  <c r="AF356" i="67"/>
  <c r="AF660" i="67"/>
  <c r="AF811" i="67"/>
  <c r="AF50" i="67"/>
  <c r="AF508" i="67"/>
  <c r="AF203" i="67"/>
  <c r="AZ26" i="68"/>
  <c r="Y24" i="62" s="1"/>
  <c r="V358" i="67"/>
  <c r="V662" i="67"/>
  <c r="V52" i="67"/>
  <c r="V813" i="67"/>
  <c r="V510" i="67"/>
  <c r="V205" i="67"/>
  <c r="AN442" i="67"/>
  <c r="AN897" i="67"/>
  <c r="AN746" i="67"/>
  <c r="AN136" i="67"/>
  <c r="AN289" i="67"/>
  <c r="AN594" i="67"/>
  <c r="AL340" i="67"/>
  <c r="AL644" i="67"/>
  <c r="AL34" i="67"/>
  <c r="AL795" i="67"/>
  <c r="AL492" i="67"/>
  <c r="AL187" i="67"/>
  <c r="P897" i="67"/>
  <c r="P442" i="67"/>
  <c r="P746" i="67"/>
  <c r="P289" i="67"/>
  <c r="P136" i="67"/>
  <c r="P594" i="67"/>
  <c r="R358" i="67"/>
  <c r="R813" i="67"/>
  <c r="R662" i="67"/>
  <c r="R52" i="67"/>
  <c r="R205" i="67"/>
  <c r="R510" i="67"/>
  <c r="AU358" i="67"/>
  <c r="AU813" i="67"/>
  <c r="AU510" i="67"/>
  <c r="AU662" i="67"/>
  <c r="AU52" i="67"/>
  <c r="AU205" i="67"/>
  <c r="AP458" i="67"/>
  <c r="AP762" i="67"/>
  <c r="AP913" i="67"/>
  <c r="AP610" i="67"/>
  <c r="AP305" i="67"/>
  <c r="AP152" i="67"/>
  <c r="AH762" i="67"/>
  <c r="AH458" i="67"/>
  <c r="AH913" i="67"/>
  <c r="AH610" i="67"/>
  <c r="AH305" i="67"/>
  <c r="AH152" i="67"/>
  <c r="O811" i="67"/>
  <c r="O356" i="67"/>
  <c r="O660" i="67"/>
  <c r="O508" i="67"/>
  <c r="O50" i="67"/>
  <c r="O203" i="67"/>
  <c r="AI26" i="68"/>
  <c r="H24" i="62" s="1"/>
  <c r="AE340" i="67"/>
  <c r="AE644" i="67"/>
  <c r="AE795" i="67"/>
  <c r="AE187" i="67"/>
  <c r="AE492" i="67"/>
  <c r="AE34" i="67"/>
  <c r="AI442" i="67"/>
  <c r="AI897" i="67"/>
  <c r="AI746" i="67"/>
  <c r="AI289" i="67"/>
  <c r="AI136" i="67"/>
  <c r="AI594" i="67"/>
  <c r="AL906" i="67"/>
  <c r="AL145" i="67"/>
  <c r="AL298" i="67"/>
  <c r="AL451" i="67"/>
  <c r="AL755" i="67"/>
  <c r="AL603" i="67"/>
  <c r="AJ331" i="67"/>
  <c r="AJ635" i="67"/>
  <c r="AJ25" i="67"/>
  <c r="AJ786" i="67"/>
  <c r="AJ178" i="67"/>
  <c r="AJ483" i="67"/>
  <c r="Z739" i="67"/>
  <c r="Z129" i="67"/>
  <c r="Z587" i="67"/>
  <c r="Z435" i="67"/>
  <c r="Z282" i="67"/>
  <c r="Z890" i="67"/>
  <c r="W349" i="67"/>
  <c r="W804" i="67"/>
  <c r="W653" i="67"/>
  <c r="W43" i="67"/>
  <c r="W196" i="67"/>
  <c r="W501" i="67"/>
  <c r="R349" i="67"/>
  <c r="R501" i="67"/>
  <c r="R653" i="67"/>
  <c r="R43" i="67"/>
  <c r="R804" i="67"/>
  <c r="R196" i="67"/>
  <c r="N145" i="67"/>
  <c r="N451" i="67"/>
  <c r="N755" i="67"/>
  <c r="N298" i="67"/>
  <c r="N603" i="67"/>
  <c r="N906" i="67"/>
  <c r="AE349" i="67"/>
  <c r="AE501" i="67"/>
  <c r="AE43" i="67"/>
  <c r="AE653" i="67"/>
  <c r="AE196" i="67"/>
  <c r="AE804" i="67"/>
  <c r="X451" i="67"/>
  <c r="X906" i="67"/>
  <c r="X145" i="67"/>
  <c r="X603" i="67"/>
  <c r="X298" i="67"/>
  <c r="X755" i="67"/>
  <c r="AA349" i="67"/>
  <c r="AA43" i="67"/>
  <c r="AA196" i="67"/>
  <c r="AA653" i="67"/>
  <c r="AA501" i="67"/>
  <c r="AA804" i="67"/>
  <c r="AG906" i="67"/>
  <c r="AG298" i="67"/>
  <c r="AG603" i="67"/>
  <c r="AG451" i="67"/>
  <c r="AG755" i="67"/>
  <c r="AG145" i="67"/>
  <c r="AC331" i="67"/>
  <c r="AC635" i="67"/>
  <c r="AC25" i="67"/>
  <c r="AC786" i="67"/>
  <c r="AC483" i="67"/>
  <c r="AC178" i="67"/>
  <c r="L586" i="67"/>
  <c r="L434" i="67"/>
  <c r="L281" i="67"/>
  <c r="L738" i="67"/>
  <c r="L128" i="67"/>
  <c r="L889" i="67"/>
  <c r="AJ339" i="67"/>
  <c r="AJ643" i="67"/>
  <c r="AJ186" i="67"/>
  <c r="AJ794" i="67"/>
  <c r="AJ33" i="67"/>
  <c r="AJ491" i="67"/>
  <c r="N459" i="67"/>
  <c r="N763" i="67"/>
  <c r="N914" i="67"/>
  <c r="N306" i="67"/>
  <c r="N611" i="67"/>
  <c r="N153" i="67"/>
  <c r="S159" i="67"/>
  <c r="S918" i="67"/>
  <c r="AV917" i="67"/>
  <c r="AV158" i="67"/>
  <c r="AD338" i="67"/>
  <c r="AD642" i="67"/>
  <c r="AD490" i="67"/>
  <c r="AD32" i="67"/>
  <c r="AD185" i="67"/>
  <c r="AW356" i="67"/>
  <c r="AW811" i="67"/>
  <c r="AW660" i="67"/>
  <c r="AW508" i="67"/>
  <c r="AW50" i="67"/>
  <c r="AW203" i="67"/>
  <c r="BQ26" i="68"/>
  <c r="AP24" i="62" s="1"/>
  <c r="M762" i="67"/>
  <c r="M458" i="67"/>
  <c r="M913" i="67"/>
  <c r="M152" i="67"/>
  <c r="M610" i="67"/>
  <c r="M305" i="67"/>
  <c r="O340" i="67"/>
  <c r="O644" i="67"/>
  <c r="O795" i="67"/>
  <c r="O492" i="67"/>
  <c r="O34" i="67"/>
  <c r="O187" i="67"/>
  <c r="R297" i="67"/>
  <c r="R754" i="67"/>
  <c r="R144" i="67"/>
  <c r="R450" i="67"/>
  <c r="R602" i="67"/>
  <c r="R905" i="67"/>
  <c r="R163" i="67"/>
  <c r="R316" i="67"/>
  <c r="R620" i="67"/>
  <c r="R771" i="67"/>
  <c r="R10" i="67"/>
  <c r="AR586" i="67"/>
  <c r="AR434" i="67"/>
  <c r="AR281" i="67"/>
  <c r="AR738" i="67"/>
  <c r="AR889" i="67"/>
  <c r="AR128" i="67"/>
  <c r="AO163" i="67"/>
  <c r="AO316" i="67"/>
  <c r="AO620" i="67"/>
  <c r="AO10" i="67"/>
  <c r="AO771" i="67"/>
  <c r="AF587" i="67"/>
  <c r="AF739" i="67"/>
  <c r="AF129" i="67"/>
  <c r="AF435" i="67"/>
  <c r="AF282" i="67"/>
  <c r="AF890" i="67"/>
  <c r="AO340" i="67"/>
  <c r="AO644" i="67"/>
  <c r="AO795" i="67"/>
  <c r="AO492" i="67"/>
  <c r="AO34" i="67"/>
  <c r="AO187" i="67"/>
  <c r="Z348" i="67"/>
  <c r="Z652" i="67"/>
  <c r="Z195" i="67"/>
  <c r="Z803" i="67"/>
  <c r="AT21" i="68"/>
  <c r="S21" i="62" s="1"/>
  <c r="Z42" i="67"/>
  <c r="Z500" i="67"/>
  <c r="AI434" i="67"/>
  <c r="AI586" i="67"/>
  <c r="AI738" i="67"/>
  <c r="AI281" i="67"/>
  <c r="AI128" i="67"/>
  <c r="AI889" i="67"/>
  <c r="N163" i="67"/>
  <c r="N316" i="67"/>
  <c r="N620" i="67"/>
  <c r="N771" i="67"/>
  <c r="N10" i="67"/>
  <c r="AJ114" i="34"/>
  <c r="Q1489" i="67"/>
  <c r="AL119" i="34"/>
  <c r="S1494" i="67"/>
  <c r="S1148" i="67"/>
  <c r="S997" i="67"/>
  <c r="AO119" i="34"/>
  <c r="V1494" i="67"/>
  <c r="V1148" i="67"/>
  <c r="V997" i="67"/>
  <c r="AR121" i="34"/>
  <c r="Y999" i="67"/>
  <c r="Y1150" i="67"/>
  <c r="Y1496" i="67"/>
  <c r="BC121" i="34"/>
  <c r="AJ999" i="67"/>
  <c r="AJ1150" i="67"/>
  <c r="AJ1496" i="67"/>
  <c r="AT106" i="34"/>
  <c r="AA1481" i="67"/>
  <c r="AV114" i="34"/>
  <c r="AC1489" i="67"/>
  <c r="AU103" i="34"/>
  <c r="AB1478" i="67"/>
  <c r="AB1132" i="67"/>
  <c r="AB981" i="67"/>
  <c r="AB679" i="67"/>
  <c r="AN122" i="34"/>
  <c r="U1497" i="67"/>
  <c r="AQ106" i="34"/>
  <c r="X1481" i="67"/>
  <c r="AW121" i="34"/>
  <c r="AD999" i="67"/>
  <c r="AD1150" i="67"/>
  <c r="AD1496" i="67"/>
  <c r="AP105" i="34"/>
  <c r="W983" i="67"/>
  <c r="W1134" i="67"/>
  <c r="W1480" i="67"/>
  <c r="W681" i="67"/>
  <c r="AJ121" i="34"/>
  <c r="Q999" i="67"/>
  <c r="Q1150" i="67"/>
  <c r="Q1496" i="67"/>
  <c r="BI106" i="34"/>
  <c r="AP1481" i="67"/>
  <c r="AU122" i="34"/>
  <c r="AB1497" i="67"/>
  <c r="AS98" i="34"/>
  <c r="Z1473" i="67"/>
  <c r="BM106" i="34"/>
  <c r="AT1481" i="67"/>
  <c r="AR98" i="34"/>
  <c r="Y1473" i="67"/>
  <c r="AJ103" i="34"/>
  <c r="Q1478" i="67"/>
  <c r="Q1132" i="67"/>
  <c r="Q981" i="67"/>
  <c r="Q679" i="67"/>
  <c r="AY105" i="34"/>
  <c r="AF983" i="67"/>
  <c r="AF1134" i="67"/>
  <c r="AF1480" i="67"/>
  <c r="AF681" i="67"/>
  <c r="AQ105" i="34"/>
  <c r="X983" i="67"/>
  <c r="X1134" i="67"/>
  <c r="X1480" i="67"/>
  <c r="X681" i="67"/>
  <c r="BE122" i="34"/>
  <c r="AL1497" i="67"/>
  <c r="BA121" i="34"/>
  <c r="AH999" i="67"/>
  <c r="AH1150" i="67"/>
  <c r="AH1496" i="67"/>
  <c r="AP119" i="34"/>
  <c r="W1494" i="67"/>
  <c r="W1148" i="67"/>
  <c r="W997" i="67"/>
  <c r="AV121" i="34"/>
  <c r="AC999" i="67"/>
  <c r="AC1150" i="67"/>
  <c r="AC1496" i="67"/>
  <c r="BG105" i="34"/>
  <c r="AN983" i="67"/>
  <c r="AN1134" i="67"/>
  <c r="AN1480" i="67"/>
  <c r="AN681" i="67"/>
  <c r="AQ119" i="34"/>
  <c r="X1494" i="67"/>
  <c r="X1148" i="67"/>
  <c r="X997" i="67"/>
  <c r="AP106" i="34"/>
  <c r="W1481" i="67"/>
  <c r="BG106" i="34"/>
  <c r="AN1481" i="67"/>
  <c r="AY122" i="34"/>
  <c r="AF1497" i="67"/>
  <c r="BI105" i="34"/>
  <c r="AP983" i="67"/>
  <c r="AP1134" i="67"/>
  <c r="AP1480" i="67"/>
  <c r="AP681" i="67"/>
  <c r="AN98" i="34"/>
  <c r="U1473" i="67"/>
  <c r="BP121" i="34"/>
  <c r="AW999" i="67"/>
  <c r="AW1150" i="67"/>
  <c r="AW1496" i="67"/>
  <c r="BK105" i="34"/>
  <c r="AR983" i="67"/>
  <c r="AR1134" i="67"/>
  <c r="AR1480" i="67"/>
  <c r="AR681" i="67"/>
  <c r="BK106" i="34"/>
  <c r="AR1481" i="67"/>
  <c r="BO106" i="34"/>
  <c r="AV1481" i="67"/>
  <c r="AK103" i="34"/>
  <c r="R1478" i="67"/>
  <c r="R1132" i="67"/>
  <c r="R981" i="67"/>
  <c r="R679" i="67"/>
  <c r="AL106" i="34"/>
  <c r="S1481" i="67"/>
  <c r="BP106" i="34"/>
  <c r="AW1481" i="67"/>
  <c r="AJ122" i="34"/>
  <c r="Q1497" i="67"/>
  <c r="AN121" i="34"/>
  <c r="U999" i="67"/>
  <c r="U1150" i="67"/>
  <c r="U1496" i="67"/>
  <c r="AX105" i="34"/>
  <c r="AE983" i="67"/>
  <c r="AE1134" i="67"/>
  <c r="AE1480" i="67"/>
  <c r="AE681" i="67"/>
  <c r="BJ106" i="34"/>
  <c r="AQ1481" i="67"/>
  <c r="BE121" i="34"/>
  <c r="AL999" i="67"/>
  <c r="AL1150" i="67"/>
  <c r="AL1496" i="67"/>
  <c r="AV97" i="34"/>
  <c r="AC1472" i="67"/>
  <c r="P385" i="67"/>
  <c r="P537" i="67"/>
  <c r="P79" i="67"/>
  <c r="P689" i="67"/>
  <c r="P232" i="67"/>
  <c r="P840" i="67"/>
  <c r="M369" i="67"/>
  <c r="M63" i="67"/>
  <c r="M216" i="67"/>
  <c r="M521" i="67"/>
  <c r="M824" i="67"/>
  <c r="L385" i="67"/>
  <c r="L537" i="67"/>
  <c r="L689" i="67"/>
  <c r="L79" i="67"/>
  <c r="L232" i="67"/>
  <c r="L840" i="67"/>
  <c r="AD106" i="34"/>
  <c r="K1481" i="67"/>
  <c r="K1135" i="67"/>
  <c r="K682" i="67"/>
  <c r="K984" i="67"/>
  <c r="AG106" i="34"/>
  <c r="N1481" i="67"/>
  <c r="AF106" i="34"/>
  <c r="M1481" i="67"/>
  <c r="AI122" i="34"/>
  <c r="P1497" i="67"/>
  <c r="AE105" i="34"/>
  <c r="L983" i="67"/>
  <c r="L1134" i="67"/>
  <c r="L1480" i="67"/>
  <c r="L681" i="67"/>
  <c r="AG105" i="34"/>
  <c r="N983" i="67"/>
  <c r="N1134" i="67"/>
  <c r="N1480" i="67"/>
  <c r="N681" i="67"/>
  <c r="AK113" i="34"/>
  <c r="R1488" i="67"/>
  <c r="AT113" i="34"/>
  <c r="AA1488" i="67"/>
  <c r="AT97" i="34"/>
  <c r="AA1472" i="67"/>
  <c r="AU97" i="34"/>
  <c r="AB1472" i="67"/>
  <c r="AJ97" i="34"/>
  <c r="Q1472" i="67"/>
  <c r="AO97" i="34"/>
  <c r="V1472" i="67"/>
  <c r="AF359" i="67"/>
  <c r="AF814" i="67"/>
  <c r="AF511" i="67"/>
  <c r="AF206" i="67"/>
  <c r="AF663" i="67"/>
  <c r="AF53" i="67"/>
  <c r="AW459" i="67"/>
  <c r="AW914" i="67"/>
  <c r="AW763" i="67"/>
  <c r="AW306" i="67"/>
  <c r="AW153" i="67"/>
  <c r="AW611" i="67"/>
  <c r="R339" i="67"/>
  <c r="R643" i="67"/>
  <c r="R186" i="67"/>
  <c r="R33" i="67"/>
  <c r="R794" i="67"/>
  <c r="R491" i="67"/>
  <c r="W339" i="67"/>
  <c r="W491" i="67"/>
  <c r="W33" i="67"/>
  <c r="W643" i="67"/>
  <c r="W186" i="67"/>
  <c r="W794" i="67"/>
  <c r="M290" i="67"/>
  <c r="M747" i="67"/>
  <c r="M443" i="67"/>
  <c r="M595" i="67"/>
  <c r="M898" i="67"/>
  <c r="M137" i="67"/>
  <c r="V306" i="67"/>
  <c r="V611" i="67"/>
  <c r="V459" i="67"/>
  <c r="V914" i="67"/>
  <c r="V153" i="67"/>
  <c r="V763" i="67"/>
  <c r="O339" i="67"/>
  <c r="O794" i="67"/>
  <c r="O491" i="67"/>
  <c r="O33" i="67"/>
  <c r="O643" i="67"/>
  <c r="O186" i="67"/>
  <c r="AV357" i="67"/>
  <c r="AV812" i="67"/>
  <c r="AV51" i="67"/>
  <c r="AV509" i="67"/>
  <c r="AV661" i="67"/>
  <c r="AV204" i="67"/>
  <c r="AS341" i="67"/>
  <c r="AS645" i="67"/>
  <c r="AS493" i="67"/>
  <c r="AS35" i="67"/>
  <c r="AS796" i="67"/>
  <c r="AS188" i="67"/>
  <c r="T341" i="67"/>
  <c r="T796" i="67"/>
  <c r="T35" i="67"/>
  <c r="T493" i="67"/>
  <c r="T645" i="67"/>
  <c r="T188" i="67"/>
  <c r="AD341" i="67"/>
  <c r="AD645" i="67"/>
  <c r="AD493" i="67"/>
  <c r="AD796" i="67"/>
  <c r="AD35" i="67"/>
  <c r="AD188" i="67"/>
  <c r="AH341" i="67"/>
  <c r="AH493" i="67"/>
  <c r="AH188" i="67"/>
  <c r="AH796" i="67"/>
  <c r="AH645" i="67"/>
  <c r="AH35" i="67"/>
  <c r="AR339" i="67"/>
  <c r="AR33" i="67"/>
  <c r="AR643" i="67"/>
  <c r="AR186" i="67"/>
  <c r="AR794" i="67"/>
  <c r="AR491" i="67"/>
  <c r="AT159" i="67"/>
  <c r="AT918" i="67"/>
  <c r="V159" i="67"/>
  <c r="V918" i="67"/>
  <c r="AK917" i="67"/>
  <c r="AK158" i="67"/>
  <c r="AE158" i="67"/>
  <c r="AE917" i="67"/>
  <c r="AL158" i="67"/>
  <c r="AL917" i="67"/>
  <c r="U159" i="67"/>
  <c r="U918" i="67"/>
  <c r="X159" i="67"/>
  <c r="X918" i="67"/>
  <c r="S356" i="67"/>
  <c r="S660" i="67"/>
  <c r="S811" i="67"/>
  <c r="S508" i="67"/>
  <c r="S50" i="67"/>
  <c r="S203" i="67"/>
  <c r="AM26" i="68"/>
  <c r="L24" i="62" s="1"/>
  <c r="AF795" i="67"/>
  <c r="AF340" i="67"/>
  <c r="AF644" i="67"/>
  <c r="AF492" i="67"/>
  <c r="AF34" i="67"/>
  <c r="AF187" i="67"/>
  <c r="N338" i="67"/>
  <c r="N642" i="67"/>
  <c r="N185" i="67"/>
  <c r="N490" i="67"/>
  <c r="N32" i="67"/>
  <c r="V442" i="67"/>
  <c r="V746" i="67"/>
  <c r="V897" i="67"/>
  <c r="V594" i="67"/>
  <c r="V136" i="67"/>
  <c r="V289" i="67"/>
  <c r="AN340" i="67"/>
  <c r="AN795" i="67"/>
  <c r="AN644" i="67"/>
  <c r="AN187" i="67"/>
  <c r="AN492" i="67"/>
  <c r="AN34" i="67"/>
  <c r="AL356" i="67"/>
  <c r="AL660" i="67"/>
  <c r="AL811" i="67"/>
  <c r="AL508" i="67"/>
  <c r="AL50" i="67"/>
  <c r="AL203" i="67"/>
  <c r="BF26" i="68"/>
  <c r="AE24" i="62" s="1"/>
  <c r="AA897" i="67"/>
  <c r="AA442" i="67"/>
  <c r="AA746" i="67"/>
  <c r="AA136" i="67"/>
  <c r="AA289" i="67"/>
  <c r="AA594" i="67"/>
  <c r="P644" i="67"/>
  <c r="P340" i="67"/>
  <c r="P795" i="67"/>
  <c r="P492" i="67"/>
  <c r="P34" i="67"/>
  <c r="P187" i="67"/>
  <c r="R338" i="67"/>
  <c r="R642" i="67"/>
  <c r="R490" i="67"/>
  <c r="R32" i="67"/>
  <c r="R185" i="67"/>
  <c r="AK897" i="67"/>
  <c r="AK442" i="67"/>
  <c r="AK746" i="67"/>
  <c r="AK594" i="67"/>
  <c r="AK289" i="67"/>
  <c r="AK136" i="67"/>
  <c r="K897" i="67"/>
  <c r="K442" i="67"/>
  <c r="K746" i="67"/>
  <c r="K289" i="67"/>
  <c r="K594" i="67"/>
  <c r="K136" i="67"/>
  <c r="AQ358" i="67"/>
  <c r="AQ662" i="67"/>
  <c r="AQ813" i="67"/>
  <c r="AQ510" i="67"/>
  <c r="AQ52" i="67"/>
  <c r="AQ205" i="67"/>
  <c r="AM746" i="67"/>
  <c r="AM897" i="67"/>
  <c r="AM442" i="67"/>
  <c r="AM289" i="67"/>
  <c r="AM594" i="67"/>
  <c r="AM136" i="67"/>
  <c r="AC340" i="67"/>
  <c r="AC795" i="67"/>
  <c r="AC492" i="67"/>
  <c r="AC644" i="67"/>
  <c r="AC34" i="67"/>
  <c r="AC187" i="67"/>
  <c r="X913" i="67"/>
  <c r="X458" i="67"/>
  <c r="X762" i="67"/>
  <c r="X610" i="67"/>
  <c r="X152" i="67"/>
  <c r="X305" i="67"/>
  <c r="AR338" i="67"/>
  <c r="AR642" i="67"/>
  <c r="AR32" i="67"/>
  <c r="AR490" i="67"/>
  <c r="AR185" i="67"/>
  <c r="AJ356" i="67"/>
  <c r="AJ811" i="67"/>
  <c r="AJ660" i="67"/>
  <c r="AJ50" i="67"/>
  <c r="AJ203" i="67"/>
  <c r="AJ508" i="67"/>
  <c r="BD26" i="68"/>
  <c r="AC24" i="62" s="1"/>
  <c r="Y442" i="67"/>
  <c r="Y746" i="67"/>
  <c r="Y897" i="67"/>
  <c r="Y289" i="67"/>
  <c r="Y594" i="67"/>
  <c r="Y136" i="67"/>
  <c r="Q746" i="67"/>
  <c r="Q442" i="67"/>
  <c r="Q897" i="67"/>
  <c r="Q136" i="67"/>
  <c r="Q289" i="67"/>
  <c r="Q594" i="67"/>
  <c r="T602" i="67"/>
  <c r="T144" i="67"/>
  <c r="T450" i="67"/>
  <c r="T754" i="67"/>
  <c r="T297" i="67"/>
  <c r="T905" i="67"/>
  <c r="T163" i="67"/>
  <c r="T316" i="67"/>
  <c r="T620" i="67"/>
  <c r="T771" i="67"/>
  <c r="T10" i="67"/>
  <c r="S330" i="67"/>
  <c r="S482" i="67"/>
  <c r="S177" i="67"/>
  <c r="S634" i="67"/>
  <c r="AM13" i="68"/>
  <c r="L14" i="62" s="1"/>
  <c r="S785" i="67"/>
  <c r="S24" i="67"/>
  <c r="P348" i="67"/>
  <c r="AJ21" i="68"/>
  <c r="I21" i="62" s="1"/>
  <c r="P195" i="67"/>
  <c r="P500" i="67"/>
  <c r="P42" i="67"/>
  <c r="P652" i="67"/>
  <c r="P803" i="67"/>
  <c r="Y434" i="67"/>
  <c r="Y889" i="67"/>
  <c r="Y128" i="67"/>
  <c r="Y281" i="67"/>
  <c r="Y586" i="67"/>
  <c r="Y738" i="67"/>
  <c r="U754" i="67"/>
  <c r="U144" i="67"/>
  <c r="U450" i="67"/>
  <c r="U602" i="67"/>
  <c r="U297" i="67"/>
  <c r="U905" i="67"/>
  <c r="U163" i="67"/>
  <c r="U316" i="67"/>
  <c r="U620" i="67"/>
  <c r="U771" i="67"/>
  <c r="U10" i="67"/>
  <c r="AQ330" i="67"/>
  <c r="AQ482" i="67"/>
  <c r="AQ24" i="67"/>
  <c r="AQ634" i="67"/>
  <c r="AQ177" i="67"/>
  <c r="AQ785" i="67"/>
  <c r="BK13" i="68"/>
  <c r="AJ14" i="62" s="1"/>
  <c r="AK348" i="67"/>
  <c r="AK195" i="67"/>
  <c r="BE21" i="68"/>
  <c r="AD21" i="62" s="1"/>
  <c r="AK42" i="67"/>
  <c r="AK652" i="67"/>
  <c r="AK803" i="67"/>
  <c r="AK500" i="67"/>
  <c r="AS889" i="67"/>
  <c r="AS434" i="67"/>
  <c r="AS586" i="67"/>
  <c r="AS738" i="67"/>
  <c r="AS128" i="67"/>
  <c r="AS281" i="67"/>
  <c r="K331" i="67"/>
  <c r="K483" i="67"/>
  <c r="K786" i="67"/>
  <c r="K178" i="67"/>
  <c r="K635" i="67"/>
  <c r="K25" i="67"/>
  <c r="K349" i="67"/>
  <c r="K653" i="67"/>
  <c r="K43" i="67"/>
  <c r="K804" i="67"/>
  <c r="K196" i="67"/>
  <c r="K501" i="67"/>
  <c r="AN330" i="67"/>
  <c r="AN634" i="67"/>
  <c r="AN177" i="67"/>
  <c r="AN785" i="67"/>
  <c r="BH13" i="68"/>
  <c r="AG14" i="62" s="1"/>
  <c r="AN24" i="67"/>
  <c r="AN482" i="67"/>
  <c r="Q434" i="67"/>
  <c r="Q889" i="67"/>
  <c r="Q128" i="67"/>
  <c r="Q281" i="67"/>
  <c r="Q586" i="67"/>
  <c r="Q738" i="67"/>
  <c r="AP450" i="67"/>
  <c r="AP144" i="67"/>
  <c r="AP602" i="67"/>
  <c r="AP754" i="67"/>
  <c r="AP297" i="67"/>
  <c r="AP905" i="67"/>
  <c r="AF144" i="67"/>
  <c r="AF450" i="67"/>
  <c r="AF754" i="67"/>
  <c r="AF297" i="67"/>
  <c r="AF905" i="67"/>
  <c r="AF602" i="67"/>
  <c r="AF163" i="67"/>
  <c r="AF316" i="67"/>
  <c r="AF620" i="67"/>
  <c r="AF771" i="67"/>
  <c r="AF10" i="67"/>
  <c r="AP13" i="68"/>
  <c r="O14" i="62" s="1"/>
  <c r="V330" i="67"/>
  <c r="V482" i="67"/>
  <c r="V634" i="67"/>
  <c r="V24" i="67"/>
  <c r="V177" i="67"/>
  <c r="V785" i="67"/>
  <c r="O348" i="67"/>
  <c r="AI21" i="68"/>
  <c r="H21" i="62" s="1"/>
  <c r="O803" i="67"/>
  <c r="O500" i="67"/>
  <c r="O42" i="67"/>
  <c r="O652" i="67"/>
  <c r="O195" i="67"/>
  <c r="AM281" i="67"/>
  <c r="AM586" i="67"/>
  <c r="AM434" i="67"/>
  <c r="AM738" i="67"/>
  <c r="AM128" i="67"/>
  <c r="AM889" i="67"/>
  <c r="AH450" i="67"/>
  <c r="AH144" i="67"/>
  <c r="AH602" i="67"/>
  <c r="AH297" i="67"/>
  <c r="AH754" i="67"/>
  <c r="AH905" i="67"/>
  <c r="AH163" i="67"/>
  <c r="AH316" i="67"/>
  <c r="AH771" i="67"/>
  <c r="AH10" i="67"/>
  <c r="AH620" i="67"/>
  <c r="AU330" i="67"/>
  <c r="AU482" i="67"/>
  <c r="BO13" i="68"/>
  <c r="AN14" i="62" s="1"/>
  <c r="AU177" i="67"/>
  <c r="AU24" i="67"/>
  <c r="AU785" i="67"/>
  <c r="AU634" i="67"/>
  <c r="M330" i="67"/>
  <c r="AG13" i="68"/>
  <c r="F14" i="62" s="1"/>
  <c r="M482" i="67"/>
  <c r="M634" i="67"/>
  <c r="M177" i="67"/>
  <c r="M785" i="67"/>
  <c r="M24" i="67"/>
  <c r="AL357" i="67"/>
  <c r="AL812" i="67"/>
  <c r="AL509" i="67"/>
  <c r="AL204" i="67"/>
  <c r="AL661" i="67"/>
  <c r="AL51" i="67"/>
  <c r="AU341" i="67"/>
  <c r="AU493" i="67"/>
  <c r="AU645" i="67"/>
  <c r="AU35" i="67"/>
  <c r="AU796" i="67"/>
  <c r="AU188" i="67"/>
  <c r="X339" i="67"/>
  <c r="X491" i="67"/>
  <c r="X33" i="67"/>
  <c r="X643" i="67"/>
  <c r="X186" i="67"/>
  <c r="X794" i="67"/>
  <c r="AM359" i="67"/>
  <c r="AM663" i="67"/>
  <c r="AM206" i="67"/>
  <c r="AM814" i="67"/>
  <c r="AM511" i="67"/>
  <c r="AM53" i="67"/>
  <c r="P359" i="67"/>
  <c r="P53" i="67"/>
  <c r="P663" i="67"/>
  <c r="P511" i="67"/>
  <c r="P814" i="67"/>
  <c r="P206" i="67"/>
  <c r="AQ914" i="67"/>
  <c r="AQ459" i="67"/>
  <c r="AQ763" i="67"/>
  <c r="AQ611" i="67"/>
  <c r="AQ306" i="67"/>
  <c r="AQ153" i="67"/>
  <c r="AR918" i="67"/>
  <c r="AR159" i="67"/>
  <c r="AD159" i="67"/>
  <c r="AD918" i="67"/>
  <c r="AA158" i="67"/>
  <c r="AA917" i="67"/>
  <c r="L158" i="67"/>
  <c r="L917" i="67"/>
  <c r="AS358" i="67"/>
  <c r="AS662" i="67"/>
  <c r="AS813" i="67"/>
  <c r="AS510" i="67"/>
  <c r="AS52" i="67"/>
  <c r="AS205" i="67"/>
  <c r="AG340" i="67"/>
  <c r="AG492" i="67"/>
  <c r="AG644" i="67"/>
  <c r="AG795" i="67"/>
  <c r="AG34" i="67"/>
  <c r="AG187" i="67"/>
  <c r="AU338" i="67"/>
  <c r="AU642" i="67"/>
  <c r="AU490" i="67"/>
  <c r="AU32" i="67"/>
  <c r="AU185" i="67"/>
  <c r="AB356" i="67"/>
  <c r="AB811" i="67"/>
  <c r="AB203" i="67"/>
  <c r="AB508" i="67"/>
  <c r="AB660" i="67"/>
  <c r="AB50" i="67"/>
  <c r="AV26" i="68"/>
  <c r="U24" i="62" s="1"/>
  <c r="AE442" i="67"/>
  <c r="AE746" i="67"/>
  <c r="AE897" i="67"/>
  <c r="AE289" i="67"/>
  <c r="AE594" i="67"/>
  <c r="AE136" i="67"/>
  <c r="Z340" i="67"/>
  <c r="Z795" i="67"/>
  <c r="Z187" i="67"/>
  <c r="Z492" i="67"/>
  <c r="Z644" i="67"/>
  <c r="Z34" i="67"/>
  <c r="AJ330" i="67"/>
  <c r="AJ785" i="67"/>
  <c r="AJ482" i="67"/>
  <c r="AJ634" i="67"/>
  <c r="AJ24" i="67"/>
  <c r="AJ177" i="67"/>
  <c r="BD13" i="68"/>
  <c r="AC14" i="62" s="1"/>
  <c r="W348" i="67"/>
  <c r="AQ21" i="68"/>
  <c r="P21" i="62" s="1"/>
  <c r="W195" i="67"/>
  <c r="W652" i="67"/>
  <c r="W500" i="67"/>
  <c r="W803" i="67"/>
  <c r="W42" i="67"/>
  <c r="AB434" i="67"/>
  <c r="AB586" i="67"/>
  <c r="AB281" i="67"/>
  <c r="AB738" i="67"/>
  <c r="AB128" i="67"/>
  <c r="AB889" i="67"/>
  <c r="AD330" i="67"/>
  <c r="AX13" i="68"/>
  <c r="W14" i="62" s="1"/>
  <c r="AD785" i="67"/>
  <c r="AD177" i="67"/>
  <c r="AD634" i="67"/>
  <c r="AD482" i="67"/>
  <c r="AD24" i="67"/>
  <c r="AR21" i="68"/>
  <c r="Q21" i="62" s="1"/>
  <c r="X348" i="67"/>
  <c r="X652" i="67"/>
  <c r="X42" i="67"/>
  <c r="X803" i="67"/>
  <c r="X195" i="67"/>
  <c r="X500" i="67"/>
  <c r="AV586" i="67"/>
  <c r="AV128" i="67"/>
  <c r="AV281" i="67"/>
  <c r="AV434" i="67"/>
  <c r="AV738" i="67"/>
  <c r="AV889" i="67"/>
  <c r="AG144" i="67"/>
  <c r="AG602" i="67"/>
  <c r="AG297" i="67"/>
  <c r="AG905" i="67"/>
  <c r="AG450" i="67"/>
  <c r="AG754" i="67"/>
  <c r="AG163" i="67"/>
  <c r="AG316" i="67"/>
  <c r="AG620" i="67"/>
  <c r="AG771" i="67"/>
  <c r="AG10" i="67"/>
  <c r="L331" i="67"/>
  <c r="L635" i="67"/>
  <c r="L25" i="67"/>
  <c r="L786" i="67"/>
  <c r="L483" i="67"/>
  <c r="L178" i="67"/>
  <c r="AF339" i="67"/>
  <c r="AF33" i="67"/>
  <c r="AF643" i="67"/>
  <c r="AF186" i="67"/>
  <c r="AF794" i="67"/>
  <c r="AF491" i="67"/>
  <c r="Y459" i="67"/>
  <c r="Y914" i="67"/>
  <c r="Y763" i="67"/>
  <c r="Y611" i="67"/>
  <c r="Y306" i="67"/>
  <c r="Y153" i="67"/>
  <c r="AN290" i="67"/>
  <c r="AN898" i="67"/>
  <c r="AN137" i="67"/>
  <c r="AN595" i="67"/>
  <c r="AN443" i="67"/>
  <c r="AN747" i="67"/>
  <c r="AC306" i="67"/>
  <c r="AC459" i="67"/>
  <c r="AC153" i="67"/>
  <c r="AC763" i="67"/>
  <c r="AC914" i="67"/>
  <c r="AC611" i="67"/>
  <c r="P339" i="67"/>
  <c r="P794" i="67"/>
  <c r="P491" i="67"/>
  <c r="P33" i="67"/>
  <c r="P643" i="67"/>
  <c r="P186" i="67"/>
  <c r="AT357" i="67"/>
  <c r="AT661" i="67"/>
  <c r="AT204" i="67"/>
  <c r="AT812" i="67"/>
  <c r="AT509" i="67"/>
  <c r="AT51" i="67"/>
  <c r="AQ359" i="67"/>
  <c r="AQ511" i="67"/>
  <c r="AQ206" i="67"/>
  <c r="AQ663" i="67"/>
  <c r="AQ53" i="67"/>
  <c r="AQ814" i="67"/>
  <c r="Q339" i="67"/>
  <c r="Q491" i="67"/>
  <c r="Q33" i="67"/>
  <c r="Q794" i="67"/>
  <c r="Q643" i="67"/>
  <c r="Q186" i="67"/>
  <c r="T918" i="67"/>
  <c r="T159" i="67"/>
  <c r="AG159" i="67"/>
  <c r="AG918" i="67"/>
  <c r="AO159" i="67"/>
  <c r="AO918" i="67"/>
  <c r="AT358" i="67"/>
  <c r="AT813" i="67"/>
  <c r="AT662" i="67"/>
  <c r="AT205" i="67"/>
  <c r="AT510" i="67"/>
  <c r="AT52" i="67"/>
  <c r="AW340" i="67"/>
  <c r="AW492" i="67"/>
  <c r="AW644" i="67"/>
  <c r="AW795" i="67"/>
  <c r="AW34" i="67"/>
  <c r="AW187" i="67"/>
  <c r="L356" i="67"/>
  <c r="L508" i="67"/>
  <c r="L203" i="67"/>
  <c r="L660" i="67"/>
  <c r="L811" i="67"/>
  <c r="L50" i="67"/>
  <c r="AF26" i="68"/>
  <c r="E24" i="62" s="1"/>
  <c r="M340" i="67"/>
  <c r="M795" i="67"/>
  <c r="M492" i="67"/>
  <c r="M644" i="67"/>
  <c r="M34" i="67"/>
  <c r="M187" i="67"/>
  <c r="AC338" i="67"/>
  <c r="AC642" i="67"/>
  <c r="AC490" i="67"/>
  <c r="AC32" i="67"/>
  <c r="AC185" i="67"/>
  <c r="U897" i="67"/>
  <c r="U442" i="67"/>
  <c r="U746" i="67"/>
  <c r="U594" i="67"/>
  <c r="U289" i="67"/>
  <c r="U136" i="67"/>
  <c r="AR644" i="67"/>
  <c r="AR795" i="67"/>
  <c r="AR340" i="67"/>
  <c r="AR492" i="67"/>
  <c r="AR34" i="67"/>
  <c r="AR187" i="67"/>
  <c r="T906" i="67"/>
  <c r="T755" i="67"/>
  <c r="T145" i="67"/>
  <c r="T298" i="67"/>
  <c r="T451" i="67"/>
  <c r="T603" i="67"/>
  <c r="P451" i="67"/>
  <c r="P145" i="67"/>
  <c r="P603" i="67"/>
  <c r="P906" i="67"/>
  <c r="P298" i="67"/>
  <c r="P755" i="67"/>
  <c r="P164" i="67"/>
  <c r="P317" i="67"/>
  <c r="P621" i="67"/>
  <c r="P11" i="67"/>
  <c r="P772" i="67"/>
  <c r="U331" i="67"/>
  <c r="U786" i="67"/>
  <c r="U635" i="67"/>
  <c r="U178" i="67"/>
  <c r="U483" i="67"/>
  <c r="U25" i="67"/>
  <c r="AS349" i="67"/>
  <c r="AS804" i="67"/>
  <c r="AS653" i="67"/>
  <c r="AS196" i="67"/>
  <c r="AS501" i="67"/>
  <c r="AS43" i="67"/>
  <c r="AN282" i="67"/>
  <c r="AN129" i="67"/>
  <c r="AN587" i="67"/>
  <c r="AN435" i="67"/>
  <c r="AN739" i="67"/>
  <c r="AN890" i="67"/>
  <c r="AP298" i="67"/>
  <c r="AP145" i="67"/>
  <c r="AP451" i="67"/>
  <c r="AP603" i="67"/>
  <c r="AP755" i="67"/>
  <c r="AP906" i="67"/>
  <c r="AP164" i="67"/>
  <c r="AP317" i="67"/>
  <c r="AP621" i="67"/>
  <c r="AP772" i="67"/>
  <c r="AP11" i="67"/>
  <c r="O331" i="67"/>
  <c r="O786" i="67"/>
  <c r="O25" i="67"/>
  <c r="O635" i="67"/>
  <c r="O483" i="67"/>
  <c r="O178" i="67"/>
  <c r="AU349" i="67"/>
  <c r="AU501" i="67"/>
  <c r="AU196" i="67"/>
  <c r="AU804" i="67"/>
  <c r="AU653" i="67"/>
  <c r="AU43" i="67"/>
  <c r="AL359" i="67"/>
  <c r="AL206" i="67"/>
  <c r="AL663" i="67"/>
  <c r="AL53" i="67"/>
  <c r="AL814" i="67"/>
  <c r="AL511" i="67"/>
  <c r="AU763" i="67"/>
  <c r="AU459" i="67"/>
  <c r="AU914" i="67"/>
  <c r="AU306" i="67"/>
  <c r="AU153" i="67"/>
  <c r="AU611" i="67"/>
  <c r="AP339" i="67"/>
  <c r="AP186" i="67"/>
  <c r="AP794" i="67"/>
  <c r="AP643" i="67"/>
  <c r="AP491" i="67"/>
  <c r="AP33" i="67"/>
  <c r="K359" i="67"/>
  <c r="K206" i="67"/>
  <c r="K663" i="67"/>
  <c r="K511" i="67"/>
  <c r="K53" i="67"/>
  <c r="K814" i="67"/>
  <c r="V359" i="67"/>
  <c r="V814" i="67"/>
  <c r="V511" i="67"/>
  <c r="V206" i="67"/>
  <c r="V663" i="67"/>
  <c r="V53" i="67"/>
  <c r="AV359" i="67"/>
  <c r="AV511" i="67"/>
  <c r="AV663" i="67"/>
  <c r="AV206" i="67"/>
  <c r="AV814" i="67"/>
  <c r="AV53" i="67"/>
  <c r="AS357" i="67"/>
  <c r="AS51" i="67"/>
  <c r="AS204" i="67"/>
  <c r="AS661" i="67"/>
  <c r="AS509" i="67"/>
  <c r="AS812" i="67"/>
  <c r="AK290" i="67"/>
  <c r="AK595" i="67"/>
  <c r="AK443" i="67"/>
  <c r="AK898" i="67"/>
  <c r="AK137" i="67"/>
  <c r="AK747" i="67"/>
  <c r="T611" i="67"/>
  <c r="T459" i="67"/>
  <c r="T153" i="67"/>
  <c r="T763" i="67"/>
  <c r="T914" i="67"/>
  <c r="T306" i="67"/>
  <c r="Z339" i="67"/>
  <c r="Z33" i="67"/>
  <c r="Z643" i="67"/>
  <c r="Z186" i="67"/>
  <c r="Z794" i="67"/>
  <c r="Z491" i="67"/>
  <c r="AD357" i="67"/>
  <c r="AD509" i="67"/>
  <c r="AD51" i="67"/>
  <c r="AD661" i="67"/>
  <c r="AD204" i="67"/>
  <c r="AD812" i="67"/>
  <c r="S443" i="67"/>
  <c r="S290" i="67"/>
  <c r="S898" i="67"/>
  <c r="S595" i="67"/>
  <c r="S747" i="67"/>
  <c r="S137" i="67"/>
  <c r="AH914" i="67"/>
  <c r="AH611" i="67"/>
  <c r="AH459" i="67"/>
  <c r="AH153" i="67"/>
  <c r="AH306" i="67"/>
  <c r="AH763" i="67"/>
  <c r="AA137" i="67"/>
  <c r="AA747" i="67"/>
  <c r="AA290" i="67"/>
  <c r="AA443" i="67"/>
  <c r="AA595" i="67"/>
  <c r="AA898" i="67"/>
  <c r="V158" i="67"/>
  <c r="V917" i="67"/>
  <c r="AE918" i="67"/>
  <c r="AE159" i="67"/>
  <c r="X917" i="67"/>
  <c r="X158" i="67"/>
  <c r="AF913" i="67"/>
  <c r="AF458" i="67"/>
  <c r="AF762" i="67"/>
  <c r="AF152" i="67"/>
  <c r="AF305" i="67"/>
  <c r="AF610" i="67"/>
  <c r="N358" i="67"/>
  <c r="N813" i="67"/>
  <c r="N662" i="67"/>
  <c r="N510" i="67"/>
  <c r="N205" i="67"/>
  <c r="N52" i="67"/>
  <c r="AN338" i="67"/>
  <c r="AN642" i="67"/>
  <c r="AN185" i="67"/>
  <c r="AN490" i="67"/>
  <c r="AN32" i="67"/>
  <c r="AA340" i="67"/>
  <c r="AA795" i="67"/>
  <c r="AA644" i="67"/>
  <c r="AA492" i="67"/>
  <c r="AA34" i="67"/>
  <c r="AA187" i="67"/>
  <c r="P338" i="67"/>
  <c r="P642" i="67"/>
  <c r="P185" i="67"/>
  <c r="P490" i="67"/>
  <c r="P32" i="67"/>
  <c r="AK358" i="67"/>
  <c r="AK662" i="67"/>
  <c r="AK813" i="67"/>
  <c r="AK510" i="67"/>
  <c r="AK52" i="67"/>
  <c r="AK205" i="67"/>
  <c r="AP338" i="67"/>
  <c r="AP642" i="67"/>
  <c r="AP490" i="67"/>
  <c r="AP32" i="67"/>
  <c r="AP185" i="67"/>
  <c r="AH356" i="67"/>
  <c r="AH811" i="67"/>
  <c r="AH660" i="67"/>
  <c r="AH203" i="67"/>
  <c r="AH508" i="67"/>
  <c r="AH50" i="67"/>
  <c r="BB26" i="68"/>
  <c r="AA24" i="62" s="1"/>
  <c r="O913" i="67"/>
  <c r="O458" i="67"/>
  <c r="O762" i="67"/>
  <c r="O305" i="67"/>
  <c r="O152" i="67"/>
  <c r="O610" i="67"/>
  <c r="AO913" i="67"/>
  <c r="AO458" i="67"/>
  <c r="AO762" i="67"/>
  <c r="AO305" i="67"/>
  <c r="AO152" i="67"/>
  <c r="AO610" i="67"/>
  <c r="AI338" i="67"/>
  <c r="AI642" i="67"/>
  <c r="AI490" i="67"/>
  <c r="AI32" i="67"/>
  <c r="AI185" i="67"/>
  <c r="Z356" i="67"/>
  <c r="Z811" i="67"/>
  <c r="Z660" i="67"/>
  <c r="Z203" i="67"/>
  <c r="Z508" i="67"/>
  <c r="Z50" i="67"/>
  <c r="AT26" i="68"/>
  <c r="S24" i="62" s="1"/>
  <c r="AL349" i="67"/>
  <c r="AL43" i="67"/>
  <c r="AL501" i="67"/>
  <c r="AL653" i="67"/>
  <c r="AL196" i="67"/>
  <c r="AL804" i="67"/>
  <c r="AJ298" i="67"/>
  <c r="AJ451" i="67"/>
  <c r="AJ603" i="67"/>
  <c r="AJ145" i="67"/>
  <c r="AJ755" i="67"/>
  <c r="AJ906" i="67"/>
  <c r="AW602" i="67"/>
  <c r="AW144" i="67"/>
  <c r="AW754" i="67"/>
  <c r="AW297" i="67"/>
  <c r="AW450" i="67"/>
  <c r="AW905" i="67"/>
  <c r="AW163" i="67"/>
  <c r="AW316" i="67"/>
  <c r="AW10" i="67"/>
  <c r="AW620" i="67"/>
  <c r="AW771" i="67"/>
  <c r="Z331" i="67"/>
  <c r="Z178" i="67"/>
  <c r="Z25" i="67"/>
  <c r="Z786" i="67"/>
  <c r="Z635" i="67"/>
  <c r="Z483" i="67"/>
  <c r="W164" i="67"/>
  <c r="W317" i="67"/>
  <c r="W772" i="67"/>
  <c r="W11" i="67"/>
  <c r="W621" i="67"/>
  <c r="AI451" i="67"/>
  <c r="AI298" i="67"/>
  <c r="AI603" i="67"/>
  <c r="AI906" i="67"/>
  <c r="AI145" i="67"/>
  <c r="AI755" i="67"/>
  <c r="R906" i="67"/>
  <c r="R298" i="67"/>
  <c r="R603" i="67"/>
  <c r="R451" i="67"/>
  <c r="R145" i="67"/>
  <c r="R755" i="67"/>
  <c r="R164" i="67"/>
  <c r="R317" i="67"/>
  <c r="R11" i="67"/>
  <c r="R621" i="67"/>
  <c r="R772" i="67"/>
  <c r="AB331" i="67"/>
  <c r="AB483" i="67"/>
  <c r="AB25" i="67"/>
  <c r="AB635" i="67"/>
  <c r="AB178" i="67"/>
  <c r="AB786" i="67"/>
  <c r="N349" i="67"/>
  <c r="N501" i="67"/>
  <c r="N196" i="67"/>
  <c r="N653" i="67"/>
  <c r="N43" i="67"/>
  <c r="N804" i="67"/>
  <c r="AD739" i="67"/>
  <c r="AD587" i="67"/>
  <c r="AD435" i="67"/>
  <c r="AD129" i="67"/>
  <c r="AD282" i="67"/>
  <c r="AD890" i="67"/>
  <c r="AE906" i="67"/>
  <c r="AE603" i="67"/>
  <c r="AE298" i="67"/>
  <c r="AE755" i="67"/>
  <c r="AE145" i="67"/>
  <c r="AE451" i="67"/>
  <c r="AE164" i="67"/>
  <c r="AE317" i="67"/>
  <c r="AE772" i="67"/>
  <c r="AE11" i="67"/>
  <c r="AE621" i="67"/>
  <c r="AT331" i="67"/>
  <c r="AT635" i="67"/>
  <c r="AT786" i="67"/>
  <c r="AT25" i="67"/>
  <c r="AT483" i="67"/>
  <c r="AT178" i="67"/>
  <c r="X349" i="67"/>
  <c r="X804" i="67"/>
  <c r="X43" i="67"/>
  <c r="X501" i="67"/>
  <c r="X196" i="67"/>
  <c r="X653" i="67"/>
  <c r="AR451" i="67"/>
  <c r="AR603" i="67"/>
  <c r="AR145" i="67"/>
  <c r="AR298" i="67"/>
  <c r="AR755" i="67"/>
  <c r="AR906" i="67"/>
  <c r="AA451" i="67"/>
  <c r="AA298" i="67"/>
  <c r="AA755" i="67"/>
  <c r="AA906" i="67"/>
  <c r="AA145" i="67"/>
  <c r="AA603" i="67"/>
  <c r="AA164" i="67"/>
  <c r="AA317" i="67"/>
  <c r="AA772" i="67"/>
  <c r="AA11" i="67"/>
  <c r="AA621" i="67"/>
  <c r="AV331" i="67"/>
  <c r="AV786" i="67"/>
  <c r="AV483" i="67"/>
  <c r="AV635" i="67"/>
  <c r="AV25" i="67"/>
  <c r="AV178" i="67"/>
  <c r="AG349" i="67"/>
  <c r="AG804" i="67"/>
  <c r="AG196" i="67"/>
  <c r="AG501" i="67"/>
  <c r="AG653" i="67"/>
  <c r="AG43" i="67"/>
  <c r="AC435" i="67"/>
  <c r="AC739" i="67"/>
  <c r="AC282" i="67"/>
  <c r="AC129" i="67"/>
  <c r="AC587" i="67"/>
  <c r="AC890" i="67"/>
  <c r="AO755" i="67"/>
  <c r="AO451" i="67"/>
  <c r="AO145" i="67"/>
  <c r="AO298" i="67"/>
  <c r="AO603" i="67"/>
  <c r="AO906" i="67"/>
  <c r="AO164" i="67"/>
  <c r="AO317" i="67"/>
  <c r="AO621" i="67"/>
  <c r="AO772" i="67"/>
  <c r="AO11" i="67"/>
  <c r="L330" i="67"/>
  <c r="AF13" i="68"/>
  <c r="E14" i="62" s="1"/>
  <c r="L177" i="67"/>
  <c r="L482" i="67"/>
  <c r="L634" i="67"/>
  <c r="L24" i="67"/>
  <c r="L785" i="67"/>
  <c r="L357" i="67"/>
  <c r="L661" i="67"/>
  <c r="L51" i="67"/>
  <c r="L812" i="67"/>
  <c r="L509" i="67"/>
  <c r="L204" i="67"/>
  <c r="AP341" i="67"/>
  <c r="AP645" i="67"/>
  <c r="AP188" i="67"/>
  <c r="AP493" i="67"/>
  <c r="AP796" i="67"/>
  <c r="AP35" i="67"/>
  <c r="AJ595" i="67"/>
  <c r="AJ898" i="67"/>
  <c r="AJ290" i="67"/>
  <c r="AJ443" i="67"/>
  <c r="AJ747" i="67"/>
  <c r="AJ137" i="67"/>
  <c r="AN359" i="67"/>
  <c r="AN663" i="67"/>
  <c r="AN206" i="67"/>
  <c r="AN814" i="67"/>
  <c r="AN511" i="67"/>
  <c r="AN53" i="67"/>
  <c r="AB357" i="67"/>
  <c r="AB204" i="67"/>
  <c r="AB661" i="67"/>
  <c r="AB51" i="67"/>
  <c r="AB812" i="67"/>
  <c r="AB509" i="67"/>
  <c r="U898" i="67"/>
  <c r="U443" i="67"/>
  <c r="U747" i="67"/>
  <c r="U290" i="67"/>
  <c r="U137" i="67"/>
  <c r="U595" i="67"/>
  <c r="AE359" i="67"/>
  <c r="AE511" i="67"/>
  <c r="AE53" i="67"/>
  <c r="AE814" i="67"/>
  <c r="AE663" i="67"/>
  <c r="AE206" i="67"/>
  <c r="N357" i="67"/>
  <c r="N661" i="67"/>
  <c r="N204" i="67"/>
  <c r="N812" i="67"/>
  <c r="N51" i="67"/>
  <c r="N509" i="67"/>
  <c r="N158" i="67"/>
  <c r="N917" i="67"/>
  <c r="AK159" i="67"/>
  <c r="AK918" i="67"/>
  <c r="U917" i="67"/>
  <c r="U158" i="67"/>
  <c r="AT356" i="67"/>
  <c r="AT660" i="67"/>
  <c r="AT811" i="67"/>
  <c r="AT50" i="67"/>
  <c r="AT203" i="67"/>
  <c r="AT508" i="67"/>
  <c r="BN26" i="68"/>
  <c r="AM24" i="62" s="1"/>
  <c r="AD746" i="67"/>
  <c r="AD897" i="67"/>
  <c r="AD442" i="67"/>
  <c r="AD594" i="67"/>
  <c r="AD136" i="67"/>
  <c r="AD289" i="67"/>
  <c r="AW913" i="67"/>
  <c r="AW458" i="67"/>
  <c r="AW762" i="67"/>
  <c r="AW610" i="67"/>
  <c r="AW305" i="67"/>
  <c r="AW152" i="67"/>
  <c r="L358" i="67"/>
  <c r="L813" i="67"/>
  <c r="L662" i="67"/>
  <c r="L205" i="67"/>
  <c r="L510" i="67"/>
  <c r="L52" i="67"/>
  <c r="M338" i="67"/>
  <c r="M642" i="67"/>
  <c r="M490" i="67"/>
  <c r="M32" i="67"/>
  <c r="M185" i="67"/>
  <c r="AP340" i="67"/>
  <c r="AP795" i="67"/>
  <c r="AP187" i="67"/>
  <c r="AP492" i="67"/>
  <c r="AP644" i="67"/>
  <c r="AP34" i="67"/>
  <c r="AI340" i="67"/>
  <c r="AI795" i="67"/>
  <c r="AI644" i="67"/>
  <c r="AI492" i="67"/>
  <c r="AI34" i="67"/>
  <c r="AI187" i="67"/>
  <c r="AW331" i="67"/>
  <c r="AW483" i="67"/>
  <c r="AW635" i="67"/>
  <c r="AW178" i="67"/>
  <c r="AW786" i="67"/>
  <c r="AW25" i="67"/>
  <c r="R348" i="67"/>
  <c r="R500" i="67"/>
  <c r="AL21" i="68"/>
  <c r="K21" i="62" s="1"/>
  <c r="R42" i="67"/>
  <c r="R803" i="67"/>
  <c r="R652" i="67"/>
  <c r="R195" i="67"/>
  <c r="AE450" i="67"/>
  <c r="AE144" i="67"/>
  <c r="AE297" i="67"/>
  <c r="AE754" i="67"/>
  <c r="AE602" i="67"/>
  <c r="AE905" i="67"/>
  <c r="AE163" i="67"/>
  <c r="AE316" i="67"/>
  <c r="AE10" i="67"/>
  <c r="AE771" i="67"/>
  <c r="AE620" i="67"/>
  <c r="AR330" i="67"/>
  <c r="AR177" i="67"/>
  <c r="AR482" i="67"/>
  <c r="AR634" i="67"/>
  <c r="AR24" i="67"/>
  <c r="AR785" i="67"/>
  <c r="BL13" i="68"/>
  <c r="AK14" i="62" s="1"/>
  <c r="AO348" i="67"/>
  <c r="AO803" i="67"/>
  <c r="BI21" i="68"/>
  <c r="AH21" i="62" s="1"/>
  <c r="AO500" i="67"/>
  <c r="AO42" i="67"/>
  <c r="AO652" i="67"/>
  <c r="AO195" i="67"/>
  <c r="AV913" i="67"/>
  <c r="AV458" i="67"/>
  <c r="AV762" i="67"/>
  <c r="AV152" i="67"/>
  <c r="AV305" i="67"/>
  <c r="AV610" i="67"/>
  <c r="AK451" i="67"/>
  <c r="AK603" i="67"/>
  <c r="AK145" i="67"/>
  <c r="AK298" i="67"/>
  <c r="AK755" i="67"/>
  <c r="AK906" i="67"/>
  <c r="AK164" i="67"/>
  <c r="AK317" i="67"/>
  <c r="AK772" i="67"/>
  <c r="AK621" i="67"/>
  <c r="AK11" i="67"/>
  <c r="AF331" i="67"/>
  <c r="AF178" i="67"/>
  <c r="AF786" i="67"/>
  <c r="AF25" i="67"/>
  <c r="AF635" i="67"/>
  <c r="AF483" i="67"/>
  <c r="AH349" i="67"/>
  <c r="AH196" i="67"/>
  <c r="AH501" i="67"/>
  <c r="AH653" i="67"/>
  <c r="AH43" i="67"/>
  <c r="AH804" i="67"/>
  <c r="AH340" i="67"/>
  <c r="AH795" i="67"/>
  <c r="AH187" i="67"/>
  <c r="AH644" i="67"/>
  <c r="AH492" i="67"/>
  <c r="AH34" i="67"/>
  <c r="AL434" i="67"/>
  <c r="AL128" i="67"/>
  <c r="AL738" i="67"/>
  <c r="AL281" i="67"/>
  <c r="AL586" i="67"/>
  <c r="AL889" i="67"/>
  <c r="Z144" i="67"/>
  <c r="Z754" i="67"/>
  <c r="Z450" i="67"/>
  <c r="Z602" i="67"/>
  <c r="Z297" i="67"/>
  <c r="Z905" i="67"/>
  <c r="Z163" i="67"/>
  <c r="Z316" i="67"/>
  <c r="Z771" i="67"/>
  <c r="Z620" i="67"/>
  <c r="Z10" i="67"/>
  <c r="AI330" i="67"/>
  <c r="AI785" i="67"/>
  <c r="AI24" i="67"/>
  <c r="AI482" i="67"/>
  <c r="AI177" i="67"/>
  <c r="AI634" i="67"/>
  <c r="BC13" i="68"/>
  <c r="AB14" i="62" s="1"/>
  <c r="N348" i="67"/>
  <c r="N652" i="67"/>
  <c r="N42" i="67"/>
  <c r="N803" i="67"/>
  <c r="AH21" i="68"/>
  <c r="G21" i="62" s="1"/>
  <c r="N195" i="67"/>
  <c r="N500" i="67"/>
  <c r="AT281" i="67"/>
  <c r="AT128" i="67"/>
  <c r="AT738" i="67"/>
  <c r="AT434" i="67"/>
  <c r="AT586" i="67"/>
  <c r="AT889" i="67"/>
  <c r="AA434" i="67"/>
  <c r="AA128" i="67"/>
  <c r="AA281" i="67"/>
  <c r="AA586" i="67"/>
  <c r="AA738" i="67"/>
  <c r="AA889" i="67"/>
  <c r="AA163" i="67"/>
  <c r="AA316" i="67"/>
  <c r="AA620" i="67"/>
  <c r="AA771" i="67"/>
  <c r="AA10" i="67"/>
  <c r="AC330" i="67"/>
  <c r="AW13" i="68"/>
  <c r="V14" i="62" s="1"/>
  <c r="AC785" i="67"/>
  <c r="AC24" i="67"/>
  <c r="AC482" i="67"/>
  <c r="AC634" i="67"/>
  <c r="AC177" i="67"/>
  <c r="AI137" i="67"/>
  <c r="AI595" i="67"/>
  <c r="AI443" i="67"/>
  <c r="AI290" i="67"/>
  <c r="AI747" i="67"/>
  <c r="AI898" i="67"/>
  <c r="AG459" i="67"/>
  <c r="AG306" i="67"/>
  <c r="AG153" i="67"/>
  <c r="AG611" i="67"/>
  <c r="AG914" i="67"/>
  <c r="AG763" i="67"/>
  <c r="W341" i="67"/>
  <c r="W493" i="67"/>
  <c r="W35" i="67"/>
  <c r="W645" i="67"/>
  <c r="W188" i="67"/>
  <c r="W796" i="67"/>
  <c r="AO339" i="67"/>
  <c r="AO491" i="67"/>
  <c r="AO33" i="67"/>
  <c r="AO643" i="67"/>
  <c r="AO186" i="67"/>
  <c r="AO794" i="67"/>
  <c r="AM339" i="67"/>
  <c r="AM794" i="67"/>
  <c r="AM33" i="67"/>
  <c r="AM491" i="67"/>
  <c r="AM643" i="67"/>
  <c r="AM186" i="67"/>
  <c r="AB341" i="67"/>
  <c r="AB645" i="67"/>
  <c r="AB188" i="67"/>
  <c r="AB796" i="67"/>
  <c r="AB35" i="67"/>
  <c r="AB493" i="67"/>
  <c r="AE747" i="67"/>
  <c r="AE137" i="67"/>
  <c r="AE290" i="67"/>
  <c r="AE898" i="67"/>
  <c r="AE443" i="67"/>
  <c r="AE595" i="67"/>
  <c r="N359" i="67"/>
  <c r="N511" i="67"/>
  <c r="N206" i="67"/>
  <c r="N663" i="67"/>
  <c r="N53" i="67"/>
  <c r="N814" i="67"/>
  <c r="AD158" i="67"/>
  <c r="AD917" i="67"/>
  <c r="AM159" i="67"/>
  <c r="AM918" i="67"/>
  <c r="T356" i="67"/>
  <c r="T660" i="67"/>
  <c r="T811" i="67"/>
  <c r="T50" i="67"/>
  <c r="T203" i="67"/>
  <c r="T508" i="67"/>
  <c r="AN26" i="68"/>
  <c r="M24" i="62" s="1"/>
  <c r="AS897" i="67"/>
  <c r="AS442" i="67"/>
  <c r="AS746" i="67"/>
  <c r="AS594" i="67"/>
  <c r="AS136" i="67"/>
  <c r="AS289" i="67"/>
  <c r="W913" i="67"/>
  <c r="W458" i="67"/>
  <c r="W762" i="67"/>
  <c r="W610" i="67"/>
  <c r="W305" i="67"/>
  <c r="W152" i="67"/>
  <c r="AG338" i="67"/>
  <c r="AG642" i="67"/>
  <c r="AG490" i="67"/>
  <c r="AG32" i="67"/>
  <c r="AG185" i="67"/>
  <c r="AQ660" i="67"/>
  <c r="AQ356" i="67"/>
  <c r="AQ811" i="67"/>
  <c r="AQ508" i="67"/>
  <c r="AQ50" i="67"/>
  <c r="AQ203" i="67"/>
  <c r="BK26" i="68"/>
  <c r="AJ24" i="62" s="1"/>
  <c r="X358" i="67"/>
  <c r="X662" i="67"/>
  <c r="X813" i="67"/>
  <c r="X510" i="67"/>
  <c r="X52" i="67"/>
  <c r="X205" i="67"/>
  <c r="Q340" i="67"/>
  <c r="Q492" i="67"/>
  <c r="Q644" i="67"/>
  <c r="Q795" i="67"/>
  <c r="Q34" i="67"/>
  <c r="Q187" i="67"/>
  <c r="S349" i="67"/>
  <c r="S196" i="67"/>
  <c r="S653" i="67"/>
  <c r="S501" i="67"/>
  <c r="S804" i="67"/>
  <c r="S43" i="67"/>
  <c r="Y435" i="67"/>
  <c r="Y587" i="67"/>
  <c r="Y739" i="67"/>
  <c r="Y282" i="67"/>
  <c r="Y129" i="67"/>
  <c r="Y890" i="67"/>
  <c r="AQ298" i="67"/>
  <c r="AQ145" i="67"/>
  <c r="AQ603" i="67"/>
  <c r="AQ755" i="67"/>
  <c r="AQ451" i="67"/>
  <c r="AQ906" i="67"/>
  <c r="AQ164" i="67"/>
  <c r="AQ317" i="67"/>
  <c r="AQ772" i="67"/>
  <c r="AQ11" i="67"/>
  <c r="AQ621" i="67"/>
  <c r="K330" i="67"/>
  <c r="AE13" i="68"/>
  <c r="D14" i="62" s="1"/>
  <c r="K634" i="67"/>
  <c r="K24" i="67"/>
  <c r="K482" i="67"/>
  <c r="K785" i="67"/>
  <c r="K177" i="67"/>
  <c r="K348" i="67"/>
  <c r="AE21" i="68"/>
  <c r="D21" i="62" s="1"/>
  <c r="K803" i="67"/>
  <c r="K500" i="67"/>
  <c r="K195" i="67"/>
  <c r="K652" i="67"/>
  <c r="K42" i="67"/>
  <c r="Q331" i="67"/>
  <c r="Q178" i="67"/>
  <c r="Q483" i="67"/>
  <c r="Q635" i="67"/>
  <c r="Q25" i="67"/>
  <c r="Q786" i="67"/>
  <c r="V349" i="67"/>
  <c r="V196" i="67"/>
  <c r="V653" i="67"/>
  <c r="V804" i="67"/>
  <c r="V43" i="67"/>
  <c r="V501" i="67"/>
  <c r="AM890" i="67"/>
  <c r="AM435" i="67"/>
  <c r="AM587" i="67"/>
  <c r="AM739" i="67"/>
  <c r="AM129" i="67"/>
  <c r="AM282" i="67"/>
  <c r="M451" i="67"/>
  <c r="M298" i="67"/>
  <c r="M906" i="67"/>
  <c r="M755" i="67"/>
  <c r="M145" i="67"/>
  <c r="M603" i="67"/>
  <c r="M164" i="67"/>
  <c r="M317" i="67"/>
  <c r="M621" i="67"/>
  <c r="M772" i="67"/>
  <c r="M11" i="67"/>
  <c r="BG82" i="70"/>
  <c r="BG85" i="70" s="1"/>
  <c r="BG47" i="70"/>
  <c r="AL82" i="70"/>
  <c r="AL85" i="70" s="1"/>
  <c r="AL47" i="70"/>
  <c r="BO82" i="70"/>
  <c r="BO85" i="70" s="1"/>
  <c r="BO47" i="70"/>
  <c r="BE82" i="70"/>
  <c r="BE85" i="70" s="1"/>
  <c r="BE47" i="70"/>
  <c r="AP82" i="70"/>
  <c r="AP85" i="70" s="1"/>
  <c r="AP47" i="70"/>
  <c r="BF82" i="70"/>
  <c r="BF85" i="70" s="1"/>
  <c r="BF47" i="70"/>
  <c r="AE82" i="70"/>
  <c r="AE85" i="70" s="1"/>
  <c r="AE47" i="70"/>
  <c r="AE45" i="70"/>
  <c r="AS82" i="70"/>
  <c r="AS85" i="70" s="1"/>
  <c r="AS47" i="70"/>
  <c r="AO82" i="70"/>
  <c r="AO85" i="70" s="1"/>
  <c r="AO47" i="70"/>
  <c r="AO61" i="50"/>
  <c r="AU41" i="70"/>
  <c r="AK61" i="50"/>
  <c r="AQ41" i="70"/>
  <c r="BP41" i="36"/>
  <c r="BP82" i="36" s="1"/>
  <c r="BP41" i="70"/>
  <c r="AZ82" i="70"/>
  <c r="AZ85" i="70" s="1"/>
  <c r="AZ47" i="70"/>
  <c r="BN41" i="36"/>
  <c r="BN82" i="36" s="1"/>
  <c r="BN41" i="70"/>
  <c r="BA82" i="70"/>
  <c r="BA85" i="70" s="1"/>
  <c r="BA47" i="70"/>
  <c r="AH82" i="70"/>
  <c r="AH85" i="70" s="1"/>
  <c r="AH47" i="70"/>
  <c r="BC82" i="70"/>
  <c r="BC85" i="70" s="1"/>
  <c r="BC47" i="70"/>
  <c r="AJ82" i="70"/>
  <c r="AJ85" i="70" s="1"/>
  <c r="AJ47" i="70"/>
  <c r="BB82" i="70"/>
  <c r="BB85" i="70" s="1"/>
  <c r="BB47" i="70"/>
  <c r="AK82" i="70"/>
  <c r="AK85" i="70" s="1"/>
  <c r="AK47" i="70"/>
  <c r="AM82" i="70"/>
  <c r="AM85" i="70" s="1"/>
  <c r="AM47" i="70"/>
  <c r="Z61" i="50"/>
  <c r="AF41" i="70"/>
  <c r="AP61" i="50"/>
  <c r="AV41" i="70"/>
  <c r="BI46" i="70"/>
  <c r="AG157" i="65"/>
  <c r="AG169" i="65" s="1"/>
  <c r="BI48" i="70"/>
  <c r="AR82" i="70"/>
  <c r="AR85" i="70" s="1"/>
  <c r="AR47" i="70"/>
  <c r="AT82" i="70"/>
  <c r="AT85" i="70" s="1"/>
  <c r="AT47" i="70"/>
  <c r="BD47" i="70"/>
  <c r="BD82" i="70"/>
  <c r="BD85" i="70" s="1"/>
  <c r="BB61" i="50"/>
  <c r="BH41" i="70"/>
  <c r="AG82" i="70"/>
  <c r="AG85" i="70" s="1"/>
  <c r="AG47" i="70"/>
  <c r="AI82" i="70"/>
  <c r="AI85" i="70" s="1"/>
  <c r="AI47" i="70"/>
  <c r="AW82" i="70"/>
  <c r="AW85" i="70" s="1"/>
  <c r="AW47" i="70"/>
  <c r="AY82" i="70"/>
  <c r="AY85" i="70" s="1"/>
  <c r="AY47" i="70"/>
  <c r="AN82" i="70"/>
  <c r="AN85" i="70" s="1"/>
  <c r="AN47" i="70"/>
  <c r="AX82" i="70"/>
  <c r="AX85" i="70" s="1"/>
  <c r="AX47" i="70"/>
  <c r="BL82" i="70"/>
  <c r="BL85" i="70" s="1"/>
  <c r="BL47" i="70"/>
  <c r="BD61" i="50"/>
  <c r="BJ41" i="70"/>
  <c r="BG61" i="50"/>
  <c r="BM41" i="70"/>
  <c r="BE61" i="50"/>
  <c r="BK41" i="70"/>
  <c r="BK41" i="36"/>
  <c r="BK82" i="36" s="1"/>
  <c r="AV41" i="36"/>
  <c r="AV82" i="36" s="1"/>
  <c r="BH41" i="36"/>
  <c r="BH82" i="36" s="1"/>
  <c r="AF41" i="36"/>
  <c r="AF82" i="36" s="1"/>
  <c r="BH61" i="50"/>
  <c r="BM41" i="36"/>
  <c r="BM82" i="36" s="1"/>
  <c r="BJ41" i="36"/>
  <c r="BJ82" i="36" s="1"/>
  <c r="AQ41" i="36"/>
  <c r="AQ82" i="36" s="1"/>
  <c r="BJ61" i="50"/>
  <c r="AU41" i="36"/>
  <c r="AU82" i="36" s="1"/>
  <c r="BA41" i="36"/>
  <c r="BA82" i="36" s="1"/>
  <c r="AU61" i="50"/>
  <c r="AH41" i="36"/>
  <c r="AH82" i="36" s="1"/>
  <c r="AB61" i="50"/>
  <c r="BF41" i="36"/>
  <c r="BF82" i="36" s="1"/>
  <c r="AZ61" i="50"/>
  <c r="Y61" i="50"/>
  <c r="AE41" i="36"/>
  <c r="AE82" i="36" s="1"/>
  <c r="AS41" i="36"/>
  <c r="AS82" i="36" s="1"/>
  <c r="AM61" i="50"/>
  <c r="AR61" i="50"/>
  <c r="AX41" i="36"/>
  <c r="AX82" i="36" s="1"/>
  <c r="BL41" i="36"/>
  <c r="BL82" i="36" s="1"/>
  <c r="BF61" i="50"/>
  <c r="BE41" i="36"/>
  <c r="BE82" i="36" s="1"/>
  <c r="AY61" i="50"/>
  <c r="AG41" i="36"/>
  <c r="AG82" i="36" s="1"/>
  <c r="AG85" i="36" s="1"/>
  <c r="AA61" i="50"/>
  <c r="AJ61" i="50"/>
  <c r="AP41" i="36"/>
  <c r="AP82" i="36" s="1"/>
  <c r="AC61" i="50"/>
  <c r="AI41" i="36"/>
  <c r="AI82" i="36" s="1"/>
  <c r="AW61" i="50"/>
  <c r="BC41" i="36"/>
  <c r="BC82" i="36" s="1"/>
  <c r="AF61" i="50"/>
  <c r="AL41" i="36"/>
  <c r="AL82" i="36" s="1"/>
  <c r="AJ41" i="36"/>
  <c r="AJ82" i="36" s="1"/>
  <c r="AD61" i="50"/>
  <c r="AZ41" i="36"/>
  <c r="AZ82" i="36" s="1"/>
  <c r="AT61" i="50"/>
  <c r="AV61" i="50"/>
  <c r="BB41" i="36"/>
  <c r="BB82" i="36" s="1"/>
  <c r="AT41" i="36"/>
  <c r="AT82" i="36" s="1"/>
  <c r="AN61" i="50"/>
  <c r="AK41" i="36"/>
  <c r="AK82" i="36" s="1"/>
  <c r="AE61" i="50"/>
  <c r="BI61" i="50"/>
  <c r="BO41" i="36"/>
  <c r="BO82" i="36" s="1"/>
  <c r="AG61" i="50"/>
  <c r="AM41" i="36"/>
  <c r="AM82" i="36" s="1"/>
  <c r="BD41" i="36"/>
  <c r="BD82" i="36" s="1"/>
  <c r="AX61" i="50"/>
  <c r="BA61" i="50"/>
  <c r="BG41" i="36"/>
  <c r="BG82" i="36" s="1"/>
  <c r="AR41" i="36"/>
  <c r="AR82" i="36" s="1"/>
  <c r="AL61" i="50"/>
  <c r="AW41" i="36"/>
  <c r="AW82" i="36" s="1"/>
  <c r="AQ61" i="50"/>
  <c r="AS61" i="50"/>
  <c r="AY41" i="36"/>
  <c r="AY82" i="36" s="1"/>
  <c r="AN41" i="36"/>
  <c r="AN82" i="36" s="1"/>
  <c r="AH61" i="50"/>
  <c r="AO41" i="36"/>
  <c r="AO82" i="36" s="1"/>
  <c r="AI61" i="50"/>
  <c r="AT52" i="36"/>
  <c r="AA1468" i="67" s="1"/>
  <c r="AA971" i="67" s="1"/>
  <c r="BH172" i="34"/>
  <c r="BH38" i="34"/>
  <c r="AQ173" i="34"/>
  <c r="BF6" i="34"/>
  <c r="AP158" i="34"/>
  <c r="AP172" i="34"/>
  <c r="BL157" i="34"/>
  <c r="BL38" i="34"/>
  <c r="AR38" i="34"/>
  <c r="AR18" i="34"/>
  <c r="BO158" i="34"/>
  <c r="AE50" i="36"/>
  <c r="AE20" i="34"/>
  <c r="BE38" i="34"/>
  <c r="BE50" i="36"/>
  <c r="AO18" i="34"/>
  <c r="AO6" i="34"/>
  <c r="AU19" i="34"/>
  <c r="AU38" i="34"/>
  <c r="BP173" i="34"/>
  <c r="BP174" i="34"/>
  <c r="AS4" i="34"/>
  <c r="AS52" i="36"/>
  <c r="Z1468" i="67" s="1"/>
  <c r="Z971" i="67" s="1"/>
  <c r="BK18" i="34"/>
  <c r="BK6" i="34"/>
  <c r="AI67" i="36"/>
  <c r="BB20" i="34"/>
  <c r="AL50" i="36"/>
  <c r="AL37" i="34"/>
  <c r="BD158" i="34"/>
  <c r="AD172" i="34"/>
  <c r="BA6" i="34"/>
  <c r="BA37" i="34"/>
  <c r="AK36" i="34"/>
  <c r="AK38" i="34"/>
  <c r="BJ157" i="34"/>
  <c r="BJ66" i="36"/>
  <c r="AV174" i="34"/>
  <c r="AV67" i="36"/>
  <c r="AC1483" i="67" s="1"/>
  <c r="AC986" i="67" s="1"/>
  <c r="AV36" i="34"/>
  <c r="BI6" i="34"/>
  <c r="BC6" i="34"/>
  <c r="BC4" i="34"/>
  <c r="BN67" i="36"/>
  <c r="AU1483" i="67" s="1"/>
  <c r="AU986" i="67" s="1"/>
  <c r="BN36" i="34"/>
  <c r="BN6" i="34"/>
  <c r="AX37" i="34"/>
  <c r="AH20" i="34"/>
  <c r="AH18" i="34"/>
  <c r="AZ174" i="34"/>
  <c r="AY51" i="36"/>
  <c r="AF1467" i="67" s="1"/>
  <c r="AF970" i="67" s="1"/>
  <c r="AY6" i="34"/>
  <c r="BM174" i="34"/>
  <c r="BM5" i="34"/>
  <c r="AW50" i="36"/>
  <c r="AW6" i="34"/>
  <c r="AG52" i="36"/>
  <c r="AG37" i="34"/>
  <c r="AL18" i="34"/>
  <c r="AQ172" i="34"/>
  <c r="AQ51" i="36"/>
  <c r="X1467" i="67" s="1"/>
  <c r="X970" i="67" s="1"/>
  <c r="AQ4" i="34"/>
  <c r="AQ156" i="34"/>
  <c r="AQ67" i="36"/>
  <c r="X1483" i="67" s="1"/>
  <c r="X986" i="67" s="1"/>
  <c r="AM163" i="34"/>
  <c r="AL6" i="45"/>
  <c r="AP11" i="34"/>
  <c r="AN6" i="45" s="1"/>
  <c r="AM25" i="34"/>
  <c r="AK13" i="45" s="1"/>
  <c r="AP25" i="34"/>
  <c r="AN13" i="45" s="1"/>
  <c r="AM57" i="36"/>
  <c r="AM11" i="34"/>
  <c r="AK6" i="45" s="1"/>
  <c r="AP73" i="36"/>
  <c r="AO179" i="34"/>
  <c r="AP57" i="36"/>
  <c r="AP43" i="34"/>
  <c r="AN21" i="45" s="1"/>
  <c r="AM73" i="36"/>
  <c r="AO43" i="34"/>
  <c r="AM21" i="45" s="1"/>
  <c r="AL73" i="36"/>
  <c r="AL163" i="34"/>
  <c r="AL43" i="34"/>
  <c r="AJ21" i="45" s="1"/>
  <c r="AL57" i="36"/>
  <c r="AL25" i="34"/>
  <c r="AJ13" i="45" s="1"/>
  <c r="AL11" i="34"/>
  <c r="AJ6" i="45" s="1"/>
  <c r="AO73" i="36"/>
  <c r="AO11" i="34"/>
  <c r="AM6" i="45" s="1"/>
  <c r="AO163" i="34"/>
  <c r="AW10" i="34"/>
  <c r="AO57" i="36"/>
  <c r="AO13" i="45"/>
  <c r="BP156" i="34"/>
  <c r="AU179" i="34"/>
  <c r="AH6" i="45"/>
  <c r="AO6" i="45"/>
  <c r="AT163" i="34"/>
  <c r="AU73" i="36"/>
  <c r="AI6" i="45"/>
  <c r="AU57" i="36"/>
  <c r="AU11" i="34"/>
  <c r="BA158" i="34"/>
  <c r="AH13" i="45"/>
  <c r="AU25" i="34"/>
  <c r="AS13" i="45" s="1"/>
  <c r="AH21" i="45"/>
  <c r="AU163" i="34"/>
  <c r="AL13" i="45"/>
  <c r="AL4" i="34"/>
  <c r="AM13" i="45"/>
  <c r="AS21" i="45"/>
  <c r="AT57" i="36"/>
  <c r="AT43" i="34"/>
  <c r="AR21" i="45" s="1"/>
  <c r="AT73" i="36"/>
  <c r="AT25" i="34"/>
  <c r="AR13" i="45" s="1"/>
  <c r="AL21" i="45"/>
  <c r="AT11" i="34"/>
  <c r="AR6" i="45" s="1"/>
  <c r="AU174" i="34"/>
  <c r="AU18" i="34"/>
  <c r="BF18" i="34"/>
  <c r="AK21" i="45"/>
  <c r="AR174" i="34"/>
  <c r="AO21" i="45"/>
  <c r="AQ21" i="45"/>
  <c r="AU50" i="36"/>
  <c r="BF66" i="36"/>
  <c r="BN174" i="34"/>
  <c r="AZ52" i="36"/>
  <c r="AG1468" i="67" s="1"/>
  <c r="AG971" i="67" s="1"/>
  <c r="AP13" i="45"/>
  <c r="BI172" i="34"/>
  <c r="AZ38" i="34"/>
  <c r="BO52" i="36"/>
  <c r="AV1468" i="67" s="1"/>
  <c r="AV971" i="67" s="1"/>
  <c r="AZ158" i="34"/>
  <c r="BO38" i="34"/>
  <c r="BO174" i="34"/>
  <c r="AR172" i="34"/>
  <c r="AU172" i="34"/>
  <c r="AK20" i="34"/>
  <c r="BN158" i="34"/>
  <c r="AO68" i="36"/>
  <c r="V1484" i="67" s="1"/>
  <c r="V987" i="67" s="1"/>
  <c r="AZ68" i="36"/>
  <c r="AG1484" i="67" s="1"/>
  <c r="AG987" i="67" s="1"/>
  <c r="AZ20" i="34"/>
  <c r="AU4" i="34"/>
  <c r="AU156" i="34"/>
  <c r="AK174" i="34"/>
  <c r="BO68" i="36"/>
  <c r="AV1484" i="67" s="1"/>
  <c r="AV987" i="67" s="1"/>
  <c r="BO20" i="34"/>
  <c r="AZ6" i="34"/>
  <c r="AU36" i="34"/>
  <c r="AU66" i="36"/>
  <c r="BO6" i="34"/>
  <c r="BC156" i="34"/>
  <c r="BP4" i="34"/>
  <c r="BA20" i="34"/>
  <c r="BL18" i="34"/>
  <c r="BE52" i="36"/>
  <c r="AL1468" i="67" s="1"/>
  <c r="AL971" i="67" s="1"/>
  <c r="BP50" i="36"/>
  <c r="BI38" i="34"/>
  <c r="BE20" i="34"/>
  <c r="BL156" i="34"/>
  <c r="BE174" i="34"/>
  <c r="BP172" i="34"/>
  <c r="BA38" i="34"/>
  <c r="BK36" i="34"/>
  <c r="BI20" i="34"/>
  <c r="BE68" i="36"/>
  <c r="AL1484" i="67" s="1"/>
  <c r="AL987" i="67" s="1"/>
  <c r="BE6" i="34"/>
  <c r="BP18" i="34"/>
  <c r="BA52" i="36"/>
  <c r="AH1468" i="67" s="1"/>
  <c r="AH971" i="67" s="1"/>
  <c r="BK4" i="34"/>
  <c r="AK43" i="34"/>
  <c r="AI21" i="45" s="1"/>
  <c r="BK66" i="36"/>
  <c r="AK25" i="34"/>
  <c r="AI13" i="45" s="1"/>
  <c r="AK179" i="34"/>
  <c r="AK57" i="36"/>
  <c r="AK163" i="34"/>
  <c r="AK73" i="36"/>
  <c r="AP6" i="45"/>
  <c r="AP21" i="45"/>
  <c r="AI52" i="34"/>
  <c r="AI34" i="34"/>
  <c r="AD35" i="34"/>
  <c r="AD53" i="34"/>
  <c r="AH4" i="34"/>
  <c r="AH172" i="34"/>
  <c r="AE53" i="34"/>
  <c r="AE35" i="34"/>
  <c r="BA4" i="34"/>
  <c r="AG35" i="34"/>
  <c r="AG53" i="34"/>
  <c r="AE34" i="34"/>
  <c r="AE52" i="34"/>
  <c r="AD66" i="36"/>
  <c r="AD50" i="36"/>
  <c r="AD4" i="34"/>
  <c r="AD156" i="34"/>
  <c r="AD36" i="34"/>
  <c r="AH35" i="34"/>
  <c r="AH53" i="34"/>
  <c r="BA50" i="36"/>
  <c r="AI38" i="34"/>
  <c r="AI52" i="36"/>
  <c r="AI68" i="36"/>
  <c r="AI158" i="34"/>
  <c r="AI174" i="34"/>
  <c r="AI20" i="34"/>
  <c r="AI6" i="34"/>
  <c r="AF52" i="34"/>
  <c r="AF34" i="34"/>
  <c r="AF50" i="36"/>
  <c r="AF66" i="36"/>
  <c r="AF18" i="34"/>
  <c r="AF172" i="34"/>
  <c r="AF4" i="34"/>
  <c r="AF36" i="34"/>
  <c r="AF156" i="34"/>
  <c r="AF35" i="34"/>
  <c r="AF53" i="34"/>
  <c r="AG50" i="36"/>
  <c r="AG66" i="36"/>
  <c r="AG36" i="34"/>
  <c r="AG4" i="34"/>
  <c r="AG156" i="34"/>
  <c r="AG18" i="34"/>
  <c r="AG172" i="34"/>
  <c r="AG52" i="34"/>
  <c r="AG34" i="34"/>
  <c r="AI36" i="34"/>
  <c r="AI50" i="36"/>
  <c r="AI66" i="36"/>
  <c r="AI156" i="34"/>
  <c r="AI4" i="34"/>
  <c r="AI18" i="34"/>
  <c r="AI172" i="34"/>
  <c r="AE4" i="34"/>
  <c r="AF52" i="36"/>
  <c r="AF68" i="36"/>
  <c r="AF38" i="34"/>
  <c r="AF158" i="34"/>
  <c r="AF20" i="34"/>
  <c r="AF6" i="34"/>
  <c r="AF174" i="34"/>
  <c r="AH52" i="36"/>
  <c r="AH68" i="36"/>
  <c r="AH6" i="34"/>
  <c r="AH174" i="34"/>
  <c r="AH38" i="34"/>
  <c r="AI53" i="34"/>
  <c r="AI35" i="34"/>
  <c r="AH52" i="34"/>
  <c r="AH34" i="34"/>
  <c r="AD34" i="34"/>
  <c r="AD52" i="34"/>
  <c r="AQ6" i="45"/>
  <c r="AQ13" i="45"/>
  <c r="AR6" i="34"/>
  <c r="AU68" i="36"/>
  <c r="AB1484" i="67" s="1"/>
  <c r="AB987" i="67" s="1"/>
  <c r="AU20" i="34"/>
  <c r="AO4" i="34"/>
  <c r="AO172" i="34"/>
  <c r="BF156" i="34"/>
  <c r="BF50" i="36"/>
  <c r="AV158" i="34"/>
  <c r="AR52" i="36"/>
  <c r="Y1468" i="67" s="1"/>
  <c r="Y971" i="67" s="1"/>
  <c r="AR158" i="34"/>
  <c r="AU6" i="34"/>
  <c r="AU158" i="34"/>
  <c r="AO36" i="34"/>
  <c r="AO50" i="36"/>
  <c r="BF36" i="34"/>
  <c r="AV68" i="36"/>
  <c r="AC1484" i="67" s="1"/>
  <c r="AC987" i="67" s="1"/>
  <c r="AV20" i="34"/>
  <c r="AR68" i="36"/>
  <c r="Y1484" i="67" s="1"/>
  <c r="Y987" i="67" s="1"/>
  <c r="AO66" i="36"/>
  <c r="BF4" i="34"/>
  <c r="BF172" i="34"/>
  <c r="AV52" i="36"/>
  <c r="AC1468" i="67" s="1"/>
  <c r="AC971" i="67" s="1"/>
  <c r="AV38" i="34"/>
  <c r="AI113" i="34"/>
  <c r="AH113" i="34"/>
  <c r="AG113" i="34"/>
  <c r="AD73" i="36"/>
  <c r="AD57" i="36"/>
  <c r="AD11" i="34"/>
  <c r="AB6" i="45" s="1"/>
  <c r="AD163" i="34"/>
  <c r="AD43" i="34"/>
  <c r="AB21" i="45" s="1"/>
  <c r="AD25" i="34"/>
  <c r="AB13" i="45" s="1"/>
  <c r="AD179" i="34"/>
  <c r="AI97" i="34"/>
  <c r="AF57" i="36"/>
  <c r="AF73" i="36"/>
  <c r="AF179" i="34"/>
  <c r="AF43" i="34"/>
  <c r="AD21" i="45" s="1"/>
  <c r="AF25" i="34"/>
  <c r="AD13" i="45" s="1"/>
  <c r="AF11" i="34"/>
  <c r="AD6" i="45" s="1"/>
  <c r="AF163" i="34"/>
  <c r="AH97" i="34"/>
  <c r="AG57" i="36"/>
  <c r="AG73" i="36"/>
  <c r="AG43" i="34"/>
  <c r="AE21" i="45" s="1"/>
  <c r="AG25" i="34"/>
  <c r="AE13" i="45" s="1"/>
  <c r="AG163" i="34"/>
  <c r="AG11" i="34"/>
  <c r="AE6" i="45" s="1"/>
  <c r="AG179" i="34"/>
  <c r="AE113" i="34"/>
  <c r="AD113" i="34"/>
  <c r="AF113" i="34"/>
  <c r="AE97" i="34"/>
  <c r="AW158" i="34"/>
  <c r="AD97" i="34"/>
  <c r="AI73" i="36"/>
  <c r="AI57" i="36"/>
  <c r="AI43" i="34"/>
  <c r="AG21" i="45" s="1"/>
  <c r="AI11" i="34"/>
  <c r="AG6" i="45" s="1"/>
  <c r="AI25" i="34"/>
  <c r="AG13" i="45" s="1"/>
  <c r="AI163" i="34"/>
  <c r="AI179" i="34"/>
  <c r="AF97" i="34"/>
  <c r="AH57" i="36"/>
  <c r="AH73" i="36"/>
  <c r="AH43" i="34"/>
  <c r="AF21" i="45" s="1"/>
  <c r="AH11" i="34"/>
  <c r="AF6" i="45" s="1"/>
  <c r="AH25" i="34"/>
  <c r="AF13" i="45" s="1"/>
  <c r="AH163" i="34"/>
  <c r="AH179" i="34"/>
  <c r="AG97" i="34"/>
  <c r="AE57" i="36"/>
  <c r="AE73" i="36"/>
  <c r="AE43" i="34"/>
  <c r="AC21" i="45" s="1"/>
  <c r="AE163" i="34"/>
  <c r="AE25" i="34"/>
  <c r="AC13" i="45" s="1"/>
  <c r="AE179" i="34"/>
  <c r="AE11" i="34"/>
  <c r="AC6" i="45" s="1"/>
  <c r="BA66" i="36"/>
  <c r="BD52" i="36"/>
  <c r="AK1468" i="67" s="1"/>
  <c r="AK971" i="67" s="1"/>
  <c r="BA174" i="34"/>
  <c r="BA36" i="34"/>
  <c r="BA172" i="34"/>
  <c r="BK156" i="34"/>
  <c r="BK50" i="36"/>
  <c r="BD6" i="34"/>
  <c r="BE158" i="34"/>
  <c r="BI18" i="34"/>
  <c r="BP36" i="34"/>
  <c r="BP66" i="36"/>
  <c r="BM18" i="34"/>
  <c r="BA68" i="36"/>
  <c r="AH1484" i="67" s="1"/>
  <c r="AH987" i="67" s="1"/>
  <c r="BA156" i="34"/>
  <c r="BA18" i="34"/>
  <c r="BK172" i="34"/>
  <c r="BD50" i="36"/>
  <c r="BI66" i="36"/>
  <c r="BK52" i="36"/>
  <c r="AR1468" i="67" s="1"/>
  <c r="AR971" i="67" s="1"/>
  <c r="BN38" i="34"/>
  <c r="BD4" i="34"/>
  <c r="BI36" i="34"/>
  <c r="BI4" i="34"/>
  <c r="AW20" i="34"/>
  <c r="AW174" i="34"/>
  <c r="BK68" i="36"/>
  <c r="AR1484" i="67" s="1"/>
  <c r="AR987" i="67" s="1"/>
  <c r="BK20" i="34"/>
  <c r="BE51" i="36"/>
  <c r="AL1467" i="67" s="1"/>
  <c r="AL970" i="67" s="1"/>
  <c r="BI156" i="34"/>
  <c r="BI50" i="36"/>
  <c r="AW38" i="34"/>
  <c r="BK174" i="34"/>
  <c r="BK38" i="34"/>
  <c r="BF19" i="34"/>
  <c r="BN68" i="36"/>
  <c r="AU1484" i="67" s="1"/>
  <c r="AU987" i="67" s="1"/>
  <c r="BN20" i="34"/>
  <c r="BN52" i="36"/>
  <c r="AU1468" i="67" s="1"/>
  <c r="AU971" i="67" s="1"/>
  <c r="AW68" i="36"/>
  <c r="AD1484" i="67" s="1"/>
  <c r="AD987" i="67" s="1"/>
  <c r="BL66" i="36"/>
  <c r="BL172" i="34"/>
  <c r="BN19" i="34"/>
  <c r="BH36" i="34"/>
  <c r="BL36" i="34"/>
  <c r="BC18" i="34"/>
  <c r="BD174" i="34"/>
  <c r="BD38" i="34"/>
  <c r="BL4" i="34"/>
  <c r="BL50" i="36"/>
  <c r="BC172" i="34"/>
  <c r="BC50" i="36"/>
  <c r="BN37" i="34"/>
  <c r="BH4" i="34"/>
  <c r="BD68" i="36"/>
  <c r="AK1484" i="67" s="1"/>
  <c r="AK987" i="67" s="1"/>
  <c r="BD20" i="34"/>
  <c r="BC36" i="34"/>
  <c r="AP6" i="34"/>
  <c r="BH18" i="34"/>
  <c r="BL67" i="36"/>
  <c r="AS1483" i="67" s="1"/>
  <c r="AS986" i="67" s="1"/>
  <c r="BL37" i="34"/>
  <c r="BL173" i="34"/>
  <c r="BL51" i="36"/>
  <c r="AS1467" i="67" s="1"/>
  <c r="AS970" i="67" s="1"/>
  <c r="BL19" i="34"/>
  <c r="BL5" i="34"/>
  <c r="BM19" i="34"/>
  <c r="BI174" i="34"/>
  <c r="BD66" i="36"/>
  <c r="BM4" i="34"/>
  <c r="BM172" i="34"/>
  <c r="AP38" i="34"/>
  <c r="AT20" i="34"/>
  <c r="AT68" i="36"/>
  <c r="AA1484" i="67" s="1"/>
  <c r="AA987" i="67" s="1"/>
  <c r="AT6" i="34"/>
  <c r="AT38" i="34"/>
  <c r="AT174" i="34"/>
  <c r="BI68" i="36"/>
  <c r="AP1484" i="67" s="1"/>
  <c r="AP987" i="67" s="1"/>
  <c r="BI158" i="34"/>
  <c r="BD18" i="34"/>
  <c r="BD156" i="34"/>
  <c r="BM36" i="34"/>
  <c r="BM66" i="36"/>
  <c r="AP20" i="34"/>
  <c r="BI52" i="36"/>
  <c r="AP1468" i="67" s="1"/>
  <c r="AP971" i="67" s="1"/>
  <c r="BD36" i="34"/>
  <c r="BD172" i="34"/>
  <c r="BM156" i="34"/>
  <c r="BM50" i="36"/>
  <c r="AT156" i="34"/>
  <c r="AT172" i="34"/>
  <c r="AT50" i="36"/>
  <c r="AT4" i="34"/>
  <c r="AT66" i="36"/>
  <c r="AT36" i="34"/>
  <c r="AT18" i="34"/>
  <c r="AV42" i="34"/>
  <c r="AT6" i="45"/>
  <c r="AT5" i="34"/>
  <c r="AT173" i="34"/>
  <c r="AT67" i="36"/>
  <c r="AA1483" i="67" s="1"/>
  <c r="AA986" i="67" s="1"/>
  <c r="AT37" i="34"/>
  <c r="AT157" i="34"/>
  <c r="AT51" i="36"/>
  <c r="AA1467" i="67" s="1"/>
  <c r="AA970" i="67" s="1"/>
  <c r="AT19" i="34"/>
  <c r="AV157" i="34"/>
  <c r="AV178" i="34"/>
  <c r="AV72" i="36"/>
  <c r="AV24" i="34"/>
  <c r="AK37" i="34"/>
  <c r="AK173" i="34"/>
  <c r="AK51" i="36"/>
  <c r="AS5" i="34"/>
  <c r="AS36" i="34"/>
  <c r="AS18" i="34"/>
  <c r="AS172" i="34"/>
  <c r="AS156" i="34"/>
  <c r="AV5" i="34"/>
  <c r="AV37" i="34"/>
  <c r="AV51" i="36"/>
  <c r="AC1467" i="67" s="1"/>
  <c r="AC970" i="67" s="1"/>
  <c r="AV19" i="34"/>
  <c r="AL49" i="34"/>
  <c r="AJ25" i="45" s="1"/>
  <c r="AL31" i="34"/>
  <c r="AJ17" i="45" s="1"/>
  <c r="AL169" i="34"/>
  <c r="AL185" i="34"/>
  <c r="AL17" i="34"/>
  <c r="AJ10" i="45" s="1"/>
  <c r="AL79" i="36"/>
  <c r="AL63" i="36"/>
  <c r="BC34" i="34"/>
  <c r="BC52" i="34"/>
  <c r="AN49" i="34"/>
  <c r="AL25" i="45" s="1"/>
  <c r="AN31" i="34"/>
  <c r="AL17" i="45" s="1"/>
  <c r="AN169" i="34"/>
  <c r="AN185" i="34"/>
  <c r="AN63" i="36"/>
  <c r="AN17" i="34"/>
  <c r="AL10" i="45" s="1"/>
  <c r="AN79" i="36"/>
  <c r="AV49" i="34"/>
  <c r="AT25" i="45" s="1"/>
  <c r="AV31" i="34"/>
  <c r="AT17" i="45" s="1"/>
  <c r="AV17" i="34"/>
  <c r="AT10" i="45" s="1"/>
  <c r="AV169" i="34"/>
  <c r="AV185" i="34"/>
  <c r="AV79" i="36"/>
  <c r="AV63" i="36"/>
  <c r="AN53" i="34"/>
  <c r="AN35" i="34"/>
  <c r="AW52" i="34"/>
  <c r="AW34" i="34"/>
  <c r="AJ52" i="34"/>
  <c r="AJ34" i="34"/>
  <c r="AR53" i="34"/>
  <c r="AR35" i="34"/>
  <c r="AS19" i="34"/>
  <c r="AS173" i="34"/>
  <c r="AS157" i="34"/>
  <c r="AS37" i="34"/>
  <c r="AS67" i="36"/>
  <c r="Z1483" i="67" s="1"/>
  <c r="Z986" i="67" s="1"/>
  <c r="AS51" i="36"/>
  <c r="Z1467" i="67" s="1"/>
  <c r="Z970" i="67" s="1"/>
  <c r="BM53" i="34"/>
  <c r="BM35" i="34"/>
  <c r="AY34" i="34"/>
  <c r="AY52" i="34"/>
  <c r="BM52" i="34"/>
  <c r="BM34" i="34"/>
  <c r="BE53" i="34"/>
  <c r="BE35" i="34"/>
  <c r="AM53" i="34"/>
  <c r="AM35" i="34"/>
  <c r="AU52" i="34"/>
  <c r="AU34" i="34"/>
  <c r="AL34" i="34"/>
  <c r="AL52" i="34"/>
  <c r="BK53" i="34"/>
  <c r="BK35" i="34"/>
  <c r="AK31" i="34"/>
  <c r="AI17" i="45" s="1"/>
  <c r="AK169" i="34"/>
  <c r="AK17" i="34"/>
  <c r="AI10" i="45" s="1"/>
  <c r="AK185" i="34"/>
  <c r="AK49" i="34"/>
  <c r="AI25" i="45" s="1"/>
  <c r="AK63" i="36"/>
  <c r="AK79" i="36"/>
  <c r="AJ53" i="34"/>
  <c r="AJ35" i="34"/>
  <c r="BL34" i="34"/>
  <c r="BL52" i="34"/>
  <c r="BO173" i="34"/>
  <c r="BO19" i="34"/>
  <c r="BO37" i="34"/>
  <c r="BO157" i="34"/>
  <c r="BO5" i="34"/>
  <c r="BO67" i="36"/>
  <c r="AV1483" i="67" s="1"/>
  <c r="AV986" i="67" s="1"/>
  <c r="BO51" i="36"/>
  <c r="AV1467" i="67" s="1"/>
  <c r="AV970" i="67" s="1"/>
  <c r="BB52" i="34"/>
  <c r="BB34" i="34"/>
  <c r="BA53" i="34"/>
  <c r="BA35" i="34"/>
  <c r="AS52" i="34"/>
  <c r="AS34" i="34"/>
  <c r="BH37" i="34"/>
  <c r="BH19" i="34"/>
  <c r="BH5" i="34"/>
  <c r="BH157" i="34"/>
  <c r="BH173" i="34"/>
  <c r="BH51" i="36"/>
  <c r="AO1467" i="67" s="1"/>
  <c r="AO970" i="67" s="1"/>
  <c r="BH67" i="36"/>
  <c r="AO1483" i="67" s="1"/>
  <c r="AO986" i="67" s="1"/>
  <c r="AZ34" i="34"/>
  <c r="AZ52" i="34"/>
  <c r="BI53" i="34"/>
  <c r="BI35" i="34"/>
  <c r="BF34" i="34"/>
  <c r="BF52" i="34"/>
  <c r="AV53" i="34"/>
  <c r="AV35" i="34"/>
  <c r="AK52" i="34"/>
  <c r="AK34" i="34"/>
  <c r="BA52" i="34"/>
  <c r="BA34" i="34"/>
  <c r="AP169" i="34"/>
  <c r="AP31" i="34"/>
  <c r="AN17" i="45" s="1"/>
  <c r="AP185" i="34"/>
  <c r="AP49" i="34"/>
  <c r="AN25" i="45" s="1"/>
  <c r="AP17" i="34"/>
  <c r="AN10" i="45" s="1"/>
  <c r="AP79" i="36"/>
  <c r="AP63" i="36"/>
  <c r="AT49" i="34"/>
  <c r="AR25" i="45" s="1"/>
  <c r="AT17" i="34"/>
  <c r="AR10" i="45" s="1"/>
  <c r="AT31" i="34"/>
  <c r="AR17" i="45" s="1"/>
  <c r="AT169" i="34"/>
  <c r="AT185" i="34"/>
  <c r="AT79" i="36"/>
  <c r="AT63" i="36"/>
  <c r="BG52" i="34"/>
  <c r="BG34" i="34"/>
  <c r="AS49" i="34"/>
  <c r="AQ25" i="45" s="1"/>
  <c r="AS31" i="34"/>
  <c r="AQ17" i="45" s="1"/>
  <c r="AS169" i="34"/>
  <c r="AS185" i="34"/>
  <c r="AS17" i="34"/>
  <c r="AQ10" i="45" s="1"/>
  <c r="AS63" i="36"/>
  <c r="AS79" i="36"/>
  <c r="AP53" i="34"/>
  <c r="AP35" i="34"/>
  <c r="AY53" i="34"/>
  <c r="AY35" i="34"/>
  <c r="BK34" i="34"/>
  <c r="BK52" i="34"/>
  <c r="BL53" i="34"/>
  <c r="BL35" i="34"/>
  <c r="BP53" i="34"/>
  <c r="BP35" i="34"/>
  <c r="AR169" i="34"/>
  <c r="AR31" i="34"/>
  <c r="AP17" i="45" s="1"/>
  <c r="AR185" i="34"/>
  <c r="AR49" i="34"/>
  <c r="AP25" i="45" s="1"/>
  <c r="AR17" i="34"/>
  <c r="AP10" i="45" s="1"/>
  <c r="AR79" i="36"/>
  <c r="AR63" i="36"/>
  <c r="AX34" i="34"/>
  <c r="AX52" i="34"/>
  <c r="BH53" i="34"/>
  <c r="BH35" i="34"/>
  <c r="BP37" i="34"/>
  <c r="BP19" i="34"/>
  <c r="BP157" i="34"/>
  <c r="BP5" i="34"/>
  <c r="BP67" i="36"/>
  <c r="AW1483" i="67" s="1"/>
  <c r="AW986" i="67" s="1"/>
  <c r="AY173" i="34"/>
  <c r="AY5" i="34"/>
  <c r="AY37" i="34"/>
  <c r="AY157" i="34"/>
  <c r="AY67" i="36"/>
  <c r="AF1483" i="67" s="1"/>
  <c r="AF986" i="67" s="1"/>
  <c r="AY19" i="34"/>
  <c r="AO185" i="34"/>
  <c r="AO17" i="34"/>
  <c r="AM10" i="45" s="1"/>
  <c r="AO169" i="34"/>
  <c r="AO49" i="34"/>
  <c r="AM25" i="45" s="1"/>
  <c r="AO31" i="34"/>
  <c r="AM17" i="45" s="1"/>
  <c r="AO63" i="36"/>
  <c r="AO79" i="36"/>
  <c r="AR52" i="34"/>
  <c r="AR34" i="34"/>
  <c r="AQ53" i="34"/>
  <c r="AQ35" i="34"/>
  <c r="BD53" i="34"/>
  <c r="BD35" i="34"/>
  <c r="BC53" i="34"/>
  <c r="BC35" i="34"/>
  <c r="AX53" i="34"/>
  <c r="AX35" i="34"/>
  <c r="BA19" i="34"/>
  <c r="BA173" i="34"/>
  <c r="BA5" i="34"/>
  <c r="BA157" i="34"/>
  <c r="BA51" i="36"/>
  <c r="AH1467" i="67" s="1"/>
  <c r="AH970" i="67" s="1"/>
  <c r="BA67" i="36"/>
  <c r="AH1483" i="67" s="1"/>
  <c r="AH986" i="67" s="1"/>
  <c r="AM169" i="34"/>
  <c r="AM31" i="34"/>
  <c r="AK17" i="45" s="1"/>
  <c r="AM185" i="34"/>
  <c r="AM49" i="34"/>
  <c r="AK25" i="45" s="1"/>
  <c r="AM17" i="34"/>
  <c r="AK10" i="45" s="1"/>
  <c r="AM63" i="36"/>
  <c r="AM79" i="36"/>
  <c r="AJ185" i="34"/>
  <c r="AJ31" i="34"/>
  <c r="AH17" i="45" s="1"/>
  <c r="AJ49" i="34"/>
  <c r="AH25" i="45" s="1"/>
  <c r="AJ17" i="34"/>
  <c r="AH10" i="45" s="1"/>
  <c r="AJ169" i="34"/>
  <c r="AJ63" i="36"/>
  <c r="AJ79" i="36"/>
  <c r="AQ34" i="34"/>
  <c r="AQ52" i="34"/>
  <c r="AS53" i="34"/>
  <c r="AS35" i="34"/>
  <c r="AQ49" i="34"/>
  <c r="AO25" i="45" s="1"/>
  <c r="AQ31" i="34"/>
  <c r="AO17" i="45" s="1"/>
  <c r="AQ17" i="34"/>
  <c r="AO10" i="45" s="1"/>
  <c r="AQ185" i="34"/>
  <c r="AQ169" i="34"/>
  <c r="AQ63" i="36"/>
  <c r="AQ79" i="36"/>
  <c r="AW53" i="34"/>
  <c r="AW35" i="34"/>
  <c r="BB53" i="34"/>
  <c r="BB35" i="34"/>
  <c r="AM34" i="34"/>
  <c r="AM52" i="34"/>
  <c r="AT34" i="34"/>
  <c r="AT52" i="34"/>
  <c r="AL53" i="34"/>
  <c r="AL35" i="34"/>
  <c r="AN34" i="34"/>
  <c r="AN52" i="34"/>
  <c r="AO52" i="34"/>
  <c r="AO34" i="34"/>
  <c r="AO53" i="34"/>
  <c r="AO35" i="34"/>
  <c r="BD34" i="34"/>
  <c r="BD52" i="34"/>
  <c r="BE52" i="34"/>
  <c r="BE34" i="34"/>
  <c r="BO52" i="34"/>
  <c r="BO34" i="34"/>
  <c r="AT53" i="34"/>
  <c r="AT35" i="34"/>
  <c r="AU169" i="34"/>
  <c r="AU31" i="34"/>
  <c r="AS17" i="45" s="1"/>
  <c r="AU49" i="34"/>
  <c r="AS25" i="45" s="1"/>
  <c r="AU17" i="34"/>
  <c r="AS10" i="45" s="1"/>
  <c r="AU185" i="34"/>
  <c r="AU63" i="36"/>
  <c r="AU79" i="36"/>
  <c r="AK53" i="34"/>
  <c r="AK35" i="34"/>
  <c r="BH34" i="34"/>
  <c r="BH52" i="34"/>
  <c r="AP52" i="34"/>
  <c r="AP34" i="34"/>
  <c r="AU53" i="34"/>
  <c r="AU35" i="34"/>
  <c r="BJ37" i="34"/>
  <c r="BJ5" i="34"/>
  <c r="BJ19" i="34"/>
  <c r="BJ51" i="36"/>
  <c r="AQ1467" i="67" s="1"/>
  <c r="AQ970" i="67" s="1"/>
  <c r="BJ67" i="36"/>
  <c r="AQ1483" i="67" s="1"/>
  <c r="AQ986" i="67" s="1"/>
  <c r="AZ53" i="34"/>
  <c r="AZ35" i="34"/>
  <c r="BF37" i="34"/>
  <c r="AV52" i="34"/>
  <c r="AV34" i="34"/>
  <c r="BN52" i="34"/>
  <c r="BN34" i="34"/>
  <c r="BG53" i="34"/>
  <c r="BG35" i="34"/>
  <c r="BI52" i="34"/>
  <c r="BI34" i="34"/>
  <c r="BJ52" i="34"/>
  <c r="BJ34" i="34"/>
  <c r="BP34" i="34"/>
  <c r="BP52" i="34"/>
  <c r="BF53" i="34"/>
  <c r="BF35" i="34"/>
  <c r="BO53" i="34"/>
  <c r="BO35" i="34"/>
  <c r="BN53" i="34"/>
  <c r="BN35" i="34"/>
  <c r="BJ53" i="34"/>
  <c r="BJ35" i="34"/>
  <c r="N1248" i="67" l="1"/>
  <c r="AS1352" i="67"/>
  <c r="T1266" i="67"/>
  <c r="AT1268" i="67"/>
  <c r="K1241" i="67"/>
  <c r="W1248" i="67"/>
  <c r="AI1266" i="67"/>
  <c r="AB1250" i="67"/>
  <c r="AF1248" i="67"/>
  <c r="X1266" i="67"/>
  <c r="K1251" i="67"/>
  <c r="Q1268" i="67"/>
  <c r="K1344" i="67"/>
  <c r="K1227" i="67"/>
  <c r="AR1266" i="67"/>
  <c r="X1248" i="67"/>
  <c r="K1345" i="67"/>
  <c r="AL1268" i="67"/>
  <c r="AW1268" i="67"/>
  <c r="AJ1248" i="67"/>
  <c r="AK1248" i="67"/>
  <c r="R1368" i="67"/>
  <c r="AT1248" i="67"/>
  <c r="K1240" i="67"/>
  <c r="AG1248" i="67"/>
  <c r="AI1248" i="67"/>
  <c r="AP1248" i="67"/>
  <c r="AR1250" i="67"/>
  <c r="AC1248" i="67"/>
  <c r="AU1248" i="67"/>
  <c r="AK1352" i="67"/>
  <c r="P1250" i="67"/>
  <c r="AF1266" i="67"/>
  <c r="Y1250" i="67"/>
  <c r="U1248" i="67"/>
  <c r="AC1368" i="67"/>
  <c r="AE1248" i="67"/>
  <c r="AF1352" i="67"/>
  <c r="Y1268" i="67"/>
  <c r="AB1248" i="67"/>
  <c r="AW1248" i="67"/>
  <c r="AV1250" i="67"/>
  <c r="AA1248" i="67"/>
  <c r="V1248" i="67"/>
  <c r="S1368" i="67"/>
  <c r="O1352" i="67"/>
  <c r="N1250" i="67"/>
  <c r="K1360" i="67"/>
  <c r="AS1266" i="67"/>
  <c r="AQ1248" i="67"/>
  <c r="L1250" i="67"/>
  <c r="K1258" i="67"/>
  <c r="AK1268" i="67"/>
  <c r="AN1248" i="67"/>
  <c r="K1259" i="67"/>
  <c r="AJ1266" i="67"/>
  <c r="AR1248" i="67"/>
  <c r="V1268" i="67"/>
  <c r="K1226" i="67"/>
  <c r="AE6" i="68" s="1"/>
  <c r="D8" i="62" s="1"/>
  <c r="AQ1352" i="67"/>
  <c r="AH1268" i="67"/>
  <c r="AV1248" i="67"/>
  <c r="AO1248" i="67"/>
  <c r="P1266" i="67"/>
  <c r="V1250" i="67"/>
  <c r="K1250" i="67"/>
  <c r="AC1352" i="67"/>
  <c r="Z1268" i="67"/>
  <c r="AB1352" i="67"/>
  <c r="AG1268" i="67"/>
  <c r="AS1248" i="67"/>
  <c r="AR1368" i="67"/>
  <c r="AQ1250" i="67"/>
  <c r="AN1250" i="67"/>
  <c r="S1266" i="67"/>
  <c r="M1368" i="67"/>
  <c r="AD1248" i="67"/>
  <c r="AU1268" i="67"/>
  <c r="P1352" i="67"/>
  <c r="AL1250" i="67"/>
  <c r="AM1248" i="67"/>
  <c r="K1361" i="67"/>
  <c r="U1268" i="67"/>
  <c r="AA1266" i="67"/>
  <c r="AL1248" i="67"/>
  <c r="S1248" i="67"/>
  <c r="O1248" i="67"/>
  <c r="AH1352" i="67"/>
  <c r="AK1368" i="67"/>
  <c r="AN1268" i="67"/>
  <c r="V1368" i="67"/>
  <c r="AF1268" i="67"/>
  <c r="AV1266" i="67"/>
  <c r="Y1248" i="67"/>
  <c r="X1250" i="67"/>
  <c r="T1248" i="67"/>
  <c r="Z1248" i="67"/>
  <c r="AH1248" i="67"/>
  <c r="Q1266" i="67"/>
  <c r="AP1466" i="67"/>
  <c r="AP969" i="67" s="1"/>
  <c r="AP1482" i="67"/>
  <c r="AP985" i="67" s="1"/>
  <c r="AE114" i="34"/>
  <c r="L1489" i="67"/>
  <c r="AH114" i="34"/>
  <c r="O1489" i="67"/>
  <c r="AF93" i="34"/>
  <c r="M1468" i="67"/>
  <c r="M971" i="67" s="1"/>
  <c r="AH1466" i="67"/>
  <c r="AH969" i="67" s="1"/>
  <c r="AO98" i="34"/>
  <c r="V1473" i="67"/>
  <c r="AP114" i="34"/>
  <c r="W1489" i="67"/>
  <c r="K393" i="67"/>
  <c r="K848" i="67"/>
  <c r="K87" i="67"/>
  <c r="K240" i="67"/>
  <c r="K545" i="67"/>
  <c r="K697" i="67"/>
  <c r="U690" i="67"/>
  <c r="U80" i="67"/>
  <c r="U386" i="67"/>
  <c r="U538" i="67"/>
  <c r="U233" i="67"/>
  <c r="U841" i="67"/>
  <c r="T695" i="67"/>
  <c r="T391" i="67"/>
  <c r="T846" i="67"/>
  <c r="T85" i="67"/>
  <c r="T238" i="67"/>
  <c r="T543" i="67"/>
  <c r="T393" i="67"/>
  <c r="T848" i="67"/>
  <c r="T87" i="67"/>
  <c r="T240" i="67"/>
  <c r="T545" i="67"/>
  <c r="T697" i="67"/>
  <c r="AP394" i="67"/>
  <c r="AP546" i="67"/>
  <c r="AP849" i="67"/>
  <c r="AP88" i="67"/>
  <c r="AP698" i="67"/>
  <c r="AP241" i="67"/>
  <c r="W385" i="67"/>
  <c r="W689" i="67"/>
  <c r="W537" i="67"/>
  <c r="W840" i="67"/>
  <c r="W79" i="67"/>
  <c r="W232" i="67"/>
  <c r="AA393" i="67"/>
  <c r="AA848" i="67"/>
  <c r="AA545" i="67"/>
  <c r="AA697" i="67"/>
  <c r="AA87" i="67"/>
  <c r="AA240" i="67"/>
  <c r="AD378" i="67"/>
  <c r="AD72" i="67"/>
  <c r="AD225" i="67"/>
  <c r="AD833" i="67"/>
  <c r="AD530" i="67"/>
  <c r="AJ698" i="67"/>
  <c r="AJ394" i="67"/>
  <c r="AJ546" i="67"/>
  <c r="AJ88" i="67"/>
  <c r="AJ849" i="67"/>
  <c r="AJ241" i="67"/>
  <c r="AG393" i="67"/>
  <c r="AG848" i="67"/>
  <c r="AG545" i="67"/>
  <c r="AG87" i="67"/>
  <c r="AG697" i="67"/>
  <c r="AG240" i="67"/>
  <c r="AQ120" i="34"/>
  <c r="X1495" i="67"/>
  <c r="X1149" i="67"/>
  <c r="X998" i="67"/>
  <c r="AP104" i="34"/>
  <c r="W1479" i="67"/>
  <c r="W1133" i="67"/>
  <c r="W982" i="67"/>
  <c r="AL104" i="34"/>
  <c r="S1479" i="67"/>
  <c r="S1133" i="67"/>
  <c r="S982" i="67"/>
  <c r="AV113" i="34"/>
  <c r="AC1488" i="67"/>
  <c r="AK1466" i="67"/>
  <c r="AK969" i="67" s="1"/>
  <c r="AE98" i="34"/>
  <c r="L1473" i="67"/>
  <c r="AH98" i="34"/>
  <c r="O1473" i="67"/>
  <c r="AI114" i="34"/>
  <c r="P1489" i="67"/>
  <c r="AG114" i="34"/>
  <c r="N1489" i="67"/>
  <c r="AF114" i="34"/>
  <c r="M1489" i="67"/>
  <c r="AD98" i="34"/>
  <c r="K1473" i="67"/>
  <c r="K1127" i="67"/>
  <c r="K976" i="67"/>
  <c r="AH93" i="34"/>
  <c r="O1468" i="67"/>
  <c r="O971" i="67" s="1"/>
  <c r="AG91" i="34"/>
  <c r="N1466" i="67"/>
  <c r="N969" i="67" s="1"/>
  <c r="AF107" i="34"/>
  <c r="M1482" i="67"/>
  <c r="M985" i="67" s="1"/>
  <c r="AI109" i="34"/>
  <c r="P1484" i="67"/>
  <c r="P987" i="67" s="1"/>
  <c r="AK98" i="34"/>
  <c r="R1473" i="67"/>
  <c r="AU114" i="34"/>
  <c r="AB1489" i="67"/>
  <c r="AD1466" i="67"/>
  <c r="AD969" i="67" s="1"/>
  <c r="AL1466" i="67"/>
  <c r="AL969" i="67" s="1"/>
  <c r="Q1250" i="67"/>
  <c r="W1368" i="67"/>
  <c r="AI1250" i="67"/>
  <c r="M1248" i="67"/>
  <c r="L1268" i="67"/>
  <c r="O1368" i="67"/>
  <c r="P1248" i="67"/>
  <c r="U1352" i="67"/>
  <c r="M1250" i="67"/>
  <c r="AW1250" i="67"/>
  <c r="Z1250" i="67"/>
  <c r="AS1268" i="67"/>
  <c r="AC1250" i="67"/>
  <c r="AQ1268" i="67"/>
  <c r="AL1266" i="67"/>
  <c r="N377" i="67"/>
  <c r="N529" i="67"/>
  <c r="N832" i="67"/>
  <c r="N71" i="67"/>
  <c r="N224" i="67"/>
  <c r="AW378" i="67"/>
  <c r="AW833" i="67"/>
  <c r="AW530" i="67"/>
  <c r="AW72" i="67"/>
  <c r="AW225" i="67"/>
  <c r="AN832" i="67"/>
  <c r="AN377" i="67"/>
  <c r="AN529" i="67"/>
  <c r="AN71" i="67"/>
  <c r="AN224" i="67"/>
  <c r="AC393" i="67"/>
  <c r="AC848" i="67"/>
  <c r="AC545" i="67"/>
  <c r="AC87" i="67"/>
  <c r="AC697" i="67"/>
  <c r="AC240" i="67"/>
  <c r="AH393" i="67"/>
  <c r="AH848" i="67"/>
  <c r="AH545" i="67"/>
  <c r="AH697" i="67"/>
  <c r="AH87" i="67"/>
  <c r="AH240" i="67"/>
  <c r="AL546" i="67"/>
  <c r="AL394" i="67"/>
  <c r="AL88" i="67"/>
  <c r="AL698" i="67"/>
  <c r="AL849" i="67"/>
  <c r="AL241" i="67"/>
  <c r="AF832" i="67"/>
  <c r="AF377" i="67"/>
  <c r="AF529" i="67"/>
  <c r="AF71" i="67"/>
  <c r="AF224" i="67"/>
  <c r="W377" i="67"/>
  <c r="W529" i="67"/>
  <c r="W832" i="67"/>
  <c r="W71" i="67"/>
  <c r="W224" i="67"/>
  <c r="AD393" i="67"/>
  <c r="AD848" i="67"/>
  <c r="AD87" i="67"/>
  <c r="AD240" i="67"/>
  <c r="AD545" i="67"/>
  <c r="AD697" i="67"/>
  <c r="X378" i="67"/>
  <c r="X833" i="67"/>
  <c r="X72" i="67"/>
  <c r="X225" i="67"/>
  <c r="X530" i="67"/>
  <c r="O1250" i="67"/>
  <c r="AI1352" i="67"/>
  <c r="AP1368" i="67"/>
  <c r="AN1352" i="67"/>
  <c r="K1268" i="67"/>
  <c r="Q1248" i="67"/>
  <c r="U1250" i="67"/>
  <c r="AK393" i="67"/>
  <c r="AK848" i="67"/>
  <c r="AK545" i="67"/>
  <c r="AK87" i="67"/>
  <c r="AK697" i="67"/>
  <c r="AK240" i="67"/>
  <c r="AS393" i="67"/>
  <c r="AS848" i="67"/>
  <c r="AS87" i="67"/>
  <c r="AS240" i="67"/>
  <c r="AS545" i="67"/>
  <c r="AS697" i="67"/>
  <c r="AA832" i="67"/>
  <c r="AA377" i="67"/>
  <c r="AA529" i="67"/>
  <c r="AA71" i="67"/>
  <c r="AA224" i="67"/>
  <c r="AS546" i="67"/>
  <c r="AS394" i="67"/>
  <c r="AS849" i="67"/>
  <c r="AS88" i="67"/>
  <c r="AS241" i="67"/>
  <c r="AS698" i="67"/>
  <c r="L1248" i="67"/>
  <c r="AT1250" i="67"/>
  <c r="AU1368" i="67"/>
  <c r="AS378" i="67"/>
  <c r="AS72" i="67"/>
  <c r="AS225" i="67"/>
  <c r="AS833" i="67"/>
  <c r="AS530" i="67"/>
  <c r="AM1250" i="67"/>
  <c r="AP1268" i="67"/>
  <c r="AT1352" i="67"/>
  <c r="AA1268" i="67"/>
  <c r="W1250" i="67"/>
  <c r="AL1352" i="67"/>
  <c r="N1266" i="67"/>
  <c r="S1352" i="67"/>
  <c r="AE393" i="67"/>
  <c r="AE848" i="67"/>
  <c r="AE87" i="67"/>
  <c r="AE240" i="67"/>
  <c r="AE545" i="67"/>
  <c r="AE697" i="67"/>
  <c r="AW832" i="67"/>
  <c r="AW377" i="67"/>
  <c r="AW529" i="67"/>
  <c r="AW71" i="67"/>
  <c r="AW224" i="67"/>
  <c r="AA391" i="67"/>
  <c r="AA85" i="67"/>
  <c r="AA238" i="67"/>
  <c r="AA846" i="67"/>
  <c r="AA543" i="67"/>
  <c r="AA695" i="67"/>
  <c r="R832" i="67"/>
  <c r="R377" i="67"/>
  <c r="R529" i="67"/>
  <c r="R71" i="67"/>
  <c r="R224" i="67"/>
  <c r="T378" i="67"/>
  <c r="T72" i="67"/>
  <c r="T225" i="67"/>
  <c r="T833" i="67"/>
  <c r="T530" i="67"/>
  <c r="AG832" i="67"/>
  <c r="AG377" i="67"/>
  <c r="AG529" i="67"/>
  <c r="AG71" i="67"/>
  <c r="AG224" i="67"/>
  <c r="R88" i="67"/>
  <c r="R241" i="67"/>
  <c r="R546" i="67"/>
  <c r="R698" i="67"/>
  <c r="R849" i="67"/>
  <c r="R394" i="67"/>
  <c r="U391" i="67"/>
  <c r="U543" i="67"/>
  <c r="U695" i="67"/>
  <c r="U846" i="67"/>
  <c r="U85" i="67"/>
  <c r="U238" i="67"/>
  <c r="AT1368" i="67"/>
  <c r="AJ1368" i="67"/>
  <c r="K1266" i="67"/>
  <c r="K369" i="67"/>
  <c r="K521" i="67"/>
  <c r="K216" i="67"/>
  <c r="K824" i="67"/>
  <c r="K63" i="67"/>
  <c r="Y375" i="67"/>
  <c r="Y527" i="67"/>
  <c r="Y69" i="67"/>
  <c r="Y830" i="67"/>
  <c r="Y222" i="67"/>
  <c r="AM698" i="67"/>
  <c r="AM394" i="67"/>
  <c r="AM88" i="67"/>
  <c r="AM241" i="67"/>
  <c r="AM546" i="67"/>
  <c r="AM849" i="67"/>
  <c r="T698" i="67"/>
  <c r="T394" i="67"/>
  <c r="T241" i="67"/>
  <c r="T546" i="67"/>
  <c r="T88" i="67"/>
  <c r="T849" i="67"/>
  <c r="Z394" i="67"/>
  <c r="Z88" i="67"/>
  <c r="Z698" i="67"/>
  <c r="Z241" i="67"/>
  <c r="Z546" i="67"/>
  <c r="Z849" i="67"/>
  <c r="AI832" i="67"/>
  <c r="AI377" i="67"/>
  <c r="AI529" i="67"/>
  <c r="AI71" i="67"/>
  <c r="AI224" i="67"/>
  <c r="AN1368" i="67"/>
  <c r="V1266" i="67"/>
  <c r="P832" i="67"/>
  <c r="P377" i="67"/>
  <c r="P529" i="67"/>
  <c r="P71" i="67"/>
  <c r="P224" i="67"/>
  <c r="V546" i="67"/>
  <c r="V394" i="67"/>
  <c r="V698" i="67"/>
  <c r="V849" i="67"/>
  <c r="V241" i="67"/>
  <c r="V88" i="67"/>
  <c r="S88" i="67"/>
  <c r="S394" i="67"/>
  <c r="S849" i="67"/>
  <c r="S546" i="67"/>
  <c r="S241" i="67"/>
  <c r="S698" i="67"/>
  <c r="R391" i="67"/>
  <c r="R238" i="67"/>
  <c r="R846" i="67"/>
  <c r="R543" i="67"/>
  <c r="R695" i="67"/>
  <c r="R85" i="67"/>
  <c r="W394" i="67"/>
  <c r="W698" i="67"/>
  <c r="W241" i="67"/>
  <c r="W849" i="67"/>
  <c r="W546" i="67"/>
  <c r="W88" i="67"/>
  <c r="Z386" i="67"/>
  <c r="Z538" i="67"/>
  <c r="Z690" i="67"/>
  <c r="Z80" i="67"/>
  <c r="Z841" i="67"/>
  <c r="Z233" i="67"/>
  <c r="W1266" i="67"/>
  <c r="N1352" i="67"/>
  <c r="W1352" i="67"/>
  <c r="AO1268" i="67"/>
  <c r="AD1266" i="67"/>
  <c r="P1368" i="67"/>
  <c r="Q232" i="67"/>
  <c r="Q385" i="67"/>
  <c r="Q840" i="67"/>
  <c r="Q79" i="67"/>
  <c r="Q537" i="67"/>
  <c r="Q689" i="67"/>
  <c r="Z840" i="67"/>
  <c r="Z232" i="67"/>
  <c r="Z385" i="67"/>
  <c r="Z537" i="67"/>
  <c r="Z689" i="67"/>
  <c r="Z79" i="67"/>
  <c r="AN698" i="67"/>
  <c r="AN394" i="67"/>
  <c r="AN546" i="67"/>
  <c r="AN241" i="67"/>
  <c r="AN88" i="67"/>
  <c r="AN849" i="67"/>
  <c r="AK120" i="34"/>
  <c r="R1495" i="67"/>
  <c r="R1149" i="67"/>
  <c r="R998" i="67"/>
  <c r="U1495" i="67"/>
  <c r="U1149" i="67"/>
  <c r="U998" i="67"/>
  <c r="AJ1466" i="67"/>
  <c r="AJ969" i="67" s="1"/>
  <c r="AH109" i="34"/>
  <c r="O1484" i="67"/>
  <c r="O987" i="67" s="1"/>
  <c r="AG107" i="34"/>
  <c r="N1482" i="67"/>
  <c r="N985" i="67" s="1"/>
  <c r="AR1482" i="67"/>
  <c r="AR985" i="67" s="1"/>
  <c r="AT98" i="34"/>
  <c r="AA1473" i="67"/>
  <c r="AO114" i="34"/>
  <c r="V1489" i="67"/>
  <c r="AM114" i="34"/>
  <c r="T1489" i="67"/>
  <c r="S1466" i="67"/>
  <c r="S969" i="67" s="1"/>
  <c r="AB216" i="67"/>
  <c r="AB369" i="67"/>
  <c r="AB521" i="67"/>
  <c r="AB63" i="67"/>
  <c r="AB824" i="67"/>
  <c r="AQ378" i="67"/>
  <c r="AQ72" i="67"/>
  <c r="AQ225" i="67"/>
  <c r="AQ833" i="67"/>
  <c r="AQ530" i="67"/>
  <c r="R375" i="67"/>
  <c r="R830" i="67"/>
  <c r="R69" i="67"/>
  <c r="R222" i="67"/>
  <c r="R527" i="67"/>
  <c r="X832" i="67"/>
  <c r="X377" i="67"/>
  <c r="X529" i="67"/>
  <c r="X71" i="67"/>
  <c r="X224" i="67"/>
  <c r="AT378" i="67"/>
  <c r="AT833" i="67"/>
  <c r="AT530" i="67"/>
  <c r="AT72" i="67"/>
  <c r="AT225" i="67"/>
  <c r="Q393" i="67"/>
  <c r="Q848" i="67"/>
  <c r="Q545" i="67"/>
  <c r="Q87" i="67"/>
  <c r="Q697" i="67"/>
  <c r="Q240" i="67"/>
  <c r="AB375" i="67"/>
  <c r="AB69" i="67"/>
  <c r="AB527" i="67"/>
  <c r="AB222" i="67"/>
  <c r="AB830" i="67"/>
  <c r="V238" i="67"/>
  <c r="V391" i="67"/>
  <c r="V846" i="67"/>
  <c r="V543" i="67"/>
  <c r="V695" i="67"/>
  <c r="V85" i="67"/>
  <c r="O378" i="67"/>
  <c r="O72" i="67"/>
  <c r="O833" i="67"/>
  <c r="O225" i="67"/>
  <c r="O530" i="67"/>
  <c r="T529" i="67"/>
  <c r="T377" i="67"/>
  <c r="T832" i="67"/>
  <c r="T71" i="67"/>
  <c r="T224" i="67"/>
  <c r="Z391" i="67"/>
  <c r="Z846" i="67"/>
  <c r="Z238" i="67"/>
  <c r="Z695" i="67"/>
  <c r="Z543" i="67"/>
  <c r="Z85" i="67"/>
  <c r="Y385" i="67"/>
  <c r="Y840" i="67"/>
  <c r="Y537" i="67"/>
  <c r="Y232" i="67"/>
  <c r="Y689" i="67"/>
  <c r="Y79" i="67"/>
  <c r="S832" i="67"/>
  <c r="S377" i="67"/>
  <c r="S529" i="67"/>
  <c r="S71" i="67"/>
  <c r="S224" i="67"/>
  <c r="AP393" i="67"/>
  <c r="AP848" i="67"/>
  <c r="AP545" i="67"/>
  <c r="AP697" i="67"/>
  <c r="AP87" i="67"/>
  <c r="AP240" i="67"/>
  <c r="Q391" i="67"/>
  <c r="Q543" i="67"/>
  <c r="Q846" i="67"/>
  <c r="Q238" i="67"/>
  <c r="Q695" i="67"/>
  <c r="Q85" i="67"/>
  <c r="AM1368" i="67"/>
  <c r="U521" i="67"/>
  <c r="U824" i="67"/>
  <c r="U63" i="67"/>
  <c r="U216" i="67"/>
  <c r="O88" i="67"/>
  <c r="O394" i="67"/>
  <c r="O546" i="67"/>
  <c r="O849" i="67"/>
  <c r="O698" i="67"/>
  <c r="O241" i="67"/>
  <c r="AR393" i="67"/>
  <c r="AR848" i="67"/>
  <c r="AR87" i="67"/>
  <c r="AR240" i="67"/>
  <c r="AR545" i="67"/>
  <c r="AR697" i="67"/>
  <c r="AK378" i="67"/>
  <c r="AK225" i="67"/>
  <c r="AK833" i="67"/>
  <c r="AK530" i="67"/>
  <c r="AK72" i="67"/>
  <c r="Z393" i="67"/>
  <c r="Z848" i="67"/>
  <c r="Z545" i="67"/>
  <c r="Z697" i="67"/>
  <c r="Z87" i="67"/>
  <c r="Z240" i="67"/>
  <c r="N393" i="67"/>
  <c r="N848" i="67"/>
  <c r="N87" i="67"/>
  <c r="N240" i="67"/>
  <c r="N545" i="67"/>
  <c r="N697" i="67"/>
  <c r="AR120" i="34"/>
  <c r="Y1495" i="67"/>
  <c r="Y1149" i="67"/>
  <c r="Y998" i="67"/>
  <c r="AS120" i="34"/>
  <c r="Z1495" i="67"/>
  <c r="Z1149" i="67"/>
  <c r="Z998" i="67"/>
  <c r="AK104" i="34"/>
  <c r="R1479" i="67"/>
  <c r="R1133" i="67"/>
  <c r="R982" i="67"/>
  <c r="AV104" i="34"/>
  <c r="AC1479" i="67"/>
  <c r="AC1133" i="67"/>
  <c r="AC982" i="67"/>
  <c r="AA1466" i="67"/>
  <c r="AA969" i="67" s="1"/>
  <c r="AU120" i="34"/>
  <c r="AB1495" i="67"/>
  <c r="AB1149" i="67"/>
  <c r="AB998" i="67"/>
  <c r="AQ104" i="34"/>
  <c r="X1479" i="67"/>
  <c r="X1133" i="67"/>
  <c r="X982" i="67"/>
  <c r="AO120" i="34"/>
  <c r="V1495" i="67"/>
  <c r="V1149" i="67"/>
  <c r="V998" i="67"/>
  <c r="AS104" i="34"/>
  <c r="Z1479" i="67"/>
  <c r="Z1133" i="67"/>
  <c r="Z982" i="67"/>
  <c r="AT104" i="34"/>
  <c r="AA1479" i="67"/>
  <c r="AA1133" i="67"/>
  <c r="AA982" i="67"/>
  <c r="AP120" i="34"/>
  <c r="W1495" i="67"/>
  <c r="W1149" i="67"/>
  <c r="W998" i="67"/>
  <c r="AV120" i="34"/>
  <c r="AC1495" i="67"/>
  <c r="AC1149" i="67"/>
  <c r="AC998" i="67"/>
  <c r="AN104" i="34"/>
  <c r="U1479" i="67"/>
  <c r="U1133" i="67"/>
  <c r="U982" i="67"/>
  <c r="AL120" i="34"/>
  <c r="S1495" i="67"/>
  <c r="S1149" i="67"/>
  <c r="S998" i="67"/>
  <c r="AT1482" i="67"/>
  <c r="AT985" i="67" s="1"/>
  <c r="AS1466" i="67"/>
  <c r="AS969" i="67" s="1"/>
  <c r="AH1482" i="67"/>
  <c r="AH985" i="67" s="1"/>
  <c r="AG98" i="34"/>
  <c r="N1473" i="67"/>
  <c r="AF98" i="34"/>
  <c r="M1473" i="67"/>
  <c r="AD114" i="34"/>
  <c r="K1489" i="67"/>
  <c r="K1143" i="67"/>
  <c r="K992" i="67"/>
  <c r="V1482" i="67"/>
  <c r="V985" i="67" s="1"/>
  <c r="AM1466" i="67"/>
  <c r="AM969" i="67" s="1"/>
  <c r="AI107" i="34"/>
  <c r="P1482" i="67"/>
  <c r="P985" i="67" s="1"/>
  <c r="P1513" i="67"/>
  <c r="P1517" i="67"/>
  <c r="AF91" i="34"/>
  <c r="M1466" i="67"/>
  <c r="M969" i="67" s="1"/>
  <c r="AI93" i="34"/>
  <c r="P1468" i="67"/>
  <c r="P971" i="67" s="1"/>
  <c r="K1466" i="67"/>
  <c r="K969" i="67" s="1"/>
  <c r="AB1482" i="67"/>
  <c r="AB985" i="67" s="1"/>
  <c r="AM1482" i="67"/>
  <c r="AM985" i="67" s="1"/>
  <c r="AT114" i="34"/>
  <c r="AA1489" i="67"/>
  <c r="AL114" i="34"/>
  <c r="S1489" i="67"/>
  <c r="AP98" i="34"/>
  <c r="W1473" i="67"/>
  <c r="AM98" i="34"/>
  <c r="T1473" i="67"/>
  <c r="AI108" i="34"/>
  <c r="P1483" i="67"/>
  <c r="P986" i="67" s="1"/>
  <c r="N1518" i="67"/>
  <c r="N1465" i="67"/>
  <c r="N362" i="67" s="1"/>
  <c r="AQ1266" i="67"/>
  <c r="AV1368" i="67"/>
  <c r="AP1250" i="67"/>
  <c r="AD1352" i="67"/>
  <c r="AT1266" i="67"/>
  <c r="Z1266" i="67"/>
  <c r="K1269" i="67"/>
  <c r="AB1266" i="67"/>
  <c r="AM1352" i="67"/>
  <c r="K1352" i="67"/>
  <c r="V1352" i="67"/>
  <c r="Q63" i="67"/>
  <c r="Q369" i="67"/>
  <c r="Q521" i="67"/>
  <c r="Q824" i="67"/>
  <c r="Q216" i="67"/>
  <c r="AA63" i="67"/>
  <c r="AA369" i="67"/>
  <c r="AA521" i="67"/>
  <c r="AA824" i="67"/>
  <c r="AA216" i="67"/>
  <c r="R385" i="67"/>
  <c r="R840" i="67"/>
  <c r="R79" i="67"/>
  <c r="R232" i="67"/>
  <c r="R537" i="67"/>
  <c r="R689" i="67"/>
  <c r="L377" i="67"/>
  <c r="L529" i="67"/>
  <c r="L832" i="67"/>
  <c r="L71" i="67"/>
  <c r="L224" i="67"/>
  <c r="P698" i="67"/>
  <c r="P394" i="67"/>
  <c r="P849" i="67"/>
  <c r="P546" i="67"/>
  <c r="P241" i="67"/>
  <c r="P88" i="67"/>
  <c r="N378" i="67"/>
  <c r="N833" i="67"/>
  <c r="N530" i="67"/>
  <c r="N72" i="67"/>
  <c r="N225" i="67"/>
  <c r="AC369" i="67"/>
  <c r="AC824" i="67"/>
  <c r="AC63" i="67"/>
  <c r="AC216" i="67"/>
  <c r="AC521" i="67"/>
  <c r="AV378" i="67"/>
  <c r="AV72" i="67"/>
  <c r="AV225" i="67"/>
  <c r="AV530" i="67"/>
  <c r="AV833" i="67"/>
  <c r="AP832" i="67"/>
  <c r="AP377" i="67"/>
  <c r="AP529" i="67"/>
  <c r="AP71" i="67"/>
  <c r="AP224" i="67"/>
  <c r="AF394" i="67"/>
  <c r="AF698" i="67"/>
  <c r="AF88" i="67"/>
  <c r="AF849" i="67"/>
  <c r="AF546" i="67"/>
  <c r="AF241" i="67"/>
  <c r="W378" i="67"/>
  <c r="W225" i="67"/>
  <c r="W833" i="67"/>
  <c r="W530" i="67"/>
  <c r="W72" i="67"/>
  <c r="X391" i="67"/>
  <c r="X846" i="67"/>
  <c r="X238" i="67"/>
  <c r="X695" i="67"/>
  <c r="X543" i="67"/>
  <c r="X85" i="67"/>
  <c r="Y370" i="67"/>
  <c r="Y522" i="67"/>
  <c r="Y217" i="67"/>
  <c r="Y825" i="67"/>
  <c r="Y64" i="67"/>
  <c r="Y674" i="67"/>
  <c r="Z370" i="67"/>
  <c r="Z64" i="67"/>
  <c r="Z522" i="67"/>
  <c r="Z825" i="67"/>
  <c r="Z217" i="67"/>
  <c r="Z674" i="67"/>
  <c r="AP378" i="67"/>
  <c r="AP225" i="67"/>
  <c r="AP833" i="67"/>
  <c r="AP530" i="67"/>
  <c r="AP72" i="67"/>
  <c r="AC386" i="67"/>
  <c r="AC690" i="67"/>
  <c r="AC538" i="67"/>
  <c r="AC233" i="67"/>
  <c r="AC80" i="67"/>
  <c r="AC841" i="67"/>
  <c r="AJ393" i="67"/>
  <c r="AJ848" i="67"/>
  <c r="AJ87" i="67"/>
  <c r="AJ240" i="67"/>
  <c r="AJ545" i="67"/>
  <c r="AJ697" i="67"/>
  <c r="Y393" i="67"/>
  <c r="Y848" i="67"/>
  <c r="Y545" i="67"/>
  <c r="Y87" i="67"/>
  <c r="Y697" i="67"/>
  <c r="Y240" i="67"/>
  <c r="Q386" i="67"/>
  <c r="Q80" i="67"/>
  <c r="Q841" i="67"/>
  <c r="Q538" i="67"/>
  <c r="Q690" i="67"/>
  <c r="Q233" i="67"/>
  <c r="AW1266" i="67"/>
  <c r="AE1250" i="67"/>
  <c r="O1266" i="67"/>
  <c r="AV1268" i="67"/>
  <c r="AR1352" i="67"/>
  <c r="AB385" i="67"/>
  <c r="AB840" i="67"/>
  <c r="AB537" i="67"/>
  <c r="AB689" i="67"/>
  <c r="AB79" i="67"/>
  <c r="AB232" i="67"/>
  <c r="V529" i="67"/>
  <c r="V377" i="67"/>
  <c r="V832" i="67"/>
  <c r="V71" i="67"/>
  <c r="V224" i="67"/>
  <c r="AW698" i="67"/>
  <c r="AW394" i="67"/>
  <c r="AW241" i="67"/>
  <c r="AW849" i="67"/>
  <c r="AW546" i="67"/>
  <c r="AW88" i="67"/>
  <c r="AI88" i="67"/>
  <c r="AI394" i="67"/>
  <c r="AI241" i="67"/>
  <c r="AI546" i="67"/>
  <c r="AI698" i="67"/>
  <c r="AI849" i="67"/>
  <c r="R393" i="67"/>
  <c r="R848" i="67"/>
  <c r="R545" i="67"/>
  <c r="R697" i="67"/>
  <c r="R87" i="67"/>
  <c r="R240" i="67"/>
  <c r="AE394" i="67"/>
  <c r="AE849" i="67"/>
  <c r="AE698" i="67"/>
  <c r="AE88" i="67"/>
  <c r="AE241" i="67"/>
  <c r="AE546" i="67"/>
  <c r="AO393" i="67"/>
  <c r="AO848" i="67"/>
  <c r="AO545" i="67"/>
  <c r="AO697" i="67"/>
  <c r="AO87" i="67"/>
  <c r="AO240" i="67"/>
  <c r="AH394" i="67"/>
  <c r="AH88" i="67"/>
  <c r="AH698" i="67"/>
  <c r="AH849" i="67"/>
  <c r="AH241" i="67"/>
  <c r="AH546" i="67"/>
  <c r="S1268" i="67"/>
  <c r="AE1266" i="67"/>
  <c r="X63" i="67"/>
  <c r="X369" i="67"/>
  <c r="X824" i="67"/>
  <c r="X216" i="67"/>
  <c r="X521" i="67"/>
  <c r="AC377" i="67"/>
  <c r="AC529" i="67"/>
  <c r="AC832" i="67"/>
  <c r="AC71" i="67"/>
  <c r="AC224" i="67"/>
  <c r="AJ378" i="67"/>
  <c r="AJ833" i="67"/>
  <c r="AJ530" i="67"/>
  <c r="AJ72" i="67"/>
  <c r="AJ225" i="67"/>
  <c r="X386" i="67"/>
  <c r="X690" i="67"/>
  <c r="X841" i="67"/>
  <c r="X80" i="67"/>
  <c r="X233" i="67"/>
  <c r="X538" i="67"/>
  <c r="AG1266" i="67"/>
  <c r="AD1368" i="67"/>
  <c r="AP1266" i="67"/>
  <c r="AU1250" i="67"/>
  <c r="R1250" i="67"/>
  <c r="U1368" i="67"/>
  <c r="M1268" i="67"/>
  <c r="Q1368" i="67"/>
  <c r="Y1368" i="67"/>
  <c r="AJ1352" i="67"/>
  <c r="R1266" i="67"/>
  <c r="P1268" i="67"/>
  <c r="AA1368" i="67"/>
  <c r="S232" i="67"/>
  <c r="S385" i="67"/>
  <c r="S537" i="67"/>
  <c r="S689" i="67"/>
  <c r="S79" i="67"/>
  <c r="S840" i="67"/>
  <c r="T521" i="67"/>
  <c r="T824" i="67"/>
  <c r="T216" i="67"/>
  <c r="T63" i="67"/>
  <c r="X385" i="67"/>
  <c r="X840" i="67"/>
  <c r="X537" i="67"/>
  <c r="X79" i="67"/>
  <c r="X689" i="67"/>
  <c r="X232" i="67"/>
  <c r="Y369" i="67"/>
  <c r="Y63" i="67"/>
  <c r="Y216" i="67"/>
  <c r="Y521" i="67"/>
  <c r="Y824" i="67"/>
  <c r="L393" i="67"/>
  <c r="L848" i="67"/>
  <c r="L87" i="67"/>
  <c r="L240" i="67"/>
  <c r="L545" i="67"/>
  <c r="L697" i="67"/>
  <c r="R521" i="67"/>
  <c r="R216" i="67"/>
  <c r="R824" i="67"/>
  <c r="R63" i="67"/>
  <c r="U529" i="67"/>
  <c r="U377" i="67"/>
  <c r="U832" i="67"/>
  <c r="U71" i="67"/>
  <c r="U224" i="67"/>
  <c r="AU88" i="67"/>
  <c r="AU394" i="67"/>
  <c r="AU241" i="67"/>
  <c r="AU698" i="67"/>
  <c r="AU546" i="67"/>
  <c r="AU849" i="67"/>
  <c r="AR849" i="67"/>
  <c r="AR394" i="67"/>
  <c r="AR546" i="67"/>
  <c r="AR698" i="67"/>
  <c r="AR88" i="67"/>
  <c r="AR241" i="67"/>
  <c r="AQ832" i="67"/>
  <c r="AQ377" i="67"/>
  <c r="AQ529" i="67"/>
  <c r="AQ71" i="67"/>
  <c r="AQ224" i="67"/>
  <c r="AI378" i="67"/>
  <c r="AI72" i="67"/>
  <c r="AI530" i="67"/>
  <c r="AI833" i="67"/>
  <c r="AI225" i="67"/>
  <c r="AB393" i="67"/>
  <c r="AB848" i="67"/>
  <c r="AB87" i="67"/>
  <c r="AB240" i="67"/>
  <c r="AB545" i="67"/>
  <c r="AB697" i="67"/>
  <c r="W375" i="67"/>
  <c r="W527" i="67"/>
  <c r="W830" i="67"/>
  <c r="W69" i="67"/>
  <c r="W222" i="67"/>
  <c r="AT377" i="67"/>
  <c r="AT529" i="67"/>
  <c r="AT832" i="67"/>
  <c r="AT71" i="67"/>
  <c r="AT224" i="67"/>
  <c r="AM393" i="67"/>
  <c r="AM848" i="67"/>
  <c r="AM87" i="67"/>
  <c r="AM240" i="67"/>
  <c r="AM545" i="67"/>
  <c r="AM697" i="67"/>
  <c r="Y386" i="67"/>
  <c r="Y80" i="67"/>
  <c r="Y690" i="67"/>
  <c r="Y233" i="67"/>
  <c r="Y841" i="67"/>
  <c r="Y538" i="67"/>
  <c r="AT546" i="67"/>
  <c r="AT394" i="67"/>
  <c r="AT241" i="67"/>
  <c r="AT849" i="67"/>
  <c r="AT698" i="67"/>
  <c r="AT88" i="67"/>
  <c r="Y378" i="67"/>
  <c r="Y225" i="67"/>
  <c r="Y833" i="67"/>
  <c r="Y530" i="67"/>
  <c r="Y72" i="67"/>
  <c r="AO832" i="67"/>
  <c r="AO377" i="67"/>
  <c r="AO529" i="67"/>
  <c r="AO71" i="67"/>
  <c r="AO224" i="67"/>
  <c r="AJ529" i="67"/>
  <c r="AJ377" i="67"/>
  <c r="AJ832" i="67"/>
  <c r="AJ71" i="67"/>
  <c r="AJ224" i="67"/>
  <c r="V375" i="67"/>
  <c r="V222" i="67"/>
  <c r="V527" i="67"/>
  <c r="V830" i="67"/>
  <c r="V69" i="67"/>
  <c r="Z1368" i="67"/>
  <c r="AO1266" i="67"/>
  <c r="W1268" i="67"/>
  <c r="L378" i="67"/>
  <c r="L225" i="67"/>
  <c r="L72" i="67"/>
  <c r="L833" i="67"/>
  <c r="L530" i="67"/>
  <c r="V378" i="67"/>
  <c r="V225" i="67"/>
  <c r="V833" i="67"/>
  <c r="V530" i="67"/>
  <c r="V72" i="67"/>
  <c r="Y698" i="67"/>
  <c r="Y394" i="67"/>
  <c r="Y88" i="67"/>
  <c r="Y849" i="67"/>
  <c r="Y241" i="67"/>
  <c r="Y546" i="67"/>
  <c r="X64" i="67"/>
  <c r="X370" i="67"/>
  <c r="X217" i="67"/>
  <c r="X522" i="67"/>
  <c r="X825" i="67"/>
  <c r="X674" i="67"/>
  <c r="AV832" i="67"/>
  <c r="AV377" i="67"/>
  <c r="AV529" i="67"/>
  <c r="AV71" i="67"/>
  <c r="AV224" i="67"/>
  <c r="Q217" i="67"/>
  <c r="Q370" i="67"/>
  <c r="Q825" i="67"/>
  <c r="Q64" i="67"/>
  <c r="Q522" i="67"/>
  <c r="Q674" i="67"/>
  <c r="AP1352" i="67"/>
  <c r="AC1266" i="67"/>
  <c r="R1352" i="67"/>
  <c r="N1368" i="67"/>
  <c r="U385" i="67"/>
  <c r="U689" i="67"/>
  <c r="U840" i="67"/>
  <c r="U232" i="67"/>
  <c r="U537" i="67"/>
  <c r="U79" i="67"/>
  <c r="O393" i="67"/>
  <c r="O848" i="67"/>
  <c r="O87" i="67"/>
  <c r="O240" i="67"/>
  <c r="O545" i="67"/>
  <c r="O697" i="67"/>
  <c r="N88" i="67"/>
  <c r="N394" i="67"/>
  <c r="N698" i="67"/>
  <c r="N849" i="67"/>
  <c r="N241" i="67"/>
  <c r="N546" i="67"/>
  <c r="X375" i="67"/>
  <c r="X527" i="67"/>
  <c r="X69" i="67"/>
  <c r="X830" i="67"/>
  <c r="X222" i="67"/>
  <c r="AL378" i="67"/>
  <c r="AL72" i="67"/>
  <c r="AL225" i="67"/>
  <c r="AL833" i="67"/>
  <c r="AL530" i="67"/>
  <c r="AC370" i="67"/>
  <c r="AC522" i="67"/>
  <c r="AC64" i="67"/>
  <c r="AC825" i="67"/>
  <c r="AC217" i="67"/>
  <c r="AC674" i="67"/>
  <c r="AM1268" i="67"/>
  <c r="T1368" i="67"/>
  <c r="AD1268" i="67"/>
  <c r="M1266" i="67"/>
  <c r="AI1368" i="67"/>
  <c r="AO1352" i="67"/>
  <c r="AK1250" i="67"/>
  <c r="AM1266" i="67"/>
  <c r="AG698" i="67"/>
  <c r="AG394" i="67"/>
  <c r="AG88" i="67"/>
  <c r="AG241" i="67"/>
  <c r="AG849" i="67"/>
  <c r="AG546" i="67"/>
  <c r="AJ120" i="34"/>
  <c r="Q1495" i="67"/>
  <c r="Q1149" i="67"/>
  <c r="Q998" i="67"/>
  <c r="AM104" i="34"/>
  <c r="T1479" i="67"/>
  <c r="T1133" i="67"/>
  <c r="T982" i="67"/>
  <c r="AR104" i="34"/>
  <c r="Y1479" i="67"/>
  <c r="Y1133" i="67"/>
  <c r="Y982" i="67"/>
  <c r="AT1466" i="67"/>
  <c r="AT969" i="67" s="1"/>
  <c r="AK1482" i="67"/>
  <c r="AK985" i="67" s="1"/>
  <c r="AR1466" i="67"/>
  <c r="AR969" i="67" s="1"/>
  <c r="AI98" i="34"/>
  <c r="P1473" i="67"/>
  <c r="AE91" i="34"/>
  <c r="L1466" i="67"/>
  <c r="L969" i="67" s="1"/>
  <c r="V521" i="67"/>
  <c r="V216" i="67"/>
  <c r="V824" i="67"/>
  <c r="V63" i="67"/>
  <c r="AA689" i="67"/>
  <c r="AA385" i="67"/>
  <c r="AA232" i="67"/>
  <c r="AA840" i="67"/>
  <c r="AA537" i="67"/>
  <c r="AA79" i="67"/>
  <c r="M378" i="67"/>
  <c r="M72" i="67"/>
  <c r="M225" i="67"/>
  <c r="M833" i="67"/>
  <c r="M530" i="67"/>
  <c r="AL393" i="67"/>
  <c r="AL848" i="67"/>
  <c r="AL87" i="67"/>
  <c r="AL240" i="67"/>
  <c r="AL545" i="67"/>
  <c r="AL697" i="67"/>
  <c r="AR378" i="67"/>
  <c r="AR225" i="67"/>
  <c r="AR72" i="67"/>
  <c r="AR833" i="67"/>
  <c r="AR530" i="67"/>
  <c r="AN378" i="67"/>
  <c r="AN72" i="67"/>
  <c r="AN225" i="67"/>
  <c r="AN530" i="67"/>
  <c r="AN833" i="67"/>
  <c r="Q375" i="67"/>
  <c r="Q222" i="67"/>
  <c r="Q527" i="67"/>
  <c r="Q830" i="67"/>
  <c r="Q69" i="67"/>
  <c r="AB698" i="67"/>
  <c r="AB394" i="67"/>
  <c r="AB88" i="67"/>
  <c r="AB241" i="67"/>
  <c r="AB849" i="67"/>
  <c r="AB546" i="67"/>
  <c r="AA378" i="67"/>
  <c r="AA530" i="67"/>
  <c r="AA72" i="67"/>
  <c r="AA833" i="67"/>
  <c r="AA225" i="67"/>
  <c r="S391" i="67"/>
  <c r="S695" i="67"/>
  <c r="S238" i="67"/>
  <c r="S543" i="67"/>
  <c r="S846" i="67"/>
  <c r="S85" i="67"/>
  <c r="V79" i="67"/>
  <c r="V385" i="67"/>
  <c r="V232" i="67"/>
  <c r="V537" i="67"/>
  <c r="V840" i="67"/>
  <c r="V689" i="67"/>
  <c r="AD394" i="67"/>
  <c r="AD546" i="67"/>
  <c r="AD698" i="67"/>
  <c r="AD241" i="67"/>
  <c r="AD88" i="67"/>
  <c r="AD849" i="67"/>
  <c r="AG378" i="67"/>
  <c r="AG833" i="67"/>
  <c r="AG530" i="67"/>
  <c r="AG72" i="67"/>
  <c r="AG225" i="67"/>
  <c r="R378" i="67"/>
  <c r="R72" i="67"/>
  <c r="R225" i="67"/>
  <c r="R833" i="67"/>
  <c r="R530" i="67"/>
  <c r="AC391" i="67"/>
  <c r="AC238" i="67"/>
  <c r="AC846" i="67"/>
  <c r="AC695" i="67"/>
  <c r="AC543" i="67"/>
  <c r="AC85" i="67"/>
  <c r="S521" i="67"/>
  <c r="S824" i="67"/>
  <c r="S63" i="67"/>
  <c r="S216" i="67"/>
  <c r="M546" i="67"/>
  <c r="M394" i="67"/>
  <c r="M88" i="67"/>
  <c r="M849" i="67"/>
  <c r="M698" i="67"/>
  <c r="M241" i="67"/>
  <c r="AV394" i="67"/>
  <c r="AV546" i="67"/>
  <c r="AV849" i="67"/>
  <c r="AV241" i="67"/>
  <c r="AV698" i="67"/>
  <c r="AV88" i="67"/>
  <c r="AK394" i="67"/>
  <c r="AK546" i="67"/>
  <c r="AK849" i="67"/>
  <c r="AK88" i="67"/>
  <c r="AK698" i="67"/>
  <c r="AK241" i="67"/>
  <c r="T79" i="67"/>
  <c r="T385" i="67"/>
  <c r="T840" i="67"/>
  <c r="T537" i="67"/>
  <c r="T689" i="67"/>
  <c r="T232" i="67"/>
  <c r="AO698" i="67"/>
  <c r="AO394" i="67"/>
  <c r="AO546" i="67"/>
  <c r="AO88" i="67"/>
  <c r="AO849" i="67"/>
  <c r="AO241" i="67"/>
  <c r="AB377" i="67"/>
  <c r="AB529" i="67"/>
  <c r="AB832" i="67"/>
  <c r="AB71" i="67"/>
  <c r="AB224" i="67"/>
  <c r="AU393" i="67"/>
  <c r="AU848" i="67"/>
  <c r="AU87" i="67"/>
  <c r="AU240" i="67"/>
  <c r="AU545" i="67"/>
  <c r="AU697" i="67"/>
  <c r="AM377" i="67"/>
  <c r="AM529" i="67"/>
  <c r="AM832" i="67"/>
  <c r="AM71" i="67"/>
  <c r="AM224" i="67"/>
  <c r="U375" i="67"/>
  <c r="U69" i="67"/>
  <c r="U527" i="67"/>
  <c r="U222" i="67"/>
  <c r="U830" i="67"/>
  <c r="AJ104" i="34"/>
  <c r="Q1479" i="67"/>
  <c r="Q1133" i="67"/>
  <c r="Q982" i="67"/>
  <c r="AK92" i="34"/>
  <c r="R1467" i="67"/>
  <c r="R970" i="67" s="1"/>
  <c r="AU104" i="34"/>
  <c r="AB1479" i="67"/>
  <c r="AB1133" i="67"/>
  <c r="AB982" i="67"/>
  <c r="AM120" i="34"/>
  <c r="T1495" i="67"/>
  <c r="T1149" i="67"/>
  <c r="T998" i="67"/>
  <c r="AO104" i="34"/>
  <c r="V1479" i="67"/>
  <c r="V1133" i="67"/>
  <c r="V982" i="67"/>
  <c r="AA1495" i="67"/>
  <c r="AA1149" i="67"/>
  <c r="AA998" i="67"/>
  <c r="AA1482" i="67"/>
  <c r="AA985" i="67" s="1"/>
  <c r="AS1482" i="67"/>
  <c r="AS985" i="67" s="1"/>
  <c r="AW1482" i="67"/>
  <c r="AW985" i="67" s="1"/>
  <c r="V1466" i="67"/>
  <c r="V969" i="67" s="1"/>
  <c r="AF109" i="34"/>
  <c r="M1484" i="67"/>
  <c r="M987" i="67" s="1"/>
  <c r="AI91" i="34"/>
  <c r="P1466" i="67"/>
  <c r="P969" i="67" s="1"/>
  <c r="K1482" i="67"/>
  <c r="K985" i="67" s="1"/>
  <c r="AK114" i="34"/>
  <c r="R1489" i="67"/>
  <c r="AW1466" i="67"/>
  <c r="AW969" i="67" s="1"/>
  <c r="AB1466" i="67"/>
  <c r="AB969" i="67" s="1"/>
  <c r="AU98" i="34"/>
  <c r="AB1473" i="67"/>
  <c r="AL98" i="34"/>
  <c r="S1473" i="67"/>
  <c r="AG93" i="34"/>
  <c r="N1468" i="67"/>
  <c r="N971" i="67" s="1"/>
  <c r="AQ1482" i="67"/>
  <c r="AQ985" i="67" s="1"/>
  <c r="X1268" i="67"/>
  <c r="AH1250" i="67"/>
  <c r="AW1368" i="67"/>
  <c r="AO1368" i="67"/>
  <c r="AH1266" i="67"/>
  <c r="AA1250" i="67"/>
  <c r="N1268" i="67"/>
  <c r="AF1368" i="67"/>
  <c r="L1266" i="67"/>
  <c r="AE1352" i="67"/>
  <c r="AG1250" i="67"/>
  <c r="Q1352" i="67"/>
  <c r="Y1352" i="67"/>
  <c r="X1368" i="67"/>
  <c r="R1248" i="67"/>
  <c r="AA1352" i="67"/>
  <c r="AF1250" i="67"/>
  <c r="K378" i="67"/>
  <c r="K530" i="67"/>
  <c r="K833" i="67"/>
  <c r="K225" i="67"/>
  <c r="K72" i="67"/>
  <c r="AE529" i="67"/>
  <c r="AE377" i="67"/>
  <c r="AE832" i="67"/>
  <c r="AE71" i="67"/>
  <c r="AE224" i="67"/>
  <c r="U393" i="67"/>
  <c r="U848" i="67"/>
  <c r="U545" i="67"/>
  <c r="U87" i="67"/>
  <c r="U697" i="67"/>
  <c r="U240" i="67"/>
  <c r="Q698" i="67"/>
  <c r="Q394" i="67"/>
  <c r="Q241" i="67"/>
  <c r="Q849" i="67"/>
  <c r="Q546" i="67"/>
  <c r="Q88" i="67"/>
  <c r="S378" i="67"/>
  <c r="S72" i="67"/>
  <c r="S225" i="67"/>
  <c r="S833" i="67"/>
  <c r="S530" i="67"/>
  <c r="AR377" i="67"/>
  <c r="AR529" i="67"/>
  <c r="AR832" i="67"/>
  <c r="AR71" i="67"/>
  <c r="AR224" i="67"/>
  <c r="AW393" i="67"/>
  <c r="AW848" i="67"/>
  <c r="AW545" i="67"/>
  <c r="AW87" i="67"/>
  <c r="AW697" i="67"/>
  <c r="AW240" i="67"/>
  <c r="U64" i="67"/>
  <c r="U370" i="67"/>
  <c r="U522" i="67"/>
  <c r="U825" i="67"/>
  <c r="U217" i="67"/>
  <c r="U674" i="67"/>
  <c r="W391" i="67"/>
  <c r="W85" i="67"/>
  <c r="W543" i="67"/>
  <c r="W695" i="67"/>
  <c r="W846" i="67"/>
  <c r="W238" i="67"/>
  <c r="U394" i="67"/>
  <c r="U546" i="67"/>
  <c r="U88" i="67"/>
  <c r="U698" i="67"/>
  <c r="U849" i="67"/>
  <c r="U241" i="67"/>
  <c r="AO1250" i="67"/>
  <c r="AH1368" i="67"/>
  <c r="R1268" i="67"/>
  <c r="AB1368" i="67"/>
  <c r="AU1352" i="67"/>
  <c r="T1268" i="67"/>
  <c r="AL1368" i="67"/>
  <c r="O529" i="67"/>
  <c r="O377" i="67"/>
  <c r="O832" i="67"/>
  <c r="O71" i="67"/>
  <c r="O224" i="67"/>
  <c r="M393" i="67"/>
  <c r="M848" i="67"/>
  <c r="M545" i="67"/>
  <c r="M87" i="67"/>
  <c r="M697" i="67"/>
  <c r="M240" i="67"/>
  <c r="P393" i="67"/>
  <c r="P848" i="67"/>
  <c r="P545" i="67"/>
  <c r="P697" i="67"/>
  <c r="P87" i="67"/>
  <c r="P240" i="67"/>
  <c r="Y1266" i="67"/>
  <c r="X1352" i="67"/>
  <c r="K1368" i="67"/>
  <c r="K832" i="67"/>
  <c r="K377" i="67"/>
  <c r="K529" i="67"/>
  <c r="K71" i="67"/>
  <c r="K224" i="67"/>
  <c r="Z369" i="67"/>
  <c r="Z63" i="67"/>
  <c r="Z521" i="67"/>
  <c r="Z824" i="67"/>
  <c r="Z216" i="67"/>
  <c r="Y391" i="67"/>
  <c r="Y85" i="67"/>
  <c r="Y238" i="67"/>
  <c r="Y846" i="67"/>
  <c r="Y543" i="67"/>
  <c r="Y695" i="67"/>
  <c r="Z375" i="67"/>
  <c r="Z830" i="67"/>
  <c r="Z69" i="67"/>
  <c r="Z527" i="67"/>
  <c r="Z222" i="67"/>
  <c r="AJ1250" i="67"/>
  <c r="AS1368" i="67"/>
  <c r="T1352" i="67"/>
  <c r="AI1268" i="67"/>
  <c r="M1352" i="67"/>
  <c r="Z1352" i="67"/>
  <c r="AN1266" i="67"/>
  <c r="AR1268" i="67"/>
  <c r="L1352" i="67"/>
  <c r="AD1250" i="67"/>
  <c r="AE1368" i="67"/>
  <c r="AU1266" i="67"/>
  <c r="T1250" i="67"/>
  <c r="AC1268" i="67"/>
  <c r="K1248" i="67"/>
  <c r="M377" i="67"/>
  <c r="M529" i="67"/>
  <c r="M832" i="67"/>
  <c r="M71" i="67"/>
  <c r="M224" i="67"/>
  <c r="AL529" i="67"/>
  <c r="AL377" i="67"/>
  <c r="AL832" i="67"/>
  <c r="AL71" i="67"/>
  <c r="AL224" i="67"/>
  <c r="AQ88" i="67"/>
  <c r="AQ394" i="67"/>
  <c r="AQ546" i="67"/>
  <c r="AQ849" i="67"/>
  <c r="AQ241" i="67"/>
  <c r="AQ698" i="67"/>
  <c r="AU529" i="67"/>
  <c r="AU377" i="67"/>
  <c r="AU832" i="67"/>
  <c r="AU71" i="67"/>
  <c r="AU224" i="67"/>
  <c r="Z378" i="67"/>
  <c r="Z530" i="67"/>
  <c r="Z72" i="67"/>
  <c r="Z225" i="67"/>
  <c r="Z833" i="67"/>
  <c r="Z832" i="67"/>
  <c r="Z377" i="67"/>
  <c r="Z529" i="67"/>
  <c r="Z71" i="67"/>
  <c r="Z224" i="67"/>
  <c r="AH378" i="67"/>
  <c r="AH530" i="67"/>
  <c r="AH72" i="67"/>
  <c r="AH225" i="67"/>
  <c r="AH833" i="67"/>
  <c r="AA88" i="67"/>
  <c r="AA394" i="67"/>
  <c r="AA698" i="67"/>
  <c r="AA546" i="67"/>
  <c r="AA849" i="67"/>
  <c r="AA241" i="67"/>
  <c r="Y832" i="67"/>
  <c r="Y377" i="67"/>
  <c r="Y529" i="67"/>
  <c r="Y71" i="67"/>
  <c r="Y224" i="67"/>
  <c r="S375" i="67"/>
  <c r="S222" i="67"/>
  <c r="S830" i="67"/>
  <c r="S69" i="67"/>
  <c r="S527" i="67"/>
  <c r="AB1268" i="67"/>
  <c r="S1250" i="67"/>
  <c r="L1368" i="67"/>
  <c r="AU378" i="67"/>
  <c r="AU833" i="67"/>
  <c r="AU530" i="67"/>
  <c r="AU72" i="67"/>
  <c r="AU225" i="67"/>
  <c r="S393" i="67"/>
  <c r="S848" i="67"/>
  <c r="S545" i="67"/>
  <c r="S697" i="67"/>
  <c r="S87" i="67"/>
  <c r="S240" i="67"/>
  <c r="AQ393" i="67"/>
  <c r="AQ848" i="67"/>
  <c r="AQ545" i="67"/>
  <c r="AQ697" i="67"/>
  <c r="AQ87" i="67"/>
  <c r="AQ240" i="67"/>
  <c r="AA375" i="67"/>
  <c r="AA222" i="67"/>
  <c r="AA830" i="67"/>
  <c r="AA527" i="67"/>
  <c r="AA69" i="67"/>
  <c r="AC546" i="67"/>
  <c r="AC394" i="67"/>
  <c r="AC88" i="67"/>
  <c r="AC241" i="67"/>
  <c r="AC698" i="67"/>
  <c r="AC849" i="67"/>
  <c r="AT393" i="67"/>
  <c r="AT848" i="67"/>
  <c r="AT87" i="67"/>
  <c r="AT240" i="67"/>
  <c r="AT545" i="67"/>
  <c r="AT697" i="67"/>
  <c r="AC375" i="67"/>
  <c r="AC222" i="67"/>
  <c r="AC830" i="67"/>
  <c r="AC69" i="67"/>
  <c r="AC527" i="67"/>
  <c r="AE1268" i="67"/>
  <c r="U1266" i="67"/>
  <c r="Q378" i="67"/>
  <c r="Q833" i="67"/>
  <c r="Q530" i="67"/>
  <c r="Q72" i="67"/>
  <c r="Q225" i="67"/>
  <c r="AF378" i="67"/>
  <c r="AF225" i="67"/>
  <c r="AF530" i="67"/>
  <c r="AF833" i="67"/>
  <c r="AF72" i="67"/>
  <c r="T375" i="67"/>
  <c r="T69" i="67"/>
  <c r="T527" i="67"/>
  <c r="T222" i="67"/>
  <c r="T830" i="67"/>
  <c r="AJ1268" i="67"/>
  <c r="AQ1368" i="67"/>
  <c r="AG1352" i="67"/>
  <c r="AG1368" i="67"/>
  <c r="AV1352" i="67"/>
  <c r="O1268" i="67"/>
  <c r="AW1352" i="67"/>
  <c r="AS1250" i="67"/>
  <c r="AK1266" i="67"/>
  <c r="W63" i="67"/>
  <c r="W369" i="67"/>
  <c r="W521" i="67"/>
  <c r="W216" i="67"/>
  <c r="W824" i="67"/>
  <c r="P378" i="67"/>
  <c r="P833" i="67"/>
  <c r="P72" i="67"/>
  <c r="P225" i="67"/>
  <c r="P530" i="67"/>
  <c r="K698" i="67"/>
  <c r="K394" i="67"/>
  <c r="K546" i="67"/>
  <c r="K88" i="67"/>
  <c r="K849" i="67"/>
  <c r="K241" i="67"/>
  <c r="AS377" i="67"/>
  <c r="AS529" i="67"/>
  <c r="AS832" i="67"/>
  <c r="AS71" i="67"/>
  <c r="AS224" i="67"/>
  <c r="V393" i="67"/>
  <c r="V848" i="67"/>
  <c r="V87" i="67"/>
  <c r="V240" i="67"/>
  <c r="V545" i="67"/>
  <c r="V697" i="67"/>
  <c r="AM378" i="67"/>
  <c r="AM530" i="67"/>
  <c r="AM72" i="67"/>
  <c r="AM833" i="67"/>
  <c r="AM225" i="67"/>
  <c r="AN393" i="67"/>
  <c r="AN848" i="67"/>
  <c r="AN545" i="67"/>
  <c r="AN697" i="67"/>
  <c r="AN87" i="67"/>
  <c r="AN240" i="67"/>
  <c r="AD377" i="67"/>
  <c r="AD529" i="67"/>
  <c r="AD832" i="67"/>
  <c r="AD71" i="67"/>
  <c r="AD224" i="67"/>
  <c r="X698" i="67"/>
  <c r="X394" i="67"/>
  <c r="X849" i="67"/>
  <c r="X546" i="67"/>
  <c r="X241" i="67"/>
  <c r="X88" i="67"/>
  <c r="AB391" i="67"/>
  <c r="AB238" i="67"/>
  <c r="AB846" i="67"/>
  <c r="AB695" i="67"/>
  <c r="AB85" i="67"/>
  <c r="AB543" i="67"/>
  <c r="L698" i="67"/>
  <c r="L394" i="67"/>
  <c r="L849" i="67"/>
  <c r="L546" i="67"/>
  <c r="L88" i="67"/>
  <c r="L241" i="67"/>
  <c r="K232" i="67"/>
  <c r="K385" i="67"/>
  <c r="K537" i="67"/>
  <c r="K840" i="67"/>
  <c r="K689" i="67"/>
  <c r="K79" i="67"/>
  <c r="AC378" i="67"/>
  <c r="AC530" i="67"/>
  <c r="AC833" i="67"/>
  <c r="AC72" i="67"/>
  <c r="AC225" i="67"/>
  <c r="X393" i="67"/>
  <c r="X848" i="67"/>
  <c r="X545" i="67"/>
  <c r="X697" i="67"/>
  <c r="X87" i="67"/>
  <c r="X240" i="67"/>
  <c r="AF393" i="67"/>
  <c r="AF848" i="67"/>
  <c r="AF545" i="67"/>
  <c r="AF697" i="67"/>
  <c r="AF87" i="67"/>
  <c r="AF240" i="67"/>
  <c r="Q832" i="67"/>
  <c r="Q377" i="67"/>
  <c r="Q529" i="67"/>
  <c r="Q71" i="67"/>
  <c r="Q224" i="67"/>
  <c r="W393" i="67"/>
  <c r="W848" i="67"/>
  <c r="W87" i="67"/>
  <c r="W240" i="67"/>
  <c r="W545" i="67"/>
  <c r="W697" i="67"/>
  <c r="U378" i="67"/>
  <c r="U72" i="67"/>
  <c r="U833" i="67"/>
  <c r="U530" i="67"/>
  <c r="U225" i="67"/>
  <c r="AI393" i="67"/>
  <c r="AI848" i="67"/>
  <c r="AI545" i="67"/>
  <c r="AI697" i="67"/>
  <c r="AI87" i="67"/>
  <c r="AI240" i="67"/>
  <c r="AV393" i="67"/>
  <c r="AV848" i="67"/>
  <c r="AV545" i="67"/>
  <c r="AV697" i="67"/>
  <c r="AV87" i="67"/>
  <c r="AV240" i="67"/>
  <c r="AK529" i="67"/>
  <c r="AK377" i="67"/>
  <c r="AK832" i="67"/>
  <c r="AK71" i="67"/>
  <c r="AK224" i="67"/>
  <c r="AO378" i="67"/>
  <c r="AO833" i="67"/>
  <c r="AO530" i="67"/>
  <c r="AO72" i="67"/>
  <c r="AO225" i="67"/>
  <c r="AH832" i="67"/>
  <c r="AH377" i="67"/>
  <c r="AH529" i="67"/>
  <c r="AH71" i="67"/>
  <c r="AH224" i="67"/>
  <c r="AE378" i="67"/>
  <c r="AE72" i="67"/>
  <c r="AE225" i="67"/>
  <c r="AE833" i="67"/>
  <c r="AE530" i="67"/>
  <c r="AB378" i="67"/>
  <c r="AB833" i="67"/>
  <c r="AB530" i="67"/>
  <c r="AB72" i="67"/>
  <c r="AB225" i="67"/>
  <c r="AJ157" i="65"/>
  <c r="AJ169" i="65" s="1"/>
  <c r="BL46" i="70"/>
  <c r="BL48" i="70"/>
  <c r="BE48" i="70"/>
  <c r="BE46" i="70"/>
  <c r="AC157" i="65"/>
  <c r="AC169" i="65" s="1"/>
  <c r="BD48" i="70"/>
  <c r="BD46" i="70"/>
  <c r="AB157" i="65"/>
  <c r="AB169" i="65" s="1"/>
  <c r="AV82" i="70"/>
  <c r="AV85" i="70" s="1"/>
  <c r="AV47" i="70"/>
  <c r="AM48" i="70"/>
  <c r="AM46" i="70"/>
  <c r="K157" i="65"/>
  <c r="K169" i="65" s="1"/>
  <c r="BB46" i="70"/>
  <c r="BB48" i="70"/>
  <c r="Z157" i="65"/>
  <c r="Z169" i="65" s="1"/>
  <c r="BC46" i="70"/>
  <c r="BC48" i="70"/>
  <c r="AA157" i="65"/>
  <c r="AA169" i="65" s="1"/>
  <c r="BA48" i="70"/>
  <c r="BA46" i="70"/>
  <c r="Y157" i="65"/>
  <c r="Y169" i="65" s="1"/>
  <c r="AZ46" i="70"/>
  <c r="AZ48" i="70"/>
  <c r="X157" i="65"/>
  <c r="X169" i="65" s="1"/>
  <c r="AQ82" i="70"/>
  <c r="AQ85" i="70" s="1"/>
  <c r="AQ47" i="70"/>
  <c r="AO48" i="70"/>
  <c r="AO46" i="70"/>
  <c r="M157" i="65"/>
  <c r="M169" i="65" s="1"/>
  <c r="AF45" i="70"/>
  <c r="BM82" i="70"/>
  <c r="BM85" i="70" s="1"/>
  <c r="BM47" i="70"/>
  <c r="AN48" i="70"/>
  <c r="AN46" i="70"/>
  <c r="L157" i="65"/>
  <c r="L169" i="65" s="1"/>
  <c r="AW46" i="70"/>
  <c r="U157" i="65"/>
  <c r="U169" i="65" s="1"/>
  <c r="AW48" i="70"/>
  <c r="E157" i="65"/>
  <c r="E169" i="65" s="1"/>
  <c r="AG48" i="70"/>
  <c r="AG46" i="70"/>
  <c r="AR48" i="70"/>
  <c r="AR46" i="70"/>
  <c r="P157" i="65"/>
  <c r="P169" i="65" s="1"/>
  <c r="BF46" i="70"/>
  <c r="AD157" i="65"/>
  <c r="AD169" i="65" s="1"/>
  <c r="BF48" i="70"/>
  <c r="BK82" i="70"/>
  <c r="BK85" i="70" s="1"/>
  <c r="BK47" i="70"/>
  <c r="BJ82" i="70"/>
  <c r="BJ85" i="70" s="1"/>
  <c r="BJ47" i="70"/>
  <c r="AX48" i="70"/>
  <c r="AX46" i="70"/>
  <c r="V157" i="65"/>
  <c r="V169" i="65" s="1"/>
  <c r="AY48" i="70"/>
  <c r="AY46" i="70"/>
  <c r="W157" i="65"/>
  <c r="W169" i="65" s="1"/>
  <c r="G157" i="65"/>
  <c r="G169" i="65" s="1"/>
  <c r="AI46" i="70"/>
  <c r="AI48" i="70"/>
  <c r="BH82" i="70"/>
  <c r="BH85" i="70" s="1"/>
  <c r="BH47" i="70"/>
  <c r="AT48" i="70"/>
  <c r="AT46" i="70"/>
  <c r="R157" i="65"/>
  <c r="R169" i="65" s="1"/>
  <c r="C157" i="65"/>
  <c r="C169" i="65" s="1"/>
  <c r="AE48" i="70"/>
  <c r="AE46" i="70"/>
  <c r="AP46" i="70"/>
  <c r="AP48" i="70"/>
  <c r="N157" i="65"/>
  <c r="N169" i="65" s="1"/>
  <c r="AM157" i="65"/>
  <c r="AM169" i="65" s="1"/>
  <c r="BO48" i="70"/>
  <c r="BO46" i="70"/>
  <c r="AE157" i="65"/>
  <c r="AE169" i="65" s="1"/>
  <c r="BG48" i="70"/>
  <c r="BG46" i="70"/>
  <c r="J157" i="65"/>
  <c r="J169" i="65" s="1"/>
  <c r="AL46" i="70"/>
  <c r="AL48" i="70"/>
  <c r="AG158" i="65"/>
  <c r="AG170" i="65" s="1"/>
  <c r="AF47" i="70"/>
  <c r="AF82" i="70"/>
  <c r="AF85" i="70" s="1"/>
  <c r="I157" i="65"/>
  <c r="I169" i="65" s="1"/>
  <c r="AK48" i="70"/>
  <c r="AK46" i="70"/>
  <c r="H157" i="65"/>
  <c r="H169" i="65" s="1"/>
  <c r="AJ46" i="70"/>
  <c r="AJ48" i="70"/>
  <c r="AH48" i="70"/>
  <c r="AH46" i="70"/>
  <c r="F157" i="65"/>
  <c r="F169" i="65" s="1"/>
  <c r="BN82" i="70"/>
  <c r="BN85" i="70" s="1"/>
  <c r="BN47" i="70"/>
  <c r="BP82" i="70"/>
  <c r="BP85" i="70" s="1"/>
  <c r="BP47" i="70"/>
  <c r="AU82" i="70"/>
  <c r="AU85" i="70" s="1"/>
  <c r="AU47" i="70"/>
  <c r="AS48" i="70"/>
  <c r="AS46" i="70"/>
  <c r="Q157" i="65"/>
  <c r="Q169" i="65" s="1"/>
  <c r="BJ108" i="34"/>
  <c r="BJ92" i="34"/>
  <c r="BA108" i="34"/>
  <c r="AY108" i="34"/>
  <c r="BO108" i="34"/>
  <c r="BM107" i="34"/>
  <c r="BL91" i="34"/>
  <c r="BE92" i="34"/>
  <c r="BA107" i="34"/>
  <c r="AO107" i="34"/>
  <c r="BF91" i="34"/>
  <c r="BE109" i="34"/>
  <c r="AU107" i="34"/>
  <c r="BO109" i="34"/>
  <c r="BF107" i="34"/>
  <c r="BA92" i="34"/>
  <c r="BP108" i="34"/>
  <c r="AS92" i="34"/>
  <c r="AT107" i="34"/>
  <c r="BI109" i="34"/>
  <c r="AT109" i="34"/>
  <c r="BL107" i="34"/>
  <c r="BN109" i="34"/>
  <c r="BK93" i="34"/>
  <c r="BP107" i="34"/>
  <c r="AV93" i="34"/>
  <c r="AR109" i="34"/>
  <c r="AO91" i="34"/>
  <c r="AU109" i="34"/>
  <c r="BA93" i="34"/>
  <c r="BP91" i="34"/>
  <c r="AZ109" i="34"/>
  <c r="AU91" i="34"/>
  <c r="AQ92" i="34"/>
  <c r="BJ107" i="34"/>
  <c r="BH108" i="34"/>
  <c r="AS108" i="34"/>
  <c r="AT108" i="34"/>
  <c r="BM91" i="34"/>
  <c r="BI93" i="34"/>
  <c r="BD107" i="34"/>
  <c r="BL108" i="34"/>
  <c r="BC91" i="34"/>
  <c r="AW109" i="34"/>
  <c r="BI91" i="34"/>
  <c r="BK109" i="34"/>
  <c r="BI107" i="34"/>
  <c r="BK91" i="34"/>
  <c r="AR93" i="34"/>
  <c r="BA91" i="34"/>
  <c r="BK107" i="34"/>
  <c r="BE93" i="34"/>
  <c r="AO109" i="34"/>
  <c r="BO93" i="34"/>
  <c r="AZ93" i="34"/>
  <c r="AQ108" i="34"/>
  <c r="BN108" i="34"/>
  <c r="AT93" i="34"/>
  <c r="BH92" i="34"/>
  <c r="BO92" i="34"/>
  <c r="AV92" i="34"/>
  <c r="AT92" i="34"/>
  <c r="AT91" i="34"/>
  <c r="BL92" i="34"/>
  <c r="BD109" i="34"/>
  <c r="BN93" i="34"/>
  <c r="BD91" i="34"/>
  <c r="BA109" i="34"/>
  <c r="BD93" i="34"/>
  <c r="AV109" i="34"/>
  <c r="AW91" i="34"/>
  <c r="AY92" i="34"/>
  <c r="AV108" i="34"/>
  <c r="AS93" i="34"/>
  <c r="BE91" i="34"/>
  <c r="AL91" i="34"/>
  <c r="AD91" i="34"/>
  <c r="AD107" i="34"/>
  <c r="AT21" i="45"/>
  <c r="AS6" i="45"/>
  <c r="AT13" i="45"/>
  <c r="AE45" i="36"/>
  <c r="L1461" i="67" s="1"/>
  <c r="AF41" i="68" s="1"/>
  <c r="E37" i="62" s="1"/>
  <c r="AG158" i="34"/>
  <c r="BM6" i="34"/>
  <c r="AK158" i="34"/>
  <c r="AL172" i="34"/>
  <c r="AL156" i="34"/>
  <c r="AL36" i="34"/>
  <c r="AW52" i="36"/>
  <c r="AD1468" i="67" s="1"/>
  <c r="AD971" i="67" s="1"/>
  <c r="BM38" i="34"/>
  <c r="BM20" i="34"/>
  <c r="BM158" i="34"/>
  <c r="BM52" i="36"/>
  <c r="AT1468" i="67" s="1"/>
  <c r="AT971" i="67" s="1"/>
  <c r="AK6" i="34"/>
  <c r="AH158" i="34"/>
  <c r="AD18" i="34"/>
  <c r="AK52" i="36"/>
  <c r="AO156" i="34"/>
  <c r="AG68" i="36"/>
  <c r="AV6" i="34"/>
  <c r="AK68" i="36"/>
  <c r="BM68" i="36"/>
  <c r="AT1484" i="67" s="1"/>
  <c r="AT987" i="67" s="1"/>
  <c r="AK4" i="34"/>
  <c r="AI51" i="36"/>
  <c r="BC66" i="36"/>
  <c r="AS38" i="34"/>
  <c r="BM173" i="34"/>
  <c r="AX157" i="34"/>
  <c r="AE172" i="34"/>
  <c r="AH50" i="36"/>
  <c r="AR66" i="36"/>
  <c r="AY174" i="34"/>
  <c r="AS20" i="34"/>
  <c r="BP6" i="34"/>
  <c r="BM67" i="36"/>
  <c r="AT1483" i="67" s="1"/>
  <c r="AT986" i="67" s="1"/>
  <c r="AX173" i="34"/>
  <c r="AX51" i="36"/>
  <c r="AE1467" i="67" s="1"/>
  <c r="AE970" i="67" s="1"/>
  <c r="BK158" i="34"/>
  <c r="AS50" i="36"/>
  <c r="AE156" i="34"/>
  <c r="AG6" i="34"/>
  <c r="AH66" i="36"/>
  <c r="AR4" i="34"/>
  <c r="AO158" i="34"/>
  <c r="AR36" i="34"/>
  <c r="AO20" i="34"/>
  <c r="AY52" i="36"/>
  <c r="AF1468" i="67" s="1"/>
  <c r="AF971" i="67" s="1"/>
  <c r="AW18" i="34"/>
  <c r="AD158" i="34"/>
  <c r="BJ36" i="34"/>
  <c r="AU173" i="34"/>
  <c r="BN18" i="34"/>
  <c r="BH52" i="36"/>
  <c r="AO1468" i="67" s="1"/>
  <c r="AO971" i="67" s="1"/>
  <c r="AG173" i="34"/>
  <c r="AS66" i="36"/>
  <c r="BN4" i="34"/>
  <c r="AE18" i="34"/>
  <c r="AE66" i="36"/>
  <c r="AE158" i="34"/>
  <c r="AG38" i="34"/>
  <c r="AE20" i="45" s="1"/>
  <c r="AG20" i="34"/>
  <c r="AW172" i="34"/>
  <c r="AG51" i="36"/>
  <c r="AH156" i="34"/>
  <c r="BH156" i="34"/>
  <c r="AO52" i="36"/>
  <c r="V1468" i="67" s="1"/>
  <c r="V971" i="67" s="1"/>
  <c r="AR50" i="36"/>
  <c r="BH50" i="36"/>
  <c r="AY38" i="34"/>
  <c r="BJ4" i="34"/>
  <c r="BB52" i="36"/>
  <c r="AI1468" i="67" s="1"/>
  <c r="AI971" i="67" s="1"/>
  <c r="AU51" i="36"/>
  <c r="AB1467" i="67" s="1"/>
  <c r="AB970" i="67" s="1"/>
  <c r="BH68" i="36"/>
  <c r="AO1484" i="67" s="1"/>
  <c r="AO987" i="67" s="1"/>
  <c r="BL20" i="34"/>
  <c r="AK18" i="34"/>
  <c r="AV4" i="34"/>
  <c r="AW66" i="36"/>
  <c r="AU67" i="36"/>
  <c r="AB1483" i="67" s="1"/>
  <c r="AB986" i="67" s="1"/>
  <c r="BE36" i="34"/>
  <c r="BE66" i="36"/>
  <c r="BJ173" i="34"/>
  <c r="BP51" i="36"/>
  <c r="AW1467" i="67" s="1"/>
  <c r="AW970" i="67" s="1"/>
  <c r="AV173" i="34"/>
  <c r="BC20" i="34"/>
  <c r="AP174" i="34"/>
  <c r="AP68" i="36"/>
  <c r="W1484" i="67" s="1"/>
  <c r="W987" i="67" s="1"/>
  <c r="AT158" i="34"/>
  <c r="AP52" i="36"/>
  <c r="W1468" i="67" s="1"/>
  <c r="W971" i="67" s="1"/>
  <c r="BM51" i="36"/>
  <c r="AT1467" i="67" s="1"/>
  <c r="AT970" i="67" s="1"/>
  <c r="BM37" i="34"/>
  <c r="AX67" i="36"/>
  <c r="AE1483" i="67" s="1"/>
  <c r="AE986" i="67" s="1"/>
  <c r="BH66" i="36"/>
  <c r="BN173" i="34"/>
  <c r="AX19" i="34"/>
  <c r="AX5" i="34"/>
  <c r="BL174" i="34"/>
  <c r="AP18" i="34"/>
  <c r="AE36" i="34"/>
  <c r="AE174" i="34"/>
  <c r="AG174" i="34"/>
  <c r="AI5" i="34"/>
  <c r="AG5" i="45" s="1"/>
  <c r="AH36" i="34"/>
  <c r="AR156" i="34"/>
  <c r="AO174" i="34"/>
  <c r="AO38" i="34"/>
  <c r="BN156" i="34"/>
  <c r="AU52" i="36"/>
  <c r="AB1468" i="67" s="1"/>
  <c r="AB971" i="67" s="1"/>
  <c r="AL66" i="36"/>
  <c r="AR20" i="34"/>
  <c r="AY20" i="34"/>
  <c r="AX66" i="36"/>
  <c r="AX4" i="34"/>
  <c r="AX18" i="34"/>
  <c r="AX172" i="34"/>
  <c r="AX36" i="34"/>
  <c r="AX50" i="36"/>
  <c r="AX156" i="34"/>
  <c r="BC158" i="34"/>
  <c r="AW4" i="34"/>
  <c r="BP38" i="34"/>
  <c r="AW156" i="34"/>
  <c r="BP52" i="36"/>
  <c r="AW1468" i="67" s="1"/>
  <c r="AW971" i="67" s="1"/>
  <c r="BE156" i="34"/>
  <c r="AP36" i="34"/>
  <c r="AP156" i="34"/>
  <c r="BL6" i="34"/>
  <c r="BL68" i="36"/>
  <c r="AS1484" i="67" s="1"/>
  <c r="AS987" i="67" s="1"/>
  <c r="BE172" i="34"/>
  <c r="BL158" i="34"/>
  <c r="AW36" i="34"/>
  <c r="BH174" i="34"/>
  <c r="AP66" i="36"/>
  <c r="AD174" i="34"/>
  <c r="AD38" i="34"/>
  <c r="AE38" i="34"/>
  <c r="AE52" i="36"/>
  <c r="AI19" i="34"/>
  <c r="AG12" i="45" s="1"/>
  <c r="AI37" i="34"/>
  <c r="AG20" i="45" s="1"/>
  <c r="AG5" i="34"/>
  <c r="AG67" i="36"/>
  <c r="AS158" i="34"/>
  <c r="AS174" i="34"/>
  <c r="AY68" i="36"/>
  <c r="AF1484" i="67" s="1"/>
  <c r="AF987" i="67" s="1"/>
  <c r="AL51" i="36"/>
  <c r="S1467" i="67" s="1"/>
  <c r="S970" i="67" s="1"/>
  <c r="BB6" i="34"/>
  <c r="AJ172" i="34"/>
  <c r="AJ18" i="34"/>
  <c r="AJ50" i="36"/>
  <c r="AJ4" i="34"/>
  <c r="AJ156" i="34"/>
  <c r="AJ36" i="34"/>
  <c r="AJ66" i="36"/>
  <c r="BG174" i="34"/>
  <c r="BG6" i="34"/>
  <c r="BG52" i="36"/>
  <c r="AN1468" i="67" s="1"/>
  <c r="AN971" i="67" s="1"/>
  <c r="BG20" i="34"/>
  <c r="BG68" i="36"/>
  <c r="AN1484" i="67" s="1"/>
  <c r="AN987" i="67" s="1"/>
  <c r="BG38" i="34"/>
  <c r="BG158" i="34"/>
  <c r="AL20" i="34"/>
  <c r="AL52" i="36"/>
  <c r="S1468" i="67" s="1"/>
  <c r="S971" i="67" s="1"/>
  <c r="AL68" i="36"/>
  <c r="S1484" i="67" s="1"/>
  <c r="S987" i="67" s="1"/>
  <c r="AL38" i="34"/>
  <c r="AL158" i="34"/>
  <c r="AL6" i="34"/>
  <c r="AL174" i="34"/>
  <c r="BB157" i="34"/>
  <c r="BB19" i="34"/>
  <c r="BB5" i="34"/>
  <c r="BB51" i="36"/>
  <c r="AI1467" i="67" s="1"/>
  <c r="AI970" i="67" s="1"/>
  <c r="BB37" i="34"/>
  <c r="BB173" i="34"/>
  <c r="BB67" i="36"/>
  <c r="AI1483" i="67" s="1"/>
  <c r="AI986" i="67" s="1"/>
  <c r="AQ20" i="34"/>
  <c r="AQ68" i="36"/>
  <c r="X1484" i="67" s="1"/>
  <c r="X987" i="67" s="1"/>
  <c r="AQ38" i="34"/>
  <c r="AQ52" i="36"/>
  <c r="X1468" i="67" s="1"/>
  <c r="X971" i="67" s="1"/>
  <c r="AQ158" i="34"/>
  <c r="AQ174" i="34"/>
  <c r="AQ6" i="34"/>
  <c r="AM6" i="34"/>
  <c r="AM52" i="36"/>
  <c r="T1468" i="67" s="1"/>
  <c r="T971" i="67" s="1"/>
  <c r="AM20" i="34"/>
  <c r="AM158" i="34"/>
  <c r="AM174" i="34"/>
  <c r="AM68" i="36"/>
  <c r="T1484" i="67" s="1"/>
  <c r="T987" i="67" s="1"/>
  <c r="AM38" i="34"/>
  <c r="BO18" i="34"/>
  <c r="BO50" i="36"/>
  <c r="BO156" i="34"/>
  <c r="BO36" i="34"/>
  <c r="BO172" i="34"/>
  <c r="BO4" i="34"/>
  <c r="BO66" i="36"/>
  <c r="AM5" i="34"/>
  <c r="AM19" i="34"/>
  <c r="AM157" i="34"/>
  <c r="AM67" i="36"/>
  <c r="T1483" i="67" s="1"/>
  <c r="T986" i="67" s="1"/>
  <c r="AM173" i="34"/>
  <c r="AM37" i="34"/>
  <c r="AM51" i="36"/>
  <c r="T1467" i="67" s="1"/>
  <c r="T970" i="67" s="1"/>
  <c r="AV172" i="34"/>
  <c r="AV156" i="34"/>
  <c r="AV66" i="36"/>
  <c r="BC68" i="36"/>
  <c r="AJ1484" i="67" s="1"/>
  <c r="AJ987" i="67" s="1"/>
  <c r="AS68" i="36"/>
  <c r="Z1484" i="67" s="1"/>
  <c r="Z987" i="67" s="1"/>
  <c r="BP158" i="34"/>
  <c r="AP50" i="36"/>
  <c r="BH158" i="34"/>
  <c r="BF158" i="34"/>
  <c r="BP68" i="36"/>
  <c r="AW1484" i="67" s="1"/>
  <c r="AW987" i="67" s="1"/>
  <c r="BC52" i="36"/>
  <c r="AJ1468" i="67" s="1"/>
  <c r="AJ971" i="67" s="1"/>
  <c r="AK172" i="34"/>
  <c r="BN66" i="36"/>
  <c r="AD6" i="34"/>
  <c r="AD52" i="36"/>
  <c r="K1468" i="67" s="1"/>
  <c r="K971" i="67" s="1"/>
  <c r="AE6" i="34"/>
  <c r="AE68" i="36"/>
  <c r="AI157" i="34"/>
  <c r="AG53" i="45" s="1"/>
  <c r="AG19" i="34"/>
  <c r="BF38" i="34"/>
  <c r="BF20" i="34"/>
  <c r="AL157" i="34"/>
  <c r="AL173" i="34"/>
  <c r="AL19" i="34"/>
  <c r="BJ50" i="36"/>
  <c r="BB68" i="36"/>
  <c r="AI1484" i="67" s="1"/>
  <c r="AI987" i="67" s="1"/>
  <c r="BB38" i="34"/>
  <c r="BB174" i="34"/>
  <c r="BB158" i="34"/>
  <c r="AY156" i="34"/>
  <c r="AY4" i="34"/>
  <c r="AY66" i="36"/>
  <c r="AY36" i="34"/>
  <c r="AY172" i="34"/>
  <c r="AY18" i="34"/>
  <c r="AY50" i="36"/>
  <c r="AZ19" i="34"/>
  <c r="AZ51" i="36"/>
  <c r="AG1467" i="67" s="1"/>
  <c r="AG970" i="67" s="1"/>
  <c r="AZ173" i="34"/>
  <c r="AZ67" i="36"/>
  <c r="AG1483" i="67" s="1"/>
  <c r="AG986" i="67" s="1"/>
  <c r="AZ37" i="34"/>
  <c r="AZ157" i="34"/>
  <c r="AZ5" i="34"/>
  <c r="AX38" i="34"/>
  <c r="AX20" i="34"/>
  <c r="AX6" i="34"/>
  <c r="AX174" i="34"/>
  <c r="AX158" i="34"/>
  <c r="AX52" i="36"/>
  <c r="AE1468" i="67" s="1"/>
  <c r="AE971" i="67" s="1"/>
  <c r="AX68" i="36"/>
  <c r="AE1484" i="67" s="1"/>
  <c r="AE987" i="67" s="1"/>
  <c r="AN6" i="34"/>
  <c r="AN174" i="34"/>
  <c r="AN68" i="36"/>
  <c r="U1484" i="67" s="1"/>
  <c r="U987" i="67" s="1"/>
  <c r="AN38" i="34"/>
  <c r="AN20" i="34"/>
  <c r="AN158" i="34"/>
  <c r="AN52" i="36"/>
  <c r="U1468" i="67" s="1"/>
  <c r="U971" i="67" s="1"/>
  <c r="AQ19" i="34"/>
  <c r="AQ37" i="34"/>
  <c r="AQ5" i="34"/>
  <c r="AQ157" i="34"/>
  <c r="AJ173" i="34"/>
  <c r="AJ51" i="36"/>
  <c r="AJ67" i="36"/>
  <c r="AJ157" i="34"/>
  <c r="AJ19" i="34"/>
  <c r="AJ5" i="34"/>
  <c r="AJ37" i="34"/>
  <c r="AZ172" i="34"/>
  <c r="AZ4" i="34"/>
  <c r="AZ156" i="34"/>
  <c r="AZ18" i="34"/>
  <c r="AZ66" i="36"/>
  <c r="AZ50" i="36"/>
  <c r="AZ36" i="34"/>
  <c r="BG4" i="34"/>
  <c r="BG18" i="34"/>
  <c r="BG50" i="36"/>
  <c r="BG66" i="36"/>
  <c r="BG156" i="34"/>
  <c r="BG172" i="34"/>
  <c r="BG36" i="34"/>
  <c r="AN173" i="34"/>
  <c r="AN37" i="34"/>
  <c r="AN5" i="34"/>
  <c r="AN67" i="36"/>
  <c r="U1483" i="67" s="1"/>
  <c r="U986" i="67" s="1"/>
  <c r="AN19" i="34"/>
  <c r="AN51" i="36"/>
  <c r="U1467" i="67" s="1"/>
  <c r="U970" i="67" s="1"/>
  <c r="AN157" i="34"/>
  <c r="AV50" i="36"/>
  <c r="AV18" i="34"/>
  <c r="BC174" i="34"/>
  <c r="AS6" i="34"/>
  <c r="BF68" i="36"/>
  <c r="AM1484" i="67" s="1"/>
  <c r="AM987" i="67" s="1"/>
  <c r="AP4" i="34"/>
  <c r="BE18" i="34"/>
  <c r="BH20" i="34"/>
  <c r="BF52" i="36"/>
  <c r="AM1468" i="67" s="1"/>
  <c r="AM971" i="67" s="1"/>
  <c r="BH6" i="34"/>
  <c r="BF174" i="34"/>
  <c r="BC38" i="34"/>
  <c r="BE4" i="34"/>
  <c r="BL52" i="36"/>
  <c r="AS1468" i="67" s="1"/>
  <c r="AS971" i="67" s="1"/>
  <c r="BN50" i="36"/>
  <c r="BN172" i="34"/>
  <c r="AK50" i="36"/>
  <c r="AK156" i="34"/>
  <c r="AD20" i="34"/>
  <c r="AD68" i="36"/>
  <c r="K1484" i="67" s="1"/>
  <c r="K987" i="67" s="1"/>
  <c r="AI173" i="34"/>
  <c r="AG54" i="45" s="1"/>
  <c r="AG157" i="34"/>
  <c r="BP20" i="34"/>
  <c r="AK66" i="36"/>
  <c r="AL67" i="36"/>
  <c r="S1483" i="67" s="1"/>
  <c r="S986" i="67" s="1"/>
  <c r="AL5" i="34"/>
  <c r="AY158" i="34"/>
  <c r="BJ156" i="34"/>
  <c r="BJ18" i="34"/>
  <c r="BJ172" i="34"/>
  <c r="AJ38" i="34"/>
  <c r="AJ6" i="34"/>
  <c r="AJ68" i="36"/>
  <c r="AJ20" i="34"/>
  <c r="AJ52" i="36"/>
  <c r="AJ174" i="34"/>
  <c r="AJ158" i="34"/>
  <c r="BJ38" i="34"/>
  <c r="BJ52" i="36"/>
  <c r="AQ1468" i="67" s="1"/>
  <c r="AQ971" i="67" s="1"/>
  <c r="BJ68" i="36"/>
  <c r="AQ1484" i="67" s="1"/>
  <c r="AQ987" i="67" s="1"/>
  <c r="BJ20" i="34"/>
  <c r="BJ174" i="34"/>
  <c r="BJ6" i="34"/>
  <c r="BJ158" i="34"/>
  <c r="BG157" i="34"/>
  <c r="BG67" i="36"/>
  <c r="AN1483" i="67" s="1"/>
  <c r="AN986" i="67" s="1"/>
  <c r="BG37" i="34"/>
  <c r="BG51" i="36"/>
  <c r="AN1467" i="67" s="1"/>
  <c r="AN970" i="67" s="1"/>
  <c r="BG173" i="34"/>
  <c r="BG5" i="34"/>
  <c r="BG19" i="34"/>
  <c r="AN66" i="36"/>
  <c r="AN156" i="34"/>
  <c r="AN36" i="34"/>
  <c r="AN172" i="34"/>
  <c r="AN50" i="36"/>
  <c r="AN4" i="34"/>
  <c r="AN18" i="34"/>
  <c r="BB50" i="36"/>
  <c r="BB18" i="34"/>
  <c r="BB36" i="34"/>
  <c r="BB172" i="34"/>
  <c r="BB4" i="34"/>
  <c r="BB66" i="36"/>
  <c r="BB156" i="34"/>
  <c r="AQ50" i="36"/>
  <c r="AQ66" i="36"/>
  <c r="AQ18" i="34"/>
  <c r="AQ36" i="34"/>
  <c r="AM66" i="36"/>
  <c r="AM18" i="34"/>
  <c r="AM156" i="34"/>
  <c r="AM172" i="34"/>
  <c r="AM36" i="34"/>
  <c r="AM4" i="34"/>
  <c r="AM50" i="36"/>
  <c r="AW24" i="34"/>
  <c r="AW43" i="34"/>
  <c r="AW4" i="36"/>
  <c r="AW42" i="34"/>
  <c r="AW72" i="36"/>
  <c r="AX4" i="36"/>
  <c r="AW56" i="36"/>
  <c r="AW162" i="34"/>
  <c r="AW178" i="34"/>
  <c r="AF26" i="45"/>
  <c r="AB18" i="45"/>
  <c r="AE26" i="45"/>
  <c r="AC26" i="45"/>
  <c r="AY18" i="45"/>
  <c r="AB26" i="45"/>
  <c r="AG18" i="45"/>
  <c r="AE18" i="45"/>
  <c r="AF18" i="45"/>
  <c r="AC18" i="45"/>
  <c r="AQ26" i="45"/>
  <c r="AG26" i="45"/>
  <c r="AD26" i="45"/>
  <c r="AD18" i="45"/>
  <c r="AF67" i="36"/>
  <c r="M1483" i="67" s="1"/>
  <c r="M986" i="67" s="1"/>
  <c r="AF51" i="36"/>
  <c r="M1512" i="67" s="1"/>
  <c r="AF37" i="34"/>
  <c r="AD20" i="45" s="1"/>
  <c r="AF19" i="34"/>
  <c r="AD12" i="45" s="1"/>
  <c r="AF5" i="34"/>
  <c r="AD5" i="45" s="1"/>
  <c r="AF157" i="34"/>
  <c r="AD53" i="45" s="1"/>
  <c r="AF173" i="34"/>
  <c r="AD54" i="45" s="1"/>
  <c r="AE51" i="36"/>
  <c r="AE67" i="36"/>
  <c r="AE19" i="34"/>
  <c r="AE5" i="34"/>
  <c r="AE37" i="34"/>
  <c r="AE173" i="34"/>
  <c r="AE157" i="34"/>
  <c r="AH51" i="36"/>
  <c r="AH67" i="36"/>
  <c r="AH19" i="34"/>
  <c r="AF12" i="45" s="1"/>
  <c r="AH5" i="34"/>
  <c r="AF5" i="45" s="1"/>
  <c r="AH37" i="34"/>
  <c r="AH157" i="34"/>
  <c r="AH173" i="34"/>
  <c r="AF54" i="45" s="1"/>
  <c r="AD67" i="36"/>
  <c r="K1483" i="67" s="1"/>
  <c r="K986" i="67" s="1"/>
  <c r="AD51" i="36"/>
  <c r="K1467" i="67" s="1"/>
  <c r="K970" i="67" s="1"/>
  <c r="AD37" i="34"/>
  <c r="AD173" i="34"/>
  <c r="AD19" i="34"/>
  <c r="AD5" i="34"/>
  <c r="AD157" i="34"/>
  <c r="AI138" i="34"/>
  <c r="AI142" i="34"/>
  <c r="BB26" i="45"/>
  <c r="BF5" i="34"/>
  <c r="BF173" i="34"/>
  <c r="BE67" i="36"/>
  <c r="AL1483" i="67" s="1"/>
  <c r="AL986" i="67" s="1"/>
  <c r="BE37" i="34"/>
  <c r="BF67" i="36"/>
  <c r="AM1483" i="67" s="1"/>
  <c r="AM986" i="67" s="1"/>
  <c r="AU157" i="34"/>
  <c r="AU5" i="34"/>
  <c r="AU37" i="34"/>
  <c r="BE173" i="34"/>
  <c r="BE157" i="34"/>
  <c r="BE19" i="34"/>
  <c r="BF157" i="34"/>
  <c r="BF51" i="36"/>
  <c r="AM1467" i="67" s="1"/>
  <c r="AM970" i="67" s="1"/>
  <c r="BE5" i="34"/>
  <c r="BN51" i="36"/>
  <c r="AU1467" i="67" s="1"/>
  <c r="AU970" i="67" s="1"/>
  <c r="BN5" i="34"/>
  <c r="BN157" i="34"/>
  <c r="BM157" i="34"/>
  <c r="AK157" i="34"/>
  <c r="AK67" i="36"/>
  <c r="AK19" i="34"/>
  <c r="AK5" i="34"/>
  <c r="AR19" i="34"/>
  <c r="AR173" i="34"/>
  <c r="AR5" i="34"/>
  <c r="AR67" i="36"/>
  <c r="Y1483" i="67" s="1"/>
  <c r="Y986" i="67" s="1"/>
  <c r="AR157" i="34"/>
  <c r="AR37" i="34"/>
  <c r="AR51" i="36"/>
  <c r="Y1467" i="67" s="1"/>
  <c r="Y970" i="67" s="1"/>
  <c r="BI157" i="34"/>
  <c r="BI19" i="34"/>
  <c r="BI37" i="34"/>
  <c r="BI173" i="34"/>
  <c r="BI51" i="36"/>
  <c r="AP1467" i="67" s="1"/>
  <c r="AP970" i="67" s="1"/>
  <c r="BI5" i="34"/>
  <c r="BI67" i="36"/>
  <c r="AP1483" i="67" s="1"/>
  <c r="AP986" i="67" s="1"/>
  <c r="AP19" i="34"/>
  <c r="AP51" i="36"/>
  <c r="W1467" i="67" s="1"/>
  <c r="W970" i="67" s="1"/>
  <c r="AP173" i="34"/>
  <c r="AP67" i="36"/>
  <c r="W1483" i="67" s="1"/>
  <c r="W986" i="67" s="1"/>
  <c r="AP37" i="34"/>
  <c r="AP5" i="34"/>
  <c r="AP157" i="34"/>
  <c r="BK37" i="34"/>
  <c r="BK173" i="34"/>
  <c r="BK5" i="34"/>
  <c r="BK51" i="36"/>
  <c r="AR1467" i="67" s="1"/>
  <c r="AR970" i="67" s="1"/>
  <c r="BK19" i="34"/>
  <c r="BK67" i="36"/>
  <c r="AR1483" i="67" s="1"/>
  <c r="AR986" i="67" s="1"/>
  <c r="BK157" i="34"/>
  <c r="BD157" i="34"/>
  <c r="BD67" i="36"/>
  <c r="AK1483" i="67" s="1"/>
  <c r="AK986" i="67" s="1"/>
  <c r="BD37" i="34"/>
  <c r="BD173" i="34"/>
  <c r="BD19" i="34"/>
  <c r="BD5" i="34"/>
  <c r="BD51" i="36"/>
  <c r="AK1467" i="67" s="1"/>
  <c r="AK970" i="67" s="1"/>
  <c r="AW19" i="34"/>
  <c r="AW51" i="36"/>
  <c r="AD1467" i="67" s="1"/>
  <c r="AD970" i="67" s="1"/>
  <c r="AW37" i="34"/>
  <c r="AW67" i="36"/>
  <c r="AD1483" i="67" s="1"/>
  <c r="AD986" i="67" s="1"/>
  <c r="AW173" i="34"/>
  <c r="AW5" i="34"/>
  <c r="AW157" i="34"/>
  <c r="AO37" i="34"/>
  <c r="AO67" i="36"/>
  <c r="V1483" i="67" s="1"/>
  <c r="V986" i="67" s="1"/>
  <c r="AO173" i="34"/>
  <c r="AO19" i="34"/>
  <c r="AO5" i="34"/>
  <c r="AO157" i="34"/>
  <c r="AO51" i="36"/>
  <c r="V1467" i="67" s="1"/>
  <c r="V970" i="67" s="1"/>
  <c r="BC5" i="34"/>
  <c r="BC51" i="36"/>
  <c r="AJ1467" i="67" s="1"/>
  <c r="AJ970" i="67" s="1"/>
  <c r="BC173" i="34"/>
  <c r="BC67" i="36"/>
  <c r="AJ1483" i="67" s="1"/>
  <c r="AJ986" i="67" s="1"/>
  <c r="BC157" i="34"/>
  <c r="BC37" i="34"/>
  <c r="BC19" i="34"/>
  <c r="BG26" i="45"/>
  <c r="AU18" i="45"/>
  <c r="AS26" i="45"/>
  <c r="AN26" i="45"/>
  <c r="AL18" i="45"/>
  <c r="AV26" i="45"/>
  <c r="BD18" i="45"/>
  <c r="AS18" i="45"/>
  <c r="BF26" i="45"/>
  <c r="BJ26" i="45"/>
  <c r="AP18" i="45"/>
  <c r="AT18" i="45"/>
  <c r="BI26" i="45"/>
  <c r="BK26" i="45"/>
  <c r="BN18" i="45"/>
  <c r="AK26" i="45"/>
  <c r="AZ18" i="45"/>
  <c r="AP26" i="45"/>
  <c r="BA18" i="45"/>
  <c r="AJ26" i="45"/>
  <c r="BK18" i="45"/>
  <c r="AW26" i="45"/>
  <c r="AY26" i="45"/>
  <c r="BJ18" i="45"/>
  <c r="BA26" i="45"/>
  <c r="AL26" i="45"/>
  <c r="BI18" i="45"/>
  <c r="BC18" i="45"/>
  <c r="AH18" i="45"/>
  <c r="BB18" i="45"/>
  <c r="AW18" i="45"/>
  <c r="AH26" i="45"/>
  <c r="AK18" i="45"/>
  <c r="AO18" i="45"/>
  <c r="BN26" i="45"/>
  <c r="AT26" i="45"/>
  <c r="BF18" i="45"/>
  <c r="AU26" i="45"/>
  <c r="BE18" i="45"/>
  <c r="AX18" i="45"/>
  <c r="BG18" i="45"/>
  <c r="AN18" i="45"/>
  <c r="BC26" i="45"/>
  <c r="AJ18" i="45"/>
  <c r="AO26" i="45"/>
  <c r="BH18" i="45"/>
  <c r="BL26" i="45"/>
  <c r="BE26" i="45"/>
  <c r="AI18" i="45"/>
  <c r="BH26" i="45"/>
  <c r="AR26" i="45"/>
  <c r="AI26" i="45"/>
  <c r="AQ18" i="45"/>
  <c r="BM18" i="45"/>
  <c r="AM18" i="45"/>
  <c r="AR18" i="45"/>
  <c r="AV18" i="45"/>
  <c r="BD26" i="45"/>
  <c r="BL18" i="45"/>
  <c r="BM26" i="45"/>
  <c r="AM26" i="45"/>
  <c r="AX26" i="45"/>
  <c r="AZ26" i="45"/>
  <c r="AN120" i="34"/>
  <c r="AT120" i="34"/>
  <c r="AE18" i="68" l="1"/>
  <c r="D19" i="62" s="1"/>
  <c r="AG47" i="45"/>
  <c r="N1517" i="67"/>
  <c r="AB1287" i="67"/>
  <c r="S1301" i="67"/>
  <c r="X1285" i="67"/>
  <c r="AV1287" i="67"/>
  <c r="AO1287" i="67"/>
  <c r="AM1303" i="67"/>
  <c r="AT1287" i="67"/>
  <c r="W1285" i="67"/>
  <c r="AO1303" i="67"/>
  <c r="R1303" i="67"/>
  <c r="AG1303" i="67"/>
  <c r="L1516" i="67"/>
  <c r="AH1287" i="67"/>
  <c r="AD1287" i="67"/>
  <c r="K1304" i="67"/>
  <c r="Y1301" i="67"/>
  <c r="O1287" i="67"/>
  <c r="X1301" i="67"/>
  <c r="L1287" i="67"/>
  <c r="Q1301" i="67"/>
  <c r="W1301" i="67"/>
  <c r="K1288" i="67"/>
  <c r="AC1301" i="67"/>
  <c r="Z1301" i="67"/>
  <c r="T1287" i="67"/>
  <c r="X1287" i="67"/>
  <c r="R1285" i="67"/>
  <c r="K1279" i="67"/>
  <c r="AA1287" i="67"/>
  <c r="W1287" i="67"/>
  <c r="AC1285" i="67"/>
  <c r="AL1287" i="67"/>
  <c r="S1287" i="67"/>
  <c r="Q1285" i="67"/>
  <c r="L1303" i="67"/>
  <c r="V1287" i="67"/>
  <c r="V1301" i="67"/>
  <c r="Y1285" i="67"/>
  <c r="R1287" i="67"/>
  <c r="AF1287" i="67"/>
  <c r="AN1287" i="67"/>
  <c r="T1301" i="67"/>
  <c r="M1287" i="67"/>
  <c r="AK1287" i="67"/>
  <c r="Q1287" i="67"/>
  <c r="AS1287" i="67"/>
  <c r="S1285" i="67"/>
  <c r="Z1285" i="67"/>
  <c r="AR1287" i="67"/>
  <c r="AM1287" i="67"/>
  <c r="U1287" i="67"/>
  <c r="AC1287" i="67"/>
  <c r="AP1287" i="67"/>
  <c r="AP1303" i="67"/>
  <c r="AB1285" i="67"/>
  <c r="AI1287" i="67"/>
  <c r="AG1287" i="67"/>
  <c r="N1287" i="67"/>
  <c r="M1517" i="67"/>
  <c r="K1303" i="67"/>
  <c r="AI1303" i="67"/>
  <c r="AB1301" i="67"/>
  <c r="T1285" i="67"/>
  <c r="AU1287" i="67"/>
  <c r="K1295" i="67"/>
  <c r="AA1285" i="67"/>
  <c r="Y1287" i="67"/>
  <c r="Z1287" i="67"/>
  <c r="K1287" i="67"/>
  <c r="AE1287" i="67"/>
  <c r="U1285" i="67"/>
  <c r="O1303" i="67"/>
  <c r="V1285" i="67"/>
  <c r="AJ1287" i="67"/>
  <c r="AQ1287" i="67"/>
  <c r="R1301" i="67"/>
  <c r="P1287" i="67"/>
  <c r="U1301" i="67"/>
  <c r="AA1301" i="67"/>
  <c r="T1482" i="67"/>
  <c r="T985" i="67" s="1"/>
  <c r="X1466" i="67"/>
  <c r="X969" i="67" s="1"/>
  <c r="AJ92" i="34"/>
  <c r="Q1467" i="67"/>
  <c r="Q970" i="67" s="1"/>
  <c r="AE93" i="34"/>
  <c r="L1468" i="67"/>
  <c r="L971" i="67" s="1"/>
  <c r="W1482" i="67"/>
  <c r="W985" i="67" s="1"/>
  <c r="AE1466" i="67"/>
  <c r="AE969" i="67" s="1"/>
  <c r="AO1482" i="67"/>
  <c r="AO985" i="67" s="1"/>
  <c r="AL1482" i="67"/>
  <c r="AL985" i="67" s="1"/>
  <c r="AW113" i="34"/>
  <c r="AD1488" i="67"/>
  <c r="AJ109" i="34"/>
  <c r="Q1484" i="67"/>
  <c r="Q987" i="67" s="1"/>
  <c r="AN1466" i="67"/>
  <c r="AN969" i="67" s="1"/>
  <c r="AE1482" i="67"/>
  <c r="AE985" i="67" s="1"/>
  <c r="AG92" i="34"/>
  <c r="N1467" i="67"/>
  <c r="N970" i="67" s="1"/>
  <c r="Z1482" i="67"/>
  <c r="Z985" i="67" s="1"/>
  <c r="Z1466" i="67"/>
  <c r="Z969" i="67" s="1"/>
  <c r="Y1482" i="67"/>
  <c r="Y985" i="67" s="1"/>
  <c r="W1303" i="67"/>
  <c r="X1303" i="67"/>
  <c r="AN1303" i="67"/>
  <c r="K1517" i="67"/>
  <c r="P64" i="67"/>
  <c r="P370" i="67"/>
  <c r="P825" i="67"/>
  <c r="P217" i="67"/>
  <c r="P522" i="67"/>
  <c r="P674" i="67"/>
  <c r="AA233" i="67"/>
  <c r="AA386" i="67"/>
  <c r="AA841" i="67"/>
  <c r="AA80" i="67"/>
  <c r="AA538" i="67"/>
  <c r="AA690" i="67"/>
  <c r="AA217" i="67"/>
  <c r="AA370" i="67"/>
  <c r="AA522" i="67"/>
  <c r="AA825" i="67"/>
  <c r="AA64" i="67"/>
  <c r="AA674" i="67"/>
  <c r="U392" i="67"/>
  <c r="U86" i="67"/>
  <c r="U239" i="67"/>
  <c r="U847" i="67"/>
  <c r="U544" i="67"/>
  <c r="U696" i="67"/>
  <c r="R64" i="67"/>
  <c r="R370" i="67"/>
  <c r="R825" i="67"/>
  <c r="R217" i="67"/>
  <c r="R522" i="67"/>
  <c r="R674" i="67"/>
  <c r="N1516" i="67"/>
  <c r="K370" i="67"/>
  <c r="K522" i="67"/>
  <c r="K825" i="67"/>
  <c r="K217" i="67"/>
  <c r="K64" i="67"/>
  <c r="K674" i="67"/>
  <c r="O64" i="67"/>
  <c r="O370" i="67"/>
  <c r="O217" i="67"/>
  <c r="O522" i="67"/>
  <c r="O825" i="67"/>
  <c r="O674" i="67"/>
  <c r="L538" i="67"/>
  <c r="L386" i="67"/>
  <c r="L690" i="67"/>
  <c r="L233" i="67"/>
  <c r="L841" i="67"/>
  <c r="L80" i="67"/>
  <c r="AE108" i="34"/>
  <c r="L1483" i="67"/>
  <c r="L986" i="67" s="1"/>
  <c r="U1466" i="67"/>
  <c r="U969" i="67" s="1"/>
  <c r="U1482" i="67"/>
  <c r="U985" i="67" s="1"/>
  <c r="AG1482" i="67"/>
  <c r="AG985" i="67" s="1"/>
  <c r="AQ1466" i="67"/>
  <c r="AQ969" i="67" s="1"/>
  <c r="AE109" i="34"/>
  <c r="L1484" i="67"/>
  <c r="L987" i="67" s="1"/>
  <c r="AU1482" i="67"/>
  <c r="AU985" i="67" s="1"/>
  <c r="AV1482" i="67"/>
  <c r="AV985" i="67" s="1"/>
  <c r="AE107" i="34"/>
  <c r="L1513" i="67"/>
  <c r="L1517" i="67"/>
  <c r="L1482" i="67"/>
  <c r="L985" i="67" s="1"/>
  <c r="AH107" i="34"/>
  <c r="O1513" i="67"/>
  <c r="O1482" i="67"/>
  <c r="O985" i="67" s="1"/>
  <c r="O1517" i="67"/>
  <c r="AH91" i="34"/>
  <c r="O1466" i="67"/>
  <c r="O969" i="67" s="1"/>
  <c r="O1512" i="67"/>
  <c r="O1516" i="67"/>
  <c r="AV1303" i="67"/>
  <c r="V1303" i="67"/>
  <c r="M1303" i="67"/>
  <c r="U1303" i="67"/>
  <c r="AB370" i="67"/>
  <c r="AB217" i="67"/>
  <c r="AB522" i="67"/>
  <c r="AB64" i="67"/>
  <c r="AB825" i="67"/>
  <c r="AB674" i="67"/>
  <c r="R386" i="67"/>
  <c r="R690" i="67"/>
  <c r="R80" i="67"/>
  <c r="R841" i="67"/>
  <c r="R233" i="67"/>
  <c r="R538" i="67"/>
  <c r="V376" i="67"/>
  <c r="V70" i="67"/>
  <c r="V528" i="67"/>
  <c r="V223" i="67"/>
  <c r="V831" i="67"/>
  <c r="V680" i="67"/>
  <c r="T392" i="67"/>
  <c r="T544" i="67"/>
  <c r="T86" i="67"/>
  <c r="T847" i="67"/>
  <c r="T239" i="67"/>
  <c r="T696" i="67"/>
  <c r="AB376" i="67"/>
  <c r="AB223" i="67"/>
  <c r="AB831" i="67"/>
  <c r="AB528" i="67"/>
  <c r="AB70" i="67"/>
  <c r="AB680" i="67"/>
  <c r="AL1303" i="67"/>
  <c r="Y376" i="67"/>
  <c r="Y70" i="67"/>
  <c r="Y223" i="67"/>
  <c r="Y528" i="67"/>
  <c r="Y831" i="67"/>
  <c r="Y680" i="67"/>
  <c r="T376" i="67"/>
  <c r="T223" i="67"/>
  <c r="T831" i="67"/>
  <c r="T70" i="67"/>
  <c r="T528" i="67"/>
  <c r="T680" i="67"/>
  <c r="Q392" i="67"/>
  <c r="Q544" i="67"/>
  <c r="Q696" i="67"/>
  <c r="Q847" i="67"/>
  <c r="Q239" i="67"/>
  <c r="Q86" i="67"/>
  <c r="AB1303" i="67"/>
  <c r="K1516" i="67"/>
  <c r="K233" i="67"/>
  <c r="K386" i="67"/>
  <c r="K538" i="67"/>
  <c r="K841" i="67"/>
  <c r="K690" i="67"/>
  <c r="K80" i="67"/>
  <c r="N370" i="67"/>
  <c r="N522" i="67"/>
  <c r="N825" i="67"/>
  <c r="N217" i="67"/>
  <c r="N64" i="67"/>
  <c r="N674" i="67"/>
  <c r="AC376" i="67"/>
  <c r="AC528" i="67"/>
  <c r="AC831" i="67"/>
  <c r="AC70" i="67"/>
  <c r="AC223" i="67"/>
  <c r="AC680" i="67"/>
  <c r="R376" i="67"/>
  <c r="R831" i="67"/>
  <c r="R223" i="67"/>
  <c r="R528" i="67"/>
  <c r="R70" i="67"/>
  <c r="R680" i="67"/>
  <c r="Z392" i="67"/>
  <c r="Z544" i="67"/>
  <c r="Z847" i="67"/>
  <c r="Z86" i="67"/>
  <c r="Z696" i="67"/>
  <c r="Z239" i="67"/>
  <c r="Y392" i="67"/>
  <c r="Y544" i="67"/>
  <c r="Y696" i="67"/>
  <c r="Y847" i="67"/>
  <c r="Y239" i="67"/>
  <c r="Y86" i="67"/>
  <c r="AS1303" i="67"/>
  <c r="M1513" i="67"/>
  <c r="N1512" i="67"/>
  <c r="AW1287" i="67"/>
  <c r="W386" i="67"/>
  <c r="W841" i="67"/>
  <c r="W233" i="67"/>
  <c r="W538" i="67"/>
  <c r="W690" i="67"/>
  <c r="W80" i="67"/>
  <c r="AH92" i="34"/>
  <c r="O1467" i="67"/>
  <c r="O970" i="67" s="1"/>
  <c r="AN1482" i="67"/>
  <c r="AN985" i="67" s="1"/>
  <c r="W1466" i="67"/>
  <c r="W969" i="67" s="1"/>
  <c r="AC1482" i="67"/>
  <c r="AC985" i="67" s="1"/>
  <c r="AJ107" i="34"/>
  <c r="Q1482" i="67"/>
  <c r="Q985" i="67" s="1"/>
  <c r="AJ91" i="34"/>
  <c r="Q1466" i="67"/>
  <c r="Q969" i="67" s="1"/>
  <c r="AG108" i="34"/>
  <c r="N1483" i="67"/>
  <c r="N986" i="67" s="1"/>
  <c r="S1482" i="67"/>
  <c r="S985" i="67" s="1"/>
  <c r="AO1466" i="67"/>
  <c r="AO969" i="67" s="1"/>
  <c r="AI92" i="34"/>
  <c r="P1467" i="67"/>
  <c r="P970" i="67" s="1"/>
  <c r="AF92" i="34"/>
  <c r="M1467" i="67"/>
  <c r="M970" i="67" s="1"/>
  <c r="AK91" i="34"/>
  <c r="R1466" i="67"/>
  <c r="R969" i="67" s="1"/>
  <c r="AC1466" i="67"/>
  <c r="AC969" i="67" s="1"/>
  <c r="AG1466" i="67"/>
  <c r="AG969" i="67" s="1"/>
  <c r="Y1466" i="67"/>
  <c r="Y969" i="67" s="1"/>
  <c r="AG109" i="34"/>
  <c r="N1484" i="67"/>
  <c r="N987" i="67" s="1"/>
  <c r="S1303" i="67"/>
  <c r="W370" i="67"/>
  <c r="W64" i="67"/>
  <c r="W522" i="67"/>
  <c r="W825" i="67"/>
  <c r="W217" i="67"/>
  <c r="W674" i="67"/>
  <c r="K1512" i="67"/>
  <c r="T386" i="67"/>
  <c r="T841" i="67"/>
  <c r="T538" i="67"/>
  <c r="T690" i="67"/>
  <c r="T233" i="67"/>
  <c r="T80" i="67"/>
  <c r="N80" i="67"/>
  <c r="N386" i="67"/>
  <c r="N690" i="67"/>
  <c r="N841" i="67"/>
  <c r="N233" i="67"/>
  <c r="N538" i="67"/>
  <c r="T1466" i="67"/>
  <c r="T969" i="67" s="1"/>
  <c r="AI1482" i="67"/>
  <c r="AI985" i="67" s="1"/>
  <c r="AK107" i="34"/>
  <c r="R1482" i="67"/>
  <c r="R985" i="67" s="1"/>
  <c r="AK108" i="34"/>
  <c r="R1483" i="67"/>
  <c r="R986" i="67" s="1"/>
  <c r="AH108" i="34"/>
  <c r="O1483" i="67"/>
  <c r="O986" i="67" s="1"/>
  <c r="AE92" i="34"/>
  <c r="L1467" i="67"/>
  <c r="L970" i="67" s="1"/>
  <c r="AW97" i="34"/>
  <c r="AD1472" i="67"/>
  <c r="X1482" i="67"/>
  <c r="X985" i="67" s="1"/>
  <c r="AI1466" i="67"/>
  <c r="AI969" i="67" s="1"/>
  <c r="AJ93" i="34"/>
  <c r="Q1468" i="67"/>
  <c r="Q971" i="67" s="1"/>
  <c r="AU1466" i="67"/>
  <c r="AU969" i="67" s="1"/>
  <c r="AJ108" i="34"/>
  <c r="Q1483" i="67"/>
  <c r="Q986" i="67" s="1"/>
  <c r="AF1466" i="67"/>
  <c r="AF969" i="67" s="1"/>
  <c r="AF1482" i="67"/>
  <c r="AF985" i="67" s="1"/>
  <c r="AV1466" i="67"/>
  <c r="AV969" i="67" s="1"/>
  <c r="AD1482" i="67"/>
  <c r="AD985" i="67" s="1"/>
  <c r="AJ1482" i="67"/>
  <c r="AJ985" i="67" s="1"/>
  <c r="AK109" i="34"/>
  <c r="R1484" i="67"/>
  <c r="R987" i="67" s="1"/>
  <c r="AK93" i="34"/>
  <c r="R1468" i="67"/>
  <c r="R971" i="67" s="1"/>
  <c r="AF1303" i="67"/>
  <c r="AT1303" i="67"/>
  <c r="AQ1303" i="67"/>
  <c r="P1303" i="67"/>
  <c r="P1516" i="67"/>
  <c r="AA392" i="67"/>
  <c r="AA847" i="67"/>
  <c r="AA544" i="67"/>
  <c r="AA86" i="67"/>
  <c r="AA696" i="67"/>
  <c r="AA239" i="67"/>
  <c r="AU1303" i="67"/>
  <c r="L1512" i="67"/>
  <c r="AJ1303" i="67"/>
  <c r="N1119" i="67"/>
  <c r="N968" i="67"/>
  <c r="N666" i="67"/>
  <c r="T64" i="67"/>
  <c r="T370" i="67"/>
  <c r="T522" i="67"/>
  <c r="T825" i="67"/>
  <c r="T217" i="67"/>
  <c r="T674" i="67"/>
  <c r="S80" i="67"/>
  <c r="S386" i="67"/>
  <c r="S841" i="67"/>
  <c r="S538" i="67"/>
  <c r="S690" i="67"/>
  <c r="S233" i="67"/>
  <c r="M1516" i="67"/>
  <c r="S392" i="67"/>
  <c r="S544" i="67"/>
  <c r="S86" i="67"/>
  <c r="S239" i="67"/>
  <c r="S696" i="67"/>
  <c r="S847" i="67"/>
  <c r="U376" i="67"/>
  <c r="U528" i="67"/>
  <c r="U70" i="67"/>
  <c r="U223" i="67"/>
  <c r="U831" i="67"/>
  <c r="U680" i="67"/>
  <c r="AC392" i="67"/>
  <c r="AC86" i="67"/>
  <c r="AC847" i="67"/>
  <c r="AC239" i="67"/>
  <c r="AC696" i="67"/>
  <c r="AC544" i="67"/>
  <c r="W392" i="67"/>
  <c r="W696" i="67"/>
  <c r="W847" i="67"/>
  <c r="W86" i="67"/>
  <c r="W239" i="67"/>
  <c r="W544" i="67"/>
  <c r="AA376" i="67"/>
  <c r="AA528" i="67"/>
  <c r="AA831" i="67"/>
  <c r="AA70" i="67"/>
  <c r="AA223" i="67"/>
  <c r="AA680" i="67"/>
  <c r="Z376" i="67"/>
  <c r="Z831" i="67"/>
  <c r="Z528" i="67"/>
  <c r="Z70" i="67"/>
  <c r="Z223" i="67"/>
  <c r="Z680" i="67"/>
  <c r="V392" i="67"/>
  <c r="V847" i="67"/>
  <c r="V696" i="67"/>
  <c r="V86" i="67"/>
  <c r="V544" i="67"/>
  <c r="V239" i="67"/>
  <c r="X376" i="67"/>
  <c r="X70" i="67"/>
  <c r="X223" i="67"/>
  <c r="X528" i="67"/>
  <c r="X831" i="67"/>
  <c r="X680" i="67"/>
  <c r="AB392" i="67"/>
  <c r="AB847" i="67"/>
  <c r="AB544" i="67"/>
  <c r="AB696" i="67"/>
  <c r="AB86" i="67"/>
  <c r="AB239" i="67"/>
  <c r="N1303" i="67"/>
  <c r="AR1303" i="67"/>
  <c r="V386" i="67"/>
  <c r="V841" i="67"/>
  <c r="V80" i="67"/>
  <c r="V538" i="67"/>
  <c r="V690" i="67"/>
  <c r="V233" i="67"/>
  <c r="N1513" i="67"/>
  <c r="AE1303" i="67"/>
  <c r="AK1303" i="67"/>
  <c r="AD1303" i="67"/>
  <c r="AC1303" i="67"/>
  <c r="AB538" i="67"/>
  <c r="AB386" i="67"/>
  <c r="AB690" i="67"/>
  <c r="AB233" i="67"/>
  <c r="AB841" i="67"/>
  <c r="AB80" i="67"/>
  <c r="M690" i="67"/>
  <c r="M233" i="67"/>
  <c r="M538" i="67"/>
  <c r="M80" i="67"/>
  <c r="M386" i="67"/>
  <c r="M841" i="67"/>
  <c r="P386" i="67"/>
  <c r="P80" i="67"/>
  <c r="P233" i="67"/>
  <c r="P538" i="67"/>
  <c r="P841" i="67"/>
  <c r="P690" i="67"/>
  <c r="L370" i="67"/>
  <c r="L522" i="67"/>
  <c r="L825" i="67"/>
  <c r="L64" i="67"/>
  <c r="L217" i="67"/>
  <c r="L674" i="67"/>
  <c r="O386" i="67"/>
  <c r="O538" i="67"/>
  <c r="O690" i="67"/>
  <c r="O233" i="67"/>
  <c r="O80" i="67"/>
  <c r="O841" i="67"/>
  <c r="AW1303" i="67"/>
  <c r="S370" i="67"/>
  <c r="S522" i="67"/>
  <c r="S64" i="67"/>
  <c r="S825" i="67"/>
  <c r="S217" i="67"/>
  <c r="S674" i="67"/>
  <c r="K1513" i="67"/>
  <c r="P1512" i="67"/>
  <c r="Q376" i="67"/>
  <c r="Q528" i="67"/>
  <c r="Q831" i="67"/>
  <c r="Q70" i="67"/>
  <c r="Q223" i="67"/>
  <c r="Q680" i="67"/>
  <c r="Y1303" i="67"/>
  <c r="N1172" i="67"/>
  <c r="N1021" i="67"/>
  <c r="M370" i="67"/>
  <c r="M825" i="67"/>
  <c r="M217" i="67"/>
  <c r="M522" i="67"/>
  <c r="M64" i="67"/>
  <c r="M674" i="67"/>
  <c r="Z1303" i="67"/>
  <c r="Q1303" i="67"/>
  <c r="R392" i="67"/>
  <c r="R696" i="67"/>
  <c r="R544" i="67"/>
  <c r="R86" i="67"/>
  <c r="R847" i="67"/>
  <c r="R239" i="67"/>
  <c r="AH1303" i="67"/>
  <c r="AC385" i="67"/>
  <c r="AC840" i="67"/>
  <c r="AC537" i="67"/>
  <c r="AC79" i="67"/>
  <c r="AC689" i="67"/>
  <c r="AC232" i="67"/>
  <c r="S376" i="67"/>
  <c r="S528" i="67"/>
  <c r="S70" i="67"/>
  <c r="S831" i="67"/>
  <c r="S223" i="67"/>
  <c r="S680" i="67"/>
  <c r="W376" i="67"/>
  <c r="W831" i="67"/>
  <c r="W223" i="67"/>
  <c r="W528" i="67"/>
  <c r="W70" i="67"/>
  <c r="W680" i="67"/>
  <c r="X392" i="67"/>
  <c r="X696" i="67"/>
  <c r="X847" i="67"/>
  <c r="X544" i="67"/>
  <c r="X239" i="67"/>
  <c r="X86" i="67"/>
  <c r="AA1303" i="67"/>
  <c r="T1303" i="67"/>
  <c r="V370" i="67"/>
  <c r="V217" i="67"/>
  <c r="V825" i="67"/>
  <c r="V64" i="67"/>
  <c r="V522" i="67"/>
  <c r="V674" i="67"/>
  <c r="N415" i="67"/>
  <c r="N817" i="67"/>
  <c r="N567" i="67"/>
  <c r="N870" i="67"/>
  <c r="N209" i="67"/>
  <c r="N514" i="67"/>
  <c r="N109" i="67"/>
  <c r="N262" i="67"/>
  <c r="AH46" i="68"/>
  <c r="N56" i="67"/>
  <c r="N719" i="67"/>
  <c r="F158" i="65"/>
  <c r="F170" i="65" s="1"/>
  <c r="H158" i="65"/>
  <c r="H170" i="65" s="1"/>
  <c r="J158" i="65"/>
  <c r="J170" i="65" s="1"/>
  <c r="AM158" i="65"/>
  <c r="AM170" i="65" s="1"/>
  <c r="N158" i="65"/>
  <c r="N170" i="65" s="1"/>
  <c r="BK48" i="70"/>
  <c r="BK46" i="70"/>
  <c r="AI157" i="65"/>
  <c r="AI169" i="65" s="1"/>
  <c r="E158" i="65"/>
  <c r="E170" i="65" s="1"/>
  <c r="M158" i="65"/>
  <c r="M170" i="65" s="1"/>
  <c r="AQ46" i="70"/>
  <c r="AQ48" i="70"/>
  <c r="O157" i="65"/>
  <c r="O169" i="65" s="1"/>
  <c r="X158" i="65"/>
  <c r="X170" i="65" s="1"/>
  <c r="Y158" i="65"/>
  <c r="Y170" i="65" s="1"/>
  <c r="AB158" i="65"/>
  <c r="AB170" i="65" s="1"/>
  <c r="I158" i="65"/>
  <c r="I170" i="65" s="1"/>
  <c r="Z158" i="65"/>
  <c r="Z170" i="65" s="1"/>
  <c r="K158" i="65"/>
  <c r="K170" i="65" s="1"/>
  <c r="T157" i="65"/>
  <c r="T169" i="65" s="1"/>
  <c r="AV46" i="70"/>
  <c r="AV48" i="70"/>
  <c r="AJ158" i="65"/>
  <c r="AJ170" i="65" s="1"/>
  <c r="AN157" i="65"/>
  <c r="AN169" i="65" s="1"/>
  <c r="BP48" i="70"/>
  <c r="BP46" i="70"/>
  <c r="AE158" i="65"/>
  <c r="AE170" i="65" s="1"/>
  <c r="G158" i="65"/>
  <c r="G170" i="65" s="1"/>
  <c r="V158" i="65"/>
  <c r="V170" i="65" s="1"/>
  <c r="BJ48" i="70"/>
  <c r="BJ46" i="70"/>
  <c r="AH157" i="65"/>
  <c r="AH169" i="65" s="1"/>
  <c r="P158" i="65"/>
  <c r="P170" i="65" s="1"/>
  <c r="U158" i="65"/>
  <c r="U170" i="65" s="1"/>
  <c r="AA158" i="65"/>
  <c r="AA170" i="65" s="1"/>
  <c r="Q158" i="65"/>
  <c r="Q170" i="65" s="1"/>
  <c r="AU46" i="70"/>
  <c r="AU48" i="70"/>
  <c r="S157" i="65"/>
  <c r="S169" i="65" s="1"/>
  <c r="BN48" i="70"/>
  <c r="BN46" i="70"/>
  <c r="AL157" i="65"/>
  <c r="AL169" i="65" s="1"/>
  <c r="D157" i="65"/>
  <c r="D169" i="65" s="1"/>
  <c r="AF46" i="70"/>
  <c r="AF48" i="70"/>
  <c r="C158" i="65"/>
  <c r="C170" i="65" s="1"/>
  <c r="R158" i="65"/>
  <c r="R170" i="65" s="1"/>
  <c r="AF157" i="65"/>
  <c r="AF169" i="65" s="1"/>
  <c r="BH46" i="70"/>
  <c r="BH48" i="70"/>
  <c r="W158" i="65"/>
  <c r="W170" i="65" s="1"/>
  <c r="AD158" i="65"/>
  <c r="AD170" i="65" s="1"/>
  <c r="L158" i="65"/>
  <c r="L170" i="65" s="1"/>
  <c r="AK157" i="65"/>
  <c r="AK169" i="65" s="1"/>
  <c r="BM48" i="70"/>
  <c r="BM46" i="70"/>
  <c r="AG45" i="70"/>
  <c r="AC158" i="65"/>
  <c r="AC170" i="65" s="1"/>
  <c r="AF45" i="36"/>
  <c r="M1461" i="67" s="1"/>
  <c r="AG41" i="68" s="1"/>
  <c r="F37" i="62" s="1"/>
  <c r="AO108" i="34"/>
  <c r="AP92" i="34"/>
  <c r="BI92" i="34"/>
  <c r="AR108" i="34"/>
  <c r="BF93" i="34"/>
  <c r="BF109" i="34"/>
  <c r="AV91" i="34"/>
  <c r="AN108" i="34"/>
  <c r="BG91" i="34"/>
  <c r="AZ91" i="34"/>
  <c r="AX109" i="34"/>
  <c r="AZ92" i="34"/>
  <c r="BB109" i="34"/>
  <c r="BP109" i="34"/>
  <c r="AQ109" i="34"/>
  <c r="BG93" i="34"/>
  <c r="AY109" i="34"/>
  <c r="BL109" i="34"/>
  <c r="AX107" i="34"/>
  <c r="AU93" i="34"/>
  <c r="AX108" i="34"/>
  <c r="BB93" i="34"/>
  <c r="AR91" i="34"/>
  <c r="AS107" i="34"/>
  <c r="AY93" i="34"/>
  <c r="AS91" i="34"/>
  <c r="BM108" i="34"/>
  <c r="AR107" i="34"/>
  <c r="BC92" i="34"/>
  <c r="AW108" i="34"/>
  <c r="BD92" i="34"/>
  <c r="BK108" i="34"/>
  <c r="AR92" i="34"/>
  <c r="BF92" i="34"/>
  <c r="BF108" i="34"/>
  <c r="AM91" i="34"/>
  <c r="BB107" i="34"/>
  <c r="AN91" i="34"/>
  <c r="AN107" i="34"/>
  <c r="BG92" i="34"/>
  <c r="BJ109" i="34"/>
  <c r="AZ107" i="34"/>
  <c r="AN93" i="34"/>
  <c r="AN109" i="34"/>
  <c r="AX93" i="34"/>
  <c r="BJ91" i="34"/>
  <c r="BN107" i="34"/>
  <c r="AS109" i="34"/>
  <c r="AM108" i="34"/>
  <c r="BO107" i="34"/>
  <c r="AM109" i="34"/>
  <c r="AM93" i="34"/>
  <c r="BB92" i="34"/>
  <c r="BP93" i="34"/>
  <c r="AP109" i="34"/>
  <c r="BP92" i="34"/>
  <c r="AU108" i="34"/>
  <c r="AO93" i="34"/>
  <c r="BM109" i="34"/>
  <c r="BC108" i="34"/>
  <c r="BD108" i="34"/>
  <c r="AP108" i="34"/>
  <c r="BI108" i="34"/>
  <c r="AQ107" i="34"/>
  <c r="BB91" i="34"/>
  <c r="BJ93" i="34"/>
  <c r="BN91" i="34"/>
  <c r="AN92" i="34"/>
  <c r="AZ108" i="34"/>
  <c r="AY91" i="34"/>
  <c r="AY107" i="34"/>
  <c r="BC109" i="34"/>
  <c r="AM92" i="34"/>
  <c r="BO91" i="34"/>
  <c r="AQ93" i="34"/>
  <c r="BB108" i="34"/>
  <c r="BG109" i="34"/>
  <c r="BM92" i="34"/>
  <c r="AW107" i="34"/>
  <c r="BH109" i="34"/>
  <c r="BH93" i="34"/>
  <c r="AX92" i="34"/>
  <c r="BC107" i="34"/>
  <c r="BM93" i="34"/>
  <c r="AW93" i="34"/>
  <c r="AO92" i="34"/>
  <c r="AW92" i="34"/>
  <c r="BK92" i="34"/>
  <c r="BN92" i="34"/>
  <c r="BE108" i="34"/>
  <c r="AM107" i="34"/>
  <c r="AQ91" i="34"/>
  <c r="BG108" i="34"/>
  <c r="BL93" i="34"/>
  <c r="BG107" i="34"/>
  <c r="BC93" i="34"/>
  <c r="AP91" i="34"/>
  <c r="AV107" i="34"/>
  <c r="AP107" i="34"/>
  <c r="AX91" i="34"/>
  <c r="BH107" i="34"/>
  <c r="AP93" i="34"/>
  <c r="BE107" i="34"/>
  <c r="AU92" i="34"/>
  <c r="BH91" i="34"/>
  <c r="AL109" i="34"/>
  <c r="AL93" i="34"/>
  <c r="AL92" i="34"/>
  <c r="AL107" i="34"/>
  <c r="AL108" i="34"/>
  <c r="AD109" i="34"/>
  <c r="AD92" i="34"/>
  <c r="AD93" i="34"/>
  <c r="AD108" i="34"/>
  <c r="AC5" i="45"/>
  <c r="AO85" i="36"/>
  <c r="AP85" i="36"/>
  <c r="AE85" i="36"/>
  <c r="BG85" i="36"/>
  <c r="AS85" i="36"/>
  <c r="AF85" i="36"/>
  <c r="AV85" i="36"/>
  <c r="AX85" i="36"/>
  <c r="BH85" i="36"/>
  <c r="AQ85" i="36"/>
  <c r="AN85" i="36"/>
  <c r="AU85" i="36"/>
  <c r="BC85" i="36"/>
  <c r="BA85" i="36"/>
  <c r="AZ85" i="36"/>
  <c r="AY85" i="36"/>
  <c r="AM85" i="36"/>
  <c r="BF85" i="36"/>
  <c r="AT85" i="36"/>
  <c r="AJ85" i="36"/>
  <c r="BE85" i="36"/>
  <c r="BI85" i="36"/>
  <c r="BB85" i="36"/>
  <c r="BD85" i="36"/>
  <c r="AI85" i="36"/>
  <c r="AK85" i="36"/>
  <c r="AR85" i="36"/>
  <c r="AL85" i="36"/>
  <c r="AH85" i="36"/>
  <c r="AW85" i="36"/>
  <c r="AD4" i="45"/>
  <c r="AD58" i="45" s="1"/>
  <c r="AG4" i="45"/>
  <c r="AG58" i="45" s="1"/>
  <c r="AF4" i="45"/>
  <c r="AF58" i="45" s="1"/>
  <c r="AD19" i="45"/>
  <c r="AD60" i="45" s="1"/>
  <c r="AD11" i="45"/>
  <c r="AD59" i="45" s="1"/>
  <c r="AE12" i="45"/>
  <c r="AE53" i="45"/>
  <c r="AF20" i="45"/>
  <c r="AC53" i="45"/>
  <c r="AB53" i="45"/>
  <c r="AB54" i="45"/>
  <c r="AE54" i="45"/>
  <c r="AE5" i="45"/>
  <c r="AE19" i="45"/>
  <c r="AE60" i="45" s="1"/>
  <c r="AG141" i="34"/>
  <c r="AI141" i="34"/>
  <c r="AG137" i="34"/>
  <c r="AI137" i="34"/>
  <c r="AC20" i="45"/>
  <c r="AC12" i="45"/>
  <c r="AG138" i="34"/>
  <c r="AB5" i="45"/>
  <c r="AC54" i="45"/>
  <c r="AG142" i="34"/>
  <c r="AF53" i="45"/>
  <c r="AB20" i="45"/>
  <c r="AB12" i="45"/>
  <c r="AW57" i="36"/>
  <c r="AW11" i="34"/>
  <c r="AW73" i="36"/>
  <c r="AW179" i="34"/>
  <c r="AW163" i="34"/>
  <c r="AX42" i="34"/>
  <c r="AX24" i="34"/>
  <c r="AW25" i="34"/>
  <c r="AU13" i="45" s="1"/>
  <c r="AX72" i="36"/>
  <c r="AX10" i="34"/>
  <c r="AX56" i="36"/>
  <c r="AX57" i="36"/>
  <c r="AX162" i="34"/>
  <c r="AX178" i="34"/>
  <c r="AU21" i="45"/>
  <c r="AY10" i="34"/>
  <c r="AG19" i="45"/>
  <c r="AG60" i="45" s="1"/>
  <c r="AW168" i="34"/>
  <c r="AW48" i="34"/>
  <c r="AW184" i="34"/>
  <c r="AW16" i="34"/>
  <c r="AW78" i="36"/>
  <c r="AW30" i="34"/>
  <c r="AW62" i="36"/>
  <c r="AE142" i="34"/>
  <c r="AE138" i="34"/>
  <c r="AG11" i="45"/>
  <c r="AG59" i="45" s="1"/>
  <c r="AF11" i="45"/>
  <c r="AF59" i="45" s="1"/>
  <c r="AD137" i="34"/>
  <c r="AD141" i="34"/>
  <c r="AD138" i="34"/>
  <c r="AH142" i="34"/>
  <c r="AE141" i="34"/>
  <c r="AE137" i="34"/>
  <c r="AH138" i="34"/>
  <c r="AF137" i="34"/>
  <c r="AF141" i="34"/>
  <c r="AD142" i="34"/>
  <c r="AD52" i="45"/>
  <c r="AG52" i="45"/>
  <c r="AF108" i="34"/>
  <c r="AF138" i="34"/>
  <c r="AH141" i="34"/>
  <c r="AF142" i="34"/>
  <c r="AH137" i="34"/>
  <c r="U1302" i="67" l="1"/>
  <c r="R1302" i="67"/>
  <c r="V1302" i="67"/>
  <c r="Z1302" i="67"/>
  <c r="AF47" i="45"/>
  <c r="AC47" i="45"/>
  <c r="AC1302" i="67"/>
  <c r="S1302" i="67"/>
  <c r="K1296" i="67"/>
  <c r="AA1302" i="67"/>
  <c r="Q1302" i="67"/>
  <c r="T1286" i="67"/>
  <c r="X1302" i="67"/>
  <c r="S1286" i="67"/>
  <c r="AE47" i="45"/>
  <c r="AB1302" i="67"/>
  <c r="W1302" i="67"/>
  <c r="Y1302" i="67"/>
  <c r="T1302" i="67"/>
  <c r="V1286" i="67"/>
  <c r="AX97" i="34"/>
  <c r="AE1472" i="67"/>
  <c r="AD1518" i="67"/>
  <c r="AD1465" i="67"/>
  <c r="AM1465" i="67"/>
  <c r="AM1518" i="67"/>
  <c r="M1465" i="67"/>
  <c r="M1518" i="67"/>
  <c r="M415" i="67" s="1"/>
  <c r="O1465" i="67"/>
  <c r="O1518" i="67"/>
  <c r="AL1465" i="67"/>
  <c r="AL1518" i="67"/>
  <c r="AJ1465" i="67"/>
  <c r="AJ1518" i="67"/>
  <c r="Z1518" i="67"/>
  <c r="Z1465" i="67"/>
  <c r="AD63" i="67"/>
  <c r="AD369" i="67"/>
  <c r="AD824" i="67"/>
  <c r="AD216" i="67"/>
  <c r="AD521" i="67"/>
  <c r="AC1286" i="67"/>
  <c r="AW114" i="34"/>
  <c r="AD1489" i="67"/>
  <c r="AP1518" i="67"/>
  <c r="AP1465" i="67"/>
  <c r="X1465" i="67"/>
  <c r="X56" i="67" s="1"/>
  <c r="X1518" i="67"/>
  <c r="X567" i="67" s="1"/>
  <c r="N1272" i="67"/>
  <c r="W1286" i="67"/>
  <c r="X1286" i="67"/>
  <c r="Y1286" i="67"/>
  <c r="K1280" i="67"/>
  <c r="R1518" i="67"/>
  <c r="R1465" i="67"/>
  <c r="AH1518" i="67"/>
  <c r="AH1465" i="67"/>
  <c r="W1465" i="67"/>
  <c r="W1518" i="67"/>
  <c r="AW119" i="34"/>
  <c r="AD1494" i="67"/>
  <c r="AD1148" i="67"/>
  <c r="AD997" i="67"/>
  <c r="P1465" i="67"/>
  <c r="P1518" i="67"/>
  <c r="T1465" i="67"/>
  <c r="T1518" i="67"/>
  <c r="AO1465" i="67"/>
  <c r="AO56" i="67" s="1"/>
  <c r="AO1518" i="67"/>
  <c r="AO567" i="67" s="1"/>
  <c r="V1465" i="67"/>
  <c r="V1518" i="67"/>
  <c r="AB47" i="45"/>
  <c r="Q1286" i="67"/>
  <c r="AA1286" i="67"/>
  <c r="U1286" i="67"/>
  <c r="AX113" i="34"/>
  <c r="AE1488" i="67"/>
  <c r="AW98" i="34"/>
  <c r="AD1473" i="67"/>
  <c r="S1465" i="67"/>
  <c r="S1518" i="67"/>
  <c r="AK1465" i="67"/>
  <c r="AK1518" i="67"/>
  <c r="Q1465" i="67"/>
  <c r="Q1518" i="67"/>
  <c r="AF1465" i="67"/>
  <c r="AF1518" i="67"/>
  <c r="AB1465" i="67"/>
  <c r="AV46" i="68" s="1"/>
  <c r="AB1518" i="67"/>
  <c r="AB415" i="67" s="1"/>
  <c r="AE1465" i="67"/>
  <c r="AE1518" i="67"/>
  <c r="AN1465" i="67"/>
  <c r="AN1518" i="67"/>
  <c r="AW103" i="34"/>
  <c r="AD1478" i="67"/>
  <c r="AD1132" i="67"/>
  <c r="AD981" i="67"/>
  <c r="AD679" i="67"/>
  <c r="AX98" i="34"/>
  <c r="AE1473" i="67"/>
  <c r="Y1465" i="67"/>
  <c r="Y1518" i="67"/>
  <c r="AI1465" i="67"/>
  <c r="AI1518" i="67"/>
  <c r="AA1465" i="67"/>
  <c r="AA1518" i="67"/>
  <c r="AG1465" i="67"/>
  <c r="AG1518" i="67"/>
  <c r="U1465" i="67"/>
  <c r="U1518" i="67"/>
  <c r="AC1465" i="67"/>
  <c r="AC1518" i="67"/>
  <c r="AC415" i="67" s="1"/>
  <c r="L1465" i="67"/>
  <c r="L1518" i="67"/>
  <c r="Z1286" i="67"/>
  <c r="R1286" i="67"/>
  <c r="AB1286" i="67"/>
  <c r="AD385" i="67"/>
  <c r="AD689" i="67"/>
  <c r="AD79" i="67"/>
  <c r="AD232" i="67"/>
  <c r="AD537" i="67"/>
  <c r="AD840" i="67"/>
  <c r="N1325" i="67"/>
  <c r="M817" i="67"/>
  <c r="M209" i="67"/>
  <c r="M514" i="67"/>
  <c r="AO262" i="67"/>
  <c r="AW46" i="68"/>
  <c r="AG46" i="68"/>
  <c r="M56" i="67"/>
  <c r="D158" i="65"/>
  <c r="D170" i="65" s="1"/>
  <c r="S158" i="65"/>
  <c r="S170" i="65" s="1"/>
  <c r="T158" i="65"/>
  <c r="T170" i="65" s="1"/>
  <c r="O158" i="65"/>
  <c r="O170" i="65" s="1"/>
  <c r="AK158" i="65"/>
  <c r="AK170" i="65" s="1"/>
  <c r="AF158" i="65"/>
  <c r="AF170" i="65" s="1"/>
  <c r="AL158" i="65"/>
  <c r="AL170" i="65" s="1"/>
  <c r="AH158" i="65"/>
  <c r="AH170" i="65" s="1"/>
  <c r="AI158" i="65"/>
  <c r="AI170" i="65" s="1"/>
  <c r="AH45" i="70"/>
  <c r="AN158" i="65"/>
  <c r="AN170" i="65" s="1"/>
  <c r="AG45" i="36"/>
  <c r="N1461" i="67" s="1"/>
  <c r="AH41" i="68" s="1"/>
  <c r="G37" i="62" s="1"/>
  <c r="AC4" i="45"/>
  <c r="AC58" i="45" s="1"/>
  <c r="AF52" i="45"/>
  <c r="AF67" i="45" s="1"/>
  <c r="AU6" i="45"/>
  <c r="AD47" i="45"/>
  <c r="BJ85" i="36"/>
  <c r="AD67" i="45"/>
  <c r="AB11" i="45"/>
  <c r="AB59" i="45" s="1"/>
  <c r="AB19" i="45"/>
  <c r="AB60" i="45" s="1"/>
  <c r="AB4" i="45"/>
  <c r="AB58" i="45" s="1"/>
  <c r="AC19" i="45"/>
  <c r="AC60" i="45" s="1"/>
  <c r="AE4" i="45"/>
  <c r="AE58" i="45" s="1"/>
  <c r="AE11" i="45"/>
  <c r="AE59" i="45" s="1"/>
  <c r="AF19" i="45"/>
  <c r="AF60" i="45" s="1"/>
  <c r="AF71" i="45" s="1"/>
  <c r="AG67" i="45"/>
  <c r="AC11" i="45"/>
  <c r="AC59" i="45" s="1"/>
  <c r="AD71" i="45"/>
  <c r="AE52" i="45"/>
  <c r="AC52" i="45"/>
  <c r="AB52" i="45"/>
  <c r="AY56" i="36"/>
  <c r="AX73" i="36"/>
  <c r="AX11" i="34"/>
  <c r="AV6" i="45" s="1"/>
  <c r="AY73" i="36"/>
  <c r="AY42" i="34"/>
  <c r="AY24" i="34"/>
  <c r="AX163" i="34"/>
  <c r="AX43" i="34"/>
  <c r="AV21" i="45" s="1"/>
  <c r="AX179" i="34"/>
  <c r="AX25" i="34"/>
  <c r="AV13" i="45" s="1"/>
  <c r="AY178" i="34"/>
  <c r="AY72" i="36"/>
  <c r="AY4" i="36"/>
  <c r="AY162" i="34"/>
  <c r="AG71" i="45"/>
  <c r="AW49" i="34"/>
  <c r="AU25" i="45" s="1"/>
  <c r="AW79" i="36"/>
  <c r="AW31" i="34"/>
  <c r="AU17" i="45" s="1"/>
  <c r="AW169" i="34"/>
  <c r="AW17" i="34"/>
  <c r="AU10" i="45" s="1"/>
  <c r="AW63" i="36"/>
  <c r="AW185" i="34"/>
  <c r="AX62" i="36"/>
  <c r="AX16" i="34"/>
  <c r="AX184" i="34"/>
  <c r="AX30" i="34"/>
  <c r="AX168" i="34"/>
  <c r="AX78" i="36"/>
  <c r="AX48" i="34"/>
  <c r="AB817" i="67" l="1"/>
  <c r="AB870" i="67"/>
  <c r="AO415" i="67"/>
  <c r="X514" i="67"/>
  <c r="X817" i="67"/>
  <c r="AR46" i="68"/>
  <c r="X719" i="67"/>
  <c r="M262" i="67"/>
  <c r="BI46" i="68"/>
  <c r="AB514" i="67"/>
  <c r="M870" i="67"/>
  <c r="AO109" i="67"/>
  <c r="AB567" i="67"/>
  <c r="AB719" i="67"/>
  <c r="AB262" i="67"/>
  <c r="AO870" i="67"/>
  <c r="AO719" i="67"/>
  <c r="AB109" i="67"/>
  <c r="M719" i="67"/>
  <c r="AB56" i="67"/>
  <c r="M109" i="67"/>
  <c r="AB209" i="67"/>
  <c r="M567" i="67"/>
  <c r="X415" i="67"/>
  <c r="AC719" i="67"/>
  <c r="X262" i="67"/>
  <c r="AC262" i="67"/>
  <c r="AO514" i="67"/>
  <c r="X870" i="67"/>
  <c r="AC870" i="67"/>
  <c r="X109" i="67"/>
  <c r="AC109" i="67"/>
  <c r="AC567" i="67"/>
  <c r="AO1119" i="67"/>
  <c r="AO666" i="67"/>
  <c r="AO968" i="67"/>
  <c r="AO362" i="67"/>
  <c r="P968" i="67"/>
  <c r="P666" i="67"/>
  <c r="P1119" i="67"/>
  <c r="P362" i="67"/>
  <c r="P817" i="67"/>
  <c r="AJ46" i="68"/>
  <c r="P56" i="67"/>
  <c r="P209" i="67"/>
  <c r="P514" i="67"/>
  <c r="AH1172" i="67"/>
  <c r="AH1021" i="67"/>
  <c r="AH567" i="67"/>
  <c r="AH109" i="67"/>
  <c r="AH719" i="67"/>
  <c r="AH415" i="67"/>
  <c r="AH870" i="67"/>
  <c r="AH262" i="67"/>
  <c r="X666" i="67"/>
  <c r="X968" i="67"/>
  <c r="X1119" i="67"/>
  <c r="X362" i="67"/>
  <c r="Z1172" i="67"/>
  <c r="Z1021" i="67"/>
  <c r="Z567" i="67"/>
  <c r="Z109" i="67"/>
  <c r="Z870" i="67"/>
  <c r="Z262" i="67"/>
  <c r="Z719" i="67"/>
  <c r="Z415" i="67"/>
  <c r="AL968" i="67"/>
  <c r="AL1119" i="67"/>
  <c r="AL666" i="67"/>
  <c r="AL362" i="67"/>
  <c r="AL209" i="67"/>
  <c r="BF46" i="68"/>
  <c r="AL817" i="67"/>
  <c r="AL514" i="67"/>
  <c r="AL56" i="67"/>
  <c r="M1172" i="67"/>
  <c r="M1021" i="67"/>
  <c r="AD1119" i="67"/>
  <c r="AD968" i="67"/>
  <c r="AD666" i="67"/>
  <c r="AD362" i="67"/>
  <c r="AD817" i="67"/>
  <c r="AD209" i="67"/>
  <c r="AX46" i="68"/>
  <c r="AD514" i="67"/>
  <c r="AD56" i="67"/>
  <c r="AC666" i="67"/>
  <c r="AC1119" i="67"/>
  <c r="AC968" i="67"/>
  <c r="AC362" i="67"/>
  <c r="AD217" i="67"/>
  <c r="AD370" i="67"/>
  <c r="AD522" i="67"/>
  <c r="AD64" i="67"/>
  <c r="AD825" i="67"/>
  <c r="AD674" i="67"/>
  <c r="AC514" i="67"/>
  <c r="L1172" i="67"/>
  <c r="L1021" i="67"/>
  <c r="L567" i="67"/>
  <c r="L109" i="67"/>
  <c r="L415" i="67"/>
  <c r="L870" i="67"/>
  <c r="L262" i="67"/>
  <c r="L719" i="67"/>
  <c r="U1172" i="67"/>
  <c r="U1021" i="67"/>
  <c r="U415" i="67"/>
  <c r="U719" i="67"/>
  <c r="U262" i="67"/>
  <c r="U567" i="67"/>
  <c r="U109" i="67"/>
  <c r="U870" i="67"/>
  <c r="AA1172" i="67"/>
  <c r="AA1021" i="67"/>
  <c r="AA415" i="67"/>
  <c r="AA567" i="67"/>
  <c r="AA109" i="67"/>
  <c r="AA719" i="67"/>
  <c r="AA870" i="67"/>
  <c r="AA262" i="67"/>
  <c r="Y1172" i="67"/>
  <c r="Y1021" i="67"/>
  <c r="Y415" i="67"/>
  <c r="Y567" i="67"/>
  <c r="Y109" i="67"/>
  <c r="Y870" i="67"/>
  <c r="Y262" i="67"/>
  <c r="Y719" i="67"/>
  <c r="AE968" i="67"/>
  <c r="AE666" i="67"/>
  <c r="AE1119" i="67"/>
  <c r="AE362" i="67"/>
  <c r="AE209" i="67"/>
  <c r="AY46" i="68"/>
  <c r="AE817" i="67"/>
  <c r="AE514" i="67"/>
  <c r="AE56" i="67"/>
  <c r="AF968" i="67"/>
  <c r="AF666" i="67"/>
  <c r="AF1119" i="67"/>
  <c r="AF362" i="67"/>
  <c r="AF209" i="67"/>
  <c r="AF817" i="67"/>
  <c r="AF514" i="67"/>
  <c r="AF56" i="67"/>
  <c r="AZ46" i="68"/>
  <c r="AK968" i="67"/>
  <c r="AK1119" i="67"/>
  <c r="AK666" i="67"/>
  <c r="AK362" i="67"/>
  <c r="AK209" i="67"/>
  <c r="BE46" i="68"/>
  <c r="AK514" i="67"/>
  <c r="AK56" i="67"/>
  <c r="AK817" i="67"/>
  <c r="V1021" i="67"/>
  <c r="V1172" i="67"/>
  <c r="V415" i="67"/>
  <c r="V567" i="67"/>
  <c r="V870" i="67"/>
  <c r="V262" i="67"/>
  <c r="V719" i="67"/>
  <c r="V109" i="67"/>
  <c r="T1021" i="67"/>
  <c r="T1172" i="67"/>
  <c r="T567" i="67"/>
  <c r="T109" i="67"/>
  <c r="T415" i="67"/>
  <c r="T719" i="67"/>
  <c r="T870" i="67"/>
  <c r="T262" i="67"/>
  <c r="W1172" i="67"/>
  <c r="W1021" i="67"/>
  <c r="W415" i="67"/>
  <c r="W567" i="67"/>
  <c r="W109" i="67"/>
  <c r="W870" i="67"/>
  <c r="W262" i="67"/>
  <c r="W719" i="67"/>
  <c r="R968" i="67"/>
  <c r="R666" i="67"/>
  <c r="R1119" i="67"/>
  <c r="R362" i="67"/>
  <c r="R817" i="67"/>
  <c r="R209" i="67"/>
  <c r="AL46" i="68"/>
  <c r="R514" i="67"/>
  <c r="R56" i="67"/>
  <c r="AP968" i="67"/>
  <c r="AP666" i="67"/>
  <c r="AP1119" i="67"/>
  <c r="AP362" i="67"/>
  <c r="AP817" i="67"/>
  <c r="AP56" i="67"/>
  <c r="AP514" i="67"/>
  <c r="AP209" i="67"/>
  <c r="BJ46" i="68"/>
  <c r="AJ1172" i="67"/>
  <c r="AJ1021" i="67"/>
  <c r="AJ109" i="67"/>
  <c r="AJ870" i="67"/>
  <c r="AJ415" i="67"/>
  <c r="AJ262" i="67"/>
  <c r="AJ719" i="67"/>
  <c r="AJ567" i="67"/>
  <c r="O1172" i="67"/>
  <c r="O1021" i="67"/>
  <c r="O567" i="67"/>
  <c r="O109" i="67"/>
  <c r="O719" i="67"/>
  <c r="O415" i="67"/>
  <c r="O870" i="67"/>
  <c r="O262" i="67"/>
  <c r="M666" i="67"/>
  <c r="M1119" i="67"/>
  <c r="M968" i="67"/>
  <c r="M362" i="67"/>
  <c r="AD1172" i="67"/>
  <c r="AD1021" i="67"/>
  <c r="AD109" i="67"/>
  <c r="AD719" i="67"/>
  <c r="AD870" i="67"/>
  <c r="AD262" i="67"/>
  <c r="AD415" i="67"/>
  <c r="AD567" i="67"/>
  <c r="AG968" i="67"/>
  <c r="AG666" i="67"/>
  <c r="AG1119" i="67"/>
  <c r="AG362" i="67"/>
  <c r="AG817" i="67"/>
  <c r="AG209" i="67"/>
  <c r="BA46" i="68"/>
  <c r="AG56" i="67"/>
  <c r="AG514" i="67"/>
  <c r="AE1172" i="67"/>
  <c r="AE1021" i="67"/>
  <c r="AE567" i="67"/>
  <c r="AE109" i="67"/>
  <c r="AE415" i="67"/>
  <c r="AE870" i="67"/>
  <c r="AE262" i="67"/>
  <c r="AE719" i="67"/>
  <c r="AX103" i="34"/>
  <c r="AE1478" i="67"/>
  <c r="AE1132" i="67"/>
  <c r="AE981" i="67"/>
  <c r="AE679" i="67"/>
  <c r="AX114" i="34"/>
  <c r="AE1489" i="67"/>
  <c r="AQ1465" i="67"/>
  <c r="AQ1518" i="67"/>
  <c r="AO209" i="67"/>
  <c r="X209" i="67"/>
  <c r="AC209" i="67"/>
  <c r="AO817" i="67"/>
  <c r="AC817" i="67"/>
  <c r="L1119" i="67"/>
  <c r="L666" i="67"/>
  <c r="L968" i="67"/>
  <c r="L362" i="67"/>
  <c r="L209" i="67"/>
  <c r="AF46" i="68"/>
  <c r="L817" i="67"/>
  <c r="L514" i="67"/>
  <c r="L56" i="67"/>
  <c r="U968" i="67"/>
  <c r="U1119" i="67"/>
  <c r="U666" i="67"/>
  <c r="U362" i="67"/>
  <c r="U209" i="67"/>
  <c r="AO46" i="68"/>
  <c r="U817" i="67"/>
  <c r="U56" i="67"/>
  <c r="U514" i="67"/>
  <c r="AA1119" i="67"/>
  <c r="AA968" i="67"/>
  <c r="AA666" i="67"/>
  <c r="AA362" i="67"/>
  <c r="AA209" i="67"/>
  <c r="AU46" i="68"/>
  <c r="AA817" i="67"/>
  <c r="AA514" i="67"/>
  <c r="AA56" i="67"/>
  <c r="Y1119" i="67"/>
  <c r="Y666" i="67"/>
  <c r="Y968" i="67"/>
  <c r="Y362" i="67"/>
  <c r="Y817" i="67"/>
  <c r="Y514" i="67"/>
  <c r="Y209" i="67"/>
  <c r="AS46" i="68"/>
  <c r="Y56" i="67"/>
  <c r="AN1172" i="67"/>
  <c r="AN1021" i="67"/>
  <c r="AN567" i="67"/>
  <c r="AN109" i="67"/>
  <c r="AN719" i="67"/>
  <c r="AN415" i="67"/>
  <c r="AN870" i="67"/>
  <c r="AN262" i="67"/>
  <c r="AB1172" i="67"/>
  <c r="AB1021" i="67"/>
  <c r="Q1172" i="67"/>
  <c r="Q1021" i="67"/>
  <c r="Q109" i="67"/>
  <c r="Q567" i="67"/>
  <c r="Q719" i="67"/>
  <c r="Q415" i="67"/>
  <c r="Q262" i="67"/>
  <c r="Q870" i="67"/>
  <c r="S1172" i="67"/>
  <c r="S1021" i="67"/>
  <c r="S415" i="67"/>
  <c r="S567" i="67"/>
  <c r="S870" i="67"/>
  <c r="S719" i="67"/>
  <c r="S262" i="67"/>
  <c r="S109" i="67"/>
  <c r="AE385" i="67"/>
  <c r="AE840" i="67"/>
  <c r="AE79" i="67"/>
  <c r="AE232" i="67"/>
  <c r="AE537" i="67"/>
  <c r="AE689" i="67"/>
  <c r="V968" i="67"/>
  <c r="V1119" i="67"/>
  <c r="V666" i="67"/>
  <c r="V362" i="67"/>
  <c r="V209" i="67"/>
  <c r="AP46" i="68"/>
  <c r="V56" i="67"/>
  <c r="V817" i="67"/>
  <c r="V514" i="67"/>
  <c r="T1119" i="67"/>
  <c r="T968" i="67"/>
  <c r="T666" i="67"/>
  <c r="T362" i="67"/>
  <c r="T817" i="67"/>
  <c r="T56" i="67"/>
  <c r="T514" i="67"/>
  <c r="T209" i="67"/>
  <c r="AN46" i="68"/>
  <c r="W666" i="67"/>
  <c r="W968" i="67"/>
  <c r="W1119" i="67"/>
  <c r="W362" i="67"/>
  <c r="W817" i="67"/>
  <c r="W209" i="67"/>
  <c r="AQ46" i="68"/>
  <c r="W514" i="67"/>
  <c r="W56" i="67"/>
  <c r="R1172" i="67"/>
  <c r="R1021" i="67"/>
  <c r="R567" i="67"/>
  <c r="R109" i="67"/>
  <c r="R719" i="67"/>
  <c r="R870" i="67"/>
  <c r="R262" i="67"/>
  <c r="R415" i="67"/>
  <c r="AP1172" i="67"/>
  <c r="AP1021" i="67"/>
  <c r="AP870" i="67"/>
  <c r="AP262" i="67"/>
  <c r="AP567" i="67"/>
  <c r="AP109" i="67"/>
  <c r="AP415" i="67"/>
  <c r="AP719" i="67"/>
  <c r="AJ1119" i="67"/>
  <c r="AJ968" i="67"/>
  <c r="AJ666" i="67"/>
  <c r="AJ362" i="67"/>
  <c r="AJ209" i="67"/>
  <c r="BD46" i="68"/>
  <c r="AJ817" i="67"/>
  <c r="AJ514" i="67"/>
  <c r="AJ56" i="67"/>
  <c r="O968" i="67"/>
  <c r="O666" i="67"/>
  <c r="O1119" i="67"/>
  <c r="O362" i="67"/>
  <c r="O817" i="67"/>
  <c r="O209" i="67"/>
  <c r="AI46" i="68"/>
  <c r="O514" i="67"/>
  <c r="O56" i="67"/>
  <c r="AM1172" i="67"/>
  <c r="AM1021" i="67"/>
  <c r="AM567" i="67"/>
  <c r="AM109" i="67"/>
  <c r="AM415" i="67"/>
  <c r="AM870" i="67"/>
  <c r="AM262" i="67"/>
  <c r="AM719" i="67"/>
  <c r="AE369" i="67"/>
  <c r="AE63" i="67"/>
  <c r="AE824" i="67"/>
  <c r="AE216" i="67"/>
  <c r="AE521" i="67"/>
  <c r="AX119" i="34"/>
  <c r="AE1494" i="67"/>
  <c r="AE1148" i="67"/>
  <c r="AE997" i="67"/>
  <c r="AY113" i="34"/>
  <c r="AF1488" i="67"/>
  <c r="AY114" i="34"/>
  <c r="AF1489" i="67"/>
  <c r="AI1119" i="67"/>
  <c r="AI968" i="67"/>
  <c r="AI666" i="67"/>
  <c r="AI362" i="67"/>
  <c r="AI209" i="67"/>
  <c r="BC46" i="68"/>
  <c r="AI817" i="67"/>
  <c r="AI514" i="67"/>
  <c r="AI56" i="67"/>
  <c r="AD375" i="67"/>
  <c r="AD69" i="67"/>
  <c r="AD527" i="67"/>
  <c r="AD830" i="67"/>
  <c r="AD222" i="67"/>
  <c r="AF1172" i="67"/>
  <c r="AF1021" i="67"/>
  <c r="AF567" i="67"/>
  <c r="AF109" i="67"/>
  <c r="AF719" i="67"/>
  <c r="AF870" i="67"/>
  <c r="AF262" i="67"/>
  <c r="AF415" i="67"/>
  <c r="AK1172" i="67"/>
  <c r="AK1021" i="67"/>
  <c r="AK415" i="67"/>
  <c r="AK567" i="67"/>
  <c r="AK109" i="67"/>
  <c r="AK262" i="67"/>
  <c r="AK870" i="67"/>
  <c r="AK719" i="67"/>
  <c r="AW104" i="34"/>
  <c r="AD1479" i="67"/>
  <c r="AD1133" i="67"/>
  <c r="AD982" i="67"/>
  <c r="AW120" i="34"/>
  <c r="AD1495" i="67"/>
  <c r="AD1149" i="67"/>
  <c r="AD998" i="67"/>
  <c r="AY97" i="34"/>
  <c r="AF1472" i="67"/>
  <c r="AC56" i="67"/>
  <c r="AC1172" i="67"/>
  <c r="AC1021" i="67"/>
  <c r="AG1021" i="67"/>
  <c r="AG1172" i="67"/>
  <c r="AG415" i="67"/>
  <c r="AG567" i="67"/>
  <c r="AG719" i="67"/>
  <c r="AG262" i="67"/>
  <c r="AG870" i="67"/>
  <c r="AG109" i="67"/>
  <c r="AI1172" i="67"/>
  <c r="AI1021" i="67"/>
  <c r="AI415" i="67"/>
  <c r="AI109" i="67"/>
  <c r="AI870" i="67"/>
  <c r="AI262" i="67"/>
  <c r="AI567" i="67"/>
  <c r="AI719" i="67"/>
  <c r="AE64" i="67"/>
  <c r="AE370" i="67"/>
  <c r="AE522" i="67"/>
  <c r="AE217" i="67"/>
  <c r="AE825" i="67"/>
  <c r="AE674" i="67"/>
  <c r="AN666" i="67"/>
  <c r="AN968" i="67"/>
  <c r="AN1119" i="67"/>
  <c r="AN362" i="67"/>
  <c r="AN209" i="67"/>
  <c r="BH46" i="68"/>
  <c r="AN817" i="67"/>
  <c r="AN514" i="67"/>
  <c r="AN56" i="67"/>
  <c r="AB1119" i="67"/>
  <c r="AB666" i="67"/>
  <c r="AB968" i="67"/>
  <c r="AB362" i="67"/>
  <c r="Q968" i="67"/>
  <c r="Q666" i="67"/>
  <c r="Q1119" i="67"/>
  <c r="Q362" i="67"/>
  <c r="Q817" i="67"/>
  <c r="Q209" i="67"/>
  <c r="Q56" i="67"/>
  <c r="AK46" i="68"/>
  <c r="Q514" i="67"/>
  <c r="S1119" i="67"/>
  <c r="S666" i="67"/>
  <c r="S968" i="67"/>
  <c r="S362" i="67"/>
  <c r="S209" i="67"/>
  <c r="AM46" i="68"/>
  <c r="S514" i="67"/>
  <c r="S56" i="67"/>
  <c r="S817" i="67"/>
  <c r="AO1172" i="67"/>
  <c r="AO1021" i="67"/>
  <c r="P1172" i="67"/>
  <c r="P1021" i="67"/>
  <c r="P109" i="67"/>
  <c r="P719" i="67"/>
  <c r="P415" i="67"/>
  <c r="P262" i="67"/>
  <c r="P567" i="67"/>
  <c r="P870" i="67"/>
  <c r="AD391" i="67"/>
  <c r="AD85" i="67"/>
  <c r="AD695" i="67"/>
  <c r="AD238" i="67"/>
  <c r="AD846" i="67"/>
  <c r="AD543" i="67"/>
  <c r="AH968" i="67"/>
  <c r="AH666" i="67"/>
  <c r="AH1119" i="67"/>
  <c r="AH362" i="67"/>
  <c r="AH209" i="67"/>
  <c r="BB46" i="68"/>
  <c r="AH514" i="67"/>
  <c r="AH56" i="67"/>
  <c r="AH817" i="67"/>
  <c r="X1172" i="67"/>
  <c r="X1021" i="67"/>
  <c r="AD80" i="67"/>
  <c r="AD386" i="67"/>
  <c r="AD538" i="67"/>
  <c r="AD233" i="67"/>
  <c r="AD690" i="67"/>
  <c r="AD841" i="67"/>
  <c r="Z666" i="67"/>
  <c r="Z1119" i="67"/>
  <c r="Z968" i="67"/>
  <c r="Z362" i="67"/>
  <c r="Z817" i="67"/>
  <c r="Z209" i="67"/>
  <c r="Z514" i="67"/>
  <c r="AT46" i="68"/>
  <c r="Z56" i="67"/>
  <c r="AL1172" i="67"/>
  <c r="AL1021" i="67"/>
  <c r="AL567" i="67"/>
  <c r="AL870" i="67"/>
  <c r="AL719" i="67"/>
  <c r="AL109" i="67"/>
  <c r="AL415" i="67"/>
  <c r="AL262" i="67"/>
  <c r="AM666" i="67"/>
  <c r="AM968" i="67"/>
  <c r="AM1119" i="67"/>
  <c r="AM362" i="67"/>
  <c r="AM209" i="67"/>
  <c r="BG46" i="68"/>
  <c r="AM817" i="67"/>
  <c r="AM514" i="67"/>
  <c r="AM56" i="67"/>
  <c r="M1325" i="67"/>
  <c r="AI45" i="70"/>
  <c r="AH45" i="36"/>
  <c r="O1461" i="67" s="1"/>
  <c r="AI41" i="68" s="1"/>
  <c r="H37" i="62" s="1"/>
  <c r="BK85" i="36"/>
  <c r="AC71" i="45"/>
  <c r="AB71" i="45"/>
  <c r="AE71" i="45"/>
  <c r="AE67" i="45"/>
  <c r="AB67" i="45"/>
  <c r="AC67" i="45"/>
  <c r="AZ162" i="34"/>
  <c r="AY57" i="36"/>
  <c r="AY25" i="34"/>
  <c r="AW13" i="45" s="1"/>
  <c r="AZ10" i="34"/>
  <c r="AY11" i="34"/>
  <c r="AZ72" i="36"/>
  <c r="AY163" i="34"/>
  <c r="AY43" i="34"/>
  <c r="AW21" i="45" s="1"/>
  <c r="AY179" i="34"/>
  <c r="AZ42" i="34"/>
  <c r="AZ4" i="36"/>
  <c r="AZ56" i="36"/>
  <c r="AZ24" i="34"/>
  <c r="AZ178" i="34"/>
  <c r="AY184" i="34"/>
  <c r="AY48" i="34"/>
  <c r="AY62" i="36"/>
  <c r="AY168" i="34"/>
  <c r="AY16" i="34"/>
  <c r="AY30" i="34"/>
  <c r="AY78" i="36"/>
  <c r="AX169" i="34"/>
  <c r="AX17" i="34"/>
  <c r="AV10" i="45" s="1"/>
  <c r="AX63" i="36"/>
  <c r="AX49" i="34"/>
  <c r="AV25" i="45" s="1"/>
  <c r="AX185" i="34"/>
  <c r="AX79" i="36"/>
  <c r="AX31" i="34"/>
  <c r="AV17" i="45" s="1"/>
  <c r="AZ43" i="34"/>
  <c r="AZ57" i="36"/>
  <c r="AZ25" i="34"/>
  <c r="AZ179" i="34"/>
  <c r="AZ11" i="34"/>
  <c r="AZ163" i="34"/>
  <c r="AZ73" i="36"/>
  <c r="X1272" i="67" l="1"/>
  <c r="AC1272" i="67"/>
  <c r="X1325" i="67"/>
  <c r="AO1325" i="67"/>
  <c r="AO1272" i="67"/>
  <c r="V1325" i="67"/>
  <c r="AC1325" i="67"/>
  <c r="S1325" i="67"/>
  <c r="AB1325" i="67"/>
  <c r="AL1272" i="67"/>
  <c r="AF1325" i="67"/>
  <c r="U1325" i="67"/>
  <c r="AE1325" i="67"/>
  <c r="AD1301" i="67"/>
  <c r="AB1272" i="67"/>
  <c r="AN1272" i="67"/>
  <c r="AD1285" i="67"/>
  <c r="M1272" i="67"/>
  <c r="T1325" i="67"/>
  <c r="L1325" i="67"/>
  <c r="AZ97" i="34"/>
  <c r="AG1472" i="67"/>
  <c r="AF369" i="67"/>
  <c r="AF63" i="67"/>
  <c r="AF521" i="67"/>
  <c r="AF824" i="67"/>
  <c r="AF216" i="67"/>
  <c r="AD376" i="67"/>
  <c r="AD70" i="67"/>
  <c r="AD528" i="67"/>
  <c r="AD223" i="67"/>
  <c r="AD831" i="67"/>
  <c r="AD680" i="67"/>
  <c r="AZ114" i="34"/>
  <c r="AG1489" i="67"/>
  <c r="AX120" i="34"/>
  <c r="AE1495" i="67"/>
  <c r="AE1149" i="67"/>
  <c r="AE998" i="67"/>
  <c r="AR1465" i="67"/>
  <c r="AR1518" i="67"/>
  <c r="AL1325" i="67"/>
  <c r="AH1272" i="67"/>
  <c r="P1325" i="67"/>
  <c r="Q1272" i="67"/>
  <c r="AK1325" i="67"/>
  <c r="AM1325" i="67"/>
  <c r="O1272" i="67"/>
  <c r="AP1325" i="67"/>
  <c r="Q1325" i="67"/>
  <c r="U1272" i="67"/>
  <c r="L1272" i="67"/>
  <c r="AQ1119" i="67"/>
  <c r="AQ968" i="67"/>
  <c r="AQ666" i="67"/>
  <c r="AQ362" i="67"/>
  <c r="AQ56" i="67"/>
  <c r="BK46" i="68"/>
  <c r="AQ817" i="67"/>
  <c r="AQ209" i="67"/>
  <c r="AQ514" i="67"/>
  <c r="AP1272" i="67"/>
  <c r="AK1272" i="67"/>
  <c r="AD1272" i="67"/>
  <c r="Z1325" i="67"/>
  <c r="AH1325" i="67"/>
  <c r="AX104" i="34"/>
  <c r="AE1479" i="67"/>
  <c r="AE1133" i="67"/>
  <c r="AE982" i="67"/>
  <c r="AD392" i="67"/>
  <c r="AD86" i="67"/>
  <c r="AD544" i="67"/>
  <c r="AD239" i="67"/>
  <c r="AD847" i="67"/>
  <c r="AD696" i="67"/>
  <c r="AF386" i="67"/>
  <c r="AF841" i="67"/>
  <c r="AF690" i="67"/>
  <c r="AF80" i="67"/>
  <c r="AF233" i="67"/>
  <c r="AF538" i="67"/>
  <c r="AQ1172" i="67"/>
  <c r="AQ1021" i="67"/>
  <c r="AQ870" i="67"/>
  <c r="AQ567" i="67"/>
  <c r="AQ109" i="67"/>
  <c r="AQ719" i="67"/>
  <c r="AQ415" i="67"/>
  <c r="AQ262" i="67"/>
  <c r="AZ98" i="34"/>
  <c r="AG1473" i="67"/>
  <c r="AZ113" i="34"/>
  <c r="AG1488" i="67"/>
  <c r="AY98" i="34"/>
  <c r="AF1473" i="67"/>
  <c r="AM1272" i="67"/>
  <c r="AF385" i="67"/>
  <c r="AF840" i="67"/>
  <c r="AF537" i="67"/>
  <c r="AF79" i="67"/>
  <c r="AF689" i="67"/>
  <c r="AF232" i="67"/>
  <c r="AE391" i="67"/>
  <c r="AE543" i="67"/>
  <c r="AE695" i="67"/>
  <c r="AE846" i="67"/>
  <c r="AE238" i="67"/>
  <c r="AE85" i="67"/>
  <c r="AJ1272" i="67"/>
  <c r="AN1325" i="67"/>
  <c r="Y1272" i="67"/>
  <c r="AE386" i="67"/>
  <c r="AE841" i="67"/>
  <c r="AE80" i="67"/>
  <c r="AE538" i="67"/>
  <c r="AE690" i="67"/>
  <c r="AE233" i="67"/>
  <c r="AG1272" i="67"/>
  <c r="O1325" i="67"/>
  <c r="AF1272" i="67"/>
  <c r="AE1272" i="67"/>
  <c r="AY119" i="34"/>
  <c r="AF1494" i="67"/>
  <c r="AF1148" i="67"/>
  <c r="AF997" i="67"/>
  <c r="AY103" i="34"/>
  <c r="AF1478" i="67"/>
  <c r="AF1132" i="67"/>
  <c r="AF981" i="67"/>
  <c r="AF679" i="67"/>
  <c r="Z1272" i="67"/>
  <c r="S1272" i="67"/>
  <c r="AI1325" i="67"/>
  <c r="AG1325" i="67"/>
  <c r="AI1272" i="67"/>
  <c r="R1325" i="67"/>
  <c r="W1272" i="67"/>
  <c r="T1272" i="67"/>
  <c r="V1272" i="67"/>
  <c r="AA1272" i="67"/>
  <c r="AE375" i="67"/>
  <c r="AE830" i="67"/>
  <c r="AE69" i="67"/>
  <c r="AE222" i="67"/>
  <c r="AE527" i="67"/>
  <c r="AD1325" i="67"/>
  <c r="AJ1325" i="67"/>
  <c r="R1272" i="67"/>
  <c r="W1325" i="67"/>
  <c r="Y1325" i="67"/>
  <c r="AA1325" i="67"/>
  <c r="P1272" i="67"/>
  <c r="AJ45" i="70"/>
  <c r="AI45" i="36"/>
  <c r="P1461" i="67" s="1"/>
  <c r="AJ41" i="68" s="1"/>
  <c r="I37" i="62" s="1"/>
  <c r="AW6" i="45"/>
  <c r="BL85" i="36"/>
  <c r="BA42" i="34"/>
  <c r="AX6" i="45"/>
  <c r="BA72" i="36"/>
  <c r="AX21" i="45"/>
  <c r="BA162" i="34"/>
  <c r="BA56" i="36"/>
  <c r="AX13" i="45"/>
  <c r="BA178" i="34"/>
  <c r="BA10" i="34"/>
  <c r="BA24" i="34"/>
  <c r="BB24" i="34"/>
  <c r="AY185" i="34"/>
  <c r="AY79" i="36"/>
  <c r="AY169" i="34"/>
  <c r="AY49" i="34"/>
  <c r="AW25" i="45" s="1"/>
  <c r="AY31" i="34"/>
  <c r="AW17" i="45" s="1"/>
  <c r="AY17" i="34"/>
  <c r="AW10" i="45" s="1"/>
  <c r="AY63" i="36"/>
  <c r="AZ78" i="36"/>
  <c r="AZ48" i="34"/>
  <c r="AZ184" i="34"/>
  <c r="AZ168" i="34"/>
  <c r="AZ30" i="34"/>
  <c r="AZ16" i="34"/>
  <c r="AZ62" i="36"/>
  <c r="BA179" i="34"/>
  <c r="BA25" i="34"/>
  <c r="BA73" i="36"/>
  <c r="BA163" i="34"/>
  <c r="BA11" i="34"/>
  <c r="BA43" i="34"/>
  <c r="BA57" i="36"/>
  <c r="AE1301" i="67" l="1"/>
  <c r="AD1302" i="67"/>
  <c r="AQ1325" i="67"/>
  <c r="AE1285" i="67"/>
  <c r="AZ119" i="34"/>
  <c r="AG1494" i="67"/>
  <c r="AG1148" i="67"/>
  <c r="AG997" i="67"/>
  <c r="BA113" i="34"/>
  <c r="AH1488" i="67"/>
  <c r="BA97" i="34"/>
  <c r="AH1472" i="67"/>
  <c r="AE376" i="67"/>
  <c r="AE70" i="67"/>
  <c r="AE223" i="67"/>
  <c r="AE528" i="67"/>
  <c r="AE831" i="67"/>
  <c r="AE680" i="67"/>
  <c r="AR1119" i="67"/>
  <c r="AR666" i="67"/>
  <c r="AR968" i="67"/>
  <c r="AR362" i="67"/>
  <c r="AR56" i="67"/>
  <c r="BL46" i="68"/>
  <c r="AR209" i="67"/>
  <c r="AR817" i="67"/>
  <c r="AR514" i="67"/>
  <c r="AD1286" i="67"/>
  <c r="AG217" i="67"/>
  <c r="AG370" i="67"/>
  <c r="AG64" i="67"/>
  <c r="AG522" i="67"/>
  <c r="AG825" i="67"/>
  <c r="AG674" i="67"/>
  <c r="AQ1272" i="67"/>
  <c r="AR1021" i="67"/>
  <c r="AR1172" i="67"/>
  <c r="AR262" i="67"/>
  <c r="AR415" i="67"/>
  <c r="AR109" i="67"/>
  <c r="AR567" i="67"/>
  <c r="AR719" i="67"/>
  <c r="AR870" i="67"/>
  <c r="AY104" i="34"/>
  <c r="AF1479" i="67"/>
  <c r="AF1133" i="67"/>
  <c r="AF982" i="67"/>
  <c r="AZ103" i="34"/>
  <c r="AG1478" i="67"/>
  <c r="AG1132" i="67"/>
  <c r="AG981" i="67"/>
  <c r="AG679" i="67"/>
  <c r="AY120" i="34"/>
  <c r="AF1495" i="67"/>
  <c r="AF1149" i="67"/>
  <c r="AF998" i="67"/>
  <c r="AG79" i="67"/>
  <c r="AG385" i="67"/>
  <c r="AG537" i="67"/>
  <c r="AG232" i="67"/>
  <c r="AG689" i="67"/>
  <c r="AG840" i="67"/>
  <c r="AG386" i="67"/>
  <c r="AG80" i="67"/>
  <c r="AG841" i="67"/>
  <c r="AG233" i="67"/>
  <c r="AG538" i="67"/>
  <c r="AG690" i="67"/>
  <c r="AF64" i="67"/>
  <c r="AF370" i="67"/>
  <c r="AF825" i="67"/>
  <c r="AF217" i="67"/>
  <c r="AF522" i="67"/>
  <c r="AF674" i="67"/>
  <c r="AE392" i="67"/>
  <c r="AE544" i="67"/>
  <c r="AE239" i="67"/>
  <c r="AE847" i="67"/>
  <c r="AE696" i="67"/>
  <c r="AE86" i="67"/>
  <c r="AG216" i="67"/>
  <c r="AG369" i="67"/>
  <c r="AG521" i="67"/>
  <c r="AG63" i="67"/>
  <c r="AG824" i="67"/>
  <c r="BA98" i="34"/>
  <c r="AH1473" i="67"/>
  <c r="BA114" i="34"/>
  <c r="AH1489" i="67"/>
  <c r="AS1465" i="67"/>
  <c r="AS1518" i="67"/>
  <c r="AF375" i="67"/>
  <c r="AF69" i="67"/>
  <c r="AF222" i="67"/>
  <c r="AF830" i="67"/>
  <c r="AF527" i="67"/>
  <c r="AF391" i="67"/>
  <c r="AF695" i="67"/>
  <c r="AF238" i="67"/>
  <c r="AF543" i="67"/>
  <c r="AF846" i="67"/>
  <c r="AF85" i="67"/>
  <c r="AK45" i="70"/>
  <c r="AJ45" i="36"/>
  <c r="Q1461" i="67" s="1"/>
  <c r="AK41" i="68" s="1"/>
  <c r="J37" i="62" s="1"/>
  <c r="BM85" i="36"/>
  <c r="AY21" i="45"/>
  <c r="BB56" i="36"/>
  <c r="BB72" i="36"/>
  <c r="AY6" i="45"/>
  <c r="BB162" i="34"/>
  <c r="AY13" i="45"/>
  <c r="BB178" i="34"/>
  <c r="BB42" i="34"/>
  <c r="BC42" i="34"/>
  <c r="BB10" i="34"/>
  <c r="BA16" i="34"/>
  <c r="BA184" i="34"/>
  <c r="BA30" i="34"/>
  <c r="BA168" i="34"/>
  <c r="BA62" i="36"/>
  <c r="BA48" i="34"/>
  <c r="BA78" i="36"/>
  <c r="AZ169" i="34"/>
  <c r="AZ185" i="34"/>
  <c r="AZ17" i="34"/>
  <c r="AX10" i="45" s="1"/>
  <c r="AZ63" i="36"/>
  <c r="AZ31" i="34"/>
  <c r="AX17" i="45" s="1"/>
  <c r="AZ49" i="34"/>
  <c r="AX25" i="45" s="1"/>
  <c r="AZ79" i="36"/>
  <c r="BB43" i="34"/>
  <c r="BB163" i="34"/>
  <c r="BB73" i="36"/>
  <c r="BB179" i="34"/>
  <c r="BB57" i="36"/>
  <c r="BB25" i="34"/>
  <c r="AZ13" i="45" s="1"/>
  <c r="BB11" i="34"/>
  <c r="AE1302" i="67" l="1"/>
  <c r="AR1325" i="67"/>
  <c r="AF1301" i="67"/>
  <c r="AF1285" i="67"/>
  <c r="AH63" i="67"/>
  <c r="AH216" i="67"/>
  <c r="AH521" i="67"/>
  <c r="AH824" i="67"/>
  <c r="AF376" i="67"/>
  <c r="AF70" i="67"/>
  <c r="AF528" i="67"/>
  <c r="AF831" i="67"/>
  <c r="AF223" i="67"/>
  <c r="AF680" i="67"/>
  <c r="AR1272" i="67"/>
  <c r="BB98" i="34"/>
  <c r="AI1473" i="67"/>
  <c r="BA119" i="34"/>
  <c r="AH1494" i="67"/>
  <c r="AH1148" i="67"/>
  <c r="AH997" i="67"/>
  <c r="AZ120" i="34"/>
  <c r="AG1495" i="67"/>
  <c r="AG1149" i="67"/>
  <c r="AG998" i="67"/>
  <c r="BB113" i="34"/>
  <c r="AI1488" i="67"/>
  <c r="AH370" i="67"/>
  <c r="AH64" i="67"/>
  <c r="AH522" i="67"/>
  <c r="AH825" i="67"/>
  <c r="AH217" i="67"/>
  <c r="AH674" i="67"/>
  <c r="AE1286" i="67"/>
  <c r="AH385" i="67"/>
  <c r="AH840" i="67"/>
  <c r="AH537" i="67"/>
  <c r="AH689" i="67"/>
  <c r="AH79" i="67"/>
  <c r="AH232" i="67"/>
  <c r="AG391" i="67"/>
  <c r="AG543" i="67"/>
  <c r="AG846" i="67"/>
  <c r="AG85" i="67"/>
  <c r="AG695" i="67"/>
  <c r="AG238" i="67"/>
  <c r="AZ104" i="34"/>
  <c r="AG1479" i="67"/>
  <c r="AG1133" i="67"/>
  <c r="AG982" i="67"/>
  <c r="AH386" i="67"/>
  <c r="AH841" i="67"/>
  <c r="AH233" i="67"/>
  <c r="AH538" i="67"/>
  <c r="AH690" i="67"/>
  <c r="AH80" i="67"/>
  <c r="AF392" i="67"/>
  <c r="AF86" i="67"/>
  <c r="AF239" i="67"/>
  <c r="AF847" i="67"/>
  <c r="AF544" i="67"/>
  <c r="AF696" i="67"/>
  <c r="AT1518" i="67"/>
  <c r="AT1465" i="67"/>
  <c r="AG375" i="67"/>
  <c r="AG527" i="67"/>
  <c r="AG69" i="67"/>
  <c r="AG830" i="67"/>
  <c r="AG222" i="67"/>
  <c r="BB114" i="34"/>
  <c r="AI1489" i="67"/>
  <c r="BA103" i="34"/>
  <c r="AH1478" i="67"/>
  <c r="AH1132" i="67"/>
  <c r="AH981" i="67"/>
  <c r="AH679" i="67"/>
  <c r="AS1172" i="67"/>
  <c r="AS1021" i="67"/>
  <c r="AS415" i="67"/>
  <c r="AS567" i="67"/>
  <c r="AS870" i="67"/>
  <c r="AS719" i="67"/>
  <c r="AS109" i="67"/>
  <c r="AS262" i="67"/>
  <c r="BB97" i="34"/>
  <c r="AI1472" i="67"/>
  <c r="AS666" i="67"/>
  <c r="AS1119" i="67"/>
  <c r="AS968" i="67"/>
  <c r="AS362" i="67"/>
  <c r="AS209" i="67"/>
  <c r="BM46" i="68"/>
  <c r="AS817" i="67"/>
  <c r="AS514" i="67"/>
  <c r="AS56" i="67"/>
  <c r="AL45" i="70"/>
  <c r="AK45" i="36"/>
  <c r="R1461" i="67" s="1"/>
  <c r="AL41" i="68" s="1"/>
  <c r="K37" i="62" s="1"/>
  <c r="BN85" i="36"/>
  <c r="BC10" i="34"/>
  <c r="AZ21" i="45"/>
  <c r="AZ6" i="45"/>
  <c r="BC162" i="34"/>
  <c r="BC24" i="34"/>
  <c r="BC178" i="34"/>
  <c r="BC56" i="36"/>
  <c r="BD72" i="36"/>
  <c r="BC72" i="36"/>
  <c r="BB78" i="36"/>
  <c r="BB16" i="34"/>
  <c r="BB30" i="34"/>
  <c r="BB184" i="34"/>
  <c r="BB62" i="36"/>
  <c r="BB48" i="34"/>
  <c r="BB168" i="34"/>
  <c r="BA17" i="34"/>
  <c r="AY10" i="45" s="1"/>
  <c r="BA169" i="34"/>
  <c r="BA79" i="36"/>
  <c r="BA49" i="34"/>
  <c r="AY25" i="45" s="1"/>
  <c r="BA63" i="36"/>
  <c r="BA31" i="34"/>
  <c r="AY17" i="45" s="1"/>
  <c r="BA185" i="34"/>
  <c r="BC25" i="34"/>
  <c r="BC73" i="36"/>
  <c r="BC43" i="34"/>
  <c r="BA21" i="45" s="1"/>
  <c r="BC163" i="34"/>
  <c r="BC11" i="34"/>
  <c r="BC179" i="34"/>
  <c r="BC57" i="36"/>
  <c r="BD178" i="34"/>
  <c r="AG1301" i="67" l="1"/>
  <c r="AS1325" i="67"/>
  <c r="AG1285" i="67"/>
  <c r="AF1302" i="67"/>
  <c r="BA120" i="34"/>
  <c r="AH1495" i="67"/>
  <c r="AH1149" i="67"/>
  <c r="AH998" i="67"/>
  <c r="BB103" i="34"/>
  <c r="AI1478" i="67"/>
  <c r="AI1132" i="67"/>
  <c r="AI981" i="67"/>
  <c r="AI679" i="67"/>
  <c r="BB119" i="34"/>
  <c r="AI1494" i="67"/>
  <c r="AI1148" i="67"/>
  <c r="AI997" i="67"/>
  <c r="AS1272" i="67"/>
  <c r="AT1119" i="67"/>
  <c r="AT968" i="67"/>
  <c r="AT666" i="67"/>
  <c r="AT362" i="67"/>
  <c r="AT817" i="67"/>
  <c r="AT514" i="67"/>
  <c r="BN46" i="68"/>
  <c r="AT56" i="67"/>
  <c r="AT209" i="67"/>
  <c r="AI232" i="67"/>
  <c r="AI385" i="67"/>
  <c r="AI689" i="67"/>
  <c r="AI79" i="67"/>
  <c r="AI840" i="67"/>
  <c r="AI537" i="67"/>
  <c r="AG392" i="67"/>
  <c r="AG239" i="67"/>
  <c r="AG847" i="67"/>
  <c r="AG696" i="67"/>
  <c r="AG86" i="67"/>
  <c r="AG544" i="67"/>
  <c r="AH391" i="67"/>
  <c r="AH695" i="67"/>
  <c r="AH85" i="67"/>
  <c r="AH238" i="67"/>
  <c r="AH846" i="67"/>
  <c r="AH543" i="67"/>
  <c r="BC97" i="34"/>
  <c r="AJ1472" i="67"/>
  <c r="AH375" i="67"/>
  <c r="AH830" i="67"/>
  <c r="AH527" i="67"/>
  <c r="AH69" i="67"/>
  <c r="AH222" i="67"/>
  <c r="BC98" i="34"/>
  <c r="AJ1473" i="67"/>
  <c r="BC114" i="34"/>
  <c r="AJ1489" i="67"/>
  <c r="BA104" i="34"/>
  <c r="AH1479" i="67"/>
  <c r="AH1133" i="67"/>
  <c r="AH982" i="67"/>
  <c r="BC113" i="34"/>
  <c r="AJ1488" i="67"/>
  <c r="AI521" i="67"/>
  <c r="AI63" i="67"/>
  <c r="AI824" i="67"/>
  <c r="AI216" i="67"/>
  <c r="AI80" i="67"/>
  <c r="AI386" i="67"/>
  <c r="AI690" i="67"/>
  <c r="AI233" i="67"/>
  <c r="AI841" i="67"/>
  <c r="AI538" i="67"/>
  <c r="AT1021" i="67"/>
  <c r="AT1172" i="67"/>
  <c r="AT415" i="67"/>
  <c r="AT870" i="67"/>
  <c r="AT262" i="67"/>
  <c r="AT567" i="67"/>
  <c r="AT109" i="67"/>
  <c r="AT719" i="67"/>
  <c r="AG376" i="67"/>
  <c r="AG528" i="67"/>
  <c r="AG831" i="67"/>
  <c r="AG70" i="67"/>
  <c r="AG223" i="67"/>
  <c r="AG680" i="67"/>
  <c r="AF1286" i="67"/>
  <c r="BD113" i="34"/>
  <c r="AK1488" i="67"/>
  <c r="AU1465" i="67"/>
  <c r="AU1518" i="67"/>
  <c r="AI370" i="67"/>
  <c r="AI217" i="67"/>
  <c r="AI522" i="67"/>
  <c r="AI64" i="67"/>
  <c r="AI825" i="67"/>
  <c r="AI674" i="67"/>
  <c r="AM45" i="70"/>
  <c r="AL45" i="36"/>
  <c r="S1461" i="67" s="1"/>
  <c r="AM41" i="68" s="1"/>
  <c r="L37" i="62" s="1"/>
  <c r="BO85" i="36"/>
  <c r="BA6" i="45"/>
  <c r="BD56" i="36"/>
  <c r="BD162" i="34"/>
  <c r="BD43" i="34"/>
  <c r="BD10" i="34"/>
  <c r="BD24" i="34"/>
  <c r="BD42" i="34"/>
  <c r="BA13" i="45"/>
  <c r="BC168" i="34"/>
  <c r="BC16" i="34"/>
  <c r="BC30" i="34"/>
  <c r="BC184" i="34"/>
  <c r="BC48" i="34"/>
  <c r="BC78" i="36"/>
  <c r="BC62" i="36"/>
  <c r="BB169" i="34"/>
  <c r="BB63" i="36"/>
  <c r="BB185" i="34"/>
  <c r="BB17" i="34"/>
  <c r="AZ10" i="45" s="1"/>
  <c r="BB31" i="34"/>
  <c r="AZ17" i="45" s="1"/>
  <c r="BB79" i="36"/>
  <c r="BB49" i="34"/>
  <c r="AZ25" i="45" s="1"/>
  <c r="BE42" i="34"/>
  <c r="AT1325" i="67" l="1"/>
  <c r="AH1301" i="67"/>
  <c r="AG1302" i="67"/>
  <c r="AH1285" i="67"/>
  <c r="BC119" i="34"/>
  <c r="AJ1494" i="67"/>
  <c r="AJ1148" i="67"/>
  <c r="AJ997" i="67"/>
  <c r="BB120" i="34"/>
  <c r="AI1495" i="67"/>
  <c r="AI1149" i="67"/>
  <c r="AI998" i="67"/>
  <c r="BB104" i="34"/>
  <c r="AI1479" i="67"/>
  <c r="AI1133" i="67"/>
  <c r="AI982" i="67"/>
  <c r="AU1172" i="67"/>
  <c r="AU1021" i="67"/>
  <c r="AU415" i="67"/>
  <c r="AU870" i="67"/>
  <c r="AU262" i="67"/>
  <c r="AU719" i="67"/>
  <c r="AU567" i="67"/>
  <c r="AU109" i="67"/>
  <c r="AJ386" i="67"/>
  <c r="AJ80" i="67"/>
  <c r="AJ538" i="67"/>
  <c r="AJ841" i="67"/>
  <c r="AJ690" i="67"/>
  <c r="AJ233" i="67"/>
  <c r="AT1272" i="67"/>
  <c r="AI391" i="67"/>
  <c r="AI85" i="67"/>
  <c r="AI846" i="67"/>
  <c r="AI238" i="67"/>
  <c r="AI695" i="67"/>
  <c r="AI543" i="67"/>
  <c r="AV1465" i="67"/>
  <c r="AV1518" i="67"/>
  <c r="AU968" i="67"/>
  <c r="AU666" i="67"/>
  <c r="AU1119" i="67"/>
  <c r="AU362" i="67"/>
  <c r="AU817" i="67"/>
  <c r="AU514" i="67"/>
  <c r="AU209" i="67"/>
  <c r="BO46" i="68"/>
  <c r="AU56" i="67"/>
  <c r="AG1286" i="67"/>
  <c r="AJ63" i="67"/>
  <c r="AJ521" i="67"/>
  <c r="AJ216" i="67"/>
  <c r="AJ824" i="67"/>
  <c r="AI375" i="67"/>
  <c r="AI527" i="67"/>
  <c r="AI830" i="67"/>
  <c r="AI69" i="67"/>
  <c r="AI222" i="67"/>
  <c r="AH392" i="67"/>
  <c r="AH544" i="67"/>
  <c r="AH86" i="67"/>
  <c r="AH847" i="67"/>
  <c r="AH239" i="67"/>
  <c r="AH696" i="67"/>
  <c r="BD97" i="34"/>
  <c r="AK1472" i="67"/>
  <c r="BC103" i="34"/>
  <c r="AJ1478" i="67"/>
  <c r="AJ1132" i="67"/>
  <c r="AJ981" i="67"/>
  <c r="AJ679" i="67"/>
  <c r="AK232" i="67"/>
  <c r="AK385" i="67"/>
  <c r="AK689" i="67"/>
  <c r="AK79" i="67"/>
  <c r="AK840" i="67"/>
  <c r="AK537" i="67"/>
  <c r="AJ79" i="67"/>
  <c r="AJ385" i="67"/>
  <c r="AJ232" i="67"/>
  <c r="AJ840" i="67"/>
  <c r="AJ537" i="67"/>
  <c r="AJ689" i="67"/>
  <c r="AH376" i="67"/>
  <c r="AH831" i="67"/>
  <c r="AH223" i="67"/>
  <c r="AH528" i="67"/>
  <c r="AH70" i="67"/>
  <c r="AH680" i="67"/>
  <c r="AJ64" i="67"/>
  <c r="AJ370" i="67"/>
  <c r="AJ217" i="67"/>
  <c r="AJ522" i="67"/>
  <c r="AJ825" i="67"/>
  <c r="AJ674" i="67"/>
  <c r="AN45" i="70"/>
  <c r="AM45" i="36"/>
  <c r="T1461" i="67" s="1"/>
  <c r="AN41" i="68" s="1"/>
  <c r="M37" i="62" s="1"/>
  <c r="BE178" i="34"/>
  <c r="BD73" i="36"/>
  <c r="BD11" i="34"/>
  <c r="BB6" i="45" s="1"/>
  <c r="BD25" i="34"/>
  <c r="BB13" i="45" s="1"/>
  <c r="BE24" i="34"/>
  <c r="BE72" i="36"/>
  <c r="BE10" i="34"/>
  <c r="BB21" i="45"/>
  <c r="BE56" i="36"/>
  <c r="BD179" i="34"/>
  <c r="BD163" i="34"/>
  <c r="BD57" i="36"/>
  <c r="BE162" i="34"/>
  <c r="BF10" i="34"/>
  <c r="BD168" i="34"/>
  <c r="BD30" i="34"/>
  <c r="BD184" i="34"/>
  <c r="BD48" i="34"/>
  <c r="BD78" i="36"/>
  <c r="BD62" i="36"/>
  <c r="BD16" i="34"/>
  <c r="BC31" i="34"/>
  <c r="BA17" i="45" s="1"/>
  <c r="BC63" i="36"/>
  <c r="BC185" i="34"/>
  <c r="BC169" i="34"/>
  <c r="BC79" i="36"/>
  <c r="BC17" i="34"/>
  <c r="BA10" i="45" s="1"/>
  <c r="BC49" i="34"/>
  <c r="BA25" i="45" s="1"/>
  <c r="BE25" i="34"/>
  <c r="BE57" i="36"/>
  <c r="BE179" i="34"/>
  <c r="BE163" i="34"/>
  <c r="BE73" i="36"/>
  <c r="BE43" i="34"/>
  <c r="BC21" i="45" s="1"/>
  <c r="BE11" i="34"/>
  <c r="AH1302" i="67" l="1"/>
  <c r="AH1286" i="67"/>
  <c r="AI1285" i="67"/>
  <c r="AU1325" i="67"/>
  <c r="AI1301" i="67"/>
  <c r="BE98" i="34"/>
  <c r="AL1473" i="67"/>
  <c r="BE114" i="34"/>
  <c r="AL1489" i="67"/>
  <c r="AJ375" i="67"/>
  <c r="AJ69" i="67"/>
  <c r="AJ527" i="67"/>
  <c r="AJ222" i="67"/>
  <c r="AJ830" i="67"/>
  <c r="BD114" i="34"/>
  <c r="AK1489" i="67"/>
  <c r="BE97" i="34"/>
  <c r="AL1472" i="67"/>
  <c r="BD103" i="34"/>
  <c r="AK1478" i="67"/>
  <c r="AK1132" i="67"/>
  <c r="AK679" i="67"/>
  <c r="AK981" i="67"/>
  <c r="BD98" i="34"/>
  <c r="AK1473" i="67"/>
  <c r="AU1272" i="67"/>
  <c r="AI376" i="67"/>
  <c r="AI528" i="67"/>
  <c r="AI831" i="67"/>
  <c r="AI70" i="67"/>
  <c r="AI223" i="67"/>
  <c r="AI680" i="67"/>
  <c r="AI847" i="67"/>
  <c r="AI392" i="67"/>
  <c r="AI544" i="67"/>
  <c r="AI86" i="67"/>
  <c r="AI696" i="67"/>
  <c r="AI239" i="67"/>
  <c r="AJ391" i="67"/>
  <c r="AJ846" i="67"/>
  <c r="AJ695" i="67"/>
  <c r="AJ85" i="67"/>
  <c r="AJ543" i="67"/>
  <c r="AJ238" i="67"/>
  <c r="BC120" i="34"/>
  <c r="AJ1495" i="67"/>
  <c r="AJ1149" i="67"/>
  <c r="AJ998" i="67"/>
  <c r="BE113" i="34"/>
  <c r="AL1488" i="67"/>
  <c r="AV968" i="67"/>
  <c r="AV666" i="67"/>
  <c r="AV1119" i="67"/>
  <c r="AV362" i="67"/>
  <c r="AV209" i="67"/>
  <c r="BP46" i="68"/>
  <c r="AV817" i="67"/>
  <c r="AV514" i="67"/>
  <c r="AV56" i="67"/>
  <c r="BC104" i="34"/>
  <c r="AJ1479" i="67"/>
  <c r="AJ1133" i="67"/>
  <c r="AJ982" i="67"/>
  <c r="BD119" i="34"/>
  <c r="AK1494" i="67"/>
  <c r="AK1148" i="67"/>
  <c r="AK997" i="67"/>
  <c r="AK521" i="67"/>
  <c r="AK216" i="67"/>
  <c r="AK824" i="67"/>
  <c r="AK63" i="67"/>
  <c r="AV1172" i="67"/>
  <c r="AV1021" i="67"/>
  <c r="AV109" i="67"/>
  <c r="AV719" i="67"/>
  <c r="AV870" i="67"/>
  <c r="AV415" i="67"/>
  <c r="AV262" i="67"/>
  <c r="AV567" i="67"/>
  <c r="AO45" i="70"/>
  <c r="AN45" i="36"/>
  <c r="U1461" i="67" s="1"/>
  <c r="AO41" i="68" s="1"/>
  <c r="N37" i="62" s="1"/>
  <c r="BF56" i="36"/>
  <c r="BF24" i="34"/>
  <c r="BF162" i="34"/>
  <c r="BF42" i="34"/>
  <c r="BF72" i="36"/>
  <c r="BC13" i="45"/>
  <c r="BC6" i="45"/>
  <c r="BF178" i="34"/>
  <c r="BG56" i="36"/>
  <c r="BE184" i="34"/>
  <c r="BE30" i="34"/>
  <c r="BE78" i="36"/>
  <c r="BE16" i="34"/>
  <c r="BE62" i="36"/>
  <c r="BE168" i="34"/>
  <c r="BE48" i="34"/>
  <c r="BD49" i="34"/>
  <c r="BB25" i="45" s="1"/>
  <c r="BD17" i="34"/>
  <c r="BB10" i="45" s="1"/>
  <c r="BD79" i="36"/>
  <c r="BD185" i="34"/>
  <c r="BD31" i="34"/>
  <c r="BB17" i="45" s="1"/>
  <c r="BD169" i="34"/>
  <c r="BD63" i="36"/>
  <c r="BF11" i="34"/>
  <c r="BD6" i="45" s="1"/>
  <c r="BF73" i="36"/>
  <c r="BF25" i="34"/>
  <c r="BF179" i="34"/>
  <c r="BF163" i="34"/>
  <c r="BF43" i="34"/>
  <c r="BF57" i="36"/>
  <c r="AJ1285" i="67" l="1"/>
  <c r="AI1302" i="67"/>
  <c r="AI1286" i="67"/>
  <c r="AJ1301" i="67"/>
  <c r="AV1325" i="67"/>
  <c r="AL385" i="67"/>
  <c r="AL689" i="67"/>
  <c r="AL79" i="67"/>
  <c r="AL232" i="67"/>
  <c r="AL537" i="67"/>
  <c r="AL840" i="67"/>
  <c r="AJ392" i="67"/>
  <c r="AJ86" i="67"/>
  <c r="AJ847" i="67"/>
  <c r="AJ239" i="67"/>
  <c r="AJ696" i="67"/>
  <c r="AJ544" i="67"/>
  <c r="AK370" i="67"/>
  <c r="AK217" i="67"/>
  <c r="AK64" i="67"/>
  <c r="AK522" i="67"/>
  <c r="AK825" i="67"/>
  <c r="AK674" i="67"/>
  <c r="AL386" i="67"/>
  <c r="AL841" i="67"/>
  <c r="AL80" i="67"/>
  <c r="AL233" i="67"/>
  <c r="AL538" i="67"/>
  <c r="AL690" i="67"/>
  <c r="BG97" i="34"/>
  <c r="AN1472" i="67"/>
  <c r="BF97" i="34"/>
  <c r="AM1472" i="67"/>
  <c r="BE119" i="34"/>
  <c r="AL1494" i="67"/>
  <c r="AL1148" i="67"/>
  <c r="AL997" i="67"/>
  <c r="AK391" i="67"/>
  <c r="AK846" i="67"/>
  <c r="AK85" i="67"/>
  <c r="AK238" i="67"/>
  <c r="AK543" i="67"/>
  <c r="AK695" i="67"/>
  <c r="AJ376" i="67"/>
  <c r="AJ528" i="67"/>
  <c r="AJ831" i="67"/>
  <c r="AJ70" i="67"/>
  <c r="AJ223" i="67"/>
  <c r="AJ680" i="67"/>
  <c r="AK375" i="67"/>
  <c r="AK830" i="67"/>
  <c r="AK222" i="67"/>
  <c r="AK527" i="67"/>
  <c r="AK69" i="67"/>
  <c r="AK538" i="67"/>
  <c r="AK690" i="67"/>
  <c r="AK386" i="67"/>
  <c r="AK80" i="67"/>
  <c r="AK233" i="67"/>
  <c r="AK841" i="67"/>
  <c r="BF114" i="34"/>
  <c r="AM1489" i="67"/>
  <c r="BF113" i="34"/>
  <c r="AM1488" i="67"/>
  <c r="BD104" i="34"/>
  <c r="AK1479" i="67"/>
  <c r="AK1133" i="67"/>
  <c r="AK982" i="67"/>
  <c r="BD120" i="34"/>
  <c r="AK1495" i="67"/>
  <c r="AK1149" i="67"/>
  <c r="AK998" i="67"/>
  <c r="AL370" i="67"/>
  <c r="AL522" i="67"/>
  <c r="AL217" i="67"/>
  <c r="AL825" i="67"/>
  <c r="AL64" i="67"/>
  <c r="AL674" i="67"/>
  <c r="BF98" i="34"/>
  <c r="AM1473" i="67"/>
  <c r="BE103" i="34"/>
  <c r="AL1478" i="67"/>
  <c r="AL1132" i="67"/>
  <c r="AL981" i="67"/>
  <c r="AL679" i="67"/>
  <c r="AV1272" i="67"/>
  <c r="AL216" i="67"/>
  <c r="AL369" i="67"/>
  <c r="AL63" i="67"/>
  <c r="AL521" i="67"/>
  <c r="AL824" i="67"/>
  <c r="AP45" i="70"/>
  <c r="AO45" i="36"/>
  <c r="V1461" i="67" s="1"/>
  <c r="AP41" i="68" s="1"/>
  <c r="O37" i="62" s="1"/>
  <c r="BD13" i="45"/>
  <c r="BG178" i="34"/>
  <c r="BD21" i="45"/>
  <c r="BG10" i="34"/>
  <c r="BG72" i="36"/>
  <c r="BG43" i="34"/>
  <c r="BG162" i="34"/>
  <c r="BG24" i="34"/>
  <c r="BG42" i="34"/>
  <c r="BE185" i="34"/>
  <c r="BE79" i="36"/>
  <c r="BE31" i="34"/>
  <c r="BC17" i="45" s="1"/>
  <c r="BE17" i="34"/>
  <c r="BC10" i="45" s="1"/>
  <c r="BE63" i="36"/>
  <c r="BE49" i="34"/>
  <c r="BC25" i="45" s="1"/>
  <c r="BE169" i="34"/>
  <c r="BF184" i="34"/>
  <c r="BF16" i="34"/>
  <c r="BF168" i="34"/>
  <c r="BF48" i="34"/>
  <c r="BF62" i="36"/>
  <c r="BF30" i="34"/>
  <c r="BF78" i="36"/>
  <c r="AK1285" i="67" l="1"/>
  <c r="AK1301" i="67"/>
  <c r="AJ1302" i="67"/>
  <c r="BF119" i="34"/>
  <c r="AM1494" i="67"/>
  <c r="AM1148" i="67"/>
  <c r="AM997" i="67"/>
  <c r="BE120" i="34"/>
  <c r="AL1495" i="67"/>
  <c r="AL1149" i="67"/>
  <c r="AL998" i="67"/>
  <c r="AL375" i="67"/>
  <c r="AL222" i="67"/>
  <c r="AL830" i="67"/>
  <c r="AL69" i="67"/>
  <c r="AL527" i="67"/>
  <c r="AK392" i="67"/>
  <c r="AK239" i="67"/>
  <c r="AK544" i="67"/>
  <c r="AK847" i="67"/>
  <c r="AK86" i="67"/>
  <c r="AK696" i="67"/>
  <c r="AK376" i="67"/>
  <c r="AK70" i="67"/>
  <c r="AK223" i="67"/>
  <c r="AK528" i="67"/>
  <c r="AK831" i="67"/>
  <c r="AK680" i="67"/>
  <c r="AM386" i="67"/>
  <c r="AM690" i="67"/>
  <c r="AM841" i="67"/>
  <c r="AM233" i="67"/>
  <c r="AM538" i="67"/>
  <c r="AM80" i="67"/>
  <c r="AL391" i="67"/>
  <c r="AL238" i="67"/>
  <c r="AL846" i="67"/>
  <c r="AL543" i="67"/>
  <c r="AL695" i="67"/>
  <c r="AL85" i="67"/>
  <c r="AN369" i="67"/>
  <c r="AN63" i="67"/>
  <c r="AN824" i="67"/>
  <c r="AN521" i="67"/>
  <c r="AN216" i="67"/>
  <c r="BE104" i="34"/>
  <c r="AL1479" i="67"/>
  <c r="AL1133" i="67"/>
  <c r="AL982" i="67"/>
  <c r="AJ1286" i="67"/>
  <c r="BF103" i="34"/>
  <c r="AM1478" i="67"/>
  <c r="AM1132" i="67"/>
  <c r="AM679" i="67"/>
  <c r="AM981" i="67"/>
  <c r="BG113" i="34"/>
  <c r="AN1488" i="67"/>
  <c r="AM370" i="67"/>
  <c r="AM64" i="67"/>
  <c r="AM522" i="67"/>
  <c r="AM217" i="67"/>
  <c r="AM825" i="67"/>
  <c r="AM674" i="67"/>
  <c r="AM385" i="67"/>
  <c r="AM840" i="67"/>
  <c r="AM79" i="67"/>
  <c r="AM232" i="67"/>
  <c r="AM537" i="67"/>
  <c r="AM689" i="67"/>
  <c r="AM369" i="67"/>
  <c r="AM824" i="67"/>
  <c r="AM63" i="67"/>
  <c r="AM216" i="67"/>
  <c r="AM521" i="67"/>
  <c r="AQ45" i="70"/>
  <c r="AP45" i="36"/>
  <c r="W1461" i="67" s="1"/>
  <c r="AQ41" i="68" s="1"/>
  <c r="P37" i="62" s="1"/>
  <c r="BG163" i="34"/>
  <c r="BH56" i="36"/>
  <c r="BG73" i="36"/>
  <c r="BG179" i="34"/>
  <c r="BG11" i="34"/>
  <c r="BE6" i="45" s="1"/>
  <c r="BH24" i="34"/>
  <c r="BH178" i="34"/>
  <c r="BH72" i="36"/>
  <c r="BG57" i="36"/>
  <c r="BH162" i="34"/>
  <c r="BG25" i="34"/>
  <c r="BE13" i="45" s="1"/>
  <c r="BH10" i="34"/>
  <c r="BH42" i="34"/>
  <c r="BE21" i="45"/>
  <c r="BI10" i="34"/>
  <c r="BF31" i="34"/>
  <c r="BD17" i="45" s="1"/>
  <c r="BF63" i="36"/>
  <c r="BF169" i="34"/>
  <c r="BF79" i="36"/>
  <c r="BF49" i="34"/>
  <c r="BD25" i="45" s="1"/>
  <c r="BF185" i="34"/>
  <c r="BF17" i="34"/>
  <c r="BD10" i="45" s="1"/>
  <c r="BG168" i="34"/>
  <c r="BG48" i="34"/>
  <c r="BG62" i="36"/>
  <c r="BG78" i="36"/>
  <c r="BG30" i="34"/>
  <c r="BG184" i="34"/>
  <c r="BG16" i="34"/>
  <c r="BI162" i="34"/>
  <c r="BH43" i="34"/>
  <c r="BH179" i="34"/>
  <c r="BH57" i="36"/>
  <c r="BH11" i="34"/>
  <c r="BH25" i="34"/>
  <c r="BH163" i="34"/>
  <c r="BH73" i="36"/>
  <c r="AK1302" i="67" l="1"/>
  <c r="AL1301" i="67"/>
  <c r="AL1285" i="67"/>
  <c r="BG119" i="34"/>
  <c r="AN1494" i="67"/>
  <c r="AN1148" i="67"/>
  <c r="AN997" i="67"/>
  <c r="BH114" i="34"/>
  <c r="AO1489" i="67"/>
  <c r="BG98" i="34"/>
  <c r="AN1473" i="67"/>
  <c r="AM375" i="67"/>
  <c r="AM830" i="67"/>
  <c r="AM69" i="67"/>
  <c r="AM222" i="67"/>
  <c r="AM527" i="67"/>
  <c r="BH113" i="34"/>
  <c r="AO1488" i="67"/>
  <c r="AL376" i="67"/>
  <c r="AL70" i="67"/>
  <c r="AL528" i="67"/>
  <c r="AL223" i="67"/>
  <c r="AL831" i="67"/>
  <c r="AL680" i="67"/>
  <c r="AK1286" i="67"/>
  <c r="AL392" i="67"/>
  <c r="AL544" i="67"/>
  <c r="AL239" i="67"/>
  <c r="AL847" i="67"/>
  <c r="AL696" i="67"/>
  <c r="AL86" i="67"/>
  <c r="AM391" i="67"/>
  <c r="AM543" i="67"/>
  <c r="AM695" i="67"/>
  <c r="AM846" i="67"/>
  <c r="AM238" i="67"/>
  <c r="AM85" i="67"/>
  <c r="BH97" i="34"/>
  <c r="AO1472" i="67"/>
  <c r="BH98" i="34"/>
  <c r="AO1473" i="67"/>
  <c r="BG103" i="34"/>
  <c r="AN1478" i="67"/>
  <c r="AN1132" i="67"/>
  <c r="AN981" i="67"/>
  <c r="AN679" i="67"/>
  <c r="BF104" i="34"/>
  <c r="AM1479" i="67"/>
  <c r="AM1133" i="67"/>
  <c r="AM982" i="67"/>
  <c r="BF120" i="34"/>
  <c r="AM1495" i="67"/>
  <c r="AM1149" i="67"/>
  <c r="AM998" i="67"/>
  <c r="BG114" i="34"/>
  <c r="AN1489" i="67"/>
  <c r="AN385" i="67"/>
  <c r="AN689" i="67"/>
  <c r="AN232" i="67"/>
  <c r="AN840" i="67"/>
  <c r="AN537" i="67"/>
  <c r="AN79" i="67"/>
  <c r="AR45" i="70"/>
  <c r="AQ45" i="36"/>
  <c r="X1461" i="67" s="1"/>
  <c r="AR41" i="68" s="1"/>
  <c r="Q37" i="62" s="1"/>
  <c r="BF13" i="45"/>
  <c r="BI72" i="36"/>
  <c r="BF21" i="45"/>
  <c r="BF6" i="45"/>
  <c r="BI42" i="34"/>
  <c r="BI24" i="34"/>
  <c r="BI178" i="34"/>
  <c r="BI25" i="34"/>
  <c r="BI56" i="36"/>
  <c r="BJ162" i="34"/>
  <c r="BG17" i="34"/>
  <c r="BE10" i="45" s="1"/>
  <c r="BG79" i="36"/>
  <c r="BG49" i="34"/>
  <c r="BE25" i="45" s="1"/>
  <c r="BG185" i="34"/>
  <c r="BG169" i="34"/>
  <c r="BG31" i="34"/>
  <c r="BE17" i="45" s="1"/>
  <c r="BG63" i="36"/>
  <c r="BH184" i="34"/>
  <c r="BH30" i="34"/>
  <c r="BH62" i="36"/>
  <c r="BH78" i="36"/>
  <c r="BH168" i="34"/>
  <c r="BH48" i="34"/>
  <c r="BH16" i="34"/>
  <c r="AM1301" i="67" l="1"/>
  <c r="AM1285" i="67"/>
  <c r="AL1302" i="67"/>
  <c r="BH103" i="34"/>
  <c r="AO1478" i="67"/>
  <c r="AO1132" i="67"/>
  <c r="AO981" i="67"/>
  <c r="AO679" i="67"/>
  <c r="AO370" i="67"/>
  <c r="AO64" i="67"/>
  <c r="AO522" i="67"/>
  <c r="AO217" i="67"/>
  <c r="AO825" i="67"/>
  <c r="AO674" i="67"/>
  <c r="BI113" i="34"/>
  <c r="AP1488" i="67"/>
  <c r="AN386" i="67"/>
  <c r="AN690" i="67"/>
  <c r="AN841" i="67"/>
  <c r="AN80" i="67"/>
  <c r="AN233" i="67"/>
  <c r="AN538" i="67"/>
  <c r="AM392" i="67"/>
  <c r="AM847" i="67"/>
  <c r="AM86" i="67"/>
  <c r="AM544" i="67"/>
  <c r="AM696" i="67"/>
  <c r="AM239" i="67"/>
  <c r="AM376" i="67"/>
  <c r="AM831" i="67"/>
  <c r="AM223" i="67"/>
  <c r="AM70" i="67"/>
  <c r="AM528" i="67"/>
  <c r="AM680" i="67"/>
  <c r="AO232" i="67"/>
  <c r="AO385" i="67"/>
  <c r="AO840" i="67"/>
  <c r="AO537" i="67"/>
  <c r="AO79" i="67"/>
  <c r="AO689" i="67"/>
  <c r="AN370" i="67"/>
  <c r="AN64" i="67"/>
  <c r="AN522" i="67"/>
  <c r="AN217" i="67"/>
  <c r="AN825" i="67"/>
  <c r="AN674" i="67"/>
  <c r="BH119" i="34"/>
  <c r="AO1494" i="67"/>
  <c r="AO1148" i="67"/>
  <c r="AO997" i="67"/>
  <c r="BG104" i="34"/>
  <c r="AN1479" i="67"/>
  <c r="AN1133" i="67"/>
  <c r="AN982" i="67"/>
  <c r="BI97" i="34"/>
  <c r="AP1472" i="67"/>
  <c r="AN375" i="67"/>
  <c r="AN527" i="67"/>
  <c r="AN69" i="67"/>
  <c r="AN830" i="67"/>
  <c r="AN222" i="67"/>
  <c r="AO824" i="67"/>
  <c r="AO63" i="67"/>
  <c r="AO216" i="67"/>
  <c r="AO521" i="67"/>
  <c r="BG120" i="34"/>
  <c r="AN1495" i="67"/>
  <c r="AN1149" i="67"/>
  <c r="AN998" i="67"/>
  <c r="AL1286" i="67"/>
  <c r="AO80" i="67"/>
  <c r="AO386" i="67"/>
  <c r="AO538" i="67"/>
  <c r="AO690" i="67"/>
  <c r="AO233" i="67"/>
  <c r="AO841" i="67"/>
  <c r="AN391" i="67"/>
  <c r="AN85" i="67"/>
  <c r="AN846" i="67"/>
  <c r="AN238" i="67"/>
  <c r="AN695" i="67"/>
  <c r="AN543" i="67"/>
  <c r="AS45" i="70"/>
  <c r="AR45" i="36"/>
  <c r="Y1461" i="67" s="1"/>
  <c r="AS41" i="68" s="1"/>
  <c r="R37" i="62" s="1"/>
  <c r="BJ10" i="34"/>
  <c r="BI11" i="34"/>
  <c r="BI163" i="34"/>
  <c r="BG13" i="45"/>
  <c r="BI179" i="34"/>
  <c r="BI73" i="36"/>
  <c r="BI43" i="34"/>
  <c r="BG21" i="45" s="1"/>
  <c r="BI57" i="36"/>
  <c r="BJ24" i="34"/>
  <c r="BJ56" i="36"/>
  <c r="BJ11" i="34"/>
  <c r="BJ72" i="36"/>
  <c r="BJ42" i="34"/>
  <c r="BJ178" i="34"/>
  <c r="BK24" i="34"/>
  <c r="BH49" i="34"/>
  <c r="BF25" i="45" s="1"/>
  <c r="BH185" i="34"/>
  <c r="BH17" i="34"/>
  <c r="BF10" i="45" s="1"/>
  <c r="BH79" i="36"/>
  <c r="BH31" i="34"/>
  <c r="BF17" i="45" s="1"/>
  <c r="BH169" i="34"/>
  <c r="BH63" i="36"/>
  <c r="BI168" i="34"/>
  <c r="BI184" i="34"/>
  <c r="BI30" i="34"/>
  <c r="BI16" i="34"/>
  <c r="BI62" i="36"/>
  <c r="BI78" i="36"/>
  <c r="BI48" i="34"/>
  <c r="AN1285" i="67" l="1"/>
  <c r="AM1302" i="67"/>
  <c r="AN1301" i="67"/>
  <c r="AM1286" i="67"/>
  <c r="BJ97" i="34"/>
  <c r="AQ1472" i="67"/>
  <c r="BH104" i="34"/>
  <c r="AO1479" i="67"/>
  <c r="AO1133" i="67"/>
  <c r="AO982" i="67"/>
  <c r="BI114" i="34"/>
  <c r="AP1489" i="67"/>
  <c r="BI119" i="34"/>
  <c r="AP1494" i="67"/>
  <c r="AP1148" i="67"/>
  <c r="AP997" i="67"/>
  <c r="BJ113" i="34"/>
  <c r="AQ1488" i="67"/>
  <c r="BI98" i="34"/>
  <c r="AP1473" i="67"/>
  <c r="AP63" i="67"/>
  <c r="AP369" i="67"/>
  <c r="AP521" i="67"/>
  <c r="AP824" i="67"/>
  <c r="AP216" i="67"/>
  <c r="AN376" i="67"/>
  <c r="AN223" i="67"/>
  <c r="AN831" i="67"/>
  <c r="AN70" i="67"/>
  <c r="AN528" i="67"/>
  <c r="AN680" i="67"/>
  <c r="AO391" i="67"/>
  <c r="AO846" i="67"/>
  <c r="AO85" i="67"/>
  <c r="AO695" i="67"/>
  <c r="AO238" i="67"/>
  <c r="AO543" i="67"/>
  <c r="AO375" i="67"/>
  <c r="AO527" i="67"/>
  <c r="AO222" i="67"/>
  <c r="AO830" i="67"/>
  <c r="AO69" i="67"/>
  <c r="BI103" i="34"/>
  <c r="AP1478" i="67"/>
  <c r="AP1132" i="67"/>
  <c r="AP981" i="67"/>
  <c r="AP679" i="67"/>
  <c r="BH120" i="34"/>
  <c r="AO1495" i="67"/>
  <c r="AO1149" i="67"/>
  <c r="AO998" i="67"/>
  <c r="AN392" i="67"/>
  <c r="AN696" i="67"/>
  <c r="AN847" i="67"/>
  <c r="AN544" i="67"/>
  <c r="AN86" i="67"/>
  <c r="AN239" i="67"/>
  <c r="AP385" i="67"/>
  <c r="AP689" i="67"/>
  <c r="AP840" i="67"/>
  <c r="AP232" i="67"/>
  <c r="AP79" i="67"/>
  <c r="AP537" i="67"/>
  <c r="AT45" i="70"/>
  <c r="AS45" i="36"/>
  <c r="Z1461" i="67" s="1"/>
  <c r="AT41" i="68" s="1"/>
  <c r="S37" i="62" s="1"/>
  <c r="BG6" i="45"/>
  <c r="BH6" i="45"/>
  <c r="BK42" i="34"/>
  <c r="BJ179" i="34"/>
  <c r="BK56" i="36"/>
  <c r="BJ163" i="34"/>
  <c r="BJ57" i="36"/>
  <c r="BK72" i="36"/>
  <c r="BK163" i="34"/>
  <c r="BK178" i="34"/>
  <c r="BK10" i="34"/>
  <c r="BJ73" i="36"/>
  <c r="BJ25" i="34"/>
  <c r="BH13" i="45" s="1"/>
  <c r="BK162" i="34"/>
  <c r="BJ43" i="34"/>
  <c r="BH21" i="45" s="1"/>
  <c r="BL56" i="36"/>
  <c r="BJ184" i="34"/>
  <c r="BJ16" i="34"/>
  <c r="BJ78" i="36"/>
  <c r="BJ30" i="34"/>
  <c r="BJ62" i="36"/>
  <c r="BJ168" i="34"/>
  <c r="BJ48" i="34"/>
  <c r="BI49" i="34"/>
  <c r="BG25" i="45" s="1"/>
  <c r="BI185" i="34"/>
  <c r="BI79" i="36"/>
  <c r="BI17" i="34"/>
  <c r="BG10" i="45" s="1"/>
  <c r="BI31" i="34"/>
  <c r="BG17" i="45" s="1"/>
  <c r="BI63" i="36"/>
  <c r="BI169" i="34"/>
  <c r="BK25" i="34"/>
  <c r="BI13" i="45" s="1"/>
  <c r="BK43" i="34"/>
  <c r="BK179" i="34"/>
  <c r="BK11" i="34"/>
  <c r="BK57" i="36"/>
  <c r="AN1302" i="67" l="1"/>
  <c r="AO1301" i="67"/>
  <c r="AO1285" i="67"/>
  <c r="AP386" i="67"/>
  <c r="AP80" i="67"/>
  <c r="AP841" i="67"/>
  <c r="AP233" i="67"/>
  <c r="AP538" i="67"/>
  <c r="AP690" i="67"/>
  <c r="AO376" i="67"/>
  <c r="AO70" i="67"/>
  <c r="AO223" i="67"/>
  <c r="AO528" i="67"/>
  <c r="AO831" i="67"/>
  <c r="AO680" i="67"/>
  <c r="BI120" i="34"/>
  <c r="AP1495" i="67"/>
  <c r="AP1149" i="67"/>
  <c r="AP998" i="67"/>
  <c r="BI104" i="34"/>
  <c r="AP1479" i="67"/>
  <c r="AP1133" i="67"/>
  <c r="AP982" i="67"/>
  <c r="BJ103" i="34"/>
  <c r="AQ1478" i="67"/>
  <c r="AQ1132" i="67"/>
  <c r="AQ981" i="67"/>
  <c r="AQ679" i="67"/>
  <c r="BK97" i="34"/>
  <c r="AR1472" i="67"/>
  <c r="AN1286" i="67"/>
  <c r="AP370" i="67"/>
  <c r="AP64" i="67"/>
  <c r="AP825" i="67"/>
  <c r="AP217" i="67"/>
  <c r="AP522" i="67"/>
  <c r="AP674" i="67"/>
  <c r="BL97" i="34"/>
  <c r="AS1472" i="67"/>
  <c r="BJ114" i="34"/>
  <c r="AQ1489" i="67"/>
  <c r="BK113" i="34"/>
  <c r="AR1488" i="67"/>
  <c r="AO392" i="67"/>
  <c r="AO86" i="67"/>
  <c r="AO544" i="67"/>
  <c r="AO239" i="67"/>
  <c r="AO847" i="67"/>
  <c r="AO696" i="67"/>
  <c r="AQ232" i="67"/>
  <c r="AQ385" i="67"/>
  <c r="AQ537" i="67"/>
  <c r="AQ689" i="67"/>
  <c r="AQ79" i="67"/>
  <c r="AQ840" i="67"/>
  <c r="AP391" i="67"/>
  <c r="AP543" i="67"/>
  <c r="AP85" i="67"/>
  <c r="AP846" i="67"/>
  <c r="AP238" i="67"/>
  <c r="AP695" i="67"/>
  <c r="AQ369" i="67"/>
  <c r="AQ63" i="67"/>
  <c r="AQ216" i="67"/>
  <c r="AQ521" i="67"/>
  <c r="AQ824" i="67"/>
  <c r="BK98" i="34"/>
  <c r="AR1473" i="67"/>
  <c r="BJ119" i="34"/>
  <c r="AQ1494" i="67"/>
  <c r="AQ1148" i="67"/>
  <c r="AQ997" i="67"/>
  <c r="BJ98" i="34"/>
  <c r="AQ1473" i="67"/>
  <c r="AP375" i="67"/>
  <c r="AP830" i="67"/>
  <c r="AP69" i="67"/>
  <c r="AP222" i="67"/>
  <c r="AP527" i="67"/>
  <c r="AU45" i="70"/>
  <c r="AT45" i="36"/>
  <c r="AA1461" i="67" s="1"/>
  <c r="AU41" i="68" s="1"/>
  <c r="T37" i="62" s="1"/>
  <c r="BI21" i="45"/>
  <c r="BK73" i="36"/>
  <c r="BL162" i="34"/>
  <c r="BL42" i="34"/>
  <c r="BL72" i="36"/>
  <c r="BL10" i="34"/>
  <c r="BI6" i="45"/>
  <c r="BL178" i="34"/>
  <c r="BL25" i="34"/>
  <c r="BM42" i="34"/>
  <c r="BL24" i="34"/>
  <c r="BK184" i="34"/>
  <c r="BK16" i="34"/>
  <c r="BK62" i="36"/>
  <c r="BK168" i="34"/>
  <c r="BK30" i="34"/>
  <c r="BK78" i="36"/>
  <c r="BK48" i="34"/>
  <c r="BJ185" i="34"/>
  <c r="BJ31" i="34"/>
  <c r="BH17" i="45" s="1"/>
  <c r="BJ169" i="34"/>
  <c r="BJ49" i="34"/>
  <c r="BH25" i="45" s="1"/>
  <c r="BJ79" i="36"/>
  <c r="BJ17" i="34"/>
  <c r="BH10" i="45" s="1"/>
  <c r="BJ63" i="36"/>
  <c r="AO1302" i="67" l="1"/>
  <c r="AO1286" i="67"/>
  <c r="AP1285" i="67"/>
  <c r="AP1301" i="67"/>
  <c r="AR370" i="67"/>
  <c r="AR522" i="67"/>
  <c r="AR825" i="67"/>
  <c r="AR217" i="67"/>
  <c r="AR64" i="67"/>
  <c r="AR674" i="67"/>
  <c r="BJ120" i="34"/>
  <c r="AQ1495" i="67"/>
  <c r="AQ1149" i="67"/>
  <c r="AQ998" i="67"/>
  <c r="AQ386" i="67"/>
  <c r="AQ690" i="67"/>
  <c r="AQ80" i="67"/>
  <c r="AQ841" i="67"/>
  <c r="AQ538" i="67"/>
  <c r="AQ233" i="67"/>
  <c r="AQ375" i="67"/>
  <c r="AQ527" i="67"/>
  <c r="AQ830" i="67"/>
  <c r="AQ69" i="67"/>
  <c r="AQ222" i="67"/>
  <c r="AP376" i="67"/>
  <c r="AP831" i="67"/>
  <c r="AP70" i="67"/>
  <c r="AP528" i="67"/>
  <c r="AP223" i="67"/>
  <c r="AP680" i="67"/>
  <c r="BK114" i="34"/>
  <c r="AR1489" i="67"/>
  <c r="AQ64" i="67"/>
  <c r="AQ370" i="67"/>
  <c r="AQ522" i="67"/>
  <c r="AQ217" i="67"/>
  <c r="AQ825" i="67"/>
  <c r="AQ674" i="67"/>
  <c r="AQ391" i="67"/>
  <c r="AQ846" i="67"/>
  <c r="AQ238" i="67"/>
  <c r="AQ695" i="67"/>
  <c r="AQ85" i="67"/>
  <c r="AQ543" i="67"/>
  <c r="AP392" i="67"/>
  <c r="AP847" i="67"/>
  <c r="AP86" i="67"/>
  <c r="AP696" i="67"/>
  <c r="AP239" i="67"/>
  <c r="AP544" i="67"/>
  <c r="AR216" i="67"/>
  <c r="AR369" i="67"/>
  <c r="AR521" i="67"/>
  <c r="AR63" i="67"/>
  <c r="AR824" i="67"/>
  <c r="BK103" i="34"/>
  <c r="AR1478" i="67"/>
  <c r="AR1132" i="67"/>
  <c r="AR981" i="67"/>
  <c r="AR679" i="67"/>
  <c r="BJ104" i="34"/>
  <c r="AQ1479" i="67"/>
  <c r="AQ1133" i="67"/>
  <c r="AQ982" i="67"/>
  <c r="BK119" i="34"/>
  <c r="AR1494" i="67"/>
  <c r="AR1148" i="67"/>
  <c r="AR997" i="67"/>
  <c r="BL113" i="34"/>
  <c r="AS1488" i="67"/>
  <c r="AR385" i="67"/>
  <c r="AR840" i="67"/>
  <c r="AR232" i="67"/>
  <c r="AR537" i="67"/>
  <c r="AR689" i="67"/>
  <c r="AR79" i="67"/>
  <c r="AS369" i="67"/>
  <c r="AS63" i="67"/>
  <c r="AS824" i="67"/>
  <c r="AS521" i="67"/>
  <c r="AS216" i="67"/>
  <c r="AV45" i="70"/>
  <c r="AU45" i="36"/>
  <c r="AB1461" i="67" s="1"/>
  <c r="AV41" i="68" s="1"/>
  <c r="U37" i="62" s="1"/>
  <c r="BL179" i="34"/>
  <c r="BM10" i="34"/>
  <c r="BL57" i="36"/>
  <c r="BL11" i="34"/>
  <c r="BJ6" i="45" s="1"/>
  <c r="BL163" i="34"/>
  <c r="BL73" i="36"/>
  <c r="BL43" i="34"/>
  <c r="BJ21" i="45" s="1"/>
  <c r="BM178" i="34"/>
  <c r="BM24" i="34"/>
  <c r="BM11" i="34"/>
  <c r="BK6" i="45" s="1"/>
  <c r="BJ13" i="45"/>
  <c r="BM56" i="36"/>
  <c r="BM72" i="36"/>
  <c r="BN56" i="36"/>
  <c r="BM162" i="34"/>
  <c r="BL184" i="34"/>
  <c r="BL62" i="36"/>
  <c r="BL48" i="34"/>
  <c r="BL30" i="34"/>
  <c r="BL78" i="36"/>
  <c r="BL168" i="34"/>
  <c r="BL16" i="34"/>
  <c r="BK31" i="34"/>
  <c r="BI17" i="45" s="1"/>
  <c r="BK49" i="34"/>
  <c r="BI25" i="45" s="1"/>
  <c r="BK185" i="34"/>
  <c r="BK169" i="34"/>
  <c r="BK17" i="34"/>
  <c r="BI10" i="45" s="1"/>
  <c r="BK79" i="36"/>
  <c r="BK63" i="36"/>
  <c r="AQ1301" i="67" l="1"/>
  <c r="AP1302" i="67"/>
  <c r="AQ1285" i="67"/>
  <c r="BK120" i="34"/>
  <c r="AR1495" i="67"/>
  <c r="AR1149" i="67"/>
  <c r="AR998" i="67"/>
  <c r="BL119" i="34"/>
  <c r="AS1494" i="67"/>
  <c r="AS1148" i="67"/>
  <c r="AS997" i="67"/>
  <c r="AQ392" i="67"/>
  <c r="AQ696" i="67"/>
  <c r="AQ86" i="67"/>
  <c r="AQ239" i="67"/>
  <c r="AQ544" i="67"/>
  <c r="AQ847" i="67"/>
  <c r="BL98" i="34"/>
  <c r="AS1473" i="67"/>
  <c r="AP1286" i="67"/>
  <c r="BM97" i="34"/>
  <c r="AT1472" i="67"/>
  <c r="BN97" i="34"/>
  <c r="AU1472" i="67"/>
  <c r="BL114" i="34"/>
  <c r="AS1489" i="67"/>
  <c r="AS385" i="67"/>
  <c r="AS840" i="67"/>
  <c r="AS79" i="67"/>
  <c r="AS537" i="67"/>
  <c r="AS689" i="67"/>
  <c r="AS232" i="67"/>
  <c r="AR391" i="67"/>
  <c r="AR85" i="67"/>
  <c r="AR543" i="67"/>
  <c r="AR238" i="67"/>
  <c r="AR846" i="67"/>
  <c r="AR695" i="67"/>
  <c r="AQ376" i="67"/>
  <c r="AQ70" i="67"/>
  <c r="AQ223" i="67"/>
  <c r="AQ528" i="67"/>
  <c r="AQ831" i="67"/>
  <c r="AQ680" i="67"/>
  <c r="BK104" i="34"/>
  <c r="AR1479" i="67"/>
  <c r="AR1133" i="67"/>
  <c r="AR982" i="67"/>
  <c r="BL103" i="34"/>
  <c r="AS1478" i="67"/>
  <c r="AS1132" i="67"/>
  <c r="AS981" i="67"/>
  <c r="AS679" i="67"/>
  <c r="BM113" i="34"/>
  <c r="AT1488" i="67"/>
  <c r="AR375" i="67"/>
  <c r="AR69" i="67"/>
  <c r="AR527" i="67"/>
  <c r="AR222" i="67"/>
  <c r="AR830" i="67"/>
  <c r="AR538" i="67"/>
  <c r="AR386" i="67"/>
  <c r="AR690" i="67"/>
  <c r="AR233" i="67"/>
  <c r="AR80" i="67"/>
  <c r="AR841" i="67"/>
  <c r="AW45" i="70"/>
  <c r="AV45" i="36"/>
  <c r="AC1461" i="67" s="1"/>
  <c r="AW41" i="68" s="1"/>
  <c r="V37" i="62" s="1"/>
  <c r="BN162" i="34"/>
  <c r="BM163" i="34"/>
  <c r="BM43" i="34"/>
  <c r="BM73" i="36"/>
  <c r="BN42" i="34"/>
  <c r="BN24" i="34"/>
  <c r="BM57" i="36"/>
  <c r="BM179" i="34"/>
  <c r="BN57" i="36"/>
  <c r="BM25" i="34"/>
  <c r="BK13" i="45" s="1"/>
  <c r="BN72" i="36"/>
  <c r="BN178" i="34"/>
  <c r="BN10" i="34"/>
  <c r="BO72" i="36"/>
  <c r="BM184" i="34"/>
  <c r="BM30" i="34"/>
  <c r="BM78" i="36"/>
  <c r="BM62" i="36"/>
  <c r="BM48" i="34"/>
  <c r="BM168" i="34"/>
  <c r="BM16" i="34"/>
  <c r="BL17" i="34"/>
  <c r="BJ10" i="45" s="1"/>
  <c r="BL79" i="36"/>
  <c r="BL49" i="34"/>
  <c r="BJ25" i="45" s="1"/>
  <c r="BL63" i="36"/>
  <c r="BL169" i="34"/>
  <c r="BL31" i="34"/>
  <c r="BJ17" i="45" s="1"/>
  <c r="BL185" i="34"/>
  <c r="BN25" i="34"/>
  <c r="BN73" i="36"/>
  <c r="AQ1302" i="67" l="1"/>
  <c r="AQ1286" i="67"/>
  <c r="AR1301" i="67"/>
  <c r="AR1285" i="67"/>
  <c r="BL104" i="34"/>
  <c r="AS1479" i="67"/>
  <c r="AS1133" i="67"/>
  <c r="AS982" i="67"/>
  <c r="BL120" i="34"/>
  <c r="AS1495" i="67"/>
  <c r="AS1149" i="67"/>
  <c r="AS998" i="67"/>
  <c r="BN113" i="34"/>
  <c r="AU1488" i="67"/>
  <c r="BM98" i="34"/>
  <c r="AT1473" i="67"/>
  <c r="BN114" i="34"/>
  <c r="AU1489" i="67"/>
  <c r="BM103" i="34"/>
  <c r="AT1478" i="67"/>
  <c r="AT1132" i="67"/>
  <c r="AT981" i="67"/>
  <c r="AT679" i="67"/>
  <c r="BO113" i="34"/>
  <c r="AV1488" i="67"/>
  <c r="AS80" i="67"/>
  <c r="AS233" i="67"/>
  <c r="AS386" i="67"/>
  <c r="AS690" i="67"/>
  <c r="AS538" i="67"/>
  <c r="AS841" i="67"/>
  <c r="AT63" i="67"/>
  <c r="AT369" i="67"/>
  <c r="AT521" i="67"/>
  <c r="AT216" i="67"/>
  <c r="AT824" i="67"/>
  <c r="BM119" i="34"/>
  <c r="AT1494" i="67"/>
  <c r="AT1148" i="67"/>
  <c r="AT997" i="67"/>
  <c r="BN98" i="34"/>
  <c r="AU1473" i="67"/>
  <c r="AT385" i="67"/>
  <c r="AT840" i="67"/>
  <c r="AT689" i="67"/>
  <c r="AT79" i="67"/>
  <c r="AT232" i="67"/>
  <c r="AT537" i="67"/>
  <c r="BM114" i="34"/>
  <c r="AT1489" i="67"/>
  <c r="AS375" i="67"/>
  <c r="AS222" i="67"/>
  <c r="AS830" i="67"/>
  <c r="AS69" i="67"/>
  <c r="AS527" i="67"/>
  <c r="AR376" i="67"/>
  <c r="AR528" i="67"/>
  <c r="AR831" i="67"/>
  <c r="AR70" i="67"/>
  <c r="AR223" i="67"/>
  <c r="AR680" i="67"/>
  <c r="AU369" i="67"/>
  <c r="AU63" i="67"/>
  <c r="AU216" i="67"/>
  <c r="AU521" i="67"/>
  <c r="AU824" i="67"/>
  <c r="AS391" i="67"/>
  <c r="AS85" i="67"/>
  <c r="AS543" i="67"/>
  <c r="AS238" i="67"/>
  <c r="AS846" i="67"/>
  <c r="AS695" i="67"/>
  <c r="AR392" i="67"/>
  <c r="AR696" i="67"/>
  <c r="AR86" i="67"/>
  <c r="AR239" i="67"/>
  <c r="AR847" i="67"/>
  <c r="AR544" i="67"/>
  <c r="AS370" i="67"/>
  <c r="AS64" i="67"/>
  <c r="AS522" i="67"/>
  <c r="AS217" i="67"/>
  <c r="AS825" i="67"/>
  <c r="AS674" i="67"/>
  <c r="AX45" i="70"/>
  <c r="AW45" i="36"/>
  <c r="AD1461" i="67" s="1"/>
  <c r="AX41" i="68" s="1"/>
  <c r="W37" i="62" s="1"/>
  <c r="BK21" i="45"/>
  <c r="BN163" i="34"/>
  <c r="BL13" i="45"/>
  <c r="BN11" i="34"/>
  <c r="BL6" i="45" s="1"/>
  <c r="BN179" i="34"/>
  <c r="BN43" i="34"/>
  <c r="BL21" i="45" s="1"/>
  <c r="BO56" i="36"/>
  <c r="BO162" i="34"/>
  <c r="BO24" i="34"/>
  <c r="BO178" i="34"/>
  <c r="BO42" i="34"/>
  <c r="BO10" i="34"/>
  <c r="BM31" i="34"/>
  <c r="BK17" i="45" s="1"/>
  <c r="BM169" i="34"/>
  <c r="BM79" i="36"/>
  <c r="BM49" i="34"/>
  <c r="BK25" i="45" s="1"/>
  <c r="BM185" i="34"/>
  <c r="BM17" i="34"/>
  <c r="BK10" i="45" s="1"/>
  <c r="BM63" i="36"/>
  <c r="BN62" i="36"/>
  <c r="BN48" i="34"/>
  <c r="BN184" i="34"/>
  <c r="BN78" i="36"/>
  <c r="BN168" i="34"/>
  <c r="BN16" i="34"/>
  <c r="BN30" i="34"/>
  <c r="BO163" i="34"/>
  <c r="BO73" i="36"/>
  <c r="BO43" i="34"/>
  <c r="BO11" i="34"/>
  <c r="BO57" i="36"/>
  <c r="BO25" i="34"/>
  <c r="BO179" i="34"/>
  <c r="BP56" i="36"/>
  <c r="BP24" i="34"/>
  <c r="BP42" i="34"/>
  <c r="BP72" i="36"/>
  <c r="BP178" i="34"/>
  <c r="BP10" i="34"/>
  <c r="BP162" i="34"/>
  <c r="AR1302" i="67" l="1"/>
  <c r="AS1301" i="67"/>
  <c r="AS1285" i="67"/>
  <c r="BP97" i="34"/>
  <c r="AW1472" i="67"/>
  <c r="AT375" i="67"/>
  <c r="AT527" i="67"/>
  <c r="AT222" i="67"/>
  <c r="AT830" i="67"/>
  <c r="AT69" i="67"/>
  <c r="AT370" i="67"/>
  <c r="AT217" i="67"/>
  <c r="AT825" i="67"/>
  <c r="AT522" i="67"/>
  <c r="AT64" i="67"/>
  <c r="AT674" i="67"/>
  <c r="BP113" i="34"/>
  <c r="AW1488" i="67"/>
  <c r="BO114" i="34"/>
  <c r="AV1489" i="67"/>
  <c r="BN103" i="34"/>
  <c r="AU1478" i="67"/>
  <c r="AU1132" i="67"/>
  <c r="AU981" i="67"/>
  <c r="AU679" i="67"/>
  <c r="AT80" i="67"/>
  <c r="AT386" i="67"/>
  <c r="AT841" i="67"/>
  <c r="AT538" i="67"/>
  <c r="AT690" i="67"/>
  <c r="AT233" i="67"/>
  <c r="AU64" i="67"/>
  <c r="AU370" i="67"/>
  <c r="AU522" i="67"/>
  <c r="AU825" i="67"/>
  <c r="AU217" i="67"/>
  <c r="AU674" i="67"/>
  <c r="AT391" i="67"/>
  <c r="AT85" i="67"/>
  <c r="AT695" i="67"/>
  <c r="AT846" i="67"/>
  <c r="AT238" i="67"/>
  <c r="AT543" i="67"/>
  <c r="AU386" i="67"/>
  <c r="AU538" i="67"/>
  <c r="AU80" i="67"/>
  <c r="AU690" i="67"/>
  <c r="AU233" i="67"/>
  <c r="AU841" i="67"/>
  <c r="AU385" i="67"/>
  <c r="AU689" i="67"/>
  <c r="AU840" i="67"/>
  <c r="AU79" i="67"/>
  <c r="AU232" i="67"/>
  <c r="AU537" i="67"/>
  <c r="AS392" i="67"/>
  <c r="AS847" i="67"/>
  <c r="AS239" i="67"/>
  <c r="AS696" i="67"/>
  <c r="AS544" i="67"/>
  <c r="AS86" i="67"/>
  <c r="AS376" i="67"/>
  <c r="AS831" i="67"/>
  <c r="AS70" i="67"/>
  <c r="AS528" i="67"/>
  <c r="AS223" i="67"/>
  <c r="AS680" i="67"/>
  <c r="BO98" i="34"/>
  <c r="AV1473" i="67"/>
  <c r="BN119" i="34"/>
  <c r="AU1494" i="67"/>
  <c r="AU1148" i="67"/>
  <c r="AU997" i="67"/>
  <c r="BM104" i="34"/>
  <c r="AT1479" i="67"/>
  <c r="AT1133" i="67"/>
  <c r="AT982" i="67"/>
  <c r="BM120" i="34"/>
  <c r="AT1495" i="67"/>
  <c r="AT1149" i="67"/>
  <c r="AT998" i="67"/>
  <c r="BO97" i="34"/>
  <c r="AV1472" i="67"/>
  <c r="AR1286" i="67"/>
  <c r="AV385" i="67"/>
  <c r="AV537" i="67"/>
  <c r="AV79" i="67"/>
  <c r="AV689" i="67"/>
  <c r="AV232" i="67"/>
  <c r="AV840" i="67"/>
  <c r="AY45" i="70"/>
  <c r="AX45" i="36"/>
  <c r="AE1461" i="67" s="1"/>
  <c r="AY41" i="68" s="1"/>
  <c r="X37" i="62" s="1"/>
  <c r="BM13" i="45"/>
  <c r="BP168" i="34"/>
  <c r="BP30" i="34"/>
  <c r="BP78" i="36"/>
  <c r="BM6" i="45"/>
  <c r="BM21" i="45"/>
  <c r="BP48" i="34"/>
  <c r="BP184" i="34"/>
  <c r="BP16" i="34"/>
  <c r="BP62" i="36"/>
  <c r="BO168" i="34"/>
  <c r="BO16" i="34"/>
  <c r="BO184" i="34"/>
  <c r="BO48" i="34"/>
  <c r="BO62" i="36"/>
  <c r="BO30" i="34"/>
  <c r="BO78" i="36"/>
  <c r="BN185" i="34"/>
  <c r="BN63" i="36"/>
  <c r="BN31" i="34"/>
  <c r="BL17" i="45" s="1"/>
  <c r="BN79" i="36"/>
  <c r="BN17" i="34"/>
  <c r="BL10" i="45" s="1"/>
  <c r="BN49" i="34"/>
  <c r="BL25" i="45" s="1"/>
  <c r="BN169" i="34"/>
  <c r="BP43" i="34"/>
  <c r="BN21" i="45" s="1"/>
  <c r="BP179" i="34"/>
  <c r="BP11" i="34"/>
  <c r="BN6" i="45" s="1"/>
  <c r="BP57" i="36"/>
  <c r="BP163" i="34"/>
  <c r="BP25" i="34"/>
  <c r="BN13" i="45" s="1"/>
  <c r="BP73" i="36"/>
  <c r="BP185" i="34"/>
  <c r="BP31" i="34"/>
  <c r="BP49" i="34"/>
  <c r="BP169" i="34"/>
  <c r="BP17" i="34"/>
  <c r="BP79" i="36"/>
  <c r="BP63" i="36"/>
  <c r="AT1285" i="67" l="1"/>
  <c r="AT1301" i="67"/>
  <c r="AS1302" i="67"/>
  <c r="AU375" i="67"/>
  <c r="AU830" i="67"/>
  <c r="AU69" i="67"/>
  <c r="AU222" i="67"/>
  <c r="AU527" i="67"/>
  <c r="BP98" i="34"/>
  <c r="AW1473" i="67"/>
  <c r="BP119" i="34"/>
  <c r="AW1494" i="67"/>
  <c r="AW1148" i="67"/>
  <c r="AW997" i="67"/>
  <c r="AV369" i="67"/>
  <c r="AV63" i="67"/>
  <c r="AV216" i="67"/>
  <c r="AV521" i="67"/>
  <c r="AV824" i="67"/>
  <c r="AT392" i="67"/>
  <c r="AT239" i="67"/>
  <c r="AT847" i="67"/>
  <c r="AT696" i="67"/>
  <c r="AT86" i="67"/>
  <c r="AT544" i="67"/>
  <c r="AT376" i="67"/>
  <c r="AT70" i="67"/>
  <c r="AT528" i="67"/>
  <c r="AT223" i="67"/>
  <c r="AT831" i="67"/>
  <c r="AT680" i="67"/>
  <c r="AU391" i="67"/>
  <c r="AU238" i="67"/>
  <c r="AU846" i="67"/>
  <c r="AU695" i="67"/>
  <c r="AU85" i="67"/>
  <c r="AU543" i="67"/>
  <c r="AS1286" i="67"/>
  <c r="AW385" i="67"/>
  <c r="AW232" i="67"/>
  <c r="AW840" i="67"/>
  <c r="AW537" i="67"/>
  <c r="AW79" i="67"/>
  <c r="AW689" i="67"/>
  <c r="BO119" i="34"/>
  <c r="AV1494" i="67"/>
  <c r="AV1148" i="67"/>
  <c r="AV997" i="67"/>
  <c r="BP114" i="34"/>
  <c r="AW1489" i="67"/>
  <c r="BN104" i="34"/>
  <c r="AU1479" i="67"/>
  <c r="AU1133" i="67"/>
  <c r="AU982" i="67"/>
  <c r="BO103" i="34"/>
  <c r="AV1478" i="67"/>
  <c r="AV1132" i="67"/>
  <c r="AV981" i="67"/>
  <c r="AV679" i="67"/>
  <c r="AV386" i="67"/>
  <c r="AV80" i="67"/>
  <c r="AV233" i="67"/>
  <c r="AV538" i="67"/>
  <c r="AV841" i="67"/>
  <c r="AV690" i="67"/>
  <c r="AW369" i="67"/>
  <c r="AW824" i="67"/>
  <c r="AW63" i="67"/>
  <c r="AW216" i="67"/>
  <c r="AW521" i="67"/>
  <c r="BP120" i="34"/>
  <c r="AW1495" i="67"/>
  <c r="AW1149" i="67"/>
  <c r="AW998" i="67"/>
  <c r="BN120" i="34"/>
  <c r="AU1495" i="67"/>
  <c r="AU1149" i="67"/>
  <c r="AU998" i="67"/>
  <c r="BP104" i="34"/>
  <c r="AW1479" i="67"/>
  <c r="AW1133" i="67"/>
  <c r="AW982" i="67"/>
  <c r="BP103" i="34"/>
  <c r="AW1478" i="67"/>
  <c r="AW1132" i="67"/>
  <c r="AW679" i="67"/>
  <c r="AW981" i="67"/>
  <c r="AV370" i="67"/>
  <c r="AV64" i="67"/>
  <c r="AV825" i="67"/>
  <c r="AV217" i="67"/>
  <c r="AV522" i="67"/>
  <c r="AV674" i="67"/>
  <c r="AZ45" i="70"/>
  <c r="AY45" i="36"/>
  <c r="AF1461" i="67" s="1"/>
  <c r="AZ41" i="68" s="1"/>
  <c r="Y37" i="62" s="1"/>
  <c r="BN17" i="45"/>
  <c r="BN10" i="45"/>
  <c r="BN25" i="45"/>
  <c r="BO169" i="34"/>
  <c r="BO63" i="36"/>
  <c r="BO185" i="34"/>
  <c r="BO31" i="34"/>
  <c r="BM17" i="45" s="1"/>
  <c r="BO79" i="36"/>
  <c r="BO49" i="34"/>
  <c r="BM25" i="45" s="1"/>
  <c r="BO17" i="34"/>
  <c r="BM10" i="45" s="1"/>
  <c r="AU1301" i="67" l="1"/>
  <c r="AU1285" i="67"/>
  <c r="AT1302" i="67"/>
  <c r="BO104" i="34"/>
  <c r="AV1479" i="67"/>
  <c r="AV1133" i="67"/>
  <c r="AV982" i="67"/>
  <c r="AU392" i="67"/>
  <c r="AU86" i="67"/>
  <c r="AU847" i="67"/>
  <c r="AU696" i="67"/>
  <c r="AU239" i="67"/>
  <c r="AU544" i="67"/>
  <c r="AU376" i="67"/>
  <c r="AU831" i="67"/>
  <c r="AU70" i="67"/>
  <c r="AU528" i="67"/>
  <c r="AU223" i="67"/>
  <c r="AU680" i="67"/>
  <c r="BO120" i="34"/>
  <c r="AV1495" i="67"/>
  <c r="AV1149" i="67"/>
  <c r="AV998" i="67"/>
  <c r="AW370" i="67"/>
  <c r="AW64" i="67"/>
  <c r="AW825" i="67"/>
  <c r="AW217" i="67"/>
  <c r="AW522" i="67"/>
  <c r="AW674" i="67"/>
  <c r="AW376" i="67"/>
  <c r="AW831" i="67"/>
  <c r="AW70" i="67"/>
  <c r="AW223" i="67"/>
  <c r="AW528" i="67"/>
  <c r="AW680" i="67"/>
  <c r="AV375" i="67"/>
  <c r="AV527" i="67"/>
  <c r="AV222" i="67"/>
  <c r="AV830" i="67"/>
  <c r="AV69" i="67"/>
  <c r="AW386" i="67"/>
  <c r="AW690" i="67"/>
  <c r="AW841" i="67"/>
  <c r="AW538" i="67"/>
  <c r="AW80" i="67"/>
  <c r="AW233" i="67"/>
  <c r="AV391" i="67"/>
  <c r="AV846" i="67"/>
  <c r="AV85" i="67"/>
  <c r="AV695" i="67"/>
  <c r="AV238" i="67"/>
  <c r="AV543" i="67"/>
  <c r="AW375" i="67"/>
  <c r="AW222" i="67"/>
  <c r="AW527" i="67"/>
  <c r="AW69" i="67"/>
  <c r="AW830" i="67"/>
  <c r="AW392" i="67"/>
  <c r="AW847" i="67"/>
  <c r="AW696" i="67"/>
  <c r="AW86" i="67"/>
  <c r="AW544" i="67"/>
  <c r="AW239" i="67"/>
  <c r="AT1286" i="67"/>
  <c r="AW391" i="67"/>
  <c r="AW846" i="67"/>
  <c r="AW543" i="67"/>
  <c r="AW695" i="67"/>
  <c r="AW85" i="67"/>
  <c r="AW238" i="67"/>
  <c r="BA45" i="70"/>
  <c r="AZ45" i="36"/>
  <c r="AG1461" i="67" s="1"/>
  <c r="BA41" i="68" s="1"/>
  <c r="Z37" i="62" s="1"/>
  <c r="T18" i="55"/>
  <c r="AV1285" i="67" l="1"/>
  <c r="AU1302" i="67"/>
  <c r="AW1301" i="67"/>
  <c r="AW1302" i="67"/>
  <c r="AV1301" i="67"/>
  <c r="AU1286" i="67"/>
  <c r="AV392" i="67"/>
  <c r="AV86" i="67"/>
  <c r="AV239" i="67"/>
  <c r="AV847" i="67"/>
  <c r="AV544" i="67"/>
  <c r="AV696" i="67"/>
  <c r="AW1285" i="67"/>
  <c r="AW1286" i="67"/>
  <c r="AV376" i="67"/>
  <c r="AV831" i="67"/>
  <c r="AV70" i="67"/>
  <c r="AV223" i="67"/>
  <c r="AV528" i="67"/>
  <c r="AV680" i="67"/>
  <c r="BB45" i="70"/>
  <c r="BA45" i="36"/>
  <c r="AH1461" i="67" s="1"/>
  <c r="BB41" i="68" s="1"/>
  <c r="AA37" i="62" s="1"/>
  <c r="BA18" i="55"/>
  <c r="AC18" i="55"/>
  <c r="Y18" i="55"/>
  <c r="AJ18" i="55"/>
  <c r="AA18" i="55"/>
  <c r="U18" i="55"/>
  <c r="AE18" i="55"/>
  <c r="AP18" i="55"/>
  <c r="AB18" i="55"/>
  <c r="AV1302" i="67" l="1"/>
  <c r="AV1286" i="67"/>
  <c r="BC45" i="70"/>
  <c r="BB45" i="36"/>
  <c r="AI1461" i="67" s="1"/>
  <c r="BC41" i="68" s="1"/>
  <c r="AB37" i="62" s="1"/>
  <c r="AL18" i="55"/>
  <c r="AK18" i="55"/>
  <c r="AF18" i="55"/>
  <c r="AG18" i="55"/>
  <c r="AY18" i="55"/>
  <c r="AD18" i="55"/>
  <c r="AM18" i="55"/>
  <c r="AH18" i="55"/>
  <c r="W18" i="55"/>
  <c r="AV18" i="55"/>
  <c r="AN18" i="55"/>
  <c r="AT18" i="55"/>
  <c r="AU18" i="55"/>
  <c r="V18" i="55"/>
  <c r="AQ18" i="55"/>
  <c r="AI18" i="55"/>
  <c r="Z18" i="55"/>
  <c r="AO69" i="36"/>
  <c r="AX18" i="55"/>
  <c r="AR18" i="55"/>
  <c r="AZ18" i="55"/>
  <c r="AW18" i="55"/>
  <c r="X18" i="55"/>
  <c r="AS18" i="55"/>
  <c r="AO18" i="55"/>
  <c r="AJ7" i="34"/>
  <c r="AJ175" i="34"/>
  <c r="AJ159" i="34"/>
  <c r="AJ21" i="34"/>
  <c r="AJ69" i="36"/>
  <c r="AJ53" i="36"/>
  <c r="AJ39" i="34"/>
  <c r="AP175" i="34"/>
  <c r="AP39" i="34"/>
  <c r="AP159" i="34"/>
  <c r="AP53" i="36"/>
  <c r="AP7" i="34"/>
  <c r="AP69" i="36"/>
  <c r="AP21" i="34"/>
  <c r="AS39" i="34"/>
  <c r="AS159" i="34"/>
  <c r="AS21" i="34"/>
  <c r="AS53" i="36"/>
  <c r="AS69" i="36"/>
  <c r="AS175" i="34"/>
  <c r="AS7" i="34"/>
  <c r="AN175" i="34"/>
  <c r="AN21" i="34"/>
  <c r="AN7" i="34"/>
  <c r="AN53" i="36"/>
  <c r="AN159" i="34"/>
  <c r="AN39" i="34"/>
  <c r="AN69" i="36"/>
  <c r="AQ7" i="34"/>
  <c r="AQ69" i="36"/>
  <c r="AQ175" i="34"/>
  <c r="AQ53" i="36"/>
  <c r="AQ159" i="34"/>
  <c r="AQ21" i="34"/>
  <c r="AQ39" i="34"/>
  <c r="AK21" i="34"/>
  <c r="AK175" i="34"/>
  <c r="AK53" i="36"/>
  <c r="AK39" i="34"/>
  <c r="AK7" i="34"/>
  <c r="AK69" i="36"/>
  <c r="AK159" i="34"/>
  <c r="AU175" i="34"/>
  <c r="AU69" i="36"/>
  <c r="AU21" i="34"/>
  <c r="AU159" i="34"/>
  <c r="AU39" i="34"/>
  <c r="AU7" i="34"/>
  <c r="AU53" i="36"/>
  <c r="AM175" i="34"/>
  <c r="AM21" i="34"/>
  <c r="AM69" i="36"/>
  <c r="AM7" i="34"/>
  <c r="AM39" i="34"/>
  <c r="AM159" i="34"/>
  <c r="AM53" i="36"/>
  <c r="AR175" i="34"/>
  <c r="AR69" i="36"/>
  <c r="AR21" i="34"/>
  <c r="AR39" i="34"/>
  <c r="AR7" i="34"/>
  <c r="AR159" i="34"/>
  <c r="AR53" i="36"/>
  <c r="AV69" i="36"/>
  <c r="AV175" i="34"/>
  <c r="AV39" i="34"/>
  <c r="AV21" i="34"/>
  <c r="AV7" i="34"/>
  <c r="AV159" i="34"/>
  <c r="AV53" i="36"/>
  <c r="AL69" i="36"/>
  <c r="AL175" i="34"/>
  <c r="AL21" i="34"/>
  <c r="AL53" i="36"/>
  <c r="AL159" i="34"/>
  <c r="AL7" i="34"/>
  <c r="AL39" i="34"/>
  <c r="AT7" i="34"/>
  <c r="AT175" i="34"/>
  <c r="AT159" i="34"/>
  <c r="AT69" i="36"/>
  <c r="AT53" i="36"/>
  <c r="AT21" i="34"/>
  <c r="AT39" i="34"/>
  <c r="Z1485" i="67" l="1"/>
  <c r="Z1513" i="67"/>
  <c r="Z1517" i="67"/>
  <c r="W1469" i="67"/>
  <c r="W1516" i="67"/>
  <c r="W1512" i="67"/>
  <c r="S1485" i="67"/>
  <c r="S1513" i="67"/>
  <c r="S1517" i="67"/>
  <c r="Y1469" i="67"/>
  <c r="Y1512" i="67"/>
  <c r="Y1516" i="67"/>
  <c r="AA1469" i="67"/>
  <c r="AA1512" i="67"/>
  <c r="AA1516" i="67"/>
  <c r="S1469" i="67"/>
  <c r="S1516" i="67"/>
  <c r="S1512" i="67"/>
  <c r="AC1469" i="67"/>
  <c r="AC1512" i="67"/>
  <c r="AC1516" i="67"/>
  <c r="Y1485" i="67"/>
  <c r="Y1513" i="67"/>
  <c r="Y1517" i="67"/>
  <c r="R1469" i="67"/>
  <c r="R1512" i="67"/>
  <c r="R1516" i="67"/>
  <c r="X1485" i="67"/>
  <c r="X1513" i="67"/>
  <c r="X1517" i="67"/>
  <c r="Z1469" i="67"/>
  <c r="Z1516" i="67"/>
  <c r="Z1512" i="67"/>
  <c r="Q1469" i="67"/>
  <c r="Q1512" i="67"/>
  <c r="Q1516" i="67"/>
  <c r="AA1485" i="67"/>
  <c r="AA1517" i="67"/>
  <c r="AA1513" i="67"/>
  <c r="AB1469" i="67"/>
  <c r="AB1516" i="67"/>
  <c r="AB1512" i="67"/>
  <c r="R1485" i="67"/>
  <c r="R1517" i="67"/>
  <c r="R1513" i="67"/>
  <c r="U1469" i="67"/>
  <c r="U1512" i="67"/>
  <c r="U1516" i="67"/>
  <c r="W1485" i="67"/>
  <c r="W1517" i="67"/>
  <c r="W1513" i="67"/>
  <c r="Q1485" i="67"/>
  <c r="Q1513" i="67"/>
  <c r="Q1517" i="67"/>
  <c r="V1485" i="67"/>
  <c r="V1517" i="67"/>
  <c r="V1513" i="67"/>
  <c r="AC1485" i="67"/>
  <c r="AC1517" i="67"/>
  <c r="AC1513" i="67"/>
  <c r="T1469" i="67"/>
  <c r="T1516" i="67"/>
  <c r="T1512" i="67"/>
  <c r="T1485" i="67"/>
  <c r="T1513" i="67"/>
  <c r="T1517" i="67"/>
  <c r="AB1485" i="67"/>
  <c r="AB1517" i="67"/>
  <c r="AB1513" i="67"/>
  <c r="X1469" i="67"/>
  <c r="X1512" i="67"/>
  <c r="X1516" i="67"/>
  <c r="U1485" i="67"/>
  <c r="U1513" i="67"/>
  <c r="U1517" i="67"/>
  <c r="BD45" i="70"/>
  <c r="BC45" i="36"/>
  <c r="AJ1461" i="67" s="1"/>
  <c r="BD41" i="68" s="1"/>
  <c r="AC37" i="62" s="1"/>
  <c r="AR12" i="45"/>
  <c r="AT12" i="45"/>
  <c r="AT11" i="45" s="1"/>
  <c r="AT59" i="45" s="1"/>
  <c r="AS20" i="45"/>
  <c r="AS19" i="45" s="1"/>
  <c r="AS60" i="45" s="1"/>
  <c r="AO20" i="45"/>
  <c r="AO19" i="45" s="1"/>
  <c r="AO60" i="45" s="1"/>
  <c r="AQ20" i="45"/>
  <c r="AQ19" i="45" s="1"/>
  <c r="AQ60" i="45" s="1"/>
  <c r="AH20" i="45"/>
  <c r="AH19" i="45" s="1"/>
  <c r="AH60" i="45" s="1"/>
  <c r="AH53" i="45"/>
  <c r="AR5" i="45"/>
  <c r="AR4" i="45" s="1"/>
  <c r="AR58" i="45" s="1"/>
  <c r="AT20" i="45"/>
  <c r="AT19" i="45" s="1"/>
  <c r="AT60" i="45" s="1"/>
  <c r="AP53" i="45"/>
  <c r="AK20" i="45"/>
  <c r="AK19" i="45" s="1"/>
  <c r="AK60" i="45" s="1"/>
  <c r="AK54" i="45"/>
  <c r="AS53" i="45"/>
  <c r="AI53" i="45"/>
  <c r="AO12" i="45"/>
  <c r="AL53" i="45"/>
  <c r="AL54" i="45"/>
  <c r="AN12" i="45"/>
  <c r="AN11" i="45" s="1"/>
  <c r="AN59" i="45" s="1"/>
  <c r="AN53" i="45"/>
  <c r="AH54" i="45"/>
  <c r="AJ53" i="45"/>
  <c r="AK53" i="45"/>
  <c r="AS54" i="45"/>
  <c r="AL20" i="45"/>
  <c r="AL19" i="45" s="1"/>
  <c r="AL60" i="45" s="1"/>
  <c r="AJ20" i="45"/>
  <c r="AT53" i="45"/>
  <c r="AP5" i="45"/>
  <c r="AP4" i="45" s="1"/>
  <c r="AP58" i="45" s="1"/>
  <c r="AP54" i="45"/>
  <c r="AP52" i="45" s="1"/>
  <c r="AK5" i="45"/>
  <c r="AK4" i="45" s="1"/>
  <c r="AK58" i="45" s="1"/>
  <c r="AS12" i="45"/>
  <c r="AS11" i="45" s="1"/>
  <c r="AS59" i="45" s="1"/>
  <c r="AI54" i="45"/>
  <c r="AO53" i="45"/>
  <c r="AO5" i="45"/>
  <c r="AO4" i="45" s="1"/>
  <c r="AO58" i="45" s="1"/>
  <c r="AQ5" i="45"/>
  <c r="AQ4" i="45" s="1"/>
  <c r="AQ58" i="45" s="1"/>
  <c r="AQ12" i="45"/>
  <c r="AQ11" i="45" s="1"/>
  <c r="AQ59" i="45" s="1"/>
  <c r="AN20" i="45"/>
  <c r="AN19" i="45" s="1"/>
  <c r="AN60" i="45" s="1"/>
  <c r="AH5" i="45"/>
  <c r="AH4" i="45" s="1"/>
  <c r="AH58" i="45" s="1"/>
  <c r="AR54" i="45"/>
  <c r="AP12" i="45"/>
  <c r="AP11" i="45" s="1"/>
  <c r="AP59" i="45" s="1"/>
  <c r="AK12" i="45"/>
  <c r="AK11" i="45" s="1"/>
  <c r="AK59" i="45" s="1"/>
  <c r="AI20" i="45"/>
  <c r="AI19" i="45" s="1"/>
  <c r="AI60" i="45" s="1"/>
  <c r="AO54" i="45"/>
  <c r="AL12" i="45"/>
  <c r="AL11" i="45" s="1"/>
  <c r="AL59" i="45" s="1"/>
  <c r="AJ12" i="45"/>
  <c r="AT54" i="45"/>
  <c r="AR20" i="45"/>
  <c r="AR19" i="45" s="1"/>
  <c r="AR60" i="45" s="1"/>
  <c r="AR53" i="45"/>
  <c r="AJ5" i="45"/>
  <c r="AJ4" i="45" s="1"/>
  <c r="AJ58" i="45" s="1"/>
  <c r="AJ54" i="45"/>
  <c r="AJ52" i="45" s="1"/>
  <c r="AT5" i="45"/>
  <c r="AT4" i="45" s="1"/>
  <c r="AT58" i="45" s="1"/>
  <c r="AP20" i="45"/>
  <c r="AS5" i="45"/>
  <c r="AI5" i="45"/>
  <c r="AI4" i="45" s="1"/>
  <c r="AI58" i="45" s="1"/>
  <c r="AI12" i="45"/>
  <c r="AI11" i="45" s="1"/>
  <c r="AI59" i="45" s="1"/>
  <c r="AL5" i="45"/>
  <c r="AL4" i="45" s="1"/>
  <c r="AL58" i="45" s="1"/>
  <c r="AQ54" i="45"/>
  <c r="AQ53" i="45"/>
  <c r="AN5" i="45"/>
  <c r="AN4" i="45" s="1"/>
  <c r="AN58" i="45" s="1"/>
  <c r="AN54" i="45"/>
  <c r="AH12" i="45"/>
  <c r="AH11" i="45" s="1"/>
  <c r="AH59" i="45" s="1"/>
  <c r="AR11" i="45"/>
  <c r="AR59" i="45" s="1"/>
  <c r="AO39" i="34"/>
  <c r="AO175" i="34"/>
  <c r="AO7" i="34"/>
  <c r="AO21" i="34"/>
  <c r="AO159" i="34"/>
  <c r="AO53" i="36"/>
  <c r="AL94" i="34"/>
  <c r="AL141" i="34"/>
  <c r="AL137" i="34"/>
  <c r="AK110" i="34"/>
  <c r="AK138" i="34"/>
  <c r="AK142" i="34"/>
  <c r="AK94" i="34"/>
  <c r="AK141" i="34"/>
  <c r="AK137" i="34"/>
  <c r="AP138" i="34"/>
  <c r="AP142" i="34"/>
  <c r="AP110" i="34"/>
  <c r="AJ137" i="34"/>
  <c r="AJ141" i="34"/>
  <c r="AJ94" i="34"/>
  <c r="AT142" i="34"/>
  <c r="AT138" i="34"/>
  <c r="AT110" i="34"/>
  <c r="AV110" i="34"/>
  <c r="AV138" i="34"/>
  <c r="AV142" i="34"/>
  <c r="AV141" i="34"/>
  <c r="AV94" i="34"/>
  <c r="AV137" i="34"/>
  <c r="AR141" i="34"/>
  <c r="AR137" i="34"/>
  <c r="AR94" i="34"/>
  <c r="AM141" i="34"/>
  <c r="AM137" i="34"/>
  <c r="AM94" i="34"/>
  <c r="AM142" i="34"/>
  <c r="AM138" i="34"/>
  <c r="AM110" i="34"/>
  <c r="AU141" i="34"/>
  <c r="AU137" i="34"/>
  <c r="AU94" i="34"/>
  <c r="AQ138" i="34"/>
  <c r="AQ142" i="34"/>
  <c r="AQ110" i="34"/>
  <c r="AS138" i="34"/>
  <c r="AS142" i="34"/>
  <c r="AS110" i="34"/>
  <c r="AJ138" i="34"/>
  <c r="AJ110" i="34"/>
  <c r="AJ142" i="34"/>
  <c r="AO142" i="34"/>
  <c r="AO138" i="34"/>
  <c r="AO110" i="34"/>
  <c r="AU110" i="34"/>
  <c r="AU138" i="34"/>
  <c r="AU142" i="34"/>
  <c r="AQ137" i="34"/>
  <c r="AQ141" i="34"/>
  <c r="AQ94" i="34"/>
  <c r="AN94" i="34"/>
  <c r="AN141" i="34"/>
  <c r="AN137" i="34"/>
  <c r="AS141" i="34"/>
  <c r="AS137" i="34"/>
  <c r="AS94" i="34"/>
  <c r="AP141" i="34"/>
  <c r="AP137" i="34"/>
  <c r="AP94" i="34"/>
  <c r="AT141" i="34"/>
  <c r="AT94" i="34"/>
  <c r="AT137" i="34"/>
  <c r="AL142" i="34"/>
  <c r="AL138" i="34"/>
  <c r="AL110" i="34"/>
  <c r="AR110" i="34"/>
  <c r="AR138" i="34"/>
  <c r="AR142" i="34"/>
  <c r="AN142" i="34"/>
  <c r="AN138" i="34"/>
  <c r="AN110" i="34"/>
  <c r="AQ52" i="45" l="1"/>
  <c r="AL52" i="45"/>
  <c r="AN52" i="45"/>
  <c r="AN67" i="45" s="1"/>
  <c r="AO11" i="45"/>
  <c r="AO59" i="45" s="1"/>
  <c r="AS52" i="45"/>
  <c r="AR52" i="45"/>
  <c r="AH52" i="45"/>
  <c r="AH67" i="45" s="1"/>
  <c r="AP19" i="45"/>
  <c r="AP60" i="45" s="1"/>
  <c r="AP71" i="45" s="1"/>
  <c r="AO52" i="45"/>
  <c r="AO67" i="45" s="1"/>
  <c r="AK52" i="45"/>
  <c r="AK67" i="45" s="1"/>
  <c r="AS4" i="45"/>
  <c r="AS58" i="45" s="1"/>
  <c r="AS71" i="45" s="1"/>
  <c r="AT52" i="45"/>
  <c r="AT67" i="45" s="1"/>
  <c r="AI52" i="45"/>
  <c r="AI67" i="45" s="1"/>
  <c r="AO141" i="34"/>
  <c r="V1469" i="67"/>
  <c r="V1516" i="67"/>
  <c r="V1512" i="67"/>
  <c r="BE45" i="70"/>
  <c r="BD45" i="36"/>
  <c r="AK1461" i="67" s="1"/>
  <c r="BE41" i="68" s="1"/>
  <c r="AD37" i="62" s="1"/>
  <c r="AJ19" i="45"/>
  <c r="AJ60" i="45" s="1"/>
  <c r="AJ11" i="45"/>
  <c r="AJ59" i="45" s="1"/>
  <c r="AM12" i="45"/>
  <c r="AM11" i="45" s="1"/>
  <c r="AM59" i="45" s="1"/>
  <c r="AJ47" i="45"/>
  <c r="AQ47" i="45"/>
  <c r="AO47" i="45"/>
  <c r="AN47" i="45"/>
  <c r="AM5" i="45"/>
  <c r="AT47" i="45"/>
  <c r="AI47" i="45"/>
  <c r="AM54" i="45"/>
  <c r="AP47" i="45"/>
  <c r="AS47" i="45"/>
  <c r="AL47" i="45"/>
  <c r="AM47" i="45"/>
  <c r="AH47" i="45"/>
  <c r="AK47" i="45"/>
  <c r="AR47" i="45"/>
  <c r="AM53" i="45"/>
  <c r="AM20" i="45"/>
  <c r="AM19" i="45" s="1"/>
  <c r="AM60" i="45" s="1"/>
  <c r="AR71" i="45"/>
  <c r="AI71" i="45"/>
  <c r="AH71" i="45"/>
  <c r="AN71" i="45"/>
  <c r="AT71" i="45"/>
  <c r="AQ71" i="45"/>
  <c r="AL71" i="45"/>
  <c r="AO71" i="45"/>
  <c r="AK71" i="45"/>
  <c r="AJ67" i="45"/>
  <c r="AL67" i="45"/>
  <c r="AQ67" i="45"/>
  <c r="AS67" i="45"/>
  <c r="AR67" i="45"/>
  <c r="AP67" i="45"/>
  <c r="AO137" i="34"/>
  <c r="AO94" i="34"/>
  <c r="AK47" i="57"/>
  <c r="AK48" i="57"/>
  <c r="AK49" i="57"/>
  <c r="BF45" i="70" l="1"/>
  <c r="BE45" i="36"/>
  <c r="AL1461" i="67" s="1"/>
  <c r="BF41" i="68" s="1"/>
  <c r="AE37" i="62" s="1"/>
  <c r="AM4" i="45"/>
  <c r="AM58" i="45" s="1"/>
  <c r="AM71" i="45" s="1"/>
  <c r="AM52" i="45"/>
  <c r="AJ71" i="45"/>
  <c r="AD47" i="36"/>
  <c r="AE47" i="36"/>
  <c r="AI47" i="36"/>
  <c r="AF47" i="36"/>
  <c r="AL47" i="36"/>
  <c r="AK47" i="36"/>
  <c r="AG47" i="36"/>
  <c r="AJ47" i="36"/>
  <c r="AM47" i="36"/>
  <c r="AH47" i="36"/>
  <c r="BA47" i="36"/>
  <c r="BN47" i="36"/>
  <c r="BK47" i="36"/>
  <c r="AN47" i="36"/>
  <c r="BI47" i="36"/>
  <c r="AX47" i="36"/>
  <c r="BB47" i="36"/>
  <c r="AS47" i="36"/>
  <c r="AO47" i="36"/>
  <c r="AV47" i="36"/>
  <c r="AW47" i="36"/>
  <c r="AT47" i="36"/>
  <c r="BC47" i="36"/>
  <c r="AP47" i="36"/>
  <c r="BP47" i="36"/>
  <c r="BF47" i="36"/>
  <c r="BE47" i="36"/>
  <c r="BM47" i="36"/>
  <c r="BG47" i="36"/>
  <c r="BD47" i="36"/>
  <c r="AZ47" i="36"/>
  <c r="AY47" i="36"/>
  <c r="BL47" i="36"/>
  <c r="BO47" i="36"/>
  <c r="AR47" i="36"/>
  <c r="BJ47" i="36"/>
  <c r="AU47" i="36"/>
  <c r="AJ48" i="57"/>
  <c r="AJ47" i="57"/>
  <c r="BH47" i="36"/>
  <c r="AQ47" i="36"/>
  <c r="AF1164" i="67" l="1"/>
  <c r="AF1168" i="67"/>
  <c r="AF1463" i="67"/>
  <c r="AF1510" i="67"/>
  <c r="AF1514" i="67"/>
  <c r="AT1164" i="67"/>
  <c r="AT1168" i="67"/>
  <c r="AT1510" i="67"/>
  <c r="AT1514" i="67"/>
  <c r="AT1463" i="67"/>
  <c r="W1164" i="67"/>
  <c r="W1168" i="67"/>
  <c r="W1463" i="67"/>
  <c r="W1510" i="67"/>
  <c r="W1514" i="67"/>
  <c r="AC1164" i="67"/>
  <c r="AC1168" i="67"/>
  <c r="AC1463" i="67"/>
  <c r="AC1514" i="67"/>
  <c r="AC1510" i="67"/>
  <c r="AE1164" i="67"/>
  <c r="AE1168" i="67"/>
  <c r="AE1463" i="67"/>
  <c r="AE1510" i="67"/>
  <c r="AE1514" i="67"/>
  <c r="AU1164" i="67"/>
  <c r="AU1168" i="67"/>
  <c r="AU1463" i="67"/>
  <c r="AU1510" i="67"/>
  <c r="AU1514" i="67"/>
  <c r="Q1168" i="67"/>
  <c r="Q1164" i="67"/>
  <c r="Q1463" i="67"/>
  <c r="Q1510" i="67"/>
  <c r="Q1514" i="67"/>
  <c r="M1164" i="67"/>
  <c r="M1168" i="67"/>
  <c r="M1463" i="67"/>
  <c r="M1514" i="67"/>
  <c r="M1510" i="67"/>
  <c r="AB1168" i="67"/>
  <c r="AB1164" i="67"/>
  <c r="AB1463" i="67"/>
  <c r="AB1510" i="67"/>
  <c r="AB1514" i="67"/>
  <c r="AN1164" i="67"/>
  <c r="AN1168" i="67"/>
  <c r="AN1463" i="67"/>
  <c r="AN1510" i="67"/>
  <c r="AN1514" i="67"/>
  <c r="AD1164" i="67"/>
  <c r="AD1168" i="67"/>
  <c r="AD1510" i="67"/>
  <c r="AD1514" i="67"/>
  <c r="AD1463" i="67"/>
  <c r="AI1164" i="67"/>
  <c r="AI1168" i="67"/>
  <c r="AI1463" i="67"/>
  <c r="AI1510" i="67"/>
  <c r="AI1514" i="67"/>
  <c r="T1168" i="67"/>
  <c r="T1164" i="67"/>
  <c r="T1463" i="67"/>
  <c r="T1510" i="67"/>
  <c r="T1514" i="67"/>
  <c r="AQ1164" i="67"/>
  <c r="AQ1168" i="67"/>
  <c r="AQ1463" i="67"/>
  <c r="AQ1510" i="67"/>
  <c r="AQ1514" i="67"/>
  <c r="AG1164" i="67"/>
  <c r="AG1168" i="67"/>
  <c r="AG1463" i="67"/>
  <c r="AG1510" i="67"/>
  <c r="AG1514" i="67"/>
  <c r="AJ1168" i="67"/>
  <c r="AJ1164" i="67"/>
  <c r="AJ1463" i="67"/>
  <c r="AJ1510" i="67"/>
  <c r="AJ1514" i="67"/>
  <c r="V1164" i="67"/>
  <c r="V1168" i="67"/>
  <c r="V1463" i="67"/>
  <c r="V1510" i="67"/>
  <c r="V1514" i="67"/>
  <c r="AP1164" i="67"/>
  <c r="AP1168" i="67"/>
  <c r="AP1510" i="67"/>
  <c r="AP1514" i="67"/>
  <c r="AP1463" i="67"/>
  <c r="AH1164" i="67"/>
  <c r="AH1168" i="67"/>
  <c r="AH1463" i="67"/>
  <c r="AH1510" i="67"/>
  <c r="AH1514" i="67"/>
  <c r="N1164" i="67"/>
  <c r="N1168" i="67"/>
  <c r="N1463" i="67"/>
  <c r="N1510" i="67"/>
  <c r="N1514" i="67"/>
  <c r="P1164" i="67"/>
  <c r="P1168" i="67"/>
  <c r="P1463" i="67"/>
  <c r="P1510" i="67"/>
  <c r="P1514" i="67"/>
  <c r="X1164" i="67"/>
  <c r="X1168" i="67"/>
  <c r="X1463" i="67"/>
  <c r="X1510" i="67"/>
  <c r="X1514" i="67"/>
  <c r="AS1164" i="67"/>
  <c r="AS1168" i="67"/>
  <c r="AS1463" i="67"/>
  <c r="AS1514" i="67"/>
  <c r="AS1510" i="67"/>
  <c r="AW1164" i="67"/>
  <c r="AW1168" i="67"/>
  <c r="AW1463" i="67"/>
  <c r="AW1510" i="67"/>
  <c r="AW1514" i="67"/>
  <c r="AR1168" i="67"/>
  <c r="AR1164" i="67"/>
  <c r="AR1463" i="67"/>
  <c r="AR1510" i="67"/>
  <c r="AR1514" i="67"/>
  <c r="S1164" i="67"/>
  <c r="S1168" i="67"/>
  <c r="S1463" i="67"/>
  <c r="S1510" i="67"/>
  <c r="S1514" i="67"/>
  <c r="AO1164" i="67"/>
  <c r="AO1168" i="67"/>
  <c r="AO1463" i="67"/>
  <c r="AO1514" i="67"/>
  <c r="AO1510" i="67"/>
  <c r="Y1164" i="67"/>
  <c r="Y1168" i="67"/>
  <c r="Y1463" i="67"/>
  <c r="Y1514" i="67"/>
  <c r="Y1510" i="67"/>
  <c r="AL1164" i="67"/>
  <c r="AL1168" i="67"/>
  <c r="AL1510" i="67"/>
  <c r="AL1514" i="67"/>
  <c r="AL1463" i="67"/>
  <c r="AV1164" i="67"/>
  <c r="AV1168" i="67"/>
  <c r="AV1463" i="67"/>
  <c r="AV1510" i="67"/>
  <c r="AV1514" i="67"/>
  <c r="AK1164" i="67"/>
  <c r="AK1168" i="67"/>
  <c r="AK1463" i="67"/>
  <c r="AK1510" i="67"/>
  <c r="AK1514" i="67"/>
  <c r="AM1164" i="67"/>
  <c r="AM1168" i="67"/>
  <c r="AM1463" i="67"/>
  <c r="AM1510" i="67"/>
  <c r="AM1514" i="67"/>
  <c r="AA1164" i="67"/>
  <c r="AA1168" i="67"/>
  <c r="AA1463" i="67"/>
  <c r="AA1510" i="67"/>
  <c r="AA1514" i="67"/>
  <c r="Z1164" i="67"/>
  <c r="Z1168" i="67"/>
  <c r="Z1510" i="67"/>
  <c r="Z1514" i="67"/>
  <c r="Z1463" i="67"/>
  <c r="U1164" i="67"/>
  <c r="U1168" i="67"/>
  <c r="U1463" i="67"/>
  <c r="U1510" i="67"/>
  <c r="U1514" i="67"/>
  <c r="O1164" i="67"/>
  <c r="O1168" i="67"/>
  <c r="O1463" i="67"/>
  <c r="O1510" i="67"/>
  <c r="O1514" i="67"/>
  <c r="R1164" i="67"/>
  <c r="R1168" i="67"/>
  <c r="R1463" i="67"/>
  <c r="R1510" i="67"/>
  <c r="R1514" i="67"/>
  <c r="L1168" i="67"/>
  <c r="L1164" i="67"/>
  <c r="L1463" i="67"/>
  <c r="L1510" i="67"/>
  <c r="L1514" i="67"/>
  <c r="AO715" i="67"/>
  <c r="AO664" i="67"/>
  <c r="AO711" i="67"/>
  <c r="AT711" i="67"/>
  <c r="AT715" i="67"/>
  <c r="AT664" i="67"/>
  <c r="X715" i="67"/>
  <c r="X711" i="67"/>
  <c r="X664" i="67"/>
  <c r="AB715" i="67"/>
  <c r="AB664" i="67"/>
  <c r="AB711" i="67"/>
  <c r="AS715" i="67"/>
  <c r="AS711" i="67"/>
  <c r="AS664" i="67"/>
  <c r="AN715" i="67"/>
  <c r="AN711" i="67"/>
  <c r="AN664" i="67"/>
  <c r="AW715" i="67"/>
  <c r="AW664" i="67"/>
  <c r="AW711" i="67"/>
  <c r="AD711" i="67"/>
  <c r="AD715" i="67"/>
  <c r="AD664" i="67"/>
  <c r="AI711" i="67"/>
  <c r="AI715" i="67"/>
  <c r="AI664" i="67"/>
  <c r="AR715" i="67"/>
  <c r="AR664" i="67"/>
  <c r="AR711" i="67"/>
  <c r="T715" i="67"/>
  <c r="T664" i="67"/>
  <c r="T711" i="67"/>
  <c r="S711" i="67"/>
  <c r="S715" i="67"/>
  <c r="S664" i="67"/>
  <c r="K715" i="67"/>
  <c r="K1321" i="67" s="1"/>
  <c r="K711" i="67"/>
  <c r="K1317" i="67" s="1"/>
  <c r="K664" i="67"/>
  <c r="K1270" i="67" s="1"/>
  <c r="AF715" i="67"/>
  <c r="AF711" i="67"/>
  <c r="AF664" i="67"/>
  <c r="W711" i="67"/>
  <c r="W715" i="67"/>
  <c r="W664" i="67"/>
  <c r="AC715" i="67"/>
  <c r="AC664" i="67"/>
  <c r="AC711" i="67"/>
  <c r="AE711" i="67"/>
  <c r="AE715" i="67"/>
  <c r="AE664" i="67"/>
  <c r="AU711" i="67"/>
  <c r="AU715" i="67"/>
  <c r="AU664" i="67"/>
  <c r="Q715" i="67"/>
  <c r="Q711" i="67"/>
  <c r="Q664" i="67"/>
  <c r="M715" i="67"/>
  <c r="M664" i="67"/>
  <c r="M711" i="67"/>
  <c r="Y715" i="67"/>
  <c r="Y711" i="67"/>
  <c r="Y664" i="67"/>
  <c r="AL711" i="67"/>
  <c r="AL715" i="67"/>
  <c r="AL664" i="67"/>
  <c r="V711" i="67"/>
  <c r="V715" i="67"/>
  <c r="V664" i="67"/>
  <c r="BA135" i="34"/>
  <c r="AH711" i="67"/>
  <c r="AH715" i="67"/>
  <c r="AH664" i="67"/>
  <c r="N711" i="67"/>
  <c r="N715" i="67"/>
  <c r="N664" i="67"/>
  <c r="P715" i="67"/>
  <c r="P711" i="67"/>
  <c r="P664" i="67"/>
  <c r="AQ711" i="67"/>
  <c r="AQ715" i="67"/>
  <c r="AQ664" i="67"/>
  <c r="AG715" i="67"/>
  <c r="AG664" i="67"/>
  <c r="AG711" i="67"/>
  <c r="AJ715" i="67"/>
  <c r="AJ664" i="67"/>
  <c r="AJ711" i="67"/>
  <c r="AP711" i="67"/>
  <c r="AP715" i="67"/>
  <c r="AP664" i="67"/>
  <c r="AV715" i="67"/>
  <c r="AV711" i="67"/>
  <c r="AV664" i="67"/>
  <c r="AK715" i="67"/>
  <c r="AK664" i="67"/>
  <c r="AK711" i="67"/>
  <c r="AM711" i="67"/>
  <c r="AM715" i="67"/>
  <c r="AM664" i="67"/>
  <c r="AA711" i="67"/>
  <c r="AA715" i="67"/>
  <c r="AA664" i="67"/>
  <c r="Z711" i="67"/>
  <c r="Z715" i="67"/>
  <c r="Z664" i="67"/>
  <c r="U715" i="67"/>
  <c r="U664" i="67"/>
  <c r="U711" i="67"/>
  <c r="O711" i="67"/>
  <c r="O715" i="67"/>
  <c r="O664" i="67"/>
  <c r="R711" i="67"/>
  <c r="R715" i="67"/>
  <c r="R664" i="67"/>
  <c r="L715" i="67"/>
  <c r="L664" i="67"/>
  <c r="L711" i="67"/>
  <c r="BG45" i="70"/>
  <c r="BF45" i="36"/>
  <c r="AM67" i="45"/>
  <c r="BA48" i="36"/>
  <c r="BA88" i="34"/>
  <c r="BA139" i="34"/>
  <c r="AH46" i="36"/>
  <c r="O1462" i="67" s="1"/>
  <c r="AI42" i="68" s="1"/>
  <c r="H38" i="62" s="1"/>
  <c r="AG46" i="36"/>
  <c r="N1462" i="67" s="1"/>
  <c r="AH42" i="68" s="1"/>
  <c r="G38" i="62" s="1"/>
  <c r="AI46" i="36"/>
  <c r="P1462" i="67" s="1"/>
  <c r="AJ42" i="68" s="1"/>
  <c r="I38" i="62" s="1"/>
  <c r="AD46" i="36"/>
  <c r="K1462" i="67" s="1"/>
  <c r="AE42" i="68" s="1"/>
  <c r="D38" i="62" s="1"/>
  <c r="AE46" i="36"/>
  <c r="L1462" i="67" s="1"/>
  <c r="AF42" i="68" s="1"/>
  <c r="E38" i="62" s="1"/>
  <c r="AF46" i="36"/>
  <c r="M1462" i="67" s="1"/>
  <c r="AG42" i="68" s="1"/>
  <c r="F38" i="62" s="1"/>
  <c r="AI48" i="36"/>
  <c r="AI88" i="34"/>
  <c r="AI139" i="34"/>
  <c r="AI135" i="34"/>
  <c r="AD48" i="36"/>
  <c r="AD135" i="34"/>
  <c r="AD88" i="34"/>
  <c r="AD139" i="34"/>
  <c r="AE48" i="36"/>
  <c r="AE139" i="34"/>
  <c r="AE135" i="34"/>
  <c r="AE88" i="34"/>
  <c r="AF48" i="36"/>
  <c r="AF88" i="34"/>
  <c r="AF135" i="34"/>
  <c r="AF139" i="34"/>
  <c r="AG48" i="36"/>
  <c r="AG135" i="34"/>
  <c r="AG139" i="34"/>
  <c r="AG88" i="34"/>
  <c r="AF86" i="34"/>
  <c r="AE86" i="34"/>
  <c r="AD86" i="34"/>
  <c r="AI86" i="34"/>
  <c r="AH86" i="34"/>
  <c r="AG86" i="34"/>
  <c r="AH48" i="36"/>
  <c r="AH135" i="34"/>
  <c r="AH88" i="34"/>
  <c r="AH139" i="34"/>
  <c r="AQ88" i="34"/>
  <c r="AQ139" i="34"/>
  <c r="AQ48" i="36"/>
  <c r="AQ135" i="34"/>
  <c r="AU139" i="34"/>
  <c r="AU135" i="34"/>
  <c r="AU88" i="34"/>
  <c r="AU48" i="36"/>
  <c r="BL88" i="34"/>
  <c r="BL48" i="36"/>
  <c r="BL139" i="34"/>
  <c r="BL135" i="34"/>
  <c r="BG139" i="34"/>
  <c r="BG88" i="34"/>
  <c r="BG48" i="36"/>
  <c r="BG135" i="34"/>
  <c r="BF135" i="34"/>
  <c r="BF88" i="34"/>
  <c r="BF139" i="34"/>
  <c r="BF48" i="36"/>
  <c r="AT48" i="36"/>
  <c r="AT139" i="34"/>
  <c r="AT88" i="34"/>
  <c r="AT135" i="34"/>
  <c r="AO88" i="34"/>
  <c r="AO48" i="36"/>
  <c r="AO139" i="34"/>
  <c r="AO135" i="34"/>
  <c r="BB88" i="34"/>
  <c r="BB48" i="36"/>
  <c r="BB139" i="34"/>
  <c r="BB135" i="34"/>
  <c r="BK48" i="36"/>
  <c r="BK139" i="34"/>
  <c r="BK88" i="34"/>
  <c r="BK135" i="34"/>
  <c r="BH48" i="36"/>
  <c r="BH88" i="34"/>
  <c r="BH135" i="34"/>
  <c r="BH139" i="34"/>
  <c r="BJ48" i="36"/>
  <c r="BJ139" i="34"/>
  <c r="BJ135" i="34"/>
  <c r="BJ88" i="34"/>
  <c r="AY139" i="34"/>
  <c r="AY135" i="34"/>
  <c r="AY88" i="34"/>
  <c r="AY48" i="36"/>
  <c r="BM139" i="34"/>
  <c r="BM48" i="36"/>
  <c r="BM88" i="34"/>
  <c r="BM135" i="34"/>
  <c r="BP48" i="36"/>
  <c r="BP135" i="34"/>
  <c r="BP139" i="34"/>
  <c r="BP88" i="34"/>
  <c r="AL48" i="36"/>
  <c r="AL88" i="34"/>
  <c r="AL139" i="34"/>
  <c r="AL135" i="34"/>
  <c r="AS88" i="34"/>
  <c r="AS139" i="34"/>
  <c r="AS48" i="36"/>
  <c r="AS135" i="34"/>
  <c r="AX139" i="34"/>
  <c r="AX48" i="36"/>
  <c r="AX135" i="34"/>
  <c r="AX88" i="34"/>
  <c r="BN48" i="36"/>
  <c r="BN135" i="34"/>
  <c r="BN139" i="34"/>
  <c r="BN88" i="34"/>
  <c r="AJ86" i="34"/>
  <c r="AP86" i="34"/>
  <c r="AU86" i="34"/>
  <c r="BD86" i="34"/>
  <c r="AO86" i="34"/>
  <c r="AM86" i="34"/>
  <c r="AT86" i="34"/>
  <c r="AV86" i="34"/>
  <c r="AL86" i="34"/>
  <c r="AS86" i="34"/>
  <c r="AW86" i="34"/>
  <c r="AY86" i="34"/>
  <c r="BC86" i="34"/>
  <c r="AQ86" i="34"/>
  <c r="AR86" i="34"/>
  <c r="BB86" i="34"/>
  <c r="AZ86" i="34"/>
  <c r="AN86" i="34"/>
  <c r="BE86" i="34"/>
  <c r="BA86" i="34"/>
  <c r="AK86" i="34"/>
  <c r="AX86" i="34"/>
  <c r="AR139" i="34"/>
  <c r="AR48" i="36"/>
  <c r="AR135" i="34"/>
  <c r="AR88" i="34"/>
  <c r="AZ139" i="34"/>
  <c r="AZ48" i="36"/>
  <c r="AZ135" i="34"/>
  <c r="AZ88" i="34"/>
  <c r="AJ139" i="34"/>
  <c r="AJ135" i="34"/>
  <c r="AJ48" i="36"/>
  <c r="AJ88" i="34"/>
  <c r="AP48" i="36"/>
  <c r="AP139" i="34"/>
  <c r="AP135" i="34"/>
  <c r="AP88" i="34"/>
  <c r="AW135" i="34"/>
  <c r="AW48" i="36"/>
  <c r="AW88" i="34"/>
  <c r="AW139" i="34"/>
  <c r="AK88" i="34"/>
  <c r="AK135" i="34"/>
  <c r="AK48" i="36"/>
  <c r="AK139" i="34"/>
  <c r="BI48" i="36"/>
  <c r="BI139" i="34"/>
  <c r="BI88" i="34"/>
  <c r="BI135" i="34"/>
  <c r="AP46" i="36"/>
  <c r="W1462" i="67" s="1"/>
  <c r="AQ42" i="68" s="1"/>
  <c r="P38" i="62" s="1"/>
  <c r="AK46" i="36"/>
  <c r="R1462" i="67" s="1"/>
  <c r="AL42" i="68" s="1"/>
  <c r="K38" i="62" s="1"/>
  <c r="AU46" i="36"/>
  <c r="AB1462" i="67" s="1"/>
  <c r="AV42" i="68" s="1"/>
  <c r="U38" i="62" s="1"/>
  <c r="AT46" i="36"/>
  <c r="AA1462" i="67" s="1"/>
  <c r="AU42" i="68" s="1"/>
  <c r="T38" i="62" s="1"/>
  <c r="AR46" i="36"/>
  <c r="Y1462" i="67" s="1"/>
  <c r="AS42" i="68" s="1"/>
  <c r="R38" i="62" s="1"/>
  <c r="AM46" i="36"/>
  <c r="T1462" i="67" s="1"/>
  <c r="AN42" i="68" s="1"/>
  <c r="M38" i="62" s="1"/>
  <c r="AJ46" i="36"/>
  <c r="Q1462" i="67" s="1"/>
  <c r="AK42" i="68" s="1"/>
  <c r="J38" i="62" s="1"/>
  <c r="AS46" i="36"/>
  <c r="Z1462" i="67" s="1"/>
  <c r="AT42" i="68" s="1"/>
  <c r="S38" i="62" s="1"/>
  <c r="AW46" i="36"/>
  <c r="AD1462" i="67" s="1"/>
  <c r="AX42" i="68" s="1"/>
  <c r="W38" i="62" s="1"/>
  <c r="AY46" i="36"/>
  <c r="AF1462" i="67" s="1"/>
  <c r="AZ42" i="68" s="1"/>
  <c r="Y38" i="62" s="1"/>
  <c r="AZ46" i="36"/>
  <c r="AG1462" i="67" s="1"/>
  <c r="BA42" i="68" s="1"/>
  <c r="Z38" i="62" s="1"/>
  <c r="AO46" i="36"/>
  <c r="V1462" i="67" s="1"/>
  <c r="AP42" i="68" s="1"/>
  <c r="O38" i="62" s="1"/>
  <c r="AQ46" i="36"/>
  <c r="X1462" i="67" s="1"/>
  <c r="AR42" i="68" s="1"/>
  <c r="Q38" i="62" s="1"/>
  <c r="AN46" i="36"/>
  <c r="U1462" i="67" s="1"/>
  <c r="AO42" i="68" s="1"/>
  <c r="N38" i="62" s="1"/>
  <c r="BB46" i="36"/>
  <c r="AI1462" i="67" s="1"/>
  <c r="BC42" i="68" s="1"/>
  <c r="AB38" i="62" s="1"/>
  <c r="BJ46" i="36"/>
  <c r="AQ1462" i="67" s="1"/>
  <c r="BK42" i="68" s="1"/>
  <c r="AJ38" i="62" s="1"/>
  <c r="BC46" i="36"/>
  <c r="AJ1462" i="67" s="1"/>
  <c r="BD42" i="68" s="1"/>
  <c r="AC38" i="62" s="1"/>
  <c r="BH46" i="36"/>
  <c r="AO1462" i="67" s="1"/>
  <c r="BI42" i="68" s="1"/>
  <c r="AH38" i="62" s="1"/>
  <c r="BM46" i="36"/>
  <c r="AT1462" i="67" s="1"/>
  <c r="BN42" i="68" s="1"/>
  <c r="AM38" i="62" s="1"/>
  <c r="AL46" i="36"/>
  <c r="S1462" i="67" s="1"/>
  <c r="AM42" i="68" s="1"/>
  <c r="L38" i="62" s="1"/>
  <c r="BE46" i="36"/>
  <c r="AL1462" i="67" s="1"/>
  <c r="BF42" i="68" s="1"/>
  <c r="AE38" i="62" s="1"/>
  <c r="AX46" i="36"/>
  <c r="AE1462" i="67" s="1"/>
  <c r="AY42" i="68" s="1"/>
  <c r="X38" i="62" s="1"/>
  <c r="BA46" i="36"/>
  <c r="AH1462" i="67" s="1"/>
  <c r="BB42" i="68" s="1"/>
  <c r="AA38" i="62" s="1"/>
  <c r="BK46" i="36"/>
  <c r="AR1462" i="67" s="1"/>
  <c r="BL42" i="68" s="1"/>
  <c r="AK38" i="62" s="1"/>
  <c r="AV46" i="36"/>
  <c r="AC1462" i="67" s="1"/>
  <c r="AW42" i="68" s="1"/>
  <c r="V38" i="62" s="1"/>
  <c r="BN46" i="36"/>
  <c r="AU1462" i="67" s="1"/>
  <c r="BO42" i="68" s="1"/>
  <c r="AN38" i="62" s="1"/>
  <c r="BI46" i="36"/>
  <c r="AP1462" i="67" s="1"/>
  <c r="BJ42" i="68" s="1"/>
  <c r="AI38" i="62" s="1"/>
  <c r="BF46" i="36"/>
  <c r="AM1462" i="67" s="1"/>
  <c r="BG42" i="68" s="1"/>
  <c r="AF38" i="62" s="1"/>
  <c r="BP46" i="36"/>
  <c r="AW1462" i="67" s="1"/>
  <c r="BQ42" i="68" s="1"/>
  <c r="AP38" i="62" s="1"/>
  <c r="BD46" i="36"/>
  <c r="AK1462" i="67" s="1"/>
  <c r="BE42" i="68" s="1"/>
  <c r="AD38" i="62" s="1"/>
  <c r="BG46" i="36"/>
  <c r="AN1462" i="67" s="1"/>
  <c r="BH42" i="68" s="1"/>
  <c r="AG38" i="62" s="1"/>
  <c r="BL46" i="36"/>
  <c r="AS1462" i="67" s="1"/>
  <c r="BM42" i="68" s="1"/>
  <c r="AL38" i="62" s="1"/>
  <c r="BO46" i="36"/>
  <c r="AV1462" i="67" s="1"/>
  <c r="BP42" i="68" s="1"/>
  <c r="AO38" i="62" s="1"/>
  <c r="BO88" i="34"/>
  <c r="BO135" i="34"/>
  <c r="BO139" i="34"/>
  <c r="BO48" i="36"/>
  <c r="BD135" i="34"/>
  <c r="BD88" i="34"/>
  <c r="BD139" i="34"/>
  <c r="BD48" i="36"/>
  <c r="BE48" i="36"/>
  <c r="BE88" i="34"/>
  <c r="BE139" i="34"/>
  <c r="BE135" i="34"/>
  <c r="BC48" i="36"/>
  <c r="BC135" i="34"/>
  <c r="BC139" i="34"/>
  <c r="BC88" i="34"/>
  <c r="AV88" i="34"/>
  <c r="AV48" i="36"/>
  <c r="AV139" i="34"/>
  <c r="AV135" i="34"/>
  <c r="AM135" i="34"/>
  <c r="AM139" i="34"/>
  <c r="AM48" i="36"/>
  <c r="AM88" i="34"/>
  <c r="AN88" i="34"/>
  <c r="AN48" i="36"/>
  <c r="AN139" i="34"/>
  <c r="AN135" i="34"/>
  <c r="AP1013" i="67" l="1"/>
  <c r="AP407" i="67"/>
  <c r="AP862" i="67"/>
  <c r="AP559" i="67"/>
  <c r="AP101" i="67"/>
  <c r="AP254" i="67"/>
  <c r="V1013" i="67"/>
  <c r="V407" i="67"/>
  <c r="V559" i="67"/>
  <c r="V101" i="67"/>
  <c r="V862" i="67"/>
  <c r="V254" i="67"/>
  <c r="AJ1017" i="67"/>
  <c r="AJ563" i="67"/>
  <c r="AJ105" i="67"/>
  <c r="AJ258" i="67"/>
  <c r="AJ866" i="67"/>
  <c r="AJ411" i="67"/>
  <c r="AQ966" i="67"/>
  <c r="AQ1117" i="67"/>
  <c r="AQ207" i="67"/>
  <c r="AQ512" i="67"/>
  <c r="AQ54" i="67"/>
  <c r="AQ360" i="67"/>
  <c r="AQ815" i="67"/>
  <c r="T1013" i="67"/>
  <c r="T559" i="67"/>
  <c r="T101" i="67"/>
  <c r="T862" i="67"/>
  <c r="T254" i="67"/>
  <c r="T407" i="67"/>
  <c r="AI1017" i="67"/>
  <c r="AI563" i="67"/>
  <c r="AI105" i="67"/>
  <c r="AI258" i="67"/>
  <c r="AI411" i="67"/>
  <c r="AI866" i="67"/>
  <c r="AN966" i="67"/>
  <c r="AN1117" i="67"/>
  <c r="AN360" i="67"/>
  <c r="AN512" i="67"/>
  <c r="AN54" i="67"/>
  <c r="AN815" i="67"/>
  <c r="AN207" i="67"/>
  <c r="AB1013" i="67"/>
  <c r="AB254" i="67"/>
  <c r="AB407" i="67"/>
  <c r="AB559" i="67"/>
  <c r="AB862" i="67"/>
  <c r="AB101" i="67"/>
  <c r="M1013" i="67"/>
  <c r="M407" i="67"/>
  <c r="M862" i="67"/>
  <c r="M254" i="67"/>
  <c r="M559" i="67"/>
  <c r="M101" i="67"/>
  <c r="AU1117" i="67"/>
  <c r="AU966" i="67"/>
  <c r="AU512" i="67"/>
  <c r="AU54" i="67"/>
  <c r="AU360" i="67"/>
  <c r="AU815" i="67"/>
  <c r="AU207" i="67"/>
  <c r="AE1013" i="67"/>
  <c r="AE559" i="67"/>
  <c r="AE101" i="67"/>
  <c r="AE862" i="67"/>
  <c r="AE254" i="67"/>
  <c r="AE407" i="67"/>
  <c r="AC1013" i="67"/>
  <c r="AC407" i="67"/>
  <c r="AC862" i="67"/>
  <c r="AC254" i="67"/>
  <c r="AC559" i="67"/>
  <c r="AC101" i="67"/>
  <c r="AT1013" i="67"/>
  <c r="AT407" i="67"/>
  <c r="AT862" i="67"/>
  <c r="AT254" i="67"/>
  <c r="AT559" i="67"/>
  <c r="AT101" i="67"/>
  <c r="AF1013" i="67"/>
  <c r="AF559" i="67"/>
  <c r="AF101" i="67"/>
  <c r="AF407" i="67"/>
  <c r="AF254" i="67"/>
  <c r="AF862" i="67"/>
  <c r="R1014" i="67"/>
  <c r="R1018" i="67"/>
  <c r="R967" i="67"/>
  <c r="R1118" i="67"/>
  <c r="R1165" i="67"/>
  <c r="R1169" i="67"/>
  <c r="R1464" i="67"/>
  <c r="R1511" i="67"/>
  <c r="R1515" i="67"/>
  <c r="Q1014" i="67"/>
  <c r="Q1018" i="67"/>
  <c r="Q967" i="67"/>
  <c r="Q1118" i="67"/>
  <c r="Q1165" i="67"/>
  <c r="Q1169" i="67"/>
  <c r="Q1464" i="67"/>
  <c r="Q1511" i="67"/>
  <c r="Q1515" i="67"/>
  <c r="S1014" i="67"/>
  <c r="S967" i="67"/>
  <c r="S1018" i="67"/>
  <c r="S1118" i="67"/>
  <c r="S1165" i="67"/>
  <c r="S1169" i="67"/>
  <c r="S1464" i="67"/>
  <c r="S1515" i="67"/>
  <c r="S1511" i="67"/>
  <c r="AQ1014" i="67"/>
  <c r="AQ1018" i="67"/>
  <c r="AQ967" i="67"/>
  <c r="AQ1118" i="67"/>
  <c r="AQ1165" i="67"/>
  <c r="AQ1169" i="67"/>
  <c r="AQ1464" i="67"/>
  <c r="AQ1511" i="67"/>
  <c r="AQ1515" i="67"/>
  <c r="AR1014" i="67"/>
  <c r="AR1018" i="67"/>
  <c r="AR967" i="67"/>
  <c r="AR1118" i="67"/>
  <c r="AR1165" i="67"/>
  <c r="AR1169" i="67"/>
  <c r="AR1464" i="67"/>
  <c r="AR1511" i="67"/>
  <c r="AR1515" i="67"/>
  <c r="AA1014" i="67"/>
  <c r="AA1018" i="67"/>
  <c r="AA967" i="67"/>
  <c r="AA1118" i="67"/>
  <c r="AA1165" i="67"/>
  <c r="AA1169" i="67"/>
  <c r="AA1464" i="67"/>
  <c r="AA1511" i="67"/>
  <c r="AA1515" i="67"/>
  <c r="L1117" i="67"/>
  <c r="L966" i="67"/>
  <c r="L54" i="67"/>
  <c r="L512" i="67"/>
  <c r="L207" i="67"/>
  <c r="L360" i="67"/>
  <c r="L815" i="67"/>
  <c r="R1013" i="67"/>
  <c r="R254" i="67"/>
  <c r="R407" i="67"/>
  <c r="R559" i="67"/>
  <c r="R101" i="67"/>
  <c r="R862" i="67"/>
  <c r="O1017" i="67"/>
  <c r="O411" i="67"/>
  <c r="O866" i="67"/>
  <c r="O258" i="67"/>
  <c r="O563" i="67"/>
  <c r="O105" i="67"/>
  <c r="AA1013" i="67"/>
  <c r="AA559" i="67"/>
  <c r="AA101" i="67"/>
  <c r="AA862" i="67"/>
  <c r="AA407" i="67"/>
  <c r="AA254" i="67"/>
  <c r="AM1017" i="67"/>
  <c r="AM105" i="67"/>
  <c r="AM866" i="67"/>
  <c r="AM258" i="67"/>
  <c r="AM411" i="67"/>
  <c r="AM563" i="67"/>
  <c r="Y1013" i="67"/>
  <c r="Y101" i="67"/>
  <c r="Y407" i="67"/>
  <c r="Y862" i="67"/>
  <c r="Y254" i="67"/>
  <c r="Y559" i="67"/>
  <c r="S966" i="67"/>
  <c r="S1117" i="67"/>
  <c r="S54" i="67"/>
  <c r="S512" i="67"/>
  <c r="S360" i="67"/>
  <c r="S207" i="67"/>
  <c r="S815" i="67"/>
  <c r="AW1017" i="67"/>
  <c r="AW411" i="67"/>
  <c r="AW563" i="67"/>
  <c r="AW105" i="67"/>
  <c r="AW866" i="67"/>
  <c r="AW258" i="67"/>
  <c r="P1013" i="67"/>
  <c r="P407" i="67"/>
  <c r="P559" i="67"/>
  <c r="P101" i="67"/>
  <c r="P862" i="67"/>
  <c r="P254" i="67"/>
  <c r="N1017" i="67"/>
  <c r="N411" i="67"/>
  <c r="N563" i="67"/>
  <c r="N105" i="67"/>
  <c r="N866" i="67"/>
  <c r="N258" i="67"/>
  <c r="AJ1014" i="67"/>
  <c r="AJ967" i="67"/>
  <c r="AJ1018" i="67"/>
  <c r="AJ1118" i="67"/>
  <c r="AJ1165" i="67"/>
  <c r="AJ1169" i="67"/>
  <c r="AJ1511" i="67"/>
  <c r="AJ1515" i="67"/>
  <c r="AJ1464" i="67"/>
  <c r="AL1014" i="67"/>
  <c r="AL1018" i="67"/>
  <c r="AL967" i="67"/>
  <c r="AL1118" i="67"/>
  <c r="AL1169" i="67"/>
  <c r="AL1165" i="67"/>
  <c r="AL1464" i="67"/>
  <c r="AL1511" i="67"/>
  <c r="AL1515" i="67"/>
  <c r="AD1014" i="67"/>
  <c r="AD1018" i="67"/>
  <c r="AD967" i="67"/>
  <c r="AD1118" i="67"/>
  <c r="AD1169" i="67"/>
  <c r="AD1165" i="67"/>
  <c r="AD1464" i="67"/>
  <c r="AD1511" i="67"/>
  <c r="AD1515" i="67"/>
  <c r="AG1014" i="67"/>
  <c r="AG1018" i="67"/>
  <c r="AG967" i="67"/>
  <c r="AG1118" i="67"/>
  <c r="AG1165" i="67"/>
  <c r="AG1169" i="67"/>
  <c r="AG1464" i="67"/>
  <c r="AG1511" i="67"/>
  <c r="AG1515" i="67"/>
  <c r="Y1014" i="67"/>
  <c r="Y1018" i="67"/>
  <c r="Y967" i="67"/>
  <c r="Y1118" i="67"/>
  <c r="Y1165" i="67"/>
  <c r="Y1169" i="67"/>
  <c r="Y1464" i="67"/>
  <c r="Y1511" i="67"/>
  <c r="Y1515" i="67"/>
  <c r="AF1018" i="67"/>
  <c r="AF967" i="67"/>
  <c r="AF1014" i="67"/>
  <c r="AF1118" i="67"/>
  <c r="AF1165" i="67"/>
  <c r="AF1169" i="67"/>
  <c r="AF1511" i="67"/>
  <c r="AF1515" i="67"/>
  <c r="AF1464" i="67"/>
  <c r="AM1018" i="67"/>
  <c r="AM1014" i="67"/>
  <c r="AM967" i="67"/>
  <c r="AM1165" i="67"/>
  <c r="AM1118" i="67"/>
  <c r="AM1169" i="67"/>
  <c r="AM1464" i="67"/>
  <c r="AM1515" i="67"/>
  <c r="AM1511" i="67"/>
  <c r="AB1014" i="67"/>
  <c r="AB1018" i="67"/>
  <c r="AB967" i="67"/>
  <c r="AB1118" i="67"/>
  <c r="AB1165" i="67"/>
  <c r="AB1169" i="67"/>
  <c r="AB1464" i="67"/>
  <c r="AB1511" i="67"/>
  <c r="AB1515" i="67"/>
  <c r="BF86" i="34"/>
  <c r="BD41" i="45" s="1"/>
  <c r="BD63" i="45" s="1"/>
  <c r="AM1461" i="67"/>
  <c r="BG41" i="68" s="1"/>
  <c r="AF37" i="62" s="1"/>
  <c r="R1117" i="67"/>
  <c r="R966" i="67"/>
  <c r="R54" i="67"/>
  <c r="R815" i="67"/>
  <c r="R360" i="67"/>
  <c r="R207" i="67"/>
  <c r="R512" i="67"/>
  <c r="O1013" i="67"/>
  <c r="O559" i="67"/>
  <c r="O101" i="67"/>
  <c r="O862" i="67"/>
  <c r="O254" i="67"/>
  <c r="O407" i="67"/>
  <c r="U1017" i="67"/>
  <c r="U563" i="67"/>
  <c r="U105" i="67"/>
  <c r="U866" i="67"/>
  <c r="U258" i="67"/>
  <c r="U411" i="67"/>
  <c r="AA966" i="67"/>
  <c r="AA1117" i="67"/>
  <c r="AA360" i="67"/>
  <c r="AA512" i="67"/>
  <c r="AA54" i="67"/>
  <c r="AA815" i="67"/>
  <c r="AA207" i="67"/>
  <c r="AM1013" i="67"/>
  <c r="AM407" i="67"/>
  <c r="AM559" i="67"/>
  <c r="AM101" i="67"/>
  <c r="AM862" i="67"/>
  <c r="AM254" i="67"/>
  <c r="AK1017" i="67"/>
  <c r="AK563" i="67"/>
  <c r="AK105" i="67"/>
  <c r="AK411" i="67"/>
  <c r="AK866" i="67"/>
  <c r="AK258" i="67"/>
  <c r="AL1013" i="67"/>
  <c r="AL559" i="67"/>
  <c r="AL101" i="67"/>
  <c r="AL407" i="67"/>
  <c r="AL862" i="67"/>
  <c r="AL254" i="67"/>
  <c r="Y1017" i="67"/>
  <c r="Y411" i="67"/>
  <c r="Y563" i="67"/>
  <c r="Y105" i="67"/>
  <c r="Y866" i="67"/>
  <c r="Y258" i="67"/>
  <c r="AO1013" i="67"/>
  <c r="AO407" i="67"/>
  <c r="AO559" i="67"/>
  <c r="AO101" i="67"/>
  <c r="AO862" i="67"/>
  <c r="AO254" i="67"/>
  <c r="AR1117" i="67"/>
  <c r="AR966" i="67"/>
  <c r="AR207" i="67"/>
  <c r="AR512" i="67"/>
  <c r="AR54" i="67"/>
  <c r="AR360" i="67"/>
  <c r="AR815" i="67"/>
  <c r="AW1013" i="67"/>
  <c r="AW862" i="67"/>
  <c r="AW254" i="67"/>
  <c r="AW559" i="67"/>
  <c r="AW101" i="67"/>
  <c r="AW407" i="67"/>
  <c r="AS1013" i="67"/>
  <c r="AS407" i="67"/>
  <c r="AS559" i="67"/>
  <c r="AS101" i="67"/>
  <c r="AS862" i="67"/>
  <c r="AS254" i="67"/>
  <c r="P1117" i="67"/>
  <c r="P966" i="67"/>
  <c r="P360" i="67"/>
  <c r="P512" i="67"/>
  <c r="P54" i="67"/>
  <c r="P815" i="67"/>
  <c r="P207" i="67"/>
  <c r="N1013" i="67"/>
  <c r="N559" i="67"/>
  <c r="N407" i="67"/>
  <c r="N101" i="67"/>
  <c r="N862" i="67"/>
  <c r="N254" i="67"/>
  <c r="AH1017" i="67"/>
  <c r="AH411" i="67"/>
  <c r="AH563" i="67"/>
  <c r="AH105" i="67"/>
  <c r="AH866" i="67"/>
  <c r="AH258" i="67"/>
  <c r="V966" i="67"/>
  <c r="V1117" i="67"/>
  <c r="V360" i="67"/>
  <c r="V512" i="67"/>
  <c r="V54" i="67"/>
  <c r="V815" i="67"/>
  <c r="V207" i="67"/>
  <c r="AJ1013" i="67"/>
  <c r="AJ407" i="67"/>
  <c r="AJ559" i="67"/>
  <c r="AJ101" i="67"/>
  <c r="AJ862" i="67"/>
  <c r="AJ254" i="67"/>
  <c r="AG1017" i="67"/>
  <c r="AG411" i="67"/>
  <c r="AG866" i="67"/>
  <c r="AG563" i="67"/>
  <c r="AG105" i="67"/>
  <c r="AG258" i="67"/>
  <c r="T1117" i="67"/>
  <c r="T966" i="67"/>
  <c r="T512" i="67"/>
  <c r="T815" i="67"/>
  <c r="T207" i="67"/>
  <c r="T360" i="67"/>
  <c r="T54" i="67"/>
  <c r="AI1013" i="67"/>
  <c r="AI407" i="67"/>
  <c r="AI559" i="67"/>
  <c r="AI101" i="67"/>
  <c r="AI862" i="67"/>
  <c r="AI254" i="67"/>
  <c r="AD966" i="67"/>
  <c r="AD1117" i="67"/>
  <c r="AD512" i="67"/>
  <c r="AD54" i="67"/>
  <c r="AD360" i="67"/>
  <c r="AD815" i="67"/>
  <c r="AD207" i="67"/>
  <c r="AB1117" i="67"/>
  <c r="AB966" i="67"/>
  <c r="AB512" i="67"/>
  <c r="AB54" i="67"/>
  <c r="AB360" i="67"/>
  <c r="AB815" i="67"/>
  <c r="AB207" i="67"/>
  <c r="M1017" i="67"/>
  <c r="M866" i="67"/>
  <c r="M563" i="67"/>
  <c r="M105" i="67"/>
  <c r="M411" i="67"/>
  <c r="M258" i="67"/>
  <c r="Q1017" i="67"/>
  <c r="Q411" i="67"/>
  <c r="Q563" i="67"/>
  <c r="Q105" i="67"/>
  <c r="Q866" i="67"/>
  <c r="Q258" i="67"/>
  <c r="AE1117" i="67"/>
  <c r="AE966" i="67"/>
  <c r="AE512" i="67"/>
  <c r="AE54" i="67"/>
  <c r="AE360" i="67"/>
  <c r="AE815" i="67"/>
  <c r="AE207" i="67"/>
  <c r="AC1017" i="67"/>
  <c r="AC411" i="67"/>
  <c r="AC258" i="67"/>
  <c r="AC563" i="67"/>
  <c r="AC105" i="67"/>
  <c r="AC866" i="67"/>
  <c r="W1017" i="67"/>
  <c r="W563" i="67"/>
  <c r="W411" i="67"/>
  <c r="W105" i="67"/>
  <c r="W866" i="67"/>
  <c r="W258" i="67"/>
  <c r="AF1117" i="67"/>
  <c r="AF966" i="67"/>
  <c r="AF512" i="67"/>
  <c r="AF54" i="67"/>
  <c r="AF360" i="67"/>
  <c r="AF815" i="67"/>
  <c r="AF207" i="67"/>
  <c r="AU1014" i="67"/>
  <c r="AU967" i="67"/>
  <c r="AU1018" i="67"/>
  <c r="AU1165" i="67"/>
  <c r="AU1118" i="67"/>
  <c r="AU1169" i="67"/>
  <c r="AU1464" i="67"/>
  <c r="AU1511" i="67"/>
  <c r="AU1515" i="67"/>
  <c r="AW1014" i="67"/>
  <c r="AW1018" i="67"/>
  <c r="AW967" i="67"/>
  <c r="AW1118" i="67"/>
  <c r="AW1165" i="67"/>
  <c r="AW1169" i="67"/>
  <c r="AW1464" i="67"/>
  <c r="AW1511" i="67"/>
  <c r="AW1515" i="67"/>
  <c r="AO1014" i="67"/>
  <c r="AO967" i="67"/>
  <c r="AO1018" i="67"/>
  <c r="AO1118" i="67"/>
  <c r="AO1165" i="67"/>
  <c r="AO1169" i="67"/>
  <c r="AO1464" i="67"/>
  <c r="AO1511" i="67"/>
  <c r="AO1515" i="67"/>
  <c r="O1018" i="67"/>
  <c r="O967" i="67"/>
  <c r="O1014" i="67"/>
  <c r="O1165" i="67"/>
  <c r="O1118" i="67"/>
  <c r="O1169" i="67"/>
  <c r="O1464" i="67"/>
  <c r="O1511" i="67"/>
  <c r="O1515" i="67"/>
  <c r="Z1013" i="67"/>
  <c r="Z559" i="67"/>
  <c r="Z101" i="67"/>
  <c r="Z407" i="67"/>
  <c r="Z862" i="67"/>
  <c r="Z254" i="67"/>
  <c r="AV1117" i="67"/>
  <c r="AV966" i="67"/>
  <c r="AV815" i="67"/>
  <c r="AV207" i="67"/>
  <c r="AV360" i="67"/>
  <c r="AV512" i="67"/>
  <c r="AV54" i="67"/>
  <c r="AL1017" i="67"/>
  <c r="AL563" i="67"/>
  <c r="AL105" i="67"/>
  <c r="AL866" i="67"/>
  <c r="AL258" i="67"/>
  <c r="AL411" i="67"/>
  <c r="AR1013" i="67"/>
  <c r="AR407" i="67"/>
  <c r="AR559" i="67"/>
  <c r="AR101" i="67"/>
  <c r="AR862" i="67"/>
  <c r="AR254" i="67"/>
  <c r="X966" i="67"/>
  <c r="X1117" i="67"/>
  <c r="X815" i="67"/>
  <c r="X360" i="67"/>
  <c r="X54" i="67"/>
  <c r="X512" i="67"/>
  <c r="X207" i="67"/>
  <c r="AK1014" i="67"/>
  <c r="AK1018" i="67"/>
  <c r="AK967" i="67"/>
  <c r="AK1118" i="67"/>
  <c r="AK1165" i="67"/>
  <c r="AK1169" i="67"/>
  <c r="AK1464" i="67"/>
  <c r="AK1511" i="67"/>
  <c r="AK1515" i="67"/>
  <c r="AV1018" i="67"/>
  <c r="AV1014" i="67"/>
  <c r="AV967" i="67"/>
  <c r="AV1118" i="67"/>
  <c r="AV1165" i="67"/>
  <c r="AV1169" i="67"/>
  <c r="AV1511" i="67"/>
  <c r="AV1515" i="67"/>
  <c r="AV1464" i="67"/>
  <c r="AP1014" i="67"/>
  <c r="AP1018" i="67"/>
  <c r="AP967" i="67"/>
  <c r="AP1118" i="67"/>
  <c r="AP1165" i="67"/>
  <c r="AP1169" i="67"/>
  <c r="AP1464" i="67"/>
  <c r="AP1511" i="67"/>
  <c r="AP1515" i="67"/>
  <c r="W1018" i="67"/>
  <c r="W967" i="67"/>
  <c r="W1014" i="67"/>
  <c r="W1165" i="67"/>
  <c r="W1169" i="67"/>
  <c r="W1118" i="67"/>
  <c r="W1464" i="67"/>
  <c r="W1515" i="67"/>
  <c r="W1511" i="67"/>
  <c r="Z1014" i="67"/>
  <c r="Z1018" i="67"/>
  <c r="Z967" i="67"/>
  <c r="Z1118" i="67"/>
  <c r="Z1165" i="67"/>
  <c r="Z1169" i="67"/>
  <c r="Z1464" i="67"/>
  <c r="Z1511" i="67"/>
  <c r="Z1515" i="67"/>
  <c r="AN1018" i="67"/>
  <c r="AN1014" i="67"/>
  <c r="AN967" i="67"/>
  <c r="AN1118" i="67"/>
  <c r="AN1165" i="67"/>
  <c r="AN1169" i="67"/>
  <c r="AN1511" i="67"/>
  <c r="AN1515" i="67"/>
  <c r="AN1464" i="67"/>
  <c r="X1014" i="67"/>
  <c r="X1018" i="67"/>
  <c r="X967" i="67"/>
  <c r="X1118" i="67"/>
  <c r="X1165" i="67"/>
  <c r="X1169" i="67"/>
  <c r="X1511" i="67"/>
  <c r="X1515" i="67"/>
  <c r="X1464" i="67"/>
  <c r="N1014" i="67"/>
  <c r="N1018" i="67"/>
  <c r="N967" i="67"/>
  <c r="N1118" i="67"/>
  <c r="N1169" i="67"/>
  <c r="N1165" i="67"/>
  <c r="N1464" i="67"/>
  <c r="N1511" i="67"/>
  <c r="N1515" i="67"/>
  <c r="M1014" i="67"/>
  <c r="M1018" i="67"/>
  <c r="M967" i="67"/>
  <c r="M1118" i="67"/>
  <c r="M1165" i="67"/>
  <c r="M1169" i="67"/>
  <c r="M1464" i="67"/>
  <c r="M1511" i="67"/>
  <c r="M1515" i="67"/>
  <c r="L1014" i="67"/>
  <c r="L967" i="67"/>
  <c r="L1018" i="67"/>
  <c r="L1118" i="67"/>
  <c r="L1165" i="67"/>
  <c r="L1169" i="67"/>
  <c r="L1464" i="67"/>
  <c r="L1511" i="67"/>
  <c r="L1515" i="67"/>
  <c r="P1018" i="67"/>
  <c r="P967" i="67"/>
  <c r="P1014" i="67"/>
  <c r="P1118" i="67"/>
  <c r="P1165" i="67"/>
  <c r="P1169" i="67"/>
  <c r="P1511" i="67"/>
  <c r="P1515" i="67"/>
  <c r="P1464" i="67"/>
  <c r="L1017" i="67"/>
  <c r="L563" i="67"/>
  <c r="L105" i="67"/>
  <c r="L411" i="67"/>
  <c r="L866" i="67"/>
  <c r="L258" i="67"/>
  <c r="O1117" i="67"/>
  <c r="O966" i="67"/>
  <c r="O512" i="67"/>
  <c r="O54" i="67"/>
  <c r="O207" i="67"/>
  <c r="O360" i="67"/>
  <c r="O815" i="67"/>
  <c r="U1013" i="67"/>
  <c r="U559" i="67"/>
  <c r="U101" i="67"/>
  <c r="U407" i="67"/>
  <c r="U862" i="67"/>
  <c r="U254" i="67"/>
  <c r="Z1117" i="67"/>
  <c r="Z966" i="67"/>
  <c r="Z512" i="67"/>
  <c r="Z54" i="67"/>
  <c r="Z360" i="67"/>
  <c r="Z815" i="67"/>
  <c r="Z207" i="67"/>
  <c r="AM1117" i="67"/>
  <c r="AM966" i="67"/>
  <c r="AM360" i="67"/>
  <c r="AM815" i="67"/>
  <c r="AM207" i="67"/>
  <c r="AM512" i="67"/>
  <c r="AM54" i="67"/>
  <c r="AK1013" i="67"/>
  <c r="AK559" i="67"/>
  <c r="AK407" i="67"/>
  <c r="AK862" i="67"/>
  <c r="AK101" i="67"/>
  <c r="AK254" i="67"/>
  <c r="AV1017" i="67"/>
  <c r="AV258" i="67"/>
  <c r="AV411" i="67"/>
  <c r="AV563" i="67"/>
  <c r="AV105" i="67"/>
  <c r="AV866" i="67"/>
  <c r="Y966" i="67"/>
  <c r="Y1117" i="67"/>
  <c r="Y360" i="67"/>
  <c r="Y512" i="67"/>
  <c r="Y54" i="67"/>
  <c r="Y815" i="67"/>
  <c r="Y207" i="67"/>
  <c r="AO1017" i="67"/>
  <c r="AO563" i="67"/>
  <c r="AO105" i="67"/>
  <c r="AO411" i="67"/>
  <c r="AO866" i="67"/>
  <c r="AO258" i="67"/>
  <c r="S1017" i="67"/>
  <c r="S411" i="67"/>
  <c r="S563" i="67"/>
  <c r="S866" i="67"/>
  <c r="S258" i="67"/>
  <c r="S105" i="67"/>
  <c r="AW966" i="67"/>
  <c r="AW1117" i="67"/>
  <c r="AW207" i="67"/>
  <c r="AW54" i="67"/>
  <c r="AW512" i="67"/>
  <c r="AW360" i="67"/>
  <c r="AW815" i="67"/>
  <c r="AS1017" i="67"/>
  <c r="AS411" i="67"/>
  <c r="AS563" i="67"/>
  <c r="AS866" i="67"/>
  <c r="AS105" i="67"/>
  <c r="AS258" i="67"/>
  <c r="X1017" i="67"/>
  <c r="X866" i="67"/>
  <c r="X411" i="67"/>
  <c r="X105" i="67"/>
  <c r="X563" i="67"/>
  <c r="X258" i="67"/>
  <c r="N966" i="67"/>
  <c r="N1117" i="67"/>
  <c r="N360" i="67"/>
  <c r="N512" i="67"/>
  <c r="N54" i="67"/>
  <c r="N815" i="67"/>
  <c r="N207" i="67"/>
  <c r="AH1013" i="67"/>
  <c r="AH559" i="67"/>
  <c r="AH101" i="67"/>
  <c r="AH407" i="67"/>
  <c r="AH862" i="67"/>
  <c r="AH254" i="67"/>
  <c r="AP1117" i="67"/>
  <c r="AP966" i="67"/>
  <c r="AP207" i="67"/>
  <c r="AP512" i="67"/>
  <c r="AP360" i="67"/>
  <c r="AP815" i="67"/>
  <c r="AP54" i="67"/>
  <c r="AJ1117" i="67"/>
  <c r="AJ966" i="67"/>
  <c r="AJ54" i="67"/>
  <c r="AJ512" i="67"/>
  <c r="AJ360" i="67"/>
  <c r="AJ815" i="67"/>
  <c r="AJ207" i="67"/>
  <c r="AG1013" i="67"/>
  <c r="AG559" i="67"/>
  <c r="AG101" i="67"/>
  <c r="AG407" i="67"/>
  <c r="AG862" i="67"/>
  <c r="AG254" i="67"/>
  <c r="AQ1017" i="67"/>
  <c r="AQ411" i="67"/>
  <c r="AQ563" i="67"/>
  <c r="AQ105" i="67"/>
  <c r="AQ866" i="67"/>
  <c r="AQ258" i="67"/>
  <c r="AI966" i="67"/>
  <c r="AI1117" i="67"/>
  <c r="AI360" i="67"/>
  <c r="AI512" i="67"/>
  <c r="AI54" i="67"/>
  <c r="AI815" i="67"/>
  <c r="AI207" i="67"/>
  <c r="AD1017" i="67"/>
  <c r="AD563" i="67"/>
  <c r="AD105" i="67"/>
  <c r="AD411" i="67"/>
  <c r="AD866" i="67"/>
  <c r="AD258" i="67"/>
  <c r="AN1017" i="67"/>
  <c r="AN411" i="67"/>
  <c r="AN563" i="67"/>
  <c r="AN105" i="67"/>
  <c r="AN866" i="67"/>
  <c r="AN258" i="67"/>
  <c r="M1117" i="67"/>
  <c r="M966" i="67"/>
  <c r="M207" i="67"/>
  <c r="M54" i="67"/>
  <c r="M360" i="67"/>
  <c r="M512" i="67"/>
  <c r="M815" i="67"/>
  <c r="Q1013" i="67"/>
  <c r="Q559" i="67"/>
  <c r="Q407" i="67"/>
  <c r="Q254" i="67"/>
  <c r="Q101" i="67"/>
  <c r="Q862" i="67"/>
  <c r="AU1017" i="67"/>
  <c r="AU411" i="67"/>
  <c r="AU866" i="67"/>
  <c r="AU258" i="67"/>
  <c r="AU105" i="67"/>
  <c r="AU563" i="67"/>
  <c r="AC1117" i="67"/>
  <c r="AC966" i="67"/>
  <c r="AC512" i="67"/>
  <c r="AC54" i="67"/>
  <c r="AC360" i="67"/>
  <c r="AC815" i="67"/>
  <c r="AC207" i="67"/>
  <c r="W1013" i="67"/>
  <c r="W559" i="67"/>
  <c r="W101" i="67"/>
  <c r="W862" i="67"/>
  <c r="W254" i="67"/>
  <c r="W407" i="67"/>
  <c r="AT966" i="67"/>
  <c r="AT1117" i="67"/>
  <c r="AT360" i="67"/>
  <c r="AT207" i="67"/>
  <c r="AT512" i="67"/>
  <c r="AT815" i="67"/>
  <c r="AT54" i="67"/>
  <c r="U1014" i="67"/>
  <c r="U1018" i="67"/>
  <c r="U967" i="67"/>
  <c r="U1118" i="67"/>
  <c r="U1165" i="67"/>
  <c r="U1169" i="67"/>
  <c r="U1464" i="67"/>
  <c r="U1511" i="67"/>
  <c r="U1515" i="67"/>
  <c r="AC1014" i="67"/>
  <c r="AC1018" i="67"/>
  <c r="AC967" i="67"/>
  <c r="AC1118" i="67"/>
  <c r="AC1165" i="67"/>
  <c r="AC1169" i="67"/>
  <c r="AC1464" i="67"/>
  <c r="AC1511" i="67"/>
  <c r="AC1515" i="67"/>
  <c r="T1014" i="67"/>
  <c r="T967" i="67"/>
  <c r="T1018" i="67"/>
  <c r="T1118" i="67"/>
  <c r="T1165" i="67"/>
  <c r="T1169" i="67"/>
  <c r="T1511" i="67"/>
  <c r="T1515" i="67"/>
  <c r="T1464" i="67"/>
  <c r="AE967" i="67"/>
  <c r="AE1014" i="67"/>
  <c r="AE1018" i="67"/>
  <c r="AE1165" i="67"/>
  <c r="AE1118" i="67"/>
  <c r="AE1169" i="67"/>
  <c r="AE1464" i="67"/>
  <c r="AE1511" i="67"/>
  <c r="AE1515" i="67"/>
  <c r="AT1014" i="67"/>
  <c r="AT1018" i="67"/>
  <c r="AT967" i="67"/>
  <c r="AT1118" i="67"/>
  <c r="AT1169" i="67"/>
  <c r="AT1165" i="67"/>
  <c r="AT1464" i="67"/>
  <c r="AT1511" i="67"/>
  <c r="AT1515" i="67"/>
  <c r="AI1014" i="67"/>
  <c r="AI967" i="67"/>
  <c r="AI1018" i="67"/>
  <c r="AI1118" i="67"/>
  <c r="AI1165" i="67"/>
  <c r="AI1169" i="67"/>
  <c r="AI1464" i="67"/>
  <c r="AI1515" i="67"/>
  <c r="AI1511" i="67"/>
  <c r="V1014" i="67"/>
  <c r="V1018" i="67"/>
  <c r="V967" i="67"/>
  <c r="V1118" i="67"/>
  <c r="V1169" i="67"/>
  <c r="V1165" i="67"/>
  <c r="V1464" i="67"/>
  <c r="V1511" i="67"/>
  <c r="V1515" i="67"/>
  <c r="AS1014" i="67"/>
  <c r="AS1018" i="67"/>
  <c r="AS967" i="67"/>
  <c r="AS1118" i="67"/>
  <c r="AS1165" i="67"/>
  <c r="AS1169" i="67"/>
  <c r="AS1464" i="67"/>
  <c r="AS1511" i="67"/>
  <c r="AS1515" i="67"/>
  <c r="AH1014" i="67"/>
  <c r="AH1018" i="67"/>
  <c r="AH967" i="67"/>
  <c r="AH1118" i="67"/>
  <c r="AH1165" i="67"/>
  <c r="AH1169" i="67"/>
  <c r="AH1464" i="67"/>
  <c r="AH1511" i="67"/>
  <c r="AH1515" i="67"/>
  <c r="L1013" i="67"/>
  <c r="L101" i="67"/>
  <c r="L559" i="67"/>
  <c r="L407" i="67"/>
  <c r="L254" i="67"/>
  <c r="L862" i="67"/>
  <c r="R1017" i="67"/>
  <c r="R563" i="67"/>
  <c r="R105" i="67"/>
  <c r="R411" i="67"/>
  <c r="R866" i="67"/>
  <c r="R258" i="67"/>
  <c r="U1117" i="67"/>
  <c r="U966" i="67"/>
  <c r="U54" i="67"/>
  <c r="U360" i="67"/>
  <c r="U815" i="67"/>
  <c r="U207" i="67"/>
  <c r="U512" i="67"/>
  <c r="Z1017" i="67"/>
  <c r="Z563" i="67"/>
  <c r="Z105" i="67"/>
  <c r="Z411" i="67"/>
  <c r="Z866" i="67"/>
  <c r="Z258" i="67"/>
  <c r="AA1017" i="67"/>
  <c r="AA563" i="67"/>
  <c r="AA105" i="67"/>
  <c r="AA411" i="67"/>
  <c r="AA866" i="67"/>
  <c r="AA258" i="67"/>
  <c r="AK1117" i="67"/>
  <c r="AK966" i="67"/>
  <c r="AK512" i="67"/>
  <c r="AK54" i="67"/>
  <c r="AK360" i="67"/>
  <c r="AK815" i="67"/>
  <c r="AK207" i="67"/>
  <c r="AV1013" i="67"/>
  <c r="AV101" i="67"/>
  <c r="AV559" i="67"/>
  <c r="AV862" i="67"/>
  <c r="AV407" i="67"/>
  <c r="AV254" i="67"/>
  <c r="AL966" i="67"/>
  <c r="AL1117" i="67"/>
  <c r="AL512" i="67"/>
  <c r="AL54" i="67"/>
  <c r="AL815" i="67"/>
  <c r="AL360" i="67"/>
  <c r="AL207" i="67"/>
  <c r="AO966" i="67"/>
  <c r="AO1117" i="67"/>
  <c r="AO360" i="67"/>
  <c r="AO207" i="67"/>
  <c r="AO512" i="67"/>
  <c r="AO54" i="67"/>
  <c r="AO815" i="67"/>
  <c r="S1013" i="67"/>
  <c r="S559" i="67"/>
  <c r="S101" i="67"/>
  <c r="S407" i="67"/>
  <c r="S862" i="67"/>
  <c r="S254" i="67"/>
  <c r="AR1017" i="67"/>
  <c r="AR411" i="67"/>
  <c r="AR258" i="67"/>
  <c r="AR563" i="67"/>
  <c r="AR105" i="67"/>
  <c r="AR866" i="67"/>
  <c r="AS1117" i="67"/>
  <c r="AS966" i="67"/>
  <c r="AS360" i="67"/>
  <c r="AS512" i="67"/>
  <c r="AS54" i="67"/>
  <c r="AS815" i="67"/>
  <c r="AS207" i="67"/>
  <c r="X1013" i="67"/>
  <c r="X407" i="67"/>
  <c r="X559" i="67"/>
  <c r="X101" i="67"/>
  <c r="X862" i="67"/>
  <c r="X254" i="67"/>
  <c r="P1017" i="67"/>
  <c r="P258" i="67"/>
  <c r="P411" i="67"/>
  <c r="P563" i="67"/>
  <c r="P105" i="67"/>
  <c r="P866" i="67"/>
  <c r="AH1117" i="67"/>
  <c r="AH966" i="67"/>
  <c r="AH512" i="67"/>
  <c r="AH54" i="67"/>
  <c r="AH360" i="67"/>
  <c r="AH815" i="67"/>
  <c r="AH207" i="67"/>
  <c r="AP1017" i="67"/>
  <c r="AP866" i="67"/>
  <c r="AP258" i="67"/>
  <c r="AP105" i="67"/>
  <c r="AP411" i="67"/>
  <c r="AP563" i="67"/>
  <c r="V1017" i="67"/>
  <c r="V411" i="67"/>
  <c r="V105" i="67"/>
  <c r="V258" i="67"/>
  <c r="V866" i="67"/>
  <c r="V563" i="67"/>
  <c r="AG966" i="67"/>
  <c r="AG1117" i="67"/>
  <c r="AG512" i="67"/>
  <c r="AG207" i="67"/>
  <c r="AG360" i="67"/>
  <c r="AG815" i="67"/>
  <c r="AG54" i="67"/>
  <c r="AQ1013" i="67"/>
  <c r="AQ407" i="67"/>
  <c r="AQ559" i="67"/>
  <c r="AQ101" i="67"/>
  <c r="AQ862" i="67"/>
  <c r="AQ254" i="67"/>
  <c r="T1017" i="67"/>
  <c r="T105" i="67"/>
  <c r="T258" i="67"/>
  <c r="T411" i="67"/>
  <c r="T563" i="67"/>
  <c r="T866" i="67"/>
  <c r="AD1013" i="67"/>
  <c r="AD559" i="67"/>
  <c r="AD101" i="67"/>
  <c r="AD407" i="67"/>
  <c r="AD862" i="67"/>
  <c r="AD254" i="67"/>
  <c r="AN1013" i="67"/>
  <c r="AN407" i="67"/>
  <c r="AN101" i="67"/>
  <c r="AN559" i="67"/>
  <c r="AN862" i="67"/>
  <c r="AN254" i="67"/>
  <c r="AB1017" i="67"/>
  <c r="AB866" i="67"/>
  <c r="AB411" i="67"/>
  <c r="AB105" i="67"/>
  <c r="AB563" i="67"/>
  <c r="AB258" i="67"/>
  <c r="Q966" i="67"/>
  <c r="Q1117" i="67"/>
  <c r="Q360" i="67"/>
  <c r="Q512" i="67"/>
  <c r="Q54" i="67"/>
  <c r="Q815" i="67"/>
  <c r="Q207" i="67"/>
  <c r="AU1013" i="67"/>
  <c r="AU407" i="67"/>
  <c r="AU254" i="67"/>
  <c r="AU101" i="67"/>
  <c r="AU559" i="67"/>
  <c r="AU862" i="67"/>
  <c r="AE1017" i="67"/>
  <c r="AE563" i="67"/>
  <c r="AE105" i="67"/>
  <c r="AE411" i="67"/>
  <c r="AE866" i="67"/>
  <c r="AE258" i="67"/>
  <c r="W1117" i="67"/>
  <c r="W966" i="67"/>
  <c r="W512" i="67"/>
  <c r="W360" i="67"/>
  <c r="W815" i="67"/>
  <c r="W54" i="67"/>
  <c r="W207" i="67"/>
  <c r="AT1017" i="67"/>
  <c r="AT866" i="67"/>
  <c r="AT258" i="67"/>
  <c r="AT563" i="67"/>
  <c r="AT105" i="67"/>
  <c r="AT411" i="67"/>
  <c r="AF1017" i="67"/>
  <c r="AF563" i="67"/>
  <c r="AF411" i="67"/>
  <c r="AF866" i="67"/>
  <c r="AF258" i="67"/>
  <c r="AF105" i="67"/>
  <c r="AE44" i="68"/>
  <c r="U712" i="67"/>
  <c r="U716" i="67"/>
  <c r="U665" i="67"/>
  <c r="AT716" i="67"/>
  <c r="AT712" i="67"/>
  <c r="AT665" i="67"/>
  <c r="V716" i="67"/>
  <c r="V712" i="67"/>
  <c r="V665" i="67"/>
  <c r="AS712" i="67"/>
  <c r="AS665" i="67"/>
  <c r="AS716" i="67"/>
  <c r="BA89" i="34"/>
  <c r="AH716" i="67"/>
  <c r="AH712" i="67"/>
  <c r="AH665" i="67"/>
  <c r="BH45" i="70"/>
  <c r="T712" i="67"/>
  <c r="T716" i="67"/>
  <c r="T665" i="67"/>
  <c r="Z716" i="67"/>
  <c r="Z712" i="67"/>
  <c r="Z665" i="67"/>
  <c r="AN712" i="67"/>
  <c r="AN716" i="67"/>
  <c r="AN665" i="67"/>
  <c r="X712" i="67"/>
  <c r="X716" i="67"/>
  <c r="X665" i="67"/>
  <c r="N716" i="67"/>
  <c r="N712" i="67"/>
  <c r="N665" i="67"/>
  <c r="M712" i="67"/>
  <c r="M716" i="67"/>
  <c r="M665" i="67"/>
  <c r="L712" i="67"/>
  <c r="L716" i="67"/>
  <c r="L665" i="67"/>
  <c r="K712" i="67"/>
  <c r="K1318" i="67" s="1"/>
  <c r="K716" i="67"/>
  <c r="K1322" i="67" s="1"/>
  <c r="K665" i="67"/>
  <c r="K1271" i="67" s="1"/>
  <c r="P712" i="67"/>
  <c r="P716" i="67"/>
  <c r="P665" i="67"/>
  <c r="Q712" i="67"/>
  <c r="Q665" i="67"/>
  <c r="Q716" i="67"/>
  <c r="AE716" i="67"/>
  <c r="AE712" i="67"/>
  <c r="AE665" i="67"/>
  <c r="AI716" i="67"/>
  <c r="AI712" i="67"/>
  <c r="AI665" i="67"/>
  <c r="R716" i="67"/>
  <c r="R712" i="67"/>
  <c r="R665" i="67"/>
  <c r="AJ712" i="67"/>
  <c r="AJ716" i="67"/>
  <c r="AJ665" i="67"/>
  <c r="AR712" i="67"/>
  <c r="AR716" i="67"/>
  <c r="AR665" i="67"/>
  <c r="AC712" i="67"/>
  <c r="AC665" i="67"/>
  <c r="AC716" i="67"/>
  <c r="AL716" i="67"/>
  <c r="AL712" i="67"/>
  <c r="AL665" i="67"/>
  <c r="AD716" i="67"/>
  <c r="AD712" i="67"/>
  <c r="AD665" i="67"/>
  <c r="AG712" i="67"/>
  <c r="AG665" i="67"/>
  <c r="AG716" i="67"/>
  <c r="Y712" i="67"/>
  <c r="Y665" i="67"/>
  <c r="Y716" i="67"/>
  <c r="AU716" i="67"/>
  <c r="AU712" i="67"/>
  <c r="AU665" i="67"/>
  <c r="S716" i="67"/>
  <c r="S665" i="67"/>
  <c r="S712" i="67"/>
  <c r="AW712" i="67"/>
  <c r="AW665" i="67"/>
  <c r="AW716" i="67"/>
  <c r="AQ716" i="67"/>
  <c r="AQ712" i="67"/>
  <c r="AQ665" i="67"/>
  <c r="AO712" i="67"/>
  <c r="AO665" i="67"/>
  <c r="AO716" i="67"/>
  <c r="AA716" i="67"/>
  <c r="AA712" i="67"/>
  <c r="AA665" i="67"/>
  <c r="O716" i="67"/>
  <c r="O712" i="67"/>
  <c r="O665" i="67"/>
  <c r="AK712" i="67"/>
  <c r="AK716" i="67"/>
  <c r="AK665" i="67"/>
  <c r="AV712" i="67"/>
  <c r="AV716" i="67"/>
  <c r="AV665" i="67"/>
  <c r="AP716" i="67"/>
  <c r="AP712" i="67"/>
  <c r="AP665" i="67"/>
  <c r="W716" i="67"/>
  <c r="W712" i="67"/>
  <c r="W665" i="67"/>
  <c r="AF712" i="67"/>
  <c r="AF716" i="67"/>
  <c r="AF665" i="67"/>
  <c r="AM716" i="67"/>
  <c r="AM712" i="67"/>
  <c r="AM665" i="67"/>
  <c r="AB712" i="67"/>
  <c r="AB716" i="67"/>
  <c r="AB665" i="67"/>
  <c r="BP87" i="34"/>
  <c r="BN42" i="45" s="1"/>
  <c r="BN64" i="45" s="1"/>
  <c r="BD87" i="34"/>
  <c r="BB42" i="45" s="1"/>
  <c r="BB64" i="45" s="1"/>
  <c r="BN87" i="34"/>
  <c r="BL42" i="45" s="1"/>
  <c r="BL64" i="45" s="1"/>
  <c r="AX87" i="34"/>
  <c r="AV42" i="45" s="1"/>
  <c r="AV64" i="45" s="1"/>
  <c r="BH87" i="34"/>
  <c r="BF42" i="45" s="1"/>
  <c r="BF64" i="45" s="1"/>
  <c r="AN87" i="34"/>
  <c r="AL42" i="45" s="1"/>
  <c r="AL64" i="45" s="1"/>
  <c r="AY87" i="34"/>
  <c r="AW42" i="45" s="1"/>
  <c r="AM87" i="34"/>
  <c r="AK42" i="45" s="1"/>
  <c r="AK87" i="34"/>
  <c r="AI42" i="45" s="1"/>
  <c r="AI64" i="45" s="1"/>
  <c r="AI87" i="34"/>
  <c r="AG42" i="45" s="1"/>
  <c r="AG64" i="45" s="1"/>
  <c r="BG45" i="36"/>
  <c r="AN1461" i="67" s="1"/>
  <c r="BH41" i="68" s="1"/>
  <c r="AG37" i="62" s="1"/>
  <c r="AV87" i="34"/>
  <c r="AT42" i="45" s="1"/>
  <c r="BE87" i="34"/>
  <c r="BC42" i="45" s="1"/>
  <c r="BC64" i="45" s="1"/>
  <c r="BC87" i="34"/>
  <c r="BA42" i="45" s="1"/>
  <c r="AQ87" i="34"/>
  <c r="AO42" i="45" s="1"/>
  <c r="AO64" i="45" s="1"/>
  <c r="AW87" i="34"/>
  <c r="AU42" i="45" s="1"/>
  <c r="AR87" i="34"/>
  <c r="AP42" i="45" s="1"/>
  <c r="AP64" i="45" s="1"/>
  <c r="AP87" i="34"/>
  <c r="AN42" i="45" s="1"/>
  <c r="AF87" i="34"/>
  <c r="AD42" i="45" s="1"/>
  <c r="AG87" i="34"/>
  <c r="AE42" i="45" s="1"/>
  <c r="BL87" i="34"/>
  <c r="BJ42" i="45" s="1"/>
  <c r="BJ64" i="45" s="1"/>
  <c r="BK87" i="34"/>
  <c r="BI42" i="45" s="1"/>
  <c r="BI64" i="45" s="1"/>
  <c r="AL87" i="34"/>
  <c r="AJ42" i="45" s="1"/>
  <c r="BJ87" i="34"/>
  <c r="BH42" i="45" s="1"/>
  <c r="BH64" i="45" s="1"/>
  <c r="AO87" i="34"/>
  <c r="AM42" i="45" s="1"/>
  <c r="AS87" i="34"/>
  <c r="AQ42" i="45" s="1"/>
  <c r="AQ64" i="45" s="1"/>
  <c r="AT87" i="34"/>
  <c r="AR42" i="45" s="1"/>
  <c r="AE87" i="34"/>
  <c r="AC42" i="45" s="1"/>
  <c r="AH87" i="34"/>
  <c r="AF42" i="45" s="1"/>
  <c r="BO87" i="34"/>
  <c r="BM42" i="45" s="1"/>
  <c r="BF87" i="34"/>
  <c r="BD42" i="45" s="1"/>
  <c r="BG87" i="34"/>
  <c r="BE42" i="45" s="1"/>
  <c r="BE64" i="45" s="1"/>
  <c r="BI87" i="34"/>
  <c r="BG42" i="45" s="1"/>
  <c r="BG64" i="45" s="1"/>
  <c r="BA87" i="34"/>
  <c r="AY42" i="45" s="1"/>
  <c r="AY64" i="45" s="1"/>
  <c r="BM87" i="34"/>
  <c r="BK42" i="45" s="1"/>
  <c r="BB87" i="34"/>
  <c r="AZ42" i="45" s="1"/>
  <c r="AZ64" i="45" s="1"/>
  <c r="AZ87" i="34"/>
  <c r="AX42" i="45" s="1"/>
  <c r="AJ87" i="34"/>
  <c r="AH42" i="45" s="1"/>
  <c r="AH64" i="45" s="1"/>
  <c r="AU87" i="34"/>
  <c r="AS42" i="45" s="1"/>
  <c r="AD87" i="34"/>
  <c r="AB42" i="45" s="1"/>
  <c r="AB64" i="45" s="1"/>
  <c r="BM44" i="45"/>
  <c r="AY64" i="68"/>
  <c r="BG63" i="68"/>
  <c r="AF44" i="45"/>
  <c r="AD41" i="45"/>
  <c r="AG63" i="68"/>
  <c r="AY44" i="45"/>
  <c r="AK44" i="45"/>
  <c r="BA44" i="45"/>
  <c r="BP64" i="68"/>
  <c r="BQ64" i="68"/>
  <c r="AW64" i="68"/>
  <c r="BF64" i="68"/>
  <c r="BD64" i="68"/>
  <c r="AR64" i="68"/>
  <c r="AX64" i="68"/>
  <c r="AS64" i="68"/>
  <c r="AQ64" i="68"/>
  <c r="AI44" i="45"/>
  <c r="AI41" i="45"/>
  <c r="AI63" i="45" s="1"/>
  <c r="AL63" i="68"/>
  <c r="BC41" i="45"/>
  <c r="BF63" i="68"/>
  <c r="AX41" i="45"/>
  <c r="AX63" i="45" s="1"/>
  <c r="BA63" i="68"/>
  <c r="AO41" i="45"/>
  <c r="AR63" i="68"/>
  <c r="AQ41" i="45"/>
  <c r="AQ63" i="45" s="1"/>
  <c r="AT63" i="68"/>
  <c r="AK41" i="45"/>
  <c r="AN63" i="68"/>
  <c r="AN41" i="45"/>
  <c r="AN63" i="45" s="1"/>
  <c r="AQ63" i="68"/>
  <c r="AJ44" i="45"/>
  <c r="BF44" i="45"/>
  <c r="BD44" i="45"/>
  <c r="BE44" i="45"/>
  <c r="AG41" i="45"/>
  <c r="AG63" i="45" s="1"/>
  <c r="AJ63" i="68"/>
  <c r="AE44" i="45"/>
  <c r="AC44" i="45"/>
  <c r="AG64" i="68"/>
  <c r="AH64" i="68"/>
  <c r="AL44" i="45"/>
  <c r="AT44" i="45"/>
  <c r="BE64" i="68"/>
  <c r="BI64" i="68"/>
  <c r="AN64" i="68"/>
  <c r="AV41" i="45"/>
  <c r="AY63" i="68"/>
  <c r="AS41" i="45"/>
  <c r="AV63" i="68"/>
  <c r="BI44" i="45"/>
  <c r="AR44" i="45"/>
  <c r="AJ64" i="68"/>
  <c r="BM64" i="68"/>
  <c r="BG64" i="68"/>
  <c r="BL64" i="68"/>
  <c r="AM64" i="68"/>
  <c r="BK64" i="68"/>
  <c r="AP64" i="68"/>
  <c r="AT64" i="68"/>
  <c r="AU64" i="68"/>
  <c r="AN44" i="45"/>
  <c r="AH44" i="45"/>
  <c r="AX44" i="45"/>
  <c r="AP44" i="45"/>
  <c r="AL41" i="45"/>
  <c r="AO63" i="68"/>
  <c r="AZ41" i="45"/>
  <c r="AZ63" i="45" s="1"/>
  <c r="BC63" i="68"/>
  <c r="BA41" i="45"/>
  <c r="BD63" i="68"/>
  <c r="AJ41" i="45"/>
  <c r="AJ63" i="45" s="1"/>
  <c r="AM63" i="68"/>
  <c r="AM41" i="45"/>
  <c r="AP63" i="68"/>
  <c r="AH41" i="45"/>
  <c r="AH63" i="45" s="1"/>
  <c r="AK63" i="68"/>
  <c r="AQ44" i="45"/>
  <c r="AZ44" i="45"/>
  <c r="AM44" i="45"/>
  <c r="BJ44" i="45"/>
  <c r="AO44" i="45"/>
  <c r="AB41" i="45"/>
  <c r="AE63" i="68"/>
  <c r="AB44" i="45"/>
  <c r="AF64" i="68"/>
  <c r="AI64" i="68"/>
  <c r="BO64" i="68"/>
  <c r="AO64" i="68"/>
  <c r="AZ64" i="68"/>
  <c r="AL64" i="68"/>
  <c r="AU41" i="45"/>
  <c r="AU63" i="45" s="1"/>
  <c r="AX63" i="68"/>
  <c r="AR41" i="45"/>
  <c r="AR63" i="45" s="1"/>
  <c r="AU63" i="68"/>
  <c r="BK44" i="45"/>
  <c r="AW44" i="45"/>
  <c r="AS44" i="45"/>
  <c r="AF41" i="45"/>
  <c r="AI63" i="68"/>
  <c r="BC44" i="45"/>
  <c r="BB44" i="45"/>
  <c r="BH64" i="68"/>
  <c r="BJ64" i="68"/>
  <c r="BB64" i="68"/>
  <c r="BN64" i="68"/>
  <c r="BC64" i="68"/>
  <c r="BA64" i="68"/>
  <c r="AK64" i="68"/>
  <c r="AV64" i="68"/>
  <c r="BG44" i="45"/>
  <c r="AU44" i="45"/>
  <c r="AY41" i="45"/>
  <c r="AY63" i="45" s="1"/>
  <c r="BB63" i="68"/>
  <c r="AP41" i="45"/>
  <c r="AS63" i="68"/>
  <c r="AW41" i="45"/>
  <c r="AZ63" i="68"/>
  <c r="AT41" i="45"/>
  <c r="AW63" i="68"/>
  <c r="BB41" i="45"/>
  <c r="BE63" i="68"/>
  <c r="BL44" i="45"/>
  <c r="AV44" i="45"/>
  <c r="BN44" i="45"/>
  <c r="BH44" i="45"/>
  <c r="AE41" i="45"/>
  <c r="AH63" i="68"/>
  <c r="AC41" i="45"/>
  <c r="AC63" i="45" s="1"/>
  <c r="AF63" i="68"/>
  <c r="AD44" i="45"/>
  <c r="AG44" i="45"/>
  <c r="AE64" i="68"/>
  <c r="BA136" i="34"/>
  <c r="BA140" i="34"/>
  <c r="AG140" i="34"/>
  <c r="AG89" i="34"/>
  <c r="AG136" i="34"/>
  <c r="AE50" i="45" s="1"/>
  <c r="AF140" i="34"/>
  <c r="AF89" i="34"/>
  <c r="AF136" i="34"/>
  <c r="AD50" i="45" s="1"/>
  <c r="AE136" i="34"/>
  <c r="AC50" i="45" s="1"/>
  <c r="AE89" i="34"/>
  <c r="AE140" i="34"/>
  <c r="AD136" i="34"/>
  <c r="AB50" i="45" s="1"/>
  <c r="AD89" i="34"/>
  <c r="AD140" i="34"/>
  <c r="AI136" i="34"/>
  <c r="AG50" i="45" s="1"/>
  <c r="AI140" i="34"/>
  <c r="AI89" i="34"/>
  <c r="AH89" i="34"/>
  <c r="AH136" i="34"/>
  <c r="AF50" i="45" s="1"/>
  <c r="AH140" i="34"/>
  <c r="AT140" i="34"/>
  <c r="AT89" i="34"/>
  <c r="AT136" i="34"/>
  <c r="AR50" i="45" s="1"/>
  <c r="BC136" i="34"/>
  <c r="BC140" i="34"/>
  <c r="BC89" i="34"/>
  <c r="BE140" i="34"/>
  <c r="BE136" i="34"/>
  <c r="BE89" i="34"/>
  <c r="BI136" i="34"/>
  <c r="BI140" i="34"/>
  <c r="BI89" i="34"/>
  <c r="AP136" i="34"/>
  <c r="AN50" i="45" s="1"/>
  <c r="AP140" i="34"/>
  <c r="AP89" i="34"/>
  <c r="BN140" i="34"/>
  <c r="BN136" i="34"/>
  <c r="BN89" i="34"/>
  <c r="AL136" i="34"/>
  <c r="AJ50" i="45" s="1"/>
  <c r="AL140" i="34"/>
  <c r="AL89" i="34"/>
  <c r="BP136" i="34"/>
  <c r="BP89" i="34"/>
  <c r="BP140" i="34"/>
  <c r="BJ136" i="34"/>
  <c r="BJ89" i="34"/>
  <c r="BJ140" i="34"/>
  <c r="BH136" i="34"/>
  <c r="BH89" i="34"/>
  <c r="BH140" i="34"/>
  <c r="BB140" i="34"/>
  <c r="BB136" i="34"/>
  <c r="BB89" i="34"/>
  <c r="AO136" i="34"/>
  <c r="AM50" i="45" s="1"/>
  <c r="AO140" i="34"/>
  <c r="AO89" i="34"/>
  <c r="BL136" i="34"/>
  <c r="BL140" i="34"/>
  <c r="BL89" i="34"/>
  <c r="BO136" i="34"/>
  <c r="BO140" i="34"/>
  <c r="BO89" i="34"/>
  <c r="AY140" i="34"/>
  <c r="AY136" i="34"/>
  <c r="AY89" i="34"/>
  <c r="BK136" i="34"/>
  <c r="BK140" i="34"/>
  <c r="BK89" i="34"/>
  <c r="AM140" i="34"/>
  <c r="AM136" i="34"/>
  <c r="AK50" i="45" s="1"/>
  <c r="AM89" i="34"/>
  <c r="AK136" i="34"/>
  <c r="AI50" i="45" s="1"/>
  <c r="AK140" i="34"/>
  <c r="AK89" i="34"/>
  <c r="AJ140" i="34"/>
  <c r="AJ136" i="34"/>
  <c r="AH50" i="45" s="1"/>
  <c r="AJ89" i="34"/>
  <c r="AS136" i="34"/>
  <c r="AQ50" i="45" s="1"/>
  <c r="AS140" i="34"/>
  <c r="AS89" i="34"/>
  <c r="BF136" i="34"/>
  <c r="BF140" i="34"/>
  <c r="BF89" i="34"/>
  <c r="AU136" i="34"/>
  <c r="AS50" i="45" s="1"/>
  <c r="AU140" i="34"/>
  <c r="AU89" i="34"/>
  <c r="BD136" i="34"/>
  <c r="BD140" i="34"/>
  <c r="BD89" i="34"/>
  <c r="AN140" i="34"/>
  <c r="AN136" i="34"/>
  <c r="AL50" i="45" s="1"/>
  <c r="AN89" i="34"/>
  <c r="AV136" i="34"/>
  <c r="AT50" i="45" s="1"/>
  <c r="AV140" i="34"/>
  <c r="AV89" i="34"/>
  <c r="AW136" i="34"/>
  <c r="AW140" i="34"/>
  <c r="AW89" i="34"/>
  <c r="AZ140" i="34"/>
  <c r="AZ136" i="34"/>
  <c r="AZ89" i="34"/>
  <c r="AR136" i="34"/>
  <c r="AP50" i="45" s="1"/>
  <c r="AR140" i="34"/>
  <c r="AR89" i="34"/>
  <c r="AX140" i="34"/>
  <c r="AX136" i="34"/>
  <c r="AX89" i="34"/>
  <c r="BM136" i="34"/>
  <c r="BM140" i="34"/>
  <c r="BM89" i="34"/>
  <c r="BG136" i="34"/>
  <c r="BG140" i="34"/>
  <c r="BG89" i="34"/>
  <c r="AQ140" i="34"/>
  <c r="AQ136" i="34"/>
  <c r="AO50" i="45" s="1"/>
  <c r="AQ89" i="34"/>
  <c r="AK45" i="57"/>
  <c r="AJ45" i="57"/>
  <c r="AB1317" i="67" l="1"/>
  <c r="T1317" i="67"/>
  <c r="V1317" i="67"/>
  <c r="AM1321" i="67"/>
  <c r="AJ1321" i="67"/>
  <c r="S1270" i="67"/>
  <c r="AM44" i="68" s="1"/>
  <c r="Y1317" i="67"/>
  <c r="AA1317" i="67"/>
  <c r="O1321" i="67"/>
  <c r="R1317" i="67"/>
  <c r="AF1317" i="67"/>
  <c r="AT1317" i="67"/>
  <c r="AC1317" i="67"/>
  <c r="AE1317" i="67"/>
  <c r="AU1270" i="67"/>
  <c r="BO44" i="68" s="1"/>
  <c r="M1317" i="67"/>
  <c r="AN1270" i="67"/>
  <c r="BH44" i="68" s="1"/>
  <c r="AI1321" i="67"/>
  <c r="P1317" i="67"/>
  <c r="AK63" i="45"/>
  <c r="AQ1270" i="67"/>
  <c r="BK44" i="68" s="1"/>
  <c r="AP1317" i="67"/>
  <c r="AC1321" i="67"/>
  <c r="AE1270" i="67"/>
  <c r="AY44" i="68" s="1"/>
  <c r="AG1321" i="67"/>
  <c r="O1317" i="67"/>
  <c r="AV63" i="45"/>
  <c r="Q1317" i="67"/>
  <c r="AN1321" i="67"/>
  <c r="AD1321" i="67"/>
  <c r="AP1270" i="67"/>
  <c r="BJ44" i="68" s="1"/>
  <c r="X1321" i="67"/>
  <c r="Z1270" i="67"/>
  <c r="AT44" i="68" s="1"/>
  <c r="L1321" i="67"/>
  <c r="L1270" i="67"/>
  <c r="AF44" i="68" s="1"/>
  <c r="AT1321" i="67"/>
  <c r="AU1317" i="67"/>
  <c r="AP1321" i="67"/>
  <c r="P1321" i="67"/>
  <c r="AL1270" i="67"/>
  <c r="BF44" i="68" s="1"/>
  <c r="AA1321" i="67"/>
  <c r="W1321" i="67"/>
  <c r="R1270" i="67"/>
  <c r="AL44" i="68" s="1"/>
  <c r="AR1317" i="67"/>
  <c r="AV1317" i="67"/>
  <c r="AF1321" i="67"/>
  <c r="AB1321" i="67"/>
  <c r="AQ1317" i="67"/>
  <c r="AG1270" i="67"/>
  <c r="BA44" i="68" s="1"/>
  <c r="AK1270" i="67"/>
  <c r="BE44" i="68" s="1"/>
  <c r="W1317" i="67"/>
  <c r="AC1270" i="67"/>
  <c r="AW44" i="68" s="1"/>
  <c r="AU1321" i="67"/>
  <c r="M1270" i="67"/>
  <c r="AG44" i="68" s="1"/>
  <c r="AI1270" i="67"/>
  <c r="BC44" i="68" s="1"/>
  <c r="AG1317" i="67"/>
  <c r="AJ1270" i="67"/>
  <c r="BD44" i="68" s="1"/>
  <c r="AH1317" i="67"/>
  <c r="N1270" i="67"/>
  <c r="AH44" i="68" s="1"/>
  <c r="S1321" i="67"/>
  <c r="AO1321" i="67"/>
  <c r="Y1270" i="67"/>
  <c r="AS44" i="68" s="1"/>
  <c r="AV1321" i="67"/>
  <c r="AK1317" i="67"/>
  <c r="O1270" i="67"/>
  <c r="AI44" i="68" s="1"/>
  <c r="X1270" i="67"/>
  <c r="AR44" i="68" s="1"/>
  <c r="Z1317" i="67"/>
  <c r="N1317" i="67"/>
  <c r="W1270" i="67"/>
  <c r="AQ44" i="68" s="1"/>
  <c r="Q1270" i="67"/>
  <c r="AK44" i="68" s="1"/>
  <c r="AD1317" i="67"/>
  <c r="Z1321" i="67"/>
  <c r="L1317" i="67"/>
  <c r="AM1270" i="67"/>
  <c r="BG44" i="68" s="1"/>
  <c r="AV1270" i="67"/>
  <c r="BP44" i="68" s="1"/>
  <c r="AR1270" i="67"/>
  <c r="BL44" i="68" s="1"/>
  <c r="AE1321" i="67"/>
  <c r="AN1317" i="67"/>
  <c r="T1321" i="67"/>
  <c r="V1321" i="67"/>
  <c r="AH1270" i="67"/>
  <c r="BB44" i="68" s="1"/>
  <c r="X1317" i="67"/>
  <c r="AS1270" i="67"/>
  <c r="BM44" i="68" s="1"/>
  <c r="AR1321" i="67"/>
  <c r="S1317" i="67"/>
  <c r="AO1270" i="67"/>
  <c r="BI44" i="68" s="1"/>
  <c r="U1270" i="67"/>
  <c r="AO44" i="68" s="1"/>
  <c r="R1321" i="67"/>
  <c r="AT1270" i="67"/>
  <c r="BN44" i="68" s="1"/>
  <c r="AQ1321" i="67"/>
  <c r="AS1321" i="67"/>
  <c r="U1317" i="67"/>
  <c r="AL1321" i="67"/>
  <c r="AF1270" i="67"/>
  <c r="AZ44" i="68" s="1"/>
  <c r="Q1321" i="67"/>
  <c r="M1321" i="67"/>
  <c r="AB1270" i="67"/>
  <c r="AV44" i="68" s="1"/>
  <c r="AD1270" i="67"/>
  <c r="AX44" i="68" s="1"/>
  <c r="AI1317" i="67"/>
  <c r="T1270" i="67"/>
  <c r="AN44" i="68" s="1"/>
  <c r="AJ1317" i="67"/>
  <c r="V1270" i="67"/>
  <c r="AP44" i="68" s="1"/>
  <c r="AH1321" i="67"/>
  <c r="P1270" i="67"/>
  <c r="AJ44" i="68" s="1"/>
  <c r="AS1317" i="67"/>
  <c r="AO1317" i="67"/>
  <c r="Y1321" i="67"/>
  <c r="AL1317" i="67"/>
  <c r="AK1321" i="67"/>
  <c r="AM1317" i="67"/>
  <c r="AA1270" i="67"/>
  <c r="AU44" i="68" s="1"/>
  <c r="U1321" i="67"/>
  <c r="P259" i="67"/>
  <c r="P106" i="67"/>
  <c r="P412" i="67"/>
  <c r="P564" i="67"/>
  <c r="P867" i="67"/>
  <c r="L564" i="67"/>
  <c r="L106" i="67"/>
  <c r="L412" i="67"/>
  <c r="L867" i="67"/>
  <c r="L259" i="67"/>
  <c r="N816" i="67"/>
  <c r="N513" i="67"/>
  <c r="N55" i="67"/>
  <c r="N208" i="67"/>
  <c r="N361" i="67"/>
  <c r="O816" i="67"/>
  <c r="O208" i="67"/>
  <c r="O361" i="67"/>
  <c r="O513" i="67"/>
  <c r="O55" i="67"/>
  <c r="AO560" i="67"/>
  <c r="AO863" i="67"/>
  <c r="AO255" i="67"/>
  <c r="AO408" i="67"/>
  <c r="AO102" i="67"/>
  <c r="AW412" i="67"/>
  <c r="AW564" i="67"/>
  <c r="AW867" i="67"/>
  <c r="AW106" i="67"/>
  <c r="AW259" i="67"/>
  <c r="AB408" i="67"/>
  <c r="AB102" i="67"/>
  <c r="AB255" i="67"/>
  <c r="AB863" i="67"/>
  <c r="AB560" i="67"/>
  <c r="AM408" i="67"/>
  <c r="AM863" i="67"/>
  <c r="AM255" i="67"/>
  <c r="AM102" i="67"/>
  <c r="AM560" i="67"/>
  <c r="Y816" i="67"/>
  <c r="Y208" i="67"/>
  <c r="Y55" i="67"/>
  <c r="Y361" i="67"/>
  <c r="Y513" i="67"/>
  <c r="AG408" i="67"/>
  <c r="AG560" i="67"/>
  <c r="AG102" i="67"/>
  <c r="AG863" i="67"/>
  <c r="AG255" i="67"/>
  <c r="AD867" i="67"/>
  <c r="AD259" i="67"/>
  <c r="AD564" i="67"/>
  <c r="AD106" i="67"/>
  <c r="AD412" i="67"/>
  <c r="AJ863" i="67"/>
  <c r="AJ408" i="67"/>
  <c r="AJ560" i="67"/>
  <c r="AJ102" i="67"/>
  <c r="AJ255" i="67"/>
  <c r="AA863" i="67"/>
  <c r="AA255" i="67"/>
  <c r="AA560" i="67"/>
  <c r="AA102" i="67"/>
  <c r="AA408" i="67"/>
  <c r="AR564" i="67"/>
  <c r="AR867" i="67"/>
  <c r="AR106" i="67"/>
  <c r="AR412" i="67"/>
  <c r="AR259" i="67"/>
  <c r="S816" i="67"/>
  <c r="S55" i="67"/>
  <c r="S361" i="67"/>
  <c r="S208" i="67"/>
  <c r="S513" i="67"/>
  <c r="Q408" i="67"/>
  <c r="Q255" i="67"/>
  <c r="Q102" i="67"/>
  <c r="Q560" i="67"/>
  <c r="Q863" i="67"/>
  <c r="R867" i="67"/>
  <c r="R106" i="67"/>
  <c r="R412" i="67"/>
  <c r="R564" i="67"/>
  <c r="R259" i="67"/>
  <c r="AS816" i="67"/>
  <c r="AS208" i="67"/>
  <c r="AS513" i="67"/>
  <c r="AS361" i="67"/>
  <c r="AS55" i="67"/>
  <c r="V863" i="67"/>
  <c r="V255" i="67"/>
  <c r="V560" i="67"/>
  <c r="V102" i="67"/>
  <c r="V408" i="67"/>
  <c r="AI863" i="67"/>
  <c r="AI560" i="67"/>
  <c r="AI102" i="67"/>
  <c r="AI408" i="67"/>
  <c r="AI255" i="67"/>
  <c r="W816" i="67"/>
  <c r="W208" i="67"/>
  <c r="W55" i="67"/>
  <c r="W361" i="67"/>
  <c r="W513" i="67"/>
  <c r="AP408" i="67"/>
  <c r="AP560" i="67"/>
  <c r="AP863" i="67"/>
  <c r="AP102" i="67"/>
  <c r="AP255" i="67"/>
  <c r="AV361" i="67"/>
  <c r="AV816" i="67"/>
  <c r="AV513" i="67"/>
  <c r="AV55" i="67"/>
  <c r="AV208" i="67"/>
  <c r="BC63" i="45"/>
  <c r="AW1321" i="67"/>
  <c r="AH867" i="67"/>
  <c r="AH564" i="67"/>
  <c r="AH412" i="67"/>
  <c r="AH106" i="67"/>
  <c r="AH259" i="67"/>
  <c r="V361" i="67"/>
  <c r="V208" i="67"/>
  <c r="V55" i="67"/>
  <c r="V513" i="67"/>
  <c r="V816" i="67"/>
  <c r="AI259" i="67"/>
  <c r="AI106" i="67"/>
  <c r="AI564" i="67"/>
  <c r="AI412" i="67"/>
  <c r="AI867" i="67"/>
  <c r="AT564" i="67"/>
  <c r="AT867" i="67"/>
  <c r="AT259" i="67"/>
  <c r="AT106" i="67"/>
  <c r="AT412" i="67"/>
  <c r="T863" i="67"/>
  <c r="T102" i="67"/>
  <c r="T408" i="67"/>
  <c r="T560" i="67"/>
  <c r="T255" i="67"/>
  <c r="AC408" i="67"/>
  <c r="AC560" i="67"/>
  <c r="AC863" i="67"/>
  <c r="AC102" i="67"/>
  <c r="AC255" i="67"/>
  <c r="U564" i="67"/>
  <c r="U106" i="67"/>
  <c r="U867" i="67"/>
  <c r="U259" i="67"/>
  <c r="U412" i="67"/>
  <c r="P255" i="67"/>
  <c r="P102" i="67"/>
  <c r="P560" i="67"/>
  <c r="P408" i="67"/>
  <c r="P863" i="67"/>
  <c r="L255" i="67"/>
  <c r="L560" i="67"/>
  <c r="L408" i="67"/>
  <c r="L863" i="67"/>
  <c r="L102" i="67"/>
  <c r="M564" i="67"/>
  <c r="M867" i="67"/>
  <c r="M106" i="67"/>
  <c r="M412" i="67"/>
  <c r="M259" i="67"/>
  <c r="X102" i="67"/>
  <c r="X255" i="67"/>
  <c r="X408" i="67"/>
  <c r="X560" i="67"/>
  <c r="X863" i="67"/>
  <c r="AN867" i="67"/>
  <c r="AN564" i="67"/>
  <c r="AN106" i="67"/>
  <c r="AN412" i="67"/>
  <c r="AN259" i="67"/>
  <c r="Z259" i="67"/>
  <c r="Z564" i="67"/>
  <c r="Z106" i="67"/>
  <c r="Z412" i="67"/>
  <c r="Z867" i="67"/>
  <c r="AP513" i="67"/>
  <c r="AP361" i="67"/>
  <c r="AP208" i="67"/>
  <c r="AP816" i="67"/>
  <c r="AP55" i="67"/>
  <c r="AV412" i="67"/>
  <c r="AV259" i="67"/>
  <c r="AV106" i="67"/>
  <c r="AV564" i="67"/>
  <c r="AV867" i="67"/>
  <c r="AK259" i="67"/>
  <c r="AK412" i="67"/>
  <c r="AK564" i="67"/>
  <c r="AK106" i="67"/>
  <c r="AK867" i="67"/>
  <c r="AO816" i="67"/>
  <c r="AO361" i="67"/>
  <c r="AO513" i="67"/>
  <c r="AO55" i="67"/>
  <c r="AO208" i="67"/>
  <c r="AW102" i="67"/>
  <c r="AW255" i="67"/>
  <c r="AW863" i="67"/>
  <c r="AW408" i="67"/>
  <c r="AW560" i="67"/>
  <c r="AU564" i="67"/>
  <c r="AU106" i="67"/>
  <c r="AU412" i="67"/>
  <c r="AU867" i="67"/>
  <c r="AU259" i="67"/>
  <c r="AW1317" i="67"/>
  <c r="AB55" i="67"/>
  <c r="AB208" i="67"/>
  <c r="AB816" i="67"/>
  <c r="AB361" i="67"/>
  <c r="AB513" i="67"/>
  <c r="AM412" i="67"/>
  <c r="AM564" i="67"/>
  <c r="AM106" i="67"/>
  <c r="AM867" i="67"/>
  <c r="AM259" i="67"/>
  <c r="AF816" i="67"/>
  <c r="AF361" i="67"/>
  <c r="AF55" i="67"/>
  <c r="AF513" i="67"/>
  <c r="AF208" i="67"/>
  <c r="AG208" i="67"/>
  <c r="AG513" i="67"/>
  <c r="AG361" i="67"/>
  <c r="AG816" i="67"/>
  <c r="AG55" i="67"/>
  <c r="AD408" i="67"/>
  <c r="AD560" i="67"/>
  <c r="AD102" i="67"/>
  <c r="AD863" i="67"/>
  <c r="AD255" i="67"/>
  <c r="AL564" i="67"/>
  <c r="AL106" i="67"/>
  <c r="AL412" i="67"/>
  <c r="AL867" i="67"/>
  <c r="AL259" i="67"/>
  <c r="AA816" i="67"/>
  <c r="AA361" i="67"/>
  <c r="AA55" i="67"/>
  <c r="AA208" i="67"/>
  <c r="AA513" i="67"/>
  <c r="AR102" i="67"/>
  <c r="AR408" i="67"/>
  <c r="AR255" i="67"/>
  <c r="AR863" i="67"/>
  <c r="AR560" i="67"/>
  <c r="AQ412" i="67"/>
  <c r="AQ106" i="67"/>
  <c r="AQ259" i="67"/>
  <c r="AQ564" i="67"/>
  <c r="AQ867" i="67"/>
  <c r="Q208" i="67"/>
  <c r="Q513" i="67"/>
  <c r="Q55" i="67"/>
  <c r="Q361" i="67"/>
  <c r="Q816" i="67"/>
  <c r="R408" i="67"/>
  <c r="R863" i="67"/>
  <c r="R102" i="67"/>
  <c r="R255" i="67"/>
  <c r="R560" i="67"/>
  <c r="AE816" i="67"/>
  <c r="AE513" i="67"/>
  <c r="AE361" i="67"/>
  <c r="AE55" i="67"/>
  <c r="AE208" i="67"/>
  <c r="T259" i="67"/>
  <c r="T106" i="67"/>
  <c r="T412" i="67"/>
  <c r="T564" i="67"/>
  <c r="T867" i="67"/>
  <c r="AC564" i="67"/>
  <c r="AC412" i="67"/>
  <c r="AC867" i="67"/>
  <c r="AC259" i="67"/>
  <c r="AC106" i="67"/>
  <c r="X412" i="67"/>
  <c r="X106" i="67"/>
  <c r="X259" i="67"/>
  <c r="X867" i="67"/>
  <c r="X564" i="67"/>
  <c r="AN816" i="67"/>
  <c r="AN361" i="67"/>
  <c r="AN55" i="67"/>
  <c r="AN208" i="67"/>
  <c r="AN513" i="67"/>
  <c r="N1321" i="67"/>
  <c r="AH863" i="67"/>
  <c r="AH102" i="67"/>
  <c r="AH560" i="67"/>
  <c r="AH408" i="67"/>
  <c r="AH255" i="67"/>
  <c r="AS564" i="67"/>
  <c r="AS106" i="67"/>
  <c r="AS412" i="67"/>
  <c r="AS867" i="67"/>
  <c r="AS259" i="67"/>
  <c r="AI361" i="67"/>
  <c r="AI208" i="67"/>
  <c r="AI513" i="67"/>
  <c r="AI55" i="67"/>
  <c r="AI816" i="67"/>
  <c r="AT560" i="67"/>
  <c r="AT102" i="67"/>
  <c r="AT863" i="67"/>
  <c r="AT255" i="67"/>
  <c r="AT408" i="67"/>
  <c r="AE867" i="67"/>
  <c r="AE564" i="67"/>
  <c r="AE106" i="67"/>
  <c r="AE259" i="67"/>
  <c r="AE412" i="67"/>
  <c r="AC513" i="67"/>
  <c r="AC55" i="67"/>
  <c r="AC361" i="67"/>
  <c r="AC816" i="67"/>
  <c r="AC208" i="67"/>
  <c r="U560" i="67"/>
  <c r="U102" i="67"/>
  <c r="U408" i="67"/>
  <c r="U863" i="67"/>
  <c r="U255" i="67"/>
  <c r="AW1270" i="67"/>
  <c r="L361" i="67"/>
  <c r="L816" i="67"/>
  <c r="L208" i="67"/>
  <c r="L513" i="67"/>
  <c r="L55" i="67"/>
  <c r="M560" i="67"/>
  <c r="M408" i="67"/>
  <c r="M863" i="67"/>
  <c r="M102" i="67"/>
  <c r="M255" i="67"/>
  <c r="N867" i="67"/>
  <c r="N564" i="67"/>
  <c r="N412" i="67"/>
  <c r="N106" i="67"/>
  <c r="N259" i="67"/>
  <c r="AN863" i="67"/>
  <c r="AN255" i="67"/>
  <c r="AN408" i="67"/>
  <c r="AN560" i="67"/>
  <c r="AN102" i="67"/>
  <c r="Z863" i="67"/>
  <c r="Z102" i="67"/>
  <c r="Z408" i="67"/>
  <c r="Z255" i="67"/>
  <c r="Z560" i="67"/>
  <c r="W255" i="67"/>
  <c r="W560" i="67"/>
  <c r="W102" i="67"/>
  <c r="W863" i="67"/>
  <c r="W408" i="67"/>
  <c r="AV560" i="67"/>
  <c r="AV102" i="67"/>
  <c r="AV408" i="67"/>
  <c r="AV863" i="67"/>
  <c r="AV255" i="67"/>
  <c r="AK255" i="67"/>
  <c r="AK102" i="67"/>
  <c r="AK560" i="67"/>
  <c r="AK408" i="67"/>
  <c r="AK863" i="67"/>
  <c r="O867" i="67"/>
  <c r="O412" i="67"/>
  <c r="O564" i="67"/>
  <c r="O106" i="67"/>
  <c r="O259" i="67"/>
  <c r="AW513" i="67"/>
  <c r="AW361" i="67"/>
  <c r="AW816" i="67"/>
  <c r="AW208" i="67"/>
  <c r="AW55" i="67"/>
  <c r="AU560" i="67"/>
  <c r="AU102" i="67"/>
  <c r="AU408" i="67"/>
  <c r="AU863" i="67"/>
  <c r="AU255" i="67"/>
  <c r="AM208" i="67"/>
  <c r="AM55" i="67"/>
  <c r="AM513" i="67"/>
  <c r="AM816" i="67"/>
  <c r="AM361" i="67"/>
  <c r="AF564" i="67"/>
  <c r="AF106" i="67"/>
  <c r="AF412" i="67"/>
  <c r="AF867" i="67"/>
  <c r="AF259" i="67"/>
  <c r="Y412" i="67"/>
  <c r="Y867" i="67"/>
  <c r="Y259" i="67"/>
  <c r="Y564" i="67"/>
  <c r="Y106" i="67"/>
  <c r="AD361" i="67"/>
  <c r="AD208" i="67"/>
  <c r="AD55" i="67"/>
  <c r="AD513" i="67"/>
  <c r="AD816" i="67"/>
  <c r="AL408" i="67"/>
  <c r="AL560" i="67"/>
  <c r="AL102" i="67"/>
  <c r="AL863" i="67"/>
  <c r="AL255" i="67"/>
  <c r="AJ361" i="67"/>
  <c r="AJ513" i="67"/>
  <c r="AJ55" i="67"/>
  <c r="AJ816" i="67"/>
  <c r="AJ208" i="67"/>
  <c r="AR361" i="67"/>
  <c r="AR513" i="67"/>
  <c r="AR55" i="67"/>
  <c r="AR816" i="67"/>
  <c r="AR208" i="67"/>
  <c r="AQ408" i="67"/>
  <c r="AQ863" i="67"/>
  <c r="AQ560" i="67"/>
  <c r="AQ102" i="67"/>
  <c r="AQ255" i="67"/>
  <c r="S255" i="67"/>
  <c r="S408" i="67"/>
  <c r="S560" i="67"/>
  <c r="S863" i="67"/>
  <c r="S102" i="67"/>
  <c r="R816" i="67"/>
  <c r="R361" i="67"/>
  <c r="R55" i="67"/>
  <c r="R208" i="67"/>
  <c r="R513" i="67"/>
  <c r="AH816" i="67"/>
  <c r="AH208" i="67"/>
  <c r="AH361" i="67"/>
  <c r="AH513" i="67"/>
  <c r="AH55" i="67"/>
  <c r="AS863" i="67"/>
  <c r="AS408" i="67"/>
  <c r="AS102" i="67"/>
  <c r="AS560" i="67"/>
  <c r="AS255" i="67"/>
  <c r="V259" i="67"/>
  <c r="V564" i="67"/>
  <c r="V106" i="67"/>
  <c r="V412" i="67"/>
  <c r="V867" i="67"/>
  <c r="AT55" i="67"/>
  <c r="AT208" i="67"/>
  <c r="AT513" i="67"/>
  <c r="AT361" i="67"/>
  <c r="AT816" i="67"/>
  <c r="AE408" i="67"/>
  <c r="AE863" i="67"/>
  <c r="AE255" i="67"/>
  <c r="AE560" i="67"/>
  <c r="AE102" i="67"/>
  <c r="T816" i="67"/>
  <c r="T513" i="67"/>
  <c r="T361" i="67"/>
  <c r="T55" i="67"/>
  <c r="T208" i="67"/>
  <c r="U816" i="67"/>
  <c r="U208" i="67"/>
  <c r="U361" i="67"/>
  <c r="U513" i="67"/>
  <c r="U55" i="67"/>
  <c r="P361" i="67"/>
  <c r="P208" i="67"/>
  <c r="P513" i="67"/>
  <c r="P816" i="67"/>
  <c r="P55" i="67"/>
  <c r="M513" i="67"/>
  <c r="M55" i="67"/>
  <c r="M816" i="67"/>
  <c r="M208" i="67"/>
  <c r="M361" i="67"/>
  <c r="N255" i="67"/>
  <c r="N102" i="67"/>
  <c r="N408" i="67"/>
  <c r="N560" i="67"/>
  <c r="N863" i="67"/>
  <c r="X361" i="67"/>
  <c r="X208" i="67"/>
  <c r="X513" i="67"/>
  <c r="X55" i="67"/>
  <c r="X816" i="67"/>
  <c r="Z361" i="67"/>
  <c r="Z816" i="67"/>
  <c r="Z208" i="67"/>
  <c r="Z55" i="67"/>
  <c r="Z513" i="67"/>
  <c r="W867" i="67"/>
  <c r="W106" i="67"/>
  <c r="W412" i="67"/>
  <c r="W259" i="67"/>
  <c r="W564" i="67"/>
  <c r="AP564" i="67"/>
  <c r="AP106" i="67"/>
  <c r="AP412" i="67"/>
  <c r="AP867" i="67"/>
  <c r="AP259" i="67"/>
  <c r="AK361" i="67"/>
  <c r="AK208" i="67"/>
  <c r="AK513" i="67"/>
  <c r="AK55" i="67"/>
  <c r="AK816" i="67"/>
  <c r="O560" i="67"/>
  <c r="O102" i="67"/>
  <c r="O408" i="67"/>
  <c r="O863" i="67"/>
  <c r="O255" i="67"/>
  <c r="AO259" i="67"/>
  <c r="AO412" i="67"/>
  <c r="AO564" i="67"/>
  <c r="AO106" i="67"/>
  <c r="AO867" i="67"/>
  <c r="AU513" i="67"/>
  <c r="AU816" i="67"/>
  <c r="AU208" i="67"/>
  <c r="AU361" i="67"/>
  <c r="AU55" i="67"/>
  <c r="AB106" i="67"/>
  <c r="AB259" i="67"/>
  <c r="AB412" i="67"/>
  <c r="AB564" i="67"/>
  <c r="AB867" i="67"/>
  <c r="AF408" i="67"/>
  <c r="AF863" i="67"/>
  <c r="AF255" i="67"/>
  <c r="AF560" i="67"/>
  <c r="AF102" i="67"/>
  <c r="Y863" i="67"/>
  <c r="Y408" i="67"/>
  <c r="Y102" i="67"/>
  <c r="Y560" i="67"/>
  <c r="Y255" i="67"/>
  <c r="AG564" i="67"/>
  <c r="AG106" i="67"/>
  <c r="AG412" i="67"/>
  <c r="AG867" i="67"/>
  <c r="AG259" i="67"/>
  <c r="AL816" i="67"/>
  <c r="AL361" i="67"/>
  <c r="AL55" i="67"/>
  <c r="AL513" i="67"/>
  <c r="AL208" i="67"/>
  <c r="AJ867" i="67"/>
  <c r="AJ259" i="67"/>
  <c r="AJ564" i="67"/>
  <c r="AJ412" i="67"/>
  <c r="AJ106" i="67"/>
  <c r="AA867" i="67"/>
  <c r="AA106" i="67"/>
  <c r="AA412" i="67"/>
  <c r="AA564" i="67"/>
  <c r="AA259" i="67"/>
  <c r="AQ55" i="67"/>
  <c r="AQ361" i="67"/>
  <c r="AQ208" i="67"/>
  <c r="AQ816" i="67"/>
  <c r="AQ513" i="67"/>
  <c r="S867" i="67"/>
  <c r="S412" i="67"/>
  <c r="S106" i="67"/>
  <c r="S564" i="67"/>
  <c r="S259" i="67"/>
  <c r="Q867" i="67"/>
  <c r="Q106" i="67"/>
  <c r="Q412" i="67"/>
  <c r="Q259" i="67"/>
  <c r="Q564" i="67"/>
  <c r="AF63" i="45"/>
  <c r="AD63" i="45"/>
  <c r="AP63" i="45"/>
  <c r="AW64" i="45"/>
  <c r="BB63" i="45"/>
  <c r="AL63" i="45"/>
  <c r="AE63" i="45"/>
  <c r="BA63" i="45"/>
  <c r="AT63" i="45"/>
  <c r="AR64" i="45"/>
  <c r="AJ64" i="45"/>
  <c r="AO63" i="45"/>
  <c r="AS63" i="45"/>
  <c r="AW63" i="45"/>
  <c r="AX64" i="45"/>
  <c r="AM63" i="45"/>
  <c r="AC64" i="45"/>
  <c r="AU64" i="45"/>
  <c r="AK64" i="45"/>
  <c r="AT64" i="45"/>
  <c r="AD64" i="45"/>
  <c r="BM64" i="45"/>
  <c r="AN64" i="45"/>
  <c r="BA64" i="45"/>
  <c r="AE64" i="45"/>
  <c r="AS64" i="45"/>
  <c r="BK64" i="45"/>
  <c r="AF64" i="45"/>
  <c r="AB63" i="45"/>
  <c r="AM64" i="45"/>
  <c r="BD64" i="45"/>
  <c r="BI45" i="70"/>
  <c r="BH45" i="36"/>
  <c r="AO1461" i="67" s="1"/>
  <c r="BI41" i="68" s="1"/>
  <c r="AH37" i="62" s="1"/>
  <c r="BG86" i="34"/>
  <c r="AM45" i="45"/>
  <c r="AE45" i="45"/>
  <c r="AT45" i="45"/>
  <c r="AK45" i="45"/>
  <c r="AN45" i="45"/>
  <c r="AD45" i="45"/>
  <c r="AO45" i="45"/>
  <c r="AP45" i="45"/>
  <c r="AL45" i="45"/>
  <c r="AQ45" i="45"/>
  <c r="AR45" i="45"/>
  <c r="AF45" i="45"/>
  <c r="AC45" i="45"/>
  <c r="AS45" i="45"/>
  <c r="AI45" i="45"/>
  <c r="AH45" i="45"/>
  <c r="AJ45" i="45"/>
  <c r="AG45" i="45"/>
  <c r="AB45" i="45"/>
  <c r="AV90" i="34"/>
  <c r="AF90" i="34"/>
  <c r="AF143" i="34"/>
  <c r="AI143" i="34"/>
  <c r="AG51" i="45" s="1"/>
  <c r="AI90" i="34"/>
  <c r="AH90" i="34"/>
  <c r="AH143" i="34"/>
  <c r="AF51" i="45" s="1"/>
  <c r="AD143" i="34"/>
  <c r="AD90" i="34"/>
  <c r="AE90" i="34"/>
  <c r="AE143" i="34"/>
  <c r="AC51" i="45" s="1"/>
  <c r="AG90" i="34"/>
  <c r="AG143" i="34"/>
  <c r="AE51" i="45" s="1"/>
  <c r="AP143" i="34"/>
  <c r="AN51" i="45" s="1"/>
  <c r="AP90" i="34"/>
  <c r="AR143" i="34"/>
  <c r="AP51" i="45" s="1"/>
  <c r="AR90" i="34"/>
  <c r="AU143" i="34"/>
  <c r="AS51" i="45" s="1"/>
  <c r="AU90" i="34"/>
  <c r="AM143" i="34"/>
  <c r="AK51" i="45" s="1"/>
  <c r="AM90" i="34"/>
  <c r="AQ90" i="34"/>
  <c r="AQ143" i="34"/>
  <c r="AO51" i="45" s="1"/>
  <c r="AN143" i="34"/>
  <c r="AN90" i="34"/>
  <c r="AK143" i="34"/>
  <c r="AI51" i="45" s="1"/>
  <c r="AK90" i="34"/>
  <c r="AO90" i="34"/>
  <c r="AO143" i="34"/>
  <c r="AM51" i="45" s="1"/>
  <c r="AT90" i="34"/>
  <c r="AT143" i="34"/>
  <c r="AJ143" i="34"/>
  <c r="AH51" i="45" s="1"/>
  <c r="AJ90" i="34"/>
  <c r="AS143" i="34"/>
  <c r="AQ51" i="45" s="1"/>
  <c r="AS90" i="34"/>
  <c r="AL90" i="34"/>
  <c r="AL143" i="34"/>
  <c r="AJ51" i="45" s="1"/>
  <c r="AM1318" i="67" l="1"/>
  <c r="AL1322" i="67"/>
  <c r="AN1322" i="67"/>
  <c r="AE1271" i="67"/>
  <c r="AV1271" i="67"/>
  <c r="Q1318" i="67"/>
  <c r="S1271" i="67"/>
  <c r="AD1322" i="67"/>
  <c r="Y1271" i="67"/>
  <c r="AF1322" i="67"/>
  <c r="O1322" i="67"/>
  <c r="AH1318" i="67"/>
  <c r="AG1318" i="67"/>
  <c r="O1271" i="67"/>
  <c r="AB1318" i="67"/>
  <c r="AM1271" i="67"/>
  <c r="R1318" i="67"/>
  <c r="AQ1322" i="67"/>
  <c r="AA1271" i="67"/>
  <c r="AD1318" i="67"/>
  <c r="AG1271" i="67"/>
  <c r="AM1322" i="67"/>
  <c r="AB1271" i="67"/>
  <c r="M1322" i="67"/>
  <c r="AC1318" i="67"/>
  <c r="T1318" i="67"/>
  <c r="AT1322" i="67"/>
  <c r="AI1322" i="67"/>
  <c r="AD1271" i="67"/>
  <c r="AC1271" i="67"/>
  <c r="AF1318" i="67"/>
  <c r="AO1322" i="67"/>
  <c r="AE1318" i="67"/>
  <c r="AG1322" i="67"/>
  <c r="AB1322" i="67"/>
  <c r="AK1271" i="67"/>
  <c r="N1318" i="67"/>
  <c r="U1271" i="67"/>
  <c r="AS1318" i="67"/>
  <c r="AN1318" i="67"/>
  <c r="T1322" i="67"/>
  <c r="AS1271" i="67"/>
  <c r="AQ1271" i="67"/>
  <c r="W1322" i="67"/>
  <c r="V1322" i="67"/>
  <c r="R1271" i="67"/>
  <c r="S1318" i="67"/>
  <c r="AQ1318" i="67"/>
  <c r="AR1271" i="67"/>
  <c r="AJ1271" i="67"/>
  <c r="AL1318" i="67"/>
  <c r="Y1322" i="67"/>
  <c r="AK1318" i="67"/>
  <c r="AV1318" i="67"/>
  <c r="Z1318" i="67"/>
  <c r="N1322" i="67"/>
  <c r="L1271" i="67"/>
  <c r="U1318" i="67"/>
  <c r="AE1322" i="67"/>
  <c r="AT1318" i="67"/>
  <c r="AI1271" i="67"/>
  <c r="Q1271" i="67"/>
  <c r="AR1318" i="67"/>
  <c r="AF1271" i="67"/>
  <c r="AU1322" i="67"/>
  <c r="AO1271" i="67"/>
  <c r="AV1322" i="67"/>
  <c r="AP1271" i="67"/>
  <c r="X1318" i="67"/>
  <c r="L1318" i="67"/>
  <c r="P1318" i="67"/>
  <c r="U1322" i="67"/>
  <c r="V1271" i="67"/>
  <c r="AH1322" i="67"/>
  <c r="R1322" i="67"/>
  <c r="AR1322" i="67"/>
  <c r="AA1318" i="67"/>
  <c r="AJ1318" i="67"/>
  <c r="AO1318" i="67"/>
  <c r="N1271" i="67"/>
  <c r="L1322" i="67"/>
  <c r="P1322" i="67"/>
  <c r="Y1318" i="67"/>
  <c r="Z1271" i="67"/>
  <c r="X1271" i="67"/>
  <c r="T1271" i="67"/>
  <c r="AU1318" i="67"/>
  <c r="W1318" i="67"/>
  <c r="M1318" i="67"/>
  <c r="AC1322" i="67"/>
  <c r="AP1318" i="67"/>
  <c r="Q1322" i="67"/>
  <c r="S1322" i="67"/>
  <c r="AA1322" i="67"/>
  <c r="AJ1322" i="67"/>
  <c r="AL1271" i="67"/>
  <c r="AU1271" i="67"/>
  <c r="O1318" i="67"/>
  <c r="M1271" i="67"/>
  <c r="AS1322" i="67"/>
  <c r="AN1271" i="67"/>
  <c r="X1322" i="67"/>
  <c r="AK1322" i="67"/>
  <c r="Z1322" i="67"/>
  <c r="W1271" i="67"/>
  <c r="AI1318" i="67"/>
  <c r="AP1322" i="67"/>
  <c r="P1271" i="67"/>
  <c r="AT1271" i="67"/>
  <c r="AH1271" i="67"/>
  <c r="V1318" i="67"/>
  <c r="AW1322" i="67"/>
  <c r="AW1271" i="67"/>
  <c r="BQ44" i="68"/>
  <c r="AW1318" i="67"/>
  <c r="BJ45" i="70"/>
  <c r="BH63" i="68"/>
  <c r="BE41" i="45"/>
  <c r="BI45" i="36"/>
  <c r="AP1461" i="67" s="1"/>
  <c r="BJ41" i="68" s="1"/>
  <c r="AI37" i="62" s="1"/>
  <c r="BH86" i="34"/>
  <c r="AG49" i="45"/>
  <c r="AO49" i="45"/>
  <c r="AO66" i="45" s="1"/>
  <c r="AC49" i="45"/>
  <c r="AF49" i="45"/>
  <c r="AH49" i="45"/>
  <c r="AH66" i="45" s="1"/>
  <c r="AK49" i="45"/>
  <c r="AP49" i="45"/>
  <c r="AQ49" i="45"/>
  <c r="AQ66" i="45" s="1"/>
  <c r="AI49" i="45"/>
  <c r="AI66" i="45" s="1"/>
  <c r="AS49" i="45"/>
  <c r="AN49" i="45"/>
  <c r="AJ49" i="45"/>
  <c r="AM49" i="45"/>
  <c r="AE49" i="45"/>
  <c r="AE66" i="45" s="1"/>
  <c r="AR46" i="45"/>
  <c r="AO46" i="45"/>
  <c r="AC46" i="45"/>
  <c r="AF46" i="45"/>
  <c r="AD46" i="45"/>
  <c r="AR51" i="45"/>
  <c r="AI46" i="45"/>
  <c r="AS46" i="45"/>
  <c r="AN46" i="45"/>
  <c r="AD51" i="45"/>
  <c r="AH46" i="45"/>
  <c r="AL46" i="45"/>
  <c r="AK46" i="45"/>
  <c r="AP46" i="45"/>
  <c r="AB46" i="45"/>
  <c r="AG46" i="45"/>
  <c r="AT46" i="45"/>
  <c r="AQ46" i="45"/>
  <c r="AJ46" i="45"/>
  <c r="AM46" i="45"/>
  <c r="AL51" i="45"/>
  <c r="AE46" i="45"/>
  <c r="AV143" i="34"/>
  <c r="BM53" i="36"/>
  <c r="BB7" i="34"/>
  <c r="BE159" i="34"/>
  <c r="AY39" i="34"/>
  <c r="BH175" i="34"/>
  <c r="AW53" i="36"/>
  <c r="BJ159" i="34"/>
  <c r="BG53" i="36"/>
  <c r="BA53" i="36"/>
  <c r="BI53" i="36"/>
  <c r="BL53" i="36"/>
  <c r="AC66" i="45" l="1"/>
  <c r="AP66" i="45"/>
  <c r="AN66" i="45"/>
  <c r="BL94" i="34"/>
  <c r="BJ45" i="45" s="1"/>
  <c r="AS1469" i="67"/>
  <c r="AS1512" i="67"/>
  <c r="AS1516" i="67"/>
  <c r="AM66" i="45"/>
  <c r="AG66" i="45"/>
  <c r="AH1469" i="67"/>
  <c r="AH1512" i="67"/>
  <c r="AH1516" i="67"/>
  <c r="AT1469" i="67"/>
  <c r="AT1516" i="67"/>
  <c r="AT1512" i="67"/>
  <c r="AN1469" i="67"/>
  <c r="AN1512" i="67"/>
  <c r="AN1516" i="67"/>
  <c r="AP1469" i="67"/>
  <c r="AP1512" i="67"/>
  <c r="AP1516" i="67"/>
  <c r="AW94" i="34"/>
  <c r="AU45" i="45" s="1"/>
  <c r="AD1469" i="67"/>
  <c r="AD1512" i="67"/>
  <c r="AD1516" i="67"/>
  <c r="AK66" i="45"/>
  <c r="BK45" i="70"/>
  <c r="BJ45" i="36"/>
  <c r="AQ1461" i="67" s="1"/>
  <c r="BK41" i="68" s="1"/>
  <c r="AJ37" i="62" s="1"/>
  <c r="BI86" i="34"/>
  <c r="BE63" i="45"/>
  <c r="BI63" i="68"/>
  <c r="BF41" i="45"/>
  <c r="AE43" i="45"/>
  <c r="AP43" i="45"/>
  <c r="AL43" i="45"/>
  <c r="AL65" i="45" s="1"/>
  <c r="AJ43" i="45"/>
  <c r="AG43" i="45"/>
  <c r="AN43" i="45"/>
  <c r="AI43" i="45"/>
  <c r="AD43" i="45"/>
  <c r="AC43" i="45"/>
  <c r="AR43" i="45"/>
  <c r="AK43" i="45"/>
  <c r="AK65" i="45" s="1"/>
  <c r="AH43" i="45"/>
  <c r="AM43" i="45"/>
  <c r="AM65" i="45" s="1"/>
  <c r="AQ43" i="45"/>
  <c r="AT43" i="45"/>
  <c r="AT65" i="45" s="1"/>
  <c r="AS43" i="45"/>
  <c r="AF43" i="45"/>
  <c r="AO43" i="45"/>
  <c r="AF66" i="45"/>
  <c r="AS66" i="45"/>
  <c r="AJ66" i="45"/>
  <c r="AL49" i="45"/>
  <c r="AR49" i="45"/>
  <c r="AD49" i="45"/>
  <c r="AT51" i="45"/>
  <c r="BH53" i="45"/>
  <c r="BC53" i="45"/>
  <c r="AW20" i="45"/>
  <c r="AZ5" i="45"/>
  <c r="BF54" i="45"/>
  <c r="AW143" i="34"/>
  <c r="AW90" i="34"/>
  <c r="BE69" i="36"/>
  <c r="BI94" i="34"/>
  <c r="BI141" i="34"/>
  <c r="BJ53" i="36"/>
  <c r="AY53" i="36"/>
  <c r="BA141" i="34"/>
  <c r="BA137" i="34"/>
  <c r="BA94" i="34"/>
  <c r="BG141" i="34"/>
  <c r="BG94" i="34"/>
  <c r="BG137" i="34"/>
  <c r="BI21" i="34"/>
  <c r="BI175" i="34"/>
  <c r="BI39" i="34"/>
  <c r="BI4" i="36"/>
  <c r="BI7" i="34"/>
  <c r="BI159" i="34"/>
  <c r="BI69" i="36"/>
  <c r="BC4" i="36"/>
  <c r="BC69" i="36"/>
  <c r="BC21" i="34"/>
  <c r="BC175" i="34"/>
  <c r="BC39" i="34"/>
  <c r="BC7" i="34"/>
  <c r="BC53" i="36"/>
  <c r="BP4" i="36"/>
  <c r="BP21" i="34"/>
  <c r="BP69" i="36"/>
  <c r="BP7" i="34"/>
  <c r="BP159" i="34"/>
  <c r="BP175" i="34"/>
  <c r="BP39" i="34"/>
  <c r="BO39" i="34"/>
  <c r="BO4" i="36"/>
  <c r="BO69" i="36"/>
  <c r="BO7" i="34"/>
  <c r="BO21" i="34"/>
  <c r="BO159" i="34"/>
  <c r="BO175" i="34"/>
  <c r="BK4" i="36"/>
  <c r="BK175" i="34"/>
  <c r="BK7" i="34"/>
  <c r="BK159" i="34"/>
  <c r="BK21" i="34"/>
  <c r="BK39" i="34"/>
  <c r="BK69" i="36"/>
  <c r="BN4" i="36"/>
  <c r="BN7" i="34"/>
  <c r="BN39" i="34"/>
  <c r="BN21" i="34"/>
  <c r="BN175" i="34"/>
  <c r="BN69" i="36"/>
  <c r="BN159" i="34"/>
  <c r="BL141" i="34"/>
  <c r="BL137" i="34"/>
  <c r="BL4" i="36"/>
  <c r="BL7" i="34"/>
  <c r="BL175" i="34"/>
  <c r="BL69" i="36"/>
  <c r="BL21" i="34"/>
  <c r="BL39" i="34"/>
  <c r="BL159" i="34"/>
  <c r="BD7" i="34"/>
  <c r="BD4" i="36"/>
  <c r="BD175" i="34"/>
  <c r="BD21" i="34"/>
  <c r="BD69" i="36"/>
  <c r="BD39" i="34"/>
  <c r="BD159" i="34"/>
  <c r="BK53" i="36"/>
  <c r="BI137" i="34"/>
  <c r="BN53" i="36"/>
  <c r="AY137" i="34"/>
  <c r="BM137" i="34"/>
  <c r="BM141" i="34"/>
  <c r="BM94" i="34"/>
  <c r="BA4" i="36"/>
  <c r="BA69" i="36"/>
  <c r="BA21" i="34"/>
  <c r="BA7" i="34"/>
  <c r="BA175" i="34"/>
  <c r="BA159" i="34"/>
  <c r="BA39" i="34"/>
  <c r="BG175" i="34"/>
  <c r="BG4" i="36"/>
  <c r="BG69" i="36"/>
  <c r="BG7" i="34"/>
  <c r="BG21" i="34"/>
  <c r="BG159" i="34"/>
  <c r="BG39" i="34"/>
  <c r="AW137" i="34"/>
  <c r="AW141" i="34"/>
  <c r="AX175" i="34"/>
  <c r="AX39" i="34"/>
  <c r="AX7" i="34"/>
  <c r="AX69" i="36"/>
  <c r="AX21" i="34"/>
  <c r="AX53" i="36"/>
  <c r="AZ21" i="34"/>
  <c r="AZ175" i="34"/>
  <c r="AZ69" i="36"/>
  <c r="AZ159" i="34"/>
  <c r="AZ53" i="36"/>
  <c r="AZ7" i="34"/>
  <c r="AZ39" i="34"/>
  <c r="BJ4" i="36"/>
  <c r="BJ39" i="34"/>
  <c r="BJ21" i="34"/>
  <c r="BJ7" i="34"/>
  <c r="BJ175" i="34"/>
  <c r="BJ69" i="36"/>
  <c r="BD53" i="36"/>
  <c r="AW21" i="34"/>
  <c r="AW175" i="34"/>
  <c r="AW7" i="34"/>
  <c r="AW159" i="34"/>
  <c r="AW39" i="34"/>
  <c r="AW69" i="36"/>
  <c r="BP53" i="36"/>
  <c r="BO53" i="36"/>
  <c r="BC159" i="34"/>
  <c r="BF4" i="36"/>
  <c r="BF21" i="34"/>
  <c r="BF7" i="34"/>
  <c r="BF175" i="34"/>
  <c r="BF159" i="34"/>
  <c r="BF39" i="34"/>
  <c r="BF69" i="36"/>
  <c r="BF53" i="36"/>
  <c r="AX159" i="34"/>
  <c r="BB53" i="36"/>
  <c r="BM21" i="34"/>
  <c r="BM69" i="36"/>
  <c r="BH21" i="34"/>
  <c r="BB159" i="34"/>
  <c r="BM159" i="34"/>
  <c r="BH159" i="34"/>
  <c r="BH53" i="36"/>
  <c r="AY69" i="36"/>
  <c r="AY159" i="34"/>
  <c r="AY21" i="34"/>
  <c r="AY175" i="34"/>
  <c r="BE175" i="34"/>
  <c r="BE21" i="34"/>
  <c r="BE39" i="34"/>
  <c r="BE4" i="36"/>
  <c r="BH69" i="36"/>
  <c r="BH4" i="36"/>
  <c r="BH7" i="34"/>
  <c r="BH39" i="34"/>
  <c r="AY7" i="34"/>
  <c r="BB4" i="36"/>
  <c r="BB69" i="36"/>
  <c r="BB175" i="34"/>
  <c r="BB21" i="34"/>
  <c r="BB39" i="34"/>
  <c r="BE7" i="34"/>
  <c r="BE53" i="36"/>
  <c r="BM7" i="34"/>
  <c r="BM39" i="34"/>
  <c r="BM175" i="34"/>
  <c r="BM4" i="36"/>
  <c r="AW1469" i="67" l="1"/>
  <c r="AW1516" i="67"/>
  <c r="AW1512" i="67"/>
  <c r="AO1485" i="67"/>
  <c r="AO1513" i="67"/>
  <c r="AO1517" i="67"/>
  <c r="AG1469" i="67"/>
  <c r="AG1512" i="67"/>
  <c r="AG1516" i="67"/>
  <c r="AL1469" i="67"/>
  <c r="AL1512" i="67"/>
  <c r="AL1516" i="67"/>
  <c r="AO1469" i="67"/>
  <c r="AO1516" i="67"/>
  <c r="AO1512" i="67"/>
  <c r="AD1485" i="67"/>
  <c r="AD1513" i="67"/>
  <c r="AD1517" i="67"/>
  <c r="AE1469" i="67"/>
  <c r="AE1516" i="67"/>
  <c r="AE1512" i="67"/>
  <c r="AN1485" i="67"/>
  <c r="AN1517" i="67"/>
  <c r="AN1513" i="67"/>
  <c r="AH1485" i="67"/>
  <c r="AH1517" i="67"/>
  <c r="AH1513" i="67"/>
  <c r="AR1469" i="67"/>
  <c r="AR1512" i="67"/>
  <c r="AR1516" i="67"/>
  <c r="AR1485" i="67"/>
  <c r="AR1513" i="67"/>
  <c r="AR1517" i="67"/>
  <c r="AP1485" i="67"/>
  <c r="AP1517" i="67"/>
  <c r="AP1513" i="67"/>
  <c r="AF1485" i="67"/>
  <c r="AF1513" i="67"/>
  <c r="AF1517" i="67"/>
  <c r="AI1469" i="67"/>
  <c r="AI1516" i="67"/>
  <c r="AI1512" i="67"/>
  <c r="AK1485" i="67"/>
  <c r="AK1513" i="67"/>
  <c r="AK1517" i="67"/>
  <c r="AS1485" i="67"/>
  <c r="AS1513" i="67"/>
  <c r="AS1517" i="67"/>
  <c r="AV1485" i="67"/>
  <c r="AV1513" i="67"/>
  <c r="AV1517" i="67"/>
  <c r="AI1485" i="67"/>
  <c r="AI1517" i="67"/>
  <c r="AI1513" i="67"/>
  <c r="AT1485" i="67"/>
  <c r="AT1517" i="67"/>
  <c r="AT1513" i="67"/>
  <c r="AM1469" i="67"/>
  <c r="AM1512" i="67"/>
  <c r="AM1516" i="67"/>
  <c r="AG1485" i="67"/>
  <c r="AG1517" i="67"/>
  <c r="AG1513" i="67"/>
  <c r="AJ1469" i="67"/>
  <c r="AJ1512" i="67"/>
  <c r="AJ1516" i="67"/>
  <c r="AY141" i="34"/>
  <c r="AF1469" i="67"/>
  <c r="AF1516" i="67"/>
  <c r="AF1512" i="67"/>
  <c r="BE138" i="34"/>
  <c r="AL1485" i="67"/>
  <c r="AL1513" i="67"/>
  <c r="AL1517" i="67"/>
  <c r="AQ1485" i="67"/>
  <c r="AQ1513" i="67"/>
  <c r="AQ1517" i="67"/>
  <c r="AM1485" i="67"/>
  <c r="AM1513" i="67"/>
  <c r="AM1517" i="67"/>
  <c r="AV1469" i="67"/>
  <c r="AV1516" i="67"/>
  <c r="AV1512" i="67"/>
  <c r="AK1469" i="67"/>
  <c r="AK1516" i="67"/>
  <c r="AK1512" i="67"/>
  <c r="AE1485" i="67"/>
  <c r="AE1517" i="67"/>
  <c r="AE1513" i="67"/>
  <c r="AU1469" i="67"/>
  <c r="AU1512" i="67"/>
  <c r="AU1516" i="67"/>
  <c r="AU1485" i="67"/>
  <c r="AU1517" i="67"/>
  <c r="AU1513" i="67"/>
  <c r="AW1485" i="67"/>
  <c r="AW1517" i="67"/>
  <c r="AW1513" i="67"/>
  <c r="AJ1485" i="67"/>
  <c r="AJ1513" i="67"/>
  <c r="AJ1517" i="67"/>
  <c r="BJ94" i="34"/>
  <c r="BH45" i="45" s="1"/>
  <c r="AQ1469" i="67"/>
  <c r="AQ1512" i="67"/>
  <c r="AQ1516" i="67"/>
  <c r="AS65" i="45"/>
  <c r="BL45" i="70"/>
  <c r="BF63" i="45"/>
  <c r="BJ63" i="68"/>
  <c r="BG41" i="45"/>
  <c r="BK45" i="36"/>
  <c r="AR1461" i="67" s="1"/>
  <c r="BL41" i="68" s="1"/>
  <c r="AK37" i="62" s="1"/>
  <c r="BJ86" i="34"/>
  <c r="AW19" i="45"/>
  <c r="AW60" i="45" s="1"/>
  <c r="AO65" i="45"/>
  <c r="AQ65" i="45"/>
  <c r="AH65" i="45"/>
  <c r="AR65" i="45"/>
  <c r="AD65" i="45"/>
  <c r="AN65" i="45"/>
  <c r="AJ65" i="45"/>
  <c r="AP65" i="45"/>
  <c r="AZ4" i="45"/>
  <c r="AZ58" i="45" s="1"/>
  <c r="AF65" i="45"/>
  <c r="AC65" i="45"/>
  <c r="AI65" i="45"/>
  <c r="AG65" i="45"/>
  <c r="AE65" i="45"/>
  <c r="AT49" i="45"/>
  <c r="AR66" i="45"/>
  <c r="AD66" i="45"/>
  <c r="AL66" i="45"/>
  <c r="BF5" i="45"/>
  <c r="BF4" i="45" s="1"/>
  <c r="BF58" i="45" s="1"/>
  <c r="BF53" i="45"/>
  <c r="BA53" i="45"/>
  <c r="AX20" i="45"/>
  <c r="AX19" i="45" s="1"/>
  <c r="AX60" i="45" s="1"/>
  <c r="BB54" i="45"/>
  <c r="BL53" i="45"/>
  <c r="BI54" i="45"/>
  <c r="BN5" i="45"/>
  <c r="BA12" i="45"/>
  <c r="BA11" i="45" s="1"/>
  <c r="BA59" i="45" s="1"/>
  <c r="BG54" i="45"/>
  <c r="BK20" i="45"/>
  <c r="BK19" i="45" s="1"/>
  <c r="BK60" i="45" s="1"/>
  <c r="AZ20" i="45"/>
  <c r="AZ19" i="45" s="1"/>
  <c r="AZ60" i="45" s="1"/>
  <c r="BC12" i="45"/>
  <c r="BC11" i="45" s="1"/>
  <c r="BC59" i="45" s="1"/>
  <c r="AW53" i="45"/>
  <c r="BK53" i="45"/>
  <c r="BK12" i="45"/>
  <c r="BK11" i="45" s="1"/>
  <c r="BK59" i="45" s="1"/>
  <c r="BD5" i="45"/>
  <c r="AU53" i="45"/>
  <c r="BH12" i="45"/>
  <c r="AX5" i="45"/>
  <c r="AX4" i="45" s="1"/>
  <c r="AX58" i="45" s="1"/>
  <c r="AX54" i="45"/>
  <c r="BE12" i="45"/>
  <c r="BE54" i="45"/>
  <c r="AY5" i="45"/>
  <c r="BK45" i="45"/>
  <c r="BB20" i="45"/>
  <c r="BB19" i="45" s="1"/>
  <c r="BB60" i="45" s="1"/>
  <c r="BJ12" i="45"/>
  <c r="BL5" i="45"/>
  <c r="BL4" i="45" s="1"/>
  <c r="BL58" i="45" s="1"/>
  <c r="BI12" i="45"/>
  <c r="BM5" i="45"/>
  <c r="BM4" i="45" s="1"/>
  <c r="BM58" i="45" s="1"/>
  <c r="BN20" i="45"/>
  <c r="BN19" i="45" s="1"/>
  <c r="BN60" i="45" s="1"/>
  <c r="BA5" i="45"/>
  <c r="BG5" i="45"/>
  <c r="BG4" i="45" s="1"/>
  <c r="BG58" i="45" s="1"/>
  <c r="BG12" i="45"/>
  <c r="BG11" i="45" s="1"/>
  <c r="BG59" i="45" s="1"/>
  <c r="AY45" i="45"/>
  <c r="AU46" i="45"/>
  <c r="BC5" i="45"/>
  <c r="BC4" i="45" s="1"/>
  <c r="BC58" i="45" s="1"/>
  <c r="AW12" i="45"/>
  <c r="AW11" i="45" s="1"/>
  <c r="AW59" i="45" s="1"/>
  <c r="BD54" i="45"/>
  <c r="AU12" i="45"/>
  <c r="AU11" i="45" s="1"/>
  <c r="AU59" i="45" s="1"/>
  <c r="AV12" i="45"/>
  <c r="BE53" i="45"/>
  <c r="BJ20" i="45"/>
  <c r="BJ19" i="45" s="1"/>
  <c r="BJ60" i="45" s="1"/>
  <c r="BL20" i="45"/>
  <c r="BL19" i="45" s="1"/>
  <c r="BL60" i="45" s="1"/>
  <c r="BM12" i="45"/>
  <c r="BM11" i="45" s="1"/>
  <c r="BM59" i="45" s="1"/>
  <c r="BK5" i="45"/>
  <c r="BK4" i="45" s="1"/>
  <c r="BK58" i="45" s="1"/>
  <c r="AW5" i="45"/>
  <c r="AW4" i="45" s="1"/>
  <c r="AW58" i="45" s="1"/>
  <c r="BD20" i="45"/>
  <c r="BD19" i="45" s="1"/>
  <c r="BD60" i="45" s="1"/>
  <c r="BH20" i="45"/>
  <c r="BH19" i="45" s="1"/>
  <c r="BH60" i="45" s="1"/>
  <c r="AV5" i="45"/>
  <c r="AV4" i="45" s="1"/>
  <c r="AV58" i="45" s="1"/>
  <c r="BE5" i="45"/>
  <c r="AY20" i="45"/>
  <c r="AY19" i="45" s="1"/>
  <c r="AY60" i="45" s="1"/>
  <c r="AY12" i="45"/>
  <c r="AY11" i="45" s="1"/>
  <c r="AY59" i="45" s="1"/>
  <c r="BB5" i="45"/>
  <c r="BB4" i="45" s="1"/>
  <c r="BB58" i="45" s="1"/>
  <c r="BL54" i="45"/>
  <c r="BI53" i="45"/>
  <c r="BM54" i="45"/>
  <c r="BN54" i="45"/>
  <c r="BN12" i="45"/>
  <c r="BA20" i="45"/>
  <c r="BK54" i="45"/>
  <c r="BK52" i="45" s="1"/>
  <c r="BC20" i="45"/>
  <c r="AU20" i="45"/>
  <c r="BH5" i="45"/>
  <c r="BH4" i="45" s="1"/>
  <c r="BH58" i="45" s="1"/>
  <c r="AV54" i="45"/>
  <c r="AY54" i="45"/>
  <c r="BB53" i="45"/>
  <c r="BJ5" i="45"/>
  <c r="BJ4" i="45" s="1"/>
  <c r="BJ58" i="45" s="1"/>
  <c r="BI20" i="45"/>
  <c r="BM20" i="45"/>
  <c r="BG53" i="45"/>
  <c r="AZ12" i="45"/>
  <c r="AZ11" i="45" s="1"/>
  <c r="AZ59" i="45" s="1"/>
  <c r="BC54" i="45"/>
  <c r="AZ53" i="45"/>
  <c r="BD12" i="45"/>
  <c r="BD11" i="45" s="1"/>
  <c r="BD59" i="45" s="1"/>
  <c r="AU5" i="45"/>
  <c r="AU4" i="45" s="1"/>
  <c r="AU58" i="45" s="1"/>
  <c r="AX12" i="45"/>
  <c r="AZ54" i="45"/>
  <c r="BF20" i="45"/>
  <c r="BF19" i="45" s="1"/>
  <c r="BF60" i="45" s="1"/>
  <c r="AW54" i="45"/>
  <c r="BF12" i="45"/>
  <c r="AV53" i="45"/>
  <c r="BD53" i="45"/>
  <c r="BD52" i="45" s="1"/>
  <c r="AU54" i="45"/>
  <c r="BH54" i="45"/>
  <c r="AX53" i="45"/>
  <c r="AV20" i="45"/>
  <c r="BE20" i="45"/>
  <c r="AY53" i="45"/>
  <c r="BB12" i="45"/>
  <c r="BB11" i="45" s="1"/>
  <c r="BB59" i="45" s="1"/>
  <c r="BJ53" i="45"/>
  <c r="BJ54" i="45"/>
  <c r="BL12" i="45"/>
  <c r="BL11" i="45" s="1"/>
  <c r="BL59" i="45" s="1"/>
  <c r="BI5" i="45"/>
  <c r="BI4" i="45" s="1"/>
  <c r="BI58" i="45" s="1"/>
  <c r="BM53" i="45"/>
  <c r="BN53" i="45"/>
  <c r="BA54" i="45"/>
  <c r="BG20" i="45"/>
  <c r="BG19" i="45" s="1"/>
  <c r="BG60" i="45" s="1"/>
  <c r="BE45" i="45"/>
  <c r="BG45" i="45"/>
  <c r="BD4" i="45"/>
  <c r="BD58" i="45" s="1"/>
  <c r="BJ11" i="45"/>
  <c r="BJ59" i="45" s="1"/>
  <c r="BI11" i="45"/>
  <c r="BI59" i="45" s="1"/>
  <c r="BE110" i="34"/>
  <c r="BE142" i="34"/>
  <c r="AY94" i="34"/>
  <c r="AX90" i="34"/>
  <c r="AX143" i="34"/>
  <c r="BJ137" i="34"/>
  <c r="BJ141" i="34"/>
  <c r="BB142" i="34"/>
  <c r="BB138" i="34"/>
  <c r="BB110" i="34"/>
  <c r="BF137" i="34"/>
  <c r="BF94" i="34"/>
  <c r="BF141" i="34"/>
  <c r="AW142" i="34"/>
  <c r="AU51" i="45" s="1"/>
  <c r="AW138" i="34"/>
  <c r="AU50" i="45" s="1"/>
  <c r="AW110" i="34"/>
  <c r="BJ110" i="34"/>
  <c r="BJ138" i="34"/>
  <c r="BJ142" i="34"/>
  <c r="BA138" i="34"/>
  <c r="AY50" i="45" s="1"/>
  <c r="BA142" i="34"/>
  <c r="BA110" i="34"/>
  <c r="BD138" i="34"/>
  <c r="BD142" i="34"/>
  <c r="BD110" i="34"/>
  <c r="BK142" i="34"/>
  <c r="BK138" i="34"/>
  <c r="BK110" i="34"/>
  <c r="BC141" i="34"/>
  <c r="BC137" i="34"/>
  <c r="BC94" i="34"/>
  <c r="BI138" i="34"/>
  <c r="BG50" i="45" s="1"/>
  <c r="BI142" i="34"/>
  <c r="BI110" i="34"/>
  <c r="BH138" i="34"/>
  <c r="BH142" i="34"/>
  <c r="BH110" i="34"/>
  <c r="BM142" i="34"/>
  <c r="BM138" i="34"/>
  <c r="BK50" i="45" s="1"/>
  <c r="BM110" i="34"/>
  <c r="AY142" i="34"/>
  <c r="AY110" i="34"/>
  <c r="AY138" i="34"/>
  <c r="AW50" i="45" s="1"/>
  <c r="BB137" i="34"/>
  <c r="BB141" i="34"/>
  <c r="BB94" i="34"/>
  <c r="BF142" i="34"/>
  <c r="BF110" i="34"/>
  <c r="BF138" i="34"/>
  <c r="AZ94" i="34"/>
  <c r="AZ137" i="34"/>
  <c r="AZ141" i="34"/>
  <c r="AX137" i="34"/>
  <c r="AX94" i="34"/>
  <c r="AX141" i="34"/>
  <c r="BK141" i="34"/>
  <c r="BK94" i="34"/>
  <c r="BK137" i="34"/>
  <c r="BN138" i="34"/>
  <c r="BN142" i="34"/>
  <c r="BN110" i="34"/>
  <c r="BO142" i="34"/>
  <c r="BO110" i="34"/>
  <c r="BO138" i="34"/>
  <c r="BP142" i="34"/>
  <c r="BP110" i="34"/>
  <c r="BP138" i="34"/>
  <c r="BO141" i="34"/>
  <c r="BO94" i="34"/>
  <c r="BO137" i="34"/>
  <c r="BL110" i="34"/>
  <c r="BL138" i="34"/>
  <c r="BJ50" i="45" s="1"/>
  <c r="BL142" i="34"/>
  <c r="BC110" i="34"/>
  <c r="BC138" i="34"/>
  <c r="BC142" i="34"/>
  <c r="BE137" i="34"/>
  <c r="BE94" i="34"/>
  <c r="BE141" i="34"/>
  <c r="BH141" i="34"/>
  <c r="BH137" i="34"/>
  <c r="BH94" i="34"/>
  <c r="BP141" i="34"/>
  <c r="BP94" i="34"/>
  <c r="BP137" i="34"/>
  <c r="BD137" i="34"/>
  <c r="BD141" i="34"/>
  <c r="BD94" i="34"/>
  <c r="AZ142" i="34"/>
  <c r="AZ138" i="34"/>
  <c r="AZ110" i="34"/>
  <c r="AX142" i="34"/>
  <c r="AX138" i="34"/>
  <c r="AX110" i="34"/>
  <c r="BG142" i="34"/>
  <c r="BG110" i="34"/>
  <c r="BG138" i="34"/>
  <c r="BE50" i="45" s="1"/>
  <c r="BN141" i="34"/>
  <c r="BN137" i="34"/>
  <c r="BN94" i="34"/>
  <c r="AX52" i="45" l="1"/>
  <c r="AU52" i="45"/>
  <c r="BG52" i="45"/>
  <c r="BG67" i="45" s="1"/>
  <c r="BL52" i="45"/>
  <c r="BI19" i="45"/>
  <c r="BI60" i="45" s="1"/>
  <c r="AV52" i="45"/>
  <c r="AV67" i="45" s="1"/>
  <c r="AV19" i="45"/>
  <c r="AV60" i="45" s="1"/>
  <c r="AU19" i="45"/>
  <c r="AU60" i="45" s="1"/>
  <c r="AU71" i="45" s="1"/>
  <c r="BN11" i="45"/>
  <c r="BN59" i="45" s="1"/>
  <c r="BA4" i="45"/>
  <c r="BA58" i="45" s="1"/>
  <c r="BN4" i="45"/>
  <c r="BN58" i="45" s="1"/>
  <c r="AY4" i="45"/>
  <c r="AY58" i="45" s="1"/>
  <c r="AY71" i="45" s="1"/>
  <c r="BE4" i="45"/>
  <c r="BE58" i="45" s="1"/>
  <c r="AZ52" i="45"/>
  <c r="AZ67" i="45" s="1"/>
  <c r="BN52" i="45"/>
  <c r="BA52" i="45"/>
  <c r="BA67" i="45" s="1"/>
  <c r="BM45" i="70"/>
  <c r="BG63" i="45"/>
  <c r="BK63" i="68"/>
  <c r="BH41" i="45"/>
  <c r="BL45" i="36"/>
  <c r="AS1461" i="67" s="1"/>
  <c r="BM41" i="68" s="1"/>
  <c r="AL37" i="62" s="1"/>
  <c r="BK86" i="34"/>
  <c r="BM52" i="45"/>
  <c r="BM67" i="45" s="1"/>
  <c r="BI52" i="45"/>
  <c r="BI67" i="45" s="1"/>
  <c r="BB52" i="45"/>
  <c r="BB67" i="45" s="1"/>
  <c r="AX11" i="45"/>
  <c r="AX59" i="45" s="1"/>
  <c r="AX71" i="45" s="1"/>
  <c r="BH11" i="45"/>
  <c r="BH59" i="45" s="1"/>
  <c r="BH71" i="45" s="1"/>
  <c r="AV11" i="45"/>
  <c r="AV59" i="45" s="1"/>
  <c r="BE19" i="45"/>
  <c r="BE60" i="45" s="1"/>
  <c r="BF11" i="45"/>
  <c r="BF59" i="45" s="1"/>
  <c r="BF71" i="45" s="1"/>
  <c r="BA19" i="45"/>
  <c r="BA60" i="45" s="1"/>
  <c r="BE11" i="45"/>
  <c r="BE59" i="45" s="1"/>
  <c r="BC52" i="45"/>
  <c r="AY52" i="45"/>
  <c r="AY67" i="45" s="1"/>
  <c r="BM19" i="45"/>
  <c r="BM60" i="45" s="1"/>
  <c r="BM71" i="45" s="1"/>
  <c r="BF52" i="45"/>
  <c r="BJ52" i="45"/>
  <c r="BH52" i="45"/>
  <c r="BE52" i="45"/>
  <c r="AW52" i="45"/>
  <c r="AW67" i="45" s="1"/>
  <c r="BC19" i="45"/>
  <c r="BC60" i="45" s="1"/>
  <c r="BC71" i="45" s="1"/>
  <c r="AT66" i="45"/>
  <c r="BL45" i="45"/>
  <c r="AY47" i="45"/>
  <c r="AX47" i="45"/>
  <c r="BJ47" i="45"/>
  <c r="BM47" i="45"/>
  <c r="BK47" i="45"/>
  <c r="BI47" i="45"/>
  <c r="BB47" i="45"/>
  <c r="BH47" i="45"/>
  <c r="AZ47" i="45"/>
  <c r="AW45" i="45"/>
  <c r="BE47" i="45"/>
  <c r="BB45" i="45"/>
  <c r="BD47" i="45"/>
  <c r="AV46" i="45"/>
  <c r="BC45" i="45"/>
  <c r="BA47" i="45"/>
  <c r="BN47" i="45"/>
  <c r="AV45" i="45"/>
  <c r="AZ45" i="45"/>
  <c r="AU47" i="45"/>
  <c r="BD45" i="45"/>
  <c r="BN45" i="45"/>
  <c r="BF47" i="45"/>
  <c r="AV47" i="45"/>
  <c r="BF45" i="45"/>
  <c r="AX45" i="45"/>
  <c r="BA45" i="45"/>
  <c r="BC50" i="45"/>
  <c r="BM45" i="45"/>
  <c r="BL47" i="45"/>
  <c r="BI45" i="45"/>
  <c r="AW47" i="45"/>
  <c r="BG47" i="45"/>
  <c r="BC47" i="45"/>
  <c r="AW71" i="45"/>
  <c r="BK71" i="45"/>
  <c r="BL71" i="45"/>
  <c r="BJ71" i="45"/>
  <c r="BI71" i="45"/>
  <c r="AZ71" i="45"/>
  <c r="BG71" i="45"/>
  <c r="BD71" i="45"/>
  <c r="BB71" i="45"/>
  <c r="BL67" i="45"/>
  <c r="BK67" i="45"/>
  <c r="AX67" i="45"/>
  <c r="BD67" i="45"/>
  <c r="AU67" i="45"/>
  <c r="BN67" i="45"/>
  <c r="BE67" i="45"/>
  <c r="BH50" i="45"/>
  <c r="AY90" i="34"/>
  <c r="AY143" i="34"/>
  <c r="BF50" i="45"/>
  <c r="BI50" i="45"/>
  <c r="BL50" i="45"/>
  <c r="BN50" i="45"/>
  <c r="BM50" i="45"/>
  <c r="BB50" i="45"/>
  <c r="AZ50" i="45"/>
  <c r="AU49" i="45"/>
  <c r="AV50" i="45"/>
  <c r="BA50" i="45"/>
  <c r="AV51" i="45"/>
  <c r="AX50" i="45"/>
  <c r="BD50" i="45"/>
  <c r="BA71" i="45" l="1"/>
  <c r="BN71" i="45"/>
  <c r="AV71" i="45"/>
  <c r="BJ67" i="45"/>
  <c r="BE71" i="45"/>
  <c r="AV43" i="45"/>
  <c r="AV65" i="45" s="1"/>
  <c r="BN45" i="70"/>
  <c r="BH63" i="45"/>
  <c r="BL63" i="68"/>
  <c r="BI41" i="45"/>
  <c r="BM45" i="36"/>
  <c r="AT1461" i="67" s="1"/>
  <c r="BN41" i="68" s="1"/>
  <c r="AM37" i="62" s="1"/>
  <c r="BL86" i="34"/>
  <c r="AU43" i="45"/>
  <c r="BH67" i="45"/>
  <c r="BC67" i="45"/>
  <c r="BF67" i="45"/>
  <c r="AW46" i="45"/>
  <c r="AW51" i="45"/>
  <c r="AU66" i="45"/>
  <c r="AZ90" i="34"/>
  <c r="AZ143" i="34"/>
  <c r="AV49" i="45"/>
  <c r="BO45" i="70" l="1"/>
  <c r="BI63" i="45"/>
  <c r="BM63" i="68"/>
  <c r="BJ41" i="45"/>
  <c r="BN45" i="36"/>
  <c r="AU1461" i="67" s="1"/>
  <c r="BO41" i="68" s="1"/>
  <c r="AN37" i="62" s="1"/>
  <c r="BM86" i="34"/>
  <c r="AW43" i="45"/>
  <c r="AU65" i="45"/>
  <c r="AW49" i="45"/>
  <c r="AX51" i="45"/>
  <c r="AX46" i="45"/>
  <c r="AV66" i="45"/>
  <c r="BA143" i="34"/>
  <c r="BA90" i="34"/>
  <c r="BP45" i="70" l="1"/>
  <c r="BJ63" i="45"/>
  <c r="BN63" i="68"/>
  <c r="BK41" i="45"/>
  <c r="BO45" i="36"/>
  <c r="AV1461" i="67" s="1"/>
  <c r="BP41" i="68" s="1"/>
  <c r="AO37" i="62" s="1"/>
  <c r="BN86" i="34"/>
  <c r="AW66" i="45"/>
  <c r="AX43" i="45"/>
  <c r="AW65" i="45"/>
  <c r="AX49" i="45"/>
  <c r="AY51" i="45"/>
  <c r="AY46" i="45"/>
  <c r="BB143" i="34"/>
  <c r="BB90" i="34"/>
  <c r="BP45" i="36" l="1"/>
  <c r="AW1461" i="67" s="1"/>
  <c r="BQ41" i="68" s="1"/>
  <c r="AP37" i="62" s="1"/>
  <c r="BO86" i="34"/>
  <c r="BK63" i="45"/>
  <c r="BO63" i="68"/>
  <c r="BL41" i="45"/>
  <c r="AY43" i="45"/>
  <c r="AX65" i="45"/>
  <c r="AY49" i="45"/>
  <c r="AX66" i="45"/>
  <c r="AZ46" i="45"/>
  <c r="AZ51" i="45"/>
  <c r="BC143" i="34"/>
  <c r="BC90" i="34"/>
  <c r="BP85" i="36" l="1"/>
  <c r="BP86" i="34"/>
  <c r="BL63" i="45"/>
  <c r="BP63" i="68"/>
  <c r="BM41" i="45"/>
  <c r="AZ43" i="45"/>
  <c r="AY65" i="45"/>
  <c r="AZ49" i="45"/>
  <c r="AY66" i="45"/>
  <c r="BA46" i="45"/>
  <c r="BA51" i="45"/>
  <c r="BD90" i="34"/>
  <c r="BD143" i="34"/>
  <c r="AW1465" i="67" l="1"/>
  <c r="AW1518" i="67"/>
  <c r="BM63" i="45"/>
  <c r="BQ63" i="68"/>
  <c r="BN41" i="45"/>
  <c r="BA43" i="45"/>
  <c r="AZ65" i="45"/>
  <c r="BA49" i="45"/>
  <c r="AZ66" i="45"/>
  <c r="BB51" i="45"/>
  <c r="BB46" i="45"/>
  <c r="BE90" i="34"/>
  <c r="BE143" i="34"/>
  <c r="AW1021" i="67" l="1"/>
  <c r="AW1172" i="67"/>
  <c r="AW719" i="67"/>
  <c r="AW567" i="67"/>
  <c r="AW109" i="67"/>
  <c r="AW415" i="67"/>
  <c r="AW870" i="67"/>
  <c r="AW262" i="67"/>
  <c r="AW968" i="67"/>
  <c r="AW666" i="67"/>
  <c r="AW1119" i="67"/>
  <c r="AW362" i="67"/>
  <c r="AW514" i="67"/>
  <c r="BQ46" i="68"/>
  <c r="AW209" i="67"/>
  <c r="AW817" i="67"/>
  <c r="AW56" i="67"/>
  <c r="BN63" i="45"/>
  <c r="BB43" i="45"/>
  <c r="BB65" i="45" s="1"/>
  <c r="BA65" i="45"/>
  <c r="BB49" i="45"/>
  <c r="BA66" i="45"/>
  <c r="BC51" i="45"/>
  <c r="BC46" i="45"/>
  <c r="BF143" i="34"/>
  <c r="BF90" i="34"/>
  <c r="AW1272" i="67" l="1"/>
  <c r="AW1325" i="67"/>
  <c r="BC43" i="45"/>
  <c r="BC49" i="45"/>
  <c r="BB66" i="45"/>
  <c r="BD46" i="45"/>
  <c r="BD51" i="45"/>
  <c r="BG143" i="34"/>
  <c r="BG90" i="34"/>
  <c r="BC65" i="45" l="1"/>
  <c r="BD43" i="45"/>
  <c r="BD49" i="45"/>
  <c r="BC66" i="45"/>
  <c r="BE46" i="45"/>
  <c r="BE51" i="45"/>
  <c r="BH90" i="34"/>
  <c r="BH143" i="34"/>
  <c r="BD65" i="45" l="1"/>
  <c r="BE43" i="45"/>
  <c r="BE49" i="45"/>
  <c r="BD66" i="45"/>
  <c r="BF51" i="45"/>
  <c r="BF46" i="45"/>
  <c r="BI143" i="34"/>
  <c r="BI90" i="34"/>
  <c r="BF43" i="45" l="1"/>
  <c r="BE65" i="45"/>
  <c r="BF49" i="45"/>
  <c r="BE66" i="45"/>
  <c r="BG46" i="45"/>
  <c r="BG51" i="45"/>
  <c r="BJ143" i="34"/>
  <c r="BJ90" i="34"/>
  <c r="BF65" i="45" l="1"/>
  <c r="BG43" i="45"/>
  <c r="BG49" i="45"/>
  <c r="BF66" i="45"/>
  <c r="BH46" i="45"/>
  <c r="BH51" i="45"/>
  <c r="BK143" i="34"/>
  <c r="BK90" i="34"/>
  <c r="BG65" i="45" l="1"/>
  <c r="BH43" i="45"/>
  <c r="BH49" i="45"/>
  <c r="BG66" i="45"/>
  <c r="BI46" i="45"/>
  <c r="BI51" i="45"/>
  <c r="BL90" i="34"/>
  <c r="BL143" i="34"/>
  <c r="BH65" i="45" l="1"/>
  <c r="BI43" i="45"/>
  <c r="BI49" i="45"/>
  <c r="BH66" i="45"/>
  <c r="BJ51" i="45"/>
  <c r="BJ46" i="45"/>
  <c r="BM90" i="34"/>
  <c r="BM143" i="34"/>
  <c r="BJ43" i="45" l="1"/>
  <c r="BI65" i="45"/>
  <c r="BJ49" i="45"/>
  <c r="BI66" i="45"/>
  <c r="BK51" i="45"/>
  <c r="BK46" i="45"/>
  <c r="BN143" i="34"/>
  <c r="BN90" i="34"/>
  <c r="BJ65" i="45" l="1"/>
  <c r="BK43" i="45"/>
  <c r="BK65" i="45" s="1"/>
  <c r="BK49" i="45"/>
  <c r="BJ66" i="45"/>
  <c r="BL46" i="45"/>
  <c r="BL51" i="45"/>
  <c r="BO143" i="34"/>
  <c r="BO90" i="34"/>
  <c r="BP90" i="34"/>
  <c r="BP143" i="34"/>
  <c r="BL43" i="45" l="1"/>
  <c r="BL49" i="45"/>
  <c r="BK66" i="45"/>
  <c r="BN51" i="45"/>
  <c r="BN46" i="45"/>
  <c r="BM46" i="45"/>
  <c r="BM51" i="45"/>
  <c r="BM43" i="45" l="1"/>
  <c r="BN43" i="45"/>
  <c r="BL65" i="45"/>
  <c r="BM49" i="45"/>
  <c r="BN49" i="45"/>
  <c r="BL66" i="45"/>
  <c r="AD123" i="34"/>
  <c r="BN65" i="45" l="1"/>
  <c r="BM65" i="45"/>
  <c r="BN66" i="45"/>
  <c r="BM66" i="45"/>
  <c r="AB48" i="45"/>
  <c r="AD144" i="34"/>
  <c r="AB43" i="45" l="1"/>
  <c r="AB51" i="45"/>
  <c r="AB49" i="45" l="1"/>
  <c r="AB65" i="45"/>
  <c r="AB66" i="45" l="1"/>
  <c r="BL82" i="34"/>
  <c r="BL66" i="34"/>
  <c r="AI56" i="34"/>
  <c r="AI72" i="34"/>
  <c r="AG60" i="34"/>
  <c r="AG76" i="34"/>
  <c r="AG64" i="34"/>
  <c r="AG80" i="34"/>
  <c r="AI61" i="34"/>
  <c r="AI77" i="34"/>
  <c r="AG55" i="34"/>
  <c r="AG71" i="34"/>
  <c r="AH79" i="34"/>
  <c r="AH63" i="34"/>
  <c r="AI59" i="34"/>
  <c r="AI75" i="34"/>
  <c r="AG85" i="34"/>
  <c r="AG69" i="34"/>
  <c r="AI74" i="34"/>
  <c r="AI58" i="34"/>
  <c r="BM82" i="34"/>
  <c r="BM66" i="34"/>
  <c r="AW82" i="34"/>
  <c r="AW66" i="34"/>
  <c r="BN82" i="34"/>
  <c r="BN66" i="34"/>
  <c r="AK82" i="34"/>
  <c r="AK66" i="34"/>
  <c r="AD79" i="34"/>
  <c r="AD63" i="34"/>
  <c r="AG56" i="34"/>
  <c r="AG72" i="34"/>
  <c r="AE67" i="34"/>
  <c r="AE83" i="34"/>
  <c r="AH64" i="34"/>
  <c r="AH80" i="34"/>
  <c r="AH61" i="34"/>
  <c r="AH77" i="34"/>
  <c r="AH67" i="34"/>
  <c r="AH83" i="34"/>
  <c r="AD61" i="34"/>
  <c r="AD77" i="34"/>
  <c r="AE58" i="34"/>
  <c r="AE74" i="34"/>
  <c r="AP66" i="34"/>
  <c r="AP82" i="34"/>
  <c r="AZ82" i="34"/>
  <c r="AZ66" i="34"/>
  <c r="AR82" i="34"/>
  <c r="AR66" i="34"/>
  <c r="BC82" i="34"/>
  <c r="BC66" i="34"/>
  <c r="AI78" i="34"/>
  <c r="AI62" i="34"/>
  <c r="AD56" i="34"/>
  <c r="AD72" i="34"/>
  <c r="AD80" i="34"/>
  <c r="AD64" i="34"/>
  <c r="AD54" i="34"/>
  <c r="AD70" i="34"/>
  <c r="AI79" i="34"/>
  <c r="AI63" i="34"/>
  <c r="AD59" i="34"/>
  <c r="AD75" i="34"/>
  <c r="AD68" i="34"/>
  <c r="AD84" i="34"/>
  <c r="AG75" i="34"/>
  <c r="AG59" i="34"/>
  <c r="AH81" i="34"/>
  <c r="AH65" i="34"/>
  <c r="AE85" i="34"/>
  <c r="AE69" i="34"/>
  <c r="BA66" i="34"/>
  <c r="BA82" i="34"/>
  <c r="AU66" i="34"/>
  <c r="AU82" i="34"/>
  <c r="BJ82" i="34"/>
  <c r="BJ66" i="34"/>
  <c r="AI54" i="34"/>
  <c r="AI70" i="34"/>
  <c r="AD58" i="34"/>
  <c r="AD74" i="34"/>
  <c r="AE76" i="34"/>
  <c r="AE60" i="34"/>
  <c r="AI55" i="34"/>
  <c r="AI71" i="34"/>
  <c r="AI83" i="34"/>
  <c r="AI67" i="34"/>
  <c r="AG57" i="34"/>
  <c r="AG73" i="34"/>
  <c r="AE72" i="34"/>
  <c r="AE56" i="34"/>
  <c r="AI81" i="34"/>
  <c r="AI65" i="34"/>
  <c r="AD78" i="34"/>
  <c r="AD62" i="34"/>
  <c r="AE59" i="34"/>
  <c r="AE75" i="34"/>
  <c r="AE62" i="34"/>
  <c r="AE78" i="34"/>
  <c r="AD69" i="34"/>
  <c r="AD85" i="34"/>
  <c r="AV82" i="34"/>
  <c r="AV66" i="34"/>
  <c r="BG82" i="34"/>
  <c r="BG66" i="34"/>
  <c r="AN66" i="34"/>
  <c r="AN82" i="34"/>
  <c r="BB66" i="34"/>
  <c r="BB82" i="34"/>
  <c r="AI82" i="34"/>
  <c r="AI66" i="34"/>
  <c r="AH60" i="34"/>
  <c r="AH76" i="34"/>
  <c r="AG70" i="34"/>
  <c r="AG54" i="34"/>
  <c r="AI57" i="34"/>
  <c r="AI73" i="34"/>
  <c r="AD60" i="34"/>
  <c r="AD76" i="34"/>
  <c r="AE55" i="34"/>
  <c r="AE71" i="34"/>
  <c r="AH56" i="34"/>
  <c r="AH72" i="34"/>
  <c r="AI69" i="34"/>
  <c r="AI85" i="34"/>
  <c r="AH58" i="34"/>
  <c r="AH74" i="34"/>
  <c r="AI68" i="34"/>
  <c r="AI84" i="34"/>
  <c r="AG65" i="34"/>
  <c r="AG81" i="34"/>
  <c r="BE82" i="34"/>
  <c r="BE66" i="34"/>
  <c r="BP82" i="34"/>
  <c r="BP66" i="34"/>
  <c r="AG82" i="34"/>
  <c r="AG66" i="34"/>
  <c r="AG58" i="34"/>
  <c r="AG74" i="34"/>
  <c r="AE61" i="34"/>
  <c r="AE77" i="34"/>
  <c r="AI60" i="34"/>
  <c r="AI76" i="34"/>
  <c r="AD83" i="34"/>
  <c r="AD67" i="34"/>
  <c r="AI64" i="34"/>
  <c r="AI80" i="34"/>
  <c r="AG67" i="34"/>
  <c r="AG83" i="34"/>
  <c r="AH55" i="34"/>
  <c r="AH71" i="34"/>
  <c r="AE81" i="34"/>
  <c r="AE65" i="34"/>
  <c r="AE63" i="34"/>
  <c r="AE79" i="34"/>
  <c r="AJ82" i="34"/>
  <c r="AJ66" i="34"/>
  <c r="BD66" i="34"/>
  <c r="BD82" i="34"/>
  <c r="BK82" i="34"/>
  <c r="BK66" i="34"/>
  <c r="AG78" i="34"/>
  <c r="AG62" i="34"/>
  <c r="AD66" i="34"/>
  <c r="AD82" i="34"/>
  <c r="AE70" i="34"/>
  <c r="AE54" i="34"/>
  <c r="AH73" i="34"/>
  <c r="AH57" i="34"/>
  <c r="AG61" i="34"/>
  <c r="AG77" i="34"/>
  <c r="AG68" i="34"/>
  <c r="AG84" i="34"/>
  <c r="AH78" i="34"/>
  <c r="AH62" i="34"/>
  <c r="AE84" i="34"/>
  <c r="AE68" i="34"/>
  <c r="AD81" i="34"/>
  <c r="AD65" i="34"/>
  <c r="AO82" i="34"/>
  <c r="AO66" i="34"/>
  <c r="BI82" i="34"/>
  <c r="BI66" i="34"/>
  <c r="BF82" i="34"/>
  <c r="BF66" i="34"/>
  <c r="AM82" i="34"/>
  <c r="AM66" i="34"/>
  <c r="AQ82" i="34"/>
  <c r="AQ66" i="34"/>
  <c r="AE66" i="34"/>
  <c r="AE82" i="34"/>
  <c r="AH85" i="34"/>
  <c r="AH69" i="34"/>
  <c r="AD71" i="34"/>
  <c r="AD55" i="34"/>
  <c r="AE57" i="34"/>
  <c r="AE73" i="34"/>
  <c r="AE80" i="34"/>
  <c r="AE64" i="34"/>
  <c r="AH54" i="34"/>
  <c r="AH70" i="34"/>
  <c r="AD73" i="34"/>
  <c r="AD57" i="34"/>
  <c r="AH68" i="34"/>
  <c r="AH84" i="34"/>
  <c r="AH75" i="34"/>
  <c r="AH59" i="34"/>
  <c r="AG79" i="34"/>
  <c r="AG63" i="34"/>
  <c r="AH82" i="34"/>
  <c r="AH66" i="34"/>
  <c r="BH82" i="34"/>
  <c r="BH66" i="34"/>
  <c r="BO82" i="34"/>
  <c r="BO66" i="34"/>
  <c r="AY66" i="34"/>
  <c r="AY82" i="34"/>
  <c r="AT66" i="34"/>
  <c r="AT82" i="34"/>
  <c r="AX66" i="34"/>
  <c r="AX82" i="34"/>
  <c r="AF65" i="34"/>
  <c r="AF81" i="34"/>
  <c r="AF82" i="34"/>
  <c r="AF66" i="34"/>
  <c r="AF69" i="34"/>
  <c r="AF85" i="34"/>
  <c r="AF71" i="34"/>
  <c r="AF55" i="34"/>
  <c r="AF84" i="34"/>
  <c r="AF68" i="34"/>
  <c r="AF57" i="34"/>
  <c r="AF73" i="34"/>
  <c r="AF77" i="34"/>
  <c r="AF61" i="34"/>
  <c r="AF67" i="34"/>
  <c r="AF83" i="34"/>
  <c r="AF63" i="34"/>
  <c r="AF79" i="34"/>
  <c r="AF59" i="34"/>
  <c r="AF75" i="34"/>
  <c r="AF78" i="34"/>
  <c r="AF62" i="34"/>
  <c r="AF74" i="34"/>
  <c r="AF58" i="34"/>
  <c r="AF70" i="34"/>
  <c r="AF54" i="34"/>
  <c r="AF76" i="34"/>
  <c r="AF60" i="34"/>
  <c r="AF64" i="34"/>
  <c r="AF80" i="34"/>
  <c r="AF72" i="34"/>
  <c r="AF56" i="34"/>
  <c r="AR38" i="45" l="1"/>
  <c r="AC38" i="45"/>
  <c r="BG31" i="45"/>
  <c r="BB38" i="45"/>
  <c r="BN31" i="45"/>
  <c r="AG31" i="45"/>
  <c r="AC33" i="45"/>
  <c r="AX31" i="45"/>
  <c r="AI31" i="45"/>
  <c r="AU31" i="45"/>
  <c r="AD33" i="45"/>
  <c r="AR31" i="45"/>
  <c r="BM38" i="45"/>
  <c r="AF38" i="45"/>
  <c r="AC31" i="45"/>
  <c r="AK38" i="45"/>
  <c r="BG38" i="45"/>
  <c r="BB31" i="45"/>
  <c r="BN38" i="45"/>
  <c r="AG38" i="45"/>
  <c r="AL31" i="45"/>
  <c r="AT38" i="45"/>
  <c r="AS31" i="45"/>
  <c r="AC40" i="45"/>
  <c r="BA38" i="45"/>
  <c r="AX38" i="45"/>
  <c r="AI38" i="45"/>
  <c r="AU38" i="45"/>
  <c r="AF31" i="45"/>
  <c r="AL38" i="45"/>
  <c r="AV38" i="45"/>
  <c r="AW38" i="45"/>
  <c r="BF31" i="45"/>
  <c r="AF33" i="45"/>
  <c r="AO31" i="45"/>
  <c r="BD31" i="45"/>
  <c r="AM31" i="45"/>
  <c r="AB38" i="45"/>
  <c r="BI31" i="45"/>
  <c r="AH31" i="45"/>
  <c r="AE31" i="45"/>
  <c r="BC31" i="45"/>
  <c r="AG40" i="45"/>
  <c r="AZ38" i="45"/>
  <c r="BE31" i="45"/>
  <c r="AB40" i="45"/>
  <c r="BH31" i="45"/>
  <c r="AY38" i="45"/>
  <c r="AP31" i="45"/>
  <c r="AN38" i="45"/>
  <c r="BL31" i="45"/>
  <c r="BK31" i="45"/>
  <c r="AE33" i="45"/>
  <c r="BJ31" i="45"/>
  <c r="AD40" i="45"/>
  <c r="BM31" i="45"/>
  <c r="AK31" i="45"/>
  <c r="AT31" i="45"/>
  <c r="AS38" i="45"/>
  <c r="BA31" i="45"/>
  <c r="AD31" i="45"/>
  <c r="AD38" i="45"/>
  <c r="AV31" i="45"/>
  <c r="AW31" i="45"/>
  <c r="BF38" i="45"/>
  <c r="AF40" i="45"/>
  <c r="AO38" i="45"/>
  <c r="BD38" i="45"/>
  <c r="AM38" i="45"/>
  <c r="AB31" i="45"/>
  <c r="BI38" i="45"/>
  <c r="AH38" i="45"/>
  <c r="AE38" i="45"/>
  <c r="BC38" i="45"/>
  <c r="AG33" i="45"/>
  <c r="AZ31" i="45"/>
  <c r="BE38" i="45"/>
  <c r="AB33" i="45"/>
  <c r="BH38" i="45"/>
  <c r="AY31" i="45"/>
  <c r="AP38" i="45"/>
  <c r="AN31" i="45"/>
  <c r="BL38" i="45"/>
  <c r="BK38" i="45"/>
  <c r="AE40" i="45"/>
  <c r="BJ38" i="45"/>
  <c r="AB39" i="45"/>
  <c r="AE30" i="45"/>
  <c r="AB32" i="45"/>
  <c r="AE35" i="45"/>
  <c r="AE37" i="45"/>
  <c r="AF28" i="45"/>
  <c r="AE28" i="45"/>
  <c r="AF35" i="45"/>
  <c r="AC28" i="45"/>
  <c r="AC37" i="45"/>
  <c r="AE36" i="45"/>
  <c r="AF36" i="45"/>
  <c r="BE85" i="34"/>
  <c r="BE69" i="34"/>
  <c r="AW73" i="34"/>
  <c r="AW57" i="34"/>
  <c r="AO83" i="34"/>
  <c r="AO67" i="34"/>
  <c r="BH70" i="34"/>
  <c r="BH54" i="34"/>
  <c r="AU78" i="34"/>
  <c r="AU62" i="34"/>
  <c r="BM83" i="34"/>
  <c r="BM67" i="34"/>
  <c r="BP76" i="34"/>
  <c r="BP60" i="34"/>
  <c r="BL76" i="34"/>
  <c r="BL60" i="34"/>
  <c r="AU76" i="34"/>
  <c r="AU60" i="34"/>
  <c r="BP78" i="34"/>
  <c r="BP62" i="34"/>
  <c r="BB73" i="34"/>
  <c r="BB57" i="34"/>
  <c r="BB56" i="34"/>
  <c r="BB72" i="34"/>
  <c r="AZ70" i="34"/>
  <c r="AZ54" i="34"/>
  <c r="AN80" i="34"/>
  <c r="AN64" i="34"/>
  <c r="AW80" i="34"/>
  <c r="AW64" i="34"/>
  <c r="BO83" i="34"/>
  <c r="BO67" i="34"/>
  <c r="AU83" i="34"/>
  <c r="AU67" i="34"/>
  <c r="BH73" i="34"/>
  <c r="BH57" i="34"/>
  <c r="BE80" i="34"/>
  <c r="BE64" i="34"/>
  <c r="AW72" i="34"/>
  <c r="AW56" i="34"/>
  <c r="BP73" i="34"/>
  <c r="BP57" i="34"/>
  <c r="BE81" i="34"/>
  <c r="BE65" i="34"/>
  <c r="AJ85" i="34"/>
  <c r="AJ69" i="34"/>
  <c r="AX79" i="34"/>
  <c r="AX63" i="34"/>
  <c r="BN85" i="34"/>
  <c r="BN69" i="34"/>
  <c r="BB79" i="34"/>
  <c r="BB63" i="34"/>
  <c r="AT85" i="34"/>
  <c r="AT69" i="34"/>
  <c r="AY69" i="34"/>
  <c r="AY85" i="34"/>
  <c r="AS79" i="34"/>
  <c r="AS63" i="34"/>
  <c r="AL81" i="34"/>
  <c r="AL65" i="34"/>
  <c r="AQ74" i="34"/>
  <c r="AQ58" i="34"/>
  <c r="AT78" i="34"/>
  <c r="AT62" i="34"/>
  <c r="BM73" i="34"/>
  <c r="BM57" i="34"/>
  <c r="AW81" i="34"/>
  <c r="AW65" i="34"/>
  <c r="BL71" i="34"/>
  <c r="BL55" i="34"/>
  <c r="BJ74" i="34"/>
  <c r="BJ58" i="34"/>
  <c r="BM75" i="34"/>
  <c r="BM59" i="34"/>
  <c r="AS78" i="34"/>
  <c r="AS62" i="34"/>
  <c r="BH75" i="34"/>
  <c r="BH59" i="34"/>
  <c r="BI83" i="34"/>
  <c r="BI67" i="34"/>
  <c r="AT80" i="34"/>
  <c r="AT64" i="34"/>
  <c r="BD76" i="34"/>
  <c r="BD60" i="34"/>
  <c r="BM84" i="34"/>
  <c r="BM68" i="34"/>
  <c r="AS80" i="34"/>
  <c r="AS64" i="34"/>
  <c r="AX81" i="34"/>
  <c r="AX65" i="34"/>
  <c r="BE78" i="34"/>
  <c r="BE62" i="34"/>
  <c r="AK78" i="34"/>
  <c r="AK62" i="34"/>
  <c r="AZ75" i="34"/>
  <c r="AZ59" i="34"/>
  <c r="BB76" i="34"/>
  <c r="BB60" i="34"/>
  <c r="AN71" i="34"/>
  <c r="AN55" i="34"/>
  <c r="BA54" i="34"/>
  <c r="BA70" i="34"/>
  <c r="AN74" i="34"/>
  <c r="AN58" i="34"/>
  <c r="AN84" i="34"/>
  <c r="AN68" i="34"/>
  <c r="AO84" i="34"/>
  <c r="AO68" i="34"/>
  <c r="BH71" i="34"/>
  <c r="BH55" i="34"/>
  <c r="BN72" i="34"/>
  <c r="BN56" i="34"/>
  <c r="AS70" i="34"/>
  <c r="AS54" i="34"/>
  <c r="BH69" i="34"/>
  <c r="BH85" i="34"/>
  <c r="AL78" i="34"/>
  <c r="AL62" i="34"/>
  <c r="BA76" i="34"/>
  <c r="BA60" i="34"/>
  <c r="AG39" i="45"/>
  <c r="AG28" i="45"/>
  <c r="AB28" i="45"/>
  <c r="AC29" i="45"/>
  <c r="AF32" i="45"/>
  <c r="AG36" i="45"/>
  <c r="BK85" i="34"/>
  <c r="BK69" i="34"/>
  <c r="AZ80" i="34"/>
  <c r="AZ64" i="34"/>
  <c r="AY55" i="34"/>
  <c r="AY71" i="34"/>
  <c r="AO71" i="34"/>
  <c r="AO55" i="34"/>
  <c r="BI57" i="34"/>
  <c r="BI73" i="34"/>
  <c r="BN71" i="34"/>
  <c r="BN55" i="34"/>
  <c r="AN70" i="34"/>
  <c r="AN54" i="34"/>
  <c r="BG60" i="34"/>
  <c r="BG76" i="34"/>
  <c r="BC73" i="34"/>
  <c r="BC57" i="34"/>
  <c r="AS84" i="34"/>
  <c r="AS68" i="34"/>
  <c r="BM70" i="34"/>
  <c r="BM54" i="34"/>
  <c r="AQ72" i="34"/>
  <c r="AQ56" i="34"/>
  <c r="AR72" i="34"/>
  <c r="AR56" i="34"/>
  <c r="AP83" i="34"/>
  <c r="AP67" i="34"/>
  <c r="AX72" i="34"/>
  <c r="AX56" i="34"/>
  <c r="AT70" i="34"/>
  <c r="AT54" i="34"/>
  <c r="BO81" i="34"/>
  <c r="BO65" i="34"/>
  <c r="AY73" i="34"/>
  <c r="AY57" i="34"/>
  <c r="BJ83" i="34"/>
  <c r="BJ67" i="34"/>
  <c r="BF71" i="34"/>
  <c r="BF55" i="34"/>
  <c r="AJ72" i="34"/>
  <c r="AJ56" i="34"/>
  <c r="AT81" i="34"/>
  <c r="AT65" i="34"/>
  <c r="AN85" i="34"/>
  <c r="AN69" i="34"/>
  <c r="AQ81" i="34"/>
  <c r="AQ65" i="34"/>
  <c r="BF85" i="34"/>
  <c r="BF69" i="34"/>
  <c r="AP81" i="34"/>
  <c r="AP65" i="34"/>
  <c r="AW69" i="34"/>
  <c r="AW85" i="34"/>
  <c r="AZ85" i="34"/>
  <c r="AZ69" i="34"/>
  <c r="AO79" i="34"/>
  <c r="AO63" i="34"/>
  <c r="AQ79" i="34"/>
  <c r="AQ63" i="34"/>
  <c r="BO59" i="34"/>
  <c r="BO75" i="34"/>
  <c r="AP73" i="34"/>
  <c r="AP57" i="34"/>
  <c r="BG74" i="34"/>
  <c r="BG58" i="34"/>
  <c r="BC80" i="34"/>
  <c r="BC64" i="34"/>
  <c r="AO80" i="34"/>
  <c r="AO64" i="34"/>
  <c r="AN75" i="34"/>
  <c r="AN59" i="34"/>
  <c r="AV74" i="34"/>
  <c r="AV58" i="34"/>
  <c r="AX74" i="34"/>
  <c r="AX58" i="34"/>
  <c r="BD73" i="34"/>
  <c r="BD57" i="34"/>
  <c r="AJ54" i="34"/>
  <c r="AJ70" i="34"/>
  <c r="AX76" i="34"/>
  <c r="AX60" i="34"/>
  <c r="AL80" i="34"/>
  <c r="AL64" i="34"/>
  <c r="BC58" i="34"/>
  <c r="BC74" i="34"/>
  <c r="AY79" i="34"/>
  <c r="AY63" i="34"/>
  <c r="BK75" i="34"/>
  <c r="BK59" i="34"/>
  <c r="BP75" i="34"/>
  <c r="BP59" i="34"/>
  <c r="AJ80" i="34"/>
  <c r="AJ64" i="34"/>
  <c r="AK80" i="34"/>
  <c r="AK64" i="34"/>
  <c r="BM71" i="34"/>
  <c r="BM55" i="34"/>
  <c r="AW62" i="34"/>
  <c r="AW78" i="34"/>
  <c r="AY78" i="34"/>
  <c r="AY62" i="34"/>
  <c r="AO62" i="34"/>
  <c r="AO78" i="34"/>
  <c r="BA75" i="34"/>
  <c r="BA59" i="34"/>
  <c r="AW83" i="34"/>
  <c r="AW67" i="34"/>
  <c r="BL85" i="34"/>
  <c r="BL69" i="34"/>
  <c r="BB80" i="34"/>
  <c r="BB64" i="34"/>
  <c r="AV75" i="34"/>
  <c r="AV59" i="34"/>
  <c r="AV79" i="34"/>
  <c r="AV63" i="34"/>
  <c r="BH56" i="34"/>
  <c r="BH72" i="34"/>
  <c r="BC72" i="34"/>
  <c r="BC56" i="34"/>
  <c r="AK76" i="34"/>
  <c r="AK60" i="34"/>
  <c r="AX78" i="34"/>
  <c r="AX62" i="34"/>
  <c r="BF76" i="34"/>
  <c r="BF60" i="34"/>
  <c r="BN83" i="34"/>
  <c r="BN67" i="34"/>
  <c r="BM60" i="34"/>
  <c r="BM76" i="34"/>
  <c r="AO76" i="34"/>
  <c r="AO60" i="34"/>
  <c r="AY75" i="34"/>
  <c r="AY59" i="34"/>
  <c r="AK71" i="34"/>
  <c r="AK55" i="34"/>
  <c r="BI72" i="34"/>
  <c r="BI56" i="34"/>
  <c r="AW76" i="34"/>
  <c r="AW60" i="34"/>
  <c r="AR83" i="34"/>
  <c r="AR67" i="34"/>
  <c r="AK70" i="34"/>
  <c r="AK54" i="34"/>
  <c r="AT83" i="34"/>
  <c r="AT67" i="34"/>
  <c r="BG80" i="34"/>
  <c r="BG64" i="34"/>
  <c r="BJ73" i="34"/>
  <c r="BJ57" i="34"/>
  <c r="AO73" i="34"/>
  <c r="AO57" i="34"/>
  <c r="BP54" i="34"/>
  <c r="BP70" i="34"/>
  <c r="BG54" i="34"/>
  <c r="BG70" i="34"/>
  <c r="BI81" i="34"/>
  <c r="BI65" i="34"/>
  <c r="BI85" i="34"/>
  <c r="BI69" i="34"/>
  <c r="BF81" i="34"/>
  <c r="BF65" i="34"/>
  <c r="AK85" i="34"/>
  <c r="AK69" i="34"/>
  <c r="BH79" i="34"/>
  <c r="BH63" i="34"/>
  <c r="BH81" i="34"/>
  <c r="BH65" i="34"/>
  <c r="AX85" i="34"/>
  <c r="AX69" i="34"/>
  <c r="BE79" i="34"/>
  <c r="BE63" i="34"/>
  <c r="BK81" i="34"/>
  <c r="BK65" i="34"/>
  <c r="BL74" i="34"/>
  <c r="BL58" i="34"/>
  <c r="AR68" i="34"/>
  <c r="AR84" i="34"/>
  <c r="BI54" i="34"/>
  <c r="BI70" i="34"/>
  <c r="AU55" i="34"/>
  <c r="AU71" i="34"/>
  <c r="BC59" i="34"/>
  <c r="BC75" i="34"/>
  <c r="BJ81" i="34"/>
  <c r="BJ65" i="34"/>
  <c r="AK59" i="34"/>
  <c r="AK75" i="34"/>
  <c r="BO74" i="34"/>
  <c r="BO58" i="34"/>
  <c r="BF59" i="34"/>
  <c r="BF75" i="34"/>
  <c r="AX83" i="34"/>
  <c r="AX67" i="34"/>
  <c r="AN81" i="34"/>
  <c r="AN65" i="34"/>
  <c r="AK84" i="34"/>
  <c r="AK68" i="34"/>
  <c r="AU74" i="34"/>
  <c r="AU58" i="34"/>
  <c r="AU84" i="34"/>
  <c r="AU68" i="34"/>
  <c r="AY74" i="34"/>
  <c r="AY58" i="34"/>
  <c r="AT84" i="34"/>
  <c r="AT68" i="34"/>
  <c r="BM72" i="34"/>
  <c r="BM56" i="34"/>
  <c r="BC70" i="34"/>
  <c r="BC54" i="34"/>
  <c r="AM70" i="34"/>
  <c r="AM54" i="34"/>
  <c r="BK83" i="34"/>
  <c r="BK67" i="34"/>
  <c r="AS75" i="34"/>
  <c r="AS59" i="34"/>
  <c r="BH84" i="34"/>
  <c r="BH68" i="34"/>
  <c r="AN78" i="34"/>
  <c r="AN62" i="34"/>
  <c r="BB55" i="34"/>
  <c r="BB71" i="34"/>
  <c r="BB83" i="34"/>
  <c r="BB67" i="34"/>
  <c r="AN72" i="34"/>
  <c r="AN56" i="34"/>
  <c r="BI68" i="34"/>
  <c r="BI84" i="34"/>
  <c r="BO76" i="34"/>
  <c r="BO60" i="34"/>
  <c r="AD39" i="45"/>
  <c r="AC35" i="45"/>
  <c r="AC30" i="45"/>
  <c r="AE29" i="45"/>
  <c r="AF29" i="45"/>
  <c r="BI79" i="34"/>
  <c r="BI63" i="34"/>
  <c r="BK73" i="34"/>
  <c r="BK57" i="34"/>
  <c r="BJ72" i="34"/>
  <c r="BJ56" i="34"/>
  <c r="AP72" i="34"/>
  <c r="AP56" i="34"/>
  <c r="AU57" i="34"/>
  <c r="AU73" i="34"/>
  <c r="AM72" i="34"/>
  <c r="AM56" i="34"/>
  <c r="AX71" i="34"/>
  <c r="AX55" i="34"/>
  <c r="AJ76" i="34"/>
  <c r="AJ60" i="34"/>
  <c r="BI74" i="34"/>
  <c r="BI58" i="34"/>
  <c r="BG59" i="34"/>
  <c r="BG75" i="34"/>
  <c r="BC76" i="34"/>
  <c r="BC60" i="34"/>
  <c r="BF70" i="34"/>
  <c r="BF54" i="34"/>
  <c r="AJ77" i="34"/>
  <c r="AJ61" i="34"/>
  <c r="AZ72" i="34"/>
  <c r="AZ56" i="34"/>
  <c r="BI80" i="34"/>
  <c r="BI64" i="34"/>
  <c r="AL83" i="34"/>
  <c r="AL67" i="34"/>
  <c r="AU75" i="34"/>
  <c r="AU59" i="34"/>
  <c r="AP80" i="34"/>
  <c r="AP64" i="34"/>
  <c r="AW55" i="34"/>
  <c r="AW71" i="34"/>
  <c r="BH80" i="34"/>
  <c r="BH64" i="34"/>
  <c r="AP76" i="34"/>
  <c r="AP60" i="34"/>
  <c r="BN81" i="34"/>
  <c r="BN65" i="34"/>
  <c r="AJ81" i="34"/>
  <c r="AJ65" i="34"/>
  <c r="AU79" i="34"/>
  <c r="AU63" i="34"/>
  <c r="BO85" i="34"/>
  <c r="BO69" i="34"/>
  <c r="BC79" i="34"/>
  <c r="BC63" i="34"/>
  <c r="AM85" i="34"/>
  <c r="AM69" i="34"/>
  <c r="BJ69" i="34"/>
  <c r="BJ85" i="34"/>
  <c r="AP79" i="34"/>
  <c r="AP63" i="34"/>
  <c r="AS85" i="34"/>
  <c r="AS69" i="34"/>
  <c r="AR75" i="34"/>
  <c r="AR59" i="34"/>
  <c r="AP70" i="34"/>
  <c r="AP54" i="34"/>
  <c r="BG69" i="34"/>
  <c r="BG85" i="34"/>
  <c r="BL80" i="34"/>
  <c r="BL64" i="34"/>
  <c r="AQ71" i="34"/>
  <c r="AQ55" i="34"/>
  <c r="BA74" i="34"/>
  <c r="BA58" i="34"/>
  <c r="AZ78" i="34"/>
  <c r="AZ62" i="34"/>
  <c r="BC84" i="34"/>
  <c r="BC68" i="34"/>
  <c r="BD55" i="34"/>
  <c r="BD71" i="34"/>
  <c r="AZ71" i="34"/>
  <c r="AZ55" i="34"/>
  <c r="AS73" i="34"/>
  <c r="AS57" i="34"/>
  <c r="AT74" i="34"/>
  <c r="AT58" i="34"/>
  <c r="BL73" i="34"/>
  <c r="BL57" i="34"/>
  <c r="BA56" i="34"/>
  <c r="BA72" i="34"/>
  <c r="AP68" i="34"/>
  <c r="AP84" i="34"/>
  <c r="AQ78" i="34"/>
  <c r="AQ62" i="34"/>
  <c r="AT59" i="34"/>
  <c r="AT75" i="34"/>
  <c r="AX80" i="34"/>
  <c r="AX64" i="34"/>
  <c r="BG78" i="34"/>
  <c r="BG62" i="34"/>
  <c r="AX70" i="34"/>
  <c r="AX54" i="34"/>
  <c r="AR58" i="34"/>
  <c r="AR74" i="34"/>
  <c r="AR62" i="34"/>
  <c r="AR78" i="34"/>
  <c r="BL84" i="34"/>
  <c r="BL68" i="34"/>
  <c r="BJ70" i="34"/>
  <c r="BJ54" i="34"/>
  <c r="BK54" i="34"/>
  <c r="BK70" i="34"/>
  <c r="AO74" i="34"/>
  <c r="AO58" i="34"/>
  <c r="BN80" i="34"/>
  <c r="BN64" i="34"/>
  <c r="AB36" i="45"/>
  <c r="AG30" i="45"/>
  <c r="AC39" i="45"/>
  <c r="AB30" i="45"/>
  <c r="AF30" i="45"/>
  <c r="AD32" i="45"/>
  <c r="AE39" i="45"/>
  <c r="AO81" i="34"/>
  <c r="AO65" i="34"/>
  <c r="BN73" i="34"/>
  <c r="BN57" i="34"/>
  <c r="AN73" i="34"/>
  <c r="AN57" i="34"/>
  <c r="AO54" i="34"/>
  <c r="AO70" i="34"/>
  <c r="AJ71" i="34"/>
  <c r="AJ55" i="34"/>
  <c r="AS72" i="34"/>
  <c r="AS56" i="34"/>
  <c r="BA83" i="34"/>
  <c r="BA67" i="34"/>
  <c r="AM71" i="34"/>
  <c r="AM55" i="34"/>
  <c r="BI78" i="34"/>
  <c r="BI62" i="34"/>
  <c r="BE72" i="34"/>
  <c r="BE56" i="34"/>
  <c r="AM80" i="34"/>
  <c r="AM64" i="34"/>
  <c r="BD83" i="34"/>
  <c r="BD67" i="34"/>
  <c r="BE71" i="34"/>
  <c r="BE55" i="34"/>
  <c r="AY76" i="34"/>
  <c r="AY60" i="34"/>
  <c r="BP83" i="34"/>
  <c r="BP67" i="34"/>
  <c r="BK71" i="34"/>
  <c r="BK55" i="34"/>
  <c r="AK72" i="34"/>
  <c r="AK56" i="34"/>
  <c r="AQ70" i="34"/>
  <c r="AQ54" i="34"/>
  <c r="BC83" i="34"/>
  <c r="BC67" i="34"/>
  <c r="BM80" i="34"/>
  <c r="BM64" i="34"/>
  <c r="AS76" i="34"/>
  <c r="AS60" i="34"/>
  <c r="AO85" i="34"/>
  <c r="AO69" i="34"/>
  <c r="BP81" i="34"/>
  <c r="BP65" i="34"/>
  <c r="AM63" i="34"/>
  <c r="AM79" i="34"/>
  <c r="BP79" i="34"/>
  <c r="BP63" i="34"/>
  <c r="BN79" i="34"/>
  <c r="BN63" i="34"/>
  <c r="AL85" i="34"/>
  <c r="AL69" i="34"/>
  <c r="AJ79" i="34"/>
  <c r="AJ63" i="34"/>
  <c r="AL79" i="34"/>
  <c r="AL63" i="34"/>
  <c r="BC85" i="34"/>
  <c r="BC69" i="34"/>
  <c r="BG84" i="34"/>
  <c r="BG68" i="34"/>
  <c r="AS71" i="34"/>
  <c r="AS55" i="34"/>
  <c r="BN70" i="34"/>
  <c r="BN54" i="34"/>
  <c r="AW59" i="34"/>
  <c r="AW75" i="34"/>
  <c r="BD84" i="34"/>
  <c r="BD68" i="34"/>
  <c r="BB58" i="34"/>
  <c r="BB74" i="34"/>
  <c r="AV78" i="34"/>
  <c r="AV62" i="34"/>
  <c r="BO78" i="34"/>
  <c r="BO62" i="34"/>
  <c r="AL72" i="34"/>
  <c r="AL56" i="34"/>
  <c r="BF83" i="34"/>
  <c r="BF67" i="34"/>
  <c r="BI71" i="34"/>
  <c r="BI55" i="34"/>
  <c r="AU81" i="34"/>
  <c r="AU65" i="34"/>
  <c r="AL68" i="34"/>
  <c r="AL84" i="34"/>
  <c r="AX84" i="34"/>
  <c r="AX68" i="34"/>
  <c r="BE58" i="34"/>
  <c r="BE74" i="34"/>
  <c r="AP75" i="34"/>
  <c r="AP59" i="34"/>
  <c r="BK62" i="34"/>
  <c r="BK78" i="34"/>
  <c r="BH83" i="34"/>
  <c r="BH67" i="34"/>
  <c r="BG55" i="34"/>
  <c r="BG71" i="34"/>
  <c r="BM81" i="34"/>
  <c r="BM65" i="34"/>
  <c r="AY80" i="34"/>
  <c r="AY64" i="34"/>
  <c r="AY84" i="34"/>
  <c r="AY68" i="34"/>
  <c r="BC78" i="34"/>
  <c r="BC62" i="34"/>
  <c r="BA78" i="34"/>
  <c r="BA62" i="34"/>
  <c r="AO72" i="34"/>
  <c r="AO56" i="34"/>
  <c r="AM60" i="34"/>
  <c r="AM76" i="34"/>
  <c r="BE76" i="34"/>
  <c r="BE60" i="34"/>
  <c r="AZ58" i="34"/>
  <c r="AZ74" i="34"/>
  <c r="BM78" i="34"/>
  <c r="BM62" i="34"/>
  <c r="AB29" i="45"/>
  <c r="AG37" i="45"/>
  <c r="AC32" i="45"/>
  <c r="AB37" i="45"/>
  <c r="AF37" i="45"/>
  <c r="BK79" i="34"/>
  <c r="BK63" i="34"/>
  <c r="AY72" i="34"/>
  <c r="AY56" i="34"/>
  <c r="AZ76" i="34"/>
  <c r="AZ60" i="34"/>
  <c r="BH74" i="34"/>
  <c r="BH58" i="34"/>
  <c r="AZ83" i="34"/>
  <c r="AZ67" i="34"/>
  <c r="BI76" i="34"/>
  <c r="BI60" i="34"/>
  <c r="BJ60" i="34"/>
  <c r="BJ76" i="34"/>
  <c r="AM83" i="34"/>
  <c r="AM67" i="34"/>
  <c r="BP84" i="34"/>
  <c r="BP68" i="34"/>
  <c r="BF73" i="34"/>
  <c r="BF57" i="34"/>
  <c r="AR80" i="34"/>
  <c r="AR64" i="34"/>
  <c r="AK83" i="34"/>
  <c r="AK67" i="34"/>
  <c r="AL73" i="34"/>
  <c r="AL57" i="34"/>
  <c r="AJ73" i="34"/>
  <c r="AJ57" i="34"/>
  <c r="AN83" i="34"/>
  <c r="AN67" i="34"/>
  <c r="BL83" i="34"/>
  <c r="BL67" i="34"/>
  <c r="AQ57" i="34"/>
  <c r="AQ73" i="34"/>
  <c r="AR70" i="34"/>
  <c r="AR54" i="34"/>
  <c r="BE83" i="34"/>
  <c r="BE67" i="34"/>
  <c r="BK80" i="34"/>
  <c r="BK64" i="34"/>
  <c r="AV76" i="34"/>
  <c r="AV60" i="34"/>
  <c r="BA85" i="34"/>
  <c r="BA69" i="34"/>
  <c r="BA79" i="34"/>
  <c r="BA63" i="34"/>
  <c r="BA81" i="34"/>
  <c r="BA65" i="34"/>
  <c r="BL79" i="34"/>
  <c r="BL63" i="34"/>
  <c r="AR81" i="34"/>
  <c r="AR65" i="34"/>
  <c r="AU85" i="34"/>
  <c r="AU69" i="34"/>
  <c r="BM85" i="34"/>
  <c r="BM69" i="34"/>
  <c r="AY81" i="34"/>
  <c r="AY65" i="34"/>
  <c r="AS81" i="34"/>
  <c r="AS65" i="34"/>
  <c r="BB78" i="34"/>
  <c r="BB62" i="34"/>
  <c r="AV81" i="34"/>
  <c r="AV65" i="34"/>
  <c r="BG72" i="34"/>
  <c r="BG56" i="34"/>
  <c r="BE75" i="34"/>
  <c r="BE59" i="34"/>
  <c r="BD74" i="34"/>
  <c r="BD58" i="34"/>
  <c r="AK74" i="34"/>
  <c r="AK58" i="34"/>
  <c r="BI75" i="34"/>
  <c r="BI59" i="34"/>
  <c r="BL75" i="34"/>
  <c r="BL59" i="34"/>
  <c r="AP55" i="34"/>
  <c r="AP71" i="34"/>
  <c r="BB70" i="34"/>
  <c r="BB54" i="34"/>
  <c r="AM73" i="34"/>
  <c r="AM57" i="34"/>
  <c r="BG81" i="34"/>
  <c r="BG65" i="34"/>
  <c r="BF74" i="34"/>
  <c r="BF58" i="34"/>
  <c r="BF84" i="34"/>
  <c r="BF68" i="34"/>
  <c r="AM74" i="34"/>
  <c r="AM58" i="34"/>
  <c r="AO75" i="34"/>
  <c r="AO59" i="34"/>
  <c r="AR57" i="34"/>
  <c r="AR73" i="34"/>
  <c r="BL81" i="34"/>
  <c r="BL65" i="34"/>
  <c r="AV71" i="34"/>
  <c r="AV55" i="34"/>
  <c r="BN75" i="34"/>
  <c r="BN59" i="34"/>
  <c r="BB75" i="34"/>
  <c r="BB59" i="34"/>
  <c r="BF78" i="34"/>
  <c r="BF62" i="34"/>
  <c r="BO54" i="34"/>
  <c r="BO70" i="34"/>
  <c r="BG73" i="34"/>
  <c r="BG57" i="34"/>
  <c r="BA84" i="34"/>
  <c r="BA68" i="34"/>
  <c r="BK56" i="34"/>
  <c r="BK72" i="34"/>
  <c r="BN76" i="34"/>
  <c r="BN60" i="34"/>
  <c r="AL82" i="34"/>
  <c r="AL66" i="34"/>
  <c r="AM81" i="34"/>
  <c r="AM65" i="34"/>
  <c r="BA80" i="34"/>
  <c r="BA64" i="34"/>
  <c r="AV70" i="34"/>
  <c r="AV54" i="34"/>
  <c r="AL60" i="34"/>
  <c r="AL76" i="34"/>
  <c r="AK73" i="34"/>
  <c r="AK57" i="34"/>
  <c r="BO73" i="34"/>
  <c r="BO57" i="34"/>
  <c r="AS83" i="34"/>
  <c r="AS67" i="34"/>
  <c r="BJ80" i="34"/>
  <c r="BJ64" i="34"/>
  <c r="BM74" i="34"/>
  <c r="BM58" i="34"/>
  <c r="AW84" i="34"/>
  <c r="AW68" i="34"/>
  <c r="BE70" i="34"/>
  <c r="BE54" i="34"/>
  <c r="AV72" i="34"/>
  <c r="AV56" i="34"/>
  <c r="AY70" i="34"/>
  <c r="AY54" i="34"/>
  <c r="AY83" i="34"/>
  <c r="AY67" i="34"/>
  <c r="BK84" i="34"/>
  <c r="BK68" i="34"/>
  <c r="AW54" i="34"/>
  <c r="AW70" i="34"/>
  <c r="AW74" i="34"/>
  <c r="AW58" i="34"/>
  <c r="BD80" i="34"/>
  <c r="BD64" i="34"/>
  <c r="AV80" i="34"/>
  <c r="AV64" i="34"/>
  <c r="AV73" i="34"/>
  <c r="AV57" i="34"/>
  <c r="AQ80" i="34"/>
  <c r="AQ64" i="34"/>
  <c r="BG63" i="34"/>
  <c r="BG79" i="34"/>
  <c r="BM79" i="34"/>
  <c r="BM63" i="34"/>
  <c r="AK81" i="34"/>
  <c r="AK65" i="34"/>
  <c r="AR79" i="34"/>
  <c r="AR63" i="34"/>
  <c r="AK79" i="34"/>
  <c r="AK63" i="34"/>
  <c r="BB85" i="34"/>
  <c r="BB69" i="34"/>
  <c r="AV85" i="34"/>
  <c r="AV69" i="34"/>
  <c r="AT79" i="34"/>
  <c r="AT63" i="34"/>
  <c r="BP85" i="34"/>
  <c r="BP69" i="34"/>
  <c r="BJ84" i="34"/>
  <c r="BJ68" i="34"/>
  <c r="BD72" i="34"/>
  <c r="BD56" i="34"/>
  <c r="AL71" i="34"/>
  <c r="AL55" i="34"/>
  <c r="BB81" i="34"/>
  <c r="BB65" i="34"/>
  <c r="BF72" i="34"/>
  <c r="BF56" i="34"/>
  <c r="BN74" i="34"/>
  <c r="BN58" i="34"/>
  <c r="BN78" i="34"/>
  <c r="BN62" i="34"/>
  <c r="BJ75" i="34"/>
  <c r="BJ59" i="34"/>
  <c r="BN68" i="34"/>
  <c r="BN84" i="34"/>
  <c r="BK76" i="34"/>
  <c r="BK60" i="34"/>
  <c r="BP74" i="34"/>
  <c r="BP58" i="34"/>
  <c r="BO72" i="34"/>
  <c r="BO56" i="34"/>
  <c r="AN60" i="34"/>
  <c r="AN76" i="34"/>
  <c r="AL58" i="34"/>
  <c r="AL74" i="34"/>
  <c r="AQ59" i="34"/>
  <c r="AQ75" i="34"/>
  <c r="BB84" i="34"/>
  <c r="BB68" i="34"/>
  <c r="AZ32" i="45" s="1"/>
  <c r="AL70" i="34"/>
  <c r="AL54" i="34"/>
  <c r="BP71" i="34"/>
  <c r="BP55" i="34"/>
  <c r="AJ59" i="34"/>
  <c r="AJ75" i="34"/>
  <c r="AM78" i="34"/>
  <c r="AM62" i="34"/>
  <c r="AS74" i="34"/>
  <c r="AS58" i="34"/>
  <c r="AQ84" i="34"/>
  <c r="AQ68" i="34"/>
  <c r="BP72" i="34"/>
  <c r="BP56" i="34"/>
  <c r="AX73" i="34"/>
  <c r="AX57" i="34"/>
  <c r="AZ73" i="34"/>
  <c r="AZ57" i="34"/>
  <c r="AZ81" i="34"/>
  <c r="AZ65" i="34"/>
  <c r="AQ85" i="34"/>
  <c r="AQ69" i="34"/>
  <c r="AU70" i="34"/>
  <c r="AU54" i="34"/>
  <c r="AE32" i="45"/>
  <c r="AS82" i="34"/>
  <c r="AS66" i="34"/>
  <c r="AJ68" i="34"/>
  <c r="AJ84" i="34"/>
  <c r="BL72" i="34"/>
  <c r="BL56" i="34"/>
  <c r="AU72" i="34"/>
  <c r="AU56" i="34"/>
  <c r="BH78" i="34"/>
  <c r="BH62" i="34"/>
  <c r="BH76" i="34"/>
  <c r="BH60" i="34"/>
  <c r="BG67" i="34"/>
  <c r="BG83" i="34"/>
  <c r="AT57" i="34"/>
  <c r="AT73" i="34"/>
  <c r="AR76" i="34"/>
  <c r="AR60" i="34"/>
  <c r="AJ78" i="34"/>
  <c r="AJ62" i="34"/>
  <c r="AT71" i="34"/>
  <c r="AT55" i="34"/>
  <c r="BA73" i="34"/>
  <c r="BA57" i="34"/>
  <c r="BA71" i="34"/>
  <c r="BA55" i="34"/>
  <c r="BF80" i="34"/>
  <c r="BF64" i="34"/>
  <c r="AQ67" i="34"/>
  <c r="AQ83" i="34"/>
  <c r="BE57" i="34"/>
  <c r="BE73" i="34"/>
  <c r="AU80" i="34"/>
  <c r="AU64" i="34"/>
  <c r="BC71" i="34"/>
  <c r="BC55" i="34"/>
  <c r="AT72" i="34"/>
  <c r="AT56" i="34"/>
  <c r="BO71" i="34"/>
  <c r="BO55" i="34"/>
  <c r="AQ76" i="34"/>
  <c r="AQ60" i="34"/>
  <c r="BJ79" i="34"/>
  <c r="BJ63" i="34"/>
  <c r="AZ79" i="34"/>
  <c r="AZ63" i="34"/>
  <c r="BF79" i="34"/>
  <c r="BF63" i="34"/>
  <c r="BD85" i="34"/>
  <c r="BD69" i="34"/>
  <c r="AN79" i="34"/>
  <c r="AN63" i="34"/>
  <c r="BO79" i="34"/>
  <c r="BO63" i="34"/>
  <c r="AR85" i="34"/>
  <c r="AR69" i="34"/>
  <c r="AW79" i="34"/>
  <c r="AW63" i="34"/>
  <c r="BD79" i="34"/>
  <c r="BD63" i="34"/>
  <c r="BK74" i="34"/>
  <c r="BK58" i="34"/>
  <c r="AV84" i="34"/>
  <c r="AV68" i="34"/>
  <c r="BD54" i="34"/>
  <c r="BD70" i="34"/>
  <c r="AJ74" i="34"/>
  <c r="AJ58" i="34"/>
  <c r="BO84" i="34"/>
  <c r="BM39" i="45" s="1"/>
  <c r="BO68" i="34"/>
  <c r="AV83" i="34"/>
  <c r="AV67" i="34"/>
  <c r="AM59" i="34"/>
  <c r="AM75" i="34"/>
  <c r="AX75" i="34"/>
  <c r="AX59" i="34"/>
  <c r="AM68" i="34"/>
  <c r="AM84" i="34"/>
  <c r="AR71" i="34"/>
  <c r="AR55" i="34"/>
  <c r="BJ71" i="34"/>
  <c r="BJ55" i="34"/>
  <c r="BD81" i="34"/>
  <c r="BD65" i="34"/>
  <c r="BD62" i="34"/>
  <c r="BD78" i="34"/>
  <c r="AZ84" i="34"/>
  <c r="AZ68" i="34"/>
  <c r="AP74" i="34"/>
  <c r="AP58" i="34"/>
  <c r="BJ78" i="34"/>
  <c r="BJ62" i="34"/>
  <c r="AP62" i="34"/>
  <c r="AP78" i="34"/>
  <c r="AJ83" i="34"/>
  <c r="AJ67" i="34"/>
  <c r="AP85" i="34"/>
  <c r="AP69" i="34"/>
  <c r="BP80" i="34"/>
  <c r="BP64" i="34"/>
  <c r="BO80" i="34"/>
  <c r="BO64" i="34"/>
  <c r="BE84" i="34"/>
  <c r="BE68" i="34"/>
  <c r="BD75" i="34"/>
  <c r="BD59" i="34"/>
  <c r="BL78" i="34"/>
  <c r="BL62" i="34"/>
  <c r="BL54" i="34"/>
  <c r="BL70" i="34"/>
  <c r="AT76" i="34"/>
  <c r="AT60" i="34"/>
  <c r="AL75" i="34"/>
  <c r="AL59" i="34"/>
  <c r="BC81" i="34"/>
  <c r="BC65" i="34"/>
  <c r="AG32" i="45"/>
  <c r="AG35" i="45"/>
  <c r="AB35" i="45"/>
  <c r="AC36" i="45"/>
  <c r="AF39" i="45"/>
  <c r="AG29" i="45"/>
  <c r="AD28" i="45"/>
  <c r="AD35" i="45"/>
  <c r="AD29" i="45"/>
  <c r="AD36" i="45"/>
  <c r="AD37" i="45"/>
  <c r="AD30" i="45"/>
  <c r="AT32" i="45" l="1"/>
  <c r="BN40" i="45"/>
  <c r="AJ38" i="45"/>
  <c r="BK40" i="45"/>
  <c r="AY40" i="45"/>
  <c r="AQ33" i="45"/>
  <c r="BC37" i="45"/>
  <c r="AH40" i="45"/>
  <c r="BC40" i="45"/>
  <c r="AP40" i="45"/>
  <c r="AO33" i="45"/>
  <c r="AZ33" i="45"/>
  <c r="AS33" i="45"/>
  <c r="AJ40" i="45"/>
  <c r="AQ40" i="45"/>
  <c r="BH33" i="45"/>
  <c r="AV33" i="45"/>
  <c r="BJ33" i="45"/>
  <c r="AU40" i="45"/>
  <c r="BD33" i="45"/>
  <c r="AL33" i="45"/>
  <c r="BI33" i="45"/>
  <c r="BF40" i="45"/>
  <c r="AW40" i="45"/>
  <c r="AT40" i="45"/>
  <c r="AI40" i="45"/>
  <c r="AR40" i="45"/>
  <c r="BB33" i="45"/>
  <c r="AQ31" i="45"/>
  <c r="AF27" i="45"/>
  <c r="AF61" i="45" s="1"/>
  <c r="AR37" i="45"/>
  <c r="AZ40" i="45"/>
  <c r="AS40" i="45"/>
  <c r="AL39" i="45"/>
  <c r="BA33" i="45"/>
  <c r="AM33" i="45"/>
  <c r="BE40" i="45"/>
  <c r="AK33" i="45"/>
  <c r="BM33" i="45"/>
  <c r="AV40" i="45"/>
  <c r="BJ40" i="45"/>
  <c r="AU33" i="45"/>
  <c r="BD40" i="45"/>
  <c r="AL40" i="45"/>
  <c r="BI40" i="45"/>
  <c r="BF33" i="45"/>
  <c r="AW33" i="45"/>
  <c r="AP33" i="45"/>
  <c r="AJ33" i="45"/>
  <c r="BH40" i="45"/>
  <c r="BG40" i="45"/>
  <c r="AX40" i="45"/>
  <c r="BL40" i="45"/>
  <c r="AN33" i="45"/>
  <c r="AO40" i="45"/>
  <c r="AN40" i="45"/>
  <c r="BB40" i="45"/>
  <c r="AO32" i="45"/>
  <c r="AQ38" i="45"/>
  <c r="BN33" i="45"/>
  <c r="AT33" i="45"/>
  <c r="AJ31" i="45"/>
  <c r="BK33" i="45"/>
  <c r="AY33" i="45"/>
  <c r="BA40" i="45"/>
  <c r="AM40" i="45"/>
  <c r="BE33" i="45"/>
  <c r="AK40" i="45"/>
  <c r="BM40" i="45"/>
  <c r="AI33" i="45"/>
  <c r="BG33" i="45"/>
  <c r="AX33" i="45"/>
  <c r="AR33" i="45"/>
  <c r="BL33" i="45"/>
  <c r="AH33" i="45"/>
  <c r="BC33" i="45"/>
  <c r="BK39" i="45"/>
  <c r="AY39" i="45"/>
  <c r="BN39" i="45"/>
  <c r="AI32" i="45"/>
  <c r="BE39" i="45"/>
  <c r="BC32" i="45"/>
  <c r="AX32" i="45"/>
  <c r="AL30" i="45"/>
  <c r="BD30" i="45"/>
  <c r="AU28" i="45"/>
  <c r="AJ30" i="45"/>
  <c r="AU30" i="45"/>
  <c r="BF32" i="45"/>
  <c r="AV32" i="45"/>
  <c r="BH30" i="45"/>
  <c r="AW35" i="45"/>
  <c r="AH30" i="45"/>
  <c r="BL30" i="45"/>
  <c r="AU35" i="45"/>
  <c r="BJ32" i="45"/>
  <c r="BD37" i="45"/>
  <c r="AP30" i="45"/>
  <c r="AU37" i="45"/>
  <c r="AI37" i="45"/>
  <c r="AZ35" i="45"/>
  <c r="AS39" i="45"/>
  <c r="AM39" i="45"/>
  <c r="AJ37" i="45"/>
  <c r="AM32" i="45"/>
  <c r="AH36" i="45"/>
  <c r="AL37" i="45"/>
  <c r="AR30" i="45"/>
  <c r="AW28" i="45"/>
  <c r="AI30" i="45"/>
  <c r="AU32" i="45"/>
  <c r="AL32" i="45"/>
  <c r="AS32" i="45"/>
  <c r="AN30" i="45"/>
  <c r="AJ35" i="45"/>
  <c r="BB28" i="45"/>
  <c r="BC39" i="45"/>
  <c r="AH39" i="45"/>
  <c r="AX39" i="45"/>
  <c r="BH37" i="45"/>
  <c r="BK30" i="45"/>
  <c r="AZ28" i="45"/>
  <c r="AH37" i="45"/>
  <c r="BL37" i="45"/>
  <c r="BJ35" i="45"/>
  <c r="AX30" i="45"/>
  <c r="BE37" i="45"/>
  <c r="AJ28" i="45"/>
  <c r="BN32" i="45"/>
  <c r="BJ28" i="45"/>
  <c r="AH29" i="45"/>
  <c r="AE34" i="45"/>
  <c r="AE62" i="45" s="1"/>
  <c r="AT39" i="45"/>
  <c r="BB35" i="45"/>
  <c r="AO39" i="45"/>
  <c r="AP37" i="45"/>
  <c r="BK37" i="45"/>
  <c r="BB32" i="45"/>
  <c r="BL28" i="45"/>
  <c r="BC30" i="45"/>
  <c r="AX37" i="45"/>
  <c r="AW32" i="45"/>
  <c r="AW39" i="45"/>
  <c r="AT28" i="45"/>
  <c r="BB37" i="45"/>
  <c r="BC28" i="45"/>
  <c r="AP28" i="45"/>
  <c r="AK32" i="45"/>
  <c r="BD39" i="45"/>
  <c r="AK30" i="45"/>
  <c r="AO35" i="45"/>
  <c r="AM28" i="45"/>
  <c r="AE27" i="45"/>
  <c r="AE61" i="45" s="1"/>
  <c r="BH35" i="45"/>
  <c r="AV35" i="45"/>
  <c r="BA39" i="45"/>
  <c r="AN35" i="45"/>
  <c r="BA37" i="45"/>
  <c r="AS37" i="45"/>
  <c r="AJ39" i="45"/>
  <c r="BD35" i="45"/>
  <c r="AZ39" i="45"/>
  <c r="AK35" i="45"/>
  <c r="BG28" i="45"/>
  <c r="BE28" i="45"/>
  <c r="AI35" i="45"/>
  <c r="BL39" i="45"/>
  <c r="AT37" i="45"/>
  <c r="AW30" i="45"/>
  <c r="AH35" i="45"/>
  <c r="AO30" i="45"/>
  <c r="AR28" i="45"/>
  <c r="AN32" i="45"/>
  <c r="AQ32" i="45"/>
  <c r="AB27" i="45"/>
  <c r="AB61" i="45" s="1"/>
  <c r="BG39" i="45"/>
  <c r="AZ37" i="45"/>
  <c r="AV37" i="45"/>
  <c r="BF35" i="45"/>
  <c r="AB34" i="45"/>
  <c r="AB62" i="45" s="1"/>
  <c r="BM30" i="45"/>
  <c r="BC35" i="45"/>
  <c r="AT35" i="45"/>
  <c r="AP35" i="45"/>
  <c r="AK39" i="45"/>
  <c r="BE32" i="45"/>
  <c r="BN30" i="45"/>
  <c r="AY32" i="45"/>
  <c r="BI35" i="45"/>
  <c r="BG30" i="45"/>
  <c r="BI32" i="45"/>
  <c r="BA28" i="45"/>
  <c r="BF30" i="45"/>
  <c r="BN35" i="45"/>
  <c r="AR32" i="45"/>
  <c r="AP32" i="45"/>
  <c r="AU39" i="45"/>
  <c r="AW37" i="45"/>
  <c r="AH28" i="45"/>
  <c r="AO37" i="45"/>
  <c r="AR35" i="45"/>
  <c r="AN39" i="45"/>
  <c r="AQ39" i="45"/>
  <c r="AG27" i="45"/>
  <c r="AG61" i="45" s="1"/>
  <c r="AQ28" i="45"/>
  <c r="AY35" i="45"/>
  <c r="AQ30" i="45"/>
  <c r="AX28" i="45"/>
  <c r="AG34" i="45"/>
  <c r="AG62" i="45" s="1"/>
  <c r="BM37" i="45"/>
  <c r="AS28" i="45"/>
  <c r="BM35" i="45"/>
  <c r="BJ30" i="45"/>
  <c r="AY30" i="45"/>
  <c r="BI30" i="45"/>
  <c r="BB39" i="45"/>
  <c r="BL35" i="45"/>
  <c r="BN37" i="45"/>
  <c r="BI28" i="45"/>
  <c r="BJ39" i="45"/>
  <c r="AN37" i="45"/>
  <c r="AC34" i="45"/>
  <c r="AC62" i="45" s="1"/>
  <c r="BF39" i="45"/>
  <c r="BI39" i="45"/>
  <c r="BA35" i="45"/>
  <c r="AI39" i="45"/>
  <c r="AV39" i="45"/>
  <c r="BF37" i="45"/>
  <c r="BG37" i="45"/>
  <c r="BN28" i="45"/>
  <c r="AR39" i="45"/>
  <c r="AP39" i="45"/>
  <c r="AM30" i="45"/>
  <c r="BH32" i="45"/>
  <c r="BK28" i="45"/>
  <c r="AL28" i="45"/>
  <c r="AQ35" i="45"/>
  <c r="AY28" i="45"/>
  <c r="AQ37" i="45"/>
  <c r="AX35" i="45"/>
  <c r="AH32" i="45"/>
  <c r="BB30" i="45"/>
  <c r="AS35" i="45"/>
  <c r="BE30" i="45"/>
  <c r="BM28" i="45"/>
  <c r="BJ37" i="45"/>
  <c r="AY37" i="45"/>
  <c r="BI37" i="45"/>
  <c r="BD32" i="45"/>
  <c r="AK37" i="45"/>
  <c r="AO28" i="45"/>
  <c r="AM35" i="45"/>
  <c r="AF34" i="45"/>
  <c r="AF62" i="45" s="1"/>
  <c r="BH28" i="45"/>
  <c r="AV28" i="45"/>
  <c r="BA32" i="45"/>
  <c r="AN28" i="45"/>
  <c r="BA30" i="45"/>
  <c r="AS30" i="45"/>
  <c r="AJ32" i="45"/>
  <c r="BD28" i="45"/>
  <c r="AK28" i="45"/>
  <c r="BG35" i="45"/>
  <c r="BE35" i="45"/>
  <c r="AI28" i="45"/>
  <c r="BL32" i="45"/>
  <c r="AT30" i="45"/>
  <c r="AM37" i="45"/>
  <c r="BH39" i="45"/>
  <c r="BK35" i="45"/>
  <c r="AL35" i="45"/>
  <c r="BG32" i="45"/>
  <c r="AZ30" i="45"/>
  <c r="AV30" i="45"/>
  <c r="BM32" i="45"/>
  <c r="BK32" i="45"/>
  <c r="BF28" i="45"/>
  <c r="AC27" i="45"/>
  <c r="AC61" i="45" s="1"/>
  <c r="AD34" i="45"/>
  <c r="AD62" i="45" s="1"/>
  <c r="AD27" i="45"/>
  <c r="AD61" i="45" s="1"/>
  <c r="AE27" i="68" l="1"/>
  <c r="AE61" i="68" s="1"/>
  <c r="AE34" i="68"/>
  <c r="AE62" i="68" s="1"/>
  <c r="AF61" i="68"/>
  <c r="AF62" i="68"/>
  <c r="AI62" i="68"/>
  <c r="AI61" i="68"/>
  <c r="AJ62" i="68"/>
  <c r="AJ61" i="68"/>
  <c r="AH61" i="68"/>
  <c r="AG62" i="68"/>
  <c r="AH62" i="68"/>
  <c r="AG61" i="68"/>
  <c r="AF72" i="45"/>
  <c r="AF73" i="45" s="1"/>
  <c r="AE72" i="45"/>
  <c r="AE73" i="45" s="1"/>
  <c r="AC72" i="45"/>
  <c r="AC73" i="45" s="1"/>
  <c r="AG72" i="45"/>
  <c r="AG73" i="45" s="1"/>
  <c r="AH34" i="45"/>
  <c r="AH62" i="45" s="1"/>
  <c r="AB72" i="45"/>
  <c r="AB73" i="45" s="1"/>
  <c r="AH27" i="45"/>
  <c r="AH61" i="45" s="1"/>
  <c r="AD72" i="45"/>
  <c r="AD73" i="45" s="1"/>
  <c r="AD80" i="45" l="1"/>
  <c r="D4" i="63"/>
  <c r="AC80" i="45"/>
  <c r="C4" i="63"/>
  <c r="AB80" i="45"/>
  <c r="B4" i="63"/>
  <c r="AK62" i="68"/>
  <c r="AK61" i="68"/>
  <c r="AF80" i="45"/>
  <c r="F4" i="63"/>
  <c r="AG80" i="45"/>
  <c r="G4" i="63"/>
  <c r="AE80" i="45"/>
  <c r="E4" i="63"/>
  <c r="AH72" i="45"/>
  <c r="AH73" i="45" s="1"/>
  <c r="H4" i="63" s="1"/>
  <c r="AL77" i="34"/>
  <c r="AL61" i="34"/>
  <c r="AK77" i="34"/>
  <c r="AK61" i="34"/>
  <c r="AJ29" i="45" l="1"/>
  <c r="AM61" i="68" s="1"/>
  <c r="AJ36" i="45"/>
  <c r="AM62" i="68" s="1"/>
  <c r="AI29" i="45"/>
  <c r="AL61" i="68" s="1"/>
  <c r="AI36" i="45"/>
  <c r="AL62" i="68" s="1"/>
  <c r="AM61" i="34"/>
  <c r="AM77" i="34"/>
  <c r="AJ27" i="45" l="1"/>
  <c r="AJ61" i="45" s="1"/>
  <c r="AJ34" i="45"/>
  <c r="AJ62" i="45" s="1"/>
  <c r="AI27" i="45"/>
  <c r="AI61" i="45" s="1"/>
  <c r="AI34" i="45"/>
  <c r="AI62" i="45" s="1"/>
  <c r="AI72" i="45" s="1"/>
  <c r="AI73" i="45" s="1"/>
  <c r="I4" i="63" s="1"/>
  <c r="AK36" i="45"/>
  <c r="AN62" i="68" s="1"/>
  <c r="AK29" i="45"/>
  <c r="AN61" i="68" s="1"/>
  <c r="AN77" i="34"/>
  <c r="AN61" i="34"/>
  <c r="AJ72" i="45" l="1"/>
  <c r="AJ73" i="45" s="1"/>
  <c r="J4" i="63" s="1"/>
  <c r="AK27" i="45"/>
  <c r="AK61" i="45" s="1"/>
  <c r="AK34" i="45"/>
  <c r="AK62" i="45" s="1"/>
  <c r="AL36" i="45"/>
  <c r="AO62" i="68" s="1"/>
  <c r="AL29" i="45"/>
  <c r="AO77" i="34"/>
  <c r="AO61" i="34"/>
  <c r="AK72" i="45" l="1"/>
  <c r="AK73" i="45" s="1"/>
  <c r="K4" i="63" s="1"/>
  <c r="AO61" i="68"/>
  <c r="AL34" i="45"/>
  <c r="AL62" i="45" s="1"/>
  <c r="AM36" i="45"/>
  <c r="AP62" i="68" s="1"/>
  <c r="AM29" i="45"/>
  <c r="AP61" i="68" s="1"/>
  <c r="AL27" i="45"/>
  <c r="AL61" i="45" s="1"/>
  <c r="AP77" i="34"/>
  <c r="AP61" i="34"/>
  <c r="AL72" i="45" l="1"/>
  <c r="AL73" i="45" s="1"/>
  <c r="L4" i="63" s="1"/>
  <c r="AM34" i="45"/>
  <c r="AM62" i="45" s="1"/>
  <c r="AM27" i="45"/>
  <c r="AM61" i="45" s="1"/>
  <c r="AN36" i="45"/>
  <c r="AQ62" i="68" s="1"/>
  <c r="AN29" i="45"/>
  <c r="AQ61" i="68" s="1"/>
  <c r="AQ77" i="34"/>
  <c r="AQ61" i="34"/>
  <c r="AM72" i="45" l="1"/>
  <c r="AM73" i="45" s="1"/>
  <c r="M4" i="63" s="1"/>
  <c r="AN27" i="45"/>
  <c r="AN61" i="45" s="1"/>
  <c r="AN34" i="45"/>
  <c r="AN62" i="45" s="1"/>
  <c r="AO29" i="45"/>
  <c r="AR61" i="68" s="1"/>
  <c r="AO36" i="45"/>
  <c r="AR77" i="34"/>
  <c r="AR61" i="34"/>
  <c r="AN72" i="45" l="1"/>
  <c r="AN73" i="45" s="1"/>
  <c r="N4" i="63" s="1"/>
  <c r="AO27" i="45"/>
  <c r="AO61" i="45" s="1"/>
  <c r="AO34" i="45"/>
  <c r="AO62" i="45" s="1"/>
  <c r="AR62" i="68"/>
  <c r="AP29" i="45"/>
  <c r="AS61" i="68" s="1"/>
  <c r="AP36" i="45"/>
  <c r="AS62" i="68" s="1"/>
  <c r="AS77" i="34"/>
  <c r="AS61" i="34"/>
  <c r="AO72" i="45" l="1"/>
  <c r="AO73" i="45" s="1"/>
  <c r="O4" i="63" s="1"/>
  <c r="AP27" i="45"/>
  <c r="AP61" i="45" s="1"/>
  <c r="AP34" i="45"/>
  <c r="AP62" i="45" s="1"/>
  <c r="AQ29" i="45"/>
  <c r="AQ36" i="45"/>
  <c r="AT62" i="68" s="1"/>
  <c r="AT77" i="34"/>
  <c r="AT61" i="34"/>
  <c r="AP72" i="45" l="1"/>
  <c r="AP73" i="45" s="1"/>
  <c r="P4" i="63" s="1"/>
  <c r="AQ34" i="45"/>
  <c r="AQ62" i="45" s="1"/>
  <c r="AQ27" i="45"/>
  <c r="AQ61" i="45" s="1"/>
  <c r="AT61" i="68"/>
  <c r="AR36" i="45"/>
  <c r="AU62" i="68" s="1"/>
  <c r="AR29" i="45"/>
  <c r="AU61" i="34"/>
  <c r="AU77" i="34"/>
  <c r="AQ72" i="45" l="1"/>
  <c r="AQ73" i="45" s="1"/>
  <c r="Q4" i="63" s="1"/>
  <c r="AR27" i="45"/>
  <c r="AR61" i="45" s="1"/>
  <c r="AU61" i="68"/>
  <c r="AR34" i="45"/>
  <c r="AR62" i="45" s="1"/>
  <c r="AS36" i="45"/>
  <c r="AV62" i="68" s="1"/>
  <c r="AS29" i="45"/>
  <c r="AV61" i="68" s="1"/>
  <c r="AV77" i="34"/>
  <c r="AV61" i="34"/>
  <c r="AR72" i="45" l="1"/>
  <c r="AR73" i="45" s="1"/>
  <c r="R4" i="63" s="1"/>
  <c r="AS27" i="45"/>
  <c r="AS61" i="45" s="1"/>
  <c r="AS34" i="45"/>
  <c r="AS62" i="45" s="1"/>
  <c r="AT36" i="45"/>
  <c r="AW62" i="68" s="1"/>
  <c r="AT29" i="45"/>
  <c r="AW61" i="68" s="1"/>
  <c r="AW61" i="34"/>
  <c r="AW77" i="34"/>
  <c r="AS72" i="45" l="1"/>
  <c r="AS73" i="45" s="1"/>
  <c r="S4" i="63" s="1"/>
  <c r="AT34" i="45"/>
  <c r="AT62" i="45" s="1"/>
  <c r="AT27" i="45"/>
  <c r="AT61" i="45" s="1"/>
  <c r="AU36" i="45"/>
  <c r="AX62" i="68" s="1"/>
  <c r="AU29" i="45"/>
  <c r="AX77" i="34"/>
  <c r="AX61" i="34"/>
  <c r="AT72" i="45" l="1"/>
  <c r="AT73" i="45" s="1"/>
  <c r="T4" i="63" s="1"/>
  <c r="AU34" i="45"/>
  <c r="AU62" i="45" s="1"/>
  <c r="AU72" i="45" s="1"/>
  <c r="AU73" i="45" s="1"/>
  <c r="U4" i="63" s="1"/>
  <c r="AU27" i="45"/>
  <c r="AU61" i="45" s="1"/>
  <c r="AX61" i="68"/>
  <c r="AV29" i="45"/>
  <c r="AY61" i="68" s="1"/>
  <c r="AV36" i="45"/>
  <c r="AY77" i="34"/>
  <c r="AY61" i="34"/>
  <c r="AV27" i="45" l="1"/>
  <c r="AV61" i="45" s="1"/>
  <c r="AY62" i="68"/>
  <c r="AW29" i="45"/>
  <c r="AZ61" i="68" s="1"/>
  <c r="AW36" i="45"/>
  <c r="AV34" i="45"/>
  <c r="AV62" i="45" s="1"/>
  <c r="AZ61" i="34"/>
  <c r="AZ77" i="34"/>
  <c r="AW27" i="45" l="1"/>
  <c r="AW61" i="45" s="1"/>
  <c r="AZ62" i="68"/>
  <c r="AV72" i="45"/>
  <c r="AV73" i="45" s="1"/>
  <c r="V4" i="63" s="1"/>
  <c r="AW34" i="45"/>
  <c r="AW62" i="45" s="1"/>
  <c r="AX36" i="45"/>
  <c r="AX34" i="45" s="1"/>
  <c r="AX62" i="45" s="1"/>
  <c r="AX29" i="45"/>
  <c r="BA77" i="34"/>
  <c r="BA61" i="34"/>
  <c r="BA61" i="68" l="1"/>
  <c r="AW72" i="45"/>
  <c r="AW73" i="45" s="1"/>
  <c r="W4" i="63" s="1"/>
  <c r="BA62" i="68"/>
  <c r="AY29" i="45"/>
  <c r="BB61" i="68" s="1"/>
  <c r="AX27" i="45"/>
  <c r="AX61" i="45" s="1"/>
  <c r="AX72" i="45" s="1"/>
  <c r="AX73" i="45" s="1"/>
  <c r="X4" i="63" s="1"/>
  <c r="AY36" i="45"/>
  <c r="BB77" i="34"/>
  <c r="BB61" i="34"/>
  <c r="AY27" i="45" l="1"/>
  <c r="AY61" i="45" s="1"/>
  <c r="AY34" i="45"/>
  <c r="AY62" i="45" s="1"/>
  <c r="BB62" i="68"/>
  <c r="AZ36" i="45"/>
  <c r="BC62" i="68" s="1"/>
  <c r="AZ29" i="45"/>
  <c r="BC61" i="68" s="1"/>
  <c r="BC77" i="34"/>
  <c r="BC61" i="34"/>
  <c r="AY72" i="45" l="1"/>
  <c r="AY73" i="45" s="1"/>
  <c r="Y4" i="63" s="1"/>
  <c r="AZ34" i="45"/>
  <c r="AZ62" i="45" s="1"/>
  <c r="AZ27" i="45"/>
  <c r="AZ61" i="45" s="1"/>
  <c r="AZ72" i="45" s="1"/>
  <c r="AZ73" i="45" s="1"/>
  <c r="Z4" i="63" s="1"/>
  <c r="BA36" i="45"/>
  <c r="BD62" i="68" s="1"/>
  <c r="BA29" i="45"/>
  <c r="BD61" i="68" s="1"/>
  <c r="BD61" i="34"/>
  <c r="BD77" i="34"/>
  <c r="BA27" i="45" l="1"/>
  <c r="BA61" i="45" s="1"/>
  <c r="BA34" i="45"/>
  <c r="BA62" i="45" s="1"/>
  <c r="BB36" i="45"/>
  <c r="BE62" i="68" s="1"/>
  <c r="BB29" i="45"/>
  <c r="BE61" i="68" s="1"/>
  <c r="BE77" i="34"/>
  <c r="BE61" i="34"/>
  <c r="BA72" i="45" l="1"/>
  <c r="BA73" i="45" s="1"/>
  <c r="AA4" i="63" s="1"/>
  <c r="BB34" i="45"/>
  <c r="BB62" i="45" s="1"/>
  <c r="BB27" i="45"/>
  <c r="BB61" i="45" s="1"/>
  <c r="BC29" i="45"/>
  <c r="BC27" i="45" s="1"/>
  <c r="BC61" i="45" s="1"/>
  <c r="BC36" i="45"/>
  <c r="BF62" i="68" s="1"/>
  <c r="BF77" i="34"/>
  <c r="BF61" i="34"/>
  <c r="BB72" i="45" l="1"/>
  <c r="BB73" i="45" s="1"/>
  <c r="AB4" i="63" s="1"/>
  <c r="BC34" i="45"/>
  <c r="BC62" i="45" s="1"/>
  <c r="BC72" i="45" s="1"/>
  <c r="BC73" i="45" s="1"/>
  <c r="AC4" i="63" s="1"/>
  <c r="BF61" i="68"/>
  <c r="BD36" i="45"/>
  <c r="BD29" i="45"/>
  <c r="BG77" i="34"/>
  <c r="BG61" i="34"/>
  <c r="BG62" i="68" l="1"/>
  <c r="BG61" i="68"/>
  <c r="BD34" i="45"/>
  <c r="BD62" i="45" s="1"/>
  <c r="BE36" i="45"/>
  <c r="BH62" i="68" s="1"/>
  <c r="BE29" i="45"/>
  <c r="BH61" i="68" s="1"/>
  <c r="BD27" i="45"/>
  <c r="BD61" i="45" s="1"/>
  <c r="BH77" i="34"/>
  <c r="BH61" i="34"/>
  <c r="BE34" i="45" l="1"/>
  <c r="BE62" i="45" s="1"/>
  <c r="BE27" i="45"/>
  <c r="BE61" i="45" s="1"/>
  <c r="BD72" i="45"/>
  <c r="BD73" i="45" s="1"/>
  <c r="AD4" i="63" s="1"/>
  <c r="BF36" i="45"/>
  <c r="BI62" i="68" s="1"/>
  <c r="BF29" i="45"/>
  <c r="BI77" i="34"/>
  <c r="BI61" i="34"/>
  <c r="BE72" i="45" l="1"/>
  <c r="BE73" i="45" s="1"/>
  <c r="AE4" i="63" s="1"/>
  <c r="BI61" i="68"/>
  <c r="BF34" i="45"/>
  <c r="BF62" i="45" s="1"/>
  <c r="BG36" i="45"/>
  <c r="BF27" i="45"/>
  <c r="BF61" i="45" s="1"/>
  <c r="BG29" i="45"/>
  <c r="BG27" i="45" s="1"/>
  <c r="BG61" i="45" s="1"/>
  <c r="BJ77" i="34"/>
  <c r="BJ61" i="34"/>
  <c r="BF72" i="45" l="1"/>
  <c r="BF73" i="45" s="1"/>
  <c r="AF4" i="63" s="1"/>
  <c r="BJ61" i="68"/>
  <c r="BG34" i="45"/>
  <c r="BG62" i="45" s="1"/>
  <c r="BJ62" i="68"/>
  <c r="BH36" i="45"/>
  <c r="BK62" i="68" s="1"/>
  <c r="BH29" i="45"/>
  <c r="BK61" i="68" s="1"/>
  <c r="BG72" i="45"/>
  <c r="BG73" i="45" s="1"/>
  <c r="AG4" i="63" s="1"/>
  <c r="BK61" i="34"/>
  <c r="BK77" i="34"/>
  <c r="BH34" i="45" l="1"/>
  <c r="BH62" i="45" s="1"/>
  <c r="BH27" i="45"/>
  <c r="BH61" i="45" s="1"/>
  <c r="BI29" i="45"/>
  <c r="BL61" i="68" s="1"/>
  <c r="BI36" i="45"/>
  <c r="BL77" i="34"/>
  <c r="BL61" i="34"/>
  <c r="BI27" i="45" l="1"/>
  <c r="BI61" i="45" s="1"/>
  <c r="BL62" i="68"/>
  <c r="BH72" i="45"/>
  <c r="BH73" i="45" s="1"/>
  <c r="AH4" i="63" s="1"/>
  <c r="BJ36" i="45"/>
  <c r="BJ34" i="45" s="1"/>
  <c r="BJ62" i="45" s="1"/>
  <c r="BJ29" i="45"/>
  <c r="BM61" i="68" s="1"/>
  <c r="BI34" i="45"/>
  <c r="BI62" i="45" s="1"/>
  <c r="BM77" i="34"/>
  <c r="BM61" i="34"/>
  <c r="BJ27" i="45" l="1"/>
  <c r="BJ61" i="45" s="1"/>
  <c r="BM62" i="68"/>
  <c r="BI72" i="45"/>
  <c r="BI73" i="45" s="1"/>
  <c r="AI4" i="63" s="1"/>
  <c r="BK29" i="45"/>
  <c r="BN61" i="68" s="1"/>
  <c r="BK36" i="45"/>
  <c r="BN77" i="34"/>
  <c r="BN61" i="34"/>
  <c r="BJ72" i="45" l="1"/>
  <c r="BJ73" i="45" s="1"/>
  <c r="AJ4" i="63" s="1"/>
  <c r="BN62" i="68"/>
  <c r="BK27" i="45"/>
  <c r="BK61" i="45" s="1"/>
  <c r="BL36" i="45"/>
  <c r="BK34" i="45"/>
  <c r="BK62" i="45" s="1"/>
  <c r="BL29" i="45"/>
  <c r="BO61" i="68" s="1"/>
  <c r="BO77" i="34"/>
  <c r="BO61" i="34"/>
  <c r="BK72" i="45" l="1"/>
  <c r="BK73" i="45" s="1"/>
  <c r="AK4" i="63" s="1"/>
  <c r="BL27" i="45"/>
  <c r="BL61" i="45" s="1"/>
  <c r="BL34" i="45"/>
  <c r="BL62" i="45" s="1"/>
  <c r="BO62" i="68"/>
  <c r="BM36" i="45"/>
  <c r="BP62" i="68" s="1"/>
  <c r="BM29" i="45"/>
  <c r="BP61" i="68" s="1"/>
  <c r="BL72" i="45"/>
  <c r="BL73" i="45" s="1"/>
  <c r="AL4" i="63" s="1"/>
  <c r="BP77" i="34"/>
  <c r="BP61" i="34"/>
  <c r="BM27" i="45" l="1"/>
  <c r="BM61" i="45" s="1"/>
  <c r="BM34" i="45"/>
  <c r="BM62" i="45" s="1"/>
  <c r="BN29" i="45"/>
  <c r="BQ61" i="68" s="1"/>
  <c r="BN36" i="45"/>
  <c r="BQ62" i="68" s="1"/>
  <c r="BM72" i="45" l="1"/>
  <c r="BM73" i="45" s="1"/>
  <c r="AM4" i="63" s="1"/>
  <c r="BN27" i="45"/>
  <c r="BN61" i="45" s="1"/>
  <c r="BN34" i="45"/>
  <c r="BN62" i="45" s="1"/>
  <c r="BN72" i="45" l="1"/>
  <c r="BN73" i="45" s="1"/>
  <c r="AN4" i="63" s="1"/>
  <c r="AN9" i="63" l="1"/>
  <c r="AN10" i="63"/>
  <c r="C97" i="65"/>
  <c r="C99" i="65" s="1"/>
  <c r="C82" i="65" l="1"/>
  <c r="Z16" i="69"/>
  <c r="D97" i="65"/>
  <c r="D99" i="65" s="1"/>
  <c r="D82" i="65" l="1"/>
  <c r="AA16" i="69"/>
  <c r="E97" i="65"/>
  <c r="E99" i="65" s="1"/>
  <c r="E82" i="65" l="1"/>
  <c r="AB16" i="69"/>
  <c r="F97" i="65"/>
  <c r="F99" i="65" s="1"/>
  <c r="F82" i="65" l="1"/>
  <c r="AC16" i="69"/>
  <c r="G97" i="65"/>
  <c r="G99" i="65" s="1"/>
  <c r="G82" i="65" l="1"/>
  <c r="AD16" i="69"/>
  <c r="H97" i="65"/>
  <c r="H99" i="65" s="1"/>
  <c r="H82" i="65" l="1"/>
  <c r="AE16" i="69"/>
  <c r="I97" i="65"/>
  <c r="I99" i="65" s="1"/>
  <c r="I82" i="65" l="1"/>
  <c r="AF16" i="69"/>
  <c r="J97" i="65"/>
  <c r="J99" i="65" s="1"/>
  <c r="J82" i="65" l="1"/>
  <c r="AG16" i="69"/>
  <c r="K97" i="65"/>
  <c r="K99" i="65" s="1"/>
  <c r="K82" i="65" l="1"/>
  <c r="AH16" i="69"/>
  <c r="L97" i="65"/>
  <c r="L99" i="65" s="1"/>
  <c r="L82" i="65" l="1"/>
  <c r="AI16" i="69"/>
  <c r="M97" i="65"/>
  <c r="M99" i="65" s="1"/>
  <c r="M82" i="65" l="1"/>
  <c r="AJ16" i="69"/>
  <c r="N97" i="65"/>
  <c r="N99" i="65" s="1"/>
  <c r="N82" i="65" l="1"/>
  <c r="AK16" i="69"/>
  <c r="O97" i="65"/>
  <c r="O99" i="65" s="1"/>
  <c r="O82" i="65" l="1"/>
  <c r="AL16" i="69"/>
  <c r="P97" i="65"/>
  <c r="P99" i="65" s="1"/>
  <c r="P82" i="65" l="1"/>
  <c r="AM16" i="69"/>
  <c r="Q97" i="65"/>
  <c r="Q99" i="65" s="1"/>
  <c r="Q82" i="65" l="1"/>
  <c r="AN16" i="69"/>
  <c r="R97" i="65"/>
  <c r="R99" i="65" s="1"/>
  <c r="R82" i="65" l="1"/>
  <c r="AO16" i="69"/>
  <c r="S97" i="65"/>
  <c r="S99" i="65" s="1"/>
  <c r="S82" i="65" l="1"/>
  <c r="AP16" i="69"/>
  <c r="T97" i="65"/>
  <c r="T99" i="65" s="1"/>
  <c r="T82" i="65" l="1"/>
  <c r="AQ16" i="69"/>
  <c r="U97" i="65"/>
  <c r="U99" i="65" s="1"/>
  <c r="U82" i="65" l="1"/>
  <c r="AR16" i="69"/>
  <c r="V97" i="65"/>
  <c r="V99" i="65" s="1"/>
  <c r="V82" i="65" l="1"/>
  <c r="AS16" i="69"/>
  <c r="W97" i="65"/>
  <c r="W99" i="65" s="1"/>
  <c r="W82" i="65" l="1"/>
  <c r="AT16" i="69"/>
  <c r="X97" i="65"/>
  <c r="X99" i="65" s="1"/>
  <c r="X82" i="65" l="1"/>
  <c r="AU16" i="69"/>
  <c r="Y97" i="65"/>
  <c r="Y99" i="65" s="1"/>
  <c r="Y82" i="65" l="1"/>
  <c r="AV16" i="69"/>
  <c r="Z97" i="65"/>
  <c r="Z99" i="65" s="1"/>
  <c r="Z82" i="65" l="1"/>
  <c r="AW16" i="69"/>
  <c r="AA97" i="65"/>
  <c r="AA99" i="65" s="1"/>
  <c r="AA82" i="65" l="1"/>
  <c r="AX16" i="69"/>
  <c r="AB97" i="65"/>
  <c r="AB99" i="65" s="1"/>
  <c r="AB82" i="65" l="1"/>
  <c r="AY16" i="69"/>
  <c r="AC97" i="65"/>
  <c r="AC99" i="65" s="1"/>
  <c r="AC82" i="65" l="1"/>
  <c r="AZ16" i="69"/>
  <c r="AD97" i="65"/>
  <c r="AD99" i="65" s="1"/>
  <c r="AD82" i="65" l="1"/>
  <c r="BA16" i="69"/>
  <c r="AE97" i="65"/>
  <c r="AE99" i="65" s="1"/>
  <c r="AE82" i="65" l="1"/>
  <c r="BB16" i="69"/>
  <c r="AF97" i="65"/>
  <c r="AF99" i="65" s="1"/>
  <c r="AF82" i="65" l="1"/>
  <c r="BC16" i="69"/>
  <c r="AG97" i="65"/>
  <c r="AG99" i="65" s="1"/>
  <c r="AG82" i="65" l="1"/>
  <c r="BD16" i="69"/>
  <c r="AH97" i="65"/>
  <c r="AH99" i="65" s="1"/>
  <c r="AH82" i="65" l="1"/>
  <c r="BE16" i="69"/>
  <c r="AI97" i="65"/>
  <c r="AI99" i="65" s="1"/>
  <c r="AI82" i="65" l="1"/>
  <c r="BF16" i="69"/>
  <c r="AJ97" i="65"/>
  <c r="AJ99" i="65" s="1"/>
  <c r="AJ82" i="65" l="1"/>
  <c r="BG16" i="69"/>
  <c r="AK97" i="65"/>
  <c r="AK99" i="65" s="1"/>
  <c r="AK82" i="65" l="1"/>
  <c r="BH16" i="69"/>
  <c r="AL97" i="65"/>
  <c r="AL99" i="65" s="1"/>
  <c r="AM97" i="65" l="1"/>
  <c r="AM99" i="65" s="1"/>
  <c r="AM82" i="65" s="1"/>
  <c r="AL82" i="65"/>
  <c r="BI16" i="69"/>
  <c r="BJ16" i="69"/>
  <c r="AN97" i="65" l="1"/>
  <c r="AN99" i="65" s="1"/>
  <c r="AN82" i="65" s="1"/>
  <c r="BK16" i="69"/>
  <c r="AD8" i="70"/>
  <c r="AD9" i="70"/>
  <c r="AE6" i="70"/>
  <c r="L780" i="67" s="1"/>
  <c r="AF6" i="70"/>
  <c r="M780" i="67" s="1"/>
  <c r="AJ7" i="70"/>
  <c r="AG5" i="70"/>
  <c r="AH6" i="70"/>
  <c r="O780" i="67" s="1"/>
  <c r="AJ6" i="70"/>
  <c r="Q780" i="67" s="1"/>
  <c r="AI5" i="70"/>
  <c r="P779" i="67" s="1"/>
  <c r="AM6" i="70"/>
  <c r="T780" i="67" s="1"/>
  <c r="AN7" i="70"/>
  <c r="AO6" i="70"/>
  <c r="V780" i="67" s="1"/>
  <c r="AP7" i="70"/>
  <c r="AQ5" i="70"/>
  <c r="X779" i="67" s="1"/>
  <c r="AR5" i="70"/>
  <c r="Y779" i="67" s="1"/>
  <c r="AT6" i="70"/>
  <c r="AA780" i="67" s="1"/>
  <c r="AS5" i="70"/>
  <c r="Z779" i="67" s="1"/>
  <c r="AU7" i="70"/>
  <c r="AU5" i="70"/>
  <c r="AB779" i="67" s="1"/>
  <c r="AV7" i="70"/>
  <c r="AW7" i="70"/>
  <c r="AX6" i="70"/>
  <c r="AE780" i="67" s="1"/>
  <c r="AX5" i="70"/>
  <c r="AE779" i="67" s="1"/>
  <c r="AY6" i="70"/>
  <c r="AF780" i="67" s="1"/>
  <c r="AY5" i="70"/>
  <c r="AF779" i="67" s="1"/>
  <c r="AZ6" i="70"/>
  <c r="AG780" i="67" s="1"/>
  <c r="BA6" i="70"/>
  <c r="AH780" i="67" s="1"/>
  <c r="BB7" i="70"/>
  <c r="BB5" i="70"/>
  <c r="AI779" i="67" s="1"/>
  <c r="BC6" i="70"/>
  <c r="AJ780" i="67" s="1"/>
  <c r="BD7" i="70"/>
  <c r="BF6" i="70"/>
  <c r="AM780" i="67" s="1"/>
  <c r="BE6" i="70"/>
  <c r="AL780" i="67" s="1"/>
  <c r="BJ7" i="70"/>
  <c r="BG6" i="70"/>
  <c r="AN780" i="67" s="1"/>
  <c r="BH6" i="70"/>
  <c r="AO780" i="67" s="1"/>
  <c r="BH5" i="70"/>
  <c r="AO779" i="67" s="1"/>
  <c r="BI7" i="70"/>
  <c r="BJ6" i="70"/>
  <c r="AQ780" i="67" s="1"/>
  <c r="BJ5" i="70"/>
  <c r="AQ779" i="67" s="1"/>
  <c r="BK7" i="70"/>
  <c r="BL7" i="70"/>
  <c r="BM7" i="70"/>
  <c r="BN5" i="70"/>
  <c r="AU779" i="67" s="1"/>
  <c r="BO7" i="70"/>
  <c r="BP6" i="70"/>
  <c r="AW780" i="67" s="1"/>
  <c r="K920" i="67" l="1"/>
  <c r="K1054" i="67"/>
  <c r="K1038" i="67"/>
  <c r="K934" i="67"/>
  <c r="K952" i="67"/>
  <c r="K919" i="67"/>
  <c r="K1053" i="67"/>
  <c r="K1037" i="67"/>
  <c r="K951" i="67"/>
  <c r="K933" i="67"/>
  <c r="N779" i="67"/>
  <c r="AG2" i="70"/>
  <c r="AU1067" i="67"/>
  <c r="AU1099" i="67"/>
  <c r="AU1081" i="67"/>
  <c r="AU1201" i="67"/>
  <c r="AU1185" i="67"/>
  <c r="AH122" i="65"/>
  <c r="AH132" i="65" s="1"/>
  <c r="AQ462" i="67" s="1"/>
  <c r="AQ1099" i="67"/>
  <c r="AQ1081" i="67"/>
  <c r="AQ1067" i="67"/>
  <c r="AQ1185" i="67"/>
  <c r="AQ1201" i="67"/>
  <c r="AO1068" i="67"/>
  <c r="AO1100" i="67"/>
  <c r="AO1082" i="67"/>
  <c r="AO1202" i="67"/>
  <c r="AO1186" i="67"/>
  <c r="AD123" i="65"/>
  <c r="AD133" i="65" s="1"/>
  <c r="AM463" i="67" s="1"/>
  <c r="AM1068" i="67"/>
  <c r="AM1082" i="67"/>
  <c r="AM1100" i="67"/>
  <c r="AM1186" i="67"/>
  <c r="AM1202" i="67"/>
  <c r="AI1069" i="67"/>
  <c r="AI1101" i="67"/>
  <c r="AI1083" i="67"/>
  <c r="AI1187" i="67"/>
  <c r="AI1203" i="67"/>
  <c r="AF1068" i="67"/>
  <c r="AF1082" i="67"/>
  <c r="AF1100" i="67"/>
  <c r="AF1202" i="67"/>
  <c r="AF1186" i="67"/>
  <c r="AC1069" i="67"/>
  <c r="AC1083" i="67"/>
  <c r="AC1101" i="67"/>
  <c r="AC1187" i="67"/>
  <c r="AC1203" i="67"/>
  <c r="AA1068" i="67"/>
  <c r="AA1082" i="67"/>
  <c r="AA1100" i="67"/>
  <c r="AA1186" i="67"/>
  <c r="AA1202" i="67"/>
  <c r="V1068" i="67"/>
  <c r="V1082" i="67"/>
  <c r="V1100" i="67"/>
  <c r="V1186" i="67"/>
  <c r="V1202" i="67"/>
  <c r="Q1068" i="67"/>
  <c r="Q1100" i="67"/>
  <c r="Q1082" i="67"/>
  <c r="Q1186" i="67"/>
  <c r="Q1202" i="67"/>
  <c r="M1082" i="67"/>
  <c r="M1100" i="67"/>
  <c r="M1068" i="67"/>
  <c r="M1202" i="67"/>
  <c r="M1186" i="67"/>
  <c r="AT1069" i="67"/>
  <c r="AT1083" i="67"/>
  <c r="AT1101" i="67"/>
  <c r="AT1187" i="67"/>
  <c r="AT1203" i="67"/>
  <c r="AQ1068" i="67"/>
  <c r="AQ1082" i="67"/>
  <c r="AQ1100" i="67"/>
  <c r="AQ1186" i="67"/>
  <c r="AQ1202" i="67"/>
  <c r="AN1068" i="67"/>
  <c r="AN1082" i="67"/>
  <c r="AN1100" i="67"/>
  <c r="AN1202" i="67"/>
  <c r="AN1186" i="67"/>
  <c r="AK1069" i="67"/>
  <c r="AK1083" i="67"/>
  <c r="AK1101" i="67"/>
  <c r="AK1187" i="67"/>
  <c r="AK1203" i="67"/>
  <c r="AH1068" i="67"/>
  <c r="AH1082" i="67"/>
  <c r="AH1186" i="67"/>
  <c r="AH1100" i="67"/>
  <c r="AH1202" i="67"/>
  <c r="AX50" i="70"/>
  <c r="AE1067" i="67"/>
  <c r="AE1099" i="67"/>
  <c r="AE1081" i="67"/>
  <c r="AE1201" i="67"/>
  <c r="AE1185" i="67"/>
  <c r="AB1067" i="67"/>
  <c r="AB1081" i="67"/>
  <c r="AB1099" i="67"/>
  <c r="AB1185" i="67"/>
  <c r="AB1201" i="67"/>
  <c r="P122" i="65"/>
  <c r="P132" i="65" s="1"/>
  <c r="Y462" i="67" s="1"/>
  <c r="Y1067" i="67"/>
  <c r="Y1081" i="67"/>
  <c r="Y1099" i="67"/>
  <c r="Y1185" i="67"/>
  <c r="Y1201" i="67"/>
  <c r="U1069" i="67"/>
  <c r="U1101" i="67"/>
  <c r="U1083" i="67"/>
  <c r="U1187" i="67"/>
  <c r="U1203" i="67"/>
  <c r="O1068" i="67"/>
  <c r="O1100" i="67"/>
  <c r="O1082" i="67"/>
  <c r="O1186" i="67"/>
  <c r="O1202" i="67"/>
  <c r="AE51" i="70"/>
  <c r="L1068" i="67"/>
  <c r="L1082" i="67"/>
  <c r="L1100" i="67"/>
  <c r="L1186" i="67"/>
  <c r="L1202" i="67"/>
  <c r="AW1068" i="67"/>
  <c r="AW1100" i="67"/>
  <c r="AW1082" i="67"/>
  <c r="AW1186" i="67"/>
  <c r="AW1202" i="67"/>
  <c r="AS1069" i="67"/>
  <c r="AS1083" i="67"/>
  <c r="AS1101" i="67"/>
  <c r="AS1187" i="67"/>
  <c r="AS1203" i="67"/>
  <c r="AG17" i="65"/>
  <c r="AP6" i="67" s="1"/>
  <c r="AP1069" i="67"/>
  <c r="AP1101" i="67"/>
  <c r="AP1083" i="67"/>
  <c r="AP1187" i="67"/>
  <c r="AP1203" i="67"/>
  <c r="AQ1069" i="67"/>
  <c r="AQ1101" i="67"/>
  <c r="AQ1083" i="67"/>
  <c r="AQ1187" i="67"/>
  <c r="AQ1203" i="67"/>
  <c r="AJ1100" i="67"/>
  <c r="AJ1068" i="67"/>
  <c r="AJ1082" i="67"/>
  <c r="AJ1202" i="67"/>
  <c r="AJ1186" i="67"/>
  <c r="AG1068" i="67"/>
  <c r="AG1100" i="67"/>
  <c r="AG1082" i="67"/>
  <c r="AG1186" i="67"/>
  <c r="AG1202" i="67"/>
  <c r="AE1068" i="67"/>
  <c r="AE1100" i="67"/>
  <c r="AE1082" i="67"/>
  <c r="AE1186" i="67"/>
  <c r="AE1202" i="67"/>
  <c r="AB1069" i="67"/>
  <c r="AB1083" i="67"/>
  <c r="AB1101" i="67"/>
  <c r="AB1187" i="67"/>
  <c r="AB1203" i="67"/>
  <c r="AQ50" i="70"/>
  <c r="X1067" i="67"/>
  <c r="X1081" i="67"/>
  <c r="X1099" i="67"/>
  <c r="X1185" i="67"/>
  <c r="X1201" i="67"/>
  <c r="AM67" i="70"/>
  <c r="T1137" i="67" s="1"/>
  <c r="T1068" i="67"/>
  <c r="T1082" i="67"/>
  <c r="T1100" i="67"/>
  <c r="T1186" i="67"/>
  <c r="T1202" i="67"/>
  <c r="AG50" i="70"/>
  <c r="N1067" i="67"/>
  <c r="N1081" i="67"/>
  <c r="N1099" i="67"/>
  <c r="N1185" i="67"/>
  <c r="N1201" i="67"/>
  <c r="K1205" i="67"/>
  <c r="K1189" i="67"/>
  <c r="K1085" i="67"/>
  <c r="K1103" i="67"/>
  <c r="K1071" i="67"/>
  <c r="AV1069" i="67"/>
  <c r="AV1083" i="67"/>
  <c r="AV1101" i="67"/>
  <c r="AV1187" i="67"/>
  <c r="AV1203" i="67"/>
  <c r="AR1069" i="67"/>
  <c r="AR1083" i="67"/>
  <c r="AR1101" i="67"/>
  <c r="AR1187" i="67"/>
  <c r="AR1203" i="67"/>
  <c r="AF122" i="65"/>
  <c r="AF132" i="65" s="1"/>
  <c r="AO462" i="67" s="1"/>
  <c r="AO1067" i="67"/>
  <c r="AO1081" i="67"/>
  <c r="AO1099" i="67"/>
  <c r="AO1185" i="67"/>
  <c r="AO1201" i="67"/>
  <c r="AL1068" i="67"/>
  <c r="AL1082" i="67"/>
  <c r="AL1100" i="67"/>
  <c r="AL1186" i="67"/>
  <c r="AL1202" i="67"/>
  <c r="AI1081" i="67"/>
  <c r="AI1099" i="67"/>
  <c r="AI1067" i="67"/>
  <c r="AI1201" i="67"/>
  <c r="AI1185" i="67"/>
  <c r="W122" i="65"/>
  <c r="W132" i="65" s="1"/>
  <c r="AF462" i="67" s="1"/>
  <c r="AF1067" i="67"/>
  <c r="AF1081" i="67"/>
  <c r="AF1099" i="67"/>
  <c r="AF1185" i="67"/>
  <c r="AF1201" i="67"/>
  <c r="AW52" i="70"/>
  <c r="AD1122" i="67" s="1"/>
  <c r="AD1083" i="67"/>
  <c r="AD1101" i="67"/>
  <c r="AD1069" i="67"/>
  <c r="AD1187" i="67"/>
  <c r="AD1203" i="67"/>
  <c r="Z1067" i="67"/>
  <c r="Z1099" i="67"/>
  <c r="Z1081" i="67"/>
  <c r="Z1185" i="67"/>
  <c r="Z1201" i="67"/>
  <c r="W1083" i="67"/>
  <c r="W1101" i="67"/>
  <c r="W1069" i="67"/>
  <c r="W1187" i="67"/>
  <c r="W1203" i="67"/>
  <c r="G122" i="65"/>
  <c r="G132" i="65" s="1"/>
  <c r="P462" i="67" s="1"/>
  <c r="P1067" i="67"/>
  <c r="P1081" i="67"/>
  <c r="P1099" i="67"/>
  <c r="P1185" i="67"/>
  <c r="P1201" i="67"/>
  <c r="Q1069" i="67"/>
  <c r="Q1083" i="67"/>
  <c r="Q1101" i="67"/>
  <c r="Q1187" i="67"/>
  <c r="Q1203" i="67"/>
  <c r="K1204" i="67"/>
  <c r="K1188" i="67"/>
  <c r="K1084" i="67"/>
  <c r="K1102" i="67"/>
  <c r="K1070" i="67"/>
  <c r="Q19" i="67"/>
  <c r="BD5" i="70"/>
  <c r="AK779" i="67" s="1"/>
  <c r="AE7" i="70"/>
  <c r="BO5" i="70"/>
  <c r="AV779" i="67" s="1"/>
  <c r="BG5" i="70"/>
  <c r="AN779" i="67" s="1"/>
  <c r="BD6" i="70"/>
  <c r="AK780" i="67" s="1"/>
  <c r="AY7" i="70"/>
  <c r="AX7" i="70"/>
  <c r="V73" i="65" s="1"/>
  <c r="V78" i="65" s="1"/>
  <c r="AE312" i="67" s="1"/>
  <c r="BO6" i="70"/>
  <c r="BG7" i="70"/>
  <c r="BL5" i="70"/>
  <c r="AS779" i="67" s="1"/>
  <c r="BN7" i="70"/>
  <c r="BI5" i="70"/>
  <c r="AP779" i="67" s="1"/>
  <c r="BI6" i="70"/>
  <c r="AP780" i="67" s="1"/>
  <c r="BH7" i="70"/>
  <c r="BC5" i="70"/>
  <c r="AZ5" i="70"/>
  <c r="AG779" i="67" s="1"/>
  <c r="AU6" i="70"/>
  <c r="AB780" i="67" s="1"/>
  <c r="AN6" i="70"/>
  <c r="U780" i="67" s="1"/>
  <c r="AG7" i="70"/>
  <c r="AI7" i="70"/>
  <c r="BM5" i="70"/>
  <c r="AT779" i="67" s="1"/>
  <c r="BL6" i="70"/>
  <c r="AS780" i="67" s="1"/>
  <c r="BF5" i="70"/>
  <c r="AM779" i="67" s="1"/>
  <c r="BF7" i="70"/>
  <c r="BC7" i="70"/>
  <c r="BB6" i="70"/>
  <c r="AI780" i="67" s="1"/>
  <c r="AP5" i="70"/>
  <c r="W779" i="67" s="1"/>
  <c r="AP6" i="70"/>
  <c r="W780" i="67" s="1"/>
  <c r="AE5" i="70"/>
  <c r="L779" i="67" s="1"/>
  <c r="BM68" i="70"/>
  <c r="AT1138" i="67" s="1"/>
  <c r="BH67" i="70"/>
  <c r="AO1137" i="67" s="1"/>
  <c r="AT67" i="70"/>
  <c r="AA1137" i="67" s="1"/>
  <c r="R123" i="65"/>
  <c r="R133" i="65" s="1"/>
  <c r="AA463" i="67" s="1"/>
  <c r="Z124" i="65"/>
  <c r="Z134" i="65" s="1"/>
  <c r="AI464" i="67" s="1"/>
  <c r="BP51" i="70"/>
  <c r="AW1121" i="67" s="1"/>
  <c r="BP67" i="70"/>
  <c r="AW1137" i="67" s="1"/>
  <c r="AZ51" i="70"/>
  <c r="X123" i="65"/>
  <c r="X133" i="65" s="1"/>
  <c r="AG463" i="67" s="1"/>
  <c r="BP5" i="70"/>
  <c r="AW779" i="67" s="1"/>
  <c r="BP7" i="70"/>
  <c r="AN124" i="65" s="1"/>
  <c r="AN134" i="65" s="1"/>
  <c r="AW464" i="67" s="1"/>
  <c r="BN6" i="70"/>
  <c r="AU780" i="67" s="1"/>
  <c r="BM6" i="70"/>
  <c r="AT780" i="67" s="1"/>
  <c r="AZ7" i="70"/>
  <c r="AW5" i="70"/>
  <c r="AV5" i="70"/>
  <c r="AC779" i="67" s="1"/>
  <c r="AW6" i="70"/>
  <c r="AD780" i="67" s="1"/>
  <c r="AT5" i="70"/>
  <c r="AA779" i="67" s="1"/>
  <c r="AT7" i="70"/>
  <c r="R124" i="65" s="1"/>
  <c r="R134" i="65" s="1"/>
  <c r="AA464" i="67" s="1"/>
  <c r="AK7" i="70"/>
  <c r="AK6" i="70"/>
  <c r="R780" i="67" s="1"/>
  <c r="AK5" i="70"/>
  <c r="R779" i="67" s="1"/>
  <c r="BA7" i="70"/>
  <c r="AV6" i="70"/>
  <c r="AC780" i="67" s="1"/>
  <c r="AL7" i="70"/>
  <c r="AL5" i="70"/>
  <c r="J38" i="65" s="1"/>
  <c r="J40" i="65" s="1"/>
  <c r="S157" i="67" s="1"/>
  <c r="AL6" i="70"/>
  <c r="S780" i="67" s="1"/>
  <c r="BK6" i="70"/>
  <c r="AR780" i="67" s="1"/>
  <c r="BK5" i="70"/>
  <c r="AR779" i="67" s="1"/>
  <c r="BE5" i="70"/>
  <c r="AL779" i="67" s="1"/>
  <c r="BE7" i="70"/>
  <c r="BA5" i="70"/>
  <c r="AH779" i="67" s="1"/>
  <c r="AP68" i="70"/>
  <c r="W1138" i="67" s="1"/>
  <c r="AS7" i="70"/>
  <c r="AS6" i="70"/>
  <c r="Z780" i="67" s="1"/>
  <c r="AR7" i="70"/>
  <c r="AR6" i="70"/>
  <c r="Y780" i="67" s="1"/>
  <c r="AQ7" i="70"/>
  <c r="AQ6" i="70"/>
  <c r="X780" i="67" s="1"/>
  <c r="AM7" i="70"/>
  <c r="AM5" i="70"/>
  <c r="T779" i="67" s="1"/>
  <c r="AN5" i="70"/>
  <c r="U779" i="67" s="1"/>
  <c r="AO7" i="70"/>
  <c r="AO52" i="70" s="1"/>
  <c r="V1122" i="67" s="1"/>
  <c r="AJ5" i="70"/>
  <c r="Q779" i="67" s="1"/>
  <c r="AH5" i="70"/>
  <c r="O779" i="67" s="1"/>
  <c r="AH7" i="70"/>
  <c r="AJ68" i="70"/>
  <c r="Q1138" i="67" s="1"/>
  <c r="AF5" i="70"/>
  <c r="M779" i="67" s="1"/>
  <c r="AI6" i="70"/>
  <c r="P780" i="67" s="1"/>
  <c r="AG6" i="70"/>
  <c r="N780" i="67" s="1"/>
  <c r="AF7" i="70"/>
  <c r="AO5" i="70"/>
  <c r="V779" i="67" s="1"/>
  <c r="AE67" i="70"/>
  <c r="L1137" i="67" s="1"/>
  <c r="AJ67" i="70"/>
  <c r="Q1137" i="67" s="1"/>
  <c r="AW68" i="70"/>
  <c r="AD1138" i="67" s="1"/>
  <c r="Z15" i="65"/>
  <c r="Z122" i="65"/>
  <c r="Z132" i="65" s="1"/>
  <c r="AI462" i="67" s="1"/>
  <c r="BM52" i="70"/>
  <c r="AT1122" i="67" s="1"/>
  <c r="BK68" i="70"/>
  <c r="AR1138" i="67" s="1"/>
  <c r="AY51" i="70"/>
  <c r="AF1121" i="67" s="1"/>
  <c r="S15" i="65"/>
  <c r="AU50" i="70"/>
  <c r="AR344" i="67"/>
  <c r="AR496" i="67"/>
  <c r="AR799" i="67"/>
  <c r="AR38" i="67"/>
  <c r="AR191" i="67"/>
  <c r="AR648" i="67"/>
  <c r="AU517" i="67"/>
  <c r="AV227" i="67"/>
  <c r="AV532" i="67"/>
  <c r="AV74" i="67"/>
  <c r="AV380" i="67"/>
  <c r="AV684" i="67"/>
  <c r="AV835" i="67"/>
  <c r="AS885" i="67"/>
  <c r="AS124" i="67"/>
  <c r="AS582" i="67"/>
  <c r="AS734" i="67"/>
  <c r="AS430" i="67"/>
  <c r="AS277" i="67"/>
  <c r="BN50" i="70"/>
  <c r="BJ50" i="70"/>
  <c r="AL38" i="65"/>
  <c r="AL40" i="65" s="1"/>
  <c r="AU157" i="67" s="1"/>
  <c r="AL71" i="65"/>
  <c r="AL76" i="65" s="1"/>
  <c r="AU310" i="67" s="1"/>
  <c r="BL52" i="70"/>
  <c r="AS1122" i="67" s="1"/>
  <c r="BH50" i="70"/>
  <c r="BJ66" i="70"/>
  <c r="BK52" i="70"/>
  <c r="AR1122" i="67" s="1"/>
  <c r="AL122" i="65"/>
  <c r="AL132" i="65" s="1"/>
  <c r="AU462" i="67" s="1"/>
  <c r="AW616" i="67"/>
  <c r="AN123" i="65"/>
  <c r="AN133" i="65" s="1"/>
  <c r="AW463" i="67" s="1"/>
  <c r="AM73" i="65"/>
  <c r="AM78" i="65" s="1"/>
  <c r="AV312" i="67" s="1"/>
  <c r="BL68" i="70"/>
  <c r="AS1138" i="67" s="1"/>
  <c r="AI73" i="65"/>
  <c r="AI78" i="65" s="1"/>
  <c r="AR312" i="67" s="1"/>
  <c r="AI124" i="65"/>
  <c r="AI134" i="65" s="1"/>
  <c r="AR464" i="67" s="1"/>
  <c r="AI17" i="65"/>
  <c r="AK17" i="65"/>
  <c r="AK73" i="65"/>
  <c r="AK78" i="65" s="1"/>
  <c r="AT312" i="67" s="1"/>
  <c r="AH17" i="65"/>
  <c r="AH73" i="65"/>
  <c r="AH78" i="65" s="1"/>
  <c r="AQ312" i="67" s="1"/>
  <c r="AH124" i="65"/>
  <c r="AH134" i="65" s="1"/>
  <c r="AQ464" i="67" s="1"/>
  <c r="BJ68" i="70"/>
  <c r="AQ1138" i="67" s="1"/>
  <c r="BJ52" i="70"/>
  <c r="AQ1122" i="67" s="1"/>
  <c r="AW767" i="67"/>
  <c r="AN72" i="65"/>
  <c r="AN77" i="65" s="1"/>
  <c r="AN16" i="65"/>
  <c r="AH71" i="65"/>
  <c r="AH76" i="65" s="1"/>
  <c r="AQ310" i="67" s="1"/>
  <c r="AH38" i="65"/>
  <c r="AH40" i="65" s="1"/>
  <c r="AQ157" i="67" s="1"/>
  <c r="AH15" i="65"/>
  <c r="AM17" i="65"/>
  <c r="AJ17" i="65"/>
  <c r="AJ124" i="65"/>
  <c r="AJ134" i="65" s="1"/>
  <c r="AS464" i="67" s="1"/>
  <c r="AL15" i="65"/>
  <c r="AF15" i="65"/>
  <c r="AF71" i="65"/>
  <c r="AF76" i="65" s="1"/>
  <c r="AO310" i="67" s="1"/>
  <c r="AF38" i="65"/>
  <c r="AF40" i="65" s="1"/>
  <c r="AO157" i="67" s="1"/>
  <c r="BH66" i="70"/>
  <c r="AL517" i="67"/>
  <c r="AL212" i="67"/>
  <c r="AL820" i="67"/>
  <c r="AL59" i="67"/>
  <c r="AL365" i="67"/>
  <c r="AJ429" i="67"/>
  <c r="AJ733" i="67"/>
  <c r="AJ276" i="67"/>
  <c r="AJ581" i="67"/>
  <c r="AJ123" i="67"/>
  <c r="AJ884" i="67"/>
  <c r="BN66" i="70"/>
  <c r="BO68" i="70"/>
  <c r="AV1138" i="67" s="1"/>
  <c r="BO52" i="70"/>
  <c r="AV1122" i="67" s="1"/>
  <c r="AM124" i="65"/>
  <c r="AM134" i="65" s="1"/>
  <c r="AV464" i="67" s="1"/>
  <c r="AK124" i="65"/>
  <c r="AK134" i="65" s="1"/>
  <c r="AT464" i="67" s="1"/>
  <c r="AJ73" i="65"/>
  <c r="AJ78" i="65" s="1"/>
  <c r="AS312" i="67" s="1"/>
  <c r="AH766" i="67"/>
  <c r="AH615" i="67"/>
  <c r="BJ51" i="70"/>
  <c r="AQ1121" i="67" s="1"/>
  <c r="BI52" i="70"/>
  <c r="AP1122" i="67" s="1"/>
  <c r="AH72" i="65"/>
  <c r="AH77" i="65" s="1"/>
  <c r="AQ311" i="67" s="1"/>
  <c r="AH123" i="65"/>
  <c r="AH133" i="65" s="1"/>
  <c r="AQ463" i="67" s="1"/>
  <c r="BH51" i="70"/>
  <c r="AO1121" i="67" s="1"/>
  <c r="BF67" i="70"/>
  <c r="AM1137" i="67" s="1"/>
  <c r="BB50" i="70"/>
  <c r="AE16" i="65"/>
  <c r="AN5" i="67" s="1"/>
  <c r="AD72" i="65"/>
  <c r="AD77" i="65" s="1"/>
  <c r="AM311" i="67" s="1"/>
  <c r="AB17" i="65"/>
  <c r="AB73" i="65"/>
  <c r="AB78" i="65" s="1"/>
  <c r="AK312" i="67" s="1"/>
  <c r="AC123" i="65"/>
  <c r="AC133" i="65" s="1"/>
  <c r="AL463" i="67" s="1"/>
  <c r="AC16" i="65"/>
  <c r="AC72" i="65"/>
  <c r="AC77" i="65" s="1"/>
  <c r="AL311" i="67" s="1"/>
  <c r="AA72" i="65"/>
  <c r="AA77" i="65" s="1"/>
  <c r="AJ311" i="67" s="1"/>
  <c r="AA16" i="65"/>
  <c r="BI68" i="70"/>
  <c r="AP1138" i="67" s="1"/>
  <c r="AH16" i="65"/>
  <c r="AF16" i="65"/>
  <c r="AF72" i="65"/>
  <c r="AF77" i="65" s="1"/>
  <c r="AO311" i="67" s="1"/>
  <c r="AE72" i="65"/>
  <c r="AE77" i="65" s="1"/>
  <c r="AN311" i="67" s="1"/>
  <c r="BE67" i="70"/>
  <c r="AL1137" i="67" s="1"/>
  <c r="BE51" i="70"/>
  <c r="AL1121" i="67" s="1"/>
  <c r="AD16" i="65"/>
  <c r="BD52" i="70"/>
  <c r="AK1122" i="67" s="1"/>
  <c r="W38" i="65"/>
  <c r="W40" i="65" s="1"/>
  <c r="AF157" i="67" s="1"/>
  <c r="W71" i="65"/>
  <c r="W76" i="65" s="1"/>
  <c r="AF310" i="67" s="1"/>
  <c r="W15" i="65"/>
  <c r="AY50" i="70"/>
  <c r="AJ343" i="67"/>
  <c r="Y72" i="65"/>
  <c r="Y77" i="65" s="1"/>
  <c r="AH311" i="67" s="1"/>
  <c r="Y123" i="65"/>
  <c r="Y133" i="65" s="1"/>
  <c r="AH463" i="67" s="1"/>
  <c r="Y16" i="65"/>
  <c r="BA67" i="70"/>
  <c r="AH1137" i="67" s="1"/>
  <c r="BA51" i="70"/>
  <c r="AH1121" i="67" s="1"/>
  <c r="AY66" i="70"/>
  <c r="Z765" i="67"/>
  <c r="Z614" i="67"/>
  <c r="AA75" i="67"/>
  <c r="AA228" i="67"/>
  <c r="AA533" i="67"/>
  <c r="AA381" i="67"/>
  <c r="AA685" i="67"/>
  <c r="AA836" i="67"/>
  <c r="AG124" i="65"/>
  <c r="AG134" i="65" s="1"/>
  <c r="AP464" i="67" s="1"/>
  <c r="AG73" i="65"/>
  <c r="AG78" i="65" s="1"/>
  <c r="AP312" i="67" s="1"/>
  <c r="BG67" i="70"/>
  <c r="AN1137" i="67" s="1"/>
  <c r="BG51" i="70"/>
  <c r="AN1121" i="67" s="1"/>
  <c r="AF123" i="65"/>
  <c r="AF133" i="65" s="1"/>
  <c r="AO463" i="67" s="1"/>
  <c r="BF51" i="70"/>
  <c r="AM1121" i="67" s="1"/>
  <c r="Z71" i="65"/>
  <c r="Z76" i="65" s="1"/>
  <c r="AI310" i="67" s="1"/>
  <c r="AE123" i="65"/>
  <c r="AE133" i="65" s="1"/>
  <c r="AN463" i="67" s="1"/>
  <c r="BB66" i="70"/>
  <c r="BC51" i="70"/>
  <c r="AJ1121" i="67" s="1"/>
  <c r="AB124" i="65"/>
  <c r="AB134" i="65" s="1"/>
  <c r="AK464" i="67" s="1"/>
  <c r="BB52" i="70"/>
  <c r="AI1122" i="67" s="1"/>
  <c r="BB68" i="70"/>
  <c r="AI1138" i="67" s="1"/>
  <c r="Z38" i="65"/>
  <c r="Z40" i="65" s="1"/>
  <c r="AI157" i="67" s="1"/>
  <c r="AD533" i="67"/>
  <c r="BJ67" i="70"/>
  <c r="AQ1137" i="67" s="1"/>
  <c r="BD68" i="70"/>
  <c r="AK1138" i="67" s="1"/>
  <c r="AA123" i="65"/>
  <c r="AA133" i="65" s="1"/>
  <c r="AJ463" i="67" s="1"/>
  <c r="BC67" i="70"/>
  <c r="AJ1137" i="67" s="1"/>
  <c r="Z73" i="65"/>
  <c r="Z78" i="65" s="1"/>
  <c r="AI312" i="67" s="1"/>
  <c r="V38" i="65"/>
  <c r="V40" i="65" s="1"/>
  <c r="AE157" i="67" s="1"/>
  <c r="AX66" i="70"/>
  <c r="V71" i="65"/>
  <c r="V76" i="65" s="1"/>
  <c r="AE310" i="67" s="1"/>
  <c r="V15" i="65"/>
  <c r="V122" i="65"/>
  <c r="V132" i="65" s="1"/>
  <c r="AE462" i="67" s="1"/>
  <c r="Z17" i="65"/>
  <c r="AY67" i="70"/>
  <c r="AF1137" i="67" s="1"/>
  <c r="S122" i="65"/>
  <c r="S132" i="65" s="1"/>
  <c r="AB462" i="67" s="1"/>
  <c r="AF495" i="67"/>
  <c r="AF884" i="67"/>
  <c r="X72" i="65"/>
  <c r="X77" i="65" s="1"/>
  <c r="AG311" i="67" s="1"/>
  <c r="AX51" i="70"/>
  <c r="AE1121" i="67" s="1"/>
  <c r="W72" i="65"/>
  <c r="W77" i="65" s="1"/>
  <c r="AF311" i="67" s="1"/>
  <c r="Q122" i="65"/>
  <c r="Q132" i="65" s="1"/>
  <c r="Z462" i="67" s="1"/>
  <c r="P71" i="65"/>
  <c r="P76" i="65" s="1"/>
  <c r="Y310" i="67" s="1"/>
  <c r="P15" i="65"/>
  <c r="P38" i="65"/>
  <c r="P40" i="65" s="1"/>
  <c r="Y157" i="67" s="1"/>
  <c r="U124" i="65"/>
  <c r="U134" i="65" s="1"/>
  <c r="AD464" i="67" s="1"/>
  <c r="O71" i="65"/>
  <c r="O76" i="65" s="1"/>
  <c r="X310" i="67" s="1"/>
  <c r="O38" i="65"/>
  <c r="O40" i="65" s="1"/>
  <c r="X157" i="67" s="1"/>
  <c r="O15" i="65"/>
  <c r="O122" i="65"/>
  <c r="O132" i="65" s="1"/>
  <c r="X462" i="67" s="1"/>
  <c r="AA615" i="67"/>
  <c r="AF798" i="67"/>
  <c r="W16" i="65"/>
  <c r="U73" i="65"/>
  <c r="U78" i="65" s="1"/>
  <c r="AD312" i="67" s="1"/>
  <c r="T17" i="65"/>
  <c r="AR66" i="70"/>
  <c r="Q71" i="65"/>
  <c r="Q76" i="65" s="1"/>
  <c r="Z310" i="67" s="1"/>
  <c r="AZ67" i="70"/>
  <c r="AG1137" i="67" s="1"/>
  <c r="AF749" i="67"/>
  <c r="AX67" i="70"/>
  <c r="AE1137" i="67" s="1"/>
  <c r="X16" i="65"/>
  <c r="W123" i="65"/>
  <c r="W133" i="65" s="1"/>
  <c r="AF463" i="67" s="1"/>
  <c r="AS50" i="70"/>
  <c r="V72" i="65"/>
  <c r="V77" i="65" s="1"/>
  <c r="AE311" i="67" s="1"/>
  <c r="V16" i="65"/>
  <c r="AV68" i="70"/>
  <c r="AC1138" i="67" s="1"/>
  <c r="AU66" i="70"/>
  <c r="AV52" i="70"/>
  <c r="AC1122" i="67" s="1"/>
  <c r="AR50" i="70"/>
  <c r="U17" i="65"/>
  <c r="AU68" i="70"/>
  <c r="AB1138" i="67" s="1"/>
  <c r="AU52" i="70"/>
  <c r="AB1122" i="67" s="1"/>
  <c r="AS66" i="70"/>
  <c r="R16" i="65"/>
  <c r="AT51" i="70"/>
  <c r="AA1121" i="67" s="1"/>
  <c r="R72" i="65"/>
  <c r="R77" i="65" s="1"/>
  <c r="AA311" i="67" s="1"/>
  <c r="W533" i="67"/>
  <c r="W381" i="67"/>
  <c r="W685" i="67"/>
  <c r="W836" i="67"/>
  <c r="W75" i="67"/>
  <c r="W228" i="67"/>
  <c r="U478" i="67"/>
  <c r="U630" i="67"/>
  <c r="U20" i="67"/>
  <c r="U781" i="67"/>
  <c r="U173" i="67"/>
  <c r="U326" i="67"/>
  <c r="T380" i="67"/>
  <c r="T532" i="67"/>
  <c r="T227" i="67"/>
  <c r="T835" i="67"/>
  <c r="T684" i="67"/>
  <c r="T74" i="67"/>
  <c r="Q15" i="65"/>
  <c r="Q38" i="65"/>
  <c r="Q40" i="65" s="1"/>
  <c r="Z157" i="67" s="1"/>
  <c r="V123" i="65"/>
  <c r="V133" i="65" s="1"/>
  <c r="AE463" i="67" s="1"/>
  <c r="S17" i="65"/>
  <c r="T124" i="65"/>
  <c r="T134" i="65" s="1"/>
  <c r="AC464" i="67" s="1"/>
  <c r="T73" i="65"/>
  <c r="T78" i="65" s="1"/>
  <c r="AC312" i="67" s="1"/>
  <c r="AA766" i="67"/>
  <c r="S71" i="65"/>
  <c r="S76" i="65" s="1"/>
  <c r="AB310" i="67" s="1"/>
  <c r="S38" i="65"/>
  <c r="S40" i="65" s="1"/>
  <c r="AB157" i="67" s="1"/>
  <c r="S124" i="65"/>
  <c r="S134" i="65" s="1"/>
  <c r="AB464" i="67" s="1"/>
  <c r="S73" i="65"/>
  <c r="S78" i="65" s="1"/>
  <c r="AB312" i="67" s="1"/>
  <c r="AQ66" i="70"/>
  <c r="AP52" i="70"/>
  <c r="W1122" i="67" s="1"/>
  <c r="AO67" i="70"/>
  <c r="V1137" i="67" s="1"/>
  <c r="AO51" i="70"/>
  <c r="V1121" i="67" s="1"/>
  <c r="N124" i="65"/>
  <c r="N134" i="65" s="1"/>
  <c r="W464" i="67" s="1"/>
  <c r="N73" i="65"/>
  <c r="N78" i="65" s="1"/>
  <c r="W312" i="67" s="1"/>
  <c r="M16" i="65"/>
  <c r="M72" i="65"/>
  <c r="M77" i="65" s="1"/>
  <c r="V311" i="67" s="1"/>
  <c r="O429" i="67"/>
  <c r="O733" i="67"/>
  <c r="O884" i="67"/>
  <c r="O123" i="67"/>
  <c r="O581" i="67"/>
  <c r="O276" i="67"/>
  <c r="X123" i="67"/>
  <c r="AN68" i="70"/>
  <c r="U1138" i="67" s="1"/>
  <c r="N17" i="65"/>
  <c r="AN52" i="70"/>
  <c r="U1122" i="67" s="1"/>
  <c r="L17" i="65"/>
  <c r="L73" i="65"/>
  <c r="L78" i="65" s="1"/>
  <c r="U312" i="67" s="1"/>
  <c r="L124" i="65"/>
  <c r="L134" i="65" s="1"/>
  <c r="U464" i="67" s="1"/>
  <c r="G38" i="65"/>
  <c r="G40" i="65" s="1"/>
  <c r="P157" i="67" s="1"/>
  <c r="G71" i="65"/>
  <c r="G76" i="65" s="1"/>
  <c r="P310" i="67" s="1"/>
  <c r="G15" i="65"/>
  <c r="AI66" i="70"/>
  <c r="AI50" i="70"/>
  <c r="M123" i="65"/>
  <c r="M133" i="65" s="1"/>
  <c r="V463" i="67" s="1"/>
  <c r="K72" i="65"/>
  <c r="K77" i="65" s="1"/>
  <c r="T311" i="67" s="1"/>
  <c r="K123" i="65"/>
  <c r="K133" i="65" s="1"/>
  <c r="T463" i="67" s="1"/>
  <c r="K16" i="65"/>
  <c r="AM51" i="70"/>
  <c r="T1121" i="67" s="1"/>
  <c r="E15" i="65"/>
  <c r="E38" i="65"/>
  <c r="E40" i="65" s="1"/>
  <c r="N157" i="67" s="1"/>
  <c r="E71" i="65"/>
  <c r="E76" i="65" s="1"/>
  <c r="N310" i="67" s="1"/>
  <c r="AJ52" i="70"/>
  <c r="Q1122" i="67" s="1"/>
  <c r="AJ51" i="70"/>
  <c r="Q1121" i="67" s="1"/>
  <c r="Q477" i="67"/>
  <c r="Q598" i="67"/>
  <c r="Q901" i="67"/>
  <c r="AG66" i="70"/>
  <c r="H73" i="65"/>
  <c r="H78" i="65" s="1"/>
  <c r="Q312" i="67" s="1"/>
  <c r="Q381" i="67"/>
  <c r="Q629" i="67"/>
  <c r="Q446" i="67"/>
  <c r="H72" i="65"/>
  <c r="H77" i="65" s="1"/>
  <c r="Q311" i="67" s="1"/>
  <c r="AH51" i="70"/>
  <c r="O1121" i="67" s="1"/>
  <c r="AH67" i="70"/>
  <c r="O1137" i="67" s="1"/>
  <c r="H17" i="65"/>
  <c r="AW886" i="67"/>
  <c r="AW735" i="67"/>
  <c r="AW125" i="67"/>
  <c r="AW278" i="67"/>
  <c r="AW431" i="67"/>
  <c r="AW583" i="67"/>
  <c r="Q172" i="67"/>
  <c r="Q325" i="67"/>
  <c r="Q140" i="67"/>
  <c r="Q750" i="67"/>
  <c r="H16" i="65"/>
  <c r="F16" i="65"/>
  <c r="F123" i="65"/>
  <c r="F133" i="65" s="1"/>
  <c r="O463" i="67" s="1"/>
  <c r="F72" i="65"/>
  <c r="F77" i="65" s="1"/>
  <c r="O311" i="67" s="1"/>
  <c r="H124" i="65"/>
  <c r="H134" i="65" s="1"/>
  <c r="Q464" i="67" s="1"/>
  <c r="AU649" i="67"/>
  <c r="AU192" i="67"/>
  <c r="AU800" i="67"/>
  <c r="AU497" i="67"/>
  <c r="AU345" i="67"/>
  <c r="AU39" i="67"/>
  <c r="E122" i="65"/>
  <c r="E132" i="65" s="1"/>
  <c r="N462" i="67" s="1"/>
  <c r="Q293" i="67"/>
  <c r="H123" i="65"/>
  <c r="H133" i="65" s="1"/>
  <c r="Q463" i="67" s="1"/>
  <c r="AT534" i="67"/>
  <c r="AT76" i="67"/>
  <c r="AT837" i="67"/>
  <c r="AT686" i="67"/>
  <c r="AQ686" i="67"/>
  <c r="D16" i="65"/>
  <c r="D72" i="65"/>
  <c r="D77" i="65" s="1"/>
  <c r="M311" i="67" s="1"/>
  <c r="C16" i="65"/>
  <c r="C72" i="65"/>
  <c r="C77" i="65" s="1"/>
  <c r="L311" i="67" s="1"/>
  <c r="AT382" i="67"/>
  <c r="AN382" i="67"/>
  <c r="AN76" i="67"/>
  <c r="AN837" i="67"/>
  <c r="AN686" i="67"/>
  <c r="AN229" i="67"/>
  <c r="AN534" i="67"/>
  <c r="AF51" i="70"/>
  <c r="M1121" i="67" s="1"/>
  <c r="AF67" i="70"/>
  <c r="M1137" i="67" s="1"/>
  <c r="D123" i="65"/>
  <c r="D133" i="65" s="1"/>
  <c r="M463" i="67" s="1"/>
  <c r="C123" i="65"/>
  <c r="C133" i="65" s="1"/>
  <c r="L463" i="67" s="1"/>
  <c r="AM229" i="67"/>
  <c r="AM686" i="67"/>
  <c r="AM382" i="67"/>
  <c r="AM534" i="67"/>
  <c r="AM76" i="67"/>
  <c r="AM837" i="67"/>
  <c r="AR39" i="67"/>
  <c r="AR192" i="67"/>
  <c r="AR800" i="67"/>
  <c r="AH213" i="67"/>
  <c r="AH366" i="67"/>
  <c r="AH518" i="67"/>
  <c r="AH821" i="67"/>
  <c r="AH60" i="67"/>
  <c r="AR497" i="67"/>
  <c r="AO768" i="67"/>
  <c r="AR345" i="67"/>
  <c r="AK382" i="67"/>
  <c r="AK76" i="67"/>
  <c r="AK686" i="67"/>
  <c r="AK837" i="67"/>
  <c r="AK229" i="67"/>
  <c r="AK534" i="67"/>
  <c r="AJ382" i="67"/>
  <c r="AJ534" i="67"/>
  <c r="AJ229" i="67"/>
  <c r="AJ837" i="67"/>
  <c r="AJ686" i="67"/>
  <c r="AJ76" i="67"/>
  <c r="AI76" i="67"/>
  <c r="AI686" i="67"/>
  <c r="AI837" i="67"/>
  <c r="AC686" i="67"/>
  <c r="AC229" i="67"/>
  <c r="AC534" i="67"/>
  <c r="AC76" i="67"/>
  <c r="AC837" i="67"/>
  <c r="AC382" i="67"/>
  <c r="AI229" i="67"/>
  <c r="AD886" i="67"/>
  <c r="AD125" i="67"/>
  <c r="AD431" i="67"/>
  <c r="AD735" i="67"/>
  <c r="AD583" i="67"/>
  <c r="AD278" i="67"/>
  <c r="AI534" i="67"/>
  <c r="Z534" i="67"/>
  <c r="Z76" i="67"/>
  <c r="Z174" i="67"/>
  <c r="U686" i="67"/>
  <c r="U229" i="67"/>
  <c r="U534" i="67"/>
  <c r="U382" i="67"/>
  <c r="U76" i="67"/>
  <c r="U837" i="67"/>
  <c r="W534" i="67"/>
  <c r="W382" i="67"/>
  <c r="W686" i="67"/>
  <c r="W837" i="67"/>
  <c r="W229" i="67"/>
  <c r="W76" i="67"/>
  <c r="T686" i="67"/>
  <c r="T534" i="67"/>
  <c r="T76" i="67"/>
  <c r="T229" i="67"/>
  <c r="T382" i="67"/>
  <c r="T837" i="67"/>
  <c r="Q837" i="67"/>
  <c r="Q76" i="67"/>
  <c r="Q686" i="67"/>
  <c r="O518" i="67"/>
  <c r="O60" i="67"/>
  <c r="O214" i="67"/>
  <c r="O822" i="67"/>
  <c r="O367" i="67"/>
  <c r="O671" i="67"/>
  <c r="O61" i="67"/>
  <c r="O519" i="67"/>
  <c r="O768" i="67"/>
  <c r="O617" i="67"/>
  <c r="Q534" i="67"/>
  <c r="Q229" i="67"/>
  <c r="N382" i="67"/>
  <c r="N76" i="67"/>
  <c r="N229" i="67"/>
  <c r="N837" i="67"/>
  <c r="N534" i="67"/>
  <c r="N686" i="67"/>
  <c r="M174" i="67"/>
  <c r="M782" i="67"/>
  <c r="M631" i="67"/>
  <c r="M21" i="67"/>
  <c r="M327" i="67"/>
  <c r="M479" i="67"/>
  <c r="AD54" i="70"/>
  <c r="K973" i="67" s="1"/>
  <c r="B126" i="65"/>
  <c r="B136" i="65" s="1"/>
  <c r="K466" i="67" s="1"/>
  <c r="B125" i="65"/>
  <c r="B135" i="65" s="1"/>
  <c r="K465" i="67" s="1"/>
  <c r="AD69" i="70"/>
  <c r="K988" i="67" s="1"/>
  <c r="B74" i="65"/>
  <c r="B79" i="65" s="1"/>
  <c r="K313" i="67" s="1"/>
  <c r="AD53" i="70"/>
  <c r="K972" i="67" s="1"/>
  <c r="B197" i="65"/>
  <c r="B198" i="65" s="1"/>
  <c r="B18" i="65"/>
  <c r="AQ67" i="70" l="1"/>
  <c r="X1137" i="67" s="1"/>
  <c r="J15" i="65"/>
  <c r="E159" i="65"/>
  <c r="O159" i="65"/>
  <c r="AS1340" i="67"/>
  <c r="O1339" i="67"/>
  <c r="AR1254" i="67"/>
  <c r="T1290" i="67"/>
  <c r="W1291" i="67"/>
  <c r="Q1356" i="67"/>
  <c r="U1236" i="67"/>
  <c r="Q1235" i="67"/>
  <c r="AJ1339" i="67"/>
  <c r="BD50" i="70"/>
  <c r="AB159" i="65" s="1"/>
  <c r="AS67" i="70"/>
  <c r="Z1137" i="67" s="1"/>
  <c r="AG22" i="65"/>
  <c r="R73" i="65"/>
  <c r="R78" i="65" s="1"/>
  <c r="AA312" i="67" s="1"/>
  <c r="V159" i="65"/>
  <c r="V171" i="65" s="1"/>
  <c r="AE667" i="67" s="1"/>
  <c r="K1139" i="67"/>
  <c r="K1124" i="67"/>
  <c r="K1123" i="67"/>
  <c r="AB122" i="65"/>
  <c r="AB132" i="65" s="1"/>
  <c r="AK462" i="67" s="1"/>
  <c r="Q16" i="65"/>
  <c r="Q21" i="65" s="1"/>
  <c r="O72" i="65"/>
  <c r="O77" i="65" s="1"/>
  <c r="X311" i="67" s="1"/>
  <c r="O16" i="65"/>
  <c r="O21" i="65" s="1"/>
  <c r="O123" i="65"/>
  <c r="O133" i="65" s="1"/>
  <c r="X463" i="67" s="1"/>
  <c r="Q72" i="65"/>
  <c r="Q77" i="65" s="1"/>
  <c r="Z311" i="67" s="1"/>
  <c r="U38" i="65"/>
  <c r="U40" i="65" s="1"/>
  <c r="AD157" i="67" s="1"/>
  <c r="AD779" i="67"/>
  <c r="BO51" i="70"/>
  <c r="AM160" i="65" s="1"/>
  <c r="AM172" i="65" s="1"/>
  <c r="AV668" i="67" s="1"/>
  <c r="AV780" i="67"/>
  <c r="AL66" i="70"/>
  <c r="S1136" i="67" s="1"/>
  <c r="S779" i="67"/>
  <c r="AA38" i="65"/>
  <c r="AA40" i="65" s="1"/>
  <c r="AJ157" i="67" s="1"/>
  <c r="AJ779" i="67"/>
  <c r="U71" i="65"/>
  <c r="U76" i="65" s="1"/>
  <c r="AD310" i="67" s="1"/>
  <c r="J122" i="65"/>
  <c r="J132" i="65" s="1"/>
  <c r="S462" i="67" s="1"/>
  <c r="J71" i="65"/>
  <c r="J76" i="65" s="1"/>
  <c r="S310" i="67" s="1"/>
  <c r="AN73" i="65"/>
  <c r="AN78" i="65" s="1"/>
  <c r="AW50" i="70"/>
  <c r="U159" i="65" s="1"/>
  <c r="U122" i="65"/>
  <c r="U132" i="65" s="1"/>
  <c r="AD462" i="67" s="1"/>
  <c r="BP68" i="70"/>
  <c r="AW1138" i="67" s="1"/>
  <c r="AN17" i="65"/>
  <c r="AN22" i="65" s="1"/>
  <c r="AT52" i="70"/>
  <c r="AA1122" i="67" s="1"/>
  <c r="AW66" i="70"/>
  <c r="U15" i="65"/>
  <c r="U20" i="65" s="1"/>
  <c r="BP52" i="70"/>
  <c r="AW1122" i="67" s="1"/>
  <c r="U161" i="65"/>
  <c r="U173" i="65" s="1"/>
  <c r="AD669" i="67" s="1"/>
  <c r="R17" i="65"/>
  <c r="R22" i="65" s="1"/>
  <c r="P1120" i="67"/>
  <c r="X1136" i="67"/>
  <c r="Z1136" i="67"/>
  <c r="Y1120" i="67"/>
  <c r="AI1136" i="67"/>
  <c r="AI1120" i="67"/>
  <c r="AQ1136" i="67"/>
  <c r="AB1120" i="67"/>
  <c r="G72" i="65"/>
  <c r="G77" i="65" s="1"/>
  <c r="P311" i="67" s="1"/>
  <c r="P1068" i="67"/>
  <c r="P1100" i="67"/>
  <c r="P1082" i="67"/>
  <c r="P1186" i="67"/>
  <c r="P1202" i="67"/>
  <c r="AH66" i="70"/>
  <c r="O1067" i="67"/>
  <c r="O1099" i="67"/>
  <c r="O1081" i="67"/>
  <c r="O1201" i="67"/>
  <c r="O1185" i="67"/>
  <c r="K38" i="65"/>
  <c r="K40" i="65" s="1"/>
  <c r="T157" i="67" s="1"/>
  <c r="T1067" i="67"/>
  <c r="T1081" i="67"/>
  <c r="T1099" i="67"/>
  <c r="T1185" i="67"/>
  <c r="T1201" i="67"/>
  <c r="Y1068" i="67"/>
  <c r="Y1100" i="67"/>
  <c r="Y1082" i="67"/>
  <c r="Y1202" i="67"/>
  <c r="Y1186" i="67"/>
  <c r="S1068" i="67"/>
  <c r="S1082" i="67"/>
  <c r="S1100" i="67"/>
  <c r="S1186" i="67"/>
  <c r="S1202" i="67"/>
  <c r="Y124" i="65"/>
  <c r="Y134" i="65" s="1"/>
  <c r="AH464" i="67" s="1"/>
  <c r="AH1069" i="67"/>
  <c r="AH1083" i="67"/>
  <c r="AH1101" i="67"/>
  <c r="AH1187" i="67"/>
  <c r="AH1203" i="67"/>
  <c r="AT68" i="70"/>
  <c r="AA1138" i="67" s="1"/>
  <c r="AA1291" i="67" s="1"/>
  <c r="AA1069" i="67"/>
  <c r="AA1101" i="67"/>
  <c r="AA1083" i="67"/>
  <c r="AA1187" i="67"/>
  <c r="AA1203" i="67"/>
  <c r="AD1067" i="67"/>
  <c r="AD1081" i="67"/>
  <c r="AD1099" i="67"/>
  <c r="AD1185" i="67"/>
  <c r="AD1201" i="67"/>
  <c r="AW1069" i="67"/>
  <c r="AW1083" i="67"/>
  <c r="AW1101" i="67"/>
  <c r="AW1187" i="67"/>
  <c r="AW1203" i="67"/>
  <c r="W1068" i="67"/>
  <c r="W1082" i="67"/>
  <c r="W1100" i="67"/>
  <c r="W1186" i="67"/>
  <c r="W1202" i="67"/>
  <c r="AD73" i="65"/>
  <c r="AD78" i="65" s="1"/>
  <c r="AM312" i="67" s="1"/>
  <c r="AM1083" i="67"/>
  <c r="AM1101" i="67"/>
  <c r="AM1069" i="67"/>
  <c r="AM1187" i="67"/>
  <c r="AM1203" i="67"/>
  <c r="P1069" i="67"/>
  <c r="P1083" i="67"/>
  <c r="P1101" i="67"/>
  <c r="P1187" i="67"/>
  <c r="P1203" i="67"/>
  <c r="AG1067" i="67"/>
  <c r="AG1099" i="67"/>
  <c r="AG1081" i="67"/>
  <c r="AG1185" i="67"/>
  <c r="AG1201" i="67"/>
  <c r="AP1081" i="67"/>
  <c r="AP1099" i="67"/>
  <c r="AP1067" i="67"/>
  <c r="AP1185" i="67"/>
  <c r="AP1201" i="67"/>
  <c r="BO67" i="70"/>
  <c r="AV1137" i="67" s="1"/>
  <c r="AV1290" i="67" s="1"/>
  <c r="AV1068" i="67"/>
  <c r="AV1082" i="67"/>
  <c r="AV1100" i="67"/>
  <c r="AV1186" i="67"/>
  <c r="AV1202" i="67"/>
  <c r="AE122" i="65"/>
  <c r="AE132" i="65" s="1"/>
  <c r="AN462" i="67" s="1"/>
  <c r="AN1067" i="67"/>
  <c r="AN1081" i="67"/>
  <c r="AN1099" i="67"/>
  <c r="AN1185" i="67"/>
  <c r="AN1201" i="67"/>
  <c r="N1136" i="67"/>
  <c r="P1136" i="67"/>
  <c r="Y1136" i="67"/>
  <c r="AE1136" i="67"/>
  <c r="AF1136" i="67"/>
  <c r="AF1120" i="67"/>
  <c r="AO1120" i="67"/>
  <c r="AQ1120" i="67"/>
  <c r="AV1121" i="67"/>
  <c r="V1067" i="67"/>
  <c r="V1081" i="67"/>
  <c r="V1099" i="67"/>
  <c r="V1185" i="67"/>
  <c r="V1201" i="67"/>
  <c r="M1067" i="67"/>
  <c r="M1081" i="67"/>
  <c r="M1099" i="67"/>
  <c r="M1185" i="67"/>
  <c r="M1201" i="67"/>
  <c r="Q1067" i="67"/>
  <c r="Q1081" i="67"/>
  <c r="Q1099" i="67"/>
  <c r="Q1185" i="67"/>
  <c r="Q1201" i="67"/>
  <c r="T1069" i="67"/>
  <c r="T1083" i="67"/>
  <c r="T1101" i="67"/>
  <c r="T1187" i="67"/>
  <c r="T1203" i="67"/>
  <c r="Y1069" i="67"/>
  <c r="Y1083" i="67"/>
  <c r="Y1101" i="67"/>
  <c r="Y1187" i="67"/>
  <c r="Y1203" i="67"/>
  <c r="AH1067" i="67"/>
  <c r="AH1081" i="67"/>
  <c r="AH1099" i="67"/>
  <c r="AH1185" i="67"/>
  <c r="AH1201" i="67"/>
  <c r="AL1067" i="67"/>
  <c r="AL1081" i="67"/>
  <c r="AL1099" i="67"/>
  <c r="AL1185" i="67"/>
  <c r="AL1201" i="67"/>
  <c r="AL50" i="70"/>
  <c r="S1081" i="67"/>
  <c r="S1099" i="67"/>
  <c r="S1067" i="67"/>
  <c r="S1201" i="67"/>
  <c r="S1185" i="67"/>
  <c r="R1067" i="67"/>
  <c r="R1081" i="67"/>
  <c r="R1099" i="67"/>
  <c r="R1185" i="67"/>
  <c r="R1201" i="67"/>
  <c r="AA1099" i="67"/>
  <c r="AA1081" i="67"/>
  <c r="AA1067" i="67"/>
  <c r="AA1185" i="67"/>
  <c r="AA1201" i="67"/>
  <c r="AG1069" i="67"/>
  <c r="AG1083" i="67"/>
  <c r="AG1101" i="67"/>
  <c r="AG1187" i="67"/>
  <c r="AG1203" i="67"/>
  <c r="AW1067" i="67"/>
  <c r="AW1081" i="67"/>
  <c r="AW1099" i="67"/>
  <c r="AW1185" i="67"/>
  <c r="AW1201" i="67"/>
  <c r="W1067" i="67"/>
  <c r="W1099" i="67"/>
  <c r="W1081" i="67"/>
  <c r="W1185" i="67"/>
  <c r="W1201" i="67"/>
  <c r="BF50" i="70"/>
  <c r="AM1067" i="67"/>
  <c r="AM1099" i="67"/>
  <c r="AM1081" i="67"/>
  <c r="AM1185" i="67"/>
  <c r="AM1201" i="67"/>
  <c r="AG68" i="70"/>
  <c r="N1138" i="67" s="1"/>
  <c r="N1069" i="67"/>
  <c r="N1101" i="67"/>
  <c r="N1083" i="67"/>
  <c r="N1187" i="67"/>
  <c r="N1203" i="67"/>
  <c r="AA71" i="65"/>
  <c r="AA76" i="65" s="1"/>
  <c r="AJ310" i="67" s="1"/>
  <c r="AJ1067" i="67"/>
  <c r="AJ1081" i="67"/>
  <c r="AJ1099" i="67"/>
  <c r="AJ1185" i="67"/>
  <c r="AJ1201" i="67"/>
  <c r="BN68" i="70"/>
  <c r="AU1138" i="67" s="1"/>
  <c r="AU1101" i="67"/>
  <c r="AU1069" i="67"/>
  <c r="AU1083" i="67"/>
  <c r="AU1187" i="67"/>
  <c r="AU1203" i="67"/>
  <c r="AE1101" i="67"/>
  <c r="AE1083" i="67"/>
  <c r="AE1069" i="67"/>
  <c r="AE1187" i="67"/>
  <c r="AE1203" i="67"/>
  <c r="AV1067" i="67"/>
  <c r="AV1081" i="67"/>
  <c r="AV1099" i="67"/>
  <c r="AV1185" i="67"/>
  <c r="AV1201" i="67"/>
  <c r="AE1120" i="67"/>
  <c r="AB1136" i="67"/>
  <c r="Z1120" i="67"/>
  <c r="AD1136" i="67"/>
  <c r="M1069" i="67"/>
  <c r="M1083" i="67"/>
  <c r="M1101" i="67"/>
  <c r="M1187" i="67"/>
  <c r="M1203" i="67"/>
  <c r="M124" i="65"/>
  <c r="M134" i="65" s="1"/>
  <c r="V464" i="67" s="1"/>
  <c r="V1069" i="67"/>
  <c r="V1083" i="67"/>
  <c r="V1101" i="67"/>
  <c r="V1187" i="67"/>
  <c r="V1203" i="67"/>
  <c r="AQ51" i="70"/>
  <c r="X1121" i="67" s="1"/>
  <c r="X1068" i="67"/>
  <c r="X1082" i="67"/>
  <c r="X1100" i="67"/>
  <c r="X1186" i="67"/>
  <c r="X1202" i="67"/>
  <c r="Q123" i="65"/>
  <c r="Q133" i="65" s="1"/>
  <c r="Z463" i="67" s="1"/>
  <c r="Z1068" i="67"/>
  <c r="Z1082" i="67"/>
  <c r="Z1100" i="67"/>
  <c r="Z1186" i="67"/>
  <c r="Z1202" i="67"/>
  <c r="BE52" i="70"/>
  <c r="AL1069" i="67"/>
  <c r="AL1083" i="67"/>
  <c r="AL1101" i="67"/>
  <c r="AL1187" i="67"/>
  <c r="AL1203" i="67"/>
  <c r="AI71" i="65"/>
  <c r="AI76" i="65" s="1"/>
  <c r="AR310" i="67" s="1"/>
  <c r="AR1067" i="67"/>
  <c r="AR1081" i="67"/>
  <c r="AR1099" i="67"/>
  <c r="AR1185" i="67"/>
  <c r="AR1201" i="67"/>
  <c r="S1069" i="67"/>
  <c r="S1101" i="67"/>
  <c r="S1083" i="67"/>
  <c r="S1187" i="67"/>
  <c r="S1203" i="67"/>
  <c r="AK67" i="70"/>
  <c r="R1137" i="67" s="1"/>
  <c r="R1068" i="67"/>
  <c r="R1082" i="67"/>
  <c r="R1100" i="67"/>
  <c r="R1186" i="67"/>
  <c r="R1202" i="67"/>
  <c r="AD1068" i="67"/>
  <c r="AD1082" i="67"/>
  <c r="AD1100" i="67"/>
  <c r="AD1186" i="67"/>
  <c r="AD1202" i="67"/>
  <c r="AT1068" i="67"/>
  <c r="AT1082" i="67"/>
  <c r="AT1100" i="67"/>
  <c r="AT1186" i="67"/>
  <c r="AT1202" i="67"/>
  <c r="AI1068" i="67"/>
  <c r="AI1082" i="67"/>
  <c r="AI1100" i="67"/>
  <c r="AI1186" i="67"/>
  <c r="AI1202" i="67"/>
  <c r="AJ16" i="65"/>
  <c r="AS5" i="67" s="1"/>
  <c r="AS1082" i="67"/>
  <c r="AS1100" i="67"/>
  <c r="AS1068" i="67"/>
  <c r="AS1186" i="67"/>
  <c r="AS1202" i="67"/>
  <c r="U1100" i="67"/>
  <c r="U1068" i="67"/>
  <c r="U1082" i="67"/>
  <c r="U1186" i="67"/>
  <c r="U1202" i="67"/>
  <c r="AO1069" i="67"/>
  <c r="AO1101" i="67"/>
  <c r="AO1083" i="67"/>
  <c r="AO1187" i="67"/>
  <c r="AO1203" i="67"/>
  <c r="AS1067" i="67"/>
  <c r="AS1099" i="67"/>
  <c r="AS1081" i="67"/>
  <c r="AS1185" i="67"/>
  <c r="AS1201" i="67"/>
  <c r="AF1069" i="67"/>
  <c r="AF1083" i="67"/>
  <c r="AF1101" i="67"/>
  <c r="AF1187" i="67"/>
  <c r="AF1203" i="67"/>
  <c r="AE52" i="70"/>
  <c r="L1122" i="67" s="1"/>
  <c r="L1069" i="67"/>
  <c r="L1083" i="67"/>
  <c r="L1101" i="67"/>
  <c r="L1187" i="67"/>
  <c r="L1203" i="67"/>
  <c r="C160" i="65"/>
  <c r="C172" i="65" s="1"/>
  <c r="L668" i="67" s="1"/>
  <c r="L1121" i="67"/>
  <c r="AU1136" i="67"/>
  <c r="AO1136" i="67"/>
  <c r="AU1120" i="67"/>
  <c r="N1068" i="67"/>
  <c r="N1082" i="67"/>
  <c r="N1100" i="67"/>
  <c r="N1186" i="67"/>
  <c r="N1202" i="67"/>
  <c r="F73" i="65"/>
  <c r="F78" i="65" s="1"/>
  <c r="O312" i="67" s="1"/>
  <c r="O1101" i="67"/>
  <c r="O1083" i="67"/>
  <c r="O1069" i="67"/>
  <c r="O1187" i="67"/>
  <c r="O1203" i="67"/>
  <c r="U1067" i="67"/>
  <c r="U1081" i="67"/>
  <c r="U1099" i="67"/>
  <c r="U1185" i="67"/>
  <c r="U1201" i="67"/>
  <c r="AQ68" i="70"/>
  <c r="X1138" i="67" s="1"/>
  <c r="X1069" i="67"/>
  <c r="X1083" i="67"/>
  <c r="X1101" i="67"/>
  <c r="X1187" i="67"/>
  <c r="X1203" i="67"/>
  <c r="Z1069" i="67"/>
  <c r="Z1083" i="67"/>
  <c r="Z1101" i="67"/>
  <c r="Z1187" i="67"/>
  <c r="Z1203" i="67"/>
  <c r="AR1068" i="67"/>
  <c r="AR1082" i="67"/>
  <c r="AR1100" i="67"/>
  <c r="AR1186" i="67"/>
  <c r="AR1202" i="67"/>
  <c r="AC1082" i="67"/>
  <c r="AC1100" i="67"/>
  <c r="AC1068" i="67"/>
  <c r="AC1186" i="67"/>
  <c r="AC1202" i="67"/>
  <c r="I17" i="65"/>
  <c r="I22" i="65" s="1"/>
  <c r="R1069" i="67"/>
  <c r="R1083" i="67"/>
  <c r="R1101" i="67"/>
  <c r="R1187" i="67"/>
  <c r="R1203" i="67"/>
  <c r="AC1067" i="67"/>
  <c r="AC1081" i="67"/>
  <c r="AC1099" i="67"/>
  <c r="AC1185" i="67"/>
  <c r="AC1201" i="67"/>
  <c r="AL16" i="65"/>
  <c r="AL21" i="65" s="1"/>
  <c r="AU1068" i="67"/>
  <c r="AU1082" i="67"/>
  <c r="AU1100" i="67"/>
  <c r="AU1186" i="67"/>
  <c r="AU1202" i="67"/>
  <c r="X160" i="65"/>
  <c r="X172" i="65" s="1"/>
  <c r="AG668" i="67" s="1"/>
  <c r="AG1121" i="67"/>
  <c r="C71" i="65"/>
  <c r="C76" i="65" s="1"/>
  <c r="L310" i="67" s="1"/>
  <c r="L1067" i="67"/>
  <c r="L1081" i="67"/>
  <c r="L1099" i="67"/>
  <c r="L1185" i="67"/>
  <c r="L1201" i="67"/>
  <c r="AJ1069" i="67"/>
  <c r="AJ1083" i="67"/>
  <c r="AJ1101" i="67"/>
  <c r="AJ1187" i="67"/>
  <c r="AJ1203" i="67"/>
  <c r="AT1067" i="67"/>
  <c r="AT1081" i="67"/>
  <c r="AT1099" i="67"/>
  <c r="AT1185" i="67"/>
  <c r="AT1201" i="67"/>
  <c r="AB1068" i="67"/>
  <c r="AB1082" i="67"/>
  <c r="AB1100" i="67"/>
  <c r="AB1186" i="67"/>
  <c r="AB1202" i="67"/>
  <c r="AP1068" i="67"/>
  <c r="AP1082" i="67"/>
  <c r="AP1100" i="67"/>
  <c r="AP1186" i="67"/>
  <c r="AP1202" i="67"/>
  <c r="BG68" i="70"/>
  <c r="AN1138" i="67" s="1"/>
  <c r="AN1069" i="67"/>
  <c r="AN1083" i="67"/>
  <c r="AN1101" i="67"/>
  <c r="AN1187" i="67"/>
  <c r="AN1203" i="67"/>
  <c r="AB72" i="65"/>
  <c r="AB77" i="65" s="1"/>
  <c r="AK311" i="67" s="1"/>
  <c r="AK1100" i="67"/>
  <c r="AK1068" i="67"/>
  <c r="AK1082" i="67"/>
  <c r="AK1202" i="67"/>
  <c r="AK1186" i="67"/>
  <c r="AB15" i="65"/>
  <c r="AK4" i="67" s="1"/>
  <c r="AK1067" i="67"/>
  <c r="AK1081" i="67"/>
  <c r="AK1099" i="67"/>
  <c r="AK1185" i="67"/>
  <c r="AK1201" i="67"/>
  <c r="N1120" i="67"/>
  <c r="X1120" i="67"/>
  <c r="AS51" i="70"/>
  <c r="Z1121" i="67" s="1"/>
  <c r="AI67" i="70"/>
  <c r="P1137" i="67" s="1"/>
  <c r="M17" i="65"/>
  <c r="M22" i="65" s="1"/>
  <c r="AO68" i="70"/>
  <c r="V1138" i="67" s="1"/>
  <c r="G123" i="65"/>
  <c r="G133" i="65" s="1"/>
  <c r="P463" i="67" s="1"/>
  <c r="M73" i="65"/>
  <c r="M78" i="65" s="1"/>
  <c r="V312" i="67" s="1"/>
  <c r="AC124" i="65"/>
  <c r="AC134" i="65" s="1"/>
  <c r="AL464" i="67" s="1"/>
  <c r="AW312" i="67"/>
  <c r="AW311" i="67"/>
  <c r="AG52" i="70"/>
  <c r="N1122" i="67" s="1"/>
  <c r="BG66" i="70"/>
  <c r="AL17" i="65"/>
  <c r="AL22" i="65" s="1"/>
  <c r="AB71" i="65"/>
  <c r="AB76" i="65" s="1"/>
  <c r="AK310" i="67" s="1"/>
  <c r="AJ72" i="65"/>
  <c r="AJ77" i="65" s="1"/>
  <c r="AS311" i="67" s="1"/>
  <c r="AE71" i="65"/>
  <c r="AE76" i="65" s="1"/>
  <c r="AN310" i="67" s="1"/>
  <c r="E124" i="65"/>
  <c r="E134" i="65" s="1"/>
  <c r="N464" i="67" s="1"/>
  <c r="Z16" i="65"/>
  <c r="Z21" i="65" s="1"/>
  <c r="AL124" i="65"/>
  <c r="AL134" i="65" s="1"/>
  <c r="AU464" i="67" s="1"/>
  <c r="E73" i="65"/>
  <c r="E78" i="65" s="1"/>
  <c r="N312" i="67" s="1"/>
  <c r="BB51" i="70"/>
  <c r="AL73" i="65"/>
  <c r="AL78" i="65" s="1"/>
  <c r="AU312" i="67" s="1"/>
  <c r="E17" i="65"/>
  <c r="E22" i="65" s="1"/>
  <c r="BC66" i="70"/>
  <c r="AA15" i="65"/>
  <c r="AA20" i="65" s="1"/>
  <c r="AA122" i="65"/>
  <c r="AA132" i="65" s="1"/>
  <c r="AJ462" i="67" s="1"/>
  <c r="AJ123" i="65"/>
  <c r="AJ133" i="65" s="1"/>
  <c r="AS463" i="67" s="1"/>
  <c r="AE38" i="65"/>
  <c r="AE40" i="65" s="1"/>
  <c r="AN157" i="67" s="1"/>
  <c r="BG50" i="70"/>
  <c r="AM72" i="65"/>
  <c r="AM77" i="65" s="1"/>
  <c r="AV311" i="67" s="1"/>
  <c r="Z123" i="65"/>
  <c r="Z133" i="65" s="1"/>
  <c r="AI463" i="67" s="1"/>
  <c r="BN52" i="70"/>
  <c r="K71" i="65"/>
  <c r="K76" i="65" s="1"/>
  <c r="T310" i="67" s="1"/>
  <c r="BD51" i="70"/>
  <c r="BC50" i="70"/>
  <c r="BD66" i="70"/>
  <c r="AB38" i="65"/>
  <c r="AB40" i="65" s="1"/>
  <c r="AK157" i="67" s="1"/>
  <c r="AE15" i="65"/>
  <c r="AE20" i="65" s="1"/>
  <c r="AM123" i="65"/>
  <c r="AM133" i="65" s="1"/>
  <c r="AV463" i="67" s="1"/>
  <c r="AM16" i="65"/>
  <c r="AM21" i="65" s="1"/>
  <c r="AC17" i="65"/>
  <c r="AC22" i="65" s="1"/>
  <c r="AC73" i="65"/>
  <c r="AC78" i="65" s="1"/>
  <c r="AL312" i="67" s="1"/>
  <c r="AI38" i="65"/>
  <c r="AI40" i="65" s="1"/>
  <c r="AR157" i="67" s="1"/>
  <c r="BE68" i="70"/>
  <c r="AL1138" i="67" s="1"/>
  <c r="AE21" i="65"/>
  <c r="AE17" i="65"/>
  <c r="AE22" i="65" s="1"/>
  <c r="I72" i="65"/>
  <c r="I77" i="65" s="1"/>
  <c r="R311" i="67" s="1"/>
  <c r="O171" i="65"/>
  <c r="X667" i="67" s="1"/>
  <c r="AD70" i="70"/>
  <c r="K989" i="67" s="1"/>
  <c r="E171" i="65"/>
  <c r="N667" i="67" s="1"/>
  <c r="X19" i="67"/>
  <c r="X884" i="67"/>
  <c r="X429" i="67"/>
  <c r="AG292" i="67"/>
  <c r="AG749" i="67"/>
  <c r="S159" i="65"/>
  <c r="AR533" i="67"/>
  <c r="Q835" i="67"/>
  <c r="Q532" i="67"/>
  <c r="Z292" i="67"/>
  <c r="AN21" i="65"/>
  <c r="AW5" i="67"/>
  <c r="AH22" i="65"/>
  <c r="AQ6" i="67"/>
  <c r="U22" i="65"/>
  <c r="AD6" i="67"/>
  <c r="X21" i="65"/>
  <c r="AG5" i="67"/>
  <c r="D21" i="65"/>
  <c r="M5" i="67"/>
  <c r="N6" i="67"/>
  <c r="P20" i="65"/>
  <c r="Y4" i="67"/>
  <c r="AH21" i="65"/>
  <c r="AQ5" i="67"/>
  <c r="AA21" i="65"/>
  <c r="AJ5" i="67"/>
  <c r="AB22" i="65"/>
  <c r="AK6" i="67"/>
  <c r="AJ22" i="65"/>
  <c r="AS6" i="67"/>
  <c r="AO597" i="67"/>
  <c r="X71" i="65"/>
  <c r="X76" i="65" s="1"/>
  <c r="AG310" i="67" s="1"/>
  <c r="AG189" i="67"/>
  <c r="BI66" i="70"/>
  <c r="AE73" i="65"/>
  <c r="AE78" i="65" s="1"/>
  <c r="AN312" i="67" s="1"/>
  <c r="AN293" i="67"/>
  <c r="BG52" i="70"/>
  <c r="AE124" i="65"/>
  <c r="AE134" i="65" s="1"/>
  <c r="AN464" i="67" s="1"/>
  <c r="BD67" i="70"/>
  <c r="AK1137" i="67" s="1"/>
  <c r="AK429" i="67"/>
  <c r="AB123" i="65"/>
  <c r="AB133" i="65" s="1"/>
  <c r="AK463" i="67" s="1"/>
  <c r="AB16" i="65"/>
  <c r="C17" i="65"/>
  <c r="L6" i="67" s="1"/>
  <c r="C73" i="65"/>
  <c r="C78" i="65" s="1"/>
  <c r="L312" i="67" s="1"/>
  <c r="AE68" i="70"/>
  <c r="L1138" i="67" s="1"/>
  <c r="C124" i="65"/>
  <c r="C134" i="65" s="1"/>
  <c r="L464" i="67" s="1"/>
  <c r="H21" i="65"/>
  <c r="Q5" i="67"/>
  <c r="B23" i="65"/>
  <c r="K7" i="67"/>
  <c r="X581" i="67"/>
  <c r="W21" i="65"/>
  <c r="AF5" i="67"/>
  <c r="AG597" i="67"/>
  <c r="P229" i="67"/>
  <c r="BE66" i="70"/>
  <c r="AC15" i="65"/>
  <c r="Q382" i="67"/>
  <c r="J16" i="65"/>
  <c r="AK68" i="70"/>
  <c r="AV66" i="70"/>
  <c r="T38" i="65"/>
  <c r="T40" i="65" s="1"/>
  <c r="AC157" i="67" s="1"/>
  <c r="AL72" i="65"/>
  <c r="AL77" i="65" s="1"/>
  <c r="AU311" i="67" s="1"/>
  <c r="AO227" i="67"/>
  <c r="G20" i="65"/>
  <c r="P4" i="67"/>
  <c r="L22" i="65"/>
  <c r="U6" i="67"/>
  <c r="M21" i="65"/>
  <c r="V5" i="67"/>
  <c r="S22" i="65"/>
  <c r="AB6" i="67"/>
  <c r="Q20" i="65"/>
  <c r="Z4" i="67"/>
  <c r="Z1220" i="67" s="1"/>
  <c r="R21" i="65"/>
  <c r="AA5" i="67"/>
  <c r="AA1221" i="67" s="1"/>
  <c r="AD21" i="65"/>
  <c r="AM5" i="67"/>
  <c r="AH20" i="65"/>
  <c r="AQ4" i="67"/>
  <c r="AW6" i="67"/>
  <c r="AR649" i="67"/>
  <c r="AJ798" i="67"/>
  <c r="S20" i="65"/>
  <c r="AB4" i="67"/>
  <c r="Z20" i="65"/>
  <c r="AI4" i="67"/>
  <c r="AT229" i="67"/>
  <c r="AI382" i="67"/>
  <c r="AA227" i="67"/>
  <c r="H22" i="65"/>
  <c r="Q6" i="67"/>
  <c r="E20" i="65"/>
  <c r="N4" i="67"/>
  <c r="J20" i="65"/>
  <c r="S4" i="67"/>
  <c r="N22" i="65"/>
  <c r="W6" i="67"/>
  <c r="O20" i="65"/>
  <c r="X4" i="67"/>
  <c r="Z22" i="65"/>
  <c r="AI6" i="67"/>
  <c r="V20" i="65"/>
  <c r="AE4" i="67"/>
  <c r="Y21" i="65"/>
  <c r="AH5" i="67"/>
  <c r="AH1221" i="67" s="1"/>
  <c r="AL20" i="65"/>
  <c r="AU4" i="67"/>
  <c r="AM22" i="65"/>
  <c r="AV6" i="67"/>
  <c r="X684" i="67"/>
  <c r="AL533" i="67"/>
  <c r="AT191" i="67"/>
  <c r="L380" i="67"/>
  <c r="AI800" i="67"/>
  <c r="W781" i="67"/>
  <c r="AJ886" i="67"/>
  <c r="C21" i="65"/>
  <c r="L5" i="67"/>
  <c r="F21" i="65"/>
  <c r="O5" i="67"/>
  <c r="K21" i="65"/>
  <c r="T5" i="67"/>
  <c r="AA6" i="67"/>
  <c r="V21" i="65"/>
  <c r="AE5" i="67"/>
  <c r="T22" i="65"/>
  <c r="AC6" i="67"/>
  <c r="W20" i="65"/>
  <c r="AF4" i="67"/>
  <c r="AF21" i="65"/>
  <c r="AO5" i="67"/>
  <c r="AC21" i="65"/>
  <c r="AL5" i="67"/>
  <c r="AF20" i="65"/>
  <c r="AO4" i="67"/>
  <c r="AK22" i="65"/>
  <c r="AT6" i="67"/>
  <c r="AI22" i="65"/>
  <c r="AR6" i="67"/>
  <c r="AF581" i="67"/>
  <c r="AF445" i="67"/>
  <c r="AD75" i="67"/>
  <c r="AI733" i="67"/>
  <c r="O821" i="67"/>
  <c r="Z382" i="67"/>
  <c r="AR837" i="67"/>
  <c r="AG229" i="67"/>
  <c r="N650" i="67"/>
  <c r="Z229" i="67"/>
  <c r="AG534" i="67"/>
  <c r="AG686" i="67"/>
  <c r="L16" i="65"/>
  <c r="AN51" i="70"/>
  <c r="U1121" i="67" s="1"/>
  <c r="AR685" i="67"/>
  <c r="W630" i="67"/>
  <c r="AM71" i="65"/>
  <c r="AM76" i="65" s="1"/>
  <c r="AV310" i="67" s="1"/>
  <c r="AJ15" i="65"/>
  <c r="AL75" i="67"/>
  <c r="AL381" i="67"/>
  <c r="AL228" i="67"/>
  <c r="AD582" i="67"/>
  <c r="AD124" i="67"/>
  <c r="AD430" i="67"/>
  <c r="AD885" i="67"/>
  <c r="M15" i="65"/>
  <c r="AT228" i="67"/>
  <c r="AT533" i="67"/>
  <c r="AE50" i="70"/>
  <c r="C122" i="65"/>
  <c r="C132" i="65" s="1"/>
  <c r="L462" i="67" s="1"/>
  <c r="C38" i="65"/>
  <c r="C40" i="65" s="1"/>
  <c r="L157" i="67" s="1"/>
  <c r="L765" i="67"/>
  <c r="C15" i="65"/>
  <c r="AK71" i="65"/>
  <c r="AK76" i="65" s="1"/>
  <c r="AT310" i="67" s="1"/>
  <c r="AK38" i="65"/>
  <c r="AK40" i="65" s="1"/>
  <c r="AT157" i="67" s="1"/>
  <c r="BM50" i="70"/>
  <c r="AK15" i="65"/>
  <c r="AF73" i="65"/>
  <c r="AF78" i="65" s="1"/>
  <c r="AO312" i="67" s="1"/>
  <c r="BH52" i="70"/>
  <c r="AF17" i="65"/>
  <c r="AD277" i="67"/>
  <c r="V17" i="65"/>
  <c r="AO767" i="67"/>
  <c r="BH68" i="70"/>
  <c r="AO1138" i="67" s="1"/>
  <c r="BM66" i="70"/>
  <c r="AL836" i="67"/>
  <c r="BO50" i="70"/>
  <c r="AQ76" i="67"/>
  <c r="AQ534" i="67"/>
  <c r="L616" i="67"/>
  <c r="L767" i="67"/>
  <c r="D17" i="65"/>
  <c r="D124" i="65"/>
  <c r="D134" i="65" s="1"/>
  <c r="M464" i="67" s="1"/>
  <c r="D73" i="65"/>
  <c r="D78" i="65" s="1"/>
  <c r="M312" i="67" s="1"/>
  <c r="AF68" i="70"/>
  <c r="M1138" i="67" s="1"/>
  <c r="F15" i="65"/>
  <c r="F38" i="65"/>
  <c r="F40" i="65" s="1"/>
  <c r="O157" i="67" s="1"/>
  <c r="K15" i="65"/>
  <c r="AM66" i="70"/>
  <c r="AF37" i="67"/>
  <c r="AF190" i="67"/>
  <c r="AV51" i="70"/>
  <c r="AC1121" i="67" s="1"/>
  <c r="T123" i="65"/>
  <c r="T133" i="65" s="1"/>
  <c r="AC463" i="67" s="1"/>
  <c r="T16" i="65"/>
  <c r="AV67" i="70"/>
  <c r="AC1137" i="67" s="1"/>
  <c r="AK123" i="65"/>
  <c r="AK133" i="65" s="1"/>
  <c r="AT463" i="67" s="1"/>
  <c r="AW647" i="67"/>
  <c r="AW798" i="67"/>
  <c r="O213" i="67"/>
  <c r="O366" i="67"/>
  <c r="Z686" i="67"/>
  <c r="AG76" i="67"/>
  <c r="AQ229" i="67"/>
  <c r="AF52" i="70"/>
  <c r="AH50" i="70"/>
  <c r="I123" i="65"/>
  <c r="I133" i="65" s="1"/>
  <c r="R463" i="67" s="1"/>
  <c r="AE66" i="70"/>
  <c r="I16" i="65"/>
  <c r="D15" i="65"/>
  <c r="AD734" i="67"/>
  <c r="T72" i="65"/>
  <c r="T77" i="65" s="1"/>
  <c r="AC311" i="67" s="1"/>
  <c r="AA17" i="65"/>
  <c r="AL685" i="67"/>
  <c r="AK122" i="65"/>
  <c r="AK132" i="65" s="1"/>
  <c r="AT462" i="67" s="1"/>
  <c r="AT496" i="67"/>
  <c r="Q380" i="67"/>
  <c r="Q74" i="67"/>
  <c r="Q227" i="67"/>
  <c r="Q684" i="67"/>
  <c r="AU381" i="67"/>
  <c r="AU685" i="67"/>
  <c r="AX52" i="70"/>
  <c r="AE1122" i="67" s="1"/>
  <c r="W160" i="65"/>
  <c r="AH68" i="70"/>
  <c r="O1138" i="67" s="1"/>
  <c r="AI123" i="65"/>
  <c r="AI133" i="65" s="1"/>
  <c r="AR463" i="67" s="1"/>
  <c r="AA124" i="65"/>
  <c r="AA134" i="65" s="1"/>
  <c r="AJ464" i="67" s="1"/>
  <c r="BC68" i="70"/>
  <c r="AJ1138" i="67" s="1"/>
  <c r="BC52" i="70"/>
  <c r="AJ1122" i="67" s="1"/>
  <c r="AN67" i="70"/>
  <c r="U1137" i="67" s="1"/>
  <c r="L123" i="65"/>
  <c r="L133" i="65" s="1"/>
  <c r="U463" i="67" s="1"/>
  <c r="BL66" i="70"/>
  <c r="BL50" i="70"/>
  <c r="AJ38" i="65"/>
  <c r="AJ40" i="65" s="1"/>
  <c r="AS157" i="67" s="1"/>
  <c r="AJ122" i="65"/>
  <c r="AJ132" i="65" s="1"/>
  <c r="AS462" i="67" s="1"/>
  <c r="AM122" i="65"/>
  <c r="AM132" i="65" s="1"/>
  <c r="AV462" i="67" s="1"/>
  <c r="BO66" i="70"/>
  <c r="AM38" i="65"/>
  <c r="AM40" i="65" s="1"/>
  <c r="AV157" i="67" s="1"/>
  <c r="AM15" i="65"/>
  <c r="AI649" i="67"/>
  <c r="D122" i="65"/>
  <c r="D132" i="65" s="1"/>
  <c r="M462" i="67" s="1"/>
  <c r="F124" i="65"/>
  <c r="F134" i="65" s="1"/>
  <c r="O464" i="67" s="1"/>
  <c r="BK51" i="70"/>
  <c r="AR1121" i="67" s="1"/>
  <c r="AJ71" i="65"/>
  <c r="AJ76" i="65" s="1"/>
  <c r="AS310" i="67" s="1"/>
  <c r="Q533" i="67"/>
  <c r="Q75" i="67"/>
  <c r="Q836" i="67"/>
  <c r="Q685" i="67"/>
  <c r="AR51" i="70"/>
  <c r="Y1121" i="67" s="1"/>
  <c r="P123" i="65"/>
  <c r="P133" i="65" s="1"/>
  <c r="Y463" i="67" s="1"/>
  <c r="P72" i="65"/>
  <c r="P77" i="65" s="1"/>
  <c r="Y311" i="67" s="1"/>
  <c r="P16" i="65"/>
  <c r="U123" i="65"/>
  <c r="U133" i="65" s="1"/>
  <c r="AD463" i="67" s="1"/>
  <c r="W124" i="65"/>
  <c r="W134" i="65" s="1"/>
  <c r="AF464" i="67" s="1"/>
  <c r="W73" i="65"/>
  <c r="W78" i="65" s="1"/>
  <c r="AF312" i="67" s="1"/>
  <c r="AY52" i="70"/>
  <c r="AF1122" i="67" s="1"/>
  <c r="W17" i="65"/>
  <c r="AY68" i="70"/>
  <c r="AF1138" i="67" s="1"/>
  <c r="Z837" i="67"/>
  <c r="AG382" i="67"/>
  <c r="AG837" i="67"/>
  <c r="AI345" i="67"/>
  <c r="F71" i="65"/>
  <c r="F76" i="65" s="1"/>
  <c r="O310" i="67" s="1"/>
  <c r="Q228" i="67"/>
  <c r="L72" i="65"/>
  <c r="L77" i="65" s="1"/>
  <c r="U311" i="67" s="1"/>
  <c r="AR67" i="70"/>
  <c r="Y1137" i="67" s="1"/>
  <c r="Y749" i="67"/>
  <c r="AF276" i="67"/>
  <c r="V124" i="65"/>
  <c r="V134" i="65" s="1"/>
  <c r="AE464" i="67" s="1"/>
  <c r="AE885" i="67"/>
  <c r="AF123" i="67"/>
  <c r="AA73" i="65"/>
  <c r="AA78" i="65" s="1"/>
  <c r="AJ312" i="67" s="1"/>
  <c r="AF124" i="65"/>
  <c r="AF134" i="65" s="1"/>
  <c r="AO464" i="67" s="1"/>
  <c r="AT748" i="67"/>
  <c r="AR495" i="67"/>
  <c r="AX68" i="70"/>
  <c r="AE1138" i="67" s="1"/>
  <c r="Z139" i="67"/>
  <c r="Z597" i="67"/>
  <c r="AR381" i="67"/>
  <c r="AR836" i="67"/>
  <c r="L835" i="67"/>
  <c r="D71" i="65"/>
  <c r="D76" i="65" s="1"/>
  <c r="M310" i="67" s="1"/>
  <c r="W326" i="67"/>
  <c r="X733" i="67"/>
  <c r="T71" i="65"/>
  <c r="T76" i="65" s="1"/>
  <c r="AC310" i="67" s="1"/>
  <c r="AG900" i="67"/>
  <c r="AD17" i="65"/>
  <c r="AD228" i="67"/>
  <c r="AD685" i="67"/>
  <c r="AT344" i="67"/>
  <c r="AT75" i="67"/>
  <c r="BL51" i="70"/>
  <c r="AS1121" i="67" s="1"/>
  <c r="AL67" i="70"/>
  <c r="S1137" i="67" s="1"/>
  <c r="Z72" i="65"/>
  <c r="Z77" i="65" s="1"/>
  <c r="AI311" i="67" s="1"/>
  <c r="BL67" i="70"/>
  <c r="AS1137" i="67" s="1"/>
  <c r="AD381" i="67"/>
  <c r="AU533" i="67"/>
  <c r="P76" i="67"/>
  <c r="L532" i="67"/>
  <c r="I73" i="65"/>
  <c r="I78" i="65" s="1"/>
  <c r="R312" i="67" s="1"/>
  <c r="AF50" i="70"/>
  <c r="AQ52" i="70"/>
  <c r="X1122" i="67" s="1"/>
  <c r="M38" i="65"/>
  <c r="M40" i="65" s="1"/>
  <c r="V157" i="67" s="1"/>
  <c r="X276" i="67"/>
  <c r="O17" i="65"/>
  <c r="X172" i="67"/>
  <c r="AF139" i="67"/>
  <c r="AG139" i="67"/>
  <c r="AG445" i="67"/>
  <c r="AD836" i="67"/>
  <c r="BB67" i="70"/>
  <c r="AI1137" i="67" s="1"/>
  <c r="L581" i="67"/>
  <c r="L276" i="67"/>
  <c r="L733" i="67"/>
  <c r="L123" i="67"/>
  <c r="E123" i="65"/>
  <c r="E133" i="65" s="1"/>
  <c r="N463" i="67" s="1"/>
  <c r="E72" i="65"/>
  <c r="E77" i="65" s="1"/>
  <c r="N311" i="67" s="1"/>
  <c r="E16" i="65"/>
  <c r="H122" i="65"/>
  <c r="H132" i="65" s="1"/>
  <c r="Q462" i="67" s="1"/>
  <c r="H15" i="65"/>
  <c r="AJ50" i="70"/>
  <c r="AJ66" i="70"/>
  <c r="H38" i="65"/>
  <c r="H40" i="65" s="1"/>
  <c r="Q157" i="67" s="1"/>
  <c r="K17" i="65"/>
  <c r="AM68" i="70"/>
  <c r="T1138" i="67" s="1"/>
  <c r="K73" i="65"/>
  <c r="K78" i="65" s="1"/>
  <c r="T312" i="67" s="1"/>
  <c r="K124" i="65"/>
  <c r="K134" i="65" s="1"/>
  <c r="T464" i="67" s="1"/>
  <c r="P124" i="65"/>
  <c r="P134" i="65" s="1"/>
  <c r="Y464" i="67" s="1"/>
  <c r="P17" i="65"/>
  <c r="AR68" i="70"/>
  <c r="Y1138" i="67" s="1"/>
  <c r="Y38" i="65"/>
  <c r="Y40" i="65" s="1"/>
  <c r="AH157" i="67" s="1"/>
  <c r="Y15" i="65"/>
  <c r="BA50" i="70"/>
  <c r="Y71" i="65"/>
  <c r="Y76" i="65" s="1"/>
  <c r="AH310" i="67" s="1"/>
  <c r="BA66" i="70"/>
  <c r="J17" i="65"/>
  <c r="AL68" i="70"/>
  <c r="S1138" i="67" s="1"/>
  <c r="J73" i="65"/>
  <c r="J78" i="65" s="1"/>
  <c r="S312" i="67" s="1"/>
  <c r="X124" i="65"/>
  <c r="X134" i="65" s="1"/>
  <c r="AG464" i="67" s="1"/>
  <c r="X17" i="65"/>
  <c r="AG616" i="67"/>
  <c r="AZ52" i="70"/>
  <c r="AZ68" i="70"/>
  <c r="AG1138" i="67" s="1"/>
  <c r="AA532" i="67"/>
  <c r="AA835" i="67"/>
  <c r="AA74" i="67"/>
  <c r="AA684" i="67"/>
  <c r="P382" i="67"/>
  <c r="S767" i="67"/>
  <c r="J124" i="65"/>
  <c r="J134" i="65" s="1"/>
  <c r="S464" i="67" s="1"/>
  <c r="H71" i="65"/>
  <c r="H76" i="65" s="1"/>
  <c r="Q310" i="67" s="1"/>
  <c r="BE50" i="70"/>
  <c r="Q430" i="67"/>
  <c r="Q277" i="67"/>
  <c r="Q734" i="67"/>
  <c r="AO76" i="67"/>
  <c r="AI429" i="67"/>
  <c r="AI123" i="67"/>
  <c r="AI884" i="67"/>
  <c r="AI581" i="67"/>
  <c r="Z479" i="67"/>
  <c r="Z782" i="67"/>
  <c r="Z21" i="67"/>
  <c r="AR382" i="67"/>
  <c r="AR686" i="67"/>
  <c r="AR229" i="67"/>
  <c r="AR534" i="67"/>
  <c r="AR76" i="67"/>
  <c r="I38" i="65"/>
  <c r="I40" i="65" s="1"/>
  <c r="R157" i="67" s="1"/>
  <c r="AK66" i="70"/>
  <c r="I71" i="65"/>
  <c r="I76" i="65" s="1"/>
  <c r="R310" i="67" s="1"/>
  <c r="I15" i="65"/>
  <c r="AW835" i="67"/>
  <c r="AW227" i="67"/>
  <c r="AW380" i="67"/>
  <c r="AW532" i="67"/>
  <c r="AW684" i="67"/>
  <c r="AW74" i="67"/>
  <c r="AO835" i="67"/>
  <c r="AO74" i="67"/>
  <c r="AO380" i="67"/>
  <c r="AO684" i="67"/>
  <c r="AO532" i="67"/>
  <c r="G73" i="65"/>
  <c r="G78" i="65" s="1"/>
  <c r="P312" i="67" s="1"/>
  <c r="P616" i="67"/>
  <c r="G124" i="65"/>
  <c r="G134" i="65" s="1"/>
  <c r="P464" i="67" s="1"/>
  <c r="Z631" i="67"/>
  <c r="AI276" i="67"/>
  <c r="AN38" i="65"/>
  <c r="AN40" i="65" s="1"/>
  <c r="AW157" i="67" s="1"/>
  <c r="X766" i="67"/>
  <c r="X615" i="67"/>
  <c r="AM52" i="70"/>
  <c r="T1122" i="67" s="1"/>
  <c r="AA380" i="67"/>
  <c r="AO900" i="67"/>
  <c r="AO445" i="67"/>
  <c r="AO292" i="67"/>
  <c r="AO139" i="67"/>
  <c r="AO749" i="67"/>
  <c r="AT519" i="67"/>
  <c r="AT822" i="67"/>
  <c r="AT671" i="67"/>
  <c r="P686" i="67"/>
  <c r="P534" i="67"/>
  <c r="AC71" i="65"/>
  <c r="AC76" i="65" s="1"/>
  <c r="AL310" i="67" s="1"/>
  <c r="AC122" i="65"/>
  <c r="AC132" i="65" s="1"/>
  <c r="AL462" i="67" s="1"/>
  <c r="AC38" i="65"/>
  <c r="AC40" i="65" s="1"/>
  <c r="AL157" i="67" s="1"/>
  <c r="AJ278" i="67"/>
  <c r="AJ125" i="67"/>
  <c r="AJ583" i="67"/>
  <c r="AJ431" i="67"/>
  <c r="R38" i="65"/>
  <c r="R40" i="65" s="1"/>
  <c r="AA157" i="67" s="1"/>
  <c r="AT50" i="70"/>
  <c r="R71" i="65"/>
  <c r="R76" i="65" s="1"/>
  <c r="AA310" i="67" s="1"/>
  <c r="AN15" i="65"/>
  <c r="AN122" i="65"/>
  <c r="AN132" i="65" s="1"/>
  <c r="AW462" i="67" s="1"/>
  <c r="BP66" i="70"/>
  <c r="AW765" i="67"/>
  <c r="AN71" i="65"/>
  <c r="AN76" i="65" s="1"/>
  <c r="AW310" i="67" s="1"/>
  <c r="BP50" i="70"/>
  <c r="AI767" i="67"/>
  <c r="AI616" i="67"/>
  <c r="P837" i="67"/>
  <c r="Z327" i="67"/>
  <c r="AJ735" i="67"/>
  <c r="X73" i="65"/>
  <c r="X78" i="65" s="1"/>
  <c r="AG312" i="67" s="1"/>
  <c r="AL52" i="70"/>
  <c r="S1122" i="67" s="1"/>
  <c r="AE38" i="67"/>
  <c r="AE344" i="67"/>
  <c r="AS629" i="67"/>
  <c r="AS477" i="67"/>
  <c r="AR228" i="67"/>
  <c r="AR75" i="67"/>
  <c r="BF52" i="70"/>
  <c r="AM1122" i="67" s="1"/>
  <c r="AD124" i="65"/>
  <c r="AD134" i="65" s="1"/>
  <c r="AM464" i="67" s="1"/>
  <c r="BI51" i="70"/>
  <c r="AP1121" i="67" s="1"/>
  <c r="AG123" i="65"/>
  <c r="AG133" i="65" s="1"/>
  <c r="AP463" i="67" s="1"/>
  <c r="AG16" i="65"/>
  <c r="AP495" i="67"/>
  <c r="AO686" i="67"/>
  <c r="Q124" i="67"/>
  <c r="Q582" i="67"/>
  <c r="N16" i="65"/>
  <c r="N72" i="65"/>
  <c r="N77" i="65" s="1"/>
  <c r="W311" i="67" s="1"/>
  <c r="AP51" i="70"/>
  <c r="X227" i="67"/>
  <c r="X74" i="67"/>
  <c r="L71" i="65"/>
  <c r="L76" i="65" s="1"/>
  <c r="U310" i="67" s="1"/>
  <c r="L122" i="65"/>
  <c r="L132" i="65" s="1"/>
  <c r="U462" i="67" s="1"/>
  <c r="BK66" i="70"/>
  <c r="BK50" i="70"/>
  <c r="AI122" i="65"/>
  <c r="AI132" i="65" s="1"/>
  <c r="AR462" i="67" s="1"/>
  <c r="AA629" i="67"/>
  <c r="AA325" i="67"/>
  <c r="AA477" i="67"/>
  <c r="AA172" i="67"/>
  <c r="AA19" i="67"/>
  <c r="N122" i="65"/>
  <c r="N132" i="65" s="1"/>
  <c r="W462" i="67" s="1"/>
  <c r="AP66" i="70"/>
  <c r="AP50" i="70"/>
  <c r="N38" i="65"/>
  <c r="N40" i="65" s="1"/>
  <c r="W157" i="67" s="1"/>
  <c r="AD38" i="65"/>
  <c r="AD40" i="65" s="1"/>
  <c r="AM157" i="67" s="1"/>
  <c r="AD122" i="65"/>
  <c r="AD132" i="65" s="1"/>
  <c r="AM462" i="67" s="1"/>
  <c r="AD15" i="65"/>
  <c r="AG122" i="65"/>
  <c r="AG132" i="65" s="1"/>
  <c r="AP462" i="67" s="1"/>
  <c r="AG15" i="65"/>
  <c r="AG38" i="65"/>
  <c r="AG40" i="65" s="1"/>
  <c r="AP157" i="67" s="1"/>
  <c r="AI39" i="67"/>
  <c r="AI192" i="67"/>
  <c r="AV650" i="67"/>
  <c r="AO837" i="67"/>
  <c r="AO382" i="67"/>
  <c r="AQ837" i="67"/>
  <c r="AQ382" i="67"/>
  <c r="AH52" i="70"/>
  <c r="O1122" i="67" s="1"/>
  <c r="AL51" i="70"/>
  <c r="AI68" i="70"/>
  <c r="P1138" i="67" s="1"/>
  <c r="J72" i="65"/>
  <c r="J77" i="65" s="1"/>
  <c r="S311" i="67" s="1"/>
  <c r="S325" i="67"/>
  <c r="L227" i="67"/>
  <c r="L74" i="67"/>
  <c r="I124" i="65"/>
  <c r="I134" i="65" s="1"/>
  <c r="R464" i="67" s="1"/>
  <c r="R767" i="67"/>
  <c r="D38" i="65"/>
  <c r="D40" i="65" s="1"/>
  <c r="M157" i="67" s="1"/>
  <c r="N123" i="65"/>
  <c r="N133" i="65" s="1"/>
  <c r="W463" i="67" s="1"/>
  <c r="W173" i="67"/>
  <c r="O124" i="65"/>
  <c r="O134" i="65" s="1"/>
  <c r="X464" i="67" s="1"/>
  <c r="AP67" i="70"/>
  <c r="W1137" i="67" s="1"/>
  <c r="W478" i="67"/>
  <c r="AN50" i="70"/>
  <c r="N71" i="65"/>
  <c r="N76" i="65" s="1"/>
  <c r="W310" i="67" s="1"/>
  <c r="X835" i="67"/>
  <c r="AG72" i="65"/>
  <c r="AG77" i="65" s="1"/>
  <c r="AP311" i="67" s="1"/>
  <c r="AD71" i="65"/>
  <c r="AD76" i="65" s="1"/>
  <c r="AM310" i="67" s="1"/>
  <c r="AF597" i="67"/>
  <c r="AF292" i="67"/>
  <c r="AF900" i="67"/>
  <c r="J123" i="65"/>
  <c r="J133" i="65" s="1"/>
  <c r="S463" i="67" s="1"/>
  <c r="AF647" i="67"/>
  <c r="AF343" i="67"/>
  <c r="AI16" i="65"/>
  <c r="AI72" i="65"/>
  <c r="AI77" i="65" s="1"/>
  <c r="AR311" i="67" s="1"/>
  <c r="AV50" i="70"/>
  <c r="T15" i="65"/>
  <c r="T122" i="65"/>
  <c r="T132" i="65" s="1"/>
  <c r="AC462" i="67" s="1"/>
  <c r="AU766" i="67"/>
  <c r="AL123" i="65"/>
  <c r="AL133" i="65" s="1"/>
  <c r="AU463" i="67" s="1"/>
  <c r="AN160" i="65"/>
  <c r="AT381" i="67"/>
  <c r="AT836" i="67"/>
  <c r="AT685" i="67"/>
  <c r="AU212" i="67"/>
  <c r="AU365" i="67"/>
  <c r="AK74" i="67"/>
  <c r="AK380" i="67"/>
  <c r="AK684" i="67"/>
  <c r="AK227" i="67"/>
  <c r="S16" i="65"/>
  <c r="AU67" i="70"/>
  <c r="AB1137" i="67" s="1"/>
  <c r="AU51" i="70"/>
  <c r="AB1121" i="67" s="1"/>
  <c r="AB615" i="67"/>
  <c r="S72" i="65"/>
  <c r="S77" i="65" s="1"/>
  <c r="AB311" i="67" s="1"/>
  <c r="AO534" i="67"/>
  <c r="G17" i="65"/>
  <c r="AS325" i="67"/>
  <c r="AS19" i="67"/>
  <c r="AS172" i="67"/>
  <c r="Q73" i="65"/>
  <c r="Q78" i="65" s="1"/>
  <c r="Z312" i="67" s="1"/>
  <c r="AS52" i="70"/>
  <c r="Z1122" i="67" s="1"/>
  <c r="Y17" i="65"/>
  <c r="AW51" i="70"/>
  <c r="AD1121" i="67" s="1"/>
  <c r="AW67" i="70"/>
  <c r="AD1137" i="67" s="1"/>
  <c r="U16" i="65"/>
  <c r="AK72" i="65"/>
  <c r="AK77" i="65" s="1"/>
  <c r="AT311" i="67" s="1"/>
  <c r="AW343" i="67"/>
  <c r="AW495" i="67"/>
  <c r="AW37" i="67"/>
  <c r="AZ50" i="70"/>
  <c r="AZ66" i="70"/>
  <c r="X122" i="65"/>
  <c r="X132" i="65" s="1"/>
  <c r="AG462" i="67" s="1"/>
  <c r="X38" i="65"/>
  <c r="X40" i="65" s="1"/>
  <c r="AG157" i="67" s="1"/>
  <c r="X15" i="65"/>
  <c r="AI497" i="67"/>
  <c r="AO229" i="67"/>
  <c r="AF66" i="70"/>
  <c r="F17" i="65"/>
  <c r="Q885" i="67"/>
  <c r="S615" i="67"/>
  <c r="L684" i="67"/>
  <c r="AK52" i="70"/>
  <c r="R1122" i="67" s="1"/>
  <c r="AI52" i="70"/>
  <c r="W20" i="67"/>
  <c r="AO66" i="70"/>
  <c r="M71" i="65"/>
  <c r="M76" i="65" s="1"/>
  <c r="V310" i="67" s="1"/>
  <c r="AN66" i="70"/>
  <c r="L38" i="65"/>
  <c r="L40" i="65" s="1"/>
  <c r="U157" i="67" s="1"/>
  <c r="L15" i="65"/>
  <c r="S123" i="65"/>
  <c r="S133" i="65" s="1"/>
  <c r="AB463" i="67" s="1"/>
  <c r="Q17" i="65"/>
  <c r="N15" i="65"/>
  <c r="U72" i="65"/>
  <c r="U77" i="65" s="1"/>
  <c r="AD311" i="67" s="1"/>
  <c r="BF66" i="70"/>
  <c r="AK835" i="67"/>
  <c r="AR614" i="67"/>
  <c r="AG71" i="65"/>
  <c r="AG76" i="65" s="1"/>
  <c r="AP310" i="67" s="1"/>
  <c r="AI15" i="65"/>
  <c r="AK16" i="65"/>
  <c r="BI50" i="70"/>
  <c r="AW190" i="67"/>
  <c r="BF68" i="70"/>
  <c r="AM1138" i="67" s="1"/>
  <c r="BI67" i="70"/>
  <c r="AP1137" i="67" s="1"/>
  <c r="AO50" i="70"/>
  <c r="M122" i="65"/>
  <c r="M132" i="65" s="1"/>
  <c r="V462" i="67" s="1"/>
  <c r="G16" i="65"/>
  <c r="AI51" i="70"/>
  <c r="P1121" i="67" s="1"/>
  <c r="AK51" i="70"/>
  <c r="R1121" i="67" s="1"/>
  <c r="R15" i="65"/>
  <c r="R122" i="65"/>
  <c r="R132" i="65" s="1"/>
  <c r="AA462" i="67" s="1"/>
  <c r="AT66" i="70"/>
  <c r="O73" i="65"/>
  <c r="O78" i="65" s="1"/>
  <c r="X312" i="67" s="1"/>
  <c r="Q124" i="65"/>
  <c r="Q134" i="65" s="1"/>
  <c r="Z464" i="67" s="1"/>
  <c r="AS68" i="70"/>
  <c r="Z1138" i="67" s="1"/>
  <c r="Y73" i="65"/>
  <c r="Y78" i="65" s="1"/>
  <c r="AH312" i="67" s="1"/>
  <c r="BA52" i="70"/>
  <c r="AH1122" i="67" s="1"/>
  <c r="BA68" i="70"/>
  <c r="AH1138" i="67" s="1"/>
  <c r="BM67" i="70"/>
  <c r="AT1137" i="67" s="1"/>
  <c r="BM51" i="70"/>
  <c r="AT1121" i="67" s="1"/>
  <c r="F122" i="65"/>
  <c r="F132" i="65" s="1"/>
  <c r="O462" i="67" s="1"/>
  <c r="AM50" i="70"/>
  <c r="K122" i="65"/>
  <c r="K132" i="65" s="1"/>
  <c r="T462" i="67" s="1"/>
  <c r="BK67" i="70"/>
  <c r="AR1137" i="67" s="1"/>
  <c r="BN51" i="70"/>
  <c r="AU1121" i="67" s="1"/>
  <c r="BN67" i="70"/>
  <c r="AU1137" i="67" s="1"/>
  <c r="AG67" i="70"/>
  <c r="N1137" i="67" s="1"/>
  <c r="AG51" i="70"/>
  <c r="N1121" i="67" s="1"/>
  <c r="P73" i="65"/>
  <c r="P78" i="65" s="1"/>
  <c r="Y312" i="67" s="1"/>
  <c r="AR52" i="70"/>
  <c r="Y1122" i="67" s="1"/>
  <c r="Y122" i="65"/>
  <c r="Y132" i="65" s="1"/>
  <c r="AH462" i="67" s="1"/>
  <c r="I122" i="65"/>
  <c r="I132" i="65" s="1"/>
  <c r="R462" i="67" s="1"/>
  <c r="AK50" i="70"/>
  <c r="L429" i="67"/>
  <c r="L884" i="67"/>
  <c r="AA581" i="67"/>
  <c r="AA123" i="67"/>
  <c r="X477" i="67"/>
  <c r="AA429" i="67"/>
  <c r="AA276" i="67"/>
  <c r="AU59" i="67"/>
  <c r="AF429" i="67"/>
  <c r="AF733" i="67"/>
  <c r="AU836" i="67"/>
  <c r="AU75" i="67"/>
  <c r="AU228" i="67"/>
  <c r="AT214" i="67"/>
  <c r="AT367" i="67"/>
  <c r="AT61" i="67"/>
  <c r="X325" i="67"/>
  <c r="X629" i="67"/>
  <c r="AE648" i="67"/>
  <c r="AE799" i="67"/>
  <c r="AE496" i="67"/>
  <c r="AA733" i="67"/>
  <c r="AJ647" i="67"/>
  <c r="AT648" i="67"/>
  <c r="AU820" i="67"/>
  <c r="AK161" i="65"/>
  <c r="Z445" i="67"/>
  <c r="Z749" i="67"/>
  <c r="Z900" i="67"/>
  <c r="AA884" i="67"/>
  <c r="AE191" i="67"/>
  <c r="AJ495" i="67"/>
  <c r="AJ37" i="67"/>
  <c r="AJ190" i="67"/>
  <c r="AT799" i="67"/>
  <c r="AT38" i="67"/>
  <c r="X380" i="67"/>
  <c r="X532" i="67"/>
  <c r="Z615" i="67"/>
  <c r="Z766" i="67"/>
  <c r="AE173" i="67"/>
  <c r="K345" i="67"/>
  <c r="K649" i="67"/>
  <c r="K39" i="67"/>
  <c r="K497" i="67"/>
  <c r="K800" i="67"/>
  <c r="K192" i="67"/>
  <c r="K599" i="67"/>
  <c r="K141" i="67"/>
  <c r="K902" i="67"/>
  <c r="K447" i="67"/>
  <c r="K294" i="67"/>
  <c r="K751" i="67"/>
  <c r="K903" i="67"/>
  <c r="K752" i="67"/>
  <c r="K448" i="67"/>
  <c r="K295" i="67"/>
  <c r="K142" i="67"/>
  <c r="K600" i="67"/>
  <c r="P752" i="67"/>
  <c r="P903" i="67"/>
  <c r="P295" i="67"/>
  <c r="P600" i="67"/>
  <c r="P448" i="67"/>
  <c r="P142" i="67"/>
  <c r="P366" i="67"/>
  <c r="P60" i="67"/>
  <c r="P821" i="67"/>
  <c r="P518" i="67"/>
  <c r="P213" i="67"/>
  <c r="R617" i="67"/>
  <c r="R768" i="67"/>
  <c r="Q480" i="67"/>
  <c r="Q783" i="67"/>
  <c r="Q175" i="67"/>
  <c r="Q328" i="67"/>
  <c r="Q632" i="67"/>
  <c r="Q22" i="67"/>
  <c r="U617" i="67"/>
  <c r="U768" i="67"/>
  <c r="W821" i="67"/>
  <c r="W366" i="67"/>
  <c r="W518" i="67"/>
  <c r="W60" i="67"/>
  <c r="W213" i="67"/>
  <c r="X518" i="67"/>
  <c r="X213" i="67"/>
  <c r="X366" i="67"/>
  <c r="X821" i="67"/>
  <c r="X60" i="67"/>
  <c r="K736" i="67"/>
  <c r="K279" i="67"/>
  <c r="K126" i="67"/>
  <c r="K432" i="67"/>
  <c r="K887" i="67"/>
  <c r="K584" i="67"/>
  <c r="B162" i="65"/>
  <c r="K193" i="67"/>
  <c r="K801" i="67"/>
  <c r="K650" i="67"/>
  <c r="K346" i="67"/>
  <c r="K40" i="67"/>
  <c r="K498" i="67"/>
  <c r="K686" i="67"/>
  <c r="K229" i="67"/>
  <c r="K534" i="67"/>
  <c r="K382" i="67"/>
  <c r="K76" i="67"/>
  <c r="K837" i="67"/>
  <c r="K782" i="67"/>
  <c r="K174" i="67"/>
  <c r="K479" i="67"/>
  <c r="K327" i="67"/>
  <c r="K21" i="67"/>
  <c r="K631" i="67"/>
  <c r="N584" i="67"/>
  <c r="M649" i="67"/>
  <c r="M497" i="67"/>
  <c r="M345" i="67"/>
  <c r="M39" i="67"/>
  <c r="M192" i="67"/>
  <c r="M800" i="67"/>
  <c r="M229" i="67"/>
  <c r="M837" i="67"/>
  <c r="M534" i="67"/>
  <c r="M76" i="67"/>
  <c r="M382" i="67"/>
  <c r="M686" i="67"/>
  <c r="L584" i="67"/>
  <c r="L126" i="67"/>
  <c r="L279" i="67"/>
  <c r="L432" i="67"/>
  <c r="L887" i="67"/>
  <c r="L736" i="67"/>
  <c r="N295" i="67"/>
  <c r="N752" i="67"/>
  <c r="N142" i="67"/>
  <c r="N903" i="67"/>
  <c r="N600" i="67"/>
  <c r="N448" i="67"/>
  <c r="O479" i="67"/>
  <c r="O327" i="67"/>
  <c r="O174" i="67"/>
  <c r="O782" i="67"/>
  <c r="O631" i="67"/>
  <c r="O21" i="67"/>
  <c r="P479" i="67"/>
  <c r="P327" i="67"/>
  <c r="P174" i="67"/>
  <c r="P782" i="67"/>
  <c r="P21" i="67"/>
  <c r="P631" i="67"/>
  <c r="N768" i="67"/>
  <c r="N617" i="67"/>
  <c r="O346" i="67"/>
  <c r="O193" i="67"/>
  <c r="O650" i="67"/>
  <c r="O801" i="67"/>
  <c r="O498" i="67"/>
  <c r="O40" i="67"/>
  <c r="P617" i="67"/>
  <c r="P768" i="67"/>
  <c r="P367" i="67"/>
  <c r="P519" i="67"/>
  <c r="P671" i="67"/>
  <c r="P822" i="67"/>
  <c r="P61" i="67"/>
  <c r="P214" i="67"/>
  <c r="S39" i="67"/>
  <c r="S800" i="67"/>
  <c r="S497" i="67"/>
  <c r="S345" i="67"/>
  <c r="S649" i="67"/>
  <c r="S192" i="67"/>
  <c r="R142" i="67"/>
  <c r="R448" i="67"/>
  <c r="R752" i="67"/>
  <c r="R295" i="67"/>
  <c r="R903" i="67"/>
  <c r="R600" i="67"/>
  <c r="R21" i="67"/>
  <c r="R174" i="67"/>
  <c r="R631" i="67"/>
  <c r="R782" i="67"/>
  <c r="R327" i="67"/>
  <c r="R479" i="67"/>
  <c r="R519" i="67"/>
  <c r="R214" i="67"/>
  <c r="R61" i="67"/>
  <c r="R367" i="67"/>
  <c r="R822" i="67"/>
  <c r="R671" i="67"/>
  <c r="R735" i="67"/>
  <c r="R431" i="67"/>
  <c r="R278" i="67"/>
  <c r="R886" i="67"/>
  <c r="R125" i="67"/>
  <c r="R583" i="67"/>
  <c r="S141" i="67"/>
  <c r="S902" i="67"/>
  <c r="S751" i="67"/>
  <c r="S599" i="67"/>
  <c r="S447" i="67"/>
  <c r="S294" i="67"/>
  <c r="U447" i="67"/>
  <c r="U751" i="67"/>
  <c r="U294" i="67"/>
  <c r="U141" i="67"/>
  <c r="U599" i="67"/>
  <c r="U902" i="67"/>
  <c r="V174" i="67"/>
  <c r="V782" i="67"/>
  <c r="V21" i="67"/>
  <c r="V631" i="67"/>
  <c r="V479" i="67"/>
  <c r="V327" i="67"/>
  <c r="U886" i="67"/>
  <c r="U735" i="67"/>
  <c r="U583" i="67"/>
  <c r="U125" i="67"/>
  <c r="U278" i="67"/>
  <c r="U431" i="67"/>
  <c r="W278" i="67"/>
  <c r="W735" i="67"/>
  <c r="W886" i="67"/>
  <c r="W583" i="67"/>
  <c r="W125" i="67"/>
  <c r="W431" i="67"/>
  <c r="T768" i="67"/>
  <c r="T617" i="67"/>
  <c r="V76" i="67"/>
  <c r="V686" i="67"/>
  <c r="V534" i="67"/>
  <c r="V229" i="67"/>
  <c r="V382" i="67"/>
  <c r="V837" i="67"/>
  <c r="AA278" i="67"/>
  <c r="AA583" i="67"/>
  <c r="AA125" i="67"/>
  <c r="AA431" i="67"/>
  <c r="AA735" i="67"/>
  <c r="AA886" i="67"/>
  <c r="Y617" i="67"/>
  <c r="Y768" i="67"/>
  <c r="AA192" i="67"/>
  <c r="AA497" i="67"/>
  <c r="AA345" i="67"/>
  <c r="AA649" i="67"/>
  <c r="AA800" i="67"/>
  <c r="AA39" i="67"/>
  <c r="Y294" i="67"/>
  <c r="Y599" i="67"/>
  <c r="Y141" i="67"/>
  <c r="Y751" i="67"/>
  <c r="Y902" i="67"/>
  <c r="Y447" i="67"/>
  <c r="Y345" i="67"/>
  <c r="Y39" i="67"/>
  <c r="Y800" i="67"/>
  <c r="Y497" i="67"/>
  <c r="Y649" i="67"/>
  <c r="Y192" i="67"/>
  <c r="AB60" i="67"/>
  <c r="X782" i="67"/>
  <c r="X479" i="67"/>
  <c r="X174" i="67"/>
  <c r="X327" i="67"/>
  <c r="X21" i="67"/>
  <c r="X631" i="67"/>
  <c r="AD617" i="67"/>
  <c r="AD768" i="67"/>
  <c r="AC431" i="67"/>
  <c r="AC735" i="67"/>
  <c r="AC278" i="67"/>
  <c r="AC886" i="67"/>
  <c r="AC125" i="67"/>
  <c r="AC583" i="67"/>
  <c r="AE617" i="67"/>
  <c r="AE768" i="67"/>
  <c r="AF229" i="67"/>
  <c r="AF382" i="67"/>
  <c r="AF837" i="67"/>
  <c r="AF686" i="67"/>
  <c r="AF534" i="67"/>
  <c r="AF76" i="67"/>
  <c r="AD21" i="67"/>
  <c r="AD479" i="67"/>
  <c r="AD327" i="67"/>
  <c r="AD174" i="67"/>
  <c r="AD782" i="67"/>
  <c r="AD631" i="67"/>
  <c r="AF902" i="67"/>
  <c r="AF751" i="67"/>
  <c r="AF599" i="67"/>
  <c r="AF294" i="67"/>
  <c r="AF447" i="67"/>
  <c r="AF141" i="67"/>
  <c r="AD229" i="67"/>
  <c r="AD837" i="67"/>
  <c r="AD686" i="67"/>
  <c r="AD76" i="67"/>
  <c r="AD382" i="67"/>
  <c r="AD534" i="67"/>
  <c r="AI751" i="67"/>
  <c r="AI599" i="67"/>
  <c r="AI294" i="67"/>
  <c r="AI447" i="67"/>
  <c r="AI141" i="67"/>
  <c r="AI902" i="67"/>
  <c r="AK649" i="67"/>
  <c r="AK497" i="67"/>
  <c r="AK39" i="67"/>
  <c r="AK800" i="67"/>
  <c r="AK192" i="67"/>
  <c r="AK345" i="67"/>
  <c r="AI617" i="67"/>
  <c r="AI768" i="67"/>
  <c r="AH649" i="67"/>
  <c r="AH192" i="67"/>
  <c r="AH497" i="67"/>
  <c r="AH800" i="67"/>
  <c r="AH345" i="67"/>
  <c r="AH39" i="67"/>
  <c r="AJ617" i="67"/>
  <c r="AJ768" i="67"/>
  <c r="AP769" i="67"/>
  <c r="AP314" i="67"/>
  <c r="AP618" i="67"/>
  <c r="AS800" i="67"/>
  <c r="AS649" i="67"/>
  <c r="AS345" i="67"/>
  <c r="AS39" i="67"/>
  <c r="AS497" i="67"/>
  <c r="AS192" i="67"/>
  <c r="X126" i="67"/>
  <c r="X279" i="67"/>
  <c r="X432" i="67"/>
  <c r="X887" i="67"/>
  <c r="X736" i="67"/>
  <c r="X584" i="67"/>
  <c r="X295" i="67"/>
  <c r="X903" i="67"/>
  <c r="X600" i="67"/>
  <c r="X142" i="67"/>
  <c r="X448" i="67"/>
  <c r="X752" i="67"/>
  <c r="AN887" i="67"/>
  <c r="AC193" i="67"/>
  <c r="AC650" i="67"/>
  <c r="AC801" i="67"/>
  <c r="AC142" i="67"/>
  <c r="AC903" i="67"/>
  <c r="AC448" i="67"/>
  <c r="AC752" i="67"/>
  <c r="AC600" i="67"/>
  <c r="AC295" i="67"/>
  <c r="V769" i="67"/>
  <c r="V314" i="67"/>
  <c r="V618" i="67"/>
  <c r="AL519" i="67"/>
  <c r="AL214" i="67"/>
  <c r="AL671" i="67"/>
  <c r="AL61" i="67"/>
  <c r="AL367" i="67"/>
  <c r="AL822" i="67"/>
  <c r="AO599" i="67"/>
  <c r="AO141" i="67"/>
  <c r="AO447" i="67"/>
  <c r="AO751" i="67"/>
  <c r="AO294" i="67"/>
  <c r="AO902" i="67"/>
  <c r="AO886" i="67"/>
  <c r="AO278" i="67"/>
  <c r="AO583" i="67"/>
  <c r="AO125" i="67"/>
  <c r="AO431" i="67"/>
  <c r="AO735" i="67"/>
  <c r="AR141" i="67"/>
  <c r="AR902" i="67"/>
  <c r="AR447" i="67"/>
  <c r="AR751" i="67"/>
  <c r="AR599" i="67"/>
  <c r="AR294" i="67"/>
  <c r="AR886" i="67"/>
  <c r="AR735" i="67"/>
  <c r="AR125" i="67"/>
  <c r="AR583" i="67"/>
  <c r="AR431" i="67"/>
  <c r="AR278" i="67"/>
  <c r="AT632" i="67"/>
  <c r="AT22" i="67"/>
  <c r="AT328" i="67"/>
  <c r="AT175" i="67"/>
  <c r="AT480" i="67"/>
  <c r="AT783" i="67"/>
  <c r="AM769" i="67"/>
  <c r="AM314" i="67"/>
  <c r="AM618" i="67"/>
  <c r="AB448" i="67"/>
  <c r="AB752" i="67"/>
  <c r="AB600" i="67"/>
  <c r="AB903" i="67"/>
  <c r="AB295" i="67"/>
  <c r="AB142" i="67"/>
  <c r="AG193" i="67"/>
  <c r="AG801" i="67"/>
  <c r="AG40" i="67"/>
  <c r="AG650" i="67"/>
  <c r="AG498" i="67"/>
  <c r="AG346" i="67"/>
  <c r="AG887" i="67"/>
  <c r="AG736" i="67"/>
  <c r="AG584" i="67"/>
  <c r="AG126" i="67"/>
  <c r="AG279" i="67"/>
  <c r="AG432" i="67"/>
  <c r="AG367" i="67"/>
  <c r="AG519" i="67"/>
  <c r="AG822" i="67"/>
  <c r="AG671" i="67"/>
  <c r="AG214" i="67"/>
  <c r="AG61" i="67"/>
  <c r="AA632" i="67"/>
  <c r="Z126" i="67"/>
  <c r="Z279" i="67"/>
  <c r="Z432" i="67"/>
  <c r="Z887" i="67"/>
  <c r="Z736" i="67"/>
  <c r="Z584" i="67"/>
  <c r="Z903" i="67"/>
  <c r="Z600" i="67"/>
  <c r="Z142" i="67"/>
  <c r="Z448" i="67"/>
  <c r="Z752" i="67"/>
  <c r="Z295" i="67"/>
  <c r="AN632" i="67"/>
  <c r="AN22" i="67"/>
  <c r="AN175" i="67"/>
  <c r="AN480" i="67"/>
  <c r="AN783" i="67"/>
  <c r="AN328" i="67"/>
  <c r="AO800" i="67"/>
  <c r="AO649" i="67"/>
  <c r="AO497" i="67"/>
  <c r="AO192" i="67"/>
  <c r="AO345" i="67"/>
  <c r="AO39" i="67"/>
  <c r="AP752" i="67"/>
  <c r="AP903" i="67"/>
  <c r="AP295" i="67"/>
  <c r="AP600" i="67"/>
  <c r="AP448" i="67"/>
  <c r="AP142" i="67"/>
  <c r="AP141" i="67"/>
  <c r="AP902" i="67"/>
  <c r="AP751" i="67"/>
  <c r="AP599" i="67"/>
  <c r="AP294" i="67"/>
  <c r="AP447" i="67"/>
  <c r="AR432" i="67"/>
  <c r="AR887" i="67"/>
  <c r="AR736" i="67"/>
  <c r="AR584" i="67"/>
  <c r="AR126" i="67"/>
  <c r="AR279" i="67"/>
  <c r="AS632" i="67"/>
  <c r="AS22" i="67"/>
  <c r="AS175" i="67"/>
  <c r="AS480" i="67"/>
  <c r="AS783" i="67"/>
  <c r="AS328" i="67"/>
  <c r="AT431" i="67"/>
  <c r="AT125" i="67"/>
  <c r="AT583" i="67"/>
  <c r="AT735" i="67"/>
  <c r="AT886" i="67"/>
  <c r="AT278" i="67"/>
  <c r="U519" i="67"/>
  <c r="U61" i="67"/>
  <c r="U822" i="67"/>
  <c r="U214" i="67"/>
  <c r="U367" i="67"/>
  <c r="U671" i="67"/>
  <c r="AK314" i="67"/>
  <c r="AK618" i="67"/>
  <c r="AK769" i="67"/>
  <c r="AK736" i="67"/>
  <c r="AK279" i="67"/>
  <c r="AK126" i="67"/>
  <c r="AK432" i="67"/>
  <c r="AK887" i="67"/>
  <c r="AK584" i="67"/>
  <c r="AI822" i="67"/>
  <c r="AI671" i="67"/>
  <c r="AI214" i="67"/>
  <c r="AI61" i="67"/>
  <c r="AI367" i="67"/>
  <c r="AI519" i="67"/>
  <c r="AD783" i="67"/>
  <c r="AD328" i="67"/>
  <c r="AD175" i="67"/>
  <c r="AD22" i="67"/>
  <c r="AD480" i="67"/>
  <c r="AD632" i="67"/>
  <c r="AD346" i="67"/>
  <c r="AD498" i="67"/>
  <c r="AD650" i="67"/>
  <c r="AD801" i="67"/>
  <c r="AD40" i="67"/>
  <c r="AD193" i="67"/>
  <c r="AM902" i="67"/>
  <c r="AM294" i="67"/>
  <c r="AM599" i="67"/>
  <c r="AM447" i="67"/>
  <c r="AM141" i="67"/>
  <c r="AM751" i="67"/>
  <c r="AS583" i="67"/>
  <c r="AS125" i="67"/>
  <c r="AS431" i="67"/>
  <c r="AS278" i="67"/>
  <c r="AS735" i="67"/>
  <c r="AS886" i="67"/>
  <c r="AT768" i="67"/>
  <c r="AT617" i="67"/>
  <c r="T40" i="67"/>
  <c r="T193" i="67"/>
  <c r="T498" i="67"/>
  <c r="T801" i="67"/>
  <c r="T346" i="67"/>
  <c r="T650" i="67"/>
  <c r="AJ584" i="67"/>
  <c r="AJ126" i="67"/>
  <c r="AJ279" i="67"/>
  <c r="AJ432" i="67"/>
  <c r="AJ887" i="67"/>
  <c r="AJ736" i="67"/>
  <c r="AV887" i="67"/>
  <c r="AV649" i="67"/>
  <c r="AV345" i="67"/>
  <c r="AV800" i="67"/>
  <c r="AV39" i="67"/>
  <c r="AV192" i="67"/>
  <c r="AV497" i="67"/>
  <c r="L750" i="67"/>
  <c r="L598" i="67"/>
  <c r="L446" i="67"/>
  <c r="L901" i="67"/>
  <c r="L293" i="67"/>
  <c r="L140" i="67"/>
  <c r="M380" i="67"/>
  <c r="M532" i="67"/>
  <c r="M835" i="67"/>
  <c r="M74" i="67"/>
  <c r="M227" i="67"/>
  <c r="M684" i="67"/>
  <c r="M381" i="67"/>
  <c r="M228" i="67"/>
  <c r="M533" i="67"/>
  <c r="M836" i="67"/>
  <c r="M75" i="67"/>
  <c r="M685" i="67"/>
  <c r="AW448" i="67"/>
  <c r="AW600" i="67"/>
  <c r="AW295" i="67"/>
  <c r="AW142" i="67"/>
  <c r="AW903" i="67"/>
  <c r="AW752" i="67"/>
  <c r="L211" i="67"/>
  <c r="L364" i="67"/>
  <c r="L819" i="67"/>
  <c r="L58" i="67"/>
  <c r="L516" i="67"/>
  <c r="AW783" i="67"/>
  <c r="AW480" i="67"/>
  <c r="AW22" i="67"/>
  <c r="AW175" i="67"/>
  <c r="AW328" i="67"/>
  <c r="AW632" i="67"/>
  <c r="AU432" i="67"/>
  <c r="AU887" i="67"/>
  <c r="AU584" i="67"/>
  <c r="AU736" i="67"/>
  <c r="AU126" i="67"/>
  <c r="AU279" i="67"/>
  <c r="AU632" i="67"/>
  <c r="AU175" i="67"/>
  <c r="AU328" i="67"/>
  <c r="AU22" i="67"/>
  <c r="AU783" i="67"/>
  <c r="AU480" i="67"/>
  <c r="AU431" i="67"/>
  <c r="AU886" i="67"/>
  <c r="AU583" i="67"/>
  <c r="AU735" i="67"/>
  <c r="AU125" i="67"/>
  <c r="AU278" i="67"/>
  <c r="AU837" i="67"/>
  <c r="AU534" i="67"/>
  <c r="AU382" i="67"/>
  <c r="AU686" i="67"/>
  <c r="AU229" i="67"/>
  <c r="AU76" i="67"/>
  <c r="R615" i="67"/>
  <c r="R766" i="67"/>
  <c r="P884" i="67"/>
  <c r="P276" i="67"/>
  <c r="P581" i="67"/>
  <c r="P123" i="67"/>
  <c r="P429" i="67"/>
  <c r="P733" i="67"/>
  <c r="O749" i="67"/>
  <c r="O900" i="67"/>
  <c r="O597" i="67"/>
  <c r="O292" i="67"/>
  <c r="O139" i="67"/>
  <c r="O445" i="67"/>
  <c r="O766" i="67"/>
  <c r="O615" i="67"/>
  <c r="Q343" i="67"/>
  <c r="Q647" i="67"/>
  <c r="Q37" i="67"/>
  <c r="Q495" i="67"/>
  <c r="Q190" i="67"/>
  <c r="Q798" i="67"/>
  <c r="S799" i="67"/>
  <c r="S191" i="67"/>
  <c r="S648" i="67"/>
  <c r="S344" i="67"/>
  <c r="S496" i="67"/>
  <c r="S38" i="67"/>
  <c r="F160" i="65"/>
  <c r="N326" i="67"/>
  <c r="N478" i="67"/>
  <c r="N173" i="67"/>
  <c r="N630" i="67"/>
  <c r="N20" i="67"/>
  <c r="N781" i="67"/>
  <c r="N648" i="67"/>
  <c r="N38" i="67"/>
  <c r="N344" i="67"/>
  <c r="N496" i="67"/>
  <c r="N799" i="67"/>
  <c r="N191" i="67"/>
  <c r="P380" i="67"/>
  <c r="P684" i="67"/>
  <c r="P835" i="67"/>
  <c r="P532" i="67"/>
  <c r="P227" i="67"/>
  <c r="P74" i="67"/>
  <c r="M171" i="67"/>
  <c r="R380" i="67"/>
  <c r="R835" i="67"/>
  <c r="R684" i="67"/>
  <c r="R227" i="67"/>
  <c r="R74" i="67"/>
  <c r="R532" i="67"/>
  <c r="N628" i="67"/>
  <c r="N476" i="67"/>
  <c r="N18" i="67"/>
  <c r="N324" i="67"/>
  <c r="N171" i="67"/>
  <c r="S797" i="67"/>
  <c r="S646" i="67"/>
  <c r="S494" i="67"/>
  <c r="S189" i="67"/>
  <c r="S342" i="67"/>
  <c r="S36" i="67"/>
  <c r="S596" i="67"/>
  <c r="S899" i="67"/>
  <c r="S444" i="67"/>
  <c r="S138" i="67"/>
  <c r="S748" i="67"/>
  <c r="S291" i="67"/>
  <c r="P275" i="67"/>
  <c r="P122" i="67"/>
  <c r="P883" i="67"/>
  <c r="P428" i="67"/>
  <c r="P732" i="67"/>
  <c r="P580" i="67"/>
  <c r="P628" i="67"/>
  <c r="P18" i="67"/>
  <c r="P171" i="67"/>
  <c r="P324" i="67"/>
  <c r="P476" i="67"/>
  <c r="P614" i="67"/>
  <c r="P765" i="67"/>
  <c r="U616" i="67"/>
  <c r="U767" i="67"/>
  <c r="W191" i="67"/>
  <c r="W648" i="67"/>
  <c r="W496" i="67"/>
  <c r="W799" i="67"/>
  <c r="W38" i="67"/>
  <c r="W344" i="67"/>
  <c r="T139" i="67"/>
  <c r="T445" i="67"/>
  <c r="T597" i="67"/>
  <c r="T749" i="67"/>
  <c r="T900" i="67"/>
  <c r="T292" i="67"/>
  <c r="U19" i="67"/>
  <c r="U798" i="67"/>
  <c r="U37" i="67"/>
  <c r="U123" i="67"/>
  <c r="U276" i="67"/>
  <c r="U429" i="67"/>
  <c r="U884" i="67"/>
  <c r="U581" i="67"/>
  <c r="U733" i="67"/>
  <c r="V648" i="67"/>
  <c r="V496" i="67"/>
  <c r="V38" i="67"/>
  <c r="V799" i="67"/>
  <c r="V344" i="67"/>
  <c r="V191" i="67"/>
  <c r="X685" i="67"/>
  <c r="X533" i="67"/>
  <c r="X75" i="67"/>
  <c r="X228" i="67"/>
  <c r="X381" i="67"/>
  <c r="X836" i="67"/>
  <c r="Z835" i="67"/>
  <c r="Z74" i="67"/>
  <c r="Z380" i="67"/>
  <c r="Z684" i="67"/>
  <c r="Z532" i="67"/>
  <c r="Z227" i="67"/>
  <c r="X818" i="67"/>
  <c r="X363" i="67"/>
  <c r="X210" i="67"/>
  <c r="X57" i="67"/>
  <c r="X515" i="67"/>
  <c r="Z596" i="67"/>
  <c r="Z444" i="67"/>
  <c r="Z291" i="67"/>
  <c r="Z748" i="67"/>
  <c r="Z138" i="67"/>
  <c r="Z899" i="67"/>
  <c r="AE733" i="67"/>
  <c r="AE276" i="67"/>
  <c r="AE123" i="67"/>
  <c r="AE429" i="67"/>
  <c r="AE884" i="67"/>
  <c r="AE581" i="67"/>
  <c r="AA190" i="67"/>
  <c r="AA647" i="67"/>
  <c r="AA798" i="67"/>
  <c r="AA343" i="67"/>
  <c r="AA37" i="67"/>
  <c r="AA495" i="67"/>
  <c r="W596" i="67"/>
  <c r="W748" i="67"/>
  <c r="W291" i="67"/>
  <c r="W899" i="67"/>
  <c r="W444" i="67"/>
  <c r="W138" i="67"/>
  <c r="S161" i="65"/>
  <c r="P159" i="65"/>
  <c r="AE766" i="67"/>
  <c r="AE615" i="67"/>
  <c r="AE74" i="67"/>
  <c r="AE380" i="67"/>
  <c r="AE227" i="67"/>
  <c r="AE835" i="67"/>
  <c r="AE684" i="67"/>
  <c r="AE532" i="67"/>
  <c r="AB818" i="67"/>
  <c r="AB57" i="67"/>
  <c r="AG766" i="67"/>
  <c r="AG615" i="67"/>
  <c r="Z428" i="67"/>
  <c r="Z275" i="67"/>
  <c r="Z732" i="67"/>
  <c r="Z122" i="67"/>
  <c r="Z580" i="67"/>
  <c r="Z883" i="67"/>
  <c r="AB765" i="67"/>
  <c r="AB614" i="67"/>
  <c r="AA767" i="67"/>
  <c r="AA616" i="67"/>
  <c r="X324" i="67"/>
  <c r="X18" i="67"/>
  <c r="X171" i="67"/>
  <c r="X628" i="67"/>
  <c r="X476" i="67"/>
  <c r="X614" i="67"/>
  <c r="X765" i="67"/>
  <c r="X580" i="67"/>
  <c r="X275" i="67"/>
  <c r="X122" i="67"/>
  <c r="X428" i="67"/>
  <c r="X883" i="67"/>
  <c r="X732" i="67"/>
  <c r="AR53" i="68"/>
  <c r="Y291" i="67"/>
  <c r="Y748" i="67"/>
  <c r="Y444" i="67"/>
  <c r="Y596" i="67"/>
  <c r="Y138" i="67"/>
  <c r="Y899" i="67"/>
  <c r="AD766" i="67"/>
  <c r="AD615" i="67"/>
  <c r="AD59" i="67"/>
  <c r="AD517" i="67"/>
  <c r="AD212" i="67"/>
  <c r="AD820" i="67"/>
  <c r="AD365" i="67"/>
  <c r="AE171" i="67"/>
  <c r="AE628" i="67"/>
  <c r="AE476" i="67"/>
  <c r="AE324" i="67"/>
  <c r="AE18" i="67"/>
  <c r="AI430" i="67"/>
  <c r="AI277" i="67"/>
  <c r="AI124" i="67"/>
  <c r="AI734" i="67"/>
  <c r="AI885" i="67"/>
  <c r="AI582" i="67"/>
  <c r="AJ532" i="67"/>
  <c r="AJ380" i="67"/>
  <c r="AJ835" i="67"/>
  <c r="AJ684" i="67"/>
  <c r="AJ227" i="67"/>
  <c r="AJ74" i="67"/>
  <c r="AJ171" i="67"/>
  <c r="AJ324" i="67"/>
  <c r="AJ628" i="67"/>
  <c r="AJ476" i="67"/>
  <c r="AJ18" i="67"/>
  <c r="AL750" i="67"/>
  <c r="AL293" i="67"/>
  <c r="AL598" i="67"/>
  <c r="AL446" i="67"/>
  <c r="AL140" i="67"/>
  <c r="AL901" i="67"/>
  <c r="AL616" i="67"/>
  <c r="AL767" i="67"/>
  <c r="AN276" i="67"/>
  <c r="AN733" i="67"/>
  <c r="AN884" i="67"/>
  <c r="AN429" i="67"/>
  <c r="AN123" i="67"/>
  <c r="AN581" i="67"/>
  <c r="AP767" i="67"/>
  <c r="AP616" i="67"/>
  <c r="AD765" i="67"/>
  <c r="AD614" i="67"/>
  <c r="AD494" i="67"/>
  <c r="AD646" i="67"/>
  <c r="AD189" i="67"/>
  <c r="AD797" i="67"/>
  <c r="AD342" i="67"/>
  <c r="AD36" i="67"/>
  <c r="AD18" i="67"/>
  <c r="AD324" i="67"/>
  <c r="AD171" i="67"/>
  <c r="AD476" i="67"/>
  <c r="AD628" i="67"/>
  <c r="AK615" i="67"/>
  <c r="AK766" i="67"/>
  <c r="AL596" i="67"/>
  <c r="AL138" i="67"/>
  <c r="AL444" i="67"/>
  <c r="AL899" i="67"/>
  <c r="AL291" i="67"/>
  <c r="AL748" i="67"/>
  <c r="AL885" i="67"/>
  <c r="AL734" i="67"/>
  <c r="AL277" i="67"/>
  <c r="AL124" i="67"/>
  <c r="AL430" i="67"/>
  <c r="AL582" i="67"/>
  <c r="AL276" i="67"/>
  <c r="AL733" i="67"/>
  <c r="AL884" i="67"/>
  <c r="AL581" i="67"/>
  <c r="AL123" i="67"/>
  <c r="AL429" i="67"/>
  <c r="AM798" i="67"/>
  <c r="AM495" i="67"/>
  <c r="AM343" i="67"/>
  <c r="AM37" i="67"/>
  <c r="AM647" i="67"/>
  <c r="AM190" i="67"/>
  <c r="AN190" i="67"/>
  <c r="AN343" i="67"/>
  <c r="AN495" i="67"/>
  <c r="AN647" i="67"/>
  <c r="AN798" i="67"/>
  <c r="AN37" i="67"/>
  <c r="AE160" i="65"/>
  <c r="AQ325" i="67"/>
  <c r="AQ19" i="67"/>
  <c r="AQ629" i="67"/>
  <c r="AQ172" i="67"/>
  <c r="AQ477" i="67"/>
  <c r="AH900" i="67"/>
  <c r="AH749" i="67"/>
  <c r="AH139" i="67"/>
  <c r="AH292" i="67"/>
  <c r="AH597" i="67"/>
  <c r="AH445" i="67"/>
  <c r="AF748" i="67"/>
  <c r="AF596" i="67"/>
  <c r="AF138" i="67"/>
  <c r="AF899" i="67"/>
  <c r="AF291" i="67"/>
  <c r="AF444" i="67"/>
  <c r="AF883" i="67"/>
  <c r="AF275" i="67"/>
  <c r="AF122" i="67"/>
  <c r="AF580" i="67"/>
  <c r="AF428" i="67"/>
  <c r="AF732" i="67"/>
  <c r="AF646" i="67"/>
  <c r="AF36" i="67"/>
  <c r="AF797" i="67"/>
  <c r="AF494" i="67"/>
  <c r="AF342" i="67"/>
  <c r="AF189" i="67"/>
  <c r="AK733" i="67"/>
  <c r="AL342" i="67"/>
  <c r="AH324" i="67"/>
  <c r="AH476" i="67"/>
  <c r="AM615" i="67"/>
  <c r="AM766" i="67"/>
  <c r="AO430" i="67"/>
  <c r="AO734" i="67"/>
  <c r="AO885" i="67"/>
  <c r="AO582" i="67"/>
  <c r="AO124" i="67"/>
  <c r="AO277" i="67"/>
  <c r="AP430" i="67"/>
  <c r="AP124" i="67"/>
  <c r="AP885" i="67"/>
  <c r="AP734" i="67"/>
  <c r="AP582" i="67"/>
  <c r="AP277" i="67"/>
  <c r="AQ597" i="67"/>
  <c r="AQ292" i="67"/>
  <c r="AQ749" i="67"/>
  <c r="AQ139" i="67"/>
  <c r="AQ445" i="67"/>
  <c r="AQ900" i="67"/>
  <c r="AG58" i="67"/>
  <c r="AG819" i="67"/>
  <c r="AG211" i="67"/>
  <c r="AG364" i="67"/>
  <c r="AG516" i="67"/>
  <c r="AI614" i="67"/>
  <c r="AI765" i="67"/>
  <c r="AJ292" i="67"/>
  <c r="AJ139" i="67"/>
  <c r="AJ900" i="67"/>
  <c r="AJ749" i="67"/>
  <c r="AJ445" i="67"/>
  <c r="AJ597" i="67"/>
  <c r="AJ767" i="67"/>
  <c r="AJ616" i="67"/>
  <c r="AM835" i="67"/>
  <c r="AM684" i="67"/>
  <c r="AM74" i="67"/>
  <c r="AM227" i="67"/>
  <c r="AM532" i="67"/>
  <c r="AM380" i="67"/>
  <c r="AN533" i="67"/>
  <c r="AN685" i="67"/>
  <c r="AN228" i="67"/>
  <c r="AN75" i="67"/>
  <c r="AN836" i="67"/>
  <c r="AN381" i="67"/>
  <c r="AD159" i="65"/>
  <c r="AQ581" i="67"/>
  <c r="AQ123" i="67"/>
  <c r="AQ429" i="67"/>
  <c r="AQ276" i="67"/>
  <c r="AQ733" i="67"/>
  <c r="AQ884" i="67"/>
  <c r="AT124" i="67"/>
  <c r="AT734" i="67"/>
  <c r="AT430" i="67"/>
  <c r="AT277" i="67"/>
  <c r="AT885" i="67"/>
  <c r="AT582" i="67"/>
  <c r="AV139" i="67"/>
  <c r="AV292" i="67"/>
  <c r="AV900" i="67"/>
  <c r="AV445" i="67"/>
  <c r="AV597" i="67"/>
  <c r="AV749" i="67"/>
  <c r="AW766" i="67"/>
  <c r="AW615" i="67"/>
  <c r="AM161" i="65"/>
  <c r="AN324" i="67"/>
  <c r="AN18" i="67"/>
  <c r="AN628" i="67"/>
  <c r="AN171" i="67"/>
  <c r="AN476" i="67"/>
  <c r="AN122" i="67"/>
  <c r="AN428" i="67"/>
  <c r="AN580" i="67"/>
  <c r="AN883" i="67"/>
  <c r="AN275" i="67"/>
  <c r="AN732" i="67"/>
  <c r="AU190" i="67"/>
  <c r="AU647" i="67"/>
  <c r="AU798" i="67"/>
  <c r="AU495" i="67"/>
  <c r="AU37" i="67"/>
  <c r="AU343" i="67"/>
  <c r="AU324" i="67"/>
  <c r="AU18" i="67"/>
  <c r="AU171" i="67"/>
  <c r="AU628" i="67"/>
  <c r="AU476" i="67"/>
  <c r="AV189" i="67"/>
  <c r="AQ885" i="67"/>
  <c r="AQ277" i="67"/>
  <c r="AQ124" i="67"/>
  <c r="AQ734" i="67"/>
  <c r="AQ430" i="67"/>
  <c r="AQ582" i="67"/>
  <c r="AQ630" i="67"/>
  <c r="AQ781" i="67"/>
  <c r="AQ20" i="67"/>
  <c r="AQ173" i="67"/>
  <c r="AQ326" i="67"/>
  <c r="AQ478" i="67"/>
  <c r="AR767" i="67"/>
  <c r="AR616" i="67"/>
  <c r="AR173" i="67"/>
  <c r="AR20" i="67"/>
  <c r="AR630" i="67"/>
  <c r="AR478" i="67"/>
  <c r="AR781" i="67"/>
  <c r="AR326" i="67"/>
  <c r="AR430" i="67"/>
  <c r="AR124" i="67"/>
  <c r="AR582" i="67"/>
  <c r="AR734" i="67"/>
  <c r="AR277" i="67"/>
  <c r="AR885" i="67"/>
  <c r="AU616" i="67"/>
  <c r="AU767" i="67"/>
  <c r="AV616" i="67"/>
  <c r="AV767" i="67"/>
  <c r="AS899" i="67"/>
  <c r="AS766" i="67"/>
  <c r="AS615" i="67"/>
  <c r="AJ161" i="65"/>
  <c r="AT767" i="67"/>
  <c r="AT616" i="67"/>
  <c r="AU38" i="67"/>
  <c r="AU191" i="67"/>
  <c r="AU344" i="67"/>
  <c r="AU799" i="67"/>
  <c r="AU648" i="67"/>
  <c r="AU496" i="67"/>
  <c r="AU781" i="67"/>
  <c r="AU20" i="67"/>
  <c r="AU326" i="67"/>
  <c r="AU478" i="67"/>
  <c r="AU630" i="67"/>
  <c r="AU173" i="67"/>
  <c r="AV628" i="67"/>
  <c r="AV476" i="67"/>
  <c r="AV324" i="67"/>
  <c r="AV171" i="67"/>
  <c r="AV18" i="67"/>
  <c r="AL159" i="65"/>
  <c r="N801" i="67"/>
  <c r="N498" i="67"/>
  <c r="N328" i="67"/>
  <c r="N480" i="67"/>
  <c r="N632" i="67"/>
  <c r="N175" i="67"/>
  <c r="N783" i="67"/>
  <c r="N22" i="67"/>
  <c r="L367" i="67"/>
  <c r="L214" i="67"/>
  <c r="L519" i="67"/>
  <c r="L61" i="67"/>
  <c r="L822" i="67"/>
  <c r="L671" i="67"/>
  <c r="M367" i="67"/>
  <c r="M519" i="67"/>
  <c r="M671" i="67"/>
  <c r="M822" i="67"/>
  <c r="M61" i="67"/>
  <c r="M214" i="67"/>
  <c r="O599" i="67"/>
  <c r="O751" i="67"/>
  <c r="O141" i="67"/>
  <c r="O294" i="67"/>
  <c r="O902" i="67"/>
  <c r="O447" i="67"/>
  <c r="P279" i="67"/>
  <c r="P736" i="67"/>
  <c r="P887" i="67"/>
  <c r="P584" i="67"/>
  <c r="P126" i="67"/>
  <c r="P432" i="67"/>
  <c r="N174" i="67"/>
  <c r="N782" i="67"/>
  <c r="N21" i="67"/>
  <c r="N631" i="67"/>
  <c r="N479" i="67"/>
  <c r="N327" i="67"/>
  <c r="P141" i="67"/>
  <c r="P294" i="67"/>
  <c r="P902" i="67"/>
  <c r="P447" i="67"/>
  <c r="P751" i="67"/>
  <c r="P599" i="67"/>
  <c r="O618" i="67"/>
  <c r="O314" i="67"/>
  <c r="O769" i="67"/>
  <c r="Q431" i="67"/>
  <c r="Q735" i="67"/>
  <c r="Q278" i="67"/>
  <c r="Q583" i="67"/>
  <c r="Q125" i="67"/>
  <c r="Q886" i="67"/>
  <c r="Q782" i="67"/>
  <c r="Q327" i="67"/>
  <c r="Q21" i="67"/>
  <c r="Q631" i="67"/>
  <c r="Q174" i="67"/>
  <c r="Q479" i="67"/>
  <c r="R22" i="67"/>
  <c r="R328" i="67"/>
  <c r="R783" i="67"/>
  <c r="R480" i="67"/>
  <c r="R632" i="67"/>
  <c r="R175" i="67"/>
  <c r="R76" i="67"/>
  <c r="R382" i="67"/>
  <c r="R686" i="67"/>
  <c r="R229" i="67"/>
  <c r="R837" i="67"/>
  <c r="R534" i="67"/>
  <c r="R498" i="67"/>
  <c r="R193" i="67"/>
  <c r="R40" i="67"/>
  <c r="R801" i="67"/>
  <c r="R346" i="67"/>
  <c r="R650" i="67"/>
  <c r="Q519" i="67"/>
  <c r="Q671" i="67"/>
  <c r="Q214" i="67"/>
  <c r="Q822" i="67"/>
  <c r="Q367" i="67"/>
  <c r="Q61" i="67"/>
  <c r="R599" i="67"/>
  <c r="R447" i="67"/>
  <c r="R751" i="67"/>
  <c r="R294" i="67"/>
  <c r="R902" i="67"/>
  <c r="R141" i="67"/>
  <c r="S617" i="67"/>
  <c r="S768" i="67"/>
  <c r="S479" i="67"/>
  <c r="S21" i="67"/>
  <c r="S174" i="67"/>
  <c r="S782" i="67"/>
  <c r="S327" i="67"/>
  <c r="S631" i="67"/>
  <c r="U782" i="67"/>
  <c r="U174" i="67"/>
  <c r="U21" i="67"/>
  <c r="U631" i="67"/>
  <c r="U327" i="67"/>
  <c r="U479" i="67"/>
  <c r="V294" i="67"/>
  <c r="V447" i="67"/>
  <c r="V141" i="67"/>
  <c r="V902" i="67"/>
  <c r="V751" i="67"/>
  <c r="V599" i="67"/>
  <c r="W649" i="67"/>
  <c r="W345" i="67"/>
  <c r="W497" i="67"/>
  <c r="W800" i="67"/>
  <c r="W192" i="67"/>
  <c r="W39" i="67"/>
  <c r="X229" i="67"/>
  <c r="X382" i="67"/>
  <c r="X686" i="67"/>
  <c r="X837" i="67"/>
  <c r="X534" i="67"/>
  <c r="X76" i="67"/>
  <c r="AB479" i="67"/>
  <c r="AB782" i="67"/>
  <c r="AB174" i="67"/>
  <c r="AB327" i="67"/>
  <c r="AB631" i="67"/>
  <c r="AB21" i="67"/>
  <c r="AA447" i="67"/>
  <c r="AA599" i="67"/>
  <c r="AA751" i="67"/>
  <c r="AA294" i="67"/>
  <c r="AA141" i="67"/>
  <c r="AA902" i="67"/>
  <c r="AA327" i="67"/>
  <c r="AA21" i="67"/>
  <c r="AA631" i="67"/>
  <c r="AA782" i="67"/>
  <c r="AA174" i="67"/>
  <c r="AA479" i="67"/>
  <c r="X431" i="67"/>
  <c r="X735" i="67"/>
  <c r="X583" i="67"/>
  <c r="X278" i="67"/>
  <c r="X886" i="67"/>
  <c r="X125" i="67"/>
  <c r="AB649" i="67"/>
  <c r="AB39" i="67"/>
  <c r="AB497" i="67"/>
  <c r="AB800" i="67"/>
  <c r="AB192" i="67"/>
  <c r="AB345" i="67"/>
  <c r="AG447" i="67"/>
  <c r="AG294" i="67"/>
  <c r="AG141" i="67"/>
  <c r="AG599" i="67"/>
  <c r="AG902" i="67"/>
  <c r="AG751" i="67"/>
  <c r="AC782" i="67"/>
  <c r="AC479" i="67"/>
  <c r="AC21" i="67"/>
  <c r="AC327" i="67"/>
  <c r="AC174" i="67"/>
  <c r="AC631" i="67"/>
  <c r="AC768" i="67"/>
  <c r="AC617" i="67"/>
  <c r="AE327" i="67"/>
  <c r="AE631" i="67"/>
  <c r="AE21" i="67"/>
  <c r="AE174" i="67"/>
  <c r="AE479" i="67"/>
  <c r="AE782" i="67"/>
  <c r="AG768" i="67"/>
  <c r="AG617" i="67"/>
  <c r="AF617" i="67"/>
  <c r="AF768" i="67"/>
  <c r="AD447" i="67"/>
  <c r="AD141" i="67"/>
  <c r="AD902" i="67"/>
  <c r="AD751" i="67"/>
  <c r="AD599" i="67"/>
  <c r="AD294" i="67"/>
  <c r="AH768" i="67"/>
  <c r="AH617" i="67"/>
  <c r="AJ800" i="67"/>
  <c r="AJ39" i="67"/>
  <c r="AJ192" i="67"/>
  <c r="AJ497" i="67"/>
  <c r="AJ345" i="67"/>
  <c r="AJ649" i="67"/>
  <c r="AK617" i="67"/>
  <c r="AK768" i="67"/>
  <c r="AH141" i="67"/>
  <c r="AH294" i="67"/>
  <c r="AH447" i="67"/>
  <c r="AH902" i="67"/>
  <c r="AH751" i="67"/>
  <c r="AH599" i="67"/>
  <c r="AJ782" i="67"/>
  <c r="AJ479" i="67"/>
  <c r="AJ327" i="67"/>
  <c r="AJ631" i="67"/>
  <c r="AJ174" i="67"/>
  <c r="AJ21" i="67"/>
  <c r="AN617" i="67"/>
  <c r="AN768" i="67"/>
  <c r="AQ583" i="67"/>
  <c r="AQ125" i="67"/>
  <c r="AQ278" i="67"/>
  <c r="AQ431" i="67"/>
  <c r="AQ886" i="67"/>
  <c r="AQ735" i="67"/>
  <c r="AS193" i="67"/>
  <c r="AS346" i="67"/>
  <c r="AS40" i="67"/>
  <c r="AS801" i="67"/>
  <c r="AS498" i="67"/>
  <c r="AS650" i="67"/>
  <c r="AT800" i="67"/>
  <c r="AT345" i="67"/>
  <c r="AT649" i="67"/>
  <c r="AT192" i="67"/>
  <c r="AT39" i="67"/>
  <c r="AT497" i="67"/>
  <c r="AE498" i="67"/>
  <c r="AE650" i="67"/>
  <c r="X193" i="67"/>
  <c r="X40" i="67"/>
  <c r="X650" i="67"/>
  <c r="X346" i="67"/>
  <c r="X498" i="67"/>
  <c r="X801" i="67"/>
  <c r="X314" i="67"/>
  <c r="X618" i="67"/>
  <c r="X769" i="67"/>
  <c r="AL783" i="67"/>
  <c r="AL632" i="67"/>
  <c r="AL175" i="67"/>
  <c r="AL480" i="67"/>
  <c r="AL328" i="67"/>
  <c r="AL22" i="67"/>
  <c r="AL432" i="67"/>
  <c r="AL736" i="67"/>
  <c r="AL887" i="67"/>
  <c r="AL279" i="67"/>
  <c r="AL584" i="67"/>
  <c r="AL126" i="67"/>
  <c r="AN61" i="67"/>
  <c r="AN519" i="67"/>
  <c r="AN214" i="67"/>
  <c r="AN822" i="67"/>
  <c r="AN367" i="67"/>
  <c r="AN671" i="67"/>
  <c r="AQ887" i="67"/>
  <c r="AQ736" i="67"/>
  <c r="AQ126" i="67"/>
  <c r="AQ584" i="67"/>
  <c r="AQ432" i="67"/>
  <c r="AQ279" i="67"/>
  <c r="AT887" i="67"/>
  <c r="AT584" i="67"/>
  <c r="AT126" i="67"/>
  <c r="AT736" i="67"/>
  <c r="AT432" i="67"/>
  <c r="AT279" i="67"/>
  <c r="AM214" i="67"/>
  <c r="AM671" i="67"/>
  <c r="AM822" i="67"/>
  <c r="AM519" i="67"/>
  <c r="AM367" i="67"/>
  <c r="AM61" i="67"/>
  <c r="AM142" i="67"/>
  <c r="AM903" i="67"/>
  <c r="AM448" i="67"/>
  <c r="AM752" i="67"/>
  <c r="AM600" i="67"/>
  <c r="AM295" i="67"/>
  <c r="AM193" i="67"/>
  <c r="AM346" i="67"/>
  <c r="AM40" i="67"/>
  <c r="AM801" i="67"/>
  <c r="AM498" i="67"/>
  <c r="AM650" i="67"/>
  <c r="AB519" i="67"/>
  <c r="AB214" i="67"/>
  <c r="AB671" i="67"/>
  <c r="AB61" i="67"/>
  <c r="AB367" i="67"/>
  <c r="AB822" i="67"/>
  <c r="AB736" i="67"/>
  <c r="AB126" i="67"/>
  <c r="AB584" i="67"/>
  <c r="AB432" i="67"/>
  <c r="AB279" i="67"/>
  <c r="AB887" i="67"/>
  <c r="AG903" i="67"/>
  <c r="AG752" i="67"/>
  <c r="AG600" i="67"/>
  <c r="AG142" i="67"/>
  <c r="AG295" i="67"/>
  <c r="AG448" i="67"/>
  <c r="AA769" i="67"/>
  <c r="Z193" i="67"/>
  <c r="Z650" i="67"/>
  <c r="AO631" i="67"/>
  <c r="AO479" i="67"/>
  <c r="AO327" i="67"/>
  <c r="AO174" i="67"/>
  <c r="AO782" i="67"/>
  <c r="AO21" i="67"/>
  <c r="AT142" i="67"/>
  <c r="AT295" i="67"/>
  <c r="AT903" i="67"/>
  <c r="AT448" i="67"/>
  <c r="AT752" i="67"/>
  <c r="AT600" i="67"/>
  <c r="AF822" i="67"/>
  <c r="AF214" i="67"/>
  <c r="AF367" i="67"/>
  <c r="AF671" i="67"/>
  <c r="AF519" i="67"/>
  <c r="AF61" i="67"/>
  <c r="AF887" i="67"/>
  <c r="AF736" i="67"/>
  <c r="AF584" i="67"/>
  <c r="AF126" i="67"/>
  <c r="AF279" i="67"/>
  <c r="AF432" i="67"/>
  <c r="U498" i="67"/>
  <c r="U801" i="67"/>
  <c r="U346" i="67"/>
  <c r="U650" i="67"/>
  <c r="U40" i="67"/>
  <c r="U193" i="67"/>
  <c r="AK193" i="67"/>
  <c r="AK650" i="67"/>
  <c r="AK498" i="67"/>
  <c r="AK801" i="67"/>
  <c r="AK40" i="67"/>
  <c r="AK346" i="67"/>
  <c r="AI618" i="67"/>
  <c r="AI769" i="67"/>
  <c r="AI314" i="67"/>
  <c r="AI193" i="67"/>
  <c r="AI801" i="67"/>
  <c r="AI498" i="67"/>
  <c r="AI346" i="67"/>
  <c r="AI650" i="67"/>
  <c r="AI40" i="67"/>
  <c r="AD367" i="67"/>
  <c r="AD822" i="67"/>
  <c r="AD519" i="67"/>
  <c r="AD671" i="67"/>
  <c r="AD214" i="67"/>
  <c r="AD61" i="67"/>
  <c r="AM649" i="67"/>
  <c r="AM345" i="67"/>
  <c r="AM39" i="67"/>
  <c r="AM497" i="67"/>
  <c r="AM800" i="67"/>
  <c r="AM192" i="67"/>
  <c r="AN599" i="67"/>
  <c r="AN447" i="67"/>
  <c r="AN141" i="67"/>
  <c r="AN751" i="67"/>
  <c r="AN902" i="67"/>
  <c r="AN294" i="67"/>
  <c r="AP783" i="67"/>
  <c r="AP480" i="67"/>
  <c r="AP632" i="67"/>
  <c r="AP175" i="67"/>
  <c r="AP22" i="67"/>
  <c r="AP328" i="67"/>
  <c r="AQ768" i="67"/>
  <c r="AQ617" i="67"/>
  <c r="AS294" i="67"/>
  <c r="AS141" i="67"/>
  <c r="AS902" i="67"/>
  <c r="AS447" i="67"/>
  <c r="AS599" i="67"/>
  <c r="AS751" i="67"/>
  <c r="W822" i="67"/>
  <c r="W214" i="67"/>
  <c r="W367" i="67"/>
  <c r="W671" i="67"/>
  <c r="W519" i="67"/>
  <c r="W61" i="67"/>
  <c r="Y175" i="67"/>
  <c r="Y328" i="67"/>
  <c r="Y783" i="67"/>
  <c r="Y22" i="67"/>
  <c r="Y632" i="67"/>
  <c r="Y480" i="67"/>
  <c r="AH498" i="67"/>
  <c r="L615" i="67"/>
  <c r="L766" i="67"/>
  <c r="AV902" i="67"/>
  <c r="AV294" i="67"/>
  <c r="AV599" i="67"/>
  <c r="AV447" i="67"/>
  <c r="AV141" i="67"/>
  <c r="AV751" i="67"/>
  <c r="L533" i="67"/>
  <c r="L75" i="67"/>
  <c r="L381" i="67"/>
  <c r="L836" i="67"/>
  <c r="L228" i="67"/>
  <c r="L685" i="67"/>
  <c r="L478" i="67"/>
  <c r="L173" i="67"/>
  <c r="L326" i="67"/>
  <c r="L781" i="67"/>
  <c r="L20" i="67"/>
  <c r="L630" i="67"/>
  <c r="M615" i="67"/>
  <c r="M766" i="67"/>
  <c r="AU902" i="67"/>
  <c r="AU447" i="67"/>
  <c r="AU141" i="67"/>
  <c r="AU599" i="67"/>
  <c r="AU751" i="67"/>
  <c r="AU294" i="67"/>
  <c r="AW21" i="67"/>
  <c r="AW631" i="67"/>
  <c r="AW782" i="67"/>
  <c r="AW479" i="67"/>
  <c r="AW327" i="67"/>
  <c r="AW174" i="67"/>
  <c r="L38" i="67"/>
  <c r="L799" i="67"/>
  <c r="L344" i="67"/>
  <c r="L648" i="67"/>
  <c r="L191" i="67"/>
  <c r="L496" i="67"/>
  <c r="M429" i="67"/>
  <c r="M884" i="67"/>
  <c r="M733" i="67"/>
  <c r="M276" i="67"/>
  <c r="M581" i="67"/>
  <c r="M123" i="67"/>
  <c r="AW768" i="67"/>
  <c r="AW617" i="67"/>
  <c r="O122" i="67"/>
  <c r="O428" i="67"/>
  <c r="O275" i="67"/>
  <c r="O732" i="67"/>
  <c r="O580" i="67"/>
  <c r="O883" i="67"/>
  <c r="Q276" i="67"/>
  <c r="Q581" i="67"/>
  <c r="Q429" i="67"/>
  <c r="Q733" i="67"/>
  <c r="Q884" i="67"/>
  <c r="Q123" i="67"/>
  <c r="O444" i="67"/>
  <c r="O138" i="67"/>
  <c r="O748" i="67"/>
  <c r="O596" i="67"/>
  <c r="O291" i="67"/>
  <c r="O899" i="67"/>
  <c r="O190" i="67"/>
  <c r="O647" i="67"/>
  <c r="O495" i="67"/>
  <c r="O343" i="67"/>
  <c r="O37" i="67"/>
  <c r="O798" i="67"/>
  <c r="Q496" i="67"/>
  <c r="Q344" i="67"/>
  <c r="Q191" i="67"/>
  <c r="Q38" i="67"/>
  <c r="Q799" i="67"/>
  <c r="Q648" i="67"/>
  <c r="P629" i="67"/>
  <c r="P325" i="67"/>
  <c r="P477" i="67"/>
  <c r="P172" i="67"/>
  <c r="P19" i="67"/>
  <c r="N381" i="67"/>
  <c r="N836" i="67"/>
  <c r="N685" i="67"/>
  <c r="N228" i="67"/>
  <c r="N533" i="67"/>
  <c r="N75" i="67"/>
  <c r="Q767" i="67"/>
  <c r="Q616" i="67"/>
  <c r="H160" i="65"/>
  <c r="R836" i="67"/>
  <c r="R533" i="67"/>
  <c r="N765" i="67"/>
  <c r="N614" i="67"/>
  <c r="N596" i="67"/>
  <c r="N444" i="67"/>
  <c r="N899" i="67"/>
  <c r="N291" i="67"/>
  <c r="N748" i="67"/>
  <c r="N138" i="67"/>
  <c r="N580" i="67"/>
  <c r="N275" i="67"/>
  <c r="N122" i="67"/>
  <c r="N428" i="67"/>
  <c r="N883" i="67"/>
  <c r="N732" i="67"/>
  <c r="T326" i="67"/>
  <c r="T173" i="67"/>
  <c r="T478" i="67"/>
  <c r="T781" i="67"/>
  <c r="T20" i="67"/>
  <c r="U277" i="67"/>
  <c r="U885" i="67"/>
  <c r="U124" i="67"/>
  <c r="U430" i="67"/>
  <c r="U734" i="67"/>
  <c r="U582" i="67"/>
  <c r="T325" i="67"/>
  <c r="T629" i="67"/>
  <c r="T19" i="67"/>
  <c r="T172" i="67"/>
  <c r="T477" i="67"/>
  <c r="S765" i="67"/>
  <c r="S614" i="67"/>
  <c r="S324" i="67"/>
  <c r="S18" i="67"/>
  <c r="S476" i="67"/>
  <c r="S171" i="67"/>
  <c r="S628" i="67"/>
  <c r="P494" i="67"/>
  <c r="P646" i="67"/>
  <c r="P36" i="67"/>
  <c r="P797" i="67"/>
  <c r="P189" i="67"/>
  <c r="P342" i="67"/>
  <c r="G159" i="65"/>
  <c r="Q189" i="67"/>
  <c r="Q342" i="67"/>
  <c r="Q122" i="67"/>
  <c r="Q428" i="67"/>
  <c r="Q883" i="67"/>
  <c r="L161" i="65"/>
  <c r="V533" i="67"/>
  <c r="V381" i="67"/>
  <c r="V685" i="67"/>
  <c r="V836" i="67"/>
  <c r="V228" i="67"/>
  <c r="V75" i="67"/>
  <c r="X885" i="67"/>
  <c r="X582" i="67"/>
  <c r="X734" i="67"/>
  <c r="X124" i="67"/>
  <c r="X430" i="67"/>
  <c r="X277" i="67"/>
  <c r="U901" i="67"/>
  <c r="U446" i="67"/>
  <c r="U598" i="67"/>
  <c r="U750" i="67"/>
  <c r="U140" i="67"/>
  <c r="U293" i="67"/>
  <c r="R765" i="67"/>
  <c r="R614" i="67"/>
  <c r="R494" i="67"/>
  <c r="R342" i="67"/>
  <c r="R646" i="67"/>
  <c r="R189" i="67"/>
  <c r="R797" i="67"/>
  <c r="R36" i="67"/>
  <c r="V899" i="67"/>
  <c r="V444" i="67"/>
  <c r="V138" i="67"/>
  <c r="V291" i="67"/>
  <c r="V748" i="67"/>
  <c r="V172" i="67"/>
  <c r="V325" i="67"/>
  <c r="V477" i="67"/>
  <c r="V19" i="67"/>
  <c r="V629" i="67"/>
  <c r="U900" i="67"/>
  <c r="U799" i="67"/>
  <c r="U38" i="67"/>
  <c r="U344" i="67"/>
  <c r="U496" i="67"/>
  <c r="U648" i="67"/>
  <c r="U191" i="67"/>
  <c r="T628" i="67"/>
  <c r="T324" i="67"/>
  <c r="T171" i="67"/>
  <c r="T476" i="67"/>
  <c r="T18" i="67"/>
  <c r="V139" i="67"/>
  <c r="V597" i="67"/>
  <c r="V445" i="67"/>
  <c r="V749" i="67"/>
  <c r="V900" i="67"/>
  <c r="V292" i="67"/>
  <c r="V276" i="67"/>
  <c r="V429" i="67"/>
  <c r="V581" i="67"/>
  <c r="V884" i="67"/>
  <c r="V733" i="67"/>
  <c r="V123" i="67"/>
  <c r="Z429" i="67"/>
  <c r="Z884" i="67"/>
  <c r="Z276" i="67"/>
  <c r="Z123" i="67"/>
  <c r="Z581" i="67"/>
  <c r="Z733" i="67"/>
  <c r="AB495" i="67"/>
  <c r="AB798" i="67"/>
  <c r="AB885" i="67"/>
  <c r="AB430" i="67"/>
  <c r="AB124" i="67"/>
  <c r="AB734" i="67"/>
  <c r="AB582" i="67"/>
  <c r="AB277" i="67"/>
  <c r="AC616" i="67"/>
  <c r="AC767" i="67"/>
  <c r="AC582" i="67"/>
  <c r="AC124" i="67"/>
  <c r="AC277" i="67"/>
  <c r="AC430" i="67"/>
  <c r="AC885" i="67"/>
  <c r="AC734" i="67"/>
  <c r="Z189" i="67"/>
  <c r="Z342" i="67"/>
  <c r="Z494" i="67"/>
  <c r="Z646" i="67"/>
  <c r="Z797" i="67"/>
  <c r="Z36" i="67"/>
  <c r="Y275" i="67"/>
  <c r="Y732" i="67"/>
  <c r="Y883" i="67"/>
  <c r="Y122" i="67"/>
  <c r="Y580" i="67"/>
  <c r="Y428" i="67"/>
  <c r="Z171" i="67"/>
  <c r="Z476" i="67"/>
  <c r="Z324" i="67"/>
  <c r="Z628" i="67"/>
  <c r="Z18" i="67"/>
  <c r="AC36" i="67"/>
  <c r="AC342" i="67"/>
  <c r="AC646" i="67"/>
  <c r="AC189" i="67"/>
  <c r="AB883" i="67"/>
  <c r="AB122" i="67"/>
  <c r="AB275" i="67"/>
  <c r="AB428" i="67"/>
  <c r="AB580" i="67"/>
  <c r="AB732" i="67"/>
  <c r="AD616" i="67"/>
  <c r="AD767" i="67"/>
  <c r="AG532" i="67"/>
  <c r="AG835" i="67"/>
  <c r="AG684" i="67"/>
  <c r="AG227" i="67"/>
  <c r="AG74" i="67"/>
  <c r="AG380" i="67"/>
  <c r="AB326" i="67"/>
  <c r="AB478" i="67"/>
  <c r="AB173" i="67"/>
  <c r="AB20" i="67"/>
  <c r="AB630" i="67"/>
  <c r="AB781" i="67"/>
  <c r="AC292" i="67"/>
  <c r="AC749" i="67"/>
  <c r="AC139" i="67"/>
  <c r="AC445" i="67"/>
  <c r="AC900" i="67"/>
  <c r="AC597" i="67"/>
  <c r="AB18" i="67"/>
  <c r="AB628" i="67"/>
  <c r="AB171" i="67"/>
  <c r="AB324" i="67"/>
  <c r="AB476" i="67"/>
  <c r="AF326" i="67"/>
  <c r="AA191" i="67"/>
  <c r="AA344" i="67"/>
  <c r="AA496" i="67"/>
  <c r="AA799" i="67"/>
  <c r="AA648" i="67"/>
  <c r="AA38" i="67"/>
  <c r="X291" i="67"/>
  <c r="X444" i="67"/>
  <c r="X748" i="67"/>
  <c r="X138" i="67"/>
  <c r="X899" i="67"/>
  <c r="X596" i="67"/>
  <c r="X494" i="67"/>
  <c r="X797" i="67"/>
  <c r="X646" i="67"/>
  <c r="X189" i="67"/>
  <c r="X342" i="67"/>
  <c r="X36" i="67"/>
  <c r="AC799" i="67"/>
  <c r="AC191" i="67"/>
  <c r="AC648" i="67"/>
  <c r="AC496" i="67"/>
  <c r="AC38" i="67"/>
  <c r="AC344" i="67"/>
  <c r="AC766" i="67"/>
  <c r="AD326" i="67"/>
  <c r="AD20" i="67"/>
  <c r="AD630" i="67"/>
  <c r="AD173" i="67"/>
  <c r="AD478" i="67"/>
  <c r="AD781" i="67"/>
  <c r="AE277" i="67"/>
  <c r="AE124" i="67"/>
  <c r="AF885" i="67"/>
  <c r="AG343" i="67"/>
  <c r="AG37" i="67"/>
  <c r="AG495" i="67"/>
  <c r="AG190" i="67"/>
  <c r="AG798" i="67"/>
  <c r="AG647" i="67"/>
  <c r="AF211" i="67"/>
  <c r="AF516" i="67"/>
  <c r="AF364" i="67"/>
  <c r="AF819" i="67"/>
  <c r="AF58" i="67"/>
  <c r="AI343" i="67"/>
  <c r="AI798" i="67"/>
  <c r="AI647" i="67"/>
  <c r="AI190" i="67"/>
  <c r="AI495" i="67"/>
  <c r="AI37" i="67"/>
  <c r="AI140" i="67"/>
  <c r="AI293" i="67"/>
  <c r="AI901" i="67"/>
  <c r="AI598" i="67"/>
  <c r="AI750" i="67"/>
  <c r="AI446" i="67"/>
  <c r="AE614" i="67"/>
  <c r="AE765" i="67"/>
  <c r="AE494" i="67"/>
  <c r="AE36" i="67"/>
  <c r="AE189" i="67"/>
  <c r="AE797" i="67"/>
  <c r="AE342" i="67"/>
  <c r="AE646" i="67"/>
  <c r="AJ629" i="67"/>
  <c r="AJ172" i="67"/>
  <c r="AJ19" i="67"/>
  <c r="AJ325" i="67"/>
  <c r="AJ477" i="67"/>
  <c r="AK799" i="67"/>
  <c r="AK344" i="67"/>
  <c r="AK648" i="67"/>
  <c r="AK38" i="67"/>
  <c r="AK496" i="67"/>
  <c r="AK191" i="67"/>
  <c r="AK629" i="67"/>
  <c r="AK172" i="67"/>
  <c r="AK19" i="67"/>
  <c r="AK325" i="67"/>
  <c r="AK477" i="67"/>
  <c r="AG18" i="67"/>
  <c r="AG171" i="67"/>
  <c r="AG324" i="67"/>
  <c r="AG628" i="67"/>
  <c r="AG476" i="67"/>
  <c r="AK381" i="67"/>
  <c r="AK836" i="67"/>
  <c r="AK685" i="67"/>
  <c r="AK75" i="67"/>
  <c r="AK228" i="67"/>
  <c r="AK533" i="67"/>
  <c r="AN477" i="67"/>
  <c r="AN629" i="67"/>
  <c r="AN19" i="67"/>
  <c r="AN325" i="67"/>
  <c r="AN172" i="67"/>
  <c r="AO884" i="67"/>
  <c r="AO123" i="67"/>
  <c r="AO276" i="67"/>
  <c r="AO429" i="67"/>
  <c r="AO733" i="67"/>
  <c r="AO581" i="67"/>
  <c r="AP326" i="67"/>
  <c r="AP173" i="67"/>
  <c r="AP781" i="67"/>
  <c r="AP20" i="67"/>
  <c r="AP630" i="67"/>
  <c r="AP478" i="67"/>
  <c r="AQ380" i="67"/>
  <c r="AQ835" i="67"/>
  <c r="AQ684" i="67"/>
  <c r="AQ227" i="67"/>
  <c r="AQ74" i="67"/>
  <c r="AQ532" i="67"/>
  <c r="AI444" i="67"/>
  <c r="AI596" i="67"/>
  <c r="AI291" i="67"/>
  <c r="AI138" i="67"/>
  <c r="AI748" i="67"/>
  <c r="AI899" i="67"/>
  <c r="AK885" i="67"/>
  <c r="AK734" i="67"/>
  <c r="AK277" i="67"/>
  <c r="AK124" i="67"/>
  <c r="AK430" i="67"/>
  <c r="AK582" i="67"/>
  <c r="AA160" i="65"/>
  <c r="AL799" i="67"/>
  <c r="AL344" i="67"/>
  <c r="AL648" i="67"/>
  <c r="AL496" i="67"/>
  <c r="AL38" i="67"/>
  <c r="AL191" i="67"/>
  <c r="AK580" i="67"/>
  <c r="AK428" i="67"/>
  <c r="AK275" i="67"/>
  <c r="AK732" i="67"/>
  <c r="BE53" i="68"/>
  <c r="AK883" i="67"/>
  <c r="AK122" i="67"/>
  <c r="AD160" i="65"/>
  <c r="AN227" i="67"/>
  <c r="AN380" i="67"/>
  <c r="AN835" i="67"/>
  <c r="AN74" i="67"/>
  <c r="AN532" i="67"/>
  <c r="AN684" i="67"/>
  <c r="AQ615" i="67"/>
  <c r="AQ766" i="67"/>
  <c r="AG173" i="67"/>
  <c r="AG478" i="67"/>
  <c r="AG326" i="67"/>
  <c r="AG630" i="67"/>
  <c r="AG20" i="67"/>
  <c r="AG781" i="67"/>
  <c r="Y160" i="65"/>
  <c r="AJ781" i="67"/>
  <c r="AJ326" i="67"/>
  <c r="AJ630" i="67"/>
  <c r="AJ478" i="67"/>
  <c r="AJ20" i="67"/>
  <c r="AJ173" i="67"/>
  <c r="AF171" i="67"/>
  <c r="AF628" i="67"/>
  <c r="AF476" i="67"/>
  <c r="AF324" i="67"/>
  <c r="AF18" i="67"/>
  <c r="AJ428" i="67"/>
  <c r="AJ732" i="67"/>
  <c r="AJ122" i="67"/>
  <c r="AJ883" i="67"/>
  <c r="AJ275" i="67"/>
  <c r="AJ580" i="67"/>
  <c r="AB161" i="65"/>
  <c r="AM429" i="67"/>
  <c r="AM276" i="67"/>
  <c r="AM884" i="67"/>
  <c r="AM581" i="67"/>
  <c r="AM123" i="67"/>
  <c r="AM733" i="67"/>
  <c r="AC160" i="65"/>
  <c r="AO615" i="67"/>
  <c r="AO766" i="67"/>
  <c r="AQ798" i="67"/>
  <c r="AQ343" i="67"/>
  <c r="AQ495" i="67"/>
  <c r="AQ647" i="67"/>
  <c r="AQ37" i="67"/>
  <c r="AQ190" i="67"/>
  <c r="AH629" i="67"/>
  <c r="AH172" i="67"/>
  <c r="AH325" i="67"/>
  <c r="AH477" i="67"/>
  <c r="AH19" i="67"/>
  <c r="AK765" i="67"/>
  <c r="AK614" i="67"/>
  <c r="AM900" i="67"/>
  <c r="AM139" i="67"/>
  <c r="AM749" i="67"/>
  <c r="AM597" i="67"/>
  <c r="AM292" i="67"/>
  <c r="AM445" i="67"/>
  <c r="AN799" i="67"/>
  <c r="AN38" i="67"/>
  <c r="AN344" i="67"/>
  <c r="AN648" i="67"/>
  <c r="AN496" i="67"/>
  <c r="AN191" i="67"/>
  <c r="AN766" i="67"/>
  <c r="AN615" i="67"/>
  <c r="AH160" i="65"/>
  <c r="AS765" i="67"/>
  <c r="AR171" i="67"/>
  <c r="AT750" i="67"/>
  <c r="AT293" i="67"/>
  <c r="AT598" i="67"/>
  <c r="AT140" i="67"/>
  <c r="AT446" i="67"/>
  <c r="AT901" i="67"/>
  <c r="AT899" i="67"/>
  <c r="AT291" i="67"/>
  <c r="AU765" i="67"/>
  <c r="AU614" i="67"/>
  <c r="AV899" i="67"/>
  <c r="AV596" i="67"/>
  <c r="AV748" i="67"/>
  <c r="AV291" i="67"/>
  <c r="AV138" i="67"/>
  <c r="AV444" i="67"/>
  <c r="AV381" i="67"/>
  <c r="AV836" i="67"/>
  <c r="AV685" i="67"/>
  <c r="AV533" i="67"/>
  <c r="AV75" i="67"/>
  <c r="AV228" i="67"/>
  <c r="AN138" i="67"/>
  <c r="AN748" i="67"/>
  <c r="AN444" i="67"/>
  <c r="AN899" i="67"/>
  <c r="AN596" i="67"/>
  <c r="AN291" i="67"/>
  <c r="AQ580" i="67"/>
  <c r="AQ275" i="67"/>
  <c r="BK53" i="68"/>
  <c r="AQ732" i="67"/>
  <c r="AQ122" i="67"/>
  <c r="AQ428" i="67"/>
  <c r="AQ883" i="67"/>
  <c r="AP646" i="67"/>
  <c r="AP36" i="67"/>
  <c r="AP342" i="67"/>
  <c r="AP797" i="67"/>
  <c r="BJ20" i="68"/>
  <c r="AP189" i="67"/>
  <c r="AP494" i="67"/>
  <c r="AP138" i="67"/>
  <c r="AU342" i="67"/>
  <c r="BO20" i="68"/>
  <c r="AU646" i="67"/>
  <c r="AU189" i="67"/>
  <c r="AU36" i="67"/>
  <c r="AU494" i="67"/>
  <c r="AU797" i="67"/>
  <c r="AQ476" i="67"/>
  <c r="AQ324" i="67"/>
  <c r="AQ18" i="67"/>
  <c r="AQ171" i="67"/>
  <c r="AQ628" i="67"/>
  <c r="AQ291" i="67"/>
  <c r="AQ748" i="67"/>
  <c r="AQ444" i="67"/>
  <c r="AQ138" i="67"/>
  <c r="AQ596" i="67"/>
  <c r="AQ899" i="67"/>
  <c r="AH161" i="65"/>
  <c r="AU430" i="67"/>
  <c r="AU885" i="67"/>
  <c r="AU582" i="67"/>
  <c r="AU734" i="67"/>
  <c r="AU277" i="67"/>
  <c r="AU124" i="67"/>
  <c r="AU750" i="67"/>
  <c r="AU293" i="67"/>
  <c r="AU446" i="67"/>
  <c r="AU901" i="67"/>
  <c r="AU598" i="67"/>
  <c r="AU140" i="67"/>
  <c r="AV58" i="67"/>
  <c r="AV364" i="67"/>
  <c r="AV819" i="67"/>
  <c r="AV211" i="67"/>
  <c r="AV516" i="67"/>
  <c r="AI161" i="65"/>
  <c r="AR429" i="67"/>
  <c r="AR581" i="67"/>
  <c r="AR276" i="67"/>
  <c r="AR123" i="67"/>
  <c r="AR884" i="67"/>
  <c r="AR733" i="67"/>
  <c r="AS781" i="67"/>
  <c r="AS478" i="67"/>
  <c r="AS630" i="67"/>
  <c r="AS173" i="67"/>
  <c r="AS20" i="67"/>
  <c r="AS326" i="67"/>
  <c r="AH159" i="65"/>
  <c r="AW172" i="67"/>
  <c r="AW19" i="67"/>
  <c r="AW325" i="67"/>
  <c r="AW477" i="67"/>
  <c r="AW629" i="67"/>
  <c r="AW444" i="67"/>
  <c r="BQ54" i="68"/>
  <c r="AW291" i="67"/>
  <c r="AW899" i="67"/>
  <c r="AW596" i="67"/>
  <c r="AW748" i="67"/>
  <c r="AW138" i="67"/>
  <c r="L382" i="67"/>
  <c r="L534" i="67"/>
  <c r="L837" i="67"/>
  <c r="L76" i="67"/>
  <c r="L686" i="67"/>
  <c r="L229" i="67"/>
  <c r="M618" i="67"/>
  <c r="M314" i="67"/>
  <c r="M769" i="67"/>
  <c r="L583" i="67"/>
  <c r="L125" i="67"/>
  <c r="L886" i="67"/>
  <c r="L431" i="67"/>
  <c r="L735" i="67"/>
  <c r="L278" i="67"/>
  <c r="L447" i="67"/>
  <c r="L294" i="67"/>
  <c r="L141" i="67"/>
  <c r="L902" i="67"/>
  <c r="L751" i="67"/>
  <c r="L599" i="67"/>
  <c r="O39" i="67"/>
  <c r="O192" i="67"/>
  <c r="O800" i="67"/>
  <c r="O345" i="67"/>
  <c r="O649" i="67"/>
  <c r="O497" i="67"/>
  <c r="N447" i="67"/>
  <c r="N751" i="67"/>
  <c r="N294" i="67"/>
  <c r="N902" i="67"/>
  <c r="N599" i="67"/>
  <c r="N141" i="67"/>
  <c r="O448" i="67"/>
  <c r="O903" i="67"/>
  <c r="O752" i="67"/>
  <c r="O295" i="67"/>
  <c r="O600" i="67"/>
  <c r="O142" i="67"/>
  <c r="P328" i="67"/>
  <c r="P632" i="67"/>
  <c r="P783" i="67"/>
  <c r="P22" i="67"/>
  <c r="P175" i="67"/>
  <c r="P480" i="67"/>
  <c r="S382" i="67"/>
  <c r="S686" i="67"/>
  <c r="S837" i="67"/>
  <c r="S229" i="67"/>
  <c r="S76" i="67"/>
  <c r="S534" i="67"/>
  <c r="W617" i="67"/>
  <c r="W768" i="67"/>
  <c r="Z447" i="67"/>
  <c r="Z141" i="67"/>
  <c r="Z902" i="67"/>
  <c r="Z751" i="67"/>
  <c r="Z599" i="67"/>
  <c r="Z294" i="67"/>
  <c r="Z497" i="67"/>
  <c r="Z345" i="67"/>
  <c r="Z192" i="67"/>
  <c r="Z800" i="67"/>
  <c r="Z39" i="67"/>
  <c r="Z649" i="67"/>
  <c r="AB617" i="67"/>
  <c r="AB768" i="67"/>
  <c r="Y21" i="67"/>
  <c r="Y174" i="67"/>
  <c r="Y631" i="67"/>
  <c r="Y327" i="67"/>
  <c r="Y479" i="67"/>
  <c r="Y782" i="67"/>
  <c r="X902" i="67"/>
  <c r="X751" i="67"/>
  <c r="X599" i="67"/>
  <c r="X294" i="67"/>
  <c r="X447" i="67"/>
  <c r="X141" i="67"/>
  <c r="Y686" i="67"/>
  <c r="Y534" i="67"/>
  <c r="Y76" i="67"/>
  <c r="Y229" i="67"/>
  <c r="Y382" i="67"/>
  <c r="Y837" i="67"/>
  <c r="AB294" i="67"/>
  <c r="AB141" i="67"/>
  <c r="AB902" i="67"/>
  <c r="AB447" i="67"/>
  <c r="AB599" i="67"/>
  <c r="AB751" i="67"/>
  <c r="AB76" i="67"/>
  <c r="AB382" i="67"/>
  <c r="AB686" i="67"/>
  <c r="AB837" i="67"/>
  <c r="AB229" i="67"/>
  <c r="AB534" i="67"/>
  <c r="AE39" i="67"/>
  <c r="AE800" i="67"/>
  <c r="AE649" i="67"/>
  <c r="AE192" i="67"/>
  <c r="AE497" i="67"/>
  <c r="AE345" i="67"/>
  <c r="AC599" i="67"/>
  <c r="AC447" i="67"/>
  <c r="AC141" i="67"/>
  <c r="AC751" i="67"/>
  <c r="AC902" i="67"/>
  <c r="AC294" i="67"/>
  <c r="AG735" i="67"/>
  <c r="AG583" i="67"/>
  <c r="AG278" i="67"/>
  <c r="AG886" i="67"/>
  <c r="AG125" i="67"/>
  <c r="AG431" i="67"/>
  <c r="AF345" i="67"/>
  <c r="AF39" i="67"/>
  <c r="AF800" i="67"/>
  <c r="AF497" i="67"/>
  <c r="AF649" i="67"/>
  <c r="AF192" i="67"/>
  <c r="AF886" i="67"/>
  <c r="AF125" i="67"/>
  <c r="AF431" i="67"/>
  <c r="AF735" i="67"/>
  <c r="AF583" i="67"/>
  <c r="AF278" i="67"/>
  <c r="AI735" i="67"/>
  <c r="AI278" i="67"/>
  <c r="AI886" i="67"/>
  <c r="AI125" i="67"/>
  <c r="AI583" i="67"/>
  <c r="AI431" i="67"/>
  <c r="AJ902" i="67"/>
  <c r="AJ599" i="67"/>
  <c r="AJ294" i="67"/>
  <c r="AJ447" i="67"/>
  <c r="AJ751" i="67"/>
  <c r="AJ141" i="67"/>
  <c r="AL431" i="67"/>
  <c r="AL735" i="67"/>
  <c r="AL278" i="67"/>
  <c r="AL886" i="67"/>
  <c r="AL125" i="67"/>
  <c r="AL583" i="67"/>
  <c r="AH327" i="67"/>
  <c r="AH479" i="67"/>
  <c r="AH631" i="67"/>
  <c r="AH782" i="67"/>
  <c r="AH21" i="67"/>
  <c r="AH174" i="67"/>
  <c r="AK599" i="67"/>
  <c r="AK141" i="67"/>
  <c r="AK902" i="67"/>
  <c r="AK447" i="67"/>
  <c r="AK294" i="67"/>
  <c r="AK751" i="67"/>
  <c r="AQ902" i="67"/>
  <c r="AQ447" i="67"/>
  <c r="AQ751" i="67"/>
  <c r="AQ599" i="67"/>
  <c r="AQ294" i="67"/>
  <c r="AQ141" i="67"/>
  <c r="AR448" i="67"/>
  <c r="AR142" i="67"/>
  <c r="AR903" i="67"/>
  <c r="AR752" i="67"/>
  <c r="AR600" i="67"/>
  <c r="AR295" i="67"/>
  <c r="AT599" i="67"/>
  <c r="AT141" i="67"/>
  <c r="AT902" i="67"/>
  <c r="AT447" i="67"/>
  <c r="AT751" i="67"/>
  <c r="AT294" i="67"/>
  <c r="AT314" i="67"/>
  <c r="AT618" i="67"/>
  <c r="AT769" i="67"/>
  <c r="X783" i="67"/>
  <c r="X632" i="67"/>
  <c r="X175" i="67"/>
  <c r="X480" i="67"/>
  <c r="X328" i="67"/>
  <c r="X22" i="67"/>
  <c r="V736" i="67"/>
  <c r="V584" i="67"/>
  <c r="V279" i="67"/>
  <c r="V887" i="67"/>
  <c r="V126" i="67"/>
  <c r="V432" i="67"/>
  <c r="V367" i="67"/>
  <c r="V519" i="67"/>
  <c r="V822" i="67"/>
  <c r="V671" i="67"/>
  <c r="V214" i="67"/>
  <c r="V61" i="67"/>
  <c r="AL752" i="67"/>
  <c r="AL903" i="67"/>
  <c r="AL600" i="67"/>
  <c r="AL142" i="67"/>
  <c r="AL448" i="67"/>
  <c r="AL295" i="67"/>
  <c r="AP192" i="67"/>
  <c r="AP345" i="67"/>
  <c r="AP649" i="67"/>
  <c r="AP39" i="67"/>
  <c r="AP497" i="67"/>
  <c r="AP800" i="67"/>
  <c r="AP735" i="67"/>
  <c r="AP583" i="67"/>
  <c r="AP278" i="67"/>
  <c r="AP886" i="67"/>
  <c r="AP125" i="67"/>
  <c r="AP431" i="67"/>
  <c r="AP617" i="67"/>
  <c r="AP768" i="67"/>
  <c r="AP229" i="67"/>
  <c r="AP534" i="67"/>
  <c r="AP76" i="67"/>
  <c r="AP382" i="67"/>
  <c r="AP686" i="67"/>
  <c r="AP837" i="67"/>
  <c r="AR617" i="67"/>
  <c r="AR768" i="67"/>
  <c r="AS736" i="67"/>
  <c r="AS584" i="67"/>
  <c r="AS279" i="67"/>
  <c r="AS887" i="67"/>
  <c r="AS126" i="67"/>
  <c r="AS432" i="67"/>
  <c r="AS837" i="67"/>
  <c r="AS382" i="67"/>
  <c r="AS534" i="67"/>
  <c r="AS76" i="67"/>
  <c r="AS686" i="67"/>
  <c r="AS229" i="67"/>
  <c r="AM432" i="67"/>
  <c r="AM279" i="67"/>
  <c r="AM736" i="67"/>
  <c r="AM887" i="67"/>
  <c r="AM584" i="67"/>
  <c r="AM126" i="67"/>
  <c r="AB498" i="67"/>
  <c r="AB40" i="67"/>
  <c r="AB346" i="67"/>
  <c r="AB801" i="67"/>
  <c r="AB650" i="67"/>
  <c r="AB193" i="67"/>
  <c r="AB22" i="67"/>
  <c r="AB328" i="67"/>
  <c r="AB783" i="67"/>
  <c r="AB480" i="67"/>
  <c r="AB632" i="67"/>
  <c r="AB175" i="67"/>
  <c r="AG175" i="67"/>
  <c r="AG632" i="67"/>
  <c r="AG328" i="67"/>
  <c r="AG480" i="67"/>
  <c r="AG783" i="67"/>
  <c r="AG22" i="67"/>
  <c r="Z214" i="67"/>
  <c r="Z822" i="67"/>
  <c r="Z367" i="67"/>
  <c r="Z671" i="67"/>
  <c r="Z61" i="67"/>
  <c r="Z519" i="67"/>
  <c r="AQ193" i="67"/>
  <c r="AQ650" i="67"/>
  <c r="AT479" i="67"/>
  <c r="AT327" i="67"/>
  <c r="AT21" i="67"/>
  <c r="AT782" i="67"/>
  <c r="AT631" i="67"/>
  <c r="AT174" i="67"/>
  <c r="S61" i="67"/>
  <c r="S822" i="67"/>
  <c r="S671" i="67"/>
  <c r="S367" i="67"/>
  <c r="S214" i="67"/>
  <c r="S519" i="67"/>
  <c r="S752" i="67"/>
  <c r="S600" i="67"/>
  <c r="S295" i="67"/>
  <c r="S142" i="67"/>
  <c r="S903" i="67"/>
  <c r="S448" i="67"/>
  <c r="AF22" i="67"/>
  <c r="AF175" i="67"/>
  <c r="AF328" i="67"/>
  <c r="AF783" i="67"/>
  <c r="AF632" i="67"/>
  <c r="AF480" i="67"/>
  <c r="AF618" i="67"/>
  <c r="AF769" i="67"/>
  <c r="AF314" i="67"/>
  <c r="U279" i="67"/>
  <c r="U584" i="67"/>
  <c r="U126" i="67"/>
  <c r="U432" i="67"/>
  <c r="U736" i="67"/>
  <c r="U887" i="67"/>
  <c r="AK448" i="67"/>
  <c r="AK903" i="67"/>
  <c r="AK752" i="67"/>
  <c r="AK600" i="67"/>
  <c r="AK142" i="67"/>
  <c r="AK295" i="67"/>
  <c r="AI279" i="67"/>
  <c r="AI126" i="67"/>
  <c r="AI584" i="67"/>
  <c r="AI432" i="67"/>
  <c r="AI736" i="67"/>
  <c r="AI887" i="67"/>
  <c r="AI632" i="67"/>
  <c r="AI22" i="67"/>
  <c r="AI480" i="67"/>
  <c r="AI328" i="67"/>
  <c r="AI175" i="67"/>
  <c r="AI783" i="67"/>
  <c r="AM617" i="67"/>
  <c r="AM768" i="67"/>
  <c r="AO214" i="67"/>
  <c r="AO822" i="67"/>
  <c r="AO367" i="67"/>
  <c r="AO671" i="67"/>
  <c r="AO61" i="67"/>
  <c r="AO519" i="67"/>
  <c r="AS142" i="67"/>
  <c r="AS295" i="67"/>
  <c r="AS448" i="67"/>
  <c r="AS903" i="67"/>
  <c r="AS752" i="67"/>
  <c r="AS600" i="67"/>
  <c r="AT346" i="67"/>
  <c r="AT801" i="67"/>
  <c r="AT193" i="67"/>
  <c r="AT650" i="67"/>
  <c r="AT40" i="67"/>
  <c r="AT498" i="67"/>
  <c r="W126" i="67"/>
  <c r="W887" i="67"/>
  <c r="W432" i="67"/>
  <c r="W736" i="67"/>
  <c r="W279" i="67"/>
  <c r="W584" i="67"/>
  <c r="W480" i="67"/>
  <c r="W328" i="67"/>
  <c r="W632" i="67"/>
  <c r="W783" i="67"/>
  <c r="W22" i="67"/>
  <c r="W175" i="67"/>
  <c r="Y769" i="67"/>
  <c r="Y314" i="67"/>
  <c r="Y618" i="67"/>
  <c r="Y584" i="67"/>
  <c r="Y126" i="67"/>
  <c r="Y887" i="67"/>
  <c r="Y736" i="67"/>
  <c r="Y432" i="67"/>
  <c r="Y279" i="67"/>
  <c r="Y193" i="67"/>
  <c r="Y346" i="67"/>
  <c r="Y40" i="67"/>
  <c r="Y801" i="67"/>
  <c r="Y650" i="67"/>
  <c r="Y498" i="67"/>
  <c r="AW76" i="67"/>
  <c r="AW382" i="67"/>
  <c r="AW229" i="67"/>
  <c r="AW837" i="67"/>
  <c r="AW534" i="67"/>
  <c r="AW686" i="67"/>
  <c r="L445" i="67"/>
  <c r="L139" i="67"/>
  <c r="L900" i="67"/>
  <c r="L749" i="67"/>
  <c r="L597" i="67"/>
  <c r="L292" i="67"/>
  <c r="M798" i="67"/>
  <c r="M190" i="67"/>
  <c r="M343" i="67"/>
  <c r="M37" i="67"/>
  <c r="M647" i="67"/>
  <c r="M495" i="67"/>
  <c r="M582" i="67"/>
  <c r="M885" i="67"/>
  <c r="M734" i="67"/>
  <c r="M277" i="67"/>
  <c r="M430" i="67"/>
  <c r="M124" i="67"/>
  <c r="AU617" i="67"/>
  <c r="AU768" i="67"/>
  <c r="AW618" i="67"/>
  <c r="AW769" i="67"/>
  <c r="AW314" i="67"/>
  <c r="AU498" i="67"/>
  <c r="AU346" i="67"/>
  <c r="AU650" i="67"/>
  <c r="AU40" i="67"/>
  <c r="AU193" i="67"/>
  <c r="AU801" i="67"/>
  <c r="AU822" i="67"/>
  <c r="AU671" i="67"/>
  <c r="AU61" i="67"/>
  <c r="AU214" i="67"/>
  <c r="AU519" i="67"/>
  <c r="AU367" i="67"/>
  <c r="AV76" i="67"/>
  <c r="AV686" i="67"/>
  <c r="AV534" i="67"/>
  <c r="AV229" i="67"/>
  <c r="AV382" i="67"/>
  <c r="AV837" i="67"/>
  <c r="AW447" i="67"/>
  <c r="AW751" i="67"/>
  <c r="AW294" i="67"/>
  <c r="AW599" i="67"/>
  <c r="AW141" i="67"/>
  <c r="AW902" i="67"/>
  <c r="AU174" i="67"/>
  <c r="AU631" i="67"/>
  <c r="AU327" i="67"/>
  <c r="AU21" i="67"/>
  <c r="AU782" i="67"/>
  <c r="AU479" i="67"/>
  <c r="AV367" i="67"/>
  <c r="AV671" i="67"/>
  <c r="AV519" i="67"/>
  <c r="AV61" i="67"/>
  <c r="AV822" i="67"/>
  <c r="AV214" i="67"/>
  <c r="O38" i="67"/>
  <c r="O799" i="67"/>
  <c r="O344" i="67"/>
  <c r="O648" i="67"/>
  <c r="O191" i="67"/>
  <c r="O496" i="67"/>
  <c r="O325" i="67"/>
  <c r="O477" i="67"/>
  <c r="O629" i="67"/>
  <c r="O19" i="67"/>
  <c r="O172" i="67"/>
  <c r="R124" i="67"/>
  <c r="O835" i="67"/>
  <c r="O74" i="67"/>
  <c r="O227" i="67"/>
  <c r="O532" i="67"/>
  <c r="O380" i="67"/>
  <c r="O684" i="67"/>
  <c r="P446" i="67"/>
  <c r="O614" i="67"/>
  <c r="O765" i="67"/>
  <c r="N140" i="67"/>
  <c r="N598" i="67"/>
  <c r="N750" i="67"/>
  <c r="N446" i="67"/>
  <c r="N293" i="67"/>
  <c r="N901" i="67"/>
  <c r="P597" i="67"/>
  <c r="P749" i="67"/>
  <c r="P900" i="67"/>
  <c r="P292" i="67"/>
  <c r="P445" i="67"/>
  <c r="P139" i="67"/>
  <c r="M646" i="67"/>
  <c r="H161" i="65"/>
  <c r="N189" i="67"/>
  <c r="N646" i="67"/>
  <c r="N342" i="67"/>
  <c r="N494" i="67"/>
  <c r="N36" i="67"/>
  <c r="N797" i="67"/>
  <c r="T276" i="67"/>
  <c r="T429" i="67"/>
  <c r="T581" i="67"/>
  <c r="T733" i="67"/>
  <c r="T884" i="67"/>
  <c r="T123" i="67"/>
  <c r="S580" i="67"/>
  <c r="S428" i="67"/>
  <c r="S275" i="67"/>
  <c r="S732" i="67"/>
  <c r="S883" i="67"/>
  <c r="S122" i="67"/>
  <c r="P899" i="67"/>
  <c r="P444" i="67"/>
  <c r="P291" i="67"/>
  <c r="P748" i="67"/>
  <c r="P596" i="67"/>
  <c r="P138" i="67"/>
  <c r="V582" i="67"/>
  <c r="V277" i="67"/>
  <c r="V734" i="67"/>
  <c r="V430" i="67"/>
  <c r="V885" i="67"/>
  <c r="V124" i="67"/>
  <c r="T36" i="67"/>
  <c r="T797" i="67"/>
  <c r="T342" i="67"/>
  <c r="T189" i="67"/>
  <c r="T646" i="67"/>
  <c r="T494" i="67"/>
  <c r="Q628" i="67"/>
  <c r="Q476" i="67"/>
  <c r="T277" i="67"/>
  <c r="T885" i="67"/>
  <c r="T430" i="67"/>
  <c r="T124" i="67"/>
  <c r="T582" i="67"/>
  <c r="T734" i="67"/>
  <c r="W582" i="67"/>
  <c r="W734" i="67"/>
  <c r="W277" i="67"/>
  <c r="W124" i="67"/>
  <c r="W430" i="67"/>
  <c r="W885" i="67"/>
  <c r="V750" i="67"/>
  <c r="V293" i="67"/>
  <c r="V901" i="67"/>
  <c r="V140" i="67"/>
  <c r="V446" i="67"/>
  <c r="V598" i="67"/>
  <c r="V616" i="67"/>
  <c r="V767" i="67"/>
  <c r="M161" i="65"/>
  <c r="T615" i="67"/>
  <c r="T766" i="67"/>
  <c r="T580" i="67"/>
  <c r="T428" i="67"/>
  <c r="T732" i="67"/>
  <c r="T275" i="67"/>
  <c r="T883" i="67"/>
  <c r="T122" i="67"/>
  <c r="V342" i="67"/>
  <c r="V189" i="67"/>
  <c r="V797" i="67"/>
  <c r="AP20" i="68"/>
  <c r="V646" i="67"/>
  <c r="V36" i="67"/>
  <c r="V494" i="67"/>
  <c r="V647" i="67"/>
  <c r="V495" i="67"/>
  <c r="V343" i="67"/>
  <c r="V37" i="67"/>
  <c r="V190" i="67"/>
  <c r="V798" i="67"/>
  <c r="W750" i="67"/>
  <c r="W293" i="67"/>
  <c r="W901" i="67"/>
  <c r="W598" i="67"/>
  <c r="W140" i="67"/>
  <c r="W446" i="67"/>
  <c r="W767" i="67"/>
  <c r="W616" i="67"/>
  <c r="X749" i="67"/>
  <c r="X292" i="67"/>
  <c r="X139" i="67"/>
  <c r="X597" i="67"/>
  <c r="X900" i="67"/>
  <c r="X445" i="67"/>
  <c r="N161" i="65"/>
  <c r="X38" i="67"/>
  <c r="Y628" i="67"/>
  <c r="Y476" i="67"/>
  <c r="Y324" i="67"/>
  <c r="Y171" i="67"/>
  <c r="Y18" i="67"/>
  <c r="U732" i="67"/>
  <c r="U275" i="67"/>
  <c r="U122" i="67"/>
  <c r="AO53" i="68"/>
  <c r="U428" i="67"/>
  <c r="U883" i="67"/>
  <c r="U580" i="67"/>
  <c r="U342" i="67"/>
  <c r="U646" i="67"/>
  <c r="U36" i="67"/>
  <c r="U494" i="67"/>
  <c r="U189" i="67"/>
  <c r="U797" i="67"/>
  <c r="AA899" i="67"/>
  <c r="AA596" i="67"/>
  <c r="AA444" i="67"/>
  <c r="AA291" i="67"/>
  <c r="AA138" i="67"/>
  <c r="AA748" i="67"/>
  <c r="AB189" i="67"/>
  <c r="AB494" i="67"/>
  <c r="AB797" i="67"/>
  <c r="AB342" i="67"/>
  <c r="AB36" i="67"/>
  <c r="AB646" i="67"/>
  <c r="AB496" i="67"/>
  <c r="AB344" i="67"/>
  <c r="AB38" i="67"/>
  <c r="AB648" i="67"/>
  <c r="AB799" i="67"/>
  <c r="AB191" i="67"/>
  <c r="AC765" i="67"/>
  <c r="AA326" i="67"/>
  <c r="AA781" i="67"/>
  <c r="AA478" i="67"/>
  <c r="AA630" i="67"/>
  <c r="AA173" i="67"/>
  <c r="AA20" i="67"/>
  <c r="AB291" i="67"/>
  <c r="AB444" i="67"/>
  <c r="AB596" i="67"/>
  <c r="AB748" i="67"/>
  <c r="AB138" i="67"/>
  <c r="AB899" i="67"/>
  <c r="AA292" i="67"/>
  <c r="AA597" i="67"/>
  <c r="AA900" i="67"/>
  <c r="AA445" i="67"/>
  <c r="AA139" i="67"/>
  <c r="AA749" i="67"/>
  <c r="AC630" i="67"/>
  <c r="AC20" i="67"/>
  <c r="AC478" i="67"/>
  <c r="AC326" i="67"/>
  <c r="AC173" i="67"/>
  <c r="AC781" i="67"/>
  <c r="AC495" i="67"/>
  <c r="AC343" i="67"/>
  <c r="AC647" i="67"/>
  <c r="AC798" i="67"/>
  <c r="AC190" i="67"/>
  <c r="AC37" i="67"/>
  <c r="AD496" i="67"/>
  <c r="AD38" i="67"/>
  <c r="AD648" i="67"/>
  <c r="AD799" i="67"/>
  <c r="AD344" i="67"/>
  <c r="AD191" i="67"/>
  <c r="Q159" i="65"/>
  <c r="AE495" i="67"/>
  <c r="AE343" i="67"/>
  <c r="AE190" i="67"/>
  <c r="AE798" i="67"/>
  <c r="AE37" i="67"/>
  <c r="AE647" i="67"/>
  <c r="AF325" i="67"/>
  <c r="AF629" i="67"/>
  <c r="AF477" i="67"/>
  <c r="AF19" i="67"/>
  <c r="AF172" i="67"/>
  <c r="AD446" i="67"/>
  <c r="AD901" i="67"/>
  <c r="AD750" i="67"/>
  <c r="AD598" i="67"/>
  <c r="AD140" i="67"/>
  <c r="AD293" i="67"/>
  <c r="AF598" i="67"/>
  <c r="AF75" i="67"/>
  <c r="AA598" i="67"/>
  <c r="AA750" i="67"/>
  <c r="AA140" i="67"/>
  <c r="AA293" i="67"/>
  <c r="AA446" i="67"/>
  <c r="AA901" i="67"/>
  <c r="AB446" i="67"/>
  <c r="AB901" i="67"/>
  <c r="AB140" i="67"/>
  <c r="AB293" i="67"/>
  <c r="AB750" i="67"/>
  <c r="AB598" i="67"/>
  <c r="AC123" i="67"/>
  <c r="AC276" i="67"/>
  <c r="AC429" i="67"/>
  <c r="AC884" i="67"/>
  <c r="AC733" i="67"/>
  <c r="AC581" i="67"/>
  <c r="AE139" i="67"/>
  <c r="AE749" i="67"/>
  <c r="AE900" i="67"/>
  <c r="AE597" i="67"/>
  <c r="AE445" i="67"/>
  <c r="AE292" i="67"/>
  <c r="AG733" i="67"/>
  <c r="AG276" i="67"/>
  <c r="AG429" i="67"/>
  <c r="AG884" i="67"/>
  <c r="AG581" i="67"/>
  <c r="AG123" i="67"/>
  <c r="AI325" i="67"/>
  <c r="AH647" i="67"/>
  <c r="AH495" i="67"/>
  <c r="AH343" i="67"/>
  <c r="AH37" i="67"/>
  <c r="AH190" i="67"/>
  <c r="AH798" i="67"/>
  <c r="AE428" i="67"/>
  <c r="AE732" i="67"/>
  <c r="AE580" i="67"/>
  <c r="AE275" i="67"/>
  <c r="AE122" i="67"/>
  <c r="AE883" i="67"/>
  <c r="AE596" i="67"/>
  <c r="AE291" i="67"/>
  <c r="AE138" i="67"/>
  <c r="AE444" i="67"/>
  <c r="AY54" i="68"/>
  <c r="AE899" i="67"/>
  <c r="AE748" i="67"/>
  <c r="AJ765" i="67"/>
  <c r="AJ614" i="67"/>
  <c r="AI326" i="67"/>
  <c r="AI630" i="67"/>
  <c r="AI478" i="67"/>
  <c r="AI173" i="67"/>
  <c r="AI20" i="67"/>
  <c r="AI781" i="67"/>
  <c r="AJ38" i="67"/>
  <c r="AJ344" i="67"/>
  <c r="AJ496" i="67"/>
  <c r="AJ799" i="67"/>
  <c r="AJ648" i="67"/>
  <c r="AJ191" i="67"/>
  <c r="AI18" i="67"/>
  <c r="AI324" i="67"/>
  <c r="AI171" i="67"/>
  <c r="AI476" i="67"/>
  <c r="AI628" i="67"/>
  <c r="AG342" i="67"/>
  <c r="AG494" i="67"/>
  <c r="AL629" i="67"/>
  <c r="AL172" i="67"/>
  <c r="AL19" i="67"/>
  <c r="AL325" i="67"/>
  <c r="AL477" i="67"/>
  <c r="AO750" i="67"/>
  <c r="AO901" i="67"/>
  <c r="AO293" i="67"/>
  <c r="AO140" i="67"/>
  <c r="AO598" i="67"/>
  <c r="AO446" i="67"/>
  <c r="AI685" i="67"/>
  <c r="AI381" i="67"/>
  <c r="AI533" i="67"/>
  <c r="AI836" i="67"/>
  <c r="AI75" i="67"/>
  <c r="AI228" i="67"/>
  <c r="AK138" i="67"/>
  <c r="AK899" i="67"/>
  <c r="AK748" i="67"/>
  <c r="AK596" i="67"/>
  <c r="BE54" i="68"/>
  <c r="AK291" i="67"/>
  <c r="AK444" i="67"/>
  <c r="AL615" i="67"/>
  <c r="AL766" i="67"/>
  <c r="AN885" i="67"/>
  <c r="AN582" i="67"/>
  <c r="AN277" i="67"/>
  <c r="AN734" i="67"/>
  <c r="AN430" i="67"/>
  <c r="AN124" i="67"/>
  <c r="AP798" i="67"/>
  <c r="AH429" i="67"/>
  <c r="AH733" i="67"/>
  <c r="AH581" i="67"/>
  <c r="AH276" i="67"/>
  <c r="AH884" i="67"/>
  <c r="AH123" i="67"/>
  <c r="AH74" i="67"/>
  <c r="AH227" i="67"/>
  <c r="AH835" i="67"/>
  <c r="AH532" i="67"/>
  <c r="AH684" i="67"/>
  <c r="AH380" i="67"/>
  <c r="AE210" i="67"/>
  <c r="AE57" i="67"/>
  <c r="AE363" i="67"/>
  <c r="AE818" i="67"/>
  <c r="AE515" i="67"/>
  <c r="AJ750" i="67"/>
  <c r="AJ901" i="67"/>
  <c r="AJ598" i="67"/>
  <c r="AJ293" i="67"/>
  <c r="AJ446" i="67"/>
  <c r="AJ140" i="67"/>
  <c r="W159" i="65"/>
  <c r="AK326" i="67"/>
  <c r="AK781" i="67"/>
  <c r="AK173" i="67"/>
  <c r="AK630" i="67"/>
  <c r="AK20" i="67"/>
  <c r="AK478" i="67"/>
  <c r="AL798" i="67"/>
  <c r="AL495" i="67"/>
  <c r="AL190" i="67"/>
  <c r="AL37" i="67"/>
  <c r="AL647" i="67"/>
  <c r="AL343" i="67"/>
  <c r="AK324" i="67"/>
  <c r="AK18" i="67"/>
  <c r="AK171" i="67"/>
  <c r="AK628" i="67"/>
  <c r="AK476" i="67"/>
  <c r="AM191" i="67"/>
  <c r="AM648" i="67"/>
  <c r="AM496" i="67"/>
  <c r="AM344" i="67"/>
  <c r="AM799" i="67"/>
  <c r="AM38" i="67"/>
  <c r="AL835" i="67"/>
  <c r="AL684" i="67"/>
  <c r="AL74" i="67"/>
  <c r="AL380" i="67"/>
  <c r="AL532" i="67"/>
  <c r="AL227" i="67"/>
  <c r="AN750" i="67"/>
  <c r="AP901" i="67"/>
  <c r="AP446" i="67"/>
  <c r="AP140" i="67"/>
  <c r="AP598" i="67"/>
  <c r="AP293" i="67"/>
  <c r="AP750" i="67"/>
  <c r="AK767" i="67"/>
  <c r="AK616" i="67"/>
  <c r="AM18" i="67"/>
  <c r="AN630" i="67"/>
  <c r="AN326" i="67"/>
  <c r="AN173" i="67"/>
  <c r="AN20" i="67"/>
  <c r="AN478" i="67"/>
  <c r="AN781" i="67"/>
  <c r="AS496" i="67"/>
  <c r="AS799" i="67"/>
  <c r="AS38" i="67"/>
  <c r="AS344" i="67"/>
  <c r="AS191" i="67"/>
  <c r="AS648" i="67"/>
  <c r="AS495" i="67"/>
  <c r="AS343" i="67"/>
  <c r="AS37" i="67"/>
  <c r="AS647" i="67"/>
  <c r="AS190" i="67"/>
  <c r="AS798" i="67"/>
  <c r="AT781" i="67"/>
  <c r="AT630" i="67"/>
  <c r="AT326" i="67"/>
  <c r="AT478" i="67"/>
  <c r="AT173" i="67"/>
  <c r="AT20" i="67"/>
  <c r="AS628" i="67"/>
  <c r="AS324" i="67"/>
  <c r="AS18" i="67"/>
  <c r="AS476" i="67"/>
  <c r="AS171" i="67"/>
  <c r="AV629" i="67"/>
  <c r="AV172" i="67"/>
  <c r="AV477" i="67"/>
  <c r="AV325" i="67"/>
  <c r="AV19" i="67"/>
  <c r="AV885" i="67"/>
  <c r="AV734" i="67"/>
  <c r="AV277" i="67"/>
  <c r="AV430" i="67"/>
  <c r="AV582" i="67"/>
  <c r="AV124" i="67"/>
  <c r="AW781" i="67"/>
  <c r="AW326" i="67"/>
  <c r="AW20" i="67"/>
  <c r="AW173" i="67"/>
  <c r="AW630" i="67"/>
  <c r="AW478" i="67"/>
  <c r="AN614" i="67"/>
  <c r="AN765" i="67"/>
  <c r="AN189" i="67"/>
  <c r="AN342" i="67"/>
  <c r="AN646" i="67"/>
  <c r="AN797" i="67"/>
  <c r="AN494" i="67"/>
  <c r="AN36" i="67"/>
  <c r="AS901" i="67"/>
  <c r="AS750" i="67"/>
  <c r="AS140" i="67"/>
  <c r="AS598" i="67"/>
  <c r="AS293" i="67"/>
  <c r="AS446" i="67"/>
  <c r="AO324" i="67"/>
  <c r="AO171" i="67"/>
  <c r="AO628" i="67"/>
  <c r="AO476" i="67"/>
  <c r="AO18" i="67"/>
  <c r="AO797" i="67"/>
  <c r="AO646" i="67"/>
  <c r="AO36" i="67"/>
  <c r="AO494" i="67"/>
  <c r="AO189" i="67"/>
  <c r="AO342" i="67"/>
  <c r="AQ765" i="67"/>
  <c r="AQ614" i="67"/>
  <c r="AQ381" i="67"/>
  <c r="AQ533" i="67"/>
  <c r="AQ836" i="67"/>
  <c r="AQ228" i="67"/>
  <c r="AQ685" i="67"/>
  <c r="AQ75" i="67"/>
  <c r="AQ293" i="67"/>
  <c r="AQ140" i="67"/>
  <c r="AQ750" i="67"/>
  <c r="AQ446" i="67"/>
  <c r="AQ901" i="67"/>
  <c r="AQ598" i="67"/>
  <c r="AS685" i="67"/>
  <c r="AS228" i="67"/>
  <c r="AS381" i="67"/>
  <c r="AS533" i="67"/>
  <c r="AS836" i="67"/>
  <c r="AS75" i="67"/>
  <c r="AU291" i="67"/>
  <c r="AU138" i="67"/>
  <c r="AU444" i="67"/>
  <c r="AU899" i="67"/>
  <c r="AU596" i="67"/>
  <c r="AU748" i="67"/>
  <c r="AV781" i="67"/>
  <c r="AV173" i="67"/>
  <c r="AV478" i="67"/>
  <c r="AV326" i="67"/>
  <c r="AV20" i="67"/>
  <c r="AV630" i="67"/>
  <c r="AV647" i="67"/>
  <c r="AV495" i="67"/>
  <c r="AV37" i="67"/>
  <c r="AV190" i="67"/>
  <c r="AV798" i="67"/>
  <c r="AV343" i="67"/>
  <c r="AW191" i="67"/>
  <c r="AW648" i="67"/>
  <c r="AW496" i="67"/>
  <c r="AW344" i="67"/>
  <c r="AW799" i="67"/>
  <c r="AW38" i="67"/>
  <c r="AW901" i="67"/>
  <c r="AW598" i="67"/>
  <c r="AW750" i="67"/>
  <c r="AW293" i="67"/>
  <c r="AW446" i="67"/>
  <c r="AW140" i="67"/>
  <c r="AF159" i="65"/>
  <c r="AV750" i="67"/>
  <c r="AV140" i="67"/>
  <c r="AV901" i="67"/>
  <c r="AV598" i="67"/>
  <c r="AV293" i="67"/>
  <c r="AV446" i="67"/>
  <c r="AW749" i="67"/>
  <c r="AW445" i="67"/>
  <c r="AW597" i="67"/>
  <c r="AW139" i="67"/>
  <c r="AW292" i="67"/>
  <c r="AW900" i="67"/>
  <c r="AW582" i="67"/>
  <c r="AW124" i="67"/>
  <c r="AW430" i="67"/>
  <c r="AW277" i="67"/>
  <c r="AW734" i="67"/>
  <c r="AW885" i="67"/>
  <c r="L39" i="67"/>
  <c r="L800" i="67"/>
  <c r="L649" i="67"/>
  <c r="L192" i="67"/>
  <c r="L497" i="67"/>
  <c r="L345" i="67"/>
  <c r="L479" i="67"/>
  <c r="L631" i="67"/>
  <c r="L782" i="67"/>
  <c r="L21" i="67"/>
  <c r="L174" i="67"/>
  <c r="L327" i="67"/>
  <c r="M902" i="67"/>
  <c r="M599" i="67"/>
  <c r="M141" i="67"/>
  <c r="M751" i="67"/>
  <c r="M294" i="67"/>
  <c r="M447" i="67"/>
  <c r="K617" i="67"/>
  <c r="K768" i="67"/>
  <c r="K214" i="67"/>
  <c r="K519" i="67"/>
  <c r="K671" i="67"/>
  <c r="K61" i="67"/>
  <c r="K367" i="67"/>
  <c r="K822" i="67"/>
  <c r="N618" i="67"/>
  <c r="N769" i="67"/>
  <c r="N314" i="67"/>
  <c r="L328" i="67"/>
  <c r="L480" i="67"/>
  <c r="Q599" i="67"/>
  <c r="Q141" i="67"/>
  <c r="Q447" i="67"/>
  <c r="Q751" i="67"/>
  <c r="Q294" i="67"/>
  <c r="Q902" i="67"/>
  <c r="N192" i="67"/>
  <c r="N497" i="67"/>
  <c r="N800" i="67"/>
  <c r="N345" i="67"/>
  <c r="N39" i="67"/>
  <c r="N649" i="67"/>
  <c r="O783" i="67"/>
  <c r="O328" i="67"/>
  <c r="O22" i="67"/>
  <c r="O632" i="67"/>
  <c r="O175" i="67"/>
  <c r="O480" i="67"/>
  <c r="Q768" i="67"/>
  <c r="Q617" i="67"/>
  <c r="S886" i="67"/>
  <c r="S583" i="67"/>
  <c r="S125" i="67"/>
  <c r="S431" i="67"/>
  <c r="S278" i="67"/>
  <c r="S735" i="67"/>
  <c r="Q314" i="67"/>
  <c r="Q618" i="67"/>
  <c r="Q769" i="67"/>
  <c r="R432" i="67"/>
  <c r="R279" i="67"/>
  <c r="R736" i="67"/>
  <c r="R887" i="67"/>
  <c r="R584" i="67"/>
  <c r="R126" i="67"/>
  <c r="U649" i="67"/>
  <c r="U192" i="67"/>
  <c r="U345" i="67"/>
  <c r="U39" i="67"/>
  <c r="U800" i="67"/>
  <c r="U497" i="67"/>
  <c r="T886" i="67"/>
  <c r="T125" i="67"/>
  <c r="T583" i="67"/>
  <c r="T431" i="67"/>
  <c r="T735" i="67"/>
  <c r="T278" i="67"/>
  <c r="AA768" i="67"/>
  <c r="AA617" i="67"/>
  <c r="K735" i="67"/>
  <c r="K278" i="67"/>
  <c r="K125" i="67"/>
  <c r="K431" i="67"/>
  <c r="K886" i="67"/>
  <c r="K583" i="67"/>
  <c r="K632" i="67"/>
  <c r="K328" i="67"/>
  <c r="K480" i="67"/>
  <c r="K783" i="67"/>
  <c r="K22" i="67"/>
  <c r="K175" i="67"/>
  <c r="L768" i="67"/>
  <c r="L617" i="67"/>
  <c r="K314" i="67"/>
  <c r="K618" i="67"/>
  <c r="K769" i="67"/>
  <c r="M617" i="67"/>
  <c r="M768" i="67"/>
  <c r="M752" i="67"/>
  <c r="M600" i="67"/>
  <c r="M584" i="67"/>
  <c r="M126" i="67"/>
  <c r="M279" i="67"/>
  <c r="M432" i="67"/>
  <c r="M887" i="67"/>
  <c r="M736" i="67"/>
  <c r="M886" i="67"/>
  <c r="M735" i="67"/>
  <c r="M583" i="67"/>
  <c r="M125" i="67"/>
  <c r="M278" i="67"/>
  <c r="M431" i="67"/>
  <c r="P314" i="67"/>
  <c r="P618" i="67"/>
  <c r="P769" i="67"/>
  <c r="O686" i="67"/>
  <c r="O534" i="67"/>
  <c r="O229" i="67"/>
  <c r="O382" i="67"/>
  <c r="O837" i="67"/>
  <c r="O76" i="67"/>
  <c r="O431" i="67"/>
  <c r="O735" i="67"/>
  <c r="O583" i="67"/>
  <c r="O278" i="67"/>
  <c r="O886" i="67"/>
  <c r="O125" i="67"/>
  <c r="P735" i="67"/>
  <c r="P278" i="67"/>
  <c r="P886" i="67"/>
  <c r="P125" i="67"/>
  <c r="P583" i="67"/>
  <c r="P431" i="67"/>
  <c r="Q192" i="67"/>
  <c r="Q800" i="67"/>
  <c r="Q649" i="67"/>
  <c r="Q345" i="67"/>
  <c r="Q39" i="67"/>
  <c r="Q497" i="67"/>
  <c r="N886" i="67"/>
  <c r="N735" i="67"/>
  <c r="N125" i="67"/>
  <c r="N583" i="67"/>
  <c r="N431" i="67"/>
  <c r="N278" i="67"/>
  <c r="O279" i="67"/>
  <c r="O584" i="67"/>
  <c r="O126" i="67"/>
  <c r="O887" i="67"/>
  <c r="O432" i="67"/>
  <c r="O736" i="67"/>
  <c r="P649" i="67"/>
  <c r="P497" i="67"/>
  <c r="P39" i="67"/>
  <c r="P192" i="67"/>
  <c r="P345" i="67"/>
  <c r="P800" i="67"/>
  <c r="Q213" i="67"/>
  <c r="Q518" i="67"/>
  <c r="Q60" i="67"/>
  <c r="Q821" i="67"/>
  <c r="Q366" i="67"/>
  <c r="R800" i="67"/>
  <c r="R649" i="67"/>
  <c r="R497" i="67"/>
  <c r="R39" i="67"/>
  <c r="R192" i="67"/>
  <c r="R345" i="67"/>
  <c r="R769" i="67"/>
  <c r="R314" i="67"/>
  <c r="R618" i="67"/>
  <c r="T649" i="67"/>
  <c r="T345" i="67"/>
  <c r="T497" i="67"/>
  <c r="T800" i="67"/>
  <c r="T192" i="67"/>
  <c r="T39" i="67"/>
  <c r="W141" i="67"/>
  <c r="W447" i="67"/>
  <c r="W751" i="67"/>
  <c r="W902" i="67"/>
  <c r="W294" i="67"/>
  <c r="W599" i="67"/>
  <c r="V39" i="67"/>
  <c r="V649" i="67"/>
  <c r="V800" i="67"/>
  <c r="V192" i="67"/>
  <c r="V497" i="67"/>
  <c r="V345" i="67"/>
  <c r="W479" i="67"/>
  <c r="W327" i="67"/>
  <c r="W21" i="67"/>
  <c r="W782" i="67"/>
  <c r="W631" i="67"/>
  <c r="W174" i="67"/>
  <c r="T327" i="67"/>
  <c r="T21" i="67"/>
  <c r="T782" i="67"/>
  <c r="T479" i="67"/>
  <c r="T631" i="67"/>
  <c r="T174" i="67"/>
  <c r="T447" i="67"/>
  <c r="T141" i="67"/>
  <c r="T902" i="67"/>
  <c r="T751" i="67"/>
  <c r="T599" i="67"/>
  <c r="T294" i="67"/>
  <c r="V617" i="67"/>
  <c r="V768" i="67"/>
  <c r="V583" i="67"/>
  <c r="V125" i="67"/>
  <c r="V431" i="67"/>
  <c r="V735" i="67"/>
  <c r="V886" i="67"/>
  <c r="V278" i="67"/>
  <c r="Z278" i="67"/>
  <c r="Z886" i="67"/>
  <c r="Z125" i="67"/>
  <c r="Z431" i="67"/>
  <c r="Z735" i="67"/>
  <c r="Z583" i="67"/>
  <c r="Z617" i="67"/>
  <c r="Z768" i="67"/>
  <c r="Y278" i="67"/>
  <c r="Y125" i="67"/>
  <c r="Y735" i="67"/>
  <c r="Y886" i="67"/>
  <c r="Y583" i="67"/>
  <c r="Y431" i="67"/>
  <c r="AB431" i="67"/>
  <c r="AB278" i="67"/>
  <c r="AB886" i="67"/>
  <c r="AB583" i="67"/>
  <c r="AB125" i="67"/>
  <c r="AB735" i="67"/>
  <c r="X768" i="67"/>
  <c r="X617" i="67"/>
  <c r="X192" i="67"/>
  <c r="X345" i="67"/>
  <c r="X649" i="67"/>
  <c r="X39" i="67"/>
  <c r="X497" i="67"/>
  <c r="X800" i="67"/>
  <c r="AA382" i="67"/>
  <c r="AA534" i="67"/>
  <c r="AA229" i="67"/>
  <c r="AA76" i="67"/>
  <c r="AA837" i="67"/>
  <c r="AA686" i="67"/>
  <c r="Y366" i="67"/>
  <c r="Y518" i="67"/>
  <c r="Y60" i="67"/>
  <c r="Y821" i="67"/>
  <c r="Y213" i="67"/>
  <c r="AC649" i="67"/>
  <c r="AC497" i="67"/>
  <c r="AC192" i="67"/>
  <c r="AC39" i="67"/>
  <c r="AC800" i="67"/>
  <c r="AC345" i="67"/>
  <c r="AE229" i="67"/>
  <c r="AE534" i="67"/>
  <c r="AE382" i="67"/>
  <c r="AE686" i="67"/>
  <c r="AE837" i="67"/>
  <c r="AE76" i="67"/>
  <c r="AG631" i="67"/>
  <c r="AG327" i="67"/>
  <c r="AG21" i="67"/>
  <c r="AG479" i="67"/>
  <c r="AG782" i="67"/>
  <c r="AG174" i="67"/>
  <c r="AG192" i="67"/>
  <c r="AG800" i="67"/>
  <c r="AG649" i="67"/>
  <c r="AG345" i="67"/>
  <c r="AG39" i="67"/>
  <c r="AG497" i="67"/>
  <c r="AE447" i="67"/>
  <c r="AE902" i="67"/>
  <c r="AE751" i="67"/>
  <c r="AE599" i="67"/>
  <c r="AE141" i="67"/>
  <c r="AE294" i="67"/>
  <c r="AD192" i="67"/>
  <c r="AD649" i="67"/>
  <c r="AD497" i="67"/>
  <c r="AD345" i="67"/>
  <c r="AD800" i="67"/>
  <c r="AD39" i="67"/>
  <c r="AE278" i="67"/>
  <c r="AE125" i="67"/>
  <c r="AE431" i="67"/>
  <c r="AE886" i="67"/>
  <c r="AE583" i="67"/>
  <c r="AE735" i="67"/>
  <c r="AF174" i="67"/>
  <c r="AF21" i="67"/>
  <c r="AF782" i="67"/>
  <c r="AF327" i="67"/>
  <c r="AF631" i="67"/>
  <c r="AF479" i="67"/>
  <c r="AE518" i="67"/>
  <c r="AE213" i="67"/>
  <c r="AE366" i="67"/>
  <c r="AE60" i="67"/>
  <c r="AE821" i="67"/>
  <c r="AH382" i="67"/>
  <c r="AH534" i="67"/>
  <c r="AH229" i="67"/>
  <c r="AH837" i="67"/>
  <c r="AH686" i="67"/>
  <c r="AH76" i="67"/>
  <c r="AG60" i="67"/>
  <c r="AG821" i="67"/>
  <c r="AG213" i="67"/>
  <c r="AG518" i="67"/>
  <c r="AG366" i="67"/>
  <c r="AI631" i="67"/>
  <c r="AI21" i="67"/>
  <c r="AI174" i="67"/>
  <c r="AI479" i="67"/>
  <c r="AI782" i="67"/>
  <c r="AI327" i="67"/>
  <c r="AK782" i="67"/>
  <c r="AK327" i="67"/>
  <c r="AK631" i="67"/>
  <c r="AK479" i="67"/>
  <c r="AK174" i="67"/>
  <c r="AK21" i="67"/>
  <c r="AH886" i="67"/>
  <c r="AH278" i="67"/>
  <c r="AH583" i="67"/>
  <c r="AH125" i="67"/>
  <c r="AH431" i="67"/>
  <c r="AH735" i="67"/>
  <c r="AK886" i="67"/>
  <c r="AK125" i="67"/>
  <c r="AK431" i="67"/>
  <c r="AK735" i="67"/>
  <c r="AK583" i="67"/>
  <c r="AK278" i="67"/>
  <c r="AN782" i="67"/>
  <c r="AN631" i="67"/>
  <c r="AN327" i="67"/>
  <c r="AN21" i="67"/>
  <c r="AN174" i="67"/>
  <c r="AN479" i="67"/>
  <c r="AO346" i="67"/>
  <c r="AQ800" i="67"/>
  <c r="AQ649" i="67"/>
  <c r="AQ345" i="67"/>
  <c r="AQ39" i="67"/>
  <c r="AQ497" i="67"/>
  <c r="AQ192" i="67"/>
  <c r="AQ367" i="67"/>
  <c r="AQ822" i="67"/>
  <c r="AQ519" i="67"/>
  <c r="AQ671" i="67"/>
  <c r="AQ214" i="67"/>
  <c r="AQ61" i="67"/>
  <c r="AS769" i="67"/>
  <c r="AS314" i="67"/>
  <c r="AS618" i="67"/>
  <c r="AE600" i="67"/>
  <c r="AE903" i="67"/>
  <c r="AE752" i="67"/>
  <c r="AE448" i="67"/>
  <c r="AE295" i="67"/>
  <c r="AE142" i="67"/>
  <c r="X214" i="67"/>
  <c r="X367" i="67"/>
  <c r="X519" i="67"/>
  <c r="X671" i="67"/>
  <c r="X822" i="67"/>
  <c r="X61" i="67"/>
  <c r="V783" i="67"/>
  <c r="V480" i="67"/>
  <c r="V175" i="67"/>
  <c r="V328" i="67"/>
  <c r="V22" i="67"/>
  <c r="V632" i="67"/>
  <c r="V903" i="67"/>
  <c r="V295" i="67"/>
  <c r="V600" i="67"/>
  <c r="V448" i="67"/>
  <c r="V142" i="67"/>
  <c r="V752" i="67"/>
  <c r="V40" i="67"/>
  <c r="V801" i="67"/>
  <c r="V650" i="67"/>
  <c r="V193" i="67"/>
  <c r="V498" i="67"/>
  <c r="V346" i="67"/>
  <c r="AL801" i="67"/>
  <c r="AL650" i="67"/>
  <c r="AL193" i="67"/>
  <c r="AL498" i="67"/>
  <c r="AL346" i="67"/>
  <c r="AL40" i="67"/>
  <c r="AL618" i="67"/>
  <c r="AL769" i="67"/>
  <c r="AL314" i="67"/>
  <c r="AO887" i="67"/>
  <c r="AO736" i="67"/>
  <c r="AO126" i="67"/>
  <c r="AO584" i="67"/>
  <c r="AO432" i="67"/>
  <c r="AO279" i="67"/>
  <c r="AO518" i="67"/>
  <c r="AP279" i="67"/>
  <c r="AP736" i="67"/>
  <c r="AP887" i="67"/>
  <c r="AP584" i="67"/>
  <c r="AP126" i="67"/>
  <c r="AP432" i="67"/>
  <c r="AM175" i="67"/>
  <c r="AM632" i="67"/>
  <c r="AM328" i="67"/>
  <c r="AM480" i="67"/>
  <c r="AM783" i="67"/>
  <c r="AM22" i="67"/>
  <c r="AB314" i="67"/>
  <c r="AB618" i="67"/>
  <c r="AB769" i="67"/>
  <c r="AG769" i="67"/>
  <c r="AG314" i="67"/>
  <c r="AG618" i="67"/>
  <c r="AA61" i="67"/>
  <c r="AA367" i="67"/>
  <c r="AA822" i="67"/>
  <c r="AA519" i="67"/>
  <c r="AA214" i="67"/>
  <c r="AA671" i="67"/>
  <c r="AN431" i="67"/>
  <c r="AN886" i="67"/>
  <c r="AN735" i="67"/>
  <c r="AN583" i="67"/>
  <c r="AN125" i="67"/>
  <c r="AN278" i="67"/>
  <c r="AP174" i="67"/>
  <c r="AP782" i="67"/>
  <c r="AP327" i="67"/>
  <c r="AP631" i="67"/>
  <c r="AP479" i="67"/>
  <c r="AP21" i="67"/>
  <c r="AP650" i="67"/>
  <c r="AP346" i="67"/>
  <c r="AP498" i="67"/>
  <c r="AP801" i="67"/>
  <c r="AP193" i="67"/>
  <c r="AP40" i="67"/>
  <c r="AP519" i="67"/>
  <c r="AP671" i="67"/>
  <c r="AP822" i="67"/>
  <c r="AP61" i="67"/>
  <c r="AP214" i="67"/>
  <c r="AP367" i="67"/>
  <c r="AR174" i="67"/>
  <c r="AR327" i="67"/>
  <c r="AR479" i="67"/>
  <c r="AR631" i="67"/>
  <c r="AR782" i="67"/>
  <c r="AR21" i="67"/>
  <c r="AS768" i="67"/>
  <c r="AS617" i="67"/>
  <c r="AS519" i="67"/>
  <c r="AS214" i="67"/>
  <c r="AS671" i="67"/>
  <c r="AS61" i="67"/>
  <c r="AS367" i="67"/>
  <c r="AS822" i="67"/>
  <c r="S783" i="67"/>
  <c r="S22" i="67"/>
  <c r="S328" i="67"/>
  <c r="S480" i="67"/>
  <c r="S632" i="67"/>
  <c r="S175" i="67"/>
  <c r="AF801" i="67"/>
  <c r="AF650" i="67"/>
  <c r="AF193" i="67"/>
  <c r="AF498" i="67"/>
  <c r="AF346" i="67"/>
  <c r="AF40" i="67"/>
  <c r="AF295" i="67"/>
  <c r="AF142" i="67"/>
  <c r="AF903" i="67"/>
  <c r="AF448" i="67"/>
  <c r="AF752" i="67"/>
  <c r="AF600" i="67"/>
  <c r="AK632" i="67"/>
  <c r="AK480" i="67"/>
  <c r="AK22" i="67"/>
  <c r="AK175" i="67"/>
  <c r="AK328" i="67"/>
  <c r="AK783" i="67"/>
  <c r="AK367" i="67"/>
  <c r="AK519" i="67"/>
  <c r="AK822" i="67"/>
  <c r="AK671" i="67"/>
  <c r="AK214" i="67"/>
  <c r="AK61" i="67"/>
  <c r="AI448" i="67"/>
  <c r="AI142" i="67"/>
  <c r="AI903" i="67"/>
  <c r="AI295" i="67"/>
  <c r="AI752" i="67"/>
  <c r="AI600" i="67"/>
  <c r="AN649" i="67"/>
  <c r="AN192" i="67"/>
  <c r="AN800" i="67"/>
  <c r="AN497" i="67"/>
  <c r="AN39" i="67"/>
  <c r="AN345" i="67"/>
  <c r="AM479" i="67"/>
  <c r="AM21" i="67"/>
  <c r="AM174" i="67"/>
  <c r="AM631" i="67"/>
  <c r="AM782" i="67"/>
  <c r="AM327" i="67"/>
  <c r="AM735" i="67"/>
  <c r="AM278" i="67"/>
  <c r="AM886" i="67"/>
  <c r="AM125" i="67"/>
  <c r="AM583" i="67"/>
  <c r="AM431" i="67"/>
  <c r="AQ479" i="67"/>
  <c r="AQ782" i="67"/>
  <c r="AQ21" i="67"/>
  <c r="AQ174" i="67"/>
  <c r="AQ631" i="67"/>
  <c r="AQ327" i="67"/>
  <c r="AQ518" i="67"/>
  <c r="AR518" i="67"/>
  <c r="AR60" i="67"/>
  <c r="AR821" i="67"/>
  <c r="AR213" i="67"/>
  <c r="AR366" i="67"/>
  <c r="AS174" i="67"/>
  <c r="AS21" i="67"/>
  <c r="AS631" i="67"/>
  <c r="AS327" i="67"/>
  <c r="AS479" i="67"/>
  <c r="AS782" i="67"/>
  <c r="W40" i="67"/>
  <c r="W193" i="67"/>
  <c r="T367" i="67"/>
  <c r="T822" i="67"/>
  <c r="T519" i="67"/>
  <c r="T671" i="67"/>
  <c r="T214" i="67"/>
  <c r="T61" i="67"/>
  <c r="AJ61" i="67"/>
  <c r="AJ519" i="67"/>
  <c r="AJ214" i="67"/>
  <c r="AJ822" i="67"/>
  <c r="AJ367" i="67"/>
  <c r="AJ671" i="67"/>
  <c r="Y214" i="67"/>
  <c r="Y671" i="67"/>
  <c r="Y822" i="67"/>
  <c r="Y519" i="67"/>
  <c r="Y367" i="67"/>
  <c r="Y61" i="67"/>
  <c r="AH367" i="67"/>
  <c r="AH214" i="67"/>
  <c r="AH61" i="67"/>
  <c r="AH671" i="67"/>
  <c r="AH519" i="67"/>
  <c r="AH822" i="67"/>
  <c r="AV886" i="67"/>
  <c r="AV278" i="67"/>
  <c r="AV583" i="67"/>
  <c r="AV431" i="67"/>
  <c r="AV735" i="67"/>
  <c r="AV125" i="67"/>
  <c r="AV21" i="67"/>
  <c r="AV174" i="67"/>
  <c r="AV631" i="67"/>
  <c r="AV327" i="67"/>
  <c r="AV782" i="67"/>
  <c r="AV479" i="67"/>
  <c r="AV617" i="67"/>
  <c r="AV768" i="67"/>
  <c r="AW650" i="67"/>
  <c r="AW498" i="67"/>
  <c r="AW801" i="67"/>
  <c r="AW346" i="67"/>
  <c r="AW40" i="67"/>
  <c r="AW193" i="67"/>
  <c r="L477" i="67"/>
  <c r="L172" i="67"/>
  <c r="L19" i="67"/>
  <c r="L325" i="67"/>
  <c r="L629" i="67"/>
  <c r="D160" i="65"/>
  <c r="AW822" i="67"/>
  <c r="AW214" i="67"/>
  <c r="AW367" i="67"/>
  <c r="AW61" i="67"/>
  <c r="AW519" i="67"/>
  <c r="AW671" i="67"/>
  <c r="M597" i="67"/>
  <c r="M292" i="67"/>
  <c r="M749" i="67"/>
  <c r="M139" i="67"/>
  <c r="M445" i="67"/>
  <c r="M900" i="67"/>
  <c r="M325" i="67"/>
  <c r="M477" i="67"/>
  <c r="M629" i="67"/>
  <c r="M172" i="67"/>
  <c r="M19" i="67"/>
  <c r="AW584" i="67"/>
  <c r="AW279" i="67"/>
  <c r="AW887" i="67"/>
  <c r="AW736" i="67"/>
  <c r="AW126" i="67"/>
  <c r="AW432" i="67"/>
  <c r="AU769" i="67"/>
  <c r="AU314" i="67"/>
  <c r="AU618" i="67"/>
  <c r="AW39" i="67"/>
  <c r="AW649" i="67"/>
  <c r="AW497" i="67"/>
  <c r="AW800" i="67"/>
  <c r="AW192" i="67"/>
  <c r="AW345" i="67"/>
  <c r="L37" i="67"/>
  <c r="L647" i="67"/>
  <c r="L495" i="67"/>
  <c r="L343" i="67"/>
  <c r="L190" i="67"/>
  <c r="L798" i="67"/>
  <c r="M781" i="67"/>
  <c r="M326" i="67"/>
  <c r="M630" i="67"/>
  <c r="M173" i="67"/>
  <c r="M478" i="67"/>
  <c r="M20" i="67"/>
  <c r="P343" i="67"/>
  <c r="P37" i="67"/>
  <c r="P495" i="67"/>
  <c r="P798" i="67"/>
  <c r="P190" i="67"/>
  <c r="P647" i="67"/>
  <c r="R749" i="67"/>
  <c r="R139" i="67"/>
  <c r="R292" i="67"/>
  <c r="R445" i="67"/>
  <c r="R597" i="67"/>
  <c r="R900" i="67"/>
  <c r="R20" i="67"/>
  <c r="Q615" i="67"/>
  <c r="Q766" i="67"/>
  <c r="P766" i="67"/>
  <c r="P615" i="67"/>
  <c r="P630" i="67"/>
  <c r="P781" i="67"/>
  <c r="P326" i="67"/>
  <c r="P173" i="67"/>
  <c r="P478" i="67"/>
  <c r="P20" i="67"/>
  <c r="L18" i="67"/>
  <c r="L324" i="67"/>
  <c r="L171" i="67"/>
  <c r="L628" i="67"/>
  <c r="L476" i="67"/>
  <c r="N582" i="67"/>
  <c r="N277" i="67"/>
  <c r="N430" i="67"/>
  <c r="N124" i="67"/>
  <c r="N885" i="67"/>
  <c r="N734" i="67"/>
  <c r="N616" i="67"/>
  <c r="N767" i="67"/>
  <c r="Q630" i="67"/>
  <c r="Q173" i="67"/>
  <c r="Q478" i="67"/>
  <c r="Q326" i="67"/>
  <c r="Q20" i="67"/>
  <c r="Q781" i="67"/>
  <c r="Q445" i="67"/>
  <c r="Q597" i="67"/>
  <c r="Q292" i="67"/>
  <c r="Q900" i="67"/>
  <c r="Q139" i="67"/>
  <c r="Q749" i="67"/>
  <c r="M428" i="67"/>
  <c r="M122" i="67"/>
  <c r="M580" i="67"/>
  <c r="M275" i="67"/>
  <c r="M883" i="67"/>
  <c r="M732" i="67"/>
  <c r="AG53" i="68"/>
  <c r="N210" i="67"/>
  <c r="N818" i="67"/>
  <c r="N363" i="67"/>
  <c r="N515" i="67"/>
  <c r="N57" i="67"/>
  <c r="K160" i="65"/>
  <c r="T647" i="67"/>
  <c r="T190" i="67"/>
  <c r="T798" i="67"/>
  <c r="T343" i="67"/>
  <c r="T495" i="67"/>
  <c r="T37" i="67"/>
  <c r="V20" i="67"/>
  <c r="V326" i="67"/>
  <c r="V173" i="67"/>
  <c r="V630" i="67"/>
  <c r="V781" i="67"/>
  <c r="V478" i="67"/>
  <c r="U533" i="67"/>
  <c r="U381" i="67"/>
  <c r="U75" i="67"/>
  <c r="U836" i="67"/>
  <c r="U685" i="67"/>
  <c r="U228" i="67"/>
  <c r="V615" i="67"/>
  <c r="V766" i="67"/>
  <c r="Y766" i="67"/>
  <c r="Y615" i="67"/>
  <c r="M160" i="65"/>
  <c r="V380" i="67"/>
  <c r="V684" i="67"/>
  <c r="V227" i="67"/>
  <c r="V835" i="67"/>
  <c r="V532" i="67"/>
  <c r="V74" i="67"/>
  <c r="T765" i="67"/>
  <c r="T614" i="67"/>
  <c r="Y900" i="67"/>
  <c r="Y597" i="67"/>
  <c r="Z343" i="67"/>
  <c r="Z190" i="67"/>
  <c r="Z647" i="67"/>
  <c r="Z798" i="67"/>
  <c r="Z37" i="67"/>
  <c r="Z495" i="67"/>
  <c r="AF648" i="67"/>
  <c r="AA582" i="67"/>
  <c r="AA885" i="67"/>
  <c r="AA430" i="67"/>
  <c r="AA734" i="67"/>
  <c r="AA124" i="67"/>
  <c r="AA277" i="67"/>
  <c r="W494" i="67"/>
  <c r="W646" i="67"/>
  <c r="W342" i="67"/>
  <c r="W797" i="67"/>
  <c r="W36" i="67"/>
  <c r="W189" i="67"/>
  <c r="AA646" i="67"/>
  <c r="AA797" i="67"/>
  <c r="AA494" i="67"/>
  <c r="AA189" i="67"/>
  <c r="AA36" i="67"/>
  <c r="AA342" i="67"/>
  <c r="R160" i="65"/>
  <c r="AB381" i="67"/>
  <c r="AB533" i="67"/>
  <c r="AB836" i="67"/>
  <c r="AB75" i="67"/>
  <c r="AB685" i="67"/>
  <c r="AB228" i="67"/>
  <c r="AC598" i="67"/>
  <c r="AC901" i="67"/>
  <c r="AC750" i="67"/>
  <c r="AC140" i="67"/>
  <c r="AC293" i="67"/>
  <c r="AC446" i="67"/>
  <c r="T161" i="65"/>
  <c r="AC75" i="67"/>
  <c r="AC381" i="67"/>
  <c r="AC836" i="67"/>
  <c r="AC533" i="67"/>
  <c r="AC685" i="67"/>
  <c r="AC228" i="67"/>
  <c r="AE325" i="67"/>
  <c r="AE477" i="67"/>
  <c r="AE172" i="67"/>
  <c r="AE19" i="67"/>
  <c r="AE629" i="67"/>
  <c r="AF615" i="67"/>
  <c r="AF766" i="67"/>
  <c r="AG325" i="67"/>
  <c r="AG629" i="67"/>
  <c r="AG477" i="67"/>
  <c r="AG172" i="67"/>
  <c r="AG19" i="67"/>
  <c r="AB276" i="67"/>
  <c r="AA122" i="67"/>
  <c r="AA428" i="67"/>
  <c r="AA732" i="67"/>
  <c r="AB767" i="67"/>
  <c r="AB616" i="67"/>
  <c r="Y36" i="67"/>
  <c r="Y494" i="67"/>
  <c r="Y797" i="67"/>
  <c r="Y189" i="67"/>
  <c r="Y342" i="67"/>
  <c r="Y646" i="67"/>
  <c r="Y614" i="67"/>
  <c r="Y765" i="67"/>
  <c r="V160" i="65"/>
  <c r="AF380" i="67"/>
  <c r="AF532" i="67"/>
  <c r="AF684" i="67"/>
  <c r="AF835" i="67"/>
  <c r="AF227" i="67"/>
  <c r="AF74" i="67"/>
  <c r="AI799" i="67"/>
  <c r="AI38" i="67"/>
  <c r="AI496" i="67"/>
  <c r="AI191" i="67"/>
  <c r="AI648" i="67"/>
  <c r="AI344" i="67"/>
  <c r="AK292" i="67"/>
  <c r="AK900" i="67"/>
  <c r="AK445" i="67"/>
  <c r="AK597" i="67"/>
  <c r="AK749" i="67"/>
  <c r="AK139" i="67"/>
  <c r="AN445" i="67"/>
  <c r="AN597" i="67"/>
  <c r="AN292" i="67"/>
  <c r="AN139" i="67"/>
  <c r="AN900" i="67"/>
  <c r="AN749" i="67"/>
  <c r="AO798" i="67"/>
  <c r="AO495" i="67"/>
  <c r="AO647" i="67"/>
  <c r="AO190" i="67"/>
  <c r="AO343" i="67"/>
  <c r="AO37" i="67"/>
  <c r="AD596" i="67"/>
  <c r="AD899" i="67"/>
  <c r="AD291" i="67"/>
  <c r="AD444" i="67"/>
  <c r="AD138" i="67"/>
  <c r="AD748" i="67"/>
  <c r="AD275" i="67"/>
  <c r="AD122" i="67"/>
  <c r="AD428" i="67"/>
  <c r="AD580" i="67"/>
  <c r="AD883" i="67"/>
  <c r="AD732" i="67"/>
  <c r="Z161" i="65"/>
  <c r="AK647" i="67"/>
  <c r="AK495" i="67"/>
  <c r="AK343" i="67"/>
  <c r="AK37" i="67"/>
  <c r="AK190" i="67"/>
  <c r="AK798" i="67"/>
  <c r="AK293" i="67"/>
  <c r="AK901" i="67"/>
  <c r="AK140" i="67"/>
  <c r="AK598" i="67"/>
  <c r="AK750" i="67"/>
  <c r="AK446" i="67"/>
  <c r="AL139" i="67"/>
  <c r="AL597" i="67"/>
  <c r="AL900" i="67"/>
  <c r="AL292" i="67"/>
  <c r="AL445" i="67"/>
  <c r="AL749" i="67"/>
  <c r="AJ189" i="67"/>
  <c r="AJ494" i="67"/>
  <c r="AJ342" i="67"/>
  <c r="AJ36" i="67"/>
  <c r="AJ646" i="67"/>
  <c r="AJ797" i="67"/>
  <c r="AF614" i="67"/>
  <c r="AF765" i="67"/>
  <c r="AI580" i="67"/>
  <c r="AI883" i="67"/>
  <c r="AI428" i="67"/>
  <c r="AI732" i="67"/>
  <c r="AI122" i="67"/>
  <c r="AI275" i="67"/>
  <c r="BC53" i="68"/>
  <c r="AK189" i="67"/>
  <c r="AK646" i="67"/>
  <c r="AK797" i="67"/>
  <c r="AK494" i="67"/>
  <c r="AK342" i="67"/>
  <c r="AK36" i="67"/>
  <c r="BE20" i="68"/>
  <c r="AL630" i="67"/>
  <c r="AL478" i="67"/>
  <c r="AL326" i="67"/>
  <c r="AL173" i="67"/>
  <c r="AL781" i="67"/>
  <c r="AL20" i="67"/>
  <c r="AM477" i="67"/>
  <c r="AM325" i="67"/>
  <c r="AM19" i="67"/>
  <c r="AM629" i="67"/>
  <c r="AM172" i="67"/>
  <c r="AN616" i="67"/>
  <c r="AN767" i="67"/>
  <c r="AP685" i="67"/>
  <c r="AP228" i="67"/>
  <c r="AP75" i="67"/>
  <c r="AP381" i="67"/>
  <c r="AP836" i="67"/>
  <c r="AP533" i="67"/>
  <c r="AI189" i="67"/>
  <c r="BC20" i="68"/>
  <c r="AI36" i="67"/>
  <c r="AI797" i="67"/>
  <c r="AI646" i="67"/>
  <c r="AI494" i="67"/>
  <c r="AI342" i="67"/>
  <c r="AJ444" i="67"/>
  <c r="AJ899" i="67"/>
  <c r="AJ138" i="67"/>
  <c r="AJ596" i="67"/>
  <c r="AJ748" i="67"/>
  <c r="AJ291" i="67"/>
  <c r="AJ766" i="67"/>
  <c r="AJ615" i="67"/>
  <c r="Z159" i="65"/>
  <c r="AO172" i="67"/>
  <c r="AO477" i="67"/>
  <c r="AO629" i="67"/>
  <c r="AO325" i="67"/>
  <c r="AO19" i="67"/>
  <c r="AF160" i="65"/>
  <c r="AP191" i="67"/>
  <c r="AP344" i="67"/>
  <c r="AP496" i="67"/>
  <c r="AP799" i="67"/>
  <c r="AP648" i="67"/>
  <c r="AP38" i="67"/>
  <c r="AG161" i="65"/>
  <c r="AT36" i="67"/>
  <c r="AT342" i="67"/>
  <c r="AT797" i="67"/>
  <c r="AT189" i="67"/>
  <c r="AT646" i="67"/>
  <c r="AT494" i="67"/>
  <c r="AV766" i="67"/>
  <c r="AV615" i="67"/>
  <c r="AW276" i="67"/>
  <c r="AW123" i="67"/>
  <c r="AW884" i="67"/>
  <c r="AW429" i="67"/>
  <c r="AW733" i="67"/>
  <c r="AW581" i="67"/>
  <c r="AU428" i="67"/>
  <c r="AU732" i="67"/>
  <c r="AU275" i="67"/>
  <c r="AU580" i="67"/>
  <c r="AU883" i="67"/>
  <c r="AU122" i="67"/>
  <c r="AO428" i="67"/>
  <c r="AO122" i="67"/>
  <c r="BI53" i="68"/>
  <c r="AO580" i="67"/>
  <c r="AO883" i="67"/>
  <c r="AO275" i="67"/>
  <c r="AO732" i="67"/>
  <c r="AO748" i="67"/>
  <c r="AO291" i="67"/>
  <c r="AO444" i="67"/>
  <c r="AO596" i="67"/>
  <c r="AO899" i="67"/>
  <c r="AO138" i="67"/>
  <c r="AO614" i="67"/>
  <c r="AO765" i="67"/>
  <c r="AQ646" i="67"/>
  <c r="AQ494" i="67"/>
  <c r="AQ797" i="67"/>
  <c r="AQ36" i="67"/>
  <c r="AQ189" i="67"/>
  <c r="AQ342" i="67"/>
  <c r="AV496" i="67"/>
  <c r="AV648" i="67"/>
  <c r="AV191" i="67"/>
  <c r="AV799" i="67"/>
  <c r="AV38" i="67"/>
  <c r="AV344" i="67"/>
  <c r="AQ799" i="67"/>
  <c r="AQ191" i="67"/>
  <c r="AQ648" i="67"/>
  <c r="AQ496" i="67"/>
  <c r="AQ38" i="67"/>
  <c r="AQ344" i="67"/>
  <c r="AQ616" i="67"/>
  <c r="AQ767" i="67"/>
  <c r="AR901" i="67"/>
  <c r="AR446" i="67"/>
  <c r="AR598" i="67"/>
  <c r="AR140" i="67"/>
  <c r="AR293" i="67"/>
  <c r="AR750" i="67"/>
  <c r="AW836" i="67"/>
  <c r="AW533" i="67"/>
  <c r="AW75" i="67"/>
  <c r="AW228" i="67"/>
  <c r="AW381" i="67"/>
  <c r="AW685" i="67"/>
  <c r="AR647" i="67"/>
  <c r="AR190" i="67"/>
  <c r="AS767" i="67"/>
  <c r="AS616" i="67"/>
  <c r="AS428" i="67"/>
  <c r="AS275" i="67"/>
  <c r="AS732" i="67"/>
  <c r="AS122" i="67"/>
  <c r="AS580" i="67"/>
  <c r="AS883" i="67"/>
  <c r="AV581" i="67"/>
  <c r="AV733" i="67"/>
  <c r="AV429" i="67"/>
  <c r="AV276" i="67"/>
  <c r="AV884" i="67"/>
  <c r="AV123" i="67"/>
  <c r="AD4" i="67" l="1"/>
  <c r="Z5" i="67"/>
  <c r="BC19" i="68"/>
  <c r="BC60" i="68" s="1"/>
  <c r="AB20" i="62"/>
  <c r="BO19" i="68"/>
  <c r="BO60" i="68" s="1"/>
  <c r="AN20" i="62"/>
  <c r="AP19" i="68"/>
  <c r="AP60" i="68" s="1"/>
  <c r="O20" i="62"/>
  <c r="BJ19" i="68"/>
  <c r="BJ60" i="68" s="1"/>
  <c r="AI20" i="62"/>
  <c r="BE19" i="68"/>
  <c r="BE60" i="68" s="1"/>
  <c r="AD20" i="62"/>
  <c r="X5" i="67"/>
  <c r="X1221" i="67" s="1"/>
  <c r="AN4" i="67"/>
  <c r="AN1220" i="67" s="1"/>
  <c r="R6" i="67"/>
  <c r="W1236" i="67"/>
  <c r="AG1355" i="67"/>
  <c r="N1234" i="67"/>
  <c r="O1355" i="67"/>
  <c r="X1290" i="67"/>
  <c r="L1339" i="67"/>
  <c r="K1224" i="67"/>
  <c r="AL1235" i="67"/>
  <c r="AE1338" i="67"/>
  <c r="AG1339" i="67"/>
  <c r="AE1253" i="67"/>
  <c r="O1235" i="67"/>
  <c r="AM1339" i="67"/>
  <c r="AF1234" i="67"/>
  <c r="AJ1235" i="67"/>
  <c r="Z1234" i="67"/>
  <c r="AB1340" i="67"/>
  <c r="V1235" i="67"/>
  <c r="O1253" i="67"/>
  <c r="AM1290" i="67"/>
  <c r="AQ1355" i="67"/>
  <c r="AN1253" i="67"/>
  <c r="AM1253" i="67"/>
  <c r="AN1339" i="67"/>
  <c r="X1338" i="67"/>
  <c r="X1234" i="67"/>
  <c r="Z1338" i="67"/>
  <c r="AU1338" i="67"/>
  <c r="AO1235" i="67"/>
  <c r="AP1291" i="67"/>
  <c r="Q1236" i="67"/>
  <c r="L1253" i="67"/>
  <c r="M1235" i="67"/>
  <c r="L1235" i="67"/>
  <c r="AV1236" i="67"/>
  <c r="AP1356" i="67"/>
  <c r="AK1236" i="67"/>
  <c r="AN1221" i="67"/>
  <c r="AP1222" i="67"/>
  <c r="AL6" i="67"/>
  <c r="AL1222" i="67" s="1"/>
  <c r="AD1120" i="67"/>
  <c r="AK1120" i="67"/>
  <c r="AI5" i="67"/>
  <c r="AN6" i="67"/>
  <c r="AN1222" i="67" s="1"/>
  <c r="AU5" i="67"/>
  <c r="R161" i="65"/>
  <c r="R173" i="65" s="1"/>
  <c r="AA669" i="67" s="1"/>
  <c r="J159" i="65"/>
  <c r="J171" i="65" s="1"/>
  <c r="S667" i="67" s="1"/>
  <c r="AV1254" i="67"/>
  <c r="AO1338" i="67"/>
  <c r="AI1252" i="67"/>
  <c r="AG1235" i="67"/>
  <c r="AE1235" i="67"/>
  <c r="T1253" i="67"/>
  <c r="Q1355" i="67"/>
  <c r="AV1356" i="67"/>
  <c r="AO1252" i="67"/>
  <c r="AV1340" i="67"/>
  <c r="AT1236" i="67"/>
  <c r="AH1290" i="67"/>
  <c r="AI1291" i="67"/>
  <c r="AD1254" i="67"/>
  <c r="AC1236" i="67"/>
  <c r="AB1254" i="67"/>
  <c r="AB1252" i="67"/>
  <c r="Y1234" i="67"/>
  <c r="W1356" i="67"/>
  <c r="N1252" i="67"/>
  <c r="AU1252" i="67"/>
  <c r="AT1356" i="67"/>
  <c r="AN1290" i="67"/>
  <c r="AQ1290" i="67"/>
  <c r="AK1291" i="67"/>
  <c r="AK1254" i="67"/>
  <c r="X1252" i="67"/>
  <c r="X1354" i="67"/>
  <c r="AB1236" i="67"/>
  <c r="AB1338" i="67"/>
  <c r="V1355" i="67"/>
  <c r="U1356" i="67"/>
  <c r="N1338" i="67"/>
  <c r="AR1236" i="67"/>
  <c r="AU1234" i="67"/>
  <c r="AF1252" i="67"/>
  <c r="AJ1290" i="67"/>
  <c r="AE1234" i="67"/>
  <c r="AA1253" i="67"/>
  <c r="AE1339" i="67"/>
  <c r="Z1354" i="67"/>
  <c r="W1254" i="67"/>
  <c r="P1234" i="67"/>
  <c r="Q1253" i="67"/>
  <c r="M1290" i="67"/>
  <c r="K1342" i="67"/>
  <c r="K1357" i="67"/>
  <c r="AJ1253" i="67"/>
  <c r="L1290" i="67"/>
  <c r="AA1235" i="67"/>
  <c r="Q1340" i="67"/>
  <c r="AR1291" i="67"/>
  <c r="AO1355" i="67"/>
  <c r="AO1354" i="67"/>
  <c r="AM1235" i="67"/>
  <c r="AL1355" i="67"/>
  <c r="AK1356" i="67"/>
  <c r="AI1254" i="67"/>
  <c r="Y1252" i="67"/>
  <c r="AC1291" i="67"/>
  <c r="AC1356" i="67"/>
  <c r="V1290" i="67"/>
  <c r="M1355" i="67"/>
  <c r="K1238" i="67"/>
  <c r="K1341" i="67"/>
  <c r="AS1291" i="67"/>
  <c r="AQ1291" i="67"/>
  <c r="AL1290" i="67"/>
  <c r="AL1253" i="67"/>
  <c r="AH1339" i="67"/>
  <c r="AH1253" i="67"/>
  <c r="AE1355" i="67"/>
  <c r="AF1235" i="67"/>
  <c r="AB1354" i="67"/>
  <c r="W1340" i="67"/>
  <c r="P1354" i="67"/>
  <c r="T1339" i="67"/>
  <c r="M1253" i="67"/>
  <c r="L1355" i="67"/>
  <c r="AS1236" i="67"/>
  <c r="AQ1354" i="67"/>
  <c r="AQ1253" i="67"/>
  <c r="AK1340" i="67"/>
  <c r="AE1252" i="67"/>
  <c r="AG1290" i="67"/>
  <c r="Y1338" i="67"/>
  <c r="Z1252" i="67"/>
  <c r="V1339" i="67"/>
  <c r="U1340" i="67"/>
  <c r="Q1254" i="67"/>
  <c r="Q1339" i="67"/>
  <c r="AQ1340" i="67"/>
  <c r="AT1340" i="67"/>
  <c r="AF1338" i="67"/>
  <c r="AH1355" i="67"/>
  <c r="AI1340" i="67"/>
  <c r="Y1354" i="67"/>
  <c r="K1255" i="67"/>
  <c r="AT1254" i="67"/>
  <c r="AA1339" i="67"/>
  <c r="AO1290" i="67"/>
  <c r="AE1354" i="67"/>
  <c r="O1290" i="67"/>
  <c r="AI1356" i="67"/>
  <c r="AG1253" i="67"/>
  <c r="U1254" i="67"/>
  <c r="AR1340" i="67"/>
  <c r="AQ1339" i="67"/>
  <c r="AP1340" i="67"/>
  <c r="T1355" i="67"/>
  <c r="P1338" i="67"/>
  <c r="AF1355" i="67"/>
  <c r="AT1291" i="67"/>
  <c r="AF1339" i="67"/>
  <c r="AF1253" i="67"/>
  <c r="AQ1254" i="67"/>
  <c r="AR1356" i="67"/>
  <c r="AQ1252" i="67"/>
  <c r="AP1254" i="67"/>
  <c r="AI1338" i="67"/>
  <c r="AO1253" i="67"/>
  <c r="AN1355" i="67"/>
  <c r="AF1290" i="67"/>
  <c r="AB1291" i="67"/>
  <c r="U1291" i="67"/>
  <c r="AU1354" i="67"/>
  <c r="AQ1356" i="67"/>
  <c r="AO1234" i="67"/>
  <c r="AS1356" i="67"/>
  <c r="AS1254" i="67"/>
  <c r="AI1234" i="67"/>
  <c r="AI1236" i="67"/>
  <c r="AB1356" i="67"/>
  <c r="AD1356" i="67"/>
  <c r="AA1355" i="67"/>
  <c r="V1253" i="67"/>
  <c r="AQ1234" i="67"/>
  <c r="AQ1338" i="67"/>
  <c r="AV1291" i="67"/>
  <c r="AM1355" i="67"/>
  <c r="AH1235" i="67"/>
  <c r="AI1354" i="67"/>
  <c r="AP1236" i="67"/>
  <c r="AO1339" i="67"/>
  <c r="AN1235" i="67"/>
  <c r="AD1236" i="67"/>
  <c r="AC1254" i="67"/>
  <c r="AB1234" i="67"/>
  <c r="AC1340" i="67"/>
  <c r="P1252" i="67"/>
  <c r="T1235" i="67"/>
  <c r="N1354" i="67"/>
  <c r="M1339" i="67"/>
  <c r="AQ1236" i="67"/>
  <c r="AJ1355" i="67"/>
  <c r="AF1354" i="67"/>
  <c r="AQ1235" i="67"/>
  <c r="AL1339" i="67"/>
  <c r="AE1290" i="67"/>
  <c r="K1237" i="67"/>
  <c r="K1256" i="67"/>
  <c r="K1358" i="67"/>
  <c r="AA1290" i="67"/>
  <c r="Q1291" i="67"/>
  <c r="Q1290" i="67"/>
  <c r="AD1340" i="67"/>
  <c r="AD1291" i="67"/>
  <c r="M1291" i="67"/>
  <c r="AC1222" i="67"/>
  <c r="AA1222" i="67"/>
  <c r="O1221" i="67"/>
  <c r="Q1222" i="67"/>
  <c r="AQ1220" i="67"/>
  <c r="AB1222" i="67"/>
  <c r="P1220" i="67"/>
  <c r="AK1222" i="67"/>
  <c r="AQ1221" i="67"/>
  <c r="P1290" i="67"/>
  <c r="AK1354" i="67"/>
  <c r="AK1235" i="67"/>
  <c r="AJ1236" i="67"/>
  <c r="AU1253" i="67"/>
  <c r="AC1339" i="67"/>
  <c r="U1252" i="67"/>
  <c r="AS1234" i="67"/>
  <c r="AO1340" i="67"/>
  <c r="AS1253" i="67"/>
  <c r="AI1339" i="67"/>
  <c r="AL1340" i="67"/>
  <c r="X1339" i="67"/>
  <c r="V1236" i="67"/>
  <c r="M1340" i="67"/>
  <c r="AV1354" i="67"/>
  <c r="AU1236" i="67"/>
  <c r="AJ1354" i="67"/>
  <c r="N1236" i="67"/>
  <c r="R1252" i="67"/>
  <c r="S1354" i="67"/>
  <c r="AN1252" i="67"/>
  <c r="AV1355" i="67"/>
  <c r="AM1254" i="67"/>
  <c r="AA1236" i="67"/>
  <c r="P1355" i="67"/>
  <c r="AD1275" i="67"/>
  <c r="AW1290" i="67"/>
  <c r="AW1253" i="67"/>
  <c r="AT1222" i="67"/>
  <c r="AL1221" i="67"/>
  <c r="AF1220" i="67"/>
  <c r="AU1220" i="67"/>
  <c r="AE1220" i="67"/>
  <c r="AI1220" i="67"/>
  <c r="K1223" i="67"/>
  <c r="AS1222" i="67"/>
  <c r="AG1221" i="67"/>
  <c r="AK1338" i="67"/>
  <c r="AN1340" i="67"/>
  <c r="AN1291" i="67"/>
  <c r="AJ1356" i="67"/>
  <c r="L1234" i="67"/>
  <c r="AR1339" i="67"/>
  <c r="X1340" i="67"/>
  <c r="X1291" i="67"/>
  <c r="L1254" i="67"/>
  <c r="U1339" i="67"/>
  <c r="AS1235" i="67"/>
  <c r="AI1253" i="67"/>
  <c r="AL1254" i="67"/>
  <c r="Z1355" i="67"/>
  <c r="V1356" i="67"/>
  <c r="AE1254" i="67"/>
  <c r="AJ1338" i="67"/>
  <c r="N1254" i="67"/>
  <c r="W1252" i="67"/>
  <c r="AA1354" i="67"/>
  <c r="AA1252" i="67"/>
  <c r="AL1354" i="67"/>
  <c r="T1340" i="67"/>
  <c r="V1252" i="67"/>
  <c r="AN1234" i="67"/>
  <c r="AV1339" i="67"/>
  <c r="AP1252" i="67"/>
  <c r="AG1234" i="67"/>
  <c r="AD1354" i="67"/>
  <c r="AA1254" i="67"/>
  <c r="T1338" i="67"/>
  <c r="P1339" i="67"/>
  <c r="AW1235" i="67"/>
  <c r="AW1339" i="67"/>
  <c r="AE1221" i="67"/>
  <c r="T1221" i="67"/>
  <c r="L1221" i="67"/>
  <c r="X1220" i="67"/>
  <c r="W1222" i="67"/>
  <c r="N1220" i="67"/>
  <c r="AM1221" i="67"/>
  <c r="V1221" i="67"/>
  <c r="U1222" i="67"/>
  <c r="AF1221" i="67"/>
  <c r="L1291" i="67"/>
  <c r="AJ1221" i="67"/>
  <c r="AQ1222" i="67"/>
  <c r="X1273" i="67"/>
  <c r="V1291" i="67"/>
  <c r="AK1252" i="67"/>
  <c r="AK1253" i="67"/>
  <c r="AN1254" i="67"/>
  <c r="AT1252" i="67"/>
  <c r="AC1253" i="67"/>
  <c r="L1236" i="67"/>
  <c r="R1355" i="67"/>
  <c r="AL1236" i="67"/>
  <c r="Z1339" i="67"/>
  <c r="X1235" i="67"/>
  <c r="V1340" i="67"/>
  <c r="M1236" i="67"/>
  <c r="AU1356" i="67"/>
  <c r="AU1254" i="67"/>
  <c r="AJ1252" i="67"/>
  <c r="N1356" i="67"/>
  <c r="W1354" i="67"/>
  <c r="S1252" i="67"/>
  <c r="AN1354" i="67"/>
  <c r="AV1253" i="67"/>
  <c r="AD1338" i="67"/>
  <c r="AA1356" i="67"/>
  <c r="T1252" i="67"/>
  <c r="O1338" i="67"/>
  <c r="P1235" i="67"/>
  <c r="AW1355" i="67"/>
  <c r="Z1290" i="67"/>
  <c r="AR1222" i="67"/>
  <c r="AO1220" i="67"/>
  <c r="AO1221" i="67"/>
  <c r="AV1222" i="67"/>
  <c r="AI1222" i="67"/>
  <c r="AB1220" i="67"/>
  <c r="Q1221" i="67"/>
  <c r="Y1220" i="67"/>
  <c r="M1221" i="67"/>
  <c r="AD1222" i="67"/>
  <c r="AE1273" i="67"/>
  <c r="AL1291" i="67"/>
  <c r="AK1234" i="67"/>
  <c r="AK1355" i="67"/>
  <c r="AN1236" i="67"/>
  <c r="AJ1254" i="67"/>
  <c r="AC1355" i="67"/>
  <c r="U1338" i="67"/>
  <c r="O1254" i="67"/>
  <c r="L1356" i="67"/>
  <c r="AS1338" i="67"/>
  <c r="AO1356" i="67"/>
  <c r="R1290" i="67"/>
  <c r="S1254" i="67"/>
  <c r="AL1356" i="67"/>
  <c r="Z1253" i="67"/>
  <c r="X1355" i="67"/>
  <c r="V1254" i="67"/>
  <c r="AV1234" i="67"/>
  <c r="AU1340" i="67"/>
  <c r="AU1291" i="67"/>
  <c r="N1340" i="67"/>
  <c r="N1291" i="67"/>
  <c r="AG1236" i="67"/>
  <c r="S1338" i="67"/>
  <c r="M1338" i="67"/>
  <c r="AN1338" i="67"/>
  <c r="P1236" i="67"/>
  <c r="AD1252" i="67"/>
  <c r="AA1340" i="67"/>
  <c r="T1234" i="67"/>
  <c r="O1354" i="67"/>
  <c r="P1253" i="67"/>
  <c r="AD1220" i="67"/>
  <c r="O160" i="65"/>
  <c r="O172" i="65" s="1"/>
  <c r="X668" i="67" s="1"/>
  <c r="Q160" i="65"/>
  <c r="Q172" i="65" s="1"/>
  <c r="Z668" i="67" s="1"/>
  <c r="AW1222" i="67"/>
  <c r="C161" i="65"/>
  <c r="C173" i="65" s="1"/>
  <c r="L669" i="67" s="1"/>
  <c r="Z1221" i="67"/>
  <c r="K1277" i="67"/>
  <c r="AG1274" i="67"/>
  <c r="V6" i="67"/>
  <c r="V1222" i="67" s="1"/>
  <c r="AU6" i="67"/>
  <c r="AU1222" i="67" s="1"/>
  <c r="K1292" i="67"/>
  <c r="AV5" i="67"/>
  <c r="AV1221" i="67" s="1"/>
  <c r="AJ4" i="67"/>
  <c r="AJ1220" i="67" s="1"/>
  <c r="F159" i="65"/>
  <c r="F171" i="65" s="1"/>
  <c r="AB171" i="65"/>
  <c r="AK667" i="67" s="1"/>
  <c r="L1222" i="67"/>
  <c r="S1220" i="67"/>
  <c r="N1222" i="67"/>
  <c r="AW1221" i="67"/>
  <c r="N1273" i="67"/>
  <c r="L1274" i="67"/>
  <c r="AS1221" i="67"/>
  <c r="AW1254" i="67"/>
  <c r="AW1291" i="67"/>
  <c r="AV1274" i="67"/>
  <c r="AW1354" i="67"/>
  <c r="AW1236" i="67"/>
  <c r="S1234" i="67"/>
  <c r="AD1234" i="67"/>
  <c r="AW1356" i="67"/>
  <c r="AK1220" i="67"/>
  <c r="AW1340" i="67"/>
  <c r="AJ1234" i="67"/>
  <c r="AV1235" i="67"/>
  <c r="E161" i="65"/>
  <c r="E173" i="65" s="1"/>
  <c r="N669" i="67" s="1"/>
  <c r="AJ21" i="65"/>
  <c r="AN161" i="65"/>
  <c r="AN173" i="65" s="1"/>
  <c r="AW669" i="67" s="1"/>
  <c r="T1120" i="67"/>
  <c r="V1136" i="67"/>
  <c r="M1136" i="67"/>
  <c r="U1120" i="67"/>
  <c r="AR683" i="67"/>
  <c r="AR1136" i="67"/>
  <c r="R1136" i="67"/>
  <c r="X161" i="65"/>
  <c r="X173" i="65" s="1"/>
  <c r="AG669" i="67" s="1"/>
  <c r="AG1122" i="67"/>
  <c r="Q1136" i="67"/>
  <c r="AT1120" i="67"/>
  <c r="AP1136" i="67"/>
  <c r="AB160" i="65"/>
  <c r="AB172" i="65" s="1"/>
  <c r="AK668" i="67" s="1"/>
  <c r="AK1121" i="67"/>
  <c r="AC161" i="65"/>
  <c r="AC173" i="65" s="1"/>
  <c r="AL669" i="67" s="1"/>
  <c r="AL1122" i="67"/>
  <c r="S1120" i="67"/>
  <c r="R1120" i="67"/>
  <c r="V1120" i="67"/>
  <c r="AG159" i="65"/>
  <c r="AP1120" i="67"/>
  <c r="N160" i="65"/>
  <c r="N172" i="65" s="1"/>
  <c r="W1121" i="67"/>
  <c r="Y159" i="65"/>
  <c r="AH1120" i="67"/>
  <c r="H159" i="65"/>
  <c r="Q1120" i="67"/>
  <c r="D159" i="65"/>
  <c r="M1120" i="67"/>
  <c r="O1120" i="67"/>
  <c r="T1136" i="67"/>
  <c r="AV1120" i="67"/>
  <c r="AF161" i="65"/>
  <c r="AF173" i="65" s="1"/>
  <c r="AO669" i="67" s="1"/>
  <c r="AO1122" i="67"/>
  <c r="AE161" i="65"/>
  <c r="AE173" i="65" s="1"/>
  <c r="AN669" i="67" s="1"/>
  <c r="AN1122" i="67"/>
  <c r="K838" i="67"/>
  <c r="K1140" i="67"/>
  <c r="AK1136" i="67"/>
  <c r="AE159" i="65"/>
  <c r="AN1120" i="67"/>
  <c r="Z160" i="65"/>
  <c r="Z172" i="65" s="1"/>
  <c r="AI668" i="67" s="1"/>
  <c r="AI1121" i="67"/>
  <c r="AM1120" i="67"/>
  <c r="AA1136" i="67"/>
  <c r="U1136" i="67"/>
  <c r="G161" i="65"/>
  <c r="G173" i="65" s="1"/>
  <c r="P669" i="67" s="1"/>
  <c r="P1122" i="67"/>
  <c r="AG1136" i="67"/>
  <c r="AC1120" i="67"/>
  <c r="J160" i="65"/>
  <c r="J172" i="65" s="1"/>
  <c r="S668" i="67" s="1"/>
  <c r="S1121" i="67"/>
  <c r="N159" i="65"/>
  <c r="N171" i="65" s="1"/>
  <c r="W667" i="67" s="1"/>
  <c r="W1120" i="67"/>
  <c r="AW1120" i="67"/>
  <c r="AW1136" i="67"/>
  <c r="R159" i="65"/>
  <c r="R171" i="65" s="1"/>
  <c r="AA667" i="67" s="1"/>
  <c r="AA1120" i="67"/>
  <c r="AL1120" i="67"/>
  <c r="AV1136" i="67"/>
  <c r="AJ159" i="65"/>
  <c r="AS1120" i="67"/>
  <c r="D161" i="65"/>
  <c r="D173" i="65" s="1"/>
  <c r="M669" i="67" s="1"/>
  <c r="M1122" i="67"/>
  <c r="AC1136" i="67"/>
  <c r="AA159" i="65"/>
  <c r="AA171" i="65" s="1"/>
  <c r="AJ667" i="67" s="1"/>
  <c r="AJ1120" i="67"/>
  <c r="AL161" i="65"/>
  <c r="AL173" i="65" s="1"/>
  <c r="AU669" i="67" s="1"/>
  <c r="AU1122" i="67"/>
  <c r="AJ1136" i="67"/>
  <c r="AN1136" i="67"/>
  <c r="O1136" i="67"/>
  <c r="AM1136" i="67"/>
  <c r="AG1120" i="67"/>
  <c r="W1136" i="67"/>
  <c r="AR1120" i="67"/>
  <c r="AH1136" i="67"/>
  <c r="AS1136" i="67"/>
  <c r="L1136" i="67"/>
  <c r="AT1136" i="67"/>
  <c r="L1120" i="67"/>
  <c r="R685" i="67"/>
  <c r="R1138" i="67"/>
  <c r="AL1136" i="67"/>
  <c r="AB20" i="65"/>
  <c r="C22" i="65"/>
  <c r="AR37" i="67"/>
  <c r="AP614" i="67"/>
  <c r="Y139" i="67"/>
  <c r="Y292" i="67"/>
  <c r="L22" i="67"/>
  <c r="L175" i="67"/>
  <c r="AN140" i="67"/>
  <c r="AG646" i="67"/>
  <c r="S477" i="67"/>
  <c r="F161" i="65"/>
  <c r="F173" i="65" s="1"/>
  <c r="O669" i="67" s="1"/>
  <c r="AV801" i="67"/>
  <c r="Q687" i="67"/>
  <c r="AT444" i="67"/>
  <c r="R228" i="67"/>
  <c r="Z801" i="67"/>
  <c r="Z40" i="67"/>
  <c r="N40" i="67"/>
  <c r="AK123" i="67"/>
  <c r="AK276" i="67"/>
  <c r="AB515" i="67"/>
  <c r="AB363" i="67"/>
  <c r="L632" i="67"/>
  <c r="AN159" i="65"/>
  <c r="AN598" i="67"/>
  <c r="AN446" i="67"/>
  <c r="AG797" i="67"/>
  <c r="AG36" i="67"/>
  <c r="Q535" i="67"/>
  <c r="Q77" i="67"/>
  <c r="AT596" i="67"/>
  <c r="AE582" i="67"/>
  <c r="R75" i="67"/>
  <c r="Z346" i="67"/>
  <c r="N193" i="67"/>
  <c r="N346" i="67"/>
  <c r="AK581" i="67"/>
  <c r="AB210" i="67"/>
  <c r="AR343" i="67"/>
  <c r="AR798" i="67"/>
  <c r="Y445" i="67"/>
  <c r="L783" i="67"/>
  <c r="AN901" i="67"/>
  <c r="Q383" i="67"/>
  <c r="AT138" i="67"/>
  <c r="R381" i="67"/>
  <c r="Z498" i="67"/>
  <c r="AK884" i="67"/>
  <c r="K172" i="65"/>
  <c r="T668" i="67" s="1"/>
  <c r="D172" i="65"/>
  <c r="M668" i="67" s="1"/>
  <c r="Q171" i="65"/>
  <c r="Z667" i="67" s="1"/>
  <c r="N173" i="65"/>
  <c r="W669" i="67" s="1"/>
  <c r="M173" i="65"/>
  <c r="V669" i="67" s="1"/>
  <c r="AC172" i="65"/>
  <c r="AL668" i="67" s="1"/>
  <c r="AM173" i="65"/>
  <c r="AV669" i="67" s="1"/>
  <c r="W172" i="65"/>
  <c r="AF668" i="67" s="1"/>
  <c r="AF1274" i="67" s="1"/>
  <c r="Z173" i="65"/>
  <c r="AI669" i="67" s="1"/>
  <c r="V172" i="65"/>
  <c r="AE668" i="67" s="1"/>
  <c r="M172" i="65"/>
  <c r="V668" i="67" s="1"/>
  <c r="AH173" i="65"/>
  <c r="AQ669" i="67" s="1"/>
  <c r="AB173" i="65"/>
  <c r="AK669" i="67" s="1"/>
  <c r="AD172" i="65"/>
  <c r="AM668" i="67" s="1"/>
  <c r="AE172" i="65"/>
  <c r="AN668" i="67" s="1"/>
  <c r="AG173" i="65"/>
  <c r="AP669" i="67" s="1"/>
  <c r="AF172" i="65"/>
  <c r="AO668" i="67" s="1"/>
  <c r="Z171" i="65"/>
  <c r="T173" i="65"/>
  <c r="AC669" i="67" s="1"/>
  <c r="AF171" i="65"/>
  <c r="W171" i="65"/>
  <c r="AF667" i="67" s="1"/>
  <c r="U171" i="65"/>
  <c r="AD667" i="67" s="1"/>
  <c r="AA172" i="65"/>
  <c r="AJ668" i="67" s="1"/>
  <c r="G171" i="65"/>
  <c r="P667" i="67" s="1"/>
  <c r="H172" i="65"/>
  <c r="Q668" i="67" s="1"/>
  <c r="AD171" i="65"/>
  <c r="AM667" i="67" s="1"/>
  <c r="P171" i="65"/>
  <c r="Y667" i="67" s="1"/>
  <c r="F172" i="65"/>
  <c r="O668" i="67" s="1"/>
  <c r="B174" i="65"/>
  <c r="K670" i="67" s="1"/>
  <c r="S171" i="65"/>
  <c r="AB667" i="67" s="1"/>
  <c r="R172" i="65"/>
  <c r="H173" i="65"/>
  <c r="Q669" i="67" s="1"/>
  <c r="AH171" i="65"/>
  <c r="AI173" i="65"/>
  <c r="AR669" i="67" s="1"/>
  <c r="AH172" i="65"/>
  <c r="AQ668" i="67" s="1"/>
  <c r="Y172" i="65"/>
  <c r="AH668" i="67" s="1"/>
  <c r="L173" i="65"/>
  <c r="U669" i="67" s="1"/>
  <c r="AL171" i="65"/>
  <c r="AU667" i="67" s="1"/>
  <c r="AJ173" i="65"/>
  <c r="AS669" i="67" s="1"/>
  <c r="S173" i="65"/>
  <c r="AB669" i="67" s="1"/>
  <c r="AK173" i="65"/>
  <c r="AT669" i="67" s="1"/>
  <c r="AN172" i="65"/>
  <c r="AK864" i="67"/>
  <c r="AT54" i="68"/>
  <c r="AT53" i="68"/>
  <c r="R20" i="65"/>
  <c r="AA4" i="67"/>
  <c r="AI20" i="65"/>
  <c r="AR4" i="67"/>
  <c r="AM476" i="67"/>
  <c r="AB597" i="67"/>
  <c r="G21" i="65"/>
  <c r="P5" i="67"/>
  <c r="P1221" i="67" s="1"/>
  <c r="AP19" i="67"/>
  <c r="AM630" i="67"/>
  <c r="L20" i="65"/>
  <c r="U4" i="67"/>
  <c r="X901" i="67"/>
  <c r="F22" i="65"/>
  <c r="O6" i="67"/>
  <c r="AQ480" i="67"/>
  <c r="Q887" i="67"/>
  <c r="AG883" i="67"/>
  <c r="AB477" i="67"/>
  <c r="S21" i="65"/>
  <c r="AB5" i="67"/>
  <c r="AU276" i="67"/>
  <c r="AU629" i="67"/>
  <c r="T20" i="65"/>
  <c r="AC4" i="67"/>
  <c r="AR122" i="67"/>
  <c r="AP139" i="67"/>
  <c r="AG138" i="67"/>
  <c r="W227" i="67"/>
  <c r="O885" i="67"/>
  <c r="AD448" i="67"/>
  <c r="Q650" i="67"/>
  <c r="W883" i="67"/>
  <c r="AG21" i="65"/>
  <c r="AP5" i="67"/>
  <c r="AA580" i="67"/>
  <c r="AN736" i="67"/>
  <c r="M480" i="67"/>
  <c r="AB190" i="67"/>
  <c r="Y799" i="67"/>
  <c r="Y20" i="65"/>
  <c r="AH4" i="67"/>
  <c r="T648" i="67"/>
  <c r="H20" i="65"/>
  <c r="Q4" i="67"/>
  <c r="N19" i="67"/>
  <c r="AI380" i="67"/>
  <c r="O22" i="65"/>
  <c r="X6" i="67"/>
  <c r="AS581" i="67"/>
  <c r="AI292" i="67"/>
  <c r="U138" i="67"/>
  <c r="AJ295" i="67"/>
  <c r="U618" i="67"/>
  <c r="L903" i="67"/>
  <c r="W22" i="65"/>
  <c r="AF6" i="67"/>
  <c r="P21" i="65"/>
  <c r="Y5" i="67"/>
  <c r="Y1221" i="67" s="1"/>
  <c r="U749" i="67"/>
  <c r="O533" i="67"/>
  <c r="AA22" i="65"/>
  <c r="AJ6" i="67"/>
  <c r="AJ1222" i="67" s="1"/>
  <c r="R884" i="67"/>
  <c r="U480" i="67"/>
  <c r="AE279" i="67"/>
  <c r="C20" i="65"/>
  <c r="L4" i="67"/>
  <c r="W769" i="67"/>
  <c r="L21" i="65"/>
  <c r="U5" i="67"/>
  <c r="AV765" i="67"/>
  <c r="AE618" i="67"/>
  <c r="L193" i="67"/>
  <c r="AE214" i="67"/>
  <c r="N519" i="67"/>
  <c r="Z172" i="67"/>
  <c r="Z19" i="67"/>
  <c r="Z477" i="67"/>
  <c r="Z325" i="67"/>
  <c r="Z629" i="67"/>
  <c r="AK21" i="65"/>
  <c r="AT5" i="67"/>
  <c r="Q22" i="65"/>
  <c r="Z6" i="67"/>
  <c r="O446" i="67"/>
  <c r="AJ314" i="67"/>
  <c r="AA432" i="67"/>
  <c r="X20" i="65"/>
  <c r="AG4" i="67"/>
  <c r="AT597" i="67"/>
  <c r="AD343" i="67"/>
  <c r="AD429" i="67"/>
  <c r="P496" i="67"/>
  <c r="AC171" i="67"/>
  <c r="AR172" i="67"/>
  <c r="AD126" i="67"/>
  <c r="AQ769" i="67"/>
  <c r="Q600" i="67"/>
  <c r="AP324" i="67"/>
  <c r="AM732" i="67"/>
  <c r="AR36" i="67"/>
  <c r="AR899" i="67"/>
  <c r="N21" i="65"/>
  <c r="W5" i="67"/>
  <c r="AM734" i="67"/>
  <c r="Q732" i="67"/>
  <c r="M903" i="67"/>
  <c r="AN769" i="67"/>
  <c r="AW428" i="67"/>
  <c r="T901" i="67"/>
  <c r="AR671" i="67"/>
  <c r="BA20" i="68"/>
  <c r="X22" i="65"/>
  <c r="AG6" i="67"/>
  <c r="S277" i="67"/>
  <c r="S173" i="67"/>
  <c r="AH899" i="67"/>
  <c r="Y598" i="67"/>
  <c r="AC214" i="67"/>
  <c r="E21" i="65"/>
  <c r="N5" i="67"/>
  <c r="AS597" i="67"/>
  <c r="AT20" i="68"/>
  <c r="S835" i="67"/>
  <c r="Y733" i="67"/>
  <c r="S618" i="67"/>
  <c r="L314" i="67"/>
  <c r="Y190" i="67"/>
  <c r="AJ430" i="67"/>
  <c r="AO752" i="67"/>
  <c r="AV122" i="67"/>
  <c r="AJ632" i="67"/>
  <c r="Y325" i="67"/>
  <c r="R647" i="67"/>
  <c r="AE175" i="67"/>
  <c r="AC19" i="67"/>
  <c r="T21" i="65"/>
  <c r="AC5" i="67"/>
  <c r="K20" i="65"/>
  <c r="T4" i="67"/>
  <c r="T1220" i="67" s="1"/>
  <c r="F20" i="65"/>
  <c r="O4" i="67"/>
  <c r="O1220" i="67" s="1"/>
  <c r="AO344" i="67"/>
  <c r="AJ20" i="65"/>
  <c r="AS4" i="67"/>
  <c r="S801" i="67"/>
  <c r="L748" i="67"/>
  <c r="P293" i="67"/>
  <c r="R885" i="67"/>
  <c r="AA175" i="67"/>
  <c r="U21" i="65"/>
  <c r="AD5" i="67"/>
  <c r="AD1221" i="67" s="1"/>
  <c r="AD445" i="67"/>
  <c r="W445" i="67"/>
  <c r="G22" i="65"/>
  <c r="P6" i="67"/>
  <c r="AU900" i="67"/>
  <c r="AG20" i="65"/>
  <c r="AP4" i="67"/>
  <c r="AD20" i="65"/>
  <c r="AM4" i="67"/>
  <c r="AP429" i="67"/>
  <c r="AM293" i="67"/>
  <c r="BH20" i="68"/>
  <c r="T632" i="67"/>
  <c r="AL599" i="67"/>
  <c r="I20" i="65"/>
  <c r="R4" i="67"/>
  <c r="R1220" i="67" s="1"/>
  <c r="P22" i="65"/>
  <c r="Y6" i="67"/>
  <c r="M36" i="67"/>
  <c r="AT324" i="67"/>
  <c r="L580" i="67"/>
  <c r="I21" i="65"/>
  <c r="R5" i="67"/>
  <c r="R1221" i="67" s="1"/>
  <c r="D22" i="65"/>
  <c r="M6" i="67"/>
  <c r="M20" i="65"/>
  <c r="V4" i="67"/>
  <c r="J21" i="65"/>
  <c r="S5" i="67"/>
  <c r="N20" i="65"/>
  <c r="W4" i="67"/>
  <c r="R293" i="67"/>
  <c r="BN20" i="68"/>
  <c r="AD684" i="67"/>
  <c r="Y22" i="65"/>
  <c r="AH6" i="67"/>
  <c r="Z173" i="67"/>
  <c r="W884" i="67"/>
  <c r="AV53" i="68"/>
  <c r="AI21" i="65"/>
  <c r="AR5" i="67"/>
  <c r="AP596" i="67"/>
  <c r="AH648" i="67"/>
  <c r="V765" i="67"/>
  <c r="S172" i="67"/>
  <c r="O173" i="67"/>
  <c r="S432" i="67"/>
  <c r="AP765" i="67"/>
  <c r="AP343" i="67"/>
  <c r="AC618" i="67"/>
  <c r="AW171" i="67"/>
  <c r="AN20" i="65"/>
  <c r="AW4" i="67"/>
  <c r="AL883" i="67"/>
  <c r="AH279" i="67"/>
  <c r="AH752" i="67"/>
  <c r="T887" i="67"/>
  <c r="AH189" i="67"/>
  <c r="R883" i="67"/>
  <c r="AL174" i="67"/>
  <c r="AR346" i="67"/>
  <c r="AR480" i="67"/>
  <c r="AC736" i="67"/>
  <c r="AA40" i="67"/>
  <c r="AG582" i="67"/>
  <c r="AG293" i="67"/>
  <c r="S901" i="67"/>
  <c r="J22" i="65"/>
  <c r="S6" i="67"/>
  <c r="Y533" i="67"/>
  <c r="Y430" i="67"/>
  <c r="K22" i="65"/>
  <c r="T6" i="67"/>
  <c r="N292" i="67"/>
  <c r="N495" i="67"/>
  <c r="X781" i="67"/>
  <c r="AD22" i="65"/>
  <c r="AM6" i="67"/>
  <c r="AW54" i="68"/>
  <c r="S139" i="67"/>
  <c r="AE901" i="67"/>
  <c r="AO821" i="67"/>
  <c r="AB366" i="67"/>
  <c r="N126" i="67"/>
  <c r="AF836" i="67"/>
  <c r="AZ20" i="68"/>
  <c r="AZ53" i="68"/>
  <c r="AD172" i="67"/>
  <c r="AM20" i="65"/>
  <c r="AV4" i="67"/>
  <c r="D20" i="65"/>
  <c r="M4" i="67"/>
  <c r="V22" i="65"/>
  <c r="AE6" i="67"/>
  <c r="AF22" i="65"/>
  <c r="AO6" i="67"/>
  <c r="AK20" i="65"/>
  <c r="AT4" i="67"/>
  <c r="V476" i="67"/>
  <c r="AC20" i="65"/>
  <c r="AL4" i="67"/>
  <c r="L124" i="67"/>
  <c r="L582" i="67"/>
  <c r="L277" i="67"/>
  <c r="L734" i="67"/>
  <c r="L430" i="67"/>
  <c r="L885" i="67"/>
  <c r="AB21" i="65"/>
  <c r="AK5" i="67"/>
  <c r="AK1221" i="67" s="1"/>
  <c r="AK532" i="67"/>
  <c r="AK1290" i="67" s="1"/>
  <c r="AG124" i="67"/>
  <c r="N798" i="67"/>
  <c r="AW18" i="67"/>
  <c r="AE314" i="67"/>
  <c r="N822" i="67"/>
  <c r="Y124" i="67"/>
  <c r="Y752" i="67"/>
  <c r="S346" i="67"/>
  <c r="AM580" i="67"/>
  <c r="R324" i="67"/>
  <c r="Y295" i="67"/>
  <c r="AR193" i="67"/>
  <c r="AG750" i="67"/>
  <c r="AC748" i="67"/>
  <c r="AH20" i="68"/>
  <c r="S140" i="67"/>
  <c r="T432" i="67"/>
  <c r="AP171" i="67"/>
  <c r="Y685" i="67"/>
  <c r="L444" i="67"/>
  <c r="AH342" i="67"/>
  <c r="Z618" i="67"/>
  <c r="AQ618" i="67"/>
  <c r="AC138" i="67"/>
  <c r="N139" i="67"/>
  <c r="AW476" i="67"/>
  <c r="AH54" i="68"/>
  <c r="AH494" i="67"/>
  <c r="U765" i="67"/>
  <c r="R476" i="67"/>
  <c r="Y903" i="67"/>
  <c r="Y448" i="67"/>
  <c r="AQ314" i="67"/>
  <c r="AC769" i="67"/>
  <c r="AJ582" i="67"/>
  <c r="AG140" i="67"/>
  <c r="AG446" i="67"/>
  <c r="AM275" i="67"/>
  <c r="AC899" i="67"/>
  <c r="AC444" i="67"/>
  <c r="N749" i="67"/>
  <c r="AH142" i="67"/>
  <c r="AR632" i="67"/>
  <c r="N671" i="67"/>
  <c r="AW628" i="67"/>
  <c r="AL122" i="67"/>
  <c r="AG277" i="67"/>
  <c r="X326" i="67"/>
  <c r="Y277" i="67"/>
  <c r="Y582" i="67"/>
  <c r="R275" i="67"/>
  <c r="N343" i="67"/>
  <c r="AH797" i="67"/>
  <c r="AH646" i="67"/>
  <c r="U614" i="67"/>
  <c r="R18" i="67"/>
  <c r="R628" i="67"/>
  <c r="Y142" i="67"/>
  <c r="S314" i="67"/>
  <c r="AC314" i="67"/>
  <c r="AG598" i="67"/>
  <c r="AO799" i="67"/>
  <c r="AC596" i="67"/>
  <c r="N445" i="67"/>
  <c r="N597" i="67"/>
  <c r="AH903" i="67"/>
  <c r="AR175" i="67"/>
  <c r="AW324" i="67"/>
  <c r="AG734" i="67"/>
  <c r="AG430" i="67"/>
  <c r="Y734" i="67"/>
  <c r="S749" i="67"/>
  <c r="AP476" i="67"/>
  <c r="Y75" i="67"/>
  <c r="N190" i="67"/>
  <c r="AH432" i="67"/>
  <c r="T365" i="67"/>
  <c r="BL54" i="68"/>
  <c r="AH36" i="67"/>
  <c r="AU20" i="68"/>
  <c r="R171" i="67"/>
  <c r="AK54" i="68"/>
  <c r="Y600" i="67"/>
  <c r="AR650" i="67"/>
  <c r="AC126" i="67"/>
  <c r="AG901" i="67"/>
  <c r="AO496" i="67"/>
  <c r="AM765" i="67"/>
  <c r="AF616" i="67"/>
  <c r="AC291" i="67"/>
  <c r="AN53" i="68"/>
  <c r="N900" i="67"/>
  <c r="AG885" i="67"/>
  <c r="P648" i="67"/>
  <c r="AD736" i="67"/>
  <c r="Y884" i="67"/>
  <c r="AH584" i="67"/>
  <c r="BD53" i="68"/>
  <c r="BG20" i="68"/>
  <c r="AH344" i="67"/>
  <c r="S279" i="67"/>
  <c r="AR325" i="67"/>
  <c r="AX53" i="68"/>
  <c r="Q161" i="65"/>
  <c r="S40" i="67"/>
  <c r="S769" i="67"/>
  <c r="Z314" i="67"/>
  <c r="AK159" i="65"/>
  <c r="AS733" i="67"/>
  <c r="AM189" i="67"/>
  <c r="AJ734" i="67"/>
  <c r="AO38" i="67"/>
  <c r="N61" i="67"/>
  <c r="N214" i="67"/>
  <c r="AV275" i="67"/>
  <c r="AE367" i="67"/>
  <c r="S650" i="67"/>
  <c r="AS884" i="67"/>
  <c r="AJ277" i="67"/>
  <c r="AO191" i="67"/>
  <c r="AO648" i="67"/>
  <c r="AF767" i="67"/>
  <c r="AE769" i="67"/>
  <c r="N367" i="67"/>
  <c r="L614" i="67"/>
  <c r="AT749" i="67"/>
  <c r="AG191" i="67"/>
  <c r="Z344" i="67"/>
  <c r="S498" i="67"/>
  <c r="Z769" i="67"/>
  <c r="AT733" i="67"/>
  <c r="BI54" i="68"/>
  <c r="BI52" i="68" s="1"/>
  <c r="T140" i="67"/>
  <c r="S193" i="67"/>
  <c r="AJ885" i="67"/>
  <c r="AJ124" i="67"/>
  <c r="Y647" i="67"/>
  <c r="O598" i="67"/>
  <c r="AO600" i="67"/>
  <c r="L618" i="67"/>
  <c r="AV580" i="67"/>
  <c r="AX20" i="68"/>
  <c r="AI139" i="67"/>
  <c r="S818" i="67"/>
  <c r="AD798" i="67"/>
  <c r="L883" i="67"/>
  <c r="L596" i="67"/>
  <c r="AE61" i="67"/>
  <c r="L40" i="67"/>
  <c r="AC18" i="67"/>
  <c r="AH291" i="67"/>
  <c r="AD276" i="67"/>
  <c r="Y37" i="67"/>
  <c r="Y343" i="67"/>
  <c r="AO903" i="67"/>
  <c r="AV614" i="67"/>
  <c r="AD190" i="67"/>
  <c r="W380" i="67"/>
  <c r="V732" i="67"/>
  <c r="L291" i="67"/>
  <c r="L899" i="67"/>
  <c r="AE519" i="67"/>
  <c r="L650" i="67"/>
  <c r="AD581" i="67"/>
  <c r="AT139" i="67"/>
  <c r="AD37" i="67"/>
  <c r="L138" i="67"/>
  <c r="L498" i="67"/>
  <c r="AA126" i="67"/>
  <c r="AJ769" i="67"/>
  <c r="S108" i="67"/>
  <c r="AJ618" i="67"/>
  <c r="AD584" i="67"/>
  <c r="AA279" i="67"/>
  <c r="AE822" i="67"/>
  <c r="AE671" i="67"/>
  <c r="Q448" i="67"/>
  <c r="L801" i="67"/>
  <c r="L346" i="67"/>
  <c r="AU53" i="68"/>
  <c r="AA736" i="67"/>
  <c r="Q295" i="67"/>
  <c r="AM20" i="68"/>
  <c r="BM53" i="68"/>
  <c r="AS276" i="67"/>
  <c r="AD749" i="67"/>
  <c r="BC54" i="68"/>
  <c r="BC52" i="68" s="1"/>
  <c r="U596" i="67"/>
  <c r="V580" i="67"/>
  <c r="Z191" i="67"/>
  <c r="Z496" i="67"/>
  <c r="Q899" i="67"/>
  <c r="S478" i="67"/>
  <c r="AS123" i="67"/>
  <c r="AS429" i="67"/>
  <c r="AM171" i="67"/>
  <c r="AD292" i="67"/>
  <c r="P901" i="67"/>
  <c r="R430" i="67"/>
  <c r="R277" i="67"/>
  <c r="AT18" i="67"/>
  <c r="AD432" i="67"/>
  <c r="AD887" i="67"/>
  <c r="AP18" i="67"/>
  <c r="AP628" i="67"/>
  <c r="AI900" i="67"/>
  <c r="AB869" i="67"/>
  <c r="AB292" i="67"/>
  <c r="Q752" i="67"/>
  <c r="Q903" i="67"/>
  <c r="Z648" i="67"/>
  <c r="P140" i="67"/>
  <c r="P750" i="67"/>
  <c r="R734" i="67"/>
  <c r="AO783" i="67"/>
  <c r="AT476" i="67"/>
  <c r="AJ903" i="67"/>
  <c r="AA161" i="65"/>
  <c r="AI445" i="67"/>
  <c r="AT343" i="67"/>
  <c r="AT37" i="67"/>
  <c r="Z38" i="67"/>
  <c r="Z799" i="67"/>
  <c r="AM324" i="67"/>
  <c r="AD900" i="67"/>
  <c r="AJ54" i="68"/>
  <c r="P598" i="67"/>
  <c r="R582" i="67"/>
  <c r="W292" i="67"/>
  <c r="AD279" i="67"/>
  <c r="AB900" i="67"/>
  <c r="L122" i="67"/>
  <c r="Q142" i="67"/>
  <c r="O685" i="67"/>
  <c r="AM124" i="67"/>
  <c r="AG596" i="67"/>
  <c r="AB647" i="67"/>
  <c r="AA584" i="67"/>
  <c r="AN584" i="67"/>
  <c r="AU429" i="67"/>
  <c r="AM430" i="67"/>
  <c r="AB343" i="67"/>
  <c r="AB37" i="67"/>
  <c r="AU325" i="67"/>
  <c r="BH53" i="68"/>
  <c r="AP292" i="67"/>
  <c r="AN126" i="67"/>
  <c r="M175" i="67"/>
  <c r="AB325" i="67"/>
  <c r="AR732" i="67"/>
  <c r="AM582" i="67"/>
  <c r="AV20" i="68"/>
  <c r="BA54" i="68"/>
  <c r="AP581" i="67"/>
  <c r="AP884" i="67"/>
  <c r="AU884" i="67"/>
  <c r="AU733" i="67"/>
  <c r="AR428" i="67"/>
  <c r="AR883" i="67"/>
  <c r="AG444" i="67"/>
  <c r="AG291" i="67"/>
  <c r="AU172" i="67"/>
  <c r="AP445" i="67"/>
  <c r="R173" i="67"/>
  <c r="AU581" i="67"/>
  <c r="AU123" i="67"/>
  <c r="BL53" i="68"/>
  <c r="AR275" i="67"/>
  <c r="AG748" i="67"/>
  <c r="R799" i="67"/>
  <c r="AP749" i="67"/>
  <c r="BO53" i="68"/>
  <c r="AB629" i="67"/>
  <c r="AP123" i="67"/>
  <c r="AR580" i="67"/>
  <c r="AG899" i="67"/>
  <c r="R344" i="67"/>
  <c r="M476" i="67"/>
  <c r="AN432" i="67"/>
  <c r="M632" i="67"/>
  <c r="M22" i="67"/>
  <c r="T820" i="67"/>
  <c r="AN279" i="67"/>
  <c r="M783" i="67"/>
  <c r="M328" i="67"/>
  <c r="T212" i="67"/>
  <c r="K161" i="65"/>
  <c r="AE598" i="67"/>
  <c r="AT614" i="67"/>
  <c r="AW819" i="67"/>
  <c r="AK363" i="67"/>
  <c r="AK57" i="67"/>
  <c r="X767" i="67"/>
  <c r="X616" i="67"/>
  <c r="O616" i="67"/>
  <c r="O767" i="67"/>
  <c r="AP122" i="67"/>
  <c r="AP275" i="67"/>
  <c r="AM291" i="67"/>
  <c r="AM444" i="67"/>
  <c r="AM36" i="67"/>
  <c r="AM494" i="67"/>
  <c r="AM646" i="67"/>
  <c r="AM797" i="67"/>
  <c r="AM342" i="67"/>
  <c r="W732" i="67"/>
  <c r="W580" i="67"/>
  <c r="W428" i="67"/>
  <c r="AL765" i="67"/>
  <c r="T446" i="67"/>
  <c r="T598" i="67"/>
  <c r="AC328" i="67"/>
  <c r="AC480" i="67"/>
  <c r="P885" i="67"/>
  <c r="AL800" i="67"/>
  <c r="AL497" i="67"/>
  <c r="N615" i="67"/>
  <c r="N766" i="67"/>
  <c r="AG344" i="67"/>
  <c r="AG38" i="67"/>
  <c r="AG496" i="67"/>
  <c r="AG799" i="67"/>
  <c r="AG648" i="67"/>
  <c r="S430" i="67"/>
  <c r="S124" i="67"/>
  <c r="S734" i="67"/>
  <c r="S885" i="67"/>
  <c r="S582" i="67"/>
  <c r="S326" i="67"/>
  <c r="S781" i="67"/>
  <c r="S20" i="67"/>
  <c r="S630" i="67"/>
  <c r="AH444" i="67"/>
  <c r="AH138" i="67"/>
  <c r="AH596" i="67"/>
  <c r="BB54" i="68"/>
  <c r="AH748" i="67"/>
  <c r="AH765" i="67"/>
  <c r="AH614" i="67"/>
  <c r="Y293" i="67"/>
  <c r="Y901" i="67"/>
  <c r="Y140" i="67"/>
  <c r="Q291" i="67"/>
  <c r="Q138" i="67"/>
  <c r="Q596" i="67"/>
  <c r="Q748" i="67"/>
  <c r="Q444" i="67"/>
  <c r="AC822" i="67"/>
  <c r="AC519" i="67"/>
  <c r="AC671" i="67"/>
  <c r="AC61" i="67"/>
  <c r="AC367" i="67"/>
  <c r="AS292" i="67"/>
  <c r="AS139" i="67"/>
  <c r="AS749" i="67"/>
  <c r="AS445" i="67"/>
  <c r="AS900" i="67"/>
  <c r="O161" i="65"/>
  <c r="AC614" i="67"/>
  <c r="AV736" i="67"/>
  <c r="AV432" i="67"/>
  <c r="BP53" i="68"/>
  <c r="AV126" i="67"/>
  <c r="AV584" i="67"/>
  <c r="AV279" i="67"/>
  <c r="AQ366" i="67"/>
  <c r="AQ821" i="67"/>
  <c r="AQ60" i="67"/>
  <c r="AQ213" i="67"/>
  <c r="AS291" i="67"/>
  <c r="AS138" i="67"/>
  <c r="BM54" i="68"/>
  <c r="AS596" i="67"/>
  <c r="AS748" i="67"/>
  <c r="AS444" i="67"/>
  <c r="AC615" i="67"/>
  <c r="U766" i="67"/>
  <c r="U615" i="67"/>
  <c r="AQ346" i="67"/>
  <c r="AQ801" i="67"/>
  <c r="BK20" i="68"/>
  <c r="AQ40" i="67"/>
  <c r="AQ498" i="67"/>
  <c r="AF781" i="67"/>
  <c r="AF20" i="67"/>
  <c r="AF478" i="67"/>
  <c r="AF173" i="67"/>
  <c r="AF630" i="67"/>
  <c r="W161" i="65"/>
  <c r="AF446" i="67"/>
  <c r="AZ54" i="68"/>
  <c r="AF750" i="67"/>
  <c r="AF293" i="67"/>
  <c r="AF901" i="67"/>
  <c r="AF140" i="67"/>
  <c r="U629" i="67"/>
  <c r="U172" i="67"/>
  <c r="U325" i="67"/>
  <c r="U477" i="67"/>
  <c r="W801" i="67"/>
  <c r="W498" i="67"/>
  <c r="AQ20" i="68"/>
  <c r="W346" i="67"/>
  <c r="W650" i="67"/>
  <c r="AO801" i="67"/>
  <c r="AO193" i="67"/>
  <c r="BI20" i="68"/>
  <c r="AO498" i="67"/>
  <c r="AO650" i="67"/>
  <c r="AO40" i="67"/>
  <c r="AV494" i="67"/>
  <c r="AV797" i="67"/>
  <c r="AV36" i="67"/>
  <c r="AV646" i="67"/>
  <c r="AV342" i="67"/>
  <c r="R19" i="67"/>
  <c r="R629" i="67"/>
  <c r="R172" i="67"/>
  <c r="O342" i="67"/>
  <c r="AI20" i="68"/>
  <c r="AO616" i="67"/>
  <c r="AO630" i="67"/>
  <c r="AO20" i="67"/>
  <c r="AO781" i="67"/>
  <c r="AO618" i="67"/>
  <c r="AO314" i="67"/>
  <c r="AC172" i="67"/>
  <c r="L160" i="65"/>
  <c r="R598" i="67"/>
  <c r="R901" i="67"/>
  <c r="AV632" i="67"/>
  <c r="AV480" i="67"/>
  <c r="AV22" i="67"/>
  <c r="AT190" i="67"/>
  <c r="AT798" i="67"/>
  <c r="AD74" i="67"/>
  <c r="AD835" i="67"/>
  <c r="AB74" i="67"/>
  <c r="AB835" i="67"/>
  <c r="AB380" i="67"/>
  <c r="AS36" i="67"/>
  <c r="AS494" i="67"/>
  <c r="W142" i="67"/>
  <c r="AQ54" i="68"/>
  <c r="W752" i="67"/>
  <c r="R343" i="67"/>
  <c r="AL20" i="68"/>
  <c r="R190" i="67"/>
  <c r="Z480" i="67"/>
  <c r="Z783" i="67"/>
  <c r="M140" i="67"/>
  <c r="M901" i="67"/>
  <c r="U18" i="67"/>
  <c r="U628" i="67"/>
  <c r="U324" i="67"/>
  <c r="U171" i="67"/>
  <c r="AT275" i="67"/>
  <c r="AT428" i="67"/>
  <c r="AT732" i="67"/>
  <c r="O646" i="67"/>
  <c r="AT580" i="67"/>
  <c r="BP20" i="68"/>
  <c r="Z20" i="67"/>
  <c r="S565" i="67"/>
  <c r="AR498" i="67"/>
  <c r="AC887" i="67"/>
  <c r="AC432" i="67"/>
  <c r="M142" i="67"/>
  <c r="M448" i="67"/>
  <c r="AH295" i="67"/>
  <c r="AH600" i="67"/>
  <c r="T279" i="67"/>
  <c r="T584" i="67"/>
  <c r="W600" i="67"/>
  <c r="AR328" i="67"/>
  <c r="AR22" i="67"/>
  <c r="AO328" i="67"/>
  <c r="AO769" i="67"/>
  <c r="W618" i="67"/>
  <c r="AA650" i="67"/>
  <c r="AL631" i="67"/>
  <c r="AH126" i="67"/>
  <c r="AH736" i="67"/>
  <c r="AJ783" i="67"/>
  <c r="AR40" i="67"/>
  <c r="AC279" i="67"/>
  <c r="M295" i="67"/>
  <c r="AH448" i="67"/>
  <c r="T736" i="67"/>
  <c r="T126" i="67"/>
  <c r="W903" i="67"/>
  <c r="AR783" i="67"/>
  <c r="AD903" i="67"/>
  <c r="AO632" i="67"/>
  <c r="W314" i="67"/>
  <c r="AL327" i="67"/>
  <c r="L600" i="67"/>
  <c r="AH887" i="67"/>
  <c r="AX54" i="68"/>
  <c r="AW53" i="68"/>
  <c r="U314" i="67"/>
  <c r="AR801" i="67"/>
  <c r="AC584" i="67"/>
  <c r="W295" i="67"/>
  <c r="Z328" i="67"/>
  <c r="AO22" i="67"/>
  <c r="AJ600" i="67"/>
  <c r="AR615" i="67"/>
  <c r="AI477" i="67"/>
  <c r="AB684" i="67"/>
  <c r="AB532" i="67"/>
  <c r="AF228" i="67"/>
  <c r="AD19" i="67"/>
  <c r="AD325" i="67"/>
  <c r="M797" i="67"/>
  <c r="M494" i="67"/>
  <c r="AF734" i="67"/>
  <c r="AF430" i="67"/>
  <c r="AI615" i="67"/>
  <c r="U444" i="67"/>
  <c r="U748" i="67"/>
  <c r="X20" i="67"/>
  <c r="U445" i="67"/>
  <c r="S445" i="67"/>
  <c r="S292" i="67"/>
  <c r="R496" i="67"/>
  <c r="R191" i="67"/>
  <c r="AE801" i="67"/>
  <c r="AE40" i="67"/>
  <c r="AB410" i="67"/>
  <c r="Y276" i="67"/>
  <c r="M324" i="67"/>
  <c r="M628" i="67"/>
  <c r="AB518" i="67"/>
  <c r="AB213" i="67"/>
  <c r="N432" i="67"/>
  <c r="AI532" i="67"/>
  <c r="O228" i="67"/>
  <c r="AS646" i="67"/>
  <c r="AW516" i="67"/>
  <c r="AB884" i="67"/>
  <c r="AF496" i="67"/>
  <c r="R781" i="67"/>
  <c r="AS342" i="67"/>
  <c r="AS797" i="67"/>
  <c r="AW364" i="67"/>
  <c r="AU445" i="67"/>
  <c r="AS20" i="68"/>
  <c r="AB123" i="67"/>
  <c r="AF344" i="67"/>
  <c r="AF191" i="67"/>
  <c r="R478" i="67"/>
  <c r="R630" i="67"/>
  <c r="AO213" i="67"/>
  <c r="AO366" i="67"/>
  <c r="AI19" i="67"/>
  <c r="AI172" i="67"/>
  <c r="AF685" i="67"/>
  <c r="AF533" i="67"/>
  <c r="AD629" i="67"/>
  <c r="AD477" i="67"/>
  <c r="Y191" i="67"/>
  <c r="M189" i="67"/>
  <c r="M342" i="67"/>
  <c r="AS614" i="67"/>
  <c r="AF582" i="67"/>
  <c r="AF124" i="67"/>
  <c r="AI766" i="67"/>
  <c r="U291" i="67"/>
  <c r="X630" i="67"/>
  <c r="X478" i="67"/>
  <c r="U292" i="67"/>
  <c r="U139" i="67"/>
  <c r="O104" i="67"/>
  <c r="S900" i="67"/>
  <c r="R38" i="67"/>
  <c r="N477" i="67"/>
  <c r="AE193" i="67"/>
  <c r="Y429" i="67"/>
  <c r="Y581" i="67"/>
  <c r="M18" i="67"/>
  <c r="AB821" i="67"/>
  <c r="N736" i="67"/>
  <c r="N279" i="67"/>
  <c r="AI74" i="67"/>
  <c r="S684" i="67"/>
  <c r="AO54" i="68"/>
  <c r="AO52" i="68" s="1"/>
  <c r="BM20" i="68"/>
  <c r="AU139" i="67"/>
  <c r="AB581" i="67"/>
  <c r="AF799" i="67"/>
  <c r="R326" i="67"/>
  <c r="AO60" i="67"/>
  <c r="AS189" i="67"/>
  <c r="AW211" i="67"/>
  <c r="AU597" i="67"/>
  <c r="AB429" i="67"/>
  <c r="AB733" i="67"/>
  <c r="AF38" i="67"/>
  <c r="AI629" i="67"/>
  <c r="AB227" i="67"/>
  <c r="AF381" i="67"/>
  <c r="AN20" i="68"/>
  <c r="AY20" i="68"/>
  <c r="AF277" i="67"/>
  <c r="AS53" i="68"/>
  <c r="U899" i="67"/>
  <c r="X173" i="67"/>
  <c r="U597" i="67"/>
  <c r="S597" i="67"/>
  <c r="R648" i="67"/>
  <c r="AE346" i="67"/>
  <c r="Y123" i="67"/>
  <c r="N887" i="67"/>
  <c r="S532" i="67"/>
  <c r="M596" i="67"/>
  <c r="M899" i="67"/>
  <c r="U160" i="65"/>
  <c r="AJ498" i="67"/>
  <c r="AJ801" i="67"/>
  <c r="AW275" i="67"/>
  <c r="AW580" i="67"/>
  <c r="AW122" i="67"/>
  <c r="AL646" i="67"/>
  <c r="AL36" i="67"/>
  <c r="AL797" i="67"/>
  <c r="AL494" i="67"/>
  <c r="AL189" i="67"/>
  <c r="AR769" i="67"/>
  <c r="AR314" i="67"/>
  <c r="AR618" i="67"/>
  <c r="R276" i="67"/>
  <c r="R581" i="67"/>
  <c r="AL53" i="68"/>
  <c r="R429" i="67"/>
  <c r="R123" i="67"/>
  <c r="U632" i="67"/>
  <c r="U328" i="67"/>
  <c r="U783" i="67"/>
  <c r="AU142" i="67"/>
  <c r="AU295" i="67"/>
  <c r="AU600" i="67"/>
  <c r="AU903" i="67"/>
  <c r="AU752" i="67"/>
  <c r="AT325" i="67"/>
  <c r="AT19" i="67"/>
  <c r="AT477" i="67"/>
  <c r="AT172" i="67"/>
  <c r="AT629" i="67"/>
  <c r="M767" i="67"/>
  <c r="M616" i="67"/>
  <c r="AV618" i="67"/>
  <c r="AV769" i="67"/>
  <c r="BQ53" i="68"/>
  <c r="U22" i="67"/>
  <c r="AH616" i="67"/>
  <c r="AM767" i="67"/>
  <c r="AM20" i="67"/>
  <c r="AM173" i="67"/>
  <c r="AM478" i="67"/>
  <c r="AV142" i="67"/>
  <c r="BP54" i="68"/>
  <c r="AV600" i="67"/>
  <c r="AQ752" i="67"/>
  <c r="BK54" i="68"/>
  <c r="BK52" i="68" s="1"/>
  <c r="AQ903" i="67"/>
  <c r="AQ295" i="67"/>
  <c r="BQ20" i="68"/>
  <c r="AP20" i="62" s="1"/>
  <c r="AW342" i="67"/>
  <c r="AW189" i="67"/>
  <c r="AW36" i="67"/>
  <c r="AA628" i="67"/>
  <c r="AA171" i="67"/>
  <c r="AA324" i="67"/>
  <c r="AA765" i="67"/>
  <c r="AA614" i="67"/>
  <c r="AH175" i="67"/>
  <c r="AH632" i="67"/>
  <c r="AH480" i="67"/>
  <c r="AH22" i="67"/>
  <c r="AH783" i="67"/>
  <c r="AH328" i="67"/>
  <c r="T142" i="67"/>
  <c r="T295" i="67"/>
  <c r="T448" i="67"/>
  <c r="T903" i="67"/>
  <c r="T752" i="67"/>
  <c r="T600" i="67"/>
  <c r="R444" i="67"/>
  <c r="R291" i="67"/>
  <c r="R748" i="67"/>
  <c r="R596" i="67"/>
  <c r="R899" i="67"/>
  <c r="T899" i="67"/>
  <c r="AN54" i="68"/>
  <c r="T138" i="67"/>
  <c r="T444" i="67"/>
  <c r="M191" i="67"/>
  <c r="M799" i="67"/>
  <c r="AG20" i="68"/>
  <c r="M496" i="67"/>
  <c r="M38" i="67"/>
  <c r="M648" i="67"/>
  <c r="L797" i="67"/>
  <c r="L646" i="67"/>
  <c r="L342" i="67"/>
  <c r="L494" i="67"/>
  <c r="AF20" i="68"/>
  <c r="AW797" i="67"/>
  <c r="AG275" i="67"/>
  <c r="W765" i="67"/>
  <c r="T596" i="67"/>
  <c r="L189" i="67"/>
  <c r="AA476" i="67"/>
  <c r="P767" i="67"/>
  <c r="T748" i="67"/>
  <c r="R733" i="67"/>
  <c r="L36" i="67"/>
  <c r="AJ650" i="67"/>
  <c r="AM616" i="67"/>
  <c r="W614" i="67"/>
  <c r="AG428" i="67"/>
  <c r="BA53" i="68"/>
  <c r="AG122" i="67"/>
  <c r="AG580" i="67"/>
  <c r="AN650" i="67"/>
  <c r="AW614" i="67"/>
  <c r="AH314" i="67"/>
  <c r="AH769" i="67"/>
  <c r="AH618" i="67"/>
  <c r="T618" i="67"/>
  <c r="T769" i="67"/>
  <c r="AL628" i="67"/>
  <c r="AL18" i="67"/>
  <c r="AL476" i="67"/>
  <c r="AL171" i="67"/>
  <c r="AE887" i="67"/>
  <c r="AE126" i="67"/>
  <c r="AE584" i="67"/>
  <c r="AY53" i="68"/>
  <c r="AY52" i="68" s="1"/>
  <c r="AE736" i="67"/>
  <c r="AE432" i="67"/>
  <c r="U600" i="67"/>
  <c r="U295" i="67"/>
  <c r="U752" i="67"/>
  <c r="U448" i="67"/>
  <c r="U903" i="67"/>
  <c r="U142" i="67"/>
  <c r="AM159" i="65"/>
  <c r="V171" i="67"/>
  <c r="V324" i="67"/>
  <c r="V18" i="67"/>
  <c r="V628" i="67"/>
  <c r="AM781" i="67"/>
  <c r="AW732" i="67"/>
  <c r="AW646" i="67"/>
  <c r="AW883" i="67"/>
  <c r="AW494" i="67"/>
  <c r="AM326" i="67"/>
  <c r="AG732" i="67"/>
  <c r="AA18" i="67"/>
  <c r="U175" i="67"/>
  <c r="T291" i="67"/>
  <c r="M344" i="67"/>
  <c r="AV314" i="67"/>
  <c r="T314" i="67"/>
  <c r="R138" i="67"/>
  <c r="AU448" i="67"/>
  <c r="AL324" i="67"/>
  <c r="AR834" i="67"/>
  <c r="AR379" i="67"/>
  <c r="T230" i="67"/>
  <c r="AC783" i="67"/>
  <c r="AC22" i="67"/>
  <c r="AC632" i="67"/>
  <c r="AC175" i="67"/>
  <c r="P430" i="67"/>
  <c r="P734" i="67"/>
  <c r="P277" i="67"/>
  <c r="AW20" i="68"/>
  <c r="AE533" i="67"/>
  <c r="AE836" i="67"/>
  <c r="AE75" i="67"/>
  <c r="AE685" i="67"/>
  <c r="L295" i="67"/>
  <c r="L142" i="67"/>
  <c r="U190" i="67"/>
  <c r="U343" i="67"/>
  <c r="AJ175" i="67"/>
  <c r="AJ328" i="67"/>
  <c r="AJ480" i="67"/>
  <c r="Y477" i="67"/>
  <c r="Y629" i="67"/>
  <c r="AE328" i="67"/>
  <c r="AE783" i="67"/>
  <c r="AE480" i="67"/>
  <c r="AE22" i="67"/>
  <c r="AC629" i="67"/>
  <c r="T160" i="65"/>
  <c r="M750" i="67"/>
  <c r="M446" i="67"/>
  <c r="AP276" i="67"/>
  <c r="AO478" i="67"/>
  <c r="AA275" i="67"/>
  <c r="T750" i="67"/>
  <c r="U769" i="67"/>
  <c r="AI160" i="65"/>
  <c r="AM628" i="67"/>
  <c r="AM277" i="67"/>
  <c r="AM885" i="67"/>
  <c r="R495" i="67"/>
  <c r="R798" i="67"/>
  <c r="W448" i="67"/>
  <c r="Z632" i="67"/>
  <c r="Z175" i="67"/>
  <c r="AO480" i="67"/>
  <c r="AT765" i="67"/>
  <c r="AT122" i="67"/>
  <c r="AT883" i="67"/>
  <c r="AT628" i="67"/>
  <c r="AR628" i="67"/>
  <c r="AE869" i="67"/>
  <c r="AE212" i="67"/>
  <c r="AC494" i="67"/>
  <c r="O630" i="67"/>
  <c r="O36" i="67"/>
  <c r="L752" i="67"/>
  <c r="AC325" i="67"/>
  <c r="U647" i="67"/>
  <c r="Y172" i="67"/>
  <c r="AJ53" i="68"/>
  <c r="AF54" i="68"/>
  <c r="P582" i="67"/>
  <c r="M598" i="67"/>
  <c r="AJ22" i="67"/>
  <c r="AE228" i="67"/>
  <c r="W429" i="67"/>
  <c r="W276" i="67"/>
  <c r="V161" i="65"/>
  <c r="AU19" i="67"/>
  <c r="AU477" i="67"/>
  <c r="AP900" i="67"/>
  <c r="AP597" i="67"/>
  <c r="O734" i="67"/>
  <c r="O430" i="67"/>
  <c r="AH628" i="67"/>
  <c r="AH18" i="67"/>
  <c r="AH171" i="67"/>
  <c r="T630" i="67"/>
  <c r="T1236" i="67" s="1"/>
  <c r="AA314" i="67"/>
  <c r="AA618" i="67"/>
  <c r="AC40" i="67"/>
  <c r="AC346" i="67"/>
  <c r="AE750" i="67"/>
  <c r="AE446" i="67"/>
  <c r="AE140" i="67"/>
  <c r="AE293" i="67"/>
  <c r="BL20" i="68"/>
  <c r="AE430" i="67"/>
  <c r="AE734" i="67"/>
  <c r="L769" i="67"/>
  <c r="Y495" i="67"/>
  <c r="Y798" i="67"/>
  <c r="P160" i="65"/>
  <c r="AO448" i="67"/>
  <c r="AO142" i="67"/>
  <c r="AO295" i="67"/>
  <c r="AV883" i="67"/>
  <c r="AV428" i="67"/>
  <c r="AV732" i="67"/>
  <c r="S126" i="67"/>
  <c r="S736" i="67"/>
  <c r="W628" i="67"/>
  <c r="W18" i="67"/>
  <c r="AN752" i="67"/>
  <c r="AN448" i="67"/>
  <c r="V275" i="67"/>
  <c r="V122" i="67"/>
  <c r="V883" i="67"/>
  <c r="AP53" i="68"/>
  <c r="AJ142" i="67"/>
  <c r="AJ752" i="67"/>
  <c r="L275" i="67"/>
  <c r="L428" i="67"/>
  <c r="AF53" i="68"/>
  <c r="AE767" i="67"/>
  <c r="AE616" i="67"/>
  <c r="O494" i="67"/>
  <c r="O189" i="67"/>
  <c r="BD54" i="68"/>
  <c r="AO326" i="67"/>
  <c r="AL614" i="67"/>
  <c r="AP733" i="67"/>
  <c r="BB20" i="68"/>
  <c r="AO173" i="67"/>
  <c r="AA883" i="67"/>
  <c r="T293" i="67"/>
  <c r="AM750" i="67"/>
  <c r="AO20" i="68"/>
  <c r="U476" i="67"/>
  <c r="R37" i="67"/>
  <c r="Z22" i="67"/>
  <c r="AO175" i="67"/>
  <c r="AT171" i="67"/>
  <c r="AC797" i="67"/>
  <c r="R477" i="67"/>
  <c r="R325" i="67"/>
  <c r="O797" i="67"/>
  <c r="AJ448" i="67"/>
  <c r="L448" i="67"/>
  <c r="AC477" i="67"/>
  <c r="U495" i="67"/>
  <c r="Y19" i="67"/>
  <c r="V428" i="67"/>
  <c r="L732" i="67"/>
  <c r="P124" i="67"/>
  <c r="M293" i="67"/>
  <c r="AE632" i="67"/>
  <c r="AQ566" i="67"/>
  <c r="AE381" i="67"/>
  <c r="R732" i="67"/>
  <c r="R122" i="67"/>
  <c r="R428" i="67"/>
  <c r="R580" i="67"/>
  <c r="AL782" i="67"/>
  <c r="AL479" i="67"/>
  <c r="AL21" i="67"/>
  <c r="AC159" i="65"/>
  <c r="AA346" i="67"/>
  <c r="AA801" i="67"/>
  <c r="AA193" i="67"/>
  <c r="AA498" i="67"/>
  <c r="Y228" i="67"/>
  <c r="Y836" i="67"/>
  <c r="Y381" i="67"/>
  <c r="Y885" i="67"/>
  <c r="Q614" i="67"/>
  <c r="Q765" i="67"/>
  <c r="N37" i="67"/>
  <c r="N647" i="67"/>
  <c r="V596" i="67"/>
  <c r="V1354" i="67" s="1"/>
  <c r="AP54" i="68"/>
  <c r="AI597" i="67"/>
  <c r="AI749" i="67"/>
  <c r="C159" i="65"/>
  <c r="O381" i="67"/>
  <c r="O75" i="67"/>
  <c r="O836" i="67"/>
  <c r="AE781" i="67"/>
  <c r="AE478" i="67"/>
  <c r="AE630" i="67"/>
  <c r="AE20" i="67"/>
  <c r="AE326" i="67"/>
  <c r="AK103" i="67"/>
  <c r="BB53" i="68"/>
  <c r="AK409" i="67"/>
  <c r="AJ160" i="65"/>
  <c r="AT647" i="67"/>
  <c r="W900" i="67"/>
  <c r="Q580" i="67"/>
  <c r="Q275" i="67"/>
  <c r="M291" i="67"/>
  <c r="P191" i="67"/>
  <c r="AD227" i="67"/>
  <c r="AD380" i="67"/>
  <c r="W835" i="67"/>
  <c r="AC498" i="67"/>
  <c r="S766" i="67"/>
  <c r="W139" i="67"/>
  <c r="W749" i="67"/>
  <c r="AG54" i="68"/>
  <c r="AG52" i="68" s="1"/>
  <c r="Q193" i="67"/>
  <c r="AD532" i="67"/>
  <c r="AQ22" i="67"/>
  <c r="AI227" i="67"/>
  <c r="AI835" i="67"/>
  <c r="AI684" i="67"/>
  <c r="AT495" i="67"/>
  <c r="AK210" i="67"/>
  <c r="W597" i="67"/>
  <c r="X750" i="67"/>
  <c r="M444" i="67"/>
  <c r="W74" i="67"/>
  <c r="S227" i="67"/>
  <c r="S74" i="67"/>
  <c r="S380" i="67"/>
  <c r="AR20" i="68"/>
  <c r="X648" i="67"/>
  <c r="X496" i="67"/>
  <c r="X344" i="67"/>
  <c r="AD597" i="67"/>
  <c r="AD139" i="67"/>
  <c r="W766" i="67"/>
  <c r="W615" i="67"/>
  <c r="AR646" i="67"/>
  <c r="AR797" i="67"/>
  <c r="AR189" i="67"/>
  <c r="AR342" i="67"/>
  <c r="AR494" i="67"/>
  <c r="AR596" i="67"/>
  <c r="AR444" i="67"/>
  <c r="AR748" i="67"/>
  <c r="AR291" i="67"/>
  <c r="AR138" i="67"/>
  <c r="Q324" i="67"/>
  <c r="Q171" i="67"/>
  <c r="Q18" i="67"/>
  <c r="AP629" i="67"/>
  <c r="AP325" i="67"/>
  <c r="AP477" i="67"/>
  <c r="N172" i="67"/>
  <c r="N629" i="67"/>
  <c r="N325" i="67"/>
  <c r="X799" i="67"/>
  <c r="AD618" i="67"/>
  <c r="AD314" i="67"/>
  <c r="AD769" i="67"/>
  <c r="AA448" i="67"/>
  <c r="AA142" i="67"/>
  <c r="AA752" i="67"/>
  <c r="AA600" i="67"/>
  <c r="AU54" i="68"/>
  <c r="AA295" i="67"/>
  <c r="AA903" i="67"/>
  <c r="AQ175" i="67"/>
  <c r="AQ783" i="67"/>
  <c r="AQ632" i="67"/>
  <c r="AQ328" i="67"/>
  <c r="Q432" i="67"/>
  <c r="Q279" i="67"/>
  <c r="Q736" i="67"/>
  <c r="Q584" i="67"/>
  <c r="Q126" i="67"/>
  <c r="AK53" i="68"/>
  <c r="AK52" i="68" s="1"/>
  <c r="AG765" i="67"/>
  <c r="AG614" i="67"/>
  <c r="M614" i="67"/>
  <c r="M765" i="67"/>
  <c r="AD142" i="67"/>
  <c r="AD295" i="67"/>
  <c r="AD600" i="67"/>
  <c r="AD752" i="67"/>
  <c r="Q498" i="67"/>
  <c r="Q346" i="67"/>
  <c r="Q801" i="67"/>
  <c r="Q40" i="67"/>
  <c r="BJ53" i="68"/>
  <c r="AP732" i="67"/>
  <c r="AP428" i="67"/>
  <c r="AP580" i="67"/>
  <c r="AP883" i="67"/>
  <c r="AM748" i="67"/>
  <c r="AM138" i="67"/>
  <c r="AM596" i="67"/>
  <c r="AM899" i="67"/>
  <c r="AL732" i="67"/>
  <c r="AL428" i="67"/>
  <c r="BF53" i="68"/>
  <c r="AL580" i="67"/>
  <c r="AL275" i="67"/>
  <c r="AH193" i="67"/>
  <c r="AH650" i="67"/>
  <c r="AH40" i="67"/>
  <c r="AH346" i="67"/>
  <c r="AH801" i="67"/>
  <c r="T328" i="67"/>
  <c r="T175" i="67"/>
  <c r="T22" i="67"/>
  <c r="T783" i="67"/>
  <c r="T480" i="67"/>
  <c r="Q36" i="67"/>
  <c r="Q797" i="67"/>
  <c r="Q646" i="67"/>
  <c r="Q494" i="67"/>
  <c r="AK20" i="68"/>
  <c r="AL751" i="67"/>
  <c r="BF54" i="68"/>
  <c r="AL447" i="67"/>
  <c r="AL902" i="67"/>
  <c r="AL141" i="67"/>
  <c r="AL294" i="67"/>
  <c r="AL617" i="67"/>
  <c r="AL768" i="67"/>
  <c r="AL192" i="67"/>
  <c r="AL39" i="67"/>
  <c r="BF20" i="68"/>
  <c r="AL345" i="67"/>
  <c r="AL649" i="67"/>
  <c r="AR214" i="67"/>
  <c r="AR61" i="67"/>
  <c r="AR822" i="67"/>
  <c r="AR519" i="67"/>
  <c r="AR367" i="67"/>
  <c r="Y496" i="67"/>
  <c r="Y344" i="67"/>
  <c r="Y648" i="67"/>
  <c r="Y38" i="67"/>
  <c r="S616" i="67"/>
  <c r="AG767" i="67"/>
  <c r="AM54" i="68"/>
  <c r="S293" i="67"/>
  <c r="S598" i="67"/>
  <c r="S750" i="67"/>
  <c r="S446" i="67"/>
  <c r="AH260" i="67"/>
  <c r="Y446" i="67"/>
  <c r="AS54" i="68"/>
  <c r="Y750" i="67"/>
  <c r="Y767" i="67"/>
  <c r="Y616" i="67"/>
  <c r="S160" i="65"/>
  <c r="X191" i="67"/>
  <c r="I161" i="65"/>
  <c r="O750" i="67"/>
  <c r="O293" i="67"/>
  <c r="O140" i="67"/>
  <c r="AI54" i="68"/>
  <c r="O901" i="67"/>
  <c r="AP748" i="67"/>
  <c r="AP899" i="67"/>
  <c r="AP291" i="67"/>
  <c r="BJ54" i="68"/>
  <c r="AP444" i="67"/>
  <c r="AH799" i="67"/>
  <c r="AH38" i="67"/>
  <c r="AH496" i="67"/>
  <c r="AH191" i="67"/>
  <c r="L159" i="65"/>
  <c r="AN600" i="67"/>
  <c r="AN142" i="67"/>
  <c r="AN295" i="67"/>
  <c r="BH54" i="68"/>
  <c r="AN903" i="67"/>
  <c r="J161" i="65"/>
  <c r="N429" i="67"/>
  <c r="N733" i="67"/>
  <c r="N123" i="67"/>
  <c r="N884" i="67"/>
  <c r="N581" i="67"/>
  <c r="N276" i="67"/>
  <c r="AH53" i="68"/>
  <c r="AN314" i="67"/>
  <c r="AN618" i="67"/>
  <c r="AN801" i="67"/>
  <c r="AN193" i="67"/>
  <c r="AN40" i="67"/>
  <c r="T59" i="67"/>
  <c r="T517" i="67"/>
  <c r="T344" i="67"/>
  <c r="T191" i="67"/>
  <c r="T799" i="67"/>
  <c r="T496" i="67"/>
  <c r="AA887" i="67"/>
  <c r="AN346" i="67"/>
  <c r="M801" i="67"/>
  <c r="M346" i="67"/>
  <c r="M498" i="67"/>
  <c r="M650" i="67"/>
  <c r="M193" i="67"/>
  <c r="M40" i="67"/>
  <c r="T381" i="67"/>
  <c r="T836" i="67"/>
  <c r="T533" i="67"/>
  <c r="T685" i="67"/>
  <c r="T228" i="67"/>
  <c r="T75" i="67"/>
  <c r="T38" i="67"/>
  <c r="AN498" i="67"/>
  <c r="S381" i="67"/>
  <c r="S836" i="67"/>
  <c r="S685" i="67"/>
  <c r="S533" i="67"/>
  <c r="S75" i="67"/>
  <c r="S228" i="67"/>
  <c r="T616" i="67"/>
  <c r="T767" i="67"/>
  <c r="T868" i="67"/>
  <c r="T565" i="67"/>
  <c r="AP74" i="67"/>
  <c r="AP684" i="67"/>
  <c r="AP532" i="67"/>
  <c r="AP835" i="67"/>
  <c r="AP227" i="67"/>
  <c r="AP380" i="67"/>
  <c r="S37" i="67"/>
  <c r="S495" i="67"/>
  <c r="S190" i="67"/>
  <c r="S647" i="67"/>
  <c r="S798" i="67"/>
  <c r="S343" i="67"/>
  <c r="AT581" i="67"/>
  <c r="AI159" i="65"/>
  <c r="AV328" i="67"/>
  <c r="AV783" i="67"/>
  <c r="AV448" i="67"/>
  <c r="AV752" i="67"/>
  <c r="S19" i="67"/>
  <c r="AT766" i="67"/>
  <c r="X293" i="67"/>
  <c r="R616" i="67"/>
  <c r="R1222" i="67" s="1"/>
  <c r="O478" i="67"/>
  <c r="O781" i="67"/>
  <c r="P38" i="67"/>
  <c r="P799" i="67"/>
  <c r="S515" i="67"/>
  <c r="S210" i="67"/>
  <c r="W324" i="67"/>
  <c r="AC122" i="67"/>
  <c r="AC732" i="67"/>
  <c r="AC883" i="67"/>
  <c r="AC275" i="67"/>
  <c r="AC580" i="67"/>
  <c r="AC428" i="67"/>
  <c r="S429" i="67"/>
  <c r="S733" i="67"/>
  <c r="S123" i="67"/>
  <c r="S276" i="67"/>
  <c r="S581" i="67"/>
  <c r="S884" i="67"/>
  <c r="AT123" i="67"/>
  <c r="AT276" i="67"/>
  <c r="AR19" i="67"/>
  <c r="AW58" i="67"/>
  <c r="AU292" i="67"/>
  <c r="AU749" i="67"/>
  <c r="AB172" i="67"/>
  <c r="AV175" i="67"/>
  <c r="AV903" i="67"/>
  <c r="AQ142" i="67"/>
  <c r="AQ600" i="67"/>
  <c r="AR766" i="67"/>
  <c r="BO54" i="68"/>
  <c r="AP37" i="67"/>
  <c r="AM428" i="67"/>
  <c r="AM883" i="67"/>
  <c r="AM614" i="67"/>
  <c r="AM901" i="67"/>
  <c r="AM598" i="67"/>
  <c r="AB766" i="67"/>
  <c r="AC628" i="67"/>
  <c r="AC324" i="67"/>
  <c r="AV54" i="68"/>
  <c r="AM53" i="68"/>
  <c r="S629" i="67"/>
  <c r="AV193" i="67"/>
  <c r="AV346" i="67"/>
  <c r="AJ346" i="67"/>
  <c r="AJ40" i="67"/>
  <c r="BN53" i="68"/>
  <c r="AT615" i="67"/>
  <c r="BN54" i="68"/>
  <c r="AR324" i="67"/>
  <c r="AP615" i="67"/>
  <c r="AK818" i="67"/>
  <c r="AK515" i="67"/>
  <c r="AP172" i="67"/>
  <c r="AR54" i="68"/>
  <c r="AR52" i="68" s="1"/>
  <c r="AD123" i="67"/>
  <c r="AD884" i="67"/>
  <c r="AE517" i="67"/>
  <c r="X598" i="67"/>
  <c r="X446" i="67"/>
  <c r="M748" i="67"/>
  <c r="M138" i="67"/>
  <c r="O326" i="67"/>
  <c r="AI53" i="68"/>
  <c r="P344" i="67"/>
  <c r="AR73" i="67"/>
  <c r="AR531" i="67"/>
  <c r="S57" i="67"/>
  <c r="S363" i="67"/>
  <c r="AD647" i="67"/>
  <c r="W476" i="67"/>
  <c r="W122" i="67"/>
  <c r="W275" i="67"/>
  <c r="AB445" i="67"/>
  <c r="AB749" i="67"/>
  <c r="W532" i="67"/>
  <c r="W123" i="67"/>
  <c r="W733" i="67"/>
  <c r="R750" i="67"/>
  <c r="O277" i="67"/>
  <c r="O582" i="67"/>
  <c r="S887" i="67"/>
  <c r="S584" i="67"/>
  <c r="AA328" i="67"/>
  <c r="AA783" i="67"/>
  <c r="Z616" i="67"/>
  <c r="Z767" i="67"/>
  <c r="W37" i="67"/>
  <c r="W495" i="67"/>
  <c r="W190" i="67"/>
  <c r="W647" i="67"/>
  <c r="W343" i="67"/>
  <c r="W798" i="67"/>
  <c r="T159" i="65"/>
  <c r="AD161" i="65"/>
  <c r="Z478" i="67"/>
  <c r="AG160" i="65"/>
  <c r="AT429" i="67"/>
  <c r="AR477" i="67"/>
  <c r="V614" i="67"/>
  <c r="AQ448" i="67"/>
  <c r="AU615" i="67"/>
  <c r="AU1221" i="67" s="1"/>
  <c r="AR765" i="67"/>
  <c r="AP647" i="67"/>
  <c r="AM122" i="67"/>
  <c r="AM446" i="67"/>
  <c r="AC476" i="67"/>
  <c r="AH767" i="67"/>
  <c r="AR18" i="67"/>
  <c r="AP766" i="67"/>
  <c r="BG54" i="68"/>
  <c r="X140" i="67"/>
  <c r="AL54" i="68"/>
  <c r="AT292" i="67"/>
  <c r="AT445" i="67"/>
  <c r="R446" i="67"/>
  <c r="AA22" i="67"/>
  <c r="AT884" i="67"/>
  <c r="AR629" i="67"/>
  <c r="BD20" i="68"/>
  <c r="AB19" i="67"/>
  <c r="AV295" i="67"/>
  <c r="AP190" i="67"/>
  <c r="BG53" i="68"/>
  <c r="AM140" i="67"/>
  <c r="AV40" i="67"/>
  <c r="AV498" i="67"/>
  <c r="AJ193" i="67"/>
  <c r="AR476" i="67"/>
  <c r="AD733" i="67"/>
  <c r="AE59" i="67"/>
  <c r="AJ20" i="68"/>
  <c r="O20" i="67"/>
  <c r="AR226" i="67"/>
  <c r="AT900" i="67"/>
  <c r="AD495" i="67"/>
  <c r="W171" i="67"/>
  <c r="AQ53" i="68"/>
  <c r="AB139" i="67"/>
  <c r="W684" i="67"/>
  <c r="W581" i="67"/>
  <c r="R140" i="67"/>
  <c r="O124" i="67"/>
  <c r="AA480" i="67"/>
  <c r="AK561" i="67"/>
  <c r="Z781" i="67"/>
  <c r="Z630" i="67"/>
  <c r="Z326" i="67"/>
  <c r="X159" i="65"/>
  <c r="W19" i="67"/>
  <c r="W629" i="67"/>
  <c r="W172" i="67"/>
  <c r="W477" i="67"/>
  <c r="W325" i="67"/>
  <c r="I159" i="65"/>
  <c r="P161" i="65"/>
  <c r="AL160" i="65"/>
  <c r="K159" i="65"/>
  <c r="AH20" i="67"/>
  <c r="AH781" i="67"/>
  <c r="AH630" i="67"/>
  <c r="AH173" i="67"/>
  <c r="AH478" i="67"/>
  <c r="AH326" i="67"/>
  <c r="Z750" i="67"/>
  <c r="Z598" i="67"/>
  <c r="Z293" i="67"/>
  <c r="Z901" i="67"/>
  <c r="Z140" i="67"/>
  <c r="Z446" i="67"/>
  <c r="Y326" i="67"/>
  <c r="Y173" i="67"/>
  <c r="Y781" i="67"/>
  <c r="Y478" i="67"/>
  <c r="Y20" i="67"/>
  <c r="Y630" i="67"/>
  <c r="AR139" i="67"/>
  <c r="AR900" i="67"/>
  <c r="AR292" i="67"/>
  <c r="AR597" i="67"/>
  <c r="AR445" i="67"/>
  <c r="AR749" i="67"/>
  <c r="Y161" i="65"/>
  <c r="Z124" i="67"/>
  <c r="Z430" i="67"/>
  <c r="Z582" i="67"/>
  <c r="Z277" i="67"/>
  <c r="Z734" i="67"/>
  <c r="Z885" i="67"/>
  <c r="X343" i="67"/>
  <c r="X190" i="67"/>
  <c r="X647" i="67"/>
  <c r="X798" i="67"/>
  <c r="X37" i="67"/>
  <c r="X495" i="67"/>
  <c r="AK256" i="67"/>
  <c r="N561" i="67"/>
  <c r="E160" i="65"/>
  <c r="P801" i="67"/>
  <c r="P498" i="67"/>
  <c r="P346" i="67"/>
  <c r="P650" i="67"/>
  <c r="P40" i="67"/>
  <c r="P193" i="67"/>
  <c r="AR380" i="67"/>
  <c r="AR74" i="67"/>
  <c r="AR684" i="67"/>
  <c r="AR532" i="67"/>
  <c r="AR835" i="67"/>
  <c r="AR227" i="67"/>
  <c r="O324" i="67"/>
  <c r="O18" i="67"/>
  <c r="O171" i="67"/>
  <c r="O628" i="67"/>
  <c r="O476" i="67"/>
  <c r="AK160" i="65"/>
  <c r="AH140" i="67"/>
  <c r="AH446" i="67"/>
  <c r="AH901" i="67"/>
  <c r="AH293" i="67"/>
  <c r="AH750" i="67"/>
  <c r="AH598" i="67"/>
  <c r="M159" i="65"/>
  <c r="AH428" i="67"/>
  <c r="AH122" i="67"/>
  <c r="AH580" i="67"/>
  <c r="AH883" i="67"/>
  <c r="AH275" i="67"/>
  <c r="AH732" i="67"/>
  <c r="N227" i="67"/>
  <c r="N532" i="67"/>
  <c r="N380" i="67"/>
  <c r="N684" i="67"/>
  <c r="N835" i="67"/>
  <c r="N74" i="67"/>
  <c r="AU835" i="67"/>
  <c r="AU74" i="67"/>
  <c r="AU532" i="67"/>
  <c r="AU684" i="67"/>
  <c r="AU227" i="67"/>
  <c r="AU380" i="67"/>
  <c r="AT380" i="67"/>
  <c r="AT835" i="67"/>
  <c r="AT532" i="67"/>
  <c r="AT684" i="67"/>
  <c r="AT227" i="67"/>
  <c r="AT74" i="67"/>
  <c r="AH430" i="67"/>
  <c r="AH582" i="67"/>
  <c r="AH885" i="67"/>
  <c r="AH734" i="67"/>
  <c r="AH124" i="67"/>
  <c r="AH277" i="67"/>
  <c r="Z75" i="67"/>
  <c r="Z228" i="67"/>
  <c r="Z381" i="67"/>
  <c r="Z685" i="67"/>
  <c r="Z836" i="67"/>
  <c r="Z533" i="67"/>
  <c r="I160" i="65"/>
  <c r="G160" i="65"/>
  <c r="T260" i="67"/>
  <c r="T107" i="67"/>
  <c r="T413" i="67"/>
  <c r="AT365" i="67"/>
  <c r="AT820" i="67"/>
  <c r="AT59" i="67"/>
  <c r="AT212" i="67"/>
  <c r="AT517" i="67"/>
  <c r="Z58" i="67"/>
  <c r="Z516" i="67"/>
  <c r="Z364" i="67"/>
  <c r="Z211" i="67"/>
  <c r="Z819" i="67"/>
  <c r="X516" i="67"/>
  <c r="X819" i="67"/>
  <c r="X58" i="67"/>
  <c r="X364" i="67"/>
  <c r="X211" i="67"/>
  <c r="S864" i="67"/>
  <c r="AC365" i="67"/>
  <c r="AC517" i="67"/>
  <c r="AC212" i="67"/>
  <c r="AC820" i="67"/>
  <c r="AC59" i="67"/>
  <c r="S211" i="67"/>
  <c r="S364" i="67"/>
  <c r="S819" i="67"/>
  <c r="S58" i="67"/>
  <c r="S516" i="67"/>
  <c r="AM687" i="67"/>
  <c r="AM535" i="67"/>
  <c r="AM77" i="67"/>
  <c r="AM230" i="67"/>
  <c r="AM383" i="67"/>
  <c r="X687" i="67"/>
  <c r="X77" i="67"/>
  <c r="X230" i="67"/>
  <c r="X383" i="67"/>
  <c r="X535" i="67"/>
  <c r="AD518" i="67"/>
  <c r="AD821" i="67"/>
  <c r="AD60" i="67"/>
  <c r="AD213" i="67"/>
  <c r="AD366" i="67"/>
  <c r="M366" i="67"/>
  <c r="M60" i="67"/>
  <c r="M518" i="67"/>
  <c r="M821" i="67"/>
  <c r="M213" i="67"/>
  <c r="AW409" i="67"/>
  <c r="AW864" i="67"/>
  <c r="AW103" i="67"/>
  <c r="AW256" i="67"/>
  <c r="AW561" i="67"/>
  <c r="AT363" i="67"/>
  <c r="AT57" i="67"/>
  <c r="AT210" i="67"/>
  <c r="AT818" i="67"/>
  <c r="AT515" i="67"/>
  <c r="AV414" i="67"/>
  <c r="AV566" i="67"/>
  <c r="AV261" i="67"/>
  <c r="AV108" i="67"/>
  <c r="AV869" i="67"/>
  <c r="AV718" i="67"/>
  <c r="AO566" i="67"/>
  <c r="AO718" i="67"/>
  <c r="AR58" i="67"/>
  <c r="AR364" i="67"/>
  <c r="AR819" i="67"/>
  <c r="AR516" i="67"/>
  <c r="AR211" i="67"/>
  <c r="AF818" i="67"/>
  <c r="AF57" i="67"/>
  <c r="AF210" i="67"/>
  <c r="AF363" i="67"/>
  <c r="AF515" i="67"/>
  <c r="AJ363" i="67"/>
  <c r="AJ818" i="67"/>
  <c r="AJ57" i="67"/>
  <c r="AJ210" i="67"/>
  <c r="AJ515" i="67"/>
  <c r="AA103" i="67"/>
  <c r="AA864" i="67"/>
  <c r="AA256" i="67"/>
  <c r="AA561" i="67"/>
  <c r="AA409" i="67"/>
  <c r="V409" i="67"/>
  <c r="V103" i="67"/>
  <c r="V864" i="67"/>
  <c r="V256" i="67"/>
  <c r="V561" i="67"/>
  <c r="AJ535" i="67"/>
  <c r="AJ230" i="67"/>
  <c r="AJ77" i="67"/>
  <c r="AJ687" i="67"/>
  <c r="AJ383" i="67"/>
  <c r="AF535" i="67"/>
  <c r="AF77" i="67"/>
  <c r="AF230" i="67"/>
  <c r="AF687" i="67"/>
  <c r="AF383" i="67"/>
  <c r="AS108" i="67"/>
  <c r="AV57" i="67"/>
  <c r="AV210" i="67"/>
  <c r="AV363" i="67"/>
  <c r="AV818" i="67"/>
  <c r="AV515" i="67"/>
  <c r="AW517" i="67"/>
  <c r="AW365" i="67"/>
  <c r="AW212" i="67"/>
  <c r="AW820" i="67"/>
  <c r="AW59" i="67"/>
  <c r="AQ818" i="67"/>
  <c r="AQ363" i="67"/>
  <c r="AQ210" i="67"/>
  <c r="AQ57" i="67"/>
  <c r="AQ515" i="67"/>
  <c r="AW869" i="67"/>
  <c r="AW414" i="67"/>
  <c r="AW718" i="67"/>
  <c r="AW108" i="67"/>
  <c r="AW566" i="67"/>
  <c r="AW261" i="67"/>
  <c r="AP834" i="67"/>
  <c r="AP73" i="67"/>
  <c r="AP226" i="67"/>
  <c r="AP379" i="67"/>
  <c r="AP683" i="67"/>
  <c r="AP531" i="67"/>
  <c r="AQ211" i="67"/>
  <c r="AQ516" i="67"/>
  <c r="AQ819" i="67"/>
  <c r="AQ364" i="67"/>
  <c r="AQ58" i="67"/>
  <c r="AL819" i="67"/>
  <c r="AL58" i="67"/>
  <c r="AL516" i="67"/>
  <c r="AL364" i="67"/>
  <c r="AL211" i="67"/>
  <c r="X868" i="67"/>
  <c r="X413" i="67"/>
  <c r="X107" i="67"/>
  <c r="X260" i="67"/>
  <c r="X565" i="67"/>
  <c r="AE108" i="67"/>
  <c r="Z683" i="67"/>
  <c r="Z226" i="67"/>
  <c r="Z834" i="67"/>
  <c r="Z531" i="67"/>
  <c r="Z379" i="67"/>
  <c r="Z73" i="67"/>
  <c r="X261" i="67"/>
  <c r="X108" i="67"/>
  <c r="X718" i="67"/>
  <c r="X414" i="67"/>
  <c r="X869" i="67"/>
  <c r="X566" i="67"/>
  <c r="T409" i="67"/>
  <c r="T864" i="67"/>
  <c r="T256" i="67"/>
  <c r="T103" i="67"/>
  <c r="T561" i="67"/>
  <c r="L565" i="67"/>
  <c r="Q364" i="67"/>
  <c r="Q819" i="67"/>
  <c r="Q211" i="67"/>
  <c r="Q58" i="67"/>
  <c r="Q516" i="67"/>
  <c r="O260" i="67"/>
  <c r="O107" i="67"/>
  <c r="O413" i="67"/>
  <c r="O565" i="67"/>
  <c r="O868" i="67"/>
  <c r="AI213" i="67"/>
  <c r="AI366" i="67"/>
  <c r="AI60" i="67"/>
  <c r="AI821" i="67"/>
  <c r="AI518" i="67"/>
  <c r="N821" i="67"/>
  <c r="N518" i="67"/>
  <c r="N60" i="67"/>
  <c r="N366" i="67"/>
  <c r="N213" i="67"/>
  <c r="AS517" i="67"/>
  <c r="AS59" i="67"/>
  <c r="AS212" i="67"/>
  <c r="AS820" i="67"/>
  <c r="AS365" i="67"/>
  <c r="AM864" i="67"/>
  <c r="AH379" i="67"/>
  <c r="AH226" i="67"/>
  <c r="AH73" i="67"/>
  <c r="AH531" i="67"/>
  <c r="AH683" i="67"/>
  <c r="AH834" i="67"/>
  <c r="AF865" i="67"/>
  <c r="AN58" i="67"/>
  <c r="AN516" i="67"/>
  <c r="AN364" i="67"/>
  <c r="AN819" i="67"/>
  <c r="AN211" i="67"/>
  <c r="AF365" i="67"/>
  <c r="AB414" i="67"/>
  <c r="U73" i="67"/>
  <c r="U226" i="67"/>
  <c r="U379" i="67"/>
  <c r="U683" i="67"/>
  <c r="U531" i="67"/>
  <c r="U834" i="67"/>
  <c r="M363" i="67"/>
  <c r="M57" i="67"/>
  <c r="M818" i="67"/>
  <c r="M210" i="67"/>
  <c r="M515" i="67"/>
  <c r="AT518" i="67"/>
  <c r="AT60" i="67"/>
  <c r="AT213" i="67"/>
  <c r="AT821" i="67"/>
  <c r="AT366" i="67"/>
  <c r="AR535" i="67"/>
  <c r="AR687" i="67"/>
  <c r="K518" i="67"/>
  <c r="K366" i="67"/>
  <c r="K821" i="67"/>
  <c r="K213" i="67"/>
  <c r="K60" i="67"/>
  <c r="AO58" i="67"/>
  <c r="AO364" i="67"/>
  <c r="AO516" i="67"/>
  <c r="AO819" i="67"/>
  <c r="AO211" i="67"/>
  <c r="AJ257" i="67"/>
  <c r="AS864" i="67"/>
  <c r="AS256" i="67"/>
  <c r="AS103" i="67"/>
  <c r="AS561" i="67"/>
  <c r="AS409" i="67"/>
  <c r="AI256" i="67"/>
  <c r="AI864" i="67"/>
  <c r="AI409" i="67"/>
  <c r="AI561" i="67"/>
  <c r="AI103" i="67"/>
  <c r="AK73" i="67"/>
  <c r="AK834" i="67"/>
  <c r="AK379" i="67"/>
  <c r="AK683" i="67"/>
  <c r="AK226" i="67"/>
  <c r="AK531" i="67"/>
  <c r="AI226" i="67"/>
  <c r="AI834" i="67"/>
  <c r="AI379" i="67"/>
  <c r="AI683" i="67"/>
  <c r="AI73" i="67"/>
  <c r="AI531" i="67"/>
  <c r="Q818" i="67"/>
  <c r="Q57" i="67"/>
  <c r="Q515" i="67"/>
  <c r="Q210" i="67"/>
  <c r="Q363" i="67"/>
  <c r="AR210" i="67"/>
  <c r="AN683" i="67"/>
  <c r="AN379" i="67"/>
  <c r="AN834" i="67"/>
  <c r="AN73" i="67"/>
  <c r="AN226" i="67"/>
  <c r="AN531" i="67"/>
  <c r="AP212" i="67"/>
  <c r="AP365" i="67"/>
  <c r="AP59" i="67"/>
  <c r="AP820" i="67"/>
  <c r="AP517" i="67"/>
  <c r="AI260" i="67"/>
  <c r="AI107" i="67"/>
  <c r="AI565" i="67"/>
  <c r="AI413" i="67"/>
  <c r="AI868" i="67"/>
  <c r="AK410" i="67"/>
  <c r="AK865" i="67"/>
  <c r="AK257" i="67"/>
  <c r="AK562" i="67"/>
  <c r="AK104" i="67"/>
  <c r="AK714" i="67"/>
  <c r="AI410" i="67"/>
  <c r="AI562" i="67"/>
  <c r="AI820" i="67"/>
  <c r="AI365" i="67"/>
  <c r="AI517" i="67"/>
  <c r="AI59" i="67"/>
  <c r="AI212" i="67"/>
  <c r="AD226" i="67"/>
  <c r="AD834" i="67"/>
  <c r="AD73" i="67"/>
  <c r="AD531" i="67"/>
  <c r="AD379" i="67"/>
  <c r="AD683" i="67"/>
  <c r="AK364" i="67"/>
  <c r="AK58" i="67"/>
  <c r="AK516" i="67"/>
  <c r="AK819" i="67"/>
  <c r="AK211" i="67"/>
  <c r="AE211" i="67"/>
  <c r="AE364" i="67"/>
  <c r="AE58" i="67"/>
  <c r="AE516" i="67"/>
  <c r="AE819" i="67"/>
  <c r="AA211" i="67"/>
  <c r="AA516" i="67"/>
  <c r="AA364" i="67"/>
  <c r="AA819" i="67"/>
  <c r="AA58" i="67"/>
  <c r="W516" i="67"/>
  <c r="W819" i="67"/>
  <c r="W58" i="67"/>
  <c r="W211" i="67"/>
  <c r="W364" i="67"/>
  <c r="V364" i="67"/>
  <c r="V516" i="67"/>
  <c r="V58" i="67"/>
  <c r="V819" i="67"/>
  <c r="V211" i="67"/>
  <c r="Q409" i="67"/>
  <c r="Q561" i="67"/>
  <c r="Q379" i="67"/>
  <c r="Q531" i="67"/>
  <c r="Q683" i="67"/>
  <c r="Q226" i="67"/>
  <c r="Q73" i="67"/>
  <c r="Q834" i="67"/>
  <c r="S379" i="67"/>
  <c r="S73" i="67"/>
  <c r="S834" i="67"/>
  <c r="S683" i="67"/>
  <c r="S531" i="67"/>
  <c r="S226" i="67"/>
  <c r="T211" i="67"/>
  <c r="T364" i="67"/>
  <c r="T58" i="67"/>
  <c r="T819" i="67"/>
  <c r="T516" i="67"/>
  <c r="AW518" i="67"/>
  <c r="AW60" i="67"/>
  <c r="AW213" i="67"/>
  <c r="AW366" i="67"/>
  <c r="AW821" i="67"/>
  <c r="AS60" i="67"/>
  <c r="AS821" i="67"/>
  <c r="AS366" i="67"/>
  <c r="AS213" i="67"/>
  <c r="AS518" i="67"/>
  <c r="AA535" i="67"/>
  <c r="AA687" i="67"/>
  <c r="AA230" i="67"/>
  <c r="AA77" i="67"/>
  <c r="AA383" i="67"/>
  <c r="AS77" i="67"/>
  <c r="AS535" i="67"/>
  <c r="AS230" i="67"/>
  <c r="AS383" i="67"/>
  <c r="AS687" i="67"/>
  <c r="Z366" i="67"/>
  <c r="Z518" i="67"/>
  <c r="Z60" i="67"/>
  <c r="Z821" i="67"/>
  <c r="Z213" i="67"/>
  <c r="AW413" i="67"/>
  <c r="AW868" i="67"/>
  <c r="AW107" i="67"/>
  <c r="AW565" i="67"/>
  <c r="AW260" i="67"/>
  <c r="AT565" i="67"/>
  <c r="AP363" i="67"/>
  <c r="AP818" i="67"/>
  <c r="AP57" i="67"/>
  <c r="AP210" i="67"/>
  <c r="AP515" i="67"/>
  <c r="AO409" i="67"/>
  <c r="AO256" i="67"/>
  <c r="AO103" i="67"/>
  <c r="AO864" i="67"/>
  <c r="AO561" i="67"/>
  <c r="AD363" i="67"/>
  <c r="AD57" i="67"/>
  <c r="AD818" i="67"/>
  <c r="AD210" i="67"/>
  <c r="AD515" i="67"/>
  <c r="AA818" i="67"/>
  <c r="AA57" i="67"/>
  <c r="AA515" i="67"/>
  <c r="AA210" i="67"/>
  <c r="AA363" i="67"/>
  <c r="W365" i="67"/>
  <c r="W820" i="67"/>
  <c r="W517" i="67"/>
  <c r="W59" i="67"/>
  <c r="W212" i="67"/>
  <c r="V517" i="67"/>
  <c r="V59" i="67"/>
  <c r="V820" i="67"/>
  <c r="V212" i="67"/>
  <c r="V365" i="67"/>
  <c r="N59" i="67"/>
  <c r="N212" i="67"/>
  <c r="N820" i="67"/>
  <c r="N365" i="67"/>
  <c r="N517" i="67"/>
  <c r="AV213" i="67"/>
  <c r="AV366" i="67"/>
  <c r="AV821" i="67"/>
  <c r="AV518" i="67"/>
  <c r="AV60" i="67"/>
  <c r="AN821" i="67"/>
  <c r="AN366" i="67"/>
  <c r="AN518" i="67"/>
  <c r="AN60" i="67"/>
  <c r="AN213" i="67"/>
  <c r="AJ366" i="67"/>
  <c r="AJ518" i="67"/>
  <c r="AJ60" i="67"/>
  <c r="AJ213" i="67"/>
  <c r="AJ821" i="67"/>
  <c r="T60" i="67"/>
  <c r="T518" i="67"/>
  <c r="T213" i="67"/>
  <c r="T821" i="67"/>
  <c r="T366" i="67"/>
  <c r="AQ409" i="67"/>
  <c r="AQ256" i="67"/>
  <c r="AQ864" i="67"/>
  <c r="AQ561" i="67"/>
  <c r="AQ103" i="67"/>
  <c r="AT834" i="67"/>
  <c r="AT379" i="67"/>
  <c r="AT683" i="67"/>
  <c r="AT531" i="67"/>
  <c r="AT226" i="67"/>
  <c r="AT73" i="67"/>
  <c r="AN212" i="67"/>
  <c r="AN517" i="67"/>
  <c r="AN820" i="67"/>
  <c r="AN59" i="67"/>
  <c r="AN365" i="67"/>
  <c r="AM58" i="67"/>
  <c r="AM364" i="67"/>
  <c r="AM516" i="67"/>
  <c r="AM211" i="67"/>
  <c r="AM819" i="67"/>
  <c r="AG103" i="67"/>
  <c r="AG864" i="67"/>
  <c r="AG256" i="67"/>
  <c r="AG561" i="67"/>
  <c r="AG409" i="67"/>
  <c r="AE379" i="67"/>
  <c r="AE73" i="67"/>
  <c r="AE683" i="67"/>
  <c r="AE834" i="67"/>
  <c r="AE226" i="67"/>
  <c r="AE531" i="67"/>
  <c r="X683" i="67"/>
  <c r="X226" i="67"/>
  <c r="X531" i="67"/>
  <c r="X73" i="67"/>
  <c r="X379" i="67"/>
  <c r="X834" i="67"/>
  <c r="U59" i="67"/>
  <c r="U517" i="67"/>
  <c r="U365" i="67"/>
  <c r="U820" i="67"/>
  <c r="U212" i="67"/>
  <c r="O414" i="67"/>
  <c r="O718" i="67"/>
  <c r="O108" i="67"/>
  <c r="O869" i="67"/>
  <c r="O261" i="67"/>
  <c r="O566" i="67"/>
  <c r="AW535" i="67"/>
  <c r="AW77" i="67"/>
  <c r="AW687" i="67"/>
  <c r="AW383" i="67"/>
  <c r="AW230" i="67"/>
  <c r="AU210" i="67"/>
  <c r="AU515" i="67"/>
  <c r="AU363" i="67"/>
  <c r="AU57" i="67"/>
  <c r="AU818" i="67"/>
  <c r="AQ834" i="67"/>
  <c r="AQ683" i="67"/>
  <c r="AQ226" i="67"/>
  <c r="AQ73" i="67"/>
  <c r="AQ379" i="67"/>
  <c r="AQ531" i="67"/>
  <c r="AN868" i="67"/>
  <c r="AN413" i="67"/>
  <c r="AN260" i="67"/>
  <c r="AN107" i="67"/>
  <c r="AN565" i="67"/>
  <c r="AM363" i="67"/>
  <c r="AM515" i="67"/>
  <c r="AM210" i="67"/>
  <c r="AM818" i="67"/>
  <c r="AM57" i="67"/>
  <c r="AF108" i="67"/>
  <c r="AF869" i="67"/>
  <c r="Y834" i="67"/>
  <c r="Y683" i="67"/>
  <c r="Y226" i="67"/>
  <c r="Y379" i="67"/>
  <c r="Y73" i="67"/>
  <c r="Y531" i="67"/>
  <c r="AA820" i="67"/>
  <c r="AA517" i="67"/>
  <c r="AA59" i="67"/>
  <c r="AA365" i="67"/>
  <c r="AA212" i="67"/>
  <c r="R379" i="67"/>
  <c r="R834" i="67"/>
  <c r="R226" i="67"/>
  <c r="R531" i="67"/>
  <c r="R683" i="67"/>
  <c r="R73" i="67"/>
  <c r="X212" i="67"/>
  <c r="X365" i="67"/>
  <c r="X517" i="67"/>
  <c r="X59" i="67"/>
  <c r="X820" i="67"/>
  <c r="W230" i="67"/>
  <c r="W687" i="67"/>
  <c r="W383" i="67"/>
  <c r="W77" i="67"/>
  <c r="W535" i="67"/>
  <c r="AM60" i="67"/>
  <c r="AM366" i="67"/>
  <c r="AM518" i="67"/>
  <c r="AM821" i="67"/>
  <c r="AM213" i="67"/>
  <c r="AC518" i="67"/>
  <c r="AC60" i="67"/>
  <c r="AC213" i="67"/>
  <c r="AC821" i="67"/>
  <c r="AC366" i="67"/>
  <c r="S366" i="67"/>
  <c r="S60" i="67"/>
  <c r="S518" i="67"/>
  <c r="S821" i="67"/>
  <c r="S213" i="67"/>
  <c r="N687" i="67"/>
  <c r="AK107" i="67"/>
  <c r="AK868" i="67"/>
  <c r="AK565" i="67"/>
  <c r="AK260" i="67"/>
  <c r="AK413" i="67"/>
  <c r="AU73" i="67"/>
  <c r="AU226" i="67"/>
  <c r="AU834" i="67"/>
  <c r="AU379" i="67"/>
  <c r="AU531" i="67"/>
  <c r="AU683" i="67"/>
  <c r="W379" i="67"/>
  <c r="W834" i="67"/>
  <c r="W683" i="67"/>
  <c r="W73" i="67"/>
  <c r="W226" i="67"/>
  <c r="W531" i="67"/>
  <c r="V714" i="67"/>
  <c r="V104" i="67"/>
  <c r="V865" i="67"/>
  <c r="V410" i="67"/>
  <c r="V257" i="67"/>
  <c r="V562" i="67"/>
  <c r="Q260" i="67"/>
  <c r="Q565" i="67"/>
  <c r="Q413" i="67"/>
  <c r="Q868" i="67"/>
  <c r="Q107" i="67"/>
  <c r="L256" i="67"/>
  <c r="L561" i="67"/>
  <c r="L103" i="67"/>
  <c r="L864" i="67"/>
  <c r="L409" i="67"/>
  <c r="AJ73" i="67"/>
  <c r="AJ226" i="67"/>
  <c r="AJ379" i="67"/>
  <c r="AJ834" i="67"/>
  <c r="AJ683" i="67"/>
  <c r="AJ531" i="67"/>
  <c r="AI261" i="67"/>
  <c r="AI718" i="67"/>
  <c r="AD108" i="67"/>
  <c r="AD718" i="67"/>
  <c r="AI819" i="67"/>
  <c r="AI211" i="67"/>
  <c r="AI364" i="67"/>
  <c r="AI516" i="67"/>
  <c r="AI58" i="67"/>
  <c r="W865" i="67"/>
  <c r="W410" i="67"/>
  <c r="Z365" i="67"/>
  <c r="Z59" i="67"/>
  <c r="Z517" i="67"/>
  <c r="Z820" i="67"/>
  <c r="Z212" i="67"/>
  <c r="V260" i="67"/>
  <c r="V107" i="67"/>
  <c r="V413" i="67"/>
  <c r="V565" i="67"/>
  <c r="V868" i="67"/>
  <c r="T379" i="67"/>
  <c r="T73" i="67"/>
  <c r="Q865" i="67"/>
  <c r="Q562" i="67"/>
  <c r="Q257" i="67"/>
  <c r="Q410" i="67"/>
  <c r="Q714" i="67"/>
  <c r="Q104" i="67"/>
  <c r="L834" i="67"/>
  <c r="L226" i="67"/>
  <c r="L683" i="67"/>
  <c r="L73" i="67"/>
  <c r="L531" i="67"/>
  <c r="L379" i="67"/>
  <c r="AD383" i="67"/>
  <c r="AD535" i="67"/>
  <c r="AD77" i="67"/>
  <c r="AD230" i="67"/>
  <c r="AD687" i="67"/>
  <c r="AI383" i="67"/>
  <c r="AI77" i="67"/>
  <c r="AI687" i="67"/>
  <c r="AI535" i="67"/>
  <c r="AI230" i="67"/>
  <c r="AB383" i="67"/>
  <c r="AB535" i="67"/>
  <c r="AB77" i="67"/>
  <c r="AB687" i="67"/>
  <c r="AB230" i="67"/>
  <c r="AE535" i="67"/>
  <c r="AE687" i="67"/>
  <c r="AE230" i="67"/>
  <c r="AE383" i="67"/>
  <c r="AE77" i="67"/>
  <c r="L366" i="67"/>
  <c r="L518" i="67"/>
  <c r="L60" i="67"/>
  <c r="L213" i="67"/>
  <c r="L821" i="67"/>
  <c r="R213" i="67"/>
  <c r="R366" i="67"/>
  <c r="R60" i="67"/>
  <c r="R518" i="67"/>
  <c r="R821" i="67"/>
  <c r="AO363" i="67"/>
  <c r="AO57" i="67"/>
  <c r="AO818" i="67"/>
  <c r="AO210" i="67"/>
  <c r="AO515" i="67"/>
  <c r="AO226" i="67"/>
  <c r="AO531" i="67"/>
  <c r="AO834" i="67"/>
  <c r="AO73" i="67"/>
  <c r="AO379" i="67"/>
  <c r="AO683" i="67"/>
  <c r="AC834" i="67"/>
  <c r="AC226" i="67"/>
  <c r="AC683" i="67"/>
  <c r="AC531" i="67"/>
  <c r="AC379" i="67"/>
  <c r="AC73" i="67"/>
  <c r="AD516" i="67"/>
  <c r="AD819" i="67"/>
  <c r="AC413" i="67"/>
  <c r="P379" i="67"/>
  <c r="P73" i="67"/>
  <c r="P683" i="67"/>
  <c r="P834" i="67"/>
  <c r="P226" i="67"/>
  <c r="P531" i="67"/>
  <c r="V383" i="67"/>
  <c r="V77" i="67"/>
  <c r="V535" i="67"/>
  <c r="V687" i="67"/>
  <c r="V230" i="67"/>
  <c r="AN77" i="67"/>
  <c r="AN230" i="67"/>
  <c r="AN535" i="67"/>
  <c r="AN687" i="67"/>
  <c r="AN383" i="67"/>
  <c r="AK366" i="67"/>
  <c r="AK518" i="67"/>
  <c r="AK60" i="67"/>
  <c r="AK821" i="67"/>
  <c r="AK213" i="67"/>
  <c r="AQ820" i="67"/>
  <c r="AQ517" i="67"/>
  <c r="AQ365" i="67"/>
  <c r="AQ212" i="67"/>
  <c r="AQ59" i="67"/>
  <c r="AK517" i="67"/>
  <c r="AK820" i="67"/>
  <c r="AK212" i="67"/>
  <c r="AK365" i="67"/>
  <c r="AK59" i="67"/>
  <c r="BE52" i="68"/>
  <c r="AE562" i="67"/>
  <c r="AE714" i="67"/>
  <c r="AE104" i="67"/>
  <c r="X257" i="67"/>
  <c r="X865" i="67"/>
  <c r="X714" i="67"/>
  <c r="X410" i="67"/>
  <c r="X562" i="67"/>
  <c r="X104" i="67"/>
  <c r="P818" i="67"/>
  <c r="P210" i="67"/>
  <c r="P363" i="67"/>
  <c r="P57" i="67"/>
  <c r="P515" i="67"/>
  <c r="O379" i="67"/>
  <c r="O226" i="67"/>
  <c r="O683" i="67"/>
  <c r="O531" i="67"/>
  <c r="O834" i="67"/>
  <c r="O73" i="67"/>
  <c r="O57" i="67"/>
  <c r="O818" i="67"/>
  <c r="O515" i="67"/>
  <c r="O210" i="67"/>
  <c r="O363" i="67"/>
  <c r="L59" i="67"/>
  <c r="L820" i="67"/>
  <c r="L365" i="67"/>
  <c r="L212" i="67"/>
  <c r="L517" i="67"/>
  <c r="AU60" i="67"/>
  <c r="AU821" i="67"/>
  <c r="AU518" i="67"/>
  <c r="AU366" i="67"/>
  <c r="AU213" i="67"/>
  <c r="AT230" i="67"/>
  <c r="AT383" i="67"/>
  <c r="AT77" i="67"/>
  <c r="AT535" i="67"/>
  <c r="AT687" i="67"/>
  <c r="U821" i="67"/>
  <c r="U366" i="67"/>
  <c r="U518" i="67"/>
  <c r="U60" i="67"/>
  <c r="U213" i="67"/>
  <c r="O535" i="67"/>
  <c r="O77" i="67"/>
  <c r="O687" i="67"/>
  <c r="O230" i="67"/>
  <c r="O383" i="67"/>
  <c r="AU256" i="67"/>
  <c r="AU561" i="67"/>
  <c r="AU864" i="67"/>
  <c r="AU409" i="67"/>
  <c r="AU103" i="67"/>
  <c r="AN818" i="67"/>
  <c r="AN57" i="67"/>
  <c r="AN210" i="67"/>
  <c r="AN363" i="67"/>
  <c r="AN515" i="67"/>
  <c r="AV212" i="67"/>
  <c r="AV517" i="67"/>
  <c r="AV820" i="67"/>
  <c r="AV59" i="67"/>
  <c r="AV365" i="67"/>
  <c r="AL562" i="67"/>
  <c r="AL714" i="67"/>
  <c r="AL410" i="67"/>
  <c r="AL104" i="67"/>
  <c r="AL257" i="67"/>
  <c r="AL865" i="67"/>
  <c r="AL561" i="67"/>
  <c r="AG683" i="67"/>
  <c r="AG379" i="67"/>
  <c r="AG531" i="67"/>
  <c r="AG226" i="67"/>
  <c r="AG834" i="67"/>
  <c r="AG73" i="67"/>
  <c r="AJ517" i="67"/>
  <c r="AJ820" i="67"/>
  <c r="AJ59" i="67"/>
  <c r="AJ365" i="67"/>
  <c r="AJ212" i="67"/>
  <c r="AB834" i="67"/>
  <c r="AB683" i="67"/>
  <c r="AB226" i="67"/>
  <c r="AB73" i="67"/>
  <c r="AB379" i="67"/>
  <c r="AB531" i="67"/>
  <c r="M413" i="67"/>
  <c r="AK230" i="67"/>
  <c r="AK383" i="67"/>
  <c r="AK535" i="67"/>
  <c r="AK687" i="67"/>
  <c r="AK77" i="67"/>
  <c r="AO230" i="67"/>
  <c r="AO383" i="67"/>
  <c r="AO535" i="67"/>
  <c r="AO77" i="67"/>
  <c r="AO687" i="67"/>
  <c r="AA366" i="67"/>
  <c r="AA60" i="67"/>
  <c r="AA518" i="67"/>
  <c r="AA821" i="67"/>
  <c r="AA213" i="67"/>
  <c r="V213" i="67"/>
  <c r="V821" i="67"/>
  <c r="V366" i="67"/>
  <c r="V518" i="67"/>
  <c r="V60" i="67"/>
  <c r="AI57" i="67"/>
  <c r="AI818" i="67"/>
  <c r="AI363" i="67"/>
  <c r="AI515" i="67"/>
  <c r="AI210" i="67"/>
  <c r="AK414" i="67"/>
  <c r="AK566" i="67"/>
  <c r="AK108" i="67"/>
  <c r="AK718" i="67"/>
  <c r="AK261" i="67"/>
  <c r="AK869" i="67"/>
  <c r="V834" i="67"/>
  <c r="Q414" i="67"/>
  <c r="Q869" i="67"/>
  <c r="Q718" i="67"/>
  <c r="Q261" i="67"/>
  <c r="Q566" i="67"/>
  <c r="Q108" i="67"/>
  <c r="S865" i="67"/>
  <c r="S562" i="67"/>
  <c r="M226" i="67"/>
  <c r="M379" i="67"/>
  <c r="M73" i="67"/>
  <c r="M834" i="67"/>
  <c r="M683" i="67"/>
  <c r="M531" i="67"/>
  <c r="M819" i="67"/>
  <c r="M211" i="67"/>
  <c r="M516" i="67"/>
  <c r="M364" i="67"/>
  <c r="M58" i="67"/>
  <c r="Z383" i="67"/>
  <c r="Z535" i="67"/>
  <c r="Z77" i="67"/>
  <c r="Z687" i="67"/>
  <c r="Z230" i="67"/>
  <c r="AG230" i="67"/>
  <c r="AG383" i="67"/>
  <c r="AG77" i="67"/>
  <c r="AG687" i="67"/>
  <c r="AG535" i="67"/>
  <c r="AW57" i="67"/>
  <c r="AW363" i="67"/>
  <c r="AW818" i="67"/>
  <c r="AW210" i="67"/>
  <c r="AW515" i="67"/>
  <c r="AT864" i="67"/>
  <c r="AV257" i="67"/>
  <c r="AV104" i="67"/>
  <c r="AO212" i="67"/>
  <c r="AO59" i="67"/>
  <c r="AO365" i="67"/>
  <c r="AO517" i="67"/>
  <c r="AO820" i="67"/>
  <c r="AF409" i="67"/>
  <c r="AF103" i="67"/>
  <c r="AF561" i="67"/>
  <c r="AF864" i="67"/>
  <c r="AF256" i="67"/>
  <c r="AB364" i="67"/>
  <c r="AB211" i="67"/>
  <c r="AB819" i="67"/>
  <c r="AB516" i="67"/>
  <c r="AB58" i="67"/>
  <c r="Z210" i="67"/>
  <c r="Z818" i="67"/>
  <c r="Z515" i="67"/>
  <c r="Z363" i="67"/>
  <c r="Z57" i="67"/>
  <c r="P869" i="67"/>
  <c r="P566" i="67"/>
  <c r="P261" i="67"/>
  <c r="P108" i="67"/>
  <c r="P718" i="67"/>
  <c r="P414" i="67"/>
  <c r="Q365" i="67"/>
  <c r="Q820" i="67"/>
  <c r="Q212" i="67"/>
  <c r="Q59" i="67"/>
  <c r="Q517" i="67"/>
  <c r="N73" i="67"/>
  <c r="N379" i="67"/>
  <c r="N226" i="67"/>
  <c r="N683" i="67"/>
  <c r="N531" i="67"/>
  <c r="N834" i="67"/>
  <c r="AL230" i="67"/>
  <c r="AL383" i="67"/>
  <c r="AL535" i="67"/>
  <c r="AL77" i="67"/>
  <c r="AL687" i="67"/>
  <c r="AQ868" i="67"/>
  <c r="AQ107" i="67"/>
  <c r="AQ413" i="67"/>
  <c r="AQ260" i="67"/>
  <c r="AQ565" i="67"/>
  <c r="AR365" i="67"/>
  <c r="AR820" i="67"/>
  <c r="AR517" i="67"/>
  <c r="AR212" i="67"/>
  <c r="AR59" i="67"/>
  <c r="AP108" i="67"/>
  <c r="AH211" i="67"/>
  <c r="AH819" i="67"/>
  <c r="AH516" i="67"/>
  <c r="AH364" i="67"/>
  <c r="AH58" i="67"/>
  <c r="AG517" i="67"/>
  <c r="AG365" i="67"/>
  <c r="AG820" i="67"/>
  <c r="AG59" i="67"/>
  <c r="AG212" i="67"/>
  <c r="AJ211" i="67"/>
  <c r="AJ819" i="67"/>
  <c r="AJ516" i="67"/>
  <c r="AJ364" i="67"/>
  <c r="AJ58" i="67"/>
  <c r="O562" i="67"/>
  <c r="O410" i="67"/>
  <c r="O257" i="67"/>
  <c r="AU383" i="67"/>
  <c r="S230" i="67"/>
  <c r="S383" i="67"/>
  <c r="AN256" i="67"/>
  <c r="AN409" i="67"/>
  <c r="AN103" i="67"/>
  <c r="AN864" i="67"/>
  <c r="AN561" i="67"/>
  <c r="AM868" i="67"/>
  <c r="AM107" i="67"/>
  <c r="AL834" i="67"/>
  <c r="AL379" i="67"/>
  <c r="AL531" i="67"/>
  <c r="AL226" i="67"/>
  <c r="AL683" i="67"/>
  <c r="AL73" i="67"/>
  <c r="AF73" i="67"/>
  <c r="AF379" i="67"/>
  <c r="AF834" i="67"/>
  <c r="AF683" i="67"/>
  <c r="AF226" i="67"/>
  <c r="AF531" i="67"/>
  <c r="Y818" i="67"/>
  <c r="Y363" i="67"/>
  <c r="Y57" i="67"/>
  <c r="Y210" i="67"/>
  <c r="Y515" i="67"/>
  <c r="AB820" i="67"/>
  <c r="AB517" i="67"/>
  <c r="AB59" i="67"/>
  <c r="AB365" i="67"/>
  <c r="AB212" i="67"/>
  <c r="U565" i="67"/>
  <c r="U58" i="67"/>
  <c r="U364" i="67"/>
  <c r="U516" i="67"/>
  <c r="U819" i="67"/>
  <c r="U211" i="67"/>
  <c r="O819" i="67"/>
  <c r="O364" i="67"/>
  <c r="O516" i="67"/>
  <c r="O58" i="67"/>
  <c r="O211" i="67"/>
  <c r="AP821" i="67"/>
  <c r="AP213" i="67"/>
  <c r="AP366" i="67"/>
  <c r="AP60" i="67"/>
  <c r="AP518" i="67"/>
  <c r="AF366" i="67"/>
  <c r="AF60" i="67"/>
  <c r="AF518" i="67"/>
  <c r="AF213" i="67"/>
  <c r="AF821" i="67"/>
  <c r="AZ52" i="68" l="1"/>
  <c r="AV52" i="68"/>
  <c r="AW19" i="68"/>
  <c r="AW60" i="68" s="1"/>
  <c r="V20" i="62"/>
  <c r="AF19" i="68"/>
  <c r="AF60" i="68" s="1"/>
  <c r="E20" i="62"/>
  <c r="BM19" i="68"/>
  <c r="BM60" i="68" s="1"/>
  <c r="AL20" i="62"/>
  <c r="AI19" i="68"/>
  <c r="AI60" i="68" s="1"/>
  <c r="H20" i="62"/>
  <c r="AV19" i="68"/>
  <c r="AV60" i="68" s="1"/>
  <c r="U20" i="62"/>
  <c r="BI67" i="68"/>
  <c r="AH41" i="62"/>
  <c r="AZ19" i="68"/>
  <c r="AZ60" i="68" s="1"/>
  <c r="Y20" i="62"/>
  <c r="AG67" i="68"/>
  <c r="F41" i="62"/>
  <c r="AO19" i="68"/>
  <c r="AO60" i="68" s="1"/>
  <c r="N20" i="62"/>
  <c r="AO67" i="68"/>
  <c r="N41" i="62"/>
  <c r="BI19" i="68"/>
  <c r="BI60" i="68" s="1"/>
  <c r="AH20" i="62"/>
  <c r="AX19" i="68"/>
  <c r="AX60" i="68" s="1"/>
  <c r="W20" i="62"/>
  <c r="BH19" i="68"/>
  <c r="BH60" i="68" s="1"/>
  <c r="AG20" i="62"/>
  <c r="AR67" i="68"/>
  <c r="Q41" i="62"/>
  <c r="BK19" i="68"/>
  <c r="BK60" i="68" s="1"/>
  <c r="AJ20" i="62"/>
  <c r="AY67" i="68"/>
  <c r="X41" i="62"/>
  <c r="AS19" i="68"/>
  <c r="AS60" i="68" s="1"/>
  <c r="R20" i="62"/>
  <c r="AU19" i="68"/>
  <c r="AU60" i="68" s="1"/>
  <c r="T20" i="62"/>
  <c r="AK19" i="68"/>
  <c r="AK60" i="68" s="1"/>
  <c r="J20" i="62"/>
  <c r="AZ67" i="68"/>
  <c r="Y41" i="62"/>
  <c r="BC67" i="68"/>
  <c r="AB41" i="62"/>
  <c r="BN19" i="68"/>
  <c r="BN60" i="68" s="1"/>
  <c r="AM20" i="62"/>
  <c r="AV67" i="68"/>
  <c r="U41" i="62"/>
  <c r="BF19" i="68"/>
  <c r="BF60" i="68" s="1"/>
  <c r="AE20" i="62"/>
  <c r="BB19" i="68"/>
  <c r="BB60" i="68" s="1"/>
  <c r="AA20" i="62"/>
  <c r="BL19" i="68"/>
  <c r="BL60" i="68" s="1"/>
  <c r="AK20" i="62"/>
  <c r="BP19" i="68"/>
  <c r="BP60" i="68" s="1"/>
  <c r="AO20" i="62"/>
  <c r="AQ19" i="68"/>
  <c r="AQ60" i="68" s="1"/>
  <c r="P20" i="62"/>
  <c r="BA19" i="68"/>
  <c r="BA60" i="68" s="1"/>
  <c r="Z20" i="62"/>
  <c r="BE67" i="68"/>
  <c r="AD41" i="62"/>
  <c r="BK67" i="68"/>
  <c r="AJ41" i="62"/>
  <c r="AT19" i="68"/>
  <c r="AT60" i="68" s="1"/>
  <c r="S20" i="62"/>
  <c r="AG19" i="68"/>
  <c r="AG60" i="68" s="1"/>
  <c r="F20" i="62"/>
  <c r="AY19" i="68"/>
  <c r="AY60" i="68" s="1"/>
  <c r="X20" i="62"/>
  <c r="AR19" i="68"/>
  <c r="AR60" i="68" s="1"/>
  <c r="Q20" i="62"/>
  <c r="AN19" i="68"/>
  <c r="AN60" i="68" s="1"/>
  <c r="M20" i="62"/>
  <c r="AL19" i="68"/>
  <c r="AL60" i="68" s="1"/>
  <c r="K20" i="62"/>
  <c r="AM19" i="68"/>
  <c r="AM60" i="68" s="1"/>
  <c r="L20" i="62"/>
  <c r="BG19" i="68"/>
  <c r="BG60" i="68" s="1"/>
  <c r="AF20" i="62"/>
  <c r="AH19" i="68"/>
  <c r="AH60" i="68" s="1"/>
  <c r="G20" i="62"/>
  <c r="AJ19" i="68"/>
  <c r="AJ60" i="68" s="1"/>
  <c r="I20" i="62"/>
  <c r="BD19" i="68"/>
  <c r="BD60" i="68" s="1"/>
  <c r="AC20" i="62"/>
  <c r="AK67" i="68"/>
  <c r="J41" i="62"/>
  <c r="AT52" i="68"/>
  <c r="BL52" i="68"/>
  <c r="AO1289" i="67"/>
  <c r="AQ52" i="68"/>
  <c r="AF1254" i="67"/>
  <c r="AT1338" i="67"/>
  <c r="R1356" i="67"/>
  <c r="Y1289" i="67"/>
  <c r="Z1289" i="67"/>
  <c r="Z1356" i="67"/>
  <c r="O1236" i="67"/>
  <c r="AM1356" i="67"/>
  <c r="AB1235" i="67"/>
  <c r="AM1338" i="67"/>
  <c r="O1356" i="67"/>
  <c r="X1254" i="67"/>
  <c r="AR1354" i="67"/>
  <c r="AD1355" i="67"/>
  <c r="AE1236" i="67"/>
  <c r="P1340" i="67"/>
  <c r="AE1356" i="67"/>
  <c r="AU1235" i="67"/>
  <c r="AC1252" i="67"/>
  <c r="V1234" i="67"/>
  <c r="R1339" i="67"/>
  <c r="R1254" i="67"/>
  <c r="AF1291" i="67"/>
  <c r="Q1354" i="67"/>
  <c r="AG1254" i="67"/>
  <c r="P1356" i="67"/>
  <c r="AP1234" i="67"/>
  <c r="AJ1340" i="67"/>
  <c r="R1234" i="67"/>
  <c r="AB1273" i="67"/>
  <c r="Y1355" i="67"/>
  <c r="S1289" i="67"/>
  <c r="AH1340" i="67"/>
  <c r="O1234" i="67"/>
  <c r="Z1340" i="67"/>
  <c r="X1356" i="67"/>
  <c r="W1253" i="67"/>
  <c r="W1338" i="67"/>
  <c r="AD1339" i="67"/>
  <c r="AR1235" i="67"/>
  <c r="T1254" i="67"/>
  <c r="Q1252" i="67"/>
  <c r="Q1234" i="67"/>
  <c r="W1290" i="67"/>
  <c r="O1291" i="67"/>
  <c r="N1253" i="67"/>
  <c r="AE1340" i="67"/>
  <c r="AH1234" i="67"/>
  <c r="U1253" i="67"/>
  <c r="AE1291" i="67"/>
  <c r="R1354" i="67"/>
  <c r="AF1340" i="67"/>
  <c r="AI1221" i="67"/>
  <c r="Z1236" i="67"/>
  <c r="M1356" i="67"/>
  <c r="AO1236" i="67"/>
  <c r="AF1356" i="67"/>
  <c r="AS1354" i="67"/>
  <c r="S1236" i="67"/>
  <c r="AB1253" i="67"/>
  <c r="AM1340" i="67"/>
  <c r="L1354" i="67"/>
  <c r="AI1355" i="67"/>
  <c r="AH1252" i="67"/>
  <c r="AR1252" i="67"/>
  <c r="Z1235" i="67"/>
  <c r="N1235" i="67"/>
  <c r="AR1338" i="67"/>
  <c r="AK1339" i="67"/>
  <c r="X1289" i="67"/>
  <c r="AE1289" i="67"/>
  <c r="AI1289" i="67"/>
  <c r="AT1290" i="67"/>
  <c r="N1290" i="67"/>
  <c r="Y1236" i="67"/>
  <c r="AH1236" i="67"/>
  <c r="O1340" i="67"/>
  <c r="AB1355" i="67"/>
  <c r="AP1253" i="67"/>
  <c r="S1235" i="67"/>
  <c r="S1253" i="67"/>
  <c r="T1291" i="67"/>
  <c r="R1338" i="67"/>
  <c r="V1338" i="67"/>
  <c r="W1234" i="67"/>
  <c r="O1252" i="67"/>
  <c r="AL1234" i="67"/>
  <c r="L1252" i="67"/>
  <c r="M1254" i="67"/>
  <c r="AM1236" i="67"/>
  <c r="AT1235" i="67"/>
  <c r="X1236" i="67"/>
  <c r="AB1290" i="67"/>
  <c r="AS1355" i="67"/>
  <c r="Y1356" i="67"/>
  <c r="AH1354" i="67"/>
  <c r="AP1339" i="67"/>
  <c r="AU1339" i="67"/>
  <c r="Z1254" i="67"/>
  <c r="AS1339" i="67"/>
  <c r="AD1253" i="67"/>
  <c r="AC1234" i="67"/>
  <c r="Y1291" i="67"/>
  <c r="AL1338" i="67"/>
  <c r="Y1340" i="67"/>
  <c r="S1355" i="67"/>
  <c r="AC1235" i="67"/>
  <c r="AP1235" i="67"/>
  <c r="AT1354" i="67"/>
  <c r="AR1253" i="67"/>
  <c r="AF1289" i="67"/>
  <c r="N1289" i="67"/>
  <c r="AB1289" i="67"/>
  <c r="AQ1289" i="67"/>
  <c r="AD1289" i="67"/>
  <c r="Z1291" i="67"/>
  <c r="AR1290" i="67"/>
  <c r="X1253" i="67"/>
  <c r="W1235" i="67"/>
  <c r="M1354" i="67"/>
  <c r="AT1339" i="67"/>
  <c r="S1339" i="67"/>
  <c r="AC1338" i="67"/>
  <c r="S1291" i="67"/>
  <c r="N1339" i="67"/>
  <c r="AH1254" i="67"/>
  <c r="AP1354" i="67"/>
  <c r="Y1254" i="67"/>
  <c r="AM1354" i="67"/>
  <c r="S1290" i="67"/>
  <c r="W1355" i="67"/>
  <c r="Q1338" i="67"/>
  <c r="Y1235" i="67"/>
  <c r="R1253" i="67"/>
  <c r="AA1234" i="67"/>
  <c r="AL1252" i="67"/>
  <c r="Y1339" i="67"/>
  <c r="AU1355" i="67"/>
  <c r="AI1290" i="67"/>
  <c r="M1234" i="67"/>
  <c r="U1355" i="67"/>
  <c r="AB1339" i="67"/>
  <c r="AD1235" i="67"/>
  <c r="U1234" i="67"/>
  <c r="AS1252" i="67"/>
  <c r="AV1252" i="67"/>
  <c r="U1235" i="67"/>
  <c r="AF1236" i="67"/>
  <c r="S1340" i="67"/>
  <c r="AM1252" i="67"/>
  <c r="AP1338" i="67"/>
  <c r="AT1253" i="67"/>
  <c r="AT1234" i="67"/>
  <c r="AT1355" i="67"/>
  <c r="Y1253" i="67"/>
  <c r="T1356" i="67"/>
  <c r="N1355" i="67"/>
  <c r="AG1340" i="67"/>
  <c r="M1252" i="67"/>
  <c r="AV1338" i="67"/>
  <c r="U1354" i="67"/>
  <c r="AG1354" i="67"/>
  <c r="AG1252" i="67"/>
  <c r="P1289" i="67"/>
  <c r="AU1289" i="67"/>
  <c r="AU1290" i="67"/>
  <c r="AH1338" i="67"/>
  <c r="AH1356" i="67"/>
  <c r="AR1355" i="67"/>
  <c r="AR1234" i="67"/>
  <c r="W1339" i="67"/>
  <c r="P1254" i="67"/>
  <c r="AP1290" i="67"/>
  <c r="AA1338" i="67"/>
  <c r="AG1338" i="67"/>
  <c r="T1354" i="67"/>
  <c r="AI1235" i="67"/>
  <c r="AD1290" i="67"/>
  <c r="R1235" i="67"/>
  <c r="R1236" i="67"/>
  <c r="L1338" i="67"/>
  <c r="R1340" i="67"/>
  <c r="AM1234" i="67"/>
  <c r="AO1254" i="67"/>
  <c r="AG1356" i="67"/>
  <c r="AC1354" i="67"/>
  <c r="S1356" i="67"/>
  <c r="L1340" i="67"/>
  <c r="AP1355" i="67"/>
  <c r="AN1356" i="67"/>
  <c r="W1220" i="67"/>
  <c r="V1220" i="67"/>
  <c r="AP1220" i="67"/>
  <c r="L1220" i="67"/>
  <c r="U1220" i="67"/>
  <c r="AA1220" i="67"/>
  <c r="AU1273" i="67"/>
  <c r="AH1274" i="67"/>
  <c r="Q1275" i="67"/>
  <c r="AA1275" i="67"/>
  <c r="P1273" i="67"/>
  <c r="AF1273" i="67"/>
  <c r="AO1274" i="67"/>
  <c r="AK1275" i="67"/>
  <c r="AE1274" i="67"/>
  <c r="AV1275" i="67"/>
  <c r="Z1273" i="67"/>
  <c r="AL1289" i="67"/>
  <c r="AT1289" i="67"/>
  <c r="O1289" i="67"/>
  <c r="AP1289" i="67"/>
  <c r="AW1252" i="67"/>
  <c r="AW1234" i="67"/>
  <c r="AT1220" i="67"/>
  <c r="AE1222" i="67"/>
  <c r="AV1220" i="67"/>
  <c r="AM1222" i="67"/>
  <c r="Y1222" i="67"/>
  <c r="AC1221" i="67"/>
  <c r="AG1222" i="67"/>
  <c r="AT1221" i="67"/>
  <c r="U1221" i="67"/>
  <c r="AP1221" i="67"/>
  <c r="O1222" i="67"/>
  <c r="AT1275" i="67"/>
  <c r="L1275" i="67"/>
  <c r="AQ1274" i="67"/>
  <c r="X1274" i="67"/>
  <c r="Y1273" i="67"/>
  <c r="AP1275" i="67"/>
  <c r="AN1275" i="67"/>
  <c r="AI1275" i="67"/>
  <c r="AL1274" i="67"/>
  <c r="R1291" i="67"/>
  <c r="L1289" i="67"/>
  <c r="W1289" i="67"/>
  <c r="AN1289" i="67"/>
  <c r="AK1289" i="67"/>
  <c r="R1289" i="67"/>
  <c r="M1289" i="67"/>
  <c r="AW1338" i="67"/>
  <c r="AL1220" i="67"/>
  <c r="T1222" i="67"/>
  <c r="S1222" i="67"/>
  <c r="AR1221" i="67"/>
  <c r="S1221" i="67"/>
  <c r="M1222" i="67"/>
  <c r="AM1220" i="67"/>
  <c r="AS1220" i="67"/>
  <c r="N1221" i="67"/>
  <c r="AG1220" i="67"/>
  <c r="AH1220" i="67"/>
  <c r="AR1220" i="67"/>
  <c r="AB1275" i="67"/>
  <c r="AR1275" i="67"/>
  <c r="K1276" i="67"/>
  <c r="AM1273" i="67"/>
  <c r="AJ1274" i="67"/>
  <c r="AC1275" i="67"/>
  <c r="AN1274" i="67"/>
  <c r="AQ1275" i="67"/>
  <c r="V1275" i="67"/>
  <c r="M1274" i="67"/>
  <c r="AJ1289" i="67"/>
  <c r="AJ1273" i="67"/>
  <c r="U1289" i="67"/>
  <c r="AI1274" i="67"/>
  <c r="Q1289" i="67"/>
  <c r="AR1289" i="67"/>
  <c r="AK1273" i="67"/>
  <c r="AO1222" i="67"/>
  <c r="M1220" i="67"/>
  <c r="AH1222" i="67"/>
  <c r="P1222" i="67"/>
  <c r="W1221" i="67"/>
  <c r="Z1222" i="67"/>
  <c r="AF1222" i="67"/>
  <c r="X1222" i="67"/>
  <c r="Q1220" i="67"/>
  <c r="AC1220" i="67"/>
  <c r="AB1221" i="67"/>
  <c r="AS1275" i="67"/>
  <c r="U1275" i="67"/>
  <c r="O1274" i="67"/>
  <c r="Q1274" i="67"/>
  <c r="AD1273" i="67"/>
  <c r="AM1274" i="67"/>
  <c r="V1274" i="67"/>
  <c r="Z1274" i="67"/>
  <c r="W1275" i="67"/>
  <c r="T1274" i="67"/>
  <c r="AH1289" i="67"/>
  <c r="AC1289" i="67"/>
  <c r="AG1289" i="67"/>
  <c r="S1273" i="67"/>
  <c r="AN171" i="65"/>
  <c r="AW667" i="67" s="1"/>
  <c r="AW1273" i="67" s="1"/>
  <c r="AJ171" i="65"/>
  <c r="AS667" i="67" s="1"/>
  <c r="AE171" i="65"/>
  <c r="AN667" i="67" s="1"/>
  <c r="AN1273" i="67" s="1"/>
  <c r="D171" i="65"/>
  <c r="M667" i="67" s="1"/>
  <c r="M1273" i="67" s="1"/>
  <c r="Y171" i="65"/>
  <c r="AH667" i="67" s="1"/>
  <c r="AG171" i="65"/>
  <c r="AP667" i="67" s="1"/>
  <c r="AP1273" i="67" s="1"/>
  <c r="H171" i="65"/>
  <c r="Q667" i="67" s="1"/>
  <c r="Q1273" i="67" s="1"/>
  <c r="AA1273" i="67"/>
  <c r="AU1275" i="67"/>
  <c r="AG1275" i="67"/>
  <c r="S1274" i="67"/>
  <c r="AL1275" i="67"/>
  <c r="N1275" i="67"/>
  <c r="AO1275" i="67"/>
  <c r="AK1274" i="67"/>
  <c r="AW1275" i="67"/>
  <c r="AW1220" i="67"/>
  <c r="AW52" i="68"/>
  <c r="BQ52" i="68"/>
  <c r="AP41" i="62" s="1"/>
  <c r="BQ19" i="68"/>
  <c r="AO667" i="67"/>
  <c r="AO1273" i="67" s="1"/>
  <c r="Q230" i="67"/>
  <c r="X171" i="65"/>
  <c r="AG667" i="67" s="1"/>
  <c r="E172" i="65"/>
  <c r="N668" i="67" s="1"/>
  <c r="AG172" i="65"/>
  <c r="AP668" i="67" s="1"/>
  <c r="AD173" i="65"/>
  <c r="AM669" i="67" s="1"/>
  <c r="S172" i="65"/>
  <c r="AB668" i="67" s="1"/>
  <c r="AB1274" i="67" s="1"/>
  <c r="C171" i="65"/>
  <c r="L667" i="67" s="1"/>
  <c r="V173" i="65"/>
  <c r="AE669" i="67" s="1"/>
  <c r="W173" i="65"/>
  <c r="AF669" i="67" s="1"/>
  <c r="O173" i="65"/>
  <c r="X669" i="67" s="1"/>
  <c r="X1275" i="67" s="1"/>
  <c r="AK171" i="65"/>
  <c r="AT667" i="67" s="1"/>
  <c r="AT1273" i="67" s="1"/>
  <c r="Q173" i="65"/>
  <c r="Z669" i="67" s="1"/>
  <c r="Z1275" i="67" s="1"/>
  <c r="W668" i="67"/>
  <c r="W1274" i="67" s="1"/>
  <c r="O667" i="67"/>
  <c r="O1273" i="67" s="1"/>
  <c r="AQ667" i="67"/>
  <c r="AQ1273" i="67" s="1"/>
  <c r="AI667" i="67"/>
  <c r="AI1273" i="67" s="1"/>
  <c r="G172" i="65"/>
  <c r="K171" i="65"/>
  <c r="T667" i="67" s="1"/>
  <c r="AQ261" i="67"/>
  <c r="I172" i="65"/>
  <c r="R668" i="67" s="1"/>
  <c r="M171" i="65"/>
  <c r="AL172" i="65"/>
  <c r="AU668" i="67" s="1"/>
  <c r="P173" i="65"/>
  <c r="Y669" i="67" s="1"/>
  <c r="J173" i="65"/>
  <c r="L171" i="65"/>
  <c r="AJ172" i="65"/>
  <c r="AI172" i="65"/>
  <c r="AR668" i="67" s="1"/>
  <c r="AR1274" i="67" s="1"/>
  <c r="L172" i="65"/>
  <c r="U668" i="67" s="1"/>
  <c r="U1274" i="67" s="1"/>
  <c r="K173" i="65"/>
  <c r="AA173" i="65"/>
  <c r="K687" i="67"/>
  <c r="K383" i="67"/>
  <c r="K230" i="67"/>
  <c r="K535" i="67"/>
  <c r="K77" i="67"/>
  <c r="AK172" i="65"/>
  <c r="Y173" i="65"/>
  <c r="I171" i="65"/>
  <c r="R667" i="67" s="1"/>
  <c r="T171" i="65"/>
  <c r="I173" i="65"/>
  <c r="R669" i="67" s="1"/>
  <c r="AC171" i="65"/>
  <c r="AM171" i="65"/>
  <c r="U172" i="65"/>
  <c r="AW668" i="67"/>
  <c r="AW1274" i="67" s="1"/>
  <c r="AA668" i="67"/>
  <c r="AA1274" i="67" s="1"/>
  <c r="R77" i="67"/>
  <c r="R230" i="67"/>
  <c r="R535" i="67"/>
  <c r="R687" i="67"/>
  <c r="R383" i="67"/>
  <c r="AI171" i="65"/>
  <c r="P172" i="65"/>
  <c r="Y668" i="67" s="1"/>
  <c r="T172" i="65"/>
  <c r="AC668" i="67" s="1"/>
  <c r="Z261" i="67"/>
  <c r="AT257" i="67"/>
  <c r="AN566" i="67"/>
  <c r="AP869" i="67"/>
  <c r="AG566" i="67"/>
  <c r="P864" i="67"/>
  <c r="R565" i="67"/>
  <c r="U103" i="67"/>
  <c r="AH868" i="67"/>
  <c r="Z868" i="67"/>
  <c r="AM381" i="67"/>
  <c r="U562" i="67"/>
  <c r="AO261" i="67"/>
  <c r="M260" i="67"/>
  <c r="AC410" i="67"/>
  <c r="S714" i="67"/>
  <c r="S256" i="67"/>
  <c r="AU687" i="67"/>
  <c r="M261" i="67"/>
  <c r="AC561" i="67"/>
  <c r="AT107" i="67"/>
  <c r="AJ562" i="67"/>
  <c r="AM260" i="67"/>
  <c r="AL256" i="67"/>
  <c r="AR77" i="67"/>
  <c r="AE257" i="67"/>
  <c r="N864" i="67"/>
  <c r="Y565" i="67"/>
  <c r="AP410" i="67"/>
  <c r="Z562" i="67"/>
  <c r="AL868" i="67"/>
  <c r="R256" i="67"/>
  <c r="AH409" i="67"/>
  <c r="AL108" i="67"/>
  <c r="P714" i="67"/>
  <c r="V414" i="67"/>
  <c r="AL818" i="67"/>
  <c r="AQ410" i="67"/>
  <c r="Y104" i="67"/>
  <c r="AH566" i="67"/>
  <c r="AE414" i="67"/>
  <c r="AO257" i="67"/>
  <c r="AG868" i="67"/>
  <c r="AR413" i="67"/>
  <c r="T261" i="67"/>
  <c r="T257" i="67"/>
  <c r="AD58" i="67"/>
  <c r="O714" i="67"/>
  <c r="AJ413" i="67"/>
  <c r="M104" i="67"/>
  <c r="AT409" i="67"/>
  <c r="AE868" i="67"/>
  <c r="AJ381" i="67"/>
  <c r="AS261" i="67"/>
  <c r="S414" i="67"/>
  <c r="AD256" i="67"/>
  <c r="AN865" i="67"/>
  <c r="AU410" i="67"/>
  <c r="Y869" i="67"/>
  <c r="AM73" i="67"/>
  <c r="O256" i="67"/>
  <c r="P107" i="67"/>
  <c r="AM257" i="67"/>
  <c r="W260" i="67"/>
  <c r="AW379" i="67"/>
  <c r="R212" i="67"/>
  <c r="AH363" i="67"/>
  <c r="R562" i="67"/>
  <c r="AA108" i="67"/>
  <c r="V226" i="67"/>
  <c r="AB409" i="67"/>
  <c r="AA104" i="67"/>
  <c r="AH410" i="67"/>
  <c r="AS410" i="67"/>
  <c r="AU868" i="67"/>
  <c r="AV531" i="67"/>
  <c r="AV565" i="67"/>
  <c r="M517" i="67"/>
  <c r="AR57" i="67"/>
  <c r="T834" i="67"/>
  <c r="AJ103" i="67"/>
  <c r="W562" i="67"/>
  <c r="AS260" i="67"/>
  <c r="N383" i="67"/>
  <c r="AB562" i="67"/>
  <c r="AT718" i="67"/>
  <c r="AV562" i="67"/>
  <c r="AR566" i="67"/>
  <c r="AP413" i="67"/>
  <c r="AD565" i="67"/>
  <c r="AU261" i="67"/>
  <c r="AR561" i="67"/>
  <c r="O59" i="67"/>
  <c r="AP103" i="67"/>
  <c r="AW714" i="67"/>
  <c r="U57" i="67"/>
  <c r="AG865" i="67"/>
  <c r="R414" i="67"/>
  <c r="AA379" i="67"/>
  <c r="W864" i="67"/>
  <c r="Z864" i="67"/>
  <c r="AM261" i="67"/>
  <c r="AB260" i="67"/>
  <c r="AD714" i="67"/>
  <c r="AQ869" i="67"/>
  <c r="AH228" i="67"/>
  <c r="AR714" i="67"/>
  <c r="AV864" i="67"/>
  <c r="M256" i="67"/>
  <c r="AC414" i="67"/>
  <c r="N413" i="67"/>
  <c r="Q864" i="67"/>
  <c r="AI414" i="67"/>
  <c r="AI714" i="67"/>
  <c r="S107" i="67"/>
  <c r="U868" i="67"/>
  <c r="AE103" i="67"/>
  <c r="AF517" i="67"/>
  <c r="AC260" i="67"/>
  <c r="P59" i="67"/>
  <c r="L107" i="67"/>
  <c r="AV410" i="67"/>
  <c r="S410" i="67"/>
  <c r="AL103" i="67"/>
  <c r="AQ108" i="67"/>
  <c r="AD211" i="67"/>
  <c r="T683" i="67"/>
  <c r="AU52" i="68"/>
  <c r="AI108" i="67"/>
  <c r="AS565" i="67"/>
  <c r="Q103" i="67"/>
  <c r="AI865" i="67"/>
  <c r="S718" i="67"/>
  <c r="P517" i="67"/>
  <c r="N868" i="67"/>
  <c r="AV714" i="67"/>
  <c r="AV865" i="67"/>
  <c r="S257" i="67"/>
  <c r="AH714" i="67"/>
  <c r="AQ414" i="67"/>
  <c r="Z413" i="67"/>
  <c r="T531" i="67"/>
  <c r="AI869" i="67"/>
  <c r="AI566" i="67"/>
  <c r="AA562" i="67"/>
  <c r="AS413" i="67"/>
  <c r="AS107" i="67"/>
  <c r="AE256" i="67"/>
  <c r="N535" i="67"/>
  <c r="AB714" i="67"/>
  <c r="AB865" i="67"/>
  <c r="AL414" i="67"/>
  <c r="W261" i="67"/>
  <c r="AI104" i="67"/>
  <c r="S261" i="67"/>
  <c r="S869" i="67"/>
  <c r="BA52" i="68"/>
  <c r="U413" i="67"/>
  <c r="AS868" i="67"/>
  <c r="N77" i="67"/>
  <c r="AB104" i="67"/>
  <c r="Q256" i="67"/>
  <c r="S566" i="67"/>
  <c r="AF59" i="67"/>
  <c r="AW562" i="67"/>
  <c r="S104" i="67"/>
  <c r="AQ718" i="67"/>
  <c r="AD364" i="67"/>
  <c r="T226" i="67"/>
  <c r="AN261" i="67"/>
  <c r="N230" i="67"/>
  <c r="AB257" i="67"/>
  <c r="AI257" i="67"/>
  <c r="AJ410" i="67"/>
  <c r="AM413" i="67"/>
  <c r="S77" i="67"/>
  <c r="S687" i="67"/>
  <c r="T687" i="67"/>
  <c r="AE410" i="67"/>
  <c r="AR260" i="67"/>
  <c r="Y413" i="67"/>
  <c r="AV561" i="67"/>
  <c r="W108" i="67"/>
  <c r="W566" i="67"/>
  <c r="AR230" i="67"/>
  <c r="AF562" i="67"/>
  <c r="AR410" i="67"/>
  <c r="AJ108" i="67"/>
  <c r="AS684" i="67"/>
  <c r="AM565" i="67"/>
  <c r="S535" i="67"/>
  <c r="AO107" i="67"/>
  <c r="T77" i="67"/>
  <c r="T535" i="67"/>
  <c r="AE865" i="67"/>
  <c r="AF868" i="67"/>
  <c r="AN718" i="67"/>
  <c r="AR107" i="67"/>
  <c r="AV409" i="67"/>
  <c r="W414" i="67"/>
  <c r="W869" i="67"/>
  <c r="AR383" i="67"/>
  <c r="AR865" i="67"/>
  <c r="AJ414" i="67"/>
  <c r="T383" i="67"/>
  <c r="AC718" i="67"/>
  <c r="W718" i="67"/>
  <c r="AH52" i="68"/>
  <c r="X561" i="67"/>
  <c r="AE107" i="67"/>
  <c r="Y107" i="67"/>
  <c r="Y260" i="67"/>
  <c r="AG869" i="67"/>
  <c r="AB566" i="67"/>
  <c r="AB718" i="67"/>
  <c r="AE718" i="67"/>
  <c r="N103" i="67"/>
  <c r="N409" i="67"/>
  <c r="AO104" i="67"/>
  <c r="U409" i="67"/>
  <c r="AC865" i="67"/>
  <c r="AO714" i="67"/>
  <c r="Y868" i="67"/>
  <c r="AB108" i="67"/>
  <c r="AB261" i="67"/>
  <c r="AE261" i="67"/>
  <c r="AT566" i="67"/>
  <c r="AX52" i="68"/>
  <c r="X256" i="67"/>
  <c r="N256" i="67"/>
  <c r="U107" i="67"/>
  <c r="AO413" i="67"/>
  <c r="V531" i="67"/>
  <c r="V73" i="67"/>
  <c r="M107" i="67"/>
  <c r="AD414" i="67"/>
  <c r="AD566" i="67"/>
  <c r="AR868" i="67"/>
  <c r="AE561" i="67"/>
  <c r="AE409" i="67"/>
  <c r="AC261" i="67"/>
  <c r="AS515" i="67"/>
  <c r="T414" i="67"/>
  <c r="AJ865" i="67"/>
  <c r="P212" i="67"/>
  <c r="AF820" i="67"/>
  <c r="AF714" i="67"/>
  <c r="AF257" i="67"/>
  <c r="AM561" i="67"/>
  <c r="L260" i="67"/>
  <c r="AS566" i="67"/>
  <c r="AS414" i="67"/>
  <c r="AO869" i="67"/>
  <c r="S561" i="67"/>
  <c r="S103" i="67"/>
  <c r="U260" i="67"/>
  <c r="AG410" i="67"/>
  <c r="AQ104" i="67"/>
  <c r="AO868" i="67"/>
  <c r="AO565" i="67"/>
  <c r="M868" i="67"/>
  <c r="U561" i="67"/>
  <c r="U256" i="67"/>
  <c r="AL409" i="67"/>
  <c r="AD869" i="67"/>
  <c r="AR565" i="67"/>
  <c r="AE864" i="67"/>
  <c r="AJ561" i="67"/>
  <c r="AT260" i="67"/>
  <c r="AT413" i="67"/>
  <c r="AJ104" i="67"/>
  <c r="P820" i="67"/>
  <c r="AF212" i="67"/>
  <c r="AF104" i="67"/>
  <c r="AF410" i="67"/>
  <c r="AM256" i="67"/>
  <c r="AM103" i="67"/>
  <c r="L868" i="67"/>
  <c r="AS869" i="67"/>
  <c r="AS718" i="67"/>
  <c r="AO108" i="67"/>
  <c r="AO414" i="67"/>
  <c r="S409" i="67"/>
  <c r="BH52" i="68"/>
  <c r="AN52" i="68"/>
  <c r="BM52" i="68"/>
  <c r="AL210" i="67"/>
  <c r="AQ714" i="67"/>
  <c r="AO260" i="67"/>
  <c r="V379" i="67"/>
  <c r="M565" i="67"/>
  <c r="U864" i="67"/>
  <c r="AL864" i="67"/>
  <c r="V869" i="67"/>
  <c r="AD261" i="67"/>
  <c r="AG414" i="67"/>
  <c r="AT868" i="67"/>
  <c r="AJ714" i="67"/>
  <c r="P365" i="67"/>
  <c r="AM409" i="67"/>
  <c r="L413" i="67"/>
  <c r="BD52" i="68"/>
  <c r="AH210" i="67"/>
  <c r="AW834" i="67"/>
  <c r="Z107" i="67"/>
  <c r="AU414" i="67"/>
  <c r="AB868" i="67"/>
  <c r="AD561" i="67"/>
  <c r="AH869" i="67"/>
  <c r="AE566" i="67"/>
  <c r="AL57" i="67"/>
  <c r="AL363" i="67"/>
  <c r="AQ562" i="67"/>
  <c r="AQ865" i="67"/>
  <c r="AL515" i="67"/>
  <c r="AQ257" i="67"/>
  <c r="AV868" i="67"/>
  <c r="X103" i="67"/>
  <c r="AE260" i="67"/>
  <c r="T104" i="67"/>
  <c r="AT869" i="67"/>
  <c r="AT414" i="67"/>
  <c r="AJ228" i="67"/>
  <c r="AJ107" i="67"/>
  <c r="R257" i="67"/>
  <c r="X409" i="67"/>
  <c r="X864" i="67"/>
  <c r="AV226" i="67"/>
  <c r="M820" i="67"/>
  <c r="AE413" i="67"/>
  <c r="AB103" i="67"/>
  <c r="AT108" i="67"/>
  <c r="BP52" i="68"/>
  <c r="AE565" i="67"/>
  <c r="AG107" i="67"/>
  <c r="AT261" i="67"/>
  <c r="AD409" i="67"/>
  <c r="AP52" i="68"/>
  <c r="AC257" i="67"/>
  <c r="AD868" i="67"/>
  <c r="AO562" i="67"/>
  <c r="AO410" i="67"/>
  <c r="AA257" i="67"/>
  <c r="AQ77" i="67"/>
  <c r="AH104" i="67"/>
  <c r="AH257" i="67"/>
  <c r="AS714" i="67"/>
  <c r="W714" i="67"/>
  <c r="AF414" i="67"/>
  <c r="M869" i="67"/>
  <c r="M562" i="67"/>
  <c r="AM566" i="67"/>
  <c r="O865" i="67"/>
  <c r="AA260" i="67"/>
  <c r="AC103" i="67"/>
  <c r="AD103" i="67"/>
  <c r="AO865" i="67"/>
  <c r="AH562" i="67"/>
  <c r="AH865" i="67"/>
  <c r="W257" i="67"/>
  <c r="AA410" i="67"/>
  <c r="AA714" i="67"/>
  <c r="AF566" i="67"/>
  <c r="AF718" i="67"/>
  <c r="M108" i="67"/>
  <c r="AU260" i="67"/>
  <c r="AA413" i="67"/>
  <c r="W104" i="67"/>
  <c r="AA865" i="67"/>
  <c r="AF261" i="67"/>
  <c r="AH256" i="67"/>
  <c r="AL565" i="67"/>
  <c r="Y230" i="67"/>
  <c r="AU77" i="67"/>
  <c r="AA107" i="67"/>
  <c r="AC864" i="67"/>
  <c r="AJ565" i="67"/>
  <c r="AJ868" i="67"/>
  <c r="Z257" i="67"/>
  <c r="AC565" i="67"/>
  <c r="AF260" i="67"/>
  <c r="AV379" i="67"/>
  <c r="M59" i="67"/>
  <c r="M718" i="67"/>
  <c r="T410" i="67"/>
  <c r="AS363" i="67"/>
  <c r="M714" i="67"/>
  <c r="M865" i="67"/>
  <c r="AJ869" i="67"/>
  <c r="BO52" i="68"/>
  <c r="AS835" i="67"/>
  <c r="AS380" i="67"/>
  <c r="AU535" i="67"/>
  <c r="AT103" i="67"/>
  <c r="R714" i="67"/>
  <c r="U714" i="67"/>
  <c r="AV107" i="67"/>
  <c r="AV683" i="67"/>
  <c r="M365" i="67"/>
  <c r="AP562" i="67"/>
  <c r="P865" i="67"/>
  <c r="AU230" i="67"/>
  <c r="AA565" i="67"/>
  <c r="AC409" i="67"/>
  <c r="AJ260" i="67"/>
  <c r="AT561" i="67"/>
  <c r="U410" i="67"/>
  <c r="Z714" i="67"/>
  <c r="AV260" i="67"/>
  <c r="AC107" i="67"/>
  <c r="AF565" i="67"/>
  <c r="AF413" i="67"/>
  <c r="AV834" i="67"/>
  <c r="M212" i="67"/>
  <c r="AP714" i="67"/>
  <c r="P410" i="67"/>
  <c r="AG565" i="67"/>
  <c r="AG413" i="67"/>
  <c r="M566" i="67"/>
  <c r="M414" i="67"/>
  <c r="AS210" i="67"/>
  <c r="AS57" i="67"/>
  <c r="M257" i="67"/>
  <c r="M410" i="67"/>
  <c r="AJ261" i="67"/>
  <c r="AJ566" i="67"/>
  <c r="AL52" i="68"/>
  <c r="AS227" i="67"/>
  <c r="AS74" i="67"/>
  <c r="BB52" i="68"/>
  <c r="AJ52" i="68"/>
  <c r="AM869" i="67"/>
  <c r="AA868" i="67"/>
  <c r="AC256" i="67"/>
  <c r="AD107" i="67"/>
  <c r="AT256" i="67"/>
  <c r="R410" i="67"/>
  <c r="AV413" i="67"/>
  <c r="AC868" i="67"/>
  <c r="AF107" i="67"/>
  <c r="AV73" i="67"/>
  <c r="P561" i="67"/>
  <c r="AG260" i="67"/>
  <c r="AS818" i="67"/>
  <c r="AJ718" i="67"/>
  <c r="AS532" i="67"/>
  <c r="AW410" i="67"/>
  <c r="AN108" i="67"/>
  <c r="AN414" i="67"/>
  <c r="AH108" i="67"/>
  <c r="Y714" i="67"/>
  <c r="AP256" i="67"/>
  <c r="AR864" i="67"/>
  <c r="AN869" i="67"/>
  <c r="N566" i="67"/>
  <c r="AW531" i="67"/>
  <c r="W363" i="67"/>
  <c r="R517" i="67"/>
  <c r="AU108" i="67"/>
  <c r="R869" i="67"/>
  <c r="Y562" i="67"/>
  <c r="W818" i="67"/>
  <c r="S260" i="67"/>
  <c r="O103" i="67"/>
  <c r="O864" i="67"/>
  <c r="Y108" i="67"/>
  <c r="AH57" i="67"/>
  <c r="R820" i="67"/>
  <c r="AL261" i="67"/>
  <c r="AI52" i="68"/>
  <c r="AM228" i="67"/>
  <c r="AD864" i="67"/>
  <c r="AT104" i="67"/>
  <c r="AP104" i="67"/>
  <c r="R108" i="67"/>
  <c r="AA261" i="67"/>
  <c r="AD104" i="67"/>
  <c r="R864" i="67"/>
  <c r="O517" i="67"/>
  <c r="R409" i="67"/>
  <c r="AM52" i="68"/>
  <c r="R103" i="67"/>
  <c r="N869" i="67"/>
  <c r="Z104" i="67"/>
  <c r="Z865" i="67"/>
  <c r="AP865" i="67"/>
  <c r="AP257" i="67"/>
  <c r="AR256" i="67"/>
  <c r="BF52" i="68"/>
  <c r="Z410" i="67"/>
  <c r="AU566" i="67"/>
  <c r="AU718" i="67"/>
  <c r="R413" i="67"/>
  <c r="U515" i="67"/>
  <c r="P409" i="67"/>
  <c r="AR409" i="67"/>
  <c r="BN52" i="68"/>
  <c r="AF52" i="68"/>
  <c r="AM226" i="67"/>
  <c r="AU869" i="67"/>
  <c r="S413" i="67"/>
  <c r="S868" i="67"/>
  <c r="AJ685" i="67"/>
  <c r="AJ533" i="67"/>
  <c r="AJ75" i="67"/>
  <c r="AJ836" i="67"/>
  <c r="AE820" i="67"/>
  <c r="AE365" i="67"/>
  <c r="AM379" i="67"/>
  <c r="Z561" i="67"/>
  <c r="Z256" i="67"/>
  <c r="AU257" i="67"/>
  <c r="AP260" i="67"/>
  <c r="N260" i="67"/>
  <c r="AS257" i="67"/>
  <c r="AS562" i="67"/>
  <c r="N714" i="67"/>
  <c r="AM834" i="67"/>
  <c r="W409" i="67"/>
  <c r="AC566" i="67"/>
  <c r="AR818" i="67"/>
  <c r="T566" i="67"/>
  <c r="T718" i="67"/>
  <c r="AB864" i="67"/>
  <c r="Z409" i="67"/>
  <c r="AA566" i="67"/>
  <c r="AA414" i="67"/>
  <c r="AP868" i="67"/>
  <c r="AR562" i="67"/>
  <c r="AH685" i="67"/>
  <c r="AH75" i="67"/>
  <c r="AS52" i="68"/>
  <c r="AQ535" i="67"/>
  <c r="AP566" i="67"/>
  <c r="N565" i="67"/>
  <c r="AC104" i="67"/>
  <c r="AG257" i="67"/>
  <c r="AM108" i="67"/>
  <c r="AU107" i="67"/>
  <c r="AQ687" i="67"/>
  <c r="O409" i="67"/>
  <c r="AP414" i="67"/>
  <c r="AP261" i="67"/>
  <c r="N107" i="67"/>
  <c r="AC562" i="67"/>
  <c r="Y566" i="67"/>
  <c r="Y261" i="67"/>
  <c r="AM104" i="67"/>
  <c r="AS865" i="67"/>
  <c r="AS104" i="67"/>
  <c r="N257" i="67"/>
  <c r="AM531" i="67"/>
  <c r="W561" i="67"/>
  <c r="W256" i="67"/>
  <c r="AC108" i="67"/>
  <c r="AJ864" i="67"/>
  <c r="AJ256" i="67"/>
  <c r="AR363" i="67"/>
  <c r="T869" i="67"/>
  <c r="AB561" i="67"/>
  <c r="AA869" i="67"/>
  <c r="AP565" i="67"/>
  <c r="AR104" i="67"/>
  <c r="AH836" i="67"/>
  <c r="AH381" i="67"/>
  <c r="BJ52" i="68"/>
  <c r="AM414" i="67"/>
  <c r="AU413" i="67"/>
  <c r="AQ383" i="67"/>
  <c r="Y718" i="67"/>
  <c r="AM718" i="67"/>
  <c r="AQ230" i="67"/>
  <c r="AH413" i="67"/>
  <c r="AG562" i="67"/>
  <c r="AG714" i="67"/>
  <c r="AU565" i="67"/>
  <c r="O561" i="67"/>
  <c r="AH565" i="67"/>
  <c r="AP718" i="67"/>
  <c r="AC714" i="67"/>
  <c r="Y414" i="67"/>
  <c r="AM562" i="67"/>
  <c r="N865" i="67"/>
  <c r="AM683" i="67"/>
  <c r="W103" i="67"/>
  <c r="AC869" i="67"/>
  <c r="AJ409" i="67"/>
  <c r="AR515" i="67"/>
  <c r="T108" i="67"/>
  <c r="AB256" i="67"/>
  <c r="Z103" i="67"/>
  <c r="AP107" i="67"/>
  <c r="AR257" i="67"/>
  <c r="AH533" i="67"/>
  <c r="Y211" i="67"/>
  <c r="Y516" i="67"/>
  <c r="Y58" i="67"/>
  <c r="Y819" i="67"/>
  <c r="Y364" i="67"/>
  <c r="AW104" i="67"/>
  <c r="AD413" i="67"/>
  <c r="U865" i="67"/>
  <c r="AH515" i="67"/>
  <c r="R868" i="67"/>
  <c r="R260" i="67"/>
  <c r="M103" i="67"/>
  <c r="U210" i="67"/>
  <c r="AH718" i="67"/>
  <c r="AH414" i="67"/>
  <c r="P256" i="67"/>
  <c r="AV103" i="67"/>
  <c r="O820" i="67"/>
  <c r="O365" i="67"/>
  <c r="AU865" i="67"/>
  <c r="R566" i="67"/>
  <c r="R718" i="67"/>
  <c r="Y257" i="67"/>
  <c r="Y410" i="67"/>
  <c r="AL260" i="67"/>
  <c r="AL413" i="67"/>
  <c r="L363" i="67"/>
  <c r="L818" i="67"/>
  <c r="L57" i="67"/>
  <c r="L515" i="67"/>
  <c r="L210" i="67"/>
  <c r="Y74" i="67"/>
  <c r="Y532" i="67"/>
  <c r="Y684" i="67"/>
  <c r="Y835" i="67"/>
  <c r="Y380" i="67"/>
  <c r="Y227" i="67"/>
  <c r="U532" i="67"/>
  <c r="U74" i="67"/>
  <c r="U684" i="67"/>
  <c r="U227" i="67"/>
  <c r="U835" i="67"/>
  <c r="U380" i="67"/>
  <c r="AC211" i="67"/>
  <c r="AC364" i="67"/>
  <c r="AC819" i="67"/>
  <c r="AC58" i="67"/>
  <c r="AC516" i="67"/>
  <c r="W565" i="67"/>
  <c r="AW257" i="67"/>
  <c r="AW865" i="67"/>
  <c r="AH818" i="67"/>
  <c r="R107" i="67"/>
  <c r="M561" i="67"/>
  <c r="M864" i="67"/>
  <c r="U363" i="67"/>
  <c r="U818" i="67"/>
  <c r="AH261" i="67"/>
  <c r="AL718" i="67"/>
  <c r="AL869" i="67"/>
  <c r="P103" i="67"/>
  <c r="AV256" i="67"/>
  <c r="O212" i="67"/>
  <c r="T865" i="67"/>
  <c r="T562" i="67"/>
  <c r="Y865" i="67"/>
  <c r="AL107" i="67"/>
  <c r="AV687" i="67"/>
  <c r="AV230" i="67"/>
  <c r="AV77" i="67"/>
  <c r="AV383" i="67"/>
  <c r="AV535" i="67"/>
  <c r="AO533" i="67"/>
  <c r="AO685" i="67"/>
  <c r="AO75" i="67"/>
  <c r="AO381" i="67"/>
  <c r="AO228" i="67"/>
  <c r="AO836" i="67"/>
  <c r="Y77" i="67"/>
  <c r="Y535" i="67"/>
  <c r="Y383" i="67"/>
  <c r="Y687" i="67"/>
  <c r="W868" i="67"/>
  <c r="W413" i="67"/>
  <c r="AD260" i="67"/>
  <c r="U104" i="67"/>
  <c r="W107" i="67"/>
  <c r="U257" i="67"/>
  <c r="M409" i="67"/>
  <c r="AL566" i="67"/>
  <c r="T714" i="67"/>
  <c r="AU714" i="67"/>
  <c r="R261" i="67"/>
  <c r="R561" i="67"/>
  <c r="AS379" i="67"/>
  <c r="AS73" i="67"/>
  <c r="AS834" i="67"/>
  <c r="AS683" i="67"/>
  <c r="AS226" i="67"/>
  <c r="AS531" i="67"/>
  <c r="AC532" i="67"/>
  <c r="AC835" i="67"/>
  <c r="AC227" i="67"/>
  <c r="AC684" i="67"/>
  <c r="AC380" i="67"/>
  <c r="AC74" i="67"/>
  <c r="AR103" i="67"/>
  <c r="BG52" i="68"/>
  <c r="R865" i="67"/>
  <c r="AW226" i="67"/>
  <c r="R59" i="67"/>
  <c r="Z260" i="67"/>
  <c r="AG718" i="67"/>
  <c r="AH864" i="67"/>
  <c r="P257" i="67"/>
  <c r="AP561" i="67"/>
  <c r="AP409" i="67"/>
  <c r="AD257" i="67"/>
  <c r="AD410" i="67"/>
  <c r="AB565" i="67"/>
  <c r="AA531" i="67"/>
  <c r="AM533" i="67"/>
  <c r="R104" i="67"/>
  <c r="Z718" i="67"/>
  <c r="AW683" i="67"/>
  <c r="AW73" i="67"/>
  <c r="Z565" i="67"/>
  <c r="AG108" i="67"/>
  <c r="AH103" i="67"/>
  <c r="P562" i="67"/>
  <c r="AP864" i="67"/>
  <c r="AD562" i="67"/>
  <c r="AB107" i="67"/>
  <c r="AA226" i="67"/>
  <c r="AM836" i="67"/>
  <c r="AM685" i="67"/>
  <c r="R365" i="67"/>
  <c r="AG261" i="67"/>
  <c r="AH561" i="67"/>
  <c r="P104" i="67"/>
  <c r="Y409" i="67"/>
  <c r="AD865" i="67"/>
  <c r="AM75" i="67"/>
  <c r="AS364" i="67"/>
  <c r="AS516" i="67"/>
  <c r="AS211" i="67"/>
  <c r="AS819" i="67"/>
  <c r="AS58" i="67"/>
  <c r="AA718" i="67"/>
  <c r="M687" i="67"/>
  <c r="M77" i="67"/>
  <c r="M535" i="67"/>
  <c r="M383" i="67"/>
  <c r="M230" i="67"/>
  <c r="AG104" i="67"/>
  <c r="Z108" i="67"/>
  <c r="AH107" i="67"/>
  <c r="AR869" i="67"/>
  <c r="V683" i="67"/>
  <c r="AM410" i="67"/>
  <c r="AM865" i="67"/>
  <c r="AT714" i="67"/>
  <c r="V108" i="67"/>
  <c r="W210" i="67"/>
  <c r="AG381" i="67"/>
  <c r="AG836" i="67"/>
  <c r="AG75" i="67"/>
  <c r="AG685" i="67"/>
  <c r="AG533" i="67"/>
  <c r="AG228" i="67"/>
  <c r="AM714" i="67"/>
  <c r="AT410" i="67"/>
  <c r="V261" i="67"/>
  <c r="V566" i="67"/>
  <c r="Y256" i="67"/>
  <c r="P868" i="67"/>
  <c r="W57" i="67"/>
  <c r="S365" i="67"/>
  <c r="S212" i="67"/>
  <c r="S517" i="67"/>
  <c r="S59" i="67"/>
  <c r="S820" i="67"/>
  <c r="P533" i="67"/>
  <c r="P836" i="67"/>
  <c r="P685" i="67"/>
  <c r="P228" i="67"/>
  <c r="P381" i="67"/>
  <c r="P75" i="67"/>
  <c r="AA834" i="67"/>
  <c r="AA73" i="67"/>
  <c r="AA683" i="67"/>
  <c r="AB413" i="67"/>
  <c r="Z414" i="67"/>
  <c r="AT865" i="67"/>
  <c r="V718" i="67"/>
  <c r="AN104" i="67"/>
  <c r="Y103" i="67"/>
  <c r="W515" i="67"/>
  <c r="AL382" i="67"/>
  <c r="AL534" i="67"/>
  <c r="AL229" i="67"/>
  <c r="AL686" i="67"/>
  <c r="AL837" i="67"/>
  <c r="AL76" i="67"/>
  <c r="AP364" i="67"/>
  <c r="AP819" i="67"/>
  <c r="AP211" i="67"/>
  <c r="AP58" i="67"/>
  <c r="AP516" i="67"/>
  <c r="AC515" i="67"/>
  <c r="AC210" i="67"/>
  <c r="AC818" i="67"/>
  <c r="AC363" i="67"/>
  <c r="AC57" i="67"/>
  <c r="AN562" i="67"/>
  <c r="N718" i="67"/>
  <c r="N108" i="67"/>
  <c r="AM820" i="67"/>
  <c r="AM59" i="67"/>
  <c r="AM212" i="67"/>
  <c r="AM365" i="67"/>
  <c r="AM517" i="67"/>
  <c r="Z869" i="67"/>
  <c r="Z566" i="67"/>
  <c r="AR718" i="67"/>
  <c r="AR414" i="67"/>
  <c r="AT562" i="67"/>
  <c r="N104" i="67"/>
  <c r="N562" i="67"/>
  <c r="AN410" i="67"/>
  <c r="AN257" i="67"/>
  <c r="AU562" i="67"/>
  <c r="AU104" i="67"/>
  <c r="Y864" i="67"/>
  <c r="P565" i="67"/>
  <c r="P413" i="67"/>
  <c r="N261" i="67"/>
  <c r="N414" i="67"/>
  <c r="AG818" i="67"/>
  <c r="AG363" i="67"/>
  <c r="AG57" i="67"/>
  <c r="AG210" i="67"/>
  <c r="AG515" i="67"/>
  <c r="AR108" i="67"/>
  <c r="AR261" i="67"/>
  <c r="N410" i="67"/>
  <c r="AN714" i="67"/>
  <c r="Y561" i="67"/>
  <c r="P260" i="67"/>
  <c r="AT211" i="67"/>
  <c r="AT58" i="67"/>
  <c r="AT819" i="67"/>
  <c r="AT516" i="67"/>
  <c r="AT364" i="67"/>
  <c r="AU364" i="67"/>
  <c r="AU516" i="67"/>
  <c r="AU211" i="67"/>
  <c r="AU819" i="67"/>
  <c r="AU58" i="67"/>
  <c r="R211" i="67"/>
  <c r="R516" i="67"/>
  <c r="R819" i="67"/>
  <c r="R364" i="67"/>
  <c r="R58" i="67"/>
  <c r="V57" i="67"/>
  <c r="V818" i="67"/>
  <c r="V210" i="67"/>
  <c r="V515" i="67"/>
  <c r="V363" i="67"/>
  <c r="N819" i="67"/>
  <c r="N364" i="67"/>
  <c r="N516" i="67"/>
  <c r="N58" i="67"/>
  <c r="N211" i="67"/>
  <c r="R818" i="67"/>
  <c r="R57" i="67"/>
  <c r="R515" i="67"/>
  <c r="R363" i="67"/>
  <c r="R210" i="67"/>
  <c r="P58" i="67"/>
  <c r="P364" i="67"/>
  <c r="P516" i="67"/>
  <c r="P819" i="67"/>
  <c r="P211" i="67"/>
  <c r="AH517" i="67"/>
  <c r="AH212" i="67"/>
  <c r="AH59" i="67"/>
  <c r="AH365" i="67"/>
  <c r="AH820" i="67"/>
  <c r="P535" i="67"/>
  <c r="P77" i="67"/>
  <c r="P687" i="67"/>
  <c r="P383" i="67"/>
  <c r="P230" i="67"/>
  <c r="T818" i="67"/>
  <c r="T210" i="67"/>
  <c r="T57" i="67"/>
  <c r="T363" i="67"/>
  <c r="T515" i="67"/>
  <c r="AL821" i="67"/>
  <c r="AL213" i="67"/>
  <c r="AL518" i="67"/>
  <c r="AL60" i="67"/>
  <c r="AL366" i="67"/>
  <c r="Y59" i="67"/>
  <c r="Y212" i="67"/>
  <c r="Y365" i="67"/>
  <c r="Y517" i="67"/>
  <c r="Y820" i="67"/>
  <c r="BF67" i="68" l="1"/>
  <c r="AE41" i="62"/>
  <c r="BP67" i="68"/>
  <c r="AO41" i="62"/>
  <c r="AN67" i="68"/>
  <c r="M41" i="62"/>
  <c r="BH67" i="68"/>
  <c r="AG41" i="62"/>
  <c r="AU67" i="68"/>
  <c r="T41" i="62"/>
  <c r="AL67" i="68"/>
  <c r="K41" i="62"/>
  <c r="BG67" i="68"/>
  <c r="AF41" i="62"/>
  <c r="AF67" i="68"/>
  <c r="E41" i="62"/>
  <c r="BO67" i="68"/>
  <c r="AN41" i="62"/>
  <c r="BN67" i="68"/>
  <c r="AM41" i="62"/>
  <c r="AS67" i="68"/>
  <c r="R41" i="62"/>
  <c r="AH67" i="68"/>
  <c r="G41" i="62"/>
  <c r="AW67" i="68"/>
  <c r="V41" i="62"/>
  <c r="AQ67" i="68"/>
  <c r="P41" i="62"/>
  <c r="BJ67" i="68"/>
  <c r="AI41" i="62"/>
  <c r="AP67" i="68"/>
  <c r="O41" i="62"/>
  <c r="AM67" i="68"/>
  <c r="L41" i="62"/>
  <c r="BA67" i="68"/>
  <c r="Z41" i="62"/>
  <c r="BL67" i="68"/>
  <c r="AK41" i="62"/>
  <c r="AX67" i="68"/>
  <c r="W41" i="62"/>
  <c r="AT67" i="68"/>
  <c r="S41" i="62"/>
  <c r="AJ67" i="68"/>
  <c r="I41" i="62"/>
  <c r="AI67" i="68"/>
  <c r="H41" i="62"/>
  <c r="BD67" i="68"/>
  <c r="AC41" i="62"/>
  <c r="BB67" i="68"/>
  <c r="AA41" i="62"/>
  <c r="BM67" i="68"/>
  <c r="AL41" i="62"/>
  <c r="W1273" i="67"/>
  <c r="AM1291" i="67"/>
  <c r="AV1289" i="67"/>
  <c r="AS1290" i="67"/>
  <c r="T1289" i="67"/>
  <c r="AS1289" i="67"/>
  <c r="V1289" i="67"/>
  <c r="AG1291" i="67"/>
  <c r="AO1291" i="67"/>
  <c r="AJ1291" i="67"/>
  <c r="O1275" i="67"/>
  <c r="AA1289" i="67"/>
  <c r="P1275" i="67"/>
  <c r="AM1289" i="67"/>
  <c r="K1293" i="67"/>
  <c r="M1275" i="67"/>
  <c r="AC1290" i="67"/>
  <c r="Y1275" i="67"/>
  <c r="L1273" i="67"/>
  <c r="AW1289" i="67"/>
  <c r="AS1273" i="67"/>
  <c r="AH1291" i="67"/>
  <c r="R1273" i="67"/>
  <c r="AU1274" i="67"/>
  <c r="T1273" i="67"/>
  <c r="AG1273" i="67"/>
  <c r="AH1273" i="67"/>
  <c r="P1291" i="67"/>
  <c r="Y1290" i="67"/>
  <c r="AC1274" i="67"/>
  <c r="AF1275" i="67"/>
  <c r="AM1275" i="67"/>
  <c r="U1290" i="67"/>
  <c r="Y1274" i="67"/>
  <c r="R1275" i="67"/>
  <c r="R1274" i="67"/>
  <c r="AE1275" i="67"/>
  <c r="AP1274" i="67"/>
  <c r="N1274" i="67"/>
  <c r="BQ60" i="68"/>
  <c r="BQ67" i="68"/>
  <c r="AS668" i="67"/>
  <c r="AS1274" i="67" s="1"/>
  <c r="AV667" i="67"/>
  <c r="AV1273" i="67" s="1"/>
  <c r="V667" i="67"/>
  <c r="V1273" i="67" s="1"/>
  <c r="AD668" i="67"/>
  <c r="AD1274" i="67" s="1"/>
  <c r="AJ669" i="67"/>
  <c r="AJ1275" i="67" s="1"/>
  <c r="P668" i="67"/>
  <c r="P1274" i="67" s="1"/>
  <c r="S669" i="67"/>
  <c r="S1275" i="67" s="1"/>
  <c r="T669" i="67"/>
  <c r="T1275" i="67" s="1"/>
  <c r="U667" i="67"/>
  <c r="U1273" i="67" s="1"/>
  <c r="AC687" i="67"/>
  <c r="AC77" i="67"/>
  <c r="AC383" i="67"/>
  <c r="AC535" i="67"/>
  <c r="AC230" i="67"/>
  <c r="L257" i="67"/>
  <c r="L410" i="67"/>
  <c r="L562" i="67"/>
  <c r="L714" i="67"/>
  <c r="L104" i="67"/>
  <c r="L865" i="67"/>
  <c r="AC667" i="67"/>
  <c r="AC1273" i="67" s="1"/>
  <c r="AH669" i="67"/>
  <c r="AH1275" i="67" s="1"/>
  <c r="U261" i="67"/>
  <c r="U566" i="67"/>
  <c r="U414" i="67"/>
  <c r="U108" i="67"/>
  <c r="U869" i="67"/>
  <c r="U718" i="67"/>
  <c r="L535" i="67"/>
  <c r="L383" i="67"/>
  <c r="L77" i="67"/>
  <c r="L687" i="67"/>
  <c r="L230" i="67"/>
  <c r="AP383" i="67"/>
  <c r="AP77" i="67"/>
  <c r="AP687" i="67"/>
  <c r="AP535" i="67"/>
  <c r="AP230" i="67"/>
  <c r="AR667" i="67"/>
  <c r="AR1273" i="67" s="1"/>
  <c r="L566" i="67"/>
  <c r="L718" i="67"/>
  <c r="L261" i="67"/>
  <c r="L108" i="67"/>
  <c r="L869" i="67"/>
  <c r="L414" i="67"/>
  <c r="AL667" i="67"/>
  <c r="AL1273" i="67" s="1"/>
  <c r="AT668" i="67"/>
  <c r="AT1274" i="67" s="1"/>
  <c r="U383" i="67"/>
  <c r="U535" i="67"/>
  <c r="U230" i="67"/>
  <c r="U687" i="67"/>
  <c r="U77" i="67"/>
  <c r="AH230" i="67"/>
  <c r="AH383" i="67"/>
  <c r="AH687" i="67"/>
  <c r="AH535" i="67"/>
  <c r="AH77" i="67"/>
  <c r="AD5" i="70" l="1"/>
  <c r="K779" i="67" s="1"/>
  <c r="K1067" i="67" l="1"/>
  <c r="K1201" i="67"/>
  <c r="K1185" i="67"/>
  <c r="K1099" i="67"/>
  <c r="K1081" i="67"/>
  <c r="AD7" i="70"/>
  <c r="B15" i="65"/>
  <c r="K444" i="67"/>
  <c r="K899" i="67"/>
  <c r="K138" i="67"/>
  <c r="K291" i="67"/>
  <c r="K748" i="67"/>
  <c r="K596" i="67"/>
  <c r="AD6" i="70"/>
  <c r="K780" i="67" s="1"/>
  <c r="B38" i="65"/>
  <c r="B40" i="65" s="1"/>
  <c r="K157" i="67" s="1"/>
  <c r="AD50" i="70"/>
  <c r="B71" i="65"/>
  <c r="B76" i="65" s="1"/>
  <c r="K310" i="67" s="1"/>
  <c r="B122" i="65"/>
  <c r="B132" i="65" s="1"/>
  <c r="K462" i="67" s="1"/>
  <c r="AD66" i="70"/>
  <c r="K1354" i="67" l="1"/>
  <c r="K1101" i="67"/>
  <c r="K1069" i="67"/>
  <c r="K1203" i="67"/>
  <c r="K1187" i="67"/>
  <c r="K1083" i="67"/>
  <c r="K1100" i="67"/>
  <c r="K1068" i="67"/>
  <c r="K1202" i="67"/>
  <c r="K1186" i="67"/>
  <c r="K1082" i="67"/>
  <c r="K1120" i="67"/>
  <c r="K1136" i="67"/>
  <c r="K598" i="67"/>
  <c r="B20" i="65"/>
  <c r="K4" i="67"/>
  <c r="AD68" i="70"/>
  <c r="K1138" i="67" s="1"/>
  <c r="B17" i="65"/>
  <c r="K767" i="67"/>
  <c r="AD52" i="70"/>
  <c r="B124" i="65"/>
  <c r="B134" i="65" s="1"/>
  <c r="K464" i="67" s="1"/>
  <c r="B73" i="65"/>
  <c r="B78" i="65" s="1"/>
  <c r="K312" i="67" s="1"/>
  <c r="K446" i="67"/>
  <c r="K140" i="67"/>
  <c r="K901" i="67"/>
  <c r="K293" i="67"/>
  <c r="K750" i="67"/>
  <c r="K685" i="67"/>
  <c r="K836" i="67"/>
  <c r="K765" i="67"/>
  <c r="K614" i="67"/>
  <c r="B72" i="65"/>
  <c r="B77" i="65" s="1"/>
  <c r="K311" i="67" s="1"/>
  <c r="AD67" i="70"/>
  <c r="K1137" i="67" s="1"/>
  <c r="AD51" i="70"/>
  <c r="K1121" i="67" s="1"/>
  <c r="B16" i="65"/>
  <c r="B123" i="65"/>
  <c r="B133" i="65" s="1"/>
  <c r="K463" i="67" s="1"/>
  <c r="K275" i="67"/>
  <c r="K732" i="67"/>
  <c r="K428" i="67"/>
  <c r="K580" i="67"/>
  <c r="K883" i="67"/>
  <c r="K122" i="67"/>
  <c r="B159" i="65"/>
  <c r="K476" i="67"/>
  <c r="K324" i="67"/>
  <c r="K628" i="67"/>
  <c r="K18" i="67"/>
  <c r="K171" i="67"/>
  <c r="K189" i="67"/>
  <c r="K494" i="67"/>
  <c r="K797" i="67"/>
  <c r="K36" i="67"/>
  <c r="K646" i="67"/>
  <c r="K342" i="67"/>
  <c r="K344" i="67"/>
  <c r="K496" i="67"/>
  <c r="K1252" i="67" l="1"/>
  <c r="K1220" i="67"/>
  <c r="K1016" i="67"/>
  <c r="K1020" i="67"/>
  <c r="K1019" i="67"/>
  <c r="K1015" i="67"/>
  <c r="K1234" i="67"/>
  <c r="K1338" i="67"/>
  <c r="K1356" i="67"/>
  <c r="K1167" i="67"/>
  <c r="K1166" i="67"/>
  <c r="K1171" i="67"/>
  <c r="K1170" i="67"/>
  <c r="B161" i="65"/>
  <c r="B173" i="65" s="1"/>
  <c r="K669" i="67" s="1"/>
  <c r="K1122" i="67"/>
  <c r="B171" i="65"/>
  <c r="K667" i="67" s="1"/>
  <c r="B21" i="65"/>
  <c r="K5" i="67"/>
  <c r="B22" i="65"/>
  <c r="K6" i="67"/>
  <c r="K191" i="67"/>
  <c r="K381" i="67"/>
  <c r="K734" i="67"/>
  <c r="K20" i="67"/>
  <c r="K582" i="67"/>
  <c r="K228" i="67"/>
  <c r="K533" i="67"/>
  <c r="K630" i="67"/>
  <c r="K478" i="67"/>
  <c r="K781" i="67"/>
  <c r="K430" i="67"/>
  <c r="K326" i="67"/>
  <c r="K173" i="67"/>
  <c r="K885" i="67"/>
  <c r="K75" i="67"/>
  <c r="K616" i="67"/>
  <c r="K38" i="67"/>
  <c r="K648" i="67"/>
  <c r="AE20" i="68"/>
  <c r="K799" i="67"/>
  <c r="K277" i="67"/>
  <c r="K124" i="67"/>
  <c r="AE53" i="68"/>
  <c r="K515" i="67"/>
  <c r="K210" i="67"/>
  <c r="K818" i="67"/>
  <c r="K363" i="67"/>
  <c r="K57" i="67"/>
  <c r="K103" i="67"/>
  <c r="K256" i="67"/>
  <c r="K561" i="67"/>
  <c r="K409" i="67"/>
  <c r="K864" i="67"/>
  <c r="K532" i="67"/>
  <c r="K835" i="67"/>
  <c r="K227" i="67"/>
  <c r="K684" i="67"/>
  <c r="K74" i="67"/>
  <c r="K380" i="67"/>
  <c r="K495" i="67"/>
  <c r="K37" i="67"/>
  <c r="K343" i="67"/>
  <c r="K798" i="67"/>
  <c r="K190" i="67"/>
  <c r="K647" i="67"/>
  <c r="B160" i="65"/>
  <c r="K597" i="67"/>
  <c r="K445" i="67"/>
  <c r="K900" i="67"/>
  <c r="K749" i="67"/>
  <c r="K139" i="67"/>
  <c r="K292" i="67"/>
  <c r="AE54" i="68"/>
  <c r="K379" i="67"/>
  <c r="K73" i="67"/>
  <c r="K226" i="67"/>
  <c r="K834" i="67"/>
  <c r="K683" i="67"/>
  <c r="K531" i="67"/>
  <c r="K212" i="67"/>
  <c r="K365" i="67"/>
  <c r="K820" i="67"/>
  <c r="K517" i="67"/>
  <c r="K59" i="67"/>
  <c r="K429" i="67"/>
  <c r="K276" i="67"/>
  <c r="K884" i="67"/>
  <c r="K123" i="67"/>
  <c r="K733" i="67"/>
  <c r="K581" i="67"/>
  <c r="K629" i="67"/>
  <c r="K172" i="67"/>
  <c r="K477" i="67"/>
  <c r="K325" i="67"/>
  <c r="K19" i="67"/>
  <c r="K766" i="67"/>
  <c r="K615" i="67"/>
  <c r="AE19" i="68" l="1"/>
  <c r="AE60" i="68" s="1"/>
  <c r="D20" i="62"/>
  <c r="K1290" i="67"/>
  <c r="K1340" i="67"/>
  <c r="K1254" i="67"/>
  <c r="K1253" i="67"/>
  <c r="K1339" i="67"/>
  <c r="K1236" i="67"/>
  <c r="K1235" i="67"/>
  <c r="K1355" i="67"/>
  <c r="K1291" i="67"/>
  <c r="K1289" i="67"/>
  <c r="K1221" i="67"/>
  <c r="K1222" i="67"/>
  <c r="AE5" i="68" s="1"/>
  <c r="K1273" i="67"/>
  <c r="K1275" i="67"/>
  <c r="B172" i="65"/>
  <c r="K713" i="67" s="1"/>
  <c r="K1319" i="67" s="1"/>
  <c r="AE12" i="68"/>
  <c r="K868" i="67"/>
  <c r="K260" i="67"/>
  <c r="K107" i="67"/>
  <c r="K413" i="67"/>
  <c r="K565" i="67"/>
  <c r="AE52" i="68"/>
  <c r="K58" i="67"/>
  <c r="K819" i="67"/>
  <c r="K516" i="67"/>
  <c r="K364" i="67"/>
  <c r="K211" i="67"/>
  <c r="K261" i="67"/>
  <c r="K718" i="67"/>
  <c r="K566" i="67"/>
  <c r="K869" i="67"/>
  <c r="K414" i="67"/>
  <c r="K108" i="67"/>
  <c r="K104" i="67"/>
  <c r="K562" i="67"/>
  <c r="K257" i="67"/>
  <c r="K714" i="67"/>
  <c r="K865" i="67"/>
  <c r="K410" i="67"/>
  <c r="AE67" i="68" l="1"/>
  <c r="D41" i="62"/>
  <c r="AE4" i="68"/>
  <c r="AE58" i="68" s="1"/>
  <c r="D7" i="62"/>
  <c r="AE11" i="68"/>
  <c r="AE59" i="68" s="1"/>
  <c r="D13" i="62"/>
  <c r="K717" i="67"/>
  <c r="K1323" i="67" s="1"/>
  <c r="AE47" i="68"/>
  <c r="AE56" i="68" s="1"/>
  <c r="K1324" i="67"/>
  <c r="K1320" i="67"/>
  <c r="K668" i="67"/>
  <c r="K1274" i="67" s="1"/>
  <c r="AE71" i="68"/>
  <c r="AE50" i="68"/>
  <c r="AE45" i="68" l="1"/>
  <c r="AE43" i="68" s="1"/>
  <c r="K2" i="67"/>
  <c r="AE51" i="68"/>
  <c r="AE49" i="68" s="1"/>
  <c r="AE66" i="68" l="1"/>
  <c r="D40" i="62"/>
  <c r="AE65" i="68"/>
  <c r="AE72" i="68" s="1"/>
  <c r="AE73" i="68" s="1"/>
  <c r="AE80" i="68" s="1"/>
  <c r="D39" i="62"/>
  <c r="V369" i="67"/>
  <c r="U369" i="67"/>
  <c r="T369" i="67"/>
  <c r="AK369" i="67"/>
  <c r="S369" i="67"/>
  <c r="AJ369" i="67"/>
  <c r="R369" i="67"/>
  <c r="AI369" i="67"/>
  <c r="AH369" i="67"/>
  <c r="AO369" i="67"/>
  <c r="B5" i="63" l="1"/>
  <c r="B6" i="63" s="1"/>
  <c r="AO617" i="67" l="1"/>
  <c r="BE7" i="69" l="1"/>
  <c r="BE8" i="69"/>
  <c r="AW7" i="69"/>
  <c r="AW8" i="69"/>
  <c r="AW51" i="69" s="1"/>
  <c r="Z7" i="69"/>
  <c r="Z8" i="69"/>
  <c r="Z51" i="69" s="1"/>
  <c r="AY7" i="69"/>
  <c r="AY8" i="69"/>
  <c r="AG40" i="69"/>
  <c r="AG42" i="69"/>
  <c r="AL20" i="70" s="1"/>
  <c r="S1049" i="67" s="1"/>
  <c r="AE40" i="69"/>
  <c r="AE42" i="69"/>
  <c r="AN7" i="69"/>
  <c r="AN8" i="69"/>
  <c r="AN9" i="69" s="1"/>
  <c r="AS10" i="70" s="1"/>
  <c r="BI7" i="69"/>
  <c r="AF7" i="69"/>
  <c r="AF8" i="69"/>
  <c r="BB7" i="69"/>
  <c r="BB8" i="69"/>
  <c r="BB9" i="69" s="1"/>
  <c r="BG10" i="70" s="1"/>
  <c r="AH7" i="69"/>
  <c r="AH8" i="69"/>
  <c r="AH51" i="69" s="1"/>
  <c r="AZ7" i="69"/>
  <c r="AI7" i="69"/>
  <c r="AH40" i="69"/>
  <c r="AH42" i="69"/>
  <c r="BJ40" i="69"/>
  <c r="BJ42" i="69"/>
  <c r="BJ7" i="69"/>
  <c r="AV7" i="69"/>
  <c r="AD7" i="69"/>
  <c r="AX7" i="69"/>
  <c r="AX8" i="69"/>
  <c r="AJ7" i="69"/>
  <c r="AJ8" i="69"/>
  <c r="AQ7" i="69"/>
  <c r="BA7" i="69"/>
  <c r="AU7" i="69"/>
  <c r="AS27" i="69"/>
  <c r="AG7" i="69"/>
  <c r="AG8" i="69"/>
  <c r="AG51" i="69" s="1"/>
  <c r="AW40" i="69"/>
  <c r="AW42" i="69"/>
  <c r="BB20" i="70" s="1"/>
  <c r="AI1049" i="67" s="1"/>
  <c r="BA27" i="69"/>
  <c r="BF11" i="70" s="1"/>
  <c r="BK40" i="69"/>
  <c r="BK42" i="69"/>
  <c r="BP20" i="70" s="1"/>
  <c r="AW1049" i="67" s="1"/>
  <c r="AC7" i="69"/>
  <c r="AE7" i="69"/>
  <c r="AE8" i="69"/>
  <c r="AE9" i="69" s="1"/>
  <c r="AJ10" i="70" s="1"/>
  <c r="AB7" i="69"/>
  <c r="AC40" i="69"/>
  <c r="AO27" i="69"/>
  <c r="AR7" i="69"/>
  <c r="AR8" i="69"/>
  <c r="AR51" i="69" s="1"/>
  <c r="AK7" i="69"/>
  <c r="AQ40" i="69"/>
  <c r="AQ42" i="69"/>
  <c r="AV20" i="70" s="1"/>
  <c r="AC1049" i="67" s="1"/>
  <c r="BE40" i="69"/>
  <c r="AD40" i="69"/>
  <c r="AD42" i="69"/>
  <c r="AI20" i="70" s="1"/>
  <c r="P1049" i="67" s="1"/>
  <c r="AZ40" i="69"/>
  <c r="BC7" i="69"/>
  <c r="BC8" i="69"/>
  <c r="BC9" i="69" s="1"/>
  <c r="BH10" i="70" s="1"/>
  <c r="BI40" i="69"/>
  <c r="BI42" i="69"/>
  <c r="BN20" i="70" s="1"/>
  <c r="AU1049" i="67" s="1"/>
  <c r="BK7" i="69"/>
  <c r="BK8" i="69"/>
  <c r="AO8" i="69"/>
  <c r="AA8" i="69"/>
  <c r="AA51" i="69" s="1"/>
  <c r="AS7" i="69"/>
  <c r="AS8" i="69"/>
  <c r="AS51" i="69" s="1"/>
  <c r="BH7" i="69"/>
  <c r="BK27" i="69"/>
  <c r="BC27" i="69"/>
  <c r="AP7" i="69"/>
  <c r="AP8" i="69"/>
  <c r="AP9" i="69" s="1"/>
  <c r="AU10" i="70" s="1"/>
  <c r="AT7" i="69"/>
  <c r="AD27" i="69"/>
  <c r="BD7" i="69"/>
  <c r="BD8" i="69"/>
  <c r="BD51" i="69" s="1"/>
  <c r="BI27" i="69"/>
  <c r="BN11" i="70" s="1"/>
  <c r="BD40" i="69"/>
  <c r="BD42" i="69"/>
  <c r="BI20" i="70" s="1"/>
  <c r="AP1049" i="67" s="1"/>
  <c r="BF7" i="69"/>
  <c r="AN27" i="69"/>
  <c r="AP27" i="69"/>
  <c r="AN40" i="69"/>
  <c r="BJ27" i="69"/>
  <c r="AL7" i="69"/>
  <c r="AF27" i="69"/>
  <c r="AA27" i="69"/>
  <c r="BF27" i="69"/>
  <c r="BK11" i="70" s="1"/>
  <c r="AM7" i="69"/>
  <c r="AI27" i="69"/>
  <c r="AN11" i="70" s="1"/>
  <c r="BC40" i="69"/>
  <c r="AU27" i="69"/>
  <c r="BG27" i="69"/>
  <c r="BB40" i="69"/>
  <c r="BB42" i="69"/>
  <c r="BG20" i="70" s="1"/>
  <c r="AN1049" i="67" s="1"/>
  <c r="AZ27" i="69"/>
  <c r="BE11" i="70" s="1"/>
  <c r="AY27" i="69"/>
  <c r="Z27" i="69"/>
  <c r="AE11" i="70" s="1"/>
  <c r="BH27" i="69"/>
  <c r="BG7" i="69"/>
  <c r="BG8" i="69"/>
  <c r="AC27" i="69"/>
  <c r="AH27" i="69"/>
  <c r="BA40" i="69"/>
  <c r="BA42" i="69"/>
  <c r="BF20" i="70" s="1"/>
  <c r="AM1049" i="67" s="1"/>
  <c r="AW27" i="69"/>
  <c r="AG27" i="69"/>
  <c r="AB27" i="69"/>
  <c r="AG11" i="70" s="1"/>
  <c r="AI40" i="69"/>
  <c r="AI42" i="69"/>
  <c r="BB27" i="69"/>
  <c r="AR40" i="69"/>
  <c r="AR42" i="69"/>
  <c r="AW20" i="70" s="1"/>
  <c r="AD1049" i="67" s="1"/>
  <c r="AA40" i="69"/>
  <c r="AP40" i="69"/>
  <c r="AP42" i="69"/>
  <c r="BD27" i="69"/>
  <c r="AT40" i="69"/>
  <c r="AT42" i="69"/>
  <c r="AY20" i="70" s="1"/>
  <c r="AF1049" i="67" s="1"/>
  <c r="BG40" i="69"/>
  <c r="BG42" i="69"/>
  <c r="BF40" i="69"/>
  <c r="AY40" i="69"/>
  <c r="AY42" i="69"/>
  <c r="BD20" i="70" s="1"/>
  <c r="AK1049" i="67" s="1"/>
  <c r="BH40" i="69"/>
  <c r="BH42" i="69"/>
  <c r="AO40" i="69"/>
  <c r="AT27" i="69"/>
  <c r="AY11" i="70" s="1"/>
  <c r="AV40" i="69"/>
  <c r="AJ40" i="69"/>
  <c r="AJ42" i="69"/>
  <c r="AU40" i="69"/>
  <c r="AS40" i="69"/>
  <c r="AS42" i="69"/>
  <c r="AX20" i="70" s="1"/>
  <c r="AE1049" i="67" s="1"/>
  <c r="AX40" i="69"/>
  <c r="AK27" i="69"/>
  <c r="AL40" i="69"/>
  <c r="AK40" i="69"/>
  <c r="AK42" i="69"/>
  <c r="AP20" i="70" s="1"/>
  <c r="W1049" i="67" s="1"/>
  <c r="AM40" i="69"/>
  <c r="Z40" i="69"/>
  <c r="Z42" i="69"/>
  <c r="AF40" i="69"/>
  <c r="AE945" i="67" l="1"/>
  <c r="AE963" i="67"/>
  <c r="AD945" i="67"/>
  <c r="AD963" i="67"/>
  <c r="AM945" i="67"/>
  <c r="AM963" i="67"/>
  <c r="AU922" i="67"/>
  <c r="AU1056" i="67"/>
  <c r="AU1040" i="67"/>
  <c r="AU954" i="67"/>
  <c r="AU936" i="67"/>
  <c r="AU963" i="67"/>
  <c r="AU945" i="67"/>
  <c r="AC963" i="67"/>
  <c r="AC945" i="67"/>
  <c r="Q1039" i="67"/>
  <c r="Q1055" i="67"/>
  <c r="Q953" i="67"/>
  <c r="Q935" i="67"/>
  <c r="N922" i="67"/>
  <c r="N1056" i="67"/>
  <c r="N1040" i="67"/>
  <c r="N936" i="67"/>
  <c r="N954" i="67"/>
  <c r="AL922" i="67"/>
  <c r="AL1056" i="67"/>
  <c r="AL1040" i="67"/>
  <c r="AL954" i="67"/>
  <c r="AL936" i="67"/>
  <c r="AR922" i="67"/>
  <c r="AR1056" i="67"/>
  <c r="AR1040" i="67"/>
  <c r="AR954" i="67"/>
  <c r="AR936" i="67"/>
  <c r="AB1055" i="67"/>
  <c r="AB1039" i="67"/>
  <c r="AB953" i="67"/>
  <c r="AB935" i="67"/>
  <c r="P963" i="67"/>
  <c r="P945" i="67"/>
  <c r="AM922" i="67"/>
  <c r="AM1056" i="67"/>
  <c r="AM1040" i="67"/>
  <c r="AM954" i="67"/>
  <c r="AM936" i="67"/>
  <c r="AN921" i="67"/>
  <c r="AN1055" i="67"/>
  <c r="AN1039" i="67"/>
  <c r="AN953" i="67"/>
  <c r="AN935" i="67"/>
  <c r="AK945" i="67"/>
  <c r="AK963" i="67"/>
  <c r="W945" i="67"/>
  <c r="W963" i="67"/>
  <c r="AF963" i="67"/>
  <c r="AF945" i="67"/>
  <c r="AN963" i="67"/>
  <c r="AN945" i="67"/>
  <c r="AP945" i="67"/>
  <c r="AP963" i="67"/>
  <c r="AO921" i="67"/>
  <c r="AO1055" i="67"/>
  <c r="AO1039" i="67"/>
  <c r="AO953" i="67"/>
  <c r="AO935" i="67"/>
  <c r="AI945" i="67"/>
  <c r="AI963" i="67"/>
  <c r="Z1055" i="67"/>
  <c r="Z1039" i="67"/>
  <c r="Z935" i="67"/>
  <c r="Z953" i="67"/>
  <c r="S945" i="67"/>
  <c r="S963" i="67"/>
  <c r="AF922" i="67"/>
  <c r="AF1056" i="67"/>
  <c r="AF1040" i="67"/>
  <c r="AF954" i="67"/>
  <c r="AF936" i="67"/>
  <c r="L922" i="67"/>
  <c r="L1056" i="67"/>
  <c r="L1040" i="67"/>
  <c r="L954" i="67"/>
  <c r="L936" i="67"/>
  <c r="U922" i="67"/>
  <c r="U1040" i="67"/>
  <c r="U1056" i="67"/>
  <c r="U954" i="67"/>
  <c r="U936" i="67"/>
  <c r="AW963" i="67"/>
  <c r="AW945" i="67"/>
  <c r="Q784" i="67"/>
  <c r="Q921" i="67"/>
  <c r="AB784" i="67"/>
  <c r="AB921" i="67"/>
  <c r="Z784" i="67"/>
  <c r="Z921" i="67"/>
  <c r="AJ55" i="70"/>
  <c r="Q974" i="67" s="1"/>
  <c r="AB1190" i="67"/>
  <c r="AB1072" i="67"/>
  <c r="AB1206" i="67"/>
  <c r="AB1086" i="67"/>
  <c r="AB1104" i="67"/>
  <c r="AU55" i="70"/>
  <c r="AB974" i="67" s="1"/>
  <c r="S75" i="65"/>
  <c r="S80" i="65" s="1"/>
  <c r="AB315" i="67" s="1"/>
  <c r="S127" i="65"/>
  <c r="S137" i="65" s="1"/>
  <c r="AB467" i="67" s="1"/>
  <c r="AU71" i="70"/>
  <c r="AB990" i="67" s="1"/>
  <c r="S19" i="65"/>
  <c r="S39" i="65"/>
  <c r="S41" i="65" s="1"/>
  <c r="AB162" i="67" s="1"/>
  <c r="Z1086" i="67"/>
  <c r="Z1190" i="67"/>
  <c r="Z1072" i="67"/>
  <c r="Z1206" i="67"/>
  <c r="Z1104" i="67"/>
  <c r="AS55" i="70"/>
  <c r="Z974" i="67" s="1"/>
  <c r="Q75" i="65"/>
  <c r="Q80" i="65" s="1"/>
  <c r="Z315" i="67" s="1"/>
  <c r="Q19" i="65"/>
  <c r="Q127" i="65"/>
  <c r="Q137" i="65" s="1"/>
  <c r="Z467" i="67" s="1"/>
  <c r="AS71" i="70"/>
  <c r="Z990" i="67" s="1"/>
  <c r="Q39" i="65"/>
  <c r="Q41" i="65" s="1"/>
  <c r="Z162" i="67" s="1"/>
  <c r="AX51" i="69"/>
  <c r="AX9" i="69"/>
  <c r="BC10" i="70" s="1"/>
  <c r="Q1125" i="67"/>
  <c r="AU1105" i="67"/>
  <c r="AU1191" i="67"/>
  <c r="AU1087" i="67"/>
  <c r="AU1207" i="67"/>
  <c r="AU1073" i="67"/>
  <c r="AU1216" i="67"/>
  <c r="AU1369" i="67" s="1"/>
  <c r="AU1114" i="67"/>
  <c r="AU1096" i="67"/>
  <c r="AU1200" i="67"/>
  <c r="AM1191" i="67"/>
  <c r="AM1105" i="67"/>
  <c r="AM1073" i="67"/>
  <c r="AM1207" i="67"/>
  <c r="AM1087" i="67"/>
  <c r="AP1114" i="67"/>
  <c r="AP1200" i="67"/>
  <c r="AP1216" i="67"/>
  <c r="AP1369" i="67" s="1"/>
  <c r="AP1096" i="67"/>
  <c r="Q1190" i="67"/>
  <c r="Q1072" i="67"/>
  <c r="Q1206" i="67"/>
  <c r="Q1086" i="67"/>
  <c r="Q1104" i="67"/>
  <c r="H19" i="65"/>
  <c r="H75" i="65"/>
  <c r="H80" i="65" s="1"/>
  <c r="Q315" i="67" s="1"/>
  <c r="AJ71" i="70"/>
  <c r="Q990" i="67" s="1"/>
  <c r="H39" i="65"/>
  <c r="H41" i="65" s="1"/>
  <c r="Q162" i="67" s="1"/>
  <c r="H127" i="65"/>
  <c r="H137" i="65" s="1"/>
  <c r="Q467" i="67" s="1"/>
  <c r="AW1096" i="67"/>
  <c r="AW1114" i="67"/>
  <c r="AW1200" i="67"/>
  <c r="AW1216" i="67"/>
  <c r="AW1369" i="67" s="1"/>
  <c r="AN1216" i="67"/>
  <c r="AN1369" i="67" s="1"/>
  <c r="AN1096" i="67"/>
  <c r="AN1114" i="67"/>
  <c r="AN1200" i="67"/>
  <c r="AI1114" i="67"/>
  <c r="AI1200" i="67"/>
  <c r="AI1216" i="67"/>
  <c r="AI1369" i="67" s="1"/>
  <c r="AI1096" i="67"/>
  <c r="L1191" i="67"/>
  <c r="L1073" i="67"/>
  <c r="L1207" i="67"/>
  <c r="L1087" i="67"/>
  <c r="L1105" i="67"/>
  <c r="W1114" i="67"/>
  <c r="W1200" i="67"/>
  <c r="W1216" i="67"/>
  <c r="W1369" i="67" s="1"/>
  <c r="W1096" i="67"/>
  <c r="AE1096" i="67"/>
  <c r="AE1114" i="67"/>
  <c r="AE1267" i="67" s="1"/>
  <c r="AE1200" i="67"/>
  <c r="AE1216" i="67"/>
  <c r="AE1369" i="67" s="1"/>
  <c r="AF1191" i="67"/>
  <c r="AF1073" i="67"/>
  <c r="AF1207" i="67"/>
  <c r="AF1105" i="67"/>
  <c r="AF1087" i="67"/>
  <c r="AK1216" i="67"/>
  <c r="AK1369" i="67" s="1"/>
  <c r="AK1096" i="67"/>
  <c r="AK1114" i="67"/>
  <c r="AK1200" i="67"/>
  <c r="AF1200" i="67"/>
  <c r="AF1096" i="67"/>
  <c r="AF1114" i="67"/>
  <c r="AF1216" i="67"/>
  <c r="AF1369" i="67" s="1"/>
  <c r="AD1096" i="67"/>
  <c r="AD1114" i="67"/>
  <c r="AD1200" i="67"/>
  <c r="AD1216" i="67"/>
  <c r="AD1369" i="67" s="1"/>
  <c r="N1087" i="67"/>
  <c r="N1105" i="67"/>
  <c r="N1073" i="67"/>
  <c r="N1207" i="67"/>
  <c r="N1191" i="67"/>
  <c r="AM1096" i="67"/>
  <c r="AM1114" i="67"/>
  <c r="AM1267" i="67" s="1"/>
  <c r="AM1200" i="67"/>
  <c r="AM1216" i="67"/>
  <c r="AM1369" i="67" s="1"/>
  <c r="AL1073" i="67"/>
  <c r="AL1191" i="67"/>
  <c r="AL1087" i="67"/>
  <c r="AL1207" i="67"/>
  <c r="AL1105" i="67"/>
  <c r="U1105" i="67"/>
  <c r="U1191" i="67"/>
  <c r="U1207" i="67"/>
  <c r="U1087" i="67"/>
  <c r="U1073" i="67"/>
  <c r="AR1105" i="67"/>
  <c r="AR1191" i="67"/>
  <c r="AR1073" i="67"/>
  <c r="AR1207" i="67"/>
  <c r="AR1087" i="67"/>
  <c r="AO784" i="67"/>
  <c r="AO1190" i="67"/>
  <c r="BH71" i="70"/>
  <c r="AO990" i="67" s="1"/>
  <c r="AO1104" i="67"/>
  <c r="AO1072" i="67"/>
  <c r="AO1206" i="67"/>
  <c r="BH55" i="70"/>
  <c r="AO974" i="67" s="1"/>
  <c r="AF75" i="65"/>
  <c r="AF80" i="65" s="1"/>
  <c r="AO315" i="67" s="1"/>
  <c r="AO1086" i="67"/>
  <c r="AF127" i="65"/>
  <c r="AF137" i="65" s="1"/>
  <c r="AO467" i="67" s="1"/>
  <c r="AF39" i="65"/>
  <c r="AF41" i="65" s="1"/>
  <c r="AO162" i="67" s="1"/>
  <c r="AF19" i="65"/>
  <c r="P1114" i="67"/>
  <c r="P1200" i="67"/>
  <c r="P1216" i="67"/>
  <c r="P1369" i="67" s="1"/>
  <c r="P1096" i="67"/>
  <c r="AC1114" i="67"/>
  <c r="AC1267" i="67" s="1"/>
  <c r="AC1200" i="67"/>
  <c r="AC1216" i="67"/>
  <c r="AC1369" i="67" s="1"/>
  <c r="AC1096" i="67"/>
  <c r="AN784" i="67"/>
  <c r="AN1190" i="67"/>
  <c r="AN1072" i="67"/>
  <c r="AN1206" i="67"/>
  <c r="AN1086" i="67"/>
  <c r="AN1104" i="67"/>
  <c r="AE19" i="65"/>
  <c r="BG71" i="70"/>
  <c r="AN990" i="67" s="1"/>
  <c r="AE127" i="65"/>
  <c r="AE137" i="65" s="1"/>
  <c r="AN467" i="67" s="1"/>
  <c r="AE75" i="65"/>
  <c r="AE80" i="65" s="1"/>
  <c r="AN315" i="67" s="1"/>
  <c r="AE39" i="65"/>
  <c r="AE41" i="65" s="1"/>
  <c r="AN162" i="67" s="1"/>
  <c r="BG55" i="70"/>
  <c r="AN974" i="67" s="1"/>
  <c r="S1096" i="67"/>
  <c r="S1114" i="67"/>
  <c r="S1200" i="67"/>
  <c r="S1216" i="67"/>
  <c r="S1369" i="67" s="1"/>
  <c r="AH18" i="69"/>
  <c r="AH52" i="69" s="1"/>
  <c r="AM12" i="70"/>
  <c r="AM11" i="70"/>
  <c r="AE72" i="70"/>
  <c r="L991" i="67" s="1"/>
  <c r="C128" i="65"/>
  <c r="C138" i="65" s="1"/>
  <c r="L468" i="67" s="1"/>
  <c r="AE56" i="70"/>
  <c r="L975" i="67" s="1"/>
  <c r="AP81" i="70"/>
  <c r="W1000" i="67" s="1"/>
  <c r="AP65" i="70"/>
  <c r="W984" i="67" s="1"/>
  <c r="AX81" i="70"/>
  <c r="AE1000" i="67" s="1"/>
  <c r="AX65" i="70"/>
  <c r="AE984" i="67" s="1"/>
  <c r="AY72" i="70"/>
  <c r="AF991" i="67" s="1"/>
  <c r="W128" i="65"/>
  <c r="W138" i="65" s="1"/>
  <c r="AF468" i="67" s="1"/>
  <c r="AY56" i="70"/>
  <c r="AF975" i="67" s="1"/>
  <c r="BD81" i="70"/>
  <c r="AK1000" i="67" s="1"/>
  <c r="BD65" i="70"/>
  <c r="AK984" i="67" s="1"/>
  <c r="AY81" i="70"/>
  <c r="AF1000" i="67" s="1"/>
  <c r="AY65" i="70"/>
  <c r="AF984" i="67" s="1"/>
  <c r="AW81" i="70"/>
  <c r="AD1000" i="67" s="1"/>
  <c r="AW65" i="70"/>
  <c r="AD984" i="67" s="1"/>
  <c r="E128" i="65"/>
  <c r="E138" i="65" s="1"/>
  <c r="N468" i="67" s="1"/>
  <c r="AG72" i="70"/>
  <c r="N991" i="67" s="1"/>
  <c r="AG56" i="70"/>
  <c r="N975" i="67" s="1"/>
  <c r="BF81" i="70"/>
  <c r="AM1000" i="67" s="1"/>
  <c r="BF65" i="70"/>
  <c r="AM984" i="67" s="1"/>
  <c r="BD18" i="69"/>
  <c r="BD52" i="69" s="1"/>
  <c r="BI12" i="70"/>
  <c r="BI11" i="70"/>
  <c r="BB18" i="69"/>
  <c r="BB52" i="69" s="1"/>
  <c r="BG12" i="70"/>
  <c r="BG11" i="70"/>
  <c r="AG18" i="69"/>
  <c r="AG52" i="69" s="1"/>
  <c r="AL12" i="70"/>
  <c r="AL11" i="70"/>
  <c r="AK18" i="69"/>
  <c r="AK52" i="69" s="1"/>
  <c r="AP12" i="70"/>
  <c r="AJ55" i="69"/>
  <c r="AO22" i="70"/>
  <c r="BM22" i="70"/>
  <c r="BH55" i="69"/>
  <c r="AM20" i="69"/>
  <c r="AM21" i="69" s="1"/>
  <c r="AM26" i="69"/>
  <c r="BG55" i="69"/>
  <c r="BL22" i="70"/>
  <c r="AL26" i="69"/>
  <c r="AL20" i="69"/>
  <c r="AL21" i="69" s="1"/>
  <c r="AU22" i="70"/>
  <c r="AP55" i="69"/>
  <c r="AI55" i="69"/>
  <c r="AN22" i="70"/>
  <c r="AQ26" i="69"/>
  <c r="AQ20" i="69"/>
  <c r="AQ21" i="69" s="1"/>
  <c r="AW18" i="69"/>
  <c r="AW52" i="69" s="1"/>
  <c r="BB12" i="70"/>
  <c r="AV26" i="69"/>
  <c r="AV20" i="69"/>
  <c r="AV21" i="69" s="1"/>
  <c r="AC18" i="69"/>
  <c r="AC52" i="69" s="1"/>
  <c r="AH12" i="70"/>
  <c r="BG9" i="69"/>
  <c r="BL10" i="70" s="1"/>
  <c r="BG51" i="69"/>
  <c r="AC128" i="65"/>
  <c r="AC138" i="65" s="1"/>
  <c r="AL468" i="67" s="1"/>
  <c r="BE72" i="70"/>
  <c r="AL991" i="67" s="1"/>
  <c r="BE56" i="70"/>
  <c r="AL975" i="67" s="1"/>
  <c r="AN72" i="70"/>
  <c r="U991" i="67" s="1"/>
  <c r="L128" i="65"/>
  <c r="L138" i="65" s="1"/>
  <c r="U468" i="67" s="1"/>
  <c r="AN56" i="70"/>
  <c r="U975" i="67" s="1"/>
  <c r="BK72" i="70"/>
  <c r="AR991" i="67" s="1"/>
  <c r="AI128" i="65"/>
  <c r="AI138" i="65" s="1"/>
  <c r="AR468" i="67" s="1"/>
  <c r="BK56" i="70"/>
  <c r="AR975" i="67" s="1"/>
  <c r="AP18" i="69"/>
  <c r="AP52" i="69" s="1"/>
  <c r="AU12" i="70"/>
  <c r="AU11" i="70"/>
  <c r="BC18" i="69"/>
  <c r="BC52" i="69" s="1"/>
  <c r="BH12" i="70"/>
  <c r="BH11" i="70"/>
  <c r="AE22" i="70"/>
  <c r="Z55" i="69"/>
  <c r="AF42" i="69"/>
  <c r="AL42" i="69"/>
  <c r="AK20" i="69"/>
  <c r="AK21" i="69" s="1"/>
  <c r="AK26" i="69"/>
  <c r="AU42" i="69"/>
  <c r="AO42" i="69"/>
  <c r="BF42" i="69"/>
  <c r="AW20" i="69"/>
  <c r="AW21" i="69" s="1"/>
  <c r="AW26" i="69"/>
  <c r="AC20" i="69"/>
  <c r="AC21" i="69" s="1"/>
  <c r="AC26" i="69"/>
  <c r="BN72" i="70"/>
  <c r="AU991" i="67" s="1"/>
  <c r="AL128" i="65"/>
  <c r="AL138" i="65" s="1"/>
  <c r="AU468" i="67" s="1"/>
  <c r="BN56" i="70"/>
  <c r="AU975" i="67" s="1"/>
  <c r="AP22" i="70"/>
  <c r="AK55" i="69"/>
  <c r="AX22" i="70"/>
  <c r="AS55" i="69"/>
  <c r="AT18" i="69"/>
  <c r="AT52" i="69" s="1"/>
  <c r="AY12" i="70"/>
  <c r="BD22" i="70"/>
  <c r="AY55" i="69"/>
  <c r="AT55" i="69"/>
  <c r="AY22" i="70"/>
  <c r="BD26" i="69"/>
  <c r="BD20" i="69"/>
  <c r="BD21" i="69" s="1"/>
  <c r="AW22" i="70"/>
  <c r="AR55" i="69"/>
  <c r="BB20" i="69"/>
  <c r="BB21" i="69" s="1"/>
  <c r="BB26" i="69"/>
  <c r="AB18" i="69"/>
  <c r="AB52" i="69" s="1"/>
  <c r="AG12" i="70"/>
  <c r="AG20" i="69"/>
  <c r="AG21" i="69" s="1"/>
  <c r="AG26" i="69"/>
  <c r="BA55" i="69"/>
  <c r="BF22" i="70"/>
  <c r="AH26" i="69"/>
  <c r="AH20" i="69"/>
  <c r="AH21" i="69" s="1"/>
  <c r="BE20" i="69"/>
  <c r="BE21" i="69" s="1"/>
  <c r="BE26" i="69"/>
  <c r="BE27" i="69"/>
  <c r="BH18" i="69"/>
  <c r="BH52" i="69" s="1"/>
  <c r="BM12" i="70"/>
  <c r="BM11" i="70"/>
  <c r="BG18" i="69"/>
  <c r="BG52" i="69" s="1"/>
  <c r="BL12" i="70"/>
  <c r="BL11" i="70"/>
  <c r="BI81" i="70"/>
  <c r="AP1000" i="67" s="1"/>
  <c r="BI65" i="70"/>
  <c r="AP984" i="67" s="1"/>
  <c r="AE20" i="70"/>
  <c r="L1049" i="67" s="1"/>
  <c r="AM42" i="69"/>
  <c r="AP11" i="70"/>
  <c r="AX42" i="69"/>
  <c r="AO20" i="70"/>
  <c r="V1049" i="67" s="1"/>
  <c r="AV42" i="69"/>
  <c r="AT26" i="69"/>
  <c r="AT20" i="69"/>
  <c r="AT21" i="69" s="1"/>
  <c r="BM20" i="70"/>
  <c r="AT1049" i="67" s="1"/>
  <c r="AM27" i="69"/>
  <c r="BL20" i="70"/>
  <c r="AS1049" i="67" s="1"/>
  <c r="AL27" i="69"/>
  <c r="AU20" i="70"/>
  <c r="AB1049" i="67" s="1"/>
  <c r="AA42" i="69"/>
  <c r="AN20" i="70"/>
  <c r="U1049" i="67" s="1"/>
  <c r="AQ27" i="69"/>
  <c r="AB26" i="69"/>
  <c r="AB20" i="69"/>
  <c r="AB21" i="69" s="1"/>
  <c r="BB11" i="70"/>
  <c r="AV27" i="69"/>
  <c r="AH11" i="70"/>
  <c r="AJ20" i="69"/>
  <c r="AJ21" i="69" s="1"/>
  <c r="AJ26" i="69"/>
  <c r="AJ27" i="69"/>
  <c r="Z18" i="69"/>
  <c r="Z52" i="69" s="1"/>
  <c r="AE12" i="70"/>
  <c r="BG81" i="70"/>
  <c r="AN1000" i="67" s="1"/>
  <c r="BG65" i="70"/>
  <c r="AN984" i="67" s="1"/>
  <c r="AA18" i="69"/>
  <c r="AA52" i="69" s="1"/>
  <c r="AF12" i="70"/>
  <c r="AF11" i="70"/>
  <c r="AD18" i="69"/>
  <c r="AD52" i="69" s="1"/>
  <c r="AI12" i="70"/>
  <c r="AI11" i="70"/>
  <c r="AY18" i="69"/>
  <c r="AY52" i="69" s="1"/>
  <c r="BD12" i="70"/>
  <c r="AX20" i="69"/>
  <c r="AX21" i="69" s="1"/>
  <c r="AX26" i="69"/>
  <c r="AU18" i="69"/>
  <c r="AU52" i="69" s="1"/>
  <c r="AZ12" i="70"/>
  <c r="AR26" i="69"/>
  <c r="AR20" i="69"/>
  <c r="AR21" i="69" s="1"/>
  <c r="AF18" i="69"/>
  <c r="AF52" i="69" s="1"/>
  <c r="AK12" i="70"/>
  <c r="BJ18" i="69"/>
  <c r="BJ52" i="69" s="1"/>
  <c r="BO12" i="70"/>
  <c r="AE26" i="69"/>
  <c r="AE20" i="69"/>
  <c r="AE21" i="69" s="1"/>
  <c r="AN18" i="69"/>
  <c r="AN52" i="69" s="1"/>
  <c r="AS12" i="70"/>
  <c r="BK18" i="69"/>
  <c r="BK52" i="69" s="1"/>
  <c r="BP12" i="70"/>
  <c r="AO9" i="69"/>
  <c r="AO51" i="69"/>
  <c r="AB40" i="69"/>
  <c r="AB42" i="69"/>
  <c r="AI81" i="70"/>
  <c r="P1000" i="67" s="1"/>
  <c r="AI65" i="70"/>
  <c r="P984" i="67" s="1"/>
  <c r="AV81" i="70"/>
  <c r="AC1000" i="67" s="1"/>
  <c r="AV65" i="70"/>
  <c r="AC984" i="67" s="1"/>
  <c r="AY26" i="69"/>
  <c r="AY20" i="69"/>
  <c r="AY21" i="69" s="1"/>
  <c r="AU26" i="69"/>
  <c r="AU20" i="69"/>
  <c r="AU21" i="69" s="1"/>
  <c r="AF20" i="69"/>
  <c r="AF21" i="69" s="1"/>
  <c r="AF26" i="69"/>
  <c r="AL8" i="69"/>
  <c r="BJ26" i="69"/>
  <c r="BJ20" i="69"/>
  <c r="BJ21" i="69" s="1"/>
  <c r="AN42" i="69"/>
  <c r="AN26" i="69"/>
  <c r="AN20" i="69"/>
  <c r="AN21" i="69" s="1"/>
  <c r="BF8" i="69"/>
  <c r="AT8" i="69"/>
  <c r="AP51" i="69"/>
  <c r="BK26" i="69"/>
  <c r="BK20" i="69"/>
  <c r="BK21" i="69" s="1"/>
  <c r="BH8" i="69"/>
  <c r="AP10" i="69"/>
  <c r="BN81" i="70"/>
  <c r="AU1000" i="67" s="1"/>
  <c r="BN65" i="70"/>
  <c r="AU984" i="67" s="1"/>
  <c r="AD128" i="65"/>
  <c r="AD138" i="65" s="1"/>
  <c r="AM468" i="67" s="1"/>
  <c r="BF72" i="70"/>
  <c r="AM991" i="67" s="1"/>
  <c r="BF56" i="70"/>
  <c r="AM975" i="67" s="1"/>
  <c r="AS18" i="69"/>
  <c r="AS52" i="69" s="1"/>
  <c r="AX12" i="70"/>
  <c r="AX11" i="70"/>
  <c r="Z20" i="69"/>
  <c r="Z21" i="69" s="1"/>
  <c r="Z26" i="69"/>
  <c r="AZ18" i="69"/>
  <c r="AZ52" i="69" s="1"/>
  <c r="BE12" i="70"/>
  <c r="BB55" i="69"/>
  <c r="BG22" i="70"/>
  <c r="BG26" i="69"/>
  <c r="BG20" i="69"/>
  <c r="BG21" i="69" s="1"/>
  <c r="AI18" i="69"/>
  <c r="AI52" i="69" s="1"/>
  <c r="AN12" i="70"/>
  <c r="BF18" i="69"/>
  <c r="BF52" i="69" s="1"/>
  <c r="BK12" i="70"/>
  <c r="AA26" i="69"/>
  <c r="AA20" i="69"/>
  <c r="AA21" i="69" s="1"/>
  <c r="AP20" i="69"/>
  <c r="AP21" i="69" s="1"/>
  <c r="AP26" i="69"/>
  <c r="BD55" i="69"/>
  <c r="BD56" i="69" s="1"/>
  <c r="BD58" i="69" s="1"/>
  <c r="BD59" i="69" s="1"/>
  <c r="BD60" i="69" s="1"/>
  <c r="BD61" i="69" s="1"/>
  <c r="BI22" i="70"/>
  <c r="BI18" i="69"/>
  <c r="BI52" i="69" s="1"/>
  <c r="BN12" i="70"/>
  <c r="BD9" i="69"/>
  <c r="BI10" i="70" s="1"/>
  <c r="AD26" i="69"/>
  <c r="AD20" i="69"/>
  <c r="AD21" i="69" s="1"/>
  <c r="BC26" i="69"/>
  <c r="BC20" i="69"/>
  <c r="BC21" i="69" s="1"/>
  <c r="AS9" i="69"/>
  <c r="AA9" i="69"/>
  <c r="AF10" i="70" s="1"/>
  <c r="BK51" i="69"/>
  <c r="BK9" i="69"/>
  <c r="BP10" i="70" s="1"/>
  <c r="BP65" i="70"/>
  <c r="AW984" i="67" s="1"/>
  <c r="BP81" i="70"/>
  <c r="AW1000" i="67" s="1"/>
  <c r="BH26" i="69"/>
  <c r="BH20" i="69"/>
  <c r="BH21" i="69" s="1"/>
  <c r="BD11" i="70"/>
  <c r="AX27" i="69"/>
  <c r="AZ26" i="69"/>
  <c r="AZ20" i="69"/>
  <c r="AZ21" i="69" s="1"/>
  <c r="AZ11" i="70"/>
  <c r="BC42" i="69"/>
  <c r="AR27" i="69"/>
  <c r="AI26" i="69"/>
  <c r="AI20" i="69"/>
  <c r="AI21" i="69" s="1"/>
  <c r="AM8" i="69"/>
  <c r="BF26" i="69"/>
  <c r="BF20" i="69"/>
  <c r="BF21" i="69" s="1"/>
  <c r="AK11" i="70"/>
  <c r="BO11" i="70"/>
  <c r="AE27" i="69"/>
  <c r="AS11" i="70"/>
  <c r="BI26" i="69"/>
  <c r="BI20" i="69"/>
  <c r="BI21" i="69" s="1"/>
  <c r="BP11" i="70"/>
  <c r="AA7" i="69"/>
  <c r="AO18" i="69"/>
  <c r="AO52" i="69" s="1"/>
  <c r="AT11" i="70"/>
  <c r="AT12" i="70"/>
  <c r="BB81" i="70"/>
  <c r="AI1000" i="67" s="1"/>
  <c r="BB65" i="70"/>
  <c r="AI984" i="67" s="1"/>
  <c r="AO6" i="69"/>
  <c r="AO7" i="69"/>
  <c r="BC10" i="69"/>
  <c r="BC51" i="69"/>
  <c r="BE42" i="69"/>
  <c r="AR9" i="69"/>
  <c r="AW10" i="70" s="1"/>
  <c r="AE10" i="69"/>
  <c r="AE51" i="69"/>
  <c r="BA26" i="69"/>
  <c r="BA20" i="69"/>
  <c r="BA21" i="69" s="1"/>
  <c r="AQ8" i="69"/>
  <c r="AL81" i="70"/>
  <c r="S1000" i="67" s="1"/>
  <c r="AL65" i="70"/>
  <c r="S984" i="67" s="1"/>
  <c r="AD55" i="69"/>
  <c r="AI22" i="70"/>
  <c r="AO26" i="69"/>
  <c r="AO20" i="69"/>
  <c r="AO21" i="69" s="1"/>
  <c r="BP22" i="70"/>
  <c r="BK55" i="69"/>
  <c r="AS26" i="69"/>
  <c r="AS20" i="69"/>
  <c r="AS21" i="69" s="1"/>
  <c r="AZ42" i="69"/>
  <c r="AK8" i="69"/>
  <c r="AC42" i="69"/>
  <c r="AB8" i="69"/>
  <c r="AC8" i="69"/>
  <c r="AG9" i="69"/>
  <c r="AU8" i="69"/>
  <c r="BA8" i="69"/>
  <c r="BN22" i="70"/>
  <c r="BI55" i="69"/>
  <c r="AQ55" i="69"/>
  <c r="AV22" i="70"/>
  <c r="AQ41" i="69"/>
  <c r="BA18" i="69"/>
  <c r="BA52" i="69" s="1"/>
  <c r="BF12" i="70"/>
  <c r="BB22" i="70"/>
  <c r="AW55" i="69"/>
  <c r="BJ55" i="69"/>
  <c r="BO22" i="70"/>
  <c r="AM22" i="70"/>
  <c r="AH55" i="69"/>
  <c r="AN51" i="69"/>
  <c r="AJ22" i="70"/>
  <c r="AE55" i="69"/>
  <c r="AY9" i="69"/>
  <c r="BD10" i="70" s="1"/>
  <c r="AF9" i="69"/>
  <c r="AJ51" i="69"/>
  <c r="AH9" i="69"/>
  <c r="AM10" i="70" s="1"/>
  <c r="AF51" i="69"/>
  <c r="Z9" i="69"/>
  <c r="AD8" i="69"/>
  <c r="BJ8" i="69"/>
  <c r="AI8" i="69"/>
  <c r="AL22" i="70"/>
  <c r="AG55" i="69"/>
  <c r="BB10" i="69"/>
  <c r="AJ9" i="69"/>
  <c r="AV8" i="69"/>
  <c r="BO20" i="70"/>
  <c r="AV1049" i="67" s="1"/>
  <c r="AM20" i="70"/>
  <c r="T1049" i="67" s="1"/>
  <c r="AZ8" i="69"/>
  <c r="BB51" i="69"/>
  <c r="BI8" i="69"/>
  <c r="AN10" i="69"/>
  <c r="AJ20" i="70"/>
  <c r="Q1049" i="67" s="1"/>
  <c r="AY51" i="69"/>
  <c r="AW9" i="69"/>
  <c r="BB10" i="70" s="1"/>
  <c r="BE51" i="69"/>
  <c r="BE9" i="69"/>
  <c r="BJ10" i="70" s="1"/>
  <c r="AS56" i="69" l="1"/>
  <c r="AS58" i="69" s="1"/>
  <c r="AS59" i="69" s="1"/>
  <c r="AS60" i="69" s="1"/>
  <c r="AS61" i="69" s="1"/>
  <c r="S1267" i="67"/>
  <c r="AW56" i="69"/>
  <c r="AW58" i="69" s="1"/>
  <c r="AW59" i="69" s="1"/>
  <c r="AW60" i="69" s="1"/>
  <c r="AW61" i="69" s="1"/>
  <c r="W1267" i="67"/>
  <c r="AH56" i="69"/>
  <c r="AH58" i="69" s="1"/>
  <c r="AH59" i="69" s="1"/>
  <c r="AH60" i="69" s="1"/>
  <c r="AH61" i="69" s="1"/>
  <c r="P1267" i="67"/>
  <c r="AP1267" i="67"/>
  <c r="AQ1039" i="67"/>
  <c r="AQ1055" i="67"/>
  <c r="AQ953" i="67"/>
  <c r="AQ935" i="67"/>
  <c r="AK921" i="67"/>
  <c r="AK1039" i="67"/>
  <c r="AK1055" i="67"/>
  <c r="AK953" i="67"/>
  <c r="AK935" i="67"/>
  <c r="AU965" i="67"/>
  <c r="AU947" i="67"/>
  <c r="T963" i="67"/>
  <c r="T945" i="67"/>
  <c r="T1055" i="67"/>
  <c r="T1039" i="67"/>
  <c r="T953" i="67"/>
  <c r="T935" i="67"/>
  <c r="T965" i="67"/>
  <c r="T947" i="67"/>
  <c r="AI965" i="67"/>
  <c r="AI947" i="67"/>
  <c r="AC965" i="67"/>
  <c r="AC947" i="67"/>
  <c r="AA922" i="67"/>
  <c r="AA1056" i="67"/>
  <c r="AA1040" i="67"/>
  <c r="AA954" i="67"/>
  <c r="AA936" i="67"/>
  <c r="AV922" i="67"/>
  <c r="AV1056" i="67"/>
  <c r="AV954" i="67"/>
  <c r="AV936" i="67"/>
  <c r="AV1040" i="67"/>
  <c r="M921" i="67"/>
  <c r="M1039" i="67"/>
  <c r="M1055" i="67"/>
  <c r="M953" i="67"/>
  <c r="M935" i="67"/>
  <c r="AE923" i="67"/>
  <c r="AE1041" i="67"/>
  <c r="AE1057" i="67"/>
  <c r="AE955" i="67"/>
  <c r="AE937" i="67"/>
  <c r="Z923" i="67"/>
  <c r="Z1057" i="67"/>
  <c r="Z1041" i="67"/>
  <c r="Z955" i="67"/>
  <c r="Z937" i="67"/>
  <c r="AV923" i="67"/>
  <c r="AV1057" i="67"/>
  <c r="AV1041" i="67"/>
  <c r="AV937" i="67"/>
  <c r="AV955" i="67"/>
  <c r="P922" i="67"/>
  <c r="P1056" i="67"/>
  <c r="P1040" i="67"/>
  <c r="P954" i="67"/>
  <c r="P936" i="67"/>
  <c r="M923" i="67"/>
  <c r="M1057" i="67"/>
  <c r="M1041" i="67"/>
  <c r="M955" i="67"/>
  <c r="M937" i="67"/>
  <c r="L923" i="67"/>
  <c r="L1057" i="67"/>
  <c r="L1041" i="67"/>
  <c r="L955" i="67"/>
  <c r="L937" i="67"/>
  <c r="AS922" i="67"/>
  <c r="AS1056" i="67"/>
  <c r="AS1040" i="67"/>
  <c r="AS954" i="67"/>
  <c r="AS936" i="67"/>
  <c r="AT923" i="67"/>
  <c r="AT1057" i="67"/>
  <c r="AT1041" i="67"/>
  <c r="AT955" i="67"/>
  <c r="AT937" i="67"/>
  <c r="AD965" i="67"/>
  <c r="AD947" i="67"/>
  <c r="W965" i="67"/>
  <c r="W947" i="67"/>
  <c r="L965" i="67"/>
  <c r="L947" i="67"/>
  <c r="AB922" i="67"/>
  <c r="AB1056" i="67"/>
  <c r="AB1040" i="67"/>
  <c r="AB954" i="67"/>
  <c r="AB936" i="67"/>
  <c r="AS965" i="67"/>
  <c r="AS947" i="67"/>
  <c r="W923" i="67"/>
  <c r="W1057" i="67"/>
  <c r="W1041" i="67"/>
  <c r="W955" i="67"/>
  <c r="W937" i="67"/>
  <c r="AP922" i="67"/>
  <c r="AP1056" i="67"/>
  <c r="AP1040" i="67"/>
  <c r="AP954" i="67"/>
  <c r="AP936" i="67"/>
  <c r="T922" i="67"/>
  <c r="T1056" i="67"/>
  <c r="T1040" i="67"/>
  <c r="T954" i="67"/>
  <c r="T936" i="67"/>
  <c r="AI1039" i="67"/>
  <c r="AI1055" i="67"/>
  <c r="AI953" i="67"/>
  <c r="AI935" i="67"/>
  <c r="Q965" i="67"/>
  <c r="Q947" i="67"/>
  <c r="AM923" i="67"/>
  <c r="AM1057" i="67"/>
  <c r="AM1041" i="67"/>
  <c r="AM955" i="67"/>
  <c r="AM937" i="67"/>
  <c r="R922" i="67"/>
  <c r="R1056" i="67"/>
  <c r="R1040" i="67"/>
  <c r="R954" i="67"/>
  <c r="R936" i="67"/>
  <c r="AG922" i="67"/>
  <c r="AG1040" i="67"/>
  <c r="AG1056" i="67"/>
  <c r="AG954" i="67"/>
  <c r="AG936" i="67"/>
  <c r="AK922" i="67"/>
  <c r="AK1040" i="67"/>
  <c r="AK1056" i="67"/>
  <c r="AK954" i="67"/>
  <c r="AK936" i="67"/>
  <c r="AP947" i="67"/>
  <c r="AP965" i="67"/>
  <c r="U923" i="67"/>
  <c r="U1057" i="67"/>
  <c r="U1041" i="67"/>
  <c r="U955" i="67"/>
  <c r="U937" i="67"/>
  <c r="AN965" i="67"/>
  <c r="AN947" i="67"/>
  <c r="P923" i="67"/>
  <c r="P1057" i="67"/>
  <c r="P1041" i="67"/>
  <c r="P937" i="67"/>
  <c r="P955" i="67"/>
  <c r="O922" i="67"/>
  <c r="O1056" i="67"/>
  <c r="O1040" i="67"/>
  <c r="O954" i="67"/>
  <c r="O936" i="67"/>
  <c r="AB963" i="67"/>
  <c r="AB945" i="67"/>
  <c r="AT963" i="67"/>
  <c r="AT945" i="67"/>
  <c r="V963" i="67"/>
  <c r="V945" i="67"/>
  <c r="L963" i="67"/>
  <c r="L945" i="67"/>
  <c r="AS923" i="67"/>
  <c r="AS1057" i="67"/>
  <c r="AS1041" i="67"/>
  <c r="AS955" i="67"/>
  <c r="AS937" i="67"/>
  <c r="AO922" i="67"/>
  <c r="AO1040" i="67"/>
  <c r="AO1056" i="67"/>
  <c r="AO954" i="67"/>
  <c r="AO936" i="67"/>
  <c r="AB923" i="67"/>
  <c r="AB1057" i="67"/>
  <c r="AB1041" i="67"/>
  <c r="AB937" i="67"/>
  <c r="AB955" i="67"/>
  <c r="AS1055" i="67"/>
  <c r="AS1039" i="67"/>
  <c r="AS953" i="67"/>
  <c r="AS935" i="67"/>
  <c r="AB965" i="67"/>
  <c r="AB947" i="67"/>
  <c r="AT965" i="67"/>
  <c r="AT947" i="67"/>
  <c r="AN922" i="67"/>
  <c r="AN1056" i="67"/>
  <c r="AN1040" i="67"/>
  <c r="AN954" i="67"/>
  <c r="AN936" i="67"/>
  <c r="AP923" i="67"/>
  <c r="AP1057" i="67"/>
  <c r="AP1041" i="67"/>
  <c r="AP955" i="67"/>
  <c r="AP937" i="67"/>
  <c r="T923" i="67"/>
  <c r="T1057" i="67"/>
  <c r="T1041" i="67"/>
  <c r="T955" i="67"/>
  <c r="T937" i="67"/>
  <c r="AV963" i="67"/>
  <c r="AV945" i="67"/>
  <c r="AV965" i="67"/>
  <c r="AV947" i="67"/>
  <c r="S965" i="67"/>
  <c r="S947" i="67"/>
  <c r="P965" i="67"/>
  <c r="P947" i="67"/>
  <c r="Z922" i="67"/>
  <c r="Z1056" i="67"/>
  <c r="Z1040" i="67"/>
  <c r="Z954" i="67"/>
  <c r="Z936" i="67"/>
  <c r="AW921" i="67"/>
  <c r="AW1055" i="67"/>
  <c r="AW1039" i="67"/>
  <c r="AW953" i="67"/>
  <c r="AW935" i="67"/>
  <c r="AP1055" i="67"/>
  <c r="AP1039" i="67"/>
  <c r="AP935" i="67"/>
  <c r="AP953" i="67"/>
  <c r="AW923" i="67"/>
  <c r="AW1057" i="67"/>
  <c r="AW1041" i="67"/>
  <c r="AW955" i="67"/>
  <c r="AW937" i="67"/>
  <c r="R923" i="67"/>
  <c r="R1057" i="67"/>
  <c r="R1041" i="67"/>
  <c r="R955" i="67"/>
  <c r="R937" i="67"/>
  <c r="AG923" i="67"/>
  <c r="AG1057" i="67"/>
  <c r="AG1041" i="67"/>
  <c r="AG955" i="67"/>
  <c r="AG937" i="67"/>
  <c r="AK923" i="67"/>
  <c r="AK1057" i="67"/>
  <c r="AK1041" i="67"/>
  <c r="AK955" i="67"/>
  <c r="AK937" i="67"/>
  <c r="AK965" i="67"/>
  <c r="AK947" i="67"/>
  <c r="AE965" i="67"/>
  <c r="AE947" i="67"/>
  <c r="AO923" i="67"/>
  <c r="AO1057" i="67"/>
  <c r="AO1041" i="67"/>
  <c r="AO955" i="67"/>
  <c r="AO937" i="67"/>
  <c r="O923" i="67"/>
  <c r="O1041" i="67"/>
  <c r="O1057" i="67"/>
  <c r="O955" i="67"/>
  <c r="O937" i="67"/>
  <c r="AI923" i="67"/>
  <c r="AI1041" i="67"/>
  <c r="AI1057" i="67"/>
  <c r="AI955" i="67"/>
  <c r="AI937" i="67"/>
  <c r="U965" i="67"/>
  <c r="U947" i="67"/>
  <c r="V965" i="67"/>
  <c r="V947" i="67"/>
  <c r="S922" i="67"/>
  <c r="S1056" i="67"/>
  <c r="S1040" i="67"/>
  <c r="S954" i="67"/>
  <c r="S936" i="67"/>
  <c r="AN923" i="67"/>
  <c r="AN1057" i="67"/>
  <c r="AN1041" i="67"/>
  <c r="AN955" i="67"/>
  <c r="AN937" i="67"/>
  <c r="AJ1055" i="67"/>
  <c r="AJ1039" i="67"/>
  <c r="AJ953" i="67"/>
  <c r="AJ935" i="67"/>
  <c r="Q963" i="67"/>
  <c r="Q945" i="67"/>
  <c r="AW965" i="67"/>
  <c r="AW947" i="67"/>
  <c r="AD921" i="67"/>
  <c r="AD1055" i="67"/>
  <c r="AD1039" i="67"/>
  <c r="AD935" i="67"/>
  <c r="AD953" i="67"/>
  <c r="AA923" i="67"/>
  <c r="AA1041" i="67"/>
  <c r="AA1057" i="67"/>
  <c r="AA955" i="67"/>
  <c r="AA937" i="67"/>
  <c r="AW922" i="67"/>
  <c r="AW1040" i="67"/>
  <c r="AW1056" i="67"/>
  <c r="AW954" i="67"/>
  <c r="AW936" i="67"/>
  <c r="AU923" i="67"/>
  <c r="AU1041" i="67"/>
  <c r="AU1057" i="67"/>
  <c r="AU955" i="67"/>
  <c r="AU937" i="67"/>
  <c r="AR923" i="67"/>
  <c r="AR1057" i="67"/>
  <c r="AR1041" i="67"/>
  <c r="AR937" i="67"/>
  <c r="AR955" i="67"/>
  <c r="AL923" i="67"/>
  <c r="AL1057" i="67"/>
  <c r="AL1041" i="67"/>
  <c r="AL955" i="67"/>
  <c r="AL937" i="67"/>
  <c r="AE922" i="67"/>
  <c r="AE1056" i="67"/>
  <c r="AE1040" i="67"/>
  <c r="AE954" i="67"/>
  <c r="AE936" i="67"/>
  <c r="M922" i="67"/>
  <c r="M1056" i="67"/>
  <c r="M1040" i="67"/>
  <c r="M954" i="67"/>
  <c r="M936" i="67"/>
  <c r="AI922" i="67"/>
  <c r="AI1056" i="67"/>
  <c r="AI1040" i="67"/>
  <c r="AI954" i="67"/>
  <c r="AI936" i="67"/>
  <c r="U963" i="67"/>
  <c r="U945" i="67"/>
  <c r="AS963" i="67"/>
  <c r="AS945" i="67"/>
  <c r="W922" i="67"/>
  <c r="W1056" i="67"/>
  <c r="W1040" i="67"/>
  <c r="W954" i="67"/>
  <c r="W936" i="67"/>
  <c r="AT922" i="67"/>
  <c r="AT1056" i="67"/>
  <c r="AT1040" i="67"/>
  <c r="AT936" i="67"/>
  <c r="AT954" i="67"/>
  <c r="AM965" i="67"/>
  <c r="AM947" i="67"/>
  <c r="N923" i="67"/>
  <c r="N1057" i="67"/>
  <c r="N1041" i="67"/>
  <c r="N955" i="67"/>
  <c r="N937" i="67"/>
  <c r="AF965" i="67"/>
  <c r="AF947" i="67"/>
  <c r="AF923" i="67"/>
  <c r="AF1057" i="67"/>
  <c r="AF1041" i="67"/>
  <c r="AF955" i="67"/>
  <c r="AF937" i="67"/>
  <c r="S923" i="67"/>
  <c r="S1041" i="67"/>
  <c r="S1057" i="67"/>
  <c r="S955" i="67"/>
  <c r="S937" i="67"/>
  <c r="AP784" i="67"/>
  <c r="AP921" i="67"/>
  <c r="AJ784" i="67"/>
  <c r="AJ921" i="67"/>
  <c r="T784" i="67"/>
  <c r="T921" i="67"/>
  <c r="AQ784" i="67"/>
  <c r="AQ921" i="67"/>
  <c r="AI784" i="67"/>
  <c r="AI921" i="67"/>
  <c r="AS784" i="67"/>
  <c r="AS921" i="67"/>
  <c r="AF1267" i="67"/>
  <c r="AK1267" i="67"/>
  <c r="AI1267" i="67"/>
  <c r="AD1267" i="67"/>
  <c r="AN1267" i="67"/>
  <c r="AU1267" i="67"/>
  <c r="AG56" i="69"/>
  <c r="AG58" i="69" s="1"/>
  <c r="AG59" i="69" s="1"/>
  <c r="AG60" i="69" s="1"/>
  <c r="AG61" i="69" s="1"/>
  <c r="AW1267" i="67"/>
  <c r="AP56" i="69"/>
  <c r="AP58" i="69" s="1"/>
  <c r="AP59" i="69" s="1"/>
  <c r="AP60" i="69" s="1"/>
  <c r="AP61" i="69" s="1"/>
  <c r="L1226" i="67"/>
  <c r="U1226" i="67"/>
  <c r="H163" i="65"/>
  <c r="AY56" i="69"/>
  <c r="AY58" i="69" s="1"/>
  <c r="AY59" i="69" s="1"/>
  <c r="AY60" i="69" s="1"/>
  <c r="AY61" i="69" s="1"/>
  <c r="BB56" i="69"/>
  <c r="BB58" i="69" s="1"/>
  <c r="BB59" i="69" s="1"/>
  <c r="BB60" i="69" s="1"/>
  <c r="BB61" i="69" s="1"/>
  <c r="AF24" i="65"/>
  <c r="AO9" i="67"/>
  <c r="AO1225" i="67" s="1"/>
  <c r="Z1239" i="67"/>
  <c r="AE24" i="65"/>
  <c r="AN9" i="67"/>
  <c r="AN1225" i="67" s="1"/>
  <c r="Q24" i="65"/>
  <c r="Z9" i="67"/>
  <c r="Z1225" i="67" s="1"/>
  <c r="H24" i="65"/>
  <c r="Q9" i="67"/>
  <c r="Q1225" i="67" s="1"/>
  <c r="S24" i="65"/>
  <c r="AB9" i="67"/>
  <c r="AB1225" i="67" s="1"/>
  <c r="N1226" i="67"/>
  <c r="Q1239" i="67"/>
  <c r="BE10" i="69"/>
  <c r="BJ9" i="70" s="1"/>
  <c r="AB1239" i="67"/>
  <c r="AM1226" i="67"/>
  <c r="AR1226" i="67"/>
  <c r="AU1226" i="67"/>
  <c r="AL1226" i="67"/>
  <c r="AF1226" i="67"/>
  <c r="AM1142" i="67"/>
  <c r="AC1151" i="67"/>
  <c r="AN1151" i="67"/>
  <c r="AP1151" i="67"/>
  <c r="AU1142" i="67"/>
  <c r="AR1126" i="67"/>
  <c r="AM1135" i="67"/>
  <c r="AF1151" i="67"/>
  <c r="W1135" i="67"/>
  <c r="L1142" i="67"/>
  <c r="AN1141" i="67"/>
  <c r="Q1141" i="67"/>
  <c r="Z1141" i="67"/>
  <c r="AB1141" i="67"/>
  <c r="AN1359" i="67"/>
  <c r="AM1258" i="67"/>
  <c r="P1353" i="67"/>
  <c r="AB1359" i="67"/>
  <c r="AR1344" i="67"/>
  <c r="AL1258" i="67"/>
  <c r="N1258" i="67"/>
  <c r="N1344" i="67"/>
  <c r="AF1258" i="67"/>
  <c r="AU1249" i="67"/>
  <c r="AU1360" i="67"/>
  <c r="AD1249" i="67"/>
  <c r="AW1353" i="67"/>
  <c r="U1360" i="67"/>
  <c r="L1344" i="67"/>
  <c r="AE1353" i="67"/>
  <c r="S1249" i="67"/>
  <c r="Z1343" i="67"/>
  <c r="AI1353" i="67"/>
  <c r="AO1343" i="67"/>
  <c r="AN1249" i="67"/>
  <c r="S1135" i="67"/>
  <c r="AW1151" i="67"/>
  <c r="P1135" i="67"/>
  <c r="U1142" i="67"/>
  <c r="AM1151" i="67"/>
  <c r="AD1135" i="67"/>
  <c r="AK1135" i="67"/>
  <c r="AF1142" i="67"/>
  <c r="W1151" i="67"/>
  <c r="AO1141" i="67"/>
  <c r="AN1257" i="67"/>
  <c r="AN1343" i="67"/>
  <c r="AM1360" i="67"/>
  <c r="AB1343" i="67"/>
  <c r="AR1240" i="67"/>
  <c r="AL1240" i="67"/>
  <c r="AK1249" i="67"/>
  <c r="AF1240" i="67"/>
  <c r="Q1257" i="67"/>
  <c r="AC1249" i="67"/>
  <c r="AU1240" i="67"/>
  <c r="AD1353" i="67"/>
  <c r="U1344" i="67"/>
  <c r="L1240" i="67"/>
  <c r="W1249" i="67"/>
  <c r="S1353" i="67"/>
  <c r="AN1353" i="67"/>
  <c r="S1151" i="67"/>
  <c r="AI1135" i="67"/>
  <c r="AW1135" i="67"/>
  <c r="AU1135" i="67"/>
  <c r="P1151" i="67"/>
  <c r="AU1126" i="67"/>
  <c r="AR1142" i="67"/>
  <c r="AL1126" i="67"/>
  <c r="N1126" i="67"/>
  <c r="AD1151" i="67"/>
  <c r="AK1151" i="67"/>
  <c r="AE1135" i="67"/>
  <c r="L1126" i="67"/>
  <c r="AM1240" i="67"/>
  <c r="AB1257" i="67"/>
  <c r="AR1360" i="67"/>
  <c r="AL1360" i="67"/>
  <c r="N1240" i="67"/>
  <c r="AK1353" i="67"/>
  <c r="AF1344" i="67"/>
  <c r="Q1343" i="67"/>
  <c r="AC1353" i="67"/>
  <c r="AU1344" i="67"/>
  <c r="AM1249" i="67"/>
  <c r="U1240" i="67"/>
  <c r="L1360" i="67"/>
  <c r="W1353" i="67"/>
  <c r="Z1257" i="67"/>
  <c r="Z1359" i="67"/>
  <c r="AO1359" i="67"/>
  <c r="AP1249" i="67"/>
  <c r="AF1249" i="67"/>
  <c r="AI1151" i="67"/>
  <c r="AM1126" i="67"/>
  <c r="AU1151" i="67"/>
  <c r="AC1135" i="67"/>
  <c r="AN1135" i="67"/>
  <c r="AP1135" i="67"/>
  <c r="U1126" i="67"/>
  <c r="AL1142" i="67"/>
  <c r="N1142" i="67"/>
  <c r="AF1135" i="67"/>
  <c r="AF1126" i="67"/>
  <c r="AE1151" i="67"/>
  <c r="AN1239" i="67"/>
  <c r="AO1239" i="67"/>
  <c r="AM1344" i="67"/>
  <c r="P1249" i="67"/>
  <c r="AR1258" i="67"/>
  <c r="AL1344" i="67"/>
  <c r="N1360" i="67"/>
  <c r="AF1360" i="67"/>
  <c r="Q1359" i="67"/>
  <c r="AU1353" i="67"/>
  <c r="AU1258" i="67"/>
  <c r="AM1353" i="67"/>
  <c r="AW1249" i="67"/>
  <c r="U1258" i="67"/>
  <c r="L1258" i="67"/>
  <c r="AE1249" i="67"/>
  <c r="AI1249" i="67"/>
  <c r="AO1257" i="67"/>
  <c r="AP1353" i="67"/>
  <c r="AF1353" i="67"/>
  <c r="AR10" i="69"/>
  <c r="AW8" i="70" s="1"/>
  <c r="Z56" i="69"/>
  <c r="Z58" i="69" s="1"/>
  <c r="Z59" i="69" s="1"/>
  <c r="Z60" i="69" s="1"/>
  <c r="Z61" i="69" s="1"/>
  <c r="AW10" i="69"/>
  <c r="BB9" i="70" s="1"/>
  <c r="AY10" i="69"/>
  <c r="BK10" i="69"/>
  <c r="BP8" i="70" s="1"/>
  <c r="BG10" i="69"/>
  <c r="BL8" i="70" s="1"/>
  <c r="BG9" i="70"/>
  <c r="BG8" i="70"/>
  <c r="AG10" i="69"/>
  <c r="AL10" i="70"/>
  <c r="AK784" i="67"/>
  <c r="AK1104" i="67"/>
  <c r="AK1190" i="67"/>
  <c r="AK1086" i="67"/>
  <c r="AK1206" i="67"/>
  <c r="BD55" i="70"/>
  <c r="AK974" i="67" s="1"/>
  <c r="AB39" i="65"/>
  <c r="AB41" i="65" s="1"/>
  <c r="AK162" i="67" s="1"/>
  <c r="BD71" i="70"/>
  <c r="AK990" i="67" s="1"/>
  <c r="AB19" i="65"/>
  <c r="AK9" i="67" s="1"/>
  <c r="AB75" i="65"/>
  <c r="AB80" i="65" s="1"/>
  <c r="AK315" i="67" s="1"/>
  <c r="AB127" i="65"/>
  <c r="AB137" i="65" s="1"/>
  <c r="AK467" i="67" s="1"/>
  <c r="AK1072" i="67"/>
  <c r="M784" i="67"/>
  <c r="M1072" i="67"/>
  <c r="D19" i="65"/>
  <c r="M1190" i="67"/>
  <c r="AF71" i="70"/>
  <c r="M990" i="67" s="1"/>
  <c r="M1104" i="67"/>
  <c r="M1086" i="67"/>
  <c r="M1206" i="67"/>
  <c r="D127" i="65"/>
  <c r="D137" i="65" s="1"/>
  <c r="M467" i="67" s="1"/>
  <c r="D75" i="65"/>
  <c r="D80" i="65" s="1"/>
  <c r="M315" i="67" s="1"/>
  <c r="AF55" i="70"/>
  <c r="M974" i="67" s="1"/>
  <c r="D39" i="65"/>
  <c r="D41" i="65" s="1"/>
  <c r="M162" i="67" s="1"/>
  <c r="BD10" i="69"/>
  <c r="Z1074" i="67"/>
  <c r="Z1208" i="67"/>
  <c r="Z1088" i="67"/>
  <c r="Z1106" i="67"/>
  <c r="Z1192" i="67"/>
  <c r="AV1192" i="67"/>
  <c r="AV1208" i="67"/>
  <c r="AV1106" i="67"/>
  <c r="AV1074" i="67"/>
  <c r="AV1088" i="67"/>
  <c r="P1105" i="67"/>
  <c r="P1191" i="67"/>
  <c r="P1073" i="67"/>
  <c r="P1087" i="67"/>
  <c r="P1207" i="67"/>
  <c r="M1088" i="67"/>
  <c r="M1106" i="67"/>
  <c r="M1192" i="67"/>
  <c r="M1074" i="67"/>
  <c r="M1208" i="67"/>
  <c r="L1088" i="67"/>
  <c r="L1106" i="67"/>
  <c r="L1192" i="67"/>
  <c r="L1074" i="67"/>
  <c r="L1208" i="67"/>
  <c r="AS1216" i="67"/>
  <c r="AS1096" i="67"/>
  <c r="AS1114" i="67"/>
  <c r="AS1200" i="67"/>
  <c r="V1200" i="67"/>
  <c r="V1216" i="67"/>
  <c r="V1369" i="67" s="1"/>
  <c r="V1096" i="67"/>
  <c r="V1114" i="67"/>
  <c r="AO1073" i="67"/>
  <c r="AO1191" i="67"/>
  <c r="AO1207" i="67"/>
  <c r="AO1087" i="67"/>
  <c r="AO1105" i="67"/>
  <c r="AB1074" i="67"/>
  <c r="AB1208" i="67"/>
  <c r="AB1088" i="67"/>
  <c r="AB1106" i="67"/>
  <c r="AB1192" i="67"/>
  <c r="AS1104" i="67"/>
  <c r="AS1086" i="67"/>
  <c r="AS1206" i="67"/>
  <c r="AS1190" i="67"/>
  <c r="AS1072" i="67"/>
  <c r="AJ19" i="65"/>
  <c r="AS9" i="67" s="1"/>
  <c r="AJ127" i="65"/>
  <c r="AJ137" i="65" s="1"/>
  <c r="AS467" i="67" s="1"/>
  <c r="BL71" i="70"/>
  <c r="AS990" i="67" s="1"/>
  <c r="BL55" i="70"/>
  <c r="AS974" i="67" s="1"/>
  <c r="AJ75" i="65"/>
  <c r="AJ80" i="65" s="1"/>
  <c r="AS315" i="67" s="1"/>
  <c r="AJ39" i="65"/>
  <c r="AJ41" i="65" s="1"/>
  <c r="AS162" i="67" s="1"/>
  <c r="AS1098" i="67"/>
  <c r="AS1116" i="67"/>
  <c r="W1088" i="67"/>
  <c r="W1208" i="67"/>
  <c r="W1074" i="67"/>
  <c r="W1106" i="67"/>
  <c r="W1192" i="67"/>
  <c r="AP1191" i="67"/>
  <c r="AP1073" i="67"/>
  <c r="AP1207" i="67"/>
  <c r="AP1105" i="67"/>
  <c r="AP1087" i="67"/>
  <c r="T1087" i="67"/>
  <c r="T1073" i="67"/>
  <c r="T1207" i="67"/>
  <c r="T1191" i="67"/>
  <c r="T1105" i="67"/>
  <c r="AX10" i="69"/>
  <c r="Z1125" i="67"/>
  <c r="Q163" i="65"/>
  <c r="AS9" i="70"/>
  <c r="AS8" i="70"/>
  <c r="AM1192" i="67"/>
  <c r="AM1074" i="67"/>
  <c r="AM1208" i="67"/>
  <c r="AM1106" i="67"/>
  <c r="AM1088" i="67"/>
  <c r="AV1087" i="67"/>
  <c r="AV1073" i="67"/>
  <c r="AV1207" i="67"/>
  <c r="AV1105" i="67"/>
  <c r="AV1191" i="67"/>
  <c r="AD784" i="67"/>
  <c r="AD1086" i="67"/>
  <c r="AW55" i="70"/>
  <c r="AD974" i="67" s="1"/>
  <c r="AW71" i="70"/>
  <c r="AD990" i="67" s="1"/>
  <c r="AD1104" i="67"/>
  <c r="U127" i="65"/>
  <c r="U137" i="65" s="1"/>
  <c r="AD467" i="67" s="1"/>
  <c r="AD1190" i="67"/>
  <c r="U75" i="65"/>
  <c r="U80" i="65" s="1"/>
  <c r="AD315" i="67" s="1"/>
  <c r="AD1072" i="67"/>
  <c r="AD1206" i="67"/>
  <c r="U19" i="65"/>
  <c r="U39" i="65"/>
  <c r="U41" i="65" s="1"/>
  <c r="AD162" i="67" s="1"/>
  <c r="Z10" i="69"/>
  <c r="AE10" i="70"/>
  <c r="AH10" i="69"/>
  <c r="T1098" i="67"/>
  <c r="T1116" i="67"/>
  <c r="AA10" i="69"/>
  <c r="AU1074" i="67"/>
  <c r="AU1208" i="67"/>
  <c r="AU1106" i="67"/>
  <c r="AU1192" i="67"/>
  <c r="AU1088" i="67"/>
  <c r="AL1074" i="67"/>
  <c r="AL1208" i="67"/>
  <c r="AL1106" i="67"/>
  <c r="AL1192" i="67"/>
  <c r="AL1088" i="67"/>
  <c r="AE1073" i="67"/>
  <c r="AE1105" i="67"/>
  <c r="AE1191" i="67"/>
  <c r="AE1087" i="67"/>
  <c r="AE1207" i="67"/>
  <c r="AI1087" i="67"/>
  <c r="AI1105" i="67"/>
  <c r="AI1191" i="67"/>
  <c r="AI1073" i="67"/>
  <c r="AI1207" i="67"/>
  <c r="AT1073" i="67"/>
  <c r="AT1207" i="67"/>
  <c r="AT1087" i="67"/>
  <c r="AT1105" i="67"/>
  <c r="AT1191" i="67"/>
  <c r="AK1116" i="67"/>
  <c r="AK1098" i="67"/>
  <c r="AE1098" i="67"/>
  <c r="AE1116" i="67"/>
  <c r="AN1125" i="67"/>
  <c r="AE163" i="65"/>
  <c r="AJ1086" i="67"/>
  <c r="AJ1190" i="67"/>
  <c r="AJ1072" i="67"/>
  <c r="AJ1206" i="67"/>
  <c r="AJ1104" i="67"/>
  <c r="AA75" i="65"/>
  <c r="AA80" i="65" s="1"/>
  <c r="AJ315" i="67" s="1"/>
  <c r="AA127" i="65"/>
  <c r="AA137" i="65" s="1"/>
  <c r="AJ467" i="67" s="1"/>
  <c r="AA39" i="65"/>
  <c r="AA41" i="65" s="1"/>
  <c r="AJ162" i="67" s="1"/>
  <c r="BC55" i="70"/>
  <c r="AJ974" i="67" s="1"/>
  <c r="AA19" i="65"/>
  <c r="BC71" i="70"/>
  <c r="AJ990" i="67" s="1"/>
  <c r="BD9" i="70"/>
  <c r="BD8" i="70"/>
  <c r="AA1191" i="67"/>
  <c r="AA1073" i="67"/>
  <c r="AA1207" i="67"/>
  <c r="AA1087" i="67"/>
  <c r="AA1105" i="67"/>
  <c r="AQ1072" i="67"/>
  <c r="AQ1206" i="67"/>
  <c r="AQ1104" i="67"/>
  <c r="AQ1086" i="67"/>
  <c r="AQ1190" i="67"/>
  <c r="AH127" i="65"/>
  <c r="AH137" i="65" s="1"/>
  <c r="AQ467" i="67" s="1"/>
  <c r="BJ71" i="70"/>
  <c r="AQ990" i="67" s="1"/>
  <c r="BJ55" i="70"/>
  <c r="AQ974" i="67" s="1"/>
  <c r="AH19" i="65"/>
  <c r="AH39" i="65"/>
  <c r="AH41" i="65" s="1"/>
  <c r="AQ162" i="67" s="1"/>
  <c r="AH75" i="65"/>
  <c r="AH80" i="65" s="1"/>
  <c r="AQ315" i="67" s="1"/>
  <c r="AV1216" i="67"/>
  <c r="AV1114" i="67"/>
  <c r="AV1096" i="67"/>
  <c r="AV1200" i="67"/>
  <c r="T1072" i="67"/>
  <c r="T1206" i="67"/>
  <c r="T1086" i="67"/>
  <c r="T1104" i="67"/>
  <c r="T1190" i="67"/>
  <c r="AM55" i="70"/>
  <c r="T974" i="67" s="1"/>
  <c r="K75" i="65"/>
  <c r="K80" i="65" s="1"/>
  <c r="T315" i="67" s="1"/>
  <c r="K39" i="65"/>
  <c r="K41" i="65" s="1"/>
  <c r="T162" i="67" s="1"/>
  <c r="K19" i="65"/>
  <c r="K127" i="65"/>
  <c r="K137" i="65" s="1"/>
  <c r="T467" i="67" s="1"/>
  <c r="AM71" i="70"/>
  <c r="T990" i="67" s="1"/>
  <c r="AW1098" i="67"/>
  <c r="AW1116" i="67"/>
  <c r="AW1191" i="67"/>
  <c r="AW1073" i="67"/>
  <c r="AW1207" i="67"/>
  <c r="AW1087" i="67"/>
  <c r="AW1105" i="67"/>
  <c r="AU1116" i="67"/>
  <c r="AU1098" i="67"/>
  <c r="AJ9" i="70"/>
  <c r="AJ8" i="70"/>
  <c r="BH9" i="70"/>
  <c r="BH8" i="70"/>
  <c r="R1105" i="67"/>
  <c r="R1191" i="67"/>
  <c r="R1073" i="67"/>
  <c r="R1207" i="67"/>
  <c r="R1087" i="67"/>
  <c r="AR1192" i="67"/>
  <c r="AR1074" i="67"/>
  <c r="AR1208" i="67"/>
  <c r="AR1106" i="67"/>
  <c r="AR1088" i="67"/>
  <c r="AU9" i="70"/>
  <c r="AU8" i="70"/>
  <c r="AO10" i="69"/>
  <c r="AT10" i="70"/>
  <c r="P1074" i="67"/>
  <c r="P1208" i="67"/>
  <c r="P1088" i="67"/>
  <c r="P1106" i="67"/>
  <c r="P1192" i="67"/>
  <c r="AB1216" i="67"/>
  <c r="AB1096" i="67"/>
  <c r="AB1114" i="67"/>
  <c r="AB1267" i="67" s="1"/>
  <c r="AB1200" i="67"/>
  <c r="AO1088" i="67"/>
  <c r="AO1208" i="67"/>
  <c r="AO1074" i="67"/>
  <c r="AO1192" i="67"/>
  <c r="AO1106" i="67"/>
  <c r="AB1116" i="67"/>
  <c r="AB1098" i="67"/>
  <c r="AT1098" i="67"/>
  <c r="AT1116" i="67"/>
  <c r="AN1087" i="67"/>
  <c r="AN1191" i="67"/>
  <c r="AN1073" i="67"/>
  <c r="AN1207" i="67"/>
  <c r="AN1105" i="67"/>
  <c r="AP1074" i="67"/>
  <c r="AP1208" i="67"/>
  <c r="AP1088" i="67"/>
  <c r="AP1106" i="67"/>
  <c r="AP1192" i="67"/>
  <c r="T1074" i="67"/>
  <c r="T1208" i="67"/>
  <c r="T1088" i="67"/>
  <c r="T1106" i="67"/>
  <c r="T1192" i="67"/>
  <c r="AI1072" i="67"/>
  <c r="AI1206" i="67"/>
  <c r="AI1086" i="67"/>
  <c r="AI1190" i="67"/>
  <c r="AI1104" i="67"/>
  <c r="Z127" i="65"/>
  <c r="Z137" i="65" s="1"/>
  <c r="AI467" i="67" s="1"/>
  <c r="Z39" i="65"/>
  <c r="Z41" i="65" s="1"/>
  <c r="AI162" i="67" s="1"/>
  <c r="BB55" i="70"/>
  <c r="AI974" i="67" s="1"/>
  <c r="BB71" i="70"/>
  <c r="AI990" i="67" s="1"/>
  <c r="Z75" i="65"/>
  <c r="Z80" i="65" s="1"/>
  <c r="AI315" i="67" s="1"/>
  <c r="Z19" i="65"/>
  <c r="Q1216" i="67"/>
  <c r="Q1369" i="67" s="1"/>
  <c r="Q1096" i="67"/>
  <c r="Q1114" i="67"/>
  <c r="Q1200" i="67"/>
  <c r="AJ10" i="69"/>
  <c r="AO10" i="70"/>
  <c r="S1116" i="67"/>
  <c r="S1098" i="67"/>
  <c r="AF10" i="69"/>
  <c r="AK10" i="70"/>
  <c r="Q1116" i="67"/>
  <c r="Q1098" i="67"/>
  <c r="AV1098" i="67"/>
  <c r="AV1116" i="67"/>
  <c r="AV1269" i="67" s="1"/>
  <c r="AI1116" i="67"/>
  <c r="AI1269" i="67" s="1"/>
  <c r="AI1098" i="67"/>
  <c r="AC1098" i="67"/>
  <c r="AC1116" i="67"/>
  <c r="AA1074" i="67"/>
  <c r="AA1208" i="67"/>
  <c r="AA1088" i="67"/>
  <c r="AA1106" i="67"/>
  <c r="AA1192" i="67"/>
  <c r="AG1191" i="67"/>
  <c r="AG1073" i="67"/>
  <c r="AG1207" i="67"/>
  <c r="AG1087" i="67"/>
  <c r="AG1105" i="67"/>
  <c r="AW784" i="67"/>
  <c r="AW1104" i="67"/>
  <c r="BP71" i="70"/>
  <c r="AW990" i="67" s="1"/>
  <c r="AW1190" i="67"/>
  <c r="AN127" i="65"/>
  <c r="AN137" i="65" s="1"/>
  <c r="AW467" i="67" s="1"/>
  <c r="AN19" i="65"/>
  <c r="AW1072" i="67"/>
  <c r="AW1206" i="67"/>
  <c r="BP55" i="70"/>
  <c r="AW974" i="67" s="1"/>
  <c r="AN39" i="65"/>
  <c r="AN41" i="65" s="1"/>
  <c r="AW162" i="67" s="1"/>
  <c r="AW1086" i="67"/>
  <c r="AN75" i="65"/>
  <c r="AN80" i="65" s="1"/>
  <c r="AW315" i="67" s="1"/>
  <c r="AS10" i="69"/>
  <c r="AX10" i="70"/>
  <c r="AE1074" i="67"/>
  <c r="AE1208" i="67"/>
  <c r="AE1106" i="67"/>
  <c r="AE1088" i="67"/>
  <c r="AE1192" i="67"/>
  <c r="AW1088" i="67"/>
  <c r="AW1106" i="67"/>
  <c r="AW1192" i="67"/>
  <c r="AW1074" i="67"/>
  <c r="AW1208" i="67"/>
  <c r="R1192" i="67"/>
  <c r="R1208" i="67"/>
  <c r="R1074" i="67"/>
  <c r="R1088" i="67"/>
  <c r="R1106" i="67"/>
  <c r="AG1192" i="67"/>
  <c r="AG1088" i="67"/>
  <c r="AG1208" i="67"/>
  <c r="AG1074" i="67"/>
  <c r="AG1106" i="67"/>
  <c r="AK1106" i="67"/>
  <c r="AK1192" i="67"/>
  <c r="AK1088" i="67"/>
  <c r="AK1074" i="67"/>
  <c r="AK1208" i="67"/>
  <c r="O1191" i="67"/>
  <c r="O1087" i="67"/>
  <c r="O1207" i="67"/>
  <c r="O1073" i="67"/>
  <c r="O1105" i="67"/>
  <c r="U1216" i="67"/>
  <c r="U1369" i="67" s="1"/>
  <c r="U1114" i="67"/>
  <c r="U1096" i="67"/>
  <c r="U1200" i="67"/>
  <c r="L1200" i="67"/>
  <c r="L1096" i="67"/>
  <c r="L1114" i="67"/>
  <c r="L1216" i="67"/>
  <c r="L1369" i="67" s="1"/>
  <c r="AS1191" i="67"/>
  <c r="AS1087" i="67"/>
  <c r="AS1073" i="67"/>
  <c r="AS1207" i="67"/>
  <c r="AS1105" i="67"/>
  <c r="AT1088" i="67"/>
  <c r="AT1192" i="67"/>
  <c r="AT1074" i="67"/>
  <c r="AT1208" i="67"/>
  <c r="AT1106" i="67"/>
  <c r="AM1098" i="67"/>
  <c r="AM1116" i="67"/>
  <c r="N1074" i="67"/>
  <c r="N1106" i="67"/>
  <c r="N1088" i="67"/>
  <c r="N1192" i="67"/>
  <c r="N1208" i="67"/>
  <c r="AF1098" i="67"/>
  <c r="AF1116" i="67"/>
  <c r="AF1074" i="67"/>
  <c r="AF1192" i="67"/>
  <c r="AF1208" i="67"/>
  <c r="AF1106" i="67"/>
  <c r="AF1088" i="67"/>
  <c r="O1106" i="67"/>
  <c r="O1088" i="67"/>
  <c r="O1192" i="67"/>
  <c r="O1074" i="67"/>
  <c r="O1208" i="67"/>
  <c r="AI1088" i="67"/>
  <c r="AI1192" i="67"/>
  <c r="AI1106" i="67"/>
  <c r="AI1074" i="67"/>
  <c r="AI1208" i="67"/>
  <c r="U1098" i="67"/>
  <c r="U1251" i="67" s="1"/>
  <c r="U1116" i="67"/>
  <c r="V1098" i="67"/>
  <c r="V1116" i="67"/>
  <c r="S1087" i="67"/>
  <c r="S1105" i="67"/>
  <c r="S1073" i="67"/>
  <c r="S1207" i="67"/>
  <c r="S1191" i="67"/>
  <c r="AN1106" i="67"/>
  <c r="AN1074" i="67"/>
  <c r="AN1208" i="67"/>
  <c r="AN1192" i="67"/>
  <c r="AN1088" i="67"/>
  <c r="AB1125" i="67"/>
  <c r="S163" i="65"/>
  <c r="T1114" i="67"/>
  <c r="T1200" i="67"/>
  <c r="T1216" i="67"/>
  <c r="T1096" i="67"/>
  <c r="P1116" i="67"/>
  <c r="P1098" i="67"/>
  <c r="Z1087" i="67"/>
  <c r="Z1105" i="67"/>
  <c r="Z1191" i="67"/>
  <c r="Z1073" i="67"/>
  <c r="Z1207" i="67"/>
  <c r="AK1073" i="67"/>
  <c r="AK1207" i="67"/>
  <c r="AK1105" i="67"/>
  <c r="AK1087" i="67"/>
  <c r="AK1191" i="67"/>
  <c r="AP1190" i="67"/>
  <c r="AP1072" i="67"/>
  <c r="AP1206" i="67"/>
  <c r="AP1104" i="67"/>
  <c r="AP1086" i="67"/>
  <c r="AG39" i="65"/>
  <c r="AG41" i="65" s="1"/>
  <c r="AP162" i="67" s="1"/>
  <c r="BI55" i="70"/>
  <c r="AP974" i="67" s="1"/>
  <c r="AG75" i="65"/>
  <c r="AG80" i="65" s="1"/>
  <c r="AP315" i="67" s="1"/>
  <c r="AG19" i="65"/>
  <c r="BI71" i="70"/>
  <c r="AP990" i="67" s="1"/>
  <c r="AG127" i="65"/>
  <c r="AG137" i="65" s="1"/>
  <c r="AP467" i="67" s="1"/>
  <c r="AP1116" i="67"/>
  <c r="AP1098" i="67"/>
  <c r="U1106" i="67"/>
  <c r="U1192" i="67"/>
  <c r="U1074" i="67"/>
  <c r="U1208" i="67"/>
  <c r="U1088" i="67"/>
  <c r="AN1098" i="67"/>
  <c r="AN1116" i="67"/>
  <c r="AN1269" i="67" s="1"/>
  <c r="M1191" i="67"/>
  <c r="M1087" i="67"/>
  <c r="M1105" i="67"/>
  <c r="M1207" i="67"/>
  <c r="M1073" i="67"/>
  <c r="AT1216" i="67"/>
  <c r="AT1369" i="67" s="1"/>
  <c r="AT1096" i="67"/>
  <c r="AT1114" i="67"/>
  <c r="AT1200" i="67"/>
  <c r="W1105" i="67"/>
  <c r="W1191" i="67"/>
  <c r="W1207" i="67"/>
  <c r="W1087" i="67"/>
  <c r="W1073" i="67"/>
  <c r="AS1088" i="67"/>
  <c r="AS1208" i="67"/>
  <c r="AS1074" i="67"/>
  <c r="AS1192" i="67"/>
  <c r="AS1106" i="67"/>
  <c r="AD1116" i="67"/>
  <c r="AD1098" i="67"/>
  <c r="W1098" i="67"/>
  <c r="W1116" i="67"/>
  <c r="L1116" i="67"/>
  <c r="L1098" i="67"/>
  <c r="L1251" i="67" s="1"/>
  <c r="AB1087" i="67"/>
  <c r="AB1105" i="67"/>
  <c r="AB1191" i="67"/>
  <c r="AB1073" i="67"/>
  <c r="AB1207" i="67"/>
  <c r="S1192" i="67"/>
  <c r="S1074" i="67"/>
  <c r="S1208" i="67"/>
  <c r="S1106" i="67"/>
  <c r="S1088" i="67"/>
  <c r="AO1125" i="67"/>
  <c r="AF163" i="65"/>
  <c r="AV51" i="69"/>
  <c r="AV9" i="69"/>
  <c r="BA10" i="70" s="1"/>
  <c r="AB51" i="69"/>
  <c r="AB9" i="69"/>
  <c r="AK9" i="69"/>
  <c r="AK51" i="69"/>
  <c r="AK56" i="69" s="1"/>
  <c r="AK58" i="69" s="1"/>
  <c r="AK59" i="69" s="1"/>
  <c r="AK60" i="69" s="1"/>
  <c r="AK61" i="69" s="1"/>
  <c r="AQ6" i="69"/>
  <c r="AQ9" i="69"/>
  <c r="AQ51" i="69"/>
  <c r="AT72" i="70"/>
  <c r="AA991" i="67" s="1"/>
  <c r="AT4" i="70"/>
  <c r="R128" i="65"/>
  <c r="R138" i="65" s="1"/>
  <c r="AA468" i="67" s="1"/>
  <c r="AT56" i="70"/>
  <c r="AA975" i="67" s="1"/>
  <c r="Q128" i="65"/>
  <c r="Q138" i="65" s="1"/>
  <c r="Z468" i="67" s="1"/>
  <c r="AS72" i="70"/>
  <c r="Z991" i="67" s="1"/>
  <c r="AS56" i="70"/>
  <c r="Z975" i="67" s="1"/>
  <c r="AM128" i="65"/>
  <c r="AM138" i="65" s="1"/>
  <c r="AV468" i="67" s="1"/>
  <c r="BO72" i="70"/>
  <c r="AV991" i="67" s="1"/>
  <c r="BO56" i="70"/>
  <c r="AV975" i="67" s="1"/>
  <c r="BD72" i="70"/>
  <c r="AK991" i="67" s="1"/>
  <c r="AB128" i="65"/>
  <c r="AB138" i="65" s="1"/>
  <c r="AK468" i="67" s="1"/>
  <c r="BD56" i="70"/>
  <c r="AK975" i="67" s="1"/>
  <c r="BN57" i="70"/>
  <c r="AU976" i="67" s="1"/>
  <c r="BN73" i="70"/>
  <c r="AU992" i="67" s="1"/>
  <c r="AL129" i="65"/>
  <c r="AL139" i="65" s="1"/>
  <c r="AU469" i="67" s="1"/>
  <c r="BK57" i="70"/>
  <c r="AR976" i="67" s="1"/>
  <c r="BK73" i="70"/>
  <c r="AR992" i="67" s="1"/>
  <c r="AI129" i="65"/>
  <c r="AI139" i="65" s="1"/>
  <c r="AR469" i="67" s="1"/>
  <c r="BE57" i="70"/>
  <c r="AL976" i="67" s="1"/>
  <c r="BE73" i="70"/>
  <c r="AL992" i="67" s="1"/>
  <c r="AC129" i="65"/>
  <c r="AC139" i="65" s="1"/>
  <c r="AL469" i="67" s="1"/>
  <c r="AX72" i="70"/>
  <c r="AE991" i="67" s="1"/>
  <c r="V128" i="65"/>
  <c r="V138" i="65" s="1"/>
  <c r="AE468" i="67" s="1"/>
  <c r="AX56" i="70"/>
  <c r="AE975" i="67" s="1"/>
  <c r="AF72" i="70"/>
  <c r="M991" i="67" s="1"/>
  <c r="D128" i="65"/>
  <c r="D138" i="65" s="1"/>
  <c r="M468" i="67" s="1"/>
  <c r="AF56" i="70"/>
  <c r="M975" i="67" s="1"/>
  <c r="AJ18" i="69"/>
  <c r="AJ52" i="69" s="1"/>
  <c r="AJ56" i="69" s="1"/>
  <c r="AJ58" i="69" s="1"/>
  <c r="AJ59" i="69" s="1"/>
  <c r="AJ60" i="69" s="1"/>
  <c r="AJ61" i="69" s="1"/>
  <c r="AO12" i="70"/>
  <c r="AO11" i="70"/>
  <c r="AL18" i="69"/>
  <c r="AL52" i="69" s="1"/>
  <c r="AQ12" i="70"/>
  <c r="AQ11" i="70"/>
  <c r="BM81" i="70"/>
  <c r="AT1000" i="67" s="1"/>
  <c r="BM65" i="70"/>
  <c r="AT984" i="67" s="1"/>
  <c r="BA22" i="70"/>
  <c r="AV55" i="69"/>
  <c r="BA20" i="70"/>
  <c r="AH1049" i="67" s="1"/>
  <c r="AP72" i="70"/>
  <c r="W991" i="67" s="1"/>
  <c r="N128" i="65"/>
  <c r="N138" i="65" s="1"/>
  <c r="W468" i="67" s="1"/>
  <c r="AP56" i="70"/>
  <c r="W975" i="67" s="1"/>
  <c r="AJ129" i="65"/>
  <c r="AJ139" i="65" s="1"/>
  <c r="AS469" i="67" s="1"/>
  <c r="BL73" i="70"/>
  <c r="AS992" i="67" s="1"/>
  <c r="BL57" i="70"/>
  <c r="AS976" i="67" s="1"/>
  <c r="BH57" i="70"/>
  <c r="AO976" i="67" s="1"/>
  <c r="AF129" i="65"/>
  <c r="AF139" i="65" s="1"/>
  <c r="AO469" i="67" s="1"/>
  <c r="BH73" i="70"/>
  <c r="AO992" i="67" s="1"/>
  <c r="AU57" i="70"/>
  <c r="AB976" i="67" s="1"/>
  <c r="S129" i="65"/>
  <c r="S139" i="65" s="1"/>
  <c r="AB469" i="67" s="1"/>
  <c r="AU73" i="70"/>
  <c r="AB992" i="67" s="1"/>
  <c r="AC164" i="65"/>
  <c r="N129" i="65"/>
  <c r="N139" i="65" s="1"/>
  <c r="W469" i="67" s="1"/>
  <c r="AP57" i="70"/>
  <c r="W976" i="67" s="1"/>
  <c r="AP73" i="70"/>
  <c r="W992" i="67" s="1"/>
  <c r="BI72" i="70"/>
  <c r="AP991" i="67" s="1"/>
  <c r="AG128" i="65"/>
  <c r="AG138" i="65" s="1"/>
  <c r="AP468" i="67" s="1"/>
  <c r="BI56" i="70"/>
  <c r="AP975" i="67" s="1"/>
  <c r="U168" i="65"/>
  <c r="AB168" i="65"/>
  <c r="AY4" i="70"/>
  <c r="N168" i="65"/>
  <c r="AM81" i="70"/>
  <c r="T1000" i="67" s="1"/>
  <c r="AM65" i="70"/>
  <c r="T984" i="67" s="1"/>
  <c r="AJ81" i="70"/>
  <c r="Q1000" i="67" s="1"/>
  <c r="AJ65" i="70"/>
  <c r="Q984" i="67" s="1"/>
  <c r="AZ51" i="69"/>
  <c r="AZ9" i="69"/>
  <c r="BJ9" i="69"/>
  <c r="BJ51" i="69"/>
  <c r="BJ56" i="69" s="1"/>
  <c r="BJ58" i="69" s="1"/>
  <c r="BJ59" i="69" s="1"/>
  <c r="BJ60" i="69" s="1"/>
  <c r="BJ61" i="69" s="1"/>
  <c r="AH22" i="70"/>
  <c r="AC55" i="69"/>
  <c r="AH20" i="70"/>
  <c r="O1049" i="67" s="1"/>
  <c r="Z168" i="65"/>
  <c r="BP72" i="70"/>
  <c r="AW991" i="67" s="1"/>
  <c r="AN128" i="65"/>
  <c r="AN138" i="65" s="1"/>
  <c r="AW468" i="67" s="1"/>
  <c r="BP56" i="70"/>
  <c r="AW975" i="67" s="1"/>
  <c r="AE18" i="69"/>
  <c r="AE52" i="69" s="1"/>
  <c r="AE56" i="69" s="1"/>
  <c r="AE58" i="69" s="1"/>
  <c r="AE59" i="69" s="1"/>
  <c r="AE60" i="69" s="1"/>
  <c r="AE61" i="69" s="1"/>
  <c r="AJ12" i="70"/>
  <c r="AJ11" i="70"/>
  <c r="AR18" i="69"/>
  <c r="AR52" i="69" s="1"/>
  <c r="AR56" i="69" s="1"/>
  <c r="AR58" i="69" s="1"/>
  <c r="AR59" i="69" s="1"/>
  <c r="AR60" i="69" s="1"/>
  <c r="AR61" i="69" s="1"/>
  <c r="AW12" i="70"/>
  <c r="AW11" i="70"/>
  <c r="BK56" i="69"/>
  <c r="BK58" i="69" s="1"/>
  <c r="BK59" i="69" s="1"/>
  <c r="BK60" i="69" s="1"/>
  <c r="BK61" i="69" s="1"/>
  <c r="AX73" i="70"/>
  <c r="AE992" i="67" s="1"/>
  <c r="V129" i="65"/>
  <c r="V139" i="65" s="1"/>
  <c r="AE469" i="67" s="1"/>
  <c r="AX57" i="70"/>
  <c r="AE976" i="67" s="1"/>
  <c r="BH9" i="69"/>
  <c r="BM10" i="70" s="1"/>
  <c r="BH51" i="69"/>
  <c r="BH56" i="69" s="1"/>
  <c r="BH58" i="69" s="1"/>
  <c r="BH59" i="69" s="1"/>
  <c r="BH60" i="69" s="1"/>
  <c r="BH61" i="69" s="1"/>
  <c r="AT9" i="69"/>
  <c r="AT51" i="69"/>
  <c r="AT56" i="69" s="1"/>
  <c r="AT58" i="69" s="1"/>
  <c r="AT59" i="69" s="1"/>
  <c r="AT60" i="69" s="1"/>
  <c r="AT61" i="69" s="1"/>
  <c r="AL9" i="69"/>
  <c r="AL51" i="69"/>
  <c r="T168" i="65"/>
  <c r="AG22" i="70"/>
  <c r="AB55" i="69"/>
  <c r="AG20" i="70"/>
  <c r="N1049" i="67" s="1"/>
  <c r="AS57" i="70"/>
  <c r="Z976" i="67" s="1"/>
  <c r="AS73" i="70"/>
  <c r="Z992" i="67" s="1"/>
  <c r="Q129" i="65"/>
  <c r="Q139" i="65" s="1"/>
  <c r="Z469" i="67" s="1"/>
  <c r="BO57" i="70"/>
  <c r="AV976" i="67" s="1"/>
  <c r="AM129" i="65"/>
  <c r="AM139" i="65" s="1"/>
  <c r="AV469" i="67" s="1"/>
  <c r="BO73" i="70"/>
  <c r="AV992" i="67" s="1"/>
  <c r="G128" i="65"/>
  <c r="G138" i="65" s="1"/>
  <c r="P468" i="67" s="1"/>
  <c r="AI72" i="70"/>
  <c r="P991" i="67" s="1"/>
  <c r="AI56" i="70"/>
  <c r="P975" i="67" s="1"/>
  <c r="AF57" i="70"/>
  <c r="M976" i="67" s="1"/>
  <c r="D129" i="65"/>
  <c r="D139" i="65" s="1"/>
  <c r="M469" i="67" s="1"/>
  <c r="AF73" i="70"/>
  <c r="M992" i="67" s="1"/>
  <c r="AE57" i="70"/>
  <c r="L976" i="67" s="1"/>
  <c r="C129" i="65"/>
  <c r="C139" i="65" s="1"/>
  <c r="L469" i="67" s="1"/>
  <c r="AE73" i="70"/>
  <c r="L992" i="67" s="1"/>
  <c r="AV18" i="69"/>
  <c r="AV52" i="69" s="1"/>
  <c r="BA12" i="70"/>
  <c r="BA11" i="70"/>
  <c r="AF22" i="70"/>
  <c r="AA55" i="69"/>
  <c r="AA56" i="69" s="1"/>
  <c r="AA58" i="69" s="1"/>
  <c r="AA59" i="69" s="1"/>
  <c r="AA60" i="69" s="1"/>
  <c r="AA61" i="69" s="1"/>
  <c r="AF20" i="70"/>
  <c r="M1049" i="67" s="1"/>
  <c r="BL81" i="70"/>
  <c r="AS1000" i="67" s="1"/>
  <c r="BL65" i="70"/>
  <c r="AS984" i="67" s="1"/>
  <c r="AO81" i="70"/>
  <c r="V1000" i="67" s="1"/>
  <c r="AO65" i="70"/>
  <c r="V984" i="67" s="1"/>
  <c r="AG168" i="65"/>
  <c r="BK22" i="70"/>
  <c r="BF55" i="69"/>
  <c r="BK20" i="70"/>
  <c r="AR1049" i="67" s="1"/>
  <c r="AU55" i="69"/>
  <c r="AZ22" i="70"/>
  <c r="AZ20" i="70"/>
  <c r="AG1049" i="67" s="1"/>
  <c r="AQ22" i="70"/>
  <c r="AL55" i="69"/>
  <c r="AQ20" i="70"/>
  <c r="X1049" i="67" s="1"/>
  <c r="L164" i="65"/>
  <c r="BG72" i="70"/>
  <c r="AN991" i="67" s="1"/>
  <c r="AE128" i="65"/>
  <c r="AE138" i="65" s="1"/>
  <c r="AN468" i="67" s="1"/>
  <c r="BG56" i="70"/>
  <c r="AN975" i="67" s="1"/>
  <c r="BI73" i="70"/>
  <c r="AP992" i="67" s="1"/>
  <c r="BI57" i="70"/>
  <c r="AP976" i="67" s="1"/>
  <c r="AG129" i="65"/>
  <c r="AG139" i="65" s="1"/>
  <c r="AP469" i="67" s="1"/>
  <c r="E164" i="65"/>
  <c r="AM72" i="70"/>
  <c r="T991" i="67" s="1"/>
  <c r="K128" i="65"/>
  <c r="K138" i="65" s="1"/>
  <c r="T468" i="67" s="1"/>
  <c r="AM56" i="70"/>
  <c r="T975" i="67" s="1"/>
  <c r="BA9" i="69"/>
  <c r="BF10" i="70" s="1"/>
  <c r="BA51" i="69"/>
  <c r="BA56" i="69" s="1"/>
  <c r="BA58" i="69" s="1"/>
  <c r="BA59" i="69" s="1"/>
  <c r="BA60" i="69" s="1"/>
  <c r="BA61" i="69" s="1"/>
  <c r="AZ55" i="69"/>
  <c r="BE22" i="70"/>
  <c r="BE20" i="70"/>
  <c r="AL1049" i="67" s="1"/>
  <c r="J168" i="65"/>
  <c r="AK72" i="70"/>
  <c r="R991" i="67" s="1"/>
  <c r="I128" i="65"/>
  <c r="I138" i="65" s="1"/>
  <c r="R468" i="67" s="1"/>
  <c r="AK56" i="70"/>
  <c r="R975" i="67" s="1"/>
  <c r="AM9" i="69"/>
  <c r="AR10" i="70" s="1"/>
  <c r="AM51" i="69"/>
  <c r="BH22" i="70"/>
  <c r="BC55" i="69"/>
  <c r="BC56" i="69" s="1"/>
  <c r="BC58" i="69" s="1"/>
  <c r="BC59" i="69" s="1"/>
  <c r="BC60" i="69" s="1"/>
  <c r="BC61" i="69" s="1"/>
  <c r="BH20" i="70"/>
  <c r="AO1049" i="67" s="1"/>
  <c r="AN168" i="65"/>
  <c r="AN73" i="70"/>
  <c r="U992" i="67" s="1"/>
  <c r="AN57" i="70"/>
  <c r="U976" i="67" s="1"/>
  <c r="L129" i="65"/>
  <c r="L139" i="65" s="1"/>
  <c r="U469" i="67" s="1"/>
  <c r="AL168" i="65"/>
  <c r="BF9" i="69"/>
  <c r="BF51" i="69"/>
  <c r="AN55" i="69"/>
  <c r="AN56" i="69" s="1"/>
  <c r="AN58" i="69" s="1"/>
  <c r="AN59" i="69" s="1"/>
  <c r="AN60" i="69" s="1"/>
  <c r="AN61" i="69" s="1"/>
  <c r="AS22" i="70"/>
  <c r="AS20" i="70"/>
  <c r="Z1049" i="67" s="1"/>
  <c r="AI73" i="70"/>
  <c r="P992" i="67" s="1"/>
  <c r="G129" i="65"/>
  <c r="G139" i="65" s="1"/>
  <c r="P469" i="67" s="1"/>
  <c r="AI57" i="70"/>
  <c r="P976" i="67" s="1"/>
  <c r="Z128" i="65"/>
  <c r="Z138" i="65" s="1"/>
  <c r="AI468" i="67" s="1"/>
  <c r="BB72" i="70"/>
  <c r="AI991" i="67" s="1"/>
  <c r="BB56" i="70"/>
  <c r="AI975" i="67" s="1"/>
  <c r="AQ18" i="69"/>
  <c r="AQ52" i="69" s="1"/>
  <c r="AV12" i="70"/>
  <c r="AV11" i="70"/>
  <c r="AU81" i="70"/>
  <c r="AB1000" i="67" s="1"/>
  <c r="AU65" i="70"/>
  <c r="AB984" i="67" s="1"/>
  <c r="AR22" i="70"/>
  <c r="AM55" i="69"/>
  <c r="AR20" i="70"/>
  <c r="Y1049" i="67" s="1"/>
  <c r="AK128" i="65"/>
  <c r="AK138" i="65" s="1"/>
  <c r="AT468" i="67" s="1"/>
  <c r="BM72" i="70"/>
  <c r="AT991" i="67" s="1"/>
  <c r="BM56" i="70"/>
  <c r="AT975" i="67" s="1"/>
  <c r="BE18" i="69"/>
  <c r="BE52" i="69" s="1"/>
  <c r="BJ12" i="70"/>
  <c r="BJ11" i="70"/>
  <c r="AL164" i="65"/>
  <c r="AI164" i="65"/>
  <c r="AH57" i="70"/>
  <c r="O976" i="67" s="1"/>
  <c r="F129" i="65"/>
  <c r="F139" i="65" s="1"/>
  <c r="O469" i="67" s="1"/>
  <c r="AH73" i="70"/>
  <c r="O992" i="67" s="1"/>
  <c r="BB73" i="70"/>
  <c r="AI992" i="67" s="1"/>
  <c r="BB57" i="70"/>
  <c r="AI976" i="67" s="1"/>
  <c r="Z129" i="65"/>
  <c r="Z139" i="65" s="1"/>
  <c r="AI469" i="67" s="1"/>
  <c r="AL72" i="70"/>
  <c r="S991" i="67" s="1"/>
  <c r="J128" i="65"/>
  <c r="J138" i="65" s="1"/>
  <c r="S468" i="67" s="1"/>
  <c r="AL56" i="70"/>
  <c r="S975" i="67" s="1"/>
  <c r="BG57" i="70"/>
  <c r="AN976" i="67" s="1"/>
  <c r="BG73" i="70"/>
  <c r="AN992" i="67" s="1"/>
  <c r="AE129" i="65"/>
  <c r="AE139" i="65" s="1"/>
  <c r="AN469" i="67" s="1"/>
  <c r="W168" i="65"/>
  <c r="W164" i="65"/>
  <c r="V168" i="65"/>
  <c r="C164" i="65"/>
  <c r="K129" i="65"/>
  <c r="K139" i="65" s="1"/>
  <c r="T469" i="67" s="1"/>
  <c r="AM73" i="70"/>
  <c r="T992" i="67" s="1"/>
  <c r="AM57" i="70"/>
  <c r="T976" i="67" s="1"/>
  <c r="AD9" i="69"/>
  <c r="AI10" i="70" s="1"/>
  <c r="AD51" i="69"/>
  <c r="AD56" i="69" s="1"/>
  <c r="AD58" i="69" s="1"/>
  <c r="AD59" i="69" s="1"/>
  <c r="AD60" i="69" s="1"/>
  <c r="AD61" i="69" s="1"/>
  <c r="BI51" i="69"/>
  <c r="BI56" i="69" s="1"/>
  <c r="BI58" i="69" s="1"/>
  <c r="BI59" i="69" s="1"/>
  <c r="BI60" i="69" s="1"/>
  <c r="BI61" i="69" s="1"/>
  <c r="BI9" i="69"/>
  <c r="BO81" i="70"/>
  <c r="AV1000" i="67" s="1"/>
  <c r="BO65" i="70"/>
  <c r="AV984" i="67" s="1"/>
  <c r="AI9" i="69"/>
  <c r="AN10" i="70" s="1"/>
  <c r="AI51" i="69"/>
  <c r="AI56" i="69" s="1"/>
  <c r="AI58" i="69" s="1"/>
  <c r="AI59" i="69" s="1"/>
  <c r="AI60" i="69" s="1"/>
  <c r="AI61" i="69" s="1"/>
  <c r="BF73" i="70"/>
  <c r="AM992" i="67" s="1"/>
  <c r="BF57" i="70"/>
  <c r="AM976" i="67" s="1"/>
  <c r="AD129" i="65"/>
  <c r="AD139" i="65" s="1"/>
  <c r="AM469" i="67" s="1"/>
  <c r="AU9" i="69"/>
  <c r="AZ10" i="70" s="1"/>
  <c r="AU51" i="69"/>
  <c r="AC51" i="69"/>
  <c r="AC9" i="69"/>
  <c r="BJ22" i="70"/>
  <c r="BE55" i="69"/>
  <c r="BJ20" i="70"/>
  <c r="AQ1049" i="67" s="1"/>
  <c r="AT57" i="70"/>
  <c r="AA976" i="67" s="1"/>
  <c r="AT73" i="70"/>
  <c r="AA992" i="67" s="1"/>
  <c r="R129" i="65"/>
  <c r="R139" i="65" s="1"/>
  <c r="AA469" i="67" s="1"/>
  <c r="AZ4" i="70"/>
  <c r="AZ72" i="70"/>
  <c r="AG991" i="67" s="1"/>
  <c r="X128" i="65"/>
  <c r="X138" i="65" s="1"/>
  <c r="AG468" i="67" s="1"/>
  <c r="AZ56" i="70"/>
  <c r="AG975" i="67" s="1"/>
  <c r="AX18" i="69"/>
  <c r="AX52" i="69" s="1"/>
  <c r="BC12" i="70"/>
  <c r="BC11" i="70"/>
  <c r="AD164" i="65"/>
  <c r="G168" i="65"/>
  <c r="AN129" i="65"/>
  <c r="AN139" i="65" s="1"/>
  <c r="AW469" i="67" s="1"/>
  <c r="BP73" i="70"/>
  <c r="AW992" i="67" s="1"/>
  <c r="BP57" i="70"/>
  <c r="AW976" i="67" s="1"/>
  <c r="I129" i="65"/>
  <c r="I139" i="65" s="1"/>
  <c r="R469" i="67" s="1"/>
  <c r="AK57" i="70"/>
  <c r="R976" i="67" s="1"/>
  <c r="AK73" i="70"/>
  <c r="R992" i="67" s="1"/>
  <c r="AZ73" i="70"/>
  <c r="AG992" i="67" s="1"/>
  <c r="X129" i="65"/>
  <c r="X139" i="65" s="1"/>
  <c r="AG469" i="67" s="1"/>
  <c r="AZ57" i="70"/>
  <c r="AG976" i="67" s="1"/>
  <c r="AB129" i="65"/>
  <c r="AB139" i="65" s="1"/>
  <c r="AK469" i="67" s="1"/>
  <c r="BD57" i="70"/>
  <c r="AK976" i="67" s="1"/>
  <c r="BD73" i="70"/>
  <c r="AK992" i="67" s="1"/>
  <c r="AE168" i="65"/>
  <c r="F128" i="65"/>
  <c r="F138" i="65" s="1"/>
  <c r="O468" i="67" s="1"/>
  <c r="AH72" i="70"/>
  <c r="O991" i="67" s="1"/>
  <c r="AH56" i="70"/>
  <c r="O975" i="67" s="1"/>
  <c r="AN81" i="70"/>
  <c r="U1000" i="67" s="1"/>
  <c r="AN65" i="70"/>
  <c r="U984" i="67" s="1"/>
  <c r="AM18" i="69"/>
  <c r="AM52" i="69" s="1"/>
  <c r="AR12" i="70"/>
  <c r="AR11" i="70"/>
  <c r="BC22" i="70"/>
  <c r="AX55" i="69"/>
  <c r="BC20" i="70"/>
  <c r="AJ1049" i="67" s="1"/>
  <c r="AE81" i="70"/>
  <c r="L1000" i="67" s="1"/>
  <c r="AE65" i="70"/>
  <c r="L984" i="67" s="1"/>
  <c r="AJ128" i="65"/>
  <c r="AJ138" i="65" s="1"/>
  <c r="AS468" i="67" s="1"/>
  <c r="BL72" i="70"/>
  <c r="AS991" i="67" s="1"/>
  <c r="BL56" i="70"/>
  <c r="AS975" i="67" s="1"/>
  <c r="BM73" i="70"/>
  <c r="AT992" i="67" s="1"/>
  <c r="BM57" i="70"/>
  <c r="AT976" i="67" s="1"/>
  <c r="AK129" i="65"/>
  <c r="AK139" i="65" s="1"/>
  <c r="AT469" i="67" s="1"/>
  <c r="E129" i="65"/>
  <c r="E139" i="65" s="1"/>
  <c r="N469" i="67" s="1"/>
  <c r="AG57" i="70"/>
  <c r="N976" i="67" s="1"/>
  <c r="AG73" i="70"/>
  <c r="N992" i="67" s="1"/>
  <c r="W129" i="65"/>
  <c r="W139" i="65" s="1"/>
  <c r="AF469" i="67" s="1"/>
  <c r="AY57" i="70"/>
  <c r="AF976" i="67" s="1"/>
  <c r="AY73" i="70"/>
  <c r="AF992" i="67" s="1"/>
  <c r="AO55" i="69"/>
  <c r="AO56" i="69" s="1"/>
  <c r="AO58" i="69" s="1"/>
  <c r="AO59" i="69" s="1"/>
  <c r="AO60" i="69" s="1"/>
  <c r="AO61" i="69" s="1"/>
  <c r="AO41" i="69"/>
  <c r="AT22" i="70"/>
  <c r="AT20" i="70"/>
  <c r="AA1049" i="67" s="1"/>
  <c r="AF55" i="69"/>
  <c r="AF56" i="69" s="1"/>
  <c r="AF58" i="69" s="1"/>
  <c r="AF59" i="69" s="1"/>
  <c r="AF60" i="69" s="1"/>
  <c r="AF61" i="69" s="1"/>
  <c r="AK22" i="70"/>
  <c r="AK20" i="70"/>
  <c r="R1049" i="67" s="1"/>
  <c r="AF128" i="65"/>
  <c r="AF138" i="65" s="1"/>
  <c r="AO468" i="67" s="1"/>
  <c r="BH72" i="70"/>
  <c r="AO991" i="67" s="1"/>
  <c r="BH56" i="70"/>
  <c r="AO975" i="67" s="1"/>
  <c r="S128" i="65"/>
  <c r="S138" i="65" s="1"/>
  <c r="AB468" i="67" s="1"/>
  <c r="AU72" i="70"/>
  <c r="AB991" i="67" s="1"/>
  <c r="AU4" i="70"/>
  <c r="AU56" i="70"/>
  <c r="AB975" i="67" s="1"/>
  <c r="BG56" i="69"/>
  <c r="BG58" i="69" s="1"/>
  <c r="BG59" i="69" s="1"/>
  <c r="BG60" i="69" s="1"/>
  <c r="BG61" i="69" s="1"/>
  <c r="AL73" i="70"/>
  <c r="S992" i="67" s="1"/>
  <c r="AL57" i="70"/>
  <c r="S976" i="67" s="1"/>
  <c r="J129" i="65"/>
  <c r="J139" i="65" s="1"/>
  <c r="S469" i="67" s="1"/>
  <c r="AD168" i="65"/>
  <c r="Q1251" i="67" l="1"/>
  <c r="BB8" i="70"/>
  <c r="AB24" i="65"/>
  <c r="BL9" i="70"/>
  <c r="W1269" i="67"/>
  <c r="AT1269" i="67"/>
  <c r="AT1267" i="67"/>
  <c r="AP1269" i="67"/>
  <c r="L1267" i="67"/>
  <c r="S1269" i="67"/>
  <c r="AU1269" i="67"/>
  <c r="V1251" i="67"/>
  <c r="AT1251" i="67"/>
  <c r="AJ24" i="65"/>
  <c r="AV1251" i="67"/>
  <c r="Q1267" i="67"/>
  <c r="AC1269" i="67"/>
  <c r="AV1267" i="67"/>
  <c r="T1269" i="67"/>
  <c r="AS1269" i="67"/>
  <c r="AE1269" i="67"/>
  <c r="AK1269" i="67"/>
  <c r="AS1267" i="67"/>
  <c r="AW9" i="70"/>
  <c r="AW54" i="70" s="1"/>
  <c r="AD973" i="67" s="1"/>
  <c r="U1269" i="67"/>
  <c r="T1251" i="67"/>
  <c r="L1269" i="67"/>
  <c r="AD1269" i="67"/>
  <c r="AF1269" i="67"/>
  <c r="Q1269" i="67"/>
  <c r="AU1251" i="67"/>
  <c r="BO18" i="68" s="1"/>
  <c r="AN19" i="62" s="1"/>
  <c r="AS1251" i="67"/>
  <c r="BP9" i="70"/>
  <c r="AW1038" i="67" s="1"/>
  <c r="BJ8" i="70"/>
  <c r="AQ1053" i="67" s="1"/>
  <c r="V1267" i="67"/>
  <c r="R965" i="67"/>
  <c r="R947" i="67"/>
  <c r="AJ963" i="67"/>
  <c r="AJ945" i="67"/>
  <c r="Y923" i="67"/>
  <c r="Y1057" i="67"/>
  <c r="Y1041" i="67"/>
  <c r="Y955" i="67"/>
  <c r="Y937" i="67"/>
  <c r="AQ963" i="67"/>
  <c r="AQ945" i="67"/>
  <c r="U921" i="67"/>
  <c r="U1039" i="67"/>
  <c r="U1055" i="67"/>
  <c r="U953" i="67"/>
  <c r="U935" i="67"/>
  <c r="AQ922" i="67"/>
  <c r="AQ1056" i="67"/>
  <c r="AQ1040" i="67"/>
  <c r="AQ954" i="67"/>
  <c r="AQ936" i="67"/>
  <c r="Y965" i="67"/>
  <c r="Y947" i="67"/>
  <c r="AC923" i="67"/>
  <c r="AC1057" i="67"/>
  <c r="AC1041" i="67"/>
  <c r="AC955" i="67"/>
  <c r="AC937" i="67"/>
  <c r="AL965" i="67"/>
  <c r="AL947" i="67"/>
  <c r="AH922" i="67"/>
  <c r="AH1056" i="67"/>
  <c r="AH1040" i="67"/>
  <c r="AH936" i="67"/>
  <c r="AH954" i="67"/>
  <c r="N947" i="67"/>
  <c r="N965" i="67"/>
  <c r="O965" i="67"/>
  <c r="O947" i="67"/>
  <c r="V922" i="67"/>
  <c r="V1056" i="67"/>
  <c r="V1040" i="67"/>
  <c r="V954" i="67"/>
  <c r="V936" i="67"/>
  <c r="AQ923" i="67"/>
  <c r="AQ1041" i="67"/>
  <c r="AQ1057" i="67"/>
  <c r="AQ955" i="67"/>
  <c r="AQ937" i="67"/>
  <c r="Z947" i="67"/>
  <c r="Z965" i="67"/>
  <c r="X965" i="67"/>
  <c r="X947" i="67"/>
  <c r="AR963" i="67"/>
  <c r="AR945" i="67"/>
  <c r="M963" i="67"/>
  <c r="M945" i="67"/>
  <c r="AH923" i="67"/>
  <c r="AH1057" i="67"/>
  <c r="AH1041" i="67"/>
  <c r="AH955" i="67"/>
  <c r="AH937" i="67"/>
  <c r="AD923" i="67"/>
  <c r="AD1057" i="67"/>
  <c r="AD1041" i="67"/>
  <c r="AD955" i="67"/>
  <c r="AD937" i="67"/>
  <c r="X922" i="67"/>
  <c r="X1056" i="67"/>
  <c r="X1040" i="67"/>
  <c r="X954" i="67"/>
  <c r="X936" i="67"/>
  <c r="V923" i="67"/>
  <c r="V1057" i="67"/>
  <c r="V1041" i="67"/>
  <c r="V955" i="67"/>
  <c r="V937" i="67"/>
  <c r="AS919" i="67"/>
  <c r="AS1037" i="67"/>
  <c r="AS1053" i="67"/>
  <c r="AS951" i="67"/>
  <c r="AS933" i="67"/>
  <c r="AW920" i="67"/>
  <c r="AW1054" i="67"/>
  <c r="AW952" i="67"/>
  <c r="AW934" i="67"/>
  <c r="AO920" i="67"/>
  <c r="AO1038" i="67"/>
  <c r="AO1054" i="67"/>
  <c r="AO952" i="67"/>
  <c r="AO934" i="67"/>
  <c r="AK920" i="67"/>
  <c r="AK1038" i="67"/>
  <c r="AK1054" i="67"/>
  <c r="AK952" i="67"/>
  <c r="AK934" i="67"/>
  <c r="L1055" i="67"/>
  <c r="L1039" i="67"/>
  <c r="L953" i="67"/>
  <c r="L935" i="67"/>
  <c r="AQ919" i="67"/>
  <c r="AQ1037" i="67"/>
  <c r="AQ951" i="67"/>
  <c r="AQ933" i="67"/>
  <c r="S1039" i="67"/>
  <c r="S1055" i="67"/>
  <c r="S953" i="67"/>
  <c r="S935" i="67"/>
  <c r="AI919" i="67"/>
  <c r="AI1037" i="67"/>
  <c r="AI1053" i="67"/>
  <c r="AI951" i="67"/>
  <c r="AI933" i="67"/>
  <c r="AI920" i="67"/>
  <c r="AI1038" i="67"/>
  <c r="AI1054" i="67"/>
  <c r="AI952" i="67"/>
  <c r="AI934" i="67"/>
  <c r="AG921" i="67"/>
  <c r="AG1039" i="67"/>
  <c r="AG1055" i="67"/>
  <c r="AG953" i="67"/>
  <c r="AG935" i="67"/>
  <c r="Y1039" i="67"/>
  <c r="Y1055" i="67"/>
  <c r="Y953" i="67"/>
  <c r="Y935" i="67"/>
  <c r="O945" i="67"/>
  <c r="O963" i="67"/>
  <c r="X923" i="67"/>
  <c r="X1057" i="67"/>
  <c r="X1041" i="67"/>
  <c r="X955" i="67"/>
  <c r="X937" i="67"/>
  <c r="AH921" i="67"/>
  <c r="AH1055" i="67"/>
  <c r="AH1039" i="67"/>
  <c r="AH935" i="67"/>
  <c r="AH953" i="67"/>
  <c r="AB919" i="67"/>
  <c r="AB1053" i="67"/>
  <c r="AB1037" i="67"/>
  <c r="AB951" i="67"/>
  <c r="AB933" i="67"/>
  <c r="AW919" i="67"/>
  <c r="AW1037" i="67"/>
  <c r="AW1053" i="67"/>
  <c r="AW951" i="67"/>
  <c r="AW933" i="67"/>
  <c r="Q919" i="67"/>
  <c r="Q1037" i="67"/>
  <c r="Q1053" i="67"/>
  <c r="Q951" i="67"/>
  <c r="Q933" i="67"/>
  <c r="AQ920" i="67"/>
  <c r="AQ1038" i="67"/>
  <c r="AQ1054" i="67"/>
  <c r="AQ952" i="67"/>
  <c r="AQ934" i="67"/>
  <c r="AA963" i="67"/>
  <c r="AA945" i="67"/>
  <c r="AJ965" i="67"/>
  <c r="AJ947" i="67"/>
  <c r="AJ922" i="67"/>
  <c r="AJ1056" i="67"/>
  <c r="AJ1040" i="67"/>
  <c r="AJ954" i="67"/>
  <c r="AJ936" i="67"/>
  <c r="AQ965" i="67"/>
  <c r="AQ947" i="67"/>
  <c r="P1055" i="67"/>
  <c r="P1039" i="67"/>
  <c r="P953" i="67"/>
  <c r="P935" i="67"/>
  <c r="Y963" i="67"/>
  <c r="Y945" i="67"/>
  <c r="AO963" i="67"/>
  <c r="AO945" i="67"/>
  <c r="AG963" i="67"/>
  <c r="AG945" i="67"/>
  <c r="N945" i="67"/>
  <c r="N963" i="67"/>
  <c r="AH965" i="67"/>
  <c r="AH947" i="67"/>
  <c r="R963" i="67"/>
  <c r="R945" i="67"/>
  <c r="AA965" i="67"/>
  <c r="AA947" i="67"/>
  <c r="Y922" i="67"/>
  <c r="Y1040" i="67"/>
  <c r="Y1056" i="67"/>
  <c r="Y954" i="67"/>
  <c r="Y936" i="67"/>
  <c r="AJ923" i="67"/>
  <c r="AJ1057" i="67"/>
  <c r="AJ1041" i="67"/>
  <c r="AJ955" i="67"/>
  <c r="AJ937" i="67"/>
  <c r="AC922" i="67"/>
  <c r="AC1056" i="67"/>
  <c r="AC1040" i="67"/>
  <c r="AC954" i="67"/>
  <c r="AC936" i="67"/>
  <c r="AL963" i="67"/>
  <c r="AL945" i="67"/>
  <c r="AM921" i="67"/>
  <c r="AM1039" i="67"/>
  <c r="AM1055" i="67"/>
  <c r="AM953" i="67"/>
  <c r="AM935" i="67"/>
  <c r="X963" i="67"/>
  <c r="X945" i="67"/>
  <c r="AG965" i="67"/>
  <c r="AG947" i="67"/>
  <c r="AR965" i="67"/>
  <c r="AR947" i="67"/>
  <c r="M965" i="67"/>
  <c r="M947" i="67"/>
  <c r="AT921" i="67"/>
  <c r="AT1055" i="67"/>
  <c r="AT1039" i="67"/>
  <c r="AT935" i="67"/>
  <c r="AT953" i="67"/>
  <c r="Q922" i="67"/>
  <c r="Q1040" i="67"/>
  <c r="Q1056" i="67"/>
  <c r="Q954" i="67"/>
  <c r="Q936" i="67"/>
  <c r="AE1039" i="67"/>
  <c r="AE1055" i="67"/>
  <c r="AE953" i="67"/>
  <c r="AE935" i="67"/>
  <c r="R1055" i="67"/>
  <c r="R1039" i="67"/>
  <c r="R935" i="67"/>
  <c r="R953" i="67"/>
  <c r="V1055" i="67"/>
  <c r="V1039" i="67"/>
  <c r="V935" i="67"/>
  <c r="V953" i="67"/>
  <c r="AB920" i="67"/>
  <c r="AB1054" i="67"/>
  <c r="AB1038" i="67"/>
  <c r="AB934" i="67"/>
  <c r="AB952" i="67"/>
  <c r="Q920" i="67"/>
  <c r="Q1038" i="67"/>
  <c r="Q1054" i="67"/>
  <c r="Q952" i="67"/>
  <c r="Q934" i="67"/>
  <c r="AD1038" i="67"/>
  <c r="Z919" i="67"/>
  <c r="Z1053" i="67"/>
  <c r="Z1037" i="67"/>
  <c r="Z933" i="67"/>
  <c r="Z951" i="67"/>
  <c r="AN919" i="67"/>
  <c r="AN1053" i="67"/>
  <c r="AN1037" i="67"/>
  <c r="AN951" i="67"/>
  <c r="AN933" i="67"/>
  <c r="Z963" i="67"/>
  <c r="Z945" i="67"/>
  <c r="AO965" i="67"/>
  <c r="AO947" i="67"/>
  <c r="AD922" i="67"/>
  <c r="AD1056" i="67"/>
  <c r="AD1040" i="67"/>
  <c r="AD936" i="67"/>
  <c r="AD954" i="67"/>
  <c r="Q923" i="67"/>
  <c r="Q1057" i="67"/>
  <c r="Q1041" i="67"/>
  <c r="Q955" i="67"/>
  <c r="Q937" i="67"/>
  <c r="AH963" i="67"/>
  <c r="AH945" i="67"/>
  <c r="AS920" i="67"/>
  <c r="AS1038" i="67"/>
  <c r="AS1054" i="67"/>
  <c r="AS952" i="67"/>
  <c r="AS934" i="67"/>
  <c r="AA1039" i="67"/>
  <c r="AA1055" i="67"/>
  <c r="AA953" i="67"/>
  <c r="AA935" i="67"/>
  <c r="AO919" i="67"/>
  <c r="AO1037" i="67"/>
  <c r="AO1053" i="67"/>
  <c r="AO951" i="67"/>
  <c r="AO933" i="67"/>
  <c r="AK919" i="67"/>
  <c r="AK1037" i="67"/>
  <c r="AK1053" i="67"/>
  <c r="AK951" i="67"/>
  <c r="AK933" i="67"/>
  <c r="AD919" i="67"/>
  <c r="AD1053" i="67"/>
  <c r="AD1037" i="67"/>
  <c r="AD933" i="67"/>
  <c r="AD951" i="67"/>
  <c r="Z920" i="67"/>
  <c r="Z1054" i="67"/>
  <c r="Z1038" i="67"/>
  <c r="Z952" i="67"/>
  <c r="Z934" i="67"/>
  <c r="AN920" i="67"/>
  <c r="AN1054" i="67"/>
  <c r="AN1038" i="67"/>
  <c r="AN934" i="67"/>
  <c r="AN952" i="67"/>
  <c r="L784" i="67"/>
  <c r="L921" i="67"/>
  <c r="S784" i="67"/>
  <c r="S921" i="67"/>
  <c r="P784" i="67"/>
  <c r="P921" i="67"/>
  <c r="Y784" i="67"/>
  <c r="Y921" i="67"/>
  <c r="AE784" i="67"/>
  <c r="AE921" i="67"/>
  <c r="R784" i="67"/>
  <c r="R921" i="67"/>
  <c r="V784" i="67"/>
  <c r="V921" i="67"/>
  <c r="AA784" i="67"/>
  <c r="AA921" i="67"/>
  <c r="V1269" i="67"/>
  <c r="AB1269" i="67"/>
  <c r="AW1269" i="67"/>
  <c r="P1269" i="67"/>
  <c r="T1267" i="67"/>
  <c r="AS1369" i="67"/>
  <c r="AM1269" i="67"/>
  <c r="S1251" i="67"/>
  <c r="AM18" i="68" s="1"/>
  <c r="L19" i="62" s="1"/>
  <c r="AE1251" i="67"/>
  <c r="AY18" i="68" s="1"/>
  <c r="X19" i="62" s="1"/>
  <c r="T1369" i="67"/>
  <c r="AB1251" i="67"/>
  <c r="AB1369" i="67"/>
  <c r="U1267" i="67"/>
  <c r="AV1369" i="67"/>
  <c r="AW1251" i="67"/>
  <c r="BQ18" i="68" s="1"/>
  <c r="AP19" i="62" s="1"/>
  <c r="AC56" i="69"/>
  <c r="AC58" i="69" s="1"/>
  <c r="AC59" i="69" s="1"/>
  <c r="AC60" i="69" s="1"/>
  <c r="AC61" i="69" s="1"/>
  <c r="L1295" i="67"/>
  <c r="U1295" i="67"/>
  <c r="AD180" i="65"/>
  <c r="AM682" i="67" s="1"/>
  <c r="AM1288" i="67" s="1"/>
  <c r="AE180" i="65"/>
  <c r="AN682" i="67" s="1"/>
  <c r="AN1288" i="67" s="1"/>
  <c r="E176" i="65"/>
  <c r="N673" i="67" s="1"/>
  <c r="G180" i="65"/>
  <c r="P682" i="67" s="1"/>
  <c r="P1288" i="67" s="1"/>
  <c r="W176" i="65"/>
  <c r="AF673" i="67" s="1"/>
  <c r="AF1279" i="67" s="1"/>
  <c r="AG180" i="65"/>
  <c r="AP682" i="67" s="1"/>
  <c r="AP1288" i="67" s="1"/>
  <c r="U180" i="65"/>
  <c r="AD682" i="67" s="1"/>
  <c r="AD1288" i="67" s="1"/>
  <c r="AL176" i="65"/>
  <c r="AU673" i="67" s="1"/>
  <c r="AU1279" i="67" s="1"/>
  <c r="AD176" i="65"/>
  <c r="AM673" i="67" s="1"/>
  <c r="AM1279" i="67" s="1"/>
  <c r="W180" i="65"/>
  <c r="AF682" i="67" s="1"/>
  <c r="AF1288" i="67" s="1"/>
  <c r="AL180" i="65"/>
  <c r="AU682" i="67" s="1"/>
  <c r="AU1288" i="67" s="1"/>
  <c r="AN180" i="65"/>
  <c r="AW682" i="67" s="1"/>
  <c r="T180" i="65"/>
  <c r="AC682" i="67" s="1"/>
  <c r="AC1288" i="67" s="1"/>
  <c r="Z180" i="65"/>
  <c r="AI682" i="67" s="1"/>
  <c r="AI1288" i="67" s="1"/>
  <c r="N180" i="65"/>
  <c r="W682" i="67" s="1"/>
  <c r="W1288" i="67" s="1"/>
  <c r="S175" i="65"/>
  <c r="AB672" i="67" s="1"/>
  <c r="AB1278" i="67" s="1"/>
  <c r="AR1295" i="67"/>
  <c r="C176" i="65"/>
  <c r="L673" i="67" s="1"/>
  <c r="L1279" i="67" s="1"/>
  <c r="AI176" i="65"/>
  <c r="AR673" i="67" s="1"/>
  <c r="AR1279" i="67" s="1"/>
  <c r="J180" i="65"/>
  <c r="S682" i="67" s="1"/>
  <c r="S1288" i="67" s="1"/>
  <c r="L176" i="65"/>
  <c r="U673" i="67" s="1"/>
  <c r="U1279" i="67" s="1"/>
  <c r="AE175" i="65"/>
  <c r="AN672" i="67" s="1"/>
  <c r="AN1278" i="67" s="1"/>
  <c r="H175" i="65"/>
  <c r="Q672" i="67" s="1"/>
  <c r="Q1278" i="67" s="1"/>
  <c r="V180" i="65"/>
  <c r="AE682" i="67" s="1"/>
  <c r="AE1288" i="67" s="1"/>
  <c r="AB180" i="65"/>
  <c r="AK682" i="67" s="1"/>
  <c r="AK1288" i="67" s="1"/>
  <c r="AC176" i="65"/>
  <c r="AL673" i="67" s="1"/>
  <c r="AL1279" i="67" s="1"/>
  <c r="AF175" i="65"/>
  <c r="AO672" i="67" s="1"/>
  <c r="AO1278" i="67" s="1"/>
  <c r="Q175" i="65"/>
  <c r="Z672" i="67" s="1"/>
  <c r="Z1278" i="67" s="1"/>
  <c r="AN24" i="65"/>
  <c r="AW9" i="67"/>
  <c r="K24" i="65"/>
  <c r="T9" i="67"/>
  <c r="T1225" i="67" s="1"/>
  <c r="AA24" i="65"/>
  <c r="AJ9" i="67"/>
  <c r="AJ1225" i="67" s="1"/>
  <c r="U24" i="65"/>
  <c r="AD9" i="67"/>
  <c r="AD1225" i="67" s="1"/>
  <c r="Z24" i="65"/>
  <c r="AI9" i="67"/>
  <c r="AI1225" i="67" s="1"/>
  <c r="D24" i="65"/>
  <c r="M9" i="67"/>
  <c r="M1225" i="67" s="1"/>
  <c r="AG24" i="65"/>
  <c r="AP9" i="67"/>
  <c r="AP1225" i="67" s="1"/>
  <c r="AH24" i="65"/>
  <c r="AQ9" i="67"/>
  <c r="P1304" i="67"/>
  <c r="AW1239" i="67"/>
  <c r="N1295" i="67"/>
  <c r="AU1304" i="67"/>
  <c r="Z1294" i="67"/>
  <c r="AN1294" i="67"/>
  <c r="AP1304" i="67"/>
  <c r="AN1304" i="67"/>
  <c r="AU56" i="69"/>
  <c r="AU58" i="69" s="1"/>
  <c r="AU59" i="69" s="1"/>
  <c r="AU60" i="69" s="1"/>
  <c r="AU61" i="69" s="1"/>
  <c r="AL1295" i="67"/>
  <c r="AK1239" i="67"/>
  <c r="AD1304" i="67"/>
  <c r="AF1304" i="67"/>
  <c r="AK1304" i="67"/>
  <c r="AQ1225" i="67"/>
  <c r="AB1142" i="67"/>
  <c r="L1135" i="67"/>
  <c r="R1143" i="67"/>
  <c r="AI1143" i="67"/>
  <c r="AB1151" i="67"/>
  <c r="AP1143" i="67"/>
  <c r="M1143" i="67"/>
  <c r="P1142" i="67"/>
  <c r="AV1127" i="67"/>
  <c r="AE1143" i="67"/>
  <c r="AW1126" i="67"/>
  <c r="Q1151" i="67"/>
  <c r="AB1127" i="67"/>
  <c r="AS1127" i="67"/>
  <c r="AE1126" i="67"/>
  <c r="AL1143" i="67"/>
  <c r="AR1127" i="67"/>
  <c r="AK1126" i="67"/>
  <c r="AV1142" i="67"/>
  <c r="AA1142" i="67"/>
  <c r="AC1251" i="67"/>
  <c r="AW18" i="68" s="1"/>
  <c r="V19" i="62" s="1"/>
  <c r="AI1141" i="67"/>
  <c r="AD1141" i="67"/>
  <c r="M1141" i="67"/>
  <c r="M1239" i="67"/>
  <c r="AI1126" i="67"/>
  <c r="AF1127" i="67"/>
  <c r="AS1126" i="67"/>
  <c r="L1151" i="67"/>
  <c r="U1151" i="67"/>
  <c r="AG1127" i="67"/>
  <c r="R1127" i="67"/>
  <c r="AG1142" i="67"/>
  <c r="AA1127" i="67"/>
  <c r="T1127" i="67"/>
  <c r="AN1143" i="67"/>
  <c r="S1142" i="67"/>
  <c r="O1143" i="67"/>
  <c r="AT1126" i="67"/>
  <c r="AI1142" i="67"/>
  <c r="P1143" i="67"/>
  <c r="U1127" i="67"/>
  <c r="R1126" i="67"/>
  <c r="AN1126" i="67"/>
  <c r="AS1135" i="67"/>
  <c r="L1143" i="67"/>
  <c r="T1135" i="67"/>
  <c r="AP1142" i="67"/>
  <c r="AO1143" i="67"/>
  <c r="AS1143" i="67"/>
  <c r="W1142" i="67"/>
  <c r="AT1135" i="67"/>
  <c r="M1126" i="67"/>
  <c r="AL1127" i="67"/>
  <c r="AA1126" i="67"/>
  <c r="AN1251" i="67"/>
  <c r="BH18" i="68" s="1"/>
  <c r="AG19" i="62" s="1"/>
  <c r="AM1251" i="67"/>
  <c r="BG18" i="68" s="1"/>
  <c r="AF19" i="62" s="1"/>
  <c r="AI1251" i="67"/>
  <c r="BC18" i="68" s="1"/>
  <c r="AB19" i="62" s="1"/>
  <c r="AQ1141" i="67"/>
  <c r="AS1141" i="67"/>
  <c r="AN1241" i="67"/>
  <c r="S1143" i="67"/>
  <c r="AF1143" i="67"/>
  <c r="AT1143" i="67"/>
  <c r="U1135" i="67"/>
  <c r="AW1143" i="67"/>
  <c r="AA1143" i="67"/>
  <c r="AV1151" i="67"/>
  <c r="T1142" i="67"/>
  <c r="V1151" i="67"/>
  <c r="AB1126" i="67"/>
  <c r="AO1126" i="67"/>
  <c r="AS1142" i="67"/>
  <c r="O1126" i="67"/>
  <c r="AK1143" i="67"/>
  <c r="AM1127" i="67"/>
  <c r="T1143" i="67"/>
  <c r="AN1127" i="67"/>
  <c r="AT1142" i="67"/>
  <c r="U1143" i="67"/>
  <c r="T1126" i="67"/>
  <c r="AS1151" i="67"/>
  <c r="M1127" i="67"/>
  <c r="AV1143" i="67"/>
  <c r="Z1143" i="67"/>
  <c r="AE1127" i="67"/>
  <c r="AW1142" i="67"/>
  <c r="T1151" i="67"/>
  <c r="W1143" i="67"/>
  <c r="AB1143" i="67"/>
  <c r="AT1151" i="67"/>
  <c r="AE1142" i="67"/>
  <c r="AU1143" i="67"/>
  <c r="AK1142" i="67"/>
  <c r="Z1126" i="67"/>
  <c r="W1251" i="67"/>
  <c r="AQ18" i="68" s="1"/>
  <c r="P19" i="62" s="1"/>
  <c r="AP1141" i="67"/>
  <c r="P1251" i="67"/>
  <c r="AJ18" i="68" s="1"/>
  <c r="I19" i="62" s="1"/>
  <c r="AF1251" i="67"/>
  <c r="AZ18" i="68" s="1"/>
  <c r="Y19" i="62" s="1"/>
  <c r="AW1141" i="67"/>
  <c r="T1141" i="67"/>
  <c r="AS1225" i="67"/>
  <c r="AK1141" i="67"/>
  <c r="AE1304" i="67"/>
  <c r="N1127" i="67"/>
  <c r="S1127" i="67"/>
  <c r="AO1142" i="67"/>
  <c r="N1143" i="67"/>
  <c r="AT1127" i="67"/>
  <c r="O1142" i="67"/>
  <c r="AK1127" i="67"/>
  <c r="AG1143" i="67"/>
  <c r="AW1127" i="67"/>
  <c r="AG1126" i="67"/>
  <c r="AM1143" i="67"/>
  <c r="AV1135" i="67"/>
  <c r="S1126" i="67"/>
  <c r="AI1127" i="67"/>
  <c r="O1127" i="67"/>
  <c r="AB1135" i="67"/>
  <c r="P1127" i="67"/>
  <c r="R1142" i="67"/>
  <c r="AP1127" i="67"/>
  <c r="AN1142" i="67"/>
  <c r="V1135" i="67"/>
  <c r="L1127" i="67"/>
  <c r="P1126" i="67"/>
  <c r="Z1127" i="67"/>
  <c r="Q1135" i="67"/>
  <c r="AP1126" i="67"/>
  <c r="W1127" i="67"/>
  <c r="AO1127" i="67"/>
  <c r="W1126" i="67"/>
  <c r="M1142" i="67"/>
  <c r="AR1143" i="67"/>
  <c r="AU1127" i="67"/>
  <c r="AV1126" i="67"/>
  <c r="Z1142" i="67"/>
  <c r="AD1251" i="67"/>
  <c r="AX18" i="68" s="1"/>
  <c r="W19" i="62" s="1"/>
  <c r="AP1251" i="67"/>
  <c r="BJ18" i="68" s="1"/>
  <c r="AI19" i="62" s="1"/>
  <c r="AJ1141" i="67"/>
  <c r="AK1251" i="67"/>
  <c r="BE18" i="68" s="1"/>
  <c r="AD19" i="62" s="1"/>
  <c r="AD1239" i="67"/>
  <c r="AK1225" i="67"/>
  <c r="AN1259" i="67"/>
  <c r="AN1345" i="67"/>
  <c r="S1344" i="67"/>
  <c r="AN1361" i="67"/>
  <c r="S1258" i="67"/>
  <c r="AI1361" i="67"/>
  <c r="O1259" i="67"/>
  <c r="AO1345" i="67"/>
  <c r="AK1361" i="67"/>
  <c r="AK1227" i="67"/>
  <c r="AG1361" i="67"/>
  <c r="R1241" i="67"/>
  <c r="AW1241" i="67"/>
  <c r="AW1359" i="67"/>
  <c r="Z1360" i="67"/>
  <c r="T1361" i="67"/>
  <c r="AP1345" i="67"/>
  <c r="AN1240" i="67"/>
  <c r="AS1359" i="67"/>
  <c r="AB1241" i="67"/>
  <c r="AO1240" i="67"/>
  <c r="AS1259" i="67"/>
  <c r="L1353" i="67"/>
  <c r="AT1353" i="67"/>
  <c r="O1344" i="67"/>
  <c r="P1227" i="67"/>
  <c r="P1345" i="67"/>
  <c r="U1361" i="67"/>
  <c r="AK1226" i="67"/>
  <c r="AK1344" i="67"/>
  <c r="AG1360" i="67"/>
  <c r="R1240" i="67"/>
  <c r="AM1241" i="67"/>
  <c r="AM1345" i="67"/>
  <c r="AV1353" i="67"/>
  <c r="AI1359" i="67"/>
  <c r="AJ1359" i="67"/>
  <c r="T1240" i="67"/>
  <c r="AF1295" i="67"/>
  <c r="AM1304" i="67"/>
  <c r="AP1240" i="67"/>
  <c r="W1227" i="67"/>
  <c r="AB1258" i="67"/>
  <c r="AT1227" i="67"/>
  <c r="AS1240" i="67"/>
  <c r="AS1344" i="67"/>
  <c r="L1361" i="67"/>
  <c r="M1259" i="67"/>
  <c r="P1258" i="67"/>
  <c r="AV1227" i="67"/>
  <c r="AV1345" i="67"/>
  <c r="Z1345" i="67"/>
  <c r="AE1361" i="67"/>
  <c r="M1257" i="67"/>
  <c r="AV1344" i="67"/>
  <c r="AA1258" i="67"/>
  <c r="T1359" i="67"/>
  <c r="S1361" i="67"/>
  <c r="AU1295" i="67"/>
  <c r="AF1241" i="67"/>
  <c r="N1259" i="67"/>
  <c r="N1361" i="67"/>
  <c r="AT1240" i="67"/>
  <c r="W1360" i="67"/>
  <c r="U1249" i="67"/>
  <c r="AO18" i="68" s="1"/>
  <c r="N19" i="62" s="1"/>
  <c r="AI1258" i="67"/>
  <c r="M1360" i="67"/>
  <c r="AM1295" i="67"/>
  <c r="AE1258" i="67"/>
  <c r="AL1259" i="67"/>
  <c r="AR1259" i="67"/>
  <c r="AR1345" i="67"/>
  <c r="AU1361" i="67"/>
  <c r="AW1258" i="67"/>
  <c r="AA1241" i="67"/>
  <c r="AD1359" i="67"/>
  <c r="AQ1239" i="67"/>
  <c r="AI1227" i="67"/>
  <c r="AI1345" i="67"/>
  <c r="O1361" i="67"/>
  <c r="AO1259" i="67"/>
  <c r="AK1241" i="67"/>
  <c r="AG1241" i="67"/>
  <c r="AG1227" i="67"/>
  <c r="R1345" i="67"/>
  <c r="AW1259" i="67"/>
  <c r="AP1343" i="67"/>
  <c r="Z1226" i="67"/>
  <c r="Z1344" i="67"/>
  <c r="T1227" i="67"/>
  <c r="T1345" i="67"/>
  <c r="AP1227" i="67"/>
  <c r="AP1361" i="67"/>
  <c r="AN1344" i="67"/>
  <c r="AS1239" i="67"/>
  <c r="AB1361" i="67"/>
  <c r="AO1258" i="67"/>
  <c r="AS1345" i="67"/>
  <c r="V1249" i="67"/>
  <c r="AB1249" i="67"/>
  <c r="O1258" i="67"/>
  <c r="P1259" i="67"/>
  <c r="U1259" i="67"/>
  <c r="AK1240" i="67"/>
  <c r="AG1226" i="67"/>
  <c r="AG1344" i="67"/>
  <c r="R1360" i="67"/>
  <c r="AM1227" i="67"/>
  <c r="BG6" i="68" s="1"/>
  <c r="AF8" i="62" s="1"/>
  <c r="AI1239" i="67"/>
  <c r="AI1343" i="67"/>
  <c r="AJ1257" i="67"/>
  <c r="AJ1343" i="67"/>
  <c r="T1258" i="67"/>
  <c r="T1360" i="67"/>
  <c r="AP1360" i="67"/>
  <c r="W1259" i="67"/>
  <c r="AB1344" i="67"/>
  <c r="AT1345" i="67"/>
  <c r="AS1226" i="67"/>
  <c r="L1259" i="67"/>
  <c r="L1345" i="67"/>
  <c r="M1345" i="67"/>
  <c r="P1240" i="67"/>
  <c r="AV1259" i="67"/>
  <c r="Z1227" i="67"/>
  <c r="Z1361" i="67"/>
  <c r="AE1227" i="67"/>
  <c r="AE1345" i="67"/>
  <c r="M1359" i="67"/>
  <c r="AV1226" i="67"/>
  <c r="AV1360" i="67"/>
  <c r="AA1344" i="67"/>
  <c r="T1257" i="67"/>
  <c r="T1343" i="67"/>
  <c r="AB1294" i="67"/>
  <c r="S1227" i="67"/>
  <c r="S1345" i="67"/>
  <c r="AF1361" i="67"/>
  <c r="N1227" i="67"/>
  <c r="AT1360" i="67"/>
  <c r="W1344" i="67"/>
  <c r="W1226" i="67"/>
  <c r="U1353" i="67"/>
  <c r="AI1344" i="67"/>
  <c r="M1240" i="67"/>
  <c r="M1344" i="67"/>
  <c r="AE1360" i="67"/>
  <c r="AL1345" i="67"/>
  <c r="AR1227" i="67"/>
  <c r="BL6" i="68" s="1"/>
  <c r="AK8" i="62" s="1"/>
  <c r="AU1227" i="67"/>
  <c r="BO6" i="68" s="1"/>
  <c r="AN8" i="62" s="1"/>
  <c r="AU1345" i="67"/>
  <c r="AW1360" i="67"/>
  <c r="AA1259" i="67"/>
  <c r="AD1257" i="67"/>
  <c r="AK1343" i="67"/>
  <c r="Q1249" i="67"/>
  <c r="AK18" i="68" s="1"/>
  <c r="J19" i="62" s="1"/>
  <c r="AQ1257" i="67"/>
  <c r="AN1227" i="67"/>
  <c r="S1360" i="67"/>
  <c r="S1226" i="67"/>
  <c r="AI1241" i="67"/>
  <c r="O1227" i="67"/>
  <c r="O1345" i="67"/>
  <c r="AO1361" i="67"/>
  <c r="AK1259" i="67"/>
  <c r="AG1345" i="67"/>
  <c r="R1227" i="67"/>
  <c r="R1361" i="67"/>
  <c r="AW1361" i="67"/>
  <c r="AP1239" i="67"/>
  <c r="AW1257" i="67"/>
  <c r="Z1258" i="67"/>
  <c r="AI1304" i="67"/>
  <c r="T1259" i="67"/>
  <c r="AP1259" i="67"/>
  <c r="AN1226" i="67"/>
  <c r="AN1360" i="67"/>
  <c r="AS1343" i="67"/>
  <c r="AB1259" i="67"/>
  <c r="AB1345" i="67"/>
  <c r="AO1360" i="67"/>
  <c r="AS1361" i="67"/>
  <c r="AS1227" i="67"/>
  <c r="V1353" i="67"/>
  <c r="AB1353" i="67"/>
  <c r="O1360" i="67"/>
  <c r="P1241" i="67"/>
  <c r="U1345" i="67"/>
  <c r="AK1258" i="67"/>
  <c r="AG1240" i="67"/>
  <c r="R1258" i="67"/>
  <c r="R1344" i="67"/>
  <c r="S1304" i="67"/>
  <c r="AM1259" i="67"/>
  <c r="T1249" i="67"/>
  <c r="AO1294" i="67"/>
  <c r="T1226" i="67"/>
  <c r="W1304" i="67"/>
  <c r="AP1226" i="67"/>
  <c r="AP1344" i="67"/>
  <c r="W1361" i="67"/>
  <c r="AB1240" i="67"/>
  <c r="AT1241" i="67"/>
  <c r="AS1258" i="67"/>
  <c r="L1227" i="67"/>
  <c r="AF6" i="68" s="1"/>
  <c r="E8" i="62" s="1"/>
  <c r="M1361" i="67"/>
  <c r="M1227" i="67"/>
  <c r="P1344" i="67"/>
  <c r="AV1241" i="67"/>
  <c r="Z1259" i="67"/>
  <c r="AE1241" i="67"/>
  <c r="AV1258" i="67"/>
  <c r="AA1240" i="67"/>
  <c r="AA1226" i="67"/>
  <c r="Q1294" i="67"/>
  <c r="S1241" i="67"/>
  <c r="AF1227" i="67"/>
  <c r="AZ6" i="68" s="1"/>
  <c r="Y8" i="62" s="1"/>
  <c r="AF1345" i="67"/>
  <c r="N1345" i="67"/>
  <c r="AT1258" i="67"/>
  <c r="AT1344" i="67"/>
  <c r="W1240" i="67"/>
  <c r="AS1249" i="67"/>
  <c r="AI1240" i="67"/>
  <c r="AI1226" i="67"/>
  <c r="M1226" i="67"/>
  <c r="AC1304" i="67"/>
  <c r="AE1240" i="67"/>
  <c r="AE1226" i="67"/>
  <c r="AL1241" i="67"/>
  <c r="AR1241" i="67"/>
  <c r="AU1241" i="67"/>
  <c r="AW1226" i="67"/>
  <c r="AW1344" i="67"/>
  <c r="AA1361" i="67"/>
  <c r="AK1257" i="67"/>
  <c r="Q1353" i="67"/>
  <c r="AQ1359" i="67"/>
  <c r="S1240" i="67"/>
  <c r="AI1259" i="67"/>
  <c r="O1241" i="67"/>
  <c r="AO1241" i="67"/>
  <c r="AO1227" i="67"/>
  <c r="AK1345" i="67"/>
  <c r="AG1259" i="67"/>
  <c r="R1259" i="67"/>
  <c r="AW1345" i="67"/>
  <c r="AW1227" i="67"/>
  <c r="AP1257" i="67"/>
  <c r="AP1359" i="67"/>
  <c r="AW1343" i="67"/>
  <c r="Z1240" i="67"/>
  <c r="T1241" i="67"/>
  <c r="AP1241" i="67"/>
  <c r="AN1258" i="67"/>
  <c r="AS1257" i="67"/>
  <c r="AB1227" i="67"/>
  <c r="AO1226" i="67"/>
  <c r="AO1344" i="67"/>
  <c r="AS1241" i="67"/>
  <c r="L1249" i="67"/>
  <c r="AF18" i="68" s="1"/>
  <c r="E19" i="62" s="1"/>
  <c r="AT1249" i="67"/>
  <c r="O1240" i="67"/>
  <c r="O1226" i="67"/>
  <c r="P1361" i="67"/>
  <c r="U1241" i="67"/>
  <c r="U1227" i="67"/>
  <c r="AO6" i="68" s="1"/>
  <c r="N8" i="62" s="1"/>
  <c r="AK1360" i="67"/>
  <c r="AG1258" i="67"/>
  <c r="R1226" i="67"/>
  <c r="AM1361" i="67"/>
  <c r="AV1249" i="67"/>
  <c r="AI1257" i="67"/>
  <c r="T1353" i="67"/>
  <c r="AJ1239" i="67"/>
  <c r="T1344" i="67"/>
  <c r="AP1258" i="67"/>
  <c r="W1241" i="67"/>
  <c r="W1345" i="67"/>
  <c r="AB1226" i="67"/>
  <c r="AB1360" i="67"/>
  <c r="AT1259" i="67"/>
  <c r="AT1361" i="67"/>
  <c r="AS1360" i="67"/>
  <c r="L1241" i="67"/>
  <c r="M1241" i="67"/>
  <c r="P1226" i="67"/>
  <c r="P1360" i="67"/>
  <c r="AV1361" i="67"/>
  <c r="Z1241" i="67"/>
  <c r="AE1259" i="67"/>
  <c r="M1343" i="67"/>
  <c r="AW1304" i="67"/>
  <c r="AV1240" i="67"/>
  <c r="AA1360" i="67"/>
  <c r="T1239" i="67"/>
  <c r="S1259" i="67"/>
  <c r="AF1259" i="67"/>
  <c r="N1241" i="67"/>
  <c r="AT1226" i="67"/>
  <c r="W1258" i="67"/>
  <c r="AS1353" i="67"/>
  <c r="AI1360" i="67"/>
  <c r="M1258" i="67"/>
  <c r="AE1344" i="67"/>
  <c r="AL1227" i="67"/>
  <c r="BF6" i="68" s="1"/>
  <c r="AE8" i="62" s="1"/>
  <c r="AL1361" i="67"/>
  <c r="AR1361" i="67"/>
  <c r="AU1259" i="67"/>
  <c r="AW1240" i="67"/>
  <c r="AA1227" i="67"/>
  <c r="AA1345" i="67"/>
  <c r="AD1343" i="67"/>
  <c r="AK1359" i="67"/>
  <c r="AQ1343" i="67"/>
  <c r="AM10" i="69"/>
  <c r="AR9" i="70" s="1"/>
  <c r="AD10" i="69"/>
  <c r="AI9" i="70" s="1"/>
  <c r="AU10" i="69"/>
  <c r="AZ8" i="70" s="1"/>
  <c r="BA10" i="69"/>
  <c r="BF8" i="70" s="1"/>
  <c r="BF56" i="69"/>
  <c r="BF58" i="69" s="1"/>
  <c r="BF59" i="69" s="1"/>
  <c r="BF60" i="69" s="1"/>
  <c r="BF61" i="69" s="1"/>
  <c r="R1116" i="67"/>
  <c r="R1098" i="67"/>
  <c r="AJ1096" i="67"/>
  <c r="AJ1216" i="67"/>
  <c r="AJ1369" i="67" s="1"/>
  <c r="AJ1114" i="67"/>
  <c r="AJ1267" i="67" s="1"/>
  <c r="AJ1200" i="67"/>
  <c r="Y1074" i="67"/>
  <c r="Y1192" i="67"/>
  <c r="Y1208" i="67"/>
  <c r="Y1088" i="67"/>
  <c r="Y1106" i="67"/>
  <c r="AJ1192" i="67"/>
  <c r="AJ1074" i="67"/>
  <c r="AJ1208" i="67"/>
  <c r="AJ1088" i="67"/>
  <c r="AJ1106" i="67"/>
  <c r="AC10" i="69"/>
  <c r="AH10" i="70"/>
  <c r="U784" i="67"/>
  <c r="U1086" i="67"/>
  <c r="U1206" i="67"/>
  <c r="U1104" i="67"/>
  <c r="U1190" i="67"/>
  <c r="L39" i="65"/>
  <c r="L41" i="65" s="1"/>
  <c r="U162" i="67" s="1"/>
  <c r="L19" i="65"/>
  <c r="L75" i="65"/>
  <c r="L80" i="65" s="1"/>
  <c r="U315" i="67" s="1"/>
  <c r="AN55" i="70"/>
  <c r="U974" i="67" s="1"/>
  <c r="AN71" i="70"/>
  <c r="U990" i="67" s="1"/>
  <c r="L127" i="65"/>
  <c r="L137" i="65" s="1"/>
  <c r="U467" i="67" s="1"/>
  <c r="U1072" i="67"/>
  <c r="BE56" i="69"/>
  <c r="BE58" i="69" s="1"/>
  <c r="BE59" i="69" s="1"/>
  <c r="BE60" i="69" s="1"/>
  <c r="BE61" i="69" s="1"/>
  <c r="Y1200" i="67"/>
  <c r="Y1216" i="67"/>
  <c r="Y1369" i="67" s="1"/>
  <c r="Y1096" i="67"/>
  <c r="Y1114" i="67"/>
  <c r="AO1096" i="67"/>
  <c r="AO1114" i="67"/>
  <c r="AO1200" i="67"/>
  <c r="AO1216" i="67"/>
  <c r="AO1369" i="67" s="1"/>
  <c r="AL1098" i="67"/>
  <c r="AL1116" i="67"/>
  <c r="AM784" i="67"/>
  <c r="AM1104" i="67"/>
  <c r="AD39" i="65"/>
  <c r="AD41" i="65" s="1"/>
  <c r="AM162" i="67" s="1"/>
  <c r="AM1086" i="67"/>
  <c r="AM1190" i="67"/>
  <c r="AD127" i="65"/>
  <c r="AD137" i="65" s="1"/>
  <c r="AM467" i="67" s="1"/>
  <c r="AD19" i="65"/>
  <c r="AD75" i="65"/>
  <c r="AD80" i="65" s="1"/>
  <c r="AM315" i="67" s="1"/>
  <c r="AM1072" i="67"/>
  <c r="AM1206" i="67"/>
  <c r="BF55" i="70"/>
  <c r="AM974" i="67" s="1"/>
  <c r="BF71" i="70"/>
  <c r="AM990" i="67" s="1"/>
  <c r="X1216" i="67"/>
  <c r="X1369" i="67" s="1"/>
  <c r="X1096" i="67"/>
  <c r="X1114" i="67"/>
  <c r="X1267" i="67" s="1"/>
  <c r="X1200" i="67"/>
  <c r="AG1098" i="67"/>
  <c r="AG1116" i="67"/>
  <c r="AR1098" i="67"/>
  <c r="AR1116" i="67"/>
  <c r="N1096" i="67"/>
  <c r="N1114" i="67"/>
  <c r="N1200" i="67"/>
  <c r="N1216" i="67"/>
  <c r="N1369" i="67" s="1"/>
  <c r="AD1192" i="67"/>
  <c r="AD1074" i="67"/>
  <c r="AD1208" i="67"/>
  <c r="AD1106" i="67"/>
  <c r="AD1088" i="67"/>
  <c r="O1098" i="67"/>
  <c r="O1116" i="67"/>
  <c r="X1073" i="67"/>
  <c r="X1207" i="67"/>
  <c r="X1105" i="67"/>
  <c r="X1087" i="67"/>
  <c r="X1191" i="67"/>
  <c r="V1074" i="67"/>
  <c r="V1208" i="67"/>
  <c r="V1088" i="67"/>
  <c r="V1106" i="67"/>
  <c r="V1192" i="67"/>
  <c r="AE1086" i="67"/>
  <c r="AE1190" i="67"/>
  <c r="AE1072" i="67"/>
  <c r="AE1206" i="67"/>
  <c r="AE1104" i="67"/>
  <c r="AX55" i="70"/>
  <c r="AE974" i="67" s="1"/>
  <c r="V39" i="65"/>
  <c r="V41" i="65" s="1"/>
  <c r="AE162" i="67" s="1"/>
  <c r="AX71" i="70"/>
  <c r="AE990" i="67" s="1"/>
  <c r="V75" i="65"/>
  <c r="V80" i="65" s="1"/>
  <c r="AE315" i="67" s="1"/>
  <c r="V127" i="65"/>
  <c r="V137" i="65" s="1"/>
  <c r="AE467" i="67" s="1"/>
  <c r="V19" i="65"/>
  <c r="AI1125" i="67"/>
  <c r="Z163" i="65"/>
  <c r="AB1103" i="67"/>
  <c r="AB1085" i="67"/>
  <c r="AB1189" i="67"/>
  <c r="AB1071" i="67"/>
  <c r="AB1205" i="67"/>
  <c r="S126" i="65"/>
  <c r="S136" i="65" s="1"/>
  <c r="AB466" i="67" s="1"/>
  <c r="S197" i="65"/>
  <c r="S198" i="65" s="1"/>
  <c r="AU54" i="70"/>
  <c r="AB973" i="67" s="1"/>
  <c r="H126" i="65"/>
  <c r="H136" i="65" s="1"/>
  <c r="Q466" i="67" s="1"/>
  <c r="AJ54" i="70"/>
  <c r="Q973" i="67" s="1"/>
  <c r="H197" i="65"/>
  <c r="H198" i="65" s="1"/>
  <c r="Q1071" i="67"/>
  <c r="Q1205" i="67"/>
  <c r="Q1103" i="67"/>
  <c r="Q1085" i="67"/>
  <c r="Q1189" i="67"/>
  <c r="AK1085" i="67"/>
  <c r="AB197" i="65"/>
  <c r="AB198" i="65" s="1"/>
  <c r="AK1103" i="67"/>
  <c r="AB126" i="65"/>
  <c r="AB136" i="65" s="1"/>
  <c r="AK466" i="67" s="1"/>
  <c r="AK1189" i="67"/>
  <c r="BD54" i="70"/>
  <c r="AK973" i="67" s="1"/>
  <c r="AK1071" i="67"/>
  <c r="AK1205" i="67"/>
  <c r="AJ1125" i="67"/>
  <c r="AA163" i="65"/>
  <c r="AE8" i="70"/>
  <c r="AE9" i="70"/>
  <c r="AQ1102" i="67"/>
  <c r="AQ1084" i="67"/>
  <c r="AQ1188" i="67"/>
  <c r="AQ1204" i="67"/>
  <c r="AQ1070" i="67"/>
  <c r="AS1125" i="67"/>
  <c r="AJ163" i="65"/>
  <c r="BI8" i="70"/>
  <c r="BI9" i="70"/>
  <c r="AN1071" i="67"/>
  <c r="AN1205" i="67"/>
  <c r="AE197" i="65"/>
  <c r="AE198" i="65" s="1"/>
  <c r="AN1085" i="67"/>
  <c r="AE126" i="65"/>
  <c r="AE136" i="65" s="1"/>
  <c r="AN466" i="67" s="1"/>
  <c r="AN1103" i="67"/>
  <c r="BG54" i="70"/>
  <c r="AN973" i="67" s="1"/>
  <c r="AN1189" i="67"/>
  <c r="AQ1114" i="67"/>
  <c r="AQ1096" i="67"/>
  <c r="AQ1200" i="67"/>
  <c r="AQ1216" i="67"/>
  <c r="AC1087" i="67"/>
  <c r="AC1105" i="67"/>
  <c r="AC1191" i="67"/>
  <c r="AC1073" i="67"/>
  <c r="AC1207" i="67"/>
  <c r="Y1190" i="67"/>
  <c r="Y1072" i="67"/>
  <c r="Y1086" i="67"/>
  <c r="Y1206" i="67"/>
  <c r="Y1104" i="67"/>
  <c r="P75" i="65"/>
  <c r="P80" i="65" s="1"/>
  <c r="Y315" i="67" s="1"/>
  <c r="P127" i="65"/>
  <c r="P137" i="65" s="1"/>
  <c r="Y467" i="67" s="1"/>
  <c r="P19" i="65"/>
  <c r="P39" i="65"/>
  <c r="P41" i="65" s="1"/>
  <c r="Y162" i="67" s="1"/>
  <c r="AR55" i="70"/>
  <c r="Y974" i="67" s="1"/>
  <c r="AR71" i="70"/>
  <c r="Y990" i="67" s="1"/>
  <c r="M1098" i="67"/>
  <c r="M1116" i="67"/>
  <c r="AL10" i="69"/>
  <c r="AQ10" i="70"/>
  <c r="BH10" i="69"/>
  <c r="AH1098" i="67"/>
  <c r="AH1116" i="67"/>
  <c r="X1106" i="67"/>
  <c r="X1088" i="67"/>
  <c r="X1192" i="67"/>
  <c r="X1208" i="67"/>
  <c r="X1074" i="67"/>
  <c r="AV10" i="69"/>
  <c r="AX9" i="70"/>
  <c r="AX8" i="70"/>
  <c r="R1104" i="67"/>
  <c r="R1190" i="67"/>
  <c r="R1072" i="67"/>
  <c r="R1206" i="67"/>
  <c r="R1086" i="67"/>
  <c r="I75" i="65"/>
  <c r="I80" i="65" s="1"/>
  <c r="R315" i="67" s="1"/>
  <c r="I19" i="65"/>
  <c r="AK71" i="70"/>
  <c r="R990" i="67" s="1"/>
  <c r="AK55" i="70"/>
  <c r="R974" i="67" s="1"/>
  <c r="I39" i="65"/>
  <c r="I41" i="65" s="1"/>
  <c r="R162" i="67" s="1"/>
  <c r="I127" i="65"/>
  <c r="I137" i="65" s="1"/>
  <c r="R467" i="67" s="1"/>
  <c r="V1086" i="67"/>
  <c r="V1190" i="67"/>
  <c r="V1072" i="67"/>
  <c r="V1206" i="67"/>
  <c r="V1104" i="67"/>
  <c r="M19" i="65"/>
  <c r="M127" i="65"/>
  <c r="M137" i="65" s="1"/>
  <c r="V467" i="67" s="1"/>
  <c r="AO71" i="70"/>
  <c r="V990" i="67" s="1"/>
  <c r="AO55" i="70"/>
  <c r="V974" i="67" s="1"/>
  <c r="M39" i="65"/>
  <c r="M41" i="65" s="1"/>
  <c r="V162" i="67" s="1"/>
  <c r="M75" i="65"/>
  <c r="M80" i="65" s="1"/>
  <c r="V315" i="67" s="1"/>
  <c r="AS1189" i="67"/>
  <c r="AS1071" i="67"/>
  <c r="AS1205" i="67"/>
  <c r="AS1103" i="67"/>
  <c r="AS1085" i="67"/>
  <c r="AJ126" i="65"/>
  <c r="AJ136" i="65" s="1"/>
  <c r="AS466" i="67" s="1"/>
  <c r="BL54" i="70"/>
  <c r="AS973" i="67" s="1"/>
  <c r="AJ197" i="65"/>
  <c r="AJ198" i="65" s="1"/>
  <c r="BL70" i="70" s="1"/>
  <c r="AA1104" i="67"/>
  <c r="AA1086" i="67"/>
  <c r="AA1190" i="67"/>
  <c r="AA1072" i="67"/>
  <c r="AA1206" i="67"/>
  <c r="R75" i="65"/>
  <c r="R80" i="65" s="1"/>
  <c r="AA315" i="67" s="1"/>
  <c r="R39" i="65"/>
  <c r="R41" i="65" s="1"/>
  <c r="AA162" i="67" s="1"/>
  <c r="R19" i="65"/>
  <c r="AT55" i="70"/>
  <c r="AA974" i="67" s="1"/>
  <c r="AT71" i="70"/>
  <c r="AA990" i="67" s="1"/>
  <c r="R127" i="65"/>
  <c r="R137" i="65" s="1"/>
  <c r="AA467" i="67" s="1"/>
  <c r="AO1084" i="67"/>
  <c r="AO1204" i="67"/>
  <c r="AO1070" i="67"/>
  <c r="AO1102" i="67"/>
  <c r="AO1188" i="67"/>
  <c r="BH69" i="70"/>
  <c r="AF125" i="65"/>
  <c r="AF135" i="65" s="1"/>
  <c r="AO465" i="67" s="1"/>
  <c r="AF18" i="65"/>
  <c r="AO7" i="67" s="1"/>
  <c r="AF74" i="65"/>
  <c r="AF79" i="65" s="1"/>
  <c r="AO313" i="67" s="1"/>
  <c r="BH53" i="70"/>
  <c r="BH4" i="70"/>
  <c r="AQ1125" i="67"/>
  <c r="AH163" i="65"/>
  <c r="AQ1189" i="67"/>
  <c r="AQ1103" i="67"/>
  <c r="AQ1205" i="67"/>
  <c r="AQ1085" i="67"/>
  <c r="AH126" i="65"/>
  <c r="AH136" i="65" s="1"/>
  <c r="AQ466" i="67" s="1"/>
  <c r="AQ1071" i="67"/>
  <c r="BJ54" i="70"/>
  <c r="AQ973" i="67" s="1"/>
  <c r="AH197" i="65"/>
  <c r="AH198" i="65" s="1"/>
  <c r="BJ70" i="70" s="1"/>
  <c r="BC9" i="70"/>
  <c r="BC8" i="70"/>
  <c r="AK1125" i="67"/>
  <c r="AB163" i="65"/>
  <c r="S1072" i="67"/>
  <c r="S1206" i="67"/>
  <c r="S1086" i="67"/>
  <c r="S1104" i="67"/>
  <c r="S1190" i="67"/>
  <c r="J19" i="65"/>
  <c r="J127" i="65"/>
  <c r="J137" i="65" s="1"/>
  <c r="S467" i="67" s="1"/>
  <c r="AL71" i="70"/>
  <c r="S990" i="67" s="1"/>
  <c r="J39" i="65"/>
  <c r="J41" i="65" s="1"/>
  <c r="S162" i="67" s="1"/>
  <c r="J75" i="65"/>
  <c r="J80" i="65" s="1"/>
  <c r="S315" i="67" s="1"/>
  <c r="AL55" i="70"/>
  <c r="S974" i="67" s="1"/>
  <c r="AI1071" i="67"/>
  <c r="BB54" i="70"/>
  <c r="AI973" i="67" s="1"/>
  <c r="AI1085" i="67"/>
  <c r="AI1103" i="67"/>
  <c r="Z197" i="65"/>
  <c r="Z198" i="65" s="1"/>
  <c r="AI1189" i="67"/>
  <c r="Z126" i="65"/>
  <c r="Z136" i="65" s="1"/>
  <c r="AI466" i="67" s="1"/>
  <c r="AI1205" i="67"/>
  <c r="AJ1116" i="67"/>
  <c r="AJ1098" i="67"/>
  <c r="AO1098" i="67"/>
  <c r="AO1116" i="67"/>
  <c r="AH1191" i="67"/>
  <c r="AH1073" i="67"/>
  <c r="AH1207" i="67"/>
  <c r="AH1087" i="67"/>
  <c r="AH1105" i="67"/>
  <c r="Q1087" i="67"/>
  <c r="Q1105" i="67"/>
  <c r="Q1191" i="67"/>
  <c r="Q1073" i="67"/>
  <c r="Q1207" i="67"/>
  <c r="O1216" i="67"/>
  <c r="O1369" i="67" s="1"/>
  <c r="O1114" i="67"/>
  <c r="O1096" i="67"/>
  <c r="O1200" i="67"/>
  <c r="BJ10" i="69"/>
  <c r="BO10" i="70"/>
  <c r="AK10" i="69"/>
  <c r="AP10" i="70"/>
  <c r="AH784" i="67"/>
  <c r="AH1190" i="67"/>
  <c r="AH1072" i="67"/>
  <c r="AH1206" i="67"/>
  <c r="AH1086" i="67"/>
  <c r="AH1104" i="67"/>
  <c r="BA71" i="70"/>
  <c r="AH990" i="67" s="1"/>
  <c r="Y127" i="65"/>
  <c r="Y137" i="65" s="1"/>
  <c r="AH467" i="67" s="1"/>
  <c r="BA55" i="70"/>
  <c r="AH974" i="67" s="1"/>
  <c r="Y19" i="65"/>
  <c r="Y39" i="65"/>
  <c r="Y41" i="65" s="1"/>
  <c r="AH162" i="67" s="1"/>
  <c r="Y75" i="65"/>
  <c r="Y80" i="65" s="1"/>
  <c r="AH315" i="67" s="1"/>
  <c r="AW1125" i="67"/>
  <c r="AN163" i="65"/>
  <c r="AK8" i="70"/>
  <c r="AK9" i="70"/>
  <c r="AO9" i="70"/>
  <c r="AO8" i="70"/>
  <c r="AS1070" i="67"/>
  <c r="AS1204" i="67"/>
  <c r="AS1084" i="67"/>
  <c r="AS1102" i="67"/>
  <c r="AS1188" i="67"/>
  <c r="BL4" i="70"/>
  <c r="BL69" i="70"/>
  <c r="BL53" i="70"/>
  <c r="AJ125" i="65"/>
  <c r="AJ135" i="65" s="1"/>
  <c r="AS465" i="67" s="1"/>
  <c r="AJ74" i="65"/>
  <c r="AJ79" i="65" s="1"/>
  <c r="AS313" i="67" s="1"/>
  <c r="AJ18" i="65"/>
  <c r="AT9" i="70"/>
  <c r="AT8" i="70"/>
  <c r="AW1189" i="67"/>
  <c r="BP54" i="70"/>
  <c r="AW973" i="67" s="1"/>
  <c r="AO1085" i="67"/>
  <c r="AO1205" i="67"/>
  <c r="AF197" i="65"/>
  <c r="AF198" i="65" s="1"/>
  <c r="AO1071" i="67"/>
  <c r="AO1103" i="67"/>
  <c r="BH54" i="70"/>
  <c r="AO973" i="67" s="1"/>
  <c r="AO1189" i="67"/>
  <c r="AF126" i="65"/>
  <c r="AF136" i="65" s="1"/>
  <c r="AO466" i="67" s="1"/>
  <c r="T1125" i="67"/>
  <c r="K163" i="65"/>
  <c r="AM9" i="70"/>
  <c r="AM8" i="70"/>
  <c r="AD1071" i="67"/>
  <c r="AD1205" i="67"/>
  <c r="U126" i="65"/>
  <c r="U136" i="65" s="1"/>
  <c r="AD466" i="67" s="1"/>
  <c r="Z1102" i="67"/>
  <c r="Q18" i="65"/>
  <c r="Z1204" i="67"/>
  <c r="AS53" i="70"/>
  <c r="Z1084" i="67"/>
  <c r="AS69" i="70"/>
  <c r="Z1188" i="67"/>
  <c r="Q74" i="65"/>
  <c r="Q79" i="65" s="1"/>
  <c r="Z313" i="67" s="1"/>
  <c r="Z1070" i="67"/>
  <c r="Q125" i="65"/>
  <c r="Q135" i="65" s="1"/>
  <c r="Z465" i="67" s="1"/>
  <c r="AL9" i="70"/>
  <c r="AL8" i="70"/>
  <c r="AI1070" i="67"/>
  <c r="AI1204" i="67"/>
  <c r="BB53" i="70"/>
  <c r="BB4" i="70"/>
  <c r="BB69" i="70"/>
  <c r="AI1084" i="67"/>
  <c r="Z74" i="65"/>
  <c r="Z79" i="65" s="1"/>
  <c r="AI313" i="67" s="1"/>
  <c r="AI1102" i="67"/>
  <c r="Z125" i="65"/>
  <c r="Z135" i="65" s="1"/>
  <c r="AI465" i="67" s="1"/>
  <c r="AI1188" i="67"/>
  <c r="Z18" i="65"/>
  <c r="AA1200" i="67"/>
  <c r="AA1216" i="67"/>
  <c r="AA1369" i="67" s="1"/>
  <c r="AA1114" i="67"/>
  <c r="AA1267" i="67" s="1"/>
  <c r="AA1096" i="67"/>
  <c r="AQ1073" i="67"/>
  <c r="AQ1207" i="67"/>
  <c r="AQ1087" i="67"/>
  <c r="AQ1105" i="67"/>
  <c r="AQ1191" i="67"/>
  <c r="Y1098" i="67"/>
  <c r="Y1116" i="67"/>
  <c r="AC1192" i="67"/>
  <c r="AC1074" i="67"/>
  <c r="AC1208" i="67"/>
  <c r="AC1088" i="67"/>
  <c r="AC1106" i="67"/>
  <c r="Z1216" i="67"/>
  <c r="Z1096" i="67"/>
  <c r="Z1114" i="67"/>
  <c r="Z1200" i="67"/>
  <c r="BF10" i="69"/>
  <c r="BK10" i="70"/>
  <c r="X1116" i="67"/>
  <c r="X1098" i="67"/>
  <c r="AR1096" i="67"/>
  <c r="AR1114" i="67"/>
  <c r="AR1200" i="67"/>
  <c r="AR1216" i="67"/>
  <c r="AR1369" i="67" s="1"/>
  <c r="N1098" i="67"/>
  <c r="N1116" i="67"/>
  <c r="AT784" i="67"/>
  <c r="AT1072" i="67"/>
  <c r="AT1206" i="67"/>
  <c r="AK127" i="65"/>
  <c r="AK137" i="65" s="1"/>
  <c r="AT467" i="67" s="1"/>
  <c r="BM71" i="70"/>
  <c r="AT990" i="67" s="1"/>
  <c r="AT1190" i="67"/>
  <c r="AK39" i="65"/>
  <c r="AK41" i="65" s="1"/>
  <c r="AT162" i="67" s="1"/>
  <c r="AT1104" i="67"/>
  <c r="AK75" i="65"/>
  <c r="AK80" i="65" s="1"/>
  <c r="AT315" i="67" s="1"/>
  <c r="AT1086" i="67"/>
  <c r="AK19" i="65"/>
  <c r="BM55" i="70"/>
  <c r="AT974" i="67" s="1"/>
  <c r="R1216" i="67"/>
  <c r="R1369" i="67" s="1"/>
  <c r="R1096" i="67"/>
  <c r="R1114" i="67"/>
  <c r="R1200" i="67"/>
  <c r="AA1116" i="67"/>
  <c r="AA1098" i="67"/>
  <c r="Y1073" i="67"/>
  <c r="Y1207" i="67"/>
  <c r="Y1105" i="67"/>
  <c r="Y1087" i="67"/>
  <c r="Y1191" i="67"/>
  <c r="AJ1073" i="67"/>
  <c r="AJ1207" i="67"/>
  <c r="AJ1105" i="67"/>
  <c r="AJ1087" i="67"/>
  <c r="AJ1191" i="67"/>
  <c r="AQ1098" i="67"/>
  <c r="AQ1116" i="67"/>
  <c r="AG784" i="67"/>
  <c r="AG1086" i="67"/>
  <c r="AG1104" i="67"/>
  <c r="AG1072" i="67"/>
  <c r="AG1190" i="67"/>
  <c r="AZ55" i="70"/>
  <c r="AG974" i="67" s="1"/>
  <c r="AZ71" i="70"/>
  <c r="AG990" i="67" s="1"/>
  <c r="X127" i="65"/>
  <c r="X137" i="65" s="1"/>
  <c r="AG467" i="67" s="1"/>
  <c r="X75" i="65"/>
  <c r="X80" i="65" s="1"/>
  <c r="AG315" i="67" s="1"/>
  <c r="X19" i="65"/>
  <c r="X39" i="65"/>
  <c r="X41" i="65" s="1"/>
  <c r="AG162" i="67" s="1"/>
  <c r="AG1206" i="67"/>
  <c r="AI10" i="69"/>
  <c r="BI10" i="69"/>
  <c r="BN10" i="70"/>
  <c r="P1104" i="67"/>
  <c r="P1086" i="67"/>
  <c r="P1190" i="67"/>
  <c r="P1206" i="67"/>
  <c r="P1072" i="67"/>
  <c r="G39" i="65"/>
  <c r="G41" i="65" s="1"/>
  <c r="P162" i="67" s="1"/>
  <c r="AI55" i="70"/>
  <c r="P974" i="67" s="1"/>
  <c r="G19" i="65"/>
  <c r="G75" i="65"/>
  <c r="G80" i="65" s="1"/>
  <c r="P315" i="67" s="1"/>
  <c r="G127" i="65"/>
  <c r="G137" i="65" s="1"/>
  <c r="P467" i="67" s="1"/>
  <c r="AI71" i="70"/>
  <c r="P990" i="67" s="1"/>
  <c r="AQ1192" i="67"/>
  <c r="AQ1074" i="67"/>
  <c r="AQ1208" i="67"/>
  <c r="AQ1088" i="67"/>
  <c r="AQ1106" i="67"/>
  <c r="Z1098" i="67"/>
  <c r="Z1116" i="67"/>
  <c r="Z1269" i="67" s="1"/>
  <c r="AL1216" i="67"/>
  <c r="AL1369" i="67" s="1"/>
  <c r="AL1114" i="67"/>
  <c r="AL1096" i="67"/>
  <c r="AL1200" i="67"/>
  <c r="AG1216" i="67"/>
  <c r="AG1369" i="67" s="1"/>
  <c r="AG1096" i="67"/>
  <c r="AG1114" i="67"/>
  <c r="AG1200" i="67"/>
  <c r="M1216" i="67"/>
  <c r="M1096" i="67"/>
  <c r="M1114" i="67"/>
  <c r="M1200" i="67"/>
  <c r="AH1192" i="67"/>
  <c r="AH1074" i="67"/>
  <c r="AH1208" i="67"/>
  <c r="AH1106" i="67"/>
  <c r="AH1088" i="67"/>
  <c r="AT10" i="69"/>
  <c r="AY10" i="70"/>
  <c r="AX4" i="70"/>
  <c r="AD1105" i="67"/>
  <c r="AD1087" i="67"/>
  <c r="AD1191" i="67"/>
  <c r="AD1073" i="67"/>
  <c r="AD1207" i="67"/>
  <c r="Q1106" i="67"/>
  <c r="Q1192" i="67"/>
  <c r="Q1088" i="67"/>
  <c r="Q1208" i="67"/>
  <c r="Q1074" i="67"/>
  <c r="AZ10" i="69"/>
  <c r="BE10" i="70"/>
  <c r="AH1216" i="67"/>
  <c r="AH1369" i="67" s="1"/>
  <c r="AH1096" i="67"/>
  <c r="AH1114" i="67"/>
  <c r="AH1200" i="67"/>
  <c r="V1087" i="67"/>
  <c r="V1105" i="67"/>
  <c r="V1191" i="67"/>
  <c r="V1073" i="67"/>
  <c r="V1207" i="67"/>
  <c r="AQ10" i="69"/>
  <c r="AV10" i="70"/>
  <c r="AB10" i="69"/>
  <c r="AG10" i="70"/>
  <c r="AP1125" i="67"/>
  <c r="AG163" i="65"/>
  <c r="AB1102" i="67"/>
  <c r="AB1084" i="67"/>
  <c r="AB1188" i="67"/>
  <c r="AB1070" i="67"/>
  <c r="AB1204" i="67"/>
  <c r="AU69" i="70"/>
  <c r="S74" i="65"/>
  <c r="S79" i="65" s="1"/>
  <c r="AB313" i="67" s="1"/>
  <c r="S125" i="65"/>
  <c r="S135" i="65" s="1"/>
  <c r="AB465" i="67" s="1"/>
  <c r="S18" i="65"/>
  <c r="AU53" i="70"/>
  <c r="AW1188" i="67"/>
  <c r="AW1084" i="67"/>
  <c r="AW1204" i="67"/>
  <c r="AW1070" i="67"/>
  <c r="AW1102" i="67"/>
  <c r="AN125" i="65"/>
  <c r="AN135" i="65" s="1"/>
  <c r="AW465" i="67" s="1"/>
  <c r="BP69" i="70"/>
  <c r="BP4" i="70"/>
  <c r="BP53" i="70"/>
  <c r="AN18" i="65"/>
  <c r="AN74" i="65"/>
  <c r="AN79" i="65" s="1"/>
  <c r="AW313" i="67" s="1"/>
  <c r="Q1188" i="67"/>
  <c r="Q1084" i="67"/>
  <c r="Q1204" i="67"/>
  <c r="Q1102" i="67"/>
  <c r="Q1070" i="67"/>
  <c r="H125" i="65"/>
  <c r="H135" i="65" s="1"/>
  <c r="Q465" i="67" s="1"/>
  <c r="H18" i="65"/>
  <c r="AJ69" i="70"/>
  <c r="AJ53" i="70"/>
  <c r="H74" i="65"/>
  <c r="H79" i="65" s="1"/>
  <c r="Q313" i="67" s="1"/>
  <c r="AK1188" i="67"/>
  <c r="BD69" i="70"/>
  <c r="AB125" i="65"/>
  <c r="AB135" i="65" s="1"/>
  <c r="AK465" i="67" s="1"/>
  <c r="AK1070" i="67"/>
  <c r="AK1204" i="67"/>
  <c r="BD53" i="70"/>
  <c r="AK1084" i="67"/>
  <c r="AB74" i="65"/>
  <c r="AB79" i="65" s="1"/>
  <c r="AK313" i="67" s="1"/>
  <c r="AB18" i="65"/>
  <c r="AK1102" i="67"/>
  <c r="BD4" i="70"/>
  <c r="AF8" i="70"/>
  <c r="AF9" i="70"/>
  <c r="L1072" i="67"/>
  <c r="L1190" i="67"/>
  <c r="L1086" i="67"/>
  <c r="L1206" i="67"/>
  <c r="L1104" i="67"/>
  <c r="C39" i="65"/>
  <c r="C41" i="65" s="1"/>
  <c r="L162" i="67" s="1"/>
  <c r="AE71" i="70"/>
  <c r="L990" i="67" s="1"/>
  <c r="C127" i="65"/>
  <c r="C137" i="65" s="1"/>
  <c r="L467" i="67" s="1"/>
  <c r="AE55" i="70"/>
  <c r="L974" i="67" s="1"/>
  <c r="C19" i="65"/>
  <c r="C75" i="65"/>
  <c r="C80" i="65" s="1"/>
  <c r="L315" i="67" s="1"/>
  <c r="AD1125" i="67"/>
  <c r="U163" i="65"/>
  <c r="AD1102" i="67"/>
  <c r="AD1188" i="67"/>
  <c r="AD1084" i="67"/>
  <c r="AW69" i="70"/>
  <c r="AD1070" i="67"/>
  <c r="AW53" i="70"/>
  <c r="AD1204" i="67"/>
  <c r="U125" i="65"/>
  <c r="U135" i="65" s="1"/>
  <c r="AD465" i="67" s="1"/>
  <c r="U74" i="65"/>
  <c r="U79" i="65" s="1"/>
  <c r="AD313" i="67" s="1"/>
  <c r="U18" i="65"/>
  <c r="AD7" i="67" s="1"/>
  <c r="Z1189" i="67"/>
  <c r="Q126" i="65"/>
  <c r="Q136" i="65" s="1"/>
  <c r="Z466" i="67" s="1"/>
  <c r="Q197" i="65"/>
  <c r="Q198" i="65" s="1"/>
  <c r="Z1071" i="67"/>
  <c r="Z1205" i="67"/>
  <c r="Z1103" i="67"/>
  <c r="Z1085" i="67"/>
  <c r="AS54" i="70"/>
  <c r="Z973" i="67" s="1"/>
  <c r="M1125" i="67"/>
  <c r="D163" i="65"/>
  <c r="AN1084" i="67"/>
  <c r="AE74" i="65"/>
  <c r="AE79" i="65" s="1"/>
  <c r="AN313" i="67" s="1"/>
  <c r="AN1102" i="67"/>
  <c r="BG69" i="70"/>
  <c r="BG53" i="70"/>
  <c r="AN1070" i="67"/>
  <c r="AN1188" i="67"/>
  <c r="BG4" i="70"/>
  <c r="AE125" i="65"/>
  <c r="AE135" i="65" s="1"/>
  <c r="AN465" i="67" s="1"/>
  <c r="AN1204" i="67"/>
  <c r="AE18" i="65"/>
  <c r="AN7" i="67" s="1"/>
  <c r="AT81" i="70"/>
  <c r="AA1000" i="67" s="1"/>
  <c r="AT65" i="70"/>
  <c r="AA984" i="67" s="1"/>
  <c r="C168" i="65"/>
  <c r="L168" i="65"/>
  <c r="BC73" i="70"/>
  <c r="AJ992" i="67" s="1"/>
  <c r="BC57" i="70"/>
  <c r="AJ976" i="67" s="1"/>
  <c r="AA129" i="65"/>
  <c r="AA139" i="65" s="1"/>
  <c r="AJ469" i="67" s="1"/>
  <c r="AR81" i="70"/>
  <c r="Y1000" i="67" s="1"/>
  <c r="AR65" i="70"/>
  <c r="Y984" i="67" s="1"/>
  <c r="Z164" i="65"/>
  <c r="K164" i="65"/>
  <c r="AE164" i="65"/>
  <c r="AZ81" i="70"/>
  <c r="AG1000" i="67" s="1"/>
  <c r="AZ65" i="70"/>
  <c r="AG984" i="67" s="1"/>
  <c r="M168" i="65"/>
  <c r="AF81" i="70"/>
  <c r="M1000" i="67" s="1"/>
  <c r="AF65" i="70"/>
  <c r="M984" i="67" s="1"/>
  <c r="BA73" i="70"/>
  <c r="AH992" i="67" s="1"/>
  <c r="BA57" i="70"/>
  <c r="AH976" i="67" s="1"/>
  <c r="Y129" i="65"/>
  <c r="Y139" i="65" s="1"/>
  <c r="AH469" i="67" s="1"/>
  <c r="G164" i="65"/>
  <c r="AW73" i="70"/>
  <c r="AD992" i="67" s="1"/>
  <c r="U129" i="65"/>
  <c r="U139" i="65" s="1"/>
  <c r="AD469" i="67" s="1"/>
  <c r="AW57" i="70"/>
  <c r="AD976" i="67" s="1"/>
  <c r="AH81" i="70"/>
  <c r="O1000" i="67" s="1"/>
  <c r="AH65" i="70"/>
  <c r="O984" i="67" s="1"/>
  <c r="AZ56" i="69"/>
  <c r="AZ58" i="69" s="1"/>
  <c r="AZ59" i="69" s="1"/>
  <c r="AZ60" i="69" s="1"/>
  <c r="AZ61" i="69" s="1"/>
  <c r="AG164" i="65"/>
  <c r="BA81" i="70"/>
  <c r="AH1000" i="67" s="1"/>
  <c r="BA65" i="70"/>
  <c r="AH984" i="67" s="1"/>
  <c r="AO72" i="70"/>
  <c r="V991" i="67" s="1"/>
  <c r="M128" i="65"/>
  <c r="M138" i="65" s="1"/>
  <c r="V468" i="67" s="1"/>
  <c r="AO56" i="70"/>
  <c r="V975" i="67" s="1"/>
  <c r="AB164" i="65"/>
  <c r="AJ164" i="65"/>
  <c r="AR72" i="70"/>
  <c r="Y991" i="67" s="1"/>
  <c r="P128" i="65"/>
  <c r="P138" i="65" s="1"/>
  <c r="Y468" i="67" s="1"/>
  <c r="AR56" i="70"/>
  <c r="Y975" i="67" s="1"/>
  <c r="AX56" i="69"/>
  <c r="AX58" i="69" s="1"/>
  <c r="AX59" i="69" s="1"/>
  <c r="AX60" i="69" s="1"/>
  <c r="AX61" i="69" s="1"/>
  <c r="BJ81" i="70"/>
  <c r="AQ1000" i="67" s="1"/>
  <c r="BJ65" i="70"/>
  <c r="AQ984" i="67" s="1"/>
  <c r="J164" i="65"/>
  <c r="AK164" i="65"/>
  <c r="AV72" i="70"/>
  <c r="AC991" i="67" s="1"/>
  <c r="T128" i="65"/>
  <c r="T138" i="65" s="1"/>
  <c r="AC468" i="67" s="1"/>
  <c r="AV4" i="70"/>
  <c r="AV56" i="70"/>
  <c r="AC975" i="67" s="1"/>
  <c r="I164" i="65"/>
  <c r="AQ81" i="70"/>
  <c r="X1000" i="67" s="1"/>
  <c r="AQ65" i="70"/>
  <c r="X984" i="67" s="1"/>
  <c r="AG81" i="70"/>
  <c r="N1000" i="67" s="1"/>
  <c r="AG65" i="70"/>
  <c r="N984" i="67" s="1"/>
  <c r="AN164" i="65"/>
  <c r="H168" i="65"/>
  <c r="N164" i="65"/>
  <c r="AQ72" i="70"/>
  <c r="X991" i="67" s="1"/>
  <c r="O128" i="65"/>
  <c r="O138" i="65" s="1"/>
  <c r="X468" i="67" s="1"/>
  <c r="AQ56" i="70"/>
  <c r="X975" i="67" s="1"/>
  <c r="AO57" i="70"/>
  <c r="V976" i="67" s="1"/>
  <c r="M129" i="65"/>
  <c r="M139" i="65" s="1"/>
  <c r="V469" i="67" s="1"/>
  <c r="AO73" i="70"/>
  <c r="V992" i="67" s="1"/>
  <c r="R164" i="65"/>
  <c r="AQ56" i="69"/>
  <c r="AQ58" i="69" s="1"/>
  <c r="AQ59" i="69" s="1"/>
  <c r="AQ60" i="69" s="1"/>
  <c r="AQ61" i="69" s="1"/>
  <c r="AV56" i="69"/>
  <c r="AV58" i="69" s="1"/>
  <c r="AV59" i="69" s="1"/>
  <c r="AV60" i="69" s="1"/>
  <c r="AV61" i="69" s="1"/>
  <c r="AK81" i="70"/>
  <c r="R1000" i="67" s="1"/>
  <c r="AK65" i="70"/>
  <c r="R984" i="67" s="1"/>
  <c r="S164" i="65"/>
  <c r="AF164" i="65"/>
  <c r="BC81" i="70"/>
  <c r="AJ1000" i="67" s="1"/>
  <c r="BC65" i="70"/>
  <c r="AJ984" i="67" s="1"/>
  <c r="AR57" i="70"/>
  <c r="Y976" i="67" s="1"/>
  <c r="AR73" i="70"/>
  <c r="Y992" i="67" s="1"/>
  <c r="P129" i="65"/>
  <c r="P139" i="65" s="1"/>
  <c r="Y469" i="67" s="1"/>
  <c r="F164" i="65"/>
  <c r="X164" i="65"/>
  <c r="AH128" i="65"/>
  <c r="AH138" i="65" s="1"/>
  <c r="AQ468" i="67" s="1"/>
  <c r="BJ72" i="70"/>
  <c r="AQ991" i="67" s="1"/>
  <c r="BJ56" i="70"/>
  <c r="AQ975" i="67" s="1"/>
  <c r="AV57" i="70"/>
  <c r="AC976" i="67" s="1"/>
  <c r="AV73" i="70"/>
  <c r="AC992" i="67" s="1"/>
  <c r="T129" i="65"/>
  <c r="T139" i="65" s="1"/>
  <c r="AC469" i="67" s="1"/>
  <c r="AS81" i="70"/>
  <c r="Z1000" i="67" s="1"/>
  <c r="AS65" i="70"/>
  <c r="Z984" i="67" s="1"/>
  <c r="AM56" i="69"/>
  <c r="AM58" i="69" s="1"/>
  <c r="AM59" i="69" s="1"/>
  <c r="AM60" i="69" s="1"/>
  <c r="AM61" i="69" s="1"/>
  <c r="BE81" i="70"/>
  <c r="AL1000" i="67" s="1"/>
  <c r="BE65" i="70"/>
  <c r="AL984" i="67" s="1"/>
  <c r="AJ168" i="65"/>
  <c r="AL56" i="69"/>
  <c r="AL58" i="69" s="1"/>
  <c r="AL59" i="69" s="1"/>
  <c r="AL60" i="69" s="1"/>
  <c r="AL61" i="69" s="1"/>
  <c r="AJ72" i="70"/>
  <c r="Q991" i="67" s="1"/>
  <c r="H128" i="65"/>
  <c r="H138" i="65" s="1"/>
  <c r="Q468" i="67" s="1"/>
  <c r="AJ56" i="70"/>
  <c r="Q975" i="67" s="1"/>
  <c r="O129" i="65"/>
  <c r="O139" i="65" s="1"/>
  <c r="X469" i="67" s="1"/>
  <c r="AQ73" i="70"/>
  <c r="X992" i="67" s="1"/>
  <c r="AQ57" i="70"/>
  <c r="X976" i="67" s="1"/>
  <c r="Q164" i="65"/>
  <c r="AB56" i="69"/>
  <c r="AB58" i="69" s="1"/>
  <c r="AB59" i="69" s="1"/>
  <c r="AB60" i="69" s="1"/>
  <c r="AB61" i="69" s="1"/>
  <c r="BC72" i="70"/>
  <c r="AJ991" i="67" s="1"/>
  <c r="AA128" i="65"/>
  <c r="AA138" i="65" s="1"/>
  <c r="AJ468" i="67" s="1"/>
  <c r="BC56" i="70"/>
  <c r="AJ975" i="67" s="1"/>
  <c r="AM168" i="65"/>
  <c r="BJ57" i="70"/>
  <c r="AQ976" i="67" s="1"/>
  <c r="BJ73" i="70"/>
  <c r="AQ992" i="67" s="1"/>
  <c r="AH129" i="65"/>
  <c r="AH139" i="65" s="1"/>
  <c r="AQ469" i="67" s="1"/>
  <c r="S168" i="65"/>
  <c r="BH81" i="70"/>
  <c r="AO1000" i="67" s="1"/>
  <c r="BH65" i="70"/>
  <c r="AO984" i="67" s="1"/>
  <c r="BK81" i="70"/>
  <c r="AR1000" i="67" s="1"/>
  <c r="BK65" i="70"/>
  <c r="AR984" i="67" s="1"/>
  <c r="BA72" i="70"/>
  <c r="AH991" i="67" s="1"/>
  <c r="Y128" i="65"/>
  <c r="Y138" i="65" s="1"/>
  <c r="AH468" i="67" s="1"/>
  <c r="BA56" i="70"/>
  <c r="AH975" i="67" s="1"/>
  <c r="AW72" i="70"/>
  <c r="AD991" i="67" s="1"/>
  <c r="U128" i="65"/>
  <c r="U138" i="65" s="1"/>
  <c r="AD468" i="67" s="1"/>
  <c r="AW4" i="70"/>
  <c r="AW56" i="70"/>
  <c r="AD975" i="67" s="1"/>
  <c r="H129" i="65"/>
  <c r="H139" i="65" s="1"/>
  <c r="Q469" i="67" s="1"/>
  <c r="AJ57" i="70"/>
  <c r="Q976" i="67" s="1"/>
  <c r="AJ73" i="70"/>
  <c r="Q992" i="67" s="1"/>
  <c r="K168" i="65"/>
  <c r="AK168" i="65"/>
  <c r="D164" i="65"/>
  <c r="V164" i="65"/>
  <c r="AM164" i="65"/>
  <c r="AL1267" i="67" l="1"/>
  <c r="AR8" i="70"/>
  <c r="AO1269" i="67"/>
  <c r="AH74" i="65"/>
  <c r="AH79" i="65" s="1"/>
  <c r="AQ313" i="67" s="1"/>
  <c r="AH18" i="65"/>
  <c r="AW1205" i="67"/>
  <c r="BN18" i="68"/>
  <c r="AM19" i="62" s="1"/>
  <c r="AW1071" i="67"/>
  <c r="AW1103" i="67"/>
  <c r="AW1085" i="67"/>
  <c r="O1269" i="67"/>
  <c r="AL1251" i="67"/>
  <c r="AH1267" i="67"/>
  <c r="AA1251" i="67"/>
  <c r="AH1251" i="67"/>
  <c r="AR1251" i="67"/>
  <c r="BP18" i="68"/>
  <c r="AO19" i="62" s="1"/>
  <c r="AD1103" i="67"/>
  <c r="AD1189" i="67"/>
  <c r="AD1054" i="67"/>
  <c r="AD1085" i="67"/>
  <c r="AD934" i="67"/>
  <c r="AD920" i="67"/>
  <c r="AD1224" i="67" s="1"/>
  <c r="AD952" i="67"/>
  <c r="AL1269" i="67"/>
  <c r="AQ1269" i="67"/>
  <c r="AP18" i="68"/>
  <c r="O19" i="62" s="1"/>
  <c r="BJ53" i="70"/>
  <c r="AQ1015" i="67" s="1"/>
  <c r="AN18" i="68"/>
  <c r="M19" i="62" s="1"/>
  <c r="O1251" i="67"/>
  <c r="AA1269" i="67"/>
  <c r="AH125" i="65"/>
  <c r="AH135" i="65" s="1"/>
  <c r="AQ465" i="67" s="1"/>
  <c r="Y1251" i="67"/>
  <c r="AJ1251" i="67"/>
  <c r="AH1269" i="67"/>
  <c r="BJ69" i="70"/>
  <c r="AQ988" i="67" s="1"/>
  <c r="BJ4" i="70"/>
  <c r="AR1269" i="67"/>
  <c r="U197" i="65"/>
  <c r="U198" i="65" s="1"/>
  <c r="AO1267" i="67"/>
  <c r="R1269" i="67"/>
  <c r="N1269" i="67"/>
  <c r="O1267" i="67"/>
  <c r="M1269" i="67"/>
  <c r="AG1269" i="67"/>
  <c r="R1267" i="67"/>
  <c r="AO1251" i="67"/>
  <c r="Z1251" i="67"/>
  <c r="AN126" i="65"/>
  <c r="AN136" i="65" s="1"/>
  <c r="AW466" i="67" s="1"/>
  <c r="Y1269" i="67"/>
  <c r="AN197" i="65"/>
  <c r="AN198" i="65" s="1"/>
  <c r="R1251" i="67"/>
  <c r="AQ1267" i="67"/>
  <c r="AR1267" i="67"/>
  <c r="AF23" i="65"/>
  <c r="BB70" i="70"/>
  <c r="AI989" i="67" s="1"/>
  <c r="BG70" i="70"/>
  <c r="AN1020" i="67" s="1"/>
  <c r="BM18" i="68"/>
  <c r="AL19" i="62" s="1"/>
  <c r="BC6" i="68"/>
  <c r="AB8" i="62" s="1"/>
  <c r="BF9" i="70"/>
  <c r="AM920" i="67" s="1"/>
  <c r="Z1267" i="67"/>
  <c r="N1267" i="67"/>
  <c r="AL6" i="68"/>
  <c r="K8" i="62" s="1"/>
  <c r="AW1225" i="67"/>
  <c r="AO1224" i="67"/>
  <c r="AS1224" i="67"/>
  <c r="M1267" i="67"/>
  <c r="AV18" i="68"/>
  <c r="U19" i="62" s="1"/>
  <c r="AQ1251" i="67"/>
  <c r="X1269" i="67"/>
  <c r="AK972" i="67"/>
  <c r="AK1015" i="67"/>
  <c r="AK1019" i="67"/>
  <c r="AW972" i="67"/>
  <c r="AW1015" i="67"/>
  <c r="AW1019" i="67"/>
  <c r="AN972" i="67"/>
  <c r="AN1019" i="67"/>
  <c r="AN1015" i="67"/>
  <c r="M920" i="67"/>
  <c r="M1038" i="67"/>
  <c r="M1054" i="67"/>
  <c r="M952" i="67"/>
  <c r="M934" i="67"/>
  <c r="Q972" i="67"/>
  <c r="Q1015" i="67"/>
  <c r="Q1019" i="67"/>
  <c r="AB972" i="67"/>
  <c r="AB1019" i="67"/>
  <c r="AB1015" i="67"/>
  <c r="AB988" i="67"/>
  <c r="AU921" i="67"/>
  <c r="AU1039" i="67"/>
  <c r="AU1055" i="67"/>
  <c r="AU953" i="67"/>
  <c r="AU935" i="67"/>
  <c r="S919" i="67"/>
  <c r="S1037" i="67"/>
  <c r="S1053" i="67"/>
  <c r="S951" i="67"/>
  <c r="S933" i="67"/>
  <c r="Z972" i="67"/>
  <c r="Z1019" i="67"/>
  <c r="Z1015" i="67"/>
  <c r="AS988" i="67"/>
  <c r="AS1016" i="67"/>
  <c r="AS1020" i="67"/>
  <c r="V920" i="67"/>
  <c r="V1054" i="67"/>
  <c r="V1038" i="67"/>
  <c r="V952" i="67"/>
  <c r="V934" i="67"/>
  <c r="AV1055" i="67"/>
  <c r="AV1039" i="67"/>
  <c r="AV953" i="67"/>
  <c r="AV935" i="67"/>
  <c r="AQ838" i="67"/>
  <c r="AQ989" i="67"/>
  <c r="AS838" i="67"/>
  <c r="AS989" i="67"/>
  <c r="L920" i="67"/>
  <c r="L1054" i="67"/>
  <c r="L1038" i="67"/>
  <c r="L934" i="67"/>
  <c r="L952" i="67"/>
  <c r="P920" i="67"/>
  <c r="P1054" i="67"/>
  <c r="P1038" i="67"/>
  <c r="P934" i="67"/>
  <c r="P952" i="67"/>
  <c r="AN988" i="67"/>
  <c r="AD972" i="67"/>
  <c r="AD1015" i="67"/>
  <c r="AD1019" i="67"/>
  <c r="M919" i="67"/>
  <c r="M1037" i="67"/>
  <c r="M1053" i="67"/>
  <c r="M951" i="67"/>
  <c r="M933" i="67"/>
  <c r="Q988" i="67"/>
  <c r="AW988" i="67"/>
  <c r="N1055" i="67"/>
  <c r="N1039" i="67"/>
  <c r="N935" i="67"/>
  <c r="N953" i="67"/>
  <c r="AM1038" i="67"/>
  <c r="AI972" i="67"/>
  <c r="AI1015" i="67"/>
  <c r="AI1019" i="67"/>
  <c r="S920" i="67"/>
  <c r="S1038" i="67"/>
  <c r="S1054" i="67"/>
  <c r="S952" i="67"/>
  <c r="S934" i="67"/>
  <c r="T919" i="67"/>
  <c r="T1053" i="67"/>
  <c r="T1037" i="67"/>
  <c r="T951" i="67"/>
  <c r="T933" i="67"/>
  <c r="R920" i="67"/>
  <c r="R1054" i="67"/>
  <c r="R1038" i="67"/>
  <c r="R952" i="67"/>
  <c r="R934" i="67"/>
  <c r="AE919" i="67"/>
  <c r="AE1037" i="67"/>
  <c r="AE1053" i="67"/>
  <c r="AE951" i="67"/>
  <c r="AE933" i="67"/>
  <c r="AP920" i="67"/>
  <c r="AP1054" i="67"/>
  <c r="AP952" i="67"/>
  <c r="AP934" i="67"/>
  <c r="AP1038" i="67"/>
  <c r="L919" i="67"/>
  <c r="L1053" i="67"/>
  <c r="L1037" i="67"/>
  <c r="L951" i="67"/>
  <c r="L933" i="67"/>
  <c r="Y919" i="67"/>
  <c r="Y1037" i="67"/>
  <c r="Y1053" i="67"/>
  <c r="Y951" i="67"/>
  <c r="Y933" i="67"/>
  <c r="Y920" i="67"/>
  <c r="Y1038" i="67"/>
  <c r="Y1054" i="67"/>
  <c r="Y952" i="67"/>
  <c r="Y934" i="67"/>
  <c r="AL1055" i="67"/>
  <c r="AL1039" i="67"/>
  <c r="AL935" i="67"/>
  <c r="AL953" i="67"/>
  <c r="AR921" i="67"/>
  <c r="AR1055" i="67"/>
  <c r="AR1039" i="67"/>
  <c r="AR953" i="67"/>
  <c r="AR935" i="67"/>
  <c r="Z988" i="67"/>
  <c r="T920" i="67"/>
  <c r="T1054" i="67"/>
  <c r="T1038" i="67"/>
  <c r="T934" i="67"/>
  <c r="T952" i="67"/>
  <c r="AA919" i="67"/>
  <c r="AA1037" i="67"/>
  <c r="AA1053" i="67"/>
  <c r="AA951" i="67"/>
  <c r="AA933" i="67"/>
  <c r="R919" i="67"/>
  <c r="R1053" i="67"/>
  <c r="R1037" i="67"/>
  <c r="R933" i="67"/>
  <c r="R951" i="67"/>
  <c r="W1039" i="67"/>
  <c r="W1055" i="67"/>
  <c r="W953" i="67"/>
  <c r="W935" i="67"/>
  <c r="AJ919" i="67"/>
  <c r="AJ1053" i="67"/>
  <c r="AJ1037" i="67"/>
  <c r="AJ951" i="67"/>
  <c r="AJ933" i="67"/>
  <c r="AE920" i="67"/>
  <c r="AE1038" i="67"/>
  <c r="AE1054" i="67"/>
  <c r="AE952" i="67"/>
  <c r="AE934" i="67"/>
  <c r="AP919" i="67"/>
  <c r="AP1053" i="67"/>
  <c r="AP1037" i="67"/>
  <c r="AP933" i="67"/>
  <c r="AP951" i="67"/>
  <c r="AM919" i="67"/>
  <c r="AM1037" i="67"/>
  <c r="AM1053" i="67"/>
  <c r="AM951" i="67"/>
  <c r="AM933" i="67"/>
  <c r="AD988" i="67"/>
  <c r="AK988" i="67"/>
  <c r="AC921" i="67"/>
  <c r="AC1039" i="67"/>
  <c r="AC1055" i="67"/>
  <c r="AC953" i="67"/>
  <c r="AC935" i="67"/>
  <c r="AF1055" i="67"/>
  <c r="AF1039" i="67"/>
  <c r="AF953" i="67"/>
  <c r="AF935" i="67"/>
  <c r="AI988" i="67"/>
  <c r="AI1020" i="67"/>
  <c r="AA920" i="67"/>
  <c r="AA1038" i="67"/>
  <c r="AA1054" i="67"/>
  <c r="AA952" i="67"/>
  <c r="AA934" i="67"/>
  <c r="AS972" i="67"/>
  <c r="AS1019" i="67"/>
  <c r="AS1015" i="67"/>
  <c r="V919" i="67"/>
  <c r="V1053" i="67"/>
  <c r="V1037" i="67"/>
  <c r="V933" i="67"/>
  <c r="V951" i="67"/>
  <c r="AJ920" i="67"/>
  <c r="AJ1054" i="67"/>
  <c r="AJ1038" i="67"/>
  <c r="AJ934" i="67"/>
  <c r="AJ952" i="67"/>
  <c r="AO972" i="67"/>
  <c r="AO1015" i="67"/>
  <c r="AO1019" i="67"/>
  <c r="AO988" i="67"/>
  <c r="X1055" i="67"/>
  <c r="X1039" i="67"/>
  <c r="X953" i="67"/>
  <c r="X935" i="67"/>
  <c r="AQ972" i="67"/>
  <c r="O1039" i="67"/>
  <c r="O1055" i="67"/>
  <c r="O953" i="67"/>
  <c r="O935" i="67"/>
  <c r="AG919" i="67"/>
  <c r="AG1037" i="67"/>
  <c r="AG1053" i="67"/>
  <c r="AG951" i="67"/>
  <c r="AG933" i="67"/>
  <c r="AF784" i="67"/>
  <c r="AF921" i="67"/>
  <c r="X784" i="67"/>
  <c r="X921" i="67"/>
  <c r="O784" i="67"/>
  <c r="O921" i="67"/>
  <c r="AM6" i="68"/>
  <c r="L8" i="62" s="1"/>
  <c r="AV784" i="67"/>
  <c r="AV921" i="67"/>
  <c r="N784" i="67"/>
  <c r="N921" i="67"/>
  <c r="AL784" i="67"/>
  <c r="AL921" i="67"/>
  <c r="W784" i="67"/>
  <c r="W921" i="67"/>
  <c r="AJ6" i="68"/>
  <c r="I8" i="62" s="1"/>
  <c r="M1251" i="67"/>
  <c r="N1251" i="67"/>
  <c r="AQ1369" i="67"/>
  <c r="M1369" i="67"/>
  <c r="AG1267" i="67"/>
  <c r="X1251" i="67"/>
  <c r="Z1369" i="67"/>
  <c r="AJ1269" i="67"/>
  <c r="AG1251" i="67"/>
  <c r="Y1267" i="67"/>
  <c r="BN6" i="68"/>
  <c r="AM8" i="62" s="1"/>
  <c r="AQ6" i="68"/>
  <c r="P8" i="62" s="1"/>
  <c r="AK1294" i="67"/>
  <c r="AT6" i="68"/>
  <c r="S8" i="62" s="1"/>
  <c r="AI6" i="68"/>
  <c r="H8" i="62" s="1"/>
  <c r="BM6" i="68"/>
  <c r="AL8" i="62" s="1"/>
  <c r="AY6" i="68"/>
  <c r="X8" i="62" s="1"/>
  <c r="Z1295" i="67"/>
  <c r="M1295" i="67"/>
  <c r="W1280" i="67"/>
  <c r="BE6" i="68"/>
  <c r="AD8" i="62" s="1"/>
  <c r="BJ6" i="68"/>
  <c r="AI8" i="62" s="1"/>
  <c r="BH6" i="68"/>
  <c r="AG8" i="62" s="1"/>
  <c r="AS1296" i="67"/>
  <c r="AZ9" i="70"/>
  <c r="X197" i="65" s="1"/>
  <c r="X198" i="65" s="1"/>
  <c r="AN6" i="68"/>
  <c r="M8" i="62" s="1"/>
  <c r="AS70" i="70"/>
  <c r="BI6" i="68"/>
  <c r="AH8" i="62" s="1"/>
  <c r="AW1288" i="67"/>
  <c r="N1279" i="67"/>
  <c r="BP70" i="70"/>
  <c r="AW1020" i="67" s="1"/>
  <c r="BP6" i="68"/>
  <c r="AO8" i="62" s="1"/>
  <c r="AU70" i="70"/>
  <c r="AB1020" i="67" s="1"/>
  <c r="AU6" i="68"/>
  <c r="T8" i="62" s="1"/>
  <c r="AN176" i="65"/>
  <c r="AW673" i="67" s="1"/>
  <c r="D175" i="65"/>
  <c r="M672" i="67" s="1"/>
  <c r="M1278" i="67" s="1"/>
  <c r="U175" i="65"/>
  <c r="AD672" i="67" s="1"/>
  <c r="AD1278" i="67" s="1"/>
  <c r="AI8" i="70"/>
  <c r="G125" i="65" s="1"/>
  <c r="G135" i="65" s="1"/>
  <c r="P465" i="67" s="1"/>
  <c r="K175" i="65"/>
  <c r="T672" i="67" s="1"/>
  <c r="T1278" i="67" s="1"/>
  <c r="AJ70" i="70"/>
  <c r="Q1020" i="67" s="1"/>
  <c r="D176" i="65"/>
  <c r="M673" i="67" s="1"/>
  <c r="M1279" i="67" s="1"/>
  <c r="G176" i="65"/>
  <c r="P673" i="67" s="1"/>
  <c r="P1279" i="67" s="1"/>
  <c r="AK180" i="65"/>
  <c r="AT682" i="67" s="1"/>
  <c r="AT1288" i="67" s="1"/>
  <c r="S180" i="65"/>
  <c r="AB682" i="67" s="1"/>
  <c r="AB1288" i="67" s="1"/>
  <c r="AM180" i="65"/>
  <c r="AV682" i="67" s="1"/>
  <c r="AV1288" i="67" s="1"/>
  <c r="AF176" i="65"/>
  <c r="AO673" i="67" s="1"/>
  <c r="AO1279" i="67" s="1"/>
  <c r="I176" i="65"/>
  <c r="R673" i="67" s="1"/>
  <c r="R1279" i="67" s="1"/>
  <c r="AG176" i="65"/>
  <c r="AP673" i="67" s="1"/>
  <c r="AP1279" i="67" s="1"/>
  <c r="AE176" i="65"/>
  <c r="AN673" i="67" s="1"/>
  <c r="AN1279" i="67" s="1"/>
  <c r="L180" i="65"/>
  <c r="U682" i="67" s="1"/>
  <c r="U1288" i="67" s="1"/>
  <c r="AG175" i="65"/>
  <c r="AP672" i="67" s="1"/>
  <c r="AP1278" i="67" s="1"/>
  <c r="BD70" i="70"/>
  <c r="AK1140" i="67" s="1"/>
  <c r="K180" i="65"/>
  <c r="T682" i="67" s="1"/>
  <c r="T1288" i="67" s="1"/>
  <c r="Q176" i="65"/>
  <c r="Z673" i="67" s="1"/>
  <c r="Z1279" i="67" s="1"/>
  <c r="AJ180" i="65"/>
  <c r="AS682" i="67" s="1"/>
  <c r="AS1288" i="67" s="1"/>
  <c r="AJ176" i="65"/>
  <c r="AS673" i="67" s="1"/>
  <c r="AS1279" i="67" s="1"/>
  <c r="M180" i="65"/>
  <c r="V682" i="67" s="1"/>
  <c r="V1288" i="67" s="1"/>
  <c r="K176" i="65"/>
  <c r="T673" i="67" s="1"/>
  <c r="T1279" i="67" s="1"/>
  <c r="C180" i="65"/>
  <c r="L682" i="67" s="1"/>
  <c r="L1288" i="67" s="1"/>
  <c r="AM176" i="65"/>
  <c r="AV673" i="67" s="1"/>
  <c r="AV1279" i="67" s="1"/>
  <c r="X176" i="65"/>
  <c r="AG673" i="67" s="1"/>
  <c r="AG1279" i="67" s="1"/>
  <c r="S176" i="65"/>
  <c r="AB673" i="67" s="1"/>
  <c r="AB1279" i="67" s="1"/>
  <c r="N176" i="65"/>
  <c r="W673" i="67" s="1"/>
  <c r="W1279" i="67" s="1"/>
  <c r="AK176" i="65"/>
  <c r="AT673" i="67" s="1"/>
  <c r="AT1279" i="67" s="1"/>
  <c r="AN175" i="65"/>
  <c r="AW672" i="67" s="1"/>
  <c r="AB175" i="65"/>
  <c r="AK672" i="67" s="1"/>
  <c r="AK1278" i="67" s="1"/>
  <c r="AJ175" i="65"/>
  <c r="AS672" i="67" s="1"/>
  <c r="AS1278" i="67" s="1"/>
  <c r="V176" i="65"/>
  <c r="AE673" i="67" s="1"/>
  <c r="AE1279" i="67" s="1"/>
  <c r="F176" i="65"/>
  <c r="O673" i="67" s="1"/>
  <c r="O1279" i="67" s="1"/>
  <c r="R176" i="65"/>
  <c r="AA673" i="67" s="1"/>
  <c r="AA1279" i="67" s="1"/>
  <c r="H180" i="65"/>
  <c r="Q682" i="67" s="1"/>
  <c r="Q1288" i="67" s="1"/>
  <c r="J176" i="65"/>
  <c r="S673" i="67" s="1"/>
  <c r="S1279" i="67" s="1"/>
  <c r="AB176" i="65"/>
  <c r="AK673" i="67" s="1"/>
  <c r="AK1279" i="67" s="1"/>
  <c r="Z176" i="65"/>
  <c r="AI673" i="67" s="1"/>
  <c r="AI1279" i="67" s="1"/>
  <c r="BH70" i="70"/>
  <c r="AO1016" i="67" s="1"/>
  <c r="AH175" i="65"/>
  <c r="AQ672" i="67" s="1"/>
  <c r="AQ1278" i="67" s="1"/>
  <c r="AA175" i="65"/>
  <c r="AJ672" i="67" s="1"/>
  <c r="AJ1278" i="67" s="1"/>
  <c r="Z175" i="65"/>
  <c r="AI672" i="67" s="1"/>
  <c r="AI1278" i="67" s="1"/>
  <c r="V24" i="65"/>
  <c r="AE9" i="67"/>
  <c r="AE1225" i="67" s="1"/>
  <c r="AK24" i="65"/>
  <c r="AT9" i="67"/>
  <c r="AT1225" i="67" s="1"/>
  <c r="I24" i="65"/>
  <c r="R9" i="67"/>
  <c r="R1225" i="67" s="1"/>
  <c r="AN23" i="65"/>
  <c r="AW7" i="67"/>
  <c r="AJ23" i="65"/>
  <c r="AS7" i="67"/>
  <c r="AS1223" i="67" s="1"/>
  <c r="J24" i="65"/>
  <c r="S9" i="67"/>
  <c r="S1225" i="67" s="1"/>
  <c r="C24" i="65"/>
  <c r="L9" i="67"/>
  <c r="L1225" i="67" s="1"/>
  <c r="Q23" i="65"/>
  <c r="Z7" i="67"/>
  <c r="Z1223" i="67" s="1"/>
  <c r="Y24" i="65"/>
  <c r="AH9" i="67"/>
  <c r="AH1225" i="67" s="1"/>
  <c r="R24" i="65"/>
  <c r="AA9" i="67"/>
  <c r="AA1225" i="67" s="1"/>
  <c r="P24" i="65"/>
  <c r="Y9" i="67"/>
  <c r="Y1225" i="67" s="1"/>
  <c r="AD24" i="65"/>
  <c r="AM9" i="67"/>
  <c r="AM1225" i="67" s="1"/>
  <c r="AB23" i="65"/>
  <c r="AK7" i="67"/>
  <c r="AK1223" i="67" s="1"/>
  <c r="H23" i="65"/>
  <c r="Q7" i="67"/>
  <c r="Q1223" i="67" s="1"/>
  <c r="X24" i="65"/>
  <c r="AG9" i="67"/>
  <c r="AG1225" i="67" s="1"/>
  <c r="S23" i="65"/>
  <c r="AB7" i="67"/>
  <c r="AB1223" i="67" s="1"/>
  <c r="G24" i="65"/>
  <c r="P9" i="67"/>
  <c r="P1225" i="67" s="1"/>
  <c r="Z23" i="65"/>
  <c r="AI7" i="67"/>
  <c r="AI1223" i="67" s="1"/>
  <c r="M24" i="65"/>
  <c r="V9" i="67"/>
  <c r="V1225" i="67" s="1"/>
  <c r="AH23" i="65"/>
  <c r="AQ7" i="67"/>
  <c r="L24" i="65"/>
  <c r="U9" i="67"/>
  <c r="U1225" i="67" s="1"/>
  <c r="Z1280" i="67"/>
  <c r="L1280" i="67"/>
  <c r="O1280" i="67"/>
  <c r="AH6" i="68"/>
  <c r="G8" i="62" s="1"/>
  <c r="AG6" i="68"/>
  <c r="F8" i="62" s="1"/>
  <c r="Z1296" i="67"/>
  <c r="M1280" i="67"/>
  <c r="S1296" i="67"/>
  <c r="AT1239" i="67"/>
  <c r="AM1239" i="67"/>
  <c r="W1295" i="67"/>
  <c r="AO1296" i="67"/>
  <c r="AB1280" i="67"/>
  <c r="AE1296" i="67"/>
  <c r="AV1280" i="67"/>
  <c r="M1296" i="67"/>
  <c r="AP1296" i="67"/>
  <c r="AI1296" i="67"/>
  <c r="R1296" i="67"/>
  <c r="W1296" i="67"/>
  <c r="AE1280" i="67"/>
  <c r="AQ1294" i="67"/>
  <c r="AV6" i="68"/>
  <c r="U8" i="62" s="1"/>
  <c r="BA6" i="68"/>
  <c r="Z8" i="62" s="1"/>
  <c r="N1280" i="67"/>
  <c r="AT1296" i="67"/>
  <c r="AU1280" i="67"/>
  <c r="AP1280" i="67"/>
  <c r="AP1295" i="67"/>
  <c r="AB1295" i="67"/>
  <c r="P1296" i="67"/>
  <c r="R1280" i="67"/>
  <c r="AA1295" i="67"/>
  <c r="AS1280" i="67"/>
  <c r="V1304" i="67"/>
  <c r="AD1294" i="67"/>
  <c r="AV1295" i="67"/>
  <c r="AM1296" i="67"/>
  <c r="AT1280" i="67"/>
  <c r="AO1295" i="67"/>
  <c r="AR1280" i="67"/>
  <c r="AU1296" i="67"/>
  <c r="AL1296" i="67"/>
  <c r="U1304" i="67"/>
  <c r="AK1280" i="67"/>
  <c r="T1296" i="67"/>
  <c r="AA1296" i="67"/>
  <c r="U1280" i="67"/>
  <c r="AI1295" i="67"/>
  <c r="AG1280" i="67"/>
  <c r="U1296" i="67"/>
  <c r="AO1223" i="67"/>
  <c r="BI5" i="68" s="1"/>
  <c r="AH7" i="62" s="1"/>
  <c r="AW1224" i="67"/>
  <c r="AS1294" i="67"/>
  <c r="AD1223" i="67"/>
  <c r="AN1224" i="67"/>
  <c r="AP1294" i="67"/>
  <c r="AG1239" i="67"/>
  <c r="AK1224" i="67"/>
  <c r="AB1224" i="67"/>
  <c r="T1294" i="67"/>
  <c r="P1141" i="67"/>
  <c r="AO1140" i="67"/>
  <c r="AH1239" i="67"/>
  <c r="AQ1224" i="67"/>
  <c r="AS1140" i="67"/>
  <c r="AN1140" i="67"/>
  <c r="Q1224" i="67"/>
  <c r="U1141" i="67"/>
  <c r="AQ1358" i="67"/>
  <c r="Q1237" i="67"/>
  <c r="AW1357" i="67"/>
  <c r="AB1237" i="67"/>
  <c r="V1359" i="67"/>
  <c r="R1239" i="67"/>
  <c r="V1241" i="67"/>
  <c r="X1240" i="67"/>
  <c r="AD1345" i="67"/>
  <c r="AH1345" i="67"/>
  <c r="AR1353" i="67"/>
  <c r="AQ1259" i="67"/>
  <c r="AW1280" i="67"/>
  <c r="Y1249" i="67"/>
  <c r="P1239" i="67"/>
  <c r="AQ1237" i="67"/>
  <c r="AQ1341" i="67"/>
  <c r="L1359" i="67"/>
  <c r="AK1256" i="67"/>
  <c r="AO1256" i="67"/>
  <c r="AS1237" i="67"/>
  <c r="AE1239" i="67"/>
  <c r="V1226" i="67"/>
  <c r="V1344" i="67"/>
  <c r="AH1353" i="67"/>
  <c r="AW1295" i="67"/>
  <c r="Q1259" i="67"/>
  <c r="AD1226" i="67"/>
  <c r="AH1360" i="67"/>
  <c r="AC1361" i="67"/>
  <c r="AC1227" i="67"/>
  <c r="AQ1360" i="67"/>
  <c r="AQ1226" i="67"/>
  <c r="U1359" i="67"/>
  <c r="AQ1249" i="67"/>
  <c r="Y1259" i="67"/>
  <c r="AJ1353" i="67"/>
  <c r="AO1249" i="67"/>
  <c r="AI1255" i="67"/>
  <c r="Z1238" i="67"/>
  <c r="AK1255" i="67"/>
  <c r="AO1357" i="67"/>
  <c r="AA1257" i="67"/>
  <c r="Q1226" i="67"/>
  <c r="Q1344" i="67"/>
  <c r="AT1343" i="67"/>
  <c r="AM1257" i="67"/>
  <c r="AL1353" i="67"/>
  <c r="AC1360" i="67"/>
  <c r="O1296" i="67"/>
  <c r="AN1296" i="67"/>
  <c r="AA1280" i="67"/>
  <c r="AJ1227" i="67"/>
  <c r="AJ1345" i="67"/>
  <c r="Y1240" i="67"/>
  <c r="L1304" i="67"/>
  <c r="AF1280" i="67"/>
  <c r="R1353" i="67"/>
  <c r="Y1343" i="67"/>
  <c r="AI1256" i="67"/>
  <c r="Z1341" i="67"/>
  <c r="Q1256" i="67"/>
  <c r="AB1256" i="67"/>
  <c r="AI1294" i="67"/>
  <c r="AH1343" i="67"/>
  <c r="X1227" i="67"/>
  <c r="O1249" i="67"/>
  <c r="AI18" i="68" s="1"/>
  <c r="H19" i="62" s="1"/>
  <c r="AG1343" i="67"/>
  <c r="AJ1344" i="67"/>
  <c r="AA1249" i="67"/>
  <c r="AU18" i="68" s="1"/>
  <c r="T19" i="62" s="1"/>
  <c r="AO1135" i="67"/>
  <c r="Q1126" i="67"/>
  <c r="Z1135" i="67"/>
  <c r="V1127" i="67"/>
  <c r="N1151" i="67"/>
  <c r="AQ1151" i="67"/>
  <c r="O1151" i="67"/>
  <c r="AG1135" i="67"/>
  <c r="Q1127" i="67"/>
  <c r="AH1142" i="67"/>
  <c r="AQ1143" i="67"/>
  <c r="Z1151" i="67"/>
  <c r="R1135" i="67"/>
  <c r="X1126" i="67"/>
  <c r="X1135" i="67"/>
  <c r="M1135" i="67"/>
  <c r="AG1151" i="67"/>
  <c r="AJ1143" i="67"/>
  <c r="AA1135" i="67"/>
  <c r="AD1142" i="67"/>
  <c r="AQ1127" i="67"/>
  <c r="Q1142" i="67"/>
  <c r="V1143" i="67"/>
  <c r="X1151" i="67"/>
  <c r="AH1135" i="67"/>
  <c r="Y1151" i="67"/>
  <c r="AA1151" i="67"/>
  <c r="Z1140" i="67"/>
  <c r="Z1224" i="67"/>
  <c r="AW1124" i="67"/>
  <c r="AI1224" i="67"/>
  <c r="AQ1140" i="67"/>
  <c r="AS1124" i="67"/>
  <c r="AB1140" i="67"/>
  <c r="AE1141" i="67"/>
  <c r="AM1141" i="67"/>
  <c r="U1239" i="67"/>
  <c r="AN1342" i="67"/>
  <c r="AQ1238" i="67"/>
  <c r="AJ1294" i="67"/>
  <c r="Q1341" i="67"/>
  <c r="AW1237" i="67"/>
  <c r="AB1357" i="67"/>
  <c r="V1257" i="67"/>
  <c r="R1257" i="67"/>
  <c r="R1359" i="67"/>
  <c r="AR1296" i="67"/>
  <c r="V1227" i="67"/>
  <c r="V1361" i="67"/>
  <c r="X1344" i="67"/>
  <c r="AO1280" i="67"/>
  <c r="AD1241" i="67"/>
  <c r="AH1227" i="67"/>
  <c r="AH1361" i="67"/>
  <c r="P1280" i="67"/>
  <c r="AQ1361" i="67"/>
  <c r="AI1280" i="67"/>
  <c r="Y1353" i="67"/>
  <c r="P1359" i="67"/>
  <c r="AN1237" i="67"/>
  <c r="L1257" i="67"/>
  <c r="L1343" i="67"/>
  <c r="AK1358" i="67"/>
  <c r="AO1358" i="67"/>
  <c r="AW1256" i="67"/>
  <c r="AS1357" i="67"/>
  <c r="AW1294" i="67"/>
  <c r="AE1257" i="67"/>
  <c r="V1258" i="67"/>
  <c r="AT1304" i="67"/>
  <c r="AB1296" i="67"/>
  <c r="T1304" i="67"/>
  <c r="Q1361" i="67"/>
  <c r="AD1240" i="67"/>
  <c r="AV1296" i="67"/>
  <c r="AH1258" i="67"/>
  <c r="AH1344" i="67"/>
  <c r="AC1241" i="67"/>
  <c r="AQ1240" i="67"/>
  <c r="AN1280" i="67"/>
  <c r="AQ1353" i="67"/>
  <c r="Y1361" i="67"/>
  <c r="AS1295" i="67"/>
  <c r="AO1353" i="67"/>
  <c r="AF1296" i="67"/>
  <c r="AI1357" i="67"/>
  <c r="Z1358" i="67"/>
  <c r="AD1341" i="67"/>
  <c r="AK1341" i="67"/>
  <c r="AO1341" i="67"/>
  <c r="AA1359" i="67"/>
  <c r="AS1256" i="67"/>
  <c r="Q1240" i="67"/>
  <c r="AT1359" i="67"/>
  <c r="AM1359" i="67"/>
  <c r="AC1240" i="67"/>
  <c r="AC1344" i="67"/>
  <c r="AJ1259" i="67"/>
  <c r="Y1258" i="67"/>
  <c r="Y1359" i="67"/>
  <c r="AI1358" i="67"/>
  <c r="S1257" i="67"/>
  <c r="Z1357" i="67"/>
  <c r="AD1358" i="67"/>
  <c r="Q1358" i="67"/>
  <c r="AB1238" i="67"/>
  <c r="X1241" i="67"/>
  <c r="Q1304" i="67"/>
  <c r="N1249" i="67"/>
  <c r="P1295" i="67"/>
  <c r="AG1249" i="67"/>
  <c r="AB1304" i="67"/>
  <c r="AJ1240" i="67"/>
  <c r="AA1353" i="67"/>
  <c r="Q1143" i="67"/>
  <c r="AJ1126" i="67"/>
  <c r="AC1127" i="67"/>
  <c r="Y1127" i="67"/>
  <c r="Y1142" i="67"/>
  <c r="AH1143" i="67"/>
  <c r="AJ1127" i="67"/>
  <c r="AO1151" i="67"/>
  <c r="X1127" i="67"/>
  <c r="AL1135" i="67"/>
  <c r="AQ1126" i="67"/>
  <c r="AJ1135" i="67"/>
  <c r="V1142" i="67"/>
  <c r="AD1127" i="67"/>
  <c r="Y1135" i="67"/>
  <c r="AR1135" i="67"/>
  <c r="AJ1142" i="67"/>
  <c r="X1143" i="67"/>
  <c r="AL1151" i="67"/>
  <c r="AQ1142" i="67"/>
  <c r="AJ1151" i="67"/>
  <c r="R1151" i="67"/>
  <c r="Y1126" i="67"/>
  <c r="M1151" i="67"/>
  <c r="AD1126" i="67"/>
  <c r="AH1126" i="67"/>
  <c r="AR1151" i="67"/>
  <c r="AC1143" i="67"/>
  <c r="Y1143" i="67"/>
  <c r="X1142" i="67"/>
  <c r="N1135" i="67"/>
  <c r="AC1142" i="67"/>
  <c r="AQ1135" i="67"/>
  <c r="V1126" i="67"/>
  <c r="AH1151" i="67"/>
  <c r="O1135" i="67"/>
  <c r="AD1143" i="67"/>
  <c r="AH1127" i="67"/>
  <c r="AN1223" i="67"/>
  <c r="Z1124" i="67"/>
  <c r="AD1124" i="67"/>
  <c r="AW1140" i="67"/>
  <c r="AH1141" i="67"/>
  <c r="AI1124" i="67"/>
  <c r="AQ1124" i="67"/>
  <c r="AA1141" i="67"/>
  <c r="R1141" i="67"/>
  <c r="Y1141" i="67"/>
  <c r="AN1124" i="67"/>
  <c r="AK1124" i="67"/>
  <c r="Q1124" i="67"/>
  <c r="AB1124" i="67"/>
  <c r="AN1238" i="67"/>
  <c r="AQ1342" i="67"/>
  <c r="Q1255" i="67"/>
  <c r="AW1341" i="67"/>
  <c r="AB1255" i="67"/>
  <c r="AB1341" i="67"/>
  <c r="V1239" i="67"/>
  <c r="V1259" i="67"/>
  <c r="X1226" i="67"/>
  <c r="X1360" i="67"/>
  <c r="AD1259" i="67"/>
  <c r="AD1361" i="67"/>
  <c r="AH1259" i="67"/>
  <c r="M1249" i="67"/>
  <c r="AN1295" i="67"/>
  <c r="R1295" i="67"/>
  <c r="AQ1227" i="67"/>
  <c r="AQ1345" i="67"/>
  <c r="AG1296" i="67"/>
  <c r="O1295" i="67"/>
  <c r="N1296" i="67"/>
  <c r="S1280" i="67"/>
  <c r="P1257" i="67"/>
  <c r="P1343" i="67"/>
  <c r="AN1357" i="67"/>
  <c r="AQ1255" i="67"/>
  <c r="AK1238" i="67"/>
  <c r="AK1342" i="67"/>
  <c r="AO1238" i="67"/>
  <c r="AO1342" i="67"/>
  <c r="AW1358" i="67"/>
  <c r="AS1255" i="67"/>
  <c r="AE1359" i="67"/>
  <c r="AK1295" i="67"/>
  <c r="AE1295" i="67"/>
  <c r="V1240" i="67"/>
  <c r="Q1345" i="67"/>
  <c r="Q1227" i="67"/>
  <c r="AD1360" i="67"/>
  <c r="AH1226" i="67"/>
  <c r="AS1304" i="67"/>
  <c r="Z1249" i="67"/>
  <c r="AC1259" i="67"/>
  <c r="AT1295" i="67"/>
  <c r="AQ1258" i="67"/>
  <c r="U1343" i="67"/>
  <c r="AM1280" i="67"/>
  <c r="AK1296" i="67"/>
  <c r="Y1241" i="67"/>
  <c r="Y1227" i="67"/>
  <c r="T1295" i="67"/>
  <c r="AV1304" i="67"/>
  <c r="AW1296" i="67"/>
  <c r="AI1237" i="67"/>
  <c r="AI1341" i="67"/>
  <c r="Z1256" i="67"/>
  <c r="Z1342" i="67"/>
  <c r="AD1237" i="67"/>
  <c r="AK1357" i="67"/>
  <c r="AO1237" i="67"/>
  <c r="AA1343" i="67"/>
  <c r="AS1358" i="67"/>
  <c r="AL1280" i="67"/>
  <c r="Q1258" i="67"/>
  <c r="AT1257" i="67"/>
  <c r="L1296" i="67"/>
  <c r="X1249" i="67"/>
  <c r="AM1343" i="67"/>
  <c r="AC1226" i="67"/>
  <c r="S1295" i="67"/>
  <c r="T1280" i="67"/>
  <c r="AG1295" i="67"/>
  <c r="AJ1241" i="67"/>
  <c r="Y1360" i="67"/>
  <c r="Y1239" i="67"/>
  <c r="AI1342" i="67"/>
  <c r="S1359" i="67"/>
  <c r="M1294" i="67"/>
  <c r="Z1255" i="67"/>
  <c r="AD1256" i="67"/>
  <c r="AD1342" i="67"/>
  <c r="Q1238" i="67"/>
  <c r="Q1342" i="67"/>
  <c r="AB1342" i="67"/>
  <c r="AH1359" i="67"/>
  <c r="X1361" i="67"/>
  <c r="N1353" i="67"/>
  <c r="AG1353" i="67"/>
  <c r="AG1359" i="67"/>
  <c r="AJ1258" i="67"/>
  <c r="AJ1360" i="67"/>
  <c r="AC1126" i="67"/>
  <c r="L1141" i="67"/>
  <c r="AG1141" i="67"/>
  <c r="AT1141" i="67"/>
  <c r="AO1124" i="67"/>
  <c r="AI1140" i="67"/>
  <c r="S1141" i="67"/>
  <c r="V1141" i="67"/>
  <c r="AN1256" i="67"/>
  <c r="AN1358" i="67"/>
  <c r="AQ1256" i="67"/>
  <c r="Q1357" i="67"/>
  <c r="AW1255" i="67"/>
  <c r="V1343" i="67"/>
  <c r="R1343" i="67"/>
  <c r="V1345" i="67"/>
  <c r="X1258" i="67"/>
  <c r="AD1227" i="67"/>
  <c r="AH1241" i="67"/>
  <c r="M1353" i="67"/>
  <c r="AR1249" i="67"/>
  <c r="AQ1241" i="67"/>
  <c r="AN1255" i="67"/>
  <c r="AN1341" i="67"/>
  <c r="AQ1357" i="67"/>
  <c r="L1239" i="67"/>
  <c r="AW1238" i="67"/>
  <c r="AW1342" i="67"/>
  <c r="AS1341" i="67"/>
  <c r="AE1343" i="67"/>
  <c r="V1360" i="67"/>
  <c r="AH1249" i="67"/>
  <c r="BB18" i="68" s="1"/>
  <c r="AA19" i="62" s="1"/>
  <c r="Q1241" i="67"/>
  <c r="AD1258" i="67"/>
  <c r="AD1344" i="67"/>
  <c r="AH1240" i="67"/>
  <c r="Z1353" i="67"/>
  <c r="AC1345" i="67"/>
  <c r="AQ1344" i="67"/>
  <c r="U1257" i="67"/>
  <c r="Y1345" i="67"/>
  <c r="AJ1249" i="67"/>
  <c r="BD18" i="68" s="1"/>
  <c r="AC19" i="62" s="1"/>
  <c r="AD1255" i="67"/>
  <c r="AD1357" i="67"/>
  <c r="AK1237" i="67"/>
  <c r="AO1255" i="67"/>
  <c r="AA1239" i="67"/>
  <c r="AS1238" i="67"/>
  <c r="AS1342" i="67"/>
  <c r="Q1360" i="67"/>
  <c r="X1353" i="67"/>
  <c r="AL1249" i="67"/>
  <c r="BF18" i="68" s="1"/>
  <c r="AE19" i="62" s="1"/>
  <c r="AC1258" i="67"/>
  <c r="AJ1361" i="67"/>
  <c r="Y1226" i="67"/>
  <c r="Y1344" i="67"/>
  <c r="R1249" i="67"/>
  <c r="Y1257" i="67"/>
  <c r="AI1238" i="67"/>
  <c r="S1239" i="67"/>
  <c r="S1343" i="67"/>
  <c r="Z1237" i="67"/>
  <c r="AB1358" i="67"/>
  <c r="AH1257" i="67"/>
  <c r="X1259" i="67"/>
  <c r="X1345" i="67"/>
  <c r="O1353" i="67"/>
  <c r="AG1257" i="67"/>
  <c r="AJ1226" i="67"/>
  <c r="AE23" i="65"/>
  <c r="U23" i="65"/>
  <c r="AN1170" i="67"/>
  <c r="AE162" i="65"/>
  <c r="AN1123" i="67"/>
  <c r="AN1166" i="67"/>
  <c r="AV9" i="70"/>
  <c r="AV8" i="70"/>
  <c r="AT1125" i="67"/>
  <c r="AK163" i="65"/>
  <c r="AM1085" i="67"/>
  <c r="AD197" i="65"/>
  <c r="AD198" i="65" s="1"/>
  <c r="P1188" i="67"/>
  <c r="P1070" i="67"/>
  <c r="P1204" i="67"/>
  <c r="P1102" i="67"/>
  <c r="P1084" i="67"/>
  <c r="S1188" i="67"/>
  <c r="J74" i="65"/>
  <c r="J79" i="65" s="1"/>
  <c r="S313" i="67" s="1"/>
  <c r="S1070" i="67"/>
  <c r="S1204" i="67"/>
  <c r="AL69" i="70"/>
  <c r="J18" i="65"/>
  <c r="S1084" i="67"/>
  <c r="J125" i="65"/>
  <c r="J135" i="65" s="1"/>
  <c r="S465" i="67" s="1"/>
  <c r="S1102" i="67"/>
  <c r="AL53" i="70"/>
  <c r="Z1123" i="67"/>
  <c r="Z1170" i="67"/>
  <c r="Z1166" i="67"/>
  <c r="Q162" i="65"/>
  <c r="BQ6" i="68"/>
  <c r="AP8" i="62" s="1"/>
  <c r="AS1167" i="67"/>
  <c r="AS1171" i="67"/>
  <c r="AS1139" i="67"/>
  <c r="V1102" i="67"/>
  <c r="V1084" i="67"/>
  <c r="V1188" i="67"/>
  <c r="V1204" i="67"/>
  <c r="V1070" i="67"/>
  <c r="AO69" i="70"/>
  <c r="M74" i="65"/>
  <c r="M79" i="65" s="1"/>
  <c r="V313" i="67" s="1"/>
  <c r="M18" i="65"/>
  <c r="M125" i="65"/>
  <c r="M135" i="65" s="1"/>
  <c r="V465" i="67" s="1"/>
  <c r="AO53" i="70"/>
  <c r="AV1072" i="67"/>
  <c r="AV1206" i="67"/>
  <c r="AV1104" i="67"/>
  <c r="AV1086" i="67"/>
  <c r="AV1190" i="67"/>
  <c r="AM75" i="65"/>
  <c r="AM80" i="65" s="1"/>
  <c r="AV315" i="67" s="1"/>
  <c r="AM39" i="65"/>
  <c r="AM41" i="65" s="1"/>
  <c r="AV162" i="67" s="1"/>
  <c r="BO55" i="70"/>
  <c r="AV974" i="67" s="1"/>
  <c r="AM127" i="65"/>
  <c r="AM137" i="65" s="1"/>
  <c r="AV467" i="67" s="1"/>
  <c r="AM19" i="65"/>
  <c r="BO71" i="70"/>
  <c r="AV990" i="67" s="1"/>
  <c r="AJ1102" i="67"/>
  <c r="AA74" i="65"/>
  <c r="AA79" i="65" s="1"/>
  <c r="AJ313" i="67" s="1"/>
  <c r="BC53" i="70"/>
  <c r="AJ1188" i="67"/>
  <c r="BC4" i="70"/>
  <c r="AJ1070" i="67"/>
  <c r="AJ1204" i="67"/>
  <c r="BC69" i="70"/>
  <c r="AA125" i="65"/>
  <c r="AA135" i="65" s="1"/>
  <c r="AJ465" i="67" s="1"/>
  <c r="AJ1084" i="67"/>
  <c r="AA18" i="65"/>
  <c r="BM9" i="70"/>
  <c r="BM8" i="70"/>
  <c r="AP1071" i="67"/>
  <c r="AP1205" i="67"/>
  <c r="AP1103" i="67"/>
  <c r="BI54" i="70"/>
  <c r="AP973" i="67" s="1"/>
  <c r="AP1085" i="67"/>
  <c r="AG197" i="65"/>
  <c r="AG198" i="65" s="1"/>
  <c r="BI70" i="70" s="1"/>
  <c r="AP1189" i="67"/>
  <c r="AG126" i="65"/>
  <c r="AG136" i="65" s="1"/>
  <c r="AP466" i="67" s="1"/>
  <c r="AQ1170" i="67"/>
  <c r="AQ1123" i="67"/>
  <c r="AQ1166" i="67"/>
  <c r="L1085" i="67"/>
  <c r="L1189" i="67"/>
  <c r="L1071" i="67"/>
  <c r="L1205" i="67"/>
  <c r="L1103" i="67"/>
  <c r="AE54" i="70"/>
  <c r="L973" i="67" s="1"/>
  <c r="C126" i="65"/>
  <c r="C136" i="65" s="1"/>
  <c r="L466" i="67" s="1"/>
  <c r="C197" i="65"/>
  <c r="C198" i="65" s="1"/>
  <c r="Y1071" i="67"/>
  <c r="Y1205" i="67"/>
  <c r="Y1085" i="67"/>
  <c r="Y1103" i="67"/>
  <c r="Y1189" i="67"/>
  <c r="P126" i="65"/>
  <c r="P136" i="65" s="1"/>
  <c r="Y466" i="67" s="1"/>
  <c r="AR54" i="70"/>
  <c r="Y973" i="67" s="1"/>
  <c r="P197" i="65"/>
  <c r="P198" i="65" s="1"/>
  <c r="AG1102" i="67"/>
  <c r="X74" i="65"/>
  <c r="X79" i="65" s="1"/>
  <c r="AG313" i="67" s="1"/>
  <c r="AZ53" i="70"/>
  <c r="AG1188" i="67"/>
  <c r="X125" i="65"/>
  <c r="X135" i="65" s="1"/>
  <c r="AG465" i="67" s="1"/>
  <c r="AZ69" i="70"/>
  <c r="AG1084" i="67"/>
  <c r="AG1204" i="67"/>
  <c r="X18" i="65"/>
  <c r="AG1070" i="67"/>
  <c r="M1071" i="67"/>
  <c r="M1205" i="67"/>
  <c r="M1085" i="67"/>
  <c r="M1103" i="67"/>
  <c r="M1189" i="67"/>
  <c r="D126" i="65"/>
  <c r="D136" i="65" s="1"/>
  <c r="M466" i="67" s="1"/>
  <c r="D197" i="65"/>
  <c r="D198" i="65" s="1"/>
  <c r="AF54" i="70"/>
  <c r="M973" i="67" s="1"/>
  <c r="AK1123" i="67"/>
  <c r="AK1166" i="67"/>
  <c r="AB162" i="65"/>
  <c r="AK1170" i="67"/>
  <c r="AK1139" i="67"/>
  <c r="Q1170" i="67"/>
  <c r="Q1123" i="67"/>
  <c r="Q1166" i="67"/>
  <c r="H162" i="65"/>
  <c r="AN1139" i="67"/>
  <c r="AN1167" i="67"/>
  <c r="AN1171" i="67"/>
  <c r="AD1170" i="67"/>
  <c r="AD1166" i="67"/>
  <c r="U162" i="65"/>
  <c r="AD1123" i="67"/>
  <c r="M1102" i="67"/>
  <c r="M1084" i="67"/>
  <c r="M1188" i="67"/>
  <c r="M1204" i="67"/>
  <c r="D74" i="65"/>
  <c r="D79" i="65" s="1"/>
  <c r="M313" i="67" s="1"/>
  <c r="AF53" i="70"/>
  <c r="D125" i="65"/>
  <c r="D135" i="65" s="1"/>
  <c r="M465" i="67" s="1"/>
  <c r="D18" i="65"/>
  <c r="M1070" i="67"/>
  <c r="AF69" i="70"/>
  <c r="Q1139" i="67"/>
  <c r="AW1166" i="67"/>
  <c r="AW1170" i="67"/>
  <c r="AN162" i="65"/>
  <c r="AW1123" i="67"/>
  <c r="N1072" i="67"/>
  <c r="N1206" i="67"/>
  <c r="N1190" i="67"/>
  <c r="N1104" i="67"/>
  <c r="N1086" i="67"/>
  <c r="E75" i="65"/>
  <c r="E80" i="65" s="1"/>
  <c r="N315" i="67" s="1"/>
  <c r="AG55" i="70"/>
  <c r="E127" i="65"/>
  <c r="E137" i="65" s="1"/>
  <c r="N467" i="67" s="1"/>
  <c r="AG71" i="70"/>
  <c r="N990" i="67" s="1"/>
  <c r="E19" i="65"/>
  <c r="E39" i="65"/>
  <c r="E41" i="65" s="1"/>
  <c r="N162" i="67" s="1"/>
  <c r="AF1072" i="67"/>
  <c r="AF1206" i="67"/>
  <c r="AF1086" i="67"/>
  <c r="AF1104" i="67"/>
  <c r="AF1190" i="67"/>
  <c r="W19" i="65"/>
  <c r="AY71" i="70"/>
  <c r="AF990" i="67" s="1"/>
  <c r="W75" i="65"/>
  <c r="W80" i="65" s="1"/>
  <c r="AF315" i="67" s="1"/>
  <c r="AY55" i="70"/>
  <c r="AF974" i="67" s="1"/>
  <c r="W39" i="65"/>
  <c r="W41" i="65" s="1"/>
  <c r="AF162" i="67" s="1"/>
  <c r="W127" i="65"/>
  <c r="W137" i="65" s="1"/>
  <c r="AF467" i="67" s="1"/>
  <c r="AU784" i="67"/>
  <c r="AU1072" i="67"/>
  <c r="AU1206" i="67"/>
  <c r="BN55" i="70"/>
  <c r="AU974" i="67" s="1"/>
  <c r="AU1104" i="67"/>
  <c r="AL127" i="65"/>
  <c r="AL137" i="65" s="1"/>
  <c r="AU467" i="67" s="1"/>
  <c r="AL39" i="65"/>
  <c r="AL41" i="65" s="1"/>
  <c r="AU162" i="67" s="1"/>
  <c r="AU1086" i="67"/>
  <c r="AL19" i="65"/>
  <c r="AU9" i="67" s="1"/>
  <c r="AL75" i="65"/>
  <c r="AL80" i="65" s="1"/>
  <c r="AU315" i="67" s="1"/>
  <c r="AU1190" i="67"/>
  <c r="BN71" i="70"/>
  <c r="AU990" i="67" s="1"/>
  <c r="AM1188" i="67"/>
  <c r="AM1070" i="67"/>
  <c r="AM1204" i="67"/>
  <c r="AM1102" i="67"/>
  <c r="AM1084" i="67"/>
  <c r="AD18" i="65"/>
  <c r="BF4" i="70"/>
  <c r="AD74" i="65"/>
  <c r="AD79" i="65" s="1"/>
  <c r="AM313" i="67" s="1"/>
  <c r="AD125" i="65"/>
  <c r="AD135" i="65" s="1"/>
  <c r="AM465" i="67" s="1"/>
  <c r="BF69" i="70"/>
  <c r="BF53" i="70"/>
  <c r="P1189" i="67"/>
  <c r="G197" i="65"/>
  <c r="G198" i="65" s="1"/>
  <c r="P1205" i="67"/>
  <c r="AI54" i="70"/>
  <c r="P973" i="67" s="1"/>
  <c r="P1085" i="67"/>
  <c r="P1071" i="67"/>
  <c r="G126" i="65"/>
  <c r="G136" i="65" s="1"/>
  <c r="P466" i="67" s="1"/>
  <c r="P1103" i="67"/>
  <c r="AI1166" i="67"/>
  <c r="AI1170" i="67"/>
  <c r="AI1123" i="67"/>
  <c r="Z162" i="65"/>
  <c r="S1085" i="67"/>
  <c r="S1205" i="67"/>
  <c r="S1071" i="67"/>
  <c r="S1189" i="67"/>
  <c r="AL54" i="70"/>
  <c r="S973" i="67" s="1"/>
  <c r="J197" i="65"/>
  <c r="J198" i="65" s="1"/>
  <c r="J126" i="65"/>
  <c r="J136" i="65" s="1"/>
  <c r="S466" i="67" s="1"/>
  <c r="S1103" i="67"/>
  <c r="AA1102" i="67"/>
  <c r="AA1188" i="67"/>
  <c r="AA1204" i="67"/>
  <c r="AA1070" i="67"/>
  <c r="AA1084" i="67"/>
  <c r="AT53" i="70"/>
  <c r="R74" i="65"/>
  <c r="R79" i="65" s="1"/>
  <c r="AA313" i="67" s="1"/>
  <c r="AT69" i="70"/>
  <c r="R125" i="65"/>
  <c r="R135" i="65" s="1"/>
  <c r="AA465" i="67" s="1"/>
  <c r="R18" i="65"/>
  <c r="V1103" i="67"/>
  <c r="V1085" i="67"/>
  <c r="V1189" i="67"/>
  <c r="V1205" i="67"/>
  <c r="AO54" i="70"/>
  <c r="V973" i="67" s="1"/>
  <c r="M126" i="65"/>
  <c r="M136" i="65" s="1"/>
  <c r="V466" i="67" s="1"/>
  <c r="V1071" i="67"/>
  <c r="M197" i="65"/>
  <c r="M198" i="65" s="1"/>
  <c r="AH1125" i="67"/>
  <c r="Y163" i="65"/>
  <c r="BO8" i="70"/>
  <c r="BO9" i="70"/>
  <c r="S1125" i="67"/>
  <c r="J163" i="65"/>
  <c r="AJ1071" i="67"/>
  <c r="AJ1205" i="67"/>
  <c r="BC54" i="70"/>
  <c r="AJ973" i="67" s="1"/>
  <c r="AJ1103" i="67"/>
  <c r="AA197" i="65"/>
  <c r="AA198" i="65" s="1"/>
  <c r="AJ1189" i="67"/>
  <c r="AJ1085" i="67"/>
  <c r="AA126" i="65"/>
  <c r="AA136" i="65" s="1"/>
  <c r="AJ466" i="67" s="1"/>
  <c r="AO1170" i="67"/>
  <c r="AO1166" i="67"/>
  <c r="AO1123" i="67"/>
  <c r="AF162" i="65"/>
  <c r="AO1139" i="67"/>
  <c r="AO1167" i="67"/>
  <c r="V1125" i="67"/>
  <c r="M163" i="65"/>
  <c r="AE1102" i="67"/>
  <c r="AE1188" i="67"/>
  <c r="AE1070" i="67"/>
  <c r="AE1204" i="67"/>
  <c r="AE1084" i="67"/>
  <c r="V18" i="65"/>
  <c r="V74" i="65"/>
  <c r="V79" i="65" s="1"/>
  <c r="AE313" i="67" s="1"/>
  <c r="AX69" i="70"/>
  <c r="AX53" i="70"/>
  <c r="V125" i="65"/>
  <c r="V135" i="65" s="1"/>
  <c r="AE465" i="67" s="1"/>
  <c r="X1072" i="67"/>
  <c r="X1206" i="67"/>
  <c r="X1086" i="67"/>
  <c r="X1104" i="67"/>
  <c r="X1190" i="67"/>
  <c r="O39" i="65"/>
  <c r="O41" i="65" s="1"/>
  <c r="X162" i="67" s="1"/>
  <c r="AQ55" i="70"/>
  <c r="X974" i="67" s="1"/>
  <c r="O75" i="65"/>
  <c r="O80" i="65" s="1"/>
  <c r="X315" i="67" s="1"/>
  <c r="O127" i="65"/>
  <c r="O137" i="65" s="1"/>
  <c r="X467" i="67" s="1"/>
  <c r="O19" i="65"/>
  <c r="AQ71" i="70"/>
  <c r="X990" i="67" s="1"/>
  <c r="AP1102" i="67"/>
  <c r="AP1084" i="67"/>
  <c r="AP1188" i="67"/>
  <c r="AP1070" i="67"/>
  <c r="AP1204" i="67"/>
  <c r="AG125" i="65"/>
  <c r="AG135" i="65" s="1"/>
  <c r="AP465" i="67" s="1"/>
  <c r="AG74" i="65"/>
  <c r="AG79" i="65" s="1"/>
  <c r="AP313" i="67" s="1"/>
  <c r="AG18" i="65"/>
  <c r="AP7" i="67" s="1"/>
  <c r="BI53" i="70"/>
  <c r="BI4" i="70"/>
  <c r="BI69" i="70"/>
  <c r="L1070" i="67"/>
  <c r="L1204" i="67"/>
  <c r="L1084" i="67"/>
  <c r="L1102" i="67"/>
  <c r="L1188" i="67"/>
  <c r="C18" i="65"/>
  <c r="AE69" i="70"/>
  <c r="C125" i="65"/>
  <c r="C135" i="65" s="1"/>
  <c r="L465" i="67" s="1"/>
  <c r="AE53" i="70"/>
  <c r="C74" i="65"/>
  <c r="C79" i="65" s="1"/>
  <c r="L313" i="67" s="1"/>
  <c r="Y1084" i="67"/>
  <c r="Y1204" i="67"/>
  <c r="Y1102" i="67"/>
  <c r="Y1070" i="67"/>
  <c r="Y1188" i="67"/>
  <c r="AR69" i="70"/>
  <c r="P125" i="65"/>
  <c r="P135" i="65" s="1"/>
  <c r="Y465" i="67" s="1"/>
  <c r="AR53" i="70"/>
  <c r="P18" i="65"/>
  <c r="P74" i="65"/>
  <c r="P79" i="65" s="1"/>
  <c r="Y313" i="67" s="1"/>
  <c r="AG1189" i="67"/>
  <c r="L1125" i="67"/>
  <c r="C163" i="65"/>
  <c r="AG8" i="70"/>
  <c r="AG9" i="70"/>
  <c r="AL1104" i="67"/>
  <c r="AL1086" i="67"/>
  <c r="AL1190" i="67"/>
  <c r="AL1206" i="67"/>
  <c r="AL1072" i="67"/>
  <c r="AC19" i="65"/>
  <c r="AC127" i="65"/>
  <c r="AC137" i="65" s="1"/>
  <c r="AL467" i="67" s="1"/>
  <c r="BE71" i="70"/>
  <c r="AL990" i="67" s="1"/>
  <c r="BE55" i="70"/>
  <c r="AL974" i="67" s="1"/>
  <c r="AC39" i="65"/>
  <c r="AC41" i="65" s="1"/>
  <c r="AL162" i="67" s="1"/>
  <c r="AC75" i="65"/>
  <c r="AC80" i="65" s="1"/>
  <c r="AL315" i="67" s="1"/>
  <c r="AY9" i="70"/>
  <c r="AY8" i="70"/>
  <c r="P1125" i="67"/>
  <c r="G163" i="65"/>
  <c r="BN8" i="70"/>
  <c r="BN9" i="70"/>
  <c r="AR784" i="67"/>
  <c r="AR1086" i="67"/>
  <c r="AR1206" i="67"/>
  <c r="AI127" i="65"/>
  <c r="AI137" i="65" s="1"/>
  <c r="AR467" i="67" s="1"/>
  <c r="AI75" i="65"/>
  <c r="AI80" i="65" s="1"/>
  <c r="AR315" i="67" s="1"/>
  <c r="AI39" i="65"/>
  <c r="AI41" i="65" s="1"/>
  <c r="AR162" i="67" s="1"/>
  <c r="AR1072" i="67"/>
  <c r="BK55" i="70"/>
  <c r="AR974" i="67" s="1"/>
  <c r="BK71" i="70"/>
  <c r="AR990" i="67" s="1"/>
  <c r="AR1104" i="67"/>
  <c r="AI19" i="65"/>
  <c r="AR1190" i="67"/>
  <c r="Z1139" i="67"/>
  <c r="Z1167" i="67"/>
  <c r="Z1171" i="67"/>
  <c r="T1188" i="67"/>
  <c r="T1070" i="67"/>
  <c r="T1204" i="67"/>
  <c r="T1102" i="67"/>
  <c r="T1084" i="67"/>
  <c r="K18" i="65"/>
  <c r="AM69" i="70"/>
  <c r="K125" i="65"/>
  <c r="K135" i="65" s="1"/>
  <c r="T465" i="67" s="1"/>
  <c r="K74" i="65"/>
  <c r="K79" i="65" s="1"/>
  <c r="T313" i="67" s="1"/>
  <c r="AM53" i="70"/>
  <c r="R197" i="65"/>
  <c r="R198" i="65" s="1"/>
  <c r="AA1189" i="67"/>
  <c r="R126" i="65"/>
  <c r="R136" i="65" s="1"/>
  <c r="AA466" i="67" s="1"/>
  <c r="AA1085" i="67"/>
  <c r="AA1205" i="67"/>
  <c r="AT54" i="70"/>
  <c r="AA973" i="67" s="1"/>
  <c r="AA1071" i="67"/>
  <c r="AA1103" i="67"/>
  <c r="R1085" i="67"/>
  <c r="R1205" i="67"/>
  <c r="R1189" i="67"/>
  <c r="R1071" i="67"/>
  <c r="AK54" i="70"/>
  <c r="R973" i="67" s="1"/>
  <c r="R1103" i="67"/>
  <c r="I126" i="65"/>
  <c r="I136" i="65" s="1"/>
  <c r="R466" i="67" s="1"/>
  <c r="I197" i="65"/>
  <c r="I198" i="65" s="1"/>
  <c r="W1086" i="67"/>
  <c r="W1104" i="67"/>
  <c r="W1190" i="67"/>
  <c r="W1072" i="67"/>
  <c r="W1206" i="67"/>
  <c r="AP71" i="70"/>
  <c r="W990" i="67" s="1"/>
  <c r="N75" i="65"/>
  <c r="N80" i="65" s="1"/>
  <c r="W315" i="67" s="1"/>
  <c r="N39" i="65"/>
  <c r="N41" i="65" s="1"/>
  <c r="W162" i="67" s="1"/>
  <c r="AP55" i="70"/>
  <c r="W974" i="67" s="1"/>
  <c r="N127" i="65"/>
  <c r="N137" i="65" s="1"/>
  <c r="W467" i="67" s="1"/>
  <c r="N19" i="65"/>
  <c r="AA1125" i="67"/>
  <c r="R163" i="65"/>
  <c r="AE1103" i="67"/>
  <c r="AE1071" i="67"/>
  <c r="V126" i="65"/>
  <c r="V136" i="65" s="1"/>
  <c r="AE466" i="67" s="1"/>
  <c r="AE1085" i="67"/>
  <c r="AE1189" i="67"/>
  <c r="V197" i="65"/>
  <c r="V198" i="65" s="1"/>
  <c r="AE1205" i="67"/>
  <c r="AX54" i="70"/>
  <c r="AE973" i="67" s="1"/>
  <c r="BA9" i="70"/>
  <c r="BA8" i="70"/>
  <c r="AQ8" i="70"/>
  <c r="AQ9" i="70"/>
  <c r="AQ1167" i="67"/>
  <c r="AQ1171" i="67"/>
  <c r="AQ1139" i="67"/>
  <c r="O1190" i="67"/>
  <c r="O1104" i="67"/>
  <c r="O1086" i="67"/>
  <c r="O1072" i="67"/>
  <c r="O1206" i="67"/>
  <c r="F39" i="65"/>
  <c r="F41" i="65" s="1"/>
  <c r="O162" i="67" s="1"/>
  <c r="AH55" i="70"/>
  <c r="O974" i="67" s="1"/>
  <c r="F75" i="65"/>
  <c r="F80" i="65" s="1"/>
  <c r="O315" i="67" s="1"/>
  <c r="F19" i="65"/>
  <c r="AH71" i="70"/>
  <c r="O990" i="67" s="1"/>
  <c r="F127" i="65"/>
  <c r="F137" i="65" s="1"/>
  <c r="O467" i="67" s="1"/>
  <c r="AD1139" i="67"/>
  <c r="AW1167" i="67"/>
  <c r="AW1171" i="67"/>
  <c r="AW1139" i="67"/>
  <c r="AB1170" i="67"/>
  <c r="AB1166" i="67"/>
  <c r="S162" i="65"/>
  <c r="AB1123" i="67"/>
  <c r="AB1167" i="67"/>
  <c r="AB1139" i="67"/>
  <c r="AB1171" i="67"/>
  <c r="AC784" i="67"/>
  <c r="AC1104" i="67"/>
  <c r="AC1190" i="67"/>
  <c r="AC1206" i="67"/>
  <c r="AC1086" i="67"/>
  <c r="T39" i="65"/>
  <c r="T41" i="65" s="1"/>
  <c r="AC162" i="67" s="1"/>
  <c r="AV55" i="70"/>
  <c r="AC974" i="67" s="1"/>
  <c r="AV71" i="70"/>
  <c r="AC990" i="67" s="1"/>
  <c r="T127" i="65"/>
  <c r="T137" i="65" s="1"/>
  <c r="AC467" i="67" s="1"/>
  <c r="AC1072" i="67"/>
  <c r="T75" i="65"/>
  <c r="T80" i="65" s="1"/>
  <c r="AC315" i="67" s="1"/>
  <c r="T19" i="65"/>
  <c r="BE9" i="70"/>
  <c r="BE8" i="70"/>
  <c r="AN8" i="70"/>
  <c r="AN9" i="70"/>
  <c r="AG1125" i="67"/>
  <c r="X163" i="65"/>
  <c r="BK9" i="70"/>
  <c r="BK8" i="70"/>
  <c r="AI1139" i="67"/>
  <c r="AI1171" i="67"/>
  <c r="AI1167" i="67"/>
  <c r="T1071" i="67"/>
  <c r="T1205" i="67"/>
  <c r="K126" i="65"/>
  <c r="K136" i="65" s="1"/>
  <c r="T466" i="67" s="1"/>
  <c r="T1103" i="67"/>
  <c r="T1085" i="67"/>
  <c r="K197" i="65"/>
  <c r="K198" i="65" s="1"/>
  <c r="AM54" i="70"/>
  <c r="T973" i="67" s="1"/>
  <c r="T1189" i="67"/>
  <c r="AS1170" i="67"/>
  <c r="AJ162" i="65"/>
  <c r="AS1123" i="67"/>
  <c r="AS1166" i="67"/>
  <c r="R1188" i="67"/>
  <c r="I125" i="65"/>
  <c r="I135" i="65" s="1"/>
  <c r="R465" i="67" s="1"/>
  <c r="R1070" i="67"/>
  <c r="R1204" i="67"/>
  <c r="I74" i="65"/>
  <c r="I79" i="65" s="1"/>
  <c r="R313" i="67" s="1"/>
  <c r="AK53" i="70"/>
  <c r="R1102" i="67"/>
  <c r="I18" i="65"/>
  <c r="R7" i="67" s="1"/>
  <c r="R1084" i="67"/>
  <c r="AK69" i="70"/>
  <c r="AP8" i="70"/>
  <c r="AP9" i="70"/>
  <c r="R1125" i="67"/>
  <c r="I163" i="65"/>
  <c r="Y1125" i="67"/>
  <c r="P163" i="65"/>
  <c r="AE1125" i="67"/>
  <c r="V163" i="65"/>
  <c r="AM1125" i="67"/>
  <c r="AD163" i="65"/>
  <c r="U1125" i="67"/>
  <c r="L163" i="65"/>
  <c r="AH9" i="70"/>
  <c r="AH8" i="70"/>
  <c r="AI168" i="65"/>
  <c r="U164" i="65"/>
  <c r="Y164" i="65"/>
  <c r="Q168" i="65"/>
  <c r="P164" i="65"/>
  <c r="AF168" i="65"/>
  <c r="AC168" i="65"/>
  <c r="AH164" i="65"/>
  <c r="I168" i="65"/>
  <c r="O168" i="65"/>
  <c r="T164" i="65"/>
  <c r="AH168" i="65"/>
  <c r="D168" i="65"/>
  <c r="X168" i="65"/>
  <c r="P168" i="65"/>
  <c r="AA164" i="65"/>
  <c r="O164" i="65"/>
  <c r="Y168" i="65"/>
  <c r="R168" i="65"/>
  <c r="H164" i="65"/>
  <c r="AA168" i="65"/>
  <c r="E168" i="65"/>
  <c r="M164" i="65"/>
  <c r="F168" i="65"/>
  <c r="BI18" i="68" l="1"/>
  <c r="AH19" i="62" s="1"/>
  <c r="BL18" i="68"/>
  <c r="AK19" i="62" s="1"/>
  <c r="AG18" i="68"/>
  <c r="F19" i="62" s="1"/>
  <c r="BC70" i="70"/>
  <c r="L1224" i="67"/>
  <c r="AN1016" i="67"/>
  <c r="AN989" i="67"/>
  <c r="AN838" i="67"/>
  <c r="AW70" i="70"/>
  <c r="AD989" i="67" s="1"/>
  <c r="AG1103" i="67"/>
  <c r="AG1085" i="67"/>
  <c r="AG1205" i="67"/>
  <c r="AO1171" i="67"/>
  <c r="BE12" i="68"/>
  <c r="AG1071" i="67"/>
  <c r="AD1238" i="67"/>
  <c r="AL18" i="68"/>
  <c r="K19" i="62" s="1"/>
  <c r="AQ1223" i="67"/>
  <c r="AQ1020" i="67"/>
  <c r="AI838" i="67"/>
  <c r="AQ1019" i="67"/>
  <c r="AQ1016" i="67"/>
  <c r="AH162" i="65"/>
  <c r="AH174" i="65" s="1"/>
  <c r="AQ670" i="67" s="1"/>
  <c r="AQ1276" i="67" s="1"/>
  <c r="AT18" i="68"/>
  <c r="S19" i="62" s="1"/>
  <c r="BM5" i="68"/>
  <c r="AI1016" i="67"/>
  <c r="Q1167" i="67"/>
  <c r="AK1171" i="67"/>
  <c r="AM1189" i="67"/>
  <c r="AM1205" i="67"/>
  <c r="AD1167" i="67"/>
  <c r="Q1171" i="67"/>
  <c r="AK1167" i="67"/>
  <c r="AM1103" i="67"/>
  <c r="AM1256" i="67" s="1"/>
  <c r="AM1071" i="67"/>
  <c r="Q1140" i="67"/>
  <c r="AS18" i="68"/>
  <c r="R19" i="62" s="1"/>
  <c r="AD1016" i="67"/>
  <c r="AD838" i="67"/>
  <c r="AD1171" i="67"/>
  <c r="AD126" i="65"/>
  <c r="AD136" i="65" s="1"/>
  <c r="AM466" i="67" s="1"/>
  <c r="BF54" i="70"/>
  <c r="AM973" i="67" s="1"/>
  <c r="AM1054" i="67"/>
  <c r="AM1358" i="67" s="1"/>
  <c r="X126" i="65"/>
  <c r="X136" i="65" s="1"/>
  <c r="AG466" i="67" s="1"/>
  <c r="AZ54" i="70"/>
  <c r="AG973" i="67" s="1"/>
  <c r="BA18" i="68"/>
  <c r="Z19" i="62" s="1"/>
  <c r="AK12" i="68"/>
  <c r="AR18" i="68"/>
  <c r="Q19" i="62" s="1"/>
  <c r="AM952" i="67"/>
  <c r="AM934" i="67"/>
  <c r="AM1238" i="67" s="1"/>
  <c r="BB6" i="68"/>
  <c r="AA8" i="62" s="1"/>
  <c r="AO70" i="70"/>
  <c r="V1140" i="67" s="1"/>
  <c r="AL24" i="65"/>
  <c r="AE70" i="70"/>
  <c r="L989" i="67" s="1"/>
  <c r="AV12" i="68"/>
  <c r="BK6" i="68"/>
  <c r="AJ8" i="62" s="1"/>
  <c r="BK18" i="68"/>
  <c r="AJ19" i="62" s="1"/>
  <c r="BD6" i="68"/>
  <c r="AC8" i="62" s="1"/>
  <c r="AX5" i="68"/>
  <c r="W7" i="62" s="1"/>
  <c r="AL920" i="67"/>
  <c r="AL1054" i="67"/>
  <c r="AL1038" i="67"/>
  <c r="AL952" i="67"/>
  <c r="AL934" i="67"/>
  <c r="O920" i="67"/>
  <c r="O1038" i="67"/>
  <c r="O1054" i="67"/>
  <c r="O952" i="67"/>
  <c r="O934" i="67"/>
  <c r="U920" i="67"/>
  <c r="U1038" i="67"/>
  <c r="U1054" i="67"/>
  <c r="U952" i="67"/>
  <c r="U934" i="67"/>
  <c r="AU920" i="67"/>
  <c r="AU1038" i="67"/>
  <c r="AU1054" i="67"/>
  <c r="AU952" i="67"/>
  <c r="AU934" i="67"/>
  <c r="L972" i="67"/>
  <c r="L1019" i="67"/>
  <c r="L1015" i="67"/>
  <c r="AE972" i="67"/>
  <c r="AE1019" i="67"/>
  <c r="AE1015" i="67"/>
  <c r="AA988" i="67"/>
  <c r="AG972" i="67"/>
  <c r="AG1019" i="67"/>
  <c r="AT919" i="67"/>
  <c r="AT1053" i="67"/>
  <c r="AT1037" i="67"/>
  <c r="AT933" i="67"/>
  <c r="AT951" i="67"/>
  <c r="AC919" i="67"/>
  <c r="AC1037" i="67"/>
  <c r="AC1053" i="67"/>
  <c r="AC951" i="67"/>
  <c r="AC933" i="67"/>
  <c r="AK838" i="67"/>
  <c r="AK989" i="67"/>
  <c r="Z838" i="67"/>
  <c r="Z989" i="67"/>
  <c r="AK1016" i="67"/>
  <c r="Z1016" i="67"/>
  <c r="Z1320" i="67" s="1"/>
  <c r="W920" i="67"/>
  <c r="W1038" i="67"/>
  <c r="W1054" i="67"/>
  <c r="W952" i="67"/>
  <c r="W934" i="67"/>
  <c r="AR919" i="67"/>
  <c r="AR1053" i="67"/>
  <c r="AR1037" i="67"/>
  <c r="AR951" i="67"/>
  <c r="AR933" i="67"/>
  <c r="AH920" i="67"/>
  <c r="AH1054" i="67"/>
  <c r="AH1038" i="67"/>
  <c r="AH952" i="67"/>
  <c r="AH934" i="67"/>
  <c r="W919" i="67"/>
  <c r="W1037" i="67"/>
  <c r="W1053" i="67"/>
  <c r="W951" i="67"/>
  <c r="W933" i="67"/>
  <c r="AR920" i="67"/>
  <c r="AR1054" i="67"/>
  <c r="AR1038" i="67"/>
  <c r="AR934" i="67"/>
  <c r="AR952" i="67"/>
  <c r="U919" i="67"/>
  <c r="U1037" i="67"/>
  <c r="U1053" i="67"/>
  <c r="U951" i="67"/>
  <c r="U933" i="67"/>
  <c r="X920" i="67"/>
  <c r="X1054" i="67"/>
  <c r="X1038" i="67"/>
  <c r="X934" i="67"/>
  <c r="X952" i="67"/>
  <c r="AU919" i="67"/>
  <c r="AU1037" i="67"/>
  <c r="AU1053" i="67"/>
  <c r="AU951" i="67"/>
  <c r="AU933" i="67"/>
  <c r="AF920" i="67"/>
  <c r="AF1054" i="67"/>
  <c r="AF1038" i="67"/>
  <c r="AF934" i="67"/>
  <c r="AF952" i="67"/>
  <c r="N920" i="67"/>
  <c r="N1054" i="67"/>
  <c r="N1038" i="67"/>
  <c r="N952" i="67"/>
  <c r="N934" i="67"/>
  <c r="Y988" i="67"/>
  <c r="AP988" i="67"/>
  <c r="AP1020" i="67"/>
  <c r="AP1016" i="67"/>
  <c r="AE988" i="67"/>
  <c r="AV920" i="67"/>
  <c r="AV1054" i="67"/>
  <c r="AV1038" i="67"/>
  <c r="AV934" i="67"/>
  <c r="AV952" i="67"/>
  <c r="N974" i="67"/>
  <c r="M988" i="67"/>
  <c r="M972" i="67"/>
  <c r="M1019" i="67"/>
  <c r="M1015" i="67"/>
  <c r="AG988" i="67"/>
  <c r="AT920" i="67"/>
  <c r="AT1054" i="67"/>
  <c r="AT1038" i="67"/>
  <c r="AT952" i="67"/>
  <c r="AT934" i="67"/>
  <c r="AJ988" i="67"/>
  <c r="AJ1016" i="67"/>
  <c r="AJ1020" i="67"/>
  <c r="V972" i="67"/>
  <c r="V1019" i="67"/>
  <c r="V1015" i="67"/>
  <c r="V988" i="67"/>
  <c r="AC920" i="67"/>
  <c r="AC1038" i="67"/>
  <c r="AC1054" i="67"/>
  <c r="AC952" i="67"/>
  <c r="AC934" i="67"/>
  <c r="AO838" i="67"/>
  <c r="AO989" i="67"/>
  <c r="P1053" i="67"/>
  <c r="P1357" i="67" s="1"/>
  <c r="P1037" i="67"/>
  <c r="P1341" i="67" s="1"/>
  <c r="P951" i="67"/>
  <c r="P1255" i="67" s="1"/>
  <c r="P933" i="67"/>
  <c r="P1237" i="67" s="1"/>
  <c r="Z1020" i="67"/>
  <c r="Z1324" i="67" s="1"/>
  <c r="AB1016" i="67"/>
  <c r="AB1320" i="67" s="1"/>
  <c r="AF919" i="67"/>
  <c r="AF1053" i="67"/>
  <c r="AF1037" i="67"/>
  <c r="AF951" i="67"/>
  <c r="AF933" i="67"/>
  <c r="R988" i="67"/>
  <c r="R972" i="67"/>
  <c r="R1015" i="67"/>
  <c r="R1019" i="67"/>
  <c r="AL919" i="67"/>
  <c r="AL1053" i="67"/>
  <c r="AL1037" i="67"/>
  <c r="AL933" i="67"/>
  <c r="AL951" i="67"/>
  <c r="X919" i="67"/>
  <c r="X1053" i="67"/>
  <c r="X1037" i="67"/>
  <c r="X951" i="67"/>
  <c r="X933" i="67"/>
  <c r="T988" i="67"/>
  <c r="N919" i="67"/>
  <c r="N1053" i="67"/>
  <c r="N1037" i="67"/>
  <c r="N933" i="67"/>
  <c r="N951" i="67"/>
  <c r="L988" i="67"/>
  <c r="AJ838" i="67"/>
  <c r="AJ989" i="67"/>
  <c r="AV919" i="67"/>
  <c r="AV1053" i="67"/>
  <c r="AV951" i="67"/>
  <c r="AV1037" i="67"/>
  <c r="AV933" i="67"/>
  <c r="AA972" i="67"/>
  <c r="AA1015" i="67"/>
  <c r="AA1019" i="67"/>
  <c r="AM972" i="67"/>
  <c r="AP838" i="67"/>
  <c r="AP989" i="67"/>
  <c r="AJ972" i="67"/>
  <c r="AJ1015" i="67"/>
  <c r="AJ1019" i="67"/>
  <c r="S972" i="67"/>
  <c r="S1019" i="67"/>
  <c r="S1015" i="67"/>
  <c r="AW838" i="67"/>
  <c r="AW989" i="67"/>
  <c r="AG920" i="67"/>
  <c r="AG1038" i="67"/>
  <c r="AG1342" i="67" s="1"/>
  <c r="AG1054" i="67"/>
  <c r="AG952" i="67"/>
  <c r="AG934" i="67"/>
  <c r="O919" i="67"/>
  <c r="O1037" i="67"/>
  <c r="O1053" i="67"/>
  <c r="O951" i="67"/>
  <c r="O933" i="67"/>
  <c r="AH919" i="67"/>
  <c r="AH1053" i="67"/>
  <c r="AH1037" i="67"/>
  <c r="AH933" i="67"/>
  <c r="AH951" i="67"/>
  <c r="T972" i="67"/>
  <c r="T1015" i="67"/>
  <c r="T1019" i="67"/>
  <c r="Y972" i="67"/>
  <c r="Y1019" i="67"/>
  <c r="Y1015" i="67"/>
  <c r="AP972" i="67"/>
  <c r="AP1019" i="67"/>
  <c r="AP1015" i="67"/>
  <c r="AM988" i="67"/>
  <c r="S988" i="67"/>
  <c r="Q838" i="67"/>
  <c r="Q989" i="67"/>
  <c r="AB838" i="67"/>
  <c r="AB989" i="67"/>
  <c r="AO1020" i="67"/>
  <c r="AK1020" i="67"/>
  <c r="AK1324" i="67" s="1"/>
  <c r="AW1016" i="67"/>
  <c r="AW1320" i="67" s="1"/>
  <c r="Q1016" i="67"/>
  <c r="BI12" i="68"/>
  <c r="G74" i="65"/>
  <c r="G79" i="65" s="1"/>
  <c r="P313" i="67" s="1"/>
  <c r="P919" i="67"/>
  <c r="AH18" i="68"/>
  <c r="G19" i="62" s="1"/>
  <c r="AX12" i="68"/>
  <c r="AP6" i="68"/>
  <c r="O8" i="62" s="1"/>
  <c r="AS6" i="68"/>
  <c r="R8" i="62" s="1"/>
  <c r="BI4" i="68"/>
  <c r="BI58" i="68" s="1"/>
  <c r="BH5" i="68"/>
  <c r="AR6" i="68"/>
  <c r="Q8" i="62" s="1"/>
  <c r="AW6" i="68"/>
  <c r="V8" i="62" s="1"/>
  <c r="BC12" i="68"/>
  <c r="AI69" i="70"/>
  <c r="BK12" i="68"/>
  <c r="AJ13" i="62" s="1"/>
  <c r="G18" i="65"/>
  <c r="G23" i="65" s="1"/>
  <c r="AI53" i="70"/>
  <c r="P1123" i="67" s="1"/>
  <c r="AK6" i="68"/>
  <c r="J8" i="62" s="1"/>
  <c r="AT12" i="68"/>
  <c r="S13" i="62" s="1"/>
  <c r="BM12" i="68"/>
  <c r="S1224" i="67"/>
  <c r="AW1223" i="67"/>
  <c r="BQ5" i="68" s="1"/>
  <c r="AP7" i="62" s="1"/>
  <c r="BK5" i="68"/>
  <c r="AJ7" i="62" s="1"/>
  <c r="AK5" i="68"/>
  <c r="J7" i="62" s="1"/>
  <c r="AG23" i="65"/>
  <c r="AX70" i="70"/>
  <c r="AE1020" i="67" s="1"/>
  <c r="AW1279" i="67"/>
  <c r="AW1278" i="67"/>
  <c r="AT70" i="70"/>
  <c r="AA1016" i="67" s="1"/>
  <c r="AI70" i="70"/>
  <c r="P1140" i="67" s="1"/>
  <c r="AL70" i="70"/>
  <c r="S1167" i="67" s="1"/>
  <c r="AZ70" i="70"/>
  <c r="AG1016" i="67" s="1"/>
  <c r="C175" i="65"/>
  <c r="L672" i="67" s="1"/>
  <c r="L1278" i="67" s="1"/>
  <c r="M175" i="65"/>
  <c r="V672" i="67" s="1"/>
  <c r="V1278" i="67" s="1"/>
  <c r="Z174" i="65"/>
  <c r="AI717" i="67" s="1"/>
  <c r="AI1323" i="67" s="1"/>
  <c r="AR70" i="70"/>
  <c r="Y1140" i="67" s="1"/>
  <c r="AK175" i="65"/>
  <c r="AT672" i="67" s="1"/>
  <c r="AT1278" i="67" s="1"/>
  <c r="R180" i="65"/>
  <c r="AA682" i="67" s="1"/>
  <c r="AA1288" i="67" s="1"/>
  <c r="AC180" i="65"/>
  <c r="AL682" i="67" s="1"/>
  <c r="AL1288" i="67" s="1"/>
  <c r="AJ174" i="65"/>
  <c r="AS670" i="67" s="1"/>
  <c r="AS1276" i="67" s="1"/>
  <c r="X175" i="65"/>
  <c r="AG672" i="67" s="1"/>
  <c r="AG1278" i="67" s="1"/>
  <c r="AM70" i="70"/>
  <c r="T1020" i="67" s="1"/>
  <c r="AF174" i="65"/>
  <c r="AO670" i="67" s="1"/>
  <c r="AO1276" i="67" s="1"/>
  <c r="AN174" i="65"/>
  <c r="AW670" i="67" s="1"/>
  <c r="AW1276" i="67" s="1"/>
  <c r="M176" i="65"/>
  <c r="V673" i="67" s="1"/>
  <c r="V1279" i="67" s="1"/>
  <c r="T176" i="65"/>
  <c r="AC673" i="67" s="1"/>
  <c r="AC1279" i="67" s="1"/>
  <c r="Y176" i="65"/>
  <c r="AH673" i="67" s="1"/>
  <c r="AH1279" i="67" s="1"/>
  <c r="E180" i="65"/>
  <c r="N682" i="67" s="1"/>
  <c r="Y180" i="65"/>
  <c r="AH682" i="67" s="1"/>
  <c r="AH1288" i="67" s="1"/>
  <c r="X180" i="65"/>
  <c r="AG682" i="67" s="1"/>
  <c r="AG1288" i="67" s="1"/>
  <c r="O180" i="65"/>
  <c r="X682" i="67" s="1"/>
  <c r="X1288" i="67" s="1"/>
  <c r="AF180" i="65"/>
  <c r="L175" i="65"/>
  <c r="U672" i="67" s="1"/>
  <c r="U1278" i="67" s="1"/>
  <c r="P175" i="65"/>
  <c r="Y672" i="67" s="1"/>
  <c r="Y1278" i="67" s="1"/>
  <c r="AA180" i="65"/>
  <c r="AJ682" i="67" s="1"/>
  <c r="AJ1288" i="67" s="1"/>
  <c r="O176" i="65"/>
  <c r="X673" i="67" s="1"/>
  <c r="X1279" i="67" s="1"/>
  <c r="D180" i="65"/>
  <c r="M682" i="67" s="1"/>
  <c r="M1288" i="67" s="1"/>
  <c r="I180" i="65"/>
  <c r="R682" i="67" s="1"/>
  <c r="R1288" i="67" s="1"/>
  <c r="P176" i="65"/>
  <c r="Y673" i="67" s="1"/>
  <c r="Y1279" i="67" s="1"/>
  <c r="AI180" i="65"/>
  <c r="AR682" i="67" s="1"/>
  <c r="AR1288" i="67" s="1"/>
  <c r="S174" i="65"/>
  <c r="AB670" i="67" s="1"/>
  <c r="AB1276" i="67" s="1"/>
  <c r="R175" i="65"/>
  <c r="AA672" i="67" s="1"/>
  <c r="AA1278" i="67" s="1"/>
  <c r="AK70" i="70"/>
  <c r="R1016" i="67" s="1"/>
  <c r="J175" i="65"/>
  <c r="S672" i="67" s="1"/>
  <c r="S1278" i="67" s="1"/>
  <c r="Y175" i="65"/>
  <c r="AH672" i="67" s="1"/>
  <c r="AH1278" i="67" s="1"/>
  <c r="U174" i="65"/>
  <c r="AD670" i="67" s="1"/>
  <c r="AD1276" i="67" s="1"/>
  <c r="H174" i="65"/>
  <c r="Q670" i="67" s="1"/>
  <c r="Q1276" i="67" s="1"/>
  <c r="AB174" i="65"/>
  <c r="AK670" i="67" s="1"/>
  <c r="AK1276" i="67" s="1"/>
  <c r="AF70" i="70"/>
  <c r="M1140" i="67" s="1"/>
  <c r="Q174" i="65"/>
  <c r="Z670" i="67" s="1"/>
  <c r="Z1276" i="67" s="1"/>
  <c r="P180" i="65"/>
  <c r="Y682" i="67" s="1"/>
  <c r="Y1288" i="67" s="1"/>
  <c r="AD175" i="65"/>
  <c r="AM672" i="67" s="1"/>
  <c r="AM1278" i="67" s="1"/>
  <c r="U176" i="65"/>
  <c r="AD673" i="67" s="1"/>
  <c r="AD1279" i="67" s="1"/>
  <c r="F180" i="65"/>
  <c r="O682" i="67" s="1"/>
  <c r="O1288" i="67" s="1"/>
  <c r="H176" i="65"/>
  <c r="Q673" i="67" s="1"/>
  <c r="Q1279" i="67" s="1"/>
  <c r="AA176" i="65"/>
  <c r="AJ673" i="67" s="1"/>
  <c r="AJ1279" i="67" s="1"/>
  <c r="AH180" i="65"/>
  <c r="AQ682" i="67" s="1"/>
  <c r="AQ1288" i="67" s="1"/>
  <c r="AH176" i="65"/>
  <c r="AQ673" i="67" s="1"/>
  <c r="AQ1279" i="67" s="1"/>
  <c r="Q180" i="65"/>
  <c r="Z682" i="67" s="1"/>
  <c r="Z1288" i="67" s="1"/>
  <c r="V175" i="65"/>
  <c r="AE672" i="67" s="1"/>
  <c r="AE1278" i="67" s="1"/>
  <c r="I175" i="65"/>
  <c r="R672" i="67" s="1"/>
  <c r="R1278" i="67" s="1"/>
  <c r="G175" i="65"/>
  <c r="P672" i="67" s="1"/>
  <c r="P1278" i="67" s="1"/>
  <c r="BF70" i="70"/>
  <c r="AM1140" i="67" s="1"/>
  <c r="AE174" i="65"/>
  <c r="AN717" i="67" s="1"/>
  <c r="AN1323" i="67" s="1"/>
  <c r="E24" i="65"/>
  <c r="N9" i="67"/>
  <c r="N1225" i="67" s="1"/>
  <c r="D23" i="65"/>
  <c r="M7" i="67"/>
  <c r="M1223" i="67" s="1"/>
  <c r="T24" i="65"/>
  <c r="AC9" i="67"/>
  <c r="AC1225" i="67" s="1"/>
  <c r="AI24" i="65"/>
  <c r="AR9" i="67"/>
  <c r="AR1225" i="67" s="1"/>
  <c r="P23" i="65"/>
  <c r="Y7" i="67"/>
  <c r="Y1223" i="67" s="1"/>
  <c r="V23" i="65"/>
  <c r="AE7" i="67"/>
  <c r="AE1223" i="67" s="1"/>
  <c r="R23" i="65"/>
  <c r="AA7" i="67"/>
  <c r="AA1223" i="67" s="1"/>
  <c r="AD23" i="65"/>
  <c r="AM7" i="67"/>
  <c r="AM1223" i="67" s="1"/>
  <c r="W24" i="65"/>
  <c r="AF9" i="67"/>
  <c r="AF1225" i="67" s="1"/>
  <c r="AA23" i="65"/>
  <c r="AJ7" i="67"/>
  <c r="AJ1223" i="67" s="1"/>
  <c r="AM24" i="65"/>
  <c r="AV9" i="67"/>
  <c r="AV1225" i="67" s="1"/>
  <c r="J23" i="65"/>
  <c r="S7" i="67"/>
  <c r="S1223" i="67" s="1"/>
  <c r="F24" i="65"/>
  <c r="O9" i="67"/>
  <c r="O1225" i="67" s="1"/>
  <c r="N24" i="65"/>
  <c r="W9" i="67"/>
  <c r="W1225" i="67" s="1"/>
  <c r="X23" i="65"/>
  <c r="AG7" i="67"/>
  <c r="AG1223" i="67" s="1"/>
  <c r="K23" i="65"/>
  <c r="T7" i="67"/>
  <c r="T1223" i="67" s="1"/>
  <c r="AC24" i="65"/>
  <c r="AL9" i="67"/>
  <c r="AL1225" i="67" s="1"/>
  <c r="C23" i="65"/>
  <c r="L7" i="67"/>
  <c r="L1223" i="67" s="1"/>
  <c r="AF5" i="68" s="1"/>
  <c r="O24" i="65"/>
  <c r="X9" i="67"/>
  <c r="X1225" i="67" s="1"/>
  <c r="M23" i="65"/>
  <c r="V7" i="67"/>
  <c r="V1223" i="67" s="1"/>
  <c r="S1294" i="67"/>
  <c r="AI1293" i="67"/>
  <c r="AT1294" i="67"/>
  <c r="R1294" i="67"/>
  <c r="AS1277" i="67"/>
  <c r="Y1304" i="67"/>
  <c r="AJ1296" i="67"/>
  <c r="V1280" i="67"/>
  <c r="AN1293" i="67"/>
  <c r="BH12" i="68"/>
  <c r="P1294" i="67"/>
  <c r="R1224" i="67"/>
  <c r="AR1239" i="67"/>
  <c r="AX6" i="68"/>
  <c r="W8" i="62" s="1"/>
  <c r="AQ1293" i="67"/>
  <c r="Z1277" i="67"/>
  <c r="Q1295" i="67"/>
  <c r="O1304" i="67"/>
  <c r="AA1294" i="67"/>
  <c r="AH1304" i="67"/>
  <c r="M1304" i="67"/>
  <c r="R1304" i="67"/>
  <c r="AQ1277" i="67"/>
  <c r="AH1294" i="67"/>
  <c r="AR1304" i="67"/>
  <c r="AQ1304" i="67"/>
  <c r="AQ1295" i="67"/>
  <c r="AJ1304" i="67"/>
  <c r="AL1304" i="67"/>
  <c r="X1304" i="67"/>
  <c r="Y1296" i="67"/>
  <c r="AJ1295" i="67"/>
  <c r="AD1280" i="67"/>
  <c r="X1280" i="67"/>
  <c r="AJ1280" i="67"/>
  <c r="Y1295" i="67"/>
  <c r="AC1280" i="67"/>
  <c r="X1295" i="67"/>
  <c r="AC1296" i="67"/>
  <c r="X1296" i="67"/>
  <c r="V1295" i="67"/>
  <c r="AP1224" i="67"/>
  <c r="AN1277" i="67"/>
  <c r="AU1239" i="67"/>
  <c r="AI1277" i="67"/>
  <c r="V1224" i="67"/>
  <c r="Y1224" i="67"/>
  <c r="AG1294" i="67"/>
  <c r="Y1294" i="67"/>
  <c r="AC1239" i="67"/>
  <c r="AC1141" i="67"/>
  <c r="O1141" i="67"/>
  <c r="AE1124" i="67"/>
  <c r="R1124" i="67"/>
  <c r="AL1141" i="67"/>
  <c r="AJ1224" i="67"/>
  <c r="P1224" i="67"/>
  <c r="AU1225" i="67"/>
  <c r="Y1124" i="67"/>
  <c r="Y1256" i="67"/>
  <c r="AE1342" i="67"/>
  <c r="AJ1237" i="67"/>
  <c r="AV1257" i="67"/>
  <c r="R1256" i="67"/>
  <c r="R1342" i="67"/>
  <c r="AA1357" i="67"/>
  <c r="T1358" i="67"/>
  <c r="S1237" i="67"/>
  <c r="S1341" i="67"/>
  <c r="AU1359" i="67"/>
  <c r="AL1239" i="67"/>
  <c r="M1357" i="67"/>
  <c r="L1294" i="67"/>
  <c r="AG1357" i="67"/>
  <c r="AB1277" i="67"/>
  <c r="AK1277" i="67"/>
  <c r="L1237" i="67"/>
  <c r="AQ1292" i="67"/>
  <c r="AP1237" i="67"/>
  <c r="AE1237" i="67"/>
  <c r="AE1341" i="67"/>
  <c r="V1358" i="67"/>
  <c r="T1357" i="67"/>
  <c r="AI1324" i="67"/>
  <c r="AR1257" i="67"/>
  <c r="AF1359" i="67"/>
  <c r="N1239" i="67"/>
  <c r="M1256" i="67"/>
  <c r="AD1296" i="67"/>
  <c r="AC1295" i="67"/>
  <c r="L1256" i="67"/>
  <c r="AP1256" i="67"/>
  <c r="AP1342" i="67"/>
  <c r="W1239" i="67"/>
  <c r="W1343" i="67"/>
  <c r="V1237" i="67"/>
  <c r="AS1324" i="67"/>
  <c r="P1256" i="67"/>
  <c r="P1358" i="67"/>
  <c r="AM1357" i="67"/>
  <c r="AN1324" i="67"/>
  <c r="AD1295" i="67"/>
  <c r="AQ1296" i="67"/>
  <c r="Q1280" i="67"/>
  <c r="O1239" i="67"/>
  <c r="O1343" i="67"/>
  <c r="Y1237" i="67"/>
  <c r="AS1293" i="67"/>
  <c r="AJ1256" i="67"/>
  <c r="R1255" i="67"/>
  <c r="AA1256" i="67"/>
  <c r="S1358" i="67"/>
  <c r="AM1342" i="67"/>
  <c r="R1223" i="67"/>
  <c r="T1124" i="67"/>
  <c r="T1224" i="67"/>
  <c r="AE1224" i="67"/>
  <c r="X1141" i="67"/>
  <c r="AJ1124" i="67"/>
  <c r="S1140" i="67"/>
  <c r="S1124" i="67"/>
  <c r="N1141" i="67"/>
  <c r="L1140" i="67"/>
  <c r="AP1124" i="67"/>
  <c r="Y1358" i="67"/>
  <c r="AE1358" i="67"/>
  <c r="AO1292" i="67"/>
  <c r="AJ1357" i="67"/>
  <c r="AV1239" i="67"/>
  <c r="AA1237" i="67"/>
  <c r="AA1341" i="67"/>
  <c r="T1256" i="67"/>
  <c r="AU1343" i="67"/>
  <c r="AL1343" i="67"/>
  <c r="M1255" i="67"/>
  <c r="AG1237" i="67"/>
  <c r="L1357" i="67"/>
  <c r="AQ1320" i="67"/>
  <c r="AP1341" i="67"/>
  <c r="X1239" i="67"/>
  <c r="V1256" i="67"/>
  <c r="V1342" i="67"/>
  <c r="T1255" i="67"/>
  <c r="T1341" i="67"/>
  <c r="AI1292" i="67"/>
  <c r="AF1343" i="67"/>
  <c r="N1343" i="67"/>
  <c r="AW1324" i="67"/>
  <c r="Q1324" i="67"/>
  <c r="M1358" i="67"/>
  <c r="AO1304" i="67"/>
  <c r="AH1296" i="67"/>
  <c r="Y1280" i="67"/>
  <c r="AM1294" i="67"/>
  <c r="L1238" i="67"/>
  <c r="V1255" i="67"/>
  <c r="V1357" i="67"/>
  <c r="AW1277" i="67"/>
  <c r="AM1237" i="67"/>
  <c r="AM1341" i="67"/>
  <c r="AB1324" i="67"/>
  <c r="AA1304" i="67"/>
  <c r="AG1304" i="67"/>
  <c r="N1304" i="67"/>
  <c r="Y1341" i="67"/>
  <c r="AJ1238" i="67"/>
  <c r="R1237" i="67"/>
  <c r="AA1358" i="67"/>
  <c r="S1238" i="67"/>
  <c r="AC1257" i="67"/>
  <c r="W1141" i="67"/>
  <c r="AA1224" i="67"/>
  <c r="AR1141" i="67"/>
  <c r="AP1223" i="67"/>
  <c r="V1124" i="67"/>
  <c r="M1224" i="67"/>
  <c r="Y1238" i="67"/>
  <c r="Y1342" i="67"/>
  <c r="AE1238" i="67"/>
  <c r="V1294" i="67"/>
  <c r="AO1320" i="67"/>
  <c r="AJ1255" i="67"/>
  <c r="AJ1341" i="67"/>
  <c r="AV1359" i="67"/>
  <c r="R1238" i="67"/>
  <c r="AO1277" i="67"/>
  <c r="T1238" i="67"/>
  <c r="S1255" i="67"/>
  <c r="AL1359" i="67"/>
  <c r="M1341" i="67"/>
  <c r="AG1341" i="67"/>
  <c r="Q1277" i="67"/>
  <c r="L1255" i="67"/>
  <c r="L1341" i="67"/>
  <c r="AP1357" i="67"/>
  <c r="X1359" i="67"/>
  <c r="AE1255" i="67"/>
  <c r="AD1277" i="67"/>
  <c r="AI1320" i="67"/>
  <c r="AR1359" i="67"/>
  <c r="AF1257" i="67"/>
  <c r="N1359" i="67"/>
  <c r="M1238" i="67"/>
  <c r="M1342" i="67"/>
  <c r="AH1280" i="67"/>
  <c r="L1342" i="67"/>
  <c r="AP1238" i="67"/>
  <c r="W1257" i="67"/>
  <c r="AS1320" i="67"/>
  <c r="P1342" i="67"/>
  <c r="AD1292" i="67"/>
  <c r="AN1292" i="67"/>
  <c r="V1296" i="67"/>
  <c r="AQ1280" i="67"/>
  <c r="Z1304" i="67"/>
  <c r="AH1295" i="67"/>
  <c r="O1257" i="67"/>
  <c r="U1294" i="67"/>
  <c r="Y1255" i="67"/>
  <c r="AJ1342" i="67"/>
  <c r="R1341" i="67"/>
  <c r="AA1238" i="67"/>
  <c r="S1342" i="67"/>
  <c r="AC1359" i="67"/>
  <c r="AE1140" i="67"/>
  <c r="AA1124" i="67"/>
  <c r="AG1124" i="67"/>
  <c r="AJ1140" i="67"/>
  <c r="P1124" i="67"/>
  <c r="AU1141" i="67"/>
  <c r="AF1141" i="67"/>
  <c r="M1124" i="67"/>
  <c r="L1124" i="67"/>
  <c r="AP1140" i="67"/>
  <c r="AV1141" i="67"/>
  <c r="AM1124" i="67"/>
  <c r="AE1256" i="67"/>
  <c r="AV1343" i="67"/>
  <c r="R1358" i="67"/>
  <c r="AA1255" i="67"/>
  <c r="T1342" i="67"/>
  <c r="Z1292" i="67"/>
  <c r="S1357" i="67"/>
  <c r="AU1257" i="67"/>
  <c r="AL1257" i="67"/>
  <c r="M1237" i="67"/>
  <c r="AG1255" i="67"/>
  <c r="AQ1324" i="67"/>
  <c r="AP1255" i="67"/>
  <c r="X1257" i="67"/>
  <c r="X1343" i="67"/>
  <c r="AE1357" i="67"/>
  <c r="V1238" i="67"/>
  <c r="T1237" i="67"/>
  <c r="AR1343" i="67"/>
  <c r="AF1239" i="67"/>
  <c r="N1257" i="67"/>
  <c r="AW1292" i="67"/>
  <c r="Q1292" i="67"/>
  <c r="Q1296" i="67"/>
  <c r="AE1294" i="67"/>
  <c r="L1358" i="67"/>
  <c r="AP1358" i="67"/>
  <c r="W1359" i="67"/>
  <c r="V1341" i="67"/>
  <c r="AS1292" i="67"/>
  <c r="P1238" i="67"/>
  <c r="AM1255" i="67"/>
  <c r="AB1292" i="67"/>
  <c r="AK1292" i="67"/>
  <c r="AN1320" i="67"/>
  <c r="O1359" i="67"/>
  <c r="Y1357" i="67"/>
  <c r="AJ1358" i="67"/>
  <c r="R1357" i="67"/>
  <c r="AA1342" i="67"/>
  <c r="S1256" i="67"/>
  <c r="AC1343" i="67"/>
  <c r="BC5" i="68"/>
  <c r="AT5" i="68"/>
  <c r="BE5" i="68"/>
  <c r="AV5" i="68"/>
  <c r="I23" i="65"/>
  <c r="W1084" i="67"/>
  <c r="W1188" i="67"/>
  <c r="W1070" i="67"/>
  <c r="W1102" i="67"/>
  <c r="W1204" i="67"/>
  <c r="AP53" i="70"/>
  <c r="N125" i="65"/>
  <c r="N135" i="65" s="1"/>
  <c r="W465" i="67" s="1"/>
  <c r="N18" i="65"/>
  <c r="AP69" i="70"/>
  <c r="N74" i="65"/>
  <c r="N79" i="65" s="1"/>
  <c r="W313" i="67" s="1"/>
  <c r="AR1085" i="67"/>
  <c r="AR1189" i="67"/>
  <c r="AR1103" i="67"/>
  <c r="AR1205" i="67"/>
  <c r="BK54" i="70"/>
  <c r="AR973" i="67" s="1"/>
  <c r="AI197" i="65"/>
  <c r="AI198" i="65" s="1"/>
  <c r="AR1071" i="67"/>
  <c r="AI126" i="65"/>
  <c r="AI136" i="65" s="1"/>
  <c r="AR466" i="67" s="1"/>
  <c r="O1070" i="67"/>
  <c r="O1204" i="67"/>
  <c r="O1084" i="67"/>
  <c r="O1102" i="67"/>
  <c r="O1188" i="67"/>
  <c r="F18" i="65"/>
  <c r="AH69" i="70"/>
  <c r="F125" i="65"/>
  <c r="F135" i="65" s="1"/>
  <c r="O465" i="67" s="1"/>
  <c r="F74" i="65"/>
  <c r="F79" i="65" s="1"/>
  <c r="O313" i="67" s="1"/>
  <c r="AH53" i="70"/>
  <c r="U1188" i="67"/>
  <c r="L18" i="65"/>
  <c r="U7" i="67" s="1"/>
  <c r="L125" i="65"/>
  <c r="L135" i="65" s="1"/>
  <c r="U465" i="67" s="1"/>
  <c r="U1070" i="67"/>
  <c r="U1204" i="67"/>
  <c r="L74" i="65"/>
  <c r="L79" i="65" s="1"/>
  <c r="U313" i="67" s="1"/>
  <c r="AN69" i="70"/>
  <c r="U1084" i="67"/>
  <c r="AN53" i="70"/>
  <c r="U1102" i="67"/>
  <c r="X1071" i="67"/>
  <c r="X1205" i="67"/>
  <c r="X1085" i="67"/>
  <c r="AQ54" i="70"/>
  <c r="X973" i="67" s="1"/>
  <c r="X1103" i="67"/>
  <c r="O126" i="65"/>
  <c r="O136" i="65" s="1"/>
  <c r="X466" i="67" s="1"/>
  <c r="O197" i="65"/>
  <c r="O198" i="65" s="1"/>
  <c r="X1189" i="67"/>
  <c r="W1125" i="67"/>
  <c r="N163" i="65"/>
  <c r="AU1102" i="67"/>
  <c r="AU1188" i="67"/>
  <c r="AU1070" i="67"/>
  <c r="AU1204" i="67"/>
  <c r="AU1084" i="67"/>
  <c r="AL18" i="65"/>
  <c r="AU7" i="67" s="1"/>
  <c r="AL74" i="65"/>
  <c r="AL79" i="65" s="1"/>
  <c r="AU313" i="67" s="1"/>
  <c r="BN69" i="70"/>
  <c r="BN53" i="70"/>
  <c r="BN4" i="70"/>
  <c r="AL125" i="65"/>
  <c r="AL135" i="65" s="1"/>
  <c r="AU465" i="67" s="1"/>
  <c r="AF1102" i="67"/>
  <c r="AF1188" i="67"/>
  <c r="AF1204" i="67"/>
  <c r="AF1070" i="67"/>
  <c r="AF1084" i="67"/>
  <c r="W125" i="65"/>
  <c r="W135" i="65" s="1"/>
  <c r="AF465" i="67" s="1"/>
  <c r="AY69" i="70"/>
  <c r="AY53" i="70"/>
  <c r="W18" i="65"/>
  <c r="W74" i="65"/>
  <c r="W79" i="65" s="1"/>
  <c r="AF313" i="67" s="1"/>
  <c r="AL1125" i="67"/>
  <c r="AC163" i="65"/>
  <c r="N1085" i="67"/>
  <c r="N1103" i="67"/>
  <c r="N1189" i="67"/>
  <c r="N1071" i="67"/>
  <c r="N1205" i="67"/>
  <c r="E197" i="65"/>
  <c r="E198" i="65" s="1"/>
  <c r="AG54" i="70"/>
  <c r="N973" i="67" s="1"/>
  <c r="E126" i="65"/>
  <c r="E136" i="65" s="1"/>
  <c r="N466" i="67" s="1"/>
  <c r="Y1123" i="67"/>
  <c r="Y1166" i="67"/>
  <c r="Y1170" i="67"/>
  <c r="P162" i="65"/>
  <c r="AP1166" i="67"/>
  <c r="AP1123" i="67"/>
  <c r="AP1170" i="67"/>
  <c r="AG162" i="65"/>
  <c r="M1139" i="67"/>
  <c r="M1166" i="67"/>
  <c r="D162" i="65"/>
  <c r="M1170" i="67"/>
  <c r="M1123" i="67"/>
  <c r="AT1084" i="67"/>
  <c r="AT1102" i="67"/>
  <c r="AT1070" i="67"/>
  <c r="AT1204" i="67"/>
  <c r="BM69" i="70"/>
  <c r="AK74" i="65"/>
  <c r="AK79" i="65" s="1"/>
  <c r="AT313" i="67" s="1"/>
  <c r="BM4" i="70"/>
  <c r="BM53" i="70"/>
  <c r="AT1188" i="67"/>
  <c r="AK125" i="65"/>
  <c r="AK135" i="65" s="1"/>
  <c r="AT465" i="67" s="1"/>
  <c r="AK18" i="65"/>
  <c r="AV1125" i="67"/>
  <c r="AM163" i="65"/>
  <c r="V1139" i="67"/>
  <c r="P1139" i="67"/>
  <c r="P1167" i="67"/>
  <c r="AC1085" i="67"/>
  <c r="AC1205" i="67"/>
  <c r="AC1103" i="67"/>
  <c r="AV54" i="70"/>
  <c r="AC973" i="67" s="1"/>
  <c r="T197" i="65"/>
  <c r="T198" i="65" s="1"/>
  <c r="AC1189" i="67"/>
  <c r="T126" i="65"/>
  <c r="T136" i="65" s="1"/>
  <c r="AC466" i="67" s="1"/>
  <c r="AC1071" i="67"/>
  <c r="O1085" i="67"/>
  <c r="F126" i="65"/>
  <c r="F136" i="65" s="1"/>
  <c r="O466" i="67" s="1"/>
  <c r="AH54" i="70"/>
  <c r="O973" i="67" s="1"/>
  <c r="O1103" i="67"/>
  <c r="F197" i="65"/>
  <c r="F198" i="65" s="1"/>
  <c r="O1189" i="67"/>
  <c r="O1071" i="67"/>
  <c r="O1205" i="67"/>
  <c r="R1139" i="67"/>
  <c r="AL1102" i="67"/>
  <c r="AL1070" i="67"/>
  <c r="BE53" i="70"/>
  <c r="BE4" i="70"/>
  <c r="AL1084" i="67"/>
  <c r="BE69" i="70"/>
  <c r="AC125" i="65"/>
  <c r="AC135" i="65" s="1"/>
  <c r="AL465" i="67" s="1"/>
  <c r="AL1188" i="67"/>
  <c r="AL1204" i="67"/>
  <c r="AC74" i="65"/>
  <c r="AC79" i="65" s="1"/>
  <c r="AL313" i="67" s="1"/>
  <c r="AC18" i="65"/>
  <c r="AC1125" i="67"/>
  <c r="T163" i="65"/>
  <c r="X1084" i="67"/>
  <c r="X1204" i="67"/>
  <c r="O18" i="65"/>
  <c r="X7" i="67" s="1"/>
  <c r="X1188" i="67"/>
  <c r="X1102" i="67"/>
  <c r="AQ53" i="70"/>
  <c r="AQ69" i="70"/>
  <c r="X1070" i="67"/>
  <c r="O74" i="65"/>
  <c r="O79" i="65" s="1"/>
  <c r="X313" i="67" s="1"/>
  <c r="O125" i="65"/>
  <c r="O135" i="65" s="1"/>
  <c r="X465" i="67" s="1"/>
  <c r="AF1071" i="67"/>
  <c r="AF1205" i="67"/>
  <c r="AF1103" i="67"/>
  <c r="AF1085" i="67"/>
  <c r="W126" i="65"/>
  <c r="W136" i="65" s="1"/>
  <c r="AF466" i="67" s="1"/>
  <c r="AF1189" i="67"/>
  <c r="W197" i="65"/>
  <c r="W198" i="65" s="1"/>
  <c r="AY54" i="70"/>
  <c r="AF973" i="67" s="1"/>
  <c r="N1084" i="67"/>
  <c r="N1102" i="67"/>
  <c r="N1070" i="67"/>
  <c r="N1204" i="67"/>
  <c r="AG69" i="70"/>
  <c r="E18" i="65"/>
  <c r="N1188" i="67"/>
  <c r="E74" i="65"/>
  <c r="E79" i="65" s="1"/>
  <c r="N313" i="67" s="1"/>
  <c r="E125" i="65"/>
  <c r="E135" i="65" s="1"/>
  <c r="N465" i="67" s="1"/>
  <c r="AG53" i="70"/>
  <c r="L1139" i="67"/>
  <c r="L1171" i="67"/>
  <c r="L1167" i="67"/>
  <c r="AE1123" i="67"/>
  <c r="AE1166" i="67"/>
  <c r="AE1170" i="67"/>
  <c r="V162" i="65"/>
  <c r="AV1071" i="67"/>
  <c r="AV1205" i="67"/>
  <c r="AV1103" i="67"/>
  <c r="AV1085" i="67"/>
  <c r="AV1189" i="67"/>
  <c r="AM197" i="65"/>
  <c r="AM198" i="65" s="1"/>
  <c r="BO54" i="70"/>
  <c r="AV973" i="67" s="1"/>
  <c r="AM126" i="65"/>
  <c r="AM136" i="65" s="1"/>
  <c r="AV466" i="67" s="1"/>
  <c r="AM1123" i="67"/>
  <c r="AM1166" i="67"/>
  <c r="AM1170" i="67"/>
  <c r="AD162" i="65"/>
  <c r="AF1125" i="67"/>
  <c r="W163" i="65"/>
  <c r="AT1189" i="67"/>
  <c r="AT1103" i="67"/>
  <c r="AT1205" i="67"/>
  <c r="AK197" i="65"/>
  <c r="AK198" i="65" s="1"/>
  <c r="AT1071" i="67"/>
  <c r="BM54" i="70"/>
  <c r="AT973" i="67" s="1"/>
  <c r="AT1085" i="67"/>
  <c r="AK126" i="65"/>
  <c r="AK136" i="65" s="1"/>
  <c r="AT466" i="67" s="1"/>
  <c r="S1170" i="67"/>
  <c r="S1166" i="67"/>
  <c r="S1123" i="67"/>
  <c r="J162" i="65"/>
  <c r="P1170" i="67"/>
  <c r="BQ12" i="68"/>
  <c r="AP13" i="62" s="1"/>
  <c r="U1071" i="67"/>
  <c r="U1205" i="67"/>
  <c r="AN54" i="70"/>
  <c r="U973" i="67" s="1"/>
  <c r="U1103" i="67"/>
  <c r="L126" i="65"/>
  <c r="L136" i="65" s="1"/>
  <c r="U466" i="67" s="1"/>
  <c r="U1189" i="67"/>
  <c r="U1085" i="67"/>
  <c r="L197" i="65"/>
  <c r="L198" i="65" s="1"/>
  <c r="W1103" i="67"/>
  <c r="W1189" i="67"/>
  <c r="W1071" i="67"/>
  <c r="W1205" i="67"/>
  <c r="W1085" i="67"/>
  <c r="N197" i="65"/>
  <c r="N198" i="65" s="1"/>
  <c r="N126" i="65"/>
  <c r="N136" i="65" s="1"/>
  <c r="W466" i="67" s="1"/>
  <c r="AP54" i="70"/>
  <c r="W973" i="67" s="1"/>
  <c r="R1123" i="67"/>
  <c r="R1170" i="67"/>
  <c r="R1166" i="67"/>
  <c r="I162" i="65"/>
  <c r="AR1070" i="67"/>
  <c r="AR1204" i="67"/>
  <c r="AR1084" i="67"/>
  <c r="BK69" i="70"/>
  <c r="AI74" i="65"/>
  <c r="AI79" i="65" s="1"/>
  <c r="AR313" i="67" s="1"/>
  <c r="AR1102" i="67"/>
  <c r="AI125" i="65"/>
  <c r="AI135" i="65" s="1"/>
  <c r="AR465" i="67" s="1"/>
  <c r="AR1188" i="67"/>
  <c r="BK53" i="70"/>
  <c r="AI18" i="65"/>
  <c r="BK4" i="70"/>
  <c r="AL1085" i="67"/>
  <c r="AL1103" i="67"/>
  <c r="AL1189" i="67"/>
  <c r="AL1071" i="67"/>
  <c r="AL1205" i="67"/>
  <c r="AC197" i="65"/>
  <c r="AC198" i="65" s="1"/>
  <c r="AC126" i="65"/>
  <c r="AC136" i="65" s="1"/>
  <c r="AL466" i="67" s="1"/>
  <c r="BE54" i="70"/>
  <c r="AL973" i="67" s="1"/>
  <c r="O1125" i="67"/>
  <c r="F163" i="65"/>
  <c r="AH1084" i="67"/>
  <c r="Y125" i="65"/>
  <c r="Y135" i="65" s="1"/>
  <c r="AH465" i="67" s="1"/>
  <c r="AH1102" i="67"/>
  <c r="Y74" i="65"/>
  <c r="Y79" i="65" s="1"/>
  <c r="AH313" i="67" s="1"/>
  <c r="AH1188" i="67"/>
  <c r="BA69" i="70"/>
  <c r="Y18" i="65"/>
  <c r="AH1070" i="67"/>
  <c r="AH1204" i="67"/>
  <c r="BA53" i="70"/>
  <c r="BA4" i="70"/>
  <c r="Y1139" i="67"/>
  <c r="AP1139" i="67"/>
  <c r="AP1167" i="67"/>
  <c r="AP1171" i="67"/>
  <c r="AE1139" i="67"/>
  <c r="AE1167" i="67"/>
  <c r="AV1188" i="67"/>
  <c r="AV1070" i="67"/>
  <c r="AV1204" i="67"/>
  <c r="AV1102" i="67"/>
  <c r="AM18" i="65"/>
  <c r="AV7" i="67" s="1"/>
  <c r="BO4" i="70"/>
  <c r="BO53" i="70"/>
  <c r="AM125" i="65"/>
  <c r="AM135" i="65" s="1"/>
  <c r="AV465" i="67" s="1"/>
  <c r="AM74" i="65"/>
  <c r="AM79" i="65" s="1"/>
  <c r="AV313" i="67" s="1"/>
  <c r="BO69" i="70"/>
  <c r="AV1084" i="67"/>
  <c r="AA1170" i="67"/>
  <c r="AA1123" i="67"/>
  <c r="AA1166" i="67"/>
  <c r="R162" i="65"/>
  <c r="AM1139" i="67"/>
  <c r="AU1125" i="67"/>
  <c r="AL163" i="65"/>
  <c r="N1125" i="67"/>
  <c r="E163" i="65"/>
  <c r="AG1123" i="67"/>
  <c r="AG1166" i="67"/>
  <c r="X162" i="65"/>
  <c r="AG1170" i="67"/>
  <c r="AJ1139" i="67"/>
  <c r="AJ1167" i="67"/>
  <c r="AJ1171" i="67"/>
  <c r="S1139" i="67"/>
  <c r="AH1189" i="67"/>
  <c r="Y126" i="65"/>
  <c r="Y136" i="65" s="1"/>
  <c r="AH466" i="67" s="1"/>
  <c r="AH1071" i="67"/>
  <c r="AH1205" i="67"/>
  <c r="Y197" i="65"/>
  <c r="Y198" i="65" s="1"/>
  <c r="AH1085" i="67"/>
  <c r="BA54" i="70"/>
  <c r="AH973" i="67" s="1"/>
  <c r="AH1103" i="67"/>
  <c r="T1123" i="67"/>
  <c r="T1166" i="67"/>
  <c r="T1170" i="67"/>
  <c r="K162" i="65"/>
  <c r="T1139" i="67"/>
  <c r="T1167" i="67"/>
  <c r="AR1125" i="67"/>
  <c r="AI163" i="65"/>
  <c r="AU1071" i="67"/>
  <c r="AU1205" i="67"/>
  <c r="AU1103" i="67"/>
  <c r="AU1189" i="67"/>
  <c r="BN54" i="70"/>
  <c r="AU973" i="67" s="1"/>
  <c r="AL197" i="65"/>
  <c r="AL198" i="65" s="1"/>
  <c r="AU1085" i="67"/>
  <c r="AL126" i="65"/>
  <c r="AL136" i="65" s="1"/>
  <c r="AU466" i="67" s="1"/>
  <c r="L1170" i="67"/>
  <c r="L1123" i="67"/>
  <c r="C162" i="65"/>
  <c r="L1166" i="67"/>
  <c r="X1125" i="67"/>
  <c r="O163" i="65"/>
  <c r="AA1139" i="67"/>
  <c r="AG1167" i="67"/>
  <c r="AG1139" i="67"/>
  <c r="AJ1170" i="67"/>
  <c r="AJ1123" i="67"/>
  <c r="AJ1166" i="67"/>
  <c r="AA162" i="65"/>
  <c r="V1166" i="67"/>
  <c r="V1123" i="67"/>
  <c r="V1170" i="67"/>
  <c r="M162" i="65"/>
  <c r="AC1188" i="67"/>
  <c r="T18" i="65"/>
  <c r="AV69" i="70"/>
  <c r="AC1070" i="67"/>
  <c r="AC1204" i="67"/>
  <c r="T74" i="65"/>
  <c r="T79" i="65" s="1"/>
  <c r="AC313" i="67" s="1"/>
  <c r="AV53" i="70"/>
  <c r="AC1084" i="67"/>
  <c r="T125" i="65"/>
  <c r="T135" i="65" s="1"/>
  <c r="AC465" i="67" s="1"/>
  <c r="AC1102" i="67"/>
  <c r="AV70" i="70" l="1"/>
  <c r="BA70" i="70"/>
  <c r="AG1238" i="67"/>
  <c r="AG1256" i="67"/>
  <c r="AG1358" i="67"/>
  <c r="AI670" i="67"/>
  <c r="AI1276" i="67" s="1"/>
  <c r="Q1320" i="67"/>
  <c r="AH70" i="70"/>
  <c r="BH11" i="68"/>
  <c r="BH59" i="68" s="1"/>
  <c r="AG13" i="62"/>
  <c r="BE11" i="68"/>
  <c r="BE59" i="68" s="1"/>
  <c r="AD13" i="62"/>
  <c r="AF4" i="68"/>
  <c r="AF58" i="68" s="1"/>
  <c r="E7" i="62"/>
  <c r="BI11" i="68"/>
  <c r="BI59" i="68" s="1"/>
  <c r="BI71" i="68" s="1"/>
  <c r="AH13" i="62"/>
  <c r="BM4" i="68"/>
  <c r="BM58" i="68" s="1"/>
  <c r="AL7" i="62"/>
  <c r="AV4" i="68"/>
  <c r="AV58" i="68" s="1"/>
  <c r="U7" i="62"/>
  <c r="BC11" i="68"/>
  <c r="BC59" i="68" s="1"/>
  <c r="AB13" i="62"/>
  <c r="BE4" i="68"/>
  <c r="BE58" i="68" s="1"/>
  <c r="BE71" i="68" s="1"/>
  <c r="AD7" i="62"/>
  <c r="AK11" i="68"/>
  <c r="AK59" i="68" s="1"/>
  <c r="J13" i="62"/>
  <c r="AT4" i="68"/>
  <c r="AT58" i="68" s="1"/>
  <c r="S7" i="62"/>
  <c r="BH4" i="68"/>
  <c r="BH58" i="68" s="1"/>
  <c r="AG7" i="62"/>
  <c r="BC4" i="68"/>
  <c r="BC58" i="68" s="1"/>
  <c r="AB7" i="62"/>
  <c r="BM11" i="68"/>
  <c r="BM59" i="68" s="1"/>
  <c r="AL13" i="62"/>
  <c r="AV11" i="68"/>
  <c r="AV59" i="68" s="1"/>
  <c r="AV71" i="68" s="1"/>
  <c r="U13" i="62"/>
  <c r="AX11" i="68"/>
  <c r="AX59" i="68" s="1"/>
  <c r="W13" i="62"/>
  <c r="AD1020" i="67"/>
  <c r="AD1324" i="67" s="1"/>
  <c r="AD1320" i="67"/>
  <c r="M1167" i="67"/>
  <c r="AM1224" i="67"/>
  <c r="AD1140" i="67"/>
  <c r="AD1293" i="67" s="1"/>
  <c r="AA1167" i="67"/>
  <c r="AM1171" i="67"/>
  <c r="Y1171" i="67"/>
  <c r="AA1171" i="67"/>
  <c r="AM1167" i="67"/>
  <c r="Y1167" i="67"/>
  <c r="P1171" i="67"/>
  <c r="L838" i="67"/>
  <c r="AO1324" i="67"/>
  <c r="AG1171" i="67"/>
  <c r="AE1171" i="67"/>
  <c r="AG1140" i="67"/>
  <c r="AK1320" i="67"/>
  <c r="AT11" i="68"/>
  <c r="AT59" i="68" s="1"/>
  <c r="AM1019" i="67"/>
  <c r="AG1015" i="67"/>
  <c r="AM1015" i="67"/>
  <c r="AG1224" i="67"/>
  <c r="V989" i="67"/>
  <c r="V1016" i="67"/>
  <c r="M1171" i="67"/>
  <c r="P7" i="67"/>
  <c r="P1223" i="67" s="1"/>
  <c r="AJ5" i="68" s="1"/>
  <c r="V838" i="67"/>
  <c r="V1020" i="67"/>
  <c r="L1016" i="67"/>
  <c r="L1020" i="67"/>
  <c r="AO1293" i="67"/>
  <c r="BI47" i="68" s="1"/>
  <c r="BI56" i="68" s="1"/>
  <c r="AJ12" i="68"/>
  <c r="AX4" i="68"/>
  <c r="AX58" i="68" s="1"/>
  <c r="AX71" i="68" s="1"/>
  <c r="T1171" i="67"/>
  <c r="T1324" i="67" s="1"/>
  <c r="AW1293" i="67"/>
  <c r="AU12" i="68"/>
  <c r="R1140" i="67"/>
  <c r="V1171" i="67"/>
  <c r="V1324" i="67" s="1"/>
  <c r="P1166" i="67"/>
  <c r="V1167" i="67"/>
  <c r="O23" i="65"/>
  <c r="R1167" i="67"/>
  <c r="R1320" i="67" s="1"/>
  <c r="S1171" i="67"/>
  <c r="R1171" i="67"/>
  <c r="T1140" i="67"/>
  <c r="AA1140" i="67"/>
  <c r="BK11" i="68"/>
  <c r="BK59" i="68" s="1"/>
  <c r="BK4" i="68"/>
  <c r="BK58" i="68" s="1"/>
  <c r="AI713" i="67"/>
  <c r="AI1319" i="67" s="1"/>
  <c r="BC50" i="68" s="1"/>
  <c r="AN713" i="67"/>
  <c r="AN1319" i="67" s="1"/>
  <c r="BH50" i="68" s="1"/>
  <c r="AK717" i="67"/>
  <c r="AK1323" i="67" s="1"/>
  <c r="BE51" i="68" s="1"/>
  <c r="AB717" i="67"/>
  <c r="AB1323" i="67" s="1"/>
  <c r="AV51" i="68" s="1"/>
  <c r="AO713" i="67"/>
  <c r="AO1319" i="67" s="1"/>
  <c r="BI50" i="68" s="1"/>
  <c r="AW717" i="67"/>
  <c r="Z1293" i="67"/>
  <c r="AT47" i="68" s="1"/>
  <c r="AT56" i="68" s="1"/>
  <c r="W1224" i="67"/>
  <c r="Q1293" i="67"/>
  <c r="AK47" i="68" s="1"/>
  <c r="AK56" i="68" s="1"/>
  <c r="AB1293" i="67"/>
  <c r="AV47" i="68" s="1"/>
  <c r="AV56" i="68" s="1"/>
  <c r="AK1293" i="67"/>
  <c r="AL12" i="68"/>
  <c r="AR988" i="67"/>
  <c r="AH838" i="67"/>
  <c r="AH989" i="67"/>
  <c r="X972" i="67"/>
  <c r="X1019" i="67"/>
  <c r="X1015" i="67"/>
  <c r="O838" i="67"/>
  <c r="O989" i="67"/>
  <c r="AT988" i="67"/>
  <c r="AU988" i="67"/>
  <c r="U972" i="67"/>
  <c r="U1015" i="67"/>
  <c r="U1019" i="67"/>
  <c r="O988" i="67"/>
  <c r="O1020" i="67"/>
  <c r="O1016" i="67"/>
  <c r="W988" i="67"/>
  <c r="AM838" i="67"/>
  <c r="AM989" i="67"/>
  <c r="M838" i="67"/>
  <c r="M989" i="67"/>
  <c r="S838" i="67"/>
  <c r="S1293" i="67" s="1"/>
  <c r="S989" i="67"/>
  <c r="G162" i="65"/>
  <c r="G174" i="65" s="1"/>
  <c r="P670" i="67" s="1"/>
  <c r="P972" i="67"/>
  <c r="P1019" i="67"/>
  <c r="P1015" i="67"/>
  <c r="AM1020" i="67"/>
  <c r="AM1324" i="67" s="1"/>
  <c r="T1016" i="67"/>
  <c r="T1320" i="67" s="1"/>
  <c r="R1020" i="67"/>
  <c r="R1324" i="67" s="1"/>
  <c r="AV988" i="67"/>
  <c r="AH972" i="67"/>
  <c r="AH1019" i="67"/>
  <c r="AH1015" i="67"/>
  <c r="AH988" i="67"/>
  <c r="AH1016" i="67"/>
  <c r="AH1020" i="67"/>
  <c r="N988" i="67"/>
  <c r="AC972" i="67"/>
  <c r="AC1019" i="67"/>
  <c r="AC1015" i="67"/>
  <c r="AC988" i="67"/>
  <c r="AC1016" i="67"/>
  <c r="AC1020" i="67"/>
  <c r="AV972" i="67"/>
  <c r="AV1015" i="67"/>
  <c r="AV1019" i="67"/>
  <c r="AR972" i="67"/>
  <c r="AR1019" i="67"/>
  <c r="AR1015" i="67"/>
  <c r="N972" i="67"/>
  <c r="N1015" i="67"/>
  <c r="N1019" i="67"/>
  <c r="AC838" i="67"/>
  <c r="AC989" i="67"/>
  <c r="AT972" i="67"/>
  <c r="AT1019" i="67"/>
  <c r="AT1015" i="67"/>
  <c r="AF972" i="67"/>
  <c r="AF1019" i="67"/>
  <c r="AF1015" i="67"/>
  <c r="O972" i="67"/>
  <c r="O1015" i="67"/>
  <c r="O1019" i="67"/>
  <c r="Y838" i="67"/>
  <c r="Y989" i="67"/>
  <c r="P838" i="67"/>
  <c r="P989" i="67"/>
  <c r="S1016" i="67"/>
  <c r="S1320" i="67" s="1"/>
  <c r="AM1016" i="67"/>
  <c r="AM1320" i="67" s="1"/>
  <c r="M1020" i="67"/>
  <c r="Y1016" i="67"/>
  <c r="Y1320" i="67" s="1"/>
  <c r="AL972" i="67"/>
  <c r="AL1019" i="67"/>
  <c r="AL1015" i="67"/>
  <c r="AF988" i="67"/>
  <c r="U988" i="67"/>
  <c r="AA838" i="67"/>
  <c r="AA989" i="67"/>
  <c r="S1020" i="67"/>
  <c r="M1016" i="67"/>
  <c r="Y1020" i="67"/>
  <c r="Y1324" i="67" s="1"/>
  <c r="X988" i="67"/>
  <c r="AL988" i="67"/>
  <c r="AU972" i="67"/>
  <c r="AU1019" i="67"/>
  <c r="AU1015" i="67"/>
  <c r="W972" i="67"/>
  <c r="W1019" i="67"/>
  <c r="W1015" i="67"/>
  <c r="R838" i="67"/>
  <c r="R989" i="67"/>
  <c r="T838" i="67"/>
  <c r="T989" i="67"/>
  <c r="AG838" i="67"/>
  <c r="AG989" i="67"/>
  <c r="AE838" i="67"/>
  <c r="AE989" i="67"/>
  <c r="P988" i="67"/>
  <c r="P1020" i="67"/>
  <c r="P1324" i="67" s="1"/>
  <c r="P1016" i="67"/>
  <c r="AG1020" i="67"/>
  <c r="AE1016" i="67"/>
  <c r="AE1320" i="67" s="1"/>
  <c r="AA1020" i="67"/>
  <c r="BM45" i="68"/>
  <c r="BD12" i="68"/>
  <c r="BH47" i="68"/>
  <c r="BH56" i="68" s="1"/>
  <c r="AG12" i="68"/>
  <c r="BJ5" i="68"/>
  <c r="AK4" i="68"/>
  <c r="AK58" i="68" s="1"/>
  <c r="AK71" i="68" s="1"/>
  <c r="BC45" i="68"/>
  <c r="BC71" i="68"/>
  <c r="AM5" i="68"/>
  <c r="N1224" i="67"/>
  <c r="AP12" i="68"/>
  <c r="AV45" i="68"/>
  <c r="AN12" i="68"/>
  <c r="BG12" i="68"/>
  <c r="AY12" i="68"/>
  <c r="AM12" i="68"/>
  <c r="BC47" i="68"/>
  <c r="BC56" i="68" s="1"/>
  <c r="BE47" i="68"/>
  <c r="BE56" i="68" s="1"/>
  <c r="AF1224" i="67"/>
  <c r="BM47" i="68"/>
  <c r="BM56" i="68" s="1"/>
  <c r="BA12" i="68"/>
  <c r="AS12" i="68"/>
  <c r="U1224" i="67"/>
  <c r="AF12" i="68"/>
  <c r="BC51" i="68"/>
  <c r="BA5" i="68"/>
  <c r="AB713" i="67"/>
  <c r="AB1319" i="67" s="1"/>
  <c r="AV50" i="68" s="1"/>
  <c r="BE70" i="70"/>
  <c r="AL1016" i="67" s="1"/>
  <c r="AK713" i="67"/>
  <c r="AK1319" i="67" s="1"/>
  <c r="BE50" i="68" s="1"/>
  <c r="Q717" i="67"/>
  <c r="Q1323" i="67" s="1"/>
  <c r="AK51" i="68" s="1"/>
  <c r="AP70" i="70"/>
  <c r="AN70" i="70"/>
  <c r="U1020" i="67" s="1"/>
  <c r="BE45" i="68"/>
  <c r="BJ12" i="68"/>
  <c r="Q713" i="67"/>
  <c r="Q1319" i="67" s="1"/>
  <c r="AK50" i="68" s="1"/>
  <c r="AQ713" i="67"/>
  <c r="AQ1319" i="67" s="1"/>
  <c r="BK50" i="68" s="1"/>
  <c r="BN70" i="70"/>
  <c r="AU1140" i="67" s="1"/>
  <c r="AG70" i="70"/>
  <c r="N1016" i="67" s="1"/>
  <c r="AQ717" i="67"/>
  <c r="AQ1323" i="67" s="1"/>
  <c r="BK51" i="68" s="1"/>
  <c r="Z717" i="67"/>
  <c r="Z1323" i="67" s="1"/>
  <c r="AT51" i="68" s="1"/>
  <c r="BK47" i="68"/>
  <c r="BK56" i="68" s="1"/>
  <c r="BH51" i="68"/>
  <c r="AD713" i="67"/>
  <c r="AD1319" i="67" s="1"/>
  <c r="AX50" i="68" s="1"/>
  <c r="AW713" i="67"/>
  <c r="AT45" i="68"/>
  <c r="AX45" i="68"/>
  <c r="N1288" i="67"/>
  <c r="C174" i="65"/>
  <c r="L670" i="67" s="1"/>
  <c r="L1276" i="67" s="1"/>
  <c r="AI175" i="65"/>
  <c r="AR672" i="67" s="1"/>
  <c r="AR1278" i="67" s="1"/>
  <c r="T175" i="65"/>
  <c r="AC672" i="67" s="1"/>
  <c r="AC1278" i="67" s="1"/>
  <c r="P174" i="65"/>
  <c r="Y670" i="67" s="1"/>
  <c r="Y1276" i="67" s="1"/>
  <c r="N175" i="65"/>
  <c r="W672" i="67" s="1"/>
  <c r="W1278" i="67" s="1"/>
  <c r="AN670" i="67"/>
  <c r="AN1276" i="67" s="1"/>
  <c r="BH45" i="68" s="1"/>
  <c r="Z713" i="67"/>
  <c r="Z1319" i="67" s="1"/>
  <c r="AT50" i="68" s="1"/>
  <c r="AO682" i="67"/>
  <c r="AO1288" i="67" s="1"/>
  <c r="BI45" i="68" s="1"/>
  <c r="AS717" i="67"/>
  <c r="AS1323" i="67" s="1"/>
  <c r="BM51" i="68" s="1"/>
  <c r="O175" i="65"/>
  <c r="X672" i="67" s="1"/>
  <c r="X1278" i="67" s="1"/>
  <c r="K174" i="65"/>
  <c r="T717" i="67" s="1"/>
  <c r="T1323" i="67" s="1"/>
  <c r="X174" i="65"/>
  <c r="AG670" i="67" s="1"/>
  <c r="AG1276" i="67" s="1"/>
  <c r="R174" i="65"/>
  <c r="AA713" i="67" s="1"/>
  <c r="AA1319" i="67" s="1"/>
  <c r="BM70" i="70"/>
  <c r="AT1016" i="67" s="1"/>
  <c r="W175" i="65"/>
  <c r="AF672" i="67" s="1"/>
  <c r="AF1278" i="67" s="1"/>
  <c r="V174" i="65"/>
  <c r="AE670" i="67" s="1"/>
  <c r="AE1276" i="67" s="1"/>
  <c r="D174" i="65"/>
  <c r="M713" i="67" s="1"/>
  <c r="M1319" i="67" s="1"/>
  <c r="AC175" i="65"/>
  <c r="AL672" i="67" s="1"/>
  <c r="AL1278" i="67" s="1"/>
  <c r="BK70" i="70"/>
  <c r="AR1171" i="67" s="1"/>
  <c r="AD717" i="67"/>
  <c r="AD1323" i="67" s="1"/>
  <c r="AX51" i="68" s="1"/>
  <c r="AO717" i="67"/>
  <c r="AO1323" i="67" s="1"/>
  <c r="BI51" i="68" s="1"/>
  <c r="AS713" i="67"/>
  <c r="AS1319" i="67" s="1"/>
  <c r="BM50" i="68" s="1"/>
  <c r="M174" i="65"/>
  <c r="V713" i="67" s="1"/>
  <c r="V1319" i="67" s="1"/>
  <c r="AA174" i="65"/>
  <c r="AJ670" i="67" s="1"/>
  <c r="AJ1276" i="67" s="1"/>
  <c r="AL175" i="65"/>
  <c r="AU672" i="67" s="1"/>
  <c r="AU1278" i="67" s="1"/>
  <c r="J174" i="65"/>
  <c r="S670" i="67" s="1"/>
  <c r="S1276" i="67" s="1"/>
  <c r="E175" i="65"/>
  <c r="N672" i="67" s="1"/>
  <c r="AY70" i="70"/>
  <c r="AF1020" i="67" s="1"/>
  <c r="AQ70" i="70"/>
  <c r="X1020" i="67" s="1"/>
  <c r="F175" i="65"/>
  <c r="O672" i="67" s="1"/>
  <c r="O1278" i="67" s="1"/>
  <c r="I174" i="65"/>
  <c r="R670" i="67" s="1"/>
  <c r="R1276" i="67" s="1"/>
  <c r="AD174" i="65"/>
  <c r="AM670" i="67" s="1"/>
  <c r="AM1276" i="67" s="1"/>
  <c r="BO70" i="70"/>
  <c r="AV1020" i="67" s="1"/>
  <c r="AM175" i="65"/>
  <c r="AV672" i="67" s="1"/>
  <c r="AV1278" i="67" s="1"/>
  <c r="AG174" i="65"/>
  <c r="AP670" i="67" s="1"/>
  <c r="AP1276" i="67" s="1"/>
  <c r="Y23" i="65"/>
  <c r="AH7" i="67"/>
  <c r="AH1223" i="67" s="1"/>
  <c r="E23" i="65"/>
  <c r="N7" i="67"/>
  <c r="N1223" i="67" s="1"/>
  <c r="F23" i="65"/>
  <c r="O7" i="67"/>
  <c r="O1223" i="67" s="1"/>
  <c r="AI23" i="65"/>
  <c r="AR7" i="67"/>
  <c r="AR1223" i="67" s="1"/>
  <c r="W23" i="65"/>
  <c r="AF7" i="67"/>
  <c r="AF1223" i="67" s="1"/>
  <c r="AZ5" i="68" s="1"/>
  <c r="N23" i="65"/>
  <c r="W7" i="67"/>
  <c r="W1223" i="67" s="1"/>
  <c r="T23" i="65"/>
  <c r="AC7" i="67"/>
  <c r="AC1223" i="67" s="1"/>
  <c r="AC23" i="65"/>
  <c r="AL7" i="67"/>
  <c r="AL1223" i="67" s="1"/>
  <c r="AK23" i="65"/>
  <c r="AT7" i="67"/>
  <c r="AT1223" i="67" s="1"/>
  <c r="AA1277" i="67"/>
  <c r="T1277" i="67"/>
  <c r="AK45" i="68"/>
  <c r="AH1224" i="67"/>
  <c r="L1277" i="67"/>
  <c r="M1277" i="67"/>
  <c r="L1293" i="67"/>
  <c r="BK45" i="68"/>
  <c r="AU1224" i="67"/>
  <c r="AL1224" i="67"/>
  <c r="AX47" i="68"/>
  <c r="AX56" i="68" s="1"/>
  <c r="AR1294" i="67"/>
  <c r="AV1294" i="67"/>
  <c r="AJ1293" i="67"/>
  <c r="X1224" i="67"/>
  <c r="P1277" i="67"/>
  <c r="V1293" i="67"/>
  <c r="S1277" i="67"/>
  <c r="Y1277" i="67"/>
  <c r="N1294" i="67"/>
  <c r="AL1294" i="67"/>
  <c r="R1277" i="67"/>
  <c r="AE1277" i="67"/>
  <c r="AP1277" i="67"/>
  <c r="AM1277" i="67"/>
  <c r="AU1294" i="67"/>
  <c r="X1294" i="67"/>
  <c r="AC1294" i="67"/>
  <c r="AU1124" i="67"/>
  <c r="AH1124" i="67"/>
  <c r="AV1223" i="67"/>
  <c r="AL1140" i="67"/>
  <c r="W1124" i="67"/>
  <c r="AT1224" i="67"/>
  <c r="AV1124" i="67"/>
  <c r="X1223" i="67"/>
  <c r="O1140" i="67"/>
  <c r="N1124" i="67"/>
  <c r="AU1223" i="67"/>
  <c r="AR1224" i="67"/>
  <c r="AJ1320" i="67"/>
  <c r="AT1238" i="67"/>
  <c r="AV1237" i="67"/>
  <c r="AF1357" i="67"/>
  <c r="AU1256" i="67"/>
  <c r="X1256" i="67"/>
  <c r="X1358" i="67"/>
  <c r="AT1341" i="67"/>
  <c r="AA1292" i="67"/>
  <c r="AV1256" i="67"/>
  <c r="AV1358" i="67"/>
  <c r="AH1256" i="67"/>
  <c r="AH1342" i="67"/>
  <c r="AC1237" i="67"/>
  <c r="L1324" i="67"/>
  <c r="N1237" i="67"/>
  <c r="T1292" i="67"/>
  <c r="AH1341" i="67"/>
  <c r="U1237" i="67"/>
  <c r="AR1358" i="67"/>
  <c r="O1256" i="67"/>
  <c r="W1342" i="67"/>
  <c r="AL1341" i="67"/>
  <c r="AG1320" i="67"/>
  <c r="AM1292" i="67"/>
  <c r="N1358" i="67"/>
  <c r="AF1256" i="67"/>
  <c r="AF1358" i="67"/>
  <c r="AU1357" i="67"/>
  <c r="X1255" i="67"/>
  <c r="X1341" i="67"/>
  <c r="U1256" i="67"/>
  <c r="O1237" i="67"/>
  <c r="O1341" i="67"/>
  <c r="AL1124" i="67"/>
  <c r="W1140" i="67"/>
  <c r="U1140" i="67"/>
  <c r="AC1140" i="67"/>
  <c r="X1124" i="67"/>
  <c r="P1292" i="67"/>
  <c r="AJ1324" i="67"/>
  <c r="AT1358" i="67"/>
  <c r="AF1294" i="67"/>
  <c r="AV1357" i="67"/>
  <c r="AF1255" i="67"/>
  <c r="AF1341" i="67"/>
  <c r="AU1342" i="67"/>
  <c r="AC1256" i="67"/>
  <c r="AT1237" i="67"/>
  <c r="AA1320" i="67"/>
  <c r="AE1324" i="67"/>
  <c r="AP1324" i="67"/>
  <c r="AC1255" i="67"/>
  <c r="N1255" i="67"/>
  <c r="N1357" i="67"/>
  <c r="AH1357" i="67"/>
  <c r="U1255" i="67"/>
  <c r="AR1256" i="67"/>
  <c r="R1292" i="67"/>
  <c r="O1342" i="67"/>
  <c r="W1255" i="67"/>
  <c r="W1358" i="67"/>
  <c r="AL1237" i="67"/>
  <c r="N1256" i="67"/>
  <c r="N1342" i="67"/>
  <c r="AU1237" i="67"/>
  <c r="AU1341" i="67"/>
  <c r="O1294" i="67"/>
  <c r="U1358" i="67"/>
  <c r="AR1237" i="67"/>
  <c r="AL1238" i="67"/>
  <c r="AT1124" i="67"/>
  <c r="AF1124" i="67"/>
  <c r="O1124" i="67"/>
  <c r="AC1124" i="67"/>
  <c r="N1140" i="67"/>
  <c r="P1320" i="67"/>
  <c r="AT1256" i="67"/>
  <c r="AT1342" i="67"/>
  <c r="AV1255" i="67"/>
  <c r="AV1341" i="67"/>
  <c r="AG1277" i="67"/>
  <c r="AU1358" i="67"/>
  <c r="X1342" i="67"/>
  <c r="AC1358" i="67"/>
  <c r="AT1255" i="67"/>
  <c r="AT1357" i="67"/>
  <c r="V1277" i="67"/>
  <c r="AV1342" i="67"/>
  <c r="AE1292" i="67"/>
  <c r="AP1320" i="67"/>
  <c r="W1294" i="67"/>
  <c r="AH1238" i="67"/>
  <c r="AC1341" i="67"/>
  <c r="M1292" i="67"/>
  <c r="L1292" i="67"/>
  <c r="AH1255" i="67"/>
  <c r="U1341" i="67"/>
  <c r="AR1238" i="67"/>
  <c r="O1238" i="67"/>
  <c r="W1357" i="67"/>
  <c r="W1238" i="67"/>
  <c r="AL1255" i="67"/>
  <c r="AL1357" i="67"/>
  <c r="V1320" i="67"/>
  <c r="AF1342" i="67"/>
  <c r="X1237" i="67"/>
  <c r="U1238" i="67"/>
  <c r="U1342" i="67"/>
  <c r="AR1357" i="67"/>
  <c r="O1255" i="67"/>
  <c r="AL1358" i="67"/>
  <c r="AH1140" i="67"/>
  <c r="U1124" i="67"/>
  <c r="AV1224" i="67"/>
  <c r="O1224" i="67"/>
  <c r="AC1224" i="67"/>
  <c r="U1223" i="67"/>
  <c r="AR1140" i="67"/>
  <c r="AR1124" i="67"/>
  <c r="AJ1292" i="67"/>
  <c r="AP1293" i="67"/>
  <c r="Y1292" i="67"/>
  <c r="AF1237" i="67"/>
  <c r="AU1238" i="67"/>
  <c r="X1238" i="67"/>
  <c r="AC1238" i="67"/>
  <c r="AC1342" i="67"/>
  <c r="S1292" i="67"/>
  <c r="AV1238" i="67"/>
  <c r="AP1292" i="67"/>
  <c r="AH1358" i="67"/>
  <c r="AC1357" i="67"/>
  <c r="AJ1277" i="67"/>
  <c r="L1320" i="67"/>
  <c r="N1341" i="67"/>
  <c r="AH1237" i="67"/>
  <c r="U1357" i="67"/>
  <c r="AR1342" i="67"/>
  <c r="O1358" i="67"/>
  <c r="W1237" i="67"/>
  <c r="W1341" i="67"/>
  <c r="W1256" i="67"/>
  <c r="V1292" i="67"/>
  <c r="AG1292" i="67"/>
  <c r="N1238" i="67"/>
  <c r="AF1238" i="67"/>
  <c r="AU1255" i="67"/>
  <c r="X1357" i="67"/>
  <c r="AR1255" i="67"/>
  <c r="AR1341" i="67"/>
  <c r="O1357" i="67"/>
  <c r="AL1256" i="67"/>
  <c r="AL1342" i="67"/>
  <c r="AT71" i="68"/>
  <c r="AN5" i="68"/>
  <c r="AS5" i="68"/>
  <c r="AU5" i="68"/>
  <c r="AY5" i="68"/>
  <c r="AL5" i="68"/>
  <c r="BD5" i="68"/>
  <c r="AG5" i="68"/>
  <c r="AP5" i="68"/>
  <c r="AM23" i="65"/>
  <c r="AL23" i="65"/>
  <c r="AC1171" i="67"/>
  <c r="AC1139" i="67"/>
  <c r="AC1167" i="67"/>
  <c r="AR1123" i="67"/>
  <c r="AR1170" i="67"/>
  <c r="AI162" i="65"/>
  <c r="AR1166" i="67"/>
  <c r="N1123" i="67"/>
  <c r="E162" i="65"/>
  <c r="N1170" i="67"/>
  <c r="N1166" i="67"/>
  <c r="X1123" i="67"/>
  <c r="X1170" i="67"/>
  <c r="X1166" i="67"/>
  <c r="O162" i="65"/>
  <c r="AL1170" i="67"/>
  <c r="AL1166" i="67"/>
  <c r="AL1123" i="67"/>
  <c r="AC162" i="65"/>
  <c r="AT1139" i="67"/>
  <c r="AF1139" i="67"/>
  <c r="U1167" i="67"/>
  <c r="U1171" i="67"/>
  <c r="U1139" i="67"/>
  <c r="W1167" i="67"/>
  <c r="W1171" i="67"/>
  <c r="W1139" i="67"/>
  <c r="BQ47" i="68"/>
  <c r="AR1139" i="67"/>
  <c r="AR1167" i="67"/>
  <c r="BQ11" i="68"/>
  <c r="N1139" i="67"/>
  <c r="N1167" i="67"/>
  <c r="N1171" i="67"/>
  <c r="AL1171" i="67"/>
  <c r="AL1139" i="67"/>
  <c r="AL1167" i="67"/>
  <c r="AT1123" i="67"/>
  <c r="AT1170" i="67"/>
  <c r="AT1166" i="67"/>
  <c r="AK162" i="65"/>
  <c r="AU1170" i="67"/>
  <c r="AU1166" i="67"/>
  <c r="AU1123" i="67"/>
  <c r="AL162" i="65"/>
  <c r="L23" i="65"/>
  <c r="BQ45" i="68"/>
  <c r="AV1166" i="67"/>
  <c r="AM162" i="65"/>
  <c r="AV1170" i="67"/>
  <c r="AV1123" i="67"/>
  <c r="AH1166" i="67"/>
  <c r="AH1123" i="67"/>
  <c r="AH1170" i="67"/>
  <c r="Y162" i="65"/>
  <c r="AH1139" i="67"/>
  <c r="AH1167" i="67"/>
  <c r="AH1171" i="67"/>
  <c r="BQ4" i="68"/>
  <c r="BQ58" i="68" s="1"/>
  <c r="BG5" i="68"/>
  <c r="AU1139" i="67"/>
  <c r="AU1167" i="67"/>
  <c r="U1166" i="67"/>
  <c r="U1170" i="67"/>
  <c r="L162" i="65"/>
  <c r="U1123" i="67"/>
  <c r="O1166" i="67"/>
  <c r="O1170" i="67"/>
  <c r="O1123" i="67"/>
  <c r="F162" i="65"/>
  <c r="O1167" i="67"/>
  <c r="O1171" i="67"/>
  <c r="O1139" i="67"/>
  <c r="AC1166" i="67"/>
  <c r="AC1170" i="67"/>
  <c r="AC1123" i="67"/>
  <c r="T162" i="65"/>
  <c r="AV1139" i="67"/>
  <c r="X1139" i="67"/>
  <c r="AF1170" i="67"/>
  <c r="AF1166" i="67"/>
  <c r="AF1123" i="67"/>
  <c r="W162" i="65"/>
  <c r="N162" i="65"/>
  <c r="N174" i="65" s="1"/>
  <c r="W670" i="67" s="1"/>
  <c r="W1123" i="67"/>
  <c r="W1166" i="67"/>
  <c r="W1170" i="67"/>
  <c r="AA1324" i="67" l="1"/>
  <c r="BH71" i="68"/>
  <c r="BM71" i="68"/>
  <c r="M1324" i="67"/>
  <c r="M1320" i="67"/>
  <c r="AG1324" i="67"/>
  <c r="AG4" i="68"/>
  <c r="AG58" i="68" s="1"/>
  <c r="F7" i="62"/>
  <c r="AM11" i="68"/>
  <c r="AM59" i="68" s="1"/>
  <c r="L13" i="62"/>
  <c r="AG11" i="68"/>
  <c r="AG59" i="68" s="1"/>
  <c r="AG71" i="68" s="1"/>
  <c r="F13" i="62"/>
  <c r="AL11" i="68"/>
  <c r="AL59" i="68" s="1"/>
  <c r="K13" i="62"/>
  <c r="AY11" i="68"/>
  <c r="AY59" i="68" s="1"/>
  <c r="X13" i="62"/>
  <c r="AJ4" i="68"/>
  <c r="AJ58" i="68" s="1"/>
  <c r="I7" i="62"/>
  <c r="AL4" i="68"/>
  <c r="AL58" i="68" s="1"/>
  <c r="K7" i="62"/>
  <c r="BA4" i="68"/>
  <c r="BA58" i="68" s="1"/>
  <c r="Z7" i="62"/>
  <c r="BG11" i="68"/>
  <c r="BG59" i="68" s="1"/>
  <c r="BG71" i="68" s="1"/>
  <c r="AF13" i="62"/>
  <c r="BD11" i="68"/>
  <c r="BD59" i="68" s="1"/>
  <c r="AC13" i="62"/>
  <c r="AU11" i="68"/>
  <c r="AU59" i="68" s="1"/>
  <c r="T13" i="62"/>
  <c r="AY4" i="68"/>
  <c r="AY58" i="68" s="1"/>
  <c r="X7" i="62"/>
  <c r="AN11" i="68"/>
  <c r="AN59" i="68" s="1"/>
  <c r="M13" i="62"/>
  <c r="AF11" i="68"/>
  <c r="AF59" i="68" s="1"/>
  <c r="AF71" i="68" s="1"/>
  <c r="E13" i="62"/>
  <c r="AU4" i="68"/>
  <c r="AU58" i="68" s="1"/>
  <c r="T7" i="62"/>
  <c r="AS4" i="68"/>
  <c r="AS58" i="68" s="1"/>
  <c r="R7" i="62"/>
  <c r="AP11" i="68"/>
  <c r="AP59" i="68" s="1"/>
  <c r="O13" i="62"/>
  <c r="BD4" i="68"/>
  <c r="BD58" i="68" s="1"/>
  <c r="AC7" i="62"/>
  <c r="AN4" i="68"/>
  <c r="AN58" i="68" s="1"/>
  <c r="M7" i="62"/>
  <c r="BJ11" i="68"/>
  <c r="BJ59" i="68" s="1"/>
  <c r="AI13" i="62"/>
  <c r="AS11" i="68"/>
  <c r="AS59" i="68" s="1"/>
  <c r="AS71" i="68" s="1"/>
  <c r="R13" i="62"/>
  <c r="BA11" i="68"/>
  <c r="BA59" i="68" s="1"/>
  <c r="Z13" i="62"/>
  <c r="AM4" i="68"/>
  <c r="AM58" i="68" s="1"/>
  <c r="L7" i="62"/>
  <c r="AJ11" i="68"/>
  <c r="AJ59" i="68" s="1"/>
  <c r="I13" i="62"/>
  <c r="AZ4" i="68"/>
  <c r="AZ58" i="68" s="1"/>
  <c r="Y7" i="62"/>
  <c r="BG4" i="68"/>
  <c r="BG58" i="68" s="1"/>
  <c r="AF7" i="62"/>
  <c r="AP4" i="68"/>
  <c r="AP58" i="68" s="1"/>
  <c r="AP71" i="68" s="1"/>
  <c r="O7" i="62"/>
  <c r="BJ4" i="68"/>
  <c r="BJ58" i="68" s="1"/>
  <c r="AI7" i="62"/>
  <c r="AT1167" i="67"/>
  <c r="AT1320" i="67" s="1"/>
  <c r="AU1171" i="67"/>
  <c r="AV1167" i="67"/>
  <c r="AT1171" i="67"/>
  <c r="AT1140" i="67"/>
  <c r="X1167" i="67"/>
  <c r="X1171" i="67"/>
  <c r="AV1171" i="67"/>
  <c r="S1324" i="67"/>
  <c r="AS45" i="68"/>
  <c r="X1140" i="67"/>
  <c r="AW1323" i="67"/>
  <c r="BI43" i="68"/>
  <c r="AE1293" i="67"/>
  <c r="AY47" i="68" s="1"/>
  <c r="AY56" i="68" s="1"/>
  <c r="BK71" i="68"/>
  <c r="AQ5" i="68"/>
  <c r="P1276" i="67"/>
  <c r="AJ45" i="68" s="1"/>
  <c r="M1293" i="67"/>
  <c r="AG47" i="68" s="1"/>
  <c r="AG56" i="68" s="1"/>
  <c r="AO5" i="68"/>
  <c r="T1293" i="67"/>
  <c r="AA1293" i="67"/>
  <c r="AU47" i="68" s="1"/>
  <c r="AU56" i="68" s="1"/>
  <c r="Y1293" i="67"/>
  <c r="AS47" i="68" s="1"/>
  <c r="AS56" i="68" s="1"/>
  <c r="AM1293" i="67"/>
  <c r="AF1171" i="67"/>
  <c r="AF1324" i="67" s="1"/>
  <c r="AF1167" i="67"/>
  <c r="BH43" i="68"/>
  <c r="AG1293" i="67"/>
  <c r="BA47" i="68" s="1"/>
  <c r="BA56" i="68" s="1"/>
  <c r="R1293" i="67"/>
  <c r="P1293" i="67"/>
  <c r="AM713" i="67"/>
  <c r="AM1319" i="67" s="1"/>
  <c r="L717" i="67"/>
  <c r="L1323" i="67" s="1"/>
  <c r="AF51" i="68" s="1"/>
  <c r="AA670" i="67"/>
  <c r="AA1276" i="67" s="1"/>
  <c r="AU45" i="68" s="1"/>
  <c r="V717" i="67"/>
  <c r="V1323" i="67" s="1"/>
  <c r="AP51" i="68" s="1"/>
  <c r="AV43" i="68"/>
  <c r="BE43" i="68"/>
  <c r="AU838" i="67"/>
  <c r="AU989" i="67"/>
  <c r="W838" i="67"/>
  <c r="W989" i="67"/>
  <c r="AL1020" i="67"/>
  <c r="W1016" i="67"/>
  <c r="W1320" i="67" s="1"/>
  <c r="AU1016" i="67"/>
  <c r="AU1320" i="67" s="1"/>
  <c r="AV838" i="67"/>
  <c r="AV989" i="67"/>
  <c r="AR838" i="67"/>
  <c r="AR989" i="67"/>
  <c r="AU1020" i="67"/>
  <c r="AR1020" i="67"/>
  <c r="X838" i="67"/>
  <c r="X989" i="67"/>
  <c r="AT838" i="67"/>
  <c r="AT989" i="67"/>
  <c r="AR1016" i="67"/>
  <c r="AF838" i="67"/>
  <c r="AF989" i="67"/>
  <c r="N838" i="67"/>
  <c r="N1293" i="67" s="1"/>
  <c r="N989" i="67"/>
  <c r="U838" i="67"/>
  <c r="U989" i="67"/>
  <c r="AL838" i="67"/>
  <c r="AL989" i="67"/>
  <c r="X1016" i="67"/>
  <c r="U1016" i="67"/>
  <c r="U1320" i="67" s="1"/>
  <c r="AF1016" i="67"/>
  <c r="N1020" i="67"/>
  <c r="AV1016" i="67"/>
  <c r="AV1320" i="67" s="1"/>
  <c r="W1020" i="67"/>
  <c r="AT1020" i="67"/>
  <c r="AT1324" i="67" s="1"/>
  <c r="AF45" i="68"/>
  <c r="AT43" i="68"/>
  <c r="AQ12" i="68"/>
  <c r="BO12" i="68"/>
  <c r="AV49" i="68"/>
  <c r="BC43" i="68"/>
  <c r="AN71" i="68"/>
  <c r="BM43" i="68"/>
  <c r="AO12" i="68"/>
  <c r="BC49" i="68"/>
  <c r="AW12" i="68"/>
  <c r="AZ12" i="68"/>
  <c r="AI12" i="68"/>
  <c r="AT49" i="68"/>
  <c r="BA71" i="68"/>
  <c r="BE49" i="68"/>
  <c r="AX49" i="68"/>
  <c r="BB12" i="68"/>
  <c r="BF12" i="68"/>
  <c r="BD47" i="68"/>
  <c r="BD56" i="68" s="1"/>
  <c r="AF47" i="68"/>
  <c r="AF56" i="68" s="1"/>
  <c r="AM45" i="68"/>
  <c r="BH49" i="68"/>
  <c r="AP47" i="68"/>
  <c r="AP56" i="68" s="1"/>
  <c r="BO5" i="68"/>
  <c r="BK49" i="68"/>
  <c r="AL47" i="68"/>
  <c r="AL56" i="68" s="1"/>
  <c r="AM47" i="68"/>
  <c r="AM56" i="68" s="1"/>
  <c r="BA45" i="68"/>
  <c r="BF5" i="68"/>
  <c r="BK43" i="68"/>
  <c r="AK49" i="68"/>
  <c r="AH5" i="68"/>
  <c r="AR12" i="68"/>
  <c r="BN5" i="68"/>
  <c r="AY45" i="68"/>
  <c r="BL12" i="68"/>
  <c r="BJ45" i="68"/>
  <c r="BG50" i="68"/>
  <c r="AF1140" i="67"/>
  <c r="BN12" i="68"/>
  <c r="AL45" i="68"/>
  <c r="AW5" i="68"/>
  <c r="BG45" i="68"/>
  <c r="BD45" i="68"/>
  <c r="P713" i="67"/>
  <c r="P1319" i="67" s="1"/>
  <c r="AJ50" i="68" s="1"/>
  <c r="AH12" i="68"/>
  <c r="R717" i="67"/>
  <c r="R1323" i="67" s="1"/>
  <c r="AL51" i="68" s="1"/>
  <c r="V670" i="67"/>
  <c r="V1276" i="67" s="1"/>
  <c r="AP45" i="68" s="1"/>
  <c r="Y717" i="67"/>
  <c r="Y1323" i="67" s="1"/>
  <c r="AS51" i="68" s="1"/>
  <c r="BP12" i="68"/>
  <c r="BI49" i="68"/>
  <c r="AV1140" i="67"/>
  <c r="BM49" i="68"/>
  <c r="AM717" i="67"/>
  <c r="AM1323" i="67" s="1"/>
  <c r="BG51" i="68" s="1"/>
  <c r="AU50" i="68"/>
  <c r="R713" i="67"/>
  <c r="R1319" i="67" s="1"/>
  <c r="AL50" i="68" s="1"/>
  <c r="AJ717" i="67"/>
  <c r="AJ1323" i="67" s="1"/>
  <c r="BD51" i="68" s="1"/>
  <c r="M670" i="67"/>
  <c r="M1276" i="67" s="1"/>
  <c r="AG45" i="68" s="1"/>
  <c r="Y713" i="67"/>
  <c r="Y1319" i="67" s="1"/>
  <c r="AS50" i="68" s="1"/>
  <c r="AW1319" i="67"/>
  <c r="AG50" i="68"/>
  <c r="AN51" i="68"/>
  <c r="L713" i="67"/>
  <c r="L1319" i="67" s="1"/>
  <c r="AF50" i="68" s="1"/>
  <c r="N1278" i="67"/>
  <c r="W717" i="67"/>
  <c r="W1323" i="67" s="1"/>
  <c r="W713" i="67"/>
  <c r="W1319" i="67" s="1"/>
  <c r="W174" i="65"/>
  <c r="AF670" i="67" s="1"/>
  <c r="AF1276" i="67" s="1"/>
  <c r="T174" i="65"/>
  <c r="AC670" i="67" s="1"/>
  <c r="AC1276" i="67" s="1"/>
  <c r="F174" i="65"/>
  <c r="O713" i="67" s="1"/>
  <c r="O1319" i="67" s="1"/>
  <c r="AC174" i="65"/>
  <c r="AL670" i="67" s="1"/>
  <c r="AL1276" i="67" s="1"/>
  <c r="O174" i="65"/>
  <c r="X670" i="67" s="1"/>
  <c r="X1276" i="67" s="1"/>
  <c r="S713" i="67"/>
  <c r="S1319" i="67" s="1"/>
  <c r="AM50" i="68" s="1"/>
  <c r="AE713" i="67"/>
  <c r="AE1319" i="67" s="1"/>
  <c r="AY50" i="68" s="1"/>
  <c r="AG713" i="67"/>
  <c r="AG1319" i="67" s="1"/>
  <c r="BA50" i="68" s="1"/>
  <c r="T713" i="67"/>
  <c r="T1319" i="67" s="1"/>
  <c r="AN50" i="68" s="1"/>
  <c r="AM174" i="65"/>
  <c r="AV670" i="67" s="1"/>
  <c r="AV1276" i="67" s="1"/>
  <c r="AK174" i="65"/>
  <c r="AT670" i="67" s="1"/>
  <c r="AT1276" i="67" s="1"/>
  <c r="L174" i="65"/>
  <c r="U670" i="67" s="1"/>
  <c r="U1276" i="67" s="1"/>
  <c r="E174" i="65"/>
  <c r="N670" i="67" s="1"/>
  <c r="AI5" i="68"/>
  <c r="AP717" i="67"/>
  <c r="AP1323" i="67" s="1"/>
  <c r="BJ51" i="68" s="1"/>
  <c r="AJ713" i="67"/>
  <c r="AJ1319" i="67" s="1"/>
  <c r="BD50" i="68" s="1"/>
  <c r="M717" i="67"/>
  <c r="M1323" i="67" s="1"/>
  <c r="AG51" i="68" s="1"/>
  <c r="P717" i="67"/>
  <c r="P1323" i="67" s="1"/>
  <c r="AJ51" i="68" s="1"/>
  <c r="AA717" i="67"/>
  <c r="AA1323" i="67" s="1"/>
  <c r="AU51" i="68" s="1"/>
  <c r="T670" i="67"/>
  <c r="T1276" i="67" s="1"/>
  <c r="AN45" i="68" s="1"/>
  <c r="Y174" i="65"/>
  <c r="AH670" i="67" s="1"/>
  <c r="AH1276" i="67" s="1"/>
  <c r="AL174" i="65"/>
  <c r="AU670" i="67" s="1"/>
  <c r="AU1276" i="67" s="1"/>
  <c r="AI174" i="65"/>
  <c r="AR670" i="67" s="1"/>
  <c r="AR1276" i="67" s="1"/>
  <c r="AP713" i="67"/>
  <c r="AP1319" i="67" s="1"/>
  <c r="BJ50" i="68" s="1"/>
  <c r="S717" i="67"/>
  <c r="S1323" i="67" s="1"/>
  <c r="AE717" i="67"/>
  <c r="AE1323" i="67" s="1"/>
  <c r="AY51" i="68" s="1"/>
  <c r="AG717" i="67"/>
  <c r="AG1323" i="67" s="1"/>
  <c r="BA51" i="68" s="1"/>
  <c r="AK43" i="68"/>
  <c r="AJ47" i="68"/>
  <c r="AJ56" i="68" s="1"/>
  <c r="AN47" i="68"/>
  <c r="AN56" i="68" s="1"/>
  <c r="AP50" i="68"/>
  <c r="N1277" i="67"/>
  <c r="AV1277" i="67"/>
  <c r="BG47" i="68"/>
  <c r="BG56" i="68" s="1"/>
  <c r="BJ47" i="68"/>
  <c r="BJ56" i="68" s="1"/>
  <c r="AU1277" i="67"/>
  <c r="AX43" i="68"/>
  <c r="U1277" i="67"/>
  <c r="AH1293" i="67"/>
  <c r="W1277" i="67"/>
  <c r="AL1277" i="67"/>
  <c r="AR1277" i="67"/>
  <c r="U1292" i="67"/>
  <c r="AL1320" i="67"/>
  <c r="X1324" i="67"/>
  <c r="AH1320" i="67"/>
  <c r="AT1292" i="67"/>
  <c r="AR1324" i="67"/>
  <c r="AC1292" i="67"/>
  <c r="AV1324" i="67"/>
  <c r="U1324" i="67"/>
  <c r="O1277" i="67"/>
  <c r="AL1292" i="67"/>
  <c r="AF1277" i="67"/>
  <c r="AT1277" i="67"/>
  <c r="AH1292" i="67"/>
  <c r="AC1293" i="67"/>
  <c r="O1324" i="67"/>
  <c r="AF1292" i="67"/>
  <c r="O1293" i="67"/>
  <c r="N1320" i="67"/>
  <c r="AH1277" i="67"/>
  <c r="AU1293" i="67"/>
  <c r="AC1324" i="67"/>
  <c r="W1276" i="67"/>
  <c r="X1292" i="67"/>
  <c r="W1324" i="67"/>
  <c r="O1292" i="67"/>
  <c r="AF1320" i="67"/>
  <c r="N1292" i="67"/>
  <c r="AR1292" i="67"/>
  <c r="AV1292" i="67"/>
  <c r="AU1292" i="67"/>
  <c r="AC1277" i="67"/>
  <c r="AL1324" i="67"/>
  <c r="AH1324" i="67"/>
  <c r="W1292" i="67"/>
  <c r="X1277" i="67"/>
  <c r="O1320" i="67"/>
  <c r="AR1320" i="67"/>
  <c r="AC1320" i="67"/>
  <c r="BL5" i="68"/>
  <c r="BB5" i="68"/>
  <c r="BP5" i="68"/>
  <c r="AR5" i="68"/>
  <c r="BQ59" i="68"/>
  <c r="BQ71" i="68" s="1"/>
  <c r="BQ56" i="68"/>
  <c r="BQ43" i="68"/>
  <c r="AP39" i="62" s="1"/>
  <c r="AM51" i="68" l="1"/>
  <c r="AU1324" i="67"/>
  <c r="AL71" i="68"/>
  <c r="AU71" i="68"/>
  <c r="AM71" i="68"/>
  <c r="BJ71" i="68"/>
  <c r="X1320" i="67"/>
  <c r="BD71" i="68"/>
  <c r="AY71" i="68"/>
  <c r="AJ71" i="68"/>
  <c r="BP4" i="68"/>
  <c r="BP58" i="68" s="1"/>
  <c r="AO7" i="62"/>
  <c r="AK65" i="68"/>
  <c r="J39" i="62"/>
  <c r="AW4" i="68"/>
  <c r="AW58" i="68" s="1"/>
  <c r="V7" i="62"/>
  <c r="BK65" i="68"/>
  <c r="AJ39" i="62"/>
  <c r="BF11" i="68"/>
  <c r="BF59" i="68" s="1"/>
  <c r="AE13" i="62"/>
  <c r="AO11" i="68"/>
  <c r="AO59" i="68" s="1"/>
  <c r="N13" i="62"/>
  <c r="BB11" i="68"/>
  <c r="BB59" i="68" s="1"/>
  <c r="AA13" i="62"/>
  <c r="BM65" i="68"/>
  <c r="AL39" i="62"/>
  <c r="BN11" i="68"/>
  <c r="BN59" i="68" s="1"/>
  <c r="AM13" i="62"/>
  <c r="AX66" i="68"/>
  <c r="W40" i="62"/>
  <c r="BI65" i="68"/>
  <c r="AH39" i="62"/>
  <c r="BM66" i="68"/>
  <c r="AL40" i="62"/>
  <c r="BF4" i="68"/>
  <c r="BF58" i="68" s="1"/>
  <c r="AE7" i="62"/>
  <c r="BI66" i="68"/>
  <c r="AH40" i="62"/>
  <c r="BE66" i="68"/>
  <c r="AD40" i="62"/>
  <c r="BC65" i="68"/>
  <c r="AB39" i="62"/>
  <c r="BP11" i="68"/>
  <c r="BP59" i="68" s="1"/>
  <c r="AO13" i="62"/>
  <c r="AV66" i="68"/>
  <c r="U40" i="62"/>
  <c r="BK66" i="68"/>
  <c r="BK72" i="68" s="1"/>
  <c r="BK73" i="68" s="1"/>
  <c r="AH5" i="63" s="1"/>
  <c r="AH6" i="63" s="1"/>
  <c r="AJ40" i="62"/>
  <c r="AT66" i="68"/>
  <c r="S40" i="62"/>
  <c r="BL11" i="68"/>
  <c r="BL59" i="68" s="1"/>
  <c r="AK13" i="62"/>
  <c r="BO4" i="68"/>
  <c r="BO58" i="68" s="1"/>
  <c r="AN7" i="62"/>
  <c r="AI11" i="68"/>
  <c r="AI59" i="68" s="1"/>
  <c r="H13" i="62"/>
  <c r="BO11" i="68"/>
  <c r="BO59" i="68" s="1"/>
  <c r="AN13" i="62"/>
  <c r="AZ11" i="68"/>
  <c r="AZ59" i="68" s="1"/>
  <c r="AZ71" i="68" s="1"/>
  <c r="Y13" i="62"/>
  <c r="AQ11" i="68"/>
  <c r="AQ59" i="68" s="1"/>
  <c r="P13" i="62"/>
  <c r="AO4" i="68"/>
  <c r="AO58" i="68" s="1"/>
  <c r="N7" i="62"/>
  <c r="AH11" i="68"/>
  <c r="AH59" i="68" s="1"/>
  <c r="G13" i="62"/>
  <c r="BN4" i="68"/>
  <c r="BN58" i="68" s="1"/>
  <c r="AM7" i="62"/>
  <c r="BH66" i="68"/>
  <c r="AG40" i="62"/>
  <c r="AW11" i="68"/>
  <c r="AW59" i="68" s="1"/>
  <c r="V13" i="62"/>
  <c r="BE65" i="68"/>
  <c r="AD39" i="62"/>
  <c r="AR4" i="68"/>
  <c r="AR58" i="68" s="1"/>
  <c r="Q7" i="62"/>
  <c r="AR11" i="68"/>
  <c r="AR59" i="68" s="1"/>
  <c r="Q13" i="62"/>
  <c r="AT65" i="68"/>
  <c r="S39" i="62"/>
  <c r="BH65" i="68"/>
  <c r="BH72" i="68" s="1"/>
  <c r="BH73" i="68" s="1"/>
  <c r="AE5" i="63" s="1"/>
  <c r="AE6" i="63" s="1"/>
  <c r="AG39" i="62"/>
  <c r="BL4" i="68"/>
  <c r="BL58" i="68" s="1"/>
  <c r="BL71" i="68" s="1"/>
  <c r="AK7" i="62"/>
  <c r="AI4" i="68"/>
  <c r="AI58" i="68" s="1"/>
  <c r="H7" i="62"/>
  <c r="AH4" i="68"/>
  <c r="AH58" i="68" s="1"/>
  <c r="G7" i="62"/>
  <c r="BB4" i="68"/>
  <c r="BB58" i="68" s="1"/>
  <c r="AA7" i="62"/>
  <c r="AX65" i="68"/>
  <c r="W39" i="62"/>
  <c r="AK66" i="68"/>
  <c r="J40" i="62"/>
  <c r="BC66" i="68"/>
  <c r="AB40" i="62"/>
  <c r="AV65" i="68"/>
  <c r="U39" i="62"/>
  <c r="AQ4" i="68"/>
  <c r="AQ58" i="68" s="1"/>
  <c r="P7" i="62"/>
  <c r="AT1293" i="67"/>
  <c r="U1293" i="67"/>
  <c r="AO47" i="68" s="1"/>
  <c r="AO56" i="68" s="1"/>
  <c r="X1293" i="67"/>
  <c r="W1293" i="67"/>
  <c r="AQ47" i="68" s="1"/>
  <c r="AQ56" i="68" s="1"/>
  <c r="BA43" i="68"/>
  <c r="BQ51" i="68"/>
  <c r="AL1293" i="67"/>
  <c r="BF47" i="68" s="1"/>
  <c r="BF56" i="68" s="1"/>
  <c r="N1324" i="67"/>
  <c r="AR1293" i="67"/>
  <c r="BL47" i="68" s="1"/>
  <c r="BL56" i="68" s="1"/>
  <c r="AF1293" i="67"/>
  <c r="AY43" i="68"/>
  <c r="AN49" i="68"/>
  <c r="AH713" i="67"/>
  <c r="AH1319" i="67" s="1"/>
  <c r="AC717" i="67"/>
  <c r="AC1323" i="67" s="1"/>
  <c r="AW51" i="68" s="1"/>
  <c r="AF713" i="67"/>
  <c r="AF1319" i="67" s="1"/>
  <c r="AZ50" i="68" s="1"/>
  <c r="AL717" i="67"/>
  <c r="AL1323" i="67" s="1"/>
  <c r="BF51" i="68" s="1"/>
  <c r="AC713" i="67"/>
  <c r="AC1319" i="67" s="1"/>
  <c r="AF717" i="67"/>
  <c r="AF1323" i="67" s="1"/>
  <c r="AZ51" i="68" s="1"/>
  <c r="N1276" i="67"/>
  <c r="AH45" i="68" s="1"/>
  <c r="AL43" i="68"/>
  <c r="AL49" i="68"/>
  <c r="AP43" i="68"/>
  <c r="BD49" i="68"/>
  <c r="BG49" i="68"/>
  <c r="BD43" i="68"/>
  <c r="AV1293" i="67"/>
  <c r="BP47" i="68" s="1"/>
  <c r="BP56" i="68" s="1"/>
  <c r="AM43" i="68"/>
  <c r="AS43" i="68"/>
  <c r="AF43" i="68"/>
  <c r="AQ45" i="68"/>
  <c r="AU49" i="68"/>
  <c r="AG43" i="68"/>
  <c r="AQ50" i="68"/>
  <c r="AF49" i="68"/>
  <c r="AW45" i="68"/>
  <c r="BF45" i="68"/>
  <c r="AY49" i="68"/>
  <c r="AR45" i="68"/>
  <c r="AR47" i="68"/>
  <c r="AR56" i="68" s="1"/>
  <c r="BA49" i="68"/>
  <c r="AS49" i="68"/>
  <c r="AJ49" i="68"/>
  <c r="AP49" i="68"/>
  <c r="AG49" i="68"/>
  <c r="AU43" i="68"/>
  <c r="AW50" i="68"/>
  <c r="BO47" i="68"/>
  <c r="BO56" i="68" s="1"/>
  <c r="AI47" i="68"/>
  <c r="AI56" i="68" s="1"/>
  <c r="BB47" i="68"/>
  <c r="BB56" i="68" s="1"/>
  <c r="AQ51" i="68"/>
  <c r="BN45" i="68"/>
  <c r="BB45" i="68"/>
  <c r="BL45" i="68"/>
  <c r="X713" i="67"/>
  <c r="X1319" i="67" s="1"/>
  <c r="AR50" i="68" s="1"/>
  <c r="N713" i="67"/>
  <c r="U713" i="67"/>
  <c r="U1319" i="67" s="1"/>
  <c r="AO50" i="68" s="1"/>
  <c r="X717" i="67"/>
  <c r="X1323" i="67" s="1"/>
  <c r="AR51" i="68" s="1"/>
  <c r="O670" i="67"/>
  <c r="O1276" i="67" s="1"/>
  <c r="AI45" i="68" s="1"/>
  <c r="N717" i="67"/>
  <c r="U717" i="67"/>
  <c r="U1323" i="67" s="1"/>
  <c r="AO51" i="68" s="1"/>
  <c r="BO45" i="68"/>
  <c r="AM49" i="68"/>
  <c r="BJ49" i="68"/>
  <c r="AH717" i="67"/>
  <c r="AH1323" i="67" s="1"/>
  <c r="BB51" i="68" s="1"/>
  <c r="BP45" i="68"/>
  <c r="O717" i="67"/>
  <c r="O1323" i="67" s="1"/>
  <c r="AI51" i="68" s="1"/>
  <c r="BQ50" i="68"/>
  <c r="AI50" i="68"/>
  <c r="AR717" i="67"/>
  <c r="AR1323" i="67" s="1"/>
  <c r="BL51" i="68" s="1"/>
  <c r="AU713" i="67"/>
  <c r="AU1319" i="67" s="1"/>
  <c r="BO50" i="68" s="1"/>
  <c r="AT717" i="67"/>
  <c r="AT1323" i="67" s="1"/>
  <c r="BN51" i="68" s="1"/>
  <c r="AV717" i="67"/>
  <c r="AV1323" i="67" s="1"/>
  <c r="BP51" i="68" s="1"/>
  <c r="AL713" i="67"/>
  <c r="AL1319" i="67" s="1"/>
  <c r="BF50" i="68" s="1"/>
  <c r="AJ43" i="68"/>
  <c r="AR713" i="67"/>
  <c r="AR1319" i="67" s="1"/>
  <c r="BL50" i="68" s="1"/>
  <c r="AU717" i="67"/>
  <c r="AU1323" i="67" s="1"/>
  <c r="BO51" i="68" s="1"/>
  <c r="AT713" i="67"/>
  <c r="AT1319" i="67" s="1"/>
  <c r="BN50" i="68" s="1"/>
  <c r="AV713" i="67"/>
  <c r="AV1319" i="67" s="1"/>
  <c r="BP50" i="68" s="1"/>
  <c r="BB50" i="68"/>
  <c r="AH47" i="68"/>
  <c r="AH56" i="68" s="1"/>
  <c r="AN43" i="68"/>
  <c r="BG43" i="68"/>
  <c r="AO45" i="68"/>
  <c r="BJ43" i="68"/>
  <c r="AZ45" i="68"/>
  <c r="AW47" i="68"/>
  <c r="AW56" i="68" s="1"/>
  <c r="AZ47" i="68"/>
  <c r="AZ56" i="68" s="1"/>
  <c r="BN47" i="68"/>
  <c r="BN56" i="68" s="1"/>
  <c r="BQ65" i="68"/>
  <c r="AX72" i="68" l="1"/>
  <c r="AX73" i="68" s="1"/>
  <c r="U5" i="63" s="1"/>
  <c r="U6" i="63" s="1"/>
  <c r="AW71" i="68"/>
  <c r="AK72" i="68"/>
  <c r="AK73" i="68" s="1"/>
  <c r="H5" i="63" s="1"/>
  <c r="H6" i="63" s="1"/>
  <c r="AT72" i="68"/>
  <c r="AT73" i="68" s="1"/>
  <c r="Q5" i="63" s="1"/>
  <c r="Q6" i="63" s="1"/>
  <c r="BN71" i="68"/>
  <c r="AI71" i="68"/>
  <c r="BP71" i="68"/>
  <c r="BF71" i="68"/>
  <c r="BB71" i="68"/>
  <c r="BC72" i="68"/>
  <c r="BC73" i="68" s="1"/>
  <c r="Z5" i="63" s="1"/>
  <c r="Z6" i="63" s="1"/>
  <c r="AH71" i="68"/>
  <c r="BE72" i="68"/>
  <c r="BE73" i="68" s="1"/>
  <c r="AB5" i="63" s="1"/>
  <c r="AB6" i="63" s="1"/>
  <c r="AV72" i="68"/>
  <c r="AV73" i="68" s="1"/>
  <c r="S5" i="63" s="1"/>
  <c r="S6" i="63" s="1"/>
  <c r="BM72" i="68"/>
  <c r="BM73" i="68" s="1"/>
  <c r="AJ5" i="63" s="1"/>
  <c r="AJ6" i="63" s="1"/>
  <c r="AO71" i="68"/>
  <c r="AR71" i="68"/>
  <c r="BO71" i="68"/>
  <c r="AP66" i="68"/>
  <c r="O40" i="62"/>
  <c r="BD65" i="68"/>
  <c r="AC39" i="62"/>
  <c r="AF66" i="68"/>
  <c r="AF72" i="68" s="1"/>
  <c r="AF73" i="68" s="1"/>
  <c r="C5" i="63" s="1"/>
  <c r="C6" i="63" s="1"/>
  <c r="E40" i="62"/>
  <c r="BG66" i="68"/>
  <c r="AF40" i="62"/>
  <c r="BA65" i="68"/>
  <c r="Z39" i="62"/>
  <c r="AJ66" i="68"/>
  <c r="I40" i="62"/>
  <c r="BD66" i="68"/>
  <c r="AC40" i="62"/>
  <c r="AS66" i="68"/>
  <c r="R40" i="62"/>
  <c r="AP65" i="68"/>
  <c r="AP72" i="68" s="1"/>
  <c r="AP73" i="68" s="1"/>
  <c r="M5" i="63" s="1"/>
  <c r="M6" i="63" s="1"/>
  <c r="O39" i="62"/>
  <c r="BJ66" i="68"/>
  <c r="AI40" i="62"/>
  <c r="BA66" i="68"/>
  <c r="Z40" i="62"/>
  <c r="AG65" i="68"/>
  <c r="F39" i="62"/>
  <c r="AJ65" i="68"/>
  <c r="I39" i="62"/>
  <c r="AM66" i="68"/>
  <c r="L40" i="62"/>
  <c r="AU66" i="68"/>
  <c r="AU72" i="68" s="1"/>
  <c r="AU73" i="68" s="1"/>
  <c r="R5" i="63" s="1"/>
  <c r="R6" i="63" s="1"/>
  <c r="T40" i="62"/>
  <c r="AL66" i="68"/>
  <c r="K40" i="62"/>
  <c r="BJ65" i="68"/>
  <c r="AI39" i="62"/>
  <c r="AY66" i="68"/>
  <c r="X40" i="62"/>
  <c r="AF65" i="68"/>
  <c r="E39" i="62"/>
  <c r="AS65" i="68"/>
  <c r="R39" i="62"/>
  <c r="AL65" i="68"/>
  <c r="K39" i="62"/>
  <c r="AN66" i="68"/>
  <c r="M40" i="62"/>
  <c r="AQ71" i="68"/>
  <c r="BI72" i="68"/>
  <c r="BI73" i="68" s="1"/>
  <c r="AF5" i="63" s="1"/>
  <c r="AF6" i="63" s="1"/>
  <c r="BG65" i="68"/>
  <c r="AF39" i="62"/>
  <c r="AN65" i="68"/>
  <c r="M39" i="62"/>
  <c r="AU65" i="68"/>
  <c r="T39" i="62"/>
  <c r="AM65" i="68"/>
  <c r="AM72" i="68" s="1"/>
  <c r="AM73" i="68" s="1"/>
  <c r="J5" i="63" s="1"/>
  <c r="J6" i="63" s="1"/>
  <c r="L39" i="62"/>
  <c r="AG66" i="68"/>
  <c r="F40" i="62"/>
  <c r="AY65" i="68"/>
  <c r="X39" i="62"/>
  <c r="BO43" i="68"/>
  <c r="BB49" i="68"/>
  <c r="AQ43" i="68"/>
  <c r="AZ49" i="68"/>
  <c r="BF49" i="68"/>
  <c r="BL43" i="68"/>
  <c r="AO49" i="68"/>
  <c r="AI43" i="68"/>
  <c r="AI49" i="68"/>
  <c r="AW49" i="68"/>
  <c r="AR49" i="68"/>
  <c r="AQ49" i="68"/>
  <c r="AR43" i="68"/>
  <c r="AO43" i="68"/>
  <c r="AW43" i="68"/>
  <c r="BL49" i="68"/>
  <c r="N1323" i="67"/>
  <c r="BB43" i="68"/>
  <c r="BF43" i="68"/>
  <c r="N1319" i="67"/>
  <c r="BP49" i="68"/>
  <c r="BO49" i="68"/>
  <c r="AZ43" i="68"/>
  <c r="BQ49" i="68"/>
  <c r="AP40" i="62" s="1"/>
  <c r="AH51" i="68"/>
  <c r="AH43" i="68"/>
  <c r="BN49" i="68"/>
  <c r="BN43" i="68"/>
  <c r="BP43" i="68"/>
  <c r="BD72" i="68" l="1"/>
  <c r="BD73" i="68" s="1"/>
  <c r="AA5" i="63" s="1"/>
  <c r="AA6" i="63" s="1"/>
  <c r="BJ72" i="68"/>
  <c r="BJ73" i="68" s="1"/>
  <c r="AG5" i="63" s="1"/>
  <c r="AG6" i="63" s="1"/>
  <c r="AN72" i="68"/>
  <c r="AN73" i="68" s="1"/>
  <c r="K5" i="63" s="1"/>
  <c r="K6" i="63" s="1"/>
  <c r="AS72" i="68"/>
  <c r="AS73" i="68" s="1"/>
  <c r="P5" i="63" s="1"/>
  <c r="P6" i="63" s="1"/>
  <c r="AL72" i="68"/>
  <c r="AL73" i="68" s="1"/>
  <c r="I5" i="63" s="1"/>
  <c r="I6" i="63" s="1"/>
  <c r="BA72" i="68"/>
  <c r="BA73" i="68" s="1"/>
  <c r="X5" i="63" s="1"/>
  <c r="X6" i="63" s="1"/>
  <c r="BG72" i="68"/>
  <c r="BG73" i="68" s="1"/>
  <c r="AD5" i="63" s="1"/>
  <c r="AD6" i="63" s="1"/>
  <c r="AG72" i="68"/>
  <c r="AG73" i="68" s="1"/>
  <c r="D5" i="63" s="1"/>
  <c r="D6" i="63" s="1"/>
  <c r="AJ72" i="68"/>
  <c r="AJ73" i="68" s="1"/>
  <c r="AJ80" i="68" s="1"/>
  <c r="AY72" i="68"/>
  <c r="AY73" i="68" s="1"/>
  <c r="V5" i="63" s="1"/>
  <c r="V6" i="63" s="1"/>
  <c r="G5" i="63"/>
  <c r="G6" i="63" s="1"/>
  <c r="AR66" i="68"/>
  <c r="Q40" i="62"/>
  <c r="AZ66" i="68"/>
  <c r="Y40" i="62"/>
  <c r="BP65" i="68"/>
  <c r="AO39" i="62"/>
  <c r="BO66" i="68"/>
  <c r="AN40" i="62"/>
  <c r="AQ66" i="68"/>
  <c r="P40" i="62"/>
  <c r="BF66" i="68"/>
  <c r="AE40" i="62"/>
  <c r="BB65" i="68"/>
  <c r="AA39" i="62"/>
  <c r="BN65" i="68"/>
  <c r="AM39" i="62"/>
  <c r="AQ65" i="68"/>
  <c r="P39" i="62"/>
  <c r="AW65" i="68"/>
  <c r="V39" i="62"/>
  <c r="BP66" i="68"/>
  <c r="AO40" i="62"/>
  <c r="AW66" i="68"/>
  <c r="V40" i="62"/>
  <c r="BN66" i="68"/>
  <c r="AM40" i="62"/>
  <c r="BL66" i="68"/>
  <c r="AK40" i="62"/>
  <c r="AI66" i="68"/>
  <c r="H40" i="62"/>
  <c r="BB66" i="68"/>
  <c r="AA40" i="62"/>
  <c r="AO66" i="68"/>
  <c r="N40" i="62"/>
  <c r="BL65" i="68"/>
  <c r="AK39" i="62"/>
  <c r="BO65" i="68"/>
  <c r="AN39" i="62"/>
  <c r="AF80" i="68"/>
  <c r="BF65" i="68"/>
  <c r="AE39" i="62"/>
  <c r="AH65" i="68"/>
  <c r="G39" i="62"/>
  <c r="AI65" i="68"/>
  <c r="H39" i="62"/>
  <c r="AO65" i="68"/>
  <c r="N39" i="62"/>
  <c r="AZ65" i="68"/>
  <c r="Y39" i="62"/>
  <c r="AR65" i="68"/>
  <c r="Q39" i="62"/>
  <c r="AH50" i="68"/>
  <c r="AH49" i="68" s="1"/>
  <c r="BQ66" i="68"/>
  <c r="BQ72" i="68" s="1"/>
  <c r="BQ73" i="68" s="1"/>
  <c r="AN5" i="63" s="1"/>
  <c r="AN6" i="63" s="1"/>
  <c r="AN7" i="63" s="1"/>
  <c r="AR72" i="68" l="1"/>
  <c r="AR73" i="68" s="1"/>
  <c r="O5" i="63" s="1"/>
  <c r="O6" i="63" s="1"/>
  <c r="BL72" i="68"/>
  <c r="BL73" i="68" s="1"/>
  <c r="AI5" i="63" s="1"/>
  <c r="AI6" i="63" s="1"/>
  <c r="BN72" i="68"/>
  <c r="BN73" i="68" s="1"/>
  <c r="AK5" i="63" s="1"/>
  <c r="AK6" i="63" s="1"/>
  <c r="AG80" i="68"/>
  <c r="BF72" i="68"/>
  <c r="BF73" i="68" s="1"/>
  <c r="AC5" i="63" s="1"/>
  <c r="AC6" i="63" s="1"/>
  <c r="AZ72" i="68"/>
  <c r="AZ73" i="68" s="1"/>
  <c r="W5" i="63" s="1"/>
  <c r="W6" i="63" s="1"/>
  <c r="AQ72" i="68"/>
  <c r="AQ73" i="68" s="1"/>
  <c r="N5" i="63" s="1"/>
  <c r="N6" i="63" s="1"/>
  <c r="AI72" i="68"/>
  <c r="AI73" i="68" s="1"/>
  <c r="F5" i="63" s="1"/>
  <c r="F6" i="63" s="1"/>
  <c r="BB72" i="68"/>
  <c r="BB73" i="68" s="1"/>
  <c r="Y5" i="63" s="1"/>
  <c r="Y6" i="63" s="1"/>
  <c r="BO72" i="68"/>
  <c r="BO73" i="68" s="1"/>
  <c r="AL5" i="63" s="1"/>
  <c r="AL6" i="63" s="1"/>
  <c r="AW72" i="68"/>
  <c r="AW73" i="68" s="1"/>
  <c r="T5" i="63" s="1"/>
  <c r="T8" i="63" s="1"/>
  <c r="BP72" i="68"/>
  <c r="BP73" i="68" s="1"/>
  <c r="AM5" i="63" s="1"/>
  <c r="AM6" i="63" s="1"/>
  <c r="AO72" i="68"/>
  <c r="AO73" i="68" s="1"/>
  <c r="L5" i="63" s="1"/>
  <c r="L6" i="63" s="1"/>
  <c r="AH66" i="68"/>
  <c r="AH72" i="68" s="1"/>
  <c r="AH73" i="68" s="1"/>
  <c r="AH80" i="68" s="1"/>
  <c r="G40" i="62"/>
  <c r="AN8" i="63"/>
  <c r="AI80" i="68" l="1"/>
  <c r="T6" i="63"/>
  <c r="T7" i="63" s="1"/>
  <c r="T9" i="63"/>
  <c r="E5" i="63"/>
  <c r="E6" i="6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tc={6704E445-3F8B-48DB-A842-B7D498DA546D}</author>
  </authors>
  <commentList>
    <comment ref="Z6" authorId="0" shapeId="0" xr:uid="{00000000-0006-0000-0600-000001000000}">
      <text>
        <t>[Threaded comment]
Your version of Excel allows you to read this threaded comment; however, any edits to it will get removed if the file is opened in a newer version of Excel. Learn more: https://go.microsoft.com/fwlink/?linkid=870924
Comment:
    perhaps remove this?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tc={89358291-0199-49F8-B7DA-6297E8F89429}</author>
  </authors>
  <commentList>
    <comment ref="B102" authorId="0" shapeId="0" xr:uid="{89358291-0199-49F8-B7DA-6297E8F89429}">
      <text>
        <t>[Threaded comment]
Your version of Excel allows you to read this threaded comment; however, any edits to it will get removed if the file is opened in a newer version of Excel. Learn more: https://go.microsoft.com/fwlink/?linkid=870924
Comment:
    This assumes a 15% increase in emissions reductions but this only includes grass maturity. Can maybe increase this to 20% if we consider grass species impacts etc.
Reply:
    #LS #18/07/2021 Check this query</t>
      </text>
    </comment>
  </commentList>
</comments>
</file>

<file path=xl/sharedStrings.xml><?xml version="1.0" encoding="utf-8"?>
<sst xmlns="http://schemas.openxmlformats.org/spreadsheetml/2006/main" count="15680" uniqueCount="1455">
  <si>
    <t>Units</t>
  </si>
  <si>
    <t>Population</t>
  </si>
  <si>
    <t>Dairy cattle</t>
  </si>
  <si>
    <t>Horses</t>
  </si>
  <si>
    <t>IPCC category</t>
  </si>
  <si>
    <t>Gas</t>
  </si>
  <si>
    <t>3A1ai Dairy cattle</t>
  </si>
  <si>
    <t>IPCC Categories</t>
  </si>
  <si>
    <t>Constants</t>
  </si>
  <si>
    <t>CH4 GWP</t>
  </si>
  <si>
    <t>N2O GWP</t>
  </si>
  <si>
    <t>AFOLU inventory categories</t>
  </si>
  <si>
    <t>Level 1</t>
  </si>
  <si>
    <t>Level 2</t>
  </si>
  <si>
    <t>Level 3</t>
  </si>
  <si>
    <t>3A Livestock</t>
  </si>
  <si>
    <t>3A1 Enteric fermentation (CH4)</t>
  </si>
  <si>
    <t>3A1a Cattle</t>
  </si>
  <si>
    <t>3A1c Sheep</t>
  </si>
  <si>
    <t>3A1d Goats</t>
  </si>
  <si>
    <t>3A1f Horses</t>
  </si>
  <si>
    <t>3A1h Swine</t>
  </si>
  <si>
    <t>3A2 Manure management (CH4)</t>
  </si>
  <si>
    <t>3A2a Cattle</t>
  </si>
  <si>
    <t>3A2c Sheep</t>
  </si>
  <si>
    <t>3A2d Goats</t>
  </si>
  <si>
    <t>3A2f Horses</t>
  </si>
  <si>
    <t>3A2h Swine</t>
  </si>
  <si>
    <t>3A2i Poultry</t>
  </si>
  <si>
    <t>3B Land</t>
  </si>
  <si>
    <t>3B1 Forest land (net CO2)</t>
  </si>
  <si>
    <t>3B1a Forest land remaining forest land</t>
  </si>
  <si>
    <t>3B1b Land converted to forest land</t>
  </si>
  <si>
    <t>3B2 Cropland (net CO2)</t>
  </si>
  <si>
    <t>3B2a Cropland remaining cropland</t>
  </si>
  <si>
    <t>3B2b Land converted to cropland</t>
  </si>
  <si>
    <t>3B3 Grassland (net CO2)</t>
  </si>
  <si>
    <t>3B3a Grassland remaining grassland</t>
  </si>
  <si>
    <t>3B3b Land converted to grassland</t>
  </si>
  <si>
    <t>3B4 Wetland (CH4)</t>
  </si>
  <si>
    <t>3B5 Settlements (net CO2)</t>
  </si>
  <si>
    <t>3B5a Setllements remaining settlements</t>
  </si>
  <si>
    <t>3B5b Land converted to settlements</t>
  </si>
  <si>
    <t>3B6 Other lands (net CO2)</t>
  </si>
  <si>
    <t>3B6b Land converted to other land</t>
  </si>
  <si>
    <t>3C1 Biomass burning (CH4)</t>
  </si>
  <si>
    <t>3C1a Biomass burning in forest land</t>
  </si>
  <si>
    <t>3C1b Biomass burning in Croplands</t>
  </si>
  <si>
    <t>3C1c Biomass burning in Grasslands</t>
  </si>
  <si>
    <t>3C1d Biomass burning in Wetlands</t>
  </si>
  <si>
    <t>3C1e Biomass burning in Settlements</t>
  </si>
  <si>
    <t>3C1f Biomass burning in Other lands</t>
  </si>
  <si>
    <t>3C1 Biomass burning (N2O)</t>
  </si>
  <si>
    <t>3C2 Liming (CO2)</t>
  </si>
  <si>
    <t>3C3 Urea application (CO2)</t>
  </si>
  <si>
    <t>3C4 Direct N2O from managed soils (N2O)</t>
  </si>
  <si>
    <t>Inorganic inputs</t>
  </si>
  <si>
    <t>Organic inputs</t>
  </si>
  <si>
    <t>Crop residues</t>
  </si>
  <si>
    <t>Urine and dung</t>
  </si>
  <si>
    <t>FSOM</t>
  </si>
  <si>
    <t>3C5 Indirect N2O from managed soils (N2O)</t>
  </si>
  <si>
    <t>Volatilisation</t>
  </si>
  <si>
    <t>Leaching/runoff</t>
  </si>
  <si>
    <t>3C6 Indirect N2O from manure management (N2O)</t>
  </si>
  <si>
    <t>3D Other</t>
  </si>
  <si>
    <t>3D1 HWP (CO2)</t>
  </si>
  <si>
    <t>3A1aii Other cattle</t>
  </si>
  <si>
    <t>3A2ai Dairy cattle</t>
  </si>
  <si>
    <t>3A2aii Other cattle</t>
  </si>
  <si>
    <t>Level 4</t>
  </si>
  <si>
    <t>3B1bi Cropland converted to forest land</t>
  </si>
  <si>
    <t>3B1bii Grassland converted to forest land</t>
  </si>
  <si>
    <t>3B1biii Wetlands converted to forest land</t>
  </si>
  <si>
    <t>3B1biv Settlements converted to forest land</t>
  </si>
  <si>
    <t>3B1bv Other land converted to forest land</t>
  </si>
  <si>
    <t>3B2bi Forest land converted to cropland</t>
  </si>
  <si>
    <t>3B2bii Grassland converted to cropland</t>
  </si>
  <si>
    <t>3B2biii Wetlands converted to cropland</t>
  </si>
  <si>
    <t>3B2biv Settlements converted to cropland</t>
  </si>
  <si>
    <t>3B2bv Other land converted to cropland</t>
  </si>
  <si>
    <t>3B3bi Forest land converted to grassland</t>
  </si>
  <si>
    <t>3B3bii Cropland converted to grassland</t>
  </si>
  <si>
    <t>3B3biii Wetlands converted to grassland</t>
  </si>
  <si>
    <t>3B3iv Settlements converted to grassland</t>
  </si>
  <si>
    <t>3B3v Other land converted to grassland</t>
  </si>
  <si>
    <t>3B5bi Forest land converted to settlements</t>
  </si>
  <si>
    <t>3B5bii Cropland converted to settlements</t>
  </si>
  <si>
    <t>3B5biii Grassland converted to settlements</t>
  </si>
  <si>
    <t>3B5biv Wetlands converted to settlements</t>
  </si>
  <si>
    <t>3B5bv Other land converted to settlements</t>
  </si>
  <si>
    <t>3B6bi Forest land converted to other land</t>
  </si>
  <si>
    <t>3B6bii Cropland converted to other land</t>
  </si>
  <si>
    <t>3B6biii Grassland converted to other land</t>
  </si>
  <si>
    <t>3B6biv Wetlands converted to other land</t>
  </si>
  <si>
    <t>3B6bv Settlements converted to other land</t>
  </si>
  <si>
    <t>Activities</t>
  </si>
  <si>
    <t>Enteric fermentation</t>
  </si>
  <si>
    <t>Manure management</t>
  </si>
  <si>
    <t>Forest land</t>
  </si>
  <si>
    <t>Forest land remaining forest land</t>
  </si>
  <si>
    <t>Land converted to forest land</t>
  </si>
  <si>
    <t>Cropland remaining cropland</t>
  </si>
  <si>
    <t>Land converted to cropland</t>
  </si>
  <si>
    <t>Grassland remaining grassland</t>
  </si>
  <si>
    <t>Land converted to grassland</t>
  </si>
  <si>
    <t>Wetlands</t>
  </si>
  <si>
    <t>Settlements remaining settlements</t>
  </si>
  <si>
    <t>Land converted to settlements</t>
  </si>
  <si>
    <t>3B6a Other land remaining other land</t>
  </si>
  <si>
    <t>Other land remaining other land</t>
  </si>
  <si>
    <t>Land converted to other land</t>
  </si>
  <si>
    <t>Biomass burning</t>
  </si>
  <si>
    <t>Liming</t>
  </si>
  <si>
    <t>Urea application</t>
  </si>
  <si>
    <t>Inorganic N inputs</t>
  </si>
  <si>
    <t>Organic N inputs</t>
  </si>
  <si>
    <t>Crop N residues</t>
  </si>
  <si>
    <t>Urine and dung N inputs</t>
  </si>
  <si>
    <t>FSOM inputs</t>
  </si>
  <si>
    <t>HWP</t>
  </si>
  <si>
    <t>CH4</t>
  </si>
  <si>
    <t>Commercial</t>
  </si>
  <si>
    <t>Subsistence</t>
  </si>
  <si>
    <t>Mules &amp; Asses</t>
  </si>
  <si>
    <t>Commercial breeding</t>
  </si>
  <si>
    <t>Commercial baconers</t>
  </si>
  <si>
    <t>Commercial porkers</t>
  </si>
  <si>
    <t>Subsistence breeding</t>
  </si>
  <si>
    <t>Subsistence baconers</t>
  </si>
  <si>
    <t>Subsistence porkers</t>
  </si>
  <si>
    <t>Commercial layers</t>
  </si>
  <si>
    <t>Commercial broilers</t>
  </si>
  <si>
    <t>Subsistence broilers</t>
  </si>
  <si>
    <t>Subsistence layers</t>
  </si>
  <si>
    <t>Feedlot</t>
  </si>
  <si>
    <t>TMR</t>
  </si>
  <si>
    <t>Pasture</t>
  </si>
  <si>
    <t>Head</t>
  </si>
  <si>
    <t>N2O</t>
  </si>
  <si>
    <t>3A1g Mules &amp; asses</t>
  </si>
  <si>
    <t>3A2g Mules &amp; asses</t>
  </si>
  <si>
    <t>Activity data</t>
  </si>
  <si>
    <t>Emission factors</t>
  </si>
  <si>
    <t>kg CH4/head/yr</t>
  </si>
  <si>
    <t>kg N2O-N/kg Nex</t>
  </si>
  <si>
    <t>N2O-N to N2O</t>
  </si>
  <si>
    <t>kg to Gg</t>
  </si>
  <si>
    <t>TOTAL</t>
  </si>
  <si>
    <t>Sub category</t>
  </si>
  <si>
    <t>Metric</t>
  </si>
  <si>
    <t>Other cattle</t>
  </si>
  <si>
    <t>Sheep</t>
  </si>
  <si>
    <t>Goats</t>
  </si>
  <si>
    <t>Mules and asses</t>
  </si>
  <si>
    <t>Swine</t>
  </si>
  <si>
    <t>Dairy (pasture) - Lactating cows</t>
  </si>
  <si>
    <t>Dairy (pasture) - Dry cows</t>
  </si>
  <si>
    <t>Dairy (pasture) - Lactating heifers</t>
  </si>
  <si>
    <t>Dairy (TMR) - Lactating cows</t>
  </si>
  <si>
    <t>Dairy (TMR) - Dry cows</t>
  </si>
  <si>
    <t>Dairy (TMR) - Lactating heifers</t>
  </si>
  <si>
    <t>Dairy (non-lactating - pasture) - Calves</t>
  </si>
  <si>
    <t>Dairy (non-lactating - pasture) - Heifers 2-6mths</t>
  </si>
  <si>
    <t>Dairy (non-lactating - pasture) - Heifers 6-12mths</t>
  </si>
  <si>
    <t>Dairy (non-lactating - pasture) - Heifers &gt;1yr</t>
  </si>
  <si>
    <t>Dairy (non-lactating - pasture) - Pregnant heifers</t>
  </si>
  <si>
    <t>Dairy (non-lactating - TMR) - Calves</t>
  </si>
  <si>
    <t>Dairy (non-lactating - TMR) - Heifers 2-6mths</t>
  </si>
  <si>
    <t>Dairy (non-lactating - TMR) - Heifers 6-12mths</t>
  </si>
  <si>
    <t>Dairy (non-lactating - TMR) - Heifers &gt;1yr</t>
  </si>
  <si>
    <t>Dairy (non-lactating - TMR) - Pregnant heifers</t>
  </si>
  <si>
    <t>Commercial beef - Bulls</t>
  </si>
  <si>
    <t>Commercial beef - Calves</t>
  </si>
  <si>
    <t>Commercial beef - Cows</t>
  </si>
  <si>
    <t>Commercial beef - Feedlot</t>
  </si>
  <si>
    <t>Commercial beef - Heifers</t>
  </si>
  <si>
    <t>Commercial beef - Oxen</t>
  </si>
  <si>
    <t>Commercial beef - Young oxen</t>
  </si>
  <si>
    <t>Subsistence cattle - Bulls</t>
  </si>
  <si>
    <t>Subsistence cattle - Calves</t>
  </si>
  <si>
    <t>Subsistence cattle - Cows</t>
  </si>
  <si>
    <t>Subsistence cattle - Heifers</t>
  </si>
  <si>
    <t>Subsistence cattle - Oxen</t>
  </si>
  <si>
    <t>Subsistence cattle - Young oxen</t>
  </si>
  <si>
    <t>Commercial - Karakul - Breeding ewes</t>
  </si>
  <si>
    <t>Commercial - Karakul - Breeding rams</t>
  </si>
  <si>
    <t>Commercial - Karakul - Lambs</t>
  </si>
  <si>
    <t>Commercial - Karakul - Weaners</t>
  </si>
  <si>
    <t>Commercial - Karakul - Young ewes</t>
  </si>
  <si>
    <t>Commercial - Karakul - Young rams</t>
  </si>
  <si>
    <t>Commercial - Merino - Breeding ewes</t>
  </si>
  <si>
    <t>Commercial - Merino - Breeding rams</t>
  </si>
  <si>
    <t>Commercial - Merino - Lambs</t>
  </si>
  <si>
    <t>Commercial - Merino - Weaners</t>
  </si>
  <si>
    <t>Commercial - Merino - Young ewes</t>
  </si>
  <si>
    <t>Commercial - Merino - Young rams</t>
  </si>
  <si>
    <t>Commercial - Non-wool - Breeding ewes</t>
  </si>
  <si>
    <t>Commercial - Non-wool - Breeding rams</t>
  </si>
  <si>
    <t>Commercial - Non-wool - Lambs</t>
  </si>
  <si>
    <t>Commercial - Non-wool - Weaners</t>
  </si>
  <si>
    <t>Commercial - Non-wool - Young ewes</t>
  </si>
  <si>
    <t>Commercial - Non-wool - Young rams</t>
  </si>
  <si>
    <t>Commercial - Other wool - Breeding ewes</t>
  </si>
  <si>
    <t>Commercial - Other wool - Breeding rams</t>
  </si>
  <si>
    <t>Commercial - Other wool - Lambs</t>
  </si>
  <si>
    <t>Commercial - Other wool - Weaners</t>
  </si>
  <si>
    <t>Commercial - Other wool - Young ewes</t>
  </si>
  <si>
    <t>Commercial - Other wool - Young rams</t>
  </si>
  <si>
    <t>Subsistence - Karakul - Breeding ewes</t>
  </si>
  <si>
    <t>Subsistence - Karakul - Breeding rams</t>
  </si>
  <si>
    <t>Subsistence - Karakul - Lambs</t>
  </si>
  <si>
    <t>Subsistence - Karakul - Weaners</t>
  </si>
  <si>
    <t>Subsistence - Karakul - Young ewes</t>
  </si>
  <si>
    <t>Subsistence - Karakul - Young rams</t>
  </si>
  <si>
    <t>Subsistence - Merino - Breeding ewes</t>
  </si>
  <si>
    <t>Subsistence - Merino - Breeding rams</t>
  </si>
  <si>
    <t>Subsistence - Merino - Lambs</t>
  </si>
  <si>
    <t>Subsistence - Merino - Weaners</t>
  </si>
  <si>
    <t>Subsistence - Merino - Young ewes</t>
  </si>
  <si>
    <t>Subsistence - Merino - Young rams</t>
  </si>
  <si>
    <t>Subsistence - Non-wool - Breeding ewes</t>
  </si>
  <si>
    <t>Subsistence - Non-wool - Breeding rams</t>
  </si>
  <si>
    <t>Subsistence - Non-wool - Lambs</t>
  </si>
  <si>
    <t>Subsistence - Non-wool - Weaners</t>
  </si>
  <si>
    <t>Subsistence - Non-wool - Young ewes</t>
  </si>
  <si>
    <t>Subsistence - Non-wool - Young rams</t>
  </si>
  <si>
    <t>Subsistence - Other wool - Breeding ewes</t>
  </si>
  <si>
    <t>Subsistence - Other wool - Breeding rams</t>
  </si>
  <si>
    <t>Subsistence - Other wool - Lambs</t>
  </si>
  <si>
    <t>Subsistence - Other wool - Weaners</t>
  </si>
  <si>
    <t>Subsistence - Other wool - Young ewes</t>
  </si>
  <si>
    <t>Subsistence - Other wool - Young rams</t>
  </si>
  <si>
    <t>Commercial - Angora - Breeding buck</t>
  </si>
  <si>
    <t>Commercial - Angora - Breeding does</t>
  </si>
  <si>
    <t>Commercial - Angora - Kids</t>
  </si>
  <si>
    <t>Commercial - Angora - Weaners</t>
  </si>
  <si>
    <t>Commercial - Angora - Young buck</t>
  </si>
  <si>
    <t>Commercial - Angora - Young does</t>
  </si>
  <si>
    <t>Commercial goats - Breeding buck</t>
  </si>
  <si>
    <t>Commercial goats - Breeding does</t>
  </si>
  <si>
    <t>Commercial goats - Kids</t>
  </si>
  <si>
    <t>Commercial goats - Weaners</t>
  </si>
  <si>
    <t>Commercial goats - Young buck</t>
  </si>
  <si>
    <t>Commercial goats - Young does</t>
  </si>
  <si>
    <t>Commercial - Milk - Breeding buck</t>
  </si>
  <si>
    <t>Commercial - Milk - Breeding does</t>
  </si>
  <si>
    <t>Commercial - Milk - Kids</t>
  </si>
  <si>
    <t>Commercial - Milk - Weaners</t>
  </si>
  <si>
    <t>Commercial - Milk - Young buck</t>
  </si>
  <si>
    <t>Commercial - Milk - Young does</t>
  </si>
  <si>
    <t>Subsistence goats - Breeding buck</t>
  </si>
  <si>
    <t>Subsistence goats - Breeding does</t>
  </si>
  <si>
    <t>Subsistence goats - Kids</t>
  </si>
  <si>
    <t>Subsistence goats - Weaners</t>
  </si>
  <si>
    <t>Subsistence goats - Young buck</t>
  </si>
  <si>
    <t>Subsistence goats - Young does</t>
  </si>
  <si>
    <t>Commercial swine - Baconers</t>
  </si>
  <si>
    <t>Commercial swine - Boars</t>
  </si>
  <si>
    <t>Commercial swine - Cull boars</t>
  </si>
  <si>
    <t>Commercial swine - Cull sows</t>
  </si>
  <si>
    <t>Commercial swine - Dry gestating sows</t>
  </si>
  <si>
    <t>Commercial swine - Lactating sows</t>
  </si>
  <si>
    <t>Commercial swine - Porkers</t>
  </si>
  <si>
    <t>Commercial swine - Pre-wean piglets</t>
  </si>
  <si>
    <t>Commercial swine - Replacement boars</t>
  </si>
  <si>
    <t>Commercial swine - Replacement sows</t>
  </si>
  <si>
    <t>Subsistence swine - Baconers</t>
  </si>
  <si>
    <t>Subsistence swine - Boars</t>
  </si>
  <si>
    <t>Subsistence swine - Cull boars</t>
  </si>
  <si>
    <t>Subsistence swine - Cull sows</t>
  </si>
  <si>
    <t>Subsistence swine - Dry gestating sows</t>
  </si>
  <si>
    <t>Subsistence swine - Lactating sows</t>
  </si>
  <si>
    <t>Subsistence swine - Porkers</t>
  </si>
  <si>
    <t>Subsistence swine - Pre-wean piglets</t>
  </si>
  <si>
    <t>Subsistence swine - Replacement boars</t>
  </si>
  <si>
    <t>Subsistence swine - Replacement sows</t>
  </si>
  <si>
    <t>Aggregated emission factors</t>
  </si>
  <si>
    <t>Livestock category</t>
  </si>
  <si>
    <t>EF</t>
  </si>
  <si>
    <t>Activity</t>
  </si>
  <si>
    <t>2010 Population</t>
  </si>
  <si>
    <t>Assumptions</t>
  </si>
  <si>
    <t>Notes</t>
  </si>
  <si>
    <t>Ratio</t>
  </si>
  <si>
    <t>EF x ratio</t>
  </si>
  <si>
    <t>Gg CH4</t>
  </si>
  <si>
    <t>Gg N2O</t>
  </si>
  <si>
    <t>Poultry</t>
  </si>
  <si>
    <t>Commercial poultry - Broilers</t>
  </si>
  <si>
    <t>Commercial poultry - Layers</t>
  </si>
  <si>
    <t>Subsistence poultry - Broilers</t>
  </si>
  <si>
    <t>Subsistence poultry - Layers</t>
  </si>
  <si>
    <t>Manure EF</t>
  </si>
  <si>
    <t>Lagoon</t>
  </si>
  <si>
    <t>Liquid/slurry</t>
  </si>
  <si>
    <t>Drylot</t>
  </si>
  <si>
    <t>Solid storage</t>
  </si>
  <si>
    <t>Daily spread</t>
  </si>
  <si>
    <t>Compost</t>
  </si>
  <si>
    <t>Manure with bedding</t>
  </si>
  <si>
    <t>Poultry manure without litter</t>
  </si>
  <si>
    <t>Poultry manure with litter</t>
  </si>
  <si>
    <t>Dailyspread</t>
  </si>
  <si>
    <t>Pasture, range and paddock</t>
  </si>
  <si>
    <t>Percentage</t>
  </si>
  <si>
    <t>MM</t>
  </si>
  <si>
    <t>Non-lactating</t>
  </si>
  <si>
    <t>Reference for projections</t>
  </si>
  <si>
    <t>Population data</t>
  </si>
  <si>
    <t>Excretion rate</t>
  </si>
  <si>
    <t>kg N/head/yr</t>
  </si>
  <si>
    <t>Summary</t>
  </si>
  <si>
    <t>Level 2 category</t>
  </si>
  <si>
    <t>Level 3 category</t>
  </si>
  <si>
    <t>Level 3/4 category</t>
  </si>
  <si>
    <t>Drivers</t>
  </si>
  <si>
    <t>Driver</t>
  </si>
  <si>
    <t>Beef consumption</t>
  </si>
  <si>
    <t>kg to tonne</t>
  </si>
  <si>
    <t>Beef production</t>
  </si>
  <si>
    <t>t</t>
  </si>
  <si>
    <t>t/capita</t>
  </si>
  <si>
    <t>Capita</t>
  </si>
  <si>
    <t>Input data</t>
  </si>
  <si>
    <t>Output data</t>
  </si>
  <si>
    <t>Livestock outputs</t>
  </si>
  <si>
    <t>Fraction</t>
  </si>
  <si>
    <t>Milk consumption</t>
  </si>
  <si>
    <t>Milk production</t>
  </si>
  <si>
    <t>TMR dairy cattle fraction</t>
  </si>
  <si>
    <t>Fraction of dairy cattle that is TMR</t>
  </si>
  <si>
    <t>Lamb consumption</t>
  </si>
  <si>
    <t>Lamb production</t>
  </si>
  <si>
    <t>Pork consumption</t>
  </si>
  <si>
    <t>Pork production</t>
  </si>
  <si>
    <t>Egg consumption</t>
  </si>
  <si>
    <t>Egg production</t>
  </si>
  <si>
    <t>Chicken consumption</t>
  </si>
  <si>
    <t>Chicken production</t>
  </si>
  <si>
    <t>Chevon consumption</t>
  </si>
  <si>
    <t>Lamb and chevon consumption</t>
  </si>
  <si>
    <t>Fraction of goat meat</t>
  </si>
  <si>
    <t>Fraction of sheep and goat meat that is goat meat</t>
  </si>
  <si>
    <t>Maize production</t>
  </si>
  <si>
    <t>Maize consumption (total)</t>
  </si>
  <si>
    <t>Indigenous forests</t>
  </si>
  <si>
    <t>Thickets</t>
  </si>
  <si>
    <t>Woodlands</t>
  </si>
  <si>
    <t>Plantations</t>
  </si>
  <si>
    <t>Annual non-pivot</t>
  </si>
  <si>
    <t>Annual pivot</t>
  </si>
  <si>
    <t>Perennial orchards</t>
  </si>
  <si>
    <t>Perennial vineyards</t>
  </si>
  <si>
    <t>Cropland subsistence</t>
  </si>
  <si>
    <t>Grasslands</t>
  </si>
  <si>
    <t>Low shrublands</t>
  </si>
  <si>
    <t>Settlements</t>
  </si>
  <si>
    <t>Mines</t>
  </si>
  <si>
    <t>Bare ground</t>
  </si>
  <si>
    <t>Degraded land</t>
  </si>
  <si>
    <t>ha</t>
  </si>
  <si>
    <t>Biomass burning EF</t>
  </si>
  <si>
    <t>Biomass burning Cf</t>
  </si>
  <si>
    <t>Biomass burning Mb</t>
  </si>
  <si>
    <t>t/ha</t>
  </si>
  <si>
    <t>g gas/kg dm</t>
  </si>
  <si>
    <t>Maize area</t>
  </si>
  <si>
    <t>Crop production</t>
  </si>
  <si>
    <t>3C Aggregated and non-CO2 emissions on land</t>
  </si>
  <si>
    <t>Wheat area</t>
  </si>
  <si>
    <t>Sorghum consumption (total)</t>
  </si>
  <si>
    <t>Sorghum area</t>
  </si>
  <si>
    <t>Fertilisers and lime</t>
  </si>
  <si>
    <t xml:space="preserve"> - wheat</t>
  </si>
  <si>
    <t xml:space="preserve"> - sorghum</t>
  </si>
  <si>
    <t xml:space="preserve"> - total</t>
  </si>
  <si>
    <t>fraction</t>
  </si>
  <si>
    <t>Lime application EF</t>
  </si>
  <si>
    <t>t C/t lime</t>
  </si>
  <si>
    <t>CO2</t>
  </si>
  <si>
    <t>Lime emissions</t>
  </si>
  <si>
    <t>Gg CO2</t>
  </si>
  <si>
    <t>Lime consumption</t>
  </si>
  <si>
    <t>Inorganic N application</t>
  </si>
  <si>
    <t>Urea EF</t>
  </si>
  <si>
    <t>t C/t urea</t>
  </si>
  <si>
    <t>Urea emissions</t>
  </si>
  <si>
    <t>CtoCO2</t>
  </si>
  <si>
    <t>tonne to Gg</t>
  </si>
  <si>
    <t>Compost N</t>
  </si>
  <si>
    <t>FracMM</t>
  </si>
  <si>
    <t xml:space="preserve"> - Diary cattle</t>
  </si>
  <si>
    <t xml:space="preserve"> - commercial other cattle</t>
  </si>
  <si>
    <t xml:space="preserve"> - feedlot other cattle</t>
  </si>
  <si>
    <t xml:space="preserve"> - subsistence other cattle</t>
  </si>
  <si>
    <t xml:space="preserve"> - commercial sheep</t>
  </si>
  <si>
    <t xml:space="preserve"> - subsistence sheep</t>
  </si>
  <si>
    <t xml:space="preserve"> - commercial goats</t>
  </si>
  <si>
    <t xml:space="preserve"> - subsistence goats</t>
  </si>
  <si>
    <t xml:space="preserve"> - commercial swine</t>
  </si>
  <si>
    <t xml:space="preserve"> - subsistence swine</t>
  </si>
  <si>
    <t xml:space="preserve"> - broilers</t>
  </si>
  <si>
    <t xml:space="preserve"> - layers</t>
  </si>
  <si>
    <t>FracLoss</t>
  </si>
  <si>
    <t>N for bedding</t>
  </si>
  <si>
    <t>Manure N</t>
  </si>
  <si>
    <t>kg N</t>
  </si>
  <si>
    <t>N bedding</t>
  </si>
  <si>
    <t>MM N available</t>
  </si>
  <si>
    <t>Urine &amp; dung</t>
  </si>
  <si>
    <t>Synthetic N</t>
  </si>
  <si>
    <t>Organic N</t>
  </si>
  <si>
    <t>SOM N</t>
  </si>
  <si>
    <t>Urine and dung N (CPP)</t>
  </si>
  <si>
    <t>Urine and dung N (SO)</t>
  </si>
  <si>
    <t>kg N2O-N/kg N input</t>
  </si>
  <si>
    <t xml:space="preserve"> - EF</t>
  </si>
  <si>
    <t>tonne to kg</t>
  </si>
  <si>
    <t>Synthetic fertlisers</t>
  </si>
  <si>
    <t>Organic fertilisers</t>
  </si>
  <si>
    <t>MM emissions</t>
  </si>
  <si>
    <t>U&amp;D emissions</t>
  </si>
  <si>
    <t>FracGASF</t>
  </si>
  <si>
    <t>FracGASM</t>
  </si>
  <si>
    <t>FracLEACH</t>
  </si>
  <si>
    <t xml:space="preserve"> - synthetic N</t>
  </si>
  <si>
    <t xml:space="preserve"> - Organic N</t>
  </si>
  <si>
    <t xml:space="preserve"> - N application</t>
  </si>
  <si>
    <t xml:space="preserve"> - U&amp;D</t>
  </si>
  <si>
    <t xml:space="preserve"> - volatilisation EF</t>
  </si>
  <si>
    <t xml:space="preserve"> - leaching EF</t>
  </si>
  <si>
    <t>Indirect MS</t>
  </si>
  <si>
    <t>kg N2O-N/kg N volatilized</t>
  </si>
  <si>
    <t>kg N2O-N/kg N leached</t>
  </si>
  <si>
    <t xml:space="preserve"> - Synthetic fertlisers</t>
  </si>
  <si>
    <t xml:space="preserve"> - Organic fertilisers</t>
  </si>
  <si>
    <t xml:space="preserve"> - Managed manure</t>
  </si>
  <si>
    <t xml:space="preserve"> - Urine &amp; dung</t>
  </si>
  <si>
    <t xml:space="preserve"> - crop residues</t>
  </si>
  <si>
    <t>FracLEACHMM</t>
  </si>
  <si>
    <t xml:space="preserve"> - manure management</t>
  </si>
  <si>
    <t>Indirect MM</t>
  </si>
  <si>
    <t>FracGasMS</t>
  </si>
  <si>
    <t xml:space="preserve"> - maize</t>
  </si>
  <si>
    <t>Fraction of total N residue</t>
  </si>
  <si>
    <t>Crop residue</t>
  </si>
  <si>
    <t>Slope</t>
  </si>
  <si>
    <t>Intercept</t>
  </si>
  <si>
    <t>TMR - Manure management - Lagoon</t>
  </si>
  <si>
    <t>TMR - Manure management - Liquid/slurry</t>
  </si>
  <si>
    <t>TMR - Manure management - Drylot</t>
  </si>
  <si>
    <t>TMR - Manure management - Solid storage</t>
  </si>
  <si>
    <t>TMR - Manure management - Dailyspread</t>
  </si>
  <si>
    <t>TMR - Manure management - Compost</t>
  </si>
  <si>
    <t>TMR - Manure management - Manure with bedding</t>
  </si>
  <si>
    <t>TMR - Manure management - Poultry manure without litter</t>
  </si>
  <si>
    <t>TMR - Manure management - Poultry manure with litter</t>
  </si>
  <si>
    <t>TMR - Manure management - Pasture, range and paddock</t>
  </si>
  <si>
    <t>Pasture - Manure management - Lagoon</t>
  </si>
  <si>
    <t>Pasture - Manure management - Liquid/slurry</t>
  </si>
  <si>
    <t>Pasture - Manure management - Drylot</t>
  </si>
  <si>
    <t>Pasture - Manure management - Solid storage</t>
  </si>
  <si>
    <t>Pasture - Manure management - Dailyspread</t>
  </si>
  <si>
    <t>Pasture - Manure management - Compost</t>
  </si>
  <si>
    <t>Pasture - Manure management - Manure with bedding</t>
  </si>
  <si>
    <t>Pasture - Manure management - Poultry manure without litter</t>
  </si>
  <si>
    <t>Pasture - Manure management - Poultry manure with litter</t>
  </si>
  <si>
    <t>Pasture - Manure management - Pasture, range and paddock</t>
  </si>
  <si>
    <t>Non-lactating - Manure management - Lagoon</t>
  </si>
  <si>
    <t>Non-lactating - Manure management - Liquid/slurry</t>
  </si>
  <si>
    <t>Non-lactating - Manure management - Drylot</t>
  </si>
  <si>
    <t>Non-lactating - Manure management - Solid storage</t>
  </si>
  <si>
    <t>Non-lactating - Manure management - Dailyspread</t>
  </si>
  <si>
    <t>Non-lactating - Manure management - Compost</t>
  </si>
  <si>
    <t>Non-lactating - Manure management - Manure with bedding</t>
  </si>
  <si>
    <t>Non-lactating - Manure management - Poultry manure without litter</t>
  </si>
  <si>
    <t>Non-lactating - Manure management - Poultry manure with litter</t>
  </si>
  <si>
    <t>Non-lactating - Manure management - Pasture, range and paddock</t>
  </si>
  <si>
    <t>Commercial cattle - Manure management - Lagoon</t>
  </si>
  <si>
    <t>Commercial cattle - Manure management - Liquid/slurry</t>
  </si>
  <si>
    <t>Commercial cattle - Manure management - Drylot</t>
  </si>
  <si>
    <t>Commercial cattle - Manure management - Solid storage</t>
  </si>
  <si>
    <t>Commercial cattle - Manure management - Dailyspread</t>
  </si>
  <si>
    <t>Commercial cattle - Manure management - Compost</t>
  </si>
  <si>
    <t>Commercial cattle - Manure management - Manure with bedding</t>
  </si>
  <si>
    <t>Commercial cattle - Manure management - Poultry manure without litter</t>
  </si>
  <si>
    <t>Commercial cattle - Manure management - Poultry manure with litter</t>
  </si>
  <si>
    <t>Commercial cattle - Manure management - Pasture, range and paddock</t>
  </si>
  <si>
    <t>Subsistence cattle - Manure management - Lagoon</t>
  </si>
  <si>
    <t>Subsistence cattle - Manure management - Liquid/slurry</t>
  </si>
  <si>
    <t>Subsistence cattle - Manure management - Drylot</t>
  </si>
  <si>
    <t>Subsistence cattle - Manure management - Solid storage</t>
  </si>
  <si>
    <t>Subsistence cattle - Manure management - Dailyspread</t>
  </si>
  <si>
    <t>Subsistence cattle - Manure management - Compost</t>
  </si>
  <si>
    <t>Subsistence cattle - Manure management - Manure with bedding</t>
  </si>
  <si>
    <t>Subsistence cattle - Manure management - Poultry manure without litter</t>
  </si>
  <si>
    <t>Subsistence cattle - Manure management - Poultry manure with litter</t>
  </si>
  <si>
    <t>Subsistence cattle - Manure management - Pasture, range and paddock</t>
  </si>
  <si>
    <t>Feedlot - Manure management - Lagoon</t>
  </si>
  <si>
    <t>Feedlot - Manure management - Liquid/slurry</t>
  </si>
  <si>
    <t>Feedlot - Manure management - Drylot</t>
  </si>
  <si>
    <t>Feedlot - Manure management - Solid storage</t>
  </si>
  <si>
    <t>Feedlot - Manure management - Dailyspread</t>
  </si>
  <si>
    <t>Feedlot - Manure management - Compost</t>
  </si>
  <si>
    <t>Feedlot - Manure management - Manure with bedding</t>
  </si>
  <si>
    <t>Feedlot - Manure management - Poultry manure without litter</t>
  </si>
  <si>
    <t>Feedlot - Manure management - Poultry manure with litter</t>
  </si>
  <si>
    <t>Feedlot - Manure management - Pasture, range and paddock</t>
  </si>
  <si>
    <t>Commercial sheep - Manure management - Lagoon</t>
  </si>
  <si>
    <t>Commercial sheep - Manure management - Liquid/slurry</t>
  </si>
  <si>
    <t>Commercial sheep - Manure management - Drylot</t>
  </si>
  <si>
    <t>Commercial sheep - Manure management - Solid storage</t>
  </si>
  <si>
    <t>Commercial sheep - Manure management - Dailyspread</t>
  </si>
  <si>
    <t>Commercial sheep - Manure management - Compost</t>
  </si>
  <si>
    <t>Commercial sheep - Manure management - Manure with bedding</t>
  </si>
  <si>
    <t>Commercial sheep - Manure management - Poultry manure without litter</t>
  </si>
  <si>
    <t>Commercial sheep - Manure management - Poultry manure with litter</t>
  </si>
  <si>
    <t>Commercial sheep - Manure management - Pasture, range and paddock</t>
  </si>
  <si>
    <t>Subsistence sheep - Manure management - Lagoon</t>
  </si>
  <si>
    <t>Subsistence sheep - Manure management - Liquid/slurry</t>
  </si>
  <si>
    <t>Subsistence sheep - Manure management - Drylot</t>
  </si>
  <si>
    <t>Subsistence sheep - Manure management - Solid storage</t>
  </si>
  <si>
    <t>Subsistence sheep - Manure management - Dailyspread</t>
  </si>
  <si>
    <t>Subsistence sheep - Manure management - Compost</t>
  </si>
  <si>
    <t>Subsistence sheep - Manure management - Manure with bedding</t>
  </si>
  <si>
    <t>Subsistence sheep - Manure management - Poultry manure without litter</t>
  </si>
  <si>
    <t>Subsistence sheep - Manure management - Poultry manure with litter</t>
  </si>
  <si>
    <t>Subsistence sheep - Manure management - Pasture, range and paddock</t>
  </si>
  <si>
    <t>Commercial goats - Manure management - Lagoon</t>
  </si>
  <si>
    <t>Commercial goats - Manure management - Liquid/slurry</t>
  </si>
  <si>
    <t>Commercial goats - Manure management - Drylot</t>
  </si>
  <si>
    <t>Commercial goats - Manure management - Solid storage</t>
  </si>
  <si>
    <t>Commercial goats - Manure management - Dailyspread</t>
  </si>
  <si>
    <t>Commercial goats - Manure management - Compost</t>
  </si>
  <si>
    <t>Commercial goats - Manure management - Manure with bedding</t>
  </si>
  <si>
    <t>Commercial goats - Manure management - Poultry manure without litter</t>
  </si>
  <si>
    <t>Commercial goats - Manure management - Poultry manure with litter</t>
  </si>
  <si>
    <t>Commercial goats - Manure management - Pasture, range and paddock</t>
  </si>
  <si>
    <t>Subsistence goats - Manure management - Lagoon</t>
  </si>
  <si>
    <t>Subsistence goats - Manure management - Liquid/slurry</t>
  </si>
  <si>
    <t>Subsistence goats - Manure management - Drylot</t>
  </si>
  <si>
    <t>Subsistence goats - Manure management - Solid storage</t>
  </si>
  <si>
    <t>Subsistence goats - Manure management - Dailyspread</t>
  </si>
  <si>
    <t>Subsistence goats - Manure management - Compost</t>
  </si>
  <si>
    <t>Subsistence goats - Manure management - Manure with bedding</t>
  </si>
  <si>
    <t>Subsistence goats - Manure management - Poultry manure without litter</t>
  </si>
  <si>
    <t>Subsistence goats - Manure management - Poultry manure with litter</t>
  </si>
  <si>
    <t>Subsistence goats - Manure management - Pasture, range and paddock</t>
  </si>
  <si>
    <t>Horses - Manure management - Lagoon</t>
  </si>
  <si>
    <t>Horses - Manure management - Liquid/slurry</t>
  </si>
  <si>
    <t>Horses - Manure management - Drylot</t>
  </si>
  <si>
    <t>Horses - Manure management - Solid storage</t>
  </si>
  <si>
    <t>Horses - Manure management - Dailyspread</t>
  </si>
  <si>
    <t>Horses - Manure management - Compost</t>
  </si>
  <si>
    <t>Horses - Manure management - Manure with bedding</t>
  </si>
  <si>
    <t>Horses - Manure management - Poultry manure without litter</t>
  </si>
  <si>
    <t>Horses - Manure management - Poultry manure with litter</t>
  </si>
  <si>
    <t>Horses - Manure management - Pasture, range and paddock</t>
  </si>
  <si>
    <t>Mules &amp; Asses - Manure management - Lagoon</t>
  </si>
  <si>
    <t>Mules &amp; Asses - Manure management - Liquid/slurry</t>
  </si>
  <si>
    <t>Mules &amp; Asses - Manure management - Drylot</t>
  </si>
  <si>
    <t>Mules &amp; Asses - Manure management - Solid storage</t>
  </si>
  <si>
    <t>Mules &amp; Asses - Manure management - Dailyspread</t>
  </si>
  <si>
    <t>Mules &amp; Asses - Manure management - Compost</t>
  </si>
  <si>
    <t>Mules &amp; Asses - Manure management - Manure with bedding</t>
  </si>
  <si>
    <t>Mules &amp; Asses - Manure management - Poultry manure without litter</t>
  </si>
  <si>
    <t>Mules &amp; Asses - Manure management - Poultry manure with litter</t>
  </si>
  <si>
    <t>Mules &amp; Asses - Manure management - Pasture, range and paddock</t>
  </si>
  <si>
    <t>Commercial swine - Manure management - Lagoon</t>
  </si>
  <si>
    <t>Commercial swine - Manure management - Liquid/slurry</t>
  </si>
  <si>
    <t>Commercial swine - Manure management - Drylot</t>
  </si>
  <si>
    <t>Commercial swine - Manure management - Solid storage</t>
  </si>
  <si>
    <t>Commercial swine - Manure management - Dailyspread</t>
  </si>
  <si>
    <t>Commercial swine - Manure management - Compost</t>
  </si>
  <si>
    <t>Commercial swine - Manure management - Manure with bedding</t>
  </si>
  <si>
    <t>Commercial swine - Manure management - Poultry manure without litter</t>
  </si>
  <si>
    <t>Commercial swine - Manure management - Poultry manure with litter</t>
  </si>
  <si>
    <t>Commercial swine - Manure management - Pasture, range and paddock</t>
  </si>
  <si>
    <t>Subsistence swine - Manure management - Lagoon</t>
  </si>
  <si>
    <t>Subsistence swine - Manure management - Liquid/slurry</t>
  </si>
  <si>
    <t>Subsistence swine - Manure management - Drylot</t>
  </si>
  <si>
    <t>Subsistence swine - Manure management - Solid storage</t>
  </si>
  <si>
    <t>Subsistence swine - Manure management - Dailyspread</t>
  </si>
  <si>
    <t>Subsistence swine - Manure management - Compost</t>
  </si>
  <si>
    <t>Subsistence swine - Manure management - Manure with bedding</t>
  </si>
  <si>
    <t>Subsistence swine - Manure management - Poultry manure without litter</t>
  </si>
  <si>
    <t>Subsistence swine - Manure management - Poultry manure with litter</t>
  </si>
  <si>
    <t>Subsistence swine - Manure management - Pasture, range and paddock</t>
  </si>
  <si>
    <t>Commercial layers - Manure management - Lagoon</t>
  </si>
  <si>
    <t>Commercial layers - Manure management - Liquid/slurry</t>
  </si>
  <si>
    <t>Commercial layers - Manure management - Drylot</t>
  </si>
  <si>
    <t>Commercial layers - Manure management - Solid storage</t>
  </si>
  <si>
    <t>Commercial layers - Manure management - Dailyspread</t>
  </si>
  <si>
    <t>Commercial layers - Manure management - Compost</t>
  </si>
  <si>
    <t>Commercial layers - Manure management - Manure with bedding</t>
  </si>
  <si>
    <t>Commercial layers - Manure management - Poultry manure without litter</t>
  </si>
  <si>
    <t>Commercial layers - Manure management - Poultry manure with litter</t>
  </si>
  <si>
    <t>Commercial layers - Manure management - Pasture, range and paddock</t>
  </si>
  <si>
    <t>Commercial broilers - Manure management - Lagoon</t>
  </si>
  <si>
    <t>Commercial broilers - Manure management - Liquid/slurry</t>
  </si>
  <si>
    <t>Commercial broilers - Manure management - Drylot</t>
  </si>
  <si>
    <t>Commercial broilers - Manure management - Solid storage</t>
  </si>
  <si>
    <t>Commercial broilers - Manure management - Dailyspread</t>
  </si>
  <si>
    <t>Commercial broilers - Manure management - Compost</t>
  </si>
  <si>
    <t>Commercial broilers - Manure management - Manure with bedding</t>
  </si>
  <si>
    <t>Commercial broilers - Manure management - Poultry manure without litter</t>
  </si>
  <si>
    <t>Commercial broilers - Manure management - Poultry manure with litter</t>
  </si>
  <si>
    <t>Commercial broilers - Manure management - Pasture, range and paddock</t>
  </si>
  <si>
    <t>Subsistence layers - Manure management - Lagoon</t>
  </si>
  <si>
    <t>Subsistence layers - Manure management - Liquid/slurry</t>
  </si>
  <si>
    <t>Subsistence layers - Manure management - Drylot</t>
  </si>
  <si>
    <t>Subsistence layers - Manure management - Solid storage</t>
  </si>
  <si>
    <t>Subsistence layers - Manure management - Dailyspread</t>
  </si>
  <si>
    <t>Subsistence layers - Manure management - Compost</t>
  </si>
  <si>
    <t>Subsistence layers - Manure management - Manure with bedding</t>
  </si>
  <si>
    <t>Subsistence layers - Manure management - Poultry manure without litter</t>
  </si>
  <si>
    <t>Subsistence layers - Manure management - Poultry manure with litter</t>
  </si>
  <si>
    <t>Subsistence layers - Manure management - Pasture, range and paddock</t>
  </si>
  <si>
    <t>Subsistence broilers - Manure management - Lagoon</t>
  </si>
  <si>
    <t>Subsistence broilers - Manure management - Liquid/slurry</t>
  </si>
  <si>
    <t>Subsistence broilers - Manure management - Drylot</t>
  </si>
  <si>
    <t>Subsistence broilers - Manure management - Solid storage</t>
  </si>
  <si>
    <t>Subsistence broilers - Manure management - Dailyspread</t>
  </si>
  <si>
    <t>Subsistence broilers - Manure management - Compost</t>
  </si>
  <si>
    <t>Subsistence broilers - Manure management - Manure with bedding</t>
  </si>
  <si>
    <t>Subsistence broilers - Manure management - Poultry manure without litter</t>
  </si>
  <si>
    <t>Subsistence broilers - Manure management - Poultry manure with litter</t>
  </si>
  <si>
    <t>Subsistence broilers - Manure management - Pasture, range and paddock</t>
  </si>
  <si>
    <t>Manure N and organic inputs</t>
  </si>
  <si>
    <t>Gg CO2e</t>
  </si>
  <si>
    <t>Enteric</t>
  </si>
  <si>
    <t>Manure CH4</t>
  </si>
  <si>
    <t>Manure N2O</t>
  </si>
  <si>
    <t>Biomass burning CH4</t>
  </si>
  <si>
    <t>Biomass burning N2O</t>
  </si>
  <si>
    <t>Urea</t>
  </si>
  <si>
    <t>Direct N2O</t>
  </si>
  <si>
    <t>Indirect N2O from MM</t>
  </si>
  <si>
    <t>Indirect N2O from MS</t>
  </si>
  <si>
    <t>FF</t>
  </si>
  <si>
    <t>OO</t>
  </si>
  <si>
    <t>Ft</t>
  </si>
  <si>
    <t>Fw</t>
  </si>
  <si>
    <t>Fp</t>
  </si>
  <si>
    <t>Cnp</t>
  </si>
  <si>
    <t>Cp</t>
  </si>
  <si>
    <t>Co</t>
  </si>
  <si>
    <t>Cv</t>
  </si>
  <si>
    <t>Cs</t>
  </si>
  <si>
    <t>GG</t>
  </si>
  <si>
    <t>Gs</t>
  </si>
  <si>
    <t>WW</t>
  </si>
  <si>
    <t>SS</t>
  </si>
  <si>
    <t>Sm</t>
  </si>
  <si>
    <t>Ob</t>
  </si>
  <si>
    <t>Mitigation levers</t>
  </si>
  <si>
    <t>3A2 Manure management (N2O)</t>
  </si>
  <si>
    <t>Agricultural emission projections - Baseline</t>
  </si>
  <si>
    <t>Compost N application</t>
  </si>
  <si>
    <t>Crop residue N application</t>
  </si>
  <si>
    <t>Crop residue N</t>
  </si>
  <si>
    <t>Conservation agriculture area</t>
  </si>
  <si>
    <t>kg/capita</t>
  </si>
  <si>
    <t>Lamb and chevon</t>
  </si>
  <si>
    <t>BFAP projections data</t>
  </si>
  <si>
    <t>Chicken production (BFAP)</t>
  </si>
  <si>
    <t>Chicken consumption (BFAP)</t>
  </si>
  <si>
    <t>Chicken production (model)</t>
  </si>
  <si>
    <t>Chicken consumption (model)</t>
  </si>
  <si>
    <t>Egg production (BFAP)</t>
  </si>
  <si>
    <t>Egg consumption (BFAP)</t>
  </si>
  <si>
    <t>Egg production (model)</t>
  </si>
  <si>
    <t>Egg consumption (model)</t>
  </si>
  <si>
    <t>Beef production (BFAP)</t>
  </si>
  <si>
    <t>Beef consumption (BFAP)</t>
  </si>
  <si>
    <t>Beef production (model)</t>
  </si>
  <si>
    <t>Beef consumption (model)</t>
  </si>
  <si>
    <t>Pork production (BFAP)</t>
  </si>
  <si>
    <t>Pork Domestic Use (BFAP)</t>
  </si>
  <si>
    <t>Pork production (model)</t>
  </si>
  <si>
    <t>Pork Domestic Use (model)</t>
  </si>
  <si>
    <t>Fluid milk production (BFAP)</t>
  </si>
  <si>
    <t>Fluid milk fresh utilization (BFAP)</t>
  </si>
  <si>
    <t>Fluid Milk factory utilization (BFAP)</t>
  </si>
  <si>
    <t>Milk production (model)</t>
  </si>
  <si>
    <t>Milk consumption (model)</t>
  </si>
  <si>
    <t>Sheep meat production (BFAP)</t>
  </si>
  <si>
    <t>Sheep meat domestic Use (BFAP)</t>
  </si>
  <si>
    <t>Sheep meat production (model)</t>
  </si>
  <si>
    <t>Sheep meat domestic Use (model)</t>
  </si>
  <si>
    <t>Name</t>
  </si>
  <si>
    <t>Agriculture model_v1.5</t>
  </si>
  <si>
    <t>File details</t>
  </si>
  <si>
    <t>Last modified by</t>
  </si>
  <si>
    <t>Date</t>
  </si>
  <si>
    <t>LS</t>
  </si>
  <si>
    <t>Worksheet details</t>
  </si>
  <si>
    <t>20-06-2020</t>
  </si>
  <si>
    <t>Aggregtaed EF</t>
  </si>
  <si>
    <t>Function</t>
  </si>
  <si>
    <t>This contains a list of the IPCC categrioes and the levels. These are referred to throughout the worksheet.</t>
  </si>
  <si>
    <t>Colour coding</t>
  </si>
  <si>
    <t>Calculation</t>
  </si>
  <si>
    <t>Linked</t>
  </si>
  <si>
    <t>Coefficient</t>
  </si>
  <si>
    <t>Linked to another spreadsheet</t>
  </si>
  <si>
    <t>Data that is input into the model. In this case it is the drivers and then the activity data for the inventory for 1990-2017.</t>
  </si>
  <si>
    <t>Assumption</t>
  </si>
  <si>
    <t>Agriculture model_v1.6</t>
  </si>
  <si>
    <t>Cleaned up the model and took out any unnecessary information</t>
  </si>
  <si>
    <t>Conservation agriculture involves mulching which is the incorporation of crop residues into the soil. If more crop residues are used there would be an increase in crop residue emissions, and a reduction in inorgonic fertiliser and other compost use.</t>
  </si>
  <si>
    <t>Mitigation action: Conservation agriculture</t>
  </si>
  <si>
    <t>Mitigation action: Biodigesters</t>
  </si>
  <si>
    <t>IPCC default</t>
  </si>
  <si>
    <t>Constants from inventory</t>
  </si>
  <si>
    <t>Comparison with 2017 inventory</t>
  </si>
  <si>
    <t>Value</t>
  </si>
  <si>
    <t>Forest remaining forest land</t>
  </si>
  <si>
    <t>ton C</t>
  </si>
  <si>
    <t>NO</t>
  </si>
  <si>
    <t>Wetland remaining wetland</t>
  </si>
  <si>
    <t>C:N ratio for forest land converted to cropland</t>
  </si>
  <si>
    <t>C:N ratio for grassland converted to cropland</t>
  </si>
  <si>
    <t>C:N ratio of cropland remaining cropland</t>
  </si>
  <si>
    <t>C:N ratio for other land use types and conversions</t>
  </si>
  <si>
    <t>Total agriculture (model)</t>
  </si>
  <si>
    <t>Percentage difference</t>
  </si>
  <si>
    <t>These are all the constant factors in the equations.</t>
  </si>
  <si>
    <t>Currently there are no mitigation actions included for the agriculture sector as there are no policy targets for this component (see further discussion in the Mitigation scenario worksheet).</t>
  </si>
  <si>
    <t>Emission factors required in the calculations.</t>
  </si>
  <si>
    <t>Factors are taken from inventory, but in many cases the inventory EF were aggregated (see Aggregated EF for calculations) to reduce complexity.</t>
  </si>
  <si>
    <t>This is where the inventory emission factors are along with data for calculating the weighted EF.</t>
  </si>
  <si>
    <t>Worksheet where emisions are calculated.</t>
  </si>
  <si>
    <t>Summary of emissions.</t>
  </si>
  <si>
    <t>21-06-2020</t>
  </si>
  <si>
    <t>Livestock emissions (modelled)</t>
  </si>
  <si>
    <t>Livestock emissions (2017 inventory)</t>
  </si>
  <si>
    <t>Aggregated non-CO2 emissions (modelled)</t>
  </si>
  <si>
    <t>Aggregated non-CO2 emissions (2017 inventory)</t>
  </si>
  <si>
    <t>Biomass burning CH4 (inventory)</t>
  </si>
  <si>
    <t>Biomass burning N2O (inventory)</t>
  </si>
  <si>
    <t>Liming (inventory)</t>
  </si>
  <si>
    <t>Urea (inventory)</t>
  </si>
  <si>
    <t>Direct N2O (inventory)</t>
  </si>
  <si>
    <t>Indirect N2O from MS (inventory)</t>
  </si>
  <si>
    <t>Indirect N2O from MM (inventory)</t>
  </si>
  <si>
    <t>Billion</t>
  </si>
  <si>
    <t>Population number from Faaiqa</t>
  </si>
  <si>
    <t>Maize consumption (human)</t>
  </si>
  <si>
    <t>Sorghum consumption (human)</t>
  </si>
  <si>
    <t>1990-2017</t>
  </si>
  <si>
    <t>TMR - Manure management - Anaerobic digester</t>
  </si>
  <si>
    <t>Pasture - Manure management - Anaerobic biodigester</t>
  </si>
  <si>
    <t>Non-lactating - Manure management - Anaerobic biodigesters</t>
  </si>
  <si>
    <t>Subsistence cattle - Manure management - Anaerobic biodigesters</t>
  </si>
  <si>
    <t>Feedlot - Manure management - Anaerobic biodigesters</t>
  </si>
  <si>
    <t>Commercial sheep - Manure management - Anaerobic biodigesters</t>
  </si>
  <si>
    <t>Subsistence sheep - Manure management - Anaerobic biodigesters</t>
  </si>
  <si>
    <t>Commercial goats - Manure management - Anaerobic biodigesters</t>
  </si>
  <si>
    <t>Subsistence goats - Manure management - Anaerobic biodigesters</t>
  </si>
  <si>
    <t>Horses - Manure management - Anaerobic biodigesters</t>
  </si>
  <si>
    <t>Mules &amp; Asses - Manure management - Anaerobic biodigesters</t>
  </si>
  <si>
    <t>Commercial swine - Manure management - Anaerobic biodigesters</t>
  </si>
  <si>
    <t>Subsistence swine - Manure management - Anaerobic biodigesters</t>
  </si>
  <si>
    <t>Commercial layers - Manure management - Anaerobic biodigesters</t>
  </si>
  <si>
    <t>Commercial broilers - Manure management - Anaerobic biodigesters</t>
  </si>
  <si>
    <t>Subsistence layers - Manure management - Anaerobic biodigesters</t>
  </si>
  <si>
    <t>Subsistence broilers - Manure management - Anaerobic biodigesters</t>
  </si>
  <si>
    <t>Anaerobic biodigesters</t>
  </si>
  <si>
    <t>Commercial cattle - Manure management - Anaerobic digesters</t>
  </si>
  <si>
    <t>Dairy cattle manure management</t>
  </si>
  <si>
    <t>Other cattle manure management</t>
  </si>
  <si>
    <t>Sheep manure management</t>
  </si>
  <si>
    <t>Goat manure management</t>
  </si>
  <si>
    <t>Horse and mule manure management</t>
  </si>
  <si>
    <t>Swine manure management</t>
  </si>
  <si>
    <t>Poultry manure management</t>
  </si>
  <si>
    <t>Biodigester will driver manure away from other manure management practices and thereby reduce manure management emissions. Assumed that only manure from feedlots, commercial swine farms and poultry farms are likeley to be used for biodigesters due to the type of manure and the quantity.</t>
  </si>
  <si>
    <t>Most likely livestock for anaerobic biodigesters are highlighted in pink</t>
  </si>
  <si>
    <t>Check total adds to 100</t>
  </si>
  <si>
    <t xml:space="preserve">These are just intermediate calculation outputs where some output checks and verification can be done. </t>
  </si>
  <si>
    <t>These are the factors related to mitigation actions that would need to be inut into the model to obtain reducton estimates.</t>
  </si>
  <si>
    <t>Mitigation drivers</t>
  </si>
  <si>
    <t>Emissions</t>
  </si>
  <si>
    <t>Emission summary</t>
  </si>
  <si>
    <t>Land converted to forest</t>
  </si>
  <si>
    <t>Land converted to croplands</t>
  </si>
  <si>
    <t>Land converted to grasslands</t>
  </si>
  <si>
    <t>Land converted to wetlands</t>
  </si>
  <si>
    <t>Lands convertde to settlements</t>
  </si>
  <si>
    <t>Lands converted to other lands</t>
  </si>
  <si>
    <t>Land converted to wetland</t>
  </si>
  <si>
    <t>Land converted to other lands</t>
  </si>
  <si>
    <t>CO2toC</t>
  </si>
  <si>
    <t>Gg to tonne</t>
  </si>
  <si>
    <t>NOTE: There are currently no mitigation activities included for agriculture as there are no policies or targets. Have incorportaed digesters incase there is a need for a link with waste - perhaps there is a waste/energy target related to this? There is also very little data on the percentage of manure that is managed that is diverted to digesters.</t>
  </si>
  <si>
    <t>Agriculture model_v1.7</t>
  </si>
  <si>
    <t>27-06-2020</t>
  </si>
  <si>
    <t>Added in manure management under mitigation drivers; added all links to driver data to make it more active; combined calculated drivers with intermediate calculations.</t>
  </si>
  <si>
    <t>NOTES</t>
  </si>
  <si>
    <r>
      <t xml:space="preserve">Currently 1990-2027 data from inventory, then projections take over and are driven by the various drivers. </t>
    </r>
    <r>
      <rPr>
        <b/>
        <i/>
        <sz val="11"/>
        <color theme="1"/>
        <rFont val="Calibri"/>
        <family val="2"/>
        <scheme val="minor"/>
      </rPr>
      <t>NOTE: there are some links in this sheet to the Land model so need to check they are linked.</t>
    </r>
  </si>
  <si>
    <t>Agriculture model_v1.8</t>
  </si>
  <si>
    <t>29-06-2020</t>
  </si>
  <si>
    <t>Fixed problem with FSOM values.</t>
  </si>
  <si>
    <t>Growth from StatsSA</t>
  </si>
  <si>
    <t>Equations for calculations</t>
  </si>
  <si>
    <t>Wealth (GDP)</t>
  </si>
  <si>
    <t>GDP/capita</t>
  </si>
  <si>
    <t>GDP</t>
  </si>
  <si>
    <t>Corrected based on StatSA data</t>
  </si>
  <si>
    <t>Population (head)</t>
  </si>
  <si>
    <t xml:space="preserve">Sorghum area </t>
  </si>
  <si>
    <t>Inorganic N</t>
  </si>
  <si>
    <t>Meat production</t>
  </si>
  <si>
    <t>Head/t</t>
  </si>
  <si>
    <t>Lamb production efficiency</t>
  </si>
  <si>
    <t>Goat production efficiency</t>
  </si>
  <si>
    <t>Pork production efficiency</t>
  </si>
  <si>
    <t>Agriculture model_v1.9</t>
  </si>
  <si>
    <t>09-07-2020</t>
  </si>
  <si>
    <t>Fixed problem with GDP jump between 2011 and 2012.</t>
  </si>
  <si>
    <t>Agriculture model_v1.10</t>
  </si>
  <si>
    <t>11-07-2020</t>
  </si>
  <si>
    <t>Agriculture model_v1.11</t>
  </si>
  <si>
    <t>Made adjustments to allow model to run from 2012 on the drivers, and added some levers in the Constants worksheet.</t>
  </si>
  <si>
    <t>Intermediate calculations</t>
  </si>
  <si>
    <t>These are the main drivers - GDP and population.</t>
  </si>
  <si>
    <t>Currently it has the population sent to LS by Faaiqa, and the GDP data was Faaiqu and prior to 2012 GDP data was adjusted and extrapolated using growth raes from StatsSA data.</t>
  </si>
  <si>
    <t>Relationships</t>
  </si>
  <si>
    <t>This is where the relationship for the calculations are determined. It also allows input data and activity data from te inventory to be incorporated, then the intermediate calculation file allows for the model to run on drivers from 2012.</t>
  </si>
  <si>
    <t>Activity data required for calculations. This is where livestock population data can be found.</t>
  </si>
  <si>
    <t>Tidied worksheets up and updated notes.</t>
  </si>
  <si>
    <t>Fraction commercial sheep</t>
  </si>
  <si>
    <t>Fraction commercial goats</t>
  </si>
  <si>
    <t>Fraction commercial swine</t>
  </si>
  <si>
    <t>Egg production efficiency</t>
  </si>
  <si>
    <t>Fraction commercial layers</t>
  </si>
  <si>
    <t>Chicken production efficiency</t>
  </si>
  <si>
    <t>Fraction commercial broilers</t>
  </si>
  <si>
    <t>Milk production efficiency</t>
  </si>
  <si>
    <t>Pasture fraction</t>
  </si>
  <si>
    <t>Reference</t>
  </si>
  <si>
    <t>Chevon consumption efficiency</t>
  </si>
  <si>
    <t>Commercial cattle fraction</t>
  </si>
  <si>
    <t>Feedlot production</t>
  </si>
  <si>
    <t>Other cattle production</t>
  </si>
  <si>
    <t>Other cattle production efficiency</t>
  </si>
  <si>
    <t>Feedlot fraction of production</t>
  </si>
  <si>
    <t>Feedlot production efficiency</t>
  </si>
  <si>
    <t>Number of days in a feedlot</t>
  </si>
  <si>
    <t>Days</t>
  </si>
  <si>
    <t>Feed conversion factors - Dairy</t>
  </si>
  <si>
    <t>Feed conversion factors - Cattle</t>
  </si>
  <si>
    <t>Feed conversion factors - Sheep</t>
  </si>
  <si>
    <t>Feed conversion factors - Pigs</t>
  </si>
  <si>
    <t>Feed conversion factors - Layers</t>
  </si>
  <si>
    <t>Feed conversion factors - Broilers</t>
  </si>
  <si>
    <t>Maize for Dairy</t>
  </si>
  <si>
    <t>Maize for Cattle</t>
  </si>
  <si>
    <t>Maize for Sheep</t>
  </si>
  <si>
    <t>Maize for Pigs</t>
  </si>
  <si>
    <t>Maize for Layers</t>
  </si>
  <si>
    <t>Maize for Broilers</t>
  </si>
  <si>
    <t>Maize feed fraction - Dairy</t>
  </si>
  <si>
    <t>Maize feed fraction - Cattle</t>
  </si>
  <si>
    <t>Maize feed fraction - Sheep</t>
  </si>
  <si>
    <t>Maize feed fraction - Pigs</t>
  </si>
  <si>
    <t>Maize feed fraction - Layers</t>
  </si>
  <si>
    <t>Maize feed fraction - Broilers</t>
  </si>
  <si>
    <t>Lamb and chevon production</t>
  </si>
  <si>
    <t>Maize consumption (feed)</t>
  </si>
  <si>
    <t>Maize consumption (humans)</t>
  </si>
  <si>
    <t>Total maize consumption (feed)</t>
  </si>
  <si>
    <t xml:space="preserve">Maize production </t>
  </si>
  <si>
    <t>Levers</t>
  </si>
  <si>
    <t>Levers and variables</t>
  </si>
  <si>
    <t>Sorghum consumption (feed)</t>
  </si>
  <si>
    <t>This sheet has some variables that can be changed.</t>
  </si>
  <si>
    <t>Agriculture model_v1.12</t>
  </si>
  <si>
    <t>16-07-2020</t>
  </si>
  <si>
    <t>Adjusted sme of the relationships and added more detail to feedlots.</t>
  </si>
  <si>
    <t>Fraction of total lime</t>
  </si>
  <si>
    <t>Lime application rate - maize</t>
  </si>
  <si>
    <t>Lime application rate - sorghum</t>
  </si>
  <si>
    <t>Lime application rate - wheat</t>
  </si>
  <si>
    <t>rdim</t>
  </si>
  <si>
    <t>cdim</t>
  </si>
  <si>
    <t>dim</t>
  </si>
  <si>
    <t>par</t>
  </si>
  <si>
    <t>coal</t>
  </si>
  <si>
    <t>COM</t>
  </si>
  <si>
    <t>cp</t>
  </si>
  <si>
    <t>elec</t>
  </si>
  <si>
    <t>fb</t>
  </si>
  <si>
    <t>hydr</t>
  </si>
  <si>
    <t>is</t>
  </si>
  <si>
    <t>mi</t>
  </si>
  <si>
    <t>nf</t>
  </si>
  <si>
    <t>nm</t>
  </si>
  <si>
    <t>ot</t>
  </si>
  <si>
    <t>petr</t>
  </si>
  <si>
    <t>pp</t>
  </si>
  <si>
    <t>trana</t>
  </si>
  <si>
    <t>tranlf</t>
  </si>
  <si>
    <t>tranlp</t>
  </si>
  <si>
    <t>trano</t>
  </si>
  <si>
    <t>POP</t>
  </si>
  <si>
    <t>AgriEmissions</t>
  </si>
  <si>
    <t>Feedlot weight</t>
  </si>
  <si>
    <t>kg</t>
  </si>
  <si>
    <t>Fraction maize residue left in field</t>
  </si>
  <si>
    <t>Fraction sorghum residue left in field</t>
  </si>
  <si>
    <t>Fraction wheat residue left in field</t>
  </si>
  <si>
    <t>Maize yield</t>
  </si>
  <si>
    <t>Sorghum yield</t>
  </si>
  <si>
    <t>Wheat yield</t>
  </si>
  <si>
    <t>Maize residue to yield ratio</t>
  </si>
  <si>
    <t>Sorghum residue to yield ratio</t>
  </si>
  <si>
    <t>Wheat residue to yield ratio</t>
  </si>
  <si>
    <t>Maize below ground residue to yield ratio</t>
  </si>
  <si>
    <t>Sorghum below ground residue to yield ratio</t>
  </si>
  <si>
    <t>Wheat below ground residue to yield ratio</t>
  </si>
  <si>
    <t>Maize dry matter fraction</t>
  </si>
  <si>
    <t>Sorghum dry mater fraction</t>
  </si>
  <si>
    <t>Wheat dry matter fraction</t>
  </si>
  <si>
    <t>Crop carbon fraction</t>
  </si>
  <si>
    <t>Crop N:C ratio</t>
  </si>
  <si>
    <t>Dressing fraction</t>
  </si>
  <si>
    <t>Dairy cattle total</t>
  </si>
  <si>
    <t>Corrected inventory</t>
  </si>
  <si>
    <t>Original inventory</t>
  </si>
  <si>
    <t>Livestock emissions (corrected 2017 inventory)</t>
  </si>
  <si>
    <t>Aggregated non-CO2 emissions (corrected 2017 inventory)</t>
  </si>
  <si>
    <t>Total agricuture (corrected 2017 inventory)</t>
  </si>
  <si>
    <t>White meat consumption</t>
  </si>
  <si>
    <t>White meat production</t>
  </si>
  <si>
    <t>Total agricuture (original inventory)</t>
  </si>
  <si>
    <t>(Gg CO2e)</t>
  </si>
  <si>
    <t>Agriculture baseline</t>
  </si>
  <si>
    <t>Agriculture net zero model output</t>
  </si>
  <si>
    <t>Mitigation activities for net zero</t>
  </si>
  <si>
    <t>Supporting data for net zero modelling</t>
  </si>
  <si>
    <t>Mitigation activity data</t>
  </si>
  <si>
    <t>Optimization of feed mix</t>
  </si>
  <si>
    <t>Forage management</t>
  </si>
  <si>
    <t>Feed additives</t>
  </si>
  <si>
    <t>Feed processing</t>
  </si>
  <si>
    <t>Variable</t>
  </si>
  <si>
    <t>DM percentage of fat in dairy cattle diet</t>
  </si>
  <si>
    <t>DM percentage of fat in feedlot cattle diet</t>
  </si>
  <si>
    <t>DM percentage of fat in commercial other cattle diet</t>
  </si>
  <si>
    <t>Enteric fermentation EF in feedlot cattle</t>
  </si>
  <si>
    <t>Enteric fermentation EF in commercial other cattle</t>
  </si>
  <si>
    <t>% increase in fat content in commercial other cattle diet</t>
  </si>
  <si>
    <t>% increase in fat content in feedlot cattle diet</t>
  </si>
  <si>
    <t>% increase in fat content in dairy cattle diet</t>
  </si>
  <si>
    <t>Enteric fermentation EF in TMR dairy cattle</t>
  </si>
  <si>
    <t>Enteric fermentation EF in pasture dairy cattle</t>
  </si>
  <si>
    <t>Enteric fermentation EF in non-lactating dairy cattle</t>
  </si>
  <si>
    <t>OFM</t>
  </si>
  <si>
    <t>Baseline</t>
  </si>
  <si>
    <t>FM</t>
  </si>
  <si>
    <t>FA</t>
  </si>
  <si>
    <t>FP</t>
  </si>
  <si>
    <t>GSB</t>
  </si>
  <si>
    <t>PET</t>
  </si>
  <si>
    <t>HdM</t>
  </si>
  <si>
    <t>HthM</t>
  </si>
  <si>
    <t>PQ</t>
  </si>
  <si>
    <t>NI</t>
  </si>
  <si>
    <t>NFM</t>
  </si>
  <si>
    <t>RM</t>
  </si>
  <si>
    <t>AD</t>
  </si>
  <si>
    <t>Com</t>
  </si>
  <si>
    <t>DS</t>
  </si>
  <si>
    <t>WM</t>
  </si>
  <si>
    <t>All FM</t>
  </si>
  <si>
    <t>All LM</t>
  </si>
  <si>
    <t>All PM</t>
  </si>
  <si>
    <t>All CM</t>
  </si>
  <si>
    <t>All MM</t>
  </si>
  <si>
    <t>All DM</t>
  </si>
  <si>
    <t>All feed management options</t>
  </si>
  <si>
    <t>Genetic selection</t>
  </si>
  <si>
    <t>Production efficiency technologies</t>
  </si>
  <si>
    <t>Herd management</t>
  </si>
  <si>
    <t>Health management</t>
  </si>
  <si>
    <t>Pasture quality</t>
  </si>
  <si>
    <t>Nitrogen inhibitors</t>
  </si>
  <si>
    <t>Nitrogen fertiliser management</t>
  </si>
  <si>
    <t>Residue management</t>
  </si>
  <si>
    <t>Anaerobic digestors</t>
  </si>
  <si>
    <t>Composting</t>
  </si>
  <si>
    <t>Diet shift</t>
  </si>
  <si>
    <t>Waste management</t>
  </si>
  <si>
    <t>All livestock management options</t>
  </si>
  <si>
    <t>All all pasture management options</t>
  </si>
  <si>
    <t>All cropland management options</t>
  </si>
  <si>
    <t>All manure management options</t>
  </si>
  <si>
    <t>All demand management options</t>
  </si>
  <si>
    <t>On</t>
  </si>
  <si>
    <t>Off</t>
  </si>
  <si>
    <t>MITIGATION LEVERS</t>
  </si>
  <si>
    <t>Fat suppliments</t>
  </si>
  <si>
    <t>FS</t>
  </si>
  <si>
    <t>TMR dairy cattle population affected by mitigation action</t>
  </si>
  <si>
    <t>Pasture dairy cattle population affected by mitigation action</t>
  </si>
  <si>
    <t>Non-lactating dairy cattle population affected by mitigation action</t>
  </si>
  <si>
    <t>Feedlot cattle population affected by mitigation action</t>
  </si>
  <si>
    <t>Fraction other commercial cattle population applying mitigation action</t>
  </si>
  <si>
    <t>Fraction dairy cattle population applying mitigation action</t>
  </si>
  <si>
    <t>Fraction feedlot cattle population apply mitigation action</t>
  </si>
  <si>
    <t>Other commercial cattle population affected by mitigation action</t>
  </si>
  <si>
    <t>Percentage of dairy population applying mitigation action</t>
  </si>
  <si>
    <t>Percentage of feedlot population applying mitigation action</t>
  </si>
  <si>
    <t>Percentage of commercial other cattle population applying mitigation action</t>
  </si>
  <si>
    <t>Percentage of commercial sheep population applying mitigation action</t>
  </si>
  <si>
    <t>Percentage of TMR dairy population applying mitigation action</t>
  </si>
  <si>
    <t>Commercial other cattle population applying mitigation action</t>
  </si>
  <si>
    <t>Commercial sheep population applying mitigation action</t>
  </si>
  <si>
    <t>Enteric fermentation Emissions</t>
  </si>
  <si>
    <t>GS</t>
  </si>
  <si>
    <t>Ym (%)</t>
  </si>
  <si>
    <t>GE (MJ/head/day)</t>
  </si>
  <si>
    <t>DMI (kg DM/d)</t>
  </si>
  <si>
    <t>CH4 yield (gCH4/kg DMI)</t>
  </si>
  <si>
    <t>Methane yield in feedlot cattle</t>
  </si>
  <si>
    <t>Methane yield in TMR cattle</t>
  </si>
  <si>
    <t>Fraction TMR dairy cattle population applying mitigation action</t>
  </si>
  <si>
    <t>Fraction feedlot cattle population applying mitigation action</t>
  </si>
  <si>
    <t>TMR dairy cattle population NOT affected by mitigation action</t>
  </si>
  <si>
    <t>Feedlot cattle population NOT affected by mitigation action</t>
  </si>
  <si>
    <t>Enteric fermentation EF in TMR dairy cattle (mitigation)</t>
  </si>
  <si>
    <t>Enteric fermentation EF in feedlot cattle (mitigation)</t>
  </si>
  <si>
    <t>Feed digestibility for pasture dairy cattle</t>
  </si>
  <si>
    <t>Feed digestibility for commercial other cattle</t>
  </si>
  <si>
    <t>Feed digestibility for subsistence other cattle</t>
  </si>
  <si>
    <t>Feed digestibility for commercial sheep</t>
  </si>
  <si>
    <t>Feed digestibility for subsistence sheep</t>
  </si>
  <si>
    <t>Feed digestibility for commercial goats</t>
  </si>
  <si>
    <t>Feed digestibility for subsistence goats</t>
  </si>
  <si>
    <t>Feed digestibility for TMR dairy cattle</t>
  </si>
  <si>
    <t>Feed digestibility for non-lactating dairy cattle</t>
  </si>
  <si>
    <t>Feed digestibility for feedlot cattle</t>
  </si>
  <si>
    <t>Assumption: A 10% reduction in digestibility leads to a 15% reduction in CH4 yield, so 5% reduction leads to 7.5% reduction in methane yield.</t>
  </si>
  <si>
    <t>Percentage of pasture dairy population applying mitigation action</t>
  </si>
  <si>
    <t>Percentage of non-lactating dairy population applying mitigation action</t>
  </si>
  <si>
    <t>Percentage of feedlot cattle population applying mitigation action</t>
  </si>
  <si>
    <t>Percentage of subsistence other cattle population applying mitigation action</t>
  </si>
  <si>
    <t>Percentage of subsistence sheep population applying mitigation action</t>
  </si>
  <si>
    <t>Percentage of subsistence goat population applying mitigation action</t>
  </si>
  <si>
    <t>Percentage of commercial goat population applying mitigation action</t>
  </si>
  <si>
    <t>CH4 yield for TMR dairy cattle</t>
  </si>
  <si>
    <t>CH4 yield for pasture dairy cattle</t>
  </si>
  <si>
    <t>CH4 yield for non-lactating dairy cattle</t>
  </si>
  <si>
    <t>CH4 yield for commercial other cattle</t>
  </si>
  <si>
    <t>CH4 yield for feedlot cattle</t>
  </si>
  <si>
    <t>CH4 yield for subsistence cattle</t>
  </si>
  <si>
    <t>CH4 yield for commercial sheep</t>
  </si>
  <si>
    <t>CH4 yield for subsistence sheep</t>
  </si>
  <si>
    <t>CH4 yield for commercial goats</t>
  </si>
  <si>
    <t>CH4 yield for subsistence goats</t>
  </si>
  <si>
    <t>DE for TMR dairy cattle</t>
  </si>
  <si>
    <t>DE for pasture dairy cattle</t>
  </si>
  <si>
    <t>DE for non-lactating dairy cattle</t>
  </si>
  <si>
    <t>DE for commercial other cattle</t>
  </si>
  <si>
    <t>DE for subsistence cattle</t>
  </si>
  <si>
    <t>DE for feedlot cattle</t>
  </si>
  <si>
    <t>DE for commercial sheep</t>
  </si>
  <si>
    <t>DE for subsistence sheep</t>
  </si>
  <si>
    <t>DE for commercial goats</t>
  </si>
  <si>
    <t>DE for subsistence goats</t>
  </si>
  <si>
    <t>Fraction pasture dairy cattle population applying mitigation action</t>
  </si>
  <si>
    <t>Fraction non-lactating dairy cattle population applying mitigation action</t>
  </si>
  <si>
    <t>Fraction commercial other cattle population applying mitigation action</t>
  </si>
  <si>
    <t>Fraction subsistence other cattle population applying mitigation action</t>
  </si>
  <si>
    <t>Fraction commercial sheep population applying mitigation action</t>
  </si>
  <si>
    <t>Fraction subsistence sheep population applying mitigation action</t>
  </si>
  <si>
    <t>Fraction commercial goats population applying mitigation action</t>
  </si>
  <si>
    <t>Fraction subsistence goats population applying mitigation action</t>
  </si>
  <si>
    <t>TMR dairy cattle population applying mitigation action</t>
  </si>
  <si>
    <t>Non-lactating dairy cattle population applying mitigation action</t>
  </si>
  <si>
    <t>Pasture dairy cattle population applying mitigation action</t>
  </si>
  <si>
    <t>Subsistence other cattle population applying mitigation action</t>
  </si>
  <si>
    <t>Feedlot cattle population applying mitigation action</t>
  </si>
  <si>
    <t>Subsistence sheep population applying mitigation action</t>
  </si>
  <si>
    <t>Commercial goats population applying mitigation action</t>
  </si>
  <si>
    <t>Subsistence goats population applying mitigation action</t>
  </si>
  <si>
    <t>TMR dairy cattle enteric EF</t>
  </si>
  <si>
    <t>Pasture dairy cattle enteric EF</t>
  </si>
  <si>
    <t>Non-lactating dairy cattle enteric EF</t>
  </si>
  <si>
    <t>Commercial other cattle enteric EF</t>
  </si>
  <si>
    <t>Subsistence other cattle enteric EF</t>
  </si>
  <si>
    <t>Feedlot cattle enteric EF</t>
  </si>
  <si>
    <t>Commercial sheep enteric EF</t>
  </si>
  <si>
    <t>Subsistence sheep enteric EF</t>
  </si>
  <si>
    <t>Commercial goats enteric EF</t>
  </si>
  <si>
    <t>Subsistence goats enteric EF</t>
  </si>
  <si>
    <t>TMR dairy cattle population NOT applying mitigation action</t>
  </si>
  <si>
    <t>Pasture dairy cattle population NOT applying mitigation action</t>
  </si>
  <si>
    <t>Non-lactating dairy cattle population NOT applying mitigation action</t>
  </si>
  <si>
    <t>Commercial other cattle population NOT applying mitigation action</t>
  </si>
  <si>
    <t>Subsistence other cattle population NOT applying mitigation action</t>
  </si>
  <si>
    <t>Feedlot cattle population NOT applying mitigation action</t>
  </si>
  <si>
    <t>Commercial sheep population NOT applying mitigation action</t>
  </si>
  <si>
    <t>Subsistence sheep population NOT applying mitigation action</t>
  </si>
  <si>
    <t>Commercial goats population NOT applying mitigation action</t>
  </si>
  <si>
    <t>Subsistence goats population NOT applying mitigation action</t>
  </si>
  <si>
    <t>Cattle</t>
  </si>
  <si>
    <t>Meat production efficiency</t>
  </si>
  <si>
    <t>Fraction milk production efficiency increase</t>
  </si>
  <si>
    <t>Pasture dairy cattle population NOT affected by mitigation action</t>
  </si>
  <si>
    <t>Non-lactating dairy cattle population NOT affected by mitigation action</t>
  </si>
  <si>
    <t>Other commercial cattle population NOT affected by mitigation action</t>
  </si>
  <si>
    <t>Percentage of inorganic N with inhibitors applied to soils</t>
  </si>
  <si>
    <t>Percentage of organic N with inhibitors applied to soils</t>
  </si>
  <si>
    <t>Nitrification inhibitors</t>
  </si>
  <si>
    <t>Fraction of inorganic N with inhibitors applied to soils</t>
  </si>
  <si>
    <t>Fraction of organic N with inhibitors applied to soils</t>
  </si>
  <si>
    <t>Inorganic direct N2O emission factor with inhibitor</t>
  </si>
  <si>
    <t>Organic direct N2O emission factor with inhibitor</t>
  </si>
  <si>
    <t>Manure direct N2O emission factor with inhibitor</t>
  </si>
  <si>
    <t>Indirect N2O emission factor (volatilisation) with inhibitor</t>
  </si>
  <si>
    <t>Indirect N2O emission factor (leaching) with inhibitor</t>
  </si>
  <si>
    <t>Percentage of manure N with inhibitors applied</t>
  </si>
  <si>
    <t>Fraction of manure N with inhibitors applied</t>
  </si>
  <si>
    <t>Synthetic</t>
  </si>
  <si>
    <t>Organic</t>
  </si>
  <si>
    <t>Inorganic N with inhibitors applied to soils</t>
  </si>
  <si>
    <t>Organic N with inhibitors applied to soils</t>
  </si>
  <si>
    <t>Inorganic N WITHOUT inhibitors applied to soils</t>
  </si>
  <si>
    <t>Organic N WITHOUT inhibitors applied to soils</t>
  </si>
  <si>
    <t>MM N applied with inhibitor - TMR</t>
  </si>
  <si>
    <t>MM N applied with inhibitor - Non-lactating</t>
  </si>
  <si>
    <t>MM N applied with inhibitor - Pasture</t>
  </si>
  <si>
    <t>MM N applied with inhibitor - Commercial cattle</t>
  </si>
  <si>
    <t>MM N applied with inhibitor - Feedlot</t>
  </si>
  <si>
    <t>MM N applied with inhibitor - Commercial sheep</t>
  </si>
  <si>
    <t>MM N applied with inhibitor - Commercial goats</t>
  </si>
  <si>
    <t>MM N applied with inhibitor - Commercial swine</t>
  </si>
  <si>
    <t>MM N applied with inhibitor - Commercial layers</t>
  </si>
  <si>
    <t>MM N applied with inhibitor - Commercial broilers</t>
  </si>
  <si>
    <t>MM N applied WITHOUT inhibitor - TMR</t>
  </si>
  <si>
    <t>MM N applied WITHOUT inhibitor - Pasture</t>
  </si>
  <si>
    <t>MM N applied WITHOUT inhibitor - Non-lactating</t>
  </si>
  <si>
    <t>MM N applied WITHOUT inhibitor - Commercial cattle</t>
  </si>
  <si>
    <t>MM N applied WITHOUT inhibitor - Feedlot</t>
  </si>
  <si>
    <t>MM N applied WITHOUT inhibitor - Commercial sheep</t>
  </si>
  <si>
    <t>MM N applied WITHOUT inhibitor - Commercial goats</t>
  </si>
  <si>
    <t>MM N applied WITHOUT inhibitor - Commercial swine</t>
  </si>
  <si>
    <t>MM N applied WITHOUT inhibitor - Commercial layers</t>
  </si>
  <si>
    <t>MM N applied WITHOUT inhibitor - Commercial broilers</t>
  </si>
  <si>
    <t xml:space="preserve"> - TMR</t>
  </si>
  <si>
    <t>MM emissions - TMR</t>
  </si>
  <si>
    <t xml:space="preserve"> - Pasture</t>
  </si>
  <si>
    <t>MM emissions - Pasture</t>
  </si>
  <si>
    <t xml:space="preserve"> - Non-lactating</t>
  </si>
  <si>
    <t>MM emissions - Non-lactating</t>
  </si>
  <si>
    <t xml:space="preserve"> - Commercial cattle</t>
  </si>
  <si>
    <t>MM emissions - Commercial cattle</t>
  </si>
  <si>
    <t xml:space="preserve"> - Subsistence cattle</t>
  </si>
  <si>
    <t>MM emissions - Subsistence cattle</t>
  </si>
  <si>
    <t xml:space="preserve"> - Feedlot</t>
  </si>
  <si>
    <t>MM emissions - Feedlot</t>
  </si>
  <si>
    <t xml:space="preserve"> - Commercial sheep</t>
  </si>
  <si>
    <t>MM emissions - Commercial sheep</t>
  </si>
  <si>
    <t xml:space="preserve"> - Subsistence sheep</t>
  </si>
  <si>
    <t>MM emissions - Subsistence sheep</t>
  </si>
  <si>
    <t xml:space="preserve"> - Commercial goats</t>
  </si>
  <si>
    <t>MM emissions - Commercial goats</t>
  </si>
  <si>
    <t xml:space="preserve"> - Subsistence goats</t>
  </si>
  <si>
    <t>MM emissions - Subsistence goats</t>
  </si>
  <si>
    <t xml:space="preserve"> - Horses</t>
  </si>
  <si>
    <t>MM emissions - Horses</t>
  </si>
  <si>
    <t xml:space="preserve"> - Mules &amp; Asses</t>
  </si>
  <si>
    <t>MM emissions - Mules &amp; Asses</t>
  </si>
  <si>
    <t xml:space="preserve"> - Commercial swine</t>
  </si>
  <si>
    <t>MM emissions - Commercial swine</t>
  </si>
  <si>
    <t xml:space="preserve"> - Subsistence swine</t>
  </si>
  <si>
    <t>MM emissions - Subsistence swine</t>
  </si>
  <si>
    <t xml:space="preserve"> - Commercial layers</t>
  </si>
  <si>
    <t>MM emissions - Commercial layers</t>
  </si>
  <si>
    <t xml:space="preserve"> - Commercial broilers</t>
  </si>
  <si>
    <t>MM emissions - Commercial broilers</t>
  </si>
  <si>
    <t>Volatilisation - Synthetic fertlisers</t>
  </si>
  <si>
    <t>Volatilisation - Organic fertilisers</t>
  </si>
  <si>
    <t>Volatilisation - Managed manure</t>
  </si>
  <si>
    <t>Leaching/runoff - Synthetic fertlisers</t>
  </si>
  <si>
    <t>Leaching/runoff - Organic fertilisers</t>
  </si>
  <si>
    <t>Leaching/runoff - Managed manure</t>
  </si>
  <si>
    <t>Leaching</t>
  </si>
  <si>
    <t>Leaching/runoff - Urine &amp; dung</t>
  </si>
  <si>
    <t>Leaching/runoff - crop residues</t>
  </si>
  <si>
    <t xml:space="preserve"> - FSOM - Forest remaining forest land</t>
  </si>
  <si>
    <t>Leaching/runoff - FSOM - Forest remaining forest land</t>
  </si>
  <si>
    <t xml:space="preserve"> - FSOM - Land converted to forest land</t>
  </si>
  <si>
    <t>Leaching/runoff - FSOM - Land converted to forest land</t>
  </si>
  <si>
    <t xml:space="preserve"> - FSOM - Cropland remaining cropland</t>
  </si>
  <si>
    <t>Leaching/runoff - FSOM - Cropland remaining cropland</t>
  </si>
  <si>
    <t xml:space="preserve"> - FSOM - Land converted to cropland</t>
  </si>
  <si>
    <t>Leaching/runoff - FSOM - Land converted to cropland</t>
  </si>
  <si>
    <t xml:space="preserve"> - FSOM - Grassland remaining grassland</t>
  </si>
  <si>
    <t>Leaching/runoff - FSOM - Grassland remaining grassland</t>
  </si>
  <si>
    <t xml:space="preserve"> - FSOM - Land converted to grassland</t>
  </si>
  <si>
    <t>Leaching/runoff - FSOM - Land converted to grassland</t>
  </si>
  <si>
    <t xml:space="preserve"> - FSOM - Wetland remaining wetland</t>
  </si>
  <si>
    <t>Leaching/runoff - FSOM - Wetland remaining wetland</t>
  </si>
  <si>
    <t xml:space="preserve"> - FSOM - Land converted to wetland</t>
  </si>
  <si>
    <t>Leaching/runoff - FSOM - Land converted to wetland</t>
  </si>
  <si>
    <t xml:space="preserve"> - FSOM - Settlements remaining settlements</t>
  </si>
  <si>
    <t>Leaching/runoff - FSOM - Settlements remaining settlements</t>
  </si>
  <si>
    <t xml:space="preserve"> - FSOM - Land converted to settlements</t>
  </si>
  <si>
    <t>Leaching/runoff - FSOM - Land converted to settlements</t>
  </si>
  <si>
    <t xml:space="preserve"> - FSOM - Other land remaining other land</t>
  </si>
  <si>
    <t>Leaching/runoff - FSOM - Other land remaining other land</t>
  </si>
  <si>
    <t xml:space="preserve"> - FSOM - Land converted to other lands</t>
  </si>
  <si>
    <t>Leaching/runoff - FSOM - Land converted to other lands</t>
  </si>
  <si>
    <t>Percentage of CH4 captured from lagoons/liquid/slurries</t>
  </si>
  <si>
    <t>Percentage of drylot manure diverted to biodigesters</t>
  </si>
  <si>
    <t>Fraction of CH4 captured from lagoons/liquid/slurries</t>
  </si>
  <si>
    <t>Fraction of drylot manure diverted to biodigesters</t>
  </si>
  <si>
    <t>TMR manure CH4 EF</t>
  </si>
  <si>
    <t>Pasture manure CH4 EF</t>
  </si>
  <si>
    <t>Feedlot manure CH4 EF</t>
  </si>
  <si>
    <t>Commercial swine manure CH4 EF</t>
  </si>
  <si>
    <t>Subsistence swine manure CH4 EF</t>
  </si>
  <si>
    <t>Layer manure CH4 EF</t>
  </si>
  <si>
    <t>Manure management Emissions</t>
  </si>
  <si>
    <t>BD</t>
  </si>
  <si>
    <t>Cattle MMCH4</t>
  </si>
  <si>
    <t>Swine MMCH4</t>
  </si>
  <si>
    <t>Poultry MMCH4</t>
  </si>
  <si>
    <t>Cattle MMN2O</t>
  </si>
  <si>
    <t>Swine MMN2O</t>
  </si>
  <si>
    <t>Poultry MMN2O</t>
  </si>
  <si>
    <t>Percentage of subsistence cattle manure that is collected</t>
  </si>
  <si>
    <t>Fraction subsistence cattle manure collected</t>
  </si>
  <si>
    <t>Subsistence cattle population using mitigation option</t>
  </si>
  <si>
    <t>Subsistence cattle population NOT using mitigation option</t>
  </si>
  <si>
    <t>Fraction reduction in N available</t>
  </si>
  <si>
    <t>U&amp;D emissions - TMR</t>
  </si>
  <si>
    <t>U&amp;D emissions - Pasture</t>
  </si>
  <si>
    <t>U&amp;D emissions - Non-lactating</t>
  </si>
  <si>
    <t>U&amp;D emissions - Commercial cattle</t>
  </si>
  <si>
    <t>U&amp;D emissions - Subsistence cattle</t>
  </si>
  <si>
    <t>U&amp;D emissions - Feedlot</t>
  </si>
  <si>
    <t>U&amp;D emissions - Commercial sheep</t>
  </si>
  <si>
    <t>U&amp;D emissions - Subsistence sheep</t>
  </si>
  <si>
    <t>U&amp;D emissions - Commercial goats</t>
  </si>
  <si>
    <t>U&amp;D emissions - Subsistence goats</t>
  </si>
  <si>
    <t>U&amp;D emissions - Horses</t>
  </si>
  <si>
    <t>U&amp;D emissions - Mules &amp; Asses</t>
  </si>
  <si>
    <t>U&amp;D emissions - Commercial swine</t>
  </si>
  <si>
    <t>U&amp;D emissions - Subsistence swine</t>
  </si>
  <si>
    <t>U&amp;D emissions - Commercial layers</t>
  </si>
  <si>
    <t>U&amp;D emissions - Commercial broilers</t>
  </si>
  <si>
    <t>Cultured meat</t>
  </si>
  <si>
    <t>Percentage of beef produced in the laboratory</t>
  </si>
  <si>
    <t>Percentage of lamb produced in the laboratory</t>
  </si>
  <si>
    <t>Percentage of pork produced in the laboratory</t>
  </si>
  <si>
    <t>Percentage of chicken produced in the laboratory</t>
  </si>
  <si>
    <t>Fraction of beef produced on laboratory</t>
  </si>
  <si>
    <t>Fraction of lamb produced on laboratory</t>
  </si>
  <si>
    <t>Fraction of pork produced on laboratory</t>
  </si>
  <si>
    <t>Fraction of chicken produced on laboratory</t>
  </si>
  <si>
    <t>Volatilisation - Urine &amp; dung</t>
  </si>
  <si>
    <t xml:space="preserve"> - Forest remaining forest land</t>
  </si>
  <si>
    <t>FSOM - Forest remaining forest land</t>
  </si>
  <si>
    <t xml:space="preserve"> - Land converted to forest land</t>
  </si>
  <si>
    <t>FSOM - Land converted to forest land</t>
  </si>
  <si>
    <t xml:space="preserve"> - Cropland remaining cropland</t>
  </si>
  <si>
    <t>FSOM - Cropland remaining cropland</t>
  </si>
  <si>
    <t xml:space="preserve"> - Land converted to cropland</t>
  </si>
  <si>
    <t>FSOM - Land converted to cropland</t>
  </si>
  <si>
    <t xml:space="preserve"> - Grassland remaining grassland</t>
  </si>
  <si>
    <t>FSOM - Grassland remaining grassland</t>
  </si>
  <si>
    <t xml:space="preserve"> - Land converted to grassland</t>
  </si>
  <si>
    <t>FSOM - Land converted to grassland</t>
  </si>
  <si>
    <t xml:space="preserve"> - Wetland remaining wetland</t>
  </si>
  <si>
    <t>FSOM - Wetland remaining wetland</t>
  </si>
  <si>
    <t xml:space="preserve"> - Land converted to wetland</t>
  </si>
  <si>
    <t>FSOM - Land converted to wetland</t>
  </si>
  <si>
    <t xml:space="preserve"> - Settlements remaining settlements</t>
  </si>
  <si>
    <t>FSOM - Settlements remaining settlements</t>
  </si>
  <si>
    <t xml:space="preserve"> - Land converted to settlements</t>
  </si>
  <si>
    <t>FSOM - Land converted to settlements</t>
  </si>
  <si>
    <t xml:space="preserve"> - Other land remaining other land</t>
  </si>
  <si>
    <t>FSOM - Other land remaining other land</t>
  </si>
  <si>
    <t xml:space="preserve"> - Land converted to other lands</t>
  </si>
  <si>
    <t>FSOM - Land converted to other lands</t>
  </si>
  <si>
    <t>Volatilisation - TMR</t>
  </si>
  <si>
    <t>Volatilisation - Pasture</t>
  </si>
  <si>
    <t>Volatilisation - Non-lactating</t>
  </si>
  <si>
    <t>Volatilisation - Commercial cattle</t>
  </si>
  <si>
    <t>Volatilisation - Subsistence cattle</t>
  </si>
  <si>
    <t>Volatilisation - Feedlot</t>
  </si>
  <si>
    <t>Volatilisation - Commercial sheep</t>
  </si>
  <si>
    <t>Volatilisation - Subsistence sheep</t>
  </si>
  <si>
    <t>Volatilisation - Commercial goats</t>
  </si>
  <si>
    <t>Volatilisation - Subsistence goats</t>
  </si>
  <si>
    <t>Volatilisation - Horses</t>
  </si>
  <si>
    <t>Volatilisation - Mules &amp; Asses</t>
  </si>
  <si>
    <t>Volatilisation - Commercial swine</t>
  </si>
  <si>
    <t>Volatilisation - Subsistence swine</t>
  </si>
  <si>
    <t>Volatilisation - Commercial layers</t>
  </si>
  <si>
    <t>Volatilisation - Commercial broilers</t>
  </si>
  <si>
    <t>Leaching/runoff - TMR</t>
  </si>
  <si>
    <t>Leaching/runoff - Pasture</t>
  </si>
  <si>
    <t>Leaching/runoff - Non-lactating</t>
  </si>
  <si>
    <t>Leaching/runoff - Commercial cattle</t>
  </si>
  <si>
    <t>Leaching/runoff - Subsistence cattle</t>
  </si>
  <si>
    <t>Leaching/runoff - Feedlot</t>
  </si>
  <si>
    <t>Leaching/runoff - Commercial sheep</t>
  </si>
  <si>
    <t>Leaching/runoff - Subsistence sheep</t>
  </si>
  <si>
    <t>Leaching/runoff - Commercial goats</t>
  </si>
  <si>
    <t>Leaching/runoff - Subsistence goats</t>
  </si>
  <si>
    <t>Leaching/runoff - Horses</t>
  </si>
  <si>
    <t>Leaching/runoff - Mules &amp; Asses</t>
  </si>
  <si>
    <t>Leaching/runoff - Commercial swine</t>
  </si>
  <si>
    <t>Leaching/runoff - Subsistence swine</t>
  </si>
  <si>
    <t>Leaching/runoff - Commercial layers</t>
  </si>
  <si>
    <t>Leaching/runoff - Commercial broilers</t>
  </si>
  <si>
    <t>CM</t>
  </si>
  <si>
    <t>Mules&amp;Asses</t>
  </si>
  <si>
    <t>Sheep MMCH4</t>
  </si>
  <si>
    <t>Goats MMCH4</t>
  </si>
  <si>
    <t>Horses MMCH4</t>
  </si>
  <si>
    <t>Mules MMCH4</t>
  </si>
  <si>
    <t>Sheep MMN2O</t>
  </si>
  <si>
    <t>Goats MMN2O</t>
  </si>
  <si>
    <t>Horses MMN2O</t>
  </si>
  <si>
    <t>Mules MMN2O</t>
  </si>
  <si>
    <t>MM Volatilisation</t>
  </si>
  <si>
    <t>MM Leaching</t>
  </si>
  <si>
    <t>Mules MM CH4</t>
  </si>
  <si>
    <t>Mattle MMN2O</t>
  </si>
  <si>
    <t>U&amp;D</t>
  </si>
  <si>
    <t>Genetic selection and breeding</t>
  </si>
  <si>
    <t>Genetics and breeding</t>
  </si>
  <si>
    <t>Percentage reduction in TMR dairy cattle methane yield (relative to 2017)</t>
  </si>
  <si>
    <t>Percentage reduction in Pasture dairy cattle methane yield (relative to 2017)</t>
  </si>
  <si>
    <t>Percentage reduction in non-lactating dairy cattle methane yield (relative to 2017)</t>
  </si>
  <si>
    <t>Percentage reduction in commercial other cattle methane yield (relative to 2017)</t>
  </si>
  <si>
    <t>Percentage reduction in feedlot cattle methane yield (relative to 2017)</t>
  </si>
  <si>
    <t>Fraction reduction in TMR dairy cattle methane yield (relative to 2017)</t>
  </si>
  <si>
    <t>Fraction reduction in Pasture dairy cattle methane yield (relative to 2017)</t>
  </si>
  <si>
    <t>Fraction reduction in non-lactating dairy cattle methane yield (relative to 2017)</t>
  </si>
  <si>
    <t>Fraction reduction in commercial other cattle methane yield (relative to 2017)</t>
  </si>
  <si>
    <t>Fraction reduction in feedlot cattle methane yield (relative to 2017)</t>
  </si>
  <si>
    <t>Methane yield in Pasture cattle</t>
  </si>
  <si>
    <t>Methane yield in non-lactating dairy cattle</t>
  </si>
  <si>
    <t>Methane yield in commercial other cattle</t>
  </si>
  <si>
    <t>Percentage of Pasture dairy population applying mitigation action</t>
  </si>
  <si>
    <t>Commercial other cattle population affected by mitigation action</t>
  </si>
  <si>
    <t>Commercial other cattle population NOT affected by mitigation action</t>
  </si>
  <si>
    <t>Enteric fermentation EF (with mitigation) in TMR dairy cattle</t>
  </si>
  <si>
    <t>Enteric fermentation EF (with mitigation) in Pasture dairy cattle</t>
  </si>
  <si>
    <t>Enteric fermentation EF (with mitigation) in non-lactating dairy cattle</t>
  </si>
  <si>
    <t>Enteric fermentation EF (with mitigation) in commercial other cattle</t>
  </si>
  <si>
    <t>Enteric fermentation EF (with mitigation) in feedlot cattle</t>
  </si>
  <si>
    <t>Fraction Meat production efficiency increase</t>
  </si>
  <si>
    <t>Fraction meat production efficiency increase</t>
  </si>
  <si>
    <t>Percentage increase in milk production efficiency</t>
  </si>
  <si>
    <t>Beef production efficiency</t>
  </si>
  <si>
    <t>Percentage increase in beef production efficiency</t>
  </si>
  <si>
    <t>Milk production efficiency (PQGS)</t>
  </si>
  <si>
    <t>Meat production efficiency (PQGS)</t>
  </si>
  <si>
    <t>Percentage reduction in beef consumption</t>
  </si>
  <si>
    <t>Percentage increase in lamb consumption</t>
  </si>
  <si>
    <t>Percentage increase in poultry consumption</t>
  </si>
  <si>
    <t>Fraction reduction in beef consumption</t>
  </si>
  <si>
    <t>Fraction increase in lamb consumption</t>
  </si>
  <si>
    <t>Fraction increase in chicken consumption</t>
  </si>
  <si>
    <t>Feedlot production efficiency (PQGS)</t>
  </si>
  <si>
    <t>MITIGATION LEVER VARIABLES</t>
  </si>
  <si>
    <t>FSFAGSPQNIBDDSCM</t>
  </si>
  <si>
    <t>Diet shift: Reduced beef</t>
  </si>
  <si>
    <t>Diet shift: Plant based</t>
  </si>
  <si>
    <t>PB</t>
  </si>
  <si>
    <t>Shift to lamb, chicken and pork</t>
  </si>
  <si>
    <t>Shift to plant based</t>
  </si>
  <si>
    <t>MS</t>
  </si>
  <si>
    <t>For diet shift one needs to also indicate the type of diet shift, either shift from beef to lamb, pork, chicken (MS) or to plant based diet (PB)</t>
  </si>
  <si>
    <t>Cultured or printed meat</t>
  </si>
  <si>
    <t>Mitigation options</t>
  </si>
  <si>
    <t>#LS #22/07/2021 Comment: I can add levers here for the variables below as well if this would be preferred.</t>
  </si>
  <si>
    <t>#LS #24/07/2021 Comment: Not enough time to include this one. Wont be a huge impact. Can include if we have more time and shouldn't change the model too much as much of the additions would be in the intermediate calculations and wouldn't affect the output rows.</t>
  </si>
  <si>
    <t>#LS #24/07/2021 Comment: Not enough time to include this one. Could be a fair contributor in later years. Can include if we have more time and shouldn't change the model too much as much of the additions would be in the intermediate calculations and wouldn't affect the output rows.</t>
  </si>
  <si>
    <t>#LS #22/07/2021 Should maybe add units on this page??</t>
  </si>
  <si>
    <t>Agriculture_model_Linked_Net Zero_v3</t>
  </si>
  <si>
    <t>27-07-2021</t>
  </si>
  <si>
    <t>Added in the net zero mitigation actions</t>
  </si>
  <si>
    <t>Net zero activities &amp; levers</t>
  </si>
  <si>
    <t>Net zero Activity data</t>
  </si>
  <si>
    <t>Net zero supporting data</t>
  </si>
  <si>
    <t>Net zero emission reductions</t>
  </si>
  <si>
    <t>Net zero emission summary</t>
  </si>
  <si>
    <t>Net zero outputs</t>
  </si>
  <si>
    <t>This page provides the levers (On &amp; Off) for each of the mitigation actions. It also provides the variables for the implementation of these ations</t>
  </si>
  <si>
    <t>These pages propvide the supporting data for the mitigation calculations.</t>
  </si>
  <si>
    <t>Net zero intermediate calcs</t>
  </si>
  <si>
    <t>This provides the emisison outputs for the various categories.</t>
  </si>
  <si>
    <t>This provides a summary output which just shows the baseline and the total emisison reductions.</t>
  </si>
  <si>
    <t>#LS #27/07/2021 Comments: The reddish and pinkish tabs are the tabs with the data for the  net zero modelling.</t>
  </si>
  <si>
    <t>Level</t>
  </si>
  <si>
    <t>PAMS_RUN</t>
  </si>
  <si>
    <t>RES</t>
  </si>
  <si>
    <t>TRA</t>
  </si>
  <si>
    <t>WASTE</t>
  </si>
  <si>
    <t>AFOLU</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</si>
  <si>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</si>
  <si>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</si>
  <si>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</si>
  <si>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</si>
  <si>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</si>
  <si>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</si>
  <si>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</si>
  <si>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</si>
  <si>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</si>
  <si>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</si>
  <si>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</si>
  <si>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</si>
  <si>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</si>
  <si>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</si>
  <si>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</si>
  <si>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</si>
  <si>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</si>
  <si>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</si>
  <si>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</si>
  <si>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</si>
  <si>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</si>
  <si>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</si>
  <si>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</si>
  <si>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</si>
  <si>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</si>
  <si>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</si>
  <si>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</si>
  <si>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</si>
  <si>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</si>
  <si>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</si>
  <si>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</si>
  <si>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</si>
  <si>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</si>
  <si>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</si>
  <si>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</si>
  <si>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</si>
  <si>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</si>
  <si>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</si>
  <si>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</si>
  <si>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agr</t>
  </si>
  <si>
    <t>GVA_FS</t>
  </si>
  <si>
    <t>fa</t>
  </si>
  <si>
    <t>al</t>
  </si>
  <si>
    <t>gl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</si>
</sst>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 #,##0.00_-;_-* &quot;-&quot;??_-;_-@_-"/>
    <numFmt numFmtId="164" formatCode="0.000"/>
    <numFmt numFmtId="165" formatCode="0_ ;\-0\ "/>
    <numFmt numFmtId="166" formatCode="0.0"/>
    <numFmt numFmtId="167" formatCode="0.0000"/>
    <numFmt numFmtId="168" formatCode="#,##0.000"/>
    <numFmt numFmtId="169" formatCode="0.0%"/>
  </numFmts>
  <fonts count="30" x14ac:knownFonts="1">
    <font>
      <sz val="11"/>
      <color theme="1"/>
      <name val="Calibri"/>
      <family val="2"/>
      <scheme val="minor"/>
    </font>
    <font>
      <sz val="11"/>
      <color theme="0"/>
      <name val="Calibri"/>
      <family val="2"/>
      <scheme val="minor"/>
    </font>
    <font>
      <sz val="10"/>
      <name val="Arial"/>
      <family val="2"/>
    </font>
    <font>
      <sz val="11"/>
      <name val="Calibri"/>
      <family val="2"/>
      <scheme val="minor"/>
    </font>
    <font>
      <b/>
      <sz val="11"/>
      <color theme="1"/>
      <name val="Calibri"/>
      <family val="2"/>
      <scheme val="minor"/>
    </font>
    <font>
      <sz val="10"/>
      <color theme="1"/>
      <name val="Arial"/>
      <family val="2"/>
    </font>
    <font>
      <b/>
      <sz val="14"/>
      <color theme="1"/>
      <name val="Calibri"/>
      <family val="2"/>
      <scheme val="minor"/>
    </font>
    <font>
      <b/>
      <i/>
      <sz val="11"/>
      <color theme="1"/>
      <name val="Calibri"/>
      <family val="2"/>
      <scheme val="minor"/>
    </font>
    <font>
      <b/>
      <sz val="12"/>
      <color theme="1"/>
      <name val="Calibri"/>
      <family val="2"/>
      <scheme val="minor"/>
    </font>
    <font>
      <b/>
      <sz val="13"/>
      <color theme="1"/>
      <name val="Calibri"/>
      <family val="2"/>
      <scheme val="minor"/>
    </font>
    <font>
      <i/>
      <sz val="11"/>
      <color theme="0" tint="-0.34998626667073579"/>
      <name val="Calibri"/>
      <family val="2"/>
      <scheme val="minor"/>
    </font>
    <font>
      <b/>
      <sz val="12"/>
      <color theme="0"/>
      <name val="Calibri"/>
      <family val="2"/>
      <scheme val="minor"/>
    </font>
    <font>
      <sz val="11"/>
      <color theme="1"/>
      <name val="Calibri"/>
      <family val="2"/>
      <scheme val="minor"/>
    </font>
    <font>
      <b/>
      <sz val="10"/>
      <name val="Arial"/>
      <family val="2"/>
    </font>
    <font>
      <b/>
      <sz val="10"/>
      <color rgb="FF0070C0"/>
      <name val="Arial"/>
      <family val="2"/>
    </font>
    <font>
      <sz val="10"/>
      <color rgb="FF0070C0"/>
      <name val="Arial"/>
      <family val="2"/>
    </font>
    <font>
      <b/>
      <sz val="12"/>
      <name val="Calibri"/>
      <family val="2"/>
      <scheme val="minor"/>
    </font>
    <font>
      <b/>
      <i/>
      <sz val="10"/>
      <color theme="1"/>
      <name val="Calibri"/>
      <family val="2"/>
      <scheme val="minor"/>
    </font>
    <font>
      <i/>
      <sz val="11"/>
      <color rgb="FFFF0000"/>
      <name val="Calibri"/>
      <family val="2"/>
      <scheme val="minor"/>
    </font>
    <font>
      <sz val="11"/>
      <color rgb="FF9C0006"/>
      <name val="Calibri"/>
      <family val="2"/>
      <scheme val="minor"/>
    </font>
    <font>
      <b/>
      <sz val="14"/>
      <color theme="0"/>
      <name val="Calibri"/>
      <family val="2"/>
      <scheme val="minor"/>
    </font>
    <font>
      <b/>
      <i/>
      <sz val="11"/>
      <color theme="5" tint="-0.249977111117893"/>
      <name val="Calibri"/>
      <family val="2"/>
      <scheme val="minor"/>
    </font>
    <font>
      <i/>
      <sz val="11"/>
      <color theme="1"/>
      <name val="Calibri"/>
      <family val="2"/>
      <scheme val="minor"/>
    </font>
    <font>
      <b/>
      <i/>
      <sz val="11"/>
      <color theme="5"/>
      <name val="Calibri"/>
      <family val="2"/>
      <scheme val="minor"/>
    </font>
    <font>
      <i/>
      <sz val="11"/>
      <color theme="5"/>
      <name val="Calibri"/>
      <family val="2"/>
      <scheme val="minor"/>
    </font>
    <font>
      <b/>
      <i/>
      <sz val="12"/>
      <color theme="5"/>
      <name val="Calibri"/>
      <family val="2"/>
      <scheme val="minor"/>
    </font>
    <font>
      <b/>
      <i/>
      <sz val="11"/>
      <name val="Calibri"/>
      <family val="2"/>
      <scheme val="minor"/>
    </font>
    <font>
      <sz val="8"/>
      <name val="Calibri"/>
      <family val="2"/>
      <scheme val="minor"/>
    </font>
    <font>
      <b/>
      <sz val="11"/>
      <color theme="0"/>
      <name val="Calibri"/>
      <family val="2"/>
      <scheme val="minor"/>
    </font>
    <font>
      <sz val="10"/>
      <color theme="1"/>
      <name val="Calibri"/>
      <family val="2"/>
      <scheme val="minor"/>
    </font>
  </fonts>
  <fills count="38">
    <fill>
      <patternFill patternType="none"/>
    </fill>
    <fill>
      <patternFill patternType="gray125"/>
    </fill>
    <fill>
      <patternFill patternType="solid">
        <fgColor rgb="FFB482FF"/>
        <bgColor indexed="64"/>
      </patternFill>
    </fill>
    <fill>
      <patternFill patternType="solid">
        <fgColor rgb="FF324150"/>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rgb="FFFFFF99"/>
        <bgColor indexed="64"/>
      </patternFill>
    </fill>
    <fill>
      <patternFill patternType="solid">
        <fgColor rgb="FFFFC5E2"/>
        <bgColor indexed="64"/>
      </patternFill>
    </fill>
    <fill>
      <patternFill patternType="solid">
        <fgColor rgb="FFCAEAB4"/>
        <bgColor indexed="64"/>
      </patternFill>
    </fill>
    <fill>
      <patternFill patternType="solid">
        <fgColor theme="0" tint="-0.249977111117893"/>
        <bgColor indexed="64"/>
      </patternFill>
    </fill>
    <fill>
      <patternFill patternType="solid">
        <fgColor rgb="FFCC6600"/>
        <bgColor indexed="64"/>
      </patternFill>
    </fill>
    <fill>
      <patternFill patternType="solid">
        <fgColor rgb="FFAADC9B"/>
        <bgColor indexed="64"/>
      </patternFill>
    </fill>
    <fill>
      <patternFill patternType="solid">
        <fgColor theme="0" tint="-0.14999847407452621"/>
        <bgColor indexed="64"/>
      </patternFill>
    </fill>
    <fill>
      <patternFill patternType="solid">
        <fgColor theme="9" tint="0.59996337778862885"/>
        <bgColor indexed="64"/>
      </patternFill>
    </fill>
    <fill>
      <patternFill patternType="solid">
        <fgColor theme="2" tint="0.79998168889431442"/>
        <bgColor indexed="64"/>
      </patternFill>
    </fill>
    <fill>
      <patternFill patternType="solid">
        <fgColor theme="8" tint="0.79998168889431442"/>
        <bgColor indexed="64"/>
      </patternFill>
    </fill>
    <fill>
      <patternFill patternType="solid">
        <fgColor rgb="FF0070C0"/>
        <bgColor indexed="64"/>
      </patternFill>
    </fill>
    <fill>
      <patternFill patternType="solid">
        <fgColor rgb="FFCCCCFF"/>
        <bgColor indexed="64"/>
      </patternFill>
    </fill>
    <fill>
      <patternFill patternType="solid">
        <fgColor rgb="FFFFFF00"/>
        <bgColor indexed="64"/>
      </patternFill>
    </fill>
    <fill>
      <patternFill patternType="solid">
        <fgColor theme="5"/>
        <bgColor indexed="64"/>
      </patternFill>
    </fill>
    <fill>
      <patternFill patternType="solid">
        <fgColor rgb="FF7030A0"/>
        <bgColor indexed="64"/>
      </patternFill>
    </fill>
    <fill>
      <patternFill patternType="solid">
        <fgColor theme="8"/>
        <bgColor indexed="64"/>
      </patternFill>
    </fill>
    <fill>
      <patternFill patternType="solid">
        <fgColor theme="2" tint="0.59999389629810485"/>
        <bgColor indexed="64"/>
      </patternFill>
    </fill>
    <fill>
      <patternFill patternType="solid">
        <fgColor rgb="FF92D050"/>
        <bgColor indexed="64"/>
      </patternFill>
    </fill>
    <fill>
      <patternFill patternType="solid">
        <fgColor rgb="FF009900"/>
        <bgColor indexed="64"/>
      </patternFill>
    </fill>
    <fill>
      <patternFill patternType="solid">
        <fgColor theme="0"/>
        <bgColor indexed="64"/>
      </patternFill>
    </fill>
    <fill>
      <patternFill patternType="solid">
        <fgColor rgb="FFFFCCFF"/>
        <bgColor indexed="64"/>
      </patternFill>
    </fill>
    <fill>
      <patternFill patternType="solid">
        <fgColor theme="0" tint="-0.499984740745262"/>
        <bgColor indexed="64"/>
      </patternFill>
    </fill>
    <fill>
      <patternFill patternType="solid">
        <fgColor rgb="FF9966FF"/>
        <bgColor indexed="64"/>
      </patternFill>
    </fill>
    <fill>
      <patternFill patternType="solid">
        <fgColor rgb="FFFFC7CE"/>
      </patternFill>
    </fill>
    <fill>
      <patternFill patternType="solid">
        <fgColor theme="5"/>
      </patternFill>
    </fill>
    <fill>
      <patternFill patternType="solid">
        <fgColor theme="1"/>
        <bgColor indexed="64"/>
      </patternFill>
    </fill>
    <fill>
      <patternFill patternType="solid">
        <fgColor rgb="FFFF00FF"/>
        <bgColor indexed="64"/>
      </patternFill>
    </fill>
    <fill>
      <patternFill patternType="solid">
        <fgColor rgb="FF3366FF"/>
        <bgColor indexed="64"/>
      </patternFill>
    </fill>
    <fill>
      <patternFill patternType="solid">
        <fgColor theme="2"/>
        <bgColor indexed="64"/>
      </patternFill>
    </fill>
    <fill>
      <patternFill patternType="solid">
        <fgColor theme="2" tint="0.39997558519241921"/>
        <bgColor indexed="64"/>
      </patternFill>
    </fill>
    <fill>
      <patternFill patternType="solid">
        <fgColor rgb="FFFF0066"/>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double">
        <color rgb="FF3F3F3F"/>
      </left>
      <right style="double">
        <color rgb="FF3F3F3F"/>
      </right>
      <top style="double">
        <color rgb="FF3F3F3F"/>
      </top>
      <bottom style="double">
        <color rgb="FF3F3F3F"/>
      </bottom>
      <diagonal/>
    </border>
    <border>
      <left style="thin">
        <color theme="0"/>
      </left>
      <right style="thin">
        <color theme="0"/>
      </right>
      <top style="thin">
        <color theme="0"/>
      </top>
      <bottom style="thin">
        <color theme="0"/>
      </bottom>
      <diagonal/>
    </border>
    <border>
      <left style="thin">
        <color theme="0"/>
      </left>
      <right/>
      <top/>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17">
    <xf numFmtId="0" fontId="0" fillId="0" borderId="0"/>
    <xf numFmtId="0" fontId="2" fillId="0" borderId="0"/>
    <xf numFmtId="0" fontId="5" fillId="0" borderId="0"/>
    <xf numFmtId="0" fontId="1" fillId="2" borderId="0" applyAlignment="0" applyProtection="0"/>
    <xf numFmtId="0" fontId="3" fillId="9" borderId="0" applyNumberFormat="0" applyAlignment="0" applyProtection="0"/>
    <xf numFmtId="0" fontId="3" fillId="7" borderId="0" applyNumberFormat="0" applyAlignment="0" applyProtection="0"/>
    <xf numFmtId="0" fontId="3" fillId="8" borderId="6" applyNumberFormat="0" applyAlignment="0" applyProtection="0"/>
    <xf numFmtId="0" fontId="1" fillId="11" borderId="0" applyAlignment="0" applyProtection="0"/>
    <xf numFmtId="0" fontId="3" fillId="12" borderId="0" applyAlignment="0" applyProtection="0"/>
    <xf numFmtId="43" fontId="12" fillId="0" borderId="0" applyFont="0" applyFill="0" applyBorder="0" applyAlignment="0" applyProtection="0"/>
    <xf numFmtId="4" fontId="3" fillId="14" borderId="0"/>
    <xf numFmtId="0" fontId="3" fillId="15" borderId="0"/>
    <xf numFmtId="0" fontId="12" fillId="16" borderId="0"/>
    <xf numFmtId="0" fontId="12" fillId="18" borderId="0"/>
    <xf numFmtId="9" fontId="12" fillId="0" borderId="0" applyFont="0" applyFill="0" applyBorder="0" applyAlignment="0" applyProtection="0"/>
    <xf numFmtId="0" fontId="19" fillId="30" borderId="0" applyNumberFormat="0" applyBorder="0" applyAlignment="0" applyProtection="0"/>
    <xf numFmtId="0" fontId="1" fillId="31" borderId="0" applyNumberFormat="0" applyBorder="0" applyAlignment="0" applyProtection="0"/>
  </cellStyleXfs>
  <cellXfs count="146">
    <xf numFmtId="0" fontId="0" fillId="0" borderId="0" xfId="0"/>
    <xf numFmtId="0" fontId="6" fillId="0" borderId="0" xfId="0" applyFont="1"/>
    <xf numFmtId="0" fontId="8" fillId="5" borderId="1" xfId="0" applyFont="1" applyFill="1" applyBorder="1"/>
    <xf numFmtId="0" fontId="0" fillId="0" borderId="1" xfId="0" applyBorder="1"/>
    <xf numFmtId="0" fontId="0" fillId="0" borderId="1" xfId="0" applyBorder="1" applyAlignment="1">
      <alignment vertical="center"/>
    </xf>
    <xf numFmtId="0" fontId="10" fillId="0" borderId="1" xfId="0" applyFont="1" applyBorder="1"/>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left" vertical="center"/>
    </xf>
    <xf numFmtId="0" fontId="0" fillId="0" borderId="1" xfId="0" applyBorder="1" applyAlignment="1">
      <alignment horizontal="left" vertical="center" wrapText="1"/>
    </xf>
    <xf numFmtId="0" fontId="8" fillId="5" borderId="5" xfId="0" applyFont="1" applyFill="1" applyBorder="1"/>
    <xf numFmtId="3" fontId="0" fillId="0" borderId="0" xfId="0" applyNumberFormat="1"/>
    <xf numFmtId="0" fontId="3" fillId="0" borderId="0" xfId="0" applyFont="1"/>
    <xf numFmtId="0" fontId="7" fillId="6" borderId="0" xfId="0" applyFont="1" applyFill="1"/>
    <xf numFmtId="0" fontId="0" fillId="0" borderId="0" xfId="0" applyAlignment="1">
      <alignment wrapText="1"/>
    </xf>
    <xf numFmtId="0" fontId="1" fillId="10" borderId="0" xfId="0" applyFont="1" applyFill="1"/>
    <xf numFmtId="0" fontId="1" fillId="10" borderId="0" xfId="0" applyFont="1" applyFill="1" applyAlignment="1">
      <alignment wrapText="1"/>
    </xf>
    <xf numFmtId="0" fontId="11" fillId="3" borderId="0" xfId="0" applyFont="1" applyFill="1"/>
    <xf numFmtId="0" fontId="11" fillId="3" borderId="0" xfId="0" applyFont="1" applyFill="1" applyAlignment="1">
      <alignment wrapText="1"/>
    </xf>
    <xf numFmtId="0" fontId="8" fillId="0" borderId="0" xfId="0" applyFont="1"/>
    <xf numFmtId="0" fontId="8" fillId="10" borderId="0" xfId="0" applyFont="1" applyFill="1"/>
    <xf numFmtId="0" fontId="3" fillId="9" borderId="0" xfId="4"/>
    <xf numFmtId="0" fontId="3" fillId="7" borderId="0" xfId="5"/>
    <xf numFmtId="0" fontId="0" fillId="0" borderId="0" xfId="0" applyFill="1"/>
    <xf numFmtId="3" fontId="3" fillId="7" borderId="0" xfId="5" applyNumberFormat="1"/>
    <xf numFmtId="2" fontId="3" fillId="9" borderId="0" xfId="4" applyNumberFormat="1"/>
    <xf numFmtId="164" fontId="3" fillId="7" borderId="0" xfId="5" applyNumberFormat="1"/>
    <xf numFmtId="0" fontId="1" fillId="11" borderId="0" xfId="7"/>
    <xf numFmtId="4" fontId="3" fillId="7" borderId="0" xfId="5" applyNumberFormat="1"/>
    <xf numFmtId="0" fontId="0" fillId="0" borderId="1" xfId="0" applyBorder="1" applyAlignment="1">
      <alignment vertical="center"/>
    </xf>
    <xf numFmtId="0" fontId="13" fillId="0" borderId="0" xfId="0" applyFont="1"/>
    <xf numFmtId="0" fontId="13" fillId="0" borderId="0" xfId="0" applyFont="1" applyFill="1"/>
    <xf numFmtId="0" fontId="2" fillId="0" borderId="0" xfId="0" applyFont="1" applyFill="1"/>
    <xf numFmtId="165" fontId="13" fillId="0" borderId="0" xfId="9" applyNumberFormat="1" applyFont="1" applyFill="1" applyProtection="1"/>
    <xf numFmtId="165" fontId="14" fillId="0" borderId="0" xfId="9" applyNumberFormat="1" applyFont="1" applyFill="1" applyProtection="1"/>
    <xf numFmtId="2" fontId="2" fillId="0" borderId="0" xfId="0" applyNumberFormat="1" applyFont="1" applyFill="1"/>
    <xf numFmtId="2" fontId="15" fillId="0" borderId="0" xfId="0" applyNumberFormat="1" applyFont="1" applyFill="1"/>
    <xf numFmtId="0" fontId="2" fillId="0" borderId="0" xfId="0" applyFont="1"/>
    <xf numFmtId="2" fontId="2" fillId="0" borderId="0" xfId="0" applyNumberFormat="1" applyFont="1"/>
    <xf numFmtId="2" fontId="15" fillId="0" borderId="0" xfId="0" applyNumberFormat="1" applyFont="1"/>
    <xf numFmtId="2" fontId="2" fillId="0" borderId="0" xfId="0" applyNumberFormat="1" applyFont="1" applyFill="1" applyAlignment="1">
      <alignment horizontal="right"/>
    </xf>
    <xf numFmtId="2" fontId="15" fillId="0" borderId="0" xfId="0" applyNumberFormat="1" applyFont="1" applyFill="1" applyAlignment="1">
      <alignment horizontal="right"/>
    </xf>
    <xf numFmtId="0" fontId="4" fillId="13" borderId="0" xfId="0" applyFont="1" applyFill="1"/>
    <xf numFmtId="3" fontId="3" fillId="9" borderId="0" xfId="4" applyNumberFormat="1"/>
    <xf numFmtId="4" fontId="3" fillId="9" borderId="0" xfId="4" applyNumberFormat="1"/>
    <xf numFmtId="0" fontId="3" fillId="15" borderId="0" xfId="11"/>
    <xf numFmtId="4" fontId="16" fillId="7" borderId="0" xfId="5" applyNumberFormat="1" applyFont="1"/>
    <xf numFmtId="0" fontId="16" fillId="7" borderId="0" xfId="5" applyFont="1"/>
    <xf numFmtId="0" fontId="12" fillId="16" borderId="0" xfId="12"/>
    <xf numFmtId="0" fontId="8" fillId="13" borderId="0" xfId="0" applyFont="1" applyFill="1"/>
    <xf numFmtId="0" fontId="0" fillId="13" borderId="0" xfId="0" applyFill="1"/>
    <xf numFmtId="2" fontId="3" fillId="7" borderId="0" xfId="5" applyNumberFormat="1"/>
    <xf numFmtId="0" fontId="17" fillId="13" borderId="0" xfId="0" applyFont="1" applyFill="1"/>
    <xf numFmtId="0" fontId="1" fillId="17" borderId="0" xfId="0" applyFont="1" applyFill="1"/>
    <xf numFmtId="0" fontId="12" fillId="18" borderId="0" xfId="13"/>
    <xf numFmtId="10" fontId="0" fillId="0" borderId="0" xfId="0" applyNumberFormat="1"/>
    <xf numFmtId="0" fontId="0" fillId="19" borderId="1" xfId="0" applyFill="1" applyBorder="1" applyAlignment="1">
      <alignment vertical="center"/>
    </xf>
    <xf numFmtId="0" fontId="0" fillId="20" borderId="1" xfId="0" applyFill="1" applyBorder="1" applyAlignment="1">
      <alignment vertical="center"/>
    </xf>
    <xf numFmtId="0" fontId="0" fillId="0" borderId="1" xfId="0" applyBorder="1" applyAlignment="1">
      <alignment vertical="center" wrapText="1"/>
    </xf>
    <xf numFmtId="0" fontId="1" fillId="21" borderId="1" xfId="0" applyFont="1" applyFill="1" applyBorder="1" applyAlignment="1">
      <alignment vertical="center"/>
    </xf>
    <xf numFmtId="0" fontId="1" fillId="22" borderId="1" xfId="0" applyFont="1"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25" borderId="1" xfId="0" applyFill="1" applyBorder="1" applyAlignment="1">
      <alignment vertical="center"/>
    </xf>
    <xf numFmtId="0" fontId="3" fillId="9" borderId="1" xfId="4" applyBorder="1" applyAlignment="1">
      <alignment vertical="center"/>
    </xf>
    <xf numFmtId="0" fontId="3" fillId="7" borderId="1" xfId="5" applyBorder="1" applyAlignment="1">
      <alignment vertical="center"/>
    </xf>
    <xf numFmtId="0" fontId="3" fillId="15" borderId="1" xfId="11" applyBorder="1" applyAlignment="1">
      <alignment vertical="center"/>
    </xf>
    <xf numFmtId="0" fontId="0" fillId="16" borderId="1" xfId="12" applyFont="1" applyBorder="1"/>
    <xf numFmtId="0" fontId="1" fillId="11" borderId="1" xfId="7" applyBorder="1"/>
    <xf numFmtId="0" fontId="12" fillId="18" borderId="1" xfId="13" applyBorder="1"/>
    <xf numFmtId="0" fontId="3" fillId="0" borderId="0" xfId="5" applyFill="1"/>
    <xf numFmtId="167" fontId="3" fillId="7" borderId="0" xfId="5" applyNumberFormat="1"/>
    <xf numFmtId="0" fontId="8" fillId="6" borderId="0" xfId="0" applyFont="1" applyFill="1"/>
    <xf numFmtId="0" fontId="17" fillId="6" borderId="0" xfId="0" applyFont="1" applyFill="1"/>
    <xf numFmtId="0" fontId="0" fillId="6" borderId="0" xfId="0" applyFill="1"/>
    <xf numFmtId="0" fontId="0" fillId="27" borderId="0" xfId="0" applyFill="1"/>
    <xf numFmtId="0" fontId="18" fillId="26" borderId="0" xfId="0" applyFont="1" applyFill="1"/>
    <xf numFmtId="2" fontId="18" fillId="26" borderId="0" xfId="4" applyNumberFormat="1" applyFont="1" applyFill="1"/>
    <xf numFmtId="3" fontId="3" fillId="0" borderId="0" xfId="4" applyNumberFormat="1" applyFill="1"/>
    <xf numFmtId="0" fontId="12" fillId="0" borderId="0" xfId="12" applyFill="1"/>
    <xf numFmtId="0" fontId="3" fillId="0" borderId="0" xfId="11" applyFill="1"/>
    <xf numFmtId="168" fontId="3" fillId="9" borderId="0" xfId="4" applyNumberFormat="1"/>
    <xf numFmtId="0" fontId="4" fillId="0" borderId="1" xfId="0" applyFont="1" applyBorder="1" applyAlignment="1">
      <alignment vertical="center" wrapText="1"/>
    </xf>
    <xf numFmtId="0" fontId="17" fillId="0" borderId="0" xfId="0" applyFont="1"/>
    <xf numFmtId="169" fontId="0" fillId="0" borderId="0" xfId="14" applyNumberFormat="1" applyFont="1"/>
    <xf numFmtId="4" fontId="0" fillId="0" borderId="0" xfId="0" applyNumberFormat="1"/>
    <xf numFmtId="0" fontId="4" fillId="10" borderId="0" xfId="0" applyFont="1" applyFill="1"/>
    <xf numFmtId="3" fontId="1" fillId="10" borderId="0" xfId="0" applyNumberFormat="1" applyFont="1" applyFill="1"/>
    <xf numFmtId="0" fontId="3" fillId="28" borderId="1" xfId="0" applyFont="1" applyFill="1" applyBorder="1" applyAlignment="1">
      <alignment vertical="center"/>
    </xf>
    <xf numFmtId="0" fontId="0" fillId="0" borderId="1" xfId="0" applyBorder="1" applyAlignment="1">
      <alignment vertical="center"/>
    </xf>
    <xf numFmtId="0" fontId="1" fillId="29" borderId="1" xfId="0" applyFont="1" applyFill="1" applyBorder="1" applyAlignment="1">
      <alignment vertical="center"/>
    </xf>
    <xf numFmtId="166" fontId="19" fillId="30" borderId="0" xfId="15" applyNumberFormat="1"/>
    <xf numFmtId="2" fontId="0" fillId="0" borderId="0" xfId="0" applyNumberFormat="1"/>
    <xf numFmtId="3" fontId="3" fillId="15" borderId="0" xfId="11" applyNumberFormat="1"/>
    <xf numFmtId="0" fontId="4" fillId="0" borderId="0" xfId="0" applyFont="1"/>
    <xf numFmtId="0" fontId="20" fillId="17" borderId="0" xfId="0" applyFont="1" applyFill="1"/>
    <xf numFmtId="0" fontId="11" fillId="17" borderId="0" xfId="0" applyFont="1" applyFill="1"/>
    <xf numFmtId="0" fontId="21" fillId="0" borderId="0" xfId="0" applyFont="1"/>
    <xf numFmtId="0" fontId="21" fillId="13" borderId="0" xfId="0" applyFont="1" applyFill="1"/>
    <xf numFmtId="0" fontId="22" fillId="0" borderId="0" xfId="0" applyFont="1"/>
    <xf numFmtId="4" fontId="1" fillId="31" borderId="0" xfId="16" applyNumberFormat="1"/>
    <xf numFmtId="0" fontId="1" fillId="31" borderId="0" xfId="16"/>
    <xf numFmtId="0" fontId="23" fillId="0" borderId="0" xfId="0" applyFont="1"/>
    <xf numFmtId="0" fontId="24" fillId="0" borderId="0" xfId="0" applyFont="1"/>
    <xf numFmtId="0" fontId="25" fillId="0" borderId="0" xfId="0" applyFont="1"/>
    <xf numFmtId="0" fontId="11" fillId="32" borderId="0" xfId="0" applyFont="1" applyFill="1"/>
    <xf numFmtId="0" fontId="8" fillId="32" borderId="0" xfId="0" applyFont="1" applyFill="1"/>
    <xf numFmtId="0" fontId="0" fillId="0" borderId="1" xfId="0" applyBorder="1" applyAlignment="1">
      <alignment vertical="center"/>
    </xf>
    <xf numFmtId="164" fontId="0" fillId="0" borderId="0" xfId="0" applyNumberFormat="1"/>
    <xf numFmtId="0" fontId="26" fillId="0" borderId="0" xfId="0" applyFont="1"/>
    <xf numFmtId="3" fontId="1" fillId="31" borderId="0" xfId="16" applyNumberFormat="1"/>
    <xf numFmtId="3" fontId="0" fillId="0" borderId="0" xfId="0" applyNumberFormat="1" applyFill="1"/>
    <xf numFmtId="0" fontId="0" fillId="33" borderId="0" xfId="0" applyFill="1"/>
    <xf numFmtId="3" fontId="1" fillId="34" borderId="0" xfId="0" applyNumberFormat="1" applyFont="1" applyFill="1"/>
    <xf numFmtId="0" fontId="28" fillId="35" borderId="7" xfId="0" applyFont="1" applyFill="1" applyBorder="1"/>
    <xf numFmtId="0" fontId="21" fillId="36" borderId="0" xfId="0" applyFont="1" applyFill="1"/>
    <xf numFmtId="0" fontId="4" fillId="36" borderId="0" xfId="0" applyFont="1" applyFill="1"/>
    <xf numFmtId="0" fontId="22" fillId="36" borderId="0" xfId="0" applyFont="1" applyFill="1"/>
    <xf numFmtId="0" fontId="17" fillId="36" borderId="0" xfId="0" applyFont="1" applyFill="1"/>
    <xf numFmtId="0" fontId="8" fillId="36" borderId="0" xfId="0" applyFont="1" applyFill="1"/>
    <xf numFmtId="0" fontId="0" fillId="36" borderId="0" xfId="0" applyFill="1"/>
    <xf numFmtId="0" fontId="1" fillId="37" borderId="1" xfId="0" applyFont="1" applyFill="1" applyBorder="1" applyAlignment="1">
      <alignment vertical="center"/>
    </xf>
    <xf numFmtId="0" fontId="1" fillId="33" borderId="1" xfId="0" applyFont="1" applyFill="1" applyBorder="1" applyAlignment="1">
      <alignment vertical="center"/>
    </xf>
    <xf numFmtId="4" fontId="6" fillId="0" borderId="0" xfId="0" applyNumberFormat="1" applyFont="1"/>
    <xf numFmtId="0" fontId="0" fillId="0" borderId="0" xfId="0" quotePrefix="1"/>
    <xf numFmtId="0" fontId="0" fillId="0" borderId="1" xfId="0" applyBorder="1" applyAlignment="1">
      <alignment horizontal="left" vertical="center" wrapText="1"/>
    </xf>
    <xf numFmtId="0" fontId="4" fillId="13" borderId="0" xfId="0" applyFont="1" applyFill="1" applyAlignment="1">
      <alignment horizontal="center"/>
    </xf>
    <xf numFmtId="0" fontId="0" fillId="0" borderId="2" xfId="0" applyBorder="1" applyAlignment="1">
      <alignment horizontal="center" vertical="center" wrapText="1"/>
    </xf>
    <xf numFmtId="0" fontId="0" fillId="0" borderId="4" xfId="0" applyBorder="1" applyAlignment="1">
      <alignment horizontal="center" vertical="center" wrapText="1"/>
    </xf>
    <xf numFmtId="0" fontId="0" fillId="0" borderId="2" xfId="0" applyBorder="1" applyAlignment="1">
      <alignment horizontal="center"/>
    </xf>
    <xf numFmtId="0" fontId="0" fillId="0" borderId="4" xfId="0" applyBorder="1" applyAlignment="1">
      <alignment horizontal="center"/>
    </xf>
    <xf numFmtId="0" fontId="0" fillId="0" borderId="1" xfId="0" applyBorder="1" applyAlignment="1">
      <alignment horizontal="center"/>
    </xf>
    <xf numFmtId="0" fontId="8" fillId="10" borderId="0" xfId="0" applyFont="1" applyFill="1" applyAlignment="1">
      <alignment horizontal="center"/>
    </xf>
    <xf numFmtId="0" fontId="0" fillId="0" borderId="1" xfId="0" applyBorder="1" applyAlignment="1">
      <alignment horizontal="center" wrapText="1"/>
    </xf>
    <xf numFmtId="0" fontId="0" fillId="0" borderId="9" xfId="0" applyBorder="1" applyAlignment="1">
      <alignment horizontal="left" vertical="center" wrapText="1"/>
    </xf>
    <xf numFmtId="0" fontId="0" fillId="0" borderId="10" xfId="0" applyBorder="1" applyAlignment="1">
      <alignment horizontal="left" vertical="center" wrapText="1"/>
    </xf>
    <xf numFmtId="0" fontId="0" fillId="0" borderId="5" xfId="0" applyBorder="1" applyAlignment="1">
      <alignment horizontal="left" vertical="center" wrapText="1"/>
    </xf>
    <xf numFmtId="0" fontId="0" fillId="0" borderId="11" xfId="0" applyBorder="1" applyAlignment="1">
      <alignment horizontal="left" vertical="center" wrapText="1"/>
    </xf>
    <xf numFmtId="0" fontId="0" fillId="0" borderId="12" xfId="0" applyBorder="1" applyAlignment="1">
      <alignment horizontal="left" vertical="center" wrapText="1"/>
    </xf>
    <xf numFmtId="0" fontId="0" fillId="0" borderId="13" xfId="0" applyBorder="1" applyAlignment="1">
      <alignment horizontal="left" vertical="center" wrapText="1"/>
    </xf>
    <xf numFmtId="0" fontId="0" fillId="0" borderId="1" xfId="0" applyBorder="1" applyAlignment="1">
      <alignment vertical="center"/>
    </xf>
    <xf numFmtId="0" fontId="9" fillId="4" borderId="2" xfId="0" applyFont="1" applyFill="1" applyBorder="1" applyAlignment="1">
      <alignment horizontal="center"/>
    </xf>
    <xf numFmtId="0" fontId="9" fillId="4" borderId="3" xfId="0" applyFont="1" applyFill="1" applyBorder="1" applyAlignment="1">
      <alignment horizontal="center"/>
    </xf>
    <xf numFmtId="0" fontId="9" fillId="4" borderId="4" xfId="0" applyFont="1" applyFill="1" applyBorder="1" applyAlignment="1">
      <alignment horizontal="center"/>
    </xf>
    <xf numFmtId="0" fontId="29" fillId="0" borderId="8" xfId="0" applyFont="1" applyBorder="1" applyAlignment="1">
      <alignment wrapText="1"/>
    </xf>
    <xf numFmtId="0" fontId="29" fillId="0" borderId="0" xfId="0" applyFont="1" applyBorder="1" applyAlignment="1">
      <alignment wrapText="1"/>
    </xf>
  </cellXfs>
  <cellStyles count="17">
    <cellStyle name="Accent2" xfId="16" builtinId="33"/>
    <cellStyle name="Assumption" xfId="12" xr:uid="{00000000-0005-0000-0000-000000000000}"/>
    <cellStyle name="Bad" xfId="15" builtinId="27"/>
    <cellStyle name="Calculation" xfId="5" builtinId="22" customBuiltin="1"/>
    <cellStyle name="Check Cell" xfId="6" builtinId="23" customBuiltin="1"/>
    <cellStyle name="Comma" xfId="9" builtinId="3"/>
    <cellStyle name="Conversion" xfId="3" xr:uid="{00000000-0005-0000-0000-000005000000}"/>
    <cellStyle name="Input" xfId="4" builtinId="20" customBuiltin="1"/>
    <cellStyle name="Interpolation" xfId="10" xr:uid="{00000000-0005-0000-0000-000007000000}"/>
    <cellStyle name="Inventory constants" xfId="13" xr:uid="{00000000-0005-0000-0000-000008000000}"/>
    <cellStyle name="IPCC" xfId="7" xr:uid="{00000000-0005-0000-0000-000009000000}"/>
    <cellStyle name="Linked" xfId="11" xr:uid="{00000000-0005-0000-0000-00000A000000}"/>
    <cellStyle name="Normal" xfId="0" builtinId="0"/>
    <cellStyle name="Normal 2" xfId="2" xr:uid="{00000000-0005-0000-0000-00000C000000}"/>
    <cellStyle name="Normal 3" xfId="1" xr:uid="{00000000-0005-0000-0000-00000D000000}"/>
    <cellStyle name="Percent" xfId="14" builtinId="5"/>
    <cellStyle name="Spreadsheet" xfId="8" xr:uid="{00000000-0005-0000-0000-00000F000000}"/>
  </cellStyles>
  <dxfs count="2">
    <dxf>
      <fill>
        <patternFill>
          <bgColor rgb="FFFF66CC"/>
        </patternFill>
      </fill>
    </dxf>
    <dxf>
      <fill>
        <patternFill>
          <bgColor rgb="FFFF66CC"/>
        </patternFill>
      </fill>
    </dxf>
  </dxfs>
  <tableStyles count="0" defaultTableStyle="TableStyleMedium2" defaultPivotStyle="PivotStyleLight16"/>
  <colors>
    <mruColors>
      <color rgb="FFFF00FF"/>
      <color rgb="FFFF0066"/>
      <color rgb="FFFF66CC"/>
      <color rgb="FF3366FF"/>
      <color rgb="FFFF3399"/>
      <color rgb="FF009900"/>
      <color rgb="FF9966FF"/>
      <color rgb="FFFFCCFF"/>
      <color rgb="FFCCCCFF"/>
      <color rgb="FFCC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2.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1.xml"/><Relationship Id="rId30" Type="http://schemas.openxmlformats.org/officeDocument/2006/relationships/externalLink" Target="externalLinks/externalLink4.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8.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9.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0.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7.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9.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0.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1.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7"/>
          <c:order val="0"/>
          <c:tx>
            <c:strRef>
              <c:f>Data!$A$12:$B$12</c:f>
              <c:strCache>
                <c:ptCount val="2"/>
                <c:pt idx="0">
                  <c:v>Sorghum consumption (human)</c:v>
                </c:pt>
                <c:pt idx="1">
                  <c:v>t/capita</c:v>
                </c:pt>
              </c:strCache>
            </c:strRef>
          </c:tx>
          <c:spPr>
            <a:ln w="19050" cap="rnd">
              <a:noFill/>
              <a:round/>
            </a:ln>
            <a:effectLst/>
          </c:spPr>
          <c:marker>
            <c:symbol val="circle"/>
            <c:size val="5"/>
            <c:spPr>
              <a:solidFill>
                <a:schemeClr val="accent2">
                  <a:lumMod val="60000"/>
                </a:schemeClr>
              </a:solidFill>
              <a:ln w="9525">
                <a:solidFill>
                  <a:schemeClr val="accent2">
                    <a:lumMod val="60000"/>
                  </a:schemeClr>
                </a:solidFill>
              </a:ln>
              <a:effectLst/>
            </c:spPr>
          </c:marker>
          <c:trendline>
            <c:spPr>
              <a:ln w="19050" cap="rnd">
                <a:solidFill>
                  <a:schemeClr val="accent2">
                    <a:lumMod val="60000"/>
                  </a:schemeClr>
                </a:solidFill>
                <a:prstDash val="sysDot"/>
              </a:ln>
              <a:effectLst/>
            </c:spPr>
            <c:trendlineType val="linear"/>
            <c:dispRSqr val="0"/>
            <c:dispEq val="0"/>
          </c:trendline>
          <c:xVal>
            <c:numRef>
              <c:f>Data!$R$4:$AB$4</c:f>
              <c:numCache>
                <c:formatCode>General</c:formatCode>
                <c:ptCount val="11"/>
                <c:pt idx="0">
                  <c:v>48.688837553912919</c:v>
                </c:pt>
                <c:pt idx="1">
                  <c:v>50.734320824023349</c:v>
                </c:pt>
                <c:pt idx="2">
                  <c:v>52.880800409691389</c:v>
                </c:pt>
                <c:pt idx="3">
                  <c:v>54.14294894462563</c:v>
                </c:pt>
                <c:pt idx="4">
                  <c:v>52.678051808895106</c:v>
                </c:pt>
                <c:pt idx="5">
                  <c:v>53.515880269559084</c:v>
                </c:pt>
                <c:pt idx="6">
                  <c:v>54.514380723142551</c:v>
                </c:pt>
                <c:pt idx="7">
                  <c:v>55.50098056610117</c:v>
                </c:pt>
                <c:pt idx="8">
                  <c:v>55.972853439071798</c:v>
                </c:pt>
                <c:pt idx="9">
                  <c:v>56.089110674766729</c:v>
                </c:pt>
                <c:pt idx="10">
                  <c:v>55.733948080448513</c:v>
                </c:pt>
              </c:numCache>
            </c:numRef>
          </c:xVal>
          <c:yVal>
            <c:numRef>
              <c:f>Data!$R$12:$AB$12</c:f>
              <c:numCache>
                <c:formatCode>General</c:formatCode>
                <c:ptCount val="11"/>
                <c:pt idx="0">
                  <c:v>3.7384660230142057E-3</c:v>
                </c:pt>
                <c:pt idx="1">
                  <c:v>3.9390004330631945E-3</c:v>
                </c:pt>
                <c:pt idx="2">
                  <c:v>3.7052299055457499E-3</c:v>
                </c:pt>
                <c:pt idx="3">
                  <c:v>3.7163914417652206E-3</c:v>
                </c:pt>
                <c:pt idx="4">
                  <c:v>3.5065467723514772E-3</c:v>
                </c:pt>
                <c:pt idx="5">
                  <c:v>3.5925596839359707E-3</c:v>
                </c:pt>
                <c:pt idx="6">
                  <c:v>3.499719214835302E-3</c:v>
                </c:pt>
                <c:pt idx="7">
                  <c:v>3.4973432596810314E-3</c:v>
                </c:pt>
                <c:pt idx="8">
                  <c:v>2.9941029471168973E-3</c:v>
                </c:pt>
                <c:pt idx="9">
                  <c:v>3.0605223474033326E-3</c:v>
                </c:pt>
                <c:pt idx="10">
                  <c:v>2.794495463465674E-3</c:v>
                </c:pt>
              </c:numCache>
            </c:numRef>
          </c:yVal>
          <c:smooth val="0"/>
          <c:extLst>
            <c:ext xmlns:c16="http://schemas.microsoft.com/office/drawing/2014/chart" uri="{C3380CC4-5D6E-409C-BE32-E72D297353CC}">
              <c16:uniqueId val="{00000007-BAF8-4F50-AD68-7BA8511B21E8}"/>
            </c:ext>
          </c:extLst>
        </c:ser>
        <c:dLbls>
          <c:showLegendKey val="0"/>
          <c:showVal val="0"/>
          <c:showCatName val="0"/>
          <c:showSerName val="0"/>
          <c:showPercent val="0"/>
          <c:showBubbleSize val="0"/>
        </c:dLbls>
        <c:axId val="561351071"/>
        <c:axId val="674695727"/>
      </c:scatterChart>
      <c:valAx>
        <c:axId val="5613510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695727"/>
        <c:crosses val="autoZero"/>
        <c:crossBetween val="midCat"/>
      </c:valAx>
      <c:valAx>
        <c:axId val="6746957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35107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Data!$A$38:$B$38</c:f>
              <c:strCache>
                <c:ptCount val="2"/>
                <c:pt idx="0">
                  <c:v>Sorghum consumption (feed)</c:v>
                </c:pt>
                <c:pt idx="1">
                  <c:v>t</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wer"/>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Data!$M$37:$AD$37</c:f>
              <c:numCache>
                <c:formatCode>General</c:formatCode>
                <c:ptCount val="18"/>
                <c:pt idx="0">
                  <c:v>2936000</c:v>
                </c:pt>
                <c:pt idx="1">
                  <c:v>3263000</c:v>
                </c:pt>
                <c:pt idx="2">
                  <c:v>3274000</c:v>
                </c:pt>
                <c:pt idx="3">
                  <c:v>3275000</c:v>
                </c:pt>
                <c:pt idx="4">
                  <c:v>3531000</c:v>
                </c:pt>
                <c:pt idx="5">
                  <c:v>3543000</c:v>
                </c:pt>
                <c:pt idx="6">
                  <c:v>3637000</c:v>
                </c:pt>
                <c:pt idx="7">
                  <c:v>3844000</c:v>
                </c:pt>
                <c:pt idx="8">
                  <c:v>4220000</c:v>
                </c:pt>
                <c:pt idx="9">
                  <c:v>4089000</c:v>
                </c:pt>
                <c:pt idx="10">
                  <c:v>4187000</c:v>
                </c:pt>
                <c:pt idx="11">
                  <c:v>4344000</c:v>
                </c:pt>
                <c:pt idx="12">
                  <c:v>4429000</c:v>
                </c:pt>
                <c:pt idx="13">
                  <c:v>4436000</c:v>
                </c:pt>
                <c:pt idx="14">
                  <c:v>4767000</c:v>
                </c:pt>
                <c:pt idx="15">
                  <c:v>5087000</c:v>
                </c:pt>
                <c:pt idx="16">
                  <c:v>5551000</c:v>
                </c:pt>
                <c:pt idx="17">
                  <c:v>5004000</c:v>
                </c:pt>
              </c:numCache>
            </c:numRef>
          </c:xVal>
          <c:yVal>
            <c:numRef>
              <c:f>Data!$M$38:$AD$38</c:f>
              <c:numCache>
                <c:formatCode>General</c:formatCode>
                <c:ptCount val="18"/>
                <c:pt idx="0">
                  <c:v>36000</c:v>
                </c:pt>
                <c:pt idx="1">
                  <c:v>23000</c:v>
                </c:pt>
                <c:pt idx="2">
                  <c:v>16000</c:v>
                </c:pt>
                <c:pt idx="3">
                  <c:v>22000</c:v>
                </c:pt>
                <c:pt idx="4">
                  <c:v>10000</c:v>
                </c:pt>
                <c:pt idx="5">
                  <c:v>10000</c:v>
                </c:pt>
                <c:pt idx="6">
                  <c:v>12000</c:v>
                </c:pt>
                <c:pt idx="7">
                  <c:v>8000</c:v>
                </c:pt>
                <c:pt idx="8">
                  <c:v>11000</c:v>
                </c:pt>
                <c:pt idx="9">
                  <c:v>10000</c:v>
                </c:pt>
                <c:pt idx="10">
                  <c:v>8000</c:v>
                </c:pt>
                <c:pt idx="11">
                  <c:v>9000</c:v>
                </c:pt>
                <c:pt idx="12">
                  <c:v>7000</c:v>
                </c:pt>
                <c:pt idx="13">
                  <c:v>6000</c:v>
                </c:pt>
                <c:pt idx="14">
                  <c:v>5000</c:v>
                </c:pt>
                <c:pt idx="15">
                  <c:v>7000</c:v>
                </c:pt>
                <c:pt idx="16">
                  <c:v>10000</c:v>
                </c:pt>
                <c:pt idx="17">
                  <c:v>10000</c:v>
                </c:pt>
              </c:numCache>
            </c:numRef>
          </c:yVal>
          <c:smooth val="0"/>
          <c:extLst>
            <c:ext xmlns:c16="http://schemas.microsoft.com/office/drawing/2014/chart" uri="{C3380CC4-5D6E-409C-BE32-E72D297353CC}">
              <c16:uniqueId val="{00000000-9B8F-419A-9699-F0E894C1F0F6}"/>
            </c:ext>
          </c:extLst>
        </c:ser>
        <c:dLbls>
          <c:showLegendKey val="0"/>
          <c:showVal val="0"/>
          <c:showCatName val="0"/>
          <c:showSerName val="0"/>
          <c:showPercent val="0"/>
          <c:showBubbleSize val="0"/>
        </c:dLbls>
        <c:axId val="709868927"/>
        <c:axId val="709862687"/>
      </c:scatterChart>
      <c:valAx>
        <c:axId val="7098689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862687"/>
        <c:crosses val="autoZero"/>
        <c:crossBetween val="midCat"/>
      </c:valAx>
      <c:valAx>
        <c:axId val="7098626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868927"/>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Data!$A$5:$B$5</c:f>
              <c:strCache>
                <c:ptCount val="2"/>
                <c:pt idx="0">
                  <c:v>Beef consumption</c:v>
                </c:pt>
                <c:pt idx="1">
                  <c:v>t/capita</c:v>
                </c:pt>
              </c:strCache>
            </c:strRef>
          </c:tx>
          <c:spPr>
            <a:ln w="19050" cap="rnd">
              <a:noFill/>
              <a:round/>
            </a:ln>
            <a:effectLst/>
          </c:spPr>
          <c:marker>
            <c:symbol val="circle"/>
            <c:size val="5"/>
            <c:spPr>
              <a:solidFill>
                <a:schemeClr val="accent1"/>
              </a:solidFill>
              <a:ln w="9525">
                <a:solidFill>
                  <a:schemeClr val="accent1"/>
                </a:solidFill>
              </a:ln>
              <a:effectLst/>
            </c:spPr>
          </c:marker>
          <c:xVal>
            <c:numRef>
              <c:f>Data!$T$4:$AD$4</c:f>
              <c:numCache>
                <c:formatCode>General</c:formatCode>
                <c:ptCount val="11"/>
                <c:pt idx="0">
                  <c:v>52.880800409691389</c:v>
                </c:pt>
                <c:pt idx="1">
                  <c:v>54.14294894462563</c:v>
                </c:pt>
                <c:pt idx="2">
                  <c:v>52.678051808895106</c:v>
                </c:pt>
                <c:pt idx="3">
                  <c:v>53.515880269559084</c:v>
                </c:pt>
                <c:pt idx="4">
                  <c:v>54.514380723142551</c:v>
                </c:pt>
                <c:pt idx="5">
                  <c:v>55.50098056610117</c:v>
                </c:pt>
                <c:pt idx="6">
                  <c:v>55.972853439071798</c:v>
                </c:pt>
                <c:pt idx="7">
                  <c:v>56.089110674766729</c:v>
                </c:pt>
                <c:pt idx="8">
                  <c:v>55.733948080448513</c:v>
                </c:pt>
                <c:pt idx="9">
                  <c:v>55.358189213873167</c:v>
                </c:pt>
                <c:pt idx="10">
                  <c:v>55.179411316523648</c:v>
                </c:pt>
              </c:numCache>
            </c:numRef>
          </c:xVal>
          <c:yVal>
            <c:numRef>
              <c:f>Data!$T$5:$AD$5</c:f>
              <c:numCache>
                <c:formatCode>General</c:formatCode>
                <c:ptCount val="11"/>
                <c:pt idx="0">
                  <c:v>1.7610021254379524E-2</c:v>
                </c:pt>
                <c:pt idx="1">
                  <c:v>1.5407958031534726E-2</c:v>
                </c:pt>
                <c:pt idx="2">
                  <c:v>1.553182299165852E-2</c:v>
                </c:pt>
                <c:pt idx="3">
                  <c:v>1.7181807184041598E-2</c:v>
                </c:pt>
                <c:pt idx="4">
                  <c:v>1.6902490054067201E-2</c:v>
                </c:pt>
                <c:pt idx="5">
                  <c:v>1.6531158030732743E-2</c:v>
                </c:pt>
                <c:pt idx="6">
                  <c:v>1.7136060892304256E-2</c:v>
                </c:pt>
                <c:pt idx="7">
                  <c:v>1.8196196501834357E-2</c:v>
                </c:pt>
                <c:pt idx="8">
                  <c:v>1.8684763785133233E-2</c:v>
                </c:pt>
                <c:pt idx="9">
                  <c:v>1.9273663203246076E-2</c:v>
                </c:pt>
                <c:pt idx="10">
                  <c:v>1.8134548357121919E-2</c:v>
                </c:pt>
              </c:numCache>
            </c:numRef>
          </c:yVal>
          <c:smooth val="0"/>
          <c:extLst>
            <c:ext xmlns:c16="http://schemas.microsoft.com/office/drawing/2014/chart" uri="{C3380CC4-5D6E-409C-BE32-E72D297353CC}">
              <c16:uniqueId val="{00000000-E89B-4B7F-B276-59A9C9717175}"/>
            </c:ext>
          </c:extLst>
        </c:ser>
        <c:dLbls>
          <c:showLegendKey val="0"/>
          <c:showVal val="0"/>
          <c:showCatName val="0"/>
          <c:showSerName val="0"/>
          <c:showPercent val="0"/>
          <c:showBubbleSize val="0"/>
        </c:dLbls>
        <c:axId val="692887135"/>
        <c:axId val="692899199"/>
      </c:scatterChart>
      <c:valAx>
        <c:axId val="6928871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899199"/>
        <c:crosses val="autoZero"/>
        <c:crossBetween val="midCat"/>
      </c:valAx>
      <c:valAx>
        <c:axId val="6928991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887135"/>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75" b="1" i="0" u="none" strike="noStrike" baseline="0">
                <a:solidFill>
                  <a:srgbClr val="000000"/>
                </a:solidFill>
                <a:latin typeface="Arial"/>
                <a:ea typeface="Arial"/>
                <a:cs typeface="Arial"/>
              </a:defRPr>
            </a:pPr>
            <a:r>
              <a:rPr lang="en-ZA"/>
              <a:t>Beef price outlook: Economy shock</a:t>
            </a:r>
          </a:p>
        </c:rich>
      </c:tx>
      <c:overlay val="0"/>
      <c:spPr>
        <a:noFill/>
        <a:ln w="25400">
          <a:noFill/>
        </a:ln>
      </c:spPr>
    </c:title>
    <c:autoTitleDeleted val="0"/>
    <c:plotArea>
      <c:layout/>
      <c:lineChart>
        <c:grouping val="standard"/>
        <c:varyColors val="0"/>
        <c:ser>
          <c:idx val="0"/>
          <c:order val="0"/>
          <c:spPr>
            <a:ln w="25400">
              <a:solidFill>
                <a:srgbClr val="FF0000"/>
              </a:solidFill>
              <a:prstDash val="solid"/>
            </a:ln>
          </c:spPr>
          <c:marker>
            <c:symbol val="diamond"/>
            <c:size val="7"/>
            <c:spPr>
              <a:solidFill>
                <a:srgbClr val="FF0000"/>
              </a:solidFill>
              <a:ln>
                <a:solidFill>
                  <a:srgbClr val="FF0000"/>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2117-45CF-AAC5-4FAE3027B774}"/>
            </c:ext>
          </c:extLst>
        </c:ser>
        <c:ser>
          <c:idx val="1"/>
          <c:order val="1"/>
          <c:spPr>
            <a:ln w="25400">
              <a:solidFill>
                <a:srgbClr val="FF0000"/>
              </a:solidFill>
              <a:prstDash val="solid"/>
            </a:ln>
          </c:spPr>
          <c:marker>
            <c:symbol val="square"/>
            <c:size val="7"/>
            <c:spPr>
              <a:noFill/>
              <a:ln>
                <a:solidFill>
                  <a:srgbClr val="FF0000"/>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2117-45CF-AAC5-4FAE3027B774}"/>
            </c:ext>
          </c:extLst>
        </c:ser>
        <c:dLbls>
          <c:showLegendKey val="0"/>
          <c:showVal val="0"/>
          <c:showCatName val="0"/>
          <c:showSerName val="0"/>
          <c:showPercent val="0"/>
          <c:showBubbleSize val="0"/>
        </c:dLbls>
        <c:marker val="1"/>
        <c:smooth val="0"/>
        <c:axId val="1910012864"/>
        <c:axId val="1909993280"/>
      </c:lineChart>
      <c:catAx>
        <c:axId val="1910012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250" b="0" i="0" u="none" strike="noStrike" baseline="0">
                <a:solidFill>
                  <a:srgbClr val="000000"/>
                </a:solidFill>
                <a:latin typeface="Arial"/>
                <a:ea typeface="Arial"/>
                <a:cs typeface="Arial"/>
              </a:defRPr>
            </a:pPr>
            <a:endParaRPr lang="en-US"/>
          </a:p>
        </c:txPr>
        <c:crossAx val="1909993280"/>
        <c:crosses val="autoZero"/>
        <c:auto val="1"/>
        <c:lblAlgn val="ctr"/>
        <c:lblOffset val="100"/>
        <c:tickLblSkip val="1"/>
        <c:tickMarkSkip val="1"/>
        <c:noMultiLvlLbl val="0"/>
      </c:catAx>
      <c:valAx>
        <c:axId val="1909993280"/>
        <c:scaling>
          <c:orientation val="minMax"/>
        </c:scaling>
        <c:delete val="0"/>
        <c:axPos val="l"/>
        <c:majorGridlines>
          <c:spPr>
            <a:ln w="3175">
              <a:solidFill>
                <a:srgbClr val="000000"/>
              </a:solidFill>
              <a:prstDash val="solid"/>
            </a:ln>
          </c:spPr>
        </c:majorGridlines>
        <c:title>
          <c:tx>
            <c:rich>
              <a:bodyPr/>
              <a:lstStyle/>
              <a:p>
                <a:pPr>
                  <a:defRPr sz="250" b="0" i="0" u="none" strike="noStrike" baseline="0">
                    <a:solidFill>
                      <a:srgbClr val="000000"/>
                    </a:solidFill>
                    <a:latin typeface="Arial"/>
                    <a:ea typeface="Arial"/>
                    <a:cs typeface="Arial"/>
                  </a:defRPr>
                </a:pPr>
                <a:r>
                  <a:rPr lang="en-ZA"/>
                  <a:t>c/kg</a:t>
                </a:r>
              </a:p>
            </c:rich>
          </c:tx>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250" b="0" i="0" u="none" strike="noStrike" baseline="0">
                <a:solidFill>
                  <a:srgbClr val="000000"/>
                </a:solidFill>
                <a:latin typeface="Arial"/>
                <a:ea typeface="Arial"/>
                <a:cs typeface="Arial"/>
              </a:defRPr>
            </a:pPr>
            <a:endParaRPr lang="en-US"/>
          </a:p>
        </c:txPr>
        <c:crossAx val="1910012864"/>
        <c:crosses val="autoZero"/>
        <c:crossBetween val="between"/>
        <c:majorUnit val="1000"/>
      </c:valAx>
      <c:spPr>
        <a:noFill/>
        <a:ln w="12700">
          <a:solidFill>
            <a:srgbClr val="808080"/>
          </a:solidFill>
          <a:prstDash val="solid"/>
        </a:ln>
      </c:spPr>
    </c:plotArea>
    <c:legend>
      <c:legendPos val="b"/>
      <c:overlay val="0"/>
      <c:spPr>
        <a:noFill/>
        <a:ln w="25400">
          <a:noFill/>
        </a:ln>
      </c:spPr>
      <c:txPr>
        <a:bodyPr/>
        <a:lstStyle/>
        <a:p>
          <a:pPr>
            <a:defRPr sz="23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50" b="1" i="0" u="none" strike="noStrike" baseline="0">
                <a:solidFill>
                  <a:srgbClr val="000000"/>
                </a:solidFill>
                <a:latin typeface="Arial"/>
                <a:ea typeface="Arial"/>
                <a:cs typeface="Arial"/>
              </a:defRPr>
            </a:pPr>
            <a:r>
              <a:rPr lang="en-ZA"/>
              <a:t>Beef:Maize price ratio outlook</a:t>
            </a:r>
          </a:p>
        </c:rich>
      </c:tx>
      <c:overlay val="0"/>
      <c:spPr>
        <a:noFill/>
        <a:ln w="25400">
          <a:noFill/>
        </a:ln>
      </c:spPr>
    </c:title>
    <c:autoTitleDeleted val="0"/>
    <c:plotArea>
      <c:layout/>
      <c:barChart>
        <c:barDir val="col"/>
        <c:grouping val="clustered"/>
        <c:varyColors val="0"/>
        <c:ser>
          <c:idx val="0"/>
          <c:order val="0"/>
          <c:spPr>
            <a:solidFill>
              <a:srgbClr val="0000FF"/>
            </a:solidFill>
            <a:ln w="12700">
              <a:solidFill>
                <a:srgbClr val="000000"/>
              </a:solidFill>
              <a:prstDash val="solid"/>
            </a:ln>
          </c:spPr>
          <c:invertIfNegative val="0"/>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B07A-430E-847B-882FB6A03E40}"/>
            </c:ext>
          </c:extLst>
        </c:ser>
        <c:ser>
          <c:idx val="1"/>
          <c:order val="1"/>
          <c:spPr>
            <a:solidFill>
              <a:srgbClr val="FF0000"/>
            </a:solidFill>
            <a:ln w="12700">
              <a:solidFill>
                <a:srgbClr val="000000"/>
              </a:solidFill>
              <a:prstDash val="solid"/>
            </a:ln>
          </c:spPr>
          <c:invertIfNegative val="0"/>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B07A-430E-847B-882FB6A03E40}"/>
            </c:ext>
          </c:extLst>
        </c:ser>
        <c:dLbls>
          <c:showLegendKey val="0"/>
          <c:showVal val="0"/>
          <c:showCatName val="0"/>
          <c:showSerName val="0"/>
          <c:showPercent val="0"/>
          <c:showBubbleSize val="0"/>
        </c:dLbls>
        <c:gapWidth val="150"/>
        <c:axId val="1909999808"/>
        <c:axId val="1910000896"/>
      </c:barChart>
      <c:catAx>
        <c:axId val="19099998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225" b="0" i="0" u="none" strike="noStrike" baseline="0">
                <a:solidFill>
                  <a:srgbClr val="000000"/>
                </a:solidFill>
                <a:latin typeface="Arial"/>
                <a:ea typeface="Arial"/>
                <a:cs typeface="Arial"/>
              </a:defRPr>
            </a:pPr>
            <a:endParaRPr lang="en-US"/>
          </a:p>
        </c:txPr>
        <c:crossAx val="1910000896"/>
        <c:crosses val="autoZero"/>
        <c:auto val="1"/>
        <c:lblAlgn val="ctr"/>
        <c:lblOffset val="100"/>
        <c:tickLblSkip val="1"/>
        <c:tickMarkSkip val="1"/>
        <c:noMultiLvlLbl val="0"/>
      </c:catAx>
      <c:valAx>
        <c:axId val="1910000896"/>
        <c:scaling>
          <c:orientation val="minMax"/>
        </c:scaling>
        <c:delete val="0"/>
        <c:axPos val="l"/>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225" b="0" i="0" u="none" strike="noStrike" baseline="0">
                <a:solidFill>
                  <a:srgbClr val="000000"/>
                </a:solidFill>
                <a:latin typeface="Arial"/>
                <a:ea typeface="Arial"/>
                <a:cs typeface="Arial"/>
              </a:defRPr>
            </a:pPr>
            <a:endParaRPr lang="en-US"/>
          </a:p>
        </c:txPr>
        <c:crossAx val="1909999808"/>
        <c:crosses val="autoZero"/>
        <c:crossBetween val="between"/>
      </c:valAx>
      <c:spPr>
        <a:noFill/>
        <a:ln w="12700">
          <a:solidFill>
            <a:srgbClr val="808080"/>
          </a:solidFill>
          <a:prstDash val="solid"/>
        </a:ln>
      </c:spPr>
    </c:plotArea>
    <c:legend>
      <c:legendPos val="b"/>
      <c:overlay val="0"/>
      <c:spPr>
        <a:noFill/>
        <a:ln w="25400">
          <a:noFill/>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225"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spPr>
            <a:solidFill>
              <a:srgbClr val="339966"/>
            </a:solidFill>
            <a:ln w="12700">
              <a:solidFill>
                <a:srgbClr val="000000"/>
              </a:solidFill>
              <a:prstDash val="solid"/>
            </a:ln>
          </c:spPr>
          <c:invertIfNegative val="0"/>
          <c:trendline>
            <c:spPr>
              <a:ln w="25400">
                <a:solidFill>
                  <a:srgbClr val="FF0000"/>
                </a:solidFill>
                <a:prstDash val="sysDash"/>
              </a:ln>
            </c:spPr>
            <c:trendlineType val="linear"/>
            <c:dispRSqr val="0"/>
            <c:dispEq val="0"/>
          </c:trendline>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2001-47AC-96D9-508B160716E2}"/>
            </c:ext>
          </c:extLst>
        </c:ser>
        <c:ser>
          <c:idx val="1"/>
          <c:order val="1"/>
          <c:spPr>
            <a:solidFill>
              <a:srgbClr val="808080"/>
            </a:solidFill>
            <a:ln w="12700">
              <a:solidFill>
                <a:srgbClr val="000000"/>
              </a:solidFill>
              <a:prstDash val="solid"/>
            </a:ln>
          </c:spPr>
          <c:invertIfNegative val="0"/>
          <c:trendline>
            <c:spPr>
              <a:ln w="25400">
                <a:solidFill>
                  <a:srgbClr val="000000"/>
                </a:solidFill>
                <a:prstDash val="solid"/>
              </a:ln>
            </c:spPr>
            <c:trendlineType val="linear"/>
            <c:dispRSqr val="0"/>
            <c:dispEq val="0"/>
          </c:trendline>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2001-47AC-96D9-508B160716E2}"/>
            </c:ext>
          </c:extLst>
        </c:ser>
        <c:dLbls>
          <c:showLegendKey val="0"/>
          <c:showVal val="0"/>
          <c:showCatName val="0"/>
          <c:showSerName val="0"/>
          <c:showPercent val="0"/>
          <c:showBubbleSize val="0"/>
        </c:dLbls>
        <c:gapWidth val="150"/>
        <c:axId val="1910001440"/>
        <c:axId val="1910004160"/>
      </c:barChart>
      <c:catAx>
        <c:axId val="19100014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275" b="0" i="0" u="none" strike="noStrike" baseline="0">
                <a:solidFill>
                  <a:srgbClr val="000000"/>
                </a:solidFill>
                <a:latin typeface="Arial"/>
                <a:ea typeface="Arial"/>
                <a:cs typeface="Arial"/>
              </a:defRPr>
            </a:pPr>
            <a:endParaRPr lang="en-US"/>
          </a:p>
        </c:txPr>
        <c:crossAx val="1910004160"/>
        <c:crosses val="autoZero"/>
        <c:auto val="1"/>
        <c:lblAlgn val="ctr"/>
        <c:lblOffset val="100"/>
        <c:tickLblSkip val="2"/>
        <c:tickMarkSkip val="1"/>
        <c:noMultiLvlLbl val="0"/>
      </c:catAx>
      <c:valAx>
        <c:axId val="1910004160"/>
        <c:scaling>
          <c:orientation val="minMax"/>
        </c:scaling>
        <c:delete val="0"/>
        <c:axPos val="l"/>
        <c:majorGridlines>
          <c:spPr>
            <a:ln w="3175">
              <a:solidFill>
                <a:srgbClr val="000000"/>
              </a:solidFill>
              <a:prstDash val="solid"/>
            </a:ln>
          </c:spPr>
        </c:majorGridlines>
        <c:title>
          <c:tx>
            <c:rich>
              <a:bodyPr/>
              <a:lstStyle/>
              <a:p>
                <a:pPr>
                  <a:defRPr sz="275" b="0" i="0" u="none" strike="noStrike" baseline="0">
                    <a:solidFill>
                      <a:srgbClr val="000000"/>
                    </a:solidFill>
                    <a:latin typeface="Arial"/>
                    <a:ea typeface="Arial"/>
                    <a:cs typeface="Arial"/>
                  </a:defRPr>
                </a:pPr>
                <a:r>
                  <a:rPr lang="en-ZA"/>
                  <a:t>Thousand tons</a:t>
                </a:r>
              </a:p>
            </c:rich>
          </c:tx>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275" b="0" i="0" u="none" strike="noStrike" baseline="0">
                <a:solidFill>
                  <a:srgbClr val="000000"/>
                </a:solidFill>
                <a:latin typeface="Arial"/>
                <a:ea typeface="Arial"/>
                <a:cs typeface="Arial"/>
              </a:defRPr>
            </a:pPr>
            <a:endParaRPr lang="en-US"/>
          </a:p>
        </c:txPr>
        <c:crossAx val="1910001440"/>
        <c:crosses val="autoZero"/>
        <c:crossBetween val="between"/>
        <c:majorUnit val="200"/>
      </c:valAx>
      <c:spPr>
        <a:noFill/>
        <a:ln w="12700">
          <a:solidFill>
            <a:srgbClr val="808080"/>
          </a:solidFill>
          <a:prstDash val="solid"/>
        </a:ln>
      </c:spPr>
    </c:plotArea>
    <c:legend>
      <c:legendPos val="r"/>
      <c:legendEntry>
        <c:idx val="2"/>
        <c:delete val="1"/>
      </c:legendEntry>
      <c:legendEntry>
        <c:idx val="3"/>
        <c:delete val="1"/>
      </c:legendEntry>
      <c:overlay val="0"/>
      <c:spPr>
        <a:noFill/>
        <a:ln w="25400">
          <a:noFill/>
        </a:ln>
      </c:spPr>
      <c:txPr>
        <a:bodyPr/>
        <a:lstStyle/>
        <a:p>
          <a:pPr>
            <a:defRPr sz="128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spPr>
            <a:ln w="38100">
              <a:solidFill>
                <a:srgbClr val="FF0000"/>
              </a:solidFill>
              <a:prstDash val="solid"/>
            </a:ln>
          </c:spPr>
          <c:marker>
            <c:symbol val="diamond"/>
            <c:size val="9"/>
            <c:spPr>
              <a:solidFill>
                <a:srgbClr val="FF0000"/>
              </a:solidFill>
              <a:ln>
                <a:solidFill>
                  <a:srgbClr val="FF0000"/>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176A-454D-9E8D-7C35430BA000}"/>
            </c:ext>
          </c:extLst>
        </c:ser>
        <c:ser>
          <c:idx val="1"/>
          <c:order val="1"/>
          <c:spPr>
            <a:ln w="38100">
              <a:solidFill>
                <a:srgbClr val="333333"/>
              </a:solidFill>
              <a:prstDash val="sysDash"/>
            </a:ln>
          </c:spPr>
          <c:marker>
            <c:symbol val="square"/>
            <c:size val="9"/>
            <c:spPr>
              <a:noFill/>
              <a:ln>
                <a:solidFill>
                  <a:srgbClr val="333333"/>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176A-454D-9E8D-7C35430BA000}"/>
            </c:ext>
          </c:extLst>
        </c:ser>
        <c:dLbls>
          <c:showLegendKey val="0"/>
          <c:showVal val="0"/>
          <c:showCatName val="0"/>
          <c:showSerName val="0"/>
          <c:showPercent val="0"/>
          <c:showBubbleSize val="0"/>
        </c:dLbls>
        <c:marker val="1"/>
        <c:smooth val="0"/>
        <c:axId val="1909986208"/>
        <c:axId val="1910006336"/>
      </c:lineChart>
      <c:catAx>
        <c:axId val="19099862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300" b="0" i="0" u="none" strike="noStrike" baseline="0">
                <a:solidFill>
                  <a:srgbClr val="000000"/>
                </a:solidFill>
                <a:latin typeface="Arial"/>
                <a:ea typeface="Arial"/>
                <a:cs typeface="Arial"/>
              </a:defRPr>
            </a:pPr>
            <a:endParaRPr lang="en-US"/>
          </a:p>
        </c:txPr>
        <c:crossAx val="1910006336"/>
        <c:crosses val="autoZero"/>
        <c:auto val="1"/>
        <c:lblAlgn val="ctr"/>
        <c:lblOffset val="100"/>
        <c:tickLblSkip val="2"/>
        <c:tickMarkSkip val="1"/>
        <c:noMultiLvlLbl val="0"/>
      </c:catAx>
      <c:valAx>
        <c:axId val="1910006336"/>
        <c:scaling>
          <c:orientation val="minMax"/>
        </c:scaling>
        <c:delete val="0"/>
        <c:axPos val="l"/>
        <c:majorGridlines>
          <c:spPr>
            <a:ln w="3175">
              <a:solidFill>
                <a:srgbClr val="000000"/>
              </a:solidFill>
              <a:prstDash val="solid"/>
            </a:ln>
          </c:spPr>
        </c:majorGridlines>
        <c:title>
          <c:tx>
            <c:rich>
              <a:bodyPr/>
              <a:lstStyle/>
              <a:p>
                <a:pPr>
                  <a:defRPr sz="300" b="0" i="0" u="none" strike="noStrike" baseline="0">
                    <a:solidFill>
                      <a:srgbClr val="000000"/>
                    </a:solidFill>
                    <a:latin typeface="Arial"/>
                    <a:ea typeface="Arial"/>
                    <a:cs typeface="Arial"/>
                  </a:defRPr>
                </a:pPr>
                <a:r>
                  <a:rPr lang="en-ZA"/>
                  <a:t>Thousand tons</a:t>
                </a:r>
              </a:p>
            </c:rich>
          </c:tx>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300" b="0" i="0" u="none" strike="noStrike" baseline="0">
                <a:solidFill>
                  <a:srgbClr val="000000"/>
                </a:solidFill>
                <a:latin typeface="Arial"/>
                <a:ea typeface="Arial"/>
                <a:cs typeface="Arial"/>
              </a:defRPr>
            </a:pPr>
            <a:endParaRPr lang="en-US"/>
          </a:p>
        </c:txPr>
        <c:crossAx val="1909986208"/>
        <c:crosses val="autoZero"/>
        <c:crossBetween val="between"/>
        <c:majorUnit val="200"/>
      </c:valAx>
      <c:spPr>
        <a:noFill/>
        <a:ln w="12700">
          <a:solidFill>
            <a:srgbClr val="808080"/>
          </a:solidFill>
          <a:prstDash val="solid"/>
        </a:ln>
      </c:spPr>
    </c:plotArea>
    <c:legend>
      <c:legendPos val="b"/>
      <c:overlay val="0"/>
      <c:spPr>
        <a:solidFill>
          <a:srgbClr val="FFFFFF"/>
        </a:solidFill>
        <a:ln w="25400">
          <a:noFill/>
        </a:ln>
      </c:spPr>
      <c:txPr>
        <a:bodyPr/>
        <a:lstStyle/>
        <a:p>
          <a:pPr>
            <a:defRPr sz="128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verification'!$B$4</c:f>
              <c:strCache>
                <c:ptCount val="1"/>
                <c:pt idx="0">
                  <c:v>Chicken production (BFAP)</c:v>
                </c:pt>
              </c:strCache>
            </c:strRef>
          </c:tx>
          <c:spPr>
            <a:ln w="28575" cap="rnd">
              <a:solidFill>
                <a:schemeClr val="accent1"/>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verification'!$C$4:$BA$4</c:f>
              <c:numCache>
                <c:formatCode>0.00</c:formatCode>
                <c:ptCount val="51"/>
                <c:pt idx="0">
                  <c:v>993.09182234073091</c:v>
                </c:pt>
                <c:pt idx="1">
                  <c:v>993.09182234073091</c:v>
                </c:pt>
                <c:pt idx="2">
                  <c:v>993.09182234073091</c:v>
                </c:pt>
                <c:pt idx="3">
                  <c:v>1043.5184288423109</c:v>
                </c:pt>
                <c:pt idx="4">
                  <c:v>1063.935684388</c:v>
                </c:pt>
                <c:pt idx="5">
                  <c:v>1250.3949420410001</c:v>
                </c:pt>
                <c:pt idx="6">
                  <c:v>1361.4582773811801</c:v>
                </c:pt>
                <c:pt idx="7">
                  <c:v>1418.12680256985</c:v>
                </c:pt>
                <c:pt idx="8">
                  <c:v>1510.0595450369999</c:v>
                </c:pt>
                <c:pt idx="9">
                  <c:v>1467.5146597320002</c:v>
                </c:pt>
                <c:pt idx="10">
                  <c:v>1455.5368726329998</c:v>
                </c:pt>
                <c:pt idx="11">
                  <c:v>1511.75508982</c:v>
                </c:pt>
                <c:pt idx="12">
                  <c:v>1600</c:v>
                </c:pt>
                <c:pt idx="13">
                  <c:v>1550</c:v>
                </c:pt>
                <c:pt idx="14">
                  <c:v>1500</c:v>
                </c:pt>
                <c:pt idx="15">
                  <c:v>1604.9091918984675</c:v>
                </c:pt>
                <c:pt idx="16">
                  <c:v>1560</c:v>
                </c:pt>
                <c:pt idx="17">
                  <c:v>1530</c:v>
                </c:pt>
                <c:pt idx="18">
                  <c:v>1620</c:v>
                </c:pt>
                <c:pt idx="19">
                  <c:v>1680</c:v>
                </c:pt>
                <c:pt idx="20">
                  <c:v>1715</c:v>
                </c:pt>
                <c:pt idx="21">
                  <c:v>1780</c:v>
                </c:pt>
                <c:pt idx="22">
                  <c:v>1785</c:v>
                </c:pt>
                <c:pt idx="23">
                  <c:v>1790</c:v>
                </c:pt>
                <c:pt idx="24">
                  <c:v>1795</c:v>
                </c:pt>
                <c:pt idx="25">
                  <c:v>1800</c:v>
                </c:pt>
                <c:pt idx="26">
                  <c:v>1805</c:v>
                </c:pt>
                <c:pt idx="27">
                  <c:v>1810</c:v>
                </c:pt>
                <c:pt idx="28">
                  <c:v>1815</c:v>
                </c:pt>
              </c:numCache>
            </c:numRef>
          </c:val>
          <c:smooth val="0"/>
          <c:extLst>
            <c:ext xmlns:c16="http://schemas.microsoft.com/office/drawing/2014/chart" uri="{C3380CC4-5D6E-409C-BE32-E72D297353CC}">
              <c16:uniqueId val="{00000000-0961-441D-9E04-BF04E6707262}"/>
            </c:ext>
          </c:extLst>
        </c:ser>
        <c:ser>
          <c:idx val="1"/>
          <c:order val="1"/>
          <c:tx>
            <c:strRef>
              <c:f>'BFAP verification'!$B$5</c:f>
              <c:strCache>
                <c:ptCount val="1"/>
                <c:pt idx="0">
                  <c:v>Chicken consumption (BFAP)</c:v>
                </c:pt>
              </c:strCache>
            </c:strRef>
          </c:tx>
          <c:spPr>
            <a:ln w="28575" cap="rnd">
              <a:solidFill>
                <a:schemeClr val="accent2"/>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verification'!$C$5:$BA$5</c:f>
              <c:numCache>
                <c:formatCode>0.00</c:formatCode>
                <c:ptCount val="51"/>
                <c:pt idx="0">
                  <c:v>1079.3522583407307</c:v>
                </c:pt>
                <c:pt idx="1">
                  <c:v>1079.3522583407307</c:v>
                </c:pt>
                <c:pt idx="2">
                  <c:v>1079.3522583407307</c:v>
                </c:pt>
                <c:pt idx="3">
                  <c:v>1188.8597378423108</c:v>
                </c:pt>
                <c:pt idx="4">
                  <c:v>1206.674888388</c:v>
                </c:pt>
                <c:pt idx="5">
                  <c:v>1426.810047041</c:v>
                </c:pt>
                <c:pt idx="6">
                  <c:v>1614.02513538118</c:v>
                </c:pt>
                <c:pt idx="7">
                  <c:v>1649.1401165698499</c:v>
                </c:pt>
                <c:pt idx="8">
                  <c:v>1693.2698300369998</c:v>
                </c:pt>
                <c:pt idx="9">
                  <c:v>1660.260131732</c:v>
                </c:pt>
                <c:pt idx="10">
                  <c:v>1679.6840026329999</c:v>
                </c:pt>
                <c:pt idx="11">
                  <c:v>1828.6388368200001</c:v>
                </c:pt>
                <c:pt idx="12">
                  <c:v>1876.7825659999999</c:v>
                </c:pt>
                <c:pt idx="13">
                  <c:v>1848.129913</c:v>
                </c:pt>
                <c:pt idx="14">
                  <c:v>1879.0711650000001</c:v>
                </c:pt>
                <c:pt idx="15">
                  <c:v>1922.8356980734377</c:v>
                </c:pt>
                <c:pt idx="16">
                  <c:v>1990.456203544496</c:v>
                </c:pt>
                <c:pt idx="17">
                  <c:v>2057.8989690155481</c:v>
                </c:pt>
                <c:pt idx="18">
                  <c:v>2126.2640708919885</c:v>
                </c:pt>
                <c:pt idx="19">
                  <c:v>2198.3453171198826</c:v>
                </c:pt>
                <c:pt idx="20">
                  <c:v>2269.7994713342828</c:v>
                </c:pt>
                <c:pt idx="21">
                  <c:v>2342.1782343068635</c:v>
                </c:pt>
                <c:pt idx="22">
                  <c:v>2416.4818482639166</c:v>
                </c:pt>
                <c:pt idx="23">
                  <c:v>2491.5186816187529</c:v>
                </c:pt>
                <c:pt idx="24">
                  <c:v>2570.8561685926552</c:v>
                </c:pt>
              </c:numCache>
            </c:numRef>
          </c:val>
          <c:smooth val="0"/>
          <c:extLst>
            <c:ext xmlns:c16="http://schemas.microsoft.com/office/drawing/2014/chart" uri="{C3380CC4-5D6E-409C-BE32-E72D297353CC}">
              <c16:uniqueId val="{00000001-0961-441D-9E04-BF04E6707262}"/>
            </c:ext>
          </c:extLst>
        </c:ser>
        <c:ser>
          <c:idx val="2"/>
          <c:order val="2"/>
          <c:tx>
            <c:strRef>
              <c:f>'BFAP verification'!$B$6</c:f>
              <c:strCache>
                <c:ptCount val="1"/>
                <c:pt idx="0">
                  <c:v>Chicken production (model)</c:v>
                </c:pt>
              </c:strCache>
            </c:strRef>
          </c:tx>
          <c:spPr>
            <a:ln w="28575" cap="rnd">
              <a:solidFill>
                <a:schemeClr val="accent3"/>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verification'!$C$6:$BA$6</c:f>
              <c:numCache>
                <c:formatCode>0.00</c:formatCode>
                <c:ptCount val="51"/>
                <c:pt idx="0">
                  <c:v>850</c:v>
                </c:pt>
                <c:pt idx="1">
                  <c:v>869</c:v>
                </c:pt>
                <c:pt idx="2">
                  <c:v>896</c:v>
                </c:pt>
                <c:pt idx="3">
                  <c:v>925</c:v>
                </c:pt>
                <c:pt idx="4">
                  <c:v>1043</c:v>
                </c:pt>
                <c:pt idx="5">
                  <c:v>1273</c:v>
                </c:pt>
                <c:pt idx="6">
                  <c:v>1427</c:v>
                </c:pt>
                <c:pt idx="7">
                  <c:v>1499</c:v>
                </c:pt>
                <c:pt idx="8">
                  <c:v>1584</c:v>
                </c:pt>
                <c:pt idx="9">
                  <c:v>1644</c:v>
                </c:pt>
                <c:pt idx="10">
                  <c:v>1681</c:v>
                </c:pt>
                <c:pt idx="11">
                  <c:v>1721</c:v>
                </c:pt>
                <c:pt idx="12">
                  <c:v>1479.0581196068424</c:v>
                </c:pt>
                <c:pt idx="13">
                  <c:v>1523.0998238027669</c:v>
                </c:pt>
                <c:pt idx="14">
                  <c:v>1549.7307141812346</c:v>
                </c:pt>
                <c:pt idx="15">
                  <c:v>1551.895172536867</c:v>
                </c:pt>
                <c:pt idx="16">
                  <c:v>1553.1197100753227</c:v>
                </c:pt>
                <c:pt idx="17">
                  <c:v>1565.4593212597122</c:v>
                </c:pt>
                <c:pt idx="18">
                  <c:v>1581.1429942067207</c:v>
                </c:pt>
                <c:pt idx="19">
                  <c:v>1570.7633591192405</c:v>
                </c:pt>
                <c:pt idx="20">
                  <c:v>1321.8221077172705</c:v>
                </c:pt>
                <c:pt idx="21">
                  <c:v>1373.8710572905202</c:v>
                </c:pt>
                <c:pt idx="22">
                  <c:v>1419.8432659318269</c:v>
                </c:pt>
                <c:pt idx="23">
                  <c:v>1466.0570535812105</c:v>
                </c:pt>
                <c:pt idx="24">
                  <c:v>1522.7424876683342</c:v>
                </c:pt>
                <c:pt idx="25">
                  <c:v>1579.7881417622393</c:v>
                </c:pt>
                <c:pt idx="26">
                  <c:v>1641.6745024803806</c:v>
                </c:pt>
                <c:pt idx="27">
                  <c:v>1701.4825943055714</c:v>
                </c:pt>
                <c:pt idx="28">
                  <c:v>1765.797296488759</c:v>
                </c:pt>
                <c:pt idx="29">
                  <c:v>1825.6201986156088</c:v>
                </c:pt>
                <c:pt idx="30">
                  <c:v>1887.2959040012252</c:v>
                </c:pt>
                <c:pt idx="31">
                  <c:v>1965.3758218822136</c:v>
                </c:pt>
                <c:pt idx="32">
                  <c:v>2050.5063506751944</c:v>
                </c:pt>
                <c:pt idx="33">
                  <c:v>2138.9537029684484</c:v>
                </c:pt>
                <c:pt idx="34">
                  <c:v>2145.287415850808</c:v>
                </c:pt>
                <c:pt idx="35">
                  <c:v>-1872.984440260178</c:v>
                </c:pt>
                <c:pt idx="36">
                  <c:v>-1888.0038628201582</c:v>
                </c:pt>
                <c:pt idx="37">
                  <c:v>-1903.1332449223494</c:v>
                </c:pt>
                <c:pt idx="38">
                  <c:v>-1918.3733915977607</c:v>
                </c:pt>
                <c:pt idx="39">
                  <c:v>-1933.7251137711626</c:v>
                </c:pt>
                <c:pt idx="40">
                  <c:v>-1949.1892283042296</c:v>
                </c:pt>
                <c:pt idx="41">
                  <c:v>-1962.4043122677263</c:v>
                </c:pt>
                <c:pt idx="42">
                  <c:v>-1975.7014741863049</c:v>
                </c:pt>
                <c:pt idx="43">
                  <c:v>-1989.0812238403591</c:v>
                </c:pt>
                <c:pt idx="44">
                  <c:v>-2002.544074176494</c:v>
                </c:pt>
                <c:pt idx="45">
                  <c:v>-2016.0905413271887</c:v>
                </c:pt>
                <c:pt idx="46">
                  <c:v>-2027.293703187815</c:v>
                </c:pt>
                <c:pt idx="47">
                  <c:v>-2038.5540553970175</c:v>
                </c:pt>
                <c:pt idx="48">
                  <c:v>-2049.8718899023734</c:v>
                </c:pt>
                <c:pt idx="49">
                  <c:v>-2061.2475001418074</c:v>
                </c:pt>
                <c:pt idx="50">
                  <c:v>-2072.6811810511963</c:v>
                </c:pt>
              </c:numCache>
            </c:numRef>
          </c:val>
          <c:smooth val="0"/>
          <c:extLst>
            <c:ext xmlns:c16="http://schemas.microsoft.com/office/drawing/2014/chart" uri="{C3380CC4-5D6E-409C-BE32-E72D297353CC}">
              <c16:uniqueId val="{00000002-0961-441D-9E04-BF04E6707262}"/>
            </c:ext>
          </c:extLst>
        </c:ser>
        <c:ser>
          <c:idx val="3"/>
          <c:order val="3"/>
          <c:tx>
            <c:strRef>
              <c:f>'BFAP verification'!$B$7</c:f>
              <c:strCache>
                <c:ptCount val="1"/>
                <c:pt idx="0">
                  <c:v>Chicken consumption (model)</c:v>
                </c:pt>
              </c:strCache>
            </c:strRef>
          </c:tx>
          <c:spPr>
            <a:ln w="28575" cap="rnd">
              <a:solidFill>
                <a:schemeClr val="accent4"/>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verification'!$C$7:$BA$7</c:f>
              <c:numCache>
                <c:formatCode>0.00</c:formatCode>
                <c:ptCount val="51"/>
                <c:pt idx="0">
                  <c:v>927</c:v>
                </c:pt>
                <c:pt idx="1">
                  <c:v>938</c:v>
                </c:pt>
                <c:pt idx="2">
                  <c:v>965</c:v>
                </c:pt>
                <c:pt idx="3">
                  <c:v>1032</c:v>
                </c:pt>
                <c:pt idx="4">
                  <c:v>1196</c:v>
                </c:pt>
                <c:pt idx="5">
                  <c:v>1455</c:v>
                </c:pt>
                <c:pt idx="6">
                  <c:v>1664</c:v>
                </c:pt>
                <c:pt idx="7">
                  <c:v>1767</c:v>
                </c:pt>
                <c:pt idx="8">
                  <c:v>1813</c:v>
                </c:pt>
                <c:pt idx="9">
                  <c:v>1841</c:v>
                </c:pt>
                <c:pt idx="10">
                  <c:v>1887</c:v>
                </c:pt>
                <c:pt idx="11">
                  <c:v>1987</c:v>
                </c:pt>
                <c:pt idx="12">
                  <c:v>1804.2998007130789</c:v>
                </c:pt>
                <c:pt idx="13">
                  <c:v>1865.4012408232222</c:v>
                </c:pt>
                <c:pt idx="14">
                  <c:v>1902.3477165159209</c:v>
                </c:pt>
                <c:pt idx="15">
                  <c:v>1905.3505867499889</c:v>
                </c:pt>
                <c:pt idx="16">
                  <c:v>1907.049453958572</c:v>
                </c:pt>
                <c:pt idx="17">
                  <c:v>1924.1688644702845</c:v>
                </c:pt>
                <c:pt idx="18">
                  <c:v>1945.9276728718764</c:v>
                </c:pt>
                <c:pt idx="19">
                  <c:v>1931.5274432885376</c:v>
                </c:pt>
                <c:pt idx="20">
                  <c:v>1586.1577705843367</c:v>
                </c:pt>
                <c:pt idx="21">
                  <c:v>1658.368095620762</c:v>
                </c:pt>
                <c:pt idx="22">
                  <c:v>1722.1478290418804</c:v>
                </c:pt>
                <c:pt idx="23">
                  <c:v>1786.2627180970369</c:v>
                </c:pt>
                <c:pt idx="24">
                  <c:v>1864.9054890621167</c:v>
                </c:pt>
                <c:pt idx="25">
                  <c:v>1944.0480127405094</c:v>
                </c:pt>
                <c:pt idx="26">
                  <c:v>2029.9063107353486</c:v>
                </c:pt>
                <c:pt idx="27">
                  <c:v>2112.8813138029418</c:v>
                </c:pt>
                <c:pt idx="28">
                  <c:v>2202.108581352943</c:v>
                </c:pt>
                <c:pt idx="29">
                  <c:v>2285.1041315536759</c:v>
                </c:pt>
                <c:pt idx="30">
                  <c:v>2370.6701760034007</c:v>
                </c:pt>
                <c:pt idx="31">
                  <c:v>2478.9946723713601</c:v>
                </c:pt>
                <c:pt idx="32">
                  <c:v>2597.100862891356</c:v>
                </c:pt>
                <c:pt idx="33">
                  <c:v>2719.8086621855336</c:v>
                </c:pt>
                <c:pt idx="34">
                  <c:v>2728.5957648969711</c:v>
                </c:pt>
                <c:pt idx="35">
                  <c:v>-2846.1702811717246</c:v>
                </c:pt>
                <c:pt idx="36">
                  <c:v>-2867.0075390570018</c:v>
                </c:pt>
                <c:pt idx="37">
                  <c:v>-2887.997349767053</c:v>
                </c:pt>
                <c:pt idx="38">
                  <c:v>-2909.1408301649712</c:v>
                </c:pt>
                <c:pt idx="39">
                  <c:v>-2930.4391052905844</c:v>
                </c:pt>
                <c:pt idx="40">
                  <c:v>-2951.893308420309</c:v>
                </c:pt>
                <c:pt idx="41">
                  <c:v>-2970.2273097058642</c:v>
                </c:pt>
                <c:pt idx="42">
                  <c:v>-2988.6751821812004</c:v>
                </c:pt>
                <c:pt idx="43">
                  <c:v>-3007.2376330922525</c:v>
                </c:pt>
                <c:pt idx="44">
                  <c:v>-3025.9153740776092</c:v>
                </c:pt>
                <c:pt idx="45">
                  <c:v>-3044.7091211957959</c:v>
                </c:pt>
                <c:pt idx="46">
                  <c:v>-3060.2518740471864</c:v>
                </c:pt>
                <c:pt idx="47">
                  <c:v>-3075.8739701647423</c:v>
                </c:pt>
                <c:pt idx="48">
                  <c:v>-3091.575814583141</c:v>
                </c:pt>
                <c:pt idx="49">
                  <c:v>-3107.3578144046974</c:v>
                </c:pt>
                <c:pt idx="50">
                  <c:v>-3123.2203788099173</c:v>
                </c:pt>
              </c:numCache>
            </c:numRef>
          </c:val>
          <c:smooth val="0"/>
          <c:extLst>
            <c:ext xmlns:c16="http://schemas.microsoft.com/office/drawing/2014/chart" uri="{C3380CC4-5D6E-409C-BE32-E72D297353CC}">
              <c16:uniqueId val="{00000003-0961-441D-9E04-BF04E6707262}"/>
            </c:ext>
          </c:extLst>
        </c:ser>
        <c:dLbls>
          <c:showLegendKey val="0"/>
          <c:showVal val="0"/>
          <c:showCatName val="0"/>
          <c:showSerName val="0"/>
          <c:showPercent val="0"/>
          <c:showBubbleSize val="0"/>
        </c:dLbls>
        <c:smooth val="0"/>
        <c:axId val="1913240207"/>
        <c:axId val="1913233551"/>
      </c:lineChart>
      <c:catAx>
        <c:axId val="1913240207"/>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233551"/>
        <c:crosses val="autoZero"/>
        <c:auto val="1"/>
        <c:lblAlgn val="ctr"/>
        <c:lblOffset val="100"/>
        <c:noMultiLvlLbl val="0"/>
      </c:catAx>
      <c:valAx>
        <c:axId val="191323355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2402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verification'!$B$10</c:f>
              <c:strCache>
                <c:ptCount val="1"/>
                <c:pt idx="0">
                  <c:v>Egg production (BFAP)</c:v>
                </c:pt>
              </c:strCache>
            </c:strRef>
          </c:tx>
          <c:spPr>
            <a:ln w="28575" cap="rnd">
              <a:solidFill>
                <a:schemeClr val="accent1"/>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verification'!$C$10:$BA$10</c:f>
              <c:numCache>
                <c:formatCode>0.00</c:formatCode>
                <c:ptCount val="51"/>
                <c:pt idx="0">
                  <c:v>325.34589665653499</c:v>
                </c:pt>
                <c:pt idx="1">
                  <c:v>325.34589665653499</c:v>
                </c:pt>
                <c:pt idx="2">
                  <c:v>325.34589665653499</c:v>
                </c:pt>
                <c:pt idx="3">
                  <c:v>318.8389787234043</c:v>
                </c:pt>
                <c:pt idx="4">
                  <c:v>318.8389787234043</c:v>
                </c:pt>
                <c:pt idx="5">
                  <c:v>325.21575829787241</c:v>
                </c:pt>
                <c:pt idx="6">
                  <c:v>328.46791588085114</c:v>
                </c:pt>
                <c:pt idx="7">
                  <c:v>363.86063999999999</c:v>
                </c:pt>
                <c:pt idx="8">
                  <c:v>368.28791999999999</c:v>
                </c:pt>
                <c:pt idx="9">
                  <c:v>373.60199999999998</c:v>
                </c:pt>
                <c:pt idx="10">
                  <c:v>386.43599999999998</c:v>
                </c:pt>
                <c:pt idx="11">
                  <c:v>404.49</c:v>
                </c:pt>
                <c:pt idx="12">
                  <c:v>450.04</c:v>
                </c:pt>
                <c:pt idx="13">
                  <c:v>439.4</c:v>
                </c:pt>
                <c:pt idx="14">
                  <c:v>421.88</c:v>
                </c:pt>
                <c:pt idx="15">
                  <c:v>433.92676812049251</c:v>
                </c:pt>
                <c:pt idx="16">
                  <c:v>435</c:v>
                </c:pt>
                <c:pt idx="17">
                  <c:v>400</c:v>
                </c:pt>
                <c:pt idx="18">
                  <c:v>410</c:v>
                </c:pt>
                <c:pt idx="19">
                  <c:v>415</c:v>
                </c:pt>
                <c:pt idx="20">
                  <c:v>424</c:v>
                </c:pt>
                <c:pt idx="21">
                  <c:v>440</c:v>
                </c:pt>
                <c:pt idx="22">
                  <c:v>450</c:v>
                </c:pt>
                <c:pt idx="23">
                  <c:v>458</c:v>
                </c:pt>
                <c:pt idx="24">
                  <c:v>460</c:v>
                </c:pt>
                <c:pt idx="25">
                  <c:v>470</c:v>
                </c:pt>
                <c:pt idx="26">
                  <c:v>480</c:v>
                </c:pt>
                <c:pt idx="27">
                  <c:v>490</c:v>
                </c:pt>
                <c:pt idx="28">
                  <c:v>500</c:v>
                </c:pt>
              </c:numCache>
            </c:numRef>
          </c:val>
          <c:smooth val="0"/>
          <c:extLst>
            <c:ext xmlns:c16="http://schemas.microsoft.com/office/drawing/2014/chart" uri="{C3380CC4-5D6E-409C-BE32-E72D297353CC}">
              <c16:uniqueId val="{00000000-76CF-4086-B27B-5C61DEAA5E1D}"/>
            </c:ext>
          </c:extLst>
        </c:ser>
        <c:ser>
          <c:idx val="1"/>
          <c:order val="1"/>
          <c:tx>
            <c:strRef>
              <c:f>'BFAP verification'!$B$11</c:f>
              <c:strCache>
                <c:ptCount val="1"/>
                <c:pt idx="0">
                  <c:v>Egg consumption (BFAP)</c:v>
                </c:pt>
              </c:strCache>
            </c:strRef>
          </c:tx>
          <c:spPr>
            <a:ln w="28575" cap="rnd">
              <a:solidFill>
                <a:schemeClr val="accent2"/>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verification'!$C$11:$BA$11</c:f>
              <c:numCache>
                <c:formatCode>0.00</c:formatCode>
                <c:ptCount val="51"/>
                <c:pt idx="0">
                  <c:v>321.91089665653499</c:v>
                </c:pt>
                <c:pt idx="1">
                  <c:v>321.91089665653499</c:v>
                </c:pt>
                <c:pt idx="2">
                  <c:v>321.91089665653499</c:v>
                </c:pt>
                <c:pt idx="3">
                  <c:v>316.1402608231254</c:v>
                </c:pt>
                <c:pt idx="4">
                  <c:v>317.8939787234043</c:v>
                </c:pt>
                <c:pt idx="5">
                  <c:v>324.27075829787242</c:v>
                </c:pt>
                <c:pt idx="6">
                  <c:v>328.91791588085113</c:v>
                </c:pt>
                <c:pt idx="7">
                  <c:v>364.32063999999997</c:v>
                </c:pt>
                <c:pt idx="8">
                  <c:v>367.77791999999999</c:v>
                </c:pt>
                <c:pt idx="9">
                  <c:v>371.36519499999997</c:v>
                </c:pt>
                <c:pt idx="10">
                  <c:v>382.88327899999996</c:v>
                </c:pt>
                <c:pt idx="11">
                  <c:v>401.97165999999999</c:v>
                </c:pt>
                <c:pt idx="12">
                  <c:v>445.23</c:v>
                </c:pt>
                <c:pt idx="13">
                  <c:v>435.75099999999998</c:v>
                </c:pt>
                <c:pt idx="14">
                  <c:v>416.88200000000001</c:v>
                </c:pt>
                <c:pt idx="15">
                  <c:v>429.92676812049251</c:v>
                </c:pt>
                <c:pt idx="16">
                  <c:v>431</c:v>
                </c:pt>
                <c:pt idx="17">
                  <c:v>396</c:v>
                </c:pt>
                <c:pt idx="18">
                  <c:v>406</c:v>
                </c:pt>
                <c:pt idx="19">
                  <c:v>411</c:v>
                </c:pt>
                <c:pt idx="20">
                  <c:v>420</c:v>
                </c:pt>
                <c:pt idx="21">
                  <c:v>436</c:v>
                </c:pt>
                <c:pt idx="22">
                  <c:v>446</c:v>
                </c:pt>
                <c:pt idx="23">
                  <c:v>454</c:v>
                </c:pt>
                <c:pt idx="24">
                  <c:v>456</c:v>
                </c:pt>
                <c:pt idx="25">
                  <c:v>466</c:v>
                </c:pt>
                <c:pt idx="26">
                  <c:v>476</c:v>
                </c:pt>
                <c:pt idx="27">
                  <c:v>486</c:v>
                </c:pt>
                <c:pt idx="28">
                  <c:v>496</c:v>
                </c:pt>
              </c:numCache>
            </c:numRef>
          </c:val>
          <c:smooth val="0"/>
          <c:extLst>
            <c:ext xmlns:c16="http://schemas.microsoft.com/office/drawing/2014/chart" uri="{C3380CC4-5D6E-409C-BE32-E72D297353CC}">
              <c16:uniqueId val="{00000001-76CF-4086-B27B-5C61DEAA5E1D}"/>
            </c:ext>
          </c:extLst>
        </c:ser>
        <c:ser>
          <c:idx val="2"/>
          <c:order val="2"/>
          <c:tx>
            <c:strRef>
              <c:f>'BFAP verification'!$B$12</c:f>
              <c:strCache>
                <c:ptCount val="1"/>
                <c:pt idx="0">
                  <c:v>Egg production (model)</c:v>
                </c:pt>
              </c:strCache>
            </c:strRef>
          </c:tx>
          <c:spPr>
            <a:ln w="28575" cap="rnd">
              <a:solidFill>
                <a:schemeClr val="accent3"/>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verification'!$C$12:$BA$12</c:f>
              <c:numCache>
                <c:formatCode>0.00</c:formatCode>
                <c:ptCount val="51"/>
                <c:pt idx="0">
                  <c:v>329</c:v>
                </c:pt>
                <c:pt idx="1">
                  <c:v>330</c:v>
                </c:pt>
                <c:pt idx="2">
                  <c:v>340</c:v>
                </c:pt>
                <c:pt idx="3">
                  <c:v>328</c:v>
                </c:pt>
                <c:pt idx="4">
                  <c:v>348</c:v>
                </c:pt>
                <c:pt idx="5">
                  <c:v>375</c:v>
                </c:pt>
                <c:pt idx="6">
                  <c:v>412</c:v>
                </c:pt>
                <c:pt idx="7">
                  <c:v>438</c:v>
                </c:pt>
                <c:pt idx="8">
                  <c:v>426</c:v>
                </c:pt>
                <c:pt idx="9">
                  <c:v>404</c:v>
                </c:pt>
                <c:pt idx="10">
                  <c:v>413</c:v>
                </c:pt>
                <c:pt idx="11">
                  <c:v>452</c:v>
                </c:pt>
                <c:pt idx="12">
                  <c:v>451.43703272998744</c:v>
                </c:pt>
                <c:pt idx="13">
                  <c:v>461.19303147559896</c:v>
                </c:pt>
                <c:pt idx="14">
                  <c:v>469.05063811794838</c:v>
                </c:pt>
                <c:pt idx="15">
                  <c:v>474.17869415702</c:v>
                </c:pt>
                <c:pt idx="16">
                  <c:v>479.37720561441125</c:v>
                </c:pt>
                <c:pt idx="17">
                  <c:v>486.08457200135388</c:v>
                </c:pt>
                <c:pt idx="18">
                  <c:v>493.25896363111656</c:v>
                </c:pt>
                <c:pt idx="19">
                  <c:v>497.42491844669757</c:v>
                </c:pt>
                <c:pt idx="20">
                  <c:v>473.35512608695893</c:v>
                </c:pt>
                <c:pt idx="21">
                  <c:v>483.5034720276193</c:v>
                </c:pt>
                <c:pt idx="22">
                  <c:v>492.97605983176771</c:v>
                </c:pt>
                <c:pt idx="23">
                  <c:v>502.52355339578509</c:v>
                </c:pt>
                <c:pt idx="24">
                  <c:v>513.36104191327593</c:v>
                </c:pt>
                <c:pt idx="25">
                  <c:v>524.28859235415632</c:v>
                </c:pt>
                <c:pt idx="26">
                  <c:v>535.22997017587227</c:v>
                </c:pt>
                <c:pt idx="27">
                  <c:v>545.95999491496923</c:v>
                </c:pt>
                <c:pt idx="28">
                  <c:v>557.26079978496045</c:v>
                </c:pt>
                <c:pt idx="29">
                  <c:v>568.06440724418076</c:v>
                </c:pt>
                <c:pt idx="30">
                  <c:v>579.12443082448556</c:v>
                </c:pt>
                <c:pt idx="31">
                  <c:v>591.66583966905182</c:v>
                </c:pt>
                <c:pt idx="32">
                  <c:v>605.07224619272324</c:v>
                </c:pt>
                <c:pt idx="33">
                  <c:v>618.90059760203394</c:v>
                </c:pt>
                <c:pt idx="34">
                  <c:v>623.00846761701041</c:v>
                </c:pt>
                <c:pt idx="35">
                  <c:v>149.32674967831602</c:v>
                </c:pt>
                <c:pt idx="36">
                  <c:v>150.47180336872376</c:v>
                </c:pt>
                <c:pt idx="37">
                  <c:v>151.625240176332</c:v>
                </c:pt>
                <c:pt idx="38">
                  <c:v>152.78712147525317</c:v>
                </c:pt>
                <c:pt idx="39">
                  <c:v>153.95750908892924</c:v>
                </c:pt>
                <c:pt idx="40">
                  <c:v>155.13646529342131</c:v>
                </c:pt>
                <c:pt idx="41">
                  <c:v>156.14395946312194</c:v>
                </c:pt>
                <c:pt idx="42">
                  <c:v>157.15771110810118</c:v>
                </c:pt>
                <c:pt idx="43">
                  <c:v>158.17775909309688</c:v>
                </c:pt>
                <c:pt idx="44">
                  <c:v>159.20414252423316</c:v>
                </c:pt>
                <c:pt idx="45">
                  <c:v>160.23690075051951</c:v>
                </c:pt>
                <c:pt idx="46">
                  <c:v>161.09100960733579</c:v>
                </c:pt>
                <c:pt idx="47">
                  <c:v>161.94947855319219</c:v>
                </c:pt>
                <c:pt idx="48">
                  <c:v>162.81232984564559</c:v>
                </c:pt>
                <c:pt idx="49">
                  <c:v>163.67958585587408</c:v>
                </c:pt>
                <c:pt idx="50">
                  <c:v>164.55126906925705</c:v>
                </c:pt>
              </c:numCache>
            </c:numRef>
          </c:val>
          <c:smooth val="0"/>
          <c:extLst>
            <c:ext xmlns:c16="http://schemas.microsoft.com/office/drawing/2014/chart" uri="{C3380CC4-5D6E-409C-BE32-E72D297353CC}">
              <c16:uniqueId val="{00000002-76CF-4086-B27B-5C61DEAA5E1D}"/>
            </c:ext>
          </c:extLst>
        </c:ser>
        <c:ser>
          <c:idx val="3"/>
          <c:order val="3"/>
          <c:tx>
            <c:strRef>
              <c:f>'BFAP verification'!$B$13</c:f>
              <c:strCache>
                <c:ptCount val="1"/>
                <c:pt idx="0">
                  <c:v>Egg consumption (model)</c:v>
                </c:pt>
              </c:strCache>
            </c:strRef>
          </c:tx>
          <c:spPr>
            <a:ln w="28575" cap="rnd">
              <a:solidFill>
                <a:schemeClr val="accent4"/>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verification'!$C$13:$BA$13</c:f>
              <c:numCache>
                <c:formatCode>0.00</c:formatCode>
                <c:ptCount val="51"/>
                <c:pt idx="0">
                  <c:v>310</c:v>
                </c:pt>
                <c:pt idx="1">
                  <c:v>308</c:v>
                </c:pt>
                <c:pt idx="2">
                  <c:v>313</c:v>
                </c:pt>
                <c:pt idx="3">
                  <c:v>305</c:v>
                </c:pt>
                <c:pt idx="4">
                  <c:v>329</c:v>
                </c:pt>
                <c:pt idx="5">
                  <c:v>357</c:v>
                </c:pt>
                <c:pt idx="6">
                  <c:v>392</c:v>
                </c:pt>
                <c:pt idx="7">
                  <c:v>416</c:v>
                </c:pt>
                <c:pt idx="8">
                  <c:v>404</c:v>
                </c:pt>
                <c:pt idx="9">
                  <c:v>379</c:v>
                </c:pt>
                <c:pt idx="10">
                  <c:v>386</c:v>
                </c:pt>
                <c:pt idx="11">
                  <c:v>426</c:v>
                </c:pt>
                <c:pt idx="12">
                  <c:v>421.54302508348582</c:v>
                </c:pt>
                <c:pt idx="13">
                  <c:v>430.51238294628797</c:v>
                </c:pt>
                <c:pt idx="14">
                  <c:v>437.7364189223141</c:v>
                </c:pt>
                <c:pt idx="15">
                  <c:v>442.45099207410209</c:v>
                </c:pt>
                <c:pt idx="16">
                  <c:v>447.23033971764232</c:v>
                </c:pt>
                <c:pt idx="17">
                  <c:v>453.39688104366297</c:v>
                </c:pt>
                <c:pt idx="18">
                  <c:v>459.99279066328853</c:v>
                </c:pt>
                <c:pt idx="19">
                  <c:v>463.82283826328626</c:v>
                </c:pt>
                <c:pt idx="20">
                  <c:v>441.69382953878733</c:v>
                </c:pt>
                <c:pt idx="21">
                  <c:v>451.0238990509676</c:v>
                </c:pt>
                <c:pt idx="22">
                  <c:v>459.73269782366532</c:v>
                </c:pt>
                <c:pt idx="23">
                  <c:v>468.51036259191812</c:v>
                </c:pt>
                <c:pt idx="24">
                  <c:v>478.4740080763039</c:v>
                </c:pt>
                <c:pt idx="25">
                  <c:v>488.52045365545763</c:v>
                </c:pt>
                <c:pt idx="26">
                  <c:v>498.57961169289007</c:v>
                </c:pt>
                <c:pt idx="27">
                  <c:v>508.44445836529979</c:v>
                </c:pt>
                <c:pt idx="28">
                  <c:v>518.83406230638718</c:v>
                </c:pt>
                <c:pt idx="29">
                  <c:v>528.76655861329539</c:v>
                </c:pt>
                <c:pt idx="30">
                  <c:v>538.93479582298221</c:v>
                </c:pt>
                <c:pt idx="31">
                  <c:v>550.4649719703732</c:v>
                </c:pt>
                <c:pt idx="32">
                  <c:v>562.79039973030444</c:v>
                </c:pt>
                <c:pt idx="33">
                  <c:v>575.50375032380327</c:v>
                </c:pt>
                <c:pt idx="34">
                  <c:v>579.28039658821297</c:v>
                </c:pt>
                <c:pt idx="35">
                  <c:v>143.79234948588893</c:v>
                </c:pt>
                <c:pt idx="36">
                  <c:v>144.84507577144828</c:v>
                </c:pt>
                <c:pt idx="37">
                  <c:v>145.9055092308335</c:v>
                </c:pt>
                <c:pt idx="38">
                  <c:v>146.97370628946976</c:v>
                </c:pt>
                <c:pt idx="39">
                  <c:v>148.04972378588181</c:v>
                </c:pt>
                <c:pt idx="40">
                  <c:v>149.13361897471799</c:v>
                </c:pt>
                <c:pt idx="41">
                  <c:v>150.05987737105048</c:v>
                </c:pt>
                <c:pt idx="42">
                  <c:v>150.99188869299874</c:v>
                </c:pt>
                <c:pt idx="43">
                  <c:v>151.9296886715783</c:v>
                </c:pt>
                <c:pt idx="44">
                  <c:v>152.87331325972755</c:v>
                </c:pt>
                <c:pt idx="45">
                  <c:v>153.82279863368598</c:v>
                </c:pt>
                <c:pt idx="46">
                  <c:v>154.60803940608974</c:v>
                </c:pt>
                <c:pt idx="47">
                  <c:v>155.39728870698295</c:v>
                </c:pt>
                <c:pt idx="48">
                  <c:v>156.19056699926205</c:v>
                </c:pt>
                <c:pt idx="49">
                  <c:v>156.9878948502834</c:v>
                </c:pt>
                <c:pt idx="50">
                  <c:v>157.78929293239631</c:v>
                </c:pt>
              </c:numCache>
            </c:numRef>
          </c:val>
          <c:smooth val="0"/>
          <c:extLst>
            <c:ext xmlns:c16="http://schemas.microsoft.com/office/drawing/2014/chart" uri="{C3380CC4-5D6E-409C-BE32-E72D297353CC}">
              <c16:uniqueId val="{00000003-76CF-4086-B27B-5C61DEAA5E1D}"/>
            </c:ext>
          </c:extLst>
        </c:ser>
        <c:dLbls>
          <c:showLegendKey val="0"/>
          <c:showVal val="0"/>
          <c:showCatName val="0"/>
          <c:showSerName val="0"/>
          <c:showPercent val="0"/>
          <c:showBubbleSize val="0"/>
        </c:dLbls>
        <c:smooth val="0"/>
        <c:axId val="1784320671"/>
        <c:axId val="1784315263"/>
      </c:lineChart>
      <c:catAx>
        <c:axId val="1784320671"/>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315263"/>
        <c:crosses val="autoZero"/>
        <c:auto val="1"/>
        <c:lblAlgn val="ctr"/>
        <c:lblOffset val="100"/>
        <c:noMultiLvlLbl val="0"/>
      </c:catAx>
      <c:valAx>
        <c:axId val="178431526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3206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verification'!$B$16</c:f>
              <c:strCache>
                <c:ptCount val="1"/>
                <c:pt idx="0">
                  <c:v>Beef production (BFAP)</c:v>
                </c:pt>
              </c:strCache>
            </c:strRef>
          </c:tx>
          <c:spPr>
            <a:ln w="28575" cap="rnd">
              <a:solidFill>
                <a:schemeClr val="accent1"/>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verification'!$C$16:$BA$16</c:f>
              <c:numCache>
                <c:formatCode>0.00</c:formatCode>
                <c:ptCount val="51"/>
                <c:pt idx="0">
                  <c:v>610.16713705625</c:v>
                </c:pt>
                <c:pt idx="1">
                  <c:v>610.16713705625</c:v>
                </c:pt>
                <c:pt idx="2">
                  <c:v>610.16713705625</c:v>
                </c:pt>
                <c:pt idx="3">
                  <c:v>536</c:v>
                </c:pt>
                <c:pt idx="4">
                  <c:v>559.68422552599998</c:v>
                </c:pt>
                <c:pt idx="5">
                  <c:v>575.65290859000004</c:v>
                </c:pt>
                <c:pt idx="6">
                  <c:v>579.69497297999999</c:v>
                </c:pt>
                <c:pt idx="7">
                  <c:v>601.65087453649994</c:v>
                </c:pt>
                <c:pt idx="8">
                  <c:v>631</c:v>
                </c:pt>
                <c:pt idx="9">
                  <c:v>612.06999999999994</c:v>
                </c:pt>
                <c:pt idx="10">
                  <c:v>654.91489999999999</c:v>
                </c:pt>
                <c:pt idx="11">
                  <c:v>622.16915499999993</c:v>
                </c:pt>
                <c:pt idx="12">
                  <c:v>613.14770225249993</c:v>
                </c:pt>
                <c:pt idx="13">
                  <c:v>665.92799245872072</c:v>
                </c:pt>
                <c:pt idx="14">
                  <c:v>698.08925804689954</c:v>
                </c:pt>
                <c:pt idx="15">
                  <c:v>699.22078053934399</c:v>
                </c:pt>
                <c:pt idx="16">
                  <c:v>710.39885911430974</c:v>
                </c:pt>
                <c:pt idx="17">
                  <c:v>739.18964380980105</c:v>
                </c:pt>
                <c:pt idx="18">
                  <c:v>753.56215690376871</c:v>
                </c:pt>
                <c:pt idx="19">
                  <c:v>770.46731576083528</c:v>
                </c:pt>
                <c:pt idx="20">
                  <c:v>785.71589617587529</c:v>
                </c:pt>
                <c:pt idx="21">
                  <c:v>803.32741953910943</c:v>
                </c:pt>
                <c:pt idx="22">
                  <c:v>821.94908336777723</c:v>
                </c:pt>
                <c:pt idx="23">
                  <c:v>844.55586695223269</c:v>
                </c:pt>
                <c:pt idx="24">
                  <c:v>859.84984588505426</c:v>
                </c:pt>
                <c:pt idx="25">
                  <c:v>875</c:v>
                </c:pt>
                <c:pt idx="26">
                  <c:v>890</c:v>
                </c:pt>
                <c:pt idx="27">
                  <c:v>910</c:v>
                </c:pt>
                <c:pt idx="28">
                  <c:v>925</c:v>
                </c:pt>
              </c:numCache>
            </c:numRef>
          </c:val>
          <c:smooth val="0"/>
          <c:extLst>
            <c:ext xmlns:c16="http://schemas.microsoft.com/office/drawing/2014/chart" uri="{C3380CC4-5D6E-409C-BE32-E72D297353CC}">
              <c16:uniqueId val="{00000000-4A48-44EA-92BB-FEC8B7D263A4}"/>
            </c:ext>
          </c:extLst>
        </c:ser>
        <c:ser>
          <c:idx val="1"/>
          <c:order val="1"/>
          <c:tx>
            <c:strRef>
              <c:f>'BFAP verification'!$B$17</c:f>
              <c:strCache>
                <c:ptCount val="1"/>
                <c:pt idx="0">
                  <c:v>Beef consumption (BFAP)</c:v>
                </c:pt>
              </c:strCache>
            </c:strRef>
          </c:tx>
          <c:spPr>
            <a:ln w="28575" cap="rnd">
              <a:solidFill>
                <a:schemeClr val="accent2"/>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verification'!$C$17:$BA$17</c:f>
              <c:numCache>
                <c:formatCode>0.00</c:formatCode>
                <c:ptCount val="51"/>
                <c:pt idx="0">
                  <c:v>649.892624710375</c:v>
                </c:pt>
                <c:pt idx="1">
                  <c:v>649.892624710375</c:v>
                </c:pt>
                <c:pt idx="2">
                  <c:v>649.892624710375</c:v>
                </c:pt>
                <c:pt idx="3">
                  <c:v>574.19949799999995</c:v>
                </c:pt>
                <c:pt idx="4">
                  <c:v>612.06163379999998</c:v>
                </c:pt>
                <c:pt idx="5">
                  <c:v>642.21783919999996</c:v>
                </c:pt>
                <c:pt idx="6">
                  <c:v>636.26177159999997</c:v>
                </c:pt>
                <c:pt idx="7">
                  <c:v>658.9</c:v>
                </c:pt>
                <c:pt idx="8">
                  <c:v>671.91341149238087</c:v>
                </c:pt>
                <c:pt idx="9">
                  <c:v>649.94999999999993</c:v>
                </c:pt>
                <c:pt idx="10">
                  <c:v>695.36469999999997</c:v>
                </c:pt>
                <c:pt idx="11">
                  <c:v>663.10915499999999</c:v>
                </c:pt>
                <c:pt idx="12">
                  <c:v>670.91943283249987</c:v>
                </c:pt>
                <c:pt idx="13">
                  <c:v>716.42099245872066</c:v>
                </c:pt>
                <c:pt idx="14">
                  <c:v>729.84874533689958</c:v>
                </c:pt>
                <c:pt idx="15">
                  <c:v>740.51634422626432</c:v>
                </c:pt>
                <c:pt idx="16">
                  <c:v>752.08174895984371</c:v>
                </c:pt>
                <c:pt idx="17">
                  <c:v>781.10112686931438</c:v>
                </c:pt>
                <c:pt idx="18">
                  <c:v>797.63162045872559</c:v>
                </c:pt>
                <c:pt idx="19">
                  <c:v>815.73258961364343</c:v>
                </c:pt>
                <c:pt idx="20">
                  <c:v>831.42566617367947</c:v>
                </c:pt>
                <c:pt idx="21">
                  <c:v>848.73455405867912</c:v>
                </c:pt>
                <c:pt idx="22">
                  <c:v>866.8135090431233</c:v>
                </c:pt>
                <c:pt idx="23">
                  <c:v>888.81185294880709</c:v>
                </c:pt>
                <c:pt idx="24">
                  <c:v>904.54032017152463</c:v>
                </c:pt>
              </c:numCache>
            </c:numRef>
          </c:val>
          <c:smooth val="0"/>
          <c:extLst>
            <c:ext xmlns:c16="http://schemas.microsoft.com/office/drawing/2014/chart" uri="{C3380CC4-5D6E-409C-BE32-E72D297353CC}">
              <c16:uniqueId val="{00000001-4A48-44EA-92BB-FEC8B7D263A4}"/>
            </c:ext>
          </c:extLst>
        </c:ser>
        <c:ser>
          <c:idx val="2"/>
          <c:order val="2"/>
          <c:tx>
            <c:strRef>
              <c:f>'BFAP verification'!$B$18</c:f>
              <c:strCache>
                <c:ptCount val="1"/>
                <c:pt idx="0">
                  <c:v>Beef production (model)</c:v>
                </c:pt>
              </c:strCache>
            </c:strRef>
          </c:tx>
          <c:spPr>
            <a:ln w="28575" cap="rnd">
              <a:solidFill>
                <a:schemeClr val="accent3"/>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verification'!$C$18:$BA$18</c:f>
              <c:numCache>
                <c:formatCode>0.00</c:formatCode>
                <c:ptCount val="51"/>
                <c:pt idx="0">
                  <c:v>624.6</c:v>
                </c:pt>
                <c:pt idx="1">
                  <c:v>524.29999999999995</c:v>
                </c:pt>
                <c:pt idx="2">
                  <c:v>573.4</c:v>
                </c:pt>
                <c:pt idx="3">
                  <c:v>609.70000000000005</c:v>
                </c:pt>
                <c:pt idx="4">
                  <c:v>631.70000000000005</c:v>
                </c:pt>
                <c:pt idx="5">
                  <c:v>672.3</c:v>
                </c:pt>
                <c:pt idx="6">
                  <c:v>808.1</c:v>
                </c:pt>
                <c:pt idx="7">
                  <c:v>861.4</c:v>
                </c:pt>
                <c:pt idx="8">
                  <c:v>770.2</c:v>
                </c:pt>
                <c:pt idx="9">
                  <c:v>796.7</c:v>
                </c:pt>
                <c:pt idx="10">
                  <c:v>885.8</c:v>
                </c:pt>
                <c:pt idx="11">
                  <c:v>869.5</c:v>
                </c:pt>
                <c:pt idx="12">
                  <c:v>924.97235283723501</c:v>
                </c:pt>
                <c:pt idx="13">
                  <c:v>951.12167835089792</c:v>
                </c:pt>
                <c:pt idx="14">
                  <c:v>970.20317078071014</c:v>
                </c:pt>
                <c:pt idx="15">
                  <c:v>979.24937915964074</c:v>
                </c:pt>
                <c:pt idx="16">
                  <c:v>988.20276420008133</c:v>
                </c:pt>
                <c:pt idx="17">
                  <c:v>1002.1639830355821</c:v>
                </c:pt>
                <c:pt idx="18">
                  <c:v>1017.6536774399303</c:v>
                </c:pt>
                <c:pt idx="19">
                  <c:v>1022.2849237864143</c:v>
                </c:pt>
                <c:pt idx="20">
                  <c:v>926.35996797926975</c:v>
                </c:pt>
                <c:pt idx="21">
                  <c:v>954.95719816315966</c:v>
                </c:pt>
                <c:pt idx="22">
                  <c:v>981.06560210034854</c:v>
                </c:pt>
                <c:pt idx="23">
                  <c:v>1007.3531560424094</c:v>
                </c:pt>
                <c:pt idx="24">
                  <c:v>1038.1390785026372</c:v>
                </c:pt>
                <c:pt idx="25">
                  <c:v>1069.1560192956099</c:v>
                </c:pt>
                <c:pt idx="26">
                  <c:v>1101.2799021690159</c:v>
                </c:pt>
                <c:pt idx="27">
                  <c:v>1132.5855852858717</c:v>
                </c:pt>
                <c:pt idx="28">
                  <c:v>1165.853268538385</c:v>
                </c:pt>
                <c:pt idx="29">
                  <c:v>1197.2851182141083</c:v>
                </c:pt>
                <c:pt idx="30">
                  <c:v>1229.5599201145717</c:v>
                </c:pt>
                <c:pt idx="31">
                  <c:v>1267.9809562031089</c:v>
                </c:pt>
                <c:pt idx="32">
                  <c:v>1309.4248185035701</c:v>
                </c:pt>
                <c:pt idx="33">
                  <c:v>1352.31579342448</c:v>
                </c:pt>
                <c:pt idx="34">
                  <c:v>1360.5922594927556</c:v>
                </c:pt>
                <c:pt idx="35">
                  <c:v>-329.95540999367142</c:v>
                </c:pt>
                <c:pt idx="36">
                  <c:v>-331.40659670128707</c:v>
                </c:pt>
                <c:pt idx="37">
                  <c:v>-332.86840777381394</c:v>
                </c:pt>
                <c:pt idx="38">
                  <c:v>-334.34092099388943</c:v>
                </c:pt>
                <c:pt idx="39">
                  <c:v>-335.8242147136101</c:v>
                </c:pt>
                <c:pt idx="40">
                  <c:v>-337.31836785870036</c:v>
                </c:pt>
                <c:pt idx="41">
                  <c:v>-338.59521815778913</c:v>
                </c:pt>
                <c:pt idx="42">
                  <c:v>-339.87999888409161</c:v>
                </c:pt>
                <c:pt idx="43">
                  <c:v>-341.17275929293214</c:v>
                </c:pt>
                <c:pt idx="44">
                  <c:v>-342.47354894555673</c:v>
                </c:pt>
                <c:pt idx="45">
                  <c:v>-343.78241771103256</c:v>
                </c:pt>
                <c:pt idx="46">
                  <c:v>-344.86487474361695</c:v>
                </c:pt>
                <c:pt idx="47">
                  <c:v>-345.95285754613877</c:v>
                </c:pt>
                <c:pt idx="48">
                  <c:v>-347.04639432676908</c:v>
                </c:pt>
                <c:pt idx="49">
                  <c:v>-348.14551343767755</c:v>
                </c:pt>
                <c:pt idx="50">
                  <c:v>-349.25024337576679</c:v>
                </c:pt>
              </c:numCache>
            </c:numRef>
          </c:val>
          <c:smooth val="0"/>
          <c:extLst>
            <c:ext xmlns:c16="http://schemas.microsoft.com/office/drawing/2014/chart" uri="{C3380CC4-5D6E-409C-BE32-E72D297353CC}">
              <c16:uniqueId val="{00000002-4A48-44EA-92BB-FEC8B7D263A4}"/>
            </c:ext>
          </c:extLst>
        </c:ser>
        <c:ser>
          <c:idx val="3"/>
          <c:order val="3"/>
          <c:tx>
            <c:strRef>
              <c:f>'BFAP verification'!$B$19</c:f>
              <c:strCache>
                <c:ptCount val="1"/>
                <c:pt idx="0">
                  <c:v>Beef consumption (model)</c:v>
                </c:pt>
              </c:strCache>
            </c:strRef>
          </c:tx>
          <c:spPr>
            <a:ln w="28575" cap="rnd">
              <a:solidFill>
                <a:schemeClr val="accent4"/>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verification'!$C$19:$BA$19</c:f>
              <c:numCache>
                <c:formatCode>0.00</c:formatCode>
                <c:ptCount val="51"/>
                <c:pt idx="0">
                  <c:v>671</c:v>
                </c:pt>
                <c:pt idx="1">
                  <c:v>554</c:v>
                </c:pt>
                <c:pt idx="2">
                  <c:v>602</c:v>
                </c:pt>
                <c:pt idx="3">
                  <c:v>643</c:v>
                </c:pt>
                <c:pt idx="4">
                  <c:v>675</c:v>
                </c:pt>
                <c:pt idx="5">
                  <c:v>723</c:v>
                </c:pt>
                <c:pt idx="6">
                  <c:v>825</c:v>
                </c:pt>
                <c:pt idx="7">
                  <c:v>865</c:v>
                </c:pt>
                <c:pt idx="8">
                  <c:v>767</c:v>
                </c:pt>
                <c:pt idx="9">
                  <c:v>784</c:v>
                </c:pt>
                <c:pt idx="10">
                  <c:v>880</c:v>
                </c:pt>
                <c:pt idx="11">
                  <c:v>879</c:v>
                </c:pt>
                <c:pt idx="12">
                  <c:v>924.85580898353146</c:v>
                </c:pt>
                <c:pt idx="13">
                  <c:v>947.74228342583422</c:v>
                </c:pt>
                <c:pt idx="14">
                  <c:v>964.44283230185465</c:v>
                </c:pt>
                <c:pt idx="15">
                  <c:v>972.36027616693514</c:v>
                </c:pt>
                <c:pt idx="16">
                  <c:v>980.19647897044808</c:v>
                </c:pt>
                <c:pt idx="17">
                  <c:v>992.41564989686981</c:v>
                </c:pt>
                <c:pt idx="18">
                  <c:v>1005.9725768210067</c:v>
                </c:pt>
                <c:pt idx="19">
                  <c:v>1010.0259471876509</c:v>
                </c:pt>
                <c:pt idx="20">
                  <c:v>926.07028078577116</c:v>
                </c:pt>
                <c:pt idx="21">
                  <c:v>951.09921613564393</c:v>
                </c:pt>
                <c:pt idx="22">
                  <c:v>973.94987509912619</c:v>
                </c:pt>
                <c:pt idx="23">
                  <c:v>996.95733015303495</c:v>
                </c:pt>
                <c:pt idx="24">
                  <c:v>1023.9018579268233</c:v>
                </c:pt>
                <c:pt idx="25">
                  <c:v>1051.0485781114753</c:v>
                </c:pt>
                <c:pt idx="26">
                  <c:v>1079.1641187584262</c:v>
                </c:pt>
                <c:pt idx="27">
                  <c:v>1106.5635526818135</c:v>
                </c:pt>
                <c:pt idx="28">
                  <c:v>1135.6801729982899</c:v>
                </c:pt>
                <c:pt idx="29">
                  <c:v>1163.1900307153419</c:v>
                </c:pt>
                <c:pt idx="30">
                  <c:v>1191.4376590696336</c:v>
                </c:pt>
                <c:pt idx="31">
                  <c:v>1225.0646090277753</c:v>
                </c:pt>
                <c:pt idx="32">
                  <c:v>1261.3372040832094</c:v>
                </c:pt>
                <c:pt idx="33">
                  <c:v>1298.8763444644771</c:v>
                </c:pt>
                <c:pt idx="34">
                  <c:v>1306.1200926462498</c:v>
                </c:pt>
                <c:pt idx="35">
                  <c:v>-173.48503181403802</c:v>
                </c:pt>
                <c:pt idx="36">
                  <c:v>-174.75514287206525</c:v>
                </c:pt>
                <c:pt idx="37">
                  <c:v>-176.03455261184538</c:v>
                </c:pt>
                <c:pt idx="38">
                  <c:v>-177.32332911048209</c:v>
                </c:pt>
                <c:pt idx="39">
                  <c:v>-178.62154094348244</c:v>
                </c:pt>
                <c:pt idx="40">
                  <c:v>-179.92925718840539</c:v>
                </c:pt>
                <c:pt idx="41">
                  <c:v>-181.04678512316889</c:v>
                </c:pt>
                <c:pt idx="42">
                  <c:v>-182.17125394517046</c:v>
                </c:pt>
                <c:pt idx="43">
                  <c:v>-183.30270676377154</c:v>
                </c:pt>
                <c:pt idx="44">
                  <c:v>-184.44118695608282</c:v>
                </c:pt>
                <c:pt idx="45">
                  <c:v>-185.58673816862702</c:v>
                </c:pt>
                <c:pt idx="46">
                  <c:v>-186.53412876951231</c:v>
                </c:pt>
                <c:pt idx="47">
                  <c:v>-187.48635564781438</c:v>
                </c:pt>
                <c:pt idx="48">
                  <c:v>-188.44344349195543</c:v>
                </c:pt>
                <c:pt idx="49">
                  <c:v>-189.40541711638826</c:v>
                </c:pt>
                <c:pt idx="50">
                  <c:v>-190.37230146223948</c:v>
                </c:pt>
              </c:numCache>
            </c:numRef>
          </c:val>
          <c:smooth val="0"/>
          <c:extLst>
            <c:ext xmlns:c16="http://schemas.microsoft.com/office/drawing/2014/chart" uri="{C3380CC4-5D6E-409C-BE32-E72D297353CC}">
              <c16:uniqueId val="{00000003-4A48-44EA-92BB-FEC8B7D263A4}"/>
            </c:ext>
          </c:extLst>
        </c:ser>
        <c:dLbls>
          <c:showLegendKey val="0"/>
          <c:showVal val="0"/>
          <c:showCatName val="0"/>
          <c:showSerName val="0"/>
          <c:showPercent val="0"/>
          <c:showBubbleSize val="0"/>
        </c:dLbls>
        <c:smooth val="0"/>
        <c:axId val="1797134927"/>
        <c:axId val="1797135343"/>
      </c:lineChart>
      <c:catAx>
        <c:axId val="1797134927"/>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7135343"/>
        <c:crosses val="autoZero"/>
        <c:auto val="1"/>
        <c:lblAlgn val="ctr"/>
        <c:lblOffset val="100"/>
        <c:noMultiLvlLbl val="0"/>
      </c:catAx>
      <c:valAx>
        <c:axId val="179713534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71349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verification'!$B$22</c:f>
              <c:strCache>
                <c:ptCount val="1"/>
                <c:pt idx="0">
                  <c:v>Pork production (BFAP)</c:v>
                </c:pt>
              </c:strCache>
            </c:strRef>
          </c:tx>
          <c:spPr>
            <a:ln w="28575" cap="rnd">
              <a:solidFill>
                <a:schemeClr val="accent1"/>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verification'!$C$22:$BA$22</c:f>
              <c:numCache>
                <c:formatCode>0.00</c:formatCode>
                <c:ptCount val="51"/>
                <c:pt idx="0">
                  <c:v>129.63</c:v>
                </c:pt>
                <c:pt idx="1">
                  <c:v>129.63</c:v>
                </c:pt>
                <c:pt idx="2">
                  <c:v>129.63</c:v>
                </c:pt>
                <c:pt idx="3">
                  <c:v>143.13999999999999</c:v>
                </c:pt>
                <c:pt idx="4">
                  <c:v>146.053</c:v>
                </c:pt>
                <c:pt idx="5">
                  <c:v>149.999</c:v>
                </c:pt>
                <c:pt idx="6">
                  <c:v>157.24799999999999</c:v>
                </c:pt>
                <c:pt idx="7">
                  <c:v>152.83564942134379</c:v>
                </c:pt>
                <c:pt idx="8">
                  <c:v>162.80000000000001</c:v>
                </c:pt>
                <c:pt idx="9">
                  <c:v>165.18375564550669</c:v>
                </c:pt>
                <c:pt idx="10">
                  <c:v>169.66697423006443</c:v>
                </c:pt>
                <c:pt idx="11">
                  <c:v>186.75616508255388</c:v>
                </c:pt>
                <c:pt idx="12">
                  <c:v>191.25698866104344</c:v>
                </c:pt>
                <c:pt idx="13">
                  <c:v>197.47194670605705</c:v>
                </c:pt>
                <c:pt idx="14">
                  <c:v>204.80493212570124</c:v>
                </c:pt>
                <c:pt idx="15">
                  <c:v>208.64102609863633</c:v>
                </c:pt>
                <c:pt idx="16">
                  <c:v>213.80677245749976</c:v>
                </c:pt>
                <c:pt idx="17">
                  <c:v>217.57407311191287</c:v>
                </c:pt>
                <c:pt idx="18">
                  <c:v>225.22145508819884</c:v>
                </c:pt>
                <c:pt idx="19">
                  <c:v>232.86299528535966</c:v>
                </c:pt>
                <c:pt idx="20">
                  <c:v>241.53716288131423</c:v>
                </c:pt>
                <c:pt idx="21">
                  <c:v>245</c:v>
                </c:pt>
                <c:pt idx="22">
                  <c:v>250</c:v>
                </c:pt>
                <c:pt idx="23">
                  <c:v>255</c:v>
                </c:pt>
                <c:pt idx="24">
                  <c:v>260</c:v>
                </c:pt>
                <c:pt idx="25">
                  <c:v>265</c:v>
                </c:pt>
                <c:pt idx="26">
                  <c:v>270</c:v>
                </c:pt>
                <c:pt idx="27">
                  <c:v>275</c:v>
                </c:pt>
                <c:pt idx="28">
                  <c:v>280</c:v>
                </c:pt>
              </c:numCache>
            </c:numRef>
          </c:val>
          <c:smooth val="0"/>
          <c:extLst>
            <c:ext xmlns:c16="http://schemas.microsoft.com/office/drawing/2014/chart" uri="{C3380CC4-5D6E-409C-BE32-E72D297353CC}">
              <c16:uniqueId val="{00000000-03A2-46B0-862C-E451EC00EDA3}"/>
            </c:ext>
          </c:extLst>
        </c:ser>
        <c:ser>
          <c:idx val="1"/>
          <c:order val="1"/>
          <c:tx>
            <c:strRef>
              <c:f>'BFAP verification'!$B$23</c:f>
              <c:strCache>
                <c:ptCount val="1"/>
                <c:pt idx="0">
                  <c:v>Pork Domestic Use (BFAP)</c:v>
                </c:pt>
              </c:strCache>
            </c:strRef>
          </c:tx>
          <c:spPr>
            <a:ln w="28575" cap="rnd">
              <a:solidFill>
                <a:schemeClr val="accent2"/>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verification'!$C$23:$BA$23</c:f>
              <c:numCache>
                <c:formatCode>0.00</c:formatCode>
                <c:ptCount val="51"/>
                <c:pt idx="0">
                  <c:v>137.82499999999999</c:v>
                </c:pt>
                <c:pt idx="1">
                  <c:v>137.82499999999999</c:v>
                </c:pt>
                <c:pt idx="2">
                  <c:v>137.82499999999999</c:v>
                </c:pt>
                <c:pt idx="3">
                  <c:v>156.29499999999999</c:v>
                </c:pt>
                <c:pt idx="4">
                  <c:v>167.84399999999999</c:v>
                </c:pt>
                <c:pt idx="5">
                  <c:v>176.53800000000001</c:v>
                </c:pt>
                <c:pt idx="6">
                  <c:v>177.79399999999998</c:v>
                </c:pt>
                <c:pt idx="7">
                  <c:v>173.29521483689047</c:v>
                </c:pt>
                <c:pt idx="8">
                  <c:v>179.18</c:v>
                </c:pt>
                <c:pt idx="9">
                  <c:v>188.69627164870266</c:v>
                </c:pt>
                <c:pt idx="10">
                  <c:v>192.2214902332604</c:v>
                </c:pt>
                <c:pt idx="11">
                  <c:v>215.34616508255388</c:v>
                </c:pt>
                <c:pt idx="12">
                  <c:v>223.20098866104343</c:v>
                </c:pt>
                <c:pt idx="13">
                  <c:v>219.00718870605706</c:v>
                </c:pt>
                <c:pt idx="14">
                  <c:v>215.58134712570126</c:v>
                </c:pt>
                <c:pt idx="15">
                  <c:v>221.42544983376598</c:v>
                </c:pt>
                <c:pt idx="16">
                  <c:v>226.46723800236197</c:v>
                </c:pt>
                <c:pt idx="17">
                  <c:v>230.37779215363364</c:v>
                </c:pt>
                <c:pt idx="18">
                  <c:v>237.99020308913876</c:v>
                </c:pt>
                <c:pt idx="19">
                  <c:v>245.3694152709713</c:v>
                </c:pt>
                <c:pt idx="20">
                  <c:v>253.78761345428606</c:v>
                </c:pt>
                <c:pt idx="21">
                  <c:v>263.23358248496942</c:v>
                </c:pt>
                <c:pt idx="22">
                  <c:v>274.0317887557747</c:v>
                </c:pt>
                <c:pt idx="23">
                  <c:v>283.56552384740866</c:v>
                </c:pt>
                <c:pt idx="24">
                  <c:v>293.35792027883537</c:v>
                </c:pt>
              </c:numCache>
            </c:numRef>
          </c:val>
          <c:smooth val="0"/>
          <c:extLst>
            <c:ext xmlns:c16="http://schemas.microsoft.com/office/drawing/2014/chart" uri="{C3380CC4-5D6E-409C-BE32-E72D297353CC}">
              <c16:uniqueId val="{00000001-03A2-46B0-862C-E451EC00EDA3}"/>
            </c:ext>
          </c:extLst>
        </c:ser>
        <c:ser>
          <c:idx val="2"/>
          <c:order val="2"/>
          <c:tx>
            <c:strRef>
              <c:f>'BFAP verification'!$B$24</c:f>
              <c:strCache>
                <c:ptCount val="1"/>
                <c:pt idx="0">
                  <c:v>Pork production (model)</c:v>
                </c:pt>
              </c:strCache>
            </c:strRef>
          </c:tx>
          <c:spPr>
            <a:ln w="28575" cap="rnd">
              <a:solidFill>
                <a:schemeClr val="accent3"/>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verification'!$C$24:$BA$24</c:f>
              <c:numCache>
                <c:formatCode>0.00</c:formatCode>
                <c:ptCount val="51"/>
                <c:pt idx="0">
                  <c:v>123</c:v>
                </c:pt>
                <c:pt idx="1">
                  <c:v>106.9</c:v>
                </c:pt>
                <c:pt idx="2">
                  <c:v>116.6</c:v>
                </c:pt>
                <c:pt idx="3">
                  <c:v>135</c:v>
                </c:pt>
                <c:pt idx="4">
                  <c:v>156.80000000000001</c:v>
                </c:pt>
                <c:pt idx="5">
                  <c:v>159.69999999999999</c:v>
                </c:pt>
                <c:pt idx="6">
                  <c:v>171.4</c:v>
                </c:pt>
                <c:pt idx="7">
                  <c:v>187.1</c:v>
                </c:pt>
                <c:pt idx="8">
                  <c:v>181.7</c:v>
                </c:pt>
                <c:pt idx="9">
                  <c:v>180.7</c:v>
                </c:pt>
                <c:pt idx="10">
                  <c:v>191.9</c:v>
                </c:pt>
                <c:pt idx="11">
                  <c:v>205.1</c:v>
                </c:pt>
                <c:pt idx="12">
                  <c:v>211.85852623334341</c:v>
                </c:pt>
                <c:pt idx="13">
                  <c:v>217.29893839915388</c:v>
                </c:pt>
                <c:pt idx="14">
                  <c:v>221.02958026028011</c:v>
                </c:pt>
                <c:pt idx="15">
                  <c:v>222.34365270597331</c:v>
                </c:pt>
                <c:pt idx="16">
                  <c:v>223.60436340102456</c:v>
                </c:pt>
                <c:pt idx="17">
                  <c:v>226.02344850057844</c:v>
                </c:pt>
                <c:pt idx="18">
                  <c:v>228.79398386710258</c:v>
                </c:pt>
                <c:pt idx="19">
                  <c:v>228.96754335225717</c:v>
                </c:pt>
                <c:pt idx="20">
                  <c:v>205.21316784232923</c:v>
                </c:pt>
                <c:pt idx="21">
                  <c:v>211.33166221226082</c:v>
                </c:pt>
                <c:pt idx="22">
                  <c:v>216.85044320123012</c:v>
                </c:pt>
                <c:pt idx="23">
                  <c:v>222.40388280982941</c:v>
                </c:pt>
                <c:pt idx="24">
                  <c:v>229.019028349812</c:v>
                </c:pt>
                <c:pt idx="25">
                  <c:v>235.68098314100891</c:v>
                </c:pt>
                <c:pt idx="26">
                  <c:v>242.70257288763904</c:v>
                </c:pt>
                <c:pt idx="27">
                  <c:v>249.52350733162277</c:v>
                </c:pt>
                <c:pt idx="28">
                  <c:v>256.80487654548239</c:v>
                </c:pt>
                <c:pt idx="29">
                  <c:v>263.64347002907783</c:v>
                </c:pt>
                <c:pt idx="30">
                  <c:v>270.67625972697715</c:v>
                </c:pt>
                <c:pt idx="31">
                  <c:v>279.25078749197212</c:v>
                </c:pt>
                <c:pt idx="32">
                  <c:v>288.53936497439315</c:v>
                </c:pt>
                <c:pt idx="33">
                  <c:v>298.16723608938526</c:v>
                </c:pt>
                <c:pt idx="34">
                  <c:v>299.55866697453428</c:v>
                </c:pt>
                <c:pt idx="35">
                  <c:v>-103.04646176309049</c:v>
                </c:pt>
                <c:pt idx="36">
                  <c:v>-103.89482703485281</c:v>
                </c:pt>
                <c:pt idx="37">
                  <c:v>-104.74940332148856</c:v>
                </c:pt>
                <c:pt idx="38">
                  <c:v>-105.61023609480925</c:v>
                </c:pt>
                <c:pt idx="39">
                  <c:v>-106.47737115953269</c:v>
                </c:pt>
                <c:pt idx="40">
                  <c:v>-107.3508546557202</c:v>
                </c:pt>
                <c:pt idx="41">
                  <c:v>-108.09730268015531</c:v>
                </c:pt>
                <c:pt idx="42">
                  <c:v>-108.8483868406596</c:v>
                </c:pt>
                <c:pt idx="43">
                  <c:v>-109.60413593194748</c:v>
                </c:pt>
                <c:pt idx="44">
                  <c:v>-110.36457892757524</c:v>
                </c:pt>
                <c:pt idx="45">
                  <c:v>-111.12974498105186</c:v>
                </c:pt>
                <c:pt idx="46">
                  <c:v>-111.76255049794383</c:v>
                </c:pt>
                <c:pt idx="47">
                  <c:v>-112.39858638573844</c:v>
                </c:pt>
                <c:pt idx="48">
                  <c:v>-113.03786913496216</c:v>
                </c:pt>
                <c:pt idx="49">
                  <c:v>-113.68041532032312</c:v>
                </c:pt>
                <c:pt idx="50">
                  <c:v>-114.32624160114052</c:v>
                </c:pt>
              </c:numCache>
            </c:numRef>
          </c:val>
          <c:smooth val="0"/>
          <c:extLst>
            <c:ext xmlns:c16="http://schemas.microsoft.com/office/drawing/2014/chart" uri="{C3380CC4-5D6E-409C-BE32-E72D297353CC}">
              <c16:uniqueId val="{00000002-03A2-46B0-862C-E451EC00EDA3}"/>
            </c:ext>
          </c:extLst>
        </c:ser>
        <c:ser>
          <c:idx val="3"/>
          <c:order val="3"/>
          <c:tx>
            <c:strRef>
              <c:f>'BFAP verification'!$B$25</c:f>
              <c:strCache>
                <c:ptCount val="1"/>
                <c:pt idx="0">
                  <c:v>Pork Domestic Use (model)</c:v>
                </c:pt>
              </c:strCache>
            </c:strRef>
          </c:tx>
          <c:spPr>
            <a:ln w="28575" cap="rnd">
              <a:solidFill>
                <a:schemeClr val="accent4"/>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verification'!$C$25:$BA$25</c:f>
              <c:numCache>
                <c:formatCode>0.00</c:formatCode>
                <c:ptCount val="51"/>
                <c:pt idx="0">
                  <c:v>131</c:v>
                </c:pt>
                <c:pt idx="1">
                  <c:v>115</c:v>
                </c:pt>
                <c:pt idx="2">
                  <c:v>123</c:v>
                </c:pt>
                <c:pt idx="3">
                  <c:v>146</c:v>
                </c:pt>
                <c:pt idx="4">
                  <c:v>174</c:v>
                </c:pt>
                <c:pt idx="5">
                  <c:v>182</c:v>
                </c:pt>
                <c:pt idx="6">
                  <c:v>193</c:v>
                </c:pt>
                <c:pt idx="7">
                  <c:v>206</c:v>
                </c:pt>
                <c:pt idx="8">
                  <c:v>198</c:v>
                </c:pt>
                <c:pt idx="9">
                  <c:v>199</c:v>
                </c:pt>
                <c:pt idx="10">
                  <c:v>215</c:v>
                </c:pt>
                <c:pt idx="11">
                  <c:v>231</c:v>
                </c:pt>
                <c:pt idx="12">
                  <c:v>234.69842969463443</c:v>
                </c:pt>
                <c:pt idx="13">
                  <c:v>241.11394137051872</c:v>
                </c:pt>
                <c:pt idx="14">
                  <c:v>245.51323607267523</c:v>
                </c:pt>
                <c:pt idx="15">
                  <c:v>247.06283321005438</c:v>
                </c:pt>
                <c:pt idx="16">
                  <c:v>248.54950442861426</c:v>
                </c:pt>
                <c:pt idx="17">
                  <c:v>251.40216857025354</c:v>
                </c:pt>
                <c:pt idx="18">
                  <c:v>254.66927434287987</c:v>
                </c:pt>
                <c:pt idx="19">
                  <c:v>254.87394135514546</c:v>
                </c:pt>
                <c:pt idx="20">
                  <c:v>226.86200608395458</c:v>
                </c:pt>
                <c:pt idx="21">
                  <c:v>234.07713443687797</c:v>
                </c:pt>
                <c:pt idx="22">
                  <c:v>240.58506118806852</c:v>
                </c:pt>
                <c:pt idx="23">
                  <c:v>247.13385851526135</c:v>
                </c:pt>
                <c:pt idx="24">
                  <c:v>254.9346541454413</c:v>
                </c:pt>
                <c:pt idx="25">
                  <c:v>262.79064877315164</c:v>
                </c:pt>
                <c:pt idx="26">
                  <c:v>271.07073668374545</c:v>
                </c:pt>
                <c:pt idx="27">
                  <c:v>279.11420530930678</c:v>
                </c:pt>
                <c:pt idx="28">
                  <c:v>287.70063365043632</c:v>
                </c:pt>
                <c:pt idx="29">
                  <c:v>295.76492639214194</c:v>
                </c:pt>
                <c:pt idx="30">
                  <c:v>304.05822165099306</c:v>
                </c:pt>
                <c:pt idx="31">
                  <c:v>314.16958478212155</c:v>
                </c:pt>
                <c:pt idx="32">
                  <c:v>325.12297865645331</c:v>
                </c:pt>
                <c:pt idx="33">
                  <c:v>336.47647866152852</c:v>
                </c:pt>
                <c:pt idx="34">
                  <c:v>338.11729939675854</c:v>
                </c:pt>
                <c:pt idx="35">
                  <c:v>-136.64781498540495</c:v>
                </c:pt>
                <c:pt idx="36">
                  <c:v>-137.64823501619045</c:v>
                </c:pt>
                <c:pt idx="37">
                  <c:v>-138.65597927852772</c:v>
                </c:pt>
                <c:pt idx="38">
                  <c:v>-139.67110139426177</c:v>
                </c:pt>
                <c:pt idx="39">
                  <c:v>-140.6936553778115</c:v>
                </c:pt>
                <c:pt idx="40">
                  <c:v>-141.72369563904385</c:v>
                </c:pt>
                <c:pt idx="41">
                  <c:v>-142.60393152379888</c:v>
                </c:pt>
                <c:pt idx="42">
                  <c:v>-143.48963449159402</c:v>
                </c:pt>
                <c:pt idx="43">
                  <c:v>-144.38083849809672</c:v>
                </c:pt>
                <c:pt idx="44">
                  <c:v>-145.27757770987066</c:v>
                </c:pt>
                <c:pt idx="45">
                  <c:v>-146.17988650568563</c:v>
                </c:pt>
                <c:pt idx="46">
                  <c:v>-146.92611143468963</c:v>
                </c:pt>
                <c:pt idx="47">
                  <c:v>-147.67614572254581</c:v>
                </c:pt>
                <c:pt idx="48">
                  <c:v>-148.43000881542147</c:v>
                </c:pt>
                <c:pt idx="49">
                  <c:v>-149.18772025875364</c:v>
                </c:pt>
                <c:pt idx="50">
                  <c:v>-149.94929969775552</c:v>
                </c:pt>
              </c:numCache>
            </c:numRef>
          </c:val>
          <c:smooth val="0"/>
          <c:extLst>
            <c:ext xmlns:c16="http://schemas.microsoft.com/office/drawing/2014/chart" uri="{C3380CC4-5D6E-409C-BE32-E72D297353CC}">
              <c16:uniqueId val="{00000003-03A2-46B0-862C-E451EC00EDA3}"/>
            </c:ext>
          </c:extLst>
        </c:ser>
        <c:dLbls>
          <c:showLegendKey val="0"/>
          <c:showVal val="0"/>
          <c:showCatName val="0"/>
          <c:showSerName val="0"/>
          <c:showPercent val="0"/>
          <c:showBubbleSize val="0"/>
        </c:dLbls>
        <c:smooth val="0"/>
        <c:axId val="1981849103"/>
        <c:axId val="1981847023"/>
      </c:lineChart>
      <c:catAx>
        <c:axId val="1981849103"/>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1847023"/>
        <c:crosses val="autoZero"/>
        <c:auto val="1"/>
        <c:lblAlgn val="ctr"/>
        <c:lblOffset val="100"/>
        <c:noMultiLvlLbl val="0"/>
      </c:catAx>
      <c:valAx>
        <c:axId val="198184702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18491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verification'!$B$28</c:f>
              <c:strCache>
                <c:ptCount val="1"/>
                <c:pt idx="0">
                  <c:v>Fluid milk production (BFAP)</c:v>
                </c:pt>
              </c:strCache>
            </c:strRef>
          </c:tx>
          <c:spPr>
            <a:ln w="28575" cap="rnd">
              <a:solidFill>
                <a:schemeClr val="accent1"/>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verification'!$C$28:$BA$28</c:f>
              <c:numCache>
                <c:formatCode>0.00</c:formatCode>
                <c:ptCount val="51"/>
                <c:pt idx="0">
                  <c:v>2024.0540449999999</c:v>
                </c:pt>
                <c:pt idx="1">
                  <c:v>2024.0540449999999</c:v>
                </c:pt>
                <c:pt idx="2">
                  <c:v>2024.0540449999999</c:v>
                </c:pt>
                <c:pt idx="3">
                  <c:v>2113.8015639999999</c:v>
                </c:pt>
                <c:pt idx="4">
                  <c:v>2290.0087429999999</c:v>
                </c:pt>
                <c:pt idx="5">
                  <c:v>2393.5830030000002</c:v>
                </c:pt>
                <c:pt idx="6">
                  <c:v>2495.02</c:v>
                </c:pt>
                <c:pt idx="7">
                  <c:v>2546.5700000000002</c:v>
                </c:pt>
                <c:pt idx="8">
                  <c:v>2673.6727109999997</c:v>
                </c:pt>
                <c:pt idx="9">
                  <c:v>2586.3408249999998</c:v>
                </c:pt>
                <c:pt idx="10">
                  <c:v>2706.3017989999998</c:v>
                </c:pt>
                <c:pt idx="11">
                  <c:v>2720.4017549999999</c:v>
                </c:pt>
                <c:pt idx="12">
                  <c:v>2842.8103229999997</c:v>
                </c:pt>
                <c:pt idx="13">
                  <c:v>2904.1207999999997</c:v>
                </c:pt>
                <c:pt idx="14">
                  <c:v>2969.867827</c:v>
                </c:pt>
                <c:pt idx="15">
                  <c:v>3150</c:v>
                </c:pt>
                <c:pt idx="16">
                  <c:v>3100</c:v>
                </c:pt>
                <c:pt idx="17">
                  <c:v>3200</c:v>
                </c:pt>
                <c:pt idx="18">
                  <c:v>3400</c:v>
                </c:pt>
                <c:pt idx="19">
                  <c:v>3250</c:v>
                </c:pt>
                <c:pt idx="20">
                  <c:v>3300</c:v>
                </c:pt>
                <c:pt idx="21">
                  <c:v>3400</c:v>
                </c:pt>
                <c:pt idx="22">
                  <c:v>3500</c:v>
                </c:pt>
                <c:pt idx="23">
                  <c:v>3550</c:v>
                </c:pt>
                <c:pt idx="24">
                  <c:v>3600</c:v>
                </c:pt>
                <c:pt idx="25">
                  <c:v>3650</c:v>
                </c:pt>
                <c:pt idx="26">
                  <c:v>3700</c:v>
                </c:pt>
                <c:pt idx="27">
                  <c:v>3750</c:v>
                </c:pt>
                <c:pt idx="28">
                  <c:v>3800</c:v>
                </c:pt>
              </c:numCache>
            </c:numRef>
          </c:val>
          <c:smooth val="0"/>
          <c:extLst>
            <c:ext xmlns:c16="http://schemas.microsoft.com/office/drawing/2014/chart" uri="{C3380CC4-5D6E-409C-BE32-E72D297353CC}">
              <c16:uniqueId val="{00000000-D175-4114-9984-BF38085F9052}"/>
            </c:ext>
          </c:extLst>
        </c:ser>
        <c:ser>
          <c:idx val="1"/>
          <c:order val="1"/>
          <c:tx>
            <c:strRef>
              <c:f>'BFAP verification'!$B$29</c:f>
              <c:strCache>
                <c:ptCount val="1"/>
                <c:pt idx="0">
                  <c:v>Fluid milk fresh utilization (BFAP)</c:v>
                </c:pt>
              </c:strCache>
            </c:strRef>
          </c:tx>
          <c:spPr>
            <a:ln w="28575" cap="rnd">
              <a:solidFill>
                <a:schemeClr val="accent2"/>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verification'!$C$29:$BA$29</c:f>
              <c:numCache>
                <c:formatCode>0.00</c:formatCode>
                <c:ptCount val="51"/>
                <c:pt idx="0">
                  <c:v>1273.2</c:v>
                </c:pt>
                <c:pt idx="1">
                  <c:v>1273.2</c:v>
                </c:pt>
                <c:pt idx="2">
                  <c:v>1273.2</c:v>
                </c:pt>
                <c:pt idx="3">
                  <c:v>1259</c:v>
                </c:pt>
                <c:pt idx="4">
                  <c:v>1347</c:v>
                </c:pt>
                <c:pt idx="5">
                  <c:v>1396.6</c:v>
                </c:pt>
                <c:pt idx="6">
                  <c:v>1442.9</c:v>
                </c:pt>
                <c:pt idx="7">
                  <c:v>1402.61000533527</c:v>
                </c:pt>
                <c:pt idx="8">
                  <c:v>1458.4151718048199</c:v>
                </c:pt>
                <c:pt idx="9">
                  <c:v>1493.2</c:v>
                </c:pt>
                <c:pt idx="10">
                  <c:v>1545.3558772633801</c:v>
                </c:pt>
                <c:pt idx="11">
                  <c:v>1571</c:v>
                </c:pt>
                <c:pt idx="12">
                  <c:v>1661.1</c:v>
                </c:pt>
                <c:pt idx="13">
                  <c:v>1681.39</c:v>
                </c:pt>
                <c:pt idx="14">
                  <c:v>1722.5233396599999</c:v>
                </c:pt>
                <c:pt idx="15">
                  <c:v>1775.8304373666449</c:v>
                </c:pt>
                <c:pt idx="16">
                  <c:v>1820.2326820256628</c:v>
                </c:pt>
                <c:pt idx="17">
                  <c:v>1859.0411448844859</c:v>
                </c:pt>
                <c:pt idx="18">
                  <c:v>1893.2454556799651</c:v>
                </c:pt>
                <c:pt idx="19">
                  <c:v>1928.6136766918191</c:v>
                </c:pt>
                <c:pt idx="20">
                  <c:v>1965.2479914611308</c:v>
                </c:pt>
                <c:pt idx="21">
                  <c:v>2003.0736716496317</c:v>
                </c:pt>
                <c:pt idx="22">
                  <c:v>2044.3832164581972</c:v>
                </c:pt>
                <c:pt idx="23">
                  <c:v>2085.024175882957</c:v>
                </c:pt>
                <c:pt idx="24">
                  <c:v>2123.3681095603265</c:v>
                </c:pt>
              </c:numCache>
            </c:numRef>
          </c:val>
          <c:smooth val="0"/>
          <c:extLst>
            <c:ext xmlns:c16="http://schemas.microsoft.com/office/drawing/2014/chart" uri="{C3380CC4-5D6E-409C-BE32-E72D297353CC}">
              <c16:uniqueId val="{00000001-D175-4114-9984-BF38085F9052}"/>
            </c:ext>
          </c:extLst>
        </c:ser>
        <c:ser>
          <c:idx val="2"/>
          <c:order val="2"/>
          <c:tx>
            <c:strRef>
              <c:f>'BFAP verification'!$B$30</c:f>
              <c:strCache>
                <c:ptCount val="1"/>
                <c:pt idx="0">
                  <c:v>Fluid Milk factory utilization (BFAP)</c:v>
                </c:pt>
              </c:strCache>
            </c:strRef>
          </c:tx>
          <c:spPr>
            <a:ln w="28575" cap="rnd">
              <a:solidFill>
                <a:schemeClr val="accent3"/>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verification'!$C$30:$BA$30</c:f>
              <c:numCache>
                <c:formatCode>0.00</c:formatCode>
                <c:ptCount val="51"/>
                <c:pt idx="0">
                  <c:v>866.94927349604279</c:v>
                </c:pt>
                <c:pt idx="1">
                  <c:v>866.94927349604279</c:v>
                </c:pt>
                <c:pt idx="2">
                  <c:v>866.94927349604279</c:v>
                </c:pt>
                <c:pt idx="3">
                  <c:v>846.1138215167158</c:v>
                </c:pt>
                <c:pt idx="4">
                  <c:v>935.18533488170215</c:v>
                </c:pt>
                <c:pt idx="5">
                  <c:v>990.02288429185</c:v>
                </c:pt>
                <c:pt idx="6">
                  <c:v>1044.5425069013627</c:v>
                </c:pt>
                <c:pt idx="7">
                  <c:v>1150.5392931285598</c:v>
                </c:pt>
                <c:pt idx="8">
                  <c:v>1208.3756288442755</c:v>
                </c:pt>
                <c:pt idx="9">
                  <c:v>1092.2210617160124</c:v>
                </c:pt>
                <c:pt idx="10">
                  <c:v>1154.6007305262117</c:v>
                </c:pt>
                <c:pt idx="11">
                  <c:v>1140</c:v>
                </c:pt>
                <c:pt idx="12">
                  <c:v>1171</c:v>
                </c:pt>
                <c:pt idx="13">
                  <c:v>1200</c:v>
                </c:pt>
                <c:pt idx="14">
                  <c:v>1223.1384873399998</c:v>
                </c:pt>
                <c:pt idx="15">
                  <c:v>1297.1574685139426</c:v>
                </c:pt>
                <c:pt idx="16">
                  <c:v>1339.9486902058916</c:v>
                </c:pt>
                <c:pt idx="17">
                  <c:v>1382.183609812364</c:v>
                </c:pt>
                <c:pt idx="18">
                  <c:v>1416.4086784270767</c:v>
                </c:pt>
                <c:pt idx="19">
                  <c:v>1452.170708036087</c:v>
                </c:pt>
                <c:pt idx="20">
                  <c:v>1490.0278167036406</c:v>
                </c:pt>
                <c:pt idx="21">
                  <c:v>1529.1035404245388</c:v>
                </c:pt>
                <c:pt idx="22">
                  <c:v>1572.8770953399192</c:v>
                </c:pt>
                <c:pt idx="23">
                  <c:v>1615.0807207181326</c:v>
                </c:pt>
                <c:pt idx="24">
                  <c:v>1653.5952554033502</c:v>
                </c:pt>
              </c:numCache>
            </c:numRef>
          </c:val>
          <c:smooth val="0"/>
          <c:extLst>
            <c:ext xmlns:c16="http://schemas.microsoft.com/office/drawing/2014/chart" uri="{C3380CC4-5D6E-409C-BE32-E72D297353CC}">
              <c16:uniqueId val="{00000002-D175-4114-9984-BF38085F9052}"/>
            </c:ext>
          </c:extLst>
        </c:ser>
        <c:ser>
          <c:idx val="3"/>
          <c:order val="3"/>
          <c:tx>
            <c:strRef>
              <c:f>'BFAP verification'!$B$31</c:f>
              <c:strCache>
                <c:ptCount val="1"/>
                <c:pt idx="0">
                  <c:v>Milk production (model)</c:v>
                </c:pt>
              </c:strCache>
            </c:strRef>
          </c:tx>
          <c:spPr>
            <a:ln w="28575" cap="rnd">
              <a:solidFill>
                <a:schemeClr val="accent4"/>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verification'!$C$31:$BA$31</c:f>
              <c:numCache>
                <c:formatCode>0.00</c:formatCode>
                <c:ptCount val="51"/>
                <c:pt idx="0">
                  <c:v>2370</c:v>
                </c:pt>
                <c:pt idx="1">
                  <c:v>2358</c:v>
                </c:pt>
                <c:pt idx="2">
                  <c:v>2457</c:v>
                </c:pt>
                <c:pt idx="3">
                  <c:v>2354</c:v>
                </c:pt>
                <c:pt idx="4">
                  <c:v>2505</c:v>
                </c:pt>
                <c:pt idx="5">
                  <c:v>2657</c:v>
                </c:pt>
                <c:pt idx="6">
                  <c:v>2513</c:v>
                </c:pt>
                <c:pt idx="7">
                  <c:v>2559</c:v>
                </c:pt>
                <c:pt idx="8">
                  <c:v>2625</c:v>
                </c:pt>
                <c:pt idx="9">
                  <c:v>2587</c:v>
                </c:pt>
                <c:pt idx="10">
                  <c:v>2711</c:v>
                </c:pt>
                <c:pt idx="11">
                  <c:v>2720</c:v>
                </c:pt>
                <c:pt idx="12">
                  <c:v>2860.8643959572214</c:v>
                </c:pt>
                <c:pt idx="13">
                  <c:v>2903.1507609220298</c:v>
                </c:pt>
                <c:pt idx="14">
                  <c:v>2938.977299154863</c:v>
                </c:pt>
                <c:pt idx="15">
                  <c:v>2965.4022843947837</c:v>
                </c:pt>
                <c:pt idx="16">
                  <c:v>2992.3843018486341</c:v>
                </c:pt>
                <c:pt idx="17">
                  <c:v>3025.0453836721081</c:v>
                </c:pt>
                <c:pt idx="18">
                  <c:v>3059.4835322357844</c:v>
                </c:pt>
                <c:pt idx="19">
                  <c:v>3083.3789179897208</c:v>
                </c:pt>
                <c:pt idx="20">
                  <c:v>3007.11349558858</c:v>
                </c:pt>
                <c:pt idx="21">
                  <c:v>3049.8529648478275</c:v>
                </c:pt>
                <c:pt idx="22">
                  <c:v>3090.2687925047671</c:v>
                </c:pt>
                <c:pt idx="23">
                  <c:v>3131.0286095267579</c:v>
                </c:pt>
                <c:pt idx="24">
                  <c:v>3176.4499346989141</c:v>
                </c:pt>
                <c:pt idx="25">
                  <c:v>3222.2708956283686</c:v>
                </c:pt>
                <c:pt idx="26">
                  <c:v>3267.1959251359535</c:v>
                </c:pt>
                <c:pt idx="27">
                  <c:v>3311.4297461560182</c:v>
                </c:pt>
                <c:pt idx="28">
                  <c:v>3357.7514853905609</c:v>
                </c:pt>
                <c:pt idx="29">
                  <c:v>3402.3677300103391</c:v>
                </c:pt>
                <c:pt idx="30">
                  <c:v>3447.9563017530759</c:v>
                </c:pt>
                <c:pt idx="31">
                  <c:v>3498.0220090200164</c:v>
                </c:pt>
                <c:pt idx="32">
                  <c:v>3551.2076754563636</c:v>
                </c:pt>
                <c:pt idx="33">
                  <c:v>3605.939751054681</c:v>
                </c:pt>
                <c:pt idx="34">
                  <c:v>3626.1875241363814</c:v>
                </c:pt>
                <c:pt idx="35">
                  <c:v>1949.1291079707723</c:v>
                </c:pt>
                <c:pt idx="36">
                  <c:v>1958.1308143286883</c:v>
                </c:pt>
                <c:pt idx="37">
                  <c:v>1967.1984235870841</c:v>
                </c:pt>
                <c:pt idx="38">
                  <c:v>1976.3324182314027</c:v>
                </c:pt>
                <c:pt idx="39">
                  <c:v>1985.5332842794412</c:v>
                </c:pt>
                <c:pt idx="40">
                  <c:v>1994.8015113072074</c:v>
                </c:pt>
                <c:pt idx="41">
                  <c:v>2002.7218094984021</c:v>
                </c:pt>
                <c:pt idx="42">
                  <c:v>2010.69130010343</c:v>
                </c:pt>
                <c:pt idx="43">
                  <c:v>2018.710288652906</c:v>
                </c:pt>
                <c:pt idx="44">
                  <c:v>2026.7790825750751</c:v>
                </c:pt>
                <c:pt idx="45">
                  <c:v>2034.8979912075959</c:v>
                </c:pt>
                <c:pt idx="46">
                  <c:v>2041.6124686082296</c:v>
                </c:pt>
                <c:pt idx="47">
                  <c:v>2048.361222341548</c:v>
                </c:pt>
                <c:pt idx="48">
                  <c:v>2055.1444273827433</c:v>
                </c:pt>
                <c:pt idx="49">
                  <c:v>2061.9622596002305</c:v>
                </c:pt>
                <c:pt idx="50">
                  <c:v>2068.8148957602029</c:v>
                </c:pt>
              </c:numCache>
            </c:numRef>
          </c:val>
          <c:smooth val="0"/>
          <c:extLst>
            <c:ext xmlns:c16="http://schemas.microsoft.com/office/drawing/2014/chart" uri="{C3380CC4-5D6E-409C-BE32-E72D297353CC}">
              <c16:uniqueId val="{00000003-D175-4114-9984-BF38085F9052}"/>
            </c:ext>
          </c:extLst>
        </c:ser>
        <c:ser>
          <c:idx val="4"/>
          <c:order val="4"/>
          <c:tx>
            <c:strRef>
              <c:f>'BFAP verification'!$B$32</c:f>
              <c:strCache>
                <c:ptCount val="1"/>
                <c:pt idx="0">
                  <c:v>Milk consumption (model)</c:v>
                </c:pt>
              </c:strCache>
            </c:strRef>
          </c:tx>
          <c:spPr>
            <a:ln w="28575" cap="rnd">
              <a:solidFill>
                <a:schemeClr val="accent5"/>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verification'!$C$32:$BA$32</c:f>
              <c:numCache>
                <c:formatCode>0.00</c:formatCode>
                <c:ptCount val="51"/>
                <c:pt idx="0">
                  <c:v>1284</c:v>
                </c:pt>
                <c:pt idx="1">
                  <c:v>1575</c:v>
                </c:pt>
                <c:pt idx="2">
                  <c:v>1611</c:v>
                </c:pt>
                <c:pt idx="3">
                  <c:v>1528</c:v>
                </c:pt>
                <c:pt idx="4">
                  <c:v>1626</c:v>
                </c:pt>
                <c:pt idx="5">
                  <c:v>1835</c:v>
                </c:pt>
                <c:pt idx="6">
                  <c:v>1697</c:v>
                </c:pt>
                <c:pt idx="7">
                  <c:v>1799</c:v>
                </c:pt>
                <c:pt idx="8">
                  <c:v>1819</c:v>
                </c:pt>
                <c:pt idx="9">
                  <c:v>1788</c:v>
                </c:pt>
                <c:pt idx="10">
                  <c:v>1868</c:v>
                </c:pt>
                <c:pt idx="11">
                  <c:v>1852</c:v>
                </c:pt>
                <c:pt idx="12">
                  <c:v>1957.0237595079648</c:v>
                </c:pt>
                <c:pt idx="13">
                  <c:v>1995.6713582799073</c:v>
                </c:pt>
                <c:pt idx="14">
                  <c:v>2028.415002150987</c:v>
                </c:pt>
                <c:pt idx="15">
                  <c:v>2052.5661021085475</c:v>
                </c:pt>
                <c:pt idx="16">
                  <c:v>2077.2263013354554</c:v>
                </c:pt>
                <c:pt idx="17">
                  <c:v>2107.0768781542879</c:v>
                </c:pt>
                <c:pt idx="18">
                  <c:v>2138.5516040912457</c:v>
                </c:pt>
                <c:pt idx="19">
                  <c:v>2160.3907780634581</c:v>
                </c:pt>
                <c:pt idx="20">
                  <c:v>2090.6880394245391</c:v>
                </c:pt>
                <c:pt idx="21">
                  <c:v>2129.7497526039947</c:v>
                </c:pt>
                <c:pt idx="22">
                  <c:v>2166.6877748866218</c:v>
                </c:pt>
                <c:pt idx="23">
                  <c:v>2203.9401860502358</c:v>
                </c:pt>
                <c:pt idx="24">
                  <c:v>2245.4529798882568</c:v>
                </c:pt>
                <c:pt idx="25">
                  <c:v>2287.3310205952348</c:v>
                </c:pt>
                <c:pt idx="26">
                  <c:v>2328.3902252980211</c:v>
                </c:pt>
                <c:pt idx="27">
                  <c:v>2368.8177004039112</c:v>
                </c:pt>
                <c:pt idx="28">
                  <c:v>2411.153427152829</c:v>
                </c:pt>
                <c:pt idx="29">
                  <c:v>2451.9304180862187</c:v>
                </c:pt>
                <c:pt idx="30">
                  <c:v>2493.5960668305706</c:v>
                </c:pt>
                <c:pt idx="31">
                  <c:v>2539.3535909946013</c:v>
                </c:pt>
                <c:pt idx="32">
                  <c:v>2587.9626000347712</c:v>
                </c:pt>
                <c:pt idx="33">
                  <c:v>2637.9849488330124</c:v>
                </c:pt>
                <c:pt idx="34">
                  <c:v>2656.4903893157339</c:v>
                </c:pt>
                <c:pt idx="35">
                  <c:v>1123.7438210302582</c:v>
                </c:pt>
                <c:pt idx="36">
                  <c:v>1131.9709253432702</c:v>
                </c:pt>
                <c:pt idx="37">
                  <c:v>1140.2582615740121</c:v>
                </c:pt>
                <c:pt idx="38">
                  <c:v>1148.6062706897751</c:v>
                </c:pt>
                <c:pt idx="39">
                  <c:v>1157.015396886243</c:v>
                </c:pt>
                <c:pt idx="40">
                  <c:v>1165.486087611125</c:v>
                </c:pt>
                <c:pt idx="41">
                  <c:v>1172.7248395563956</c:v>
                </c:pt>
                <c:pt idx="42">
                  <c:v>1180.008550879802</c:v>
                </c:pt>
                <c:pt idx="43">
                  <c:v>1187.3375008208734</c:v>
                </c:pt>
                <c:pt idx="44">
                  <c:v>1194.7119703534756</c:v>
                </c:pt>
                <c:pt idx="45">
                  <c:v>1202.1322421965826</c:v>
                </c:pt>
                <c:pt idx="46">
                  <c:v>1208.2689349285999</c:v>
                </c:pt>
                <c:pt idx="47">
                  <c:v>1214.436954495025</c:v>
                </c:pt>
                <c:pt idx="48">
                  <c:v>1220.6364608143342</c:v>
                </c:pt>
                <c:pt idx="49">
                  <c:v>1226.8676146213627</c:v>
                </c:pt>
                <c:pt idx="50">
                  <c:v>1233.1305774714708</c:v>
                </c:pt>
              </c:numCache>
            </c:numRef>
          </c:val>
          <c:smooth val="0"/>
          <c:extLst>
            <c:ext xmlns:c16="http://schemas.microsoft.com/office/drawing/2014/chart" uri="{C3380CC4-5D6E-409C-BE32-E72D297353CC}">
              <c16:uniqueId val="{00000004-D175-4114-9984-BF38085F9052}"/>
            </c:ext>
          </c:extLst>
        </c:ser>
        <c:dLbls>
          <c:showLegendKey val="0"/>
          <c:showVal val="0"/>
          <c:showCatName val="0"/>
          <c:showSerName val="0"/>
          <c:showPercent val="0"/>
          <c:showBubbleSize val="0"/>
        </c:dLbls>
        <c:smooth val="0"/>
        <c:axId val="1983403439"/>
        <c:axId val="1983404271"/>
      </c:lineChart>
      <c:catAx>
        <c:axId val="1983403439"/>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3404271"/>
        <c:crosses val="autoZero"/>
        <c:auto val="1"/>
        <c:lblAlgn val="ctr"/>
        <c:lblOffset val="100"/>
        <c:noMultiLvlLbl val="0"/>
      </c:catAx>
      <c:valAx>
        <c:axId val="19834042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34034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verification'!$B$35</c:f>
              <c:strCache>
                <c:ptCount val="1"/>
                <c:pt idx="0">
                  <c:v>Sheep meat production (BFAP)</c:v>
                </c:pt>
              </c:strCache>
            </c:strRef>
          </c:tx>
          <c:spPr>
            <a:ln w="28575" cap="rnd">
              <a:solidFill>
                <a:schemeClr val="accent1"/>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verification'!$C$35:$BA$35</c:f>
              <c:numCache>
                <c:formatCode>0.00</c:formatCode>
                <c:ptCount val="51"/>
                <c:pt idx="0">
                  <c:v>114.36</c:v>
                </c:pt>
                <c:pt idx="1">
                  <c:v>114.36</c:v>
                </c:pt>
                <c:pt idx="2">
                  <c:v>114.36</c:v>
                </c:pt>
                <c:pt idx="3">
                  <c:v>94.948778000000004</c:v>
                </c:pt>
                <c:pt idx="4">
                  <c:v>97.52034399999998</c:v>
                </c:pt>
                <c:pt idx="5">
                  <c:v>102.166586</c:v>
                </c:pt>
                <c:pt idx="6">
                  <c:v>115.84967</c:v>
                </c:pt>
                <c:pt idx="7">
                  <c:v>110.621706</c:v>
                </c:pt>
                <c:pt idx="8">
                  <c:v>115.99826544161907</c:v>
                </c:pt>
                <c:pt idx="9">
                  <c:v>120.63819605928383</c:v>
                </c:pt>
                <c:pt idx="10">
                  <c:v>125.46372390165519</c:v>
                </c:pt>
                <c:pt idx="11">
                  <c:v>91.588518448208291</c:v>
                </c:pt>
                <c:pt idx="12">
                  <c:v>98.915599924064963</c:v>
                </c:pt>
                <c:pt idx="13">
                  <c:v>115.10460982337811</c:v>
                </c:pt>
                <c:pt idx="14">
                  <c:v>118.08101882391567</c:v>
                </c:pt>
                <c:pt idx="15">
                  <c:v>120</c:v>
                </c:pt>
                <c:pt idx="16">
                  <c:v>125</c:v>
                </c:pt>
                <c:pt idx="17">
                  <c:v>135</c:v>
                </c:pt>
                <c:pt idx="18">
                  <c:v>115</c:v>
                </c:pt>
                <c:pt idx="19">
                  <c:v>108</c:v>
                </c:pt>
                <c:pt idx="20">
                  <c:v>113</c:v>
                </c:pt>
                <c:pt idx="21">
                  <c:v>116</c:v>
                </c:pt>
                <c:pt idx="22">
                  <c:v>119</c:v>
                </c:pt>
                <c:pt idx="23">
                  <c:v>121</c:v>
                </c:pt>
                <c:pt idx="24">
                  <c:v>124</c:v>
                </c:pt>
                <c:pt idx="25">
                  <c:v>127</c:v>
                </c:pt>
                <c:pt idx="26">
                  <c:v>129</c:v>
                </c:pt>
                <c:pt idx="27">
                  <c:v>131</c:v>
                </c:pt>
                <c:pt idx="28">
                  <c:v>133</c:v>
                </c:pt>
              </c:numCache>
            </c:numRef>
          </c:val>
          <c:smooth val="0"/>
          <c:extLst>
            <c:ext xmlns:c16="http://schemas.microsoft.com/office/drawing/2014/chart" uri="{C3380CC4-5D6E-409C-BE32-E72D297353CC}">
              <c16:uniqueId val="{00000000-DF71-4BF4-9C91-6EEA5522726F}"/>
            </c:ext>
          </c:extLst>
        </c:ser>
        <c:ser>
          <c:idx val="1"/>
          <c:order val="1"/>
          <c:tx>
            <c:strRef>
              <c:f>'BFAP verification'!$B$36</c:f>
              <c:strCache>
                <c:ptCount val="1"/>
                <c:pt idx="0">
                  <c:v>Sheep meat domestic Use (BFAP)</c:v>
                </c:pt>
              </c:strCache>
            </c:strRef>
          </c:tx>
          <c:spPr>
            <a:ln w="28575" cap="rnd">
              <a:solidFill>
                <a:schemeClr val="accent2"/>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verification'!$C$36:$BA$36</c:f>
              <c:numCache>
                <c:formatCode>0.00</c:formatCode>
                <c:ptCount val="51"/>
                <c:pt idx="0">
                  <c:v>147.50101899999999</c:v>
                </c:pt>
                <c:pt idx="1">
                  <c:v>147.50101899999999</c:v>
                </c:pt>
                <c:pt idx="2">
                  <c:v>147.50101899999999</c:v>
                </c:pt>
                <c:pt idx="3">
                  <c:v>156</c:v>
                </c:pt>
                <c:pt idx="4">
                  <c:v>163</c:v>
                </c:pt>
                <c:pt idx="5">
                  <c:v>150</c:v>
                </c:pt>
                <c:pt idx="6">
                  <c:v>177</c:v>
                </c:pt>
                <c:pt idx="7">
                  <c:v>165.63170600000001</c:v>
                </c:pt>
                <c:pt idx="8">
                  <c:v>153.94826544161907</c:v>
                </c:pt>
                <c:pt idx="9">
                  <c:v>149.24819605928383</c:v>
                </c:pt>
                <c:pt idx="10">
                  <c:v>149.24372390165519</c:v>
                </c:pt>
                <c:pt idx="11">
                  <c:v>116.67851844820828</c:v>
                </c:pt>
                <c:pt idx="12">
                  <c:v>121.76574443406494</c:v>
                </c:pt>
                <c:pt idx="13">
                  <c:v>134.49960982337811</c:v>
                </c:pt>
                <c:pt idx="14">
                  <c:v>134.87990262391565</c:v>
                </c:pt>
                <c:pt idx="15">
                  <c:v>138.20716425710361</c:v>
                </c:pt>
                <c:pt idx="16">
                  <c:v>140.54831762918488</c:v>
                </c:pt>
                <c:pt idx="17">
                  <c:v>142.52537151325211</c:v>
                </c:pt>
                <c:pt idx="18">
                  <c:v>143.33699921198837</c:v>
                </c:pt>
                <c:pt idx="19">
                  <c:v>145.00011855243841</c:v>
                </c:pt>
                <c:pt idx="20">
                  <c:v>146.72189410939382</c:v>
                </c:pt>
                <c:pt idx="21">
                  <c:v>148.14351293952492</c:v>
                </c:pt>
                <c:pt idx="22">
                  <c:v>149.6242507758528</c:v>
                </c:pt>
                <c:pt idx="23">
                  <c:v>151.3117511608838</c:v>
                </c:pt>
                <c:pt idx="24">
                  <c:v>153.36736842443659</c:v>
                </c:pt>
              </c:numCache>
            </c:numRef>
          </c:val>
          <c:smooth val="0"/>
          <c:extLst>
            <c:ext xmlns:c16="http://schemas.microsoft.com/office/drawing/2014/chart" uri="{C3380CC4-5D6E-409C-BE32-E72D297353CC}">
              <c16:uniqueId val="{00000001-DF71-4BF4-9C91-6EEA5522726F}"/>
            </c:ext>
          </c:extLst>
        </c:ser>
        <c:ser>
          <c:idx val="2"/>
          <c:order val="2"/>
          <c:tx>
            <c:strRef>
              <c:f>'BFAP verification'!$B$37</c:f>
              <c:strCache>
                <c:ptCount val="1"/>
                <c:pt idx="0">
                  <c:v>Sheep meat production (model)</c:v>
                </c:pt>
              </c:strCache>
            </c:strRef>
          </c:tx>
          <c:spPr>
            <a:ln w="28575" cap="rnd">
              <a:solidFill>
                <a:schemeClr val="accent3"/>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verification'!$C$37:$BA$37</c:f>
              <c:numCache>
                <c:formatCode>General</c:formatCode>
                <c:ptCount val="51"/>
                <c:pt idx="0">
                  <c:v>98.52</c:v>
                </c:pt>
                <c:pt idx="1">
                  <c:v>95.86</c:v>
                </c:pt>
                <c:pt idx="2">
                  <c:v>96.34</c:v>
                </c:pt>
                <c:pt idx="3">
                  <c:v>105.64</c:v>
                </c:pt>
                <c:pt idx="4">
                  <c:v>111.12</c:v>
                </c:pt>
                <c:pt idx="5">
                  <c:v>124.52</c:v>
                </c:pt>
                <c:pt idx="6">
                  <c:v>124.74</c:v>
                </c:pt>
                <c:pt idx="7">
                  <c:v>148.52000000000001</c:v>
                </c:pt>
                <c:pt idx="8">
                  <c:v>149.26</c:v>
                </c:pt>
                <c:pt idx="9">
                  <c:v>151.30000000000001</c:v>
                </c:pt>
                <c:pt idx="10">
                  <c:v>153.46</c:v>
                </c:pt>
                <c:pt idx="11">
                  <c:v>139.5</c:v>
                </c:pt>
                <c:pt idx="12">
                  <c:v>152.72633262627392</c:v>
                </c:pt>
                <c:pt idx="13">
                  <c:v>154.16744987415305</c:v>
                </c:pt>
                <c:pt idx="14">
                  <c:v>155.65498740174326</c:v>
                </c:pt>
                <c:pt idx="15">
                  <c:v>157.18829895291279</c:v>
                </c:pt>
                <c:pt idx="16">
                  <c:v>158.77852488403741</c:v>
                </c:pt>
                <c:pt idx="17">
                  <c:v>160.43252977483451</c:v>
                </c:pt>
                <c:pt idx="18">
                  <c:v>162.10983621300593</c:v>
                </c:pt>
                <c:pt idx="19">
                  <c:v>163.80421253251185</c:v>
                </c:pt>
                <c:pt idx="20">
                  <c:v>165.43490658057127</c:v>
                </c:pt>
                <c:pt idx="21">
                  <c:v>166.70343498261562</c:v>
                </c:pt>
                <c:pt idx="22">
                  <c:v>167.98401872321932</c:v>
                </c:pt>
                <c:pt idx="23">
                  <c:v>169.27923738332379</c:v>
                </c:pt>
                <c:pt idx="24">
                  <c:v>170.59316701146537</c:v>
                </c:pt>
                <c:pt idx="25">
                  <c:v>171.92211370872192</c:v>
                </c:pt>
                <c:pt idx="26">
                  <c:v>173.07645163015582</c:v>
                </c:pt>
                <c:pt idx="27">
                  <c:v>174.24112881708857</c:v>
                </c:pt>
                <c:pt idx="28">
                  <c:v>175.41877077818401</c:v>
                </c:pt>
                <c:pt idx="29">
                  <c:v>176.60605019333369</c:v>
                </c:pt>
                <c:pt idx="30">
                  <c:v>177.80550293839752</c:v>
                </c:pt>
                <c:pt idx="31">
                  <c:v>178.86455509985029</c:v>
                </c:pt>
                <c:pt idx="32">
                  <c:v>179.93508473301853</c:v>
                </c:pt>
                <c:pt idx="33">
                  <c:v>181.01574023158827</c:v>
                </c:pt>
                <c:pt idx="34">
                  <c:v>182.07395677655313</c:v>
                </c:pt>
                <c:pt idx="35">
                  <c:v>181.60350254813289</c:v>
                </c:pt>
                <c:pt idx="36">
                  <c:v>182.51900837616606</c:v>
                </c:pt>
                <c:pt idx="37">
                  <c:v>183.44121676558868</c:v>
                </c:pt>
                <c:pt idx="38">
                  <c:v>184.37017678690108</c:v>
                </c:pt>
                <c:pt idx="39">
                  <c:v>185.30593786985668</c:v>
                </c:pt>
                <c:pt idx="40">
                  <c:v>186.24854980609177</c:v>
                </c:pt>
                <c:pt idx="41">
                  <c:v>187.0540725442805</c:v>
                </c:pt>
                <c:pt idx="42">
                  <c:v>187.86459832742187</c:v>
                </c:pt>
                <c:pt idx="43">
                  <c:v>188.68015822907549</c:v>
                </c:pt>
                <c:pt idx="44">
                  <c:v>189.50078351579666</c:v>
                </c:pt>
                <c:pt idx="45">
                  <c:v>190.32650564833492</c:v>
                </c:pt>
                <c:pt idx="46">
                  <c:v>191.00939208653469</c:v>
                </c:pt>
                <c:pt idx="47">
                  <c:v>191.69576455072647</c:v>
                </c:pt>
                <c:pt idx="48">
                  <c:v>192.38564083651502</c:v>
                </c:pt>
                <c:pt idx="49">
                  <c:v>193.07903883034905</c:v>
                </c:pt>
                <c:pt idx="50">
                  <c:v>193.7759765099845</c:v>
                </c:pt>
              </c:numCache>
            </c:numRef>
          </c:val>
          <c:smooth val="0"/>
          <c:extLst>
            <c:ext xmlns:c16="http://schemas.microsoft.com/office/drawing/2014/chart" uri="{C3380CC4-5D6E-409C-BE32-E72D297353CC}">
              <c16:uniqueId val="{00000002-DF71-4BF4-9C91-6EEA5522726F}"/>
            </c:ext>
          </c:extLst>
        </c:ser>
        <c:ser>
          <c:idx val="3"/>
          <c:order val="3"/>
          <c:tx>
            <c:strRef>
              <c:f>'BFAP verification'!$B$38</c:f>
              <c:strCache>
                <c:ptCount val="1"/>
                <c:pt idx="0">
                  <c:v>Sheep meat domestic Use (model)</c:v>
                </c:pt>
              </c:strCache>
            </c:strRef>
          </c:tx>
          <c:spPr>
            <a:ln w="28575" cap="rnd">
              <a:solidFill>
                <a:schemeClr val="accent4"/>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verification'!$C$38:$BA$38</c:f>
              <c:numCache>
                <c:formatCode>General</c:formatCode>
                <c:ptCount val="51"/>
                <c:pt idx="0">
                  <c:v>153.22</c:v>
                </c:pt>
                <c:pt idx="1">
                  <c:v>149.46</c:v>
                </c:pt>
                <c:pt idx="2">
                  <c:v>137.24</c:v>
                </c:pt>
                <c:pt idx="3">
                  <c:v>137.24</c:v>
                </c:pt>
                <c:pt idx="4">
                  <c:v>143.82</c:v>
                </c:pt>
                <c:pt idx="5">
                  <c:v>157.91999999999999</c:v>
                </c:pt>
                <c:pt idx="6">
                  <c:v>165.44</c:v>
                </c:pt>
                <c:pt idx="7">
                  <c:v>190.82</c:v>
                </c:pt>
                <c:pt idx="8">
                  <c:v>177.66</c:v>
                </c:pt>
                <c:pt idx="9">
                  <c:v>169.2</c:v>
                </c:pt>
                <c:pt idx="10">
                  <c:v>163.56</c:v>
                </c:pt>
                <c:pt idx="11">
                  <c:v>145.69999999999999</c:v>
                </c:pt>
                <c:pt idx="12">
                  <c:v>168.48776169155292</c:v>
                </c:pt>
                <c:pt idx="13">
                  <c:v>171.01251082629685</c:v>
                </c:pt>
                <c:pt idx="14">
                  <c:v>173.61858544736577</c:v>
                </c:pt>
                <c:pt idx="15">
                  <c:v>176.30485335360692</c:v>
                </c:pt>
                <c:pt idx="16">
                  <c:v>179.09083176692681</c:v>
                </c:pt>
                <c:pt idx="17">
                  <c:v>181.98854701046295</c:v>
                </c:pt>
                <c:pt idx="18">
                  <c:v>184.92708513753485</c:v>
                </c:pt>
                <c:pt idx="19">
                  <c:v>187.89552865099557</c:v>
                </c:pt>
                <c:pt idx="20">
                  <c:v>190.75240472608874</c:v>
                </c:pt>
                <c:pt idx="21">
                  <c:v>192.97478877580645</c:v>
                </c:pt>
                <c:pt idx="22">
                  <c:v>195.21829304016418</c:v>
                </c:pt>
                <c:pt idx="23">
                  <c:v>197.48743678694504</c:v>
                </c:pt>
                <c:pt idx="24">
                  <c:v>199.789361003484</c:v>
                </c:pt>
                <c:pt idx="25">
                  <c:v>202.11759420515938</c:v>
                </c:pt>
                <c:pt idx="26">
                  <c:v>204.13992352821165</c:v>
                </c:pt>
                <c:pt idx="27">
                  <c:v>206.18036661102951</c:v>
                </c:pt>
                <c:pt idx="28">
                  <c:v>208.24352318395202</c:v>
                </c:pt>
                <c:pt idx="29">
                  <c:v>210.3235639859825</c:v>
                </c:pt>
                <c:pt idx="30">
                  <c:v>212.42493171627851</c:v>
                </c:pt>
                <c:pt idx="31">
                  <c:v>214.28032622509556</c:v>
                </c:pt>
                <c:pt idx="32">
                  <c:v>216.15582856124271</c:v>
                </c:pt>
                <c:pt idx="33">
                  <c:v>218.04907079325793</c:v>
                </c:pt>
                <c:pt idx="34">
                  <c:v>219.90300135317847</c:v>
                </c:pt>
                <c:pt idx="35">
                  <c:v>219.07879436524001</c:v>
                </c:pt>
                <c:pt idx="36">
                  <c:v>220.68270449162389</c:v>
                </c:pt>
                <c:pt idx="37">
                  <c:v>222.29835709495987</c:v>
                </c:pt>
                <c:pt idx="38">
                  <c:v>223.9258381437586</c:v>
                </c:pt>
                <c:pt idx="39">
                  <c:v>225.56523423591983</c:v>
                </c:pt>
                <c:pt idx="40">
                  <c:v>227.21663260334009</c:v>
                </c:pt>
                <c:pt idx="41">
                  <c:v>228.62785909393384</c:v>
                </c:pt>
                <c:pt idx="42">
                  <c:v>230.04785061279566</c:v>
                </c:pt>
                <c:pt idx="43">
                  <c:v>231.47666159889837</c:v>
                </c:pt>
                <c:pt idx="44">
                  <c:v>232.91434682933149</c:v>
                </c:pt>
                <c:pt idx="45">
                  <c:v>234.36096142140099</c:v>
                </c:pt>
                <c:pt idx="46">
                  <c:v>235.55733662717316</c:v>
                </c:pt>
                <c:pt idx="47">
                  <c:v>236.75981913692766</c:v>
                </c:pt>
                <c:pt idx="48">
                  <c:v>237.968440127474</c:v>
                </c:pt>
                <c:pt idx="49">
                  <c:v>239.1832309347744</c:v>
                </c:pt>
                <c:pt idx="50">
                  <c:v>240.40422305475605</c:v>
                </c:pt>
              </c:numCache>
            </c:numRef>
          </c:val>
          <c:smooth val="0"/>
          <c:extLst>
            <c:ext xmlns:c16="http://schemas.microsoft.com/office/drawing/2014/chart" uri="{C3380CC4-5D6E-409C-BE32-E72D297353CC}">
              <c16:uniqueId val="{00000003-DF71-4BF4-9C91-6EEA5522726F}"/>
            </c:ext>
          </c:extLst>
        </c:ser>
        <c:dLbls>
          <c:showLegendKey val="0"/>
          <c:showVal val="0"/>
          <c:showCatName val="0"/>
          <c:showSerName val="0"/>
          <c:showPercent val="0"/>
          <c:showBubbleSize val="0"/>
        </c:dLbls>
        <c:smooth val="0"/>
        <c:axId val="1923059263"/>
        <c:axId val="1923059679"/>
      </c:lineChart>
      <c:catAx>
        <c:axId val="1923059263"/>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3059679"/>
        <c:crosses val="autoZero"/>
        <c:auto val="1"/>
        <c:lblAlgn val="ctr"/>
        <c:lblOffset val="100"/>
        <c:noMultiLvlLbl val="0"/>
      </c:catAx>
      <c:valAx>
        <c:axId val="192305967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30592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89070087259185"/>
          <c:y val="2.8534365118546297E-2"/>
          <c:w val="0.87256215847825824"/>
          <c:h val="0.8331301340665801"/>
        </c:manualLayout>
      </c:layout>
      <c:areaChart>
        <c:grouping val="stacked"/>
        <c:varyColors val="0"/>
        <c:ser>
          <c:idx val="2"/>
          <c:order val="0"/>
          <c:tx>
            <c:strRef>
              <c:f>'Activity data'!$D$5:$F$5</c:f>
              <c:strCache>
                <c:ptCount val="3"/>
                <c:pt idx="0">
                  <c:v>TMR</c:v>
                </c:pt>
                <c:pt idx="1">
                  <c:v>Population</c:v>
                </c:pt>
                <c:pt idx="2">
                  <c:v>Head</c:v>
                </c:pt>
              </c:strCache>
              <c:extLst xmlns:c15="http://schemas.microsoft.com/office/drawing/2012/chart"/>
            </c:strRef>
          </c:tx>
          <c:spPr>
            <a:solidFill>
              <a:schemeClr val="accent3"/>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extLst xmlns:c15="http://schemas.microsoft.com/office/drawing/2012/chart"/>
            </c:numRef>
          </c:cat>
          <c:val>
            <c:numRef>
              <c:f>'Activity data'!$H$5:$BP$5</c:f>
              <c:numCache>
                <c:formatCode>#,##0</c:formatCode>
                <c:ptCount val="61"/>
                <c:pt idx="0">
                  <c:v>487746.14676082286</c:v>
                </c:pt>
                <c:pt idx="1">
                  <c:v>561522.50537304278</c:v>
                </c:pt>
                <c:pt idx="2">
                  <c:v>485789.62235185754</c:v>
                </c:pt>
                <c:pt idx="3">
                  <c:v>515225.4221676389</c:v>
                </c:pt>
                <c:pt idx="4">
                  <c:v>477963.52471599629</c:v>
                </c:pt>
                <c:pt idx="5">
                  <c:v>511312.37334970833</c:v>
                </c:pt>
                <c:pt idx="6">
                  <c:v>513268.89775867364</c:v>
                </c:pt>
                <c:pt idx="7">
                  <c:v>494824.80810561875</c:v>
                </c:pt>
                <c:pt idx="8">
                  <c:v>488955.23487872281</c:v>
                </c:pt>
                <c:pt idx="9">
                  <c:v>480293.76727049437</c:v>
                </c:pt>
                <c:pt idx="10">
                  <c:v>618437.58059564023</c:v>
                </c:pt>
                <c:pt idx="11">
                  <c:v>616481.05618667486</c:v>
                </c:pt>
                <c:pt idx="12">
                  <c:v>537582.56063862459</c:v>
                </c:pt>
                <c:pt idx="13">
                  <c:v>488955.23487872281</c:v>
                </c:pt>
                <c:pt idx="14">
                  <c:v>472093.95148910041</c:v>
                </c:pt>
                <c:pt idx="15">
                  <c:v>505442.80012281239</c:v>
                </c:pt>
                <c:pt idx="16">
                  <c:v>494451.08996008604</c:v>
                </c:pt>
                <c:pt idx="17">
                  <c:v>490911.75928768812</c:v>
                </c:pt>
                <c:pt idx="18">
                  <c:v>601202.57906048512</c:v>
                </c:pt>
                <c:pt idx="19">
                  <c:v>616107.33804114221</c:v>
                </c:pt>
                <c:pt idx="20">
                  <c:v>616107.33804114221</c:v>
                </c:pt>
                <c:pt idx="21">
                  <c:v>593750.19957015652</c:v>
                </c:pt>
                <c:pt idx="22">
                  <c:v>591129.2897046</c:v>
                </c:pt>
                <c:pt idx="23">
                  <c:v>594806.21359952644</c:v>
                </c:pt>
                <c:pt idx="24">
                  <c:v>597334.14942871302</c:v>
                </c:pt>
                <c:pt idx="25">
                  <c:v>598126.94731703098</c:v>
                </c:pt>
                <c:pt idx="26">
                  <c:v>599199.48455998639</c:v>
                </c:pt>
                <c:pt idx="27">
                  <c:v>601548.74860188353</c:v>
                </c:pt>
                <c:pt idx="28">
                  <c:v>604365.27789585036</c:v>
                </c:pt>
                <c:pt idx="29">
                  <c:v>605211.39267553936</c:v>
                </c:pt>
                <c:pt idx="30">
                  <c:v>586631.53886012151</c:v>
                </c:pt>
                <c:pt idx="31">
                  <c:v>591463.42522817326</c:v>
                </c:pt>
                <c:pt idx="32">
                  <c:v>595894.12780633103</c:v>
                </c:pt>
                <c:pt idx="33">
                  <c:v>600437.07435332856</c:v>
                </c:pt>
                <c:pt idx="34">
                  <c:v>605909.67145750136</c:v>
                </c:pt>
                <c:pt idx="35">
                  <c:v>611484.95855705661</c:v>
                </c:pt>
                <c:pt idx="36">
                  <c:v>616913.71824369463</c:v>
                </c:pt>
                <c:pt idx="37">
                  <c:v>622233.87142890715</c:v>
                </c:pt>
                <c:pt idx="38">
                  <c:v>627964.25989361806</c:v>
                </c:pt>
                <c:pt idx="39">
                  <c:v>633390.82512909174</c:v>
                </c:pt>
                <c:pt idx="40">
                  <c:v>639012.03747758723</c:v>
                </c:pt>
                <c:pt idx="41">
                  <c:v>645470.2975270265</c:v>
                </c:pt>
                <c:pt idx="42">
                  <c:v>652504.02160877187</c:v>
                </c:pt>
                <c:pt idx="43">
                  <c:v>659816.93052558065</c:v>
                </c:pt>
                <c:pt idx="44">
                  <c:v>660838.4321442548</c:v>
                </c:pt>
                <c:pt idx="45">
                  <c:v>353806.44911511842</c:v>
                </c:pt>
                <c:pt idx="46">
                  <c:v>354066.67159868689</c:v>
                </c:pt>
                <c:pt idx="47">
                  <c:v>354361.07744776766</c:v>
                </c:pt>
                <c:pt idx="48">
                  <c:v>354688.3673649907</c:v>
                </c:pt>
                <c:pt idx="49">
                  <c:v>355047.34211974725</c:v>
                </c:pt>
                <c:pt idx="50">
                  <c:v>355436.89306355093</c:v>
                </c:pt>
                <c:pt idx="51">
                  <c:v>355604.60638391611</c:v>
                </c:pt>
                <c:pt idx="52">
                  <c:v>355799.24625414406</c:v>
                </c:pt>
                <c:pt idx="53">
                  <c:v>356019.87221262697</c:v>
                </c:pt>
                <c:pt idx="54">
                  <c:v>356265.60797182971</c:v>
                </c:pt>
                <c:pt idx="55">
                  <c:v>356535.63597260602</c:v>
                </c:pt>
                <c:pt idx="56">
                  <c:v>356575.09636444686</c:v>
                </c:pt>
                <c:pt idx="57">
                  <c:v>356636.09243029275</c:v>
                </c:pt>
                <c:pt idx="58">
                  <c:v>356717.9103664264</c:v>
                </c:pt>
                <c:pt idx="59">
                  <c:v>356819.87985342031</c:v>
                </c:pt>
                <c:pt idx="60">
                  <c:v>356941.37071572948</c:v>
                </c:pt>
              </c:numCache>
              <c:extLst xmlns:c15="http://schemas.microsoft.com/office/drawing/2012/chart"/>
            </c:numRef>
          </c:val>
          <c:extLst xmlns:c15="http://schemas.microsoft.com/office/drawing/2012/chart">
            <c:ext xmlns:c16="http://schemas.microsoft.com/office/drawing/2014/chart" uri="{C3380CC4-5D6E-409C-BE32-E72D297353CC}">
              <c16:uniqueId val="{00000002-3B16-45B8-89BE-5AE640BDA9C0}"/>
            </c:ext>
          </c:extLst>
        </c:ser>
        <c:ser>
          <c:idx val="3"/>
          <c:order val="1"/>
          <c:tx>
            <c:strRef>
              <c:f>'Activity data'!$D$6:$F$6</c:f>
              <c:strCache>
                <c:ptCount val="3"/>
                <c:pt idx="0">
                  <c:v>Pasture</c:v>
                </c:pt>
                <c:pt idx="1">
                  <c:v>Population</c:v>
                </c:pt>
                <c:pt idx="2">
                  <c:v>Head</c:v>
                </c:pt>
              </c:strCache>
              <c:extLst xmlns:c15="http://schemas.microsoft.com/office/drawing/2012/chart"/>
            </c:strRef>
          </c:tx>
          <c:spPr>
            <a:solidFill>
              <a:schemeClr val="accent4"/>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extLst xmlns:c15="http://schemas.microsoft.com/office/drawing/2012/chart"/>
            </c:numRef>
          </c:cat>
          <c:val>
            <c:numRef>
              <c:f>'Activity data'!$H$6:$BP$6</c:f>
              <c:numCache>
                <c:formatCode>#,##0</c:formatCode>
                <c:ptCount val="61"/>
                <c:pt idx="0">
                  <c:v>399733.85323917714</c:v>
                </c:pt>
                <c:pt idx="1">
                  <c:v>460197.49462695734</c:v>
                </c:pt>
                <c:pt idx="2">
                  <c:v>398130.37764814246</c:v>
                </c:pt>
                <c:pt idx="3">
                  <c:v>422254.57783236104</c:v>
                </c:pt>
                <c:pt idx="4">
                  <c:v>391716.47528400371</c:v>
                </c:pt>
                <c:pt idx="5">
                  <c:v>419047.62665029167</c:v>
                </c:pt>
                <c:pt idx="6">
                  <c:v>420651.10224132636</c:v>
                </c:pt>
                <c:pt idx="7">
                  <c:v>405535.19189438137</c:v>
                </c:pt>
                <c:pt idx="8">
                  <c:v>400724.76512127731</c:v>
                </c:pt>
                <c:pt idx="9">
                  <c:v>393626.23272950563</c:v>
                </c:pt>
                <c:pt idx="10">
                  <c:v>506842.41940435988</c:v>
                </c:pt>
                <c:pt idx="11">
                  <c:v>505238.9438133252</c:v>
                </c:pt>
                <c:pt idx="12">
                  <c:v>440577.43936137547</c:v>
                </c:pt>
                <c:pt idx="13">
                  <c:v>400724.76512127731</c:v>
                </c:pt>
                <c:pt idx="14">
                  <c:v>386906.04851089959</c:v>
                </c:pt>
                <c:pt idx="15">
                  <c:v>414237.19987718761</c:v>
                </c:pt>
                <c:pt idx="16">
                  <c:v>405228.91003991402</c:v>
                </c:pt>
                <c:pt idx="17">
                  <c:v>402328.24071231199</c:v>
                </c:pt>
                <c:pt idx="18">
                  <c:v>492717.42093951488</c:v>
                </c:pt>
                <c:pt idx="19">
                  <c:v>504932.66195885779</c:v>
                </c:pt>
                <c:pt idx="20">
                  <c:v>504932.66195885779</c:v>
                </c:pt>
                <c:pt idx="21">
                  <c:v>486609.80042984337</c:v>
                </c:pt>
                <c:pt idx="22">
                  <c:v>489792.8400409543</c:v>
                </c:pt>
                <c:pt idx="23">
                  <c:v>492839.43412532192</c:v>
                </c:pt>
                <c:pt idx="24">
                  <c:v>494934.00952664798</c:v>
                </c:pt>
                <c:pt idx="25">
                  <c:v>495590.89920553996</c:v>
                </c:pt>
                <c:pt idx="26">
                  <c:v>496479.57292113162</c:v>
                </c:pt>
                <c:pt idx="27">
                  <c:v>498426.10598441772</c:v>
                </c:pt>
                <c:pt idx="28">
                  <c:v>500759.80168513313</c:v>
                </c:pt>
                <c:pt idx="29">
                  <c:v>501460.86821687547</c:v>
                </c:pt>
                <c:pt idx="30">
                  <c:v>486066.13219838642</c:v>
                </c:pt>
                <c:pt idx="31">
                  <c:v>490069.69518905785</c:v>
                </c:pt>
                <c:pt idx="32">
                  <c:v>493740.84875381715</c:v>
                </c:pt>
                <c:pt idx="33">
                  <c:v>497505.00446418655</c:v>
                </c:pt>
                <c:pt idx="34">
                  <c:v>502039.44206478685</c:v>
                </c:pt>
                <c:pt idx="35">
                  <c:v>506658.96566156123</c:v>
                </c:pt>
                <c:pt idx="36">
                  <c:v>511157.08083048981</c:v>
                </c:pt>
                <c:pt idx="37">
                  <c:v>515565.20775538025</c:v>
                </c:pt>
                <c:pt idx="38">
                  <c:v>520313.24391185492</c:v>
                </c:pt>
                <c:pt idx="39">
                  <c:v>524809.5408212475</c:v>
                </c:pt>
                <c:pt idx="40">
                  <c:v>529467.11676714371</c:v>
                </c:pt>
                <c:pt idx="41">
                  <c:v>534818.24652239343</c:v>
                </c:pt>
                <c:pt idx="42">
                  <c:v>540646.18933298241</c:v>
                </c:pt>
                <c:pt idx="43">
                  <c:v>546705.45672119549</c:v>
                </c:pt>
                <c:pt idx="44">
                  <c:v>547551.84377666819</c:v>
                </c:pt>
                <c:pt idx="45">
                  <c:v>293153.91498109809</c:v>
                </c:pt>
                <c:pt idx="46">
                  <c:v>293369.52789605485</c:v>
                </c:pt>
                <c:pt idx="47">
                  <c:v>293613.46417100751</c:v>
                </c:pt>
                <c:pt idx="48">
                  <c:v>293884.647245278</c:v>
                </c:pt>
                <c:pt idx="49">
                  <c:v>294182.08347064769</c:v>
                </c:pt>
                <c:pt idx="50">
                  <c:v>294504.85425265646</c:v>
                </c:pt>
                <c:pt idx="51">
                  <c:v>294643.81671810191</c:v>
                </c:pt>
                <c:pt idx="52">
                  <c:v>294805.08975343365</c:v>
                </c:pt>
                <c:pt idx="53">
                  <c:v>294987.89411903376</c:v>
                </c:pt>
                <c:pt idx="54">
                  <c:v>295191.50374808745</c:v>
                </c:pt>
                <c:pt idx="55">
                  <c:v>295415.24123444495</c:v>
                </c:pt>
                <c:pt idx="56">
                  <c:v>295447.93698768452</c:v>
                </c:pt>
                <c:pt idx="57">
                  <c:v>295498.47658509971</c:v>
                </c:pt>
                <c:pt idx="58">
                  <c:v>295566.26858932473</c:v>
                </c:pt>
                <c:pt idx="59">
                  <c:v>295650.75759283395</c:v>
                </c:pt>
                <c:pt idx="60">
                  <c:v>295751.42145017587</c:v>
                </c:pt>
              </c:numCache>
              <c:extLst xmlns:c15="http://schemas.microsoft.com/office/drawing/2012/chart"/>
            </c:numRef>
          </c:val>
          <c:extLst xmlns:c15="http://schemas.microsoft.com/office/drawing/2012/chart">
            <c:ext xmlns:c16="http://schemas.microsoft.com/office/drawing/2014/chart" uri="{C3380CC4-5D6E-409C-BE32-E72D297353CC}">
              <c16:uniqueId val="{00000003-3B16-45B8-89BE-5AE640BDA9C0}"/>
            </c:ext>
          </c:extLst>
        </c:ser>
        <c:ser>
          <c:idx val="4"/>
          <c:order val="2"/>
          <c:tx>
            <c:strRef>
              <c:f>'Activity data'!$D$7:$F$7</c:f>
              <c:strCache>
                <c:ptCount val="3"/>
                <c:pt idx="0">
                  <c:v>Non-lactating</c:v>
                </c:pt>
                <c:pt idx="1">
                  <c:v>Population</c:v>
                </c:pt>
                <c:pt idx="2">
                  <c:v>Head</c:v>
                </c:pt>
              </c:strCache>
              <c:extLst xmlns:c15="http://schemas.microsoft.com/office/drawing/2012/chart"/>
            </c:strRef>
          </c:tx>
          <c:spPr>
            <a:solidFill>
              <a:schemeClr val="accent5"/>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extLst xmlns:c15="http://schemas.microsoft.com/office/drawing/2012/chart"/>
            </c:numRef>
          </c:cat>
          <c:val>
            <c:numRef>
              <c:f>'Activity data'!$H$7:$BP$7</c:f>
              <c:numCache>
                <c:formatCode>#,##0</c:formatCode>
                <c:ptCount val="61"/>
                <c:pt idx="0">
                  <c:v>585792.9</c:v>
                </c:pt>
                <c:pt idx="1">
                  <c:v>665847.14000000013</c:v>
                </c:pt>
                <c:pt idx="2">
                  <c:v>575959.50999999989</c:v>
                </c:pt>
                <c:pt idx="3">
                  <c:v>602759.85000000009</c:v>
                </c:pt>
                <c:pt idx="4">
                  <c:v>536625.95000000007</c:v>
                </c:pt>
                <c:pt idx="5">
                  <c:v>583093.06999999995</c:v>
                </c:pt>
                <c:pt idx="6">
                  <c:v>592926.46</c:v>
                </c:pt>
                <c:pt idx="7">
                  <c:v>572912.89999999991</c:v>
                </c:pt>
                <c:pt idx="8">
                  <c:v>543412.73</c:v>
                </c:pt>
                <c:pt idx="9">
                  <c:v>572566.12</c:v>
                </c:pt>
                <c:pt idx="10">
                  <c:v>709614.43</c:v>
                </c:pt>
                <c:pt idx="11">
                  <c:v>699781.04</c:v>
                </c:pt>
                <c:pt idx="12">
                  <c:v>642440.19000000006</c:v>
                </c:pt>
                <c:pt idx="13">
                  <c:v>543412.73</c:v>
                </c:pt>
                <c:pt idx="14">
                  <c:v>507125.77999999997</c:v>
                </c:pt>
                <c:pt idx="15">
                  <c:v>553592.9</c:v>
                </c:pt>
                <c:pt idx="16">
                  <c:v>546806.12</c:v>
                </c:pt>
                <c:pt idx="17">
                  <c:v>553246.12</c:v>
                </c:pt>
                <c:pt idx="18">
                  <c:v>647220.70000000019</c:v>
                </c:pt>
                <c:pt idx="19">
                  <c:v>673674.26</c:v>
                </c:pt>
                <c:pt idx="20">
                  <c:v>673674.26</c:v>
                </c:pt>
                <c:pt idx="21">
                  <c:v>633993.92000000016</c:v>
                </c:pt>
                <c:pt idx="22">
                  <c:v>608018.69798187434</c:v>
                </c:pt>
                <c:pt idx="23">
                  <c:v>611800.67684522725</c:v>
                </c:pt>
                <c:pt idx="24">
                  <c:v>614400.83941239072</c:v>
                </c:pt>
                <c:pt idx="25">
                  <c:v>615216.28866894625</c:v>
                </c:pt>
                <c:pt idx="26">
                  <c:v>616319.46983312909</c:v>
                </c:pt>
                <c:pt idx="27">
                  <c:v>618735.85570479452</c:v>
                </c:pt>
                <c:pt idx="28">
                  <c:v>621632.85726430325</c:v>
                </c:pt>
                <c:pt idx="29">
                  <c:v>622503.14675198344</c:v>
                </c:pt>
                <c:pt idx="30">
                  <c:v>603392.43997041078</c:v>
                </c:pt>
                <c:pt idx="31">
                  <c:v>608362.38023469259</c:v>
                </c:pt>
                <c:pt idx="32">
                  <c:v>612919.67431508354</c:v>
                </c:pt>
                <c:pt idx="33">
                  <c:v>617592.41933485237</c:v>
                </c:pt>
                <c:pt idx="34">
                  <c:v>623221.37635628728</c:v>
                </c:pt>
                <c:pt idx="35">
                  <c:v>628955.95737297274</c:v>
                </c:pt>
                <c:pt idx="36">
                  <c:v>634539.82447922882</c:v>
                </c:pt>
                <c:pt idx="37">
                  <c:v>640011.98204116174</c:v>
                </c:pt>
                <c:pt idx="38">
                  <c:v>645906.09589057858</c:v>
                </c:pt>
                <c:pt idx="39">
                  <c:v>651487.7058470659</c:v>
                </c:pt>
                <c:pt idx="40">
                  <c:v>657269.52426266123</c:v>
                </c:pt>
                <c:pt idx="41">
                  <c:v>663912.30602779891</c:v>
                </c:pt>
                <c:pt idx="42">
                  <c:v>671146.9936547369</c:v>
                </c:pt>
                <c:pt idx="43">
                  <c:v>678668.84282631171</c:v>
                </c:pt>
                <c:pt idx="44">
                  <c:v>679719.53020551929</c:v>
                </c:pt>
                <c:pt idx="45">
                  <c:v>363915.20480412187</c:v>
                </c:pt>
                <c:pt idx="46">
                  <c:v>364182.86221579229</c:v>
                </c:pt>
                <c:pt idx="47">
                  <c:v>364485.67966056109</c:v>
                </c:pt>
                <c:pt idx="48">
                  <c:v>364822.3207182762</c:v>
                </c:pt>
                <c:pt idx="49">
                  <c:v>365191.55189459719</c:v>
                </c:pt>
                <c:pt idx="50">
                  <c:v>365592.23286536674</c:v>
                </c:pt>
                <c:pt idx="51">
                  <c:v>365764.73799488519</c:v>
                </c:pt>
                <c:pt idx="52">
                  <c:v>365964.93900426256</c:v>
                </c:pt>
                <c:pt idx="53">
                  <c:v>366191.86856155924</c:v>
                </c:pt>
                <c:pt idx="54">
                  <c:v>366444.62534245348</c:v>
                </c:pt>
                <c:pt idx="55">
                  <c:v>366722.36842896621</c:v>
                </c:pt>
                <c:pt idx="56">
                  <c:v>366762.95626057393</c:v>
                </c:pt>
                <c:pt idx="57">
                  <c:v>366825.69507115829</c:v>
                </c:pt>
                <c:pt idx="58">
                  <c:v>366909.85066261009</c:v>
                </c:pt>
                <c:pt idx="59">
                  <c:v>367014.73356351809</c:v>
                </c:pt>
                <c:pt idx="60">
                  <c:v>367139.69559332181</c:v>
                </c:pt>
              </c:numCache>
              <c:extLst xmlns:c15="http://schemas.microsoft.com/office/drawing/2012/chart"/>
            </c:numRef>
          </c:val>
          <c:extLst xmlns:c15="http://schemas.microsoft.com/office/drawing/2012/chart">
            <c:ext xmlns:c16="http://schemas.microsoft.com/office/drawing/2014/chart" uri="{C3380CC4-5D6E-409C-BE32-E72D297353CC}">
              <c16:uniqueId val="{00000004-3B16-45B8-89BE-5AE640BDA9C0}"/>
            </c:ext>
          </c:extLst>
        </c:ser>
        <c:ser>
          <c:idx val="5"/>
          <c:order val="3"/>
          <c:tx>
            <c:strRef>
              <c:f>'Activity data'!$D$8:$F$8</c:f>
              <c:strCache>
                <c:ptCount val="3"/>
                <c:pt idx="0">
                  <c:v>Commercial</c:v>
                </c:pt>
                <c:pt idx="1">
                  <c:v>Population</c:v>
                </c:pt>
                <c:pt idx="2">
                  <c:v>Head</c:v>
                </c:pt>
              </c:strCache>
              <c:extLst xmlns:c15="http://schemas.microsoft.com/office/drawing/2012/chart"/>
            </c:strRef>
          </c:tx>
          <c:spPr>
            <a:solidFill>
              <a:schemeClr val="accent6"/>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'Activity data'!$H$8:$BP$8</c:f>
              <c:numCache>
                <c:formatCode>#,##0</c:formatCode>
                <c:ptCount val="61"/>
                <c:pt idx="0">
                  <c:v>6817100</c:v>
                </c:pt>
                <c:pt idx="1">
                  <c:v>6522860</c:v>
                </c:pt>
                <c:pt idx="2">
                  <c:v>6520490</c:v>
                </c:pt>
                <c:pt idx="3">
                  <c:v>6100150</c:v>
                </c:pt>
                <c:pt idx="4">
                  <c:v>6284050</c:v>
                </c:pt>
                <c:pt idx="5">
                  <c:v>6426930</c:v>
                </c:pt>
                <c:pt idx="6">
                  <c:v>6693540</c:v>
                </c:pt>
                <c:pt idx="7">
                  <c:v>6947100</c:v>
                </c:pt>
                <c:pt idx="8">
                  <c:v>7007270</c:v>
                </c:pt>
                <c:pt idx="9">
                  <c:v>6893880</c:v>
                </c:pt>
                <c:pt idx="10">
                  <c:v>6425570</c:v>
                </c:pt>
                <c:pt idx="11">
                  <c:v>6458960</c:v>
                </c:pt>
                <c:pt idx="12">
                  <c:v>6019810</c:v>
                </c:pt>
                <c:pt idx="13">
                  <c:v>6177270</c:v>
                </c:pt>
                <c:pt idx="14">
                  <c:v>6234220</c:v>
                </c:pt>
                <c:pt idx="15">
                  <c:v>6287100</c:v>
                </c:pt>
                <c:pt idx="16">
                  <c:v>6143880</c:v>
                </c:pt>
                <c:pt idx="17">
                  <c:v>6323880</c:v>
                </c:pt>
                <c:pt idx="18">
                  <c:v>6148152.25</c:v>
                </c:pt>
                <c:pt idx="19">
                  <c:v>6044920.583333333</c:v>
                </c:pt>
                <c:pt idx="20">
                  <c:v>6025917.666666667</c:v>
                </c:pt>
                <c:pt idx="21">
                  <c:v>6004279.833333333</c:v>
                </c:pt>
                <c:pt idx="22">
                  <c:v>6007349.5592559706</c:v>
                </c:pt>
                <c:pt idx="23">
                  <c:v>5967530.2158234045</c:v>
                </c:pt>
                <c:pt idx="24">
                  <c:v>5883573.7985937558</c:v>
                </c:pt>
                <c:pt idx="25">
                  <c:v>5742053.6226589652</c:v>
                </c:pt>
                <c:pt idx="26">
                  <c:v>5604747.315330226</c:v>
                </c:pt>
                <c:pt idx="27">
                  <c:v>5499139.4932850013</c:v>
                </c:pt>
                <c:pt idx="28">
                  <c:v>5403616.40519528</c:v>
                </c:pt>
                <c:pt idx="29">
                  <c:v>5253429.56876144</c:v>
                </c:pt>
                <c:pt idx="30">
                  <c:v>4607576.1616366571</c:v>
                </c:pt>
                <c:pt idx="31">
                  <c:v>4651493.7500498481</c:v>
                </c:pt>
                <c:pt idx="32">
                  <c:v>4681211.5868432671</c:v>
                </c:pt>
                <c:pt idx="33">
                  <c:v>4709962.8300589193</c:v>
                </c:pt>
                <c:pt idx="34">
                  <c:v>4757510.4709326616</c:v>
                </c:pt>
                <c:pt idx="35">
                  <c:v>4803491.0582758049</c:v>
                </c:pt>
                <c:pt idx="36">
                  <c:v>4851763.7731029456</c:v>
                </c:pt>
                <c:pt idx="37">
                  <c:v>4893789.4407646945</c:v>
                </c:pt>
                <c:pt idx="38">
                  <c:v>4941620.3493552273</c:v>
                </c:pt>
                <c:pt idx="39">
                  <c:v>4979049.6559271999</c:v>
                </c:pt>
                <c:pt idx="40">
                  <c:v>5017505.9598009065</c:v>
                </c:pt>
                <c:pt idx="41">
                  <c:v>5035417.4995619692</c:v>
                </c:pt>
                <c:pt idx="42">
                  <c:v>5059977.8545983164</c:v>
                </c:pt>
                <c:pt idx="43">
                  <c:v>5084443.4222556762</c:v>
                </c:pt>
                <c:pt idx="44">
                  <c:v>4976612.5856212554</c:v>
                </c:pt>
                <c:pt idx="45">
                  <c:v>-1173914.0740506803</c:v>
                </c:pt>
                <c:pt idx="46">
                  <c:v>-1146683.3503885153</c:v>
                </c:pt>
                <c:pt idx="47">
                  <c:v>-1119885.6806885502</c:v>
                </c:pt>
                <c:pt idx="48">
                  <c:v>-1093498.383903027</c:v>
                </c:pt>
                <c:pt idx="49">
                  <c:v>-1067500.3470607128</c:v>
                </c:pt>
                <c:pt idx="50">
                  <c:v>-1041871.879962365</c:v>
                </c:pt>
                <c:pt idx="51">
                  <c:v>-1021092.990564567</c:v>
                </c:pt>
                <c:pt idx="52">
                  <c:v>-1000627.9411941927</c:v>
                </c:pt>
                <c:pt idx="53">
                  <c:v>-980462.51017704059</c:v>
                </c:pt>
                <c:pt idx="54">
                  <c:v>-960583.36035360862</c:v>
                </c:pt>
                <c:pt idx="55">
                  <c:v>-940977.96573821572</c:v>
                </c:pt>
                <c:pt idx="56">
                  <c:v>-921008.17221943941</c:v>
                </c:pt>
                <c:pt idx="57">
                  <c:v>-901312.98882898863</c:v>
                </c:pt>
                <c:pt idx="58">
                  <c:v>-881881.61283114972</c:v>
                </c:pt>
                <c:pt idx="59">
                  <c:v>-862703.84842223709</c:v>
                </c:pt>
                <c:pt idx="60">
                  <c:v>-843770.06137627654</c:v>
                </c:pt>
              </c:numCache>
            </c:numRef>
          </c:val>
          <c:extLst xmlns:c15="http://schemas.microsoft.com/office/drawing/2012/chart">
            <c:ext xmlns:c16="http://schemas.microsoft.com/office/drawing/2014/chart" uri="{C3380CC4-5D6E-409C-BE32-E72D297353CC}">
              <c16:uniqueId val="{00000005-3B16-45B8-89BE-5AE640BDA9C0}"/>
            </c:ext>
          </c:extLst>
        </c:ser>
        <c:ser>
          <c:idx val="6"/>
          <c:order val="4"/>
          <c:tx>
            <c:strRef>
              <c:f>'Activity data'!$D$9:$F$9</c:f>
              <c:strCache>
                <c:ptCount val="3"/>
                <c:pt idx="0">
                  <c:v>Subsistence</c:v>
                </c:pt>
                <c:pt idx="1">
                  <c:v>Population</c:v>
                </c:pt>
                <c:pt idx="2">
                  <c:v>Head</c:v>
                </c:pt>
              </c:strCache>
              <c:extLst xmlns:c15="http://schemas.microsoft.com/office/drawing/2012/chart"/>
            </c:strRef>
          </c:tx>
          <c:spPr>
            <a:solidFill>
              <a:schemeClr val="accent1">
                <a:lumMod val="60000"/>
              </a:schemeClr>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'Activity data'!$H$9:$BP$9</c:f>
              <c:numCache>
                <c:formatCode>#,##0</c:formatCode>
                <c:ptCount val="61"/>
                <c:pt idx="0">
                  <c:v>4590000</c:v>
                </c:pt>
                <c:pt idx="1">
                  <c:v>4870000</c:v>
                </c:pt>
                <c:pt idx="2">
                  <c:v>5100000</c:v>
                </c:pt>
                <c:pt idx="3">
                  <c:v>5040000</c:v>
                </c:pt>
                <c:pt idx="4">
                  <c:v>4390000</c:v>
                </c:pt>
                <c:pt idx="5">
                  <c:v>4240000</c:v>
                </c:pt>
                <c:pt idx="6">
                  <c:v>4360000</c:v>
                </c:pt>
                <c:pt idx="7">
                  <c:v>4560000</c:v>
                </c:pt>
                <c:pt idx="8">
                  <c:v>4840000</c:v>
                </c:pt>
                <c:pt idx="9">
                  <c:v>5040000</c:v>
                </c:pt>
                <c:pt idx="10">
                  <c:v>4920000</c:v>
                </c:pt>
                <c:pt idx="11">
                  <c:v>4800000</c:v>
                </c:pt>
                <c:pt idx="12">
                  <c:v>5440000</c:v>
                </c:pt>
                <c:pt idx="13">
                  <c:v>5570000</c:v>
                </c:pt>
                <c:pt idx="14">
                  <c:v>5480000</c:v>
                </c:pt>
                <c:pt idx="15">
                  <c:v>5320000</c:v>
                </c:pt>
                <c:pt idx="16">
                  <c:v>5490000</c:v>
                </c:pt>
                <c:pt idx="17">
                  <c:v>5710000</c:v>
                </c:pt>
                <c:pt idx="18">
                  <c:v>5620000</c:v>
                </c:pt>
                <c:pt idx="19">
                  <c:v>5560000</c:v>
                </c:pt>
                <c:pt idx="20">
                  <c:v>5480000</c:v>
                </c:pt>
                <c:pt idx="21">
                  <c:v>5520000</c:v>
                </c:pt>
                <c:pt idx="22">
                  <c:v>5327272.250660954</c:v>
                </c:pt>
                <c:pt idx="23">
                  <c:v>5291960.7574283015</c:v>
                </c:pt>
                <c:pt idx="24">
                  <c:v>5217508.8402623869</c:v>
                </c:pt>
                <c:pt idx="25">
                  <c:v>5092009.8163202135</c:v>
                </c:pt>
                <c:pt idx="26">
                  <c:v>4970247.619255105</c:v>
                </c:pt>
                <c:pt idx="27">
                  <c:v>4876595.3997055674</c:v>
                </c:pt>
                <c:pt idx="28">
                  <c:v>4791886.2461165683</c:v>
                </c:pt>
                <c:pt idx="29">
                  <c:v>4658701.6930525973</c:v>
                </c:pt>
                <c:pt idx="30">
                  <c:v>4085963.7659796765</c:v>
                </c:pt>
                <c:pt idx="31">
                  <c:v>4124909.5519309971</c:v>
                </c:pt>
                <c:pt idx="32">
                  <c:v>4151263.1053138399</c:v>
                </c:pt>
                <c:pt idx="33">
                  <c:v>4176759.4908069656</c:v>
                </c:pt>
                <c:pt idx="34">
                  <c:v>4218924.3798836814</c:v>
                </c:pt>
                <c:pt idx="35">
                  <c:v>4259699.6177162798</c:v>
                </c:pt>
                <c:pt idx="36">
                  <c:v>4302507.496902612</c:v>
                </c:pt>
                <c:pt idx="37">
                  <c:v>4339775.5418102005</c:v>
                </c:pt>
                <c:pt idx="38">
                  <c:v>4382191.6305602947</c:v>
                </c:pt>
                <c:pt idx="39">
                  <c:v>4415383.6571429875</c:v>
                </c:pt>
                <c:pt idx="40">
                  <c:v>4449486.4171819352</c:v>
                </c:pt>
                <c:pt idx="41">
                  <c:v>4465370.2354606129</c:v>
                </c:pt>
                <c:pt idx="42">
                  <c:v>4487150.1729456754</c:v>
                </c:pt>
                <c:pt idx="43">
                  <c:v>4508846.0536984298</c:v>
                </c:pt>
                <c:pt idx="44">
                  <c:v>4413222.4815886607</c:v>
                </c:pt>
                <c:pt idx="45">
                  <c:v>-1041018.1411392824</c:v>
                </c:pt>
                <c:pt idx="46">
                  <c:v>-1016870.14091057</c:v>
                </c:pt>
                <c:pt idx="47">
                  <c:v>-993106.16966720484</c:v>
                </c:pt>
                <c:pt idx="48">
                  <c:v>-969706.11402721249</c:v>
                </c:pt>
                <c:pt idx="49">
                  <c:v>-946651.25116704707</c:v>
                </c:pt>
                <c:pt idx="50">
                  <c:v>-923924.11996662559</c:v>
                </c:pt>
                <c:pt idx="51">
                  <c:v>-905497.55767046497</c:v>
                </c:pt>
                <c:pt idx="52">
                  <c:v>-887349.30634201993</c:v>
                </c:pt>
                <c:pt idx="53">
                  <c:v>-869466.75430794165</c:v>
                </c:pt>
                <c:pt idx="54">
                  <c:v>-851838.07427584147</c:v>
                </c:pt>
                <c:pt idx="55">
                  <c:v>-834452.15829615341</c:v>
                </c:pt>
                <c:pt idx="56">
                  <c:v>-816743.09611912537</c:v>
                </c:pt>
                <c:pt idx="57">
                  <c:v>-799277.55613136722</c:v>
                </c:pt>
                <c:pt idx="58">
                  <c:v>-782045.95854837797</c:v>
                </c:pt>
                <c:pt idx="59">
                  <c:v>-765039.26180839876</c:v>
                </c:pt>
                <c:pt idx="60">
                  <c:v>-748248.92235254694</c:v>
                </c:pt>
              </c:numCache>
            </c:numRef>
          </c:val>
          <c:extLst xmlns:c15="http://schemas.microsoft.com/office/drawing/2012/chart">
            <c:ext xmlns:c16="http://schemas.microsoft.com/office/drawing/2014/chart" uri="{C3380CC4-5D6E-409C-BE32-E72D297353CC}">
              <c16:uniqueId val="{00000006-3B16-45B8-89BE-5AE640BDA9C0}"/>
            </c:ext>
          </c:extLst>
        </c:ser>
        <c:ser>
          <c:idx val="7"/>
          <c:order val="5"/>
          <c:tx>
            <c:strRef>
              <c:f>'Activity data'!$D$10:$F$10</c:f>
              <c:strCache>
                <c:ptCount val="3"/>
                <c:pt idx="0">
                  <c:v>Feedlot</c:v>
                </c:pt>
                <c:pt idx="1">
                  <c:v>Population</c:v>
                </c:pt>
                <c:pt idx="2">
                  <c:v>Head</c:v>
                </c:pt>
              </c:strCache>
              <c:extLst xmlns:c15="http://schemas.microsoft.com/office/drawing/2012/chart"/>
            </c:strRef>
          </c:tx>
          <c:spPr>
            <a:solidFill>
              <a:schemeClr val="accent2">
                <a:lumMod val="60000"/>
              </a:schemeClr>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'Activity data'!$H$10:$BP$10</c:f>
              <c:numCache>
                <c:formatCode>#,##0</c:formatCode>
                <c:ptCount val="61"/>
                <c:pt idx="0">
                  <c:v>420000</c:v>
                </c:pt>
                <c:pt idx="1">
                  <c:v>420000</c:v>
                </c:pt>
                <c:pt idx="2">
                  <c:v>420000</c:v>
                </c:pt>
                <c:pt idx="3">
                  <c:v>420000</c:v>
                </c:pt>
                <c:pt idx="4">
                  <c:v>420000</c:v>
                </c:pt>
                <c:pt idx="5">
                  <c:v>420000</c:v>
                </c:pt>
                <c:pt idx="6">
                  <c:v>420000</c:v>
                </c:pt>
                <c:pt idx="7">
                  <c:v>420000</c:v>
                </c:pt>
                <c:pt idx="8">
                  <c:v>420000</c:v>
                </c:pt>
                <c:pt idx="9">
                  <c:v>420000</c:v>
                </c:pt>
                <c:pt idx="10">
                  <c:v>420000</c:v>
                </c:pt>
                <c:pt idx="11">
                  <c:v>420000</c:v>
                </c:pt>
                <c:pt idx="12">
                  <c:v>420000</c:v>
                </c:pt>
                <c:pt idx="13">
                  <c:v>420000</c:v>
                </c:pt>
                <c:pt idx="14">
                  <c:v>420000</c:v>
                </c:pt>
                <c:pt idx="15">
                  <c:v>420000</c:v>
                </c:pt>
                <c:pt idx="16">
                  <c:v>420000</c:v>
                </c:pt>
                <c:pt idx="17">
                  <c:v>420000</c:v>
                </c:pt>
                <c:pt idx="18">
                  <c:v>391147.75</c:v>
                </c:pt>
                <c:pt idx="19">
                  <c:v>400819.41666666669</c:v>
                </c:pt>
                <c:pt idx="20">
                  <c:v>399822.33333333331</c:v>
                </c:pt>
                <c:pt idx="21">
                  <c:v>461800.16666666669</c:v>
                </c:pt>
                <c:pt idx="22">
                  <c:v>544425.44678784802</c:v>
                </c:pt>
                <c:pt idx="23">
                  <c:v>563815.25409722852</c:v>
                </c:pt>
                <c:pt idx="24">
                  <c:v>579205.48050671967</c:v>
                </c:pt>
                <c:pt idx="25">
                  <c:v>588722.95646496292</c:v>
                </c:pt>
                <c:pt idx="26">
                  <c:v>598260.30078749277</c:v>
                </c:pt>
                <c:pt idx="27">
                  <c:v>610925.73677676241</c:v>
                </c:pt>
                <c:pt idx="28">
                  <c:v>624646.75853090361</c:v>
                </c:pt>
                <c:pt idx="29">
                  <c:v>631787.34034937981</c:v>
                </c:pt>
                <c:pt idx="30">
                  <c:v>576398.87297452381</c:v>
                </c:pt>
                <c:pt idx="31">
                  <c:v>595798.54202044464</c:v>
                </c:pt>
                <c:pt idx="32">
                  <c:v>613737.42742892564</c:v>
                </c:pt>
                <c:pt idx="33">
                  <c:v>631876.49881874013</c:v>
                </c:pt>
                <c:pt idx="34">
                  <c:v>652933.21435305837</c:v>
                </c:pt>
                <c:pt idx="35">
                  <c:v>674239.16012055427</c:v>
                </c:pt>
                <c:pt idx="36">
                  <c:v>696349.35621155461</c:v>
                </c:pt>
                <c:pt idx="37">
                  <c:v>718048.86491725256</c:v>
                </c:pt>
                <c:pt idx="38">
                  <c:v>741100.85500334436</c:v>
                </c:pt>
                <c:pt idx="39">
                  <c:v>763094.65965564456</c:v>
                </c:pt>
                <c:pt idx="40">
                  <c:v>785732.85719405068</c:v>
                </c:pt>
                <c:pt idx="41">
                  <c:v>814549.93563886778</c:v>
                </c:pt>
                <c:pt idx="42">
                  <c:v>845577.48851409461</c:v>
                </c:pt>
                <c:pt idx="43">
                  <c:v>877823.17978379177</c:v>
                </c:pt>
                <c:pt idx="44">
                  <c:v>887771.79136016127</c:v>
                </c:pt>
                <c:pt idx="45">
                  <c:v>-216402.104722052</c:v>
                </c:pt>
                <c:pt idx="46">
                  <c:v>-218468.50448556282</c:v>
                </c:pt>
                <c:pt idx="47">
                  <c:v>-220551.7054205364</c:v>
                </c:pt>
                <c:pt idx="48">
                  <c:v>-222651.86652600818</c:v>
                </c:pt>
                <c:pt idx="49">
                  <c:v>-224769.14822859573</c:v>
                </c:pt>
                <c:pt idx="50">
                  <c:v>-226903.71239487958</c:v>
                </c:pt>
                <c:pt idx="51">
                  <c:v>-228616.72018837943</c:v>
                </c:pt>
                <c:pt idx="52">
                  <c:v>-230341.54428104509</c:v>
                </c:pt>
                <c:pt idx="53">
                  <c:v>-232078.27819190599</c:v>
                </c:pt>
                <c:pt idx="54">
                  <c:v>-233827.0161458505</c:v>
                </c:pt>
                <c:pt idx="55">
                  <c:v>-235587.85307878631</c:v>
                </c:pt>
                <c:pt idx="56">
                  <c:v>-237199.56630230488</c:v>
                </c:pt>
                <c:pt idx="57">
                  <c:v>-238820.55513047398</c:v>
                </c:pt>
                <c:pt idx="58">
                  <c:v>-240450.88092373559</c:v>
                </c:pt>
                <c:pt idx="59">
                  <c:v>-242090.60542728603</c:v>
                </c:pt>
                <c:pt idx="60">
                  <c:v>-243739.79077340415</c:v>
                </c:pt>
              </c:numCache>
            </c:numRef>
          </c:val>
          <c:extLst xmlns:c15="http://schemas.microsoft.com/office/drawing/2012/chart">
            <c:ext xmlns:c16="http://schemas.microsoft.com/office/drawing/2014/chart" uri="{C3380CC4-5D6E-409C-BE32-E72D297353CC}">
              <c16:uniqueId val="{00000007-3B16-45B8-89BE-5AE640BDA9C0}"/>
            </c:ext>
          </c:extLst>
        </c:ser>
        <c:dLbls>
          <c:showLegendKey val="0"/>
          <c:showVal val="0"/>
          <c:showCatName val="0"/>
          <c:showSerName val="0"/>
          <c:showPercent val="0"/>
          <c:showBubbleSize val="0"/>
        </c:dLbls>
        <c:axId val="789136943"/>
        <c:axId val="789159823"/>
        <c:extLst>
          <c:ext xmlns:c15="http://schemas.microsoft.com/office/drawing/2012/chart" uri="{02D57815-91ED-43cb-92C2-25804820EDAC}">
            <c15:filteredAreaSeries>
              <c15:ser>
                <c:idx val="8"/>
                <c:order val="6"/>
                <c:tx>
                  <c:strRef>
                    <c:extLst>
                      <c:ext uri="{02D57815-91ED-43cb-92C2-25804820EDAC}">
                        <c15:formulaRef>
                          <c15:sqref>'Activity data'!$D$11:$F$11</c15:sqref>
                        </c15:formulaRef>
                      </c:ext>
                    </c:extLst>
                    <c:strCache>
                      <c:ptCount val="3"/>
                      <c:pt idx="0">
                        <c:v>Commercial</c:v>
                      </c:pt>
                      <c:pt idx="1">
                        <c:v>Population</c:v>
                      </c:pt>
                      <c:pt idx="2">
                        <c:v>Head</c:v>
                      </c:pt>
                    </c:strCache>
                  </c:strRef>
                </c:tx>
                <c:spPr>
                  <a:solidFill>
                    <a:schemeClr val="accent3">
                      <a:lumMod val="60000"/>
                    </a:schemeClr>
                  </a:solidFill>
                  <a:ln>
                    <a:noFill/>
                  </a:ln>
                  <a:effectLst/>
                </c:spPr>
                <c:cat>
                  <c:numRef>
                    <c:extLst>
                      <c:ex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c:ext uri="{02D57815-91ED-43cb-92C2-25804820EDAC}">
                        <c15:formulaRef>
                          <c15:sqref>'Activity data'!$H$11:$BP$11</c15:sqref>
                        </c15:formulaRef>
                      </c:ext>
                    </c:extLst>
                    <c:numCache>
                      <c:formatCode>#,##0</c:formatCode>
                      <c:ptCount val="61"/>
                      <c:pt idx="0">
                        <c:v>29979000</c:v>
                      </c:pt>
                      <c:pt idx="1">
                        <c:v>28631000</c:v>
                      </c:pt>
                      <c:pt idx="2">
                        <c:v>27448000</c:v>
                      </c:pt>
                      <c:pt idx="3">
                        <c:v>25670000</c:v>
                      </c:pt>
                      <c:pt idx="4">
                        <c:v>25851000</c:v>
                      </c:pt>
                      <c:pt idx="5">
                        <c:v>25481000</c:v>
                      </c:pt>
                      <c:pt idx="6">
                        <c:v>25566000</c:v>
                      </c:pt>
                      <c:pt idx="7">
                        <c:v>25010000</c:v>
                      </c:pt>
                      <c:pt idx="8">
                        <c:v>25079000</c:v>
                      </c:pt>
                      <c:pt idx="9">
                        <c:v>24463000</c:v>
                      </c:pt>
                      <c:pt idx="10">
                        <c:v>23586000</c:v>
                      </c:pt>
                      <c:pt idx="11">
                        <c:v>22998000</c:v>
                      </c:pt>
                      <c:pt idx="12">
                        <c:v>22614000</c:v>
                      </c:pt>
                      <c:pt idx="13">
                        <c:v>22693000</c:v>
                      </c:pt>
                      <c:pt idx="14">
                        <c:v>22289000</c:v>
                      </c:pt>
                      <c:pt idx="15">
                        <c:v>22236000</c:v>
                      </c:pt>
                      <c:pt idx="16">
                        <c:v>21945000</c:v>
                      </c:pt>
                      <c:pt idx="17">
                        <c:v>21924000</c:v>
                      </c:pt>
                      <c:pt idx="18">
                        <c:v>21995000</c:v>
                      </c:pt>
                      <c:pt idx="19">
                        <c:v>21917000</c:v>
                      </c:pt>
                      <c:pt idx="20">
                        <c:v>21493000</c:v>
                      </c:pt>
                      <c:pt idx="21">
                        <c:v>21325000</c:v>
                      </c:pt>
                      <c:pt idx="22">
                        <c:v>19018327.680967014</c:v>
                      </c:pt>
                      <c:pt idx="23">
                        <c:v>19028713.427086703</c:v>
                      </c:pt>
                      <c:pt idx="24">
                        <c:v>19051969.107683893</c:v>
                      </c:pt>
                      <c:pt idx="25">
                        <c:v>19086973.789225459</c:v>
                      </c:pt>
                      <c:pt idx="26">
                        <c:v>19134195.806752253</c:v>
                      </c:pt>
                      <c:pt idx="27">
                        <c:v>19193685.267400872</c:v>
                      </c:pt>
                      <c:pt idx="28">
                        <c:v>19259954.114958268</c:v>
                      </c:pt>
                      <c:pt idx="29">
                        <c:v>19331774.464016877</c:v>
                      </c:pt>
                      <c:pt idx="30">
                        <c:v>19399264.907008924</c:v>
                      </c:pt>
                      <c:pt idx="31">
                        <c:v>19427456.971954491</c:v>
                      </c:pt>
                      <c:pt idx="32">
                        <c:v>19460170.41757524</c:v>
                      </c:pt>
                      <c:pt idx="33">
                        <c:v>19497398.536194213</c:v>
                      </c:pt>
                      <c:pt idx="34">
                        <c:v>19539334.211069677</c:v>
                      </c:pt>
                      <c:pt idx="35">
                        <c:v>19585305.150981959</c:v>
                      </c:pt>
                      <c:pt idx="36">
                        <c:v>19613603.770404901</c:v>
                      </c:pt>
                      <c:pt idx="37">
                        <c:v>19645213.91259072</c:v>
                      </c:pt>
                      <c:pt idx="38">
                        <c:v>19680250.289019085</c:v>
                      </c:pt>
                      <c:pt idx="39">
                        <c:v>19718174.586544167</c:v>
                      </c:pt>
                      <c:pt idx="40">
                        <c:v>19759122.406973377</c:v>
                      </c:pt>
                      <c:pt idx="41">
                        <c:v>19786079.120163966</c:v>
                      </c:pt>
                      <c:pt idx="42">
                        <c:v>19815871.263841685</c:v>
                      </c:pt>
                      <c:pt idx="43">
                        <c:v>19848230.902383074</c:v>
                      </c:pt>
                      <c:pt idx="44">
                        <c:v>19879494.440380681</c:v>
                      </c:pt>
                      <c:pt idx="45">
                        <c:v>19745833.454347491</c:v>
                      </c:pt>
                      <c:pt idx="46">
                        <c:v>19764815.427753989</c:v>
                      </c:pt>
                      <c:pt idx="47">
                        <c:v>19785762.129433058</c:v>
                      </c:pt>
                      <c:pt idx="48">
                        <c:v>19808599.333598968</c:v>
                      </c:pt>
                      <c:pt idx="49">
                        <c:v>19833258.55165717</c:v>
                      </c:pt>
                      <c:pt idx="50">
                        <c:v>19859676.487788312</c:v>
                      </c:pt>
                      <c:pt idx="51">
                        <c:v>19872497.136151575</c:v>
                      </c:pt>
                      <c:pt idx="52">
                        <c:v>19886867.327126332</c:v>
                      </c:pt>
                      <c:pt idx="53">
                        <c:v>19902733.132976212</c:v>
                      </c:pt>
                      <c:pt idx="54">
                        <c:v>19920044.316978011</c:v>
                      </c:pt>
                      <c:pt idx="55">
                        <c:v>19938754.019852098</c:v>
                      </c:pt>
                      <c:pt idx="56">
                        <c:v>19943369.475962225</c:v>
                      </c:pt>
                      <c:pt idx="57">
                        <c:v>19949226.116932139</c:v>
                      </c:pt>
                      <c:pt idx="58">
                        <c:v>19956282.834742554</c:v>
                      </c:pt>
                      <c:pt idx="59">
                        <c:v>19964501.031608582</c:v>
                      </c:pt>
                      <c:pt idx="60">
                        <c:v>19973844.426938675</c:v>
                      </c:pt>
                    </c:numCache>
                  </c:numRef>
                </c:val>
                <c:extLst>
                  <c:ext xmlns:c16="http://schemas.microsoft.com/office/drawing/2014/chart" uri="{C3380CC4-5D6E-409C-BE32-E72D297353CC}">
                    <c16:uniqueId val="{00000008-3B16-45B8-89BE-5AE640BDA9C0}"/>
                  </c:ext>
                </c:extLst>
              </c15:ser>
            </c15:filteredAreaSeries>
            <c15:filteredAreaSeries>
              <c15:ser>
                <c:idx val="9"/>
                <c:order val="7"/>
                <c:tx>
                  <c:strRef>
                    <c:extLst xmlns:c15="http://schemas.microsoft.com/office/drawing/2012/chart">
                      <c:ext xmlns:c15="http://schemas.microsoft.com/office/drawing/2012/chart" uri="{02D57815-91ED-43cb-92C2-25804820EDAC}">
                        <c15:formulaRef>
                          <c15:sqref>'Activity data'!$D$12:$F$12</c15:sqref>
                        </c15:formulaRef>
                      </c:ext>
                    </c:extLst>
                    <c:strCache>
                      <c:ptCount val="3"/>
                      <c:pt idx="0">
                        <c:v>Subsistence</c:v>
                      </c:pt>
                      <c:pt idx="1">
                        <c:v>Population</c:v>
                      </c:pt>
                      <c:pt idx="2">
                        <c:v>Head</c:v>
                      </c:pt>
                    </c:strCache>
                  </c:strRef>
                </c:tx>
                <c:spPr>
                  <a:solidFill>
                    <a:schemeClr val="accent4">
                      <a:lumMod val="6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data'!$H$12:$BP$12</c15:sqref>
                        </c15:formulaRef>
                      </c:ext>
                    </c:extLst>
                    <c:numCache>
                      <c:formatCode>#,##0</c:formatCode>
                      <c:ptCount val="61"/>
                      <c:pt idx="0">
                        <c:v>4183862.7657327019</c:v>
                      </c:pt>
                      <c:pt idx="1">
                        <c:v>3995736.1768468926</c:v>
                      </c:pt>
                      <c:pt idx="2">
                        <c:v>3830636.9523276691</c:v>
                      </c:pt>
                      <c:pt idx="3">
                        <c:v>3582499.6563046952</c:v>
                      </c:pt>
                      <c:pt idx="4">
                        <c:v>3607759.9772159201</c:v>
                      </c:pt>
                      <c:pt idx="5">
                        <c:v>3556122.8571211509</c:v>
                      </c:pt>
                      <c:pt idx="6">
                        <c:v>3567985.4387645437</c:v>
                      </c:pt>
                      <c:pt idx="7">
                        <c:v>3490390.1988383494</c:v>
                      </c:pt>
                      <c:pt idx="8">
                        <c:v>3500019.8239371148</c:v>
                      </c:pt>
                      <c:pt idx="9">
                        <c:v>3414050.996968525</c:v>
                      </c:pt>
                      <c:pt idx="10">
                        <c:v>3291657.0663655167</c:v>
                      </c:pt>
                      <c:pt idx="11">
                        <c:v>3209595.9133500443</c:v>
                      </c:pt>
                      <c:pt idx="12">
                        <c:v>3156004.9562787157</c:v>
                      </c:pt>
                      <c:pt idx="13">
                        <c:v>3167030.1792178694</c:v>
                      </c:pt>
                      <c:pt idx="14">
                        <c:v>3110648.0264657419</c:v>
                      </c:pt>
                      <c:pt idx="15">
                        <c:v>3103251.3579116268</c:v>
                      </c:pt>
                      <c:pt idx="16">
                        <c:v>3062639.4607560104</c:v>
                      </c:pt>
                      <c:pt idx="17">
                        <c:v>3059708.705291172</c:v>
                      </c:pt>
                      <c:pt idx="18">
                        <c:v>3069617.4499580064</c:v>
                      </c:pt>
                      <c:pt idx="19">
                        <c:v>3058731.7868028926</c:v>
                      </c:pt>
                      <c:pt idx="20">
                        <c:v>2999558.4383699675</c:v>
                      </c:pt>
                      <c:pt idx="21">
                        <c:v>2976112.3946512612</c:v>
                      </c:pt>
                      <c:pt idx="22">
                        <c:v>2841819.0787651865</c:v>
                      </c:pt>
                      <c:pt idx="23">
                        <c:v>2843370.9718635306</c:v>
                      </c:pt>
                      <c:pt idx="24">
                        <c:v>2846845.9586194325</c:v>
                      </c:pt>
                      <c:pt idx="25">
                        <c:v>2852076.5432175971</c:v>
                      </c:pt>
                      <c:pt idx="26">
                        <c:v>2859132.7067560842</c:v>
                      </c:pt>
                      <c:pt idx="27">
                        <c:v>2868021.9365081764</c:v>
                      </c:pt>
                      <c:pt idx="28">
                        <c:v>2877924.1780972127</c:v>
                      </c:pt>
                      <c:pt idx="29">
                        <c:v>2888655.9543933268</c:v>
                      </c:pt>
                      <c:pt idx="30">
                        <c:v>2898740.733231219</c:v>
                      </c:pt>
                      <c:pt idx="31">
                        <c:v>2902953.3406368783</c:v>
                      </c:pt>
                      <c:pt idx="32">
                        <c:v>2907841.5566491741</c:v>
                      </c:pt>
                      <c:pt idx="33">
                        <c:v>2913404.3789715492</c:v>
                      </c:pt>
                      <c:pt idx="34">
                        <c:v>2919670.6292402968</c:v>
                      </c:pt>
                      <c:pt idx="35">
                        <c:v>2926539.8501467295</c:v>
                      </c:pt>
                      <c:pt idx="36">
                        <c:v>2930768.3794857902</c:v>
                      </c:pt>
                      <c:pt idx="37">
                        <c:v>2935491.7340652798</c:v>
                      </c:pt>
                      <c:pt idx="38">
                        <c:v>2940727.0546810129</c:v>
                      </c:pt>
                      <c:pt idx="39">
                        <c:v>2946393.9037364847</c:v>
                      </c:pt>
                      <c:pt idx="40">
                        <c:v>2952512.5435707346</c:v>
                      </c:pt>
                      <c:pt idx="41">
                        <c:v>2956540.5581854205</c:v>
                      </c:pt>
                      <c:pt idx="42">
                        <c:v>2960992.2578154244</c:v>
                      </c:pt>
                      <c:pt idx="43">
                        <c:v>2965827.6061032182</c:v>
                      </c:pt>
                      <c:pt idx="44">
                        <c:v>2970499.1692522862</c:v>
                      </c:pt>
                      <c:pt idx="45">
                        <c:v>2950526.8380059474</c:v>
                      </c:pt>
                      <c:pt idx="46">
                        <c:v>2953363.224836803</c:v>
                      </c:pt>
                      <c:pt idx="47">
                        <c:v>2956493.1917543649</c:v>
                      </c:pt>
                      <c:pt idx="48">
                        <c:v>2959905.6475492711</c:v>
                      </c:pt>
                      <c:pt idx="49">
                        <c:v>2963590.3582936004</c:v>
                      </c:pt>
                      <c:pt idx="50">
                        <c:v>2967537.8659913572</c:v>
                      </c:pt>
                      <c:pt idx="51">
                        <c:v>2969453.5950571322</c:v>
                      </c:pt>
                      <c:pt idx="52">
                        <c:v>2971600.8649729001</c:v>
                      </c:pt>
                      <c:pt idx="53">
                        <c:v>2973971.6175711579</c:v>
                      </c:pt>
                      <c:pt idx="54">
                        <c:v>2976558.3462151056</c:v>
                      </c:pt>
                      <c:pt idx="55">
                        <c:v>2979354.0489434167</c:v>
                      </c:pt>
                      <c:pt idx="56">
                        <c:v>2980043.7147989534</c:v>
                      </c:pt>
                      <c:pt idx="57">
                        <c:v>2980918.8450588253</c:v>
                      </c:pt>
                      <c:pt idx="58">
                        <c:v>2981973.2971454393</c:v>
                      </c:pt>
                      <c:pt idx="59">
                        <c:v>2983201.3035736964</c:v>
                      </c:pt>
                      <c:pt idx="60">
                        <c:v>2984597.4431057791</c:v>
                      </c:pt>
                    </c:numCache>
                  </c:numRef>
                </c:val>
                <c:extLst xmlns:c15="http://schemas.microsoft.com/office/drawing/2012/chart">
                  <c:ext xmlns:c16="http://schemas.microsoft.com/office/drawing/2014/chart" uri="{C3380CC4-5D6E-409C-BE32-E72D297353CC}">
                    <c16:uniqueId val="{00000009-3B16-45B8-89BE-5AE640BDA9C0}"/>
                  </c:ext>
                </c:extLst>
              </c15:ser>
            </c15:filteredAreaSeries>
            <c15:filteredAreaSeries>
              <c15:ser>
                <c:idx val="10"/>
                <c:order val="8"/>
                <c:tx>
                  <c:strRef>
                    <c:extLst xmlns:c15="http://schemas.microsoft.com/office/drawing/2012/chart">
                      <c:ext xmlns:c15="http://schemas.microsoft.com/office/drawing/2012/chart" uri="{02D57815-91ED-43cb-92C2-25804820EDAC}">
                        <c15:formulaRef>
                          <c15:sqref>'Activity data'!$D$13:$F$13</c15:sqref>
                        </c15:formulaRef>
                      </c:ext>
                    </c:extLst>
                    <c:strCache>
                      <c:ptCount val="3"/>
                      <c:pt idx="0">
                        <c:v>Commercial</c:v>
                      </c:pt>
                      <c:pt idx="1">
                        <c:v>Population</c:v>
                      </c:pt>
                      <c:pt idx="2">
                        <c:v>Head</c:v>
                      </c:pt>
                    </c:strCache>
                  </c:strRef>
                </c:tx>
                <c:spPr>
                  <a:solidFill>
                    <a:schemeClr val="accent5">
                      <a:lumMod val="6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data'!$H$13:$BP$13</c15:sqref>
                        </c15:formulaRef>
                      </c:ext>
                    </c:extLst>
                    <c:numCache>
                      <c:formatCode>#,##0</c:formatCode>
                      <c:ptCount val="61"/>
                      <c:pt idx="0">
                        <c:v>2774000.0000000005</c:v>
                      </c:pt>
                      <c:pt idx="1">
                        <c:v>2453000.0000000009</c:v>
                      </c:pt>
                      <c:pt idx="2">
                        <c:v>2284999.9999999995</c:v>
                      </c:pt>
                      <c:pt idx="3">
                        <c:v>2158999.9999999995</c:v>
                      </c:pt>
                      <c:pt idx="4">
                        <c:v>2336999.9999999995</c:v>
                      </c:pt>
                      <c:pt idx="5">
                        <c:v>2369000</c:v>
                      </c:pt>
                      <c:pt idx="6">
                        <c:v>2405999.9999999995</c:v>
                      </c:pt>
                      <c:pt idx="7">
                        <c:v>2394000</c:v>
                      </c:pt>
                      <c:pt idx="8">
                        <c:v>2360000</c:v>
                      </c:pt>
                      <c:pt idx="9">
                        <c:v>2325000.0000000005</c:v>
                      </c:pt>
                      <c:pt idx="10">
                        <c:v>2355000</c:v>
                      </c:pt>
                      <c:pt idx="11">
                        <c:v>2427000.0000000005</c:v>
                      </c:pt>
                      <c:pt idx="12">
                        <c:v>2216000.0000000005</c:v>
                      </c:pt>
                      <c:pt idx="13">
                        <c:v>2160000</c:v>
                      </c:pt>
                      <c:pt idx="14">
                        <c:v>2164000.0000000005</c:v>
                      </c:pt>
                      <c:pt idx="15">
                        <c:v>2136000</c:v>
                      </c:pt>
                      <c:pt idx="16">
                        <c:v>2181000</c:v>
                      </c:pt>
                      <c:pt idx="17">
                        <c:v>2116000</c:v>
                      </c:pt>
                      <c:pt idx="18">
                        <c:v>2114000.0000000005</c:v>
                      </c:pt>
                      <c:pt idx="19">
                        <c:v>2077000</c:v>
                      </c:pt>
                      <c:pt idx="20">
                        <c:v>2052000.0000000002</c:v>
                      </c:pt>
                      <c:pt idx="21">
                        <c:v>2033000.0000000002</c:v>
                      </c:pt>
                      <c:pt idx="22">
                        <c:v>2068020.3711862336</c:v>
                      </c:pt>
                      <c:pt idx="23">
                        <c:v>2073414.2581746883</c:v>
                      </c:pt>
                      <c:pt idx="24">
                        <c:v>2080602.090384315</c:v>
                      </c:pt>
                      <c:pt idx="25">
                        <c:v>2089424.0681822612</c:v>
                      </c:pt>
                      <c:pt idx="26">
                        <c:v>2099986.2027782789</c:v>
                      </c:pt>
                      <c:pt idx="27">
                        <c:v>2112316.6013010871</c:v>
                      </c:pt>
                      <c:pt idx="28">
                        <c:v>2125500.0705008977</c:v>
                      </c:pt>
                      <c:pt idx="29">
                        <c:v>2139348.0975761078</c:v>
                      </c:pt>
                      <c:pt idx="30">
                        <c:v>2152212.3064880767</c:v>
                      </c:pt>
                      <c:pt idx="31">
                        <c:v>2158240.8667125739</c:v>
                      </c:pt>
                      <c:pt idx="32">
                        <c:v>2164851.5171703934</c:v>
                      </c:pt>
                      <c:pt idx="33">
                        <c:v>2172052.6469438924</c:v>
                      </c:pt>
                      <c:pt idx="34">
                        <c:v>2179884.4421844943</c:v>
                      </c:pt>
                      <c:pt idx="35">
                        <c:v>2188241.4567813184</c:v>
                      </c:pt>
                      <c:pt idx="36">
                        <c:v>2193523.8841429623</c:v>
                      </c:pt>
                      <c:pt idx="37">
                        <c:v>2199239.2019303897</c:v>
                      </c:pt>
                      <c:pt idx="38">
                        <c:v>2205411.0547837582</c:v>
                      </c:pt>
                      <c:pt idx="39">
                        <c:v>2211954.4747049208</c:v>
                      </c:pt>
                      <c:pt idx="40">
                        <c:v>2218895.6360947033</c:v>
                      </c:pt>
                      <c:pt idx="41">
                        <c:v>2223441.6359146708</c:v>
                      </c:pt>
                      <c:pt idx="42">
                        <c:v>2228371.8052992979</c:v>
                      </c:pt>
                      <c:pt idx="43">
                        <c:v>2233644.4650993221</c:v>
                      </c:pt>
                      <c:pt idx="44">
                        <c:v>2238663.2666500062</c:v>
                      </c:pt>
                      <c:pt idx="45">
                        <c:v>2216723.8290338363</c:v>
                      </c:pt>
                      <c:pt idx="46">
                        <c:v>2219659.3317864328</c:v>
                      </c:pt>
                      <c:pt idx="47">
                        <c:v>2222858.0465280842</c:v>
                      </c:pt>
                      <c:pt idx="48">
                        <c:v>2226309.2840009513</c:v>
                      </c:pt>
                      <c:pt idx="49">
                        <c:v>2230003.184065857</c:v>
                      </c:pt>
                      <c:pt idx="50">
                        <c:v>2233930.6363157313</c:v>
                      </c:pt>
                      <c:pt idx="51">
                        <c:v>2235616.4889502036</c:v>
                      </c:pt>
                      <c:pt idx="52">
                        <c:v>2237512.7409939715</c:v>
                      </c:pt>
                      <c:pt idx="53">
                        <c:v>2239611.4603994587</c:v>
                      </c:pt>
                      <c:pt idx="54">
                        <c:v>2241905.2592762075</c:v>
                      </c:pt>
                      <c:pt idx="55">
                        <c:v>2244387.2472713711</c:v>
                      </c:pt>
                      <c:pt idx="56">
                        <c:v>2244580.8918294068</c:v>
                      </c:pt>
                      <c:pt idx="57">
                        <c:v>2244946.7507196893</c:v>
                      </c:pt>
                      <c:pt idx="58">
                        <c:v>2245478.6391973933</c:v>
                      </c:pt>
                      <c:pt idx="59">
                        <c:v>2246170.7510786764</c:v>
                      </c:pt>
                      <c:pt idx="60">
                        <c:v>2247017.6294126948</c:v>
                      </c:pt>
                    </c:numCache>
                  </c:numRef>
                </c:val>
                <c:extLst xmlns:c15="http://schemas.microsoft.com/office/drawing/2012/chart">
                  <c:ext xmlns:c16="http://schemas.microsoft.com/office/drawing/2014/chart" uri="{C3380CC4-5D6E-409C-BE32-E72D297353CC}">
                    <c16:uniqueId val="{0000000A-3B16-45B8-89BE-5AE640BDA9C0}"/>
                  </c:ext>
                </c:extLst>
              </c15:ser>
            </c15:filteredAreaSeries>
            <c15:filteredAreaSeries>
              <c15:ser>
                <c:idx val="11"/>
                <c:order val="9"/>
                <c:tx>
                  <c:strRef>
                    <c:extLst xmlns:c15="http://schemas.microsoft.com/office/drawing/2012/chart">
                      <c:ext xmlns:c15="http://schemas.microsoft.com/office/drawing/2012/chart" uri="{02D57815-91ED-43cb-92C2-25804820EDAC}">
                        <c15:formulaRef>
                          <c15:sqref>'Activity data'!$D$14:$F$14</c15:sqref>
                        </c15:formulaRef>
                      </c:ext>
                    </c:extLst>
                    <c:strCache>
                      <c:ptCount val="3"/>
                      <c:pt idx="0">
                        <c:v>Subsistence</c:v>
                      </c:pt>
                      <c:pt idx="1">
                        <c:v>Population</c:v>
                      </c:pt>
                      <c:pt idx="2">
                        <c:v>Head</c:v>
                      </c:pt>
                    </c:strCache>
                  </c:strRef>
                </c:tx>
                <c:spPr>
                  <a:solidFill>
                    <a:schemeClr val="accent6">
                      <a:lumMod val="6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data'!$H$14:$BP$14</c15:sqref>
                        </c15:formulaRef>
                      </c:ext>
                    </c:extLst>
                    <c:numCache>
                      <c:formatCode>#,##0</c:formatCode>
                      <c:ptCount val="61"/>
                      <c:pt idx="0">
                        <c:v>5479284.9120494025</c:v>
                      </c:pt>
                      <c:pt idx="1">
                        <c:v>4845236.4416932901</c:v>
                      </c:pt>
                      <c:pt idx="2">
                        <c:v>4513397.9899181286</c:v>
                      </c:pt>
                      <c:pt idx="3">
                        <c:v>4264519.151086757</c:v>
                      </c:pt>
                      <c:pt idx="4">
                        <c:v>4616109.8916580593</c:v>
                      </c:pt>
                      <c:pt idx="5">
                        <c:v>4679317.2158057094</c:v>
                      </c:pt>
                      <c:pt idx="6">
                        <c:v>4752400.6843514293</c:v>
                      </c:pt>
                      <c:pt idx="7">
                        <c:v>4728697.9377960609</c:v>
                      </c:pt>
                      <c:pt idx="8">
                        <c:v>4661540.1558891824</c:v>
                      </c:pt>
                      <c:pt idx="9">
                        <c:v>4592407.1451026909</c:v>
                      </c:pt>
                      <c:pt idx="10">
                        <c:v>4651664.0114911124</c:v>
                      </c:pt>
                      <c:pt idx="11">
                        <c:v>4793880.4908233248</c:v>
                      </c:pt>
                      <c:pt idx="12">
                        <c:v>4377107.1972247576</c:v>
                      </c:pt>
                      <c:pt idx="13">
                        <c:v>4266494.3799663708</c:v>
                      </c:pt>
                      <c:pt idx="14">
                        <c:v>4274395.2954848269</c:v>
                      </c:pt>
                      <c:pt idx="15">
                        <c:v>4219088.886855633</c:v>
                      </c:pt>
                      <c:pt idx="16">
                        <c:v>4307974.1864382662</c:v>
                      </c:pt>
                      <c:pt idx="17">
                        <c:v>4179584.3092633518</c:v>
                      </c:pt>
                      <c:pt idx="18">
                        <c:v>4175633.8515041238</c:v>
                      </c:pt>
                      <c:pt idx="19">
                        <c:v>4102550.3829584038</c:v>
                      </c:pt>
                      <c:pt idx="20">
                        <c:v>4053169.6609680522</c:v>
                      </c:pt>
                      <c:pt idx="21">
                        <c:v>4015640.3122553849</c:v>
                      </c:pt>
                      <c:pt idx="22">
                        <c:v>4014392.4852438644</c:v>
                      </c:pt>
                      <c:pt idx="23">
                        <c:v>4024862.9717508648</c:v>
                      </c:pt>
                      <c:pt idx="24">
                        <c:v>4038815.8225107281</c:v>
                      </c:pt>
                      <c:pt idx="25">
                        <c:v>4055940.8382361531</c:v>
                      </c:pt>
                      <c:pt idx="26">
                        <c:v>4076443.8053931287</c:v>
                      </c:pt>
                      <c:pt idx="27">
                        <c:v>4100379.2848785804</c:v>
                      </c:pt>
                      <c:pt idx="28">
                        <c:v>4125970.725089977</c:v>
                      </c:pt>
                      <c:pt idx="29">
                        <c:v>4152852.1894124444</c:v>
                      </c:pt>
                      <c:pt idx="30">
                        <c:v>4177823.8890650896</c:v>
                      </c:pt>
                      <c:pt idx="31">
                        <c:v>4189526.3883244074</c:v>
                      </c:pt>
                      <c:pt idx="32">
                        <c:v>4202358.82744841</c:v>
                      </c:pt>
                      <c:pt idx="33">
                        <c:v>4216337.491126379</c:v>
                      </c:pt>
                      <c:pt idx="34">
                        <c:v>4231540.3877698993</c:v>
                      </c:pt>
                      <c:pt idx="35">
                        <c:v>4247762.8278696174</c:v>
                      </c:pt>
                      <c:pt idx="36">
                        <c:v>4258016.9515716322</c:v>
                      </c:pt>
                      <c:pt idx="37">
                        <c:v>4269111.3919825209</c:v>
                      </c:pt>
                      <c:pt idx="38">
                        <c:v>4281092.0475214124</c:v>
                      </c:pt>
                      <c:pt idx="39">
                        <c:v>4293793.9803095507</c:v>
                      </c:pt>
                      <c:pt idx="40">
                        <c:v>4307267.9994779527</c:v>
                      </c:pt>
                      <c:pt idx="41">
                        <c:v>4316092.5873637712</c:v>
                      </c:pt>
                      <c:pt idx="42">
                        <c:v>4325662.9161692243</c:v>
                      </c:pt>
                      <c:pt idx="43">
                        <c:v>4335898.0793104479</c:v>
                      </c:pt>
                      <c:pt idx="44">
                        <c:v>4345640.458791188</c:v>
                      </c:pt>
                      <c:pt idx="45">
                        <c:v>4303052.1387127396</c:v>
                      </c:pt>
                      <c:pt idx="46">
                        <c:v>4308750.4675854268</c:v>
                      </c:pt>
                      <c:pt idx="47">
                        <c:v>4314959.737378045</c:v>
                      </c:pt>
                      <c:pt idx="48">
                        <c:v>4321659.1983547872</c:v>
                      </c:pt>
                      <c:pt idx="49">
                        <c:v>4328829.7102454863</c:v>
                      </c:pt>
                      <c:pt idx="50">
                        <c:v>4336453.588142301</c:v>
                      </c:pt>
                      <c:pt idx="51">
                        <c:v>4339726.1256092181</c:v>
                      </c:pt>
                      <c:pt idx="52">
                        <c:v>4343407.0854588849</c:v>
                      </c:pt>
                      <c:pt idx="53">
                        <c:v>4347481.070187184</c:v>
                      </c:pt>
                      <c:pt idx="54">
                        <c:v>4351933.7385949902</c:v>
                      </c:pt>
                      <c:pt idx="55">
                        <c:v>4356751.7152914843</c:v>
                      </c:pt>
                      <c:pt idx="56">
                        <c:v>4357127.6135512013</c:v>
                      </c:pt>
                      <c:pt idx="57">
                        <c:v>4357837.8102205722</c:v>
                      </c:pt>
                      <c:pt idx="58">
                        <c:v>4358870.2996184686</c:v>
                      </c:pt>
                      <c:pt idx="59">
                        <c:v>4360213.8109174296</c:v>
                      </c:pt>
                      <c:pt idx="60">
                        <c:v>4361857.7512128772</c:v>
                      </c:pt>
                    </c:numCache>
                  </c:numRef>
                </c:val>
                <c:extLst xmlns:c15="http://schemas.microsoft.com/office/drawing/2012/chart">
                  <c:ext xmlns:c16="http://schemas.microsoft.com/office/drawing/2014/chart" uri="{C3380CC4-5D6E-409C-BE32-E72D297353CC}">
                    <c16:uniqueId val="{0000000B-3B16-45B8-89BE-5AE640BDA9C0}"/>
                  </c:ext>
                </c:extLst>
              </c15:ser>
            </c15:filteredAreaSeries>
            <c15:filteredAreaSeries>
              <c15:ser>
                <c:idx val="12"/>
                <c:order val="10"/>
                <c:tx>
                  <c:strRef>
                    <c:extLst xmlns:c15="http://schemas.microsoft.com/office/drawing/2012/chart">
                      <c:ext xmlns:c15="http://schemas.microsoft.com/office/drawing/2012/chart" uri="{02D57815-91ED-43cb-92C2-25804820EDAC}">
                        <c15:formulaRef>
                          <c15:sqref>'Activity data'!$D$15:$F$15</c15:sqref>
                        </c15:formulaRef>
                      </c:ext>
                    </c:extLst>
                    <c:strCache>
                      <c:ptCount val="3"/>
                      <c:pt idx="0">
                        <c:v>Horses</c:v>
                      </c:pt>
                      <c:pt idx="1">
                        <c:v>Population</c:v>
                      </c:pt>
                      <c:pt idx="2">
                        <c:v>Head</c:v>
                      </c:pt>
                    </c:strCache>
                  </c:strRef>
                </c:tx>
                <c:spPr>
                  <a:solidFill>
                    <a:schemeClr val="accent1">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data'!$H$15:$BP$15</c15:sqref>
                        </c15:formulaRef>
                      </c:ext>
                    </c:extLst>
                    <c:numCache>
                      <c:formatCode>#,##0</c:formatCode>
                      <c:ptCount val="61"/>
                      <c:pt idx="0">
                        <c:v>230000</c:v>
                      </c:pt>
                      <c:pt idx="1">
                        <c:v>230000</c:v>
                      </c:pt>
                      <c:pt idx="2">
                        <c:v>230000</c:v>
                      </c:pt>
                      <c:pt idx="3">
                        <c:v>235000</c:v>
                      </c:pt>
                      <c:pt idx="4">
                        <c:v>240000</c:v>
                      </c:pt>
                      <c:pt idx="5">
                        <c:v>245000</c:v>
                      </c:pt>
                      <c:pt idx="6">
                        <c:v>250000</c:v>
                      </c:pt>
                      <c:pt idx="7">
                        <c:v>255000</c:v>
                      </c:pt>
                      <c:pt idx="8">
                        <c:v>260000</c:v>
                      </c:pt>
                      <c:pt idx="9">
                        <c:v>258000</c:v>
                      </c:pt>
                      <c:pt idx="10">
                        <c:v>270000</c:v>
                      </c:pt>
                      <c:pt idx="11">
                        <c:v>270000</c:v>
                      </c:pt>
                      <c:pt idx="12">
                        <c:v>270000</c:v>
                      </c:pt>
                      <c:pt idx="13">
                        <c:v>270000</c:v>
                      </c:pt>
                      <c:pt idx="14">
                        <c:v>270000</c:v>
                      </c:pt>
                      <c:pt idx="15">
                        <c:v>270000</c:v>
                      </c:pt>
                      <c:pt idx="16">
                        <c:v>280000</c:v>
                      </c:pt>
                      <c:pt idx="17">
                        <c:v>290000</c:v>
                      </c:pt>
                      <c:pt idx="18">
                        <c:v>298000</c:v>
                      </c:pt>
                      <c:pt idx="19">
                        <c:v>300000</c:v>
                      </c:pt>
                      <c:pt idx="20">
                        <c:v>300000</c:v>
                      </c:pt>
                      <c:pt idx="21">
                        <c:v>305000</c:v>
                      </c:pt>
                      <c:pt idx="22">
                        <c:v>309424.59857961355</c:v>
                      </c:pt>
                      <c:pt idx="23">
                        <c:v>311238.00485276635</c:v>
                      </c:pt>
                      <c:pt idx="24">
                        <c:v>311684.78111939383</c:v>
                      </c:pt>
                      <c:pt idx="25">
                        <c:v>310319.89215582341</c:v>
                      </c:pt>
                      <c:pt idx="26">
                        <c:v>308875.85176937183</c:v>
                      </c:pt>
                      <c:pt idx="27">
                        <c:v>308188.80875604128</c:v>
                      </c:pt>
                      <c:pt idx="28">
                        <c:v>307730.5816715043</c:v>
                      </c:pt>
                      <c:pt idx="29">
                        <c:v>305520.32201924094</c:v>
                      </c:pt>
                      <c:pt idx="30">
                        <c:v>287661.89914888295</c:v>
                      </c:pt>
                      <c:pt idx="31">
                        <c:v>290190.91684253712</c:v>
                      </c:pt>
                      <c:pt idx="32">
                        <c:v>292261.88816590386</c:v>
                      </c:pt>
                      <c:pt idx="33">
                        <c:v>294290.99398597062</c:v>
                      </c:pt>
                      <c:pt idx="34">
                        <c:v>296921.63065138634</c:v>
                      </c:pt>
                      <c:pt idx="35">
                        <c:v>299504.15233855741</c:v>
                      </c:pt>
                      <c:pt idx="36">
                        <c:v>302462.66364576167</c:v>
                      </c:pt>
                      <c:pt idx="37">
                        <c:v>305228.59279304056</c:v>
                      </c:pt>
                      <c:pt idx="38">
                        <c:v>308203.9000551239</c:v>
                      </c:pt>
                      <c:pt idx="39">
                        <c:v>310844.02698894078</c:v>
                      </c:pt>
                      <c:pt idx="40">
                        <c:v>313533.17193691689</c:v>
                      </c:pt>
                      <c:pt idx="41">
                        <c:v>317257.67426268931</c:v>
                      </c:pt>
                      <c:pt idx="42">
                        <c:v>321321.96909125871</c:v>
                      </c:pt>
                      <c:pt idx="43">
                        <c:v>325501.24891106453</c:v>
                      </c:pt>
                      <c:pt idx="44">
                        <c:v>324906.74141302751</c:v>
                      </c:pt>
                      <c:pt idx="45">
                        <c:v>96134.468780259602</c:v>
                      </c:pt>
                      <c:pt idx="46">
                        <c:v>96134.468780259602</c:v>
                      </c:pt>
                      <c:pt idx="47">
                        <c:v>96134.468780259602</c:v>
                      </c:pt>
                      <c:pt idx="48">
                        <c:v>96134.468780259602</c:v>
                      </c:pt>
                      <c:pt idx="49">
                        <c:v>96134.468780259602</c:v>
                      </c:pt>
                      <c:pt idx="50">
                        <c:v>96134.468780259602</c:v>
                      </c:pt>
                      <c:pt idx="51">
                        <c:v>96134.468780259602</c:v>
                      </c:pt>
                      <c:pt idx="52">
                        <c:v>96134.468780259602</c:v>
                      </c:pt>
                      <c:pt idx="53">
                        <c:v>96134.468780259602</c:v>
                      </c:pt>
                      <c:pt idx="54">
                        <c:v>96134.468780259602</c:v>
                      </c:pt>
                      <c:pt idx="55">
                        <c:v>96134.468780259602</c:v>
                      </c:pt>
                      <c:pt idx="56">
                        <c:v>96134.468780259602</c:v>
                      </c:pt>
                      <c:pt idx="57">
                        <c:v>96134.468780259602</c:v>
                      </c:pt>
                      <c:pt idx="58">
                        <c:v>96134.468780259602</c:v>
                      </c:pt>
                      <c:pt idx="59">
                        <c:v>96134.468780259602</c:v>
                      </c:pt>
                      <c:pt idx="60">
                        <c:v>96134.468780259602</c:v>
                      </c:pt>
                    </c:numCache>
                  </c:numRef>
                </c:val>
                <c:extLst xmlns:c15="http://schemas.microsoft.com/office/drawing/2012/chart">
                  <c:ext xmlns:c16="http://schemas.microsoft.com/office/drawing/2014/chart" uri="{C3380CC4-5D6E-409C-BE32-E72D297353CC}">
                    <c16:uniqueId val="{0000000C-3B16-45B8-89BE-5AE640BDA9C0}"/>
                  </c:ext>
                </c:extLst>
              </c15:ser>
            </c15:filteredAreaSeries>
            <c15:filteredAreaSeries>
              <c15:ser>
                <c:idx val="13"/>
                <c:order val="11"/>
                <c:tx>
                  <c:strRef>
                    <c:extLst xmlns:c15="http://schemas.microsoft.com/office/drawing/2012/chart">
                      <c:ext xmlns:c15="http://schemas.microsoft.com/office/drawing/2012/chart" uri="{02D57815-91ED-43cb-92C2-25804820EDAC}">
                        <c15:formulaRef>
                          <c15:sqref>'Activity data'!$D$16:$F$16</c15:sqref>
                        </c15:formulaRef>
                      </c:ext>
                    </c:extLst>
                    <c:strCache>
                      <c:ptCount val="3"/>
                      <c:pt idx="0">
                        <c:v>Mules &amp; Asses</c:v>
                      </c:pt>
                      <c:pt idx="1">
                        <c:v>Population</c:v>
                      </c:pt>
                      <c:pt idx="2">
                        <c:v>Head</c:v>
                      </c:pt>
                    </c:strCache>
                  </c:strRef>
                </c:tx>
                <c:spPr>
                  <a:solidFill>
                    <a:schemeClr val="accent2">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data'!$H$16:$BP$16</c15:sqref>
                        </c15:formulaRef>
                      </c:ext>
                    </c:extLst>
                    <c:numCache>
                      <c:formatCode>#,##0</c:formatCode>
                      <c:ptCount val="61"/>
                      <c:pt idx="0">
                        <c:v>224000</c:v>
                      </c:pt>
                      <c:pt idx="1">
                        <c:v>224000</c:v>
                      </c:pt>
                      <c:pt idx="2">
                        <c:v>224000</c:v>
                      </c:pt>
                      <c:pt idx="3">
                        <c:v>224000</c:v>
                      </c:pt>
                      <c:pt idx="4">
                        <c:v>224000</c:v>
                      </c:pt>
                      <c:pt idx="5">
                        <c:v>224000</c:v>
                      </c:pt>
                      <c:pt idx="6">
                        <c:v>224000</c:v>
                      </c:pt>
                      <c:pt idx="7">
                        <c:v>224000</c:v>
                      </c:pt>
                      <c:pt idx="8">
                        <c:v>224000</c:v>
                      </c:pt>
                      <c:pt idx="9">
                        <c:v>224000</c:v>
                      </c:pt>
                      <c:pt idx="10">
                        <c:v>164000</c:v>
                      </c:pt>
                      <c:pt idx="11">
                        <c:v>164000</c:v>
                      </c:pt>
                      <c:pt idx="12">
                        <c:v>164000</c:v>
                      </c:pt>
                      <c:pt idx="13">
                        <c:v>164000</c:v>
                      </c:pt>
                      <c:pt idx="14">
                        <c:v>164000</c:v>
                      </c:pt>
                      <c:pt idx="15">
                        <c:v>164000</c:v>
                      </c:pt>
                      <c:pt idx="16">
                        <c:v>164050</c:v>
                      </c:pt>
                      <c:pt idx="17">
                        <c:v>164600</c:v>
                      </c:pt>
                      <c:pt idx="18">
                        <c:v>164700</c:v>
                      </c:pt>
                      <c:pt idx="19">
                        <c:v>164800</c:v>
                      </c:pt>
                      <c:pt idx="20">
                        <c:v>166300</c:v>
                      </c:pt>
                      <c:pt idx="21">
                        <c:v>167000</c:v>
                      </c:pt>
                      <c:pt idx="22">
                        <c:v>167000</c:v>
                      </c:pt>
                      <c:pt idx="23">
                        <c:v>167000</c:v>
                      </c:pt>
                      <c:pt idx="24">
                        <c:v>167000</c:v>
                      </c:pt>
                      <c:pt idx="25">
                        <c:v>167000</c:v>
                      </c:pt>
                      <c:pt idx="26">
                        <c:v>167000</c:v>
                      </c:pt>
                      <c:pt idx="27">
                        <c:v>167000</c:v>
                      </c:pt>
                      <c:pt idx="28">
                        <c:v>167000</c:v>
                      </c:pt>
                      <c:pt idx="29">
                        <c:v>167000</c:v>
                      </c:pt>
                      <c:pt idx="30">
                        <c:v>167000</c:v>
                      </c:pt>
                      <c:pt idx="31">
                        <c:v>167000</c:v>
                      </c:pt>
                      <c:pt idx="32">
                        <c:v>167000</c:v>
                      </c:pt>
                      <c:pt idx="33">
                        <c:v>167000</c:v>
                      </c:pt>
                      <c:pt idx="34">
                        <c:v>167000</c:v>
                      </c:pt>
                      <c:pt idx="35">
                        <c:v>167000</c:v>
                      </c:pt>
                      <c:pt idx="36">
                        <c:v>167000</c:v>
                      </c:pt>
                      <c:pt idx="37">
                        <c:v>167000</c:v>
                      </c:pt>
                      <c:pt idx="38">
                        <c:v>167000</c:v>
                      </c:pt>
                      <c:pt idx="39">
                        <c:v>167000</c:v>
                      </c:pt>
                      <c:pt idx="40">
                        <c:v>167000</c:v>
                      </c:pt>
                      <c:pt idx="41">
                        <c:v>167000</c:v>
                      </c:pt>
                      <c:pt idx="42">
                        <c:v>167000</c:v>
                      </c:pt>
                      <c:pt idx="43">
                        <c:v>167000</c:v>
                      </c:pt>
                      <c:pt idx="44">
                        <c:v>167000</c:v>
                      </c:pt>
                      <c:pt idx="45">
                        <c:v>167000</c:v>
                      </c:pt>
                      <c:pt idx="46">
                        <c:v>167000</c:v>
                      </c:pt>
                      <c:pt idx="47">
                        <c:v>167000</c:v>
                      </c:pt>
                      <c:pt idx="48">
                        <c:v>167000</c:v>
                      </c:pt>
                      <c:pt idx="49">
                        <c:v>167000</c:v>
                      </c:pt>
                      <c:pt idx="50">
                        <c:v>167000</c:v>
                      </c:pt>
                      <c:pt idx="51">
                        <c:v>167000</c:v>
                      </c:pt>
                      <c:pt idx="52">
                        <c:v>167000</c:v>
                      </c:pt>
                      <c:pt idx="53">
                        <c:v>167000</c:v>
                      </c:pt>
                      <c:pt idx="54">
                        <c:v>167000</c:v>
                      </c:pt>
                      <c:pt idx="55">
                        <c:v>167000</c:v>
                      </c:pt>
                      <c:pt idx="56">
                        <c:v>167000</c:v>
                      </c:pt>
                      <c:pt idx="57">
                        <c:v>167000</c:v>
                      </c:pt>
                      <c:pt idx="58">
                        <c:v>167000</c:v>
                      </c:pt>
                      <c:pt idx="59">
                        <c:v>167000</c:v>
                      </c:pt>
                      <c:pt idx="60">
                        <c:v>167000</c:v>
                      </c:pt>
                    </c:numCache>
                  </c:numRef>
                </c:val>
                <c:extLst xmlns:c15="http://schemas.microsoft.com/office/drawing/2012/chart">
                  <c:ext xmlns:c16="http://schemas.microsoft.com/office/drawing/2014/chart" uri="{C3380CC4-5D6E-409C-BE32-E72D297353CC}">
                    <c16:uniqueId val="{0000000D-3B16-45B8-89BE-5AE640BDA9C0}"/>
                  </c:ext>
                </c:extLst>
              </c15:ser>
            </c15:filteredAreaSeries>
            <c15:filteredAreaSeries>
              <c15:ser>
                <c:idx val="14"/>
                <c:order val="12"/>
                <c:tx>
                  <c:strRef>
                    <c:extLst xmlns:c15="http://schemas.microsoft.com/office/drawing/2012/chart">
                      <c:ext xmlns:c15="http://schemas.microsoft.com/office/drawing/2012/chart" uri="{02D57815-91ED-43cb-92C2-25804820EDAC}">
                        <c15:formulaRef>
                          <c15:sqref>'Activity data'!$D$17:$F$17</c15:sqref>
                        </c15:formulaRef>
                      </c:ext>
                    </c:extLst>
                    <c:strCache>
                      <c:ptCount val="3"/>
                      <c:pt idx="0">
                        <c:v>Commercial</c:v>
                      </c:pt>
                      <c:pt idx="1">
                        <c:v>Population</c:v>
                      </c:pt>
                      <c:pt idx="2">
                        <c:v>Head</c:v>
                      </c:pt>
                    </c:strCache>
                  </c:strRef>
                </c:tx>
                <c:spPr>
                  <a:solidFill>
                    <a:schemeClr val="accent3">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data'!$H$17:$BP$17</c15:sqref>
                        </c15:formulaRef>
                      </c:ext>
                    </c:extLst>
                    <c:numCache>
                      <c:formatCode>#,##0</c:formatCode>
                      <c:ptCount val="61"/>
                      <c:pt idx="0">
                        <c:v>1524000</c:v>
                      </c:pt>
                      <c:pt idx="1">
                        <c:v>1665000</c:v>
                      </c:pt>
                      <c:pt idx="2">
                        <c:v>1654000</c:v>
                      </c:pt>
                      <c:pt idx="3">
                        <c:v>1653000</c:v>
                      </c:pt>
                      <c:pt idx="4">
                        <c:v>1570000</c:v>
                      </c:pt>
                      <c:pt idx="5">
                        <c:v>1585000</c:v>
                      </c:pt>
                      <c:pt idx="6">
                        <c:v>1707000</c:v>
                      </c:pt>
                      <c:pt idx="7">
                        <c:v>1699000</c:v>
                      </c:pt>
                      <c:pt idx="8">
                        <c:v>1736000</c:v>
                      </c:pt>
                      <c:pt idx="9">
                        <c:v>1780000</c:v>
                      </c:pt>
                      <c:pt idx="10">
                        <c:v>1647000</c:v>
                      </c:pt>
                      <c:pt idx="11">
                        <c:v>1678000</c:v>
                      </c:pt>
                      <c:pt idx="12">
                        <c:v>1710000</c:v>
                      </c:pt>
                      <c:pt idx="13">
                        <c:v>1663000</c:v>
                      </c:pt>
                      <c:pt idx="14">
                        <c:v>1663000</c:v>
                      </c:pt>
                      <c:pt idx="15">
                        <c:v>1651000</c:v>
                      </c:pt>
                      <c:pt idx="16">
                        <c:v>1622000</c:v>
                      </c:pt>
                      <c:pt idx="17">
                        <c:v>1651000</c:v>
                      </c:pt>
                      <c:pt idx="18">
                        <c:v>1615000</c:v>
                      </c:pt>
                      <c:pt idx="19">
                        <c:v>1613000</c:v>
                      </c:pt>
                      <c:pt idx="20">
                        <c:v>1594000</c:v>
                      </c:pt>
                      <c:pt idx="21">
                        <c:v>1584000</c:v>
                      </c:pt>
                      <c:pt idx="22">
                        <c:v>1668706.6341391769</c:v>
                      </c:pt>
                      <c:pt idx="23">
                        <c:v>1663439.5890291643</c:v>
                      </c:pt>
                      <c:pt idx="24">
                        <c:v>1646021.5105360481</c:v>
                      </c:pt>
                      <c:pt idx="25">
                        <c:v>1612202.0581695586</c:v>
                      </c:pt>
                      <c:pt idx="26">
                        <c:v>1579862.3263952187</c:v>
                      </c:pt>
                      <c:pt idx="27">
                        <c:v>1557175.5891199291</c:v>
                      </c:pt>
                      <c:pt idx="28">
                        <c:v>1537961.8149546264</c:v>
                      </c:pt>
                      <c:pt idx="29">
                        <c:v>1502581.6771722403</c:v>
                      </c:pt>
                      <c:pt idx="30">
                        <c:v>1315396.4760612361</c:v>
                      </c:pt>
                      <c:pt idx="31">
                        <c:v>1323755.2854348691</c:v>
                      </c:pt>
                      <c:pt idx="32">
                        <c:v>1327951.065289777</c:v>
                      </c:pt>
                      <c:pt idx="33">
                        <c:v>1332030.1846082564</c:v>
                      </c:pt>
                      <c:pt idx="34">
                        <c:v>1341993.8516832485</c:v>
                      </c:pt>
                      <c:pt idx="35">
                        <c:v>1351622.5569717193</c:v>
                      </c:pt>
                      <c:pt idx="36">
                        <c:v>1362669.1487958359</c:v>
                      </c:pt>
                      <c:pt idx="37">
                        <c:v>1371941.0880858656</c:v>
                      </c:pt>
                      <c:pt idx="38">
                        <c:v>1383083.8020384752</c:v>
                      </c:pt>
                      <c:pt idx="39">
                        <c:v>1391195.0575322811</c:v>
                      </c:pt>
                      <c:pt idx="40">
                        <c:v>1399727.3880666287</c:v>
                      </c:pt>
                      <c:pt idx="41">
                        <c:v>1415464.7923016609</c:v>
                      </c:pt>
                      <c:pt idx="42">
                        <c:v>1433848.6497403779</c:v>
                      </c:pt>
                      <c:pt idx="43">
                        <c:v>1452872.628530995</c:v>
                      </c:pt>
                      <c:pt idx="44">
                        <c:v>1431491.3732216139</c:v>
                      </c:pt>
                      <c:pt idx="45">
                        <c:v>-482995.86603850994</c:v>
                      </c:pt>
                      <c:pt idx="46">
                        <c:v>-477712.67139265809</c:v>
                      </c:pt>
                      <c:pt idx="47">
                        <c:v>-472542.63526061765</c:v>
                      </c:pt>
                      <c:pt idx="48">
                        <c:v>-467478.35495464271</c:v>
                      </c:pt>
                      <c:pt idx="49">
                        <c:v>-462512.96981262625</c:v>
                      </c:pt>
                      <c:pt idx="50">
                        <c:v>-457640.10878107429</c:v>
                      </c:pt>
                      <c:pt idx="51">
                        <c:v>-452295.55110976769</c:v>
                      </c:pt>
                      <c:pt idx="52">
                        <c:v>-447045.22553647956</c:v>
                      </c:pt>
                      <c:pt idx="53">
                        <c:v>-441883.62847570429</c:v>
                      </c:pt>
                      <c:pt idx="54">
                        <c:v>-436805.61582397495</c:v>
                      </c:pt>
                      <c:pt idx="55">
                        <c:v>-431806.37189970666</c:v>
                      </c:pt>
                      <c:pt idx="56">
                        <c:v>-426358.31520864717</c:v>
                      </c:pt>
                      <c:pt idx="57">
                        <c:v>-420993.47015354381</c:v>
                      </c:pt>
                      <c:pt idx="58">
                        <c:v>-415707.55352686573</c:v>
                      </c:pt>
                      <c:pt idx="59">
                        <c:v>-410496.53518797131</c:v>
                      </c:pt>
                      <c:pt idx="60">
                        <c:v>-405356.61833221326</c:v>
                      </c:pt>
                    </c:numCache>
                  </c:numRef>
                </c:val>
                <c:extLst xmlns:c15="http://schemas.microsoft.com/office/drawing/2012/chart">
                  <c:ext xmlns:c16="http://schemas.microsoft.com/office/drawing/2014/chart" uri="{C3380CC4-5D6E-409C-BE32-E72D297353CC}">
                    <c16:uniqueId val="{0000000E-3B16-45B8-89BE-5AE640BDA9C0}"/>
                  </c:ext>
                </c:extLst>
              </c15:ser>
            </c15:filteredAreaSeries>
            <c15:filteredAreaSeries>
              <c15:ser>
                <c:idx val="15"/>
                <c:order val="13"/>
                <c:tx>
                  <c:strRef>
                    <c:extLst xmlns:c15="http://schemas.microsoft.com/office/drawing/2012/chart">
                      <c:ext xmlns:c15="http://schemas.microsoft.com/office/drawing/2012/chart" uri="{02D57815-91ED-43cb-92C2-25804820EDAC}">
                        <c15:formulaRef>
                          <c15:sqref>'Activity data'!$D$18:$F$18</c15:sqref>
                        </c15:formulaRef>
                      </c:ext>
                    </c:extLst>
                    <c:strCache>
                      <c:ptCount val="3"/>
                      <c:pt idx="0">
                        <c:v>Subsistence</c:v>
                      </c:pt>
                      <c:pt idx="1">
                        <c:v>Population</c:v>
                      </c:pt>
                      <c:pt idx="2">
                        <c:v>Head</c:v>
                      </c:pt>
                    </c:strCache>
                  </c:strRef>
                </c:tx>
                <c:spPr>
                  <a:solidFill>
                    <a:schemeClr val="accent4">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data'!$H$18:$BP$18</c15:sqref>
                        </c15:formulaRef>
                      </c:ext>
                    </c:extLst>
                    <c:numCache>
                      <c:formatCode>#,##0</c:formatCode>
                      <c:ptCount val="61"/>
                      <c:pt idx="0">
                        <c:v>199009.99166888703</c:v>
                      </c:pt>
                      <c:pt idx="1">
                        <c:v>217422.33341778014</c:v>
                      </c:pt>
                      <c:pt idx="2">
                        <c:v>215985.90959339839</c:v>
                      </c:pt>
                      <c:pt idx="3">
                        <c:v>215855.3256093637</c:v>
                      </c:pt>
                      <c:pt idx="4">
                        <c:v>205016.85493448336</c:v>
                      </c:pt>
                      <c:pt idx="5">
                        <c:v>206975.6146950039</c:v>
                      </c:pt>
                      <c:pt idx="6">
                        <c:v>222906.86074723766</c:v>
                      </c:pt>
                      <c:pt idx="7">
                        <c:v>221862.18887496003</c:v>
                      </c:pt>
                      <c:pt idx="8">
                        <c:v>226693.79628424402</c:v>
                      </c:pt>
                      <c:pt idx="9">
                        <c:v>232439.49158177094</c:v>
                      </c:pt>
                      <c:pt idx="10">
                        <c:v>215071.82170515548</c:v>
                      </c:pt>
                      <c:pt idx="11">
                        <c:v>219119.92521023127</c:v>
                      </c:pt>
                      <c:pt idx="12">
                        <c:v>223298.61269934176</c:v>
                      </c:pt>
                      <c:pt idx="13">
                        <c:v>217161.16544971074</c:v>
                      </c:pt>
                      <c:pt idx="14">
                        <c:v>217161.16544971074</c:v>
                      </c:pt>
                      <c:pt idx="15">
                        <c:v>215594.1576412943</c:v>
                      </c:pt>
                      <c:pt idx="16">
                        <c:v>211807.22210428791</c:v>
                      </c:pt>
                      <c:pt idx="17">
                        <c:v>215594.1576412943</c:v>
                      </c:pt>
                      <c:pt idx="18">
                        <c:v>210893.134216045</c:v>
                      </c:pt>
                      <c:pt idx="19">
                        <c:v>210631.96624797559</c:v>
                      </c:pt>
                      <c:pt idx="20">
                        <c:v>208150.87055131624</c:v>
                      </c:pt>
                      <c:pt idx="21">
                        <c:v>206845.03071096921</c:v>
                      </c:pt>
                      <c:pt idx="22">
                        <c:v>227550.90465534228</c:v>
                      </c:pt>
                      <c:pt idx="23">
                        <c:v>226832.67123124967</c:v>
                      </c:pt>
                      <c:pt idx="24">
                        <c:v>224457.47870946111</c:v>
                      </c:pt>
                      <c:pt idx="25">
                        <c:v>219845.73520493979</c:v>
                      </c:pt>
                      <c:pt idx="26">
                        <c:v>215435.77178116617</c:v>
                      </c:pt>
                      <c:pt idx="27">
                        <c:v>212342.12578908124</c:v>
                      </c:pt>
                      <c:pt idx="28">
                        <c:v>209722.06567563087</c:v>
                      </c:pt>
                      <c:pt idx="29">
                        <c:v>204897.50143257822</c:v>
                      </c:pt>
                      <c:pt idx="30">
                        <c:v>179372.24673562311</c:v>
                      </c:pt>
                      <c:pt idx="31">
                        <c:v>180512.08437748213</c:v>
                      </c:pt>
                      <c:pt idx="32">
                        <c:v>181084.23617587867</c:v>
                      </c:pt>
                      <c:pt idx="33">
                        <c:v>181640.47971930768</c:v>
                      </c:pt>
                      <c:pt idx="34">
                        <c:v>182999.16159317023</c:v>
                      </c:pt>
                      <c:pt idx="35">
                        <c:v>184312.16685977991</c:v>
                      </c:pt>
                      <c:pt idx="36">
                        <c:v>185818.52029034126</c:v>
                      </c:pt>
                      <c:pt idx="37">
                        <c:v>187082.87564807257</c:v>
                      </c:pt>
                      <c:pt idx="38">
                        <c:v>188602.33664161025</c:v>
                      </c:pt>
                      <c:pt idx="39">
                        <c:v>189708.41693622014</c:v>
                      </c:pt>
                      <c:pt idx="40">
                        <c:v>190871.91655454028</c:v>
                      </c:pt>
                      <c:pt idx="41">
                        <c:v>193017.92622295374</c:v>
                      </c:pt>
                      <c:pt idx="42">
                        <c:v>195524.81587368788</c:v>
                      </c:pt>
                      <c:pt idx="43">
                        <c:v>198118.99479968112</c:v>
                      </c:pt>
                      <c:pt idx="44">
                        <c:v>195203.36907567462</c:v>
                      </c:pt>
                      <c:pt idx="45">
                        <c:v>-65863.072641614985</c:v>
                      </c:pt>
                      <c:pt idx="46">
                        <c:v>-65142.63700808974</c:v>
                      </c:pt>
                      <c:pt idx="47">
                        <c:v>-64437.632080993317</c:v>
                      </c:pt>
                      <c:pt idx="48">
                        <c:v>-63747.048402905821</c:v>
                      </c:pt>
                      <c:pt idx="49">
                        <c:v>-63069.950428994489</c:v>
                      </c:pt>
                      <c:pt idx="50">
                        <c:v>-62405.469379237402</c:v>
                      </c:pt>
                      <c:pt idx="51">
                        <c:v>-61676.66606042286</c:v>
                      </c:pt>
                      <c:pt idx="52">
                        <c:v>-60960.712573156299</c:v>
                      </c:pt>
                      <c:pt idx="53">
                        <c:v>-60256.858428505126</c:v>
                      </c:pt>
                      <c:pt idx="54">
                        <c:v>-59564.402157814766</c:v>
                      </c:pt>
                      <c:pt idx="55">
                        <c:v>-58882.687077232724</c:v>
                      </c:pt>
                      <c:pt idx="56">
                        <c:v>-58139.770255724608</c:v>
                      </c:pt>
                      <c:pt idx="57">
                        <c:v>-57408.200475483245</c:v>
                      </c:pt>
                      <c:pt idx="58">
                        <c:v>-56687.39366275441</c:v>
                      </c:pt>
                      <c:pt idx="59">
                        <c:v>-55976.800252905174</c:v>
                      </c:pt>
                      <c:pt idx="60">
                        <c:v>-55275.902499847267</c:v>
                      </c:pt>
                    </c:numCache>
                  </c:numRef>
                </c:val>
                <c:extLst xmlns:c15="http://schemas.microsoft.com/office/drawing/2012/chart">
                  <c:ext xmlns:c16="http://schemas.microsoft.com/office/drawing/2014/chart" uri="{C3380CC4-5D6E-409C-BE32-E72D297353CC}">
                    <c16:uniqueId val="{0000000F-3B16-45B8-89BE-5AE640BDA9C0}"/>
                  </c:ext>
                </c:extLst>
              </c15:ser>
            </c15:filteredAreaSeries>
            <c15:filteredAreaSeries>
              <c15:ser>
                <c:idx val="16"/>
                <c:order val="14"/>
                <c:tx>
                  <c:strRef>
                    <c:extLst xmlns:c15="http://schemas.microsoft.com/office/drawing/2012/chart">
                      <c:ext xmlns:c15="http://schemas.microsoft.com/office/drawing/2012/chart" uri="{02D57815-91ED-43cb-92C2-25804820EDAC}">
                        <c15:formulaRef>
                          <c15:sqref>'Activity data'!$D$19:$F$19</c15:sqref>
                        </c15:formulaRef>
                      </c:ext>
                    </c:extLst>
                    <c:strCache>
                      <c:ptCount val="3"/>
                      <c:pt idx="0">
                        <c:v>Commercial layers</c:v>
                      </c:pt>
                      <c:pt idx="1">
                        <c:v>Population</c:v>
                      </c:pt>
                      <c:pt idx="2">
                        <c:v>Head</c:v>
                      </c:pt>
                    </c:strCache>
                  </c:strRef>
                </c:tx>
                <c:spPr>
                  <a:solidFill>
                    <a:schemeClr val="accent5">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data'!$H$19:$BP$19</c15:sqref>
                        </c15:formulaRef>
                      </c:ext>
                    </c:extLst>
                    <c:numCache>
                      <c:formatCode>#,##0</c:formatCode>
                      <c:ptCount val="61"/>
                      <c:pt idx="0">
                        <c:v>14643674.931267885</c:v>
                      </c:pt>
                      <c:pt idx="1">
                        <c:v>14226110.812328145</c:v>
                      </c:pt>
                      <c:pt idx="2">
                        <c:v>13492476.52712371</c:v>
                      </c:pt>
                      <c:pt idx="3">
                        <c:v>13280331.082668224</c:v>
                      </c:pt>
                      <c:pt idx="4">
                        <c:v>12702684.496371185</c:v>
                      </c:pt>
                      <c:pt idx="5">
                        <c:v>13860209.809151115</c:v>
                      </c:pt>
                      <c:pt idx="6">
                        <c:v>14640611.562802857</c:v>
                      </c:pt>
                      <c:pt idx="7">
                        <c:v>14688755.298092401</c:v>
                      </c:pt>
                      <c:pt idx="8">
                        <c:v>16538299.007411262</c:v>
                      </c:pt>
                      <c:pt idx="9">
                        <c:v>17730716.13950536</c:v>
                      </c:pt>
                      <c:pt idx="10">
                        <c:v>17355030.714458548</c:v>
                      </c:pt>
                      <c:pt idx="11">
                        <c:v>17818001.024886843</c:v>
                      </c:pt>
                      <c:pt idx="12">
                        <c:v>17678155.288284503</c:v>
                      </c:pt>
                      <c:pt idx="13">
                        <c:v>16972399.104253348</c:v>
                      </c:pt>
                      <c:pt idx="14">
                        <c:v>17587835.89054852</c:v>
                      </c:pt>
                      <c:pt idx="15">
                        <c:v>18648391.6209228</c:v>
                      </c:pt>
                      <c:pt idx="16">
                        <c:v>20580691.805783488</c:v>
                      </c:pt>
                      <c:pt idx="17">
                        <c:v>22776081.657241259</c:v>
                      </c:pt>
                      <c:pt idx="18">
                        <c:v>23076039.863330547</c:v>
                      </c:pt>
                      <c:pt idx="19">
                        <c:v>22225308.649488669</c:v>
                      </c:pt>
                      <c:pt idx="20">
                        <c:v>23091061.215630483</c:v>
                      </c:pt>
                      <c:pt idx="21">
                        <c:v>24156882.687047753</c:v>
                      </c:pt>
                      <c:pt idx="22">
                        <c:v>23783178.297081485</c:v>
                      </c:pt>
                      <c:pt idx="23">
                        <c:v>24298219.499107163</c:v>
                      </c:pt>
                      <c:pt idx="24">
                        <c:v>24713217.850884736</c:v>
                      </c:pt>
                      <c:pt idx="25">
                        <c:v>24984371.75947506</c:v>
                      </c:pt>
                      <c:pt idx="26">
                        <c:v>25259206.097597122</c:v>
                      </c:pt>
                      <c:pt idx="27">
                        <c:v>25613519.414029963</c:v>
                      </c:pt>
                      <c:pt idx="28">
                        <c:v>25992423.275297467</c:v>
                      </c:pt>
                      <c:pt idx="29">
                        <c:v>26212776.117095202</c:v>
                      </c:pt>
                      <c:pt idx="30">
                        <c:v>24945123.146817725</c:v>
                      </c:pt>
                      <c:pt idx="31">
                        <c:v>25480661.252422262</c:v>
                      </c:pt>
                      <c:pt idx="32">
                        <c:v>25980586.095024668</c:v>
                      </c:pt>
                      <c:pt idx="33">
                        <c:v>26484457.575813033</c:v>
                      </c:pt>
                      <c:pt idx="34">
                        <c:v>27056316.967285138</c:v>
                      </c:pt>
                      <c:pt idx="35">
                        <c:v>27632926.640755821</c:v>
                      </c:pt>
                      <c:pt idx="36">
                        <c:v>28210269.10213688</c:v>
                      </c:pt>
                      <c:pt idx="37">
                        <c:v>28776475.77705837</c:v>
                      </c:pt>
                      <c:pt idx="38">
                        <c:v>29372771.69785786</c:v>
                      </c:pt>
                      <c:pt idx="39">
                        <c:v>29942865.504824247</c:v>
                      </c:pt>
                      <c:pt idx="40">
                        <c:v>30526479.675415944</c:v>
                      </c:pt>
                      <c:pt idx="41">
                        <c:v>31188186.315280803</c:v>
                      </c:pt>
                      <c:pt idx="42">
                        <c:v>31895498.112077314</c:v>
                      </c:pt>
                      <c:pt idx="43">
                        <c:v>32625062.262962099</c:v>
                      </c:pt>
                      <c:pt idx="44">
                        <c:v>32842216.548704859</c:v>
                      </c:pt>
                      <c:pt idx="45">
                        <c:v>7871979.81164575</c:v>
                      </c:pt>
                      <c:pt idx="46">
                        <c:v>7932482.6339800423</c:v>
                      </c:pt>
                      <c:pt idx="47">
                        <c:v>7993425.9629542492</c:v>
                      </c:pt>
                      <c:pt idx="48">
                        <c:v>8054813.1529049575</c:v>
                      </c:pt>
                      <c:pt idx="49">
                        <c:v>8116647.5734013747</c:v>
                      </c:pt>
                      <c:pt idx="50">
                        <c:v>8178932.6102363933</c:v>
                      </c:pt>
                      <c:pt idx="51">
                        <c:v>8232176.8362201471</c:v>
                      </c:pt>
                      <c:pt idx="52">
                        <c:v>8285749.7263312591</c:v>
                      </c:pt>
                      <c:pt idx="53">
                        <c:v>8339653.4169303114</c:v>
                      </c:pt>
                      <c:pt idx="54">
                        <c:v>8393890.0515266806</c:v>
                      </c:pt>
                      <c:pt idx="55">
                        <c:v>8448461.7813392933</c:v>
                      </c:pt>
                      <c:pt idx="56">
                        <c:v>8493613.1761233099</c:v>
                      </c:pt>
                      <c:pt idx="57">
                        <c:v>8538993.3104170654</c:v>
                      </c:pt>
                      <c:pt idx="58">
                        <c:v>8584603.4248753432</c:v>
                      </c:pt>
                      <c:pt idx="59">
                        <c:v>8630444.7622401342</c:v>
                      </c:pt>
                      <c:pt idx="60">
                        <c:v>8676518.5676753148</c:v>
                      </c:pt>
                    </c:numCache>
                  </c:numRef>
                </c:val>
                <c:extLst xmlns:c15="http://schemas.microsoft.com/office/drawing/2012/chart">
                  <c:ext xmlns:c16="http://schemas.microsoft.com/office/drawing/2014/chart" uri="{C3380CC4-5D6E-409C-BE32-E72D297353CC}">
                    <c16:uniqueId val="{00000010-3B16-45B8-89BE-5AE640BDA9C0}"/>
                  </c:ext>
                </c:extLst>
              </c15:ser>
            </c15:filteredAreaSeries>
            <c15:filteredAreaSeries>
              <c15:ser>
                <c:idx val="17"/>
                <c:order val="15"/>
                <c:tx>
                  <c:strRef>
                    <c:extLst xmlns:c15="http://schemas.microsoft.com/office/drawing/2012/chart">
                      <c:ext xmlns:c15="http://schemas.microsoft.com/office/drawing/2012/chart" uri="{02D57815-91ED-43cb-92C2-25804820EDAC}">
                        <c15:formulaRef>
                          <c15:sqref>'Activity data'!$D$20:$F$20</c15:sqref>
                        </c15:formulaRef>
                      </c:ext>
                    </c:extLst>
                    <c:strCache>
                      <c:ptCount val="3"/>
                      <c:pt idx="0">
                        <c:v>Commercial broilers</c:v>
                      </c:pt>
                      <c:pt idx="1">
                        <c:v>Population</c:v>
                      </c:pt>
                      <c:pt idx="2">
                        <c:v>Head</c:v>
                      </c:pt>
                    </c:strCache>
                  </c:strRef>
                </c:tx>
                <c:spPr>
                  <a:solidFill>
                    <a:schemeClr val="accent6">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data'!$H$20:$BP$20</c15:sqref>
                        </c15:formulaRef>
                      </c:ext>
                    </c:extLst>
                    <c:numCache>
                      <c:formatCode>#,##0</c:formatCode>
                      <c:ptCount val="61"/>
                      <c:pt idx="0">
                        <c:v>40304488.125775687</c:v>
                      </c:pt>
                      <c:pt idx="1">
                        <c:v>37886218.887128815</c:v>
                      </c:pt>
                      <c:pt idx="2">
                        <c:v>35805187.036307976</c:v>
                      </c:pt>
                      <c:pt idx="3">
                        <c:v>40268107.368938237</c:v>
                      </c:pt>
                      <c:pt idx="4">
                        <c:v>39890443.299430735</c:v>
                      </c:pt>
                      <c:pt idx="5">
                        <c:v>45660443.796231762</c:v>
                      </c:pt>
                      <c:pt idx="6">
                        <c:v>53091326.838711366</c:v>
                      </c:pt>
                      <c:pt idx="7">
                        <c:v>54040901.985378392</c:v>
                      </c:pt>
                      <c:pt idx="8">
                        <c:v>59214394.697576575</c:v>
                      </c:pt>
                      <c:pt idx="9">
                        <c:v>61819163.842046939</c:v>
                      </c:pt>
                      <c:pt idx="10">
                        <c:v>66512864.907880791</c:v>
                      </c:pt>
                      <c:pt idx="11">
                        <c:v>64225159.968942329</c:v>
                      </c:pt>
                      <c:pt idx="12">
                        <c:v>71182309.580183759</c:v>
                      </c:pt>
                      <c:pt idx="13">
                        <c:v>67705122.244331256</c:v>
                      </c:pt>
                      <c:pt idx="14">
                        <c:v>69339582.95804137</c:v>
                      </c:pt>
                      <c:pt idx="15">
                        <c:v>76722494.212373629</c:v>
                      </c:pt>
                      <c:pt idx="16">
                        <c:v>82061878.307196394</c:v>
                      </c:pt>
                      <c:pt idx="17">
                        <c:v>85859218.536646262</c:v>
                      </c:pt>
                      <c:pt idx="18">
                        <c:v>91416754.470852047</c:v>
                      </c:pt>
                      <c:pt idx="19">
                        <c:v>86261715.79298</c:v>
                      </c:pt>
                      <c:pt idx="20">
                        <c:v>88431266.728296682</c:v>
                      </c:pt>
                      <c:pt idx="21">
                        <c:v>91461113.859690607</c:v>
                      </c:pt>
                      <c:pt idx="22">
                        <c:v>95145235.116061851</c:v>
                      </c:pt>
                      <c:pt idx="23">
                        <c:v>96689217.199123114</c:v>
                      </c:pt>
                      <c:pt idx="24">
                        <c:v>97147657.719454721</c:v>
                      </c:pt>
                      <c:pt idx="25">
                        <c:v>96120027.522461593</c:v>
                      </c:pt>
                      <c:pt idx="26">
                        <c:v>95094603.80396679</c:v>
                      </c:pt>
                      <c:pt idx="27">
                        <c:v>94797066.893859491</c:v>
                      </c:pt>
                      <c:pt idx="28">
                        <c:v>94735085.059626624</c:v>
                      </c:pt>
                      <c:pt idx="29">
                        <c:v>93154876.199089095</c:v>
                      </c:pt>
                      <c:pt idx="30">
                        <c:v>77620718.516957879</c:v>
                      </c:pt>
                      <c:pt idx="31">
                        <c:v>79910336.111540973</c:v>
                      </c:pt>
                      <c:pt idx="32">
                        <c:v>81824148.905803218</c:v>
                      </c:pt>
                      <c:pt idx="33">
                        <c:v>83733318.061702609</c:v>
                      </c:pt>
                      <c:pt idx="34">
                        <c:v>86217207.440833971</c:v>
                      </c:pt>
                      <c:pt idx="35">
                        <c:v>88693640.96405369</c:v>
                      </c:pt>
                      <c:pt idx="36">
                        <c:v>91412599.964942068</c:v>
                      </c:pt>
                      <c:pt idx="37">
                        <c:v>93986379.71127595</c:v>
                      </c:pt>
                      <c:pt idx="38">
                        <c:v>96779654.819194913</c:v>
                      </c:pt>
                      <c:pt idx="39">
                        <c:v>99298288.39689447</c:v>
                      </c:pt>
                      <c:pt idx="40">
                        <c:v>101891293.13091554</c:v>
                      </c:pt>
                      <c:pt idx="41">
                        <c:v>105337208.21587059</c:v>
                      </c:pt>
                      <c:pt idx="42">
                        <c:v>109120385.45718028</c:v>
                      </c:pt>
                      <c:pt idx="43">
                        <c:v>113036993.1020368</c:v>
                      </c:pt>
                      <c:pt idx="44">
                        <c:v>112600852.85300086</c:v>
                      </c:pt>
                      <c:pt idx="45">
                        <c:v>-97653277.827072814</c:v>
                      </c:pt>
                      <c:pt idx="46">
                        <c:v>-97793194.976813674</c:v>
                      </c:pt>
                      <c:pt idx="47">
                        <c:v>-97944952.152236551</c:v>
                      </c:pt>
                      <c:pt idx="48">
                        <c:v>-98108055.245295197</c:v>
                      </c:pt>
                      <c:pt idx="49">
                        <c:v>-98282048.526509702</c:v>
                      </c:pt>
                      <c:pt idx="50">
                        <c:v>-98466510.958362281</c:v>
                      </c:pt>
                      <c:pt idx="51">
                        <c:v>-98542432.406339645</c:v>
                      </c:pt>
                      <c:pt idx="52">
                        <c:v>-98627868.999730736</c:v>
                      </c:pt>
                      <c:pt idx="53">
                        <c:v>-98722451.270283803</c:v>
                      </c:pt>
                      <c:pt idx="54">
                        <c:v>-98825835.119007304</c:v>
                      </c:pt>
                      <c:pt idx="55">
                        <c:v>-98937699.636271372</c:v>
                      </c:pt>
                      <c:pt idx="56">
                        <c:v>-98939277.213236853</c:v>
                      </c:pt>
                      <c:pt idx="57">
                        <c:v>-98948708.62186639</c:v>
                      </c:pt>
                      <c:pt idx="58">
                        <c:v>-98965703.485359997</c:v>
                      </c:pt>
                      <c:pt idx="59">
                        <c:v>-98989989.216038346</c:v>
                      </c:pt>
                      <c:pt idx="60">
                        <c:v>-99021309.633695453</c:v>
                      </c:pt>
                    </c:numCache>
                  </c:numRef>
                </c:val>
                <c:extLst xmlns:c15="http://schemas.microsoft.com/office/drawing/2012/chart">
                  <c:ext xmlns:c16="http://schemas.microsoft.com/office/drawing/2014/chart" uri="{C3380CC4-5D6E-409C-BE32-E72D297353CC}">
                    <c16:uniqueId val="{00000011-3B16-45B8-89BE-5AE640BDA9C0}"/>
                  </c:ext>
                </c:extLst>
              </c15:ser>
            </c15:filteredAreaSeries>
            <c15:filteredAreaSeries>
              <c15:ser>
                <c:idx val="18"/>
                <c:order val="16"/>
                <c:tx>
                  <c:strRef>
                    <c:extLst xmlns:c15="http://schemas.microsoft.com/office/drawing/2012/chart">
                      <c:ext xmlns:c15="http://schemas.microsoft.com/office/drawing/2012/chart" uri="{02D57815-91ED-43cb-92C2-25804820EDAC}">
                        <c15:formulaRef>
                          <c15:sqref>'Activity data'!$D$21:$F$21</c15:sqref>
                        </c15:formulaRef>
                      </c:ext>
                    </c:extLst>
                    <c:strCache>
                      <c:ptCount val="3"/>
                      <c:pt idx="0">
                        <c:v>Subsistence layers</c:v>
                      </c:pt>
                      <c:pt idx="1">
                        <c:v>Population</c:v>
                      </c:pt>
                      <c:pt idx="2">
                        <c:v>Head</c:v>
                      </c:pt>
                    </c:strCache>
                  </c:strRef>
                </c:tx>
                <c:spPr>
                  <a:solidFill>
                    <a:schemeClr val="accent1">
                      <a:lumMod val="8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data'!$H$21:$BP$21</c15:sqref>
                        </c15:formulaRef>
                      </c:ext>
                    </c:extLst>
                    <c:numCache>
                      <c:formatCode>#,##0</c:formatCode>
                      <c:ptCount val="61"/>
                      <c:pt idx="0">
                        <c:v>615034.34711325122</c:v>
                      </c:pt>
                      <c:pt idx="1">
                        <c:v>597496.65411778213</c:v>
                      </c:pt>
                      <c:pt idx="2">
                        <c:v>566684.0141391959</c:v>
                      </c:pt>
                      <c:pt idx="3">
                        <c:v>557773.90547206544</c:v>
                      </c:pt>
                      <c:pt idx="4">
                        <c:v>533512.74884758983</c:v>
                      </c:pt>
                      <c:pt idx="5">
                        <c:v>582128.81198434683</c:v>
                      </c:pt>
                      <c:pt idx="6">
                        <c:v>614905.68563772005</c:v>
                      </c:pt>
                      <c:pt idx="7">
                        <c:v>616927.72251988086</c:v>
                      </c:pt>
                      <c:pt idx="8">
                        <c:v>694608.55831127299</c:v>
                      </c:pt>
                      <c:pt idx="9">
                        <c:v>744690.07785922522</c:v>
                      </c:pt>
                      <c:pt idx="10">
                        <c:v>728911.290007259</c:v>
                      </c:pt>
                      <c:pt idx="11">
                        <c:v>748356.04304524744</c:v>
                      </c:pt>
                      <c:pt idx="12">
                        <c:v>742482.52210794913</c:v>
                      </c:pt>
                      <c:pt idx="13">
                        <c:v>712840.76237864071</c:v>
                      </c:pt>
                      <c:pt idx="14">
                        <c:v>738689.10740303784</c:v>
                      </c:pt>
                      <c:pt idx="15">
                        <c:v>783232.44807875762</c:v>
                      </c:pt>
                      <c:pt idx="16">
                        <c:v>864389.05584290659</c:v>
                      </c:pt>
                      <c:pt idx="17">
                        <c:v>956595.42960413289</c:v>
                      </c:pt>
                      <c:pt idx="18">
                        <c:v>969193.674259883</c:v>
                      </c:pt>
                      <c:pt idx="19">
                        <c:v>933462.96327852411</c:v>
                      </c:pt>
                      <c:pt idx="20">
                        <c:v>969824.57105648029</c:v>
                      </c:pt>
                      <c:pt idx="21">
                        <c:v>1014589.0728560057</c:v>
                      </c:pt>
                      <c:pt idx="22">
                        <c:v>990965.76237839612</c:v>
                      </c:pt>
                      <c:pt idx="23">
                        <c:v>1012425.8124627994</c:v>
                      </c:pt>
                      <c:pt idx="24">
                        <c:v>1029717.4104535317</c:v>
                      </c:pt>
                      <c:pt idx="25">
                        <c:v>1041015.4899781285</c:v>
                      </c:pt>
                      <c:pt idx="26">
                        <c:v>1052466.9207332144</c:v>
                      </c:pt>
                      <c:pt idx="27">
                        <c:v>1067229.9755845827</c:v>
                      </c:pt>
                      <c:pt idx="28">
                        <c:v>1083017.6364707288</c:v>
                      </c:pt>
                      <c:pt idx="29">
                        <c:v>1092199.0048789678</c:v>
                      </c:pt>
                      <c:pt idx="30">
                        <c:v>1039380.1311174062</c:v>
                      </c:pt>
                      <c:pt idx="31">
                        <c:v>1061694.2188509286</c:v>
                      </c:pt>
                      <c:pt idx="32">
                        <c:v>1082524.4206260289</c:v>
                      </c:pt>
                      <c:pt idx="33">
                        <c:v>1103519.0656588774</c:v>
                      </c:pt>
                      <c:pt idx="34">
                        <c:v>1127346.5403035483</c:v>
                      </c:pt>
                      <c:pt idx="35">
                        <c:v>1151371.943364827</c:v>
                      </c:pt>
                      <c:pt idx="36">
                        <c:v>1175427.8792557043</c:v>
                      </c:pt>
                      <c:pt idx="37">
                        <c:v>1199019.8240441</c:v>
                      </c:pt>
                      <c:pt idx="38">
                        <c:v>1223865.4874107454</c:v>
                      </c:pt>
                      <c:pt idx="39">
                        <c:v>1247619.3960343448</c:v>
                      </c:pt>
                      <c:pt idx="40">
                        <c:v>1271936.6531423323</c:v>
                      </c:pt>
                      <c:pt idx="41">
                        <c:v>1299507.7631367012</c:v>
                      </c:pt>
                      <c:pt idx="42">
                        <c:v>1328979.0880032226</c:v>
                      </c:pt>
                      <c:pt idx="43">
                        <c:v>1359377.5942900886</c:v>
                      </c:pt>
                      <c:pt idx="44">
                        <c:v>1368425.6895293703</c:v>
                      </c:pt>
                      <c:pt idx="45">
                        <c:v>327999.15881857323</c:v>
                      </c:pt>
                      <c:pt idx="46">
                        <c:v>330520.10974916874</c:v>
                      </c:pt>
                      <c:pt idx="47">
                        <c:v>333059.41512309405</c:v>
                      </c:pt>
                      <c:pt idx="48">
                        <c:v>335617.21470437356</c:v>
                      </c:pt>
                      <c:pt idx="49">
                        <c:v>338193.6488917243</c:v>
                      </c:pt>
                      <c:pt idx="50">
                        <c:v>340788.85875985003</c:v>
                      </c:pt>
                      <c:pt idx="51">
                        <c:v>343007.36817583977</c:v>
                      </c:pt>
                      <c:pt idx="52">
                        <c:v>345239.57193046942</c:v>
                      </c:pt>
                      <c:pt idx="53">
                        <c:v>347485.55903876328</c:v>
                      </c:pt>
                      <c:pt idx="54">
                        <c:v>349745.41881361202</c:v>
                      </c:pt>
                      <c:pt idx="55">
                        <c:v>352019.24088913755</c:v>
                      </c:pt>
                      <c:pt idx="56">
                        <c:v>353900.54900513822</c:v>
                      </c:pt>
                      <c:pt idx="57">
                        <c:v>355791.3879340447</c:v>
                      </c:pt>
                      <c:pt idx="58">
                        <c:v>357691.80936980632</c:v>
                      </c:pt>
                      <c:pt idx="59">
                        <c:v>359601.86509333923</c:v>
                      </c:pt>
                      <c:pt idx="60">
                        <c:v>361521.6069864718</c:v>
                      </c:pt>
                    </c:numCache>
                  </c:numRef>
                </c:val>
                <c:extLst xmlns:c15="http://schemas.microsoft.com/office/drawing/2012/chart">
                  <c:ext xmlns:c16="http://schemas.microsoft.com/office/drawing/2014/chart" uri="{C3380CC4-5D6E-409C-BE32-E72D297353CC}">
                    <c16:uniqueId val="{00000012-3B16-45B8-89BE-5AE640BDA9C0}"/>
                  </c:ext>
                </c:extLst>
              </c15:ser>
            </c15:filteredAreaSeries>
            <c15:filteredAreaSeries>
              <c15:ser>
                <c:idx val="19"/>
                <c:order val="17"/>
                <c:tx>
                  <c:strRef>
                    <c:extLst xmlns:c15="http://schemas.microsoft.com/office/drawing/2012/chart">
                      <c:ext xmlns:c15="http://schemas.microsoft.com/office/drawing/2012/chart" uri="{02D57815-91ED-43cb-92C2-25804820EDAC}">
                        <c15:formulaRef>
                          <c15:sqref>'Activity data'!$D$22:$F$22</c15:sqref>
                        </c15:formulaRef>
                      </c:ext>
                    </c:extLst>
                    <c:strCache>
                      <c:ptCount val="3"/>
                      <c:pt idx="0">
                        <c:v>Subsistence broilers</c:v>
                      </c:pt>
                      <c:pt idx="1">
                        <c:v>Population</c:v>
                      </c:pt>
                      <c:pt idx="2">
                        <c:v>Head</c:v>
                      </c:pt>
                    </c:strCache>
                  </c:strRef>
                </c:tx>
                <c:spPr>
                  <a:solidFill>
                    <a:schemeClr val="accent2">
                      <a:lumMod val="8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data'!$H$22:$BP$22</c15:sqref>
                        </c15:formulaRef>
                      </c:ext>
                    </c:extLst>
                    <c:numCache>
                      <c:formatCode>#,##0</c:formatCode>
                      <c:ptCount val="61"/>
                      <c:pt idx="0">
                        <c:v>1692788.501282579</c:v>
                      </c:pt>
                      <c:pt idx="1">
                        <c:v>1591221.1932594103</c:v>
                      </c:pt>
                      <c:pt idx="2">
                        <c:v>1503817.8555249351</c:v>
                      </c:pt>
                      <c:pt idx="3">
                        <c:v>1691260.5094954062</c:v>
                      </c:pt>
                      <c:pt idx="4">
                        <c:v>1675398.618576091</c:v>
                      </c:pt>
                      <c:pt idx="5">
                        <c:v>1917738.6394417342</c:v>
                      </c:pt>
                      <c:pt idx="6">
                        <c:v>2229835.7272258773</c:v>
                      </c:pt>
                      <c:pt idx="7">
                        <c:v>2269717.8833858925</c:v>
                      </c:pt>
                      <c:pt idx="8">
                        <c:v>2487004.5772982165</c:v>
                      </c:pt>
                      <c:pt idx="9">
                        <c:v>2596404.8813659716</c:v>
                      </c:pt>
                      <c:pt idx="10">
                        <c:v>2793540.3261309932</c:v>
                      </c:pt>
                      <c:pt idx="11">
                        <c:v>2697456.7186955782</c:v>
                      </c:pt>
                      <c:pt idx="12">
                        <c:v>2989657.0023677181</c:v>
                      </c:pt>
                      <c:pt idx="13">
                        <c:v>2843615.1342619131</c:v>
                      </c:pt>
                      <c:pt idx="14">
                        <c:v>2912262.4842377375</c:v>
                      </c:pt>
                      <c:pt idx="15">
                        <c:v>3222344.7569196927</c:v>
                      </c:pt>
                      <c:pt idx="16">
                        <c:v>3446598.8889022488</c:v>
                      </c:pt>
                      <c:pt idx="17">
                        <c:v>3606087.1785391434</c:v>
                      </c:pt>
                      <c:pt idx="18">
                        <c:v>3839503.687775786</c:v>
                      </c:pt>
                      <c:pt idx="19">
                        <c:v>3622992.06330516</c:v>
                      </c:pt>
                      <c:pt idx="20">
                        <c:v>3714113.2025884609</c:v>
                      </c:pt>
                      <c:pt idx="21">
                        <c:v>3841366.7821070058</c:v>
                      </c:pt>
                      <c:pt idx="22">
                        <c:v>3964384.7965025804</c:v>
                      </c:pt>
                      <c:pt idx="23">
                        <c:v>4028717.3832968003</c:v>
                      </c:pt>
                      <c:pt idx="24">
                        <c:v>4047819.0716439504</c:v>
                      </c:pt>
                      <c:pt idx="25">
                        <c:v>4005001.1467692368</c:v>
                      </c:pt>
                      <c:pt idx="26">
                        <c:v>3962275.1584986197</c:v>
                      </c:pt>
                      <c:pt idx="27">
                        <c:v>3949877.7872441495</c:v>
                      </c:pt>
                      <c:pt idx="28">
                        <c:v>3947295.2108177799</c:v>
                      </c:pt>
                      <c:pt idx="29">
                        <c:v>3881453.1749620489</c:v>
                      </c:pt>
                      <c:pt idx="30">
                        <c:v>3234196.6048732484</c:v>
                      </c:pt>
                      <c:pt idx="31">
                        <c:v>3329597.3379808771</c:v>
                      </c:pt>
                      <c:pt idx="32">
                        <c:v>3409339.537741804</c:v>
                      </c:pt>
                      <c:pt idx="33">
                        <c:v>3488888.2525709453</c:v>
                      </c:pt>
                      <c:pt idx="34">
                        <c:v>3592383.6433680854</c:v>
                      </c:pt>
                      <c:pt idx="35">
                        <c:v>3695568.3735022405</c:v>
                      </c:pt>
                      <c:pt idx="36">
                        <c:v>3808858.3318725894</c:v>
                      </c:pt>
                      <c:pt idx="37">
                        <c:v>3916099.1546365018</c:v>
                      </c:pt>
                      <c:pt idx="38">
                        <c:v>4032485.6174664586</c:v>
                      </c:pt>
                      <c:pt idx="39">
                        <c:v>4137428.6832039398</c:v>
                      </c:pt>
                      <c:pt idx="40">
                        <c:v>4245470.5471214848</c:v>
                      </c:pt>
                      <c:pt idx="41">
                        <c:v>4389050.3423279459</c:v>
                      </c:pt>
                      <c:pt idx="42">
                        <c:v>4546682.7273825156</c:v>
                      </c:pt>
                      <c:pt idx="43">
                        <c:v>4709874.7125848709</c:v>
                      </c:pt>
                      <c:pt idx="44">
                        <c:v>4691702.2022083737</c:v>
                      </c:pt>
                      <c:pt idx="45">
                        <c:v>-4068886.5761280376</c:v>
                      </c:pt>
                      <c:pt idx="46">
                        <c:v>-4074716.4573672405</c:v>
                      </c:pt>
                      <c:pt idx="47">
                        <c:v>-4081039.6730098599</c:v>
                      </c:pt>
                      <c:pt idx="48">
                        <c:v>-4087835.6352206366</c:v>
                      </c:pt>
                      <c:pt idx="49">
                        <c:v>-4095085.3552712412</c:v>
                      </c:pt>
                      <c:pt idx="50">
                        <c:v>-4102771.2899317653</c:v>
                      </c:pt>
                      <c:pt idx="51">
                        <c:v>-4105934.6835974893</c:v>
                      </c:pt>
                      <c:pt idx="52">
                        <c:v>-4109494.5416554511</c:v>
                      </c:pt>
                      <c:pt idx="53">
                        <c:v>-4113435.4695951622</c:v>
                      </c:pt>
                      <c:pt idx="54">
                        <c:v>-4117743.1299586417</c:v>
                      </c:pt>
                      <c:pt idx="55">
                        <c:v>-4122404.1515113111</c:v>
                      </c:pt>
                      <c:pt idx="56">
                        <c:v>-4122469.8838848728</c:v>
                      </c:pt>
                      <c:pt idx="57">
                        <c:v>-4122862.8592444365</c:v>
                      </c:pt>
                      <c:pt idx="58">
                        <c:v>-4123570.9785566702</c:v>
                      </c:pt>
                      <c:pt idx="59">
                        <c:v>-4124582.8840016015</c:v>
                      </c:pt>
                      <c:pt idx="60">
                        <c:v>-4125887.9014039808</c:v>
                      </c:pt>
                    </c:numCache>
                  </c:numRef>
                </c:val>
                <c:extLst xmlns:c15="http://schemas.microsoft.com/office/drawing/2012/chart">
                  <c:ext xmlns:c16="http://schemas.microsoft.com/office/drawing/2014/chart" uri="{C3380CC4-5D6E-409C-BE32-E72D297353CC}">
                    <c16:uniqueId val="{00000013-3B16-45B8-89BE-5AE640BDA9C0}"/>
                  </c:ext>
                </c:extLst>
              </c15:ser>
            </c15:filteredAreaSeries>
          </c:ext>
        </c:extLst>
      </c:areaChart>
      <c:catAx>
        <c:axId val="789136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59823"/>
        <c:crosses val="autoZero"/>
        <c:auto val="1"/>
        <c:lblAlgn val="ctr"/>
        <c:lblOffset val="100"/>
        <c:noMultiLvlLbl val="0"/>
      </c:catAx>
      <c:valAx>
        <c:axId val="78915982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36943"/>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EF!$O$23</c:f>
              <c:strCache>
                <c:ptCount val="1"/>
                <c:pt idx="0">
                  <c:v>Ym (%)</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EF!$N$24:$N$37</c:f>
              <c:numCache>
                <c:formatCode>General</c:formatCode>
                <c:ptCount val="14"/>
                <c:pt idx="0">
                  <c:v>21.549865229110516</c:v>
                </c:pt>
                <c:pt idx="1">
                  <c:v>16.576819407008088</c:v>
                </c:pt>
                <c:pt idx="2">
                  <c:v>13.26145552560647</c:v>
                </c:pt>
                <c:pt idx="3">
                  <c:v>9.9460916442048521</c:v>
                </c:pt>
                <c:pt idx="4">
                  <c:v>6.6307277628032333</c:v>
                </c:pt>
                <c:pt idx="5">
                  <c:v>3.3153638814016171</c:v>
                </c:pt>
                <c:pt idx="6">
                  <c:v>19.892183288409704</c:v>
                </c:pt>
                <c:pt idx="7">
                  <c:v>16.576819407008085</c:v>
                </c:pt>
                <c:pt idx="8">
                  <c:v>13.26145552560647</c:v>
                </c:pt>
                <c:pt idx="9">
                  <c:v>9.9460916442048521</c:v>
                </c:pt>
                <c:pt idx="10">
                  <c:v>6.6307277628032342</c:v>
                </c:pt>
                <c:pt idx="11">
                  <c:v>6.6307277628032342</c:v>
                </c:pt>
                <c:pt idx="12">
                  <c:v>19.892183288409701</c:v>
                </c:pt>
                <c:pt idx="13">
                  <c:v>16.576819407008088</c:v>
                </c:pt>
              </c:numCache>
            </c:numRef>
          </c:xVal>
          <c:yVal>
            <c:numRef>
              <c:f>EF!$O$24:$O$37</c:f>
              <c:numCache>
                <c:formatCode>General</c:formatCode>
                <c:ptCount val="14"/>
                <c:pt idx="0">
                  <c:v>6.5</c:v>
                </c:pt>
                <c:pt idx="1">
                  <c:v>5</c:v>
                </c:pt>
                <c:pt idx="2">
                  <c:v>4</c:v>
                </c:pt>
                <c:pt idx="3">
                  <c:v>3</c:v>
                </c:pt>
                <c:pt idx="4">
                  <c:v>2</c:v>
                </c:pt>
                <c:pt idx="5">
                  <c:v>1</c:v>
                </c:pt>
                <c:pt idx="6">
                  <c:v>6</c:v>
                </c:pt>
                <c:pt idx="7">
                  <c:v>5</c:v>
                </c:pt>
                <c:pt idx="8">
                  <c:v>4</c:v>
                </c:pt>
                <c:pt idx="9">
                  <c:v>3</c:v>
                </c:pt>
                <c:pt idx="10">
                  <c:v>2</c:v>
                </c:pt>
                <c:pt idx="11">
                  <c:v>2</c:v>
                </c:pt>
                <c:pt idx="12">
                  <c:v>6</c:v>
                </c:pt>
                <c:pt idx="13">
                  <c:v>5</c:v>
                </c:pt>
              </c:numCache>
            </c:numRef>
          </c:yVal>
          <c:smooth val="0"/>
          <c:extLst>
            <c:ext xmlns:c16="http://schemas.microsoft.com/office/drawing/2014/chart" uri="{C3380CC4-5D6E-409C-BE32-E72D297353CC}">
              <c16:uniqueId val="{00000000-6960-4811-8BD2-411128525985}"/>
            </c:ext>
          </c:extLst>
        </c:ser>
        <c:dLbls>
          <c:showLegendKey val="0"/>
          <c:showVal val="0"/>
          <c:showCatName val="0"/>
          <c:showSerName val="0"/>
          <c:showPercent val="0"/>
          <c:showBubbleSize val="0"/>
        </c:dLbls>
        <c:axId val="2123228848"/>
        <c:axId val="2123229680"/>
      </c:scatterChart>
      <c:valAx>
        <c:axId val="21232288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3229680"/>
        <c:crosses val="autoZero"/>
        <c:crossBetween val="midCat"/>
      </c:valAx>
      <c:valAx>
        <c:axId val="2123229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32288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'Emissions summary'!$C$58</c:f>
              <c:strCache>
                <c:ptCount val="1"/>
                <c:pt idx="0">
                  <c:v>Enteric</c:v>
                </c:pt>
              </c:strCache>
            </c:strRef>
          </c:tx>
          <c:spPr>
            <a:solidFill>
              <a:schemeClr val="accent1"/>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summary'!$F$58:$BN$58</c15:sqref>
                  </c15:fullRef>
                </c:ext>
              </c:extLst>
              <c:f>'Emissions summary'!$P$58:$BN$58</c:f>
              <c:numCache>
                <c:formatCode>General</c:formatCode>
                <c:ptCount val="51"/>
                <c:pt idx="0">
                  <c:v>25777.048269375533</c:v>
                </c:pt>
                <c:pt idx="1">
                  <c:v>25591.757983541553</c:v>
                </c:pt>
                <c:pt idx="2">
                  <c:v>25147.122199522513</c:v>
                </c:pt>
                <c:pt idx="3">
                  <c:v>25249.466602835961</c:v>
                </c:pt>
                <c:pt idx="4">
                  <c:v>25051.703011381145</c:v>
                </c:pt>
                <c:pt idx="5">
                  <c:v>25106.486522987332</c:v>
                </c:pt>
                <c:pt idx="6">
                  <c:v>25009.71607093593</c:v>
                </c:pt>
                <c:pt idx="7">
                  <c:v>25554.935614001963</c:v>
                </c:pt>
                <c:pt idx="8">
                  <c:v>25721.077232963253</c:v>
                </c:pt>
                <c:pt idx="9">
                  <c:v>25553.033374236744</c:v>
                </c:pt>
                <c:pt idx="10">
                  <c:v>25338.814721466922</c:v>
                </c:pt>
                <c:pt idx="11">
                  <c:v>25260.558978491663</c:v>
                </c:pt>
                <c:pt idx="12">
                  <c:v>24752.854117901919</c:v>
                </c:pt>
                <c:pt idx="13">
                  <c:v>24690.701530842045</c:v>
                </c:pt>
                <c:pt idx="14">
                  <c:v>24496.272701657097</c:v>
                </c:pt>
                <c:pt idx="15">
                  <c:v>24126.089928992173</c:v>
                </c:pt>
                <c:pt idx="16">
                  <c:v>23771.872225696912</c:v>
                </c:pt>
                <c:pt idx="17">
                  <c:v>23520.073026651728</c:v>
                </c:pt>
                <c:pt idx="18">
                  <c:v>23301.855529161516</c:v>
                </c:pt>
                <c:pt idx="19">
                  <c:v>22912.428573386427</c:v>
                </c:pt>
                <c:pt idx="20">
                  <c:v>20946.758314482198</c:v>
                </c:pt>
                <c:pt idx="21">
                  <c:v>21127.92048043212</c:v>
                </c:pt>
                <c:pt idx="22">
                  <c:v>21266.186303300943</c:v>
                </c:pt>
                <c:pt idx="23">
                  <c:v>21403.571119144526</c:v>
                </c:pt>
                <c:pt idx="24">
                  <c:v>21603.447512526178</c:v>
                </c:pt>
                <c:pt idx="25">
                  <c:v>21800.668001102862</c:v>
                </c:pt>
                <c:pt idx="26">
                  <c:v>22000.591345041223</c:v>
                </c:pt>
                <c:pt idx="27">
                  <c:v>22182.593875265629</c:v>
                </c:pt>
                <c:pt idx="28">
                  <c:v>22385.569417927294</c:v>
                </c:pt>
                <c:pt idx="29">
                  <c:v>22556.992840276263</c:v>
                </c:pt>
                <c:pt idx="30">
                  <c:v>22733.82599989614</c:v>
                </c:pt>
                <c:pt idx="31">
                  <c:v>22863.158249547294</c:v>
                </c:pt>
                <c:pt idx="32">
                  <c:v>23017.737978597204</c:v>
                </c:pt>
                <c:pt idx="33">
                  <c:v>23175.719642778968</c:v>
                </c:pt>
                <c:pt idx="34">
                  <c:v>22899.697121200192</c:v>
                </c:pt>
                <c:pt idx="35">
                  <c:v>2537.4086067226303</c:v>
                </c:pt>
                <c:pt idx="36">
                  <c:v>2616.4465754690132</c:v>
                </c:pt>
                <c:pt idx="37">
                  <c:v>2694.8641813506597</c:v>
                </c:pt>
                <c:pt idx="38">
                  <c:v>2772.7012312324018</c:v>
                </c:pt>
                <c:pt idx="39">
                  <c:v>2849.994953200111</c:v>
                </c:pt>
                <c:pt idx="40">
                  <c:v>2926.7802311738365</c:v>
                </c:pt>
                <c:pt idx="41">
                  <c:v>2986.3054753166848</c:v>
                </c:pt>
                <c:pt idx="42">
                  <c:v>3045.4210974298903</c:v>
                </c:pt>
                <c:pt idx="43">
                  <c:v>3104.1497223871324</c:v>
                </c:pt>
                <c:pt idx="44">
                  <c:v>3162.5126650050261</c:v>
                </c:pt>
                <c:pt idx="45">
                  <c:v>3220.5300361385289</c:v>
                </c:pt>
                <c:pt idx="46">
                  <c:v>3275.3183317627763</c:v>
                </c:pt>
                <c:pt idx="47">
                  <c:v>3329.7151161683532</c:v>
                </c:pt>
                <c:pt idx="48">
                  <c:v>3383.7375087297842</c:v>
                </c:pt>
                <c:pt idx="49">
                  <c:v>3437.4017251153541</c:v>
                </c:pt>
                <c:pt idx="50">
                  <c:v>3490.7231430149341</c:v>
                </c:pt>
              </c:numCache>
            </c:numRef>
          </c:val>
          <c:extLst>
            <c:ext xmlns:c16="http://schemas.microsoft.com/office/drawing/2014/chart" uri="{C3380CC4-5D6E-409C-BE32-E72D297353CC}">
              <c16:uniqueId val="{00000000-2D26-4177-8A16-4D1FE8C89A7C}"/>
            </c:ext>
          </c:extLst>
        </c:ser>
        <c:ser>
          <c:idx val="1"/>
          <c:order val="1"/>
          <c:tx>
            <c:strRef>
              <c:f>'Emissions summary'!$C$59</c:f>
              <c:strCache>
                <c:ptCount val="1"/>
                <c:pt idx="0">
                  <c:v>Manure CH4</c:v>
                </c:pt>
              </c:strCache>
            </c:strRef>
          </c:tx>
          <c:spPr>
            <a:solidFill>
              <a:schemeClr val="accent2"/>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summary'!$F$59:$BN$59</c15:sqref>
                  </c15:fullRef>
                </c:ext>
              </c:extLst>
              <c:f>'Emissions summary'!$P$59:$BN$59</c:f>
              <c:numCache>
                <c:formatCode>General</c:formatCode>
                <c:ptCount val="51"/>
                <c:pt idx="0">
                  <c:v>762.23830549258651</c:v>
                </c:pt>
                <c:pt idx="1">
                  <c:v>769.66043942752947</c:v>
                </c:pt>
                <c:pt idx="2">
                  <c:v>755.24670561009475</c:v>
                </c:pt>
                <c:pt idx="3">
                  <c:v>721.45490015224073</c:v>
                </c:pt>
                <c:pt idx="4">
                  <c:v>716.39216959899204</c:v>
                </c:pt>
                <c:pt idx="5">
                  <c:v>729.01852866445677</c:v>
                </c:pt>
                <c:pt idx="6">
                  <c:v>720.39066924724523</c:v>
                </c:pt>
                <c:pt idx="7">
                  <c:v>731.06474952281167</c:v>
                </c:pt>
                <c:pt idx="8">
                  <c:v>761.20306942751586</c:v>
                </c:pt>
                <c:pt idx="9">
                  <c:v>763.02344219117026</c:v>
                </c:pt>
                <c:pt idx="10">
                  <c:v>758.88138838781094</c:v>
                </c:pt>
                <c:pt idx="11">
                  <c:v>751.05641756570367</c:v>
                </c:pt>
                <c:pt idx="12">
                  <c:v>778.47417983971104</c:v>
                </c:pt>
                <c:pt idx="13">
                  <c:v>779.59974547339391</c:v>
                </c:pt>
                <c:pt idx="14">
                  <c:v>776.01521299106844</c:v>
                </c:pt>
                <c:pt idx="15">
                  <c:v>765.98495020280677</c:v>
                </c:pt>
                <c:pt idx="16">
                  <c:v>756.49840947197652</c:v>
                </c:pt>
                <c:pt idx="17">
                  <c:v>750.81190073547032</c:v>
                </c:pt>
                <c:pt idx="18">
                  <c:v>746.47790955624714</c:v>
                </c:pt>
                <c:pt idx="19">
                  <c:v>735.64906682109074</c:v>
                </c:pt>
                <c:pt idx="20">
                  <c:v>663.65503880084054</c:v>
                </c:pt>
                <c:pt idx="21">
                  <c:v>669.66631039075139</c:v>
                </c:pt>
                <c:pt idx="22">
                  <c:v>674.05740874284413</c:v>
                </c:pt>
                <c:pt idx="23">
                  <c:v>678.45659597371571</c:v>
                </c:pt>
                <c:pt idx="24">
                  <c:v>685.32079022673724</c:v>
                </c:pt>
                <c:pt idx="25">
                  <c:v>692.12452077540718</c:v>
                </c:pt>
                <c:pt idx="26">
                  <c:v>699.43576699967275</c:v>
                </c:pt>
                <c:pt idx="27">
                  <c:v>706.09199919528305</c:v>
                </c:pt>
                <c:pt idx="28">
                  <c:v>713.60334107484675</c:v>
                </c:pt>
                <c:pt idx="29">
                  <c:v>719.93016668911832</c:v>
                </c:pt>
                <c:pt idx="30">
                  <c:v>726.50800998512238</c:v>
                </c:pt>
                <c:pt idx="31">
                  <c:v>736.09236873977989</c:v>
                </c:pt>
                <c:pt idx="32">
                  <c:v>746.90433093633465</c:v>
                </c:pt>
                <c:pt idx="33">
                  <c:v>758.10656464132535</c:v>
                </c:pt>
                <c:pt idx="34">
                  <c:v>752.14286499410048</c:v>
                </c:pt>
                <c:pt idx="35">
                  <c:v>-67.585085171117242</c:v>
                </c:pt>
                <c:pt idx="36">
                  <c:v>-65.989463126828937</c:v>
                </c:pt>
                <c:pt idx="37">
                  <c:v>-64.421557153187081</c:v>
                </c:pt>
                <c:pt idx="38">
                  <c:v>-62.879373380315663</c:v>
                </c:pt>
                <c:pt idx="39">
                  <c:v>-61.361063344197092</c:v>
                </c:pt>
                <c:pt idx="40">
                  <c:v>-59.864909874559913</c:v>
                </c:pt>
                <c:pt idx="41">
                  <c:v>-58.252568555884032</c:v>
                </c:pt>
                <c:pt idx="42">
                  <c:v>-56.663632084523634</c:v>
                </c:pt>
                <c:pt idx="43">
                  <c:v>-55.096609246918447</c:v>
                </c:pt>
                <c:pt idx="44">
                  <c:v>-53.550105907377265</c:v>
                </c:pt>
                <c:pt idx="45">
                  <c:v>-52.022816593646404</c:v>
                </c:pt>
                <c:pt idx="46">
                  <c:v>-50.390477734097423</c:v>
                </c:pt>
                <c:pt idx="47">
                  <c:v>-48.779333150589302</c:v>
                </c:pt>
                <c:pt idx="48">
                  <c:v>-47.188214596666612</c:v>
                </c:pt>
                <c:pt idx="49">
                  <c:v>-45.616022721592891</c:v>
                </c:pt>
                <c:pt idx="50">
                  <c:v>-44.061721685204574</c:v>
                </c:pt>
              </c:numCache>
            </c:numRef>
          </c:val>
          <c:extLst>
            <c:ext xmlns:c16="http://schemas.microsoft.com/office/drawing/2014/chart" uri="{C3380CC4-5D6E-409C-BE32-E72D297353CC}">
              <c16:uniqueId val="{00000001-2D26-4177-8A16-4D1FE8C89A7C}"/>
            </c:ext>
          </c:extLst>
        </c:ser>
        <c:ser>
          <c:idx val="2"/>
          <c:order val="2"/>
          <c:tx>
            <c:strRef>
              <c:f>'Emissions summary'!$C$60</c:f>
              <c:strCache>
                <c:ptCount val="1"/>
                <c:pt idx="0">
                  <c:v>Manure N2O</c:v>
                </c:pt>
              </c:strCache>
            </c:strRef>
          </c:tx>
          <c:spPr>
            <a:solidFill>
              <a:schemeClr val="accent3"/>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summary'!$F$60:$BN$60</c15:sqref>
                  </c15:fullRef>
                </c:ext>
              </c:extLst>
              <c:f>'Emissions summary'!$P$60:$BN$60</c:f>
              <c:numCache>
                <c:formatCode>General</c:formatCode>
                <c:ptCount val="51"/>
                <c:pt idx="0">
                  <c:v>1372.4487383044614</c:v>
                </c:pt>
                <c:pt idx="1">
                  <c:v>1356.5221314435626</c:v>
                </c:pt>
                <c:pt idx="2">
                  <c:v>1396.8463052232266</c:v>
                </c:pt>
                <c:pt idx="3">
                  <c:v>1373.0665004626433</c:v>
                </c:pt>
                <c:pt idx="4">
                  <c:v>1378.5802594390798</c:v>
                </c:pt>
                <c:pt idx="5">
                  <c:v>1425.1971500061302</c:v>
                </c:pt>
                <c:pt idx="6">
                  <c:v>1466.623959325211</c:v>
                </c:pt>
                <c:pt idx="7">
                  <c:v>1512.7966811111032</c:v>
                </c:pt>
                <c:pt idx="8">
                  <c:v>1539.5804780764847</c:v>
                </c:pt>
                <c:pt idx="9">
                  <c:v>1507.0434874225361</c:v>
                </c:pt>
                <c:pt idx="10">
                  <c:v>1516.5605848321243</c:v>
                </c:pt>
                <c:pt idx="11">
                  <c:v>1570.0225026545761</c:v>
                </c:pt>
                <c:pt idx="12">
                  <c:v>1624.6372261307567</c:v>
                </c:pt>
                <c:pt idx="13">
                  <c:v>1644.7201872134187</c:v>
                </c:pt>
                <c:pt idx="14">
                  <c:v>1652.278567660903</c:v>
                </c:pt>
                <c:pt idx="15">
                  <c:v>1642.5799481628237</c:v>
                </c:pt>
                <c:pt idx="16">
                  <c:v>1633.3693680269034</c:v>
                </c:pt>
                <c:pt idx="17">
                  <c:v>1633.2534061095882</c:v>
                </c:pt>
                <c:pt idx="18">
                  <c:v>1636.1197720898767</c:v>
                </c:pt>
                <c:pt idx="19">
                  <c:v>1621.2074368618501</c:v>
                </c:pt>
                <c:pt idx="20">
                  <c:v>1441.4619559724115</c:v>
                </c:pt>
                <c:pt idx="21">
                  <c:v>1472.4073202587936</c:v>
                </c:pt>
                <c:pt idx="22">
                  <c:v>1499.0444219072838</c:v>
                </c:pt>
                <c:pt idx="23">
                  <c:v>1525.7586433035303</c:v>
                </c:pt>
                <c:pt idx="24">
                  <c:v>1559.4096157355314</c:v>
                </c:pt>
                <c:pt idx="25">
                  <c:v>1593.1009264189975</c:v>
                </c:pt>
                <c:pt idx="26">
                  <c:v>1628.7212759269312</c:v>
                </c:pt>
                <c:pt idx="27">
                  <c:v>1662.7349086236418</c:v>
                </c:pt>
                <c:pt idx="28">
                  <c:v>1699.463726378892</c:v>
                </c:pt>
                <c:pt idx="29">
                  <c:v>1733.0429726704101</c:v>
                </c:pt>
                <c:pt idx="30">
                  <c:v>1767.6108299651239</c:v>
                </c:pt>
                <c:pt idx="31">
                  <c:v>1809.7950914952585</c:v>
                </c:pt>
                <c:pt idx="32">
                  <c:v>1856.0368752018776</c:v>
                </c:pt>
                <c:pt idx="33">
                  <c:v>1903.9133342675466</c:v>
                </c:pt>
                <c:pt idx="34">
                  <c:v>1900.2739512057267</c:v>
                </c:pt>
                <c:pt idx="35">
                  <c:v>-587.74999411227577</c:v>
                </c:pt>
                <c:pt idx="36">
                  <c:v>-587.27825557990616</c:v>
                </c:pt>
                <c:pt idx="37">
                  <c:v>-586.89918391089338</c:v>
                </c:pt>
                <c:pt idx="38">
                  <c:v>-586.60885915153483</c:v>
                </c:pt>
                <c:pt idx="39">
                  <c:v>-586.4036583237787</c:v>
                </c:pt>
                <c:pt idx="40">
                  <c:v>-586.28022728365454</c:v>
                </c:pt>
                <c:pt idx="41">
                  <c:v>-585.77238144933699</c:v>
                </c:pt>
                <c:pt idx="42">
                  <c:v>-585.3360952284894</c:v>
                </c:pt>
                <c:pt idx="43">
                  <c:v>-584.96860406358928</c:v>
                </c:pt>
                <c:pt idx="44">
                  <c:v>-584.66732980850077</c:v>
                </c:pt>
                <c:pt idx="45">
                  <c:v>-584.42986489722659</c:v>
                </c:pt>
                <c:pt idx="46">
                  <c:v>-583.59574457992505</c:v>
                </c:pt>
                <c:pt idx="47">
                  <c:v>-582.82208689660501</c:v>
                </c:pt>
                <c:pt idx="48">
                  <c:v>-582.10673214220537</c:v>
                </c:pt>
                <c:pt idx="49">
                  <c:v>-581.44765093146714</c:v>
                </c:pt>
                <c:pt idx="50">
                  <c:v>-580.84293420121003</c:v>
                </c:pt>
              </c:numCache>
            </c:numRef>
          </c:val>
          <c:extLst>
            <c:ext xmlns:c16="http://schemas.microsoft.com/office/drawing/2014/chart" uri="{C3380CC4-5D6E-409C-BE32-E72D297353CC}">
              <c16:uniqueId val="{00000002-2D26-4177-8A16-4D1FE8C89A7C}"/>
            </c:ext>
          </c:extLst>
        </c:ser>
        <c:ser>
          <c:idx val="3"/>
          <c:order val="3"/>
          <c:tx>
            <c:strRef>
              <c:f>'Emissions summary'!$C$61</c:f>
              <c:strCache>
                <c:ptCount val="1"/>
                <c:pt idx="0">
                  <c:v>Biomass burning CH4</c:v>
                </c:pt>
              </c:strCache>
            </c:strRef>
          </c:tx>
          <c:spPr>
            <a:solidFill>
              <a:schemeClr val="accent4"/>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summary'!$F$61:$BN$61</c15:sqref>
                  </c15:fullRef>
                </c:ext>
              </c:extLst>
              <c:f>'Emissions summary'!$P$61:$BN$61</c:f>
              <c:numCache>
                <c:formatCode>General</c:formatCode>
                <c:ptCount val="51"/>
                <c:pt idx="0">
                  <c:v>1103.4776992955053</c:v>
                </c:pt>
                <c:pt idx="1">
                  <c:v>1282.5517441798665</c:v>
                </c:pt>
                <c:pt idx="2">
                  <c:v>1288.9176046937982</c:v>
                </c:pt>
                <c:pt idx="3">
                  <c:v>1011.4345809085878</c:v>
                </c:pt>
                <c:pt idx="4">
                  <c:v>883.38003872679235</c:v>
                </c:pt>
                <c:pt idx="5">
                  <c:v>1412.334298727088</c:v>
                </c:pt>
                <c:pt idx="6">
                  <c:v>1236.8838978672777</c:v>
                </c:pt>
                <c:pt idx="7">
                  <c:v>1218.5771221263838</c:v>
                </c:pt>
                <c:pt idx="8">
                  <c:v>1139.8644942847</c:v>
                </c:pt>
                <c:pt idx="9">
                  <c:v>1078.8713756473658</c:v>
                </c:pt>
                <c:pt idx="10">
                  <c:v>1107.055106514</c:v>
                </c:pt>
                <c:pt idx="11">
                  <c:v>1093.3943713178221</c:v>
                </c:pt>
                <c:pt idx="12">
                  <c:v>916.39904428073066</c:v>
                </c:pt>
                <c:pt idx="13">
                  <c:v>957.70927900519757</c:v>
                </c:pt>
                <c:pt idx="14">
                  <c:v>944.27038684966465</c:v>
                </c:pt>
                <c:pt idx="15">
                  <c:v>931.78327853413111</c:v>
                </c:pt>
                <c:pt idx="16">
                  <c:v>941.79408509859809</c:v>
                </c:pt>
                <c:pt idx="17">
                  <c:v>950.68729182306481</c:v>
                </c:pt>
                <c:pt idx="18">
                  <c:v>953.20321518753167</c:v>
                </c:pt>
                <c:pt idx="19">
                  <c:v>956.763261286947</c:v>
                </c:pt>
                <c:pt idx="20">
                  <c:v>960.32330738636199</c:v>
                </c:pt>
                <c:pt idx="21">
                  <c:v>963.88335348577709</c:v>
                </c:pt>
                <c:pt idx="22">
                  <c:v>967.44339958519208</c:v>
                </c:pt>
                <c:pt idx="23">
                  <c:v>971.0034456846073</c:v>
                </c:pt>
                <c:pt idx="24">
                  <c:v>974.56349178402229</c:v>
                </c:pt>
                <c:pt idx="25">
                  <c:v>978.12353788343751</c:v>
                </c:pt>
                <c:pt idx="26">
                  <c:v>981.68358398285261</c:v>
                </c:pt>
                <c:pt idx="27">
                  <c:v>985.2436300822676</c:v>
                </c:pt>
                <c:pt idx="28">
                  <c:v>988.8036761816827</c:v>
                </c:pt>
                <c:pt idx="29">
                  <c:v>992.36372228109781</c:v>
                </c:pt>
                <c:pt idx="30">
                  <c:v>995.92376838051302</c:v>
                </c:pt>
                <c:pt idx="31">
                  <c:v>999.27215253115673</c:v>
                </c:pt>
                <c:pt idx="32">
                  <c:v>1002.6205366818004</c:v>
                </c:pt>
                <c:pt idx="33">
                  <c:v>1005.9689208324443</c:v>
                </c:pt>
                <c:pt idx="34">
                  <c:v>1009.317304983088</c:v>
                </c:pt>
                <c:pt idx="35">
                  <c:v>1012.6656891337318</c:v>
                </c:pt>
                <c:pt idx="36">
                  <c:v>1016.0140732843756</c:v>
                </c:pt>
                <c:pt idx="37">
                  <c:v>1019.3624574350195</c:v>
                </c:pt>
                <c:pt idx="38">
                  <c:v>1022.710841585663</c:v>
                </c:pt>
                <c:pt idx="39">
                  <c:v>1025.7736963097952</c:v>
                </c:pt>
                <c:pt idx="40">
                  <c:v>1028.836551033927</c:v>
                </c:pt>
                <c:pt idx="41">
                  <c:v>1031.8994057580592</c:v>
                </c:pt>
                <c:pt idx="42">
                  <c:v>1034.9622604821907</c:v>
                </c:pt>
                <c:pt idx="43">
                  <c:v>1038.0251152063229</c:v>
                </c:pt>
                <c:pt idx="44">
                  <c:v>1041.0879699304548</c:v>
                </c:pt>
                <c:pt idx="45">
                  <c:v>1044.1508246545868</c:v>
                </c:pt>
                <c:pt idx="46">
                  <c:v>1047.2136793787188</c:v>
                </c:pt>
                <c:pt idx="47">
                  <c:v>1050.2765341028507</c:v>
                </c:pt>
                <c:pt idx="48">
                  <c:v>1053.3393888269827</c:v>
                </c:pt>
                <c:pt idx="49">
                  <c:v>1056.4022435511147</c:v>
                </c:pt>
                <c:pt idx="50">
                  <c:v>1059.4650982752464</c:v>
                </c:pt>
              </c:numCache>
            </c:numRef>
          </c:val>
          <c:extLst>
            <c:ext xmlns:c16="http://schemas.microsoft.com/office/drawing/2014/chart" uri="{C3380CC4-5D6E-409C-BE32-E72D297353CC}">
              <c16:uniqueId val="{00000003-2D26-4177-8A16-4D1FE8C89A7C}"/>
            </c:ext>
          </c:extLst>
        </c:ser>
        <c:ser>
          <c:idx val="4"/>
          <c:order val="4"/>
          <c:tx>
            <c:strRef>
              <c:f>'Emissions summary'!$C$62</c:f>
              <c:strCache>
                <c:ptCount val="1"/>
                <c:pt idx="0">
                  <c:v>Biomass burning N2O</c:v>
                </c:pt>
              </c:strCache>
            </c:strRef>
          </c:tx>
          <c:spPr>
            <a:solidFill>
              <a:schemeClr val="accent5"/>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summary'!$F$62:$BN$62</c15:sqref>
                  </c15:fullRef>
                </c:ext>
              </c:extLst>
              <c:f>'Emissions summary'!$P$62:$BN$62</c:f>
              <c:numCache>
                <c:formatCode>General</c:formatCode>
                <c:ptCount val="51"/>
                <c:pt idx="0">
                  <c:v>1138.2881924240246</c:v>
                </c:pt>
                <c:pt idx="1">
                  <c:v>1347.8625366593228</c:v>
                </c:pt>
                <c:pt idx="2">
                  <c:v>1328.3690110437451</c:v>
                </c:pt>
                <c:pt idx="3">
                  <c:v>1017.5651134275211</c:v>
                </c:pt>
                <c:pt idx="4">
                  <c:v>914.67644691903695</c:v>
                </c:pt>
                <c:pt idx="5">
                  <c:v>1447.9112474339306</c:v>
                </c:pt>
                <c:pt idx="6">
                  <c:v>1263.4019893034997</c:v>
                </c:pt>
                <c:pt idx="7">
                  <c:v>1217.4357899565925</c:v>
                </c:pt>
                <c:pt idx="8">
                  <c:v>1180.1818937292605</c:v>
                </c:pt>
                <c:pt idx="9">
                  <c:v>1108.1395844539597</c:v>
                </c:pt>
                <c:pt idx="10">
                  <c:v>1121.7567904983002</c:v>
                </c:pt>
                <c:pt idx="11">
                  <c:v>1111.0832034573957</c:v>
                </c:pt>
                <c:pt idx="12">
                  <c:v>957.90428313424388</c:v>
                </c:pt>
                <c:pt idx="13">
                  <c:v>993.12814482495412</c:v>
                </c:pt>
                <c:pt idx="14">
                  <c:v>983.64299307566409</c:v>
                </c:pt>
                <c:pt idx="15">
                  <c:v>974.93508324637412</c:v>
                </c:pt>
                <c:pt idx="16">
                  <c:v>984.5993308570844</c:v>
                </c:pt>
                <c:pt idx="17">
                  <c:v>993.3509285477943</c:v>
                </c:pt>
                <c:pt idx="18">
                  <c:v>996.89473455850464</c:v>
                </c:pt>
                <c:pt idx="19">
                  <c:v>1001.6941603201909</c:v>
                </c:pt>
                <c:pt idx="20">
                  <c:v>1006.4935860818769</c:v>
                </c:pt>
                <c:pt idx="21">
                  <c:v>1011.2930118435631</c:v>
                </c:pt>
                <c:pt idx="22">
                  <c:v>1016.092437605249</c:v>
                </c:pt>
                <c:pt idx="23">
                  <c:v>1020.8918633669354</c:v>
                </c:pt>
                <c:pt idx="24">
                  <c:v>1025.6912891286215</c:v>
                </c:pt>
                <c:pt idx="25">
                  <c:v>1030.4907148903073</c:v>
                </c:pt>
                <c:pt idx="26">
                  <c:v>1035.2901406519936</c:v>
                </c:pt>
                <c:pt idx="27">
                  <c:v>1040.0895664136797</c:v>
                </c:pt>
                <c:pt idx="28">
                  <c:v>1044.888992175366</c:v>
                </c:pt>
                <c:pt idx="29">
                  <c:v>1049.688417937052</c:v>
                </c:pt>
                <c:pt idx="30">
                  <c:v>1054.4878436987378</c:v>
                </c:pt>
                <c:pt idx="31">
                  <c:v>1059.1536620734259</c:v>
                </c:pt>
                <c:pt idx="32">
                  <c:v>1063.8194804481134</c:v>
                </c:pt>
                <c:pt idx="33">
                  <c:v>1068.4852988228013</c:v>
                </c:pt>
                <c:pt idx="34">
                  <c:v>1073.1511171974894</c:v>
                </c:pt>
                <c:pt idx="35">
                  <c:v>1077.816935572177</c:v>
                </c:pt>
                <c:pt idx="36">
                  <c:v>1082.4827539468647</c:v>
                </c:pt>
                <c:pt idx="37">
                  <c:v>1087.1485723215524</c:v>
                </c:pt>
                <c:pt idx="38">
                  <c:v>1091.8143906962403</c:v>
                </c:pt>
                <c:pt idx="39">
                  <c:v>1096.2470411704533</c:v>
                </c:pt>
                <c:pt idx="40">
                  <c:v>1100.6796916446663</c:v>
                </c:pt>
                <c:pt idx="41">
                  <c:v>1105.1123421188793</c:v>
                </c:pt>
                <c:pt idx="42">
                  <c:v>1109.5449925930925</c:v>
                </c:pt>
                <c:pt idx="43">
                  <c:v>1113.9776430673055</c:v>
                </c:pt>
                <c:pt idx="44">
                  <c:v>1118.4102935415185</c:v>
                </c:pt>
                <c:pt idx="45">
                  <c:v>1122.8429440157317</c:v>
                </c:pt>
                <c:pt idx="46">
                  <c:v>1127.2755944899448</c:v>
                </c:pt>
                <c:pt idx="47">
                  <c:v>1131.7082449641578</c:v>
                </c:pt>
                <c:pt idx="48">
                  <c:v>1136.1408954383708</c:v>
                </c:pt>
                <c:pt idx="49">
                  <c:v>1140.5735459125838</c:v>
                </c:pt>
                <c:pt idx="50">
                  <c:v>1145.0061963867968</c:v>
                </c:pt>
              </c:numCache>
            </c:numRef>
          </c:val>
          <c:extLst>
            <c:ext xmlns:c16="http://schemas.microsoft.com/office/drawing/2014/chart" uri="{C3380CC4-5D6E-409C-BE32-E72D297353CC}">
              <c16:uniqueId val="{00000004-2D26-4177-8A16-4D1FE8C89A7C}"/>
            </c:ext>
          </c:extLst>
        </c:ser>
        <c:ser>
          <c:idx val="5"/>
          <c:order val="5"/>
          <c:tx>
            <c:strRef>
              <c:f>'Emissions summary'!$C$63</c:f>
              <c:strCache>
                <c:ptCount val="1"/>
                <c:pt idx="0">
                  <c:v>Liming</c:v>
                </c:pt>
              </c:strCache>
            </c:strRef>
          </c:tx>
          <c:spPr>
            <a:solidFill>
              <a:schemeClr val="accent6"/>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summary'!$F$63:$BN$63</c15:sqref>
                  </c15:fullRef>
                </c:ext>
              </c:extLst>
              <c:f>'Emissions summary'!$P$63:$BN$63</c:f>
              <c:numCache>
                <c:formatCode>General</c:formatCode>
                <c:ptCount val="51"/>
                <c:pt idx="0">
                  <c:v>378.2405</c:v>
                </c:pt>
                <c:pt idx="1">
                  <c:v>489.66362500000002</c:v>
                </c:pt>
                <c:pt idx="2">
                  <c:v>672.79437500000006</c:v>
                </c:pt>
                <c:pt idx="3">
                  <c:v>580.13175000000001</c:v>
                </c:pt>
                <c:pt idx="4">
                  <c:v>579.7403333333333</c:v>
                </c:pt>
                <c:pt idx="5">
                  <c:v>266.03683333333333</c:v>
                </c:pt>
                <c:pt idx="6">
                  <c:v>441.42908333333332</c:v>
                </c:pt>
                <c:pt idx="7">
                  <c:v>521.42108333333329</c:v>
                </c:pt>
                <c:pt idx="8">
                  <c:v>655.32637499999998</c:v>
                </c:pt>
                <c:pt idx="9">
                  <c:v>695.56775237855516</c:v>
                </c:pt>
                <c:pt idx="10">
                  <c:v>653.23730656422072</c:v>
                </c:pt>
                <c:pt idx="11">
                  <c:v>722.61220387104663</c:v>
                </c:pt>
                <c:pt idx="12">
                  <c:v>886.46691832724639</c:v>
                </c:pt>
                <c:pt idx="13">
                  <c:v>888.8539802377943</c:v>
                </c:pt>
                <c:pt idx="14">
                  <c:v>892.11591690555679</c:v>
                </c:pt>
                <c:pt idx="15">
                  <c:v>894.48365036682526</c:v>
                </c:pt>
                <c:pt idx="16">
                  <c:v>895.63671892685147</c:v>
                </c:pt>
                <c:pt idx="17">
                  <c:v>896.77480880606822</c:v>
                </c:pt>
                <c:pt idx="18">
                  <c:v>898.49646270469111</c:v>
                </c:pt>
                <c:pt idx="19">
                  <c:v>900.38142148545217</c:v>
                </c:pt>
                <c:pt idx="20">
                  <c:v>900.99830242057169</c:v>
                </c:pt>
                <c:pt idx="21">
                  <c:v>889.66719901995361</c:v>
                </c:pt>
                <c:pt idx="22">
                  <c:v>893.20175352101023</c:v>
                </c:pt>
                <c:pt idx="23">
                  <c:v>896.37958965851215</c:v>
                </c:pt>
                <c:pt idx="24">
                  <c:v>899.52796651639687</c:v>
                </c:pt>
                <c:pt idx="25">
                  <c:v>903.14197529554713</c:v>
                </c:pt>
                <c:pt idx="26">
                  <c:v>906.71675954110367</c:v>
                </c:pt>
                <c:pt idx="27">
                  <c:v>910.34114366574249</c:v>
                </c:pt>
                <c:pt idx="28">
                  <c:v>913.8112544636009</c:v>
                </c:pt>
                <c:pt idx="29">
                  <c:v>917.42968502221754</c:v>
                </c:pt>
                <c:pt idx="30">
                  <c:v>920.79096517926757</c:v>
                </c:pt>
                <c:pt idx="31">
                  <c:v>924.18223016555146</c:v>
                </c:pt>
                <c:pt idx="32">
                  <c:v>928.12851356454928</c:v>
                </c:pt>
                <c:pt idx="33">
                  <c:v>932.29458147366915</c:v>
                </c:pt>
                <c:pt idx="34">
                  <c:v>936.51320053616291</c:v>
                </c:pt>
                <c:pt idx="35">
                  <c:v>937.35041504811659</c:v>
                </c:pt>
                <c:pt idx="36">
                  <c:v>589.44115069085547</c:v>
                </c:pt>
                <c:pt idx="37">
                  <c:v>588.82564419868595</c:v>
                </c:pt>
                <c:pt idx="38">
                  <c:v>588.20365849957375</c:v>
                </c:pt>
                <c:pt idx="39">
                  <c:v>587.5751043341877</c:v>
                </c:pt>
                <c:pt idx="40">
                  <c:v>586.93989076430898</c:v>
                </c:pt>
                <c:pt idx="41">
                  <c:v>586.29792513092821</c:v>
                </c:pt>
                <c:pt idx="42">
                  <c:v>585.74764217221855</c:v>
                </c:pt>
                <c:pt idx="43">
                  <c:v>585.19236759087596</c:v>
                </c:pt>
                <c:pt idx="44">
                  <c:v>584.6320416605073</c:v>
                </c:pt>
                <c:pt idx="45">
                  <c:v>584.06660367487802</c:v>
                </c:pt>
                <c:pt idx="46">
                  <c:v>583.49599192657536</c:v>
                </c:pt>
                <c:pt idx="47">
                  <c:v>583.02281981030717</c:v>
                </c:pt>
                <c:pt idx="48">
                  <c:v>582.54607093944685</c:v>
                </c:pt>
                <c:pt idx="49">
                  <c:v>582.06570941053144</c:v>
                </c:pt>
                <c:pt idx="50">
                  <c:v>581.58169882431378</c:v>
                </c:pt>
              </c:numCache>
            </c:numRef>
          </c:val>
          <c:extLst>
            <c:ext xmlns:c16="http://schemas.microsoft.com/office/drawing/2014/chart" uri="{C3380CC4-5D6E-409C-BE32-E72D297353CC}">
              <c16:uniqueId val="{00000005-2D26-4177-8A16-4D1FE8C89A7C}"/>
            </c:ext>
          </c:extLst>
        </c:ser>
        <c:ser>
          <c:idx val="6"/>
          <c:order val="6"/>
          <c:tx>
            <c:strRef>
              <c:f>'Emissions summary'!$C$64</c:f>
              <c:strCache>
                <c:ptCount val="1"/>
                <c:pt idx="0">
                  <c:v>Urea</c:v>
                </c:pt>
              </c:strCache>
            </c:strRef>
          </c:tx>
          <c:spPr>
            <a:solidFill>
              <a:schemeClr val="accent1">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summary'!$F$64:$BN$64</c15:sqref>
                  </c15:fullRef>
                </c:ext>
              </c:extLst>
              <c:f>'Emissions summary'!$P$64:$BN$64</c:f>
              <c:numCache>
                <c:formatCode>General</c:formatCode>
                <c:ptCount val="51"/>
                <c:pt idx="0">
                  <c:v>297.31791253242642</c:v>
                </c:pt>
                <c:pt idx="1">
                  <c:v>317.95024703732088</c:v>
                </c:pt>
                <c:pt idx="2">
                  <c:v>338.58258154220977</c:v>
                </c:pt>
                <c:pt idx="3">
                  <c:v>359.21491604710423</c:v>
                </c:pt>
                <c:pt idx="4">
                  <c:v>435.89846666666671</c:v>
                </c:pt>
                <c:pt idx="5">
                  <c:v>355.08659999999998</c:v>
                </c:pt>
                <c:pt idx="6">
                  <c:v>393.08573333333334</c:v>
                </c:pt>
                <c:pt idx="7">
                  <c:v>484.55366666666663</c:v>
                </c:pt>
                <c:pt idx="8">
                  <c:v>480.19253333333336</c:v>
                </c:pt>
                <c:pt idx="9">
                  <c:v>380.54426666666666</c:v>
                </c:pt>
                <c:pt idx="10">
                  <c:v>501.48046666666664</c:v>
                </c:pt>
                <c:pt idx="11">
                  <c:v>571.19113333333337</c:v>
                </c:pt>
                <c:pt idx="12">
                  <c:v>470.0955092083982</c:v>
                </c:pt>
                <c:pt idx="13">
                  <c:v>470.03536519379952</c:v>
                </c:pt>
                <c:pt idx="14">
                  <c:v>469.95317798043089</c:v>
                </c:pt>
                <c:pt idx="15">
                  <c:v>469.89352096222319</c:v>
                </c:pt>
                <c:pt idx="16">
                  <c:v>469.86446843869999</c:v>
                </c:pt>
                <c:pt idx="17">
                  <c:v>469.83579331552539</c:v>
                </c:pt>
                <c:pt idx="18">
                  <c:v>469.79241481044551</c:v>
                </c:pt>
                <c:pt idx="19">
                  <c:v>469.7449217027355</c:v>
                </c:pt>
                <c:pt idx="20">
                  <c:v>469.72937887336718</c:v>
                </c:pt>
                <c:pt idx="21">
                  <c:v>470.01487546871522</c:v>
                </c:pt>
                <c:pt idx="22">
                  <c:v>469.92581942179322</c:v>
                </c:pt>
                <c:pt idx="23">
                  <c:v>469.84575119138754</c:v>
                </c:pt>
                <c:pt idx="24">
                  <c:v>469.76642521208788</c:v>
                </c:pt>
                <c:pt idx="25">
                  <c:v>469.67536724839931</c:v>
                </c:pt>
                <c:pt idx="26">
                  <c:v>469.58529757953056</c:v>
                </c:pt>
                <c:pt idx="27">
                  <c:v>469.49397820036393</c:v>
                </c:pt>
                <c:pt idx="28">
                  <c:v>469.40654586626169</c:v>
                </c:pt>
                <c:pt idx="29">
                  <c:v>469.31537649215352</c:v>
                </c:pt>
                <c:pt idx="30">
                  <c:v>469.23068623676357</c:v>
                </c:pt>
                <c:pt idx="31">
                  <c:v>469.14524048860676</c:v>
                </c:pt>
                <c:pt idx="32">
                  <c:v>469.04581058889983</c:v>
                </c:pt>
                <c:pt idx="33">
                  <c:v>468.94084303525642</c:v>
                </c:pt>
                <c:pt idx="34">
                  <c:v>468.83455141149926</c:v>
                </c:pt>
                <c:pt idx="35">
                  <c:v>468.81345709400091</c:v>
                </c:pt>
                <c:pt idx="36">
                  <c:v>477.57932101318937</c:v>
                </c:pt>
                <c:pt idx="37">
                  <c:v>477.59482921232205</c:v>
                </c:pt>
                <c:pt idx="38">
                  <c:v>477.61050066047437</c:v>
                </c:pt>
                <c:pt idx="39">
                  <c:v>477.6263376066097</c:v>
                </c:pt>
                <c:pt idx="40">
                  <c:v>477.64234234199222</c:v>
                </c:pt>
                <c:pt idx="41">
                  <c:v>477.658517201243</c:v>
                </c:pt>
                <c:pt idx="42">
                  <c:v>477.67238203908232</c:v>
                </c:pt>
                <c:pt idx="43">
                  <c:v>477.68637264501467</c:v>
                </c:pt>
                <c:pt idx="44">
                  <c:v>477.70049052389624</c:v>
                </c:pt>
                <c:pt idx="45">
                  <c:v>477.71473720527149</c:v>
                </c:pt>
                <c:pt idx="46">
                  <c:v>477.72911424390975</c:v>
                </c:pt>
                <c:pt idx="47">
                  <c:v>477.74103620979719</c:v>
                </c:pt>
                <c:pt idx="48">
                  <c:v>477.75304829499794</c:v>
                </c:pt>
                <c:pt idx="49">
                  <c:v>477.76515140412982</c:v>
                </c:pt>
                <c:pt idx="50">
                  <c:v>477.77734645430195</c:v>
                </c:pt>
              </c:numCache>
            </c:numRef>
          </c:val>
          <c:extLst>
            <c:ext xmlns:c16="http://schemas.microsoft.com/office/drawing/2014/chart" uri="{C3380CC4-5D6E-409C-BE32-E72D297353CC}">
              <c16:uniqueId val="{00000006-2D26-4177-8A16-4D1FE8C89A7C}"/>
            </c:ext>
          </c:extLst>
        </c:ser>
        <c:ser>
          <c:idx val="7"/>
          <c:order val="7"/>
          <c:tx>
            <c:strRef>
              <c:f>'Emissions summary'!$C$65</c:f>
              <c:strCache>
                <c:ptCount val="1"/>
                <c:pt idx="0">
                  <c:v>Direct N2O</c:v>
                </c:pt>
              </c:strCache>
            </c:strRef>
          </c:tx>
          <c:spPr>
            <a:solidFill>
              <a:schemeClr val="accent2">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summary'!$F$65:$BN$65</c15:sqref>
                  </c15:fullRef>
                </c:ext>
              </c:extLst>
              <c:f>'Emissions summary'!$P$65:$BN$65</c:f>
              <c:numCache>
                <c:formatCode>General</c:formatCode>
                <c:ptCount val="51"/>
                <c:pt idx="0">
                  <c:v>17021.790519603233</c:v>
                </c:pt>
                <c:pt idx="1">
                  <c:v>16558.862650160001</c:v>
                </c:pt>
                <c:pt idx="2">
                  <c:v>16957.948472333181</c:v>
                </c:pt>
                <c:pt idx="3">
                  <c:v>16769.907146505077</c:v>
                </c:pt>
                <c:pt idx="4">
                  <c:v>16584.658063779349</c:v>
                </c:pt>
                <c:pt idx="5">
                  <c:v>16201.588190693865</c:v>
                </c:pt>
                <c:pt idx="6">
                  <c:v>16229.541461457171</c:v>
                </c:pt>
                <c:pt idx="7">
                  <c:v>16847.135336493091</c:v>
                </c:pt>
                <c:pt idx="8">
                  <c:v>16894.02920900529</c:v>
                </c:pt>
                <c:pt idx="9">
                  <c:v>16779.254174947899</c:v>
                </c:pt>
                <c:pt idx="10">
                  <c:v>16465.845558736135</c:v>
                </c:pt>
                <c:pt idx="11">
                  <c:v>16468.339195121422</c:v>
                </c:pt>
                <c:pt idx="12">
                  <c:v>17234.31530267384</c:v>
                </c:pt>
                <c:pt idx="13">
                  <c:v>17196.188343074369</c:v>
                </c:pt>
                <c:pt idx="14">
                  <c:v>17089.874341770246</c:v>
                </c:pt>
                <c:pt idx="15">
                  <c:v>16891.51534186734</c:v>
                </c:pt>
                <c:pt idx="16">
                  <c:v>16700.676726259917</c:v>
                </c:pt>
                <c:pt idx="17">
                  <c:v>16563.164145336694</c:v>
                </c:pt>
                <c:pt idx="18">
                  <c:v>16443.609206621019</c:v>
                </c:pt>
                <c:pt idx="19">
                  <c:v>16235.51593180792</c:v>
                </c:pt>
                <c:pt idx="20">
                  <c:v>15210.663211639085</c:v>
                </c:pt>
                <c:pt idx="21">
                  <c:v>15290.476197208178</c:v>
                </c:pt>
                <c:pt idx="22">
                  <c:v>15359.81811633504</c:v>
                </c:pt>
                <c:pt idx="23">
                  <c:v>15428.330712588846</c:v>
                </c:pt>
                <c:pt idx="24">
                  <c:v>15528.987662364907</c:v>
                </c:pt>
                <c:pt idx="25">
                  <c:v>15628.501840209854</c:v>
                </c:pt>
                <c:pt idx="26">
                  <c:v>15729.187697600266</c:v>
                </c:pt>
                <c:pt idx="27">
                  <c:v>15820.521907100183</c:v>
                </c:pt>
                <c:pt idx="28">
                  <c:v>15922.381246249111</c:v>
                </c:pt>
                <c:pt idx="29">
                  <c:v>16007.956010454658</c:v>
                </c:pt>
                <c:pt idx="30">
                  <c:v>16095.956382307755</c:v>
                </c:pt>
                <c:pt idx="31">
                  <c:v>16157.114151496071</c:v>
                </c:pt>
                <c:pt idx="32">
                  <c:v>16231.332701516931</c:v>
                </c:pt>
                <c:pt idx="33">
                  <c:v>16307.092909717458</c:v>
                </c:pt>
                <c:pt idx="34">
                  <c:v>16160.285493236199</c:v>
                </c:pt>
                <c:pt idx="35">
                  <c:v>5737.952950261325</c:v>
                </c:pt>
                <c:pt idx="36">
                  <c:v>5504.2978772527722</c:v>
                </c:pt>
                <c:pt idx="37">
                  <c:v>5546.4661259598297</c:v>
                </c:pt>
                <c:pt idx="38">
                  <c:v>5588.3260398039101</c:v>
                </c:pt>
                <c:pt idx="39">
                  <c:v>5629.8975239768306</c:v>
                </c:pt>
                <c:pt idx="40">
                  <c:v>5671.1992263444718</c:v>
                </c:pt>
                <c:pt idx="41">
                  <c:v>5703.282188918567</c:v>
                </c:pt>
                <c:pt idx="42">
                  <c:v>5735.2229949966468</c:v>
                </c:pt>
                <c:pt idx="43">
                  <c:v>5766.9569850626722</c:v>
                </c:pt>
                <c:pt idx="44">
                  <c:v>5798.4956153115281</c:v>
                </c:pt>
                <c:pt idx="45">
                  <c:v>5829.8496919202089</c:v>
                </c:pt>
                <c:pt idx="46">
                  <c:v>5859.4729359437761</c:v>
                </c:pt>
                <c:pt idx="47">
                  <c:v>5888.9676515159908</c:v>
                </c:pt>
                <c:pt idx="48">
                  <c:v>5918.2627581611805</c:v>
                </c:pt>
                <c:pt idx="49">
                  <c:v>5947.366981471856</c:v>
                </c:pt>
                <c:pt idx="50">
                  <c:v>5976.2885944485151</c:v>
                </c:pt>
              </c:numCache>
            </c:numRef>
          </c:val>
          <c:extLst>
            <c:ext xmlns:c16="http://schemas.microsoft.com/office/drawing/2014/chart" uri="{C3380CC4-5D6E-409C-BE32-E72D297353CC}">
              <c16:uniqueId val="{00000007-2D26-4177-8A16-4D1FE8C89A7C}"/>
            </c:ext>
          </c:extLst>
        </c:ser>
        <c:ser>
          <c:idx val="8"/>
          <c:order val="8"/>
          <c:tx>
            <c:strRef>
              <c:f>'Emissions summary'!$C$66</c:f>
              <c:strCache>
                <c:ptCount val="1"/>
                <c:pt idx="0">
                  <c:v>Indirect N2O from MS</c:v>
                </c:pt>
              </c:strCache>
            </c:strRef>
          </c:tx>
          <c:spPr>
            <a:solidFill>
              <a:schemeClr val="accent3">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summary'!$F$66:$BN$66</c15:sqref>
                  </c15:fullRef>
                </c:ext>
              </c:extLst>
              <c:f>'Emissions summary'!$P$66:$BN$66</c:f>
              <c:numCache>
                <c:formatCode>General</c:formatCode>
                <c:ptCount val="51"/>
                <c:pt idx="0">
                  <c:v>2155.7364466862405</c:v>
                </c:pt>
                <c:pt idx="1">
                  <c:v>2118.7727412938139</c:v>
                </c:pt>
                <c:pt idx="2">
                  <c:v>2149.2536347032101</c:v>
                </c:pt>
                <c:pt idx="3">
                  <c:v>2127.4292286069426</c:v>
                </c:pt>
                <c:pt idx="4">
                  <c:v>2110.5878909746098</c:v>
                </c:pt>
                <c:pt idx="5">
                  <c:v>2072.1483225191987</c:v>
                </c:pt>
                <c:pt idx="6">
                  <c:v>2101.905941836299</c:v>
                </c:pt>
                <c:pt idx="7">
                  <c:v>2151.2208658093541</c:v>
                </c:pt>
                <c:pt idx="8">
                  <c:v>2156.0457121558738</c:v>
                </c:pt>
                <c:pt idx="9">
                  <c:v>2149.2138525216237</c:v>
                </c:pt>
                <c:pt idx="10">
                  <c:v>2105.3949279528888</c:v>
                </c:pt>
                <c:pt idx="11">
                  <c:v>2110.5059697888632</c:v>
                </c:pt>
                <c:pt idx="12">
                  <c:v>2060.9809092917803</c:v>
                </c:pt>
                <c:pt idx="13">
                  <c:v>2057.9697083137771</c:v>
                </c:pt>
                <c:pt idx="14">
                  <c:v>2046.6425698686689</c:v>
                </c:pt>
                <c:pt idx="15">
                  <c:v>2024.1352837109998</c:v>
                </c:pt>
                <c:pt idx="16">
                  <c:v>2002.7600912586975</c:v>
                </c:pt>
                <c:pt idx="17">
                  <c:v>1988.1116037068773</c:v>
                </c:pt>
                <c:pt idx="18">
                  <c:v>1975.716442182129</c:v>
                </c:pt>
                <c:pt idx="19">
                  <c:v>1952.340543101122</c:v>
                </c:pt>
                <c:pt idx="20">
                  <c:v>1827.0537950139717</c:v>
                </c:pt>
                <c:pt idx="21">
                  <c:v>1839.1078374617086</c:v>
                </c:pt>
                <c:pt idx="22">
                  <c:v>1848.7390693946784</c:v>
                </c:pt>
                <c:pt idx="23">
                  <c:v>1858.368456585466</c:v>
                </c:pt>
                <c:pt idx="24">
                  <c:v>1872.1030975378981</c:v>
                </c:pt>
                <c:pt idx="25">
                  <c:v>1885.733653880304</c:v>
                </c:pt>
                <c:pt idx="26">
                  <c:v>1899.3547888588755</c:v>
                </c:pt>
                <c:pt idx="27">
                  <c:v>1911.8674380110963</c:v>
                </c:pt>
                <c:pt idx="28">
                  <c:v>1925.7867108207331</c:v>
                </c:pt>
                <c:pt idx="29">
                  <c:v>1937.7107555695675</c:v>
                </c:pt>
                <c:pt idx="30">
                  <c:v>1950.0266613308431</c:v>
                </c:pt>
                <c:pt idx="31">
                  <c:v>1959.6006592403614</c:v>
                </c:pt>
                <c:pt idx="32">
                  <c:v>1970.89040546312</c:v>
                </c:pt>
                <c:pt idx="33">
                  <c:v>1982.4723322869459</c:v>
                </c:pt>
                <c:pt idx="34">
                  <c:v>1965.8619730377711</c:v>
                </c:pt>
                <c:pt idx="35">
                  <c:v>640.09357373591399</c:v>
                </c:pt>
                <c:pt idx="36">
                  <c:v>638.51321207926173</c:v>
                </c:pt>
                <c:pt idx="37">
                  <c:v>643.59700815241945</c:v>
                </c:pt>
                <c:pt idx="38">
                  <c:v>648.6678890800307</c:v>
                </c:pt>
                <c:pt idx="39">
                  <c:v>653.72733959562072</c:v>
                </c:pt>
                <c:pt idx="40">
                  <c:v>658.77676119275498</c:v>
                </c:pt>
                <c:pt idx="41">
                  <c:v>662.61445083523608</c:v>
                </c:pt>
                <c:pt idx="42">
                  <c:v>666.44728919783688</c:v>
                </c:pt>
                <c:pt idx="43">
                  <c:v>670.27418432875038</c:v>
                </c:pt>
                <c:pt idx="44">
                  <c:v>674.09586441948522</c:v>
                </c:pt>
                <c:pt idx="45">
                  <c:v>677.91302277025056</c:v>
                </c:pt>
                <c:pt idx="46">
                  <c:v>681.36450987109947</c:v>
                </c:pt>
                <c:pt idx="47">
                  <c:v>684.80869369021639</c:v>
                </c:pt>
                <c:pt idx="48">
                  <c:v>688.24420864712101</c:v>
                </c:pt>
                <c:pt idx="49">
                  <c:v>691.67160453474662</c:v>
                </c:pt>
                <c:pt idx="50">
                  <c:v>695.09140644933632</c:v>
                </c:pt>
              </c:numCache>
            </c:numRef>
          </c:val>
          <c:extLst>
            <c:ext xmlns:c16="http://schemas.microsoft.com/office/drawing/2014/chart" uri="{C3380CC4-5D6E-409C-BE32-E72D297353CC}">
              <c16:uniqueId val="{00000008-2D26-4177-8A16-4D1FE8C89A7C}"/>
            </c:ext>
          </c:extLst>
        </c:ser>
        <c:ser>
          <c:idx val="9"/>
          <c:order val="9"/>
          <c:tx>
            <c:strRef>
              <c:f>'Emissions summary'!$C$67</c:f>
              <c:strCache>
                <c:ptCount val="1"/>
                <c:pt idx="0">
                  <c:v>Indirect N2O from MM</c:v>
                </c:pt>
              </c:strCache>
            </c:strRef>
          </c:tx>
          <c:spPr>
            <a:solidFill>
              <a:schemeClr val="accent4">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summary'!$F$67:$BN$67</c15:sqref>
                  </c15:fullRef>
                </c:ext>
              </c:extLst>
              <c:f>'Emissions summary'!$P$67:$BN$67</c:f>
              <c:numCache>
                <c:formatCode>General</c:formatCode>
                <c:ptCount val="51"/>
                <c:pt idx="0">
                  <c:v>416.19353174110165</c:v>
                </c:pt>
                <c:pt idx="1">
                  <c:v>413.8758977418791</c:v>
                </c:pt>
                <c:pt idx="2">
                  <c:v>402.12489933360166</c:v>
                </c:pt>
                <c:pt idx="3">
                  <c:v>382.08437212452515</c:v>
                </c:pt>
                <c:pt idx="4">
                  <c:v>379.738143309794</c:v>
                </c:pt>
                <c:pt idx="5">
                  <c:v>398.98840509467396</c:v>
                </c:pt>
                <c:pt idx="6">
                  <c:v>404.11898883233295</c:v>
                </c:pt>
                <c:pt idx="7">
                  <c:v>412.20171589966418</c:v>
                </c:pt>
                <c:pt idx="8">
                  <c:v>446.09004051714021</c:v>
                </c:pt>
                <c:pt idx="9">
                  <c:v>443.47274862625261</c:v>
                </c:pt>
                <c:pt idx="10">
                  <c:v>446.04525464561482</c:v>
                </c:pt>
                <c:pt idx="11">
                  <c:v>451.47082982836986</c:v>
                </c:pt>
                <c:pt idx="12">
                  <c:v>466.79773129071555</c:v>
                </c:pt>
                <c:pt idx="13">
                  <c:v>472.24760180276684</c:v>
                </c:pt>
                <c:pt idx="14">
                  <c:v>474.81619568240438</c:v>
                </c:pt>
                <c:pt idx="15">
                  <c:v>473.36007800468235</c:v>
                </c:pt>
                <c:pt idx="16">
                  <c:v>472.06518231426617</c:v>
                </c:pt>
                <c:pt idx="17">
                  <c:v>472.97758730787314</c:v>
                </c:pt>
                <c:pt idx="18">
                  <c:v>474.6349295201324</c:v>
                </c:pt>
                <c:pt idx="19">
                  <c:v>472.08129188563532</c:v>
                </c:pt>
                <c:pt idx="20">
                  <c:v>430.08913272981164</c:v>
                </c:pt>
                <c:pt idx="21">
                  <c:v>437.6861450466792</c:v>
                </c:pt>
                <c:pt idx="22">
                  <c:v>444.28136200166728</c:v>
                </c:pt>
                <c:pt idx="23">
                  <c:v>450.92305594769965</c:v>
                </c:pt>
                <c:pt idx="24">
                  <c:v>459.25445479378772</c:v>
                </c:pt>
                <c:pt idx="25">
                  <c:v>467.62238801610135</c:v>
                </c:pt>
                <c:pt idx="26">
                  <c:v>476.40189483372899</c:v>
                </c:pt>
                <c:pt idx="27">
                  <c:v>484.81959555984906</c:v>
                </c:pt>
                <c:pt idx="28">
                  <c:v>493.91193877537575</c:v>
                </c:pt>
                <c:pt idx="29">
                  <c:v>502.27011380991507</c:v>
                </c:pt>
                <c:pt idx="30">
                  <c:v>510.88695094997445</c:v>
                </c:pt>
                <c:pt idx="31">
                  <c:v>521.75988523067542</c:v>
                </c:pt>
                <c:pt idx="32">
                  <c:v>533.64938399930281</c:v>
                </c:pt>
                <c:pt idx="33">
                  <c:v>545.97414157171659</c:v>
                </c:pt>
                <c:pt idx="34">
                  <c:v>545.88995867239851</c:v>
                </c:pt>
                <c:pt idx="35">
                  <c:v>-55.438851228511126</c:v>
                </c:pt>
                <c:pt idx="36">
                  <c:v>-55.409421338350306</c:v>
                </c:pt>
                <c:pt idx="37">
                  <c:v>-55.391885839492112</c:v>
                </c:pt>
                <c:pt idx="38">
                  <c:v>-55.385676862160537</c:v>
                </c:pt>
                <c:pt idx="39">
                  <c:v>-55.390270199603435</c:v>
                </c:pt>
                <c:pt idx="40">
                  <c:v>-55.405181103974208</c:v>
                </c:pt>
                <c:pt idx="41">
                  <c:v>-55.318318976403994</c:v>
                </c:pt>
                <c:pt idx="42">
                  <c:v>-55.240958699136876</c:v>
                </c:pt>
                <c:pt idx="43">
                  <c:v>-55.172677763979813</c:v>
                </c:pt>
                <c:pt idx="44">
                  <c:v>-55.113082413733387</c:v>
                </c:pt>
                <c:pt idx="45">
                  <c:v>-55.061805164529432</c:v>
                </c:pt>
                <c:pt idx="46">
                  <c:v>-54.917165234570398</c:v>
                </c:pt>
                <c:pt idx="47">
                  <c:v>-54.780813725090503</c:v>
                </c:pt>
                <c:pt idx="48">
                  <c:v>-54.652413269876774</c:v>
                </c:pt>
                <c:pt idx="49">
                  <c:v>-54.531647073222899</c:v>
                </c:pt>
                <c:pt idx="50">
                  <c:v>-54.418217310343763</c:v>
                </c:pt>
              </c:numCache>
            </c:numRef>
          </c:val>
          <c:extLst>
            <c:ext xmlns:c16="http://schemas.microsoft.com/office/drawing/2014/chart" uri="{C3380CC4-5D6E-409C-BE32-E72D297353CC}">
              <c16:uniqueId val="{00000009-2D26-4177-8A16-4D1FE8C89A7C}"/>
            </c:ext>
          </c:extLst>
        </c:ser>
        <c:dLbls>
          <c:showLegendKey val="0"/>
          <c:showVal val="0"/>
          <c:showCatName val="0"/>
          <c:showSerName val="0"/>
          <c:showPercent val="0"/>
          <c:showBubbleSize val="0"/>
        </c:dLbls>
        <c:axId val="1213528255"/>
        <c:axId val="1213537823"/>
      </c:areaChart>
      <c:catAx>
        <c:axId val="12135282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37823"/>
        <c:crosses val="autoZero"/>
        <c:auto val="1"/>
        <c:lblAlgn val="ctr"/>
        <c:lblOffset val="100"/>
        <c:noMultiLvlLbl val="0"/>
      </c:catAx>
      <c:valAx>
        <c:axId val="1213537823"/>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a:t>
                </a:r>
                <a:r>
                  <a:rPr lang="en-US" sz="1200" b="1" baseline="-25000">
                    <a:solidFill>
                      <a:sysClr val="windowText" lastClr="000000"/>
                    </a:solidFill>
                  </a:rPr>
                  <a:t>2</a:t>
                </a:r>
                <a:r>
                  <a:rPr lang="en-US" sz="1200" b="1">
                    <a:solidFill>
                      <a:sysClr val="windowText" lastClr="000000"/>
                    </a:solidFill>
                  </a:rPr>
                  <a:t>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28255"/>
        <c:crosses val="autoZero"/>
        <c:crossBetween val="midCat"/>
      </c:valAx>
      <c:spPr>
        <a:noFill/>
        <a:ln>
          <a:solidFill>
            <a:schemeClr val="bg1">
              <a:lumMod val="50000"/>
            </a:schemeClr>
          </a:solidFill>
        </a:ln>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29730566521008"/>
          <c:y val="3.7734511789503676E-2"/>
          <c:w val="0.82212000309612776"/>
          <c:h val="0.70886559008750671"/>
        </c:manualLayout>
      </c:layout>
      <c:lineChart>
        <c:grouping val="standard"/>
        <c:varyColors val="0"/>
        <c:ser>
          <c:idx val="1"/>
          <c:order val="1"/>
          <c:tx>
            <c:strRef>
              <c:f>'Emissions summary'!$E$72</c:f>
              <c:strCache>
                <c:ptCount val="1"/>
                <c:pt idx="0">
                  <c:v>Aggregated non-CO2 emissions (modelled)</c:v>
                </c:pt>
              </c:strCache>
              <c:extLst xmlns:c15="http://schemas.microsoft.com/office/drawing/2012/chart"/>
            </c:strRef>
          </c:tx>
          <c:spPr>
            <a:ln w="28575" cap="rnd">
              <a:solidFill>
                <a:srgbClr val="00B0F0"/>
              </a:solidFill>
              <a:round/>
            </a:ln>
            <a:effectLst/>
          </c:spPr>
          <c:marker>
            <c:symbol val="none"/>
          </c:marker>
          <c:cat>
            <c:numRef>
              <c:extLst>
                <c:ext xmlns:c15="http://schemas.microsoft.com/office/drawing/2012/chart" uri="{02D57815-91ED-43cb-92C2-25804820EDAC}">
                  <c15:fullRef>
                    <c15:sqref>'Emissions summary'!$F$70:$AG$70</c15:sqref>
                  </c15:fullRef>
                </c:ext>
              </c:extLst>
              <c:f>'Emissions summary'!$Z$70:$AG$70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summary'!$F$72:$AG$72</c15:sqref>
                  </c15:fullRef>
                </c:ext>
              </c:extLst>
              <c:f>'Emissions summary'!$Z$72:$AG$72</c:f>
              <c:numCache>
                <c:formatCode>General</c:formatCode>
                <c:ptCount val="8"/>
                <c:pt idx="0">
                  <c:v>22400.815411577827</c:v>
                </c:pt>
                <c:pt idx="1">
                  <c:v>22528.596906718252</c:v>
                </c:pt>
                <c:pt idx="2">
                  <c:v>22992.959698206956</c:v>
                </c:pt>
                <c:pt idx="3">
                  <c:v>23036.132422452658</c:v>
                </c:pt>
                <c:pt idx="4">
                  <c:v>22901.315582132636</c:v>
                </c:pt>
                <c:pt idx="5">
                  <c:v>22660.106236692576</c:v>
                </c:pt>
                <c:pt idx="6">
                  <c:v>22467.396603154113</c:v>
                </c:pt>
                <c:pt idx="7">
                  <c:v>22334.902158843899</c:v>
                </c:pt>
              </c:numCache>
            </c:numRef>
          </c:val>
          <c:smooth val="0"/>
          <c:extLst xmlns:c15="http://schemas.microsoft.com/office/drawing/2012/chart">
            <c:ext xmlns:c16="http://schemas.microsoft.com/office/drawing/2014/chart" uri="{C3380CC4-5D6E-409C-BE32-E72D297353CC}">
              <c16:uniqueId val="{00000001-CC99-489C-98D5-1E78AF22B1ED}"/>
            </c:ext>
          </c:extLst>
        </c:ser>
        <c:ser>
          <c:idx val="4"/>
          <c:order val="4"/>
          <c:tx>
            <c:strRef>
              <c:f>'Emissions summary'!$E$75</c:f>
              <c:strCache>
                <c:ptCount val="1"/>
                <c:pt idx="0">
                  <c:v>Aggregated non-CO2 emissions (2017 inventory)</c:v>
                </c:pt>
              </c:strCache>
              <c:extLst xmlns:c15="http://schemas.microsoft.com/office/drawing/2012/chart"/>
            </c:strRef>
          </c:tx>
          <c:spPr>
            <a:ln w="28575" cap="rnd">
              <a:solidFill>
                <a:schemeClr val="accent2"/>
              </a:solidFill>
              <a:round/>
            </a:ln>
            <a:effectLst/>
          </c:spPr>
          <c:marker>
            <c:symbol val="none"/>
          </c:marker>
          <c:cat>
            <c:numRef>
              <c:extLst>
                <c:ext xmlns:c15="http://schemas.microsoft.com/office/drawing/2012/chart" uri="{02D57815-91ED-43cb-92C2-25804820EDAC}">
                  <c15:fullRef>
                    <c15:sqref>'Emissions summary'!$F$70:$AG$70</c15:sqref>
                  </c15:fullRef>
                </c:ext>
              </c:extLst>
              <c:f>'Emissions summary'!$Z$70:$AG$70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summary'!$F$75:$AG$75</c15:sqref>
                  </c15:fullRef>
                </c:ext>
              </c:extLst>
              <c:f>'Emissions summary'!$Z$75:$AG$75</c:f>
              <c:numCache>
                <c:formatCode>General</c:formatCode>
                <c:ptCount val="8"/>
                <c:pt idx="0">
                  <c:v>25130.517014652847</c:v>
                </c:pt>
                <c:pt idx="1">
                  <c:v>25304.85592670933</c:v>
                </c:pt>
                <c:pt idx="2">
                  <c:v>24407.03698205229</c:v>
                </c:pt>
                <c:pt idx="3">
                  <c:v>25679.803908205235</c:v>
                </c:pt>
                <c:pt idx="4">
                  <c:v>25935.14594405461</c:v>
                </c:pt>
                <c:pt idx="5">
                  <c:v>24944.276967369409</c:v>
                </c:pt>
                <c:pt idx="6">
                  <c:v>23249.801068831042</c:v>
                </c:pt>
                <c:pt idx="7">
                  <c:v>23515.861940250066</c:v>
                </c:pt>
              </c:numCache>
            </c:numRef>
          </c:val>
          <c:smooth val="0"/>
          <c:extLst xmlns:c15="http://schemas.microsoft.com/office/drawing/2012/chart">
            <c:ext xmlns:c16="http://schemas.microsoft.com/office/drawing/2014/chart" uri="{C3380CC4-5D6E-409C-BE32-E72D297353CC}">
              <c16:uniqueId val="{00000004-CC99-489C-98D5-1E78AF22B1ED}"/>
            </c:ext>
          </c:extLst>
        </c:ser>
        <c:ser>
          <c:idx val="7"/>
          <c:order val="7"/>
          <c:tx>
            <c:strRef>
              <c:f>'Emissions summary'!$E$78</c:f>
              <c:strCache>
                <c:ptCount val="1"/>
                <c:pt idx="0">
                  <c:v>Aggregated non-CO2 emissions (corrected 2017 inventory)</c:v>
                </c:pt>
              </c:strCache>
              <c:extLst xmlns:c15="http://schemas.microsoft.com/office/drawing/2012/chart"/>
            </c:strRef>
          </c:tx>
          <c:spPr>
            <a:ln w="28575" cap="rnd">
              <a:solidFill>
                <a:srgbClr val="009900"/>
              </a:solidFill>
              <a:round/>
            </a:ln>
            <a:effectLst/>
          </c:spPr>
          <c:marker>
            <c:symbol val="none"/>
          </c:marker>
          <c:cat>
            <c:numRef>
              <c:extLst>
                <c:ext xmlns:c15="http://schemas.microsoft.com/office/drawing/2012/chart" uri="{02D57815-91ED-43cb-92C2-25804820EDAC}">
                  <c15:fullRef>
                    <c15:sqref>'Emissions summary'!$F$70:$AG$70</c15:sqref>
                  </c15:fullRef>
                </c:ext>
              </c:extLst>
              <c:f>'Emissions summary'!$Z$70:$AG$70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summary'!$F$78:$AG$78</c15:sqref>
                  </c15:fullRef>
                </c:ext>
              </c:extLst>
              <c:f>'Emissions summary'!$Z$78:$AG$78</c:f>
              <c:numCache>
                <c:formatCode>General</c:formatCode>
                <c:ptCount val="8"/>
                <c:pt idx="0">
                  <c:v>23986.77417374069</c:v>
                </c:pt>
                <c:pt idx="1">
                  <c:v>24215.606096707954</c:v>
                </c:pt>
                <c:pt idx="2">
                  <c:v>23466.796841445379</c:v>
                </c:pt>
                <c:pt idx="3">
                  <c:v>24452.726550481024</c:v>
                </c:pt>
                <c:pt idx="4">
                  <c:v>24798.187695034216</c:v>
                </c:pt>
                <c:pt idx="5">
                  <c:v>23781.729632572271</c:v>
                </c:pt>
                <c:pt idx="6">
                  <c:v>22214.078479972708</c:v>
                </c:pt>
                <c:pt idx="7">
                  <c:v>22369.490596120992</c:v>
                </c:pt>
              </c:numCache>
            </c:numRef>
          </c:val>
          <c:smooth val="0"/>
          <c:extLst xmlns:c15="http://schemas.microsoft.com/office/drawing/2012/chart">
            <c:ext xmlns:c16="http://schemas.microsoft.com/office/drawing/2014/chart" uri="{C3380CC4-5D6E-409C-BE32-E72D297353CC}">
              <c16:uniqueId val="{00000001-6D0C-4AF7-8613-D2BA1200AB6B}"/>
            </c:ext>
          </c:extLst>
        </c:ser>
        <c:dLbls>
          <c:showLegendKey val="0"/>
          <c:showVal val="0"/>
          <c:showCatName val="0"/>
          <c:showSerName val="0"/>
          <c:showPercent val="0"/>
          <c:showBubbleSize val="0"/>
        </c:dLbls>
        <c:smooth val="0"/>
        <c:axId val="453903840"/>
        <c:axId val="453912160"/>
        <c:extLst>
          <c:ext xmlns:c15="http://schemas.microsoft.com/office/drawing/2012/chart" uri="{02D57815-91ED-43cb-92C2-25804820EDAC}">
            <c15:filteredLineSeries>
              <c15:ser>
                <c:idx val="0"/>
                <c:order val="0"/>
                <c:tx>
                  <c:strRef>
                    <c:extLst>
                      <c:ext uri="{02D57815-91ED-43cb-92C2-25804820EDAC}">
                        <c15:formulaRef>
                          <c15:sqref>'Emissions summary'!$E$71</c15:sqref>
                        </c15:formulaRef>
                      </c:ext>
                    </c:extLst>
                    <c:strCache>
                      <c:ptCount val="1"/>
                      <c:pt idx="0">
                        <c:v>Livestock emissions (modelled)</c:v>
                      </c:pt>
                    </c:strCache>
                  </c:strRef>
                </c:tx>
                <c:spPr>
                  <a:ln w="28575" cap="rnd">
                    <a:solidFill>
                      <a:srgbClr val="00B0F0"/>
                    </a:solidFill>
                    <a:round/>
                  </a:ln>
                  <a:effectLst/>
                </c:spPr>
                <c:marker>
                  <c:symbol val="none"/>
                </c:marker>
                <c:cat>
                  <c:numRef>
                    <c:extLst>
                      <c:ex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uri="{02D57815-91ED-43cb-92C2-25804820EDAC}">
                        <c15:fullRef>
                          <c15:sqref>'Emissions summary'!$F$71:$AG$71</c15:sqref>
                        </c15:fullRef>
                        <c15:formulaRef>
                          <c15:sqref>'Emissions summary'!$Z$71:$AG$71</c15:sqref>
                        </c15:formulaRef>
                      </c:ext>
                    </c:extLst>
                    <c:numCache>
                      <c:formatCode>General</c:formatCode>
                      <c:ptCount val="8"/>
                      <c:pt idx="0">
                        <c:v>27614.256694686857</c:v>
                      </c:pt>
                      <c:pt idx="1">
                        <c:v>27581.637898711942</c:v>
                      </c:pt>
                      <c:pt idx="2">
                        <c:v>27155.965523872386</c:v>
                      </c:pt>
                      <c:pt idx="3">
                        <c:v>27115.021463528858</c:v>
                      </c:pt>
                      <c:pt idx="4">
                        <c:v>26924.566482309066</c:v>
                      </c:pt>
                      <c:pt idx="5">
                        <c:v>26534.654827357805</c:v>
                      </c:pt>
                      <c:pt idx="6">
                        <c:v>26161.740003195791</c:v>
                      </c:pt>
                      <c:pt idx="7">
                        <c:v>25904.138333496783</c:v>
                      </c:pt>
                    </c:numCache>
                  </c:numRef>
                </c:val>
                <c:smooth val="0"/>
                <c:extLst>
                  <c:ext xmlns:c16="http://schemas.microsoft.com/office/drawing/2014/chart" uri="{C3380CC4-5D6E-409C-BE32-E72D297353CC}">
                    <c16:uniqueId val="{00000000-CC99-489C-98D5-1E78AF22B1ED}"/>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'Emissions summary'!$E$73</c15:sqref>
                        </c15:formulaRef>
                      </c:ext>
                    </c:extLst>
                    <c:strCache>
                      <c:ptCount val="1"/>
                      <c:pt idx="0">
                        <c:v>Total agriculture (model)</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summary'!$F$73:$AG$73</c15:sqref>
                        </c15:fullRef>
                        <c15:formulaRef>
                          <c15:sqref>'Emissions summary'!$Z$73:$AG$73</c15:sqref>
                        </c15:formulaRef>
                      </c:ext>
                    </c:extLst>
                    <c:numCache>
                      <c:formatCode>General</c:formatCode>
                      <c:ptCount val="8"/>
                      <c:pt idx="0">
                        <c:v>50015.072106264684</c:v>
                      </c:pt>
                      <c:pt idx="1">
                        <c:v>50110.234805430198</c:v>
                      </c:pt>
                      <c:pt idx="2">
                        <c:v>50148.925222079342</c:v>
                      </c:pt>
                      <c:pt idx="3">
                        <c:v>50151.153885981519</c:v>
                      </c:pt>
                      <c:pt idx="4">
                        <c:v>49825.882064441699</c:v>
                      </c:pt>
                      <c:pt idx="5">
                        <c:v>49194.761064050384</c:v>
                      </c:pt>
                      <c:pt idx="6">
                        <c:v>48629.136606349901</c:v>
                      </c:pt>
                      <c:pt idx="7">
                        <c:v>48239.040492340682</c:v>
                      </c:pt>
                    </c:numCache>
                  </c:numRef>
                </c:val>
                <c:smooth val="0"/>
                <c:extLst xmlns:c15="http://schemas.microsoft.com/office/drawing/2012/chart">
                  <c:ext xmlns:c16="http://schemas.microsoft.com/office/drawing/2014/chart" uri="{C3380CC4-5D6E-409C-BE32-E72D297353CC}">
                    <c16:uniqueId val="{00000002-CC99-489C-98D5-1E78AF22B1ED}"/>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'Emissions summary'!$E$74</c15:sqref>
                        </c15:formulaRef>
                      </c:ext>
                    </c:extLst>
                    <c:strCache>
                      <c:ptCount val="1"/>
                      <c:pt idx="0">
                        <c:v>Livestock emissions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summary'!$F$74:$AG$74</c15:sqref>
                        </c15:fullRef>
                        <c15:formulaRef>
                          <c15:sqref>'Emissions summary'!$Z$74:$AG$74</c15:sqref>
                        </c15:formulaRef>
                      </c:ext>
                    </c:extLst>
                    <c:numCache>
                      <c:formatCode>General</c:formatCode>
                      <c:ptCount val="8"/>
                      <c:pt idx="0">
                        <c:v>29466.291233402069</c:v>
                      </c:pt>
                      <c:pt idx="1">
                        <c:v>29540.386989025857</c:v>
                      </c:pt>
                      <c:pt idx="2">
                        <c:v>28765.723679034749</c:v>
                      </c:pt>
                      <c:pt idx="3">
                        <c:v>29976.162007053368</c:v>
                      </c:pt>
                      <c:pt idx="4">
                        <c:v>29854.259774176113</c:v>
                      </c:pt>
                      <c:pt idx="5">
                        <c:v>29764.794009191111</c:v>
                      </c:pt>
                      <c:pt idx="6">
                        <c:v>28493.468307353363</c:v>
                      </c:pt>
                      <c:pt idx="7">
                        <c:v>28161.291437902692</c:v>
                      </c:pt>
                    </c:numCache>
                  </c:numRef>
                </c:val>
                <c:smooth val="0"/>
                <c:extLst xmlns:c15="http://schemas.microsoft.com/office/drawing/2012/chart">
                  <c:ext xmlns:c16="http://schemas.microsoft.com/office/drawing/2014/chart" uri="{C3380CC4-5D6E-409C-BE32-E72D297353CC}">
                    <c16:uniqueId val="{00000003-CC99-489C-98D5-1E78AF22B1ED}"/>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'Emissions summary'!$E$76</c15:sqref>
                        </c15:formulaRef>
                      </c:ext>
                    </c:extLst>
                    <c:strCache>
                      <c:ptCount val="1"/>
                      <c:pt idx="0">
                        <c:v>Total agricuture (original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summary'!$F$76:$AG$76</c15:sqref>
                        </c15:fullRef>
                        <c15:formulaRef>
                          <c15:sqref>'Emissions summary'!$Z$76:$AG$76</c15:sqref>
                        </c15:formulaRef>
                      </c:ext>
                    </c:extLst>
                    <c:numCache>
                      <c:formatCode>General</c:formatCode>
                      <c:ptCount val="8"/>
                      <c:pt idx="0">
                        <c:v>54596.80824805492</c:v>
                      </c:pt>
                      <c:pt idx="1">
                        <c:v>54845.242915735187</c:v>
                      </c:pt>
                      <c:pt idx="2">
                        <c:v>53172.760661087043</c:v>
                      </c:pt>
                      <c:pt idx="3">
                        <c:v>55655.965915258603</c:v>
                      </c:pt>
                      <c:pt idx="4">
                        <c:v>55789.405718230722</c:v>
                      </c:pt>
                      <c:pt idx="5">
                        <c:v>54709.070976560521</c:v>
                      </c:pt>
                      <c:pt idx="6">
                        <c:v>51743.269376184406</c:v>
                      </c:pt>
                      <c:pt idx="7">
                        <c:v>51677.153378152754</c:v>
                      </c:pt>
                    </c:numCache>
                  </c:numRef>
                </c:val>
                <c:smooth val="0"/>
                <c:extLst xmlns:c15="http://schemas.microsoft.com/office/drawing/2012/chart">
                  <c:ext xmlns:c16="http://schemas.microsoft.com/office/drawing/2014/chart" uri="{C3380CC4-5D6E-409C-BE32-E72D297353CC}">
                    <c16:uniqueId val="{00000005-CC99-489C-98D5-1E78AF22B1ED}"/>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'Emissions summary'!$E$77</c15:sqref>
                        </c15:formulaRef>
                      </c:ext>
                    </c:extLst>
                    <c:strCache>
                      <c:ptCount val="1"/>
                      <c:pt idx="0">
                        <c:v>Livestock emissions (corrected 2017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summary'!$F$77:$AG$77</c15:sqref>
                        </c15:fullRef>
                        <c15:formulaRef>
                          <c15:sqref>'Emissions summary'!$Z$77:$AG$77</c15:sqref>
                        </c15:formulaRef>
                      </c:ext>
                    </c:extLst>
                    <c:numCache>
                      <c:formatCode>General</c:formatCode>
                      <c:ptCount val="8"/>
                      <c:pt idx="0">
                        <c:v>27664.377940114457</c:v>
                      </c:pt>
                      <c:pt idx="1">
                        <c:v>27801.534910949355</c:v>
                      </c:pt>
                      <c:pt idx="2">
                        <c:v>27190.794316586092</c:v>
                      </c:pt>
                      <c:pt idx="3">
                        <c:v>28125.443821791141</c:v>
                      </c:pt>
                      <c:pt idx="4">
                        <c:v>28132.073619111641</c:v>
                      </c:pt>
                      <c:pt idx="5">
                        <c:v>28022.596440230893</c:v>
                      </c:pt>
                      <c:pt idx="6">
                        <c:v>26770.512864029439</c:v>
                      </c:pt>
                      <c:pt idx="7">
                        <c:v>26272.330661039257</c:v>
                      </c:pt>
                    </c:numCache>
                  </c:numRef>
                </c:val>
                <c:smooth val="0"/>
                <c:extLst xmlns:c15="http://schemas.microsoft.com/office/drawing/2012/chart">
                  <c:ext xmlns:c16="http://schemas.microsoft.com/office/drawing/2014/chart" uri="{C3380CC4-5D6E-409C-BE32-E72D297353CC}">
                    <c16:uniqueId val="{00000000-6D0C-4AF7-8613-D2BA1200AB6B}"/>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'Emissions summary'!$E$79</c15:sqref>
                        </c15:formulaRef>
                      </c:ext>
                    </c:extLst>
                    <c:strCache>
                      <c:ptCount val="1"/>
                      <c:pt idx="0">
                        <c:v>Total agricuture (corrected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summary'!$F$79:$AG$79</c15:sqref>
                        </c15:fullRef>
                        <c15:formulaRef>
                          <c15:sqref>'Emissions summary'!$Z$79:$AG$79</c15:sqref>
                        </c15:formulaRef>
                      </c:ext>
                    </c:extLst>
                    <c:numCache>
                      <c:formatCode>General</c:formatCode>
                      <c:ptCount val="8"/>
                      <c:pt idx="0">
                        <c:v>51651.152113855147</c:v>
                      </c:pt>
                      <c:pt idx="1">
                        <c:v>52017.141007657308</c:v>
                      </c:pt>
                      <c:pt idx="2">
                        <c:v>50657.591158031471</c:v>
                      </c:pt>
                      <c:pt idx="3">
                        <c:v>52578.170372272165</c:v>
                      </c:pt>
                      <c:pt idx="4">
                        <c:v>52930.261314145857</c:v>
                      </c:pt>
                      <c:pt idx="5">
                        <c:v>51804.32607280316</c:v>
                      </c:pt>
                      <c:pt idx="6">
                        <c:v>48984.591344002147</c:v>
                      </c:pt>
                      <c:pt idx="7">
                        <c:v>48641.821257160249</c:v>
                      </c:pt>
                    </c:numCache>
                  </c:numRef>
                </c:val>
                <c:smooth val="0"/>
                <c:extLst xmlns:c15="http://schemas.microsoft.com/office/drawing/2012/chart">
                  <c:ext xmlns:c16="http://schemas.microsoft.com/office/drawing/2014/chart" uri="{C3380CC4-5D6E-409C-BE32-E72D297353CC}">
                    <c16:uniqueId val="{00000002-6D0C-4AF7-8613-D2BA1200AB6B}"/>
                  </c:ext>
                </c:extLst>
              </c15:ser>
            </c15:filteredLineSeries>
          </c:ext>
        </c:extLst>
      </c:lineChart>
      <c:catAx>
        <c:axId val="453903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12160"/>
        <c:crosses val="autoZero"/>
        <c:auto val="1"/>
        <c:lblAlgn val="ctr"/>
        <c:lblOffset val="100"/>
        <c:noMultiLvlLbl val="0"/>
      </c:catAx>
      <c:valAx>
        <c:axId val="453912160"/>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(GgCo2e)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03840"/>
        <c:crosses val="autoZero"/>
        <c:crossBetween val="between"/>
      </c:valAx>
      <c:spPr>
        <a:noFill/>
        <a:ln>
          <a:solidFill>
            <a:schemeClr val="bg1">
              <a:lumMod val="50000"/>
            </a:schemeClr>
          </a:solidFill>
        </a:ln>
        <a:effectLst/>
      </c:spPr>
    </c:plotArea>
    <c:legend>
      <c:legendPos val="b"/>
      <c:layout>
        <c:manualLayout>
          <c:xMode val="edge"/>
          <c:yMode val="edge"/>
          <c:x val="0.11455250399330111"/>
          <c:y val="0.8499483744397186"/>
          <c:w val="0.85847304609712005"/>
          <c:h val="0.13168194219142609"/>
        </c:manualLayout>
      </c:layout>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'Emissions summary'!$E$118</c:f>
              <c:strCache>
                <c:ptCount val="1"/>
                <c:pt idx="0">
                  <c:v>Direct N2O</c:v>
                </c:pt>
              </c:strCache>
            </c:strRef>
          </c:tx>
          <c:spPr>
            <a:ln w="28575" cap="rnd">
              <a:solidFill>
                <a:schemeClr val="accent5"/>
              </a:solidFill>
              <a:round/>
            </a:ln>
            <a:effectLst/>
          </c:spPr>
          <c:marker>
            <c:symbol val="none"/>
          </c:marker>
          <c:cat>
            <c:numRef>
              <c:f>'Emissions summary'!$F$113:$AG$113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'Emissions summary'!$F$118:$AG$118</c:f>
              <c:numCache>
                <c:formatCode>General</c:formatCode>
                <c:ptCount val="28"/>
                <c:pt idx="0">
                  <c:v>19504.904423790304</c:v>
                </c:pt>
                <c:pt idx="1">
                  <c:v>20660.917389673377</c:v>
                </c:pt>
                <c:pt idx="2">
                  <c:v>20413.635505827424</c:v>
                </c:pt>
                <c:pt idx="3">
                  <c:v>20401.840953256564</c:v>
                </c:pt>
                <c:pt idx="4">
                  <c:v>20005.189321068094</c:v>
                </c:pt>
                <c:pt idx="5">
                  <c:v>19413.178172066404</c:v>
                </c:pt>
                <c:pt idx="6">
                  <c:v>20236.165839433314</c:v>
                </c:pt>
                <c:pt idx="7">
                  <c:v>20567.076909773743</c:v>
                </c:pt>
                <c:pt idx="8">
                  <c:v>20477.475675482336</c:v>
                </c:pt>
                <c:pt idx="9">
                  <c:v>20440.765105122711</c:v>
                </c:pt>
                <c:pt idx="10">
                  <c:v>20694.986539568359</c:v>
                </c:pt>
                <c:pt idx="11">
                  <c:v>19970.885013290266</c:v>
                </c:pt>
                <c:pt idx="12">
                  <c:v>20364.171552574975</c:v>
                </c:pt>
                <c:pt idx="13">
                  <c:v>20058.54412967978</c:v>
                </c:pt>
                <c:pt idx="14">
                  <c:v>19708.290781864089</c:v>
                </c:pt>
                <c:pt idx="15">
                  <c:v>19400.216324542769</c:v>
                </c:pt>
                <c:pt idx="16">
                  <c:v>19051.161605532838</c:v>
                </c:pt>
                <c:pt idx="17">
                  <c:v>19933.38774514115</c:v>
                </c:pt>
                <c:pt idx="18">
                  <c:v>20282.655015129261</c:v>
                </c:pt>
                <c:pt idx="19">
                  <c:v>20068.349414068991</c:v>
                </c:pt>
                <c:pt idx="20">
                  <c:v>19848.964864156231</c:v>
                </c:pt>
                <c:pt idx="21">
                  <c:v>19725.318772611696</c:v>
                </c:pt>
                <c:pt idx="22">
                  <c:v>20225.965895215482</c:v>
                </c:pt>
                <c:pt idx="23">
                  <c:v>20168.260387452727</c:v>
                </c:pt>
                <c:pt idx="24">
                  <c:v>20134.219305294246</c:v>
                </c:pt>
                <c:pt idx="25">
                  <c:v>19667.183224832243</c:v>
                </c:pt>
                <c:pt idx="26">
                  <c:v>18969.40439195502</c:v>
                </c:pt>
                <c:pt idx="27">
                  <c:v>19186.386775060691</c:v>
                </c:pt>
              </c:numCache>
            </c:numRef>
          </c:val>
          <c:smooth val="0"/>
          <c:extLst>
            <c:ext xmlns:c16="http://schemas.microsoft.com/office/drawing/2014/chart" uri="{C3380CC4-5D6E-409C-BE32-E72D297353CC}">
              <c16:uniqueId val="{00000004-521A-4052-915B-F059FD434B62}"/>
            </c:ext>
          </c:extLst>
        </c:ser>
        <c:ser>
          <c:idx val="11"/>
          <c:order val="11"/>
          <c:tx>
            <c:strRef>
              <c:f>'Emissions summary'!$E$125</c:f>
              <c:strCache>
                <c:ptCount val="1"/>
                <c:pt idx="0">
                  <c:v>Direct N2O (inventory)</c:v>
                </c:pt>
              </c:strCache>
            </c:strRef>
          </c:tx>
          <c:spPr>
            <a:ln w="28575" cap="rnd">
              <a:solidFill>
                <a:schemeClr val="accent6">
                  <a:lumMod val="60000"/>
                </a:schemeClr>
              </a:solidFill>
              <a:round/>
            </a:ln>
            <a:effectLst/>
          </c:spPr>
          <c:marker>
            <c:symbol val="none"/>
          </c:marker>
          <c:cat>
            <c:numRef>
              <c:f>'Emissions summary'!$F$113:$AG$113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'Emissions summary'!$F$125:$AG$125</c:f>
              <c:numCache>
                <c:formatCode>General</c:formatCode>
                <c:ptCount val="28"/>
                <c:pt idx="0">
                  <c:v>18467.2344176074</c:v>
                </c:pt>
                <c:pt idx="1">
                  <c:v>19894.379979012047</c:v>
                </c:pt>
                <c:pt idx="2">
                  <c:v>19508.057170250366</c:v>
                </c:pt>
                <c:pt idx="3">
                  <c:v>19296.286149483876</c:v>
                </c:pt>
                <c:pt idx="4">
                  <c:v>18829.799299341739</c:v>
                </c:pt>
                <c:pt idx="5">
                  <c:v>18816.693751205934</c:v>
                </c:pt>
                <c:pt idx="6">
                  <c:v>19386.372113208152</c:v>
                </c:pt>
                <c:pt idx="7">
                  <c:v>19675.368284891847</c:v>
                </c:pt>
                <c:pt idx="8">
                  <c:v>19967.155293555603</c:v>
                </c:pt>
                <c:pt idx="9">
                  <c:v>20038.391547786159</c:v>
                </c:pt>
                <c:pt idx="10">
                  <c:v>20072.524975980316</c:v>
                </c:pt>
                <c:pt idx="11">
                  <c:v>19701.088061992123</c:v>
                </c:pt>
                <c:pt idx="12">
                  <c:v>20023.216099759749</c:v>
                </c:pt>
                <c:pt idx="13">
                  <c:v>19072.340993484708</c:v>
                </c:pt>
                <c:pt idx="14">
                  <c:v>18849.389549512067</c:v>
                </c:pt>
                <c:pt idx="15">
                  <c:v>18446.259485586925</c:v>
                </c:pt>
                <c:pt idx="16">
                  <c:v>18589.571736189206</c:v>
                </c:pt>
                <c:pt idx="17">
                  <c:v>18224.734436942501</c:v>
                </c:pt>
                <c:pt idx="18">
                  <c:v>19088.198147813157</c:v>
                </c:pt>
                <c:pt idx="19">
                  <c:v>18553.028011451712</c:v>
                </c:pt>
                <c:pt idx="20">
                  <c:v>18939.805460502525</c:v>
                </c:pt>
                <c:pt idx="21">
                  <c:v>18994.993526805851</c:v>
                </c:pt>
                <c:pt idx="22">
                  <c:v>18278.302953548075</c:v>
                </c:pt>
                <c:pt idx="23">
                  <c:v>19582.342769355033</c:v>
                </c:pt>
                <c:pt idx="24">
                  <c:v>19570.475186144038</c:v>
                </c:pt>
                <c:pt idx="25">
                  <c:v>19327.673861761683</c:v>
                </c:pt>
                <c:pt idx="26">
                  <c:v>18029.075027657447</c:v>
                </c:pt>
                <c:pt idx="27">
                  <c:v>18081.049004423898</c:v>
                </c:pt>
              </c:numCache>
            </c:numRef>
          </c:val>
          <c:smooth val="0"/>
          <c:extLst>
            <c:ext xmlns:c16="http://schemas.microsoft.com/office/drawing/2014/chart" uri="{C3380CC4-5D6E-409C-BE32-E72D297353CC}">
              <c16:uniqueId val="{0000000B-521A-4052-915B-F059FD434B62}"/>
            </c:ext>
          </c:extLst>
        </c:ser>
        <c:dLbls>
          <c:showLegendKey val="0"/>
          <c:showVal val="0"/>
          <c:showCatName val="0"/>
          <c:showSerName val="0"/>
          <c:showPercent val="0"/>
          <c:showBubbleSize val="0"/>
        </c:dLbls>
        <c:smooth val="0"/>
        <c:axId val="1363460784"/>
        <c:axId val="1363463696"/>
        <c:extLst>
          <c:ext xmlns:c15="http://schemas.microsoft.com/office/drawing/2012/chart" uri="{02D57815-91ED-43cb-92C2-25804820EDAC}">
            <c15:filteredLineSeries>
              <c15:ser>
                <c:idx val="0"/>
                <c:order val="0"/>
                <c:tx>
                  <c:strRef>
                    <c:extLst>
                      <c:ext uri="{02D57815-91ED-43cb-92C2-25804820EDAC}">
                        <c15:formulaRef>
                          <c15:sqref>'Emissions summary'!$E$114</c15:sqref>
                        </c15:formulaRef>
                      </c:ext>
                    </c:extLst>
                    <c:strCache>
                      <c:ptCount val="1"/>
                      <c:pt idx="0">
                        <c:v>Biomass burning CH4</c:v>
                      </c:pt>
                    </c:strCache>
                  </c:strRef>
                </c:tx>
                <c:spPr>
                  <a:ln w="28575" cap="rnd">
                    <a:solidFill>
                      <a:schemeClr val="accent1"/>
                    </a:solidFill>
                    <a:round/>
                  </a:ln>
                  <a:effectLst/>
                </c:spPr>
                <c:marker>
                  <c:symbol val="none"/>
                </c:marker>
                <c:cat>
                  <c:numRef>
                    <c:extLst>
                      <c:ex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c:ext uri="{02D57815-91ED-43cb-92C2-25804820EDAC}">
                        <c15:formulaRef>
                          <c15:sqref>'Emissions summary'!$F$114:$AG$114</c15:sqref>
                        </c15:formulaRef>
                      </c:ext>
                    </c:extLst>
                    <c:numCache>
                      <c:formatCode>General</c:formatCode>
                      <c:ptCount val="28"/>
                      <c:pt idx="0">
                        <c:v>1113.9523335609101</c:v>
                      </c:pt>
                      <c:pt idx="1">
                        <c:v>1113.9523335609101</c:v>
                      </c:pt>
                      <c:pt idx="2">
                        <c:v>1113.9523335609101</c:v>
                      </c:pt>
                      <c:pt idx="3">
                        <c:v>1113.9523335609101</c:v>
                      </c:pt>
                      <c:pt idx="4">
                        <c:v>1113.9523335609101</c:v>
                      </c:pt>
                      <c:pt idx="5">
                        <c:v>1113.9523335609101</c:v>
                      </c:pt>
                      <c:pt idx="6">
                        <c:v>1113.9523335609101</c:v>
                      </c:pt>
                      <c:pt idx="7">
                        <c:v>1113.9523335609101</c:v>
                      </c:pt>
                      <c:pt idx="8">
                        <c:v>1113.9523335609101</c:v>
                      </c:pt>
                      <c:pt idx="9">
                        <c:v>1113.9523335609101</c:v>
                      </c:pt>
                      <c:pt idx="10">
                        <c:v>1103.4776992955053</c:v>
                      </c:pt>
                      <c:pt idx="11">
                        <c:v>1282.5517441798665</c:v>
                      </c:pt>
                      <c:pt idx="12">
                        <c:v>1288.9176046937982</c:v>
                      </c:pt>
                      <c:pt idx="13">
                        <c:v>1011.4345809085878</c:v>
                      </c:pt>
                      <c:pt idx="14">
                        <c:v>883.38003872679235</c:v>
                      </c:pt>
                      <c:pt idx="15">
                        <c:v>1412.334298727088</c:v>
                      </c:pt>
                      <c:pt idx="16">
                        <c:v>1236.8838978672777</c:v>
                      </c:pt>
                      <c:pt idx="17">
                        <c:v>1218.5771221263838</c:v>
                      </c:pt>
                      <c:pt idx="18">
                        <c:v>1139.8644942847</c:v>
                      </c:pt>
                      <c:pt idx="19">
                        <c:v>1078.8713756473658</c:v>
                      </c:pt>
                      <c:pt idx="20">
                        <c:v>1107.055106514</c:v>
                      </c:pt>
                      <c:pt idx="21">
                        <c:v>1093.3943713178221</c:v>
                      </c:pt>
                      <c:pt idx="22">
                        <c:v>1003.5637069444559</c:v>
                      </c:pt>
                      <c:pt idx="23">
                        <c:v>949.58031288518987</c:v>
                      </c:pt>
                      <c:pt idx="24">
                        <c:v>1016.956735075512</c:v>
                      </c:pt>
                      <c:pt idx="25">
                        <c:v>737.86776841461585</c:v>
                      </c:pt>
                      <c:pt idx="26">
                        <c:v>446.18919850209591</c:v>
                      </c:pt>
                      <c:pt idx="27">
                        <c:v>416.70692080806589</c:v>
                      </c:pt>
                    </c:numCache>
                  </c:numRef>
                </c:val>
                <c:smooth val="0"/>
                <c:extLst>
                  <c:ext xmlns:c16="http://schemas.microsoft.com/office/drawing/2014/chart" uri="{C3380CC4-5D6E-409C-BE32-E72D297353CC}">
                    <c16:uniqueId val="{00000000-521A-4052-915B-F059FD434B62}"/>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'Emissions summary'!$E$115</c15:sqref>
                        </c15:formulaRef>
                      </c:ext>
                    </c:extLst>
                    <c:strCache>
                      <c:ptCount val="1"/>
                      <c:pt idx="0">
                        <c:v>Biomass burning N2O</c:v>
                      </c:pt>
                    </c:strCache>
                  </c:strRef>
                </c:tx>
                <c:spPr>
                  <a:ln w="28575" cap="rnd">
                    <a:solidFill>
                      <a:schemeClr val="accent2"/>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summary'!$F$115:$AG$115</c15:sqref>
                        </c15:formulaRef>
                      </c:ext>
                    </c:extLst>
                    <c:numCache>
                      <c:formatCode>General</c:formatCode>
                      <c:ptCount val="28"/>
                      <c:pt idx="0">
                        <c:v>1149.3522600947301</c:v>
                      </c:pt>
                      <c:pt idx="1">
                        <c:v>1149.3522600947301</c:v>
                      </c:pt>
                      <c:pt idx="2">
                        <c:v>1149.3522600947301</c:v>
                      </c:pt>
                      <c:pt idx="3">
                        <c:v>1149.3522600947301</c:v>
                      </c:pt>
                      <c:pt idx="4">
                        <c:v>1149.3522600947301</c:v>
                      </c:pt>
                      <c:pt idx="5">
                        <c:v>1149.3522600947301</c:v>
                      </c:pt>
                      <c:pt idx="6">
                        <c:v>1149.3522600947301</c:v>
                      </c:pt>
                      <c:pt idx="7">
                        <c:v>1149.3522600947301</c:v>
                      </c:pt>
                      <c:pt idx="8">
                        <c:v>1149.3522600947301</c:v>
                      </c:pt>
                      <c:pt idx="9">
                        <c:v>1149.3522600947301</c:v>
                      </c:pt>
                      <c:pt idx="10">
                        <c:v>1138.2881924240246</c:v>
                      </c:pt>
                      <c:pt idx="11">
                        <c:v>1347.8625366593228</c:v>
                      </c:pt>
                      <c:pt idx="12">
                        <c:v>1328.3690110437451</c:v>
                      </c:pt>
                      <c:pt idx="13">
                        <c:v>1017.5651134275211</c:v>
                      </c:pt>
                      <c:pt idx="14">
                        <c:v>914.67644691903695</c:v>
                      </c:pt>
                      <c:pt idx="15">
                        <c:v>1447.9112474339306</c:v>
                      </c:pt>
                      <c:pt idx="16">
                        <c:v>1263.4019893034997</c:v>
                      </c:pt>
                      <c:pt idx="17">
                        <c:v>1217.4357899565925</c:v>
                      </c:pt>
                      <c:pt idx="18">
                        <c:v>1180.1818937292605</c:v>
                      </c:pt>
                      <c:pt idx="19">
                        <c:v>1108.1395844539597</c:v>
                      </c:pt>
                      <c:pt idx="20">
                        <c:v>1121.7567904983002</c:v>
                      </c:pt>
                      <c:pt idx="21">
                        <c:v>1111.0832034573957</c:v>
                      </c:pt>
                      <c:pt idx="22">
                        <c:v>1002.2217969563279</c:v>
                      </c:pt>
                      <c:pt idx="23">
                        <c:v>980.55948658247996</c:v>
                      </c:pt>
                      <c:pt idx="24">
                        <c:v>1029.1314860411758</c:v>
                      </c:pt>
                      <c:pt idx="25">
                        <c:v>747.9095108761079</c:v>
                      </c:pt>
                      <c:pt idx="26">
                        <c:v>434.96704823788798</c:v>
                      </c:pt>
                      <c:pt idx="27">
                        <c:v>408.31943255002801</c:v>
                      </c:pt>
                    </c:numCache>
                  </c:numRef>
                </c:val>
                <c:smooth val="0"/>
                <c:extLst xmlns:c15="http://schemas.microsoft.com/office/drawing/2012/chart">
                  <c:ext xmlns:c16="http://schemas.microsoft.com/office/drawing/2014/chart" uri="{C3380CC4-5D6E-409C-BE32-E72D297353CC}">
                    <c16:uniqueId val="{00000001-521A-4052-915B-F059FD434B62}"/>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'Emissions summary'!$E$116</c15:sqref>
                        </c15:formulaRef>
                      </c:ext>
                    </c:extLst>
                    <c:strCache>
                      <c:ptCount val="1"/>
                      <c:pt idx="0">
                        <c:v>Liming</c:v>
                      </c:pt>
                    </c:strCache>
                  </c:strRef>
                </c:tx>
                <c:spPr>
                  <a:ln w="28575" cap="rnd">
                    <a:solidFill>
                      <a:schemeClr val="accent3"/>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summary'!$F$116:$AG$116</c15:sqref>
                        </c15:formulaRef>
                      </c:ext>
                    </c:extLst>
                    <c:numCache>
                      <c:formatCode>General</c:formatCode>
                      <c:ptCount val="28"/>
                      <c:pt idx="0">
                        <c:v>357.5</c:v>
                      </c:pt>
                      <c:pt idx="1">
                        <c:v>378.125</c:v>
                      </c:pt>
                      <c:pt idx="2">
                        <c:v>261.25</c:v>
                      </c:pt>
                      <c:pt idx="3">
                        <c:v>412.5</c:v>
                      </c:pt>
                      <c:pt idx="4">
                        <c:v>595.58170833333327</c:v>
                      </c:pt>
                      <c:pt idx="5">
                        <c:v>473.34145833333332</c:v>
                      </c:pt>
                      <c:pt idx="6">
                        <c:v>579.13625000000002</c:v>
                      </c:pt>
                      <c:pt idx="7">
                        <c:v>547.24312499999996</c:v>
                      </c:pt>
                      <c:pt idx="8">
                        <c:v>570.31379166666659</c:v>
                      </c:pt>
                      <c:pt idx="9">
                        <c:v>567.03808333333325</c:v>
                      </c:pt>
                      <c:pt idx="10">
                        <c:v>378.2405</c:v>
                      </c:pt>
                      <c:pt idx="11">
                        <c:v>489.66362500000002</c:v>
                      </c:pt>
                      <c:pt idx="12">
                        <c:v>672.79437500000006</c:v>
                      </c:pt>
                      <c:pt idx="13">
                        <c:v>580.13175000000001</c:v>
                      </c:pt>
                      <c:pt idx="14">
                        <c:v>579.7403333333333</c:v>
                      </c:pt>
                      <c:pt idx="15">
                        <c:v>266.03683333333333</c:v>
                      </c:pt>
                      <c:pt idx="16">
                        <c:v>441.42908333333332</c:v>
                      </c:pt>
                      <c:pt idx="17">
                        <c:v>521.42108333333329</c:v>
                      </c:pt>
                      <c:pt idx="18">
                        <c:v>655.32637499999998</c:v>
                      </c:pt>
                      <c:pt idx="19">
                        <c:v>695.56775237855516</c:v>
                      </c:pt>
                      <c:pt idx="20">
                        <c:v>653.23730656422072</c:v>
                      </c:pt>
                      <c:pt idx="21">
                        <c:v>722.61220387104663</c:v>
                      </c:pt>
                      <c:pt idx="22">
                        <c:v>829.6141641239476</c:v>
                      </c:pt>
                      <c:pt idx="23">
                        <c:v>749.65665536353811</c:v>
                      </c:pt>
                      <c:pt idx="24">
                        <c:v>773.17356970483502</c:v>
                      </c:pt>
                      <c:pt idx="25">
                        <c:v>780.22864400722403</c:v>
                      </c:pt>
                      <c:pt idx="26">
                        <c:v>982.47410734237747</c:v>
                      </c:pt>
                      <c:pt idx="27">
                        <c:v>1218.2311736138793</c:v>
                      </c:pt>
                    </c:numCache>
                  </c:numRef>
                </c:val>
                <c:smooth val="0"/>
                <c:extLst xmlns:c15="http://schemas.microsoft.com/office/drawing/2012/chart">
                  <c:ext xmlns:c16="http://schemas.microsoft.com/office/drawing/2014/chart" uri="{C3380CC4-5D6E-409C-BE32-E72D297353CC}">
                    <c16:uniqueId val="{00000002-521A-4052-915B-F059FD434B62}"/>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'Emissions summary'!$E$117</c15:sqref>
                        </c15:formulaRef>
                      </c:ext>
                    </c:extLst>
                    <c:strCache>
                      <c:ptCount val="1"/>
                      <c:pt idx="0">
                        <c:v>Urea</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summary'!$F$117:$AG$117</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256.05324352263762</c:v>
                      </c:pt>
                      <c:pt idx="9">
                        <c:v>276.68557802753202</c:v>
                      </c:pt>
                      <c:pt idx="10">
                        <c:v>297.31791253242642</c:v>
                      </c:pt>
                      <c:pt idx="11">
                        <c:v>317.95024703732088</c:v>
                      </c:pt>
                      <c:pt idx="12">
                        <c:v>338.58258154220977</c:v>
                      </c:pt>
                      <c:pt idx="13">
                        <c:v>359.21491604710423</c:v>
                      </c:pt>
                      <c:pt idx="14">
                        <c:v>435.89846666666671</c:v>
                      </c:pt>
                      <c:pt idx="15">
                        <c:v>355.08659999999998</c:v>
                      </c:pt>
                      <c:pt idx="16">
                        <c:v>393.08573333333334</c:v>
                      </c:pt>
                      <c:pt idx="17">
                        <c:v>484.55366666666663</c:v>
                      </c:pt>
                      <c:pt idx="18">
                        <c:v>480.19253333333336</c:v>
                      </c:pt>
                      <c:pt idx="19">
                        <c:v>380.54426666666666</c:v>
                      </c:pt>
                      <c:pt idx="20">
                        <c:v>501.48046666666664</c:v>
                      </c:pt>
                      <c:pt idx="21">
                        <c:v>571.19113333333337</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3-521A-4052-915B-F059FD434B62}"/>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'Emissions summary'!$E$119</c15:sqref>
                        </c15:formulaRef>
                      </c:ext>
                    </c:extLst>
                    <c:strCache>
                      <c:ptCount val="1"/>
                      <c:pt idx="0">
                        <c:v>Indirect N2O from MS</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summary'!$F$119:$AG$119</c15:sqref>
                        </c15:formulaRef>
                      </c:ext>
                    </c:extLst>
                    <c:numCache>
                      <c:formatCode>General</c:formatCode>
                      <c:ptCount val="28"/>
                      <c:pt idx="0">
                        <c:v>2388.0102035123605</c:v>
                      </c:pt>
                      <c:pt idx="1">
                        <c:v>2422.3649563517615</c:v>
                      </c:pt>
                      <c:pt idx="2">
                        <c:v>2366.0160295258652</c:v>
                      </c:pt>
                      <c:pt idx="3">
                        <c:v>2332.024314033295</c:v>
                      </c:pt>
                      <c:pt idx="4">
                        <c:v>2269.8856393890724</c:v>
                      </c:pt>
                      <c:pt idx="5">
                        <c:v>2257.3551747657566</c:v>
                      </c:pt>
                      <c:pt idx="6">
                        <c:v>2332.8794219128258</c:v>
                      </c:pt>
                      <c:pt idx="7">
                        <c:v>2353.4608848045295</c:v>
                      </c:pt>
                      <c:pt idx="8">
                        <c:v>2375.1086873788704</c:v>
                      </c:pt>
                      <c:pt idx="9">
                        <c:v>2369.8122167060246</c:v>
                      </c:pt>
                      <c:pt idx="10">
                        <c:v>2379.1334621159244</c:v>
                      </c:pt>
                      <c:pt idx="11">
                        <c:v>2332.4757077458062</c:v>
                      </c:pt>
                      <c:pt idx="12">
                        <c:v>2352.5031586422174</c:v>
                      </c:pt>
                      <c:pt idx="13">
                        <c:v>2317.0522227606916</c:v>
                      </c:pt>
                      <c:pt idx="14">
                        <c:v>2291.1004488983099</c:v>
                      </c:pt>
                      <c:pt idx="15">
                        <c:v>2260.716684821874</c:v>
                      </c:pt>
                      <c:pt idx="16">
                        <c:v>2276.1004128580194</c:v>
                      </c:pt>
                      <c:pt idx="17">
                        <c:v>2334.5451499588221</c:v>
                      </c:pt>
                      <c:pt idx="18">
                        <c:v>2364.8401504898161</c:v>
                      </c:pt>
                      <c:pt idx="19">
                        <c:v>2357.3087175615215</c:v>
                      </c:pt>
                      <c:pt idx="20">
                        <c:v>2316.7336232801035</c:v>
                      </c:pt>
                      <c:pt idx="21">
                        <c:v>2313.3914976011652</c:v>
                      </c:pt>
                      <c:pt idx="22">
                        <c:v>2334.0985551108756</c:v>
                      </c:pt>
                      <c:pt idx="23">
                        <c:v>2348.8400209329502</c:v>
                      </c:pt>
                      <c:pt idx="24">
                        <c:v>2344.4692750460258</c:v>
                      </c:pt>
                      <c:pt idx="25">
                        <c:v>2299.7650755104332</c:v>
                      </c:pt>
                      <c:pt idx="26">
                        <c:v>2252.6390591444524</c:v>
                      </c:pt>
                      <c:pt idx="27">
                        <c:v>2235.452591217253</c:v>
                      </c:pt>
                    </c:numCache>
                  </c:numRef>
                </c:val>
                <c:smooth val="0"/>
                <c:extLst xmlns:c15="http://schemas.microsoft.com/office/drawing/2012/chart">
                  <c:ext xmlns:c16="http://schemas.microsoft.com/office/drawing/2014/chart" uri="{C3380CC4-5D6E-409C-BE32-E72D297353CC}">
                    <c16:uniqueId val="{00000005-521A-4052-915B-F059FD434B62}"/>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'Emissions summary'!$E$120</c15:sqref>
                        </c15:formulaRef>
                      </c:ext>
                    </c:extLst>
                    <c:strCache>
                      <c:ptCount val="1"/>
                      <c:pt idx="0">
                        <c:v>Indirect N2O from MM</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summary'!$F$120:$AG$120</c15:sqref>
                        </c15:formulaRef>
                      </c:ext>
                    </c:extLst>
                    <c:numCache>
                      <c:formatCode>General</c:formatCode>
                      <c:ptCount val="28"/>
                      <c:pt idx="0">
                        <c:v>343.10330161578099</c:v>
                      </c:pt>
                      <c:pt idx="1">
                        <c:v>365.58614133033353</c:v>
                      </c:pt>
                      <c:pt idx="2">
                        <c:v>339.91114682728761</c:v>
                      </c:pt>
                      <c:pt idx="3">
                        <c:v>352.62601984444137</c:v>
                      </c:pt>
                      <c:pt idx="4">
                        <c:v>336.24824053022888</c:v>
                      </c:pt>
                      <c:pt idx="5">
                        <c:v>354.90652971327108</c:v>
                      </c:pt>
                      <c:pt idx="6">
                        <c:v>370.7282945162878</c:v>
                      </c:pt>
                      <c:pt idx="7">
                        <c:v>367.33263044382841</c:v>
                      </c:pt>
                      <c:pt idx="8">
                        <c:v>376.31467332854538</c:v>
                      </c:pt>
                      <c:pt idx="9">
                        <c:v>380.26274683162796</c:v>
                      </c:pt>
                      <c:pt idx="10">
                        <c:v>420.72277135231604</c:v>
                      </c:pt>
                      <c:pt idx="11">
                        <c:v>418.37207720994593</c:v>
                      </c:pt>
                      <c:pt idx="12">
                        <c:v>406.12517665445523</c:v>
                      </c:pt>
                      <c:pt idx="13">
                        <c:v>385.62180744131297</c:v>
                      </c:pt>
                      <c:pt idx="14">
                        <c:v>383.11027791084422</c:v>
                      </c:pt>
                      <c:pt idx="15">
                        <c:v>402.62502084090437</c:v>
                      </c:pt>
                      <c:pt idx="16">
                        <c:v>407.68948429226828</c:v>
                      </c:pt>
                      <c:pt idx="17">
                        <c:v>415.77221135959962</c:v>
                      </c:pt>
                      <c:pt idx="18">
                        <c:v>450.38785912632164</c:v>
                      </c:pt>
                      <c:pt idx="19">
                        <c:v>447.90280780802436</c:v>
                      </c:pt>
                      <c:pt idx="20">
                        <c:v>450.47531382738657</c:v>
                      </c:pt>
                      <c:pt idx="21">
                        <c:v>455.70252815125627</c:v>
                      </c:pt>
                      <c:pt idx="22">
                        <c:v>454.2990120208886</c:v>
                      </c:pt>
                      <c:pt idx="23">
                        <c:v>467.1027930484243</c:v>
                      </c:pt>
                      <c:pt idx="24">
                        <c:v>463.97224881283108</c:v>
                      </c:pt>
                      <c:pt idx="25">
                        <c:v>471.70799949786652</c:v>
                      </c:pt>
                      <c:pt idx="26">
                        <c:v>471.14622162385422</c:v>
                      </c:pt>
                      <c:pt idx="27">
                        <c:v>483.13167606001025</c:v>
                      </c:pt>
                    </c:numCache>
                  </c:numRef>
                </c:val>
                <c:smooth val="0"/>
                <c:extLst xmlns:c15="http://schemas.microsoft.com/office/drawing/2012/chart">
                  <c:ext xmlns:c16="http://schemas.microsoft.com/office/drawing/2014/chart" uri="{C3380CC4-5D6E-409C-BE32-E72D297353CC}">
                    <c16:uniqueId val="{00000006-521A-4052-915B-F059FD434B62}"/>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'Emissions summary'!$E$121</c15:sqref>
                        </c15:formulaRef>
                      </c:ext>
                    </c:extLst>
                    <c:strCache>
                      <c:ptCount val="1"/>
                      <c:pt idx="0">
                        <c:v>Biomass burning CH4 (inventory)</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summary'!$F$121:$AG$121</c15:sqref>
                        </c15:formulaRef>
                      </c:ext>
                    </c:extLst>
                    <c:numCache>
                      <c:formatCode>General</c:formatCode>
                      <c:ptCount val="28"/>
                      <c:pt idx="0">
                        <c:v>1114.2730572677472</c:v>
                      </c:pt>
                      <c:pt idx="1">
                        <c:v>1114.2730572677472</c:v>
                      </c:pt>
                      <c:pt idx="2">
                        <c:v>1114.2730572677472</c:v>
                      </c:pt>
                      <c:pt idx="3">
                        <c:v>1114.2730572677472</c:v>
                      </c:pt>
                      <c:pt idx="4">
                        <c:v>1114.2730572677472</c:v>
                      </c:pt>
                      <c:pt idx="5">
                        <c:v>1114.2730572677472</c:v>
                      </c:pt>
                      <c:pt idx="6">
                        <c:v>1114.2730572677472</c:v>
                      </c:pt>
                      <c:pt idx="7">
                        <c:v>1114.2730572677472</c:v>
                      </c:pt>
                      <c:pt idx="8">
                        <c:v>1114.2730572677472</c:v>
                      </c:pt>
                      <c:pt idx="9">
                        <c:v>1114.2730572677472</c:v>
                      </c:pt>
                      <c:pt idx="10">
                        <c:v>1103.7473247333526</c:v>
                      </c:pt>
                      <c:pt idx="11">
                        <c:v>1295.1615779672622</c:v>
                      </c:pt>
                      <c:pt idx="12">
                        <c:v>1300.4179901779976</c:v>
                      </c:pt>
                      <c:pt idx="13">
                        <c:v>1021.2239026078485</c:v>
                      </c:pt>
                      <c:pt idx="14">
                        <c:v>890.95637702591955</c:v>
                      </c:pt>
                      <c:pt idx="15">
                        <c:v>1429.3697355873492</c:v>
                      </c:pt>
                      <c:pt idx="16">
                        <c:v>1251.7694565972624</c:v>
                      </c:pt>
                      <c:pt idx="17">
                        <c:v>1234.9730242836924</c:v>
                      </c:pt>
                      <c:pt idx="18">
                        <c:v>1150.1284038185643</c:v>
                      </c:pt>
                      <c:pt idx="19">
                        <c:v>1091.261696265384</c:v>
                      </c:pt>
                      <c:pt idx="20">
                        <c:v>1116.957250242162</c:v>
                      </c:pt>
                      <c:pt idx="21">
                        <c:v>1100.5811063069254</c:v>
                      </c:pt>
                      <c:pt idx="22">
                        <c:v>1010.9312887182766</c:v>
                      </c:pt>
                      <c:pt idx="23">
                        <c:v>956.65662263461502</c:v>
                      </c:pt>
                      <c:pt idx="24">
                        <c:v>1024.1532025090505</c:v>
                      </c:pt>
                      <c:pt idx="25">
                        <c:v>742.78507159014475</c:v>
                      </c:pt>
                      <c:pt idx="26">
                        <c:v>448.47103409650083</c:v>
                      </c:pt>
                      <c:pt idx="27">
                        <c:v>418.78097085765791</c:v>
                      </c:pt>
                    </c:numCache>
                  </c:numRef>
                </c:val>
                <c:smooth val="0"/>
                <c:extLst xmlns:c15="http://schemas.microsoft.com/office/drawing/2012/chart">
                  <c:ext xmlns:c16="http://schemas.microsoft.com/office/drawing/2014/chart" uri="{C3380CC4-5D6E-409C-BE32-E72D297353CC}">
                    <c16:uniqueId val="{00000007-521A-4052-915B-F059FD434B62}"/>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'Emissions summary'!$E$122</c15:sqref>
                        </c15:formulaRef>
                      </c:ext>
                    </c:extLst>
                    <c:strCache>
                      <c:ptCount val="1"/>
                      <c:pt idx="0">
                        <c:v>Biomass burning N2O (inventory)</c:v>
                      </c:pt>
                    </c:strCache>
                  </c:strRef>
                </c:tx>
                <c:spPr>
                  <a:ln w="28575" cap="rnd">
                    <a:solidFill>
                      <a:schemeClr val="accent3">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summary'!$F$122:$AG$122</c15:sqref>
                        </c15:formulaRef>
                      </c:ext>
                    </c:extLst>
                    <c:numCache>
                      <c:formatCode>General</c:formatCode>
                      <c:ptCount val="28"/>
                      <c:pt idx="0">
                        <c:v>1149.6141682079121</c:v>
                      </c:pt>
                      <c:pt idx="1">
                        <c:v>1149.6141682079121</c:v>
                      </c:pt>
                      <c:pt idx="2">
                        <c:v>1149.6141682079121</c:v>
                      </c:pt>
                      <c:pt idx="3">
                        <c:v>1149.6141682079121</c:v>
                      </c:pt>
                      <c:pt idx="4">
                        <c:v>1149.6141682079121</c:v>
                      </c:pt>
                      <c:pt idx="5">
                        <c:v>1149.6141682079121</c:v>
                      </c:pt>
                      <c:pt idx="6">
                        <c:v>1149.6141682079121</c:v>
                      </c:pt>
                      <c:pt idx="7">
                        <c:v>1149.6141682079121</c:v>
                      </c:pt>
                      <c:pt idx="8">
                        <c:v>1149.6141682079121</c:v>
                      </c:pt>
                      <c:pt idx="9">
                        <c:v>1149.6141682079121</c:v>
                      </c:pt>
                      <c:pt idx="10">
                        <c:v>1138.5083728727629</c:v>
                      </c:pt>
                      <c:pt idx="11">
                        <c:v>1348.0477860975932</c:v>
                      </c:pt>
                      <c:pt idx="12">
                        <c:v>1328.8199324792706</c:v>
                      </c:pt>
                      <c:pt idx="13">
                        <c:v>1017.846389296701</c:v>
                      </c:pt>
                      <c:pt idx="14">
                        <c:v>914.84836029323264</c:v>
                      </c:pt>
                      <c:pt idx="15">
                        <c:v>1448.2029822975244</c:v>
                      </c:pt>
                      <c:pt idx="16">
                        <c:v>1263.6284316097351</c:v>
                      </c:pt>
                      <c:pt idx="17">
                        <c:v>1217.6306521923173</c:v>
                      </c:pt>
                      <c:pt idx="18">
                        <c:v>1180.4178811371937</c:v>
                      </c:pt>
                      <c:pt idx="19">
                        <c:v>1108.455283615433</c:v>
                      </c:pt>
                      <c:pt idx="20">
                        <c:v>1122.512590663056</c:v>
                      </c:pt>
                      <c:pt idx="21">
                        <c:v>1111.8425729905728</c:v>
                      </c:pt>
                      <c:pt idx="22">
                        <c:v>1003.2623700366383</c:v>
                      </c:pt>
                      <c:pt idx="23">
                        <c:v>980.98785105992999</c:v>
                      </c:pt>
                      <c:pt idx="24">
                        <c:v>1029.413853897383</c:v>
                      </c:pt>
                      <c:pt idx="25">
                        <c:v>748.29527463252236</c:v>
                      </c:pt>
                      <c:pt idx="26">
                        <c:v>435.50232253439043</c:v>
                      </c:pt>
                      <c:pt idx="27">
                        <c:v>408.72643283393637</c:v>
                      </c:pt>
                    </c:numCache>
                  </c:numRef>
                </c:val>
                <c:smooth val="0"/>
                <c:extLst xmlns:c15="http://schemas.microsoft.com/office/drawing/2012/chart">
                  <c:ext xmlns:c16="http://schemas.microsoft.com/office/drawing/2014/chart" uri="{C3380CC4-5D6E-409C-BE32-E72D297353CC}">
                    <c16:uniqueId val="{00000008-521A-4052-915B-F059FD434B62}"/>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'Emissions summary'!$E$123</c15:sqref>
                        </c15:formulaRef>
                      </c:ext>
                    </c:extLst>
                    <c:strCache>
                      <c:ptCount val="1"/>
                      <c:pt idx="0">
                        <c:v>Liming (inventory)</c:v>
                      </c:pt>
                    </c:strCache>
                  </c:strRef>
                </c:tx>
                <c:spPr>
                  <a:ln w="28575" cap="rnd">
                    <a:solidFill>
                      <a:schemeClr val="accent4">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summary'!$F$123:$AG$123</c15:sqref>
                        </c15:formulaRef>
                      </c:ext>
                    </c:extLst>
                    <c:numCache>
                      <c:formatCode>General</c:formatCode>
                      <c:ptCount val="28"/>
                      <c:pt idx="0">
                        <c:v>363.73333333333335</c:v>
                      </c:pt>
                      <c:pt idx="1">
                        <c:v>386.1</c:v>
                      </c:pt>
                      <c:pt idx="2">
                        <c:v>266.2</c:v>
                      </c:pt>
                      <c:pt idx="3">
                        <c:v>413.6</c:v>
                      </c:pt>
                      <c:pt idx="4">
                        <c:v>603.75919999999996</c:v>
                      </c:pt>
                      <c:pt idx="5">
                        <c:v>481.52980333333335</c:v>
                      </c:pt>
                      <c:pt idx="6">
                        <c:v>588.48859666666669</c:v>
                      </c:pt>
                      <c:pt idx="7">
                        <c:v>556.65125999999998</c:v>
                      </c:pt>
                      <c:pt idx="8">
                        <c:v>581.37815999999998</c:v>
                      </c:pt>
                      <c:pt idx="9">
                        <c:v>577.08170666666672</c:v>
                      </c:pt>
                      <c:pt idx="10">
                        <c:v>384.05253333333332</c:v>
                      </c:pt>
                      <c:pt idx="11">
                        <c:v>497.15031666666664</c:v>
                      </c:pt>
                      <c:pt idx="12">
                        <c:v>683.69223999999997</c:v>
                      </c:pt>
                      <c:pt idx="13">
                        <c:v>585.99346666666668</c:v>
                      </c:pt>
                      <c:pt idx="14">
                        <c:v>585.5420633333332</c:v>
                      </c:pt>
                      <c:pt idx="15">
                        <c:v>267.37941999999998</c:v>
                      </c:pt>
                      <c:pt idx="16">
                        <c:v>445.96068000000002</c:v>
                      </c:pt>
                      <c:pt idx="17">
                        <c:v>524.87031666666667</c:v>
                      </c:pt>
                      <c:pt idx="18">
                        <c:v>658.9218166666667</c:v>
                      </c:pt>
                      <c:pt idx="19">
                        <c:v>701.39039489690549</c:v>
                      </c:pt>
                      <c:pt idx="20">
                        <c:v>659.21936851962221</c:v>
                      </c:pt>
                      <c:pt idx="21">
                        <c:v>728.33299508239213</c:v>
                      </c:pt>
                      <c:pt idx="22">
                        <c:v>834.93197842496943</c:v>
                      </c:pt>
                      <c:pt idx="23">
                        <c:v>755.27559526787866</c:v>
                      </c:pt>
                      <c:pt idx="24">
                        <c:v>778.70394325525831</c:v>
                      </c:pt>
                      <c:pt idx="25">
                        <c:v>785.73244765147194</c:v>
                      </c:pt>
                      <c:pt idx="26">
                        <c:v>987.21624034293666</c:v>
                      </c:pt>
                      <c:pt idx="27">
                        <c:v>1222.085428916417</c:v>
                      </c:pt>
                    </c:numCache>
                  </c:numRef>
                </c:val>
                <c:smooth val="0"/>
                <c:extLst xmlns:c15="http://schemas.microsoft.com/office/drawing/2012/chart">
                  <c:ext xmlns:c16="http://schemas.microsoft.com/office/drawing/2014/chart" uri="{C3380CC4-5D6E-409C-BE32-E72D297353CC}">
                    <c16:uniqueId val="{00000009-521A-4052-915B-F059FD434B62}"/>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'Emissions summary'!$E$124</c15:sqref>
                        </c15:formulaRef>
                      </c:ext>
                    </c:extLst>
                    <c:strCache>
                      <c:ptCount val="1"/>
                      <c:pt idx="0">
                        <c:v>Urea (inventory)</c:v>
                      </c:pt>
                    </c:strCache>
                  </c:strRef>
                </c:tx>
                <c:spPr>
                  <a:ln w="28575" cap="rnd">
                    <a:solidFill>
                      <a:schemeClr val="accent5">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summary'!$F$124:$AG$124</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256.05324352263756</c:v>
                      </c:pt>
                      <c:pt idx="9">
                        <c:v>276.68557802753202</c:v>
                      </c:pt>
                      <c:pt idx="10">
                        <c:v>297.31791253242642</c:v>
                      </c:pt>
                      <c:pt idx="11">
                        <c:v>317.95024703732088</c:v>
                      </c:pt>
                      <c:pt idx="12">
                        <c:v>338.58258154220977</c:v>
                      </c:pt>
                      <c:pt idx="13">
                        <c:v>359.21491604710423</c:v>
                      </c:pt>
                      <c:pt idx="14">
                        <c:v>435.89846666666665</c:v>
                      </c:pt>
                      <c:pt idx="15">
                        <c:v>355.08659999999998</c:v>
                      </c:pt>
                      <c:pt idx="16">
                        <c:v>393.08573333333334</c:v>
                      </c:pt>
                      <c:pt idx="17">
                        <c:v>484.55366666666663</c:v>
                      </c:pt>
                      <c:pt idx="18">
                        <c:v>480.1925333333333</c:v>
                      </c:pt>
                      <c:pt idx="19">
                        <c:v>380.54426666666666</c:v>
                      </c:pt>
                      <c:pt idx="20">
                        <c:v>501.48046666666664</c:v>
                      </c:pt>
                      <c:pt idx="21">
                        <c:v>571.19113333333325</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A-521A-4052-915B-F059FD434B62}"/>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'Emissions summary'!$E$126</c15:sqref>
                        </c15:formulaRef>
                      </c:ext>
                    </c:extLst>
                    <c:strCache>
                      <c:ptCount val="1"/>
                      <c:pt idx="0">
                        <c:v>Indirect N2O from MS (inventory)</c:v>
                      </c:pt>
                    </c:strCache>
                  </c:strRef>
                </c:tx>
                <c:spPr>
                  <a:ln w="28575" cap="rnd">
                    <a:solidFill>
                      <a:schemeClr val="accent1">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summary'!$F$126:$AG$126</c15:sqref>
                        </c15:formulaRef>
                      </c:ext>
                    </c:extLst>
                    <c:numCache>
                      <c:formatCode>General</c:formatCode>
                      <c:ptCount val="28"/>
                      <c:pt idx="0">
                        <c:v>2447.8863951470803</c:v>
                      </c:pt>
                      <c:pt idx="1">
                        <c:v>2496.9018451868697</c:v>
                      </c:pt>
                      <c:pt idx="2">
                        <c:v>2435.3630625952328</c:v>
                      </c:pt>
                      <c:pt idx="3">
                        <c:v>2396.995208451192</c:v>
                      </c:pt>
                      <c:pt idx="4">
                        <c:v>2325.2582722477832</c:v>
                      </c:pt>
                      <c:pt idx="5">
                        <c:v>2349.1668279124592</c:v>
                      </c:pt>
                      <c:pt idx="6">
                        <c:v>2406.4403578126485</c:v>
                      </c:pt>
                      <c:pt idx="7">
                        <c:v>2433.097951693017</c:v>
                      </c:pt>
                      <c:pt idx="8">
                        <c:v>2471.2628832175142</c:v>
                      </c:pt>
                      <c:pt idx="9">
                        <c:v>2472.2132034057472</c:v>
                      </c:pt>
                      <c:pt idx="10">
                        <c:v>2480.4922407158388</c:v>
                      </c:pt>
                      <c:pt idx="11">
                        <c:v>2454.0922943343203</c:v>
                      </c:pt>
                      <c:pt idx="12">
                        <c:v>2476.3439129367157</c:v>
                      </c:pt>
                      <c:pt idx="13">
                        <c:v>2359.3324950161041</c:v>
                      </c:pt>
                      <c:pt idx="14">
                        <c:v>2347.4845744803165</c:v>
                      </c:pt>
                      <c:pt idx="15">
                        <c:v>2284.6952992295182</c:v>
                      </c:pt>
                      <c:pt idx="16">
                        <c:v>2357.5665947783837</c:v>
                      </c:pt>
                      <c:pt idx="17">
                        <c:v>2297.5662221729922</c:v>
                      </c:pt>
                      <c:pt idx="18">
                        <c:v>2380.9463845396517</c:v>
                      </c:pt>
                      <c:pt idx="19">
                        <c:v>2329.35287655092</c:v>
                      </c:pt>
                      <c:pt idx="20">
                        <c:v>2369.3465541862302</c:v>
                      </c:pt>
                      <c:pt idx="21">
                        <c:v>2370.4305491547971</c:v>
                      </c:pt>
                      <c:pt idx="22">
                        <c:v>2269.153208313021</c:v>
                      </c:pt>
                      <c:pt idx="23">
                        <c:v>2431.7524623901409</c:v>
                      </c:pt>
                      <c:pt idx="24">
                        <c:v>2430.5768400701409</c:v>
                      </c:pt>
                      <c:pt idx="25">
                        <c:v>2407.0023766672321</c:v>
                      </c:pt>
                      <c:pt idx="26">
                        <c:v>2265.174978621726</c:v>
                      </c:pt>
                      <c:pt idx="27">
                        <c:v>2253.2585636522972</c:v>
                      </c:pt>
                    </c:numCache>
                  </c:numRef>
                </c:val>
                <c:smooth val="0"/>
                <c:extLst xmlns:c15="http://schemas.microsoft.com/office/drawing/2012/chart">
                  <c:ext xmlns:c16="http://schemas.microsoft.com/office/drawing/2014/chart" uri="{C3380CC4-5D6E-409C-BE32-E72D297353CC}">
                    <c16:uniqueId val="{0000000C-521A-4052-915B-F059FD434B62}"/>
                  </c:ext>
                </c:extLst>
              </c15:ser>
            </c15:filteredLineSeries>
            <c15:filteredLineSeries>
              <c15:ser>
                <c:idx val="13"/>
                <c:order val="13"/>
                <c:tx>
                  <c:strRef>
                    <c:extLst xmlns:c15="http://schemas.microsoft.com/office/drawing/2012/chart">
                      <c:ext xmlns:c15="http://schemas.microsoft.com/office/drawing/2012/chart" uri="{02D57815-91ED-43cb-92C2-25804820EDAC}">
                        <c15:formulaRef>
                          <c15:sqref>'Emissions summary'!$E$127</c15:sqref>
                        </c15:formulaRef>
                      </c:ext>
                    </c:extLst>
                    <c:strCache>
                      <c:ptCount val="1"/>
                      <c:pt idx="0">
                        <c:v>Indirect N2O from MM (inventory)</c:v>
                      </c:pt>
                    </c:strCache>
                  </c:strRef>
                </c:tx>
                <c:spPr>
                  <a:ln w="28575" cap="rnd">
                    <a:solidFill>
                      <a:schemeClr val="accent2">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summary'!$F$127:$AG$127</c15:sqref>
                        </c15:formulaRef>
                      </c:ext>
                    </c:extLst>
                    <c:numCache>
                      <c:formatCode>General</c:formatCode>
                      <c:ptCount val="28"/>
                      <c:pt idx="0">
                        <c:v>332.77730613860399</c:v>
                      </c:pt>
                      <c:pt idx="1">
                        <c:v>353.03457691007083</c:v>
                      </c:pt>
                      <c:pt idx="2">
                        <c:v>329.75336223257443</c:v>
                      </c:pt>
                      <c:pt idx="3">
                        <c:v>341.70939722274608</c:v>
                      </c:pt>
                      <c:pt idx="4">
                        <c:v>326.52853902593881</c:v>
                      </c:pt>
                      <c:pt idx="5">
                        <c:v>344.58323593662567</c:v>
                      </c:pt>
                      <c:pt idx="6">
                        <c:v>360.27670046049241</c:v>
                      </c:pt>
                      <c:pt idx="7">
                        <c:v>357.64284080532752</c:v>
                      </c:pt>
                      <c:pt idx="8">
                        <c:v>367.73848791261435</c:v>
                      </c:pt>
                      <c:pt idx="9">
                        <c:v>372.0452384281258</c:v>
                      </c:pt>
                      <c:pt idx="10">
                        <c:v>408.94308689508148</c:v>
                      </c:pt>
                      <c:pt idx="11">
                        <c:v>406.68937516322404</c:v>
                      </c:pt>
                      <c:pt idx="12">
                        <c:v>397.06973777083419</c:v>
                      </c:pt>
                      <c:pt idx="13">
                        <c:v>376.09010924780205</c:v>
                      </c:pt>
                      <c:pt idx="14">
                        <c:v>374.09743931517124</c:v>
                      </c:pt>
                      <c:pt idx="15">
                        <c:v>392.69820864834276</c:v>
                      </c:pt>
                      <c:pt idx="16">
                        <c:v>398.35557315486267</c:v>
                      </c:pt>
                      <c:pt idx="17">
                        <c:v>404.14478384272525</c:v>
                      </c:pt>
                      <c:pt idx="18">
                        <c:v>438.4751035531649</c:v>
                      </c:pt>
                      <c:pt idx="19">
                        <c:v>433.26067452840772</c:v>
                      </c:pt>
                      <c:pt idx="20">
                        <c:v>438.54251424027257</c:v>
                      </c:pt>
                      <c:pt idx="21">
                        <c:v>444.74604882624305</c:v>
                      </c:pt>
                      <c:pt idx="22">
                        <c:v>440.60780254144959</c:v>
                      </c:pt>
                      <c:pt idx="23">
                        <c:v>456.58226294187887</c:v>
                      </c:pt>
                      <c:pt idx="24">
                        <c:v>454.87268271519412</c:v>
                      </c:pt>
                      <c:pt idx="25">
                        <c:v>463.54275866618883</c:v>
                      </c:pt>
                      <c:pt idx="26">
                        <c:v>458.22071963845576</c:v>
                      </c:pt>
                      <c:pt idx="27">
                        <c:v>469.34598780544559</c:v>
                      </c:pt>
                    </c:numCache>
                  </c:numRef>
                </c:val>
                <c:smooth val="0"/>
                <c:extLst xmlns:c15="http://schemas.microsoft.com/office/drawing/2012/chart">
                  <c:ext xmlns:c16="http://schemas.microsoft.com/office/drawing/2014/chart" uri="{C3380CC4-5D6E-409C-BE32-E72D297353CC}">
                    <c16:uniqueId val="{0000000D-521A-4052-915B-F059FD434B62}"/>
                  </c:ext>
                </c:extLst>
              </c15:ser>
            </c15:filteredLineSeries>
          </c:ext>
        </c:extLst>
      </c:lineChart>
      <c:catAx>
        <c:axId val="1363460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3696"/>
        <c:crosses val="autoZero"/>
        <c:auto val="1"/>
        <c:lblAlgn val="ctr"/>
        <c:lblOffset val="100"/>
        <c:noMultiLvlLbl val="0"/>
      </c:catAx>
      <c:valAx>
        <c:axId val="1363463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07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89070087259185"/>
          <c:y val="2.8534365118546297E-2"/>
          <c:w val="0.87256215847825824"/>
          <c:h val="0.8331301340665801"/>
        </c:manualLayout>
      </c:layout>
      <c:areaChart>
        <c:grouping val="stacked"/>
        <c:varyColors val="0"/>
        <c:ser>
          <c:idx val="2"/>
          <c:order val="0"/>
          <c:tx>
            <c:strRef>
              <c:f>'Net zero Activity data'!$D$5:$F$5</c:f>
              <c:strCache>
                <c:ptCount val="3"/>
                <c:pt idx="0">
                  <c:v>TMR</c:v>
                </c:pt>
                <c:pt idx="1">
                  <c:v>Population</c:v>
                </c:pt>
                <c:pt idx="2">
                  <c:v>Head</c:v>
                </c:pt>
              </c:strCache>
            </c:strRef>
          </c:tx>
          <c:spPr>
            <a:solidFill>
              <a:schemeClr val="accent3"/>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data'!$H$5:$BP$5</c:f>
              <c:numCache>
                <c:formatCode>#,##0</c:formatCode>
                <c:ptCount val="61"/>
                <c:pt idx="0">
                  <c:v>487746.14676082286</c:v>
                </c:pt>
                <c:pt idx="1">
                  <c:v>561522.50537304278</c:v>
                </c:pt>
                <c:pt idx="2">
                  <c:v>485789.62235185754</c:v>
                </c:pt>
                <c:pt idx="3">
                  <c:v>515225.4221676389</c:v>
                </c:pt>
                <c:pt idx="4">
                  <c:v>477963.52471599629</c:v>
                </c:pt>
                <c:pt idx="5">
                  <c:v>511312.37334970833</c:v>
                </c:pt>
                <c:pt idx="6">
                  <c:v>513268.89775867364</c:v>
                </c:pt>
                <c:pt idx="7">
                  <c:v>494824.80810561875</c:v>
                </c:pt>
                <c:pt idx="8">
                  <c:v>488955.23487872281</c:v>
                </c:pt>
                <c:pt idx="9">
                  <c:v>480293.76727049437</c:v>
                </c:pt>
                <c:pt idx="10">
                  <c:v>618437.58059564023</c:v>
                </c:pt>
                <c:pt idx="11">
                  <c:v>616481.05618667486</c:v>
                </c:pt>
                <c:pt idx="12">
                  <c:v>537582.56063862459</c:v>
                </c:pt>
                <c:pt idx="13">
                  <c:v>488955.23487872281</c:v>
                </c:pt>
                <c:pt idx="14">
                  <c:v>472093.95148910041</c:v>
                </c:pt>
                <c:pt idx="15">
                  <c:v>505442.80012281239</c:v>
                </c:pt>
                <c:pt idx="16">
                  <c:v>494451.08996008604</c:v>
                </c:pt>
                <c:pt idx="17">
                  <c:v>490911.75928768812</c:v>
                </c:pt>
                <c:pt idx="18">
                  <c:v>601202.57906048512</c:v>
                </c:pt>
                <c:pt idx="19">
                  <c:v>616107.33804114221</c:v>
                </c:pt>
                <c:pt idx="20">
                  <c:v>616107.33804114221</c:v>
                </c:pt>
                <c:pt idx="21">
                  <c:v>593750.19957015652</c:v>
                </c:pt>
                <c:pt idx="22">
                  <c:v>591129.2897046</c:v>
                </c:pt>
                <c:pt idx="23">
                  <c:v>594806.21359952644</c:v>
                </c:pt>
                <c:pt idx="24">
                  <c:v>597334.14942871302</c:v>
                </c:pt>
                <c:pt idx="25">
                  <c:v>598126.94731703098</c:v>
                </c:pt>
                <c:pt idx="26">
                  <c:v>599199.48455998639</c:v>
                </c:pt>
                <c:pt idx="27">
                  <c:v>601548.74860188353</c:v>
                </c:pt>
                <c:pt idx="28">
                  <c:v>604365.27789585036</c:v>
                </c:pt>
                <c:pt idx="29">
                  <c:v>605211.39267553936</c:v>
                </c:pt>
                <c:pt idx="30">
                  <c:v>586631.53886012151</c:v>
                </c:pt>
                <c:pt idx="31">
                  <c:v>586731.71782634791</c:v>
                </c:pt>
                <c:pt idx="32">
                  <c:v>586359.82176142966</c:v>
                </c:pt>
                <c:pt idx="33">
                  <c:v>586026.58456884872</c:v>
                </c:pt>
                <c:pt idx="34">
                  <c:v>586520.5619708614</c:v>
                </c:pt>
                <c:pt idx="35">
                  <c:v>587025.56021477445</c:v>
                </c:pt>
                <c:pt idx="36">
                  <c:v>587301.8597679974</c:v>
                </c:pt>
                <c:pt idx="37">
                  <c:v>587388.77462888847</c:v>
                </c:pt>
                <c:pt idx="38">
                  <c:v>587774.54726042657</c:v>
                </c:pt>
                <c:pt idx="39">
                  <c:v>587786.68571979715</c:v>
                </c:pt>
                <c:pt idx="40">
                  <c:v>587891.07447938027</c:v>
                </c:pt>
                <c:pt idx="41">
                  <c:v>592864.46827857383</c:v>
                </c:pt>
                <c:pt idx="42">
                  <c:v>598346.18781524384</c:v>
                </c:pt>
                <c:pt idx="43">
                  <c:v>604062.3998961692</c:v>
                </c:pt>
                <c:pt idx="44">
                  <c:v>604006.32697984867</c:v>
                </c:pt>
                <c:pt idx="45">
                  <c:v>322848.38481754559</c:v>
                </c:pt>
                <c:pt idx="46">
                  <c:v>322554.7378264037</c:v>
                </c:pt>
                <c:pt idx="47">
                  <c:v>322291.39993874473</c:v>
                </c:pt>
                <c:pt idx="48">
                  <c:v>322057.03756741155</c:v>
                </c:pt>
                <c:pt idx="49">
                  <c:v>321850.41563155083</c:v>
                </c:pt>
                <c:pt idx="50">
                  <c:v>321670.3882225136</c:v>
                </c:pt>
                <c:pt idx="51">
                  <c:v>321288.76186786819</c:v>
                </c:pt>
                <c:pt idx="52">
                  <c:v>320930.92012123793</c:v>
                </c:pt>
                <c:pt idx="53">
                  <c:v>320595.89492747065</c:v>
                </c:pt>
                <c:pt idx="54">
                  <c:v>320282.78156667494</c:v>
                </c:pt>
                <c:pt idx="55">
                  <c:v>319990.73328541388</c:v>
                </c:pt>
                <c:pt idx="56">
                  <c:v>319491.28634254436</c:v>
                </c:pt>
                <c:pt idx="57">
                  <c:v>319010.98467889684</c:v>
                </c:pt>
                <c:pt idx="58">
                  <c:v>318549.09395721875</c:v>
                </c:pt>
                <c:pt idx="59">
                  <c:v>318104.9228893242</c:v>
                </c:pt>
                <c:pt idx="60">
                  <c:v>317677.81993699924</c:v>
                </c:pt>
              </c:numCache>
            </c:numRef>
          </c:val>
          <c:extLst xmlns:c15="http://schemas.microsoft.com/office/drawing/2012/chart">
            <c:ext xmlns:c16="http://schemas.microsoft.com/office/drawing/2014/chart" uri="{C3380CC4-5D6E-409C-BE32-E72D297353CC}">
              <c16:uniqueId val="{00000000-A02B-4794-A51D-4248BFEBB6DC}"/>
            </c:ext>
          </c:extLst>
        </c:ser>
        <c:ser>
          <c:idx val="3"/>
          <c:order val="1"/>
          <c:tx>
            <c:strRef>
              <c:f>'Net zero Activity data'!$D$6:$F$6</c:f>
              <c:strCache>
                <c:ptCount val="3"/>
                <c:pt idx="0">
                  <c:v>Pasture</c:v>
                </c:pt>
                <c:pt idx="1">
                  <c:v>Population</c:v>
                </c:pt>
                <c:pt idx="2">
                  <c:v>Head</c:v>
                </c:pt>
              </c:strCache>
            </c:strRef>
          </c:tx>
          <c:spPr>
            <a:solidFill>
              <a:schemeClr val="accent4"/>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data'!$H$6:$BP$6</c:f>
              <c:numCache>
                <c:formatCode>#,##0</c:formatCode>
                <c:ptCount val="61"/>
                <c:pt idx="0">
                  <c:v>399733.85323917714</c:v>
                </c:pt>
                <c:pt idx="1">
                  <c:v>460197.49462695734</c:v>
                </c:pt>
                <c:pt idx="2">
                  <c:v>398130.37764814246</c:v>
                </c:pt>
                <c:pt idx="3">
                  <c:v>422254.57783236104</c:v>
                </c:pt>
                <c:pt idx="4">
                  <c:v>391716.47528400371</c:v>
                </c:pt>
                <c:pt idx="5">
                  <c:v>419047.62665029167</c:v>
                </c:pt>
                <c:pt idx="6">
                  <c:v>420651.10224132636</c:v>
                </c:pt>
                <c:pt idx="7">
                  <c:v>405535.19189438137</c:v>
                </c:pt>
                <c:pt idx="8">
                  <c:v>400724.76512127731</c:v>
                </c:pt>
                <c:pt idx="9">
                  <c:v>393626.23272950563</c:v>
                </c:pt>
                <c:pt idx="10">
                  <c:v>506842.41940435988</c:v>
                </c:pt>
                <c:pt idx="11">
                  <c:v>505238.9438133252</c:v>
                </c:pt>
                <c:pt idx="12">
                  <c:v>440577.43936137547</c:v>
                </c:pt>
                <c:pt idx="13">
                  <c:v>400724.76512127731</c:v>
                </c:pt>
                <c:pt idx="14">
                  <c:v>386906.04851089959</c:v>
                </c:pt>
                <c:pt idx="15">
                  <c:v>414237.19987718761</c:v>
                </c:pt>
                <c:pt idx="16">
                  <c:v>405228.91003991402</c:v>
                </c:pt>
                <c:pt idx="17">
                  <c:v>402328.24071231199</c:v>
                </c:pt>
                <c:pt idx="18">
                  <c:v>492717.42093951488</c:v>
                </c:pt>
                <c:pt idx="19">
                  <c:v>504932.66195885779</c:v>
                </c:pt>
                <c:pt idx="20">
                  <c:v>504932.66195885779</c:v>
                </c:pt>
                <c:pt idx="21">
                  <c:v>486609.80042984337</c:v>
                </c:pt>
                <c:pt idx="22">
                  <c:v>489792.8400409543</c:v>
                </c:pt>
                <c:pt idx="23">
                  <c:v>492839.43412532192</c:v>
                </c:pt>
                <c:pt idx="24">
                  <c:v>494934.00952664798</c:v>
                </c:pt>
                <c:pt idx="25">
                  <c:v>495590.89920553996</c:v>
                </c:pt>
                <c:pt idx="26">
                  <c:v>496479.57292113162</c:v>
                </c:pt>
                <c:pt idx="27">
                  <c:v>498426.10598441772</c:v>
                </c:pt>
                <c:pt idx="28">
                  <c:v>500759.80168513313</c:v>
                </c:pt>
                <c:pt idx="29">
                  <c:v>501460.86821687547</c:v>
                </c:pt>
                <c:pt idx="30">
                  <c:v>486066.13219838642</c:v>
                </c:pt>
                <c:pt idx="31">
                  <c:v>486149.13762754539</c:v>
                </c:pt>
                <c:pt idx="32">
                  <c:v>485840.99517375603</c:v>
                </c:pt>
                <c:pt idx="33">
                  <c:v>485564.8843570461</c:v>
                </c:pt>
                <c:pt idx="34">
                  <c:v>485974.17991871369</c:v>
                </c:pt>
                <c:pt idx="35">
                  <c:v>486392.60703509877</c:v>
                </c:pt>
                <c:pt idx="36">
                  <c:v>486621.54095062643</c:v>
                </c:pt>
                <c:pt idx="37">
                  <c:v>486693.55612107902</c:v>
                </c:pt>
                <c:pt idx="38">
                  <c:v>487013.1963014963</c:v>
                </c:pt>
                <c:pt idx="39">
                  <c:v>487023.25388211763</c:v>
                </c:pt>
                <c:pt idx="40">
                  <c:v>487109.74742577219</c:v>
                </c:pt>
                <c:pt idx="41">
                  <c:v>491230.55943081836</c:v>
                </c:pt>
                <c:pt idx="42">
                  <c:v>495772.55561834486</c:v>
                </c:pt>
                <c:pt idx="43">
                  <c:v>500508.84562825446</c:v>
                </c:pt>
                <c:pt idx="44">
                  <c:v>500462.38521187467</c:v>
                </c:pt>
                <c:pt idx="45">
                  <c:v>267502.94742025208</c:v>
                </c:pt>
                <c:pt idx="46">
                  <c:v>267259.63991330593</c:v>
                </c:pt>
                <c:pt idx="47">
                  <c:v>267041.44566353137</c:v>
                </c:pt>
                <c:pt idx="48">
                  <c:v>266847.25969871244</c:v>
                </c:pt>
                <c:pt idx="49">
                  <c:v>266676.05866614211</c:v>
                </c:pt>
                <c:pt idx="50">
                  <c:v>266526.89309865411</c:v>
                </c:pt>
                <c:pt idx="51">
                  <c:v>266210.68840480509</c:v>
                </c:pt>
                <c:pt idx="52">
                  <c:v>265914.19095759717</c:v>
                </c:pt>
                <c:pt idx="53">
                  <c:v>265636.59865418996</c:v>
                </c:pt>
                <c:pt idx="54">
                  <c:v>265377.16186953062</c:v>
                </c:pt>
                <c:pt idx="55">
                  <c:v>265135.17900791438</c:v>
                </c:pt>
                <c:pt idx="56">
                  <c:v>264721.35154096532</c:v>
                </c:pt>
                <c:pt idx="57">
                  <c:v>264323.38730537164</c:v>
                </c:pt>
                <c:pt idx="58">
                  <c:v>263940.67785026698</c:v>
                </c:pt>
                <c:pt idx="59">
                  <c:v>263572.65039401146</c:v>
                </c:pt>
                <c:pt idx="60">
                  <c:v>263218.76509065652</c:v>
                </c:pt>
              </c:numCache>
            </c:numRef>
          </c:val>
          <c:extLst xmlns:c15="http://schemas.microsoft.com/office/drawing/2012/chart">
            <c:ext xmlns:c16="http://schemas.microsoft.com/office/drawing/2014/chart" uri="{C3380CC4-5D6E-409C-BE32-E72D297353CC}">
              <c16:uniqueId val="{00000001-A02B-4794-A51D-4248BFEBB6DC}"/>
            </c:ext>
          </c:extLst>
        </c:ser>
        <c:ser>
          <c:idx val="4"/>
          <c:order val="2"/>
          <c:tx>
            <c:strRef>
              <c:f>'Net zero Activity data'!$D$7:$F$7</c:f>
              <c:strCache>
                <c:ptCount val="3"/>
                <c:pt idx="0">
                  <c:v>Non-lactating</c:v>
                </c:pt>
                <c:pt idx="1">
                  <c:v>Population</c:v>
                </c:pt>
                <c:pt idx="2">
                  <c:v>Head</c:v>
                </c:pt>
              </c:strCache>
            </c:strRef>
          </c:tx>
          <c:spPr>
            <a:solidFill>
              <a:schemeClr val="accent5"/>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data'!$H$7:$BP$7</c:f>
              <c:numCache>
                <c:formatCode>#,##0</c:formatCode>
                <c:ptCount val="61"/>
                <c:pt idx="0">
                  <c:v>585792.9</c:v>
                </c:pt>
                <c:pt idx="1">
                  <c:v>665847.14000000013</c:v>
                </c:pt>
                <c:pt idx="2">
                  <c:v>575959.50999999989</c:v>
                </c:pt>
                <c:pt idx="3">
                  <c:v>602759.85000000009</c:v>
                </c:pt>
                <c:pt idx="4">
                  <c:v>536625.95000000007</c:v>
                </c:pt>
                <c:pt idx="5">
                  <c:v>583093.06999999995</c:v>
                </c:pt>
                <c:pt idx="6">
                  <c:v>592926.46</c:v>
                </c:pt>
                <c:pt idx="7">
                  <c:v>572912.89999999991</c:v>
                </c:pt>
                <c:pt idx="8">
                  <c:v>543412.73</c:v>
                </c:pt>
                <c:pt idx="9">
                  <c:v>572566.12</c:v>
                </c:pt>
                <c:pt idx="10">
                  <c:v>709614.43</c:v>
                </c:pt>
                <c:pt idx="11">
                  <c:v>699781.04</c:v>
                </c:pt>
                <c:pt idx="12">
                  <c:v>642440.19000000006</c:v>
                </c:pt>
                <c:pt idx="13">
                  <c:v>543412.73</c:v>
                </c:pt>
                <c:pt idx="14">
                  <c:v>507125.77999999997</c:v>
                </c:pt>
                <c:pt idx="15">
                  <c:v>553592.9</c:v>
                </c:pt>
                <c:pt idx="16">
                  <c:v>546806.12</c:v>
                </c:pt>
                <c:pt idx="17">
                  <c:v>553246.12</c:v>
                </c:pt>
                <c:pt idx="18">
                  <c:v>647220.70000000019</c:v>
                </c:pt>
                <c:pt idx="19">
                  <c:v>673674.26</c:v>
                </c:pt>
                <c:pt idx="20">
                  <c:v>673674.26</c:v>
                </c:pt>
                <c:pt idx="21">
                  <c:v>633993.92000000016</c:v>
                </c:pt>
                <c:pt idx="22">
                  <c:v>608018.69798187434</c:v>
                </c:pt>
                <c:pt idx="23">
                  <c:v>611800.67684522725</c:v>
                </c:pt>
                <c:pt idx="24">
                  <c:v>614400.83941239072</c:v>
                </c:pt>
                <c:pt idx="25">
                  <c:v>615216.28866894625</c:v>
                </c:pt>
                <c:pt idx="26">
                  <c:v>616319.46983312909</c:v>
                </c:pt>
                <c:pt idx="27">
                  <c:v>618735.85570479452</c:v>
                </c:pt>
                <c:pt idx="28">
                  <c:v>621632.85726430325</c:v>
                </c:pt>
                <c:pt idx="29">
                  <c:v>622503.14675198344</c:v>
                </c:pt>
                <c:pt idx="30">
                  <c:v>603392.43997041078</c:v>
                </c:pt>
                <c:pt idx="31">
                  <c:v>603495.48119281512</c:v>
                </c:pt>
                <c:pt idx="32">
                  <c:v>603112.9595260421</c:v>
                </c:pt>
                <c:pt idx="33">
                  <c:v>602770.20127081603</c:v>
                </c:pt>
                <c:pt idx="34">
                  <c:v>603278.2923128861</c:v>
                </c:pt>
                <c:pt idx="35">
                  <c:v>603797.71907805384</c:v>
                </c:pt>
                <c:pt idx="36">
                  <c:v>604081.91290422599</c:v>
                </c:pt>
                <c:pt idx="37">
                  <c:v>604171.3110468568</c:v>
                </c:pt>
                <c:pt idx="38">
                  <c:v>604568.10575358174</c:v>
                </c:pt>
                <c:pt idx="39">
                  <c:v>604580.59102607716</c:v>
                </c:pt>
                <c:pt idx="40">
                  <c:v>604687.96232164837</c:v>
                </c:pt>
                <c:pt idx="41">
                  <c:v>609803.45308653323</c:v>
                </c:pt>
                <c:pt idx="42">
                  <c:v>615441.79318139376</c:v>
                </c:pt>
                <c:pt idx="43">
                  <c:v>621321.3256074884</c:v>
                </c:pt>
                <c:pt idx="44">
                  <c:v>621263.65060784447</c:v>
                </c:pt>
                <c:pt idx="45">
                  <c:v>332072.62438376126</c:v>
                </c:pt>
                <c:pt idx="46">
                  <c:v>331770.58747858676</c:v>
                </c:pt>
                <c:pt idx="47">
                  <c:v>331499.72565128037</c:v>
                </c:pt>
                <c:pt idx="48">
                  <c:v>331258.66721219482</c:v>
                </c:pt>
                <c:pt idx="49">
                  <c:v>331046.14179245237</c:v>
                </c:pt>
                <c:pt idx="50">
                  <c:v>330860.97074315691</c:v>
                </c:pt>
                <c:pt idx="51">
                  <c:v>330468.44077837875</c:v>
                </c:pt>
                <c:pt idx="52">
                  <c:v>330100.3749818448</c:v>
                </c:pt>
                <c:pt idx="53">
                  <c:v>329755.77763968415</c:v>
                </c:pt>
                <c:pt idx="54">
                  <c:v>329433.7181828657</c:v>
                </c:pt>
                <c:pt idx="55">
                  <c:v>329133.32566499722</c:v>
                </c:pt>
                <c:pt idx="56">
                  <c:v>328619.60880947427</c:v>
                </c:pt>
                <c:pt idx="57">
                  <c:v>328125.58424115105</c:v>
                </c:pt>
                <c:pt idx="58">
                  <c:v>327650.49664171075</c:v>
                </c:pt>
                <c:pt idx="59">
                  <c:v>327193.6349718764</c:v>
                </c:pt>
                <c:pt idx="60">
                  <c:v>326754.32907805644</c:v>
                </c:pt>
              </c:numCache>
            </c:numRef>
          </c:val>
          <c:extLst xmlns:c15="http://schemas.microsoft.com/office/drawing/2012/chart">
            <c:ext xmlns:c16="http://schemas.microsoft.com/office/drawing/2014/chart" uri="{C3380CC4-5D6E-409C-BE32-E72D297353CC}">
              <c16:uniqueId val="{00000002-A02B-4794-A51D-4248BFEBB6DC}"/>
            </c:ext>
          </c:extLst>
        </c:ser>
        <c:ser>
          <c:idx val="5"/>
          <c:order val="3"/>
          <c:tx>
            <c:strRef>
              <c:f>'Net zero Activity data'!$D$8:$F$8</c:f>
              <c:strCache>
                <c:ptCount val="3"/>
                <c:pt idx="0">
                  <c:v>Commercial</c:v>
                </c:pt>
                <c:pt idx="1">
                  <c:v>Population</c:v>
                </c:pt>
                <c:pt idx="2">
                  <c:v>Head</c:v>
                </c:pt>
              </c:strCache>
            </c:strRef>
          </c:tx>
          <c:spPr>
            <a:solidFill>
              <a:schemeClr val="accent6"/>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data'!$H$8:$BP$8</c:f>
              <c:numCache>
                <c:formatCode>#,##0</c:formatCode>
                <c:ptCount val="61"/>
                <c:pt idx="0">
                  <c:v>6817100</c:v>
                </c:pt>
                <c:pt idx="1">
                  <c:v>6522860</c:v>
                </c:pt>
                <c:pt idx="2">
                  <c:v>6520490</c:v>
                </c:pt>
                <c:pt idx="3">
                  <c:v>6100150</c:v>
                </c:pt>
                <c:pt idx="4">
                  <c:v>6284050</c:v>
                </c:pt>
                <c:pt idx="5">
                  <c:v>6426930</c:v>
                </c:pt>
                <c:pt idx="6">
                  <c:v>6693540</c:v>
                </c:pt>
                <c:pt idx="7">
                  <c:v>6947100</c:v>
                </c:pt>
                <c:pt idx="8">
                  <c:v>7007270</c:v>
                </c:pt>
                <c:pt idx="9">
                  <c:v>6893880</c:v>
                </c:pt>
                <c:pt idx="10">
                  <c:v>6425570</c:v>
                </c:pt>
                <c:pt idx="11">
                  <c:v>6458960</c:v>
                </c:pt>
                <c:pt idx="12">
                  <c:v>6019810</c:v>
                </c:pt>
                <c:pt idx="13">
                  <c:v>6177270</c:v>
                </c:pt>
                <c:pt idx="14">
                  <c:v>6234220</c:v>
                </c:pt>
                <c:pt idx="15">
                  <c:v>6287100</c:v>
                </c:pt>
                <c:pt idx="16">
                  <c:v>6143880</c:v>
                </c:pt>
                <c:pt idx="17">
                  <c:v>6323880</c:v>
                </c:pt>
                <c:pt idx="18">
                  <c:v>6148152.25</c:v>
                </c:pt>
                <c:pt idx="19">
                  <c:v>6044920.583333333</c:v>
                </c:pt>
                <c:pt idx="20">
                  <c:v>6025917.666666667</c:v>
                </c:pt>
                <c:pt idx="21">
                  <c:v>6004279.833333333</c:v>
                </c:pt>
                <c:pt idx="22">
                  <c:v>6007349.5592559706</c:v>
                </c:pt>
                <c:pt idx="23">
                  <c:v>5967530.2158234045</c:v>
                </c:pt>
                <c:pt idx="24">
                  <c:v>5883573.7985937558</c:v>
                </c:pt>
                <c:pt idx="25">
                  <c:v>5742053.6226589652</c:v>
                </c:pt>
                <c:pt idx="26">
                  <c:v>5604747.315330226</c:v>
                </c:pt>
                <c:pt idx="27">
                  <c:v>5499139.4932850013</c:v>
                </c:pt>
                <c:pt idx="28">
                  <c:v>5403616.40519528</c:v>
                </c:pt>
                <c:pt idx="29">
                  <c:v>5253429.56876144</c:v>
                </c:pt>
                <c:pt idx="30">
                  <c:v>4607576.1616366571</c:v>
                </c:pt>
                <c:pt idx="31">
                  <c:v>4614281.8000494493</c:v>
                </c:pt>
                <c:pt idx="32">
                  <c:v>4606312.2014537742</c:v>
                </c:pt>
                <c:pt idx="33">
                  <c:v>4596923.7221375043</c:v>
                </c:pt>
                <c:pt idx="34">
                  <c:v>4605270.1358628161</c:v>
                </c:pt>
                <c:pt idx="35">
                  <c:v>4611351.4159447728</c:v>
                </c:pt>
                <c:pt idx="36">
                  <c:v>4618879.1119940048</c:v>
                </c:pt>
                <c:pt idx="37">
                  <c:v>4619737.2320818715</c:v>
                </c:pt>
                <c:pt idx="38">
                  <c:v>4625356.6469964925</c:v>
                </c:pt>
                <c:pt idx="39">
                  <c:v>4620558.0807004413</c:v>
                </c:pt>
                <c:pt idx="40">
                  <c:v>4616105.4830168337</c:v>
                </c:pt>
                <c:pt idx="41">
                  <c:v>4625030.9733476695</c:v>
                </c:pt>
                <c:pt idx="42">
                  <c:v>4639999.6926666563</c:v>
                </c:pt>
                <c:pt idx="43">
                  <c:v>4654807.9530750718</c:v>
                </c:pt>
                <c:pt idx="44">
                  <c:v>4548623.9032578282</c:v>
                </c:pt>
                <c:pt idx="45">
                  <c:v>-1071196.5925712455</c:v>
                </c:pt>
                <c:pt idx="46">
                  <c:v>-1044628.5322039373</c:v>
                </c:pt>
                <c:pt idx="47">
                  <c:v>-1018536.0265862364</c:v>
                </c:pt>
                <c:pt idx="48">
                  <c:v>-992896.53258394846</c:v>
                </c:pt>
                <c:pt idx="49">
                  <c:v>-967689.06461053621</c:v>
                </c:pt>
                <c:pt idx="50">
                  <c:v>-942894.05136594037</c:v>
                </c:pt>
                <c:pt idx="51">
                  <c:v>-922557.51697508642</c:v>
                </c:pt>
                <c:pt idx="52">
                  <c:v>-902566.40295716189</c:v>
                </c:pt>
                <c:pt idx="53">
                  <c:v>-882906.49041442515</c:v>
                </c:pt>
                <c:pt idx="54">
                  <c:v>-863564.44095789408</c:v>
                </c:pt>
                <c:pt idx="55">
                  <c:v>-844527.72425004863</c:v>
                </c:pt>
                <c:pt idx="56">
                  <c:v>-825223.32230861776</c:v>
                </c:pt>
                <c:pt idx="57">
                  <c:v>-806224.4685075304</c:v>
                </c:pt>
                <c:pt idx="58">
                  <c:v>-787520.28025821666</c:v>
                </c:pt>
                <c:pt idx="59">
                  <c:v>-769100.48086842429</c:v>
                </c:pt>
                <c:pt idx="60">
                  <c:v>-750955.35462488607</c:v>
                </c:pt>
              </c:numCache>
            </c:numRef>
          </c:val>
          <c:extLst xmlns:c15="http://schemas.microsoft.com/office/drawing/2012/chart">
            <c:ext xmlns:c16="http://schemas.microsoft.com/office/drawing/2014/chart" uri="{C3380CC4-5D6E-409C-BE32-E72D297353CC}">
              <c16:uniqueId val="{00000003-A02B-4794-A51D-4248BFEBB6DC}"/>
            </c:ext>
          </c:extLst>
        </c:ser>
        <c:ser>
          <c:idx val="6"/>
          <c:order val="4"/>
          <c:tx>
            <c:strRef>
              <c:f>'Net zero Activity data'!$D$9:$F$9</c:f>
              <c:strCache>
                <c:ptCount val="3"/>
                <c:pt idx="0">
                  <c:v>Subsistence</c:v>
                </c:pt>
                <c:pt idx="1">
                  <c:v>Population</c:v>
                </c:pt>
                <c:pt idx="2">
                  <c:v>Head</c:v>
                </c:pt>
              </c:strCache>
            </c:strRef>
          </c:tx>
          <c:spPr>
            <a:solidFill>
              <a:schemeClr val="accent1">
                <a:lumMod val="60000"/>
              </a:schemeClr>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data'!$H$9:$BP$9</c:f>
              <c:numCache>
                <c:formatCode>#,##0</c:formatCode>
                <c:ptCount val="61"/>
                <c:pt idx="0">
                  <c:v>4590000</c:v>
                </c:pt>
                <c:pt idx="1">
                  <c:v>4870000</c:v>
                </c:pt>
                <c:pt idx="2">
                  <c:v>5100000</c:v>
                </c:pt>
                <c:pt idx="3">
                  <c:v>5040000</c:v>
                </c:pt>
                <c:pt idx="4">
                  <c:v>4390000</c:v>
                </c:pt>
                <c:pt idx="5">
                  <c:v>4240000</c:v>
                </c:pt>
                <c:pt idx="6">
                  <c:v>4360000</c:v>
                </c:pt>
                <c:pt idx="7">
                  <c:v>4560000</c:v>
                </c:pt>
                <c:pt idx="8">
                  <c:v>4840000</c:v>
                </c:pt>
                <c:pt idx="9">
                  <c:v>5040000</c:v>
                </c:pt>
                <c:pt idx="10">
                  <c:v>4920000</c:v>
                </c:pt>
                <c:pt idx="11">
                  <c:v>4800000</c:v>
                </c:pt>
                <c:pt idx="12">
                  <c:v>5440000</c:v>
                </c:pt>
                <c:pt idx="13">
                  <c:v>5570000</c:v>
                </c:pt>
                <c:pt idx="14">
                  <c:v>5480000</c:v>
                </c:pt>
                <c:pt idx="15">
                  <c:v>5320000</c:v>
                </c:pt>
                <c:pt idx="16">
                  <c:v>5490000</c:v>
                </c:pt>
                <c:pt idx="17">
                  <c:v>5710000</c:v>
                </c:pt>
                <c:pt idx="18">
                  <c:v>5620000</c:v>
                </c:pt>
                <c:pt idx="19">
                  <c:v>5560000</c:v>
                </c:pt>
                <c:pt idx="20">
                  <c:v>5480000</c:v>
                </c:pt>
                <c:pt idx="21">
                  <c:v>5520000</c:v>
                </c:pt>
                <c:pt idx="22">
                  <c:v>5327272.250660954</c:v>
                </c:pt>
                <c:pt idx="23">
                  <c:v>5291960.7574283015</c:v>
                </c:pt>
                <c:pt idx="24">
                  <c:v>5217508.8402623869</c:v>
                </c:pt>
                <c:pt idx="25">
                  <c:v>5092009.8163202135</c:v>
                </c:pt>
                <c:pt idx="26">
                  <c:v>4970247.619255105</c:v>
                </c:pt>
                <c:pt idx="27">
                  <c:v>4876595.3997055674</c:v>
                </c:pt>
                <c:pt idx="28">
                  <c:v>4791886.2461165683</c:v>
                </c:pt>
                <c:pt idx="29">
                  <c:v>4658701.6930525973</c:v>
                </c:pt>
                <c:pt idx="30">
                  <c:v>4085963.7659796765</c:v>
                </c:pt>
                <c:pt idx="31">
                  <c:v>4091910.2755155494</c:v>
                </c:pt>
                <c:pt idx="32">
                  <c:v>4084842.8956288183</c:v>
                </c:pt>
                <c:pt idx="33">
                  <c:v>4076517.2630275977</c:v>
                </c:pt>
                <c:pt idx="34">
                  <c:v>4083918.7997274026</c:v>
                </c:pt>
                <c:pt idx="35">
                  <c:v>4089311.6330076279</c:v>
                </c:pt>
                <c:pt idx="36">
                  <c:v>4095987.1370512871</c:v>
                </c:pt>
                <c:pt idx="37">
                  <c:v>4096748.1114688292</c:v>
                </c:pt>
                <c:pt idx="38">
                  <c:v>4101731.3662044364</c:v>
                </c:pt>
                <c:pt idx="39">
                  <c:v>4097476.033828693</c:v>
                </c:pt>
                <c:pt idx="40">
                  <c:v>4093527.5038073808</c:v>
                </c:pt>
                <c:pt idx="41">
                  <c:v>4101442.5612705741</c:v>
                </c:pt>
                <c:pt idx="42">
                  <c:v>4114716.708591185</c:v>
                </c:pt>
                <c:pt idx="43">
                  <c:v>4127848.5621609124</c:v>
                </c:pt>
                <c:pt idx="44">
                  <c:v>4033685.3481720355</c:v>
                </c:pt>
                <c:pt idx="45">
                  <c:v>-949929.05378959503</c:v>
                </c:pt>
                <c:pt idx="46">
                  <c:v>-926368.69836952921</c:v>
                </c:pt>
                <c:pt idx="47">
                  <c:v>-903230.06131232274</c:v>
                </c:pt>
                <c:pt idx="48">
                  <c:v>-880493.15153670893</c:v>
                </c:pt>
                <c:pt idx="49">
                  <c:v>-858139.35918292822</c:v>
                </c:pt>
                <c:pt idx="50">
                  <c:v>-836151.32856979617</c:v>
                </c:pt>
                <c:pt idx="51">
                  <c:v>-818117.04335526517</c:v>
                </c:pt>
                <c:pt idx="52">
                  <c:v>-800389.07432050188</c:v>
                </c:pt>
                <c:pt idx="53">
                  <c:v>-782954.81225430139</c:v>
                </c:pt>
                <c:pt idx="54">
                  <c:v>-765802.42877398152</c:v>
                </c:pt>
                <c:pt idx="55">
                  <c:v>-748920.81207079766</c:v>
                </c:pt>
                <c:pt idx="56">
                  <c:v>-731801.81412273634</c:v>
                </c:pt>
                <c:pt idx="57">
                  <c:v>-714953.77395950793</c:v>
                </c:pt>
                <c:pt idx="58">
                  <c:v>-698367.04098370159</c:v>
                </c:pt>
                <c:pt idx="59">
                  <c:v>-682032.50190218748</c:v>
                </c:pt>
                <c:pt idx="60">
                  <c:v>-665941.5408937668</c:v>
                </c:pt>
              </c:numCache>
            </c:numRef>
          </c:val>
          <c:extLst xmlns:c15="http://schemas.microsoft.com/office/drawing/2012/chart">
            <c:ext xmlns:c16="http://schemas.microsoft.com/office/drawing/2014/chart" uri="{C3380CC4-5D6E-409C-BE32-E72D297353CC}">
              <c16:uniqueId val="{00000004-A02B-4794-A51D-4248BFEBB6DC}"/>
            </c:ext>
          </c:extLst>
        </c:ser>
        <c:ser>
          <c:idx val="7"/>
          <c:order val="5"/>
          <c:tx>
            <c:strRef>
              <c:f>'Net zero Activity data'!$D$10:$F$10</c:f>
              <c:strCache>
                <c:ptCount val="3"/>
                <c:pt idx="0">
                  <c:v>Feedlot</c:v>
                </c:pt>
                <c:pt idx="1">
                  <c:v>Population</c:v>
                </c:pt>
                <c:pt idx="2">
                  <c:v>Head</c:v>
                </c:pt>
              </c:strCache>
            </c:strRef>
          </c:tx>
          <c:spPr>
            <a:solidFill>
              <a:schemeClr val="accent2">
                <a:lumMod val="60000"/>
              </a:schemeClr>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data'!$H$10:$BP$10</c:f>
              <c:numCache>
                <c:formatCode>#,##0</c:formatCode>
                <c:ptCount val="61"/>
                <c:pt idx="0">
                  <c:v>420000</c:v>
                </c:pt>
                <c:pt idx="1">
                  <c:v>420000</c:v>
                </c:pt>
                <c:pt idx="2">
                  <c:v>420000</c:v>
                </c:pt>
                <c:pt idx="3">
                  <c:v>420000</c:v>
                </c:pt>
                <c:pt idx="4">
                  <c:v>420000</c:v>
                </c:pt>
                <c:pt idx="5">
                  <c:v>420000</c:v>
                </c:pt>
                <c:pt idx="6">
                  <c:v>420000</c:v>
                </c:pt>
                <c:pt idx="7">
                  <c:v>420000</c:v>
                </c:pt>
                <c:pt idx="8">
                  <c:v>420000</c:v>
                </c:pt>
                <c:pt idx="9">
                  <c:v>420000</c:v>
                </c:pt>
                <c:pt idx="10">
                  <c:v>420000</c:v>
                </c:pt>
                <c:pt idx="11">
                  <c:v>420000</c:v>
                </c:pt>
                <c:pt idx="12">
                  <c:v>420000</c:v>
                </c:pt>
                <c:pt idx="13">
                  <c:v>420000</c:v>
                </c:pt>
                <c:pt idx="14">
                  <c:v>420000</c:v>
                </c:pt>
                <c:pt idx="15">
                  <c:v>420000</c:v>
                </c:pt>
                <c:pt idx="16">
                  <c:v>420000</c:v>
                </c:pt>
                <c:pt idx="17">
                  <c:v>420000</c:v>
                </c:pt>
                <c:pt idx="18">
                  <c:v>391147.75</c:v>
                </c:pt>
                <c:pt idx="19">
                  <c:v>400819.41666666669</c:v>
                </c:pt>
                <c:pt idx="20">
                  <c:v>399822.33333333331</c:v>
                </c:pt>
                <c:pt idx="21">
                  <c:v>461800.16666666669</c:v>
                </c:pt>
                <c:pt idx="22">
                  <c:v>544425.44678784802</c:v>
                </c:pt>
                <c:pt idx="23">
                  <c:v>563815.25409722852</c:v>
                </c:pt>
                <c:pt idx="24">
                  <c:v>579205.48050671967</c:v>
                </c:pt>
                <c:pt idx="25">
                  <c:v>588722.95646496292</c:v>
                </c:pt>
                <c:pt idx="26">
                  <c:v>598260.30078749277</c:v>
                </c:pt>
                <c:pt idx="27">
                  <c:v>610925.73677676241</c:v>
                </c:pt>
                <c:pt idx="28">
                  <c:v>624646.75853090361</c:v>
                </c:pt>
                <c:pt idx="29">
                  <c:v>631787.34034937981</c:v>
                </c:pt>
                <c:pt idx="30">
                  <c:v>576398.87297452381</c:v>
                </c:pt>
                <c:pt idx="31">
                  <c:v>597429.17223171226</c:v>
                </c:pt>
                <c:pt idx="32">
                  <c:v>617106.10073174362</c:v>
                </c:pt>
                <c:pt idx="33">
                  <c:v>637093.16757915285</c:v>
                </c:pt>
                <c:pt idx="34">
                  <c:v>660140.39418605424</c:v>
                </c:pt>
                <c:pt idx="35">
                  <c:v>683567.85079016106</c:v>
                </c:pt>
                <c:pt idx="36">
                  <c:v>707942.96332865453</c:v>
                </c:pt>
                <c:pt idx="37">
                  <c:v>732035.04027497675</c:v>
                </c:pt>
                <c:pt idx="38">
                  <c:v>757644.2398162738</c:v>
                </c:pt>
                <c:pt idx="39">
                  <c:v>782311.92192601517</c:v>
                </c:pt>
                <c:pt idx="40">
                  <c:v>807780.51356427569</c:v>
                </c:pt>
                <c:pt idx="41">
                  <c:v>836525.96480848361</c:v>
                </c:pt>
                <c:pt idx="42">
                  <c:v>867478.77620510815</c:v>
                </c:pt>
                <c:pt idx="43">
                  <c:v>899615.03094515728</c:v>
                </c:pt>
                <c:pt idx="44">
                  <c:v>908857.28026224533</c:v>
                </c:pt>
                <c:pt idx="45">
                  <c:v>-221309.97896137176</c:v>
                </c:pt>
                <c:pt idx="46">
                  <c:v>-223189.62141862977</c:v>
                </c:pt>
                <c:pt idx="47">
                  <c:v>-225082.48341012129</c:v>
                </c:pt>
                <c:pt idx="48">
                  <c:v>-226988.68564947575</c:v>
                </c:pt>
                <c:pt idx="49">
                  <c:v>-228908.34980087751</c:v>
                </c:pt>
                <c:pt idx="50">
                  <c:v>-230841.59848671168</c:v>
                </c:pt>
                <c:pt idx="51">
                  <c:v>-232342.39889058965</c:v>
                </c:pt>
                <c:pt idx="52">
                  <c:v>-233852.07663141791</c:v>
                </c:pt>
                <c:pt idx="53">
                  <c:v>-235370.69890959424</c:v>
                </c:pt>
                <c:pt idx="54">
                  <c:v>-236898.33336190725</c:v>
                </c:pt>
                <c:pt idx="55">
                  <c:v>-238435.04806449765</c:v>
                </c:pt>
                <c:pt idx="56">
                  <c:v>-239817.81253801408</c:v>
                </c:pt>
                <c:pt idx="57">
                  <c:v>-241207.08642082589</c:v>
                </c:pt>
                <c:pt idx="58">
                  <c:v>-242602.91145594491</c:v>
                </c:pt>
                <c:pt idx="59">
                  <c:v>-244005.32960192702</c:v>
                </c:pt>
                <c:pt idx="60">
                  <c:v>-245414.38303410745</c:v>
                </c:pt>
              </c:numCache>
            </c:numRef>
          </c:val>
          <c:extLst xmlns:c15="http://schemas.microsoft.com/office/drawing/2012/chart">
            <c:ext xmlns:c16="http://schemas.microsoft.com/office/drawing/2014/chart" uri="{C3380CC4-5D6E-409C-BE32-E72D297353CC}">
              <c16:uniqueId val="{00000005-A02B-4794-A51D-4248BFEBB6DC}"/>
            </c:ext>
          </c:extLst>
        </c:ser>
        <c:dLbls>
          <c:showLegendKey val="0"/>
          <c:showVal val="0"/>
          <c:showCatName val="0"/>
          <c:showSerName val="0"/>
          <c:showPercent val="0"/>
          <c:showBubbleSize val="0"/>
        </c:dLbls>
        <c:axId val="789136943"/>
        <c:axId val="789159823"/>
        <c:extLst>
          <c:ext xmlns:c15="http://schemas.microsoft.com/office/drawing/2012/chart" uri="{02D57815-91ED-43cb-92C2-25804820EDAC}">
            <c15:filteredAreaSeries>
              <c15:ser>
                <c:idx val="8"/>
                <c:order val="6"/>
                <c:tx>
                  <c:strRef>
                    <c:extLst>
                      <c:ext uri="{02D57815-91ED-43cb-92C2-25804820EDAC}">
                        <c15:formulaRef>
                          <c15:sqref>'Net zero Activity data'!$D$11:$F$11</c15:sqref>
                        </c15:formulaRef>
                      </c:ext>
                    </c:extLst>
                    <c:strCache>
                      <c:ptCount val="3"/>
                      <c:pt idx="0">
                        <c:v>Commercial</c:v>
                      </c:pt>
                      <c:pt idx="1">
                        <c:v>Population</c:v>
                      </c:pt>
                      <c:pt idx="2">
                        <c:v>Head</c:v>
                      </c:pt>
                    </c:strCache>
                  </c:strRef>
                </c:tx>
                <c:spPr>
                  <a:solidFill>
                    <a:schemeClr val="accent3">
                      <a:lumMod val="60000"/>
                    </a:schemeClr>
                  </a:solidFill>
                  <a:ln>
                    <a:noFill/>
                  </a:ln>
                  <a:effectLst/>
                </c:spPr>
                <c:cat>
                  <c:numRef>
                    <c:extLst>
                      <c:ex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c:ext uri="{02D57815-91ED-43cb-92C2-25804820EDAC}">
                        <c15:formulaRef>
                          <c15:sqref>'Net zero Activity data'!$H$11:$BP$11</c15:sqref>
                        </c15:formulaRef>
                      </c:ext>
                    </c:extLst>
                    <c:numCache>
                      <c:formatCode>#,##0</c:formatCode>
                      <c:ptCount val="61"/>
                      <c:pt idx="0">
                        <c:v>29979000</c:v>
                      </c:pt>
                      <c:pt idx="1">
                        <c:v>28631000</c:v>
                      </c:pt>
                      <c:pt idx="2">
                        <c:v>27448000</c:v>
                      </c:pt>
                      <c:pt idx="3">
                        <c:v>25670000</c:v>
                      </c:pt>
                      <c:pt idx="4">
                        <c:v>25851000</c:v>
                      </c:pt>
                      <c:pt idx="5">
                        <c:v>25481000</c:v>
                      </c:pt>
                      <c:pt idx="6">
                        <c:v>25566000</c:v>
                      </c:pt>
                      <c:pt idx="7">
                        <c:v>25010000</c:v>
                      </c:pt>
                      <c:pt idx="8">
                        <c:v>25079000</c:v>
                      </c:pt>
                      <c:pt idx="9">
                        <c:v>24463000</c:v>
                      </c:pt>
                      <c:pt idx="10">
                        <c:v>23586000</c:v>
                      </c:pt>
                      <c:pt idx="11">
                        <c:v>22998000</c:v>
                      </c:pt>
                      <c:pt idx="12">
                        <c:v>22614000</c:v>
                      </c:pt>
                      <c:pt idx="13">
                        <c:v>22693000</c:v>
                      </c:pt>
                      <c:pt idx="14">
                        <c:v>22289000</c:v>
                      </c:pt>
                      <c:pt idx="15">
                        <c:v>22236000</c:v>
                      </c:pt>
                      <c:pt idx="16">
                        <c:v>21945000</c:v>
                      </c:pt>
                      <c:pt idx="17">
                        <c:v>21924000</c:v>
                      </c:pt>
                      <c:pt idx="18">
                        <c:v>21995000</c:v>
                      </c:pt>
                      <c:pt idx="19">
                        <c:v>21917000</c:v>
                      </c:pt>
                      <c:pt idx="20">
                        <c:v>21493000</c:v>
                      </c:pt>
                      <c:pt idx="21">
                        <c:v>21325000</c:v>
                      </c:pt>
                      <c:pt idx="22">
                        <c:v>19018327.680967014</c:v>
                      </c:pt>
                      <c:pt idx="23">
                        <c:v>19028713.427086703</c:v>
                      </c:pt>
                      <c:pt idx="24">
                        <c:v>19051969.107683893</c:v>
                      </c:pt>
                      <c:pt idx="25">
                        <c:v>19086973.789225459</c:v>
                      </c:pt>
                      <c:pt idx="26">
                        <c:v>19134195.806752253</c:v>
                      </c:pt>
                      <c:pt idx="27">
                        <c:v>19193685.267400872</c:v>
                      </c:pt>
                      <c:pt idx="28">
                        <c:v>19259954.114958268</c:v>
                      </c:pt>
                      <c:pt idx="29">
                        <c:v>19331774.464016877</c:v>
                      </c:pt>
                      <c:pt idx="30">
                        <c:v>19399264.907008924</c:v>
                      </c:pt>
                      <c:pt idx="31">
                        <c:v>19427456.971954491</c:v>
                      </c:pt>
                      <c:pt idx="32">
                        <c:v>19460170.41757524</c:v>
                      </c:pt>
                      <c:pt idx="33">
                        <c:v>19497398.536194213</c:v>
                      </c:pt>
                      <c:pt idx="34">
                        <c:v>19539334.211069677</c:v>
                      </c:pt>
                      <c:pt idx="35">
                        <c:v>19585305.150981959</c:v>
                      </c:pt>
                      <c:pt idx="36">
                        <c:v>19613603.770404901</c:v>
                      </c:pt>
                      <c:pt idx="37">
                        <c:v>19645213.91259072</c:v>
                      </c:pt>
                      <c:pt idx="38">
                        <c:v>19680250.289019085</c:v>
                      </c:pt>
                      <c:pt idx="39">
                        <c:v>19718174.586544167</c:v>
                      </c:pt>
                      <c:pt idx="40">
                        <c:v>19759122.406973377</c:v>
                      </c:pt>
                      <c:pt idx="41">
                        <c:v>19786079.120163966</c:v>
                      </c:pt>
                      <c:pt idx="42">
                        <c:v>19815871.263841685</c:v>
                      </c:pt>
                      <c:pt idx="43">
                        <c:v>19848230.902383074</c:v>
                      </c:pt>
                      <c:pt idx="44">
                        <c:v>19879494.440380681</c:v>
                      </c:pt>
                      <c:pt idx="45">
                        <c:v>19745833.454347491</c:v>
                      </c:pt>
                      <c:pt idx="46">
                        <c:v>19764815.427753989</c:v>
                      </c:pt>
                      <c:pt idx="47">
                        <c:v>19785762.129433058</c:v>
                      </c:pt>
                      <c:pt idx="48">
                        <c:v>19808599.333598968</c:v>
                      </c:pt>
                      <c:pt idx="49">
                        <c:v>19833258.55165717</c:v>
                      </c:pt>
                      <c:pt idx="50">
                        <c:v>19859676.487788312</c:v>
                      </c:pt>
                      <c:pt idx="51">
                        <c:v>19872497.136151575</c:v>
                      </c:pt>
                      <c:pt idx="52">
                        <c:v>19886867.327126332</c:v>
                      </c:pt>
                      <c:pt idx="53">
                        <c:v>19902733.132976212</c:v>
                      </c:pt>
                      <c:pt idx="54">
                        <c:v>19920044.316978011</c:v>
                      </c:pt>
                      <c:pt idx="55">
                        <c:v>19938754.019852098</c:v>
                      </c:pt>
                      <c:pt idx="56">
                        <c:v>19943369.475962225</c:v>
                      </c:pt>
                      <c:pt idx="57">
                        <c:v>19949226.116932139</c:v>
                      </c:pt>
                      <c:pt idx="58">
                        <c:v>19956282.834742554</c:v>
                      </c:pt>
                      <c:pt idx="59">
                        <c:v>19964501.031608582</c:v>
                      </c:pt>
                      <c:pt idx="60">
                        <c:v>19973844.426938675</c:v>
                      </c:pt>
                    </c:numCache>
                  </c:numRef>
                </c:val>
                <c:extLst>
                  <c:ext xmlns:c16="http://schemas.microsoft.com/office/drawing/2014/chart" uri="{C3380CC4-5D6E-409C-BE32-E72D297353CC}">
                    <c16:uniqueId val="{00000006-A02B-4794-A51D-4248BFEBB6DC}"/>
                  </c:ext>
                </c:extLst>
              </c15:ser>
            </c15:filteredAreaSeries>
            <c15:filteredAreaSeries>
              <c15:ser>
                <c:idx val="9"/>
                <c:order val="7"/>
                <c:tx>
                  <c:strRef>
                    <c:extLst xmlns:c15="http://schemas.microsoft.com/office/drawing/2012/chart">
                      <c:ext xmlns:c15="http://schemas.microsoft.com/office/drawing/2012/chart" uri="{02D57815-91ED-43cb-92C2-25804820EDAC}">
                        <c15:formulaRef>
                          <c15:sqref>'Net zero Activity data'!$D$12:$F$12</c15:sqref>
                        </c15:formulaRef>
                      </c:ext>
                    </c:extLst>
                    <c:strCache>
                      <c:ptCount val="3"/>
                      <c:pt idx="0">
                        <c:v>Subsistence</c:v>
                      </c:pt>
                      <c:pt idx="1">
                        <c:v>Population</c:v>
                      </c:pt>
                      <c:pt idx="2">
                        <c:v>Head</c:v>
                      </c:pt>
                    </c:strCache>
                  </c:strRef>
                </c:tx>
                <c:spPr>
                  <a:solidFill>
                    <a:schemeClr val="accent4">
                      <a:lumMod val="6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data'!$H$12:$BP$12</c15:sqref>
                        </c15:formulaRef>
                      </c:ext>
                    </c:extLst>
                    <c:numCache>
                      <c:formatCode>#,##0</c:formatCode>
                      <c:ptCount val="61"/>
                      <c:pt idx="0">
                        <c:v>4183862.7657327019</c:v>
                      </c:pt>
                      <c:pt idx="1">
                        <c:v>3995736.1768468926</c:v>
                      </c:pt>
                      <c:pt idx="2">
                        <c:v>3830636.9523276691</c:v>
                      </c:pt>
                      <c:pt idx="3">
                        <c:v>3582499.6563046952</c:v>
                      </c:pt>
                      <c:pt idx="4">
                        <c:v>3607759.9772159201</c:v>
                      </c:pt>
                      <c:pt idx="5">
                        <c:v>3556122.8571211509</c:v>
                      </c:pt>
                      <c:pt idx="6">
                        <c:v>3567985.4387645437</c:v>
                      </c:pt>
                      <c:pt idx="7">
                        <c:v>3490390.1988383494</c:v>
                      </c:pt>
                      <c:pt idx="8">
                        <c:v>3500019.8239371148</c:v>
                      </c:pt>
                      <c:pt idx="9">
                        <c:v>3414050.996968525</c:v>
                      </c:pt>
                      <c:pt idx="10">
                        <c:v>3291657.0663655167</c:v>
                      </c:pt>
                      <c:pt idx="11">
                        <c:v>3209595.9133500443</c:v>
                      </c:pt>
                      <c:pt idx="12">
                        <c:v>3156004.9562787157</c:v>
                      </c:pt>
                      <c:pt idx="13">
                        <c:v>3167030.1792178694</c:v>
                      </c:pt>
                      <c:pt idx="14">
                        <c:v>3110648.0264657419</c:v>
                      </c:pt>
                      <c:pt idx="15">
                        <c:v>3103251.3579116268</c:v>
                      </c:pt>
                      <c:pt idx="16">
                        <c:v>3062639.4607560104</c:v>
                      </c:pt>
                      <c:pt idx="17">
                        <c:v>3059708.705291172</c:v>
                      </c:pt>
                      <c:pt idx="18">
                        <c:v>3069617.4499580064</c:v>
                      </c:pt>
                      <c:pt idx="19">
                        <c:v>3058731.7868028926</c:v>
                      </c:pt>
                      <c:pt idx="20">
                        <c:v>2999558.4383699675</c:v>
                      </c:pt>
                      <c:pt idx="21">
                        <c:v>2976112.3946512612</c:v>
                      </c:pt>
                      <c:pt idx="22">
                        <c:v>2841819.0787651865</c:v>
                      </c:pt>
                      <c:pt idx="23">
                        <c:v>2843370.9718635306</c:v>
                      </c:pt>
                      <c:pt idx="24">
                        <c:v>2846845.9586194325</c:v>
                      </c:pt>
                      <c:pt idx="25">
                        <c:v>2852076.5432175971</c:v>
                      </c:pt>
                      <c:pt idx="26">
                        <c:v>2859132.7067560842</c:v>
                      </c:pt>
                      <c:pt idx="27">
                        <c:v>2868021.9365081764</c:v>
                      </c:pt>
                      <c:pt idx="28">
                        <c:v>2877924.1780972127</c:v>
                      </c:pt>
                      <c:pt idx="29">
                        <c:v>2888655.9543933268</c:v>
                      </c:pt>
                      <c:pt idx="30">
                        <c:v>2898740.733231219</c:v>
                      </c:pt>
                      <c:pt idx="31">
                        <c:v>2902953.3406368783</c:v>
                      </c:pt>
                      <c:pt idx="32">
                        <c:v>2907841.5566491741</c:v>
                      </c:pt>
                      <c:pt idx="33">
                        <c:v>2913404.3789715492</c:v>
                      </c:pt>
                      <c:pt idx="34">
                        <c:v>2919670.6292402968</c:v>
                      </c:pt>
                      <c:pt idx="35">
                        <c:v>2926539.8501467295</c:v>
                      </c:pt>
                      <c:pt idx="36">
                        <c:v>2930768.3794857902</c:v>
                      </c:pt>
                      <c:pt idx="37">
                        <c:v>2935491.7340652798</c:v>
                      </c:pt>
                      <c:pt idx="38">
                        <c:v>2940727.0546810129</c:v>
                      </c:pt>
                      <c:pt idx="39">
                        <c:v>2946393.9037364847</c:v>
                      </c:pt>
                      <c:pt idx="40">
                        <c:v>2952512.5435707346</c:v>
                      </c:pt>
                      <c:pt idx="41">
                        <c:v>2956540.5581854205</c:v>
                      </c:pt>
                      <c:pt idx="42">
                        <c:v>2960992.2578154244</c:v>
                      </c:pt>
                      <c:pt idx="43">
                        <c:v>2965827.6061032182</c:v>
                      </c:pt>
                      <c:pt idx="44">
                        <c:v>2970499.1692522862</c:v>
                      </c:pt>
                      <c:pt idx="45">
                        <c:v>2950526.8380059474</c:v>
                      </c:pt>
                      <c:pt idx="46">
                        <c:v>2953363.224836803</c:v>
                      </c:pt>
                      <c:pt idx="47">
                        <c:v>2956493.1917543649</c:v>
                      </c:pt>
                      <c:pt idx="48">
                        <c:v>2959905.6475492711</c:v>
                      </c:pt>
                      <c:pt idx="49">
                        <c:v>2963590.3582936004</c:v>
                      </c:pt>
                      <c:pt idx="50">
                        <c:v>2967537.8659913572</c:v>
                      </c:pt>
                      <c:pt idx="51">
                        <c:v>2969453.5950571322</c:v>
                      </c:pt>
                      <c:pt idx="52">
                        <c:v>2971600.8649729001</c:v>
                      </c:pt>
                      <c:pt idx="53">
                        <c:v>2973971.6175711579</c:v>
                      </c:pt>
                      <c:pt idx="54">
                        <c:v>2976558.3462151056</c:v>
                      </c:pt>
                      <c:pt idx="55">
                        <c:v>2979354.0489434167</c:v>
                      </c:pt>
                      <c:pt idx="56">
                        <c:v>2980043.7147989534</c:v>
                      </c:pt>
                      <c:pt idx="57">
                        <c:v>2980918.8450588253</c:v>
                      </c:pt>
                      <c:pt idx="58">
                        <c:v>2981973.2971454393</c:v>
                      </c:pt>
                      <c:pt idx="59">
                        <c:v>2983201.3035736964</c:v>
                      </c:pt>
                      <c:pt idx="60">
                        <c:v>2984597.4431057791</c:v>
                      </c:pt>
                    </c:numCache>
                  </c:numRef>
                </c:val>
                <c:extLst xmlns:c15="http://schemas.microsoft.com/office/drawing/2012/chart">
                  <c:ext xmlns:c16="http://schemas.microsoft.com/office/drawing/2014/chart" uri="{C3380CC4-5D6E-409C-BE32-E72D297353CC}">
                    <c16:uniqueId val="{00000007-A02B-4794-A51D-4248BFEBB6DC}"/>
                  </c:ext>
                </c:extLst>
              </c15:ser>
            </c15:filteredAreaSeries>
            <c15:filteredAreaSeries>
              <c15:ser>
                <c:idx val="10"/>
                <c:order val="8"/>
                <c:tx>
                  <c:strRef>
                    <c:extLst xmlns:c15="http://schemas.microsoft.com/office/drawing/2012/chart">
                      <c:ext xmlns:c15="http://schemas.microsoft.com/office/drawing/2012/chart" uri="{02D57815-91ED-43cb-92C2-25804820EDAC}">
                        <c15:formulaRef>
                          <c15:sqref>'Net zero Activity data'!$D$13:$F$13</c15:sqref>
                        </c15:formulaRef>
                      </c:ext>
                    </c:extLst>
                    <c:strCache>
                      <c:ptCount val="3"/>
                      <c:pt idx="0">
                        <c:v>Commercial</c:v>
                      </c:pt>
                      <c:pt idx="1">
                        <c:v>Population</c:v>
                      </c:pt>
                      <c:pt idx="2">
                        <c:v>Head</c:v>
                      </c:pt>
                    </c:strCache>
                  </c:strRef>
                </c:tx>
                <c:spPr>
                  <a:solidFill>
                    <a:schemeClr val="accent5">
                      <a:lumMod val="6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data'!$H$13:$BP$13</c15:sqref>
                        </c15:formulaRef>
                      </c:ext>
                    </c:extLst>
                    <c:numCache>
                      <c:formatCode>#,##0</c:formatCode>
                      <c:ptCount val="61"/>
                      <c:pt idx="0">
                        <c:v>2774000.0000000005</c:v>
                      </c:pt>
                      <c:pt idx="1">
                        <c:v>2453000.0000000009</c:v>
                      </c:pt>
                      <c:pt idx="2">
                        <c:v>2284999.9999999995</c:v>
                      </c:pt>
                      <c:pt idx="3">
                        <c:v>2158999.9999999995</c:v>
                      </c:pt>
                      <c:pt idx="4">
                        <c:v>2336999.9999999995</c:v>
                      </c:pt>
                      <c:pt idx="5">
                        <c:v>2369000</c:v>
                      </c:pt>
                      <c:pt idx="6">
                        <c:v>2405999.9999999995</c:v>
                      </c:pt>
                      <c:pt idx="7">
                        <c:v>2394000</c:v>
                      </c:pt>
                      <c:pt idx="8">
                        <c:v>2360000</c:v>
                      </c:pt>
                      <c:pt idx="9">
                        <c:v>2325000.0000000005</c:v>
                      </c:pt>
                      <c:pt idx="10">
                        <c:v>2355000</c:v>
                      </c:pt>
                      <c:pt idx="11">
                        <c:v>2427000.0000000005</c:v>
                      </c:pt>
                      <c:pt idx="12">
                        <c:v>2216000.0000000005</c:v>
                      </c:pt>
                      <c:pt idx="13">
                        <c:v>2160000</c:v>
                      </c:pt>
                      <c:pt idx="14">
                        <c:v>2164000.0000000005</c:v>
                      </c:pt>
                      <c:pt idx="15">
                        <c:v>2136000</c:v>
                      </c:pt>
                      <c:pt idx="16">
                        <c:v>2181000</c:v>
                      </c:pt>
                      <c:pt idx="17">
                        <c:v>2116000</c:v>
                      </c:pt>
                      <c:pt idx="18">
                        <c:v>2114000.0000000005</c:v>
                      </c:pt>
                      <c:pt idx="19">
                        <c:v>2077000</c:v>
                      </c:pt>
                      <c:pt idx="20">
                        <c:v>2052000.0000000002</c:v>
                      </c:pt>
                      <c:pt idx="21">
                        <c:v>2033000.0000000002</c:v>
                      </c:pt>
                      <c:pt idx="22">
                        <c:v>2068020.3711862336</c:v>
                      </c:pt>
                      <c:pt idx="23">
                        <c:v>2073414.2581746883</c:v>
                      </c:pt>
                      <c:pt idx="24">
                        <c:v>2080602.090384315</c:v>
                      </c:pt>
                      <c:pt idx="25">
                        <c:v>2089424.0681822612</c:v>
                      </c:pt>
                      <c:pt idx="26">
                        <c:v>2099986.2027782789</c:v>
                      </c:pt>
                      <c:pt idx="27">
                        <c:v>2112316.6013010871</c:v>
                      </c:pt>
                      <c:pt idx="28">
                        <c:v>2125500.0705008977</c:v>
                      </c:pt>
                      <c:pt idx="29">
                        <c:v>2139348.0975761078</c:v>
                      </c:pt>
                      <c:pt idx="30">
                        <c:v>2152212.3064880767</c:v>
                      </c:pt>
                      <c:pt idx="31">
                        <c:v>2158240.8667125739</c:v>
                      </c:pt>
                      <c:pt idx="32">
                        <c:v>2164851.5171703934</c:v>
                      </c:pt>
                      <c:pt idx="33">
                        <c:v>2172052.6469438924</c:v>
                      </c:pt>
                      <c:pt idx="34">
                        <c:v>2179884.4421844943</c:v>
                      </c:pt>
                      <c:pt idx="35">
                        <c:v>2188241.4567813184</c:v>
                      </c:pt>
                      <c:pt idx="36">
                        <c:v>2193523.8841429623</c:v>
                      </c:pt>
                      <c:pt idx="37">
                        <c:v>2199239.2019303897</c:v>
                      </c:pt>
                      <c:pt idx="38">
                        <c:v>2205411.0547837582</c:v>
                      </c:pt>
                      <c:pt idx="39">
                        <c:v>2211954.4747049208</c:v>
                      </c:pt>
                      <c:pt idx="40">
                        <c:v>2218895.6360947033</c:v>
                      </c:pt>
                      <c:pt idx="41">
                        <c:v>2223441.6359146708</c:v>
                      </c:pt>
                      <c:pt idx="42">
                        <c:v>2228371.8052992979</c:v>
                      </c:pt>
                      <c:pt idx="43">
                        <c:v>2233644.4650993221</c:v>
                      </c:pt>
                      <c:pt idx="44">
                        <c:v>2238663.2666500062</c:v>
                      </c:pt>
                      <c:pt idx="45">
                        <c:v>2216723.8290338363</c:v>
                      </c:pt>
                      <c:pt idx="46">
                        <c:v>2219659.3317864328</c:v>
                      </c:pt>
                      <c:pt idx="47">
                        <c:v>2222858.0465280842</c:v>
                      </c:pt>
                      <c:pt idx="48">
                        <c:v>2226309.2840009513</c:v>
                      </c:pt>
                      <c:pt idx="49">
                        <c:v>2230003.184065857</c:v>
                      </c:pt>
                      <c:pt idx="50">
                        <c:v>2233930.6363157313</c:v>
                      </c:pt>
                      <c:pt idx="51">
                        <c:v>2235616.4889502036</c:v>
                      </c:pt>
                      <c:pt idx="52">
                        <c:v>2237512.7409939715</c:v>
                      </c:pt>
                      <c:pt idx="53">
                        <c:v>2239611.4603994587</c:v>
                      </c:pt>
                      <c:pt idx="54">
                        <c:v>2241905.2592762075</c:v>
                      </c:pt>
                      <c:pt idx="55">
                        <c:v>2244387.2472713711</c:v>
                      </c:pt>
                      <c:pt idx="56">
                        <c:v>2244580.8918294068</c:v>
                      </c:pt>
                      <c:pt idx="57">
                        <c:v>2244946.7507196893</c:v>
                      </c:pt>
                      <c:pt idx="58">
                        <c:v>2245478.6391973933</c:v>
                      </c:pt>
                      <c:pt idx="59">
                        <c:v>2246170.7510786764</c:v>
                      </c:pt>
                      <c:pt idx="60">
                        <c:v>2247017.6294126948</c:v>
                      </c:pt>
                    </c:numCache>
                  </c:numRef>
                </c:val>
                <c:extLst xmlns:c15="http://schemas.microsoft.com/office/drawing/2012/chart">
                  <c:ext xmlns:c16="http://schemas.microsoft.com/office/drawing/2014/chart" uri="{C3380CC4-5D6E-409C-BE32-E72D297353CC}">
                    <c16:uniqueId val="{00000008-A02B-4794-A51D-4248BFEBB6DC}"/>
                  </c:ext>
                </c:extLst>
              </c15:ser>
            </c15:filteredAreaSeries>
            <c15:filteredAreaSeries>
              <c15:ser>
                <c:idx val="11"/>
                <c:order val="9"/>
                <c:tx>
                  <c:strRef>
                    <c:extLst xmlns:c15="http://schemas.microsoft.com/office/drawing/2012/chart">
                      <c:ext xmlns:c15="http://schemas.microsoft.com/office/drawing/2012/chart" uri="{02D57815-91ED-43cb-92C2-25804820EDAC}">
                        <c15:formulaRef>
                          <c15:sqref>'Net zero Activity data'!$D$14:$F$14</c15:sqref>
                        </c15:formulaRef>
                      </c:ext>
                    </c:extLst>
                    <c:strCache>
                      <c:ptCount val="3"/>
                      <c:pt idx="0">
                        <c:v>Subsistence</c:v>
                      </c:pt>
                      <c:pt idx="1">
                        <c:v>Population</c:v>
                      </c:pt>
                      <c:pt idx="2">
                        <c:v>Head</c:v>
                      </c:pt>
                    </c:strCache>
                  </c:strRef>
                </c:tx>
                <c:spPr>
                  <a:solidFill>
                    <a:schemeClr val="accent6">
                      <a:lumMod val="6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data'!$H$14:$BP$14</c15:sqref>
                        </c15:formulaRef>
                      </c:ext>
                    </c:extLst>
                    <c:numCache>
                      <c:formatCode>#,##0</c:formatCode>
                      <c:ptCount val="61"/>
                      <c:pt idx="0">
                        <c:v>5479284.9120494025</c:v>
                      </c:pt>
                      <c:pt idx="1">
                        <c:v>4845236.4416932901</c:v>
                      </c:pt>
                      <c:pt idx="2">
                        <c:v>4513397.9899181286</c:v>
                      </c:pt>
                      <c:pt idx="3">
                        <c:v>4264519.151086757</c:v>
                      </c:pt>
                      <c:pt idx="4">
                        <c:v>4616109.8916580593</c:v>
                      </c:pt>
                      <c:pt idx="5">
                        <c:v>4679317.2158057094</c:v>
                      </c:pt>
                      <c:pt idx="6">
                        <c:v>4752400.6843514293</c:v>
                      </c:pt>
                      <c:pt idx="7">
                        <c:v>4728697.9377960609</c:v>
                      </c:pt>
                      <c:pt idx="8">
                        <c:v>4661540.1558891824</c:v>
                      </c:pt>
                      <c:pt idx="9">
                        <c:v>4592407.1451026909</c:v>
                      </c:pt>
                      <c:pt idx="10">
                        <c:v>4651664.0114911124</c:v>
                      </c:pt>
                      <c:pt idx="11">
                        <c:v>4793880.4908233248</c:v>
                      </c:pt>
                      <c:pt idx="12">
                        <c:v>4377107.1972247576</c:v>
                      </c:pt>
                      <c:pt idx="13">
                        <c:v>4266494.3799663708</c:v>
                      </c:pt>
                      <c:pt idx="14">
                        <c:v>4274395.2954848269</c:v>
                      </c:pt>
                      <c:pt idx="15">
                        <c:v>4219088.886855633</c:v>
                      </c:pt>
                      <c:pt idx="16">
                        <c:v>4307974.1864382662</c:v>
                      </c:pt>
                      <c:pt idx="17">
                        <c:v>4179584.3092633518</c:v>
                      </c:pt>
                      <c:pt idx="18">
                        <c:v>4175633.8515041238</c:v>
                      </c:pt>
                      <c:pt idx="19">
                        <c:v>4102550.3829584038</c:v>
                      </c:pt>
                      <c:pt idx="20">
                        <c:v>4053169.6609680522</c:v>
                      </c:pt>
                      <c:pt idx="21">
                        <c:v>4015640.3122553849</c:v>
                      </c:pt>
                      <c:pt idx="22">
                        <c:v>4014392.4852438644</c:v>
                      </c:pt>
                      <c:pt idx="23">
                        <c:v>4024862.9717508648</c:v>
                      </c:pt>
                      <c:pt idx="24">
                        <c:v>4038815.8225107281</c:v>
                      </c:pt>
                      <c:pt idx="25">
                        <c:v>4055940.8382361531</c:v>
                      </c:pt>
                      <c:pt idx="26">
                        <c:v>4076443.8053931287</c:v>
                      </c:pt>
                      <c:pt idx="27">
                        <c:v>4100379.2848785804</c:v>
                      </c:pt>
                      <c:pt idx="28">
                        <c:v>4125970.725089977</c:v>
                      </c:pt>
                      <c:pt idx="29">
                        <c:v>4152852.1894124444</c:v>
                      </c:pt>
                      <c:pt idx="30">
                        <c:v>4177823.8890650896</c:v>
                      </c:pt>
                      <c:pt idx="31">
                        <c:v>4189526.3883244074</c:v>
                      </c:pt>
                      <c:pt idx="32">
                        <c:v>4202358.82744841</c:v>
                      </c:pt>
                      <c:pt idx="33">
                        <c:v>4216337.491126379</c:v>
                      </c:pt>
                      <c:pt idx="34">
                        <c:v>4231540.3877698993</c:v>
                      </c:pt>
                      <c:pt idx="35">
                        <c:v>4247762.8278696174</c:v>
                      </c:pt>
                      <c:pt idx="36">
                        <c:v>4258016.9515716322</c:v>
                      </c:pt>
                      <c:pt idx="37">
                        <c:v>4269111.3919825209</c:v>
                      </c:pt>
                      <c:pt idx="38">
                        <c:v>4281092.0475214124</c:v>
                      </c:pt>
                      <c:pt idx="39">
                        <c:v>4293793.9803095507</c:v>
                      </c:pt>
                      <c:pt idx="40">
                        <c:v>4307267.9994779527</c:v>
                      </c:pt>
                      <c:pt idx="41">
                        <c:v>4316092.5873637712</c:v>
                      </c:pt>
                      <c:pt idx="42">
                        <c:v>4325662.9161692243</c:v>
                      </c:pt>
                      <c:pt idx="43">
                        <c:v>4335898.0793104479</c:v>
                      </c:pt>
                      <c:pt idx="44">
                        <c:v>4345640.458791188</c:v>
                      </c:pt>
                      <c:pt idx="45">
                        <c:v>4303052.1387127396</c:v>
                      </c:pt>
                      <c:pt idx="46">
                        <c:v>4308750.4675854268</c:v>
                      </c:pt>
                      <c:pt idx="47">
                        <c:v>4314959.737378045</c:v>
                      </c:pt>
                      <c:pt idx="48">
                        <c:v>4321659.1983547872</c:v>
                      </c:pt>
                      <c:pt idx="49">
                        <c:v>4328829.7102454863</c:v>
                      </c:pt>
                      <c:pt idx="50">
                        <c:v>4336453.588142301</c:v>
                      </c:pt>
                      <c:pt idx="51">
                        <c:v>4339726.1256092181</c:v>
                      </c:pt>
                      <c:pt idx="52">
                        <c:v>4343407.0854588849</c:v>
                      </c:pt>
                      <c:pt idx="53">
                        <c:v>4347481.070187184</c:v>
                      </c:pt>
                      <c:pt idx="54">
                        <c:v>4351933.7385949902</c:v>
                      </c:pt>
                      <c:pt idx="55">
                        <c:v>4356751.7152914843</c:v>
                      </c:pt>
                      <c:pt idx="56">
                        <c:v>4357127.6135512013</c:v>
                      </c:pt>
                      <c:pt idx="57">
                        <c:v>4357837.8102205722</c:v>
                      </c:pt>
                      <c:pt idx="58">
                        <c:v>4358870.2996184686</c:v>
                      </c:pt>
                      <c:pt idx="59">
                        <c:v>4360213.8109174296</c:v>
                      </c:pt>
                      <c:pt idx="60">
                        <c:v>4361857.7512128772</c:v>
                      </c:pt>
                    </c:numCache>
                  </c:numRef>
                </c:val>
                <c:extLst xmlns:c15="http://schemas.microsoft.com/office/drawing/2012/chart">
                  <c:ext xmlns:c16="http://schemas.microsoft.com/office/drawing/2014/chart" uri="{C3380CC4-5D6E-409C-BE32-E72D297353CC}">
                    <c16:uniqueId val="{00000009-A02B-4794-A51D-4248BFEBB6DC}"/>
                  </c:ext>
                </c:extLst>
              </c15:ser>
            </c15:filteredAreaSeries>
            <c15:filteredAreaSeries>
              <c15:ser>
                <c:idx val="12"/>
                <c:order val="10"/>
                <c:tx>
                  <c:strRef>
                    <c:extLst xmlns:c15="http://schemas.microsoft.com/office/drawing/2012/chart">
                      <c:ext xmlns:c15="http://schemas.microsoft.com/office/drawing/2012/chart" uri="{02D57815-91ED-43cb-92C2-25804820EDAC}">
                        <c15:formulaRef>
                          <c15:sqref>'Net zero Activity data'!$D$15:$F$15</c15:sqref>
                        </c15:formulaRef>
                      </c:ext>
                    </c:extLst>
                    <c:strCache>
                      <c:ptCount val="3"/>
                      <c:pt idx="0">
                        <c:v>Horses</c:v>
                      </c:pt>
                      <c:pt idx="1">
                        <c:v>Population</c:v>
                      </c:pt>
                      <c:pt idx="2">
                        <c:v>Head</c:v>
                      </c:pt>
                    </c:strCache>
                  </c:strRef>
                </c:tx>
                <c:spPr>
                  <a:solidFill>
                    <a:schemeClr val="accent1">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data'!$H$15:$BP$15</c15:sqref>
                        </c15:formulaRef>
                      </c:ext>
                    </c:extLst>
                    <c:numCache>
                      <c:formatCode>#,##0</c:formatCode>
                      <c:ptCount val="61"/>
                      <c:pt idx="0">
                        <c:v>230000</c:v>
                      </c:pt>
                      <c:pt idx="1">
                        <c:v>230000</c:v>
                      </c:pt>
                      <c:pt idx="2">
                        <c:v>230000</c:v>
                      </c:pt>
                      <c:pt idx="3">
                        <c:v>235000</c:v>
                      </c:pt>
                      <c:pt idx="4">
                        <c:v>240000</c:v>
                      </c:pt>
                      <c:pt idx="5">
                        <c:v>245000</c:v>
                      </c:pt>
                      <c:pt idx="6">
                        <c:v>250000</c:v>
                      </c:pt>
                      <c:pt idx="7">
                        <c:v>255000</c:v>
                      </c:pt>
                      <c:pt idx="8">
                        <c:v>260000</c:v>
                      </c:pt>
                      <c:pt idx="9">
                        <c:v>258000</c:v>
                      </c:pt>
                      <c:pt idx="10">
                        <c:v>270000</c:v>
                      </c:pt>
                      <c:pt idx="11">
                        <c:v>270000</c:v>
                      </c:pt>
                      <c:pt idx="12">
                        <c:v>270000</c:v>
                      </c:pt>
                      <c:pt idx="13">
                        <c:v>270000</c:v>
                      </c:pt>
                      <c:pt idx="14">
                        <c:v>270000</c:v>
                      </c:pt>
                      <c:pt idx="15">
                        <c:v>270000</c:v>
                      </c:pt>
                      <c:pt idx="16">
                        <c:v>280000</c:v>
                      </c:pt>
                      <c:pt idx="17">
                        <c:v>290000</c:v>
                      </c:pt>
                      <c:pt idx="18">
                        <c:v>298000</c:v>
                      </c:pt>
                      <c:pt idx="19">
                        <c:v>300000</c:v>
                      </c:pt>
                      <c:pt idx="20">
                        <c:v>300000</c:v>
                      </c:pt>
                      <c:pt idx="21">
                        <c:v>305000</c:v>
                      </c:pt>
                      <c:pt idx="22">
                        <c:v>309424.59857961355</c:v>
                      </c:pt>
                      <c:pt idx="23">
                        <c:v>311238.00485276635</c:v>
                      </c:pt>
                      <c:pt idx="24">
                        <c:v>311684.78111939383</c:v>
                      </c:pt>
                      <c:pt idx="25">
                        <c:v>310319.89215582341</c:v>
                      </c:pt>
                      <c:pt idx="26">
                        <c:v>308875.85176937183</c:v>
                      </c:pt>
                      <c:pt idx="27">
                        <c:v>308188.80875604128</c:v>
                      </c:pt>
                      <c:pt idx="28">
                        <c:v>307730.5816715043</c:v>
                      </c:pt>
                      <c:pt idx="29">
                        <c:v>305520.32201924094</c:v>
                      </c:pt>
                      <c:pt idx="30">
                        <c:v>287661.89914888295</c:v>
                      </c:pt>
                      <c:pt idx="31">
                        <c:v>290190.91684253712</c:v>
                      </c:pt>
                      <c:pt idx="32">
                        <c:v>292261.88816590386</c:v>
                      </c:pt>
                      <c:pt idx="33">
                        <c:v>294290.99398597062</c:v>
                      </c:pt>
                      <c:pt idx="34">
                        <c:v>296921.63065138634</c:v>
                      </c:pt>
                      <c:pt idx="35">
                        <c:v>299504.15233855741</c:v>
                      </c:pt>
                      <c:pt idx="36">
                        <c:v>302462.66364576167</c:v>
                      </c:pt>
                      <c:pt idx="37">
                        <c:v>305228.59279304056</c:v>
                      </c:pt>
                      <c:pt idx="38">
                        <c:v>308203.9000551239</c:v>
                      </c:pt>
                      <c:pt idx="39">
                        <c:v>310844.02698894078</c:v>
                      </c:pt>
                      <c:pt idx="40">
                        <c:v>313533.17193691689</c:v>
                      </c:pt>
                      <c:pt idx="41">
                        <c:v>317257.67426268931</c:v>
                      </c:pt>
                      <c:pt idx="42">
                        <c:v>321321.96909125871</c:v>
                      </c:pt>
                      <c:pt idx="43">
                        <c:v>325501.24891106453</c:v>
                      </c:pt>
                      <c:pt idx="44">
                        <c:v>324906.74141302751</c:v>
                      </c:pt>
                      <c:pt idx="45">
                        <c:v>96134.468780259602</c:v>
                      </c:pt>
                      <c:pt idx="46">
                        <c:v>96134.468780259602</c:v>
                      </c:pt>
                      <c:pt idx="47">
                        <c:v>96134.468780259602</c:v>
                      </c:pt>
                      <c:pt idx="48">
                        <c:v>96134.468780259602</c:v>
                      </c:pt>
                      <c:pt idx="49">
                        <c:v>96134.468780259602</c:v>
                      </c:pt>
                      <c:pt idx="50">
                        <c:v>96134.468780259602</c:v>
                      </c:pt>
                      <c:pt idx="51">
                        <c:v>96134.468780259602</c:v>
                      </c:pt>
                      <c:pt idx="52">
                        <c:v>96134.468780259602</c:v>
                      </c:pt>
                      <c:pt idx="53">
                        <c:v>96134.468780259602</c:v>
                      </c:pt>
                      <c:pt idx="54">
                        <c:v>96134.468780259602</c:v>
                      </c:pt>
                      <c:pt idx="55">
                        <c:v>96134.468780259602</c:v>
                      </c:pt>
                      <c:pt idx="56">
                        <c:v>96134.468780259602</c:v>
                      </c:pt>
                      <c:pt idx="57">
                        <c:v>96134.468780259602</c:v>
                      </c:pt>
                      <c:pt idx="58">
                        <c:v>96134.468780259602</c:v>
                      </c:pt>
                      <c:pt idx="59">
                        <c:v>96134.468780259602</c:v>
                      </c:pt>
                      <c:pt idx="60">
                        <c:v>96134.468780259602</c:v>
                      </c:pt>
                    </c:numCache>
                  </c:numRef>
                </c:val>
                <c:extLst xmlns:c15="http://schemas.microsoft.com/office/drawing/2012/chart">
                  <c:ext xmlns:c16="http://schemas.microsoft.com/office/drawing/2014/chart" uri="{C3380CC4-5D6E-409C-BE32-E72D297353CC}">
                    <c16:uniqueId val="{0000000A-A02B-4794-A51D-4248BFEBB6DC}"/>
                  </c:ext>
                </c:extLst>
              </c15:ser>
            </c15:filteredAreaSeries>
            <c15:filteredAreaSeries>
              <c15:ser>
                <c:idx val="13"/>
                <c:order val="11"/>
                <c:tx>
                  <c:strRef>
                    <c:extLst xmlns:c15="http://schemas.microsoft.com/office/drawing/2012/chart">
                      <c:ext xmlns:c15="http://schemas.microsoft.com/office/drawing/2012/chart" uri="{02D57815-91ED-43cb-92C2-25804820EDAC}">
                        <c15:formulaRef>
                          <c15:sqref>'Net zero Activity data'!$D$16:$F$16</c15:sqref>
                        </c15:formulaRef>
                      </c:ext>
                    </c:extLst>
                    <c:strCache>
                      <c:ptCount val="3"/>
                      <c:pt idx="0">
                        <c:v>Mules &amp; Asses</c:v>
                      </c:pt>
                      <c:pt idx="1">
                        <c:v>Population</c:v>
                      </c:pt>
                      <c:pt idx="2">
                        <c:v>Head</c:v>
                      </c:pt>
                    </c:strCache>
                  </c:strRef>
                </c:tx>
                <c:spPr>
                  <a:solidFill>
                    <a:schemeClr val="accent2">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data'!$H$16:$BP$16</c15:sqref>
                        </c15:formulaRef>
                      </c:ext>
                    </c:extLst>
                    <c:numCache>
                      <c:formatCode>#,##0</c:formatCode>
                      <c:ptCount val="61"/>
                      <c:pt idx="0">
                        <c:v>224000</c:v>
                      </c:pt>
                      <c:pt idx="1">
                        <c:v>224000</c:v>
                      </c:pt>
                      <c:pt idx="2">
                        <c:v>224000</c:v>
                      </c:pt>
                      <c:pt idx="3">
                        <c:v>224000</c:v>
                      </c:pt>
                      <c:pt idx="4">
                        <c:v>224000</c:v>
                      </c:pt>
                      <c:pt idx="5">
                        <c:v>224000</c:v>
                      </c:pt>
                      <c:pt idx="6">
                        <c:v>224000</c:v>
                      </c:pt>
                      <c:pt idx="7">
                        <c:v>224000</c:v>
                      </c:pt>
                      <c:pt idx="8">
                        <c:v>224000</c:v>
                      </c:pt>
                      <c:pt idx="9">
                        <c:v>224000</c:v>
                      </c:pt>
                      <c:pt idx="10">
                        <c:v>164000</c:v>
                      </c:pt>
                      <c:pt idx="11">
                        <c:v>164000</c:v>
                      </c:pt>
                      <c:pt idx="12">
                        <c:v>164000</c:v>
                      </c:pt>
                      <c:pt idx="13">
                        <c:v>164000</c:v>
                      </c:pt>
                      <c:pt idx="14">
                        <c:v>164000</c:v>
                      </c:pt>
                      <c:pt idx="15">
                        <c:v>164000</c:v>
                      </c:pt>
                      <c:pt idx="16">
                        <c:v>164050</c:v>
                      </c:pt>
                      <c:pt idx="17">
                        <c:v>164600</c:v>
                      </c:pt>
                      <c:pt idx="18">
                        <c:v>164700</c:v>
                      </c:pt>
                      <c:pt idx="19">
                        <c:v>164800</c:v>
                      </c:pt>
                      <c:pt idx="20">
                        <c:v>166300</c:v>
                      </c:pt>
                      <c:pt idx="21">
                        <c:v>167000</c:v>
                      </c:pt>
                      <c:pt idx="22">
                        <c:v>167000</c:v>
                      </c:pt>
                      <c:pt idx="23">
                        <c:v>167000</c:v>
                      </c:pt>
                      <c:pt idx="24">
                        <c:v>167000</c:v>
                      </c:pt>
                      <c:pt idx="25">
                        <c:v>167000</c:v>
                      </c:pt>
                      <c:pt idx="26">
                        <c:v>167000</c:v>
                      </c:pt>
                      <c:pt idx="27">
                        <c:v>167000</c:v>
                      </c:pt>
                      <c:pt idx="28">
                        <c:v>167000</c:v>
                      </c:pt>
                      <c:pt idx="29">
                        <c:v>167000</c:v>
                      </c:pt>
                      <c:pt idx="30">
                        <c:v>167000</c:v>
                      </c:pt>
                      <c:pt idx="31">
                        <c:v>167000</c:v>
                      </c:pt>
                      <c:pt idx="32">
                        <c:v>167000</c:v>
                      </c:pt>
                      <c:pt idx="33">
                        <c:v>167000</c:v>
                      </c:pt>
                      <c:pt idx="34">
                        <c:v>167000</c:v>
                      </c:pt>
                      <c:pt idx="35">
                        <c:v>167000</c:v>
                      </c:pt>
                      <c:pt idx="36">
                        <c:v>167000</c:v>
                      </c:pt>
                      <c:pt idx="37">
                        <c:v>167000</c:v>
                      </c:pt>
                      <c:pt idx="38">
                        <c:v>167000</c:v>
                      </c:pt>
                      <c:pt idx="39">
                        <c:v>167000</c:v>
                      </c:pt>
                      <c:pt idx="40">
                        <c:v>167000</c:v>
                      </c:pt>
                      <c:pt idx="41">
                        <c:v>167000</c:v>
                      </c:pt>
                      <c:pt idx="42">
                        <c:v>167000</c:v>
                      </c:pt>
                      <c:pt idx="43">
                        <c:v>167000</c:v>
                      </c:pt>
                      <c:pt idx="44">
                        <c:v>167000</c:v>
                      </c:pt>
                      <c:pt idx="45">
                        <c:v>167000</c:v>
                      </c:pt>
                      <c:pt idx="46">
                        <c:v>167000</c:v>
                      </c:pt>
                      <c:pt idx="47">
                        <c:v>167000</c:v>
                      </c:pt>
                      <c:pt idx="48">
                        <c:v>167000</c:v>
                      </c:pt>
                      <c:pt idx="49">
                        <c:v>167000</c:v>
                      </c:pt>
                      <c:pt idx="50">
                        <c:v>167000</c:v>
                      </c:pt>
                      <c:pt idx="51">
                        <c:v>167000</c:v>
                      </c:pt>
                      <c:pt idx="52">
                        <c:v>167000</c:v>
                      </c:pt>
                      <c:pt idx="53">
                        <c:v>167000</c:v>
                      </c:pt>
                      <c:pt idx="54">
                        <c:v>167000</c:v>
                      </c:pt>
                      <c:pt idx="55">
                        <c:v>167000</c:v>
                      </c:pt>
                      <c:pt idx="56">
                        <c:v>167000</c:v>
                      </c:pt>
                      <c:pt idx="57">
                        <c:v>167000</c:v>
                      </c:pt>
                      <c:pt idx="58">
                        <c:v>167000</c:v>
                      </c:pt>
                      <c:pt idx="59">
                        <c:v>167000</c:v>
                      </c:pt>
                      <c:pt idx="60">
                        <c:v>167000</c:v>
                      </c:pt>
                    </c:numCache>
                  </c:numRef>
                </c:val>
                <c:extLst xmlns:c15="http://schemas.microsoft.com/office/drawing/2012/chart">
                  <c:ext xmlns:c16="http://schemas.microsoft.com/office/drawing/2014/chart" uri="{C3380CC4-5D6E-409C-BE32-E72D297353CC}">
                    <c16:uniqueId val="{0000000B-A02B-4794-A51D-4248BFEBB6DC}"/>
                  </c:ext>
                </c:extLst>
              </c15:ser>
            </c15:filteredAreaSeries>
            <c15:filteredAreaSeries>
              <c15:ser>
                <c:idx val="14"/>
                <c:order val="12"/>
                <c:tx>
                  <c:strRef>
                    <c:extLst xmlns:c15="http://schemas.microsoft.com/office/drawing/2012/chart">
                      <c:ext xmlns:c15="http://schemas.microsoft.com/office/drawing/2012/chart" uri="{02D57815-91ED-43cb-92C2-25804820EDAC}">
                        <c15:formulaRef>
                          <c15:sqref>'Net zero Activity data'!$D$17:$F$17</c15:sqref>
                        </c15:formulaRef>
                      </c:ext>
                    </c:extLst>
                    <c:strCache>
                      <c:ptCount val="3"/>
                      <c:pt idx="0">
                        <c:v>Commercial</c:v>
                      </c:pt>
                      <c:pt idx="1">
                        <c:v>Population</c:v>
                      </c:pt>
                      <c:pt idx="2">
                        <c:v>Head</c:v>
                      </c:pt>
                    </c:strCache>
                  </c:strRef>
                </c:tx>
                <c:spPr>
                  <a:solidFill>
                    <a:schemeClr val="accent3">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data'!$H$17:$BP$17</c15:sqref>
                        </c15:formulaRef>
                      </c:ext>
                    </c:extLst>
                    <c:numCache>
                      <c:formatCode>#,##0</c:formatCode>
                      <c:ptCount val="61"/>
                      <c:pt idx="0">
                        <c:v>1524000</c:v>
                      </c:pt>
                      <c:pt idx="1">
                        <c:v>1665000</c:v>
                      </c:pt>
                      <c:pt idx="2">
                        <c:v>1654000</c:v>
                      </c:pt>
                      <c:pt idx="3">
                        <c:v>1653000</c:v>
                      </c:pt>
                      <c:pt idx="4">
                        <c:v>1570000</c:v>
                      </c:pt>
                      <c:pt idx="5">
                        <c:v>1585000</c:v>
                      </c:pt>
                      <c:pt idx="6">
                        <c:v>1707000</c:v>
                      </c:pt>
                      <c:pt idx="7">
                        <c:v>1699000</c:v>
                      </c:pt>
                      <c:pt idx="8">
                        <c:v>1736000</c:v>
                      </c:pt>
                      <c:pt idx="9">
                        <c:v>1780000</c:v>
                      </c:pt>
                      <c:pt idx="10">
                        <c:v>1647000</c:v>
                      </c:pt>
                      <c:pt idx="11">
                        <c:v>1678000</c:v>
                      </c:pt>
                      <c:pt idx="12">
                        <c:v>1710000</c:v>
                      </c:pt>
                      <c:pt idx="13">
                        <c:v>1663000</c:v>
                      </c:pt>
                      <c:pt idx="14">
                        <c:v>1663000</c:v>
                      </c:pt>
                      <c:pt idx="15">
                        <c:v>1651000</c:v>
                      </c:pt>
                      <c:pt idx="16">
                        <c:v>1622000</c:v>
                      </c:pt>
                      <c:pt idx="17">
                        <c:v>1651000</c:v>
                      </c:pt>
                      <c:pt idx="18">
                        <c:v>1615000</c:v>
                      </c:pt>
                      <c:pt idx="19">
                        <c:v>1613000</c:v>
                      </c:pt>
                      <c:pt idx="20">
                        <c:v>1594000</c:v>
                      </c:pt>
                      <c:pt idx="21">
                        <c:v>1584000</c:v>
                      </c:pt>
                      <c:pt idx="22">
                        <c:v>1668706.6341391769</c:v>
                      </c:pt>
                      <c:pt idx="23">
                        <c:v>1663439.5890291643</c:v>
                      </c:pt>
                      <c:pt idx="24">
                        <c:v>1646021.5105360481</c:v>
                      </c:pt>
                      <c:pt idx="25">
                        <c:v>1612202.0581695586</c:v>
                      </c:pt>
                      <c:pt idx="26">
                        <c:v>1579862.3263952187</c:v>
                      </c:pt>
                      <c:pt idx="27">
                        <c:v>1557175.5891199291</c:v>
                      </c:pt>
                      <c:pt idx="28">
                        <c:v>1537961.8149546264</c:v>
                      </c:pt>
                      <c:pt idx="29">
                        <c:v>1502581.6771722403</c:v>
                      </c:pt>
                      <c:pt idx="30">
                        <c:v>1315396.4760612361</c:v>
                      </c:pt>
                      <c:pt idx="31">
                        <c:v>1323755.2854348691</c:v>
                      </c:pt>
                      <c:pt idx="32">
                        <c:v>1327951.065289777</c:v>
                      </c:pt>
                      <c:pt idx="33">
                        <c:v>1332030.1846082564</c:v>
                      </c:pt>
                      <c:pt idx="34">
                        <c:v>1341993.8516832485</c:v>
                      </c:pt>
                      <c:pt idx="35">
                        <c:v>1351622.5569717193</c:v>
                      </c:pt>
                      <c:pt idx="36">
                        <c:v>1362669.1487958359</c:v>
                      </c:pt>
                      <c:pt idx="37">
                        <c:v>1371941.0880858656</c:v>
                      </c:pt>
                      <c:pt idx="38">
                        <c:v>1383083.8020384752</c:v>
                      </c:pt>
                      <c:pt idx="39">
                        <c:v>1391195.0575322811</c:v>
                      </c:pt>
                      <c:pt idx="40">
                        <c:v>1399727.3880666287</c:v>
                      </c:pt>
                      <c:pt idx="41">
                        <c:v>1415464.7923016609</c:v>
                      </c:pt>
                      <c:pt idx="42">
                        <c:v>1433848.6497403779</c:v>
                      </c:pt>
                      <c:pt idx="43">
                        <c:v>1452872.628530995</c:v>
                      </c:pt>
                      <c:pt idx="44">
                        <c:v>1431491.3732216139</c:v>
                      </c:pt>
                      <c:pt idx="45">
                        <c:v>-482995.86603850994</c:v>
                      </c:pt>
                      <c:pt idx="46">
                        <c:v>-477712.67139265809</c:v>
                      </c:pt>
                      <c:pt idx="47">
                        <c:v>-472542.63526061765</c:v>
                      </c:pt>
                      <c:pt idx="48">
                        <c:v>-467478.35495464271</c:v>
                      </c:pt>
                      <c:pt idx="49">
                        <c:v>-462512.96981262625</c:v>
                      </c:pt>
                      <c:pt idx="50">
                        <c:v>-457640.10878107429</c:v>
                      </c:pt>
                      <c:pt idx="51">
                        <c:v>-452295.55110976769</c:v>
                      </c:pt>
                      <c:pt idx="52">
                        <c:v>-447045.22553647956</c:v>
                      </c:pt>
                      <c:pt idx="53">
                        <c:v>-441883.62847570429</c:v>
                      </c:pt>
                      <c:pt idx="54">
                        <c:v>-436805.61582397495</c:v>
                      </c:pt>
                      <c:pt idx="55">
                        <c:v>-431806.37189970666</c:v>
                      </c:pt>
                      <c:pt idx="56">
                        <c:v>-426358.31520864717</c:v>
                      </c:pt>
                      <c:pt idx="57">
                        <c:v>-420993.47015354381</c:v>
                      </c:pt>
                      <c:pt idx="58">
                        <c:v>-415707.55352686573</c:v>
                      </c:pt>
                      <c:pt idx="59">
                        <c:v>-410496.53518797131</c:v>
                      </c:pt>
                      <c:pt idx="60">
                        <c:v>-405356.61833221326</c:v>
                      </c:pt>
                    </c:numCache>
                  </c:numRef>
                </c:val>
                <c:extLst xmlns:c15="http://schemas.microsoft.com/office/drawing/2012/chart">
                  <c:ext xmlns:c16="http://schemas.microsoft.com/office/drawing/2014/chart" uri="{C3380CC4-5D6E-409C-BE32-E72D297353CC}">
                    <c16:uniqueId val="{0000000C-A02B-4794-A51D-4248BFEBB6DC}"/>
                  </c:ext>
                </c:extLst>
              </c15:ser>
            </c15:filteredAreaSeries>
            <c15:filteredAreaSeries>
              <c15:ser>
                <c:idx val="15"/>
                <c:order val="13"/>
                <c:tx>
                  <c:strRef>
                    <c:extLst xmlns:c15="http://schemas.microsoft.com/office/drawing/2012/chart">
                      <c:ext xmlns:c15="http://schemas.microsoft.com/office/drawing/2012/chart" uri="{02D57815-91ED-43cb-92C2-25804820EDAC}">
                        <c15:formulaRef>
                          <c15:sqref>'Net zero Activity data'!$D$18:$F$18</c15:sqref>
                        </c15:formulaRef>
                      </c:ext>
                    </c:extLst>
                    <c:strCache>
                      <c:ptCount val="3"/>
                      <c:pt idx="0">
                        <c:v>Subsistence</c:v>
                      </c:pt>
                      <c:pt idx="1">
                        <c:v>Population</c:v>
                      </c:pt>
                      <c:pt idx="2">
                        <c:v>Head</c:v>
                      </c:pt>
                    </c:strCache>
                  </c:strRef>
                </c:tx>
                <c:spPr>
                  <a:solidFill>
                    <a:schemeClr val="accent4">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data'!$H$18:$BP$18</c15:sqref>
                        </c15:formulaRef>
                      </c:ext>
                    </c:extLst>
                    <c:numCache>
                      <c:formatCode>#,##0</c:formatCode>
                      <c:ptCount val="61"/>
                      <c:pt idx="0">
                        <c:v>199009.99166888703</c:v>
                      </c:pt>
                      <c:pt idx="1">
                        <c:v>217422.33341778014</c:v>
                      </c:pt>
                      <c:pt idx="2">
                        <c:v>215985.90959339839</c:v>
                      </c:pt>
                      <c:pt idx="3">
                        <c:v>215855.3256093637</c:v>
                      </c:pt>
                      <c:pt idx="4">
                        <c:v>205016.85493448336</c:v>
                      </c:pt>
                      <c:pt idx="5">
                        <c:v>206975.6146950039</c:v>
                      </c:pt>
                      <c:pt idx="6">
                        <c:v>222906.86074723766</c:v>
                      </c:pt>
                      <c:pt idx="7">
                        <c:v>221862.18887496003</c:v>
                      </c:pt>
                      <c:pt idx="8">
                        <c:v>226693.79628424402</c:v>
                      </c:pt>
                      <c:pt idx="9">
                        <c:v>232439.49158177094</c:v>
                      </c:pt>
                      <c:pt idx="10">
                        <c:v>215071.82170515548</c:v>
                      </c:pt>
                      <c:pt idx="11">
                        <c:v>219119.92521023127</c:v>
                      </c:pt>
                      <c:pt idx="12">
                        <c:v>223298.61269934176</c:v>
                      </c:pt>
                      <c:pt idx="13">
                        <c:v>217161.16544971074</c:v>
                      </c:pt>
                      <c:pt idx="14">
                        <c:v>217161.16544971074</c:v>
                      </c:pt>
                      <c:pt idx="15">
                        <c:v>215594.1576412943</c:v>
                      </c:pt>
                      <c:pt idx="16">
                        <c:v>211807.22210428791</c:v>
                      </c:pt>
                      <c:pt idx="17">
                        <c:v>215594.1576412943</c:v>
                      </c:pt>
                      <c:pt idx="18">
                        <c:v>210893.134216045</c:v>
                      </c:pt>
                      <c:pt idx="19">
                        <c:v>210631.96624797559</c:v>
                      </c:pt>
                      <c:pt idx="20">
                        <c:v>208150.87055131624</c:v>
                      </c:pt>
                      <c:pt idx="21">
                        <c:v>206845.03071096921</c:v>
                      </c:pt>
                      <c:pt idx="22">
                        <c:v>227550.90465534228</c:v>
                      </c:pt>
                      <c:pt idx="23">
                        <c:v>226832.67123124967</c:v>
                      </c:pt>
                      <c:pt idx="24">
                        <c:v>224457.47870946111</c:v>
                      </c:pt>
                      <c:pt idx="25">
                        <c:v>219845.73520493979</c:v>
                      </c:pt>
                      <c:pt idx="26">
                        <c:v>215435.77178116617</c:v>
                      </c:pt>
                      <c:pt idx="27">
                        <c:v>212342.12578908124</c:v>
                      </c:pt>
                      <c:pt idx="28">
                        <c:v>209722.06567563087</c:v>
                      </c:pt>
                      <c:pt idx="29">
                        <c:v>204897.50143257822</c:v>
                      </c:pt>
                      <c:pt idx="30">
                        <c:v>179372.24673562311</c:v>
                      </c:pt>
                      <c:pt idx="31">
                        <c:v>180512.08437748213</c:v>
                      </c:pt>
                      <c:pt idx="32">
                        <c:v>181084.23617587867</c:v>
                      </c:pt>
                      <c:pt idx="33">
                        <c:v>181640.47971930768</c:v>
                      </c:pt>
                      <c:pt idx="34">
                        <c:v>182999.16159317023</c:v>
                      </c:pt>
                      <c:pt idx="35">
                        <c:v>184312.16685977991</c:v>
                      </c:pt>
                      <c:pt idx="36">
                        <c:v>185818.52029034126</c:v>
                      </c:pt>
                      <c:pt idx="37">
                        <c:v>187082.87564807257</c:v>
                      </c:pt>
                      <c:pt idx="38">
                        <c:v>188602.33664161025</c:v>
                      </c:pt>
                      <c:pt idx="39">
                        <c:v>189708.41693622014</c:v>
                      </c:pt>
                      <c:pt idx="40">
                        <c:v>190871.91655454028</c:v>
                      </c:pt>
                      <c:pt idx="41">
                        <c:v>193017.92622295374</c:v>
                      </c:pt>
                      <c:pt idx="42">
                        <c:v>195524.81587368788</c:v>
                      </c:pt>
                      <c:pt idx="43">
                        <c:v>198118.99479968112</c:v>
                      </c:pt>
                      <c:pt idx="44">
                        <c:v>195203.36907567462</c:v>
                      </c:pt>
                      <c:pt idx="45">
                        <c:v>-65863.072641614985</c:v>
                      </c:pt>
                      <c:pt idx="46">
                        <c:v>-65142.63700808974</c:v>
                      </c:pt>
                      <c:pt idx="47">
                        <c:v>-64437.632080993317</c:v>
                      </c:pt>
                      <c:pt idx="48">
                        <c:v>-63747.048402905821</c:v>
                      </c:pt>
                      <c:pt idx="49">
                        <c:v>-63069.950428994489</c:v>
                      </c:pt>
                      <c:pt idx="50">
                        <c:v>-62405.469379237402</c:v>
                      </c:pt>
                      <c:pt idx="51">
                        <c:v>-61676.66606042286</c:v>
                      </c:pt>
                      <c:pt idx="52">
                        <c:v>-60960.712573156299</c:v>
                      </c:pt>
                      <c:pt idx="53">
                        <c:v>-60256.858428505126</c:v>
                      </c:pt>
                      <c:pt idx="54">
                        <c:v>-59564.402157814766</c:v>
                      </c:pt>
                      <c:pt idx="55">
                        <c:v>-58882.687077232724</c:v>
                      </c:pt>
                      <c:pt idx="56">
                        <c:v>-58139.770255724608</c:v>
                      </c:pt>
                      <c:pt idx="57">
                        <c:v>-57408.200475483245</c:v>
                      </c:pt>
                      <c:pt idx="58">
                        <c:v>-56687.39366275441</c:v>
                      </c:pt>
                      <c:pt idx="59">
                        <c:v>-55976.800252905174</c:v>
                      </c:pt>
                      <c:pt idx="60">
                        <c:v>-55275.902499847267</c:v>
                      </c:pt>
                    </c:numCache>
                  </c:numRef>
                </c:val>
                <c:extLst xmlns:c15="http://schemas.microsoft.com/office/drawing/2012/chart">
                  <c:ext xmlns:c16="http://schemas.microsoft.com/office/drawing/2014/chart" uri="{C3380CC4-5D6E-409C-BE32-E72D297353CC}">
                    <c16:uniqueId val="{0000000D-A02B-4794-A51D-4248BFEBB6DC}"/>
                  </c:ext>
                </c:extLst>
              </c15:ser>
            </c15:filteredAreaSeries>
            <c15:filteredAreaSeries>
              <c15:ser>
                <c:idx val="16"/>
                <c:order val="14"/>
                <c:tx>
                  <c:strRef>
                    <c:extLst xmlns:c15="http://schemas.microsoft.com/office/drawing/2012/chart">
                      <c:ext xmlns:c15="http://schemas.microsoft.com/office/drawing/2012/chart" uri="{02D57815-91ED-43cb-92C2-25804820EDAC}">
                        <c15:formulaRef>
                          <c15:sqref>'Net zero Activity data'!$D$19:$F$19</c15:sqref>
                        </c15:formulaRef>
                      </c:ext>
                    </c:extLst>
                    <c:strCache>
                      <c:ptCount val="3"/>
                      <c:pt idx="0">
                        <c:v>Commercial layers</c:v>
                      </c:pt>
                      <c:pt idx="1">
                        <c:v>Population</c:v>
                      </c:pt>
                      <c:pt idx="2">
                        <c:v>Head</c:v>
                      </c:pt>
                    </c:strCache>
                  </c:strRef>
                </c:tx>
                <c:spPr>
                  <a:solidFill>
                    <a:schemeClr val="accent5">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data'!$H$19:$BP$19</c15:sqref>
                        </c15:formulaRef>
                      </c:ext>
                    </c:extLst>
                    <c:numCache>
                      <c:formatCode>#,##0</c:formatCode>
                      <c:ptCount val="61"/>
                      <c:pt idx="0">
                        <c:v>14643674.931267885</c:v>
                      </c:pt>
                      <c:pt idx="1">
                        <c:v>14226110.812328145</c:v>
                      </c:pt>
                      <c:pt idx="2">
                        <c:v>13492476.52712371</c:v>
                      </c:pt>
                      <c:pt idx="3">
                        <c:v>13280331.082668224</c:v>
                      </c:pt>
                      <c:pt idx="4">
                        <c:v>12702684.496371185</c:v>
                      </c:pt>
                      <c:pt idx="5">
                        <c:v>13860209.809151115</c:v>
                      </c:pt>
                      <c:pt idx="6">
                        <c:v>14640611.562802857</c:v>
                      </c:pt>
                      <c:pt idx="7">
                        <c:v>14688755.298092401</c:v>
                      </c:pt>
                      <c:pt idx="8">
                        <c:v>16538299.007411262</c:v>
                      </c:pt>
                      <c:pt idx="9">
                        <c:v>17730716.13950536</c:v>
                      </c:pt>
                      <c:pt idx="10">
                        <c:v>17355030.714458548</c:v>
                      </c:pt>
                      <c:pt idx="11">
                        <c:v>17818001.024886843</c:v>
                      </c:pt>
                      <c:pt idx="12">
                        <c:v>17678155.288284503</c:v>
                      </c:pt>
                      <c:pt idx="13">
                        <c:v>16972399.104253348</c:v>
                      </c:pt>
                      <c:pt idx="14">
                        <c:v>17587835.89054852</c:v>
                      </c:pt>
                      <c:pt idx="15">
                        <c:v>18648391.6209228</c:v>
                      </c:pt>
                      <c:pt idx="16">
                        <c:v>20580691.805783488</c:v>
                      </c:pt>
                      <c:pt idx="17">
                        <c:v>22776081.657241259</c:v>
                      </c:pt>
                      <c:pt idx="18">
                        <c:v>23076039.863330547</c:v>
                      </c:pt>
                      <c:pt idx="19">
                        <c:v>22225308.649488669</c:v>
                      </c:pt>
                      <c:pt idx="20">
                        <c:v>23091061.215630483</c:v>
                      </c:pt>
                      <c:pt idx="21">
                        <c:v>24156882.687047753</c:v>
                      </c:pt>
                      <c:pt idx="22">
                        <c:v>23783178.297081485</c:v>
                      </c:pt>
                      <c:pt idx="23">
                        <c:v>24298219.499107163</c:v>
                      </c:pt>
                      <c:pt idx="24">
                        <c:v>24713217.850884736</c:v>
                      </c:pt>
                      <c:pt idx="25">
                        <c:v>24984371.75947506</c:v>
                      </c:pt>
                      <c:pt idx="26">
                        <c:v>25259206.097597122</c:v>
                      </c:pt>
                      <c:pt idx="27">
                        <c:v>25613519.414029963</c:v>
                      </c:pt>
                      <c:pt idx="28">
                        <c:v>25992423.275297467</c:v>
                      </c:pt>
                      <c:pt idx="29">
                        <c:v>26212776.117095202</c:v>
                      </c:pt>
                      <c:pt idx="30">
                        <c:v>24945123.146817725</c:v>
                      </c:pt>
                      <c:pt idx="31">
                        <c:v>25480661.252422262</c:v>
                      </c:pt>
                      <c:pt idx="32">
                        <c:v>25980586.095024668</c:v>
                      </c:pt>
                      <c:pt idx="33">
                        <c:v>26484457.575813033</c:v>
                      </c:pt>
                      <c:pt idx="34">
                        <c:v>27056316.967285138</c:v>
                      </c:pt>
                      <c:pt idx="35">
                        <c:v>27632926.640755821</c:v>
                      </c:pt>
                      <c:pt idx="36">
                        <c:v>28210269.10213688</c:v>
                      </c:pt>
                      <c:pt idx="37">
                        <c:v>28776475.77705837</c:v>
                      </c:pt>
                      <c:pt idx="38">
                        <c:v>29372771.69785786</c:v>
                      </c:pt>
                      <c:pt idx="39">
                        <c:v>29942865.504824247</c:v>
                      </c:pt>
                      <c:pt idx="40">
                        <c:v>30526479.675415944</c:v>
                      </c:pt>
                      <c:pt idx="41">
                        <c:v>31188186.315280803</c:v>
                      </c:pt>
                      <c:pt idx="42">
                        <c:v>31895498.112077314</c:v>
                      </c:pt>
                      <c:pt idx="43">
                        <c:v>32625062.262962099</c:v>
                      </c:pt>
                      <c:pt idx="44">
                        <c:v>32842216.548704859</c:v>
                      </c:pt>
                      <c:pt idx="45">
                        <c:v>7871979.81164575</c:v>
                      </c:pt>
                      <c:pt idx="46">
                        <c:v>7932482.6339800423</c:v>
                      </c:pt>
                      <c:pt idx="47">
                        <c:v>7993425.9629542492</c:v>
                      </c:pt>
                      <c:pt idx="48">
                        <c:v>8054813.1529049575</c:v>
                      </c:pt>
                      <c:pt idx="49">
                        <c:v>8116647.5734013747</c:v>
                      </c:pt>
                      <c:pt idx="50">
                        <c:v>8178932.6102363933</c:v>
                      </c:pt>
                      <c:pt idx="51">
                        <c:v>8232176.8362201471</c:v>
                      </c:pt>
                      <c:pt idx="52">
                        <c:v>8285749.7263312591</c:v>
                      </c:pt>
                      <c:pt idx="53">
                        <c:v>8339653.4169303114</c:v>
                      </c:pt>
                      <c:pt idx="54">
                        <c:v>8393890.0515266806</c:v>
                      </c:pt>
                      <c:pt idx="55">
                        <c:v>8448461.7813392933</c:v>
                      </c:pt>
                      <c:pt idx="56">
                        <c:v>8493613.1761233099</c:v>
                      </c:pt>
                      <c:pt idx="57">
                        <c:v>8538993.3104170654</c:v>
                      </c:pt>
                      <c:pt idx="58">
                        <c:v>8584603.4248753432</c:v>
                      </c:pt>
                      <c:pt idx="59">
                        <c:v>8630444.7622401342</c:v>
                      </c:pt>
                      <c:pt idx="60">
                        <c:v>8676518.5676753148</c:v>
                      </c:pt>
                    </c:numCache>
                  </c:numRef>
                </c:val>
                <c:extLst xmlns:c15="http://schemas.microsoft.com/office/drawing/2012/chart">
                  <c:ext xmlns:c16="http://schemas.microsoft.com/office/drawing/2014/chart" uri="{C3380CC4-5D6E-409C-BE32-E72D297353CC}">
                    <c16:uniqueId val="{0000000E-A02B-4794-A51D-4248BFEBB6DC}"/>
                  </c:ext>
                </c:extLst>
              </c15:ser>
            </c15:filteredAreaSeries>
            <c15:filteredAreaSeries>
              <c15:ser>
                <c:idx val="17"/>
                <c:order val="15"/>
                <c:tx>
                  <c:strRef>
                    <c:extLst xmlns:c15="http://schemas.microsoft.com/office/drawing/2012/chart">
                      <c:ext xmlns:c15="http://schemas.microsoft.com/office/drawing/2012/chart" uri="{02D57815-91ED-43cb-92C2-25804820EDAC}">
                        <c15:formulaRef>
                          <c15:sqref>'Net zero Activity data'!$D$20:$F$20</c15:sqref>
                        </c15:formulaRef>
                      </c:ext>
                    </c:extLst>
                    <c:strCache>
                      <c:ptCount val="3"/>
                      <c:pt idx="0">
                        <c:v>Commercial broilers</c:v>
                      </c:pt>
                      <c:pt idx="1">
                        <c:v>Population</c:v>
                      </c:pt>
                      <c:pt idx="2">
                        <c:v>Head</c:v>
                      </c:pt>
                    </c:strCache>
                  </c:strRef>
                </c:tx>
                <c:spPr>
                  <a:solidFill>
                    <a:schemeClr val="accent6">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data'!$H$20:$BP$20</c15:sqref>
                        </c15:formulaRef>
                      </c:ext>
                    </c:extLst>
                    <c:numCache>
                      <c:formatCode>#,##0</c:formatCode>
                      <c:ptCount val="61"/>
                      <c:pt idx="0">
                        <c:v>40304488.125775687</c:v>
                      </c:pt>
                      <c:pt idx="1">
                        <c:v>37886218.887128815</c:v>
                      </c:pt>
                      <c:pt idx="2">
                        <c:v>35805187.036307976</c:v>
                      </c:pt>
                      <c:pt idx="3">
                        <c:v>40268107.368938237</c:v>
                      </c:pt>
                      <c:pt idx="4">
                        <c:v>39890443.299430735</c:v>
                      </c:pt>
                      <c:pt idx="5">
                        <c:v>45660443.796231762</c:v>
                      </c:pt>
                      <c:pt idx="6">
                        <c:v>53091326.838711366</c:v>
                      </c:pt>
                      <c:pt idx="7">
                        <c:v>54040901.985378392</c:v>
                      </c:pt>
                      <c:pt idx="8">
                        <c:v>59214394.697576575</c:v>
                      </c:pt>
                      <c:pt idx="9">
                        <c:v>61819163.842046939</c:v>
                      </c:pt>
                      <c:pt idx="10">
                        <c:v>66512864.907880791</c:v>
                      </c:pt>
                      <c:pt idx="11">
                        <c:v>64225159.968942329</c:v>
                      </c:pt>
                      <c:pt idx="12">
                        <c:v>71182309.580183759</c:v>
                      </c:pt>
                      <c:pt idx="13">
                        <c:v>67705122.244331256</c:v>
                      </c:pt>
                      <c:pt idx="14">
                        <c:v>69339582.95804137</c:v>
                      </c:pt>
                      <c:pt idx="15">
                        <c:v>76722494.212373629</c:v>
                      </c:pt>
                      <c:pt idx="16">
                        <c:v>82061878.307196394</c:v>
                      </c:pt>
                      <c:pt idx="17">
                        <c:v>85859218.536646262</c:v>
                      </c:pt>
                      <c:pt idx="18">
                        <c:v>91416754.470852047</c:v>
                      </c:pt>
                      <c:pt idx="19">
                        <c:v>86261715.79298</c:v>
                      </c:pt>
                      <c:pt idx="20">
                        <c:v>88431266.728296682</c:v>
                      </c:pt>
                      <c:pt idx="21">
                        <c:v>91461113.859690607</c:v>
                      </c:pt>
                      <c:pt idx="22">
                        <c:v>95145235.116061851</c:v>
                      </c:pt>
                      <c:pt idx="23">
                        <c:v>96689217.199123114</c:v>
                      </c:pt>
                      <c:pt idx="24">
                        <c:v>97147657.719454721</c:v>
                      </c:pt>
                      <c:pt idx="25">
                        <c:v>96120027.522461593</c:v>
                      </c:pt>
                      <c:pt idx="26">
                        <c:v>95094603.80396679</c:v>
                      </c:pt>
                      <c:pt idx="27">
                        <c:v>94797066.893859491</c:v>
                      </c:pt>
                      <c:pt idx="28">
                        <c:v>94735085.059626624</c:v>
                      </c:pt>
                      <c:pt idx="29">
                        <c:v>93154876.199089095</c:v>
                      </c:pt>
                      <c:pt idx="30">
                        <c:v>77620718.516957879</c:v>
                      </c:pt>
                      <c:pt idx="31">
                        <c:v>79910336.111540973</c:v>
                      </c:pt>
                      <c:pt idx="32">
                        <c:v>81824148.905803218</c:v>
                      </c:pt>
                      <c:pt idx="33">
                        <c:v>83733318.061702609</c:v>
                      </c:pt>
                      <c:pt idx="34">
                        <c:v>86217207.440833971</c:v>
                      </c:pt>
                      <c:pt idx="35">
                        <c:v>88693640.96405369</c:v>
                      </c:pt>
                      <c:pt idx="36">
                        <c:v>91412599.964942068</c:v>
                      </c:pt>
                      <c:pt idx="37">
                        <c:v>93986379.71127595</c:v>
                      </c:pt>
                      <c:pt idx="38">
                        <c:v>96779654.819194913</c:v>
                      </c:pt>
                      <c:pt idx="39">
                        <c:v>99298288.39689447</c:v>
                      </c:pt>
                      <c:pt idx="40">
                        <c:v>101891293.13091554</c:v>
                      </c:pt>
                      <c:pt idx="41">
                        <c:v>105337208.21587059</c:v>
                      </c:pt>
                      <c:pt idx="42">
                        <c:v>109120385.45718028</c:v>
                      </c:pt>
                      <c:pt idx="43">
                        <c:v>113036993.1020368</c:v>
                      </c:pt>
                      <c:pt idx="44">
                        <c:v>112600852.85300086</c:v>
                      </c:pt>
                      <c:pt idx="45">
                        <c:v>-97653277.827072814</c:v>
                      </c:pt>
                      <c:pt idx="46">
                        <c:v>-97793194.976813674</c:v>
                      </c:pt>
                      <c:pt idx="47">
                        <c:v>-97944952.152236551</c:v>
                      </c:pt>
                      <c:pt idx="48">
                        <c:v>-98108055.245295197</c:v>
                      </c:pt>
                      <c:pt idx="49">
                        <c:v>-98282048.526509702</c:v>
                      </c:pt>
                      <c:pt idx="50">
                        <c:v>-98466510.958362281</c:v>
                      </c:pt>
                      <c:pt idx="51">
                        <c:v>-98542432.406339645</c:v>
                      </c:pt>
                      <c:pt idx="52">
                        <c:v>-98627868.999730736</c:v>
                      </c:pt>
                      <c:pt idx="53">
                        <c:v>-98722451.270283803</c:v>
                      </c:pt>
                      <c:pt idx="54">
                        <c:v>-98825835.119007304</c:v>
                      </c:pt>
                      <c:pt idx="55">
                        <c:v>-98937699.636271372</c:v>
                      </c:pt>
                      <c:pt idx="56">
                        <c:v>-98939277.213236853</c:v>
                      </c:pt>
                      <c:pt idx="57">
                        <c:v>-98948708.62186639</c:v>
                      </c:pt>
                      <c:pt idx="58">
                        <c:v>-98965703.485359997</c:v>
                      </c:pt>
                      <c:pt idx="59">
                        <c:v>-98989989.216038346</c:v>
                      </c:pt>
                      <c:pt idx="60">
                        <c:v>-99021309.633695453</c:v>
                      </c:pt>
                    </c:numCache>
                  </c:numRef>
                </c:val>
                <c:extLst xmlns:c15="http://schemas.microsoft.com/office/drawing/2012/chart">
                  <c:ext xmlns:c16="http://schemas.microsoft.com/office/drawing/2014/chart" uri="{C3380CC4-5D6E-409C-BE32-E72D297353CC}">
                    <c16:uniqueId val="{0000000F-A02B-4794-A51D-4248BFEBB6DC}"/>
                  </c:ext>
                </c:extLst>
              </c15:ser>
            </c15:filteredAreaSeries>
            <c15:filteredAreaSeries>
              <c15:ser>
                <c:idx val="18"/>
                <c:order val="16"/>
                <c:tx>
                  <c:strRef>
                    <c:extLst xmlns:c15="http://schemas.microsoft.com/office/drawing/2012/chart">
                      <c:ext xmlns:c15="http://schemas.microsoft.com/office/drawing/2012/chart" uri="{02D57815-91ED-43cb-92C2-25804820EDAC}">
                        <c15:formulaRef>
                          <c15:sqref>'Net zero Activity data'!$D$21:$F$21</c15:sqref>
                        </c15:formulaRef>
                      </c:ext>
                    </c:extLst>
                    <c:strCache>
                      <c:ptCount val="3"/>
                      <c:pt idx="0">
                        <c:v>Subsistence layers</c:v>
                      </c:pt>
                      <c:pt idx="1">
                        <c:v>Population</c:v>
                      </c:pt>
                      <c:pt idx="2">
                        <c:v>Head</c:v>
                      </c:pt>
                    </c:strCache>
                  </c:strRef>
                </c:tx>
                <c:spPr>
                  <a:solidFill>
                    <a:schemeClr val="accent1">
                      <a:lumMod val="8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data'!$H$21:$BP$21</c15:sqref>
                        </c15:formulaRef>
                      </c:ext>
                    </c:extLst>
                    <c:numCache>
                      <c:formatCode>#,##0</c:formatCode>
                      <c:ptCount val="61"/>
                      <c:pt idx="0">
                        <c:v>615034.34711325122</c:v>
                      </c:pt>
                      <c:pt idx="1">
                        <c:v>597496.65411778213</c:v>
                      </c:pt>
                      <c:pt idx="2">
                        <c:v>566684.0141391959</c:v>
                      </c:pt>
                      <c:pt idx="3">
                        <c:v>557773.90547206544</c:v>
                      </c:pt>
                      <c:pt idx="4">
                        <c:v>533512.74884758983</c:v>
                      </c:pt>
                      <c:pt idx="5">
                        <c:v>582128.81198434683</c:v>
                      </c:pt>
                      <c:pt idx="6">
                        <c:v>614905.68563772005</c:v>
                      </c:pt>
                      <c:pt idx="7">
                        <c:v>616927.72251988086</c:v>
                      </c:pt>
                      <c:pt idx="8">
                        <c:v>694608.55831127299</c:v>
                      </c:pt>
                      <c:pt idx="9">
                        <c:v>744690.07785922522</c:v>
                      </c:pt>
                      <c:pt idx="10">
                        <c:v>728911.290007259</c:v>
                      </c:pt>
                      <c:pt idx="11">
                        <c:v>748356.04304524744</c:v>
                      </c:pt>
                      <c:pt idx="12">
                        <c:v>742482.52210794913</c:v>
                      </c:pt>
                      <c:pt idx="13">
                        <c:v>712840.76237864071</c:v>
                      </c:pt>
                      <c:pt idx="14">
                        <c:v>738689.10740303784</c:v>
                      </c:pt>
                      <c:pt idx="15">
                        <c:v>783232.44807875762</c:v>
                      </c:pt>
                      <c:pt idx="16">
                        <c:v>864389.05584290659</c:v>
                      </c:pt>
                      <c:pt idx="17">
                        <c:v>956595.42960413289</c:v>
                      </c:pt>
                      <c:pt idx="18">
                        <c:v>969193.674259883</c:v>
                      </c:pt>
                      <c:pt idx="19">
                        <c:v>933462.96327852411</c:v>
                      </c:pt>
                      <c:pt idx="20">
                        <c:v>969824.57105648029</c:v>
                      </c:pt>
                      <c:pt idx="21">
                        <c:v>1014589.0728560057</c:v>
                      </c:pt>
                      <c:pt idx="22">
                        <c:v>990965.76237839612</c:v>
                      </c:pt>
                      <c:pt idx="23">
                        <c:v>1012425.8124627994</c:v>
                      </c:pt>
                      <c:pt idx="24">
                        <c:v>1029717.4104535317</c:v>
                      </c:pt>
                      <c:pt idx="25">
                        <c:v>1041015.4899781285</c:v>
                      </c:pt>
                      <c:pt idx="26">
                        <c:v>1052466.9207332144</c:v>
                      </c:pt>
                      <c:pt idx="27">
                        <c:v>1067229.9755845827</c:v>
                      </c:pt>
                      <c:pt idx="28">
                        <c:v>1083017.6364707288</c:v>
                      </c:pt>
                      <c:pt idx="29">
                        <c:v>1092199.0048789678</c:v>
                      </c:pt>
                      <c:pt idx="30">
                        <c:v>1039380.1311174062</c:v>
                      </c:pt>
                      <c:pt idx="31">
                        <c:v>1061694.2188509286</c:v>
                      </c:pt>
                      <c:pt idx="32">
                        <c:v>1082524.4206260289</c:v>
                      </c:pt>
                      <c:pt idx="33">
                        <c:v>1103519.0656588774</c:v>
                      </c:pt>
                      <c:pt idx="34">
                        <c:v>1127346.5403035483</c:v>
                      </c:pt>
                      <c:pt idx="35">
                        <c:v>1151371.943364827</c:v>
                      </c:pt>
                      <c:pt idx="36">
                        <c:v>1175427.8792557043</c:v>
                      </c:pt>
                      <c:pt idx="37">
                        <c:v>1199019.8240441</c:v>
                      </c:pt>
                      <c:pt idx="38">
                        <c:v>1223865.4874107454</c:v>
                      </c:pt>
                      <c:pt idx="39">
                        <c:v>1247619.3960343448</c:v>
                      </c:pt>
                      <c:pt idx="40">
                        <c:v>1271936.6531423323</c:v>
                      </c:pt>
                      <c:pt idx="41">
                        <c:v>1299507.7631367012</c:v>
                      </c:pt>
                      <c:pt idx="42">
                        <c:v>1328979.0880032226</c:v>
                      </c:pt>
                      <c:pt idx="43">
                        <c:v>1359377.5942900886</c:v>
                      </c:pt>
                      <c:pt idx="44">
                        <c:v>1368425.6895293703</c:v>
                      </c:pt>
                      <c:pt idx="45">
                        <c:v>327999.15881857323</c:v>
                      </c:pt>
                      <c:pt idx="46">
                        <c:v>330520.10974916874</c:v>
                      </c:pt>
                      <c:pt idx="47">
                        <c:v>333059.41512309405</c:v>
                      </c:pt>
                      <c:pt idx="48">
                        <c:v>335617.21470437356</c:v>
                      </c:pt>
                      <c:pt idx="49">
                        <c:v>338193.6488917243</c:v>
                      </c:pt>
                      <c:pt idx="50">
                        <c:v>340788.85875985003</c:v>
                      </c:pt>
                      <c:pt idx="51">
                        <c:v>343007.36817583977</c:v>
                      </c:pt>
                      <c:pt idx="52">
                        <c:v>345239.57193046942</c:v>
                      </c:pt>
                      <c:pt idx="53">
                        <c:v>347485.55903876328</c:v>
                      </c:pt>
                      <c:pt idx="54">
                        <c:v>349745.41881361202</c:v>
                      </c:pt>
                      <c:pt idx="55">
                        <c:v>352019.24088913755</c:v>
                      </c:pt>
                      <c:pt idx="56">
                        <c:v>353900.54900513822</c:v>
                      </c:pt>
                      <c:pt idx="57">
                        <c:v>355791.3879340447</c:v>
                      </c:pt>
                      <c:pt idx="58">
                        <c:v>357691.80936980632</c:v>
                      </c:pt>
                      <c:pt idx="59">
                        <c:v>359601.86509333923</c:v>
                      </c:pt>
                      <c:pt idx="60">
                        <c:v>361521.6069864718</c:v>
                      </c:pt>
                    </c:numCache>
                  </c:numRef>
                </c:val>
                <c:extLst xmlns:c15="http://schemas.microsoft.com/office/drawing/2012/chart">
                  <c:ext xmlns:c16="http://schemas.microsoft.com/office/drawing/2014/chart" uri="{C3380CC4-5D6E-409C-BE32-E72D297353CC}">
                    <c16:uniqueId val="{00000010-A02B-4794-A51D-4248BFEBB6DC}"/>
                  </c:ext>
                </c:extLst>
              </c15:ser>
            </c15:filteredAreaSeries>
            <c15:filteredAreaSeries>
              <c15:ser>
                <c:idx val="19"/>
                <c:order val="17"/>
                <c:tx>
                  <c:strRef>
                    <c:extLst xmlns:c15="http://schemas.microsoft.com/office/drawing/2012/chart">
                      <c:ext xmlns:c15="http://schemas.microsoft.com/office/drawing/2012/chart" uri="{02D57815-91ED-43cb-92C2-25804820EDAC}">
                        <c15:formulaRef>
                          <c15:sqref>'Net zero Activity data'!$D$22:$F$22</c15:sqref>
                        </c15:formulaRef>
                      </c:ext>
                    </c:extLst>
                    <c:strCache>
                      <c:ptCount val="3"/>
                      <c:pt idx="0">
                        <c:v>Subsistence broilers</c:v>
                      </c:pt>
                      <c:pt idx="1">
                        <c:v>Population</c:v>
                      </c:pt>
                      <c:pt idx="2">
                        <c:v>Head</c:v>
                      </c:pt>
                    </c:strCache>
                  </c:strRef>
                </c:tx>
                <c:spPr>
                  <a:solidFill>
                    <a:schemeClr val="accent2">
                      <a:lumMod val="8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data'!$H$22:$BP$22</c15:sqref>
                        </c15:formulaRef>
                      </c:ext>
                    </c:extLst>
                    <c:numCache>
                      <c:formatCode>#,##0</c:formatCode>
                      <c:ptCount val="61"/>
                      <c:pt idx="0">
                        <c:v>1692788.501282579</c:v>
                      </c:pt>
                      <c:pt idx="1">
                        <c:v>1591221.1932594103</c:v>
                      </c:pt>
                      <c:pt idx="2">
                        <c:v>1503817.8555249351</c:v>
                      </c:pt>
                      <c:pt idx="3">
                        <c:v>1691260.5094954062</c:v>
                      </c:pt>
                      <c:pt idx="4">
                        <c:v>1675398.618576091</c:v>
                      </c:pt>
                      <c:pt idx="5">
                        <c:v>1917738.6394417342</c:v>
                      </c:pt>
                      <c:pt idx="6">
                        <c:v>2229835.7272258773</c:v>
                      </c:pt>
                      <c:pt idx="7">
                        <c:v>2269717.8833858925</c:v>
                      </c:pt>
                      <c:pt idx="8">
                        <c:v>2487004.5772982165</c:v>
                      </c:pt>
                      <c:pt idx="9">
                        <c:v>2596404.8813659716</c:v>
                      </c:pt>
                      <c:pt idx="10">
                        <c:v>2793540.3261309932</c:v>
                      </c:pt>
                      <c:pt idx="11">
                        <c:v>2697456.7186955782</c:v>
                      </c:pt>
                      <c:pt idx="12">
                        <c:v>2989657.0023677181</c:v>
                      </c:pt>
                      <c:pt idx="13">
                        <c:v>2843615.1342619131</c:v>
                      </c:pt>
                      <c:pt idx="14">
                        <c:v>2912262.4842377375</c:v>
                      </c:pt>
                      <c:pt idx="15">
                        <c:v>3222344.7569196927</c:v>
                      </c:pt>
                      <c:pt idx="16">
                        <c:v>3446598.8889022488</c:v>
                      </c:pt>
                      <c:pt idx="17">
                        <c:v>3606087.1785391434</c:v>
                      </c:pt>
                      <c:pt idx="18">
                        <c:v>3839503.687775786</c:v>
                      </c:pt>
                      <c:pt idx="19">
                        <c:v>3622992.06330516</c:v>
                      </c:pt>
                      <c:pt idx="20">
                        <c:v>3714113.2025884609</c:v>
                      </c:pt>
                      <c:pt idx="21">
                        <c:v>3841366.7821070058</c:v>
                      </c:pt>
                      <c:pt idx="22">
                        <c:v>3964384.7965025804</c:v>
                      </c:pt>
                      <c:pt idx="23">
                        <c:v>4028717.3832968003</c:v>
                      </c:pt>
                      <c:pt idx="24">
                        <c:v>4047819.0716439504</c:v>
                      </c:pt>
                      <c:pt idx="25">
                        <c:v>4005001.1467692368</c:v>
                      </c:pt>
                      <c:pt idx="26">
                        <c:v>3962275.1584986197</c:v>
                      </c:pt>
                      <c:pt idx="27">
                        <c:v>3949877.7872441495</c:v>
                      </c:pt>
                      <c:pt idx="28">
                        <c:v>3947295.2108177799</c:v>
                      </c:pt>
                      <c:pt idx="29">
                        <c:v>3881453.1749620489</c:v>
                      </c:pt>
                      <c:pt idx="30">
                        <c:v>3234196.6048732484</c:v>
                      </c:pt>
                      <c:pt idx="31">
                        <c:v>3329597.3379808771</c:v>
                      </c:pt>
                      <c:pt idx="32">
                        <c:v>3409339.537741804</c:v>
                      </c:pt>
                      <c:pt idx="33">
                        <c:v>3488888.2525709453</c:v>
                      </c:pt>
                      <c:pt idx="34">
                        <c:v>3592383.6433680854</c:v>
                      </c:pt>
                      <c:pt idx="35">
                        <c:v>3695568.3735022405</c:v>
                      </c:pt>
                      <c:pt idx="36">
                        <c:v>3808858.3318725894</c:v>
                      </c:pt>
                      <c:pt idx="37">
                        <c:v>3916099.1546365018</c:v>
                      </c:pt>
                      <c:pt idx="38">
                        <c:v>4032485.6174664586</c:v>
                      </c:pt>
                      <c:pt idx="39">
                        <c:v>4137428.6832039398</c:v>
                      </c:pt>
                      <c:pt idx="40">
                        <c:v>4245470.5471214848</c:v>
                      </c:pt>
                      <c:pt idx="41">
                        <c:v>4389050.3423279459</c:v>
                      </c:pt>
                      <c:pt idx="42">
                        <c:v>4546682.7273825156</c:v>
                      </c:pt>
                      <c:pt idx="43">
                        <c:v>4709874.7125848709</c:v>
                      </c:pt>
                      <c:pt idx="44">
                        <c:v>4691702.2022083737</c:v>
                      </c:pt>
                      <c:pt idx="45">
                        <c:v>-4068886.5761280376</c:v>
                      </c:pt>
                      <c:pt idx="46">
                        <c:v>-4074716.4573672405</c:v>
                      </c:pt>
                      <c:pt idx="47">
                        <c:v>-4081039.6730098599</c:v>
                      </c:pt>
                      <c:pt idx="48">
                        <c:v>-4087835.6352206366</c:v>
                      </c:pt>
                      <c:pt idx="49">
                        <c:v>-4095085.3552712412</c:v>
                      </c:pt>
                      <c:pt idx="50">
                        <c:v>-4102771.2899317653</c:v>
                      </c:pt>
                      <c:pt idx="51">
                        <c:v>-4105934.6835974893</c:v>
                      </c:pt>
                      <c:pt idx="52">
                        <c:v>-4109494.5416554511</c:v>
                      </c:pt>
                      <c:pt idx="53">
                        <c:v>-4113435.4695951622</c:v>
                      </c:pt>
                      <c:pt idx="54">
                        <c:v>-4117743.1299586417</c:v>
                      </c:pt>
                      <c:pt idx="55">
                        <c:v>-4122404.1515113111</c:v>
                      </c:pt>
                      <c:pt idx="56">
                        <c:v>-4122469.8838848728</c:v>
                      </c:pt>
                      <c:pt idx="57">
                        <c:v>-4122862.8592444365</c:v>
                      </c:pt>
                      <c:pt idx="58">
                        <c:v>-4123570.9785566702</c:v>
                      </c:pt>
                      <c:pt idx="59">
                        <c:v>-4124582.8840016015</c:v>
                      </c:pt>
                      <c:pt idx="60">
                        <c:v>-4125887.9014039808</c:v>
                      </c:pt>
                    </c:numCache>
                  </c:numRef>
                </c:val>
                <c:extLst xmlns:c15="http://schemas.microsoft.com/office/drawing/2012/chart">
                  <c:ext xmlns:c16="http://schemas.microsoft.com/office/drawing/2014/chart" uri="{C3380CC4-5D6E-409C-BE32-E72D297353CC}">
                    <c16:uniqueId val="{00000011-A02B-4794-A51D-4248BFEBB6DC}"/>
                  </c:ext>
                </c:extLst>
              </c15:ser>
            </c15:filteredAreaSeries>
          </c:ext>
        </c:extLst>
      </c:areaChart>
      <c:catAx>
        <c:axId val="789136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59823"/>
        <c:crosses val="autoZero"/>
        <c:auto val="1"/>
        <c:lblAlgn val="ctr"/>
        <c:lblOffset val="100"/>
        <c:noMultiLvlLbl val="0"/>
      </c:catAx>
      <c:valAx>
        <c:axId val="78915982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36943"/>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'Net zero emission summary'!$F$58</c:f>
              <c:strCache>
                <c:ptCount val="1"/>
                <c:pt idx="0">
                  <c:v>Enteric</c:v>
                </c:pt>
              </c:strCache>
            </c:strRef>
          </c:tx>
          <c:spPr>
            <a:solidFill>
              <a:schemeClr val="accent1"/>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summary'!$I$58:$BQ$58</c15:sqref>
                  </c15:fullRef>
                </c:ext>
              </c:extLst>
              <c:f>'Net zero emission summary'!$S$58:$BQ$58</c:f>
              <c:numCache>
                <c:formatCode>General</c:formatCode>
                <c:ptCount val="51"/>
                <c:pt idx="0">
                  <c:v>25777.048269375533</c:v>
                </c:pt>
                <c:pt idx="1">
                  <c:v>25591.757983541553</c:v>
                </c:pt>
                <c:pt idx="2">
                  <c:v>25147.122199522513</c:v>
                </c:pt>
                <c:pt idx="3">
                  <c:v>25249.466602835961</c:v>
                </c:pt>
                <c:pt idx="4">
                  <c:v>25051.703011381145</c:v>
                </c:pt>
                <c:pt idx="5">
                  <c:v>25106.486522987332</c:v>
                </c:pt>
                <c:pt idx="6">
                  <c:v>25009.71607093593</c:v>
                </c:pt>
                <c:pt idx="7">
                  <c:v>25554.935614001963</c:v>
                </c:pt>
                <c:pt idx="8">
                  <c:v>25721.077232963253</c:v>
                </c:pt>
                <c:pt idx="9">
                  <c:v>25553.033374236744</c:v>
                </c:pt>
                <c:pt idx="10">
                  <c:v>25338.814721466922</c:v>
                </c:pt>
                <c:pt idx="11">
                  <c:v>25260.558978491663</c:v>
                </c:pt>
                <c:pt idx="12">
                  <c:v>24752.854117901919</c:v>
                </c:pt>
                <c:pt idx="13">
                  <c:v>24690.701530842045</c:v>
                </c:pt>
                <c:pt idx="14">
                  <c:v>24496.272701657097</c:v>
                </c:pt>
                <c:pt idx="15">
                  <c:v>24126.089928992173</c:v>
                </c:pt>
                <c:pt idx="16">
                  <c:v>23771.872225696912</c:v>
                </c:pt>
                <c:pt idx="17">
                  <c:v>23520.073026651728</c:v>
                </c:pt>
                <c:pt idx="18">
                  <c:v>23301.855529161516</c:v>
                </c:pt>
                <c:pt idx="19">
                  <c:v>22912.428573386427</c:v>
                </c:pt>
                <c:pt idx="20">
                  <c:v>20946.758314482198</c:v>
                </c:pt>
                <c:pt idx="21">
                  <c:v>20964.330051355333</c:v>
                </c:pt>
                <c:pt idx="22">
                  <c:v>20880.921089262458</c:v>
                </c:pt>
                <c:pt idx="23">
                  <c:v>20738.942137024882</c:v>
                </c:pt>
                <c:pt idx="24">
                  <c:v>20599.436230677416</c:v>
                </c:pt>
                <c:pt idx="25">
                  <c:v>20398.347781307381</c:v>
                </c:pt>
                <c:pt idx="26">
                  <c:v>20140.739621773526</c:v>
                </c:pt>
                <c:pt idx="27">
                  <c:v>19807.819055258198</c:v>
                </c:pt>
                <c:pt idx="28">
                  <c:v>19434.805695168016</c:v>
                </c:pt>
                <c:pt idx="29">
                  <c:v>18975.615523904213</c:v>
                </c:pt>
                <c:pt idx="30">
                  <c:v>18463.145528545334</c:v>
                </c:pt>
                <c:pt idx="31">
                  <c:v>18404.511985077905</c:v>
                </c:pt>
                <c:pt idx="32">
                  <c:v>18361.487544376865</c:v>
                </c:pt>
                <c:pt idx="33">
                  <c:v>18316.014550166157</c:v>
                </c:pt>
                <c:pt idx="34">
                  <c:v>17923.906103393223</c:v>
                </c:pt>
                <c:pt idx="35">
                  <c:v>1903.0554524656477</c:v>
                </c:pt>
                <c:pt idx="36">
                  <c:v>1957.0206742887913</c:v>
                </c:pt>
                <c:pt idx="37">
                  <c:v>2009.7152897146148</c:v>
                </c:pt>
                <c:pt idx="38">
                  <c:v>2061.1683106741111</c:v>
                </c:pt>
                <c:pt idx="39">
                  <c:v>2111.4061954942304</c:v>
                </c:pt>
                <c:pt idx="40">
                  <c:v>2160.4530816953074</c:v>
                </c:pt>
                <c:pt idx="41">
                  <c:v>2202.0933130895655</c:v>
                </c:pt>
                <c:pt idx="42">
                  <c:v>2242.9996745871449</c:v>
                </c:pt>
                <c:pt idx="43">
                  <c:v>2283.1828063777953</c:v>
                </c:pt>
                <c:pt idx="44">
                  <c:v>2322.6522995724654</c:v>
                </c:pt>
                <c:pt idx="45">
                  <c:v>2361.4167867025367</c:v>
                </c:pt>
                <c:pt idx="46">
                  <c:v>2397.2613898044729</c:v>
                </c:pt>
                <c:pt idx="47">
                  <c:v>2432.3633521872694</c:v>
                </c:pt>
                <c:pt idx="48">
                  <c:v>2466.7299350899375</c:v>
                </c:pt>
                <c:pt idx="49">
                  <c:v>2500.3677243450934</c:v>
                </c:pt>
                <c:pt idx="50">
                  <c:v>2533.2826855809813</c:v>
                </c:pt>
              </c:numCache>
            </c:numRef>
          </c:val>
          <c:extLst>
            <c:ext xmlns:c16="http://schemas.microsoft.com/office/drawing/2014/chart" uri="{C3380CC4-5D6E-409C-BE32-E72D297353CC}">
              <c16:uniqueId val="{00000000-2E54-415E-99A8-BF04AA9686DA}"/>
            </c:ext>
          </c:extLst>
        </c:ser>
        <c:ser>
          <c:idx val="1"/>
          <c:order val="1"/>
          <c:tx>
            <c:strRef>
              <c:f>'Net zero emission summary'!$F$59</c:f>
              <c:strCache>
                <c:ptCount val="1"/>
                <c:pt idx="0">
                  <c:v>Manure CH4</c:v>
                </c:pt>
              </c:strCache>
            </c:strRef>
          </c:tx>
          <c:spPr>
            <a:solidFill>
              <a:schemeClr val="accent2"/>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summary'!$I$59:$BQ$59</c15:sqref>
                  </c15:fullRef>
                </c:ext>
              </c:extLst>
              <c:f>'Net zero emission summary'!$S$59:$BQ$59</c:f>
              <c:numCache>
                <c:formatCode>General</c:formatCode>
                <c:ptCount val="51"/>
                <c:pt idx="0">
                  <c:v>762.23830549258651</c:v>
                </c:pt>
                <c:pt idx="1">
                  <c:v>769.66043942752947</c:v>
                </c:pt>
                <c:pt idx="2">
                  <c:v>755.24670561009475</c:v>
                </c:pt>
                <c:pt idx="3">
                  <c:v>721.45490015224073</c:v>
                </c:pt>
                <c:pt idx="4">
                  <c:v>716.39216959899204</c:v>
                </c:pt>
                <c:pt idx="5">
                  <c:v>729.01852866445677</c:v>
                </c:pt>
                <c:pt idx="6">
                  <c:v>720.39066924724523</c:v>
                </c:pt>
                <c:pt idx="7">
                  <c:v>731.06474952281167</c:v>
                </c:pt>
                <c:pt idx="8">
                  <c:v>761.20306942751586</c:v>
                </c:pt>
                <c:pt idx="9">
                  <c:v>763.02344219117026</c:v>
                </c:pt>
                <c:pt idx="10">
                  <c:v>758.88138838781094</c:v>
                </c:pt>
                <c:pt idx="11">
                  <c:v>751.05641756570367</c:v>
                </c:pt>
                <c:pt idx="12">
                  <c:v>778.47813665191791</c:v>
                </c:pt>
                <c:pt idx="13">
                  <c:v>779.60373018344342</c:v>
                </c:pt>
                <c:pt idx="14">
                  <c:v>776.0192197786206</c:v>
                </c:pt>
                <c:pt idx="15">
                  <c:v>765.98896986913508</c:v>
                </c:pt>
                <c:pt idx="16">
                  <c:v>756.50244374464921</c:v>
                </c:pt>
                <c:pt idx="17">
                  <c:v>750.81595689017922</c:v>
                </c:pt>
                <c:pt idx="18">
                  <c:v>746.48199026837983</c:v>
                </c:pt>
                <c:pt idx="19">
                  <c:v>735.65316112823461</c:v>
                </c:pt>
                <c:pt idx="20">
                  <c:v>663.65903703549384</c:v>
                </c:pt>
                <c:pt idx="21">
                  <c:v>621.5292300340343</c:v>
                </c:pt>
                <c:pt idx="22">
                  <c:v>577.52860865954347</c:v>
                </c:pt>
                <c:pt idx="23">
                  <c:v>533.28907553439581</c:v>
                </c:pt>
                <c:pt idx="24">
                  <c:v>490.60606831042872</c:v>
                </c:pt>
                <c:pt idx="25">
                  <c:v>447.31925997446842</c:v>
                </c:pt>
                <c:pt idx="26">
                  <c:v>403.80707334853753</c:v>
                </c:pt>
                <c:pt idx="27">
                  <c:v>359.34990419569914</c:v>
                </c:pt>
                <c:pt idx="28">
                  <c:v>314.78811953964902</c:v>
                </c:pt>
                <c:pt idx="29">
                  <c:v>269.15134571600908</c:v>
                </c:pt>
                <c:pt idx="30">
                  <c:v>223.16107627328697</c:v>
                </c:pt>
                <c:pt idx="31">
                  <c:v>214.67231292143302</c:v>
                </c:pt>
                <c:pt idx="32">
                  <c:v>206.31165264259428</c:v>
                </c:pt>
                <c:pt idx="33">
                  <c:v>197.78478455015306</c:v>
                </c:pt>
                <c:pt idx="34">
                  <c:v>184.28236690976757</c:v>
                </c:pt>
                <c:pt idx="35">
                  <c:v>-39.058141578202317</c:v>
                </c:pt>
                <c:pt idx="36">
                  <c:v>-38.127556163197845</c:v>
                </c:pt>
                <c:pt idx="37">
                  <c:v>-37.261960264999971</c:v>
                </c:pt>
                <c:pt idx="38">
                  <c:v>-36.459628986479331</c:v>
                </c:pt>
                <c:pt idx="39">
                  <c:v>-35.718998213629938</c:v>
                </c:pt>
                <c:pt idx="40">
                  <c:v>-35.038650084459832</c:v>
                </c:pt>
                <c:pt idx="41">
                  <c:v>-35.066461155901166</c:v>
                </c:pt>
                <c:pt idx="42">
                  <c:v>-35.09819228686429</c:v>
                </c:pt>
                <c:pt idx="43">
                  <c:v>-35.133687033734944</c:v>
                </c:pt>
                <c:pt idx="44">
                  <c:v>-35.172799724926286</c:v>
                </c:pt>
                <c:pt idx="45">
                  <c:v>-35.215394533230608</c:v>
                </c:pt>
                <c:pt idx="46">
                  <c:v>-35.21273693696893</c:v>
                </c:pt>
                <c:pt idx="47">
                  <c:v>-35.213361597028694</c:v>
                </c:pt>
                <c:pt idx="48">
                  <c:v>-35.217144590268255</c:v>
                </c:pt>
                <c:pt idx="49">
                  <c:v>-35.223969608765579</c:v>
                </c:pt>
                <c:pt idx="50">
                  <c:v>-35.233727367338005</c:v>
                </c:pt>
              </c:numCache>
            </c:numRef>
          </c:val>
          <c:extLst>
            <c:ext xmlns:c16="http://schemas.microsoft.com/office/drawing/2014/chart" uri="{C3380CC4-5D6E-409C-BE32-E72D297353CC}">
              <c16:uniqueId val="{00000001-2E54-415E-99A8-BF04AA9686DA}"/>
            </c:ext>
          </c:extLst>
        </c:ser>
        <c:ser>
          <c:idx val="2"/>
          <c:order val="2"/>
          <c:tx>
            <c:strRef>
              <c:f>'Net zero emission summary'!$F$60</c:f>
              <c:strCache>
                <c:ptCount val="1"/>
                <c:pt idx="0">
                  <c:v>Manure N2O</c:v>
                </c:pt>
              </c:strCache>
            </c:strRef>
          </c:tx>
          <c:spPr>
            <a:solidFill>
              <a:schemeClr val="accent3"/>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summary'!$I$60:$BQ$60</c15:sqref>
                  </c15:fullRef>
                </c:ext>
              </c:extLst>
              <c:f>'Net zero emission summary'!$S$60:$BQ$60</c:f>
              <c:numCache>
                <c:formatCode>General</c:formatCode>
                <c:ptCount val="51"/>
                <c:pt idx="0">
                  <c:v>1372.4487383044614</c:v>
                </c:pt>
                <c:pt idx="1">
                  <c:v>1356.5221314435626</c:v>
                </c:pt>
                <c:pt idx="2">
                  <c:v>1396.8463052232266</c:v>
                </c:pt>
                <c:pt idx="3">
                  <c:v>1373.0665004626433</c:v>
                </c:pt>
                <c:pt idx="4">
                  <c:v>1378.5802594390798</c:v>
                </c:pt>
                <c:pt idx="5">
                  <c:v>1425.1971500061302</c:v>
                </c:pt>
                <c:pt idx="6">
                  <c:v>1466.623959325211</c:v>
                </c:pt>
                <c:pt idx="7">
                  <c:v>1512.7966811111032</c:v>
                </c:pt>
                <c:pt idx="8">
                  <c:v>1539.5804780764847</c:v>
                </c:pt>
                <c:pt idx="9">
                  <c:v>1507.0434874225361</c:v>
                </c:pt>
                <c:pt idx="10">
                  <c:v>1516.5605848321243</c:v>
                </c:pt>
                <c:pt idx="11">
                  <c:v>1570.0225026545761</c:v>
                </c:pt>
                <c:pt idx="12">
                  <c:v>1624.6372261307567</c:v>
                </c:pt>
                <c:pt idx="13">
                  <c:v>1644.7201872134187</c:v>
                </c:pt>
                <c:pt idx="14">
                  <c:v>1652.278567660903</c:v>
                </c:pt>
                <c:pt idx="15">
                  <c:v>1642.5799481628237</c:v>
                </c:pt>
                <c:pt idx="16">
                  <c:v>1633.3693680269034</c:v>
                </c:pt>
                <c:pt idx="17">
                  <c:v>1633.2534061095882</c:v>
                </c:pt>
                <c:pt idx="18">
                  <c:v>1636.1197720898767</c:v>
                </c:pt>
                <c:pt idx="19">
                  <c:v>1621.2074368618501</c:v>
                </c:pt>
                <c:pt idx="20">
                  <c:v>1441.4619559724115</c:v>
                </c:pt>
                <c:pt idx="21">
                  <c:v>1472.4073202587936</c:v>
                </c:pt>
                <c:pt idx="22">
                  <c:v>1499.0444219072838</c:v>
                </c:pt>
                <c:pt idx="23">
                  <c:v>1525.7586433035303</c:v>
                </c:pt>
                <c:pt idx="24">
                  <c:v>1559.4096157355314</c:v>
                </c:pt>
                <c:pt idx="25">
                  <c:v>1593.1009264189975</c:v>
                </c:pt>
                <c:pt idx="26">
                  <c:v>1628.7212759269312</c:v>
                </c:pt>
                <c:pt idx="27">
                  <c:v>1662.7349086236418</c:v>
                </c:pt>
                <c:pt idx="28">
                  <c:v>1699.463726378892</c:v>
                </c:pt>
                <c:pt idx="29">
                  <c:v>1733.0429726704101</c:v>
                </c:pt>
                <c:pt idx="30">
                  <c:v>1767.6108299651239</c:v>
                </c:pt>
                <c:pt idx="31">
                  <c:v>1809.7950914952585</c:v>
                </c:pt>
                <c:pt idx="32">
                  <c:v>1856.0368752018776</c:v>
                </c:pt>
                <c:pt idx="33">
                  <c:v>1903.9133342675466</c:v>
                </c:pt>
                <c:pt idx="34">
                  <c:v>1900.2739512057267</c:v>
                </c:pt>
                <c:pt idx="35">
                  <c:v>-587.74999411227577</c:v>
                </c:pt>
                <c:pt idx="36">
                  <c:v>-587.27825557990616</c:v>
                </c:pt>
                <c:pt idx="37">
                  <c:v>-586.89918391089338</c:v>
                </c:pt>
                <c:pt idx="38">
                  <c:v>-586.60885915153483</c:v>
                </c:pt>
                <c:pt idx="39">
                  <c:v>-586.4036583237787</c:v>
                </c:pt>
                <c:pt idx="40">
                  <c:v>-586.28022728365454</c:v>
                </c:pt>
                <c:pt idx="41">
                  <c:v>-585.77238144933699</c:v>
                </c:pt>
                <c:pt idx="42">
                  <c:v>-585.3360952284894</c:v>
                </c:pt>
                <c:pt idx="43">
                  <c:v>-584.96860406358928</c:v>
                </c:pt>
                <c:pt idx="44">
                  <c:v>-584.66732980850077</c:v>
                </c:pt>
                <c:pt idx="45">
                  <c:v>-584.42986489722659</c:v>
                </c:pt>
                <c:pt idx="46">
                  <c:v>-583.59574457992505</c:v>
                </c:pt>
                <c:pt idx="47">
                  <c:v>-582.82208689660501</c:v>
                </c:pt>
                <c:pt idx="48">
                  <c:v>-582.10673214220537</c:v>
                </c:pt>
                <c:pt idx="49">
                  <c:v>-581.44765093146714</c:v>
                </c:pt>
                <c:pt idx="50">
                  <c:v>-580.84293420121003</c:v>
                </c:pt>
              </c:numCache>
            </c:numRef>
          </c:val>
          <c:extLst>
            <c:ext xmlns:c16="http://schemas.microsoft.com/office/drawing/2014/chart" uri="{C3380CC4-5D6E-409C-BE32-E72D297353CC}">
              <c16:uniqueId val="{00000002-2E54-415E-99A8-BF04AA9686DA}"/>
            </c:ext>
          </c:extLst>
        </c:ser>
        <c:ser>
          <c:idx val="3"/>
          <c:order val="3"/>
          <c:tx>
            <c:strRef>
              <c:f>'Net zero emission summary'!$F$61</c:f>
              <c:strCache>
                <c:ptCount val="1"/>
                <c:pt idx="0">
                  <c:v>Biomass burning CH4</c:v>
                </c:pt>
              </c:strCache>
            </c:strRef>
          </c:tx>
          <c:spPr>
            <a:solidFill>
              <a:schemeClr val="accent4"/>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summary'!$I$61:$BQ$61</c15:sqref>
                  </c15:fullRef>
                </c:ext>
              </c:extLst>
              <c:f>'Net zero emission summary'!$S$61:$BQ$61</c:f>
              <c:numCache>
                <c:formatCode>General</c:formatCode>
                <c:ptCount val="51"/>
                <c:pt idx="0">
                  <c:v>1103.4776992955053</c:v>
                </c:pt>
                <c:pt idx="1">
                  <c:v>1282.5517441798665</c:v>
                </c:pt>
                <c:pt idx="2">
                  <c:v>1288.9176046937982</c:v>
                </c:pt>
                <c:pt idx="3">
                  <c:v>1011.4345809085878</c:v>
                </c:pt>
                <c:pt idx="4">
                  <c:v>883.38003872679235</c:v>
                </c:pt>
                <c:pt idx="5">
                  <c:v>1412.334298727088</c:v>
                </c:pt>
                <c:pt idx="6">
                  <c:v>1236.8838978672777</c:v>
                </c:pt>
                <c:pt idx="7">
                  <c:v>1218.5771221263838</c:v>
                </c:pt>
                <c:pt idx="8">
                  <c:v>1139.8644942847</c:v>
                </c:pt>
                <c:pt idx="9">
                  <c:v>1078.8713756473658</c:v>
                </c:pt>
                <c:pt idx="10">
                  <c:v>1107.055106514</c:v>
                </c:pt>
                <c:pt idx="11">
                  <c:v>1093.3943713178221</c:v>
                </c:pt>
                <c:pt idx="12">
                  <c:v>916.39904428073066</c:v>
                </c:pt>
                <c:pt idx="13">
                  <c:v>957.70927900519757</c:v>
                </c:pt>
                <c:pt idx="14">
                  <c:v>944.27038684966465</c:v>
                </c:pt>
                <c:pt idx="15">
                  <c:v>931.78327853413111</c:v>
                </c:pt>
                <c:pt idx="16">
                  <c:v>941.79408509859809</c:v>
                </c:pt>
                <c:pt idx="17">
                  <c:v>950.68729182306481</c:v>
                </c:pt>
                <c:pt idx="18">
                  <c:v>953.20321518753167</c:v>
                </c:pt>
                <c:pt idx="19">
                  <c:v>956.763261286947</c:v>
                </c:pt>
                <c:pt idx="20">
                  <c:v>960.32330738636199</c:v>
                </c:pt>
                <c:pt idx="21">
                  <c:v>963.88335348577709</c:v>
                </c:pt>
                <c:pt idx="22">
                  <c:v>967.44339958519208</c:v>
                </c:pt>
                <c:pt idx="23">
                  <c:v>971.0034456846073</c:v>
                </c:pt>
                <c:pt idx="24">
                  <c:v>974.56349178402229</c:v>
                </c:pt>
                <c:pt idx="25">
                  <c:v>978.12353788343751</c:v>
                </c:pt>
                <c:pt idx="26">
                  <c:v>981.68358398285261</c:v>
                </c:pt>
                <c:pt idx="27">
                  <c:v>985.2436300822676</c:v>
                </c:pt>
                <c:pt idx="28">
                  <c:v>988.8036761816827</c:v>
                </c:pt>
                <c:pt idx="29">
                  <c:v>992.36372228109781</c:v>
                </c:pt>
                <c:pt idx="30">
                  <c:v>995.92376838051302</c:v>
                </c:pt>
                <c:pt idx="31">
                  <c:v>999.27215253115673</c:v>
                </c:pt>
                <c:pt idx="32">
                  <c:v>1002.6205366818004</c:v>
                </c:pt>
                <c:pt idx="33">
                  <c:v>1005.9689208324443</c:v>
                </c:pt>
                <c:pt idx="34">
                  <c:v>1009.317304983088</c:v>
                </c:pt>
                <c:pt idx="35">
                  <c:v>1012.6656891337318</c:v>
                </c:pt>
                <c:pt idx="36">
                  <c:v>1016.0140732843756</c:v>
                </c:pt>
                <c:pt idx="37">
                  <c:v>1019.3624574350195</c:v>
                </c:pt>
                <c:pt idx="38">
                  <c:v>1022.710841585663</c:v>
                </c:pt>
                <c:pt idx="39">
                  <c:v>1025.7736963097952</c:v>
                </c:pt>
                <c:pt idx="40">
                  <c:v>1028.836551033927</c:v>
                </c:pt>
                <c:pt idx="41">
                  <c:v>1031.8994057580592</c:v>
                </c:pt>
                <c:pt idx="42">
                  <c:v>1034.9622604821907</c:v>
                </c:pt>
                <c:pt idx="43">
                  <c:v>1038.0251152063229</c:v>
                </c:pt>
                <c:pt idx="44">
                  <c:v>1041.0879699304548</c:v>
                </c:pt>
                <c:pt idx="45">
                  <c:v>1044.1508246545868</c:v>
                </c:pt>
                <c:pt idx="46">
                  <c:v>1047.2136793787188</c:v>
                </c:pt>
                <c:pt idx="47">
                  <c:v>1050.2765341028507</c:v>
                </c:pt>
                <c:pt idx="48">
                  <c:v>1053.3393888269827</c:v>
                </c:pt>
                <c:pt idx="49">
                  <c:v>1056.4022435511147</c:v>
                </c:pt>
                <c:pt idx="50">
                  <c:v>1059.4650982752464</c:v>
                </c:pt>
              </c:numCache>
            </c:numRef>
          </c:val>
          <c:extLst>
            <c:ext xmlns:c16="http://schemas.microsoft.com/office/drawing/2014/chart" uri="{C3380CC4-5D6E-409C-BE32-E72D297353CC}">
              <c16:uniqueId val="{00000003-2E54-415E-99A8-BF04AA9686DA}"/>
            </c:ext>
          </c:extLst>
        </c:ser>
        <c:ser>
          <c:idx val="4"/>
          <c:order val="4"/>
          <c:tx>
            <c:strRef>
              <c:f>'Net zero emission summary'!$F$62</c:f>
              <c:strCache>
                <c:ptCount val="1"/>
                <c:pt idx="0">
                  <c:v>Biomass burning N2O</c:v>
                </c:pt>
              </c:strCache>
            </c:strRef>
          </c:tx>
          <c:spPr>
            <a:solidFill>
              <a:schemeClr val="accent5"/>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summary'!$I$62:$BQ$62</c15:sqref>
                  </c15:fullRef>
                </c:ext>
              </c:extLst>
              <c:f>'Net zero emission summary'!$S$62:$BQ$62</c:f>
              <c:numCache>
                <c:formatCode>General</c:formatCode>
                <c:ptCount val="51"/>
                <c:pt idx="0">
                  <c:v>1138.2881924240246</c:v>
                </c:pt>
                <c:pt idx="1">
                  <c:v>1347.8625366593228</c:v>
                </c:pt>
                <c:pt idx="2">
                  <c:v>1328.3690110437451</c:v>
                </c:pt>
                <c:pt idx="3">
                  <c:v>1017.5651134275211</c:v>
                </c:pt>
                <c:pt idx="4">
                  <c:v>914.67644691903695</c:v>
                </c:pt>
                <c:pt idx="5">
                  <c:v>1447.9112474339306</c:v>
                </c:pt>
                <c:pt idx="6">
                  <c:v>1263.4019893034997</c:v>
                </c:pt>
                <c:pt idx="7">
                  <c:v>1217.4357899565925</c:v>
                </c:pt>
                <c:pt idx="8">
                  <c:v>1180.1818937292605</c:v>
                </c:pt>
                <c:pt idx="9">
                  <c:v>1108.1395844539597</c:v>
                </c:pt>
                <c:pt idx="10">
                  <c:v>1121.7567904983002</c:v>
                </c:pt>
                <c:pt idx="11">
                  <c:v>1111.0832034573957</c:v>
                </c:pt>
                <c:pt idx="12">
                  <c:v>957.90428313424388</c:v>
                </c:pt>
                <c:pt idx="13">
                  <c:v>993.12814482495412</c:v>
                </c:pt>
                <c:pt idx="14">
                  <c:v>983.64299307566409</c:v>
                </c:pt>
                <c:pt idx="15">
                  <c:v>974.93508324637412</c:v>
                </c:pt>
                <c:pt idx="16">
                  <c:v>984.5993308570844</c:v>
                </c:pt>
                <c:pt idx="17">
                  <c:v>993.3509285477943</c:v>
                </c:pt>
                <c:pt idx="18">
                  <c:v>996.89473455850464</c:v>
                </c:pt>
                <c:pt idx="19">
                  <c:v>1001.6941603201909</c:v>
                </c:pt>
                <c:pt idx="20">
                  <c:v>1006.4935860818769</c:v>
                </c:pt>
                <c:pt idx="21">
                  <c:v>1011.2930118435631</c:v>
                </c:pt>
                <c:pt idx="22">
                  <c:v>1016.092437605249</c:v>
                </c:pt>
                <c:pt idx="23">
                  <c:v>1020.8918633669354</c:v>
                </c:pt>
                <c:pt idx="24">
                  <c:v>1025.6912891286215</c:v>
                </c:pt>
                <c:pt idx="25">
                  <c:v>1030.4907148903073</c:v>
                </c:pt>
                <c:pt idx="26">
                  <c:v>1035.2901406519936</c:v>
                </c:pt>
                <c:pt idx="27">
                  <c:v>1040.0895664136797</c:v>
                </c:pt>
                <c:pt idx="28">
                  <c:v>1044.888992175366</c:v>
                </c:pt>
                <c:pt idx="29">
                  <c:v>1049.688417937052</c:v>
                </c:pt>
                <c:pt idx="30">
                  <c:v>1054.4878436987378</c:v>
                </c:pt>
                <c:pt idx="31">
                  <c:v>1059.1536620734259</c:v>
                </c:pt>
                <c:pt idx="32">
                  <c:v>1063.8194804481134</c:v>
                </c:pt>
                <c:pt idx="33">
                  <c:v>1068.4852988228013</c:v>
                </c:pt>
                <c:pt idx="34">
                  <c:v>1073.1511171974894</c:v>
                </c:pt>
                <c:pt idx="35">
                  <c:v>1077.816935572177</c:v>
                </c:pt>
                <c:pt idx="36">
                  <c:v>1082.4827539468647</c:v>
                </c:pt>
                <c:pt idx="37">
                  <c:v>1087.1485723215524</c:v>
                </c:pt>
                <c:pt idx="38">
                  <c:v>1091.8143906962403</c:v>
                </c:pt>
                <c:pt idx="39">
                  <c:v>1096.2470411704533</c:v>
                </c:pt>
                <c:pt idx="40">
                  <c:v>1100.6796916446663</c:v>
                </c:pt>
                <c:pt idx="41">
                  <c:v>1105.1123421188793</c:v>
                </c:pt>
                <c:pt idx="42">
                  <c:v>1109.5449925930925</c:v>
                </c:pt>
                <c:pt idx="43">
                  <c:v>1113.9776430673055</c:v>
                </c:pt>
                <c:pt idx="44">
                  <c:v>1118.4102935415185</c:v>
                </c:pt>
                <c:pt idx="45">
                  <c:v>1122.8429440157317</c:v>
                </c:pt>
                <c:pt idx="46">
                  <c:v>1127.2755944899448</c:v>
                </c:pt>
                <c:pt idx="47">
                  <c:v>1131.7082449641578</c:v>
                </c:pt>
                <c:pt idx="48">
                  <c:v>1136.1408954383708</c:v>
                </c:pt>
                <c:pt idx="49">
                  <c:v>1140.5735459125838</c:v>
                </c:pt>
                <c:pt idx="50">
                  <c:v>1145.0061963867968</c:v>
                </c:pt>
              </c:numCache>
            </c:numRef>
          </c:val>
          <c:extLst>
            <c:ext xmlns:c16="http://schemas.microsoft.com/office/drawing/2014/chart" uri="{C3380CC4-5D6E-409C-BE32-E72D297353CC}">
              <c16:uniqueId val="{00000004-2E54-415E-99A8-BF04AA9686DA}"/>
            </c:ext>
          </c:extLst>
        </c:ser>
        <c:ser>
          <c:idx val="5"/>
          <c:order val="5"/>
          <c:tx>
            <c:strRef>
              <c:f>'Net zero emission summary'!$F$63</c:f>
              <c:strCache>
                <c:ptCount val="1"/>
                <c:pt idx="0">
                  <c:v>Liming</c:v>
                </c:pt>
              </c:strCache>
            </c:strRef>
          </c:tx>
          <c:spPr>
            <a:solidFill>
              <a:schemeClr val="accent6"/>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summary'!$I$63:$BQ$63</c15:sqref>
                  </c15:fullRef>
                </c:ext>
              </c:extLst>
              <c:f>'Net zero emission summary'!$S$63:$BQ$63</c:f>
              <c:numCache>
                <c:formatCode>General</c:formatCode>
                <c:ptCount val="51"/>
                <c:pt idx="0">
                  <c:v>378.2405</c:v>
                </c:pt>
                <c:pt idx="1">
                  <c:v>489.66362500000002</c:v>
                </c:pt>
                <c:pt idx="2">
                  <c:v>672.79437500000006</c:v>
                </c:pt>
                <c:pt idx="3">
                  <c:v>580.13175000000001</c:v>
                </c:pt>
                <c:pt idx="4">
                  <c:v>579.7403333333333</c:v>
                </c:pt>
                <c:pt idx="5">
                  <c:v>266.03683333333333</c:v>
                </c:pt>
                <c:pt idx="6">
                  <c:v>441.42908333333332</c:v>
                </c:pt>
                <c:pt idx="7">
                  <c:v>521.42108333333329</c:v>
                </c:pt>
                <c:pt idx="8">
                  <c:v>655.32637499999998</c:v>
                </c:pt>
                <c:pt idx="9">
                  <c:v>695.56775237855516</c:v>
                </c:pt>
                <c:pt idx="10">
                  <c:v>653.23730656422072</c:v>
                </c:pt>
                <c:pt idx="11">
                  <c:v>722.61220387104663</c:v>
                </c:pt>
                <c:pt idx="12">
                  <c:v>886.46691832724639</c:v>
                </c:pt>
                <c:pt idx="13">
                  <c:v>888.8539802377943</c:v>
                </c:pt>
                <c:pt idx="14">
                  <c:v>892.11591690555679</c:v>
                </c:pt>
                <c:pt idx="15">
                  <c:v>894.48365036682526</c:v>
                </c:pt>
                <c:pt idx="16">
                  <c:v>895.63671892685147</c:v>
                </c:pt>
                <c:pt idx="17">
                  <c:v>896.77480880606822</c:v>
                </c:pt>
                <c:pt idx="18">
                  <c:v>898.49646270469111</c:v>
                </c:pt>
                <c:pt idx="19">
                  <c:v>900.38142148545217</c:v>
                </c:pt>
                <c:pt idx="20">
                  <c:v>900.99830242057169</c:v>
                </c:pt>
                <c:pt idx="21">
                  <c:v>889.66719901995361</c:v>
                </c:pt>
                <c:pt idx="22">
                  <c:v>893.20175352101023</c:v>
                </c:pt>
                <c:pt idx="23">
                  <c:v>896.37958965851215</c:v>
                </c:pt>
                <c:pt idx="24">
                  <c:v>899.52796651639687</c:v>
                </c:pt>
                <c:pt idx="25">
                  <c:v>903.14197529554713</c:v>
                </c:pt>
                <c:pt idx="26">
                  <c:v>906.71675954110367</c:v>
                </c:pt>
                <c:pt idx="27">
                  <c:v>910.34114366574249</c:v>
                </c:pt>
                <c:pt idx="28">
                  <c:v>913.8112544636009</c:v>
                </c:pt>
                <c:pt idx="29">
                  <c:v>917.42968502221754</c:v>
                </c:pt>
                <c:pt idx="30">
                  <c:v>920.79096517926757</c:v>
                </c:pt>
                <c:pt idx="31">
                  <c:v>924.18223016555146</c:v>
                </c:pt>
                <c:pt idx="32">
                  <c:v>928.12851356454928</c:v>
                </c:pt>
                <c:pt idx="33">
                  <c:v>932.29458147366915</c:v>
                </c:pt>
                <c:pt idx="34">
                  <c:v>936.51320053616291</c:v>
                </c:pt>
                <c:pt idx="35">
                  <c:v>937.35041504811659</c:v>
                </c:pt>
                <c:pt idx="36">
                  <c:v>589.44115069085547</c:v>
                </c:pt>
                <c:pt idx="37">
                  <c:v>588.82564419868595</c:v>
                </c:pt>
                <c:pt idx="38">
                  <c:v>588.20365849957375</c:v>
                </c:pt>
                <c:pt idx="39">
                  <c:v>587.5751043341877</c:v>
                </c:pt>
                <c:pt idx="40">
                  <c:v>586.93989076430898</c:v>
                </c:pt>
                <c:pt idx="41">
                  <c:v>586.29792513092821</c:v>
                </c:pt>
                <c:pt idx="42">
                  <c:v>585.74764217221855</c:v>
                </c:pt>
                <c:pt idx="43">
                  <c:v>585.19236759087596</c:v>
                </c:pt>
                <c:pt idx="44">
                  <c:v>584.6320416605073</c:v>
                </c:pt>
                <c:pt idx="45">
                  <c:v>584.06660367487802</c:v>
                </c:pt>
                <c:pt idx="46">
                  <c:v>583.49599192657536</c:v>
                </c:pt>
                <c:pt idx="47">
                  <c:v>583.02281981030717</c:v>
                </c:pt>
                <c:pt idx="48">
                  <c:v>582.54607093944685</c:v>
                </c:pt>
                <c:pt idx="49">
                  <c:v>582.06570941053144</c:v>
                </c:pt>
                <c:pt idx="50">
                  <c:v>581.58169882431378</c:v>
                </c:pt>
              </c:numCache>
            </c:numRef>
          </c:val>
          <c:extLst>
            <c:ext xmlns:c16="http://schemas.microsoft.com/office/drawing/2014/chart" uri="{C3380CC4-5D6E-409C-BE32-E72D297353CC}">
              <c16:uniqueId val="{00000005-2E54-415E-99A8-BF04AA9686DA}"/>
            </c:ext>
          </c:extLst>
        </c:ser>
        <c:ser>
          <c:idx val="6"/>
          <c:order val="6"/>
          <c:tx>
            <c:strRef>
              <c:f>'Net zero emission summary'!$F$64</c:f>
              <c:strCache>
                <c:ptCount val="1"/>
                <c:pt idx="0">
                  <c:v>Urea</c:v>
                </c:pt>
              </c:strCache>
            </c:strRef>
          </c:tx>
          <c:spPr>
            <a:solidFill>
              <a:schemeClr val="accent1">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summary'!$I$64:$BQ$64</c15:sqref>
                  </c15:fullRef>
                </c:ext>
              </c:extLst>
              <c:f>'Net zero emission summary'!$S$64:$BQ$64</c:f>
              <c:numCache>
                <c:formatCode>General</c:formatCode>
                <c:ptCount val="51"/>
                <c:pt idx="0">
                  <c:v>297.31791253242642</c:v>
                </c:pt>
                <c:pt idx="1">
                  <c:v>317.95024703732088</c:v>
                </c:pt>
                <c:pt idx="2">
                  <c:v>338.58258154220977</c:v>
                </c:pt>
                <c:pt idx="3">
                  <c:v>359.21491604710423</c:v>
                </c:pt>
                <c:pt idx="4">
                  <c:v>435.89846666666671</c:v>
                </c:pt>
                <c:pt idx="5">
                  <c:v>355.08659999999998</c:v>
                </c:pt>
                <c:pt idx="6">
                  <c:v>393.08573333333334</c:v>
                </c:pt>
                <c:pt idx="7">
                  <c:v>484.55366666666663</c:v>
                </c:pt>
                <c:pt idx="8">
                  <c:v>480.19253333333336</c:v>
                </c:pt>
                <c:pt idx="9">
                  <c:v>380.54426666666666</c:v>
                </c:pt>
                <c:pt idx="10">
                  <c:v>501.48046666666664</c:v>
                </c:pt>
                <c:pt idx="11">
                  <c:v>571.19113333333337</c:v>
                </c:pt>
                <c:pt idx="12">
                  <c:v>470.0955092083982</c:v>
                </c:pt>
                <c:pt idx="13">
                  <c:v>470.03536519379952</c:v>
                </c:pt>
                <c:pt idx="14">
                  <c:v>469.95317798043089</c:v>
                </c:pt>
                <c:pt idx="15">
                  <c:v>469.89352096222319</c:v>
                </c:pt>
                <c:pt idx="16">
                  <c:v>469.86446843869999</c:v>
                </c:pt>
                <c:pt idx="17">
                  <c:v>469.83579331552539</c:v>
                </c:pt>
                <c:pt idx="18">
                  <c:v>469.79241481044551</c:v>
                </c:pt>
                <c:pt idx="19">
                  <c:v>469.7449217027355</c:v>
                </c:pt>
                <c:pt idx="20">
                  <c:v>469.72937887336718</c:v>
                </c:pt>
                <c:pt idx="21">
                  <c:v>470.01487546871522</c:v>
                </c:pt>
                <c:pt idx="22">
                  <c:v>469.92581942179322</c:v>
                </c:pt>
                <c:pt idx="23">
                  <c:v>469.84575119138754</c:v>
                </c:pt>
                <c:pt idx="24">
                  <c:v>469.76642521208788</c:v>
                </c:pt>
                <c:pt idx="25">
                  <c:v>469.67536724839931</c:v>
                </c:pt>
                <c:pt idx="26">
                  <c:v>469.58529757953056</c:v>
                </c:pt>
                <c:pt idx="27">
                  <c:v>469.49397820036393</c:v>
                </c:pt>
                <c:pt idx="28">
                  <c:v>469.40654586626169</c:v>
                </c:pt>
                <c:pt idx="29">
                  <c:v>469.31537649215352</c:v>
                </c:pt>
                <c:pt idx="30">
                  <c:v>469.23068623676357</c:v>
                </c:pt>
                <c:pt idx="31">
                  <c:v>469.14524048860676</c:v>
                </c:pt>
                <c:pt idx="32">
                  <c:v>469.04581058889983</c:v>
                </c:pt>
                <c:pt idx="33">
                  <c:v>468.94084303525642</c:v>
                </c:pt>
                <c:pt idx="34">
                  <c:v>468.83455141149926</c:v>
                </c:pt>
                <c:pt idx="35">
                  <c:v>468.81345709400091</c:v>
                </c:pt>
                <c:pt idx="36">
                  <c:v>477.57932101318937</c:v>
                </c:pt>
                <c:pt idx="37">
                  <c:v>477.59482921232205</c:v>
                </c:pt>
                <c:pt idx="38">
                  <c:v>477.61050066047437</c:v>
                </c:pt>
                <c:pt idx="39">
                  <c:v>477.6263376066097</c:v>
                </c:pt>
                <c:pt idx="40">
                  <c:v>477.64234234199222</c:v>
                </c:pt>
                <c:pt idx="41">
                  <c:v>477.658517201243</c:v>
                </c:pt>
                <c:pt idx="42">
                  <c:v>477.67238203908232</c:v>
                </c:pt>
                <c:pt idx="43">
                  <c:v>477.68637264501467</c:v>
                </c:pt>
                <c:pt idx="44">
                  <c:v>477.70049052389624</c:v>
                </c:pt>
                <c:pt idx="45">
                  <c:v>477.71473720527149</c:v>
                </c:pt>
                <c:pt idx="46">
                  <c:v>477.72911424390975</c:v>
                </c:pt>
                <c:pt idx="47">
                  <c:v>477.74103620979719</c:v>
                </c:pt>
                <c:pt idx="48">
                  <c:v>477.75304829499794</c:v>
                </c:pt>
                <c:pt idx="49">
                  <c:v>477.76515140412982</c:v>
                </c:pt>
                <c:pt idx="50">
                  <c:v>477.77734645430195</c:v>
                </c:pt>
              </c:numCache>
            </c:numRef>
          </c:val>
          <c:extLst>
            <c:ext xmlns:c16="http://schemas.microsoft.com/office/drawing/2014/chart" uri="{C3380CC4-5D6E-409C-BE32-E72D297353CC}">
              <c16:uniqueId val="{00000006-2E54-415E-99A8-BF04AA9686DA}"/>
            </c:ext>
          </c:extLst>
        </c:ser>
        <c:ser>
          <c:idx val="7"/>
          <c:order val="7"/>
          <c:tx>
            <c:strRef>
              <c:f>'Net zero emission summary'!$F$65</c:f>
              <c:strCache>
                <c:ptCount val="1"/>
                <c:pt idx="0">
                  <c:v>Direct N2O</c:v>
                </c:pt>
              </c:strCache>
            </c:strRef>
          </c:tx>
          <c:spPr>
            <a:solidFill>
              <a:schemeClr val="accent2">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summary'!$I$65:$BQ$65</c15:sqref>
                  </c15:fullRef>
                </c:ext>
              </c:extLst>
              <c:f>'Net zero emission summary'!$S$65:$BQ$65</c:f>
              <c:numCache>
                <c:formatCode>General</c:formatCode>
                <c:ptCount val="51"/>
                <c:pt idx="0">
                  <c:v>17021.790519603233</c:v>
                </c:pt>
                <c:pt idx="1">
                  <c:v>16558.862650160001</c:v>
                </c:pt>
                <c:pt idx="2">
                  <c:v>16957.948472333181</c:v>
                </c:pt>
                <c:pt idx="3">
                  <c:v>16769.907146505077</c:v>
                </c:pt>
                <c:pt idx="4">
                  <c:v>16584.658063779349</c:v>
                </c:pt>
                <c:pt idx="5">
                  <c:v>16201.588190693865</c:v>
                </c:pt>
                <c:pt idx="6">
                  <c:v>16229.541461457171</c:v>
                </c:pt>
                <c:pt idx="7">
                  <c:v>16847.135336493091</c:v>
                </c:pt>
                <c:pt idx="8">
                  <c:v>16894.02920900529</c:v>
                </c:pt>
                <c:pt idx="9">
                  <c:v>16779.254174947899</c:v>
                </c:pt>
                <c:pt idx="10">
                  <c:v>16465.845558736135</c:v>
                </c:pt>
                <c:pt idx="11">
                  <c:v>16468.339195121422</c:v>
                </c:pt>
                <c:pt idx="12">
                  <c:v>17234.31530267384</c:v>
                </c:pt>
                <c:pt idx="13">
                  <c:v>17196.188343074369</c:v>
                </c:pt>
                <c:pt idx="14">
                  <c:v>17089.874341770246</c:v>
                </c:pt>
                <c:pt idx="15">
                  <c:v>16891.51534186734</c:v>
                </c:pt>
                <c:pt idx="16">
                  <c:v>16700.676726259917</c:v>
                </c:pt>
                <c:pt idx="17">
                  <c:v>16563.164145336694</c:v>
                </c:pt>
                <c:pt idx="18">
                  <c:v>16443.609206621019</c:v>
                </c:pt>
                <c:pt idx="19">
                  <c:v>16235.51593180792</c:v>
                </c:pt>
                <c:pt idx="20">
                  <c:v>15210.663211639085</c:v>
                </c:pt>
                <c:pt idx="21">
                  <c:v>15184.89439965467</c:v>
                </c:pt>
                <c:pt idx="22">
                  <c:v>15148.165340057394</c:v>
                </c:pt>
                <c:pt idx="23">
                  <c:v>15110.15183150861</c:v>
                </c:pt>
                <c:pt idx="24">
                  <c:v>15102.780403130359</c:v>
                </c:pt>
                <c:pt idx="25">
                  <c:v>15093.391850285252</c:v>
                </c:pt>
                <c:pt idx="26">
                  <c:v>15084.052378520191</c:v>
                </c:pt>
                <c:pt idx="27">
                  <c:v>15064.953169818977</c:v>
                </c:pt>
                <c:pt idx="28">
                  <c:v>15054.904404086168</c:v>
                </c:pt>
                <c:pt idx="29">
                  <c:v>15028.847018243463</c:v>
                </c:pt>
                <c:pt idx="30">
                  <c:v>15004.345810300967</c:v>
                </c:pt>
                <c:pt idx="31">
                  <c:v>14990.928442917835</c:v>
                </c:pt>
                <c:pt idx="32">
                  <c:v>14988.660766628456</c:v>
                </c:pt>
                <c:pt idx="33">
                  <c:v>14986.884084304567</c:v>
                </c:pt>
                <c:pt idx="34">
                  <c:v>14782.983199947421</c:v>
                </c:pt>
                <c:pt idx="35">
                  <c:v>5332.7929011079386</c:v>
                </c:pt>
                <c:pt idx="36">
                  <c:v>5051.9618589123584</c:v>
                </c:pt>
                <c:pt idx="37">
                  <c:v>5058.1553422083798</c:v>
                </c:pt>
                <c:pt idx="38">
                  <c:v>5063.9464877183527</c:v>
                </c:pt>
                <c:pt idx="39">
                  <c:v>5069.3571090635332</c:v>
                </c:pt>
                <c:pt idx="40">
                  <c:v>5074.4076677230087</c:v>
                </c:pt>
                <c:pt idx="41">
                  <c:v>5106.1696443746096</c:v>
                </c:pt>
                <c:pt idx="42">
                  <c:v>5137.7229043267771</c:v>
                </c:pt>
                <c:pt idx="43">
                  <c:v>5168.9993008908332</c:v>
                </c:pt>
                <c:pt idx="44">
                  <c:v>5200.0109702933241</c:v>
                </c:pt>
                <c:pt idx="45">
                  <c:v>5230.769376366291</c:v>
                </c:pt>
                <c:pt idx="46">
                  <c:v>5259.5960344322248</c:v>
                </c:pt>
                <c:pt idx="47">
                  <c:v>5288.2322004006664</c:v>
                </c:pt>
                <c:pt idx="48">
                  <c:v>5316.6031408573972</c:v>
                </c:pt>
                <c:pt idx="49">
                  <c:v>5344.7182888555435</c:v>
                </c:pt>
                <c:pt idx="50">
                  <c:v>5372.5866062233918</c:v>
                </c:pt>
              </c:numCache>
            </c:numRef>
          </c:val>
          <c:extLst>
            <c:ext xmlns:c16="http://schemas.microsoft.com/office/drawing/2014/chart" uri="{C3380CC4-5D6E-409C-BE32-E72D297353CC}">
              <c16:uniqueId val="{00000007-2E54-415E-99A8-BF04AA9686DA}"/>
            </c:ext>
          </c:extLst>
        </c:ser>
        <c:ser>
          <c:idx val="8"/>
          <c:order val="8"/>
          <c:tx>
            <c:strRef>
              <c:f>'Net zero emission summary'!$F$66</c:f>
              <c:strCache>
                <c:ptCount val="1"/>
                <c:pt idx="0">
                  <c:v>Indirect N2O from MS</c:v>
                </c:pt>
              </c:strCache>
            </c:strRef>
          </c:tx>
          <c:spPr>
            <a:solidFill>
              <a:schemeClr val="accent3">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summary'!$I$66:$BQ$66</c15:sqref>
                  </c15:fullRef>
                </c:ext>
              </c:extLst>
              <c:f>'Net zero emission summary'!$S$66:$BQ$66</c:f>
              <c:numCache>
                <c:formatCode>General</c:formatCode>
                <c:ptCount val="51"/>
                <c:pt idx="0">
                  <c:v>2155.7364466862405</c:v>
                </c:pt>
                <c:pt idx="1">
                  <c:v>2118.7727412938139</c:v>
                </c:pt>
                <c:pt idx="2">
                  <c:v>2149.2536347032101</c:v>
                </c:pt>
                <c:pt idx="3">
                  <c:v>2127.4292286069426</c:v>
                </c:pt>
                <c:pt idx="4">
                  <c:v>2110.5878909746098</c:v>
                </c:pt>
                <c:pt idx="5">
                  <c:v>2072.1483225191987</c:v>
                </c:pt>
                <c:pt idx="6">
                  <c:v>2101.905941836299</c:v>
                </c:pt>
                <c:pt idx="7">
                  <c:v>2151.2208658093541</c:v>
                </c:pt>
                <c:pt idx="8">
                  <c:v>2156.0457121558738</c:v>
                </c:pt>
                <c:pt idx="9">
                  <c:v>2149.2138525216237</c:v>
                </c:pt>
                <c:pt idx="10">
                  <c:v>2105.3949279528888</c:v>
                </c:pt>
                <c:pt idx="11">
                  <c:v>2110.5059697888632</c:v>
                </c:pt>
                <c:pt idx="12">
                  <c:v>2060.9809092917803</c:v>
                </c:pt>
                <c:pt idx="13">
                  <c:v>2057.9697083137771</c:v>
                </c:pt>
                <c:pt idx="14">
                  <c:v>2046.6425698686694</c:v>
                </c:pt>
                <c:pt idx="15">
                  <c:v>2024.1352837109996</c:v>
                </c:pt>
                <c:pt idx="16">
                  <c:v>2002.7600912586975</c:v>
                </c:pt>
                <c:pt idx="17">
                  <c:v>1988.1116037068773</c:v>
                </c:pt>
                <c:pt idx="18">
                  <c:v>1975.716442182129</c:v>
                </c:pt>
                <c:pt idx="19">
                  <c:v>1952.3405431011215</c:v>
                </c:pt>
                <c:pt idx="20">
                  <c:v>1827.0537950139717</c:v>
                </c:pt>
                <c:pt idx="21">
                  <c:v>1829.6035256916837</c:v>
                </c:pt>
                <c:pt idx="22">
                  <c:v>1829.6292315490666</c:v>
                </c:pt>
                <c:pt idx="23">
                  <c:v>1829.5515051776101</c:v>
                </c:pt>
                <c:pt idx="24">
                  <c:v>1833.3975402388348</c:v>
                </c:pt>
                <c:pt idx="25">
                  <c:v>1836.9999886280327</c:v>
                </c:pt>
                <c:pt idx="26">
                  <c:v>1840.4326943271492</c:v>
                </c:pt>
                <c:pt idx="27">
                  <c:v>1842.6454110749564</c:v>
                </c:pt>
                <c:pt idx="28">
                  <c:v>1846.0688774024843</c:v>
                </c:pt>
                <c:pt idx="29">
                  <c:v>1847.4311462286396</c:v>
                </c:pt>
                <c:pt idx="30">
                  <c:v>1849.0285429802493</c:v>
                </c:pt>
                <c:pt idx="31">
                  <c:v>1849.2514106927863</c:v>
                </c:pt>
                <c:pt idx="32">
                  <c:v>1850.9003262986803</c:v>
                </c:pt>
                <c:pt idx="33">
                  <c:v>1852.6104372434656</c:v>
                </c:pt>
                <c:pt idx="34">
                  <c:v>1827.8151795383662</c:v>
                </c:pt>
                <c:pt idx="35">
                  <c:v>588.86481466793407</c:v>
                </c:pt>
                <c:pt idx="36">
                  <c:v>582.64609965095258</c:v>
                </c:pt>
                <c:pt idx="37">
                  <c:v>584.22917607021236</c:v>
                </c:pt>
                <c:pt idx="38">
                  <c:v>585.79964300428253</c:v>
                </c:pt>
                <c:pt idx="39">
                  <c:v>587.35916655421738</c:v>
                </c:pt>
                <c:pt idx="40">
                  <c:v>588.90932107258311</c:v>
                </c:pt>
                <c:pt idx="41">
                  <c:v>592.6560884258032</c:v>
                </c:pt>
                <c:pt idx="42">
                  <c:v>596.39826598109687</c:v>
                </c:pt>
                <c:pt idx="43">
                  <c:v>600.13428279715424</c:v>
                </c:pt>
                <c:pt idx="44">
                  <c:v>603.86481373474385</c:v>
                </c:pt>
                <c:pt idx="45">
                  <c:v>607.59050215522927</c:v>
                </c:pt>
                <c:pt idx="46">
                  <c:v>610.9380851068953</c:v>
                </c:pt>
                <c:pt idx="47">
                  <c:v>614.27861156769279</c:v>
                </c:pt>
                <c:pt idx="48">
                  <c:v>617.61023225199244</c:v>
                </c:pt>
                <c:pt idx="49">
                  <c:v>620.93345687832459</c:v>
                </c:pt>
                <c:pt idx="50">
                  <c:v>624.24877289064693</c:v>
                </c:pt>
              </c:numCache>
            </c:numRef>
          </c:val>
          <c:extLst>
            <c:ext xmlns:c16="http://schemas.microsoft.com/office/drawing/2014/chart" uri="{C3380CC4-5D6E-409C-BE32-E72D297353CC}">
              <c16:uniqueId val="{00000008-2E54-415E-99A8-BF04AA9686DA}"/>
            </c:ext>
          </c:extLst>
        </c:ser>
        <c:ser>
          <c:idx val="9"/>
          <c:order val="9"/>
          <c:tx>
            <c:strRef>
              <c:f>'Net zero emission summary'!$F$67</c:f>
              <c:strCache>
                <c:ptCount val="1"/>
                <c:pt idx="0">
                  <c:v>Indirect N2O from MM</c:v>
                </c:pt>
              </c:strCache>
            </c:strRef>
          </c:tx>
          <c:spPr>
            <a:solidFill>
              <a:schemeClr val="accent4">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summary'!$I$67:$BQ$67</c15:sqref>
                  </c15:fullRef>
                </c:ext>
              </c:extLst>
              <c:f>'Net zero emission summary'!$S$67:$BQ$67</c:f>
              <c:numCache>
                <c:formatCode>General</c:formatCode>
                <c:ptCount val="51"/>
                <c:pt idx="0">
                  <c:v>416.19353174110165</c:v>
                </c:pt>
                <c:pt idx="1">
                  <c:v>413.8758977418791</c:v>
                </c:pt>
                <c:pt idx="2">
                  <c:v>402.12489933360166</c:v>
                </c:pt>
                <c:pt idx="3">
                  <c:v>382.08437212452515</c:v>
                </c:pt>
                <c:pt idx="4">
                  <c:v>379.738143309794</c:v>
                </c:pt>
                <c:pt idx="5">
                  <c:v>398.98840509467396</c:v>
                </c:pt>
                <c:pt idx="6">
                  <c:v>404.11898883233295</c:v>
                </c:pt>
                <c:pt idx="7">
                  <c:v>412.20171589966418</c:v>
                </c:pt>
                <c:pt idx="8">
                  <c:v>446.09004051714021</c:v>
                </c:pt>
                <c:pt idx="9">
                  <c:v>443.47274862625261</c:v>
                </c:pt>
                <c:pt idx="10">
                  <c:v>446.04525464561482</c:v>
                </c:pt>
                <c:pt idx="11">
                  <c:v>451.47082982836986</c:v>
                </c:pt>
                <c:pt idx="12">
                  <c:v>466.79773129071555</c:v>
                </c:pt>
                <c:pt idx="13">
                  <c:v>472.24760180276684</c:v>
                </c:pt>
                <c:pt idx="14">
                  <c:v>474.81619568240438</c:v>
                </c:pt>
                <c:pt idx="15">
                  <c:v>473.36007800468235</c:v>
                </c:pt>
                <c:pt idx="16">
                  <c:v>472.06518231426617</c:v>
                </c:pt>
                <c:pt idx="17">
                  <c:v>472.97758730787314</c:v>
                </c:pt>
                <c:pt idx="18">
                  <c:v>474.6349295201324</c:v>
                </c:pt>
                <c:pt idx="19">
                  <c:v>472.08129188563532</c:v>
                </c:pt>
                <c:pt idx="20">
                  <c:v>430.08913272981164</c:v>
                </c:pt>
                <c:pt idx="21">
                  <c:v>437.6861450466792</c:v>
                </c:pt>
                <c:pt idx="22">
                  <c:v>444.28136200166728</c:v>
                </c:pt>
                <c:pt idx="23">
                  <c:v>450.92305594769965</c:v>
                </c:pt>
                <c:pt idx="24">
                  <c:v>459.25445479378772</c:v>
                </c:pt>
                <c:pt idx="25">
                  <c:v>467.62238801610135</c:v>
                </c:pt>
                <c:pt idx="26">
                  <c:v>476.40189483372899</c:v>
                </c:pt>
                <c:pt idx="27">
                  <c:v>484.81959555984906</c:v>
                </c:pt>
                <c:pt idx="28">
                  <c:v>493.91193877537575</c:v>
                </c:pt>
                <c:pt idx="29">
                  <c:v>502.27011380991507</c:v>
                </c:pt>
                <c:pt idx="30">
                  <c:v>510.88695094997445</c:v>
                </c:pt>
                <c:pt idx="31">
                  <c:v>521.75988523067542</c:v>
                </c:pt>
                <c:pt idx="32">
                  <c:v>533.64938399930281</c:v>
                </c:pt>
                <c:pt idx="33">
                  <c:v>545.97414157171659</c:v>
                </c:pt>
                <c:pt idx="34">
                  <c:v>545.88995867239851</c:v>
                </c:pt>
                <c:pt idx="35">
                  <c:v>-55.438851228511126</c:v>
                </c:pt>
                <c:pt idx="36">
                  <c:v>-55.409421338350306</c:v>
                </c:pt>
                <c:pt idx="37">
                  <c:v>-55.391885839492112</c:v>
                </c:pt>
                <c:pt idx="38">
                  <c:v>-55.385676862160537</c:v>
                </c:pt>
                <c:pt idx="39">
                  <c:v>-55.390270199603435</c:v>
                </c:pt>
                <c:pt idx="40">
                  <c:v>-55.405181103974208</c:v>
                </c:pt>
                <c:pt idx="41">
                  <c:v>-55.318318976403994</c:v>
                </c:pt>
                <c:pt idx="42">
                  <c:v>-55.240958699136876</c:v>
                </c:pt>
                <c:pt idx="43">
                  <c:v>-55.172677763979813</c:v>
                </c:pt>
                <c:pt idx="44">
                  <c:v>-55.113082413733387</c:v>
                </c:pt>
                <c:pt idx="45">
                  <c:v>-55.061805164529432</c:v>
                </c:pt>
                <c:pt idx="46">
                  <c:v>-54.917165234570398</c:v>
                </c:pt>
                <c:pt idx="47">
                  <c:v>-54.780813725090503</c:v>
                </c:pt>
                <c:pt idx="48">
                  <c:v>-54.652413269876774</c:v>
                </c:pt>
                <c:pt idx="49">
                  <c:v>-54.531647073222899</c:v>
                </c:pt>
                <c:pt idx="50">
                  <c:v>-54.418217310343763</c:v>
                </c:pt>
              </c:numCache>
            </c:numRef>
          </c:val>
          <c:extLst>
            <c:ext xmlns:c16="http://schemas.microsoft.com/office/drawing/2014/chart" uri="{C3380CC4-5D6E-409C-BE32-E72D297353CC}">
              <c16:uniqueId val="{00000009-2E54-415E-99A8-BF04AA9686DA}"/>
            </c:ext>
          </c:extLst>
        </c:ser>
        <c:dLbls>
          <c:showLegendKey val="0"/>
          <c:showVal val="0"/>
          <c:showCatName val="0"/>
          <c:showSerName val="0"/>
          <c:showPercent val="0"/>
          <c:showBubbleSize val="0"/>
        </c:dLbls>
        <c:axId val="1213528255"/>
        <c:axId val="1213537823"/>
      </c:areaChart>
      <c:catAx>
        <c:axId val="12135282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37823"/>
        <c:crosses val="autoZero"/>
        <c:auto val="1"/>
        <c:lblAlgn val="ctr"/>
        <c:lblOffset val="100"/>
        <c:noMultiLvlLbl val="0"/>
      </c:catAx>
      <c:valAx>
        <c:axId val="1213537823"/>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a:t>
                </a:r>
                <a:r>
                  <a:rPr lang="en-US" sz="1200" b="1" baseline="-25000">
                    <a:solidFill>
                      <a:sysClr val="windowText" lastClr="000000"/>
                    </a:solidFill>
                  </a:rPr>
                  <a:t>2</a:t>
                </a:r>
                <a:r>
                  <a:rPr lang="en-US" sz="1200" b="1">
                    <a:solidFill>
                      <a:sysClr val="windowText" lastClr="000000"/>
                    </a:solidFill>
                  </a:rPr>
                  <a:t>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28255"/>
        <c:crosses val="autoZero"/>
        <c:crossBetween val="midCat"/>
      </c:valAx>
      <c:spPr>
        <a:noFill/>
        <a:ln>
          <a:solidFill>
            <a:schemeClr val="bg1">
              <a:lumMod val="50000"/>
            </a:schemeClr>
          </a:solidFill>
        </a:ln>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29730566521008"/>
          <c:y val="3.7734511789503676E-2"/>
          <c:w val="0.82212000309612776"/>
          <c:h val="0.70886559008750671"/>
        </c:manualLayout>
      </c:layout>
      <c:lineChart>
        <c:grouping val="standard"/>
        <c:varyColors val="0"/>
        <c:ser>
          <c:idx val="1"/>
          <c:order val="1"/>
          <c:tx>
            <c:strRef>
              <c:f>'Net zero emission summary'!$H$72</c:f>
              <c:strCache>
                <c:ptCount val="1"/>
                <c:pt idx="0">
                  <c:v>Aggregated non-CO2 emissions (modelled)</c:v>
                </c:pt>
              </c:strCache>
            </c:strRef>
          </c:tx>
          <c:spPr>
            <a:ln w="28575" cap="rnd">
              <a:solidFill>
                <a:srgbClr val="00B0F0"/>
              </a:solidFill>
              <a:round/>
            </a:ln>
            <a:effectLst/>
          </c:spPr>
          <c:marker>
            <c:symbol val="none"/>
          </c:marker>
          <c:cat>
            <c:numRef>
              <c:extLst>
                <c:ext xmlns:c15="http://schemas.microsoft.com/office/drawing/2012/chart" uri="{02D57815-91ED-43cb-92C2-25804820EDAC}">
                  <c15:fullRef>
                    <c15:sqref>'Net zero emission summary'!$I$70:$AJ$70</c15:sqref>
                  </c15:fullRef>
                </c:ext>
              </c:extLst>
              <c:f>'Net zero emission summary'!$AC$70:$AJ$70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summary'!$I$72:$AJ$72</c15:sqref>
                  </c15:fullRef>
                </c:ext>
              </c:extLst>
              <c:f>'Net zero emission summary'!$AC$72:$AJ$72</c:f>
              <c:numCache>
                <c:formatCode>General</c:formatCode>
                <c:ptCount val="8"/>
                <c:pt idx="0">
                  <c:v>22400.815411577827</c:v>
                </c:pt>
                <c:pt idx="1">
                  <c:v>22528.596906718252</c:v>
                </c:pt>
                <c:pt idx="2">
                  <c:v>22992.959698206956</c:v>
                </c:pt>
                <c:pt idx="3">
                  <c:v>23036.132422452658</c:v>
                </c:pt>
                <c:pt idx="4">
                  <c:v>22901.315582132636</c:v>
                </c:pt>
                <c:pt idx="5">
                  <c:v>22660.106236692576</c:v>
                </c:pt>
                <c:pt idx="6">
                  <c:v>22467.396603154113</c:v>
                </c:pt>
                <c:pt idx="7">
                  <c:v>22334.902158843899</c:v>
                </c:pt>
              </c:numCache>
            </c:numRef>
          </c:val>
          <c:smooth val="0"/>
          <c:extLst xmlns:c15="http://schemas.microsoft.com/office/drawing/2012/chart">
            <c:ext xmlns:c16="http://schemas.microsoft.com/office/drawing/2014/chart" uri="{C3380CC4-5D6E-409C-BE32-E72D297353CC}">
              <c16:uniqueId val="{00000000-C282-480E-B567-DCC5DF50CC03}"/>
            </c:ext>
          </c:extLst>
        </c:ser>
        <c:ser>
          <c:idx val="4"/>
          <c:order val="4"/>
          <c:tx>
            <c:strRef>
              <c:f>'Net zero emission summary'!$H$75</c:f>
              <c:strCache>
                <c:ptCount val="1"/>
                <c:pt idx="0">
                  <c:v>Aggregated non-CO2 emissions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'Net zero emission summary'!$I$70:$AJ$70</c15:sqref>
                  </c15:fullRef>
                </c:ext>
              </c:extLst>
              <c:f>'Net zero emission summary'!$AC$70:$AJ$70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summary'!$I$75:$AJ$75</c15:sqref>
                  </c15:fullRef>
                </c:ext>
              </c:extLst>
              <c:f>'Net zero emission summary'!$AC$75:$AJ$75</c:f>
              <c:numCache>
                <c:formatCode>General</c:formatCode>
                <c:ptCount val="8"/>
                <c:pt idx="0">
                  <c:v>25130.517014652847</c:v>
                </c:pt>
                <c:pt idx="1">
                  <c:v>25304.85592670933</c:v>
                </c:pt>
                <c:pt idx="2">
                  <c:v>24407.03698205229</c:v>
                </c:pt>
                <c:pt idx="3">
                  <c:v>25679.803908205235</c:v>
                </c:pt>
                <c:pt idx="4">
                  <c:v>25935.14594405461</c:v>
                </c:pt>
                <c:pt idx="5">
                  <c:v>24944.276967369409</c:v>
                </c:pt>
                <c:pt idx="6">
                  <c:v>23249.801068831042</c:v>
                </c:pt>
                <c:pt idx="7">
                  <c:v>23515.861940250066</c:v>
                </c:pt>
              </c:numCache>
            </c:numRef>
          </c:val>
          <c:smooth val="0"/>
          <c:extLst xmlns:c15="http://schemas.microsoft.com/office/drawing/2012/chart">
            <c:ext xmlns:c16="http://schemas.microsoft.com/office/drawing/2014/chart" uri="{C3380CC4-5D6E-409C-BE32-E72D297353CC}">
              <c16:uniqueId val="{00000001-C282-480E-B567-DCC5DF50CC03}"/>
            </c:ext>
          </c:extLst>
        </c:ser>
        <c:ser>
          <c:idx val="7"/>
          <c:order val="7"/>
          <c:tx>
            <c:strRef>
              <c:f>'Net zero emission summary'!$H$78</c:f>
              <c:strCache>
                <c:ptCount val="1"/>
                <c:pt idx="0">
                  <c:v>Aggregated non-CO2 emissions (corrected 2017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'Net zero emission summary'!$I$70:$AJ$70</c15:sqref>
                  </c15:fullRef>
                </c:ext>
              </c:extLst>
              <c:f>'Net zero emission summary'!$AC$70:$AJ$70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summary'!$I$78:$AJ$78</c15:sqref>
                  </c15:fullRef>
                </c:ext>
              </c:extLst>
              <c:f>'Net zero emission summary'!$AC$78:$AJ$78</c:f>
              <c:numCache>
                <c:formatCode>General</c:formatCode>
                <c:ptCount val="8"/>
                <c:pt idx="0">
                  <c:v>23986.77417374069</c:v>
                </c:pt>
                <c:pt idx="1">
                  <c:v>24215.606096707954</c:v>
                </c:pt>
                <c:pt idx="2">
                  <c:v>23466.796841445379</c:v>
                </c:pt>
                <c:pt idx="3">
                  <c:v>24452.726550481024</c:v>
                </c:pt>
                <c:pt idx="4">
                  <c:v>24798.187695034216</c:v>
                </c:pt>
                <c:pt idx="5">
                  <c:v>23781.729632572271</c:v>
                </c:pt>
                <c:pt idx="6">
                  <c:v>22214.078479972708</c:v>
                </c:pt>
                <c:pt idx="7">
                  <c:v>22369.490596120992</c:v>
                </c:pt>
              </c:numCache>
            </c:numRef>
          </c:val>
          <c:smooth val="0"/>
          <c:extLst xmlns:c15="http://schemas.microsoft.com/office/drawing/2012/chart">
            <c:ext xmlns:c16="http://schemas.microsoft.com/office/drawing/2014/chart" uri="{C3380CC4-5D6E-409C-BE32-E72D297353CC}">
              <c16:uniqueId val="{00000002-C282-480E-B567-DCC5DF50CC03}"/>
            </c:ext>
          </c:extLst>
        </c:ser>
        <c:dLbls>
          <c:showLegendKey val="0"/>
          <c:showVal val="0"/>
          <c:showCatName val="0"/>
          <c:showSerName val="0"/>
          <c:showPercent val="0"/>
          <c:showBubbleSize val="0"/>
        </c:dLbls>
        <c:smooth val="0"/>
        <c:axId val="453903840"/>
        <c:axId val="453912160"/>
        <c:extLst>
          <c:ext xmlns:c15="http://schemas.microsoft.com/office/drawing/2012/chart" uri="{02D57815-91ED-43cb-92C2-25804820EDAC}">
            <c15:filteredLineSeries>
              <c15:ser>
                <c:idx val="0"/>
                <c:order val="0"/>
                <c:tx>
                  <c:strRef>
                    <c:extLst>
                      <c:ext uri="{02D57815-91ED-43cb-92C2-25804820EDAC}">
                        <c15:formulaRef>
                          <c15:sqref>'Net zero emission summary'!$H$71</c15:sqref>
                        </c15:formulaRef>
                      </c:ext>
                    </c:extLst>
                    <c:strCache>
                      <c:ptCount val="1"/>
                      <c:pt idx="0">
                        <c:v>Livestock emissions (modelled)</c:v>
                      </c:pt>
                    </c:strCache>
                  </c:strRef>
                </c:tx>
                <c:spPr>
                  <a:ln w="28575" cap="rnd">
                    <a:solidFill>
                      <a:srgbClr val="00B0F0"/>
                    </a:solidFill>
                    <a:round/>
                  </a:ln>
                  <a:effectLst/>
                </c:spPr>
                <c:marker>
                  <c:symbol val="none"/>
                </c:marker>
                <c:cat>
                  <c:numRef>
                    <c:extLst>
                      <c:ex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uri="{02D57815-91ED-43cb-92C2-25804820EDAC}">
                        <c15:fullRef>
                          <c15:sqref>'Net zero emission summary'!$I$71:$AJ$71</c15:sqref>
                        </c15:fullRef>
                        <c15:formulaRef>
                          <c15:sqref>'Net zero emission summary'!$AC$71:$AJ$71</c15:sqref>
                        </c15:formulaRef>
                      </c:ext>
                    </c:extLst>
                    <c:numCache>
                      <c:formatCode>General</c:formatCode>
                      <c:ptCount val="8"/>
                      <c:pt idx="0">
                        <c:v>27614.256694686857</c:v>
                      </c:pt>
                      <c:pt idx="1">
                        <c:v>27581.637898711942</c:v>
                      </c:pt>
                      <c:pt idx="2">
                        <c:v>27155.969480684591</c:v>
                      </c:pt>
                      <c:pt idx="3">
                        <c:v>27115.025448238906</c:v>
                      </c:pt>
                      <c:pt idx="4">
                        <c:v>26924.570489096619</c:v>
                      </c:pt>
                      <c:pt idx="5">
                        <c:v>26534.658847024133</c:v>
                      </c:pt>
                      <c:pt idx="6">
                        <c:v>26161.744037468463</c:v>
                      </c:pt>
                      <c:pt idx="7">
                        <c:v>25904.142389651493</c:v>
                      </c:pt>
                    </c:numCache>
                  </c:numRef>
                </c:val>
                <c:smooth val="0"/>
                <c:extLst>
                  <c:ext xmlns:c16="http://schemas.microsoft.com/office/drawing/2014/chart" uri="{C3380CC4-5D6E-409C-BE32-E72D297353CC}">
                    <c16:uniqueId val="{00000003-C282-480E-B567-DCC5DF50CC03}"/>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'Net zero emission summary'!$H$73</c15:sqref>
                        </c15:formulaRef>
                      </c:ext>
                    </c:extLst>
                    <c:strCache>
                      <c:ptCount val="1"/>
                      <c:pt idx="0">
                        <c:v>Total agriculture (model)</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summary'!$I$73:$AJ$73</c15:sqref>
                        </c15:fullRef>
                        <c15:formulaRef>
                          <c15:sqref>'Net zero emission summary'!$AC$73:$AJ$73</c15:sqref>
                        </c15:formulaRef>
                      </c:ext>
                    </c:extLst>
                    <c:numCache>
                      <c:formatCode>General</c:formatCode>
                      <c:ptCount val="8"/>
                      <c:pt idx="0">
                        <c:v>50015.072106264684</c:v>
                      </c:pt>
                      <c:pt idx="1">
                        <c:v>50110.234805430198</c:v>
                      </c:pt>
                      <c:pt idx="2">
                        <c:v>50148.929178891543</c:v>
                      </c:pt>
                      <c:pt idx="3">
                        <c:v>50151.157870691561</c:v>
                      </c:pt>
                      <c:pt idx="4">
                        <c:v>49825.886071229252</c:v>
                      </c:pt>
                      <c:pt idx="5">
                        <c:v>49194.765083716709</c:v>
                      </c:pt>
                      <c:pt idx="6">
                        <c:v>48629.140640622572</c:v>
                      </c:pt>
                      <c:pt idx="7">
                        <c:v>48239.044548495396</c:v>
                      </c:pt>
                    </c:numCache>
                  </c:numRef>
                </c:val>
                <c:smooth val="0"/>
                <c:extLst xmlns:c15="http://schemas.microsoft.com/office/drawing/2012/chart">
                  <c:ext xmlns:c16="http://schemas.microsoft.com/office/drawing/2014/chart" uri="{C3380CC4-5D6E-409C-BE32-E72D297353CC}">
                    <c16:uniqueId val="{00000004-C282-480E-B567-DCC5DF50CC03}"/>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'Net zero emission summary'!$H$74</c15:sqref>
                        </c15:formulaRef>
                      </c:ext>
                    </c:extLst>
                    <c:strCache>
                      <c:ptCount val="1"/>
                      <c:pt idx="0">
                        <c:v>Livestock emissions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summary'!$I$74:$AJ$74</c15:sqref>
                        </c15:fullRef>
                        <c15:formulaRef>
                          <c15:sqref>'Net zero emission summary'!$AC$74:$AJ$74</c15:sqref>
                        </c15:formulaRef>
                      </c:ext>
                    </c:extLst>
                    <c:numCache>
                      <c:formatCode>General</c:formatCode>
                      <c:ptCount val="8"/>
                      <c:pt idx="0">
                        <c:v>29466.291233402069</c:v>
                      </c:pt>
                      <c:pt idx="1">
                        <c:v>29540.386989025857</c:v>
                      </c:pt>
                      <c:pt idx="2">
                        <c:v>28765.723679034749</c:v>
                      </c:pt>
                      <c:pt idx="3">
                        <c:v>29976.162007053368</c:v>
                      </c:pt>
                      <c:pt idx="4">
                        <c:v>29854.259774176113</c:v>
                      </c:pt>
                      <c:pt idx="5">
                        <c:v>29764.794009191111</c:v>
                      </c:pt>
                      <c:pt idx="6">
                        <c:v>28493.468307353363</c:v>
                      </c:pt>
                      <c:pt idx="7">
                        <c:v>28161.291437902692</c:v>
                      </c:pt>
                    </c:numCache>
                  </c:numRef>
                </c:val>
                <c:smooth val="0"/>
                <c:extLst xmlns:c15="http://schemas.microsoft.com/office/drawing/2012/chart">
                  <c:ext xmlns:c16="http://schemas.microsoft.com/office/drawing/2014/chart" uri="{C3380CC4-5D6E-409C-BE32-E72D297353CC}">
                    <c16:uniqueId val="{00000005-C282-480E-B567-DCC5DF50CC03}"/>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'Net zero emission summary'!$H$76</c15:sqref>
                        </c15:formulaRef>
                      </c:ext>
                    </c:extLst>
                    <c:strCache>
                      <c:ptCount val="1"/>
                      <c:pt idx="0">
                        <c:v>Total agricuture (original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summary'!$I$76:$AJ$76</c15:sqref>
                        </c15:fullRef>
                        <c15:formulaRef>
                          <c15:sqref>'Net zero emission summary'!$AC$76:$AJ$76</c15:sqref>
                        </c15:formulaRef>
                      </c:ext>
                    </c:extLst>
                    <c:numCache>
                      <c:formatCode>General</c:formatCode>
                      <c:ptCount val="8"/>
                      <c:pt idx="0">
                        <c:v>54596.80824805492</c:v>
                      </c:pt>
                      <c:pt idx="1">
                        <c:v>54845.242915735187</c:v>
                      </c:pt>
                      <c:pt idx="2">
                        <c:v>53172.760661087043</c:v>
                      </c:pt>
                      <c:pt idx="3">
                        <c:v>55655.965915258603</c:v>
                      </c:pt>
                      <c:pt idx="4">
                        <c:v>55789.405718230722</c:v>
                      </c:pt>
                      <c:pt idx="5">
                        <c:v>54709.070976560521</c:v>
                      </c:pt>
                      <c:pt idx="6">
                        <c:v>51743.269376184406</c:v>
                      </c:pt>
                      <c:pt idx="7">
                        <c:v>51677.153378152754</c:v>
                      </c:pt>
                    </c:numCache>
                  </c:numRef>
                </c:val>
                <c:smooth val="0"/>
                <c:extLst xmlns:c15="http://schemas.microsoft.com/office/drawing/2012/chart">
                  <c:ext xmlns:c16="http://schemas.microsoft.com/office/drawing/2014/chart" uri="{C3380CC4-5D6E-409C-BE32-E72D297353CC}">
                    <c16:uniqueId val="{00000006-C282-480E-B567-DCC5DF50CC03}"/>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'Net zero emission summary'!$H$77</c15:sqref>
                        </c15:formulaRef>
                      </c:ext>
                    </c:extLst>
                    <c:strCache>
                      <c:ptCount val="1"/>
                      <c:pt idx="0">
                        <c:v>Livestock emissions (corrected 2017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summary'!$I$77:$AJ$77</c15:sqref>
                        </c15:fullRef>
                        <c15:formulaRef>
                          <c15:sqref>'Net zero emission summary'!$AC$77:$AJ$77</c15:sqref>
                        </c15:formulaRef>
                      </c:ext>
                    </c:extLst>
                    <c:numCache>
                      <c:formatCode>General</c:formatCode>
                      <c:ptCount val="8"/>
                      <c:pt idx="0">
                        <c:v>27664.377940114457</c:v>
                      </c:pt>
                      <c:pt idx="1">
                        <c:v>27801.534910949355</c:v>
                      </c:pt>
                      <c:pt idx="2">
                        <c:v>27190.794316586092</c:v>
                      </c:pt>
                      <c:pt idx="3">
                        <c:v>28125.443821791141</c:v>
                      </c:pt>
                      <c:pt idx="4">
                        <c:v>28132.073619111641</c:v>
                      </c:pt>
                      <c:pt idx="5">
                        <c:v>28022.596440230893</c:v>
                      </c:pt>
                      <c:pt idx="6">
                        <c:v>26770.512864029439</c:v>
                      </c:pt>
                      <c:pt idx="7">
                        <c:v>26272.330661039257</c:v>
                      </c:pt>
                    </c:numCache>
                  </c:numRef>
                </c:val>
                <c:smooth val="0"/>
                <c:extLst xmlns:c15="http://schemas.microsoft.com/office/drawing/2012/chart">
                  <c:ext xmlns:c16="http://schemas.microsoft.com/office/drawing/2014/chart" uri="{C3380CC4-5D6E-409C-BE32-E72D297353CC}">
                    <c16:uniqueId val="{00000007-C282-480E-B567-DCC5DF50CC03}"/>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'Net zero emission summary'!$H$79</c15:sqref>
                        </c15:formulaRef>
                      </c:ext>
                    </c:extLst>
                    <c:strCache>
                      <c:ptCount val="1"/>
                      <c:pt idx="0">
                        <c:v>Total agricuture (corrected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summary'!$I$79:$AJ$79</c15:sqref>
                        </c15:fullRef>
                        <c15:formulaRef>
                          <c15:sqref>'Net zero emission summary'!$AC$79:$AJ$79</c15:sqref>
                        </c15:formulaRef>
                      </c:ext>
                    </c:extLst>
                    <c:numCache>
                      <c:formatCode>General</c:formatCode>
                      <c:ptCount val="8"/>
                      <c:pt idx="0">
                        <c:v>51651.152113855147</c:v>
                      </c:pt>
                      <c:pt idx="1">
                        <c:v>52017.141007657308</c:v>
                      </c:pt>
                      <c:pt idx="2">
                        <c:v>50657.591158031471</c:v>
                      </c:pt>
                      <c:pt idx="3">
                        <c:v>52578.170372272165</c:v>
                      </c:pt>
                      <c:pt idx="4">
                        <c:v>52930.261314145857</c:v>
                      </c:pt>
                      <c:pt idx="5">
                        <c:v>51804.32607280316</c:v>
                      </c:pt>
                      <c:pt idx="6">
                        <c:v>48984.591344002147</c:v>
                      </c:pt>
                      <c:pt idx="7">
                        <c:v>48641.821257160249</c:v>
                      </c:pt>
                    </c:numCache>
                  </c:numRef>
                </c:val>
                <c:smooth val="0"/>
                <c:extLst xmlns:c15="http://schemas.microsoft.com/office/drawing/2012/chart">
                  <c:ext xmlns:c16="http://schemas.microsoft.com/office/drawing/2014/chart" uri="{C3380CC4-5D6E-409C-BE32-E72D297353CC}">
                    <c16:uniqueId val="{00000008-C282-480E-B567-DCC5DF50CC03}"/>
                  </c:ext>
                </c:extLst>
              </c15:ser>
            </c15:filteredLineSeries>
          </c:ext>
        </c:extLst>
      </c:lineChart>
      <c:catAx>
        <c:axId val="453903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12160"/>
        <c:crosses val="autoZero"/>
        <c:auto val="1"/>
        <c:lblAlgn val="ctr"/>
        <c:lblOffset val="100"/>
        <c:noMultiLvlLbl val="0"/>
      </c:catAx>
      <c:valAx>
        <c:axId val="453912160"/>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(GgCo2e)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03840"/>
        <c:crosses val="autoZero"/>
        <c:crossBetween val="between"/>
      </c:valAx>
      <c:spPr>
        <a:noFill/>
        <a:ln>
          <a:solidFill>
            <a:schemeClr val="bg1">
              <a:lumMod val="50000"/>
            </a:schemeClr>
          </a:solidFill>
        </a:ln>
        <a:effectLst/>
      </c:spPr>
    </c:plotArea>
    <c:legend>
      <c:legendPos val="b"/>
      <c:layout>
        <c:manualLayout>
          <c:xMode val="edge"/>
          <c:yMode val="edge"/>
          <c:x val="0.11455250399330111"/>
          <c:y val="0.8499483744397186"/>
          <c:w val="0.85847304609712005"/>
          <c:h val="0.13168194219142609"/>
        </c:manualLayout>
      </c:layout>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'Net zero emission summary'!$H$118</c:f>
              <c:strCache>
                <c:ptCount val="1"/>
                <c:pt idx="0">
                  <c:v>Direct N2O</c:v>
                </c:pt>
              </c:strCache>
            </c:strRef>
          </c:tx>
          <c:spPr>
            <a:ln w="28575" cap="rnd">
              <a:solidFill>
                <a:schemeClr val="accent5"/>
              </a:solidFill>
              <a:round/>
            </a:ln>
            <a:effectLst/>
          </c:spPr>
          <c:marker>
            <c:symbol val="none"/>
          </c:marker>
          <c:cat>
            <c:numRef>
              <c:f>'Net zero emission summary'!$I$113:$AJ$113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'Net zero emission summary'!$I$118:$AJ$118</c:f>
              <c:numCache>
                <c:formatCode>General</c:formatCode>
                <c:ptCount val="28"/>
                <c:pt idx="0">
                  <c:v>19504.904423790304</c:v>
                </c:pt>
                <c:pt idx="1">
                  <c:v>20660.917389673377</c:v>
                </c:pt>
                <c:pt idx="2">
                  <c:v>20413.635505827424</c:v>
                </c:pt>
                <c:pt idx="3">
                  <c:v>20401.840953256564</c:v>
                </c:pt>
                <c:pt idx="4">
                  <c:v>20005.189321068094</c:v>
                </c:pt>
                <c:pt idx="5">
                  <c:v>19413.178172066404</c:v>
                </c:pt>
                <c:pt idx="6">
                  <c:v>20236.165839433314</c:v>
                </c:pt>
                <c:pt idx="7">
                  <c:v>20567.076909773743</c:v>
                </c:pt>
                <c:pt idx="8">
                  <c:v>20477.475675482336</c:v>
                </c:pt>
                <c:pt idx="9">
                  <c:v>20440.765105122711</c:v>
                </c:pt>
                <c:pt idx="10">
                  <c:v>20694.986539568359</c:v>
                </c:pt>
                <c:pt idx="11">
                  <c:v>19970.885013290266</c:v>
                </c:pt>
                <c:pt idx="12">
                  <c:v>20364.171552574975</c:v>
                </c:pt>
                <c:pt idx="13">
                  <c:v>20058.54412967978</c:v>
                </c:pt>
                <c:pt idx="14">
                  <c:v>19708.290781864089</c:v>
                </c:pt>
                <c:pt idx="15">
                  <c:v>19400.216324542769</c:v>
                </c:pt>
                <c:pt idx="16">
                  <c:v>19051.161605532838</c:v>
                </c:pt>
                <c:pt idx="17">
                  <c:v>19933.38774514115</c:v>
                </c:pt>
                <c:pt idx="18">
                  <c:v>20282.655015129261</c:v>
                </c:pt>
                <c:pt idx="19">
                  <c:v>20068.349414068991</c:v>
                </c:pt>
                <c:pt idx="20">
                  <c:v>19848.964864156231</c:v>
                </c:pt>
                <c:pt idx="21">
                  <c:v>19725.318772611696</c:v>
                </c:pt>
                <c:pt idx="22">
                  <c:v>20225.965895215482</c:v>
                </c:pt>
                <c:pt idx="23">
                  <c:v>20168.260387452727</c:v>
                </c:pt>
                <c:pt idx="24">
                  <c:v>20134.219305294246</c:v>
                </c:pt>
                <c:pt idx="25">
                  <c:v>19667.183224832243</c:v>
                </c:pt>
                <c:pt idx="26">
                  <c:v>18969.40439195502</c:v>
                </c:pt>
                <c:pt idx="27">
                  <c:v>19186.386775060691</c:v>
                </c:pt>
              </c:numCache>
            </c:numRef>
          </c:val>
          <c:smooth val="0"/>
          <c:extLst>
            <c:ext xmlns:c16="http://schemas.microsoft.com/office/drawing/2014/chart" uri="{C3380CC4-5D6E-409C-BE32-E72D297353CC}">
              <c16:uniqueId val="{00000000-5083-4013-9505-CE085EB4DA8F}"/>
            </c:ext>
          </c:extLst>
        </c:ser>
        <c:ser>
          <c:idx val="11"/>
          <c:order val="11"/>
          <c:tx>
            <c:strRef>
              <c:f>'Net zero emission summary'!$H$125</c:f>
              <c:strCache>
                <c:ptCount val="1"/>
                <c:pt idx="0">
                  <c:v>Direct N2O (inventory)</c:v>
                </c:pt>
              </c:strCache>
            </c:strRef>
          </c:tx>
          <c:spPr>
            <a:ln w="28575" cap="rnd">
              <a:solidFill>
                <a:schemeClr val="accent6">
                  <a:lumMod val="60000"/>
                </a:schemeClr>
              </a:solidFill>
              <a:round/>
            </a:ln>
            <a:effectLst/>
          </c:spPr>
          <c:marker>
            <c:symbol val="none"/>
          </c:marker>
          <c:cat>
            <c:numRef>
              <c:f>'Net zero emission summary'!$I$113:$AJ$113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'Net zero emission summary'!$I$125:$AJ$125</c:f>
              <c:numCache>
                <c:formatCode>General</c:formatCode>
                <c:ptCount val="28"/>
                <c:pt idx="0">
                  <c:v>18467.2344176074</c:v>
                </c:pt>
                <c:pt idx="1">
                  <c:v>19894.379979012047</c:v>
                </c:pt>
                <c:pt idx="2">
                  <c:v>19508.057170250366</c:v>
                </c:pt>
                <c:pt idx="3">
                  <c:v>19296.286149483876</c:v>
                </c:pt>
                <c:pt idx="4">
                  <c:v>18829.799299341739</c:v>
                </c:pt>
                <c:pt idx="5">
                  <c:v>18816.693751205934</c:v>
                </c:pt>
                <c:pt idx="6">
                  <c:v>19386.372113208152</c:v>
                </c:pt>
                <c:pt idx="7">
                  <c:v>19675.368284891847</c:v>
                </c:pt>
                <c:pt idx="8">
                  <c:v>19967.155293555603</c:v>
                </c:pt>
                <c:pt idx="9">
                  <c:v>20038.391547786159</c:v>
                </c:pt>
                <c:pt idx="10">
                  <c:v>20072.524975980316</c:v>
                </c:pt>
                <c:pt idx="11">
                  <c:v>19701.088061992123</c:v>
                </c:pt>
                <c:pt idx="12">
                  <c:v>20023.216099759749</c:v>
                </c:pt>
                <c:pt idx="13">
                  <c:v>19072.340993484708</c:v>
                </c:pt>
                <c:pt idx="14">
                  <c:v>18849.389549512067</c:v>
                </c:pt>
                <c:pt idx="15">
                  <c:v>18446.259485586925</c:v>
                </c:pt>
                <c:pt idx="16">
                  <c:v>18589.571736189206</c:v>
                </c:pt>
                <c:pt idx="17">
                  <c:v>18224.734436942501</c:v>
                </c:pt>
                <c:pt idx="18">
                  <c:v>19088.198147813157</c:v>
                </c:pt>
                <c:pt idx="19">
                  <c:v>18553.028011451712</c:v>
                </c:pt>
                <c:pt idx="20">
                  <c:v>18939.805460502525</c:v>
                </c:pt>
                <c:pt idx="21">
                  <c:v>18994.993526805851</c:v>
                </c:pt>
                <c:pt idx="22">
                  <c:v>18278.302953548075</c:v>
                </c:pt>
                <c:pt idx="23">
                  <c:v>19582.342769355033</c:v>
                </c:pt>
                <c:pt idx="24">
                  <c:v>19570.475186144038</c:v>
                </c:pt>
                <c:pt idx="25">
                  <c:v>19327.673861761683</c:v>
                </c:pt>
                <c:pt idx="26">
                  <c:v>18029.075027657447</c:v>
                </c:pt>
                <c:pt idx="27">
                  <c:v>18081.049004423898</c:v>
                </c:pt>
              </c:numCache>
            </c:numRef>
          </c:val>
          <c:smooth val="0"/>
          <c:extLst>
            <c:ext xmlns:c16="http://schemas.microsoft.com/office/drawing/2014/chart" uri="{C3380CC4-5D6E-409C-BE32-E72D297353CC}">
              <c16:uniqueId val="{00000001-5083-4013-9505-CE085EB4DA8F}"/>
            </c:ext>
          </c:extLst>
        </c:ser>
        <c:dLbls>
          <c:showLegendKey val="0"/>
          <c:showVal val="0"/>
          <c:showCatName val="0"/>
          <c:showSerName val="0"/>
          <c:showPercent val="0"/>
          <c:showBubbleSize val="0"/>
        </c:dLbls>
        <c:smooth val="0"/>
        <c:axId val="1363460784"/>
        <c:axId val="1363463696"/>
        <c:extLst>
          <c:ext xmlns:c15="http://schemas.microsoft.com/office/drawing/2012/chart" uri="{02D57815-91ED-43cb-92C2-25804820EDAC}">
            <c15:filteredLineSeries>
              <c15:ser>
                <c:idx val="0"/>
                <c:order val="0"/>
                <c:tx>
                  <c:strRef>
                    <c:extLst>
                      <c:ext uri="{02D57815-91ED-43cb-92C2-25804820EDAC}">
                        <c15:formulaRef>
                          <c15:sqref>'Net zero emission summary'!$H$114</c15:sqref>
                        </c15:formulaRef>
                      </c:ext>
                    </c:extLst>
                    <c:strCache>
                      <c:ptCount val="1"/>
                      <c:pt idx="0">
                        <c:v>Biomass burning CH4</c:v>
                      </c:pt>
                    </c:strCache>
                  </c:strRef>
                </c:tx>
                <c:spPr>
                  <a:ln w="28575" cap="rnd">
                    <a:solidFill>
                      <a:schemeClr val="accent1"/>
                    </a:solidFill>
                    <a:round/>
                  </a:ln>
                  <a:effectLst/>
                </c:spPr>
                <c:marker>
                  <c:symbol val="none"/>
                </c:marker>
                <c:cat>
                  <c:numRef>
                    <c:extLst>
                      <c:ex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c:ext uri="{02D57815-91ED-43cb-92C2-25804820EDAC}">
                        <c15:formulaRef>
                          <c15:sqref>'Net zero emission summary'!$I$114:$AJ$114</c15:sqref>
                        </c15:formulaRef>
                      </c:ext>
                    </c:extLst>
                    <c:numCache>
                      <c:formatCode>General</c:formatCode>
                      <c:ptCount val="28"/>
                      <c:pt idx="0">
                        <c:v>1113.9523335609101</c:v>
                      </c:pt>
                      <c:pt idx="1">
                        <c:v>1113.9523335609101</c:v>
                      </c:pt>
                      <c:pt idx="2">
                        <c:v>1113.9523335609101</c:v>
                      </c:pt>
                      <c:pt idx="3">
                        <c:v>1113.9523335609101</c:v>
                      </c:pt>
                      <c:pt idx="4">
                        <c:v>1113.9523335609101</c:v>
                      </c:pt>
                      <c:pt idx="5">
                        <c:v>1113.9523335609101</c:v>
                      </c:pt>
                      <c:pt idx="6">
                        <c:v>1113.9523335609101</c:v>
                      </c:pt>
                      <c:pt idx="7">
                        <c:v>1113.9523335609101</c:v>
                      </c:pt>
                      <c:pt idx="8">
                        <c:v>1113.9523335609101</c:v>
                      </c:pt>
                      <c:pt idx="9">
                        <c:v>1113.9523335609101</c:v>
                      </c:pt>
                      <c:pt idx="10">
                        <c:v>1103.4776992955053</c:v>
                      </c:pt>
                      <c:pt idx="11">
                        <c:v>1282.5517441798665</c:v>
                      </c:pt>
                      <c:pt idx="12">
                        <c:v>1288.9176046937982</c:v>
                      </c:pt>
                      <c:pt idx="13">
                        <c:v>1011.4345809085878</c:v>
                      </c:pt>
                      <c:pt idx="14">
                        <c:v>883.38003872679235</c:v>
                      </c:pt>
                      <c:pt idx="15">
                        <c:v>1412.334298727088</c:v>
                      </c:pt>
                      <c:pt idx="16">
                        <c:v>1236.8838978672777</c:v>
                      </c:pt>
                      <c:pt idx="17">
                        <c:v>1218.5771221263838</c:v>
                      </c:pt>
                      <c:pt idx="18">
                        <c:v>1139.8644942847</c:v>
                      </c:pt>
                      <c:pt idx="19">
                        <c:v>1078.8713756473658</c:v>
                      </c:pt>
                      <c:pt idx="20">
                        <c:v>1107.055106514</c:v>
                      </c:pt>
                      <c:pt idx="21">
                        <c:v>1093.3943713178221</c:v>
                      </c:pt>
                      <c:pt idx="22">
                        <c:v>1003.5637069444559</c:v>
                      </c:pt>
                      <c:pt idx="23">
                        <c:v>949.58031288518987</c:v>
                      </c:pt>
                      <c:pt idx="24">
                        <c:v>1016.956735075512</c:v>
                      </c:pt>
                      <c:pt idx="25">
                        <c:v>737.86776841461585</c:v>
                      </c:pt>
                      <c:pt idx="26">
                        <c:v>446.18919850209591</c:v>
                      </c:pt>
                      <c:pt idx="27">
                        <c:v>416.70692080806589</c:v>
                      </c:pt>
                    </c:numCache>
                  </c:numRef>
                </c:val>
                <c:smooth val="0"/>
                <c:extLst>
                  <c:ext xmlns:c16="http://schemas.microsoft.com/office/drawing/2014/chart" uri="{C3380CC4-5D6E-409C-BE32-E72D297353CC}">
                    <c16:uniqueId val="{00000002-5083-4013-9505-CE085EB4DA8F}"/>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'Net zero emission summary'!$H$115</c15:sqref>
                        </c15:formulaRef>
                      </c:ext>
                    </c:extLst>
                    <c:strCache>
                      <c:ptCount val="1"/>
                      <c:pt idx="0">
                        <c:v>Biomass burning N2O</c:v>
                      </c:pt>
                    </c:strCache>
                  </c:strRef>
                </c:tx>
                <c:spPr>
                  <a:ln w="28575" cap="rnd">
                    <a:solidFill>
                      <a:schemeClr val="accent2"/>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summary'!$I$115:$AJ$115</c15:sqref>
                        </c15:formulaRef>
                      </c:ext>
                    </c:extLst>
                    <c:numCache>
                      <c:formatCode>General</c:formatCode>
                      <c:ptCount val="28"/>
                      <c:pt idx="0">
                        <c:v>1149.3522600947301</c:v>
                      </c:pt>
                      <c:pt idx="1">
                        <c:v>1149.3522600947301</c:v>
                      </c:pt>
                      <c:pt idx="2">
                        <c:v>1149.3522600947301</c:v>
                      </c:pt>
                      <c:pt idx="3">
                        <c:v>1149.3522600947301</c:v>
                      </c:pt>
                      <c:pt idx="4">
                        <c:v>1149.3522600947301</c:v>
                      </c:pt>
                      <c:pt idx="5">
                        <c:v>1149.3522600947301</c:v>
                      </c:pt>
                      <c:pt idx="6">
                        <c:v>1149.3522600947301</c:v>
                      </c:pt>
                      <c:pt idx="7">
                        <c:v>1149.3522600947301</c:v>
                      </c:pt>
                      <c:pt idx="8">
                        <c:v>1149.3522600947301</c:v>
                      </c:pt>
                      <c:pt idx="9">
                        <c:v>1149.3522600947301</c:v>
                      </c:pt>
                      <c:pt idx="10">
                        <c:v>1138.2881924240246</c:v>
                      </c:pt>
                      <c:pt idx="11">
                        <c:v>1347.8625366593228</c:v>
                      </c:pt>
                      <c:pt idx="12">
                        <c:v>1328.3690110437451</c:v>
                      </c:pt>
                      <c:pt idx="13">
                        <c:v>1017.5651134275211</c:v>
                      </c:pt>
                      <c:pt idx="14">
                        <c:v>914.67644691903695</c:v>
                      </c:pt>
                      <c:pt idx="15">
                        <c:v>1447.9112474339306</c:v>
                      </c:pt>
                      <c:pt idx="16">
                        <c:v>1263.4019893034997</c:v>
                      </c:pt>
                      <c:pt idx="17">
                        <c:v>1217.4357899565925</c:v>
                      </c:pt>
                      <c:pt idx="18">
                        <c:v>1180.1818937292605</c:v>
                      </c:pt>
                      <c:pt idx="19">
                        <c:v>1108.1395844539597</c:v>
                      </c:pt>
                      <c:pt idx="20">
                        <c:v>1121.7567904983002</c:v>
                      </c:pt>
                      <c:pt idx="21">
                        <c:v>1111.0832034573957</c:v>
                      </c:pt>
                      <c:pt idx="22">
                        <c:v>1002.2217969563279</c:v>
                      </c:pt>
                      <c:pt idx="23">
                        <c:v>980.55948658247996</c:v>
                      </c:pt>
                      <c:pt idx="24">
                        <c:v>1029.1314860411758</c:v>
                      </c:pt>
                      <c:pt idx="25">
                        <c:v>747.9095108761079</c:v>
                      </c:pt>
                      <c:pt idx="26">
                        <c:v>434.96704823788798</c:v>
                      </c:pt>
                      <c:pt idx="27">
                        <c:v>408.31943255002801</c:v>
                      </c:pt>
                    </c:numCache>
                  </c:numRef>
                </c:val>
                <c:smooth val="0"/>
                <c:extLst xmlns:c15="http://schemas.microsoft.com/office/drawing/2012/chart">
                  <c:ext xmlns:c16="http://schemas.microsoft.com/office/drawing/2014/chart" uri="{C3380CC4-5D6E-409C-BE32-E72D297353CC}">
                    <c16:uniqueId val="{00000003-5083-4013-9505-CE085EB4DA8F}"/>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'Net zero emission summary'!$H$116</c15:sqref>
                        </c15:formulaRef>
                      </c:ext>
                    </c:extLst>
                    <c:strCache>
                      <c:ptCount val="1"/>
                      <c:pt idx="0">
                        <c:v>Liming</c:v>
                      </c:pt>
                    </c:strCache>
                  </c:strRef>
                </c:tx>
                <c:spPr>
                  <a:ln w="28575" cap="rnd">
                    <a:solidFill>
                      <a:schemeClr val="accent3"/>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summary'!$I$116:$AJ$116</c15:sqref>
                        </c15:formulaRef>
                      </c:ext>
                    </c:extLst>
                    <c:numCache>
                      <c:formatCode>General</c:formatCode>
                      <c:ptCount val="28"/>
                      <c:pt idx="0">
                        <c:v>357.5</c:v>
                      </c:pt>
                      <c:pt idx="1">
                        <c:v>378.125</c:v>
                      </c:pt>
                      <c:pt idx="2">
                        <c:v>261.25</c:v>
                      </c:pt>
                      <c:pt idx="3">
                        <c:v>412.5</c:v>
                      </c:pt>
                      <c:pt idx="4">
                        <c:v>595.58170833333327</c:v>
                      </c:pt>
                      <c:pt idx="5">
                        <c:v>473.34145833333332</c:v>
                      </c:pt>
                      <c:pt idx="6">
                        <c:v>579.13625000000002</c:v>
                      </c:pt>
                      <c:pt idx="7">
                        <c:v>547.24312499999996</c:v>
                      </c:pt>
                      <c:pt idx="8">
                        <c:v>570.31379166666659</c:v>
                      </c:pt>
                      <c:pt idx="9">
                        <c:v>567.03808333333325</c:v>
                      </c:pt>
                      <c:pt idx="10">
                        <c:v>378.2405</c:v>
                      </c:pt>
                      <c:pt idx="11">
                        <c:v>489.66362500000002</c:v>
                      </c:pt>
                      <c:pt idx="12">
                        <c:v>672.79437500000006</c:v>
                      </c:pt>
                      <c:pt idx="13">
                        <c:v>580.13175000000001</c:v>
                      </c:pt>
                      <c:pt idx="14">
                        <c:v>579.7403333333333</c:v>
                      </c:pt>
                      <c:pt idx="15">
                        <c:v>266.03683333333333</c:v>
                      </c:pt>
                      <c:pt idx="16">
                        <c:v>441.42908333333332</c:v>
                      </c:pt>
                      <c:pt idx="17">
                        <c:v>521.42108333333329</c:v>
                      </c:pt>
                      <c:pt idx="18">
                        <c:v>655.32637499999998</c:v>
                      </c:pt>
                      <c:pt idx="19">
                        <c:v>695.56775237855516</c:v>
                      </c:pt>
                      <c:pt idx="20">
                        <c:v>653.23730656422072</c:v>
                      </c:pt>
                      <c:pt idx="21">
                        <c:v>722.61220387104663</c:v>
                      </c:pt>
                      <c:pt idx="22">
                        <c:v>829.6141641239476</c:v>
                      </c:pt>
                      <c:pt idx="23">
                        <c:v>749.65665536353811</c:v>
                      </c:pt>
                      <c:pt idx="24">
                        <c:v>773.17356970483502</c:v>
                      </c:pt>
                      <c:pt idx="25">
                        <c:v>780.22864400722403</c:v>
                      </c:pt>
                      <c:pt idx="26">
                        <c:v>982.47410734237747</c:v>
                      </c:pt>
                      <c:pt idx="27">
                        <c:v>1218.2311736138793</c:v>
                      </c:pt>
                    </c:numCache>
                  </c:numRef>
                </c:val>
                <c:smooth val="0"/>
                <c:extLst xmlns:c15="http://schemas.microsoft.com/office/drawing/2012/chart">
                  <c:ext xmlns:c16="http://schemas.microsoft.com/office/drawing/2014/chart" uri="{C3380CC4-5D6E-409C-BE32-E72D297353CC}">
                    <c16:uniqueId val="{00000004-5083-4013-9505-CE085EB4DA8F}"/>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'Net zero emission summary'!$H$117</c15:sqref>
                        </c15:formulaRef>
                      </c:ext>
                    </c:extLst>
                    <c:strCache>
                      <c:ptCount val="1"/>
                      <c:pt idx="0">
                        <c:v>Urea</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summary'!$I$117:$AJ$117</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256.05324352263762</c:v>
                      </c:pt>
                      <c:pt idx="9">
                        <c:v>276.68557802753202</c:v>
                      </c:pt>
                      <c:pt idx="10">
                        <c:v>297.31791253242642</c:v>
                      </c:pt>
                      <c:pt idx="11">
                        <c:v>317.95024703732088</c:v>
                      </c:pt>
                      <c:pt idx="12">
                        <c:v>338.58258154220977</c:v>
                      </c:pt>
                      <c:pt idx="13">
                        <c:v>359.21491604710423</c:v>
                      </c:pt>
                      <c:pt idx="14">
                        <c:v>435.89846666666671</c:v>
                      </c:pt>
                      <c:pt idx="15">
                        <c:v>355.08659999999998</c:v>
                      </c:pt>
                      <c:pt idx="16">
                        <c:v>393.08573333333334</c:v>
                      </c:pt>
                      <c:pt idx="17">
                        <c:v>484.55366666666663</c:v>
                      </c:pt>
                      <c:pt idx="18">
                        <c:v>480.19253333333336</c:v>
                      </c:pt>
                      <c:pt idx="19">
                        <c:v>380.54426666666666</c:v>
                      </c:pt>
                      <c:pt idx="20">
                        <c:v>501.48046666666664</c:v>
                      </c:pt>
                      <c:pt idx="21">
                        <c:v>571.19113333333337</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5-5083-4013-9505-CE085EB4DA8F}"/>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'Net zero emission summary'!$H$119</c15:sqref>
                        </c15:formulaRef>
                      </c:ext>
                    </c:extLst>
                    <c:strCache>
                      <c:ptCount val="1"/>
                      <c:pt idx="0">
                        <c:v>Indirect N2O from MS</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summary'!$I$119:$AJ$119</c15:sqref>
                        </c15:formulaRef>
                      </c:ext>
                    </c:extLst>
                    <c:numCache>
                      <c:formatCode>General</c:formatCode>
                      <c:ptCount val="28"/>
                      <c:pt idx="0">
                        <c:v>2388.0102035123605</c:v>
                      </c:pt>
                      <c:pt idx="1">
                        <c:v>2422.3649563517615</c:v>
                      </c:pt>
                      <c:pt idx="2">
                        <c:v>2366.0160295258652</c:v>
                      </c:pt>
                      <c:pt idx="3">
                        <c:v>2332.024314033295</c:v>
                      </c:pt>
                      <c:pt idx="4">
                        <c:v>2269.8856393890724</c:v>
                      </c:pt>
                      <c:pt idx="5">
                        <c:v>2257.3551747657566</c:v>
                      </c:pt>
                      <c:pt idx="6">
                        <c:v>2332.8794219128258</c:v>
                      </c:pt>
                      <c:pt idx="7">
                        <c:v>2353.4608848045295</c:v>
                      </c:pt>
                      <c:pt idx="8">
                        <c:v>2375.1086873788704</c:v>
                      </c:pt>
                      <c:pt idx="9">
                        <c:v>2369.8122167060246</c:v>
                      </c:pt>
                      <c:pt idx="10">
                        <c:v>2379.1334621159244</c:v>
                      </c:pt>
                      <c:pt idx="11">
                        <c:v>2332.4757077458062</c:v>
                      </c:pt>
                      <c:pt idx="12">
                        <c:v>2352.5031586422174</c:v>
                      </c:pt>
                      <c:pt idx="13">
                        <c:v>2317.0522227606916</c:v>
                      </c:pt>
                      <c:pt idx="14">
                        <c:v>2291.1004488983099</c:v>
                      </c:pt>
                      <c:pt idx="15">
                        <c:v>2260.716684821874</c:v>
                      </c:pt>
                      <c:pt idx="16">
                        <c:v>2276.1004128580194</c:v>
                      </c:pt>
                      <c:pt idx="17">
                        <c:v>2334.5451499588221</c:v>
                      </c:pt>
                      <c:pt idx="18">
                        <c:v>2364.8401504898161</c:v>
                      </c:pt>
                      <c:pt idx="19">
                        <c:v>2357.3087175615215</c:v>
                      </c:pt>
                      <c:pt idx="20">
                        <c:v>2316.7336232801035</c:v>
                      </c:pt>
                      <c:pt idx="21">
                        <c:v>2313.3914976011652</c:v>
                      </c:pt>
                      <c:pt idx="22">
                        <c:v>2334.0985551108756</c:v>
                      </c:pt>
                      <c:pt idx="23">
                        <c:v>2348.8400209329502</c:v>
                      </c:pt>
                      <c:pt idx="24">
                        <c:v>2344.4692750460258</c:v>
                      </c:pt>
                      <c:pt idx="25">
                        <c:v>2299.7650755104332</c:v>
                      </c:pt>
                      <c:pt idx="26">
                        <c:v>2252.6390591444524</c:v>
                      </c:pt>
                      <c:pt idx="27">
                        <c:v>2235.452591217253</c:v>
                      </c:pt>
                    </c:numCache>
                  </c:numRef>
                </c:val>
                <c:smooth val="0"/>
                <c:extLst xmlns:c15="http://schemas.microsoft.com/office/drawing/2012/chart">
                  <c:ext xmlns:c16="http://schemas.microsoft.com/office/drawing/2014/chart" uri="{C3380CC4-5D6E-409C-BE32-E72D297353CC}">
                    <c16:uniqueId val="{00000006-5083-4013-9505-CE085EB4DA8F}"/>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'Net zero emission summary'!$H$120</c15:sqref>
                        </c15:formulaRef>
                      </c:ext>
                    </c:extLst>
                    <c:strCache>
                      <c:ptCount val="1"/>
                      <c:pt idx="0">
                        <c:v>Indirect N2O from MM</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summary'!$I$120:$AJ$120</c15:sqref>
                        </c15:formulaRef>
                      </c:ext>
                    </c:extLst>
                    <c:numCache>
                      <c:formatCode>General</c:formatCode>
                      <c:ptCount val="28"/>
                      <c:pt idx="0">
                        <c:v>343.10330161578099</c:v>
                      </c:pt>
                      <c:pt idx="1">
                        <c:v>365.58614133033353</c:v>
                      </c:pt>
                      <c:pt idx="2">
                        <c:v>339.91114682728761</c:v>
                      </c:pt>
                      <c:pt idx="3">
                        <c:v>352.62601984444137</c:v>
                      </c:pt>
                      <c:pt idx="4">
                        <c:v>336.24824053022888</c:v>
                      </c:pt>
                      <c:pt idx="5">
                        <c:v>354.90652971327108</c:v>
                      </c:pt>
                      <c:pt idx="6">
                        <c:v>370.7282945162878</c:v>
                      </c:pt>
                      <c:pt idx="7">
                        <c:v>367.33263044382841</c:v>
                      </c:pt>
                      <c:pt idx="8">
                        <c:v>376.31467332854538</c:v>
                      </c:pt>
                      <c:pt idx="9">
                        <c:v>380.26274683162796</c:v>
                      </c:pt>
                      <c:pt idx="10">
                        <c:v>420.72277135231604</c:v>
                      </c:pt>
                      <c:pt idx="11">
                        <c:v>418.37207720994593</c:v>
                      </c:pt>
                      <c:pt idx="12">
                        <c:v>406.12517665445523</c:v>
                      </c:pt>
                      <c:pt idx="13">
                        <c:v>385.62180744131297</c:v>
                      </c:pt>
                      <c:pt idx="14">
                        <c:v>383.11027791084422</c:v>
                      </c:pt>
                      <c:pt idx="15">
                        <c:v>402.62502084090437</c:v>
                      </c:pt>
                      <c:pt idx="16">
                        <c:v>407.68948429226828</c:v>
                      </c:pt>
                      <c:pt idx="17">
                        <c:v>415.77221135959962</c:v>
                      </c:pt>
                      <c:pt idx="18">
                        <c:v>450.38785912632164</c:v>
                      </c:pt>
                      <c:pt idx="19">
                        <c:v>447.90280780802436</c:v>
                      </c:pt>
                      <c:pt idx="20">
                        <c:v>450.47531382738657</c:v>
                      </c:pt>
                      <c:pt idx="21">
                        <c:v>455.70252815125627</c:v>
                      </c:pt>
                      <c:pt idx="22">
                        <c:v>454.2990120208886</c:v>
                      </c:pt>
                      <c:pt idx="23">
                        <c:v>467.1027930484243</c:v>
                      </c:pt>
                      <c:pt idx="24">
                        <c:v>463.97224881283108</c:v>
                      </c:pt>
                      <c:pt idx="25">
                        <c:v>471.70799949786652</c:v>
                      </c:pt>
                      <c:pt idx="26">
                        <c:v>471.14622162385422</c:v>
                      </c:pt>
                      <c:pt idx="27">
                        <c:v>483.13167606001025</c:v>
                      </c:pt>
                    </c:numCache>
                  </c:numRef>
                </c:val>
                <c:smooth val="0"/>
                <c:extLst xmlns:c15="http://schemas.microsoft.com/office/drawing/2012/chart">
                  <c:ext xmlns:c16="http://schemas.microsoft.com/office/drawing/2014/chart" uri="{C3380CC4-5D6E-409C-BE32-E72D297353CC}">
                    <c16:uniqueId val="{00000007-5083-4013-9505-CE085EB4DA8F}"/>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'Net zero emission summary'!$H$121</c15:sqref>
                        </c15:formulaRef>
                      </c:ext>
                    </c:extLst>
                    <c:strCache>
                      <c:ptCount val="1"/>
                      <c:pt idx="0">
                        <c:v>Biomass burning CH4 (inventory)</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summary'!$I$121:$AJ$121</c15:sqref>
                        </c15:formulaRef>
                      </c:ext>
                    </c:extLst>
                    <c:numCache>
                      <c:formatCode>General</c:formatCode>
                      <c:ptCount val="28"/>
                      <c:pt idx="0">
                        <c:v>1114.2730572677472</c:v>
                      </c:pt>
                      <c:pt idx="1">
                        <c:v>1114.2730572677472</c:v>
                      </c:pt>
                      <c:pt idx="2">
                        <c:v>1114.2730572677472</c:v>
                      </c:pt>
                      <c:pt idx="3">
                        <c:v>1114.2730572677472</c:v>
                      </c:pt>
                      <c:pt idx="4">
                        <c:v>1114.2730572677472</c:v>
                      </c:pt>
                      <c:pt idx="5">
                        <c:v>1114.2730572677472</c:v>
                      </c:pt>
                      <c:pt idx="6">
                        <c:v>1114.2730572677472</c:v>
                      </c:pt>
                      <c:pt idx="7">
                        <c:v>1114.2730572677472</c:v>
                      </c:pt>
                      <c:pt idx="8">
                        <c:v>1114.2730572677472</c:v>
                      </c:pt>
                      <c:pt idx="9">
                        <c:v>1114.2730572677472</c:v>
                      </c:pt>
                      <c:pt idx="10">
                        <c:v>1103.7473247333526</c:v>
                      </c:pt>
                      <c:pt idx="11">
                        <c:v>1295.1615779672622</c:v>
                      </c:pt>
                      <c:pt idx="12">
                        <c:v>1300.4179901779976</c:v>
                      </c:pt>
                      <c:pt idx="13">
                        <c:v>1021.2239026078485</c:v>
                      </c:pt>
                      <c:pt idx="14">
                        <c:v>890.95637702591955</c:v>
                      </c:pt>
                      <c:pt idx="15">
                        <c:v>1429.3697355873492</c:v>
                      </c:pt>
                      <c:pt idx="16">
                        <c:v>1251.7694565972624</c:v>
                      </c:pt>
                      <c:pt idx="17">
                        <c:v>1234.9730242836924</c:v>
                      </c:pt>
                      <c:pt idx="18">
                        <c:v>1150.1284038185643</c:v>
                      </c:pt>
                      <c:pt idx="19">
                        <c:v>1091.261696265384</c:v>
                      </c:pt>
                      <c:pt idx="20">
                        <c:v>1116.957250242162</c:v>
                      </c:pt>
                      <c:pt idx="21">
                        <c:v>1100.5811063069254</c:v>
                      </c:pt>
                      <c:pt idx="22">
                        <c:v>1010.9312887182766</c:v>
                      </c:pt>
                      <c:pt idx="23">
                        <c:v>956.65662263461502</c:v>
                      </c:pt>
                      <c:pt idx="24">
                        <c:v>1024.1532025090505</c:v>
                      </c:pt>
                      <c:pt idx="25">
                        <c:v>742.78507159014475</c:v>
                      </c:pt>
                      <c:pt idx="26">
                        <c:v>448.47103409650083</c:v>
                      </c:pt>
                      <c:pt idx="27">
                        <c:v>418.78097085765791</c:v>
                      </c:pt>
                    </c:numCache>
                  </c:numRef>
                </c:val>
                <c:smooth val="0"/>
                <c:extLst xmlns:c15="http://schemas.microsoft.com/office/drawing/2012/chart">
                  <c:ext xmlns:c16="http://schemas.microsoft.com/office/drawing/2014/chart" uri="{C3380CC4-5D6E-409C-BE32-E72D297353CC}">
                    <c16:uniqueId val="{00000008-5083-4013-9505-CE085EB4DA8F}"/>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'Net zero emission summary'!$H$122</c15:sqref>
                        </c15:formulaRef>
                      </c:ext>
                    </c:extLst>
                    <c:strCache>
                      <c:ptCount val="1"/>
                      <c:pt idx="0">
                        <c:v>Biomass burning N2O (inventory)</c:v>
                      </c:pt>
                    </c:strCache>
                  </c:strRef>
                </c:tx>
                <c:spPr>
                  <a:ln w="28575" cap="rnd">
                    <a:solidFill>
                      <a:schemeClr val="accent3">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summary'!$I$122:$AJ$122</c15:sqref>
                        </c15:formulaRef>
                      </c:ext>
                    </c:extLst>
                    <c:numCache>
                      <c:formatCode>General</c:formatCode>
                      <c:ptCount val="28"/>
                      <c:pt idx="0">
                        <c:v>1149.6141682079121</c:v>
                      </c:pt>
                      <c:pt idx="1">
                        <c:v>1149.6141682079121</c:v>
                      </c:pt>
                      <c:pt idx="2">
                        <c:v>1149.6141682079121</c:v>
                      </c:pt>
                      <c:pt idx="3">
                        <c:v>1149.6141682079121</c:v>
                      </c:pt>
                      <c:pt idx="4">
                        <c:v>1149.6141682079121</c:v>
                      </c:pt>
                      <c:pt idx="5">
                        <c:v>1149.6141682079121</c:v>
                      </c:pt>
                      <c:pt idx="6">
                        <c:v>1149.6141682079121</c:v>
                      </c:pt>
                      <c:pt idx="7">
                        <c:v>1149.6141682079121</c:v>
                      </c:pt>
                      <c:pt idx="8">
                        <c:v>1149.6141682079121</c:v>
                      </c:pt>
                      <c:pt idx="9">
                        <c:v>1149.6141682079121</c:v>
                      </c:pt>
                      <c:pt idx="10">
                        <c:v>1138.5083728727629</c:v>
                      </c:pt>
                      <c:pt idx="11">
                        <c:v>1348.0477860975932</c:v>
                      </c:pt>
                      <c:pt idx="12">
                        <c:v>1328.8199324792706</c:v>
                      </c:pt>
                      <c:pt idx="13">
                        <c:v>1017.846389296701</c:v>
                      </c:pt>
                      <c:pt idx="14">
                        <c:v>914.84836029323264</c:v>
                      </c:pt>
                      <c:pt idx="15">
                        <c:v>1448.2029822975244</c:v>
                      </c:pt>
                      <c:pt idx="16">
                        <c:v>1263.6284316097351</c:v>
                      </c:pt>
                      <c:pt idx="17">
                        <c:v>1217.6306521923173</c:v>
                      </c:pt>
                      <c:pt idx="18">
                        <c:v>1180.4178811371937</c:v>
                      </c:pt>
                      <c:pt idx="19">
                        <c:v>1108.455283615433</c:v>
                      </c:pt>
                      <c:pt idx="20">
                        <c:v>1122.512590663056</c:v>
                      </c:pt>
                      <c:pt idx="21">
                        <c:v>1111.8425729905728</c:v>
                      </c:pt>
                      <c:pt idx="22">
                        <c:v>1003.2623700366383</c:v>
                      </c:pt>
                      <c:pt idx="23">
                        <c:v>980.98785105992999</c:v>
                      </c:pt>
                      <c:pt idx="24">
                        <c:v>1029.413853897383</c:v>
                      </c:pt>
                      <c:pt idx="25">
                        <c:v>748.29527463252236</c:v>
                      </c:pt>
                      <c:pt idx="26">
                        <c:v>435.50232253439043</c:v>
                      </c:pt>
                      <c:pt idx="27">
                        <c:v>408.72643283393637</c:v>
                      </c:pt>
                    </c:numCache>
                  </c:numRef>
                </c:val>
                <c:smooth val="0"/>
                <c:extLst xmlns:c15="http://schemas.microsoft.com/office/drawing/2012/chart">
                  <c:ext xmlns:c16="http://schemas.microsoft.com/office/drawing/2014/chart" uri="{C3380CC4-5D6E-409C-BE32-E72D297353CC}">
                    <c16:uniqueId val="{00000009-5083-4013-9505-CE085EB4DA8F}"/>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'Net zero emission summary'!$H$123</c15:sqref>
                        </c15:formulaRef>
                      </c:ext>
                    </c:extLst>
                    <c:strCache>
                      <c:ptCount val="1"/>
                      <c:pt idx="0">
                        <c:v>Liming (inventory)</c:v>
                      </c:pt>
                    </c:strCache>
                  </c:strRef>
                </c:tx>
                <c:spPr>
                  <a:ln w="28575" cap="rnd">
                    <a:solidFill>
                      <a:schemeClr val="accent4">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summary'!$I$123:$AJ$123</c15:sqref>
                        </c15:formulaRef>
                      </c:ext>
                    </c:extLst>
                    <c:numCache>
                      <c:formatCode>General</c:formatCode>
                      <c:ptCount val="28"/>
                      <c:pt idx="0">
                        <c:v>363.73333333333335</c:v>
                      </c:pt>
                      <c:pt idx="1">
                        <c:v>386.1</c:v>
                      </c:pt>
                      <c:pt idx="2">
                        <c:v>266.2</c:v>
                      </c:pt>
                      <c:pt idx="3">
                        <c:v>413.6</c:v>
                      </c:pt>
                      <c:pt idx="4">
                        <c:v>603.75919999999996</c:v>
                      </c:pt>
                      <c:pt idx="5">
                        <c:v>481.52980333333335</c:v>
                      </c:pt>
                      <c:pt idx="6">
                        <c:v>588.48859666666669</c:v>
                      </c:pt>
                      <c:pt idx="7">
                        <c:v>556.65125999999998</c:v>
                      </c:pt>
                      <c:pt idx="8">
                        <c:v>581.37815999999998</c:v>
                      </c:pt>
                      <c:pt idx="9">
                        <c:v>577.08170666666672</c:v>
                      </c:pt>
                      <c:pt idx="10">
                        <c:v>384.05253333333332</c:v>
                      </c:pt>
                      <c:pt idx="11">
                        <c:v>497.15031666666664</c:v>
                      </c:pt>
                      <c:pt idx="12">
                        <c:v>683.69223999999997</c:v>
                      </c:pt>
                      <c:pt idx="13">
                        <c:v>585.99346666666668</c:v>
                      </c:pt>
                      <c:pt idx="14">
                        <c:v>585.5420633333332</c:v>
                      </c:pt>
                      <c:pt idx="15">
                        <c:v>267.37941999999998</c:v>
                      </c:pt>
                      <c:pt idx="16">
                        <c:v>445.96068000000002</c:v>
                      </c:pt>
                      <c:pt idx="17">
                        <c:v>524.87031666666667</c:v>
                      </c:pt>
                      <c:pt idx="18">
                        <c:v>658.9218166666667</c:v>
                      </c:pt>
                      <c:pt idx="19">
                        <c:v>701.39039489690549</c:v>
                      </c:pt>
                      <c:pt idx="20">
                        <c:v>659.21936851962221</c:v>
                      </c:pt>
                      <c:pt idx="21">
                        <c:v>728.33299508239213</c:v>
                      </c:pt>
                      <c:pt idx="22">
                        <c:v>834.93197842496943</c:v>
                      </c:pt>
                      <c:pt idx="23">
                        <c:v>755.27559526787866</c:v>
                      </c:pt>
                      <c:pt idx="24">
                        <c:v>778.70394325525831</c:v>
                      </c:pt>
                      <c:pt idx="25">
                        <c:v>785.73244765147194</c:v>
                      </c:pt>
                      <c:pt idx="26">
                        <c:v>987.21624034293666</c:v>
                      </c:pt>
                      <c:pt idx="27">
                        <c:v>1222.085428916417</c:v>
                      </c:pt>
                    </c:numCache>
                  </c:numRef>
                </c:val>
                <c:smooth val="0"/>
                <c:extLst xmlns:c15="http://schemas.microsoft.com/office/drawing/2012/chart">
                  <c:ext xmlns:c16="http://schemas.microsoft.com/office/drawing/2014/chart" uri="{C3380CC4-5D6E-409C-BE32-E72D297353CC}">
                    <c16:uniqueId val="{0000000A-5083-4013-9505-CE085EB4DA8F}"/>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'Net zero emission summary'!$H$124</c15:sqref>
                        </c15:formulaRef>
                      </c:ext>
                    </c:extLst>
                    <c:strCache>
                      <c:ptCount val="1"/>
                      <c:pt idx="0">
                        <c:v>Urea (inventory)</c:v>
                      </c:pt>
                    </c:strCache>
                  </c:strRef>
                </c:tx>
                <c:spPr>
                  <a:ln w="28575" cap="rnd">
                    <a:solidFill>
                      <a:schemeClr val="accent5">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summary'!$I$124:$AJ$124</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256.05324352263756</c:v>
                      </c:pt>
                      <c:pt idx="9">
                        <c:v>276.68557802753202</c:v>
                      </c:pt>
                      <c:pt idx="10">
                        <c:v>297.31791253242642</c:v>
                      </c:pt>
                      <c:pt idx="11">
                        <c:v>317.95024703732088</c:v>
                      </c:pt>
                      <c:pt idx="12">
                        <c:v>338.58258154220977</c:v>
                      </c:pt>
                      <c:pt idx="13">
                        <c:v>359.21491604710423</c:v>
                      </c:pt>
                      <c:pt idx="14">
                        <c:v>435.89846666666665</c:v>
                      </c:pt>
                      <c:pt idx="15">
                        <c:v>355.08659999999998</c:v>
                      </c:pt>
                      <c:pt idx="16">
                        <c:v>393.08573333333334</c:v>
                      </c:pt>
                      <c:pt idx="17">
                        <c:v>484.55366666666663</c:v>
                      </c:pt>
                      <c:pt idx="18">
                        <c:v>480.1925333333333</c:v>
                      </c:pt>
                      <c:pt idx="19">
                        <c:v>380.54426666666666</c:v>
                      </c:pt>
                      <c:pt idx="20">
                        <c:v>501.48046666666664</c:v>
                      </c:pt>
                      <c:pt idx="21">
                        <c:v>571.19113333333325</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B-5083-4013-9505-CE085EB4DA8F}"/>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'Net zero emission summary'!$H$126</c15:sqref>
                        </c15:formulaRef>
                      </c:ext>
                    </c:extLst>
                    <c:strCache>
                      <c:ptCount val="1"/>
                      <c:pt idx="0">
                        <c:v>Indirect N2O from MS (inventory)</c:v>
                      </c:pt>
                    </c:strCache>
                  </c:strRef>
                </c:tx>
                <c:spPr>
                  <a:ln w="28575" cap="rnd">
                    <a:solidFill>
                      <a:schemeClr val="accent1">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summary'!$I$126:$AJ$126</c15:sqref>
                        </c15:formulaRef>
                      </c:ext>
                    </c:extLst>
                    <c:numCache>
                      <c:formatCode>General</c:formatCode>
                      <c:ptCount val="28"/>
                      <c:pt idx="0">
                        <c:v>2447.8863951470803</c:v>
                      </c:pt>
                      <c:pt idx="1">
                        <c:v>2496.9018451868697</c:v>
                      </c:pt>
                      <c:pt idx="2">
                        <c:v>2435.3630625952328</c:v>
                      </c:pt>
                      <c:pt idx="3">
                        <c:v>2396.995208451192</c:v>
                      </c:pt>
                      <c:pt idx="4">
                        <c:v>2325.2582722477832</c:v>
                      </c:pt>
                      <c:pt idx="5">
                        <c:v>2349.1668279124592</c:v>
                      </c:pt>
                      <c:pt idx="6">
                        <c:v>2406.4403578126485</c:v>
                      </c:pt>
                      <c:pt idx="7">
                        <c:v>2433.097951693017</c:v>
                      </c:pt>
                      <c:pt idx="8">
                        <c:v>2471.2628832175142</c:v>
                      </c:pt>
                      <c:pt idx="9">
                        <c:v>2472.2132034057472</c:v>
                      </c:pt>
                      <c:pt idx="10">
                        <c:v>2480.4922407158388</c:v>
                      </c:pt>
                      <c:pt idx="11">
                        <c:v>2454.0922943343203</c:v>
                      </c:pt>
                      <c:pt idx="12">
                        <c:v>2476.3439129367157</c:v>
                      </c:pt>
                      <c:pt idx="13">
                        <c:v>2359.3324950161041</c:v>
                      </c:pt>
                      <c:pt idx="14">
                        <c:v>2347.4845744803165</c:v>
                      </c:pt>
                      <c:pt idx="15">
                        <c:v>2284.6952992295182</c:v>
                      </c:pt>
                      <c:pt idx="16">
                        <c:v>2357.5665947783837</c:v>
                      </c:pt>
                      <c:pt idx="17">
                        <c:v>2297.5662221729922</c:v>
                      </c:pt>
                      <c:pt idx="18">
                        <c:v>2380.9463845396517</c:v>
                      </c:pt>
                      <c:pt idx="19">
                        <c:v>2329.35287655092</c:v>
                      </c:pt>
                      <c:pt idx="20">
                        <c:v>2369.3465541862302</c:v>
                      </c:pt>
                      <c:pt idx="21">
                        <c:v>2370.4305491547971</c:v>
                      </c:pt>
                      <c:pt idx="22">
                        <c:v>2269.153208313021</c:v>
                      </c:pt>
                      <c:pt idx="23">
                        <c:v>2431.7524623901409</c:v>
                      </c:pt>
                      <c:pt idx="24">
                        <c:v>2430.5768400701409</c:v>
                      </c:pt>
                      <c:pt idx="25">
                        <c:v>2407.0023766672321</c:v>
                      </c:pt>
                      <c:pt idx="26">
                        <c:v>2265.174978621726</c:v>
                      </c:pt>
                      <c:pt idx="27">
                        <c:v>2253.2585636522972</c:v>
                      </c:pt>
                    </c:numCache>
                  </c:numRef>
                </c:val>
                <c:smooth val="0"/>
                <c:extLst xmlns:c15="http://schemas.microsoft.com/office/drawing/2012/chart">
                  <c:ext xmlns:c16="http://schemas.microsoft.com/office/drawing/2014/chart" uri="{C3380CC4-5D6E-409C-BE32-E72D297353CC}">
                    <c16:uniqueId val="{0000000C-5083-4013-9505-CE085EB4DA8F}"/>
                  </c:ext>
                </c:extLst>
              </c15:ser>
            </c15:filteredLineSeries>
            <c15:filteredLineSeries>
              <c15:ser>
                <c:idx val="13"/>
                <c:order val="13"/>
                <c:tx>
                  <c:strRef>
                    <c:extLst xmlns:c15="http://schemas.microsoft.com/office/drawing/2012/chart">
                      <c:ext xmlns:c15="http://schemas.microsoft.com/office/drawing/2012/chart" uri="{02D57815-91ED-43cb-92C2-25804820EDAC}">
                        <c15:formulaRef>
                          <c15:sqref>'Net zero emission summary'!$H$127</c15:sqref>
                        </c15:formulaRef>
                      </c:ext>
                    </c:extLst>
                    <c:strCache>
                      <c:ptCount val="1"/>
                      <c:pt idx="0">
                        <c:v>Indirect N2O from MM (inventory)</c:v>
                      </c:pt>
                    </c:strCache>
                  </c:strRef>
                </c:tx>
                <c:spPr>
                  <a:ln w="28575" cap="rnd">
                    <a:solidFill>
                      <a:schemeClr val="accent2">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summary'!$I$127:$AJ$127</c15:sqref>
                        </c15:formulaRef>
                      </c:ext>
                    </c:extLst>
                    <c:numCache>
                      <c:formatCode>General</c:formatCode>
                      <c:ptCount val="28"/>
                      <c:pt idx="0">
                        <c:v>332.77730613860399</c:v>
                      </c:pt>
                      <c:pt idx="1">
                        <c:v>353.03457691007083</c:v>
                      </c:pt>
                      <c:pt idx="2">
                        <c:v>329.75336223257443</c:v>
                      </c:pt>
                      <c:pt idx="3">
                        <c:v>341.70939722274608</c:v>
                      </c:pt>
                      <c:pt idx="4">
                        <c:v>326.52853902593881</c:v>
                      </c:pt>
                      <c:pt idx="5">
                        <c:v>344.58323593662567</c:v>
                      </c:pt>
                      <c:pt idx="6">
                        <c:v>360.27670046049241</c:v>
                      </c:pt>
                      <c:pt idx="7">
                        <c:v>357.64284080532752</c:v>
                      </c:pt>
                      <c:pt idx="8">
                        <c:v>367.73848791261435</c:v>
                      </c:pt>
                      <c:pt idx="9">
                        <c:v>372.0452384281258</c:v>
                      </c:pt>
                      <c:pt idx="10">
                        <c:v>408.94308689508148</c:v>
                      </c:pt>
                      <c:pt idx="11">
                        <c:v>406.68937516322404</c:v>
                      </c:pt>
                      <c:pt idx="12">
                        <c:v>397.06973777083419</c:v>
                      </c:pt>
                      <c:pt idx="13">
                        <c:v>376.09010924780205</c:v>
                      </c:pt>
                      <c:pt idx="14">
                        <c:v>374.09743931517124</c:v>
                      </c:pt>
                      <c:pt idx="15">
                        <c:v>392.69820864834276</c:v>
                      </c:pt>
                      <c:pt idx="16">
                        <c:v>398.35557315486267</c:v>
                      </c:pt>
                      <c:pt idx="17">
                        <c:v>404.14478384272525</c:v>
                      </c:pt>
                      <c:pt idx="18">
                        <c:v>438.4751035531649</c:v>
                      </c:pt>
                      <c:pt idx="19">
                        <c:v>433.26067452840772</c:v>
                      </c:pt>
                      <c:pt idx="20">
                        <c:v>438.54251424027257</c:v>
                      </c:pt>
                      <c:pt idx="21">
                        <c:v>444.74604882624305</c:v>
                      </c:pt>
                      <c:pt idx="22">
                        <c:v>440.60780254144959</c:v>
                      </c:pt>
                      <c:pt idx="23">
                        <c:v>456.58226294187887</c:v>
                      </c:pt>
                      <c:pt idx="24">
                        <c:v>454.87268271519412</c:v>
                      </c:pt>
                      <c:pt idx="25">
                        <c:v>463.54275866618883</c:v>
                      </c:pt>
                      <c:pt idx="26">
                        <c:v>458.22071963845576</c:v>
                      </c:pt>
                      <c:pt idx="27">
                        <c:v>469.34598780544559</c:v>
                      </c:pt>
                    </c:numCache>
                  </c:numRef>
                </c:val>
                <c:smooth val="0"/>
                <c:extLst xmlns:c15="http://schemas.microsoft.com/office/drawing/2012/chart">
                  <c:ext xmlns:c16="http://schemas.microsoft.com/office/drawing/2014/chart" uri="{C3380CC4-5D6E-409C-BE32-E72D297353CC}">
                    <c16:uniqueId val="{0000000D-5083-4013-9505-CE085EB4DA8F}"/>
                  </c:ext>
                </c:extLst>
              </c15:ser>
            </c15:filteredLineSeries>
          </c:ext>
        </c:extLst>
      </c:lineChart>
      <c:catAx>
        <c:axId val="1363460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3696"/>
        <c:crosses val="autoZero"/>
        <c:auto val="1"/>
        <c:lblAlgn val="ctr"/>
        <c:lblOffset val="100"/>
        <c:noMultiLvlLbl val="0"/>
      </c:catAx>
      <c:valAx>
        <c:axId val="1363463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07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'Net zero outputs'!$A$4</c:f>
              <c:strCache>
                <c:ptCount val="1"/>
                <c:pt idx="0">
                  <c:v>Agriculture baseline</c:v>
                </c:pt>
              </c:strCache>
            </c:strRef>
          </c:tx>
          <c:spPr>
            <a:ln w="28575" cap="rnd">
              <a:solidFill>
                <a:schemeClr val="accent1"/>
              </a:solidFill>
              <a:round/>
            </a:ln>
            <a:effectLst/>
          </c:spPr>
          <c:marker>
            <c:symbol val="none"/>
          </c:marker>
          <c:cat>
            <c:numRef>
              <c:f>'Net zero outputs'!$B$3:$AN$3</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'Net zero outputs'!$B$4:$AN$4</c:f>
              <c:numCache>
                <c:formatCode>#,##0.00</c:formatCode>
                <c:ptCount val="39"/>
                <c:pt idx="0">
                  <c:v>50148.925222079342</c:v>
                </c:pt>
                <c:pt idx="1">
                  <c:v>50151.153885981519</c:v>
                </c:pt>
                <c:pt idx="2">
                  <c:v>49825.882064441699</c:v>
                </c:pt>
                <c:pt idx="3">
                  <c:v>49194.761064050384</c:v>
                </c:pt>
                <c:pt idx="4">
                  <c:v>48629.136606349901</c:v>
                </c:pt>
                <c:pt idx="5">
                  <c:v>48239.040492340682</c:v>
                </c:pt>
                <c:pt idx="6">
                  <c:v>47896.800616392095</c:v>
                </c:pt>
                <c:pt idx="7">
                  <c:v>47257.806608659375</c:v>
                </c:pt>
                <c:pt idx="8">
                  <c:v>43857.226023400493</c:v>
                </c:pt>
                <c:pt idx="9">
                  <c:v>44172.12273061624</c:v>
                </c:pt>
                <c:pt idx="10">
                  <c:v>44438.790091815703</c:v>
                </c:pt>
                <c:pt idx="11">
                  <c:v>44703.529233445224</c:v>
                </c:pt>
                <c:pt idx="12">
                  <c:v>45078.072305826165</c:v>
                </c:pt>
                <c:pt idx="13">
                  <c:v>45449.182925721216</c:v>
                </c:pt>
                <c:pt idx="14">
                  <c:v>45826.96855101618</c:v>
                </c:pt>
                <c:pt idx="15">
                  <c:v>46173.798042117734</c:v>
                </c:pt>
                <c:pt idx="16">
                  <c:v>46557.626849913162</c:v>
                </c:pt>
                <c:pt idx="17">
                  <c:v>46886.700061202457</c:v>
                </c:pt>
                <c:pt idx="18">
                  <c:v>47225.248097930235</c:v>
                </c:pt>
                <c:pt idx="19">
                  <c:v>47499.273691008188</c:v>
                </c:pt>
                <c:pt idx="20">
                  <c:v>47820.166016998133</c:v>
                </c:pt>
                <c:pt idx="21">
                  <c:v>48148.968569428136</c:v>
                </c:pt>
                <c:pt idx="22">
                  <c:v>47711.967536474629</c:v>
                </c:pt>
                <c:pt idx="23">
                  <c:v>11701.327697055991</c:v>
                </c:pt>
                <c:pt idx="24">
                  <c:v>11216.097823691249</c:v>
                </c:pt>
                <c:pt idx="25">
                  <c:v>11351.146191726915</c:v>
                </c:pt>
                <c:pt idx="26">
                  <c:v>11485.160642164283</c:v>
                </c:pt>
                <c:pt idx="27">
                  <c:v>11617.687004326028</c:v>
                </c:pt>
                <c:pt idx="28">
                  <c:v>11749.304376233769</c:v>
                </c:pt>
                <c:pt idx="29">
                  <c:v>11853.827036297971</c:v>
                </c:pt>
                <c:pt idx="30">
                  <c:v>11957.777972898808</c:v>
                </c:pt>
                <c:pt idx="31">
                  <c:v>12061.024499213589</c:v>
                </c:pt>
                <c:pt idx="32">
                  <c:v>12163.604422262806</c:v>
                </c:pt>
                <c:pt idx="33">
                  <c:v>12265.553373724053</c:v>
                </c:pt>
                <c:pt idx="34">
                  <c:v>12362.966770068209</c:v>
                </c:pt>
                <c:pt idx="35">
                  <c:v>12459.857862689389</c:v>
                </c:pt>
                <c:pt idx="36">
                  <c:v>12556.076519029135</c:v>
                </c:pt>
                <c:pt idx="37">
                  <c:v>12651.651640674034</c:v>
                </c:pt>
                <c:pt idx="38">
                  <c:v>12746.610610656688</c:v>
                </c:pt>
              </c:numCache>
            </c:numRef>
          </c:val>
          <c:smooth val="0"/>
          <c:extLst>
            <c:ext xmlns:c16="http://schemas.microsoft.com/office/drawing/2014/chart" uri="{C3380CC4-5D6E-409C-BE32-E72D297353CC}">
              <c16:uniqueId val="{00000000-7D63-4309-BA51-2E47EA3A89BE}"/>
            </c:ext>
          </c:extLst>
        </c:ser>
        <c:ser>
          <c:idx val="1"/>
          <c:order val="1"/>
          <c:tx>
            <c:strRef>
              <c:f>'Net zero outputs'!$A$5</c:f>
              <c:strCache>
                <c:ptCount val="1"/>
                <c:pt idx="0">
                  <c:v>Agriculture net zero model output</c:v>
                </c:pt>
              </c:strCache>
            </c:strRef>
          </c:tx>
          <c:spPr>
            <a:ln w="28575" cap="rnd">
              <a:solidFill>
                <a:schemeClr val="accent2"/>
              </a:solidFill>
              <a:round/>
            </a:ln>
            <a:effectLst/>
          </c:spPr>
          <c:marker>
            <c:symbol val="none"/>
          </c:marker>
          <c:cat>
            <c:numRef>
              <c:f>'Net zero outputs'!$B$3:$AN$3</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'Net zero outputs'!$B$5:$AN$5</c:f>
              <c:numCache>
                <c:formatCode>#,##0.00</c:formatCode>
                <c:ptCount val="39"/>
                <c:pt idx="0">
                  <c:v>50148.929178891543</c:v>
                </c:pt>
                <c:pt idx="1">
                  <c:v>50151.157870691561</c:v>
                </c:pt>
                <c:pt idx="2">
                  <c:v>49825.886071229252</c:v>
                </c:pt>
                <c:pt idx="3">
                  <c:v>49194.765083716709</c:v>
                </c:pt>
                <c:pt idx="4">
                  <c:v>48629.140640622572</c:v>
                </c:pt>
                <c:pt idx="5">
                  <c:v>48239.044548495396</c:v>
                </c:pt>
                <c:pt idx="6">
                  <c:v>47896.804697104228</c:v>
                </c:pt>
                <c:pt idx="7">
                  <c:v>47257.810702966512</c:v>
                </c:pt>
                <c:pt idx="8">
                  <c:v>43857.23002163515</c:v>
                </c:pt>
                <c:pt idx="9">
                  <c:v>43845.309111859198</c:v>
                </c:pt>
                <c:pt idx="10">
                  <c:v>43726.233463570665</c:v>
                </c:pt>
                <c:pt idx="11">
                  <c:v>43546.736898398165</c:v>
                </c:pt>
                <c:pt idx="12">
                  <c:v>43414.433485527486</c:v>
                </c:pt>
                <c:pt idx="13">
                  <c:v>43218.21378994792</c:v>
                </c:pt>
                <c:pt idx="14">
                  <c:v>42967.430720485543</c:v>
                </c:pt>
                <c:pt idx="15">
                  <c:v>42627.490362893375</c:v>
                </c:pt>
                <c:pt idx="16">
                  <c:v>42260.853230037494</c:v>
                </c:pt>
                <c:pt idx="17">
                  <c:v>41785.155322305174</c:v>
                </c:pt>
                <c:pt idx="18">
                  <c:v>41258.612002510214</c:v>
                </c:pt>
                <c:pt idx="19">
                  <c:v>41242.672413594635</c:v>
                </c:pt>
                <c:pt idx="20">
                  <c:v>41260.660890431143</c:v>
                </c:pt>
                <c:pt idx="21">
                  <c:v>41278.870976267775</c:v>
                </c:pt>
                <c:pt idx="22">
                  <c:v>40652.966933795149</c:v>
                </c:pt>
                <c:pt idx="23">
                  <c:v>10639.112678170557</c:v>
                </c:pt>
                <c:pt idx="24">
                  <c:v>10076.330698705933</c:v>
                </c:pt>
                <c:pt idx="25">
                  <c:v>10145.478281145401</c:v>
                </c:pt>
                <c:pt idx="26">
                  <c:v>10212.799667838523</c:v>
                </c:pt>
                <c:pt idx="27">
                  <c:v>10277.831723796015</c:v>
                </c:pt>
                <c:pt idx="28">
                  <c:v>10341.144487803705</c:v>
                </c:pt>
                <c:pt idx="29">
                  <c:v>10425.730074517445</c:v>
                </c:pt>
                <c:pt idx="30">
                  <c:v>10509.372875967114</c:v>
                </c:pt>
                <c:pt idx="31">
                  <c:v>10591.922919713999</c:v>
                </c:pt>
                <c:pt idx="32">
                  <c:v>10673.405667309751</c:v>
                </c:pt>
                <c:pt idx="33">
                  <c:v>10753.844710179539</c:v>
                </c:pt>
                <c:pt idx="34">
                  <c:v>10829.784242631275</c:v>
                </c:pt>
                <c:pt idx="35">
                  <c:v>10904.806537024018</c:v>
                </c:pt>
                <c:pt idx="36">
                  <c:v>10978.746421696776</c:v>
                </c:pt>
                <c:pt idx="37">
                  <c:v>11051.622852743867</c:v>
                </c:pt>
                <c:pt idx="38">
                  <c:v>11123.453525756788</c:v>
                </c:pt>
              </c:numCache>
            </c:numRef>
          </c:val>
          <c:smooth val="0"/>
          <c:extLst>
            <c:ext xmlns:c16="http://schemas.microsoft.com/office/drawing/2014/chart" uri="{C3380CC4-5D6E-409C-BE32-E72D297353CC}">
              <c16:uniqueId val="{00000001-7D63-4309-BA51-2E47EA3A89BE}"/>
            </c:ext>
          </c:extLst>
        </c:ser>
        <c:dLbls>
          <c:showLegendKey val="0"/>
          <c:showVal val="0"/>
          <c:showCatName val="0"/>
          <c:showSerName val="0"/>
          <c:showPercent val="0"/>
          <c:showBubbleSize val="0"/>
        </c:dLbls>
        <c:smooth val="0"/>
        <c:axId val="400985903"/>
        <c:axId val="400964271"/>
      </c:lineChart>
      <c:catAx>
        <c:axId val="400985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00964271"/>
        <c:crosses val="autoZero"/>
        <c:auto val="1"/>
        <c:lblAlgn val="ctr"/>
        <c:lblOffset val="100"/>
        <c:noMultiLvlLbl val="0"/>
      </c:catAx>
      <c:valAx>
        <c:axId val="4009642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 CO2e)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400985903"/>
        <c:crosses val="autoZero"/>
        <c:crossBetween val="between"/>
      </c:valAx>
      <c:spPr>
        <a:noFill/>
        <a:ln>
          <a:solidFill>
            <a:schemeClr val="bg1">
              <a:lumMod val="50000"/>
            </a:schemeClr>
          </a:solidFill>
        </a:ln>
        <a:effectLst/>
      </c:spPr>
    </c:plotArea>
    <c:legend>
      <c:legendPos val="b"/>
      <c:overlay val="0"/>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Relationship Id="rId3" Type="http://schemas.openxmlformats.org/officeDocument/2006/relationships/chart" Target="../charts/chart6.xml"/><Relationship Id="rId7" Type="http://schemas.openxmlformats.org/officeDocument/2006/relationships/chart" Target="../charts/chart10.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5" Type="http://schemas.openxmlformats.org/officeDocument/2006/relationships/chart" Target="../charts/chart8.xml"/><Relationship Id="rId10" Type="http://schemas.openxmlformats.org/officeDocument/2006/relationships/chart" Target="../charts/chart13.xml"/><Relationship Id="rId4" Type="http://schemas.openxmlformats.org/officeDocument/2006/relationships/chart" Target="../charts/chart7.xml"/><Relationship Id="rId9" Type="http://schemas.openxmlformats.org/officeDocument/2006/relationships/chart" Target="../charts/chart1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7.xml.rels><?xml version="1.0" encoding="UTF-8" standalone="yes"?>
<Relationships xmlns="http://schemas.openxmlformats.org/package/2006/relationships"><Relationship Id="rId3" Type="http://schemas.openxmlformats.org/officeDocument/2006/relationships/chart" Target="../charts/chart22.xml"/><Relationship Id="rId2" Type="http://schemas.openxmlformats.org/officeDocument/2006/relationships/chart" Target="../charts/chart21.xml"/><Relationship Id="rId1" Type="http://schemas.openxmlformats.org/officeDocument/2006/relationships/chart" Target="../charts/chart2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3.xml"/></Relationships>
</file>

<file path=xl/drawings/drawing1.xml><?xml version="1.0" encoding="utf-8"?>
<xdr:wsDr xmlns:xdr="http://schemas.openxmlformats.org/drawingml/2006/spreadsheetDrawing" xmlns:a="http://schemas.openxmlformats.org/drawingml/2006/main">
  <xdr:twoCellAnchor>
    <xdr:from>
      <xdr:col>6</xdr:col>
      <xdr:colOff>828681</xdr:colOff>
      <xdr:row>23</xdr:row>
      <xdr:rowOff>76200</xdr:rowOff>
    </xdr:from>
    <xdr:to>
      <xdr:col>12</xdr:col>
      <xdr:colOff>314331</xdr:colOff>
      <xdr:row>39</xdr:row>
      <xdr:rowOff>152400</xdr:rowOff>
    </xdr:to>
    <xdr:graphicFrame macro="">
      <xdr:nvGraphicFramePr>
        <xdr:cNvPr id="10" name="Chart 9">
          <a:extLst>
            <a:ext uri="{FF2B5EF4-FFF2-40B4-BE49-F238E27FC236}">
              <a16:creationId xmlns:a16="http://schemas.microsoft.com/office/drawing/2014/main" id="{00000000-0008-0000-0A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809631</xdr:colOff>
      <xdr:row>38</xdr:row>
      <xdr:rowOff>171450</xdr:rowOff>
    </xdr:from>
    <xdr:to>
      <xdr:col>9</xdr:col>
      <xdr:colOff>295281</xdr:colOff>
      <xdr:row>55</xdr:row>
      <xdr:rowOff>57150</xdr:rowOff>
    </xdr:to>
    <xdr:graphicFrame macro="">
      <xdr:nvGraphicFramePr>
        <xdr:cNvPr id="13" name="Chart 12">
          <a:extLst>
            <a:ext uri="{FF2B5EF4-FFF2-40B4-BE49-F238E27FC236}">
              <a16:creationId xmlns:a16="http://schemas.microsoft.com/office/drawing/2014/main" id="{00000000-0008-0000-0A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685806</xdr:colOff>
      <xdr:row>15</xdr:row>
      <xdr:rowOff>171450</xdr:rowOff>
    </xdr:from>
    <xdr:to>
      <xdr:col>14</xdr:col>
      <xdr:colOff>171456</xdr:colOff>
      <xdr:row>30</xdr:row>
      <xdr:rowOff>57150</xdr:rowOff>
    </xdr:to>
    <xdr:graphicFrame macro="">
      <xdr:nvGraphicFramePr>
        <xdr:cNvPr id="2" name="Chart 1">
          <a:extLst>
            <a:ext uri="{FF2B5EF4-FFF2-40B4-BE49-F238E27FC236}">
              <a16:creationId xmlns:a16="http://schemas.microsoft.com/office/drawing/2014/main" id="{00000000-0008-0000-0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1752600</xdr:colOff>
      <xdr:row>27</xdr:row>
      <xdr:rowOff>0</xdr:rowOff>
    </xdr:from>
    <xdr:to>
      <xdr:col>4</xdr:col>
      <xdr:colOff>247650</xdr:colOff>
      <xdr:row>27</xdr:row>
      <xdr:rowOff>0</xdr:rowOff>
    </xdr:to>
    <xdr:graphicFrame macro="">
      <xdr:nvGraphicFramePr>
        <xdr:cNvPr id="2" name="Chart 6">
          <a:extLst>
            <a:ext uri="{FF2B5EF4-FFF2-40B4-BE49-F238E27FC236}">
              <a16:creationId xmlns:a16="http://schemas.microsoft.com/office/drawing/2014/main" id="{00000000-0008-0000-0B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66675</xdr:colOff>
      <xdr:row>27</xdr:row>
      <xdr:rowOff>0</xdr:rowOff>
    </xdr:from>
    <xdr:to>
      <xdr:col>4</xdr:col>
      <xdr:colOff>561975</xdr:colOff>
      <xdr:row>27</xdr:row>
      <xdr:rowOff>0</xdr:rowOff>
    </xdr:to>
    <xdr:graphicFrame macro="">
      <xdr:nvGraphicFramePr>
        <xdr:cNvPr id="3" name="Chart 7">
          <a:extLst>
            <a:ext uri="{FF2B5EF4-FFF2-40B4-BE49-F238E27FC236}">
              <a16:creationId xmlns:a16="http://schemas.microsoft.com/office/drawing/2014/main" id="{00000000-0008-0000-0B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1171575</xdr:colOff>
      <xdr:row>27</xdr:row>
      <xdr:rowOff>0</xdr:rowOff>
    </xdr:from>
    <xdr:to>
      <xdr:col>2</xdr:col>
      <xdr:colOff>0</xdr:colOff>
      <xdr:row>27</xdr:row>
      <xdr:rowOff>0</xdr:rowOff>
    </xdr:to>
    <xdr:graphicFrame macro="">
      <xdr:nvGraphicFramePr>
        <xdr:cNvPr id="4" name="Chart 20">
          <a:extLst>
            <a:ext uri="{FF2B5EF4-FFF2-40B4-BE49-F238E27FC236}">
              <a16:creationId xmlns:a16="http://schemas.microsoft.com/office/drawing/2014/main" id="{00000000-0008-0000-0B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27</xdr:row>
      <xdr:rowOff>0</xdr:rowOff>
    </xdr:from>
    <xdr:to>
      <xdr:col>2</xdr:col>
      <xdr:colOff>0</xdr:colOff>
      <xdr:row>27</xdr:row>
      <xdr:rowOff>0</xdr:rowOff>
    </xdr:to>
    <xdr:graphicFrame macro="">
      <xdr:nvGraphicFramePr>
        <xdr:cNvPr id="5" name="Chart 21">
          <a:extLst>
            <a:ext uri="{FF2B5EF4-FFF2-40B4-BE49-F238E27FC236}">
              <a16:creationId xmlns:a16="http://schemas.microsoft.com/office/drawing/2014/main" id="{00000000-0008-0000-0B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37</xdr:col>
      <xdr:colOff>519112</xdr:colOff>
      <xdr:row>13</xdr:row>
      <xdr:rowOff>23812</xdr:rowOff>
    </xdr:from>
    <xdr:to>
      <xdr:col>45</xdr:col>
      <xdr:colOff>214312</xdr:colOff>
      <xdr:row>36</xdr:row>
      <xdr:rowOff>100012</xdr:rowOff>
    </xdr:to>
    <xdr:graphicFrame macro="">
      <xdr:nvGraphicFramePr>
        <xdr:cNvPr id="6" name="Chart 5">
          <a:extLst>
            <a:ext uri="{FF2B5EF4-FFF2-40B4-BE49-F238E27FC236}">
              <a16:creationId xmlns:a16="http://schemas.microsoft.com/office/drawing/2014/main" id="{00000000-0008-0000-0B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45</xdr:col>
      <xdr:colOff>328612</xdr:colOff>
      <xdr:row>13</xdr:row>
      <xdr:rowOff>61912</xdr:rowOff>
    </xdr:from>
    <xdr:to>
      <xdr:col>53</xdr:col>
      <xdr:colOff>23812</xdr:colOff>
      <xdr:row>36</xdr:row>
      <xdr:rowOff>138112</xdr:rowOff>
    </xdr:to>
    <xdr:graphicFrame macro="">
      <xdr:nvGraphicFramePr>
        <xdr:cNvPr id="7" name="Chart 6">
          <a:extLst>
            <a:ext uri="{FF2B5EF4-FFF2-40B4-BE49-F238E27FC236}">
              <a16:creationId xmlns:a16="http://schemas.microsoft.com/office/drawing/2014/main" id="{00000000-0008-0000-0B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29</xdr:col>
      <xdr:colOff>433387</xdr:colOff>
      <xdr:row>21</xdr:row>
      <xdr:rowOff>42862</xdr:rowOff>
    </xdr:from>
    <xdr:to>
      <xdr:col>37</xdr:col>
      <xdr:colOff>128587</xdr:colOff>
      <xdr:row>41</xdr:row>
      <xdr:rowOff>119062</xdr:rowOff>
    </xdr:to>
    <xdr:graphicFrame macro="">
      <xdr:nvGraphicFramePr>
        <xdr:cNvPr id="8" name="Chart 7">
          <a:extLst>
            <a:ext uri="{FF2B5EF4-FFF2-40B4-BE49-F238E27FC236}">
              <a16:creationId xmlns:a16="http://schemas.microsoft.com/office/drawing/2014/main" id="{00000000-0008-0000-0B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37</xdr:col>
      <xdr:colOff>566737</xdr:colOff>
      <xdr:row>37</xdr:row>
      <xdr:rowOff>147637</xdr:rowOff>
    </xdr:from>
    <xdr:to>
      <xdr:col>45</xdr:col>
      <xdr:colOff>261937</xdr:colOff>
      <xdr:row>52</xdr:row>
      <xdr:rowOff>33337</xdr:rowOff>
    </xdr:to>
    <xdr:graphicFrame macro="">
      <xdr:nvGraphicFramePr>
        <xdr:cNvPr id="9" name="Chart 8">
          <a:extLst>
            <a:ext uri="{FF2B5EF4-FFF2-40B4-BE49-F238E27FC236}">
              <a16:creationId xmlns:a16="http://schemas.microsoft.com/office/drawing/2014/main" id="{00000000-0008-0000-0B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30</xdr:col>
      <xdr:colOff>80962</xdr:colOff>
      <xdr:row>42</xdr:row>
      <xdr:rowOff>52387</xdr:rowOff>
    </xdr:from>
    <xdr:to>
      <xdr:col>37</xdr:col>
      <xdr:colOff>385762</xdr:colOff>
      <xdr:row>56</xdr:row>
      <xdr:rowOff>128587</xdr:rowOff>
    </xdr:to>
    <xdr:graphicFrame macro="">
      <xdr:nvGraphicFramePr>
        <xdr:cNvPr id="10" name="Chart 9">
          <a:extLst>
            <a:ext uri="{FF2B5EF4-FFF2-40B4-BE49-F238E27FC236}">
              <a16:creationId xmlns:a16="http://schemas.microsoft.com/office/drawing/2014/main" id="{00000000-0008-0000-0B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45</xdr:col>
      <xdr:colOff>519112</xdr:colOff>
      <xdr:row>39</xdr:row>
      <xdr:rowOff>80962</xdr:rowOff>
    </xdr:from>
    <xdr:to>
      <xdr:col>53</xdr:col>
      <xdr:colOff>214312</xdr:colOff>
      <xdr:row>53</xdr:row>
      <xdr:rowOff>157162</xdr:rowOff>
    </xdr:to>
    <xdr:graphicFrame macro="">
      <xdr:nvGraphicFramePr>
        <xdr:cNvPr id="11" name="Chart 10">
          <a:extLst>
            <a:ext uri="{FF2B5EF4-FFF2-40B4-BE49-F238E27FC236}">
              <a16:creationId xmlns:a16="http://schemas.microsoft.com/office/drawing/2014/main" id="{00000000-0008-0000-0B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9</xdr:col>
      <xdr:colOff>485775</xdr:colOff>
      <xdr:row>11</xdr:row>
      <xdr:rowOff>114300</xdr:rowOff>
    </xdr:from>
    <xdr:to>
      <xdr:col>18</xdr:col>
      <xdr:colOff>219075</xdr:colOff>
      <xdr:row>37</xdr:row>
      <xdr:rowOff>9526</xdr:rowOff>
    </xdr:to>
    <xdr:graphicFrame macro="">
      <xdr:nvGraphicFramePr>
        <xdr:cNvPr id="2" name="Chart 1">
          <a:extLst>
            <a:ext uri="{FF2B5EF4-FFF2-40B4-BE49-F238E27FC236}">
              <a16:creationId xmlns:a16="http://schemas.microsoft.com/office/drawing/2014/main" id="{00000000-0008-0000-0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15</xdr:col>
      <xdr:colOff>176212</xdr:colOff>
      <xdr:row>19</xdr:row>
      <xdr:rowOff>47625</xdr:rowOff>
    </xdr:from>
    <xdr:to>
      <xdr:col>22</xdr:col>
      <xdr:colOff>481012</xdr:colOff>
      <xdr:row>33</xdr:row>
      <xdr:rowOff>114300</xdr:rowOff>
    </xdr:to>
    <xdr:graphicFrame macro="">
      <xdr:nvGraphicFramePr>
        <xdr:cNvPr id="3" name="Chart 2">
          <a:extLst>
            <a:ext uri="{FF2B5EF4-FFF2-40B4-BE49-F238E27FC236}">
              <a16:creationId xmlns:a16="http://schemas.microsoft.com/office/drawing/2014/main" id="{DB764609-FC9B-4D81-A187-AD84C8F67F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361949</xdr:colOff>
      <xdr:row>81</xdr:row>
      <xdr:rowOff>33337</xdr:rowOff>
    </xdr:from>
    <xdr:to>
      <xdr:col>15</xdr:col>
      <xdr:colOff>219074</xdr:colOff>
      <xdr:row>106</xdr:row>
      <xdr:rowOff>171450</xdr:rowOff>
    </xdr:to>
    <xdr:graphicFrame macro="">
      <xdr:nvGraphicFramePr>
        <xdr:cNvPr id="4" name="Chart 3">
          <a:extLst>
            <a:ext uri="{FF2B5EF4-FFF2-40B4-BE49-F238E27FC236}">
              <a16:creationId xmlns:a16="http://schemas.microsoft.com/office/drawing/2014/main" id="{00000000-0008-0000-11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619125</xdr:colOff>
      <xdr:row>80</xdr:row>
      <xdr:rowOff>176211</xdr:rowOff>
    </xdr:from>
    <xdr:to>
      <xdr:col>26</xdr:col>
      <xdr:colOff>600075</xdr:colOff>
      <xdr:row>102</xdr:row>
      <xdr:rowOff>133350</xdr:rowOff>
    </xdr:to>
    <xdr:graphicFrame macro="">
      <xdr:nvGraphicFramePr>
        <xdr:cNvPr id="3" name="Chart 2">
          <a:extLst>
            <a:ext uri="{FF2B5EF4-FFF2-40B4-BE49-F238E27FC236}">
              <a16:creationId xmlns:a16="http://schemas.microsoft.com/office/drawing/2014/main" id="{00000000-0008-0000-1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276224</xdr:colOff>
      <xdr:row>120</xdr:row>
      <xdr:rowOff>14286</xdr:rowOff>
    </xdr:from>
    <xdr:to>
      <xdr:col>35</xdr:col>
      <xdr:colOff>447674</xdr:colOff>
      <xdr:row>145</xdr:row>
      <xdr:rowOff>152399</xdr:rowOff>
    </xdr:to>
    <xdr:graphicFrame macro="">
      <xdr:nvGraphicFramePr>
        <xdr:cNvPr id="5" name="Chart 4">
          <a:extLst>
            <a:ext uri="{FF2B5EF4-FFF2-40B4-BE49-F238E27FC236}">
              <a16:creationId xmlns:a16="http://schemas.microsoft.com/office/drawing/2014/main" id="{00000000-0008-0000-11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9</xdr:col>
      <xdr:colOff>485775</xdr:colOff>
      <xdr:row>11</xdr:row>
      <xdr:rowOff>114300</xdr:rowOff>
    </xdr:from>
    <xdr:to>
      <xdr:col>18</xdr:col>
      <xdr:colOff>219075</xdr:colOff>
      <xdr:row>37</xdr:row>
      <xdr:rowOff>9526</xdr:rowOff>
    </xdr:to>
    <xdr:graphicFrame macro="">
      <xdr:nvGraphicFramePr>
        <xdr:cNvPr id="2" name="Chart 1">
          <a:extLst>
            <a:ext uri="{FF2B5EF4-FFF2-40B4-BE49-F238E27FC236}">
              <a16:creationId xmlns:a16="http://schemas.microsoft.com/office/drawing/2014/main" id="{2283B14B-9695-433D-A758-27CCADB762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8</xdr:col>
      <xdr:colOff>361949</xdr:colOff>
      <xdr:row>81</xdr:row>
      <xdr:rowOff>33337</xdr:rowOff>
    </xdr:from>
    <xdr:to>
      <xdr:col>18</xdr:col>
      <xdr:colOff>219074</xdr:colOff>
      <xdr:row>106</xdr:row>
      <xdr:rowOff>171450</xdr:rowOff>
    </xdr:to>
    <xdr:graphicFrame macro="">
      <xdr:nvGraphicFramePr>
        <xdr:cNvPr id="2" name="Chart 1">
          <a:extLst>
            <a:ext uri="{FF2B5EF4-FFF2-40B4-BE49-F238E27FC236}">
              <a16:creationId xmlns:a16="http://schemas.microsoft.com/office/drawing/2014/main" id="{D03E5D91-998A-48FF-B13B-614BB470BC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619125</xdr:colOff>
      <xdr:row>80</xdr:row>
      <xdr:rowOff>176211</xdr:rowOff>
    </xdr:from>
    <xdr:to>
      <xdr:col>29</xdr:col>
      <xdr:colOff>600075</xdr:colOff>
      <xdr:row>102</xdr:row>
      <xdr:rowOff>133350</xdr:rowOff>
    </xdr:to>
    <xdr:graphicFrame macro="">
      <xdr:nvGraphicFramePr>
        <xdr:cNvPr id="3" name="Chart 2">
          <a:extLst>
            <a:ext uri="{FF2B5EF4-FFF2-40B4-BE49-F238E27FC236}">
              <a16:creationId xmlns:a16="http://schemas.microsoft.com/office/drawing/2014/main" id="{8476E91C-EB8A-4033-B51D-5BC63BAAAF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28</xdr:col>
      <xdr:colOff>276224</xdr:colOff>
      <xdr:row>120</xdr:row>
      <xdr:rowOff>14286</xdr:rowOff>
    </xdr:from>
    <xdr:to>
      <xdr:col>38</xdr:col>
      <xdr:colOff>447674</xdr:colOff>
      <xdr:row>145</xdr:row>
      <xdr:rowOff>152399</xdr:rowOff>
    </xdr:to>
    <xdr:graphicFrame macro="">
      <xdr:nvGraphicFramePr>
        <xdr:cNvPr id="4" name="Chart 3">
          <a:extLst>
            <a:ext uri="{FF2B5EF4-FFF2-40B4-BE49-F238E27FC236}">
              <a16:creationId xmlns:a16="http://schemas.microsoft.com/office/drawing/2014/main" id="{71BD73DE-2983-46D6-9AF6-0838DA85E6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161925</xdr:colOff>
      <xdr:row>9</xdr:row>
      <xdr:rowOff>57150</xdr:rowOff>
    </xdr:from>
    <xdr:to>
      <xdr:col>13</xdr:col>
      <xdr:colOff>552450</xdr:colOff>
      <xdr:row>30</xdr:row>
      <xdr:rowOff>57150</xdr:rowOff>
    </xdr:to>
    <xdr:graphicFrame macro="">
      <xdr:nvGraphicFramePr>
        <xdr:cNvPr id="2" name="Chart 1">
          <a:extLst>
            <a:ext uri="{FF2B5EF4-FFF2-40B4-BE49-F238E27FC236}">
              <a16:creationId xmlns:a16="http://schemas.microsoft.com/office/drawing/2014/main" id="{2D8AAF4D-D4C1-442A-B912-43EF0354CD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G:\My%20Drive\Consulting\2020Projects\AFOLU%20NDC\Corrected%20inventory\LULUC%202000-2017_v7_Corrected.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Land_model_Linked.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G:\My%20Drive\Consulting\2020Projects\AFOLU%20NDC\Updated%20linked%20models\Land_model_Linked.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G:\My%20Drive\Consulting\2020Projects\AFOLU%20NDC\Land%20modelling\Land%20model_v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C Log"/>
      <sheetName val="QA Log"/>
      <sheetName val="Colour coding"/>
      <sheetName val="# Look Up Table"/>
      <sheetName val="Version notes"/>
      <sheetName val="Constants &amp; CF"/>
      <sheetName val="Land recalculation"/>
      <sheetName val="Land areas"/>
      <sheetName val="Summary"/>
      <sheetName val="Land sector table"/>
      <sheetName val="Land Trends"/>
      <sheetName val="LUC Matrix"/>
      <sheetName val="LC Matrix table for NIR"/>
      <sheetName val="Annual LU"/>
      <sheetName val="Annual LU change"/>
      <sheetName val="Biomass and litter data"/>
      <sheetName val="Biomass&amp;DOM data"/>
      <sheetName val="SOC ref data"/>
      <sheetName val="Burnt area chart"/>
      <sheetName val="Burnt area"/>
      <sheetName val="Sheet1"/>
      <sheetName val="Plantation Data"/>
      <sheetName val="Woodland fuelwood estimation"/>
      <sheetName val="LC Clim Soil Overlay data"/>
      <sheetName val="Crop areas"/>
      <sheetName val="Crop management factors"/>
      <sheetName val="Moeletsi et al 2015 crop data"/>
      <sheetName val="Land tables"/>
      <sheetName val="BiomassDOMSOC"/>
      <sheetName val="Forest land Trends"/>
      <sheetName val="Forest land conversions"/>
      <sheetName val="Cropland trends 2"/>
      <sheetName val="Grassland trends 2"/>
      <sheetName val="Settlement trends 2"/>
      <sheetName val="Other land trend 2"/>
      <sheetName val="Forest land cover"/>
      <sheetName val="Forest land Biomass &amp; DOM"/>
      <sheetName val="Forest land SOC"/>
      <sheetName val="Cropland Trends"/>
      <sheetName val="Cropland cover"/>
      <sheetName val="Cropland Biomass &amp; DOM"/>
      <sheetName val="Cropland SOC"/>
      <sheetName val="Grassland weighted AGB"/>
      <sheetName val="Grassland Trends"/>
      <sheetName val="Grassland Biomass &amp; DOM"/>
      <sheetName val="Grassland SOC"/>
      <sheetName val="Wetland"/>
      <sheetName val="Wetland Trends"/>
      <sheetName val="Wetland CH4"/>
      <sheetName val="Settlement Trends"/>
      <sheetName val="Settlements Biomass &amp; DOM"/>
      <sheetName val="Settlements SOC"/>
      <sheetName val="Otherland Trends"/>
      <sheetName val="Otherland Biomass &amp; DOM"/>
      <sheetName val="Otherlands SOC"/>
      <sheetName val="LULUCF Table"/>
    </sheetNames>
    <sheetDataSet>
      <sheetData sheetId="0"/>
      <sheetData sheetId="1"/>
      <sheetData sheetId="2"/>
      <sheetData sheetId="3"/>
      <sheetData sheetId="4"/>
      <sheetData sheetId="5">
        <row r="5">
          <cell r="E5">
            <v>1E-3</v>
          </cell>
        </row>
        <row r="8">
          <cell r="E8">
            <v>21</v>
          </cell>
        </row>
        <row r="52">
          <cell r="E52">
            <v>0.47</v>
          </cell>
        </row>
      </sheetData>
      <sheetData sheetId="6" refreshError="1"/>
      <sheetData sheetId="7" refreshError="1"/>
      <sheetData sheetId="8"/>
      <sheetData sheetId="9"/>
      <sheetData sheetId="10" refreshError="1"/>
      <sheetData sheetId="11">
        <row r="113">
          <cell r="X113">
            <v>1956357.8999999997</v>
          </cell>
        </row>
      </sheetData>
      <sheetData sheetId="12"/>
      <sheetData sheetId="13"/>
      <sheetData sheetId="14"/>
      <sheetData sheetId="15"/>
      <sheetData sheetId="16"/>
      <sheetData sheetId="17"/>
      <sheetData sheetId="18" refreshError="1"/>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ow r="311">
          <cell r="M311">
            <v>28924.448128590917</v>
          </cell>
        </row>
      </sheetData>
      <sheetData sheetId="37"/>
      <sheetData sheetId="38" refreshError="1"/>
      <sheetData sheetId="39" refreshError="1"/>
      <sheetData sheetId="40"/>
      <sheetData sheetId="41"/>
      <sheetData sheetId="42"/>
      <sheetData sheetId="43" refreshError="1"/>
      <sheetData sheetId="44"/>
      <sheetData sheetId="45"/>
      <sheetData sheetId="46"/>
      <sheetData sheetId="47" refreshError="1"/>
      <sheetData sheetId="48"/>
      <sheetData sheetId="49" refreshError="1"/>
      <sheetData sheetId="50"/>
      <sheetData sheetId="51"/>
      <sheetData sheetId="52" refreshError="1"/>
      <sheetData sheetId="53"/>
      <sheetData sheetId="54"/>
      <sheetData sheetId="5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IndexG2E"/>
      <sheetName val="IndexE2G"/>
      <sheetName val="DriversCGE"/>
      <sheetName val="GHGSummary"/>
      <sheetName val="IPCC Categories"/>
      <sheetName val="Drivers"/>
      <sheetName val="Calculated drivers"/>
      <sheetName val="Land areas"/>
      <sheetName val="Annual land change driver"/>
      <sheetName val="Summary land areas"/>
      <sheetName val="Constants"/>
      <sheetName val="Variables"/>
      <sheetName val="Activity data"/>
      <sheetName val="Relationships"/>
      <sheetName val="Carbon stock data"/>
      <sheetName val="Aggregated stock data"/>
      <sheetName val="Baseline Emissions &amp; Removals"/>
      <sheetName val="Baseline emission summary"/>
      <sheetName val="Clearing assumptions"/>
      <sheetName val="Mitigation input scenarios"/>
      <sheetName val="Mitigation calculations"/>
      <sheetName val="Mitigation Emissions &amp; Removals"/>
      <sheetName val="Mitigation summary"/>
      <sheetName val="Sheet1"/>
      <sheetName val="Outputs with &amp; without ND"/>
      <sheetName val="Costs"/>
      <sheetName val="Jobs"/>
      <sheetName val="Inventory"/>
      <sheetName val="Inventory comparison"/>
      <sheetName val="Lists"/>
    </sheetNames>
    <sheetDataSet>
      <sheetData sheetId="0"/>
      <sheetData sheetId="1"/>
      <sheetData sheetId="2"/>
      <sheetData sheetId="3">
        <row r="86">
          <cell r="A86" t="str">
            <v>RES</v>
          </cell>
        </row>
      </sheetData>
      <sheetData sheetId="4"/>
      <sheetData sheetId="5"/>
      <sheetData sheetId="6"/>
      <sheetData sheetId="7"/>
      <sheetData sheetId="8"/>
      <sheetData sheetId="9"/>
      <sheetData sheetId="10"/>
      <sheetData sheetId="11">
        <row r="8">
          <cell r="B8">
            <v>1E-3</v>
          </cell>
        </row>
      </sheetData>
      <sheetData sheetId="12"/>
      <sheetData sheetId="13"/>
      <sheetData sheetId="14"/>
      <sheetData sheetId="15">
        <row r="4">
          <cell r="H4">
            <v>0.55347199999999996</v>
          </cell>
        </row>
        <row r="5">
          <cell r="H5">
            <v>1.0504499999999999</v>
          </cell>
        </row>
        <row r="6">
          <cell r="H6">
            <v>0.52451999999999999</v>
          </cell>
        </row>
        <row r="7">
          <cell r="H7">
            <v>5.1056799268327744</v>
          </cell>
        </row>
        <row r="13">
          <cell r="H13">
            <v>0.27</v>
          </cell>
        </row>
        <row r="14">
          <cell r="H14">
            <v>0.35249999999999998</v>
          </cell>
        </row>
        <row r="17">
          <cell r="H17">
            <v>6.3906039999999997</v>
          </cell>
        </row>
        <row r="22">
          <cell r="H22">
            <v>0</v>
          </cell>
        </row>
        <row r="91">
          <cell r="H91">
            <v>0.85</v>
          </cell>
        </row>
        <row r="92">
          <cell r="H92">
            <v>1.0640000000000001</v>
          </cell>
        </row>
        <row r="96">
          <cell r="H96">
            <v>1.86</v>
          </cell>
        </row>
        <row r="97">
          <cell r="H97">
            <v>0.12</v>
          </cell>
        </row>
        <row r="98">
          <cell r="H98">
            <v>8.0828531999999995E-2</v>
          </cell>
        </row>
        <row r="99">
          <cell r="H99">
            <v>0.15409999999999999</v>
          </cell>
        </row>
        <row r="100">
          <cell r="H100">
            <v>17.29</v>
          </cell>
        </row>
      </sheetData>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IndexG2E"/>
      <sheetName val="IndexE2G"/>
      <sheetName val="DriversCGE"/>
      <sheetName val="GHGSummary"/>
      <sheetName val="IPCC Categories"/>
      <sheetName val="Drivers"/>
      <sheetName val="Calculated drivers"/>
      <sheetName val="Annual land change driver"/>
      <sheetName val="Land areas"/>
      <sheetName val="Summary land areas"/>
      <sheetName val="Constants"/>
      <sheetName val="Variables"/>
      <sheetName val="Activity data"/>
      <sheetName val="Relationships"/>
      <sheetName val="Carbon stock data"/>
      <sheetName val="Aggregated stock data"/>
      <sheetName val="Baseline Emissions &amp; Removals"/>
      <sheetName val="Baseline emission summary"/>
      <sheetName val="Clearing assumptions"/>
      <sheetName val="Mitigation input scenarios"/>
      <sheetName val="Mitigation calculations"/>
      <sheetName val="Mitigation Emissions &amp; Removals"/>
      <sheetName val="Mitigation summary"/>
      <sheetName val="Sheet1"/>
      <sheetName val="Costs"/>
      <sheetName val="Jobs"/>
      <sheetName val="Inventory"/>
      <sheetName val="Inventory comparis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545">
          <cell r="AE545">
            <v>13597.343916991533</v>
          </cell>
          <cell r="AF545">
            <v>13591.541699530653</v>
          </cell>
          <cell r="AG545">
            <v>13585.739482069775</v>
          </cell>
          <cell r="AH545">
            <v>13579.937264608896</v>
          </cell>
          <cell r="AI545">
            <v>13574.135047148016</v>
          </cell>
          <cell r="AJ545">
            <v>13568.332829687137</v>
          </cell>
          <cell r="AK545">
            <v>13562.530612226257</v>
          </cell>
          <cell r="AL545">
            <v>13556.72839476538</v>
          </cell>
          <cell r="AM545">
            <v>13550.9261773045</v>
          </cell>
          <cell r="AN545">
            <v>13545.12395984362</v>
          </cell>
          <cell r="AO545">
            <v>13539.321742382741</v>
          </cell>
          <cell r="AP545">
            <v>13533.519524921861</v>
          </cell>
          <cell r="AQ545">
            <v>13527.717307460984</v>
          </cell>
          <cell r="AR545">
            <v>13521.915090000104</v>
          </cell>
          <cell r="AS545">
            <v>13516.112872539225</v>
          </cell>
          <cell r="AT545">
            <v>13510.310655078345</v>
          </cell>
          <cell r="AU545">
            <v>13504.508437617465</v>
          </cell>
          <cell r="AV545">
            <v>13498.706220156588</v>
          </cell>
          <cell r="AW545">
            <v>13492.904002695708</v>
          </cell>
          <cell r="AX545">
            <v>13487.101785234829</v>
          </cell>
          <cell r="AY545">
            <v>13481.299567773949</v>
          </cell>
          <cell r="AZ545">
            <v>13475.49735031307</v>
          </cell>
          <cell r="BA545">
            <v>13469.695132852192</v>
          </cell>
          <cell r="BB545">
            <v>13463.892915391312</v>
          </cell>
          <cell r="BC545">
            <v>13458.090697930433</v>
          </cell>
          <cell r="BD545">
            <v>13452.288480469553</v>
          </cell>
          <cell r="BE545">
            <v>13446.486263008674</v>
          </cell>
          <cell r="BF545">
            <v>13440.684045547796</v>
          </cell>
          <cell r="BG545">
            <v>13434.881828086916</v>
          </cell>
          <cell r="BH545">
            <v>13429.079610626037</v>
          </cell>
          <cell r="BI545">
            <v>13423.277393165157</v>
          </cell>
          <cell r="BJ545">
            <v>13417.475175704278</v>
          </cell>
          <cell r="BK545">
            <v>13411.6729582434</v>
          </cell>
          <cell r="BL545">
            <v>13405.87074078252</v>
          </cell>
          <cell r="BM545">
            <v>13400.068523321641</v>
          </cell>
          <cell r="BN545">
            <v>13394.266305860761</v>
          </cell>
          <cell r="BO545">
            <v>13388.464088399882</v>
          </cell>
          <cell r="BP545">
            <v>13382.661870939004</v>
          </cell>
          <cell r="BQ545">
            <v>13376.859653478125</v>
          </cell>
        </row>
        <row r="546">
          <cell r="AE546">
            <v>393930.44129440375</v>
          </cell>
          <cell r="AF546">
            <v>393306.72804719064</v>
          </cell>
          <cell r="AG546">
            <v>392683.01479997754</v>
          </cell>
          <cell r="AH546">
            <v>392059.30155276449</v>
          </cell>
          <cell r="AI546">
            <v>391435.58830555138</v>
          </cell>
          <cell r="AJ546">
            <v>390811.87505833828</v>
          </cell>
          <cell r="AK546">
            <v>390188.16181112523</v>
          </cell>
          <cell r="AL546">
            <v>389564.44856391213</v>
          </cell>
          <cell r="AM546">
            <v>388940.73531669908</v>
          </cell>
          <cell r="AN546">
            <v>388317.02206948597</v>
          </cell>
          <cell r="AO546">
            <v>387693.30882227287</v>
          </cell>
          <cell r="AP546">
            <v>387069.59557505982</v>
          </cell>
          <cell r="AQ546">
            <v>386445.88232784672</v>
          </cell>
          <cell r="AR546">
            <v>385822.16908063361</v>
          </cell>
          <cell r="AS546">
            <v>385198.45583342056</v>
          </cell>
          <cell r="AT546">
            <v>384574.74258620746</v>
          </cell>
          <cell r="AU546">
            <v>383951.02933899435</v>
          </cell>
          <cell r="AV546">
            <v>383327.31609178131</v>
          </cell>
          <cell r="AW546">
            <v>382703.6028445682</v>
          </cell>
          <cell r="AX546">
            <v>382079.88959735516</v>
          </cell>
          <cell r="AY546">
            <v>381456.17635014205</v>
          </cell>
          <cell r="AZ546">
            <v>380832.46310292894</v>
          </cell>
          <cell r="BA546">
            <v>380208.7498557159</v>
          </cell>
          <cell r="BB546">
            <v>379585.03660850279</v>
          </cell>
          <cell r="BC546">
            <v>378961.32336128969</v>
          </cell>
          <cell r="BD546">
            <v>378337.61011407664</v>
          </cell>
          <cell r="BE546">
            <v>377713.89686686354</v>
          </cell>
          <cell r="BF546">
            <v>377090.18361965049</v>
          </cell>
          <cell r="BG546">
            <v>376466.47037243738</v>
          </cell>
          <cell r="BH546">
            <v>375842.75712522428</v>
          </cell>
          <cell r="BI546">
            <v>375219.04387801123</v>
          </cell>
          <cell r="BJ546">
            <v>374595.33063079813</v>
          </cell>
          <cell r="BK546">
            <v>373971.61738358502</v>
          </cell>
          <cell r="BL546">
            <v>373347.90413637197</v>
          </cell>
          <cell r="BM546">
            <v>372724.19088915887</v>
          </cell>
          <cell r="BN546">
            <v>372100.47764194576</v>
          </cell>
          <cell r="BO546">
            <v>371476.76439473272</v>
          </cell>
          <cell r="BP546">
            <v>370853.05114751961</v>
          </cell>
          <cell r="BQ546">
            <v>370229.33790030656</v>
          </cell>
        </row>
        <row r="547">
          <cell r="AE547">
            <v>664355.50457407185</v>
          </cell>
          <cell r="AF547">
            <v>665519.12191991892</v>
          </cell>
          <cell r="AG547">
            <v>666682.73926576588</v>
          </cell>
          <cell r="AH547">
            <v>667846.35661161283</v>
          </cell>
          <cell r="AI547">
            <v>669009.97395745991</v>
          </cell>
          <cell r="AJ547">
            <v>670173.59130330686</v>
          </cell>
          <cell r="AK547">
            <v>671337.20864915382</v>
          </cell>
          <cell r="AL547">
            <v>666658.3555590522</v>
          </cell>
          <cell r="AM547">
            <v>661979.50246895046</v>
          </cell>
          <cell r="AN547">
            <v>657300.64937884873</v>
          </cell>
          <cell r="AO547">
            <v>652621.79628874699</v>
          </cell>
          <cell r="AP547">
            <v>647942.94319864525</v>
          </cell>
          <cell r="AQ547">
            <v>643264.09010854363</v>
          </cell>
          <cell r="AR547">
            <v>638585.2370184419</v>
          </cell>
          <cell r="AS547">
            <v>633906.38392834016</v>
          </cell>
          <cell r="AT547">
            <v>629227.53083823842</v>
          </cell>
          <cell r="AU547">
            <v>624548.67774813669</v>
          </cell>
          <cell r="AV547">
            <v>619869.82465803507</v>
          </cell>
          <cell r="AW547">
            <v>615190.97156793333</v>
          </cell>
          <cell r="AX547">
            <v>610512.11847783159</v>
          </cell>
          <cell r="AY547">
            <v>605833.26538772986</v>
          </cell>
          <cell r="AZ547">
            <v>601154.41229762812</v>
          </cell>
          <cell r="BA547">
            <v>596475.55920752638</v>
          </cell>
          <cell r="BB547">
            <v>591796.70611742476</v>
          </cell>
          <cell r="BC547">
            <v>587117.85302732303</v>
          </cell>
          <cell r="BD547">
            <v>582438.99993722129</v>
          </cell>
          <cell r="BE547">
            <v>577760.14684711955</v>
          </cell>
          <cell r="BF547">
            <v>573081.29375701782</v>
          </cell>
          <cell r="BG547">
            <v>568402.44066691608</v>
          </cell>
          <cell r="BH547">
            <v>563723.58757681435</v>
          </cell>
          <cell r="BI547">
            <v>559044.73448671272</v>
          </cell>
          <cell r="BJ547">
            <v>554365.88139661099</v>
          </cell>
          <cell r="BK547">
            <v>549687.02830650925</v>
          </cell>
          <cell r="BL547">
            <v>545008.17521640752</v>
          </cell>
          <cell r="BM547">
            <v>540329.32212630589</v>
          </cell>
          <cell r="BN547">
            <v>535650.46903620427</v>
          </cell>
          <cell r="BO547">
            <v>530971.61594610265</v>
          </cell>
          <cell r="BP547">
            <v>526292.76285600092</v>
          </cell>
          <cell r="BQ547">
            <v>521613.90976589912</v>
          </cell>
        </row>
        <row r="548">
          <cell r="AE548">
            <v>13285.999123176394</v>
          </cell>
          <cell r="AF548">
            <v>24983.999123176392</v>
          </cell>
          <cell r="AG548">
            <v>20172.999123176392</v>
          </cell>
          <cell r="AH548">
            <v>15648.999123176394</v>
          </cell>
          <cell r="AI548">
            <v>17908.999123176392</v>
          </cell>
          <cell r="AJ548">
            <v>19831.999123176392</v>
          </cell>
          <cell r="AK548">
            <v>19831.999123176392</v>
          </cell>
          <cell r="AL548">
            <v>19918.097396718102</v>
          </cell>
          <cell r="AM548">
            <v>20004.195670259811</v>
          </cell>
          <cell r="AN548">
            <v>20090.29394380152</v>
          </cell>
          <cell r="AO548">
            <v>20176.392217343229</v>
          </cell>
          <cell r="AP548">
            <v>20262.490490884938</v>
          </cell>
          <cell r="AQ548">
            <v>20348.588764426648</v>
          </cell>
          <cell r="AR548">
            <v>20434.687037968357</v>
          </cell>
          <cell r="AS548">
            <v>20520.785311510066</v>
          </cell>
          <cell r="AT548">
            <v>20606.883585051775</v>
          </cell>
          <cell r="AU548">
            <v>20692.981858593485</v>
          </cell>
          <cell r="AV548">
            <v>20779.080132135194</v>
          </cell>
          <cell r="AW548">
            <v>20865.178405676903</v>
          </cell>
          <cell r="AX548">
            <v>20865.178405676903</v>
          </cell>
          <cell r="AY548">
            <v>20865.178405676903</v>
          </cell>
          <cell r="AZ548">
            <v>20865.178405676903</v>
          </cell>
          <cell r="BA548">
            <v>20865.178405676903</v>
          </cell>
          <cell r="BB548">
            <v>20865.178405676903</v>
          </cell>
          <cell r="BC548">
            <v>20865.178405676903</v>
          </cell>
          <cell r="BD548">
            <v>20865.178405676903</v>
          </cell>
          <cell r="BE548">
            <v>20865.178405676903</v>
          </cell>
          <cell r="BF548">
            <v>20779.080132135194</v>
          </cell>
          <cell r="BG548">
            <v>20692.981858593485</v>
          </cell>
          <cell r="BH548">
            <v>20606.883585051775</v>
          </cell>
          <cell r="BI548">
            <v>20520.785311510066</v>
          </cell>
          <cell r="BJ548">
            <v>20434.687037968357</v>
          </cell>
          <cell r="BK548">
            <v>20348.588764426648</v>
          </cell>
          <cell r="BL548">
            <v>20262.490490884938</v>
          </cell>
          <cell r="BM548">
            <v>20176.392217343229</v>
          </cell>
          <cell r="BN548">
            <v>20090.29394380152</v>
          </cell>
          <cell r="BO548">
            <v>20004.195670259811</v>
          </cell>
          <cell r="BP548">
            <v>19918.097396718102</v>
          </cell>
          <cell r="BQ548">
            <v>19831.999123176392</v>
          </cell>
        </row>
        <row r="549">
          <cell r="AE549">
            <v>329614.7597349711</v>
          </cell>
          <cell r="AF549">
            <v>328711.1609496483</v>
          </cell>
          <cell r="AG549">
            <v>327807.5621643255</v>
          </cell>
          <cell r="AH549">
            <v>326903.96337900264</v>
          </cell>
          <cell r="AI549">
            <v>326000.36459367984</v>
          </cell>
          <cell r="AJ549">
            <v>325096.76580835704</v>
          </cell>
          <cell r="AK549">
            <v>324193.16702303418</v>
          </cell>
          <cell r="AL549">
            <v>323289.56823771138</v>
          </cell>
          <cell r="AM549">
            <v>322385.96945238858</v>
          </cell>
          <cell r="AN549">
            <v>321482.37066706573</v>
          </cell>
          <cell r="AO549">
            <v>320578.77188174293</v>
          </cell>
          <cell r="AP549">
            <v>319675.17309642013</v>
          </cell>
          <cell r="AQ549">
            <v>318771.57431109727</v>
          </cell>
          <cell r="AR549">
            <v>317867.97552577447</v>
          </cell>
          <cell r="AS549">
            <v>316964.37674045167</v>
          </cell>
          <cell r="AT549">
            <v>316060.77795512887</v>
          </cell>
          <cell r="AU549">
            <v>315157.17916980601</v>
          </cell>
          <cell r="AV549">
            <v>314253.58038448321</v>
          </cell>
          <cell r="AW549">
            <v>313349.98159916041</v>
          </cell>
          <cell r="AX549">
            <v>312446.38281383755</v>
          </cell>
          <cell r="AY549">
            <v>311542.78402851475</v>
          </cell>
          <cell r="AZ549">
            <v>310639.18524319195</v>
          </cell>
          <cell r="BA549">
            <v>309735.5864578691</v>
          </cell>
          <cell r="BB549">
            <v>308831.9876725463</v>
          </cell>
          <cell r="BC549">
            <v>307928.3888872235</v>
          </cell>
          <cell r="BD549">
            <v>307024.79010190064</v>
          </cell>
          <cell r="BE549">
            <v>306121.19131657784</v>
          </cell>
          <cell r="BF549">
            <v>305217.59253125504</v>
          </cell>
          <cell r="BG549">
            <v>304313.99374593218</v>
          </cell>
          <cell r="BH549">
            <v>303410.39496060938</v>
          </cell>
          <cell r="BI549">
            <v>302506.79617528658</v>
          </cell>
          <cell r="BJ549">
            <v>301603.19738996372</v>
          </cell>
          <cell r="BK549">
            <v>300699.59860464092</v>
          </cell>
          <cell r="BL549">
            <v>299795.99981931812</v>
          </cell>
          <cell r="BM549">
            <v>298892.40103399527</v>
          </cell>
          <cell r="BN549">
            <v>297988.80224867247</v>
          </cell>
          <cell r="BO549">
            <v>297085.20346334967</v>
          </cell>
          <cell r="BP549">
            <v>296181.60467802687</v>
          </cell>
          <cell r="BQ549">
            <v>295278.00589270401</v>
          </cell>
        </row>
        <row r="550">
          <cell r="AE550">
            <v>27272.800964105933</v>
          </cell>
          <cell r="AF550">
            <v>28102.087515757019</v>
          </cell>
          <cell r="AG550">
            <v>28931.374067408098</v>
          </cell>
          <cell r="AH550">
            <v>29760.660619059196</v>
          </cell>
          <cell r="AI550">
            <v>30589.947170710278</v>
          </cell>
          <cell r="AJ550">
            <v>31419.233722361369</v>
          </cell>
          <cell r="AK550">
            <v>32248.520274012448</v>
          </cell>
          <cell r="AL550">
            <v>33077.806825663531</v>
          </cell>
          <cell r="AM550">
            <v>33907.093377314624</v>
          </cell>
          <cell r="AN550">
            <v>34736.379928965718</v>
          </cell>
          <cell r="AO550">
            <v>35565.666480616797</v>
          </cell>
          <cell r="AP550">
            <v>36394.953032267884</v>
          </cell>
          <cell r="AQ550">
            <v>37224.23958391897</v>
          </cell>
          <cell r="AR550">
            <v>38053.526135570057</v>
          </cell>
          <cell r="AS550">
            <v>38882.812687221151</v>
          </cell>
          <cell r="AT550">
            <v>39712.09923887223</v>
          </cell>
          <cell r="AU550">
            <v>40541.385790523324</v>
          </cell>
          <cell r="AV550">
            <v>41370.67234217441</v>
          </cell>
          <cell r="AW550">
            <v>42199.958893825504</v>
          </cell>
          <cell r="AX550">
            <v>43029.245445476583</v>
          </cell>
          <cell r="AY550">
            <v>43858.531997127677</v>
          </cell>
          <cell r="AZ550">
            <v>44687.818548778749</v>
          </cell>
          <cell r="BA550">
            <v>45517.105100429842</v>
          </cell>
          <cell r="BB550">
            <v>46346.391652080929</v>
          </cell>
          <cell r="BC550">
            <v>47175.678203732023</v>
          </cell>
          <cell r="BD550">
            <v>48004.964755383102</v>
          </cell>
          <cell r="BE550">
            <v>48834.251307034181</v>
          </cell>
          <cell r="BF550">
            <v>49663.537858685289</v>
          </cell>
          <cell r="BG550">
            <v>50492.824410336369</v>
          </cell>
          <cell r="BH550">
            <v>51322.110961987448</v>
          </cell>
          <cell r="BI550">
            <v>52151.397513638527</v>
          </cell>
          <cell r="BJ550">
            <v>52980.684065289621</v>
          </cell>
          <cell r="BK550">
            <v>53809.970616940707</v>
          </cell>
          <cell r="BL550">
            <v>54639.257168591786</v>
          </cell>
          <cell r="BM550">
            <v>55468.54372024288</v>
          </cell>
          <cell r="BN550">
            <v>56297.830271893945</v>
          </cell>
          <cell r="BO550">
            <v>57127.116823545024</v>
          </cell>
          <cell r="BP550">
            <v>57956.403375196111</v>
          </cell>
          <cell r="BQ550">
            <v>58785.68992684719</v>
          </cell>
        </row>
        <row r="551">
          <cell r="AE551">
            <v>3227.9349368076064</v>
          </cell>
          <cell r="AF551">
            <v>3255.5028892035903</v>
          </cell>
          <cell r="AG551">
            <v>3283.0708415995737</v>
          </cell>
          <cell r="AH551">
            <v>3310.6387939955575</v>
          </cell>
          <cell r="AI551">
            <v>3338.2067463915409</v>
          </cell>
          <cell r="AJ551">
            <v>3365.7746987875248</v>
          </cell>
          <cell r="AK551">
            <v>3393.3426511835082</v>
          </cell>
          <cell r="AL551">
            <v>3420.9106035794921</v>
          </cell>
          <cell r="AM551">
            <v>3448.4785559754755</v>
          </cell>
          <cell r="AN551">
            <v>3476.0465083714594</v>
          </cell>
          <cell r="AO551">
            <v>3503.6144607674428</v>
          </cell>
          <cell r="AP551">
            <v>3531.1824131634266</v>
          </cell>
          <cell r="AQ551">
            <v>3558.7503655594105</v>
          </cell>
          <cell r="AR551">
            <v>3586.3183179553939</v>
          </cell>
          <cell r="AS551">
            <v>3613.8862703513778</v>
          </cell>
          <cell r="AT551">
            <v>3641.4542227473612</v>
          </cell>
          <cell r="AU551">
            <v>3669.0221751433451</v>
          </cell>
          <cell r="AV551">
            <v>3696.5901275393285</v>
          </cell>
          <cell r="AW551">
            <v>3724.1580799353123</v>
          </cell>
          <cell r="AX551">
            <v>3751.7260323312958</v>
          </cell>
          <cell r="AY551">
            <v>3779.2939847272796</v>
          </cell>
          <cell r="AZ551">
            <v>3806.861937123263</v>
          </cell>
          <cell r="BA551">
            <v>3834.4298895192469</v>
          </cell>
          <cell r="BB551">
            <v>3861.9978419152303</v>
          </cell>
          <cell r="BC551">
            <v>3889.5657943112142</v>
          </cell>
          <cell r="BD551">
            <v>3917.1337467071976</v>
          </cell>
          <cell r="BE551">
            <v>3944.7016991031815</v>
          </cell>
          <cell r="BF551">
            <v>3972.2696514991649</v>
          </cell>
          <cell r="BG551">
            <v>3999.8376038951487</v>
          </cell>
          <cell r="BH551">
            <v>4027.4055562911321</v>
          </cell>
          <cell r="BI551">
            <v>4054.973508687116</v>
          </cell>
          <cell r="BJ551">
            <v>4082.5414610830994</v>
          </cell>
          <cell r="BK551">
            <v>4110.1094134790837</v>
          </cell>
          <cell r="BL551">
            <v>4137.6773658750672</v>
          </cell>
          <cell r="BM551">
            <v>4165.2453182710506</v>
          </cell>
          <cell r="BN551">
            <v>4192.813270667034</v>
          </cell>
          <cell r="BO551">
            <v>4220.3812230630174</v>
          </cell>
          <cell r="BP551">
            <v>4247.9491754590017</v>
          </cell>
          <cell r="BQ551">
            <v>4275.5171278549851</v>
          </cell>
        </row>
        <row r="552">
          <cell r="AE552">
            <v>892.04273910080849</v>
          </cell>
          <cell r="AF552">
            <v>897.91643360164323</v>
          </cell>
          <cell r="AG552">
            <v>903.79012810247798</v>
          </cell>
          <cell r="AH552">
            <v>909.66382260331272</v>
          </cell>
          <cell r="AI552">
            <v>915.53751710414724</v>
          </cell>
          <cell r="AJ552">
            <v>921.41121160498199</v>
          </cell>
          <cell r="AK552">
            <v>927.28490610581673</v>
          </cell>
          <cell r="AL552">
            <v>933.15860060665148</v>
          </cell>
          <cell r="AM552">
            <v>939.03229510748622</v>
          </cell>
          <cell r="AN552">
            <v>944.90598960832097</v>
          </cell>
          <cell r="AO552">
            <v>950.77968410915571</v>
          </cell>
          <cell r="AP552">
            <v>956.65337860999045</v>
          </cell>
          <cell r="AQ552">
            <v>962.5270731108252</v>
          </cell>
          <cell r="AR552">
            <v>968.40076761165994</v>
          </cell>
          <cell r="AS552">
            <v>974.27446211249469</v>
          </cell>
          <cell r="AT552">
            <v>980.14815661332921</v>
          </cell>
          <cell r="AU552">
            <v>986.02185111416395</v>
          </cell>
          <cell r="AV552">
            <v>991.8955456149987</v>
          </cell>
          <cell r="AW552">
            <v>997.76924011583344</v>
          </cell>
          <cell r="AX552">
            <v>1003.6429346166682</v>
          </cell>
          <cell r="AY552">
            <v>1009.5166291175029</v>
          </cell>
          <cell r="AZ552">
            <v>1015.3903236183377</v>
          </cell>
          <cell r="BA552">
            <v>1021.2640181191724</v>
          </cell>
          <cell r="BB552">
            <v>1027.1377126200073</v>
          </cell>
          <cell r="BC552">
            <v>1033.011407120842</v>
          </cell>
          <cell r="BD552">
            <v>1038.885101621677</v>
          </cell>
          <cell r="BE552">
            <v>1044.7587961225115</v>
          </cell>
          <cell r="BF552">
            <v>1050.6324906233463</v>
          </cell>
          <cell r="BG552">
            <v>1056.506185124181</v>
          </cell>
          <cell r="BH552">
            <v>1062.3798796250157</v>
          </cell>
          <cell r="BI552">
            <v>1068.2535741258505</v>
          </cell>
          <cell r="BJ552">
            <v>1074.1272686266852</v>
          </cell>
          <cell r="BK552">
            <v>1080.00096312752</v>
          </cell>
          <cell r="BL552">
            <v>1085.8746576283547</v>
          </cell>
          <cell r="BM552">
            <v>1091.7483521291895</v>
          </cell>
          <cell r="BN552">
            <v>1097.6220466300242</v>
          </cell>
          <cell r="BO552">
            <v>1103.495741130859</v>
          </cell>
          <cell r="BP552">
            <v>1109.3694356316935</v>
          </cell>
          <cell r="BQ552">
            <v>1115.2431301325282</v>
          </cell>
        </row>
        <row r="553">
          <cell r="AE553">
            <v>111446.90580100549</v>
          </cell>
          <cell r="AF553">
            <v>111463.54344556993</v>
          </cell>
          <cell r="AG553">
            <v>111480.18109013437</v>
          </cell>
          <cell r="AH553">
            <v>111496.81873469881</v>
          </cell>
          <cell r="AI553">
            <v>111513.45637926325</v>
          </cell>
          <cell r="AJ553">
            <v>111530.0940238277</v>
          </cell>
          <cell r="AK553">
            <v>111546.73166839214</v>
          </cell>
          <cell r="AL553">
            <v>111563.36931295661</v>
          </cell>
          <cell r="AM553">
            <v>111580.00695752105</v>
          </cell>
          <cell r="AN553">
            <v>111596.64460208549</v>
          </cell>
          <cell r="AO553">
            <v>111613.28224664993</v>
          </cell>
          <cell r="AP553">
            <v>111629.91989121438</v>
          </cell>
          <cell r="AQ553">
            <v>111646.55753577882</v>
          </cell>
          <cell r="AR553">
            <v>111663.19518034326</v>
          </cell>
          <cell r="AS553">
            <v>111679.83282490773</v>
          </cell>
          <cell r="AT553">
            <v>111696.47046947217</v>
          </cell>
          <cell r="AU553">
            <v>111713.10811403662</v>
          </cell>
          <cell r="AV553">
            <v>111729.74575860106</v>
          </cell>
          <cell r="AW553">
            <v>111746.3834031655</v>
          </cell>
          <cell r="AX553">
            <v>111763.02104772994</v>
          </cell>
          <cell r="AY553">
            <v>111779.65869229441</v>
          </cell>
          <cell r="AZ553">
            <v>111796.29633685885</v>
          </cell>
          <cell r="BA553">
            <v>111812.9339814233</v>
          </cell>
          <cell r="BB553">
            <v>111829.57162598774</v>
          </cell>
          <cell r="BC553">
            <v>111846.20927055218</v>
          </cell>
          <cell r="BD553">
            <v>111862.84691511662</v>
          </cell>
          <cell r="BE553">
            <v>111879.48455968106</v>
          </cell>
          <cell r="BF553">
            <v>111896.12220424553</v>
          </cell>
          <cell r="BG553">
            <v>111912.75984880998</v>
          </cell>
          <cell r="BH553">
            <v>111929.39749337442</v>
          </cell>
          <cell r="BI553">
            <v>111946.03513793886</v>
          </cell>
          <cell r="BJ553">
            <v>111962.6727825033</v>
          </cell>
          <cell r="BK553">
            <v>111979.31042706774</v>
          </cell>
          <cell r="BL553">
            <v>111995.94807163219</v>
          </cell>
          <cell r="BM553">
            <v>112012.58571619666</v>
          </cell>
          <cell r="BN553">
            <v>112029.2233607611</v>
          </cell>
          <cell r="BO553">
            <v>112045.86100532554</v>
          </cell>
          <cell r="BP553">
            <v>112062.49864988998</v>
          </cell>
          <cell r="BQ553">
            <v>112079.13629445442</v>
          </cell>
        </row>
        <row r="554">
          <cell r="AE554">
            <v>2029778.8780198463</v>
          </cell>
          <cell r="AF554">
            <v>2042800.9812413759</v>
          </cell>
          <cell r="AG554">
            <v>2055823.0844629053</v>
          </cell>
          <cell r="AH554">
            <v>2068845.1876844347</v>
          </cell>
          <cell r="AI554">
            <v>2081867.2909059643</v>
          </cell>
          <cell r="AJ554">
            <v>2094889.3941274937</v>
          </cell>
          <cell r="AK554">
            <v>2107911.4973490234</v>
          </cell>
          <cell r="AL554">
            <v>2129780.2741153426</v>
          </cell>
          <cell r="AM554">
            <v>2151649.0508816615</v>
          </cell>
          <cell r="AN554">
            <v>2173517.8276479808</v>
          </cell>
          <cell r="AO554">
            <v>2195386.6044142996</v>
          </cell>
          <cell r="AP554">
            <v>2217255.3811806189</v>
          </cell>
          <cell r="AQ554">
            <v>2239124.1579469377</v>
          </cell>
          <cell r="AR554">
            <v>2260992.934713257</v>
          </cell>
          <cell r="AS554">
            <v>2282861.7114795758</v>
          </cell>
          <cell r="AT554">
            <v>2304730.4882458951</v>
          </cell>
          <cell r="AU554">
            <v>2326599.2650122144</v>
          </cell>
          <cell r="AV554">
            <v>2348468.0417785333</v>
          </cell>
          <cell r="AW554">
            <v>2370336.8185448521</v>
          </cell>
          <cell r="AX554">
            <v>2392578.6068636663</v>
          </cell>
          <cell r="AY554">
            <v>2414820.3951824801</v>
          </cell>
          <cell r="AZ554">
            <v>2437062.1835012939</v>
          </cell>
          <cell r="BA554">
            <v>2459303.9718201077</v>
          </cell>
          <cell r="BB554">
            <v>2481545.7601389214</v>
          </cell>
          <cell r="BC554">
            <v>2503787.5484577357</v>
          </cell>
          <cell r="BD554">
            <v>2526029.336776549</v>
          </cell>
          <cell r="BE554">
            <v>2548271.1250953628</v>
          </cell>
          <cell r="BF554">
            <v>2570512.9134141766</v>
          </cell>
          <cell r="BG554">
            <v>2592754.7017329903</v>
          </cell>
          <cell r="BH554">
            <v>2614996.4900518041</v>
          </cell>
          <cell r="BI554">
            <v>2637238.2783706179</v>
          </cell>
          <cell r="BJ554">
            <v>2659480.0666894317</v>
          </cell>
          <cell r="BK554">
            <v>2681721.8550082454</v>
          </cell>
          <cell r="BL554">
            <v>2703963.6433270597</v>
          </cell>
          <cell r="BM554">
            <v>2726205.4316458735</v>
          </cell>
          <cell r="BN554">
            <v>2748447.2199646872</v>
          </cell>
          <cell r="BO554">
            <v>2770689.008283501</v>
          </cell>
          <cell r="BP554">
            <v>2792930.7966023148</v>
          </cell>
          <cell r="BQ554">
            <v>2815172.5849211286</v>
          </cell>
        </row>
        <row r="555">
          <cell r="AE555">
            <v>273139.2561664434</v>
          </cell>
          <cell r="AF555">
            <v>272318.52883358276</v>
          </cell>
          <cell r="AG555">
            <v>271497.80150072213</v>
          </cell>
          <cell r="AH555">
            <v>270677.07416786149</v>
          </cell>
          <cell r="AI555">
            <v>269856.34683500085</v>
          </cell>
          <cell r="AJ555">
            <v>269035.61950214021</v>
          </cell>
          <cell r="AK555">
            <v>268214.89216927957</v>
          </cell>
          <cell r="AL555">
            <v>267394.16483641899</v>
          </cell>
          <cell r="AM555">
            <v>266573.43750355835</v>
          </cell>
          <cell r="AN555">
            <v>265752.71017069771</v>
          </cell>
          <cell r="AO555">
            <v>264931.98283783707</v>
          </cell>
          <cell r="AP555">
            <v>264111.25550497643</v>
          </cell>
          <cell r="AQ555">
            <v>263290.5281721158</v>
          </cell>
          <cell r="AR555">
            <v>262469.80083925516</v>
          </cell>
          <cell r="AS555">
            <v>261649.07350639458</v>
          </cell>
          <cell r="AT555">
            <v>260828.34617353394</v>
          </cell>
          <cell r="AU555">
            <v>260007.6188406733</v>
          </cell>
          <cell r="AV555">
            <v>259186.89150781266</v>
          </cell>
          <cell r="AW555">
            <v>258366.16417495205</v>
          </cell>
          <cell r="AX555">
            <v>257545.43684209141</v>
          </cell>
          <cell r="AY555">
            <v>256724.70950923077</v>
          </cell>
          <cell r="AZ555">
            <v>255903.98217637016</v>
          </cell>
          <cell r="BA555">
            <v>255083.25484350952</v>
          </cell>
          <cell r="BB555">
            <v>254262.52751064888</v>
          </cell>
          <cell r="BC555">
            <v>253441.80017778825</v>
          </cell>
          <cell r="BD555">
            <v>252621.07284492764</v>
          </cell>
          <cell r="BE555">
            <v>251800.345512067</v>
          </cell>
          <cell r="BF555">
            <v>250979.61817920636</v>
          </cell>
          <cell r="BG555">
            <v>250158.89084634575</v>
          </cell>
          <cell r="BH555">
            <v>249338.16351348511</v>
          </cell>
          <cell r="BI555">
            <v>248517.43618062447</v>
          </cell>
          <cell r="BJ555">
            <v>247696.70884776386</v>
          </cell>
          <cell r="BK555">
            <v>246875.98151490322</v>
          </cell>
          <cell r="BL555">
            <v>246055.25418204258</v>
          </cell>
          <cell r="BM555">
            <v>245234.52684918194</v>
          </cell>
          <cell r="BN555">
            <v>244413.79951632133</v>
          </cell>
          <cell r="BO555">
            <v>243593.0721834607</v>
          </cell>
          <cell r="BP555">
            <v>242772.34485060006</v>
          </cell>
          <cell r="BQ555">
            <v>241951.61751773945</v>
          </cell>
        </row>
        <row r="556">
          <cell r="AE556">
            <v>57963.822619231716</v>
          </cell>
          <cell r="AF556">
            <v>57963.822619231716</v>
          </cell>
          <cell r="AG556">
            <v>57963.822619231716</v>
          </cell>
          <cell r="AH556">
            <v>57963.822619231716</v>
          </cell>
          <cell r="AI556">
            <v>57963.822619231716</v>
          </cell>
          <cell r="AJ556">
            <v>57963.822619231716</v>
          </cell>
          <cell r="AK556">
            <v>57963.822619231716</v>
          </cell>
          <cell r="AL556">
            <v>57963.822619231716</v>
          </cell>
          <cell r="AM556">
            <v>57963.822619231716</v>
          </cell>
          <cell r="AN556">
            <v>57963.822619231716</v>
          </cell>
          <cell r="AO556">
            <v>57963.822619231716</v>
          </cell>
          <cell r="AP556">
            <v>57963.822619231716</v>
          </cell>
          <cell r="AQ556">
            <v>57963.822619231716</v>
          </cell>
          <cell r="AR556">
            <v>57963.822619231716</v>
          </cell>
          <cell r="AS556">
            <v>57963.822619231716</v>
          </cell>
          <cell r="AT556">
            <v>57963.822619231716</v>
          </cell>
          <cell r="AU556">
            <v>57963.822619231716</v>
          </cell>
          <cell r="AV556">
            <v>57963.822619231716</v>
          </cell>
          <cell r="AW556">
            <v>57963.822619231716</v>
          </cell>
          <cell r="AX556">
            <v>57963.822619231716</v>
          </cell>
          <cell r="AY556">
            <v>57963.822619231716</v>
          </cell>
          <cell r="AZ556">
            <v>57963.822619231716</v>
          </cell>
          <cell r="BA556">
            <v>57963.822619231716</v>
          </cell>
          <cell r="BB556">
            <v>57963.822619231716</v>
          </cell>
          <cell r="BC556">
            <v>57963.822619231716</v>
          </cell>
          <cell r="BD556">
            <v>57963.822619231716</v>
          </cell>
          <cell r="BE556">
            <v>57963.822619231716</v>
          </cell>
          <cell r="BF556">
            <v>57963.822619231716</v>
          </cell>
          <cell r="BG556">
            <v>57963.822619231716</v>
          </cell>
          <cell r="BH556">
            <v>57963.822619231716</v>
          </cell>
          <cell r="BI556">
            <v>57963.822619231716</v>
          </cell>
          <cell r="BJ556">
            <v>57963.822619231716</v>
          </cell>
          <cell r="BK556">
            <v>57963.822619231716</v>
          </cell>
          <cell r="BL556">
            <v>57963.822619231716</v>
          </cell>
          <cell r="BM556">
            <v>57963.822619231716</v>
          </cell>
          <cell r="BN556">
            <v>57963.822619231716</v>
          </cell>
          <cell r="BO556">
            <v>57963.822619231716</v>
          </cell>
          <cell r="BP556">
            <v>57963.822619231716</v>
          </cell>
          <cell r="BQ556">
            <v>57963.822619231716</v>
          </cell>
        </row>
        <row r="557">
          <cell r="AE557">
            <v>91537.108006573035</v>
          </cell>
          <cell r="AF557">
            <v>91537.108006573035</v>
          </cell>
          <cell r="AG557">
            <v>91537.108006573035</v>
          </cell>
          <cell r="AH557">
            <v>91537.108006573035</v>
          </cell>
          <cell r="AI557">
            <v>91537.108006573035</v>
          </cell>
          <cell r="AJ557">
            <v>91537.108006573035</v>
          </cell>
          <cell r="AK557">
            <v>91537.108006573035</v>
          </cell>
          <cell r="AL557">
            <v>91537.108006573035</v>
          </cell>
          <cell r="AM557">
            <v>91537.108006573035</v>
          </cell>
          <cell r="AN557">
            <v>91537.108006573035</v>
          </cell>
          <cell r="AO557">
            <v>91537.108006573035</v>
          </cell>
          <cell r="AP557">
            <v>91537.108006573035</v>
          </cell>
          <cell r="AQ557">
            <v>91537.108006573035</v>
          </cell>
          <cell r="AR557">
            <v>91537.108006573035</v>
          </cell>
          <cell r="AS557">
            <v>91537.108006573035</v>
          </cell>
          <cell r="AT557">
            <v>91537.108006573035</v>
          </cell>
          <cell r="AU557">
            <v>91537.108006573035</v>
          </cell>
          <cell r="AV557">
            <v>91537.108006573035</v>
          </cell>
          <cell r="AW557">
            <v>91537.108006573035</v>
          </cell>
          <cell r="AX557">
            <v>91537.108006573035</v>
          </cell>
          <cell r="AY557">
            <v>91537.108006573035</v>
          </cell>
          <cell r="AZ557">
            <v>91537.108006573035</v>
          </cell>
          <cell r="BA557">
            <v>91537.108006573035</v>
          </cell>
          <cell r="BB557">
            <v>91537.108006573035</v>
          </cell>
          <cell r="BC557">
            <v>91537.108006573035</v>
          </cell>
          <cell r="BD557">
            <v>91537.108006573035</v>
          </cell>
          <cell r="BE557">
            <v>91537.108006573035</v>
          </cell>
          <cell r="BF557">
            <v>91537.108006573035</v>
          </cell>
          <cell r="BG557">
            <v>91537.108006573035</v>
          </cell>
          <cell r="BH557">
            <v>91537.108006573035</v>
          </cell>
          <cell r="BI557">
            <v>91537.108006573035</v>
          </cell>
          <cell r="BJ557">
            <v>91537.108006573035</v>
          </cell>
          <cell r="BK557">
            <v>91537.108006573035</v>
          </cell>
          <cell r="BL557">
            <v>91537.108006573035</v>
          </cell>
          <cell r="BM557">
            <v>91537.108006573035</v>
          </cell>
          <cell r="BN557">
            <v>91537.108006573035</v>
          </cell>
          <cell r="BO557">
            <v>91537.108006573035</v>
          </cell>
          <cell r="BP557">
            <v>91537.108006573035</v>
          </cell>
          <cell r="BQ557">
            <v>91537.108006573035</v>
          </cell>
        </row>
        <row r="558">
          <cell r="AE558">
            <v>45569.714076613083</v>
          </cell>
          <cell r="AF558">
            <v>45666.022187618808</v>
          </cell>
          <cell r="AG558">
            <v>45762.330298624533</v>
          </cell>
          <cell r="AH558">
            <v>45858.638409630257</v>
          </cell>
          <cell r="AI558">
            <v>45954.946520635982</v>
          </cell>
          <cell r="AJ558">
            <v>46051.254631641707</v>
          </cell>
          <cell r="AK558">
            <v>46147.562742647431</v>
          </cell>
          <cell r="AL558">
            <v>46243.870853653156</v>
          </cell>
          <cell r="AM558">
            <v>46340.17896465888</v>
          </cell>
          <cell r="AN558">
            <v>46436.487075664612</v>
          </cell>
          <cell r="AO558">
            <v>46532.795186670337</v>
          </cell>
          <cell r="AP558">
            <v>46629.103297676062</v>
          </cell>
          <cell r="AQ558">
            <v>46725.411408681786</v>
          </cell>
          <cell r="AR558">
            <v>46821.719519687511</v>
          </cell>
          <cell r="AS558">
            <v>46918.027630693236</v>
          </cell>
          <cell r="AT558">
            <v>47014.33574169896</v>
          </cell>
          <cell r="AU558">
            <v>47110.643852704685</v>
          </cell>
          <cell r="AV558">
            <v>47206.951963710409</v>
          </cell>
          <cell r="AW558">
            <v>47303.260074716134</v>
          </cell>
          <cell r="AX558">
            <v>47399.568185721859</v>
          </cell>
          <cell r="AY558">
            <v>47495.876296727583</v>
          </cell>
          <cell r="AZ558">
            <v>47592.184407733308</v>
          </cell>
          <cell r="BA558">
            <v>47688.492518739033</v>
          </cell>
          <cell r="BB558">
            <v>47784.800629744757</v>
          </cell>
          <cell r="BC558">
            <v>47881.108740750482</v>
          </cell>
          <cell r="BD558">
            <v>47977.416851756207</v>
          </cell>
          <cell r="BE558">
            <v>48073.724962761939</v>
          </cell>
          <cell r="BF558">
            <v>48170.033073767663</v>
          </cell>
          <cell r="BG558">
            <v>48266.341184773388</v>
          </cell>
          <cell r="BH558">
            <v>48362.649295779112</v>
          </cell>
          <cell r="BI558">
            <v>48458.957406784837</v>
          </cell>
          <cell r="BJ558">
            <v>48555.265517790562</v>
          </cell>
          <cell r="BK558">
            <v>48651.573628796286</v>
          </cell>
          <cell r="BL558">
            <v>48747.881739802011</v>
          </cell>
          <cell r="BM558">
            <v>48844.189850807736</v>
          </cell>
          <cell r="BN558">
            <v>48940.49796181346</v>
          </cell>
          <cell r="BO558">
            <v>49036.806072819185</v>
          </cell>
          <cell r="BP558">
            <v>49133.11418382491</v>
          </cell>
          <cell r="BQ558">
            <v>49229.422294830634</v>
          </cell>
        </row>
        <row r="559">
          <cell r="AE559">
            <v>0</v>
          </cell>
          <cell r="AF559">
            <v>0</v>
          </cell>
          <cell r="AG559">
            <v>0</v>
          </cell>
          <cell r="AH559">
            <v>0</v>
          </cell>
          <cell r="AI559">
            <v>0</v>
          </cell>
          <cell r="AJ559">
            <v>0</v>
          </cell>
          <cell r="AK559">
            <v>0</v>
          </cell>
          <cell r="AL559">
            <v>0</v>
          </cell>
          <cell r="AM559">
            <v>0</v>
          </cell>
          <cell r="AN559">
            <v>0</v>
          </cell>
          <cell r="AO559">
            <v>0</v>
          </cell>
          <cell r="AP559">
            <v>0</v>
          </cell>
          <cell r="AQ559">
            <v>0</v>
          </cell>
          <cell r="AR559">
            <v>0</v>
          </cell>
          <cell r="AS559">
            <v>0</v>
          </cell>
          <cell r="AT559">
            <v>0</v>
          </cell>
          <cell r="AU559">
            <v>0</v>
          </cell>
          <cell r="AV559">
            <v>0</v>
          </cell>
          <cell r="AW559">
            <v>0</v>
          </cell>
          <cell r="AX559">
            <v>0</v>
          </cell>
          <cell r="AY559">
            <v>0</v>
          </cell>
          <cell r="AZ559">
            <v>0</v>
          </cell>
          <cell r="BA559">
            <v>0</v>
          </cell>
          <cell r="BB559">
            <v>0</v>
          </cell>
          <cell r="BC559">
            <v>0</v>
          </cell>
          <cell r="BD559">
            <v>0</v>
          </cell>
          <cell r="BE559">
            <v>0</v>
          </cell>
          <cell r="BF559">
            <v>0</v>
          </cell>
          <cell r="BG559">
            <v>0</v>
          </cell>
          <cell r="BH559">
            <v>0</v>
          </cell>
          <cell r="BI559">
            <v>0</v>
          </cell>
          <cell r="BJ559">
            <v>0</v>
          </cell>
          <cell r="BK559">
            <v>0</v>
          </cell>
          <cell r="BL559">
            <v>0</v>
          </cell>
          <cell r="BM559">
            <v>0</v>
          </cell>
          <cell r="BN559">
            <v>0</v>
          </cell>
          <cell r="BO559">
            <v>0</v>
          </cell>
          <cell r="BP559">
            <v>0</v>
          </cell>
          <cell r="BQ559">
            <v>0</v>
          </cell>
        </row>
        <row r="560">
          <cell r="AE560">
            <v>0</v>
          </cell>
          <cell r="AF560">
            <v>0</v>
          </cell>
          <cell r="AG560">
            <v>0</v>
          </cell>
          <cell r="AH560">
            <v>0</v>
          </cell>
          <cell r="AI560">
            <v>0</v>
          </cell>
          <cell r="AJ560">
            <v>0</v>
          </cell>
          <cell r="AK560">
            <v>0</v>
          </cell>
          <cell r="AL560">
            <v>0</v>
          </cell>
          <cell r="AM560">
            <v>0</v>
          </cell>
          <cell r="AN560">
            <v>0</v>
          </cell>
          <cell r="AO560">
            <v>0</v>
          </cell>
          <cell r="AP560">
            <v>0</v>
          </cell>
          <cell r="AQ560">
            <v>0</v>
          </cell>
          <cell r="AR560">
            <v>0</v>
          </cell>
          <cell r="AS560">
            <v>0</v>
          </cell>
          <cell r="AT560">
            <v>0</v>
          </cell>
          <cell r="AU560">
            <v>0</v>
          </cell>
          <cell r="AV560">
            <v>0</v>
          </cell>
          <cell r="AW560">
            <v>0</v>
          </cell>
          <cell r="AX560">
            <v>0</v>
          </cell>
          <cell r="AY560">
            <v>0</v>
          </cell>
          <cell r="AZ560">
            <v>0</v>
          </cell>
          <cell r="BA560">
            <v>0</v>
          </cell>
          <cell r="BB560">
            <v>0</v>
          </cell>
          <cell r="BC560">
            <v>0</v>
          </cell>
          <cell r="BD560">
            <v>0</v>
          </cell>
          <cell r="BE560">
            <v>0</v>
          </cell>
          <cell r="BF560">
            <v>0</v>
          </cell>
          <cell r="BG560">
            <v>0</v>
          </cell>
          <cell r="BH560">
            <v>0</v>
          </cell>
          <cell r="BI560">
            <v>0</v>
          </cell>
          <cell r="BJ560">
            <v>0</v>
          </cell>
          <cell r="BK560">
            <v>0</v>
          </cell>
          <cell r="BL560">
            <v>0</v>
          </cell>
          <cell r="BM560">
            <v>0</v>
          </cell>
          <cell r="BN560">
            <v>0</v>
          </cell>
          <cell r="BO560">
            <v>0</v>
          </cell>
          <cell r="BP560">
            <v>0</v>
          </cell>
          <cell r="BQ560">
            <v>0</v>
          </cell>
        </row>
      </sheetData>
      <sheetData sheetId="14"/>
      <sheetData sheetId="15"/>
      <sheetData sheetId="16"/>
      <sheetData sheetId="17"/>
      <sheetData sheetId="18"/>
      <sheetData sheetId="19"/>
      <sheetData sheetId="20"/>
      <sheetData sheetId="21"/>
      <sheetData sheetId="22"/>
      <sheetData sheetId="23">
        <row r="11">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row>
        <row r="16">
          <cell r="G16">
            <v>-2033.0187784308416</v>
          </cell>
          <cell r="H16">
            <v>-2033.0187784308416</v>
          </cell>
          <cell r="I16">
            <v>-2033.0187784308416</v>
          </cell>
          <cell r="J16">
            <v>-2033.0187784308416</v>
          </cell>
          <cell r="K16">
            <v>-2033.0187784308416</v>
          </cell>
          <cell r="L16">
            <v>-2033.0187784308416</v>
          </cell>
          <cell r="M16">
            <v>-2033.0187784308416</v>
          </cell>
          <cell r="N16">
            <v>-2033.0187784308416</v>
          </cell>
          <cell r="O16">
            <v>-2033.0187784308416</v>
          </cell>
          <cell r="P16">
            <v>-2033.0187784308416</v>
          </cell>
          <cell r="Q16">
            <v>-2033.0187784308416</v>
          </cell>
          <cell r="R16">
            <v>-2033.0187784308416</v>
          </cell>
          <cell r="S16">
            <v>-2033.0187784308416</v>
          </cell>
          <cell r="T16">
            <v>-2033.0187784308416</v>
          </cell>
          <cell r="U16">
            <v>-2033.0187784308416</v>
          </cell>
          <cell r="V16">
            <v>-2033.0187784308416</v>
          </cell>
          <cell r="W16">
            <v>-2033.0187784308416</v>
          </cell>
          <cell r="X16">
            <v>-2033.0187784308416</v>
          </cell>
          <cell r="Y16">
            <v>-2033.0187784308416</v>
          </cell>
          <cell r="Z16">
            <v>-2033.0187784308416</v>
          </cell>
          <cell r="AA16">
            <v>-2033.0187784308416</v>
          </cell>
          <cell r="AB16">
            <v>-2033.0187784308416</v>
          </cell>
          <cell r="AC16">
            <v>-2033.0187784308416</v>
          </cell>
          <cell r="AD16">
            <v>-2033.0187784308416</v>
          </cell>
          <cell r="AE16">
            <v>-2033.0187784308416</v>
          </cell>
          <cell r="AF16">
            <v>-2033.0187784308416</v>
          </cell>
          <cell r="AG16">
            <v>-2033.0187784308416</v>
          </cell>
          <cell r="AH16">
            <v>-2033.0187784308416</v>
          </cell>
          <cell r="AI16">
            <v>-2033.0187784308416</v>
          </cell>
          <cell r="AJ16">
            <v>-2035.9216395513552</v>
          </cell>
          <cell r="AK16">
            <v>-2038.8245006718687</v>
          </cell>
          <cell r="AL16">
            <v>-2041.727361792382</v>
          </cell>
          <cell r="AM16">
            <v>-2044.6302229128955</v>
          </cell>
          <cell r="AN16">
            <v>-2047.5330840334091</v>
          </cell>
          <cell r="AO16">
            <v>-2050.4359451539226</v>
          </cell>
          <cell r="AP16">
            <v>-2053.3388062744357</v>
          </cell>
          <cell r="AQ16">
            <v>-2056.2416673949492</v>
          </cell>
          <cell r="AR16">
            <v>-2059.1445285154628</v>
          </cell>
          <cell r="AS16">
            <v>-2062.0473896359763</v>
          </cell>
        </row>
        <row r="24">
          <cell r="G24">
            <v>12.039584863281849</v>
          </cell>
          <cell r="H24">
            <v>12.025408588332189</v>
          </cell>
          <cell r="I24">
            <v>12.011232313382529</v>
          </cell>
          <cell r="J24">
            <v>11.997056038432865</v>
          </cell>
          <cell r="K24">
            <v>11.982879763483202</v>
          </cell>
          <cell r="L24">
            <v>11.96870348853354</v>
          </cell>
          <cell r="M24">
            <v>11.95452721358388</v>
          </cell>
          <cell r="N24">
            <v>11.94035093863422</v>
          </cell>
          <cell r="O24">
            <v>11.926174663684558</v>
          </cell>
          <cell r="P24">
            <v>11.911998388734897</v>
          </cell>
          <cell r="Q24">
            <v>11.897822113785235</v>
          </cell>
          <cell r="R24">
            <v>11.883645838835573</v>
          </cell>
          <cell r="S24">
            <v>11.869469563885913</v>
          </cell>
          <cell r="T24">
            <v>11.855293288936252</v>
          </cell>
          <cell r="U24">
            <v>11.841117013986592</v>
          </cell>
          <cell r="V24">
            <v>11.826940739036928</v>
          </cell>
          <cell r="W24">
            <v>11.812764464087271</v>
          </cell>
          <cell r="X24">
            <v>11.798588189137607</v>
          </cell>
          <cell r="Y24">
            <v>11.784411914187945</v>
          </cell>
          <cell r="Z24">
            <v>11.770235639238283</v>
          </cell>
          <cell r="AA24">
            <v>11.756059364288626</v>
          </cell>
          <cell r="AB24">
            <v>11.741883089338963</v>
          </cell>
          <cell r="AC24">
            <v>11.7277068143893</v>
          </cell>
          <cell r="AD24">
            <v>11.713530539439638</v>
          </cell>
          <cell r="AE24">
            <v>11.699354264489978</v>
          </cell>
          <cell r="AF24">
            <v>11.685177989540316</v>
          </cell>
          <cell r="AG24">
            <v>11.671001714590655</v>
          </cell>
          <cell r="AH24">
            <v>11.656825439640995</v>
          </cell>
          <cell r="AI24">
            <v>11.642649164691337</v>
          </cell>
          <cell r="AJ24">
            <v>11.628472889741671</v>
          </cell>
          <cell r="AK24">
            <v>11.614296614792011</v>
          </cell>
          <cell r="AL24">
            <v>11.60012033984235</v>
          </cell>
          <cell r="AM24">
            <v>11.585944064892692</v>
          </cell>
          <cell r="AN24">
            <v>11.571767789943026</v>
          </cell>
          <cell r="AO24">
            <v>11.557591514993369</v>
          </cell>
          <cell r="AP24">
            <v>11.543415240043705</v>
          </cell>
          <cell r="AQ24">
            <v>11.529238965094041</v>
          </cell>
          <cell r="AR24">
            <v>11.515062690144381</v>
          </cell>
          <cell r="AS24">
            <v>11.500886415194721</v>
          </cell>
        </row>
        <row r="29">
          <cell r="G29">
            <v>1715.7336191464217</v>
          </cell>
          <cell r="H29">
            <v>1719.709290401963</v>
          </cell>
          <cell r="I29">
            <v>1723.6849616575048</v>
          </cell>
          <cell r="J29">
            <v>1727.6606329130461</v>
          </cell>
          <cell r="K29">
            <v>1731.6363041685877</v>
          </cell>
          <cell r="L29">
            <v>1735.6119754241288</v>
          </cell>
          <cell r="M29">
            <v>1739.5876466796708</v>
          </cell>
          <cell r="N29">
            <v>1743.5633179352121</v>
          </cell>
          <cell r="O29">
            <v>1747.5389891907532</v>
          </cell>
          <cell r="P29">
            <v>1751.5146604462952</v>
          </cell>
          <cell r="Q29">
            <v>1755.4903317018363</v>
          </cell>
          <cell r="R29">
            <v>1759.4660029573779</v>
          </cell>
          <cell r="S29">
            <v>1763.4416742129195</v>
          </cell>
          <cell r="T29">
            <v>1767.4173454684612</v>
          </cell>
          <cell r="U29">
            <v>1771.3930167240023</v>
          </cell>
          <cell r="V29">
            <v>1775.3686879795443</v>
          </cell>
          <cell r="W29">
            <v>1779.3443592350852</v>
          </cell>
          <cell r="X29">
            <v>1783.3200304906268</v>
          </cell>
          <cell r="Y29">
            <v>1787.2957017461686</v>
          </cell>
          <cell r="Z29">
            <v>1791.2713730017101</v>
          </cell>
          <cell r="AA29">
            <v>1795.2470442572514</v>
          </cell>
          <cell r="AB29">
            <v>1799.222715512793</v>
          </cell>
          <cell r="AC29">
            <v>1803.1983867683346</v>
          </cell>
          <cell r="AD29">
            <v>1807.1740580238759</v>
          </cell>
          <cell r="AE29">
            <v>1811.1497292794177</v>
          </cell>
          <cell r="AF29">
            <v>1815.125400534959</v>
          </cell>
          <cell r="AG29">
            <v>1819.1010717905003</v>
          </cell>
          <cell r="AH29">
            <v>1823.0767430460423</v>
          </cell>
          <cell r="AI29">
            <v>1827.0524143015834</v>
          </cell>
          <cell r="AJ29">
            <v>1831.028085557125</v>
          </cell>
          <cell r="AK29">
            <v>1835.0037568126666</v>
          </cell>
          <cell r="AL29">
            <v>1838.9794280682081</v>
          </cell>
          <cell r="AM29">
            <v>1842.9550993237494</v>
          </cell>
          <cell r="AN29">
            <v>1846.9307705792914</v>
          </cell>
          <cell r="AO29">
            <v>1850.9064418348325</v>
          </cell>
          <cell r="AP29">
            <v>1854.8821130903739</v>
          </cell>
          <cell r="AQ29">
            <v>1858.8577843459154</v>
          </cell>
          <cell r="AR29">
            <v>1862.8334556014568</v>
          </cell>
          <cell r="AS29">
            <v>1866.8091268569985</v>
          </cell>
        </row>
        <row r="37">
          <cell r="G37">
            <v>2015.9027318282567</v>
          </cell>
          <cell r="H37">
            <v>2015.9027318282567</v>
          </cell>
          <cell r="I37">
            <v>2015.9027318282567</v>
          </cell>
          <cell r="J37">
            <v>2015.9027318282567</v>
          </cell>
          <cell r="K37">
            <v>2015.9027318282567</v>
          </cell>
          <cell r="L37">
            <v>2015.9027318282567</v>
          </cell>
          <cell r="M37">
            <v>2015.9027318282567</v>
          </cell>
          <cell r="N37">
            <v>2015.9027318282567</v>
          </cell>
          <cell r="O37">
            <v>2015.9027318282567</v>
          </cell>
          <cell r="P37">
            <v>2015.9027318282567</v>
          </cell>
          <cell r="Q37">
            <v>2015.9027318282567</v>
          </cell>
          <cell r="R37">
            <v>2015.9027318282567</v>
          </cell>
          <cell r="S37">
            <v>2015.9027318282567</v>
          </cell>
          <cell r="T37">
            <v>2015.9027318282567</v>
          </cell>
          <cell r="U37">
            <v>2015.9027318282567</v>
          </cell>
          <cell r="V37">
            <v>2015.9027318282567</v>
          </cell>
          <cell r="W37">
            <v>2015.9027318282567</v>
          </cell>
          <cell r="X37">
            <v>2015.9027318282567</v>
          </cell>
          <cell r="Y37">
            <v>2015.9027318282567</v>
          </cell>
          <cell r="Z37">
            <v>2015.9027318282567</v>
          </cell>
          <cell r="AA37">
            <v>2015.9027318282567</v>
          </cell>
          <cell r="AB37">
            <v>2015.9027318282567</v>
          </cell>
          <cell r="AC37">
            <v>2015.9027318282567</v>
          </cell>
          <cell r="AD37">
            <v>2015.9027318282567</v>
          </cell>
          <cell r="AE37">
            <v>2015.9027318282567</v>
          </cell>
          <cell r="AF37">
            <v>2015.9027318282567</v>
          </cell>
          <cell r="AG37">
            <v>2015.9027318282567</v>
          </cell>
          <cell r="AH37">
            <v>2015.9027318282567</v>
          </cell>
          <cell r="AI37">
            <v>2015.9027318282567</v>
          </cell>
          <cell r="AJ37">
            <v>2015.9027318282567</v>
          </cell>
          <cell r="AK37">
            <v>2015.9027318282567</v>
          </cell>
          <cell r="AL37">
            <v>2015.9027318282567</v>
          </cell>
          <cell r="AM37">
            <v>2015.9027318282567</v>
          </cell>
          <cell r="AN37">
            <v>2015.9027318282567</v>
          </cell>
          <cell r="AO37">
            <v>2015.9027318282567</v>
          </cell>
          <cell r="AP37">
            <v>2015.9027318282567</v>
          </cell>
          <cell r="AQ37">
            <v>2015.9027318282567</v>
          </cell>
          <cell r="AR37">
            <v>2015.9027318282567</v>
          </cell>
          <cell r="AS37">
            <v>2015.9027318282567</v>
          </cell>
        </row>
        <row r="42">
          <cell r="G42">
            <v>-16356.408910494018</v>
          </cell>
          <cell r="H42">
            <v>-16356.408910494018</v>
          </cell>
          <cell r="I42">
            <v>-16356.408910494018</v>
          </cell>
          <cell r="J42">
            <v>-16356.408910494018</v>
          </cell>
          <cell r="K42">
            <v>-16356.408910494018</v>
          </cell>
          <cell r="L42">
            <v>-16356.408910494018</v>
          </cell>
          <cell r="M42">
            <v>-16356.408910494018</v>
          </cell>
          <cell r="N42">
            <v>-16356.408910494018</v>
          </cell>
          <cell r="O42">
            <v>-16356.408910494018</v>
          </cell>
          <cell r="P42">
            <v>-16356.408910494018</v>
          </cell>
          <cell r="Q42">
            <v>-16356.408910494018</v>
          </cell>
          <cell r="R42">
            <v>-16356.408910494018</v>
          </cell>
          <cell r="S42">
            <v>-16356.408910494018</v>
          </cell>
          <cell r="T42">
            <v>-16356.408910494018</v>
          </cell>
          <cell r="U42">
            <v>-16356.408910494018</v>
          </cell>
          <cell r="V42">
            <v>-16356.408910494018</v>
          </cell>
          <cell r="W42">
            <v>-16356.408910494018</v>
          </cell>
          <cell r="X42">
            <v>-16356.408910494018</v>
          </cell>
          <cell r="Y42">
            <v>-16356.408910494018</v>
          </cell>
          <cell r="Z42">
            <v>-16356.408910494018</v>
          </cell>
          <cell r="AA42">
            <v>-16356.408910494018</v>
          </cell>
          <cell r="AB42">
            <v>-16356.408910494018</v>
          </cell>
          <cell r="AC42">
            <v>-16356.408910494018</v>
          </cell>
          <cell r="AD42">
            <v>-16356.408910494018</v>
          </cell>
          <cell r="AE42">
            <v>-16356.408910494018</v>
          </cell>
          <cell r="AF42">
            <v>-16356.408910494018</v>
          </cell>
          <cell r="AG42">
            <v>-16356.408910494018</v>
          </cell>
          <cell r="AH42">
            <v>-16356.408910494018</v>
          </cell>
          <cell r="AI42">
            <v>-16356.408910494018</v>
          </cell>
          <cell r="AJ42">
            <v>-16356.40018606854</v>
          </cell>
          <cell r="AK42">
            <v>-16356.391461643068</v>
          </cell>
          <cell r="AL42">
            <v>-16356.382737217593</v>
          </cell>
          <cell r="AM42">
            <v>-16356.374012792119</v>
          </cell>
          <cell r="AN42">
            <v>-16356.365288366647</v>
          </cell>
          <cell r="AO42">
            <v>-16356.35656394117</v>
          </cell>
          <cell r="AP42">
            <v>-16356.347839515698</v>
          </cell>
          <cell r="AQ42">
            <v>-16356.339115090224</v>
          </cell>
          <cell r="AR42">
            <v>-16356.330390664745</v>
          </cell>
          <cell r="AS42">
            <v>-16356.321666239275</v>
          </cell>
        </row>
        <row r="53">
          <cell r="G53">
            <v>0.19614065557239718</v>
          </cell>
          <cell r="H53">
            <v>0.19614065557239718</v>
          </cell>
          <cell r="I53">
            <v>0.19614065557239718</v>
          </cell>
          <cell r="J53">
            <v>0.19614065557239718</v>
          </cell>
          <cell r="K53">
            <v>0.19614065557239718</v>
          </cell>
          <cell r="L53">
            <v>0.19614065557239718</v>
          </cell>
          <cell r="M53">
            <v>0.19614065557239718</v>
          </cell>
          <cell r="N53">
            <v>0.19614065557239718</v>
          </cell>
          <cell r="O53">
            <v>0.19614065557239718</v>
          </cell>
          <cell r="P53">
            <v>0.19614065557239718</v>
          </cell>
          <cell r="Q53">
            <v>0.19614065557239718</v>
          </cell>
          <cell r="R53">
            <v>0.19614065557239718</v>
          </cell>
          <cell r="S53">
            <v>0.19614065557239718</v>
          </cell>
          <cell r="T53">
            <v>0.19614065557239718</v>
          </cell>
          <cell r="U53">
            <v>0.19614065557239718</v>
          </cell>
          <cell r="V53">
            <v>0.19614065557239718</v>
          </cell>
          <cell r="W53">
            <v>0.19614065557239718</v>
          </cell>
          <cell r="X53">
            <v>0.19614065557239718</v>
          </cell>
          <cell r="Y53">
            <v>0.19614065557239718</v>
          </cell>
          <cell r="Z53">
            <v>0.19614065557239718</v>
          </cell>
          <cell r="AA53">
            <v>0.19614065557239718</v>
          </cell>
          <cell r="AB53">
            <v>0.19614065557239718</v>
          </cell>
          <cell r="AC53">
            <v>0.19614065557239718</v>
          </cell>
          <cell r="AD53">
            <v>0.19614065557239718</v>
          </cell>
          <cell r="AE53">
            <v>0.19614065557239718</v>
          </cell>
          <cell r="AF53">
            <v>0.19614065557239718</v>
          </cell>
          <cell r="AG53">
            <v>0.19614065557239718</v>
          </cell>
          <cell r="AH53">
            <v>0.19614065557239718</v>
          </cell>
          <cell r="AI53">
            <v>0.19614065557239718</v>
          </cell>
          <cell r="AJ53">
            <v>0.19614065557239718</v>
          </cell>
          <cell r="AK53">
            <v>0.19614065557239718</v>
          </cell>
          <cell r="AL53">
            <v>0.19614065557239718</v>
          </cell>
          <cell r="AM53">
            <v>0.19614065557239718</v>
          </cell>
          <cell r="AN53">
            <v>0.19614065557239718</v>
          </cell>
          <cell r="AO53">
            <v>0.19614065557239718</v>
          </cell>
          <cell r="AP53">
            <v>0.19614065557239718</v>
          </cell>
          <cell r="AQ53">
            <v>0.19614065557239718</v>
          </cell>
          <cell r="AR53">
            <v>0.19614065557239718</v>
          </cell>
          <cell r="AS53">
            <v>0.19614065557239718</v>
          </cell>
        </row>
        <row r="58">
          <cell r="G58">
            <v>213.88002646830932</v>
          </cell>
          <cell r="H58">
            <v>213.88002646830932</v>
          </cell>
          <cell r="I58">
            <v>213.88002646830932</v>
          </cell>
          <cell r="J58">
            <v>213.88002646830932</v>
          </cell>
          <cell r="K58">
            <v>213.88002646830932</v>
          </cell>
          <cell r="L58">
            <v>213.88002646830932</v>
          </cell>
          <cell r="M58">
            <v>213.88002646830932</v>
          </cell>
          <cell r="N58">
            <v>213.88002646830932</v>
          </cell>
          <cell r="O58">
            <v>213.88002646830932</v>
          </cell>
          <cell r="P58">
            <v>213.88002646830932</v>
          </cell>
          <cell r="Q58">
            <v>213.88002646830932</v>
          </cell>
          <cell r="R58">
            <v>213.88002646830932</v>
          </cell>
          <cell r="S58">
            <v>213.88002646830932</v>
          </cell>
          <cell r="T58">
            <v>213.88002646830932</v>
          </cell>
          <cell r="U58">
            <v>213.88002646830932</v>
          </cell>
          <cell r="V58">
            <v>213.88002646830932</v>
          </cell>
          <cell r="W58">
            <v>213.88002646830932</v>
          </cell>
          <cell r="X58">
            <v>213.88002646830932</v>
          </cell>
          <cell r="Y58">
            <v>213.88002646830932</v>
          </cell>
          <cell r="Z58">
            <v>213.88002646830932</v>
          </cell>
          <cell r="AA58">
            <v>213.88002646830932</v>
          </cell>
          <cell r="AB58">
            <v>213.88002646830932</v>
          </cell>
          <cell r="AC58">
            <v>213.88002646830932</v>
          </cell>
          <cell r="AD58">
            <v>213.88002646830932</v>
          </cell>
          <cell r="AE58">
            <v>213.88002646830932</v>
          </cell>
          <cell r="AF58">
            <v>213.88002646830932</v>
          </cell>
          <cell r="AG58">
            <v>213.88002646830932</v>
          </cell>
          <cell r="AH58">
            <v>213.88002646830932</v>
          </cell>
          <cell r="AI58">
            <v>213.88002646830932</v>
          </cell>
          <cell r="AJ58">
            <v>213.88002646830932</v>
          </cell>
          <cell r="AK58">
            <v>213.88002646830932</v>
          </cell>
          <cell r="AL58">
            <v>213.88002646830932</v>
          </cell>
          <cell r="AM58">
            <v>213.88002646830932</v>
          </cell>
          <cell r="AN58">
            <v>213.88002646830932</v>
          </cell>
          <cell r="AO58">
            <v>213.88002646830932</v>
          </cell>
          <cell r="AP58">
            <v>213.88002646830932</v>
          </cell>
          <cell r="AQ58">
            <v>213.88002646830932</v>
          </cell>
          <cell r="AR58">
            <v>213.88002646830932</v>
          </cell>
          <cell r="AS58">
            <v>213.88002646830932</v>
          </cell>
        </row>
        <row r="66">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row>
        <row r="71">
          <cell r="G71">
            <v>11186.601025250398</v>
          </cell>
          <cell r="H71">
            <v>11186.601025250397</v>
          </cell>
          <cell r="I71">
            <v>11186.601025250397</v>
          </cell>
          <cell r="J71">
            <v>11186.601025250397</v>
          </cell>
          <cell r="K71">
            <v>11186.601025250397</v>
          </cell>
          <cell r="L71">
            <v>11186.601025250397</v>
          </cell>
          <cell r="M71">
            <v>11186.601025250397</v>
          </cell>
          <cell r="N71">
            <v>11186.601025250397</v>
          </cell>
          <cell r="O71">
            <v>11186.601025250397</v>
          </cell>
          <cell r="P71">
            <v>11186.601025250397</v>
          </cell>
          <cell r="Q71">
            <v>11186.601025250397</v>
          </cell>
          <cell r="R71">
            <v>11186.601025250397</v>
          </cell>
          <cell r="S71">
            <v>11186.601025250397</v>
          </cell>
          <cell r="T71">
            <v>11186.601025250397</v>
          </cell>
          <cell r="U71">
            <v>11186.601025250397</v>
          </cell>
          <cell r="V71">
            <v>11186.601025250397</v>
          </cell>
          <cell r="W71">
            <v>11186.601025250397</v>
          </cell>
          <cell r="X71">
            <v>11186.601025250397</v>
          </cell>
          <cell r="Y71">
            <v>11186.601025250397</v>
          </cell>
          <cell r="Z71">
            <v>11186.601025250397</v>
          </cell>
          <cell r="AA71">
            <v>11186.601025250397</v>
          </cell>
          <cell r="AB71">
            <v>11186.601025250397</v>
          </cell>
          <cell r="AC71">
            <v>11186.601025250397</v>
          </cell>
          <cell r="AD71">
            <v>11186.601025250397</v>
          </cell>
          <cell r="AE71">
            <v>11186.601025250397</v>
          </cell>
          <cell r="AF71">
            <v>11186.601025250397</v>
          </cell>
          <cell r="AG71">
            <v>11186.601025250397</v>
          </cell>
          <cell r="AH71">
            <v>11186.601025250397</v>
          </cell>
          <cell r="AI71">
            <v>11186.601025250397</v>
          </cell>
          <cell r="AJ71">
            <v>11186.601025250397</v>
          </cell>
          <cell r="AK71">
            <v>11186.601025250397</v>
          </cell>
          <cell r="AL71">
            <v>11186.601025250397</v>
          </cell>
          <cell r="AM71">
            <v>11186.601025250397</v>
          </cell>
          <cell r="AN71">
            <v>11186.601025250397</v>
          </cell>
          <cell r="AO71">
            <v>11186.601025250397</v>
          </cell>
          <cell r="AP71">
            <v>11186.601025250397</v>
          </cell>
          <cell r="AQ71">
            <v>11186.601025250397</v>
          </cell>
          <cell r="AR71">
            <v>11186.601025250397</v>
          </cell>
          <cell r="AS71">
            <v>11186.601025250397</v>
          </cell>
        </row>
      </sheetData>
      <sheetData sheetId="24"/>
      <sheetData sheetId="25"/>
      <sheetData sheetId="26"/>
      <sheetData sheetId="27"/>
      <sheetData sheetId="2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IPCC Categories"/>
      <sheetName val="Drivers"/>
      <sheetName val="Annual land change driver"/>
      <sheetName val="Land areas"/>
      <sheetName val="Summary land areas"/>
      <sheetName val="Constants"/>
      <sheetName val="Mitigation scenarios"/>
      <sheetName val="Activity data"/>
      <sheetName val="Carbon stock data"/>
      <sheetName val="Relationships"/>
      <sheetName val="Aggregated stock data"/>
      <sheetName val="Baseline Emissions &amp; Removals"/>
      <sheetName val="Baseline emission summary"/>
      <sheetName val="Case 1 Emissions &amp; Removals"/>
      <sheetName val="Case 2 Emissions &amp; Removals"/>
      <sheetName val="Case 3 Emissions &amp; Removals"/>
      <sheetName val="Case 1 summary"/>
      <sheetName val="Inventory comparison"/>
      <sheetName val="1990-2014 corrected"/>
      <sheetName val="1990-2014"/>
      <sheetName val="1990-2018"/>
      <sheetName val="2014-2018"/>
      <sheetName val="Invento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3">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row>
      </sheetData>
      <sheetData sheetId="14"/>
      <sheetData sheetId="15"/>
      <sheetData sheetId="16"/>
      <sheetData sheetId="17"/>
      <sheetData sheetId="18"/>
      <sheetData sheetId="19"/>
      <sheetData sheetId="20"/>
      <sheetData sheetId="21"/>
      <sheetData sheetId="22"/>
      <sheetData sheetId="23"/>
    </sheetDataSet>
  </externalBook>
</externalLink>
</file>

<file path=xl/persons/person.xml><?xml version="1.0" encoding="utf-8"?>
<personList xmlns="http://schemas.microsoft.com/office/spreadsheetml/2018/threadedcomments" xmlns:x="http://schemas.openxmlformats.org/spreadsheetml/2006/main">
  <person displayName="bruno merven" id="{8EF51A79-3B58-4A10-AB03-6BA3328B87EC}" userId="144eb91ed0ec6402" providerId="Windows Live"/>
  <person displayName="Luanne Stevens" id="{9C612A8D-90CB-4007-81B9-47CE939BAA50}" userId="c07d99079094128c" providerId="Windows Live"/>
</personList>
</file>

<file path=xl/theme/theme1.xml><?xml version="1.0" encoding="utf-8"?>
<a:theme xmlns:a="http://schemas.openxmlformats.org/drawingml/2006/main" name="Office Theme">
  <a:themeElements>
    <a:clrScheme name="Aether">
      <a:dk1>
        <a:sysClr val="windowText" lastClr="000000"/>
      </a:dk1>
      <a:lt1>
        <a:sysClr val="window" lastClr="FFFFFF"/>
      </a:lt1>
      <a:dk2>
        <a:srgbClr val="44546A"/>
      </a:dk2>
      <a:lt2>
        <a:srgbClr val="0096C8"/>
      </a:lt2>
      <a:accent1>
        <a:srgbClr val="0096C8"/>
      </a:accent1>
      <a:accent2>
        <a:srgbClr val="ED7D31"/>
      </a:accent2>
      <a:accent3>
        <a:srgbClr val="A5A5A5"/>
      </a:accent3>
      <a:accent4>
        <a:srgbClr val="1F3864"/>
      </a:accent4>
      <a:accent5>
        <a:srgbClr val="954F72"/>
      </a:accent5>
      <a:accent6>
        <a:srgbClr val="C55A11"/>
      </a:accent6>
      <a:hlink>
        <a:srgbClr val="0070C0"/>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Z6" dT="2020-07-23T08:09:40.78" personId="{8EF51A79-3B58-4A10-AB03-6BA3328B87EC}" id="{6704E445-3F8B-48DB-A842-B7D498DA546D}">
    <text>perhaps remove this?</text>
  </threadedComment>
</ThreadedComments>
</file>

<file path=xl/threadedComments/threadedComment2.xml><?xml version="1.0" encoding="utf-8"?>
<ThreadedComments xmlns="http://schemas.microsoft.com/office/spreadsheetml/2018/threadedcomments" xmlns:x="http://schemas.openxmlformats.org/spreadsheetml/2006/main">
  <threadedComment ref="B102" dT="2021-07-18T05:46:03.97" personId="{9C612A8D-90CB-4007-81B9-47CE939BAA50}" id="{89358291-0199-49F8-B7DA-6297E8F89429}">
    <text>This assumes a 15% increase in emissions reductions but this only includes grass maturity. Can maybe increase this to 20% if we consider grass species impacts etc.</text>
  </threadedComment>
  <threadedComment ref="B102" dT="2021-07-18T05:47:15.50" personId="{9C612A8D-90CB-4007-81B9-47CE939BAA50}" id="{CA47A24E-5CF1-4257-818B-48F5FCE4A060}" parentId="{89358291-0199-49F8-B7DA-6297E8F89429}">
    <text>#LS #18/07/2021 Check this query</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2.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2060"/>
  </sheetPr>
  <dimension ref="A1:F46"/>
  <sheetViews>
    <sheetView topLeftCell="A26" workbookViewId="0">
      <selection activeCell="F32" sqref="F32"/>
    </sheetView>
  </sheetViews>
  <sheetFormatPr defaultRowHeight="15" x14ac:dyDescent="0.25"/>
  <cols>
    <col min="1" max="1" width="27" customWidth="1"/>
    <col min="2" max="2" width="18" customWidth="1"/>
    <col min="3" max="3" width="20.42578125" customWidth="1"/>
    <col min="4" max="4" width="37.28515625" customWidth="1"/>
  </cols>
  <sheetData>
    <row r="1" spans="1:4" ht="18.75" x14ac:dyDescent="0.3">
      <c r="A1" s="1" t="s">
        <v>800</v>
      </c>
    </row>
    <row r="3" spans="1:4" ht="15.75" x14ac:dyDescent="0.25">
      <c r="A3" s="20" t="s">
        <v>693</v>
      </c>
      <c r="B3" s="20"/>
      <c r="C3" s="20"/>
      <c r="D3" s="20"/>
    </row>
    <row r="4" spans="1:4" x14ac:dyDescent="0.25">
      <c r="A4" s="42" t="s">
        <v>691</v>
      </c>
      <c r="B4" s="42" t="s">
        <v>694</v>
      </c>
      <c r="C4" s="42" t="s">
        <v>695</v>
      </c>
      <c r="D4" s="42" t="s">
        <v>283</v>
      </c>
    </row>
    <row r="5" spans="1:4" x14ac:dyDescent="0.25">
      <c r="A5" t="s">
        <v>692</v>
      </c>
      <c r="B5" t="s">
        <v>696</v>
      </c>
      <c r="C5" t="s">
        <v>698</v>
      </c>
      <c r="D5" s="14"/>
    </row>
    <row r="6" spans="1:4" ht="30" x14ac:dyDescent="0.25">
      <c r="A6" t="s">
        <v>709</v>
      </c>
      <c r="B6" t="s">
        <v>696</v>
      </c>
      <c r="C6" t="s">
        <v>735</v>
      </c>
      <c r="D6" s="14" t="s">
        <v>710</v>
      </c>
    </row>
    <row r="7" spans="1:4" ht="75" x14ac:dyDescent="0.25">
      <c r="A7" t="s">
        <v>797</v>
      </c>
      <c r="B7" t="s">
        <v>696</v>
      </c>
      <c r="C7" t="s">
        <v>798</v>
      </c>
      <c r="D7" s="14" t="s">
        <v>799</v>
      </c>
    </row>
    <row r="8" spans="1:4" x14ac:dyDescent="0.25">
      <c r="A8" t="s">
        <v>802</v>
      </c>
      <c r="B8" t="s">
        <v>696</v>
      </c>
      <c r="C8" t="s">
        <v>803</v>
      </c>
      <c r="D8" s="14" t="s">
        <v>804</v>
      </c>
    </row>
    <row r="9" spans="1:4" ht="30" x14ac:dyDescent="0.25">
      <c r="A9" t="s">
        <v>819</v>
      </c>
      <c r="B9" t="s">
        <v>696</v>
      </c>
      <c r="C9" t="s">
        <v>820</v>
      </c>
      <c r="D9" s="14" t="s">
        <v>821</v>
      </c>
    </row>
    <row r="10" spans="1:4" ht="60" x14ac:dyDescent="0.25">
      <c r="A10" t="s">
        <v>822</v>
      </c>
      <c r="B10" t="s">
        <v>696</v>
      </c>
      <c r="C10" t="s">
        <v>823</v>
      </c>
      <c r="D10" s="14" t="s">
        <v>825</v>
      </c>
    </row>
    <row r="11" spans="1:4" ht="30" x14ac:dyDescent="0.25">
      <c r="A11" t="s">
        <v>824</v>
      </c>
      <c r="B11" t="s">
        <v>696</v>
      </c>
      <c r="C11" t="s">
        <v>823</v>
      </c>
      <c r="D11" s="14" t="s">
        <v>832</v>
      </c>
    </row>
    <row r="12" spans="1:4" ht="30" x14ac:dyDescent="0.25">
      <c r="A12" t="s">
        <v>879</v>
      </c>
      <c r="B12" t="s">
        <v>696</v>
      </c>
      <c r="C12" t="s">
        <v>880</v>
      </c>
      <c r="D12" s="14" t="s">
        <v>881</v>
      </c>
    </row>
    <row r="13" spans="1:4" ht="30" x14ac:dyDescent="0.25">
      <c r="A13" s="14" t="s">
        <v>1390</v>
      </c>
      <c r="B13" t="s">
        <v>696</v>
      </c>
      <c r="C13" t="s">
        <v>1391</v>
      </c>
      <c r="D13" s="14" t="s">
        <v>1392</v>
      </c>
    </row>
    <row r="17" spans="1:6" ht="15.75" x14ac:dyDescent="0.25">
      <c r="A17" s="20" t="s">
        <v>697</v>
      </c>
      <c r="B17" s="20"/>
      <c r="C17" s="20"/>
      <c r="D17" s="20"/>
    </row>
    <row r="18" spans="1:6" x14ac:dyDescent="0.25">
      <c r="A18" s="42" t="s">
        <v>691</v>
      </c>
      <c r="B18" s="126" t="s">
        <v>700</v>
      </c>
      <c r="C18" s="126"/>
      <c r="D18" s="42" t="s">
        <v>283</v>
      </c>
    </row>
    <row r="19" spans="1:6" ht="51" customHeight="1" x14ac:dyDescent="0.25">
      <c r="A19" s="56" t="s">
        <v>7</v>
      </c>
      <c r="B19" s="125" t="s">
        <v>701</v>
      </c>
      <c r="C19" s="125"/>
      <c r="D19" s="29"/>
    </row>
    <row r="20" spans="1:6" ht="75" x14ac:dyDescent="0.25">
      <c r="A20" s="57" t="s">
        <v>316</v>
      </c>
      <c r="B20" s="125" t="s">
        <v>827</v>
      </c>
      <c r="C20" s="125"/>
      <c r="D20" s="58" t="s">
        <v>828</v>
      </c>
    </row>
    <row r="21" spans="1:6" ht="45" customHeight="1" x14ac:dyDescent="0.25">
      <c r="A21" s="61" t="s">
        <v>826</v>
      </c>
      <c r="B21" s="125" t="s">
        <v>781</v>
      </c>
      <c r="C21" s="125"/>
      <c r="D21" s="58"/>
    </row>
    <row r="22" spans="1:6" ht="99" customHeight="1" x14ac:dyDescent="0.25">
      <c r="A22" s="88" t="s">
        <v>829</v>
      </c>
      <c r="B22" s="127" t="s">
        <v>830</v>
      </c>
      <c r="C22" s="128"/>
      <c r="D22" s="58"/>
    </row>
    <row r="23" spans="1:6" x14ac:dyDescent="0.25">
      <c r="A23" s="59" t="s">
        <v>8</v>
      </c>
      <c r="B23" s="125" t="s">
        <v>728</v>
      </c>
      <c r="C23" s="125"/>
      <c r="D23" s="29"/>
    </row>
    <row r="24" spans="1:6" ht="60" customHeight="1" x14ac:dyDescent="0.25">
      <c r="A24" s="90" t="s">
        <v>876</v>
      </c>
      <c r="B24" s="127" t="s">
        <v>878</v>
      </c>
      <c r="C24" s="128"/>
      <c r="D24" s="89"/>
    </row>
    <row r="25" spans="1:6" ht="75" hidden="1" x14ac:dyDescent="0.25">
      <c r="A25" s="60" t="s">
        <v>783</v>
      </c>
      <c r="B25" s="125" t="s">
        <v>782</v>
      </c>
      <c r="C25" s="125"/>
      <c r="D25" s="82" t="s">
        <v>729</v>
      </c>
    </row>
    <row r="26" spans="1:6" ht="90" x14ac:dyDescent="0.25">
      <c r="A26" s="62" t="s">
        <v>142</v>
      </c>
      <c r="B26" s="125" t="s">
        <v>831</v>
      </c>
      <c r="C26" s="125"/>
      <c r="D26" s="58" t="s">
        <v>801</v>
      </c>
    </row>
    <row r="27" spans="1:6" ht="63" customHeight="1" x14ac:dyDescent="0.25">
      <c r="A27" s="62" t="s">
        <v>279</v>
      </c>
      <c r="B27" s="125" t="s">
        <v>730</v>
      </c>
      <c r="C27" s="125"/>
      <c r="D27" s="58" t="s">
        <v>731</v>
      </c>
    </row>
    <row r="28" spans="1:6" ht="46.5" customHeight="1" x14ac:dyDescent="0.25">
      <c r="A28" s="62" t="s">
        <v>699</v>
      </c>
      <c r="B28" s="125" t="s">
        <v>732</v>
      </c>
      <c r="C28" s="125"/>
      <c r="D28" s="29"/>
    </row>
    <row r="29" spans="1:6" x14ac:dyDescent="0.25">
      <c r="A29" s="62" t="s">
        <v>784</v>
      </c>
      <c r="B29" s="125" t="s">
        <v>733</v>
      </c>
      <c r="C29" s="125"/>
      <c r="D29" s="29"/>
    </row>
    <row r="30" spans="1:6" x14ac:dyDescent="0.25">
      <c r="A30" s="63" t="s">
        <v>785</v>
      </c>
      <c r="B30" s="125" t="s">
        <v>734</v>
      </c>
      <c r="C30" s="125"/>
      <c r="D30" s="29"/>
    </row>
    <row r="31" spans="1:6" ht="63.75" customHeight="1" x14ac:dyDescent="0.25">
      <c r="A31" s="121" t="s">
        <v>1393</v>
      </c>
      <c r="B31" s="125" t="s">
        <v>1399</v>
      </c>
      <c r="C31" s="125"/>
      <c r="D31" s="107"/>
      <c r="F31" t="s">
        <v>1404</v>
      </c>
    </row>
    <row r="32" spans="1:6" x14ac:dyDescent="0.25">
      <c r="A32" s="122" t="s">
        <v>1394</v>
      </c>
      <c r="B32" s="134" t="s">
        <v>1400</v>
      </c>
      <c r="C32" s="135"/>
      <c r="D32" s="107"/>
    </row>
    <row r="33" spans="1:4" x14ac:dyDescent="0.25">
      <c r="A33" s="122" t="s">
        <v>1401</v>
      </c>
      <c r="B33" s="136"/>
      <c r="C33" s="137"/>
      <c r="D33" s="107"/>
    </row>
    <row r="34" spans="1:4" x14ac:dyDescent="0.25">
      <c r="A34" s="122" t="s">
        <v>1395</v>
      </c>
      <c r="B34" s="136"/>
      <c r="C34" s="137"/>
      <c r="D34" s="107"/>
    </row>
    <row r="35" spans="1:4" x14ac:dyDescent="0.25">
      <c r="A35" s="122" t="s">
        <v>1396</v>
      </c>
      <c r="B35" s="138"/>
      <c r="C35" s="139"/>
      <c r="D35" s="107"/>
    </row>
    <row r="36" spans="1:4" ht="31.5" customHeight="1" x14ac:dyDescent="0.25">
      <c r="A36" s="122" t="s">
        <v>1397</v>
      </c>
      <c r="B36" s="125" t="s">
        <v>1402</v>
      </c>
      <c r="C36" s="125"/>
      <c r="D36" s="107"/>
    </row>
    <row r="37" spans="1:4" ht="47.25" customHeight="1" x14ac:dyDescent="0.25">
      <c r="A37" s="121" t="s">
        <v>1398</v>
      </c>
      <c r="B37" s="125" t="s">
        <v>1403</v>
      </c>
      <c r="C37" s="125"/>
      <c r="D37" s="107"/>
    </row>
    <row r="40" spans="1:4" ht="15.75" x14ac:dyDescent="0.25">
      <c r="A40" s="20" t="s">
        <v>702</v>
      </c>
      <c r="B40" s="132" t="s">
        <v>283</v>
      </c>
      <c r="C40" s="132"/>
    </row>
    <row r="41" spans="1:4" ht="50.25" customHeight="1" x14ac:dyDescent="0.25">
      <c r="A41" s="64" t="s">
        <v>324</v>
      </c>
      <c r="B41" s="133" t="s">
        <v>707</v>
      </c>
      <c r="C41" s="133"/>
    </row>
    <row r="42" spans="1:4" x14ac:dyDescent="0.25">
      <c r="A42" s="65" t="s">
        <v>703</v>
      </c>
      <c r="B42" s="131"/>
      <c r="C42" s="131"/>
    </row>
    <row r="43" spans="1:4" x14ac:dyDescent="0.25">
      <c r="A43" s="66" t="s">
        <v>704</v>
      </c>
      <c r="B43" s="131" t="s">
        <v>706</v>
      </c>
      <c r="C43" s="131"/>
    </row>
    <row r="44" spans="1:4" x14ac:dyDescent="0.25">
      <c r="A44" s="67" t="s">
        <v>708</v>
      </c>
      <c r="B44" s="129"/>
      <c r="C44" s="130"/>
    </row>
    <row r="45" spans="1:4" x14ac:dyDescent="0.25">
      <c r="A45" s="68" t="s">
        <v>714</v>
      </c>
      <c r="B45" s="129"/>
      <c r="C45" s="130"/>
    </row>
    <row r="46" spans="1:4" x14ac:dyDescent="0.25">
      <c r="A46" s="69" t="s">
        <v>715</v>
      </c>
      <c r="B46" s="129"/>
      <c r="C46" s="130"/>
    </row>
  </sheetData>
  <mergeCells count="24">
    <mergeCell ref="B44:C44"/>
    <mergeCell ref="B45:C45"/>
    <mergeCell ref="B46:C46"/>
    <mergeCell ref="B28:C28"/>
    <mergeCell ref="B29:C29"/>
    <mergeCell ref="B30:C30"/>
    <mergeCell ref="B43:C43"/>
    <mergeCell ref="B40:C40"/>
    <mergeCell ref="B41:C41"/>
    <mergeCell ref="B42:C42"/>
    <mergeCell ref="B31:C31"/>
    <mergeCell ref="B36:C36"/>
    <mergeCell ref="B37:C37"/>
    <mergeCell ref="B32:C35"/>
    <mergeCell ref="B25:C25"/>
    <mergeCell ref="B21:C21"/>
    <mergeCell ref="B26:C26"/>
    <mergeCell ref="B27:C27"/>
    <mergeCell ref="B18:C18"/>
    <mergeCell ref="B19:C19"/>
    <mergeCell ref="B20:C20"/>
    <mergeCell ref="B23:C23"/>
    <mergeCell ref="B22:C22"/>
    <mergeCell ref="B24:C24"/>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6"/>
  </sheetPr>
  <dimension ref="A6:F9"/>
  <sheetViews>
    <sheetView workbookViewId="0">
      <selection activeCell="A8" sqref="A8:XFD8"/>
    </sheetView>
  </sheetViews>
  <sheetFormatPr defaultRowHeight="15" x14ac:dyDescent="0.25"/>
  <cols>
    <col min="3" max="3" width="14.7109375" customWidth="1"/>
  </cols>
  <sheetData>
    <row r="6" spans="1:6" x14ac:dyDescent="0.25">
      <c r="D6" t="s">
        <v>886</v>
      </c>
      <c r="E6" t="s">
        <v>887</v>
      </c>
      <c r="F6" t="s">
        <v>888</v>
      </c>
    </row>
    <row r="7" spans="1:6" x14ac:dyDescent="0.25">
      <c r="A7" t="s">
        <v>889</v>
      </c>
      <c r="B7" t="s">
        <v>1451</v>
      </c>
      <c r="C7" t="str">
        <f>"DriversCGE!"&amp;ADDRESS(ROW(DriversCGE!A7),COLUMN(DriversCGE!A7),4)</f>
        <v>DriversCGE!A7</v>
      </c>
      <c r="D7">
        <v>1</v>
      </c>
      <c r="E7">
        <v>1</v>
      </c>
    </row>
    <row r="8" spans="1:6" x14ac:dyDescent="0.25">
      <c r="A8" t="s">
        <v>889</v>
      </c>
      <c r="B8" t="s">
        <v>907</v>
      </c>
      <c r="C8" t="str">
        <f>"DriversCGE!"&amp;ADDRESS(ROW(DriversCGE!A34),COLUMN(DriversCGE!A34),4)</f>
        <v>DriversCGE!A34</v>
      </c>
      <c r="E8">
        <v>1</v>
      </c>
    </row>
    <row r="9" spans="1:6" x14ac:dyDescent="0.25">
      <c r="A9" t="s">
        <v>889</v>
      </c>
      <c r="B9" t="s">
        <v>1406</v>
      </c>
      <c r="C9" t="str">
        <f>"DriversCGE!"&amp;ADDRESS(ROW([2]DriversCGE!A86),COLUMN([2]DriversCGE!A86),4)</f>
        <v>DriversCGE!A86</v>
      </c>
      <c r="E9">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6"/>
  </sheetPr>
  <dimension ref="A6:F7"/>
  <sheetViews>
    <sheetView workbookViewId="0">
      <selection activeCell="B8" sqref="B8"/>
    </sheetView>
  </sheetViews>
  <sheetFormatPr defaultRowHeight="15" x14ac:dyDescent="0.25"/>
  <cols>
    <col min="2" max="2" width="14" bestFit="1" customWidth="1"/>
    <col min="3" max="3" width="19.28515625" customWidth="1"/>
  </cols>
  <sheetData>
    <row r="6" spans="1:6" x14ac:dyDescent="0.25">
      <c r="D6" t="s">
        <v>886</v>
      </c>
      <c r="E6" t="s">
        <v>887</v>
      </c>
      <c r="F6" t="s">
        <v>888</v>
      </c>
    </row>
    <row r="7" spans="1:6" x14ac:dyDescent="0.25">
      <c r="A7" t="s">
        <v>889</v>
      </c>
      <c r="B7" t="s">
        <v>908</v>
      </c>
      <c r="C7" t="str">
        <f>"GHGSummary!"&amp;ADDRESS(ROW(GHGSummary!B6),COLUMN(GHGSummary!B6),4)</f>
        <v>GHGSummary!B6</v>
      </c>
      <c r="D7">
        <v>2</v>
      </c>
      <c r="E7">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6"/>
  </sheetPr>
  <dimension ref="A7:AN87"/>
  <sheetViews>
    <sheetView tabSelected="1" topLeftCell="A31" workbookViewId="0">
      <selection activeCell="W49" sqref="W49"/>
    </sheetView>
  </sheetViews>
  <sheetFormatPr defaultRowHeight="15" x14ac:dyDescent="0.25"/>
  <sheetData>
    <row r="7" spans="1:40" x14ac:dyDescent="0.25">
      <c r="B7" s="124" t="s">
        <v>1411</v>
      </c>
      <c r="C7" s="124" t="s">
        <v>1412</v>
      </c>
      <c r="D7" s="124" t="s">
        <v>1413</v>
      </c>
      <c r="E7" s="124" t="s">
        <v>1414</v>
      </c>
      <c r="F7" s="124" t="s">
        <v>1415</v>
      </c>
      <c r="G7" s="124" t="s">
        <v>1416</v>
      </c>
      <c r="H7" s="124" t="s">
        <v>1417</v>
      </c>
      <c r="I7" s="124" t="s">
        <v>1418</v>
      </c>
      <c r="J7" s="124" t="s">
        <v>1419</v>
      </c>
      <c r="K7" s="124" t="s">
        <v>1420</v>
      </c>
      <c r="L7" s="124" t="s">
        <v>1421</v>
      </c>
      <c r="M7" s="124" t="s">
        <v>1422</v>
      </c>
      <c r="N7" s="124" t="s">
        <v>1423</v>
      </c>
      <c r="O7" s="124" t="s">
        <v>1424</v>
      </c>
      <c r="P7" s="124" t="s">
        <v>1425</v>
      </c>
      <c r="Q7" s="124" t="s">
        <v>1426</v>
      </c>
      <c r="R7" s="124" t="s">
        <v>1427</v>
      </c>
      <c r="S7" s="124" t="s">
        <v>1428</v>
      </c>
      <c r="T7" s="124" t="s">
        <v>1429</v>
      </c>
      <c r="U7" s="124" t="s">
        <v>1430</v>
      </c>
      <c r="V7" s="124" t="s">
        <v>1431</v>
      </c>
      <c r="W7" s="124" t="s">
        <v>1432</v>
      </c>
      <c r="X7" s="124" t="s">
        <v>1433</v>
      </c>
      <c r="Y7" s="124"/>
      <c r="Z7" s="124"/>
      <c r="AA7" s="124"/>
      <c r="AB7" s="124"/>
      <c r="AC7" s="124"/>
      <c r="AD7" s="124"/>
      <c r="AE7" s="124"/>
      <c r="AF7" s="124"/>
      <c r="AG7" s="124"/>
      <c r="AH7" s="124"/>
      <c r="AI7" s="124"/>
      <c r="AJ7" s="124"/>
      <c r="AK7" s="124"/>
      <c r="AL7" s="124"/>
      <c r="AM7" s="124"/>
      <c r="AN7" s="124"/>
    </row>
    <row r="8" spans="1:40" x14ac:dyDescent="0.25">
      <c r="A8" s="124" t="s">
        <v>891</v>
      </c>
      <c r="B8">
        <v>1833.8485148656705</v>
      </c>
      <c r="C8">
        <v>1881.3731790286924</v>
      </c>
      <c r="D8">
        <v>1924.3302821667974</v>
      </c>
      <c r="E8">
        <v>1948.4917196917315</v>
      </c>
      <c r="F8">
        <v>1974.0542366733348</v>
      </c>
      <c r="G8">
        <v>2002.3078059621166</v>
      </c>
      <c r="H8">
        <v>2034.5437587467281</v>
      </c>
      <c r="I8">
        <v>2063.6355904343723</v>
      </c>
      <c r="J8">
        <v>1912.2649910073255</v>
      </c>
      <c r="K8">
        <v>1959.9280468718712</v>
      </c>
      <c r="L8">
        <v>2006.7661330121864</v>
      </c>
      <c r="M8">
        <v>2053.4499995835426</v>
      </c>
      <c r="N8">
        <v>2107.034174953918</v>
      </c>
      <c r="O8">
        <v>2161.7349494194291</v>
      </c>
      <c r="P8">
        <v>2216.9281880405292</v>
      </c>
      <c r="Q8">
        <v>2273.2963383223146</v>
      </c>
      <c r="R8">
        <v>2328.5036679689219</v>
      </c>
      <c r="S8">
        <v>2382.2241566420589</v>
      </c>
      <c r="T8">
        <v>2438.0950130642905</v>
      </c>
      <c r="U8">
        <v>2504.6156323785758</v>
      </c>
      <c r="V8">
        <v>2575.5397540351155</v>
      </c>
      <c r="W8">
        <v>2649.7026123711225</v>
      </c>
      <c r="X8">
        <v>2673.025043046393</v>
      </c>
    </row>
    <row r="9" spans="1:40" x14ac:dyDescent="0.25">
      <c r="A9" s="124" t="s">
        <v>1450</v>
      </c>
      <c r="B9">
        <v>69.817113338466598</v>
      </c>
      <c r="C9">
        <v>72.477244803733839</v>
      </c>
      <c r="D9">
        <v>75.12421698357177</v>
      </c>
      <c r="E9">
        <v>73.664787344316011</v>
      </c>
      <c r="F9">
        <v>72.848806252019102</v>
      </c>
      <c r="G9">
        <v>75.4029646591176</v>
      </c>
      <c r="H9">
        <v>74.156163068976937</v>
      </c>
      <c r="I9">
        <v>72.71951740143794</v>
      </c>
      <c r="J9">
        <v>71.492311966385799</v>
      </c>
      <c r="K9">
        <v>73.269751116641956</v>
      </c>
      <c r="L9">
        <v>74.907028417560497</v>
      </c>
      <c r="M9">
        <v>76.398625566869597</v>
      </c>
      <c r="N9">
        <v>78.128297984312098</v>
      </c>
      <c r="O9">
        <v>79.904089713074157</v>
      </c>
      <c r="P9">
        <v>81.479219499750414</v>
      </c>
      <c r="Q9">
        <v>82.903659974359186</v>
      </c>
      <c r="R9">
        <v>85.678976467895112</v>
      </c>
      <c r="S9">
        <v>87.362326985485197</v>
      </c>
      <c r="T9">
        <v>88.696776979837324</v>
      </c>
      <c r="U9">
        <v>90.324958457944049</v>
      </c>
      <c r="V9">
        <v>91.903986260034188</v>
      </c>
      <c r="W9">
        <v>93.447113044877256</v>
      </c>
      <c r="X9">
        <v>92.831696883681573</v>
      </c>
    </row>
    <row r="10" spans="1:40" x14ac:dyDescent="0.25">
      <c r="A10" s="124" t="s">
        <v>897</v>
      </c>
      <c r="B10">
        <v>205.448728044604</v>
      </c>
      <c r="C10">
        <v>210.79280773935702</v>
      </c>
      <c r="D10">
        <v>212.52218306320279</v>
      </c>
      <c r="E10">
        <v>219.24251124964675</v>
      </c>
      <c r="F10">
        <v>216.82931193871138</v>
      </c>
      <c r="G10">
        <v>223.38283468425661</v>
      </c>
      <c r="H10">
        <v>223.41212806114007</v>
      </c>
      <c r="I10">
        <v>220.58758472623427</v>
      </c>
      <c r="J10">
        <v>208.27196462319714</v>
      </c>
      <c r="K10">
        <v>211.30427141479328</v>
      </c>
      <c r="L10">
        <v>213.63787989283844</v>
      </c>
      <c r="M10">
        <v>216.89129865211791</v>
      </c>
      <c r="N10">
        <v>220.7704225111797</v>
      </c>
      <c r="O10">
        <v>225.22404532316469</v>
      </c>
      <c r="P10">
        <v>229.08206864366906</v>
      </c>
      <c r="Q10">
        <v>233.07656774216906</v>
      </c>
      <c r="R10">
        <v>243.25964582743677</v>
      </c>
      <c r="S10">
        <v>250.42161418874761</v>
      </c>
      <c r="T10">
        <v>255.42620312826844</v>
      </c>
      <c r="U10">
        <v>260.39763184783357</v>
      </c>
      <c r="V10">
        <v>265.74874165070355</v>
      </c>
      <c r="W10">
        <v>271.00454221523529</v>
      </c>
      <c r="X10">
        <v>269.0609877956947</v>
      </c>
    </row>
    <row r="11" spans="1:40" x14ac:dyDescent="0.25">
      <c r="A11" s="124" t="s">
        <v>894</v>
      </c>
      <c r="B11">
        <v>93.09690942833015</v>
      </c>
      <c r="C11">
        <v>94.618074247935795</v>
      </c>
      <c r="D11">
        <v>95.904006161549063</v>
      </c>
      <c r="E11">
        <v>95.686563408411814</v>
      </c>
      <c r="F11">
        <v>96.93748616981469</v>
      </c>
      <c r="G11">
        <v>97.491570329476588</v>
      </c>
      <c r="H11">
        <v>98.254067617244743</v>
      </c>
      <c r="I11">
        <v>97.36135886704578</v>
      </c>
      <c r="J11">
        <v>94.360197558863916</v>
      </c>
      <c r="K11">
        <v>96.441857712310266</v>
      </c>
      <c r="L11">
        <v>98.33183964214227</v>
      </c>
      <c r="M11">
        <v>100.40610705423683</v>
      </c>
      <c r="N11">
        <v>102.80595308956546</v>
      </c>
      <c r="O11">
        <v>105.30789657418427</v>
      </c>
      <c r="P11">
        <v>107.45161021969921</v>
      </c>
      <c r="Q11">
        <v>109.61168516695005</v>
      </c>
      <c r="R11">
        <v>114.04100350282371</v>
      </c>
      <c r="S11">
        <v>116.56269952100662</v>
      </c>
      <c r="T11">
        <v>118.37366477971273</v>
      </c>
      <c r="U11">
        <v>120.59039198346579</v>
      </c>
      <c r="V11">
        <v>122.90720995580511</v>
      </c>
      <c r="W11">
        <v>125.31275198860672</v>
      </c>
      <c r="X11">
        <v>125.2727722149657</v>
      </c>
    </row>
    <row r="12" spans="1:40" x14ac:dyDescent="0.25">
      <c r="A12" s="124" t="s">
        <v>900</v>
      </c>
      <c r="B12">
        <v>235.49802282756352</v>
      </c>
      <c r="C12">
        <v>241.68923806496798</v>
      </c>
      <c r="D12">
        <v>246.06624491598822</v>
      </c>
      <c r="E12">
        <v>248.56477207303527</v>
      </c>
      <c r="F12">
        <v>251.30953211176097</v>
      </c>
      <c r="G12">
        <v>253.50985884606632</v>
      </c>
      <c r="H12">
        <v>255.77879656628497</v>
      </c>
      <c r="I12">
        <v>254.93446549555239</v>
      </c>
      <c r="J12">
        <v>234.40825721243056</v>
      </c>
      <c r="K12">
        <v>240.29250114056396</v>
      </c>
      <c r="L12">
        <v>245.85278290331985</v>
      </c>
      <c r="M12">
        <v>251.95297545581394</v>
      </c>
      <c r="N12">
        <v>258.87940535521653</v>
      </c>
      <c r="O12">
        <v>265.96713239408433</v>
      </c>
      <c r="P12">
        <v>273.14239829762175</v>
      </c>
      <c r="Q12">
        <v>280.12248935247771</v>
      </c>
      <c r="R12">
        <v>290.1469018190237</v>
      </c>
      <c r="S12">
        <v>297.64867636541277</v>
      </c>
      <c r="T12">
        <v>304.64912666136109</v>
      </c>
      <c r="U12">
        <v>312.91378768171069</v>
      </c>
      <c r="V12">
        <v>321.48520777614374</v>
      </c>
      <c r="W12">
        <v>330.40948227081566</v>
      </c>
      <c r="X12">
        <v>332.21224867720781</v>
      </c>
    </row>
    <row r="13" spans="1:40" x14ac:dyDescent="0.25">
      <c r="A13" s="124" t="s">
        <v>902</v>
      </c>
      <c r="B13">
        <v>17.781500762507015</v>
      </c>
      <c r="C13">
        <v>17.866513842867171</v>
      </c>
      <c r="D13">
        <v>17.866430342279013</v>
      </c>
      <c r="E13">
        <v>17.657533311685636</v>
      </c>
      <c r="F13">
        <v>17.882940811133519</v>
      </c>
      <c r="G13">
        <v>18.67029775215903</v>
      </c>
      <c r="H13">
        <v>18.241604668339836</v>
      </c>
      <c r="I13">
        <v>18.727206983836723</v>
      </c>
      <c r="J13">
        <v>18.038582145113654</v>
      </c>
      <c r="K13">
        <v>18.482765526689427</v>
      </c>
      <c r="L13">
        <v>18.864766100780173</v>
      </c>
      <c r="M13">
        <v>19.274389722891428</v>
      </c>
      <c r="N13">
        <v>19.738352171698612</v>
      </c>
      <c r="O13">
        <v>20.322057140312367</v>
      </c>
      <c r="P13">
        <v>20.798780774382728</v>
      </c>
      <c r="Q13">
        <v>21.286058190320375</v>
      </c>
      <c r="R13">
        <v>22.008814546836028</v>
      </c>
      <c r="S13">
        <v>22.478099310269105</v>
      </c>
      <c r="T13">
        <v>22.867060268039587</v>
      </c>
      <c r="U13">
        <v>23.386360503259905</v>
      </c>
      <c r="V13">
        <v>23.810194577493025</v>
      </c>
      <c r="W13">
        <v>24.24889371824046</v>
      </c>
      <c r="X13">
        <v>24.177563620787637</v>
      </c>
    </row>
    <row r="14" spans="1:40" x14ac:dyDescent="0.25">
      <c r="A14" s="124" t="s">
        <v>892</v>
      </c>
      <c r="B14">
        <v>52.810230956688748</v>
      </c>
      <c r="C14">
        <v>54.075052438598028</v>
      </c>
      <c r="D14">
        <v>54.980740159920948</v>
      </c>
      <c r="E14">
        <v>55.250874919299306</v>
      </c>
      <c r="F14">
        <v>55.763518005494348</v>
      </c>
      <c r="G14">
        <v>56.239259218012471</v>
      </c>
      <c r="H14">
        <v>56.701415688050986</v>
      </c>
      <c r="I14">
        <v>56.519048448861753</v>
      </c>
      <c r="J14">
        <v>52.758187689288334</v>
      </c>
      <c r="K14">
        <v>53.847135915157097</v>
      </c>
      <c r="L14">
        <v>54.944929158707644</v>
      </c>
      <c r="M14">
        <v>56.189568620395917</v>
      </c>
      <c r="N14">
        <v>57.592980127305495</v>
      </c>
      <c r="O14">
        <v>59.074334186253949</v>
      </c>
      <c r="P14">
        <v>60.477789999567655</v>
      </c>
      <c r="Q14">
        <v>61.894442944623655</v>
      </c>
      <c r="R14">
        <v>64.127679346468028</v>
      </c>
      <c r="S14">
        <v>65.559744064764303</v>
      </c>
      <c r="T14">
        <v>66.762211754663838</v>
      </c>
      <c r="U14">
        <v>68.228170074583588</v>
      </c>
      <c r="V14">
        <v>69.818427382465757</v>
      </c>
      <c r="W14">
        <v>71.505536654998195</v>
      </c>
      <c r="X14">
        <v>71.845555049114026</v>
      </c>
    </row>
    <row r="15" spans="1:40" x14ac:dyDescent="0.25">
      <c r="A15" s="124" t="s">
        <v>899</v>
      </c>
      <c r="B15">
        <v>11.315554625964511</v>
      </c>
      <c r="C15">
        <v>11.642599312057134</v>
      </c>
      <c r="D15">
        <v>11.876374857882928</v>
      </c>
      <c r="E15">
        <v>12.048388595958166</v>
      </c>
      <c r="F15">
        <v>12.218053698723736</v>
      </c>
      <c r="G15">
        <v>12.394452094944127</v>
      </c>
      <c r="H15">
        <v>12.523462139750482</v>
      </c>
      <c r="I15">
        <v>12.508608949463035</v>
      </c>
      <c r="J15">
        <v>11.602709377736971</v>
      </c>
      <c r="K15">
        <v>11.895883463101638</v>
      </c>
      <c r="L15">
        <v>12.174236577754318</v>
      </c>
      <c r="M15">
        <v>12.470194564883434</v>
      </c>
      <c r="N15">
        <v>12.8143022018349</v>
      </c>
      <c r="O15">
        <v>13.165277817182666</v>
      </c>
      <c r="P15">
        <v>13.52959821271668</v>
      </c>
      <c r="Q15">
        <v>13.878477761201857</v>
      </c>
      <c r="R15">
        <v>14.327499896119917</v>
      </c>
      <c r="S15">
        <v>14.687218725639031</v>
      </c>
      <c r="T15">
        <v>15.048296808374285</v>
      </c>
      <c r="U15">
        <v>15.480483301833406</v>
      </c>
      <c r="V15">
        <v>15.924926996628258</v>
      </c>
      <c r="W15">
        <v>16.384674437675532</v>
      </c>
      <c r="X15">
        <v>16.467063282945489</v>
      </c>
    </row>
    <row r="16" spans="1:40" x14ac:dyDescent="0.25">
      <c r="A16" s="124" t="s">
        <v>896</v>
      </c>
      <c r="B16">
        <v>13.345629432701433</v>
      </c>
      <c r="C16">
        <v>13.837552666228936</v>
      </c>
      <c r="D16">
        <v>14.157298961827193</v>
      </c>
      <c r="E16">
        <v>14.500890949714712</v>
      </c>
      <c r="F16">
        <v>14.60542641118097</v>
      </c>
      <c r="G16">
        <v>14.690128491012041</v>
      </c>
      <c r="H16">
        <v>14.835451947712782</v>
      </c>
      <c r="I16">
        <v>14.700640369524981</v>
      </c>
      <c r="J16">
        <v>13.722484748825348</v>
      </c>
      <c r="K16">
        <v>13.772920456143462</v>
      </c>
      <c r="L16">
        <v>13.790280655273449</v>
      </c>
      <c r="M16">
        <v>14.078249504394545</v>
      </c>
      <c r="N16">
        <v>14.396962771252523</v>
      </c>
      <c r="O16">
        <v>14.801890447665638</v>
      </c>
      <c r="P16">
        <v>15.098083840091496</v>
      </c>
      <c r="Q16">
        <v>15.399200215838428</v>
      </c>
      <c r="R16">
        <v>16.770317437558642</v>
      </c>
      <c r="S16">
        <v>17.294375146569784</v>
      </c>
      <c r="T16">
        <v>17.478798634889749</v>
      </c>
      <c r="U16">
        <v>17.673574564124422</v>
      </c>
      <c r="V16">
        <v>17.952858746686438</v>
      </c>
      <c r="W16">
        <v>18.255834542945152</v>
      </c>
      <c r="X16">
        <v>18.172095252304601</v>
      </c>
    </row>
    <row r="17" spans="1:24" x14ac:dyDescent="0.25">
      <c r="A17" s="124" t="s">
        <v>898</v>
      </c>
      <c r="B17">
        <v>10.112362730183554</v>
      </c>
      <c r="C17">
        <v>8.4714028055850612</v>
      </c>
      <c r="D17">
        <v>7.7088184321527793</v>
      </c>
      <c r="E17">
        <v>7.8321992982511333</v>
      </c>
      <c r="F17">
        <v>7.5832352057035557</v>
      </c>
      <c r="G17">
        <v>7.1999070254089874</v>
      </c>
      <c r="H17">
        <v>7.0247282776751572</v>
      </c>
      <c r="I17">
        <v>6.5860236544721804</v>
      </c>
      <c r="J17">
        <v>5.9576528363588439</v>
      </c>
      <c r="K17">
        <v>6.0331583913434388</v>
      </c>
      <c r="L17">
        <v>5.9899458430169084</v>
      </c>
      <c r="M17">
        <v>6.0709390775908956</v>
      </c>
      <c r="N17">
        <v>6.1534610398300691</v>
      </c>
      <c r="O17">
        <v>6.2701413913285933</v>
      </c>
      <c r="P17">
        <v>6.4746602820766732</v>
      </c>
      <c r="Q17">
        <v>6.6502931866625863</v>
      </c>
      <c r="R17">
        <v>7.4086569126745276</v>
      </c>
      <c r="S17">
        <v>7.8703797712983263</v>
      </c>
      <c r="T17">
        <v>8.1498811896983252</v>
      </c>
      <c r="U17">
        <v>8.3507904269821243</v>
      </c>
      <c r="V17">
        <v>8.5431769883742472</v>
      </c>
      <c r="W17">
        <v>8.7087728360971361</v>
      </c>
      <c r="X17">
        <v>8.6256605539116329</v>
      </c>
    </row>
    <row r="18" spans="1:24" x14ac:dyDescent="0.25">
      <c r="A18" s="124" t="s">
        <v>895</v>
      </c>
      <c r="B18">
        <v>1.2396211872289537E-4</v>
      </c>
      <c r="C18">
        <v>1.3290581175692587E-4</v>
      </c>
      <c r="D18">
        <v>1.4153642406235413E-4</v>
      </c>
      <c r="E18">
        <v>1.3361809558985665E-4</v>
      </c>
      <c r="F18">
        <v>1.2868875259549153E-4</v>
      </c>
      <c r="G18">
        <v>1.1965203490472546E-4</v>
      </c>
      <c r="H18">
        <v>1.2491308031126709E-4</v>
      </c>
      <c r="I18">
        <v>1.142152458588552E-4</v>
      </c>
      <c r="J18">
        <v>1.453760901923636E-4</v>
      </c>
      <c r="K18">
        <v>1.3478171415756473E-4</v>
      </c>
      <c r="L18">
        <v>1.1870120365704373E-4</v>
      </c>
      <c r="M18">
        <v>1.2163067517851543E-4</v>
      </c>
      <c r="N18">
        <v>1.2181191579761135E-4</v>
      </c>
      <c r="O18">
        <v>1.2394127476158016E-4</v>
      </c>
      <c r="P18">
        <v>1.3145335151661675E-4</v>
      </c>
      <c r="Q18">
        <v>1.3232332442469447E-4</v>
      </c>
      <c r="R18">
        <v>1.9329549119968914E-4</v>
      </c>
      <c r="S18">
        <v>1.9956291103311665E-4</v>
      </c>
      <c r="T18">
        <v>1.8695281309499058E-4</v>
      </c>
      <c r="U18">
        <v>1.6514861754716935E-4</v>
      </c>
      <c r="V18">
        <v>4.3050336207563992E-4</v>
      </c>
      <c r="W18">
        <v>4.3006003612492088E-4</v>
      </c>
      <c r="X18">
        <v>1.3827224244467376E-3</v>
      </c>
    </row>
    <row r="19" spans="1:24" x14ac:dyDescent="0.25">
      <c r="A19" s="124" t="s">
        <v>893</v>
      </c>
      <c r="B19">
        <v>84.250557323845101</v>
      </c>
      <c r="C19">
        <v>82.80894010028878</v>
      </c>
      <c r="D19">
        <v>79.22187903972349</v>
      </c>
      <c r="E19">
        <v>75.646856182639851</v>
      </c>
      <c r="F19">
        <v>74.220733434924583</v>
      </c>
      <c r="G19">
        <v>68.396131884461155</v>
      </c>
      <c r="H19">
        <v>73.805456774917644</v>
      </c>
      <c r="I19">
        <v>68.047205796350752</v>
      </c>
      <c r="J19">
        <v>64.793461787516279</v>
      </c>
      <c r="K19">
        <v>67.566449809767406</v>
      </c>
      <c r="L19">
        <v>67.346505064543166</v>
      </c>
      <c r="M19">
        <v>68.410669561030474</v>
      </c>
      <c r="N19">
        <v>69.807281918131807</v>
      </c>
      <c r="O19">
        <v>69.765320113766492</v>
      </c>
      <c r="P19">
        <v>72.346133779771563</v>
      </c>
      <c r="Q19">
        <v>71.981612402749775</v>
      </c>
      <c r="R19">
        <v>72.8116930622664</v>
      </c>
      <c r="S19">
        <v>73.842380189452541</v>
      </c>
      <c r="T19">
        <v>75.855021146975318</v>
      </c>
      <c r="U19">
        <v>77.867512918830329</v>
      </c>
      <c r="V19">
        <v>80.839225888526173</v>
      </c>
      <c r="W19">
        <v>83.287286560988179</v>
      </c>
      <c r="X19">
        <v>84.073193161043832</v>
      </c>
    </row>
    <row r="20" spans="1:24" x14ac:dyDescent="0.25">
      <c r="A20" s="124" t="s">
        <v>905</v>
      </c>
      <c r="B20">
        <v>21.151207305916397</v>
      </c>
      <c r="C20">
        <v>22.364053899338394</v>
      </c>
      <c r="D20">
        <v>23.931585474980555</v>
      </c>
      <c r="E20">
        <v>24.859511179127917</v>
      </c>
      <c r="F20">
        <v>25.681544785659543</v>
      </c>
      <c r="G20">
        <v>27.650171918756758</v>
      </c>
      <c r="H20">
        <v>29.726248562845761</v>
      </c>
      <c r="I20">
        <v>30.843093502764916</v>
      </c>
      <c r="J20">
        <v>30.123350381942931</v>
      </c>
      <c r="K20">
        <v>31.355865262415161</v>
      </c>
      <c r="L20">
        <v>32.64525630600788</v>
      </c>
      <c r="M20">
        <v>34.05697897152276</v>
      </c>
      <c r="N20">
        <v>35.775511983748942</v>
      </c>
      <c r="O20">
        <v>37.707558051570956</v>
      </c>
      <c r="P20">
        <v>39.72379044050858</v>
      </c>
      <c r="Q20">
        <v>41.946627859878028</v>
      </c>
      <c r="R20">
        <v>45.057887017287833</v>
      </c>
      <c r="S20">
        <v>48.166148276086098</v>
      </c>
      <c r="T20">
        <v>51.333726090759178</v>
      </c>
      <c r="U20">
        <v>54.96757274041812</v>
      </c>
      <c r="V20">
        <v>58.850588890015366</v>
      </c>
      <c r="W20">
        <v>62.910783237437734</v>
      </c>
      <c r="X20">
        <v>65.37228984849483</v>
      </c>
    </row>
    <row r="21" spans="1:24" x14ac:dyDescent="0.25">
      <c r="A21" s="124" t="s">
        <v>904</v>
      </c>
      <c r="B21">
        <v>135.95535691221758</v>
      </c>
      <c r="C21">
        <v>139.34357083004664</v>
      </c>
      <c r="D21">
        <v>142.15358612476842</v>
      </c>
      <c r="E21">
        <v>143.08763167411936</v>
      </c>
      <c r="F21">
        <v>144.21378182069085</v>
      </c>
      <c r="G21">
        <v>146.23183710082631</v>
      </c>
      <c r="H21">
        <v>148.08407317311446</v>
      </c>
      <c r="I21">
        <v>148.16604740459596</v>
      </c>
      <c r="J21">
        <v>136.80758662839256</v>
      </c>
      <c r="K21">
        <v>140.19946845772114</v>
      </c>
      <c r="L21">
        <v>143.53876848394646</v>
      </c>
      <c r="M21">
        <v>146.6097266687608</v>
      </c>
      <c r="N21">
        <v>150.23227380434477</v>
      </c>
      <c r="O21">
        <v>153.93348489101461</v>
      </c>
      <c r="P21">
        <v>157.55364470948146</v>
      </c>
      <c r="Q21">
        <v>161.18320005112582</v>
      </c>
      <c r="R21">
        <v>163.79650547977351</v>
      </c>
      <c r="S21">
        <v>166.78531536021282</v>
      </c>
      <c r="T21">
        <v>170.19790663490571</v>
      </c>
      <c r="U21">
        <v>174.35860151262753</v>
      </c>
      <c r="V21">
        <v>178.75342924134486</v>
      </c>
      <c r="W21">
        <v>183.33482416700267</v>
      </c>
      <c r="X21">
        <v>183.89859666858607</v>
      </c>
    </row>
    <row r="22" spans="1:24" x14ac:dyDescent="0.25">
      <c r="A22" s="124" t="s">
        <v>903</v>
      </c>
      <c r="B22">
        <v>11.263564724197627</v>
      </c>
      <c r="C22">
        <v>11.536749497657754</v>
      </c>
      <c r="D22">
        <v>11.869807871793594</v>
      </c>
      <c r="E22">
        <v>12.043275185375244</v>
      </c>
      <c r="F22">
        <v>12.129908908077946</v>
      </c>
      <c r="G22">
        <v>12.312528207435692</v>
      </c>
      <c r="H22">
        <v>12.586346927200047</v>
      </c>
      <c r="I22">
        <v>12.684641521164954</v>
      </c>
      <c r="J22">
        <v>11.893321114711604</v>
      </c>
      <c r="K22">
        <v>12.254673575950621</v>
      </c>
      <c r="L22">
        <v>12.572481762372295</v>
      </c>
      <c r="M22">
        <v>12.817879639377987</v>
      </c>
      <c r="N22">
        <v>13.114644327434563</v>
      </c>
      <c r="O22">
        <v>13.411585059699817</v>
      </c>
      <c r="P22">
        <v>13.704392346616599</v>
      </c>
      <c r="Q22">
        <v>13.991008580851444</v>
      </c>
      <c r="R22">
        <v>14.159400478308743</v>
      </c>
      <c r="S22">
        <v>14.433097921422041</v>
      </c>
      <c r="T22">
        <v>14.701591838649986</v>
      </c>
      <c r="U22">
        <v>15.032703868766532</v>
      </c>
      <c r="V22">
        <v>15.390135003187901</v>
      </c>
      <c r="W22">
        <v>15.743472182752278</v>
      </c>
      <c r="X22">
        <v>15.765213101421432</v>
      </c>
    </row>
    <row r="23" spans="1:24" x14ac:dyDescent="0.25">
      <c r="A23" s="124" t="s">
        <v>906</v>
      </c>
      <c r="B23">
        <v>1.1351531206547518</v>
      </c>
      <c r="C23">
        <v>1.1539590714925518</v>
      </c>
      <c r="D23">
        <v>1.1404901804281951</v>
      </c>
      <c r="E23">
        <v>1.1274033786100774</v>
      </c>
      <c r="F23">
        <v>1.1435400377887337</v>
      </c>
      <c r="G23">
        <v>1.1538124772596081</v>
      </c>
      <c r="H23">
        <v>1.1246356993083126</v>
      </c>
      <c r="I23">
        <v>1.1060578701828856</v>
      </c>
      <c r="J23">
        <v>0.98108754958976574</v>
      </c>
      <c r="K23">
        <v>0.99004853200731291</v>
      </c>
      <c r="L23">
        <v>1.0086830080873286</v>
      </c>
      <c r="M23">
        <v>1.0334689529312586</v>
      </c>
      <c r="N23">
        <v>1.0588298102790008</v>
      </c>
      <c r="O23">
        <v>1.0855509228173361</v>
      </c>
      <c r="P23">
        <v>1.1129318346857584</v>
      </c>
      <c r="Q23">
        <v>1.1429271898406927</v>
      </c>
      <c r="R23">
        <v>1.1591632244287242</v>
      </c>
      <c r="S23">
        <v>1.1713710389156282</v>
      </c>
      <c r="T23">
        <v>1.1991919447785446</v>
      </c>
      <c r="U23">
        <v>1.2305445518225682</v>
      </c>
      <c r="V23">
        <v>1.2632798426243872</v>
      </c>
      <c r="W23">
        <v>1.3020043376681709</v>
      </c>
      <c r="X23">
        <v>1.3137427215539956</v>
      </c>
    </row>
    <row r="24" spans="1:24" x14ac:dyDescent="0.25">
      <c r="A24" s="124" t="s">
        <v>901</v>
      </c>
      <c r="B24">
        <v>27.516308224731535</v>
      </c>
      <c r="C24">
        <v>26.897160731794408</v>
      </c>
      <c r="D24">
        <v>26.282799926340797</v>
      </c>
      <c r="E24">
        <v>25.668439120887204</v>
      </c>
      <c r="F24">
        <v>25.648170510063444</v>
      </c>
      <c r="G24">
        <v>25.627901899239703</v>
      </c>
      <c r="H24">
        <v>25.630179633038768</v>
      </c>
      <c r="I24">
        <v>25.609911009525412</v>
      </c>
      <c r="J24">
        <v>16.09073492141621</v>
      </c>
      <c r="K24">
        <v>19.061375957580815</v>
      </c>
      <c r="L24">
        <v>21.810468131006218</v>
      </c>
      <c r="M24">
        <v>21.790199520182469</v>
      </c>
      <c r="N24">
        <v>21.769930909358724</v>
      </c>
      <c r="O24">
        <v>21.191614720189218</v>
      </c>
      <c r="P24">
        <v>21.145100465963171</v>
      </c>
      <c r="Q24">
        <v>21.124831855139419</v>
      </c>
      <c r="R24">
        <v>9.3832627919225757</v>
      </c>
      <c r="S24">
        <v>6.0841991401892166</v>
      </c>
      <c r="T24">
        <v>6.0420318983727732</v>
      </c>
      <c r="U24">
        <v>6.0420318983727697</v>
      </c>
      <c r="V24">
        <v>6.0420318983727705</v>
      </c>
      <c r="W24">
        <v>6.0420318983727714</v>
      </c>
      <c r="X24">
        <v>5.7975610693493644</v>
      </c>
    </row>
    <row r="25" spans="1:24" x14ac:dyDescent="0.25">
      <c r="A25" s="124" t="s">
        <v>890</v>
      </c>
      <c r="B25">
        <v>66.42036548153871</v>
      </c>
      <c r="C25">
        <v>67.618255556475631</v>
      </c>
      <c r="D25">
        <v>64.602460843615049</v>
      </c>
      <c r="E25">
        <v>61.586666130754502</v>
      </c>
      <c r="F25">
        <v>61.343406717907705</v>
      </c>
      <c r="G25">
        <v>61.496108707682531</v>
      </c>
      <c r="H25">
        <v>61.172117730296264</v>
      </c>
      <c r="I25">
        <v>60.572312130168619</v>
      </c>
      <c r="J25">
        <v>58.538844094038311</v>
      </c>
      <c r="K25">
        <v>58.872581221308536</v>
      </c>
      <c r="L25">
        <v>58.951181344486663</v>
      </c>
      <c r="M25">
        <v>59.011673142199527</v>
      </c>
      <c r="N25">
        <v>59.464488085544538</v>
      </c>
      <c r="O25">
        <v>59.820482250740213</v>
      </c>
      <c r="P25">
        <v>59.891755682934885</v>
      </c>
      <c r="Q25">
        <v>59.772779469725585</v>
      </c>
      <c r="R25">
        <v>59.634752962703615</v>
      </c>
      <c r="S25">
        <v>59.172204835317494</v>
      </c>
      <c r="T25">
        <v>58.786261069319238</v>
      </c>
      <c r="U25">
        <v>58.317766104835016</v>
      </c>
      <c r="V25">
        <v>58.340132062255591</v>
      </c>
      <c r="W25">
        <v>58.338242820790853</v>
      </c>
      <c r="X25">
        <v>56.017286031334557</v>
      </c>
    </row>
    <row r="26" spans="1:24" x14ac:dyDescent="0.25">
      <c r="A26" s="124" t="s">
        <v>1452</v>
      </c>
      <c r="B26">
        <v>13.345629432701433</v>
      </c>
      <c r="C26">
        <v>13.837552666228936</v>
      </c>
      <c r="D26">
        <v>14.157298961827193</v>
      </c>
      <c r="E26">
        <v>14.500890949714712</v>
      </c>
      <c r="F26">
        <v>14.60542641118097</v>
      </c>
      <c r="G26">
        <v>14.690128491012041</v>
      </c>
      <c r="H26">
        <v>14.835451947712782</v>
      </c>
      <c r="I26">
        <v>14.700640369524981</v>
      </c>
      <c r="J26">
        <v>13.722484748825348</v>
      </c>
      <c r="K26">
        <v>13.772920456143462</v>
      </c>
      <c r="L26">
        <v>13.790280655273449</v>
      </c>
      <c r="M26">
        <v>14.078249504394545</v>
      </c>
      <c r="N26">
        <v>14.396962771252523</v>
      </c>
      <c r="O26">
        <v>14.801890447665638</v>
      </c>
      <c r="P26">
        <v>15.098083840091496</v>
      </c>
      <c r="Q26">
        <v>15.399200215838428</v>
      </c>
      <c r="R26">
        <v>16.770317437558642</v>
      </c>
      <c r="S26">
        <v>17.294375146569784</v>
      </c>
      <c r="T26">
        <v>17.478798634889749</v>
      </c>
      <c r="U26">
        <v>17.673574564124422</v>
      </c>
      <c r="V26">
        <v>17.952858746686438</v>
      </c>
      <c r="W26">
        <v>18.255834542945152</v>
      </c>
      <c r="X26">
        <v>18.172095252304601</v>
      </c>
    </row>
    <row r="27" spans="1:24" x14ac:dyDescent="0.25">
      <c r="A27" s="124" t="s">
        <v>1453</v>
      </c>
      <c r="B27">
        <v>10.112362730183554</v>
      </c>
      <c r="C27">
        <v>8.4714028055850612</v>
      </c>
      <c r="D27">
        <v>7.7088184321527793</v>
      </c>
      <c r="E27">
        <v>7.8321992982511333</v>
      </c>
      <c r="F27">
        <v>7.5832352057035557</v>
      </c>
      <c r="G27">
        <v>7.1999070254089874</v>
      </c>
      <c r="H27">
        <v>7.0247282776751572</v>
      </c>
      <c r="I27">
        <v>6.5860236544721804</v>
      </c>
      <c r="J27">
        <v>5.9576528363588439</v>
      </c>
      <c r="K27">
        <v>6.0331583913434388</v>
      </c>
      <c r="L27">
        <v>5.9899458430169084</v>
      </c>
      <c r="M27">
        <v>6.0709390775908956</v>
      </c>
      <c r="N27">
        <v>6.1534610398300691</v>
      </c>
      <c r="O27">
        <v>6.2701413913285933</v>
      </c>
      <c r="P27">
        <v>6.4746602820766732</v>
      </c>
      <c r="Q27">
        <v>6.6502931866625863</v>
      </c>
      <c r="R27">
        <v>7.4086569126745276</v>
      </c>
      <c r="S27">
        <v>7.8703797712983263</v>
      </c>
      <c r="T27">
        <v>8.1498811896983252</v>
      </c>
      <c r="U27">
        <v>8.3507904269821243</v>
      </c>
      <c r="V27">
        <v>8.5431769883742472</v>
      </c>
      <c r="W27">
        <v>8.7087728360971361</v>
      </c>
      <c r="X27">
        <v>8.6256605539116329</v>
      </c>
    </row>
    <row r="28" spans="1:24" x14ac:dyDescent="0.25">
      <c r="A28" s="124" t="s">
        <v>1454</v>
      </c>
      <c r="B28">
        <v>2.7977959321552412</v>
      </c>
      <c r="C28">
        <v>2.8660740267021692</v>
      </c>
      <c r="D28">
        <v>2.9079502272868543</v>
      </c>
      <c r="E28">
        <v>2.9371467474068735</v>
      </c>
      <c r="F28">
        <v>2.9720362372126155</v>
      </c>
      <c r="G28">
        <v>2.9919692865175014</v>
      </c>
      <c r="H28">
        <v>3.0215737042546267</v>
      </c>
      <c r="I28">
        <v>3.0090169661280943</v>
      </c>
      <c r="J28">
        <v>2.812341455782672</v>
      </c>
      <c r="K28">
        <v>2.8692070572627042</v>
      </c>
      <c r="L28">
        <v>2.9249752299181493</v>
      </c>
      <c r="M28">
        <v>2.9952900233869642</v>
      </c>
      <c r="N28">
        <v>3.0752493659502189</v>
      </c>
      <c r="O28">
        <v>3.1564587099868104</v>
      </c>
      <c r="P28">
        <v>3.2354128372252031</v>
      </c>
      <c r="Q28">
        <v>3.3150686581040891</v>
      </c>
      <c r="R28">
        <v>3.4513227771435755</v>
      </c>
      <c r="S28">
        <v>3.5395238240703595</v>
      </c>
      <c r="T28">
        <v>3.6129610262124783</v>
      </c>
      <c r="U28">
        <v>3.6983291292908116</v>
      </c>
      <c r="V28">
        <v>3.7917007512232677</v>
      </c>
      <c r="W28">
        <v>3.8911801681973683</v>
      </c>
      <c r="X28">
        <v>3.9200199443716381</v>
      </c>
    </row>
    <row r="34" spans="1:39" x14ac:dyDescent="0.25">
      <c r="A34" s="124" t="s">
        <v>1411</v>
      </c>
      <c r="B34" s="124" t="s">
        <v>1412</v>
      </c>
      <c r="C34" s="124" t="s">
        <v>1413</v>
      </c>
      <c r="D34" s="124" t="s">
        <v>1414</v>
      </c>
      <c r="E34" s="124" t="s">
        <v>1415</v>
      </c>
      <c r="F34" s="124" t="s">
        <v>1416</v>
      </c>
      <c r="G34" s="124" t="s">
        <v>1417</v>
      </c>
      <c r="H34" s="124" t="s">
        <v>1418</v>
      </c>
      <c r="I34" s="124" t="s">
        <v>1419</v>
      </c>
      <c r="J34" s="124" t="s">
        <v>1420</v>
      </c>
      <c r="K34" s="124" t="s">
        <v>1421</v>
      </c>
      <c r="L34" s="124" t="s">
        <v>1422</v>
      </c>
      <c r="M34" s="124" t="s">
        <v>1423</v>
      </c>
      <c r="N34" s="124" t="s">
        <v>1424</v>
      </c>
      <c r="O34" s="124" t="s">
        <v>1425</v>
      </c>
      <c r="P34" s="124" t="s">
        <v>1426</v>
      </c>
      <c r="Q34" s="124" t="s">
        <v>1427</v>
      </c>
      <c r="R34" s="124" t="s">
        <v>1428</v>
      </c>
      <c r="S34" s="124" t="s">
        <v>1429</v>
      </c>
      <c r="T34" s="124" t="s">
        <v>1430</v>
      </c>
      <c r="U34" s="124" t="s">
        <v>1431</v>
      </c>
      <c r="V34" s="124" t="s">
        <v>1432</v>
      </c>
      <c r="W34" s="124" t="s">
        <v>1433</v>
      </c>
      <c r="X34" s="124" t="s">
        <v>1434</v>
      </c>
      <c r="Y34" s="124" t="s">
        <v>1435</v>
      </c>
      <c r="Z34" s="124" t="s">
        <v>1436</v>
      </c>
      <c r="AA34" s="124" t="s">
        <v>1437</v>
      </c>
      <c r="AB34" s="124" t="s">
        <v>1438</v>
      </c>
      <c r="AC34" s="124" t="s">
        <v>1439</v>
      </c>
      <c r="AD34" s="124" t="s">
        <v>1440</v>
      </c>
      <c r="AE34" s="124" t="s">
        <v>1441</v>
      </c>
      <c r="AF34" s="124" t="s">
        <v>1442</v>
      </c>
      <c r="AG34" s="124" t="s">
        <v>1443</v>
      </c>
      <c r="AH34" s="124" t="s">
        <v>1444</v>
      </c>
      <c r="AI34" s="124" t="s">
        <v>1445</v>
      </c>
      <c r="AJ34" s="124" t="s">
        <v>1446</v>
      </c>
      <c r="AK34" s="124" t="s">
        <v>1447</v>
      </c>
      <c r="AL34" s="124" t="s">
        <v>1448</v>
      </c>
      <c r="AM34" s="124" t="s">
        <v>1449</v>
      </c>
    </row>
    <row r="35" spans="1:39" x14ac:dyDescent="0.25">
      <c r="A35">
        <v>52325.432882070083</v>
      </c>
      <c r="B35">
        <v>53104.386458423345</v>
      </c>
      <c r="C35">
        <v>53912.365691429273</v>
      </c>
      <c r="D35">
        <v>54750.491457321114</v>
      </c>
      <c r="E35">
        <v>55619.940469824825</v>
      </c>
      <c r="F35">
        <v>56521.948041648095</v>
      </c>
      <c r="G35">
        <v>57436.000617299658</v>
      </c>
      <c r="H35">
        <v>58364.834921819442</v>
      </c>
      <c r="I35">
        <v>59308.69</v>
      </c>
      <c r="J35">
        <v>59991.580449204266</v>
      </c>
      <c r="K35">
        <v>60682.333816399376</v>
      </c>
      <c r="L35">
        <v>61381.040636574369</v>
      </c>
      <c r="M35">
        <v>62087.792487153696</v>
      </c>
      <c r="N35">
        <v>62802.682000000023</v>
      </c>
      <c r="O35">
        <v>63421.065342005146</v>
      </c>
      <c r="P35">
        <v>64045.537563425794</v>
      </c>
      <c r="Q35">
        <v>64676.158618096451</v>
      </c>
      <c r="R35">
        <v>65312.989050183925</v>
      </c>
      <c r="S35">
        <v>65956.09</v>
      </c>
      <c r="T35">
        <v>66518.97719068767</v>
      </c>
      <c r="U35">
        <v>67086.668213583107</v>
      </c>
      <c r="V35">
        <v>67659.20406589545</v>
      </c>
      <c r="W35">
        <v>68236.62609471516</v>
      </c>
      <c r="X35">
        <v>68818.97600000001</v>
      </c>
      <c r="Y35">
        <v>69322.810489383541</v>
      </c>
      <c r="Z35">
        <v>69830.333629884059</v>
      </c>
      <c r="AA35">
        <v>70341.572426693441</v>
      </c>
      <c r="AB35">
        <v>70856.554082712813</v>
      </c>
      <c r="AC35">
        <v>71375.305999999997</v>
      </c>
      <c r="AD35">
        <v>71818.612994947311</v>
      </c>
      <c r="AE35">
        <v>72264.673338395412</v>
      </c>
      <c r="AF35">
        <v>72713.504131197798</v>
      </c>
      <c r="AG35">
        <v>73165.122580420139</v>
      </c>
      <c r="AH35">
        <v>73619.545999999973</v>
      </c>
      <c r="AI35">
        <v>73995.362001779533</v>
      </c>
      <c r="AJ35">
        <v>74373.096484110356</v>
      </c>
      <c r="AK35">
        <v>74752.759240528656</v>
      </c>
      <c r="AL35">
        <v>75134.360114565105</v>
      </c>
      <c r="AM35">
        <v>75517.908999999985</v>
      </c>
    </row>
    <row r="86" spans="1:5" x14ac:dyDescent="0.25">
      <c r="A86" s="124" t="s">
        <v>1407</v>
      </c>
      <c r="B86" s="124" t="s">
        <v>891</v>
      </c>
      <c r="C86" s="124" t="s">
        <v>1408</v>
      </c>
      <c r="D86" s="124" t="s">
        <v>1409</v>
      </c>
      <c r="E86" s="124" t="s">
        <v>1410</v>
      </c>
    </row>
    <row r="87" spans="1:5" x14ac:dyDescent="0.25">
      <c r="A87">
        <v>-1</v>
      </c>
      <c r="B87">
        <v>-1</v>
      </c>
      <c r="C87">
        <v>-1</v>
      </c>
      <c r="D87">
        <v>3</v>
      </c>
      <c r="E87">
        <v>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6"/>
  </sheetPr>
  <dimension ref="A6:AP41"/>
  <sheetViews>
    <sheetView workbookViewId="0">
      <selection activeCell="D7" sqref="D7"/>
    </sheetView>
  </sheetViews>
  <sheetFormatPr defaultRowHeight="15" x14ac:dyDescent="0.25"/>
  <cols>
    <col min="1" max="1" width="46.42578125" customWidth="1"/>
  </cols>
  <sheetData>
    <row r="6" spans="1:42" x14ac:dyDescent="0.25">
      <c r="D6">
        <v>2012</v>
      </c>
      <c r="E6">
        <f>D6+1</f>
        <v>2013</v>
      </c>
      <c r="F6">
        <f t="shared" ref="F6:AP6" si="0">E6+1</f>
        <v>2014</v>
      </c>
      <c r="G6">
        <f t="shared" si="0"/>
        <v>2015</v>
      </c>
      <c r="H6">
        <f t="shared" si="0"/>
        <v>2016</v>
      </c>
      <c r="I6">
        <f t="shared" si="0"/>
        <v>2017</v>
      </c>
      <c r="J6">
        <f t="shared" si="0"/>
        <v>2018</v>
      </c>
      <c r="K6">
        <f t="shared" si="0"/>
        <v>2019</v>
      </c>
      <c r="L6">
        <f t="shared" si="0"/>
        <v>2020</v>
      </c>
      <c r="M6">
        <f t="shared" si="0"/>
        <v>2021</v>
      </c>
      <c r="N6">
        <f t="shared" si="0"/>
        <v>2022</v>
      </c>
      <c r="O6">
        <f t="shared" si="0"/>
        <v>2023</v>
      </c>
      <c r="P6">
        <f t="shared" si="0"/>
        <v>2024</v>
      </c>
      <c r="Q6">
        <f t="shared" si="0"/>
        <v>2025</v>
      </c>
      <c r="R6">
        <f t="shared" si="0"/>
        <v>2026</v>
      </c>
      <c r="S6">
        <f t="shared" si="0"/>
        <v>2027</v>
      </c>
      <c r="T6">
        <f t="shared" si="0"/>
        <v>2028</v>
      </c>
      <c r="U6">
        <f t="shared" si="0"/>
        <v>2029</v>
      </c>
      <c r="V6">
        <f t="shared" si="0"/>
        <v>2030</v>
      </c>
      <c r="W6">
        <f t="shared" si="0"/>
        <v>2031</v>
      </c>
      <c r="X6">
        <f t="shared" si="0"/>
        <v>2032</v>
      </c>
      <c r="Y6">
        <f t="shared" si="0"/>
        <v>2033</v>
      </c>
      <c r="Z6">
        <f t="shared" si="0"/>
        <v>2034</v>
      </c>
      <c r="AA6">
        <f t="shared" si="0"/>
        <v>2035</v>
      </c>
      <c r="AB6">
        <f t="shared" si="0"/>
        <v>2036</v>
      </c>
      <c r="AC6">
        <f t="shared" si="0"/>
        <v>2037</v>
      </c>
      <c r="AD6">
        <f t="shared" si="0"/>
        <v>2038</v>
      </c>
      <c r="AE6">
        <f t="shared" si="0"/>
        <v>2039</v>
      </c>
      <c r="AF6">
        <f t="shared" si="0"/>
        <v>2040</v>
      </c>
      <c r="AG6">
        <f t="shared" si="0"/>
        <v>2041</v>
      </c>
      <c r="AH6">
        <f t="shared" si="0"/>
        <v>2042</v>
      </c>
      <c r="AI6">
        <f t="shared" si="0"/>
        <v>2043</v>
      </c>
      <c r="AJ6">
        <f t="shared" si="0"/>
        <v>2044</v>
      </c>
      <c r="AK6">
        <f t="shared" si="0"/>
        <v>2045</v>
      </c>
      <c r="AL6">
        <f t="shared" si="0"/>
        <v>2046</v>
      </c>
      <c r="AM6">
        <f t="shared" si="0"/>
        <v>2047</v>
      </c>
      <c r="AN6">
        <f t="shared" si="0"/>
        <v>2048</v>
      </c>
      <c r="AO6">
        <f t="shared" si="0"/>
        <v>2049</v>
      </c>
      <c r="AP6">
        <f t="shared" si="0"/>
        <v>2050</v>
      </c>
    </row>
    <row r="7" spans="1:42" x14ac:dyDescent="0.25">
      <c r="A7" t="str">
        <f>'Emissions summary'!C5</f>
        <v>3A1a Cattle</v>
      </c>
      <c r="B7" t="str">
        <f>"A"&amp;LEFT(A7,4)</f>
        <v>A3A1a</v>
      </c>
      <c r="C7" t="str">
        <f>'Emissions summary'!D5</f>
        <v>CH4</v>
      </c>
      <c r="D7" s="92">
        <f>'Net zero emission summary'!AE5</f>
        <v>984.89675098205998</v>
      </c>
      <c r="E7" s="92">
        <f>'Net zero emission summary'!AF5</f>
        <v>981.73305686101355</v>
      </c>
      <c r="F7" s="92">
        <f>'Net zero emission summary'!AG5</f>
        <v>972.17848542242052</v>
      </c>
      <c r="G7" s="92">
        <f>'Net zero emission summary'!AH5</f>
        <v>954.1876171951991</v>
      </c>
      <c r="H7" s="92">
        <f>'Net zero emission summary'!AI5</f>
        <v>936.83058096373406</v>
      </c>
      <c r="I7" s="92">
        <f>'Net zero emission summary'!AJ5</f>
        <v>924.19791936009926</v>
      </c>
      <c r="J7" s="92">
        <f>'Net zero emission summary'!AK5</f>
        <v>913.08801871699677</v>
      </c>
      <c r="K7" s="92">
        <f>'Net zero emission summary'!AL5</f>
        <v>893.82232670621613</v>
      </c>
      <c r="L7" s="92">
        <f>'Net zero emission summary'!AM5</f>
        <v>800.0224445583068</v>
      </c>
      <c r="M7" s="92">
        <f>'Net zero emission summary'!AN5</f>
        <v>800.60658690682078</v>
      </c>
      <c r="N7" s="92">
        <f>'Net zero emission summary'!AO5</f>
        <v>796.6085020037134</v>
      </c>
      <c r="O7" s="92">
        <f>'Net zero emission summary'!AP5</f>
        <v>790.03079382237479</v>
      </c>
      <c r="P7" s="92">
        <f>'Net zero emission summary'!AQ5</f>
        <v>783.75508422679195</v>
      </c>
      <c r="Q7" s="92">
        <f>'Net zero emission summary'!AR5</f>
        <v>774.75429423047092</v>
      </c>
      <c r="R7" s="92">
        <f>'Net zero emission summary'!AS5</f>
        <v>763.48451257714828</v>
      </c>
      <c r="S7" s="92">
        <f>'Net zero emission summary'!AT5</f>
        <v>748.83789876213973</v>
      </c>
      <c r="T7" s="92">
        <f>'Net zero emission summary'!AU5</f>
        <v>732.47509286375009</v>
      </c>
      <c r="U7" s="92">
        <f>'Net zero emission summary'!AV5</f>
        <v>712.22001359877675</v>
      </c>
      <c r="V7" s="92">
        <f>'Net zero emission summary'!AW5</f>
        <v>689.62354280882278</v>
      </c>
      <c r="W7" s="92">
        <f>'Net zero emission summary'!AX5</f>
        <v>686.62946702945112</v>
      </c>
      <c r="X7" s="92">
        <f>'Net zero emission summary'!AY5</f>
        <v>684.34282874796747</v>
      </c>
      <c r="Y7" s="92">
        <f>'Net zero emission summary'!AZ5</f>
        <v>681.91305531881756</v>
      </c>
      <c r="Z7" s="92">
        <f>'Net zero emission summary'!BA5</f>
        <v>663.12694077710398</v>
      </c>
      <c r="AA7" s="92">
        <f>'Net zero emission summary'!BB5</f>
        <v>-91.732211216069686</v>
      </c>
      <c r="AB7" s="92">
        <f>'Net zero emission summary'!BC5</f>
        <v>-89.19758577397684</v>
      </c>
      <c r="AC7" s="92">
        <f>'Net zero emission summary'!BD5</f>
        <v>-86.741490528048956</v>
      </c>
      <c r="AD7" s="92">
        <f>'Net zero emission summary'!BE5</f>
        <v>-84.361782354524621</v>
      </c>
      <c r="AE7" s="92">
        <f>'Net zero emission summary'!BF5</f>
        <v>-82.056497322259517</v>
      </c>
      <c r="AF7" s="92">
        <f>'Net zero emission summary'!BG5</f>
        <v>-79.823834130248457</v>
      </c>
      <c r="AG7" s="92">
        <f>'Net zero emission summary'!BH5</f>
        <v>-77.968097445454546</v>
      </c>
      <c r="AH7" s="92">
        <f>'Net zero emission summary'!BI5</f>
        <v>-76.161851738649858</v>
      </c>
      <c r="AI7" s="92">
        <f>'Net zero emission summary'!BJ5</f>
        <v>-74.404076334019152</v>
      </c>
      <c r="AJ7" s="92">
        <f>'Net zero emission summary'!BK5</f>
        <v>-72.693835735633087</v>
      </c>
      <c r="AK7" s="92">
        <f>'Net zero emission summary'!BL5</f>
        <v>-71.030272319383059</v>
      </c>
      <c r="AL7" s="92">
        <f>'Net zero emission summary'!BM5</f>
        <v>-69.366412750957934</v>
      </c>
      <c r="AM7" s="92">
        <f>'Net zero emission summary'!BN5</f>
        <v>-67.74962181829936</v>
      </c>
      <c r="AN7" s="92">
        <f>'Net zero emission summary'!BO5</f>
        <v>-66.179159638087171</v>
      </c>
      <c r="AO7" s="92">
        <f>'Net zero emission summary'!BP5</f>
        <v>-64.654342581583236</v>
      </c>
      <c r="AP7" s="92">
        <f>'Net zero emission summary'!BQ5</f>
        <v>-63.174538789799222</v>
      </c>
    </row>
    <row r="8" spans="1:42" x14ac:dyDescent="0.25">
      <c r="A8" t="str">
        <f>'Emissions summary'!C6</f>
        <v>3A1c Sheep</v>
      </c>
      <c r="B8" t="str">
        <f t="shared" ref="B8:B36" si="1">"A"&amp;LEFT(A8,4)</f>
        <v>A3A1c</v>
      </c>
      <c r="C8" t="str">
        <f>'Emissions summary'!D6</f>
        <v>CH4</v>
      </c>
      <c r="D8" s="92">
        <f>'Net zero emission summary'!AE6</f>
        <v>146.95659158179748</v>
      </c>
      <c r="E8" s="92">
        <f>'Net zero emission summary'!AF6</f>
        <v>147.03684331982549</v>
      </c>
      <c r="F8" s="92">
        <f>'Net zero emission summary'!AG6</f>
        <v>147.21654237711419</v>
      </c>
      <c r="G8" s="92">
        <f>'Net zero emission summary'!AH6</f>
        <v>147.48702718393048</v>
      </c>
      <c r="H8" s="92">
        <f>'Net zero emission summary'!AI6</f>
        <v>147.85191661373551</v>
      </c>
      <c r="I8" s="92">
        <f>'Net zero emission summary'!AJ6</f>
        <v>148.31159784957359</v>
      </c>
      <c r="J8" s="92">
        <f>'Net zero emission summary'!AK6</f>
        <v>148.82366411157386</v>
      </c>
      <c r="K8" s="92">
        <f>'Net zero emission summary'!AL6</f>
        <v>149.37862740177056</v>
      </c>
      <c r="L8" s="92">
        <f>'Net zero emission summary'!AM6</f>
        <v>149.9001330584631</v>
      </c>
      <c r="M8" s="92">
        <f>'Net zero emission summary'!AN6</f>
        <v>149.98731589848228</v>
      </c>
      <c r="N8" s="92">
        <f>'Net zero emission summary'!AO6</f>
        <v>149.85107663855192</v>
      </c>
      <c r="O8" s="92">
        <f>'Net zero emission summary'!AP6</f>
        <v>149.49560641080106</v>
      </c>
      <c r="P8" s="92">
        <f>'Net zero emission summary'!AQ6</f>
        <v>148.92619254948792</v>
      </c>
      <c r="Q8" s="92">
        <f>'Net zero emission summary'!AR6</f>
        <v>148.14112208823815</v>
      </c>
      <c r="R8" s="92">
        <f>'Net zero emission summary'!AS6</f>
        <v>146.98082415585395</v>
      </c>
      <c r="S8" s="92">
        <f>'Net zero emission summary'!AT6</f>
        <v>145.60891447552063</v>
      </c>
      <c r="T8" s="92">
        <f>'Net zero emission summary'!AU6</f>
        <v>144.02960150464349</v>
      </c>
      <c r="U8" s="92">
        <f>'Net zero emission summary'!AV6</f>
        <v>142.242034254884</v>
      </c>
      <c r="V8" s="92">
        <f>'Net zero emission summary'!AW6</f>
        <v>140.25009603462371</v>
      </c>
      <c r="W8" s="92">
        <f>'Net zero emission summary'!AX6</f>
        <v>140.44143457364828</v>
      </c>
      <c r="X8" s="92">
        <f>'Net zero emission summary'!AY6</f>
        <v>140.65289897605527</v>
      </c>
      <c r="Y8" s="92">
        <f>'Net zero emission summary'!AZ6</f>
        <v>140.88258743688863</v>
      </c>
      <c r="Z8" s="92">
        <f>'Net zero emission summary'!BA6</f>
        <v>141.10449578465003</v>
      </c>
      <c r="AA8" s="92">
        <f>'Net zero emission summary'!BB6</f>
        <v>140.15577115300232</v>
      </c>
      <c r="AB8" s="92">
        <f>'Net zero emission summary'!BC6</f>
        <v>140.29050505152043</v>
      </c>
      <c r="AC8" s="92">
        <f>'Net zero emission summary'!BD6</f>
        <v>140.43918457592386</v>
      </c>
      <c r="AD8" s="92">
        <f>'Net zero emission summary'!BE6</f>
        <v>140.60128287216708</v>
      </c>
      <c r="AE8" s="92">
        <f>'Net zero emission summary'!BF6</f>
        <v>140.77631380874254</v>
      </c>
      <c r="AF8" s="92">
        <f>'Net zero emission summary'!BG6</f>
        <v>140.9638281124204</v>
      </c>
      <c r="AG8" s="92">
        <f>'Net zero emission summary'!BH6</f>
        <v>141.05482897405477</v>
      </c>
      <c r="AH8" s="92">
        <f>'Net zero emission summary'!BI6</f>
        <v>141.15682847700506</v>
      </c>
      <c r="AI8" s="92">
        <f>'Net zero emission summary'!BJ6</f>
        <v>141.26944384262106</v>
      </c>
      <c r="AJ8" s="92">
        <f>'Net zero emission summary'!BK6</f>
        <v>141.39231849103504</v>
      </c>
      <c r="AK8" s="92">
        <f>'Net zero emission summary'!BL6</f>
        <v>141.52511981544728</v>
      </c>
      <c r="AL8" s="92">
        <f>'Net zero emission summary'!BM6</f>
        <v>141.55788028675551</v>
      </c>
      <c r="AM8" s="92">
        <f>'Net zero emission summary'!BN6</f>
        <v>141.59945067847394</v>
      </c>
      <c r="AN8" s="92">
        <f>'Net zero emission summary'!BO6</f>
        <v>141.64953920620383</v>
      </c>
      <c r="AO8" s="92">
        <f>'Net zero emission summary'!BP6</f>
        <v>141.70787190317043</v>
      </c>
      <c r="AP8" s="92">
        <f>'Net zero emission summary'!BQ6</f>
        <v>141.77419125001921</v>
      </c>
    </row>
    <row r="9" spans="1:42" x14ac:dyDescent="0.25">
      <c r="A9" t="str">
        <f>'Emissions summary'!C7</f>
        <v>3A1d Goats</v>
      </c>
      <c r="B9" t="str">
        <f t="shared" si="1"/>
        <v>A3A1d</v>
      </c>
      <c r="C9" t="str">
        <f>'Emissions summary'!D7</f>
        <v>CH4</v>
      </c>
      <c r="D9" s="92">
        <f>'Net zero emission summary'!AE7</f>
        <v>37.503270571061222</v>
      </c>
      <c r="E9" s="92">
        <f>'Net zero emission summary'!AF7</f>
        <v>37.601087984262868</v>
      </c>
      <c r="F9" s="92">
        <f>'Net zero emission summary'!AG7</f>
        <v>37.731438352147492</v>
      </c>
      <c r="G9" s="92">
        <f>'Net zero emission summary'!AH7</f>
        <v>37.89142372992135</v>
      </c>
      <c r="H9" s="92">
        <f>'Net zero emission summary'!AI7</f>
        <v>38.082966616578311</v>
      </c>
      <c r="I9" s="92">
        <f>'Net zero emission summary'!AJ7</f>
        <v>38.306576731107619</v>
      </c>
      <c r="J9" s="92">
        <f>'Net zero emission summary'!AK7</f>
        <v>38.545657167332791</v>
      </c>
      <c r="K9" s="92">
        <f>'Net zero emission summary'!AL7</f>
        <v>38.796789271016614</v>
      </c>
      <c r="L9" s="92">
        <f>'Net zero emission summary'!AM7</f>
        <v>39.030079964972153</v>
      </c>
      <c r="M9" s="92">
        <f>'Net zero emission summary'!AN7</f>
        <v>39.139407091727463</v>
      </c>
      <c r="N9" s="92">
        <f>'Net zero emission summary'!AO7</f>
        <v>39.259290346372637</v>
      </c>
      <c r="O9" s="92">
        <f>'Net zero emission summary'!AP7</f>
        <v>39.389881863784986</v>
      </c>
      <c r="P9" s="92">
        <f>'Net zero emission summary'!AQ7</f>
        <v>39.531910414401707</v>
      </c>
      <c r="Q9" s="92">
        <f>'Net zero emission summary'!AR7</f>
        <v>39.683463747220777</v>
      </c>
      <c r="R9" s="92">
        <f>'Net zero emission summary'!AS7</f>
        <v>39.779259855119889</v>
      </c>
      <c r="S9" s="92">
        <f>'Net zero emission summary'!AT7</f>
        <v>39.882906372517851</v>
      </c>
      <c r="T9" s="92">
        <f>'Net zero emission summary'!AU7</f>
        <v>39.994832091775571</v>
      </c>
      <c r="U9" s="92">
        <f>'Net zero emission summary'!AV7</f>
        <v>40.113496129704103</v>
      </c>
      <c r="V9" s="92">
        <f>'Net zero emission summary'!AW7</f>
        <v>40.239373155532974</v>
      </c>
      <c r="W9" s="92">
        <f>'Net zero emission summary'!AX7</f>
        <v>40.163086444009551</v>
      </c>
      <c r="X9" s="92">
        <f>'Net zero emission summary'!AY7</f>
        <v>40.093062682531489</v>
      </c>
      <c r="Y9" s="92">
        <f>'Net zero emission summary'!AZ7</f>
        <v>40.028472675881446</v>
      </c>
      <c r="Z9" s="92">
        <f>'Net zero emission summary'!BA7</f>
        <v>39.958598661335472</v>
      </c>
      <c r="AA9" s="92">
        <f>'Net zero emission summary'!BB7</f>
        <v>39.408746566428626</v>
      </c>
      <c r="AB9" s="92">
        <f>'Net zero emission summary'!BC7</f>
        <v>39.302475916835597</v>
      </c>
      <c r="AC9" s="92">
        <f>'Net zero emission summary'!BD7</f>
        <v>39.200427927973273</v>
      </c>
      <c r="AD9" s="92">
        <f>'Net zero emission summary'!BE7</f>
        <v>39.102358485498904</v>
      </c>
      <c r="AE9" s="92">
        <f>'Net zero emission summary'!BF7</f>
        <v>39.008041030673681</v>
      </c>
      <c r="AF9" s="92">
        <f>'Net zero emission summary'!BG7</f>
        <v>38.917264881424032</v>
      </c>
      <c r="AG9" s="92">
        <f>'Net zero emission summary'!BH7</f>
        <v>38.946634089429075</v>
      </c>
      <c r="AH9" s="92">
        <f>'Net zero emission summary'!BI7</f>
        <v>38.979668661707009</v>
      </c>
      <c r="AI9" s="92">
        <f>'Net zero emission summary'!BJ7</f>
        <v>39.01623041420163</v>
      </c>
      <c r="AJ9" s="92">
        <f>'Net zero emission summary'!BK7</f>
        <v>39.056190642607994</v>
      </c>
      <c r="AK9" s="92">
        <f>'Net zero emission summary'!BL7</f>
        <v>39.099429310214788</v>
      </c>
      <c r="AL9" s="92">
        <f>'Net zero emission summary'!BM7</f>
        <v>39.102802788529388</v>
      </c>
      <c r="AM9" s="92">
        <f>'Net zero emission summary'!BN7</f>
        <v>39.109176409585871</v>
      </c>
      <c r="AN9" s="92">
        <f>'Net zero emission summary'!BO7</f>
        <v>39.118442429057417</v>
      </c>
      <c r="AO9" s="92">
        <f>'Net zero emission summary'!BP7</f>
        <v>39.130499697521174</v>
      </c>
      <c r="AP9" s="92">
        <f>'Net zero emission summary'!BQ7</f>
        <v>39.145253149536003</v>
      </c>
    </row>
    <row r="10" spans="1:42" x14ac:dyDescent="0.25">
      <c r="A10" t="str">
        <f>'Emissions summary'!C8</f>
        <v>3A1f Horses</v>
      </c>
      <c r="B10" t="str">
        <f t="shared" si="1"/>
        <v>A3A1f</v>
      </c>
      <c r="C10" t="str">
        <f>'Emissions summary'!D8</f>
        <v>CH4</v>
      </c>
      <c r="D10" s="92">
        <f>'Net zero emission summary'!AE8</f>
        <v>5.5696427744330439</v>
      </c>
      <c r="E10" s="92">
        <f>'Net zero emission summary'!AF8</f>
        <v>5.6022840873497932</v>
      </c>
      <c r="F10" s="92">
        <f>'Net zero emission summary'!AG8</f>
        <v>5.6103260601490881</v>
      </c>
      <c r="G10" s="92">
        <f>'Net zero emission summary'!AH8</f>
        <v>5.5857580588048208</v>
      </c>
      <c r="H10" s="92">
        <f>'Net zero emission summary'!AI8</f>
        <v>5.559765331848693</v>
      </c>
      <c r="I10" s="92">
        <f>'Net zero emission summary'!AJ8</f>
        <v>5.5473985576087426</v>
      </c>
      <c r="J10" s="92">
        <f>'Net zero emission summary'!AK8</f>
        <v>5.5391504700870771</v>
      </c>
      <c r="K10" s="92">
        <f>'Net zero emission summary'!AL8</f>
        <v>5.4993657963463365</v>
      </c>
      <c r="L10" s="92">
        <f>'Net zero emission summary'!AM8</f>
        <v>5.1779141846798922</v>
      </c>
      <c r="M10" s="92">
        <f>'Net zero emission summary'!AN8</f>
        <v>5.2234365031656678</v>
      </c>
      <c r="N10" s="92">
        <f>'Net zero emission summary'!AO8</f>
        <v>5.2607139869862687</v>
      </c>
      <c r="O10" s="92">
        <f>'Net zero emission summary'!AP8</f>
        <v>5.2972378917474705</v>
      </c>
      <c r="P10" s="92">
        <f>'Net zero emission summary'!AQ8</f>
        <v>5.3445893517249541</v>
      </c>
      <c r="Q10" s="92">
        <f>'Net zero emission summary'!AR8</f>
        <v>5.391074742094033</v>
      </c>
      <c r="R10" s="92">
        <f>'Net zero emission summary'!AS8</f>
        <v>5.4443279456237095</v>
      </c>
      <c r="S10" s="92">
        <f>'Net zero emission summary'!AT8</f>
        <v>5.4941146702747297</v>
      </c>
      <c r="T10" s="92">
        <f>'Net zero emission summary'!AU8</f>
        <v>5.5476702009922301</v>
      </c>
      <c r="U10" s="92">
        <f>'Net zero emission summary'!AV8</f>
        <v>5.5951924858009336</v>
      </c>
      <c r="V10" s="92">
        <f>'Net zero emission summary'!AW8</f>
        <v>5.6435970948645044</v>
      </c>
      <c r="W10" s="92">
        <f>'Net zero emission summary'!AX8</f>
        <v>5.7106381367284076</v>
      </c>
      <c r="X10" s="92">
        <f>'Net zero emission summary'!AY8</f>
        <v>5.7837954436426573</v>
      </c>
      <c r="Y10" s="92">
        <f>'Net zero emission summary'!AZ8</f>
        <v>5.8590224803991617</v>
      </c>
      <c r="Z10" s="92">
        <f>'Net zero emission summary'!BA8</f>
        <v>5.8483213454344947</v>
      </c>
      <c r="AA10" s="92">
        <f>'Net zero emission summary'!BB8</f>
        <v>1.7304204380446728</v>
      </c>
      <c r="AB10" s="92">
        <f>'Net zero emission summary'!BC8</f>
        <v>1.7304204380446728</v>
      </c>
      <c r="AC10" s="92">
        <f>'Net zero emission summary'!BD8</f>
        <v>1.7304204380446728</v>
      </c>
      <c r="AD10" s="92">
        <f>'Net zero emission summary'!BE8</f>
        <v>1.7304204380446728</v>
      </c>
      <c r="AE10" s="92">
        <f>'Net zero emission summary'!BF8</f>
        <v>1.7304204380446728</v>
      </c>
      <c r="AF10" s="92">
        <f>'Net zero emission summary'!BG8</f>
        <v>1.7304204380446728</v>
      </c>
      <c r="AG10" s="92">
        <f>'Net zero emission summary'!BH8</f>
        <v>1.7304204380446728</v>
      </c>
      <c r="AH10" s="92">
        <f>'Net zero emission summary'!BI8</f>
        <v>1.7304204380446728</v>
      </c>
      <c r="AI10" s="92">
        <f>'Net zero emission summary'!BJ8</f>
        <v>1.7304204380446728</v>
      </c>
      <c r="AJ10" s="92">
        <f>'Net zero emission summary'!BK8</f>
        <v>1.7304204380446728</v>
      </c>
      <c r="AK10" s="92">
        <f>'Net zero emission summary'!BL8</f>
        <v>1.7304204380446728</v>
      </c>
      <c r="AL10" s="92">
        <f>'Net zero emission summary'!BM8</f>
        <v>1.7304204380446728</v>
      </c>
      <c r="AM10" s="92">
        <f>'Net zero emission summary'!BN8</f>
        <v>1.7304204380446728</v>
      </c>
      <c r="AN10" s="92">
        <f>'Net zero emission summary'!BO8</f>
        <v>1.7304204380446728</v>
      </c>
      <c r="AO10" s="92">
        <f>'Net zero emission summary'!BP8</f>
        <v>1.7304204380446728</v>
      </c>
      <c r="AP10" s="92">
        <f>'Net zero emission summary'!BQ8</f>
        <v>1.7304204380446728</v>
      </c>
    </row>
    <row r="11" spans="1:42" x14ac:dyDescent="0.25">
      <c r="A11" t="str">
        <f>'Emissions summary'!C9</f>
        <v>3A1g Mules &amp; asses</v>
      </c>
      <c r="B11" t="str">
        <f t="shared" si="1"/>
        <v>A3A1g</v>
      </c>
      <c r="C11" t="str">
        <f>'Emissions summary'!D9</f>
        <v>CH4</v>
      </c>
      <c r="D11" s="92">
        <f>'Net zero emission summary'!AE9</f>
        <v>1.67</v>
      </c>
      <c r="E11" s="92">
        <f>'Net zero emission summary'!AF9</f>
        <v>1.67</v>
      </c>
      <c r="F11" s="92">
        <f>'Net zero emission summary'!AG9</f>
        <v>1.67</v>
      </c>
      <c r="G11" s="92">
        <f>'Net zero emission summary'!AH9</f>
        <v>1.67</v>
      </c>
      <c r="H11" s="92">
        <f>'Net zero emission summary'!AI9</f>
        <v>1.67</v>
      </c>
      <c r="I11" s="92">
        <f>'Net zero emission summary'!AJ9</f>
        <v>1.67</v>
      </c>
      <c r="J11" s="92">
        <f>'Net zero emission summary'!AK9</f>
        <v>1.67</v>
      </c>
      <c r="K11" s="92">
        <f>'Net zero emission summary'!AL9</f>
        <v>1.67</v>
      </c>
      <c r="L11" s="92">
        <f>'Net zero emission summary'!AM9</f>
        <v>1.67</v>
      </c>
      <c r="M11" s="92">
        <f>'Net zero emission summary'!AN9</f>
        <v>1.67</v>
      </c>
      <c r="N11" s="92">
        <f>'Net zero emission summary'!AO9</f>
        <v>1.67</v>
      </c>
      <c r="O11" s="92">
        <f>'Net zero emission summary'!AP9</f>
        <v>1.67</v>
      </c>
      <c r="P11" s="92">
        <f>'Net zero emission summary'!AQ9</f>
        <v>1.67</v>
      </c>
      <c r="Q11" s="92">
        <f>'Net zero emission summary'!AR9</f>
        <v>1.67</v>
      </c>
      <c r="R11" s="92">
        <f>'Net zero emission summary'!AS9</f>
        <v>1.67</v>
      </c>
      <c r="S11" s="92">
        <f>'Net zero emission summary'!AT9</f>
        <v>1.67</v>
      </c>
      <c r="T11" s="92">
        <f>'Net zero emission summary'!AU9</f>
        <v>1.67</v>
      </c>
      <c r="U11" s="92">
        <f>'Net zero emission summary'!AV9</f>
        <v>1.67</v>
      </c>
      <c r="V11" s="92">
        <f>'Net zero emission summary'!AW9</f>
        <v>1.67</v>
      </c>
      <c r="W11" s="92">
        <f>'Net zero emission summary'!AX9</f>
        <v>1.67</v>
      </c>
      <c r="X11" s="92">
        <f>'Net zero emission summary'!AY9</f>
        <v>1.67</v>
      </c>
      <c r="Y11" s="92">
        <f>'Net zero emission summary'!AZ9</f>
        <v>1.67</v>
      </c>
      <c r="Z11" s="92">
        <f>'Net zero emission summary'!BA9</f>
        <v>1.67</v>
      </c>
      <c r="AA11" s="92">
        <f>'Net zero emission summary'!BB9</f>
        <v>1.67</v>
      </c>
      <c r="AB11" s="92">
        <f>'Net zero emission summary'!BC9</f>
        <v>1.67</v>
      </c>
      <c r="AC11" s="92">
        <f>'Net zero emission summary'!BD9</f>
        <v>1.67</v>
      </c>
      <c r="AD11" s="92">
        <f>'Net zero emission summary'!BE9</f>
        <v>1.67</v>
      </c>
      <c r="AE11" s="92">
        <f>'Net zero emission summary'!BF9</f>
        <v>1.67</v>
      </c>
      <c r="AF11" s="92">
        <f>'Net zero emission summary'!BG9</f>
        <v>1.67</v>
      </c>
      <c r="AG11" s="92">
        <f>'Net zero emission summary'!BH9</f>
        <v>1.67</v>
      </c>
      <c r="AH11" s="92">
        <f>'Net zero emission summary'!BI9</f>
        <v>1.67</v>
      </c>
      <c r="AI11" s="92">
        <f>'Net zero emission summary'!BJ9</f>
        <v>1.67</v>
      </c>
      <c r="AJ11" s="92">
        <f>'Net zero emission summary'!BK9</f>
        <v>1.67</v>
      </c>
      <c r="AK11" s="92">
        <f>'Net zero emission summary'!BL9</f>
        <v>1.67</v>
      </c>
      <c r="AL11" s="92">
        <f>'Net zero emission summary'!BM9</f>
        <v>1.67</v>
      </c>
      <c r="AM11" s="92">
        <f>'Net zero emission summary'!BN9</f>
        <v>1.67</v>
      </c>
      <c r="AN11" s="92">
        <f>'Net zero emission summary'!BO9</f>
        <v>1.67</v>
      </c>
      <c r="AO11" s="92">
        <f>'Net zero emission summary'!BP9</f>
        <v>1.67</v>
      </c>
      <c r="AP11" s="92">
        <f>'Net zero emission summary'!BQ9</f>
        <v>1.67</v>
      </c>
    </row>
    <row r="12" spans="1:42" x14ac:dyDescent="0.25">
      <c r="A12" t="str">
        <f>'Emissions summary'!C10</f>
        <v>3A1h Swine</v>
      </c>
      <c r="B12" t="str">
        <f t="shared" si="1"/>
        <v>A3A1h</v>
      </c>
      <c r="C12" t="str">
        <f>'Emissions summary'!D10</f>
        <v>CH4</v>
      </c>
      <c r="D12" s="92">
        <f>'Net zero emission summary'!AE10</f>
        <v>2.1110830383585197</v>
      </c>
      <c r="E12" s="92">
        <f>'Net zero emission summary'!AF10</f>
        <v>2.1044196924075083</v>
      </c>
      <c r="F12" s="92">
        <f>'Net zero emission summary'!AG10</f>
        <v>2.0823840575539418</v>
      </c>
      <c r="G12" s="92">
        <f>'Net zero emission summary'!AH10</f>
        <v>2.039599022247661</v>
      </c>
      <c r="H12" s="92">
        <f>'Net zero emission summary'!AI10</f>
        <v>1.9986859834803092</v>
      </c>
      <c r="I12" s="92">
        <f>'Net zero emission summary'!AJ10</f>
        <v>1.9699849612168805</v>
      </c>
      <c r="J12" s="92">
        <f>'Net zero emission summary'!AK10</f>
        <v>1.9456775893197551</v>
      </c>
      <c r="K12" s="92">
        <f>'Net zero emission summary'!AL10</f>
        <v>1.9009181287656161</v>
      </c>
      <c r="L12" s="92">
        <f>'Net zero emission summary'!AM10</f>
        <v>1.6641098755875374</v>
      </c>
      <c r="M12" s="92">
        <f>'Net zero emission summary'!AN10</f>
        <v>1.6746846167244969</v>
      </c>
      <c r="N12" s="92">
        <f>'Net zero emission summary'!AO10</f>
        <v>1.6799927035404589</v>
      </c>
      <c r="O12" s="92">
        <f>'Net zero emission summary'!AP10</f>
        <v>1.6851532029527025</v>
      </c>
      <c r="P12" s="92">
        <f>'Net zero emission summary'!AQ10</f>
        <v>1.6977582517560941</v>
      </c>
      <c r="Q12" s="92">
        <f>'Net zero emission summary'!AR10</f>
        <v>1.7099395399465906</v>
      </c>
      <c r="R12" s="92">
        <f>'Net zero emission summary'!AS10</f>
        <v>1.7239145983268152</v>
      </c>
      <c r="S12" s="92">
        <f>'Net zero emission summary'!AT10</f>
        <v>1.7356445413661854</v>
      </c>
      <c r="T12" s="92">
        <f>'Net zero emission summary'!AU10</f>
        <v>1.7497412039822415</v>
      </c>
      <c r="U12" s="92">
        <f>'Net zero emission summary'!AV10</f>
        <v>1.7600027643682585</v>
      </c>
      <c r="V12" s="92">
        <f>'Net zero emission summary'!AW10</f>
        <v>1.770797027362258</v>
      </c>
      <c r="W12" s="92">
        <f>'Net zero emission summary'!AX10</f>
        <v>1.7907064389200935</v>
      </c>
      <c r="X12" s="92">
        <f>'Net zero emission summary'!AY10</f>
        <v>1.813963882034711</v>
      </c>
      <c r="Y12" s="92">
        <f>'Net zero emission summary'!AZ10</f>
        <v>1.83803114354451</v>
      </c>
      <c r="Z12" s="92">
        <f>'Net zero emission summary'!BA10</f>
        <v>1.8109816882963548</v>
      </c>
      <c r="AA12" s="92">
        <f>'Net zero emission summary'!BB10</f>
        <v>-0.61103872875604537</v>
      </c>
      <c r="AB12" s="92">
        <f>'Net zero emission summary'!BC10</f>
        <v>-0.60435495200522193</v>
      </c>
      <c r="AC12" s="92">
        <f>'Net zero emission summary'!BD10</f>
        <v>-0.59781433224452829</v>
      </c>
      <c r="AD12" s="92">
        <f>'Net zero emission summary'!BE10</f>
        <v>-0.59140750432360256</v>
      </c>
      <c r="AE12" s="92">
        <f>'Net zero emission summary'!BF10</f>
        <v>-0.58512578880945787</v>
      </c>
      <c r="AF12" s="92">
        <f>'Net zero emission summary'!BG10</f>
        <v>-0.57896112567363101</v>
      </c>
      <c r="AG12" s="92">
        <f>'Net zero emission summary'!BH10</f>
        <v>-0.57219971847562778</v>
      </c>
      <c r="AH12" s="92">
        <f>'Net zero emission summary'!BI10</f>
        <v>-0.56555752443332608</v>
      </c>
      <c r="AI12" s="92">
        <f>'Net zero emission summary'!BJ10</f>
        <v>-0.55902758095319793</v>
      </c>
      <c r="AJ12" s="92">
        <f>'Net zero emission summary'!BK10</f>
        <v>-0.55260338022293243</v>
      </c>
      <c r="AK12" s="92">
        <f>'Net zero emission summary'!BL10</f>
        <v>-0.54627882991718979</v>
      </c>
      <c r="AL12" s="92">
        <f>'Net zero emission summary'!BM10</f>
        <v>-0.53938648596816219</v>
      </c>
      <c r="AM12" s="92">
        <f>'Net zero emission summary'!BN10</f>
        <v>-0.5325994131732531</v>
      </c>
      <c r="AN12" s="92">
        <f>'Net zero emission summary'!BO10</f>
        <v>-0.52591219284077451</v>
      </c>
      <c r="AO12" s="92">
        <f>'Net zero emission summary'!BP10</f>
        <v>-0.51931972643430502</v>
      </c>
      <c r="AP12" s="92">
        <f>'Net zero emission summary'!BQ10</f>
        <v>-0.51281721061110808</v>
      </c>
    </row>
    <row r="13" spans="1:42" x14ac:dyDescent="0.25">
      <c r="A13" t="str">
        <f>'Emissions summary'!C12</f>
        <v>3A2a Cattle</v>
      </c>
      <c r="B13" t="str">
        <f t="shared" si="1"/>
        <v>A3A2a</v>
      </c>
      <c r="C13" t="str">
        <f>'Emissions summary'!D12</f>
        <v>CH4</v>
      </c>
      <c r="D13" s="92">
        <f>'Net zero emission summary'!AE12</f>
        <v>10.536132307897866</v>
      </c>
      <c r="E13" s="92">
        <f>'Net zero emission summary'!AF12</f>
        <v>10.613458765903253</v>
      </c>
      <c r="F13" s="92">
        <f>'Net zero emission summary'!AG12</f>
        <v>10.666849936107054</v>
      </c>
      <c r="G13" s="92">
        <f>'Net zero emission summary'!AH12</f>
        <v>10.684492011566622</v>
      </c>
      <c r="H13" s="92">
        <f>'Net zero emission summary'!AI12</f>
        <v>10.706951115641658</v>
      </c>
      <c r="I13" s="92">
        <f>'Net zero emission summary'!AJ12</f>
        <v>10.754382131036504</v>
      </c>
      <c r="J13" s="92">
        <f>'Net zero emission summary'!AK12</f>
        <v>10.81083297877524</v>
      </c>
      <c r="K13" s="92">
        <f>'Net zero emission summary'!AL12</f>
        <v>10.827060268081404</v>
      </c>
      <c r="L13" s="92">
        <f>'Net zero emission summary'!AM12</f>
        <v>10.449967221902</v>
      </c>
      <c r="M13" s="92">
        <f>'Net zero emission summary'!AN12</f>
        <v>9.7688079924983633</v>
      </c>
      <c r="N13" s="92">
        <f>'Net zero emission summary'!AO12</f>
        <v>9.0777521426876753</v>
      </c>
      <c r="O13" s="92">
        <f>'Net zero emission summary'!AP12</f>
        <v>8.3869978506635086</v>
      </c>
      <c r="P13" s="92">
        <f>'Net zero emission summary'!AQ12</f>
        <v>7.7084789209654057</v>
      </c>
      <c r="Q13" s="92">
        <f>'Net zero emission summary'!AR12</f>
        <v>7.0276411891749593</v>
      </c>
      <c r="R13" s="92">
        <f>'Net zero emission summary'!AS12</f>
        <v>6.342551024984699</v>
      </c>
      <c r="S13" s="92">
        <f>'Net zero emission summary'!AT12</f>
        <v>5.6532360782169038</v>
      </c>
      <c r="T13" s="92">
        <f>'Net zero emission summary'!AU12</f>
        <v>4.9654298879824523</v>
      </c>
      <c r="U13" s="92">
        <f>'Net zero emission summary'!AV12</f>
        <v>4.2718798439418499</v>
      </c>
      <c r="V13" s="92">
        <f>'Net zero emission summary'!AW12</f>
        <v>3.5776095675331652</v>
      </c>
      <c r="W13" s="92">
        <f>'Net zero emission summary'!AX12</f>
        <v>3.4392601297678214</v>
      </c>
      <c r="X13" s="92">
        <f>'Net zero emission summary'!AY12</f>
        <v>3.3011515874079671</v>
      </c>
      <c r="Y13" s="92">
        <f>'Net zero emission summary'!AZ12</f>
        <v>3.1609187672318155</v>
      </c>
      <c r="Z13" s="92">
        <f>'Net zero emission summary'!BA12</f>
        <v>2.9789827375299627</v>
      </c>
      <c r="AA13" s="92">
        <f>'Net zero emission summary'!BB12</f>
        <v>1.0449004489593039</v>
      </c>
      <c r="AB13" s="92">
        <f>'Net zero emission summary'!BC12</f>
        <v>0.95179474669925657</v>
      </c>
      <c r="AC13" s="92">
        <f>'Net zero emission summary'!BD12</f>
        <v>0.85896874118896893</v>
      </c>
      <c r="AD13" s="92">
        <f>'Net zero emission summary'!BE12</f>
        <v>0.76639318065121864</v>
      </c>
      <c r="AE13" s="92">
        <f>'Net zero emission summary'!BF12</f>
        <v>0.67404057219472024</v>
      </c>
      <c r="AF13" s="92">
        <f>'Net zero emission summary'!BG12</f>
        <v>0.58188502194580705</v>
      </c>
      <c r="AG13" s="92">
        <f>'Net zero emission summary'!BH12</f>
        <v>0.58138066074897132</v>
      </c>
      <c r="AH13" s="92">
        <f>'Net zero emission summary'!BI12</f>
        <v>0.58091688246819317</v>
      </c>
      <c r="AI13" s="92">
        <f>'Net zero emission summary'!BJ12</f>
        <v>0.58049199950748176</v>
      </c>
      <c r="AJ13" s="92">
        <f>'Net zero emission summary'!BK12</f>
        <v>0.58010443574928694</v>
      </c>
      <c r="AK13" s="92">
        <f>'Net zero emission summary'!BL12</f>
        <v>0.57975271703750297</v>
      </c>
      <c r="AL13" s="92">
        <f>'Net zero emission summary'!BM12</f>
        <v>0.57901857200747608</v>
      </c>
      <c r="AM13" s="92">
        <f>'Net zero emission summary'!BN12</f>
        <v>0.57831666659194025</v>
      </c>
      <c r="AN13" s="92">
        <f>'Net zero emission summary'!BO12</f>
        <v>0.57764572483386689</v>
      </c>
      <c r="AO13" s="92">
        <f>'Net zero emission summary'!BP12</f>
        <v>0.5770045463270459</v>
      </c>
      <c r="AP13" s="92">
        <f>'Net zero emission summary'!BQ12</f>
        <v>0.57639200038048488</v>
      </c>
    </row>
    <row r="14" spans="1:42" x14ac:dyDescent="0.25">
      <c r="A14" t="str">
        <f>'Emissions summary'!C13</f>
        <v>3A2c Sheep</v>
      </c>
      <c r="B14" t="str">
        <f t="shared" si="1"/>
        <v>A3A2c</v>
      </c>
      <c r="C14" t="str">
        <f>'Emissions summary'!D13</f>
        <v>CH4</v>
      </c>
      <c r="D14" s="92">
        <f>'Net zero emission summary'!AE13</f>
        <v>4.0171451163807756E-2</v>
      </c>
      <c r="E14" s="92">
        <f>'Net zero emission summary'!AF13</f>
        <v>4.0193388449779766E-2</v>
      </c>
      <c r="F14" s="92">
        <f>'Net zero emission summary'!AG13</f>
        <v>4.0242510247083002E-2</v>
      </c>
      <c r="G14" s="92">
        <f>'Net zero emission summary'!AH13</f>
        <v>4.0316448864538786E-2</v>
      </c>
      <c r="H14" s="92">
        <f>'Net zero emission summary'!AI13</f>
        <v>4.0416193542554428E-2</v>
      </c>
      <c r="I14" s="92">
        <f>'Net zero emission summary'!AJ13</f>
        <v>4.054185011989897E-2</v>
      </c>
      <c r="J14" s="92">
        <f>'Net zero emission summary'!AK13</f>
        <v>4.0681826453149238E-2</v>
      </c>
      <c r="K14" s="92">
        <f>'Net zero emission summary'!AL13</f>
        <v>4.0833528942094306E-2</v>
      </c>
      <c r="L14" s="92">
        <f>'Net zero emission summary'!AM13</f>
        <v>4.097608558956399E-2</v>
      </c>
      <c r="M14" s="92">
        <f>'Net zero emission summary'!AN13</f>
        <v>4.103563426172728E-2</v>
      </c>
      <c r="N14" s="92">
        <f>'Net zero emission summary'!AO13</f>
        <v>4.1104733217492397E-2</v>
      </c>
      <c r="O14" s="92">
        <f>'Net zero emission summary'!AP13</f>
        <v>4.1183368288572768E-2</v>
      </c>
      <c r="P14" s="92">
        <f>'Net zero emission summary'!AQ13</f>
        <v>4.1271946892514212E-2</v>
      </c>
      <c r="Q14" s="92">
        <f>'Net zero emission summary'!AR13</f>
        <v>4.136904898259381E-2</v>
      </c>
      <c r="R14" s="92">
        <f>'Net zero emission summary'!AS13</f>
        <v>4.1428822724387609E-2</v>
      </c>
      <c r="S14" s="92">
        <f>'Net zero emission summary'!AT13</f>
        <v>4.1495591228138305E-2</v>
      </c>
      <c r="T14" s="92">
        <f>'Net zero emission summary'!AU13</f>
        <v>4.1569596793099593E-2</v>
      </c>
      <c r="U14" s="92">
        <f>'Net zero emission summary'!AV13</f>
        <v>4.1649702367654133E-2</v>
      </c>
      <c r="V14" s="92">
        <f>'Net zero emission summary'!AW13</f>
        <v>4.1736194376637802E-2</v>
      </c>
      <c r="W14" s="92">
        <f>'Net zero emission summary'!AX13</f>
        <v>4.1793133677802338E-2</v>
      </c>
      <c r="X14" s="92">
        <f>'Net zero emission summary'!AY13</f>
        <v>4.1856062115301733E-2</v>
      </c>
      <c r="Y14" s="92">
        <f>'Net zero emission summary'!AZ13</f>
        <v>4.1924413742277053E-2</v>
      </c>
      <c r="Z14" s="92">
        <f>'Net zero emission summary'!BA13</f>
        <v>4.1990450131540423E-2</v>
      </c>
      <c r="AA14" s="92">
        <f>'Net zero emission summary'!BB13</f>
        <v>4.1708124794475582E-2</v>
      </c>
      <c r="AB14" s="92">
        <f>'Net zero emission summary'!BC13</f>
        <v>4.174821945634509E-2</v>
      </c>
      <c r="AC14" s="92">
        <f>'Net zero emission summary'!BD13</f>
        <v>4.1792464114322331E-2</v>
      </c>
      <c r="AD14" s="92">
        <f>'Net zero emission summary'!BE13</f>
        <v>4.1840701985036206E-2</v>
      </c>
      <c r="AE14" s="92">
        <f>'Net zero emission summary'!BF13</f>
        <v>4.1892788403494238E-2</v>
      </c>
      <c r="AF14" s="92">
        <f>'Net zero emission summary'!BG13</f>
        <v>4.1948589673140198E-2</v>
      </c>
      <c r="AG14" s="92">
        <f>'Net zero emission summary'!BH13</f>
        <v>4.197567007990638E-2</v>
      </c>
      <c r="AH14" s="92">
        <f>'Net zero emission summary'!BI13</f>
        <v>4.2006023507118316E-2</v>
      </c>
      <c r="AI14" s="92">
        <f>'Net zero emission summary'!BJ13</f>
        <v>4.2039536045947422E-2</v>
      </c>
      <c r="AJ14" s="92">
        <f>'Net zero emission summary'!BK13</f>
        <v>4.2076101583905408E-2</v>
      </c>
      <c r="AK14" s="92">
        <f>'Net zero emission summary'!BL13</f>
        <v>4.2115621142507186E-2</v>
      </c>
      <c r="AL14" s="92">
        <f>'Net zero emission summary'!BM13</f>
        <v>4.212537013688971E-2</v>
      </c>
      <c r="AM14" s="92">
        <f>'Net zero emission summary'!BN13</f>
        <v>4.2137740823243071E-2</v>
      </c>
      <c r="AN14" s="92">
        <f>'Net zero emission summary'!BO13</f>
        <v>4.2152646371178375E-2</v>
      </c>
      <c r="AO14" s="92">
        <f>'Net zero emission summary'!BP13</f>
        <v>4.2170005252547764E-2</v>
      </c>
      <c r="AP14" s="92">
        <f>'Net zero emission summary'!BQ13</f>
        <v>4.2189740833693673E-2</v>
      </c>
    </row>
    <row r="15" spans="1:42" x14ac:dyDescent="0.25">
      <c r="A15" t="str">
        <f>'Emissions summary'!C14</f>
        <v>3A2d Goats</v>
      </c>
      <c r="B15" t="str">
        <f t="shared" si="1"/>
        <v>A3A2d</v>
      </c>
      <c r="C15" t="str">
        <f>'Emissions summary'!D14</f>
        <v>CH4</v>
      </c>
      <c r="D15" s="92">
        <f>'Net zero emission summary'!AE14</f>
        <v>4.2380484298963031E-2</v>
      </c>
      <c r="E15" s="92">
        <f>'Net zero emission summary'!AF14</f>
        <v>4.2491022640852506E-2</v>
      </c>
      <c r="F15" s="92">
        <f>'Net zero emission summary'!AG14</f>
        <v>4.2638324773050039E-2</v>
      </c>
      <c r="G15" s="92">
        <f>'Net zero emission summary'!AH14</f>
        <v>4.2819115879733964E-2</v>
      </c>
      <c r="H15" s="92">
        <f>'Net zero emission summary'!AI14</f>
        <v>4.3035568476452485E-2</v>
      </c>
      <c r="I15" s="92">
        <f>'Net zero emission summary'!AJ14</f>
        <v>4.328825856997226E-2</v>
      </c>
      <c r="J15" s="92">
        <f>'Net zero emission summary'!AK14</f>
        <v>4.3558430864797347E-2</v>
      </c>
      <c r="K15" s="92">
        <f>'Net zero emission summary'!AL14</f>
        <v>4.3842222118602031E-2</v>
      </c>
      <c r="L15" s="92">
        <f>'Net zero emission summary'!AM14</f>
        <v>4.4105851728546128E-2</v>
      </c>
      <c r="M15" s="92">
        <f>'Net zero emission summary'!AN14</f>
        <v>4.4229396595656459E-2</v>
      </c>
      <c r="N15" s="92">
        <f>'Net zero emission summary'!AO14</f>
        <v>4.4364870390710444E-2</v>
      </c>
      <c r="O15" s="92">
        <f>'Net zero emission summary'!AP14</f>
        <v>4.451244503337487E-2</v>
      </c>
      <c r="P15" s="92">
        <f>'Net zero emission summary'!AQ14</f>
        <v>4.4672944068999285E-2</v>
      </c>
      <c r="Q15" s="92">
        <f>'Net zero emission summary'!AR14</f>
        <v>4.4844206562754965E-2</v>
      </c>
      <c r="R15" s="92">
        <f>'Net zero emission summary'!AS14</f>
        <v>4.4952460733255303E-2</v>
      </c>
      <c r="S15" s="92">
        <f>'Net zero emission summary'!AT14</f>
        <v>4.5069586240880116E-2</v>
      </c>
      <c r="T15" s="92">
        <f>'Net zero emission summary'!AU14</f>
        <v>4.5196067641446624E-2</v>
      </c>
      <c r="U15" s="92">
        <f>'Net zero emission summary'!AV14</f>
        <v>4.5330163663465622E-2</v>
      </c>
      <c r="V15" s="92">
        <f>'Net zero emission summary'!AW14</f>
        <v>4.5472410705803767E-2</v>
      </c>
      <c r="W15" s="92">
        <f>'Net zero emission summary'!AX14</f>
        <v>4.5565573073388516E-2</v>
      </c>
      <c r="X15" s="92">
        <f>'Net zero emission summary'!AY14</f>
        <v>4.566660832870207E-2</v>
      </c>
      <c r="Y15" s="92">
        <f>'Net zero emission summary'!AZ14</f>
        <v>4.5774662329998259E-2</v>
      </c>
      <c r="Z15" s="92">
        <f>'Net zero emission summary'!BA14</f>
        <v>4.5877513947555765E-2</v>
      </c>
      <c r="AA15" s="92">
        <f>'Net zero emission summary'!BB14</f>
        <v>4.542790329363032E-2</v>
      </c>
      <c r="AB15" s="92">
        <f>'Net zero emission summary'!BC14</f>
        <v>4.5488061322075959E-2</v>
      </c>
      <c r="AC15" s="92">
        <f>'Net zero emission summary'!BD14</f>
        <v>4.5553613422903511E-2</v>
      </c>
      <c r="AD15" s="92">
        <f>'Net zero emission summary'!BE14</f>
        <v>4.5624340538346256E-2</v>
      </c>
      <c r="AE15" s="92">
        <f>'Net zero emission summary'!BF14</f>
        <v>4.5700040601983863E-2</v>
      </c>
      <c r="AF15" s="92">
        <f>'Net zero emission summary'!BG14</f>
        <v>4.5780526911852873E-2</v>
      </c>
      <c r="AG15" s="92">
        <f>'Net zero emission summary'!BH14</f>
        <v>4.58150755324086E-2</v>
      </c>
      <c r="AH15" s="92">
        <f>'Net zero emission summary'!BI14</f>
        <v>4.5853935923286515E-2</v>
      </c>
      <c r="AI15" s="92">
        <f>'Net zero emission summary'!BJ14</f>
        <v>4.589694553095356E-2</v>
      </c>
      <c r="AJ15" s="92">
        <f>'Net zero emission summary'!BK14</f>
        <v>4.5943952953431351E-2</v>
      </c>
      <c r="AK15" s="92">
        <f>'Net zero emission summary'!BL14</f>
        <v>4.5994816984910356E-2</v>
      </c>
      <c r="AL15" s="92">
        <f>'Net zero emission summary'!BM14</f>
        <v>4.5998785393667724E-2</v>
      </c>
      <c r="AM15" s="92">
        <f>'Net zero emission summary'!BN14</f>
        <v>4.6006283035940149E-2</v>
      </c>
      <c r="AN15" s="92">
        <f>'Net zero emission summary'!BO14</f>
        <v>4.6017183166128517E-2</v>
      </c>
      <c r="AO15" s="92">
        <f>'Net zero emission summary'!BP14</f>
        <v>4.603136679658329E-2</v>
      </c>
      <c r="AP15" s="92">
        <f>'Net zero emission summary'!BQ14</f>
        <v>4.6048722096578426E-2</v>
      </c>
    </row>
    <row r="16" spans="1:42" x14ac:dyDescent="0.25">
      <c r="A16" t="str">
        <f>'Emissions summary'!C15</f>
        <v>3A2f Horses</v>
      </c>
      <c r="B16" t="str">
        <f t="shared" si="1"/>
        <v>A3A2f</v>
      </c>
      <c r="C16" t="str">
        <f>'Emissions summary'!D15</f>
        <v>CH4</v>
      </c>
      <c r="D16" s="92">
        <f>'Net zero emission summary'!AE15</f>
        <v>4.1462896209668214E-3</v>
      </c>
      <c r="E16" s="92">
        <f>'Net zero emission summary'!AF15</f>
        <v>4.1705892650270686E-3</v>
      </c>
      <c r="F16" s="92">
        <f>'Net zero emission summary'!AG15</f>
        <v>4.1765760669998774E-3</v>
      </c>
      <c r="G16" s="92">
        <f>'Net zero emission summary'!AH15</f>
        <v>4.1582865548880337E-3</v>
      </c>
      <c r="H16" s="92">
        <f>'Net zero emission summary'!AI15</f>
        <v>4.1389364137095824E-3</v>
      </c>
      <c r="I16" s="92">
        <f>'Net zero emission summary'!AJ15</f>
        <v>4.1297300373309533E-3</v>
      </c>
      <c r="J16" s="92">
        <f>'Net zero emission summary'!AK15</f>
        <v>4.1235897943981579E-3</v>
      </c>
      <c r="K16" s="92">
        <f>'Net zero emission summary'!AL15</f>
        <v>4.0939723150578283E-3</v>
      </c>
      <c r="L16" s="92">
        <f>'Net zero emission summary'!AM15</f>
        <v>3.8546694485950316E-3</v>
      </c>
      <c r="M16" s="92">
        <f>'Net zero emission summary'!AN15</f>
        <v>3.8885582856899971E-3</v>
      </c>
      <c r="N16" s="92">
        <f>'Net zero emission summary'!AO15</f>
        <v>3.9163093014231119E-3</v>
      </c>
      <c r="O16" s="92">
        <f>'Net zero emission summary'!AP15</f>
        <v>3.943499319412006E-3</v>
      </c>
      <c r="P16" s="92">
        <f>'Net zero emission summary'!AQ15</f>
        <v>3.9787498507285772E-3</v>
      </c>
      <c r="Q16" s="92">
        <f>'Net zero emission summary'!AR15</f>
        <v>4.0133556413366692E-3</v>
      </c>
      <c r="R16" s="92">
        <f>'Net zero emission summary'!AS15</f>
        <v>4.0529996928532061E-3</v>
      </c>
      <c r="S16" s="92">
        <f>'Net zero emission summary'!AT15</f>
        <v>4.0900631434267433E-3</v>
      </c>
      <c r="T16" s="92">
        <f>'Net zero emission summary'!AU15</f>
        <v>4.1299322607386601E-3</v>
      </c>
      <c r="U16" s="92">
        <f>'Net zero emission summary'!AV15</f>
        <v>4.1653099616518066E-3</v>
      </c>
      <c r="V16" s="92">
        <f>'Net zero emission summary'!AW15</f>
        <v>4.2013445039546862E-3</v>
      </c>
      <c r="W16" s="92">
        <f>'Net zero emission summary'!AX15</f>
        <v>4.251252835120037E-3</v>
      </c>
      <c r="X16" s="92">
        <f>'Net zero emission summary'!AY15</f>
        <v>4.3057143858228663E-3</v>
      </c>
      <c r="Y16" s="92">
        <f>'Net zero emission summary'!AZ15</f>
        <v>4.3617167354082645E-3</v>
      </c>
      <c r="Z16" s="92">
        <f>'Net zero emission summary'!BA15</f>
        <v>4.3537503349345688E-3</v>
      </c>
      <c r="AA16" s="92">
        <f>'Net zero emission summary'!BB15</f>
        <v>1.2882018816554785E-3</v>
      </c>
      <c r="AB16" s="92">
        <f>'Net zero emission summary'!BC15</f>
        <v>1.2882018816554785E-3</v>
      </c>
      <c r="AC16" s="92">
        <f>'Net zero emission summary'!BD15</f>
        <v>1.2882018816554785E-3</v>
      </c>
      <c r="AD16" s="92">
        <f>'Net zero emission summary'!BE15</f>
        <v>1.2882018816554785E-3</v>
      </c>
      <c r="AE16" s="92">
        <f>'Net zero emission summary'!BF15</f>
        <v>1.2882018816554785E-3</v>
      </c>
      <c r="AF16" s="92">
        <f>'Net zero emission summary'!BG15</f>
        <v>1.2882018816554785E-3</v>
      </c>
      <c r="AG16" s="92">
        <f>'Net zero emission summary'!BH15</f>
        <v>1.2882018816554785E-3</v>
      </c>
      <c r="AH16" s="92">
        <f>'Net zero emission summary'!BI15</f>
        <v>1.2882018816554785E-3</v>
      </c>
      <c r="AI16" s="92">
        <f>'Net zero emission summary'!BJ15</f>
        <v>1.2882018816554785E-3</v>
      </c>
      <c r="AJ16" s="92">
        <f>'Net zero emission summary'!BK15</f>
        <v>1.2882018816554785E-3</v>
      </c>
      <c r="AK16" s="92">
        <f>'Net zero emission summary'!BL15</f>
        <v>1.2882018816554785E-3</v>
      </c>
      <c r="AL16" s="92">
        <f>'Net zero emission summary'!BM15</f>
        <v>1.2882018816554785E-3</v>
      </c>
      <c r="AM16" s="92">
        <f>'Net zero emission summary'!BN15</f>
        <v>1.2882018816554785E-3</v>
      </c>
      <c r="AN16" s="92">
        <f>'Net zero emission summary'!BO15</f>
        <v>1.2882018816554785E-3</v>
      </c>
      <c r="AO16" s="92">
        <f>'Net zero emission summary'!BP15</f>
        <v>1.2882018816554785E-3</v>
      </c>
      <c r="AP16" s="92">
        <f>'Net zero emission summary'!BQ15</f>
        <v>1.2882018816554785E-3</v>
      </c>
    </row>
    <row r="17" spans="1:42" x14ac:dyDescent="0.25">
      <c r="A17" t="str">
        <f>'Emissions summary'!C16</f>
        <v>3A2g Mules &amp; asses</v>
      </c>
      <c r="B17" t="str">
        <f t="shared" si="1"/>
        <v>A3A2g</v>
      </c>
      <c r="C17" t="str">
        <f>'Emissions summary'!D16</f>
        <v>CH4</v>
      </c>
      <c r="D17" s="92">
        <f>'Net zero emission summary'!AE16</f>
        <v>7.515E-4</v>
      </c>
      <c r="E17" s="92">
        <f>'Net zero emission summary'!AF16</f>
        <v>7.515E-4</v>
      </c>
      <c r="F17" s="92">
        <f>'Net zero emission summary'!AG16</f>
        <v>7.515E-4</v>
      </c>
      <c r="G17" s="92">
        <f>'Net zero emission summary'!AH16</f>
        <v>7.515E-4</v>
      </c>
      <c r="H17" s="92">
        <f>'Net zero emission summary'!AI16</f>
        <v>7.515E-4</v>
      </c>
      <c r="I17" s="92">
        <f>'Net zero emission summary'!AJ16</f>
        <v>7.515E-4</v>
      </c>
      <c r="J17" s="92">
        <f>'Net zero emission summary'!AK16</f>
        <v>7.515E-4</v>
      </c>
      <c r="K17" s="92">
        <f>'Net zero emission summary'!AL16</f>
        <v>7.515E-4</v>
      </c>
      <c r="L17" s="92">
        <f>'Net zero emission summary'!AM16</f>
        <v>7.515E-4</v>
      </c>
      <c r="M17" s="92">
        <f>'Net zero emission summary'!AN16</f>
        <v>7.515E-4</v>
      </c>
      <c r="N17" s="92">
        <f>'Net zero emission summary'!AO16</f>
        <v>7.515E-4</v>
      </c>
      <c r="O17" s="92">
        <f>'Net zero emission summary'!AP16</f>
        <v>7.515E-4</v>
      </c>
      <c r="P17" s="92">
        <f>'Net zero emission summary'!AQ16</f>
        <v>7.515E-4</v>
      </c>
      <c r="Q17" s="92">
        <f>'Net zero emission summary'!AR16</f>
        <v>7.515E-4</v>
      </c>
      <c r="R17" s="92">
        <f>'Net zero emission summary'!AS16</f>
        <v>7.515E-4</v>
      </c>
      <c r="S17" s="92">
        <f>'Net zero emission summary'!AT16</f>
        <v>7.515E-4</v>
      </c>
      <c r="T17" s="92">
        <f>'Net zero emission summary'!AU16</f>
        <v>7.515E-4</v>
      </c>
      <c r="U17" s="92">
        <f>'Net zero emission summary'!AV16</f>
        <v>7.515E-4</v>
      </c>
      <c r="V17" s="92">
        <f>'Net zero emission summary'!AW16</f>
        <v>7.515E-4</v>
      </c>
      <c r="W17" s="92">
        <f>'Net zero emission summary'!AX16</f>
        <v>7.515E-4</v>
      </c>
      <c r="X17" s="92">
        <f>'Net zero emission summary'!AY16</f>
        <v>7.515E-4</v>
      </c>
      <c r="Y17" s="92">
        <f>'Net zero emission summary'!AZ16</f>
        <v>7.515E-4</v>
      </c>
      <c r="Z17" s="92">
        <f>'Net zero emission summary'!BA16</f>
        <v>7.515E-4</v>
      </c>
      <c r="AA17" s="92">
        <f>'Net zero emission summary'!BB16</f>
        <v>7.515E-4</v>
      </c>
      <c r="AB17" s="92">
        <f>'Net zero emission summary'!BC16</f>
        <v>7.515E-4</v>
      </c>
      <c r="AC17" s="92">
        <f>'Net zero emission summary'!BD16</f>
        <v>7.515E-4</v>
      </c>
      <c r="AD17" s="92">
        <f>'Net zero emission summary'!BE16</f>
        <v>7.515E-4</v>
      </c>
      <c r="AE17" s="92">
        <f>'Net zero emission summary'!BF16</f>
        <v>7.515E-4</v>
      </c>
      <c r="AF17" s="92">
        <f>'Net zero emission summary'!BG16</f>
        <v>7.515E-4</v>
      </c>
      <c r="AG17" s="92">
        <f>'Net zero emission summary'!BH16</f>
        <v>7.515E-4</v>
      </c>
      <c r="AH17" s="92">
        <f>'Net zero emission summary'!BI16</f>
        <v>7.515E-4</v>
      </c>
      <c r="AI17" s="92">
        <f>'Net zero emission summary'!BJ16</f>
        <v>7.515E-4</v>
      </c>
      <c r="AJ17" s="92">
        <f>'Net zero emission summary'!BK16</f>
        <v>7.515E-4</v>
      </c>
      <c r="AK17" s="92">
        <f>'Net zero emission summary'!BL16</f>
        <v>7.515E-4</v>
      </c>
      <c r="AL17" s="92">
        <f>'Net zero emission summary'!BM16</f>
        <v>7.515E-4</v>
      </c>
      <c r="AM17" s="92">
        <f>'Net zero emission summary'!BN16</f>
        <v>7.515E-4</v>
      </c>
      <c r="AN17" s="92">
        <f>'Net zero emission summary'!BO16</f>
        <v>7.515E-4</v>
      </c>
      <c r="AO17" s="92">
        <f>'Net zero emission summary'!BP16</f>
        <v>7.515E-4</v>
      </c>
      <c r="AP17" s="92">
        <f>'Net zero emission summary'!BQ16</f>
        <v>7.515E-4</v>
      </c>
    </row>
    <row r="18" spans="1:42" x14ac:dyDescent="0.25">
      <c r="A18" t="str">
        <f>'Emissions summary'!C17</f>
        <v>3A2h Swine</v>
      </c>
      <c r="B18" t="str">
        <f t="shared" si="1"/>
        <v>A3A2h</v>
      </c>
      <c r="C18" t="str">
        <f>'Emissions summary'!D17</f>
        <v>CH4</v>
      </c>
      <c r="D18" s="92">
        <f>'Net zero emission summary'!AE17</f>
        <v>23.535536973290967</v>
      </c>
      <c r="E18" s="92">
        <f>'Net zero emission summary'!AF17</f>
        <v>23.461250257824865</v>
      </c>
      <c r="F18" s="92">
        <f>'Net zero emission summary'!AG17</f>
        <v>23.215584649507861</v>
      </c>
      <c r="G18" s="92">
        <f>'Net zero emission summary'!AH17</f>
        <v>22.738593094908712</v>
      </c>
      <c r="H18" s="92">
        <f>'Net zero emission summary'!AI17</f>
        <v>22.282471606979268</v>
      </c>
      <c r="I18" s="92">
        <f>'Net zero emission summary'!AJ17</f>
        <v>21.962496523868658</v>
      </c>
      <c r="J18" s="92">
        <f>'Net zero emission summary'!AK17</f>
        <v>21.691504317681844</v>
      </c>
      <c r="K18" s="92">
        <f>'Net zero emission summary'!AL17</f>
        <v>21.192500763754563</v>
      </c>
      <c r="L18" s="92">
        <f>'Net zero emission summary'!AM17</f>
        <v>18.552429626341262</v>
      </c>
      <c r="M18" s="92">
        <f>'Net zero emission summary'!AN17</f>
        <v>17.183309946302966</v>
      </c>
      <c r="N18" s="92">
        <f>'Net zero emission summary'!AO17</f>
        <v>15.746048168795243</v>
      </c>
      <c r="O18" s="92">
        <f>'Net zero emission summary'!AP17</f>
        <v>14.29810766557101</v>
      </c>
      <c r="P18" s="92">
        <f>'Net zero emission summary'!AQ17</f>
        <v>12.897557650109494</v>
      </c>
      <c r="Q18" s="92">
        <f>'Net zero emission summary'!AR17</f>
        <v>11.471779721258455</v>
      </c>
      <c r="R18" s="92">
        <f>'Net zero emission summary'!AS17</f>
        <v>10.034810819215117</v>
      </c>
      <c r="S18" s="92">
        <f>'Net zero emission summary'!AT17</f>
        <v>8.561948828786889</v>
      </c>
      <c r="T18" s="92">
        <f>'Net zero emission summary'!AU17</f>
        <v>7.0778295116701102</v>
      </c>
      <c r="U18" s="92">
        <f>'Net zero emission summary'!AV17</f>
        <v>5.5565683851213441</v>
      </c>
      <c r="V18" s="92">
        <f>'Net zero emission summary'!AW17</f>
        <v>4.0182928488811465</v>
      </c>
      <c r="W18" s="92">
        <f>'Net zero emission summary'!AX17</f>
        <v>3.6659630936359759</v>
      </c>
      <c r="X18" s="92">
        <f>'Net zero emission summary'!AY17</f>
        <v>3.3109051311105944</v>
      </c>
      <c r="Y18" s="92">
        <f>'Net zero emission summary'!AZ17</f>
        <v>2.9468199474605061</v>
      </c>
      <c r="Z18" s="92">
        <f>'Net zero emission summary'!BA17</f>
        <v>2.5014439838665812</v>
      </c>
      <c r="AA18" s="92">
        <f>'Net zero emission summary'!BB17</f>
        <v>-0.70836503028570996</v>
      </c>
      <c r="AB18" s="92">
        <f>'Net zero emission summary'!BC17</f>
        <v>-0.56645952577850434</v>
      </c>
      <c r="AC18" s="92">
        <f>'Net zero emission summary'!BD17</f>
        <v>-0.4276238063132769</v>
      </c>
      <c r="AD18" s="92">
        <f>'Net zero emission summary'!BE17</f>
        <v>-0.2917579161107412</v>
      </c>
      <c r="AE18" s="92">
        <f>'Net zero emission summary'!BF17</f>
        <v>-0.1587704011114365</v>
      </c>
      <c r="AF18" s="92">
        <f>'Net zero emission summary'!BG17</f>
        <v>-2.8577544611065757E-2</v>
      </c>
      <c r="AG18" s="92">
        <f>'Net zero emission summary'!BH17</f>
        <v>-2.8243801277936253E-2</v>
      </c>
      <c r="AH18" s="92">
        <f>'Net zero emission summary'!BI17</f>
        <v>-2.7915942311000985E-2</v>
      </c>
      <c r="AI18" s="92">
        <f>'Net zero emission summary'!BJ17</f>
        <v>-2.7593624036360433E-2</v>
      </c>
      <c r="AJ18" s="92">
        <f>'Net zero emission summary'!BK17</f>
        <v>-2.7276525228134906E-2</v>
      </c>
      <c r="AK18" s="92">
        <f>'Net zero emission summary'!BL17</f>
        <v>-2.6964345168900949E-2</v>
      </c>
      <c r="AL18" s="92">
        <f>'Net zero emission summary'!BM17</f>
        <v>-2.6624138792438485E-2</v>
      </c>
      <c r="AM18" s="92">
        <f>'Net zero emission summary'!BN17</f>
        <v>-2.6289128604406378E-2</v>
      </c>
      <c r="AN18" s="92">
        <f>'Net zero emission summary'!BO17</f>
        <v>-2.5959047137963945E-2</v>
      </c>
      <c r="AO18" s="92">
        <f>'Net zero emission summary'!BP17</f>
        <v>-2.5633642729147251E-2</v>
      </c>
      <c r="AP18" s="92">
        <f>'Net zero emission summary'!BQ17</f>
        <v>-2.5312678284763319E-2</v>
      </c>
    </row>
    <row r="19" spans="1:42" x14ac:dyDescent="0.25">
      <c r="A19" t="str">
        <f>'Emissions summary'!C18</f>
        <v>3A2i Poultry</v>
      </c>
      <c r="B19" t="str">
        <f t="shared" si="1"/>
        <v>A3A2i</v>
      </c>
      <c r="C19" t="str">
        <f>'Emissions summary'!D18</f>
        <v>CH4</v>
      </c>
      <c r="D19" s="92">
        <f>'Net zero emission summary'!AE18</f>
        <v>2.9112684533425712</v>
      </c>
      <c r="E19" s="92">
        <f>'Net zero emission summary'!AF18</f>
        <v>2.9616716275087618</v>
      </c>
      <c r="F19" s="92">
        <f>'Net zero emission summary'!AG18</f>
        <v>2.9830526832322679</v>
      </c>
      <c r="G19" s="92">
        <f>'Net zero emission summary'!AH18</f>
        <v>2.9645347740890746</v>
      </c>
      <c r="H19" s="92">
        <f>'Net zero emission summary'!AI18</f>
        <v>2.9461609715487</v>
      </c>
      <c r="I19" s="92">
        <f>'Net zero emission summary'!AJ18</f>
        <v>2.9475508106618773</v>
      </c>
      <c r="J19" s="92">
        <f>'Net zero emission summary'!AK18</f>
        <v>2.9553087977819956</v>
      </c>
      <c r="K19" s="92">
        <f>'Net zero emission summary'!AL18</f>
        <v>2.9220206556565946</v>
      </c>
      <c r="L19" s="92">
        <f>'Net zero emission summary'!AM18</f>
        <v>2.5107263323945066</v>
      </c>
      <c r="M19" s="92">
        <f>'Net zero emission summary'!AN18</f>
        <v>2.5546069736762806</v>
      </c>
      <c r="N19" s="92">
        <f>'Net zero emission summary'!AO18</f>
        <v>2.5874245927285702</v>
      </c>
      <c r="O19" s="92">
        <f>'Net zero emission summary'!AP18</f>
        <v>2.6192215537143984</v>
      </c>
      <c r="P19" s="92">
        <f>'Net zero emission summary'!AQ18</f>
        <v>2.6654820171808948</v>
      </c>
      <c r="Q19" s="92">
        <f>'Net zero emission summary'!AR18</f>
        <v>2.7105181200212507</v>
      </c>
      <c r="R19" s="92">
        <f>'Net zero emission summary'!AS18</f>
        <v>2.7603606273419512</v>
      </c>
      <c r="S19" s="92">
        <f>'Net zero emission summary'!AT18</f>
        <v>2.8053085521789574</v>
      </c>
      <c r="T19" s="92">
        <f>'Net zero emission summary'!AU18</f>
        <v>2.8550039579211548</v>
      </c>
      <c r="U19" s="92">
        <f>'Net zero emission summary'!AV18</f>
        <v>2.8963858433254188</v>
      </c>
      <c r="V19" s="92">
        <f>'Net zero emission summary'!AW18</f>
        <v>2.9386540517748636</v>
      </c>
      <c r="W19" s="92">
        <f>'Net zero emission summary'!AX18</f>
        <v>3.0249064085067014</v>
      </c>
      <c r="X19" s="92">
        <f>'Net zero emission summary'!AY18</f>
        <v>3.1197278082037205</v>
      </c>
      <c r="Y19" s="92">
        <f>'Net zero emission summary'!AZ18</f>
        <v>3.2177720663168086</v>
      </c>
      <c r="Z19" s="92">
        <f>'Net zero emission summary'!BA18</f>
        <v>3.201950869416454</v>
      </c>
      <c r="AA19" s="92">
        <f>'Net zero emission summary'!BB18</f>
        <v>-2.2856226523672749</v>
      </c>
      <c r="AB19" s="92">
        <f>'Net zero emission summary'!BC18</f>
        <v>-2.2902091161140596</v>
      </c>
      <c r="AC19" s="92">
        <f>'Net zero emission summary'!BD18</f>
        <v>-2.2951097745326674</v>
      </c>
      <c r="AD19" s="92">
        <f>'Net zero emission summary'!BE18</f>
        <v>-2.3003128178254837</v>
      </c>
      <c r="AE19" s="92">
        <f>'Net zero emission summary'!BF18</f>
        <v>-2.3058073788099382</v>
      </c>
      <c r="AF19" s="92">
        <f>'Net zero emission summary'!BG18</f>
        <v>-2.3115834426804294</v>
      </c>
      <c r="AG19" s="92">
        <f>'Net zero emission summary'!BH18</f>
        <v>-2.3127987905793468</v>
      </c>
      <c r="AH19" s="92">
        <f>'Net zero emission summary'!BI18</f>
        <v>-2.3142430913199328</v>
      </c>
      <c r="AI19" s="92">
        <f>'Net zero emission summary'!BJ18</f>
        <v>-2.3159072748218179</v>
      </c>
      <c r="AJ19" s="92">
        <f>'Net zero emission summary'!BK18</f>
        <v>-2.3177828919366341</v>
      </c>
      <c r="AK19" s="92">
        <f>'Net zero emission summary'!BL18</f>
        <v>-2.3198620610791325</v>
      </c>
      <c r="AL19" s="92">
        <f>'Net zero emission summary'!BM18</f>
        <v>-2.319355287625771</v>
      </c>
      <c r="AM19" s="92">
        <f>'Net zero emission summary'!BN18</f>
        <v>-2.3190380064440248</v>
      </c>
      <c r="AN19" s="92">
        <f>'Net zero emission summary'!BO18</f>
        <v>-2.3189030943657345</v>
      </c>
      <c r="AO19" s="92">
        <f>'Net zero emission summary'!BP18</f>
        <v>-2.3189438636603796</v>
      </c>
      <c r="AP19" s="92">
        <f>'Net zero emission summary'!BQ18</f>
        <v>-2.3191540282094589</v>
      </c>
    </row>
    <row r="20" spans="1:42" x14ac:dyDescent="0.25">
      <c r="A20" t="str">
        <f>'Emissions summary'!C20</f>
        <v>3A2a Cattle</v>
      </c>
      <c r="B20" t="str">
        <f t="shared" si="1"/>
        <v>A3A2a</v>
      </c>
      <c r="C20" t="str">
        <f>'Emissions summary'!D20</f>
        <v>N2O</v>
      </c>
      <c r="D20" s="92">
        <f>'Net zero emission summary'!AE20</f>
        <v>2.6581961759385639</v>
      </c>
      <c r="E20" s="92">
        <f>'Net zero emission summary'!AF20</f>
        <v>2.686437300626868</v>
      </c>
      <c r="F20" s="92">
        <f>'Net zero emission summary'!AG20</f>
        <v>2.6969432886612248</v>
      </c>
      <c r="G20" s="92">
        <f>'Net zero emission summary'!AH20</f>
        <v>2.682998827934604</v>
      </c>
      <c r="H20" s="92">
        <f>'Net zero emission summary'!AI20</f>
        <v>2.6701884432062362</v>
      </c>
      <c r="I20" s="92">
        <f>'Net zero emission summary'!AJ20</f>
        <v>2.6708311684862776</v>
      </c>
      <c r="J20" s="92">
        <f>'Net zero emission summary'!AK20</f>
        <v>2.6758974861520692</v>
      </c>
      <c r="K20" s="92">
        <f>'Net zero emission summary'!AL20</f>
        <v>2.6557488861812795</v>
      </c>
      <c r="L20" s="92">
        <f>'Net zero emission summary'!AM20</f>
        <v>2.4009132985267922</v>
      </c>
      <c r="M20" s="92">
        <f>'Net zero emission summary'!AN20</f>
        <v>2.4485202858006234</v>
      </c>
      <c r="N20" s="92">
        <f>'Net zero emission summary'!AO20</f>
        <v>2.4900890593915137</v>
      </c>
      <c r="O20" s="92">
        <f>'Net zero emission summary'!AP20</f>
        <v>2.5318670866255379</v>
      </c>
      <c r="P20" s="92">
        <f>'Net zero emission summary'!AQ20</f>
        <v>2.5836414898354421</v>
      </c>
      <c r="Q20" s="92">
        <f>'Net zero emission summary'!AR20</f>
        <v>2.6355743908059797</v>
      </c>
      <c r="R20" s="92">
        <f>'Net zero emission summary'!AS20</f>
        <v>2.6893913624907206</v>
      </c>
      <c r="S20" s="92">
        <f>'Net zero emission summary'!AT20</f>
        <v>2.7410095495731284</v>
      </c>
      <c r="T20" s="92">
        <f>'Net zero emission summary'!AU20</f>
        <v>2.7966005949113288</v>
      </c>
      <c r="U20" s="92">
        <f>'Net zero emission summary'!AV20</f>
        <v>2.8477844030524846</v>
      </c>
      <c r="V20" s="92">
        <f>'Net zero emission summary'!AW20</f>
        <v>2.9004723163020958</v>
      </c>
      <c r="W20" s="92">
        <f>'Net zero emission summary'!AX20</f>
        <v>2.9602174820353095</v>
      </c>
      <c r="X20" s="92">
        <f>'Net zero emission summary'!AY20</f>
        <v>3.0257684329005401</v>
      </c>
      <c r="Y20" s="92">
        <f>'Net zero emission summary'!AZ20</f>
        <v>3.0936581261052982</v>
      </c>
      <c r="Z20" s="92">
        <f>'Net zero emission summary'!BA20</f>
        <v>3.0881450082122424</v>
      </c>
      <c r="AA20" s="92">
        <f>'Net zero emission summary'!BB20</f>
        <v>-0.45476427485742343</v>
      </c>
      <c r="AB20" s="92">
        <f>'Net zero emission summary'!BC20</f>
        <v>-0.45227442706465237</v>
      </c>
      <c r="AC20" s="92">
        <f>'Net zero emission summary'!BD20</f>
        <v>-0.44989246689235096</v>
      </c>
      <c r="AD20" s="92">
        <f>'Net zero emission summary'!BE20</f>
        <v>-0.44761434692028201</v>
      </c>
      <c r="AE20" s="92">
        <f>'Net zero emission summary'!BF20</f>
        <v>-0.44543631626142172</v>
      </c>
      <c r="AF20" s="92">
        <f>'Net zero emission summary'!BG20</f>
        <v>-0.44335489346470186</v>
      </c>
      <c r="AG20" s="92">
        <f>'Net zero emission summary'!BH20</f>
        <v>-0.44171863724181221</v>
      </c>
      <c r="AH20" s="92">
        <f>'Net zero emission summary'!BI20</f>
        <v>-0.44015870831353743</v>
      </c>
      <c r="AI20" s="92">
        <f>'Net zero emission summary'!BJ20</f>
        <v>-0.43867262830722087</v>
      </c>
      <c r="AJ20" s="92">
        <f>'Net zero emission summary'!BK20</f>
        <v>-0.43725808159598301</v>
      </c>
      <c r="AK20" s="92">
        <f>'Net zero emission summary'!BL20</f>
        <v>-0.43591290198958366</v>
      </c>
      <c r="AL20" s="92">
        <f>'Net zero emission summary'!BM20</f>
        <v>-0.43434617539814679</v>
      </c>
      <c r="AM20" s="92">
        <f>'Net zero emission summary'!BN20</f>
        <v>-0.43284544913856493</v>
      </c>
      <c r="AN20" s="92">
        <f>'Net zero emission summary'!BO20</f>
        <v>-0.43140882282826176</v>
      </c>
      <c r="AO20" s="92">
        <f>'Net zero emission summary'!BP20</f>
        <v>-0.43003450788583886</v>
      </c>
      <c r="AP20" s="92">
        <f>'Net zero emission summary'!BQ20</f>
        <v>-0.42872081928379063</v>
      </c>
    </row>
    <row r="21" spans="1:42" x14ac:dyDescent="0.25">
      <c r="A21" t="str">
        <f>'Emissions summary'!C21</f>
        <v>3A2c Sheep</v>
      </c>
      <c r="B21" t="str">
        <f t="shared" si="1"/>
        <v>A3A2c</v>
      </c>
      <c r="C21" t="str">
        <f>'Emissions summary'!D21</f>
        <v>N2O</v>
      </c>
      <c r="D21" s="92">
        <f>'Net zero emission summary'!AE21</f>
        <v>0.17985000889389441</v>
      </c>
      <c r="E21" s="92">
        <f>'Net zero emission summary'!AF21</f>
        <v>0.17994822344584291</v>
      </c>
      <c r="F21" s="92">
        <f>'Net zero emission summary'!AG21</f>
        <v>0.18016814469404097</v>
      </c>
      <c r="G21" s="92">
        <f>'Net zero emission summary'!AH21</f>
        <v>0.18049917234232776</v>
      </c>
      <c r="H21" s="92">
        <f>'Net zero emission summary'!AI21</f>
        <v>0.18094573527965066</v>
      </c>
      <c r="I21" s="92">
        <f>'Net zero emission summary'!AJ21</f>
        <v>0.18150830735255979</v>
      </c>
      <c r="J21" s="92">
        <f>'Net zero emission summary'!AK21</f>
        <v>0.18213498983603144</v>
      </c>
      <c r="K21" s="92">
        <f>'Net zero emission summary'!AL21</f>
        <v>0.18281417102554687</v>
      </c>
      <c r="L21" s="92">
        <f>'Net zero emission summary'!AM21</f>
        <v>0.18345240573135227</v>
      </c>
      <c r="M21" s="92">
        <f>'Net zero emission summary'!AN21</f>
        <v>0.18371900872696012</v>
      </c>
      <c r="N21" s="92">
        <f>'Net zero emission summary'!AO21</f>
        <v>0.18402836891806301</v>
      </c>
      <c r="O21" s="92">
        <f>'Net zero emission summary'!AP21</f>
        <v>0.18438042287238762</v>
      </c>
      <c r="P21" s="92">
        <f>'Net zero emission summary'!AQ21</f>
        <v>0.1847769946228508</v>
      </c>
      <c r="Q21" s="92">
        <f>'Net zero emission summary'!AR21</f>
        <v>0.18521172653465601</v>
      </c>
      <c r="R21" s="92">
        <f>'Net zero emission summary'!AS21</f>
        <v>0.18547933718056969</v>
      </c>
      <c r="S21" s="92">
        <f>'Net zero emission summary'!AT21</f>
        <v>0.1857782637974954</v>
      </c>
      <c r="T21" s="92">
        <f>'Net zero emission summary'!AU21</f>
        <v>0.18610959117380083</v>
      </c>
      <c r="U21" s="92">
        <f>'Net zero emission summary'!AV21</f>
        <v>0.18646822866083951</v>
      </c>
      <c r="V21" s="92">
        <f>'Net zero emission summary'!AW21</f>
        <v>0.18685545859987085</v>
      </c>
      <c r="W21" s="92">
        <f>'Net zero emission summary'!AX21</f>
        <v>0.18711037928419211</v>
      </c>
      <c r="X21" s="92">
        <f>'Net zero emission summary'!AY21</f>
        <v>0.18739211369298392</v>
      </c>
      <c r="Y21" s="92">
        <f>'Net zero emission summary'!AZ21</f>
        <v>0.18769812804803659</v>
      </c>
      <c r="Z21" s="92">
        <f>'Net zero emission summary'!BA21</f>
        <v>0.18799377694426164</v>
      </c>
      <c r="AA21" s="92">
        <f>'Net zero emission summary'!BB21</f>
        <v>0.18672978938814794</v>
      </c>
      <c r="AB21" s="92">
        <f>'Net zero emission summary'!BC21</f>
        <v>0.18690929560674141</v>
      </c>
      <c r="AC21" s="92">
        <f>'Net zero emission summary'!BD21</f>
        <v>0.18710738160812246</v>
      </c>
      <c r="AD21" s="92">
        <f>'Net zero emission summary'!BE21</f>
        <v>0.18732334546368595</v>
      </c>
      <c r="AE21" s="92">
        <f>'Net zero emission summary'!BF21</f>
        <v>0.1875565394995381</v>
      </c>
      <c r="AF21" s="92">
        <f>'Net zero emission summary'!BG21</f>
        <v>0.18780636514813601</v>
      </c>
      <c r="AG21" s="92">
        <f>'Net zero emission summary'!BH21</f>
        <v>0.18792760576197112</v>
      </c>
      <c r="AH21" s="92">
        <f>'Net zero emission summary'!BI21</f>
        <v>0.18806349988568019</v>
      </c>
      <c r="AI21" s="92">
        <f>'Net zero emission summary'!BJ21</f>
        <v>0.18821353754256973</v>
      </c>
      <c r="AJ21" s="92">
        <f>'Net zero emission summary'!BK21</f>
        <v>0.18837724366063202</v>
      </c>
      <c r="AK21" s="92">
        <f>'Net zero emission summary'!BL21</f>
        <v>0.1885541751072215</v>
      </c>
      <c r="AL21" s="92">
        <f>'Net zero emission summary'!BM21</f>
        <v>0.1885978219428624</v>
      </c>
      <c r="AM21" s="92">
        <f>'Net zero emission summary'!BN21</f>
        <v>0.1886532062515249</v>
      </c>
      <c r="AN21" s="92">
        <f>'Net zero emission summary'!BO21</f>
        <v>0.18871993928832259</v>
      </c>
      <c r="AO21" s="92">
        <f>'Net zero emission summary'!BP21</f>
        <v>0.18879765604682219</v>
      </c>
      <c r="AP21" s="92">
        <f>'Net zero emission summary'!BQ21</f>
        <v>0.18888601343351807</v>
      </c>
    </row>
    <row r="22" spans="1:42" x14ac:dyDescent="0.25">
      <c r="A22" t="str">
        <f>'Emissions summary'!C22</f>
        <v>3A2d Goats</v>
      </c>
      <c r="B22" t="str">
        <f t="shared" si="1"/>
        <v>A3A2d</v>
      </c>
      <c r="C22" t="str">
        <f>'Emissions summary'!D22</f>
        <v>N2O</v>
      </c>
      <c r="D22" s="92">
        <f>'Net zero emission summary'!AE22</f>
        <v>0.12932623105786376</v>
      </c>
      <c r="E22" s="92">
        <f>'Net zero emission summary'!AF22</f>
        <v>0.12966354450249329</v>
      </c>
      <c r="F22" s="92">
        <f>'Net zero emission summary'!AG22</f>
        <v>0.13011304454712494</v>
      </c>
      <c r="G22" s="92">
        <f>'Net zero emission summary'!AH22</f>
        <v>0.13066473792257757</v>
      </c>
      <c r="H22" s="92">
        <f>'Net zero emission summary'!AI22</f>
        <v>0.13132525417196311</v>
      </c>
      <c r="I22" s="92">
        <f>'Net zero emission summary'!AJ22</f>
        <v>0.13209635100960287</v>
      </c>
      <c r="J22" s="92">
        <f>'Net zero emission summary'!AK22</f>
        <v>0.1329207956851168</v>
      </c>
      <c r="K22" s="92">
        <f>'Net zero emission summary'!AL22</f>
        <v>0.13378679931553411</v>
      </c>
      <c r="L22" s="92">
        <f>'Net zero emission summary'!AM22</f>
        <v>0.13459127865108902</v>
      </c>
      <c r="M22" s="92">
        <f>'Net zero emission summary'!AN22</f>
        <v>0.13496828217745774</v>
      </c>
      <c r="N22" s="92">
        <f>'Net zero emission summary'!AO22</f>
        <v>0.13538168744196216</v>
      </c>
      <c r="O22" s="92">
        <f>'Net zero emission summary'!AP22</f>
        <v>0.13583201906632181</v>
      </c>
      <c r="P22" s="92">
        <f>'Net zero emission summary'!AQ22</f>
        <v>0.13632179014159557</v>
      </c>
      <c r="Q22" s="92">
        <f>'Net zero emission summary'!AR22</f>
        <v>0.1368444064638337</v>
      </c>
      <c r="R22" s="92">
        <f>'Net zero emission summary'!AS22</f>
        <v>0.13717474964180079</v>
      </c>
      <c r="S22" s="92">
        <f>'Net zero emission summary'!AT22</f>
        <v>0.13753216416200786</v>
      </c>
      <c r="T22" s="92">
        <f>'Net zero emission summary'!AU22</f>
        <v>0.13791812867149283</v>
      </c>
      <c r="U22" s="92">
        <f>'Net zero emission summary'!AV22</f>
        <v>0.1383273295906054</v>
      </c>
      <c r="V22" s="92">
        <f>'Net zero emission summary'!AW22</f>
        <v>0.13876140376811943</v>
      </c>
      <c r="W22" s="92">
        <f>'Net zero emission summary'!AX22</f>
        <v>0.13904569353203933</v>
      </c>
      <c r="X22" s="92">
        <f>'Net zero emission summary'!AY22</f>
        <v>0.13935400781843343</v>
      </c>
      <c r="Y22" s="92">
        <f>'Net zero emission summary'!AZ22</f>
        <v>0.1396837401697624</v>
      </c>
      <c r="Z22" s="92">
        <f>'Net zero emission summary'!BA22</f>
        <v>0.13999759717911334</v>
      </c>
      <c r="AA22" s="92">
        <f>'Net zero emission summary'!BB22</f>
        <v>0.13862558710708447</v>
      </c>
      <c r="AB22" s="92">
        <f>'Net zero emission summary'!BC22</f>
        <v>0.13880916242991143</v>
      </c>
      <c r="AC22" s="92">
        <f>'Net zero emission summary'!BD22</f>
        <v>0.13900919804248607</v>
      </c>
      <c r="AD22" s="92">
        <f>'Net zero emission summary'!BE22</f>
        <v>0.13922502547874849</v>
      </c>
      <c r="AE22" s="92">
        <f>'Net zero emission summary'!BF22</f>
        <v>0.13945602812260766</v>
      </c>
      <c r="AF22" s="92">
        <f>'Net zero emission summary'!BG22</f>
        <v>0.13970163624340415</v>
      </c>
      <c r="AG22" s="92">
        <f>'Net zero emission summary'!BH22</f>
        <v>0.13980706313879313</v>
      </c>
      <c r="AH22" s="92">
        <f>'Net zero emission summary'!BI22</f>
        <v>0.13992564762343995</v>
      </c>
      <c r="AI22" s="92">
        <f>'Net zero emission summary'!BJ22</f>
        <v>0.14005689365686466</v>
      </c>
      <c r="AJ22" s="92">
        <f>'Net zero emission summary'!BK22</f>
        <v>0.14020033922813072</v>
      </c>
      <c r="AK22" s="92">
        <f>'Net zero emission summary'!BL22</f>
        <v>0.14035555344043621</v>
      </c>
      <c r="AL22" s="92">
        <f>'Net zero emission summary'!BM22</f>
        <v>0.14036766324419084</v>
      </c>
      <c r="AM22" s="92">
        <f>'Net zero emission summary'!BN22</f>
        <v>0.14039054268582421</v>
      </c>
      <c r="AN22" s="92">
        <f>'Net zero emission summary'!BO22</f>
        <v>0.14042380499461143</v>
      </c>
      <c r="AO22" s="92">
        <f>'Net zero emission summary'!BP22</f>
        <v>0.14046708707361016</v>
      </c>
      <c r="AP22" s="92">
        <f>'Net zero emission summary'!BQ22</f>
        <v>0.14052004766559908</v>
      </c>
    </row>
    <row r="23" spans="1:42" x14ac:dyDescent="0.25">
      <c r="A23" t="str">
        <f>'Emissions summary'!C25</f>
        <v>3A2h Swine</v>
      </c>
      <c r="B23" t="str">
        <f t="shared" si="1"/>
        <v>A3A2h</v>
      </c>
      <c r="C23" t="str">
        <f>'Emissions summary'!D25</f>
        <v>N2O</v>
      </c>
      <c r="D23" s="92">
        <f>'Net zero emission summary'!AE25</f>
        <v>0.13663462071079652</v>
      </c>
      <c r="E23" s="92">
        <f>'Net zero emission summary'!AF25</f>
        <v>0.13620335214857587</v>
      </c>
      <c r="F23" s="92">
        <f>'Net zero emission summary'!AG25</f>
        <v>0.13477715026279893</v>
      </c>
      <c r="G23" s="92">
        <f>'Net zero emission summary'!AH25</f>
        <v>0.1320079948269629</v>
      </c>
      <c r="H23" s="92">
        <f>'Net zero emission summary'!AI25</f>
        <v>0.12935999973035606</v>
      </c>
      <c r="I23" s="92">
        <f>'Net zero emission summary'!AJ25</f>
        <v>0.12750239715399084</v>
      </c>
      <c r="J23" s="92">
        <f>'Net zero emission summary'!AK25</f>
        <v>0.12592916271494078</v>
      </c>
      <c r="K23" s="92">
        <f>'Net zero emission summary'!AL25</f>
        <v>0.12303221749539608</v>
      </c>
      <c r="L23" s="92">
        <f>'Net zero emission summary'!AM25</f>
        <v>0.10770538985941086</v>
      </c>
      <c r="M23" s="92">
        <f>'Net zero emission summary'!AN25</f>
        <v>0.10838981378689727</v>
      </c>
      <c r="N23" s="92">
        <f>'Net zero emission summary'!AO25</f>
        <v>0.10873336655844666</v>
      </c>
      <c r="O23" s="92">
        <f>'Net zero emission summary'!AP25</f>
        <v>0.10906736710084999</v>
      </c>
      <c r="P23" s="92">
        <f>'Net zero emission summary'!AQ25</f>
        <v>0.10988319766317196</v>
      </c>
      <c r="Q23" s="92">
        <f>'Net zero emission summary'!AR25</f>
        <v>0.11067160136943814</v>
      </c>
      <c r="R23" s="92">
        <f>'Net zero emission summary'!AS25</f>
        <v>0.11157610240824042</v>
      </c>
      <c r="S23" s="92">
        <f>'Net zero emission summary'!AT25</f>
        <v>0.11233529391753783</v>
      </c>
      <c r="T23" s="92">
        <f>'Net zero emission summary'!AU25</f>
        <v>0.11324766548930251</v>
      </c>
      <c r="U23" s="92">
        <f>'Net zero emission summary'!AV25</f>
        <v>0.11391181956840238</v>
      </c>
      <c r="V23" s="92">
        <f>'Net zero emission summary'!AW25</f>
        <v>0.11461045150435145</v>
      </c>
      <c r="W23" s="92">
        <f>'Net zero emission summary'!AX25</f>
        <v>0.11589903885376016</v>
      </c>
      <c r="X23" s="92">
        <f>'Net zero emission summary'!AY25</f>
        <v>0.11740431925293365</v>
      </c>
      <c r="Y23" s="92">
        <f>'Net zero emission summary'!AZ25</f>
        <v>0.118962013141894</v>
      </c>
      <c r="Z23" s="92">
        <f>'Net zero emission summary'!BA25</f>
        <v>0.11721130414982178</v>
      </c>
      <c r="AA23" s="92">
        <f>'Net zero emission summary'!BB25</f>
        <v>-3.9547968235350298E-2</v>
      </c>
      <c r="AB23" s="92">
        <f>'Net zero emission summary'!BC25</f>
        <v>-3.9115377340216924E-2</v>
      </c>
      <c r="AC23" s="92">
        <f>'Net zero emission summary'!BD25</f>
        <v>-3.8692051926683776E-2</v>
      </c>
      <c r="AD23" s="92">
        <f>'Net zero emission summary'!BE25</f>
        <v>-3.8277385858590272E-2</v>
      </c>
      <c r="AE23" s="92">
        <f>'Net zero emission summary'!BF25</f>
        <v>-3.7870817381134417E-2</v>
      </c>
      <c r="AF23" s="92">
        <f>'Net zero emission summary'!BG25</f>
        <v>-3.7471824828937864E-2</v>
      </c>
      <c r="AG23" s="92">
        <f>'Net zero emission summary'!BH25</f>
        <v>-3.7034209495393836E-2</v>
      </c>
      <c r="AH23" s="92">
        <f>'Net zero emission summary'!BI25</f>
        <v>-3.6604309938073204E-2</v>
      </c>
      <c r="AI23" s="92">
        <f>'Net zero emission summary'!BJ25</f>
        <v>-3.6181675520355561E-2</v>
      </c>
      <c r="AJ23" s="92">
        <f>'Net zero emission summary'!BK25</f>
        <v>-3.5765885040208292E-2</v>
      </c>
      <c r="AK23" s="92">
        <f>'Net zero emission summary'!BL25</f>
        <v>-3.5356544186963872E-2</v>
      </c>
      <c r="AL23" s="92">
        <f>'Net zero emission summary'!BM25</f>
        <v>-3.4910454296527359E-2</v>
      </c>
      <c r="AM23" s="92">
        <f>'Net zero emission summary'!BN25</f>
        <v>-3.4471177820794771E-2</v>
      </c>
      <c r="AN23" s="92">
        <f>'Net zero emission summary'!BO25</f>
        <v>-3.4038364048368186E-2</v>
      </c>
      <c r="AO23" s="92">
        <f>'Net zero emission summary'!BP25</f>
        <v>-3.3611682989106294E-2</v>
      </c>
      <c r="AP23" s="92">
        <f>'Net zero emission summary'!BQ25</f>
        <v>-3.3190823758547885E-2</v>
      </c>
    </row>
    <row r="24" spans="1:42" x14ac:dyDescent="0.25">
      <c r="A24" t="str">
        <f>'Emissions summary'!C26</f>
        <v>3A2i Poultry</v>
      </c>
      <c r="B24" t="str">
        <f t="shared" si="1"/>
        <v>A3A2i</v>
      </c>
      <c r="C24" t="str">
        <f>'Emissions summary'!D26</f>
        <v>N2O</v>
      </c>
      <c r="D24" s="92">
        <f>'Net zero emission summary'!AE26</f>
        <v>2.1367582089819672</v>
      </c>
      <c r="E24" s="92">
        <f>'Net zero emission summary'!AF26</f>
        <v>2.1732965702872482</v>
      </c>
      <c r="F24" s="92">
        <f>'Net zero emission summary'!AG26</f>
        <v>2.1879292352570783</v>
      </c>
      <c r="G24" s="92">
        <f>'Net zero emission summary'!AH26</f>
        <v>2.1724742610471526</v>
      </c>
      <c r="H24" s="92">
        <f>'Net zero emission summary'!AI26</f>
        <v>2.1571140128598696</v>
      </c>
      <c r="I24" s="92">
        <f>'Net zero emission summary'!AJ26</f>
        <v>2.1566211505446278</v>
      </c>
      <c r="J24" s="92">
        <f>'Net zero emission summary'!AK26</f>
        <v>2.1609232820307986</v>
      </c>
      <c r="K24" s="92">
        <f>'Net zero emission summary'!AL26</f>
        <v>2.1343193352140171</v>
      </c>
      <c r="L24" s="92">
        <f>'Net zero emission summary'!AM26</f>
        <v>1.823214904561715</v>
      </c>
      <c r="M24" s="92">
        <f>'Net zero emission summary'!AN26</f>
        <v>1.8741036426009441</v>
      </c>
      <c r="N24" s="92">
        <f>'Net zero emission summary'!AO26</f>
        <v>1.9173946851328654</v>
      </c>
      <c r="O24" s="92">
        <f>'Net zero emission summary'!AP26</f>
        <v>1.9606551795075804</v>
      </c>
      <c r="P24" s="92">
        <f>'Net zero emission summary'!AQ26</f>
        <v>2.015730126883815</v>
      </c>
      <c r="Q24" s="92">
        <f>'Net zero emission summary'!AR26</f>
        <v>2.070733121338987</v>
      </c>
      <c r="R24" s="92">
        <f>'Net zero emission summary'!AS26</f>
        <v>2.130318048042962</v>
      </c>
      <c r="S24" s="92">
        <f>'Net zero emission summary'!AT26</f>
        <v>2.1870057241099659</v>
      </c>
      <c r="T24" s="92">
        <f>'Net zero emission summary'!AU26</f>
        <v>2.2482650725892106</v>
      </c>
      <c r="U24" s="92">
        <f>'Net zero emission summary'!AV26</f>
        <v>2.3039694212902808</v>
      </c>
      <c r="V24" s="92">
        <f>'Net zero emission summary'!AW26</f>
        <v>2.3612707890678974</v>
      </c>
      <c r="W24" s="92">
        <f>'Net zero emission summary'!AX26</f>
        <v>2.4357760885374691</v>
      </c>
      <c r="X24" s="92">
        <f>'Net zero emission summary'!AY26</f>
        <v>2.517296852792779</v>
      </c>
      <c r="Y24" s="92">
        <f>'Net zero emission summary'!AZ26</f>
        <v>2.6016539095270943</v>
      </c>
      <c r="Z24" s="92">
        <f>'Net zero emission summary'!BA26</f>
        <v>2.5965682851459375</v>
      </c>
      <c r="AA24" s="92">
        <f>'Net zero emission summary'!BB26</f>
        <v>-1.7270108563452835</v>
      </c>
      <c r="AB24" s="92">
        <f>'Net zero emission summary'!BC26</f>
        <v>-1.7287746393734162</v>
      </c>
      <c r="AC24" s="92">
        <f>'Net zero emission summary'!BD26</f>
        <v>-1.7307552347376816</v>
      </c>
      <c r="AD24" s="92">
        <f>'Net zero emission summary'!BE26</f>
        <v>-1.732943280587868</v>
      </c>
      <c r="AE24" s="92">
        <f>'Net zero emission summary'!BF26</f>
        <v>-1.7353301382498436</v>
      </c>
      <c r="AF24" s="92">
        <f>'Net zero emission summary'!BG26</f>
        <v>-1.7379078227225926</v>
      </c>
      <c r="AG24" s="92">
        <f>'Net zero emission summary'!BH26</f>
        <v>-1.7385701494194841</v>
      </c>
      <c r="AH24" s="92">
        <f>'Net zero emission summary'!BI26</f>
        <v>-1.7394070816074751</v>
      </c>
      <c r="AI24" s="92">
        <f>'Net zero emission summary'!BJ26</f>
        <v>-1.7404116243511782</v>
      </c>
      <c r="AJ24" s="92">
        <f>'Net zero emission summary'!BK26</f>
        <v>-1.7415772607961222</v>
      </c>
      <c r="AK24" s="92">
        <f>'Net zero emission summary'!BL26</f>
        <v>-1.742897911071841</v>
      </c>
      <c r="AL24" s="92">
        <f>'Net zero emission summary'!BM26</f>
        <v>-1.7422757734921372</v>
      </c>
      <c r="AM24" s="92">
        <f>'Net zero emission summary'!BN26</f>
        <v>-1.741798370031554</v>
      </c>
      <c r="AN24" s="92">
        <f>'Net zero emission summary'!BO26</f>
        <v>-1.7414602094779341</v>
      </c>
      <c r="AO24" s="92">
        <f>'Net zero emission summary'!BP26</f>
        <v>-1.7412561358953811</v>
      </c>
      <c r="AP24" s="92">
        <f>'Net zero emission summary'!BQ26</f>
        <v>-1.7411813025768113</v>
      </c>
    </row>
    <row r="25" spans="1:42" x14ac:dyDescent="0.25">
      <c r="A25" t="str">
        <f>'Emissions summary'!C28</f>
        <v>3C1a Biomass burning in forest land</v>
      </c>
      <c r="B25" t="str">
        <f t="shared" si="1"/>
        <v>A3C1a</v>
      </c>
      <c r="C25" t="str">
        <f>'Emissions summary'!D28</f>
        <v>CH4</v>
      </c>
      <c r="D25" s="92">
        <f>'Net zero emission summary'!AE28</f>
        <v>11.204575160010251</v>
      </c>
      <c r="E25" s="92">
        <f>'Net zero emission summary'!AF28</f>
        <v>13.05690518017699</v>
      </c>
      <c r="F25" s="92">
        <f>'Net zero emission summary'!AG28</f>
        <v>12.302133920343731</v>
      </c>
      <c r="G25" s="92">
        <f>'Net zero emission summary'!AH28</f>
        <v>11.592685700510469</v>
      </c>
      <c r="H25" s="92">
        <f>'Net zero emission summary'!AI28</f>
        <v>11.954566760677208</v>
      </c>
      <c r="I25" s="92">
        <f>'Net zero emission summary'!AJ28</f>
        <v>12.263228780843946</v>
      </c>
      <c r="J25" s="92">
        <f>'Net zero emission summary'!AK28</f>
        <v>12.268210641010684</v>
      </c>
      <c r="K25" s="92">
        <f>'Net zero emission summary'!AL28</f>
        <v>12.23948849988569</v>
      </c>
      <c r="L25" s="92">
        <f>'Net zero emission summary'!AM28</f>
        <v>12.210766358760694</v>
      </c>
      <c r="M25" s="92">
        <f>'Net zero emission summary'!AN28</f>
        <v>12.182044217635699</v>
      </c>
      <c r="N25" s="92">
        <f>'Net zero emission summary'!AO28</f>
        <v>12.153322076510703</v>
      </c>
      <c r="O25" s="92">
        <f>'Net zero emission summary'!AP28</f>
        <v>12.124599935385708</v>
      </c>
      <c r="P25" s="92">
        <f>'Net zero emission summary'!AQ28</f>
        <v>12.095877794260716</v>
      </c>
      <c r="Q25" s="92">
        <f>'Net zero emission summary'!AR28</f>
        <v>12.067155653135719</v>
      </c>
      <c r="R25" s="92">
        <f>'Net zero emission summary'!AS28</f>
        <v>12.038433512010723</v>
      </c>
      <c r="S25" s="92">
        <f>'Net zero emission summary'!AT28</f>
        <v>12.009711370885729</v>
      </c>
      <c r="T25" s="92">
        <f>'Net zero emission summary'!AU28</f>
        <v>11.980989229760732</v>
      </c>
      <c r="U25" s="92">
        <f>'Net zero emission summary'!AV28</f>
        <v>11.952267088635738</v>
      </c>
      <c r="V25" s="92">
        <f>'Net zero emission summary'!AW28</f>
        <v>11.923544947510743</v>
      </c>
      <c r="W25" s="92">
        <f>'Net zero emission summary'!AX28</f>
        <v>11.881226167028043</v>
      </c>
      <c r="X25" s="92">
        <f>'Net zero emission summary'!AY28</f>
        <v>11.838907386545339</v>
      </c>
      <c r="Y25" s="92">
        <f>'Net zero emission summary'!AZ28</f>
        <v>11.796588606062636</v>
      </c>
      <c r="Z25" s="92">
        <f>'Net zero emission summary'!BA28</f>
        <v>11.754269825579936</v>
      </c>
      <c r="AA25" s="92">
        <f>'Net zero emission summary'!BB28</f>
        <v>11.711951045097234</v>
      </c>
      <c r="AB25" s="92">
        <f>'Net zero emission summary'!BC28</f>
        <v>11.669632264614533</v>
      </c>
      <c r="AC25" s="92">
        <f>'Net zero emission summary'!BD28</f>
        <v>11.627313484131829</v>
      </c>
      <c r="AD25" s="92">
        <f>'Net zero emission summary'!BE28</f>
        <v>11.584994703649127</v>
      </c>
      <c r="AE25" s="92">
        <f>'Net zero emission summary'!BF28</f>
        <v>11.52907928380872</v>
      </c>
      <c r="AF25" s="92">
        <f>'Net zero emission summary'!BG28</f>
        <v>11.473163863968312</v>
      </c>
      <c r="AG25" s="92">
        <f>'Net zero emission summary'!BH28</f>
        <v>11.4172484441279</v>
      </c>
      <c r="AH25" s="92">
        <f>'Net zero emission summary'!BI28</f>
        <v>11.361333024287493</v>
      </c>
      <c r="AI25" s="92">
        <f>'Net zero emission summary'!BJ28</f>
        <v>11.305417604447085</v>
      </c>
      <c r="AJ25" s="92">
        <f>'Net zero emission summary'!BK28</f>
        <v>11.249502184606676</v>
      </c>
      <c r="AK25" s="92">
        <f>'Net zero emission summary'!BL28</f>
        <v>11.193586764766268</v>
      </c>
      <c r="AL25" s="92">
        <f>'Net zero emission summary'!BM28</f>
        <v>11.13767134492586</v>
      </c>
      <c r="AM25" s="92">
        <f>'Net zero emission summary'!BN28</f>
        <v>11.081755925085453</v>
      </c>
      <c r="AN25" s="92">
        <f>'Net zero emission summary'!BO28</f>
        <v>11.025840505245043</v>
      </c>
      <c r="AO25" s="92">
        <f>'Net zero emission summary'!BP28</f>
        <v>10.969925085404636</v>
      </c>
      <c r="AP25" s="92">
        <f>'Net zero emission summary'!BQ28</f>
        <v>10.914009665564226</v>
      </c>
    </row>
    <row r="26" spans="1:42" x14ac:dyDescent="0.25">
      <c r="A26" t="str">
        <f>'Emissions summary'!C29</f>
        <v>3C1b Biomass burning in Croplands</v>
      </c>
      <c r="B26" t="str">
        <f t="shared" si="1"/>
        <v>A3C1b</v>
      </c>
      <c r="C26" t="str">
        <f>'Emissions summary'!D29</f>
        <v>CH4</v>
      </c>
      <c r="D26" s="92">
        <f>'Net zero emission summary'!AE29</f>
        <v>8.929388994926228</v>
      </c>
      <c r="E26" s="92">
        <f>'Net zero emission summary'!AF29</f>
        <v>8.9289309923184508</v>
      </c>
      <c r="F26" s="92">
        <f>'Net zero emission summary'!AG29</f>
        <v>8.9284729897106754</v>
      </c>
      <c r="G26" s="92">
        <f>'Net zero emission summary'!AH29</f>
        <v>8.9280149871028947</v>
      </c>
      <c r="H26" s="92">
        <f>'Net zero emission summary'!AI29</f>
        <v>8.9275569844951157</v>
      </c>
      <c r="I26" s="92">
        <f>'Net zero emission summary'!AJ29</f>
        <v>8.9270989818873403</v>
      </c>
      <c r="J26" s="92">
        <f>'Net zero emission summary'!AK29</f>
        <v>8.9266409792795596</v>
      </c>
      <c r="K26" s="92">
        <f>'Net zero emission summary'!AL29</f>
        <v>8.926182976671786</v>
      </c>
      <c r="L26" s="92">
        <f>'Net zero emission summary'!AM29</f>
        <v>8.925724974064007</v>
      </c>
      <c r="M26" s="92">
        <f>'Net zero emission summary'!AN29</f>
        <v>8.925266971456228</v>
      </c>
      <c r="N26" s="92">
        <f>'Net zero emission summary'!AO29</f>
        <v>8.9248089688484491</v>
      </c>
      <c r="O26" s="92">
        <f>'Net zero emission summary'!AP29</f>
        <v>8.9243509662406719</v>
      </c>
      <c r="P26" s="92">
        <f>'Net zero emission summary'!AQ29</f>
        <v>8.9238929636328947</v>
      </c>
      <c r="Q26" s="92">
        <f>'Net zero emission summary'!AR29</f>
        <v>8.9234349610251176</v>
      </c>
      <c r="R26" s="92">
        <f>'Net zero emission summary'!AS29</f>
        <v>8.9229769584173386</v>
      </c>
      <c r="S26" s="92">
        <f>'Net zero emission summary'!AT29</f>
        <v>8.9225189558095614</v>
      </c>
      <c r="T26" s="92">
        <f>'Net zero emission summary'!AU29</f>
        <v>8.9220609532017825</v>
      </c>
      <c r="U26" s="92">
        <f>'Net zero emission summary'!AV29</f>
        <v>8.9216029505940071</v>
      </c>
      <c r="V26" s="92">
        <f>'Net zero emission summary'!AW29</f>
        <v>8.9211449479862281</v>
      </c>
      <c r="W26" s="92">
        <f>'Net zero emission summary'!AX29</f>
        <v>8.9206869453784492</v>
      </c>
      <c r="X26" s="92">
        <f>'Net zero emission summary'!AY29</f>
        <v>8.920228942770672</v>
      </c>
      <c r="Y26" s="92">
        <f>'Net zero emission summary'!AZ29</f>
        <v>8.9197709401628948</v>
      </c>
      <c r="Z26" s="92">
        <f>'Net zero emission summary'!BA29</f>
        <v>8.9193129375551177</v>
      </c>
      <c r="AA26" s="92">
        <f>'Net zero emission summary'!BB29</f>
        <v>8.9188549349473387</v>
      </c>
      <c r="AB26" s="92">
        <f>'Net zero emission summary'!BC29</f>
        <v>8.9183969323395598</v>
      </c>
      <c r="AC26" s="92">
        <f>'Net zero emission summary'!BD29</f>
        <v>8.9179389297317826</v>
      </c>
      <c r="AD26" s="92">
        <f>'Net zero emission summary'!BE29</f>
        <v>8.9174809271240072</v>
      </c>
      <c r="AE26" s="92">
        <f>'Net zero emission summary'!BF29</f>
        <v>8.9170229245162282</v>
      </c>
      <c r="AF26" s="92">
        <f>'Net zero emission summary'!BG29</f>
        <v>8.9165649219084475</v>
      </c>
      <c r="AG26" s="92">
        <f>'Net zero emission summary'!BH29</f>
        <v>8.9161069193006721</v>
      </c>
      <c r="AH26" s="92">
        <f>'Net zero emission summary'!BI29</f>
        <v>8.9156489166928932</v>
      </c>
      <c r="AI26" s="92">
        <f>'Net zero emission summary'!BJ29</f>
        <v>8.915190914085116</v>
      </c>
      <c r="AJ26" s="92">
        <f>'Net zero emission summary'!BK29</f>
        <v>8.9147329114773388</v>
      </c>
      <c r="AK26" s="92">
        <f>'Net zero emission summary'!BL29</f>
        <v>8.9142749088695599</v>
      </c>
      <c r="AL26" s="92">
        <f>'Net zero emission summary'!BM29</f>
        <v>8.9138169062617827</v>
      </c>
      <c r="AM26" s="92">
        <f>'Net zero emission summary'!BN29</f>
        <v>8.9133589036540037</v>
      </c>
      <c r="AN26" s="92">
        <f>'Net zero emission summary'!BO29</f>
        <v>8.9129009010462266</v>
      </c>
      <c r="AO26" s="92">
        <f>'Net zero emission summary'!BP29</f>
        <v>8.9124428984384494</v>
      </c>
      <c r="AP26" s="92">
        <f>'Net zero emission summary'!BQ29</f>
        <v>8.9119848958306704</v>
      </c>
    </row>
    <row r="27" spans="1:42" x14ac:dyDescent="0.25">
      <c r="A27" t="str">
        <f>'Emissions summary'!C30</f>
        <v>3C1c Biomass burning in Grasslands</v>
      </c>
      <c r="B27" t="str">
        <f t="shared" si="1"/>
        <v>A3C1c</v>
      </c>
      <c r="C27" t="str">
        <f>'Emissions summary'!D30</f>
        <v>CH4</v>
      </c>
      <c r="D27" s="92">
        <f>'Net zero emission summary'!AE30</f>
        <v>22.211168240472922</v>
      </c>
      <c r="E27" s="92">
        <f>'Net zero emission summary'!AF30</f>
        <v>22.3255420719256</v>
      </c>
      <c r="F27" s="92">
        <f>'Net zero emission summary'!AG30</f>
        <v>22.439915903378274</v>
      </c>
      <c r="G27" s="92">
        <f>'Net zero emission summary'!AH30</f>
        <v>22.554289734830945</v>
      </c>
      <c r="H27" s="92">
        <f>'Net zero emission summary'!AI30</f>
        <v>22.668663566283627</v>
      </c>
      <c r="I27" s="92">
        <f>'Net zero emission summary'!AJ30</f>
        <v>22.783037397736297</v>
      </c>
      <c r="J27" s="92">
        <f>'Net zero emission summary'!AK30</f>
        <v>22.897411229188972</v>
      </c>
      <c r="K27" s="92">
        <f>'Net zero emission summary'!AL30</f>
        <v>23.095209192169019</v>
      </c>
      <c r="L27" s="92">
        <f>'Net zero emission summary'!AM30</f>
        <v>23.293007155149056</v>
      </c>
      <c r="M27" s="92">
        <f>'Net zero emission summary'!AN30</f>
        <v>23.490805118129099</v>
      </c>
      <c r="N27" s="92">
        <f>'Net zero emission summary'!AO30</f>
        <v>23.688603081109136</v>
      </c>
      <c r="O27" s="92">
        <f>'Net zero emission summary'!AP30</f>
        <v>23.886401044089183</v>
      </c>
      <c r="P27" s="92">
        <f>'Net zero emission summary'!AQ30</f>
        <v>24.08419900706922</v>
      </c>
      <c r="Q27" s="92">
        <f>'Net zero emission summary'!AR30</f>
        <v>24.281996970049263</v>
      </c>
      <c r="R27" s="92">
        <f>'Net zero emission summary'!AS30</f>
        <v>24.479794933029304</v>
      </c>
      <c r="S27" s="92">
        <f>'Net zero emission summary'!AT30</f>
        <v>24.677592896009344</v>
      </c>
      <c r="T27" s="92">
        <f>'Net zero emission summary'!AU30</f>
        <v>24.875390858989384</v>
      </c>
      <c r="U27" s="92">
        <f>'Net zero emission summary'!AV30</f>
        <v>25.073188821969428</v>
      </c>
      <c r="V27" s="92">
        <f>'Net zero emission summary'!AW30</f>
        <v>25.270986784949468</v>
      </c>
      <c r="W27" s="92">
        <f>'Net zero emission summary'!AX30</f>
        <v>25.472302246869535</v>
      </c>
      <c r="X27" s="92">
        <f>'Net zero emission summary'!AY30</f>
        <v>25.6736177087896</v>
      </c>
      <c r="Y27" s="92">
        <f>'Net zero emission summary'!AZ30</f>
        <v>25.874933170709671</v>
      </c>
      <c r="Z27" s="92">
        <f>'Net zero emission summary'!BA30</f>
        <v>26.076248632629738</v>
      </c>
      <c r="AA27" s="92">
        <f>'Net zero emission summary'!BB30</f>
        <v>26.277564094549799</v>
      </c>
      <c r="AB27" s="92">
        <f>'Net zero emission summary'!BC30</f>
        <v>26.47887955646987</v>
      </c>
      <c r="AC27" s="92">
        <f>'Net zero emission summary'!BD30</f>
        <v>26.680195018389934</v>
      </c>
      <c r="AD27" s="92">
        <f>'Net zero emission summary'!BE30</f>
        <v>26.881510480309998</v>
      </c>
      <c r="AE27" s="92">
        <f>'Net zero emission summary'!BF30</f>
        <v>27.082825942230066</v>
      </c>
      <c r="AF27" s="92">
        <f>'Net zero emission summary'!BG30</f>
        <v>27.28414140415013</v>
      </c>
      <c r="AG27" s="92">
        <f>'Net zero emission summary'!BH30</f>
        <v>27.485456866070198</v>
      </c>
      <c r="AH27" s="92">
        <f>'Net zero emission summary'!BI30</f>
        <v>27.686772327990262</v>
      </c>
      <c r="AI27" s="92">
        <f>'Net zero emission summary'!BJ30</f>
        <v>27.88808778991033</v>
      </c>
      <c r="AJ27" s="92">
        <f>'Net zero emission summary'!BK30</f>
        <v>28.089403251830397</v>
      </c>
      <c r="AK27" s="92">
        <f>'Net zero emission summary'!BL30</f>
        <v>28.290718713750465</v>
      </c>
      <c r="AL27" s="92">
        <f>'Net zero emission summary'!BM30</f>
        <v>28.492034175670533</v>
      </c>
      <c r="AM27" s="92">
        <f>'Net zero emission summary'!BN30</f>
        <v>28.6933496375906</v>
      </c>
      <c r="AN27" s="92">
        <f>'Net zero emission summary'!BO30</f>
        <v>28.894665099510664</v>
      </c>
      <c r="AO27" s="92">
        <f>'Net zero emission summary'!BP30</f>
        <v>29.095980561430732</v>
      </c>
      <c r="AP27" s="92">
        <f>'Net zero emission summary'!BQ30</f>
        <v>29.2972960233508</v>
      </c>
    </row>
    <row r="28" spans="1:42" x14ac:dyDescent="0.25">
      <c r="A28" t="str">
        <f>'Emissions summary'!C31</f>
        <v>3C1d Biomass burning in Wetlands</v>
      </c>
      <c r="B28" t="str">
        <f t="shared" si="1"/>
        <v>A3C1d</v>
      </c>
      <c r="C28" t="str">
        <f>'Emissions summary'!D31</f>
        <v>CH4</v>
      </c>
      <c r="D28" s="92">
        <f>'Net zero emission summary'!AE31</f>
        <v>0.86319492850198365</v>
      </c>
      <c r="E28" s="92">
        <f>'Net zero emission summary'!AF31</f>
        <v>0.86319492850198365</v>
      </c>
      <c r="F28" s="92">
        <f>'Net zero emission summary'!AG31</f>
        <v>0.86319492850198365</v>
      </c>
      <c r="G28" s="92">
        <f>'Net zero emission summary'!AH31</f>
        <v>0.86319492850198365</v>
      </c>
      <c r="H28" s="92">
        <f>'Net zero emission summary'!AI31</f>
        <v>0.86319492850198365</v>
      </c>
      <c r="I28" s="92">
        <f>'Net zero emission summary'!AJ31</f>
        <v>0.86319492850198365</v>
      </c>
      <c r="J28" s="92">
        <f>'Net zero emission summary'!AK31</f>
        <v>0.86319492850198365</v>
      </c>
      <c r="K28" s="92">
        <f>'Net zero emission summary'!AL31</f>
        <v>0.86319492850198365</v>
      </c>
      <c r="L28" s="92">
        <f>'Net zero emission summary'!AM31</f>
        <v>0.86319492850198365</v>
      </c>
      <c r="M28" s="92">
        <f>'Net zero emission summary'!AN31</f>
        <v>0.86319492850198365</v>
      </c>
      <c r="N28" s="92">
        <f>'Net zero emission summary'!AO31</f>
        <v>0.86319492850198365</v>
      </c>
      <c r="O28" s="92">
        <f>'Net zero emission summary'!AP31</f>
        <v>0.86319492850198365</v>
      </c>
      <c r="P28" s="92">
        <f>'Net zero emission summary'!AQ31</f>
        <v>0.86319492850198365</v>
      </c>
      <c r="Q28" s="92">
        <f>'Net zero emission summary'!AR31</f>
        <v>0.86319492850198365</v>
      </c>
      <c r="R28" s="92">
        <f>'Net zero emission summary'!AS31</f>
        <v>0.86319492850198365</v>
      </c>
      <c r="S28" s="92">
        <f>'Net zero emission summary'!AT31</f>
        <v>0.86319492850198365</v>
      </c>
      <c r="T28" s="92">
        <f>'Net zero emission summary'!AU31</f>
        <v>0.86319492850198365</v>
      </c>
      <c r="U28" s="92">
        <f>'Net zero emission summary'!AV31</f>
        <v>0.86319492850198365</v>
      </c>
      <c r="V28" s="92">
        <f>'Net zero emission summary'!AW31</f>
        <v>0.86319492850198365</v>
      </c>
      <c r="W28" s="92">
        <f>'Net zero emission summary'!AX31</f>
        <v>0.86319492850198365</v>
      </c>
      <c r="X28" s="92">
        <f>'Net zero emission summary'!AY31</f>
        <v>0.86319492850198365</v>
      </c>
      <c r="Y28" s="92">
        <f>'Net zero emission summary'!AZ31</f>
        <v>0.86319492850198365</v>
      </c>
      <c r="Z28" s="92">
        <f>'Net zero emission summary'!BA31</f>
        <v>0.86319492850198365</v>
      </c>
      <c r="AA28" s="92">
        <f>'Net zero emission summary'!BB31</f>
        <v>0.86319492850198365</v>
      </c>
      <c r="AB28" s="92">
        <f>'Net zero emission summary'!BC31</f>
        <v>0.86319492850198365</v>
      </c>
      <c r="AC28" s="92">
        <f>'Net zero emission summary'!BD31</f>
        <v>0.86319492850198365</v>
      </c>
      <c r="AD28" s="92">
        <f>'Net zero emission summary'!BE31</f>
        <v>0.86319492850198365</v>
      </c>
      <c r="AE28" s="92">
        <f>'Net zero emission summary'!BF31</f>
        <v>0.86319492850198365</v>
      </c>
      <c r="AF28" s="92">
        <f>'Net zero emission summary'!BG31</f>
        <v>0.86319492850198365</v>
      </c>
      <c r="AG28" s="92">
        <f>'Net zero emission summary'!BH31</f>
        <v>0.86319492850198365</v>
      </c>
      <c r="AH28" s="92">
        <f>'Net zero emission summary'!BI31</f>
        <v>0.86319492850198365</v>
      </c>
      <c r="AI28" s="92">
        <f>'Net zero emission summary'!BJ31</f>
        <v>0.86319492850198365</v>
      </c>
      <c r="AJ28" s="92">
        <f>'Net zero emission summary'!BK31</f>
        <v>0.86319492850198365</v>
      </c>
      <c r="AK28" s="92">
        <f>'Net zero emission summary'!BL31</f>
        <v>0.86319492850198365</v>
      </c>
      <c r="AL28" s="92">
        <f>'Net zero emission summary'!BM31</f>
        <v>0.86319492850198365</v>
      </c>
      <c r="AM28" s="92">
        <f>'Net zero emission summary'!BN31</f>
        <v>0.86319492850198365</v>
      </c>
      <c r="AN28" s="92">
        <f>'Net zero emission summary'!BO31</f>
        <v>0.86319492850198365</v>
      </c>
      <c r="AO28" s="92">
        <f>'Net zero emission summary'!BP31</f>
        <v>0.86319492850198365</v>
      </c>
      <c r="AP28" s="92">
        <f>'Net zero emission summary'!BQ31</f>
        <v>0.86319492850198365</v>
      </c>
    </row>
    <row r="29" spans="1:42" x14ac:dyDescent="0.25">
      <c r="A29" t="str">
        <f>'Emissions summary'!C32</f>
        <v>3C1e Biomass burning in Settlements</v>
      </c>
      <c r="B29" t="str">
        <f t="shared" si="1"/>
        <v>A3C1e</v>
      </c>
      <c r="C29" t="str">
        <f>'Emissions summary'!D32</f>
        <v>CH4</v>
      </c>
      <c r="D29" s="92">
        <f>'Net zero emission summary'!AE32</f>
        <v>0.42972240374246135</v>
      </c>
      <c r="E29" s="92">
        <f>'Net zero emission summary'!AF32</f>
        <v>0.43063058922924524</v>
      </c>
      <c r="F29" s="92">
        <f>'Net zero emission summary'!AG32</f>
        <v>0.43153877471602919</v>
      </c>
      <c r="G29" s="92">
        <f>'Net zero emission summary'!AH32</f>
        <v>0.43244696020281326</v>
      </c>
      <c r="H29" s="92">
        <f>'Net zero emission summary'!AI32</f>
        <v>0.43335514568959721</v>
      </c>
      <c r="I29" s="92">
        <f>'Net zero emission summary'!AJ32</f>
        <v>0.43426333117638116</v>
      </c>
      <c r="J29" s="92">
        <f>'Net zero emission summary'!AK32</f>
        <v>0.43517151666316517</v>
      </c>
      <c r="K29" s="92">
        <f>'Net zero emission summary'!AL32</f>
        <v>0.43607970214994918</v>
      </c>
      <c r="L29" s="92">
        <f>'Net zero emission summary'!AM32</f>
        <v>0.43698788763673319</v>
      </c>
      <c r="M29" s="92">
        <f>'Net zero emission summary'!AN32</f>
        <v>0.43789607312351719</v>
      </c>
      <c r="N29" s="92">
        <f>'Net zero emission summary'!AO32</f>
        <v>0.4388042586103012</v>
      </c>
      <c r="O29" s="92">
        <f>'Net zero emission summary'!AP32</f>
        <v>0.43971244409708521</v>
      </c>
      <c r="P29" s="92">
        <f>'Net zero emission summary'!AQ32</f>
        <v>0.44062062958386911</v>
      </c>
      <c r="Q29" s="92">
        <f>'Net zero emission summary'!AR32</f>
        <v>0.44152881507065311</v>
      </c>
      <c r="R29" s="92">
        <f>'Net zero emission summary'!AS32</f>
        <v>0.44243700055743712</v>
      </c>
      <c r="S29" s="92">
        <f>'Net zero emission summary'!AT32</f>
        <v>0.44334518604422107</v>
      </c>
      <c r="T29" s="92">
        <f>'Net zero emission summary'!AU32</f>
        <v>0.44425337153100508</v>
      </c>
      <c r="U29" s="92">
        <f>'Net zero emission summary'!AV32</f>
        <v>0.44516155701778909</v>
      </c>
      <c r="V29" s="92">
        <f>'Net zero emission summary'!AW32</f>
        <v>0.44606974250457304</v>
      </c>
      <c r="W29" s="92">
        <f>'Net zero emission summary'!AX32</f>
        <v>0.44697792799135705</v>
      </c>
      <c r="X29" s="92">
        <f>'Net zero emission summary'!AY32</f>
        <v>0.44788611347814106</v>
      </c>
      <c r="Y29" s="92">
        <f>'Net zero emission summary'!AZ32</f>
        <v>0.44879429896492501</v>
      </c>
      <c r="Z29" s="92">
        <f>'Net zero emission summary'!BA32</f>
        <v>0.44970248445170896</v>
      </c>
      <c r="AA29" s="92">
        <f>'Net zero emission summary'!BB32</f>
        <v>0.45061066993849297</v>
      </c>
      <c r="AB29" s="92">
        <f>'Net zero emission summary'!BC32</f>
        <v>0.45151885542527692</v>
      </c>
      <c r="AC29" s="92">
        <f>'Net zero emission summary'!BD32</f>
        <v>0.45242704091206093</v>
      </c>
      <c r="AD29" s="92">
        <f>'Net zero emission summary'!BE32</f>
        <v>0.45333522639884494</v>
      </c>
      <c r="AE29" s="92">
        <f>'Net zero emission summary'!BF32</f>
        <v>0.454243411885629</v>
      </c>
      <c r="AF29" s="92">
        <f>'Net zero emission summary'!BG32</f>
        <v>0.45515159737241295</v>
      </c>
      <c r="AG29" s="92">
        <f>'Net zero emission summary'!BH32</f>
        <v>0.4560597828591969</v>
      </c>
      <c r="AH29" s="92">
        <f>'Net zero emission summary'!BI32</f>
        <v>0.45696796834598097</v>
      </c>
      <c r="AI29" s="92">
        <f>'Net zero emission summary'!BJ32</f>
        <v>0.45787615383276492</v>
      </c>
      <c r="AJ29" s="92">
        <f>'Net zero emission summary'!BK32</f>
        <v>0.45878433931954882</v>
      </c>
      <c r="AK29" s="92">
        <f>'Net zero emission summary'!BL32</f>
        <v>0.45969252480633288</v>
      </c>
      <c r="AL29" s="92">
        <f>'Net zero emission summary'!BM32</f>
        <v>0.46060071029311683</v>
      </c>
      <c r="AM29" s="92">
        <f>'Net zero emission summary'!BN32</f>
        <v>0.46150889577990084</v>
      </c>
      <c r="AN29" s="92">
        <f>'Net zero emission summary'!BO32</f>
        <v>0.46241708126668479</v>
      </c>
      <c r="AO29" s="92">
        <f>'Net zero emission summary'!BP32</f>
        <v>0.4633252667534688</v>
      </c>
      <c r="AP29" s="92">
        <f>'Net zero emission summary'!BQ32</f>
        <v>0.46423345224025281</v>
      </c>
    </row>
    <row r="30" spans="1:42" x14ac:dyDescent="0.25">
      <c r="A30" t="str">
        <f>'Emissions summary'!C33</f>
        <v>3C1f Biomass burning in Other lands</v>
      </c>
      <c r="B30" t="str">
        <f t="shared" si="1"/>
        <v>A3C1f</v>
      </c>
      <c r="C30" t="str">
        <f>'Emissions summary'!D33</f>
        <v>CH4</v>
      </c>
      <c r="D30" s="92">
        <f>'Net zero emission summary'!AE33</f>
        <v>0</v>
      </c>
      <c r="E30" s="92">
        <f>'Net zero emission summary'!AF33</f>
        <v>0</v>
      </c>
      <c r="F30" s="92">
        <f>'Net zero emission summary'!AG33</f>
        <v>0</v>
      </c>
      <c r="G30" s="92">
        <f>'Net zero emission summary'!AH33</f>
        <v>0</v>
      </c>
      <c r="H30" s="92">
        <f>'Net zero emission summary'!AI33</f>
        <v>0</v>
      </c>
      <c r="I30" s="92">
        <f>'Net zero emission summary'!AJ33</f>
        <v>0</v>
      </c>
      <c r="J30" s="92">
        <f>'Net zero emission summary'!AK33</f>
        <v>0</v>
      </c>
      <c r="K30" s="92">
        <f>'Net zero emission summary'!AL33</f>
        <v>0</v>
      </c>
      <c r="L30" s="92">
        <f>'Net zero emission summary'!AM33</f>
        <v>0</v>
      </c>
      <c r="M30" s="92">
        <f>'Net zero emission summary'!AN33</f>
        <v>0</v>
      </c>
      <c r="N30" s="92">
        <f>'Net zero emission summary'!AO33</f>
        <v>0</v>
      </c>
      <c r="O30" s="92">
        <f>'Net zero emission summary'!AP33</f>
        <v>0</v>
      </c>
      <c r="P30" s="92">
        <f>'Net zero emission summary'!AQ33</f>
        <v>0</v>
      </c>
      <c r="Q30" s="92">
        <f>'Net zero emission summary'!AR33</f>
        <v>0</v>
      </c>
      <c r="R30" s="92">
        <f>'Net zero emission summary'!AS33</f>
        <v>0</v>
      </c>
      <c r="S30" s="92">
        <f>'Net zero emission summary'!AT33</f>
        <v>0</v>
      </c>
      <c r="T30" s="92">
        <f>'Net zero emission summary'!AU33</f>
        <v>0</v>
      </c>
      <c r="U30" s="92">
        <f>'Net zero emission summary'!AV33</f>
        <v>0</v>
      </c>
      <c r="V30" s="92">
        <f>'Net zero emission summary'!AW33</f>
        <v>0</v>
      </c>
      <c r="W30" s="92">
        <f>'Net zero emission summary'!AX33</f>
        <v>0</v>
      </c>
      <c r="X30" s="92">
        <f>'Net zero emission summary'!AY33</f>
        <v>0</v>
      </c>
      <c r="Y30" s="92">
        <f>'Net zero emission summary'!AZ33</f>
        <v>0</v>
      </c>
      <c r="Z30" s="92">
        <f>'Net zero emission summary'!BA33</f>
        <v>0</v>
      </c>
      <c r="AA30" s="92">
        <f>'Net zero emission summary'!BB33</f>
        <v>0</v>
      </c>
      <c r="AB30" s="92">
        <f>'Net zero emission summary'!BC33</f>
        <v>0</v>
      </c>
      <c r="AC30" s="92">
        <f>'Net zero emission summary'!BD33</f>
        <v>0</v>
      </c>
      <c r="AD30" s="92">
        <f>'Net zero emission summary'!BE33</f>
        <v>0</v>
      </c>
      <c r="AE30" s="92">
        <f>'Net zero emission summary'!BF33</f>
        <v>0</v>
      </c>
      <c r="AF30" s="92">
        <f>'Net zero emission summary'!BG33</f>
        <v>0</v>
      </c>
      <c r="AG30" s="92">
        <f>'Net zero emission summary'!BH33</f>
        <v>0</v>
      </c>
      <c r="AH30" s="92">
        <f>'Net zero emission summary'!BI33</f>
        <v>0</v>
      </c>
      <c r="AI30" s="92">
        <f>'Net zero emission summary'!BJ33</f>
        <v>0</v>
      </c>
      <c r="AJ30" s="92">
        <f>'Net zero emission summary'!BK33</f>
        <v>0</v>
      </c>
      <c r="AK30" s="92">
        <f>'Net zero emission summary'!BL33</f>
        <v>0</v>
      </c>
      <c r="AL30" s="92">
        <f>'Net zero emission summary'!BM33</f>
        <v>0</v>
      </c>
      <c r="AM30" s="92">
        <f>'Net zero emission summary'!BN33</f>
        <v>0</v>
      </c>
      <c r="AN30" s="92">
        <f>'Net zero emission summary'!BO33</f>
        <v>0</v>
      </c>
      <c r="AO30" s="92">
        <f>'Net zero emission summary'!BP33</f>
        <v>0</v>
      </c>
      <c r="AP30" s="92">
        <f>'Net zero emission summary'!BQ33</f>
        <v>0</v>
      </c>
    </row>
    <row r="31" spans="1:42" x14ac:dyDescent="0.25">
      <c r="A31" t="str">
        <f>'Emissions summary'!C35</f>
        <v>3C1a Biomass burning in forest land</v>
      </c>
      <c r="B31" t="str">
        <f t="shared" si="1"/>
        <v>A3C1a</v>
      </c>
      <c r="C31" t="str">
        <f>'Emissions summary'!D35</f>
        <v>N2O</v>
      </c>
      <c r="D31" s="92">
        <f>'Net zero emission summary'!AE35</f>
        <v>0.81337835040550022</v>
      </c>
      <c r="E31" s="92">
        <f>'Net zero emission summary'!AF35</f>
        <v>0.91618667449117541</v>
      </c>
      <c r="F31" s="92">
        <f>'Net zero emission summary'!AG35</f>
        <v>0.87477237457685053</v>
      </c>
      <c r="G31" s="92">
        <f>'Net zero emission summary'!AH35</f>
        <v>0.83586530666252568</v>
      </c>
      <c r="H31" s="92">
        <f>'Net zero emission summary'!AI35</f>
        <v>0.85622326274820093</v>
      </c>
      <c r="I31" s="92">
        <f>'Net zero emission summary'!AJ35</f>
        <v>0.87363718683387614</v>
      </c>
      <c r="J31" s="92">
        <f>'Net zero emission summary'!AK35</f>
        <v>0.87425178291955141</v>
      </c>
      <c r="K31" s="92">
        <f>'Net zero emission summary'!AL35</f>
        <v>0.87129977937663372</v>
      </c>
      <c r="L31" s="92">
        <f>'Net zero emission summary'!AM35</f>
        <v>0.86834777583371592</v>
      </c>
      <c r="M31" s="92">
        <f>'Net zero emission summary'!AN35</f>
        <v>0.86539577229079812</v>
      </c>
      <c r="N31" s="92">
        <f>'Net zero emission summary'!AO35</f>
        <v>0.86244376874788042</v>
      </c>
      <c r="O31" s="92">
        <f>'Net zero emission summary'!AP35</f>
        <v>0.85949176520496295</v>
      </c>
      <c r="P31" s="92">
        <f>'Net zero emission summary'!AQ35</f>
        <v>0.85653976166204526</v>
      </c>
      <c r="Q31" s="92">
        <f>'Net zero emission summary'!AR35</f>
        <v>0.85358775811912746</v>
      </c>
      <c r="R31" s="92">
        <f>'Net zero emission summary'!AS35</f>
        <v>0.85063575457620977</v>
      </c>
      <c r="S31" s="92">
        <f>'Net zero emission summary'!AT35</f>
        <v>0.84768375103329197</v>
      </c>
      <c r="T31" s="92">
        <f>'Net zero emission summary'!AU35</f>
        <v>0.84473174749037416</v>
      </c>
      <c r="U31" s="92">
        <f>'Net zero emission summary'!AV35</f>
        <v>0.84177974394745669</v>
      </c>
      <c r="V31" s="92">
        <f>'Net zero emission summary'!AW35</f>
        <v>0.838827740404539</v>
      </c>
      <c r="W31" s="92">
        <f>'Net zero emission summary'!AX35</f>
        <v>0.83512358234396089</v>
      </c>
      <c r="X31" s="92">
        <f>'Net zero emission summary'!AY35</f>
        <v>0.83141942428338278</v>
      </c>
      <c r="Y31" s="92">
        <f>'Net zero emission summary'!AZ35</f>
        <v>0.82771526622280467</v>
      </c>
      <c r="Z31" s="92">
        <f>'Net zero emission summary'!BA35</f>
        <v>0.82401110816222667</v>
      </c>
      <c r="AA31" s="92">
        <f>'Net zero emission summary'!BB35</f>
        <v>0.82030695010164856</v>
      </c>
      <c r="AB31" s="92">
        <f>'Net zero emission summary'!BC35</f>
        <v>0.81660279204107056</v>
      </c>
      <c r="AC31" s="92">
        <f>'Net zero emission summary'!BD35</f>
        <v>0.81289863398049245</v>
      </c>
      <c r="AD31" s="92">
        <f>'Net zero emission summary'!BE35</f>
        <v>0.80919447591991434</v>
      </c>
      <c r="AE31" s="92">
        <f>'Net zero emission summary'!BF35</f>
        <v>0.80473816334167581</v>
      </c>
      <c r="AF31" s="92">
        <f>'Net zero emission summary'!BG35</f>
        <v>0.80028185076343727</v>
      </c>
      <c r="AG31" s="92">
        <f>'Net zero emission summary'!BH35</f>
        <v>0.79582553818519886</v>
      </c>
      <c r="AH31" s="92">
        <f>'Net zero emission summary'!BI35</f>
        <v>0.79136922560696055</v>
      </c>
      <c r="AI31" s="92">
        <f>'Net zero emission summary'!BJ35</f>
        <v>0.78691291302872202</v>
      </c>
      <c r="AJ31" s="92">
        <f>'Net zero emission summary'!BK35</f>
        <v>0.7824566004504836</v>
      </c>
      <c r="AK31" s="92">
        <f>'Net zero emission summary'!BL35</f>
        <v>0.77800028787224518</v>
      </c>
      <c r="AL31" s="92">
        <f>'Net zero emission summary'!BM35</f>
        <v>0.77354397529400676</v>
      </c>
      <c r="AM31" s="92">
        <f>'Net zero emission summary'!BN35</f>
        <v>0.76908766271576834</v>
      </c>
      <c r="AN31" s="92">
        <f>'Net zero emission summary'!BO35</f>
        <v>0.76463135013752992</v>
      </c>
      <c r="AO31" s="92">
        <f>'Net zero emission summary'!BP35</f>
        <v>0.76017503755929161</v>
      </c>
      <c r="AP31" s="92">
        <f>'Net zero emission summary'!BQ35</f>
        <v>0.75571872498105297</v>
      </c>
    </row>
    <row r="32" spans="1:42" x14ac:dyDescent="0.25">
      <c r="A32" t="str">
        <f>'Emissions summary'!C36</f>
        <v>3C1b Biomass burning in Croplands</v>
      </c>
      <c r="B32" t="str">
        <f t="shared" si="1"/>
        <v>A3C1b</v>
      </c>
      <c r="C32" t="str">
        <f>'Emissions summary'!D36</f>
        <v>N2O</v>
      </c>
      <c r="D32" s="92">
        <f>'Net zero emission summary'!AE36</f>
        <v>0.23150267764623561</v>
      </c>
      <c r="E32" s="92">
        <f>'Net zero emission summary'!AF36</f>
        <v>0.23149080350455245</v>
      </c>
      <c r="F32" s="92">
        <f>'Net zero emission summary'!AG36</f>
        <v>0.23147892936286932</v>
      </c>
      <c r="G32" s="92">
        <f>'Net zero emission summary'!AH36</f>
        <v>0.23146705522118621</v>
      </c>
      <c r="H32" s="92">
        <f>'Net zero emission summary'!AI36</f>
        <v>0.23145518107950305</v>
      </c>
      <c r="I32" s="92">
        <f>'Net zero emission summary'!AJ36</f>
        <v>0.23144330693781995</v>
      </c>
      <c r="J32" s="92">
        <f>'Net zero emission summary'!AK36</f>
        <v>0.23143143279613676</v>
      </c>
      <c r="K32" s="92">
        <f>'Net zero emission summary'!AL36</f>
        <v>0.23141955865445368</v>
      </c>
      <c r="L32" s="92">
        <f>'Net zero emission summary'!AM36</f>
        <v>0.23140768451277055</v>
      </c>
      <c r="M32" s="92">
        <f>'Net zero emission summary'!AN36</f>
        <v>0.23139581037108745</v>
      </c>
      <c r="N32" s="92">
        <f>'Net zero emission summary'!AO36</f>
        <v>0.23138393622940429</v>
      </c>
      <c r="O32" s="92">
        <f>'Net zero emission summary'!AP36</f>
        <v>0.23137206208772113</v>
      </c>
      <c r="P32" s="92">
        <f>'Net zero emission summary'!AQ36</f>
        <v>0.23136018794603802</v>
      </c>
      <c r="Q32" s="92">
        <f>'Net zero emission summary'!AR36</f>
        <v>0.23134831380435489</v>
      </c>
      <c r="R32" s="92">
        <f>'Net zero emission summary'!AS36</f>
        <v>0.23133643966267178</v>
      </c>
      <c r="S32" s="92">
        <f>'Net zero emission summary'!AT36</f>
        <v>0.23132456552098865</v>
      </c>
      <c r="T32" s="92">
        <f>'Net zero emission summary'!AU36</f>
        <v>0.23131269137930549</v>
      </c>
      <c r="U32" s="92">
        <f>'Net zero emission summary'!AV36</f>
        <v>0.23130081723762241</v>
      </c>
      <c r="V32" s="92">
        <f>'Net zero emission summary'!AW36</f>
        <v>0.23128894309593925</v>
      </c>
      <c r="W32" s="92">
        <f>'Net zero emission summary'!AX36</f>
        <v>0.23127706895425609</v>
      </c>
      <c r="X32" s="92">
        <f>'Net zero emission summary'!AY36</f>
        <v>0.23126519481257302</v>
      </c>
      <c r="Y32" s="92">
        <f>'Net zero emission summary'!AZ36</f>
        <v>0.23125332067088986</v>
      </c>
      <c r="Z32" s="92">
        <f>'Net zero emission summary'!BA36</f>
        <v>0.23124144652920675</v>
      </c>
      <c r="AA32" s="92">
        <f>'Net zero emission summary'!BB36</f>
        <v>0.23122957238752362</v>
      </c>
      <c r="AB32" s="92">
        <f>'Net zero emission summary'!BC36</f>
        <v>0.23121769824584049</v>
      </c>
      <c r="AC32" s="92">
        <f>'Net zero emission summary'!BD36</f>
        <v>0.2312058241041573</v>
      </c>
      <c r="AD32" s="92">
        <f>'Net zero emission summary'!BE36</f>
        <v>0.23119394996247425</v>
      </c>
      <c r="AE32" s="92">
        <f>'Net zero emission summary'!BF36</f>
        <v>0.23118207582079112</v>
      </c>
      <c r="AF32" s="92">
        <f>'Net zero emission summary'!BG36</f>
        <v>0.23117020167910793</v>
      </c>
      <c r="AG32" s="92">
        <f>'Net zero emission summary'!BH36</f>
        <v>0.23115832753742488</v>
      </c>
      <c r="AH32" s="92">
        <f>'Net zero emission summary'!BI36</f>
        <v>0.23114645339574169</v>
      </c>
      <c r="AI32" s="92">
        <f>'Net zero emission summary'!BJ36</f>
        <v>0.23113457925405859</v>
      </c>
      <c r="AJ32" s="92">
        <f>'Net zero emission summary'!BK36</f>
        <v>0.23112270511237543</v>
      </c>
      <c r="AK32" s="92">
        <f>'Net zero emission summary'!BL36</f>
        <v>0.23111083097069229</v>
      </c>
      <c r="AL32" s="92">
        <f>'Net zero emission summary'!BM36</f>
        <v>0.23109895682900922</v>
      </c>
      <c r="AM32" s="92">
        <f>'Net zero emission summary'!BN36</f>
        <v>0.23108708268732603</v>
      </c>
      <c r="AN32" s="92">
        <f>'Net zero emission summary'!BO36</f>
        <v>0.23107520854564292</v>
      </c>
      <c r="AO32" s="92">
        <f>'Net zero emission summary'!BP36</f>
        <v>0.23106333440395979</v>
      </c>
      <c r="AP32" s="92">
        <f>'Net zero emission summary'!BQ36</f>
        <v>0.23105146026227666</v>
      </c>
    </row>
    <row r="33" spans="1:42" x14ac:dyDescent="0.25">
      <c r="A33" t="str">
        <f>'Emissions summary'!C37</f>
        <v>3C1c Biomass burning in Grasslands</v>
      </c>
      <c r="B33" t="str">
        <f t="shared" si="1"/>
        <v>A3C1c</v>
      </c>
      <c r="C33" t="str">
        <f>'Emissions summary'!D37</f>
        <v>N2O</v>
      </c>
      <c r="D33" s="92">
        <f>'Net zero emission summary'!AE37</f>
        <v>1.9270838146967177</v>
      </c>
      <c r="E33" s="92">
        <f>'Net zero emission summary'!AF37</f>
        <v>1.9378298037617634</v>
      </c>
      <c r="F33" s="92">
        <f>'Net zero emission summary'!AG37</f>
        <v>1.9485757928268084</v>
      </c>
      <c r="G33" s="92">
        <f>'Net zero emission summary'!AH37</f>
        <v>1.9593217818918536</v>
      </c>
      <c r="H33" s="92">
        <f>'Net zero emission summary'!AI37</f>
        <v>1.9700677709568992</v>
      </c>
      <c r="I33" s="92">
        <f>'Net zero emission summary'!AJ37</f>
        <v>1.9808137600219442</v>
      </c>
      <c r="J33" s="92">
        <f>'Net zero emission summary'!AK37</f>
        <v>1.9915597490869896</v>
      </c>
      <c r="K33" s="92">
        <f>'Net zero emission summary'!AL37</f>
        <v>2.0099227240740993</v>
      </c>
      <c r="L33" s="92">
        <f>'Net zero emission summary'!AM37</f>
        <v>2.0282856990612084</v>
      </c>
      <c r="M33" s="92">
        <f>'Net zero emission summary'!AN37</f>
        <v>2.0466486740483179</v>
      </c>
      <c r="N33" s="92">
        <f>'Net zero emission summary'!AO37</f>
        <v>2.065011649035426</v>
      </c>
      <c r="O33" s="92">
        <f>'Net zero emission summary'!AP37</f>
        <v>2.0833746240225359</v>
      </c>
      <c r="P33" s="92">
        <f>'Net zero emission summary'!AQ37</f>
        <v>2.101737599009645</v>
      </c>
      <c r="Q33" s="92">
        <f>'Net zero emission summary'!AR37</f>
        <v>2.120100573996754</v>
      </c>
      <c r="R33" s="92">
        <f>'Net zero emission summary'!AS37</f>
        <v>2.138463548983863</v>
      </c>
      <c r="S33" s="92">
        <f>'Net zero emission summary'!AT37</f>
        <v>2.1568265239709721</v>
      </c>
      <c r="T33" s="92">
        <f>'Net zero emission summary'!AU37</f>
        <v>2.1751894989580816</v>
      </c>
      <c r="U33" s="92">
        <f>'Net zero emission summary'!AV37</f>
        <v>2.1935524739451906</v>
      </c>
      <c r="V33" s="92">
        <f>'Net zero emission summary'!AW37</f>
        <v>2.2119154489322996</v>
      </c>
      <c r="W33" s="92">
        <f>'Net zero emission summary'!AX37</f>
        <v>2.230599586866107</v>
      </c>
      <c r="X33" s="92">
        <f>'Net zero emission summary'!AY37</f>
        <v>2.2492837247999136</v>
      </c>
      <c r="Y33" s="92">
        <f>'Net zero emission summary'!AZ37</f>
        <v>2.267967862733721</v>
      </c>
      <c r="Z33" s="92">
        <f>'Net zero emission summary'!BA37</f>
        <v>2.2866520006675284</v>
      </c>
      <c r="AA33" s="92">
        <f>'Net zero emission summary'!BB37</f>
        <v>2.3053361386013353</v>
      </c>
      <c r="AB33" s="92">
        <f>'Net zero emission summary'!BC37</f>
        <v>2.3240202765351423</v>
      </c>
      <c r="AC33" s="92">
        <f>'Net zero emission summary'!BD37</f>
        <v>2.3427044144689493</v>
      </c>
      <c r="AD33" s="92">
        <f>'Net zero emission summary'!BE37</f>
        <v>2.3613885524027567</v>
      </c>
      <c r="AE33" s="92">
        <f>'Net zero emission summary'!BF37</f>
        <v>2.3800726903365637</v>
      </c>
      <c r="AF33" s="92">
        <f>'Net zero emission summary'!BG37</f>
        <v>2.3987568282703706</v>
      </c>
      <c r="AG33" s="92">
        <f>'Net zero emission summary'!BH37</f>
        <v>2.4174409662041776</v>
      </c>
      <c r="AH33" s="92">
        <f>'Net zero emission summary'!BI37</f>
        <v>2.436125104137985</v>
      </c>
      <c r="AI33" s="92">
        <f>'Net zero emission summary'!BJ37</f>
        <v>2.454809242071792</v>
      </c>
      <c r="AJ33" s="92">
        <f>'Net zero emission summary'!BK37</f>
        <v>2.4734933800055994</v>
      </c>
      <c r="AK33" s="92">
        <f>'Net zero emission summary'!BL37</f>
        <v>2.4921775179394063</v>
      </c>
      <c r="AL33" s="92">
        <f>'Net zero emission summary'!BM37</f>
        <v>2.5108616558732133</v>
      </c>
      <c r="AM33" s="92">
        <f>'Net zero emission summary'!BN37</f>
        <v>2.5295457938070207</v>
      </c>
      <c r="AN33" s="92">
        <f>'Net zero emission summary'!BO37</f>
        <v>2.5482299317408281</v>
      </c>
      <c r="AO33" s="92">
        <f>'Net zero emission summary'!BP37</f>
        <v>2.5669140696746346</v>
      </c>
      <c r="AP33" s="92">
        <f>'Net zero emission summary'!BQ37</f>
        <v>2.5855982076084416</v>
      </c>
    </row>
    <row r="34" spans="1:42" x14ac:dyDescent="0.25">
      <c r="A34" t="str">
        <f>'Emissions summary'!C38</f>
        <v>3C1d Biomass burning in Wetlands</v>
      </c>
      <c r="B34" t="str">
        <f t="shared" si="1"/>
        <v>A3C1d</v>
      </c>
      <c r="C34" t="str">
        <f>'Emissions summary'!D38</f>
        <v>N2O</v>
      </c>
      <c r="D34" s="92">
        <f>'Net zero emission summary'!AE38</f>
        <v>7.8813449993659371E-2</v>
      </c>
      <c r="E34" s="92">
        <f>'Net zero emission summary'!AF38</f>
        <v>7.8813449993659371E-2</v>
      </c>
      <c r="F34" s="92">
        <f>'Net zero emission summary'!AG38</f>
        <v>7.8813449993659371E-2</v>
      </c>
      <c r="G34" s="92">
        <f>'Net zero emission summary'!AH38</f>
        <v>7.8813449993659371E-2</v>
      </c>
      <c r="H34" s="92">
        <f>'Net zero emission summary'!AI38</f>
        <v>7.8813449993659371E-2</v>
      </c>
      <c r="I34" s="92">
        <f>'Net zero emission summary'!AJ38</f>
        <v>7.8813449993659371E-2</v>
      </c>
      <c r="J34" s="92">
        <f>'Net zero emission summary'!AK38</f>
        <v>7.8813449993659371E-2</v>
      </c>
      <c r="K34" s="92">
        <f>'Net zero emission summary'!AL38</f>
        <v>7.8813449993659371E-2</v>
      </c>
      <c r="L34" s="92">
        <f>'Net zero emission summary'!AM38</f>
        <v>7.8813449993659371E-2</v>
      </c>
      <c r="M34" s="92">
        <f>'Net zero emission summary'!AN38</f>
        <v>7.8813449993659371E-2</v>
      </c>
      <c r="N34" s="92">
        <f>'Net zero emission summary'!AO38</f>
        <v>7.8813449993659371E-2</v>
      </c>
      <c r="O34" s="92">
        <f>'Net zero emission summary'!AP38</f>
        <v>7.8813449993659371E-2</v>
      </c>
      <c r="P34" s="92">
        <f>'Net zero emission summary'!AQ38</f>
        <v>7.8813449993659371E-2</v>
      </c>
      <c r="Q34" s="92">
        <f>'Net zero emission summary'!AR38</f>
        <v>7.8813449993659371E-2</v>
      </c>
      <c r="R34" s="92">
        <f>'Net zero emission summary'!AS38</f>
        <v>7.8813449993659371E-2</v>
      </c>
      <c r="S34" s="92">
        <f>'Net zero emission summary'!AT38</f>
        <v>7.8813449993659371E-2</v>
      </c>
      <c r="T34" s="92">
        <f>'Net zero emission summary'!AU38</f>
        <v>7.8813449993659371E-2</v>
      </c>
      <c r="U34" s="92">
        <f>'Net zero emission summary'!AV38</f>
        <v>7.8813449993659371E-2</v>
      </c>
      <c r="V34" s="92">
        <f>'Net zero emission summary'!AW38</f>
        <v>7.8813449993659371E-2</v>
      </c>
      <c r="W34" s="92">
        <f>'Net zero emission summary'!AX38</f>
        <v>7.8813449993659371E-2</v>
      </c>
      <c r="X34" s="92">
        <f>'Net zero emission summary'!AY38</f>
        <v>7.8813449993659371E-2</v>
      </c>
      <c r="Y34" s="92">
        <f>'Net zero emission summary'!AZ38</f>
        <v>7.8813449993659371E-2</v>
      </c>
      <c r="Z34" s="92">
        <f>'Net zero emission summary'!BA38</f>
        <v>7.8813449993659371E-2</v>
      </c>
      <c r="AA34" s="92">
        <f>'Net zero emission summary'!BB38</f>
        <v>7.8813449993659371E-2</v>
      </c>
      <c r="AB34" s="92">
        <f>'Net zero emission summary'!BC38</f>
        <v>7.8813449993659371E-2</v>
      </c>
      <c r="AC34" s="92">
        <f>'Net zero emission summary'!BD38</f>
        <v>7.8813449993659371E-2</v>
      </c>
      <c r="AD34" s="92">
        <f>'Net zero emission summary'!BE38</f>
        <v>7.8813449993659371E-2</v>
      </c>
      <c r="AE34" s="92">
        <f>'Net zero emission summary'!BF38</f>
        <v>7.8813449993659371E-2</v>
      </c>
      <c r="AF34" s="92">
        <f>'Net zero emission summary'!BG38</f>
        <v>7.8813449993659371E-2</v>
      </c>
      <c r="AG34" s="92">
        <f>'Net zero emission summary'!BH38</f>
        <v>7.8813449993659371E-2</v>
      </c>
      <c r="AH34" s="92">
        <f>'Net zero emission summary'!BI38</f>
        <v>7.8813449993659371E-2</v>
      </c>
      <c r="AI34" s="92">
        <f>'Net zero emission summary'!BJ38</f>
        <v>7.8813449993659371E-2</v>
      </c>
      <c r="AJ34" s="92">
        <f>'Net zero emission summary'!BK38</f>
        <v>7.8813449993659371E-2</v>
      </c>
      <c r="AK34" s="92">
        <f>'Net zero emission summary'!BL38</f>
        <v>7.8813449993659371E-2</v>
      </c>
      <c r="AL34" s="92">
        <f>'Net zero emission summary'!BM38</f>
        <v>7.8813449993659371E-2</v>
      </c>
      <c r="AM34" s="92">
        <f>'Net zero emission summary'!BN38</f>
        <v>7.8813449993659371E-2</v>
      </c>
      <c r="AN34" s="92">
        <f>'Net zero emission summary'!BO38</f>
        <v>7.8813449993659371E-2</v>
      </c>
      <c r="AO34" s="92">
        <f>'Net zero emission summary'!BP38</f>
        <v>7.8813449993659371E-2</v>
      </c>
      <c r="AP34" s="92">
        <f>'Net zero emission summary'!BQ38</f>
        <v>7.8813449993659371E-2</v>
      </c>
    </row>
    <row r="35" spans="1:42" x14ac:dyDescent="0.25">
      <c r="A35" t="str">
        <f>'Emissions summary'!C39</f>
        <v>3C1e Biomass burning in Settlements</v>
      </c>
      <c r="B35" t="str">
        <f t="shared" si="1"/>
        <v>A3C1e</v>
      </c>
      <c r="C35" t="str">
        <f>'Emissions summary'!D39</f>
        <v>N2O</v>
      </c>
      <c r="D35" s="92">
        <f>'Net zero emission summary'!AE39</f>
        <v>3.9235523819963862E-2</v>
      </c>
      <c r="E35" s="92">
        <f>'Net zero emission summary'!AF39</f>
        <v>3.9318445103539788E-2</v>
      </c>
      <c r="F35" s="92">
        <f>'Net zero emission summary'!AG39</f>
        <v>3.9401366387115715E-2</v>
      </c>
      <c r="G35" s="92">
        <f>'Net zero emission summary'!AH39</f>
        <v>3.9484287670691648E-2</v>
      </c>
      <c r="H35" s="92">
        <f>'Net zero emission summary'!AI39</f>
        <v>3.9567208954267574E-2</v>
      </c>
      <c r="I35" s="92">
        <f>'Net zero emission summary'!AJ39</f>
        <v>3.9650130237843507E-2</v>
      </c>
      <c r="J35" s="92">
        <f>'Net zero emission summary'!AK39</f>
        <v>3.9733051521419427E-2</v>
      </c>
      <c r="K35" s="92">
        <f>'Net zero emission summary'!AL39</f>
        <v>3.981597280499536E-2</v>
      </c>
      <c r="L35" s="92">
        <f>'Net zero emission summary'!AM39</f>
        <v>3.9898894088571286E-2</v>
      </c>
      <c r="M35" s="92">
        <f>'Net zero emission summary'!AN39</f>
        <v>3.9981815372147227E-2</v>
      </c>
      <c r="N35" s="92">
        <f>'Net zero emission summary'!AO39</f>
        <v>4.0064736655723153E-2</v>
      </c>
      <c r="O35" s="92">
        <f>'Net zero emission summary'!AP39</f>
        <v>4.0147657939299079E-2</v>
      </c>
      <c r="P35" s="92">
        <f>'Net zero emission summary'!AQ39</f>
        <v>4.0230579222875013E-2</v>
      </c>
      <c r="Q35" s="92">
        <f>'Net zero emission summary'!AR39</f>
        <v>4.0313500506450946E-2</v>
      </c>
      <c r="R35" s="92">
        <f>'Net zero emission summary'!AS39</f>
        <v>4.0396421790026865E-2</v>
      </c>
      <c r="S35" s="92">
        <f>'Net zero emission summary'!AT39</f>
        <v>4.0479343073602798E-2</v>
      </c>
      <c r="T35" s="92">
        <f>'Net zero emission summary'!AU39</f>
        <v>4.0562264357178725E-2</v>
      </c>
      <c r="U35" s="92">
        <f>'Net zero emission summary'!AV39</f>
        <v>4.0645185640754658E-2</v>
      </c>
      <c r="V35" s="92">
        <f>'Net zero emission summary'!AW39</f>
        <v>4.0728106924330584E-2</v>
      </c>
      <c r="W35" s="92">
        <f>'Net zero emission summary'!AX39</f>
        <v>4.0811028207906511E-2</v>
      </c>
      <c r="X35" s="92">
        <f>'Net zero emission summary'!AY39</f>
        <v>4.0893949491482444E-2</v>
      </c>
      <c r="Y35" s="92">
        <f>'Net zero emission summary'!AZ39</f>
        <v>4.097687077505837E-2</v>
      </c>
      <c r="Z35" s="92">
        <f>'Net zero emission summary'!BA39</f>
        <v>4.1059792058634303E-2</v>
      </c>
      <c r="AA35" s="92">
        <f>'Net zero emission summary'!BB39</f>
        <v>4.114271334221023E-2</v>
      </c>
      <c r="AB35" s="92">
        <f>'Net zero emission summary'!BC39</f>
        <v>4.1225634625786156E-2</v>
      </c>
      <c r="AC35" s="92">
        <f>'Net zero emission summary'!BD39</f>
        <v>4.1308555909362089E-2</v>
      </c>
      <c r="AD35" s="92">
        <f>'Net zero emission summary'!BE39</f>
        <v>4.1391477192938023E-2</v>
      </c>
      <c r="AE35" s="92">
        <f>'Net zero emission summary'!BF39</f>
        <v>4.1474398476513949E-2</v>
      </c>
      <c r="AF35" s="92">
        <f>'Net zero emission summary'!BG39</f>
        <v>4.1557319760089875E-2</v>
      </c>
      <c r="AG35" s="92">
        <f>'Net zero emission summary'!BH39</f>
        <v>4.1640241043665809E-2</v>
      </c>
      <c r="AH35" s="92">
        <f>'Net zero emission summary'!BI39</f>
        <v>4.1723162327241742E-2</v>
      </c>
      <c r="AI35" s="92">
        <f>'Net zero emission summary'!BJ39</f>
        <v>4.1806083610817661E-2</v>
      </c>
      <c r="AJ35" s="92">
        <f>'Net zero emission summary'!BK39</f>
        <v>4.1889004894393594E-2</v>
      </c>
      <c r="AK35" s="92">
        <f>'Net zero emission summary'!BL39</f>
        <v>4.1971926177969528E-2</v>
      </c>
      <c r="AL35" s="92">
        <f>'Net zero emission summary'!BM39</f>
        <v>4.2054847461545454E-2</v>
      </c>
      <c r="AM35" s="92">
        <f>'Net zero emission summary'!BN39</f>
        <v>4.2137768745121387E-2</v>
      </c>
      <c r="AN35" s="92">
        <f>'Net zero emission summary'!BO39</f>
        <v>4.2220690028697307E-2</v>
      </c>
      <c r="AO35" s="92">
        <f>'Net zero emission summary'!BP39</f>
        <v>4.230361131227324E-2</v>
      </c>
      <c r="AP35" s="92">
        <f>'Net zero emission summary'!BQ39</f>
        <v>4.2386532595849173E-2</v>
      </c>
    </row>
    <row r="36" spans="1:42" x14ac:dyDescent="0.25">
      <c r="A36" t="str">
        <f>'Emissions summary'!C40</f>
        <v>3C1f Biomass burning in Other lands</v>
      </c>
      <c r="B36" t="str">
        <f t="shared" si="1"/>
        <v>A3C1f</v>
      </c>
      <c r="C36" t="str">
        <f>'Emissions summary'!D40</f>
        <v>N2O</v>
      </c>
      <c r="D36" s="92">
        <f>'Net zero emission summary'!AE40</f>
        <v>0</v>
      </c>
      <c r="E36" s="92">
        <f>'Net zero emission summary'!AF40</f>
        <v>0</v>
      </c>
      <c r="F36" s="92">
        <f>'Net zero emission summary'!AG40</f>
        <v>0</v>
      </c>
      <c r="G36" s="92">
        <f>'Net zero emission summary'!AH40</f>
        <v>0</v>
      </c>
      <c r="H36" s="92">
        <f>'Net zero emission summary'!AI40</f>
        <v>0</v>
      </c>
      <c r="I36" s="92">
        <f>'Net zero emission summary'!AJ40</f>
        <v>0</v>
      </c>
      <c r="J36" s="92">
        <f>'Net zero emission summary'!AK40</f>
        <v>0</v>
      </c>
      <c r="K36" s="92">
        <f>'Net zero emission summary'!AL40</f>
        <v>0</v>
      </c>
      <c r="L36" s="92">
        <f>'Net zero emission summary'!AM40</f>
        <v>0</v>
      </c>
      <c r="M36" s="92">
        <f>'Net zero emission summary'!AN40</f>
        <v>0</v>
      </c>
      <c r="N36" s="92">
        <f>'Net zero emission summary'!AO40</f>
        <v>0</v>
      </c>
      <c r="O36" s="92">
        <f>'Net zero emission summary'!AP40</f>
        <v>0</v>
      </c>
      <c r="P36" s="92">
        <f>'Net zero emission summary'!AQ40</f>
        <v>0</v>
      </c>
      <c r="Q36" s="92">
        <f>'Net zero emission summary'!AR40</f>
        <v>0</v>
      </c>
      <c r="R36" s="92">
        <f>'Net zero emission summary'!AS40</f>
        <v>0</v>
      </c>
      <c r="S36" s="92">
        <f>'Net zero emission summary'!AT40</f>
        <v>0</v>
      </c>
      <c r="T36" s="92">
        <f>'Net zero emission summary'!AU40</f>
        <v>0</v>
      </c>
      <c r="U36" s="92">
        <f>'Net zero emission summary'!AV40</f>
        <v>0</v>
      </c>
      <c r="V36" s="92">
        <f>'Net zero emission summary'!AW40</f>
        <v>0</v>
      </c>
      <c r="W36" s="92">
        <f>'Net zero emission summary'!AX40</f>
        <v>0</v>
      </c>
      <c r="X36" s="92">
        <f>'Net zero emission summary'!AY40</f>
        <v>0</v>
      </c>
      <c r="Y36" s="92">
        <f>'Net zero emission summary'!AZ40</f>
        <v>0</v>
      </c>
      <c r="Z36" s="92">
        <f>'Net zero emission summary'!BA40</f>
        <v>0</v>
      </c>
      <c r="AA36" s="92">
        <f>'Net zero emission summary'!BB40</f>
        <v>0</v>
      </c>
      <c r="AB36" s="92">
        <f>'Net zero emission summary'!BC40</f>
        <v>0</v>
      </c>
      <c r="AC36" s="92">
        <f>'Net zero emission summary'!BD40</f>
        <v>0</v>
      </c>
      <c r="AD36" s="92">
        <f>'Net zero emission summary'!BE40</f>
        <v>0</v>
      </c>
      <c r="AE36" s="92">
        <f>'Net zero emission summary'!BF40</f>
        <v>0</v>
      </c>
      <c r="AF36" s="92">
        <f>'Net zero emission summary'!BG40</f>
        <v>0</v>
      </c>
      <c r="AG36" s="92">
        <f>'Net zero emission summary'!BH40</f>
        <v>0</v>
      </c>
      <c r="AH36" s="92">
        <f>'Net zero emission summary'!BI40</f>
        <v>0</v>
      </c>
      <c r="AI36" s="92">
        <f>'Net zero emission summary'!BJ40</f>
        <v>0</v>
      </c>
      <c r="AJ36" s="92">
        <f>'Net zero emission summary'!BK40</f>
        <v>0</v>
      </c>
      <c r="AK36" s="92">
        <f>'Net zero emission summary'!BL40</f>
        <v>0</v>
      </c>
      <c r="AL36" s="92">
        <f>'Net zero emission summary'!BM40</f>
        <v>0</v>
      </c>
      <c r="AM36" s="92">
        <f>'Net zero emission summary'!BN40</f>
        <v>0</v>
      </c>
      <c r="AN36" s="92">
        <f>'Net zero emission summary'!BO40</f>
        <v>0</v>
      </c>
      <c r="AO36" s="92">
        <f>'Net zero emission summary'!BP40</f>
        <v>0</v>
      </c>
      <c r="AP36" s="92">
        <f>'Net zero emission summary'!BQ40</f>
        <v>0</v>
      </c>
    </row>
    <row r="37" spans="1:42" x14ac:dyDescent="0.25">
      <c r="A37" t="str">
        <f>'Emissions summary'!B41</f>
        <v>3C2 Liming (CO2)</v>
      </c>
      <c r="B37" t="str">
        <f>"A"&amp;LEFT(A37,3)</f>
        <v>A3C2</v>
      </c>
      <c r="C37" t="str">
        <f>'Emissions summary'!D41</f>
        <v>CO2</v>
      </c>
      <c r="D37" s="92">
        <f>'Net zero emission summary'!AE41</f>
        <v>886.46691832724639</v>
      </c>
      <c r="E37" s="92">
        <f>'Net zero emission summary'!AF41</f>
        <v>888.8539802377943</v>
      </c>
      <c r="F37" s="92">
        <f>'Net zero emission summary'!AG41</f>
        <v>892.11591690555679</v>
      </c>
      <c r="G37" s="92">
        <f>'Net zero emission summary'!AH41</f>
        <v>894.48365036682526</v>
      </c>
      <c r="H37" s="92">
        <f>'Net zero emission summary'!AI41</f>
        <v>895.63671892685147</v>
      </c>
      <c r="I37" s="92">
        <f>'Net zero emission summary'!AJ41</f>
        <v>896.77480880606822</v>
      </c>
      <c r="J37" s="92">
        <f>'Net zero emission summary'!AK41</f>
        <v>898.49646270469111</v>
      </c>
      <c r="K37" s="92">
        <f>'Net zero emission summary'!AL41</f>
        <v>900.38142148545217</v>
      </c>
      <c r="L37" s="92">
        <f>'Net zero emission summary'!AM41</f>
        <v>900.99830242057169</v>
      </c>
      <c r="M37" s="92">
        <f>'Net zero emission summary'!AN41</f>
        <v>889.66719901995361</v>
      </c>
      <c r="N37" s="92">
        <f>'Net zero emission summary'!AO41</f>
        <v>893.20175352101023</v>
      </c>
      <c r="O37" s="92">
        <f>'Net zero emission summary'!AP41</f>
        <v>896.37958965851215</v>
      </c>
      <c r="P37" s="92">
        <f>'Net zero emission summary'!AQ41</f>
        <v>899.52796651639687</v>
      </c>
      <c r="Q37" s="92">
        <f>'Net zero emission summary'!AR41</f>
        <v>903.14197529554713</v>
      </c>
      <c r="R37" s="92">
        <f>'Net zero emission summary'!AS41</f>
        <v>906.71675954110367</v>
      </c>
      <c r="S37" s="92">
        <f>'Net zero emission summary'!AT41</f>
        <v>910.34114366574249</v>
      </c>
      <c r="T37" s="92">
        <f>'Net zero emission summary'!AU41</f>
        <v>913.8112544636009</v>
      </c>
      <c r="U37" s="92">
        <f>'Net zero emission summary'!AV41</f>
        <v>917.42968502221754</v>
      </c>
      <c r="V37" s="92">
        <f>'Net zero emission summary'!AW41</f>
        <v>920.79096517926757</v>
      </c>
      <c r="W37" s="92">
        <f>'Net zero emission summary'!AX41</f>
        <v>924.18223016555146</v>
      </c>
      <c r="X37" s="92">
        <f>'Net zero emission summary'!AY41</f>
        <v>928.12851356454928</v>
      </c>
      <c r="Y37" s="92">
        <f>'Net zero emission summary'!AZ41</f>
        <v>932.29458147366915</v>
      </c>
      <c r="Z37" s="92">
        <f>'Net zero emission summary'!BA41</f>
        <v>936.51320053616291</v>
      </c>
      <c r="AA37" s="92">
        <f>'Net zero emission summary'!BB41</f>
        <v>937.35041504811659</v>
      </c>
      <c r="AB37" s="92">
        <f>'Net zero emission summary'!BC41</f>
        <v>589.44115069085547</v>
      </c>
      <c r="AC37" s="92">
        <f>'Net zero emission summary'!BD41</f>
        <v>588.82564419868595</v>
      </c>
      <c r="AD37" s="92">
        <f>'Net zero emission summary'!BE41</f>
        <v>588.20365849957375</v>
      </c>
      <c r="AE37" s="92">
        <f>'Net zero emission summary'!BF41</f>
        <v>587.5751043341877</v>
      </c>
      <c r="AF37" s="92">
        <f>'Net zero emission summary'!BG41</f>
        <v>586.93989076430898</v>
      </c>
      <c r="AG37" s="92">
        <f>'Net zero emission summary'!BH41</f>
        <v>586.29792513092821</v>
      </c>
      <c r="AH37" s="92">
        <f>'Net zero emission summary'!BI41</f>
        <v>585.74764217221855</v>
      </c>
      <c r="AI37" s="92">
        <f>'Net zero emission summary'!BJ41</f>
        <v>585.19236759087596</v>
      </c>
      <c r="AJ37" s="92">
        <f>'Net zero emission summary'!BK41</f>
        <v>584.6320416605073</v>
      </c>
      <c r="AK37" s="92">
        <f>'Net zero emission summary'!BL41</f>
        <v>584.06660367487802</v>
      </c>
      <c r="AL37" s="92">
        <f>'Net zero emission summary'!BM41</f>
        <v>583.49599192657536</v>
      </c>
      <c r="AM37" s="92">
        <f>'Net zero emission summary'!BN41</f>
        <v>583.02281981030717</v>
      </c>
      <c r="AN37" s="92">
        <f>'Net zero emission summary'!BO41</f>
        <v>582.54607093944685</v>
      </c>
      <c r="AO37" s="92">
        <f>'Net zero emission summary'!BP41</f>
        <v>582.06570941053144</v>
      </c>
      <c r="AP37" s="92">
        <f>'Net zero emission summary'!BQ41</f>
        <v>581.58169882431378</v>
      </c>
    </row>
    <row r="38" spans="1:42" x14ac:dyDescent="0.25">
      <c r="A38" t="str">
        <f>'Emissions summary'!B42</f>
        <v>3C3 Urea application (CO2)</v>
      </c>
      <c r="B38" t="str">
        <f>"A"&amp;LEFT(A38,3)</f>
        <v>A3C3</v>
      </c>
      <c r="C38" t="str">
        <f>'Emissions summary'!D42</f>
        <v>CO2</v>
      </c>
      <c r="D38" s="92">
        <f>'Net zero emission summary'!AE42</f>
        <v>470.0955092083982</v>
      </c>
      <c r="E38" s="92">
        <f>'Net zero emission summary'!AF42</f>
        <v>470.03536519379952</v>
      </c>
      <c r="F38" s="92">
        <f>'Net zero emission summary'!AG42</f>
        <v>469.95317798043089</v>
      </c>
      <c r="G38" s="92">
        <f>'Net zero emission summary'!AH42</f>
        <v>469.89352096222319</v>
      </c>
      <c r="H38" s="92">
        <f>'Net zero emission summary'!AI42</f>
        <v>469.86446843869999</v>
      </c>
      <c r="I38" s="92">
        <f>'Net zero emission summary'!AJ42</f>
        <v>469.83579331552539</v>
      </c>
      <c r="J38" s="92">
        <f>'Net zero emission summary'!AK42</f>
        <v>469.79241481044551</v>
      </c>
      <c r="K38" s="92">
        <f>'Net zero emission summary'!AL42</f>
        <v>469.7449217027355</v>
      </c>
      <c r="L38" s="92">
        <f>'Net zero emission summary'!AM42</f>
        <v>469.72937887336718</v>
      </c>
      <c r="M38" s="92">
        <f>'Net zero emission summary'!AN42</f>
        <v>470.01487546871522</v>
      </c>
      <c r="N38" s="92">
        <f>'Net zero emission summary'!AO42</f>
        <v>469.92581942179322</v>
      </c>
      <c r="O38" s="92">
        <f>'Net zero emission summary'!AP42</f>
        <v>469.84575119138754</v>
      </c>
      <c r="P38" s="92">
        <f>'Net zero emission summary'!AQ42</f>
        <v>469.76642521208788</v>
      </c>
      <c r="Q38" s="92">
        <f>'Net zero emission summary'!AR42</f>
        <v>469.67536724839931</v>
      </c>
      <c r="R38" s="92">
        <f>'Net zero emission summary'!AS42</f>
        <v>469.58529757953056</v>
      </c>
      <c r="S38" s="92">
        <f>'Net zero emission summary'!AT42</f>
        <v>469.49397820036393</v>
      </c>
      <c r="T38" s="92">
        <f>'Net zero emission summary'!AU42</f>
        <v>469.40654586626169</v>
      </c>
      <c r="U38" s="92">
        <f>'Net zero emission summary'!AV42</f>
        <v>469.31537649215352</v>
      </c>
      <c r="V38" s="92">
        <f>'Net zero emission summary'!AW42</f>
        <v>469.23068623676357</v>
      </c>
      <c r="W38" s="92">
        <f>'Net zero emission summary'!AX42</f>
        <v>469.14524048860676</v>
      </c>
      <c r="X38" s="92">
        <f>'Net zero emission summary'!AY42</f>
        <v>469.04581058889983</v>
      </c>
      <c r="Y38" s="92">
        <f>'Net zero emission summary'!AZ42</f>
        <v>468.94084303525642</v>
      </c>
      <c r="Z38" s="92">
        <f>'Net zero emission summary'!BA42</f>
        <v>468.83455141149926</v>
      </c>
      <c r="AA38" s="92">
        <f>'Net zero emission summary'!BB42</f>
        <v>468.81345709400091</v>
      </c>
      <c r="AB38" s="92">
        <f>'Net zero emission summary'!BC42</f>
        <v>477.57932101318937</v>
      </c>
      <c r="AC38" s="92">
        <f>'Net zero emission summary'!BD42</f>
        <v>477.59482921232205</v>
      </c>
      <c r="AD38" s="92">
        <f>'Net zero emission summary'!BE42</f>
        <v>477.61050066047437</v>
      </c>
      <c r="AE38" s="92">
        <f>'Net zero emission summary'!BF42</f>
        <v>477.6263376066097</v>
      </c>
      <c r="AF38" s="92">
        <f>'Net zero emission summary'!BG42</f>
        <v>477.64234234199222</v>
      </c>
      <c r="AG38" s="92">
        <f>'Net zero emission summary'!BH42</f>
        <v>477.658517201243</v>
      </c>
      <c r="AH38" s="92">
        <f>'Net zero emission summary'!BI42</f>
        <v>477.67238203908232</v>
      </c>
      <c r="AI38" s="92">
        <f>'Net zero emission summary'!BJ42</f>
        <v>477.68637264501467</v>
      </c>
      <c r="AJ38" s="92">
        <f>'Net zero emission summary'!BK42</f>
        <v>477.70049052389624</v>
      </c>
      <c r="AK38" s="92">
        <f>'Net zero emission summary'!BL42</f>
        <v>477.71473720527149</v>
      </c>
      <c r="AL38" s="92">
        <f>'Net zero emission summary'!BM42</f>
        <v>477.72911424390975</v>
      </c>
      <c r="AM38" s="92">
        <f>'Net zero emission summary'!BN42</f>
        <v>477.74103620979719</v>
      </c>
      <c r="AN38" s="92">
        <f>'Net zero emission summary'!BO42</f>
        <v>477.75304829499794</v>
      </c>
      <c r="AO38" s="92">
        <f>'Net zero emission summary'!BP42</f>
        <v>477.76515140412982</v>
      </c>
      <c r="AP38" s="92">
        <f>'Net zero emission summary'!BQ42</f>
        <v>477.77734645430195</v>
      </c>
    </row>
    <row r="39" spans="1:42" x14ac:dyDescent="0.25">
      <c r="A39" t="str">
        <f>'Emissions summary'!B44</f>
        <v>3C4 Direct N2O from managed soils (N2O)</v>
      </c>
      <c r="B39" t="str">
        <f>"A"&amp;LEFT(A39,3)</f>
        <v>A3C4</v>
      </c>
      <c r="C39" t="str">
        <f>'Emissions summary'!D44</f>
        <v>N2O</v>
      </c>
      <c r="D39" s="92">
        <f>'Net zero emission summary'!AE43</f>
        <v>55.594565492496258</v>
      </c>
      <c r="E39" s="92">
        <f>'Net zero emission summary'!AF43</f>
        <v>55.471575300239905</v>
      </c>
      <c r="F39" s="92">
        <f>'Net zero emission summary'!AG43</f>
        <v>55.128626908936276</v>
      </c>
      <c r="G39" s="92">
        <f>'Net zero emission summary'!AH43</f>
        <v>54.488759167314001</v>
      </c>
      <c r="H39" s="92">
        <f>'Net zero emission summary'!AI43</f>
        <v>53.873150729870702</v>
      </c>
      <c r="I39" s="92">
        <f>'Net zero emission summary'!AJ43</f>
        <v>53.42956175915063</v>
      </c>
      <c r="J39" s="92">
        <f>'Net zero emission summary'!AK43</f>
        <v>53.043900666519413</v>
      </c>
      <c r="K39" s="92">
        <f>'Net zero emission summary'!AL43</f>
        <v>52.372632038090067</v>
      </c>
      <c r="L39" s="92">
        <f>'Net zero emission summary'!AM43</f>
        <v>49.066655521416401</v>
      </c>
      <c r="M39" s="92">
        <f>'Net zero emission summary'!AN43</f>
        <v>48.983530321466674</v>
      </c>
      <c r="N39" s="92">
        <f>'Net zero emission summary'!AO43</f>
        <v>48.865049484056108</v>
      </c>
      <c r="O39" s="92">
        <f>'Net zero emission summary'!AP43</f>
        <v>48.742425262931</v>
      </c>
      <c r="P39" s="92">
        <f>'Net zero emission summary'!AQ43</f>
        <v>48.718646461710833</v>
      </c>
      <c r="Q39" s="92">
        <f>'Net zero emission summary'!AR43</f>
        <v>48.68836080737178</v>
      </c>
      <c r="R39" s="92">
        <f>'Net zero emission summary'!AS43</f>
        <v>48.65823347909739</v>
      </c>
      <c r="S39" s="92">
        <f>'Net zero emission summary'!AT43</f>
        <v>48.596623128448314</v>
      </c>
      <c r="T39" s="92">
        <f>'Net zero emission summary'!AU43</f>
        <v>48.564207755116669</v>
      </c>
      <c r="U39" s="92">
        <f>'Net zero emission summary'!AV43</f>
        <v>48.480151671753106</v>
      </c>
      <c r="V39" s="92">
        <f>'Net zero emission summary'!AW43</f>
        <v>48.401115517099896</v>
      </c>
      <c r="W39" s="92">
        <f>'Net zero emission summary'!AX43</f>
        <v>48.357833686831725</v>
      </c>
      <c r="X39" s="92">
        <f>'Net zero emission summary'!AY43</f>
        <v>48.350518602027279</v>
      </c>
      <c r="Y39" s="92">
        <f>'Net zero emission summary'!AZ43</f>
        <v>48.344787368724411</v>
      </c>
      <c r="Z39" s="92">
        <f>'Net zero emission summary'!BA43</f>
        <v>47.687042580475548</v>
      </c>
      <c r="AA39" s="92">
        <f>'Net zero emission summary'!BB43</f>
        <v>17.20255774550948</v>
      </c>
      <c r="AB39" s="92">
        <f>'Net zero emission summary'!BC43</f>
        <v>16.296651157781803</v>
      </c>
      <c r="AC39" s="92">
        <f>'Net zero emission summary'!BD43</f>
        <v>16.316630136156064</v>
      </c>
      <c r="AD39" s="92">
        <f>'Net zero emission summary'!BE43</f>
        <v>16.335311250704365</v>
      </c>
      <c r="AE39" s="92">
        <f>'Net zero emission summary'!BF43</f>
        <v>16.352764867946881</v>
      </c>
      <c r="AF39" s="92">
        <f>'Net zero emission summary'!BG43</f>
        <v>16.369056992654865</v>
      </c>
      <c r="AG39" s="92">
        <f>'Net zero emission summary'!BH43</f>
        <v>16.471514981853581</v>
      </c>
      <c r="AH39" s="92">
        <f>'Net zero emission summary'!BI43</f>
        <v>16.5732996913767</v>
      </c>
      <c r="AI39" s="92">
        <f>'Net zero emission summary'!BJ43</f>
        <v>16.674191293196237</v>
      </c>
      <c r="AJ39" s="92">
        <f>'Net zero emission summary'!BK43</f>
        <v>16.774228936430077</v>
      </c>
      <c r="AK39" s="92">
        <f>'Net zero emission summary'!BL43</f>
        <v>16.873449601181584</v>
      </c>
      <c r="AL39" s="92">
        <f>'Net zero emission summary'!BM43</f>
        <v>16.966438820749111</v>
      </c>
      <c r="AM39" s="92">
        <f>'Net zero emission summary'!BN43</f>
        <v>17.05881354967957</v>
      </c>
      <c r="AN39" s="92">
        <f>'Net zero emission summary'!BO43</f>
        <v>17.150332712443216</v>
      </c>
      <c r="AO39" s="92">
        <f>'Net zero emission summary'!BP43</f>
        <v>17.24102673824369</v>
      </c>
      <c r="AP39" s="92">
        <f>'Net zero emission summary'!BQ43</f>
        <v>17.330924536204488</v>
      </c>
    </row>
    <row r="40" spans="1:42" x14ac:dyDescent="0.25">
      <c r="A40" t="str">
        <f>'Emissions summary'!B49</f>
        <v>3C5 Indirect N2O from managed soils (N2O)</v>
      </c>
      <c r="B40" t="str">
        <f t="shared" ref="B40:B41" si="2">"A"&amp;LEFT(A40,3)</f>
        <v>A3C5</v>
      </c>
      <c r="C40" t="str">
        <f>'Emissions summary'!D49</f>
        <v>N2O</v>
      </c>
      <c r="D40" s="92">
        <f>'Net zero emission summary'!AE49</f>
        <v>6.648325513844453</v>
      </c>
      <c r="E40" s="92">
        <f>'Net zero emission summary'!AF49</f>
        <v>6.6386119623025071</v>
      </c>
      <c r="F40" s="92">
        <f>'Net zero emission summary'!AG49</f>
        <v>6.6020728060279659</v>
      </c>
      <c r="G40" s="92">
        <f>'Net zero emission summary'!AH49</f>
        <v>6.5294686571322567</v>
      </c>
      <c r="H40" s="92">
        <f>'Net zero emission summary'!AI49</f>
        <v>6.4605164234151529</v>
      </c>
      <c r="I40" s="92">
        <f>'Net zero emission summary'!AJ49</f>
        <v>6.4132632377641201</v>
      </c>
      <c r="J40" s="92">
        <f>'Net zero emission summary'!AK49</f>
        <v>6.3732788457488034</v>
      </c>
      <c r="K40" s="92">
        <f>'Net zero emission summary'!AL49</f>
        <v>6.2978727196810373</v>
      </c>
      <c r="L40" s="92">
        <f>'Net zero emission summary'!AM49</f>
        <v>5.8937219193999084</v>
      </c>
      <c r="M40" s="92">
        <f>'Net zero emission summary'!AN49</f>
        <v>5.9019468570699471</v>
      </c>
      <c r="N40" s="92">
        <f>'Net zero emission summary'!AO49</f>
        <v>5.9020297791905376</v>
      </c>
      <c r="O40" s="92">
        <f>'Net zero emission summary'!AP49</f>
        <v>5.9017790489600328</v>
      </c>
      <c r="P40" s="92">
        <f>'Net zero emission summary'!AQ49</f>
        <v>5.914185613673661</v>
      </c>
      <c r="Q40" s="92">
        <f>'Net zero emission summary'!AR49</f>
        <v>5.9258064149291378</v>
      </c>
      <c r="R40" s="92">
        <f>'Net zero emission summary'!AS49</f>
        <v>5.9368796591198363</v>
      </c>
      <c r="S40" s="92">
        <f>'Net zero emission summary'!AT49</f>
        <v>5.9440174550805045</v>
      </c>
      <c r="T40" s="92">
        <f>'Net zero emission summary'!AU49</f>
        <v>5.9550608948467234</v>
      </c>
      <c r="U40" s="92">
        <f>'Net zero emission summary'!AV49</f>
        <v>5.9594553104149668</v>
      </c>
      <c r="V40" s="92">
        <f>'Net zero emission summary'!AW49</f>
        <v>5.9646082031620944</v>
      </c>
      <c r="W40" s="92">
        <f>'Net zero emission summary'!AX49</f>
        <v>5.9653271312670526</v>
      </c>
      <c r="X40" s="92">
        <f>'Net zero emission summary'!AY49</f>
        <v>5.9706462138667105</v>
      </c>
      <c r="Y40" s="92">
        <f>'Net zero emission summary'!AZ49</f>
        <v>5.9761627007853733</v>
      </c>
      <c r="Z40" s="92">
        <f>'Net zero emission summary'!BA49</f>
        <v>5.8961779985108587</v>
      </c>
      <c r="AA40" s="92">
        <f>'Net zero emission summary'!BB49</f>
        <v>1.8995639182836581</v>
      </c>
      <c r="AB40" s="92">
        <f>'Net zero emission summary'!BC49</f>
        <v>1.8795035472611372</v>
      </c>
      <c r="AC40" s="92">
        <f>'Net zero emission summary'!BD49</f>
        <v>1.8846102453877818</v>
      </c>
      <c r="AD40" s="92">
        <f>'Net zero emission summary'!BE49</f>
        <v>1.8896762677557499</v>
      </c>
      <c r="AE40" s="92">
        <f>'Net zero emission summary'!BF49</f>
        <v>1.8947069888845722</v>
      </c>
      <c r="AF40" s="92">
        <f>'Net zero emission summary'!BG49</f>
        <v>1.8997074873309132</v>
      </c>
      <c r="AG40" s="92">
        <f>'Net zero emission summary'!BH49</f>
        <v>1.9117938336316231</v>
      </c>
      <c r="AH40" s="92">
        <f>'Net zero emission summary'!BI49</f>
        <v>1.9238653741325704</v>
      </c>
      <c r="AI40" s="92">
        <f>'Net zero emission summary'!BJ49</f>
        <v>1.9359170412811426</v>
      </c>
      <c r="AJ40" s="92">
        <f>'Net zero emission summary'!BK49</f>
        <v>1.9479510120475609</v>
      </c>
      <c r="AK40" s="92">
        <f>'Net zero emission summary'!BL49</f>
        <v>1.9599693617910623</v>
      </c>
      <c r="AL40" s="92">
        <f>'Net zero emission summary'!BM49</f>
        <v>1.9707680164738557</v>
      </c>
      <c r="AM40" s="92">
        <f>'Net zero emission summary'!BN49</f>
        <v>1.9815439082828801</v>
      </c>
      <c r="AN40" s="92">
        <f>'Net zero emission summary'!BO49</f>
        <v>1.9922910717806208</v>
      </c>
      <c r="AO40" s="92">
        <f>'Net zero emission summary'!BP49</f>
        <v>2.0030111512204019</v>
      </c>
      <c r="AP40" s="92">
        <f>'Net zero emission summary'!BQ49</f>
        <v>2.0137057190020871</v>
      </c>
    </row>
    <row r="41" spans="1:42" x14ac:dyDescent="0.25">
      <c r="A41" t="str">
        <f>'Emissions summary'!B52</f>
        <v>3C6 Indirect N2O from manure management (N2O)</v>
      </c>
      <c r="B41" t="str">
        <f t="shared" si="2"/>
        <v>A3C6</v>
      </c>
      <c r="C41" t="str">
        <f>'Emissions summary'!D52</f>
        <v>N2O</v>
      </c>
      <c r="D41" s="92">
        <f>'Net zero emission summary'!AE52</f>
        <v>1.5057991331958567</v>
      </c>
      <c r="E41" s="92">
        <f>'Net zero emission summary'!AF52</f>
        <v>1.5233793606540866</v>
      </c>
      <c r="F41" s="92">
        <f>'Net zero emission summary'!AG52</f>
        <v>1.5316651473625948</v>
      </c>
      <c r="G41" s="92">
        <f>'Net zero emission summary'!AH52</f>
        <v>1.5269679935634914</v>
      </c>
      <c r="H41" s="92">
        <f>'Net zero emission summary'!AI52</f>
        <v>1.5227909106911812</v>
      </c>
      <c r="I41" s="92">
        <f>'Net zero emission summary'!AJ52</f>
        <v>1.5257341526060424</v>
      </c>
      <c r="J41" s="92">
        <f>'Net zero emission summary'!AK52</f>
        <v>1.5310804178068786</v>
      </c>
      <c r="K41" s="92">
        <f>'Net zero emission summary'!AL52</f>
        <v>1.5228428770504365</v>
      </c>
      <c r="L41" s="92">
        <f>'Net zero emission summary'!AM52</f>
        <v>1.3873842991284246</v>
      </c>
      <c r="M41" s="92">
        <f>'Net zero emission summary'!AN52</f>
        <v>1.4118907904731588</v>
      </c>
      <c r="N41" s="92">
        <f>'Net zero emission summary'!AO52</f>
        <v>1.433165683876346</v>
      </c>
      <c r="O41" s="92">
        <f>'Net zero emission summary'!AP52</f>
        <v>1.4545905030570956</v>
      </c>
      <c r="P41" s="92">
        <f>'Net zero emission summary'!AQ52</f>
        <v>1.4814659832057668</v>
      </c>
      <c r="Q41" s="92">
        <f>'Net zero emission summary'!AR52</f>
        <v>1.5084593161809721</v>
      </c>
      <c r="R41" s="92">
        <f>'Net zero emission summary'!AS52</f>
        <v>1.5367803059152547</v>
      </c>
      <c r="S41" s="92">
        <f>'Net zero emission summary'!AT52</f>
        <v>1.5639341792253196</v>
      </c>
      <c r="T41" s="92">
        <f>'Net zero emission summary'!AU52</f>
        <v>1.5932643186302444</v>
      </c>
      <c r="U41" s="92">
        <f>'Net zero emission summary'!AV52</f>
        <v>1.6202261735803711</v>
      </c>
      <c r="V41" s="92">
        <f>'Net zero emission summary'!AW52</f>
        <v>1.6480224224192723</v>
      </c>
      <c r="W41" s="92">
        <f>'Net zero emission summary'!AX52</f>
        <v>1.6830964039699206</v>
      </c>
      <c r="X41" s="92">
        <f>'Net zero emission summary'!AY52</f>
        <v>1.7214496258042025</v>
      </c>
      <c r="Y41" s="92">
        <f>'Net zero emission summary'!AZ52</f>
        <v>1.7612069082958599</v>
      </c>
      <c r="Z41" s="92">
        <f>'Net zero emission summary'!BA52</f>
        <v>1.760935350556124</v>
      </c>
      <c r="AA41" s="92">
        <f>'Net zero emission summary'!BB52</f>
        <v>-0.17883500396293911</v>
      </c>
      <c r="AB41" s="92">
        <f>'Net zero emission summary'!BC52</f>
        <v>-0.17874006883338808</v>
      </c>
      <c r="AC41" s="92">
        <f>'Net zero emission summary'!BD52</f>
        <v>-0.17868350270803907</v>
      </c>
      <c r="AD41" s="92">
        <f>'Net zero emission summary'!BE52</f>
        <v>-0.17866347374890496</v>
      </c>
      <c r="AE41" s="92">
        <f>'Net zero emission summary'!BF52</f>
        <v>-0.17867829096646271</v>
      </c>
      <c r="AF41" s="92">
        <f>'Net zero emission summary'!BG52</f>
        <v>-0.17872639065798132</v>
      </c>
      <c r="AG41" s="92">
        <f>'Net zero emission summary'!BH52</f>
        <v>-0.17844619024646449</v>
      </c>
      <c r="AH41" s="92">
        <f>'Net zero emission summary'!BI52</f>
        <v>-0.17819664096495766</v>
      </c>
      <c r="AI41" s="92">
        <f>'Net zero emission summary'!BJ52</f>
        <v>-0.17797637988380585</v>
      </c>
      <c r="AJ41" s="92">
        <f>'Net zero emission summary'!BK52</f>
        <v>-0.17778413681849481</v>
      </c>
      <c r="AK41" s="92">
        <f>'Net zero emission summary'!BL52</f>
        <v>-0.17761872633719172</v>
      </c>
      <c r="AL41" s="92">
        <f>'Net zero emission summary'!BM52</f>
        <v>-0.17715214591796902</v>
      </c>
      <c r="AM41" s="92">
        <f>'Net zero emission summary'!BN52</f>
        <v>-0.17671230233900162</v>
      </c>
      <c r="AN41" s="92">
        <f>'Net zero emission summary'!BO52</f>
        <v>-0.17629810732218315</v>
      </c>
      <c r="AO41" s="92">
        <f>'Net zero emission summary'!BP52</f>
        <v>-0.17590853894588032</v>
      </c>
      <c r="AP41" s="92">
        <f>'Net zero emission summary'!BQ52</f>
        <v>-0.17554263648497989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00"/>
  </sheetPr>
  <dimension ref="A1:G82"/>
  <sheetViews>
    <sheetView topLeftCell="A50" workbookViewId="0">
      <selection activeCell="C73" sqref="C73"/>
    </sheetView>
  </sheetViews>
  <sheetFormatPr defaultRowHeight="15" x14ac:dyDescent="0.25"/>
  <cols>
    <col min="1" max="1" width="44.42578125" customWidth="1"/>
    <col min="2" max="2" width="46.42578125" customWidth="1"/>
    <col min="3" max="3" width="37.42578125" customWidth="1"/>
    <col min="4" max="4" width="41" customWidth="1"/>
    <col min="6" max="6" width="35.7109375" customWidth="1"/>
  </cols>
  <sheetData>
    <row r="1" spans="1:6" ht="18.75" x14ac:dyDescent="0.3">
      <c r="A1" s="1" t="s">
        <v>7</v>
      </c>
    </row>
    <row r="3" spans="1:6" ht="17.25" x14ac:dyDescent="0.3">
      <c r="A3" s="141" t="s">
        <v>11</v>
      </c>
      <c r="B3" s="142"/>
      <c r="C3" s="142"/>
      <c r="D3" s="143"/>
    </row>
    <row r="4" spans="1:6" ht="15.75" x14ac:dyDescent="0.25">
      <c r="A4" s="2" t="s">
        <v>12</v>
      </c>
      <c r="B4" s="2" t="s">
        <v>13</v>
      </c>
      <c r="C4" s="2" t="s">
        <v>14</v>
      </c>
      <c r="D4" s="2" t="s">
        <v>70</v>
      </c>
      <c r="F4" s="10" t="s">
        <v>96</v>
      </c>
    </row>
    <row r="5" spans="1:6" ht="15" customHeight="1" x14ac:dyDescent="0.25">
      <c r="A5" s="8" t="s">
        <v>15</v>
      </c>
      <c r="B5" s="4" t="s">
        <v>16</v>
      </c>
      <c r="C5" s="3" t="s">
        <v>17</v>
      </c>
      <c r="D5" s="3" t="s">
        <v>6</v>
      </c>
      <c r="F5" t="s">
        <v>97</v>
      </c>
    </row>
    <row r="6" spans="1:6" ht="15" customHeight="1" x14ac:dyDescent="0.25">
      <c r="A6" s="8"/>
      <c r="B6" s="4"/>
      <c r="C6" s="3"/>
      <c r="D6" s="3" t="s">
        <v>67</v>
      </c>
      <c r="F6" t="s">
        <v>98</v>
      </c>
    </row>
    <row r="7" spans="1:6" x14ac:dyDescent="0.25">
      <c r="A7" s="6"/>
      <c r="B7" s="4"/>
      <c r="C7" s="3" t="s">
        <v>18</v>
      </c>
      <c r="D7" s="3"/>
      <c r="F7" t="s">
        <v>99</v>
      </c>
    </row>
    <row r="8" spans="1:6" x14ac:dyDescent="0.25">
      <c r="A8" s="6"/>
      <c r="B8" s="4"/>
      <c r="C8" s="3" t="s">
        <v>19</v>
      </c>
      <c r="D8" s="3"/>
      <c r="F8" t="s">
        <v>100</v>
      </c>
    </row>
    <row r="9" spans="1:6" x14ac:dyDescent="0.25">
      <c r="A9" s="6"/>
      <c r="B9" s="4"/>
      <c r="C9" s="3" t="s">
        <v>20</v>
      </c>
      <c r="D9" s="3"/>
      <c r="F9" t="s">
        <v>101</v>
      </c>
    </row>
    <row r="10" spans="1:6" x14ac:dyDescent="0.25">
      <c r="A10" s="6"/>
      <c r="B10" s="4"/>
      <c r="C10" s="3" t="s">
        <v>140</v>
      </c>
      <c r="D10" s="3"/>
      <c r="F10" t="s">
        <v>102</v>
      </c>
    </row>
    <row r="11" spans="1:6" x14ac:dyDescent="0.25">
      <c r="A11" s="6"/>
      <c r="B11" s="4"/>
      <c r="C11" s="3" t="s">
        <v>21</v>
      </c>
      <c r="D11" s="3"/>
      <c r="F11" t="s">
        <v>103</v>
      </c>
    </row>
    <row r="12" spans="1:6" x14ac:dyDescent="0.25">
      <c r="A12" s="6"/>
      <c r="B12" s="4" t="s">
        <v>22</v>
      </c>
      <c r="C12" s="3" t="s">
        <v>23</v>
      </c>
      <c r="D12" s="3" t="s">
        <v>68</v>
      </c>
      <c r="F12" t="s">
        <v>104</v>
      </c>
    </row>
    <row r="13" spans="1:6" x14ac:dyDescent="0.25">
      <c r="A13" s="6"/>
      <c r="B13" s="4"/>
      <c r="C13" s="3"/>
      <c r="D13" s="3" t="s">
        <v>69</v>
      </c>
      <c r="F13" t="s">
        <v>105</v>
      </c>
    </row>
    <row r="14" spans="1:6" x14ac:dyDescent="0.25">
      <c r="A14" s="6"/>
      <c r="B14" s="4"/>
      <c r="C14" s="3" t="s">
        <v>24</v>
      </c>
      <c r="D14" s="3"/>
      <c r="F14" t="s">
        <v>106</v>
      </c>
    </row>
    <row r="15" spans="1:6" x14ac:dyDescent="0.25">
      <c r="A15" s="6"/>
      <c r="B15" s="4"/>
      <c r="C15" s="3" t="s">
        <v>25</v>
      </c>
      <c r="D15" s="3"/>
      <c r="F15" t="s">
        <v>107</v>
      </c>
    </row>
    <row r="16" spans="1:6" x14ac:dyDescent="0.25">
      <c r="A16" s="6"/>
      <c r="B16" s="4"/>
      <c r="C16" s="3" t="s">
        <v>26</v>
      </c>
      <c r="D16" s="3"/>
      <c r="F16" t="s">
        <v>108</v>
      </c>
    </row>
    <row r="17" spans="1:6" x14ac:dyDescent="0.25">
      <c r="A17" s="6"/>
      <c r="B17" s="4"/>
      <c r="C17" s="3" t="s">
        <v>141</v>
      </c>
      <c r="D17" s="3"/>
      <c r="F17" t="s">
        <v>110</v>
      </c>
    </row>
    <row r="18" spans="1:6" x14ac:dyDescent="0.25">
      <c r="A18" s="6"/>
      <c r="B18" s="4"/>
      <c r="C18" s="3" t="s">
        <v>27</v>
      </c>
      <c r="D18" s="3"/>
      <c r="F18" t="s">
        <v>111</v>
      </c>
    </row>
    <row r="19" spans="1:6" x14ac:dyDescent="0.25">
      <c r="A19" s="6"/>
      <c r="B19" s="4"/>
      <c r="C19" s="3" t="s">
        <v>28</v>
      </c>
      <c r="D19" s="3"/>
      <c r="F19" t="s">
        <v>112</v>
      </c>
    </row>
    <row r="20" spans="1:6" x14ac:dyDescent="0.25">
      <c r="A20" s="6"/>
      <c r="B20" s="4" t="s">
        <v>657</v>
      </c>
      <c r="C20" s="3" t="s">
        <v>23</v>
      </c>
      <c r="D20" s="3" t="s">
        <v>68</v>
      </c>
      <c r="F20" t="s">
        <v>113</v>
      </c>
    </row>
    <row r="21" spans="1:6" x14ac:dyDescent="0.25">
      <c r="A21" s="6"/>
      <c r="B21" s="4"/>
      <c r="C21" s="3"/>
      <c r="D21" s="3" t="s">
        <v>69</v>
      </c>
      <c r="F21" t="s">
        <v>114</v>
      </c>
    </row>
    <row r="22" spans="1:6" x14ac:dyDescent="0.25">
      <c r="A22" s="6"/>
      <c r="B22" s="4"/>
      <c r="C22" s="3" t="s">
        <v>24</v>
      </c>
      <c r="D22" s="3"/>
      <c r="F22" t="s">
        <v>115</v>
      </c>
    </row>
    <row r="23" spans="1:6" x14ac:dyDescent="0.25">
      <c r="A23" s="6"/>
      <c r="B23" s="4"/>
      <c r="C23" s="3" t="s">
        <v>25</v>
      </c>
      <c r="D23" s="3"/>
      <c r="F23" t="s">
        <v>116</v>
      </c>
    </row>
    <row r="24" spans="1:6" x14ac:dyDescent="0.25">
      <c r="A24" s="6"/>
      <c r="B24" s="4"/>
      <c r="C24" s="3" t="s">
        <v>26</v>
      </c>
      <c r="D24" s="3"/>
      <c r="F24" t="s">
        <v>117</v>
      </c>
    </row>
    <row r="25" spans="1:6" x14ac:dyDescent="0.25">
      <c r="A25" s="6"/>
      <c r="B25" s="4"/>
      <c r="C25" s="3" t="s">
        <v>141</v>
      </c>
      <c r="D25" s="3"/>
      <c r="F25" t="s">
        <v>118</v>
      </c>
    </row>
    <row r="26" spans="1:6" x14ac:dyDescent="0.25">
      <c r="A26" s="6"/>
      <c r="B26" s="4"/>
      <c r="C26" s="3" t="s">
        <v>27</v>
      </c>
      <c r="D26" s="3"/>
      <c r="F26" t="s">
        <v>119</v>
      </c>
    </row>
    <row r="27" spans="1:6" x14ac:dyDescent="0.25">
      <c r="A27" s="6"/>
      <c r="B27" s="4"/>
      <c r="C27" s="3" t="s">
        <v>28</v>
      </c>
      <c r="D27" s="3"/>
      <c r="F27" t="s">
        <v>62</v>
      </c>
    </row>
    <row r="28" spans="1:6" ht="16.5" customHeight="1" x14ac:dyDescent="0.25">
      <c r="A28" s="8" t="s">
        <v>29</v>
      </c>
      <c r="B28" s="4" t="s">
        <v>30</v>
      </c>
      <c r="C28" s="3" t="s">
        <v>31</v>
      </c>
      <c r="D28" s="3"/>
      <c r="F28" t="s">
        <v>63</v>
      </c>
    </row>
    <row r="29" spans="1:6" x14ac:dyDescent="0.25">
      <c r="A29" s="6"/>
      <c r="B29" s="4"/>
      <c r="C29" s="3" t="s">
        <v>32</v>
      </c>
      <c r="D29" s="3" t="s">
        <v>71</v>
      </c>
      <c r="F29" t="s">
        <v>120</v>
      </c>
    </row>
    <row r="30" spans="1:6" x14ac:dyDescent="0.25">
      <c r="A30" s="6"/>
      <c r="B30" s="4"/>
      <c r="C30" s="3"/>
      <c r="D30" s="3" t="s">
        <v>72</v>
      </c>
    </row>
    <row r="31" spans="1:6" x14ac:dyDescent="0.25">
      <c r="A31" s="6"/>
      <c r="B31" s="4"/>
      <c r="C31" s="3"/>
      <c r="D31" s="3" t="s">
        <v>73</v>
      </c>
      <c r="F31" t="s">
        <v>1</v>
      </c>
    </row>
    <row r="32" spans="1:6" x14ac:dyDescent="0.25">
      <c r="A32" s="6"/>
      <c r="B32" s="4"/>
      <c r="C32" s="3"/>
      <c r="D32" s="3" t="s">
        <v>74</v>
      </c>
      <c r="F32" t="s">
        <v>97</v>
      </c>
    </row>
    <row r="33" spans="1:6" x14ac:dyDescent="0.25">
      <c r="A33" s="6"/>
      <c r="B33" s="4"/>
      <c r="C33" s="3"/>
      <c r="D33" s="3" t="s">
        <v>75</v>
      </c>
      <c r="F33" t="s">
        <v>98</v>
      </c>
    </row>
    <row r="34" spans="1:6" x14ac:dyDescent="0.25">
      <c r="A34" s="6"/>
      <c r="B34" s="4" t="s">
        <v>33</v>
      </c>
      <c r="C34" s="3" t="s">
        <v>34</v>
      </c>
      <c r="D34" s="3"/>
    </row>
    <row r="35" spans="1:6" x14ac:dyDescent="0.25">
      <c r="A35" s="6"/>
      <c r="B35" s="4"/>
      <c r="C35" s="3" t="s">
        <v>35</v>
      </c>
      <c r="D35" s="3" t="s">
        <v>76</v>
      </c>
    </row>
    <row r="36" spans="1:6" x14ac:dyDescent="0.25">
      <c r="A36" s="6"/>
      <c r="B36" s="4"/>
      <c r="C36" s="3"/>
      <c r="D36" s="3" t="s">
        <v>77</v>
      </c>
      <c r="F36" t="s">
        <v>122</v>
      </c>
    </row>
    <row r="37" spans="1:6" x14ac:dyDescent="0.25">
      <c r="A37" s="6"/>
      <c r="B37" s="4"/>
      <c r="C37" s="3"/>
      <c r="D37" s="3" t="s">
        <v>78</v>
      </c>
      <c r="F37" t="s">
        <v>123</v>
      </c>
    </row>
    <row r="38" spans="1:6" x14ac:dyDescent="0.25">
      <c r="A38" s="6"/>
      <c r="B38" s="4"/>
      <c r="C38" s="3"/>
      <c r="D38" s="3" t="s">
        <v>79</v>
      </c>
      <c r="F38" t="s">
        <v>135</v>
      </c>
    </row>
    <row r="39" spans="1:6" x14ac:dyDescent="0.25">
      <c r="A39" s="6"/>
      <c r="B39" s="4"/>
      <c r="C39" s="3"/>
      <c r="D39" s="3" t="s">
        <v>80</v>
      </c>
      <c r="F39" t="s">
        <v>136</v>
      </c>
    </row>
    <row r="40" spans="1:6" x14ac:dyDescent="0.25">
      <c r="A40" s="6"/>
      <c r="B40" s="140" t="s">
        <v>36</v>
      </c>
      <c r="C40" s="3" t="s">
        <v>37</v>
      </c>
      <c r="D40" s="3"/>
      <c r="F40" t="s">
        <v>137</v>
      </c>
    </row>
    <row r="41" spans="1:6" x14ac:dyDescent="0.25">
      <c r="A41" s="6"/>
      <c r="B41" s="140"/>
      <c r="C41" s="3" t="s">
        <v>38</v>
      </c>
      <c r="D41" s="3" t="s">
        <v>81</v>
      </c>
      <c r="F41" t="s">
        <v>307</v>
      </c>
    </row>
    <row r="42" spans="1:6" x14ac:dyDescent="0.25">
      <c r="A42" s="6"/>
      <c r="B42" s="4"/>
      <c r="C42" s="3"/>
      <c r="D42" s="3" t="s">
        <v>82</v>
      </c>
      <c r="F42" t="s">
        <v>3</v>
      </c>
    </row>
    <row r="43" spans="1:6" x14ac:dyDescent="0.25">
      <c r="A43" s="6"/>
      <c r="B43" s="4"/>
      <c r="C43" s="3"/>
      <c r="D43" s="3" t="s">
        <v>83</v>
      </c>
      <c r="F43" t="s">
        <v>124</v>
      </c>
    </row>
    <row r="44" spans="1:6" x14ac:dyDescent="0.25">
      <c r="A44" s="6"/>
      <c r="B44" s="4"/>
      <c r="C44" s="3"/>
      <c r="D44" s="3" t="s">
        <v>84</v>
      </c>
      <c r="F44" t="s">
        <v>125</v>
      </c>
    </row>
    <row r="45" spans="1:6" x14ac:dyDescent="0.25">
      <c r="A45" s="6"/>
      <c r="B45" s="4"/>
      <c r="C45" s="3"/>
      <c r="D45" s="3" t="s">
        <v>85</v>
      </c>
      <c r="F45" t="s">
        <v>126</v>
      </c>
    </row>
    <row r="46" spans="1:6" x14ac:dyDescent="0.25">
      <c r="A46" s="6"/>
      <c r="B46" s="4" t="s">
        <v>39</v>
      </c>
      <c r="C46" s="5" t="s">
        <v>39</v>
      </c>
      <c r="D46" s="5"/>
      <c r="F46" t="s">
        <v>127</v>
      </c>
    </row>
    <row r="47" spans="1:6" ht="14.25" customHeight="1" x14ac:dyDescent="0.25">
      <c r="A47" s="6"/>
      <c r="B47" s="4" t="s">
        <v>40</v>
      </c>
      <c r="C47" s="3" t="s">
        <v>41</v>
      </c>
      <c r="D47" s="3"/>
      <c r="F47" t="s">
        <v>128</v>
      </c>
    </row>
    <row r="48" spans="1:6" x14ac:dyDescent="0.25">
      <c r="A48" s="6"/>
      <c r="B48" s="4"/>
      <c r="C48" s="3" t="s">
        <v>42</v>
      </c>
      <c r="D48" s="3" t="s">
        <v>86</v>
      </c>
      <c r="F48" t="s">
        <v>129</v>
      </c>
    </row>
    <row r="49" spans="1:7" x14ac:dyDescent="0.25">
      <c r="A49" s="6"/>
      <c r="B49" s="4"/>
      <c r="C49" s="3"/>
      <c r="D49" s="3" t="s">
        <v>87</v>
      </c>
      <c r="F49" t="s">
        <v>130</v>
      </c>
    </row>
    <row r="50" spans="1:7" x14ac:dyDescent="0.25">
      <c r="A50" s="6"/>
      <c r="B50" s="4"/>
      <c r="C50" s="3"/>
      <c r="D50" s="3" t="s">
        <v>88</v>
      </c>
      <c r="F50" t="s">
        <v>131</v>
      </c>
    </row>
    <row r="51" spans="1:7" x14ac:dyDescent="0.25">
      <c r="A51" s="6"/>
      <c r="B51" s="4"/>
      <c r="C51" s="3"/>
      <c r="D51" s="3" t="s">
        <v>89</v>
      </c>
      <c r="F51" t="s">
        <v>132</v>
      </c>
    </row>
    <row r="52" spans="1:7" x14ac:dyDescent="0.25">
      <c r="A52" s="6"/>
      <c r="B52" s="4"/>
      <c r="C52" s="3"/>
      <c r="D52" s="3" t="s">
        <v>90</v>
      </c>
      <c r="F52" t="s">
        <v>134</v>
      </c>
    </row>
    <row r="53" spans="1:7" x14ac:dyDescent="0.25">
      <c r="A53" s="6"/>
      <c r="B53" s="4" t="s">
        <v>43</v>
      </c>
      <c r="C53" s="3" t="s">
        <v>109</v>
      </c>
      <c r="D53" s="3"/>
      <c r="F53" t="s">
        <v>133</v>
      </c>
    </row>
    <row r="54" spans="1:7" x14ac:dyDescent="0.25">
      <c r="A54" s="6"/>
      <c r="B54" s="4"/>
      <c r="C54" s="3" t="s">
        <v>44</v>
      </c>
      <c r="D54" s="3" t="s">
        <v>91</v>
      </c>
    </row>
    <row r="55" spans="1:7" x14ac:dyDescent="0.25">
      <c r="A55" s="6"/>
      <c r="B55" s="4"/>
      <c r="C55" s="3"/>
      <c r="D55" s="3" t="s">
        <v>92</v>
      </c>
      <c r="F55" t="s">
        <v>294</v>
      </c>
    </row>
    <row r="56" spans="1:7" x14ac:dyDescent="0.25">
      <c r="A56" s="6"/>
      <c r="B56" s="4"/>
      <c r="C56" s="3"/>
      <c r="D56" s="3" t="s">
        <v>93</v>
      </c>
      <c r="F56" t="s">
        <v>295</v>
      </c>
    </row>
    <row r="57" spans="1:7" x14ac:dyDescent="0.25">
      <c r="A57" s="6"/>
      <c r="B57" s="4"/>
      <c r="C57" s="3"/>
      <c r="D57" s="3" t="s">
        <v>94</v>
      </c>
      <c r="F57" t="s">
        <v>296</v>
      </c>
    </row>
    <row r="58" spans="1:7" x14ac:dyDescent="0.25">
      <c r="A58" s="6"/>
      <c r="B58" s="4"/>
      <c r="C58" s="3"/>
      <c r="D58" s="3" t="s">
        <v>95</v>
      </c>
      <c r="F58" t="s">
        <v>297</v>
      </c>
    </row>
    <row r="59" spans="1:7" ht="15" customHeight="1" x14ac:dyDescent="0.25">
      <c r="A59" s="9" t="s">
        <v>369</v>
      </c>
      <c r="B59" s="4" t="s">
        <v>45</v>
      </c>
      <c r="C59" s="3" t="s">
        <v>46</v>
      </c>
      <c r="D59" s="3"/>
      <c r="F59" t="s">
        <v>303</v>
      </c>
    </row>
    <row r="60" spans="1:7" x14ac:dyDescent="0.25">
      <c r="A60" s="7"/>
      <c r="B60" s="4"/>
      <c r="C60" s="3" t="s">
        <v>47</v>
      </c>
      <c r="D60" s="3"/>
      <c r="F60" t="s">
        <v>299</v>
      </c>
    </row>
    <row r="61" spans="1:7" x14ac:dyDescent="0.25">
      <c r="A61" s="7"/>
      <c r="B61" s="4"/>
      <c r="C61" s="3" t="s">
        <v>48</v>
      </c>
      <c r="D61" s="3"/>
      <c r="F61" t="s">
        <v>300</v>
      </c>
    </row>
    <row r="62" spans="1:7" x14ac:dyDescent="0.25">
      <c r="A62" s="7"/>
      <c r="B62" s="4"/>
      <c r="C62" s="3" t="s">
        <v>49</v>
      </c>
      <c r="D62" s="3"/>
      <c r="F62" t="s">
        <v>301</v>
      </c>
    </row>
    <row r="63" spans="1:7" x14ac:dyDescent="0.25">
      <c r="A63" s="7"/>
      <c r="B63" s="4"/>
      <c r="C63" s="3" t="s">
        <v>50</v>
      </c>
      <c r="D63" s="3"/>
      <c r="F63" t="s">
        <v>302</v>
      </c>
    </row>
    <row r="64" spans="1:7" x14ac:dyDescent="0.25">
      <c r="A64" s="7"/>
      <c r="B64" s="4"/>
      <c r="C64" s="3" t="s">
        <v>51</v>
      </c>
      <c r="D64" s="3"/>
      <c r="F64" t="s">
        <v>304</v>
      </c>
      <c r="G64" t="s">
        <v>306</v>
      </c>
    </row>
    <row r="65" spans="1:6" x14ac:dyDescent="0.25">
      <c r="A65" s="7"/>
      <c r="B65" s="4" t="s">
        <v>52</v>
      </c>
      <c r="C65" s="3" t="s">
        <v>46</v>
      </c>
      <c r="D65" s="3"/>
      <c r="F65" t="s">
        <v>98</v>
      </c>
    </row>
    <row r="66" spans="1:6" x14ac:dyDescent="0.25">
      <c r="A66" s="7"/>
      <c r="B66" s="4"/>
      <c r="C66" s="3" t="s">
        <v>47</v>
      </c>
      <c r="D66" s="3"/>
    </row>
    <row r="67" spans="1:6" x14ac:dyDescent="0.25">
      <c r="A67" s="7"/>
      <c r="B67" s="4"/>
      <c r="C67" s="3" t="s">
        <v>48</v>
      </c>
      <c r="D67" s="3"/>
      <c r="F67" t="s">
        <v>786</v>
      </c>
    </row>
    <row r="68" spans="1:6" x14ac:dyDescent="0.25">
      <c r="A68" s="7"/>
      <c r="B68" s="4"/>
      <c r="C68" s="3" t="s">
        <v>49</v>
      </c>
      <c r="D68" s="3"/>
      <c r="F68" t="s">
        <v>787</v>
      </c>
    </row>
    <row r="69" spans="1:6" x14ac:dyDescent="0.25">
      <c r="A69" s="7"/>
      <c r="B69" s="4"/>
      <c r="C69" s="3" t="s">
        <v>50</v>
      </c>
      <c r="D69" s="3"/>
      <c r="F69" t="s">
        <v>788</v>
      </c>
    </row>
    <row r="70" spans="1:6" x14ac:dyDescent="0.25">
      <c r="A70" s="7"/>
      <c r="B70" s="4"/>
      <c r="C70" s="3" t="s">
        <v>51</v>
      </c>
      <c r="D70" s="3"/>
      <c r="F70" t="s">
        <v>789</v>
      </c>
    </row>
    <row r="71" spans="1:6" x14ac:dyDescent="0.25">
      <c r="A71" s="7"/>
      <c r="B71" s="3" t="s">
        <v>53</v>
      </c>
      <c r="C71" s="5" t="s">
        <v>53</v>
      </c>
      <c r="D71" s="5"/>
      <c r="F71" t="s">
        <v>790</v>
      </c>
    </row>
    <row r="72" spans="1:6" x14ac:dyDescent="0.25">
      <c r="A72" s="7"/>
      <c r="B72" s="3" t="s">
        <v>54</v>
      </c>
      <c r="C72" s="5" t="s">
        <v>54</v>
      </c>
      <c r="D72" s="5"/>
      <c r="F72" t="s">
        <v>791</v>
      </c>
    </row>
    <row r="73" spans="1:6" ht="24.75" customHeight="1" x14ac:dyDescent="0.25">
      <c r="A73" s="7"/>
      <c r="B73" s="4" t="s">
        <v>55</v>
      </c>
      <c r="C73" s="3" t="s">
        <v>56</v>
      </c>
      <c r="D73" s="3"/>
    </row>
    <row r="74" spans="1:6" x14ac:dyDescent="0.25">
      <c r="A74" s="7"/>
      <c r="B74" s="4"/>
      <c r="C74" s="3" t="s">
        <v>57</v>
      </c>
      <c r="D74" s="3"/>
    </row>
    <row r="75" spans="1:6" x14ac:dyDescent="0.25">
      <c r="A75" s="7"/>
      <c r="B75" s="4"/>
      <c r="C75" s="3" t="s">
        <v>58</v>
      </c>
      <c r="D75" s="3"/>
    </row>
    <row r="76" spans="1:6" x14ac:dyDescent="0.25">
      <c r="A76" s="7"/>
      <c r="B76" s="4"/>
      <c r="C76" s="3" t="s">
        <v>59</v>
      </c>
      <c r="D76" s="3"/>
    </row>
    <row r="77" spans="1:6" x14ac:dyDescent="0.25">
      <c r="A77" s="7"/>
      <c r="B77" s="4"/>
      <c r="C77" s="3" t="s">
        <v>60</v>
      </c>
      <c r="D77" s="3"/>
    </row>
    <row r="78" spans="1:6" ht="16.5" customHeight="1" x14ac:dyDescent="0.25">
      <c r="A78" s="7"/>
      <c r="B78" s="4" t="s">
        <v>61</v>
      </c>
      <c r="C78" s="3" t="s">
        <v>62</v>
      </c>
      <c r="D78" s="3"/>
    </row>
    <row r="79" spans="1:6" x14ac:dyDescent="0.25">
      <c r="A79" s="7"/>
      <c r="B79" s="4"/>
      <c r="C79" s="3" t="s">
        <v>63</v>
      </c>
      <c r="D79" s="3"/>
    </row>
    <row r="80" spans="1:6" x14ac:dyDescent="0.25">
      <c r="A80" s="7"/>
      <c r="B80" s="4" t="s">
        <v>64</v>
      </c>
      <c r="C80" s="3" t="s">
        <v>62</v>
      </c>
      <c r="D80" s="3"/>
    </row>
    <row r="81" spans="1:4" x14ac:dyDescent="0.25">
      <c r="A81" s="7"/>
      <c r="B81" s="4"/>
      <c r="C81" s="3" t="s">
        <v>63</v>
      </c>
      <c r="D81" s="3"/>
    </row>
    <row r="82" spans="1:4" x14ac:dyDescent="0.25">
      <c r="A82" s="3" t="s">
        <v>65</v>
      </c>
      <c r="B82" s="3" t="s">
        <v>66</v>
      </c>
      <c r="C82" s="5" t="s">
        <v>66</v>
      </c>
      <c r="D82" s="5"/>
    </row>
  </sheetData>
  <mergeCells count="2">
    <mergeCell ref="B40:B41"/>
    <mergeCell ref="A3:D3"/>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5"/>
  </sheetPr>
  <dimension ref="A1:BP10"/>
  <sheetViews>
    <sheetView workbookViewId="0">
      <selection activeCell="AE10" sqref="AE10"/>
    </sheetView>
  </sheetViews>
  <sheetFormatPr defaultRowHeight="15" outlineLevelCol="1" x14ac:dyDescent="0.25"/>
  <cols>
    <col min="1" max="1" width="19.140625" customWidth="1"/>
    <col min="2" max="2" width="12.85546875" customWidth="1"/>
    <col min="3" max="3" width="28.5703125" customWidth="1"/>
    <col min="4" max="23" width="12.7109375" customWidth="1" outlineLevel="1"/>
    <col min="24" max="30" width="12.7109375" customWidth="1"/>
    <col min="31" max="31" width="13.85546875" customWidth="1"/>
    <col min="32" max="34" width="12.7109375" customWidth="1"/>
  </cols>
  <sheetData>
    <row r="1" spans="1:68" ht="18.75" x14ac:dyDescent="0.3">
      <c r="A1" s="1" t="s">
        <v>316</v>
      </c>
    </row>
    <row r="2" spans="1:68" x14ac:dyDescent="0.25">
      <c r="X2">
        <v>1</v>
      </c>
      <c r="Y2">
        <v>2</v>
      </c>
      <c r="Z2">
        <v>3</v>
      </c>
      <c r="AA2">
        <v>4</v>
      </c>
      <c r="AB2">
        <v>5</v>
      </c>
      <c r="AC2">
        <v>6</v>
      </c>
      <c r="AD2">
        <v>7</v>
      </c>
      <c r="AE2">
        <v>8</v>
      </c>
      <c r="AF2">
        <v>9</v>
      </c>
      <c r="AG2">
        <v>10</v>
      </c>
      <c r="AH2">
        <v>11</v>
      </c>
      <c r="AI2">
        <v>12</v>
      </c>
      <c r="AJ2">
        <v>13</v>
      </c>
      <c r="AK2">
        <v>14</v>
      </c>
      <c r="AL2">
        <v>15</v>
      </c>
      <c r="AM2">
        <v>16</v>
      </c>
      <c r="AN2">
        <v>17</v>
      </c>
      <c r="AO2">
        <v>18</v>
      </c>
      <c r="AP2">
        <v>19</v>
      </c>
      <c r="AQ2">
        <v>20</v>
      </c>
      <c r="AR2">
        <v>21</v>
      </c>
      <c r="AS2">
        <v>22</v>
      </c>
      <c r="AT2">
        <v>23</v>
      </c>
      <c r="AU2">
        <v>24</v>
      </c>
      <c r="AV2">
        <v>25</v>
      </c>
      <c r="AW2">
        <v>26</v>
      </c>
      <c r="AX2">
        <v>27</v>
      </c>
      <c r="AY2">
        <v>28</v>
      </c>
      <c r="AZ2">
        <v>29</v>
      </c>
      <c r="BA2">
        <v>30</v>
      </c>
      <c r="BB2">
        <v>31</v>
      </c>
      <c r="BC2">
        <v>32</v>
      </c>
      <c r="BD2">
        <v>33</v>
      </c>
      <c r="BE2">
        <v>34</v>
      </c>
      <c r="BF2">
        <v>35</v>
      </c>
      <c r="BG2">
        <v>36</v>
      </c>
      <c r="BH2">
        <v>37</v>
      </c>
      <c r="BI2">
        <v>38</v>
      </c>
      <c r="BJ2">
        <v>39</v>
      </c>
      <c r="BK2">
        <v>40</v>
      </c>
      <c r="BL2">
        <v>41</v>
      </c>
    </row>
    <row r="3" spans="1:68" s="19" customFormat="1" ht="29.25" customHeight="1" x14ac:dyDescent="0.25">
      <c r="A3" s="17" t="s">
        <v>317</v>
      </c>
      <c r="B3" s="17" t="s">
        <v>0</v>
      </c>
      <c r="C3" s="17" t="s">
        <v>283</v>
      </c>
      <c r="D3" s="17">
        <v>1990</v>
      </c>
      <c r="E3" s="17">
        <v>1991</v>
      </c>
      <c r="F3" s="17">
        <v>1992</v>
      </c>
      <c r="G3" s="17">
        <v>1993</v>
      </c>
      <c r="H3" s="17">
        <v>1994</v>
      </c>
      <c r="I3" s="17">
        <v>1995</v>
      </c>
      <c r="J3" s="17">
        <v>1996</v>
      </c>
      <c r="K3" s="17">
        <v>1997</v>
      </c>
      <c r="L3" s="17">
        <v>1998</v>
      </c>
      <c r="M3" s="17">
        <v>1999</v>
      </c>
      <c r="N3" s="17">
        <v>2000</v>
      </c>
      <c r="O3" s="17">
        <v>2001</v>
      </c>
      <c r="P3" s="17">
        <v>2002</v>
      </c>
      <c r="Q3" s="17">
        <v>2003</v>
      </c>
      <c r="R3" s="17">
        <v>2004</v>
      </c>
      <c r="S3" s="17">
        <v>2005</v>
      </c>
      <c r="T3" s="17">
        <v>2006</v>
      </c>
      <c r="U3" s="17">
        <v>2007</v>
      </c>
      <c r="V3" s="17">
        <v>2008</v>
      </c>
      <c r="W3" s="17">
        <v>2009</v>
      </c>
      <c r="X3" s="17">
        <v>2010</v>
      </c>
      <c r="Y3" s="17">
        <v>2011</v>
      </c>
      <c r="Z3" s="17">
        <v>2012</v>
      </c>
      <c r="AA3" s="17">
        <v>2013</v>
      </c>
      <c r="AB3" s="17">
        <v>2014</v>
      </c>
      <c r="AC3" s="17">
        <v>2015</v>
      </c>
      <c r="AD3" s="17">
        <v>2016</v>
      </c>
      <c r="AE3" s="17">
        <v>2017</v>
      </c>
      <c r="AF3" s="17">
        <v>2018</v>
      </c>
      <c r="AG3" s="17">
        <v>2019</v>
      </c>
      <c r="AH3" s="17">
        <v>2020</v>
      </c>
      <c r="AI3" s="17">
        <v>2021</v>
      </c>
      <c r="AJ3" s="17">
        <v>2022</v>
      </c>
      <c r="AK3" s="17">
        <v>2023</v>
      </c>
      <c r="AL3" s="17">
        <v>2024</v>
      </c>
      <c r="AM3" s="17">
        <v>2025</v>
      </c>
      <c r="AN3" s="17">
        <v>2026</v>
      </c>
      <c r="AO3" s="17">
        <v>2027</v>
      </c>
      <c r="AP3" s="17">
        <v>2028</v>
      </c>
      <c r="AQ3" s="17">
        <v>2029</v>
      </c>
      <c r="AR3" s="17">
        <v>2030</v>
      </c>
      <c r="AS3" s="17">
        <v>2031</v>
      </c>
      <c r="AT3" s="17">
        <v>2032</v>
      </c>
      <c r="AU3" s="17">
        <v>2033</v>
      </c>
      <c r="AV3" s="17">
        <v>2034</v>
      </c>
      <c r="AW3" s="17">
        <v>2035</v>
      </c>
      <c r="AX3" s="17">
        <v>2036</v>
      </c>
      <c r="AY3" s="17">
        <v>2037</v>
      </c>
      <c r="AZ3" s="17">
        <v>2038</v>
      </c>
      <c r="BA3" s="17">
        <v>2039</v>
      </c>
      <c r="BB3" s="17">
        <v>2040</v>
      </c>
      <c r="BC3" s="17">
        <v>2041</v>
      </c>
      <c r="BD3" s="17">
        <v>2042</v>
      </c>
      <c r="BE3" s="17">
        <v>2043</v>
      </c>
      <c r="BF3" s="17">
        <v>2044</v>
      </c>
      <c r="BG3" s="17">
        <v>2045</v>
      </c>
      <c r="BH3" s="17">
        <v>2046</v>
      </c>
      <c r="BI3" s="17">
        <v>2047</v>
      </c>
      <c r="BJ3" s="17">
        <v>2048</v>
      </c>
      <c r="BK3" s="17">
        <v>2049</v>
      </c>
      <c r="BL3" s="17">
        <v>2050</v>
      </c>
      <c r="BO3" s="18" t="s">
        <v>308</v>
      </c>
      <c r="BP3" s="17" t="s">
        <v>282</v>
      </c>
    </row>
    <row r="4" spans="1:68" x14ac:dyDescent="0.25">
      <c r="A4" t="s">
        <v>1</v>
      </c>
      <c r="B4" t="s">
        <v>323</v>
      </c>
      <c r="C4" t="s">
        <v>748</v>
      </c>
      <c r="D4" s="21">
        <v>36800509</v>
      </c>
      <c r="E4" s="21">
        <v>37718950</v>
      </c>
      <c r="F4" s="21">
        <v>38672607</v>
      </c>
      <c r="G4" s="21">
        <v>39633750</v>
      </c>
      <c r="H4" s="21">
        <v>40564059</v>
      </c>
      <c r="I4" s="21">
        <v>41435758</v>
      </c>
      <c r="J4" s="21">
        <v>42241011</v>
      </c>
      <c r="K4" s="21">
        <v>42987461</v>
      </c>
      <c r="L4" s="21">
        <v>43682260</v>
      </c>
      <c r="M4" s="21">
        <v>44338543</v>
      </c>
      <c r="N4" s="21">
        <v>44967708</v>
      </c>
      <c r="O4" s="21">
        <v>45571274</v>
      </c>
      <c r="P4" s="21">
        <v>46150913</v>
      </c>
      <c r="Q4" s="21">
        <v>46719196</v>
      </c>
      <c r="R4" s="21">
        <v>47291610</v>
      </c>
      <c r="S4" s="21">
        <v>47880601</v>
      </c>
      <c r="T4" s="21">
        <v>48489459</v>
      </c>
      <c r="U4" s="21">
        <v>49119759</v>
      </c>
      <c r="V4" s="21">
        <v>49779471</v>
      </c>
      <c r="W4" s="21">
        <v>50477011</v>
      </c>
      <c r="X4" s="21">
        <v>51216964</v>
      </c>
      <c r="Y4" s="21">
        <v>52004172</v>
      </c>
      <c r="Z4" s="22">
        <f>DriversCGE!A35*1000</f>
        <v>52325432.882070079</v>
      </c>
      <c r="AA4" s="22">
        <f>DriversCGE!B35*1000</f>
        <v>53104386.458423346</v>
      </c>
      <c r="AB4" s="22">
        <f>DriversCGE!C35*1000</f>
        <v>53912365.691429272</v>
      </c>
      <c r="AC4" s="22">
        <f>DriversCGE!D35*1000</f>
        <v>54750491.457321115</v>
      </c>
      <c r="AD4" s="22">
        <f>DriversCGE!E35*1000</f>
        <v>55619940.469824828</v>
      </c>
      <c r="AE4" s="22">
        <f>DriversCGE!F35*1000</f>
        <v>56521948.041648097</v>
      </c>
      <c r="AF4" s="22">
        <f>DriversCGE!G35*1000</f>
        <v>57436000.617299661</v>
      </c>
      <c r="AG4" s="22">
        <f>DriversCGE!H35*1000</f>
        <v>58364834.921819441</v>
      </c>
      <c r="AH4" s="22">
        <f>DriversCGE!I35*1000</f>
        <v>59308690</v>
      </c>
      <c r="AI4" s="22">
        <f>DriversCGE!J35*1000</f>
        <v>59991580.449204266</v>
      </c>
      <c r="AJ4" s="22">
        <f>DriversCGE!K35*1000</f>
        <v>60682333.816399373</v>
      </c>
      <c r="AK4" s="22">
        <f>DriversCGE!L35*1000</f>
        <v>61381040.636574373</v>
      </c>
      <c r="AL4" s="22">
        <f>DriversCGE!M35*1000</f>
        <v>62087792.487153694</v>
      </c>
      <c r="AM4" s="22">
        <f>DriversCGE!N35*1000</f>
        <v>62802682.000000022</v>
      </c>
      <c r="AN4" s="22">
        <f>DriversCGE!O35*1000</f>
        <v>63421065.342005149</v>
      </c>
      <c r="AO4" s="22">
        <f>DriversCGE!P35*1000</f>
        <v>64045537.563425794</v>
      </c>
      <c r="AP4" s="22">
        <f>DriversCGE!Q35*1000</f>
        <v>64676158.618096448</v>
      </c>
      <c r="AQ4" s="22">
        <f>DriversCGE!R35*1000</f>
        <v>65312989.050183922</v>
      </c>
      <c r="AR4" s="22">
        <f>DriversCGE!S35*1000</f>
        <v>65956090</v>
      </c>
      <c r="AS4" s="22">
        <f>DriversCGE!T35*1000</f>
        <v>66518977.190687671</v>
      </c>
      <c r="AT4" s="22">
        <f>DriversCGE!U35*1000</f>
        <v>67086668.213583104</v>
      </c>
      <c r="AU4" s="22">
        <f>DriversCGE!V35*1000</f>
        <v>67659204.065895453</v>
      </c>
      <c r="AV4" s="22">
        <f>DriversCGE!W35*1000</f>
        <v>68236626.094715163</v>
      </c>
      <c r="AW4" s="22">
        <f>DriversCGE!X35*1000</f>
        <v>68818976.000000015</v>
      </c>
      <c r="AX4" s="22">
        <f>DriversCGE!Y35*1000</f>
        <v>69322810.489383534</v>
      </c>
      <c r="AY4" s="22">
        <f>DriversCGE!Z35*1000</f>
        <v>69830333.629884064</v>
      </c>
      <c r="AZ4" s="22">
        <f>DriversCGE!AA35*1000</f>
        <v>70341572.426693439</v>
      </c>
      <c r="BA4" s="22">
        <f>DriversCGE!AB35*1000</f>
        <v>70856554.082712814</v>
      </c>
      <c r="BB4" s="22">
        <f>DriversCGE!AC35*1000</f>
        <v>71375306</v>
      </c>
      <c r="BC4" s="22">
        <f>DriversCGE!AD35*1000</f>
        <v>71818612.994947314</v>
      </c>
      <c r="BD4" s="22">
        <f>DriversCGE!AE35*1000</f>
        <v>72264673.338395417</v>
      </c>
      <c r="BE4" s="22">
        <f>DriversCGE!AF35*1000</f>
        <v>72713504.131197795</v>
      </c>
      <c r="BF4" s="22">
        <f>DriversCGE!AG35*1000</f>
        <v>73165122.580420136</v>
      </c>
      <c r="BG4" s="22">
        <f>DriversCGE!AH35*1000</f>
        <v>73619545.99999997</v>
      </c>
      <c r="BH4" s="22">
        <f>DriversCGE!AI35*1000</f>
        <v>73995362.001779526</v>
      </c>
      <c r="BI4" s="22">
        <f>DriversCGE!AJ35*1000</f>
        <v>74373096.484110355</v>
      </c>
      <c r="BJ4" s="22">
        <f>DriversCGE!AK35*1000</f>
        <v>74752759.240528658</v>
      </c>
      <c r="BK4" s="22">
        <f>DriversCGE!AL35*1000</f>
        <v>75134360.114565104</v>
      </c>
      <c r="BL4" s="22">
        <f>DriversCGE!AM35*1000</f>
        <v>75517908.999999985</v>
      </c>
    </row>
    <row r="5" spans="1:68" x14ac:dyDescent="0.25">
      <c r="A5" t="s">
        <v>809</v>
      </c>
      <c r="B5" t="s">
        <v>747</v>
      </c>
      <c r="C5" t="s">
        <v>810</v>
      </c>
      <c r="D5" s="21">
        <f t="shared" ref="D5:Y5" si="0">E5/(1+E7)</f>
        <v>1439.2211800183186</v>
      </c>
      <c r="E5" s="21">
        <f t="shared" si="0"/>
        <v>1482.3978154188683</v>
      </c>
      <c r="F5" s="21">
        <f t="shared" si="0"/>
        <v>1526.8697498814345</v>
      </c>
      <c r="G5" s="21">
        <f t="shared" si="0"/>
        <v>1572.6758423778776</v>
      </c>
      <c r="H5" s="21">
        <f t="shared" si="0"/>
        <v>1619.856117649214</v>
      </c>
      <c r="I5" s="21">
        <f t="shared" si="0"/>
        <v>1668.4518011786904</v>
      </c>
      <c r="J5" s="21">
        <f t="shared" si="0"/>
        <v>1738.5267768281954</v>
      </c>
      <c r="K5" s="21">
        <f t="shared" si="0"/>
        <v>1783.7284730257284</v>
      </c>
      <c r="L5" s="21">
        <f t="shared" si="0"/>
        <v>1796.2145723369083</v>
      </c>
      <c r="M5" s="21">
        <f t="shared" si="0"/>
        <v>1844.7123657900047</v>
      </c>
      <c r="N5" s="21">
        <f t="shared" si="0"/>
        <v>1925.8797098847649</v>
      </c>
      <c r="O5" s="21">
        <f t="shared" si="0"/>
        <v>1981.730221471423</v>
      </c>
      <c r="P5" s="21">
        <f t="shared" si="0"/>
        <v>2057.04429881953</v>
      </c>
      <c r="Q5" s="21">
        <f t="shared" si="0"/>
        <v>2118.3744496197601</v>
      </c>
      <c r="R5" s="21">
        <f t="shared" si="0"/>
        <v>2213.6520989180704</v>
      </c>
      <c r="S5" s="21">
        <f t="shared" si="0"/>
        <v>2331.2508040727207</v>
      </c>
      <c r="T5" s="21">
        <f t="shared" si="0"/>
        <v>2460.0797694893263</v>
      </c>
      <c r="U5" s="21">
        <f t="shared" si="0"/>
        <v>2597.4921718511423</v>
      </c>
      <c r="V5" s="21">
        <f t="shared" si="0"/>
        <v>2695.2073568434721</v>
      </c>
      <c r="W5" s="21">
        <f t="shared" si="0"/>
        <v>2659.0306006161682</v>
      </c>
      <c r="X5" s="21">
        <f t="shared" si="0"/>
        <v>2740.920913194318</v>
      </c>
      <c r="Y5" s="21">
        <f t="shared" si="0"/>
        <v>2834.9752315997898</v>
      </c>
      <c r="Z5" s="22">
        <f>SUM(DriversCGE!B8:B26)</f>
        <v>2904.1128335006028</v>
      </c>
      <c r="AA5" s="22">
        <f>SUM(DriversCGE!C8:C26)</f>
        <v>2972.4040402091587</v>
      </c>
      <c r="AB5" s="22">
        <f>SUM(DriversCGE!D8:D26)</f>
        <v>3023.8966460050733</v>
      </c>
      <c r="AC5" s="22">
        <f>SUM(DriversCGE!E8:E26)</f>
        <v>3051.4610482613748</v>
      </c>
      <c r="AD5" s="22">
        <f>SUM(DriversCGE!F8:F26)</f>
        <v>3079.0191885929244</v>
      </c>
      <c r="AE5" s="22">
        <f>SUM(DriversCGE!G8:G26)</f>
        <v>3118.8478194012787</v>
      </c>
      <c r="AF5" s="22">
        <f>SUM(DriversCGE!H8:H26)</f>
        <v>3162.4362121434187</v>
      </c>
      <c r="AG5" s="22">
        <f>SUM(DriversCGE!I8:I26)</f>
        <v>3180.0100691503258</v>
      </c>
      <c r="AH5" s="22">
        <f>SUM(DriversCGE!J8:J26)</f>
        <v>2955.8283557680493</v>
      </c>
      <c r="AI5" s="22">
        <f>SUM(DriversCGE!K8:K26)</f>
        <v>3029.3418100632243</v>
      </c>
      <c r="AJ5" s="22">
        <f>SUM(DriversCGE!L8:L26)</f>
        <v>3096.9235656605069</v>
      </c>
      <c r="AK5" s="22">
        <f>SUM(DriversCGE!M8:M26)</f>
        <v>3164.9913153938119</v>
      </c>
      <c r="AL5" s="22">
        <f>SUM(DriversCGE!N8:N26)</f>
        <v>3243.9343576281244</v>
      </c>
      <c r="AM5" s="22">
        <f>SUM(DriversCGE!O8:O26)</f>
        <v>3323.4894248054193</v>
      </c>
      <c r="AN5" s="22">
        <f>SUM(DriversCGE!P8:P26)</f>
        <v>3405.0383623635093</v>
      </c>
      <c r="AO5" s="22">
        <f>SUM(DriversCGE!Q8:Q26)</f>
        <v>3484.6615328053908</v>
      </c>
      <c r="AP5" s="22">
        <f>SUM(DriversCGE!R8:R26)</f>
        <v>3569.0463394754997</v>
      </c>
      <c r="AQ5" s="22">
        <f>SUM(DriversCGE!S8:S26)</f>
        <v>3649.0585821923282</v>
      </c>
      <c r="AR5" s="22">
        <f>SUM(DriversCGE!T8:T26)</f>
        <v>3731.1417494805996</v>
      </c>
      <c r="AS5" s="22">
        <f>SUM(DriversCGE!U8:U26)</f>
        <v>3827.4522545287286</v>
      </c>
      <c r="AT5" s="22">
        <f>SUM(DriversCGE!V8:V26)</f>
        <v>3931.0665964458262</v>
      </c>
      <c r="AU5" s="22">
        <f>SUM(DriversCGE!W8:W26)</f>
        <v>4038.195123888609</v>
      </c>
      <c r="AV5" s="22">
        <f>SUM(DriversCGE!X8:X26)</f>
        <v>4062.1020469535192</v>
      </c>
      <c r="AW5" s="22">
        <f>SUM(DriversCGE!Y8:Y26)</f>
        <v>0</v>
      </c>
      <c r="AX5" s="22">
        <f>SUM(DriversCGE!Z8:Z26)</f>
        <v>0</v>
      </c>
      <c r="AY5" s="22">
        <f>SUM(DriversCGE!AA8:AA26)</f>
        <v>0</v>
      </c>
      <c r="AZ5" s="22">
        <f>SUM(DriversCGE!AB8:AB26)</f>
        <v>0</v>
      </c>
      <c r="BA5" s="22">
        <f>SUM(DriversCGE!AC8:AC26)</f>
        <v>0</v>
      </c>
      <c r="BB5" s="22">
        <f>SUM(DriversCGE!AD8:AD26)</f>
        <v>0</v>
      </c>
      <c r="BC5" s="22">
        <f>SUM(DriversCGE!AE8:AE26)</f>
        <v>0</v>
      </c>
      <c r="BD5" s="22">
        <f>SUM(DriversCGE!AF8:AF26)</f>
        <v>0</v>
      </c>
      <c r="BE5" s="22">
        <f>SUM(DriversCGE!AG8:AG26)</f>
        <v>0</v>
      </c>
      <c r="BF5" s="22">
        <f>SUM(DriversCGE!AH8:AH26)</f>
        <v>0</v>
      </c>
      <c r="BG5" s="22">
        <f>SUM(DriversCGE!AI8:AI26)</f>
        <v>0</v>
      </c>
      <c r="BH5" s="22">
        <f>SUM(DriversCGE!AJ8:AJ26)</f>
        <v>0</v>
      </c>
      <c r="BI5" s="22">
        <f>SUM(DriversCGE!AK8:AK26)</f>
        <v>0</v>
      </c>
      <c r="BJ5" s="22">
        <f>SUM(DriversCGE!AL8:AL26)</f>
        <v>0</v>
      </c>
      <c r="BK5" s="22">
        <f>SUM(DriversCGE!AM8:AM26)</f>
        <v>0</v>
      </c>
      <c r="BL5" s="22">
        <f>SUM(DriversCGE!AN8:AN26)</f>
        <v>0</v>
      </c>
    </row>
    <row r="6" spans="1:68" x14ac:dyDescent="0.25">
      <c r="Z6" s="91">
        <v>2893.5650000000001</v>
      </c>
      <c r="AA6" s="91">
        <v>2965.2651000000001</v>
      </c>
      <c r="AB6" s="91">
        <v>3020.9666999999999</v>
      </c>
      <c r="AC6" s="91">
        <v>3059.4472000000001</v>
      </c>
      <c r="AD6" s="91">
        <v>3083.9180999999999</v>
      </c>
      <c r="AE6" s="91">
        <v>3120.5392000000002</v>
      </c>
      <c r="AF6" s="91">
        <v>3152.2314999999999</v>
      </c>
      <c r="AG6" s="91">
        <v>3179.2959999999998</v>
      </c>
      <c r="AH6" s="91">
        <v>2948.9344000000001</v>
      </c>
      <c r="AI6" s="91">
        <v>3014.3775000000001</v>
      </c>
      <c r="AJ6" s="91">
        <v>3077.2037999999998</v>
      </c>
      <c r="AK6" s="91">
        <v>3140.6174999999998</v>
      </c>
      <c r="AL6" s="91">
        <v>3201.7784999999999</v>
      </c>
      <c r="AM6" s="91">
        <v>3265.5524</v>
      </c>
      <c r="AN6" s="91">
        <v>3341.2748999999999</v>
      </c>
      <c r="AO6" s="91">
        <v>3416.3045999999999</v>
      </c>
      <c r="AP6" s="91">
        <v>3494.8710999999998</v>
      </c>
      <c r="AQ6" s="91">
        <v>3576.0637999999999</v>
      </c>
      <c r="AR6" s="91">
        <v>3660.1224000000002</v>
      </c>
      <c r="AS6" s="91">
        <v>3761.0109000000002</v>
      </c>
      <c r="AT6" s="91">
        <v>3857.1878000000002</v>
      </c>
      <c r="AU6" s="91">
        <v>3963.9917</v>
      </c>
      <c r="AV6" s="91">
        <v>4078.2248</v>
      </c>
      <c r="AW6" s="91">
        <v>4200.2892000000002</v>
      </c>
      <c r="AX6" s="91">
        <v>4325.9525000000003</v>
      </c>
      <c r="AY6" s="91">
        <v>4457.0024000000003</v>
      </c>
      <c r="AZ6" s="91">
        <v>4590.0533999999998</v>
      </c>
      <c r="BA6" s="91">
        <v>4728.5418</v>
      </c>
      <c r="BB6" s="91">
        <v>4875.5102999999999</v>
      </c>
      <c r="BC6" s="91">
        <v>5028.5456999999997</v>
      </c>
      <c r="BD6" s="91">
        <v>5188.0910000000003</v>
      </c>
      <c r="BE6" s="91">
        <v>5353.7750999999998</v>
      </c>
      <c r="BF6" s="91">
        <v>5526.5140000000001</v>
      </c>
      <c r="BG6" s="91">
        <v>5709.9394000000002</v>
      </c>
      <c r="BH6" s="91">
        <v>5902.4267</v>
      </c>
      <c r="BI6" s="91">
        <v>6104.1282000000001</v>
      </c>
      <c r="BJ6" s="91">
        <v>6308.1403</v>
      </c>
      <c r="BK6" s="91">
        <v>6522.2016999999996</v>
      </c>
      <c r="BL6" s="91">
        <v>6747.1509999999998</v>
      </c>
    </row>
    <row r="7" spans="1:68" x14ac:dyDescent="0.25">
      <c r="C7" t="s">
        <v>805</v>
      </c>
      <c r="D7" s="84">
        <v>3.0000000000000027E-2</v>
      </c>
      <c r="E7" s="84">
        <v>3.0000000000000027E-2</v>
      </c>
      <c r="F7" s="84">
        <v>3.0000000000000027E-2</v>
      </c>
      <c r="G7" s="84">
        <v>3.0000000000000027E-2</v>
      </c>
      <c r="H7" s="84">
        <v>3.0000000000000027E-2</v>
      </c>
      <c r="I7" s="84">
        <v>3.0000000000000027E-2</v>
      </c>
      <c r="J7" s="84">
        <v>4.2000000000000037E-2</v>
      </c>
      <c r="K7" s="84">
        <v>2.6000000000000023E-2</v>
      </c>
      <c r="L7" s="84">
        <v>6.9999999999998952E-3</v>
      </c>
      <c r="M7" s="84">
        <v>2.6999999999999913E-2</v>
      </c>
      <c r="N7" s="84">
        <v>4.4000000000000039E-2</v>
      </c>
      <c r="O7" s="84">
        <v>2.8999999999999915E-2</v>
      </c>
      <c r="P7" s="84">
        <v>3.8004202858745728E-2</v>
      </c>
      <c r="Q7" s="84">
        <v>2.9814696181032829E-2</v>
      </c>
      <c r="R7" s="84">
        <v>4.4976774203169034E-2</v>
      </c>
      <c r="S7" s="84">
        <v>5.3124294107518955E-2</v>
      </c>
      <c r="T7" s="84">
        <v>5.5261735541941581E-2</v>
      </c>
      <c r="U7" s="84">
        <v>5.5856888896875345E-2</v>
      </c>
      <c r="V7" s="84">
        <v>3.7619048885406903E-2</v>
      </c>
      <c r="W7" s="84">
        <v>-1.3422624472824496E-2</v>
      </c>
      <c r="X7" s="84">
        <v>3.0797055347604463E-2</v>
      </c>
      <c r="Y7" s="84">
        <v>3.4314860364160982E-2</v>
      </c>
      <c r="Z7" s="84">
        <v>2.4387374228239223E-2</v>
      </c>
    </row>
    <row r="9" spans="1:68" x14ac:dyDescent="0.25">
      <c r="Z9">
        <v>2893.58</v>
      </c>
      <c r="AA9">
        <v>2965.2699999999995</v>
      </c>
      <c r="AB9">
        <v>3020.96</v>
      </c>
      <c r="AC9">
        <v>3059.4500000000003</v>
      </c>
      <c r="AD9">
        <v>3083.92</v>
      </c>
      <c r="AE9">
        <v>3120.5399999999995</v>
      </c>
      <c r="AF9">
        <v>3152.24</v>
      </c>
      <c r="AG9">
        <v>3179.29</v>
      </c>
      <c r="AH9">
        <v>2948.9199999999996</v>
      </c>
      <c r="AI9">
        <v>3014.3800000000006</v>
      </c>
      <c r="AJ9">
        <v>3077.2000000000003</v>
      </c>
      <c r="AK9">
        <v>3140.61</v>
      </c>
      <c r="AL9">
        <v>3201.7699999999991</v>
      </c>
      <c r="AM9">
        <v>3265.5400000000009</v>
      </c>
      <c r="AN9">
        <v>3341.2800000000007</v>
      </c>
      <c r="AO9">
        <v>3416.2799999999997</v>
      </c>
      <c r="AP9">
        <v>3494.88</v>
      </c>
      <c r="AQ9">
        <v>3576.08</v>
      </c>
      <c r="AR9">
        <v>3660.1199999999994</v>
      </c>
      <c r="AS9">
        <v>3761.0299999999997</v>
      </c>
      <c r="AT9">
        <v>3857.2000000000003</v>
      </c>
      <c r="AU9">
        <v>3964.01</v>
      </c>
      <c r="AV9">
        <v>4078.2199999999993</v>
      </c>
      <c r="AW9">
        <v>4200.2899999999991</v>
      </c>
      <c r="AX9">
        <v>4325.97</v>
      </c>
      <c r="AY9">
        <v>4457.0000000000018</v>
      </c>
      <c r="AZ9">
        <v>4590.03</v>
      </c>
      <c r="BA9">
        <v>4728.5300000000007</v>
      </c>
      <c r="BB9">
        <v>4875.51</v>
      </c>
      <c r="BC9">
        <v>5028.54</v>
      </c>
      <c r="BD9">
        <v>5188.0999999999995</v>
      </c>
      <c r="BE9">
        <v>5353.79</v>
      </c>
      <c r="BF9">
        <v>5526.5</v>
      </c>
      <c r="BG9">
        <v>5709.9300000000012</v>
      </c>
      <c r="BH9">
        <v>5902.43</v>
      </c>
      <c r="BI9">
        <v>6104.12</v>
      </c>
      <c r="BJ9">
        <v>6308.13</v>
      </c>
      <c r="BK9">
        <v>6522.2000000000007</v>
      </c>
      <c r="BL9">
        <v>6747.130000000001</v>
      </c>
    </row>
    <row r="10" spans="1:68" x14ac:dyDescent="0.25">
      <c r="Z10">
        <f>Z9+(Z9*0.5)</f>
        <v>4340.37</v>
      </c>
      <c r="AA10">
        <f t="shared" ref="AA10:BL10" si="1">AA9+(AA9*0.2)</f>
        <v>3558.3239999999996</v>
      </c>
      <c r="AB10">
        <f t="shared" si="1"/>
        <v>3625.152</v>
      </c>
      <c r="AC10">
        <f t="shared" si="1"/>
        <v>3671.34</v>
      </c>
      <c r="AD10">
        <f t="shared" si="1"/>
        <v>3700.7040000000002</v>
      </c>
      <c r="AE10">
        <f t="shared" si="1"/>
        <v>3744.6479999999992</v>
      </c>
      <c r="AF10">
        <f t="shared" si="1"/>
        <v>3782.6879999999996</v>
      </c>
      <c r="AG10">
        <f t="shared" si="1"/>
        <v>3815.1480000000001</v>
      </c>
      <c r="AH10">
        <f t="shared" si="1"/>
        <v>3538.7039999999997</v>
      </c>
      <c r="AI10">
        <f t="shared" si="1"/>
        <v>3617.2560000000008</v>
      </c>
      <c r="AJ10">
        <f t="shared" si="1"/>
        <v>3692.6400000000003</v>
      </c>
      <c r="AK10">
        <f t="shared" si="1"/>
        <v>3768.732</v>
      </c>
      <c r="AL10">
        <f t="shared" si="1"/>
        <v>3842.1239999999989</v>
      </c>
      <c r="AM10">
        <f t="shared" si="1"/>
        <v>3918.648000000001</v>
      </c>
      <c r="AN10">
        <f t="shared" si="1"/>
        <v>4009.536000000001</v>
      </c>
      <c r="AO10">
        <f t="shared" si="1"/>
        <v>4099.5360000000001</v>
      </c>
      <c r="AP10">
        <f t="shared" si="1"/>
        <v>4193.8559999999998</v>
      </c>
      <c r="AQ10">
        <f t="shared" si="1"/>
        <v>4291.2960000000003</v>
      </c>
      <c r="AR10">
        <f t="shared" si="1"/>
        <v>4392.1439999999993</v>
      </c>
      <c r="AS10">
        <f t="shared" si="1"/>
        <v>4513.2359999999999</v>
      </c>
      <c r="AT10">
        <f t="shared" si="1"/>
        <v>4628.6400000000003</v>
      </c>
      <c r="AU10">
        <f t="shared" si="1"/>
        <v>4756.8119999999999</v>
      </c>
      <c r="AV10">
        <f t="shared" si="1"/>
        <v>4893.8639999999996</v>
      </c>
      <c r="AW10">
        <f t="shared" si="1"/>
        <v>5040.347999999999</v>
      </c>
      <c r="AX10">
        <f t="shared" si="1"/>
        <v>5191.1640000000007</v>
      </c>
      <c r="AY10">
        <f t="shared" si="1"/>
        <v>5348.4000000000024</v>
      </c>
      <c r="AZ10">
        <f t="shared" si="1"/>
        <v>5508.0360000000001</v>
      </c>
      <c r="BA10">
        <f t="shared" si="1"/>
        <v>5674.2360000000008</v>
      </c>
      <c r="BB10">
        <f t="shared" si="1"/>
        <v>5850.6120000000001</v>
      </c>
      <c r="BC10">
        <f t="shared" si="1"/>
        <v>6034.2479999999996</v>
      </c>
      <c r="BD10">
        <f t="shared" si="1"/>
        <v>6225.7199999999993</v>
      </c>
      <c r="BE10">
        <f t="shared" si="1"/>
        <v>6424.5479999999998</v>
      </c>
      <c r="BF10">
        <f t="shared" si="1"/>
        <v>6631.8</v>
      </c>
      <c r="BG10">
        <f t="shared" si="1"/>
        <v>6851.9160000000011</v>
      </c>
      <c r="BH10">
        <f t="shared" si="1"/>
        <v>7082.9160000000002</v>
      </c>
      <c r="BI10">
        <f t="shared" si="1"/>
        <v>7324.9439999999995</v>
      </c>
      <c r="BJ10">
        <f t="shared" si="1"/>
        <v>7569.7560000000003</v>
      </c>
      <c r="BK10">
        <f t="shared" si="1"/>
        <v>7826.6400000000012</v>
      </c>
      <c r="BL10">
        <f t="shared" si="1"/>
        <v>8096.5560000000014</v>
      </c>
    </row>
  </sheetData>
  <pageMargins left="0.7" right="0.7" top="0.75" bottom="0.75" header="0.3" footer="0.3"/>
  <legacyDrawing r:id="rId1"/>
  <extLst>
    <ext xmlns:x14="http://schemas.microsoft.com/office/spreadsheetml/2009/9/main" uri="{05C60535-1F16-4fd2-B633-F4F36F0B64E0}">
      <x14:sparklineGroups xmlns:xm="http://schemas.microsoft.com/office/excel/2006/main">
        <x14:sparklineGroup displayEmptyCellsAs="gap" xr2:uid="{00000000-0003-0000-0600-000000000000}">
          <x14:colorSeries rgb="FF376092"/>
          <x14:colorNegative rgb="FFD00000"/>
          <x14:colorAxis rgb="FF000000"/>
          <x14:colorMarkers rgb="FFD00000"/>
          <x14:colorFirst rgb="FFD00000"/>
          <x14:colorLast rgb="FFD00000"/>
          <x14:colorHigh rgb="FFD00000"/>
          <x14:colorLow rgb="FFD00000"/>
          <x14:sparklines>
            <x14:sparkline>
              <xm:f>Drivers!D5:BL5</xm:f>
              <xm:sqref>BN5</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7030A0"/>
  </sheetPr>
  <dimension ref="A1:J135"/>
  <sheetViews>
    <sheetView topLeftCell="A58" workbookViewId="0">
      <selection activeCell="H81" sqref="H81"/>
    </sheetView>
  </sheetViews>
  <sheetFormatPr defaultRowHeight="15" x14ac:dyDescent="0.25"/>
  <cols>
    <col min="1" max="1" width="21.28515625" customWidth="1"/>
    <col min="2" max="2" width="24.85546875" customWidth="1"/>
    <col min="3" max="3" width="16.85546875" customWidth="1"/>
    <col min="4" max="4" width="12.85546875" customWidth="1"/>
    <col min="5" max="5" width="42.42578125" customWidth="1"/>
    <col min="6" max="7" width="12.85546875" customWidth="1"/>
    <col min="8" max="8" width="12.7109375" customWidth="1"/>
    <col min="9" max="9" width="11.42578125" customWidth="1"/>
    <col min="10" max="10" width="11.7109375" customWidth="1"/>
  </cols>
  <sheetData>
    <row r="1" spans="1:10" ht="18.75" x14ac:dyDescent="0.3">
      <c r="A1" s="1" t="s">
        <v>8</v>
      </c>
    </row>
    <row r="3" spans="1:10" x14ac:dyDescent="0.25">
      <c r="A3" t="s">
        <v>9</v>
      </c>
      <c r="B3" s="21">
        <v>21</v>
      </c>
    </row>
    <row r="4" spans="1:10" x14ac:dyDescent="0.25">
      <c r="A4" t="s">
        <v>10</v>
      </c>
      <c r="B4" s="21">
        <v>310</v>
      </c>
    </row>
    <row r="5" spans="1:10" x14ac:dyDescent="0.25">
      <c r="A5" t="s">
        <v>388</v>
      </c>
      <c r="B5" s="21">
        <f>44/12</f>
        <v>3.6666666666666665</v>
      </c>
    </row>
    <row r="6" spans="1:10" x14ac:dyDescent="0.25">
      <c r="A6" t="s">
        <v>794</v>
      </c>
      <c r="B6" s="21">
        <f>12/44</f>
        <v>0.27272727272727271</v>
      </c>
    </row>
    <row r="8" spans="1:10" x14ac:dyDescent="0.25">
      <c r="A8" t="s">
        <v>146</v>
      </c>
      <c r="B8" s="21">
        <f>44/28</f>
        <v>1.5714285714285714</v>
      </c>
    </row>
    <row r="9" spans="1:10" x14ac:dyDescent="0.25">
      <c r="A9" t="s">
        <v>147</v>
      </c>
      <c r="B9" s="21">
        <v>9.9999999999999995E-7</v>
      </c>
    </row>
    <row r="10" spans="1:10" x14ac:dyDescent="0.25">
      <c r="A10" t="s">
        <v>319</v>
      </c>
      <c r="B10" s="21">
        <v>1E-3</v>
      </c>
    </row>
    <row r="11" spans="1:10" x14ac:dyDescent="0.25">
      <c r="A11" t="s">
        <v>389</v>
      </c>
      <c r="B11" s="21">
        <v>1E-3</v>
      </c>
    </row>
    <row r="12" spans="1:10" x14ac:dyDescent="0.25">
      <c r="A12" t="s">
        <v>418</v>
      </c>
      <c r="B12" s="21">
        <v>1000</v>
      </c>
    </row>
    <row r="13" spans="1:10" x14ac:dyDescent="0.25">
      <c r="A13" t="s">
        <v>795</v>
      </c>
      <c r="B13" s="21">
        <v>1000</v>
      </c>
    </row>
    <row r="16" spans="1:10" s="19" customFormat="1" ht="29.25" customHeight="1" x14ac:dyDescent="0.25">
      <c r="A16" s="17" t="s">
        <v>4</v>
      </c>
      <c r="B16" s="17" t="s">
        <v>313</v>
      </c>
      <c r="C16" s="17" t="s">
        <v>315</v>
      </c>
      <c r="D16" s="17" t="s">
        <v>149</v>
      </c>
      <c r="E16" s="17" t="s">
        <v>150</v>
      </c>
      <c r="F16" s="17" t="s">
        <v>0</v>
      </c>
      <c r="G16" s="17" t="s">
        <v>283</v>
      </c>
      <c r="H16" s="17" t="s">
        <v>717</v>
      </c>
      <c r="I16" s="17" t="s">
        <v>717</v>
      </c>
      <c r="J16" s="17" t="s">
        <v>717</v>
      </c>
    </row>
    <row r="17" spans="1:10" ht="18.75" customHeight="1" x14ac:dyDescent="0.25">
      <c r="A17" s="20" t="s">
        <v>1</v>
      </c>
      <c r="B17" s="20"/>
      <c r="C17" s="20"/>
      <c r="D17" s="15"/>
      <c r="E17" s="15"/>
      <c r="F17" s="15"/>
      <c r="G17" s="15"/>
      <c r="H17" s="15"/>
      <c r="I17" s="15"/>
      <c r="J17" s="15"/>
    </row>
    <row r="18" spans="1:10" x14ac:dyDescent="0.25">
      <c r="A18" s="23" t="str">
        <f>'IPCC Categories'!A5</f>
        <v>3A Livestock</v>
      </c>
      <c r="B18" s="23"/>
      <c r="C18" s="23" t="str">
        <f>'IPCC Categories'!$D$5</f>
        <v>3A1ai Dairy cattle</v>
      </c>
      <c r="D18" t="str">
        <f>'IPCC Categories'!$F$39</f>
        <v>TMR</v>
      </c>
      <c r="E18" t="s">
        <v>330</v>
      </c>
      <c r="F18" t="s">
        <v>327</v>
      </c>
      <c r="G18" t="s">
        <v>331</v>
      </c>
      <c r="H18" s="54">
        <v>0.35</v>
      </c>
    </row>
    <row r="19" spans="1:10" x14ac:dyDescent="0.25">
      <c r="A19" s="23" t="str">
        <f>A18</f>
        <v>3A Livestock</v>
      </c>
      <c r="B19" s="23"/>
      <c r="C19" s="23" t="str">
        <f>C18</f>
        <v>3A1ai Dairy cattle</v>
      </c>
      <c r="E19" t="s">
        <v>841</v>
      </c>
      <c r="F19" t="s">
        <v>327</v>
      </c>
      <c r="H19" s="54">
        <v>0.28999999999999998</v>
      </c>
    </row>
    <row r="20" spans="1:10" x14ac:dyDescent="0.25">
      <c r="A20" s="23" t="str">
        <f>A19</f>
        <v>3A Livestock</v>
      </c>
      <c r="B20" s="23"/>
      <c r="C20" s="23" t="str">
        <f>'IPCC Categories'!D13</f>
        <v>3A2aii Other cattle</v>
      </c>
      <c r="E20" t="s">
        <v>844</v>
      </c>
      <c r="F20" t="s">
        <v>327</v>
      </c>
      <c r="H20" s="54">
        <v>0.53</v>
      </c>
    </row>
    <row r="21" spans="1:10" s="23" customFormat="1" x14ac:dyDescent="0.25">
      <c r="A21" s="23" t="str">
        <f>A20</f>
        <v>3A Livestock</v>
      </c>
      <c r="C21" s="23" t="str">
        <f>C20</f>
        <v>3A2aii Other cattle</v>
      </c>
      <c r="E21" s="23" t="s">
        <v>909</v>
      </c>
      <c r="F21" s="23" t="s">
        <v>910</v>
      </c>
      <c r="H21" s="54">
        <v>460</v>
      </c>
    </row>
    <row r="22" spans="1:10" x14ac:dyDescent="0.25">
      <c r="A22" t="str">
        <f>A18</f>
        <v>3A Livestock</v>
      </c>
      <c r="C22" t="str">
        <f>'IPCC Categories'!C7</f>
        <v>3A1c Sheep</v>
      </c>
      <c r="E22" t="s">
        <v>833</v>
      </c>
      <c r="F22" t="s">
        <v>327</v>
      </c>
      <c r="H22" s="54">
        <v>0.87</v>
      </c>
    </row>
    <row r="23" spans="1:10" x14ac:dyDescent="0.25">
      <c r="A23" t="str">
        <f t="shared" ref="A23:A27" si="0">A22</f>
        <v>3A Livestock</v>
      </c>
      <c r="C23" t="str">
        <f>'IPCC Categories'!C8</f>
        <v>3A1d Goats</v>
      </c>
      <c r="E23" t="s">
        <v>834</v>
      </c>
      <c r="F23" t="s">
        <v>327</v>
      </c>
      <c r="H23" s="54">
        <v>0.34</v>
      </c>
    </row>
    <row r="24" spans="1:10" x14ac:dyDescent="0.25">
      <c r="A24" t="str">
        <f t="shared" si="0"/>
        <v>3A Livestock</v>
      </c>
      <c r="C24" t="str">
        <f>'IPCC Categories'!C11</f>
        <v>3A1h Swine</v>
      </c>
      <c r="E24" t="s">
        <v>835</v>
      </c>
      <c r="F24" t="s">
        <v>327</v>
      </c>
      <c r="H24" s="54">
        <v>0.88</v>
      </c>
    </row>
    <row r="25" spans="1:10" x14ac:dyDescent="0.25">
      <c r="A25" t="str">
        <f t="shared" si="0"/>
        <v>3A Livestock</v>
      </c>
      <c r="C25" t="str">
        <f>'IPCC Categories'!C19</f>
        <v>3A2i Poultry</v>
      </c>
      <c r="E25" t="s">
        <v>837</v>
      </c>
      <c r="F25" t="s">
        <v>327</v>
      </c>
      <c r="H25" s="54">
        <v>0.96</v>
      </c>
    </row>
    <row r="26" spans="1:10" x14ac:dyDescent="0.25">
      <c r="A26" t="str">
        <f t="shared" si="0"/>
        <v>3A Livestock</v>
      </c>
      <c r="C26" t="str">
        <f>C25</f>
        <v>3A2i Poultry</v>
      </c>
      <c r="E26" t="s">
        <v>839</v>
      </c>
      <c r="F26" t="s">
        <v>327</v>
      </c>
      <c r="H26" s="54">
        <v>0.96</v>
      </c>
    </row>
    <row r="27" spans="1:10" x14ac:dyDescent="0.25">
      <c r="A27" t="str">
        <f t="shared" si="0"/>
        <v>3A Livestock</v>
      </c>
      <c r="C27" t="str">
        <f>C23</f>
        <v>3A1d Goats</v>
      </c>
      <c r="E27" t="s">
        <v>342</v>
      </c>
      <c r="F27" t="s">
        <v>327</v>
      </c>
      <c r="G27" t="s">
        <v>343</v>
      </c>
      <c r="H27" s="54">
        <v>0.06</v>
      </c>
    </row>
    <row r="28" spans="1:10" ht="18.75" customHeight="1" x14ac:dyDescent="0.25">
      <c r="A28" s="20" t="s">
        <v>629</v>
      </c>
      <c r="B28" s="20"/>
      <c r="C28" s="20"/>
      <c r="D28" s="15"/>
      <c r="E28" s="15"/>
      <c r="F28" s="15"/>
      <c r="G28" s="15"/>
      <c r="H28" s="15"/>
      <c r="I28" s="15"/>
      <c r="J28" s="15"/>
    </row>
    <row r="29" spans="1:10" x14ac:dyDescent="0.25">
      <c r="A29" t="str">
        <f>A41</f>
        <v>3C Aggregated and non-CO2 emissions on land</v>
      </c>
      <c r="B29" t="str">
        <f>B41</f>
        <v>3C4 Direct N2O from managed soils (N2O)</v>
      </c>
      <c r="C29" t="str">
        <f>'IPCC Categories'!B73</f>
        <v>3C4 Direct N2O from managed soils (N2O)</v>
      </c>
      <c r="E29" t="s">
        <v>852</v>
      </c>
      <c r="H29" s="54">
        <v>1.5</v>
      </c>
    </row>
    <row r="30" spans="1:10" x14ac:dyDescent="0.25">
      <c r="A30" t="str">
        <f>A29</f>
        <v>3C Aggregated and non-CO2 emissions on land</v>
      </c>
      <c r="B30" t="str">
        <f>B29</f>
        <v>3C4 Direct N2O from managed soils (N2O)</v>
      </c>
      <c r="C30" t="str">
        <f>C29</f>
        <v>3C4 Direct N2O from managed soils (N2O)</v>
      </c>
      <c r="E30" t="s">
        <v>853</v>
      </c>
      <c r="H30" s="54">
        <v>5.5</v>
      </c>
    </row>
    <row r="31" spans="1:10" x14ac:dyDescent="0.25">
      <c r="A31" t="str">
        <f t="shared" ref="A31:A34" si="1">A30</f>
        <v>3C Aggregated and non-CO2 emissions on land</v>
      </c>
      <c r="B31" t="str">
        <f t="shared" ref="B31:B34" si="2">B30</f>
        <v>3C4 Direct N2O from managed soils (N2O)</v>
      </c>
      <c r="C31" t="str">
        <f t="shared" ref="C31:C34" si="3">C30</f>
        <v>3C4 Direct N2O from managed soils (N2O)</v>
      </c>
      <c r="E31" t="s">
        <v>854</v>
      </c>
      <c r="H31" s="54">
        <v>5.5</v>
      </c>
    </row>
    <row r="32" spans="1:10" x14ac:dyDescent="0.25">
      <c r="A32" t="str">
        <f t="shared" si="1"/>
        <v>3C Aggregated and non-CO2 emissions on land</v>
      </c>
      <c r="B32" t="str">
        <f t="shared" si="2"/>
        <v>3C4 Direct N2O from managed soils (N2O)</v>
      </c>
      <c r="C32" t="str">
        <f t="shared" si="3"/>
        <v>3C4 Direct N2O from managed soils (N2O)</v>
      </c>
      <c r="E32" t="s">
        <v>855</v>
      </c>
      <c r="H32" s="54">
        <v>2</v>
      </c>
    </row>
    <row r="33" spans="1:8" x14ac:dyDescent="0.25">
      <c r="A33" t="str">
        <f t="shared" si="1"/>
        <v>3C Aggregated and non-CO2 emissions on land</v>
      </c>
      <c r="B33" t="str">
        <f t="shared" si="2"/>
        <v>3C4 Direct N2O from managed soils (N2O)</v>
      </c>
      <c r="C33" t="str">
        <f t="shared" si="3"/>
        <v>3C4 Direct N2O from managed soils (N2O)</v>
      </c>
      <c r="E33" t="s">
        <v>856</v>
      </c>
      <c r="H33" s="54">
        <v>2</v>
      </c>
    </row>
    <row r="34" spans="1:8" x14ac:dyDescent="0.25">
      <c r="A34" t="str">
        <f t="shared" si="1"/>
        <v>3C Aggregated and non-CO2 emissions on land</v>
      </c>
      <c r="B34" t="str">
        <f t="shared" si="2"/>
        <v>3C4 Direct N2O from managed soils (N2O)</v>
      </c>
      <c r="C34" t="str">
        <f t="shared" si="3"/>
        <v>3C4 Direct N2O from managed soils (N2O)</v>
      </c>
      <c r="E34" t="s">
        <v>857</v>
      </c>
      <c r="H34" s="54">
        <v>1.6</v>
      </c>
    </row>
    <row r="35" spans="1:8" x14ac:dyDescent="0.25">
      <c r="A35" t="str">
        <f>A68</f>
        <v>3C Aggregated and non-CO2 emissions on land</v>
      </c>
      <c r="B35" t="str">
        <f>B68</f>
        <v>3C4 Direct N2O from managed soils (N2O)</v>
      </c>
      <c r="C35" t="str">
        <f>C34</f>
        <v>3C4 Direct N2O from managed soils (N2O)</v>
      </c>
      <c r="E35" t="s">
        <v>864</v>
      </c>
      <c r="F35" t="s">
        <v>327</v>
      </c>
      <c r="H35" s="54">
        <v>0.6</v>
      </c>
    </row>
    <row r="36" spans="1:8" x14ac:dyDescent="0.25">
      <c r="A36" t="str">
        <f>A35</f>
        <v>3C Aggregated and non-CO2 emissions on land</v>
      </c>
      <c r="B36" t="str">
        <f>B35</f>
        <v>3C4 Direct N2O from managed soils (N2O)</v>
      </c>
      <c r="C36" t="str">
        <f>C35</f>
        <v>3C4 Direct N2O from managed soils (N2O)</v>
      </c>
      <c r="E36" t="s">
        <v>865</v>
      </c>
      <c r="F36" t="s">
        <v>327</v>
      </c>
      <c r="H36" s="54">
        <v>0.7</v>
      </c>
    </row>
    <row r="37" spans="1:8" x14ac:dyDescent="0.25">
      <c r="A37" t="str">
        <f t="shared" ref="A37:A40" si="4">A36</f>
        <v>3C Aggregated and non-CO2 emissions on land</v>
      </c>
      <c r="B37" t="str">
        <f t="shared" ref="B37:B40" si="5">B36</f>
        <v>3C4 Direct N2O from managed soils (N2O)</v>
      </c>
      <c r="C37" t="str">
        <f t="shared" ref="C37:C40" si="6">C36</f>
        <v>3C4 Direct N2O from managed soils (N2O)</v>
      </c>
      <c r="E37" t="s">
        <v>866</v>
      </c>
      <c r="F37" t="s">
        <v>327</v>
      </c>
      <c r="H37" s="54">
        <v>0.7</v>
      </c>
    </row>
    <row r="38" spans="1:8" x14ac:dyDescent="0.25">
      <c r="A38" t="str">
        <f t="shared" si="4"/>
        <v>3C Aggregated and non-CO2 emissions on land</v>
      </c>
      <c r="B38" t="str">
        <f t="shared" si="5"/>
        <v>3C4 Direct N2O from managed soils (N2O)</v>
      </c>
      <c r="C38" t="str">
        <f t="shared" si="6"/>
        <v>3C4 Direct N2O from managed soils (N2O)</v>
      </c>
      <c r="E38" t="s">
        <v>867</v>
      </c>
      <c r="F38" t="s">
        <v>327</v>
      </c>
      <c r="H38" s="54">
        <v>0.25</v>
      </c>
    </row>
    <row r="39" spans="1:8" x14ac:dyDescent="0.25">
      <c r="A39" t="str">
        <f t="shared" si="4"/>
        <v>3C Aggregated and non-CO2 emissions on land</v>
      </c>
      <c r="B39" t="str">
        <f t="shared" si="5"/>
        <v>3C4 Direct N2O from managed soils (N2O)</v>
      </c>
      <c r="C39" t="str">
        <f t="shared" si="6"/>
        <v>3C4 Direct N2O from managed soils (N2O)</v>
      </c>
      <c r="E39" t="s">
        <v>868</v>
      </c>
      <c r="F39" t="s">
        <v>327</v>
      </c>
      <c r="H39" s="54">
        <v>0.6</v>
      </c>
    </row>
    <row r="40" spans="1:8" x14ac:dyDescent="0.25">
      <c r="A40" t="str">
        <f t="shared" si="4"/>
        <v>3C Aggregated and non-CO2 emissions on land</v>
      </c>
      <c r="B40" t="str">
        <f t="shared" si="5"/>
        <v>3C4 Direct N2O from managed soils (N2O)</v>
      </c>
      <c r="C40" t="str">
        <f t="shared" si="6"/>
        <v>3C4 Direct N2O from managed soils (N2O)</v>
      </c>
      <c r="E40" t="s">
        <v>869</v>
      </c>
      <c r="F40" t="s">
        <v>327</v>
      </c>
      <c r="H40" s="54">
        <v>0.65</v>
      </c>
    </row>
    <row r="41" spans="1:8" x14ac:dyDescent="0.25">
      <c r="A41" t="str">
        <f>'IPCC Categories'!A59</f>
        <v>3C Aggregated and non-CO2 emissions on land</v>
      </c>
      <c r="B41" t="str">
        <f>'IPCC Categories'!B73</f>
        <v>3C4 Direct N2O from managed soils (N2O)</v>
      </c>
      <c r="C41" t="str">
        <f>'IPCC Categories'!C75</f>
        <v>Crop residues</v>
      </c>
      <c r="E41" t="s">
        <v>445</v>
      </c>
      <c r="F41" t="s">
        <v>377</v>
      </c>
      <c r="H41" s="54">
        <v>0.6</v>
      </c>
    </row>
    <row r="42" spans="1:8" x14ac:dyDescent="0.25">
      <c r="A42" t="str">
        <f>A41</f>
        <v>3C Aggregated and non-CO2 emissions on land</v>
      </c>
      <c r="B42" t="str">
        <f t="shared" ref="B42:C53" si="7">B41</f>
        <v>3C4 Direct N2O from managed soils (N2O)</v>
      </c>
      <c r="C42" t="str">
        <f t="shared" si="7"/>
        <v>Crop residues</v>
      </c>
      <c r="E42" t="s">
        <v>911</v>
      </c>
      <c r="F42" t="s">
        <v>377</v>
      </c>
      <c r="H42" s="54">
        <v>0.48</v>
      </c>
    </row>
    <row r="43" spans="1:8" x14ac:dyDescent="0.25">
      <c r="A43" t="str">
        <f t="shared" ref="A43:A53" si="8">A42</f>
        <v>3C Aggregated and non-CO2 emissions on land</v>
      </c>
      <c r="B43" t="str">
        <f t="shared" si="7"/>
        <v>3C4 Direct N2O from managed soils (N2O)</v>
      </c>
      <c r="C43" t="str">
        <f t="shared" si="7"/>
        <v>Crop residues</v>
      </c>
      <c r="E43" t="s">
        <v>912</v>
      </c>
      <c r="F43" t="s">
        <v>377</v>
      </c>
      <c r="H43" s="54">
        <v>0.12</v>
      </c>
    </row>
    <row r="44" spans="1:8" x14ac:dyDescent="0.25">
      <c r="A44" t="str">
        <f t="shared" si="8"/>
        <v>3C Aggregated and non-CO2 emissions on land</v>
      </c>
      <c r="B44" t="str">
        <f t="shared" si="7"/>
        <v>3C4 Direct N2O from managed soils (N2O)</v>
      </c>
      <c r="C44" t="str">
        <f t="shared" si="7"/>
        <v>Crop residues</v>
      </c>
      <c r="E44" t="s">
        <v>913</v>
      </c>
      <c r="F44" t="s">
        <v>377</v>
      </c>
      <c r="H44" s="54">
        <v>0.48</v>
      </c>
    </row>
    <row r="45" spans="1:8" x14ac:dyDescent="0.25">
      <c r="A45" t="str">
        <f t="shared" si="8"/>
        <v>3C Aggregated and non-CO2 emissions on land</v>
      </c>
      <c r="B45" t="str">
        <f t="shared" si="7"/>
        <v>3C4 Direct N2O from managed soils (N2O)</v>
      </c>
      <c r="C45" t="str">
        <f t="shared" si="7"/>
        <v>Crop residues</v>
      </c>
      <c r="E45" t="s">
        <v>914</v>
      </c>
      <c r="F45" t="s">
        <v>365</v>
      </c>
      <c r="H45" s="54">
        <v>4.2</v>
      </c>
    </row>
    <row r="46" spans="1:8" x14ac:dyDescent="0.25">
      <c r="A46" t="str">
        <f t="shared" si="8"/>
        <v>3C Aggregated and non-CO2 emissions on land</v>
      </c>
      <c r="B46" t="str">
        <f t="shared" si="7"/>
        <v>3C4 Direct N2O from managed soils (N2O)</v>
      </c>
      <c r="C46" t="str">
        <f t="shared" si="7"/>
        <v>Crop residues</v>
      </c>
      <c r="E46" t="s">
        <v>915</v>
      </c>
      <c r="F46" t="s">
        <v>365</v>
      </c>
      <c r="H46" s="54">
        <v>2.8</v>
      </c>
    </row>
    <row r="47" spans="1:8" x14ac:dyDescent="0.25">
      <c r="A47" t="str">
        <f t="shared" si="8"/>
        <v>3C Aggregated and non-CO2 emissions on land</v>
      </c>
      <c r="B47" t="str">
        <f t="shared" si="7"/>
        <v>3C4 Direct N2O from managed soils (N2O)</v>
      </c>
      <c r="C47" t="str">
        <f t="shared" si="7"/>
        <v>Crop residues</v>
      </c>
      <c r="E47" t="s">
        <v>916</v>
      </c>
      <c r="F47" t="s">
        <v>365</v>
      </c>
      <c r="H47" s="54">
        <v>3.7</v>
      </c>
    </row>
    <row r="48" spans="1:8" x14ac:dyDescent="0.25">
      <c r="A48" t="str">
        <f t="shared" si="8"/>
        <v>3C Aggregated and non-CO2 emissions on land</v>
      </c>
      <c r="B48" t="str">
        <f t="shared" si="7"/>
        <v>3C4 Direct N2O from managed soils (N2O)</v>
      </c>
      <c r="C48" t="str">
        <f t="shared" si="7"/>
        <v>Crop residues</v>
      </c>
      <c r="E48" t="s">
        <v>917</v>
      </c>
      <c r="H48" s="54">
        <v>1.5</v>
      </c>
    </row>
    <row r="49" spans="1:8" x14ac:dyDescent="0.25">
      <c r="A49" t="str">
        <f t="shared" si="8"/>
        <v>3C Aggregated and non-CO2 emissions on land</v>
      </c>
      <c r="B49" t="str">
        <f t="shared" si="7"/>
        <v>3C4 Direct N2O from managed soils (N2O)</v>
      </c>
      <c r="C49" t="str">
        <f t="shared" si="7"/>
        <v>Crop residues</v>
      </c>
      <c r="E49" t="s">
        <v>918</v>
      </c>
      <c r="H49" s="54">
        <v>1.4</v>
      </c>
    </row>
    <row r="50" spans="1:8" x14ac:dyDescent="0.25">
      <c r="A50" t="str">
        <f t="shared" si="8"/>
        <v>3C Aggregated and non-CO2 emissions on land</v>
      </c>
      <c r="B50" t="str">
        <f t="shared" si="7"/>
        <v>3C4 Direct N2O from managed soils (N2O)</v>
      </c>
      <c r="C50" t="str">
        <f t="shared" si="7"/>
        <v>Crop residues</v>
      </c>
      <c r="E50" t="s">
        <v>919</v>
      </c>
      <c r="H50" s="54">
        <v>1.3</v>
      </c>
    </row>
    <row r="51" spans="1:8" x14ac:dyDescent="0.25">
      <c r="A51" t="str">
        <f t="shared" si="8"/>
        <v>3C Aggregated and non-CO2 emissions on land</v>
      </c>
      <c r="B51" t="str">
        <f t="shared" si="7"/>
        <v>3C4 Direct N2O from managed soils (N2O)</v>
      </c>
      <c r="C51" t="str">
        <f t="shared" si="7"/>
        <v>Crop residues</v>
      </c>
      <c r="E51" t="s">
        <v>920</v>
      </c>
      <c r="H51" s="54">
        <v>0.45</v>
      </c>
    </row>
    <row r="52" spans="1:8" x14ac:dyDescent="0.25">
      <c r="A52" t="str">
        <f t="shared" si="8"/>
        <v>3C Aggregated and non-CO2 emissions on land</v>
      </c>
      <c r="B52" t="str">
        <f t="shared" si="7"/>
        <v>3C4 Direct N2O from managed soils (N2O)</v>
      </c>
      <c r="C52" t="str">
        <f t="shared" si="7"/>
        <v>Crop residues</v>
      </c>
      <c r="E52" t="s">
        <v>921</v>
      </c>
      <c r="H52" s="54">
        <v>0</v>
      </c>
    </row>
    <row r="53" spans="1:8" x14ac:dyDescent="0.25">
      <c r="A53" t="str">
        <f t="shared" si="8"/>
        <v>3C Aggregated and non-CO2 emissions on land</v>
      </c>
      <c r="B53" t="str">
        <f t="shared" si="7"/>
        <v>3C4 Direct N2O from managed soils (N2O)</v>
      </c>
      <c r="C53" t="str">
        <f t="shared" si="7"/>
        <v>Crop residues</v>
      </c>
      <c r="E53" t="s">
        <v>922</v>
      </c>
      <c r="H53" s="54">
        <v>0.6</v>
      </c>
    </row>
    <row r="54" spans="1:8" x14ac:dyDescent="0.25">
      <c r="A54" t="str">
        <f>A47</f>
        <v>3C Aggregated and non-CO2 emissions on land</v>
      </c>
      <c r="B54" t="str">
        <f>B47</f>
        <v>3C4 Direct N2O from managed soils (N2O)</v>
      </c>
      <c r="C54" t="str">
        <f>C47</f>
        <v>Crop residues</v>
      </c>
      <c r="E54" t="s">
        <v>923</v>
      </c>
      <c r="F54" t="s">
        <v>327</v>
      </c>
      <c r="H54" s="54">
        <v>0.87</v>
      </c>
    </row>
    <row r="55" spans="1:8" x14ac:dyDescent="0.25">
      <c r="A55" t="str">
        <f t="shared" ref="A55:C58" si="9">A54</f>
        <v>3C Aggregated and non-CO2 emissions on land</v>
      </c>
      <c r="B55" t="str">
        <f t="shared" si="9"/>
        <v>3C4 Direct N2O from managed soils (N2O)</v>
      </c>
      <c r="C55" t="str">
        <f t="shared" si="9"/>
        <v>Crop residues</v>
      </c>
      <c r="E55" t="s">
        <v>924</v>
      </c>
      <c r="F55" t="s">
        <v>327</v>
      </c>
      <c r="H55" s="54">
        <v>0.89</v>
      </c>
    </row>
    <row r="56" spans="1:8" x14ac:dyDescent="0.25">
      <c r="A56" t="str">
        <f t="shared" si="9"/>
        <v>3C Aggregated and non-CO2 emissions on land</v>
      </c>
      <c r="B56" t="str">
        <f t="shared" si="9"/>
        <v>3C4 Direct N2O from managed soils (N2O)</v>
      </c>
      <c r="C56" t="str">
        <f t="shared" si="9"/>
        <v>Crop residues</v>
      </c>
      <c r="E56" t="s">
        <v>925</v>
      </c>
      <c r="F56" t="s">
        <v>327</v>
      </c>
      <c r="H56" s="54">
        <v>0.89</v>
      </c>
    </row>
    <row r="57" spans="1:8" x14ac:dyDescent="0.25">
      <c r="A57" t="str">
        <f>A56</f>
        <v>3C Aggregated and non-CO2 emissions on land</v>
      </c>
      <c r="B57" t="str">
        <f>B56</f>
        <v>3C4 Direct N2O from managed soils (N2O)</v>
      </c>
      <c r="C57" t="str">
        <f>C56</f>
        <v>Crop residues</v>
      </c>
      <c r="E57" t="s">
        <v>926</v>
      </c>
      <c r="F57" t="s">
        <v>327</v>
      </c>
      <c r="H57" s="54">
        <v>0.5</v>
      </c>
    </row>
    <row r="58" spans="1:8" x14ac:dyDescent="0.25">
      <c r="A58" t="str">
        <f t="shared" si="9"/>
        <v>3C Aggregated and non-CO2 emissions on land</v>
      </c>
      <c r="B58" t="str">
        <f t="shared" si="9"/>
        <v>3C4 Direct N2O from managed soils (N2O)</v>
      </c>
      <c r="C58" t="str">
        <f t="shared" si="9"/>
        <v>Crop residues</v>
      </c>
      <c r="E58" t="s">
        <v>927</v>
      </c>
      <c r="F58" t="s">
        <v>284</v>
      </c>
      <c r="H58" s="54">
        <v>1.4999999999999999E-2</v>
      </c>
    </row>
    <row r="59" spans="1:8" x14ac:dyDescent="0.25">
      <c r="A59" t="str">
        <f>A41</f>
        <v>3C Aggregated and non-CO2 emissions on land</v>
      </c>
      <c r="B59" t="str">
        <f>B41</f>
        <v>3C4 Direct N2O from managed soils (N2O)</v>
      </c>
      <c r="C59" t="str">
        <f>'IPCC Categories'!B71</f>
        <v>3C2 Liming (CO2)</v>
      </c>
      <c r="E59" t="s">
        <v>883</v>
      </c>
      <c r="F59" t="s">
        <v>365</v>
      </c>
      <c r="H59" s="54">
        <v>0.5</v>
      </c>
    </row>
    <row r="60" spans="1:8" x14ac:dyDescent="0.25">
      <c r="A60" t="str">
        <f t="shared" ref="A60:B61" si="10">A59</f>
        <v>3C Aggregated and non-CO2 emissions on land</v>
      </c>
      <c r="B60" t="str">
        <f t="shared" si="10"/>
        <v>3C4 Direct N2O from managed soils (N2O)</v>
      </c>
      <c r="C60" t="str">
        <f>C59</f>
        <v>3C2 Liming (CO2)</v>
      </c>
      <c r="E60" t="s">
        <v>884</v>
      </c>
      <c r="F60" t="s">
        <v>365</v>
      </c>
      <c r="H60" s="54">
        <v>1.1499999999999999</v>
      </c>
    </row>
    <row r="61" spans="1:8" x14ac:dyDescent="0.25">
      <c r="A61" t="str">
        <f t="shared" si="10"/>
        <v>3C Aggregated and non-CO2 emissions on land</v>
      </c>
      <c r="B61" t="str">
        <f t="shared" si="10"/>
        <v>3C4 Direct N2O from managed soils (N2O)</v>
      </c>
      <c r="C61" t="str">
        <f>C60</f>
        <v>3C2 Liming (CO2)</v>
      </c>
      <c r="E61" t="s">
        <v>885</v>
      </c>
      <c r="F61" t="s">
        <v>365</v>
      </c>
      <c r="H61" s="54">
        <v>0.63</v>
      </c>
    </row>
    <row r="62" spans="1:8" x14ac:dyDescent="0.25">
      <c r="A62" t="str">
        <f>A41</f>
        <v>3C Aggregated and non-CO2 emissions on land</v>
      </c>
      <c r="B62" t="str">
        <f>B41</f>
        <v>3C4 Direct N2O from managed soils (N2O)</v>
      </c>
      <c r="C62" t="str">
        <f>C61</f>
        <v>3C2 Liming (CO2)</v>
      </c>
      <c r="E62" t="s">
        <v>882</v>
      </c>
      <c r="F62" t="s">
        <v>327</v>
      </c>
      <c r="H62" s="54">
        <v>0.55000000000000004</v>
      </c>
    </row>
    <row r="63" spans="1:8" x14ac:dyDescent="0.25">
      <c r="A63" t="str">
        <f>'IPCC Categories'!A59</f>
        <v>3C Aggregated and non-CO2 emissions on land</v>
      </c>
      <c r="B63" t="str">
        <f>'IPCC Categories'!B73</f>
        <v>3C4 Direct N2O from managed soils (N2O)</v>
      </c>
      <c r="C63" t="s">
        <v>310</v>
      </c>
      <c r="D63" t="str">
        <f>" - "&amp;'Activity data'!D5</f>
        <v xml:space="preserve"> - TMR</v>
      </c>
      <c r="E63" t="str">
        <f t="shared" ref="E63:E83" si="11">C63&amp;D63</f>
        <v>Excretion rate - TMR</v>
      </c>
      <c r="F63" t="s">
        <v>311</v>
      </c>
      <c r="H63" s="22">
        <f>SUM('Aggregated EF'!T8:T10)</f>
        <v>128.28236394776278</v>
      </c>
    </row>
    <row r="64" spans="1:8" x14ac:dyDescent="0.25">
      <c r="A64" t="str">
        <f t="shared" ref="A64:A80" si="12">A63</f>
        <v>3C Aggregated and non-CO2 emissions on land</v>
      </c>
      <c r="B64" t="str">
        <f t="shared" ref="B64:B80" si="13">B63</f>
        <v>3C4 Direct N2O from managed soils (N2O)</v>
      </c>
      <c r="C64" t="str">
        <f t="shared" ref="C64:C80" si="14">C63</f>
        <v>Excretion rate</v>
      </c>
      <c r="D64" t="str">
        <f>" - "&amp;'Activity data'!D6</f>
        <v xml:space="preserve"> - Pasture</v>
      </c>
      <c r="E64" t="str">
        <f t="shared" si="11"/>
        <v>Excretion rate - Pasture</v>
      </c>
      <c r="F64" t="str">
        <f t="shared" ref="F64:F80" si="15">F63</f>
        <v>kg N/head/yr</v>
      </c>
      <c r="H64" s="22">
        <f>SUM('Aggregated EF'!T5:T7)</f>
        <v>116.88195504174696</v>
      </c>
    </row>
    <row r="65" spans="1:8" x14ac:dyDescent="0.25">
      <c r="A65" t="str">
        <f t="shared" si="12"/>
        <v>3C Aggregated and non-CO2 emissions on land</v>
      </c>
      <c r="B65" t="str">
        <f t="shared" si="13"/>
        <v>3C4 Direct N2O from managed soils (N2O)</v>
      </c>
      <c r="C65" t="str">
        <f t="shared" si="14"/>
        <v>Excretion rate</v>
      </c>
      <c r="D65" t="str">
        <f>" - "&amp;'Activity data'!D7</f>
        <v xml:space="preserve"> - Non-lactating</v>
      </c>
      <c r="E65" t="str">
        <f t="shared" si="11"/>
        <v>Excretion rate - Non-lactating</v>
      </c>
      <c r="F65" t="str">
        <f t="shared" si="15"/>
        <v>kg N/head/yr</v>
      </c>
      <c r="H65" s="22">
        <f>SUM('Aggregated EF'!T12:T21)</f>
        <v>40.496928454397946</v>
      </c>
    </row>
    <row r="66" spans="1:8" x14ac:dyDescent="0.25">
      <c r="A66" t="str">
        <f t="shared" si="12"/>
        <v>3C Aggregated and non-CO2 emissions on land</v>
      </c>
      <c r="B66" t="str">
        <f t="shared" si="13"/>
        <v>3C4 Direct N2O from managed soils (N2O)</v>
      </c>
      <c r="C66" t="str">
        <f t="shared" si="14"/>
        <v>Excretion rate</v>
      </c>
      <c r="D66" t="str">
        <f>" - "&amp;'Activity data'!D8&amp;" cattle"</f>
        <v xml:space="preserve"> - Commercial cattle</v>
      </c>
      <c r="E66" t="str">
        <f t="shared" si="11"/>
        <v>Excretion rate - Commercial cattle</v>
      </c>
      <c r="F66" t="str">
        <f t="shared" si="15"/>
        <v>kg N/head/yr</v>
      </c>
      <c r="H66" s="22">
        <f>SUM('Aggregated EF'!T22:T24,'Aggregated EF'!T26:T28)</f>
        <v>86.354881619987609</v>
      </c>
    </row>
    <row r="67" spans="1:8" x14ac:dyDescent="0.25">
      <c r="A67" t="str">
        <f t="shared" si="12"/>
        <v>3C Aggregated and non-CO2 emissions on land</v>
      </c>
      <c r="B67" t="str">
        <f t="shared" si="13"/>
        <v>3C4 Direct N2O from managed soils (N2O)</v>
      </c>
      <c r="C67" t="str">
        <f t="shared" si="14"/>
        <v>Excretion rate</v>
      </c>
      <c r="D67" t="str">
        <f>" - "&amp;'Activity data'!D9&amp;" cattle"</f>
        <v xml:space="preserve"> - Subsistence cattle</v>
      </c>
      <c r="E67" t="str">
        <f t="shared" si="11"/>
        <v>Excretion rate - Subsistence cattle</v>
      </c>
      <c r="F67" t="str">
        <f t="shared" si="15"/>
        <v>kg N/head/yr</v>
      </c>
      <c r="H67" s="22">
        <f>SUM('Aggregated EF'!T29:T34)</f>
        <v>64.633710943402036</v>
      </c>
    </row>
    <row r="68" spans="1:8" x14ac:dyDescent="0.25">
      <c r="A68" t="str">
        <f t="shared" si="12"/>
        <v>3C Aggregated and non-CO2 emissions on land</v>
      </c>
      <c r="B68" t="str">
        <f t="shared" si="13"/>
        <v>3C4 Direct N2O from managed soils (N2O)</v>
      </c>
      <c r="C68" t="str">
        <f t="shared" si="14"/>
        <v>Excretion rate</v>
      </c>
      <c r="D68" t="str">
        <f>" - "&amp;'Activity data'!D10</f>
        <v xml:space="preserve"> - Feedlot</v>
      </c>
      <c r="E68" t="str">
        <f t="shared" si="11"/>
        <v>Excretion rate - Feedlot</v>
      </c>
      <c r="F68" t="str">
        <f t="shared" si="15"/>
        <v>kg N/head/yr</v>
      </c>
      <c r="H68" s="22">
        <f>'Aggregated EF'!T25</f>
        <v>65.765699999999995</v>
      </c>
    </row>
    <row r="69" spans="1:8" x14ac:dyDescent="0.25">
      <c r="A69" t="str">
        <f t="shared" si="12"/>
        <v>3C Aggregated and non-CO2 emissions on land</v>
      </c>
      <c r="B69" t="str">
        <f t="shared" si="13"/>
        <v>3C4 Direct N2O from managed soils (N2O)</v>
      </c>
      <c r="C69" t="str">
        <f t="shared" si="14"/>
        <v>Excretion rate</v>
      </c>
      <c r="D69" t="str">
        <f>" - "&amp;'Activity data'!D11&amp;" sheep"</f>
        <v xml:space="preserve"> - Commercial sheep</v>
      </c>
      <c r="E69" t="str">
        <f t="shared" si="11"/>
        <v>Excretion rate - Commercial sheep</v>
      </c>
      <c r="F69" t="str">
        <f t="shared" si="15"/>
        <v>kg N/head/yr</v>
      </c>
      <c r="H69" s="22">
        <f>SUM('Aggregated EF'!T36:T59)</f>
        <v>19.60551595998232</v>
      </c>
    </row>
    <row r="70" spans="1:8" x14ac:dyDescent="0.25">
      <c r="A70" t="str">
        <f t="shared" si="12"/>
        <v>3C Aggregated and non-CO2 emissions on land</v>
      </c>
      <c r="B70" t="str">
        <f t="shared" si="13"/>
        <v>3C4 Direct N2O from managed soils (N2O)</v>
      </c>
      <c r="C70" t="str">
        <f t="shared" si="14"/>
        <v>Excretion rate</v>
      </c>
      <c r="D70" t="str">
        <f>" - "&amp;'Activity data'!D12&amp;" sheep"</f>
        <v xml:space="preserve"> - Subsistence sheep</v>
      </c>
      <c r="E70" t="str">
        <f t="shared" si="11"/>
        <v>Excretion rate - Subsistence sheep</v>
      </c>
      <c r="F70" t="str">
        <f t="shared" si="15"/>
        <v>kg N/head/yr</v>
      </c>
      <c r="H70" s="22">
        <f>SUM('Aggregated EF'!T60:T83)</f>
        <v>15.591414113527657</v>
      </c>
    </row>
    <row r="71" spans="1:8" x14ac:dyDescent="0.25">
      <c r="A71" t="str">
        <f t="shared" si="12"/>
        <v>3C Aggregated and non-CO2 emissions on land</v>
      </c>
      <c r="B71" t="str">
        <f t="shared" si="13"/>
        <v>3C4 Direct N2O from managed soils (N2O)</v>
      </c>
      <c r="C71" t="str">
        <f t="shared" si="14"/>
        <v>Excretion rate</v>
      </c>
      <c r="D71" t="str">
        <f>" - "&amp;'Activity data'!D13&amp;" goats"</f>
        <v xml:space="preserve"> - Commercial goats</v>
      </c>
      <c r="E71" t="str">
        <f t="shared" si="11"/>
        <v>Excretion rate - Commercial goats</v>
      </c>
      <c r="F71" t="str">
        <f t="shared" si="15"/>
        <v>kg N/head/yr</v>
      </c>
      <c r="H71" s="22">
        <f>SUM('Aggregated EF'!T85:T102)</f>
        <v>22.287353637058541</v>
      </c>
    </row>
    <row r="72" spans="1:8" x14ac:dyDescent="0.25">
      <c r="A72" t="str">
        <f t="shared" si="12"/>
        <v>3C Aggregated and non-CO2 emissions on land</v>
      </c>
      <c r="B72" t="str">
        <f t="shared" si="13"/>
        <v>3C4 Direct N2O from managed soils (N2O)</v>
      </c>
      <c r="C72" t="str">
        <f t="shared" si="14"/>
        <v>Excretion rate</v>
      </c>
      <c r="D72" t="str">
        <f>" - "&amp;'Activity data'!D14&amp;" goats"</f>
        <v xml:space="preserve"> - Subsistence goats</v>
      </c>
      <c r="E72" t="str">
        <f t="shared" si="11"/>
        <v>Excretion rate - Subsistence goats</v>
      </c>
      <c r="F72" t="str">
        <f t="shared" si="15"/>
        <v>kg N/head/yr</v>
      </c>
      <c r="H72" s="22">
        <f>SUM('Aggregated EF'!T103:T108)</f>
        <v>20.227322529999995</v>
      </c>
    </row>
    <row r="73" spans="1:8" x14ac:dyDescent="0.25">
      <c r="A73" t="str">
        <f t="shared" si="12"/>
        <v>3C Aggregated and non-CO2 emissions on land</v>
      </c>
      <c r="B73" t="str">
        <f t="shared" si="13"/>
        <v>3C4 Direct N2O from managed soils (N2O)</v>
      </c>
      <c r="C73" t="str">
        <f t="shared" si="14"/>
        <v>Excretion rate</v>
      </c>
      <c r="D73" t="str">
        <f>" - "&amp;'Activity data'!D15</f>
        <v xml:space="preserve"> - Horses</v>
      </c>
      <c r="E73" t="str">
        <f t="shared" si="11"/>
        <v>Excretion rate - Horses</v>
      </c>
      <c r="F73" t="str">
        <f t="shared" si="15"/>
        <v>kg N/head/yr</v>
      </c>
      <c r="H73" s="22">
        <f>'Aggregated EF'!T110</f>
        <v>39.5</v>
      </c>
    </row>
    <row r="74" spans="1:8" x14ac:dyDescent="0.25">
      <c r="A74" t="str">
        <f t="shared" si="12"/>
        <v>3C Aggregated and non-CO2 emissions on land</v>
      </c>
      <c r="B74" t="str">
        <f t="shared" si="13"/>
        <v>3C4 Direct N2O from managed soils (N2O)</v>
      </c>
      <c r="C74" t="str">
        <f t="shared" si="14"/>
        <v>Excretion rate</v>
      </c>
      <c r="D74" t="str">
        <f>" - "&amp;'Activity data'!D16</f>
        <v xml:space="preserve"> - Mules &amp; Asses</v>
      </c>
      <c r="E74" t="str">
        <f t="shared" si="11"/>
        <v>Excretion rate - Mules &amp; Asses</v>
      </c>
      <c r="F74" t="str">
        <f t="shared" si="15"/>
        <v>kg N/head/yr</v>
      </c>
      <c r="H74" s="22">
        <f>'Aggregated EF'!T112</f>
        <v>13.2</v>
      </c>
    </row>
    <row r="75" spans="1:8" x14ac:dyDescent="0.25">
      <c r="A75" t="str">
        <f t="shared" si="12"/>
        <v>3C Aggregated and non-CO2 emissions on land</v>
      </c>
      <c r="B75" t="str">
        <f t="shared" si="13"/>
        <v>3C4 Direct N2O from managed soils (N2O)</v>
      </c>
      <c r="C75" t="str">
        <f t="shared" si="14"/>
        <v>Excretion rate</v>
      </c>
      <c r="D75" t="str">
        <f>" - "&amp;'Activity data'!D17&amp;" swine"</f>
        <v xml:space="preserve"> - Commercial swine</v>
      </c>
      <c r="E75" t="str">
        <f t="shared" si="11"/>
        <v>Excretion rate - Commercial swine</v>
      </c>
      <c r="F75" t="str">
        <f t="shared" si="15"/>
        <v>kg N/head/yr</v>
      </c>
      <c r="H75" s="22">
        <f>SUM('Aggregated EF'!T114:T123)</f>
        <v>13.769600000000001</v>
      </c>
    </row>
    <row r="76" spans="1:8" x14ac:dyDescent="0.25">
      <c r="A76" t="str">
        <f t="shared" si="12"/>
        <v>3C Aggregated and non-CO2 emissions on land</v>
      </c>
      <c r="B76" t="str">
        <f t="shared" si="13"/>
        <v>3C4 Direct N2O from managed soils (N2O)</v>
      </c>
      <c r="C76" t="str">
        <f t="shared" si="14"/>
        <v>Excretion rate</v>
      </c>
      <c r="D76" t="str">
        <f>" - "&amp;'Activity data'!D18&amp;" swine"</f>
        <v xml:space="preserve"> - Subsistence swine</v>
      </c>
      <c r="E76" t="str">
        <f t="shared" si="11"/>
        <v>Excretion rate - Subsistence swine</v>
      </c>
      <c r="F76" t="str">
        <f t="shared" si="15"/>
        <v>kg N/head/yr</v>
      </c>
      <c r="H76" s="22">
        <f>SUM('Aggregated EF'!T124:T133)</f>
        <v>15.091520000000001</v>
      </c>
    </row>
    <row r="77" spans="1:8" x14ac:dyDescent="0.25">
      <c r="A77" t="str">
        <f t="shared" si="12"/>
        <v>3C Aggregated and non-CO2 emissions on land</v>
      </c>
      <c r="B77" t="str">
        <f t="shared" si="13"/>
        <v>3C4 Direct N2O from managed soils (N2O)</v>
      </c>
      <c r="C77" t="str">
        <f t="shared" si="14"/>
        <v>Excretion rate</v>
      </c>
      <c r="D77" t="str">
        <f>" - "&amp;'Activity data'!D19</f>
        <v xml:space="preserve"> - Commercial layers</v>
      </c>
      <c r="E77" t="str">
        <f t="shared" si="11"/>
        <v>Excretion rate - Commercial layers</v>
      </c>
      <c r="F77" t="str">
        <f t="shared" si="15"/>
        <v>kg N/head/yr</v>
      </c>
      <c r="H77" s="22">
        <f>'Aggregated EF'!T136</f>
        <v>0.6</v>
      </c>
    </row>
    <row r="78" spans="1:8" x14ac:dyDescent="0.25">
      <c r="A78" t="str">
        <f t="shared" si="12"/>
        <v>3C Aggregated and non-CO2 emissions on land</v>
      </c>
      <c r="B78" t="str">
        <f t="shared" si="13"/>
        <v>3C4 Direct N2O from managed soils (N2O)</v>
      </c>
      <c r="C78" t="str">
        <f t="shared" si="14"/>
        <v>Excretion rate</v>
      </c>
      <c r="D78" t="str">
        <f>" - "&amp;'Activity data'!D20</f>
        <v xml:space="preserve"> - Commercial broilers</v>
      </c>
      <c r="E78" t="str">
        <f t="shared" si="11"/>
        <v>Excretion rate - Commercial broilers</v>
      </c>
      <c r="F78" t="str">
        <f t="shared" si="15"/>
        <v>kg N/head/yr</v>
      </c>
      <c r="H78" s="22">
        <f>'Aggregated EF'!T135</f>
        <v>0.7</v>
      </c>
    </row>
    <row r="79" spans="1:8" x14ac:dyDescent="0.25">
      <c r="A79" t="str">
        <f t="shared" si="12"/>
        <v>3C Aggregated and non-CO2 emissions on land</v>
      </c>
      <c r="B79" t="str">
        <f t="shared" si="13"/>
        <v>3C4 Direct N2O from managed soils (N2O)</v>
      </c>
      <c r="C79" t="str">
        <f t="shared" si="14"/>
        <v>Excretion rate</v>
      </c>
      <c r="D79" t="str">
        <f>" - "&amp;'Activity data'!D21</f>
        <v xml:space="preserve"> - Subsistence layers</v>
      </c>
      <c r="E79" t="str">
        <f t="shared" si="11"/>
        <v>Excretion rate - Subsistence layers</v>
      </c>
      <c r="F79" t="str">
        <f t="shared" si="15"/>
        <v>kg N/head/yr</v>
      </c>
      <c r="H79" s="22">
        <f>'Aggregated EF'!T138</f>
        <v>0.6</v>
      </c>
    </row>
    <row r="80" spans="1:8" x14ac:dyDescent="0.25">
      <c r="A80" t="str">
        <f t="shared" si="12"/>
        <v>3C Aggregated and non-CO2 emissions on land</v>
      </c>
      <c r="B80" t="str">
        <f t="shared" si="13"/>
        <v>3C4 Direct N2O from managed soils (N2O)</v>
      </c>
      <c r="C80" t="str">
        <f t="shared" si="14"/>
        <v>Excretion rate</v>
      </c>
      <c r="D80" t="str">
        <f>" - "&amp;'Activity data'!D22</f>
        <v xml:space="preserve"> - Subsistence broilers</v>
      </c>
      <c r="E80" t="str">
        <f t="shared" si="11"/>
        <v>Excretion rate - Subsistence broilers</v>
      </c>
      <c r="F80" t="str">
        <f t="shared" si="15"/>
        <v>kg N/head/yr</v>
      </c>
      <c r="H80" s="22">
        <f>'Aggregated EF'!T137</f>
        <v>0.7</v>
      </c>
    </row>
    <row r="81" spans="1:8" x14ac:dyDescent="0.25">
      <c r="A81" t="str">
        <f t="shared" ref="A81:A112" si="16">A80</f>
        <v>3C Aggregated and non-CO2 emissions on land</v>
      </c>
      <c r="B81" t="str">
        <f t="shared" ref="B81:B112" si="17">B80</f>
        <v>3C4 Direct N2O from managed soils (N2O)</v>
      </c>
      <c r="C81" t="s">
        <v>391</v>
      </c>
      <c r="D81" t="str">
        <f t="shared" ref="D81:D114" si="18">D63</f>
        <v xml:space="preserve"> - TMR</v>
      </c>
      <c r="E81" t="str">
        <f t="shared" si="11"/>
        <v>FracMM - TMR</v>
      </c>
      <c r="F81" t="s">
        <v>327</v>
      </c>
      <c r="H81" s="22">
        <v>1</v>
      </c>
    </row>
    <row r="82" spans="1:8" x14ac:dyDescent="0.25">
      <c r="A82" t="str">
        <f t="shared" si="16"/>
        <v>3C Aggregated and non-CO2 emissions on land</v>
      </c>
      <c r="B82" t="str">
        <f t="shared" si="17"/>
        <v>3C4 Direct N2O from managed soils (N2O)</v>
      </c>
      <c r="C82" t="s">
        <v>391</v>
      </c>
      <c r="D82" t="str">
        <f t="shared" si="18"/>
        <v xml:space="preserve"> - Pasture</v>
      </c>
      <c r="E82" t="str">
        <f t="shared" si="11"/>
        <v>FracMM - Pasture</v>
      </c>
      <c r="F82" t="s">
        <v>327</v>
      </c>
      <c r="H82" s="22">
        <v>0.4</v>
      </c>
    </row>
    <row r="83" spans="1:8" x14ac:dyDescent="0.25">
      <c r="A83" t="str">
        <f t="shared" si="16"/>
        <v>3C Aggregated and non-CO2 emissions on land</v>
      </c>
      <c r="B83" t="str">
        <f t="shared" si="17"/>
        <v>3C4 Direct N2O from managed soils (N2O)</v>
      </c>
      <c r="C83" t="s">
        <v>391</v>
      </c>
      <c r="D83" t="str">
        <f t="shared" si="18"/>
        <v xml:space="preserve"> - Non-lactating</v>
      </c>
      <c r="E83" t="str">
        <f t="shared" si="11"/>
        <v>FracMM - Non-lactating</v>
      </c>
      <c r="F83" t="s">
        <v>327</v>
      </c>
      <c r="H83" s="22">
        <v>0.05</v>
      </c>
    </row>
    <row r="84" spans="1:8" x14ac:dyDescent="0.25">
      <c r="A84" t="str">
        <f t="shared" si="16"/>
        <v>3C Aggregated and non-CO2 emissions on land</v>
      </c>
      <c r="B84" t="str">
        <f t="shared" si="17"/>
        <v>3C4 Direct N2O from managed soils (N2O)</v>
      </c>
      <c r="C84" t="s">
        <v>391</v>
      </c>
      <c r="D84" t="str">
        <f t="shared" si="18"/>
        <v xml:space="preserve"> - Commercial cattle</v>
      </c>
      <c r="E84" t="str">
        <f>C84&amp;D84&amp;" cattle"</f>
        <v>FracMM - Commercial cattle cattle</v>
      </c>
      <c r="F84" t="s">
        <v>327</v>
      </c>
      <c r="H84" s="22">
        <v>0.05</v>
      </c>
    </row>
    <row r="85" spans="1:8" x14ac:dyDescent="0.25">
      <c r="A85" t="str">
        <f t="shared" si="16"/>
        <v>3C Aggregated and non-CO2 emissions on land</v>
      </c>
      <c r="B85" t="str">
        <f t="shared" si="17"/>
        <v>3C4 Direct N2O from managed soils (N2O)</v>
      </c>
      <c r="C85" t="s">
        <v>391</v>
      </c>
      <c r="D85" t="str">
        <f t="shared" si="18"/>
        <v xml:space="preserve"> - Subsistence cattle</v>
      </c>
      <c r="E85" t="str">
        <f>C85&amp;D85&amp;" cattle"</f>
        <v>FracMM - Subsistence cattle cattle</v>
      </c>
      <c r="F85" t="s">
        <v>327</v>
      </c>
      <c r="H85" s="22">
        <v>0.1</v>
      </c>
    </row>
    <row r="86" spans="1:8" x14ac:dyDescent="0.25">
      <c r="A86" t="str">
        <f t="shared" si="16"/>
        <v>3C Aggregated and non-CO2 emissions on land</v>
      </c>
      <c r="B86" t="str">
        <f t="shared" si="17"/>
        <v>3C4 Direct N2O from managed soils (N2O)</v>
      </c>
      <c r="C86" t="s">
        <v>391</v>
      </c>
      <c r="D86" t="str">
        <f t="shared" si="18"/>
        <v xml:space="preserve"> - Feedlot</v>
      </c>
      <c r="E86" t="str">
        <f t="shared" ref="E86:E130" si="19">C86&amp;D86</f>
        <v>FracMM - Feedlot</v>
      </c>
      <c r="F86" t="s">
        <v>327</v>
      </c>
      <c r="H86" s="22">
        <v>1</v>
      </c>
    </row>
    <row r="87" spans="1:8" x14ac:dyDescent="0.25">
      <c r="A87" t="str">
        <f t="shared" si="16"/>
        <v>3C Aggregated and non-CO2 emissions on land</v>
      </c>
      <c r="B87" t="str">
        <f t="shared" si="17"/>
        <v>3C4 Direct N2O from managed soils (N2O)</v>
      </c>
      <c r="C87" t="s">
        <v>391</v>
      </c>
      <c r="D87" t="str">
        <f t="shared" si="18"/>
        <v xml:space="preserve"> - Commercial sheep</v>
      </c>
      <c r="E87" t="str">
        <f t="shared" si="19"/>
        <v>FracMM - Commercial sheep</v>
      </c>
      <c r="F87" t="s">
        <v>327</v>
      </c>
      <c r="H87" s="22">
        <v>0.01</v>
      </c>
    </row>
    <row r="88" spans="1:8" x14ac:dyDescent="0.25">
      <c r="A88" t="str">
        <f t="shared" si="16"/>
        <v>3C Aggregated and non-CO2 emissions on land</v>
      </c>
      <c r="B88" t="str">
        <f t="shared" si="17"/>
        <v>3C4 Direct N2O from managed soils (N2O)</v>
      </c>
      <c r="C88" t="s">
        <v>391</v>
      </c>
      <c r="D88" t="str">
        <f t="shared" si="18"/>
        <v xml:space="preserve"> - Subsistence sheep</v>
      </c>
      <c r="E88" t="str">
        <f t="shared" si="19"/>
        <v>FracMM - Subsistence sheep</v>
      </c>
      <c r="F88" t="s">
        <v>327</v>
      </c>
      <c r="H88" s="22">
        <v>7.0000000000000007E-2</v>
      </c>
    </row>
    <row r="89" spans="1:8" x14ac:dyDescent="0.25">
      <c r="A89" t="str">
        <f t="shared" si="16"/>
        <v>3C Aggregated and non-CO2 emissions on land</v>
      </c>
      <c r="B89" t="str">
        <f t="shared" si="17"/>
        <v>3C4 Direct N2O from managed soils (N2O)</v>
      </c>
      <c r="C89" t="s">
        <v>391</v>
      </c>
      <c r="D89" t="str">
        <f t="shared" si="18"/>
        <v xml:space="preserve"> - Commercial goats</v>
      </c>
      <c r="E89" t="str">
        <f t="shared" si="19"/>
        <v>FracMM - Commercial goats</v>
      </c>
      <c r="F89" t="s">
        <v>327</v>
      </c>
      <c r="H89" s="22">
        <v>0.01</v>
      </c>
    </row>
    <row r="90" spans="1:8" x14ac:dyDescent="0.25">
      <c r="A90" t="str">
        <f t="shared" si="16"/>
        <v>3C Aggregated and non-CO2 emissions on land</v>
      </c>
      <c r="B90" t="str">
        <f t="shared" si="17"/>
        <v>3C4 Direct N2O from managed soils (N2O)</v>
      </c>
      <c r="C90" t="s">
        <v>391</v>
      </c>
      <c r="D90" t="str">
        <f t="shared" si="18"/>
        <v xml:space="preserve"> - Subsistence goats</v>
      </c>
      <c r="E90" t="str">
        <f t="shared" si="19"/>
        <v>FracMM - Subsistence goats</v>
      </c>
      <c r="F90" t="s">
        <v>327</v>
      </c>
      <c r="H90" s="22">
        <v>7.0000000000000007E-2</v>
      </c>
    </row>
    <row r="91" spans="1:8" x14ac:dyDescent="0.25">
      <c r="A91" t="str">
        <f t="shared" si="16"/>
        <v>3C Aggregated and non-CO2 emissions on land</v>
      </c>
      <c r="B91" t="str">
        <f t="shared" si="17"/>
        <v>3C4 Direct N2O from managed soils (N2O)</v>
      </c>
      <c r="C91" t="s">
        <v>391</v>
      </c>
      <c r="D91" t="str">
        <f t="shared" si="18"/>
        <v xml:space="preserve"> - Horses</v>
      </c>
      <c r="E91" t="str">
        <f t="shared" si="19"/>
        <v>FracMM - Horses</v>
      </c>
      <c r="F91" t="s">
        <v>327</v>
      </c>
      <c r="H91" s="22">
        <v>0</v>
      </c>
    </row>
    <row r="92" spans="1:8" x14ac:dyDescent="0.25">
      <c r="A92" t="str">
        <f t="shared" si="16"/>
        <v>3C Aggregated and non-CO2 emissions on land</v>
      </c>
      <c r="B92" t="str">
        <f t="shared" si="17"/>
        <v>3C4 Direct N2O from managed soils (N2O)</v>
      </c>
      <c r="C92" t="s">
        <v>391</v>
      </c>
      <c r="D92" t="str">
        <f t="shared" si="18"/>
        <v xml:space="preserve"> - Mules &amp; Asses</v>
      </c>
      <c r="E92" t="str">
        <f t="shared" si="19"/>
        <v>FracMM - Mules &amp; Asses</v>
      </c>
      <c r="F92" t="s">
        <v>327</v>
      </c>
      <c r="H92" s="22">
        <v>0</v>
      </c>
    </row>
    <row r="93" spans="1:8" x14ac:dyDescent="0.25">
      <c r="A93" t="str">
        <f t="shared" si="16"/>
        <v>3C Aggregated and non-CO2 emissions on land</v>
      </c>
      <c r="B93" t="str">
        <f t="shared" si="17"/>
        <v>3C4 Direct N2O from managed soils (N2O)</v>
      </c>
      <c r="C93" t="s">
        <v>391</v>
      </c>
      <c r="D93" t="str">
        <f t="shared" si="18"/>
        <v xml:space="preserve"> - Commercial swine</v>
      </c>
      <c r="E93" t="str">
        <f t="shared" si="19"/>
        <v>FracMM - Commercial swine</v>
      </c>
      <c r="F93" t="s">
        <v>327</v>
      </c>
      <c r="H93" s="22">
        <v>1</v>
      </c>
    </row>
    <row r="94" spans="1:8" x14ac:dyDescent="0.25">
      <c r="A94" t="str">
        <f t="shared" si="16"/>
        <v>3C Aggregated and non-CO2 emissions on land</v>
      </c>
      <c r="B94" t="str">
        <f t="shared" si="17"/>
        <v>3C4 Direct N2O from managed soils (N2O)</v>
      </c>
      <c r="C94" t="s">
        <v>391</v>
      </c>
      <c r="D94" t="str">
        <f t="shared" si="18"/>
        <v xml:space="preserve"> - Subsistence swine</v>
      </c>
      <c r="E94" t="str">
        <f t="shared" si="19"/>
        <v>FracMM - Subsistence swine</v>
      </c>
      <c r="F94" t="s">
        <v>327</v>
      </c>
      <c r="H94" s="22">
        <v>1</v>
      </c>
    </row>
    <row r="95" spans="1:8" x14ac:dyDescent="0.25">
      <c r="A95" t="str">
        <f t="shared" si="16"/>
        <v>3C Aggregated and non-CO2 emissions on land</v>
      </c>
      <c r="B95" t="str">
        <f t="shared" si="17"/>
        <v>3C4 Direct N2O from managed soils (N2O)</v>
      </c>
      <c r="C95" t="s">
        <v>391</v>
      </c>
      <c r="D95" t="str">
        <f t="shared" si="18"/>
        <v xml:space="preserve"> - Commercial layers</v>
      </c>
      <c r="E95" t="str">
        <f t="shared" si="19"/>
        <v>FracMM - Commercial layers</v>
      </c>
      <c r="F95" t="s">
        <v>327</v>
      </c>
      <c r="H95" s="22">
        <v>1</v>
      </c>
    </row>
    <row r="96" spans="1:8" x14ac:dyDescent="0.25">
      <c r="A96" t="str">
        <f t="shared" si="16"/>
        <v>3C Aggregated and non-CO2 emissions on land</v>
      </c>
      <c r="B96" t="str">
        <f t="shared" si="17"/>
        <v>3C4 Direct N2O from managed soils (N2O)</v>
      </c>
      <c r="C96" t="s">
        <v>391</v>
      </c>
      <c r="D96" t="str">
        <f t="shared" si="18"/>
        <v xml:space="preserve"> - Commercial broilers</v>
      </c>
      <c r="E96" t="str">
        <f t="shared" si="19"/>
        <v>FracMM - Commercial broilers</v>
      </c>
      <c r="F96" t="s">
        <v>327</v>
      </c>
      <c r="H96" s="22">
        <v>1</v>
      </c>
    </row>
    <row r="97" spans="1:8" x14ac:dyDescent="0.25">
      <c r="A97" t="str">
        <f t="shared" si="16"/>
        <v>3C Aggregated and non-CO2 emissions on land</v>
      </c>
      <c r="B97" t="str">
        <f t="shared" si="17"/>
        <v>3C4 Direct N2O from managed soils (N2O)</v>
      </c>
      <c r="C97" t="s">
        <v>391</v>
      </c>
      <c r="D97" t="str">
        <f t="shared" si="18"/>
        <v xml:space="preserve"> - Subsistence layers</v>
      </c>
      <c r="E97" t="str">
        <f t="shared" si="19"/>
        <v>FracMM - Subsistence layers</v>
      </c>
      <c r="F97" t="s">
        <v>327</v>
      </c>
      <c r="H97" s="22">
        <v>1</v>
      </c>
    </row>
    <row r="98" spans="1:8" x14ac:dyDescent="0.25">
      <c r="A98" t="str">
        <f t="shared" si="16"/>
        <v>3C Aggregated and non-CO2 emissions on land</v>
      </c>
      <c r="B98" t="str">
        <f t="shared" si="17"/>
        <v>3C4 Direct N2O from managed soils (N2O)</v>
      </c>
      <c r="C98" t="s">
        <v>391</v>
      </c>
      <c r="D98" t="str">
        <f t="shared" si="18"/>
        <v xml:space="preserve"> - Subsistence broilers</v>
      </c>
      <c r="E98" t="str">
        <f t="shared" si="19"/>
        <v>FracMM - Subsistence broilers</v>
      </c>
      <c r="F98" t="s">
        <v>327</v>
      </c>
      <c r="H98" s="22">
        <v>1</v>
      </c>
    </row>
    <row r="99" spans="1:8" x14ac:dyDescent="0.25">
      <c r="A99" t="str">
        <f t="shared" si="16"/>
        <v>3C Aggregated and non-CO2 emissions on land</v>
      </c>
      <c r="B99" t="str">
        <f t="shared" si="17"/>
        <v>3C4 Direct N2O from managed soils (N2O)</v>
      </c>
      <c r="C99" t="s">
        <v>404</v>
      </c>
      <c r="D99" t="str">
        <f t="shared" si="18"/>
        <v xml:space="preserve"> - TMR</v>
      </c>
      <c r="E99" t="str">
        <f t="shared" si="19"/>
        <v>FracLoss - TMR</v>
      </c>
      <c r="F99" t="s">
        <v>327</v>
      </c>
      <c r="H99" s="22">
        <v>0.73199999999999998</v>
      </c>
    </row>
    <row r="100" spans="1:8" x14ac:dyDescent="0.25">
      <c r="A100" t="str">
        <f t="shared" si="16"/>
        <v>3C Aggregated and non-CO2 emissions on land</v>
      </c>
      <c r="B100" t="str">
        <f t="shared" si="17"/>
        <v>3C4 Direct N2O from managed soils (N2O)</v>
      </c>
      <c r="C100" t="s">
        <v>404</v>
      </c>
      <c r="D100" t="str">
        <f t="shared" si="18"/>
        <v xml:space="preserve"> - Pasture</v>
      </c>
      <c r="E100" t="str">
        <f t="shared" si="19"/>
        <v>FracLoss - Pasture</v>
      </c>
      <c r="F100" t="s">
        <v>327</v>
      </c>
      <c r="H100" s="22">
        <v>0.155</v>
      </c>
    </row>
    <row r="101" spans="1:8" x14ac:dyDescent="0.25">
      <c r="A101" t="str">
        <f t="shared" si="16"/>
        <v>3C Aggregated and non-CO2 emissions on land</v>
      </c>
      <c r="B101" t="str">
        <f t="shared" si="17"/>
        <v>3C4 Direct N2O from managed soils (N2O)</v>
      </c>
      <c r="C101" t="s">
        <v>404</v>
      </c>
      <c r="D101" t="str">
        <f t="shared" si="18"/>
        <v xml:space="preserve"> - Non-lactating</v>
      </c>
      <c r="E101" t="str">
        <f t="shared" si="19"/>
        <v>FracLoss - Non-lactating</v>
      </c>
      <c r="F101" t="s">
        <v>327</v>
      </c>
      <c r="H101" s="22">
        <v>1.7999999999999999E-2</v>
      </c>
    </row>
    <row r="102" spans="1:8" x14ac:dyDescent="0.25">
      <c r="A102" t="str">
        <f t="shared" si="16"/>
        <v>3C Aggregated and non-CO2 emissions on land</v>
      </c>
      <c r="B102" t="str">
        <f t="shared" si="17"/>
        <v>3C4 Direct N2O from managed soils (N2O)</v>
      </c>
      <c r="C102" t="s">
        <v>404</v>
      </c>
      <c r="D102" t="str">
        <f t="shared" si="18"/>
        <v xml:space="preserve"> - Commercial cattle</v>
      </c>
      <c r="E102" t="str">
        <f t="shared" si="19"/>
        <v>FracLoss - Commercial cattle</v>
      </c>
      <c r="F102" t="s">
        <v>327</v>
      </c>
      <c r="H102" s="22">
        <v>0.01</v>
      </c>
    </row>
    <row r="103" spans="1:8" x14ac:dyDescent="0.25">
      <c r="A103" t="str">
        <f t="shared" si="16"/>
        <v>3C Aggregated and non-CO2 emissions on land</v>
      </c>
      <c r="B103" t="str">
        <f t="shared" si="17"/>
        <v>3C4 Direct N2O from managed soils (N2O)</v>
      </c>
      <c r="C103" t="s">
        <v>404</v>
      </c>
      <c r="D103" t="str">
        <f t="shared" si="18"/>
        <v xml:space="preserve"> - Subsistence cattle</v>
      </c>
      <c r="E103" t="str">
        <f t="shared" si="19"/>
        <v>FracLoss - Subsistence cattle</v>
      </c>
      <c r="F103" t="s">
        <v>327</v>
      </c>
      <c r="H103" s="22">
        <v>0.04</v>
      </c>
    </row>
    <row r="104" spans="1:8" x14ac:dyDescent="0.25">
      <c r="A104" t="str">
        <f t="shared" si="16"/>
        <v>3C Aggregated and non-CO2 emissions on land</v>
      </c>
      <c r="B104" t="str">
        <f t="shared" si="17"/>
        <v>3C4 Direct N2O from managed soils (N2O)</v>
      </c>
      <c r="C104" t="s">
        <v>404</v>
      </c>
      <c r="D104" t="str">
        <f t="shared" si="18"/>
        <v xml:space="preserve"> - Feedlot</v>
      </c>
      <c r="E104" t="str">
        <f t="shared" si="19"/>
        <v>FracLoss - Feedlot</v>
      </c>
      <c r="F104" t="s">
        <v>327</v>
      </c>
      <c r="H104" s="22">
        <v>0.38600000000000001</v>
      </c>
    </row>
    <row r="105" spans="1:8" x14ac:dyDescent="0.25">
      <c r="A105" t="str">
        <f t="shared" si="16"/>
        <v>3C Aggregated and non-CO2 emissions on land</v>
      </c>
      <c r="B105" t="str">
        <f t="shared" si="17"/>
        <v>3C4 Direct N2O from managed soils (N2O)</v>
      </c>
      <c r="C105" t="s">
        <v>404</v>
      </c>
      <c r="D105" t="str">
        <f t="shared" si="18"/>
        <v xml:space="preserve"> - Commercial sheep</v>
      </c>
      <c r="E105" t="str">
        <f t="shared" si="19"/>
        <v>FracLoss - Commercial sheep</v>
      </c>
      <c r="F105" t="s">
        <v>327</v>
      </c>
      <c r="H105" s="22">
        <v>4.0000000000000001E-3</v>
      </c>
    </row>
    <row r="106" spans="1:8" x14ac:dyDescent="0.25">
      <c r="A106" t="str">
        <f t="shared" si="16"/>
        <v>3C Aggregated and non-CO2 emissions on land</v>
      </c>
      <c r="B106" t="str">
        <f t="shared" si="17"/>
        <v>3C4 Direct N2O from managed soils (N2O)</v>
      </c>
      <c r="C106" t="s">
        <v>404</v>
      </c>
      <c r="D106" t="str">
        <f t="shared" si="18"/>
        <v xml:space="preserve"> - Subsistence sheep</v>
      </c>
      <c r="E106" t="str">
        <f t="shared" si="19"/>
        <v>FracLoss - Subsistence sheep</v>
      </c>
      <c r="F106" t="s">
        <v>327</v>
      </c>
      <c r="H106" s="22">
        <v>2.5499999999999998E-2</v>
      </c>
    </row>
    <row r="107" spans="1:8" x14ac:dyDescent="0.25">
      <c r="A107" t="str">
        <f t="shared" si="16"/>
        <v>3C Aggregated and non-CO2 emissions on land</v>
      </c>
      <c r="B107" t="str">
        <f t="shared" si="17"/>
        <v>3C4 Direct N2O from managed soils (N2O)</v>
      </c>
      <c r="C107" t="s">
        <v>404</v>
      </c>
      <c r="D107" t="str">
        <f t="shared" si="18"/>
        <v xml:space="preserve"> - Commercial goats</v>
      </c>
      <c r="E107" t="str">
        <f t="shared" si="19"/>
        <v>FracLoss - Commercial goats</v>
      </c>
      <c r="F107" t="s">
        <v>327</v>
      </c>
      <c r="H107" s="22">
        <v>4.0000000000000001E-3</v>
      </c>
    </row>
    <row r="108" spans="1:8" x14ac:dyDescent="0.25">
      <c r="A108" t="str">
        <f t="shared" si="16"/>
        <v>3C Aggregated and non-CO2 emissions on land</v>
      </c>
      <c r="B108" t="str">
        <f t="shared" si="17"/>
        <v>3C4 Direct N2O from managed soils (N2O)</v>
      </c>
      <c r="C108" t="s">
        <v>404</v>
      </c>
      <c r="D108" t="str">
        <f t="shared" si="18"/>
        <v xml:space="preserve"> - Subsistence goats</v>
      </c>
      <c r="E108" t="str">
        <f t="shared" si="19"/>
        <v>FracLoss - Subsistence goats</v>
      </c>
      <c r="F108" t="s">
        <v>327</v>
      </c>
      <c r="H108" s="22">
        <v>2.5499999999999998E-2</v>
      </c>
    </row>
    <row r="109" spans="1:8" x14ac:dyDescent="0.25">
      <c r="A109" t="str">
        <f t="shared" si="16"/>
        <v>3C Aggregated and non-CO2 emissions on land</v>
      </c>
      <c r="B109" t="str">
        <f t="shared" si="17"/>
        <v>3C4 Direct N2O from managed soils (N2O)</v>
      </c>
      <c r="C109" t="s">
        <v>404</v>
      </c>
      <c r="D109" t="str">
        <f t="shared" si="18"/>
        <v xml:space="preserve"> - Horses</v>
      </c>
      <c r="E109" t="str">
        <f t="shared" si="19"/>
        <v>FracLoss - Horses</v>
      </c>
      <c r="F109" t="s">
        <v>327</v>
      </c>
      <c r="H109" s="22">
        <v>0</v>
      </c>
    </row>
    <row r="110" spans="1:8" x14ac:dyDescent="0.25">
      <c r="A110" t="str">
        <f t="shared" si="16"/>
        <v>3C Aggregated and non-CO2 emissions on land</v>
      </c>
      <c r="B110" t="str">
        <f t="shared" si="17"/>
        <v>3C4 Direct N2O from managed soils (N2O)</v>
      </c>
      <c r="C110" t="s">
        <v>404</v>
      </c>
      <c r="D110" t="str">
        <f t="shared" si="18"/>
        <v xml:space="preserve"> - Mules &amp; Asses</v>
      </c>
      <c r="E110" t="str">
        <f t="shared" si="19"/>
        <v>FracLoss - Mules &amp; Asses</v>
      </c>
      <c r="F110" t="s">
        <v>327</v>
      </c>
      <c r="H110" s="22">
        <v>0</v>
      </c>
    </row>
    <row r="111" spans="1:8" x14ac:dyDescent="0.25">
      <c r="A111" t="str">
        <f t="shared" si="16"/>
        <v>3C Aggregated and non-CO2 emissions on land</v>
      </c>
      <c r="B111" t="str">
        <f t="shared" si="17"/>
        <v>3C4 Direct N2O from managed soils (N2O)</v>
      </c>
      <c r="C111" t="s">
        <v>404</v>
      </c>
      <c r="D111" t="str">
        <f t="shared" si="18"/>
        <v xml:space="preserve"> - Commercial swine</v>
      </c>
      <c r="E111" t="str">
        <f t="shared" si="19"/>
        <v>FracLoss - Commercial swine</v>
      </c>
      <c r="F111" t="s">
        <v>327</v>
      </c>
      <c r="H111" s="22">
        <v>0.6522</v>
      </c>
    </row>
    <row r="112" spans="1:8" x14ac:dyDescent="0.25">
      <c r="A112" t="str">
        <f t="shared" si="16"/>
        <v>3C Aggregated and non-CO2 emissions on land</v>
      </c>
      <c r="B112" t="str">
        <f t="shared" si="17"/>
        <v>3C4 Direct N2O from managed soils (N2O)</v>
      </c>
      <c r="C112" t="s">
        <v>404</v>
      </c>
      <c r="D112" t="str">
        <f t="shared" si="18"/>
        <v xml:space="preserve"> - Subsistence swine</v>
      </c>
      <c r="E112" t="str">
        <f t="shared" si="19"/>
        <v>FracLoss - Subsistence swine</v>
      </c>
      <c r="F112" t="s">
        <v>327</v>
      </c>
      <c r="H112" s="22">
        <v>0.40959999999999996</v>
      </c>
    </row>
    <row r="113" spans="1:8" x14ac:dyDescent="0.25">
      <c r="A113" t="str">
        <f t="shared" ref="A113:A130" si="20">A112</f>
        <v>3C Aggregated and non-CO2 emissions on land</v>
      </c>
      <c r="B113" t="str">
        <f t="shared" ref="B113:B130" si="21">B112</f>
        <v>3C4 Direct N2O from managed soils (N2O)</v>
      </c>
      <c r="C113" t="s">
        <v>404</v>
      </c>
      <c r="D113" t="str">
        <f t="shared" si="18"/>
        <v xml:space="preserve"> - Commercial layers</v>
      </c>
      <c r="E113" t="str">
        <f t="shared" si="19"/>
        <v>FracLoss - Commercial layers</v>
      </c>
      <c r="F113" t="s">
        <v>327</v>
      </c>
      <c r="H113" s="22">
        <v>0.29599999999999999</v>
      </c>
    </row>
    <row r="114" spans="1:8" x14ac:dyDescent="0.25">
      <c r="A114" t="str">
        <f t="shared" si="20"/>
        <v>3C Aggregated and non-CO2 emissions on land</v>
      </c>
      <c r="B114" t="str">
        <f t="shared" si="21"/>
        <v>3C4 Direct N2O from managed soils (N2O)</v>
      </c>
      <c r="C114" t="s">
        <v>404</v>
      </c>
      <c r="D114" t="str">
        <f t="shared" si="18"/>
        <v xml:space="preserve"> - Commercial broilers</v>
      </c>
      <c r="E114" t="str">
        <f t="shared" si="19"/>
        <v>FracLoss - Commercial broilers</v>
      </c>
      <c r="F114" t="s">
        <v>327</v>
      </c>
      <c r="H114" s="22">
        <v>0.24</v>
      </c>
    </row>
    <row r="115" spans="1:8" x14ac:dyDescent="0.25">
      <c r="A115" t="str">
        <f t="shared" si="20"/>
        <v>3C Aggregated and non-CO2 emissions on land</v>
      </c>
      <c r="B115" t="str">
        <f t="shared" si="21"/>
        <v>3C4 Direct N2O from managed soils (N2O)</v>
      </c>
      <c r="C115" t="s">
        <v>408</v>
      </c>
      <c r="D115" t="str">
        <f t="shared" ref="D115:D130" si="22">D99</f>
        <v xml:space="preserve"> - TMR</v>
      </c>
      <c r="E115" t="str">
        <f t="shared" si="19"/>
        <v>N bedding - TMR</v>
      </c>
      <c r="F115" t="str">
        <f t="shared" ref="F115:F130" si="23">F114</f>
        <v>Fraction</v>
      </c>
      <c r="H115" s="22">
        <v>0</v>
      </c>
    </row>
    <row r="116" spans="1:8" x14ac:dyDescent="0.25">
      <c r="A116" t="str">
        <f t="shared" si="20"/>
        <v>3C Aggregated and non-CO2 emissions on land</v>
      </c>
      <c r="B116" t="str">
        <f t="shared" si="21"/>
        <v>3C4 Direct N2O from managed soils (N2O)</v>
      </c>
      <c r="C116" t="s">
        <v>408</v>
      </c>
      <c r="D116" t="str">
        <f t="shared" si="22"/>
        <v xml:space="preserve"> - Pasture</v>
      </c>
      <c r="E116" t="str">
        <f t="shared" si="19"/>
        <v>N bedding - Pasture</v>
      </c>
      <c r="F116" t="str">
        <f t="shared" si="23"/>
        <v>Fraction</v>
      </c>
      <c r="H116" s="22">
        <v>0.7</v>
      </c>
    </row>
    <row r="117" spans="1:8" x14ac:dyDescent="0.25">
      <c r="A117" t="str">
        <f t="shared" si="20"/>
        <v>3C Aggregated and non-CO2 emissions on land</v>
      </c>
      <c r="B117" t="str">
        <f t="shared" si="21"/>
        <v>3C4 Direct N2O from managed soils (N2O)</v>
      </c>
      <c r="C117" t="s">
        <v>408</v>
      </c>
      <c r="D117" t="str">
        <f t="shared" si="22"/>
        <v xml:space="preserve"> - Non-lactating</v>
      </c>
      <c r="E117" t="str">
        <f t="shared" si="19"/>
        <v>N bedding - Non-lactating</v>
      </c>
      <c r="F117" t="str">
        <f t="shared" si="23"/>
        <v>Fraction</v>
      </c>
      <c r="H117" s="22">
        <v>0.08</v>
      </c>
    </row>
    <row r="118" spans="1:8" x14ac:dyDescent="0.25">
      <c r="A118" t="str">
        <f t="shared" si="20"/>
        <v>3C Aggregated and non-CO2 emissions on land</v>
      </c>
      <c r="B118" t="str">
        <f t="shared" si="21"/>
        <v>3C4 Direct N2O from managed soils (N2O)</v>
      </c>
      <c r="C118" t="s">
        <v>408</v>
      </c>
      <c r="D118" t="str">
        <f t="shared" si="22"/>
        <v xml:space="preserve"> - Commercial cattle</v>
      </c>
      <c r="E118" t="str">
        <f t="shared" si="19"/>
        <v>N bedding - Commercial cattle</v>
      </c>
      <c r="F118" t="str">
        <f t="shared" si="23"/>
        <v>Fraction</v>
      </c>
      <c r="H118" s="22">
        <v>0</v>
      </c>
    </row>
    <row r="119" spans="1:8" x14ac:dyDescent="0.25">
      <c r="A119" t="str">
        <f t="shared" si="20"/>
        <v>3C Aggregated and non-CO2 emissions on land</v>
      </c>
      <c r="B119" t="str">
        <f t="shared" si="21"/>
        <v>3C4 Direct N2O from managed soils (N2O)</v>
      </c>
      <c r="C119" t="s">
        <v>408</v>
      </c>
      <c r="D119" t="str">
        <f t="shared" si="22"/>
        <v xml:space="preserve"> - Subsistence cattle</v>
      </c>
      <c r="E119" t="str">
        <f t="shared" si="19"/>
        <v>N bedding - Subsistence cattle</v>
      </c>
      <c r="F119" t="str">
        <f t="shared" si="23"/>
        <v>Fraction</v>
      </c>
      <c r="H119" s="22">
        <v>0.4</v>
      </c>
    </row>
    <row r="120" spans="1:8" x14ac:dyDescent="0.25">
      <c r="A120" t="str">
        <f t="shared" si="20"/>
        <v>3C Aggregated and non-CO2 emissions on land</v>
      </c>
      <c r="B120" t="str">
        <f t="shared" si="21"/>
        <v>3C4 Direct N2O from managed soils (N2O)</v>
      </c>
      <c r="C120" t="s">
        <v>408</v>
      </c>
      <c r="D120" t="str">
        <f t="shared" si="22"/>
        <v xml:space="preserve"> - Feedlot</v>
      </c>
      <c r="E120" t="str">
        <f t="shared" si="19"/>
        <v>N bedding - Feedlot</v>
      </c>
      <c r="F120" t="str">
        <f t="shared" si="23"/>
        <v>Fraction</v>
      </c>
      <c r="H120" s="22">
        <v>0</v>
      </c>
    </row>
    <row r="121" spans="1:8" x14ac:dyDescent="0.25">
      <c r="A121" t="str">
        <f t="shared" si="20"/>
        <v>3C Aggregated and non-CO2 emissions on land</v>
      </c>
      <c r="B121" t="str">
        <f t="shared" si="21"/>
        <v>3C4 Direct N2O from managed soils (N2O)</v>
      </c>
      <c r="C121" t="s">
        <v>408</v>
      </c>
      <c r="D121" t="str">
        <f t="shared" si="22"/>
        <v xml:space="preserve"> - Commercial sheep</v>
      </c>
      <c r="E121" t="str">
        <f t="shared" si="19"/>
        <v>N bedding - Commercial sheep</v>
      </c>
      <c r="F121" t="str">
        <f t="shared" si="23"/>
        <v>Fraction</v>
      </c>
      <c r="H121" s="22">
        <v>0</v>
      </c>
    </row>
    <row r="122" spans="1:8" x14ac:dyDescent="0.25">
      <c r="A122" t="str">
        <f t="shared" si="20"/>
        <v>3C Aggregated and non-CO2 emissions on land</v>
      </c>
      <c r="B122" t="str">
        <f t="shared" si="21"/>
        <v>3C4 Direct N2O from managed soils (N2O)</v>
      </c>
      <c r="C122" t="s">
        <v>408</v>
      </c>
      <c r="D122" t="str">
        <f t="shared" si="22"/>
        <v xml:space="preserve"> - Subsistence sheep</v>
      </c>
      <c r="E122" t="str">
        <f t="shared" si="19"/>
        <v>N bedding - Subsistence sheep</v>
      </c>
      <c r="F122" t="str">
        <f t="shared" si="23"/>
        <v>Fraction</v>
      </c>
      <c r="H122" s="22">
        <v>0</v>
      </c>
    </row>
    <row r="123" spans="1:8" x14ac:dyDescent="0.25">
      <c r="A123" t="str">
        <f t="shared" si="20"/>
        <v>3C Aggregated and non-CO2 emissions on land</v>
      </c>
      <c r="B123" t="str">
        <f t="shared" si="21"/>
        <v>3C4 Direct N2O from managed soils (N2O)</v>
      </c>
      <c r="C123" t="s">
        <v>408</v>
      </c>
      <c r="D123" t="str">
        <f t="shared" si="22"/>
        <v xml:space="preserve"> - Commercial goats</v>
      </c>
      <c r="E123" t="str">
        <f t="shared" si="19"/>
        <v>N bedding - Commercial goats</v>
      </c>
      <c r="F123" t="str">
        <f t="shared" si="23"/>
        <v>Fraction</v>
      </c>
      <c r="H123" s="22">
        <v>0</v>
      </c>
    </row>
    <row r="124" spans="1:8" x14ac:dyDescent="0.25">
      <c r="A124" t="str">
        <f t="shared" si="20"/>
        <v>3C Aggregated and non-CO2 emissions on land</v>
      </c>
      <c r="B124" t="str">
        <f t="shared" si="21"/>
        <v>3C4 Direct N2O from managed soils (N2O)</v>
      </c>
      <c r="C124" t="s">
        <v>408</v>
      </c>
      <c r="D124" t="str">
        <f t="shared" si="22"/>
        <v xml:space="preserve"> - Subsistence goats</v>
      </c>
      <c r="E124" t="str">
        <f t="shared" si="19"/>
        <v>N bedding - Subsistence goats</v>
      </c>
      <c r="F124" t="str">
        <f t="shared" si="23"/>
        <v>Fraction</v>
      </c>
      <c r="H124" s="22">
        <v>0</v>
      </c>
    </row>
    <row r="125" spans="1:8" x14ac:dyDescent="0.25">
      <c r="A125" t="str">
        <f t="shared" si="20"/>
        <v>3C Aggregated and non-CO2 emissions on land</v>
      </c>
      <c r="B125" t="str">
        <f t="shared" si="21"/>
        <v>3C4 Direct N2O from managed soils (N2O)</v>
      </c>
      <c r="C125" t="s">
        <v>408</v>
      </c>
      <c r="D125" t="str">
        <f t="shared" si="22"/>
        <v xml:space="preserve"> - Horses</v>
      </c>
      <c r="E125" t="str">
        <f t="shared" si="19"/>
        <v>N bedding - Horses</v>
      </c>
      <c r="F125" t="str">
        <f t="shared" si="23"/>
        <v>Fraction</v>
      </c>
      <c r="H125" s="22">
        <v>0</v>
      </c>
    </row>
    <row r="126" spans="1:8" x14ac:dyDescent="0.25">
      <c r="A126" t="str">
        <f t="shared" si="20"/>
        <v>3C Aggregated and non-CO2 emissions on land</v>
      </c>
      <c r="B126" t="str">
        <f t="shared" si="21"/>
        <v>3C4 Direct N2O from managed soils (N2O)</v>
      </c>
      <c r="C126" t="s">
        <v>408</v>
      </c>
      <c r="D126" t="str">
        <f t="shared" si="22"/>
        <v xml:space="preserve"> - Mules &amp; Asses</v>
      </c>
      <c r="E126" t="str">
        <f t="shared" si="19"/>
        <v>N bedding - Mules &amp; Asses</v>
      </c>
      <c r="F126" t="str">
        <f t="shared" si="23"/>
        <v>Fraction</v>
      </c>
      <c r="H126" s="22">
        <v>0</v>
      </c>
    </row>
    <row r="127" spans="1:8" x14ac:dyDescent="0.25">
      <c r="A127" t="str">
        <f t="shared" si="20"/>
        <v>3C Aggregated and non-CO2 emissions on land</v>
      </c>
      <c r="B127" t="str">
        <f t="shared" si="21"/>
        <v>3C4 Direct N2O from managed soils (N2O)</v>
      </c>
      <c r="C127" t="s">
        <v>408</v>
      </c>
      <c r="D127" t="str">
        <f t="shared" si="22"/>
        <v xml:space="preserve"> - Commercial swine</v>
      </c>
      <c r="E127" t="str">
        <f t="shared" si="19"/>
        <v>N bedding - Commercial swine</v>
      </c>
      <c r="F127" t="str">
        <f t="shared" si="23"/>
        <v>Fraction</v>
      </c>
      <c r="H127" s="22">
        <v>0</v>
      </c>
    </row>
    <row r="128" spans="1:8" x14ac:dyDescent="0.25">
      <c r="A128" t="str">
        <f t="shared" si="20"/>
        <v>3C Aggregated and non-CO2 emissions on land</v>
      </c>
      <c r="B128" t="str">
        <f t="shared" si="21"/>
        <v>3C4 Direct N2O from managed soils (N2O)</v>
      </c>
      <c r="C128" t="s">
        <v>408</v>
      </c>
      <c r="D128" t="str">
        <f t="shared" si="22"/>
        <v xml:space="preserve"> - Subsistence swine</v>
      </c>
      <c r="E128" t="str">
        <f t="shared" si="19"/>
        <v>N bedding - Subsistence swine</v>
      </c>
      <c r="F128" t="str">
        <f t="shared" si="23"/>
        <v>Fraction</v>
      </c>
      <c r="H128" s="22">
        <v>0</v>
      </c>
    </row>
    <row r="129" spans="1:10" x14ac:dyDescent="0.25">
      <c r="A129" t="str">
        <f t="shared" si="20"/>
        <v>3C Aggregated and non-CO2 emissions on land</v>
      </c>
      <c r="B129" t="str">
        <f t="shared" si="21"/>
        <v>3C4 Direct N2O from managed soils (N2O)</v>
      </c>
      <c r="C129" t="s">
        <v>408</v>
      </c>
      <c r="D129" t="str">
        <f t="shared" si="22"/>
        <v xml:space="preserve"> - Commercial layers</v>
      </c>
      <c r="E129" t="str">
        <f t="shared" si="19"/>
        <v>N bedding - Commercial layers</v>
      </c>
      <c r="F129" t="str">
        <f t="shared" si="23"/>
        <v>Fraction</v>
      </c>
      <c r="H129" s="22">
        <v>0</v>
      </c>
    </row>
    <row r="130" spans="1:10" x14ac:dyDescent="0.25">
      <c r="A130" t="str">
        <f t="shared" si="20"/>
        <v>3C Aggregated and non-CO2 emissions on land</v>
      </c>
      <c r="B130" t="str">
        <f t="shared" si="21"/>
        <v>3C4 Direct N2O from managed soils (N2O)</v>
      </c>
      <c r="C130" t="s">
        <v>408</v>
      </c>
      <c r="D130" t="str">
        <f t="shared" si="22"/>
        <v xml:space="preserve"> - Commercial broilers</v>
      </c>
      <c r="E130" t="str">
        <f t="shared" si="19"/>
        <v>N bedding - Commercial broilers</v>
      </c>
      <c r="F130" t="str">
        <f t="shared" si="23"/>
        <v>Fraction</v>
      </c>
      <c r="H130" s="22">
        <v>0</v>
      </c>
    </row>
    <row r="131" spans="1:10" ht="18.75" customHeight="1" x14ac:dyDescent="0.25">
      <c r="A131" s="20" t="s">
        <v>60</v>
      </c>
      <c r="B131" s="20"/>
      <c r="C131" s="20"/>
      <c r="D131" s="15"/>
      <c r="E131" s="15"/>
      <c r="F131" s="15"/>
      <c r="G131" s="15"/>
      <c r="H131" s="15"/>
      <c r="I131" s="15"/>
      <c r="J131" s="15"/>
    </row>
    <row r="132" spans="1:10" x14ac:dyDescent="0.25">
      <c r="A132" t="str">
        <f>'IPCC Categories'!A59</f>
        <v>3C Aggregated and non-CO2 emissions on land</v>
      </c>
      <c r="B132" t="str">
        <f>'IPCC Categories'!B73</f>
        <v>3C4 Direct N2O from managed soils (N2O)</v>
      </c>
      <c r="C132" t="str">
        <f>'IPCC Categories'!C77</f>
        <v>FSOM</v>
      </c>
      <c r="E132" t="s">
        <v>722</v>
      </c>
      <c r="F132" t="s">
        <v>327</v>
      </c>
      <c r="H132" s="27">
        <v>15</v>
      </c>
    </row>
    <row r="133" spans="1:10" x14ac:dyDescent="0.25">
      <c r="A133" t="str">
        <f>A132</f>
        <v>3C Aggregated and non-CO2 emissions on land</v>
      </c>
      <c r="B133" t="str">
        <f t="shared" ref="B133:C133" si="24">B132</f>
        <v>3C4 Direct N2O from managed soils (N2O)</v>
      </c>
      <c r="C133" t="str">
        <f t="shared" si="24"/>
        <v>FSOM</v>
      </c>
      <c r="E133" t="s">
        <v>723</v>
      </c>
      <c r="F133" t="s">
        <v>327</v>
      </c>
      <c r="H133" s="27">
        <v>15</v>
      </c>
    </row>
    <row r="134" spans="1:10" x14ac:dyDescent="0.25">
      <c r="A134" t="str">
        <f t="shared" ref="A134:A135" si="25">A133</f>
        <v>3C Aggregated and non-CO2 emissions on land</v>
      </c>
      <c r="B134" t="str">
        <f t="shared" ref="B134:B135" si="26">B133</f>
        <v>3C4 Direct N2O from managed soils (N2O)</v>
      </c>
      <c r="C134" t="str">
        <f t="shared" ref="C134:C135" si="27">C133</f>
        <v>FSOM</v>
      </c>
      <c r="E134" t="s">
        <v>724</v>
      </c>
      <c r="F134" t="s">
        <v>327</v>
      </c>
      <c r="H134" s="27">
        <v>10</v>
      </c>
    </row>
    <row r="135" spans="1:10" x14ac:dyDescent="0.25">
      <c r="A135" t="str">
        <f t="shared" si="25"/>
        <v>3C Aggregated and non-CO2 emissions on land</v>
      </c>
      <c r="B135" t="str">
        <f t="shared" si="26"/>
        <v>3C4 Direct N2O from managed soils (N2O)</v>
      </c>
      <c r="C135" t="str">
        <f t="shared" si="27"/>
        <v>FSOM</v>
      </c>
      <c r="E135" t="s">
        <v>725</v>
      </c>
      <c r="F135" t="s">
        <v>327</v>
      </c>
      <c r="H135" s="48">
        <f>+H133</f>
        <v>15</v>
      </c>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966FF"/>
  </sheetPr>
  <dimension ref="A1:L8"/>
  <sheetViews>
    <sheetView workbookViewId="0">
      <selection activeCell="G8" sqref="G8:K8"/>
    </sheetView>
  </sheetViews>
  <sheetFormatPr defaultRowHeight="15" x14ac:dyDescent="0.25"/>
  <cols>
    <col min="1" max="1" width="21.28515625" customWidth="1"/>
    <col min="2" max="2" width="24.85546875" customWidth="1"/>
    <col min="3" max="3" width="16.85546875" customWidth="1"/>
    <col min="4" max="4" width="12.85546875" customWidth="1"/>
    <col min="5" max="5" width="42.42578125" customWidth="1"/>
    <col min="6" max="8" width="12.85546875" customWidth="1"/>
    <col min="9" max="9" width="12.7109375" customWidth="1"/>
    <col min="10" max="10" width="11.42578125" customWidth="1"/>
    <col min="11" max="11" width="11.7109375" customWidth="1"/>
    <col min="12" max="12" width="14.140625" customWidth="1"/>
  </cols>
  <sheetData>
    <row r="1" spans="1:12" ht="18.75" x14ac:dyDescent="0.3">
      <c r="A1" s="1" t="s">
        <v>876</v>
      </c>
    </row>
    <row r="3" spans="1:12" x14ac:dyDescent="0.25">
      <c r="G3">
        <v>1</v>
      </c>
      <c r="H3">
        <v>20</v>
      </c>
      <c r="I3">
        <v>33</v>
      </c>
      <c r="J3">
        <v>43</v>
      </c>
      <c r="K3">
        <v>53</v>
      </c>
    </row>
    <row r="4" spans="1:12" s="19" customFormat="1" ht="29.25" customHeight="1" x14ac:dyDescent="0.25">
      <c r="A4" s="17" t="s">
        <v>4</v>
      </c>
      <c r="B4" s="17" t="s">
        <v>313</v>
      </c>
      <c r="C4" s="17" t="s">
        <v>315</v>
      </c>
      <c r="D4" s="17" t="s">
        <v>149</v>
      </c>
      <c r="E4" s="17" t="s">
        <v>150</v>
      </c>
      <c r="F4" s="17" t="s">
        <v>0</v>
      </c>
      <c r="G4" s="17" t="s">
        <v>717</v>
      </c>
      <c r="H4" s="17" t="s">
        <v>717</v>
      </c>
      <c r="I4" s="17" t="s">
        <v>717</v>
      </c>
      <c r="J4" s="17" t="s">
        <v>717</v>
      </c>
      <c r="K4" s="17" t="s">
        <v>717</v>
      </c>
      <c r="L4" s="17" t="s">
        <v>842</v>
      </c>
    </row>
    <row r="5" spans="1:12" ht="18.75" customHeight="1" x14ac:dyDescent="0.25">
      <c r="A5" s="20" t="s">
        <v>814</v>
      </c>
      <c r="B5" s="20"/>
      <c r="C5" s="20"/>
      <c r="D5" s="15"/>
      <c r="E5" s="15"/>
      <c r="F5" s="15"/>
      <c r="G5" s="86">
        <v>2012</v>
      </c>
      <c r="H5" s="86">
        <v>2020</v>
      </c>
      <c r="I5" s="86">
        <v>2030</v>
      </c>
      <c r="J5" s="86">
        <v>2040</v>
      </c>
      <c r="K5" s="86">
        <v>2050</v>
      </c>
    </row>
    <row r="6" spans="1:12" x14ac:dyDescent="0.25">
      <c r="A6" t="str">
        <f>'IPCC Categories'!A5</f>
        <v>3A Livestock</v>
      </c>
      <c r="C6" t="str">
        <f>'IPCC Categories'!D6</f>
        <v>3A1aii Other cattle</v>
      </c>
      <c r="E6" t="s">
        <v>848</v>
      </c>
      <c r="F6" t="s">
        <v>327</v>
      </c>
      <c r="G6" s="48">
        <v>0.7</v>
      </c>
      <c r="H6" s="48">
        <v>0.74</v>
      </c>
      <c r="I6" s="48">
        <v>0.76</v>
      </c>
      <c r="J6" s="48">
        <v>0.8</v>
      </c>
      <c r="K6" s="48">
        <v>0.83</v>
      </c>
    </row>
    <row r="7" spans="1:12" x14ac:dyDescent="0.25">
      <c r="A7" t="str">
        <f>A6</f>
        <v>3A Livestock</v>
      </c>
      <c r="C7" t="str">
        <f>C6</f>
        <v>3A1aii Other cattle</v>
      </c>
      <c r="E7" t="s">
        <v>928</v>
      </c>
      <c r="F7" t="s">
        <v>327</v>
      </c>
      <c r="G7" s="48">
        <v>0.57999999999999996</v>
      </c>
      <c r="H7" s="48">
        <v>0.57999999999999996</v>
      </c>
      <c r="I7" s="48">
        <v>0.57999999999999996</v>
      </c>
      <c r="J7" s="48">
        <v>0.57999999999999996</v>
      </c>
      <c r="K7" s="48">
        <v>0.57999999999999996</v>
      </c>
    </row>
    <row r="8" spans="1:12" x14ac:dyDescent="0.25">
      <c r="A8" t="str">
        <f>A7</f>
        <v>3A Livestock</v>
      </c>
      <c r="C8" t="str">
        <f>C7</f>
        <v>3A1aii Other cattle</v>
      </c>
      <c r="E8" t="s">
        <v>850</v>
      </c>
      <c r="F8" t="s">
        <v>851</v>
      </c>
      <c r="G8" s="48">
        <v>120</v>
      </c>
      <c r="H8" s="48">
        <v>120</v>
      </c>
      <c r="I8" s="48">
        <v>120</v>
      </c>
      <c r="J8" s="48">
        <v>120</v>
      </c>
      <c r="K8" s="48">
        <v>120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2" tint="0.59999389629810485"/>
  </sheetPr>
  <dimension ref="A1:BO65"/>
  <sheetViews>
    <sheetView workbookViewId="0">
      <pane xSplit="1" ySplit="3" topLeftCell="W40" activePane="bottomRight" state="frozen"/>
      <selection pane="topRight" activeCell="B1" sqref="B1"/>
      <selection pane="bottomLeft" activeCell="A4" sqref="A4"/>
      <selection pane="bottomRight" activeCell="Y16" sqref="Y16"/>
    </sheetView>
  </sheetViews>
  <sheetFormatPr defaultRowHeight="15" x14ac:dyDescent="0.25"/>
  <cols>
    <col min="1" max="1" width="29.5703125" customWidth="1"/>
    <col min="2" max="2" width="12.85546875" customWidth="1"/>
    <col min="3" max="29" width="12.7109375" customWidth="1"/>
    <col min="30" max="30" width="13.85546875" customWidth="1"/>
    <col min="31" max="33" width="12.7109375" customWidth="1"/>
    <col min="34" max="35" width="11.42578125" customWidth="1"/>
    <col min="36" max="36" width="11.28515625" customWidth="1"/>
    <col min="37" max="63" width="11.42578125" bestFit="1" customWidth="1"/>
  </cols>
  <sheetData>
    <row r="1" spans="1:67" ht="18.75" x14ac:dyDescent="0.3">
      <c r="A1" s="1" t="s">
        <v>326</v>
      </c>
      <c r="AF1" s="11"/>
    </row>
    <row r="2" spans="1:67" x14ac:dyDescent="0.25">
      <c r="K2">
        <v>1</v>
      </c>
      <c r="L2">
        <v>2</v>
      </c>
      <c r="M2">
        <v>3</v>
      </c>
      <c r="N2">
        <v>4</v>
      </c>
      <c r="O2">
        <v>5</v>
      </c>
      <c r="P2">
        <v>6</v>
      </c>
      <c r="Q2">
        <v>7</v>
      </c>
      <c r="R2">
        <v>8</v>
      </c>
      <c r="S2">
        <v>9</v>
      </c>
      <c r="T2">
        <v>10</v>
      </c>
      <c r="U2">
        <v>11</v>
      </c>
      <c r="V2">
        <v>12</v>
      </c>
      <c r="W2">
        <v>13</v>
      </c>
      <c r="X2">
        <v>14</v>
      </c>
      <c r="Y2">
        <v>15</v>
      </c>
      <c r="Z2">
        <v>16</v>
      </c>
      <c r="AA2">
        <v>17</v>
      </c>
      <c r="AB2">
        <v>18</v>
      </c>
      <c r="AC2">
        <v>19</v>
      </c>
      <c r="AD2">
        <v>20</v>
      </c>
      <c r="AE2">
        <v>21</v>
      </c>
      <c r="AF2">
        <v>22</v>
      </c>
      <c r="AG2">
        <v>23</v>
      </c>
      <c r="AH2">
        <v>24</v>
      </c>
      <c r="AI2">
        <v>25</v>
      </c>
      <c r="AJ2">
        <v>26</v>
      </c>
      <c r="AK2">
        <v>27</v>
      </c>
      <c r="AL2">
        <v>28</v>
      </c>
      <c r="AM2">
        <v>29</v>
      </c>
      <c r="AN2">
        <v>30</v>
      </c>
      <c r="AO2">
        <v>31</v>
      </c>
      <c r="AP2">
        <v>32</v>
      </c>
      <c r="AQ2">
        <v>33</v>
      </c>
      <c r="AR2">
        <v>34</v>
      </c>
      <c r="AS2">
        <v>35</v>
      </c>
      <c r="AT2">
        <v>36</v>
      </c>
      <c r="AU2">
        <v>37</v>
      </c>
      <c r="AV2">
        <v>38</v>
      </c>
      <c r="AW2">
        <v>39</v>
      </c>
      <c r="AX2">
        <v>40</v>
      </c>
      <c r="AY2">
        <v>41</v>
      </c>
      <c r="AZ2">
        <v>42</v>
      </c>
      <c r="BA2">
        <v>43</v>
      </c>
      <c r="BB2">
        <v>44</v>
      </c>
      <c r="BC2">
        <v>45</v>
      </c>
      <c r="BD2">
        <v>46</v>
      </c>
      <c r="BE2">
        <v>47</v>
      </c>
      <c r="BF2">
        <v>48</v>
      </c>
      <c r="BG2">
        <v>49</v>
      </c>
      <c r="BH2">
        <v>50</v>
      </c>
      <c r="BI2">
        <v>51</v>
      </c>
      <c r="BJ2">
        <v>52</v>
      </c>
      <c r="BK2">
        <v>53</v>
      </c>
    </row>
    <row r="3" spans="1:67" s="19" customFormat="1" ht="29.25" customHeight="1" x14ac:dyDescent="0.25">
      <c r="A3" s="17" t="s">
        <v>325</v>
      </c>
      <c r="B3" s="17" t="s">
        <v>0</v>
      </c>
      <c r="C3" s="17">
        <v>1990</v>
      </c>
      <c r="D3" s="17">
        <v>1991</v>
      </c>
      <c r="E3" s="17">
        <v>1992</v>
      </c>
      <c r="F3" s="17">
        <v>1993</v>
      </c>
      <c r="G3" s="17">
        <v>1994</v>
      </c>
      <c r="H3" s="17">
        <v>1995</v>
      </c>
      <c r="I3" s="17">
        <v>1996</v>
      </c>
      <c r="J3" s="17">
        <v>1997</v>
      </c>
      <c r="K3" s="17">
        <v>1998</v>
      </c>
      <c r="L3" s="17">
        <v>1999</v>
      </c>
      <c r="M3" s="17">
        <v>2000</v>
      </c>
      <c r="N3" s="17">
        <v>2001</v>
      </c>
      <c r="O3" s="17">
        <v>2002</v>
      </c>
      <c r="P3" s="17">
        <v>2003</v>
      </c>
      <c r="Q3" s="17">
        <v>2004</v>
      </c>
      <c r="R3" s="17">
        <v>2005</v>
      </c>
      <c r="S3" s="17">
        <v>2006</v>
      </c>
      <c r="T3" s="17">
        <v>2007</v>
      </c>
      <c r="U3" s="17">
        <v>2008</v>
      </c>
      <c r="V3" s="17">
        <v>2009</v>
      </c>
      <c r="W3" s="17">
        <v>2010</v>
      </c>
      <c r="X3" s="17">
        <v>2011</v>
      </c>
      <c r="Y3" s="17">
        <v>2012</v>
      </c>
      <c r="Z3" s="17">
        <v>2013</v>
      </c>
      <c r="AA3" s="17">
        <v>2014</v>
      </c>
      <c r="AB3" s="17">
        <v>2015</v>
      </c>
      <c r="AC3" s="17">
        <v>2016</v>
      </c>
      <c r="AD3" s="17">
        <v>2017</v>
      </c>
      <c r="AE3" s="17">
        <v>2018</v>
      </c>
      <c r="AF3" s="17">
        <v>2019</v>
      </c>
      <c r="AG3" s="17">
        <v>2020</v>
      </c>
      <c r="AH3" s="17">
        <v>2021</v>
      </c>
      <c r="AI3" s="17">
        <v>2022</v>
      </c>
      <c r="AJ3" s="17">
        <v>2023</v>
      </c>
      <c r="AK3" s="17">
        <v>2024</v>
      </c>
      <c r="AL3" s="17">
        <v>2025</v>
      </c>
      <c r="AM3" s="17">
        <v>2026</v>
      </c>
      <c r="AN3" s="17">
        <v>2027</v>
      </c>
      <c r="AO3" s="17">
        <v>2028</v>
      </c>
      <c r="AP3" s="17">
        <v>2029</v>
      </c>
      <c r="AQ3" s="17">
        <v>2030</v>
      </c>
      <c r="AR3" s="17">
        <v>2031</v>
      </c>
      <c r="AS3" s="17">
        <v>2032</v>
      </c>
      <c r="AT3" s="17">
        <v>2033</v>
      </c>
      <c r="AU3" s="17">
        <v>2034</v>
      </c>
      <c r="AV3" s="17">
        <v>2035</v>
      </c>
      <c r="AW3" s="17">
        <v>2036</v>
      </c>
      <c r="AX3" s="17">
        <v>2037</v>
      </c>
      <c r="AY3" s="17">
        <v>2038</v>
      </c>
      <c r="AZ3" s="17">
        <v>2039</v>
      </c>
      <c r="BA3" s="17">
        <v>2040</v>
      </c>
      <c r="BB3" s="17">
        <v>2041</v>
      </c>
      <c r="BC3" s="17">
        <v>2042</v>
      </c>
      <c r="BD3" s="17">
        <v>2043</v>
      </c>
      <c r="BE3" s="17">
        <v>2044</v>
      </c>
      <c r="BF3" s="17">
        <v>2045</v>
      </c>
      <c r="BG3" s="17">
        <v>2046</v>
      </c>
      <c r="BH3" s="17">
        <v>2047</v>
      </c>
      <c r="BI3" s="17">
        <v>2048</v>
      </c>
      <c r="BJ3" s="17">
        <v>2049</v>
      </c>
      <c r="BK3" s="17">
        <v>2050</v>
      </c>
      <c r="BN3" s="18" t="s">
        <v>308</v>
      </c>
      <c r="BO3" s="17" t="s">
        <v>282</v>
      </c>
    </row>
    <row r="4" spans="1:67" x14ac:dyDescent="0.25">
      <c r="A4" t="s">
        <v>807</v>
      </c>
      <c r="B4" t="s">
        <v>808</v>
      </c>
      <c r="C4" s="22">
        <f>(Drivers!D5*1000000)/Drivers!D4</f>
        <v>39.10873026289714</v>
      </c>
      <c r="D4" s="22">
        <f>(Drivers!E5*1000000)/Drivers!E4</f>
        <v>39.301142142580012</v>
      </c>
      <c r="E4" s="22">
        <f>(Drivers!F5*1000000)/Drivers!F4</f>
        <v>39.481945188785296</v>
      </c>
      <c r="F4" s="22">
        <f>(Drivers!G5*1000000)/Drivers!G4</f>
        <v>39.680218056022397</v>
      </c>
      <c r="G4" s="22">
        <f>(Drivers!H5*1000000)/Drivers!H4</f>
        <v>39.933284725012705</v>
      </c>
      <c r="H4" s="22">
        <f>(Drivers!I5*1000000)/Drivers!I4</f>
        <v>40.265989611646312</v>
      </c>
      <c r="I4" s="22">
        <f>(Drivers!J5*1000000)/Drivers!J4</f>
        <v>41.157319289261217</v>
      </c>
      <c r="J4" s="22">
        <f>(Drivers!K5*1000000)/Drivers!K4</f>
        <v>41.49415740152061</v>
      </c>
      <c r="K4" s="22">
        <f>(Drivers!L5*1000000)/Drivers!L4</f>
        <v>41.120000941730311</v>
      </c>
      <c r="L4" s="22">
        <f>(Drivers!M5*1000000)/Drivers!M4</f>
        <v>41.605164287649345</v>
      </c>
      <c r="M4" s="22">
        <f>(Drivers!N5*1000000)/Drivers!N4</f>
        <v>42.828060302401113</v>
      </c>
      <c r="N4" s="22">
        <f>(Drivers!O5*1000000)/Drivers!O4</f>
        <v>43.486390603682111</v>
      </c>
      <c r="O4" s="22">
        <f>(Drivers!P5*1000000)/Drivers!P4</f>
        <v>44.572125773969631</v>
      </c>
      <c r="P4" s="22">
        <f>(Drivers!Q5*1000000)/Drivers!Q4</f>
        <v>45.342699168448021</v>
      </c>
      <c r="Q4" s="22">
        <f>(Drivers!R5*1000000)/Drivers!R4</f>
        <v>46.808558619976573</v>
      </c>
      <c r="R4" s="22">
        <f>(Drivers!S5*1000000)/Drivers!S4</f>
        <v>48.688837553912919</v>
      </c>
      <c r="S4" s="22">
        <f>(Drivers!T5*1000000)/Drivers!T4</f>
        <v>50.734320824023349</v>
      </c>
      <c r="T4" s="22">
        <f>(Drivers!U5*1000000)/Drivers!U4</f>
        <v>52.880800409691389</v>
      </c>
      <c r="U4" s="22">
        <f>(Drivers!V5*1000000)/Drivers!V4</f>
        <v>54.14294894462563</v>
      </c>
      <c r="V4" s="22">
        <f>(Drivers!W5*1000000)/Drivers!W4</f>
        <v>52.678051808895106</v>
      </c>
      <c r="W4" s="22">
        <f>(Drivers!X5*1000000)/Drivers!X4</f>
        <v>53.515880269559084</v>
      </c>
      <c r="X4" s="22">
        <f>(Drivers!Y5*1000000)/Drivers!Y4</f>
        <v>54.514380723142551</v>
      </c>
      <c r="Y4" s="22">
        <f>(Drivers!Z5*1000000)/Drivers!Z4</f>
        <v>55.50098056610117</v>
      </c>
      <c r="Z4" s="22">
        <f>(Drivers!AA5*1000000)/Drivers!AA4</f>
        <v>55.972853439071798</v>
      </c>
      <c r="AA4" s="22">
        <f>(Drivers!AB5*1000000)/Drivers!AB4</f>
        <v>56.089110674766729</v>
      </c>
      <c r="AB4" s="22">
        <f>(Drivers!AC5*1000000)/Drivers!AC4</f>
        <v>55.733948080448513</v>
      </c>
      <c r="AC4" s="22">
        <f>(Drivers!AD5*1000000)/Drivers!AD4</f>
        <v>55.358189213873167</v>
      </c>
      <c r="AD4" s="22">
        <f>(Drivers!AE5*1000000)/Drivers!AE4</f>
        <v>55.179411316523648</v>
      </c>
      <c r="AE4" s="22">
        <f>(Drivers!AF5*1000000)/Drivers!AF4</f>
        <v>55.060174422919282</v>
      </c>
      <c r="AF4" s="22">
        <f>(Drivers!AG5*1000000)/Drivers!AG4</f>
        <v>54.485034925739036</v>
      </c>
      <c r="AG4" s="22">
        <f>(Drivers!AH5*1000000)/Drivers!AH4</f>
        <v>49.838031421163564</v>
      </c>
      <c r="AH4" s="22">
        <f>(Drivers!AI5*1000000)/Drivers!AI4</f>
        <v>50.496116077958831</v>
      </c>
      <c r="AI4" s="22">
        <f>(Drivers!AJ5*1000000)/Drivers!AJ4</f>
        <v>51.035010865445066</v>
      </c>
      <c r="AJ4" s="22">
        <f>(Drivers!AK5*1000000)/Drivers!AK4</f>
        <v>51.563011681948041</v>
      </c>
      <c r="AK4" s="22">
        <f>(Drivers!AL5*1000000)/Drivers!AL4</f>
        <v>52.24753897151863</v>
      </c>
      <c r="AL4" s="22">
        <f>(Drivers!AM5*1000000)/Drivers!AM4</f>
        <v>52.91954609208279</v>
      </c>
      <c r="AM4" s="22">
        <f>(Drivers!AN5*1000000)/Drivers!AN4</f>
        <v>53.689390804166742</v>
      </c>
      <c r="AN4" s="22">
        <f>(Drivers!AO5*1000000)/Drivers!AO4</f>
        <v>54.409123029913658</v>
      </c>
      <c r="AO4" s="22">
        <f>(Drivers!AP5*1000000)/Drivers!AP4</f>
        <v>55.183338276940852</v>
      </c>
      <c r="AP4" s="22">
        <f>(Drivers!AQ5*1000000)/Drivers!AQ4</f>
        <v>55.870335062885211</v>
      </c>
      <c r="AQ4" s="22">
        <f>(Drivers!AR5*1000000)/Drivers!AR4</f>
        <v>56.570087000011668</v>
      </c>
      <c r="AR4" s="22">
        <f>(Drivers!AS5*1000000)/Drivers!AS4</f>
        <v>57.539252949676339</v>
      </c>
      <c r="AS4" s="22">
        <f>(Drivers!AT5*1000000)/Drivers!AT4</f>
        <v>58.596837510703793</v>
      </c>
      <c r="AT4" s="22">
        <f>(Drivers!AU5*1000000)/Drivers!AU4</f>
        <v>59.684342723802693</v>
      </c>
      <c r="AU4" s="22">
        <f>(Drivers!AV5*1000000)/Drivers!AV4</f>
        <v>59.529643820829584</v>
      </c>
      <c r="AV4" s="22">
        <f>(Drivers!AW5*1000000)/Drivers!AW4</f>
        <v>0</v>
      </c>
      <c r="AW4" s="22">
        <f>(Drivers!AX5*1000000)/Drivers!AX4</f>
        <v>0</v>
      </c>
      <c r="AX4" s="22">
        <f>(Drivers!AY5*1000000)/Drivers!AY4</f>
        <v>0</v>
      </c>
      <c r="AY4" s="22">
        <f>(Drivers!AZ5*1000000)/Drivers!AZ4</f>
        <v>0</v>
      </c>
      <c r="AZ4" s="22">
        <f>(Drivers!BA5*1000000)/Drivers!BA4</f>
        <v>0</v>
      </c>
      <c r="BA4" s="22">
        <f>(Drivers!BB5*1000000)/Drivers!BB4</f>
        <v>0</v>
      </c>
      <c r="BB4" s="22">
        <f>(Drivers!BC5*1000000)/Drivers!BC4</f>
        <v>0</v>
      </c>
      <c r="BC4" s="22">
        <f>(Drivers!BD5*1000000)/Drivers!BD4</f>
        <v>0</v>
      </c>
      <c r="BD4" s="22">
        <f>(Drivers!BE5*1000000)/Drivers!BE4</f>
        <v>0</v>
      </c>
      <c r="BE4" s="22">
        <f>(Drivers!BF5*1000000)/Drivers!BF4</f>
        <v>0</v>
      </c>
      <c r="BF4" s="22">
        <f>(Drivers!BG5*1000000)/Drivers!BG4</f>
        <v>0</v>
      </c>
      <c r="BG4" s="22">
        <f>(Drivers!BH5*1000000)/Drivers!BH4</f>
        <v>0</v>
      </c>
      <c r="BH4" s="22">
        <f>(Drivers!BI5*1000000)/Drivers!BI4</f>
        <v>0</v>
      </c>
      <c r="BI4" s="22">
        <f>(Drivers!BJ5*1000000)/Drivers!BJ4</f>
        <v>0</v>
      </c>
      <c r="BJ4" s="22">
        <f>(Drivers!BK5*1000000)/Drivers!BK4</f>
        <v>0</v>
      </c>
      <c r="BK4" s="22">
        <f>(Drivers!BL5*1000000)/Drivers!BL4</f>
        <v>0</v>
      </c>
    </row>
    <row r="5" spans="1:67" s="85" customFormat="1" x14ac:dyDescent="0.25">
      <c r="A5" s="85" t="s">
        <v>318</v>
      </c>
      <c r="B5" s="85" t="s">
        <v>321</v>
      </c>
      <c r="C5" s="28">
        <v>668000</v>
      </c>
      <c r="D5" s="28">
        <v>714000</v>
      </c>
      <c r="E5" s="28">
        <v>741000</v>
      </c>
      <c r="F5" s="28">
        <v>718000</v>
      </c>
      <c r="G5" s="28">
        <v>663000</v>
      </c>
      <c r="H5" s="28">
        <v>587000</v>
      </c>
      <c r="I5" s="28">
        <v>591000</v>
      </c>
      <c r="J5" s="28">
        <v>573000</v>
      </c>
      <c r="K5" s="28">
        <v>560000</v>
      </c>
      <c r="L5" s="28">
        <v>559000</v>
      </c>
      <c r="M5" s="28">
        <v>671000</v>
      </c>
      <c r="N5" s="28">
        <v>554000</v>
      </c>
      <c r="O5" s="28">
        <v>602000</v>
      </c>
      <c r="P5" s="28">
        <v>643000</v>
      </c>
      <c r="Q5" s="28">
        <v>675000</v>
      </c>
      <c r="R5" s="28">
        <v>723000</v>
      </c>
      <c r="S5" s="28">
        <v>825000</v>
      </c>
      <c r="T5" s="28">
        <v>865000</v>
      </c>
      <c r="U5" s="28">
        <v>767000</v>
      </c>
      <c r="V5" s="28">
        <v>784000</v>
      </c>
      <c r="W5" s="28">
        <v>880000</v>
      </c>
      <c r="X5" s="28">
        <v>879000</v>
      </c>
      <c r="Y5" s="28">
        <f>((Data!$AJ$5*'Intermediate calculations'!Y4)+Data!$AK$5)*Drivers!Z4</f>
        <v>924855.80898353143</v>
      </c>
      <c r="Z5" s="28">
        <f>((Data!$AJ$5*'Intermediate calculations'!Z4)+Data!$AK$5)*Drivers!AA4</f>
        <v>947742.28342583426</v>
      </c>
      <c r="AA5" s="28">
        <f>((Data!$AJ$5*'Intermediate calculations'!AA4)+Data!$AK$5)*Drivers!AB4</f>
        <v>964442.83230185462</v>
      </c>
      <c r="AB5" s="28">
        <f>((Data!$AJ$5*'Intermediate calculations'!AB4)+Data!$AK$5)*Drivers!AC4</f>
        <v>972360.2761669351</v>
      </c>
      <c r="AC5" s="28">
        <f>((Data!$AJ$5*'Intermediate calculations'!AC4)+Data!$AK$5)*Drivers!AD4</f>
        <v>980196.47897044814</v>
      </c>
      <c r="AD5" s="28">
        <f>((Data!$AJ$5*'Intermediate calculations'!AD4)+Data!$AK$5)*Drivers!AE4</f>
        <v>992415.64989686979</v>
      </c>
      <c r="AE5" s="28">
        <f>((Data!$AJ$5*'Intermediate calculations'!AE4)+Data!$AK$5)*Drivers!AF4</f>
        <v>1005972.5768210067</v>
      </c>
      <c r="AF5" s="28">
        <f>((Data!$AJ$5*'Intermediate calculations'!AF4)+Data!$AK$5)*Drivers!AG4</f>
        <v>1010025.9471876509</v>
      </c>
      <c r="AG5" s="28">
        <f>((Data!$AJ$5*'Intermediate calculations'!AG4)+Data!$AK$5)*Drivers!AH4</f>
        <v>926070.2807857712</v>
      </c>
      <c r="AH5" s="28">
        <f>((Data!$AJ$5*'Intermediate calculations'!AH4)+Data!$AK$5)*Drivers!AI4</f>
        <v>951099.21613564389</v>
      </c>
      <c r="AI5" s="28">
        <f>((Data!$AJ$5*'Intermediate calculations'!AI4)+Data!$AK$5)*Drivers!AJ4</f>
        <v>973949.87509912613</v>
      </c>
      <c r="AJ5" s="28">
        <f>((Data!$AJ$5*'Intermediate calculations'!AJ4)+Data!$AK$5)*Drivers!AK4</f>
        <v>996957.330153035</v>
      </c>
      <c r="AK5" s="28">
        <f>((Data!$AJ$5*'Intermediate calculations'!AK4)+Data!$AK$5)*Drivers!AL4</f>
        <v>1023901.8579268232</v>
      </c>
      <c r="AL5" s="28">
        <f>((Data!$AJ$5*'Intermediate calculations'!AL4)+Data!$AK$5)*Drivers!AM4</f>
        <v>1051048.5781114753</v>
      </c>
      <c r="AM5" s="28">
        <f>((Data!$AJ$5*'Intermediate calculations'!AM4)+Data!$AK$5)*Drivers!AN4</f>
        <v>1079164.1187584263</v>
      </c>
      <c r="AN5" s="28">
        <f>((Data!$AJ$5*'Intermediate calculations'!AN4)+Data!$AK$5)*Drivers!AO4</f>
        <v>1106563.5526818135</v>
      </c>
      <c r="AO5" s="28">
        <f>((Data!$AJ$5*'Intermediate calculations'!AO4)+Data!$AK$5)*Drivers!AP4</f>
        <v>1135680.1729982898</v>
      </c>
      <c r="AP5" s="28">
        <f>((Data!$AJ$5*'Intermediate calculations'!AP4)+Data!$AK$5)*Drivers!AQ4</f>
        <v>1163190.0307153419</v>
      </c>
      <c r="AQ5" s="28">
        <f>((Data!$AJ$5*'Intermediate calculations'!AQ4)+Data!$AK$5)*Drivers!AR4</f>
        <v>1191437.6590696336</v>
      </c>
      <c r="AR5" s="28">
        <f>((Data!$AJ$5*'Intermediate calculations'!AR4)+Data!$AK$5)*Drivers!AS4</f>
        <v>1225064.6090277752</v>
      </c>
      <c r="AS5" s="28">
        <f>((Data!$AJ$5*'Intermediate calculations'!AS4)+Data!$AK$5)*Drivers!AT4</f>
        <v>1261337.2040832094</v>
      </c>
      <c r="AT5" s="28">
        <f>((Data!$AJ$5*'Intermediate calculations'!AT4)+Data!$AK$5)*Drivers!AU4</f>
        <v>1298876.3444644772</v>
      </c>
      <c r="AU5" s="28">
        <f>((Data!$AJ$5*'Intermediate calculations'!AU4)+Data!$AK$5)*Drivers!AV4</f>
        <v>1306120.0926462498</v>
      </c>
      <c r="AV5" s="28">
        <f>((Data!$AJ$5*'Intermediate calculations'!AV4)+Data!$AK$5)*Drivers!AW4</f>
        <v>-173485.03181403803</v>
      </c>
      <c r="AW5" s="28">
        <f>((Data!$AJ$5*'Intermediate calculations'!AW4)+Data!$AK$5)*Drivers!AX4</f>
        <v>-174755.14287206525</v>
      </c>
      <c r="AX5" s="28">
        <f>((Data!$AJ$5*'Intermediate calculations'!AX4)+Data!$AK$5)*Drivers!AY4</f>
        <v>-176034.55261184537</v>
      </c>
      <c r="AY5" s="28">
        <f>((Data!$AJ$5*'Intermediate calculations'!AY4)+Data!$AK$5)*Drivers!AZ4</f>
        <v>-177323.3291104821</v>
      </c>
      <c r="AZ5" s="28">
        <f>((Data!$AJ$5*'Intermediate calculations'!AZ4)+Data!$AK$5)*Drivers!BA4</f>
        <v>-178621.54094348245</v>
      </c>
      <c r="BA5" s="28">
        <f>((Data!$AJ$5*'Intermediate calculations'!BA4)+Data!$AK$5)*Drivers!BB4</f>
        <v>-179929.25718840538</v>
      </c>
      <c r="BB5" s="28">
        <f>((Data!$AJ$5*'Intermediate calculations'!BB4)+Data!$AK$5)*Drivers!BC4</f>
        <v>-181046.7851231689</v>
      </c>
      <c r="BC5" s="28">
        <f>((Data!$AJ$5*'Intermediate calculations'!BC4)+Data!$AK$5)*Drivers!BD4</f>
        <v>-182171.25394517047</v>
      </c>
      <c r="BD5" s="28">
        <f>((Data!$AJ$5*'Intermediate calculations'!BD4)+Data!$AK$5)*Drivers!BE4</f>
        <v>-183302.70676377154</v>
      </c>
      <c r="BE5" s="28">
        <f>((Data!$AJ$5*'Intermediate calculations'!BE4)+Data!$AK$5)*Drivers!BF4</f>
        <v>-184441.18695608282</v>
      </c>
      <c r="BF5" s="28">
        <f>((Data!$AJ$5*'Intermediate calculations'!BF4)+Data!$AK$5)*Drivers!BG4</f>
        <v>-185586.73816862702</v>
      </c>
      <c r="BG5" s="28">
        <f>((Data!$AJ$5*'Intermediate calculations'!BG4)+Data!$AK$5)*Drivers!BH4</f>
        <v>-186534.12876951232</v>
      </c>
      <c r="BH5" s="28">
        <f>((Data!$AJ$5*'Intermediate calculations'!BH4)+Data!$AK$5)*Drivers!BI4</f>
        <v>-187486.35564781437</v>
      </c>
      <c r="BI5" s="28">
        <f>((Data!$AJ$5*'Intermediate calculations'!BI4)+Data!$AK$5)*Drivers!BJ4</f>
        <v>-188443.44349195543</v>
      </c>
      <c r="BJ5" s="28">
        <f>((Data!$AJ$5*'Intermediate calculations'!BJ4)+Data!$AK$5)*Drivers!BK4</f>
        <v>-189405.41711638827</v>
      </c>
      <c r="BK5" s="28">
        <f>((Data!$AJ$5*'Intermediate calculations'!BK4)+Data!$AK$5)*Drivers!BL4</f>
        <v>-190372.30146223947</v>
      </c>
    </row>
    <row r="6" spans="1:67" x14ac:dyDescent="0.25">
      <c r="A6" t="s">
        <v>318</v>
      </c>
      <c r="B6" t="s">
        <v>322</v>
      </c>
      <c r="C6" s="22">
        <f>C5/Drivers!D4</f>
        <v>1.8151922844328049E-2</v>
      </c>
      <c r="D6" s="22">
        <f>D5/Drivers!E4</f>
        <v>1.8929477093079208E-2</v>
      </c>
      <c r="E6" s="22">
        <f>E5/Drivers!F4</f>
        <v>1.9160849435363898E-2</v>
      </c>
      <c r="F6" s="22">
        <f>F5/Drivers!G4</f>
        <v>1.8115873466426971E-2</v>
      </c>
      <c r="G6" s="22">
        <f>G5/Drivers!H4</f>
        <v>1.6344518185421236E-2</v>
      </c>
      <c r="H6" s="22">
        <f>H5/Drivers!I4</f>
        <v>1.4166508067741876E-2</v>
      </c>
      <c r="I6" s="22">
        <f>I5/Drivers!J4</f>
        <v>1.3991142399503649E-2</v>
      </c>
      <c r="J6" s="22">
        <f>J5/Drivers!K4</f>
        <v>1.3329468330311484E-2</v>
      </c>
      <c r="K6" s="22">
        <f>K5/Drivers!L4</f>
        <v>1.2819849522437712E-2</v>
      </c>
      <c r="L6" s="22">
        <f>L5/Drivers!M4</f>
        <v>1.2607541028129859E-2</v>
      </c>
      <c r="M6" s="22">
        <f>M5/Drivers!N4</f>
        <v>1.4921819008431562E-2</v>
      </c>
      <c r="N6" s="22">
        <f>N5/Drivers!O4</f>
        <v>1.21567810458843E-2</v>
      </c>
      <c r="O6" s="22">
        <f>O5/Drivers!P4</f>
        <v>1.3044162311588505E-2</v>
      </c>
      <c r="P6" s="22">
        <f>P5/Drivers!Q4</f>
        <v>1.3763079313265579E-2</v>
      </c>
      <c r="Q6" s="22">
        <f>Q5/Drivers!R4</f>
        <v>1.4273144855926876E-2</v>
      </c>
      <c r="R6" s="22">
        <f>R5/Drivers!S4</f>
        <v>1.5100061087370227E-2</v>
      </c>
      <c r="S6" s="22">
        <f>S5/Drivers!T4</f>
        <v>1.701400710616301E-2</v>
      </c>
      <c r="T6" s="22">
        <f>T5/Drivers!U4</f>
        <v>1.7610021254379524E-2</v>
      </c>
      <c r="U6" s="22">
        <f>U5/Drivers!V4</f>
        <v>1.5407958031534726E-2</v>
      </c>
      <c r="V6" s="22">
        <f>V5/Drivers!W4</f>
        <v>1.553182299165852E-2</v>
      </c>
      <c r="W6" s="22">
        <f>W5/Drivers!X4</f>
        <v>1.7181807184041598E-2</v>
      </c>
      <c r="X6" s="22">
        <f>X5/Drivers!Y4</f>
        <v>1.6902490054067201E-2</v>
      </c>
      <c r="Y6" s="22"/>
      <c r="Z6" s="22"/>
      <c r="AA6" s="22"/>
      <c r="AB6" s="22"/>
      <c r="AC6" s="22"/>
      <c r="AD6" s="22"/>
      <c r="AE6" s="22"/>
      <c r="AF6" s="22"/>
      <c r="AG6" s="22"/>
      <c r="AH6" s="22"/>
      <c r="AI6" s="22"/>
      <c r="AJ6" s="22"/>
      <c r="AK6" s="22"/>
      <c r="AL6" s="22"/>
      <c r="AM6" s="22"/>
      <c r="AN6" s="22"/>
      <c r="AO6" s="22">
        <f>(AO5-AE5)/AE5</f>
        <v>0.12893750701154752</v>
      </c>
      <c r="AP6" s="22"/>
      <c r="AQ6" s="22">
        <f>(AQ8-AD8)/AD8</f>
        <v>0.22690491868426668</v>
      </c>
      <c r="AR6" s="22"/>
      <c r="AS6" s="22"/>
      <c r="AT6" s="22"/>
      <c r="AU6" s="22"/>
      <c r="AV6" s="22"/>
      <c r="AW6" s="22"/>
      <c r="AX6" s="22"/>
      <c r="AY6" s="22"/>
      <c r="AZ6" s="22"/>
      <c r="BA6" s="22"/>
      <c r="BB6" s="22"/>
      <c r="BC6" s="22"/>
      <c r="BD6" s="22"/>
      <c r="BE6" s="22"/>
      <c r="BF6" s="22"/>
      <c r="BG6" s="22"/>
      <c r="BH6" s="22"/>
      <c r="BI6" s="22"/>
      <c r="BJ6" s="22"/>
      <c r="BK6" s="22"/>
    </row>
    <row r="7" spans="1:67" x14ac:dyDescent="0.25">
      <c r="A7" t="s">
        <v>318</v>
      </c>
      <c r="B7" t="s">
        <v>663</v>
      </c>
      <c r="C7" s="51">
        <f>C5*ttokg/Drivers!D4</f>
        <v>18.151922844328048</v>
      </c>
      <c r="D7" s="51">
        <f>D5*ttokg/Drivers!E4</f>
        <v>18.929477093079207</v>
      </c>
      <c r="E7" s="51">
        <f>E5*ttokg/Drivers!F4</f>
        <v>19.1608494353639</v>
      </c>
      <c r="F7" s="51">
        <f>F5*ttokg/Drivers!G4</f>
        <v>18.115873466426972</v>
      </c>
      <c r="G7" s="51">
        <f>G5*ttokg/Drivers!H4</f>
        <v>16.344518185421236</v>
      </c>
      <c r="H7" s="51">
        <f>H5*ttokg/Drivers!I4</f>
        <v>14.166508067741876</v>
      </c>
      <c r="I7" s="51">
        <f>I5*ttokg/Drivers!J4</f>
        <v>13.991142399503648</v>
      </c>
      <c r="J7" s="51">
        <f>J5*ttokg/Drivers!K4</f>
        <v>13.329468330311483</v>
      </c>
      <c r="K7" s="51">
        <f>K5*ttokg/Drivers!L4</f>
        <v>12.819849522437712</v>
      </c>
      <c r="L7" s="51">
        <f>L5*ttokg/Drivers!M4</f>
        <v>12.607541028129861</v>
      </c>
      <c r="M7" s="51">
        <f>M5*ttokg/Drivers!N4</f>
        <v>14.921819008431562</v>
      </c>
      <c r="N7" s="51">
        <f>N5*ttokg/Drivers!O4</f>
        <v>12.1567810458843</v>
      </c>
      <c r="O7" s="51">
        <f>O5*ttokg/Drivers!P4</f>
        <v>13.044162311588506</v>
      </c>
      <c r="P7" s="51">
        <f>P5*ttokg/Drivers!Q4</f>
        <v>13.76307931326558</v>
      </c>
      <c r="Q7" s="51">
        <f>Q5*ttokg/Drivers!R4</f>
        <v>14.273144855926876</v>
      </c>
      <c r="R7" s="51">
        <f>R5*ttokg/Drivers!S4</f>
        <v>15.100061087370227</v>
      </c>
      <c r="S7" s="51">
        <f>S5*ttokg/Drivers!T4</f>
        <v>17.01400710616301</v>
      </c>
      <c r="T7" s="51">
        <f>T5*ttokg/Drivers!U4</f>
        <v>17.610021254379525</v>
      </c>
      <c r="U7" s="51">
        <f>U5*ttokg/Drivers!V4</f>
        <v>15.407958031534726</v>
      </c>
      <c r="V7" s="51">
        <f>V5*ttokg/Drivers!W4</f>
        <v>15.531822991658519</v>
      </c>
      <c r="W7" s="51">
        <f>W5*ttokg/Drivers!X4</f>
        <v>17.181807184041599</v>
      </c>
      <c r="X7" s="51">
        <f>X5*ttokg/Drivers!Y4</f>
        <v>16.902490054067201</v>
      </c>
      <c r="Y7" s="51">
        <f>Y5*ttokg/Drivers!Z4</f>
        <v>17.67507229358143</v>
      </c>
      <c r="Z7" s="51">
        <f>Z5*ttokg/Drivers!AA4</f>
        <v>17.846779647248983</v>
      </c>
      <c r="AA7" s="51">
        <f>AA5*ttokg/Drivers!AB4</f>
        <v>17.889083885168429</v>
      </c>
      <c r="AB7" s="51">
        <f>AB5*ttokg/Drivers!AC4</f>
        <v>17.759845624854446</v>
      </c>
      <c r="AC7" s="51">
        <f>AC5*ttokg/Drivers!AD4</f>
        <v>17.623112694667995</v>
      </c>
      <c r="AD7" s="51">
        <f>AD5*ttokg/Drivers!AE4</f>
        <v>17.558058139921329</v>
      </c>
      <c r="AE7" s="51">
        <f>AE5*ttokg/Drivers!AF4</f>
        <v>17.514669649857357</v>
      </c>
      <c r="AF7" s="51">
        <f>AF5*ttokg/Drivers!AG4</f>
        <v>17.305385143992879</v>
      </c>
      <c r="AG7" s="51">
        <f>AG5*ttokg/Drivers!AH4</f>
        <v>15.614411324643509</v>
      </c>
      <c r="AH7" s="51">
        <f>AH5*ttokg/Drivers!AI4</f>
        <v>15.853878311156567</v>
      </c>
      <c r="AI7" s="51">
        <f>AI5*ttokg/Drivers!AJ4</f>
        <v>16.049973919030723</v>
      </c>
      <c r="AJ7" s="51">
        <f>AJ5*ttokg/Drivers!AK4</f>
        <v>16.242105376737296</v>
      </c>
      <c r="AK7" s="51">
        <f>AK5*ttokg/Drivers!AL4</f>
        <v>16.491194434697835</v>
      </c>
      <c r="AL7" s="51">
        <f>AL5*ttokg/Drivers!AM4</f>
        <v>16.735727593790898</v>
      </c>
      <c r="AM7" s="51">
        <f>AM5*ttokg/Drivers!AN4</f>
        <v>17.015862362748301</v>
      </c>
      <c r="AN7" s="51">
        <f>AN5*ttokg/Drivers!AO4</f>
        <v>17.277761960947828</v>
      </c>
      <c r="AO7" s="51">
        <f>AO5*ttokg/Drivers!AP4</f>
        <v>17.559487101024665</v>
      </c>
      <c r="AP7" s="51">
        <f>AP5*ttokg/Drivers!AQ4</f>
        <v>17.809474771114708</v>
      </c>
      <c r="AQ7" s="51">
        <f>AQ5*ttokg/Drivers!AR4</f>
        <v>18.064103846508086</v>
      </c>
      <c r="AR7" s="51">
        <f>AR5*ttokg/Drivers!AS4</f>
        <v>18.416768578926352</v>
      </c>
      <c r="AS7" s="51">
        <f>AS5*ttokg/Drivers!AT4</f>
        <v>18.801607497744612</v>
      </c>
      <c r="AT7" s="51">
        <f>AT5*ttokg/Drivers!AU4</f>
        <v>19.197334086275387</v>
      </c>
      <c r="AU7" s="51">
        <f>AU5*ttokg/Drivers!AV4</f>
        <v>19.141041510951947</v>
      </c>
      <c r="AV7" s="51">
        <f>AV5*ttokg/Drivers!AW4</f>
        <v>-2.5208894682483796</v>
      </c>
      <c r="AW7" s="51">
        <f>AW5*ttokg/Drivers!AX4</f>
        <v>-2.5208894682483796</v>
      </c>
      <c r="AX7" s="51">
        <f>AX5*ttokg/Drivers!AY4</f>
        <v>-2.5208894682483796</v>
      </c>
      <c r="AY7" s="51">
        <f>AY5*ttokg/Drivers!AZ4</f>
        <v>-2.5208894682483796</v>
      </c>
      <c r="AZ7" s="51">
        <f>AZ5*ttokg/Drivers!BA4</f>
        <v>-2.5208894682483796</v>
      </c>
      <c r="BA7" s="51">
        <f>BA5*ttokg/Drivers!BB4</f>
        <v>-2.5208894682483796</v>
      </c>
      <c r="BB7" s="51">
        <f>BB5*ttokg/Drivers!BC4</f>
        <v>-2.5208894682483796</v>
      </c>
      <c r="BC7" s="51">
        <f>BC5*ttokg/Drivers!BD4</f>
        <v>-2.5208894682483796</v>
      </c>
      <c r="BD7" s="51">
        <f>BD5*ttokg/Drivers!BE4</f>
        <v>-2.5208894682483791</v>
      </c>
      <c r="BE7" s="51">
        <f>BE5*ttokg/Drivers!BF4</f>
        <v>-2.5208894682483796</v>
      </c>
      <c r="BF7" s="51">
        <f>BF5*ttokg/Drivers!BG4</f>
        <v>-2.5208894682483791</v>
      </c>
      <c r="BG7" s="51">
        <f>BG5*ttokg/Drivers!BH4</f>
        <v>-2.5208894682483796</v>
      </c>
      <c r="BH7" s="51">
        <f>BH5*ttokg/Drivers!BI4</f>
        <v>-2.5208894682483791</v>
      </c>
      <c r="BI7" s="51">
        <f>BI5*ttokg/Drivers!BJ4</f>
        <v>-2.5208894682483796</v>
      </c>
      <c r="BJ7" s="51">
        <f>BJ5*ttokg/Drivers!BK4</f>
        <v>-2.5208894682483791</v>
      </c>
      <c r="BK7" s="51">
        <f>BK5*ttokg/Drivers!BL4</f>
        <v>-2.5208894682483796</v>
      </c>
    </row>
    <row r="8" spans="1:67" x14ac:dyDescent="0.25">
      <c r="A8" t="s">
        <v>320</v>
      </c>
      <c r="B8" t="s">
        <v>321</v>
      </c>
      <c r="C8" s="22">
        <v>610300</v>
      </c>
      <c r="D8" s="22">
        <v>664900</v>
      </c>
      <c r="E8" s="22">
        <v>703500</v>
      </c>
      <c r="F8" s="22">
        <v>694000</v>
      </c>
      <c r="G8" s="22">
        <v>611200</v>
      </c>
      <c r="H8" s="22">
        <v>507500</v>
      </c>
      <c r="I8" s="22">
        <v>507000</v>
      </c>
      <c r="J8" s="22">
        <v>502400</v>
      </c>
      <c r="K8" s="22">
        <v>496300</v>
      </c>
      <c r="L8" s="22">
        <v>511700</v>
      </c>
      <c r="M8" s="22">
        <v>624600</v>
      </c>
      <c r="N8" s="22">
        <v>524300</v>
      </c>
      <c r="O8" s="22">
        <v>573400</v>
      </c>
      <c r="P8" s="22">
        <v>609700</v>
      </c>
      <c r="Q8" s="22">
        <v>631700</v>
      </c>
      <c r="R8" s="22">
        <v>672300</v>
      </c>
      <c r="S8" s="22">
        <v>808100</v>
      </c>
      <c r="T8" s="22">
        <v>861400</v>
      </c>
      <c r="U8" s="22">
        <v>770200</v>
      </c>
      <c r="V8" s="22">
        <v>796700</v>
      </c>
      <c r="W8" s="22">
        <v>885800</v>
      </c>
      <c r="X8" s="22">
        <v>869500</v>
      </c>
      <c r="Y8" s="22">
        <f>((Data!$AJ$14*'Intermediate calculations'!Y5)+Data!$AK$14)</f>
        <v>924972.35283723497</v>
      </c>
      <c r="Z8" s="22">
        <f>((Data!$AJ$14*'Intermediate calculations'!Z5)+Data!$AK$14)</f>
        <v>951121.67835089797</v>
      </c>
      <c r="AA8" s="22">
        <f>((Data!$AJ$14*'Intermediate calculations'!AA5)+Data!$AK$14)</f>
        <v>970203.17078071018</v>
      </c>
      <c r="AB8" s="22">
        <f>((Data!$AJ$14*'Intermediate calculations'!AB5)+Data!$AK$14)</f>
        <v>979249.37915964075</v>
      </c>
      <c r="AC8" s="22">
        <f>((Data!$AJ$14*'Intermediate calculations'!AC5)+Data!$AK$14)</f>
        <v>988202.76420008135</v>
      </c>
      <c r="AD8" s="22">
        <f>((Data!$AJ$14*'Intermediate calculations'!AD5)+Data!$AK$14)</f>
        <v>1002163.9830355821</v>
      </c>
      <c r="AE8" s="22">
        <f>((Data!$AJ$14*'Intermediate calculations'!AE5)+Data!$AK$14)</f>
        <v>1017653.6774399304</v>
      </c>
      <c r="AF8" s="22">
        <f>((Data!$AJ$14*'Intermediate calculations'!AF5)+Data!$AK$14)</f>
        <v>1022284.9237864143</v>
      </c>
      <c r="AG8" s="22">
        <f>((Data!$AJ$14*'Intermediate calculations'!AG5)+Data!$AK$14)</f>
        <v>926359.9679792698</v>
      </c>
      <c r="AH8" s="22">
        <f>((Data!$AJ$14*'Intermediate calculations'!AH5)+Data!$AK$14)</f>
        <v>954957.19816315966</v>
      </c>
      <c r="AI8" s="22">
        <f>((Data!$AJ$14*'Intermediate calculations'!AI5)+Data!$AK$14)</f>
        <v>981065.60210034857</v>
      </c>
      <c r="AJ8" s="22">
        <f>((Data!$AJ$14*'Intermediate calculations'!AJ5)+Data!$AK$14)</f>
        <v>1007353.1560424094</v>
      </c>
      <c r="AK8" s="22">
        <f>((Data!$AJ$14*'Intermediate calculations'!AK5)+Data!$AK$14)</f>
        <v>1038139.0785026371</v>
      </c>
      <c r="AL8" s="22">
        <f>((Data!$AJ$14*'Intermediate calculations'!AL5)+Data!$AK$14)</f>
        <v>1069156.0192956098</v>
      </c>
      <c r="AM8" s="22">
        <f>((Data!$AJ$14*'Intermediate calculations'!AM5)+Data!$AK$14)</f>
        <v>1101279.902169016</v>
      </c>
      <c r="AN8" s="22">
        <f>((Data!$AJ$14*'Intermediate calculations'!AN5)+Data!$AK$14)</f>
        <v>1132585.5852858718</v>
      </c>
      <c r="AO8" s="22">
        <f>((Data!$AJ$14*'Intermediate calculations'!AO5)+Data!$AK$14)</f>
        <v>1165853.2685383849</v>
      </c>
      <c r="AP8" s="22">
        <f>((Data!$AJ$14*'Intermediate calculations'!AP5)+Data!$AK$14)</f>
        <v>1197285.1182141083</v>
      </c>
      <c r="AQ8" s="22">
        <f>((Data!$AJ$14*'Intermediate calculations'!AQ5)+Data!$AK$14)</f>
        <v>1229559.9201145717</v>
      </c>
      <c r="AR8" s="22">
        <f>((Data!$AJ$14*'Intermediate calculations'!AR5)+Data!$AK$14)</f>
        <v>1267980.9562031089</v>
      </c>
      <c r="AS8" s="22">
        <f>((Data!$AJ$14*'Intermediate calculations'!AS5)+Data!$AK$14)</f>
        <v>1309424.81850357</v>
      </c>
      <c r="AT8" s="22">
        <f>((Data!$AJ$14*'Intermediate calculations'!AT5)+Data!$AK$14)</f>
        <v>1352315.7934244801</v>
      </c>
      <c r="AU8" s="22">
        <f>((Data!$AJ$14*'Intermediate calculations'!AU5)+Data!$AK$14)</f>
        <v>1360592.2594927556</v>
      </c>
      <c r="AV8" s="22">
        <f>((Data!$AJ$14*'Intermediate calculations'!AV5)+Data!$AK$14)</f>
        <v>-329955.4099936714</v>
      </c>
      <c r="AW8" s="22">
        <f>((Data!$AJ$14*'Intermediate calculations'!AW5)+Data!$AK$14)</f>
        <v>-331406.59670128708</v>
      </c>
      <c r="AX8" s="22">
        <f>((Data!$AJ$14*'Intermediate calculations'!AX5)+Data!$AK$14)</f>
        <v>-332868.40777381393</v>
      </c>
      <c r="AY8" s="22">
        <f>((Data!$AJ$14*'Intermediate calculations'!AY5)+Data!$AK$14)</f>
        <v>-334340.92099388945</v>
      </c>
      <c r="AZ8" s="22">
        <f>((Data!$AJ$14*'Intermediate calculations'!AZ5)+Data!$AK$14)</f>
        <v>-335824.21471361013</v>
      </c>
      <c r="BA8" s="22">
        <f>((Data!$AJ$14*'Intermediate calculations'!BA5)+Data!$AK$14)</f>
        <v>-337318.36785870034</v>
      </c>
      <c r="BB8" s="22">
        <f>((Data!$AJ$14*'Intermediate calculations'!BB5)+Data!$AK$14)</f>
        <v>-338595.21815778915</v>
      </c>
      <c r="BC8" s="22">
        <f>((Data!$AJ$14*'Intermediate calculations'!BC5)+Data!$AK$14)</f>
        <v>-339879.99888409162</v>
      </c>
      <c r="BD8" s="22">
        <f>((Data!$AJ$14*'Intermediate calculations'!BD5)+Data!$AK$14)</f>
        <v>-341172.75929293217</v>
      </c>
      <c r="BE8" s="22">
        <f>((Data!$AJ$14*'Intermediate calculations'!BE5)+Data!$AK$14)</f>
        <v>-342473.54894555674</v>
      </c>
      <c r="BF8" s="22">
        <f>((Data!$AJ$14*'Intermediate calculations'!BF5)+Data!$AK$14)</f>
        <v>-343782.41771103255</v>
      </c>
      <c r="BG8" s="22">
        <f>((Data!$AJ$14*'Intermediate calculations'!BG5)+Data!$AK$14)</f>
        <v>-344864.87474361697</v>
      </c>
      <c r="BH8" s="22">
        <f>((Data!$AJ$14*'Intermediate calculations'!BH5)+Data!$AK$14)</f>
        <v>-345952.85754613875</v>
      </c>
      <c r="BI8" s="22">
        <f>((Data!$AJ$14*'Intermediate calculations'!BI5)+Data!$AK$14)</f>
        <v>-347046.39432676905</v>
      </c>
      <c r="BJ8" s="22">
        <f>((Data!$AJ$14*'Intermediate calculations'!BJ5)+Data!$AK$14)</f>
        <v>-348145.51343767752</v>
      </c>
      <c r="BK8" s="22">
        <f>((Data!$AJ$14*'Intermediate calculations'!BK5)+Data!$AK$14)</f>
        <v>-349250.24337576679</v>
      </c>
    </row>
    <row r="9" spans="1:67" x14ac:dyDescent="0.25">
      <c r="A9" t="s">
        <v>845</v>
      </c>
      <c r="B9" t="s">
        <v>321</v>
      </c>
      <c r="C9" s="22">
        <f>C8*0.65</f>
        <v>396695</v>
      </c>
      <c r="D9" s="22">
        <f t="shared" ref="D9:X9" si="0">D8*0.65</f>
        <v>432185</v>
      </c>
      <c r="E9" s="22">
        <f t="shared" si="0"/>
        <v>457275</v>
      </c>
      <c r="F9" s="22">
        <f t="shared" si="0"/>
        <v>451100</v>
      </c>
      <c r="G9" s="22">
        <f t="shared" si="0"/>
        <v>397280</v>
      </c>
      <c r="H9" s="22">
        <f t="shared" si="0"/>
        <v>329875</v>
      </c>
      <c r="I9" s="22">
        <f t="shared" si="0"/>
        <v>329550</v>
      </c>
      <c r="J9" s="22">
        <f t="shared" si="0"/>
        <v>326560</v>
      </c>
      <c r="K9" s="22">
        <f t="shared" si="0"/>
        <v>322595</v>
      </c>
      <c r="L9" s="22">
        <f t="shared" si="0"/>
        <v>332605</v>
      </c>
      <c r="M9" s="22">
        <f t="shared" si="0"/>
        <v>405990</v>
      </c>
      <c r="N9" s="22">
        <f t="shared" si="0"/>
        <v>340795</v>
      </c>
      <c r="O9" s="22">
        <f t="shared" si="0"/>
        <v>372710</v>
      </c>
      <c r="P9" s="22">
        <f t="shared" si="0"/>
        <v>396305</v>
      </c>
      <c r="Q9" s="22">
        <f t="shared" si="0"/>
        <v>410605</v>
      </c>
      <c r="R9" s="22">
        <f t="shared" si="0"/>
        <v>436995</v>
      </c>
      <c r="S9" s="22">
        <f t="shared" si="0"/>
        <v>525265</v>
      </c>
      <c r="T9" s="22">
        <f t="shared" si="0"/>
        <v>559910</v>
      </c>
      <c r="U9" s="22">
        <f t="shared" si="0"/>
        <v>500630</v>
      </c>
      <c r="V9" s="22">
        <f t="shared" si="0"/>
        <v>517855</v>
      </c>
      <c r="W9" s="22">
        <f t="shared" si="0"/>
        <v>575770</v>
      </c>
      <c r="X9" s="22">
        <f t="shared" si="0"/>
        <v>565175</v>
      </c>
      <c r="Y9" s="22">
        <f t="shared" ref="Y9:BK9" si="1">Y8*Y63</f>
        <v>647480.64698606438</v>
      </c>
      <c r="Z9" s="22">
        <f t="shared" si="1"/>
        <v>670540.783237383</v>
      </c>
      <c r="AA9" s="22">
        <f t="shared" si="1"/>
        <v>688844.2512543042</v>
      </c>
      <c r="AB9" s="22">
        <f t="shared" si="1"/>
        <v>700163.30609914311</v>
      </c>
      <c r="AC9" s="22">
        <f t="shared" si="1"/>
        <v>711505.99022405851</v>
      </c>
      <c r="AD9" s="22">
        <f t="shared" si="1"/>
        <v>726568.88770079706</v>
      </c>
      <c r="AE9" s="22">
        <f t="shared" si="1"/>
        <v>742887.18453114911</v>
      </c>
      <c r="AF9" s="22">
        <f t="shared" si="1"/>
        <v>751379.41898301453</v>
      </c>
      <c r="AG9" s="22">
        <f t="shared" si="1"/>
        <v>685506.37630465964</v>
      </c>
      <c r="AH9" s="22">
        <f t="shared" si="1"/>
        <v>708578.24103706446</v>
      </c>
      <c r="AI9" s="22">
        <f t="shared" si="1"/>
        <v>729912.80796265928</v>
      </c>
      <c r="AJ9" s="22">
        <f t="shared" si="1"/>
        <v>751485.45440763736</v>
      </c>
      <c r="AK9" s="22">
        <f t="shared" si="1"/>
        <v>776528.03071997256</v>
      </c>
      <c r="AL9" s="22">
        <f t="shared" si="1"/>
        <v>801867.0144717074</v>
      </c>
      <c r="AM9" s="22">
        <f t="shared" si="1"/>
        <v>828162.48643110006</v>
      </c>
      <c r="AN9" s="22">
        <f t="shared" si="1"/>
        <v>853969.53130554734</v>
      </c>
      <c r="AO9" s="22">
        <f t="shared" si="1"/>
        <v>881385.07101501897</v>
      </c>
      <c r="AP9" s="22">
        <f t="shared" si="1"/>
        <v>907542.11960629409</v>
      </c>
      <c r="AQ9" s="22">
        <f t="shared" si="1"/>
        <v>934465.53928707447</v>
      </c>
      <c r="AR9" s="22">
        <f t="shared" si="1"/>
        <v>968737.45053917519</v>
      </c>
      <c r="AS9" s="22">
        <f t="shared" si="1"/>
        <v>1005638.2606107418</v>
      </c>
      <c r="AT9" s="22">
        <f t="shared" si="1"/>
        <v>1043987.7925236986</v>
      </c>
      <c r="AU9" s="22">
        <f t="shared" si="1"/>
        <v>1055819.5933663785</v>
      </c>
      <c r="AV9" s="22">
        <f t="shared" si="1"/>
        <v>-257365.21979506369</v>
      </c>
      <c r="AW9" s="22">
        <f t="shared" si="1"/>
        <v>-259822.77181380909</v>
      </c>
      <c r="AX9" s="22">
        <f t="shared" si="1"/>
        <v>-262300.3053257654</v>
      </c>
      <c r="AY9" s="22">
        <f t="shared" si="1"/>
        <v>-264798.00942716043</v>
      </c>
      <c r="AZ9" s="22">
        <f t="shared" si="1"/>
        <v>-267316.07491203368</v>
      </c>
      <c r="BA9" s="22">
        <f t="shared" si="1"/>
        <v>-269854.69428696029</v>
      </c>
      <c r="BB9" s="22">
        <f t="shared" si="1"/>
        <v>-271891.96018070471</v>
      </c>
      <c r="BC9" s="22">
        <f t="shared" si="1"/>
        <v>-273943.27910057787</v>
      </c>
      <c r="BD9" s="22">
        <f t="shared" si="1"/>
        <v>-276008.76226798212</v>
      </c>
      <c r="BE9" s="22">
        <f t="shared" si="1"/>
        <v>-278088.52174379211</v>
      </c>
      <c r="BF9" s="22">
        <f t="shared" si="1"/>
        <v>-280182.67043449153</v>
      </c>
      <c r="BG9" s="22">
        <f t="shared" si="1"/>
        <v>-282099.46754027868</v>
      </c>
      <c r="BH9" s="22">
        <f t="shared" si="1"/>
        <v>-284027.29604537995</v>
      </c>
      <c r="BI9" s="22">
        <f t="shared" si="1"/>
        <v>-285966.22892525775</v>
      </c>
      <c r="BJ9" s="22">
        <f t="shared" si="1"/>
        <v>-287916.33961295936</v>
      </c>
      <c r="BK9" s="22">
        <f t="shared" si="1"/>
        <v>-289877.70200188644</v>
      </c>
    </row>
    <row r="10" spans="1:67" x14ac:dyDescent="0.25">
      <c r="A10" t="s">
        <v>846</v>
      </c>
      <c r="B10" t="s">
        <v>321</v>
      </c>
      <c r="C10" s="22">
        <f t="shared" ref="C10:AH10" si="2">C8-C9</f>
        <v>213605</v>
      </c>
      <c r="D10" s="22">
        <f t="shared" si="2"/>
        <v>232715</v>
      </c>
      <c r="E10" s="22">
        <f t="shared" si="2"/>
        <v>246225</v>
      </c>
      <c r="F10" s="22">
        <f t="shared" si="2"/>
        <v>242900</v>
      </c>
      <c r="G10" s="22">
        <f t="shared" si="2"/>
        <v>213920</v>
      </c>
      <c r="H10" s="22">
        <f t="shared" si="2"/>
        <v>177625</v>
      </c>
      <c r="I10" s="22">
        <f t="shared" si="2"/>
        <v>177450</v>
      </c>
      <c r="J10" s="22">
        <f t="shared" si="2"/>
        <v>175840</v>
      </c>
      <c r="K10" s="22">
        <f t="shared" si="2"/>
        <v>173705</v>
      </c>
      <c r="L10" s="22">
        <f t="shared" si="2"/>
        <v>179095</v>
      </c>
      <c r="M10" s="22">
        <f t="shared" si="2"/>
        <v>218610</v>
      </c>
      <c r="N10" s="22">
        <f t="shared" si="2"/>
        <v>183505</v>
      </c>
      <c r="O10" s="22">
        <f t="shared" si="2"/>
        <v>200690</v>
      </c>
      <c r="P10" s="22">
        <f t="shared" si="2"/>
        <v>213395</v>
      </c>
      <c r="Q10" s="22">
        <f t="shared" si="2"/>
        <v>221095</v>
      </c>
      <c r="R10" s="22">
        <f t="shared" si="2"/>
        <v>235305</v>
      </c>
      <c r="S10" s="22">
        <f t="shared" si="2"/>
        <v>282835</v>
      </c>
      <c r="T10" s="22">
        <f t="shared" si="2"/>
        <v>301490</v>
      </c>
      <c r="U10" s="22">
        <f t="shared" si="2"/>
        <v>269570</v>
      </c>
      <c r="V10" s="22">
        <f t="shared" si="2"/>
        <v>278845</v>
      </c>
      <c r="W10" s="22">
        <f t="shared" si="2"/>
        <v>310030</v>
      </c>
      <c r="X10" s="22">
        <f t="shared" si="2"/>
        <v>304325</v>
      </c>
      <c r="Y10" s="22">
        <f t="shared" si="2"/>
        <v>277491.70585117058</v>
      </c>
      <c r="Z10" s="22">
        <f t="shared" si="2"/>
        <v>280580.89511351497</v>
      </c>
      <c r="AA10" s="22">
        <f t="shared" si="2"/>
        <v>281358.91952640598</v>
      </c>
      <c r="AB10" s="22">
        <f t="shared" si="2"/>
        <v>279086.07306049764</v>
      </c>
      <c r="AC10" s="22">
        <f t="shared" si="2"/>
        <v>276696.77397602284</v>
      </c>
      <c r="AD10" s="22">
        <f t="shared" si="2"/>
        <v>275595.09533478506</v>
      </c>
      <c r="AE10" s="22">
        <f t="shared" si="2"/>
        <v>274766.49290878128</v>
      </c>
      <c r="AF10" s="22">
        <f t="shared" si="2"/>
        <v>270905.50480339979</v>
      </c>
      <c r="AG10" s="22">
        <f t="shared" si="2"/>
        <v>240853.59167461016</v>
      </c>
      <c r="AH10" s="22">
        <f t="shared" si="2"/>
        <v>246378.95712609519</v>
      </c>
      <c r="AI10" s="22">
        <f t="shared" ref="AI10:BK10" si="3">AI8-AI9</f>
        <v>251152.79413768928</v>
      </c>
      <c r="AJ10" s="22">
        <f t="shared" si="3"/>
        <v>255867.70163477201</v>
      </c>
      <c r="AK10" s="22">
        <f t="shared" si="3"/>
        <v>261611.04778266454</v>
      </c>
      <c r="AL10" s="22">
        <f t="shared" si="3"/>
        <v>267289.00482390239</v>
      </c>
      <c r="AM10" s="22">
        <f t="shared" si="3"/>
        <v>273117.4157379159</v>
      </c>
      <c r="AN10" s="22">
        <f t="shared" si="3"/>
        <v>278616.05398032442</v>
      </c>
      <c r="AO10" s="22">
        <f t="shared" si="3"/>
        <v>284468.19752336596</v>
      </c>
      <c r="AP10" s="22">
        <f t="shared" si="3"/>
        <v>289742.9986078142</v>
      </c>
      <c r="AQ10" s="22">
        <f t="shared" si="3"/>
        <v>295094.38082749723</v>
      </c>
      <c r="AR10" s="22">
        <f t="shared" si="3"/>
        <v>299243.5056639337</v>
      </c>
      <c r="AS10" s="22">
        <f t="shared" si="3"/>
        <v>303786.55789282825</v>
      </c>
      <c r="AT10" s="22">
        <f t="shared" si="3"/>
        <v>308328.00090078148</v>
      </c>
      <c r="AU10" s="22">
        <f t="shared" si="3"/>
        <v>304772.66612637718</v>
      </c>
      <c r="AV10" s="22">
        <f t="shared" si="3"/>
        <v>-72590.190198607714</v>
      </c>
      <c r="AW10" s="22">
        <f t="shared" si="3"/>
        <v>-71583.824887477997</v>
      </c>
      <c r="AX10" s="22">
        <f t="shared" si="3"/>
        <v>-70568.102448048536</v>
      </c>
      <c r="AY10" s="22">
        <f t="shared" si="3"/>
        <v>-69542.911566729017</v>
      </c>
      <c r="AZ10" s="22">
        <f t="shared" si="3"/>
        <v>-68508.139801576443</v>
      </c>
      <c r="BA10" s="22">
        <f t="shared" si="3"/>
        <v>-67463.673571740044</v>
      </c>
      <c r="BB10" s="22">
        <f t="shared" si="3"/>
        <v>-66703.257977084431</v>
      </c>
      <c r="BC10" s="22">
        <f t="shared" si="3"/>
        <v>-65936.719783513749</v>
      </c>
      <c r="BD10" s="22">
        <f t="shared" si="3"/>
        <v>-65163.997024950047</v>
      </c>
      <c r="BE10" s="22">
        <f t="shared" si="3"/>
        <v>-64385.027201764635</v>
      </c>
      <c r="BF10" s="22">
        <f t="shared" si="3"/>
        <v>-63599.74727654102</v>
      </c>
      <c r="BG10" s="22">
        <f t="shared" si="3"/>
        <v>-62765.407203338284</v>
      </c>
      <c r="BH10" s="22">
        <f t="shared" si="3"/>
        <v>-61925.561500758806</v>
      </c>
      <c r="BI10" s="22">
        <f t="shared" si="3"/>
        <v>-61080.165401511302</v>
      </c>
      <c r="BJ10" s="22">
        <f t="shared" si="3"/>
        <v>-60229.173824718164</v>
      </c>
      <c r="BK10" s="22">
        <f t="shared" si="3"/>
        <v>-59372.541373880347</v>
      </c>
    </row>
    <row r="11" spans="1:67" x14ac:dyDescent="0.25">
      <c r="A11" t="s">
        <v>847</v>
      </c>
      <c r="B11" t="s">
        <v>815</v>
      </c>
      <c r="C11" s="22">
        <f>Data!C15</f>
        <v>53.402776152243625</v>
      </c>
      <c r="D11" s="22">
        <f>Data!D15</f>
        <v>48.956276991169453</v>
      </c>
      <c r="E11" s="22">
        <f>Data!E15</f>
        <v>47.194598436389484</v>
      </c>
      <c r="F11" s="22">
        <f>Data!F15</f>
        <v>45.863112391930834</v>
      </c>
      <c r="G11" s="22">
        <f>Data!G15</f>
        <v>49.897391548242332</v>
      </c>
      <c r="H11" s="22">
        <f>Data!H15</f>
        <v>60.053089373680507</v>
      </c>
      <c r="I11" s="22">
        <f>Data!I15</f>
        <v>62.291011552550017</v>
      </c>
      <c r="J11" s="22">
        <f>Data!J15</f>
        <v>65.440741583257505</v>
      </c>
      <c r="K11" s="22">
        <f>Data!K15</f>
        <v>68.203390806251974</v>
      </c>
      <c r="L11" s="22">
        <f>Data!L15</f>
        <v>66.6343560680086</v>
      </c>
      <c r="M11" s="22">
        <f>Data!M15</f>
        <v>51.89867801106994</v>
      </c>
      <c r="N11" s="22">
        <f>Data!N15</f>
        <v>61.355058445273968</v>
      </c>
      <c r="O11" s="22">
        <f>Data!O15</f>
        <v>57.102047934625539</v>
      </c>
      <c r="P11" s="22">
        <f>Data!P15</f>
        <v>55.049415403359966</v>
      </c>
      <c r="Q11" s="22">
        <f>Data!Q15</f>
        <v>52.98274497388001</v>
      </c>
      <c r="R11" s="22">
        <f>Data!R15</f>
        <v>49.327893584921696</v>
      </c>
      <c r="S11" s="22">
        <f>Data!S15</f>
        <v>41.133098803189135</v>
      </c>
      <c r="T11" s="22">
        <f>Data!T15</f>
        <v>39.914690371156588</v>
      </c>
      <c r="U11" s="22">
        <f>Data!U15</f>
        <v>43.655274140297507</v>
      </c>
      <c r="V11" s="22">
        <f>Data!V15</f>
        <v>41.61781844154757</v>
      </c>
      <c r="W11" s="22">
        <f>Data!W15</f>
        <v>37.11227193067338</v>
      </c>
      <c r="X11" s="22">
        <f>Data!X15</f>
        <v>37.868331005777812</v>
      </c>
      <c r="Y11" s="22">
        <f>((Data!$AJ$15*LN('Intermediate calculations'!Y2))+Data!$AK$15)</f>
        <v>40.8467048596981</v>
      </c>
      <c r="Z11" s="22">
        <f>((Data!$AJ$15*LN('Intermediate calculations'!Z2))+Data!$AK$15)</f>
        <v>40.12921467335272</v>
      </c>
      <c r="AA11" s="22">
        <f>((Data!$AJ$15*LN('Intermediate calculations'!AA2))+Data!$AK$15)</f>
        <v>39.455236242525764</v>
      </c>
      <c r="AB11" s="22">
        <f>((Data!$AJ$15*LN('Intermediate calculations'!AB2))+Data!$AK$15)</f>
        <v>38.819792475386876</v>
      </c>
      <c r="AC11" s="22">
        <f>((Data!$AJ$15*LN('Intermediate calculations'!AC2))+Data!$AK$15)</f>
        <v>38.218714235901089</v>
      </c>
      <c r="AD11" s="22">
        <f>((Data!$AJ$15*LN('Intermediate calculations'!AD2))+Data!$AK$15)</f>
        <v>37.648474405491221</v>
      </c>
      <c r="AE11" s="22">
        <f>((Data!$AJ$15*LN('Intermediate calculations'!AE2))+Data!$AK$15)</f>
        <v>37.106062472823481</v>
      </c>
      <c r="AF11" s="22">
        <f>((Data!$AJ$15*LN('Intermediate calculations'!AF2))+Data!$AK$15)</f>
        <v>36.588888324758926</v>
      </c>
      <c r="AG11" s="22">
        <f>((Data!$AJ$15*LN('Intermediate calculations'!AG2))+Data!$AK$15)</f>
        <v>36.094707441029918</v>
      </c>
      <c r="AH11" s="22">
        <f>((Data!$AJ$15*LN('Intermediate calculations'!AH2))+Data!$AK$15)</f>
        <v>35.62156202117999</v>
      </c>
      <c r="AI11" s="22">
        <f>((Data!$AJ$15*LN('Intermediate calculations'!AI2))+Data!$AK$15)</f>
        <v>35.167734137629729</v>
      </c>
      <c r="AJ11" s="22">
        <f>((Data!$AJ$15*LN('Intermediate calculations'!AJ2))+Data!$AK$15)</f>
        <v>34.731708082291981</v>
      </c>
      <c r="AK11" s="22">
        <f>((Data!$AJ$15*LN('Intermediate calculations'!AK2))+Data!$AK$15)</f>
        <v>34.312139823214146</v>
      </c>
      <c r="AL11" s="22">
        <f>((Data!$AJ$15*LN('Intermediate calculations'!AL2))+Data!$AK$15)</f>
        <v>33.907832018616602</v>
      </c>
      <c r="AM11" s="22">
        <f>((Data!$AJ$15*LN('Intermediate calculations'!AM2))+Data!$AK$15)</f>
        <v>33.517713417404394</v>
      </c>
      <c r="AN11" s="22">
        <f>((Data!$AJ$15*LN('Intermediate calculations'!AN2))+Data!$AK$15)</f>
        <v>33.140821753318491</v>
      </c>
      <c r="AO11" s="22">
        <f>((Data!$AJ$15*LN('Intermediate calculations'!AO2))+Data!$AK$15)</f>
        <v>32.776289444972747</v>
      </c>
      <c r="AP11" s="22">
        <f>((Data!$AJ$15*LN('Intermediate calculations'!AP2))+Data!$AK$15)</f>
        <v>32.423331566973111</v>
      </c>
      <c r="AQ11" s="22">
        <f>((Data!$AJ$15*LN('Intermediate calculations'!AQ2))+Data!$AK$15)</f>
        <v>32.081235672586203</v>
      </c>
      <c r="AR11" s="22">
        <f>((Data!$AJ$15*LN('Intermediate calculations'!AR2))+Data!$AK$15)</f>
        <v>31.749353136146155</v>
      </c>
      <c r="AS11" s="22">
        <f>((Data!$AJ$15*LN('Intermediate calculations'!AS2))+Data!$AK$15)</f>
        <v>31.42709175075511</v>
      </c>
      <c r="AT11" s="22">
        <f>((Data!$AJ$15*LN('Intermediate calculations'!AT2))+Data!$AK$15)</f>
        <v>31.113909369007267</v>
      </c>
      <c r="AU11" s="22">
        <f>((Data!$AJ$15*LN('Intermediate calculations'!AU2))+Data!$AK$15)</f>
        <v>30.809308415198636</v>
      </c>
      <c r="AV11" s="22">
        <f>((Data!$AJ$15*LN('Intermediate calculations'!AV2))+Data!$AK$15)</f>
        <v>30.51283112952148</v>
      </c>
      <c r="AW11" s="22">
        <f>((Data!$AJ$15*LN('Intermediate calculations'!AW2))+Data!$AK$15)</f>
        <v>30.224055430119257</v>
      </c>
      <c r="AX11" s="22">
        <f>((Data!$AJ$15*LN('Intermediate calculations'!AX2))+Data!$AK$15)</f>
        <v>29.942591299111612</v>
      </c>
      <c r="AY11" s="22">
        <f>((Data!$AJ$15*LN('Intermediate calculations'!AY2))+Data!$AK$15)</f>
        <v>29.668077614934454</v>
      </c>
      <c r="AZ11" s="22">
        <f>((Data!$AJ$15*LN('Intermediate calculations'!AZ2))+Data!$AK$15)</f>
        <v>29.400179366443872</v>
      </c>
      <c r="BA11" s="22">
        <f>((Data!$AJ$15*LN('Intermediate calculations'!BA2))+Data!$AK$15)</f>
        <v>29.138585194869165</v>
      </c>
      <c r="BB11" s="22">
        <f>((Data!$AJ$15*LN('Intermediate calculations'!BB2))+Data!$AK$15)</f>
        <v>28.883005218379324</v>
      </c>
      <c r="BC11" s="22">
        <f>((Data!$AJ$15*LN('Intermediate calculations'!BC2))+Data!$AK$15)</f>
        <v>28.633169101145768</v>
      </c>
      <c r="BD11" s="22">
        <f>((Data!$AJ$15*LN('Intermediate calculations'!BD2))+Data!$AK$15)</f>
        <v>28.388824334650309</v>
      </c>
      <c r="BE11" s="22">
        <f>((Data!$AJ$15*LN('Intermediate calculations'!BE2))+Data!$AK$15)</f>
        <v>28.14973470384394</v>
      </c>
      <c r="BF11" s="22">
        <f>((Data!$AJ$15*LN('Intermediate calculations'!BF2))+Data!$AK$15)</f>
        <v>27.915678914800381</v>
      </c>
      <c r="BG11" s="22">
        <f>((Data!$AJ$15*LN('Intermediate calculations'!BG2))+Data!$AK$15)</f>
        <v>27.686449363880484</v>
      </c>
      <c r="BH11" s="22">
        <f>((Data!$AJ$15*LN('Intermediate calculations'!BH2))+Data!$AK$15)</f>
        <v>27.46185103125012</v>
      </c>
      <c r="BI11" s="22">
        <f>((Data!$AJ$15*LN('Intermediate calculations'!BI2))+Data!$AK$15)</f>
        <v>27.241700483973432</v>
      </c>
      <c r="BJ11" s="22">
        <f>((Data!$AJ$15*LN('Intermediate calculations'!BJ2))+Data!$AK$15)</f>
        <v>27.025824975912371</v>
      </c>
      <c r="BK11" s="22">
        <f>((Data!$AJ$15*LN('Intermediate calculations'!BK2))+Data!$AK$15)</f>
        <v>26.814061633366386</v>
      </c>
    </row>
    <row r="12" spans="1:67" x14ac:dyDescent="0.25">
      <c r="A12" t="s">
        <v>328</v>
      </c>
      <c r="B12" t="s">
        <v>321</v>
      </c>
      <c r="C12" s="22">
        <v>1167000</v>
      </c>
      <c r="D12" s="22">
        <v>1153000</v>
      </c>
      <c r="E12" s="22">
        <v>1174000</v>
      </c>
      <c r="F12" s="22">
        <v>1092000</v>
      </c>
      <c r="G12" s="22">
        <v>1088000</v>
      </c>
      <c r="H12" s="22">
        <v>1397000</v>
      </c>
      <c r="I12" s="22">
        <v>1487000</v>
      </c>
      <c r="J12" s="22">
        <v>1571000</v>
      </c>
      <c r="K12" s="22">
        <v>1608000</v>
      </c>
      <c r="L12" s="22">
        <v>1606000</v>
      </c>
      <c r="M12" s="22">
        <v>1284000</v>
      </c>
      <c r="N12" s="22">
        <v>1575000</v>
      </c>
      <c r="O12" s="22">
        <v>1611000</v>
      </c>
      <c r="P12" s="22">
        <v>1528000</v>
      </c>
      <c r="Q12" s="22">
        <v>1626000</v>
      </c>
      <c r="R12" s="22">
        <v>1835000</v>
      </c>
      <c r="S12" s="22">
        <v>1697000</v>
      </c>
      <c r="T12" s="22">
        <v>1799000</v>
      </c>
      <c r="U12" s="22">
        <v>1819000</v>
      </c>
      <c r="V12" s="22">
        <v>1788000</v>
      </c>
      <c r="W12" s="22">
        <v>1868000</v>
      </c>
      <c r="X12" s="22">
        <v>1852000</v>
      </c>
      <c r="Y12" s="22">
        <f>((Data!$AJ$6*'Intermediate calculations'!Y4)+Data!$AK$6)*Drivers!Z4</f>
        <v>1957023.7595079648</v>
      </c>
      <c r="Z12" s="22">
        <f>((Data!$AJ$6*'Intermediate calculations'!Z4)+Data!$AK$6)*Drivers!AA4</f>
        <v>1995671.3582799074</v>
      </c>
      <c r="AA12" s="22">
        <f>((Data!$AJ$6*'Intermediate calculations'!AA4)+Data!$AK$6)*Drivers!AB4</f>
        <v>2028415.002150987</v>
      </c>
      <c r="AB12" s="22">
        <f>((Data!$AJ$6*'Intermediate calculations'!AB4)+Data!$AK$6)*Drivers!AC4</f>
        <v>2052566.1021085475</v>
      </c>
      <c r="AC12" s="22">
        <f>((Data!$AJ$6*'Intermediate calculations'!AC4)+Data!$AK$6)*Drivers!AD4</f>
        <v>2077226.3013354556</v>
      </c>
      <c r="AD12" s="22">
        <f>((Data!$AJ$6*'Intermediate calculations'!AD4)+Data!$AK$6)*Drivers!AE4</f>
        <v>2107076.878154288</v>
      </c>
      <c r="AE12" s="22">
        <f>((Data!$AJ$6*'Intermediate calculations'!AE4)+Data!$AK$6)*Drivers!AF4</f>
        <v>2138551.6040912457</v>
      </c>
      <c r="AF12" s="22">
        <f>((Data!$AJ$6*'Intermediate calculations'!AF4)+Data!$AK$6)*Drivers!AG4</f>
        <v>2160390.7780634579</v>
      </c>
      <c r="AG12" s="22">
        <f>((Data!$AJ$6*'Intermediate calculations'!AG4)+Data!$AK$6)*Drivers!AH4</f>
        <v>2090688.0394245391</v>
      </c>
      <c r="AH12" s="22">
        <f>((Data!$AJ$6*'Intermediate calculations'!AH4)+Data!$AK$6)*Drivers!AI4</f>
        <v>2129749.7526039947</v>
      </c>
      <c r="AI12" s="22">
        <f>((Data!$AJ$6*'Intermediate calculations'!AI4)+Data!$AK$6)*Drivers!AJ4</f>
        <v>2166687.7748866216</v>
      </c>
      <c r="AJ12" s="22">
        <f>((Data!$AJ$6*'Intermediate calculations'!AJ4)+Data!$AK$6)*Drivers!AK4</f>
        <v>2203940.1860502358</v>
      </c>
      <c r="AK12" s="22">
        <f>((Data!$AJ$6*'Intermediate calculations'!AK4)+Data!$AK$6)*Drivers!AL4</f>
        <v>2245452.9798882566</v>
      </c>
      <c r="AL12" s="22">
        <f>((Data!$AJ$6*'Intermediate calculations'!AL4)+Data!$AK$6)*Drivers!AM4</f>
        <v>2287331.0205952348</v>
      </c>
      <c r="AM12" s="22">
        <f>((Data!$AJ$6*'Intermediate calculations'!AM4)+Data!$AK$6)*Drivers!AN4</f>
        <v>2328390.225298021</v>
      </c>
      <c r="AN12" s="22">
        <f>((Data!$AJ$6*'Intermediate calculations'!AN4)+Data!$AK$6)*Drivers!AO4</f>
        <v>2368817.7004039111</v>
      </c>
      <c r="AO12" s="22">
        <f>((Data!$AJ$6*'Intermediate calculations'!AO4)+Data!$AK$6)*Drivers!AP4</f>
        <v>2411153.4271528288</v>
      </c>
      <c r="AP12" s="22">
        <f>((Data!$AJ$6*'Intermediate calculations'!AP4)+Data!$AK$6)*Drivers!AQ4</f>
        <v>2451930.4180862186</v>
      </c>
      <c r="AQ12" s="22">
        <f>((Data!$AJ$6*'Intermediate calculations'!AQ4)+Data!$AK$6)*Drivers!AR4</f>
        <v>2493596.0668305708</v>
      </c>
      <c r="AR12" s="22">
        <f>((Data!$AJ$6*'Intermediate calculations'!AR4)+Data!$AK$6)*Drivers!AS4</f>
        <v>2539353.5909946011</v>
      </c>
      <c r="AS12" s="22">
        <f>((Data!$AJ$6*'Intermediate calculations'!AS4)+Data!$AK$6)*Drivers!AT4</f>
        <v>2587962.600034771</v>
      </c>
      <c r="AT12" s="22">
        <f>((Data!$AJ$6*'Intermediate calculations'!AT4)+Data!$AK$6)*Drivers!AU4</f>
        <v>2637984.9488330125</v>
      </c>
      <c r="AU12" s="22">
        <f>((Data!$AJ$6*'Intermediate calculations'!AU4)+Data!$AK$6)*Drivers!AV4</f>
        <v>2656490.3893157337</v>
      </c>
      <c r="AV12" s="22">
        <f>((Data!$AJ$6*'Intermediate calculations'!AV4)+Data!$AK$6)*Drivers!AW4</f>
        <v>1123743.8210302582</v>
      </c>
      <c r="AW12" s="22">
        <f>((Data!$AJ$6*'Intermediate calculations'!AW4)+Data!$AK$6)*Drivers!AX4</f>
        <v>1131970.9253432702</v>
      </c>
      <c r="AX12" s="22">
        <f>((Data!$AJ$6*'Intermediate calculations'!AX4)+Data!$AK$6)*Drivers!AY4</f>
        <v>1140258.261574012</v>
      </c>
      <c r="AY12" s="22">
        <f>((Data!$AJ$6*'Intermediate calculations'!AY4)+Data!$AK$6)*Drivers!AZ4</f>
        <v>1148606.270689775</v>
      </c>
      <c r="AZ12" s="22">
        <f>((Data!$AJ$6*'Intermediate calculations'!AZ4)+Data!$AK$6)*Drivers!BA4</f>
        <v>1157015.396886243</v>
      </c>
      <c r="BA12" s="22">
        <f>((Data!$AJ$6*'Intermediate calculations'!BA4)+Data!$AK$6)*Drivers!BB4</f>
        <v>1165486.0876111249</v>
      </c>
      <c r="BB12" s="22">
        <f>((Data!$AJ$6*'Intermediate calculations'!BB4)+Data!$AK$6)*Drivers!BC4</f>
        <v>1172724.8395563955</v>
      </c>
      <c r="BC12" s="22">
        <f>((Data!$AJ$6*'Intermediate calculations'!BC4)+Data!$AK$6)*Drivers!BD4</f>
        <v>1180008.5508798021</v>
      </c>
      <c r="BD12" s="22">
        <f>((Data!$AJ$6*'Intermediate calculations'!BD4)+Data!$AK$6)*Drivers!BE4</f>
        <v>1187337.5008208733</v>
      </c>
      <c r="BE12" s="22">
        <f>((Data!$AJ$6*'Intermediate calculations'!BE4)+Data!$AK$6)*Drivers!BF4</f>
        <v>1194711.9703534755</v>
      </c>
      <c r="BF12" s="22">
        <f>((Data!$AJ$6*'Intermediate calculations'!BF4)+Data!$AK$6)*Drivers!BG4</f>
        <v>1202132.2421965827</v>
      </c>
      <c r="BG12" s="22">
        <f>((Data!$AJ$6*'Intermediate calculations'!BG4)+Data!$AK$6)*Drivers!BH4</f>
        <v>1208268.9349286</v>
      </c>
      <c r="BH12" s="22">
        <f>((Data!$AJ$6*'Intermediate calculations'!BH4)+Data!$AK$6)*Drivers!BI4</f>
        <v>1214436.9544950251</v>
      </c>
      <c r="BI12" s="22">
        <f>((Data!$AJ$6*'Intermediate calculations'!BI4)+Data!$AK$6)*Drivers!BJ4</f>
        <v>1220636.4608143342</v>
      </c>
      <c r="BJ12" s="22">
        <f>((Data!$AJ$6*'Intermediate calculations'!BJ4)+Data!$AK$6)*Drivers!BK4</f>
        <v>1226867.6146213626</v>
      </c>
      <c r="BK12" s="22">
        <f>((Data!$AJ$6*'Intermediate calculations'!BK4)+Data!$AK$6)*Drivers!BL4</f>
        <v>1233130.5774714709</v>
      </c>
    </row>
    <row r="13" spans="1:67" x14ac:dyDescent="0.25">
      <c r="A13" t="s">
        <v>328</v>
      </c>
      <c r="B13" t="s">
        <v>663</v>
      </c>
      <c r="C13" s="51">
        <f>C12*ttokg/Drivers!D4</f>
        <v>31.711517903189872</v>
      </c>
      <c r="D13" s="51">
        <f>D12*ttokg/Drivers!E4</f>
        <v>30.568189199328188</v>
      </c>
      <c r="E13" s="51">
        <f>E12*ttokg/Drivers!F4</f>
        <v>30.357405178295842</v>
      </c>
      <c r="F13" s="51">
        <f>F12*ttokg/Drivers!G4</f>
        <v>27.552275522755227</v>
      </c>
      <c r="G13" s="51">
        <f>G12*ttokg/Drivers!H4</f>
        <v>26.821773432486133</v>
      </c>
      <c r="H13" s="51">
        <f>H12*ttokg/Drivers!I4</f>
        <v>33.714841176550941</v>
      </c>
      <c r="I13" s="51">
        <f>I12*ttokg/Drivers!J4</f>
        <v>35.202755918886503</v>
      </c>
      <c r="J13" s="51">
        <f>J12*ttokg/Drivers!K4</f>
        <v>36.545540570539863</v>
      </c>
      <c r="K13" s="51">
        <f>K12*ttokg/Drivers!L4</f>
        <v>36.811282200142578</v>
      </c>
      <c r="L13" s="51">
        <f>L12*ttokg/Drivers!M4</f>
        <v>36.22130749763248</v>
      </c>
      <c r="M13" s="51">
        <f>M12*ttokg/Drivers!N4</f>
        <v>28.553823557117923</v>
      </c>
      <c r="N13" s="51">
        <f>N12*ttokg/Drivers!O4</f>
        <v>34.561245753190924</v>
      </c>
      <c r="O13" s="51">
        <f>O12*ttokg/Drivers!P4</f>
        <v>34.907218411908772</v>
      </c>
      <c r="P13" s="51">
        <f>P12*ttokg/Drivers!Q4</f>
        <v>32.706042287200319</v>
      </c>
      <c r="Q13" s="51">
        <f>Q12*ttokg/Drivers!R4</f>
        <v>34.38242005294385</v>
      </c>
      <c r="R13" s="51">
        <f>R12*ttokg/Drivers!S4</f>
        <v>38.324498057156802</v>
      </c>
      <c r="S13" s="51">
        <f>S12*ttokg/Drivers!T4</f>
        <v>34.997297041404401</v>
      </c>
      <c r="T13" s="51">
        <f>T12*ttokg/Drivers!U4</f>
        <v>36.624772527894528</v>
      </c>
      <c r="U13" s="51">
        <f>U12*ttokg/Drivers!V4</f>
        <v>36.541167743626687</v>
      </c>
      <c r="V13" s="51">
        <f>V12*ttokg/Drivers!W4</f>
        <v>35.422065700364072</v>
      </c>
      <c r="W13" s="51">
        <f>W12*ttokg/Drivers!X4</f>
        <v>36.472290704306488</v>
      </c>
      <c r="X13" s="51">
        <f>X12*ttokg/Drivers!Y4</f>
        <v>35.612527394917471</v>
      </c>
      <c r="Y13" s="51">
        <f>Y12*ttokg/Drivers!Z4</f>
        <v>37.401004668583674</v>
      </c>
      <c r="Z13" s="51">
        <f>Z12*ttokg/Drivers!AA4</f>
        <v>37.580160347815422</v>
      </c>
      <c r="AA13" s="51">
        <f>AA12*ttokg/Drivers!AB4</f>
        <v>37.62429965994712</v>
      </c>
      <c r="AB13" s="51">
        <f>AB12*ttokg/Drivers!AC4</f>
        <v>37.489455299384034</v>
      </c>
      <c r="AC13" s="51">
        <f>AC12*ttokg/Drivers!AD4</f>
        <v>37.346791164985184</v>
      </c>
      <c r="AD13" s="51">
        <f>AD12*ttokg/Drivers!AE4</f>
        <v>37.278914672256029</v>
      </c>
      <c r="AE13" s="51">
        <f>AE12*ttokg/Drivers!AF4</f>
        <v>37.233644075265161</v>
      </c>
      <c r="AF13" s="51">
        <f>AF12*ttokg/Drivers!AG4</f>
        <v>37.015281221258199</v>
      </c>
      <c r="AG13" s="51">
        <f>AG12*ttokg/Drivers!AH4</f>
        <v>35.250956300409584</v>
      </c>
      <c r="AH13" s="51">
        <f>AH12*ttokg/Drivers!AI4</f>
        <v>35.500810891409742</v>
      </c>
      <c r="AI13" s="51">
        <f>AI12*ttokg/Drivers!AJ4</f>
        <v>35.705412739103899</v>
      </c>
      <c r="AJ13" s="51">
        <f>AJ12*ttokg/Drivers!AK4</f>
        <v>35.905878479632698</v>
      </c>
      <c r="AK13" s="51">
        <f>AK12*ttokg/Drivers!AL4</f>
        <v>36.165772528518438</v>
      </c>
      <c r="AL13" s="51">
        <f>AL12*ttokg/Drivers!AM4</f>
        <v>36.420913052650107</v>
      </c>
      <c r="AM13" s="51">
        <f>AM12*ttokg/Drivers!AN4</f>
        <v>36.713199514103358</v>
      </c>
      <c r="AN13" s="51">
        <f>AN12*ttokg/Drivers!AO4</f>
        <v>36.986459799139254</v>
      </c>
      <c r="AO13" s="51">
        <f>AO12*ttokg/Drivers!AP4</f>
        <v>37.280405618867192</v>
      </c>
      <c r="AP13" s="51">
        <f>AP12*ttokg/Drivers!AQ4</f>
        <v>37.541237259900207</v>
      </c>
      <c r="AQ13" s="51">
        <f>AQ12*ttokg/Drivers!AR4</f>
        <v>37.806911641223287</v>
      </c>
      <c r="AR13" s="51">
        <f>AR12*ttokg/Drivers!AS4</f>
        <v>38.174874272572225</v>
      </c>
      <c r="AS13" s="51">
        <f>AS12*ttokg/Drivers!AT4</f>
        <v>38.576406742923979</v>
      </c>
      <c r="AT13" s="51">
        <f>AT12*ttokg/Drivers!AU4</f>
        <v>38.989299168577197</v>
      </c>
      <c r="AU13" s="51">
        <f>AU12*ttokg/Drivers!AV4</f>
        <v>38.930564732617626</v>
      </c>
      <c r="AV13" s="51">
        <f>AV12*ttokg/Drivers!AW4</f>
        <v>16.328982009704095</v>
      </c>
      <c r="AW13" s="51">
        <f>AW12*ttokg/Drivers!AX4</f>
        <v>16.328982009704095</v>
      </c>
      <c r="AX13" s="51">
        <f>AX12*ttokg/Drivers!AY4</f>
        <v>16.328982009704099</v>
      </c>
      <c r="AY13" s="51">
        <f>AY12*ttokg/Drivers!AZ4</f>
        <v>16.328982009704099</v>
      </c>
      <c r="AZ13" s="51">
        <f>AZ12*ttokg/Drivers!BA4</f>
        <v>16.328982009704099</v>
      </c>
      <c r="BA13" s="51">
        <f>BA12*ttokg/Drivers!BB4</f>
        <v>16.328982009704095</v>
      </c>
      <c r="BB13" s="51">
        <f>BB12*ttokg/Drivers!BC4</f>
        <v>16.328982009704095</v>
      </c>
      <c r="BC13" s="51">
        <f>BC12*ttokg/Drivers!BD4</f>
        <v>16.328982009704095</v>
      </c>
      <c r="BD13" s="51">
        <f>BD12*ttokg/Drivers!BE4</f>
        <v>16.328982009704095</v>
      </c>
      <c r="BE13" s="51">
        <f>BE12*ttokg/Drivers!BF4</f>
        <v>16.328982009704099</v>
      </c>
      <c r="BF13" s="51">
        <f>BF12*ttokg/Drivers!BG4</f>
        <v>16.328982009704099</v>
      </c>
      <c r="BG13" s="51">
        <f>BG12*ttokg/Drivers!BH4</f>
        <v>16.328982009704099</v>
      </c>
      <c r="BH13" s="51">
        <f>BH12*ttokg/Drivers!BI4</f>
        <v>16.328982009704099</v>
      </c>
      <c r="BI13" s="51">
        <f>BI12*ttokg/Drivers!BJ4</f>
        <v>16.328982009704099</v>
      </c>
      <c r="BJ13" s="51">
        <f>BJ12*ttokg/Drivers!BK4</f>
        <v>16.328982009704099</v>
      </c>
      <c r="BK13" s="51">
        <f>BK12*ttokg/Drivers!BL4</f>
        <v>16.328982009704095</v>
      </c>
    </row>
    <row r="14" spans="1:67" x14ac:dyDescent="0.25">
      <c r="A14" t="s">
        <v>328</v>
      </c>
      <c r="B14" t="s">
        <v>322</v>
      </c>
      <c r="C14" s="51">
        <f>C12/Drivers!D4</f>
        <v>3.1711517903189872E-2</v>
      </c>
      <c r="D14" s="51">
        <f>D12/Drivers!E4</f>
        <v>3.0568189199328188E-2</v>
      </c>
      <c r="E14" s="51">
        <f>E12/Drivers!F4</f>
        <v>3.035740517829584E-2</v>
      </c>
      <c r="F14" s="51">
        <f>F12/Drivers!G4</f>
        <v>2.7552275522755229E-2</v>
      </c>
      <c r="G14" s="51">
        <f>G12/Drivers!H4</f>
        <v>2.6821773432486134E-2</v>
      </c>
      <c r="H14" s="51">
        <f>H12/Drivers!I4</f>
        <v>3.3714841176550943E-2</v>
      </c>
      <c r="I14" s="51">
        <f>I12/Drivers!J4</f>
        <v>3.5202755918886504E-2</v>
      </c>
      <c r="J14" s="51">
        <f>J12/Drivers!K4</f>
        <v>3.654554057053986E-2</v>
      </c>
      <c r="K14" s="51">
        <f>K12/Drivers!L4</f>
        <v>3.6811282200142577E-2</v>
      </c>
      <c r="L14" s="51">
        <f>L12/Drivers!M4</f>
        <v>3.6221307497632478E-2</v>
      </c>
      <c r="M14" s="51">
        <f>M12/Drivers!N4</f>
        <v>2.855382355711792E-2</v>
      </c>
      <c r="N14" s="51">
        <f>N12/Drivers!O4</f>
        <v>3.4561245753190924E-2</v>
      </c>
      <c r="O14" s="51">
        <f>O12/Drivers!P4</f>
        <v>3.4907218411908775E-2</v>
      </c>
      <c r="P14" s="51">
        <f>P12/Drivers!Q4</f>
        <v>3.2706042287200317E-2</v>
      </c>
      <c r="Q14" s="51">
        <f>Q12/Drivers!R4</f>
        <v>3.4382420052943855E-2</v>
      </c>
      <c r="R14" s="51">
        <f>R12/Drivers!S4</f>
        <v>3.8324498057156799E-2</v>
      </c>
      <c r="S14" s="51">
        <f>S12/Drivers!T4</f>
        <v>3.4997297041404404E-2</v>
      </c>
      <c r="T14" s="51">
        <f>T12/Drivers!U4</f>
        <v>3.6624772527894527E-2</v>
      </c>
      <c r="U14" s="51">
        <f>U12/Drivers!V4</f>
        <v>3.6541167743626687E-2</v>
      </c>
      <c r="V14" s="51">
        <f>V12/Drivers!W4</f>
        <v>3.5422065700364075E-2</v>
      </c>
      <c r="W14" s="51">
        <f>W12/Drivers!X4</f>
        <v>3.6472290704306486E-2</v>
      </c>
      <c r="X14" s="51">
        <f>X12/Drivers!Y4</f>
        <v>3.5612527394917472E-2</v>
      </c>
      <c r="Y14" s="22">
        <f>((Data!$AJ$6*LN('Intermediate calculations'!Y4))+Data!$AK$6)</f>
        <v>1.7853886352852486E-2</v>
      </c>
      <c r="Z14" s="22">
        <f>((Data!$AJ$6*LN('Intermediate calculations'!Z4))+Data!$AK$6)</f>
        <v>1.7857100681146033E-2</v>
      </c>
      <c r="AA14" s="22">
        <f>((Data!$AJ$6*LN('Intermediate calculations'!AA4))+Data!$AK$6)</f>
        <v>1.7857888447598568E-2</v>
      </c>
      <c r="AB14" s="22">
        <f>((Data!$AJ$6*LN('Intermediate calculations'!AB4))+Data!$AK$6)</f>
        <v>1.7855476694325325E-2</v>
      </c>
      <c r="AC14" s="22">
        <f>((Data!$AJ$6*LN('Intermediate calculations'!AC4))+Data!$AK$6)</f>
        <v>1.7852908291521391E-2</v>
      </c>
      <c r="AD14" s="22">
        <f>((Data!$AJ$6*LN('Intermediate calculations'!AD4))+Data!$AK$6)</f>
        <v>1.7851680174544225E-2</v>
      </c>
      <c r="AE14" s="22">
        <f>((Data!$AJ$6*LN('Intermediate calculations'!AE4))+Data!$AK$6)</f>
        <v>1.7850858861322823E-2</v>
      </c>
      <c r="AF14" s="22">
        <f>((Data!$AJ$6*LN('Intermediate calculations'!AF4))+Data!$AK$6)</f>
        <v>1.7846872108059277E-2</v>
      </c>
      <c r="AG14" s="22">
        <f>((Data!$AJ$6*LN('Intermediate calculations'!AG4))+Data!$AK$6)</f>
        <v>1.7813025456536551E-2</v>
      </c>
      <c r="AH14" s="22">
        <f>((Data!$AJ$6*LN('Intermediate calculations'!AH4))+Data!$AK$6)</f>
        <v>1.7818005977728969E-2</v>
      </c>
      <c r="AI14" s="22">
        <f>((Data!$AJ$6*LN('Intermediate calculations'!AI4))+Data!$AK$6)</f>
        <v>1.7822036343099628E-2</v>
      </c>
      <c r="AJ14" s="22">
        <f>((Data!$AJ$6*LN('Intermediate calculations'!AJ4))+Data!$AK$6)</f>
        <v>1.7825944167155536E-2</v>
      </c>
      <c r="AK14" s="22">
        <f>((Data!$AJ$6*LN('Intermediate calculations'!AK4))+Data!$AK$6)</f>
        <v>1.7830951323252044E-2</v>
      </c>
      <c r="AL14" s="22">
        <f>((Data!$AJ$6*LN('Intermediate calculations'!AL4))+Data!$AK$6)</f>
        <v>1.7835803487721458E-2</v>
      </c>
      <c r="AM14" s="22">
        <f>((Data!$AJ$6*LN('Intermediate calculations'!AM4))+Data!$AK$6)</f>
        <v>1.7841286921861637E-2</v>
      </c>
      <c r="AN14" s="22">
        <f>((Data!$AJ$6*LN('Intermediate calculations'!AN4))+Data!$AK$6)</f>
        <v>1.7846342760528999E-2</v>
      </c>
      <c r="AO14" s="22">
        <f>((Data!$AJ$6*LN('Intermediate calculations'!AO4))+Data!$AK$6)</f>
        <v>1.7851707193563181E-2</v>
      </c>
      <c r="AP14" s="22">
        <f>((Data!$AJ$6*LN('Intermediate calculations'!AP4))+Data!$AK$6)</f>
        <v>1.7856404651296783E-2</v>
      </c>
      <c r="AQ14" s="22">
        <f>((Data!$AJ$6*LN('Intermediate calculations'!AQ4))+Data!$AK$6)</f>
        <v>1.786113031501009E-2</v>
      </c>
      <c r="AR14" s="22">
        <f>((Data!$AJ$6*LN('Intermediate calculations'!AR4))+Data!$AK$6)</f>
        <v>1.7867579769186515E-2</v>
      </c>
      <c r="AS14" s="22">
        <f>((Data!$AJ$6*LN('Intermediate calculations'!AS4))+Data!$AK$6)</f>
        <v>1.7874494821494592E-2</v>
      </c>
      <c r="AT14" s="22">
        <f>((Data!$AJ$6*LN('Intermediate calculations'!AT4))+Data!$AK$6)</f>
        <v>1.7881476558739805E-2</v>
      </c>
      <c r="AU14" s="22">
        <f>((Data!$AJ$6*LN('Intermediate calculations'!AU4))+Data!$AK$6)</f>
        <v>1.7880491196692449E-2</v>
      </c>
      <c r="AV14" s="22" t="e">
        <f>((Data!$AJ$6*LN('Intermediate calculations'!AV4))+Data!$AK$6)</f>
        <v>#NUM!</v>
      </c>
      <c r="AW14" s="22" t="e">
        <f>((Data!$AJ$6*LN('Intermediate calculations'!AW4))+Data!$AK$6)</f>
        <v>#NUM!</v>
      </c>
      <c r="AX14" s="22" t="e">
        <f>((Data!$AJ$6*LN('Intermediate calculations'!AX4))+Data!$AK$6)</f>
        <v>#NUM!</v>
      </c>
      <c r="AY14" s="22" t="e">
        <f>((Data!$AJ$6*LN('Intermediate calculations'!AY4))+Data!$AK$6)</f>
        <v>#NUM!</v>
      </c>
      <c r="AZ14" s="22" t="e">
        <f>((Data!$AJ$6*LN('Intermediate calculations'!AZ4))+Data!$AK$6)</f>
        <v>#NUM!</v>
      </c>
      <c r="BA14" s="22" t="e">
        <f>((Data!$AJ$6*LN('Intermediate calculations'!BA4))+Data!$AK$6)</f>
        <v>#NUM!</v>
      </c>
      <c r="BB14" s="22" t="e">
        <f>((Data!$AJ$6*LN('Intermediate calculations'!BB4))+Data!$AK$6)</f>
        <v>#NUM!</v>
      </c>
      <c r="BC14" s="22" t="e">
        <f>((Data!$AJ$6*LN('Intermediate calculations'!BC4))+Data!$AK$6)</f>
        <v>#NUM!</v>
      </c>
      <c r="BD14" s="22" t="e">
        <f>((Data!$AJ$6*LN('Intermediate calculations'!BD4))+Data!$AK$6)</f>
        <v>#NUM!</v>
      </c>
      <c r="BE14" s="22" t="e">
        <f>((Data!$AJ$6*LN('Intermediate calculations'!BE4))+Data!$AK$6)</f>
        <v>#NUM!</v>
      </c>
      <c r="BF14" s="22" t="e">
        <f>((Data!$AJ$6*LN('Intermediate calculations'!BF4))+Data!$AK$6)</f>
        <v>#NUM!</v>
      </c>
      <c r="BG14" s="22" t="e">
        <f>((Data!$AJ$6*LN('Intermediate calculations'!BG4))+Data!$AK$6)</f>
        <v>#NUM!</v>
      </c>
      <c r="BH14" s="22" t="e">
        <f>((Data!$AJ$6*LN('Intermediate calculations'!BH4))+Data!$AK$6)</f>
        <v>#NUM!</v>
      </c>
      <c r="BI14" s="22" t="e">
        <f>((Data!$AJ$6*LN('Intermediate calculations'!BI4))+Data!$AK$6)</f>
        <v>#NUM!</v>
      </c>
      <c r="BJ14" s="22" t="e">
        <f>((Data!$AJ$6*LN('Intermediate calculations'!BJ4))+Data!$AK$6)</f>
        <v>#NUM!</v>
      </c>
      <c r="BK14" s="22" t="e">
        <f>((Data!$AJ$6*LN('Intermediate calculations'!BK4))+Data!$AK$6)</f>
        <v>#NUM!</v>
      </c>
    </row>
    <row r="15" spans="1:67" x14ac:dyDescent="0.25">
      <c r="A15" t="s">
        <v>329</v>
      </c>
      <c r="B15" t="s">
        <v>321</v>
      </c>
      <c r="C15" s="22">
        <v>2119000</v>
      </c>
      <c r="D15" s="22">
        <v>2163000</v>
      </c>
      <c r="E15" s="22">
        <v>2107000</v>
      </c>
      <c r="F15" s="22">
        <v>2002000</v>
      </c>
      <c r="G15" s="22">
        <v>2006000</v>
      </c>
      <c r="H15" s="22">
        <v>2297000</v>
      </c>
      <c r="I15" s="22">
        <v>2450000</v>
      </c>
      <c r="J15" s="22">
        <v>2437000</v>
      </c>
      <c r="K15" s="22">
        <v>2501000</v>
      </c>
      <c r="L15" s="22">
        <v>2543000</v>
      </c>
      <c r="M15" s="22">
        <v>2370000</v>
      </c>
      <c r="N15" s="22">
        <v>2358000</v>
      </c>
      <c r="O15" s="22">
        <v>2457000</v>
      </c>
      <c r="P15" s="22">
        <v>2354000</v>
      </c>
      <c r="Q15" s="22">
        <v>2505000</v>
      </c>
      <c r="R15" s="22">
        <v>2657000</v>
      </c>
      <c r="S15" s="22">
        <v>2513000</v>
      </c>
      <c r="T15" s="22">
        <v>2559000</v>
      </c>
      <c r="U15" s="22">
        <v>2625000</v>
      </c>
      <c r="V15" s="22">
        <v>2587000</v>
      </c>
      <c r="W15" s="22">
        <v>2711000</v>
      </c>
      <c r="X15" s="22">
        <v>2720000</v>
      </c>
      <c r="Y15" s="22">
        <f>((Data!$AJ$17*'Intermediate calculations'!Y12)+Data!$AK$17)</f>
        <v>2860864.3959572213</v>
      </c>
      <c r="Z15" s="22">
        <f>((Data!$AJ$17*'Intermediate calculations'!Z12)+Data!$AK$17)</f>
        <v>2903150.7609220296</v>
      </c>
      <c r="AA15" s="22">
        <f>((Data!$AJ$17*'Intermediate calculations'!AA12)+Data!$AK$17)</f>
        <v>2938977.2991548628</v>
      </c>
      <c r="AB15" s="22">
        <f>((Data!$AJ$17*'Intermediate calculations'!AB12)+Data!$AK$17)</f>
        <v>2965402.2843947839</v>
      </c>
      <c r="AC15" s="22">
        <f>((Data!$AJ$17*'Intermediate calculations'!AC12)+Data!$AK$17)</f>
        <v>2992384.3018486341</v>
      </c>
      <c r="AD15" s="22">
        <f>((Data!$AJ$17*'Intermediate calculations'!AD12)+Data!$AK$17)</f>
        <v>3025045.3836721079</v>
      </c>
      <c r="AE15" s="22">
        <f>((Data!$AJ$17*'Intermediate calculations'!AE12)+Data!$AK$17)</f>
        <v>3059483.5322357845</v>
      </c>
      <c r="AF15" s="22">
        <f>((Data!$AJ$17*'Intermediate calculations'!AF12)+Data!$AK$17)</f>
        <v>3083378.9179897206</v>
      </c>
      <c r="AG15" s="22">
        <f>((Data!$AJ$17*'Intermediate calculations'!AG12)+Data!$AK$17)</f>
        <v>3007113.4955885801</v>
      </c>
      <c r="AH15" s="22">
        <f>((Data!$AJ$17*'Intermediate calculations'!AH12)+Data!$AK$17)</f>
        <v>3049852.9648478273</v>
      </c>
      <c r="AI15" s="22">
        <f>((Data!$AJ$17*'Intermediate calculations'!AI12)+Data!$AK$17)</f>
        <v>3090268.792504767</v>
      </c>
      <c r="AJ15" s="22">
        <f>((Data!$AJ$17*'Intermediate calculations'!AJ12)+Data!$AK$17)</f>
        <v>3131028.6095267581</v>
      </c>
      <c r="AK15" s="22">
        <f>((Data!$AJ$17*'Intermediate calculations'!AK12)+Data!$AK$17)</f>
        <v>3176449.9346989142</v>
      </c>
      <c r="AL15" s="22">
        <f>((Data!$AJ$17*'Intermediate calculations'!AL12)+Data!$AK$17)</f>
        <v>3222270.8956283685</v>
      </c>
      <c r="AM15" s="22">
        <f>((Data!$AJ$17*'Intermediate calculations'!AM12)+Data!$AK$17)</f>
        <v>3267195.9251359534</v>
      </c>
      <c r="AN15" s="22">
        <f>((Data!$AJ$17*'Intermediate calculations'!AN12)+Data!$AK$17)</f>
        <v>3311429.7461560182</v>
      </c>
      <c r="AO15" s="22">
        <f>((Data!$AJ$17*'Intermediate calculations'!AO12)+Data!$AK$17)</f>
        <v>3357751.4853905607</v>
      </c>
      <c r="AP15" s="22">
        <f>((Data!$AJ$17*'Intermediate calculations'!AP12)+Data!$AK$17)</f>
        <v>3402367.7300103391</v>
      </c>
      <c r="AQ15" s="22">
        <f>((Data!$AJ$17*'Intermediate calculations'!AQ12)+Data!$AK$17)</f>
        <v>3447956.3017530758</v>
      </c>
      <c r="AR15" s="22">
        <f>((Data!$AJ$17*'Intermediate calculations'!AR12)+Data!$AK$17)</f>
        <v>3498022.0090200165</v>
      </c>
      <c r="AS15" s="22">
        <f>((Data!$AJ$17*'Intermediate calculations'!AS12)+Data!$AK$17)</f>
        <v>3551207.6754563637</v>
      </c>
      <c r="AT15" s="22">
        <f>((Data!$AJ$17*'Intermediate calculations'!AT12)+Data!$AK$17)</f>
        <v>3605939.7510546809</v>
      </c>
      <c r="AU15" s="22">
        <f>((Data!$AJ$17*'Intermediate calculations'!AU12)+Data!$AK$17)</f>
        <v>3626187.5241363812</v>
      </c>
      <c r="AV15" s="22">
        <f>((Data!$AJ$17*'Intermediate calculations'!AV12)+Data!$AK$17)</f>
        <v>1949129.1079707723</v>
      </c>
      <c r="AW15" s="22">
        <f>((Data!$AJ$17*'Intermediate calculations'!AW12)+Data!$AK$17)</f>
        <v>1958130.8143286882</v>
      </c>
      <c r="AX15" s="22">
        <f>((Data!$AJ$17*'Intermediate calculations'!AX12)+Data!$AK$17)</f>
        <v>1967198.423587084</v>
      </c>
      <c r="AY15" s="22">
        <f>((Data!$AJ$17*'Intermediate calculations'!AY12)+Data!$AK$17)</f>
        <v>1976332.4182314028</v>
      </c>
      <c r="AZ15" s="22">
        <f>((Data!$AJ$17*'Intermediate calculations'!AZ12)+Data!$AK$17)</f>
        <v>1985533.2842794412</v>
      </c>
      <c r="BA15" s="22">
        <f>((Data!$AJ$17*'Intermediate calculations'!BA12)+Data!$AK$17)</f>
        <v>1994801.5113072074</v>
      </c>
      <c r="BB15" s="22">
        <f>((Data!$AJ$17*'Intermediate calculations'!BB12)+Data!$AK$17)</f>
        <v>2002721.8094984021</v>
      </c>
      <c r="BC15" s="22">
        <f>((Data!$AJ$17*'Intermediate calculations'!BC12)+Data!$AK$17)</f>
        <v>2010691.3001034299</v>
      </c>
      <c r="BD15" s="22">
        <f>((Data!$AJ$17*'Intermediate calculations'!BD12)+Data!$AK$17)</f>
        <v>2018710.288652906</v>
      </c>
      <c r="BE15" s="22">
        <f>((Data!$AJ$17*'Intermediate calculations'!BE12)+Data!$AK$17)</f>
        <v>2026779.0825750751</v>
      </c>
      <c r="BF15" s="22">
        <f>((Data!$AJ$17*'Intermediate calculations'!BF12)+Data!$AK$17)</f>
        <v>2034897.9912075959</v>
      </c>
      <c r="BG15" s="22">
        <f>((Data!$AJ$17*'Intermediate calculations'!BG12)+Data!$AK$17)</f>
        <v>2041612.4686082297</v>
      </c>
      <c r="BH15" s="22">
        <f>((Data!$AJ$17*'Intermediate calculations'!BH12)+Data!$AK$17)</f>
        <v>2048361.222341548</v>
      </c>
      <c r="BI15" s="22">
        <f>((Data!$AJ$17*'Intermediate calculations'!BI12)+Data!$AK$17)</f>
        <v>2055144.4273827435</v>
      </c>
      <c r="BJ15" s="22">
        <f>((Data!$AJ$17*'Intermediate calculations'!BJ12)+Data!$AK$17)</f>
        <v>2061962.2596002305</v>
      </c>
      <c r="BK15" s="22">
        <f>((Data!$AJ$17*'Intermediate calculations'!BK12)+Data!$AK$17)</f>
        <v>2068814.895760203</v>
      </c>
    </row>
    <row r="16" spans="1:67" x14ac:dyDescent="0.25">
      <c r="A16" t="s">
        <v>840</v>
      </c>
      <c r="B16" t="s">
        <v>815</v>
      </c>
      <c r="C16" s="22">
        <f>Data!C18</f>
        <v>0.69526800377536568</v>
      </c>
      <c r="D16" s="22">
        <f>Data!D18</f>
        <v>0.78019747572815545</v>
      </c>
      <c r="E16" s="22">
        <f>Data!E18</f>
        <v>0.69287114855244414</v>
      </c>
      <c r="F16" s="22">
        <f>Data!F18</f>
        <v>0.76935057442557442</v>
      </c>
      <c r="G16" s="22">
        <f>Data!G18</f>
        <v>0.70104982552342976</v>
      </c>
      <c r="H16" s="22">
        <f>Data!H18</f>
        <v>0.65888248585111009</v>
      </c>
      <c r="I16" s="22">
        <f>Data!I18</f>
        <v>0.62320263673469389</v>
      </c>
      <c r="J16" s="22">
        <f>Data!J18</f>
        <v>0.60454366023799755</v>
      </c>
      <c r="K16" s="22">
        <f>Data!K18</f>
        <v>0.57300788884446219</v>
      </c>
      <c r="L16" s="22">
        <f>Data!L18</f>
        <v>0.56881090051120731</v>
      </c>
      <c r="M16" s="22">
        <f>Data!M18</f>
        <v>0.77421705907173</v>
      </c>
      <c r="N16" s="22">
        <f>Data!N18</f>
        <v>0.77247711620016968</v>
      </c>
      <c r="O16" s="22">
        <f>Data!O18</f>
        <v>0.65958493691493691</v>
      </c>
      <c r="P16" s="22">
        <f>Data!P18</f>
        <v>0.60879045454545455</v>
      </c>
      <c r="Q16" s="22">
        <f>Data!Q18</f>
        <v>0.5453595928143713</v>
      </c>
      <c r="R16" s="22">
        <f>Data!R18</f>
        <v>0.55448735415882566</v>
      </c>
      <c r="S16" s="22">
        <f>Data!S18</f>
        <v>0.57560132113012341</v>
      </c>
      <c r="T16" s="22">
        <f>Data!T18</f>
        <v>0.56525444314185236</v>
      </c>
      <c r="U16" s="22">
        <f>Data!U18</f>
        <v>0.66329169523809528</v>
      </c>
      <c r="V16" s="22">
        <f>Data!V18</f>
        <v>0.69374343254735216</v>
      </c>
      <c r="W16" s="22">
        <f>Data!W18</f>
        <v>0.66201189966801921</v>
      </c>
      <c r="X16" s="22">
        <f>Data!X18</f>
        <v>0.63027717647058834</v>
      </c>
      <c r="Y16" s="22">
        <f>((Data!$AJ$18*LN('Intermediate calculations'!Y2))+Data!$AK$18)</f>
        <v>0.59036032260533733</v>
      </c>
      <c r="Z16" s="22">
        <f>((Data!$AJ$18*LN('Intermediate calculations'!Z2))+Data!$AK$18)</f>
        <v>0.58537997662592556</v>
      </c>
      <c r="AA16" s="22">
        <f>((Data!$AJ$18*LN('Intermediate calculations'!AA2))+Data!$AK$18)</f>
        <v>0.58070166069623075</v>
      </c>
      <c r="AB16" s="22">
        <f>((Data!$AJ$18*LN('Intermediate calculations'!AB2))+Data!$AK$18)</f>
        <v>0.57629082711126922</v>
      </c>
      <c r="AC16" s="22">
        <f>((Data!$AJ$18*LN('Intermediate calculations'!AC2))+Data!$AK$18)</f>
        <v>0.57211853646492172</v>
      </c>
      <c r="AD16" s="22">
        <f>((Data!$AJ$18*LN('Intermediate calculations'!AD2))+Data!$AK$18)</f>
        <v>0.56816030581489985</v>
      </c>
      <c r="AE16" s="22">
        <f>((Data!$AJ$18*LN('Intermediate calculations'!AE2))+Data!$AK$18)</f>
        <v>0.56439523816734538</v>
      </c>
      <c r="AF16" s="22">
        <f>((Data!$AJ$18*LN('Intermediate calculations'!AF2))+Data!$AK$18)</f>
        <v>0.56080535465675874</v>
      </c>
      <c r="AG16" s="22">
        <f>((Data!$AJ$18*LN('Intermediate calculations'!AG2))+Data!$AK$18)</f>
        <v>0.5573750752965374</v>
      </c>
      <c r="AH16" s="22">
        <f>((Data!$AJ$18*LN('Intermediate calculations'!AH2))+Data!$AK$18)</f>
        <v>0.55409081032083174</v>
      </c>
      <c r="AI16" s="22">
        <f>((Data!$AJ$18*LN('Intermediate calculations'!AI2))+Data!$AK$18)</f>
        <v>0.55094063500387414</v>
      </c>
      <c r="AJ16" s="22">
        <f>((Data!$AJ$18*LN('Intermediate calculations'!AJ2))+Data!$AK$18)</f>
        <v>0.54791402829489422</v>
      </c>
      <c r="AK16" s="22">
        <f>((Data!$AJ$18*LN('Intermediate calculations'!AK2))+Data!$AK$18)</f>
        <v>0.5450016608061754</v>
      </c>
      <c r="AL16" s="22">
        <f>((Data!$AJ$18*LN('Intermediate calculations'!AL2))+Data!$AK$18)</f>
        <v>0.5421952213769079</v>
      </c>
      <c r="AM16" s="22">
        <f>((Data!$AJ$18*LN('Intermediate calculations'!AM2))+Data!$AK$18)</f>
        <v>0.53948727408506059</v>
      </c>
      <c r="AN16" s="22">
        <f>((Data!$AJ$18*LN('Intermediate calculations'!AN2))+Data!$AK$18)</f>
        <v>0.53687113950980603</v>
      </c>
      <c r="AO16" s="22">
        <f>((Data!$AJ$18*LN('Intermediate calculations'!AO2))+Data!$AK$18)</f>
        <v>0.53434079547056146</v>
      </c>
      <c r="AP16" s="22">
        <f>((Data!$AJ$18*LN('Intermediate calculations'!AP2))+Data!$AK$18)</f>
        <v>0.53189079353039415</v>
      </c>
      <c r="AQ16" s="22">
        <f>((Data!$AJ$18*LN('Intermediate calculations'!AQ2))+Data!$AK$18)</f>
        <v>0.52951618835166503</v>
      </c>
      <c r="AR16" s="22">
        <f>((Data!$AJ$18*LN('Intermediate calculations'!AR2))+Data!$AK$18)</f>
        <v>0.52721247760069934</v>
      </c>
      <c r="AS16" s="22">
        <f>((Data!$AJ$18*LN('Intermediate calculations'!AS2))+Data!$AK$18)</f>
        <v>0.52497555056588219</v>
      </c>
      <c r="AT16" s="22">
        <f>((Data!$AJ$18*LN('Intermediate calculations'!AT2))+Data!$AK$18)</f>
        <v>0.52280164401573792</v>
      </c>
      <c r="AU16" s="22">
        <f>((Data!$AJ$18*LN('Intermediate calculations'!AU2))+Data!$AK$18)</f>
        <v>0.52068730410629205</v>
      </c>
      <c r="AV16" s="22">
        <f>((Data!$AJ$18*LN('Intermediate calculations'!AV2))+Data!$AK$18)</f>
        <v>0.51862935336939042</v>
      </c>
      <c r="AW16" s="22">
        <f>((Data!$AJ$18*LN('Intermediate calculations'!AW2))+Data!$AK$18)</f>
        <v>0.5166248619898004</v>
      </c>
      <c r="AX16" s="22">
        <f>((Data!$AJ$18*LN('Intermediate calculations'!AX2))+Data!$AK$18)</f>
        <v>0.51467112271936843</v>
      </c>
      <c r="AY16" s="22">
        <f>((Data!$AJ$18*LN('Intermediate calculations'!AY2))+Data!$AK$18)</f>
        <v>0.51276562888920318</v>
      </c>
      <c r="AZ16" s="22">
        <f>((Data!$AJ$18*LN('Intermediate calculations'!AZ2))+Data!$AK$18)</f>
        <v>0.51090605507181408</v>
      </c>
      <c r="BA16" s="22">
        <f>((Data!$AJ$18*LN('Intermediate calculations'!BA2))+Data!$AK$18)</f>
        <v>0.50909024001896186</v>
      </c>
      <c r="BB16" s="22">
        <f>((Data!$AJ$18*LN('Intermediate calculations'!BB2))+Data!$AK$18)</f>
        <v>0.50731617156122744</v>
      </c>
      <c r="BC16" s="22">
        <f>((Data!$AJ$18*LN('Intermediate calculations'!BC2))+Data!$AK$18)</f>
        <v>0.50558197320471221</v>
      </c>
      <c r="BD16" s="22">
        <f>((Data!$AJ$18*LN('Intermediate calculations'!BD2))+Data!$AK$18)</f>
        <v>0.5038858922010061</v>
      </c>
      <c r="BE16" s="22">
        <f>((Data!$AJ$18*LN('Intermediate calculations'!BE2))+Data!$AK$18)</f>
        <v>0.50222628890026844</v>
      </c>
      <c r="BF16" s="22">
        <f>((Data!$AJ$18*LN('Intermediate calculations'!BF2))+Data!$AK$18)</f>
        <v>0.50060162722530022</v>
      </c>
      <c r="BG16" s="22">
        <f>((Data!$AJ$18*LN('Intermediate calculations'!BG2))+Data!$AK$18)</f>
        <v>0.49901046612789024</v>
      </c>
      <c r="BH16" s="22">
        <f>((Data!$AJ$18*LN('Intermediate calculations'!BH2))+Data!$AK$18)</f>
        <v>0.49745145190834272</v>
      </c>
      <c r="BI16" s="22">
        <f>((Data!$AJ$18*LN('Intermediate calculations'!BI2))+Data!$AK$18)</f>
        <v>0.49592331129560552</v>
      </c>
      <c r="BJ16" s="22">
        <f>((Data!$AJ$18*LN('Intermediate calculations'!BJ2))+Data!$AK$18)</f>
        <v>0.49442484519936286</v>
      </c>
      <c r="BK16" s="22">
        <f>((Data!$AJ$18*LN('Intermediate calculations'!BK2))+Data!$AK$18)</f>
        <v>0.49295492305728073</v>
      </c>
    </row>
    <row r="17" spans="1:63" x14ac:dyDescent="0.25">
      <c r="A17" t="s">
        <v>341</v>
      </c>
      <c r="B17" t="s">
        <v>321</v>
      </c>
      <c r="C17" s="22">
        <v>184000</v>
      </c>
      <c r="D17" s="22">
        <v>206000</v>
      </c>
      <c r="E17" s="22">
        <v>199000</v>
      </c>
      <c r="F17" s="22">
        <v>189000</v>
      </c>
      <c r="G17" s="22">
        <v>156000</v>
      </c>
      <c r="H17" s="22">
        <v>118000</v>
      </c>
      <c r="I17" s="22">
        <v>143000</v>
      </c>
      <c r="J17" s="22">
        <v>142000</v>
      </c>
      <c r="K17" s="22">
        <v>145000</v>
      </c>
      <c r="L17" s="22">
        <v>154000</v>
      </c>
      <c r="M17" s="22">
        <v>163000</v>
      </c>
      <c r="N17" s="22">
        <v>159000</v>
      </c>
      <c r="O17" s="22">
        <v>146000</v>
      </c>
      <c r="P17" s="22">
        <v>146000</v>
      </c>
      <c r="Q17" s="22">
        <v>153000</v>
      </c>
      <c r="R17" s="22">
        <v>168000</v>
      </c>
      <c r="S17" s="22">
        <v>176000</v>
      </c>
      <c r="T17" s="22">
        <v>203000</v>
      </c>
      <c r="U17" s="22">
        <v>189000</v>
      </c>
      <c r="V17" s="22">
        <v>180000</v>
      </c>
      <c r="W17" s="22">
        <v>174000</v>
      </c>
      <c r="X17" s="22">
        <v>155000</v>
      </c>
      <c r="Y17" s="22"/>
      <c r="Z17" s="22"/>
      <c r="AA17" s="22"/>
      <c r="AB17" s="22"/>
      <c r="AC17" s="22"/>
      <c r="AD17" s="22"/>
      <c r="AE17" s="22"/>
      <c r="AF17" s="22"/>
      <c r="AG17" s="22"/>
      <c r="AH17" s="22"/>
      <c r="AI17" s="22"/>
      <c r="AJ17" s="22"/>
      <c r="AK17" s="22"/>
      <c r="AL17" s="22"/>
      <c r="AM17" s="22"/>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row>
    <row r="18" spans="1:63" x14ac:dyDescent="0.25">
      <c r="A18" t="s">
        <v>870</v>
      </c>
      <c r="B18" t="s">
        <v>321</v>
      </c>
      <c r="C18" s="22">
        <f>C27+C22</f>
        <v>168200</v>
      </c>
      <c r="D18" s="22">
        <f t="shared" ref="D18:BK18" si="4">D27+D22</f>
        <v>191200</v>
      </c>
      <c r="E18" s="22">
        <f t="shared" si="4"/>
        <v>176100</v>
      </c>
      <c r="F18" s="22">
        <f t="shared" si="4"/>
        <v>167400</v>
      </c>
      <c r="G18" s="22">
        <f t="shared" si="4"/>
        <v>135300</v>
      </c>
      <c r="H18" s="22">
        <f t="shared" si="4"/>
        <v>94800</v>
      </c>
      <c r="I18" s="22">
        <f t="shared" si="4"/>
        <v>106300</v>
      </c>
      <c r="J18" s="22">
        <f t="shared" si="4"/>
        <v>102600</v>
      </c>
      <c r="K18" s="22">
        <f t="shared" si="4"/>
        <v>96900</v>
      </c>
      <c r="L18" s="22">
        <f t="shared" si="4"/>
        <v>104900</v>
      </c>
      <c r="M18" s="22">
        <f t="shared" si="4"/>
        <v>108300</v>
      </c>
      <c r="N18" s="22">
        <f t="shared" si="4"/>
        <v>105400</v>
      </c>
      <c r="O18" s="22">
        <f t="shared" si="4"/>
        <v>105100</v>
      </c>
      <c r="P18" s="22">
        <f t="shared" si="4"/>
        <v>114400</v>
      </c>
      <c r="Q18" s="22">
        <f t="shared" si="4"/>
        <v>120300</v>
      </c>
      <c r="R18" s="22">
        <f t="shared" si="4"/>
        <v>134600</v>
      </c>
      <c r="S18" s="22">
        <f t="shared" si="4"/>
        <v>135300</v>
      </c>
      <c r="T18" s="22">
        <f t="shared" si="4"/>
        <v>160700</v>
      </c>
      <c r="U18" s="22">
        <f t="shared" si="4"/>
        <v>160600</v>
      </c>
      <c r="V18" s="22">
        <f t="shared" si="4"/>
        <v>162100</v>
      </c>
      <c r="W18" s="22">
        <f t="shared" si="4"/>
        <v>163900</v>
      </c>
      <c r="X18" s="22">
        <f t="shared" si="4"/>
        <v>148800</v>
      </c>
      <c r="Y18" s="22">
        <f t="shared" si="4"/>
        <v>163480.87060658581</v>
      </c>
      <c r="Z18" s="22">
        <f t="shared" si="4"/>
        <v>165083.14205455498</v>
      </c>
      <c r="AA18" s="22">
        <f t="shared" si="4"/>
        <v>166737.02477072403</v>
      </c>
      <c r="AB18" s="22">
        <f t="shared" si="4"/>
        <v>168441.80023080259</v>
      </c>
      <c r="AC18" s="22">
        <f t="shared" si="4"/>
        <v>170209.85457128807</v>
      </c>
      <c r="AD18" s="22">
        <f t="shared" si="4"/>
        <v>172048.82000954493</v>
      </c>
      <c r="AE18" s="22">
        <f t="shared" si="4"/>
        <v>173913.69271114646</v>
      </c>
      <c r="AF18" s="22">
        <f t="shared" si="4"/>
        <v>175797.54414853285</v>
      </c>
      <c r="AG18" s="22">
        <f t="shared" si="4"/>
        <v>177610.59198861948</v>
      </c>
      <c r="AH18" s="22">
        <f t="shared" si="4"/>
        <v>179020.97469170965</v>
      </c>
      <c r="AI18" s="22">
        <f t="shared" si="4"/>
        <v>180444.76083216598</v>
      </c>
      <c r="AJ18" s="22">
        <f t="shared" si="4"/>
        <v>181884.81845483091</v>
      </c>
      <c r="AK18" s="22">
        <f t="shared" si="4"/>
        <v>183345.6794159431</v>
      </c>
      <c r="AL18" s="22">
        <f t="shared" si="4"/>
        <v>184823.23674309379</v>
      </c>
      <c r="AM18" s="22">
        <f t="shared" si="4"/>
        <v>186106.65951493528</v>
      </c>
      <c r="AN18" s="22">
        <f t="shared" si="4"/>
        <v>187401.57774970747</v>
      </c>
      <c r="AO18" s="22">
        <f t="shared" si="4"/>
        <v>188710.91055588308</v>
      </c>
      <c r="AP18" s="22">
        <f t="shared" si="4"/>
        <v>190030.95853286449</v>
      </c>
      <c r="AQ18" s="22">
        <f t="shared" si="4"/>
        <v>191364.5411330536</v>
      </c>
      <c r="AR18" s="22">
        <f t="shared" si="4"/>
        <v>192542.02273123938</v>
      </c>
      <c r="AS18" s="22">
        <f t="shared" si="4"/>
        <v>193732.26527948084</v>
      </c>
      <c r="AT18" s="22">
        <f t="shared" si="4"/>
        <v>194933.76602690262</v>
      </c>
      <c r="AU18" s="22">
        <f t="shared" si="4"/>
        <v>196110.31856505389</v>
      </c>
      <c r="AV18" s="22">
        <f t="shared" si="4"/>
        <v>195587.25537995674</v>
      </c>
      <c r="AW18" s="22">
        <f t="shared" si="4"/>
        <v>196605.1384500995</v>
      </c>
      <c r="AX18" s="22">
        <f t="shared" si="4"/>
        <v>197630.47360143717</v>
      </c>
      <c r="AY18" s="22">
        <f t="shared" si="4"/>
        <v>198663.31539182184</v>
      </c>
      <c r="AZ18" s="22">
        <f t="shared" si="4"/>
        <v>199703.71877853243</v>
      </c>
      <c r="BA18" s="22">
        <f t="shared" si="4"/>
        <v>200751.73912119857</v>
      </c>
      <c r="BB18" s="22">
        <f t="shared" si="4"/>
        <v>201647.34014602096</v>
      </c>
      <c r="BC18" s="22">
        <f t="shared" si="4"/>
        <v>202548.50368568543</v>
      </c>
      <c r="BD18" s="22">
        <f t="shared" si="4"/>
        <v>203455.26428857964</v>
      </c>
      <c r="BE18" s="22">
        <f t="shared" si="4"/>
        <v>204367.65671766887</v>
      </c>
      <c r="BF18" s="22">
        <f t="shared" si="4"/>
        <v>205285.71595182861</v>
      </c>
      <c r="BG18" s="22">
        <f t="shared" si="4"/>
        <v>206044.96676486492</v>
      </c>
      <c r="BH18" s="22">
        <f t="shared" si="4"/>
        <v>206808.09343180695</v>
      </c>
      <c r="BI18" s="22">
        <f t="shared" si="4"/>
        <v>207575.11573826868</v>
      </c>
      <c r="BJ18" s="22">
        <f t="shared" si="4"/>
        <v>208346.05357086656</v>
      </c>
      <c r="BK18" s="22">
        <f t="shared" si="4"/>
        <v>209120.92691773488</v>
      </c>
    </row>
    <row r="19" spans="1:63" x14ac:dyDescent="0.25">
      <c r="A19" t="s">
        <v>332</v>
      </c>
      <c r="B19" t="s">
        <v>321</v>
      </c>
      <c r="C19" s="22">
        <f>C17-C22</f>
        <v>172960</v>
      </c>
      <c r="D19" s="22">
        <f t="shared" ref="D19:X19" si="5">D17-D22</f>
        <v>193640</v>
      </c>
      <c r="E19" s="22">
        <f t="shared" si="5"/>
        <v>187060</v>
      </c>
      <c r="F19" s="22">
        <f t="shared" si="5"/>
        <v>177660</v>
      </c>
      <c r="G19" s="22">
        <f t="shared" si="5"/>
        <v>146640</v>
      </c>
      <c r="H19" s="22">
        <f t="shared" si="5"/>
        <v>110920</v>
      </c>
      <c r="I19" s="22">
        <f t="shared" si="5"/>
        <v>134420</v>
      </c>
      <c r="J19" s="22">
        <f t="shared" si="5"/>
        <v>133480</v>
      </c>
      <c r="K19" s="22">
        <f t="shared" si="5"/>
        <v>136300</v>
      </c>
      <c r="L19" s="22">
        <f t="shared" si="5"/>
        <v>144760</v>
      </c>
      <c r="M19" s="22">
        <f t="shared" si="5"/>
        <v>153220</v>
      </c>
      <c r="N19" s="22">
        <f t="shared" si="5"/>
        <v>149460</v>
      </c>
      <c r="O19" s="22">
        <f t="shared" si="5"/>
        <v>137240</v>
      </c>
      <c r="P19" s="22">
        <f t="shared" si="5"/>
        <v>137240</v>
      </c>
      <c r="Q19" s="22">
        <f t="shared" si="5"/>
        <v>143820</v>
      </c>
      <c r="R19" s="22">
        <f t="shared" si="5"/>
        <v>157920</v>
      </c>
      <c r="S19" s="22">
        <f t="shared" si="5"/>
        <v>165440</v>
      </c>
      <c r="T19" s="22">
        <f t="shared" si="5"/>
        <v>190820</v>
      </c>
      <c r="U19" s="22">
        <f t="shared" si="5"/>
        <v>177660</v>
      </c>
      <c r="V19" s="22">
        <f t="shared" si="5"/>
        <v>169200</v>
      </c>
      <c r="W19" s="22">
        <f t="shared" si="5"/>
        <v>163560</v>
      </c>
      <c r="X19" s="22">
        <f t="shared" si="5"/>
        <v>145700</v>
      </c>
      <c r="Y19" s="22">
        <f>(((Data!$AJ$7*'Intermediate calculations'!Y4)+Data!$AK$7)*Drivers!Z4)</f>
        <v>168487.76169155291</v>
      </c>
      <c r="Z19" s="22">
        <f>(((Data!$AJ$7*'Intermediate calculations'!Z4)+Data!$AK$7)*Drivers!AA4)</f>
        <v>171012.51082629684</v>
      </c>
      <c r="AA19" s="22">
        <f>(((Data!$AJ$7*'Intermediate calculations'!AA4)+Data!$AK$7)*Drivers!AB4)</f>
        <v>173618.58544736577</v>
      </c>
      <c r="AB19" s="22">
        <f>(((Data!$AJ$7*'Intermediate calculations'!AB4)+Data!$AK$7)*Drivers!AC4)</f>
        <v>176304.85335360692</v>
      </c>
      <c r="AC19" s="22">
        <f>(((Data!$AJ$7*'Intermediate calculations'!AC4)+Data!$AK$7)*Drivers!AD4)</f>
        <v>179090.8317669268</v>
      </c>
      <c r="AD19" s="22">
        <f>(((Data!$AJ$7*'Intermediate calculations'!AD4)+Data!$AK$7)*Drivers!AE4)</f>
        <v>181988.54701046296</v>
      </c>
      <c r="AE19" s="22">
        <f>(((Data!$AJ$7*'Intermediate calculations'!AE4)+Data!$AK$7)*Drivers!AF4)</f>
        <v>184927.08513753486</v>
      </c>
      <c r="AF19" s="22">
        <f>(((Data!$AJ$7*'Intermediate calculations'!AF4)+Data!$AK$7)*Drivers!AG4)</f>
        <v>187895.52865099558</v>
      </c>
      <c r="AG19" s="22">
        <f>(((Data!$AJ$7*'Intermediate calculations'!AG4)+Data!$AK$7)*Drivers!AH4)</f>
        <v>190752.40472608875</v>
      </c>
      <c r="AH19" s="22">
        <f>(((Data!$AJ$7*'Intermediate calculations'!AH4)+Data!$AK$7)*Drivers!AI4)</f>
        <v>192974.78877580643</v>
      </c>
      <c r="AI19" s="22">
        <f>(((Data!$AJ$7*'Intermediate calculations'!AI4)+Data!$AK$7)*Drivers!AJ4)</f>
        <v>195218.29304016419</v>
      </c>
      <c r="AJ19" s="22">
        <f>(((Data!$AJ$7*'Intermediate calculations'!AJ4)+Data!$AK$7)*Drivers!AK4)</f>
        <v>197487.43678694504</v>
      </c>
      <c r="AK19" s="22">
        <f>(((Data!$AJ$7*'Intermediate calculations'!AK4)+Data!$AK$7)*Drivers!AL4)</f>
        <v>199789.36100348399</v>
      </c>
      <c r="AL19" s="22">
        <f>(((Data!$AJ$7*'Intermediate calculations'!AL4)+Data!$AK$7)*Drivers!AM4)</f>
        <v>202117.59420515937</v>
      </c>
      <c r="AM19" s="22">
        <f>(((Data!$AJ$7*'Intermediate calculations'!AM4)+Data!$AK$7)*Drivers!AN4)</f>
        <v>204139.92352821166</v>
      </c>
      <c r="AN19" s="22">
        <f>(((Data!$AJ$7*'Intermediate calculations'!AN4)+Data!$AK$7)*Drivers!AO4)</f>
        <v>206180.36661102952</v>
      </c>
      <c r="AO19" s="22">
        <f>(((Data!$AJ$7*'Intermediate calculations'!AO4)+Data!$AK$7)*Drivers!AP4)</f>
        <v>208243.52318395203</v>
      </c>
      <c r="AP19" s="22">
        <f>(((Data!$AJ$7*'Intermediate calculations'!AP4)+Data!$AK$7)*Drivers!AQ4)</f>
        <v>210323.5639859825</v>
      </c>
      <c r="AQ19" s="22">
        <f>(((Data!$AJ$7*'Intermediate calculations'!AQ4)+Data!$AK$7)*Drivers!AR4)</f>
        <v>212424.93171627852</v>
      </c>
      <c r="AR19" s="22">
        <f>(((Data!$AJ$7*'Intermediate calculations'!AR4)+Data!$AK$7)*Drivers!AS4)</f>
        <v>214280.32622509557</v>
      </c>
      <c r="AS19" s="22">
        <f>(((Data!$AJ$7*'Intermediate calculations'!AS4)+Data!$AK$7)*Drivers!AT4)</f>
        <v>216155.82856124273</v>
      </c>
      <c r="AT19" s="22">
        <f>(((Data!$AJ$7*'Intermediate calculations'!AT4)+Data!$AK$7)*Drivers!AU4)</f>
        <v>218049.07079325794</v>
      </c>
      <c r="AU19" s="22">
        <f>(((Data!$AJ$7*'Intermediate calculations'!AU4)+Data!$AK$7)*Drivers!AV4)</f>
        <v>219903.00135317846</v>
      </c>
      <c r="AV19" s="22">
        <f>(((Data!$AJ$7*'Intermediate calculations'!AV4)+Data!$AK$7)*Drivers!AW4)</f>
        <v>219078.79436524003</v>
      </c>
      <c r="AW19" s="22">
        <f>(((Data!$AJ$7*'Intermediate calculations'!AW4)+Data!$AK$7)*Drivers!AX4)</f>
        <v>220682.70449162388</v>
      </c>
      <c r="AX19" s="22">
        <f>(((Data!$AJ$7*'Intermediate calculations'!AX4)+Data!$AK$7)*Drivers!AY4)</f>
        <v>222298.35709495988</v>
      </c>
      <c r="AY19" s="22">
        <f>(((Data!$AJ$7*'Intermediate calculations'!AY4)+Data!$AK$7)*Drivers!AZ4)</f>
        <v>223925.83814375859</v>
      </c>
      <c r="AZ19" s="22">
        <f>(((Data!$AJ$7*'Intermediate calculations'!AZ4)+Data!$AK$7)*Drivers!BA4)</f>
        <v>225565.23423591984</v>
      </c>
      <c r="BA19" s="22">
        <f>(((Data!$AJ$7*'Intermediate calculations'!BA4)+Data!$AK$7)*Drivers!BB4)</f>
        <v>227216.63260334008</v>
      </c>
      <c r="BB19" s="22">
        <f>(((Data!$AJ$7*'Intermediate calculations'!BB4)+Data!$AK$7)*Drivers!BC4)</f>
        <v>228627.85909393383</v>
      </c>
      <c r="BC19" s="22">
        <f>(((Data!$AJ$7*'Intermediate calculations'!BC4)+Data!$AK$7)*Drivers!BD4)</f>
        <v>230047.85061279565</v>
      </c>
      <c r="BD19" s="22">
        <f>(((Data!$AJ$7*'Intermediate calculations'!BD4)+Data!$AK$7)*Drivers!BE4)</f>
        <v>231476.66159889838</v>
      </c>
      <c r="BE19" s="22">
        <f>(((Data!$AJ$7*'Intermediate calculations'!BE4)+Data!$AK$7)*Drivers!BF4)</f>
        <v>232914.34682933148</v>
      </c>
      <c r="BF19" s="22">
        <f>(((Data!$AJ$7*'Intermediate calculations'!BF4)+Data!$AK$7)*Drivers!BG4)</f>
        <v>234360.96142140098</v>
      </c>
      <c r="BG19" s="22">
        <f>(((Data!$AJ$7*'Intermediate calculations'!BG4)+Data!$AK$7)*Drivers!BH4)</f>
        <v>235557.33662717315</v>
      </c>
      <c r="BH19" s="22">
        <f>(((Data!$AJ$7*'Intermediate calculations'!BH4)+Data!$AK$7)*Drivers!BI4)</f>
        <v>236759.81913692766</v>
      </c>
      <c r="BI19" s="22">
        <f>(((Data!$AJ$7*'Intermediate calculations'!BI4)+Data!$AK$7)*Drivers!BJ4)</f>
        <v>237968.44012747399</v>
      </c>
      <c r="BJ19" s="22">
        <f>(((Data!$AJ$7*'Intermediate calculations'!BJ4)+Data!$AK$7)*Drivers!BK4)</f>
        <v>239183.23093477439</v>
      </c>
      <c r="BK19" s="22">
        <f>(((Data!$AJ$7*'Intermediate calculations'!BK4)+Data!$AK$7)*Drivers!BL4)</f>
        <v>240404.22305475603</v>
      </c>
    </row>
    <row r="20" spans="1:63" x14ac:dyDescent="0.25">
      <c r="A20" t="s">
        <v>332</v>
      </c>
      <c r="B20" t="s">
        <v>322</v>
      </c>
      <c r="C20" s="22">
        <f>C19/Drivers!D4</f>
        <v>4.6999349927469751E-3</v>
      </c>
      <c r="D20" s="22">
        <f>D19/Drivers!E4</f>
        <v>5.1337590256356549E-3</v>
      </c>
      <c r="E20" s="22">
        <f>E19/Drivers!F4</f>
        <v>4.8370155133322145E-3</v>
      </c>
      <c r="F20" s="22">
        <f>F19/Drivers!G4</f>
        <v>4.4825432869713315E-3</v>
      </c>
      <c r="G20" s="22">
        <f>G19/Drivers!H4</f>
        <v>3.615022845716697E-3</v>
      </c>
      <c r="H20" s="22">
        <f>H19/Drivers!I4</f>
        <v>2.6769149486779026E-3</v>
      </c>
      <c r="I20" s="22">
        <f>I19/Drivers!J4</f>
        <v>3.1822155014234865E-3</v>
      </c>
      <c r="J20" s="22">
        <f>J19/Drivers!K4</f>
        <v>3.1050915056369576E-3</v>
      </c>
      <c r="K20" s="22">
        <f>K19/Drivers!L4</f>
        <v>3.1202598034076076E-3</v>
      </c>
      <c r="L20" s="22">
        <f>L19/Drivers!M4</f>
        <v>3.2648794977318042E-3</v>
      </c>
      <c r="M20" s="22">
        <f>M19/Drivers!N4</f>
        <v>3.4073339917613768E-3</v>
      </c>
      <c r="N20" s="22">
        <f>N19/Drivers!O4</f>
        <v>3.2796976446170891E-3</v>
      </c>
      <c r="O20" s="22">
        <f>O19/Drivers!P4</f>
        <v>2.9737223183428679E-3</v>
      </c>
      <c r="P20" s="22">
        <f>P19/Drivers!Q4</f>
        <v>2.9375505520257668E-3</v>
      </c>
      <c r="Q20" s="22">
        <f>Q19/Drivers!R4</f>
        <v>3.0411313973028199E-3</v>
      </c>
      <c r="R20" s="22">
        <f>R19/Drivers!S4</f>
        <v>3.2982042142704099E-3</v>
      </c>
      <c r="S20" s="22">
        <f>S19/Drivers!T4</f>
        <v>3.4118755583558893E-3</v>
      </c>
      <c r="T20" s="22">
        <f>T19/Drivers!U4</f>
        <v>3.8847910471221979E-3</v>
      </c>
      <c r="U20" s="22">
        <f>U19/Drivers!V4</f>
        <v>3.5689411002378874E-3</v>
      </c>
      <c r="V20" s="22">
        <f>V19/Drivers!W4</f>
        <v>3.3520209823834457E-3</v>
      </c>
      <c r="W20" s="22">
        <f>W19/Drivers!X4</f>
        <v>3.1934731625248227E-3</v>
      </c>
      <c r="X20" s="22">
        <f>X19/Drivers!Y4</f>
        <v>2.8016982945137554E-3</v>
      </c>
      <c r="Y20" s="22">
        <f>Y19/Drivers!Z4</f>
        <v>3.219997473719653E-3</v>
      </c>
      <c r="Z20" s="22">
        <f>Z19/Drivers!AA4</f>
        <v>3.2203085701816084E-3</v>
      </c>
      <c r="AA20" s="22">
        <f>AA19/Drivers!AB4</f>
        <v>3.2203852162801085E-3</v>
      </c>
      <c r="AB20" s="22">
        <f>AB19/Drivers!AC4</f>
        <v>3.2201510645989248E-3</v>
      </c>
      <c r="AC20" s="22">
        <f>AC19/Drivers!AD4</f>
        <v>3.219903334202379E-3</v>
      </c>
      <c r="AD20" s="22">
        <f>AD19/Drivers!AE4</f>
        <v>3.2197854694669234E-3</v>
      </c>
      <c r="AE20" s="22">
        <f>AE19/Drivers!AF4</f>
        <v>3.2197068589388347E-3</v>
      </c>
      <c r="AF20" s="22">
        <f>AF19/Drivers!AG4</f>
        <v>3.2193276808318641E-3</v>
      </c>
      <c r="AG20" s="22">
        <f>AG19/Drivers!AH4</f>
        <v>3.2162640032360984E-3</v>
      </c>
      <c r="AH20" s="22">
        <f>AH19/Drivers!AI4</f>
        <v>3.2166978654479851E-3</v>
      </c>
      <c r="AI20" s="22">
        <f>AI19/Drivers!AJ4</f>
        <v>3.2170531481339722E-3</v>
      </c>
      <c r="AJ20" s="22">
        <f>AJ19/Drivers!AK4</f>
        <v>3.2174012486401314E-3</v>
      </c>
      <c r="AK20" s="22">
        <f>AK19/Drivers!AL4</f>
        <v>3.2178525439573572E-3</v>
      </c>
      <c r="AL20" s="22">
        <f>AL19/Drivers!AM4</f>
        <v>3.2182955849745288E-3</v>
      </c>
      <c r="AM20" s="22">
        <f>AM19/Drivers!AN4</f>
        <v>3.218803128382729E-3</v>
      </c>
      <c r="AN20" s="22">
        <f>AN19/Drivers!AO4</f>
        <v>3.2192776336188024E-3</v>
      </c>
      <c r="AO20" s="22">
        <f>AO19/Drivers!AP4</f>
        <v>3.219788058434338E-3</v>
      </c>
      <c r="AP20" s="22">
        <f>AP19/Drivers!AQ4</f>
        <v>3.2202409818417313E-3</v>
      </c>
      <c r="AQ20" s="22">
        <f>AQ19/Drivers!AR4</f>
        <v>3.2207023144682849E-3</v>
      </c>
      <c r="AR20" s="22">
        <f>AR19/Drivers!AS4</f>
        <v>3.2213412664302628E-3</v>
      </c>
      <c r="AS20" s="22">
        <f>AS19/Drivers!AT4</f>
        <v>3.2220385110357506E-3</v>
      </c>
      <c r="AT20" s="22">
        <f>AT19/Drivers!AU4</f>
        <v>3.2227554817359809E-3</v>
      </c>
      <c r="AU20" s="22">
        <f>AU19/Drivers!AV4</f>
        <v>3.2226534918057687E-3</v>
      </c>
      <c r="AV20" s="22">
        <f>AV19/Drivers!AW4</f>
        <v>3.1834067738125017E-3</v>
      </c>
      <c r="AW20" s="22">
        <f>AW19/Drivers!AX4</f>
        <v>3.1834067738125017E-3</v>
      </c>
      <c r="AX20" s="22">
        <f>AX19/Drivers!AY4</f>
        <v>3.1834067738125017E-3</v>
      </c>
      <c r="AY20" s="22">
        <f>AY19/Drivers!AZ4</f>
        <v>3.1834067738125017E-3</v>
      </c>
      <c r="AZ20" s="22">
        <f>AZ19/Drivers!BA4</f>
        <v>3.1834067738125017E-3</v>
      </c>
      <c r="BA20" s="22">
        <f>BA19/Drivers!BB4</f>
        <v>3.1834067738125017E-3</v>
      </c>
      <c r="BB20" s="22">
        <f>BB19/Drivers!BC4</f>
        <v>3.1834067738125017E-3</v>
      </c>
      <c r="BC20" s="22">
        <f>BC19/Drivers!BD4</f>
        <v>3.1834067738125017E-3</v>
      </c>
      <c r="BD20" s="22">
        <f>BD19/Drivers!BE4</f>
        <v>3.1834067738125017E-3</v>
      </c>
      <c r="BE20" s="22">
        <f>BE19/Drivers!BF4</f>
        <v>3.1834067738125017E-3</v>
      </c>
      <c r="BF20" s="22">
        <f>BF19/Drivers!BG4</f>
        <v>3.1834067738125017E-3</v>
      </c>
      <c r="BG20" s="22">
        <f>BG19/Drivers!BH4</f>
        <v>3.1834067738125017E-3</v>
      </c>
      <c r="BH20" s="22">
        <f>BH19/Drivers!BI4</f>
        <v>3.1834067738125017E-3</v>
      </c>
      <c r="BI20" s="22">
        <f>BI19/Drivers!BJ4</f>
        <v>3.1834067738125017E-3</v>
      </c>
      <c r="BJ20" s="22">
        <f>BJ19/Drivers!BK4</f>
        <v>3.1834067738125017E-3</v>
      </c>
      <c r="BK20" s="22">
        <f>BK19/Drivers!BL4</f>
        <v>3.1834067738125017E-3</v>
      </c>
    </row>
    <row r="21" spans="1:63" x14ac:dyDescent="0.25">
      <c r="A21" t="s">
        <v>332</v>
      </c>
      <c r="B21" t="s">
        <v>663</v>
      </c>
      <c r="C21" s="22">
        <f>C20*1000</f>
        <v>4.6999349927469751</v>
      </c>
      <c r="D21" s="22">
        <f t="shared" ref="D21:X21" si="6">D20*1000</f>
        <v>5.1337590256356549</v>
      </c>
      <c r="E21" s="22">
        <f t="shared" si="6"/>
        <v>4.8370155133322141</v>
      </c>
      <c r="F21" s="22">
        <f t="shared" si="6"/>
        <v>4.4825432869713318</v>
      </c>
      <c r="G21" s="22">
        <f t="shared" si="6"/>
        <v>3.6150228457166969</v>
      </c>
      <c r="H21" s="22">
        <f t="shared" si="6"/>
        <v>2.6769149486779025</v>
      </c>
      <c r="I21" s="22">
        <f t="shared" si="6"/>
        <v>3.1822155014234865</v>
      </c>
      <c r="J21" s="22">
        <f t="shared" si="6"/>
        <v>3.1050915056369575</v>
      </c>
      <c r="K21" s="22">
        <f t="shared" si="6"/>
        <v>3.1202598034076074</v>
      </c>
      <c r="L21" s="22">
        <f t="shared" si="6"/>
        <v>3.2648794977318043</v>
      </c>
      <c r="M21" s="22">
        <f t="shared" si="6"/>
        <v>3.407333991761377</v>
      </c>
      <c r="N21" s="22">
        <f t="shared" si="6"/>
        <v>3.2796976446170891</v>
      </c>
      <c r="O21" s="22">
        <f t="shared" si="6"/>
        <v>2.973722318342868</v>
      </c>
      <c r="P21" s="22">
        <f t="shared" si="6"/>
        <v>2.9375505520257668</v>
      </c>
      <c r="Q21" s="22">
        <f t="shared" si="6"/>
        <v>3.04113139730282</v>
      </c>
      <c r="R21" s="22">
        <f t="shared" si="6"/>
        <v>3.29820421427041</v>
      </c>
      <c r="S21" s="22">
        <f t="shared" si="6"/>
        <v>3.4118755583558893</v>
      </c>
      <c r="T21" s="22">
        <f t="shared" si="6"/>
        <v>3.884791047122198</v>
      </c>
      <c r="U21" s="22">
        <f t="shared" si="6"/>
        <v>3.5689411002378875</v>
      </c>
      <c r="V21" s="22">
        <f t="shared" si="6"/>
        <v>3.3520209823834457</v>
      </c>
      <c r="W21" s="22">
        <f t="shared" si="6"/>
        <v>3.1934731625248225</v>
      </c>
      <c r="X21" s="22">
        <f t="shared" si="6"/>
        <v>2.8016982945137556</v>
      </c>
      <c r="Y21" s="22">
        <f>Y20*1000</f>
        <v>3.2199974737196531</v>
      </c>
      <c r="Z21" s="22">
        <f t="shared" ref="Z21:BK21" si="7">Z20*1000</f>
        <v>3.2203085701816083</v>
      </c>
      <c r="AA21" s="22">
        <f t="shared" si="7"/>
        <v>3.2203852162801083</v>
      </c>
      <c r="AB21" s="22">
        <f t="shared" si="7"/>
        <v>3.2201510645989249</v>
      </c>
      <c r="AC21" s="22">
        <f t="shared" si="7"/>
        <v>3.2199033342023791</v>
      </c>
      <c r="AD21" s="22">
        <f t="shared" si="7"/>
        <v>3.2197854694669235</v>
      </c>
      <c r="AE21" s="22">
        <f t="shared" si="7"/>
        <v>3.2197068589388347</v>
      </c>
      <c r="AF21" s="22">
        <f t="shared" si="7"/>
        <v>3.219327680831864</v>
      </c>
      <c r="AG21" s="22">
        <f t="shared" si="7"/>
        <v>3.2162640032360983</v>
      </c>
      <c r="AH21" s="22">
        <f t="shared" si="7"/>
        <v>3.2166978654479852</v>
      </c>
      <c r="AI21" s="22">
        <f t="shared" si="7"/>
        <v>3.2170531481339721</v>
      </c>
      <c r="AJ21" s="22">
        <f t="shared" si="7"/>
        <v>3.2174012486401313</v>
      </c>
      <c r="AK21" s="22">
        <f t="shared" si="7"/>
        <v>3.2178525439573571</v>
      </c>
      <c r="AL21" s="22">
        <f t="shared" si="7"/>
        <v>3.2182955849745287</v>
      </c>
      <c r="AM21" s="22">
        <f t="shared" si="7"/>
        <v>3.2188031283827292</v>
      </c>
      <c r="AN21" s="22">
        <f t="shared" si="7"/>
        <v>3.2192776336188023</v>
      </c>
      <c r="AO21" s="22">
        <f t="shared" si="7"/>
        <v>3.2197880584343381</v>
      </c>
      <c r="AP21" s="22">
        <f t="shared" si="7"/>
        <v>3.2202409818417315</v>
      </c>
      <c r="AQ21" s="22">
        <f t="shared" si="7"/>
        <v>3.2207023144682849</v>
      </c>
      <c r="AR21" s="22">
        <f t="shared" si="7"/>
        <v>3.221341266430263</v>
      </c>
      <c r="AS21" s="22">
        <f t="shared" si="7"/>
        <v>3.2220385110357506</v>
      </c>
      <c r="AT21" s="22">
        <f t="shared" si="7"/>
        <v>3.2227554817359807</v>
      </c>
      <c r="AU21" s="22">
        <f t="shared" si="7"/>
        <v>3.2226534918057688</v>
      </c>
      <c r="AV21" s="22">
        <f t="shared" si="7"/>
        <v>3.1834067738125018</v>
      </c>
      <c r="AW21" s="22">
        <f t="shared" si="7"/>
        <v>3.1834067738125018</v>
      </c>
      <c r="AX21" s="22">
        <f t="shared" si="7"/>
        <v>3.1834067738125018</v>
      </c>
      <c r="AY21" s="22">
        <f t="shared" si="7"/>
        <v>3.1834067738125018</v>
      </c>
      <c r="AZ21" s="22">
        <f t="shared" si="7"/>
        <v>3.1834067738125018</v>
      </c>
      <c r="BA21" s="22">
        <f t="shared" si="7"/>
        <v>3.1834067738125018</v>
      </c>
      <c r="BB21" s="22">
        <f t="shared" si="7"/>
        <v>3.1834067738125018</v>
      </c>
      <c r="BC21" s="22">
        <f t="shared" si="7"/>
        <v>3.1834067738125018</v>
      </c>
      <c r="BD21" s="22">
        <f t="shared" si="7"/>
        <v>3.1834067738125018</v>
      </c>
      <c r="BE21" s="22">
        <f t="shared" si="7"/>
        <v>3.1834067738125018</v>
      </c>
      <c r="BF21" s="22">
        <f t="shared" si="7"/>
        <v>3.1834067738125018</v>
      </c>
      <c r="BG21" s="22">
        <f t="shared" si="7"/>
        <v>3.1834067738125018</v>
      </c>
      <c r="BH21" s="22">
        <f t="shared" si="7"/>
        <v>3.1834067738125018</v>
      </c>
      <c r="BI21" s="22">
        <f t="shared" si="7"/>
        <v>3.1834067738125018</v>
      </c>
      <c r="BJ21" s="22">
        <f t="shared" si="7"/>
        <v>3.1834067738125018</v>
      </c>
      <c r="BK21" s="22">
        <f t="shared" si="7"/>
        <v>3.1834067738125018</v>
      </c>
    </row>
    <row r="22" spans="1:63" x14ac:dyDescent="0.25">
      <c r="A22" t="s">
        <v>340</v>
      </c>
      <c r="B22" t="s">
        <v>321</v>
      </c>
      <c r="C22" s="22">
        <f>C17*Constants!$H$27</f>
        <v>11040</v>
      </c>
      <c r="D22" s="22">
        <f>D17*Constants!$H$27</f>
        <v>12360</v>
      </c>
      <c r="E22" s="22">
        <f>E17*Constants!$H$27</f>
        <v>11940</v>
      </c>
      <c r="F22" s="22">
        <f>F17*Constants!$H$27</f>
        <v>11340</v>
      </c>
      <c r="G22" s="22">
        <f>G17*Constants!$H$27</f>
        <v>9360</v>
      </c>
      <c r="H22" s="22">
        <f>H17*Constants!$H$27</f>
        <v>7080</v>
      </c>
      <c r="I22" s="22">
        <f>I17*Constants!$H$27</f>
        <v>8580</v>
      </c>
      <c r="J22" s="22">
        <f>J17*Constants!$H$27</f>
        <v>8520</v>
      </c>
      <c r="K22" s="22">
        <f>K17*Constants!$H$27</f>
        <v>8700</v>
      </c>
      <c r="L22" s="22">
        <f>L17*Constants!$H$27</f>
        <v>9240</v>
      </c>
      <c r="M22" s="22">
        <f>M17*Constants!$H$27</f>
        <v>9780</v>
      </c>
      <c r="N22" s="22">
        <f>N17*Constants!$H$27</f>
        <v>9540</v>
      </c>
      <c r="O22" s="22">
        <f>O17*Constants!$H$27</f>
        <v>8760</v>
      </c>
      <c r="P22" s="22">
        <f>P17*Constants!$H$27</f>
        <v>8760</v>
      </c>
      <c r="Q22" s="22">
        <f>Q17*Constants!$H$27</f>
        <v>9180</v>
      </c>
      <c r="R22" s="22">
        <f>R17*Constants!$H$27</f>
        <v>10080</v>
      </c>
      <c r="S22" s="22">
        <f>S17*Constants!$H$27</f>
        <v>10560</v>
      </c>
      <c r="T22" s="22">
        <f>T17*Constants!$H$27</f>
        <v>12180</v>
      </c>
      <c r="U22" s="22">
        <f>U17*Constants!$H$27</f>
        <v>11340</v>
      </c>
      <c r="V22" s="22">
        <f>V17*Constants!$H$27</f>
        <v>10800</v>
      </c>
      <c r="W22" s="22">
        <f>W17*Constants!$H$27</f>
        <v>10440</v>
      </c>
      <c r="X22" s="22">
        <f>X17*Constants!$H$27</f>
        <v>9300</v>
      </c>
      <c r="Y22" s="22">
        <f>((Data!$AJ$8*'Intermediate calculations'!Y4)+Data!$AK$8)*Drivers!Z4</f>
        <v>10754.53798031189</v>
      </c>
      <c r="Z22" s="22">
        <f>((Data!$AJ$8*'Intermediate calculations'!Z4)+Data!$AK$8)*Drivers!AA4</f>
        <v>10915.692180401931</v>
      </c>
      <c r="AA22" s="22">
        <f>((Data!$AJ$8*'Intermediate calculations'!AA4)+Data!$AK$8)*Drivers!AB4</f>
        <v>11082.0373689808</v>
      </c>
      <c r="AB22" s="22">
        <f>((Data!$AJ$8*'Intermediate calculations'!AB4)+Data!$AK$8)*Drivers!AC4</f>
        <v>11253.501277889807</v>
      </c>
      <c r="AC22" s="22">
        <f>((Data!$AJ$8*'Intermediate calculations'!AC4)+Data!$AK$8)*Drivers!AD4</f>
        <v>11431.329687250651</v>
      </c>
      <c r="AD22" s="22">
        <f>((Data!$AJ$8*'Intermediate calculations'!AD4)+Data!$AK$8)*Drivers!AE4</f>
        <v>11616.290234710405</v>
      </c>
      <c r="AE22" s="22">
        <f>((Data!$AJ$8*'Intermediate calculations'!AE4)+Data!$AK$8)*Drivers!AF4</f>
        <v>11803.856498140527</v>
      </c>
      <c r="AF22" s="22">
        <f>((Data!$AJ$8*'Intermediate calculations'!AF4)+Data!$AK$8)*Drivers!AG4</f>
        <v>11993.331616020998</v>
      </c>
      <c r="AG22" s="22">
        <f>((Data!$AJ$8*'Intermediate calculations'!AG4)+Data!$AK$8)*Drivers!AH4</f>
        <v>12175.685408048223</v>
      </c>
      <c r="AH22" s="22">
        <f>((Data!$AJ$8*'Intermediate calculations'!AH4)+Data!$AK$8)*Drivers!AI4</f>
        <v>12317.539709094031</v>
      </c>
      <c r="AI22" s="22">
        <f>((Data!$AJ$8*'Intermediate calculations'!AI4)+Data!$AK$8)*Drivers!AJ4</f>
        <v>12460.742108946653</v>
      </c>
      <c r="AJ22" s="22">
        <f>((Data!$AJ$8*'Intermediate calculations'!AJ4)+Data!$AK$8)*Drivers!AK4</f>
        <v>12605.581071507133</v>
      </c>
      <c r="AK22" s="22">
        <f>((Data!$AJ$8*'Intermediate calculations'!AK4)+Data!$AK$8)*Drivers!AL4</f>
        <v>12752.512404477706</v>
      </c>
      <c r="AL22" s="22">
        <f>((Data!$AJ$8*'Intermediate calculations'!AL4)+Data!$AK$8)*Drivers!AM4</f>
        <v>12901.12303437188</v>
      </c>
      <c r="AM22" s="22">
        <f>((Data!$AJ$8*'Intermediate calculations'!AM4)+Data!$AK$8)*Drivers!AN4</f>
        <v>13030.207884779471</v>
      </c>
      <c r="AN22" s="22">
        <f>((Data!$AJ$8*'Intermediate calculations'!AN4)+Data!$AK$8)*Drivers!AO4</f>
        <v>13160.448932618909</v>
      </c>
      <c r="AO22" s="22">
        <f>((Data!$AJ$8*'Intermediate calculations'!AO4)+Data!$AK$8)*Drivers!AP4</f>
        <v>13292.139777699073</v>
      </c>
      <c r="AP22" s="22">
        <f>((Data!$AJ$8*'Intermediate calculations'!AP4)+Data!$AK$8)*Drivers!AQ4</f>
        <v>13424.908339530804</v>
      </c>
      <c r="AQ22" s="22">
        <f>((Data!$AJ$8*'Intermediate calculations'!AQ4)+Data!$AK$8)*Drivers!AR4</f>
        <v>13559.038194656077</v>
      </c>
      <c r="AR22" s="22">
        <f>((Data!$AJ$8*'Intermediate calculations'!AR4)+Data!$AK$8)*Drivers!AS4</f>
        <v>13677.467631389083</v>
      </c>
      <c r="AS22" s="22">
        <f>((Data!$AJ$8*'Intermediate calculations'!AS4)+Data!$AK$8)*Drivers!AT4</f>
        <v>13797.180546462305</v>
      </c>
      <c r="AT22" s="22">
        <f>((Data!$AJ$8*'Intermediate calculations'!AT4)+Data!$AK$8)*Drivers!AU4</f>
        <v>13918.025795314341</v>
      </c>
      <c r="AU22" s="22">
        <f>((Data!$AJ$8*'Intermediate calculations'!AU4)+Data!$AK$8)*Drivers!AV4</f>
        <v>14036.361788500757</v>
      </c>
      <c r="AV22" s="22">
        <f>((Data!$AJ$8*'Intermediate calculations'!AV4)+Data!$AK$8)*Drivers!AW4</f>
        <v>13983.752831823833</v>
      </c>
      <c r="AW22" s="22">
        <f>((Data!$AJ$8*'Intermediate calculations'!AW4)+Data!$AK$8)*Drivers!AX4</f>
        <v>14086.13007393344</v>
      </c>
      <c r="AX22" s="22">
        <f>((Data!$AJ$8*'Intermediate calculations'!AX4)+Data!$AK$8)*Drivers!AY4</f>
        <v>14189.256835848504</v>
      </c>
      <c r="AY22" s="22">
        <f>((Data!$AJ$8*'Intermediate calculations'!AY4)+Data!$AK$8)*Drivers!AZ4</f>
        <v>14293.138604920763</v>
      </c>
      <c r="AZ22" s="22">
        <f>((Data!$AJ$8*'Intermediate calculations'!AZ4)+Data!$AK$8)*Drivers!BA4</f>
        <v>14397.780908675737</v>
      </c>
      <c r="BA22" s="22">
        <f>((Data!$AJ$8*'Intermediate calculations'!BA4)+Data!$AK$8)*Drivers!BB4</f>
        <v>14503.189315106816</v>
      </c>
      <c r="BB22" s="22">
        <f>((Data!$AJ$8*'Intermediate calculations'!BB4)+Data!$AK$8)*Drivers!BC4</f>
        <v>14593.267601740459</v>
      </c>
      <c r="BC22" s="22">
        <f>((Data!$AJ$8*'Intermediate calculations'!BC4)+Data!$AK$8)*Drivers!BD4</f>
        <v>14683.905358263553</v>
      </c>
      <c r="BD22" s="22">
        <f>((Data!$AJ$8*'Intermediate calculations'!BD4)+Data!$AK$8)*Drivers!BE4</f>
        <v>14775.106059504154</v>
      </c>
      <c r="BE22" s="22">
        <f>((Data!$AJ$8*'Intermediate calculations'!BE4)+Data!$AK$8)*Drivers!BF4</f>
        <v>14866.873201872224</v>
      </c>
      <c r="BF22" s="22">
        <f>((Data!$AJ$8*'Intermediate calculations'!BF4)+Data!$AK$8)*Drivers!BG4</f>
        <v>14959.210303493681</v>
      </c>
      <c r="BG22" s="22">
        <f>((Data!$AJ$8*'Intermediate calculations'!BG4)+Data!$AK$8)*Drivers!BH4</f>
        <v>15035.574678330202</v>
      </c>
      <c r="BH22" s="22">
        <f>((Data!$AJ$8*'Intermediate calculations'!BH4)+Data!$AK$8)*Drivers!BI4</f>
        <v>15112.32888108049</v>
      </c>
      <c r="BI22" s="22">
        <f>((Data!$AJ$8*'Intermediate calculations'!BI4)+Data!$AK$8)*Drivers!BJ4</f>
        <v>15189.474901753661</v>
      </c>
      <c r="BJ22" s="22">
        <f>((Data!$AJ$8*'Intermediate calculations'!BJ4)+Data!$AK$8)*Drivers!BK4</f>
        <v>15267.014740517516</v>
      </c>
      <c r="BK22" s="22">
        <f>((Data!$AJ$8*'Intermediate calculations'!BK4)+Data!$AK$8)*Drivers!BL4</f>
        <v>15344.950407750386</v>
      </c>
    </row>
    <row r="23" spans="1:63" x14ac:dyDescent="0.25">
      <c r="A23" t="s">
        <v>340</v>
      </c>
      <c r="B23" t="s">
        <v>322</v>
      </c>
      <c r="C23" s="22">
        <f>C22/Drivers!D4</f>
        <v>2.9999585060087078E-4</v>
      </c>
      <c r="D23" s="22">
        <f>D22/Drivers!E4</f>
        <v>3.2768674631716946E-4</v>
      </c>
      <c r="E23" s="22">
        <f>E22/Drivers!F4</f>
        <v>3.0874567106375841E-4</v>
      </c>
      <c r="F23" s="22">
        <f>F22/Drivers!G4</f>
        <v>2.8611978427476583E-4</v>
      </c>
      <c r="G23" s="22">
        <f>G22/Drivers!H4</f>
        <v>2.3074613908829981E-4</v>
      </c>
      <c r="H23" s="22">
        <f>H22/Drivers!I4</f>
        <v>1.7086691161773848E-4</v>
      </c>
      <c r="I23" s="22">
        <f>I22/Drivers!J4</f>
        <v>2.0312013838873316E-4</v>
      </c>
      <c r="J23" s="22">
        <f>J22/Drivers!K4</f>
        <v>1.9819733014703986E-4</v>
      </c>
      <c r="K23" s="22">
        <f>K22/Drivers!L4</f>
        <v>1.9916551936644304E-4</v>
      </c>
      <c r="L23" s="22">
        <f>L22/Drivers!M4</f>
        <v>2.0839656368500879E-4</v>
      </c>
      <c r="M23" s="22">
        <f>M22/Drivers!N4</f>
        <v>2.1748940372944957E-4</v>
      </c>
      <c r="N23" s="22">
        <f>N22/Drivers!O4</f>
        <v>2.093424028478993E-4</v>
      </c>
      <c r="O23" s="22">
        <f>O22/Drivers!P4</f>
        <v>1.8981206287294901E-4</v>
      </c>
      <c r="P23" s="22">
        <f>P22/Drivers!Q4</f>
        <v>1.8750322672504894E-4</v>
      </c>
      <c r="Q23" s="22">
        <f>Q22/Drivers!R4</f>
        <v>1.941147700406055E-4</v>
      </c>
      <c r="R23" s="22">
        <f>R22/Drivers!S4</f>
        <v>2.1052367325130275E-4</v>
      </c>
      <c r="S23" s="22">
        <f>S22/Drivers!T4</f>
        <v>2.1777929095888654E-4</v>
      </c>
      <c r="T23" s="22">
        <f>T22/Drivers!U4</f>
        <v>2.4796538598652329E-4</v>
      </c>
      <c r="U23" s="22">
        <f>U22/Drivers!V4</f>
        <v>2.2780475107901408E-4</v>
      </c>
      <c r="V23" s="22">
        <f>V22/Drivers!W4</f>
        <v>2.1395878610958166E-4</v>
      </c>
      <c r="W23" s="22">
        <f>W22/Drivers!X4</f>
        <v>2.0383871250158445E-4</v>
      </c>
      <c r="X23" s="22">
        <f>X22/Drivers!Y4</f>
        <v>1.788318060327929E-4</v>
      </c>
      <c r="Y23" s="22">
        <f>Y22/Drivers!Z4</f>
        <v>2.0553175364168002E-4</v>
      </c>
      <c r="Z23" s="22">
        <f>Z22/Drivers!AA4</f>
        <v>2.0555161086265595E-4</v>
      </c>
      <c r="AA23" s="22">
        <f>AA22/Drivers!AB4</f>
        <v>2.0555650316681558E-4</v>
      </c>
      <c r="AB23" s="22">
        <f>AB22/Drivers!AC4</f>
        <v>2.0554155731482504E-4</v>
      </c>
      <c r="AC23" s="22">
        <f>AC22/Drivers!AD4</f>
        <v>2.0552574473632214E-4</v>
      </c>
      <c r="AD23" s="22">
        <f>AD22/Drivers!AE4</f>
        <v>2.0551822145533556E-4</v>
      </c>
      <c r="AE23" s="22">
        <f>AE22/Drivers!AF4</f>
        <v>2.0551320376205334E-4</v>
      </c>
      <c r="AF23" s="22">
        <f>AF22/Drivers!AG4</f>
        <v>2.0548900090416162E-4</v>
      </c>
      <c r="AG23" s="22">
        <f>AG22/Drivers!AH4</f>
        <v>2.0529344701507017E-4</v>
      </c>
      <c r="AH23" s="22">
        <f>AH22/Drivers!AI4</f>
        <v>2.053211403477438E-4</v>
      </c>
      <c r="AI23" s="22">
        <f>AI22/Drivers!AJ4</f>
        <v>2.0534381796599827E-4</v>
      </c>
      <c r="AJ23" s="22">
        <f>AJ22/Drivers!AK4</f>
        <v>2.0536603714724249E-4</v>
      </c>
      <c r="AK23" s="22">
        <f>AK22/Drivers!AL4</f>
        <v>2.0539484323132073E-4</v>
      </c>
      <c r="AL23" s="22">
        <f>AL22/Drivers!AM4</f>
        <v>2.0542312244518275E-4</v>
      </c>
      <c r="AM23" s="22">
        <f>AM22/Drivers!AN4</f>
        <v>2.0545551883294021E-4</v>
      </c>
      <c r="AN23" s="22">
        <f>AN22/Drivers!AO4</f>
        <v>2.054858064012002E-4</v>
      </c>
      <c r="AO23" s="22">
        <f>AO22/Drivers!AP4</f>
        <v>2.0551838670857485E-4</v>
      </c>
      <c r="AP23" s="22">
        <f>AP22/Drivers!AQ4</f>
        <v>2.0554729671330208E-4</v>
      </c>
      <c r="AQ23" s="22">
        <f>AQ22/Drivers!AR4</f>
        <v>2.0557674347669908E-4</v>
      </c>
      <c r="AR23" s="22">
        <f>AR22/Drivers!AS4</f>
        <v>2.0561752764448491E-4</v>
      </c>
      <c r="AS23" s="22">
        <f>AS22/Drivers!AT4</f>
        <v>2.0566203261930329E-4</v>
      </c>
      <c r="AT23" s="22">
        <f>AT22/Drivers!AU4</f>
        <v>2.0570779670655204E-4</v>
      </c>
      <c r="AU23" s="22">
        <f>AU22/Drivers!AV4</f>
        <v>2.0570128671100658E-4</v>
      </c>
      <c r="AV23" s="22">
        <f>AV22/Drivers!AW4</f>
        <v>2.0319617705186183E-4</v>
      </c>
      <c r="AW23" s="22">
        <f>AW22/Drivers!AX4</f>
        <v>2.0319617705186183E-4</v>
      </c>
      <c r="AX23" s="22">
        <f>AX22/Drivers!AY4</f>
        <v>2.0319617705186183E-4</v>
      </c>
      <c r="AY23" s="22">
        <f>AY22/Drivers!AZ4</f>
        <v>2.0319617705186183E-4</v>
      </c>
      <c r="AZ23" s="22">
        <f>AZ22/Drivers!BA4</f>
        <v>2.0319617705186183E-4</v>
      </c>
      <c r="BA23" s="22">
        <f>BA22/Drivers!BB4</f>
        <v>2.0319617705186183E-4</v>
      </c>
      <c r="BB23" s="22">
        <f>BB22/Drivers!BC4</f>
        <v>2.0319617705186183E-4</v>
      </c>
      <c r="BC23" s="22">
        <f>BC22/Drivers!BD4</f>
        <v>2.0319617705186183E-4</v>
      </c>
      <c r="BD23" s="22">
        <f>BD22/Drivers!BE4</f>
        <v>2.0319617705186183E-4</v>
      </c>
      <c r="BE23" s="22">
        <f>BE22/Drivers!BF4</f>
        <v>2.0319617705186183E-4</v>
      </c>
      <c r="BF23" s="22">
        <f>BF22/Drivers!BG4</f>
        <v>2.0319617705186183E-4</v>
      </c>
      <c r="BG23" s="22">
        <f>BG22/Drivers!BH4</f>
        <v>2.0319617705186183E-4</v>
      </c>
      <c r="BH23" s="22">
        <f>BH22/Drivers!BI4</f>
        <v>2.0319617705186183E-4</v>
      </c>
      <c r="BI23" s="22">
        <f>BI22/Drivers!BJ4</f>
        <v>2.0319617705186183E-4</v>
      </c>
      <c r="BJ23" s="22">
        <f>BJ22/Drivers!BK4</f>
        <v>2.0319617705186183E-4</v>
      </c>
      <c r="BK23" s="22">
        <f>BK22/Drivers!BL4</f>
        <v>2.0319617705186183E-4</v>
      </c>
    </row>
    <row r="24" spans="1:63" x14ac:dyDescent="0.25">
      <c r="A24" t="s">
        <v>340</v>
      </c>
      <c r="B24" t="s">
        <v>663</v>
      </c>
      <c r="C24" s="22">
        <f>C23*1000</f>
        <v>0.29999585060087075</v>
      </c>
      <c r="D24" s="22">
        <f t="shared" ref="D24:X24" si="8">D23*1000</f>
        <v>0.32768674631716949</v>
      </c>
      <c r="E24" s="22">
        <f t="shared" si="8"/>
        <v>0.30874567106375839</v>
      </c>
      <c r="F24" s="22">
        <f t="shared" si="8"/>
        <v>0.28611978427476581</v>
      </c>
      <c r="G24" s="22">
        <f t="shared" si="8"/>
        <v>0.2307461390882998</v>
      </c>
      <c r="H24" s="22">
        <f t="shared" si="8"/>
        <v>0.17086691161773848</v>
      </c>
      <c r="I24" s="22">
        <f t="shared" si="8"/>
        <v>0.20312013838873316</v>
      </c>
      <c r="J24" s="22">
        <f t="shared" si="8"/>
        <v>0.19819733014703986</v>
      </c>
      <c r="K24" s="22">
        <f t="shared" si="8"/>
        <v>0.19916551936644303</v>
      </c>
      <c r="L24" s="22">
        <f t="shared" si="8"/>
        <v>0.20839656368500878</v>
      </c>
      <c r="M24" s="22">
        <f t="shared" si="8"/>
        <v>0.21748940372944958</v>
      </c>
      <c r="N24" s="22">
        <f t="shared" si="8"/>
        <v>0.20934240284789929</v>
      </c>
      <c r="O24" s="22">
        <f t="shared" si="8"/>
        <v>0.18981206287294902</v>
      </c>
      <c r="P24" s="22">
        <f t="shared" si="8"/>
        <v>0.18750322672504893</v>
      </c>
      <c r="Q24" s="22">
        <f t="shared" si="8"/>
        <v>0.19411477004060551</v>
      </c>
      <c r="R24" s="22">
        <f t="shared" si="8"/>
        <v>0.21052367325130275</v>
      </c>
      <c r="S24" s="22">
        <f t="shared" si="8"/>
        <v>0.21777929095888654</v>
      </c>
      <c r="T24" s="22">
        <f t="shared" si="8"/>
        <v>0.24796538598652329</v>
      </c>
      <c r="U24" s="22">
        <f t="shared" si="8"/>
        <v>0.22780475107901407</v>
      </c>
      <c r="V24" s="22">
        <f t="shared" si="8"/>
        <v>0.21395878610958166</v>
      </c>
      <c r="W24" s="22">
        <f t="shared" si="8"/>
        <v>0.20383871250158445</v>
      </c>
      <c r="X24" s="22">
        <f t="shared" si="8"/>
        <v>0.17883180603279289</v>
      </c>
      <c r="Y24" s="22">
        <f t="shared" ref="Y24" si="9">Y23*1000</f>
        <v>0.20553175364168003</v>
      </c>
      <c r="Z24" s="22">
        <f t="shared" ref="Z24" si="10">Z23*1000</f>
        <v>0.20555161086265594</v>
      </c>
      <c r="AA24" s="22">
        <f t="shared" ref="AA24" si="11">AA23*1000</f>
        <v>0.20555650316681559</v>
      </c>
      <c r="AB24" s="22">
        <f t="shared" ref="AB24" si="12">AB23*1000</f>
        <v>0.20554155731482504</v>
      </c>
      <c r="AC24" s="22">
        <f t="shared" ref="AC24" si="13">AC23*1000</f>
        <v>0.20552574473632215</v>
      </c>
      <c r="AD24" s="22">
        <f t="shared" ref="AD24" si="14">AD23*1000</f>
        <v>0.20551822145533558</v>
      </c>
      <c r="AE24" s="22">
        <f t="shared" ref="AE24" si="15">AE23*1000</f>
        <v>0.20551320376205334</v>
      </c>
      <c r="AF24" s="22">
        <f t="shared" ref="AF24" si="16">AF23*1000</f>
        <v>0.20548900090416161</v>
      </c>
      <c r="AG24" s="22">
        <f t="shared" ref="AG24" si="17">AG23*1000</f>
        <v>0.20529344701507016</v>
      </c>
      <c r="AH24" s="22">
        <f t="shared" ref="AH24" si="18">AH23*1000</f>
        <v>0.20532114034774379</v>
      </c>
      <c r="AI24" s="22">
        <f t="shared" ref="AI24" si="19">AI23*1000</f>
        <v>0.20534381796599827</v>
      </c>
      <c r="AJ24" s="22">
        <f t="shared" ref="AJ24" si="20">AJ23*1000</f>
        <v>0.2053660371472425</v>
      </c>
      <c r="AK24" s="22">
        <f t="shared" ref="AK24" si="21">AK23*1000</f>
        <v>0.20539484323132073</v>
      </c>
      <c r="AL24" s="22">
        <f t="shared" ref="AL24" si="22">AL23*1000</f>
        <v>0.20542312244518277</v>
      </c>
      <c r="AM24" s="22">
        <f t="shared" ref="AM24" si="23">AM23*1000</f>
        <v>0.20545551883294022</v>
      </c>
      <c r="AN24" s="22">
        <f t="shared" ref="AN24" si="24">AN23*1000</f>
        <v>0.20548580640120021</v>
      </c>
      <c r="AO24" s="22">
        <f t="shared" ref="AO24" si="25">AO23*1000</f>
        <v>0.20551838670857486</v>
      </c>
      <c r="AP24" s="22">
        <f t="shared" ref="AP24" si="26">AP23*1000</f>
        <v>0.20554729671330207</v>
      </c>
      <c r="AQ24" s="22">
        <f t="shared" ref="AQ24" si="27">AQ23*1000</f>
        <v>0.20557674347669908</v>
      </c>
      <c r="AR24" s="22">
        <f t="shared" ref="AR24" si="28">AR23*1000</f>
        <v>0.2056175276444849</v>
      </c>
      <c r="AS24" s="22">
        <f t="shared" ref="AS24" si="29">AS23*1000</f>
        <v>0.2056620326193033</v>
      </c>
      <c r="AT24" s="22">
        <f t="shared" ref="AT24" si="30">AT23*1000</f>
        <v>0.20570779670655204</v>
      </c>
      <c r="AU24" s="22">
        <f t="shared" ref="AU24" si="31">AU23*1000</f>
        <v>0.20570128671100657</v>
      </c>
      <c r="AV24" s="22">
        <f t="shared" ref="AV24" si="32">AV23*1000</f>
        <v>0.20319617705186183</v>
      </c>
      <c r="AW24" s="22">
        <f t="shared" ref="AW24" si="33">AW23*1000</f>
        <v>0.20319617705186183</v>
      </c>
      <c r="AX24" s="22">
        <f t="shared" ref="AX24" si="34">AX23*1000</f>
        <v>0.20319617705186183</v>
      </c>
      <c r="AY24" s="22">
        <f t="shared" ref="AY24" si="35">AY23*1000</f>
        <v>0.20319617705186183</v>
      </c>
      <c r="AZ24" s="22">
        <f t="shared" ref="AZ24" si="36">AZ23*1000</f>
        <v>0.20319617705186183</v>
      </c>
      <c r="BA24" s="22">
        <f t="shared" ref="BA24" si="37">BA23*1000</f>
        <v>0.20319617705186183</v>
      </c>
      <c r="BB24" s="22">
        <f t="shared" ref="BB24" si="38">BB23*1000</f>
        <v>0.20319617705186183</v>
      </c>
      <c r="BC24" s="22">
        <f t="shared" ref="BC24" si="39">BC23*1000</f>
        <v>0.20319617705186183</v>
      </c>
      <c r="BD24" s="22">
        <f t="shared" ref="BD24" si="40">BD23*1000</f>
        <v>0.20319617705186183</v>
      </c>
      <c r="BE24" s="22">
        <f t="shared" ref="BE24" si="41">BE23*1000</f>
        <v>0.20319617705186183</v>
      </c>
      <c r="BF24" s="22">
        <f t="shared" ref="BF24" si="42">BF23*1000</f>
        <v>0.20319617705186183</v>
      </c>
      <c r="BG24" s="22">
        <f t="shared" ref="BG24" si="43">BG23*1000</f>
        <v>0.20319617705186183</v>
      </c>
      <c r="BH24" s="22">
        <f t="shared" ref="BH24" si="44">BH23*1000</f>
        <v>0.20319617705186183</v>
      </c>
      <c r="BI24" s="22">
        <f t="shared" ref="BI24" si="45">BI23*1000</f>
        <v>0.20319617705186183</v>
      </c>
      <c r="BJ24" s="22">
        <f t="shared" ref="BJ24" si="46">BJ23*1000</f>
        <v>0.20319617705186183</v>
      </c>
      <c r="BK24" s="22">
        <f t="shared" ref="BK24" si="47">BK23*1000</f>
        <v>0.20319617705186183</v>
      </c>
    </row>
    <row r="25" spans="1:63" x14ac:dyDescent="0.25">
      <c r="A25" t="s">
        <v>817</v>
      </c>
      <c r="C25" s="22">
        <f>Data!C21</f>
        <v>747.58015507693869</v>
      </c>
      <c r="D25" s="22">
        <f>Data!D21</f>
        <v>590.47220402049277</v>
      </c>
      <c r="E25" s="22">
        <f>Data!E21</f>
        <v>569.38006615729716</v>
      </c>
      <c r="F25" s="22">
        <f>Data!F21</f>
        <v>566.44789692123072</v>
      </c>
      <c r="G25" s="22">
        <f>Data!G21</f>
        <v>742.85362090363867</v>
      </c>
      <c r="H25" s="22">
        <f>Data!H21</f>
        <v>995.52503048103245</v>
      </c>
      <c r="I25" s="22">
        <f>Data!I21</f>
        <v>834.31243407359318</v>
      </c>
      <c r="J25" s="22">
        <f>Data!J21</f>
        <v>835.99741053944376</v>
      </c>
      <c r="K25" s="22">
        <f>Data!K21</f>
        <v>807.07358113668761</v>
      </c>
      <c r="L25" s="22">
        <f>Data!L21</f>
        <v>748.63713691587566</v>
      </c>
      <c r="M25" s="22">
        <f>Data!M21</f>
        <v>716.42781303590107</v>
      </c>
      <c r="N25" s="22">
        <f>Data!N21</f>
        <v>756.90571182634426</v>
      </c>
      <c r="O25" s="22">
        <f>Data!O21</f>
        <v>752.63780790236967</v>
      </c>
      <c r="P25" s="22">
        <f>Data!P21</f>
        <v>733.6180799048368</v>
      </c>
      <c r="Q25" s="22">
        <f>Data!Q21</f>
        <v>701.35025005281352</v>
      </c>
      <c r="R25" s="22">
        <f>Data!R21</f>
        <v>630.46516734678903</v>
      </c>
      <c r="S25" s="22">
        <f>Data!S21</f>
        <v>614.48619189756312</v>
      </c>
      <c r="T25" s="22">
        <f>Data!T21</f>
        <v>516.87884312506992</v>
      </c>
      <c r="U25" s="22">
        <f>Data!U21</f>
        <v>554.64143311323846</v>
      </c>
      <c r="V25" s="22">
        <f>Data!V21</f>
        <v>572.18059101466702</v>
      </c>
      <c r="W25" s="22">
        <f>Data!W21</f>
        <v>584.78636599310846</v>
      </c>
      <c r="X25" s="22">
        <f>Data!X21</f>
        <v>650.3914314253102</v>
      </c>
      <c r="Y25" s="22">
        <f>((Data!$AJ$21*LN('Intermediate calculations'!Y2))+Data!$AK$21)</f>
        <v>565.56709991308276</v>
      </c>
      <c r="Z25" s="22">
        <f>((Data!$AJ$21*LN('Intermediate calculations'!Z2))+Data!$AK$21)</f>
        <v>558.67068520624093</v>
      </c>
      <c r="AA25" s="22">
        <f>((Data!$AJ$21*LN('Intermediate calculations'!AA2))+Data!$AK$21)</f>
        <v>552.19249937052302</v>
      </c>
      <c r="AB25" s="22">
        <f>((Data!$AJ$21*LN('Intermediate calculations'!AB2))+Data!$AK$21)</f>
        <v>546.08470329962574</v>
      </c>
      <c r="AC25" s="22">
        <f>((Data!$AJ$21*LN('Intermediate calculations'!AC2))+Data!$AK$21)</f>
        <v>540.30722384465673</v>
      </c>
      <c r="AD25" s="22">
        <f>((Data!$AJ$21*LN('Intermediate calculations'!AD2))+Data!$AK$21)</f>
        <v>534.82615883818357</v>
      </c>
      <c r="AE25" s="22">
        <f>((Data!$AJ$21*LN('Intermediate calculations'!AE2))+Data!$AK$21)</f>
        <v>529.61257166890118</v>
      </c>
      <c r="AF25" s="22">
        <f>((Data!$AJ$21*LN('Intermediate calculations'!AF2))+Data!$AK$21)</f>
        <v>524.64156653379541</v>
      </c>
      <c r="AG25" s="22">
        <f>((Data!$AJ$21*LN('Intermediate calculations'!AG2))+Data!$AK$21)</f>
        <v>519.89156941990007</v>
      </c>
      <c r="AH25" s="22">
        <f>((Data!$AJ$21*LN('Intermediate calculations'!AH2))+Data!$AK$21)</f>
        <v>515.34376222472656</v>
      </c>
      <c r="AI25" s="22">
        <f>((Data!$AJ$21*LN('Intermediate calculations'!AI2))+Data!$AK$21)</f>
        <v>510.98163247012616</v>
      </c>
      <c r="AJ25" s="22">
        <f>((Data!$AJ$21*LN('Intermediate calculations'!AJ2))+Data!$AK$21)</f>
        <v>506.7906113832538</v>
      </c>
      <c r="AK25" s="22">
        <f>((Data!$AJ$21*LN('Intermediate calculations'!AK2))+Data!$AK$21)</f>
        <v>502.75778031811149</v>
      </c>
      <c r="AL25" s="22">
        <f>((Data!$AJ$21*LN('Intermediate calculations'!AL2))+Data!$AK$21)</f>
        <v>498.87163059400189</v>
      </c>
      <c r="AM25" s="22">
        <f>((Data!$AJ$21*LN('Intermediate calculations'!AM2))+Data!$AK$21)</f>
        <v>495.1218654961454</v>
      </c>
      <c r="AN25" s="22">
        <f>((Data!$AJ$21*LN('Intermediate calculations'!AN2))+Data!$AK$21)</f>
        <v>491.49923585666915</v>
      </c>
      <c r="AO25" s="22">
        <f>((Data!$AJ$21*LN('Intermediate calculations'!AO2))+Data!$AK$21)</f>
        <v>487.99540260537441</v>
      </c>
      <c r="AP25" s="22">
        <f>((Data!$AJ$21*LN('Intermediate calculations'!AP2))+Data!$AK$21)</f>
        <v>484.60282114982732</v>
      </c>
      <c r="AQ25" s="22">
        <f>((Data!$AJ$21*LN('Intermediate calculations'!AQ2))+Data!$AK$21)</f>
        <v>481.31464355228115</v>
      </c>
      <c r="AR25" s="22">
        <f>((Data!$AJ$21*LN('Intermediate calculations'!AR2))+Data!$AK$21)</f>
        <v>478.12463531410947</v>
      </c>
      <c r="AS25" s="22">
        <f>((Data!$AJ$21*LN('Intermediate calculations'!AS2))+Data!$AK$21)</f>
        <v>475.02710422594453</v>
      </c>
      <c r="AT25" s="22">
        <f>((Data!$AJ$21*LN('Intermediate calculations'!AT2))+Data!$AK$21)</f>
        <v>472.01683924321225</v>
      </c>
      <c r="AU25" s="22">
        <f>((Data!$AJ$21*LN('Intermediate calculations'!AU2))+Data!$AK$21)</f>
        <v>469.08905773826399</v>
      </c>
      <c r="AV25" s="22">
        <f>((Data!$AJ$21*LN('Intermediate calculations'!AV2))+Data!$AK$21)</f>
        <v>466.23935978824318</v>
      </c>
      <c r="AW25" s="22">
        <f>((Data!$AJ$21*LN('Intermediate calculations'!AW2))+Data!$AK$21)</f>
        <v>463.46368840173949</v>
      </c>
      <c r="AX25" s="22">
        <f>((Data!$AJ$21*LN('Intermediate calculations'!AX2))+Data!$AK$21)</f>
        <v>460.75829478176996</v>
      </c>
      <c r="AY25" s="22">
        <f>((Data!$AJ$21*LN('Intermediate calculations'!AY2))+Data!$AK$21)</f>
        <v>458.11970787867688</v>
      </c>
      <c r="AZ25" s="22">
        <f>((Data!$AJ$21*LN('Intermediate calculations'!AZ2))+Data!$AK$21)</f>
        <v>455.54470761248751</v>
      </c>
      <c r="BA25" s="22">
        <f>((Data!$AJ$21*LN('Intermediate calculations'!BA2))+Data!$AK$21)</f>
        <v>453.03030124651184</v>
      </c>
      <c r="BB25" s="22">
        <f>((Data!$AJ$21*LN('Intermediate calculations'!BB2))+Data!$AK$21)</f>
        <v>450.57370247738191</v>
      </c>
      <c r="BC25" s="22">
        <f>((Data!$AJ$21*LN('Intermediate calculations'!BC2))+Data!$AK$21)</f>
        <v>448.17231287515489</v>
      </c>
      <c r="BD25" s="22">
        <f>((Data!$AJ$21*LN('Intermediate calculations'!BD2))+Data!$AK$21)</f>
        <v>445.82370536348645</v>
      </c>
      <c r="BE25" s="22">
        <f>((Data!$AJ$21*LN('Intermediate calculations'!BE2))+Data!$AK$21)</f>
        <v>443.52560947656553</v>
      </c>
      <c r="BF25" s="22">
        <f>((Data!$AJ$21*LN('Intermediate calculations'!BF2))+Data!$AK$21)</f>
        <v>441.27589816831295</v>
      </c>
      <c r="BG25" s="22">
        <f>((Data!$AJ$21*LN('Intermediate calculations'!BG2))+Data!$AK$21)</f>
        <v>439.0725759817629</v>
      </c>
      <c r="BH25" s="22">
        <f>((Data!$AJ$21*LN('Intermediate calculations'!BH2))+Data!$AK$21)</f>
        <v>436.9137684137126</v>
      </c>
      <c r="BI25" s="22">
        <f>((Data!$AJ$21*LN('Intermediate calculations'!BI2))+Data!$AK$21)</f>
        <v>434.79771233259515</v>
      </c>
      <c r="BJ25" s="22">
        <f>((Data!$AJ$21*LN('Intermediate calculations'!BJ2))+Data!$AK$21)</f>
        <v>432.72274732684025</v>
      </c>
      <c r="BK25" s="22">
        <f>((Data!$AJ$21*LN('Intermediate calculations'!BK2))+Data!$AK$21)</f>
        <v>430.68730787735745</v>
      </c>
    </row>
    <row r="26" spans="1:63" x14ac:dyDescent="0.25">
      <c r="A26" t="s">
        <v>664</v>
      </c>
      <c r="B26" t="s">
        <v>663</v>
      </c>
      <c r="C26" s="51">
        <f>(C19+C22)*ttokg/Drivers!D4</f>
        <v>4.9999308433478458</v>
      </c>
      <c r="D26" s="51">
        <f>(D19+D22)*ttokg/Drivers!E4</f>
        <v>5.4614457719528247</v>
      </c>
      <c r="E26" s="51">
        <f>(E19+E22)*ttokg/Drivers!F4</f>
        <v>5.1457611843959734</v>
      </c>
      <c r="F26" s="51">
        <f>(F19+F22)*ttokg/Drivers!G4</f>
        <v>4.7686630712460971</v>
      </c>
      <c r="G26" s="51">
        <f>(G19+G22)*ttokg/Drivers!H4</f>
        <v>3.8457689848049967</v>
      </c>
      <c r="H26" s="51">
        <f>(H19+H22)*ttokg/Drivers!I4</f>
        <v>2.8477818602956413</v>
      </c>
      <c r="I26" s="51">
        <f>(I19+I22)*ttokg/Drivers!J4</f>
        <v>3.3853356398122196</v>
      </c>
      <c r="J26" s="51">
        <f>(J19+J22)*ttokg/Drivers!K4</f>
        <v>3.3032888357839978</v>
      </c>
      <c r="K26" s="51">
        <f>(K19+K22)*ttokg/Drivers!L4</f>
        <v>3.3194253227740504</v>
      </c>
      <c r="L26" s="51">
        <f>(L19+L22)*ttokg/Drivers!M4</f>
        <v>3.4732760614168128</v>
      </c>
      <c r="M26" s="51">
        <f>(M19+M22)*ttokg/Drivers!N4</f>
        <v>3.6248233954908264</v>
      </c>
      <c r="N26" s="51">
        <f>(N19+N22)*ttokg/Drivers!O4</f>
        <v>3.4890400474649885</v>
      </c>
      <c r="O26" s="51">
        <f>(O19+O22)*ttokg/Drivers!P4</f>
        <v>3.163534381215817</v>
      </c>
      <c r="P26" s="51">
        <f>(P19+P22)*ttokg/Drivers!Q4</f>
        <v>3.1250537787508157</v>
      </c>
      <c r="Q26" s="51">
        <f>(Q19+Q22)*ttokg/Drivers!R4</f>
        <v>3.2352461673434254</v>
      </c>
      <c r="R26" s="51">
        <f>(R19+R22)*ttokg/Drivers!S4</f>
        <v>3.5087278875217125</v>
      </c>
      <c r="S26" s="51">
        <f>(S19+S22)*ttokg/Drivers!T4</f>
        <v>3.6296548493147758</v>
      </c>
      <c r="T26" s="51">
        <f>(T19+T22)*ttokg/Drivers!U4</f>
        <v>4.132756433108721</v>
      </c>
      <c r="U26" s="51">
        <f>(U19+U22)*ttokg/Drivers!V4</f>
        <v>3.7967458513169015</v>
      </c>
      <c r="V26" s="51">
        <f>(V19+V22)*ttokg/Drivers!W4</f>
        <v>3.5659797684930274</v>
      </c>
      <c r="W26" s="51">
        <f>(W19+W22)*ttokg/Drivers!X4</f>
        <v>3.3973118750264071</v>
      </c>
      <c r="X26" s="51">
        <f>(X19+X22)*ttokg/Drivers!Y4</f>
        <v>2.9805301005465483</v>
      </c>
      <c r="Y26" s="51">
        <f>(Y19+Y22)*ttokg/Drivers!Z4</f>
        <v>3.4255292273613329</v>
      </c>
      <c r="Z26" s="51">
        <f>(Z19+Z22)*ttokg/Drivers!AA4</f>
        <v>3.4258601810442646</v>
      </c>
      <c r="AA26" s="51">
        <f>(AA19+AA22)*ttokg/Drivers!AB4</f>
        <v>3.4259417194469242</v>
      </c>
      <c r="AB26" s="51">
        <f>(AB19+AB22)*ttokg/Drivers!AC4</f>
        <v>3.4256926219137491</v>
      </c>
      <c r="AC26" s="51">
        <f>(AC19+AC22)*ttokg/Drivers!AD4</f>
        <v>3.4254290789387016</v>
      </c>
      <c r="AD26" s="51">
        <f>(AD19+AD22)*ttokg/Drivers!AE4</f>
        <v>3.4253036909222589</v>
      </c>
      <c r="AE26" s="51">
        <f>(AE19+AE22)*ttokg/Drivers!AF4</f>
        <v>3.4252200627008875</v>
      </c>
      <c r="AF26" s="51">
        <f>(AF19+AF22)*ttokg/Drivers!AG4</f>
        <v>3.4248166817360257</v>
      </c>
      <c r="AG26" s="51">
        <f>(AG19+AG22)*ttokg/Drivers!AH4</f>
        <v>3.4215574502511683</v>
      </c>
      <c r="AH26" s="51">
        <f>(AH19+AH22)*ttokg/Drivers!AI4</f>
        <v>3.4220190057957289</v>
      </c>
      <c r="AI26" s="51">
        <f>(AI19+AI22)*ttokg/Drivers!AJ4</f>
        <v>3.4223969660999702</v>
      </c>
      <c r="AJ26" s="51">
        <f>(AJ19+AJ22)*ttokg/Drivers!AK4</f>
        <v>3.4227672857873741</v>
      </c>
      <c r="AK26" s="51">
        <f>(AK19+AK22)*ttokg/Drivers!AL4</f>
        <v>3.4232473871886784</v>
      </c>
      <c r="AL26" s="51">
        <f>(AL19+AL22)*ttokg/Drivers!AM4</f>
        <v>3.4237187074197113</v>
      </c>
      <c r="AM26" s="51">
        <f>(AM19+AM22)*ttokg/Drivers!AN4</f>
        <v>3.4242586472156691</v>
      </c>
      <c r="AN26" s="51">
        <f>(AN19+AN22)*ttokg/Drivers!AO4</f>
        <v>3.4247634400200031</v>
      </c>
      <c r="AO26" s="51">
        <f>(AO19+AO22)*ttokg/Drivers!AP4</f>
        <v>3.4253064451429127</v>
      </c>
      <c r="AP26" s="51">
        <f>(AP19+AP22)*ttokg/Drivers!AQ4</f>
        <v>3.4257882785550331</v>
      </c>
      <c r="AQ26" s="51">
        <f>(AQ19+AQ22)*ttokg/Drivers!AR4</f>
        <v>3.4262790579449844</v>
      </c>
      <c r="AR26" s="51">
        <f>(AR19+AR22)*ttokg/Drivers!AS4</f>
        <v>3.4269587940747477</v>
      </c>
      <c r="AS26" s="51">
        <f>(AS19+AS22)*ttokg/Drivers!AT4</f>
        <v>3.4277005436550541</v>
      </c>
      <c r="AT26" s="51">
        <f>(AT19+AT22)*ttokg/Drivers!AU4</f>
        <v>3.4284632784425333</v>
      </c>
      <c r="AU26" s="51">
        <f>(AU19+AU22)*ttokg/Drivers!AV4</f>
        <v>3.4283547785167756</v>
      </c>
      <c r="AV26" s="51">
        <f>(AV19+AV22)*ttokg/Drivers!AW4</f>
        <v>3.3866029508643636</v>
      </c>
      <c r="AW26" s="51">
        <f>(AW19+AW22)*ttokg/Drivers!AX4</f>
        <v>3.3866029508643631</v>
      </c>
      <c r="AX26" s="51">
        <f>(AX19+AX22)*ttokg/Drivers!AY4</f>
        <v>3.3866029508643636</v>
      </c>
      <c r="AY26" s="51">
        <f>(AY19+AY22)*ttokg/Drivers!AZ4</f>
        <v>3.3866029508643636</v>
      </c>
      <c r="AZ26" s="51">
        <f>(AZ19+AZ22)*ttokg/Drivers!BA4</f>
        <v>3.3866029508643636</v>
      </c>
      <c r="BA26" s="51">
        <f>(BA19+BA22)*ttokg/Drivers!BB4</f>
        <v>3.3866029508643631</v>
      </c>
      <c r="BB26" s="51">
        <f>(BB19+BB22)*ttokg/Drivers!BC4</f>
        <v>3.3866029508643636</v>
      </c>
      <c r="BC26" s="51">
        <f>(BC19+BC22)*ttokg/Drivers!BD4</f>
        <v>3.3866029508643636</v>
      </c>
      <c r="BD26" s="51">
        <f>(BD19+BD22)*ttokg/Drivers!BE4</f>
        <v>3.3866029508643636</v>
      </c>
      <c r="BE26" s="51">
        <f>(BE19+BE22)*ttokg/Drivers!BF4</f>
        <v>3.3866029508643631</v>
      </c>
      <c r="BF26" s="51">
        <f>(BF19+BF22)*ttokg/Drivers!BG4</f>
        <v>3.386602950864364</v>
      </c>
      <c r="BG26" s="51">
        <f>(BG19+BG22)*ttokg/Drivers!BH4</f>
        <v>3.3866029508643636</v>
      </c>
      <c r="BH26" s="51">
        <f>(BH19+BH22)*ttokg/Drivers!BI4</f>
        <v>3.3866029508643636</v>
      </c>
      <c r="BI26" s="51">
        <f>(BI19+BI22)*ttokg/Drivers!BJ4</f>
        <v>3.3866029508643631</v>
      </c>
      <c r="BJ26" s="51">
        <f>(BJ19+BJ22)*ttokg/Drivers!BK4</f>
        <v>3.3866029508643631</v>
      </c>
      <c r="BK26" s="51">
        <f>(BK19+BK22)*ttokg/Drivers!BL4</f>
        <v>3.3866029508643636</v>
      </c>
    </row>
    <row r="27" spans="1:63" x14ac:dyDescent="0.25">
      <c r="A27" t="s">
        <v>333</v>
      </c>
      <c r="B27" t="s">
        <v>321</v>
      </c>
      <c r="C27" s="22">
        <v>157160</v>
      </c>
      <c r="D27" s="22">
        <v>178840</v>
      </c>
      <c r="E27" s="22">
        <v>164160</v>
      </c>
      <c r="F27" s="22">
        <v>156060</v>
      </c>
      <c r="G27" s="22">
        <v>125940</v>
      </c>
      <c r="H27" s="22">
        <v>87720</v>
      </c>
      <c r="I27" s="22">
        <v>97720</v>
      </c>
      <c r="J27" s="22">
        <v>94080</v>
      </c>
      <c r="K27" s="22">
        <v>88200</v>
      </c>
      <c r="L27" s="22">
        <v>95660</v>
      </c>
      <c r="M27" s="22">
        <v>98520</v>
      </c>
      <c r="N27" s="22">
        <v>95860</v>
      </c>
      <c r="O27" s="22">
        <v>96340</v>
      </c>
      <c r="P27" s="22">
        <v>105640</v>
      </c>
      <c r="Q27" s="22">
        <v>111120</v>
      </c>
      <c r="R27" s="22">
        <v>124520</v>
      </c>
      <c r="S27" s="22">
        <v>124740</v>
      </c>
      <c r="T27" s="22">
        <v>148520</v>
      </c>
      <c r="U27" s="22">
        <v>149260</v>
      </c>
      <c r="V27" s="22">
        <v>151300</v>
      </c>
      <c r="W27" s="22">
        <v>153460</v>
      </c>
      <c r="X27" s="22">
        <v>139500</v>
      </c>
      <c r="Y27" s="22">
        <f>((Data!$AJ$23*'Intermediate calculations'!Y19)+Data!$AK$23)</f>
        <v>152726.33262627391</v>
      </c>
      <c r="Z27" s="22">
        <f>((Data!$AJ$23*'Intermediate calculations'!Z19)+Data!$AK$23)</f>
        <v>154167.44987415304</v>
      </c>
      <c r="AA27" s="22">
        <f>((Data!$AJ$23*'Intermediate calculations'!AA19)+Data!$AK$23)</f>
        <v>155654.98740174324</v>
      </c>
      <c r="AB27" s="22">
        <f>((Data!$AJ$23*'Intermediate calculations'!AB19)+Data!$AK$23)</f>
        <v>157188.2989529128</v>
      </c>
      <c r="AC27" s="22">
        <f>((Data!$AJ$23*'Intermediate calculations'!AC19)+Data!$AK$23)</f>
        <v>158778.52488403741</v>
      </c>
      <c r="AD27" s="22">
        <f>((Data!$AJ$23*'Intermediate calculations'!AD19)+Data!$AK$23)</f>
        <v>160432.52977483452</v>
      </c>
      <c r="AE27" s="22">
        <f>((Data!$AJ$23*'Intermediate calculations'!AE19)+Data!$AK$23)</f>
        <v>162109.83621300594</v>
      </c>
      <c r="AF27" s="22">
        <f>((Data!$AJ$23*'Intermediate calculations'!AF19)+Data!$AK$23)</f>
        <v>163804.21253251185</v>
      </c>
      <c r="AG27" s="22">
        <f>((Data!$AJ$23*'Intermediate calculations'!AG19)+Data!$AK$23)</f>
        <v>165434.90658057126</v>
      </c>
      <c r="AH27" s="22">
        <f>((Data!$AJ$23*'Intermediate calculations'!AH19)+Data!$AK$23)</f>
        <v>166703.43498261561</v>
      </c>
      <c r="AI27" s="22">
        <f>((Data!$AJ$23*'Intermediate calculations'!AI19)+Data!$AK$23)</f>
        <v>167984.01872321931</v>
      </c>
      <c r="AJ27" s="22">
        <f>((Data!$AJ$23*'Intermediate calculations'!AJ19)+Data!$AK$23)</f>
        <v>169279.23738332378</v>
      </c>
      <c r="AK27" s="22">
        <f>((Data!$AJ$23*'Intermediate calculations'!AK19)+Data!$AK$23)</f>
        <v>170593.16701146538</v>
      </c>
      <c r="AL27" s="22">
        <f>((Data!$AJ$23*'Intermediate calculations'!AL19)+Data!$AK$23)</f>
        <v>171922.11370872191</v>
      </c>
      <c r="AM27" s="22">
        <f>((Data!$AJ$23*'Intermediate calculations'!AM19)+Data!$AK$23)</f>
        <v>173076.45163015582</v>
      </c>
      <c r="AN27" s="22">
        <f>((Data!$AJ$23*'Intermediate calculations'!AN19)+Data!$AK$23)</f>
        <v>174241.12881708855</v>
      </c>
      <c r="AO27" s="22">
        <f>((Data!$AJ$23*'Intermediate calculations'!AO19)+Data!$AK$23)</f>
        <v>175418.770778184</v>
      </c>
      <c r="AP27" s="22">
        <f>((Data!$AJ$23*'Intermediate calculations'!AP19)+Data!$AK$23)</f>
        <v>176606.05019333368</v>
      </c>
      <c r="AQ27" s="22">
        <f>((Data!$AJ$23*'Intermediate calculations'!AQ19)+Data!$AK$23)</f>
        <v>177805.50293839752</v>
      </c>
      <c r="AR27" s="22">
        <f>((Data!$AJ$23*'Intermediate calculations'!AR19)+Data!$AK$23)</f>
        <v>178864.55509985029</v>
      </c>
      <c r="AS27" s="22">
        <f>((Data!$AJ$23*'Intermediate calculations'!AS19)+Data!$AK$23)</f>
        <v>179935.08473301854</v>
      </c>
      <c r="AT27" s="22">
        <f>((Data!$AJ$23*'Intermediate calculations'!AT19)+Data!$AK$23)</f>
        <v>181015.74023158828</v>
      </c>
      <c r="AU27" s="22">
        <f>((Data!$AJ$23*'Intermediate calculations'!AU19)+Data!$AK$23)</f>
        <v>182073.95677655312</v>
      </c>
      <c r="AV27" s="22">
        <f>((Data!$AJ$23*'Intermediate calculations'!AV19)+Data!$AK$23)</f>
        <v>181603.50254813291</v>
      </c>
      <c r="AW27" s="22">
        <f>((Data!$AJ$23*'Intermediate calculations'!AW19)+Data!$AK$23)</f>
        <v>182519.00837616605</v>
      </c>
      <c r="AX27" s="22">
        <f>((Data!$AJ$23*'Intermediate calculations'!AX19)+Data!$AK$23)</f>
        <v>183441.21676558867</v>
      </c>
      <c r="AY27" s="22">
        <f>((Data!$AJ$23*'Intermediate calculations'!AY19)+Data!$AK$23)</f>
        <v>184370.17678690108</v>
      </c>
      <c r="AZ27" s="22">
        <f>((Data!$AJ$23*'Intermediate calculations'!AZ19)+Data!$AK$23)</f>
        <v>185305.93786985669</v>
      </c>
      <c r="BA27" s="22">
        <f>((Data!$AJ$23*'Intermediate calculations'!BA19)+Data!$AK$23)</f>
        <v>186248.54980609176</v>
      </c>
      <c r="BB27" s="22">
        <f>((Data!$AJ$23*'Intermediate calculations'!BB19)+Data!$AK$23)</f>
        <v>187054.0725442805</v>
      </c>
      <c r="BC27" s="22">
        <f>((Data!$AJ$23*'Intermediate calculations'!BC19)+Data!$AK$23)</f>
        <v>187864.59832742187</v>
      </c>
      <c r="BD27" s="22">
        <f>((Data!$AJ$23*'Intermediate calculations'!BD19)+Data!$AK$23)</f>
        <v>188680.15822907549</v>
      </c>
      <c r="BE27" s="22">
        <f>((Data!$AJ$23*'Intermediate calculations'!BE19)+Data!$AK$23)</f>
        <v>189500.78351579665</v>
      </c>
      <c r="BF27" s="22">
        <f>((Data!$AJ$23*'Intermediate calculations'!BF19)+Data!$AK$23)</f>
        <v>190326.50564833492</v>
      </c>
      <c r="BG27" s="22">
        <f>((Data!$AJ$23*'Intermediate calculations'!BG19)+Data!$AK$23)</f>
        <v>191009.3920865347</v>
      </c>
      <c r="BH27" s="22">
        <f>((Data!$AJ$23*'Intermediate calculations'!BH19)+Data!$AK$23)</f>
        <v>191695.76455072645</v>
      </c>
      <c r="BI27" s="22">
        <f>((Data!$AJ$23*'Intermediate calculations'!BI19)+Data!$AK$23)</f>
        <v>192385.64083651503</v>
      </c>
      <c r="BJ27" s="22">
        <f>((Data!$AJ$23*'Intermediate calculations'!BJ19)+Data!$AK$23)</f>
        <v>193079.03883034905</v>
      </c>
      <c r="BK27" s="22">
        <f>((Data!$AJ$23*'Intermediate calculations'!BK19)+Data!$AK$23)</f>
        <v>193775.9765099845</v>
      </c>
    </row>
    <row r="28" spans="1:63" x14ac:dyDescent="0.25">
      <c r="A28" t="s">
        <v>816</v>
      </c>
      <c r="B28" t="s">
        <v>815</v>
      </c>
      <c r="C28" s="22">
        <f>Data!C24</f>
        <v>217.37632200135343</v>
      </c>
      <c r="D28" s="22">
        <f>Data!D24</f>
        <v>182.43533983922441</v>
      </c>
      <c r="E28" s="22">
        <f>Data!E24</f>
        <v>190.5375058012163</v>
      </c>
      <c r="F28" s="22">
        <f>Data!F24</f>
        <v>187.44392961876648</v>
      </c>
      <c r="G28" s="22">
        <f>Data!G24</f>
        <v>233.91106858199078</v>
      </c>
      <c r="H28" s="22">
        <f>Data!H24</f>
        <v>331.02055240676185</v>
      </c>
      <c r="I28" s="22">
        <f>Data!I24</f>
        <v>298.13738680684139</v>
      </c>
      <c r="J28" s="22">
        <f>Data!J24</f>
        <v>302.93782099105391</v>
      </c>
      <c r="K28" s="22">
        <f>Data!K24</f>
        <v>324.02516807184935</v>
      </c>
      <c r="L28" s="22">
        <f>Data!L24</f>
        <v>291.41805349120352</v>
      </c>
      <c r="M28" s="22">
        <f>Data!M24</f>
        <v>272.814221136475</v>
      </c>
      <c r="N28" s="22">
        <f>Data!N24</f>
        <v>273.39449106353061</v>
      </c>
      <c r="O28" s="22">
        <f>Data!O24</f>
        <v>267.49019053642013</v>
      </c>
      <c r="P28" s="22">
        <f>Data!P24</f>
        <v>244.7939244530279</v>
      </c>
      <c r="Q28" s="22">
        <f>Data!Q24</f>
        <v>228.57854595451533</v>
      </c>
      <c r="R28" s="22">
        <f>Data!R24</f>
        <v>203.49543332726975</v>
      </c>
      <c r="S28" s="22">
        <f>Data!S24</f>
        <v>200.47811015517084</v>
      </c>
      <c r="T28" s="22">
        <f>Data!T24</f>
        <v>168.21780706498231</v>
      </c>
      <c r="U28" s="22">
        <f>Data!U24</f>
        <v>167.92588402758949</v>
      </c>
      <c r="V28" s="22">
        <f>Data!V24</f>
        <v>165.07423520689287</v>
      </c>
      <c r="W28" s="22">
        <f>Data!W24</f>
        <v>159.60223145034516</v>
      </c>
      <c r="X28" s="22">
        <f>Data!X24</f>
        <v>174.20152254230294</v>
      </c>
      <c r="Y28" s="22">
        <f>((Data!$AJ$24*LN('Intermediate calculations'!Y2))+Data!$AK$24)</f>
        <v>143.13279435069433</v>
      </c>
      <c r="Z28" s="22">
        <f>((Data!$AJ$24*LN('Intermediate calculations'!Z2))+Data!$AK$24)</f>
        <v>141.87225913644176</v>
      </c>
      <c r="AA28" s="22">
        <f>((Data!$AJ$24*LN('Intermediate calculations'!AA2))+Data!$AK$24)</f>
        <v>140.68816831280071</v>
      </c>
      <c r="AB28" s="22">
        <f>((Data!$AJ$24*LN('Intermediate calculations'!AB2))+Data!$AK$24)</f>
        <v>139.57177778872142</v>
      </c>
      <c r="AC28" s="22">
        <f>((Data!$AJ$24*LN('Intermediate calculations'!AC2))+Data!$AK$24)</f>
        <v>138.51576294445979</v>
      </c>
      <c r="AD28" s="22">
        <f>((Data!$AJ$24*LN('Intermediate calculations'!AD2))+Data!$AK$24)</f>
        <v>137.51392709989949</v>
      </c>
      <c r="AE28" s="22">
        <f>((Data!$AJ$24*LN('Intermediate calculations'!AE2))+Data!$AK$24)</f>
        <v>136.56098118541792</v>
      </c>
      <c r="AF28" s="22">
        <f>((Data!$AJ$24*LN('Intermediate calculations'!AF2))+Data!$AK$24)</f>
        <v>135.65237471533214</v>
      </c>
      <c r="AG28" s="22">
        <f>((Data!$AJ$24*LN('Intermediate calculations'!AG2))+Data!$AK$24)</f>
        <v>134.78416436485497</v>
      </c>
      <c r="AH28" s="22">
        <f>((Data!$AJ$24*LN('Intermediate calculations'!AH2))+Data!$AK$24)</f>
        <v>133.95291053792658</v>
      </c>
      <c r="AI28" s="22">
        <f>((Data!$AJ$24*LN('Intermediate calculations'!AI2))+Data!$AK$24)</f>
        <v>133.15559506335725</v>
      </c>
      <c r="AJ28" s="22">
        <f>((Data!$AJ$24*LN('Intermediate calculations'!AJ2))+Data!$AK$24)</f>
        <v>132.38955504281779</v>
      </c>
      <c r="AK28" s="22">
        <f>((Data!$AJ$24*LN('Intermediate calculations'!AK2))+Data!$AK$24)</f>
        <v>131.65242919020625</v>
      </c>
      <c r="AL28" s="22">
        <f>((Data!$AJ$24*LN('Intermediate calculations'!AL2))+Data!$AK$24)</f>
        <v>130.94211393462308</v>
      </c>
      <c r="AM28" s="22">
        <f>((Data!$AJ$24*LN('Intermediate calculations'!AM2))+Data!$AK$24)</f>
        <v>130.25672722979891</v>
      </c>
      <c r="AN28" s="22">
        <f>((Data!$AJ$24*LN('Intermediate calculations'!AN2))+Data!$AK$24)</f>
        <v>129.59457850138432</v>
      </c>
      <c r="AO28" s="22">
        <f>((Data!$AJ$24*LN('Intermediate calculations'!AO2))+Data!$AK$24)</f>
        <v>128.95414352380905</v>
      </c>
      <c r="AP28" s="22">
        <f>((Data!$AJ$24*LN('Intermediate calculations'!AP2))+Data!$AK$24)</f>
        <v>128.33404328713178</v>
      </c>
      <c r="AQ28" s="22">
        <f>((Data!$AJ$24*LN('Intermediate calculations'!AQ2))+Data!$AK$24)</f>
        <v>127.733026116817</v>
      </c>
      <c r="AR28" s="22">
        <f>((Data!$AJ$24*LN('Intermediate calculations'!AR2))+Data!$AK$24)</f>
        <v>127.14995246349075</v>
      </c>
      <c r="AS28" s="22">
        <f>((Data!$AJ$24*LN('Intermediate calculations'!AS2))+Data!$AK$24)</f>
        <v>126.58378189808082</v>
      </c>
      <c r="AT28" s="22">
        <f>((Data!$AJ$24*LN('Intermediate calculations'!AT2))+Data!$AK$24)</f>
        <v>126.03356193941144</v>
      </c>
      <c r="AU28" s="22">
        <f>((Data!$AJ$24*LN('Intermediate calculations'!AU2))+Data!$AK$24)</f>
        <v>125.49841841288261</v>
      </c>
      <c r="AV28" s="22">
        <f>((Data!$AJ$24*LN('Intermediate calculations'!AV2))+Data!$AK$24)</f>
        <v>124.97754709514982</v>
      </c>
      <c r="AW28" s="22">
        <f>((Data!$AJ$24*LN('Intermediate calculations'!AW2))+Data!$AK$24)</f>
        <v>124.47020644430265</v>
      </c>
      <c r="AX28" s="22">
        <f>((Data!$AJ$24*LN('Intermediate calculations'!AX2))+Data!$AK$24)</f>
        <v>123.97571125058951</v>
      </c>
      <c r="AY28" s="22">
        <f>((Data!$AJ$24*LN('Intermediate calculations'!AY2))+Data!$AK$24)</f>
        <v>123.49342707125868</v>
      </c>
      <c r="AZ28" s="22">
        <f>((Data!$AJ$24*LN('Intermediate calculations'!AZ2))+Data!$AK$24)</f>
        <v>123.02276533610791</v>
      </c>
      <c r="BA28" s="22">
        <f>((Data!$AJ$24*LN('Intermediate calculations'!BA2))+Data!$AK$24)</f>
        <v>122.5631790290216</v>
      </c>
      <c r="BB28" s="22">
        <f>((Data!$AJ$24*LN('Intermediate calculations'!BB2))+Data!$AK$24)</f>
        <v>122.11415886602218</v>
      </c>
      <c r="BC28" s="22">
        <f>((Data!$AJ$24*LN('Intermediate calculations'!BC2))+Data!$AK$24)</f>
        <v>121.67522990286919</v>
      </c>
      <c r="BD28" s="22">
        <f>((Data!$AJ$24*LN('Intermediate calculations'!BD2))+Data!$AK$24)</f>
        <v>121.24594851554498</v>
      </c>
      <c r="BE28" s="22">
        <f>((Data!$AJ$24*LN('Intermediate calculations'!BE2))+Data!$AK$24)</f>
        <v>120.82589970549897</v>
      </c>
      <c r="BF28" s="22">
        <f>((Data!$AJ$24*LN('Intermediate calculations'!BF2))+Data!$AK$24)</f>
        <v>120.41469468861661</v>
      </c>
      <c r="BG28" s="22">
        <f>((Data!$AJ$24*LN('Intermediate calculations'!BG2))+Data!$AK$24)</f>
        <v>120.01196873280439</v>
      </c>
      <c r="BH28" s="22">
        <f>((Data!$AJ$24*LN('Intermediate calculations'!BH2))+Data!$AK$24)</f>
        <v>119.61737921404726</v>
      </c>
      <c r="BI28" s="22">
        <f>((Data!$AJ$24*LN('Intermediate calculations'!BI2))+Data!$AK$24)</f>
        <v>119.23060386497559</v>
      </c>
      <c r="BJ28" s="22">
        <f>((Data!$AJ$24*LN('Intermediate calculations'!BJ2))+Data!$AK$24)</f>
        <v>118.85133919350781</v>
      </c>
      <c r="BK28" s="22">
        <f>((Data!$AJ$24*LN('Intermediate calculations'!BK2))+Data!$AK$24)</f>
        <v>118.47929905212735</v>
      </c>
    </row>
    <row r="29" spans="1:63" x14ac:dyDescent="0.25">
      <c r="A29" t="s">
        <v>334</v>
      </c>
      <c r="B29" t="s">
        <v>321</v>
      </c>
      <c r="C29" s="22">
        <v>125000</v>
      </c>
      <c r="D29" s="22">
        <v>130000</v>
      </c>
      <c r="E29" s="22">
        <v>112000</v>
      </c>
      <c r="F29" s="22">
        <v>129000</v>
      </c>
      <c r="G29" s="22">
        <v>122000</v>
      </c>
      <c r="H29" s="22">
        <v>124000</v>
      </c>
      <c r="I29" s="22">
        <v>131000</v>
      </c>
      <c r="J29" s="22">
        <v>133000</v>
      </c>
      <c r="K29" s="22">
        <v>130000</v>
      </c>
      <c r="L29" s="22">
        <v>126000</v>
      </c>
      <c r="M29" s="22">
        <v>131000</v>
      </c>
      <c r="N29" s="22">
        <v>115000</v>
      </c>
      <c r="O29" s="22">
        <v>123000</v>
      </c>
      <c r="P29" s="22">
        <v>146000</v>
      </c>
      <c r="Q29" s="22">
        <v>174000</v>
      </c>
      <c r="R29" s="22">
        <v>182000</v>
      </c>
      <c r="S29" s="22">
        <v>193000</v>
      </c>
      <c r="T29" s="22">
        <v>206000</v>
      </c>
      <c r="U29" s="22">
        <v>198000</v>
      </c>
      <c r="V29" s="22">
        <v>199000</v>
      </c>
      <c r="W29" s="22">
        <v>215000</v>
      </c>
      <c r="X29" s="22">
        <v>231000</v>
      </c>
      <c r="Y29" s="22">
        <f>((Data!$AJ$9*'Intermediate calculations'!Y4)+Data!$AK$9)*Drivers!Z4</f>
        <v>234698.42969463443</v>
      </c>
      <c r="Z29" s="22">
        <f>((Data!$AJ$9*'Intermediate calculations'!Z4)+Data!$AK$9)*Drivers!AA4</f>
        <v>241113.9413705187</v>
      </c>
      <c r="AA29" s="22">
        <f>((Data!$AJ$9*'Intermediate calculations'!AA4)+Data!$AK$9)*Drivers!AB4</f>
        <v>245513.23607267524</v>
      </c>
      <c r="AB29" s="22">
        <f>((Data!$AJ$9*'Intermediate calculations'!AB4)+Data!$AK$9)*Drivers!AC4</f>
        <v>247062.83321005438</v>
      </c>
      <c r="AC29" s="22">
        <f>((Data!$AJ$9*'Intermediate calculations'!AC4)+Data!$AK$9)*Drivers!AD4</f>
        <v>248549.50442861425</v>
      </c>
      <c r="AD29" s="22">
        <f>((Data!$AJ$9*'Intermediate calculations'!AD4)+Data!$AK$9)*Drivers!AE4</f>
        <v>251402.16857025353</v>
      </c>
      <c r="AE29" s="22">
        <f>((Data!$AJ$9*'Intermediate calculations'!AE4)+Data!$AK$9)*Drivers!AF4</f>
        <v>254669.27434287989</v>
      </c>
      <c r="AF29" s="22">
        <f>((Data!$AJ$9*'Intermediate calculations'!AF4)+Data!$AK$9)*Drivers!AG4</f>
        <v>254873.94135514545</v>
      </c>
      <c r="AG29" s="22">
        <f>((Data!$AJ$9*'Intermediate calculations'!AG4)+Data!$AK$9)*Drivers!AH4</f>
        <v>226862.00608395459</v>
      </c>
      <c r="AH29" s="22">
        <f>((Data!$AJ$9*'Intermediate calculations'!AH4)+Data!$AK$9)*Drivers!AI4</f>
        <v>234077.13443687797</v>
      </c>
      <c r="AI29" s="22">
        <f>((Data!$AJ$9*'Intermediate calculations'!AI4)+Data!$AK$9)*Drivers!AJ4</f>
        <v>240585.06118806853</v>
      </c>
      <c r="AJ29" s="22">
        <f>((Data!$AJ$9*'Intermediate calculations'!AJ4)+Data!$AK$9)*Drivers!AK4</f>
        <v>247133.85851526135</v>
      </c>
      <c r="AK29" s="22">
        <f>((Data!$AJ$9*'Intermediate calculations'!AK4)+Data!$AK$9)*Drivers!AL4</f>
        <v>254934.65414544131</v>
      </c>
      <c r="AL29" s="22">
        <f>((Data!$AJ$9*'Intermediate calculations'!AL4)+Data!$AK$9)*Drivers!AM4</f>
        <v>262790.64877315162</v>
      </c>
      <c r="AM29" s="22">
        <f>((Data!$AJ$9*'Intermediate calculations'!AM4)+Data!$AK$9)*Drivers!AN4</f>
        <v>271070.73668374546</v>
      </c>
      <c r="AN29" s="22">
        <f>((Data!$AJ$9*'Intermediate calculations'!AN4)+Data!$AK$9)*Drivers!AO4</f>
        <v>279114.2053093068</v>
      </c>
      <c r="AO29" s="22">
        <f>((Data!$AJ$9*'Intermediate calculations'!AO4)+Data!$AK$9)*Drivers!AP4</f>
        <v>287700.6336504363</v>
      </c>
      <c r="AP29" s="22">
        <f>((Data!$AJ$9*'Intermediate calculations'!AP4)+Data!$AK$9)*Drivers!AQ4</f>
        <v>295764.92639214196</v>
      </c>
      <c r="AQ29" s="22">
        <f>((Data!$AJ$9*'Intermediate calculations'!AQ4)+Data!$AK$9)*Drivers!AR4</f>
        <v>304058.22165099304</v>
      </c>
      <c r="AR29" s="22">
        <f>((Data!$AJ$9*'Intermediate calculations'!AR4)+Data!$AK$9)*Drivers!AS4</f>
        <v>314169.58478212153</v>
      </c>
      <c r="AS29" s="22">
        <f>((Data!$AJ$9*'Intermediate calculations'!AS4)+Data!$AK$9)*Drivers!AT4</f>
        <v>325122.97865645331</v>
      </c>
      <c r="AT29" s="22">
        <f>((Data!$AJ$9*'Intermediate calculations'!AT4)+Data!$AK$9)*Drivers!AU4</f>
        <v>336476.4786615285</v>
      </c>
      <c r="AU29" s="22">
        <f>((Data!$AJ$9*'Intermediate calculations'!AU4)+Data!$AK$9)*Drivers!AV4</f>
        <v>338117.29939675855</v>
      </c>
      <c r="AV29" s="22">
        <f>((Data!$AJ$9*'Intermediate calculations'!AV4)+Data!$AK$9)*Drivers!AW4</f>
        <v>-136647.81498540496</v>
      </c>
      <c r="AW29" s="22">
        <f>((Data!$AJ$9*'Intermediate calculations'!AW4)+Data!$AK$9)*Drivers!AX4</f>
        <v>-137648.23501619045</v>
      </c>
      <c r="AX29" s="22">
        <f>((Data!$AJ$9*'Intermediate calculations'!AX4)+Data!$AK$9)*Drivers!AY4</f>
        <v>-138655.97927852772</v>
      </c>
      <c r="AY29" s="22">
        <f>((Data!$AJ$9*'Intermediate calculations'!AY4)+Data!$AK$9)*Drivers!AZ4</f>
        <v>-139671.10139426176</v>
      </c>
      <c r="AZ29" s="22">
        <f>((Data!$AJ$9*'Intermediate calculations'!AZ4)+Data!$AK$9)*Drivers!BA4</f>
        <v>-140693.65537781149</v>
      </c>
      <c r="BA29" s="22">
        <f>((Data!$AJ$9*'Intermediate calculations'!BA4)+Data!$AK$9)*Drivers!BB4</f>
        <v>-141723.69563904384</v>
      </c>
      <c r="BB29" s="22">
        <f>((Data!$AJ$9*'Intermediate calculations'!BB4)+Data!$AK$9)*Drivers!BC4</f>
        <v>-142603.93152379888</v>
      </c>
      <c r="BC29" s="22">
        <f>((Data!$AJ$9*'Intermediate calculations'!BC4)+Data!$AK$9)*Drivers!BD4</f>
        <v>-143489.63449159401</v>
      </c>
      <c r="BD29" s="22">
        <f>((Data!$AJ$9*'Intermediate calculations'!BD4)+Data!$AK$9)*Drivers!BE4</f>
        <v>-144380.83849809671</v>
      </c>
      <c r="BE29" s="22">
        <f>((Data!$AJ$9*'Intermediate calculations'!BE4)+Data!$AK$9)*Drivers!BF4</f>
        <v>-145277.57770987065</v>
      </c>
      <c r="BF29" s="22">
        <f>((Data!$AJ$9*'Intermediate calculations'!BF4)+Data!$AK$9)*Drivers!BG4</f>
        <v>-146179.88650568563</v>
      </c>
      <c r="BG29" s="22">
        <f>((Data!$AJ$9*'Intermediate calculations'!BG4)+Data!$AK$9)*Drivers!BH4</f>
        <v>-146926.11143468964</v>
      </c>
      <c r="BH29" s="22">
        <f>((Data!$AJ$9*'Intermediate calculations'!BH4)+Data!$AK$9)*Drivers!BI4</f>
        <v>-147676.1457225458</v>
      </c>
      <c r="BI29" s="22">
        <f>((Data!$AJ$9*'Intermediate calculations'!BI4)+Data!$AK$9)*Drivers!BJ4</f>
        <v>-148430.00881542146</v>
      </c>
      <c r="BJ29" s="22">
        <f>((Data!$AJ$9*'Intermediate calculations'!BJ4)+Data!$AK$9)*Drivers!BK4</f>
        <v>-149187.72025875363</v>
      </c>
      <c r="BK29" s="22">
        <f>((Data!$AJ$9*'Intermediate calculations'!BK4)+Data!$AK$9)*Drivers!BL4</f>
        <v>-149949.29969775552</v>
      </c>
    </row>
    <row r="30" spans="1:63" x14ac:dyDescent="0.25">
      <c r="A30" t="s">
        <v>334</v>
      </c>
      <c r="B30" t="s">
        <v>663</v>
      </c>
      <c r="C30" s="51">
        <f>C29*ttokg/Drivers!D4</f>
        <v>3.3966921490134823</v>
      </c>
      <c r="D30" s="51">
        <f>D29*ttokg/Drivers!E4</f>
        <v>3.4465434483197437</v>
      </c>
      <c r="E30" s="51">
        <f>E29*ttokg/Drivers!F4</f>
        <v>2.896106797247985</v>
      </c>
      <c r="F30" s="51">
        <f>F29*ttokg/Drivers!G4</f>
        <v>3.2548017787870185</v>
      </c>
      <c r="G30" s="51">
        <f>G29*ttokg/Drivers!H4</f>
        <v>3.0075885650398053</v>
      </c>
      <c r="H30" s="51">
        <f>H29*ttokg/Drivers!I4</f>
        <v>2.9925843277683009</v>
      </c>
      <c r="I30" s="51">
        <f>I29*ttokg/Drivers!J4</f>
        <v>3.1012515301776276</v>
      </c>
      <c r="J30" s="51">
        <f>J29*ttokg/Drivers!K4</f>
        <v>3.0939254588681102</v>
      </c>
      <c r="K30" s="51">
        <f>K29*ttokg/Drivers!L4</f>
        <v>2.9760364962801833</v>
      </c>
      <c r="L30" s="51">
        <f>L29*ttokg/Drivers!M4</f>
        <v>2.8417713229773924</v>
      </c>
      <c r="M30" s="51">
        <f>M29*ttokg/Drivers!N4</f>
        <v>2.9132016245969217</v>
      </c>
      <c r="N30" s="51">
        <f>N29*ttokg/Drivers!O4</f>
        <v>2.5235195311853693</v>
      </c>
      <c r="O30" s="51">
        <f>O29*ttokg/Drivers!P4</f>
        <v>2.6651693759557911</v>
      </c>
      <c r="P30" s="51">
        <f>P29*ttokg/Drivers!Q4</f>
        <v>3.1250537787508157</v>
      </c>
      <c r="Q30" s="51">
        <f>Q29*ttokg/Drivers!R4</f>
        <v>3.67929956286115</v>
      </c>
      <c r="R30" s="51">
        <f>R29*ttokg/Drivers!S4</f>
        <v>3.8011218781485221</v>
      </c>
      <c r="S30" s="51">
        <f>S29*ttokg/Drivers!T4</f>
        <v>3.9802465108963165</v>
      </c>
      <c r="T30" s="51">
        <f>T29*ttokg/Drivers!U4</f>
        <v>4.1938316513320029</v>
      </c>
      <c r="U30" s="51">
        <f>U29*ttokg/Drivers!V4</f>
        <v>3.9775432728081821</v>
      </c>
      <c r="V30" s="51">
        <f>V29*ttokg/Drivers!W4</f>
        <v>3.9423887440561804</v>
      </c>
      <c r="W30" s="51">
        <f>W29*ttokg/Drivers!X4</f>
        <v>4.197827891555618</v>
      </c>
      <c r="X30" s="51">
        <f>X29*ttokg/Drivers!Y4</f>
        <v>4.4419513111371138</v>
      </c>
      <c r="Y30" s="51">
        <f>Y29*ttokg/Drivers!Z4</f>
        <v>4.4853604980888102</v>
      </c>
      <c r="Z30" s="51">
        <f>Z29*ttokg/Drivers!AA4</f>
        <v>4.5403771223172384</v>
      </c>
      <c r="AA30" s="51">
        <f>AA29*ttokg/Drivers!AB4</f>
        <v>4.5539317914165602</v>
      </c>
      <c r="AB30" s="51">
        <f>AB29*ttokg/Drivers!AC4</f>
        <v>4.5125226574932906</v>
      </c>
      <c r="AC30" s="51">
        <f>AC29*ttokg/Drivers!AD4</f>
        <v>4.4687121620250281</v>
      </c>
      <c r="AD30" s="51">
        <f>AD29*ttokg/Drivers!AE4</f>
        <v>4.4478680809976376</v>
      </c>
      <c r="AE30" s="51">
        <f>AE29*ttokg/Drivers!AF4</f>
        <v>4.4339660074830105</v>
      </c>
      <c r="AF30" s="51">
        <f>AF29*ttokg/Drivers!AG4</f>
        <v>4.3669093161413519</v>
      </c>
      <c r="AG30" s="51">
        <f>AG29*ttokg/Drivers!AH4</f>
        <v>3.8251056646834485</v>
      </c>
      <c r="AH30" s="51">
        <f>AH29*ttokg/Drivers!AI4</f>
        <v>3.9018331019812762</v>
      </c>
      <c r="AI30" s="51">
        <f>AI29*ttokg/Drivers!AJ4</f>
        <v>3.9646639484233308</v>
      </c>
      <c r="AJ30" s="51">
        <f>AJ29*ttokg/Drivers!AK4</f>
        <v>4.0262246444874492</v>
      </c>
      <c r="AK30" s="51">
        <f>AK29*ttokg/Drivers!AL4</f>
        <v>4.1060350824711431</v>
      </c>
      <c r="AL30" s="51">
        <f>AL29*ttokg/Drivers!AM4</f>
        <v>4.1843857683203964</v>
      </c>
      <c r="AM30" s="51">
        <f>AM29*ttokg/Drivers!AN4</f>
        <v>4.2741435392478246</v>
      </c>
      <c r="AN30" s="51">
        <f>AN29*ttokg/Drivers!AO4</f>
        <v>4.3580585928081792</v>
      </c>
      <c r="AO30" s="51">
        <f>AO29*ttokg/Drivers!AP4</f>
        <v>4.4483259333515424</v>
      </c>
      <c r="AP30" s="51">
        <f>AP29*ttokg/Drivers!AQ4</f>
        <v>4.5284242949727478</v>
      </c>
      <c r="AQ30" s="51">
        <f>AQ29*ttokg/Drivers!AR4</f>
        <v>4.6100098057812868</v>
      </c>
      <c r="AR30" s="51">
        <f>AR29*ttokg/Drivers!AS4</f>
        <v>4.7230068478278362</v>
      </c>
      <c r="AS30" s="51">
        <f>AS29*ttokg/Drivers!AT4</f>
        <v>4.8463127967745061</v>
      </c>
      <c r="AT30" s="51">
        <f>AT29*ttokg/Drivers!AU4</f>
        <v>4.9731072557966147</v>
      </c>
      <c r="AU30" s="51">
        <f>AU29*ttokg/Drivers!AV4</f>
        <v>4.9550705940155693</v>
      </c>
      <c r="AV30" s="51">
        <f>AV29*ttokg/Drivers!AW4</f>
        <v>-1.9856124419143484</v>
      </c>
      <c r="AW30" s="51">
        <f>AW29*ttokg/Drivers!AX4</f>
        <v>-1.9856124419143484</v>
      </c>
      <c r="AX30" s="51">
        <f>AX29*ttokg/Drivers!AY4</f>
        <v>-1.9856124419143484</v>
      </c>
      <c r="AY30" s="51">
        <f>AY29*ttokg/Drivers!AZ4</f>
        <v>-1.9856124419143482</v>
      </c>
      <c r="AZ30" s="51">
        <f>AZ29*ttokg/Drivers!BA4</f>
        <v>-1.9856124419143486</v>
      </c>
      <c r="BA30" s="51">
        <f>BA29*ttokg/Drivers!BB4</f>
        <v>-1.9856124419143484</v>
      </c>
      <c r="BB30" s="51">
        <f>BB29*ttokg/Drivers!BC4</f>
        <v>-1.9856124419143484</v>
      </c>
      <c r="BC30" s="51">
        <f>BC29*ttokg/Drivers!BD4</f>
        <v>-1.9856124419143482</v>
      </c>
      <c r="BD30" s="51">
        <f>BD29*ttokg/Drivers!BE4</f>
        <v>-1.9856124419143482</v>
      </c>
      <c r="BE30" s="51">
        <f>BE29*ttokg/Drivers!BF4</f>
        <v>-1.9856124419143482</v>
      </c>
      <c r="BF30" s="51">
        <f>BF29*ttokg/Drivers!BG4</f>
        <v>-1.9856124419143482</v>
      </c>
      <c r="BG30" s="51">
        <f>BG29*ttokg/Drivers!BH4</f>
        <v>-1.9856124419143486</v>
      </c>
      <c r="BH30" s="51">
        <f>BH29*ttokg/Drivers!BI4</f>
        <v>-1.9856124419143484</v>
      </c>
      <c r="BI30" s="51">
        <f>BI29*ttokg/Drivers!BJ4</f>
        <v>-1.9856124419143482</v>
      </c>
      <c r="BJ30" s="51">
        <f>BJ29*ttokg/Drivers!BK4</f>
        <v>-1.9856124419143482</v>
      </c>
      <c r="BK30" s="51">
        <f>BK29*ttokg/Drivers!BL4</f>
        <v>-1.9856124419143484</v>
      </c>
    </row>
    <row r="31" spans="1:63" x14ac:dyDescent="0.25">
      <c r="A31" t="s">
        <v>334</v>
      </c>
      <c r="B31" t="s">
        <v>322</v>
      </c>
      <c r="C31" s="71">
        <f>C29/Drivers!D4</f>
        <v>3.3966921490134823E-3</v>
      </c>
      <c r="D31" s="71">
        <f>D29/Drivers!E4</f>
        <v>3.446543448319744E-3</v>
      </c>
      <c r="E31" s="71">
        <f>E29/Drivers!F4</f>
        <v>2.8961067972479849E-3</v>
      </c>
      <c r="F31" s="71">
        <f>F29/Drivers!G4</f>
        <v>3.2548017787870187E-3</v>
      </c>
      <c r="G31" s="71">
        <f>G29/Drivers!H4</f>
        <v>3.0075885650398052E-3</v>
      </c>
      <c r="H31" s="71">
        <f>H29/Drivers!I4</f>
        <v>2.9925843277683012E-3</v>
      </c>
      <c r="I31" s="71">
        <f>I29/Drivers!J4</f>
        <v>3.1012515301776277E-3</v>
      </c>
      <c r="J31" s="71">
        <f>J29/Drivers!K4</f>
        <v>3.0939254588681106E-3</v>
      </c>
      <c r="K31" s="71">
        <f>K29/Drivers!L4</f>
        <v>2.9760364962801832E-3</v>
      </c>
      <c r="L31" s="71">
        <f>L29/Drivers!M4</f>
        <v>2.8417713229773925E-3</v>
      </c>
      <c r="M31" s="71">
        <f>M29/Drivers!N4</f>
        <v>2.9132016245969217E-3</v>
      </c>
      <c r="N31" s="71">
        <f>N29/Drivers!O4</f>
        <v>2.5235195311853692E-3</v>
      </c>
      <c r="O31" s="71">
        <f>O29/Drivers!P4</f>
        <v>2.665169375955791E-3</v>
      </c>
      <c r="P31" s="71">
        <f>P29/Drivers!Q4</f>
        <v>3.125053778750816E-3</v>
      </c>
      <c r="Q31" s="71">
        <f>Q29/Drivers!R4</f>
        <v>3.6792995628611501E-3</v>
      </c>
      <c r="R31" s="71">
        <f>R29/Drivers!S4</f>
        <v>3.801121878148522E-3</v>
      </c>
      <c r="S31" s="71">
        <f>S29/Drivers!T4</f>
        <v>3.9802465108963164E-3</v>
      </c>
      <c r="T31" s="71">
        <f>T29/Drivers!U4</f>
        <v>4.1938316513320025E-3</v>
      </c>
      <c r="U31" s="71">
        <f>U29/Drivers!V4</f>
        <v>3.9775432728081823E-3</v>
      </c>
      <c r="V31" s="71">
        <f>V29/Drivers!W4</f>
        <v>3.9423887440561802E-3</v>
      </c>
      <c r="W31" s="71">
        <f>W29/Drivers!X4</f>
        <v>4.1978278915556179E-3</v>
      </c>
      <c r="X31" s="71">
        <f>X29/Drivers!Y4</f>
        <v>4.4419513111371139E-3</v>
      </c>
      <c r="Y31" s="51"/>
      <c r="Z31" s="51"/>
      <c r="AA31" s="51"/>
      <c r="AB31" s="51"/>
      <c r="AC31" s="51"/>
      <c r="AD31" s="51"/>
      <c r="AE31" s="51"/>
      <c r="AF31" s="51"/>
      <c r="AG31" s="51"/>
      <c r="AH31" s="51"/>
      <c r="AI31" s="51"/>
      <c r="AJ31" s="51"/>
      <c r="AK31" s="51"/>
      <c r="AL31" s="51"/>
      <c r="AM31" s="51"/>
      <c r="AN31" s="51"/>
      <c r="AO31" s="51">
        <f>(AO32-AD32)/AD32</f>
        <v>0.13618687905660012</v>
      </c>
      <c r="AP31" s="51"/>
      <c r="AQ31" s="51">
        <f>(AQ32-AE32)/AE32</f>
        <v>0.18305671832788364</v>
      </c>
      <c r="AR31" s="51"/>
      <c r="AS31" s="51"/>
      <c r="AT31" s="51"/>
      <c r="AU31" s="51"/>
      <c r="AV31" s="51"/>
      <c r="AW31" s="51"/>
      <c r="AX31" s="51"/>
      <c r="AY31" s="51"/>
      <c r="AZ31" s="51"/>
      <c r="BA31" s="51"/>
      <c r="BB31" s="51"/>
      <c r="BC31" s="51"/>
      <c r="BD31" s="51"/>
      <c r="BE31" s="51"/>
      <c r="BF31" s="51"/>
      <c r="BG31" s="51"/>
      <c r="BH31" s="51"/>
      <c r="BI31" s="51"/>
      <c r="BJ31" s="51"/>
      <c r="BK31" s="51"/>
    </row>
    <row r="32" spans="1:63" x14ac:dyDescent="0.25">
      <c r="A32" t="s">
        <v>335</v>
      </c>
      <c r="B32" t="s">
        <v>321</v>
      </c>
      <c r="C32" s="22">
        <v>126200</v>
      </c>
      <c r="D32" s="22">
        <v>130800</v>
      </c>
      <c r="E32" s="22">
        <v>112700</v>
      </c>
      <c r="F32" s="22">
        <v>129600</v>
      </c>
      <c r="G32" s="22">
        <v>119600</v>
      </c>
      <c r="H32" s="22">
        <v>119000</v>
      </c>
      <c r="I32" s="22">
        <v>126500</v>
      </c>
      <c r="J32" s="22">
        <v>127900</v>
      </c>
      <c r="K32" s="22">
        <v>125000</v>
      </c>
      <c r="L32" s="22">
        <v>119200</v>
      </c>
      <c r="M32" s="22">
        <v>123000</v>
      </c>
      <c r="N32" s="22">
        <v>106900</v>
      </c>
      <c r="O32" s="22">
        <v>116600</v>
      </c>
      <c r="P32" s="22">
        <v>135000</v>
      </c>
      <c r="Q32" s="22">
        <v>156800</v>
      </c>
      <c r="R32" s="22">
        <v>159700</v>
      </c>
      <c r="S32" s="22">
        <v>171400</v>
      </c>
      <c r="T32" s="22">
        <v>187100</v>
      </c>
      <c r="U32" s="22">
        <v>181700</v>
      </c>
      <c r="V32" s="22">
        <v>180700</v>
      </c>
      <c r="W32" s="22">
        <v>191900</v>
      </c>
      <c r="X32" s="22">
        <v>205100</v>
      </c>
      <c r="Y32" s="22">
        <f>((Data!$AJ$26*'Intermediate calculations'!Y29)+Data!$AK$26)</f>
        <v>211858.52623334341</v>
      </c>
      <c r="Z32" s="22">
        <f>((Data!$AJ$26*'Intermediate calculations'!Z29)+Data!$AK$26)</f>
        <v>217298.93839915388</v>
      </c>
      <c r="AA32" s="22">
        <f>((Data!$AJ$26*'Intermediate calculations'!AA29)+Data!$AK$26)</f>
        <v>221029.58026028011</v>
      </c>
      <c r="AB32" s="22">
        <f>((Data!$AJ$26*'Intermediate calculations'!AB29)+Data!$AK$26)</f>
        <v>222343.65270597331</v>
      </c>
      <c r="AC32" s="22">
        <f>((Data!$AJ$26*'Intermediate calculations'!AC29)+Data!$AK$26)</f>
        <v>223604.36340102454</v>
      </c>
      <c r="AD32" s="22">
        <f>((Data!$AJ$26*'Intermediate calculations'!AD29)+Data!$AK$26)</f>
        <v>226023.44850057844</v>
      </c>
      <c r="AE32" s="22">
        <f>((Data!$AJ$26*'Intermediate calculations'!AE29)+Data!$AK$26)</f>
        <v>228793.98386710259</v>
      </c>
      <c r="AF32" s="22">
        <f>((Data!$AJ$26*'Intermediate calculations'!AF29)+Data!$AK$26)</f>
        <v>228967.54335225717</v>
      </c>
      <c r="AG32" s="22">
        <f>((Data!$AJ$26*'Intermediate calculations'!AG29)+Data!$AK$26)</f>
        <v>205213.16784232922</v>
      </c>
      <c r="AH32" s="22">
        <f>((Data!$AJ$26*'Intermediate calculations'!AH29)+Data!$AK$26)</f>
        <v>211331.66221226082</v>
      </c>
      <c r="AI32" s="22">
        <f>((Data!$AJ$26*'Intermediate calculations'!AI29)+Data!$AK$26)</f>
        <v>216850.44320123011</v>
      </c>
      <c r="AJ32" s="22">
        <f>((Data!$AJ$26*'Intermediate calculations'!AJ29)+Data!$AK$26)</f>
        <v>222403.8828098294</v>
      </c>
      <c r="AK32" s="22">
        <f>((Data!$AJ$26*'Intermediate calculations'!AK29)+Data!$AK$26)</f>
        <v>229019.028349812</v>
      </c>
      <c r="AL32" s="22">
        <f>((Data!$AJ$26*'Intermediate calculations'!AL29)+Data!$AK$26)</f>
        <v>235680.98314100891</v>
      </c>
      <c r="AM32" s="22">
        <f>((Data!$AJ$26*'Intermediate calculations'!AM29)+Data!$AK$26)</f>
        <v>242702.57288763905</v>
      </c>
      <c r="AN32" s="22">
        <f>((Data!$AJ$26*'Intermediate calculations'!AN29)+Data!$AK$26)</f>
        <v>249523.50733162276</v>
      </c>
      <c r="AO32" s="22">
        <f>((Data!$AJ$26*'Intermediate calculations'!AO29)+Data!$AK$26)</f>
        <v>256804.8765454824</v>
      </c>
      <c r="AP32" s="22">
        <f>((Data!$AJ$26*'Intermediate calculations'!AP29)+Data!$AK$26)</f>
        <v>263643.47002907784</v>
      </c>
      <c r="AQ32" s="22">
        <f>((Data!$AJ$26*'Intermediate calculations'!AQ29)+Data!$AK$26)</f>
        <v>270676.25972697715</v>
      </c>
      <c r="AR32" s="22">
        <f>((Data!$AJ$26*'Intermediate calculations'!AR29)+Data!$AK$26)</f>
        <v>279250.78749197209</v>
      </c>
      <c r="AS32" s="22">
        <f>((Data!$AJ$26*'Intermediate calculations'!AS29)+Data!$AK$26)</f>
        <v>288539.36497439316</v>
      </c>
      <c r="AT32" s="22">
        <f>((Data!$AJ$26*'Intermediate calculations'!AT29)+Data!$AK$26)</f>
        <v>298167.23608938523</v>
      </c>
      <c r="AU32" s="22">
        <f>((Data!$AJ$26*'Intermediate calculations'!AU29)+Data!$AK$26)</f>
        <v>299558.66697453428</v>
      </c>
      <c r="AV32" s="22">
        <f>((Data!$AJ$26*'Intermediate calculations'!AV29)+Data!$AK$26)</f>
        <v>-103046.4617630905</v>
      </c>
      <c r="AW32" s="22">
        <f>((Data!$AJ$26*'Intermediate calculations'!AW29)+Data!$AK$26)</f>
        <v>-103894.82703485282</v>
      </c>
      <c r="AX32" s="22">
        <f>((Data!$AJ$26*'Intermediate calculations'!AX29)+Data!$AK$26)</f>
        <v>-104749.40332148856</v>
      </c>
      <c r="AY32" s="22">
        <f>((Data!$AJ$26*'Intermediate calculations'!AY29)+Data!$AK$26)</f>
        <v>-105610.23609480925</v>
      </c>
      <c r="AZ32" s="22">
        <f>((Data!$AJ$26*'Intermediate calculations'!AZ29)+Data!$AK$26)</f>
        <v>-106477.37115953269</v>
      </c>
      <c r="BA32" s="22">
        <f>((Data!$AJ$26*'Intermediate calculations'!BA29)+Data!$AK$26)</f>
        <v>-107350.85465572019</v>
      </c>
      <c r="BB32" s="22">
        <f>((Data!$AJ$26*'Intermediate calculations'!BB29)+Data!$AK$26)</f>
        <v>-108097.30268015531</v>
      </c>
      <c r="BC32" s="22">
        <f>((Data!$AJ$26*'Intermediate calculations'!BC29)+Data!$AK$26)</f>
        <v>-108848.3868406596</v>
      </c>
      <c r="BD32" s="22">
        <f>((Data!$AJ$26*'Intermediate calculations'!BD29)+Data!$AK$26)</f>
        <v>-109604.13593194749</v>
      </c>
      <c r="BE32" s="22">
        <f>((Data!$AJ$26*'Intermediate calculations'!BE29)+Data!$AK$26)</f>
        <v>-110364.57892757523</v>
      </c>
      <c r="BF32" s="22">
        <f>((Data!$AJ$26*'Intermediate calculations'!BF29)+Data!$AK$26)</f>
        <v>-111129.74498105186</v>
      </c>
      <c r="BG32" s="22">
        <f>((Data!$AJ$26*'Intermediate calculations'!BG29)+Data!$AK$26)</f>
        <v>-111762.55049794384</v>
      </c>
      <c r="BH32" s="22">
        <f>((Data!$AJ$26*'Intermediate calculations'!BH29)+Data!$AK$26)</f>
        <v>-112398.58638573844</v>
      </c>
      <c r="BI32" s="22">
        <f>((Data!$AJ$26*'Intermediate calculations'!BI29)+Data!$AK$26)</f>
        <v>-113037.86913496217</v>
      </c>
      <c r="BJ32" s="22">
        <f>((Data!$AJ$26*'Intermediate calculations'!BJ29)+Data!$AK$26)</f>
        <v>-113680.41532032313</v>
      </c>
      <c r="BK32" s="22">
        <f>((Data!$AJ$26*'Intermediate calculations'!BK29)+Data!$AK$26)</f>
        <v>-114326.24160114053</v>
      </c>
    </row>
    <row r="33" spans="1:63" x14ac:dyDescent="0.25">
      <c r="A33" t="s">
        <v>818</v>
      </c>
      <c r="B33" t="s">
        <v>815</v>
      </c>
      <c r="C33" s="22">
        <f>Data!C27</f>
        <v>13.653011027487219</v>
      </c>
      <c r="D33" s="22">
        <f>Data!D27</f>
        <v>14.391608053652755</v>
      </c>
      <c r="E33" s="22">
        <f>Data!E27</f>
        <v>16.592599020349589</v>
      </c>
      <c r="F33" s="22">
        <f>Data!F27</f>
        <v>14.420179981553732</v>
      </c>
      <c r="G33" s="22">
        <f>Data!G27</f>
        <v>14.841278051291667</v>
      </c>
      <c r="H33" s="22">
        <f>Data!H27</f>
        <v>15.058618610882386</v>
      </c>
      <c r="I33" s="22">
        <f>Data!I27</f>
        <v>15.256180717369467</v>
      </c>
      <c r="J33" s="22">
        <f>Data!J27</f>
        <v>15.018469029514932</v>
      </c>
      <c r="K33" s="22">
        <f>Data!K27</f>
        <v>15.701550370273951</v>
      </c>
      <c r="L33" s="22">
        <f>Data!L27</f>
        <v>16.882881640786671</v>
      </c>
      <c r="M33" s="22">
        <f>Data!M27</f>
        <v>15.138795298415898</v>
      </c>
      <c r="N33" s="22">
        <f>Data!N27</f>
        <v>17.746678439758945</v>
      </c>
      <c r="O33" s="22">
        <f>Data!O27</f>
        <v>16.58060559776451</v>
      </c>
      <c r="P33" s="22">
        <f>Data!P27</f>
        <v>13.927119744071932</v>
      </c>
      <c r="Q33" s="22">
        <f>Data!Q27</f>
        <v>11.990823759245604</v>
      </c>
      <c r="R33" s="22">
        <f>Data!R27</f>
        <v>11.688128726620503</v>
      </c>
      <c r="S33" s="22">
        <f>Data!S27</f>
        <v>10.698991960935169</v>
      </c>
      <c r="T33" s="22">
        <f>Data!T27</f>
        <v>9.9764519382217767</v>
      </c>
      <c r="U33" s="22">
        <f>Data!U27</f>
        <v>10.048944051821932</v>
      </c>
      <c r="V33" s="22">
        <f>Data!V27</f>
        <v>10.092041871875903</v>
      </c>
      <c r="W33" s="22">
        <f>Data!W27</f>
        <v>9.3910936453950828</v>
      </c>
      <c r="X33" s="22">
        <f>Data!X27</f>
        <v>8.7315701156068712</v>
      </c>
      <c r="Y33" s="22">
        <f>((Data!$AJ$27*LN('Intermediate calculations'!Y2))+Data!$AK$27)</f>
        <v>8.9505840171188549</v>
      </c>
      <c r="Z33" s="22">
        <f>((Data!$AJ$27*LN('Intermediate calculations'!Z2))+Data!$AK$27)</f>
        <v>8.6989484356715767</v>
      </c>
      <c r="AA33" s="22">
        <f>((Data!$AJ$27*LN('Intermediate calculations'!AA2))+Data!$AK$27)</f>
        <v>8.462573140856847</v>
      </c>
      <c r="AB33" s="22">
        <f>((Data!$AJ$27*LN('Intermediate calculations'!AB2))+Data!$AK$27)</f>
        <v>8.2397125849020476</v>
      </c>
      <c r="AC33" s="22">
        <f>((Data!$AJ$27*LN('Intermediate calculations'!AC2))+Data!$AK$27)</f>
        <v>8.0289045833895329</v>
      </c>
      <c r="AD33" s="22">
        <f>((Data!$AJ$27*LN('Intermediate calculations'!AD2))+Data!$AK$27)</f>
        <v>7.8289121179587777</v>
      </c>
      <c r="AE33" s="22">
        <f>((Data!$AJ$27*LN('Intermediate calculations'!AE2))+Data!$AK$27)</f>
        <v>7.6386793528863848</v>
      </c>
      <c r="AF33" s="22">
        <f>((Data!$AJ$27*LN('Intermediate calculations'!AF2))+Data!$AK$27)</f>
        <v>7.4572978929940827</v>
      </c>
      <c r="AG33" s="22">
        <f>((Data!$AJ$27*LN('Intermediate calculations'!AG2))+Data!$AK$27)</f>
        <v>7.2839805481943056</v>
      </c>
      <c r="AH33" s="22">
        <f>((Data!$AJ$27*LN('Intermediate calculations'!AH2))+Data!$AK$27)</f>
        <v>7.1180406857419687</v>
      </c>
      <c r="AI33" s="22">
        <f>((Data!$AJ$27*LN('Intermediate calculations'!AI2))+Data!$AK$27)</f>
        <v>6.9588758002459805</v>
      </c>
      <c r="AJ33" s="22">
        <f>((Data!$AJ$27*LN('Intermediate calculations'!AJ2))+Data!$AK$27)</f>
        <v>6.8059543080093459</v>
      </c>
      <c r="AK33" s="22">
        <f>((Data!$AJ$27*LN('Intermediate calculations'!AK2))+Data!$AK$27)</f>
        <v>6.6588048349724414</v>
      </c>
      <c r="AL33" s="22">
        <f>((Data!$AJ$27*LN('Intermediate calculations'!AL2))+Data!$AK$27)</f>
        <v>6.5170074537263076</v>
      </c>
      <c r="AM33" s="22">
        <f>((Data!$AJ$27*LN('Intermediate calculations'!AM2))+Data!$AK$27)</f>
        <v>6.3801864589340838</v>
      </c>
      <c r="AN33" s="22">
        <f>((Data!$AJ$27*LN('Intermediate calculations'!AN2))+Data!$AK$27)</f>
        <v>6.2480043680291715</v>
      </c>
      <c r="AO33" s="22">
        <f>((Data!$AJ$27*LN('Intermediate calculations'!AO2))+Data!$AK$27)</f>
        <v>6.1201569059835439</v>
      </c>
      <c r="AP33" s="22">
        <f>((Data!$AJ$27*LN('Intermediate calculations'!AP2))+Data!$AK$27)</f>
        <v>5.9963687865818933</v>
      </c>
      <c r="AQ33" s="22">
        <f>((Data!$AJ$27*LN('Intermediate calculations'!AQ2))+Data!$AK$27)</f>
        <v>5.8763901430644783</v>
      </c>
      <c r="AR33" s="22">
        <f>((Data!$AJ$27*LN('Intermediate calculations'!AR2))+Data!$AK$27)</f>
        <v>5.7599934917671636</v>
      </c>
      <c r="AS33" s="22">
        <f>((Data!$AJ$27*LN('Intermediate calculations'!AS2))+Data!$AK$27)</f>
        <v>5.6469711360135104</v>
      </c>
      <c r="AT33" s="22">
        <f>((Data!$AJ$27*LN('Intermediate calculations'!AT2))+Data!$AK$27)</f>
        <v>5.5371329358123642</v>
      </c>
      <c r="AU33" s="22">
        <f>((Data!$AJ$27*LN('Intermediate calculations'!AU2))+Data!$AK$27)</f>
        <v>5.4303043831997524</v>
      </c>
      <c r="AV33" s="22">
        <f>((Data!$AJ$27*LN('Intermediate calculations'!AV2))+Data!$AK$27)</f>
        <v>5.3263249342998495</v>
      </c>
      <c r="AW33" s="22">
        <f>((Data!$AJ$27*LN('Intermediate calculations'!AW2))+Data!$AK$27)</f>
        <v>5.2250465580797414</v>
      </c>
      <c r="AX33" s="22">
        <f>((Data!$AJ$27*LN('Intermediate calculations'!AX2))+Data!$AK$27)</f>
        <v>5.1263324688690943</v>
      </c>
      <c r="AY33" s="22">
        <f>((Data!$AJ$27*LN('Intermediate calculations'!AY2))+Data!$AK$27)</f>
        <v>5.0300560154098388</v>
      </c>
      <c r="AZ33" s="22">
        <f>((Data!$AJ$27*LN('Intermediate calculations'!AZ2))+Data!$AK$27)</f>
        <v>4.9360997037967014</v>
      </c>
      <c r="BA33" s="22">
        <f>((Data!$AJ$27*LN('Intermediate calculations'!BA2))+Data!$AK$27)</f>
        <v>4.8443543353997978</v>
      </c>
      <c r="BB33" s="22">
        <f>((Data!$AJ$27*LN('Intermediate calculations'!BB2))+Data!$AK$27)</f>
        <v>4.7547182439044011</v>
      </c>
      <c r="BC33" s="22">
        <f>((Data!$AJ$27*LN('Intermediate calculations'!BC2))+Data!$AK$27)</f>
        <v>4.667096618099567</v>
      </c>
      <c r="BD33" s="22">
        <f>((Data!$AJ$27*LN('Intermediate calculations'!BD2))+Data!$AK$27)</f>
        <v>4.5814008991046222</v>
      </c>
      <c r="BE33" s="22">
        <f>((Data!$AJ$27*LN('Intermediate calculations'!BE2))+Data!$AK$27)</f>
        <v>4.4975482424258928</v>
      </c>
      <c r="BF33" s="22">
        <f>((Data!$AJ$27*LN('Intermediate calculations'!BF2))+Data!$AK$27)</f>
        <v>4.4154610366522853</v>
      </c>
      <c r="BG33" s="22">
        <f>((Data!$AJ$27*LN('Intermediate calculations'!BG2))+Data!$AK$27)</f>
        <v>4.3350664717810403</v>
      </c>
      <c r="BH33" s="22">
        <f>((Data!$AJ$27*LN('Intermediate calculations'!BH2))+Data!$AK$27)</f>
        <v>4.2562961511562971</v>
      </c>
      <c r="BI33" s="22">
        <f>((Data!$AJ$27*LN('Intermediate calculations'!BI2))+Data!$AK$27)</f>
        <v>4.1790857418375573</v>
      </c>
      <c r="BJ33" s="22">
        <f>((Data!$AJ$27*LN('Intermediate calculations'!BJ2))+Data!$AK$27)</f>
        <v>4.1033746589196625</v>
      </c>
      <c r="BK33" s="22">
        <f>((Data!$AJ$27*LN('Intermediate calculations'!BK2))+Data!$AK$27)</f>
        <v>4.0291057799232792</v>
      </c>
    </row>
    <row r="34" spans="1:63" x14ac:dyDescent="0.25">
      <c r="A34" t="s">
        <v>336</v>
      </c>
      <c r="B34" t="s">
        <v>321</v>
      </c>
      <c r="C34" s="22">
        <v>209000</v>
      </c>
      <c r="D34" s="22">
        <v>214000</v>
      </c>
      <c r="E34" s="22">
        <v>223000</v>
      </c>
      <c r="F34" s="22">
        <v>218000</v>
      </c>
      <c r="G34" s="22">
        <v>233000</v>
      </c>
      <c r="H34" s="22">
        <v>272000</v>
      </c>
      <c r="I34" s="22">
        <v>263000</v>
      </c>
      <c r="J34" s="22">
        <v>293000</v>
      </c>
      <c r="K34" s="22">
        <v>302000</v>
      </c>
      <c r="L34" s="22">
        <v>299000</v>
      </c>
      <c r="M34" s="22">
        <v>310000</v>
      </c>
      <c r="N34" s="22">
        <v>308000</v>
      </c>
      <c r="O34" s="22">
        <v>313000</v>
      </c>
      <c r="P34" s="22">
        <v>305000</v>
      </c>
      <c r="Q34" s="22">
        <v>329000</v>
      </c>
      <c r="R34" s="22">
        <v>357000</v>
      </c>
      <c r="S34" s="22">
        <v>392000</v>
      </c>
      <c r="T34" s="22">
        <v>416000</v>
      </c>
      <c r="U34" s="22">
        <v>404000</v>
      </c>
      <c r="V34" s="22">
        <v>379000</v>
      </c>
      <c r="W34" s="22">
        <v>386000</v>
      </c>
      <c r="X34" s="22">
        <v>426000</v>
      </c>
      <c r="Y34" s="22">
        <f>((Data!$AJ$10*'Intermediate calculations'!Y4)+Data!$AK$10)*Drivers!Z4</f>
        <v>421543.02508348582</v>
      </c>
      <c r="Z34" s="22">
        <f>((Data!$AJ$10*'Intermediate calculations'!Z4)+Data!$AK$10)*Drivers!AA4</f>
        <v>430512.38294628798</v>
      </c>
      <c r="AA34" s="22">
        <f>((Data!$AJ$10*'Intermediate calculations'!AA4)+Data!$AK$10)*Drivers!AB4</f>
        <v>437736.41892231413</v>
      </c>
      <c r="AB34" s="22">
        <f>((Data!$AJ$10*'Intermediate calculations'!AB4)+Data!$AK$10)*Drivers!AC4</f>
        <v>442450.99207410211</v>
      </c>
      <c r="AC34" s="22">
        <f>((Data!$AJ$10*'Intermediate calculations'!AC4)+Data!$AK$10)*Drivers!AD4</f>
        <v>447230.33971764235</v>
      </c>
      <c r="AD34" s="22">
        <f>((Data!$AJ$10*'Intermediate calculations'!AD4)+Data!$AK$10)*Drivers!AE4</f>
        <v>453396.88104366296</v>
      </c>
      <c r="AE34" s="22">
        <f>((Data!$AJ$10*'Intermediate calculations'!AE4)+Data!$AK$10)*Drivers!AF4</f>
        <v>459992.79066328856</v>
      </c>
      <c r="AF34" s="22">
        <f>((Data!$AJ$10*'Intermediate calculations'!AF4)+Data!$AK$10)*Drivers!AG4</f>
        <v>463822.83826328628</v>
      </c>
      <c r="AG34" s="22">
        <f>((Data!$AJ$10*'Intermediate calculations'!AG4)+Data!$AK$10)*Drivers!AH4</f>
        <v>441693.82953878731</v>
      </c>
      <c r="AH34" s="22">
        <f>((Data!$AJ$10*'Intermediate calculations'!AH4)+Data!$AK$10)*Drivers!AI4</f>
        <v>451023.89905096759</v>
      </c>
      <c r="AI34" s="22">
        <f>((Data!$AJ$10*'Intermediate calculations'!AI4)+Data!$AK$10)*Drivers!AJ4</f>
        <v>459732.69782366534</v>
      </c>
      <c r="AJ34" s="22">
        <f>((Data!$AJ$10*'Intermediate calculations'!AJ4)+Data!$AK$10)*Drivers!AK4</f>
        <v>468510.36259191815</v>
      </c>
      <c r="AK34" s="22">
        <f>((Data!$AJ$10*'Intermediate calculations'!AK4)+Data!$AK$10)*Drivers!AL4</f>
        <v>478474.00807630393</v>
      </c>
      <c r="AL34" s="22">
        <f>((Data!$AJ$10*'Intermediate calculations'!AL4)+Data!$AK$10)*Drivers!AM4</f>
        <v>488520.45365545765</v>
      </c>
      <c r="AM34" s="22">
        <f>((Data!$AJ$10*'Intermediate calculations'!AM4)+Data!$AK$10)*Drivers!AN4</f>
        <v>498579.61169289006</v>
      </c>
      <c r="AN34" s="22">
        <f>((Data!$AJ$10*'Intermediate calculations'!AN4)+Data!$AK$10)*Drivers!AO4</f>
        <v>508444.4583652998</v>
      </c>
      <c r="AO34" s="22">
        <f>((Data!$AJ$10*'Intermediate calculations'!AO4)+Data!$AK$10)*Drivers!AP4</f>
        <v>518834.06230638718</v>
      </c>
      <c r="AP34" s="22">
        <f>((Data!$AJ$10*'Intermediate calculations'!AP4)+Data!$AK$10)*Drivers!AQ4</f>
        <v>528766.55861329543</v>
      </c>
      <c r="AQ34" s="22">
        <f>((Data!$AJ$10*'Intermediate calculations'!AQ4)+Data!$AK$10)*Drivers!AR4</f>
        <v>538934.79582298221</v>
      </c>
      <c r="AR34" s="22">
        <f>((Data!$AJ$10*'Intermediate calculations'!AR4)+Data!$AK$10)*Drivers!AS4</f>
        <v>550464.97197037318</v>
      </c>
      <c r="AS34" s="22">
        <f>((Data!$AJ$10*'Intermediate calculations'!AS4)+Data!$AK$10)*Drivers!AT4</f>
        <v>562790.39973030449</v>
      </c>
      <c r="AT34" s="22">
        <f>((Data!$AJ$10*'Intermediate calculations'!AT4)+Data!$AK$10)*Drivers!AU4</f>
        <v>575503.75032380328</v>
      </c>
      <c r="AU34" s="22">
        <f>((Data!$AJ$10*'Intermediate calculations'!AU4)+Data!$AK$10)*Drivers!AV4</f>
        <v>579280.39658821293</v>
      </c>
      <c r="AV34" s="22">
        <f>((Data!$AJ$10*'Intermediate calculations'!AV4)+Data!$AK$10)*Drivers!AW4</f>
        <v>143792.34948588893</v>
      </c>
      <c r="AW34" s="22">
        <f>((Data!$AJ$10*'Intermediate calculations'!AW4)+Data!$AK$10)*Drivers!AX4</f>
        <v>144845.07577144829</v>
      </c>
      <c r="AX34" s="22">
        <f>((Data!$AJ$10*'Intermediate calculations'!AX4)+Data!$AK$10)*Drivers!AY4</f>
        <v>145905.5092308335</v>
      </c>
      <c r="AY34" s="22">
        <f>((Data!$AJ$10*'Intermediate calculations'!AY4)+Data!$AK$10)*Drivers!AZ4</f>
        <v>146973.70628946976</v>
      </c>
      <c r="AZ34" s="22">
        <f>((Data!$AJ$10*'Intermediate calculations'!AZ4)+Data!$AK$10)*Drivers!BA4</f>
        <v>148049.7237858818</v>
      </c>
      <c r="BA34" s="22">
        <f>((Data!$AJ$10*'Intermediate calculations'!BA4)+Data!$AK$10)*Drivers!BB4</f>
        <v>149133.618974718</v>
      </c>
      <c r="BB34" s="22">
        <f>((Data!$AJ$10*'Intermediate calculations'!BB4)+Data!$AK$10)*Drivers!BC4</f>
        <v>150059.87737105048</v>
      </c>
      <c r="BC34" s="22">
        <f>((Data!$AJ$10*'Intermediate calculations'!BC4)+Data!$AK$10)*Drivers!BD4</f>
        <v>150991.88869299873</v>
      </c>
      <c r="BD34" s="22">
        <f>((Data!$AJ$10*'Intermediate calculations'!BD4)+Data!$AK$10)*Drivers!BE4</f>
        <v>151929.6886715783</v>
      </c>
      <c r="BE34" s="22">
        <f>((Data!$AJ$10*'Intermediate calculations'!BE4)+Data!$AK$10)*Drivers!BF4</f>
        <v>152873.31325972755</v>
      </c>
      <c r="BF34" s="22">
        <f>((Data!$AJ$10*'Intermediate calculations'!BF4)+Data!$AK$10)*Drivers!BG4</f>
        <v>153822.79863368598</v>
      </c>
      <c r="BG34" s="22">
        <f>((Data!$AJ$10*'Intermediate calculations'!BG4)+Data!$AK$10)*Drivers!BH4</f>
        <v>154608.03940608975</v>
      </c>
      <c r="BH34" s="22">
        <f>((Data!$AJ$10*'Intermediate calculations'!BH4)+Data!$AK$10)*Drivers!BI4</f>
        <v>155397.28870698294</v>
      </c>
      <c r="BI34" s="22">
        <f>((Data!$AJ$10*'Intermediate calculations'!BI4)+Data!$AK$10)*Drivers!BJ4</f>
        <v>156190.56699926205</v>
      </c>
      <c r="BJ34" s="22">
        <f>((Data!$AJ$10*'Intermediate calculations'!BJ4)+Data!$AK$10)*Drivers!BK4</f>
        <v>156987.8948502834</v>
      </c>
      <c r="BK34" s="22">
        <f>((Data!$AJ$10*'Intermediate calculations'!BK4)+Data!$AK$10)*Drivers!BL4</f>
        <v>157789.29293239632</v>
      </c>
    </row>
    <row r="35" spans="1:63" x14ac:dyDescent="0.25">
      <c r="A35" t="s">
        <v>336</v>
      </c>
      <c r="B35" t="s">
        <v>663</v>
      </c>
      <c r="C35" s="51">
        <f>C34*ttokg/Drivers!D4</f>
        <v>5.6792692731505428</v>
      </c>
      <c r="D35" s="51">
        <f>D34*ttokg/Drivers!E4</f>
        <v>5.6735407533878863</v>
      </c>
      <c r="E35" s="51">
        <f>E34*ttokg/Drivers!F4</f>
        <v>5.7663554980919702</v>
      </c>
      <c r="F35" s="51">
        <f>F34*ttokg/Drivers!G4</f>
        <v>5.5003626959346512</v>
      </c>
      <c r="G35" s="51">
        <f>G34*ttokg/Drivers!H4</f>
        <v>5.7440011119202836</v>
      </c>
      <c r="H35" s="51">
        <f>H34*ttokg/Drivers!I4</f>
        <v>6.5643785254272409</v>
      </c>
      <c r="I35" s="51">
        <f>I34*ttokg/Drivers!J4</f>
        <v>6.2261767361581377</v>
      </c>
      <c r="J35" s="51">
        <f>J34*ttokg/Drivers!K4</f>
        <v>6.8159410484838823</v>
      </c>
      <c r="K35" s="51">
        <f>K34*ttokg/Drivers!L4</f>
        <v>6.9135617067431951</v>
      </c>
      <c r="L35" s="51">
        <f>L34*ttokg/Drivers!M4</f>
        <v>6.7435684569066696</v>
      </c>
      <c r="M35" s="51">
        <f>M34*ttokg/Drivers!N4</f>
        <v>6.8938359055347007</v>
      </c>
      <c r="N35" s="51">
        <f>N34*ttokg/Drivers!O4</f>
        <v>6.7586436139573367</v>
      </c>
      <c r="O35" s="51">
        <f>O34*ttokg/Drivers!P4</f>
        <v>6.7820976802777446</v>
      </c>
      <c r="P35" s="51">
        <f>P34*ttokg/Drivers!Q4</f>
        <v>6.5283657706780742</v>
      </c>
      <c r="Q35" s="51">
        <f>Q34*ttokg/Drivers!R4</f>
        <v>6.956836529777692</v>
      </c>
      <c r="R35" s="51">
        <f>R34*ttokg/Drivers!S4</f>
        <v>7.4560467609836394</v>
      </c>
      <c r="S35" s="51">
        <f>S34*ttokg/Drivers!T4</f>
        <v>8.0842312552919999</v>
      </c>
      <c r="T35" s="51">
        <f>T34*ttokg/Drivers!U4</f>
        <v>8.4690969269617149</v>
      </c>
      <c r="U35" s="51">
        <f>U34*ttokg/Drivers!V4</f>
        <v>8.115795364719725</v>
      </c>
      <c r="V35" s="51">
        <f>V34*ttokg/Drivers!W4</f>
        <v>7.5083685125492075</v>
      </c>
      <c r="W35" s="51">
        <f>W34*ttokg/Drivers!X4</f>
        <v>7.5365654239091562</v>
      </c>
      <c r="X35" s="51">
        <f>X34*ttokg/Drivers!Y4</f>
        <v>8.1916504698892236</v>
      </c>
      <c r="Y35" s="51">
        <f>Y34*ttokg/Drivers!Z4</f>
        <v>8.0561784559632859</v>
      </c>
      <c r="Z35" s="51">
        <f>Z34*ttokg/Drivers!AA4</f>
        <v>8.1069081418226361</v>
      </c>
      <c r="AA35" s="51">
        <f>AA34*ttokg/Drivers!AB4</f>
        <v>8.1194066205093893</v>
      </c>
      <c r="AB35" s="51">
        <f>AB34*ttokg/Drivers!AC4</f>
        <v>8.0812241186729761</v>
      </c>
      <c r="AC35" s="51">
        <f>AC34*ttokg/Drivers!AD4</f>
        <v>8.0408273712604146</v>
      </c>
      <c r="AD35" s="51">
        <f>AD34*ttokg/Drivers!AE4</f>
        <v>8.0216074773215222</v>
      </c>
      <c r="AE35" s="51">
        <f>AE34*ttokg/Drivers!AF4</f>
        <v>8.0087886642430881</v>
      </c>
      <c r="AF35" s="51">
        <f>AF34*ttokg/Drivers!AG4</f>
        <v>7.9469570827122844</v>
      </c>
      <c r="AG35" s="51">
        <f>AG34*ttokg/Drivers!AH4</f>
        <v>7.4473711953305211</v>
      </c>
      <c r="AH35" s="51">
        <f>AH34*ttokg/Drivers!AI4</f>
        <v>7.5181199707324931</v>
      </c>
      <c r="AI35" s="51">
        <f>AI34*ttokg/Drivers!AJ4</f>
        <v>7.5760549885018227</v>
      </c>
      <c r="AJ35" s="51">
        <f>AJ34*ttokg/Drivers!AK4</f>
        <v>7.6328188270036046</v>
      </c>
      <c r="AK35" s="51">
        <f>AK34*ttokg/Drivers!AL4</f>
        <v>7.7064103732678673</v>
      </c>
      <c r="AL35" s="51">
        <f>AL34*ttokg/Drivers!AM4</f>
        <v>7.7786559124251653</v>
      </c>
      <c r="AM35" s="51">
        <f>AM34*ttokg/Drivers!AN4</f>
        <v>7.8614196876738678</v>
      </c>
      <c r="AN35" s="51">
        <f>AN34*ttokg/Drivers!AO4</f>
        <v>7.9387960146602783</v>
      </c>
      <c r="AO35" s="51">
        <f>AO34*ttokg/Drivers!AP4</f>
        <v>8.0220296534620861</v>
      </c>
      <c r="AP35" s="51">
        <f>AP34*ttokg/Drivers!AQ4</f>
        <v>8.0958866881289424</v>
      </c>
      <c r="AQ35" s="51">
        <f>AQ34*ttokg/Drivers!AR4</f>
        <v>8.171114992155875</v>
      </c>
      <c r="AR35" s="51">
        <f>AR34*ttokg/Drivers!AS4</f>
        <v>8.2753072163508179</v>
      </c>
      <c r="AS35" s="51">
        <f>AS34*ttokg/Drivers!AT4</f>
        <v>8.389005069361243</v>
      </c>
      <c r="AT35" s="51">
        <f>AT34*ttokg/Drivers!AU4</f>
        <v>8.5059196050148902</v>
      </c>
      <c r="AU35" s="51">
        <f>AU34*ttokg/Drivers!AV4</f>
        <v>8.4892883740199672</v>
      </c>
      <c r="AV35" s="51">
        <f>AV34*ttokg/Drivers!AW4</f>
        <v>2.0894287861227241</v>
      </c>
      <c r="AW35" s="51">
        <f>AW34*ttokg/Drivers!AX4</f>
        <v>2.0894287861227241</v>
      </c>
      <c r="AX35" s="51">
        <f>AX34*ttokg/Drivers!AY4</f>
        <v>2.0894287861227241</v>
      </c>
      <c r="AY35" s="51">
        <f>AY34*ttokg/Drivers!AZ4</f>
        <v>2.0894287861227241</v>
      </c>
      <c r="AZ35" s="51">
        <f>AZ34*ttokg/Drivers!BA4</f>
        <v>2.0894287861227241</v>
      </c>
      <c r="BA35" s="51">
        <f>BA34*ttokg/Drivers!BB4</f>
        <v>2.0894287861227245</v>
      </c>
      <c r="BB35" s="51">
        <f>BB34*ttokg/Drivers!BC4</f>
        <v>2.0894287861227241</v>
      </c>
      <c r="BC35" s="51">
        <f>BC34*ttokg/Drivers!BD4</f>
        <v>2.0894287861227245</v>
      </c>
      <c r="BD35" s="51">
        <f>BD34*ttokg/Drivers!BE4</f>
        <v>2.0894287861227245</v>
      </c>
      <c r="BE35" s="51">
        <f>BE34*ttokg/Drivers!BF4</f>
        <v>2.0894287861227241</v>
      </c>
      <c r="BF35" s="51">
        <f>BF34*ttokg/Drivers!BG4</f>
        <v>2.0894287861227241</v>
      </c>
      <c r="BG35" s="51">
        <f>BG34*ttokg/Drivers!BH4</f>
        <v>2.0894287861227241</v>
      </c>
      <c r="BH35" s="51">
        <f>BH34*ttokg/Drivers!BI4</f>
        <v>2.0894287861227241</v>
      </c>
      <c r="BI35" s="51">
        <f>BI34*ttokg/Drivers!BJ4</f>
        <v>2.0894287861227245</v>
      </c>
      <c r="BJ35" s="51">
        <f>BJ34*ttokg/Drivers!BK4</f>
        <v>2.0894287861227241</v>
      </c>
      <c r="BK35" s="51">
        <f>BK34*ttokg/Drivers!BL4</f>
        <v>2.0894287861227241</v>
      </c>
    </row>
    <row r="36" spans="1:63" x14ac:dyDescent="0.25">
      <c r="A36" t="s">
        <v>336</v>
      </c>
      <c r="B36" t="s">
        <v>322</v>
      </c>
      <c r="C36" s="51">
        <f>C34/Drivers!D4</f>
        <v>5.6792692731505428E-3</v>
      </c>
      <c r="D36" s="51">
        <f>D34/Drivers!E4</f>
        <v>5.6735407533878863E-3</v>
      </c>
      <c r="E36" s="51">
        <f>E34/Drivers!F4</f>
        <v>5.7663554980919695E-3</v>
      </c>
      <c r="F36" s="51">
        <f>F34/Drivers!G4</f>
        <v>5.5003626959346519E-3</v>
      </c>
      <c r="G36" s="51">
        <f>G34/Drivers!H4</f>
        <v>5.7440011119202841E-3</v>
      </c>
      <c r="H36" s="51">
        <f>H34/Drivers!I4</f>
        <v>6.5643785254272408E-3</v>
      </c>
      <c r="I36" s="51">
        <f>I34/Drivers!J4</f>
        <v>6.2261767361581379E-3</v>
      </c>
      <c r="J36" s="51">
        <f>J34/Drivers!K4</f>
        <v>6.8159410484838825E-3</v>
      </c>
      <c r="K36" s="51">
        <f>K34/Drivers!L4</f>
        <v>6.9135617067431947E-3</v>
      </c>
      <c r="L36" s="51">
        <f>L34/Drivers!M4</f>
        <v>6.7435684569066689E-3</v>
      </c>
      <c r="M36" s="51">
        <f>M34/Drivers!N4</f>
        <v>6.8938359055347002E-3</v>
      </c>
      <c r="N36" s="51">
        <f>N34/Drivers!O4</f>
        <v>6.7586436139573363E-3</v>
      </c>
      <c r="O36" s="51">
        <f>O34/Drivers!P4</f>
        <v>6.7820976802777447E-3</v>
      </c>
      <c r="P36" s="51">
        <f>P34/Drivers!Q4</f>
        <v>6.5283657706780738E-3</v>
      </c>
      <c r="Q36" s="51">
        <f>Q34/Drivers!R4</f>
        <v>6.9568365297776923E-3</v>
      </c>
      <c r="R36" s="51">
        <f>R34/Drivers!S4</f>
        <v>7.456046760983639E-3</v>
      </c>
      <c r="S36" s="51">
        <f>S34/Drivers!T4</f>
        <v>8.0842312552920001E-3</v>
      </c>
      <c r="T36" s="51">
        <f>T34/Drivers!U4</f>
        <v>8.4690969269617146E-3</v>
      </c>
      <c r="U36" s="51">
        <f>U34/Drivers!V4</f>
        <v>8.1157953647197252E-3</v>
      </c>
      <c r="V36" s="51">
        <f>V34/Drivers!W4</f>
        <v>7.5083685125492076E-3</v>
      </c>
      <c r="W36" s="51">
        <f>W34/Drivers!X4</f>
        <v>7.5365654239091563E-3</v>
      </c>
      <c r="X36" s="51">
        <f>X34/Drivers!Y4</f>
        <v>8.191650469889223E-3</v>
      </c>
      <c r="Y36" s="51"/>
      <c r="Z36" s="51"/>
      <c r="AA36" s="51"/>
      <c r="AB36" s="51"/>
      <c r="AC36" s="51"/>
      <c r="AD36" s="51"/>
      <c r="AE36" s="51"/>
      <c r="AF36" s="51"/>
      <c r="AG36" s="51"/>
      <c r="AH36" s="51"/>
      <c r="AI36" s="51"/>
      <c r="AJ36" s="51"/>
      <c r="AK36" s="51"/>
      <c r="AL36" s="51"/>
      <c r="AM36" s="51"/>
      <c r="AN36" s="51"/>
      <c r="AO36" s="51">
        <f>(AO37-AD37)/AD37</f>
        <v>0.14642766276360714</v>
      </c>
      <c r="AP36" s="51"/>
      <c r="AQ36" s="51">
        <f>(AQ37-AE37)/AE37</f>
        <v>0.17407786482230761</v>
      </c>
      <c r="AR36" s="51"/>
      <c r="AS36" s="51"/>
      <c r="AT36" s="51"/>
      <c r="AU36" s="51"/>
      <c r="AV36" s="51"/>
      <c r="AW36" s="51"/>
      <c r="AX36" s="51"/>
      <c r="AY36" s="51"/>
      <c r="AZ36" s="51"/>
      <c r="BA36" s="51"/>
      <c r="BB36" s="51"/>
      <c r="BC36" s="51"/>
      <c r="BD36" s="51"/>
      <c r="BE36" s="51"/>
      <c r="BF36" s="51"/>
      <c r="BG36" s="51"/>
      <c r="BH36" s="51"/>
      <c r="BI36" s="51"/>
      <c r="BJ36" s="51"/>
      <c r="BK36" s="51"/>
    </row>
    <row r="37" spans="1:63" x14ac:dyDescent="0.25">
      <c r="A37" t="s">
        <v>337</v>
      </c>
      <c r="B37" t="s">
        <v>321</v>
      </c>
      <c r="C37" s="22">
        <v>224000</v>
      </c>
      <c r="D37" s="22">
        <v>232000</v>
      </c>
      <c r="E37" s="22">
        <v>238000</v>
      </c>
      <c r="F37" s="22">
        <v>235000</v>
      </c>
      <c r="G37" s="22">
        <v>251000</v>
      </c>
      <c r="H37" s="22">
        <v>290000</v>
      </c>
      <c r="I37" s="22">
        <v>282000</v>
      </c>
      <c r="J37" s="22">
        <v>314000</v>
      </c>
      <c r="K37" s="22">
        <v>323000</v>
      </c>
      <c r="L37" s="22">
        <v>318000</v>
      </c>
      <c r="M37" s="22">
        <v>329000</v>
      </c>
      <c r="N37" s="22">
        <v>330000</v>
      </c>
      <c r="O37" s="22">
        <v>340000</v>
      </c>
      <c r="P37" s="22">
        <v>328000</v>
      </c>
      <c r="Q37" s="22">
        <v>348000</v>
      </c>
      <c r="R37" s="22">
        <v>375000</v>
      </c>
      <c r="S37" s="22">
        <v>412000</v>
      </c>
      <c r="T37" s="22">
        <v>438000</v>
      </c>
      <c r="U37" s="22">
        <v>426000</v>
      </c>
      <c r="V37" s="22">
        <v>404000</v>
      </c>
      <c r="W37" s="22">
        <v>413000</v>
      </c>
      <c r="X37" s="22">
        <v>452000</v>
      </c>
      <c r="Y37" s="22">
        <f>((Data!$AJ$29*'Intermediate calculations'!Y34)+Data!$AK$29)</f>
        <v>451437.03272998746</v>
      </c>
      <c r="Z37" s="22">
        <f>((Data!$AJ$29*'Intermediate calculations'!Z34)+Data!$AK$29)</f>
        <v>461193.03147559898</v>
      </c>
      <c r="AA37" s="22">
        <f>((Data!$AJ$29*'Intermediate calculations'!AA34)+Data!$AK$29)</f>
        <v>469050.63811794837</v>
      </c>
      <c r="AB37" s="22">
        <f>((Data!$AJ$29*'Intermediate calculations'!AB34)+Data!$AK$29)</f>
        <v>474178.69415702001</v>
      </c>
      <c r="AC37" s="22">
        <f>((Data!$AJ$29*'Intermediate calculations'!AC34)+Data!$AK$29)</f>
        <v>479377.20561441127</v>
      </c>
      <c r="AD37" s="22">
        <f>((Data!$AJ$29*'Intermediate calculations'!AD34)+Data!$AK$29)</f>
        <v>486084.5720013539</v>
      </c>
      <c r="AE37" s="22">
        <f>((Data!$AJ$29*'Intermediate calculations'!AE34)+Data!$AK$29)</f>
        <v>493258.96363111655</v>
      </c>
      <c r="AF37" s="22">
        <f>((Data!$AJ$29*'Intermediate calculations'!AF34)+Data!$AK$29)</f>
        <v>497424.91844669759</v>
      </c>
      <c r="AG37" s="22">
        <f>((Data!$AJ$29*'Intermediate calculations'!AG34)+Data!$AK$29)</f>
        <v>473355.12608695892</v>
      </c>
      <c r="AH37" s="22">
        <f>((Data!$AJ$29*'Intermediate calculations'!AH34)+Data!$AK$29)</f>
        <v>483503.47202761931</v>
      </c>
      <c r="AI37" s="22">
        <f>((Data!$AJ$29*'Intermediate calculations'!AI34)+Data!$AK$29)</f>
        <v>492976.05983176769</v>
      </c>
      <c r="AJ37" s="22">
        <f>((Data!$AJ$29*'Intermediate calculations'!AJ34)+Data!$AK$29)</f>
        <v>502523.5533957851</v>
      </c>
      <c r="AK37" s="22">
        <f>((Data!$AJ$29*'Intermediate calculations'!AK34)+Data!$AK$29)</f>
        <v>513361.04191327596</v>
      </c>
      <c r="AL37" s="22">
        <f>((Data!$AJ$29*'Intermediate calculations'!AL34)+Data!$AK$29)</f>
        <v>524288.59235415631</v>
      </c>
      <c r="AM37" s="22">
        <f>((Data!$AJ$29*'Intermediate calculations'!AM34)+Data!$AK$29)</f>
        <v>535229.97017587232</v>
      </c>
      <c r="AN37" s="22">
        <f>((Data!$AJ$29*'Intermediate calculations'!AN34)+Data!$AK$29)</f>
        <v>545959.9949149692</v>
      </c>
      <c r="AO37" s="22">
        <f>((Data!$AJ$29*'Intermediate calculations'!AO34)+Data!$AK$29)</f>
        <v>557260.79978496046</v>
      </c>
      <c r="AP37" s="22">
        <f>((Data!$AJ$29*'Intermediate calculations'!AP34)+Data!$AK$29)</f>
        <v>568064.40724418079</v>
      </c>
      <c r="AQ37" s="22">
        <f>((Data!$AJ$29*'Intermediate calculations'!AQ34)+Data!$AK$29)</f>
        <v>579124.43082448561</v>
      </c>
      <c r="AR37" s="22">
        <f>((Data!$AJ$29*'Intermediate calculations'!AR34)+Data!$AK$29)</f>
        <v>591665.83966905181</v>
      </c>
      <c r="AS37" s="22">
        <f>((Data!$AJ$29*'Intermediate calculations'!AS34)+Data!$AK$29)</f>
        <v>605072.24619272328</v>
      </c>
      <c r="AT37" s="22">
        <f>((Data!$AJ$29*'Intermediate calculations'!AT34)+Data!$AK$29)</f>
        <v>618900.59760203399</v>
      </c>
      <c r="AU37" s="22">
        <f>((Data!$AJ$29*'Intermediate calculations'!AU34)+Data!$AK$29)</f>
        <v>623008.46761701046</v>
      </c>
      <c r="AV37" s="22">
        <f>((Data!$AJ$29*'Intermediate calculations'!AV34)+Data!$AK$29)</f>
        <v>149326.74967831603</v>
      </c>
      <c r="AW37" s="22">
        <f>((Data!$AJ$29*'Intermediate calculations'!AW34)+Data!$AK$29)</f>
        <v>150471.80336872375</v>
      </c>
      <c r="AX37" s="22">
        <f>((Data!$AJ$29*'Intermediate calculations'!AX34)+Data!$AK$29)</f>
        <v>151625.24017633201</v>
      </c>
      <c r="AY37" s="22">
        <f>((Data!$AJ$29*'Intermediate calculations'!AY34)+Data!$AK$29)</f>
        <v>152787.12147525317</v>
      </c>
      <c r="AZ37" s="22">
        <f>((Data!$AJ$29*'Intermediate calculations'!AZ34)+Data!$AK$29)</f>
        <v>153957.50908892925</v>
      </c>
      <c r="BA37" s="22">
        <f>((Data!$AJ$29*'Intermediate calculations'!BA34)+Data!$AK$29)</f>
        <v>155136.46529342132</v>
      </c>
      <c r="BB37" s="22">
        <f>((Data!$AJ$29*'Intermediate calculations'!BB34)+Data!$AK$29)</f>
        <v>156143.95946312195</v>
      </c>
      <c r="BC37" s="22">
        <f>((Data!$AJ$29*'Intermediate calculations'!BC34)+Data!$AK$29)</f>
        <v>157157.71110810118</v>
      </c>
      <c r="BD37" s="22">
        <f>((Data!$AJ$29*'Intermediate calculations'!BD34)+Data!$AK$29)</f>
        <v>158177.75909309689</v>
      </c>
      <c r="BE37" s="22">
        <f>((Data!$AJ$29*'Intermediate calculations'!BE34)+Data!$AK$29)</f>
        <v>159204.14252423318</v>
      </c>
      <c r="BF37" s="22">
        <f>((Data!$AJ$29*'Intermediate calculations'!BF34)+Data!$AK$29)</f>
        <v>160236.9007505195</v>
      </c>
      <c r="BG37" s="22">
        <f>((Data!$AJ$29*'Intermediate calculations'!BG34)+Data!$AK$29)</f>
        <v>161091.00960733579</v>
      </c>
      <c r="BH37" s="22">
        <f>((Data!$AJ$29*'Intermediate calculations'!BH34)+Data!$AK$29)</f>
        <v>161949.4785531922</v>
      </c>
      <c r="BI37" s="22">
        <f>((Data!$AJ$29*'Intermediate calculations'!BI34)+Data!$AK$29)</f>
        <v>162812.32984564558</v>
      </c>
      <c r="BJ37" s="22">
        <f>((Data!$AJ$29*'Intermediate calculations'!BJ34)+Data!$AK$29)</f>
        <v>163679.58585587409</v>
      </c>
      <c r="BK37" s="22">
        <f>((Data!$AJ$29*'Intermediate calculations'!BK34)+Data!$AK$29)</f>
        <v>164551.26906925705</v>
      </c>
    </row>
    <row r="38" spans="1:63" x14ac:dyDescent="0.25">
      <c r="A38" t="s">
        <v>836</v>
      </c>
      <c r="B38" t="s">
        <v>815</v>
      </c>
      <c r="C38" s="22">
        <f>Data!C30</f>
        <v>68.119237849915791</v>
      </c>
      <c r="D38" s="22">
        <f>Data!D30</f>
        <v>63.894859769163475</v>
      </c>
      <c r="E38" s="22">
        <f>Data!E30</f>
        <v>59.072103114550025</v>
      </c>
      <c r="F38" s="22">
        <f>Data!F30</f>
        <v>58.885553141022513</v>
      </c>
      <c r="G38" s="22">
        <f>Data!G30</f>
        <v>52.733853566608673</v>
      </c>
      <c r="H38" s="22">
        <f>Data!H30</f>
        <v>49.801167659087803</v>
      </c>
      <c r="I38" s="22">
        <f>Data!I30</f>
        <v>54.097578895179353</v>
      </c>
      <c r="J38" s="22">
        <f>Data!J30</f>
        <v>48.744213441440387</v>
      </c>
      <c r="K38" s="22">
        <f>Data!K30</f>
        <v>53.352655002236958</v>
      </c>
      <c r="L38" s="22">
        <f>Data!L30</f>
        <v>58.098761689825743</v>
      </c>
      <c r="M38" s="22">
        <f>Data!M30</f>
        <v>54.966389071324642</v>
      </c>
      <c r="N38" s="22">
        <f>Data!N30</f>
        <v>56.261688084642699</v>
      </c>
      <c r="O38" s="22">
        <f>Data!O30</f>
        <v>54.178346501154266</v>
      </c>
      <c r="P38" s="22">
        <f>Data!P30</f>
        <v>53.918414227536552</v>
      </c>
      <c r="Q38" s="22">
        <f>Data!Q30</f>
        <v>52.662428155033204</v>
      </c>
      <c r="R38" s="22">
        <f>Data!R30</f>
        <v>51.817664184004158</v>
      </c>
      <c r="S38" s="22">
        <f>Data!S30</f>
        <v>52.051167139869889</v>
      </c>
      <c r="T38" s="22">
        <f>Data!T30</f>
        <v>54.184194262204088</v>
      </c>
      <c r="U38" s="22">
        <f>Data!U30</f>
        <v>56.444210182137155</v>
      </c>
      <c r="V38" s="22">
        <f>Data!V30</f>
        <v>57.323692110809887</v>
      </c>
      <c r="W38" s="22">
        <f>Data!W30</f>
        <v>58.258803357595554</v>
      </c>
      <c r="X38" s="22">
        <f>Data!X30</f>
        <v>55.689096813946371</v>
      </c>
      <c r="Y38" s="22">
        <f>((Data!$AJ$30*LN('Intermediate calculations'!Y2))+Data!$AK$30)</f>
        <v>54.878404435813614</v>
      </c>
      <c r="Z38" s="22">
        <f>((Data!$AJ$30*LN('Intermediate calculations'!Z2))+Data!$AK$30)</f>
        <v>54.880806049015746</v>
      </c>
      <c r="AA38" s="22">
        <f>((Data!$AJ$30*LN('Intermediate calculations'!AA2))+Data!$AK$30)</f>
        <v>54.883062017847422</v>
      </c>
      <c r="AB38" s="22">
        <f>((Data!$AJ$30*LN('Intermediate calculations'!AB2))+Data!$AK$30)</f>
        <v>54.88518900183886</v>
      </c>
      <c r="AC38" s="22">
        <f>((Data!$AJ$30*LN('Intermediate calculations'!AC2))+Data!$AK$30)</f>
        <v>54.887200956096819</v>
      </c>
      <c r="AD38" s="22">
        <f>((Data!$AJ$30*LN('Intermediate calculations'!AD2))+Data!$AK$30)</f>
        <v>54.889109686740333</v>
      </c>
      <c r="AE38" s="22">
        <f>((Data!$AJ$30*LN('Intermediate calculations'!AE2))+Data!$AK$30)</f>
        <v>54.890925270679013</v>
      </c>
      <c r="AF38" s="22">
        <f>((Data!$AJ$30*LN('Intermediate calculations'!AF2))+Data!$AK$30)</f>
        <v>54.892656377648038</v>
      </c>
      <c r="AG38" s="22">
        <f>((Data!$AJ$30*LN('Intermediate calculations'!AG2))+Data!$AK$30)</f>
        <v>54.894310520599667</v>
      </c>
      <c r="AH38" s="22">
        <f>((Data!$AJ$30*LN('Intermediate calculations'!AH2))+Data!$AK$30)</f>
        <v>54.895894252765579</v>
      </c>
      <c r="AI38" s="22">
        <f>((Data!$AJ$30*LN('Intermediate calculations'!AI2))+Data!$AK$30)</f>
        <v>54.897413324464914</v>
      </c>
      <c r="AJ38" s="22">
        <f>((Data!$AJ$30*LN('Intermediate calculations'!AJ2))+Data!$AK$30)</f>
        <v>54.89887280913927</v>
      </c>
      <c r="AK38" s="22">
        <f>((Data!$AJ$30*LN('Intermediate calculations'!AK2))+Data!$AK$30)</f>
        <v>54.900277205588694</v>
      </c>
      <c r="AL38" s="22">
        <f>((Data!$AJ$30*LN('Intermediate calculations'!AL2))+Data!$AK$30)</f>
        <v>54.901630521605725</v>
      </c>
      <c r="AM38" s="22">
        <f>((Data!$AJ$30*LN('Intermediate calculations'!AM2))+Data!$AK$30)</f>
        <v>54.902936342926907</v>
      </c>
      <c r="AN38" s="22">
        <f>((Data!$AJ$30*LN('Intermediate calculations'!AN2))+Data!$AK$30)</f>
        <v>54.90419789049016</v>
      </c>
      <c r="AO38" s="22">
        <f>((Data!$AJ$30*LN('Intermediate calculations'!AO2))+Data!$AK$30)</f>
        <v>54.905418068300236</v>
      </c>
      <c r="AP38" s="22">
        <f>((Data!$AJ$30*LN('Intermediate calculations'!AP2))+Data!$AK$30)</f>
        <v>54.906599503692291</v>
      </c>
      <c r="AQ38" s="22">
        <f>((Data!$AJ$30*LN('Intermediate calculations'!AQ2))+Data!$AK$30)</f>
        <v>54.907744581397871</v>
      </c>
      <c r="AR38" s="22">
        <f>((Data!$AJ$30*LN('Intermediate calculations'!AR2))+Data!$AK$30)</f>
        <v>54.908855472523967</v>
      </c>
      <c r="AS38" s="22">
        <f>((Data!$AJ$30*LN('Intermediate calculations'!AS2))+Data!$AK$30)</f>
        <v>54.909934159330312</v>
      </c>
      <c r="AT38" s="22">
        <f>((Data!$AJ$30*LN('Intermediate calculations'!AT2))+Data!$AK$30)</f>
        <v>54.910982456515406</v>
      </c>
      <c r="AU38" s="22">
        <f>((Data!$AJ$30*LN('Intermediate calculations'!AU2))+Data!$AK$30)</f>
        <v>54.912002029585494</v>
      </c>
      <c r="AV38" s="22">
        <f>((Data!$AJ$30*LN('Intermediate calculations'!AV2))+Data!$AK$30)</f>
        <v>54.912994410773372</v>
      </c>
      <c r="AW38" s="22">
        <f>((Data!$AJ$30*LN('Intermediate calculations'!AW2))+Data!$AK$30)</f>
        <v>54.913961012889104</v>
      </c>
      <c r="AX38" s="22">
        <f>((Data!$AJ$30*LN('Intermediate calculations'!AX2))+Data!$AK$30)</f>
        <v>54.914903141416879</v>
      </c>
      <c r="AY38" s="22">
        <f>((Data!$AJ$30*LN('Intermediate calculations'!AY2))+Data!$AK$30)</f>
        <v>54.915822005117917</v>
      </c>
      <c r="AZ38" s="22">
        <f>((Data!$AJ$30*LN('Intermediate calculations'!AZ2))+Data!$AK$30)</f>
        <v>54.916718725355558</v>
      </c>
      <c r="BA38" s="22">
        <f>((Data!$AJ$30*LN('Intermediate calculations'!BA2))+Data!$AK$30)</f>
        <v>54.917594344322914</v>
      </c>
      <c r="BB38" s="22">
        <f>((Data!$AJ$30*LN('Intermediate calculations'!BB2))+Data!$AK$30)</f>
        <v>54.91844983232459</v>
      </c>
      <c r="BC38" s="22">
        <f>((Data!$AJ$30*LN('Intermediate calculations'!BC2))+Data!$AK$30)</f>
        <v>54.919286094239993</v>
      </c>
      <c r="BD38" s="22">
        <f>((Data!$AJ$30*LN('Intermediate calculations'!BD2))+Data!$AK$30)</f>
        <v>54.920103975276213</v>
      </c>
      <c r="BE38" s="22">
        <f>((Data!$AJ$30*LN('Intermediate calculations'!BE2))+Data!$AK$30)</f>
        <v>54.920904266102156</v>
      </c>
      <c r="BF38" s="22">
        <f>((Data!$AJ$30*LN('Intermediate calculations'!BF2))+Data!$AK$30)</f>
        <v>54.921687707442125</v>
      </c>
      <c r="BG38" s="22">
        <f>((Data!$AJ$30*LN('Intermediate calculations'!BG2))+Data!$AK$30)</f>
        <v>54.922454994195704</v>
      </c>
      <c r="BH38" s="22">
        <f>((Data!$AJ$30*LN('Intermediate calculations'!BH2))+Data!$AK$30)</f>
        <v>54.923206779141459</v>
      </c>
      <c r="BI38" s="22">
        <f>((Data!$AJ$30*LN('Intermediate calculations'!BI2))+Data!$AK$30)</f>
        <v>54.923943676273794</v>
      </c>
      <c r="BJ38" s="22">
        <f>((Data!$AJ$30*LN('Intermediate calculations'!BJ2))+Data!$AK$30)</f>
        <v>54.924666263815823</v>
      </c>
      <c r="BK38" s="22">
        <f>((Data!$AJ$30*LN('Intermediate calculations'!BK2))+Data!$AK$30)</f>
        <v>54.925375086945202</v>
      </c>
    </row>
    <row r="39" spans="1:63" x14ac:dyDescent="0.25">
      <c r="A39" t="s">
        <v>338</v>
      </c>
      <c r="B39" t="s">
        <v>321</v>
      </c>
      <c r="C39" s="22">
        <v>605000</v>
      </c>
      <c r="D39" s="22">
        <v>593000</v>
      </c>
      <c r="E39" s="22">
        <v>571000</v>
      </c>
      <c r="F39" s="22">
        <v>580000</v>
      </c>
      <c r="G39" s="22">
        <v>609000</v>
      </c>
      <c r="H39" s="22">
        <v>662000</v>
      </c>
      <c r="I39" s="22">
        <v>738000</v>
      </c>
      <c r="J39" s="22">
        <v>826000</v>
      </c>
      <c r="K39" s="22">
        <v>854000</v>
      </c>
      <c r="L39" s="22">
        <v>874000</v>
      </c>
      <c r="M39" s="22">
        <v>927000</v>
      </c>
      <c r="N39" s="22">
        <v>938000</v>
      </c>
      <c r="O39" s="22">
        <v>965000</v>
      </c>
      <c r="P39" s="22">
        <v>1032000</v>
      </c>
      <c r="Q39" s="22">
        <v>1196000</v>
      </c>
      <c r="R39" s="22">
        <v>1455000</v>
      </c>
      <c r="S39" s="22">
        <v>1664000</v>
      </c>
      <c r="T39" s="22">
        <v>1767000</v>
      </c>
      <c r="U39" s="22">
        <v>1813000</v>
      </c>
      <c r="V39" s="22">
        <v>1841000</v>
      </c>
      <c r="W39" s="22">
        <v>1887000</v>
      </c>
      <c r="X39" s="22">
        <v>1987000</v>
      </c>
      <c r="Y39" s="22">
        <f>((Data!$AJ$11*'Intermediate calculations'!Y4)+Data!$AK$11)*Drivers!Z4</f>
        <v>1804299.8007130788</v>
      </c>
      <c r="Z39" s="22">
        <f>((Data!$AJ$11*'Intermediate calculations'!Z4)+Data!$AK$11)*Drivers!AA4</f>
        <v>1865401.2408232223</v>
      </c>
      <c r="AA39" s="22">
        <f>((Data!$AJ$11*'Intermediate calculations'!AA4)+Data!$AK$11)*Drivers!AB4</f>
        <v>1902347.7165159208</v>
      </c>
      <c r="AB39" s="22">
        <f>((Data!$AJ$11*'Intermediate calculations'!AB4)+Data!$AK$11)*Drivers!AC4</f>
        <v>1905350.5867499888</v>
      </c>
      <c r="AC39" s="22">
        <f>((Data!$AJ$11*'Intermediate calculations'!AC4)+Data!$AK$11)*Drivers!AD4</f>
        <v>1907049.4539585721</v>
      </c>
      <c r="AD39" s="22">
        <f>((Data!$AJ$11*'Intermediate calculations'!AD4)+Data!$AK$11)*Drivers!AE4</f>
        <v>1924168.8644702844</v>
      </c>
      <c r="AE39" s="22">
        <f>((Data!$AJ$11*'Intermediate calculations'!AE4)+Data!$AK$11)*Drivers!AF4</f>
        <v>1945927.6728718765</v>
      </c>
      <c r="AF39" s="22">
        <f>((Data!$AJ$11*'Intermediate calculations'!AF4)+Data!$AK$11)*Drivers!AG4</f>
        <v>1931527.4432885377</v>
      </c>
      <c r="AG39" s="22">
        <f>((Data!$AJ$11*'Intermediate calculations'!AG4)+Data!$AK$11)*Drivers!AH4</f>
        <v>1586157.7705843367</v>
      </c>
      <c r="AH39" s="22">
        <f>((Data!$AJ$11*'Intermediate calculations'!AH4)+Data!$AK$11)*Drivers!AI4</f>
        <v>1658368.0956207621</v>
      </c>
      <c r="AI39" s="22">
        <f>((Data!$AJ$11*'Intermediate calculations'!AI4)+Data!$AK$11)*Drivers!AJ4</f>
        <v>1722147.8290418803</v>
      </c>
      <c r="AJ39" s="22">
        <f>((Data!$AJ$11*'Intermediate calculations'!AJ4)+Data!$AK$11)*Drivers!AK4</f>
        <v>1786262.7180970369</v>
      </c>
      <c r="AK39" s="22">
        <f>((Data!$AJ$11*'Intermediate calculations'!AK4)+Data!$AK$11)*Drivers!AL4</f>
        <v>1864905.4890621167</v>
      </c>
      <c r="AL39" s="22">
        <f>((Data!$AJ$11*'Intermediate calculations'!AL4)+Data!$AK$11)*Drivers!AM4</f>
        <v>1944048.0127405094</v>
      </c>
      <c r="AM39" s="22">
        <f>((Data!$AJ$11*'Intermediate calculations'!AM4)+Data!$AK$11)*Drivers!AN4</f>
        <v>2029906.3107353486</v>
      </c>
      <c r="AN39" s="22">
        <f>((Data!$AJ$11*'Intermediate calculations'!AN4)+Data!$AK$11)*Drivers!AO4</f>
        <v>2112881.3138029417</v>
      </c>
      <c r="AO39" s="22">
        <f>((Data!$AJ$11*'Intermediate calculations'!AO4)+Data!$AK$11)*Drivers!AP4</f>
        <v>2202108.5813529431</v>
      </c>
      <c r="AP39" s="22">
        <f>((Data!$AJ$11*'Intermediate calculations'!AP4)+Data!$AK$11)*Drivers!AQ4</f>
        <v>2285104.131553676</v>
      </c>
      <c r="AQ39" s="22">
        <f>((Data!$AJ$11*'Intermediate calculations'!AQ4)+Data!$AK$11)*Drivers!AR4</f>
        <v>2370670.1760034007</v>
      </c>
      <c r="AR39" s="22">
        <f>((Data!$AJ$11*'Intermediate calculations'!AR4)+Data!$AK$11)*Drivers!AS4</f>
        <v>2478994.67237136</v>
      </c>
      <c r="AS39" s="22">
        <f>((Data!$AJ$11*'Intermediate calculations'!AS4)+Data!$AK$11)*Drivers!AT4</f>
        <v>2597100.862891356</v>
      </c>
      <c r="AT39" s="22">
        <f>((Data!$AJ$11*'Intermediate calculations'!AT4)+Data!$AK$11)*Drivers!AU4</f>
        <v>2719808.6621855334</v>
      </c>
      <c r="AU39" s="22">
        <f>((Data!$AJ$11*'Intermediate calculations'!AU4)+Data!$AK$11)*Drivers!AV4</f>
        <v>2728595.7648969712</v>
      </c>
      <c r="AV39" s="22">
        <f>((Data!$AJ$11*'Intermediate calculations'!AV4)+Data!$AK$11)*Drivers!AW4</f>
        <v>-2846170.2811717247</v>
      </c>
      <c r="AW39" s="22">
        <f>((Data!$AJ$11*'Intermediate calculations'!AW4)+Data!$AK$11)*Drivers!AX4</f>
        <v>-2867007.5390570019</v>
      </c>
      <c r="AX39" s="22">
        <f>((Data!$AJ$11*'Intermediate calculations'!AX4)+Data!$AK$11)*Drivers!AY4</f>
        <v>-2887997.349767053</v>
      </c>
      <c r="AY39" s="22">
        <f>((Data!$AJ$11*'Intermediate calculations'!AY4)+Data!$AK$11)*Drivers!AZ4</f>
        <v>-2909140.8301649713</v>
      </c>
      <c r="AZ39" s="22">
        <f>((Data!$AJ$11*'Intermediate calculations'!AZ4)+Data!$AK$11)*Drivers!BA4</f>
        <v>-2930439.1052905843</v>
      </c>
      <c r="BA39" s="22">
        <f>((Data!$AJ$11*'Intermediate calculations'!BA4)+Data!$AK$11)*Drivers!BB4</f>
        <v>-2951893.3084203089</v>
      </c>
      <c r="BB39" s="22">
        <f>((Data!$AJ$11*'Intermediate calculations'!BB4)+Data!$AK$11)*Drivers!BC4</f>
        <v>-2970227.3097058642</v>
      </c>
      <c r="BC39" s="22">
        <f>((Data!$AJ$11*'Intermediate calculations'!BC4)+Data!$AK$11)*Drivers!BD4</f>
        <v>-2988675.1821812005</v>
      </c>
      <c r="BD39" s="22">
        <f>((Data!$AJ$11*'Intermediate calculations'!BD4)+Data!$AK$11)*Drivers!BE4</f>
        <v>-3007237.6330922525</v>
      </c>
      <c r="BE39" s="22">
        <f>((Data!$AJ$11*'Intermediate calculations'!BE4)+Data!$AK$11)*Drivers!BF4</f>
        <v>-3025915.3740776093</v>
      </c>
      <c r="BF39" s="22">
        <f>((Data!$AJ$11*'Intermediate calculations'!BF4)+Data!$AK$11)*Drivers!BG4</f>
        <v>-3044709.1211957959</v>
      </c>
      <c r="BG39" s="22">
        <f>((Data!$AJ$11*'Intermediate calculations'!BG4)+Data!$AK$11)*Drivers!BH4</f>
        <v>-3060251.8740471862</v>
      </c>
      <c r="BH39" s="22">
        <f>((Data!$AJ$11*'Intermediate calculations'!BH4)+Data!$AK$11)*Drivers!BI4</f>
        <v>-3075873.9701647423</v>
      </c>
      <c r="BI39" s="22">
        <f>((Data!$AJ$11*'Intermediate calculations'!BI4)+Data!$AK$11)*Drivers!BJ4</f>
        <v>-3091575.8145831409</v>
      </c>
      <c r="BJ39" s="22">
        <f>((Data!$AJ$11*'Intermediate calculations'!BJ4)+Data!$AK$11)*Drivers!BK4</f>
        <v>-3107357.8144046972</v>
      </c>
      <c r="BK39" s="22">
        <f>((Data!$AJ$11*'Intermediate calculations'!BK4)+Data!$AK$11)*Drivers!BL4</f>
        <v>-3123220.3788099173</v>
      </c>
    </row>
    <row r="40" spans="1:63" x14ac:dyDescent="0.25">
      <c r="A40" t="s">
        <v>338</v>
      </c>
      <c r="B40" t="s">
        <v>663</v>
      </c>
      <c r="C40" s="51">
        <f>C39*ttokg/Drivers!D4</f>
        <v>16.439990001225254</v>
      </c>
      <c r="D40" s="51">
        <f>D39*ttokg/Drivers!E4</f>
        <v>15.721540498873908</v>
      </c>
      <c r="E40" s="51">
        <f>E39*ttokg/Drivers!F4</f>
        <v>14.764973046683922</v>
      </c>
      <c r="F40" s="51">
        <f>F39*ttokg/Drivers!G4</f>
        <v>14.633992493771091</v>
      </c>
      <c r="G40" s="51">
        <f>G39*ttokg/Drivers!H4</f>
        <v>15.013290459911815</v>
      </c>
      <c r="H40" s="51">
        <f>H39*ttokg/Drivers!I4</f>
        <v>15.976538911150124</v>
      </c>
      <c r="I40" s="51">
        <f>I39*ttokg/Drivers!J4</f>
        <v>17.471172742527397</v>
      </c>
      <c r="J40" s="51">
        <f>J39*ttokg/Drivers!K4</f>
        <v>19.214905481391423</v>
      </c>
      <c r="K40" s="51">
        <f>K39*ttokg/Drivers!L4</f>
        <v>19.550270521717511</v>
      </c>
      <c r="L40" s="51">
        <f>L39*ttokg/Drivers!M4</f>
        <v>19.71196933557334</v>
      </c>
      <c r="M40" s="51">
        <f>M39*ttokg/Drivers!N4</f>
        <v>20.614793175582797</v>
      </c>
      <c r="N40" s="51">
        <f>N39*ttokg/Drivers!O4</f>
        <v>20.583141915233707</v>
      </c>
      <c r="O40" s="51">
        <f>O39*ttokg/Drivers!P4</f>
        <v>20.909662177214134</v>
      </c>
      <c r="P40" s="51">
        <f>P39*ttokg/Drivers!Q4</f>
        <v>22.089421230622204</v>
      </c>
      <c r="Q40" s="51">
        <f>Q39*ttokg/Drivers!R4</f>
        <v>25.289898144723768</v>
      </c>
      <c r="R40" s="51">
        <f>R39*ttokg/Drivers!S4</f>
        <v>30.388089740143403</v>
      </c>
      <c r="S40" s="51">
        <f>S39*ttokg/Drivers!T4</f>
        <v>34.316736757157884</v>
      </c>
      <c r="T40" s="51">
        <f>T39*ttokg/Drivers!U4</f>
        <v>35.973303533512855</v>
      </c>
      <c r="U40" s="51">
        <f>U39*ttokg/Drivers!V4</f>
        <v>36.420636129299162</v>
      </c>
      <c r="V40" s="51">
        <f>V39*ttokg/Drivers!W4</f>
        <v>36.472048632198131</v>
      </c>
      <c r="W40" s="51">
        <f>W39*ttokg/Drivers!X4</f>
        <v>36.843261541234661</v>
      </c>
      <c r="X40" s="51">
        <f>X39*ttokg/Drivers!Y4</f>
        <v>38.208472966361235</v>
      </c>
      <c r="Y40" s="51">
        <f>Y39*ttokg/Drivers!Z4</f>
        <v>34.482271838621386</v>
      </c>
      <c r="Z40" s="51">
        <f>Z39*ttokg/Drivers!AA4</f>
        <v>35.127065111347974</v>
      </c>
      <c r="AA40" s="51">
        <f>AA39*ttokg/Drivers!AB4</f>
        <v>35.285925448052581</v>
      </c>
      <c r="AB40" s="51">
        <f>AB39*ttokg/Drivers!AC4</f>
        <v>34.800611575062121</v>
      </c>
      <c r="AC40" s="51">
        <f>AC39*ttokg/Drivers!AD4</f>
        <v>34.287153812996131</v>
      </c>
      <c r="AD40" s="51">
        <f>AD39*ttokg/Drivers!AE4</f>
        <v>34.042861775614384</v>
      </c>
      <c r="AE40" s="51">
        <f>AE39*ttokg/Drivers!AF4</f>
        <v>33.879929869033482</v>
      </c>
      <c r="AF40" s="51">
        <f>AF39*ttokg/Drivers!AG4</f>
        <v>33.094027351843749</v>
      </c>
      <c r="AG40" s="51">
        <f>AG39*ttokg/Drivers!AH4</f>
        <v>26.744103951450231</v>
      </c>
      <c r="AH40" s="51">
        <f>AH39*ttokg/Drivers!AI4</f>
        <v>27.643347336463759</v>
      </c>
      <c r="AI40" s="51">
        <f>AI39*ttokg/Drivers!AJ4</f>
        <v>28.379723071502415</v>
      </c>
      <c r="AJ40" s="51">
        <f>AJ39*ttokg/Drivers!AK4</f>
        <v>29.101212680201421</v>
      </c>
      <c r="AK40" s="51">
        <f>AK39*ttokg/Drivers!AL4</f>
        <v>30.036588745653596</v>
      </c>
      <c r="AL40" s="51">
        <f>AL39*ttokg/Drivers!AM4</f>
        <v>30.954856557567215</v>
      </c>
      <c r="AM40" s="51">
        <f>AM39*ttokg/Drivers!AN4</f>
        <v>32.00681508247856</v>
      </c>
      <c r="AN40" s="51">
        <f>AN39*ttokg/Drivers!AO4</f>
        <v>32.990297125861517</v>
      </c>
      <c r="AO40" s="51">
        <f>AO39*ttokg/Drivers!AP4</f>
        <v>34.048227792192826</v>
      </c>
      <c r="AP40" s="51">
        <f>AP39*ttokg/Drivers!AQ4</f>
        <v>34.986978314495644</v>
      </c>
      <c r="AQ40" s="51">
        <f>AQ39*ttokg/Drivers!AR4</f>
        <v>35.94315818301844</v>
      </c>
      <c r="AR40" s="51">
        <f>AR39*ttokg/Drivers!AS4</f>
        <v>37.267480305130228</v>
      </c>
      <c r="AS40" s="51">
        <f>AS39*ttokg/Drivers!AT4</f>
        <v>38.712622523196323</v>
      </c>
      <c r="AT40" s="51">
        <f>AT39*ttokg/Drivers!AU4</f>
        <v>40.198649980224793</v>
      </c>
      <c r="AU40" s="51">
        <f>AU39*ttokg/Drivers!AV4</f>
        <v>39.987260816640777</v>
      </c>
      <c r="AV40" s="51">
        <f>AV39*ttokg/Drivers!AW4</f>
        <v>-41.357347153374157</v>
      </c>
      <c r="AW40" s="51">
        <f>AW39*ttokg/Drivers!AX4</f>
        <v>-41.357347153374157</v>
      </c>
      <c r="AX40" s="51">
        <f>AX39*ttokg/Drivers!AY4</f>
        <v>-41.357347153374157</v>
      </c>
      <c r="AY40" s="51">
        <f>AY39*ttokg/Drivers!AZ4</f>
        <v>-41.35734715337415</v>
      </c>
      <c r="AZ40" s="51">
        <f>AZ39*ttokg/Drivers!BA4</f>
        <v>-41.35734715337415</v>
      </c>
      <c r="BA40" s="51">
        <f>BA39*ttokg/Drivers!BB4</f>
        <v>-41.35734715337415</v>
      </c>
      <c r="BB40" s="51">
        <f>BB39*ttokg/Drivers!BC4</f>
        <v>-41.35734715337415</v>
      </c>
      <c r="BC40" s="51">
        <f>BC39*ttokg/Drivers!BD4</f>
        <v>-41.35734715337415</v>
      </c>
      <c r="BD40" s="51">
        <f>BD39*ttokg/Drivers!BE4</f>
        <v>-41.35734715337415</v>
      </c>
      <c r="BE40" s="51">
        <f>BE39*ttokg/Drivers!BF4</f>
        <v>-41.357347153374143</v>
      </c>
      <c r="BF40" s="51">
        <f>BF39*ttokg/Drivers!BG4</f>
        <v>-41.35734715337415</v>
      </c>
      <c r="BG40" s="51">
        <f>BG39*ttokg/Drivers!BH4</f>
        <v>-41.35734715337415</v>
      </c>
      <c r="BH40" s="51">
        <f>BH39*ttokg/Drivers!BI4</f>
        <v>-41.35734715337415</v>
      </c>
      <c r="BI40" s="51">
        <f>BI39*ttokg/Drivers!BJ4</f>
        <v>-41.35734715337415</v>
      </c>
      <c r="BJ40" s="51">
        <f>BJ39*ttokg/Drivers!BK4</f>
        <v>-41.357347153374143</v>
      </c>
      <c r="BK40" s="51">
        <f>BK39*ttokg/Drivers!BL4</f>
        <v>-41.35734715337415</v>
      </c>
    </row>
    <row r="41" spans="1:63" x14ac:dyDescent="0.25">
      <c r="A41" t="s">
        <v>338</v>
      </c>
      <c r="B41" t="s">
        <v>322</v>
      </c>
      <c r="C41" s="51">
        <f>C39/Drivers!D4</f>
        <v>1.6439990001225254E-2</v>
      </c>
      <c r="D41" s="51">
        <f>D39/Drivers!E4</f>
        <v>1.5721540498873907E-2</v>
      </c>
      <c r="E41" s="51">
        <f>E39/Drivers!F4</f>
        <v>1.4764973046683923E-2</v>
      </c>
      <c r="F41" s="51">
        <f>F39/Drivers!G4</f>
        <v>1.4633992493771092E-2</v>
      </c>
      <c r="G41" s="51">
        <f>G39/Drivers!H4</f>
        <v>1.5013290459911816E-2</v>
      </c>
      <c r="H41" s="51">
        <f>H39/Drivers!I4</f>
        <v>1.5976538911150123E-2</v>
      </c>
      <c r="I41" s="51">
        <f>I39/Drivers!J4</f>
        <v>1.7471172742527397E-2</v>
      </c>
      <c r="J41" s="51">
        <f>J39/Drivers!K4</f>
        <v>1.9214905481391424E-2</v>
      </c>
      <c r="K41" s="51">
        <f>K39/Drivers!L4</f>
        <v>1.9550270521717511E-2</v>
      </c>
      <c r="L41" s="51">
        <f>L39/Drivers!M4</f>
        <v>1.9711969335573339E-2</v>
      </c>
      <c r="M41" s="51">
        <f>M39/Drivers!N4</f>
        <v>2.0614793175582798E-2</v>
      </c>
      <c r="N41" s="51">
        <f>N39/Drivers!O4</f>
        <v>2.0583141915233708E-2</v>
      </c>
      <c r="O41" s="51">
        <f>O39/Drivers!P4</f>
        <v>2.0909662177214131E-2</v>
      </c>
      <c r="P41" s="51">
        <f>P39/Drivers!Q4</f>
        <v>2.2089421230622203E-2</v>
      </c>
      <c r="Q41" s="51">
        <f>Q39/Drivers!R4</f>
        <v>2.5289898144723769E-2</v>
      </c>
      <c r="R41" s="51">
        <f>R39/Drivers!S4</f>
        <v>3.0388089740143405E-2</v>
      </c>
      <c r="S41" s="51">
        <f>S39/Drivers!T4</f>
        <v>3.4316736757157879E-2</v>
      </c>
      <c r="T41" s="51">
        <f>T39/Drivers!U4</f>
        <v>3.5973303533512857E-2</v>
      </c>
      <c r="U41" s="51">
        <f>U39/Drivers!V4</f>
        <v>3.6420636129299161E-2</v>
      </c>
      <c r="V41" s="51">
        <f>V39/Drivers!W4</f>
        <v>3.6472048632198134E-2</v>
      </c>
      <c r="W41" s="51">
        <f>W39/Drivers!X4</f>
        <v>3.6843261541234656E-2</v>
      </c>
      <c r="X41" s="51">
        <f>X39/Drivers!Y4</f>
        <v>3.8208472966361234E-2</v>
      </c>
      <c r="Y41" s="51"/>
      <c r="Z41" s="51"/>
      <c r="AA41" s="51"/>
      <c r="AB41" s="51"/>
      <c r="AC41" s="51"/>
      <c r="AD41" s="51"/>
      <c r="AE41" s="51"/>
      <c r="AF41" s="51"/>
      <c r="AG41" s="51"/>
      <c r="AH41" s="51"/>
      <c r="AI41" s="51"/>
      <c r="AJ41" s="51"/>
      <c r="AK41" s="51"/>
      <c r="AL41" s="51"/>
      <c r="AM41" s="51"/>
      <c r="AN41" s="51"/>
      <c r="AO41" s="51">
        <f>(AO42-AD42)/AD42</f>
        <v>0.12797392593238174</v>
      </c>
      <c r="AP41" s="51"/>
      <c r="AQ41" s="51">
        <f>(AQ42-AE42)/AE42</f>
        <v>0.19362759150579248</v>
      </c>
      <c r="AR41" s="51"/>
      <c r="AS41" s="51"/>
      <c r="AT41" s="51"/>
      <c r="AU41" s="51"/>
      <c r="AV41" s="51"/>
      <c r="AW41" s="51"/>
      <c r="AX41" s="51"/>
      <c r="AY41" s="51"/>
      <c r="AZ41" s="51"/>
      <c r="BA41" s="51"/>
      <c r="BB41" s="51"/>
      <c r="BC41" s="51"/>
      <c r="BD41" s="51"/>
      <c r="BE41" s="51"/>
      <c r="BF41" s="51"/>
      <c r="BG41" s="51"/>
      <c r="BH41" s="51"/>
      <c r="BI41" s="51"/>
      <c r="BJ41" s="51"/>
      <c r="BK41" s="51"/>
    </row>
    <row r="42" spans="1:63" x14ac:dyDescent="0.25">
      <c r="A42" t="s">
        <v>339</v>
      </c>
      <c r="B42" t="s">
        <v>321</v>
      </c>
      <c r="C42" s="22">
        <v>609000</v>
      </c>
      <c r="D42" s="22">
        <v>593000</v>
      </c>
      <c r="E42" s="22">
        <v>564000</v>
      </c>
      <c r="F42" s="22">
        <v>577000</v>
      </c>
      <c r="G42" s="22">
        <v>607000</v>
      </c>
      <c r="H42" s="22">
        <v>647000</v>
      </c>
      <c r="I42" s="22">
        <v>699000</v>
      </c>
      <c r="J42" s="22">
        <v>753000</v>
      </c>
      <c r="K42" s="22">
        <v>777000</v>
      </c>
      <c r="L42" s="22">
        <v>803000</v>
      </c>
      <c r="M42" s="22">
        <v>850000</v>
      </c>
      <c r="N42" s="22">
        <v>869000</v>
      </c>
      <c r="O42" s="22">
        <v>896000</v>
      </c>
      <c r="P42" s="22">
        <v>925000</v>
      </c>
      <c r="Q42" s="22">
        <v>1043000</v>
      </c>
      <c r="R42" s="22">
        <v>1273000</v>
      </c>
      <c r="S42" s="22">
        <v>1427000</v>
      </c>
      <c r="T42" s="22">
        <v>1499000</v>
      </c>
      <c r="U42" s="22">
        <v>1584000</v>
      </c>
      <c r="V42" s="22">
        <v>1644000</v>
      </c>
      <c r="W42" s="22">
        <v>1681000</v>
      </c>
      <c r="X42" s="22">
        <v>1721000</v>
      </c>
      <c r="Y42" s="22">
        <f>((Data!$AJ$33*'Intermediate calculations'!Y39)+Data!$AK$33)</f>
        <v>1479058.1196068425</v>
      </c>
      <c r="Z42" s="22">
        <f>((Data!$AJ$33*'Intermediate calculations'!Z39)+Data!$AK$33)</f>
        <v>1523099.8238027669</v>
      </c>
      <c r="AA42" s="22">
        <f>((Data!$AJ$33*'Intermediate calculations'!AA39)+Data!$AK$33)</f>
        <v>1549730.7141812346</v>
      </c>
      <c r="AB42" s="22">
        <f>((Data!$AJ$33*'Intermediate calculations'!AB39)+Data!$AK$33)</f>
        <v>1551895.172536867</v>
      </c>
      <c r="AC42" s="22">
        <f>((Data!$AJ$33*'Intermediate calculations'!AC39)+Data!$AK$33)</f>
        <v>1553119.7100753228</v>
      </c>
      <c r="AD42" s="22">
        <f>((Data!$AJ$33*'Intermediate calculations'!AD39)+Data!$AK$33)</f>
        <v>1565459.3212597121</v>
      </c>
      <c r="AE42" s="22">
        <f>((Data!$AJ$33*'Intermediate calculations'!AE39)+Data!$AK$33)</f>
        <v>1581142.9942067207</v>
      </c>
      <c r="AF42" s="22">
        <f>((Data!$AJ$33*'Intermediate calculations'!AF39)+Data!$AK$33)</f>
        <v>1570763.3591192404</v>
      </c>
      <c r="AG42" s="22">
        <f>((Data!$AJ$33*'Intermediate calculations'!AG39)+Data!$AK$33)</f>
        <v>1321822.1077172705</v>
      </c>
      <c r="AH42" s="22">
        <f>((Data!$AJ$33*'Intermediate calculations'!AH39)+Data!$AK$33)</f>
        <v>1373871.0572905203</v>
      </c>
      <c r="AI42" s="22">
        <f>((Data!$AJ$33*'Intermediate calculations'!AI39)+Data!$AK$33)</f>
        <v>1419843.2659318268</v>
      </c>
      <c r="AJ42" s="22">
        <f>((Data!$AJ$33*'Intermediate calculations'!AJ39)+Data!$AK$33)</f>
        <v>1466057.0535812106</v>
      </c>
      <c r="AK42" s="22">
        <f>((Data!$AJ$33*'Intermediate calculations'!AK39)+Data!$AK$33)</f>
        <v>1522742.4876683343</v>
      </c>
      <c r="AL42" s="22">
        <f>((Data!$AJ$33*'Intermediate calculations'!AL39)+Data!$AK$33)</f>
        <v>1579788.1417622394</v>
      </c>
      <c r="AM42" s="22">
        <f>((Data!$AJ$33*'Intermediate calculations'!AM39)+Data!$AK$33)</f>
        <v>1641674.5024803807</v>
      </c>
      <c r="AN42" s="22">
        <f>((Data!$AJ$33*'Intermediate calculations'!AN39)+Data!$AK$33)</f>
        <v>1701482.5943055714</v>
      </c>
      <c r="AO42" s="22">
        <f>((Data!$AJ$33*'Intermediate calculations'!AO39)+Data!$AK$33)</f>
        <v>1765797.2964887591</v>
      </c>
      <c r="AP42" s="22">
        <f>((Data!$AJ$33*'Intermediate calculations'!AP39)+Data!$AK$33)</f>
        <v>1825620.1986156087</v>
      </c>
      <c r="AQ42" s="22">
        <f>((Data!$AJ$33*'Intermediate calculations'!AQ39)+Data!$AK$33)</f>
        <v>1887295.9040012253</v>
      </c>
      <c r="AR42" s="22">
        <f>((Data!$AJ$33*'Intermediate calculations'!AR39)+Data!$AK$33)</f>
        <v>1965375.8218822137</v>
      </c>
      <c r="AS42" s="22">
        <f>((Data!$AJ$33*'Intermediate calculations'!AS39)+Data!$AK$33)</f>
        <v>2050506.3506751945</v>
      </c>
      <c r="AT42" s="22">
        <f>((Data!$AJ$33*'Intermediate calculations'!AT39)+Data!$AK$33)</f>
        <v>2138953.7029684484</v>
      </c>
      <c r="AU42" s="22">
        <f>((Data!$AJ$33*'Intermediate calculations'!AU39)+Data!$AK$33)</f>
        <v>2145287.4158508079</v>
      </c>
      <c r="AV42" s="22">
        <f>((Data!$AJ$33*'Intermediate calculations'!AV39)+Data!$AK$33)</f>
        <v>-1872984.4402601779</v>
      </c>
      <c r="AW42" s="22">
        <f>((Data!$AJ$33*'Intermediate calculations'!AW39)+Data!$AK$33)</f>
        <v>-1888003.8628201582</v>
      </c>
      <c r="AX42" s="22">
        <f>((Data!$AJ$33*'Intermediate calculations'!AX39)+Data!$AK$33)</f>
        <v>-1903133.2449223495</v>
      </c>
      <c r="AY42" s="22">
        <f>((Data!$AJ$33*'Intermediate calculations'!AY39)+Data!$AK$33)</f>
        <v>-1918373.3915977606</v>
      </c>
      <c r="AZ42" s="22">
        <f>((Data!$AJ$33*'Intermediate calculations'!AZ39)+Data!$AK$33)</f>
        <v>-1933725.1137711625</v>
      </c>
      <c r="BA42" s="22">
        <f>((Data!$AJ$33*'Intermediate calculations'!BA39)+Data!$AK$33)</f>
        <v>-1949189.2283042297</v>
      </c>
      <c r="BB42" s="22">
        <f>((Data!$AJ$33*'Intermediate calculations'!BB39)+Data!$AK$33)</f>
        <v>-1962404.3122677263</v>
      </c>
      <c r="BC42" s="22">
        <f>((Data!$AJ$33*'Intermediate calculations'!BC39)+Data!$AK$33)</f>
        <v>-1975701.474186305</v>
      </c>
      <c r="BD42" s="22">
        <f>((Data!$AJ$33*'Intermediate calculations'!BD39)+Data!$AK$33)</f>
        <v>-1989081.2238403591</v>
      </c>
      <c r="BE42" s="22">
        <f>((Data!$AJ$33*'Intermediate calculations'!BE39)+Data!$AK$33)</f>
        <v>-2002544.074176494</v>
      </c>
      <c r="BF42" s="22">
        <f>((Data!$AJ$33*'Intermediate calculations'!BF39)+Data!$AK$33)</f>
        <v>-2016090.5413271887</v>
      </c>
      <c r="BG42" s="22">
        <f>((Data!$AJ$33*'Intermediate calculations'!BG39)+Data!$AK$33)</f>
        <v>-2027293.7031878149</v>
      </c>
      <c r="BH42" s="22">
        <f>((Data!$AJ$33*'Intermediate calculations'!BH39)+Data!$AK$33)</f>
        <v>-2038554.0553970174</v>
      </c>
      <c r="BI42" s="22">
        <f>((Data!$AJ$33*'Intermediate calculations'!BI39)+Data!$AK$33)</f>
        <v>-2049871.8899023733</v>
      </c>
      <c r="BJ42" s="22">
        <f>((Data!$AJ$33*'Intermediate calculations'!BJ39)+Data!$AK$33)</f>
        <v>-2061247.5001418074</v>
      </c>
      <c r="BK42" s="22">
        <f>((Data!$AJ$33*'Intermediate calculations'!BK39)+Data!$AK$33)</f>
        <v>-2072681.1810511961</v>
      </c>
    </row>
    <row r="43" spans="1:63" x14ac:dyDescent="0.25">
      <c r="A43" t="s">
        <v>838</v>
      </c>
      <c r="B43" t="s">
        <v>815</v>
      </c>
      <c r="C43" s="22">
        <f>Data!C35</f>
        <v>86.98690270724579</v>
      </c>
      <c r="D43" s="22">
        <f>Data!D35</f>
        <v>85.412029598416751</v>
      </c>
      <c r="E43" s="22">
        <f>Data!E35</f>
        <v>82.670075098233795</v>
      </c>
      <c r="F43" s="22">
        <f>Data!F35</f>
        <v>93.784908087692543</v>
      </c>
      <c r="G43" s="22">
        <f>Data!G35</f>
        <v>85.280758961852342</v>
      </c>
      <c r="H43" s="22">
        <f>Data!H35</f>
        <v>90.110194006957386</v>
      </c>
      <c r="I43" s="22">
        <f>Data!I35</f>
        <v>96.630851643558501</v>
      </c>
      <c r="J43" s="22">
        <f>Data!J35</f>
        <v>90.082578577450462</v>
      </c>
      <c r="K43" s="22">
        <f>Data!K35</f>
        <v>94.634047967599372</v>
      </c>
      <c r="L43" s="22">
        <f>Data!L35</f>
        <v>94.202352622715566</v>
      </c>
      <c r="M43" s="22">
        <f>Data!M35</f>
        <v>95.33205671803546</v>
      </c>
      <c r="N43" s="22">
        <f>Data!N35</f>
        <v>87.813432210520816</v>
      </c>
      <c r="O43" s="22">
        <f>Data!O35</f>
        <v>95.16546905639143</v>
      </c>
      <c r="P43" s="22">
        <f>Data!P35</f>
        <v>89.302199213409068</v>
      </c>
      <c r="Q43" s="22">
        <f>Data!Q35</f>
        <v>81.529954234122201</v>
      </c>
      <c r="R43" s="22">
        <f>Data!R35</f>
        <v>71.80889155599867</v>
      </c>
      <c r="S43" s="22">
        <f>Data!S35</f>
        <v>68.101686202690857</v>
      </c>
      <c r="T43" s="22">
        <f>Data!T35</f>
        <v>68.19521740619362</v>
      </c>
      <c r="U43" s="22">
        <f>Data!U35</f>
        <v>67.928587433949829</v>
      </c>
      <c r="V43" s="22">
        <f>Data!V35</f>
        <v>61.42602874071288</v>
      </c>
      <c r="W43" s="22">
        <f>Data!W35</f>
        <v>61.879913995624968</v>
      </c>
      <c r="X43" s="22">
        <f>Data!X35</f>
        <v>62.868580144994802</v>
      </c>
      <c r="Y43" s="22">
        <f>((Data!$AJ$35*LN('Intermediate calculations'!Y2))+Data!$AK$35)</f>
        <v>67.008604056011919</v>
      </c>
      <c r="Z43" s="22">
        <f>((Data!$AJ$35*LN('Intermediate calculations'!Z2))+Data!$AK$35)</f>
        <v>66.126942573569849</v>
      </c>
      <c r="AA43" s="22">
        <f>((Data!$AJ$35*LN('Intermediate calculations'!AA2))+Data!$AK$35)</f>
        <v>65.298748914944895</v>
      </c>
      <c r="AB43" s="22">
        <f>((Data!$AJ$35*LN('Intermediate calculations'!AB2))+Data!$AK$35)</f>
        <v>64.517907163508653</v>
      </c>
      <c r="AC43" s="22">
        <f>((Data!$AJ$35*LN('Intermediate calculations'!AC2))+Data!$AK$35)</f>
        <v>63.779294229458571</v>
      </c>
      <c r="AD43" s="22">
        <f>((Data!$AJ$35*LN('Intermediate calculations'!AD2))+Data!$AK$35)</f>
        <v>63.078575942582013</v>
      </c>
      <c r="AE43" s="22">
        <f>((Data!$AJ$35*LN('Intermediate calculations'!AE2))+Data!$AK$35)</f>
        <v>62.412052946517086</v>
      </c>
      <c r="AF43" s="22">
        <f>((Data!$AJ$35*LN('Intermediate calculations'!AF2))+Data!$AK$35)</f>
        <v>61.776542475794329</v>
      </c>
      <c r="AG43" s="22">
        <f>((Data!$AJ$35*LN('Intermediate calculations'!AG2))+Data!$AK$35)</f>
        <v>61.169286434060382</v>
      </c>
      <c r="AH43" s="22">
        <f>((Data!$AJ$35*LN('Intermediate calculations'!AH2))+Data!$AK$35)</f>
        <v>60.587879050078747</v>
      </c>
      <c r="AI43" s="22">
        <f>((Data!$AJ$35*LN('Intermediate calculations'!AI2))+Data!$AK$35)</f>
        <v>60.030209311594177</v>
      </c>
      <c r="AJ43" s="22">
        <f>((Data!$AJ$35*LN('Intermediate calculations'!AJ2))+Data!$AK$35)</f>
        <v>59.494414696352727</v>
      </c>
      <c r="AK43" s="22">
        <f>((Data!$AJ$35*LN('Intermediate calculations'!AK2))+Data!$AK$35)</f>
        <v>58.978843640017558</v>
      </c>
      <c r="AL43" s="22">
        <f>((Data!$AJ$35*LN('Intermediate calculations'!AL2))+Data!$AK$35)</f>
        <v>58.482024833087181</v>
      </c>
      <c r="AM43" s="22">
        <f>((Data!$AJ$35*LN('Intermediate calculations'!AM2))+Data!$AK$35)</f>
        <v>58.002641907970194</v>
      </c>
      <c r="AN43" s="22">
        <f>((Data!$AJ$35*LN('Intermediate calculations'!AN2))+Data!$AK$35)</f>
        <v>57.539512419090912</v>
      </c>
      <c r="AO43" s="22">
        <f>((Data!$AJ$35*LN('Intermediate calculations'!AO2))+Data!$AK$35)</f>
        <v>57.091570270904612</v>
      </c>
      <c r="AP43" s="22">
        <f>((Data!$AJ$35*LN('Intermediate calculations'!AP2))+Data!$AK$35)</f>
        <v>56.657850936648842</v>
      </c>
      <c r="AQ43" s="22">
        <f>((Data!$AJ$35*LN('Intermediate calculations'!AQ2))+Data!$AK$35)</f>
        <v>56.237478952303242</v>
      </c>
      <c r="AR43" s="22">
        <f>((Data!$AJ$35*LN('Intermediate calculations'!AR2))+Data!$AK$35)</f>
        <v>55.829657278023902</v>
      </c>
      <c r="AS43" s="22">
        <f>((Data!$AJ$35*LN('Intermediate calculations'!AS2))+Data!$AK$35)</f>
        <v>55.433658202099345</v>
      </c>
      <c r="AT43" s="22">
        <f>((Data!$AJ$35*LN('Intermediate calculations'!AT2))+Data!$AK$35)</f>
        <v>55.048815526587653</v>
      </c>
      <c r="AU43" s="22">
        <f>((Data!$AJ$35*LN('Intermediate calculations'!AU2))+Data!$AK$35)</f>
        <v>54.674517823846799</v>
      </c>
      <c r="AV43" s="22">
        <f>((Data!$AJ$35*LN('Intermediate calculations'!AV2))+Data!$AK$35)</f>
        <v>54.310202592537571</v>
      </c>
      <c r="AW43" s="22">
        <f>((Data!$AJ$35*LN('Intermediate calculations'!AW2))+Data!$AK$35)</f>
        <v>53.955351172861633</v>
      </c>
      <c r="AX43" s="22">
        <f>((Data!$AJ$35*LN('Intermediate calculations'!AX2))+Data!$AK$35)</f>
        <v>53.609484305661013</v>
      </c>
      <c r="AY43" s="22">
        <f>((Data!$AJ$35*LN('Intermediate calculations'!AY2))+Data!$AK$35)</f>
        <v>53.272158239955402</v>
      </c>
      <c r="AZ43" s="22">
        <f>((Data!$AJ$35*LN('Intermediate calculations'!AZ2))+Data!$AK$35)</f>
        <v>52.942961309596079</v>
      </c>
      <c r="BA43" s="22">
        <f>((Data!$AJ$35*LN('Intermediate calculations'!BA2))+Data!$AK$35)</f>
        <v>52.621510912785027</v>
      </c>
      <c r="BB43" s="22">
        <f>((Data!$AJ$35*LN('Intermediate calculations'!BB2))+Data!$AK$35)</f>
        <v>52.307450838873336</v>
      </c>
      <c r="BC43" s="22">
        <f>((Data!$AJ$35*LN('Intermediate calculations'!BC2))+Data!$AK$35)</f>
        <v>52.000448895599824</v>
      </c>
      <c r="BD43" s="22">
        <f>((Data!$AJ$35*LN('Intermediate calculations'!BD2))+Data!$AK$35)</f>
        <v>51.700194797139382</v>
      </c>
      <c r="BE43" s="22">
        <f>((Data!$AJ$35*LN('Intermediate calculations'!BE2))+Data!$AK$35)</f>
        <v>51.406398279298507</v>
      </c>
      <c r="BF43" s="22">
        <f>((Data!$AJ$35*LN('Intermediate calculations'!BF2))+Data!$AK$35)</f>
        <v>51.118787413157747</v>
      </c>
      <c r="BG43" s="22">
        <f>((Data!$AJ$35*LN('Intermediate calculations'!BG2))+Data!$AK$35)</f>
        <v>50.837107092604512</v>
      </c>
      <c r="BH43" s="22">
        <f>((Data!$AJ$35*LN('Intermediate calculations'!BH2))+Data!$AK$35)</f>
        <v>50.561117674673177</v>
      </c>
      <c r="BI43" s="22">
        <f>((Data!$AJ$35*LN('Intermediate calculations'!BI2))+Data!$AK$35)</f>
        <v>50.290593754532807</v>
      </c>
      <c r="BJ43" s="22">
        <f>((Data!$AJ$35*LN('Intermediate calculations'!BJ2))+Data!$AK$35)</f>
        <v>50.02532305943172</v>
      </c>
      <c r="BK43" s="22">
        <f>((Data!$AJ$35*LN('Intermediate calculations'!BK2))+Data!$AK$35)</f>
        <v>49.765105448000718</v>
      </c>
    </row>
    <row r="44" spans="1:63" x14ac:dyDescent="0.25">
      <c r="A44" t="s">
        <v>345</v>
      </c>
      <c r="B44" t="s">
        <v>321</v>
      </c>
      <c r="C44" s="22">
        <v>6425000</v>
      </c>
      <c r="D44" s="22">
        <v>6769000</v>
      </c>
      <c r="E44" s="22">
        <v>7022000</v>
      </c>
      <c r="F44" s="22">
        <v>6828000</v>
      </c>
      <c r="G44" s="22">
        <v>6773000</v>
      </c>
      <c r="H44" s="22">
        <v>6417000</v>
      </c>
      <c r="I44" s="22">
        <v>6842000</v>
      </c>
      <c r="J44" s="22">
        <v>6738000</v>
      </c>
      <c r="K44" s="22">
        <v>6383000</v>
      </c>
      <c r="L44" s="22">
        <v>6341000</v>
      </c>
      <c r="M44" s="22">
        <v>6362000</v>
      </c>
      <c r="N44" s="22">
        <v>6852000</v>
      </c>
      <c r="O44" s="22">
        <v>7151000</v>
      </c>
      <c r="P44" s="22">
        <v>6983000</v>
      </c>
      <c r="Q44" s="22">
        <v>7243000</v>
      </c>
      <c r="R44" s="22">
        <v>7283000</v>
      </c>
      <c r="S44" s="22">
        <v>7462000</v>
      </c>
      <c r="T44" s="22">
        <v>7660000</v>
      </c>
      <c r="U44" s="22">
        <v>8029000</v>
      </c>
      <c r="V44" s="22">
        <v>8613000</v>
      </c>
      <c r="W44" s="22">
        <v>8658000</v>
      </c>
      <c r="X44" s="22">
        <v>8857000</v>
      </c>
      <c r="Y44" s="22">
        <f>((Data!$AJ$40*'Intermediate calculations'!Y45)+Data!$AK$40)</f>
        <v>8837588.9818800204</v>
      </c>
      <c r="Z44" s="22">
        <f>((Data!$AJ$40*'Intermediate calculations'!Z45)+Data!$AK$40)</f>
        <v>9069608.5036172904</v>
      </c>
      <c r="AA44" s="22">
        <f>((Data!$AJ$40*'Intermediate calculations'!AA45)+Data!$AK$40)</f>
        <v>9310273.6227034926</v>
      </c>
      <c r="AB44" s="22">
        <f>((Data!$AJ$40*'Intermediate calculations'!AB45)+Data!$AK$40)</f>
        <v>9559918.203922689</v>
      </c>
      <c r="AC44" s="22">
        <f>((Data!$AJ$40*'Intermediate calculations'!AC45)+Data!$AK$40)</f>
        <v>9818892.7438438796</v>
      </c>
      <c r="AD44" s="22">
        <f>((Data!$AJ$40*'Intermediate calculations'!AD45)+Data!$AK$40)</f>
        <v>10087565.193359558</v>
      </c>
      <c r="AE44" s="22">
        <f>((Data!$AJ$40*'Intermediate calculations'!AE45)+Data!$AK$40)</f>
        <v>10359825.374047417</v>
      </c>
      <c r="AF44" s="22">
        <f>((Data!$AJ$40*'Intermediate calculations'!AF45)+Data!$AK$40)</f>
        <v>10636488.448266506</v>
      </c>
      <c r="AG44" s="22">
        <f>((Data!$AJ$40*'Intermediate calculations'!AG45)+Data!$AK$40)</f>
        <v>10917625.618024401</v>
      </c>
      <c r="AH44" s="22">
        <f>((Data!$AJ$40*'Intermediate calculations'!AH45)+Data!$AK$40)</f>
        <v>11121031.726210065</v>
      </c>
      <c r="AI44" s="22">
        <f>((Data!$AJ$40*'Intermediate calculations'!AI45)+Data!$AK$40)</f>
        <v>11326779.887281906</v>
      </c>
      <c r="AJ44" s="22">
        <f>((Data!$AJ$40*'Intermediate calculations'!AJ45)+Data!$AK$40)</f>
        <v>11534897.06803935</v>
      </c>
      <c r="AK44" s="22">
        <f>((Data!$AJ$40*'Intermediate calculations'!AK45)+Data!$AK$40)</f>
        <v>11745410.545782182</v>
      </c>
      <c r="AL44" s="22">
        <f>((Data!$AJ$40*'Intermediate calculations'!AL45)+Data!$AK$40)</f>
        <v>11958347.91188572</v>
      </c>
      <c r="AM44" s="22">
        <f>((Data!$AJ$40*'Intermediate calculations'!AM45)+Data!$AK$40)</f>
        <v>12142539.899210591</v>
      </c>
      <c r="AN44" s="22">
        <f>((Data!$AJ$40*'Intermediate calculations'!AN45)+Data!$AK$40)</f>
        <v>12328545.523359004</v>
      </c>
      <c r="AO44" s="22">
        <f>((Data!$AJ$40*'Intermediate calculations'!AO45)+Data!$AK$40)</f>
        <v>12516382.64221162</v>
      </c>
      <c r="AP44" s="22">
        <f>((Data!$AJ$40*'Intermediate calculations'!AP45)+Data!$AK$40)</f>
        <v>12706069.289485786</v>
      </c>
      <c r="AQ44" s="22">
        <f>((Data!$AJ$40*'Intermediate calculations'!AQ45)+Data!$AK$40)</f>
        <v>12897623.676466919</v>
      </c>
      <c r="AR44" s="22">
        <f>((Data!$AJ$40*'Intermediate calculations'!AR45)+Data!$AK$40)</f>
        <v>13065285.550986845</v>
      </c>
      <c r="AS44" s="22">
        <f>((Data!$AJ$40*'Intermediate calculations'!AS45)+Data!$AK$40)</f>
        <v>13234378.29749348</v>
      </c>
      <c r="AT44" s="22">
        <f>((Data!$AJ$40*'Intermediate calculations'!AT45)+Data!$AK$40)</f>
        <v>13404914.127437096</v>
      </c>
      <c r="AU44" s="22">
        <f>((Data!$AJ$40*'Intermediate calculations'!AU45)+Data!$AK$40)</f>
        <v>13576905.356483787</v>
      </c>
      <c r="AV44" s="22">
        <f>((Data!$AJ$40*'Intermediate calculations'!AV45)+Data!$AK$40)</f>
        <v>13750364.405404896</v>
      </c>
      <c r="AW44" s="22">
        <f>((Data!$AJ$40*'Intermediate calculations'!AW45)+Data!$AK$40)</f>
        <v>13900436.811271213</v>
      </c>
      <c r="AX44" s="22">
        <f>((Data!$AJ$40*'Intermediate calculations'!AX45)+Data!$AK$40)</f>
        <v>14051607.920698307</v>
      </c>
      <c r="AY44" s="22">
        <f>((Data!$AJ$40*'Intermediate calculations'!AY45)+Data!$AK$40)</f>
        <v>14203885.77746683</v>
      </c>
      <c r="AZ44" s="22">
        <f>((Data!$AJ$40*'Intermediate calculations'!AZ45)+Data!$AK$40)</f>
        <v>14357278.484247208</v>
      </c>
      <c r="BA44" s="22">
        <f>((Data!$AJ$40*'Intermediate calculations'!BA45)+Data!$AK$40)</f>
        <v>14511794.203030784</v>
      </c>
      <c r="BB44" s="22">
        <f>((Data!$AJ$40*'Intermediate calculations'!BB45)+Data!$AK$40)</f>
        <v>14643837.8575859</v>
      </c>
      <c r="BC44" s="22">
        <f>((Data!$AJ$40*'Intermediate calculations'!BC45)+Data!$AK$40)</f>
        <v>14776701.625972856</v>
      </c>
      <c r="BD44" s="22">
        <f>((Data!$AJ$40*'Intermediate calculations'!BD45)+Data!$AK$40)</f>
        <v>14910390.601860862</v>
      </c>
      <c r="BE44" s="22">
        <f>((Data!$AJ$40*'Intermediate calculations'!BE45)+Data!$AK$40)</f>
        <v>15044909.910555545</v>
      </c>
      <c r="BF44" s="22">
        <f>((Data!$AJ$40*'Intermediate calculations'!BF45)+Data!$AK$40)</f>
        <v>15180264.70919545</v>
      </c>
      <c r="BG44" s="22">
        <f>((Data!$AJ$40*'Intermediate calculations'!BG45)+Data!$AK$40)</f>
        <v>15292205.461046569</v>
      </c>
      <c r="BH44" s="22">
        <f>((Data!$AJ$40*'Intermediate calculations'!BH45)+Data!$AK$40)</f>
        <v>15404717.652523216</v>
      </c>
      <c r="BI44" s="22">
        <f>((Data!$AJ$40*'Intermediate calculations'!BI45)+Data!$AK$40)</f>
        <v>15517804.200733215</v>
      </c>
      <c r="BJ44" s="22">
        <f>((Data!$AJ$40*'Intermediate calculations'!BJ45)+Data!$AK$40)</f>
        <v>15631468.037675802</v>
      </c>
      <c r="BK44" s="22">
        <f>((Data!$AJ$40*'Intermediate calculations'!BK45)+Data!$AK$40)</f>
        <v>15745712.110317562</v>
      </c>
    </row>
    <row r="45" spans="1:63" x14ac:dyDescent="0.25">
      <c r="A45" t="s">
        <v>749</v>
      </c>
      <c r="B45" t="s">
        <v>321</v>
      </c>
      <c r="C45" s="22">
        <v>2353000</v>
      </c>
      <c r="D45" s="22">
        <v>2534000</v>
      </c>
      <c r="E45" s="22">
        <v>2567000</v>
      </c>
      <c r="F45" s="22">
        <v>2743000</v>
      </c>
      <c r="G45" s="22">
        <v>2918000</v>
      </c>
      <c r="H45" s="22">
        <v>2540000</v>
      </c>
      <c r="I45" s="22">
        <v>2807000</v>
      </c>
      <c r="J45" s="22">
        <v>2912000</v>
      </c>
      <c r="K45" s="22">
        <v>3382000</v>
      </c>
      <c r="L45" s="22">
        <v>3381000</v>
      </c>
      <c r="M45" s="22">
        <v>3426000</v>
      </c>
      <c r="N45" s="22">
        <v>3589000</v>
      </c>
      <c r="O45" s="22">
        <v>3877000</v>
      </c>
      <c r="P45" s="22">
        <v>3708000</v>
      </c>
      <c r="Q45" s="22">
        <v>3712000</v>
      </c>
      <c r="R45" s="22">
        <v>3740000</v>
      </c>
      <c r="S45" s="22">
        <v>3825000</v>
      </c>
      <c r="T45" s="22">
        <v>3816000</v>
      </c>
      <c r="U45" s="22">
        <v>3809000</v>
      </c>
      <c r="V45" s="22">
        <v>4524000</v>
      </c>
      <c r="W45" s="22">
        <v>4471000</v>
      </c>
      <c r="X45" s="22">
        <v>4513000</v>
      </c>
      <c r="Y45" s="22">
        <f>((Data!$AJ$39*Drivers!Z4)+Data!$AK$39)</f>
        <v>4413531.2351076361</v>
      </c>
      <c r="Z45" s="22">
        <f>((Data!$AJ$39*Drivers!AA4)+Data!$AK$39)</f>
        <v>4510882.5831505293</v>
      </c>
      <c r="AA45" s="22">
        <f>((Data!$AJ$39*Drivers!AB4)+Data!$AK$39)</f>
        <v>4611861.4731789092</v>
      </c>
      <c r="AB45" s="22">
        <f>((Data!$AJ$39*Drivers!AC4)+Data!$AK$39)</f>
        <v>4716607.9890380893</v>
      </c>
      <c r="AC45" s="22">
        <f>((Data!$AJ$39*Drivers!AD4)+Data!$AK$39)</f>
        <v>4825269.1929805083</v>
      </c>
      <c r="AD45" s="22">
        <f>((Data!$AJ$39*Drivers!AE4)+Data!$AK$39)</f>
        <v>4937999.4707885766</v>
      </c>
      <c r="AE45" s="22">
        <f>((Data!$AJ$39*Drivers!AF4)+Data!$AK$39)</f>
        <v>5052235.0980750509</v>
      </c>
      <c r="AF45" s="22">
        <f>((Data!$AJ$39*Drivers!AG4)+Data!$AK$39)</f>
        <v>5168318.1027603969</v>
      </c>
      <c r="AG45" s="22">
        <f>((Data!$AJ$39*Drivers!AH4)+Data!$AK$39)</f>
        <v>5286278.3599661952</v>
      </c>
      <c r="AH45" s="22">
        <f>((Data!$AJ$39*Drivers!AI4)+Data!$AK$39)</f>
        <v>5371624.0183132365</v>
      </c>
      <c r="AI45" s="22">
        <f>((Data!$AJ$39*Drivers!AJ4)+Data!$AK$39)</f>
        <v>5457952.3612376349</v>
      </c>
      <c r="AJ45" s="22">
        <f>((Data!$AJ$39*Drivers!AK4)+Data!$AK$39)</f>
        <v>5545274.7035384951</v>
      </c>
      <c r="AK45" s="22">
        <f>((Data!$AJ$39*Drivers!AL4)+Data!$AK$39)</f>
        <v>5633602.4902954595</v>
      </c>
      <c r="AL45" s="22">
        <f>((Data!$AJ$39*Drivers!AM4)+Data!$AK$39)</f>
        <v>5722947.2983687902</v>
      </c>
      <c r="AM45" s="22">
        <f>((Data!$AJ$39*Drivers!AN4)+Data!$AK$39)</f>
        <v>5800231.0464366814</v>
      </c>
      <c r="AN45" s="22">
        <f>((Data!$AJ$39*Drivers!AO4)+Data!$AK$39)</f>
        <v>5878275.7649104679</v>
      </c>
      <c r="AO45" s="22">
        <f>((Data!$AJ$39*Drivers!AP4)+Data!$AK$39)</f>
        <v>5957088.9466456743</v>
      </c>
      <c r="AP45" s="22">
        <f>((Data!$AJ$39*Drivers!AQ4)+Data!$AK$39)</f>
        <v>6036678.158275838</v>
      </c>
      <c r="AQ45" s="22">
        <f>((Data!$AJ$39*Drivers!AR4)+Data!$AK$39)</f>
        <v>6117051.0409389604</v>
      </c>
      <c r="AR45" s="22">
        <f>((Data!$AJ$39*Drivers!AS4)+Data!$AK$39)</f>
        <v>6187399.0417351853</v>
      </c>
      <c r="AS45" s="22">
        <f>((Data!$AJ$39*Drivers!AT4)+Data!$AK$39)</f>
        <v>6258347.4114820044</v>
      </c>
      <c r="AT45" s="22">
        <f>((Data!$AJ$39*Drivers!AU4)+Data!$AK$39)</f>
        <v>6329901.273891151</v>
      </c>
      <c r="AU45" s="22">
        <f>((Data!$AJ$39*Drivers!AV4)+Data!$AK$39)</f>
        <v>6402065.7964014988</v>
      </c>
      <c r="AV45" s="22">
        <f>((Data!$AJ$39*Drivers!AW4)+Data!$AK$39)</f>
        <v>6474846.1905522533</v>
      </c>
      <c r="AW45" s="22">
        <f>((Data!$AJ$39*Drivers!AX4)+Data!$AK$39)</f>
        <v>6537813.9568235315</v>
      </c>
      <c r="AX45" s="22">
        <f>((Data!$AJ$39*Drivers!AY4)+Data!$AK$39)</f>
        <v>6601242.7199624032</v>
      </c>
      <c r="AY45" s="22">
        <f>((Data!$AJ$39*Drivers!AZ4)+Data!$AK$39)</f>
        <v>6665135.8549990524</v>
      </c>
      <c r="AZ45" s="22">
        <f>((Data!$AJ$39*Drivers!BA4)+Data!$AK$39)</f>
        <v>6729496.7616727911</v>
      </c>
      <c r="BA45" s="22">
        <f>((Data!$AJ$39*Drivers!BB4)+Data!$AK$39)</f>
        <v>6794328.8646129537</v>
      </c>
      <c r="BB45" s="22">
        <f>((Data!$AJ$39*Drivers!BC4)+Data!$AK$39)</f>
        <v>6849732.081011299</v>
      </c>
      <c r="BC45" s="22">
        <f>((Data!$AJ$39*Drivers!BD4)+Data!$AK$39)</f>
        <v>6905479.4028818067</v>
      </c>
      <c r="BD45" s="22">
        <f>((Data!$AJ$39*Drivers!BE4)+Data!$AK$39)</f>
        <v>6961572.9674393125</v>
      </c>
      <c r="BE45" s="22">
        <f>((Data!$AJ$39*Drivers!BF4)+Data!$AK$39)</f>
        <v>7018014.9251727425</v>
      </c>
      <c r="BF45" s="22">
        <f>((Data!$AJ$39*Drivers!BG4)+Data!$AK$39)</f>
        <v>7074807.4399275575</v>
      </c>
      <c r="BG45" s="22">
        <f>((Data!$AJ$39*Drivers!BH4)+Data!$AK$39)</f>
        <v>7121775.8286736626</v>
      </c>
      <c r="BH45" s="22">
        <f>((Data!$AJ$39*Drivers!BI4)+Data!$AK$39)</f>
        <v>7168983.9835284706</v>
      </c>
      <c r="BI45" s="22">
        <f>((Data!$AJ$39*Drivers!BJ4)+Data!$AK$39)</f>
        <v>7216433.1284595914</v>
      </c>
      <c r="BJ45" s="22">
        <f>((Data!$AJ$39*Drivers!BK4)+Data!$AK$39)</f>
        <v>7264124.4936828092</v>
      </c>
      <c r="BK45" s="22">
        <f>((Data!$AJ$39*Drivers!BL4)+Data!$AK$39)</f>
        <v>7312059.3156939484</v>
      </c>
    </row>
    <row r="46" spans="1:63" x14ac:dyDescent="0.25">
      <c r="A46" t="s">
        <v>344</v>
      </c>
      <c r="B46" t="s">
        <v>321</v>
      </c>
      <c r="C46" s="22">
        <v>9180000</v>
      </c>
      <c r="D46" s="22">
        <v>8614000</v>
      </c>
      <c r="E46" s="22">
        <v>3277000</v>
      </c>
      <c r="F46" s="22">
        <v>9997000</v>
      </c>
      <c r="G46" s="22">
        <v>13275000</v>
      </c>
      <c r="H46" s="22">
        <v>4866000</v>
      </c>
      <c r="I46" s="22">
        <v>10171000</v>
      </c>
      <c r="J46" s="22">
        <v>10136000</v>
      </c>
      <c r="K46" s="22">
        <v>7693000</v>
      </c>
      <c r="L46" s="22">
        <v>7946000</v>
      </c>
      <c r="M46" s="22">
        <v>11455000</v>
      </c>
      <c r="N46" s="22">
        <v>7772000</v>
      </c>
      <c r="O46" s="22">
        <v>10076000</v>
      </c>
      <c r="P46" s="22">
        <v>9705000</v>
      </c>
      <c r="Q46" s="22">
        <v>9737000</v>
      </c>
      <c r="R46" s="22">
        <v>11749000</v>
      </c>
      <c r="S46" s="22">
        <v>6618000</v>
      </c>
      <c r="T46" s="22">
        <v>7339000</v>
      </c>
      <c r="U46" s="22">
        <v>13164000</v>
      </c>
      <c r="V46" s="22">
        <v>12567000</v>
      </c>
      <c r="W46" s="22">
        <v>13421000</v>
      </c>
      <c r="X46" s="22">
        <v>10924000</v>
      </c>
      <c r="Y46" s="22">
        <f>((Data!$AJ$41*'Intermediate calculations'!Y44)+Data!$AK$41)</f>
        <v>11669565.858699912</v>
      </c>
      <c r="Z46" s="22">
        <f>((Data!$AJ$41*'Intermediate calculations'!Z44)+Data!$AK$41)</f>
        <v>11888967.550540989</v>
      </c>
      <c r="AA46" s="22">
        <f>((Data!$AJ$41*'Intermediate calculations'!AA44)+Data!$AK$41)</f>
        <v>12116544.669480311</v>
      </c>
      <c r="AB46" s="22">
        <f>((Data!$AJ$41*'Intermediate calculations'!AB44)+Data!$AK$41)</f>
        <v>12352612.92385966</v>
      </c>
      <c r="AC46" s="22">
        <f>((Data!$AJ$41*'Intermediate calculations'!AC44)+Data!$AK$41)</f>
        <v>12597503.749325689</v>
      </c>
      <c r="AD46" s="22">
        <f>((Data!$AJ$41*'Intermediate calculations'!AD44)+Data!$AK$41)</f>
        <v>12851565.086636676</v>
      </c>
      <c r="AE46" s="22">
        <f>((Data!$AJ$41*'Intermediate calculations'!AE44)+Data!$AK$41)</f>
        <v>13109019.044892458</v>
      </c>
      <c r="AF46" s="22">
        <f>((Data!$AJ$41*'Intermediate calculations'!AF44)+Data!$AK$41)</f>
        <v>13370636.455785824</v>
      </c>
      <c r="AG46" s="22">
        <f>((Data!$AJ$41*'Intermediate calculations'!AG44)+Data!$AK$41)</f>
        <v>13636484.649172502</v>
      </c>
      <c r="AH46" s="22">
        <f>((Data!$AJ$41*'Intermediate calculations'!AH44)+Data!$AK$41)</f>
        <v>13828828.99990898</v>
      </c>
      <c r="AI46" s="22">
        <f>((Data!$AJ$41*'Intermediate calculations'!AI44)+Data!$AK$41)</f>
        <v>14023388.036555341</v>
      </c>
      <c r="AJ46" s="22">
        <f>((Data!$AJ$41*'Intermediate calculations'!AJ44)+Data!$AK$41)</f>
        <v>14220187.259385752</v>
      </c>
      <c r="AK46" s="22">
        <f>((Data!$AJ$41*'Intermediate calculations'!AK44)+Data!$AK$41)</f>
        <v>14419252.462288922</v>
      </c>
      <c r="AL46" s="22">
        <f>((Data!$AJ$41*'Intermediate calculations'!AL44)+Data!$AK$41)</f>
        <v>14620609.73614884</v>
      </c>
      <c r="AM46" s="22">
        <f>((Data!$AJ$41*'Intermediate calculations'!AM44)+Data!$AK$41)</f>
        <v>14794784.880292134</v>
      </c>
      <c r="AN46" s="22">
        <f>((Data!$AJ$41*'Intermediate calculations'!AN44)+Data!$AK$41)</f>
        <v>14970675.030933548</v>
      </c>
      <c r="AO46" s="22">
        <f>((Data!$AJ$41*'Intermediate calculations'!AO44)+Data!$AK$41)</f>
        <v>15148297.074795375</v>
      </c>
      <c r="AP46" s="22">
        <f>((Data!$AJ$41*'Intermediate calculations'!AP44)+Data!$AK$41)</f>
        <v>15327668.064874131</v>
      </c>
      <c r="AQ46" s="22">
        <f>((Data!$AJ$41*'Intermediate calculations'!AQ44)+Data!$AK$41)</f>
        <v>15508805.222077787</v>
      </c>
      <c r="AR46" s="22">
        <f>((Data!$AJ$41*'Intermediate calculations'!AR44)+Data!$AK$41)</f>
        <v>15667349.204288784</v>
      </c>
      <c r="AS46" s="22">
        <f>((Data!$AJ$41*'Intermediate calculations'!AS44)+Data!$AK$41)</f>
        <v>15827246.243916424</v>
      </c>
      <c r="AT46" s="22">
        <f>((Data!$AJ$41*'Intermediate calculations'!AT44)+Data!$AK$41)</f>
        <v>15988507.888320293</v>
      </c>
      <c r="AU46" s="22">
        <f>((Data!$AJ$41*'Intermediate calculations'!AU44)+Data!$AK$41)</f>
        <v>16151145.783408277</v>
      </c>
      <c r="AV46" s="22">
        <f>((Data!$AJ$41*'Intermediate calculations'!AV44)+Data!$AK$41)</f>
        <v>16315171.674477605</v>
      </c>
      <c r="AW46" s="22">
        <f>((Data!$AJ$41*'Intermediate calculations'!AW44)+Data!$AK$41)</f>
        <v>16457082.749456095</v>
      </c>
      <c r="AX46" s="22">
        <f>((Data!$AJ$41*'Intermediate calculations'!AX44)+Data!$AK$41)</f>
        <v>16600032.777615165</v>
      </c>
      <c r="AY46" s="22">
        <f>((Data!$AJ$41*'Intermediate calculations'!AY44)+Data!$AK$41)</f>
        <v>16744029.36529359</v>
      </c>
      <c r="AZ46" s="22">
        <f>((Data!$AJ$41*'Intermediate calculations'!AZ44)+Data!$AK$41)</f>
        <v>16889080.174517334</v>
      </c>
      <c r="BA46" s="22">
        <f>((Data!$AJ$41*'Intermediate calculations'!BA44)+Data!$AK$41)</f>
        <v>17035192.923407253</v>
      </c>
      <c r="BB46" s="22">
        <f>((Data!$AJ$41*'Intermediate calculations'!BB44)+Data!$AK$41)</f>
        <v>17160055.697838262</v>
      </c>
      <c r="BC46" s="22">
        <f>((Data!$AJ$41*'Intermediate calculations'!BC44)+Data!$AK$41)</f>
        <v>17285693.986160778</v>
      </c>
      <c r="BD46" s="22">
        <f>((Data!$AJ$41*'Intermediate calculations'!BD44)+Data!$AK$41)</f>
        <v>17412112.605036922</v>
      </c>
      <c r="BE46" s="22">
        <f>((Data!$AJ$41*'Intermediate calculations'!BE44)+Data!$AK$41)</f>
        <v>17539316.401044767</v>
      </c>
      <c r="BF46" s="22">
        <f>((Data!$AJ$41*'Intermediate calculations'!BF44)+Data!$AK$41)</f>
        <v>17667310.250864141</v>
      </c>
      <c r="BG46" s="22">
        <f>((Data!$AJ$41*'Intermediate calculations'!BG44)+Data!$AK$41)</f>
        <v>17773163.371145584</v>
      </c>
      <c r="BH46" s="22">
        <f>((Data!$AJ$41*'Intermediate calculations'!BH44)+Data!$AK$41)</f>
        <v>17879556.854667529</v>
      </c>
      <c r="BI46" s="22">
        <f>((Data!$AJ$41*'Intermediate calculations'!BI44)+Data!$AK$41)</f>
        <v>17986493.459897824</v>
      </c>
      <c r="BJ46" s="22">
        <f>((Data!$AJ$41*'Intermediate calculations'!BJ44)+Data!$AK$41)</f>
        <v>18093975.959385909</v>
      </c>
      <c r="BK46" s="22">
        <f>((Data!$AJ$41*'Intermediate calculations'!BK44)+Data!$AK$41)</f>
        <v>18202007.139834598</v>
      </c>
    </row>
    <row r="47" spans="1:63" x14ac:dyDescent="0.25">
      <c r="A47" t="s">
        <v>750</v>
      </c>
      <c r="B47" t="s">
        <v>321</v>
      </c>
      <c r="C47" s="22">
        <v>194000</v>
      </c>
      <c r="D47" s="22">
        <v>195000</v>
      </c>
      <c r="E47" s="22">
        <v>199000</v>
      </c>
      <c r="F47" s="22">
        <v>200000</v>
      </c>
      <c r="G47" s="22">
        <v>184000</v>
      </c>
      <c r="H47" s="22">
        <v>183000</v>
      </c>
      <c r="I47" s="22">
        <v>181000</v>
      </c>
      <c r="J47" s="22">
        <v>179000</v>
      </c>
      <c r="K47" s="22">
        <v>177000</v>
      </c>
      <c r="L47" s="22">
        <v>175500</v>
      </c>
      <c r="M47" s="22">
        <v>174000</v>
      </c>
      <c r="N47" s="22">
        <v>186000</v>
      </c>
      <c r="O47" s="22">
        <v>190000</v>
      </c>
      <c r="P47" s="22">
        <v>174000</v>
      </c>
      <c r="Q47" s="22">
        <v>169000</v>
      </c>
      <c r="R47" s="22">
        <v>179000</v>
      </c>
      <c r="S47" s="22">
        <v>191000</v>
      </c>
      <c r="T47" s="22">
        <v>182000</v>
      </c>
      <c r="U47" s="22">
        <v>185000</v>
      </c>
      <c r="V47" s="22">
        <v>177000</v>
      </c>
      <c r="W47" s="22">
        <v>184000</v>
      </c>
      <c r="X47" s="22">
        <v>182000</v>
      </c>
      <c r="Y47" s="22">
        <f>((Data!$AJ$12*((Drivers!Z5*1000000)/Drivers!Z4))+Data!$AK$12)*Drivers!Z4</f>
        <v>170094.538801266</v>
      </c>
      <c r="Z47" s="22">
        <f>((Data!$AJ$12*((Drivers!AA5*1000000)/Drivers!AA4))+Data!$AK$12)*Drivers!AA4</f>
        <v>169770.09652312472</v>
      </c>
      <c r="AA47" s="22">
        <f>((Data!$AJ$12*((Drivers!AB5*1000000)/Drivers!AB4))+Data!$AK$12)*Drivers!AB4</f>
        <v>171638.63783481391</v>
      </c>
      <c r="AB47" s="22">
        <f>((Data!$AJ$12*((Drivers!AC5*1000000)/Drivers!AC4))+Data!$AK$12)*Drivers!AC4</f>
        <v>176523.6498046006</v>
      </c>
      <c r="AC47" s="22">
        <f>((Data!$AJ$12*((Drivers!AD5*1000000)/Drivers!AD4))+Data!$AK$12)*Drivers!AD4</f>
        <v>181709.3783234272</v>
      </c>
      <c r="AD47" s="22">
        <f>((Data!$AJ$12*((Drivers!AE5*1000000)/Drivers!AE4))+Data!$AK$12)*Drivers!AE4</f>
        <v>185808.14456148949</v>
      </c>
      <c r="AE47" s="22">
        <f>((Data!$AJ$12*((Drivers!AF5*1000000)/Drivers!AF4))+Data!$AK$12)*Drivers!AF4</f>
        <v>189593.67273990336</v>
      </c>
      <c r="AF47" s="22">
        <f>((Data!$AJ$12*((Drivers!AG5*1000000)/Drivers!AG4))+Data!$AK$12)*Drivers!AG4</f>
        <v>196486.34819547235</v>
      </c>
      <c r="AG47" s="22">
        <f>((Data!$AJ$12*((Drivers!AH5*1000000)/Drivers!AH4))+Data!$AK$12)*Drivers!AH4</f>
        <v>231082.24305874232</v>
      </c>
      <c r="AH47" s="22">
        <f>((Data!$AJ$12*((Drivers!AI5*1000000)/Drivers!AI4))+Data!$AK$12)*Drivers!AI4</f>
        <v>229242.42355153392</v>
      </c>
      <c r="AI47" s="22">
        <f>((Data!$AJ$12*((Drivers!AJ5*1000000)/Drivers!AJ4))+Data!$AK$12)*Drivers!AJ4</f>
        <v>228154.10675913954</v>
      </c>
      <c r="AJ47" s="22">
        <f>((Data!$AJ$12*((Drivers!AK5*1000000)/Drivers!AK4))+Data!$AK$12)*Drivers!AK4</f>
        <v>227086.56349318725</v>
      </c>
      <c r="AK47" s="22">
        <f>((Data!$AJ$12*((Drivers!AL5*1000000)/Drivers!AL4))+Data!$AK$12)*Drivers!AL4</f>
        <v>224856.32431878382</v>
      </c>
      <c r="AL47" s="22">
        <f>((Data!$AJ$12*((Drivers!AM5*1000000)/Drivers!AM4))+Data!$AK$12)*Drivers!AM4</f>
        <v>222634.25585483515</v>
      </c>
      <c r="AM47" s="22">
        <f>((Data!$AJ$12*((Drivers!AN5*1000000)/Drivers!AN4))+Data!$AK$12)*Drivers!AN4</f>
        <v>219260.59144665647</v>
      </c>
      <c r="AN47" s="22">
        <f>((Data!$AJ$12*((Drivers!AO5*1000000)/Drivers!AO4))+Data!$AK$12)*Drivers!AO4</f>
        <v>216164.77536469756</v>
      </c>
      <c r="AO47" s="22">
        <f>((Data!$AJ$12*((Drivers!AP5*1000000)/Drivers!AP4))+Data!$AK$12)*Drivers!AP4</f>
        <v>212585.03939640705</v>
      </c>
      <c r="AP47" s="22">
        <f>((Data!$AJ$12*((Drivers!AQ5*1000000)/Drivers!AQ4))+Data!$AK$12)*Drivers!AQ4</f>
        <v>209563.23279427257</v>
      </c>
      <c r="AQ47" s="22">
        <f>((Data!$AJ$12*((Drivers!AR5*1000000)/Drivers!AR4))+Data!$AK$12)*Drivers!AR4</f>
        <v>206365.40421273516</v>
      </c>
      <c r="AR47" s="22">
        <f>((Data!$AJ$12*((Drivers!AS5*1000000)/Drivers!AS4))+Data!$AK$12)*Drivers!AS4</f>
        <v>200777.44665034968</v>
      </c>
      <c r="AS47" s="22">
        <f>((Data!$AJ$12*((Drivers!AT5*1000000)/Drivers!AT4))+Data!$AK$12)*Drivers!AT4</f>
        <v>194402.8845889784</v>
      </c>
      <c r="AT47" s="22">
        <f>((Data!$AJ$12*((Drivers!AU5*1000000)/Drivers!AU4))+Data!$AK$12)*Drivers!AU4</f>
        <v>187674.11872463609</v>
      </c>
      <c r="AU47" s="22">
        <f>((Data!$AJ$12*((Drivers!AV5*1000000)/Drivers!AV4))+Data!$AK$12)*Drivers!AV4</f>
        <v>190479.14557595804</v>
      </c>
      <c r="AV47" s="22">
        <f>((Data!$AJ$12*((Drivers!AW5*1000000)/Drivers!AW4))+Data!$AK$12)*Drivers!AW4</f>
        <v>659123.22376588953</v>
      </c>
      <c r="AW47" s="22">
        <f>((Data!$AJ$12*((Drivers!AX5*1000000)/Drivers!AX4))+Data!$AK$12)*Drivers!AX4</f>
        <v>663948.76800076605</v>
      </c>
      <c r="AX47" s="22">
        <f>((Data!$AJ$12*((Drivers!AY5*1000000)/Drivers!AY4))+Data!$AK$12)*Drivers!AY4</f>
        <v>668809.64079989772</v>
      </c>
      <c r="AY47" s="22">
        <f>((Data!$AJ$12*((Drivers!AZ5*1000000)/Drivers!AZ4))+Data!$AK$12)*Drivers!AZ4</f>
        <v>673706.10080922989</v>
      </c>
      <c r="AZ47" s="22">
        <f>((Data!$AJ$12*((Drivers!BA5*1000000)/Drivers!BA4))+Data!$AK$12)*Drivers!BA4</f>
        <v>678638.408568296</v>
      </c>
      <c r="BA47" s="22">
        <f>((Data!$AJ$12*((Drivers!BB5*1000000)/Drivers!BB4))+Data!$AK$12)*Drivers!BB4</f>
        <v>683606.82652408001</v>
      </c>
      <c r="BB47" s="22">
        <f>((Data!$AJ$12*((Drivers!BC5*1000000)/Drivers!BC4))+Data!$AK$12)*Drivers!BC4</f>
        <v>687852.66034217761</v>
      </c>
      <c r="BC47" s="22">
        <f>((Data!$AJ$12*((Drivers!BD5*1000000)/Drivers!BD4))+Data!$AK$12)*Drivers!BD4</f>
        <v>692124.86473486759</v>
      </c>
      <c r="BD47" s="22">
        <f>((Data!$AJ$12*((Drivers!BE5*1000000)/Drivers!BE4))+Data!$AK$12)*Drivers!BE4</f>
        <v>696423.60348793049</v>
      </c>
      <c r="BE47" s="22">
        <f>((Data!$AJ$12*((Drivers!BF5*1000000)/Drivers!BF4))+Data!$AK$12)*Drivers!BF4</f>
        <v>700749.0414044084</v>
      </c>
      <c r="BF47" s="22">
        <f>((Data!$AJ$12*((Drivers!BG5*1000000)/Drivers!BG4))+Data!$AK$12)*Drivers!BG4</f>
        <v>705101.34431092325</v>
      </c>
      <c r="BG47" s="22">
        <f>((Data!$AJ$12*((Drivers!BH5*1000000)/Drivers!BH4))+Data!$AK$12)*Drivers!BH4</f>
        <v>708700.77384378563</v>
      </c>
      <c r="BH47" s="22">
        <f>((Data!$AJ$12*((Drivers!BI5*1000000)/Drivers!BI4))+Data!$AK$12)*Drivers!BI4</f>
        <v>712318.57788843522</v>
      </c>
      <c r="BI47" s="22">
        <f>((Data!$AJ$12*((Drivers!BJ5*1000000)/Drivers!BJ4))+Data!$AK$12)*Drivers!BJ4</f>
        <v>715954.85024381394</v>
      </c>
      <c r="BJ47" s="22">
        <f>((Data!$AJ$12*((Drivers!BK5*1000000)/Drivers!BK4))+Data!$AK$12)*Drivers!BK4</f>
        <v>719609.6851876931</v>
      </c>
      <c r="BK47" s="22">
        <f>((Data!$AJ$12*((Drivers!BL5*1000000)/Drivers!BL4))+Data!$AK$12)*Drivers!BL4</f>
        <v>723283.17747911648</v>
      </c>
    </row>
    <row r="48" spans="1:63" x14ac:dyDescent="0.25">
      <c r="A48" t="s">
        <v>750</v>
      </c>
      <c r="B48" t="s">
        <v>322</v>
      </c>
      <c r="C48" s="22">
        <f>C47/Drivers!D4</f>
        <v>5.2716662152689246E-3</v>
      </c>
      <c r="D48" s="22">
        <f>D47/Drivers!E4</f>
        <v>5.169815172479616E-3</v>
      </c>
      <c r="E48" s="22">
        <f>E47/Drivers!F4</f>
        <v>5.1457611843959729E-3</v>
      </c>
      <c r="F48" s="22">
        <f>F47/Drivers!G4</f>
        <v>5.0462043081969284E-3</v>
      </c>
      <c r="G48" s="22">
        <f>G47/Drivers!H4</f>
        <v>4.5360352128469197E-3</v>
      </c>
      <c r="H48" s="22">
        <f>H47/Drivers!I4</f>
        <v>4.4164752579161221E-3</v>
      </c>
      <c r="I48" s="22">
        <f>I47/Drivers!J4</f>
        <v>4.2849353203217606E-3</v>
      </c>
      <c r="J48" s="22">
        <f>J47/Drivers!K4</f>
        <v>4.164004940882645E-3</v>
      </c>
      <c r="K48" s="22">
        <f>K47/Drivers!L4</f>
        <v>4.0519881526276339E-3</v>
      </c>
      <c r="L48" s="22">
        <f>L47/Drivers!M4</f>
        <v>3.9581814855756533E-3</v>
      </c>
      <c r="M48" s="22">
        <f>M47/Drivers!N4</f>
        <v>3.8694433792356062E-3</v>
      </c>
      <c r="N48" s="22">
        <f>N47/Drivers!O4</f>
        <v>4.0815185460911186E-3</v>
      </c>
      <c r="O48" s="22">
        <f>O47/Drivers!P4</f>
        <v>4.1169283043219537E-3</v>
      </c>
      <c r="P48" s="22">
        <f>P47/Drivers!Q4</f>
        <v>3.7243791609769998E-3</v>
      </c>
      <c r="Q48" s="22">
        <f>Q47/Drivers!R4</f>
        <v>3.5735725639283586E-3</v>
      </c>
      <c r="R48" s="22">
        <f>R47/Drivers!S4</f>
        <v>3.7384660230142057E-3</v>
      </c>
      <c r="S48" s="22">
        <f>S47/Drivers!T4</f>
        <v>3.9390004330631945E-3</v>
      </c>
      <c r="T48" s="22">
        <f>T47/Drivers!U4</f>
        <v>3.7052299055457499E-3</v>
      </c>
      <c r="U48" s="22">
        <f>U47/Drivers!V4</f>
        <v>3.7163914417652206E-3</v>
      </c>
      <c r="V48" s="22">
        <f>V47/Drivers!W4</f>
        <v>3.5065467723514772E-3</v>
      </c>
      <c r="W48" s="22">
        <f>W47/Drivers!X4</f>
        <v>3.5925596839359707E-3</v>
      </c>
      <c r="X48" s="22">
        <f>X47/Drivers!Y4</f>
        <v>3.499719214835302E-3</v>
      </c>
      <c r="Y48" s="22"/>
      <c r="Z48" s="22"/>
      <c r="AA48" s="22"/>
      <c r="AB48" s="22"/>
      <c r="AC48" s="22"/>
      <c r="AD48" s="22"/>
      <c r="AE48" s="22"/>
      <c r="AF48" s="22"/>
      <c r="AG48" s="22"/>
      <c r="AH48" s="22"/>
      <c r="AI48" s="22"/>
      <c r="AJ48" s="22"/>
      <c r="AK48" s="22"/>
      <c r="AL48" s="22"/>
      <c r="AM48" s="22"/>
      <c r="AN48" s="22"/>
      <c r="AO48" s="22"/>
      <c r="AP48" s="22"/>
      <c r="AQ48" s="22"/>
      <c r="AR48" s="22"/>
      <c r="AS48" s="22"/>
      <c r="AT48" s="22"/>
      <c r="AU48" s="22"/>
      <c r="AV48" s="22"/>
      <c r="AW48" s="22"/>
      <c r="AX48" s="22"/>
      <c r="AY48" s="22"/>
      <c r="AZ48" s="22"/>
      <c r="BA48" s="22"/>
      <c r="BB48" s="22"/>
      <c r="BC48" s="22"/>
      <c r="BD48" s="22"/>
      <c r="BE48" s="22"/>
      <c r="BF48" s="22"/>
      <c r="BG48" s="22"/>
      <c r="BH48" s="22"/>
      <c r="BI48" s="22"/>
      <c r="BJ48" s="22"/>
      <c r="BK48" s="22"/>
    </row>
    <row r="49" spans="1:63" x14ac:dyDescent="0.25">
      <c r="A49" t="s">
        <v>371</v>
      </c>
      <c r="B49" t="s">
        <v>321</v>
      </c>
      <c r="C49" s="22">
        <v>316000</v>
      </c>
      <c r="D49" s="22">
        <v>245000</v>
      </c>
      <c r="E49" s="22">
        <v>243000</v>
      </c>
      <c r="F49" s="22">
        <v>287000</v>
      </c>
      <c r="G49" s="22">
        <v>410000</v>
      </c>
      <c r="H49" s="22">
        <v>303000</v>
      </c>
      <c r="I49" s="22">
        <v>331000</v>
      </c>
      <c r="J49" s="22">
        <v>243000</v>
      </c>
      <c r="K49" s="22">
        <v>235000</v>
      </c>
      <c r="L49" s="22"/>
      <c r="M49" s="22">
        <v>210000</v>
      </c>
      <c r="N49" s="22">
        <v>209000</v>
      </c>
      <c r="O49" s="22">
        <v>206000</v>
      </c>
      <c r="P49" s="22">
        <v>196000</v>
      </c>
      <c r="Q49" s="22">
        <v>179000</v>
      </c>
      <c r="R49" s="22">
        <v>189000</v>
      </c>
      <c r="S49" s="22">
        <v>203000</v>
      </c>
      <c r="T49" s="22">
        <v>190000</v>
      </c>
      <c r="U49" s="22">
        <v>196000</v>
      </c>
      <c r="V49" s="22">
        <v>187000</v>
      </c>
      <c r="W49" s="22">
        <v>192000</v>
      </c>
      <c r="X49" s="22">
        <v>191000</v>
      </c>
      <c r="Y49" s="22">
        <f>((Data!$AJ$44*'Intermediate calculations'!Y47)+Data!$AK$44)</f>
        <v>177815.68011804044</v>
      </c>
      <c r="Z49" s="22">
        <f>((Data!$AJ$44*'Intermediate calculations'!Z47)+Data!$AK$44)</f>
        <v>177494.26348524768</v>
      </c>
      <c r="AA49" s="22">
        <f>((Data!$AJ$44*'Intermediate calculations'!AA47)+Data!$AK$44)</f>
        <v>179345.37937580919</v>
      </c>
      <c r="AB49" s="22">
        <f>((Data!$AJ$44*'Intermediate calculations'!AB47)+Data!$AK$44)</f>
        <v>184184.83527988053</v>
      </c>
      <c r="AC49" s="22">
        <f>((Data!$AJ$44*'Intermediate calculations'!AC47)+Data!$AK$44)</f>
        <v>189322.203346236</v>
      </c>
      <c r="AD49" s="22">
        <f>((Data!$AJ$44*'Intermediate calculations'!AD47)+Data!$AK$44)</f>
        <v>193382.74579585152</v>
      </c>
      <c r="AE49" s="22">
        <f>((Data!$AJ$44*'Intermediate calculations'!AE47)+Data!$AK$44)</f>
        <v>197132.97134419408</v>
      </c>
      <c r="AF49" s="22">
        <f>((Data!$AJ$44*'Intermediate calculations'!AF47)+Data!$AK$44)</f>
        <v>203961.36790383596</v>
      </c>
      <c r="AG49" s="22">
        <f>((Data!$AJ$44*'Intermediate calculations'!AG47)+Data!$AK$44)</f>
        <v>238234.63247067659</v>
      </c>
      <c r="AH49" s="22">
        <f>((Data!$AJ$44*'Intermediate calculations'!AH47)+Data!$AK$44)</f>
        <v>236411.9705341954</v>
      </c>
      <c r="AI49" s="22">
        <f>((Data!$AJ$44*'Intermediate calculations'!AI47)+Data!$AK$44)</f>
        <v>235333.80303756939</v>
      </c>
      <c r="AJ49" s="22">
        <f>((Data!$AJ$44*'Intermediate calculations'!AJ47)+Data!$AK$44)</f>
        <v>234276.21534009441</v>
      </c>
      <c r="AK49" s="22">
        <f>((Data!$AJ$44*'Intermediate calculations'!AK47)+Data!$AK$44)</f>
        <v>232066.77466588269</v>
      </c>
      <c r="AL49" s="22">
        <f>((Data!$AJ$44*'Intermediate calculations'!AL47)+Data!$AK$44)</f>
        <v>229865.42850468247</v>
      </c>
      <c r="AM49" s="22">
        <f>((Data!$AJ$44*'Intermediate calculations'!AM47)+Data!$AK$44)</f>
        <v>226523.22581623573</v>
      </c>
      <c r="AN49" s="22">
        <f>((Data!$AJ$44*'Intermediate calculations'!AN47)+Data!$AK$44)</f>
        <v>223456.28032901531</v>
      </c>
      <c r="AO49" s="22">
        <f>((Data!$AJ$44*'Intermediate calculations'!AO47)+Data!$AK$44)</f>
        <v>219909.92783819092</v>
      </c>
      <c r="AP49" s="22">
        <f>((Data!$AJ$44*'Intermediate calculations'!AP47)+Data!$AK$44)</f>
        <v>216916.30164195871</v>
      </c>
      <c r="AQ49" s="22">
        <f>((Data!$AJ$44*'Intermediate calculations'!AQ47)+Data!$AK$44)</f>
        <v>213748.29499123909</v>
      </c>
      <c r="AR49" s="22">
        <f>((Data!$AJ$44*'Intermediate calculations'!AR47)+Data!$AK$44)</f>
        <v>208212.44894127184</v>
      </c>
      <c r="AS49" s="22">
        <f>((Data!$AJ$44*'Intermediate calculations'!AS47)+Data!$AK$44)</f>
        <v>201897.33401533659</v>
      </c>
      <c r="AT49" s="22">
        <f>((Data!$AJ$44*'Intermediate calculations'!AT47)+Data!$AK$44)</f>
        <v>195231.3184782801</v>
      </c>
      <c r="AU49" s="22">
        <f>((Data!$AJ$44*'Intermediate calculations'!AU47)+Data!$AK$44)</f>
        <v>198010.18654260982</v>
      </c>
      <c r="AV49" s="22">
        <f>((Data!$AJ$44*'Intermediate calculations'!AV47)+Data!$AK$44)</f>
        <v>662283.839326179</v>
      </c>
      <c r="AW49" s="22">
        <f>((Data!$AJ$44*'Intermediate calculations'!AW47)+Data!$AK$44)</f>
        <v>667064.38207249495</v>
      </c>
      <c r="AX49" s="22">
        <f>((Data!$AJ$44*'Intermediate calculations'!AX47)+Data!$AK$44)</f>
        <v>671879.92392012826</v>
      </c>
      <c r="AY49" s="22">
        <f>((Data!$AJ$44*'Intermediate calculations'!AY47)+Data!$AK$44)</f>
        <v>676730.72110297449</v>
      </c>
      <c r="AZ49" s="22">
        <f>((Data!$AJ$44*'Intermediate calculations'!AZ47)+Data!$AK$44)</f>
        <v>681617.03173085861</v>
      </c>
      <c r="BA49" s="22">
        <f>((Data!$AJ$44*'Intermediate calculations'!BA47)+Data!$AK$44)</f>
        <v>686539.11580326722</v>
      </c>
      <c r="BB49" s="22">
        <f>((Data!$AJ$44*'Intermediate calculations'!BB47)+Data!$AK$44)</f>
        <v>690745.35432750883</v>
      </c>
      <c r="BC49" s="22">
        <f>((Data!$AJ$44*'Intermediate calculations'!BC47)+Data!$AK$44)</f>
        <v>694977.71750276338</v>
      </c>
      <c r="BD49" s="22">
        <f>((Data!$AJ$44*'Intermediate calculations'!BD47)+Data!$AK$44)</f>
        <v>699236.36758739746</v>
      </c>
      <c r="BE49" s="22">
        <f>((Data!$AJ$44*'Intermediate calculations'!BE47)+Data!$AK$44)</f>
        <v>703521.46784755238</v>
      </c>
      <c r="BF49" s="22">
        <f>((Data!$AJ$44*'Intermediate calculations'!BF47)+Data!$AK$44)</f>
        <v>707833.18256340397</v>
      </c>
      <c r="BG49" s="22">
        <f>((Data!$AJ$44*'Intermediate calculations'!BG47)+Data!$AK$44)</f>
        <v>711399.04496288951</v>
      </c>
      <c r="BH49" s="22">
        <f>((Data!$AJ$44*'Intermediate calculations'!BH47)+Data!$AK$44)</f>
        <v>714983.11051931791</v>
      </c>
      <c r="BI49" s="22">
        <f>((Data!$AJ$44*'Intermediate calculations'!BI47)+Data!$AK$44)</f>
        <v>718585.47215689172</v>
      </c>
      <c r="BJ49" s="22">
        <f>((Data!$AJ$44*'Intermediate calculations'!BJ47)+Data!$AK$44)</f>
        <v>722206.2232741781</v>
      </c>
      <c r="BK49" s="22">
        <f>((Data!$AJ$44*'Intermediate calculations'!BK47)+Data!$AK$44)</f>
        <v>725845.45774652786</v>
      </c>
    </row>
    <row r="50" spans="1:63" x14ac:dyDescent="0.25">
      <c r="A50" t="s">
        <v>858</v>
      </c>
      <c r="B50" t="s">
        <v>321</v>
      </c>
      <c r="C50" s="22">
        <f>C15*Constants!$H$29*Constants!$H$35</f>
        <v>1907100</v>
      </c>
      <c r="D50" s="22">
        <f>D15*Constants!$H$29*Constants!$H$35</f>
        <v>1946700</v>
      </c>
      <c r="E50" s="22">
        <f>E15*Constants!$H$29*Constants!$H$35</f>
        <v>1896300</v>
      </c>
      <c r="F50" s="22">
        <f>F15*Constants!$H$29*Constants!$H$35</f>
        <v>1801800</v>
      </c>
      <c r="G50" s="22">
        <f>G15*Constants!$H$29*Constants!$H$35</f>
        <v>1805400</v>
      </c>
      <c r="H50" s="22">
        <f>H15*Constants!$H$29*Constants!$H$35</f>
        <v>2067300</v>
      </c>
      <c r="I50" s="22">
        <f>I15*Constants!$H$29*Constants!$H$35</f>
        <v>2205000</v>
      </c>
      <c r="J50" s="22">
        <f>J15*Constants!$H$29*Constants!$H$35</f>
        <v>2193300</v>
      </c>
      <c r="K50" s="22">
        <f>K15*Constants!$H$29*Constants!$H$35</f>
        <v>2250900</v>
      </c>
      <c r="L50" s="22">
        <f>L15*Constants!$H$29*Constants!$H$35</f>
        <v>2288700</v>
      </c>
      <c r="M50" s="22">
        <f>M15*Constants!$H$29*Constants!$H$35</f>
        <v>2133000</v>
      </c>
      <c r="N50" s="22">
        <f>N15*Constants!$H$29*Constants!$H$35</f>
        <v>2122200</v>
      </c>
      <c r="O50" s="22">
        <f>O15*Constants!$H$29*Constants!$H$35</f>
        <v>2211300</v>
      </c>
      <c r="P50" s="22">
        <f>P15*Constants!$H$29*Constants!$H$35</f>
        <v>2118600</v>
      </c>
      <c r="Q50" s="22">
        <f>Q15*Constants!$H$29*Constants!$H$35</f>
        <v>2254500</v>
      </c>
      <c r="R50" s="22">
        <f>R15*Constants!$H$29*Constants!$H$35</f>
        <v>2391300</v>
      </c>
      <c r="S50" s="22">
        <f>S15*Constants!$H$29*Constants!$H$35</f>
        <v>2261700</v>
      </c>
      <c r="T50" s="22">
        <f>T15*Constants!$H$29*Constants!$H$35</f>
        <v>2303100</v>
      </c>
      <c r="U50" s="22">
        <f>U15*Constants!$H$29*Constants!$H$35</f>
        <v>2362500</v>
      </c>
      <c r="V50" s="22">
        <f>V15*Constants!$H$29*Constants!$H$35</f>
        <v>2328300</v>
      </c>
      <c r="W50" s="22">
        <f>W15*Constants!$H$29*Constants!$H$35</f>
        <v>2439900</v>
      </c>
      <c r="X50" s="22">
        <f>X15*Constants!$H$29*Constants!$H$35</f>
        <v>2448000</v>
      </c>
      <c r="Y50" s="22">
        <f>Y15*Constants!$H$29*Constants!$H$35</f>
        <v>2574777.9563614991</v>
      </c>
      <c r="Z50" s="22">
        <f>Z15*Constants!$H$29*Constants!$H$35</f>
        <v>2612835.6848298265</v>
      </c>
      <c r="AA50" s="22">
        <f>AA15*Constants!$H$29*Constants!$H$35</f>
        <v>2645079.5692393766</v>
      </c>
      <c r="AB50" s="22">
        <f>AB15*Constants!$H$29*Constants!$H$35</f>
        <v>2668862.0559553052</v>
      </c>
      <c r="AC50" s="22">
        <f>AC15*Constants!$H$29*Constants!$H$35</f>
        <v>2693145.8716637702</v>
      </c>
      <c r="AD50" s="22">
        <f>AD15*Constants!$H$29*Constants!$H$35</f>
        <v>2722540.8453048975</v>
      </c>
      <c r="AE50" s="22">
        <f>AE15*Constants!$H$29*Constants!$H$35</f>
        <v>2753535.1790122059</v>
      </c>
      <c r="AF50" s="22">
        <f>AF15*Constants!$H$29*Constants!$H$35</f>
        <v>2775041.0261907489</v>
      </c>
      <c r="AG50" s="22">
        <f>AG15*Constants!$H$29*Constants!$H$35</f>
        <v>2706402.1460297219</v>
      </c>
      <c r="AH50" s="22">
        <f>AH15*Constants!$H$29*Constants!$H$35</f>
        <v>2744867.6683630445</v>
      </c>
      <c r="AI50" s="22">
        <f>AI15*Constants!$H$29*Constants!$H$35</f>
        <v>2781241.9132542904</v>
      </c>
      <c r="AJ50" s="22">
        <f>AJ15*Constants!$H$29*Constants!$H$35</f>
        <v>2817925.7485740823</v>
      </c>
      <c r="AK50" s="22">
        <f>AK15*Constants!$H$29*Constants!$H$35</f>
        <v>2858804.941229023</v>
      </c>
      <c r="AL50" s="22">
        <f>AL15*Constants!$H$29*Constants!$H$35</f>
        <v>2900043.8060655314</v>
      </c>
      <c r="AM50" s="22">
        <f>AM15*Constants!$H$29*Constants!$H$35</f>
        <v>2940476.3326223581</v>
      </c>
      <c r="AN50" s="22">
        <f>AN15*Constants!$H$29*Constants!$H$35</f>
        <v>2980286.7715404164</v>
      </c>
      <c r="AO50" s="22">
        <f>AO15*Constants!$H$29*Constants!$H$35</f>
        <v>3021976.3368515046</v>
      </c>
      <c r="AP50" s="22">
        <f>AP15*Constants!$H$29*Constants!$H$35</f>
        <v>3062130.9570093052</v>
      </c>
      <c r="AQ50" s="22">
        <f>AQ15*Constants!$H$29*Constants!$H$35</f>
        <v>3103160.6715777679</v>
      </c>
      <c r="AR50" s="22">
        <f>AR15*Constants!$H$29*Constants!$H$35</f>
        <v>3148219.8081180151</v>
      </c>
      <c r="AS50" s="22">
        <f>AS15*Constants!$H$29*Constants!$H$35</f>
        <v>3196086.9079107274</v>
      </c>
      <c r="AT50" s="22">
        <f>AT15*Constants!$H$29*Constants!$H$35</f>
        <v>3245345.7759492123</v>
      </c>
      <c r="AU50" s="22">
        <f>AU15*Constants!$H$29*Constants!$H$35</f>
        <v>3263568.7717227428</v>
      </c>
      <c r="AV50" s="22">
        <f>AV15*Constants!$H$29*Constants!$H$35</f>
        <v>1754216.1971736951</v>
      </c>
      <c r="AW50" s="22">
        <f>AW15*Constants!$H$29*Constants!$H$35</f>
        <v>1762317.7328958192</v>
      </c>
      <c r="AX50" s="22">
        <f>AX15*Constants!$H$29*Constants!$H$35</f>
        <v>1770478.5812283757</v>
      </c>
      <c r="AY50" s="22">
        <f>AY15*Constants!$H$29*Constants!$H$35</f>
        <v>1778699.1764082625</v>
      </c>
      <c r="AZ50" s="22">
        <f>AZ15*Constants!$H$29*Constants!$H$35</f>
        <v>1786979.9558514969</v>
      </c>
      <c r="BA50" s="22">
        <f>BA15*Constants!$H$29*Constants!$H$35</f>
        <v>1795321.3601764864</v>
      </c>
      <c r="BB50" s="22">
        <f>BB15*Constants!$H$29*Constants!$H$35</f>
        <v>1802449.6285485618</v>
      </c>
      <c r="BC50" s="22">
        <f>BC15*Constants!$H$29*Constants!$H$35</f>
        <v>1809622.170093087</v>
      </c>
      <c r="BD50" s="22">
        <f>BD15*Constants!$H$29*Constants!$H$35</f>
        <v>1816839.2597876152</v>
      </c>
      <c r="BE50" s="22">
        <f>BE15*Constants!$H$29*Constants!$H$35</f>
        <v>1824101.1743175674</v>
      </c>
      <c r="BF50" s="22">
        <f>BF15*Constants!$H$29*Constants!$H$35</f>
        <v>1831408.1920868363</v>
      </c>
      <c r="BG50" s="22">
        <f>BG15*Constants!$H$29*Constants!$H$35</f>
        <v>1837451.2217474068</v>
      </c>
      <c r="BH50" s="22">
        <f>BH15*Constants!$H$29*Constants!$H$35</f>
        <v>1843525.1001073932</v>
      </c>
      <c r="BI50" s="22">
        <f>BI15*Constants!$H$29*Constants!$H$35</f>
        <v>1849629.9846444691</v>
      </c>
      <c r="BJ50" s="22">
        <f>BJ15*Constants!$H$29*Constants!$H$35</f>
        <v>1855766.0336402075</v>
      </c>
      <c r="BK50" s="22">
        <f>BK15*Constants!$H$29*Constants!$H$35</f>
        <v>1861933.4061841827</v>
      </c>
    </row>
    <row r="51" spans="1:63" x14ac:dyDescent="0.25">
      <c r="A51" t="s">
        <v>859</v>
      </c>
      <c r="B51" t="s">
        <v>321</v>
      </c>
      <c r="C51" s="22">
        <f>C8*Constants!$H$30*Constants!$H$36</f>
        <v>2349655</v>
      </c>
      <c r="D51" s="22">
        <f>D8*Constants!$H$30*Constants!$H$36</f>
        <v>2559865</v>
      </c>
      <c r="E51" s="22">
        <f>E8*Constants!$H$30*Constants!$H$36</f>
        <v>2708475</v>
      </c>
      <c r="F51" s="22">
        <f>F8*Constants!$H$30*Constants!$H$36</f>
        <v>2671900</v>
      </c>
      <c r="G51" s="22">
        <f>G8*Constants!$H$30*Constants!$H$36</f>
        <v>2353120</v>
      </c>
      <c r="H51" s="22">
        <f>H8*Constants!$H$30*Constants!$H$36</f>
        <v>1953874.9999999998</v>
      </c>
      <c r="I51" s="22">
        <f>I8*Constants!$H$30*Constants!$H$36</f>
        <v>1951949.9999999998</v>
      </c>
      <c r="J51" s="22">
        <f>J8*Constants!$H$30*Constants!$H$36</f>
        <v>1934239.9999999998</v>
      </c>
      <c r="K51" s="22">
        <f>K8*Constants!$H$30*Constants!$H$36</f>
        <v>1910754.9999999998</v>
      </c>
      <c r="L51" s="22">
        <f>L8*Constants!$H$30*Constants!$H$36</f>
        <v>1970044.9999999998</v>
      </c>
      <c r="M51" s="22">
        <f>M8*Constants!$H$30*Constants!$H$36</f>
        <v>2404710</v>
      </c>
      <c r="N51" s="22">
        <f>N8*Constants!$H$30*Constants!$H$36</f>
        <v>2018554.9999999998</v>
      </c>
      <c r="O51" s="22">
        <f>O8*Constants!$H$30*Constants!$H$36</f>
        <v>2207590</v>
      </c>
      <c r="P51" s="22">
        <f>P8*Constants!$H$30*Constants!$H$36</f>
        <v>2347345</v>
      </c>
      <c r="Q51" s="22">
        <f>Q8*Constants!$H$30*Constants!$H$36</f>
        <v>2432045</v>
      </c>
      <c r="R51" s="22">
        <f>R8*Constants!$H$30*Constants!$H$36</f>
        <v>2588355</v>
      </c>
      <c r="S51" s="22">
        <f>S8*Constants!$H$30*Constants!$H$36</f>
        <v>3111185</v>
      </c>
      <c r="T51" s="22">
        <f>T8*Constants!$H$30*Constants!$H$36</f>
        <v>3316390</v>
      </c>
      <c r="U51" s="22">
        <f>U8*Constants!$H$30*Constants!$H$36</f>
        <v>2965270</v>
      </c>
      <c r="V51" s="22">
        <f>V8*Constants!$H$30*Constants!$H$36</f>
        <v>3067295</v>
      </c>
      <c r="W51" s="22">
        <f>W8*Constants!$H$30*Constants!$H$36</f>
        <v>3410330</v>
      </c>
      <c r="X51" s="22">
        <f>X8*Constants!$H$30*Constants!$H$36</f>
        <v>3347575</v>
      </c>
      <c r="Y51" s="22">
        <f>Y8*Constants!$H$30*Constants!$H$36</f>
        <v>3561143.5584233543</v>
      </c>
      <c r="Z51" s="22">
        <f>Z8*Constants!$H$30*Constants!$H$36</f>
        <v>3661818.4616509574</v>
      </c>
      <c r="AA51" s="22">
        <f>AA8*Constants!$H$30*Constants!$H$36</f>
        <v>3735282.2075057342</v>
      </c>
      <c r="AB51" s="22">
        <f>AB8*Constants!$H$30*Constants!$H$36</f>
        <v>3770110.1097646165</v>
      </c>
      <c r="AC51" s="22">
        <f>AC8*Constants!$H$30*Constants!$H$36</f>
        <v>3804580.6421703128</v>
      </c>
      <c r="AD51" s="22">
        <f>AD8*Constants!$H$30*Constants!$H$36</f>
        <v>3858331.3346869904</v>
      </c>
      <c r="AE51" s="22">
        <f>AE8*Constants!$H$30*Constants!$H$36</f>
        <v>3917966.6581437318</v>
      </c>
      <c r="AF51" s="22">
        <f>AF8*Constants!$H$30*Constants!$H$36</f>
        <v>3935796.9565776945</v>
      </c>
      <c r="AG51" s="22">
        <f>AG8*Constants!$H$30*Constants!$H$36</f>
        <v>3566485.8767201887</v>
      </c>
      <c r="AH51" s="22">
        <f>AH8*Constants!$H$30*Constants!$H$36</f>
        <v>3676585.2129281648</v>
      </c>
      <c r="AI51" s="22">
        <f>AI8*Constants!$H$30*Constants!$H$36</f>
        <v>3777102.568086342</v>
      </c>
      <c r="AJ51" s="22">
        <f>AJ8*Constants!$H$30*Constants!$H$36</f>
        <v>3878309.650763276</v>
      </c>
      <c r="AK51" s="22">
        <f>AK8*Constants!$H$30*Constants!$H$36</f>
        <v>3996835.4522351525</v>
      </c>
      <c r="AL51" s="22">
        <f>AL8*Constants!$H$30*Constants!$H$36</f>
        <v>4116250.6742880973</v>
      </c>
      <c r="AM51" s="22">
        <f>AM8*Constants!$H$30*Constants!$H$36</f>
        <v>4239927.6233507115</v>
      </c>
      <c r="AN51" s="22">
        <f>AN8*Constants!$H$30*Constants!$H$36</f>
        <v>4360454.5033506062</v>
      </c>
      <c r="AO51" s="22">
        <f>AO8*Constants!$H$30*Constants!$H$36</f>
        <v>4488535.0838727821</v>
      </c>
      <c r="AP51" s="22">
        <f>AP8*Constants!$H$30*Constants!$H$36</f>
        <v>4609547.7051243167</v>
      </c>
      <c r="AQ51" s="22">
        <f>AQ8*Constants!$H$30*Constants!$H$36</f>
        <v>4733805.6924411012</v>
      </c>
      <c r="AR51" s="22">
        <f>AR8*Constants!$H$30*Constants!$H$36</f>
        <v>4881726.6813819688</v>
      </c>
      <c r="AS51" s="22">
        <f>AS8*Constants!$H$30*Constants!$H$36</f>
        <v>5041285.5512387445</v>
      </c>
      <c r="AT51" s="22">
        <f>AT8*Constants!$H$30*Constants!$H$36</f>
        <v>5206415.8046842488</v>
      </c>
      <c r="AU51" s="22">
        <f>AU8*Constants!$H$30*Constants!$H$36</f>
        <v>5238280.1990471091</v>
      </c>
      <c r="AV51" s="22">
        <f>AV8*Constants!$H$30*Constants!$H$36</f>
        <v>-1270328.3284756348</v>
      </c>
      <c r="AW51" s="22">
        <f>AW8*Constants!$H$30*Constants!$H$36</f>
        <v>-1275915.3972999551</v>
      </c>
      <c r="AX51" s="22">
        <f>AX8*Constants!$H$30*Constants!$H$36</f>
        <v>-1281543.3699291835</v>
      </c>
      <c r="AY51" s="22">
        <f>AY8*Constants!$H$30*Constants!$H$36</f>
        <v>-1287212.5458264742</v>
      </c>
      <c r="AZ51" s="22">
        <f>AZ8*Constants!$H$30*Constants!$H$36</f>
        <v>-1292923.2266473989</v>
      </c>
      <c r="BA51" s="22">
        <f>BA8*Constants!$H$30*Constants!$H$36</f>
        <v>-1298675.7162559961</v>
      </c>
      <c r="BB51" s="22">
        <f>BB8*Constants!$H$30*Constants!$H$36</f>
        <v>-1303591.5899074881</v>
      </c>
      <c r="BC51" s="22">
        <f>BC8*Constants!$H$30*Constants!$H$36</f>
        <v>-1308537.9957037526</v>
      </c>
      <c r="BD51" s="22">
        <f>BD8*Constants!$H$30*Constants!$H$36</f>
        <v>-1313515.1232777887</v>
      </c>
      <c r="BE51" s="22">
        <f>BE8*Constants!$H$30*Constants!$H$36</f>
        <v>-1318523.1634403933</v>
      </c>
      <c r="BF51" s="22">
        <f>BF8*Constants!$H$30*Constants!$H$36</f>
        <v>-1323562.3081874752</v>
      </c>
      <c r="BG51" s="22">
        <f>BG8*Constants!$H$30*Constants!$H$36</f>
        <v>-1327729.7677629252</v>
      </c>
      <c r="BH51" s="22">
        <f>BH8*Constants!$H$30*Constants!$H$36</f>
        <v>-1331918.5015526342</v>
      </c>
      <c r="BI51" s="22">
        <f>BI8*Constants!$H$30*Constants!$H$36</f>
        <v>-1336128.6181580608</v>
      </c>
      <c r="BJ51" s="22">
        <f>BJ8*Constants!$H$30*Constants!$H$36</f>
        <v>-1340360.2267350582</v>
      </c>
      <c r="BK51" s="22">
        <f>BK8*Constants!$H$30*Constants!$H$36</f>
        <v>-1344613.4369967019</v>
      </c>
    </row>
    <row r="52" spans="1:63" x14ac:dyDescent="0.25">
      <c r="A52" t="s">
        <v>860</v>
      </c>
      <c r="B52" t="s">
        <v>321</v>
      </c>
      <c r="C52" s="22">
        <f>C18*Constants!$H$31*Constants!$H$37</f>
        <v>647570</v>
      </c>
      <c r="D52" s="22">
        <f>D18*Constants!$H$31*Constants!$H$37</f>
        <v>736120</v>
      </c>
      <c r="E52" s="22">
        <f>E18*Constants!$H$31*Constants!$H$37</f>
        <v>677985</v>
      </c>
      <c r="F52" s="22">
        <f>F18*Constants!$H$31*Constants!$H$37</f>
        <v>644490</v>
      </c>
      <c r="G52" s="22">
        <f>G18*Constants!$H$31*Constants!$H$37</f>
        <v>520904.99999999994</v>
      </c>
      <c r="H52" s="22">
        <f>H18*Constants!$H$31*Constants!$H$37</f>
        <v>364980</v>
      </c>
      <c r="I52" s="22">
        <f>I18*Constants!$H$31*Constants!$H$37</f>
        <v>409255</v>
      </c>
      <c r="J52" s="22">
        <f>J18*Constants!$H$31*Constants!$H$37</f>
        <v>395010</v>
      </c>
      <c r="K52" s="22">
        <f>K18*Constants!$H$31*Constants!$H$37</f>
        <v>373065</v>
      </c>
      <c r="L52" s="22">
        <f>L18*Constants!$H$31*Constants!$H$37</f>
        <v>403865</v>
      </c>
      <c r="M52" s="22">
        <f>M18*Constants!$H$31*Constants!$H$37</f>
        <v>416955</v>
      </c>
      <c r="N52" s="22">
        <f>N18*Constants!$H$31*Constants!$H$37</f>
        <v>405790</v>
      </c>
      <c r="O52" s="22">
        <f>O18*Constants!$H$31*Constants!$H$37</f>
        <v>404635</v>
      </c>
      <c r="P52" s="22">
        <f>P18*Constants!$H$31*Constants!$H$37</f>
        <v>440440</v>
      </c>
      <c r="Q52" s="22">
        <f>Q18*Constants!$H$31*Constants!$H$37</f>
        <v>463154.99999999994</v>
      </c>
      <c r="R52" s="22">
        <f>R18*Constants!$H$31*Constants!$H$37</f>
        <v>518209.99999999994</v>
      </c>
      <c r="S52" s="22">
        <f>S18*Constants!$H$31*Constants!$H$37</f>
        <v>520904.99999999994</v>
      </c>
      <c r="T52" s="22">
        <f>T18*Constants!$H$31*Constants!$H$37</f>
        <v>618695</v>
      </c>
      <c r="U52" s="22">
        <f>U18*Constants!$H$31*Constants!$H$37</f>
        <v>618310</v>
      </c>
      <c r="V52" s="22">
        <f>V18*Constants!$H$31*Constants!$H$37</f>
        <v>624085</v>
      </c>
      <c r="W52" s="22">
        <f>W18*Constants!$H$31*Constants!$H$37</f>
        <v>631015</v>
      </c>
      <c r="X52" s="22">
        <f>X18*Constants!$H$31*Constants!$H$37</f>
        <v>572880</v>
      </c>
      <c r="Y52" s="22">
        <f>Y18*Constants!$H$31*Constants!$H$37</f>
        <v>629401.35183535528</v>
      </c>
      <c r="Z52" s="22">
        <f>Z18*Constants!$H$31*Constants!$H$37</f>
        <v>635570.09691003663</v>
      </c>
      <c r="AA52" s="22">
        <f>AA18*Constants!$H$31*Constants!$H$37</f>
        <v>641937.54536728747</v>
      </c>
      <c r="AB52" s="22">
        <f>AB18*Constants!$H$31*Constants!$H$37</f>
        <v>648500.93088858994</v>
      </c>
      <c r="AC52" s="22">
        <f>AC18*Constants!$H$31*Constants!$H$37</f>
        <v>655307.94009945903</v>
      </c>
      <c r="AD52" s="22">
        <f>AD18*Constants!$H$31*Constants!$H$37</f>
        <v>662387.95703674795</v>
      </c>
      <c r="AE52" s="22">
        <f>AE18*Constants!$H$31*Constants!$H$37</f>
        <v>669567.71693791379</v>
      </c>
      <c r="AF52" s="22">
        <f>AF18*Constants!$H$31*Constants!$H$37</f>
        <v>676820.5449718514</v>
      </c>
      <c r="AG52" s="22">
        <f>AG18*Constants!$H$31*Constants!$H$37</f>
        <v>683800.77915618499</v>
      </c>
      <c r="AH52" s="22">
        <f>AH18*Constants!$H$31*Constants!$H$37</f>
        <v>689230.75256308215</v>
      </c>
      <c r="AI52" s="22">
        <f>AI18*Constants!$H$31*Constants!$H$37</f>
        <v>694712.32920383895</v>
      </c>
      <c r="AJ52" s="22">
        <f>AJ18*Constants!$H$31*Constants!$H$37</f>
        <v>700256.55105109897</v>
      </c>
      <c r="AK52" s="22">
        <f>AK18*Constants!$H$31*Constants!$H$37</f>
        <v>705880.86575138092</v>
      </c>
      <c r="AL52" s="22">
        <f>AL18*Constants!$H$31*Constants!$H$37</f>
        <v>711569.46146091109</v>
      </c>
      <c r="AM52" s="22">
        <f>AM18*Constants!$H$31*Constants!$H$37</f>
        <v>716510.63913250086</v>
      </c>
      <c r="AN52" s="22">
        <f>AN18*Constants!$H$31*Constants!$H$37</f>
        <v>721496.07433637371</v>
      </c>
      <c r="AO52" s="22">
        <f>AO18*Constants!$H$31*Constants!$H$37</f>
        <v>726537.00564014982</v>
      </c>
      <c r="AP52" s="22">
        <f>AP18*Constants!$H$31*Constants!$H$37</f>
        <v>731619.19035152823</v>
      </c>
      <c r="AQ52" s="22">
        <f>AQ18*Constants!$H$31*Constants!$H$37</f>
        <v>736753.48336225632</v>
      </c>
      <c r="AR52" s="22">
        <f>AR18*Constants!$H$31*Constants!$H$37</f>
        <v>741286.78751527169</v>
      </c>
      <c r="AS52" s="22">
        <f>AS18*Constants!$H$31*Constants!$H$37</f>
        <v>745869.22132600122</v>
      </c>
      <c r="AT52" s="22">
        <f>AT18*Constants!$H$31*Constants!$H$37</f>
        <v>750494.99920357496</v>
      </c>
      <c r="AU52" s="22">
        <f>AU18*Constants!$H$31*Constants!$H$37</f>
        <v>755024.72647545754</v>
      </c>
      <c r="AV52" s="22">
        <f>AV18*Constants!$H$31*Constants!$H$37</f>
        <v>753010.93321283336</v>
      </c>
      <c r="AW52" s="22">
        <f>AW18*Constants!$H$31*Constants!$H$37</f>
        <v>756929.78303288296</v>
      </c>
      <c r="AX52" s="22">
        <f>AX18*Constants!$H$31*Constants!$H$37</f>
        <v>760877.32336553303</v>
      </c>
      <c r="AY52" s="22">
        <f>AY18*Constants!$H$31*Constants!$H$37</f>
        <v>764853.76425851404</v>
      </c>
      <c r="AZ52" s="22">
        <f>AZ18*Constants!$H$31*Constants!$H$37</f>
        <v>768859.3172973498</v>
      </c>
      <c r="BA52" s="22">
        <f>BA18*Constants!$H$31*Constants!$H$37</f>
        <v>772894.19561661442</v>
      </c>
      <c r="BB52" s="22">
        <f>BB18*Constants!$H$31*Constants!$H$37</f>
        <v>776342.25956218061</v>
      </c>
      <c r="BC52" s="22">
        <f>BC18*Constants!$H$31*Constants!$H$37</f>
        <v>779811.73918988882</v>
      </c>
      <c r="BD52" s="22">
        <f>BD18*Constants!$H$31*Constants!$H$37</f>
        <v>783302.76751103147</v>
      </c>
      <c r="BE52" s="22">
        <f>BE18*Constants!$H$31*Constants!$H$37</f>
        <v>786815.47836302512</v>
      </c>
      <c r="BF52" s="22">
        <f>BF18*Constants!$H$31*Constants!$H$37</f>
        <v>790350.00641454011</v>
      </c>
      <c r="BG52" s="22">
        <f>BG18*Constants!$H$31*Constants!$H$37</f>
        <v>793273.12204473</v>
      </c>
      <c r="BH52" s="22">
        <f>BH18*Constants!$H$31*Constants!$H$37</f>
        <v>796211.15971245675</v>
      </c>
      <c r="BI52" s="22">
        <f>BI18*Constants!$H$31*Constants!$H$37</f>
        <v>799164.19559233438</v>
      </c>
      <c r="BJ52" s="22">
        <f>BJ18*Constants!$H$31*Constants!$H$37</f>
        <v>802132.3062478361</v>
      </c>
      <c r="BK52" s="22">
        <f>BK18*Constants!$H$31*Constants!$H$37</f>
        <v>805115.5686332793</v>
      </c>
    </row>
    <row r="53" spans="1:63" x14ac:dyDescent="0.25">
      <c r="A53" t="s">
        <v>861</v>
      </c>
      <c r="B53" t="s">
        <v>321</v>
      </c>
      <c r="C53" s="22">
        <f>C32*Constants!$H$32*Constants!$H$38</f>
        <v>63100</v>
      </c>
      <c r="D53" s="22">
        <f>D32*Constants!$H$32*Constants!$H$38</f>
        <v>65400</v>
      </c>
      <c r="E53" s="22">
        <f>E32*Constants!$H$32*Constants!$H$38</f>
        <v>56350</v>
      </c>
      <c r="F53" s="22">
        <f>F32*Constants!$H$32*Constants!$H$38</f>
        <v>64800</v>
      </c>
      <c r="G53" s="22">
        <f>G32*Constants!$H$32*Constants!$H$38</f>
        <v>59800</v>
      </c>
      <c r="H53" s="22">
        <f>H32*Constants!$H$32*Constants!$H$38</f>
        <v>59500</v>
      </c>
      <c r="I53" s="22">
        <f>I32*Constants!$H$32*Constants!$H$38</f>
        <v>63250</v>
      </c>
      <c r="J53" s="22">
        <f>J32*Constants!$H$32*Constants!$H$38</f>
        <v>63950</v>
      </c>
      <c r="K53" s="22">
        <f>K32*Constants!$H$32*Constants!$H$38</f>
        <v>62500</v>
      </c>
      <c r="L53" s="22">
        <f>L32*Constants!$H$32*Constants!$H$38</f>
        <v>59600</v>
      </c>
      <c r="M53" s="22">
        <f>M32*Constants!$H$32*Constants!$H$38</f>
        <v>61500</v>
      </c>
      <c r="N53" s="22">
        <f>N32*Constants!$H$32*Constants!$H$38</f>
        <v>53450</v>
      </c>
      <c r="O53" s="22">
        <f>O32*Constants!$H$32*Constants!$H$38</f>
        <v>58300</v>
      </c>
      <c r="P53" s="22">
        <f>P32*Constants!$H$32*Constants!$H$38</f>
        <v>67500</v>
      </c>
      <c r="Q53" s="22">
        <f>Q32*Constants!$H$32*Constants!$H$38</f>
        <v>78400</v>
      </c>
      <c r="R53" s="22">
        <f>R32*Constants!$H$32*Constants!$H$38</f>
        <v>79850</v>
      </c>
      <c r="S53" s="22">
        <f>S32*Constants!$H$32*Constants!$H$38</f>
        <v>85700</v>
      </c>
      <c r="T53" s="22">
        <f>T32*Constants!$H$32*Constants!$H$38</f>
        <v>93550</v>
      </c>
      <c r="U53" s="22">
        <f>U32*Constants!$H$32*Constants!$H$38</f>
        <v>90850</v>
      </c>
      <c r="V53" s="22">
        <f>V32*Constants!$H$32*Constants!$H$38</f>
        <v>90350</v>
      </c>
      <c r="W53" s="22">
        <f>W32*Constants!$H$32*Constants!$H$38</f>
        <v>95950</v>
      </c>
      <c r="X53" s="22">
        <f>X32*Constants!$H$32*Constants!$H$38</f>
        <v>102550</v>
      </c>
      <c r="Y53" s="22">
        <f>Y32*Constants!$H$32*Constants!$H$38</f>
        <v>105929.2631166717</v>
      </c>
      <c r="Z53" s="22">
        <f>Z32*Constants!$H$32*Constants!$H$38</f>
        <v>108649.46919957694</v>
      </c>
      <c r="AA53" s="22">
        <f>AA32*Constants!$H$32*Constants!$H$38</f>
        <v>110514.79013014006</v>
      </c>
      <c r="AB53" s="22">
        <f>AB32*Constants!$H$32*Constants!$H$38</f>
        <v>111171.82635298665</v>
      </c>
      <c r="AC53" s="22">
        <f>AC32*Constants!$H$32*Constants!$H$38</f>
        <v>111802.18170051227</v>
      </c>
      <c r="AD53" s="22">
        <f>AD32*Constants!$H$32*Constants!$H$38</f>
        <v>113011.72425028922</v>
      </c>
      <c r="AE53" s="22">
        <f>AE32*Constants!$H$32*Constants!$H$38</f>
        <v>114396.9919335513</v>
      </c>
      <c r="AF53" s="22">
        <f>AF32*Constants!$H$32*Constants!$H$38</f>
        <v>114483.77167612858</v>
      </c>
      <c r="AG53" s="22">
        <f>AG32*Constants!$H$32*Constants!$H$38</f>
        <v>102606.58392116461</v>
      </c>
      <c r="AH53" s="22">
        <f>AH32*Constants!$H$32*Constants!$H$38</f>
        <v>105665.83110613041</v>
      </c>
      <c r="AI53" s="22">
        <f>AI32*Constants!$H$32*Constants!$H$38</f>
        <v>108425.22160061506</v>
      </c>
      <c r="AJ53" s="22">
        <f>AJ32*Constants!$H$32*Constants!$H$38</f>
        <v>111201.9414049147</v>
      </c>
      <c r="AK53" s="22">
        <f>AK32*Constants!$H$32*Constants!$H$38</f>
        <v>114509.514174906</v>
      </c>
      <c r="AL53" s="22">
        <f>AL32*Constants!$H$32*Constants!$H$38</f>
        <v>117840.49157050446</v>
      </c>
      <c r="AM53" s="22">
        <f>AM32*Constants!$H$32*Constants!$H$38</f>
        <v>121351.28644381952</v>
      </c>
      <c r="AN53" s="22">
        <f>AN32*Constants!$H$32*Constants!$H$38</f>
        <v>124761.75366581138</v>
      </c>
      <c r="AO53" s="22">
        <f>AO32*Constants!$H$32*Constants!$H$38</f>
        <v>128402.4382727412</v>
      </c>
      <c r="AP53" s="22">
        <f>AP32*Constants!$H$32*Constants!$H$38</f>
        <v>131821.73501453892</v>
      </c>
      <c r="AQ53" s="22">
        <f>AQ32*Constants!$H$32*Constants!$H$38</f>
        <v>135338.12986348858</v>
      </c>
      <c r="AR53" s="22">
        <f>AR32*Constants!$H$32*Constants!$H$38</f>
        <v>139625.39374598605</v>
      </c>
      <c r="AS53" s="22">
        <f>AS32*Constants!$H$32*Constants!$H$38</f>
        <v>144269.68248719658</v>
      </c>
      <c r="AT53" s="22">
        <f>AT32*Constants!$H$32*Constants!$H$38</f>
        <v>149083.61804469262</v>
      </c>
      <c r="AU53" s="22">
        <f>AU32*Constants!$H$32*Constants!$H$38</f>
        <v>149779.33348726714</v>
      </c>
      <c r="AV53" s="22">
        <f>AV32*Constants!$H$32*Constants!$H$38</f>
        <v>-51523.230881545249</v>
      </c>
      <c r="AW53" s="22">
        <f>AW32*Constants!$H$32*Constants!$H$38</f>
        <v>-51947.413517426408</v>
      </c>
      <c r="AX53" s="22">
        <f>AX32*Constants!$H$32*Constants!$H$38</f>
        <v>-52374.701660744278</v>
      </c>
      <c r="AY53" s="22">
        <f>AY32*Constants!$H$32*Constants!$H$38</f>
        <v>-52805.118047404627</v>
      </c>
      <c r="AZ53" s="22">
        <f>AZ32*Constants!$H$32*Constants!$H$38</f>
        <v>-53238.685579766345</v>
      </c>
      <c r="BA53" s="22">
        <f>BA32*Constants!$H$32*Constants!$H$38</f>
        <v>-53675.427327860096</v>
      </c>
      <c r="BB53" s="22">
        <f>BB32*Constants!$H$32*Constants!$H$38</f>
        <v>-54048.651340077653</v>
      </c>
      <c r="BC53" s="22">
        <f>BC32*Constants!$H$32*Constants!$H$38</f>
        <v>-54424.193420329801</v>
      </c>
      <c r="BD53" s="22">
        <f>BD32*Constants!$H$32*Constants!$H$38</f>
        <v>-54802.067965973743</v>
      </c>
      <c r="BE53" s="22">
        <f>BE32*Constants!$H$32*Constants!$H$38</f>
        <v>-55182.289463787616</v>
      </c>
      <c r="BF53" s="22">
        <f>BF32*Constants!$H$32*Constants!$H$38</f>
        <v>-55564.87249052593</v>
      </c>
      <c r="BG53" s="22">
        <f>BG32*Constants!$H$32*Constants!$H$38</f>
        <v>-55881.275248971921</v>
      </c>
      <c r="BH53" s="22">
        <f>BH32*Constants!$H$32*Constants!$H$38</f>
        <v>-56199.29319286922</v>
      </c>
      <c r="BI53" s="22">
        <f>BI32*Constants!$H$32*Constants!$H$38</f>
        <v>-56518.934567481083</v>
      </c>
      <c r="BJ53" s="22">
        <f>BJ32*Constants!$H$32*Constants!$H$38</f>
        <v>-56840.207660161563</v>
      </c>
      <c r="BK53" s="22">
        <f>BK32*Constants!$H$32*Constants!$H$38</f>
        <v>-57163.120800570265</v>
      </c>
    </row>
    <row r="54" spans="1:63" x14ac:dyDescent="0.25">
      <c r="A54" t="s">
        <v>862</v>
      </c>
      <c r="B54" t="s">
        <v>321</v>
      </c>
      <c r="C54" s="22">
        <f>C37*Constants!$H$33*Constants!$H$39</f>
        <v>268800</v>
      </c>
      <c r="D54" s="22">
        <f>D37*Constants!$H$33*Constants!$H$39</f>
        <v>278400</v>
      </c>
      <c r="E54" s="22">
        <f>E37*Constants!$H$33*Constants!$H$39</f>
        <v>285600</v>
      </c>
      <c r="F54" s="22">
        <f>F37*Constants!$H$33*Constants!$H$39</f>
        <v>282000</v>
      </c>
      <c r="G54" s="22">
        <f>G37*Constants!$H$33*Constants!$H$39</f>
        <v>301200</v>
      </c>
      <c r="H54" s="22">
        <f>H37*Constants!$H$33*Constants!$H$39</f>
        <v>348000</v>
      </c>
      <c r="I54" s="22">
        <f>I37*Constants!$H$33*Constants!$H$39</f>
        <v>338400</v>
      </c>
      <c r="J54" s="22">
        <f>J37*Constants!$H$33*Constants!$H$39</f>
        <v>376800</v>
      </c>
      <c r="K54" s="22">
        <f>K37*Constants!$H$33*Constants!$H$39</f>
        <v>387600</v>
      </c>
      <c r="L54" s="22">
        <f>L37*Constants!$H$33*Constants!$H$39</f>
        <v>381600</v>
      </c>
      <c r="M54" s="22">
        <f>M37*Constants!$H$33*Constants!$H$39</f>
        <v>394800</v>
      </c>
      <c r="N54" s="22">
        <f>N37*Constants!$H$33*Constants!$H$39</f>
        <v>396000</v>
      </c>
      <c r="O54" s="22">
        <f>O37*Constants!$H$33*Constants!$H$39</f>
        <v>408000</v>
      </c>
      <c r="P54" s="22">
        <f>P37*Constants!$H$33*Constants!$H$39</f>
        <v>393600</v>
      </c>
      <c r="Q54" s="22">
        <f>Q37*Constants!$H$33*Constants!$H$39</f>
        <v>417600</v>
      </c>
      <c r="R54" s="22">
        <f>R37*Constants!$H$33*Constants!$H$39</f>
        <v>450000</v>
      </c>
      <c r="S54" s="22">
        <f>S37*Constants!$H$33*Constants!$H$39</f>
        <v>494400</v>
      </c>
      <c r="T54" s="22">
        <f>T37*Constants!$H$33*Constants!$H$39</f>
        <v>525600</v>
      </c>
      <c r="U54" s="22">
        <f>U37*Constants!$H$33*Constants!$H$39</f>
        <v>511200</v>
      </c>
      <c r="V54" s="22">
        <f>V37*Constants!$H$33*Constants!$H$39</f>
        <v>484800</v>
      </c>
      <c r="W54" s="22">
        <f>W37*Constants!$H$33*Constants!$H$39</f>
        <v>495600</v>
      </c>
      <c r="X54" s="22">
        <f>X37*Constants!$H$33*Constants!$H$39</f>
        <v>542400</v>
      </c>
      <c r="Y54" s="22">
        <f>Y37*Constants!$H$33*Constants!$H$39</f>
        <v>541724.43927598489</v>
      </c>
      <c r="Z54" s="22">
        <f>Z37*Constants!$H$33*Constants!$H$39</f>
        <v>553431.63777071878</v>
      </c>
      <c r="AA54" s="22">
        <f>AA37*Constants!$H$33*Constants!$H$39</f>
        <v>562860.76574153802</v>
      </c>
      <c r="AB54" s="22">
        <f>AB37*Constants!$H$33*Constants!$H$39</f>
        <v>569014.43298842397</v>
      </c>
      <c r="AC54" s="22">
        <f>AC37*Constants!$H$33*Constants!$H$39</f>
        <v>575252.64673729346</v>
      </c>
      <c r="AD54" s="22">
        <f>AD37*Constants!$H$33*Constants!$H$39</f>
        <v>583301.48640162463</v>
      </c>
      <c r="AE54" s="22">
        <f>AE37*Constants!$H$33*Constants!$H$39</f>
        <v>591910.75635733979</v>
      </c>
      <c r="AF54" s="22">
        <f>AF37*Constants!$H$33*Constants!$H$39</f>
        <v>596909.90213603713</v>
      </c>
      <c r="AG54" s="22">
        <f>AG37*Constants!$H$33*Constants!$H$39</f>
        <v>568026.1513043507</v>
      </c>
      <c r="AH54" s="22">
        <f>AH37*Constants!$H$33*Constants!$H$39</f>
        <v>580204.1664331432</v>
      </c>
      <c r="AI54" s="22">
        <f>AI37*Constants!$H$33*Constants!$H$39</f>
        <v>591571.27179812116</v>
      </c>
      <c r="AJ54" s="22">
        <f>AJ37*Constants!$H$33*Constants!$H$39</f>
        <v>603028.2640749421</v>
      </c>
      <c r="AK54" s="22">
        <f>AK37*Constants!$H$33*Constants!$H$39</f>
        <v>616033.25029593112</v>
      </c>
      <c r="AL54" s="22">
        <f>AL37*Constants!$H$33*Constants!$H$39</f>
        <v>629146.31082498759</v>
      </c>
      <c r="AM54" s="22">
        <f>AM37*Constants!$H$33*Constants!$H$39</f>
        <v>642275.96421104681</v>
      </c>
      <c r="AN54" s="22">
        <f>AN37*Constants!$H$33*Constants!$H$39</f>
        <v>655151.99389796297</v>
      </c>
      <c r="AO54" s="22">
        <f>AO37*Constants!$H$33*Constants!$H$39</f>
        <v>668712.95974195248</v>
      </c>
      <c r="AP54" s="22">
        <f>AP37*Constants!$H$33*Constants!$H$39</f>
        <v>681677.28869301698</v>
      </c>
      <c r="AQ54" s="22">
        <f>AQ37*Constants!$H$33*Constants!$H$39</f>
        <v>694949.31698938273</v>
      </c>
      <c r="AR54" s="22">
        <f>AR37*Constants!$H$33*Constants!$H$39</f>
        <v>709999.0076028622</v>
      </c>
      <c r="AS54" s="22">
        <f>AS37*Constants!$H$33*Constants!$H$39</f>
        <v>726086.69543126796</v>
      </c>
      <c r="AT54" s="22">
        <f>AT37*Constants!$H$33*Constants!$H$39</f>
        <v>742680.71712244081</v>
      </c>
      <c r="AU54" s="22">
        <f>AU37*Constants!$H$33*Constants!$H$39</f>
        <v>747610.16114041256</v>
      </c>
      <c r="AV54" s="22">
        <f>AV37*Constants!$H$33*Constants!$H$39</f>
        <v>179192.09961397923</v>
      </c>
      <c r="AW54" s="22">
        <f>AW37*Constants!$H$33*Constants!$H$39</f>
        <v>180566.1640424685</v>
      </c>
      <c r="AX54" s="22">
        <f>AX37*Constants!$H$33*Constants!$H$39</f>
        <v>181950.28821159841</v>
      </c>
      <c r="AY54" s="22">
        <f>AY37*Constants!$H$33*Constants!$H$39</f>
        <v>183344.54577030378</v>
      </c>
      <c r="AZ54" s="22">
        <f>AZ37*Constants!$H$33*Constants!$H$39</f>
        <v>184749.01090671509</v>
      </c>
      <c r="BA54" s="22">
        <f>BA37*Constants!$H$33*Constants!$H$39</f>
        <v>186163.75835210559</v>
      </c>
      <c r="BB54" s="22">
        <f>BB37*Constants!$H$33*Constants!$H$39</f>
        <v>187372.75135574632</v>
      </c>
      <c r="BC54" s="22">
        <f>BC37*Constants!$H$33*Constants!$H$39</f>
        <v>188589.25332972142</v>
      </c>
      <c r="BD54" s="22">
        <f>BD37*Constants!$H$33*Constants!$H$39</f>
        <v>189813.31091171625</v>
      </c>
      <c r="BE54" s="22">
        <f>BE37*Constants!$H$33*Constants!$H$39</f>
        <v>191044.97102907981</v>
      </c>
      <c r="BF54" s="22">
        <f>BF37*Constants!$H$33*Constants!$H$39</f>
        <v>192284.28090062339</v>
      </c>
      <c r="BG54" s="22">
        <f>BG37*Constants!$H$33*Constants!$H$39</f>
        <v>193309.21152880293</v>
      </c>
      <c r="BH54" s="22">
        <f>BH37*Constants!$H$33*Constants!$H$39</f>
        <v>194339.37426383063</v>
      </c>
      <c r="BI54" s="22">
        <f>BI37*Constants!$H$33*Constants!$H$39</f>
        <v>195374.7958147747</v>
      </c>
      <c r="BJ54" s="22">
        <f>BJ37*Constants!$H$33*Constants!$H$39</f>
        <v>196415.50302704889</v>
      </c>
      <c r="BK54" s="22">
        <f>BK37*Constants!$H$33*Constants!$H$39</f>
        <v>197461.52288310844</v>
      </c>
    </row>
    <row r="55" spans="1:63" x14ac:dyDescent="0.25">
      <c r="A55" t="s">
        <v>863</v>
      </c>
      <c r="B55" t="s">
        <v>321</v>
      </c>
      <c r="C55" s="22">
        <f>C42*Constants!$H$34*Constants!$H$40</f>
        <v>633360</v>
      </c>
      <c r="D55" s="22">
        <f>D42*Constants!$H$34*Constants!$H$40</f>
        <v>616720</v>
      </c>
      <c r="E55" s="22">
        <f>E42*Constants!$H$34*Constants!$H$40</f>
        <v>586560</v>
      </c>
      <c r="F55" s="22">
        <f>F42*Constants!$H$34*Constants!$H$40</f>
        <v>600080</v>
      </c>
      <c r="G55" s="22">
        <f>G42*Constants!$H$34*Constants!$H$40</f>
        <v>631280</v>
      </c>
      <c r="H55" s="22">
        <f>H42*Constants!$H$34*Constants!$H$40</f>
        <v>672880</v>
      </c>
      <c r="I55" s="22">
        <f>I42*Constants!$H$34*Constants!$H$40</f>
        <v>726960</v>
      </c>
      <c r="J55" s="22">
        <f>J42*Constants!$H$34*Constants!$H$40</f>
        <v>783120</v>
      </c>
      <c r="K55" s="22">
        <f>K42*Constants!$H$34*Constants!$H$40</f>
        <v>808080</v>
      </c>
      <c r="L55" s="22">
        <f>L42*Constants!$H$34*Constants!$H$40</f>
        <v>835120</v>
      </c>
      <c r="M55" s="22">
        <f>M42*Constants!$H$34*Constants!$H$40</f>
        <v>884000</v>
      </c>
      <c r="N55" s="22">
        <f>N42*Constants!$H$34*Constants!$H$40</f>
        <v>903760</v>
      </c>
      <c r="O55" s="22">
        <f>O42*Constants!$H$34*Constants!$H$40</f>
        <v>931840</v>
      </c>
      <c r="P55" s="22">
        <f>P42*Constants!$H$34*Constants!$H$40</f>
        <v>962000</v>
      </c>
      <c r="Q55" s="22">
        <f>Q42*Constants!$H$34*Constants!$H$40</f>
        <v>1084720</v>
      </c>
      <c r="R55" s="22">
        <f>R42*Constants!$H$34*Constants!$H$40</f>
        <v>1323920</v>
      </c>
      <c r="S55" s="22">
        <f>S42*Constants!$H$34*Constants!$H$40</f>
        <v>1484080</v>
      </c>
      <c r="T55" s="22">
        <f>T42*Constants!$H$34*Constants!$H$40</f>
        <v>1558960</v>
      </c>
      <c r="U55" s="22">
        <f>U42*Constants!$H$34*Constants!$H$40</f>
        <v>1647360</v>
      </c>
      <c r="V55" s="22">
        <f>V42*Constants!$H$34*Constants!$H$40</f>
        <v>1709760</v>
      </c>
      <c r="W55" s="22">
        <f>W42*Constants!$H$34*Constants!$H$40</f>
        <v>1748240</v>
      </c>
      <c r="X55" s="22">
        <f>X42*Constants!$H$34*Constants!$H$40</f>
        <v>1789840</v>
      </c>
      <c r="Y55" s="22">
        <f>Y42*Constants!$H$34*Constants!$H$40</f>
        <v>1538220.4443911163</v>
      </c>
      <c r="Z55" s="22">
        <f>Z42*Constants!$H$34*Constants!$H$40</f>
        <v>1584023.8167548776</v>
      </c>
      <c r="AA55" s="22">
        <f>AA42*Constants!$H$34*Constants!$H$40</f>
        <v>1611719.9427484842</v>
      </c>
      <c r="AB55" s="22">
        <f>AB42*Constants!$H$34*Constants!$H$40</f>
        <v>1613970.9794383417</v>
      </c>
      <c r="AC55" s="22">
        <f>AC42*Constants!$H$34*Constants!$H$40</f>
        <v>1615244.498478336</v>
      </c>
      <c r="AD55" s="22">
        <f>AD42*Constants!$H$34*Constants!$H$40</f>
        <v>1628077.6941101006</v>
      </c>
      <c r="AE55" s="22">
        <f>AE42*Constants!$H$34*Constants!$H$40</f>
        <v>1644388.7139749897</v>
      </c>
      <c r="AF55" s="22">
        <f>AF42*Constants!$H$34*Constants!$H$40</f>
        <v>1633593.8934840101</v>
      </c>
      <c r="AG55" s="22">
        <f>AG42*Constants!$H$34*Constants!$H$40</f>
        <v>1374694.9920259614</v>
      </c>
      <c r="AH55" s="22">
        <f>AH42*Constants!$H$34*Constants!$H$40</f>
        <v>1428825.8995821413</v>
      </c>
      <c r="AI55" s="22">
        <f>AI42*Constants!$H$34*Constants!$H$40</f>
        <v>1476636.9965691001</v>
      </c>
      <c r="AJ55" s="22">
        <f>AJ42*Constants!$H$34*Constants!$H$40</f>
        <v>1524699.335724459</v>
      </c>
      <c r="AK55" s="22">
        <f>AK42*Constants!$H$34*Constants!$H$40</f>
        <v>1583652.1871750676</v>
      </c>
      <c r="AL55" s="22">
        <f>AL42*Constants!$H$34*Constants!$H$40</f>
        <v>1642979.6674327289</v>
      </c>
      <c r="AM55" s="22">
        <f>AM42*Constants!$H$34*Constants!$H$40</f>
        <v>1707341.4825795961</v>
      </c>
      <c r="AN55" s="22">
        <f>AN42*Constants!$H$34*Constants!$H$40</f>
        <v>1769541.8980777944</v>
      </c>
      <c r="AO55" s="22">
        <f>AO42*Constants!$H$34*Constants!$H$40</f>
        <v>1836429.1883483096</v>
      </c>
      <c r="AP55" s="22">
        <f>AP42*Constants!$H$34*Constants!$H$40</f>
        <v>1898645.0065602334</v>
      </c>
      <c r="AQ55" s="22">
        <f>AQ42*Constants!$H$34*Constants!$H$40</f>
        <v>1962787.7401612746</v>
      </c>
      <c r="AR55" s="22">
        <f>AR42*Constants!$H$34*Constants!$H$40</f>
        <v>2043990.8547575027</v>
      </c>
      <c r="AS55" s="22">
        <f>AS42*Constants!$H$34*Constants!$H$40</f>
        <v>2132526.6047022026</v>
      </c>
      <c r="AT55" s="22">
        <f>AT42*Constants!$H$34*Constants!$H$40</f>
        <v>2224511.8510871865</v>
      </c>
      <c r="AU55" s="22">
        <f>AU42*Constants!$H$34*Constants!$H$40</f>
        <v>2231098.9124848405</v>
      </c>
      <c r="AV55" s="22">
        <f>AV42*Constants!$H$34*Constants!$H$40</f>
        <v>-1947903.817870585</v>
      </c>
      <c r="AW55" s="22">
        <f>AW42*Constants!$H$34*Constants!$H$40</f>
        <v>-1963524.0173329646</v>
      </c>
      <c r="AX55" s="22">
        <f>AX42*Constants!$H$34*Constants!$H$40</f>
        <v>-1979258.5747192437</v>
      </c>
      <c r="AY55" s="22">
        <f>AY42*Constants!$H$34*Constants!$H$40</f>
        <v>-1995108.3272616712</v>
      </c>
      <c r="AZ55" s="22">
        <f>AZ42*Constants!$H$34*Constants!$H$40</f>
        <v>-2011074.1183220092</v>
      </c>
      <c r="BA55" s="22">
        <f>BA42*Constants!$H$34*Constants!$H$40</f>
        <v>-2027156.7974363992</v>
      </c>
      <c r="BB55" s="22">
        <f>BB42*Constants!$H$34*Constants!$H$40</f>
        <v>-2040900.4847584355</v>
      </c>
      <c r="BC55" s="22">
        <f>BC42*Constants!$H$34*Constants!$H$40</f>
        <v>-2054729.5331537575</v>
      </c>
      <c r="BD55" s="22">
        <f>BD42*Constants!$H$34*Constants!$H$40</f>
        <v>-2068644.4727939737</v>
      </c>
      <c r="BE55" s="22">
        <f>BE42*Constants!$H$34*Constants!$H$40</f>
        <v>-2082645.8371435539</v>
      </c>
      <c r="BF55" s="22">
        <f>BF42*Constants!$H$34*Constants!$H$40</f>
        <v>-2096734.1629802764</v>
      </c>
      <c r="BG55" s="22">
        <f>BG42*Constants!$H$34*Constants!$H$40</f>
        <v>-2108385.4513153275</v>
      </c>
      <c r="BH55" s="22">
        <f>BH42*Constants!$H$34*Constants!$H$40</f>
        <v>-2120096.2176128984</v>
      </c>
      <c r="BI55" s="22">
        <f>BI42*Constants!$H$34*Constants!$H$40</f>
        <v>-2131866.7654984682</v>
      </c>
      <c r="BJ55" s="22">
        <f>BJ42*Constants!$H$34*Constants!$H$40</f>
        <v>-2143697.40014748</v>
      </c>
      <c r="BK55" s="22">
        <f>BK42*Constants!$H$34*Constants!$H$40</f>
        <v>-2155588.428293244</v>
      </c>
    </row>
    <row r="56" spans="1:63" x14ac:dyDescent="0.25">
      <c r="A56" t="s">
        <v>873</v>
      </c>
      <c r="B56" t="s">
        <v>321</v>
      </c>
      <c r="C56" s="22">
        <f>SUM(C50:C55)</f>
        <v>5869585</v>
      </c>
      <c r="D56" s="22">
        <f t="shared" ref="D56:BK56" si="48">SUM(D50:D55)</f>
        <v>6203205</v>
      </c>
      <c r="E56" s="22">
        <f t="shared" si="48"/>
        <v>6211270</v>
      </c>
      <c r="F56" s="22">
        <f t="shared" si="48"/>
        <v>6065070</v>
      </c>
      <c r="G56" s="22">
        <f t="shared" si="48"/>
        <v>5671705</v>
      </c>
      <c r="H56" s="22">
        <f t="shared" si="48"/>
        <v>5466535</v>
      </c>
      <c r="I56" s="22">
        <f t="shared" si="48"/>
        <v>5694815</v>
      </c>
      <c r="J56" s="22">
        <f t="shared" si="48"/>
        <v>5746420</v>
      </c>
      <c r="K56" s="22">
        <f t="shared" si="48"/>
        <v>5792900</v>
      </c>
      <c r="L56" s="22">
        <f t="shared" si="48"/>
        <v>5938930</v>
      </c>
      <c r="M56" s="22">
        <f t="shared" si="48"/>
        <v>6294965</v>
      </c>
      <c r="N56" s="22">
        <f t="shared" si="48"/>
        <v>5899755</v>
      </c>
      <c r="O56" s="22">
        <f t="shared" si="48"/>
        <v>6221665</v>
      </c>
      <c r="P56" s="22">
        <f t="shared" si="48"/>
        <v>6329485</v>
      </c>
      <c r="Q56" s="22">
        <f t="shared" si="48"/>
        <v>6730420</v>
      </c>
      <c r="R56" s="22">
        <f t="shared" si="48"/>
        <v>7351635</v>
      </c>
      <c r="S56" s="22">
        <f t="shared" si="48"/>
        <v>7957970</v>
      </c>
      <c r="T56" s="22">
        <f t="shared" si="48"/>
        <v>8416295</v>
      </c>
      <c r="U56" s="22">
        <f t="shared" si="48"/>
        <v>8195490</v>
      </c>
      <c r="V56" s="22">
        <f t="shared" si="48"/>
        <v>8304590</v>
      </c>
      <c r="W56" s="22">
        <f t="shared" si="48"/>
        <v>8821035</v>
      </c>
      <c r="X56" s="22">
        <f t="shared" si="48"/>
        <v>8803245</v>
      </c>
      <c r="Y56" s="22">
        <f t="shared" si="48"/>
        <v>8951197.0134039819</v>
      </c>
      <c r="Z56" s="22">
        <f t="shared" si="48"/>
        <v>9156329.1671159938</v>
      </c>
      <c r="AA56" s="22">
        <f t="shared" si="48"/>
        <v>9307394.82073256</v>
      </c>
      <c r="AB56" s="22">
        <f t="shared" si="48"/>
        <v>9381630.3353882637</v>
      </c>
      <c r="AC56" s="22">
        <f t="shared" si="48"/>
        <v>9455333.780849684</v>
      </c>
      <c r="AD56" s="22">
        <f t="shared" si="48"/>
        <v>9567651.0417906512</v>
      </c>
      <c r="AE56" s="22">
        <f t="shared" si="48"/>
        <v>9691766.0163597334</v>
      </c>
      <c r="AF56" s="22">
        <f t="shared" si="48"/>
        <v>9732646.0950364713</v>
      </c>
      <c r="AG56" s="22">
        <f t="shared" si="48"/>
        <v>9002016.5291575715</v>
      </c>
      <c r="AH56" s="22">
        <f t="shared" si="48"/>
        <v>9225379.530975705</v>
      </c>
      <c r="AI56" s="22">
        <f t="shared" si="48"/>
        <v>9429690.3005123064</v>
      </c>
      <c r="AJ56" s="22">
        <f t="shared" si="48"/>
        <v>9635421.4915927723</v>
      </c>
      <c r="AK56" s="22">
        <f t="shared" si="48"/>
        <v>9875716.2108614612</v>
      </c>
      <c r="AL56" s="22">
        <f t="shared" si="48"/>
        <v>10117830.411642762</v>
      </c>
      <c r="AM56" s="22">
        <f t="shared" si="48"/>
        <v>10367883.328340033</v>
      </c>
      <c r="AN56" s="22">
        <f t="shared" si="48"/>
        <v>10611692.994868964</v>
      </c>
      <c r="AO56" s="22">
        <f t="shared" si="48"/>
        <v>10870593.012727441</v>
      </c>
      <c r="AP56" s="22">
        <f t="shared" si="48"/>
        <v>11115441.88275294</v>
      </c>
      <c r="AQ56" s="22">
        <f t="shared" si="48"/>
        <v>11366795.03439527</v>
      </c>
      <c r="AR56" s="22">
        <f t="shared" si="48"/>
        <v>11664848.533121608</v>
      </c>
      <c r="AS56" s="22">
        <f t="shared" si="48"/>
        <v>11986124.663096141</v>
      </c>
      <c r="AT56" s="22">
        <f t="shared" si="48"/>
        <v>12318532.766091358</v>
      </c>
      <c r="AU56" s="22">
        <f t="shared" si="48"/>
        <v>12385362.104357827</v>
      </c>
      <c r="AV56" s="22">
        <f t="shared" si="48"/>
        <v>-583336.14722725749</v>
      </c>
      <c r="AW56" s="22">
        <f t="shared" si="48"/>
        <v>-591573.14817917557</v>
      </c>
      <c r="AX56" s="22">
        <f t="shared" si="48"/>
        <v>-599870.45350366458</v>
      </c>
      <c r="AY56" s="22">
        <f t="shared" si="48"/>
        <v>-608228.50469846954</v>
      </c>
      <c r="AZ56" s="22">
        <f t="shared" si="48"/>
        <v>-616647.74649361242</v>
      </c>
      <c r="BA56" s="22">
        <f t="shared" si="48"/>
        <v>-625128.6268750492</v>
      </c>
      <c r="BB56" s="22">
        <f t="shared" si="48"/>
        <v>-632376.0865395125</v>
      </c>
      <c r="BC56" s="22">
        <f t="shared" si="48"/>
        <v>-639668.55966514256</v>
      </c>
      <c r="BD56" s="22">
        <f t="shared" si="48"/>
        <v>-647006.32582737319</v>
      </c>
      <c r="BE56" s="22">
        <f t="shared" si="48"/>
        <v>-654389.66633806238</v>
      </c>
      <c r="BF56" s="22">
        <f t="shared" si="48"/>
        <v>-661818.86425627768</v>
      </c>
      <c r="BG56" s="22">
        <f t="shared" si="48"/>
        <v>-667962.93900628504</v>
      </c>
      <c r="BH56" s="22">
        <f t="shared" si="48"/>
        <v>-674138.37827472109</v>
      </c>
      <c r="BI56" s="22">
        <f t="shared" si="48"/>
        <v>-680345.34217243176</v>
      </c>
      <c r="BJ56" s="22">
        <f t="shared" si="48"/>
        <v>-686583.99162760726</v>
      </c>
      <c r="BK56" s="22">
        <f t="shared" si="48"/>
        <v>-692854.48838994582</v>
      </c>
    </row>
    <row r="57" spans="1:63" x14ac:dyDescent="0.25">
      <c r="A57" t="s">
        <v>871</v>
      </c>
      <c r="B57" t="s">
        <v>321</v>
      </c>
      <c r="C57" s="22">
        <v>4072000</v>
      </c>
      <c r="D57" s="22">
        <v>4235000</v>
      </c>
      <c r="E57" s="22">
        <v>4455000</v>
      </c>
      <c r="F57" s="22">
        <v>4085000</v>
      </c>
      <c r="G57" s="22">
        <v>3855000</v>
      </c>
      <c r="H57" s="22">
        <v>3877000</v>
      </c>
      <c r="I57" s="22">
        <v>4035000</v>
      </c>
      <c r="J57" s="22">
        <v>3826000</v>
      </c>
      <c r="K57" s="22">
        <v>3001000</v>
      </c>
      <c r="L57" s="22">
        <v>2960000</v>
      </c>
      <c r="M57" s="22">
        <v>2936000</v>
      </c>
      <c r="N57" s="22">
        <v>3263000</v>
      </c>
      <c r="O57" s="22">
        <v>3274000</v>
      </c>
      <c r="P57" s="22">
        <v>3275000</v>
      </c>
      <c r="Q57" s="22">
        <v>3531000</v>
      </c>
      <c r="R57" s="22">
        <v>3543000</v>
      </c>
      <c r="S57" s="22">
        <v>3637000</v>
      </c>
      <c r="T57" s="22">
        <v>3844000</v>
      </c>
      <c r="U57" s="22">
        <v>4220000</v>
      </c>
      <c r="V57" s="22">
        <v>4089000</v>
      </c>
      <c r="W57" s="22">
        <v>4187000</v>
      </c>
      <c r="X57" s="22">
        <v>4344000</v>
      </c>
      <c r="Y57" s="22">
        <v>4429000</v>
      </c>
      <c r="Z57" s="22">
        <v>4436000</v>
      </c>
      <c r="AA57" s="22">
        <v>4767000</v>
      </c>
      <c r="AB57" s="22">
        <v>5087000</v>
      </c>
      <c r="AC57" s="22">
        <v>5551000</v>
      </c>
      <c r="AD57" s="22">
        <v>5004000</v>
      </c>
      <c r="AE57" s="22"/>
      <c r="AF57" s="22"/>
      <c r="AG57" s="22"/>
      <c r="AH57" s="22"/>
      <c r="AI57" s="22"/>
      <c r="AJ57" s="22"/>
      <c r="AK57" s="22"/>
      <c r="AL57" s="22"/>
      <c r="AM57" s="22"/>
      <c r="AN57" s="22"/>
      <c r="AO57" s="22"/>
      <c r="AP57" s="22"/>
      <c r="AQ57" s="22"/>
      <c r="AR57" s="22"/>
      <c r="AS57" s="22"/>
      <c r="AT57" s="22"/>
      <c r="AU57" s="22"/>
      <c r="AV57" s="22"/>
      <c r="AW57" s="22"/>
      <c r="AX57" s="22"/>
      <c r="AY57" s="22"/>
      <c r="AZ57" s="22"/>
      <c r="BA57" s="22"/>
      <c r="BB57" s="22"/>
      <c r="BC57" s="22"/>
      <c r="BD57" s="22"/>
      <c r="BE57" s="22"/>
      <c r="BF57" s="22"/>
      <c r="BG57" s="22"/>
      <c r="BH57" s="22"/>
      <c r="BI57" s="22"/>
      <c r="BJ57" s="22"/>
      <c r="BK57" s="22"/>
    </row>
    <row r="58" spans="1:63" x14ac:dyDescent="0.25">
      <c r="A58" t="s">
        <v>872</v>
      </c>
      <c r="B58" t="s">
        <v>321</v>
      </c>
      <c r="C58" s="22">
        <f>((Data!$AJ$37*'Intermediate calculations'!C56)+Data!$AK$37)</f>
        <v>5251932.2753573991</v>
      </c>
      <c r="D58" s="22">
        <f>((Data!$AJ$37*'Intermediate calculations'!D56)+Data!$AK$37)</f>
        <v>5456645.3617997784</v>
      </c>
      <c r="E58" s="22">
        <f>((Data!$AJ$37*'Intermediate calculations'!E56)+Data!$AK$37)</f>
        <v>5461594.1389778787</v>
      </c>
      <c r="F58" s="22">
        <f>((Data!$AJ$37*'Intermediate calculations'!F56)+Data!$AK$37)</f>
        <v>5371884.1298720818</v>
      </c>
      <c r="G58" s="22">
        <f>((Data!$AJ$37*'Intermediate calculations'!G56)+Data!$AK$37)</f>
        <v>5130510.8211723436</v>
      </c>
      <c r="H58" s="22">
        <f>((Data!$AJ$37*'Intermediate calculations'!H56)+Data!$AK$37)</f>
        <v>5004616.1387630664</v>
      </c>
      <c r="I58" s="22">
        <f>((Data!$AJ$37*'Intermediate calculations'!I56)+Data!$AK$37)</f>
        <v>5144691.384171214</v>
      </c>
      <c r="J58" s="22">
        <f>((Data!$AJ$37*'Intermediate calculations'!J56)+Data!$AK$37)</f>
        <v>5176356.8083839687</v>
      </c>
      <c r="K58" s="22">
        <f>((Data!$AJ$37*'Intermediate calculations'!K56)+Data!$AK$37)</f>
        <v>5204877.4733855929</v>
      </c>
      <c r="L58" s="22">
        <f>((Data!$AJ$37*'Intermediate calculations'!L56)+Data!$AK$37)</f>
        <v>5294483.1685273126</v>
      </c>
      <c r="M58" s="22">
        <f>((Data!$AJ$37*'Intermediate calculations'!M56)+Data!$AK$37)</f>
        <v>5512950.3579389574</v>
      </c>
      <c r="N58" s="22">
        <f>((Data!$AJ$37*'Intermediate calculations'!N56)+Data!$AK$37)</f>
        <v>5270444.9359232113</v>
      </c>
      <c r="O58" s="22">
        <f>((Data!$AJ$37*'Intermediate calculations'!O56)+Data!$AK$37)</f>
        <v>5467972.6310753804</v>
      </c>
      <c r="P58" s="22">
        <f>((Data!$AJ$37*'Intermediate calculations'!P56)+Data!$AK$37)</f>
        <v>5534132.2287620232</v>
      </c>
      <c r="Q58" s="22">
        <f>((Data!$AJ$37*'Intermediate calculations'!Q56)+Data!$AK$37)</f>
        <v>5780150.5769209331</v>
      </c>
      <c r="R58" s="22">
        <f>((Data!$AJ$37*'Intermediate calculations'!R56)+Data!$AK$37)</f>
        <v>6161335.2780608628</v>
      </c>
      <c r="S58" s="22">
        <f>((Data!$AJ$37*'Intermediate calculations'!S56)+Data!$AK$37)</f>
        <v>6533389.4392863307</v>
      </c>
      <c r="T58" s="22">
        <f>((Data!$AJ$37*'Intermediate calculations'!T56)+Data!$AK$37)</f>
        <v>6814622.9544943627</v>
      </c>
      <c r="U58" s="22">
        <f>((Data!$AJ$37*'Intermediate calculations'!U56)+Data!$AK$37)</f>
        <v>6679134.4554478135</v>
      </c>
      <c r="V58" s="22">
        <f>((Data!$AJ$37*'Intermediate calculations'!V56)+Data!$AK$37)</f>
        <v>6746079.475922795</v>
      </c>
      <c r="W58" s="22">
        <f>((Data!$AJ$37*'Intermediate calculations'!W56)+Data!$AK$37)</f>
        <v>7062976.0946139265</v>
      </c>
      <c r="X58" s="22">
        <f>((Data!$AJ$37*'Intermediate calculations'!X56)+Data!$AK$37)</f>
        <v>7052059.9450790975</v>
      </c>
      <c r="Y58" s="22">
        <f>((Data!$AJ$37*'Intermediate calculations'!Y56)+Data!$AK$37)</f>
        <v>7142845.0098512731</v>
      </c>
      <c r="Z58" s="22">
        <f>((Data!$AJ$37*'Intermediate calculations'!Z56)+Data!$AK$37)</f>
        <v>7268716.4693409875</v>
      </c>
      <c r="AA58" s="22">
        <f>((Data!$AJ$37*'Intermediate calculations'!AA56)+Data!$AK$37)</f>
        <v>7361412.099720709</v>
      </c>
      <c r="AB58" s="22">
        <f>((Data!$AJ$37*'Intermediate calculations'!AB56)+Data!$AK$37)</f>
        <v>7406963.8691853937</v>
      </c>
      <c r="AC58" s="22">
        <f>((Data!$AJ$37*'Intermediate calculations'!AC56)+Data!$AK$37)</f>
        <v>7452189.1548452601</v>
      </c>
      <c r="AD58" s="22">
        <f>((Data!$AJ$37*'Intermediate calculations'!AD56)+Data!$AK$37)</f>
        <v>7521108.3238038942</v>
      </c>
      <c r="AE58" s="22">
        <f>((Data!$AJ$37*'Intermediate calculations'!AE56)+Data!$AK$37)</f>
        <v>7597266.7061483413</v>
      </c>
      <c r="AF58" s="22">
        <f>((Data!$AJ$37*'Intermediate calculations'!AF56)+Data!$AK$37)</f>
        <v>7622351.1947279312</v>
      </c>
      <c r="AG58" s="22">
        <f>((Data!$AJ$37*'Intermediate calculations'!AG56)+Data!$AK$37)</f>
        <v>7174028.4518554229</v>
      </c>
      <c r="AH58" s="22">
        <f>((Data!$AJ$37*'Intermediate calculations'!AH56)+Data!$AK$37)</f>
        <v>7311086.5703711752</v>
      </c>
      <c r="AI58" s="22">
        <f>((Data!$AJ$37*'Intermediate calculations'!AI56)+Data!$AK$37)</f>
        <v>7436454.0190410856</v>
      </c>
      <c r="AJ58" s="22">
        <f>((Data!$AJ$37*'Intermediate calculations'!AJ56)+Data!$AK$37)</f>
        <v>7562693.0547809973</v>
      </c>
      <c r="AK58" s="22">
        <f>((Data!$AJ$37*'Intermediate calculations'!AK56)+Data!$AK$37)</f>
        <v>7710140.6707431655</v>
      </c>
      <c r="AL58" s="22">
        <f>((Data!$AJ$37*'Intermediate calculations'!AL56)+Data!$AK$37)</f>
        <v>7858704.7415826526</v>
      </c>
      <c r="AM58" s="22">
        <f>((Data!$AJ$37*'Intermediate calculations'!AM56)+Data!$AK$37)</f>
        <v>8012140.1002272721</v>
      </c>
      <c r="AN58" s="22">
        <f>((Data!$AJ$37*'Intermediate calculations'!AN56)+Data!$AK$37)</f>
        <v>8161744.5284378864</v>
      </c>
      <c r="AO58" s="22">
        <f>((Data!$AJ$37*'Intermediate calculations'!AO56)+Data!$AK$37)</f>
        <v>8320608.5705690421</v>
      </c>
      <c r="AP58" s="22">
        <f>((Data!$AJ$37*'Intermediate calculations'!AP56)+Data!$AK$37)</f>
        <v>8470850.6660514735</v>
      </c>
      <c r="AQ58" s="22">
        <f>((Data!$AJ$37*'Intermediate calculations'!AQ56)+Data!$AK$37)</f>
        <v>8625083.8638805039</v>
      </c>
      <c r="AR58" s="22">
        <f>((Data!$AJ$37*'Intermediate calculations'!AR56)+Data!$AK$37)</f>
        <v>8807972.9342276622</v>
      </c>
      <c r="AS58" s="22">
        <f>((Data!$AJ$37*'Intermediate calculations'!AS56)+Data!$AK$37)</f>
        <v>9005111.6794088557</v>
      </c>
      <c r="AT58" s="22">
        <f>((Data!$AJ$37*'Intermediate calculations'!AT56)+Data!$AK$37)</f>
        <v>9209081.1318475809</v>
      </c>
      <c r="AU58" s="22">
        <f>((Data!$AJ$37*'Intermediate calculations'!AU56)+Data!$AK$37)</f>
        <v>9250088.3859133758</v>
      </c>
      <c r="AV58" s="22">
        <f>((Data!$AJ$37*'Intermediate calculations'!AV56)+Data!$AK$37)</f>
        <v>1292345.3062962019</v>
      </c>
      <c r="AW58" s="22">
        <f>((Data!$AJ$37*'Intermediate calculations'!AW56)+Data!$AK$37)</f>
        <v>1287290.9873468105</v>
      </c>
      <c r="AX58" s="22">
        <f>((Data!$AJ$37*'Intermediate calculations'!AX56)+Data!$AK$37)</f>
        <v>1282199.6649376897</v>
      </c>
      <c r="AY58" s="22">
        <f>((Data!$AJ$37*'Intermediate calculations'!AY56)+Data!$AK$37)</f>
        <v>1277071.068160722</v>
      </c>
      <c r="AZ58" s="22">
        <f>((Data!$AJ$37*'Intermediate calculations'!AZ56)+Data!$AK$37)</f>
        <v>1271904.9241244281</v>
      </c>
      <c r="BA58" s="22">
        <f>((Data!$AJ$37*'Intermediate calculations'!BA56)+Data!$AK$37)</f>
        <v>1266700.9579394495</v>
      </c>
      <c r="BB58" s="22">
        <f>((Data!$AJ$37*'Intermediate calculations'!BB56)+Data!$AK$37)</f>
        <v>1262253.8329565979</v>
      </c>
      <c r="BC58" s="22">
        <f>((Data!$AJ$37*'Intermediate calculations'!BC56)+Data!$AK$37)</f>
        <v>1257779.0871939163</v>
      </c>
      <c r="BD58" s="22">
        <f>((Data!$AJ$37*'Intermediate calculations'!BD56)+Data!$AK$37)</f>
        <v>1253276.5491006884</v>
      </c>
      <c r="BE58" s="22">
        <f>((Data!$AJ$37*'Intermediate calculations'!BE56)+Data!$AK$37)</f>
        <v>1248746.0460607079</v>
      </c>
      <c r="BF58" s="22">
        <f>((Data!$AJ$37*'Intermediate calculations'!BF56)+Data!$AK$37)</f>
        <v>1244187.404385661</v>
      </c>
      <c r="BG58" s="22">
        <f>((Data!$AJ$37*'Intermediate calculations'!BG56)+Data!$AK$37)</f>
        <v>1240417.3291341572</v>
      </c>
      <c r="BH58" s="22">
        <f>((Data!$AJ$37*'Intermediate calculations'!BH56)+Data!$AK$37)</f>
        <v>1236628.008251779</v>
      </c>
      <c r="BI58" s="22">
        <f>((Data!$AJ$37*'Intermediate calculations'!BI56)+Data!$AK$37)</f>
        <v>1232819.3434926616</v>
      </c>
      <c r="BJ58" s="22">
        <f>((Data!$AJ$37*'Intermediate calculations'!BJ56)+Data!$AK$37)</f>
        <v>1228991.2361094081</v>
      </c>
      <c r="BK58" s="22">
        <f>((Data!$AJ$37*'Intermediate calculations'!BK56)+Data!$AK$37)</f>
        <v>1225143.5868505347</v>
      </c>
    </row>
    <row r="59" spans="1:63" x14ac:dyDescent="0.25">
      <c r="A59" t="s">
        <v>345</v>
      </c>
      <c r="B59" t="s">
        <v>321</v>
      </c>
      <c r="C59" s="22">
        <f>C58+C56</f>
        <v>11121517.275357399</v>
      </c>
      <c r="D59" s="22">
        <f t="shared" ref="D59:BK59" si="49">D58+D56</f>
        <v>11659850.361799778</v>
      </c>
      <c r="E59" s="22">
        <f t="shared" si="49"/>
        <v>11672864.138977878</v>
      </c>
      <c r="F59" s="22">
        <f t="shared" si="49"/>
        <v>11436954.129872082</v>
      </c>
      <c r="G59" s="22">
        <f t="shared" si="49"/>
        <v>10802215.821172344</v>
      </c>
      <c r="H59" s="22">
        <f t="shared" si="49"/>
        <v>10471151.138763066</v>
      </c>
      <c r="I59" s="22">
        <f t="shared" si="49"/>
        <v>10839506.384171214</v>
      </c>
      <c r="J59" s="22">
        <f t="shared" si="49"/>
        <v>10922776.808383968</v>
      </c>
      <c r="K59" s="22">
        <f t="shared" si="49"/>
        <v>10997777.473385593</v>
      </c>
      <c r="L59" s="22">
        <f t="shared" si="49"/>
        <v>11233413.168527313</v>
      </c>
      <c r="M59" s="22">
        <f t="shared" si="49"/>
        <v>11807915.357938956</v>
      </c>
      <c r="N59" s="22">
        <f t="shared" si="49"/>
        <v>11170199.935923211</v>
      </c>
      <c r="O59" s="22">
        <f t="shared" si="49"/>
        <v>11689637.63107538</v>
      </c>
      <c r="P59" s="22">
        <f t="shared" si="49"/>
        <v>11863617.228762023</v>
      </c>
      <c r="Q59" s="22">
        <f t="shared" si="49"/>
        <v>12510570.576920934</v>
      </c>
      <c r="R59" s="22">
        <f t="shared" si="49"/>
        <v>13512970.278060863</v>
      </c>
      <c r="S59" s="22">
        <f t="shared" si="49"/>
        <v>14491359.439286331</v>
      </c>
      <c r="T59" s="22">
        <f t="shared" si="49"/>
        <v>15230917.954494363</v>
      </c>
      <c r="U59" s="22">
        <f t="shared" si="49"/>
        <v>14874624.455447813</v>
      </c>
      <c r="V59" s="22">
        <f t="shared" si="49"/>
        <v>15050669.475922795</v>
      </c>
      <c r="W59" s="22">
        <f t="shared" si="49"/>
        <v>15884011.094613926</v>
      </c>
      <c r="X59" s="22">
        <f t="shared" si="49"/>
        <v>15855304.945079098</v>
      </c>
      <c r="Y59" s="22">
        <f t="shared" si="49"/>
        <v>16094042.023255255</v>
      </c>
      <c r="Z59" s="22">
        <f t="shared" si="49"/>
        <v>16425045.636456981</v>
      </c>
      <c r="AA59" s="22">
        <f t="shared" si="49"/>
        <v>16668806.920453269</v>
      </c>
      <c r="AB59" s="22">
        <f t="shared" si="49"/>
        <v>16788594.204573657</v>
      </c>
      <c r="AC59" s="22">
        <f t="shared" si="49"/>
        <v>16907522.935694944</v>
      </c>
      <c r="AD59" s="22">
        <f t="shared" si="49"/>
        <v>17088759.365594544</v>
      </c>
      <c r="AE59" s="22">
        <f t="shared" si="49"/>
        <v>17289032.722508073</v>
      </c>
      <c r="AF59" s="22">
        <f t="shared" si="49"/>
        <v>17354997.289764404</v>
      </c>
      <c r="AG59" s="22">
        <f t="shared" si="49"/>
        <v>16176044.981012994</v>
      </c>
      <c r="AH59" s="22">
        <f t="shared" si="49"/>
        <v>16536466.10134688</v>
      </c>
      <c r="AI59" s="22">
        <f t="shared" si="49"/>
        <v>16866144.31955339</v>
      </c>
      <c r="AJ59" s="22">
        <f t="shared" si="49"/>
        <v>17198114.54637377</v>
      </c>
      <c r="AK59" s="22">
        <f t="shared" si="49"/>
        <v>17585856.881604627</v>
      </c>
      <c r="AL59" s="22">
        <f t="shared" si="49"/>
        <v>17976535.153225414</v>
      </c>
      <c r="AM59" s="22">
        <f t="shared" si="49"/>
        <v>18380023.428567305</v>
      </c>
      <c r="AN59" s="22">
        <f t="shared" si="49"/>
        <v>18773437.52330685</v>
      </c>
      <c r="AO59" s="22">
        <f t="shared" si="49"/>
        <v>19191201.583296485</v>
      </c>
      <c r="AP59" s="22">
        <f t="shared" si="49"/>
        <v>19586292.548804414</v>
      </c>
      <c r="AQ59" s="22">
        <f t="shared" si="49"/>
        <v>19991878.898275774</v>
      </c>
      <c r="AR59" s="22">
        <f t="shared" si="49"/>
        <v>20472821.467349268</v>
      </c>
      <c r="AS59" s="22">
        <f t="shared" si="49"/>
        <v>20991236.342504997</v>
      </c>
      <c r="AT59" s="22">
        <f t="shared" si="49"/>
        <v>21527613.897938937</v>
      </c>
      <c r="AU59" s="22">
        <f t="shared" si="49"/>
        <v>21635450.490271203</v>
      </c>
      <c r="AV59" s="22">
        <f t="shared" si="49"/>
        <v>709009.1590689444</v>
      </c>
      <c r="AW59" s="22">
        <f t="shared" si="49"/>
        <v>695717.83916763496</v>
      </c>
      <c r="AX59" s="22">
        <f t="shared" si="49"/>
        <v>682329.21143402508</v>
      </c>
      <c r="AY59" s="22">
        <f t="shared" si="49"/>
        <v>668842.5634622525</v>
      </c>
      <c r="AZ59" s="22">
        <f t="shared" si="49"/>
        <v>655257.17763081565</v>
      </c>
      <c r="BA59" s="22">
        <f t="shared" si="49"/>
        <v>641572.33106440026</v>
      </c>
      <c r="BB59" s="22">
        <f t="shared" si="49"/>
        <v>629877.74641708541</v>
      </c>
      <c r="BC59" s="22">
        <f t="shared" si="49"/>
        <v>618110.52752877376</v>
      </c>
      <c r="BD59" s="22">
        <f t="shared" si="49"/>
        <v>606270.22327331523</v>
      </c>
      <c r="BE59" s="22">
        <f t="shared" si="49"/>
        <v>594356.37972264551</v>
      </c>
      <c r="BF59" s="22">
        <f t="shared" si="49"/>
        <v>582368.54012938333</v>
      </c>
      <c r="BG59" s="22">
        <f t="shared" si="49"/>
        <v>572454.39012787212</v>
      </c>
      <c r="BH59" s="22">
        <f t="shared" si="49"/>
        <v>562489.62997705792</v>
      </c>
      <c r="BI59" s="22">
        <f t="shared" si="49"/>
        <v>552474.00132022984</v>
      </c>
      <c r="BJ59" s="22">
        <f t="shared" si="49"/>
        <v>542407.24448180082</v>
      </c>
      <c r="BK59" s="22">
        <f t="shared" si="49"/>
        <v>532289.09846058884</v>
      </c>
    </row>
    <row r="60" spans="1:63" x14ac:dyDescent="0.25">
      <c r="A60" t="s">
        <v>874</v>
      </c>
      <c r="B60" t="s">
        <v>321</v>
      </c>
      <c r="C60" s="22">
        <f>((Data!$AJ$41*'Intermediate calculations'!C59)+Data!$AK$41)</f>
        <v>13829288.143620679</v>
      </c>
      <c r="D60" s="22">
        <f>((Data!$AJ$41*'Intermediate calculations'!D59)+Data!$AK$41)</f>
        <v>14338345.265431453</v>
      </c>
      <c r="E60" s="22">
        <f>((Data!$AJ$41*'Intermediate calculations'!E59)+Data!$AK$41)</f>
        <v>14350651.319287347</v>
      </c>
      <c r="F60" s="22">
        <f>((Data!$AJ$41*'Intermediate calculations'!F59)+Data!$AK$41)</f>
        <v>14127570.714980846</v>
      </c>
      <c r="G60" s="22">
        <f>((Data!$AJ$41*'Intermediate calculations'!G59)+Data!$AK$41)</f>
        <v>13527351.139652345</v>
      </c>
      <c r="H60" s="22">
        <f>((Data!$AJ$41*'Intermediate calculations'!H59)+Data!$AK$41)</f>
        <v>13214290.622651216</v>
      </c>
      <c r="I60" s="22">
        <f>((Data!$AJ$41*'Intermediate calculations'!I59)+Data!$AK$41)</f>
        <v>13562613.744067688</v>
      </c>
      <c r="J60" s="22">
        <f>((Data!$AJ$41*'Intermediate calculations'!J59)+Data!$AK$41)</f>
        <v>13641355.704295026</v>
      </c>
      <c r="K60" s="22">
        <f>((Data!$AJ$41*'Intermediate calculations'!K59)+Data!$AK$41)</f>
        <v>13712277.636498626</v>
      </c>
      <c r="L60" s="22">
        <f>((Data!$AJ$41*'Intermediate calculations'!L59)+Data!$AK$41)</f>
        <v>13935098.844753608</v>
      </c>
      <c r="M60" s="22">
        <f>((Data!$AJ$41*'Intermediate calculations'!M59)+Data!$AK$41)</f>
        <v>14478358.098886751</v>
      </c>
      <c r="N60" s="22">
        <f>((Data!$AJ$41*'Intermediate calculations'!N59)+Data!$AK$41)</f>
        <v>13875323.313469701</v>
      </c>
      <c r="O60" s="22">
        <f>((Data!$AJ$41*'Intermediate calculations'!O59)+Data!$AK$41)</f>
        <v>14366512.624908183</v>
      </c>
      <c r="P60" s="22">
        <f>((Data!$AJ$41*'Intermediate calculations'!P59)+Data!$AK$41)</f>
        <v>14531030.755936412</v>
      </c>
      <c r="Q60" s="22">
        <f>((Data!$AJ$41*'Intermediate calculations'!Q59)+Data!$AK$41)</f>
        <v>15142801.084853152</v>
      </c>
      <c r="R60" s="22">
        <f>((Data!$AJ$41*'Intermediate calculations'!R59)+Data!$AK$41)</f>
        <v>16090687.662173694</v>
      </c>
      <c r="S60" s="22">
        <f>((Data!$AJ$41*'Intermediate calculations'!S59)+Data!$AK$41)</f>
        <v>17015869.455690674</v>
      </c>
      <c r="T60" s="22">
        <f>((Data!$AJ$41*'Intermediate calculations'!T59)+Data!$AK$41)</f>
        <v>17715208.839882039</v>
      </c>
      <c r="U60" s="22">
        <f>((Data!$AJ$41*'Intermediate calculations'!U59)+Data!$AK$41)</f>
        <v>17378291.51543678</v>
      </c>
      <c r="V60" s="22">
        <f>((Data!$AJ$41*'Intermediate calculations'!V59)+Data!$AK$41)</f>
        <v>17544762.746147033</v>
      </c>
      <c r="W60" s="22">
        <f>((Data!$AJ$41*'Intermediate calculations'!W59)+Data!$AK$41)</f>
        <v>18332785.062775426</v>
      </c>
      <c r="X60" s="22">
        <f>((Data!$AJ$41*'Intermediate calculations'!X59)+Data!$AK$41)</f>
        <v>18305640.028913509</v>
      </c>
      <c r="Y60" s="22">
        <f>((Data!$AJ$41*'Intermediate calculations'!Y59)+Data!$AK$41)</f>
        <v>18531393.958862372</v>
      </c>
      <c r="Z60" s="22">
        <f>((Data!$AJ$41*'Intermediate calculations'!Z59)+Data!$AK$41)</f>
        <v>18844396.727759566</v>
      </c>
      <c r="AA60" s="22">
        <f>((Data!$AJ$41*'Intermediate calculations'!AA59)+Data!$AK$41)</f>
        <v>19074901.634043701</v>
      </c>
      <c r="AB60" s="22">
        <f>((Data!$AJ$41*'Intermediate calculations'!AB59)+Data!$AK$41)</f>
        <v>19188174.571597725</v>
      </c>
      <c r="AC60" s="22">
        <f>((Data!$AJ$41*'Intermediate calculations'!AC59)+Data!$AK$41)</f>
        <v>19300635.646515679</v>
      </c>
      <c r="AD60" s="22">
        <f>((Data!$AJ$41*'Intermediate calculations'!AD59)+Data!$AK$41)</f>
        <v>19472015.964195307</v>
      </c>
      <c r="AE60" s="22">
        <f>((Data!$AJ$41*'Intermediate calculations'!AE59)+Data!$AK$41)</f>
        <v>19661397.930887215</v>
      </c>
      <c r="AF60" s="22">
        <f>((Data!$AJ$41*'Intermediate calculations'!AF59)+Data!$AK$41)</f>
        <v>19723775.172031574</v>
      </c>
      <c r="AG60" s="22">
        <f>((Data!$AJ$41*'Intermediate calculations'!AG59)+Data!$AK$41)</f>
        <v>18608937.380783539</v>
      </c>
      <c r="AH60" s="22">
        <f>((Data!$AJ$41*'Intermediate calculations'!AH59)+Data!$AK$41)</f>
        <v>18949757.855648816</v>
      </c>
      <c r="AI60" s="22">
        <f>((Data!$AJ$41*'Intermediate calculations'!AI59)+Data!$AK$41)</f>
        <v>19261507.308005527</v>
      </c>
      <c r="AJ60" s="22">
        <f>((Data!$AJ$41*'Intermediate calculations'!AJ59)+Data!$AK$41)</f>
        <v>19575424.123538546</v>
      </c>
      <c r="AK60" s="22">
        <f>((Data!$AJ$41*'Intermediate calculations'!AK59)+Data!$AK$41)</f>
        <v>19942080.014004484</v>
      </c>
      <c r="AL60" s="22">
        <f>((Data!$AJ$41*'Intermediate calculations'!AL59)+Data!$AK$41)</f>
        <v>20311512.176942088</v>
      </c>
      <c r="AM60" s="22">
        <f>((Data!$AJ$41*'Intermediate calculations'!AM59)+Data!$AK$41)</f>
        <v>20693057.702013433</v>
      </c>
      <c r="AN60" s="22">
        <f>((Data!$AJ$41*'Intermediate calculations'!AN59)+Data!$AK$41)</f>
        <v>21065076.906835876</v>
      </c>
      <c r="AO60" s="22">
        <f>((Data!$AJ$41*'Intermediate calculations'!AO59)+Data!$AK$41)</f>
        <v>21460121.861957856</v>
      </c>
      <c r="AP60" s="22">
        <f>((Data!$AJ$41*'Intermediate calculations'!AP59)+Data!$AK$41)</f>
        <v>21833726.744919904</v>
      </c>
      <c r="AQ60" s="22">
        <f>((Data!$AJ$41*'Intermediate calculations'!AQ59)+Data!$AK$41)</f>
        <v>22217256.245348871</v>
      </c>
      <c r="AR60" s="22">
        <f>((Data!$AJ$41*'Intermediate calculations'!AR59)+Data!$AK$41)</f>
        <v>22672043.896590583</v>
      </c>
      <c r="AS60" s="22">
        <f>((Data!$AJ$41*'Intermediate calculations'!AS59)+Data!$AK$41)</f>
        <v>23162266.011665642</v>
      </c>
      <c r="AT60" s="22">
        <f>((Data!$AJ$41*'Intermediate calculations'!AT59)+Data!$AK$41)</f>
        <v>23669473.949371181</v>
      </c>
      <c r="AU60" s="22">
        <f>((Data!$AJ$41*'Intermediate calculations'!AU59)+Data!$AK$41)</f>
        <v>23771446.105088614</v>
      </c>
      <c r="AV60" s="22">
        <f>((Data!$AJ$41*'Intermediate calculations'!AV59)+Data!$AK$41)</f>
        <v>3983039.518000565</v>
      </c>
      <c r="AW60" s="22">
        <f>((Data!$AJ$41*'Intermediate calculations'!AW59)+Data!$AK$41)</f>
        <v>3970471.0149224042</v>
      </c>
      <c r="AX60" s="22">
        <f>((Data!$AJ$41*'Intermediate calculations'!AX59)+Data!$AK$41)</f>
        <v>3957810.4958669832</v>
      </c>
      <c r="AY60" s="22">
        <f>((Data!$AJ$41*'Intermediate calculations'!AY59)+Data!$AK$41)</f>
        <v>3945057.2871709382</v>
      </c>
      <c r="AZ60" s="22">
        <f>((Data!$AJ$41*'Intermediate calculations'!AZ59)+Data!$AK$41)</f>
        <v>3932210.7102389066</v>
      </c>
      <c r="BA60" s="22">
        <f>((Data!$AJ$41*'Intermediate calculations'!BA59)+Data!$AK$41)</f>
        <v>3919270.0815074285</v>
      </c>
      <c r="BB60" s="22">
        <f>((Data!$AJ$41*'Intermediate calculations'!BB59)+Data!$AK$41)</f>
        <v>3908211.4790338618</v>
      </c>
      <c r="BC60" s="22">
        <f>((Data!$AJ$41*'Intermediate calculations'!BC59)+Data!$AK$41)</f>
        <v>3897084.1923597548</v>
      </c>
      <c r="BD60" s="22">
        <f>((Data!$AJ$41*'Intermediate calculations'!BD59)+Data!$AK$41)</f>
        <v>3885887.7948923795</v>
      </c>
      <c r="BE60" s="22">
        <f>((Data!$AJ$41*'Intermediate calculations'!BE59)+Data!$AK$41)</f>
        <v>3874621.857389471</v>
      </c>
      <c r="BF60" s="22">
        <f>((Data!$AJ$41*'Intermediate calculations'!BF59)+Data!$AK$41)</f>
        <v>3863285.9479427673</v>
      </c>
      <c r="BG60" s="22">
        <f>((Data!$AJ$41*'Intermediate calculations'!BG59)+Data!$AK$41)</f>
        <v>3853910.9554110579</v>
      </c>
      <c r="BH60" s="22">
        <f>((Data!$AJ$41*'Intermediate calculations'!BH59)+Data!$AK$41)</f>
        <v>3844488.1050426527</v>
      </c>
      <c r="BI60" s="22">
        <f>((Data!$AJ$41*'Intermediate calculations'!BI59)+Data!$AK$41)</f>
        <v>3835017.152530957</v>
      </c>
      <c r="BJ60" s="22">
        <f>((Data!$AJ$41*'Intermediate calculations'!BJ59)+Data!$AK$41)</f>
        <v>3825497.8523222227</v>
      </c>
      <c r="BK60" s="22">
        <f>((Data!$AJ$41*'Intermediate calculations'!BK59)+Data!$AK$41)</f>
        <v>3815929.9576091962</v>
      </c>
    </row>
    <row r="61" spans="1:63" x14ac:dyDescent="0.25">
      <c r="A61" t="s">
        <v>367</v>
      </c>
      <c r="B61" t="s">
        <v>361</v>
      </c>
      <c r="C61" s="22">
        <f>((Data!$AJ$42*LN('Intermediate calculations'!C60))+Data!$AK$42)</f>
        <v>3291216.8411945887</v>
      </c>
      <c r="D61" s="22">
        <f>((Data!$AJ$42*LN('Intermediate calculations'!D60))+Data!$AK$42)</f>
        <v>3319070.3486274015</v>
      </c>
      <c r="E61" s="22">
        <f>((Data!$AJ$42*LN('Intermediate calculations'!E60))+Data!$AK$42)</f>
        <v>3319731.3767311443</v>
      </c>
      <c r="F61" s="22">
        <f>((Data!$AJ$42*LN('Intermediate calculations'!F60))+Data!$AK$42)</f>
        <v>3307659.5145521946</v>
      </c>
      <c r="G61" s="22">
        <f>((Data!$AJ$42*LN('Intermediate calculations'!G60))+Data!$AK$42)</f>
        <v>3274207.49275437</v>
      </c>
      <c r="H61" s="22">
        <f>((Data!$AJ$42*LN('Intermediate calculations'!H60))+Data!$AK$42)</f>
        <v>3256165.8317827508</v>
      </c>
      <c r="I61" s="22">
        <f>((Data!$AJ$42*LN('Intermediate calculations'!I60))+Data!$AK$42)</f>
        <v>3276213.4544376917</v>
      </c>
      <c r="J61" s="22">
        <f>((Data!$AJ$42*LN('Intermediate calculations'!J60))+Data!$AK$42)</f>
        <v>3280674.0371948611</v>
      </c>
      <c r="K61" s="22">
        <f>((Data!$AJ$42*LN('Intermediate calculations'!K60))+Data!$AK$42)</f>
        <v>3284669.6459477041</v>
      </c>
      <c r="L61" s="22">
        <f>((Data!$AJ$42*LN('Intermediate calculations'!L60))+Data!$AK$42)</f>
        <v>3297089.8418645374</v>
      </c>
      <c r="M61" s="22">
        <f>((Data!$AJ$42*LN('Intermediate calculations'!M60))+Data!$AK$42)</f>
        <v>3326557.9619940948</v>
      </c>
      <c r="N61" s="22">
        <f>((Data!$AJ$42*LN('Intermediate calculations'!N60))+Data!$AK$42)</f>
        <v>3293777.5166018195</v>
      </c>
      <c r="O61" s="22">
        <f>((Data!$AJ$42*LN('Intermediate calculations'!O60))+Data!$AK$42)</f>
        <v>3320582.5419616979</v>
      </c>
      <c r="P61" s="22">
        <f>((Data!$AJ$42*LN('Intermediate calculations'!P60))+Data!$AK$42)</f>
        <v>3329356.0641698465</v>
      </c>
      <c r="Q61" s="22">
        <f>((Data!$AJ$42*LN('Intermediate calculations'!Q60))+Data!$AK$42)</f>
        <v>3361131.5914097354</v>
      </c>
      <c r="R61" s="22">
        <f>((Data!$AJ$42*LN('Intermediate calculations'!R60))+Data!$AK$42)</f>
        <v>3407914.3370274547</v>
      </c>
      <c r="S61" s="22">
        <f>((Data!$AJ$42*LN('Intermediate calculations'!S60))+Data!$AK$42)</f>
        <v>3450991.0539786909</v>
      </c>
      <c r="T61" s="22">
        <f>((Data!$AJ$42*LN('Intermediate calculations'!T60))+Data!$AK$42)</f>
        <v>3482025.5623515509</v>
      </c>
      <c r="U61" s="22">
        <f>((Data!$AJ$42*LN('Intermediate calculations'!U60))+Data!$AK$42)</f>
        <v>3467230.1714797169</v>
      </c>
      <c r="V61" s="22">
        <f>((Data!$AJ$42*LN('Intermediate calculations'!V60))+Data!$AK$42)</f>
        <v>3474576.1001284774</v>
      </c>
      <c r="W61" s="22">
        <f>((Data!$AJ$42*LN('Intermediate calculations'!W60))+Data!$AK$42)</f>
        <v>3508429.4822034501</v>
      </c>
      <c r="X61" s="22">
        <f>((Data!$AJ$42*LN('Intermediate calculations'!X60))+Data!$AK$42)</f>
        <v>3507287.7345839478</v>
      </c>
      <c r="Y61" s="22">
        <f>((Data!$AJ$42*LN('Intermediate calculations'!Y60))+Data!$AK$42)</f>
        <v>3516732.0948724914</v>
      </c>
      <c r="Z61" s="22">
        <f>((Data!$AJ$42*LN('Intermediate calculations'!Z60))+Data!$AK$42)</f>
        <v>3529637.8787537683</v>
      </c>
      <c r="AA61" s="22">
        <f>((Data!$AJ$42*LN('Intermediate calculations'!AA60))+Data!$AK$42)</f>
        <v>3539005.7664388958</v>
      </c>
      <c r="AB61" s="22">
        <f>((Data!$AJ$42*LN('Intermediate calculations'!AB60))+Data!$AK$42)</f>
        <v>3543567.8579666261</v>
      </c>
      <c r="AC61" s="22">
        <f>((Data!$AJ$42*LN('Intermediate calculations'!AC60))+Data!$AK$42)</f>
        <v>3548070.6866584886</v>
      </c>
      <c r="AD61" s="22">
        <f>((Data!$AJ$42*LN('Intermediate calculations'!AD60))+Data!$AK$42)</f>
        <v>3554882.3741304055</v>
      </c>
      <c r="AE61" s="22">
        <f>((Data!$AJ$42*LN('Intermediate calculations'!AE60))+Data!$AK$42)</f>
        <v>3562340.1739368942</v>
      </c>
      <c r="AF61" s="22">
        <f>((Data!$AJ$42*LN('Intermediate calculations'!AF60))+Data!$AK$42)</f>
        <v>3564780.8503938634</v>
      </c>
      <c r="AG61" s="22">
        <f>((Data!$AJ$42*LN('Intermediate calculations'!AG60))+Data!$AK$42)</f>
        <v>3519949.5778955258</v>
      </c>
      <c r="AH61" s="22">
        <f>((Data!$AJ$42*LN('Intermediate calculations'!AH60))+Data!$AK$42)</f>
        <v>3533933.9685055744</v>
      </c>
      <c r="AI61" s="22">
        <f>((Data!$AJ$42*LN('Intermediate calculations'!AI60))+Data!$AK$42)</f>
        <v>3546507.0104061235</v>
      </c>
      <c r="AJ61" s="22">
        <f>((Data!$AJ$42*LN('Intermediate calculations'!AJ60))+Data!$AK$42)</f>
        <v>3558963.4972859081</v>
      </c>
      <c r="AK61" s="22">
        <f>((Data!$AJ$42*LN('Intermediate calculations'!AK60))+Data!$AK$42)</f>
        <v>3573262.2470776215</v>
      </c>
      <c r="AL61" s="22">
        <f>((Data!$AJ$42*LN('Intermediate calculations'!AL60))+Data!$AK$42)</f>
        <v>3587405.8058264162</v>
      </c>
      <c r="AM61" s="22">
        <f>((Data!$AJ$42*LN('Intermediate calculations'!AM60))+Data!$AK$42)</f>
        <v>3601745.6054545324</v>
      </c>
      <c r="AN61" s="22">
        <f>((Data!$AJ$42*LN('Intermediate calculations'!AN60))+Data!$AK$42)</f>
        <v>3615475.0259070657</v>
      </c>
      <c r="AO61" s="22">
        <f>((Data!$AJ$42*LN('Intermediate calculations'!AO60))+Data!$AK$42)</f>
        <v>3629791.2703763209</v>
      </c>
      <c r="AP61" s="22">
        <f>((Data!$AJ$42*LN('Intermediate calculations'!AP60))+Data!$AK$42)</f>
        <v>3643090.104685409</v>
      </c>
      <c r="AQ61" s="22">
        <f>((Data!$AJ$42*LN('Intermediate calculations'!AQ60))+Data!$AK$42)</f>
        <v>3656507.5733412746</v>
      </c>
      <c r="AR61" s="22">
        <f>((Data!$AJ$42*LN('Intermediate calculations'!AR60))+Data!$AK$42)</f>
        <v>3672120.9606841598</v>
      </c>
      <c r="AS61" s="22">
        <f>((Data!$AJ$42*LN('Intermediate calculations'!AS60))+Data!$AK$42)</f>
        <v>3688603.9208228998</v>
      </c>
      <c r="AT61" s="22">
        <f>((Data!$AJ$42*LN('Intermediate calculations'!AT60))+Data!$AK$42)</f>
        <v>3705294.7984956801</v>
      </c>
      <c r="AU61" s="22">
        <f>((Data!$AJ$42*LN('Intermediate calculations'!AU60))+Data!$AK$42)</f>
        <v>3708607.220119413</v>
      </c>
      <c r="AV61" s="22">
        <f>((Data!$AJ$42*LN('Intermediate calculations'!AV60))+Data!$AK$42)</f>
        <v>2332111.5264832824</v>
      </c>
      <c r="AW61" s="22">
        <f>((Data!$AJ$42*LN('Intermediate calculations'!AW60))+Data!$AK$42)</f>
        <v>2329676.2879809625</v>
      </c>
      <c r="AX61" s="22">
        <f>((Data!$AJ$42*LN('Intermediate calculations'!AX60))+Data!$AK$42)</f>
        <v>2327215.4146325253</v>
      </c>
      <c r="AY61" s="22">
        <f>((Data!$AJ$42*LN('Intermediate calculations'!AY60))+Data!$AK$42)</f>
        <v>2324728.5532853026</v>
      </c>
      <c r="AZ61" s="22">
        <f>((Data!$AJ$42*LN('Intermediate calculations'!AZ60))+Data!$AK$42)</f>
        <v>2322215.3441441413</v>
      </c>
      <c r="BA61" s="22">
        <f>((Data!$AJ$42*LN('Intermediate calculations'!BA60))+Data!$AK$42)</f>
        <v>2319675.4206056185</v>
      </c>
      <c r="BB61" s="22">
        <f>((Data!$AJ$42*LN('Intermediate calculations'!BB60))+Data!$AK$42)</f>
        <v>2317498.2376428582</v>
      </c>
      <c r="BC61" s="22">
        <f>((Data!$AJ$42*LN('Intermediate calculations'!BC60))+Data!$AK$42)</f>
        <v>2315301.3054300416</v>
      </c>
      <c r="BD61" s="22">
        <f>((Data!$AJ$42*LN('Intermediate calculations'!BD60))+Data!$AK$42)</f>
        <v>2313084.3876609504</v>
      </c>
      <c r="BE61" s="22">
        <f>((Data!$AJ$42*LN('Intermediate calculations'!BE60))+Data!$AK$42)</f>
        <v>2310847.2441526428</v>
      </c>
      <c r="BF61" s="22">
        <f>((Data!$AJ$42*LN('Intermediate calculations'!BF60))+Data!$AK$42)</f>
        <v>2308589.6307610366</v>
      </c>
      <c r="BG61" s="22">
        <f>((Data!$AJ$42*LN('Intermediate calculations'!BG60))+Data!$AK$42)</f>
        <v>2306717.5352260265</v>
      </c>
      <c r="BH61" s="22">
        <f>((Data!$AJ$42*LN('Intermediate calculations'!BH60))+Data!$AK$42)</f>
        <v>2304831.2883366328</v>
      </c>
      <c r="BI61" s="22">
        <f>((Data!$AJ$42*LN('Intermediate calculations'!BI60))+Data!$AK$42)</f>
        <v>2302930.748041559</v>
      </c>
      <c r="BJ61" s="22">
        <f>((Data!$AJ$42*LN('Intermediate calculations'!BJ60))+Data!$AK$42)</f>
        <v>2301015.770327948</v>
      </c>
      <c r="BK61" s="22">
        <f>((Data!$AJ$42*LN('Intermediate calculations'!BK60))+Data!$AK$42)</f>
        <v>2299086.2091854382</v>
      </c>
    </row>
    <row r="62" spans="1:63" s="50" customFormat="1" x14ac:dyDescent="0.25">
      <c r="A62" s="42" t="s">
        <v>875</v>
      </c>
    </row>
    <row r="63" spans="1:63" x14ac:dyDescent="0.25">
      <c r="A63" t="s">
        <v>848</v>
      </c>
      <c r="B63" t="s">
        <v>327</v>
      </c>
      <c r="Y63" s="22">
        <f>'Levers &amp; variables'!G6</f>
        <v>0.7</v>
      </c>
      <c r="Z63" s="22">
        <f t="shared" ref="Z63:AF63" si="50">Y63+(($AG63-$Y63)/8)</f>
        <v>0.70499999999999996</v>
      </c>
      <c r="AA63" s="22">
        <f t="shared" si="50"/>
        <v>0.71</v>
      </c>
      <c r="AB63" s="22">
        <f t="shared" si="50"/>
        <v>0.71499999999999997</v>
      </c>
      <c r="AC63" s="22">
        <f t="shared" si="50"/>
        <v>0.72</v>
      </c>
      <c r="AD63" s="22">
        <f t="shared" si="50"/>
        <v>0.72499999999999998</v>
      </c>
      <c r="AE63" s="22">
        <f t="shared" si="50"/>
        <v>0.73</v>
      </c>
      <c r="AF63" s="22">
        <f t="shared" si="50"/>
        <v>0.73499999999999999</v>
      </c>
      <c r="AG63" s="22">
        <f>'Levers &amp; variables'!H6</f>
        <v>0.74</v>
      </c>
      <c r="AH63" s="22">
        <f t="shared" ref="AH63:AP63" si="51">AG63+(($AQ63-$AG63)/10)</f>
        <v>0.74199999999999999</v>
      </c>
      <c r="AI63" s="22">
        <f t="shared" si="51"/>
        <v>0.74399999999999999</v>
      </c>
      <c r="AJ63" s="22">
        <f t="shared" si="51"/>
        <v>0.746</v>
      </c>
      <c r="AK63" s="22">
        <f t="shared" si="51"/>
        <v>0.748</v>
      </c>
      <c r="AL63" s="22">
        <f t="shared" si="51"/>
        <v>0.75</v>
      </c>
      <c r="AM63" s="22">
        <f t="shared" si="51"/>
        <v>0.752</v>
      </c>
      <c r="AN63" s="22">
        <f t="shared" si="51"/>
        <v>0.754</v>
      </c>
      <c r="AO63" s="22">
        <f t="shared" si="51"/>
        <v>0.75600000000000001</v>
      </c>
      <c r="AP63" s="22">
        <f t="shared" si="51"/>
        <v>0.75800000000000001</v>
      </c>
      <c r="AQ63" s="22">
        <f>'Levers &amp; variables'!I6</f>
        <v>0.76</v>
      </c>
      <c r="AR63" s="22">
        <f t="shared" ref="AR63:AZ63" si="52">AQ63+(($BA63-$AQ63)/10)</f>
        <v>0.76400000000000001</v>
      </c>
      <c r="AS63" s="22">
        <f t="shared" si="52"/>
        <v>0.76800000000000002</v>
      </c>
      <c r="AT63" s="22">
        <f t="shared" si="52"/>
        <v>0.77200000000000002</v>
      </c>
      <c r="AU63" s="22">
        <f t="shared" si="52"/>
        <v>0.77600000000000002</v>
      </c>
      <c r="AV63" s="22">
        <f t="shared" si="52"/>
        <v>0.78</v>
      </c>
      <c r="AW63" s="22">
        <f t="shared" si="52"/>
        <v>0.78400000000000003</v>
      </c>
      <c r="AX63" s="22">
        <f t="shared" si="52"/>
        <v>0.78800000000000003</v>
      </c>
      <c r="AY63" s="22">
        <f t="shared" si="52"/>
        <v>0.79200000000000004</v>
      </c>
      <c r="AZ63" s="22">
        <f t="shared" si="52"/>
        <v>0.79600000000000004</v>
      </c>
      <c r="BA63" s="22">
        <f>'Levers &amp; variables'!J6</f>
        <v>0.8</v>
      </c>
      <c r="BB63" s="22">
        <f t="shared" ref="BB63:BJ63" si="53">BA63+(($BK63-$BA63)/10)</f>
        <v>0.80300000000000005</v>
      </c>
      <c r="BC63" s="22">
        <f t="shared" si="53"/>
        <v>0.80600000000000005</v>
      </c>
      <c r="BD63" s="22">
        <f t="shared" si="53"/>
        <v>0.80900000000000005</v>
      </c>
      <c r="BE63" s="22">
        <f t="shared" si="53"/>
        <v>0.81200000000000006</v>
      </c>
      <c r="BF63" s="22">
        <f t="shared" si="53"/>
        <v>0.81500000000000006</v>
      </c>
      <c r="BG63" s="22">
        <f t="shared" si="53"/>
        <v>0.81800000000000006</v>
      </c>
      <c r="BH63" s="22">
        <f t="shared" si="53"/>
        <v>0.82100000000000006</v>
      </c>
      <c r="BI63" s="22">
        <f t="shared" si="53"/>
        <v>0.82400000000000007</v>
      </c>
      <c r="BJ63" s="22">
        <f t="shared" si="53"/>
        <v>0.82700000000000007</v>
      </c>
      <c r="BK63" s="22">
        <f>'Levers &amp; variables'!K6</f>
        <v>0.83</v>
      </c>
    </row>
    <row r="64" spans="1:63" x14ac:dyDescent="0.25">
      <c r="A64" t="s">
        <v>849</v>
      </c>
      <c r="B64" t="s">
        <v>815</v>
      </c>
      <c r="Y64" s="22">
        <f>'Levers &amp; variables'!G7</f>
        <v>0.57999999999999996</v>
      </c>
      <c r="Z64" s="22">
        <f t="shared" ref="Z64:AF64" si="54">Y64+(($AG64-$Y64)/8)</f>
        <v>0.57999999999999996</v>
      </c>
      <c r="AA64" s="22">
        <f t="shared" si="54"/>
        <v>0.57999999999999996</v>
      </c>
      <c r="AB64" s="22">
        <f t="shared" si="54"/>
        <v>0.57999999999999996</v>
      </c>
      <c r="AC64" s="22">
        <f t="shared" si="54"/>
        <v>0.57999999999999996</v>
      </c>
      <c r="AD64" s="22">
        <f t="shared" si="54"/>
        <v>0.57999999999999996</v>
      </c>
      <c r="AE64" s="22">
        <f t="shared" si="54"/>
        <v>0.57999999999999996</v>
      </c>
      <c r="AF64" s="22">
        <f t="shared" si="54"/>
        <v>0.57999999999999996</v>
      </c>
      <c r="AG64" s="22">
        <f>'Levers &amp; variables'!H7</f>
        <v>0.57999999999999996</v>
      </c>
      <c r="AH64" s="22">
        <f t="shared" ref="AH64:AP64" si="55">AG64+(($AQ64-$AG64)/10)</f>
        <v>0.57999999999999996</v>
      </c>
      <c r="AI64" s="22">
        <f t="shared" si="55"/>
        <v>0.57999999999999996</v>
      </c>
      <c r="AJ64" s="22">
        <f t="shared" si="55"/>
        <v>0.57999999999999996</v>
      </c>
      <c r="AK64" s="22">
        <f t="shared" si="55"/>
        <v>0.57999999999999996</v>
      </c>
      <c r="AL64" s="22">
        <f t="shared" si="55"/>
        <v>0.57999999999999996</v>
      </c>
      <c r="AM64" s="22">
        <f t="shared" si="55"/>
        <v>0.57999999999999996</v>
      </c>
      <c r="AN64" s="22">
        <f t="shared" si="55"/>
        <v>0.57999999999999996</v>
      </c>
      <c r="AO64" s="22">
        <f t="shared" si="55"/>
        <v>0.57999999999999996</v>
      </c>
      <c r="AP64" s="22">
        <f t="shared" si="55"/>
        <v>0.57999999999999996</v>
      </c>
      <c r="AQ64" s="22">
        <f>'Levers &amp; variables'!I7</f>
        <v>0.57999999999999996</v>
      </c>
      <c r="AR64" s="22">
        <f t="shared" ref="AR64:AZ64" si="56">AQ64+(($BA64-$AQ64)/10)</f>
        <v>0.57999999999999996</v>
      </c>
      <c r="AS64" s="22">
        <f t="shared" si="56"/>
        <v>0.57999999999999996</v>
      </c>
      <c r="AT64" s="22">
        <f t="shared" si="56"/>
        <v>0.57999999999999996</v>
      </c>
      <c r="AU64" s="22">
        <f t="shared" si="56"/>
        <v>0.57999999999999996</v>
      </c>
      <c r="AV64" s="22">
        <f t="shared" si="56"/>
        <v>0.57999999999999996</v>
      </c>
      <c r="AW64" s="22">
        <f t="shared" si="56"/>
        <v>0.57999999999999996</v>
      </c>
      <c r="AX64" s="22">
        <f t="shared" si="56"/>
        <v>0.57999999999999996</v>
      </c>
      <c r="AY64" s="22">
        <f t="shared" si="56"/>
        <v>0.57999999999999996</v>
      </c>
      <c r="AZ64" s="22">
        <f t="shared" si="56"/>
        <v>0.57999999999999996</v>
      </c>
      <c r="BA64" s="22">
        <f>'Levers &amp; variables'!J7</f>
        <v>0.57999999999999996</v>
      </c>
      <c r="BB64" s="22">
        <f t="shared" ref="BB64:BJ64" si="57">BA64+(($BK64-$BA64)/10)</f>
        <v>0.57999999999999996</v>
      </c>
      <c r="BC64" s="22">
        <f t="shared" si="57"/>
        <v>0.57999999999999996</v>
      </c>
      <c r="BD64" s="22">
        <f t="shared" si="57"/>
        <v>0.57999999999999996</v>
      </c>
      <c r="BE64" s="22">
        <f t="shared" si="57"/>
        <v>0.57999999999999996</v>
      </c>
      <c r="BF64" s="22">
        <f t="shared" si="57"/>
        <v>0.57999999999999996</v>
      </c>
      <c r="BG64" s="22">
        <f t="shared" si="57"/>
        <v>0.57999999999999996</v>
      </c>
      <c r="BH64" s="22">
        <f t="shared" si="57"/>
        <v>0.57999999999999996</v>
      </c>
      <c r="BI64" s="22">
        <f t="shared" si="57"/>
        <v>0.57999999999999996</v>
      </c>
      <c r="BJ64" s="22">
        <f t="shared" si="57"/>
        <v>0.57999999999999996</v>
      </c>
      <c r="BK64" s="22">
        <f>'Levers &amp; variables'!K7</f>
        <v>0.57999999999999996</v>
      </c>
    </row>
    <row r="65" spans="1:63" x14ac:dyDescent="0.25">
      <c r="A65" t="s">
        <v>850</v>
      </c>
      <c r="B65" t="s">
        <v>851</v>
      </c>
      <c r="Y65" s="22">
        <f>'Levers &amp; variables'!G8</f>
        <v>120</v>
      </c>
      <c r="Z65" s="22">
        <f t="shared" ref="Z65:AF65" si="58">Y65+(($AG65-$Y65)/8)</f>
        <v>120</v>
      </c>
      <c r="AA65" s="22">
        <f t="shared" si="58"/>
        <v>120</v>
      </c>
      <c r="AB65" s="22">
        <f t="shared" si="58"/>
        <v>120</v>
      </c>
      <c r="AC65" s="22">
        <f t="shared" si="58"/>
        <v>120</v>
      </c>
      <c r="AD65" s="22">
        <f t="shared" si="58"/>
        <v>120</v>
      </c>
      <c r="AE65" s="22">
        <f t="shared" si="58"/>
        <v>120</v>
      </c>
      <c r="AF65" s="22">
        <f t="shared" si="58"/>
        <v>120</v>
      </c>
      <c r="AG65" s="22">
        <f>'Levers &amp; variables'!H8</f>
        <v>120</v>
      </c>
      <c r="AH65" s="22">
        <f t="shared" ref="AH65:AP65" si="59">AG65+(($AQ65-$AG65)/10)</f>
        <v>120</v>
      </c>
      <c r="AI65" s="22">
        <f t="shared" si="59"/>
        <v>120</v>
      </c>
      <c r="AJ65" s="22">
        <f t="shared" si="59"/>
        <v>120</v>
      </c>
      <c r="AK65" s="22">
        <f t="shared" si="59"/>
        <v>120</v>
      </c>
      <c r="AL65" s="22">
        <f t="shared" si="59"/>
        <v>120</v>
      </c>
      <c r="AM65" s="22">
        <f t="shared" si="59"/>
        <v>120</v>
      </c>
      <c r="AN65" s="22">
        <f t="shared" si="59"/>
        <v>120</v>
      </c>
      <c r="AO65" s="22">
        <f t="shared" si="59"/>
        <v>120</v>
      </c>
      <c r="AP65" s="22">
        <f t="shared" si="59"/>
        <v>120</v>
      </c>
      <c r="AQ65" s="22">
        <f>'Levers &amp; variables'!I8</f>
        <v>120</v>
      </c>
      <c r="AR65" s="22">
        <f t="shared" ref="AR65:AZ65" si="60">AQ65+(($BA65-$AQ65)/10)</f>
        <v>120</v>
      </c>
      <c r="AS65" s="22">
        <f t="shared" si="60"/>
        <v>120</v>
      </c>
      <c r="AT65" s="22">
        <f t="shared" si="60"/>
        <v>120</v>
      </c>
      <c r="AU65" s="22">
        <f t="shared" si="60"/>
        <v>120</v>
      </c>
      <c r="AV65" s="22">
        <f t="shared" si="60"/>
        <v>120</v>
      </c>
      <c r="AW65" s="22">
        <f t="shared" si="60"/>
        <v>120</v>
      </c>
      <c r="AX65" s="22">
        <f t="shared" si="60"/>
        <v>120</v>
      </c>
      <c r="AY65" s="22">
        <f t="shared" si="60"/>
        <v>120</v>
      </c>
      <c r="AZ65" s="22">
        <f t="shared" si="60"/>
        <v>120</v>
      </c>
      <c r="BA65" s="22">
        <f>'Levers &amp; variables'!J8</f>
        <v>120</v>
      </c>
      <c r="BB65" s="22">
        <f t="shared" ref="BB65:BJ65" si="61">BA65+(($BK65-$BA65)/10)</f>
        <v>120</v>
      </c>
      <c r="BC65" s="22">
        <f t="shared" si="61"/>
        <v>120</v>
      </c>
      <c r="BD65" s="22">
        <f t="shared" si="61"/>
        <v>120</v>
      </c>
      <c r="BE65" s="22">
        <f t="shared" si="61"/>
        <v>120</v>
      </c>
      <c r="BF65" s="22">
        <f t="shared" si="61"/>
        <v>120</v>
      </c>
      <c r="BG65" s="22">
        <f t="shared" si="61"/>
        <v>120</v>
      </c>
      <c r="BH65" s="22">
        <f t="shared" si="61"/>
        <v>120</v>
      </c>
      <c r="BI65" s="22">
        <f t="shared" si="61"/>
        <v>120</v>
      </c>
      <c r="BJ65" s="22">
        <f t="shared" si="61"/>
        <v>120</v>
      </c>
      <c r="BK65" s="22">
        <f>'Levers &amp; variables'!K8</f>
        <v>120</v>
      </c>
    </row>
  </sheetData>
  <pageMargins left="0.7" right="0.7" top="0.75" bottom="0.75" header="0.3" footer="0.3"/>
  <pageSetup paperSize="9" orientation="portrait" r:id="rId1"/>
  <extLst>
    <ext xmlns:x14="http://schemas.microsoft.com/office/spreadsheetml/2009/9/main" uri="{05C60535-1F16-4fd2-B633-F4F36F0B64E0}">
      <x14:sparklineGroups xmlns:xm="http://schemas.microsoft.com/office/excel/2006/main">
        <x14:sparklineGroup displayEmptyCellsAs="gap" xr2:uid="{00000000-0003-0000-0900-000001000000}">
          <x14:colorSeries rgb="FF376092"/>
          <x14:colorNegative rgb="FFD00000"/>
          <x14:colorAxis rgb="FF000000"/>
          <x14:colorMarkers rgb="FFD00000"/>
          <x14:colorFirst rgb="FFD00000"/>
          <x14:colorLast rgb="FFD00000"/>
          <x14:colorHigh rgb="FFD00000"/>
          <x14:colorLow rgb="FFD00000"/>
          <x14:sparklines>
            <x14:sparkline>
              <xm:f>'Intermediate calculations'!C5:BK5</xm:f>
              <xm:sqref>BM5</xm:sqref>
            </x14:sparkline>
            <x14:sparkline>
              <xm:f>'Intermediate calculations'!C6:BK6</xm:f>
              <xm:sqref>BM6</xm:sqref>
            </x14:sparkline>
            <x14:sparkline>
              <xm:f>'Intermediate calculations'!C7:BK7</xm:f>
              <xm:sqref>BM7</xm:sqref>
            </x14:sparkline>
            <x14:sparkline>
              <xm:f>'Intermediate calculations'!C8:BK8</xm:f>
              <xm:sqref>BM8</xm:sqref>
            </x14:sparkline>
            <x14:sparkline>
              <xm:f>'Intermediate calculations'!C9:BK9</xm:f>
              <xm:sqref>BM9</xm:sqref>
            </x14:sparkline>
            <x14:sparkline>
              <xm:f>'Intermediate calculations'!C10:BK10</xm:f>
              <xm:sqref>BM10</xm:sqref>
            </x14:sparkline>
            <x14:sparkline>
              <xm:f>'Intermediate calculations'!C11:BK11</xm:f>
              <xm:sqref>BM11</xm:sqref>
            </x14:sparkline>
          </x14:sparklines>
        </x14:sparklineGroup>
      </x14:sparklineGroup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0" tint="-0.499984740745262"/>
  </sheetPr>
  <dimension ref="A1:AK70"/>
  <sheetViews>
    <sheetView workbookViewId="0">
      <pane xSplit="2" ySplit="3" topLeftCell="V4" activePane="bottomRight" state="frozen"/>
      <selection pane="topRight" activeCell="C1" sqref="C1"/>
      <selection pane="bottomLeft" activeCell="A4" sqref="A4"/>
      <selection pane="bottomRight" activeCell="Y17" sqref="Y17"/>
    </sheetView>
  </sheetViews>
  <sheetFormatPr defaultRowHeight="15" outlineLevelCol="1" x14ac:dyDescent="0.25"/>
  <cols>
    <col min="1" max="1" width="29.5703125" customWidth="1"/>
    <col min="2" max="2" width="12.85546875" customWidth="1"/>
    <col min="3" max="22" width="12.7109375" customWidth="1" outlineLevel="1"/>
    <col min="23" max="29" width="12.7109375" customWidth="1"/>
    <col min="30" max="34" width="13.85546875" customWidth="1"/>
    <col min="36" max="36" width="12.7109375" bestFit="1" customWidth="1"/>
    <col min="37" max="37" width="11.7109375" bestFit="1" customWidth="1"/>
  </cols>
  <sheetData>
    <row r="1" spans="1:37" ht="18.75" x14ac:dyDescent="0.3">
      <c r="A1" s="1" t="s">
        <v>806</v>
      </c>
    </row>
    <row r="2" spans="1:37" x14ac:dyDescent="0.25">
      <c r="K2">
        <v>1</v>
      </c>
      <c r="L2">
        <v>2</v>
      </c>
      <c r="M2">
        <v>3</v>
      </c>
      <c r="N2">
        <v>4</v>
      </c>
      <c r="O2">
        <v>5</v>
      </c>
      <c r="P2">
        <v>6</v>
      </c>
      <c r="Q2">
        <v>7</v>
      </c>
      <c r="R2">
        <v>8</v>
      </c>
      <c r="S2">
        <v>9</v>
      </c>
      <c r="T2">
        <v>10</v>
      </c>
      <c r="U2">
        <v>11</v>
      </c>
      <c r="V2">
        <v>12</v>
      </c>
      <c r="W2">
        <v>13</v>
      </c>
      <c r="X2">
        <v>14</v>
      </c>
      <c r="Y2">
        <v>15</v>
      </c>
      <c r="Z2">
        <v>16</v>
      </c>
      <c r="AA2">
        <v>17</v>
      </c>
      <c r="AB2">
        <v>18</v>
      </c>
      <c r="AC2">
        <v>19</v>
      </c>
      <c r="AD2">
        <v>20</v>
      </c>
    </row>
    <row r="3" spans="1:37" s="19" customFormat="1" ht="29.25" customHeight="1" x14ac:dyDescent="0.25">
      <c r="A3" s="17" t="s">
        <v>325</v>
      </c>
      <c r="B3" s="17" t="s">
        <v>0</v>
      </c>
      <c r="C3" s="17">
        <v>1990</v>
      </c>
      <c r="D3" s="17">
        <v>1991</v>
      </c>
      <c r="E3" s="17">
        <v>1992</v>
      </c>
      <c r="F3" s="17">
        <v>1993</v>
      </c>
      <c r="G3" s="17">
        <v>1994</v>
      </c>
      <c r="H3" s="17">
        <v>1995</v>
      </c>
      <c r="I3" s="17">
        <v>1996</v>
      </c>
      <c r="J3" s="17">
        <v>1997</v>
      </c>
      <c r="K3" s="17">
        <v>1998</v>
      </c>
      <c r="L3" s="17">
        <v>1999</v>
      </c>
      <c r="M3" s="17">
        <v>2000</v>
      </c>
      <c r="N3" s="17">
        <v>2001</v>
      </c>
      <c r="O3" s="17">
        <v>2002</v>
      </c>
      <c r="P3" s="17">
        <v>2003</v>
      </c>
      <c r="Q3" s="17">
        <v>2004</v>
      </c>
      <c r="R3" s="17">
        <v>2005</v>
      </c>
      <c r="S3" s="17">
        <v>2006</v>
      </c>
      <c r="T3" s="17">
        <v>2007</v>
      </c>
      <c r="U3" s="17">
        <v>2008</v>
      </c>
      <c r="V3" s="17">
        <v>2009</v>
      </c>
      <c r="W3" s="17">
        <v>2010</v>
      </c>
      <c r="X3" s="17">
        <v>2011</v>
      </c>
      <c r="Y3" s="17">
        <v>2012</v>
      </c>
      <c r="Z3" s="17">
        <v>2013</v>
      </c>
      <c r="AA3" s="17">
        <v>2014</v>
      </c>
      <c r="AB3" s="17">
        <v>2015</v>
      </c>
      <c r="AC3" s="17">
        <v>2016</v>
      </c>
      <c r="AD3" s="17">
        <v>2017</v>
      </c>
      <c r="AE3" s="17">
        <v>2020</v>
      </c>
      <c r="AF3" s="17">
        <v>2030</v>
      </c>
      <c r="AG3" s="17">
        <v>2040</v>
      </c>
      <c r="AH3" s="17">
        <v>2050</v>
      </c>
      <c r="AJ3" s="19" t="s">
        <v>447</v>
      </c>
      <c r="AK3" s="19" t="s">
        <v>448</v>
      </c>
    </row>
    <row r="4" spans="1:37" x14ac:dyDescent="0.25">
      <c r="A4" s="23" t="str">
        <f>'Intermediate calculations'!A4</f>
        <v>Wealth (GDP)</v>
      </c>
      <c r="B4" t="str">
        <f>'Intermediate calculations'!B4</f>
        <v>GDP/capita</v>
      </c>
      <c r="C4">
        <f>'Intermediate calculations'!C4</f>
        <v>39.10873026289714</v>
      </c>
      <c r="D4">
        <f>'Intermediate calculations'!D4</f>
        <v>39.301142142580012</v>
      </c>
      <c r="E4">
        <f>'Intermediate calculations'!E4</f>
        <v>39.481945188785296</v>
      </c>
      <c r="F4">
        <f>'Intermediate calculations'!F4</f>
        <v>39.680218056022397</v>
      </c>
      <c r="G4">
        <f>'Intermediate calculations'!G4</f>
        <v>39.933284725012705</v>
      </c>
      <c r="H4">
        <f>'Intermediate calculations'!H4</f>
        <v>40.265989611646312</v>
      </c>
      <c r="I4">
        <f>'Intermediate calculations'!I4</f>
        <v>41.157319289261217</v>
      </c>
      <c r="J4">
        <f>'Intermediate calculations'!J4</f>
        <v>41.49415740152061</v>
      </c>
      <c r="K4">
        <f>'Intermediate calculations'!K4</f>
        <v>41.120000941730311</v>
      </c>
      <c r="L4">
        <f>'Intermediate calculations'!L4</f>
        <v>41.605164287649345</v>
      </c>
      <c r="M4">
        <f>'Intermediate calculations'!M4</f>
        <v>42.828060302401113</v>
      </c>
      <c r="N4">
        <f>'Intermediate calculations'!N4</f>
        <v>43.486390603682111</v>
      </c>
      <c r="O4">
        <f>'Intermediate calculations'!O4</f>
        <v>44.572125773969631</v>
      </c>
      <c r="P4">
        <f>'Intermediate calculations'!P4</f>
        <v>45.342699168448021</v>
      </c>
      <c r="Q4">
        <f>'Intermediate calculations'!Q4</f>
        <v>46.808558619976573</v>
      </c>
      <c r="R4">
        <f>'Intermediate calculations'!R4</f>
        <v>48.688837553912919</v>
      </c>
      <c r="S4">
        <f>'Intermediate calculations'!S4</f>
        <v>50.734320824023349</v>
      </c>
      <c r="T4">
        <f>'Intermediate calculations'!T4</f>
        <v>52.880800409691389</v>
      </c>
      <c r="U4">
        <f>'Intermediate calculations'!U4</f>
        <v>54.14294894462563</v>
      </c>
      <c r="V4">
        <f>'Intermediate calculations'!V4</f>
        <v>52.678051808895106</v>
      </c>
      <c r="W4">
        <f>'Intermediate calculations'!W4</f>
        <v>53.515880269559084</v>
      </c>
      <c r="X4">
        <f>'Intermediate calculations'!X4</f>
        <v>54.514380723142551</v>
      </c>
      <c r="Y4">
        <f>'Intermediate calculations'!Y4</f>
        <v>55.50098056610117</v>
      </c>
      <c r="Z4">
        <f>'Intermediate calculations'!Z4</f>
        <v>55.972853439071798</v>
      </c>
      <c r="AA4">
        <f>'Intermediate calculations'!AA4</f>
        <v>56.089110674766729</v>
      </c>
      <c r="AB4">
        <f>'Intermediate calculations'!AB4</f>
        <v>55.733948080448513</v>
      </c>
      <c r="AC4">
        <f>'Intermediate calculations'!AC4</f>
        <v>55.358189213873167</v>
      </c>
      <c r="AD4">
        <f>'Intermediate calculations'!AD4</f>
        <v>55.179411316523648</v>
      </c>
      <c r="AE4">
        <f>'Intermediate calculations'!AG4</f>
        <v>49.838031421163564</v>
      </c>
      <c r="AF4">
        <f>'Intermediate calculations'!AQ4</f>
        <v>56.570087000011668</v>
      </c>
      <c r="AG4">
        <f>'Intermediate calculations'!BA4</f>
        <v>0</v>
      </c>
      <c r="AH4">
        <f>'Intermediate calculations'!BK4</f>
        <v>0</v>
      </c>
    </row>
    <row r="5" spans="1:37" x14ac:dyDescent="0.25">
      <c r="A5" s="23" t="str">
        <f>'Intermediate calculations'!A6</f>
        <v>Beef consumption</v>
      </c>
      <c r="B5" t="str">
        <f>'Intermediate calculations'!B6</f>
        <v>t/capita</v>
      </c>
      <c r="C5">
        <f>C13/Drivers!D4</f>
        <v>1.8151922844328049E-2</v>
      </c>
      <c r="D5">
        <f>D13/Drivers!E4</f>
        <v>1.8929477093079208E-2</v>
      </c>
      <c r="E5">
        <f>E13/Drivers!F4</f>
        <v>1.9160849435363898E-2</v>
      </c>
      <c r="F5">
        <f>F13/Drivers!G4</f>
        <v>1.8115873466426971E-2</v>
      </c>
      <c r="G5">
        <f>G13/Drivers!H4</f>
        <v>1.6344518185421236E-2</v>
      </c>
      <c r="H5">
        <f>H13/Drivers!I4</f>
        <v>1.4166508067741876E-2</v>
      </c>
      <c r="I5">
        <f>I13/Drivers!J4</f>
        <v>1.3991142399503649E-2</v>
      </c>
      <c r="J5">
        <f>J13/Drivers!K4</f>
        <v>1.3329468330311484E-2</v>
      </c>
      <c r="K5">
        <f>K13/Drivers!L4</f>
        <v>1.2819849522437712E-2</v>
      </c>
      <c r="L5">
        <f>L13/Drivers!M4</f>
        <v>1.2607541028129859E-2</v>
      </c>
      <c r="M5">
        <f>M13/Drivers!N4</f>
        <v>1.4921819008431562E-2</v>
      </c>
      <c r="N5">
        <f>N13/Drivers!O4</f>
        <v>1.21567810458843E-2</v>
      </c>
      <c r="O5">
        <f>O13/Drivers!P4</f>
        <v>1.3044162311588505E-2</v>
      </c>
      <c r="P5">
        <f>P13/Drivers!Q4</f>
        <v>1.3763079313265579E-2</v>
      </c>
      <c r="Q5">
        <f>Q13/Drivers!R4</f>
        <v>1.4273144855926876E-2</v>
      </c>
      <c r="R5">
        <f>R13/Drivers!S4</f>
        <v>1.5100061087370227E-2</v>
      </c>
      <c r="S5">
        <f>S13/Drivers!T4</f>
        <v>1.701400710616301E-2</v>
      </c>
      <c r="T5">
        <f>T13/Drivers!U4</f>
        <v>1.7610021254379524E-2</v>
      </c>
      <c r="U5">
        <f>U13/Drivers!V4</f>
        <v>1.5407958031534726E-2</v>
      </c>
      <c r="V5">
        <f>V13/Drivers!W4</f>
        <v>1.553182299165852E-2</v>
      </c>
      <c r="W5">
        <f>W13/Drivers!X4</f>
        <v>1.7181807184041598E-2</v>
      </c>
      <c r="X5">
        <f>X13/Drivers!Y4</f>
        <v>1.6902490054067201E-2</v>
      </c>
      <c r="Y5">
        <f>Y13/Drivers!Z4</f>
        <v>1.6531158030732743E-2</v>
      </c>
      <c r="Z5">
        <f>Z13/Drivers!AA4</f>
        <v>1.7136060892304256E-2</v>
      </c>
      <c r="AA5">
        <f>AA13/Drivers!AB4</f>
        <v>1.8196196501834357E-2</v>
      </c>
      <c r="AB5">
        <f>AB13/Drivers!AC4</f>
        <v>1.8684763785133233E-2</v>
      </c>
      <c r="AC5">
        <f>AC13/Drivers!AD4</f>
        <v>1.9273663203246076E-2</v>
      </c>
      <c r="AD5">
        <f>AD13/Drivers!AE4</f>
        <v>1.8134548357121919E-2</v>
      </c>
      <c r="AJ5" s="23">
        <f>SLOPE(M5:AD5,$M$4:$AD$4)</f>
        <v>3.6388477385145652E-4</v>
      </c>
      <c r="AK5" s="23">
        <f>INTERCEPT(M5:AD5,$M$4:$AD$4)</f>
        <v>-2.5208894682483794E-3</v>
      </c>
    </row>
    <row r="6" spans="1:37" x14ac:dyDescent="0.25">
      <c r="A6" s="23" t="str">
        <f>'Intermediate calculations'!A14</f>
        <v>Milk consumption</v>
      </c>
      <c r="B6" t="str">
        <f>'Intermediate calculations'!B14</f>
        <v>t/capita</v>
      </c>
      <c r="C6">
        <f>C16/Drivers!D4</f>
        <v>3.1711517903189872E-2</v>
      </c>
      <c r="D6">
        <f>D16/Drivers!E4</f>
        <v>3.0568189199328188E-2</v>
      </c>
      <c r="E6">
        <f>E16/Drivers!F4</f>
        <v>3.035740517829584E-2</v>
      </c>
      <c r="F6">
        <f>F16/Drivers!G4</f>
        <v>2.7552275522755229E-2</v>
      </c>
      <c r="G6">
        <f>G16/Drivers!H4</f>
        <v>2.6821773432486134E-2</v>
      </c>
      <c r="H6">
        <f>H16/Drivers!I4</f>
        <v>3.3714841176550943E-2</v>
      </c>
      <c r="I6">
        <f>I16/Drivers!J4</f>
        <v>3.5202755918886504E-2</v>
      </c>
      <c r="J6">
        <f>J16/Drivers!K4</f>
        <v>3.654554057053986E-2</v>
      </c>
      <c r="K6">
        <f>K16/Drivers!L4</f>
        <v>3.6811282200142577E-2</v>
      </c>
      <c r="L6">
        <f>L16/Drivers!M4</f>
        <v>3.6221307497632478E-2</v>
      </c>
      <c r="M6">
        <f>M16/Drivers!N4</f>
        <v>2.855382355711792E-2</v>
      </c>
      <c r="N6">
        <f>N16/Drivers!O4</f>
        <v>3.4561245753190924E-2</v>
      </c>
      <c r="O6">
        <f>O16/Drivers!P4</f>
        <v>3.4907218411908775E-2</v>
      </c>
      <c r="P6">
        <f>P16/Drivers!Q4</f>
        <v>3.2706042287200317E-2</v>
      </c>
      <c r="Q6">
        <f>Q16/Drivers!R4</f>
        <v>3.4382420052943855E-2</v>
      </c>
      <c r="R6">
        <f>R16/Drivers!S4</f>
        <v>3.8324498057156799E-2</v>
      </c>
      <c r="S6">
        <f>S16/Drivers!T4</f>
        <v>3.4997297041404404E-2</v>
      </c>
      <c r="T6">
        <f>T16/Drivers!U4</f>
        <v>3.6624772527894527E-2</v>
      </c>
      <c r="U6">
        <f>U16/Drivers!V4</f>
        <v>3.6541167743626687E-2</v>
      </c>
      <c r="V6">
        <f>V16/Drivers!W4</f>
        <v>3.5422065700364075E-2</v>
      </c>
      <c r="W6">
        <f>W16/Drivers!X4</f>
        <v>3.6472290704306486E-2</v>
      </c>
      <c r="X6">
        <f>X16/Drivers!Y4</f>
        <v>3.5612527394917472E-2</v>
      </c>
      <c r="Y6">
        <f>Y16/Drivers!Z4</f>
        <v>3.6616992817206866E-2</v>
      </c>
      <c r="Z6">
        <f>Z16/Drivers!AA4</f>
        <v>3.6362344596746726E-2</v>
      </c>
      <c r="AA6">
        <f>AA16/Drivers!AB4</f>
        <v>3.6652073687690814E-2</v>
      </c>
      <c r="AB6">
        <f>AB16/Drivers!AC4</f>
        <v>3.8739378287651602E-2</v>
      </c>
      <c r="AC6">
        <f>AC16/Drivers!AD4</f>
        <v>3.8223701464646598E-2</v>
      </c>
      <c r="AD6">
        <f>AD16/Drivers!AE4</f>
        <v>3.9046778755285928E-2</v>
      </c>
      <c r="AJ6" s="23">
        <f>SLOPE(M6:AD6,$M$4:$AD$4)</f>
        <v>3.7966937599927611E-4</v>
      </c>
      <c r="AK6" s="23">
        <f>INTERCEPT(M6:AD6,$M$4:$AD$4)</f>
        <v>1.6328982009704097E-2</v>
      </c>
    </row>
    <row r="7" spans="1:37" x14ac:dyDescent="0.25">
      <c r="A7" s="23" t="str">
        <f>'Intermediate calculations'!A20</f>
        <v>Lamb consumption</v>
      </c>
      <c r="B7" t="str">
        <f>'Intermediate calculations'!B20</f>
        <v>t/capita</v>
      </c>
      <c r="C7">
        <f>C22/Drivers!D4</f>
        <v>4.6999349927469751E-3</v>
      </c>
      <c r="D7">
        <f>D22/Drivers!E4</f>
        <v>5.1337590256356549E-3</v>
      </c>
      <c r="E7">
        <f>E22/Drivers!F4</f>
        <v>4.8370155133322145E-3</v>
      </c>
      <c r="F7">
        <f>F22/Drivers!G4</f>
        <v>4.4825432869713315E-3</v>
      </c>
      <c r="G7">
        <f>G22/Drivers!H4</f>
        <v>3.615022845716697E-3</v>
      </c>
      <c r="H7">
        <f>H22/Drivers!I4</f>
        <v>2.6769149486779026E-3</v>
      </c>
      <c r="I7">
        <f>I22/Drivers!J4</f>
        <v>3.1822155014234865E-3</v>
      </c>
      <c r="J7">
        <f>J22/Drivers!K4</f>
        <v>3.1050915056369576E-3</v>
      </c>
      <c r="K7">
        <f>K22/Drivers!L4</f>
        <v>3.1202598034076076E-3</v>
      </c>
      <c r="L7">
        <f>L22/Drivers!M4</f>
        <v>3.2648794977318042E-3</v>
      </c>
      <c r="M7">
        <f>M22/Drivers!N4</f>
        <v>3.4073339917613768E-3</v>
      </c>
      <c r="N7">
        <f>N22/Drivers!O4</f>
        <v>3.2796976446170891E-3</v>
      </c>
      <c r="O7">
        <f>O22/Drivers!P4</f>
        <v>2.9737223183428679E-3</v>
      </c>
      <c r="P7">
        <f>P22/Drivers!Q4</f>
        <v>2.9375505520257668E-3</v>
      </c>
      <c r="Q7">
        <f>Q22/Drivers!R4</f>
        <v>3.0411313973028199E-3</v>
      </c>
      <c r="R7">
        <f>R22/Drivers!S4</f>
        <v>3.2982042142704099E-3</v>
      </c>
      <c r="S7">
        <f>S22/Drivers!T4</f>
        <v>3.4118755583558893E-3</v>
      </c>
      <c r="T7">
        <f>T22/Drivers!U4</f>
        <v>3.8847910471221979E-3</v>
      </c>
      <c r="U7">
        <f>U22/Drivers!V4</f>
        <v>3.5689411002378874E-3</v>
      </c>
      <c r="V7">
        <f>V22/Drivers!W4</f>
        <v>3.3520209823834457E-3</v>
      </c>
      <c r="W7">
        <f>W22/Drivers!X4</f>
        <v>3.1934731625248227E-3</v>
      </c>
      <c r="X7">
        <f>X22/Drivers!Y4</f>
        <v>2.8016982945137554E-3</v>
      </c>
      <c r="Y7">
        <f>Y22/Drivers!Z4</f>
        <v>2.8204257828618939E-3</v>
      </c>
      <c r="Z7">
        <f>Z22/Drivers!AA4</f>
        <v>3.0268686020098749E-3</v>
      </c>
      <c r="AA7">
        <f>AA22/Drivers!AB4</f>
        <v>3.2779121771704055E-3</v>
      </c>
      <c r="AB7">
        <f>AB22/Drivers!AC4</f>
        <v>3.313577561973481E-3</v>
      </c>
      <c r="AC7">
        <f>AC22/Drivers!AD4</f>
        <v>3.2279790032750002E-3</v>
      </c>
      <c r="AD7">
        <f>AD22/Drivers!AE4</f>
        <v>3.0933116436675087E-3</v>
      </c>
      <c r="AJ7" s="23">
        <f>SLOPE(M7:AD7,$M$4:$AD$4)</f>
        <v>6.5928024214944921E-7</v>
      </c>
      <c r="AK7" s="23">
        <f>INTERCEPT(M7:AD7,$M$4:$AD$4)</f>
        <v>3.1834067738125017E-3</v>
      </c>
    </row>
    <row r="8" spans="1:37" x14ac:dyDescent="0.25">
      <c r="A8" s="23" t="str">
        <f>'Intermediate calculations'!A23</f>
        <v>Chevon consumption</v>
      </c>
      <c r="B8" t="str">
        <f>'Intermediate calculations'!B23</f>
        <v>t/capita</v>
      </c>
      <c r="C8">
        <f>C20/Drivers!D4</f>
        <v>2.9999585060087078E-4</v>
      </c>
      <c r="D8">
        <f>D20/Drivers!E4</f>
        <v>3.2768674631716946E-4</v>
      </c>
      <c r="E8">
        <f>E20/Drivers!F4</f>
        <v>3.0874567106375841E-4</v>
      </c>
      <c r="F8">
        <f>F20/Drivers!G4</f>
        <v>2.8611978427476583E-4</v>
      </c>
      <c r="G8">
        <f>G20/Drivers!H4</f>
        <v>2.3074613908829981E-4</v>
      </c>
      <c r="H8">
        <f>H20/Drivers!I4</f>
        <v>1.7086691161773848E-4</v>
      </c>
      <c r="I8">
        <f>I20/Drivers!J4</f>
        <v>2.0312013838873316E-4</v>
      </c>
      <c r="J8">
        <f>J20/Drivers!K4</f>
        <v>1.9819733014703986E-4</v>
      </c>
      <c r="K8">
        <f>K20/Drivers!L4</f>
        <v>1.9916551936644304E-4</v>
      </c>
      <c r="L8">
        <f>L20/Drivers!M4</f>
        <v>2.0839656368500879E-4</v>
      </c>
      <c r="M8">
        <f>M20/Drivers!N4</f>
        <v>2.1748940372944957E-4</v>
      </c>
      <c r="N8">
        <f>N20/Drivers!O4</f>
        <v>2.093424028478993E-4</v>
      </c>
      <c r="O8">
        <f>O20/Drivers!P4</f>
        <v>1.8981206287294901E-4</v>
      </c>
      <c r="P8">
        <f>P20/Drivers!Q4</f>
        <v>1.8750322672504894E-4</v>
      </c>
      <c r="Q8">
        <f>Q20/Drivers!R4</f>
        <v>1.941147700406055E-4</v>
      </c>
      <c r="R8">
        <f>R20/Drivers!S4</f>
        <v>2.1052367325130275E-4</v>
      </c>
      <c r="S8">
        <f>S20/Drivers!T4</f>
        <v>2.1777929095888654E-4</v>
      </c>
      <c r="T8">
        <f>T20/Drivers!U4</f>
        <v>2.4796538598652329E-4</v>
      </c>
      <c r="U8">
        <f>U20/Drivers!V4</f>
        <v>2.2780475107901408E-4</v>
      </c>
      <c r="V8">
        <f>V20/Drivers!W4</f>
        <v>2.1395878610958166E-4</v>
      </c>
      <c r="W8">
        <f>W20/Drivers!X4</f>
        <v>2.0383871250158445E-4</v>
      </c>
      <c r="X8">
        <f>X20/Drivers!Y4</f>
        <v>1.788318060327929E-4</v>
      </c>
      <c r="Y8">
        <f>Y20/Drivers!Z4</f>
        <v>1.800271776294826E-4</v>
      </c>
      <c r="Z8">
        <f>Z20/Drivers!AA4</f>
        <v>1.9320437885169415E-4</v>
      </c>
      <c r="AA8">
        <f>AA20/Drivers!AB4</f>
        <v>2.0922843684066417E-4</v>
      </c>
      <c r="AB8">
        <f>AB20/Drivers!AC4</f>
        <v>2.1150495076426473E-4</v>
      </c>
      <c r="AC8">
        <f>AC20/Drivers!AD4</f>
        <v>2.0604121297500001E-4</v>
      </c>
      <c r="AD8">
        <f>AD20/Drivers!AE4</f>
        <v>1.9744542406388354E-4</v>
      </c>
      <c r="AJ8" s="23">
        <f>SLOPE(M8:AD8,$M$4:$AD$4)</f>
        <v>4.2081717584008159E-8</v>
      </c>
      <c r="AK8" s="23">
        <f>INTERCEPT(M8:AD8,$M$4:$AD$4)</f>
        <v>2.0319617705186183E-4</v>
      </c>
    </row>
    <row r="9" spans="1:37" x14ac:dyDescent="0.25">
      <c r="A9" s="23" t="str">
        <f>'Intermediate calculations'!A31</f>
        <v>Pork consumption</v>
      </c>
      <c r="B9" t="str">
        <f>'Intermediate calculations'!B31</f>
        <v>t/capita</v>
      </c>
      <c r="C9">
        <f>C25/Drivers!D4</f>
        <v>3.3966921490134823E-3</v>
      </c>
      <c r="D9">
        <f>D25/Drivers!E4</f>
        <v>3.446543448319744E-3</v>
      </c>
      <c r="E9">
        <f>E25/Drivers!F4</f>
        <v>2.8961067972479849E-3</v>
      </c>
      <c r="F9">
        <f>F25/Drivers!G4</f>
        <v>3.2548017787870187E-3</v>
      </c>
      <c r="G9">
        <f>G25/Drivers!H4</f>
        <v>3.0075885650398052E-3</v>
      </c>
      <c r="H9">
        <f>H25/Drivers!I4</f>
        <v>2.9925843277683012E-3</v>
      </c>
      <c r="I9">
        <f>I25/Drivers!J4</f>
        <v>3.1012515301776277E-3</v>
      </c>
      <c r="J9">
        <f>J25/Drivers!K4</f>
        <v>3.0939254588681106E-3</v>
      </c>
      <c r="K9">
        <f>K25/Drivers!L4</f>
        <v>2.9760364962801832E-3</v>
      </c>
      <c r="L9">
        <f>L25/Drivers!M4</f>
        <v>2.8417713229773925E-3</v>
      </c>
      <c r="M9">
        <f>M25/Drivers!N4</f>
        <v>2.9132016245969217E-3</v>
      </c>
      <c r="N9">
        <f>N25/Drivers!O4</f>
        <v>2.5235195311853692E-3</v>
      </c>
      <c r="O9">
        <f>O25/Drivers!P4</f>
        <v>2.665169375955791E-3</v>
      </c>
      <c r="P9">
        <f>P25/Drivers!Q4</f>
        <v>3.125053778750816E-3</v>
      </c>
      <c r="Q9">
        <f>Q25/Drivers!R4</f>
        <v>3.6792995628611501E-3</v>
      </c>
      <c r="R9">
        <f>R25/Drivers!S4</f>
        <v>3.801121878148522E-3</v>
      </c>
      <c r="S9">
        <f>S25/Drivers!T4</f>
        <v>3.9802465108963164E-3</v>
      </c>
      <c r="T9">
        <f>T25/Drivers!U4</f>
        <v>4.1938316513320025E-3</v>
      </c>
      <c r="U9">
        <f>U25/Drivers!V4</f>
        <v>3.9775432728081823E-3</v>
      </c>
      <c r="V9">
        <f>V25/Drivers!W4</f>
        <v>3.9423887440561802E-3</v>
      </c>
      <c r="W9">
        <f>W25/Drivers!X4</f>
        <v>4.1978278915556179E-3</v>
      </c>
      <c r="X9">
        <f>X25/Drivers!Y4</f>
        <v>4.4419513111371139E-3</v>
      </c>
      <c r="Y9">
        <f>Y25/Drivers!Z4</f>
        <v>4.5293461887672372E-3</v>
      </c>
      <c r="Z9">
        <f>Z25/Drivers!AA4</f>
        <v>4.6135548556203764E-3</v>
      </c>
      <c r="AA9">
        <f>AA25/Drivers!AB4</f>
        <v>4.3774743878011299E-3</v>
      </c>
      <c r="AB9">
        <f>AB25/Drivers!AC4</f>
        <v>4.6392277628776553E-3</v>
      </c>
      <c r="AC9">
        <f>AC25/Drivers!AD4</f>
        <v>4.7285199836321996E-3</v>
      </c>
      <c r="AD9">
        <f>AD25/Drivers!AE4</f>
        <v>4.4938295441063099E-3</v>
      </c>
      <c r="AJ9" s="23">
        <f>SLOPE(R9:AD9,$R$4:$AD$4)</f>
        <v>1.1659204709538937E-4</v>
      </c>
      <c r="AK9" s="23">
        <f>INTERCEPT(R9:AD9,$R$4:$AD$4)</f>
        <v>-1.9856124419143483E-3</v>
      </c>
    </row>
    <row r="10" spans="1:37" x14ac:dyDescent="0.25">
      <c r="A10" s="23" t="str">
        <f>'Intermediate calculations'!A36</f>
        <v>Egg consumption</v>
      </c>
      <c r="B10" t="str">
        <f>'Intermediate calculations'!B36</f>
        <v>t/capita</v>
      </c>
      <c r="C10">
        <f>C28/Drivers!D4</f>
        <v>5.6792692731505428E-3</v>
      </c>
      <c r="D10">
        <f>D28/Drivers!E4</f>
        <v>5.6735407533878863E-3</v>
      </c>
      <c r="E10">
        <f>E28/Drivers!F4</f>
        <v>5.7663554980919695E-3</v>
      </c>
      <c r="F10">
        <f>F28/Drivers!G4</f>
        <v>5.5003626959346519E-3</v>
      </c>
      <c r="G10">
        <f>G28/Drivers!H4</f>
        <v>5.7440011119202841E-3</v>
      </c>
      <c r="H10">
        <f>H28/Drivers!I4</f>
        <v>6.5643785254272408E-3</v>
      </c>
      <c r="I10">
        <f>I28/Drivers!J4</f>
        <v>6.2261767361581379E-3</v>
      </c>
      <c r="J10">
        <f>J28/Drivers!K4</f>
        <v>6.8159410484838825E-3</v>
      </c>
      <c r="K10">
        <f>K28/Drivers!L4</f>
        <v>6.9135617067431947E-3</v>
      </c>
      <c r="L10">
        <f>L28/Drivers!M4</f>
        <v>6.7435684569066689E-3</v>
      </c>
      <c r="M10">
        <f>M28/Drivers!N4</f>
        <v>6.8938359055347002E-3</v>
      </c>
      <c r="N10">
        <f>N28/Drivers!O4</f>
        <v>6.7586436139573363E-3</v>
      </c>
      <c r="O10">
        <f>O28/Drivers!P4</f>
        <v>6.7820976802777447E-3</v>
      </c>
      <c r="P10">
        <f>P28/Drivers!Q4</f>
        <v>6.5283657706780738E-3</v>
      </c>
      <c r="Q10">
        <f>Q28/Drivers!R4</f>
        <v>6.9568365297776923E-3</v>
      </c>
      <c r="R10">
        <f>R28/Drivers!S4</f>
        <v>7.456046760983639E-3</v>
      </c>
      <c r="S10">
        <f>S28/Drivers!T4</f>
        <v>8.0842312552920001E-3</v>
      </c>
      <c r="T10">
        <f>T28/Drivers!U4</f>
        <v>8.4690969269617146E-3</v>
      </c>
      <c r="U10">
        <f>U28/Drivers!V4</f>
        <v>8.1157953647197252E-3</v>
      </c>
      <c r="V10">
        <f>V28/Drivers!W4</f>
        <v>7.5083685125492076E-3</v>
      </c>
      <c r="W10">
        <f>W28/Drivers!X4</f>
        <v>7.5365654239091563E-3</v>
      </c>
      <c r="X10">
        <f>X28/Drivers!Y4</f>
        <v>8.191650469889223E-3</v>
      </c>
      <c r="Y10">
        <f>Y28/Drivers!Z4</f>
        <v>8.5426909129913721E-3</v>
      </c>
      <c r="Z10">
        <f>Z28/Drivers!AA4</f>
        <v>8.1537520509535628E-3</v>
      </c>
      <c r="AA10">
        <f>AA28/Drivers!AB4</f>
        <v>7.7533232800884424E-3</v>
      </c>
      <c r="AB10">
        <f>AB28/Drivers!AC4</f>
        <v>7.9999281895291839E-3</v>
      </c>
      <c r="AC10">
        <f>AC28/Drivers!AD4</f>
        <v>7.9288110752159698E-3</v>
      </c>
      <c r="AD10">
        <f>AD28/Drivers!AE4</f>
        <v>7.2892038274480304E-3</v>
      </c>
      <c r="AJ10" s="23">
        <f>SLOPE(M10:AD10,$M$4:$AD$4)</f>
        <v>1.0750710363998373E-4</v>
      </c>
      <c r="AK10" s="23">
        <f>INTERCEPT(M10:AD10,$M$4:$AD$4)</f>
        <v>2.0894287861227242E-3</v>
      </c>
    </row>
    <row r="11" spans="1:37" x14ac:dyDescent="0.25">
      <c r="A11" s="23" t="str">
        <f>'Intermediate calculations'!A41</f>
        <v>Chicken consumption</v>
      </c>
      <c r="B11" t="str">
        <f>'Intermediate calculations'!B41</f>
        <v>t/capita</v>
      </c>
      <c r="C11">
        <f>C31/Drivers!D4</f>
        <v>1.3043297852211772E-2</v>
      </c>
      <c r="D11">
        <f>D31/Drivers!E4</f>
        <v>1.2274997050554164E-2</v>
      </c>
      <c r="E11">
        <f>E31/Drivers!F4</f>
        <v>1.1868866249435938E-2</v>
      </c>
      <c r="F11">
        <f>F31/Drivers!G4</f>
        <v>1.1379190714984073E-2</v>
      </c>
      <c r="G11">
        <f>G31/Drivers!H4</f>
        <v>1.200570189487201E-2</v>
      </c>
      <c r="H11">
        <f>H31/Drivers!I4</f>
        <v>1.2983954583381823E-2</v>
      </c>
      <c r="I11">
        <f>I31/Drivers!J4</f>
        <v>1.436992121234977E-2</v>
      </c>
      <c r="J11">
        <f>J31/Drivers!K4</f>
        <v>1.6120980022523313E-2</v>
      </c>
      <c r="K11">
        <f>K31/Drivers!L4</f>
        <v>1.657423402543733E-2</v>
      </c>
      <c r="L11">
        <f>L31/Drivers!M4</f>
        <v>1.6870198012595948E-2</v>
      </c>
      <c r="M11">
        <f>M31/Drivers!N4</f>
        <v>1.7701591550985878E-2</v>
      </c>
      <c r="N11">
        <f>N31/Drivers!O4</f>
        <v>1.8059622384048336E-2</v>
      </c>
      <c r="O11">
        <f>O31/Drivers!P4</f>
        <v>1.8244492801258342E-2</v>
      </c>
      <c r="P11">
        <f>P31/Drivers!Q4</f>
        <v>1.896436745187139E-2</v>
      </c>
      <c r="Q11">
        <f>Q31/Drivers!R4</f>
        <v>2.1610598581862619E-2</v>
      </c>
      <c r="R11">
        <f>R31/Drivers!S4</f>
        <v>2.6586967861994881E-2</v>
      </c>
      <c r="S11">
        <f>S31/Drivers!T4</f>
        <v>3.0336490246261564E-2</v>
      </c>
      <c r="T11">
        <f>T31/Drivers!U4</f>
        <v>3.1779471882180853E-2</v>
      </c>
      <c r="U11">
        <f>U31/Drivers!V4</f>
        <v>3.2443092856490982E-2</v>
      </c>
      <c r="V11">
        <f>V31/Drivers!W4</f>
        <v>3.2529659888141951E-2</v>
      </c>
      <c r="W11">
        <f>W31/Drivers!X4</f>
        <v>3.2645433649679041E-2</v>
      </c>
      <c r="X11">
        <f>X31/Drivers!Y4</f>
        <v>3.3766521655224126E-2</v>
      </c>
      <c r="Y11">
        <f>Y31/Drivers!Z4</f>
        <v>3.4610320455094795E-2</v>
      </c>
      <c r="Z11">
        <f>Z31/Drivers!AA4</f>
        <v>3.4196798440026953E-2</v>
      </c>
      <c r="AA11">
        <f>AA31/Drivers!AB4</f>
        <v>3.2997995491094112E-2</v>
      </c>
      <c r="AB11">
        <f>AB31/Drivers!AC4</f>
        <v>3.3278240094342867E-2</v>
      </c>
      <c r="AC11">
        <f>AC31/Drivers!AD4</f>
        <v>3.4825639575268325E-2</v>
      </c>
      <c r="AD11">
        <f>AD31/Drivers!AE4</f>
        <v>3.36329526115988E-2</v>
      </c>
      <c r="AJ11" s="23">
        <f>SLOPE(M11:AD11,$M$4:$AD$4)</f>
        <v>1.3664554791364674E-3</v>
      </c>
      <c r="AK11" s="23">
        <f>INTERCEPT(M11:AD11,$M$4:$AD$4)</f>
        <v>-4.1357347153374149E-2</v>
      </c>
    </row>
    <row r="12" spans="1:37" x14ac:dyDescent="0.25">
      <c r="A12" s="23" t="str">
        <f>'Intermediate calculations'!A48</f>
        <v>Sorghum consumption (human)</v>
      </c>
      <c r="B12" t="str">
        <f>'Intermediate calculations'!B48</f>
        <v>t/capita</v>
      </c>
      <c r="C12">
        <f>C43/Drivers!D4</f>
        <v>5.2716662152689246E-3</v>
      </c>
      <c r="D12">
        <f>D43/Drivers!E4</f>
        <v>5.169815172479616E-3</v>
      </c>
      <c r="E12">
        <f>E43/Drivers!F4</f>
        <v>5.1457611843959729E-3</v>
      </c>
      <c r="F12">
        <f>F43/Drivers!G4</f>
        <v>5.0462043081969284E-3</v>
      </c>
      <c r="G12">
        <f>G43/Drivers!H4</f>
        <v>4.5360352128469197E-3</v>
      </c>
      <c r="H12">
        <f>H43/Drivers!I4</f>
        <v>4.4164752579161221E-3</v>
      </c>
      <c r="I12">
        <f>I43/Drivers!J4</f>
        <v>4.2849353203217606E-3</v>
      </c>
      <c r="J12">
        <f>J43/Drivers!K4</f>
        <v>4.164004940882645E-3</v>
      </c>
      <c r="K12">
        <f>K43/Drivers!L4</f>
        <v>4.0519881526276339E-3</v>
      </c>
      <c r="L12">
        <f>L43/Drivers!M4</f>
        <v>3.9581814855756533E-3</v>
      </c>
      <c r="M12">
        <f>M43/Drivers!N4</f>
        <v>3.8694433792356062E-3</v>
      </c>
      <c r="N12">
        <f>N43/Drivers!O4</f>
        <v>4.0815185460911186E-3</v>
      </c>
      <c r="O12">
        <f>O43/Drivers!P4</f>
        <v>4.1169283043219537E-3</v>
      </c>
      <c r="P12">
        <f>P43/Drivers!Q4</f>
        <v>3.7243791609769998E-3</v>
      </c>
      <c r="Q12">
        <f>Q43/Drivers!R4</f>
        <v>3.5735725639283586E-3</v>
      </c>
      <c r="R12">
        <f>R43/Drivers!S4</f>
        <v>3.7384660230142057E-3</v>
      </c>
      <c r="S12">
        <f>S43/Drivers!T4</f>
        <v>3.9390004330631945E-3</v>
      </c>
      <c r="T12">
        <f>T43/Drivers!U4</f>
        <v>3.7052299055457499E-3</v>
      </c>
      <c r="U12">
        <f>U43/Drivers!V4</f>
        <v>3.7163914417652206E-3</v>
      </c>
      <c r="V12">
        <f>V43/Drivers!W4</f>
        <v>3.5065467723514772E-3</v>
      </c>
      <c r="W12">
        <f>W43/Drivers!X4</f>
        <v>3.5925596839359707E-3</v>
      </c>
      <c r="X12">
        <f>X43/Drivers!Y4</f>
        <v>3.499719214835302E-3</v>
      </c>
      <c r="Y12">
        <f>Y43/Drivers!Z4</f>
        <v>3.4973432596810314E-3</v>
      </c>
      <c r="Z12">
        <f>Z43/Drivers!AA4</f>
        <v>2.9941029471168973E-3</v>
      </c>
      <c r="AA12">
        <f>AA43/Drivers!AB4</f>
        <v>3.0605223474033326E-3</v>
      </c>
      <c r="AB12">
        <f>AB43/Drivers!AC4</f>
        <v>2.794495463465674E-3</v>
      </c>
      <c r="AC12">
        <f>AC43/Drivers!AD4</f>
        <v>2.6788953519437174E-3</v>
      </c>
      <c r="AD12">
        <f>AD43/Drivers!AE4</f>
        <v>2.8484510102406136E-3</v>
      </c>
      <c r="AJ12" s="23">
        <f>SLOPE(R12:AB12,$R$4:$AB$4)</f>
        <v>-1.1399677713403423E-4</v>
      </c>
      <c r="AK12" s="23">
        <f>INTERCEPT(R12:AB12,$R$4:$AB$4)</f>
        <v>9.5776377690637154E-3</v>
      </c>
    </row>
    <row r="13" spans="1:37" x14ac:dyDescent="0.25">
      <c r="A13" s="23" t="str">
        <f>'Intermediate calculations'!A5</f>
        <v>Beef consumption</v>
      </c>
      <c r="B13" t="str">
        <f>'Intermediate calculations'!B5</f>
        <v>t</v>
      </c>
      <c r="C13">
        <v>668000</v>
      </c>
      <c r="D13">
        <v>714000</v>
      </c>
      <c r="E13">
        <v>741000</v>
      </c>
      <c r="F13">
        <v>718000</v>
      </c>
      <c r="G13">
        <v>663000</v>
      </c>
      <c r="H13">
        <v>587000</v>
      </c>
      <c r="I13">
        <v>591000</v>
      </c>
      <c r="J13">
        <v>573000</v>
      </c>
      <c r="K13">
        <v>560000</v>
      </c>
      <c r="L13">
        <v>559000</v>
      </c>
      <c r="M13">
        <v>671000</v>
      </c>
      <c r="N13">
        <v>554000</v>
      </c>
      <c r="O13">
        <v>602000</v>
      </c>
      <c r="P13">
        <v>643000</v>
      </c>
      <c r="Q13">
        <v>675000</v>
      </c>
      <c r="R13">
        <v>723000</v>
      </c>
      <c r="S13">
        <v>825000</v>
      </c>
      <c r="T13">
        <v>865000</v>
      </c>
      <c r="U13">
        <v>767000</v>
      </c>
      <c r="V13">
        <v>784000</v>
      </c>
      <c r="W13">
        <v>880000</v>
      </c>
      <c r="X13">
        <v>879000</v>
      </c>
      <c r="Y13">
        <v>865000</v>
      </c>
      <c r="Z13">
        <v>910000</v>
      </c>
      <c r="AA13">
        <v>981000</v>
      </c>
      <c r="AB13">
        <v>1023000</v>
      </c>
      <c r="AC13">
        <v>1072000</v>
      </c>
      <c r="AD13">
        <v>1025000</v>
      </c>
      <c r="AF13" s="85"/>
      <c r="AG13" s="85"/>
      <c r="AH13" s="85"/>
      <c r="AJ13" s="23"/>
      <c r="AK13" s="23"/>
    </row>
    <row r="14" spans="1:37" x14ac:dyDescent="0.25">
      <c r="A14" s="23" t="str">
        <f>'Intermediate calculations'!A8</f>
        <v>Beef production</v>
      </c>
      <c r="C14">
        <v>610300</v>
      </c>
      <c r="D14">
        <v>664900</v>
      </c>
      <c r="E14">
        <v>703500</v>
      </c>
      <c r="F14">
        <v>694000</v>
      </c>
      <c r="G14">
        <v>611200</v>
      </c>
      <c r="H14">
        <v>507500</v>
      </c>
      <c r="I14">
        <v>507000</v>
      </c>
      <c r="J14">
        <v>502400</v>
      </c>
      <c r="K14">
        <v>496300</v>
      </c>
      <c r="L14">
        <v>511700</v>
      </c>
      <c r="M14">
        <v>624600</v>
      </c>
      <c r="N14">
        <v>524300</v>
      </c>
      <c r="O14">
        <v>573400</v>
      </c>
      <c r="P14">
        <v>609700</v>
      </c>
      <c r="Q14">
        <v>631700</v>
      </c>
      <c r="R14">
        <v>672300</v>
      </c>
      <c r="S14">
        <v>808100</v>
      </c>
      <c r="T14">
        <v>861400</v>
      </c>
      <c r="U14">
        <v>770200</v>
      </c>
      <c r="V14">
        <v>796700</v>
      </c>
      <c r="W14">
        <v>885800</v>
      </c>
      <c r="X14">
        <v>869500</v>
      </c>
      <c r="Y14">
        <v>852100</v>
      </c>
      <c r="Z14">
        <v>904500</v>
      </c>
      <c r="AA14">
        <v>982600</v>
      </c>
      <c r="AB14">
        <v>1037900</v>
      </c>
      <c r="AC14">
        <v>1090900</v>
      </c>
      <c r="AD14">
        <v>1046300</v>
      </c>
      <c r="AJ14" s="23">
        <f>SLOPE(W14:AD14,W13:AD13)</f>
        <v>1.1425667845690142</v>
      </c>
      <c r="AK14" s="23">
        <f>INTERCEPT(W14:AD14,W13:AD13)</f>
        <v>-131737.17502305284</v>
      </c>
    </row>
    <row r="15" spans="1:37" x14ac:dyDescent="0.25">
      <c r="A15" s="23" t="s">
        <v>847</v>
      </c>
      <c r="B15" t="s">
        <v>815</v>
      </c>
      <c r="C15">
        <f>SUM(C54:C55)/'Intermediate calculations'!C10</f>
        <v>53.402776152243625</v>
      </c>
      <c r="D15">
        <f>SUM(D54:D55)/'Intermediate calculations'!D10</f>
        <v>48.956276991169453</v>
      </c>
      <c r="E15">
        <f>SUM(E54:E55)/'Intermediate calculations'!E10</f>
        <v>47.194598436389484</v>
      </c>
      <c r="F15">
        <f>SUM(F54:F55)/'Intermediate calculations'!F10</f>
        <v>45.863112391930834</v>
      </c>
      <c r="G15">
        <f>SUM(G54:G55)/'Intermediate calculations'!G10</f>
        <v>49.897391548242332</v>
      </c>
      <c r="H15">
        <f>SUM(H54:H55)/'Intermediate calculations'!H10</f>
        <v>60.053089373680507</v>
      </c>
      <c r="I15">
        <f>SUM(I54:I55)/'Intermediate calculations'!I10</f>
        <v>62.291011552550017</v>
      </c>
      <c r="J15">
        <f>SUM(J54:J55)/'Intermediate calculations'!J10</f>
        <v>65.440741583257505</v>
      </c>
      <c r="K15">
        <f>SUM(K54:K55)/'Intermediate calculations'!K10</f>
        <v>68.203390806251974</v>
      </c>
      <c r="L15">
        <f>SUM(L54:L55)/'Intermediate calculations'!L10</f>
        <v>66.6343560680086</v>
      </c>
      <c r="M15">
        <f>SUM(M54:M55)/'Intermediate calculations'!M10</f>
        <v>51.89867801106994</v>
      </c>
      <c r="N15">
        <f>SUM(N54:N55)/'Intermediate calculations'!N10</f>
        <v>61.355058445273968</v>
      </c>
      <c r="O15">
        <f>SUM(O54:O55)/'Intermediate calculations'!O10</f>
        <v>57.102047934625539</v>
      </c>
      <c r="P15">
        <f>SUM(P54:P55)/'Intermediate calculations'!P10</f>
        <v>55.049415403359966</v>
      </c>
      <c r="Q15">
        <f>SUM(Q54:Q55)/'Intermediate calculations'!Q10</f>
        <v>52.98274497388001</v>
      </c>
      <c r="R15">
        <f>SUM(R54:R55)/'Intermediate calculations'!R10</f>
        <v>49.327893584921696</v>
      </c>
      <c r="S15">
        <f>SUM(S54:S55)/'Intermediate calculations'!S10</f>
        <v>41.133098803189135</v>
      </c>
      <c r="T15">
        <f>SUM(T54:T55)/'Intermediate calculations'!T10</f>
        <v>39.914690371156588</v>
      </c>
      <c r="U15">
        <f>SUM(U54:U55)/'Intermediate calculations'!U10</f>
        <v>43.655274140297507</v>
      </c>
      <c r="V15">
        <f>SUM(V54:V55)/'Intermediate calculations'!V10</f>
        <v>41.61781844154757</v>
      </c>
      <c r="W15">
        <f>SUM(W54:W55)/'Intermediate calculations'!W10</f>
        <v>37.11227193067338</v>
      </c>
      <c r="X15">
        <f>SUM(X54:X55)/'Intermediate calculations'!X10</f>
        <v>37.868331005777812</v>
      </c>
      <c r="Y15">
        <f>SUM(Y54:Y55)/'Intermediate calculations'!Y10</f>
        <v>42.362946659163164</v>
      </c>
      <c r="Z15">
        <f>SUM(Z54:Z55)/'Intermediate calculations'!Z10</f>
        <v>41.258372190011571</v>
      </c>
      <c r="AA15">
        <f>SUM(AA54:AA55)/'Intermediate calculations'!AA10</f>
        <v>41.554875955879204</v>
      </c>
      <c r="AB15">
        <f>SUM(AB54:AB55)/'Intermediate calculations'!AB10</f>
        <v>41.110829623923557</v>
      </c>
      <c r="AC15">
        <f>SUM(AC54:AC55)/'Intermediate calculations'!AC10</f>
        <v>40.084182553429784</v>
      </c>
      <c r="AD15">
        <f>SUM(AD54:AD55)/'Intermediate calculations'!AD10</f>
        <v>38.17348413700936</v>
      </c>
      <c r="AJ15" s="23">
        <f>SLOPE(K15:AD15,LN(K2:AD2))</f>
        <v>-11.117239343243899</v>
      </c>
      <c r="AK15" s="23">
        <f>INTERCEPT(K15:AD15,LN(K2:AD2))</f>
        <v>70.952747098871143</v>
      </c>
    </row>
    <row r="16" spans="1:37" x14ac:dyDescent="0.25">
      <c r="A16" s="23" t="str">
        <f>'Intermediate calculations'!A12</f>
        <v>Milk consumption</v>
      </c>
      <c r="B16" t="str">
        <f>'Intermediate calculations'!B12</f>
        <v>t</v>
      </c>
      <c r="C16">
        <v>1167000</v>
      </c>
      <c r="D16">
        <v>1153000</v>
      </c>
      <c r="E16">
        <v>1174000</v>
      </c>
      <c r="F16">
        <v>1092000</v>
      </c>
      <c r="G16">
        <v>1088000</v>
      </c>
      <c r="H16">
        <v>1397000</v>
      </c>
      <c r="I16">
        <v>1487000</v>
      </c>
      <c r="J16">
        <v>1571000</v>
      </c>
      <c r="K16">
        <v>1608000</v>
      </c>
      <c r="L16">
        <v>1606000</v>
      </c>
      <c r="M16">
        <v>1284000</v>
      </c>
      <c r="N16">
        <v>1575000</v>
      </c>
      <c r="O16">
        <v>1611000</v>
      </c>
      <c r="P16">
        <v>1528000</v>
      </c>
      <c r="Q16">
        <v>1626000</v>
      </c>
      <c r="R16">
        <v>1835000</v>
      </c>
      <c r="S16">
        <v>1697000</v>
      </c>
      <c r="T16">
        <v>1799000</v>
      </c>
      <c r="U16">
        <v>1819000</v>
      </c>
      <c r="V16">
        <v>1788000</v>
      </c>
      <c r="W16">
        <v>1868000</v>
      </c>
      <c r="X16">
        <v>1852000</v>
      </c>
      <c r="Y16">
        <v>1916000</v>
      </c>
      <c r="Z16">
        <v>1931000</v>
      </c>
      <c r="AA16">
        <v>1976000</v>
      </c>
      <c r="AB16">
        <v>2121000</v>
      </c>
      <c r="AC16">
        <v>2126000</v>
      </c>
      <c r="AD16">
        <v>2207000</v>
      </c>
      <c r="AJ16" s="23"/>
      <c r="AK16" s="23"/>
    </row>
    <row r="17" spans="1:37" x14ac:dyDescent="0.25">
      <c r="A17" s="23" t="str">
        <f>'Intermediate calculations'!A15</f>
        <v>Milk production</v>
      </c>
      <c r="B17" t="str">
        <f>'Intermediate calculations'!B15</f>
        <v>t</v>
      </c>
      <c r="C17">
        <v>2119000</v>
      </c>
      <c r="D17">
        <v>2163000</v>
      </c>
      <c r="E17">
        <v>2107000</v>
      </c>
      <c r="F17">
        <v>2002000</v>
      </c>
      <c r="G17">
        <v>2006000</v>
      </c>
      <c r="H17">
        <v>2297000</v>
      </c>
      <c r="I17">
        <v>2450000</v>
      </c>
      <c r="J17">
        <v>2437000</v>
      </c>
      <c r="K17">
        <v>2501000</v>
      </c>
      <c r="L17">
        <v>2543000</v>
      </c>
      <c r="M17">
        <v>2370000</v>
      </c>
      <c r="N17">
        <v>2358000</v>
      </c>
      <c r="O17">
        <v>2457000</v>
      </c>
      <c r="P17">
        <v>2354000</v>
      </c>
      <c r="Q17">
        <v>2505000</v>
      </c>
      <c r="R17">
        <v>2657000</v>
      </c>
      <c r="S17">
        <v>2513000</v>
      </c>
      <c r="T17">
        <v>2559000</v>
      </c>
      <c r="U17">
        <v>2625000</v>
      </c>
      <c r="V17">
        <v>2587000</v>
      </c>
      <c r="W17">
        <v>2711000</v>
      </c>
      <c r="X17">
        <v>2720000</v>
      </c>
      <c r="Y17">
        <v>2843000</v>
      </c>
      <c r="Z17">
        <v>2906000</v>
      </c>
      <c r="AA17">
        <v>2983000</v>
      </c>
      <c r="AB17">
        <v>3173000</v>
      </c>
      <c r="AC17">
        <v>3158000</v>
      </c>
      <c r="AD17">
        <v>3097986.6</v>
      </c>
      <c r="AJ17" s="23">
        <f>SLOPE(M17:AD17,M16:AD16)</f>
        <v>1.0941524521183956</v>
      </c>
      <c r="AK17" s="23">
        <f>INTERCEPT(M17:AD17,M16:AD16)</f>
        <v>719582.0506376198</v>
      </c>
    </row>
    <row r="18" spans="1:37" x14ac:dyDescent="0.25">
      <c r="A18" s="23" t="s">
        <v>840</v>
      </c>
      <c r="B18" t="s">
        <v>815</v>
      </c>
      <c r="C18">
        <f t="shared" ref="C18:AD18" si="0">SUM(C51:C53)/C17</f>
        <v>0.69526800377536568</v>
      </c>
      <c r="D18">
        <f t="shared" si="0"/>
        <v>0.78019747572815545</v>
      </c>
      <c r="E18">
        <f t="shared" si="0"/>
        <v>0.69287114855244414</v>
      </c>
      <c r="F18">
        <f t="shared" si="0"/>
        <v>0.76935057442557442</v>
      </c>
      <c r="G18">
        <f t="shared" si="0"/>
        <v>0.70104982552342976</v>
      </c>
      <c r="H18">
        <f t="shared" si="0"/>
        <v>0.65888248585111009</v>
      </c>
      <c r="I18">
        <f t="shared" si="0"/>
        <v>0.62320263673469389</v>
      </c>
      <c r="J18">
        <f t="shared" si="0"/>
        <v>0.60454366023799755</v>
      </c>
      <c r="K18">
        <f t="shared" si="0"/>
        <v>0.57300788884446219</v>
      </c>
      <c r="L18">
        <f t="shared" si="0"/>
        <v>0.56881090051120731</v>
      </c>
      <c r="M18">
        <f t="shared" si="0"/>
        <v>0.77421705907173</v>
      </c>
      <c r="N18">
        <f t="shared" si="0"/>
        <v>0.77247711620016968</v>
      </c>
      <c r="O18">
        <f t="shared" si="0"/>
        <v>0.65958493691493691</v>
      </c>
      <c r="P18">
        <f t="shared" si="0"/>
        <v>0.60879045454545455</v>
      </c>
      <c r="Q18">
        <f t="shared" si="0"/>
        <v>0.5453595928143713</v>
      </c>
      <c r="R18">
        <f t="shared" si="0"/>
        <v>0.55448735415882566</v>
      </c>
      <c r="S18">
        <f t="shared" si="0"/>
        <v>0.57560132113012341</v>
      </c>
      <c r="T18">
        <f t="shared" si="0"/>
        <v>0.56525444314185236</v>
      </c>
      <c r="U18">
        <f t="shared" si="0"/>
        <v>0.66329169523809528</v>
      </c>
      <c r="V18">
        <f t="shared" si="0"/>
        <v>0.69374343254735216</v>
      </c>
      <c r="W18">
        <f t="shared" si="0"/>
        <v>0.66201189966801921</v>
      </c>
      <c r="X18">
        <f t="shared" si="0"/>
        <v>0.63027717647058834</v>
      </c>
      <c r="Y18">
        <f t="shared" si="0"/>
        <v>0.58416474147027786</v>
      </c>
      <c r="Z18">
        <f t="shared" si="0"/>
        <v>0.62680696490020649</v>
      </c>
      <c r="AA18">
        <f t="shared" si="0"/>
        <v>0.56572817298022127</v>
      </c>
      <c r="AB18">
        <f t="shared" si="0"/>
        <v>0.53185223447841168</v>
      </c>
      <c r="AC18">
        <f t="shared" si="0"/>
        <v>0.55134284357188101</v>
      </c>
      <c r="AD18">
        <f t="shared" si="0"/>
        <v>0.60957913439651412</v>
      </c>
      <c r="AJ18" s="23">
        <f>SLOPE(M18:AD18,LN(M2:AD2))</f>
        <v>-7.7168579193124878E-2</v>
      </c>
      <c r="AK18" s="23">
        <f>INTERCEPT(M18:AD18,LN(M2:AD2))</f>
        <v>0.79933670900805098</v>
      </c>
    </row>
    <row r="19" spans="1:37" x14ac:dyDescent="0.25">
      <c r="A19" s="23" t="str">
        <f>'Intermediate calculations'!A17</f>
        <v>Lamb and chevon consumption</v>
      </c>
      <c r="B19" t="str">
        <f>'Intermediate calculations'!B17</f>
        <v>t</v>
      </c>
      <c r="C19">
        <v>184000</v>
      </c>
      <c r="D19">
        <v>206000</v>
      </c>
      <c r="E19">
        <v>199000</v>
      </c>
      <c r="F19">
        <v>189000</v>
      </c>
      <c r="G19">
        <v>156000</v>
      </c>
      <c r="H19">
        <v>118000</v>
      </c>
      <c r="I19">
        <v>143000</v>
      </c>
      <c r="J19">
        <v>142000</v>
      </c>
      <c r="K19">
        <v>145000</v>
      </c>
      <c r="L19">
        <v>154000</v>
      </c>
      <c r="M19">
        <v>163000</v>
      </c>
      <c r="N19">
        <v>159000</v>
      </c>
      <c r="O19">
        <v>146000</v>
      </c>
      <c r="P19">
        <v>146000</v>
      </c>
      <c r="Q19">
        <v>153000</v>
      </c>
      <c r="R19">
        <v>168000</v>
      </c>
      <c r="S19">
        <v>176000</v>
      </c>
      <c r="T19">
        <v>203000</v>
      </c>
      <c r="U19">
        <v>189000</v>
      </c>
      <c r="V19">
        <v>180000</v>
      </c>
      <c r="W19">
        <v>174000</v>
      </c>
      <c r="X19">
        <v>155000</v>
      </c>
      <c r="Y19">
        <v>157000</v>
      </c>
      <c r="Z19">
        <v>171000</v>
      </c>
      <c r="AA19">
        <v>188000</v>
      </c>
      <c r="AB19">
        <v>193000</v>
      </c>
      <c r="AC19">
        <v>191000</v>
      </c>
      <c r="AD19">
        <v>186000</v>
      </c>
      <c r="AJ19" s="23"/>
      <c r="AK19" s="23"/>
    </row>
    <row r="20" spans="1:37" x14ac:dyDescent="0.25">
      <c r="A20" s="23" t="str">
        <f>'Intermediate calculations'!A22</f>
        <v>Chevon consumption</v>
      </c>
      <c r="B20" t="str">
        <f>'Intermediate calculations'!B22</f>
        <v>t</v>
      </c>
      <c r="C20">
        <f>C19*Constants!$H$27</f>
        <v>11040</v>
      </c>
      <c r="D20">
        <f>D19*Constants!$H$27</f>
        <v>12360</v>
      </c>
      <c r="E20">
        <f>E19*Constants!$H$27</f>
        <v>11940</v>
      </c>
      <c r="F20">
        <f>F19*Constants!$H$27</f>
        <v>11340</v>
      </c>
      <c r="G20">
        <f>G19*Constants!$H$27</f>
        <v>9360</v>
      </c>
      <c r="H20">
        <f>H19*Constants!$H$27</f>
        <v>7080</v>
      </c>
      <c r="I20">
        <f>I19*Constants!$H$27</f>
        <v>8580</v>
      </c>
      <c r="J20">
        <f>J19*Constants!$H$27</f>
        <v>8520</v>
      </c>
      <c r="K20">
        <f>K19*Constants!$H$27</f>
        <v>8700</v>
      </c>
      <c r="L20">
        <f>L19*Constants!$H$27</f>
        <v>9240</v>
      </c>
      <c r="M20">
        <f>M19*Constants!$H$27</f>
        <v>9780</v>
      </c>
      <c r="N20">
        <f>N19*Constants!$H$27</f>
        <v>9540</v>
      </c>
      <c r="O20">
        <f>O19*Constants!$H$27</f>
        <v>8760</v>
      </c>
      <c r="P20">
        <f>P19*Constants!$H$27</f>
        <v>8760</v>
      </c>
      <c r="Q20">
        <f>Q19*Constants!$H$27</f>
        <v>9180</v>
      </c>
      <c r="R20">
        <f>R19*Constants!$H$27</f>
        <v>10080</v>
      </c>
      <c r="S20">
        <f>S19*Constants!$H$27</f>
        <v>10560</v>
      </c>
      <c r="T20">
        <f>T19*Constants!$H$27</f>
        <v>12180</v>
      </c>
      <c r="U20">
        <f>U19*Constants!$H$27</f>
        <v>11340</v>
      </c>
      <c r="V20">
        <f>V19*Constants!$H$27</f>
        <v>10800</v>
      </c>
      <c r="W20">
        <f>W19*Constants!$H$27</f>
        <v>10440</v>
      </c>
      <c r="X20">
        <f>X19*Constants!$H$27</f>
        <v>9300</v>
      </c>
      <c r="Y20">
        <f>Y19*Constants!$H$27</f>
        <v>9420</v>
      </c>
      <c r="Z20">
        <f>Z19*Constants!$H$27</f>
        <v>10260</v>
      </c>
      <c r="AA20">
        <f>AA19*Constants!$H$27</f>
        <v>11280</v>
      </c>
      <c r="AB20">
        <f>AB19*Constants!$H$27</f>
        <v>11580</v>
      </c>
      <c r="AC20">
        <f>AC19*Constants!$H$27</f>
        <v>11460</v>
      </c>
      <c r="AD20">
        <f>AD19*Constants!$H$27</f>
        <v>11160</v>
      </c>
      <c r="AJ20" s="23"/>
      <c r="AK20" s="23"/>
    </row>
    <row r="21" spans="1:37" x14ac:dyDescent="0.25">
      <c r="A21" s="23" t="s">
        <v>843</v>
      </c>
      <c r="B21" t="s">
        <v>815</v>
      </c>
      <c r="C21">
        <f t="shared" ref="C21:AD21" si="1">SUM(C59:C60)/C20</f>
        <v>747.58015507693869</v>
      </c>
      <c r="D21">
        <f t="shared" si="1"/>
        <v>590.47220402049277</v>
      </c>
      <c r="E21">
        <f t="shared" si="1"/>
        <v>569.38006615729716</v>
      </c>
      <c r="F21">
        <f t="shared" si="1"/>
        <v>566.44789692123072</v>
      </c>
      <c r="G21">
        <f t="shared" si="1"/>
        <v>742.85362090363867</v>
      </c>
      <c r="H21">
        <f t="shared" si="1"/>
        <v>995.52503048103245</v>
      </c>
      <c r="I21">
        <f t="shared" si="1"/>
        <v>834.31243407359318</v>
      </c>
      <c r="J21">
        <f t="shared" si="1"/>
        <v>835.99741053944376</v>
      </c>
      <c r="K21">
        <f t="shared" si="1"/>
        <v>807.07358113668761</v>
      </c>
      <c r="L21">
        <f t="shared" si="1"/>
        <v>748.63713691587566</v>
      </c>
      <c r="M21">
        <f t="shared" si="1"/>
        <v>716.42781303590107</v>
      </c>
      <c r="N21">
        <f t="shared" si="1"/>
        <v>756.90571182634426</v>
      </c>
      <c r="O21">
        <f t="shared" si="1"/>
        <v>752.63780790236967</v>
      </c>
      <c r="P21">
        <f t="shared" si="1"/>
        <v>733.6180799048368</v>
      </c>
      <c r="Q21">
        <f t="shared" si="1"/>
        <v>701.35025005281352</v>
      </c>
      <c r="R21">
        <f t="shared" si="1"/>
        <v>630.46516734678903</v>
      </c>
      <c r="S21">
        <f t="shared" si="1"/>
        <v>614.48619189756312</v>
      </c>
      <c r="T21">
        <f t="shared" si="1"/>
        <v>516.87884312506992</v>
      </c>
      <c r="U21">
        <f t="shared" si="1"/>
        <v>554.64143311323846</v>
      </c>
      <c r="V21">
        <f t="shared" si="1"/>
        <v>572.18059101466702</v>
      </c>
      <c r="W21">
        <f t="shared" si="1"/>
        <v>584.78636599310846</v>
      </c>
      <c r="X21">
        <f t="shared" si="1"/>
        <v>650.3914314253102</v>
      </c>
      <c r="Y21">
        <f t="shared" si="1"/>
        <v>640.52698172582961</v>
      </c>
      <c r="Z21">
        <f t="shared" si="1"/>
        <v>581.41655980762096</v>
      </c>
      <c r="AA21">
        <f t="shared" si="1"/>
        <v>524.09395246393069</v>
      </c>
      <c r="AB21">
        <f t="shared" si="1"/>
        <v>503.57932677405518</v>
      </c>
      <c r="AC21">
        <f t="shared" si="1"/>
        <v>493.53491275273376</v>
      </c>
      <c r="AD21">
        <f t="shared" si="1"/>
        <v>491.33932124809263</v>
      </c>
      <c r="AJ21" s="23">
        <f>SLOPE(K21:AD21,LN(K2:AD2))</f>
        <v>-106.85734016342576</v>
      </c>
      <c r="AK21" s="23">
        <f>INTERCEPT(K21:AD21,LN(K2:AD2))</f>
        <v>854.94214143189515</v>
      </c>
    </row>
    <row r="22" spans="1:37" x14ac:dyDescent="0.25">
      <c r="A22" s="23" t="str">
        <f>'Intermediate calculations'!A19</f>
        <v>Lamb consumption</v>
      </c>
      <c r="B22" t="str">
        <f>'Intermediate calculations'!B19</f>
        <v>t</v>
      </c>
      <c r="C22">
        <f t="shared" ref="C22:AD22" si="2">C19-C20</f>
        <v>172960</v>
      </c>
      <c r="D22">
        <f t="shared" si="2"/>
        <v>193640</v>
      </c>
      <c r="E22">
        <f t="shared" si="2"/>
        <v>187060</v>
      </c>
      <c r="F22">
        <f t="shared" si="2"/>
        <v>177660</v>
      </c>
      <c r="G22">
        <f t="shared" si="2"/>
        <v>146640</v>
      </c>
      <c r="H22">
        <f t="shared" si="2"/>
        <v>110920</v>
      </c>
      <c r="I22">
        <f t="shared" si="2"/>
        <v>134420</v>
      </c>
      <c r="J22">
        <f t="shared" si="2"/>
        <v>133480</v>
      </c>
      <c r="K22">
        <f t="shared" si="2"/>
        <v>136300</v>
      </c>
      <c r="L22">
        <f t="shared" si="2"/>
        <v>144760</v>
      </c>
      <c r="M22">
        <f t="shared" si="2"/>
        <v>153220</v>
      </c>
      <c r="N22">
        <f t="shared" si="2"/>
        <v>149460</v>
      </c>
      <c r="O22">
        <f t="shared" si="2"/>
        <v>137240</v>
      </c>
      <c r="P22">
        <f t="shared" si="2"/>
        <v>137240</v>
      </c>
      <c r="Q22">
        <f t="shared" si="2"/>
        <v>143820</v>
      </c>
      <c r="R22">
        <f t="shared" si="2"/>
        <v>157920</v>
      </c>
      <c r="S22">
        <f t="shared" si="2"/>
        <v>165440</v>
      </c>
      <c r="T22">
        <f t="shared" si="2"/>
        <v>190820</v>
      </c>
      <c r="U22">
        <f t="shared" si="2"/>
        <v>177660</v>
      </c>
      <c r="V22">
        <f t="shared" si="2"/>
        <v>169200</v>
      </c>
      <c r="W22">
        <f t="shared" si="2"/>
        <v>163560</v>
      </c>
      <c r="X22">
        <f t="shared" si="2"/>
        <v>145700</v>
      </c>
      <c r="Y22">
        <f t="shared" si="2"/>
        <v>147580</v>
      </c>
      <c r="Z22">
        <f t="shared" si="2"/>
        <v>160740</v>
      </c>
      <c r="AA22">
        <f t="shared" si="2"/>
        <v>176720</v>
      </c>
      <c r="AB22">
        <f t="shared" si="2"/>
        <v>181420</v>
      </c>
      <c r="AC22">
        <f t="shared" si="2"/>
        <v>179540</v>
      </c>
      <c r="AD22">
        <f t="shared" si="2"/>
        <v>174840</v>
      </c>
      <c r="AJ22" s="23"/>
      <c r="AK22" s="23"/>
    </row>
    <row r="23" spans="1:37" x14ac:dyDescent="0.25">
      <c r="A23" s="23" t="str">
        <f>'Intermediate calculations'!A27</f>
        <v>Lamb production</v>
      </c>
      <c r="B23" t="str">
        <f>'Intermediate calculations'!B27</f>
        <v>t</v>
      </c>
      <c r="C23">
        <v>157160</v>
      </c>
      <c r="D23">
        <v>178840</v>
      </c>
      <c r="E23">
        <v>164160</v>
      </c>
      <c r="F23">
        <v>156060</v>
      </c>
      <c r="G23">
        <v>125940</v>
      </c>
      <c r="H23">
        <v>87720</v>
      </c>
      <c r="I23">
        <v>97720</v>
      </c>
      <c r="J23">
        <v>94080</v>
      </c>
      <c r="K23">
        <v>88200</v>
      </c>
      <c r="L23">
        <v>95660</v>
      </c>
      <c r="M23">
        <v>98520</v>
      </c>
      <c r="N23">
        <v>95860</v>
      </c>
      <c r="O23">
        <v>96340</v>
      </c>
      <c r="P23">
        <v>105640</v>
      </c>
      <c r="Q23">
        <v>111120</v>
      </c>
      <c r="R23">
        <v>124520</v>
      </c>
      <c r="S23">
        <v>124740</v>
      </c>
      <c r="T23">
        <v>148520</v>
      </c>
      <c r="U23">
        <v>149260</v>
      </c>
      <c r="V23">
        <v>151300</v>
      </c>
      <c r="W23">
        <v>153460</v>
      </c>
      <c r="X23">
        <v>139500</v>
      </c>
      <c r="Y23">
        <v>139480</v>
      </c>
      <c r="Z23">
        <v>156040</v>
      </c>
      <c r="AA23">
        <v>171520</v>
      </c>
      <c r="AB23">
        <v>173020</v>
      </c>
      <c r="AC23">
        <v>166240</v>
      </c>
      <c r="AD23">
        <v>166124.152</v>
      </c>
      <c r="AJ23" s="23">
        <f>SLOPE(S23:AD23,S22:AD22)</f>
        <v>0.57079621418517279</v>
      </c>
      <c r="AK23" s="23">
        <f>INTERCEPT(S23:AD23,S22:AD22)</f>
        <v>56554.156116201921</v>
      </c>
    </row>
    <row r="24" spans="1:37" x14ac:dyDescent="0.25">
      <c r="A24" s="23" t="s">
        <v>816</v>
      </c>
      <c r="B24" t="s">
        <v>815</v>
      </c>
      <c r="C24">
        <f t="shared" ref="C24:AD24" si="3">SUM(C57:C58)/C23</f>
        <v>217.37632200135343</v>
      </c>
      <c r="D24">
        <f t="shared" si="3"/>
        <v>182.43533983922441</v>
      </c>
      <c r="E24">
        <f t="shared" si="3"/>
        <v>190.5375058012163</v>
      </c>
      <c r="F24">
        <f t="shared" si="3"/>
        <v>187.44392961876648</v>
      </c>
      <c r="G24">
        <f t="shared" si="3"/>
        <v>233.91106858199078</v>
      </c>
      <c r="H24">
        <f t="shared" si="3"/>
        <v>331.02055240676185</v>
      </c>
      <c r="I24">
        <f t="shared" si="3"/>
        <v>298.13738680684139</v>
      </c>
      <c r="J24">
        <f t="shared" si="3"/>
        <v>302.93782099105391</v>
      </c>
      <c r="K24">
        <f t="shared" si="3"/>
        <v>324.02516807184935</v>
      </c>
      <c r="L24">
        <f t="shared" si="3"/>
        <v>291.41805349120352</v>
      </c>
      <c r="M24">
        <f t="shared" si="3"/>
        <v>272.814221136475</v>
      </c>
      <c r="N24">
        <f t="shared" si="3"/>
        <v>273.39449106353061</v>
      </c>
      <c r="O24">
        <f t="shared" si="3"/>
        <v>267.49019053642013</v>
      </c>
      <c r="P24">
        <f t="shared" si="3"/>
        <v>244.7939244530279</v>
      </c>
      <c r="Q24">
        <f t="shared" si="3"/>
        <v>228.57854595451533</v>
      </c>
      <c r="R24">
        <f t="shared" si="3"/>
        <v>203.49543332726975</v>
      </c>
      <c r="S24">
        <f t="shared" si="3"/>
        <v>200.47811015517084</v>
      </c>
      <c r="T24">
        <f t="shared" si="3"/>
        <v>168.21780706498231</v>
      </c>
      <c r="U24">
        <f t="shared" si="3"/>
        <v>167.92588402758949</v>
      </c>
      <c r="V24">
        <f t="shared" si="3"/>
        <v>165.07423520689287</v>
      </c>
      <c r="W24">
        <f t="shared" si="3"/>
        <v>159.60223145034516</v>
      </c>
      <c r="X24">
        <f t="shared" si="3"/>
        <v>174.20152254230294</v>
      </c>
      <c r="Y24">
        <f t="shared" si="3"/>
        <v>175.05984723704714</v>
      </c>
      <c r="Z24">
        <f t="shared" si="3"/>
        <v>157.66442051805819</v>
      </c>
      <c r="AA24">
        <f t="shared" si="3"/>
        <v>140.86372750241577</v>
      </c>
      <c r="AB24">
        <f t="shared" si="3"/>
        <v>138.52942398399955</v>
      </c>
      <c r="AC24">
        <f t="shared" si="3"/>
        <v>140.10059471972963</v>
      </c>
      <c r="AD24">
        <f t="shared" si="3"/>
        <v>136.7958899397365</v>
      </c>
      <c r="AJ24" s="23">
        <f>SLOPE(AA24:AD24,LN(AA2:AD2))</f>
        <v>-19.53151686828388</v>
      </c>
      <c r="AK24" s="23">
        <f>INTERCEPT(AA24:AD24,LN(AA2:AD2))</f>
        <v>196.0251225336817</v>
      </c>
    </row>
    <row r="25" spans="1:37" x14ac:dyDescent="0.25">
      <c r="A25" s="23" t="str">
        <f>'Intermediate calculations'!A29</f>
        <v>Pork consumption</v>
      </c>
      <c r="B25" t="str">
        <f>'Intermediate calculations'!B29</f>
        <v>t</v>
      </c>
      <c r="C25">
        <v>125000</v>
      </c>
      <c r="D25">
        <v>130000</v>
      </c>
      <c r="E25">
        <v>112000</v>
      </c>
      <c r="F25">
        <v>129000</v>
      </c>
      <c r="G25">
        <v>122000</v>
      </c>
      <c r="H25">
        <v>124000</v>
      </c>
      <c r="I25">
        <v>131000</v>
      </c>
      <c r="J25">
        <v>133000</v>
      </c>
      <c r="K25">
        <v>130000</v>
      </c>
      <c r="L25">
        <v>126000</v>
      </c>
      <c r="M25">
        <v>131000</v>
      </c>
      <c r="N25">
        <v>115000</v>
      </c>
      <c r="O25">
        <v>123000</v>
      </c>
      <c r="P25">
        <v>146000</v>
      </c>
      <c r="Q25">
        <v>174000</v>
      </c>
      <c r="R25">
        <v>182000</v>
      </c>
      <c r="S25">
        <v>193000</v>
      </c>
      <c r="T25">
        <v>206000</v>
      </c>
      <c r="U25">
        <v>198000</v>
      </c>
      <c r="V25">
        <v>199000</v>
      </c>
      <c r="W25">
        <v>215000</v>
      </c>
      <c r="X25">
        <v>231000</v>
      </c>
      <c r="Y25">
        <v>237000</v>
      </c>
      <c r="Z25">
        <v>245000</v>
      </c>
      <c r="AA25">
        <v>236000</v>
      </c>
      <c r="AB25">
        <v>254000</v>
      </c>
      <c r="AC25">
        <v>263000</v>
      </c>
      <c r="AD25">
        <v>254000</v>
      </c>
      <c r="AJ25" s="23"/>
      <c r="AK25" s="23"/>
    </row>
    <row r="26" spans="1:37" x14ac:dyDescent="0.25">
      <c r="A26" s="23" t="str">
        <f>'Intermediate calculations'!A32</f>
        <v>Pork production</v>
      </c>
      <c r="B26" t="str">
        <f>'Intermediate calculations'!B32</f>
        <v>t</v>
      </c>
      <c r="C26">
        <v>126200</v>
      </c>
      <c r="D26">
        <v>130800</v>
      </c>
      <c r="E26">
        <v>112700</v>
      </c>
      <c r="F26">
        <v>129600</v>
      </c>
      <c r="G26">
        <v>119600</v>
      </c>
      <c r="H26">
        <v>119000</v>
      </c>
      <c r="I26">
        <v>126500</v>
      </c>
      <c r="J26">
        <v>127900</v>
      </c>
      <c r="K26">
        <v>125000</v>
      </c>
      <c r="L26">
        <v>119200</v>
      </c>
      <c r="M26">
        <v>123000</v>
      </c>
      <c r="N26">
        <v>106900</v>
      </c>
      <c r="O26">
        <v>116600</v>
      </c>
      <c r="P26">
        <v>135000</v>
      </c>
      <c r="Q26">
        <v>156800</v>
      </c>
      <c r="R26">
        <v>159700</v>
      </c>
      <c r="S26">
        <v>171400</v>
      </c>
      <c r="T26">
        <v>187100</v>
      </c>
      <c r="U26">
        <v>181700</v>
      </c>
      <c r="V26">
        <v>180700</v>
      </c>
      <c r="W26">
        <v>191900</v>
      </c>
      <c r="X26">
        <v>205100</v>
      </c>
      <c r="Y26">
        <v>206000</v>
      </c>
      <c r="Z26">
        <v>213500</v>
      </c>
      <c r="AA26">
        <v>224200</v>
      </c>
      <c r="AB26">
        <v>233000</v>
      </c>
      <c r="AC26">
        <v>243100</v>
      </c>
      <c r="AD26">
        <v>231800</v>
      </c>
      <c r="AJ26" s="23">
        <f>SLOPE(F26:AD26,F25:AD25)</f>
        <v>0.84800908184156654</v>
      </c>
      <c r="AK26" s="23">
        <f>INTERCEPT(F26:AD26,F25:AD25)</f>
        <v>12832.12635833901</v>
      </c>
    </row>
    <row r="27" spans="1:37" x14ac:dyDescent="0.25">
      <c r="A27" s="23" t="s">
        <v>818</v>
      </c>
      <c r="B27" t="s">
        <v>815</v>
      </c>
      <c r="C27">
        <f t="shared" ref="C27:AD27" si="4">SUM(C63:C64)/C26</f>
        <v>13.653011027487219</v>
      </c>
      <c r="D27">
        <f t="shared" si="4"/>
        <v>14.391608053652755</v>
      </c>
      <c r="E27">
        <f t="shared" si="4"/>
        <v>16.592599020349589</v>
      </c>
      <c r="F27">
        <f t="shared" si="4"/>
        <v>14.420179981553732</v>
      </c>
      <c r="G27">
        <f t="shared" si="4"/>
        <v>14.841278051291667</v>
      </c>
      <c r="H27">
        <f t="shared" si="4"/>
        <v>15.058618610882386</v>
      </c>
      <c r="I27">
        <f t="shared" si="4"/>
        <v>15.256180717369467</v>
      </c>
      <c r="J27">
        <f t="shared" si="4"/>
        <v>15.018469029514932</v>
      </c>
      <c r="K27">
        <f t="shared" si="4"/>
        <v>15.701550370273951</v>
      </c>
      <c r="L27">
        <f t="shared" si="4"/>
        <v>16.882881640786671</v>
      </c>
      <c r="M27">
        <f t="shared" si="4"/>
        <v>15.138795298415898</v>
      </c>
      <c r="N27">
        <f t="shared" si="4"/>
        <v>17.746678439758945</v>
      </c>
      <c r="O27">
        <f t="shared" si="4"/>
        <v>16.58060559776451</v>
      </c>
      <c r="P27">
        <f t="shared" si="4"/>
        <v>13.927119744071932</v>
      </c>
      <c r="Q27">
        <f t="shared" si="4"/>
        <v>11.990823759245604</v>
      </c>
      <c r="R27">
        <f t="shared" si="4"/>
        <v>11.688128726620503</v>
      </c>
      <c r="S27">
        <f t="shared" si="4"/>
        <v>10.698991960935169</v>
      </c>
      <c r="T27">
        <f t="shared" si="4"/>
        <v>9.9764519382217767</v>
      </c>
      <c r="U27">
        <f t="shared" si="4"/>
        <v>10.048944051821932</v>
      </c>
      <c r="V27">
        <f t="shared" si="4"/>
        <v>10.092041871875903</v>
      </c>
      <c r="W27">
        <f t="shared" si="4"/>
        <v>9.3910936453950828</v>
      </c>
      <c r="X27">
        <f t="shared" si="4"/>
        <v>8.7315701156068712</v>
      </c>
      <c r="Y27">
        <f t="shared" si="4"/>
        <v>8.6659811203436679</v>
      </c>
      <c r="Z27">
        <f t="shared" si="4"/>
        <v>8.3350781773799625</v>
      </c>
      <c r="AA27">
        <f t="shared" si="4"/>
        <v>7.876771556923309</v>
      </c>
      <c r="AB27">
        <f t="shared" si="4"/>
        <v>7.3900403763298383</v>
      </c>
      <c r="AC27">
        <f t="shared" si="4"/>
        <v>7.0318510236958893</v>
      </c>
      <c r="AD27">
        <f t="shared" si="4"/>
        <v>7.2234464208602027</v>
      </c>
      <c r="AJ27" s="23">
        <f>SLOPE(K27:AD27,LN(K2:AD2))</f>
        <v>-3.8989982573491209</v>
      </c>
      <c r="AK27" s="23">
        <f>INTERCEPT(K27:AD27,LN(K2:AD2))</f>
        <v>19.509267032030309</v>
      </c>
    </row>
    <row r="28" spans="1:37" x14ac:dyDescent="0.25">
      <c r="A28" s="23" t="str">
        <f>'Intermediate calculations'!A34</f>
        <v>Egg consumption</v>
      </c>
      <c r="B28" t="str">
        <f>'Intermediate calculations'!B34</f>
        <v>t</v>
      </c>
      <c r="C28">
        <v>209000</v>
      </c>
      <c r="D28">
        <v>214000</v>
      </c>
      <c r="E28">
        <v>223000</v>
      </c>
      <c r="F28">
        <v>218000</v>
      </c>
      <c r="G28">
        <v>233000</v>
      </c>
      <c r="H28">
        <v>272000</v>
      </c>
      <c r="I28">
        <v>263000</v>
      </c>
      <c r="J28">
        <v>293000</v>
      </c>
      <c r="K28">
        <v>302000</v>
      </c>
      <c r="L28">
        <v>299000</v>
      </c>
      <c r="M28">
        <v>310000</v>
      </c>
      <c r="N28">
        <v>308000</v>
      </c>
      <c r="O28">
        <v>313000</v>
      </c>
      <c r="P28">
        <v>305000</v>
      </c>
      <c r="Q28">
        <v>329000</v>
      </c>
      <c r="R28">
        <v>357000</v>
      </c>
      <c r="S28">
        <v>392000</v>
      </c>
      <c r="T28">
        <v>416000</v>
      </c>
      <c r="U28">
        <v>404000</v>
      </c>
      <c r="V28">
        <v>379000</v>
      </c>
      <c r="W28">
        <v>386000</v>
      </c>
      <c r="X28">
        <v>426000</v>
      </c>
      <c r="Y28">
        <v>447000</v>
      </c>
      <c r="Z28">
        <v>433000</v>
      </c>
      <c r="AA28">
        <v>418000</v>
      </c>
      <c r="AB28">
        <v>438000</v>
      </c>
      <c r="AC28">
        <v>441000</v>
      </c>
      <c r="AD28">
        <v>412000</v>
      </c>
      <c r="AJ28" s="23"/>
      <c r="AK28" s="23"/>
    </row>
    <row r="29" spans="1:37" x14ac:dyDescent="0.25">
      <c r="A29" s="23" t="str">
        <f>'Intermediate calculations'!A37</f>
        <v>Egg production</v>
      </c>
      <c r="B29" t="str">
        <f>'Intermediate calculations'!B37</f>
        <v>t</v>
      </c>
      <c r="C29">
        <v>224000</v>
      </c>
      <c r="D29">
        <v>232000</v>
      </c>
      <c r="E29">
        <v>238000</v>
      </c>
      <c r="F29">
        <v>235000</v>
      </c>
      <c r="G29">
        <v>251000</v>
      </c>
      <c r="H29">
        <v>290000</v>
      </c>
      <c r="I29">
        <v>282000</v>
      </c>
      <c r="J29">
        <v>314000</v>
      </c>
      <c r="K29">
        <v>323000</v>
      </c>
      <c r="L29">
        <v>318000</v>
      </c>
      <c r="M29">
        <v>329000</v>
      </c>
      <c r="N29">
        <v>330000</v>
      </c>
      <c r="O29">
        <v>340000</v>
      </c>
      <c r="P29">
        <v>328000</v>
      </c>
      <c r="Q29">
        <v>348000</v>
      </c>
      <c r="R29">
        <v>375000</v>
      </c>
      <c r="S29">
        <v>412000</v>
      </c>
      <c r="T29">
        <v>438000</v>
      </c>
      <c r="U29">
        <v>426000</v>
      </c>
      <c r="V29">
        <v>404000</v>
      </c>
      <c r="W29">
        <v>413000</v>
      </c>
      <c r="X29">
        <v>452000</v>
      </c>
      <c r="Y29">
        <v>477000</v>
      </c>
      <c r="Z29">
        <v>468000</v>
      </c>
      <c r="AA29">
        <v>453000</v>
      </c>
      <c r="AB29">
        <v>477000</v>
      </c>
      <c r="AC29">
        <v>478000</v>
      </c>
      <c r="AD29">
        <v>445000</v>
      </c>
      <c r="AJ29" s="23">
        <f>SLOPE(M29:AD29,M28:AD28)</f>
        <v>1.0877031438417331</v>
      </c>
      <c r="AK29" s="23">
        <f>INTERCEPT(M29:AD29,M28:AD28)</f>
        <v>-7076.6409178745816</v>
      </c>
    </row>
    <row r="30" spans="1:37" x14ac:dyDescent="0.25">
      <c r="A30" s="23" t="s">
        <v>836</v>
      </c>
      <c r="B30" t="s">
        <v>815</v>
      </c>
      <c r="C30">
        <f t="shared" ref="C30:AD30" si="5">SUM(C65,C67)/C29</f>
        <v>68.119237849915791</v>
      </c>
      <c r="D30">
        <f t="shared" si="5"/>
        <v>63.894859769163475</v>
      </c>
      <c r="E30">
        <f t="shared" si="5"/>
        <v>59.072103114550025</v>
      </c>
      <c r="F30">
        <f t="shared" si="5"/>
        <v>58.885553141022513</v>
      </c>
      <c r="G30">
        <f t="shared" si="5"/>
        <v>52.733853566608673</v>
      </c>
      <c r="H30">
        <f t="shared" si="5"/>
        <v>49.801167659087803</v>
      </c>
      <c r="I30">
        <f t="shared" si="5"/>
        <v>54.097578895179353</v>
      </c>
      <c r="J30">
        <f t="shared" si="5"/>
        <v>48.744213441440387</v>
      </c>
      <c r="K30">
        <f t="shared" si="5"/>
        <v>53.352655002236958</v>
      </c>
      <c r="L30">
        <f t="shared" si="5"/>
        <v>58.098761689825743</v>
      </c>
      <c r="M30">
        <f t="shared" si="5"/>
        <v>54.966389071324642</v>
      </c>
      <c r="N30">
        <f t="shared" si="5"/>
        <v>56.261688084642699</v>
      </c>
      <c r="O30">
        <f t="shared" si="5"/>
        <v>54.178346501154266</v>
      </c>
      <c r="P30">
        <f t="shared" si="5"/>
        <v>53.918414227536552</v>
      </c>
      <c r="Q30">
        <f t="shared" si="5"/>
        <v>52.662428155033204</v>
      </c>
      <c r="R30">
        <f t="shared" si="5"/>
        <v>51.817664184004158</v>
      </c>
      <c r="S30">
        <f t="shared" si="5"/>
        <v>52.051167139869889</v>
      </c>
      <c r="T30">
        <f t="shared" si="5"/>
        <v>54.184194262204088</v>
      </c>
      <c r="U30">
        <f t="shared" si="5"/>
        <v>56.444210182137155</v>
      </c>
      <c r="V30">
        <f t="shared" si="5"/>
        <v>57.323692110809887</v>
      </c>
      <c r="W30">
        <f t="shared" si="5"/>
        <v>58.258803357595554</v>
      </c>
      <c r="X30">
        <f t="shared" si="5"/>
        <v>55.689096813946371</v>
      </c>
      <c r="Y30">
        <f t="shared" si="5"/>
        <v>54.692702222346824</v>
      </c>
      <c r="Z30">
        <f t="shared" si="5"/>
        <v>54.659527423183164</v>
      </c>
      <c r="AA30">
        <f t="shared" si="5"/>
        <v>55.988522813895251</v>
      </c>
      <c r="AB30">
        <f t="shared" si="5"/>
        <v>54.287021951504038</v>
      </c>
      <c r="AC30">
        <f t="shared" si="5"/>
        <v>54.061924686192469</v>
      </c>
      <c r="AD30">
        <f t="shared" si="5"/>
        <v>54.23083146067416</v>
      </c>
      <c r="AJ30" s="23">
        <f>SLOPE(K30:AD30,LN(K2:AD2))</f>
        <v>3.721208914924904E-2</v>
      </c>
      <c r="AK30" s="23">
        <f>INTERCEPT(K30:AD30,LN(K2:AD2))</f>
        <v>54.777632230309557</v>
      </c>
    </row>
    <row r="31" spans="1:37" x14ac:dyDescent="0.25">
      <c r="A31" s="23" t="str">
        <f>'Intermediate calculations'!A39</f>
        <v>Chicken consumption</v>
      </c>
      <c r="B31" t="str">
        <f>'Intermediate calculations'!B39</f>
        <v>t</v>
      </c>
      <c r="C31">
        <f>C32-C25</f>
        <v>480000</v>
      </c>
      <c r="D31">
        <f t="shared" ref="D31:AD31" si="6">D32-D25</f>
        <v>463000</v>
      </c>
      <c r="E31">
        <f t="shared" si="6"/>
        <v>459000</v>
      </c>
      <c r="F31">
        <f t="shared" si="6"/>
        <v>451000</v>
      </c>
      <c r="G31">
        <f t="shared" si="6"/>
        <v>487000</v>
      </c>
      <c r="H31">
        <f t="shared" si="6"/>
        <v>538000</v>
      </c>
      <c r="I31">
        <f t="shared" si="6"/>
        <v>607000</v>
      </c>
      <c r="J31">
        <f t="shared" si="6"/>
        <v>693000</v>
      </c>
      <c r="K31">
        <f t="shared" si="6"/>
        <v>724000</v>
      </c>
      <c r="L31">
        <f t="shared" si="6"/>
        <v>748000</v>
      </c>
      <c r="M31">
        <f t="shared" si="6"/>
        <v>796000</v>
      </c>
      <c r="N31">
        <f t="shared" si="6"/>
        <v>823000</v>
      </c>
      <c r="O31">
        <f t="shared" si="6"/>
        <v>842000</v>
      </c>
      <c r="P31">
        <f t="shared" si="6"/>
        <v>886000</v>
      </c>
      <c r="Q31">
        <f t="shared" si="6"/>
        <v>1022000</v>
      </c>
      <c r="R31">
        <f t="shared" si="6"/>
        <v>1273000</v>
      </c>
      <c r="S31">
        <f t="shared" si="6"/>
        <v>1471000</v>
      </c>
      <c r="T31">
        <f t="shared" si="6"/>
        <v>1561000</v>
      </c>
      <c r="U31">
        <f t="shared" si="6"/>
        <v>1615000</v>
      </c>
      <c r="V31">
        <f t="shared" si="6"/>
        <v>1642000</v>
      </c>
      <c r="W31">
        <f t="shared" si="6"/>
        <v>1672000</v>
      </c>
      <c r="X31">
        <f t="shared" si="6"/>
        <v>1756000</v>
      </c>
      <c r="Y31">
        <f t="shared" si="6"/>
        <v>1811000</v>
      </c>
      <c r="Z31">
        <f t="shared" si="6"/>
        <v>1816000</v>
      </c>
      <c r="AA31">
        <f t="shared" si="6"/>
        <v>1779000</v>
      </c>
      <c r="AB31">
        <f t="shared" si="6"/>
        <v>1822000</v>
      </c>
      <c r="AC31">
        <f t="shared" si="6"/>
        <v>1937000</v>
      </c>
      <c r="AD31">
        <f t="shared" si="6"/>
        <v>1901000</v>
      </c>
      <c r="AJ31" s="23"/>
      <c r="AK31" s="23"/>
    </row>
    <row r="32" spans="1:37" x14ac:dyDescent="0.25">
      <c r="A32" s="23" t="s">
        <v>935</v>
      </c>
      <c r="B32" t="s">
        <v>321</v>
      </c>
      <c r="C32">
        <v>605000</v>
      </c>
      <c r="D32">
        <v>593000</v>
      </c>
      <c r="E32">
        <v>571000</v>
      </c>
      <c r="F32">
        <v>580000</v>
      </c>
      <c r="G32">
        <v>609000</v>
      </c>
      <c r="H32">
        <v>662000</v>
      </c>
      <c r="I32">
        <v>738000</v>
      </c>
      <c r="J32">
        <v>826000</v>
      </c>
      <c r="K32">
        <v>854000</v>
      </c>
      <c r="L32">
        <v>874000</v>
      </c>
      <c r="M32">
        <v>927000</v>
      </c>
      <c r="N32">
        <v>938000</v>
      </c>
      <c r="O32">
        <v>965000</v>
      </c>
      <c r="P32">
        <v>1032000</v>
      </c>
      <c r="Q32">
        <v>1196000</v>
      </c>
      <c r="R32">
        <v>1455000</v>
      </c>
      <c r="S32">
        <v>1664000</v>
      </c>
      <c r="T32">
        <v>1767000</v>
      </c>
      <c r="U32">
        <v>1813000</v>
      </c>
      <c r="V32">
        <v>1841000</v>
      </c>
      <c r="W32">
        <v>1887000</v>
      </c>
      <c r="X32">
        <v>1987000</v>
      </c>
      <c r="Y32">
        <v>2048000</v>
      </c>
      <c r="Z32">
        <v>2061000</v>
      </c>
      <c r="AA32">
        <v>2015000</v>
      </c>
      <c r="AB32">
        <v>2076000</v>
      </c>
      <c r="AC32">
        <v>2200000</v>
      </c>
      <c r="AD32">
        <v>2155000</v>
      </c>
      <c r="AJ32" s="23"/>
      <c r="AK32" s="23"/>
    </row>
    <row r="33" spans="1:37" x14ac:dyDescent="0.25">
      <c r="A33" s="23" t="str">
        <f>'Intermediate calculations'!A42</f>
        <v>Chicken production</v>
      </c>
      <c r="B33" t="str">
        <f>'Intermediate calculations'!B42</f>
        <v>t</v>
      </c>
      <c r="C33">
        <f>C34-C26</f>
        <v>482800</v>
      </c>
      <c r="D33">
        <f t="shared" ref="D33:AD33" si="7">D34-D26</f>
        <v>462200</v>
      </c>
      <c r="E33">
        <f t="shared" si="7"/>
        <v>451300</v>
      </c>
      <c r="F33">
        <f t="shared" si="7"/>
        <v>447400</v>
      </c>
      <c r="G33">
        <f t="shared" si="7"/>
        <v>487400</v>
      </c>
      <c r="H33">
        <f t="shared" si="7"/>
        <v>528000</v>
      </c>
      <c r="I33">
        <f t="shared" si="7"/>
        <v>572500</v>
      </c>
      <c r="J33">
        <f t="shared" si="7"/>
        <v>625100</v>
      </c>
      <c r="K33">
        <f t="shared" si="7"/>
        <v>652000</v>
      </c>
      <c r="L33">
        <f t="shared" si="7"/>
        <v>683800</v>
      </c>
      <c r="M33">
        <f t="shared" si="7"/>
        <v>727000</v>
      </c>
      <c r="N33">
        <f t="shared" si="7"/>
        <v>762100</v>
      </c>
      <c r="O33">
        <f t="shared" si="7"/>
        <v>779400</v>
      </c>
      <c r="P33">
        <f t="shared" si="7"/>
        <v>790000</v>
      </c>
      <c r="Q33">
        <f t="shared" si="7"/>
        <v>886200</v>
      </c>
      <c r="R33">
        <f t="shared" si="7"/>
        <v>1113300</v>
      </c>
      <c r="S33">
        <f t="shared" si="7"/>
        <v>1255600</v>
      </c>
      <c r="T33">
        <f t="shared" si="7"/>
        <v>1311900</v>
      </c>
      <c r="U33">
        <f t="shared" si="7"/>
        <v>1402300</v>
      </c>
      <c r="V33">
        <f t="shared" si="7"/>
        <v>1463300</v>
      </c>
      <c r="W33">
        <f t="shared" si="7"/>
        <v>1489100</v>
      </c>
      <c r="X33">
        <f t="shared" si="7"/>
        <v>1515900</v>
      </c>
      <c r="Y33">
        <f t="shared" si="7"/>
        <v>1475000</v>
      </c>
      <c r="Z33">
        <f t="shared" si="7"/>
        <v>1477500</v>
      </c>
      <c r="AA33">
        <f t="shared" si="7"/>
        <v>1443800</v>
      </c>
      <c r="AB33">
        <f t="shared" si="7"/>
        <v>1476000</v>
      </c>
      <c r="AC33">
        <f t="shared" si="7"/>
        <v>1460900</v>
      </c>
      <c r="AD33">
        <f t="shared" si="7"/>
        <v>1431200</v>
      </c>
      <c r="AJ33" s="23">
        <f>SLOPE(M33:AD33,M31:AD31)</f>
        <v>0.72079650032034193</v>
      </c>
      <c r="AK33" s="23">
        <f>INTERCEPT(M33:AD33,M31:AD31)</f>
        <v>178525.13772416487</v>
      </c>
    </row>
    <row r="34" spans="1:37" x14ac:dyDescent="0.25">
      <c r="A34" s="23" t="s">
        <v>936</v>
      </c>
      <c r="B34" t="s">
        <v>321</v>
      </c>
      <c r="C34">
        <v>609000</v>
      </c>
      <c r="D34">
        <v>593000</v>
      </c>
      <c r="E34">
        <v>564000</v>
      </c>
      <c r="F34">
        <v>577000</v>
      </c>
      <c r="G34">
        <v>607000</v>
      </c>
      <c r="H34">
        <v>647000</v>
      </c>
      <c r="I34">
        <v>699000</v>
      </c>
      <c r="J34">
        <v>753000</v>
      </c>
      <c r="K34">
        <v>777000</v>
      </c>
      <c r="L34">
        <v>803000</v>
      </c>
      <c r="M34">
        <v>850000</v>
      </c>
      <c r="N34">
        <v>869000</v>
      </c>
      <c r="O34">
        <v>896000</v>
      </c>
      <c r="P34">
        <v>925000</v>
      </c>
      <c r="Q34">
        <v>1043000</v>
      </c>
      <c r="R34">
        <v>1273000</v>
      </c>
      <c r="S34">
        <v>1427000</v>
      </c>
      <c r="T34">
        <v>1499000</v>
      </c>
      <c r="U34">
        <v>1584000</v>
      </c>
      <c r="V34">
        <v>1644000</v>
      </c>
      <c r="W34">
        <v>1681000</v>
      </c>
      <c r="X34">
        <v>1721000</v>
      </c>
      <c r="Y34">
        <v>1681000</v>
      </c>
      <c r="Z34">
        <v>1691000</v>
      </c>
      <c r="AA34">
        <v>1668000</v>
      </c>
      <c r="AB34">
        <v>1709000</v>
      </c>
      <c r="AC34">
        <v>1704000</v>
      </c>
      <c r="AD34">
        <v>1663000</v>
      </c>
      <c r="AJ34" s="23"/>
      <c r="AK34" s="23"/>
    </row>
    <row r="35" spans="1:37" x14ac:dyDescent="0.25">
      <c r="A35" s="23" t="s">
        <v>838</v>
      </c>
      <c r="B35" t="s">
        <v>815</v>
      </c>
      <c r="C35">
        <f t="shared" ref="C35:AB35" si="8">SUM(C66,C68)/C33</f>
        <v>86.98690270724579</v>
      </c>
      <c r="D35">
        <f t="shared" si="8"/>
        <v>85.412029598416751</v>
      </c>
      <c r="E35">
        <f t="shared" si="8"/>
        <v>82.670075098233795</v>
      </c>
      <c r="F35">
        <f t="shared" si="8"/>
        <v>93.784908087692543</v>
      </c>
      <c r="G35">
        <f t="shared" si="8"/>
        <v>85.280758961852342</v>
      </c>
      <c r="H35">
        <f t="shared" si="8"/>
        <v>90.110194006957386</v>
      </c>
      <c r="I35">
        <f t="shared" si="8"/>
        <v>96.630851643558501</v>
      </c>
      <c r="J35">
        <f t="shared" si="8"/>
        <v>90.082578577450462</v>
      </c>
      <c r="K35">
        <f t="shared" si="8"/>
        <v>94.634047967599372</v>
      </c>
      <c r="L35">
        <f t="shared" si="8"/>
        <v>94.202352622715566</v>
      </c>
      <c r="M35">
        <f t="shared" si="8"/>
        <v>95.33205671803546</v>
      </c>
      <c r="N35">
        <f t="shared" si="8"/>
        <v>87.813432210520816</v>
      </c>
      <c r="O35">
        <f t="shared" si="8"/>
        <v>95.16546905639143</v>
      </c>
      <c r="P35">
        <f t="shared" si="8"/>
        <v>89.302199213409068</v>
      </c>
      <c r="Q35">
        <f t="shared" si="8"/>
        <v>81.529954234122201</v>
      </c>
      <c r="R35">
        <f t="shared" si="8"/>
        <v>71.80889155599867</v>
      </c>
      <c r="S35">
        <f t="shared" si="8"/>
        <v>68.101686202690857</v>
      </c>
      <c r="T35">
        <f t="shared" si="8"/>
        <v>68.19521740619362</v>
      </c>
      <c r="U35">
        <f t="shared" si="8"/>
        <v>67.928587433949829</v>
      </c>
      <c r="V35">
        <f t="shared" si="8"/>
        <v>61.42602874071288</v>
      </c>
      <c r="W35">
        <f t="shared" si="8"/>
        <v>61.879913995624968</v>
      </c>
      <c r="X35">
        <f t="shared" si="8"/>
        <v>62.868580144994802</v>
      </c>
      <c r="Y35">
        <f t="shared" si="8"/>
        <v>66.051244173620844</v>
      </c>
      <c r="Z35">
        <f t="shared" si="8"/>
        <v>64.213565829178464</v>
      </c>
      <c r="AA35">
        <f t="shared" si="8"/>
        <v>68.701063341906504</v>
      </c>
      <c r="AB35">
        <f t="shared" si="8"/>
        <v>69.913648944780405</v>
      </c>
      <c r="AC35">
        <f t="shared" ref="AC35:AD35" si="9">SUM(AC66,AC68)/AC33</f>
        <v>65.686786999794649</v>
      </c>
      <c r="AD35">
        <f t="shared" si="9"/>
        <v>66.964110342370034</v>
      </c>
      <c r="AJ35" s="23">
        <f>SLOPE(K35:AD35,LN(K2:AD2))</f>
        <v>-13.661011546309085</v>
      </c>
      <c r="AK35" s="23">
        <f>INTERCEPT(K35:AD35,LN(K2:AD2))</f>
        <v>104.00330912125385</v>
      </c>
    </row>
    <row r="36" spans="1:37" x14ac:dyDescent="0.25">
      <c r="A36" t="str">
        <f>'Intermediate calculations'!A49</f>
        <v>Sorghum consumption (total)</v>
      </c>
      <c r="B36" t="str">
        <f>'Intermediate calculations'!B49</f>
        <v>t</v>
      </c>
      <c r="C36">
        <v>316000</v>
      </c>
      <c r="D36">
        <v>245000</v>
      </c>
      <c r="E36">
        <v>243000</v>
      </c>
      <c r="F36">
        <v>287000</v>
      </c>
      <c r="G36">
        <v>410000</v>
      </c>
      <c r="H36">
        <v>303000</v>
      </c>
      <c r="I36">
        <v>331000</v>
      </c>
      <c r="J36">
        <v>243000</v>
      </c>
      <c r="K36">
        <v>235000</v>
      </c>
      <c r="L36">
        <v>0</v>
      </c>
      <c r="M36">
        <v>210000</v>
      </c>
      <c r="N36">
        <v>209000</v>
      </c>
      <c r="O36">
        <v>206000</v>
      </c>
      <c r="P36">
        <v>196000</v>
      </c>
      <c r="Q36">
        <v>179000</v>
      </c>
      <c r="R36">
        <v>189000</v>
      </c>
      <c r="S36">
        <v>203000</v>
      </c>
      <c r="T36">
        <v>190000</v>
      </c>
      <c r="U36">
        <v>196000</v>
      </c>
      <c r="V36">
        <v>187000</v>
      </c>
      <c r="W36">
        <v>192000</v>
      </c>
      <c r="X36">
        <v>191000</v>
      </c>
      <c r="Y36">
        <v>190000</v>
      </c>
      <c r="Z36">
        <v>165000</v>
      </c>
      <c r="AA36">
        <v>170000</v>
      </c>
      <c r="AB36">
        <v>160000</v>
      </c>
      <c r="AC36">
        <v>159000</v>
      </c>
      <c r="AD36">
        <v>171000</v>
      </c>
      <c r="AJ36" s="23"/>
      <c r="AK36" s="23"/>
    </row>
    <row r="37" spans="1:37" x14ac:dyDescent="0.25">
      <c r="A37" t="s">
        <v>871</v>
      </c>
      <c r="B37" t="s">
        <v>321</v>
      </c>
      <c r="C37">
        <f t="shared" ref="C37:AD37" si="10">C40-C39</f>
        <v>4072000</v>
      </c>
      <c r="D37">
        <f t="shared" si="10"/>
        <v>4235000</v>
      </c>
      <c r="E37">
        <f t="shared" si="10"/>
        <v>4455000</v>
      </c>
      <c r="F37">
        <f t="shared" si="10"/>
        <v>4085000</v>
      </c>
      <c r="G37">
        <f t="shared" si="10"/>
        <v>3855000</v>
      </c>
      <c r="H37">
        <f t="shared" si="10"/>
        <v>3877000</v>
      </c>
      <c r="I37">
        <f t="shared" si="10"/>
        <v>4035000</v>
      </c>
      <c r="J37">
        <f t="shared" si="10"/>
        <v>3826000</v>
      </c>
      <c r="K37">
        <f t="shared" si="10"/>
        <v>3001000</v>
      </c>
      <c r="L37">
        <f t="shared" si="10"/>
        <v>2960000</v>
      </c>
      <c r="M37">
        <f t="shared" si="10"/>
        <v>2936000</v>
      </c>
      <c r="N37">
        <f t="shared" si="10"/>
        <v>3263000</v>
      </c>
      <c r="O37">
        <f t="shared" si="10"/>
        <v>3274000</v>
      </c>
      <c r="P37">
        <f t="shared" si="10"/>
        <v>3275000</v>
      </c>
      <c r="Q37">
        <f t="shared" si="10"/>
        <v>3531000</v>
      </c>
      <c r="R37">
        <f t="shared" si="10"/>
        <v>3543000</v>
      </c>
      <c r="S37">
        <f t="shared" si="10"/>
        <v>3637000</v>
      </c>
      <c r="T37">
        <f t="shared" si="10"/>
        <v>3844000</v>
      </c>
      <c r="U37">
        <f t="shared" si="10"/>
        <v>4220000</v>
      </c>
      <c r="V37">
        <f t="shared" si="10"/>
        <v>4089000</v>
      </c>
      <c r="W37">
        <f t="shared" si="10"/>
        <v>4187000</v>
      </c>
      <c r="X37">
        <f t="shared" si="10"/>
        <v>4344000</v>
      </c>
      <c r="Y37">
        <f t="shared" si="10"/>
        <v>4429000</v>
      </c>
      <c r="Z37">
        <f t="shared" si="10"/>
        <v>4436000</v>
      </c>
      <c r="AA37">
        <f t="shared" si="10"/>
        <v>4767000</v>
      </c>
      <c r="AB37">
        <f t="shared" si="10"/>
        <v>5087000</v>
      </c>
      <c r="AC37">
        <f t="shared" si="10"/>
        <v>5551000</v>
      </c>
      <c r="AD37">
        <f t="shared" si="10"/>
        <v>5004000</v>
      </c>
      <c r="AJ37" s="23">
        <f>SLOPE(K39:AD39,K37:AD37)</f>
        <v>0.61361155339122397</v>
      </c>
      <c r="AK37" s="23">
        <f>INTERCEPT(K39:AD39,K37:AD37)</f>
        <v>1650287.1057455712</v>
      </c>
    </row>
    <row r="38" spans="1:37" x14ac:dyDescent="0.25">
      <c r="A38" t="s">
        <v>877</v>
      </c>
      <c r="B38" t="s">
        <v>321</v>
      </c>
      <c r="C38">
        <f>C44-C43</f>
        <v>122000</v>
      </c>
      <c r="D38">
        <f t="shared" ref="D38:AD38" si="11">D44-D43</f>
        <v>50000</v>
      </c>
      <c r="E38">
        <f t="shared" si="11"/>
        <v>44000</v>
      </c>
      <c r="F38">
        <f t="shared" si="11"/>
        <v>87000</v>
      </c>
      <c r="G38">
        <f t="shared" si="11"/>
        <v>226000</v>
      </c>
      <c r="H38">
        <f t="shared" si="11"/>
        <v>120000</v>
      </c>
      <c r="I38">
        <f t="shared" si="11"/>
        <v>150000</v>
      </c>
      <c r="J38">
        <f t="shared" si="11"/>
        <v>64000</v>
      </c>
      <c r="K38">
        <f t="shared" si="11"/>
        <v>58000</v>
      </c>
      <c r="L38">
        <f t="shared" si="11"/>
        <v>-175500</v>
      </c>
      <c r="M38">
        <f t="shared" si="11"/>
        <v>36000</v>
      </c>
      <c r="N38">
        <f t="shared" si="11"/>
        <v>23000</v>
      </c>
      <c r="O38">
        <f t="shared" si="11"/>
        <v>16000</v>
      </c>
      <c r="P38">
        <f t="shared" si="11"/>
        <v>22000</v>
      </c>
      <c r="Q38">
        <f t="shared" si="11"/>
        <v>10000</v>
      </c>
      <c r="R38">
        <f t="shared" si="11"/>
        <v>10000</v>
      </c>
      <c r="S38">
        <f t="shared" si="11"/>
        <v>12000</v>
      </c>
      <c r="T38">
        <f t="shared" si="11"/>
        <v>8000</v>
      </c>
      <c r="U38">
        <f t="shared" si="11"/>
        <v>11000</v>
      </c>
      <c r="V38">
        <f t="shared" si="11"/>
        <v>10000</v>
      </c>
      <c r="W38">
        <f t="shared" si="11"/>
        <v>8000</v>
      </c>
      <c r="X38">
        <f t="shared" si="11"/>
        <v>9000</v>
      </c>
      <c r="Y38">
        <f t="shared" si="11"/>
        <v>7000</v>
      </c>
      <c r="Z38">
        <f t="shared" si="11"/>
        <v>6000</v>
      </c>
      <c r="AA38">
        <f t="shared" si="11"/>
        <v>5000</v>
      </c>
      <c r="AB38">
        <f t="shared" si="11"/>
        <v>7000</v>
      </c>
      <c r="AC38">
        <f t="shared" si="11"/>
        <v>10000</v>
      </c>
      <c r="AD38">
        <f t="shared" si="11"/>
        <v>10000</v>
      </c>
      <c r="AJ38" s="23"/>
      <c r="AK38" s="23"/>
    </row>
    <row r="39" spans="1:37" x14ac:dyDescent="0.25">
      <c r="A39" t="str">
        <f>'Intermediate calculations'!A45</f>
        <v>Maize consumption (human)</v>
      </c>
      <c r="B39" t="str">
        <f>'Intermediate calculations'!B45</f>
        <v>t</v>
      </c>
      <c r="C39">
        <v>2353000</v>
      </c>
      <c r="D39">
        <v>2534000</v>
      </c>
      <c r="E39">
        <v>2567000</v>
      </c>
      <c r="F39">
        <v>2743000</v>
      </c>
      <c r="G39">
        <v>2918000</v>
      </c>
      <c r="H39">
        <v>2540000</v>
      </c>
      <c r="I39">
        <v>2807000</v>
      </c>
      <c r="J39">
        <v>2912000</v>
      </c>
      <c r="K39">
        <v>3382000</v>
      </c>
      <c r="L39">
        <v>3381000</v>
      </c>
      <c r="M39">
        <v>3426000</v>
      </c>
      <c r="N39">
        <v>3589000</v>
      </c>
      <c r="O39">
        <v>3877000</v>
      </c>
      <c r="P39">
        <v>3708000</v>
      </c>
      <c r="Q39">
        <v>3712000</v>
      </c>
      <c r="R39">
        <v>3740000</v>
      </c>
      <c r="S39">
        <v>3825000</v>
      </c>
      <c r="T39">
        <v>3816000</v>
      </c>
      <c r="U39">
        <v>3809000</v>
      </c>
      <c r="V39">
        <v>4524000</v>
      </c>
      <c r="W39">
        <v>4471000</v>
      </c>
      <c r="X39">
        <v>4513000</v>
      </c>
      <c r="Y39">
        <v>4512000</v>
      </c>
      <c r="Z39">
        <v>4499000</v>
      </c>
      <c r="AA39">
        <v>4582000</v>
      </c>
      <c r="AB39">
        <v>4840000</v>
      </c>
      <c r="AC39">
        <v>4698000</v>
      </c>
      <c r="AD39">
        <v>4809000</v>
      </c>
      <c r="AJ39">
        <f>SLOPE(M39:AD39,Drivers!N4:AE4)</f>
        <v>0.12497708592423579</v>
      </c>
      <c r="AK39">
        <f>INTERCEPT(M39:AD39,Drivers!N4:AE4)</f>
        <v>-2125948.8862176687</v>
      </c>
    </row>
    <row r="40" spans="1:37" x14ac:dyDescent="0.25">
      <c r="A40" t="str">
        <f>'Intermediate calculations'!A44</f>
        <v>Maize consumption (total)</v>
      </c>
      <c r="B40" t="str">
        <f>'Intermediate calculations'!B44</f>
        <v>t</v>
      </c>
      <c r="C40">
        <v>6425000</v>
      </c>
      <c r="D40">
        <v>6769000</v>
      </c>
      <c r="E40">
        <v>7022000</v>
      </c>
      <c r="F40">
        <v>6828000</v>
      </c>
      <c r="G40">
        <v>6773000</v>
      </c>
      <c r="H40">
        <v>6417000</v>
      </c>
      <c r="I40">
        <v>6842000</v>
      </c>
      <c r="J40">
        <v>6738000</v>
      </c>
      <c r="K40">
        <v>6383000</v>
      </c>
      <c r="L40">
        <v>6341000</v>
      </c>
      <c r="M40">
        <v>6362000</v>
      </c>
      <c r="N40">
        <v>6852000</v>
      </c>
      <c r="O40">
        <v>7151000</v>
      </c>
      <c r="P40">
        <v>6983000</v>
      </c>
      <c r="Q40">
        <v>7243000</v>
      </c>
      <c r="R40">
        <v>7283000</v>
      </c>
      <c r="S40">
        <v>7462000</v>
      </c>
      <c r="T40">
        <v>7660000</v>
      </c>
      <c r="U40">
        <v>8029000</v>
      </c>
      <c r="V40">
        <v>8613000</v>
      </c>
      <c r="W40">
        <v>8658000</v>
      </c>
      <c r="X40">
        <v>8857000</v>
      </c>
      <c r="Y40">
        <v>8941000</v>
      </c>
      <c r="Z40">
        <v>8935000</v>
      </c>
      <c r="AA40">
        <v>9349000</v>
      </c>
      <c r="AB40">
        <v>9927000</v>
      </c>
      <c r="AC40">
        <v>10249000</v>
      </c>
      <c r="AD40">
        <v>9813000</v>
      </c>
      <c r="AJ40">
        <f>SLOPE(M40:AD40,M39:AD39)</f>
        <v>2.3833210982866073</v>
      </c>
      <c r="AK40">
        <f>INTERCEPT(M40:AD40,M39:AD39)</f>
        <v>-1681273.1286989572</v>
      </c>
    </row>
    <row r="41" spans="1:37" x14ac:dyDescent="0.25">
      <c r="A41" t="str">
        <f>'Intermediate calculations'!A46</f>
        <v>Maize production</v>
      </c>
      <c r="B41" t="str">
        <f>'Intermediate calculations'!B46</f>
        <v>t</v>
      </c>
      <c r="C41">
        <v>9180000</v>
      </c>
      <c r="D41">
        <v>8614000</v>
      </c>
      <c r="E41">
        <v>3277000</v>
      </c>
      <c r="F41">
        <v>9997000</v>
      </c>
      <c r="G41">
        <v>13275000</v>
      </c>
      <c r="H41">
        <v>4866000</v>
      </c>
      <c r="I41">
        <v>10171000</v>
      </c>
      <c r="J41">
        <v>10136000</v>
      </c>
      <c r="K41">
        <v>7693000</v>
      </c>
      <c r="L41">
        <v>7946000</v>
      </c>
      <c r="M41">
        <v>11455000</v>
      </c>
      <c r="N41">
        <v>7772000</v>
      </c>
      <c r="O41">
        <v>10076000</v>
      </c>
      <c r="P41">
        <v>9705000</v>
      </c>
      <c r="Q41">
        <v>9737000</v>
      </c>
      <c r="R41">
        <v>11749000</v>
      </c>
      <c r="S41">
        <v>6618000</v>
      </c>
      <c r="T41">
        <v>7339000</v>
      </c>
      <c r="U41">
        <v>13164000</v>
      </c>
      <c r="V41">
        <v>12567000</v>
      </c>
      <c r="W41">
        <v>13421000</v>
      </c>
      <c r="X41">
        <v>10924000</v>
      </c>
      <c r="Y41">
        <v>12759000</v>
      </c>
      <c r="Z41">
        <v>12486000</v>
      </c>
      <c r="AA41">
        <v>14925000</v>
      </c>
      <c r="AB41">
        <v>10629000</v>
      </c>
      <c r="AC41">
        <v>7779000</v>
      </c>
      <c r="AD41">
        <v>16820000</v>
      </c>
      <c r="AJ41">
        <f>SLOPE(M41:AD41,M40:AD40)</f>
        <v>0.94561737822009173</v>
      </c>
      <c r="AK41">
        <f>INTERCEPT(M41:AD41,M40:AD40)</f>
        <v>3312588.1358677577</v>
      </c>
    </row>
    <row r="42" spans="1:37" x14ac:dyDescent="0.25">
      <c r="A42" t="s">
        <v>367</v>
      </c>
      <c r="B42" t="s">
        <v>361</v>
      </c>
      <c r="C42">
        <v>4163000</v>
      </c>
      <c r="D42">
        <v>3816000</v>
      </c>
      <c r="E42">
        <v>4173000</v>
      </c>
      <c r="F42">
        <v>4377000</v>
      </c>
      <c r="G42">
        <v>4661000</v>
      </c>
      <c r="H42">
        <v>3526000</v>
      </c>
      <c r="I42">
        <v>3761000</v>
      </c>
      <c r="J42">
        <v>4023000</v>
      </c>
      <c r="K42">
        <v>3560000</v>
      </c>
      <c r="L42">
        <v>3567000</v>
      </c>
      <c r="M42">
        <v>4013000</v>
      </c>
      <c r="N42">
        <v>3189000</v>
      </c>
      <c r="O42">
        <v>3533000</v>
      </c>
      <c r="P42">
        <v>3651000</v>
      </c>
      <c r="Q42">
        <v>3204000</v>
      </c>
      <c r="R42">
        <v>3223000</v>
      </c>
      <c r="S42">
        <v>2032000</v>
      </c>
      <c r="T42">
        <v>2897000</v>
      </c>
      <c r="U42">
        <v>3297000</v>
      </c>
      <c r="V42">
        <v>2896000</v>
      </c>
      <c r="W42">
        <v>3263000</v>
      </c>
      <c r="X42">
        <v>2859000</v>
      </c>
      <c r="Y42">
        <v>3141000</v>
      </c>
      <c r="Z42">
        <v>3238000</v>
      </c>
      <c r="AA42">
        <v>3096000</v>
      </c>
      <c r="AB42">
        <v>3048000</v>
      </c>
      <c r="AC42">
        <v>2213000</v>
      </c>
      <c r="AD42">
        <v>2997000</v>
      </c>
      <c r="AJ42">
        <f>SLOPE(M42:AD42,LN(M41:AD41))</f>
        <v>770524.49426802737</v>
      </c>
      <c r="AK42">
        <f>INTERCEPT(M42:AD42,LN(M41:AD41))</f>
        <v>-9377977.4579253141</v>
      </c>
    </row>
    <row r="43" spans="1:37" x14ac:dyDescent="0.25">
      <c r="A43" t="str">
        <f>'Intermediate calculations'!A47</f>
        <v>Sorghum consumption (human)</v>
      </c>
      <c r="B43" t="str">
        <f>'Intermediate calculations'!B47</f>
        <v>t</v>
      </c>
      <c r="C43">
        <v>194000</v>
      </c>
      <c r="D43">
        <v>195000</v>
      </c>
      <c r="E43">
        <v>199000</v>
      </c>
      <c r="F43">
        <v>200000</v>
      </c>
      <c r="G43">
        <v>184000</v>
      </c>
      <c r="H43">
        <v>183000</v>
      </c>
      <c r="I43">
        <v>181000</v>
      </c>
      <c r="J43">
        <v>179000</v>
      </c>
      <c r="K43">
        <v>177000</v>
      </c>
      <c r="L43">
        <v>175500</v>
      </c>
      <c r="M43">
        <v>174000</v>
      </c>
      <c r="N43">
        <v>186000</v>
      </c>
      <c r="O43">
        <v>190000</v>
      </c>
      <c r="P43">
        <v>174000</v>
      </c>
      <c r="Q43">
        <v>169000</v>
      </c>
      <c r="R43">
        <v>179000</v>
      </c>
      <c r="S43">
        <v>191000</v>
      </c>
      <c r="T43">
        <v>182000</v>
      </c>
      <c r="U43">
        <v>185000</v>
      </c>
      <c r="V43">
        <v>177000</v>
      </c>
      <c r="W43">
        <v>184000</v>
      </c>
      <c r="X43">
        <v>182000</v>
      </c>
      <c r="Y43">
        <v>183000</v>
      </c>
      <c r="Z43">
        <v>159000</v>
      </c>
      <c r="AA43">
        <v>165000</v>
      </c>
      <c r="AB43">
        <v>153000</v>
      </c>
      <c r="AC43">
        <v>149000</v>
      </c>
      <c r="AD43">
        <v>161000</v>
      </c>
    </row>
    <row r="44" spans="1:37" x14ac:dyDescent="0.25">
      <c r="A44" t="str">
        <f>'Intermediate calculations'!A49</f>
        <v>Sorghum consumption (total)</v>
      </c>
      <c r="B44" t="str">
        <f>'Intermediate calculations'!B49</f>
        <v>t</v>
      </c>
      <c r="C44">
        <v>316000</v>
      </c>
      <c r="D44">
        <v>245000</v>
      </c>
      <c r="E44">
        <v>243000</v>
      </c>
      <c r="F44">
        <v>287000</v>
      </c>
      <c r="G44">
        <v>410000</v>
      </c>
      <c r="H44">
        <v>303000</v>
      </c>
      <c r="I44">
        <v>331000</v>
      </c>
      <c r="J44">
        <v>243000</v>
      </c>
      <c r="K44">
        <v>235000</v>
      </c>
      <c r="L44">
        <v>0</v>
      </c>
      <c r="M44">
        <v>210000</v>
      </c>
      <c r="N44">
        <v>209000</v>
      </c>
      <c r="O44">
        <v>206000</v>
      </c>
      <c r="P44">
        <v>196000</v>
      </c>
      <c r="Q44">
        <v>179000</v>
      </c>
      <c r="R44">
        <v>189000</v>
      </c>
      <c r="S44">
        <v>203000</v>
      </c>
      <c r="T44">
        <v>190000</v>
      </c>
      <c r="U44">
        <v>196000</v>
      </c>
      <c r="V44">
        <v>187000</v>
      </c>
      <c r="W44">
        <v>192000</v>
      </c>
      <c r="X44">
        <v>191000</v>
      </c>
      <c r="Y44">
        <v>190000</v>
      </c>
      <c r="Z44">
        <v>165000</v>
      </c>
      <c r="AA44">
        <v>170000</v>
      </c>
      <c r="AB44">
        <v>160000</v>
      </c>
      <c r="AC44">
        <v>159000</v>
      </c>
      <c r="AD44">
        <v>171000</v>
      </c>
      <c r="AJ44">
        <f>SLOPE(W44:AD44,W43:AD43)</f>
        <v>0.99067431850789101</v>
      </c>
      <c r="AK44">
        <f>INTERCEPT(W44:AD44,W43:AD43)</f>
        <v>9307.3888091822155</v>
      </c>
    </row>
    <row r="45" spans="1:37" x14ac:dyDescent="0.25">
      <c r="A45" t="s">
        <v>812</v>
      </c>
      <c r="B45" t="s">
        <v>361</v>
      </c>
      <c r="C45">
        <v>341000</v>
      </c>
      <c r="D45">
        <v>302000</v>
      </c>
      <c r="E45">
        <v>118000</v>
      </c>
      <c r="F45">
        <v>515368</v>
      </c>
      <c r="G45">
        <v>520185</v>
      </c>
      <c r="H45">
        <v>290557</v>
      </c>
      <c r="I45">
        <v>535839</v>
      </c>
      <c r="J45">
        <v>433371</v>
      </c>
      <c r="K45">
        <v>358469</v>
      </c>
      <c r="L45">
        <v>223530</v>
      </c>
      <c r="M45">
        <v>142000</v>
      </c>
      <c r="N45">
        <v>88000</v>
      </c>
      <c r="O45">
        <v>75000</v>
      </c>
      <c r="P45">
        <v>95000</v>
      </c>
      <c r="Q45">
        <v>130000</v>
      </c>
      <c r="R45">
        <v>86000</v>
      </c>
      <c r="S45">
        <v>37000</v>
      </c>
      <c r="T45">
        <v>69000</v>
      </c>
      <c r="U45">
        <v>87000</v>
      </c>
      <c r="V45">
        <v>86000</v>
      </c>
      <c r="W45">
        <v>87000</v>
      </c>
      <c r="X45">
        <v>69000</v>
      </c>
      <c r="Y45">
        <v>49000</v>
      </c>
      <c r="Z45">
        <v>63000</v>
      </c>
      <c r="AA45">
        <v>78750</v>
      </c>
      <c r="AB45">
        <v>70000</v>
      </c>
      <c r="AC45">
        <v>48000</v>
      </c>
      <c r="AD45">
        <v>42000</v>
      </c>
      <c r="AJ45">
        <f>SLOPE(M45:AD45,M44:AD44)</f>
        <v>0.59564510705077911</v>
      </c>
      <c r="AK45">
        <f>INTERCEPT(M45:AD45,M44:AD44)</f>
        <v>-33411.36083398723</v>
      </c>
    </row>
    <row r="46" spans="1:37" x14ac:dyDescent="0.25">
      <c r="A46" t="s">
        <v>370</v>
      </c>
      <c r="B46" t="s">
        <v>361</v>
      </c>
      <c r="C46">
        <v>1563000</v>
      </c>
      <c r="D46">
        <v>1436000</v>
      </c>
      <c r="E46">
        <v>750000</v>
      </c>
      <c r="F46">
        <v>1075000</v>
      </c>
      <c r="G46">
        <v>1048000</v>
      </c>
      <c r="H46">
        <v>1363000</v>
      </c>
      <c r="I46">
        <v>1294000</v>
      </c>
      <c r="J46">
        <v>1382000</v>
      </c>
      <c r="K46">
        <v>745000</v>
      </c>
      <c r="L46">
        <v>718000</v>
      </c>
      <c r="M46">
        <v>934000</v>
      </c>
      <c r="N46">
        <v>974000</v>
      </c>
      <c r="O46">
        <v>941000</v>
      </c>
      <c r="P46">
        <v>748000</v>
      </c>
      <c r="Q46">
        <v>830000</v>
      </c>
      <c r="R46">
        <v>805000</v>
      </c>
      <c r="S46">
        <v>765000</v>
      </c>
      <c r="T46">
        <v>632000</v>
      </c>
      <c r="U46">
        <v>748000</v>
      </c>
      <c r="V46">
        <v>642000</v>
      </c>
      <c r="W46">
        <v>558000</v>
      </c>
      <c r="X46">
        <v>605000</v>
      </c>
      <c r="Y46">
        <v>511000</v>
      </c>
      <c r="Z46">
        <v>506000</v>
      </c>
      <c r="AA46">
        <v>477000</v>
      </c>
      <c r="AB46">
        <v>482000</v>
      </c>
      <c r="AC46">
        <v>508000</v>
      </c>
      <c r="AD46">
        <v>492000</v>
      </c>
    </row>
    <row r="47" spans="1:37" x14ac:dyDescent="0.25">
      <c r="A47" t="s">
        <v>383</v>
      </c>
      <c r="B47" t="s">
        <v>321</v>
      </c>
      <c r="C47">
        <v>780000</v>
      </c>
      <c r="D47">
        <v>825000</v>
      </c>
      <c r="E47">
        <v>570000</v>
      </c>
      <c r="F47">
        <v>900000</v>
      </c>
      <c r="G47">
        <v>1299451</v>
      </c>
      <c r="H47">
        <v>1032745</v>
      </c>
      <c r="I47">
        <v>1263570</v>
      </c>
      <c r="J47">
        <v>1193985</v>
      </c>
      <c r="K47">
        <v>1244321</v>
      </c>
      <c r="L47">
        <v>1237174</v>
      </c>
      <c r="M47">
        <v>825252</v>
      </c>
      <c r="N47">
        <v>1068357</v>
      </c>
      <c r="O47">
        <v>1467915</v>
      </c>
      <c r="P47">
        <v>1265742</v>
      </c>
      <c r="Q47">
        <v>1264888</v>
      </c>
      <c r="R47">
        <v>580444</v>
      </c>
      <c r="S47">
        <v>963118</v>
      </c>
      <c r="T47">
        <v>1137646</v>
      </c>
      <c r="U47">
        <v>1429803</v>
      </c>
      <c r="V47">
        <v>1517602.3688259386</v>
      </c>
      <c r="W47">
        <v>1425245.0325037544</v>
      </c>
      <c r="X47">
        <v>1576608.4448095565</v>
      </c>
      <c r="Y47">
        <v>1810067.2671795222</v>
      </c>
      <c r="Z47">
        <v>1635614.5207931739</v>
      </c>
      <c r="AA47">
        <v>1686924.1520832763</v>
      </c>
      <c r="AB47">
        <v>1702317.0414703069</v>
      </c>
      <c r="AC47">
        <v>2143579.8705651872</v>
      </c>
      <c r="AD47">
        <v>2657958.9242484635</v>
      </c>
      <c r="AJ47">
        <f>SLOPE(M47:AD47,M42:AD42)</f>
        <v>-0.28544189547795717</v>
      </c>
      <c r="AK47">
        <f>INTERCEPT(M47:AD47,M42:AD42)</f>
        <v>2337993.6650663563</v>
      </c>
    </row>
    <row r="48" spans="1:37" x14ac:dyDescent="0.25">
      <c r="A48" t="s">
        <v>114</v>
      </c>
      <c r="B48" t="s">
        <v>321</v>
      </c>
      <c r="C48">
        <v>124083.5011138469</v>
      </c>
      <c r="D48">
        <v>152218.50271143019</v>
      </c>
      <c r="E48">
        <v>180353.50430901349</v>
      </c>
      <c r="F48">
        <v>208488.50590658933</v>
      </c>
      <c r="G48">
        <v>236623.50750417262</v>
      </c>
      <c r="H48">
        <v>264758.50910175592</v>
      </c>
      <c r="I48">
        <v>292893.51069933921</v>
      </c>
      <c r="J48">
        <v>321028.5122969225</v>
      </c>
      <c r="K48">
        <v>349163.5138945058</v>
      </c>
      <c r="L48">
        <v>377298.51549208909</v>
      </c>
      <c r="M48">
        <v>405433.51708967239</v>
      </c>
      <c r="N48">
        <v>433568.51868725568</v>
      </c>
      <c r="O48">
        <v>461703.52028483152</v>
      </c>
      <c r="P48">
        <v>489838.52188241482</v>
      </c>
      <c r="Q48">
        <v>594407</v>
      </c>
      <c r="R48">
        <v>484209</v>
      </c>
      <c r="S48">
        <v>536026</v>
      </c>
      <c r="T48">
        <v>660755</v>
      </c>
      <c r="U48">
        <v>654808</v>
      </c>
      <c r="V48">
        <v>518924</v>
      </c>
      <c r="W48">
        <v>683837</v>
      </c>
      <c r="X48">
        <v>778897</v>
      </c>
      <c r="Y48">
        <v>800756</v>
      </c>
      <c r="Z48">
        <v>726904.59500000009</v>
      </c>
      <c r="AA48">
        <v>905143.08</v>
      </c>
      <c r="AB48">
        <v>662862.79909999995</v>
      </c>
      <c r="AC48">
        <v>877638</v>
      </c>
      <c r="AD48">
        <v>926747</v>
      </c>
      <c r="AJ48">
        <f>SLOPE(M48:AD48,M49:AD49)</f>
        <v>1.3595755992345242</v>
      </c>
      <c r="AK48">
        <f>INTERCEPT(M48:AD48,M49:AD49)</f>
        <v>69456.835151908104</v>
      </c>
    </row>
    <row r="49" spans="1:37" x14ac:dyDescent="0.25">
      <c r="A49" t="s">
        <v>813</v>
      </c>
      <c r="B49" t="s">
        <v>321</v>
      </c>
      <c r="C49">
        <v>343689</v>
      </c>
      <c r="D49">
        <v>365035</v>
      </c>
      <c r="E49">
        <v>347525</v>
      </c>
      <c r="F49">
        <v>408459</v>
      </c>
      <c r="G49">
        <v>375066</v>
      </c>
      <c r="H49">
        <v>371491</v>
      </c>
      <c r="I49">
        <v>415084</v>
      </c>
      <c r="J49">
        <v>406914</v>
      </c>
      <c r="K49">
        <v>415521</v>
      </c>
      <c r="L49">
        <v>413045</v>
      </c>
      <c r="M49">
        <v>415933</v>
      </c>
      <c r="N49">
        <v>395813</v>
      </c>
      <c r="O49">
        <v>477072</v>
      </c>
      <c r="P49">
        <v>420827</v>
      </c>
      <c r="Q49">
        <v>427571</v>
      </c>
      <c r="R49">
        <v>347260</v>
      </c>
      <c r="S49">
        <v>428719</v>
      </c>
      <c r="T49">
        <v>439480</v>
      </c>
      <c r="U49">
        <v>424123</v>
      </c>
      <c r="V49">
        <v>453777</v>
      </c>
      <c r="W49">
        <v>395000</v>
      </c>
      <c r="X49">
        <v>419000</v>
      </c>
      <c r="Y49">
        <v>430000</v>
      </c>
      <c r="Z49">
        <v>416500</v>
      </c>
      <c r="AA49">
        <v>447547</v>
      </c>
      <c r="AB49">
        <v>402792</v>
      </c>
      <c r="AC49">
        <v>430000</v>
      </c>
      <c r="AD49">
        <v>442900</v>
      </c>
      <c r="AJ49">
        <f>SLOPE(M49:AD49,M42:AD42)</f>
        <v>-6.3872671298887381E-3</v>
      </c>
      <c r="AK49">
        <f>INTERCEPT(M49:AD49,M42:AD42)</f>
        <v>442814.42406536068</v>
      </c>
    </row>
    <row r="50" spans="1:37" x14ac:dyDescent="0.25">
      <c r="A50" t="s">
        <v>929</v>
      </c>
      <c r="B50" t="s">
        <v>811</v>
      </c>
      <c r="C50">
        <v>1100000</v>
      </c>
      <c r="D50">
        <v>1260000</v>
      </c>
      <c r="E50">
        <v>1090000</v>
      </c>
      <c r="F50">
        <v>1150000</v>
      </c>
      <c r="G50">
        <v>1050000</v>
      </c>
      <c r="H50">
        <v>1130000</v>
      </c>
      <c r="I50">
        <v>1140000</v>
      </c>
      <c r="J50">
        <v>1100000</v>
      </c>
      <c r="K50">
        <v>1070000</v>
      </c>
      <c r="L50">
        <v>1080000</v>
      </c>
      <c r="M50">
        <v>1370000</v>
      </c>
      <c r="N50">
        <v>1360000</v>
      </c>
      <c r="O50">
        <v>1210000</v>
      </c>
      <c r="P50">
        <v>1070000</v>
      </c>
      <c r="Q50">
        <v>1020000</v>
      </c>
      <c r="R50">
        <v>1100000</v>
      </c>
      <c r="S50">
        <v>1080000</v>
      </c>
      <c r="T50">
        <v>1080000</v>
      </c>
      <c r="U50">
        <v>1300000</v>
      </c>
      <c r="V50">
        <v>1340000</v>
      </c>
      <c r="W50">
        <v>1340000</v>
      </c>
      <c r="X50">
        <v>1280000</v>
      </c>
      <c r="Y50">
        <v>1240000</v>
      </c>
      <c r="Z50">
        <v>1360000</v>
      </c>
      <c r="AA50">
        <v>1260000</v>
      </c>
      <c r="AB50">
        <v>1260000</v>
      </c>
      <c r="AC50">
        <v>1300000</v>
      </c>
      <c r="AD50">
        <v>1410000</v>
      </c>
    </row>
    <row r="51" spans="1:37" x14ac:dyDescent="0.25">
      <c r="A51" t="str">
        <f>'Activity data'!C5&amp;" - "&amp;'Activity data'!D5</f>
        <v>3A1ai Dairy cattle - TMR</v>
      </c>
      <c r="B51" t="s">
        <v>811</v>
      </c>
      <c r="C51">
        <v>487746.14676082286</v>
      </c>
      <c r="D51">
        <v>561522.50537304278</v>
      </c>
      <c r="E51">
        <v>485789.62235185754</v>
      </c>
      <c r="F51">
        <v>515225.4221676389</v>
      </c>
      <c r="G51">
        <v>477963.52471599629</v>
      </c>
      <c r="H51">
        <v>511312.37334970833</v>
      </c>
      <c r="I51">
        <v>513268.89775867364</v>
      </c>
      <c r="J51">
        <v>494824.80810561875</v>
      </c>
      <c r="K51">
        <v>488955.23487872281</v>
      </c>
      <c r="L51">
        <v>480293.76727049437</v>
      </c>
      <c r="M51">
        <v>618437.58059564023</v>
      </c>
      <c r="N51">
        <v>616481.05618667486</v>
      </c>
      <c r="O51">
        <v>537582.56063862459</v>
      </c>
      <c r="P51">
        <v>488955.23487872281</v>
      </c>
      <c r="Q51">
        <v>472093.95148910041</v>
      </c>
      <c r="R51">
        <v>505442.80012281239</v>
      </c>
      <c r="S51">
        <v>494451.08996008604</v>
      </c>
      <c r="T51">
        <v>490911.75928768812</v>
      </c>
      <c r="U51">
        <v>601202.57906048512</v>
      </c>
      <c r="V51">
        <v>616107.33804114221</v>
      </c>
      <c r="W51">
        <v>616107.33804114221</v>
      </c>
      <c r="X51">
        <v>593750.19957015652</v>
      </c>
      <c r="Y51">
        <v>571766.77924470371</v>
      </c>
      <c r="Z51">
        <v>616481.05618667486</v>
      </c>
      <c r="AA51">
        <v>582758.48940743017</v>
      </c>
      <c r="AB51">
        <v>589837.15075222601</v>
      </c>
      <c r="AC51">
        <v>611820.57107767893</v>
      </c>
      <c r="AD51">
        <v>658117.65428308269</v>
      </c>
    </row>
    <row r="52" spans="1:37" x14ac:dyDescent="0.25">
      <c r="A52" t="str">
        <f>'Activity data'!C6&amp;" - "&amp;'Activity data'!D6</f>
        <v>3A1ai Dairy cattle - Pasture</v>
      </c>
      <c r="B52" t="s">
        <v>811</v>
      </c>
      <c r="C52">
        <v>399733.85323917714</v>
      </c>
      <c r="D52">
        <v>460197.49462695734</v>
      </c>
      <c r="E52">
        <v>398130.37764814246</v>
      </c>
      <c r="F52">
        <v>422254.57783236104</v>
      </c>
      <c r="G52">
        <v>391716.47528400371</v>
      </c>
      <c r="H52">
        <v>419047.62665029167</v>
      </c>
      <c r="I52">
        <v>420651.10224132636</v>
      </c>
      <c r="J52">
        <v>405535.19189438137</v>
      </c>
      <c r="K52">
        <v>400724.76512127731</v>
      </c>
      <c r="L52">
        <v>393626.23272950563</v>
      </c>
      <c r="M52">
        <v>506842.41940435988</v>
      </c>
      <c r="N52">
        <v>505238.9438133252</v>
      </c>
      <c r="O52">
        <v>440577.43936137547</v>
      </c>
      <c r="P52">
        <v>400724.76512127731</v>
      </c>
      <c r="Q52">
        <v>386906.04851089959</v>
      </c>
      <c r="R52">
        <v>414237.19987718761</v>
      </c>
      <c r="S52">
        <v>405228.91003991402</v>
      </c>
      <c r="T52">
        <v>402328.24071231199</v>
      </c>
      <c r="U52">
        <v>492717.42093951488</v>
      </c>
      <c r="V52">
        <v>504932.66195885779</v>
      </c>
      <c r="W52">
        <v>504932.66195885779</v>
      </c>
      <c r="X52">
        <v>486609.80042984337</v>
      </c>
      <c r="Y52">
        <v>468593.22075529629</v>
      </c>
      <c r="Z52">
        <v>505238.9438133252</v>
      </c>
      <c r="AA52">
        <v>477601.51059256989</v>
      </c>
      <c r="AB52">
        <v>483402.84924777399</v>
      </c>
      <c r="AC52">
        <v>501419.42892232112</v>
      </c>
      <c r="AD52">
        <v>539362.34571691742</v>
      </c>
    </row>
    <row r="53" spans="1:37" x14ac:dyDescent="0.25">
      <c r="A53" t="str">
        <f>'Activity data'!C7&amp;" - "&amp;'Activity data'!D7</f>
        <v>3A1aii Other cattle - Non-lactating</v>
      </c>
      <c r="B53" t="s">
        <v>811</v>
      </c>
      <c r="C53">
        <v>585792.9</v>
      </c>
      <c r="D53">
        <v>665847.14000000013</v>
      </c>
      <c r="E53">
        <v>575959.50999999989</v>
      </c>
      <c r="F53">
        <v>602759.85000000009</v>
      </c>
      <c r="G53">
        <v>536625.95000000007</v>
      </c>
      <c r="H53">
        <v>583093.06999999995</v>
      </c>
      <c r="I53">
        <v>592926.46</v>
      </c>
      <c r="J53">
        <v>572912.89999999991</v>
      </c>
      <c r="K53">
        <v>543412.73</v>
      </c>
      <c r="L53">
        <v>572566.12</v>
      </c>
      <c r="M53">
        <v>709614.43</v>
      </c>
      <c r="N53">
        <v>699781.04</v>
      </c>
      <c r="O53">
        <v>642440.19000000006</v>
      </c>
      <c r="P53">
        <v>543412.73</v>
      </c>
      <c r="Q53">
        <v>507125.77999999997</v>
      </c>
      <c r="R53">
        <v>553592.9</v>
      </c>
      <c r="S53">
        <v>546806.12</v>
      </c>
      <c r="T53">
        <v>553246.12</v>
      </c>
      <c r="U53">
        <v>647220.70000000019</v>
      </c>
      <c r="V53">
        <v>673674.26</v>
      </c>
      <c r="W53">
        <v>673674.26</v>
      </c>
      <c r="X53">
        <v>633993.92000000016</v>
      </c>
      <c r="Y53">
        <v>620420.36</v>
      </c>
      <c r="Z53">
        <v>699781.04</v>
      </c>
      <c r="AA53">
        <v>627207.14</v>
      </c>
      <c r="AB53">
        <v>614327.14</v>
      </c>
      <c r="AC53">
        <v>627900.70000000007</v>
      </c>
      <c r="AD53">
        <v>690987.99</v>
      </c>
    </row>
    <row r="54" spans="1:37" x14ac:dyDescent="0.25">
      <c r="A54" t="str">
        <f>'Activity data'!C8&amp;" - "&amp;'Activity data'!D8</f>
        <v>3A1aii Other cattle - Commercial</v>
      </c>
      <c r="B54" t="s">
        <v>811</v>
      </c>
      <c r="C54">
        <v>6817100</v>
      </c>
      <c r="D54">
        <v>6522860</v>
      </c>
      <c r="E54">
        <v>6520490</v>
      </c>
      <c r="F54">
        <v>6100150</v>
      </c>
      <c r="G54">
        <v>6284050</v>
      </c>
      <c r="H54">
        <v>6426930</v>
      </c>
      <c r="I54">
        <v>6693540</v>
      </c>
      <c r="J54">
        <v>6947100</v>
      </c>
      <c r="K54">
        <v>7007270</v>
      </c>
      <c r="L54">
        <v>6893880</v>
      </c>
      <c r="M54">
        <v>6425570</v>
      </c>
      <c r="N54">
        <v>6458960</v>
      </c>
      <c r="O54">
        <v>6019810</v>
      </c>
      <c r="P54">
        <v>6177270</v>
      </c>
      <c r="Q54">
        <v>6234220</v>
      </c>
      <c r="R54">
        <v>6287100</v>
      </c>
      <c r="S54">
        <v>6143880</v>
      </c>
      <c r="T54">
        <v>6323880</v>
      </c>
      <c r="U54">
        <v>6148152.25</v>
      </c>
      <c r="V54">
        <v>6044920.583333333</v>
      </c>
      <c r="W54">
        <v>6025917.666666667</v>
      </c>
      <c r="X54">
        <v>6004279.833333333</v>
      </c>
      <c r="Y54">
        <v>7105366.333333334</v>
      </c>
      <c r="Z54">
        <v>5896311</v>
      </c>
      <c r="AA54">
        <v>6031835</v>
      </c>
      <c r="AB54">
        <v>5893460</v>
      </c>
      <c r="AC54">
        <v>5611164</v>
      </c>
      <c r="AD54">
        <v>5220425</v>
      </c>
      <c r="AJ54">
        <f>SLOPE(M54:AD54,LN(M14:AD14))</f>
        <v>-849795.56703256955</v>
      </c>
      <c r="AK54">
        <f>INTERCEPT(M54:AD54,LN(M14:AD14))</f>
        <v>17654028.051321879</v>
      </c>
    </row>
    <row r="55" spans="1:37" x14ac:dyDescent="0.25">
      <c r="A55" t="str">
        <f>'Activity data'!C9&amp;" - "&amp;'Activity data'!D9</f>
        <v>3A1aii Other cattle - Subsistence</v>
      </c>
      <c r="B55" t="s">
        <v>811</v>
      </c>
      <c r="C55">
        <v>4590000</v>
      </c>
      <c r="D55">
        <v>4870000</v>
      </c>
      <c r="E55">
        <v>5100000</v>
      </c>
      <c r="F55">
        <v>5040000</v>
      </c>
      <c r="G55">
        <v>4390000</v>
      </c>
      <c r="H55">
        <v>4240000</v>
      </c>
      <c r="I55">
        <v>4360000</v>
      </c>
      <c r="J55">
        <v>4560000</v>
      </c>
      <c r="K55">
        <v>4840000</v>
      </c>
      <c r="L55">
        <v>5040000</v>
      </c>
      <c r="M55">
        <v>4920000</v>
      </c>
      <c r="N55">
        <v>4800000</v>
      </c>
      <c r="O55">
        <v>5440000</v>
      </c>
      <c r="P55">
        <v>5570000</v>
      </c>
      <c r="Q55">
        <v>5480000</v>
      </c>
      <c r="R55">
        <v>5320000</v>
      </c>
      <c r="S55">
        <v>5490000</v>
      </c>
      <c r="T55">
        <v>5710000</v>
      </c>
      <c r="U55">
        <v>5620000</v>
      </c>
      <c r="V55">
        <v>5560000</v>
      </c>
      <c r="W55">
        <v>5480000</v>
      </c>
      <c r="X55">
        <v>5520000</v>
      </c>
      <c r="Y55">
        <v>4650000</v>
      </c>
      <c r="Z55">
        <v>5680000</v>
      </c>
      <c r="AA55">
        <v>5660000</v>
      </c>
      <c r="AB55">
        <v>5580000</v>
      </c>
      <c r="AC55">
        <v>5480000</v>
      </c>
      <c r="AD55">
        <v>5300000</v>
      </c>
      <c r="AJ55">
        <f>SLOPE(M55:AD55,Drivers!N4:AE4)</f>
        <v>2.333091554441653E-2</v>
      </c>
      <c r="AK55">
        <f>INTERCEPT(M55:AD55,Drivers!N4:AE4)</f>
        <v>4229136.6969350902</v>
      </c>
    </row>
    <row r="56" spans="1:37" x14ac:dyDescent="0.25">
      <c r="A56" t="str">
        <f>'Activity data'!C10&amp;" - "&amp;'Activity data'!D10</f>
        <v>3A1aii Other cattle - Feedlot</v>
      </c>
      <c r="B56" t="s">
        <v>811</v>
      </c>
      <c r="C56">
        <v>420000</v>
      </c>
      <c r="D56">
        <v>420000</v>
      </c>
      <c r="E56">
        <v>420000</v>
      </c>
      <c r="F56">
        <v>420000</v>
      </c>
      <c r="G56">
        <v>420000</v>
      </c>
      <c r="H56">
        <v>420000</v>
      </c>
      <c r="I56">
        <v>420000</v>
      </c>
      <c r="J56">
        <v>420000</v>
      </c>
      <c r="K56">
        <v>420000</v>
      </c>
      <c r="L56">
        <v>420000</v>
      </c>
      <c r="M56">
        <v>420000</v>
      </c>
      <c r="N56">
        <v>420000</v>
      </c>
      <c r="O56">
        <v>420000</v>
      </c>
      <c r="P56">
        <v>420000</v>
      </c>
      <c r="Q56">
        <v>420000</v>
      </c>
      <c r="R56">
        <v>420000</v>
      </c>
      <c r="S56">
        <v>420000</v>
      </c>
      <c r="T56">
        <v>420000</v>
      </c>
      <c r="U56">
        <v>391147.75</v>
      </c>
      <c r="V56">
        <v>400819.41666666669</v>
      </c>
      <c r="W56">
        <v>399822.33333333331</v>
      </c>
      <c r="X56">
        <v>461800.16666666669</v>
      </c>
      <c r="Y56">
        <v>484273.66666666669</v>
      </c>
      <c r="Z56">
        <v>502649</v>
      </c>
      <c r="AA56">
        <v>521025</v>
      </c>
      <c r="AB56">
        <v>539400</v>
      </c>
      <c r="AC56">
        <v>568136</v>
      </c>
      <c r="AD56">
        <v>591585</v>
      </c>
      <c r="AJ56">
        <f>SLOPE(U56:AD56,U13:AD13)</f>
        <v>0.637449100124306</v>
      </c>
      <c r="AK56">
        <f>INTERCEPT(U56:AD56,U13:AD13)</f>
        <v>-99494.910040854127</v>
      </c>
    </row>
    <row r="57" spans="1:37" x14ac:dyDescent="0.25">
      <c r="A57" t="str">
        <f>'Activity data'!C11&amp;" - "&amp;'Activity data'!D11</f>
        <v>3A1c Sheep - Commercial</v>
      </c>
      <c r="B57" t="s">
        <v>811</v>
      </c>
      <c r="C57">
        <v>29979000</v>
      </c>
      <c r="D57">
        <v>28631000</v>
      </c>
      <c r="E57">
        <v>27448000</v>
      </c>
      <c r="F57">
        <v>25670000</v>
      </c>
      <c r="G57">
        <v>25851000</v>
      </c>
      <c r="H57">
        <v>25481000</v>
      </c>
      <c r="I57">
        <v>25566000</v>
      </c>
      <c r="J57">
        <v>25010000</v>
      </c>
      <c r="K57">
        <v>25079000</v>
      </c>
      <c r="L57">
        <v>24463000</v>
      </c>
      <c r="M57">
        <v>23586000</v>
      </c>
      <c r="N57">
        <v>22998000</v>
      </c>
      <c r="O57">
        <v>22614000</v>
      </c>
      <c r="P57">
        <v>22693000</v>
      </c>
      <c r="Q57">
        <v>22289000</v>
      </c>
      <c r="R57">
        <v>22236000</v>
      </c>
      <c r="S57">
        <v>21945000</v>
      </c>
      <c r="T57">
        <v>21924000</v>
      </c>
      <c r="U57">
        <v>21995000</v>
      </c>
      <c r="V57">
        <v>21917000</v>
      </c>
      <c r="W57">
        <v>21493000</v>
      </c>
      <c r="X57">
        <v>21325000</v>
      </c>
      <c r="Y57">
        <v>21427000</v>
      </c>
      <c r="Z57">
        <v>21589000</v>
      </c>
      <c r="AA57">
        <v>21202000</v>
      </c>
      <c r="AB57">
        <v>21033000</v>
      </c>
      <c r="AC57">
        <v>20438000</v>
      </c>
      <c r="AD57">
        <v>19942000</v>
      </c>
      <c r="AJ57">
        <f>SLOPE(F57:AD57,LN(F23:AD23))</f>
        <v>-5142301.054387291</v>
      </c>
      <c r="AK57">
        <f>INTERCEPT(F57:AD57,LN(F23:AD23))</f>
        <v>83155618.791130543</v>
      </c>
    </row>
    <row r="58" spans="1:37" x14ac:dyDescent="0.25">
      <c r="A58" t="str">
        <f>'Activity data'!C12&amp;" - "&amp;'Activity data'!D12</f>
        <v>3A1c Sheep - Subsistence</v>
      </c>
      <c r="B58" t="s">
        <v>811</v>
      </c>
      <c r="C58">
        <v>4183862.7657327019</v>
      </c>
      <c r="D58">
        <v>3995736.1768468926</v>
      </c>
      <c r="E58">
        <v>3830636.9523276691</v>
      </c>
      <c r="F58">
        <v>3582499.6563046952</v>
      </c>
      <c r="G58">
        <v>3607759.9772159201</v>
      </c>
      <c r="H58">
        <v>3556122.8571211509</v>
      </c>
      <c r="I58">
        <v>3567985.4387645437</v>
      </c>
      <c r="J58">
        <v>3490390.1988383494</v>
      </c>
      <c r="K58">
        <v>3500019.8239371148</v>
      </c>
      <c r="L58">
        <v>3414050.996968525</v>
      </c>
      <c r="M58">
        <v>3291657.0663655167</v>
      </c>
      <c r="N58">
        <v>3209595.9133500443</v>
      </c>
      <c r="O58">
        <v>3156004.9562787157</v>
      </c>
      <c r="P58">
        <v>3167030.1792178694</v>
      </c>
      <c r="Q58">
        <v>3110648.0264657419</v>
      </c>
      <c r="R58">
        <v>3103251.3579116268</v>
      </c>
      <c r="S58">
        <v>3062639.4607560104</v>
      </c>
      <c r="T58">
        <v>3059708.705291172</v>
      </c>
      <c r="U58">
        <v>3069617.4499580064</v>
      </c>
      <c r="V58">
        <v>3058731.7868028926</v>
      </c>
      <c r="W58">
        <v>2999558.4383699675</v>
      </c>
      <c r="X58">
        <v>2976112.3946512612</v>
      </c>
      <c r="Y58">
        <v>2990347.4926233329</v>
      </c>
      <c r="Z58">
        <v>3012956.1776377996</v>
      </c>
      <c r="AA58">
        <v>2958946.5412143511</v>
      </c>
      <c r="AB58">
        <v>2935360.9377116049</v>
      </c>
      <c r="AC58">
        <v>2852322.8662078534</v>
      </c>
      <c r="AD58">
        <v>2783101.2133240541</v>
      </c>
    </row>
    <row r="59" spans="1:37" x14ac:dyDescent="0.25">
      <c r="A59" t="str">
        <f>'Activity data'!C13&amp;" - "&amp;'Activity data'!D13</f>
        <v>3A1d Goats - Commercial</v>
      </c>
      <c r="B59" t="s">
        <v>811</v>
      </c>
      <c r="C59">
        <v>2774000.0000000005</v>
      </c>
      <c r="D59">
        <v>2453000.0000000009</v>
      </c>
      <c r="E59">
        <v>2284999.9999999995</v>
      </c>
      <c r="F59">
        <v>2158999.9999999995</v>
      </c>
      <c r="G59">
        <v>2336999.9999999995</v>
      </c>
      <c r="H59">
        <v>2369000</v>
      </c>
      <c r="I59">
        <v>2405999.9999999995</v>
      </c>
      <c r="J59">
        <v>2394000</v>
      </c>
      <c r="K59">
        <v>2360000</v>
      </c>
      <c r="L59">
        <v>2325000.0000000005</v>
      </c>
      <c r="M59">
        <v>2355000</v>
      </c>
      <c r="N59">
        <v>2427000.0000000005</v>
      </c>
      <c r="O59">
        <v>2216000.0000000005</v>
      </c>
      <c r="P59">
        <v>2160000</v>
      </c>
      <c r="Q59">
        <v>2164000.0000000005</v>
      </c>
      <c r="R59">
        <v>2136000</v>
      </c>
      <c r="S59">
        <v>2181000</v>
      </c>
      <c r="T59">
        <v>2116000</v>
      </c>
      <c r="U59">
        <v>2114000.0000000005</v>
      </c>
      <c r="V59">
        <v>2077000</v>
      </c>
      <c r="W59">
        <v>2052000.0000000002</v>
      </c>
      <c r="X59">
        <v>2033000.0000000002</v>
      </c>
      <c r="Y59">
        <v>2028000.0000000002</v>
      </c>
      <c r="Z59">
        <v>2005000</v>
      </c>
      <c r="AA59">
        <v>1987000.0000000002</v>
      </c>
      <c r="AB59">
        <v>1960000.0000000002</v>
      </c>
      <c r="AC59">
        <v>1900999.9999999998</v>
      </c>
      <c r="AD59">
        <v>1843000</v>
      </c>
      <c r="AJ59">
        <f>SLOPE(M59:AD59,M20:AD20)</f>
        <v>-70.552737449711444</v>
      </c>
      <c r="AK59">
        <f>INTERCEPT(M59:AD59,M20:AD20)</f>
        <v>2826074.60206402</v>
      </c>
    </row>
    <row r="60" spans="1:37" x14ac:dyDescent="0.25">
      <c r="A60" t="str">
        <f>'Activity data'!C14&amp;" - "&amp;'Activity data'!D14</f>
        <v>3A1d Goats - Subsistence</v>
      </c>
      <c r="B60" t="s">
        <v>811</v>
      </c>
      <c r="C60">
        <v>5479284.9120494025</v>
      </c>
      <c r="D60">
        <v>4845236.4416932901</v>
      </c>
      <c r="E60">
        <v>4513397.9899181286</v>
      </c>
      <c r="F60">
        <v>4264519.151086757</v>
      </c>
      <c r="G60">
        <v>4616109.8916580593</v>
      </c>
      <c r="H60">
        <v>4679317.2158057094</v>
      </c>
      <c r="I60">
        <v>4752400.6843514293</v>
      </c>
      <c r="J60">
        <v>4728697.9377960609</v>
      </c>
      <c r="K60">
        <v>4661540.1558891824</v>
      </c>
      <c r="L60">
        <v>4592407.1451026909</v>
      </c>
      <c r="M60">
        <v>4651664.0114911124</v>
      </c>
      <c r="N60">
        <v>4793880.4908233248</v>
      </c>
      <c r="O60">
        <v>4377107.1972247576</v>
      </c>
      <c r="P60">
        <v>4266494.3799663708</v>
      </c>
      <c r="Q60">
        <v>4274395.2954848269</v>
      </c>
      <c r="R60">
        <v>4219088.886855633</v>
      </c>
      <c r="S60">
        <v>4307974.1864382662</v>
      </c>
      <c r="T60">
        <v>4179584.3092633518</v>
      </c>
      <c r="U60">
        <v>4175633.8515041238</v>
      </c>
      <c r="V60">
        <v>4102550.3829584038</v>
      </c>
      <c r="W60">
        <v>4053169.6609680522</v>
      </c>
      <c r="X60">
        <v>4015640.3122553849</v>
      </c>
      <c r="Y60">
        <v>4005764.1678573145</v>
      </c>
      <c r="Z60">
        <v>3960333.9036261914</v>
      </c>
      <c r="AA60">
        <v>3924779.7837931383</v>
      </c>
      <c r="AB60">
        <v>3871448.6040435587</v>
      </c>
      <c r="AC60">
        <v>3754910.100146329</v>
      </c>
      <c r="AD60">
        <v>3640346.8251287136</v>
      </c>
      <c r="AJ60">
        <f>SLOPE(M60:AD60,Drivers!N4:AE4)</f>
        <v>-7.5956822080505429E-2</v>
      </c>
      <c r="AK60">
        <f>INTERCEPT(M60:AD60,Drivers!N4:AE4)</f>
        <v>7965792.0435501793</v>
      </c>
    </row>
    <row r="61" spans="1:37" x14ac:dyDescent="0.25">
      <c r="A61" t="str">
        <f>'Activity data'!C15&amp;" - "&amp;'Activity data'!D15</f>
        <v>3A1f Horses - Horses</v>
      </c>
      <c r="B61" t="s">
        <v>811</v>
      </c>
      <c r="C61">
        <v>230000</v>
      </c>
      <c r="D61">
        <v>230000</v>
      </c>
      <c r="E61">
        <v>230000</v>
      </c>
      <c r="F61">
        <v>235000</v>
      </c>
      <c r="G61">
        <v>240000</v>
      </c>
      <c r="H61">
        <v>245000</v>
      </c>
      <c r="I61">
        <v>250000</v>
      </c>
      <c r="J61">
        <v>255000</v>
      </c>
      <c r="K61">
        <v>260000</v>
      </c>
      <c r="L61">
        <v>258000</v>
      </c>
      <c r="M61">
        <v>270000</v>
      </c>
      <c r="N61">
        <v>270000</v>
      </c>
      <c r="O61">
        <v>270000</v>
      </c>
      <c r="P61">
        <v>270000</v>
      </c>
      <c r="Q61">
        <v>270000</v>
      </c>
      <c r="R61">
        <v>270000</v>
      </c>
      <c r="S61">
        <v>280000</v>
      </c>
      <c r="T61">
        <v>290000</v>
      </c>
      <c r="U61">
        <v>298000</v>
      </c>
      <c r="V61">
        <v>300000</v>
      </c>
      <c r="W61">
        <v>300000</v>
      </c>
      <c r="X61">
        <v>305000</v>
      </c>
      <c r="Y61">
        <v>308000</v>
      </c>
      <c r="Z61">
        <v>310000</v>
      </c>
      <c r="AA61">
        <v>312000</v>
      </c>
      <c r="AB61">
        <v>314825</v>
      </c>
      <c r="AC61">
        <v>320860</v>
      </c>
      <c r="AD61">
        <v>322771</v>
      </c>
      <c r="AJ61">
        <f>SLOPE(M61:AD61,M4:AD4)</f>
        <v>3842.9975042571964</v>
      </c>
      <c r="AK61">
        <f>INTERCEPT(M61:AD61,M4:AD4)</f>
        <v>96134.468780259602</v>
      </c>
    </row>
    <row r="62" spans="1:37" x14ac:dyDescent="0.25">
      <c r="A62" t="str">
        <f>'Activity data'!C16&amp;" - "&amp;'Activity data'!D16</f>
        <v>3A1g Mules &amp; asses - Mules &amp; Asses</v>
      </c>
      <c r="B62" t="s">
        <v>811</v>
      </c>
      <c r="C62">
        <v>224000</v>
      </c>
      <c r="D62">
        <v>224000</v>
      </c>
      <c r="E62">
        <v>224000</v>
      </c>
      <c r="F62">
        <v>224000</v>
      </c>
      <c r="G62">
        <v>224000</v>
      </c>
      <c r="H62">
        <v>224000</v>
      </c>
      <c r="I62">
        <v>224000</v>
      </c>
      <c r="J62">
        <v>224000</v>
      </c>
      <c r="K62">
        <v>224000</v>
      </c>
      <c r="L62">
        <v>224000</v>
      </c>
      <c r="M62">
        <v>164000</v>
      </c>
      <c r="N62">
        <v>164000</v>
      </c>
      <c r="O62">
        <v>164000</v>
      </c>
      <c r="P62">
        <v>164000</v>
      </c>
      <c r="Q62">
        <v>164000</v>
      </c>
      <c r="R62">
        <v>164000</v>
      </c>
      <c r="S62">
        <v>164050</v>
      </c>
      <c r="T62">
        <v>164600</v>
      </c>
      <c r="U62">
        <v>164700</v>
      </c>
      <c r="V62">
        <v>164800</v>
      </c>
      <c r="W62">
        <v>166300</v>
      </c>
      <c r="X62">
        <v>167000</v>
      </c>
      <c r="Y62">
        <v>167000</v>
      </c>
      <c r="Z62">
        <v>170500</v>
      </c>
      <c r="AA62">
        <v>171000</v>
      </c>
      <c r="AB62">
        <v>169029</v>
      </c>
      <c r="AC62">
        <v>161868</v>
      </c>
      <c r="AD62">
        <v>162820</v>
      </c>
    </row>
    <row r="63" spans="1:37" x14ac:dyDescent="0.25">
      <c r="A63" t="str">
        <f>'Activity data'!C17&amp;" - "&amp;'Activity data'!D17</f>
        <v>3A1h Swine - Commercial</v>
      </c>
      <c r="B63" t="s">
        <v>811</v>
      </c>
      <c r="C63">
        <v>1524000</v>
      </c>
      <c r="D63">
        <v>1665000</v>
      </c>
      <c r="E63">
        <v>1654000</v>
      </c>
      <c r="F63">
        <v>1653000</v>
      </c>
      <c r="G63">
        <v>1570000</v>
      </c>
      <c r="H63">
        <v>1585000</v>
      </c>
      <c r="I63">
        <v>1707000</v>
      </c>
      <c r="J63">
        <v>1699000</v>
      </c>
      <c r="K63">
        <v>1736000</v>
      </c>
      <c r="L63">
        <v>1780000</v>
      </c>
      <c r="M63">
        <v>1647000</v>
      </c>
      <c r="N63">
        <v>1678000</v>
      </c>
      <c r="O63">
        <v>1710000</v>
      </c>
      <c r="P63">
        <v>1663000</v>
      </c>
      <c r="Q63">
        <v>1663000</v>
      </c>
      <c r="R63">
        <v>1651000</v>
      </c>
      <c r="S63">
        <v>1622000</v>
      </c>
      <c r="T63">
        <v>1651000</v>
      </c>
      <c r="U63">
        <v>1615000</v>
      </c>
      <c r="V63">
        <v>1613000</v>
      </c>
      <c r="W63">
        <v>1594000</v>
      </c>
      <c r="X63">
        <v>1584000</v>
      </c>
      <c r="Y63">
        <v>1579000</v>
      </c>
      <c r="Z63">
        <v>1574000</v>
      </c>
      <c r="AA63">
        <v>1562000</v>
      </c>
      <c r="AB63">
        <v>1523000</v>
      </c>
      <c r="AC63">
        <v>1512000</v>
      </c>
      <c r="AD63">
        <v>1481000</v>
      </c>
      <c r="AJ63">
        <f>SLOPE(F63:AD63,LN(F26:AD26))</f>
        <v>-205539.44223151155</v>
      </c>
      <c r="AK63">
        <f>INTERCEPT(F63:AD63,LN(F26:AD26))</f>
        <v>4088839.9263823261</v>
      </c>
    </row>
    <row r="64" spans="1:37" x14ac:dyDescent="0.25">
      <c r="A64" t="str">
        <f>'Activity data'!C18&amp;" - "&amp;'Activity data'!D18</f>
        <v>3A1h Swine - Subsistence</v>
      </c>
      <c r="B64" t="s">
        <v>811</v>
      </c>
      <c r="C64">
        <v>199009.99166888703</v>
      </c>
      <c r="D64">
        <v>217422.33341778014</v>
      </c>
      <c r="E64">
        <v>215985.90959339839</v>
      </c>
      <c r="F64">
        <v>215855.3256093637</v>
      </c>
      <c r="G64">
        <v>205016.85493448336</v>
      </c>
      <c r="H64">
        <v>206975.6146950039</v>
      </c>
      <c r="I64">
        <v>222906.86074723766</v>
      </c>
      <c r="J64">
        <v>221862.18887496003</v>
      </c>
      <c r="K64">
        <v>226693.79628424402</v>
      </c>
      <c r="L64">
        <v>232439.49158177094</v>
      </c>
      <c r="M64">
        <v>215071.82170515548</v>
      </c>
      <c r="N64">
        <v>219119.92521023127</v>
      </c>
      <c r="O64">
        <v>223298.61269934176</v>
      </c>
      <c r="P64">
        <v>217161.16544971074</v>
      </c>
      <c r="Q64">
        <v>217161.16544971074</v>
      </c>
      <c r="R64">
        <v>215594.1576412943</v>
      </c>
      <c r="S64">
        <v>211807.22210428791</v>
      </c>
      <c r="T64">
        <v>215594.1576412943</v>
      </c>
      <c r="U64">
        <v>210893.134216045</v>
      </c>
      <c r="V64">
        <v>210631.96624797559</v>
      </c>
      <c r="W64">
        <v>208150.87055131624</v>
      </c>
      <c r="X64">
        <v>206845.03071096921</v>
      </c>
      <c r="Y64">
        <v>206192.1107907957</v>
      </c>
      <c r="Z64">
        <v>205539.19087062217</v>
      </c>
      <c r="AA64">
        <v>203972.18306220576</v>
      </c>
      <c r="AB64">
        <v>198879.40768485234</v>
      </c>
      <c r="AC64">
        <v>197442.98386047062</v>
      </c>
      <c r="AD64">
        <v>193394.88035539482</v>
      </c>
    </row>
    <row r="65" spans="1:37" x14ac:dyDescent="0.25">
      <c r="A65" t="str">
        <f>'Activity data'!C19&amp;" - "&amp;'Activity data'!D19</f>
        <v>3A2i Poultry - Commercial layers</v>
      </c>
      <c r="B65" t="s">
        <v>811</v>
      </c>
      <c r="C65">
        <v>14643674.931267885</v>
      </c>
      <c r="D65">
        <v>14226110.812328145</v>
      </c>
      <c r="E65">
        <v>13492476.52712371</v>
      </c>
      <c r="F65">
        <v>13280331.082668224</v>
      </c>
      <c r="G65">
        <v>12702684.496371185</v>
      </c>
      <c r="H65">
        <v>13860209.809151115</v>
      </c>
      <c r="I65">
        <v>14640611.562802857</v>
      </c>
      <c r="J65">
        <v>14688755.298092401</v>
      </c>
      <c r="K65">
        <v>16538299.007411262</v>
      </c>
      <c r="L65">
        <v>17730716.13950536</v>
      </c>
      <c r="M65">
        <v>17355030.714458548</v>
      </c>
      <c r="N65">
        <v>17818001.024886843</v>
      </c>
      <c r="O65">
        <v>17678155.288284503</v>
      </c>
      <c r="P65">
        <v>16972399.104253348</v>
      </c>
      <c r="Q65">
        <v>17587835.89054852</v>
      </c>
      <c r="R65">
        <v>18648391.6209228</v>
      </c>
      <c r="S65">
        <v>20580691.805783488</v>
      </c>
      <c r="T65">
        <v>22776081.657241259</v>
      </c>
      <c r="U65">
        <v>23076039.863330547</v>
      </c>
      <c r="V65">
        <v>22225308.649488669</v>
      </c>
      <c r="W65">
        <v>23091061.215630483</v>
      </c>
      <c r="X65">
        <v>24156882.687047753</v>
      </c>
      <c r="Y65">
        <v>25036870.403128054</v>
      </c>
      <c r="Z65">
        <v>24549576.616170555</v>
      </c>
      <c r="AA65">
        <v>24340499.841357533</v>
      </c>
      <c r="AB65">
        <v>24851160.720602136</v>
      </c>
      <c r="AC65">
        <v>24800000</v>
      </c>
      <c r="AD65">
        <v>23160000</v>
      </c>
      <c r="AJ65">
        <f>SLOPE(M65:AD65,M29:AD29)</f>
        <v>53.758789541785902</v>
      </c>
      <c r="AK65">
        <f>INTERCEPT(M65:AD65,M29:AD29)</f>
        <v>-485263.55440489948</v>
      </c>
    </row>
    <row r="66" spans="1:37" x14ac:dyDescent="0.25">
      <c r="A66" t="str">
        <f>'Activity data'!C20&amp;" - "&amp;'Activity data'!D20</f>
        <v>3A2i Poultry - Commercial broilers</v>
      </c>
      <c r="B66" t="s">
        <v>811</v>
      </c>
      <c r="C66">
        <v>40304488.125775687</v>
      </c>
      <c r="D66">
        <v>37886218.887128815</v>
      </c>
      <c r="E66">
        <v>35805187.036307976</v>
      </c>
      <c r="F66">
        <v>40268107.368938237</v>
      </c>
      <c r="G66">
        <v>39890443.299430735</v>
      </c>
      <c r="H66">
        <v>45660443.796231762</v>
      </c>
      <c r="I66">
        <v>53091326.838711366</v>
      </c>
      <c r="J66">
        <v>54040901.985378392</v>
      </c>
      <c r="K66">
        <v>59214394.697576575</v>
      </c>
      <c r="L66">
        <v>61819163.842046939</v>
      </c>
      <c r="M66">
        <v>66512864.907880791</v>
      </c>
      <c r="N66">
        <v>64225159.968942329</v>
      </c>
      <c r="O66">
        <v>71182309.580183759</v>
      </c>
      <c r="P66">
        <v>67705122.244331256</v>
      </c>
      <c r="Q66">
        <v>69339582.95804137</v>
      </c>
      <c r="R66">
        <v>76722494.212373629</v>
      </c>
      <c r="S66">
        <v>82061878.307196394</v>
      </c>
      <c r="T66">
        <v>85859218.536646262</v>
      </c>
      <c r="U66">
        <v>91416754.470852047</v>
      </c>
      <c r="V66">
        <v>86261715.79298</v>
      </c>
      <c r="W66">
        <v>88431266.728296682</v>
      </c>
      <c r="X66">
        <v>91461113.859690607</v>
      </c>
      <c r="Y66">
        <v>93498642.184348121</v>
      </c>
      <c r="Z66">
        <v>91051385.328801513</v>
      </c>
      <c r="AA66">
        <v>95192509.839774087</v>
      </c>
      <c r="AB66">
        <v>99033153.399708137</v>
      </c>
      <c r="AC66">
        <v>92093884</v>
      </c>
      <c r="AD66">
        <v>91976041</v>
      </c>
      <c r="AJ66">
        <f>SLOPE(M66:AD66,M33:AD33)</f>
        <v>35.717419741834426</v>
      </c>
      <c r="AK66">
        <f>INTERCEPT(M66:AD66,M33:AD33)</f>
        <v>39385415.286496744</v>
      </c>
    </row>
    <row r="67" spans="1:37" x14ac:dyDescent="0.25">
      <c r="A67" t="str">
        <f>'Activity data'!C21&amp;" - "&amp;'Activity data'!D21</f>
        <v>3A2i Poultry - Subsistence layers</v>
      </c>
      <c r="B67" t="s">
        <v>811</v>
      </c>
      <c r="C67">
        <v>615034.34711325122</v>
      </c>
      <c r="D67">
        <v>597496.65411778213</v>
      </c>
      <c r="E67">
        <v>566684.0141391959</v>
      </c>
      <c r="F67">
        <v>557773.90547206544</v>
      </c>
      <c r="G67">
        <v>533512.74884758983</v>
      </c>
      <c r="H67">
        <v>582128.81198434683</v>
      </c>
      <c r="I67">
        <v>614905.68563772005</v>
      </c>
      <c r="J67">
        <v>616927.72251988086</v>
      </c>
      <c r="K67">
        <v>694608.55831127299</v>
      </c>
      <c r="L67">
        <v>744690.07785922522</v>
      </c>
      <c r="M67">
        <v>728911.290007259</v>
      </c>
      <c r="N67">
        <v>748356.04304524744</v>
      </c>
      <c r="O67">
        <v>742482.52210794913</v>
      </c>
      <c r="P67">
        <v>712840.76237864071</v>
      </c>
      <c r="Q67">
        <v>738689.10740303784</v>
      </c>
      <c r="R67">
        <v>783232.44807875762</v>
      </c>
      <c r="S67">
        <v>864389.05584290659</v>
      </c>
      <c r="T67">
        <v>956595.42960413289</v>
      </c>
      <c r="U67">
        <v>969193.674259883</v>
      </c>
      <c r="V67">
        <v>933462.96327852411</v>
      </c>
      <c r="W67">
        <v>969824.57105648029</v>
      </c>
      <c r="X67">
        <v>1014589.0728560057</v>
      </c>
      <c r="Y67">
        <v>1051548.5569313783</v>
      </c>
      <c r="Z67">
        <v>1031082.2178791633</v>
      </c>
      <c r="AA67">
        <v>1022300.9933370164</v>
      </c>
      <c r="AB67">
        <v>1043748.7502652898</v>
      </c>
      <c r="AC67">
        <v>1041600.0000000001</v>
      </c>
      <c r="AD67">
        <v>972720.00000000012</v>
      </c>
    </row>
    <row r="68" spans="1:37" x14ac:dyDescent="0.25">
      <c r="A68" t="str">
        <f>'Activity data'!C22&amp;" - "&amp;'Activity data'!D22</f>
        <v>3A2i Poultry - Subsistence broilers</v>
      </c>
      <c r="B68" t="s">
        <v>811</v>
      </c>
      <c r="C68">
        <v>1692788.501282579</v>
      </c>
      <c r="D68">
        <v>1591221.1932594103</v>
      </c>
      <c r="E68">
        <v>1503817.8555249351</v>
      </c>
      <c r="F68">
        <v>1691260.5094954062</v>
      </c>
      <c r="G68">
        <v>1675398.618576091</v>
      </c>
      <c r="H68">
        <v>1917738.6394417342</v>
      </c>
      <c r="I68">
        <v>2229835.7272258773</v>
      </c>
      <c r="J68">
        <v>2269717.8833858925</v>
      </c>
      <c r="K68">
        <v>2487004.5772982165</v>
      </c>
      <c r="L68">
        <v>2596404.8813659716</v>
      </c>
      <c r="M68">
        <v>2793540.3261309932</v>
      </c>
      <c r="N68">
        <v>2697456.7186955782</v>
      </c>
      <c r="O68">
        <v>2989657.0023677181</v>
      </c>
      <c r="P68">
        <v>2843615.1342619131</v>
      </c>
      <c r="Q68">
        <v>2912262.4842377375</v>
      </c>
      <c r="R68">
        <v>3222344.7569196927</v>
      </c>
      <c r="S68">
        <v>3446598.8889022488</v>
      </c>
      <c r="T68">
        <v>3606087.1785391434</v>
      </c>
      <c r="U68">
        <v>3839503.687775786</v>
      </c>
      <c r="V68">
        <v>3622992.06330516</v>
      </c>
      <c r="W68">
        <v>3714113.2025884609</v>
      </c>
      <c r="X68">
        <v>3841366.7821070058</v>
      </c>
      <c r="Y68">
        <v>3926942.9717426212</v>
      </c>
      <c r="Z68">
        <v>3824158.1838096636</v>
      </c>
      <c r="AA68">
        <v>3998085.4132705121</v>
      </c>
      <c r="AB68">
        <v>4159392.4427877418</v>
      </c>
      <c r="AC68">
        <v>3867943.128</v>
      </c>
      <c r="AD68">
        <v>3862993.7220000001</v>
      </c>
    </row>
    <row r="69" spans="1:37" x14ac:dyDescent="0.25">
      <c r="C69">
        <f>SUM(C51:C56)</f>
        <v>13300372.9</v>
      </c>
    </row>
    <row r="70" spans="1:37" x14ac:dyDescent="0.25">
      <c r="C70">
        <f>SUM(C51:C53)</f>
        <v>1473272.9</v>
      </c>
    </row>
  </sheetData>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A38"/>
  <sheetViews>
    <sheetView workbookViewId="0">
      <selection activeCell="L39" sqref="L39"/>
    </sheetView>
  </sheetViews>
  <sheetFormatPr defaultRowHeight="15" x14ac:dyDescent="0.25"/>
  <cols>
    <col min="2" max="2" width="26.5703125" customWidth="1"/>
    <col min="3" max="3" width="11" customWidth="1"/>
  </cols>
  <sheetData>
    <row r="1" spans="1:53" x14ac:dyDescent="0.25">
      <c r="A1" s="30" t="s">
        <v>665</v>
      </c>
    </row>
    <row r="3" spans="1:53" x14ac:dyDescent="0.25">
      <c r="A3" s="31"/>
      <c r="B3" s="32"/>
      <c r="C3" s="33">
        <v>2000</v>
      </c>
      <c r="D3" s="33">
        <v>2001</v>
      </c>
      <c r="E3" s="33">
        <v>2002</v>
      </c>
      <c r="F3" s="33">
        <v>2003</v>
      </c>
      <c r="G3" s="33">
        <v>2004</v>
      </c>
      <c r="H3" s="33">
        <v>2005</v>
      </c>
      <c r="I3" s="33">
        <v>2006</v>
      </c>
      <c r="J3" s="33">
        <v>2007</v>
      </c>
      <c r="K3" s="33">
        <v>2008</v>
      </c>
      <c r="L3" s="33">
        <v>2009</v>
      </c>
      <c r="M3" s="33">
        <v>2010</v>
      </c>
      <c r="N3" s="33">
        <v>2011</v>
      </c>
      <c r="O3" s="33">
        <v>2012</v>
      </c>
      <c r="P3" s="33">
        <v>2013</v>
      </c>
      <c r="Q3" s="33">
        <v>2014</v>
      </c>
      <c r="R3" s="34">
        <v>2015</v>
      </c>
      <c r="S3" s="34">
        <v>2016</v>
      </c>
      <c r="T3" s="34">
        <v>2017</v>
      </c>
      <c r="U3" s="34">
        <v>2018</v>
      </c>
      <c r="V3" s="34">
        <v>2019</v>
      </c>
      <c r="W3" s="34">
        <v>2020</v>
      </c>
      <c r="X3" s="34">
        <v>2021</v>
      </c>
      <c r="Y3" s="34">
        <v>2022</v>
      </c>
      <c r="Z3" s="34">
        <v>2023</v>
      </c>
      <c r="AA3" s="34">
        <v>2024</v>
      </c>
      <c r="AB3" s="34">
        <v>2025</v>
      </c>
      <c r="AC3" s="34">
        <v>2026</v>
      </c>
      <c r="AD3" s="34">
        <v>2027</v>
      </c>
      <c r="AE3" s="34">
        <v>2028</v>
      </c>
      <c r="AF3" s="34">
        <v>2029</v>
      </c>
      <c r="AG3" s="34">
        <v>2030</v>
      </c>
      <c r="AH3" s="34">
        <v>2031</v>
      </c>
      <c r="AI3" s="34">
        <v>2032</v>
      </c>
      <c r="AJ3" s="34">
        <v>2033</v>
      </c>
      <c r="AK3" s="34">
        <v>2034</v>
      </c>
      <c r="AL3" s="34">
        <v>2035</v>
      </c>
      <c r="AM3" s="34">
        <v>2036</v>
      </c>
      <c r="AN3" s="34">
        <v>2037</v>
      </c>
      <c r="AO3" s="34">
        <v>2038</v>
      </c>
      <c r="AP3" s="34">
        <v>2039</v>
      </c>
      <c r="AQ3" s="34">
        <v>2040</v>
      </c>
      <c r="AR3" s="34">
        <v>2041</v>
      </c>
      <c r="AS3" s="34">
        <v>2042</v>
      </c>
      <c r="AT3" s="34">
        <v>2043</v>
      </c>
      <c r="AU3" s="34">
        <v>2044</v>
      </c>
      <c r="AV3" s="34">
        <v>2045</v>
      </c>
      <c r="AW3" s="34">
        <v>2046</v>
      </c>
      <c r="AX3" s="34">
        <v>2047</v>
      </c>
      <c r="AY3" s="34">
        <v>2048</v>
      </c>
      <c r="AZ3" s="34">
        <v>2049</v>
      </c>
      <c r="BA3" s="34">
        <v>2050</v>
      </c>
    </row>
    <row r="4" spans="1:53" x14ac:dyDescent="0.25">
      <c r="A4" s="32"/>
      <c r="B4" s="32" t="s">
        <v>666</v>
      </c>
      <c r="C4" s="35">
        <v>993.09182234073091</v>
      </c>
      <c r="D4" s="35">
        <v>993.09182234073091</v>
      </c>
      <c r="E4" s="35">
        <v>993.09182234073091</v>
      </c>
      <c r="F4" s="35">
        <v>1043.5184288423109</v>
      </c>
      <c r="G4" s="35">
        <v>1063.935684388</v>
      </c>
      <c r="H4" s="35">
        <v>1250.3949420410001</v>
      </c>
      <c r="I4" s="35">
        <v>1361.4582773811801</v>
      </c>
      <c r="J4" s="35">
        <v>1418.12680256985</v>
      </c>
      <c r="K4" s="35">
        <v>1510.0595450369999</v>
      </c>
      <c r="L4" s="35">
        <v>1467.5146597320002</v>
      </c>
      <c r="M4" s="35">
        <v>1455.5368726329998</v>
      </c>
      <c r="N4" s="35">
        <v>1511.75508982</v>
      </c>
      <c r="O4" s="35">
        <v>1600</v>
      </c>
      <c r="P4" s="35">
        <v>1550</v>
      </c>
      <c r="Q4" s="35">
        <v>1500</v>
      </c>
      <c r="R4" s="36">
        <v>1604.9091918984675</v>
      </c>
      <c r="S4" s="36">
        <v>1560</v>
      </c>
      <c r="T4" s="36">
        <v>1530</v>
      </c>
      <c r="U4" s="36">
        <v>1620</v>
      </c>
      <c r="V4" s="36">
        <v>1680</v>
      </c>
      <c r="W4" s="36">
        <v>1715</v>
      </c>
      <c r="X4" s="36">
        <v>1780</v>
      </c>
      <c r="Y4" s="36">
        <v>1785</v>
      </c>
      <c r="Z4" s="36">
        <v>1790</v>
      </c>
      <c r="AA4" s="36">
        <v>1795</v>
      </c>
      <c r="AB4" s="36">
        <v>1800</v>
      </c>
      <c r="AC4" s="36">
        <v>1805</v>
      </c>
      <c r="AD4" s="36">
        <v>1810</v>
      </c>
      <c r="AE4" s="36">
        <v>1815</v>
      </c>
    </row>
    <row r="5" spans="1:53" x14ac:dyDescent="0.25">
      <c r="A5" s="32"/>
      <c r="B5" s="32" t="s">
        <v>667</v>
      </c>
      <c r="C5" s="35">
        <v>1079.3522583407307</v>
      </c>
      <c r="D5" s="35">
        <v>1079.3522583407307</v>
      </c>
      <c r="E5" s="35">
        <v>1079.3522583407307</v>
      </c>
      <c r="F5" s="35">
        <v>1188.8597378423108</v>
      </c>
      <c r="G5" s="35">
        <v>1206.674888388</v>
      </c>
      <c r="H5" s="35">
        <v>1426.810047041</v>
      </c>
      <c r="I5" s="35">
        <v>1614.02513538118</v>
      </c>
      <c r="J5" s="35">
        <v>1649.1401165698499</v>
      </c>
      <c r="K5" s="35">
        <v>1693.2698300369998</v>
      </c>
      <c r="L5" s="35">
        <v>1660.260131732</v>
      </c>
      <c r="M5" s="35">
        <v>1679.6840026329999</v>
      </c>
      <c r="N5" s="35">
        <v>1828.6388368200001</v>
      </c>
      <c r="O5" s="35">
        <v>1876.7825659999999</v>
      </c>
      <c r="P5" s="35">
        <v>1848.129913</v>
      </c>
      <c r="Q5" s="35">
        <v>1879.0711650000001</v>
      </c>
      <c r="R5" s="36">
        <v>1922.8356980734377</v>
      </c>
      <c r="S5" s="36">
        <v>1990.456203544496</v>
      </c>
      <c r="T5" s="36">
        <v>2057.8989690155481</v>
      </c>
      <c r="U5" s="36">
        <v>2126.2640708919885</v>
      </c>
      <c r="V5" s="36">
        <v>2198.3453171198826</v>
      </c>
      <c r="W5" s="36">
        <v>2269.7994713342828</v>
      </c>
      <c r="X5" s="36">
        <v>2342.1782343068635</v>
      </c>
      <c r="Y5" s="36">
        <v>2416.4818482639166</v>
      </c>
      <c r="Z5" s="36">
        <v>2491.5186816187529</v>
      </c>
      <c r="AA5" s="36">
        <v>2570.8561685926552</v>
      </c>
    </row>
    <row r="6" spans="1:53" x14ac:dyDescent="0.25">
      <c r="A6" s="32"/>
      <c r="B6" s="32" t="s">
        <v>668</v>
      </c>
      <c r="C6" s="35">
        <f>'Intermediate calculations'!M42/1000</f>
        <v>850</v>
      </c>
      <c r="D6" s="35">
        <f>'Intermediate calculations'!N42/1000</f>
        <v>869</v>
      </c>
      <c r="E6" s="35">
        <f>'Intermediate calculations'!O42/1000</f>
        <v>896</v>
      </c>
      <c r="F6" s="35">
        <f>'Intermediate calculations'!P42/1000</f>
        <v>925</v>
      </c>
      <c r="G6" s="35">
        <f>'Intermediate calculations'!Q42/1000</f>
        <v>1043</v>
      </c>
      <c r="H6" s="35">
        <f>'Intermediate calculations'!R42/1000</f>
        <v>1273</v>
      </c>
      <c r="I6" s="35">
        <f>'Intermediate calculations'!S42/1000</f>
        <v>1427</v>
      </c>
      <c r="J6" s="35">
        <f>'Intermediate calculations'!T42/1000</f>
        <v>1499</v>
      </c>
      <c r="K6" s="35">
        <f>'Intermediate calculations'!U42/1000</f>
        <v>1584</v>
      </c>
      <c r="L6" s="35">
        <f>'Intermediate calculations'!V42/1000</f>
        <v>1644</v>
      </c>
      <c r="M6" s="35">
        <f>'Intermediate calculations'!W42/1000</f>
        <v>1681</v>
      </c>
      <c r="N6" s="35">
        <f>'Intermediate calculations'!X42/1000</f>
        <v>1721</v>
      </c>
      <c r="O6" s="35">
        <f>'Intermediate calculations'!Y42/1000</f>
        <v>1479.0581196068424</v>
      </c>
      <c r="P6" s="35">
        <f>'Intermediate calculations'!Z42/1000</f>
        <v>1523.0998238027669</v>
      </c>
      <c r="Q6" s="35">
        <f>'Intermediate calculations'!AA42/1000</f>
        <v>1549.7307141812346</v>
      </c>
      <c r="R6" s="35">
        <f>'Intermediate calculations'!AB42/1000</f>
        <v>1551.895172536867</v>
      </c>
      <c r="S6" s="35">
        <f>'Intermediate calculations'!AC42/1000</f>
        <v>1553.1197100753227</v>
      </c>
      <c r="T6" s="35">
        <f>'Intermediate calculations'!AD42/1000</f>
        <v>1565.4593212597122</v>
      </c>
      <c r="U6" s="35">
        <f>'Intermediate calculations'!AE42/1000</f>
        <v>1581.1429942067207</v>
      </c>
      <c r="V6" s="35">
        <f>'Intermediate calculations'!AF42/1000</f>
        <v>1570.7633591192405</v>
      </c>
      <c r="W6" s="35">
        <f>'Intermediate calculations'!AG42/1000</f>
        <v>1321.8221077172705</v>
      </c>
      <c r="X6" s="35">
        <f>'Intermediate calculations'!AH42/1000</f>
        <v>1373.8710572905202</v>
      </c>
      <c r="Y6" s="35">
        <f>'Intermediate calculations'!AI42/1000</f>
        <v>1419.8432659318269</v>
      </c>
      <c r="Z6" s="35">
        <f>'Intermediate calculations'!AJ42/1000</f>
        <v>1466.0570535812105</v>
      </c>
      <c r="AA6" s="35">
        <f>'Intermediate calculations'!AK42/1000</f>
        <v>1522.7424876683342</v>
      </c>
      <c r="AB6" s="35">
        <f>'Intermediate calculations'!AL42/1000</f>
        <v>1579.7881417622393</v>
      </c>
      <c r="AC6" s="35">
        <f>'Intermediate calculations'!AM42/1000</f>
        <v>1641.6745024803806</v>
      </c>
      <c r="AD6" s="35">
        <f>'Intermediate calculations'!AN42/1000</f>
        <v>1701.4825943055714</v>
      </c>
      <c r="AE6" s="35">
        <f>'Intermediate calculations'!AO42/1000</f>
        <v>1765.797296488759</v>
      </c>
      <c r="AF6" s="35">
        <f>'Intermediate calculations'!AP42/1000</f>
        <v>1825.6201986156088</v>
      </c>
      <c r="AG6" s="35">
        <f>'Intermediate calculations'!AQ42/1000</f>
        <v>1887.2959040012252</v>
      </c>
      <c r="AH6" s="35">
        <f>'Intermediate calculations'!AR42/1000</f>
        <v>1965.3758218822136</v>
      </c>
      <c r="AI6" s="35">
        <f>'Intermediate calculations'!AS42/1000</f>
        <v>2050.5063506751944</v>
      </c>
      <c r="AJ6" s="35">
        <f>'Intermediate calculations'!AT42/1000</f>
        <v>2138.9537029684484</v>
      </c>
      <c r="AK6" s="35">
        <f>'Intermediate calculations'!AU42/1000</f>
        <v>2145.287415850808</v>
      </c>
      <c r="AL6" s="35">
        <f>'Intermediate calculations'!AV42/1000</f>
        <v>-1872.984440260178</v>
      </c>
      <c r="AM6" s="35">
        <f>'Intermediate calculations'!AW42/1000</f>
        <v>-1888.0038628201582</v>
      </c>
      <c r="AN6" s="35">
        <f>'Intermediate calculations'!AX42/1000</f>
        <v>-1903.1332449223494</v>
      </c>
      <c r="AO6" s="35">
        <f>'Intermediate calculations'!AY42/1000</f>
        <v>-1918.3733915977607</v>
      </c>
      <c r="AP6" s="35">
        <f>'Intermediate calculations'!AZ42/1000</f>
        <v>-1933.7251137711626</v>
      </c>
      <c r="AQ6" s="35">
        <f>'Intermediate calculations'!BA42/1000</f>
        <v>-1949.1892283042296</v>
      </c>
      <c r="AR6" s="35">
        <f>'Intermediate calculations'!BB42/1000</f>
        <v>-1962.4043122677263</v>
      </c>
      <c r="AS6" s="35">
        <f>'Intermediate calculations'!BC42/1000</f>
        <v>-1975.7014741863049</v>
      </c>
      <c r="AT6" s="35">
        <f>'Intermediate calculations'!BD42/1000</f>
        <v>-1989.0812238403591</v>
      </c>
      <c r="AU6" s="35">
        <f>'Intermediate calculations'!BE42/1000</f>
        <v>-2002.544074176494</v>
      </c>
      <c r="AV6" s="35">
        <f>'Intermediate calculations'!BF42/1000</f>
        <v>-2016.0905413271887</v>
      </c>
      <c r="AW6" s="35">
        <f>'Intermediate calculations'!BG42/1000</f>
        <v>-2027.293703187815</v>
      </c>
      <c r="AX6" s="35">
        <f>'Intermediate calculations'!BH42/1000</f>
        <v>-2038.5540553970175</v>
      </c>
      <c r="AY6" s="35">
        <f>'Intermediate calculations'!BI42/1000</f>
        <v>-2049.8718899023734</v>
      </c>
      <c r="AZ6" s="35">
        <f>'Intermediate calculations'!BJ42/1000</f>
        <v>-2061.2475001418074</v>
      </c>
      <c r="BA6" s="35">
        <f>'Intermediate calculations'!BK42/1000</f>
        <v>-2072.6811810511963</v>
      </c>
    </row>
    <row r="7" spans="1:53" x14ac:dyDescent="0.25">
      <c r="A7" s="32"/>
      <c r="B7" s="32" t="s">
        <v>669</v>
      </c>
      <c r="C7" s="35">
        <f>'Intermediate calculations'!M39/1000</f>
        <v>927</v>
      </c>
      <c r="D7" s="35">
        <f>'Intermediate calculations'!N39/1000</f>
        <v>938</v>
      </c>
      <c r="E7" s="35">
        <f>'Intermediate calculations'!O39/1000</f>
        <v>965</v>
      </c>
      <c r="F7" s="35">
        <f>'Intermediate calculations'!P39/1000</f>
        <v>1032</v>
      </c>
      <c r="G7" s="35">
        <f>'Intermediate calculations'!Q39/1000</f>
        <v>1196</v>
      </c>
      <c r="H7" s="35">
        <f>'Intermediate calculations'!R39/1000</f>
        <v>1455</v>
      </c>
      <c r="I7" s="35">
        <f>'Intermediate calculations'!S39/1000</f>
        <v>1664</v>
      </c>
      <c r="J7" s="35">
        <f>'Intermediate calculations'!T39/1000</f>
        <v>1767</v>
      </c>
      <c r="K7" s="35">
        <f>'Intermediate calculations'!U39/1000</f>
        <v>1813</v>
      </c>
      <c r="L7" s="35">
        <f>'Intermediate calculations'!V39/1000</f>
        <v>1841</v>
      </c>
      <c r="M7" s="35">
        <f>'Intermediate calculations'!W39/1000</f>
        <v>1887</v>
      </c>
      <c r="N7" s="35">
        <f>'Intermediate calculations'!X39/1000</f>
        <v>1987</v>
      </c>
      <c r="O7" s="35">
        <f>'Intermediate calculations'!Y39/1000</f>
        <v>1804.2998007130789</v>
      </c>
      <c r="P7" s="35">
        <f>'Intermediate calculations'!Z39/1000</f>
        <v>1865.4012408232222</v>
      </c>
      <c r="Q7" s="35">
        <f>'Intermediate calculations'!AA39/1000</f>
        <v>1902.3477165159209</v>
      </c>
      <c r="R7" s="35">
        <f>'Intermediate calculations'!AB39/1000</f>
        <v>1905.3505867499889</v>
      </c>
      <c r="S7" s="35">
        <f>'Intermediate calculations'!AC39/1000</f>
        <v>1907.049453958572</v>
      </c>
      <c r="T7" s="35">
        <f>'Intermediate calculations'!AD39/1000</f>
        <v>1924.1688644702845</v>
      </c>
      <c r="U7" s="35">
        <f>'Intermediate calculations'!AE39/1000</f>
        <v>1945.9276728718764</v>
      </c>
      <c r="V7" s="35">
        <f>'Intermediate calculations'!AF39/1000</f>
        <v>1931.5274432885376</v>
      </c>
      <c r="W7" s="35">
        <f>'Intermediate calculations'!AG39/1000</f>
        <v>1586.1577705843367</v>
      </c>
      <c r="X7" s="35">
        <f>'Intermediate calculations'!AH39/1000</f>
        <v>1658.368095620762</v>
      </c>
      <c r="Y7" s="35">
        <f>'Intermediate calculations'!AI39/1000</f>
        <v>1722.1478290418804</v>
      </c>
      <c r="Z7" s="35">
        <f>'Intermediate calculations'!AJ39/1000</f>
        <v>1786.2627180970369</v>
      </c>
      <c r="AA7" s="35">
        <f>'Intermediate calculations'!AK39/1000</f>
        <v>1864.9054890621167</v>
      </c>
      <c r="AB7" s="35">
        <f>'Intermediate calculations'!AL39/1000</f>
        <v>1944.0480127405094</v>
      </c>
      <c r="AC7" s="35">
        <f>'Intermediate calculations'!AM39/1000</f>
        <v>2029.9063107353486</v>
      </c>
      <c r="AD7" s="35">
        <f>'Intermediate calculations'!AN39/1000</f>
        <v>2112.8813138029418</v>
      </c>
      <c r="AE7" s="35">
        <f>'Intermediate calculations'!AO39/1000</f>
        <v>2202.108581352943</v>
      </c>
      <c r="AF7" s="35">
        <f>'Intermediate calculations'!AP39/1000</f>
        <v>2285.1041315536759</v>
      </c>
      <c r="AG7" s="35">
        <f>'Intermediate calculations'!AQ39/1000</f>
        <v>2370.6701760034007</v>
      </c>
      <c r="AH7" s="35">
        <f>'Intermediate calculations'!AR39/1000</f>
        <v>2478.9946723713601</v>
      </c>
      <c r="AI7" s="35">
        <f>'Intermediate calculations'!AS39/1000</f>
        <v>2597.100862891356</v>
      </c>
      <c r="AJ7" s="35">
        <f>'Intermediate calculations'!AT39/1000</f>
        <v>2719.8086621855336</v>
      </c>
      <c r="AK7" s="35">
        <f>'Intermediate calculations'!AU39/1000</f>
        <v>2728.5957648969711</v>
      </c>
      <c r="AL7" s="35">
        <f>'Intermediate calculations'!AV39/1000</f>
        <v>-2846.1702811717246</v>
      </c>
      <c r="AM7" s="35">
        <f>'Intermediate calculations'!AW39/1000</f>
        <v>-2867.0075390570018</v>
      </c>
      <c r="AN7" s="35">
        <f>'Intermediate calculations'!AX39/1000</f>
        <v>-2887.997349767053</v>
      </c>
      <c r="AO7" s="35">
        <f>'Intermediate calculations'!AY39/1000</f>
        <v>-2909.1408301649712</v>
      </c>
      <c r="AP7" s="35">
        <f>'Intermediate calculations'!AZ39/1000</f>
        <v>-2930.4391052905844</v>
      </c>
      <c r="AQ7" s="35">
        <f>'Intermediate calculations'!BA39/1000</f>
        <v>-2951.893308420309</v>
      </c>
      <c r="AR7" s="35">
        <f>'Intermediate calculations'!BB39/1000</f>
        <v>-2970.2273097058642</v>
      </c>
      <c r="AS7" s="35">
        <f>'Intermediate calculations'!BC39/1000</f>
        <v>-2988.6751821812004</v>
      </c>
      <c r="AT7" s="35">
        <f>'Intermediate calculations'!BD39/1000</f>
        <v>-3007.2376330922525</v>
      </c>
      <c r="AU7" s="35">
        <f>'Intermediate calculations'!BE39/1000</f>
        <v>-3025.9153740776092</v>
      </c>
      <c r="AV7" s="35">
        <f>'Intermediate calculations'!BF39/1000</f>
        <v>-3044.7091211957959</v>
      </c>
      <c r="AW7" s="35">
        <f>'Intermediate calculations'!BG39/1000</f>
        <v>-3060.2518740471864</v>
      </c>
      <c r="AX7" s="35">
        <f>'Intermediate calculations'!BH39/1000</f>
        <v>-3075.8739701647423</v>
      </c>
      <c r="AY7" s="35">
        <f>'Intermediate calculations'!BI39/1000</f>
        <v>-3091.575814583141</v>
      </c>
      <c r="AZ7" s="35">
        <f>'Intermediate calculations'!BJ39/1000</f>
        <v>-3107.3578144046974</v>
      </c>
      <c r="BA7" s="35">
        <f>'Intermediate calculations'!BK39/1000</f>
        <v>-3123.2203788099173</v>
      </c>
    </row>
    <row r="8" spans="1:53" x14ac:dyDescent="0.25">
      <c r="A8" s="32"/>
      <c r="B8" s="32"/>
      <c r="C8" s="35"/>
      <c r="D8" s="35"/>
      <c r="E8" s="35"/>
      <c r="F8" s="35"/>
      <c r="G8" s="35"/>
      <c r="H8" s="35"/>
      <c r="I8" s="35"/>
      <c r="J8" s="35"/>
      <c r="K8" s="35"/>
      <c r="L8" s="35"/>
      <c r="M8" s="35"/>
      <c r="N8" s="35"/>
      <c r="O8" s="35"/>
      <c r="P8" s="35"/>
      <c r="Q8" s="35"/>
      <c r="R8" s="36"/>
      <c r="S8" s="36"/>
      <c r="T8" s="36"/>
      <c r="U8" s="36"/>
      <c r="V8" s="36"/>
      <c r="W8" s="36"/>
      <c r="X8" s="36"/>
      <c r="Y8" s="36"/>
      <c r="Z8" s="36"/>
      <c r="AA8" s="36"/>
    </row>
    <row r="9" spans="1:53" x14ac:dyDescent="0.25">
      <c r="A9" s="31"/>
      <c r="B9" s="32"/>
      <c r="C9" s="33">
        <v>2000</v>
      </c>
      <c r="D9" s="33">
        <v>2001</v>
      </c>
      <c r="E9" s="33">
        <v>2002</v>
      </c>
      <c r="F9" s="33">
        <v>2003</v>
      </c>
      <c r="G9" s="33">
        <v>2004</v>
      </c>
      <c r="H9" s="33">
        <v>2005</v>
      </c>
      <c r="I9" s="33">
        <v>2006</v>
      </c>
      <c r="J9" s="33">
        <v>2007</v>
      </c>
      <c r="K9" s="33">
        <v>2008</v>
      </c>
      <c r="L9" s="33">
        <v>2009</v>
      </c>
      <c r="M9" s="33">
        <v>2010</v>
      </c>
      <c r="N9" s="33">
        <v>2011</v>
      </c>
      <c r="O9" s="33">
        <v>2012</v>
      </c>
      <c r="P9" s="33">
        <v>2013</v>
      </c>
      <c r="Q9" s="33">
        <v>2014</v>
      </c>
      <c r="R9" s="34">
        <v>2015</v>
      </c>
      <c r="S9" s="34">
        <v>2016</v>
      </c>
      <c r="T9" s="34">
        <v>2017</v>
      </c>
      <c r="U9" s="34">
        <v>2018</v>
      </c>
      <c r="V9" s="34">
        <v>2019</v>
      </c>
      <c r="W9" s="34">
        <v>2020</v>
      </c>
      <c r="X9" s="34">
        <v>2021</v>
      </c>
      <c r="Y9" s="34">
        <v>2022</v>
      </c>
      <c r="Z9" s="34">
        <v>2023</v>
      </c>
      <c r="AA9" s="34">
        <v>2024</v>
      </c>
      <c r="AB9" s="34">
        <v>2025</v>
      </c>
      <c r="AC9" s="34">
        <v>2026</v>
      </c>
      <c r="AD9" s="34">
        <v>2027</v>
      </c>
      <c r="AE9" s="34">
        <v>2028</v>
      </c>
      <c r="AF9" s="34">
        <v>2029</v>
      </c>
      <c r="AG9" s="34">
        <v>2030</v>
      </c>
      <c r="AH9" s="34">
        <v>2031</v>
      </c>
      <c r="AI9" s="34">
        <v>2032</v>
      </c>
      <c r="AJ9" s="34">
        <v>2033</v>
      </c>
      <c r="AK9" s="34">
        <v>2034</v>
      </c>
      <c r="AL9" s="34">
        <v>2035</v>
      </c>
      <c r="AM9" s="34">
        <v>2036</v>
      </c>
      <c r="AN9" s="34">
        <v>2037</v>
      </c>
      <c r="AO9" s="34">
        <v>2038</v>
      </c>
      <c r="AP9" s="34">
        <v>2039</v>
      </c>
      <c r="AQ9" s="34">
        <v>2040</v>
      </c>
      <c r="AR9" s="34">
        <v>2041</v>
      </c>
      <c r="AS9" s="34">
        <v>2042</v>
      </c>
      <c r="AT9" s="34">
        <v>2043</v>
      </c>
      <c r="AU9" s="34">
        <v>2044</v>
      </c>
      <c r="AV9" s="34">
        <v>2045</v>
      </c>
      <c r="AW9" s="34">
        <v>2046</v>
      </c>
      <c r="AX9" s="34">
        <v>2047</v>
      </c>
      <c r="AY9" s="34">
        <v>2048</v>
      </c>
      <c r="AZ9" s="34">
        <v>2049</v>
      </c>
      <c r="BA9" s="34">
        <v>2050</v>
      </c>
    </row>
    <row r="10" spans="1:53" x14ac:dyDescent="0.25">
      <c r="A10" s="32"/>
      <c r="B10" s="32" t="s">
        <v>670</v>
      </c>
      <c r="C10" s="35">
        <v>325.34589665653499</v>
      </c>
      <c r="D10" s="35">
        <v>325.34589665653499</v>
      </c>
      <c r="E10" s="35">
        <v>325.34589665653499</v>
      </c>
      <c r="F10" s="35">
        <v>318.8389787234043</v>
      </c>
      <c r="G10" s="35">
        <v>318.8389787234043</v>
      </c>
      <c r="H10" s="35">
        <v>325.21575829787241</v>
      </c>
      <c r="I10" s="35">
        <v>328.46791588085114</v>
      </c>
      <c r="J10" s="35">
        <v>363.86063999999999</v>
      </c>
      <c r="K10" s="35">
        <v>368.28791999999999</v>
      </c>
      <c r="L10" s="35">
        <v>373.60199999999998</v>
      </c>
      <c r="M10" s="35">
        <v>386.43599999999998</v>
      </c>
      <c r="N10" s="35">
        <v>404.49</v>
      </c>
      <c r="O10" s="35">
        <v>450.04</v>
      </c>
      <c r="P10" s="35">
        <v>439.4</v>
      </c>
      <c r="Q10" s="35">
        <v>421.88</v>
      </c>
      <c r="R10" s="36">
        <v>433.92676812049251</v>
      </c>
      <c r="S10" s="36">
        <v>435</v>
      </c>
      <c r="T10" s="36">
        <v>400</v>
      </c>
      <c r="U10" s="36">
        <v>410</v>
      </c>
      <c r="V10" s="36">
        <v>415</v>
      </c>
      <c r="W10" s="36">
        <v>424</v>
      </c>
      <c r="X10" s="36">
        <v>440</v>
      </c>
      <c r="Y10" s="36">
        <v>450</v>
      </c>
      <c r="Z10" s="36">
        <v>458</v>
      </c>
      <c r="AA10" s="36">
        <v>460</v>
      </c>
      <c r="AB10" s="36">
        <v>470</v>
      </c>
      <c r="AC10" s="36">
        <v>480</v>
      </c>
      <c r="AD10" s="36">
        <v>490</v>
      </c>
      <c r="AE10" s="36">
        <v>500</v>
      </c>
    </row>
    <row r="11" spans="1:53" x14ac:dyDescent="0.25">
      <c r="A11" s="32"/>
      <c r="B11" s="32" t="s">
        <v>671</v>
      </c>
      <c r="C11" s="35">
        <v>321.91089665653499</v>
      </c>
      <c r="D11" s="35">
        <v>321.91089665653499</v>
      </c>
      <c r="E11" s="35">
        <v>321.91089665653499</v>
      </c>
      <c r="F11" s="35">
        <v>316.1402608231254</v>
      </c>
      <c r="G11" s="35">
        <v>317.8939787234043</v>
      </c>
      <c r="H11" s="35">
        <v>324.27075829787242</v>
      </c>
      <c r="I11" s="35">
        <v>328.91791588085113</v>
      </c>
      <c r="J11" s="35">
        <v>364.32063999999997</v>
      </c>
      <c r="K11" s="35">
        <v>367.77791999999999</v>
      </c>
      <c r="L11" s="35">
        <v>371.36519499999997</v>
      </c>
      <c r="M11" s="35">
        <v>382.88327899999996</v>
      </c>
      <c r="N11" s="35">
        <v>401.97165999999999</v>
      </c>
      <c r="O11" s="35">
        <v>445.23</v>
      </c>
      <c r="P11" s="35">
        <v>435.75099999999998</v>
      </c>
      <c r="Q11" s="35">
        <v>416.88200000000001</v>
      </c>
      <c r="R11" s="36">
        <f>R10-4</f>
        <v>429.92676812049251</v>
      </c>
      <c r="S11" s="36">
        <f t="shared" ref="S11:AE11" si="0">S10-4</f>
        <v>431</v>
      </c>
      <c r="T11" s="36">
        <f t="shared" si="0"/>
        <v>396</v>
      </c>
      <c r="U11" s="36">
        <f t="shared" si="0"/>
        <v>406</v>
      </c>
      <c r="V11" s="36">
        <f t="shared" si="0"/>
        <v>411</v>
      </c>
      <c r="W11" s="36">
        <f t="shared" si="0"/>
        <v>420</v>
      </c>
      <c r="X11" s="36">
        <f t="shared" si="0"/>
        <v>436</v>
      </c>
      <c r="Y11" s="36">
        <f t="shared" si="0"/>
        <v>446</v>
      </c>
      <c r="Z11" s="36">
        <f t="shared" si="0"/>
        <v>454</v>
      </c>
      <c r="AA11" s="36">
        <f t="shared" si="0"/>
        <v>456</v>
      </c>
      <c r="AB11" s="36">
        <f t="shared" si="0"/>
        <v>466</v>
      </c>
      <c r="AC11" s="36">
        <f t="shared" si="0"/>
        <v>476</v>
      </c>
      <c r="AD11" s="36">
        <f t="shared" si="0"/>
        <v>486</v>
      </c>
      <c r="AE11" s="36">
        <f t="shared" si="0"/>
        <v>496</v>
      </c>
    </row>
    <row r="12" spans="1:53" x14ac:dyDescent="0.25">
      <c r="A12" s="32"/>
      <c r="B12" s="32" t="s">
        <v>672</v>
      </c>
      <c r="C12" s="35">
        <f>'Intermediate calculations'!M37/1000</f>
        <v>329</v>
      </c>
      <c r="D12" s="35">
        <f>'Intermediate calculations'!N37/1000</f>
        <v>330</v>
      </c>
      <c r="E12" s="35">
        <f>'Intermediate calculations'!O37/1000</f>
        <v>340</v>
      </c>
      <c r="F12" s="35">
        <f>'Intermediate calculations'!P37/1000</f>
        <v>328</v>
      </c>
      <c r="G12" s="35">
        <f>'Intermediate calculations'!Q37/1000</f>
        <v>348</v>
      </c>
      <c r="H12" s="35">
        <f>'Intermediate calculations'!R37/1000</f>
        <v>375</v>
      </c>
      <c r="I12" s="35">
        <f>'Intermediate calculations'!S37/1000</f>
        <v>412</v>
      </c>
      <c r="J12" s="35">
        <f>'Intermediate calculations'!T37/1000</f>
        <v>438</v>
      </c>
      <c r="K12" s="35">
        <f>'Intermediate calculations'!U37/1000</f>
        <v>426</v>
      </c>
      <c r="L12" s="35">
        <f>'Intermediate calculations'!V37/1000</f>
        <v>404</v>
      </c>
      <c r="M12" s="35">
        <f>'Intermediate calculations'!W37/1000</f>
        <v>413</v>
      </c>
      <c r="N12" s="35">
        <f>'Intermediate calculations'!X37/1000</f>
        <v>452</v>
      </c>
      <c r="O12" s="35">
        <f>'Intermediate calculations'!Y37/1000</f>
        <v>451.43703272998744</v>
      </c>
      <c r="P12" s="35">
        <f>'Intermediate calculations'!Z37/1000</f>
        <v>461.19303147559896</v>
      </c>
      <c r="Q12" s="35">
        <f>'Intermediate calculations'!AA37/1000</f>
        <v>469.05063811794838</v>
      </c>
      <c r="R12" s="35">
        <f>'Intermediate calculations'!AB37/1000</f>
        <v>474.17869415702</v>
      </c>
      <c r="S12" s="35">
        <f>'Intermediate calculations'!AC37/1000</f>
        <v>479.37720561441125</v>
      </c>
      <c r="T12" s="35">
        <f>'Intermediate calculations'!AD37/1000</f>
        <v>486.08457200135388</v>
      </c>
      <c r="U12" s="35">
        <f>'Intermediate calculations'!AE37/1000</f>
        <v>493.25896363111656</v>
      </c>
      <c r="V12" s="35">
        <f>'Intermediate calculations'!AF37/1000</f>
        <v>497.42491844669757</v>
      </c>
      <c r="W12" s="35">
        <f>'Intermediate calculations'!AG37/1000</f>
        <v>473.35512608695893</v>
      </c>
      <c r="X12" s="35">
        <f>'Intermediate calculations'!AH37/1000</f>
        <v>483.5034720276193</v>
      </c>
      <c r="Y12" s="35">
        <f>'Intermediate calculations'!AI37/1000</f>
        <v>492.97605983176771</v>
      </c>
      <c r="Z12" s="35">
        <f>'Intermediate calculations'!AJ37/1000</f>
        <v>502.52355339578509</v>
      </c>
      <c r="AA12" s="35">
        <f>'Intermediate calculations'!AK37/1000</f>
        <v>513.36104191327593</v>
      </c>
      <c r="AB12" s="35">
        <f>'Intermediate calculations'!AL37/1000</f>
        <v>524.28859235415632</v>
      </c>
      <c r="AC12" s="35">
        <f>'Intermediate calculations'!AM37/1000</f>
        <v>535.22997017587227</v>
      </c>
      <c r="AD12" s="35">
        <f>'Intermediate calculations'!AN37/1000</f>
        <v>545.95999491496923</v>
      </c>
      <c r="AE12" s="35">
        <f>'Intermediate calculations'!AO37/1000</f>
        <v>557.26079978496045</v>
      </c>
      <c r="AF12" s="35">
        <f>'Intermediate calculations'!AP37/1000</f>
        <v>568.06440724418076</v>
      </c>
      <c r="AG12" s="35">
        <f>'Intermediate calculations'!AQ37/1000</f>
        <v>579.12443082448556</v>
      </c>
      <c r="AH12" s="35">
        <f>'Intermediate calculations'!AR37/1000</f>
        <v>591.66583966905182</v>
      </c>
      <c r="AI12" s="35">
        <f>'Intermediate calculations'!AS37/1000</f>
        <v>605.07224619272324</v>
      </c>
      <c r="AJ12" s="35">
        <f>'Intermediate calculations'!AT37/1000</f>
        <v>618.90059760203394</v>
      </c>
      <c r="AK12" s="35">
        <f>'Intermediate calculations'!AU37/1000</f>
        <v>623.00846761701041</v>
      </c>
      <c r="AL12" s="35">
        <f>'Intermediate calculations'!AV37/1000</f>
        <v>149.32674967831602</v>
      </c>
      <c r="AM12" s="35">
        <f>'Intermediate calculations'!AW37/1000</f>
        <v>150.47180336872376</v>
      </c>
      <c r="AN12" s="35">
        <f>'Intermediate calculations'!AX37/1000</f>
        <v>151.625240176332</v>
      </c>
      <c r="AO12" s="35">
        <f>'Intermediate calculations'!AY37/1000</f>
        <v>152.78712147525317</v>
      </c>
      <c r="AP12" s="35">
        <f>'Intermediate calculations'!AZ37/1000</f>
        <v>153.95750908892924</v>
      </c>
      <c r="AQ12" s="35">
        <f>'Intermediate calculations'!BA37/1000</f>
        <v>155.13646529342131</v>
      </c>
      <c r="AR12" s="35">
        <f>'Intermediate calculations'!BB37/1000</f>
        <v>156.14395946312194</v>
      </c>
      <c r="AS12" s="35">
        <f>'Intermediate calculations'!BC37/1000</f>
        <v>157.15771110810118</v>
      </c>
      <c r="AT12" s="35">
        <f>'Intermediate calculations'!BD37/1000</f>
        <v>158.17775909309688</v>
      </c>
      <c r="AU12" s="35">
        <f>'Intermediate calculations'!BE37/1000</f>
        <v>159.20414252423316</v>
      </c>
      <c r="AV12" s="35">
        <f>'Intermediate calculations'!BF37/1000</f>
        <v>160.23690075051951</v>
      </c>
      <c r="AW12" s="35">
        <f>'Intermediate calculations'!BG37/1000</f>
        <v>161.09100960733579</v>
      </c>
      <c r="AX12" s="35">
        <f>'Intermediate calculations'!BH37/1000</f>
        <v>161.94947855319219</v>
      </c>
      <c r="AY12" s="35">
        <f>'Intermediate calculations'!BI37/1000</f>
        <v>162.81232984564559</v>
      </c>
      <c r="AZ12" s="35">
        <f>'Intermediate calculations'!BJ37/1000</f>
        <v>163.67958585587408</v>
      </c>
      <c r="BA12" s="35">
        <f>'Intermediate calculations'!BK37/1000</f>
        <v>164.55126906925705</v>
      </c>
    </row>
    <row r="13" spans="1:53" x14ac:dyDescent="0.25">
      <c r="A13" s="32"/>
      <c r="B13" s="32" t="s">
        <v>673</v>
      </c>
      <c r="C13" s="35">
        <f>'Intermediate calculations'!M34/1000</f>
        <v>310</v>
      </c>
      <c r="D13" s="35">
        <f>'Intermediate calculations'!N34/1000</f>
        <v>308</v>
      </c>
      <c r="E13" s="35">
        <f>'Intermediate calculations'!O34/1000</f>
        <v>313</v>
      </c>
      <c r="F13" s="35">
        <f>'Intermediate calculations'!P34/1000</f>
        <v>305</v>
      </c>
      <c r="G13" s="35">
        <f>'Intermediate calculations'!Q34/1000</f>
        <v>329</v>
      </c>
      <c r="H13" s="35">
        <f>'Intermediate calculations'!R34/1000</f>
        <v>357</v>
      </c>
      <c r="I13" s="35">
        <f>'Intermediate calculations'!S34/1000</f>
        <v>392</v>
      </c>
      <c r="J13" s="35">
        <f>'Intermediate calculations'!T34/1000</f>
        <v>416</v>
      </c>
      <c r="K13" s="35">
        <f>'Intermediate calculations'!U34/1000</f>
        <v>404</v>
      </c>
      <c r="L13" s="35">
        <f>'Intermediate calculations'!V34/1000</f>
        <v>379</v>
      </c>
      <c r="M13" s="35">
        <f>'Intermediate calculations'!W34/1000</f>
        <v>386</v>
      </c>
      <c r="N13" s="35">
        <f>'Intermediate calculations'!X34/1000</f>
        <v>426</v>
      </c>
      <c r="O13" s="35">
        <f>'Intermediate calculations'!Y34/1000</f>
        <v>421.54302508348582</v>
      </c>
      <c r="P13" s="35">
        <f>'Intermediate calculations'!Z34/1000</f>
        <v>430.51238294628797</v>
      </c>
      <c r="Q13" s="35">
        <f>'Intermediate calculations'!AA34/1000</f>
        <v>437.7364189223141</v>
      </c>
      <c r="R13" s="35">
        <f>'Intermediate calculations'!AB34/1000</f>
        <v>442.45099207410209</v>
      </c>
      <c r="S13" s="35">
        <f>'Intermediate calculations'!AC34/1000</f>
        <v>447.23033971764232</v>
      </c>
      <c r="T13" s="35">
        <f>'Intermediate calculations'!AD34/1000</f>
        <v>453.39688104366297</v>
      </c>
      <c r="U13" s="35">
        <f>'Intermediate calculations'!AE34/1000</f>
        <v>459.99279066328853</v>
      </c>
      <c r="V13" s="35">
        <f>'Intermediate calculations'!AF34/1000</f>
        <v>463.82283826328626</v>
      </c>
      <c r="W13" s="35">
        <f>'Intermediate calculations'!AG34/1000</f>
        <v>441.69382953878733</v>
      </c>
      <c r="X13" s="35">
        <f>'Intermediate calculations'!AH34/1000</f>
        <v>451.0238990509676</v>
      </c>
      <c r="Y13" s="35">
        <f>'Intermediate calculations'!AI34/1000</f>
        <v>459.73269782366532</v>
      </c>
      <c r="Z13" s="35">
        <f>'Intermediate calculations'!AJ34/1000</f>
        <v>468.51036259191812</v>
      </c>
      <c r="AA13" s="35">
        <f>'Intermediate calculations'!AK34/1000</f>
        <v>478.4740080763039</v>
      </c>
      <c r="AB13" s="35">
        <f>'Intermediate calculations'!AL34/1000</f>
        <v>488.52045365545763</v>
      </c>
      <c r="AC13" s="35">
        <f>'Intermediate calculations'!AM34/1000</f>
        <v>498.57961169289007</v>
      </c>
      <c r="AD13" s="35">
        <f>'Intermediate calculations'!AN34/1000</f>
        <v>508.44445836529979</v>
      </c>
      <c r="AE13" s="35">
        <f>'Intermediate calculations'!AO34/1000</f>
        <v>518.83406230638718</v>
      </c>
      <c r="AF13" s="35">
        <f>'Intermediate calculations'!AP34/1000</f>
        <v>528.76655861329539</v>
      </c>
      <c r="AG13" s="35">
        <f>'Intermediate calculations'!AQ34/1000</f>
        <v>538.93479582298221</v>
      </c>
      <c r="AH13" s="35">
        <f>'Intermediate calculations'!AR34/1000</f>
        <v>550.4649719703732</v>
      </c>
      <c r="AI13" s="35">
        <f>'Intermediate calculations'!AS34/1000</f>
        <v>562.79039973030444</v>
      </c>
      <c r="AJ13" s="35">
        <f>'Intermediate calculations'!AT34/1000</f>
        <v>575.50375032380327</v>
      </c>
      <c r="AK13" s="35">
        <f>'Intermediate calculations'!AU34/1000</f>
        <v>579.28039658821297</v>
      </c>
      <c r="AL13" s="35">
        <f>'Intermediate calculations'!AV34/1000</f>
        <v>143.79234948588893</v>
      </c>
      <c r="AM13" s="35">
        <f>'Intermediate calculations'!AW34/1000</f>
        <v>144.84507577144828</v>
      </c>
      <c r="AN13" s="35">
        <f>'Intermediate calculations'!AX34/1000</f>
        <v>145.9055092308335</v>
      </c>
      <c r="AO13" s="35">
        <f>'Intermediate calculations'!AY34/1000</f>
        <v>146.97370628946976</v>
      </c>
      <c r="AP13" s="35">
        <f>'Intermediate calculations'!AZ34/1000</f>
        <v>148.04972378588181</v>
      </c>
      <c r="AQ13" s="35">
        <f>'Intermediate calculations'!BA34/1000</f>
        <v>149.13361897471799</v>
      </c>
      <c r="AR13" s="35">
        <f>'Intermediate calculations'!BB34/1000</f>
        <v>150.05987737105048</v>
      </c>
      <c r="AS13" s="35">
        <f>'Intermediate calculations'!BC34/1000</f>
        <v>150.99188869299874</v>
      </c>
      <c r="AT13" s="35">
        <f>'Intermediate calculations'!BD34/1000</f>
        <v>151.9296886715783</v>
      </c>
      <c r="AU13" s="35">
        <f>'Intermediate calculations'!BE34/1000</f>
        <v>152.87331325972755</v>
      </c>
      <c r="AV13" s="35">
        <f>'Intermediate calculations'!BF34/1000</f>
        <v>153.82279863368598</v>
      </c>
      <c r="AW13" s="35">
        <f>'Intermediate calculations'!BG34/1000</f>
        <v>154.60803940608974</v>
      </c>
      <c r="AX13" s="35">
        <f>'Intermediate calculations'!BH34/1000</f>
        <v>155.39728870698295</v>
      </c>
      <c r="AY13" s="35">
        <f>'Intermediate calculations'!BI34/1000</f>
        <v>156.19056699926205</v>
      </c>
      <c r="AZ13" s="35">
        <f>'Intermediate calculations'!BJ34/1000</f>
        <v>156.9878948502834</v>
      </c>
      <c r="BA13" s="35">
        <f>'Intermediate calculations'!BK34/1000</f>
        <v>157.78929293239631</v>
      </c>
    </row>
    <row r="14" spans="1:53" x14ac:dyDescent="0.25">
      <c r="A14" s="32"/>
      <c r="B14" s="32"/>
      <c r="C14" s="35"/>
      <c r="D14" s="35"/>
      <c r="E14" s="35"/>
      <c r="F14" s="35"/>
      <c r="G14" s="35"/>
      <c r="H14" s="35"/>
      <c r="I14" s="35"/>
      <c r="J14" s="35"/>
      <c r="K14" s="35"/>
      <c r="L14" s="35"/>
      <c r="M14" s="35"/>
      <c r="N14" s="35"/>
      <c r="O14" s="35"/>
      <c r="P14" s="35"/>
      <c r="Q14" s="35"/>
      <c r="R14" s="36"/>
      <c r="S14" s="36"/>
      <c r="T14" s="36"/>
      <c r="U14" s="36"/>
      <c r="V14" s="36"/>
      <c r="W14" s="36"/>
      <c r="X14" s="36"/>
      <c r="Y14" s="36"/>
      <c r="Z14" s="36"/>
      <c r="AA14" s="36"/>
    </row>
    <row r="15" spans="1:53" x14ac:dyDescent="0.25">
      <c r="A15" s="31"/>
      <c r="B15" s="32"/>
      <c r="C15" s="33">
        <v>2000</v>
      </c>
      <c r="D15" s="33">
        <v>2001</v>
      </c>
      <c r="E15" s="33">
        <v>2002</v>
      </c>
      <c r="F15" s="33">
        <v>2003</v>
      </c>
      <c r="G15" s="33">
        <v>2004</v>
      </c>
      <c r="H15" s="33">
        <v>2005</v>
      </c>
      <c r="I15" s="33">
        <v>2006</v>
      </c>
      <c r="J15" s="33">
        <v>2007</v>
      </c>
      <c r="K15" s="33">
        <v>2008</v>
      </c>
      <c r="L15" s="33">
        <v>2009</v>
      </c>
      <c r="M15" s="33">
        <v>2010</v>
      </c>
      <c r="N15" s="33">
        <v>2011</v>
      </c>
      <c r="O15" s="33">
        <v>2012</v>
      </c>
      <c r="P15" s="33">
        <v>2013</v>
      </c>
      <c r="Q15" s="33">
        <v>2014</v>
      </c>
      <c r="R15" s="34">
        <v>2015</v>
      </c>
      <c r="S15" s="34">
        <v>2016</v>
      </c>
      <c r="T15" s="34">
        <v>2017</v>
      </c>
      <c r="U15" s="34">
        <v>2018</v>
      </c>
      <c r="V15" s="34">
        <v>2019</v>
      </c>
      <c r="W15" s="34">
        <v>2020</v>
      </c>
      <c r="X15" s="34">
        <v>2021</v>
      </c>
      <c r="Y15" s="34">
        <v>2022</v>
      </c>
      <c r="Z15" s="34">
        <v>2023</v>
      </c>
      <c r="AA15" s="34">
        <v>2024</v>
      </c>
      <c r="AB15" s="34">
        <v>2025</v>
      </c>
      <c r="AC15" s="34">
        <v>2026</v>
      </c>
      <c r="AD15" s="34">
        <v>2027</v>
      </c>
      <c r="AE15" s="34">
        <v>2028</v>
      </c>
      <c r="AF15" s="34">
        <v>2029</v>
      </c>
      <c r="AG15" s="34">
        <v>2030</v>
      </c>
      <c r="AH15" s="34">
        <v>2031</v>
      </c>
      <c r="AI15" s="34">
        <v>2032</v>
      </c>
      <c r="AJ15" s="34">
        <v>2033</v>
      </c>
      <c r="AK15" s="34">
        <v>2034</v>
      </c>
      <c r="AL15" s="34">
        <v>2035</v>
      </c>
      <c r="AM15" s="34">
        <v>2036</v>
      </c>
      <c r="AN15" s="34">
        <v>2037</v>
      </c>
      <c r="AO15" s="34">
        <v>2038</v>
      </c>
      <c r="AP15" s="34">
        <v>2039</v>
      </c>
      <c r="AQ15" s="34">
        <v>2040</v>
      </c>
      <c r="AR15" s="34">
        <v>2041</v>
      </c>
      <c r="AS15" s="34">
        <v>2042</v>
      </c>
      <c r="AT15" s="34">
        <v>2043</v>
      </c>
      <c r="AU15" s="34">
        <v>2044</v>
      </c>
      <c r="AV15" s="34">
        <v>2045</v>
      </c>
      <c r="AW15" s="34">
        <v>2046</v>
      </c>
      <c r="AX15" s="34">
        <v>2047</v>
      </c>
      <c r="AY15" s="34">
        <v>2048</v>
      </c>
      <c r="AZ15" s="34">
        <v>2049</v>
      </c>
      <c r="BA15" s="34">
        <v>2050</v>
      </c>
    </row>
    <row r="16" spans="1:53" x14ac:dyDescent="0.25">
      <c r="A16" s="37"/>
      <c r="B16" s="37" t="s">
        <v>674</v>
      </c>
      <c r="C16" s="38">
        <v>610.16713705625</v>
      </c>
      <c r="D16" s="38">
        <v>610.16713705625</v>
      </c>
      <c r="E16" s="38">
        <v>610.16713705625</v>
      </c>
      <c r="F16" s="38">
        <v>536</v>
      </c>
      <c r="G16" s="38">
        <v>559.68422552599998</v>
      </c>
      <c r="H16" s="38">
        <v>575.65290859000004</v>
      </c>
      <c r="I16" s="38">
        <v>579.69497297999999</v>
      </c>
      <c r="J16" s="38">
        <v>601.65087453649994</v>
      </c>
      <c r="K16" s="38">
        <v>631</v>
      </c>
      <c r="L16" s="38">
        <v>612.06999999999994</v>
      </c>
      <c r="M16" s="38">
        <v>654.91489999999999</v>
      </c>
      <c r="N16" s="38">
        <v>622.16915499999993</v>
      </c>
      <c r="O16" s="38">
        <v>613.14770225249993</v>
      </c>
      <c r="P16" s="38">
        <v>665.92799245872072</v>
      </c>
      <c r="Q16" s="38">
        <v>698.08925804689954</v>
      </c>
      <c r="R16" s="39">
        <v>699.22078053934399</v>
      </c>
      <c r="S16" s="39">
        <v>710.39885911430974</v>
      </c>
      <c r="T16" s="39">
        <v>739.18964380980105</v>
      </c>
      <c r="U16" s="39">
        <v>753.56215690376871</v>
      </c>
      <c r="V16" s="39">
        <v>770.46731576083528</v>
      </c>
      <c r="W16" s="39">
        <v>785.71589617587529</v>
      </c>
      <c r="X16" s="39">
        <v>803.32741953910943</v>
      </c>
      <c r="Y16" s="39">
        <v>821.94908336777723</v>
      </c>
      <c r="Z16" s="39">
        <v>844.55586695223269</v>
      </c>
      <c r="AA16" s="39">
        <v>859.84984588505426</v>
      </c>
      <c r="AB16" s="39">
        <v>875</v>
      </c>
      <c r="AC16" s="39">
        <v>890</v>
      </c>
      <c r="AD16" s="39">
        <v>910</v>
      </c>
      <c r="AE16" s="39">
        <v>925</v>
      </c>
    </row>
    <row r="17" spans="1:53" x14ac:dyDescent="0.25">
      <c r="A17" s="37"/>
      <c r="B17" s="37" t="s">
        <v>675</v>
      </c>
      <c r="C17" s="38">
        <v>649.892624710375</v>
      </c>
      <c r="D17" s="38">
        <v>649.892624710375</v>
      </c>
      <c r="E17" s="38">
        <v>649.892624710375</v>
      </c>
      <c r="F17" s="38">
        <v>574.19949799999995</v>
      </c>
      <c r="G17" s="38">
        <v>612.06163379999998</v>
      </c>
      <c r="H17" s="38">
        <v>642.21783919999996</v>
      </c>
      <c r="I17" s="38">
        <v>636.26177159999997</v>
      </c>
      <c r="J17" s="38">
        <v>658.9</v>
      </c>
      <c r="K17" s="38">
        <v>671.91341149238087</v>
      </c>
      <c r="L17" s="38">
        <v>649.94999999999993</v>
      </c>
      <c r="M17" s="38">
        <v>695.36469999999997</v>
      </c>
      <c r="N17" s="38">
        <v>663.10915499999999</v>
      </c>
      <c r="O17" s="38">
        <v>670.91943283249987</v>
      </c>
      <c r="P17" s="38">
        <v>716.42099245872066</v>
      </c>
      <c r="Q17" s="38">
        <v>729.84874533689958</v>
      </c>
      <c r="R17" s="39">
        <v>740.51634422626432</v>
      </c>
      <c r="S17" s="39">
        <v>752.08174895984371</v>
      </c>
      <c r="T17" s="39">
        <v>781.10112686931438</v>
      </c>
      <c r="U17" s="39">
        <v>797.63162045872559</v>
      </c>
      <c r="V17" s="39">
        <v>815.73258961364343</v>
      </c>
      <c r="W17" s="39">
        <v>831.42566617367947</v>
      </c>
      <c r="X17" s="39">
        <v>848.73455405867912</v>
      </c>
      <c r="Y17" s="39">
        <v>866.8135090431233</v>
      </c>
      <c r="Z17" s="39">
        <v>888.81185294880709</v>
      </c>
      <c r="AA17" s="39">
        <v>904.54032017152463</v>
      </c>
    </row>
    <row r="18" spans="1:53" x14ac:dyDescent="0.25">
      <c r="A18" s="37"/>
      <c r="B18" s="37" t="s">
        <v>676</v>
      </c>
      <c r="C18" s="38">
        <f>'Intermediate calculations'!M8/1000</f>
        <v>624.6</v>
      </c>
      <c r="D18" s="38">
        <f>'Intermediate calculations'!N8/1000</f>
        <v>524.29999999999995</v>
      </c>
      <c r="E18" s="38">
        <f>'Intermediate calculations'!O8/1000</f>
        <v>573.4</v>
      </c>
      <c r="F18" s="38">
        <f>'Intermediate calculations'!P8/1000</f>
        <v>609.70000000000005</v>
      </c>
      <c r="G18" s="38">
        <f>'Intermediate calculations'!Q8/1000</f>
        <v>631.70000000000005</v>
      </c>
      <c r="H18" s="38">
        <f>'Intermediate calculations'!R8/1000</f>
        <v>672.3</v>
      </c>
      <c r="I18" s="38">
        <f>'Intermediate calculations'!S8/1000</f>
        <v>808.1</v>
      </c>
      <c r="J18" s="38">
        <f>'Intermediate calculations'!T8/1000</f>
        <v>861.4</v>
      </c>
      <c r="K18" s="38">
        <f>'Intermediate calculations'!U8/1000</f>
        <v>770.2</v>
      </c>
      <c r="L18" s="38">
        <f>'Intermediate calculations'!V8/1000</f>
        <v>796.7</v>
      </c>
      <c r="M18" s="38">
        <f>'Intermediate calculations'!W8/1000</f>
        <v>885.8</v>
      </c>
      <c r="N18" s="38">
        <f>'Intermediate calculations'!X8/1000</f>
        <v>869.5</v>
      </c>
      <c r="O18" s="38">
        <f>'Intermediate calculations'!Y8/1000</f>
        <v>924.97235283723501</v>
      </c>
      <c r="P18" s="38">
        <f>'Intermediate calculations'!Z8/1000</f>
        <v>951.12167835089792</v>
      </c>
      <c r="Q18" s="38">
        <f>'Intermediate calculations'!AA8/1000</f>
        <v>970.20317078071014</v>
      </c>
      <c r="R18" s="38">
        <f>'Intermediate calculations'!AB8/1000</f>
        <v>979.24937915964074</v>
      </c>
      <c r="S18" s="38">
        <f>'Intermediate calculations'!AC8/1000</f>
        <v>988.20276420008133</v>
      </c>
      <c r="T18" s="38">
        <f>'Intermediate calculations'!AD8/1000</f>
        <v>1002.1639830355821</v>
      </c>
      <c r="U18" s="38">
        <f>'Intermediate calculations'!AE8/1000</f>
        <v>1017.6536774399303</v>
      </c>
      <c r="V18" s="38">
        <f>'Intermediate calculations'!AF8/1000</f>
        <v>1022.2849237864143</v>
      </c>
      <c r="W18" s="38">
        <f>'Intermediate calculations'!AG8/1000</f>
        <v>926.35996797926975</v>
      </c>
      <c r="X18" s="38">
        <f>'Intermediate calculations'!AH8/1000</f>
        <v>954.95719816315966</v>
      </c>
      <c r="Y18" s="38">
        <f>'Intermediate calculations'!AI8/1000</f>
        <v>981.06560210034854</v>
      </c>
      <c r="Z18" s="38">
        <f>'Intermediate calculations'!AJ8/1000</f>
        <v>1007.3531560424094</v>
      </c>
      <c r="AA18" s="38">
        <f>'Intermediate calculations'!AK8/1000</f>
        <v>1038.1390785026372</v>
      </c>
      <c r="AB18" s="38">
        <f>'Intermediate calculations'!AL8/1000</f>
        <v>1069.1560192956099</v>
      </c>
      <c r="AC18" s="38">
        <f>'Intermediate calculations'!AM8/1000</f>
        <v>1101.2799021690159</v>
      </c>
      <c r="AD18" s="38">
        <f>'Intermediate calculations'!AN8/1000</f>
        <v>1132.5855852858717</v>
      </c>
      <c r="AE18" s="38">
        <f>'Intermediate calculations'!AO8/1000</f>
        <v>1165.853268538385</v>
      </c>
      <c r="AF18" s="38">
        <f>'Intermediate calculations'!AP8/1000</f>
        <v>1197.2851182141083</v>
      </c>
      <c r="AG18" s="38">
        <f>'Intermediate calculations'!AQ8/1000</f>
        <v>1229.5599201145717</v>
      </c>
      <c r="AH18" s="38">
        <f>'Intermediate calculations'!AR8/1000</f>
        <v>1267.9809562031089</v>
      </c>
      <c r="AI18" s="38">
        <f>'Intermediate calculations'!AS8/1000</f>
        <v>1309.4248185035701</v>
      </c>
      <c r="AJ18" s="38">
        <f>'Intermediate calculations'!AT8/1000</f>
        <v>1352.31579342448</v>
      </c>
      <c r="AK18" s="38">
        <f>'Intermediate calculations'!AU8/1000</f>
        <v>1360.5922594927556</v>
      </c>
      <c r="AL18" s="38">
        <f>'Intermediate calculations'!AV8/1000</f>
        <v>-329.95540999367142</v>
      </c>
      <c r="AM18" s="38">
        <f>'Intermediate calculations'!AW8/1000</f>
        <v>-331.40659670128707</v>
      </c>
      <c r="AN18" s="38">
        <f>'Intermediate calculations'!AX8/1000</f>
        <v>-332.86840777381394</v>
      </c>
      <c r="AO18" s="38">
        <f>'Intermediate calculations'!AY8/1000</f>
        <v>-334.34092099388943</v>
      </c>
      <c r="AP18" s="38">
        <f>'Intermediate calculations'!AZ8/1000</f>
        <v>-335.8242147136101</v>
      </c>
      <c r="AQ18" s="38">
        <f>'Intermediate calculations'!BA8/1000</f>
        <v>-337.31836785870036</v>
      </c>
      <c r="AR18" s="38">
        <f>'Intermediate calculations'!BB8/1000</f>
        <v>-338.59521815778913</v>
      </c>
      <c r="AS18" s="38">
        <f>'Intermediate calculations'!BC8/1000</f>
        <v>-339.87999888409161</v>
      </c>
      <c r="AT18" s="38">
        <f>'Intermediate calculations'!BD8/1000</f>
        <v>-341.17275929293214</v>
      </c>
      <c r="AU18" s="38">
        <f>'Intermediate calculations'!BE8/1000</f>
        <v>-342.47354894555673</v>
      </c>
      <c r="AV18" s="38">
        <f>'Intermediate calculations'!BF8/1000</f>
        <v>-343.78241771103256</v>
      </c>
      <c r="AW18" s="38">
        <f>'Intermediate calculations'!BG8/1000</f>
        <v>-344.86487474361695</v>
      </c>
      <c r="AX18" s="38">
        <f>'Intermediate calculations'!BH8/1000</f>
        <v>-345.95285754613877</v>
      </c>
      <c r="AY18" s="38">
        <f>'Intermediate calculations'!BI8/1000</f>
        <v>-347.04639432676908</v>
      </c>
      <c r="AZ18" s="38">
        <f>'Intermediate calculations'!BJ8/1000</f>
        <v>-348.14551343767755</v>
      </c>
      <c r="BA18" s="38">
        <f>'Intermediate calculations'!BK8/1000</f>
        <v>-349.25024337576679</v>
      </c>
    </row>
    <row r="19" spans="1:53" x14ac:dyDescent="0.25">
      <c r="A19" s="37"/>
      <c r="B19" s="37" t="s">
        <v>677</v>
      </c>
      <c r="C19" s="38">
        <f>'Intermediate calculations'!M5/1000</f>
        <v>671</v>
      </c>
      <c r="D19" s="38">
        <f>'Intermediate calculations'!N5/1000</f>
        <v>554</v>
      </c>
      <c r="E19" s="38">
        <f>'Intermediate calculations'!O5/1000</f>
        <v>602</v>
      </c>
      <c r="F19" s="38">
        <f>'Intermediate calculations'!P5/1000</f>
        <v>643</v>
      </c>
      <c r="G19" s="38">
        <f>'Intermediate calculations'!Q5/1000</f>
        <v>675</v>
      </c>
      <c r="H19" s="38">
        <f>'Intermediate calculations'!R5/1000</f>
        <v>723</v>
      </c>
      <c r="I19" s="38">
        <f>'Intermediate calculations'!S5/1000</f>
        <v>825</v>
      </c>
      <c r="J19" s="38">
        <f>'Intermediate calculations'!T5/1000</f>
        <v>865</v>
      </c>
      <c r="K19" s="38">
        <f>'Intermediate calculations'!U5/1000</f>
        <v>767</v>
      </c>
      <c r="L19" s="38">
        <f>'Intermediate calculations'!V5/1000</f>
        <v>784</v>
      </c>
      <c r="M19" s="38">
        <f>'Intermediate calculations'!W5/1000</f>
        <v>880</v>
      </c>
      <c r="N19" s="38">
        <f>'Intermediate calculations'!X5/1000</f>
        <v>879</v>
      </c>
      <c r="O19" s="38">
        <f>'Intermediate calculations'!Y5/1000</f>
        <v>924.85580898353146</v>
      </c>
      <c r="P19" s="38">
        <f>'Intermediate calculations'!Z5/1000</f>
        <v>947.74228342583422</v>
      </c>
      <c r="Q19" s="38">
        <f>'Intermediate calculations'!AA5/1000</f>
        <v>964.44283230185465</v>
      </c>
      <c r="R19" s="38">
        <f>'Intermediate calculations'!AB5/1000</f>
        <v>972.36027616693514</v>
      </c>
      <c r="S19" s="38">
        <f>'Intermediate calculations'!AC5/1000</f>
        <v>980.19647897044808</v>
      </c>
      <c r="T19" s="38">
        <f>'Intermediate calculations'!AD5/1000</f>
        <v>992.41564989686981</v>
      </c>
      <c r="U19" s="38">
        <f>'Intermediate calculations'!AE5/1000</f>
        <v>1005.9725768210067</v>
      </c>
      <c r="V19" s="38">
        <f>'Intermediate calculations'!AF5/1000</f>
        <v>1010.0259471876509</v>
      </c>
      <c r="W19" s="38">
        <f>'Intermediate calculations'!AG5/1000</f>
        <v>926.07028078577116</v>
      </c>
      <c r="X19" s="38">
        <f>'Intermediate calculations'!AH5/1000</f>
        <v>951.09921613564393</v>
      </c>
      <c r="Y19" s="38">
        <f>'Intermediate calculations'!AI5/1000</f>
        <v>973.94987509912619</v>
      </c>
      <c r="Z19" s="38">
        <f>'Intermediate calculations'!AJ5/1000</f>
        <v>996.95733015303495</v>
      </c>
      <c r="AA19" s="38">
        <f>'Intermediate calculations'!AK5/1000</f>
        <v>1023.9018579268233</v>
      </c>
      <c r="AB19" s="38">
        <f>'Intermediate calculations'!AL5/1000</f>
        <v>1051.0485781114753</v>
      </c>
      <c r="AC19" s="38">
        <f>'Intermediate calculations'!AM5/1000</f>
        <v>1079.1641187584262</v>
      </c>
      <c r="AD19" s="38">
        <f>'Intermediate calculations'!AN5/1000</f>
        <v>1106.5635526818135</v>
      </c>
      <c r="AE19" s="38">
        <f>'Intermediate calculations'!AO5/1000</f>
        <v>1135.6801729982899</v>
      </c>
      <c r="AF19" s="38">
        <f>'Intermediate calculations'!AP5/1000</f>
        <v>1163.1900307153419</v>
      </c>
      <c r="AG19" s="38">
        <f>'Intermediate calculations'!AQ5/1000</f>
        <v>1191.4376590696336</v>
      </c>
      <c r="AH19" s="38">
        <f>'Intermediate calculations'!AR5/1000</f>
        <v>1225.0646090277753</v>
      </c>
      <c r="AI19" s="38">
        <f>'Intermediate calculations'!AS5/1000</f>
        <v>1261.3372040832094</v>
      </c>
      <c r="AJ19" s="38">
        <f>'Intermediate calculations'!AT5/1000</f>
        <v>1298.8763444644771</v>
      </c>
      <c r="AK19" s="38">
        <f>'Intermediate calculations'!AU5/1000</f>
        <v>1306.1200926462498</v>
      </c>
      <c r="AL19" s="38">
        <f>'Intermediate calculations'!AV5/1000</f>
        <v>-173.48503181403802</v>
      </c>
      <c r="AM19" s="38">
        <f>'Intermediate calculations'!AW5/1000</f>
        <v>-174.75514287206525</v>
      </c>
      <c r="AN19" s="38">
        <f>'Intermediate calculations'!AX5/1000</f>
        <v>-176.03455261184538</v>
      </c>
      <c r="AO19" s="38">
        <f>'Intermediate calculations'!AY5/1000</f>
        <v>-177.32332911048209</v>
      </c>
      <c r="AP19" s="38">
        <f>'Intermediate calculations'!AZ5/1000</f>
        <v>-178.62154094348244</v>
      </c>
      <c r="AQ19" s="38">
        <f>'Intermediate calculations'!BA5/1000</f>
        <v>-179.92925718840539</v>
      </c>
      <c r="AR19" s="38">
        <f>'Intermediate calculations'!BB5/1000</f>
        <v>-181.04678512316889</v>
      </c>
      <c r="AS19" s="38">
        <f>'Intermediate calculations'!BC5/1000</f>
        <v>-182.17125394517046</v>
      </c>
      <c r="AT19" s="38">
        <f>'Intermediate calculations'!BD5/1000</f>
        <v>-183.30270676377154</v>
      </c>
      <c r="AU19" s="38">
        <f>'Intermediate calculations'!BE5/1000</f>
        <v>-184.44118695608282</v>
      </c>
      <c r="AV19" s="38">
        <f>'Intermediate calculations'!BF5/1000</f>
        <v>-185.58673816862702</v>
      </c>
      <c r="AW19" s="38">
        <f>'Intermediate calculations'!BG5/1000</f>
        <v>-186.53412876951231</v>
      </c>
      <c r="AX19" s="38">
        <f>'Intermediate calculations'!BH5/1000</f>
        <v>-187.48635564781438</v>
      </c>
      <c r="AY19" s="38">
        <f>'Intermediate calculations'!BI5/1000</f>
        <v>-188.44344349195543</v>
      </c>
      <c r="AZ19" s="38">
        <f>'Intermediate calculations'!BJ5/1000</f>
        <v>-189.40541711638826</v>
      </c>
      <c r="BA19" s="38">
        <f>'Intermediate calculations'!BK5/1000</f>
        <v>-190.37230146223948</v>
      </c>
    </row>
    <row r="20" spans="1:53" x14ac:dyDescent="0.25">
      <c r="A20" s="37"/>
      <c r="B20" s="37"/>
      <c r="C20" s="38"/>
      <c r="D20" s="38"/>
      <c r="E20" s="38"/>
      <c r="F20" s="38"/>
      <c r="G20" s="38"/>
      <c r="H20" s="38"/>
      <c r="I20" s="38"/>
      <c r="J20" s="38"/>
      <c r="K20" s="38"/>
      <c r="L20" s="38"/>
      <c r="M20" s="38"/>
      <c r="N20" s="38"/>
      <c r="O20" s="38"/>
      <c r="P20" s="38"/>
      <c r="Q20" s="38"/>
      <c r="R20" s="39"/>
      <c r="S20" s="39"/>
      <c r="T20" s="39"/>
      <c r="U20" s="39"/>
      <c r="V20" s="39"/>
      <c r="W20" s="39"/>
      <c r="X20" s="39"/>
      <c r="Y20" s="39"/>
      <c r="Z20" s="39"/>
      <c r="AA20" s="39"/>
    </row>
    <row r="21" spans="1:53" x14ac:dyDescent="0.25">
      <c r="A21" s="31"/>
      <c r="B21" s="32"/>
      <c r="C21" s="33">
        <v>2000</v>
      </c>
      <c r="D21" s="33">
        <v>2001</v>
      </c>
      <c r="E21" s="33">
        <v>2002</v>
      </c>
      <c r="F21" s="33">
        <v>2003</v>
      </c>
      <c r="G21" s="33">
        <v>2004</v>
      </c>
      <c r="H21" s="33">
        <v>2005</v>
      </c>
      <c r="I21" s="33">
        <v>2006</v>
      </c>
      <c r="J21" s="33">
        <v>2007</v>
      </c>
      <c r="K21" s="33">
        <v>2008</v>
      </c>
      <c r="L21" s="33">
        <v>2009</v>
      </c>
      <c r="M21" s="33">
        <v>2010</v>
      </c>
      <c r="N21" s="33">
        <v>2011</v>
      </c>
      <c r="O21" s="33">
        <v>2012</v>
      </c>
      <c r="P21" s="33">
        <v>2013</v>
      </c>
      <c r="Q21" s="33">
        <v>2014</v>
      </c>
      <c r="R21" s="34">
        <v>2015</v>
      </c>
      <c r="S21" s="34">
        <v>2016</v>
      </c>
      <c r="T21" s="34">
        <v>2017</v>
      </c>
      <c r="U21" s="34">
        <v>2018</v>
      </c>
      <c r="V21" s="34">
        <v>2019</v>
      </c>
      <c r="W21" s="34">
        <v>2020</v>
      </c>
      <c r="X21" s="34">
        <v>2021</v>
      </c>
      <c r="Y21" s="34">
        <v>2022</v>
      </c>
      <c r="Z21" s="34">
        <v>2023</v>
      </c>
      <c r="AA21" s="34">
        <v>2024</v>
      </c>
      <c r="AB21" s="34">
        <v>2025</v>
      </c>
      <c r="AC21" s="34">
        <v>2026</v>
      </c>
      <c r="AD21" s="34">
        <v>2027</v>
      </c>
      <c r="AE21" s="34">
        <v>2028</v>
      </c>
      <c r="AF21" s="34">
        <v>2029</v>
      </c>
      <c r="AG21" s="34">
        <v>2030</v>
      </c>
      <c r="AH21" s="34">
        <v>2031</v>
      </c>
      <c r="AI21" s="34">
        <v>2032</v>
      </c>
      <c r="AJ21" s="34">
        <v>2033</v>
      </c>
      <c r="AK21" s="34">
        <v>2034</v>
      </c>
      <c r="AL21" s="34">
        <v>2035</v>
      </c>
      <c r="AM21" s="34">
        <v>2036</v>
      </c>
      <c r="AN21" s="34">
        <v>2037</v>
      </c>
      <c r="AO21" s="34">
        <v>2038</v>
      </c>
      <c r="AP21" s="34">
        <v>2039</v>
      </c>
      <c r="AQ21" s="34">
        <v>2040</v>
      </c>
      <c r="AR21" s="34">
        <v>2041</v>
      </c>
      <c r="AS21" s="34">
        <v>2042</v>
      </c>
      <c r="AT21" s="34">
        <v>2043</v>
      </c>
      <c r="AU21" s="34">
        <v>2044</v>
      </c>
      <c r="AV21" s="34">
        <v>2045</v>
      </c>
      <c r="AW21" s="34">
        <v>2046</v>
      </c>
      <c r="AX21" s="34">
        <v>2047</v>
      </c>
      <c r="AY21" s="34">
        <v>2048</v>
      </c>
      <c r="AZ21" s="34">
        <v>2049</v>
      </c>
      <c r="BA21" s="34">
        <v>2050</v>
      </c>
    </row>
    <row r="22" spans="1:53" x14ac:dyDescent="0.25">
      <c r="A22" s="32"/>
      <c r="B22" s="32" t="s">
        <v>678</v>
      </c>
      <c r="C22" s="35">
        <v>129.63</v>
      </c>
      <c r="D22" s="35">
        <v>129.63</v>
      </c>
      <c r="E22" s="35">
        <v>129.63</v>
      </c>
      <c r="F22" s="35">
        <v>143.13999999999999</v>
      </c>
      <c r="G22" s="35">
        <v>146.053</v>
      </c>
      <c r="H22" s="35">
        <v>149.999</v>
      </c>
      <c r="I22" s="35">
        <v>157.24799999999999</v>
      </c>
      <c r="J22" s="35">
        <v>152.83564942134379</v>
      </c>
      <c r="K22" s="35">
        <v>162.80000000000001</v>
      </c>
      <c r="L22" s="35">
        <v>165.18375564550669</v>
      </c>
      <c r="M22" s="35">
        <v>169.66697423006443</v>
      </c>
      <c r="N22" s="35">
        <v>186.75616508255388</v>
      </c>
      <c r="O22" s="35">
        <v>191.25698866104344</v>
      </c>
      <c r="P22" s="35">
        <v>197.47194670605705</v>
      </c>
      <c r="Q22" s="35">
        <v>204.80493212570124</v>
      </c>
      <c r="R22" s="36">
        <v>208.64102609863633</v>
      </c>
      <c r="S22" s="36">
        <v>213.80677245749976</v>
      </c>
      <c r="T22" s="36">
        <v>217.57407311191287</v>
      </c>
      <c r="U22" s="36">
        <v>225.22145508819884</v>
      </c>
      <c r="V22" s="36">
        <v>232.86299528535966</v>
      </c>
      <c r="W22" s="36">
        <v>241.53716288131423</v>
      </c>
      <c r="X22" s="36">
        <v>245</v>
      </c>
      <c r="Y22" s="36">
        <v>250</v>
      </c>
      <c r="Z22" s="36">
        <v>255</v>
      </c>
      <c r="AA22" s="36">
        <v>260</v>
      </c>
      <c r="AB22" s="36">
        <v>265</v>
      </c>
      <c r="AC22" s="36">
        <v>270</v>
      </c>
      <c r="AD22" s="36">
        <v>275</v>
      </c>
      <c r="AE22" s="36">
        <v>280</v>
      </c>
    </row>
    <row r="23" spans="1:53" x14ac:dyDescent="0.25">
      <c r="A23" s="32"/>
      <c r="B23" s="32" t="s">
        <v>679</v>
      </c>
      <c r="C23" s="35">
        <v>137.82499999999999</v>
      </c>
      <c r="D23" s="35">
        <v>137.82499999999999</v>
      </c>
      <c r="E23" s="35">
        <v>137.82499999999999</v>
      </c>
      <c r="F23" s="35">
        <v>156.29499999999999</v>
      </c>
      <c r="G23" s="35">
        <v>167.84399999999999</v>
      </c>
      <c r="H23" s="35">
        <v>176.53800000000001</v>
      </c>
      <c r="I23" s="35">
        <v>177.79399999999998</v>
      </c>
      <c r="J23" s="35">
        <v>173.29521483689047</v>
      </c>
      <c r="K23" s="35">
        <v>179.18</v>
      </c>
      <c r="L23" s="35">
        <v>188.69627164870266</v>
      </c>
      <c r="M23" s="35">
        <v>192.2214902332604</v>
      </c>
      <c r="N23" s="35">
        <v>215.34616508255388</v>
      </c>
      <c r="O23" s="35">
        <v>223.20098866104343</v>
      </c>
      <c r="P23" s="35">
        <v>219.00718870605706</v>
      </c>
      <c r="Q23" s="35">
        <v>215.58134712570126</v>
      </c>
      <c r="R23" s="36">
        <v>221.42544983376598</v>
      </c>
      <c r="S23" s="36">
        <v>226.46723800236197</v>
      </c>
      <c r="T23" s="36">
        <v>230.37779215363364</v>
      </c>
      <c r="U23" s="36">
        <v>237.99020308913876</v>
      </c>
      <c r="V23" s="36">
        <v>245.3694152709713</v>
      </c>
      <c r="W23" s="36">
        <v>253.78761345428606</v>
      </c>
      <c r="X23" s="36">
        <v>263.23358248496942</v>
      </c>
      <c r="Y23" s="36">
        <v>274.0317887557747</v>
      </c>
      <c r="Z23" s="36">
        <v>283.56552384740866</v>
      </c>
      <c r="AA23" s="36">
        <v>293.35792027883537</v>
      </c>
    </row>
    <row r="24" spans="1:53" x14ac:dyDescent="0.25">
      <c r="A24" s="32"/>
      <c r="B24" s="32" t="s">
        <v>680</v>
      </c>
      <c r="C24" s="35">
        <f>'Intermediate calculations'!M32/1000</f>
        <v>123</v>
      </c>
      <c r="D24" s="35">
        <f>'Intermediate calculations'!N32/1000</f>
        <v>106.9</v>
      </c>
      <c r="E24" s="35">
        <f>'Intermediate calculations'!O32/1000</f>
        <v>116.6</v>
      </c>
      <c r="F24" s="35">
        <f>'Intermediate calculations'!P32/1000</f>
        <v>135</v>
      </c>
      <c r="G24" s="35">
        <f>'Intermediate calculations'!Q32/1000</f>
        <v>156.80000000000001</v>
      </c>
      <c r="H24" s="35">
        <f>'Intermediate calculations'!R32/1000</f>
        <v>159.69999999999999</v>
      </c>
      <c r="I24" s="35">
        <f>'Intermediate calculations'!S32/1000</f>
        <v>171.4</v>
      </c>
      <c r="J24" s="35">
        <f>'Intermediate calculations'!T32/1000</f>
        <v>187.1</v>
      </c>
      <c r="K24" s="35">
        <f>'Intermediate calculations'!U32/1000</f>
        <v>181.7</v>
      </c>
      <c r="L24" s="35">
        <f>'Intermediate calculations'!V32/1000</f>
        <v>180.7</v>
      </c>
      <c r="M24" s="35">
        <f>'Intermediate calculations'!W32/1000</f>
        <v>191.9</v>
      </c>
      <c r="N24" s="35">
        <f>'Intermediate calculations'!X32/1000</f>
        <v>205.1</v>
      </c>
      <c r="O24" s="35">
        <f>'Intermediate calculations'!Y32/1000</f>
        <v>211.85852623334341</v>
      </c>
      <c r="P24" s="35">
        <f>'Intermediate calculations'!Z32/1000</f>
        <v>217.29893839915388</v>
      </c>
      <c r="Q24" s="35">
        <f>'Intermediate calculations'!AA32/1000</f>
        <v>221.02958026028011</v>
      </c>
      <c r="R24" s="35">
        <f>'Intermediate calculations'!AB32/1000</f>
        <v>222.34365270597331</v>
      </c>
      <c r="S24" s="35">
        <f>'Intermediate calculations'!AC32/1000</f>
        <v>223.60436340102456</v>
      </c>
      <c r="T24" s="35">
        <f>'Intermediate calculations'!AD32/1000</f>
        <v>226.02344850057844</v>
      </c>
      <c r="U24" s="35">
        <f>'Intermediate calculations'!AE32/1000</f>
        <v>228.79398386710258</v>
      </c>
      <c r="V24" s="35">
        <f>'Intermediate calculations'!AF32/1000</f>
        <v>228.96754335225717</v>
      </c>
      <c r="W24" s="35">
        <f>'Intermediate calculations'!AG32/1000</f>
        <v>205.21316784232923</v>
      </c>
      <c r="X24" s="35">
        <f>'Intermediate calculations'!AH32/1000</f>
        <v>211.33166221226082</v>
      </c>
      <c r="Y24" s="35">
        <f>'Intermediate calculations'!AI32/1000</f>
        <v>216.85044320123012</v>
      </c>
      <c r="Z24" s="35">
        <f>'Intermediate calculations'!AJ32/1000</f>
        <v>222.40388280982941</v>
      </c>
      <c r="AA24" s="35">
        <f>'Intermediate calculations'!AK32/1000</f>
        <v>229.019028349812</v>
      </c>
      <c r="AB24" s="35">
        <f>'Intermediate calculations'!AL32/1000</f>
        <v>235.68098314100891</v>
      </c>
      <c r="AC24" s="35">
        <f>'Intermediate calculations'!AM32/1000</f>
        <v>242.70257288763904</v>
      </c>
      <c r="AD24" s="35">
        <f>'Intermediate calculations'!AN32/1000</f>
        <v>249.52350733162277</v>
      </c>
      <c r="AE24" s="35">
        <f>'Intermediate calculations'!AO32/1000</f>
        <v>256.80487654548239</v>
      </c>
      <c r="AF24" s="35">
        <f>'Intermediate calculations'!AP32/1000</f>
        <v>263.64347002907783</v>
      </c>
      <c r="AG24" s="35">
        <f>'Intermediate calculations'!AQ32/1000</f>
        <v>270.67625972697715</v>
      </c>
      <c r="AH24" s="35">
        <f>'Intermediate calculations'!AR32/1000</f>
        <v>279.25078749197212</v>
      </c>
      <c r="AI24" s="35">
        <f>'Intermediate calculations'!AS32/1000</f>
        <v>288.53936497439315</v>
      </c>
      <c r="AJ24" s="35">
        <f>'Intermediate calculations'!AT32/1000</f>
        <v>298.16723608938526</v>
      </c>
      <c r="AK24" s="35">
        <f>'Intermediate calculations'!AU32/1000</f>
        <v>299.55866697453428</v>
      </c>
      <c r="AL24" s="35">
        <f>'Intermediate calculations'!AV32/1000</f>
        <v>-103.04646176309049</v>
      </c>
      <c r="AM24" s="35">
        <f>'Intermediate calculations'!AW32/1000</f>
        <v>-103.89482703485281</v>
      </c>
      <c r="AN24" s="35">
        <f>'Intermediate calculations'!AX32/1000</f>
        <v>-104.74940332148856</v>
      </c>
      <c r="AO24" s="35">
        <f>'Intermediate calculations'!AY32/1000</f>
        <v>-105.61023609480925</v>
      </c>
      <c r="AP24" s="35">
        <f>'Intermediate calculations'!AZ32/1000</f>
        <v>-106.47737115953269</v>
      </c>
      <c r="AQ24" s="35">
        <f>'Intermediate calculations'!BA32/1000</f>
        <v>-107.3508546557202</v>
      </c>
      <c r="AR24" s="35">
        <f>'Intermediate calculations'!BB32/1000</f>
        <v>-108.09730268015531</v>
      </c>
      <c r="AS24" s="35">
        <f>'Intermediate calculations'!BC32/1000</f>
        <v>-108.8483868406596</v>
      </c>
      <c r="AT24" s="35">
        <f>'Intermediate calculations'!BD32/1000</f>
        <v>-109.60413593194748</v>
      </c>
      <c r="AU24" s="35">
        <f>'Intermediate calculations'!BE32/1000</f>
        <v>-110.36457892757524</v>
      </c>
      <c r="AV24" s="35">
        <f>'Intermediate calculations'!BF32/1000</f>
        <v>-111.12974498105186</v>
      </c>
      <c r="AW24" s="35">
        <f>'Intermediate calculations'!BG32/1000</f>
        <v>-111.76255049794383</v>
      </c>
      <c r="AX24" s="35">
        <f>'Intermediate calculations'!BH32/1000</f>
        <v>-112.39858638573844</v>
      </c>
      <c r="AY24" s="35">
        <f>'Intermediate calculations'!BI32/1000</f>
        <v>-113.03786913496216</v>
      </c>
      <c r="AZ24" s="35">
        <f>'Intermediate calculations'!BJ32/1000</f>
        <v>-113.68041532032312</v>
      </c>
      <c r="BA24" s="35">
        <f>'Intermediate calculations'!BK32/1000</f>
        <v>-114.32624160114052</v>
      </c>
    </row>
    <row r="25" spans="1:53" x14ac:dyDescent="0.25">
      <c r="A25" s="32"/>
      <c r="B25" s="32" t="s">
        <v>681</v>
      </c>
      <c r="C25" s="35">
        <f>'Intermediate calculations'!M29/1000</f>
        <v>131</v>
      </c>
      <c r="D25" s="35">
        <f>'Intermediate calculations'!N29/1000</f>
        <v>115</v>
      </c>
      <c r="E25" s="35">
        <f>'Intermediate calculations'!O29/1000</f>
        <v>123</v>
      </c>
      <c r="F25" s="35">
        <f>'Intermediate calculations'!P29/1000</f>
        <v>146</v>
      </c>
      <c r="G25" s="35">
        <f>'Intermediate calculations'!Q29/1000</f>
        <v>174</v>
      </c>
      <c r="H25" s="35">
        <f>'Intermediate calculations'!R29/1000</f>
        <v>182</v>
      </c>
      <c r="I25" s="35">
        <f>'Intermediate calculations'!S29/1000</f>
        <v>193</v>
      </c>
      <c r="J25" s="35">
        <f>'Intermediate calculations'!T29/1000</f>
        <v>206</v>
      </c>
      <c r="K25" s="35">
        <f>'Intermediate calculations'!U29/1000</f>
        <v>198</v>
      </c>
      <c r="L25" s="35">
        <f>'Intermediate calculations'!V29/1000</f>
        <v>199</v>
      </c>
      <c r="M25" s="35">
        <f>'Intermediate calculations'!W29/1000</f>
        <v>215</v>
      </c>
      <c r="N25" s="35">
        <f>'Intermediate calculations'!X29/1000</f>
        <v>231</v>
      </c>
      <c r="O25" s="35">
        <f>'Intermediate calculations'!Y29/1000</f>
        <v>234.69842969463443</v>
      </c>
      <c r="P25" s="35">
        <f>'Intermediate calculations'!Z29/1000</f>
        <v>241.11394137051872</v>
      </c>
      <c r="Q25" s="35">
        <f>'Intermediate calculations'!AA29/1000</f>
        <v>245.51323607267523</v>
      </c>
      <c r="R25" s="35">
        <f>'Intermediate calculations'!AB29/1000</f>
        <v>247.06283321005438</v>
      </c>
      <c r="S25" s="35">
        <f>'Intermediate calculations'!AC29/1000</f>
        <v>248.54950442861426</v>
      </c>
      <c r="T25" s="35">
        <f>'Intermediate calculations'!AD29/1000</f>
        <v>251.40216857025354</v>
      </c>
      <c r="U25" s="35">
        <f>'Intermediate calculations'!AE29/1000</f>
        <v>254.66927434287987</v>
      </c>
      <c r="V25" s="35">
        <f>'Intermediate calculations'!AF29/1000</f>
        <v>254.87394135514546</v>
      </c>
      <c r="W25" s="35">
        <f>'Intermediate calculations'!AG29/1000</f>
        <v>226.86200608395458</v>
      </c>
      <c r="X25" s="35">
        <f>'Intermediate calculations'!AH29/1000</f>
        <v>234.07713443687797</v>
      </c>
      <c r="Y25" s="35">
        <f>'Intermediate calculations'!AI29/1000</f>
        <v>240.58506118806852</v>
      </c>
      <c r="Z25" s="35">
        <f>'Intermediate calculations'!AJ29/1000</f>
        <v>247.13385851526135</v>
      </c>
      <c r="AA25" s="35">
        <f>'Intermediate calculations'!AK29/1000</f>
        <v>254.9346541454413</v>
      </c>
      <c r="AB25" s="35">
        <f>'Intermediate calculations'!AL29/1000</f>
        <v>262.79064877315164</v>
      </c>
      <c r="AC25" s="35">
        <f>'Intermediate calculations'!AM29/1000</f>
        <v>271.07073668374545</v>
      </c>
      <c r="AD25" s="35">
        <f>'Intermediate calculations'!AN29/1000</f>
        <v>279.11420530930678</v>
      </c>
      <c r="AE25" s="35">
        <f>'Intermediate calculations'!AO29/1000</f>
        <v>287.70063365043632</v>
      </c>
      <c r="AF25" s="35">
        <f>'Intermediate calculations'!AP29/1000</f>
        <v>295.76492639214194</v>
      </c>
      <c r="AG25" s="35">
        <f>'Intermediate calculations'!AQ29/1000</f>
        <v>304.05822165099306</v>
      </c>
      <c r="AH25" s="35">
        <f>'Intermediate calculations'!AR29/1000</f>
        <v>314.16958478212155</v>
      </c>
      <c r="AI25" s="35">
        <f>'Intermediate calculations'!AS29/1000</f>
        <v>325.12297865645331</v>
      </c>
      <c r="AJ25" s="35">
        <f>'Intermediate calculations'!AT29/1000</f>
        <v>336.47647866152852</v>
      </c>
      <c r="AK25" s="35">
        <f>'Intermediate calculations'!AU29/1000</f>
        <v>338.11729939675854</v>
      </c>
      <c r="AL25" s="35">
        <f>'Intermediate calculations'!AV29/1000</f>
        <v>-136.64781498540495</v>
      </c>
      <c r="AM25" s="35">
        <f>'Intermediate calculations'!AW29/1000</f>
        <v>-137.64823501619045</v>
      </c>
      <c r="AN25" s="35">
        <f>'Intermediate calculations'!AX29/1000</f>
        <v>-138.65597927852772</v>
      </c>
      <c r="AO25" s="35">
        <f>'Intermediate calculations'!AY29/1000</f>
        <v>-139.67110139426177</v>
      </c>
      <c r="AP25" s="35">
        <f>'Intermediate calculations'!AZ29/1000</f>
        <v>-140.6936553778115</v>
      </c>
      <c r="AQ25" s="35">
        <f>'Intermediate calculations'!BA29/1000</f>
        <v>-141.72369563904385</v>
      </c>
      <c r="AR25" s="35">
        <f>'Intermediate calculations'!BB29/1000</f>
        <v>-142.60393152379888</v>
      </c>
      <c r="AS25" s="35">
        <f>'Intermediate calculations'!BC29/1000</f>
        <v>-143.48963449159402</v>
      </c>
      <c r="AT25" s="35">
        <f>'Intermediate calculations'!BD29/1000</f>
        <v>-144.38083849809672</v>
      </c>
      <c r="AU25" s="35">
        <f>'Intermediate calculations'!BE29/1000</f>
        <v>-145.27757770987066</v>
      </c>
      <c r="AV25" s="35">
        <f>'Intermediate calculations'!BF29/1000</f>
        <v>-146.17988650568563</v>
      </c>
      <c r="AW25" s="35">
        <f>'Intermediate calculations'!BG29/1000</f>
        <v>-146.92611143468963</v>
      </c>
      <c r="AX25" s="35">
        <f>'Intermediate calculations'!BH29/1000</f>
        <v>-147.67614572254581</v>
      </c>
      <c r="AY25" s="35">
        <f>'Intermediate calculations'!BI29/1000</f>
        <v>-148.43000881542147</v>
      </c>
      <c r="AZ25" s="35">
        <f>'Intermediate calculations'!BJ29/1000</f>
        <v>-149.18772025875364</v>
      </c>
      <c r="BA25" s="35">
        <f>'Intermediate calculations'!BK29/1000</f>
        <v>-149.94929969775552</v>
      </c>
    </row>
    <row r="26" spans="1:53" x14ac:dyDescent="0.25">
      <c r="A26" s="32"/>
      <c r="B26" s="32"/>
      <c r="C26" s="35"/>
      <c r="D26" s="35"/>
      <c r="E26" s="35"/>
      <c r="F26" s="35"/>
      <c r="G26" s="35"/>
      <c r="H26" s="35"/>
      <c r="I26" s="35"/>
      <c r="J26" s="35"/>
      <c r="K26" s="35"/>
      <c r="L26" s="35"/>
      <c r="M26" s="35"/>
      <c r="N26" s="35"/>
      <c r="O26" s="35"/>
      <c r="P26" s="35"/>
      <c r="Q26" s="35"/>
      <c r="R26" s="36"/>
      <c r="S26" s="36"/>
      <c r="T26" s="36"/>
      <c r="U26" s="36"/>
      <c r="V26" s="36"/>
      <c r="W26" s="36"/>
      <c r="X26" s="36"/>
      <c r="Y26" s="36"/>
      <c r="Z26" s="36"/>
      <c r="AA26" s="36"/>
    </row>
    <row r="27" spans="1:53" x14ac:dyDescent="0.25">
      <c r="A27" s="31"/>
      <c r="B27" s="32"/>
      <c r="C27" s="33">
        <v>2000</v>
      </c>
      <c r="D27" s="33">
        <v>2001</v>
      </c>
      <c r="E27" s="33">
        <v>2002</v>
      </c>
      <c r="F27" s="33">
        <v>2003</v>
      </c>
      <c r="G27" s="33">
        <v>2004</v>
      </c>
      <c r="H27" s="33">
        <v>2005</v>
      </c>
      <c r="I27" s="33">
        <v>2006</v>
      </c>
      <c r="J27" s="33">
        <v>2007</v>
      </c>
      <c r="K27" s="33">
        <v>2008</v>
      </c>
      <c r="L27" s="33">
        <v>2009</v>
      </c>
      <c r="M27" s="33">
        <v>2010</v>
      </c>
      <c r="N27" s="33">
        <v>2011</v>
      </c>
      <c r="O27" s="33">
        <v>2012</v>
      </c>
      <c r="P27" s="33">
        <v>2013</v>
      </c>
      <c r="Q27" s="33">
        <v>2014</v>
      </c>
      <c r="R27" s="34">
        <v>2015</v>
      </c>
      <c r="S27" s="34">
        <v>2016</v>
      </c>
      <c r="T27" s="34">
        <v>2017</v>
      </c>
      <c r="U27" s="34">
        <v>2018</v>
      </c>
      <c r="V27" s="34">
        <v>2019</v>
      </c>
      <c r="W27" s="34">
        <v>2020</v>
      </c>
      <c r="X27" s="34">
        <v>2021</v>
      </c>
      <c r="Y27" s="34">
        <v>2022</v>
      </c>
      <c r="Z27" s="34">
        <v>2023</v>
      </c>
      <c r="AA27" s="34">
        <v>2024</v>
      </c>
      <c r="AB27" s="34">
        <v>2025</v>
      </c>
      <c r="AC27" s="34">
        <v>2026</v>
      </c>
      <c r="AD27" s="34">
        <v>2027</v>
      </c>
      <c r="AE27" s="34">
        <v>2028</v>
      </c>
      <c r="AF27" s="34">
        <v>2029</v>
      </c>
      <c r="AG27" s="34">
        <v>2030</v>
      </c>
      <c r="AH27" s="34">
        <v>2031</v>
      </c>
      <c r="AI27" s="34">
        <v>2032</v>
      </c>
      <c r="AJ27" s="34">
        <v>2033</v>
      </c>
      <c r="AK27" s="34">
        <v>2034</v>
      </c>
      <c r="AL27" s="34">
        <v>2035</v>
      </c>
      <c r="AM27" s="34">
        <v>2036</v>
      </c>
      <c r="AN27" s="34">
        <v>2037</v>
      </c>
      <c r="AO27" s="34">
        <v>2038</v>
      </c>
      <c r="AP27" s="34">
        <v>2039</v>
      </c>
      <c r="AQ27" s="34">
        <v>2040</v>
      </c>
      <c r="AR27" s="34">
        <v>2041</v>
      </c>
      <c r="AS27" s="34">
        <v>2042</v>
      </c>
      <c r="AT27" s="34">
        <v>2043</v>
      </c>
      <c r="AU27" s="34">
        <v>2044</v>
      </c>
      <c r="AV27" s="34">
        <v>2045</v>
      </c>
      <c r="AW27" s="34">
        <v>2046</v>
      </c>
      <c r="AX27" s="34">
        <v>2047</v>
      </c>
      <c r="AY27" s="34">
        <v>2048</v>
      </c>
      <c r="AZ27" s="34">
        <v>2049</v>
      </c>
      <c r="BA27" s="34">
        <v>2050</v>
      </c>
    </row>
    <row r="28" spans="1:53" x14ac:dyDescent="0.25">
      <c r="A28" s="32"/>
      <c r="B28" s="32" t="s">
        <v>682</v>
      </c>
      <c r="C28" s="40">
        <v>2024.0540449999999</v>
      </c>
      <c r="D28" s="40">
        <v>2024.0540449999999</v>
      </c>
      <c r="E28" s="40">
        <v>2024.0540449999999</v>
      </c>
      <c r="F28" s="40">
        <v>2113.8015639999999</v>
      </c>
      <c r="G28" s="40">
        <v>2290.0087429999999</v>
      </c>
      <c r="H28" s="40">
        <v>2393.5830030000002</v>
      </c>
      <c r="I28" s="40">
        <v>2495.02</v>
      </c>
      <c r="J28" s="40">
        <v>2546.5700000000002</v>
      </c>
      <c r="K28" s="40">
        <v>2673.6727109999997</v>
      </c>
      <c r="L28" s="40">
        <v>2586.3408249999998</v>
      </c>
      <c r="M28" s="40">
        <v>2706.3017989999998</v>
      </c>
      <c r="N28" s="40">
        <v>2720.4017549999999</v>
      </c>
      <c r="O28" s="40">
        <v>2842.8103229999997</v>
      </c>
      <c r="P28" s="40">
        <v>2904.1207999999997</v>
      </c>
      <c r="Q28" s="40">
        <v>2969.867827</v>
      </c>
      <c r="R28" s="41">
        <v>3150</v>
      </c>
      <c r="S28" s="41">
        <v>3100</v>
      </c>
      <c r="T28" s="41">
        <v>3200</v>
      </c>
      <c r="U28" s="41">
        <v>3400</v>
      </c>
      <c r="V28" s="41">
        <v>3250</v>
      </c>
      <c r="W28" s="41">
        <v>3300</v>
      </c>
      <c r="X28" s="41">
        <v>3400</v>
      </c>
      <c r="Y28" s="41">
        <v>3500</v>
      </c>
      <c r="Z28" s="41">
        <f>Y28+50</f>
        <v>3550</v>
      </c>
      <c r="AA28" s="41">
        <f t="shared" ref="AA28:AE28" si="1">Z28+50</f>
        <v>3600</v>
      </c>
      <c r="AB28" s="41">
        <f t="shared" si="1"/>
        <v>3650</v>
      </c>
      <c r="AC28" s="41">
        <f t="shared" si="1"/>
        <v>3700</v>
      </c>
      <c r="AD28" s="41">
        <f t="shared" si="1"/>
        <v>3750</v>
      </c>
      <c r="AE28" s="41">
        <f t="shared" si="1"/>
        <v>3800</v>
      </c>
    </row>
    <row r="29" spans="1:53" x14ac:dyDescent="0.25">
      <c r="A29" s="32"/>
      <c r="B29" s="32" t="s">
        <v>683</v>
      </c>
      <c r="C29" s="40">
        <v>1273.2</v>
      </c>
      <c r="D29" s="40">
        <v>1273.2</v>
      </c>
      <c r="E29" s="40">
        <v>1273.2</v>
      </c>
      <c r="F29" s="40">
        <v>1259</v>
      </c>
      <c r="G29" s="40">
        <v>1347</v>
      </c>
      <c r="H29" s="40">
        <v>1396.6</v>
      </c>
      <c r="I29" s="40">
        <v>1442.9</v>
      </c>
      <c r="J29" s="40">
        <v>1402.61000533527</v>
      </c>
      <c r="K29" s="40">
        <v>1458.4151718048199</v>
      </c>
      <c r="L29" s="40">
        <v>1493.2</v>
      </c>
      <c r="M29" s="40">
        <v>1545.3558772633801</v>
      </c>
      <c r="N29" s="40">
        <v>1571</v>
      </c>
      <c r="O29" s="40">
        <v>1661.1</v>
      </c>
      <c r="P29" s="40">
        <v>1681.39</v>
      </c>
      <c r="Q29" s="40">
        <v>1722.5233396599999</v>
      </c>
      <c r="R29" s="41">
        <v>1775.8304373666449</v>
      </c>
      <c r="S29" s="41">
        <v>1820.2326820256628</v>
      </c>
      <c r="T29" s="41">
        <v>1859.0411448844859</v>
      </c>
      <c r="U29" s="41">
        <v>1893.2454556799651</v>
      </c>
      <c r="V29" s="41">
        <v>1928.6136766918191</v>
      </c>
      <c r="W29" s="41">
        <v>1965.2479914611308</v>
      </c>
      <c r="X29" s="41">
        <v>2003.0736716496317</v>
      </c>
      <c r="Y29" s="41">
        <v>2044.3832164581972</v>
      </c>
      <c r="Z29" s="41">
        <v>2085.024175882957</v>
      </c>
      <c r="AA29" s="41">
        <v>2123.3681095603265</v>
      </c>
    </row>
    <row r="30" spans="1:53" x14ac:dyDescent="0.25">
      <c r="A30" s="32"/>
      <c r="B30" s="32" t="s">
        <v>684</v>
      </c>
      <c r="C30" s="40">
        <v>866.94927349604279</v>
      </c>
      <c r="D30" s="40">
        <v>866.94927349604279</v>
      </c>
      <c r="E30" s="40">
        <v>866.94927349604279</v>
      </c>
      <c r="F30" s="40">
        <v>846.1138215167158</v>
      </c>
      <c r="G30" s="40">
        <v>935.18533488170215</v>
      </c>
      <c r="H30" s="40">
        <v>990.02288429185</v>
      </c>
      <c r="I30" s="40">
        <v>1044.5425069013627</v>
      </c>
      <c r="J30" s="40">
        <v>1150.5392931285598</v>
      </c>
      <c r="K30" s="40">
        <v>1208.3756288442755</v>
      </c>
      <c r="L30" s="40">
        <v>1092.2210617160124</v>
      </c>
      <c r="M30" s="40">
        <v>1154.6007305262117</v>
      </c>
      <c r="N30" s="40">
        <v>1140</v>
      </c>
      <c r="O30" s="40">
        <v>1171</v>
      </c>
      <c r="P30" s="40">
        <v>1200</v>
      </c>
      <c r="Q30" s="40">
        <v>1223.1384873399998</v>
      </c>
      <c r="R30" s="41">
        <v>1297.1574685139426</v>
      </c>
      <c r="S30" s="41">
        <v>1339.9486902058916</v>
      </c>
      <c r="T30" s="41">
        <v>1382.183609812364</v>
      </c>
      <c r="U30" s="41">
        <v>1416.4086784270767</v>
      </c>
      <c r="V30" s="41">
        <v>1452.170708036087</v>
      </c>
      <c r="W30" s="41">
        <v>1490.0278167036406</v>
      </c>
      <c r="X30" s="41">
        <v>1529.1035404245388</v>
      </c>
      <c r="Y30" s="41">
        <v>1572.8770953399192</v>
      </c>
      <c r="Z30" s="41">
        <v>1615.0807207181326</v>
      </c>
      <c r="AA30" s="41">
        <v>1653.5952554033502</v>
      </c>
    </row>
    <row r="31" spans="1:53" x14ac:dyDescent="0.25">
      <c r="A31" s="32"/>
      <c r="B31" s="32" t="s">
        <v>685</v>
      </c>
      <c r="C31" s="40">
        <f>'Intermediate calculations'!M15/1000</f>
        <v>2370</v>
      </c>
      <c r="D31" s="40">
        <f>'Intermediate calculations'!N15/1000</f>
        <v>2358</v>
      </c>
      <c r="E31" s="40">
        <f>'Intermediate calculations'!O15/1000</f>
        <v>2457</v>
      </c>
      <c r="F31" s="40">
        <f>'Intermediate calculations'!P15/1000</f>
        <v>2354</v>
      </c>
      <c r="G31" s="40">
        <f>'Intermediate calculations'!Q15/1000</f>
        <v>2505</v>
      </c>
      <c r="H31" s="40">
        <f>'Intermediate calculations'!R15/1000</f>
        <v>2657</v>
      </c>
      <c r="I31" s="40">
        <f>'Intermediate calculations'!S15/1000</f>
        <v>2513</v>
      </c>
      <c r="J31" s="40">
        <f>'Intermediate calculations'!T15/1000</f>
        <v>2559</v>
      </c>
      <c r="K31" s="40">
        <f>'Intermediate calculations'!U15/1000</f>
        <v>2625</v>
      </c>
      <c r="L31" s="40">
        <f>'Intermediate calculations'!V15/1000</f>
        <v>2587</v>
      </c>
      <c r="M31" s="40">
        <f>'Intermediate calculations'!W15/1000</f>
        <v>2711</v>
      </c>
      <c r="N31" s="40">
        <f>'Intermediate calculations'!X15/1000</f>
        <v>2720</v>
      </c>
      <c r="O31" s="40">
        <f>'Intermediate calculations'!Y15/1000</f>
        <v>2860.8643959572214</v>
      </c>
      <c r="P31" s="40">
        <f>'Intermediate calculations'!Z15/1000</f>
        <v>2903.1507609220298</v>
      </c>
      <c r="Q31" s="40">
        <f>'Intermediate calculations'!AA15/1000</f>
        <v>2938.977299154863</v>
      </c>
      <c r="R31" s="40">
        <f>'Intermediate calculations'!AB15/1000</f>
        <v>2965.4022843947837</v>
      </c>
      <c r="S31" s="40">
        <f>'Intermediate calculations'!AC15/1000</f>
        <v>2992.3843018486341</v>
      </c>
      <c r="T31" s="40">
        <f>'Intermediate calculations'!AD15/1000</f>
        <v>3025.0453836721081</v>
      </c>
      <c r="U31" s="40">
        <f>'Intermediate calculations'!AE15/1000</f>
        <v>3059.4835322357844</v>
      </c>
      <c r="V31" s="40">
        <f>'Intermediate calculations'!AF15/1000</f>
        <v>3083.3789179897208</v>
      </c>
      <c r="W31" s="40">
        <f>'Intermediate calculations'!AG15/1000</f>
        <v>3007.11349558858</v>
      </c>
      <c r="X31" s="40">
        <f>'Intermediate calculations'!AH15/1000</f>
        <v>3049.8529648478275</v>
      </c>
      <c r="Y31" s="40">
        <f>'Intermediate calculations'!AI15/1000</f>
        <v>3090.2687925047671</v>
      </c>
      <c r="Z31" s="40">
        <f>'Intermediate calculations'!AJ15/1000</f>
        <v>3131.0286095267579</v>
      </c>
      <c r="AA31" s="40">
        <f>'Intermediate calculations'!AK15/1000</f>
        <v>3176.4499346989141</v>
      </c>
      <c r="AB31" s="40">
        <f>'Intermediate calculations'!AL15/1000</f>
        <v>3222.2708956283686</v>
      </c>
      <c r="AC31" s="40">
        <f>'Intermediate calculations'!AM15/1000</f>
        <v>3267.1959251359535</v>
      </c>
      <c r="AD31" s="40">
        <f>'Intermediate calculations'!AN15/1000</f>
        <v>3311.4297461560182</v>
      </c>
      <c r="AE31" s="40">
        <f>'Intermediate calculations'!AO15/1000</f>
        <v>3357.7514853905609</v>
      </c>
      <c r="AF31" s="40">
        <f>'Intermediate calculations'!AP15/1000</f>
        <v>3402.3677300103391</v>
      </c>
      <c r="AG31" s="40">
        <f>'Intermediate calculations'!AQ15/1000</f>
        <v>3447.9563017530759</v>
      </c>
      <c r="AH31" s="40">
        <f>'Intermediate calculations'!AR15/1000</f>
        <v>3498.0220090200164</v>
      </c>
      <c r="AI31" s="40">
        <f>'Intermediate calculations'!AS15/1000</f>
        <v>3551.2076754563636</v>
      </c>
      <c r="AJ31" s="40">
        <f>'Intermediate calculations'!AT15/1000</f>
        <v>3605.939751054681</v>
      </c>
      <c r="AK31" s="40">
        <f>'Intermediate calculations'!AU15/1000</f>
        <v>3626.1875241363814</v>
      </c>
      <c r="AL31" s="40">
        <f>'Intermediate calculations'!AV15/1000</f>
        <v>1949.1291079707723</v>
      </c>
      <c r="AM31" s="40">
        <f>'Intermediate calculations'!AW15/1000</f>
        <v>1958.1308143286883</v>
      </c>
      <c r="AN31" s="40">
        <f>'Intermediate calculations'!AX15/1000</f>
        <v>1967.1984235870841</v>
      </c>
      <c r="AO31" s="40">
        <f>'Intermediate calculations'!AY15/1000</f>
        <v>1976.3324182314027</v>
      </c>
      <c r="AP31" s="40">
        <f>'Intermediate calculations'!AZ15/1000</f>
        <v>1985.5332842794412</v>
      </c>
      <c r="AQ31" s="40">
        <f>'Intermediate calculations'!BA15/1000</f>
        <v>1994.8015113072074</v>
      </c>
      <c r="AR31" s="40">
        <f>'Intermediate calculations'!BB15/1000</f>
        <v>2002.7218094984021</v>
      </c>
      <c r="AS31" s="40">
        <f>'Intermediate calculations'!BC15/1000</f>
        <v>2010.69130010343</v>
      </c>
      <c r="AT31" s="40">
        <f>'Intermediate calculations'!BD15/1000</f>
        <v>2018.710288652906</v>
      </c>
      <c r="AU31" s="40">
        <f>'Intermediate calculations'!BE15/1000</f>
        <v>2026.7790825750751</v>
      </c>
      <c r="AV31" s="40">
        <f>'Intermediate calculations'!BF15/1000</f>
        <v>2034.8979912075959</v>
      </c>
      <c r="AW31" s="40">
        <f>'Intermediate calculations'!BG15/1000</f>
        <v>2041.6124686082296</v>
      </c>
      <c r="AX31" s="40">
        <f>'Intermediate calculations'!BH15/1000</f>
        <v>2048.361222341548</v>
      </c>
      <c r="AY31" s="40">
        <f>'Intermediate calculations'!BI15/1000</f>
        <v>2055.1444273827433</v>
      </c>
      <c r="AZ31" s="40">
        <f>'Intermediate calculations'!BJ15/1000</f>
        <v>2061.9622596002305</v>
      </c>
      <c r="BA31" s="40">
        <f>'Intermediate calculations'!BK15/1000</f>
        <v>2068.8148957602029</v>
      </c>
    </row>
    <row r="32" spans="1:53" x14ac:dyDescent="0.25">
      <c r="A32" s="32"/>
      <c r="B32" s="32" t="s">
        <v>686</v>
      </c>
      <c r="C32" s="40">
        <f>'Intermediate calculations'!M12/1000</f>
        <v>1284</v>
      </c>
      <c r="D32" s="40">
        <f>'Intermediate calculations'!N12/1000</f>
        <v>1575</v>
      </c>
      <c r="E32" s="40">
        <f>'Intermediate calculations'!O12/1000</f>
        <v>1611</v>
      </c>
      <c r="F32" s="40">
        <f>'Intermediate calculations'!P12/1000</f>
        <v>1528</v>
      </c>
      <c r="G32" s="40">
        <f>'Intermediate calculations'!Q12/1000</f>
        <v>1626</v>
      </c>
      <c r="H32" s="40">
        <f>'Intermediate calculations'!R12/1000</f>
        <v>1835</v>
      </c>
      <c r="I32" s="40">
        <f>'Intermediate calculations'!S12/1000</f>
        <v>1697</v>
      </c>
      <c r="J32" s="40">
        <f>'Intermediate calculations'!T12/1000</f>
        <v>1799</v>
      </c>
      <c r="K32" s="40">
        <f>'Intermediate calculations'!U12/1000</f>
        <v>1819</v>
      </c>
      <c r="L32" s="40">
        <f>'Intermediate calculations'!V12/1000</f>
        <v>1788</v>
      </c>
      <c r="M32" s="40">
        <f>'Intermediate calculations'!W12/1000</f>
        <v>1868</v>
      </c>
      <c r="N32" s="40">
        <f>'Intermediate calculations'!X12/1000</f>
        <v>1852</v>
      </c>
      <c r="O32" s="40">
        <f>'Intermediate calculations'!Y12/1000</f>
        <v>1957.0237595079648</v>
      </c>
      <c r="P32" s="40">
        <f>'Intermediate calculations'!Z12/1000</f>
        <v>1995.6713582799073</v>
      </c>
      <c r="Q32" s="40">
        <f>'Intermediate calculations'!AA12/1000</f>
        <v>2028.415002150987</v>
      </c>
      <c r="R32" s="40">
        <f>'Intermediate calculations'!AB12/1000</f>
        <v>2052.5661021085475</v>
      </c>
      <c r="S32" s="40">
        <f>'Intermediate calculations'!AC12/1000</f>
        <v>2077.2263013354554</v>
      </c>
      <c r="T32" s="40">
        <f>'Intermediate calculations'!AD12/1000</f>
        <v>2107.0768781542879</v>
      </c>
      <c r="U32" s="40">
        <f>'Intermediate calculations'!AE12/1000</f>
        <v>2138.5516040912457</v>
      </c>
      <c r="V32" s="40">
        <f>'Intermediate calculations'!AF12/1000</f>
        <v>2160.3907780634581</v>
      </c>
      <c r="W32" s="40">
        <f>'Intermediate calculations'!AG12/1000</f>
        <v>2090.6880394245391</v>
      </c>
      <c r="X32" s="40">
        <f>'Intermediate calculations'!AH12/1000</f>
        <v>2129.7497526039947</v>
      </c>
      <c r="Y32" s="40">
        <f>'Intermediate calculations'!AI12/1000</f>
        <v>2166.6877748866218</v>
      </c>
      <c r="Z32" s="40">
        <f>'Intermediate calculations'!AJ12/1000</f>
        <v>2203.9401860502358</v>
      </c>
      <c r="AA32" s="40">
        <f>'Intermediate calculations'!AK12/1000</f>
        <v>2245.4529798882568</v>
      </c>
      <c r="AB32" s="40">
        <f>'Intermediate calculations'!AL12/1000</f>
        <v>2287.3310205952348</v>
      </c>
      <c r="AC32" s="40">
        <f>'Intermediate calculations'!AM12/1000</f>
        <v>2328.3902252980211</v>
      </c>
      <c r="AD32" s="40">
        <f>'Intermediate calculations'!AN12/1000</f>
        <v>2368.8177004039112</v>
      </c>
      <c r="AE32" s="40">
        <f>'Intermediate calculations'!AO12/1000</f>
        <v>2411.153427152829</v>
      </c>
      <c r="AF32" s="40">
        <f>'Intermediate calculations'!AP12/1000</f>
        <v>2451.9304180862187</v>
      </c>
      <c r="AG32" s="40">
        <f>'Intermediate calculations'!AQ12/1000</f>
        <v>2493.5960668305706</v>
      </c>
      <c r="AH32" s="40">
        <f>'Intermediate calculations'!AR12/1000</f>
        <v>2539.3535909946013</v>
      </c>
      <c r="AI32" s="40">
        <f>'Intermediate calculations'!AS12/1000</f>
        <v>2587.9626000347712</v>
      </c>
      <c r="AJ32" s="40">
        <f>'Intermediate calculations'!AT12/1000</f>
        <v>2637.9849488330124</v>
      </c>
      <c r="AK32" s="40">
        <f>'Intermediate calculations'!AU12/1000</f>
        <v>2656.4903893157339</v>
      </c>
      <c r="AL32" s="40">
        <f>'Intermediate calculations'!AV12/1000</f>
        <v>1123.7438210302582</v>
      </c>
      <c r="AM32" s="40">
        <f>'Intermediate calculations'!AW12/1000</f>
        <v>1131.9709253432702</v>
      </c>
      <c r="AN32" s="40">
        <f>'Intermediate calculations'!AX12/1000</f>
        <v>1140.2582615740121</v>
      </c>
      <c r="AO32" s="40">
        <f>'Intermediate calculations'!AY12/1000</f>
        <v>1148.6062706897751</v>
      </c>
      <c r="AP32" s="40">
        <f>'Intermediate calculations'!AZ12/1000</f>
        <v>1157.015396886243</v>
      </c>
      <c r="AQ32" s="40">
        <f>'Intermediate calculations'!BA12/1000</f>
        <v>1165.486087611125</v>
      </c>
      <c r="AR32" s="40">
        <f>'Intermediate calculations'!BB12/1000</f>
        <v>1172.7248395563956</v>
      </c>
      <c r="AS32" s="40">
        <f>'Intermediate calculations'!BC12/1000</f>
        <v>1180.008550879802</v>
      </c>
      <c r="AT32" s="40">
        <f>'Intermediate calculations'!BD12/1000</f>
        <v>1187.3375008208734</v>
      </c>
      <c r="AU32" s="40">
        <f>'Intermediate calculations'!BE12/1000</f>
        <v>1194.7119703534756</v>
      </c>
      <c r="AV32" s="40">
        <f>'Intermediate calculations'!BF12/1000</f>
        <v>1202.1322421965826</v>
      </c>
      <c r="AW32" s="40">
        <f>'Intermediate calculations'!BG12/1000</f>
        <v>1208.2689349285999</v>
      </c>
      <c r="AX32" s="40">
        <f>'Intermediate calculations'!BH12/1000</f>
        <v>1214.436954495025</v>
      </c>
      <c r="AY32" s="40">
        <f>'Intermediate calculations'!BI12/1000</f>
        <v>1220.6364608143342</v>
      </c>
      <c r="AZ32" s="40">
        <f>'Intermediate calculations'!BJ12/1000</f>
        <v>1226.8676146213627</v>
      </c>
      <c r="BA32" s="40">
        <f>'Intermediate calculations'!BK12/1000</f>
        <v>1233.1305774714708</v>
      </c>
    </row>
    <row r="33" spans="1:53" x14ac:dyDescent="0.25">
      <c r="A33" s="32"/>
      <c r="B33" s="32"/>
      <c r="C33" s="40"/>
      <c r="D33" s="40"/>
      <c r="E33" s="40"/>
      <c r="F33" s="40"/>
      <c r="G33" s="40"/>
      <c r="H33" s="40"/>
      <c r="I33" s="40"/>
      <c r="J33" s="40"/>
      <c r="K33" s="40"/>
      <c r="L33" s="40"/>
      <c r="M33" s="40"/>
      <c r="N33" s="40"/>
      <c r="O33" s="40"/>
      <c r="P33" s="40"/>
      <c r="Q33" s="40"/>
      <c r="R33" s="41"/>
      <c r="S33" s="41"/>
      <c r="T33" s="41"/>
      <c r="U33" s="41"/>
      <c r="V33" s="41"/>
      <c r="W33" s="41"/>
      <c r="X33" s="41"/>
      <c r="Y33" s="41"/>
      <c r="Z33" s="41"/>
      <c r="AA33" s="41"/>
    </row>
    <row r="34" spans="1:53" x14ac:dyDescent="0.25">
      <c r="A34" s="31"/>
      <c r="B34" s="32"/>
      <c r="C34" s="33">
        <v>2000</v>
      </c>
      <c r="D34" s="33">
        <v>2001</v>
      </c>
      <c r="E34" s="33">
        <v>2002</v>
      </c>
      <c r="F34" s="33">
        <v>2003</v>
      </c>
      <c r="G34" s="33">
        <v>2004</v>
      </c>
      <c r="H34" s="33">
        <v>2005</v>
      </c>
      <c r="I34" s="33">
        <v>2006</v>
      </c>
      <c r="J34" s="33">
        <v>2007</v>
      </c>
      <c r="K34" s="33">
        <v>2008</v>
      </c>
      <c r="L34" s="33">
        <v>2009</v>
      </c>
      <c r="M34" s="33">
        <v>2010</v>
      </c>
      <c r="N34" s="33">
        <v>2011</v>
      </c>
      <c r="O34" s="33">
        <v>2012</v>
      </c>
      <c r="P34" s="33">
        <v>2013</v>
      </c>
      <c r="Q34" s="33">
        <v>2014</v>
      </c>
      <c r="R34" s="34">
        <v>2015</v>
      </c>
      <c r="S34" s="34">
        <v>2016</v>
      </c>
      <c r="T34" s="34">
        <v>2017</v>
      </c>
      <c r="U34" s="34">
        <v>2018</v>
      </c>
      <c r="V34" s="34">
        <v>2019</v>
      </c>
      <c r="W34" s="34">
        <v>2020</v>
      </c>
      <c r="X34" s="34">
        <v>2021</v>
      </c>
      <c r="Y34" s="34">
        <v>2022</v>
      </c>
      <c r="Z34" s="34">
        <v>2023</v>
      </c>
      <c r="AA34" s="34">
        <v>2024</v>
      </c>
      <c r="AB34" s="34">
        <v>2025</v>
      </c>
      <c r="AC34" s="34">
        <v>2026</v>
      </c>
      <c r="AD34" s="34">
        <v>2027</v>
      </c>
      <c r="AE34" s="34">
        <v>2028</v>
      </c>
      <c r="AF34" s="34">
        <v>2029</v>
      </c>
      <c r="AG34" s="34">
        <v>2030</v>
      </c>
      <c r="AH34" s="34">
        <v>2031</v>
      </c>
      <c r="AI34" s="34">
        <v>2032</v>
      </c>
      <c r="AJ34" s="34">
        <v>2033</v>
      </c>
      <c r="AK34" s="34">
        <v>2034</v>
      </c>
      <c r="AL34" s="34">
        <v>2035</v>
      </c>
      <c r="AM34" s="34">
        <v>2036</v>
      </c>
      <c r="AN34" s="34">
        <v>2037</v>
      </c>
      <c r="AO34" s="34">
        <v>2038</v>
      </c>
      <c r="AP34" s="34">
        <v>2039</v>
      </c>
      <c r="AQ34" s="34">
        <v>2040</v>
      </c>
      <c r="AR34" s="34">
        <v>2041</v>
      </c>
      <c r="AS34" s="34">
        <v>2042</v>
      </c>
      <c r="AT34" s="34">
        <v>2043</v>
      </c>
      <c r="AU34" s="34">
        <v>2044</v>
      </c>
      <c r="AV34" s="34">
        <v>2045</v>
      </c>
      <c r="AW34" s="34">
        <v>2046</v>
      </c>
      <c r="AX34" s="34">
        <v>2047</v>
      </c>
      <c r="AY34" s="34">
        <v>2048</v>
      </c>
      <c r="AZ34" s="34">
        <v>2049</v>
      </c>
      <c r="BA34" s="34">
        <v>2050</v>
      </c>
    </row>
    <row r="35" spans="1:53" x14ac:dyDescent="0.25">
      <c r="A35" s="37"/>
      <c r="B35" s="37" t="s">
        <v>687</v>
      </c>
      <c r="C35" s="38">
        <v>114.36</v>
      </c>
      <c r="D35" s="38">
        <v>114.36</v>
      </c>
      <c r="E35" s="38">
        <v>114.36</v>
      </c>
      <c r="F35" s="38">
        <v>94.948778000000004</v>
      </c>
      <c r="G35" s="38">
        <v>97.52034399999998</v>
      </c>
      <c r="H35" s="38">
        <v>102.166586</v>
      </c>
      <c r="I35" s="38">
        <v>115.84967</v>
      </c>
      <c r="J35" s="38">
        <v>110.621706</v>
      </c>
      <c r="K35" s="38">
        <v>115.99826544161907</v>
      </c>
      <c r="L35" s="38">
        <v>120.63819605928383</v>
      </c>
      <c r="M35" s="38">
        <v>125.46372390165519</v>
      </c>
      <c r="N35" s="38">
        <v>91.588518448208291</v>
      </c>
      <c r="O35" s="38">
        <v>98.915599924064963</v>
      </c>
      <c r="P35" s="38">
        <v>115.10460982337811</v>
      </c>
      <c r="Q35" s="38">
        <v>118.08101882391567</v>
      </c>
      <c r="R35" s="39">
        <v>120</v>
      </c>
      <c r="S35" s="39">
        <v>125</v>
      </c>
      <c r="T35" s="39">
        <v>135</v>
      </c>
      <c r="U35" s="39">
        <v>115</v>
      </c>
      <c r="V35" s="39">
        <v>108</v>
      </c>
      <c r="W35" s="39">
        <v>113</v>
      </c>
      <c r="X35" s="39">
        <v>116</v>
      </c>
      <c r="Y35" s="39">
        <v>119</v>
      </c>
      <c r="Z35" s="39">
        <v>121</v>
      </c>
      <c r="AA35" s="39">
        <v>124</v>
      </c>
      <c r="AB35" s="39">
        <v>127</v>
      </c>
      <c r="AC35" s="39">
        <v>129</v>
      </c>
      <c r="AD35" s="39">
        <v>131</v>
      </c>
      <c r="AE35" s="39">
        <v>133</v>
      </c>
    </row>
    <row r="36" spans="1:53" x14ac:dyDescent="0.25">
      <c r="A36" s="37"/>
      <c r="B36" s="37" t="s">
        <v>688</v>
      </c>
      <c r="C36" s="38">
        <v>147.50101899999999</v>
      </c>
      <c r="D36" s="38">
        <v>147.50101899999999</v>
      </c>
      <c r="E36" s="38">
        <v>147.50101899999999</v>
      </c>
      <c r="F36" s="38">
        <v>156</v>
      </c>
      <c r="G36" s="38">
        <v>163</v>
      </c>
      <c r="H36" s="38">
        <v>150</v>
      </c>
      <c r="I36" s="38">
        <v>177</v>
      </c>
      <c r="J36" s="38">
        <v>165.63170600000001</v>
      </c>
      <c r="K36" s="38">
        <v>153.94826544161907</v>
      </c>
      <c r="L36" s="38">
        <v>149.24819605928383</v>
      </c>
      <c r="M36" s="38">
        <v>149.24372390165519</v>
      </c>
      <c r="N36" s="38">
        <v>116.67851844820828</v>
      </c>
      <c r="O36" s="38">
        <v>121.76574443406494</v>
      </c>
      <c r="P36" s="38">
        <v>134.49960982337811</v>
      </c>
      <c r="Q36" s="38">
        <v>134.87990262391565</v>
      </c>
      <c r="R36" s="39">
        <v>138.20716425710361</v>
      </c>
      <c r="S36" s="39">
        <v>140.54831762918488</v>
      </c>
      <c r="T36" s="39">
        <v>142.52537151325211</v>
      </c>
      <c r="U36" s="39">
        <v>143.33699921198837</v>
      </c>
      <c r="V36" s="39">
        <v>145.00011855243841</v>
      </c>
      <c r="W36" s="39">
        <v>146.72189410939382</v>
      </c>
      <c r="X36" s="39">
        <v>148.14351293952492</v>
      </c>
      <c r="Y36" s="39">
        <v>149.6242507758528</v>
      </c>
      <c r="Z36" s="39">
        <v>151.3117511608838</v>
      </c>
      <c r="AA36" s="39">
        <v>153.36736842443659</v>
      </c>
    </row>
    <row r="37" spans="1:53" x14ac:dyDescent="0.25">
      <c r="B37" s="37" t="s">
        <v>689</v>
      </c>
      <c r="C37">
        <f>'Intermediate calculations'!M27/1000</f>
        <v>98.52</v>
      </c>
      <c r="D37">
        <f>'Intermediate calculations'!N27/1000</f>
        <v>95.86</v>
      </c>
      <c r="E37">
        <f>'Intermediate calculations'!O27/1000</f>
        <v>96.34</v>
      </c>
      <c r="F37">
        <f>'Intermediate calculations'!P27/1000</f>
        <v>105.64</v>
      </c>
      <c r="G37">
        <f>'Intermediate calculations'!Q27/1000</f>
        <v>111.12</v>
      </c>
      <c r="H37">
        <f>'Intermediate calculations'!R27/1000</f>
        <v>124.52</v>
      </c>
      <c r="I37">
        <f>'Intermediate calculations'!S27/1000</f>
        <v>124.74</v>
      </c>
      <c r="J37">
        <f>'Intermediate calculations'!T27/1000</f>
        <v>148.52000000000001</v>
      </c>
      <c r="K37">
        <f>'Intermediate calculations'!U27/1000</f>
        <v>149.26</v>
      </c>
      <c r="L37">
        <f>'Intermediate calculations'!V27/1000</f>
        <v>151.30000000000001</v>
      </c>
      <c r="M37">
        <f>'Intermediate calculations'!W27/1000</f>
        <v>153.46</v>
      </c>
      <c r="N37">
        <f>'Intermediate calculations'!X27/1000</f>
        <v>139.5</v>
      </c>
      <c r="O37">
        <f>'Intermediate calculations'!Y27/1000</f>
        <v>152.72633262627392</v>
      </c>
      <c r="P37">
        <f>'Intermediate calculations'!Z27/1000</f>
        <v>154.16744987415305</v>
      </c>
      <c r="Q37">
        <f>'Intermediate calculations'!AA27/1000</f>
        <v>155.65498740174326</v>
      </c>
      <c r="R37">
        <f>'Intermediate calculations'!AB27/1000</f>
        <v>157.18829895291279</v>
      </c>
      <c r="S37">
        <f>'Intermediate calculations'!AC27/1000</f>
        <v>158.77852488403741</v>
      </c>
      <c r="T37">
        <f>'Intermediate calculations'!AD27/1000</f>
        <v>160.43252977483451</v>
      </c>
      <c r="U37">
        <f>'Intermediate calculations'!AE27/1000</f>
        <v>162.10983621300593</v>
      </c>
      <c r="V37">
        <f>'Intermediate calculations'!AF27/1000</f>
        <v>163.80421253251185</v>
      </c>
      <c r="W37">
        <f>'Intermediate calculations'!AG27/1000</f>
        <v>165.43490658057127</v>
      </c>
      <c r="X37">
        <f>'Intermediate calculations'!AH27/1000</f>
        <v>166.70343498261562</v>
      </c>
      <c r="Y37">
        <f>'Intermediate calculations'!AI27/1000</f>
        <v>167.98401872321932</v>
      </c>
      <c r="Z37">
        <f>'Intermediate calculations'!AJ27/1000</f>
        <v>169.27923738332379</v>
      </c>
      <c r="AA37">
        <f>'Intermediate calculations'!AK27/1000</f>
        <v>170.59316701146537</v>
      </c>
      <c r="AB37">
        <f>'Intermediate calculations'!AL27/1000</f>
        <v>171.92211370872192</v>
      </c>
      <c r="AC37">
        <f>'Intermediate calculations'!AM27/1000</f>
        <v>173.07645163015582</v>
      </c>
      <c r="AD37">
        <f>'Intermediate calculations'!AN27/1000</f>
        <v>174.24112881708857</v>
      </c>
      <c r="AE37">
        <f>'Intermediate calculations'!AO27/1000</f>
        <v>175.41877077818401</v>
      </c>
      <c r="AF37">
        <f>'Intermediate calculations'!AP27/1000</f>
        <v>176.60605019333369</v>
      </c>
      <c r="AG37">
        <f>'Intermediate calculations'!AQ27/1000</f>
        <v>177.80550293839752</v>
      </c>
      <c r="AH37">
        <f>'Intermediate calculations'!AR27/1000</f>
        <v>178.86455509985029</v>
      </c>
      <c r="AI37">
        <f>'Intermediate calculations'!AS27/1000</f>
        <v>179.93508473301853</v>
      </c>
      <c r="AJ37">
        <f>'Intermediate calculations'!AT27/1000</f>
        <v>181.01574023158827</v>
      </c>
      <c r="AK37">
        <f>'Intermediate calculations'!AU27/1000</f>
        <v>182.07395677655313</v>
      </c>
      <c r="AL37">
        <f>'Intermediate calculations'!AV27/1000</f>
        <v>181.60350254813289</v>
      </c>
      <c r="AM37">
        <f>'Intermediate calculations'!AW27/1000</f>
        <v>182.51900837616606</v>
      </c>
      <c r="AN37">
        <f>'Intermediate calculations'!AX27/1000</f>
        <v>183.44121676558868</v>
      </c>
      <c r="AO37">
        <f>'Intermediate calculations'!AY27/1000</f>
        <v>184.37017678690108</v>
      </c>
      <c r="AP37">
        <f>'Intermediate calculations'!AZ27/1000</f>
        <v>185.30593786985668</v>
      </c>
      <c r="AQ37">
        <f>'Intermediate calculations'!BA27/1000</f>
        <v>186.24854980609177</v>
      </c>
      <c r="AR37">
        <f>'Intermediate calculations'!BB27/1000</f>
        <v>187.0540725442805</v>
      </c>
      <c r="AS37">
        <f>'Intermediate calculations'!BC27/1000</f>
        <v>187.86459832742187</v>
      </c>
      <c r="AT37">
        <f>'Intermediate calculations'!BD27/1000</f>
        <v>188.68015822907549</v>
      </c>
      <c r="AU37">
        <f>'Intermediate calculations'!BE27/1000</f>
        <v>189.50078351579666</v>
      </c>
      <c r="AV37">
        <f>'Intermediate calculations'!BF27/1000</f>
        <v>190.32650564833492</v>
      </c>
      <c r="AW37">
        <f>'Intermediate calculations'!BG27/1000</f>
        <v>191.00939208653469</v>
      </c>
      <c r="AX37">
        <f>'Intermediate calculations'!BH27/1000</f>
        <v>191.69576455072647</v>
      </c>
      <c r="AY37">
        <f>'Intermediate calculations'!BI27/1000</f>
        <v>192.38564083651502</v>
      </c>
      <c r="AZ37">
        <f>'Intermediate calculations'!BJ27/1000</f>
        <v>193.07903883034905</v>
      </c>
      <c r="BA37">
        <f>'Intermediate calculations'!BK27/1000</f>
        <v>193.7759765099845</v>
      </c>
    </row>
    <row r="38" spans="1:53" x14ac:dyDescent="0.25">
      <c r="B38" s="37" t="s">
        <v>690</v>
      </c>
      <c r="C38">
        <f>'Intermediate calculations'!M19/1000</f>
        <v>153.22</v>
      </c>
      <c r="D38">
        <f>'Intermediate calculations'!N19/1000</f>
        <v>149.46</v>
      </c>
      <c r="E38">
        <f>'Intermediate calculations'!O19/1000</f>
        <v>137.24</v>
      </c>
      <c r="F38">
        <f>'Intermediate calculations'!P19/1000</f>
        <v>137.24</v>
      </c>
      <c r="G38">
        <f>'Intermediate calculations'!Q19/1000</f>
        <v>143.82</v>
      </c>
      <c r="H38">
        <f>'Intermediate calculations'!R19/1000</f>
        <v>157.91999999999999</v>
      </c>
      <c r="I38">
        <f>'Intermediate calculations'!S19/1000</f>
        <v>165.44</v>
      </c>
      <c r="J38">
        <f>'Intermediate calculations'!T19/1000</f>
        <v>190.82</v>
      </c>
      <c r="K38">
        <f>'Intermediate calculations'!U19/1000</f>
        <v>177.66</v>
      </c>
      <c r="L38">
        <f>'Intermediate calculations'!V19/1000</f>
        <v>169.2</v>
      </c>
      <c r="M38">
        <f>'Intermediate calculations'!W19/1000</f>
        <v>163.56</v>
      </c>
      <c r="N38">
        <f>'Intermediate calculations'!X19/1000</f>
        <v>145.69999999999999</v>
      </c>
      <c r="O38">
        <f>'Intermediate calculations'!Y19/1000</f>
        <v>168.48776169155292</v>
      </c>
      <c r="P38">
        <f>'Intermediate calculations'!Z19/1000</f>
        <v>171.01251082629685</v>
      </c>
      <c r="Q38">
        <f>'Intermediate calculations'!AA19/1000</f>
        <v>173.61858544736577</v>
      </c>
      <c r="R38">
        <f>'Intermediate calculations'!AB19/1000</f>
        <v>176.30485335360692</v>
      </c>
      <c r="S38">
        <f>'Intermediate calculations'!AC19/1000</f>
        <v>179.09083176692681</v>
      </c>
      <c r="T38">
        <f>'Intermediate calculations'!AD19/1000</f>
        <v>181.98854701046295</v>
      </c>
      <c r="U38">
        <f>'Intermediate calculations'!AE19/1000</f>
        <v>184.92708513753485</v>
      </c>
      <c r="V38">
        <f>'Intermediate calculations'!AF19/1000</f>
        <v>187.89552865099557</v>
      </c>
      <c r="W38">
        <f>'Intermediate calculations'!AG19/1000</f>
        <v>190.75240472608874</v>
      </c>
      <c r="X38">
        <f>'Intermediate calculations'!AH19/1000</f>
        <v>192.97478877580645</v>
      </c>
      <c r="Y38">
        <f>'Intermediate calculations'!AI19/1000</f>
        <v>195.21829304016418</v>
      </c>
      <c r="Z38">
        <f>'Intermediate calculations'!AJ19/1000</f>
        <v>197.48743678694504</v>
      </c>
      <c r="AA38">
        <f>'Intermediate calculations'!AK19/1000</f>
        <v>199.789361003484</v>
      </c>
      <c r="AB38">
        <f>'Intermediate calculations'!AL19/1000</f>
        <v>202.11759420515938</v>
      </c>
      <c r="AC38">
        <f>'Intermediate calculations'!AM19/1000</f>
        <v>204.13992352821165</v>
      </c>
      <c r="AD38">
        <f>'Intermediate calculations'!AN19/1000</f>
        <v>206.18036661102951</v>
      </c>
      <c r="AE38">
        <f>'Intermediate calculations'!AO19/1000</f>
        <v>208.24352318395202</v>
      </c>
      <c r="AF38">
        <f>'Intermediate calculations'!AP19/1000</f>
        <v>210.3235639859825</v>
      </c>
      <c r="AG38">
        <f>'Intermediate calculations'!AQ19/1000</f>
        <v>212.42493171627851</v>
      </c>
      <c r="AH38">
        <f>'Intermediate calculations'!AR19/1000</f>
        <v>214.28032622509556</v>
      </c>
      <c r="AI38">
        <f>'Intermediate calculations'!AS19/1000</f>
        <v>216.15582856124271</v>
      </c>
      <c r="AJ38">
        <f>'Intermediate calculations'!AT19/1000</f>
        <v>218.04907079325793</v>
      </c>
      <c r="AK38">
        <f>'Intermediate calculations'!AU19/1000</f>
        <v>219.90300135317847</v>
      </c>
      <c r="AL38">
        <f>'Intermediate calculations'!AV19/1000</f>
        <v>219.07879436524001</v>
      </c>
      <c r="AM38">
        <f>'Intermediate calculations'!AW19/1000</f>
        <v>220.68270449162389</v>
      </c>
      <c r="AN38">
        <f>'Intermediate calculations'!AX19/1000</f>
        <v>222.29835709495987</v>
      </c>
      <c r="AO38">
        <f>'Intermediate calculations'!AY19/1000</f>
        <v>223.9258381437586</v>
      </c>
      <c r="AP38">
        <f>'Intermediate calculations'!AZ19/1000</f>
        <v>225.56523423591983</v>
      </c>
      <c r="AQ38">
        <f>'Intermediate calculations'!BA19/1000</f>
        <v>227.21663260334009</v>
      </c>
      <c r="AR38">
        <f>'Intermediate calculations'!BB19/1000</f>
        <v>228.62785909393384</v>
      </c>
      <c r="AS38">
        <f>'Intermediate calculations'!BC19/1000</f>
        <v>230.04785061279566</v>
      </c>
      <c r="AT38">
        <f>'Intermediate calculations'!BD19/1000</f>
        <v>231.47666159889837</v>
      </c>
      <c r="AU38">
        <f>'Intermediate calculations'!BE19/1000</f>
        <v>232.91434682933149</v>
      </c>
      <c r="AV38">
        <f>'Intermediate calculations'!BF19/1000</f>
        <v>234.36096142140099</v>
      </c>
      <c r="AW38">
        <f>'Intermediate calculations'!BG19/1000</f>
        <v>235.55733662717316</v>
      </c>
      <c r="AX38">
        <f>'Intermediate calculations'!BH19/1000</f>
        <v>236.75981913692766</v>
      </c>
      <c r="AY38">
        <f>'Intermediate calculations'!BI19/1000</f>
        <v>237.968440127474</v>
      </c>
      <c r="AZ38">
        <f>'Intermediate calculations'!BJ19/1000</f>
        <v>239.1832309347744</v>
      </c>
      <c r="BA38">
        <f>'Intermediate calculations'!BK19/1000</f>
        <v>240.40422305475605</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8"/>
  </sheetPr>
  <dimension ref="A1:AN232"/>
  <sheetViews>
    <sheetView workbookViewId="0">
      <selection activeCell="C8" sqref="C8"/>
    </sheetView>
  </sheetViews>
  <sheetFormatPr defaultRowHeight="15" x14ac:dyDescent="0.25"/>
  <cols>
    <col min="1" max="1" width="55.85546875" customWidth="1"/>
    <col min="2" max="2" width="12.85546875" customWidth="1"/>
    <col min="3" max="3" width="13.85546875" customWidth="1"/>
    <col min="4" max="6" width="12.7109375" customWidth="1"/>
    <col min="7" max="7" width="10.28515625" customWidth="1"/>
    <col min="8" max="26" width="12" bestFit="1" customWidth="1"/>
    <col min="27" max="27" width="10" bestFit="1" customWidth="1"/>
    <col min="28" max="31" width="12" bestFit="1" customWidth="1"/>
    <col min="32" max="32" width="10" bestFit="1" customWidth="1"/>
    <col min="33" max="36" width="12" bestFit="1" customWidth="1"/>
  </cols>
  <sheetData>
    <row r="1" spans="1:40" ht="18.75" x14ac:dyDescent="0.3">
      <c r="A1" s="1" t="s">
        <v>656</v>
      </c>
    </row>
    <row r="2" spans="1:40" x14ac:dyDescent="0.25">
      <c r="B2" s="83" t="s">
        <v>796</v>
      </c>
    </row>
    <row r="3" spans="1:40" s="19" customFormat="1" ht="29.25" customHeight="1" x14ac:dyDescent="0.25">
      <c r="A3" s="17"/>
      <c r="B3" s="17" t="s">
        <v>0</v>
      </c>
      <c r="C3" s="17">
        <v>2017</v>
      </c>
      <c r="D3" s="17">
        <v>2018</v>
      </c>
      <c r="E3" s="17">
        <v>2019</v>
      </c>
      <c r="F3" s="17">
        <v>2020</v>
      </c>
      <c r="G3" s="17">
        <v>2021</v>
      </c>
      <c r="H3" s="17">
        <v>2022</v>
      </c>
      <c r="I3" s="17">
        <v>2023</v>
      </c>
      <c r="J3" s="17">
        <v>2024</v>
      </c>
      <c r="K3" s="17">
        <v>2025</v>
      </c>
      <c r="L3" s="17">
        <v>2026</v>
      </c>
      <c r="M3" s="17">
        <v>2027</v>
      </c>
      <c r="N3" s="17">
        <v>2028</v>
      </c>
      <c r="O3" s="17">
        <v>2029</v>
      </c>
      <c r="P3" s="17">
        <v>2030</v>
      </c>
      <c r="Q3" s="17">
        <v>2031</v>
      </c>
      <c r="R3" s="17">
        <v>2032</v>
      </c>
      <c r="S3" s="17">
        <v>2033</v>
      </c>
      <c r="T3" s="17">
        <v>2034</v>
      </c>
      <c r="U3" s="17">
        <v>2035</v>
      </c>
      <c r="V3" s="17">
        <v>2036</v>
      </c>
      <c r="W3" s="17">
        <v>2037</v>
      </c>
      <c r="X3" s="17">
        <v>2038</v>
      </c>
      <c r="Y3" s="17">
        <v>2039</v>
      </c>
      <c r="Z3" s="17">
        <v>2040</v>
      </c>
      <c r="AA3" s="17">
        <v>2041</v>
      </c>
      <c r="AB3" s="17">
        <v>2042</v>
      </c>
      <c r="AC3" s="17">
        <v>2043</v>
      </c>
      <c r="AD3" s="17">
        <v>2044</v>
      </c>
      <c r="AE3" s="17">
        <v>2045</v>
      </c>
      <c r="AF3" s="17">
        <v>2046</v>
      </c>
      <c r="AG3" s="17">
        <v>2047</v>
      </c>
      <c r="AH3" s="17">
        <v>2048</v>
      </c>
      <c r="AI3" s="17">
        <v>2049</v>
      </c>
      <c r="AJ3" s="17">
        <v>2050</v>
      </c>
      <c r="AM3" s="18" t="s">
        <v>308</v>
      </c>
      <c r="AN3" s="17" t="s">
        <v>282</v>
      </c>
    </row>
    <row r="4" spans="1:40" s="50" customFormat="1" ht="15.75" x14ac:dyDescent="0.25">
      <c r="A4" s="49" t="s">
        <v>712</v>
      </c>
      <c r="B4" s="52" t="s">
        <v>711</v>
      </c>
      <c r="C4" s="49"/>
      <c r="D4" s="49"/>
      <c r="E4" s="49"/>
      <c r="F4" s="49"/>
      <c r="G4" s="49"/>
      <c r="H4" s="49"/>
      <c r="I4" s="49"/>
      <c r="J4" s="49"/>
      <c r="K4" s="49"/>
      <c r="L4" s="49"/>
      <c r="M4" s="49"/>
      <c r="N4" s="49"/>
      <c r="O4" s="49"/>
      <c r="P4" s="49"/>
      <c r="Q4" s="49"/>
      <c r="R4" s="49"/>
      <c r="S4" s="49"/>
      <c r="T4" s="49"/>
      <c r="U4" s="49"/>
      <c r="V4" s="49"/>
      <c r="W4" s="49"/>
      <c r="X4" s="49"/>
      <c r="Y4" s="49"/>
      <c r="Z4" s="49"/>
      <c r="AA4" s="49"/>
      <c r="AB4" s="49"/>
      <c r="AC4" s="49"/>
      <c r="AD4" s="49"/>
      <c r="AE4" s="49"/>
      <c r="AF4" s="49"/>
      <c r="AG4" s="49"/>
      <c r="AH4" s="49"/>
      <c r="AI4" s="49"/>
      <c r="AJ4" s="49"/>
    </row>
    <row r="5" spans="1:40" x14ac:dyDescent="0.25">
      <c r="A5" t="s">
        <v>662</v>
      </c>
      <c r="B5" t="s">
        <v>361</v>
      </c>
      <c r="C5" s="78"/>
      <c r="D5" s="79"/>
      <c r="E5" s="79"/>
      <c r="F5" s="79"/>
      <c r="G5" s="79"/>
      <c r="H5" s="79"/>
      <c r="I5" s="79"/>
      <c r="J5" s="79"/>
      <c r="K5" s="79"/>
      <c r="L5" s="79"/>
      <c r="M5" s="79"/>
      <c r="N5" s="79"/>
      <c r="O5" s="79"/>
      <c r="P5" s="79"/>
      <c r="Q5" s="79"/>
      <c r="R5" s="79"/>
      <c r="S5" s="79"/>
      <c r="T5" s="79"/>
      <c r="U5" s="79"/>
      <c r="V5" s="79"/>
      <c r="W5" s="79"/>
      <c r="X5" s="79"/>
      <c r="Y5" s="79"/>
      <c r="Z5" s="79"/>
      <c r="AA5" s="79"/>
      <c r="AB5" s="79"/>
      <c r="AC5" s="79"/>
      <c r="AD5" s="79"/>
      <c r="AE5" s="79"/>
      <c r="AF5" s="79"/>
      <c r="AG5" s="79"/>
      <c r="AH5" s="79"/>
      <c r="AI5" s="79"/>
      <c r="AJ5" s="79"/>
    </row>
    <row r="6" spans="1:40" x14ac:dyDescent="0.25">
      <c r="A6" t="s">
        <v>384</v>
      </c>
      <c r="B6" t="s">
        <v>321</v>
      </c>
      <c r="C6" s="70"/>
      <c r="D6" s="70"/>
      <c r="E6" s="70"/>
      <c r="F6" s="70"/>
      <c r="G6" s="70"/>
      <c r="H6" s="70"/>
      <c r="I6" s="70"/>
      <c r="J6" s="70"/>
      <c r="K6" s="70"/>
      <c r="L6" s="70"/>
      <c r="M6" s="70"/>
      <c r="N6" s="70"/>
      <c r="O6" s="70"/>
      <c r="P6" s="70"/>
      <c r="Q6" s="70"/>
      <c r="R6" s="70"/>
      <c r="S6" s="70"/>
      <c r="T6" s="70"/>
      <c r="U6" s="70"/>
      <c r="V6" s="70"/>
      <c r="W6" s="70"/>
      <c r="X6" s="70"/>
      <c r="Y6" s="70"/>
      <c r="Z6" s="70"/>
      <c r="AA6" s="70"/>
      <c r="AB6" s="70"/>
      <c r="AC6" s="70"/>
      <c r="AD6" s="70"/>
      <c r="AE6" s="70"/>
      <c r="AF6" s="70"/>
      <c r="AG6" s="70"/>
      <c r="AH6" s="70"/>
      <c r="AI6" s="70"/>
      <c r="AJ6" s="70"/>
    </row>
    <row r="7" spans="1:40" x14ac:dyDescent="0.25">
      <c r="A7" t="s">
        <v>659</v>
      </c>
      <c r="B7" t="s">
        <v>321</v>
      </c>
      <c r="C7" s="70"/>
      <c r="D7" s="70"/>
      <c r="E7" s="70"/>
      <c r="F7" s="70"/>
      <c r="G7" s="70"/>
      <c r="H7" s="70"/>
      <c r="I7" s="70"/>
      <c r="J7" s="70"/>
      <c r="K7" s="70"/>
      <c r="L7" s="70"/>
      <c r="M7" s="70"/>
      <c r="N7" s="70"/>
      <c r="O7" s="70"/>
      <c r="P7" s="70"/>
      <c r="Q7" s="70"/>
      <c r="R7" s="70"/>
      <c r="S7" s="70"/>
      <c r="T7" s="70"/>
      <c r="U7" s="70"/>
      <c r="V7" s="70"/>
      <c r="W7" s="70"/>
      <c r="X7" s="70"/>
      <c r="Y7" s="70"/>
      <c r="Z7" s="70"/>
      <c r="AA7" s="70"/>
      <c r="AB7" s="70"/>
      <c r="AC7" s="70"/>
      <c r="AD7" s="70"/>
      <c r="AE7" s="70"/>
      <c r="AF7" s="70"/>
      <c r="AG7" s="70"/>
      <c r="AH7" s="70"/>
      <c r="AI7" s="70"/>
      <c r="AJ7" s="70"/>
    </row>
    <row r="8" spans="1:40" x14ac:dyDescent="0.25">
      <c r="A8" t="s">
        <v>660</v>
      </c>
      <c r="B8" t="s">
        <v>321</v>
      </c>
      <c r="C8" s="70"/>
      <c r="D8" s="70"/>
      <c r="E8" s="70"/>
      <c r="F8" s="70"/>
      <c r="G8" s="70"/>
      <c r="H8" s="70"/>
      <c r="I8" s="70"/>
      <c r="J8" s="70"/>
      <c r="K8" s="70"/>
      <c r="L8" s="70"/>
      <c r="M8" s="70"/>
      <c r="N8" s="70"/>
      <c r="O8" s="70"/>
      <c r="P8" s="70"/>
      <c r="Q8" s="70"/>
      <c r="R8" s="70"/>
      <c r="S8" s="70"/>
      <c r="T8" s="70"/>
      <c r="U8" s="70"/>
      <c r="V8" s="70"/>
      <c r="W8" s="70"/>
      <c r="X8" s="70"/>
      <c r="Y8" s="70"/>
      <c r="Z8" s="70"/>
      <c r="AA8" s="70"/>
      <c r="AB8" s="70"/>
      <c r="AC8" s="70"/>
      <c r="AD8" s="70"/>
      <c r="AE8" s="70"/>
      <c r="AF8" s="70"/>
      <c r="AG8" s="70"/>
      <c r="AH8" s="70"/>
      <c r="AI8" s="70"/>
      <c r="AJ8" s="70"/>
    </row>
    <row r="10" spans="1:40" s="50" customFormat="1" ht="15.75" x14ac:dyDescent="0.25">
      <c r="A10" s="49" t="s">
        <v>713</v>
      </c>
      <c r="B10" s="52" t="s">
        <v>778</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49"/>
      <c r="AG10" s="49"/>
      <c r="AH10" s="49"/>
      <c r="AI10" s="49"/>
      <c r="AJ10" s="49"/>
    </row>
    <row r="11" spans="1:40" s="74" customFormat="1" ht="15.75" x14ac:dyDescent="0.25">
      <c r="A11" s="72" t="s">
        <v>771</v>
      </c>
      <c r="B11" s="73" t="s">
        <v>779</v>
      </c>
      <c r="C11" s="72"/>
      <c r="D11" s="72"/>
      <c r="E11" s="72"/>
      <c r="F11" s="72"/>
      <c r="G11" s="72"/>
      <c r="H11" s="72"/>
      <c r="I11" s="72"/>
      <c r="J11" s="72"/>
      <c r="K11" s="72"/>
      <c r="L11" s="72"/>
      <c r="M11" s="72"/>
      <c r="N11" s="72"/>
      <c r="O11" s="72"/>
      <c r="P11" s="72"/>
      <c r="Q11" s="72"/>
      <c r="R11" s="72"/>
      <c r="S11" s="72"/>
      <c r="T11" s="72"/>
      <c r="U11" s="72"/>
      <c r="V11" s="72"/>
      <c r="W11" s="72"/>
      <c r="X11" s="72"/>
      <c r="Y11" s="72"/>
      <c r="Z11" s="72"/>
      <c r="AA11" s="72"/>
      <c r="AB11" s="72"/>
      <c r="AC11" s="72"/>
      <c r="AD11" s="72"/>
      <c r="AE11" s="72"/>
      <c r="AF11" s="72"/>
      <c r="AG11" s="72"/>
      <c r="AH11" s="72"/>
      <c r="AI11" s="72"/>
      <c r="AJ11" s="72"/>
    </row>
    <row r="12" spans="1:40" x14ac:dyDescent="0.25">
      <c r="A12" s="75" t="s">
        <v>449</v>
      </c>
      <c r="B12" t="s">
        <v>305</v>
      </c>
      <c r="C12" s="25">
        <v>95</v>
      </c>
      <c r="D12" s="25">
        <v>95</v>
      </c>
      <c r="E12" s="25">
        <v>95</v>
      </c>
      <c r="F12" s="25">
        <v>95</v>
      </c>
      <c r="G12" s="25">
        <v>95</v>
      </c>
      <c r="H12" s="25">
        <v>95</v>
      </c>
      <c r="I12" s="25">
        <v>95</v>
      </c>
      <c r="J12" s="25">
        <v>95</v>
      </c>
      <c r="K12" s="25">
        <v>95</v>
      </c>
      <c r="L12" s="25">
        <v>95</v>
      </c>
      <c r="M12" s="25">
        <v>95</v>
      </c>
      <c r="N12" s="25">
        <v>95</v>
      </c>
      <c r="O12" s="25">
        <v>95</v>
      </c>
      <c r="P12" s="25">
        <v>95</v>
      </c>
      <c r="Q12" s="25">
        <v>95</v>
      </c>
      <c r="R12" s="25">
        <v>95</v>
      </c>
      <c r="S12" s="25">
        <v>95</v>
      </c>
      <c r="T12" s="25">
        <v>95</v>
      </c>
      <c r="U12" s="25">
        <v>95</v>
      </c>
      <c r="V12" s="25">
        <v>95</v>
      </c>
      <c r="W12" s="25">
        <v>95</v>
      </c>
      <c r="X12" s="25">
        <v>95</v>
      </c>
      <c r="Y12" s="25">
        <v>95</v>
      </c>
      <c r="Z12" s="25">
        <v>95</v>
      </c>
      <c r="AA12" s="25">
        <v>95</v>
      </c>
      <c r="AB12" s="25">
        <v>95</v>
      </c>
      <c r="AC12" s="25">
        <v>95</v>
      </c>
      <c r="AD12" s="25">
        <v>95</v>
      </c>
      <c r="AE12" s="25">
        <v>95</v>
      </c>
      <c r="AF12" s="25">
        <v>95</v>
      </c>
      <c r="AG12" s="25">
        <v>95</v>
      </c>
      <c r="AH12" s="25">
        <v>95</v>
      </c>
      <c r="AI12" s="25">
        <v>95</v>
      </c>
      <c r="AJ12" s="25">
        <v>95</v>
      </c>
    </row>
    <row r="13" spans="1:40" x14ac:dyDescent="0.25">
      <c r="A13" s="75" t="s">
        <v>450</v>
      </c>
      <c r="B13" t="s">
        <v>305</v>
      </c>
      <c r="C13" s="25">
        <v>0</v>
      </c>
      <c r="D13" s="25">
        <v>0</v>
      </c>
      <c r="E13" s="25">
        <v>0</v>
      </c>
      <c r="F13" s="25">
        <v>0</v>
      </c>
      <c r="G13" s="25">
        <v>0</v>
      </c>
      <c r="H13" s="25">
        <v>0</v>
      </c>
      <c r="I13" s="25">
        <v>0</v>
      </c>
      <c r="J13" s="25">
        <v>0</v>
      </c>
      <c r="K13" s="25">
        <v>0</v>
      </c>
      <c r="L13" s="25">
        <v>0</v>
      </c>
      <c r="M13" s="25">
        <v>0</v>
      </c>
      <c r="N13" s="25">
        <v>0</v>
      </c>
      <c r="O13" s="25">
        <v>0</v>
      </c>
      <c r="P13" s="25">
        <v>0</v>
      </c>
      <c r="Q13" s="25">
        <v>0</v>
      </c>
      <c r="R13" s="25">
        <v>0</v>
      </c>
      <c r="S13" s="25">
        <v>0</v>
      </c>
      <c r="T13" s="25">
        <v>0</v>
      </c>
      <c r="U13" s="25">
        <v>0</v>
      </c>
      <c r="V13" s="25">
        <v>0</v>
      </c>
      <c r="W13" s="25">
        <v>0</v>
      </c>
      <c r="X13" s="25">
        <v>0</v>
      </c>
      <c r="Y13" s="25">
        <v>0</v>
      </c>
      <c r="Z13" s="25">
        <v>0</v>
      </c>
      <c r="AA13" s="25">
        <v>0</v>
      </c>
      <c r="AB13" s="25">
        <v>0</v>
      </c>
      <c r="AC13" s="25">
        <v>0</v>
      </c>
      <c r="AD13" s="25">
        <v>0</v>
      </c>
      <c r="AE13" s="25">
        <v>0</v>
      </c>
      <c r="AF13" s="25">
        <v>0</v>
      </c>
      <c r="AG13" s="25">
        <v>0</v>
      </c>
      <c r="AH13" s="25">
        <v>0</v>
      </c>
      <c r="AI13" s="25">
        <v>0</v>
      </c>
      <c r="AJ13" s="25">
        <v>0</v>
      </c>
    </row>
    <row r="14" spans="1:40" x14ac:dyDescent="0.25">
      <c r="A14" s="75" t="s">
        <v>451</v>
      </c>
      <c r="B14" t="s">
        <v>305</v>
      </c>
      <c r="C14" s="25">
        <v>0</v>
      </c>
      <c r="D14" s="25">
        <v>0</v>
      </c>
      <c r="E14" s="25">
        <v>0</v>
      </c>
      <c r="F14" s="25">
        <v>0</v>
      </c>
      <c r="G14" s="25">
        <v>0</v>
      </c>
      <c r="H14" s="25">
        <v>0</v>
      </c>
      <c r="I14" s="25">
        <v>0</v>
      </c>
      <c r="J14" s="25">
        <v>0</v>
      </c>
      <c r="K14" s="25">
        <v>0</v>
      </c>
      <c r="L14" s="25">
        <v>0</v>
      </c>
      <c r="M14" s="25">
        <v>0</v>
      </c>
      <c r="N14" s="25">
        <v>0</v>
      </c>
      <c r="O14" s="25">
        <v>0</v>
      </c>
      <c r="P14" s="25">
        <v>0</v>
      </c>
      <c r="Q14" s="25">
        <v>0</v>
      </c>
      <c r="R14" s="25">
        <v>0</v>
      </c>
      <c r="S14" s="25">
        <v>0</v>
      </c>
      <c r="T14" s="25">
        <v>0</v>
      </c>
      <c r="U14" s="25">
        <v>0</v>
      </c>
      <c r="V14" s="25">
        <v>0</v>
      </c>
      <c r="W14" s="25">
        <v>0</v>
      </c>
      <c r="X14" s="25">
        <v>0</v>
      </c>
      <c r="Y14" s="25">
        <v>0</v>
      </c>
      <c r="Z14" s="25">
        <v>0</v>
      </c>
      <c r="AA14" s="25">
        <v>0</v>
      </c>
      <c r="AB14" s="25">
        <v>0</v>
      </c>
      <c r="AC14" s="25">
        <v>0</v>
      </c>
      <c r="AD14" s="25">
        <v>0</v>
      </c>
      <c r="AE14" s="25">
        <v>0</v>
      </c>
      <c r="AF14" s="25">
        <v>0</v>
      </c>
      <c r="AG14" s="25">
        <v>0</v>
      </c>
      <c r="AH14" s="25">
        <v>0</v>
      </c>
      <c r="AI14" s="25">
        <v>0</v>
      </c>
      <c r="AJ14" s="25">
        <v>0</v>
      </c>
    </row>
    <row r="15" spans="1:40" x14ac:dyDescent="0.25">
      <c r="A15" s="75" t="s">
        <v>452</v>
      </c>
      <c r="B15" t="s">
        <v>305</v>
      </c>
      <c r="C15" s="25">
        <v>0</v>
      </c>
      <c r="D15" s="25">
        <v>0</v>
      </c>
      <c r="E15" s="25">
        <v>0</v>
      </c>
      <c r="F15" s="25">
        <v>0</v>
      </c>
      <c r="G15" s="25">
        <v>0</v>
      </c>
      <c r="H15" s="25">
        <v>0</v>
      </c>
      <c r="I15" s="25">
        <v>0</v>
      </c>
      <c r="J15" s="25">
        <v>0</v>
      </c>
      <c r="K15" s="25">
        <v>0</v>
      </c>
      <c r="L15" s="25">
        <v>0</v>
      </c>
      <c r="M15" s="25">
        <v>0</v>
      </c>
      <c r="N15" s="25">
        <v>0</v>
      </c>
      <c r="O15" s="25">
        <v>0</v>
      </c>
      <c r="P15" s="25">
        <v>0</v>
      </c>
      <c r="Q15" s="25">
        <v>0</v>
      </c>
      <c r="R15" s="25">
        <v>0</v>
      </c>
      <c r="S15" s="25">
        <v>0</v>
      </c>
      <c r="T15" s="25">
        <v>0</v>
      </c>
      <c r="U15" s="25">
        <v>0</v>
      </c>
      <c r="V15" s="25">
        <v>0</v>
      </c>
      <c r="W15" s="25">
        <v>0</v>
      </c>
      <c r="X15" s="25">
        <v>0</v>
      </c>
      <c r="Y15" s="25">
        <v>0</v>
      </c>
      <c r="Z15" s="25">
        <v>0</v>
      </c>
      <c r="AA15" s="25">
        <v>0</v>
      </c>
      <c r="AB15" s="25">
        <v>0</v>
      </c>
      <c r="AC15" s="25">
        <v>0</v>
      </c>
      <c r="AD15" s="25">
        <v>0</v>
      </c>
      <c r="AE15" s="25">
        <v>0</v>
      </c>
      <c r="AF15" s="25">
        <v>0</v>
      </c>
      <c r="AG15" s="25">
        <v>0</v>
      </c>
      <c r="AH15" s="25">
        <v>0</v>
      </c>
      <c r="AI15" s="25">
        <v>0</v>
      </c>
      <c r="AJ15" s="25">
        <v>0</v>
      </c>
    </row>
    <row r="16" spans="1:40" x14ac:dyDescent="0.25">
      <c r="A16" s="75" t="s">
        <v>453</v>
      </c>
      <c r="B16" t="s">
        <v>305</v>
      </c>
      <c r="C16" s="25">
        <v>0</v>
      </c>
      <c r="D16" s="25">
        <v>0</v>
      </c>
      <c r="E16" s="25">
        <v>0</v>
      </c>
      <c r="F16" s="25">
        <v>0</v>
      </c>
      <c r="G16" s="25">
        <v>0</v>
      </c>
      <c r="H16" s="25">
        <v>0</v>
      </c>
      <c r="I16" s="25">
        <v>0</v>
      </c>
      <c r="J16" s="25">
        <v>0</v>
      </c>
      <c r="K16" s="25">
        <v>0</v>
      </c>
      <c r="L16" s="25">
        <v>0</v>
      </c>
      <c r="M16" s="25">
        <v>0</v>
      </c>
      <c r="N16" s="25">
        <v>0</v>
      </c>
      <c r="O16" s="25">
        <v>0</v>
      </c>
      <c r="P16" s="25">
        <v>0</v>
      </c>
      <c r="Q16" s="25">
        <v>0</v>
      </c>
      <c r="R16" s="25">
        <v>0</v>
      </c>
      <c r="S16" s="25">
        <v>0</v>
      </c>
      <c r="T16" s="25">
        <v>0</v>
      </c>
      <c r="U16" s="25">
        <v>0</v>
      </c>
      <c r="V16" s="25">
        <v>0</v>
      </c>
      <c r="W16" s="25">
        <v>0</v>
      </c>
      <c r="X16" s="25">
        <v>0</v>
      </c>
      <c r="Y16" s="25">
        <v>0</v>
      </c>
      <c r="Z16" s="25">
        <v>0</v>
      </c>
      <c r="AA16" s="25">
        <v>0</v>
      </c>
      <c r="AB16" s="25">
        <v>0</v>
      </c>
      <c r="AC16" s="25">
        <v>0</v>
      </c>
      <c r="AD16" s="25">
        <v>0</v>
      </c>
      <c r="AE16" s="25">
        <v>0</v>
      </c>
      <c r="AF16" s="25">
        <v>0</v>
      </c>
      <c r="AG16" s="25">
        <v>0</v>
      </c>
      <c r="AH16" s="25">
        <v>0</v>
      </c>
      <c r="AI16" s="25">
        <v>0</v>
      </c>
      <c r="AJ16" s="25">
        <v>0</v>
      </c>
    </row>
    <row r="17" spans="1:36" x14ac:dyDescent="0.25">
      <c r="A17" s="75" t="s">
        <v>454</v>
      </c>
      <c r="B17" t="s">
        <v>305</v>
      </c>
      <c r="C17" s="25">
        <v>0</v>
      </c>
      <c r="D17" s="25">
        <v>0</v>
      </c>
      <c r="E17" s="25">
        <v>0</v>
      </c>
      <c r="F17" s="25">
        <v>0</v>
      </c>
      <c r="G17" s="25">
        <v>0</v>
      </c>
      <c r="H17" s="25">
        <v>0</v>
      </c>
      <c r="I17" s="25">
        <v>0</v>
      </c>
      <c r="J17" s="25">
        <v>0</v>
      </c>
      <c r="K17" s="25">
        <v>0</v>
      </c>
      <c r="L17" s="25">
        <v>0</v>
      </c>
      <c r="M17" s="25">
        <v>0</v>
      </c>
      <c r="N17" s="25">
        <v>0</v>
      </c>
      <c r="O17" s="25">
        <v>0</v>
      </c>
      <c r="P17" s="25">
        <v>0</v>
      </c>
      <c r="Q17" s="25">
        <v>0</v>
      </c>
      <c r="R17" s="25">
        <v>0</v>
      </c>
      <c r="S17" s="25">
        <v>0</v>
      </c>
      <c r="T17" s="25">
        <v>0</v>
      </c>
      <c r="U17" s="25">
        <v>0</v>
      </c>
      <c r="V17" s="25">
        <v>0</v>
      </c>
      <c r="W17" s="25">
        <v>0</v>
      </c>
      <c r="X17" s="25">
        <v>0</v>
      </c>
      <c r="Y17" s="25">
        <v>0</v>
      </c>
      <c r="Z17" s="25">
        <v>0</v>
      </c>
      <c r="AA17" s="25">
        <v>0</v>
      </c>
      <c r="AB17" s="25">
        <v>0</v>
      </c>
      <c r="AC17" s="25">
        <v>0</v>
      </c>
      <c r="AD17" s="25">
        <v>0</v>
      </c>
      <c r="AE17" s="25">
        <v>0</v>
      </c>
      <c r="AF17" s="25">
        <v>0</v>
      </c>
      <c r="AG17" s="25">
        <v>0</v>
      </c>
      <c r="AH17" s="25">
        <v>0</v>
      </c>
      <c r="AI17" s="25">
        <v>0</v>
      </c>
      <c r="AJ17" s="25">
        <v>0</v>
      </c>
    </row>
    <row r="18" spans="1:36" x14ac:dyDescent="0.25">
      <c r="A18" s="75" t="s">
        <v>455</v>
      </c>
      <c r="B18" t="s">
        <v>305</v>
      </c>
      <c r="C18" s="25">
        <v>5</v>
      </c>
      <c r="D18" s="25">
        <v>5</v>
      </c>
      <c r="E18" s="25">
        <v>5</v>
      </c>
      <c r="F18" s="25">
        <v>5</v>
      </c>
      <c r="G18" s="25">
        <v>5</v>
      </c>
      <c r="H18" s="25">
        <v>5</v>
      </c>
      <c r="I18" s="25">
        <v>5</v>
      </c>
      <c r="J18" s="25">
        <v>5</v>
      </c>
      <c r="K18" s="25">
        <v>5</v>
      </c>
      <c r="L18" s="25">
        <v>5</v>
      </c>
      <c r="M18" s="25">
        <v>5</v>
      </c>
      <c r="N18" s="25">
        <v>5</v>
      </c>
      <c r="O18" s="25">
        <v>5</v>
      </c>
      <c r="P18" s="25">
        <v>5</v>
      </c>
      <c r="Q18" s="25">
        <v>5</v>
      </c>
      <c r="R18" s="25">
        <v>5</v>
      </c>
      <c r="S18" s="25">
        <v>5</v>
      </c>
      <c r="T18" s="25">
        <v>5</v>
      </c>
      <c r="U18" s="25">
        <v>5</v>
      </c>
      <c r="V18" s="25">
        <v>5</v>
      </c>
      <c r="W18" s="25">
        <v>5</v>
      </c>
      <c r="X18" s="25">
        <v>5</v>
      </c>
      <c r="Y18" s="25">
        <v>5</v>
      </c>
      <c r="Z18" s="25">
        <v>5</v>
      </c>
      <c r="AA18" s="25">
        <v>5</v>
      </c>
      <c r="AB18" s="25">
        <v>5</v>
      </c>
      <c r="AC18" s="25">
        <v>5</v>
      </c>
      <c r="AD18" s="25">
        <v>5</v>
      </c>
      <c r="AE18" s="25">
        <v>5</v>
      </c>
      <c r="AF18" s="25">
        <v>5</v>
      </c>
      <c r="AG18" s="25">
        <v>5</v>
      </c>
      <c r="AH18" s="25">
        <v>5</v>
      </c>
      <c r="AI18" s="25">
        <v>5</v>
      </c>
      <c r="AJ18" s="25">
        <v>5</v>
      </c>
    </row>
    <row r="19" spans="1:36" x14ac:dyDescent="0.25">
      <c r="A19" s="75" t="s">
        <v>456</v>
      </c>
      <c r="B19" t="s">
        <v>305</v>
      </c>
      <c r="C19" s="25">
        <v>0</v>
      </c>
      <c r="D19" s="25">
        <v>0</v>
      </c>
      <c r="E19" s="25">
        <v>0</v>
      </c>
      <c r="F19" s="25">
        <v>0</v>
      </c>
      <c r="G19" s="25">
        <v>0</v>
      </c>
      <c r="H19" s="25">
        <v>0</v>
      </c>
      <c r="I19" s="25">
        <v>0</v>
      </c>
      <c r="J19" s="25">
        <v>0</v>
      </c>
      <c r="K19" s="25">
        <v>0</v>
      </c>
      <c r="L19" s="25">
        <v>0</v>
      </c>
      <c r="M19" s="25">
        <v>0</v>
      </c>
      <c r="N19" s="25">
        <v>0</v>
      </c>
      <c r="O19" s="25">
        <v>0</v>
      </c>
      <c r="P19" s="25">
        <v>0</v>
      </c>
      <c r="Q19" s="25">
        <v>0</v>
      </c>
      <c r="R19" s="25">
        <v>0</v>
      </c>
      <c r="S19" s="25">
        <v>0</v>
      </c>
      <c r="T19" s="25">
        <v>0</v>
      </c>
      <c r="U19" s="25">
        <v>0</v>
      </c>
      <c r="V19" s="25">
        <v>0</v>
      </c>
      <c r="W19" s="25">
        <v>0</v>
      </c>
      <c r="X19" s="25">
        <v>0</v>
      </c>
      <c r="Y19" s="25">
        <v>0</v>
      </c>
      <c r="Z19" s="25">
        <v>0</v>
      </c>
      <c r="AA19" s="25">
        <v>0</v>
      </c>
      <c r="AB19" s="25">
        <v>0</v>
      </c>
      <c r="AC19" s="25">
        <v>0</v>
      </c>
      <c r="AD19" s="25">
        <v>0</v>
      </c>
      <c r="AE19" s="25">
        <v>0</v>
      </c>
      <c r="AF19" s="25">
        <v>0</v>
      </c>
      <c r="AG19" s="25">
        <v>0</v>
      </c>
      <c r="AH19" s="25">
        <v>0</v>
      </c>
      <c r="AI19" s="25">
        <v>0</v>
      </c>
      <c r="AJ19" s="25">
        <v>0</v>
      </c>
    </row>
    <row r="20" spans="1:36" x14ac:dyDescent="0.25">
      <c r="A20" s="75" t="s">
        <v>457</v>
      </c>
      <c r="B20" t="s">
        <v>305</v>
      </c>
      <c r="C20" s="25">
        <v>0</v>
      </c>
      <c r="D20" s="25">
        <v>0</v>
      </c>
      <c r="E20" s="25">
        <v>0</v>
      </c>
      <c r="F20" s="25">
        <v>0</v>
      </c>
      <c r="G20" s="25">
        <v>0</v>
      </c>
      <c r="H20" s="25">
        <v>0</v>
      </c>
      <c r="I20" s="25">
        <v>0</v>
      </c>
      <c r="J20" s="25">
        <v>0</v>
      </c>
      <c r="K20" s="25">
        <v>0</v>
      </c>
      <c r="L20" s="25">
        <v>0</v>
      </c>
      <c r="M20" s="25">
        <v>0</v>
      </c>
      <c r="N20" s="25">
        <v>0</v>
      </c>
      <c r="O20" s="25">
        <v>0</v>
      </c>
      <c r="P20" s="25">
        <v>0</v>
      </c>
      <c r="Q20" s="25">
        <v>0</v>
      </c>
      <c r="R20" s="25">
        <v>0</v>
      </c>
      <c r="S20" s="25">
        <v>0</v>
      </c>
      <c r="T20" s="25">
        <v>0</v>
      </c>
      <c r="U20" s="25">
        <v>0</v>
      </c>
      <c r="V20" s="25">
        <v>0</v>
      </c>
      <c r="W20" s="25">
        <v>0</v>
      </c>
      <c r="X20" s="25">
        <v>0</v>
      </c>
      <c r="Y20" s="25">
        <v>0</v>
      </c>
      <c r="Z20" s="25">
        <v>0</v>
      </c>
      <c r="AA20" s="25">
        <v>0</v>
      </c>
      <c r="AB20" s="25">
        <v>0</v>
      </c>
      <c r="AC20" s="25">
        <v>0</v>
      </c>
      <c r="AD20" s="25">
        <v>0</v>
      </c>
      <c r="AE20" s="25">
        <v>0</v>
      </c>
      <c r="AF20" s="25">
        <v>0</v>
      </c>
      <c r="AG20" s="25">
        <v>0</v>
      </c>
      <c r="AH20" s="25">
        <v>0</v>
      </c>
      <c r="AI20" s="25">
        <v>0</v>
      </c>
      <c r="AJ20" s="25">
        <v>0</v>
      </c>
    </row>
    <row r="21" spans="1:36" x14ac:dyDescent="0.25">
      <c r="A21" s="75" t="s">
        <v>458</v>
      </c>
      <c r="B21" t="s">
        <v>305</v>
      </c>
      <c r="C21" s="25">
        <v>0</v>
      </c>
      <c r="D21" s="25">
        <v>0</v>
      </c>
      <c r="E21" s="25">
        <v>0</v>
      </c>
      <c r="F21" s="25">
        <v>0</v>
      </c>
      <c r="G21" s="25">
        <v>0</v>
      </c>
      <c r="H21" s="25">
        <v>0</v>
      </c>
      <c r="I21" s="25">
        <v>0</v>
      </c>
      <c r="J21" s="25">
        <v>0</v>
      </c>
      <c r="K21" s="25">
        <v>0</v>
      </c>
      <c r="L21" s="25">
        <v>0</v>
      </c>
      <c r="M21" s="25">
        <v>0</v>
      </c>
      <c r="N21" s="25">
        <v>0</v>
      </c>
      <c r="O21" s="25">
        <v>0</v>
      </c>
      <c r="P21" s="25">
        <v>0</v>
      </c>
      <c r="Q21" s="25">
        <v>0</v>
      </c>
      <c r="R21" s="25">
        <v>0</v>
      </c>
      <c r="S21" s="25">
        <v>0</v>
      </c>
      <c r="T21" s="25">
        <v>0</v>
      </c>
      <c r="U21" s="25">
        <v>0</v>
      </c>
      <c r="V21" s="25">
        <v>0</v>
      </c>
      <c r="W21" s="25">
        <v>0</v>
      </c>
      <c r="X21" s="25">
        <v>0</v>
      </c>
      <c r="Y21" s="25">
        <v>0</v>
      </c>
      <c r="Z21" s="25">
        <v>0</v>
      </c>
      <c r="AA21" s="25">
        <v>0</v>
      </c>
      <c r="AB21" s="25">
        <v>0</v>
      </c>
      <c r="AC21" s="25">
        <v>0</v>
      </c>
      <c r="AD21" s="25">
        <v>0</v>
      </c>
      <c r="AE21" s="25">
        <v>0</v>
      </c>
      <c r="AF21" s="25">
        <v>0</v>
      </c>
      <c r="AG21" s="25">
        <v>0</v>
      </c>
      <c r="AH21" s="25">
        <v>0</v>
      </c>
      <c r="AI21" s="25">
        <v>0</v>
      </c>
      <c r="AJ21" s="25">
        <v>0</v>
      </c>
    </row>
    <row r="22" spans="1:36" x14ac:dyDescent="0.25">
      <c r="A22" s="75" t="s">
        <v>752</v>
      </c>
      <c r="B22" t="s">
        <v>305</v>
      </c>
      <c r="C22" s="25">
        <v>0</v>
      </c>
      <c r="D22" s="25">
        <v>0</v>
      </c>
      <c r="E22" s="25">
        <v>0</v>
      </c>
      <c r="F22" s="25">
        <v>0</v>
      </c>
      <c r="G22" s="25">
        <v>0</v>
      </c>
      <c r="H22" s="25">
        <v>0</v>
      </c>
      <c r="I22" s="25">
        <v>0</v>
      </c>
      <c r="J22" s="25">
        <v>0</v>
      </c>
      <c r="K22" s="25">
        <v>0</v>
      </c>
      <c r="L22" s="25">
        <v>0</v>
      </c>
      <c r="M22" s="25">
        <v>0</v>
      </c>
      <c r="N22" s="25">
        <v>0</v>
      </c>
      <c r="O22" s="25">
        <v>0</v>
      </c>
      <c r="P22" s="25">
        <v>0</v>
      </c>
      <c r="Q22" s="25">
        <v>0</v>
      </c>
      <c r="R22" s="25">
        <v>0</v>
      </c>
      <c r="S22" s="25">
        <v>0</v>
      </c>
      <c r="T22" s="25">
        <v>0</v>
      </c>
      <c r="U22" s="25">
        <v>0</v>
      </c>
      <c r="V22" s="25">
        <v>0</v>
      </c>
      <c r="W22" s="25">
        <v>0</v>
      </c>
      <c r="X22" s="25">
        <v>0</v>
      </c>
      <c r="Y22" s="25">
        <v>0</v>
      </c>
      <c r="Z22" s="25">
        <v>0</v>
      </c>
      <c r="AA22" s="25">
        <v>0</v>
      </c>
      <c r="AB22" s="25">
        <v>0</v>
      </c>
      <c r="AC22" s="25">
        <v>0</v>
      </c>
      <c r="AD22" s="25">
        <v>0</v>
      </c>
      <c r="AE22" s="25">
        <v>0</v>
      </c>
      <c r="AF22" s="25">
        <v>0</v>
      </c>
      <c r="AG22" s="25">
        <v>0</v>
      </c>
      <c r="AH22" s="25">
        <v>0</v>
      </c>
      <c r="AI22" s="25">
        <v>0</v>
      </c>
      <c r="AJ22" s="25">
        <v>0</v>
      </c>
    </row>
    <row r="23" spans="1:36" s="76" customFormat="1" x14ac:dyDescent="0.25">
      <c r="A23" s="76" t="s">
        <v>780</v>
      </c>
      <c r="C23" s="77">
        <f>+SUM(C12:C22)</f>
        <v>100</v>
      </c>
      <c r="D23" s="77">
        <f t="shared" ref="D23:AJ23" si="0">+SUM(D12:D22)</f>
        <v>100</v>
      </c>
      <c r="E23" s="77">
        <f t="shared" si="0"/>
        <v>100</v>
      </c>
      <c r="F23" s="77">
        <f t="shared" si="0"/>
        <v>100</v>
      </c>
      <c r="G23" s="77">
        <f t="shared" si="0"/>
        <v>100</v>
      </c>
      <c r="H23" s="77">
        <f t="shared" si="0"/>
        <v>100</v>
      </c>
      <c r="I23" s="77">
        <f t="shared" si="0"/>
        <v>100</v>
      </c>
      <c r="J23" s="77">
        <f t="shared" si="0"/>
        <v>100</v>
      </c>
      <c r="K23" s="77">
        <f t="shared" si="0"/>
        <v>100</v>
      </c>
      <c r="L23" s="77">
        <f t="shared" si="0"/>
        <v>100</v>
      </c>
      <c r="M23" s="77">
        <f t="shared" si="0"/>
        <v>100</v>
      </c>
      <c r="N23" s="77">
        <f t="shared" si="0"/>
        <v>100</v>
      </c>
      <c r="O23" s="77">
        <f t="shared" si="0"/>
        <v>100</v>
      </c>
      <c r="P23" s="77">
        <f t="shared" si="0"/>
        <v>100</v>
      </c>
      <c r="Q23" s="77">
        <f t="shared" si="0"/>
        <v>100</v>
      </c>
      <c r="R23" s="77">
        <f t="shared" si="0"/>
        <v>100</v>
      </c>
      <c r="S23" s="77">
        <f t="shared" si="0"/>
        <v>100</v>
      </c>
      <c r="T23" s="77">
        <f t="shared" si="0"/>
        <v>100</v>
      </c>
      <c r="U23" s="77">
        <f t="shared" si="0"/>
        <v>100</v>
      </c>
      <c r="V23" s="77">
        <f t="shared" si="0"/>
        <v>100</v>
      </c>
      <c r="W23" s="77">
        <f t="shared" si="0"/>
        <v>100</v>
      </c>
      <c r="X23" s="77">
        <f t="shared" si="0"/>
        <v>100</v>
      </c>
      <c r="Y23" s="77">
        <f t="shared" si="0"/>
        <v>100</v>
      </c>
      <c r="Z23" s="77">
        <f t="shared" si="0"/>
        <v>100</v>
      </c>
      <c r="AA23" s="77">
        <f t="shared" si="0"/>
        <v>100</v>
      </c>
      <c r="AB23" s="77">
        <f t="shared" si="0"/>
        <v>100</v>
      </c>
      <c r="AC23" s="77">
        <f t="shared" si="0"/>
        <v>100</v>
      </c>
      <c r="AD23" s="77">
        <f t="shared" si="0"/>
        <v>100</v>
      </c>
      <c r="AE23" s="77">
        <f t="shared" si="0"/>
        <v>100</v>
      </c>
      <c r="AF23" s="77">
        <f t="shared" si="0"/>
        <v>100</v>
      </c>
      <c r="AG23" s="77">
        <f t="shared" si="0"/>
        <v>100</v>
      </c>
      <c r="AH23" s="77">
        <f t="shared" si="0"/>
        <v>100</v>
      </c>
      <c r="AI23" s="77">
        <f t="shared" si="0"/>
        <v>100</v>
      </c>
      <c r="AJ23" s="77">
        <f t="shared" si="0"/>
        <v>100</v>
      </c>
    </row>
    <row r="24" spans="1:36" x14ac:dyDescent="0.25">
      <c r="A24" t="s">
        <v>459</v>
      </c>
      <c r="B24" t="s">
        <v>305</v>
      </c>
      <c r="C24" s="25">
        <v>11</v>
      </c>
      <c r="D24" s="25">
        <v>11</v>
      </c>
      <c r="E24" s="25">
        <v>11</v>
      </c>
      <c r="F24" s="25">
        <v>11</v>
      </c>
      <c r="G24" s="25">
        <v>11</v>
      </c>
      <c r="H24" s="25">
        <v>11</v>
      </c>
      <c r="I24" s="25">
        <v>11</v>
      </c>
      <c r="J24" s="25">
        <v>11</v>
      </c>
      <c r="K24" s="25">
        <v>11</v>
      </c>
      <c r="L24" s="25">
        <v>11</v>
      </c>
      <c r="M24" s="25">
        <v>11</v>
      </c>
      <c r="N24" s="25">
        <v>11</v>
      </c>
      <c r="O24" s="25">
        <v>11</v>
      </c>
      <c r="P24" s="25">
        <v>11</v>
      </c>
      <c r="Q24" s="25">
        <v>11</v>
      </c>
      <c r="R24" s="25">
        <v>11</v>
      </c>
      <c r="S24" s="25">
        <v>11</v>
      </c>
      <c r="T24" s="25">
        <v>11</v>
      </c>
      <c r="U24" s="25">
        <v>11</v>
      </c>
      <c r="V24" s="25">
        <v>11</v>
      </c>
      <c r="W24" s="25">
        <v>11</v>
      </c>
      <c r="X24" s="25">
        <v>11</v>
      </c>
      <c r="Y24" s="25">
        <v>11</v>
      </c>
      <c r="Z24" s="25">
        <v>11</v>
      </c>
      <c r="AA24" s="25">
        <v>11</v>
      </c>
      <c r="AB24" s="25">
        <v>11</v>
      </c>
      <c r="AC24" s="25">
        <v>11</v>
      </c>
      <c r="AD24" s="25">
        <v>11</v>
      </c>
      <c r="AE24" s="25">
        <v>11</v>
      </c>
      <c r="AF24" s="25">
        <v>11</v>
      </c>
      <c r="AG24" s="25">
        <v>11</v>
      </c>
      <c r="AH24" s="25">
        <v>11</v>
      </c>
      <c r="AI24" s="25">
        <v>11</v>
      </c>
      <c r="AJ24" s="25">
        <v>11</v>
      </c>
    </row>
    <row r="25" spans="1:36" x14ac:dyDescent="0.25">
      <c r="A25" t="s">
        <v>460</v>
      </c>
      <c r="B25" t="s">
        <v>305</v>
      </c>
      <c r="C25" s="25">
        <v>0</v>
      </c>
      <c r="D25" s="25">
        <v>0</v>
      </c>
      <c r="E25" s="25">
        <v>0</v>
      </c>
      <c r="F25" s="25">
        <v>0</v>
      </c>
      <c r="G25" s="25">
        <v>0</v>
      </c>
      <c r="H25" s="25">
        <v>0</v>
      </c>
      <c r="I25" s="25">
        <v>0</v>
      </c>
      <c r="J25" s="25">
        <v>0</v>
      </c>
      <c r="K25" s="25">
        <v>0</v>
      </c>
      <c r="L25" s="25">
        <v>0</v>
      </c>
      <c r="M25" s="25">
        <v>0</v>
      </c>
      <c r="N25" s="25">
        <v>0</v>
      </c>
      <c r="O25" s="25">
        <v>0</v>
      </c>
      <c r="P25" s="25">
        <v>0</v>
      </c>
      <c r="Q25" s="25">
        <v>0</v>
      </c>
      <c r="R25" s="25">
        <v>0</v>
      </c>
      <c r="S25" s="25">
        <v>0</v>
      </c>
      <c r="T25" s="25">
        <v>0</v>
      </c>
      <c r="U25" s="25">
        <v>0</v>
      </c>
      <c r="V25" s="25">
        <v>0</v>
      </c>
      <c r="W25" s="25">
        <v>0</v>
      </c>
      <c r="X25" s="25">
        <v>0</v>
      </c>
      <c r="Y25" s="25">
        <v>0</v>
      </c>
      <c r="Z25" s="25">
        <v>0</v>
      </c>
      <c r="AA25" s="25">
        <v>0</v>
      </c>
      <c r="AB25" s="25">
        <v>0</v>
      </c>
      <c r="AC25" s="25">
        <v>0</v>
      </c>
      <c r="AD25" s="25">
        <v>0</v>
      </c>
      <c r="AE25" s="25">
        <v>0</v>
      </c>
      <c r="AF25" s="25">
        <v>0</v>
      </c>
      <c r="AG25" s="25">
        <v>0</v>
      </c>
      <c r="AH25" s="25">
        <v>0</v>
      </c>
      <c r="AI25" s="25">
        <v>0</v>
      </c>
      <c r="AJ25" s="25">
        <v>0</v>
      </c>
    </row>
    <row r="26" spans="1:36" x14ac:dyDescent="0.25">
      <c r="A26" t="s">
        <v>461</v>
      </c>
      <c r="B26" t="s">
        <v>305</v>
      </c>
      <c r="C26" s="25">
        <v>8</v>
      </c>
      <c r="D26" s="25">
        <v>8</v>
      </c>
      <c r="E26" s="25">
        <v>8</v>
      </c>
      <c r="F26" s="25">
        <v>8</v>
      </c>
      <c r="G26" s="25">
        <v>8</v>
      </c>
      <c r="H26" s="25">
        <v>8</v>
      </c>
      <c r="I26" s="25">
        <v>8</v>
      </c>
      <c r="J26" s="25">
        <v>8</v>
      </c>
      <c r="K26" s="25">
        <v>8</v>
      </c>
      <c r="L26" s="25">
        <v>8</v>
      </c>
      <c r="M26" s="25">
        <v>8</v>
      </c>
      <c r="N26" s="25">
        <v>8</v>
      </c>
      <c r="O26" s="25">
        <v>8</v>
      </c>
      <c r="P26" s="25">
        <v>8</v>
      </c>
      <c r="Q26" s="25">
        <v>8</v>
      </c>
      <c r="R26" s="25">
        <v>8</v>
      </c>
      <c r="S26" s="25">
        <v>8</v>
      </c>
      <c r="T26" s="25">
        <v>8</v>
      </c>
      <c r="U26" s="25">
        <v>8</v>
      </c>
      <c r="V26" s="25">
        <v>8</v>
      </c>
      <c r="W26" s="25">
        <v>8</v>
      </c>
      <c r="X26" s="25">
        <v>8</v>
      </c>
      <c r="Y26" s="25">
        <v>8</v>
      </c>
      <c r="Z26" s="25">
        <v>8</v>
      </c>
      <c r="AA26" s="25">
        <v>8</v>
      </c>
      <c r="AB26" s="25">
        <v>8</v>
      </c>
      <c r="AC26" s="25">
        <v>8</v>
      </c>
      <c r="AD26" s="25">
        <v>8</v>
      </c>
      <c r="AE26" s="25">
        <v>8</v>
      </c>
      <c r="AF26" s="25">
        <v>8</v>
      </c>
      <c r="AG26" s="25">
        <v>8</v>
      </c>
      <c r="AH26" s="25">
        <v>8</v>
      </c>
      <c r="AI26" s="25">
        <v>8</v>
      </c>
      <c r="AJ26" s="25">
        <v>8</v>
      </c>
    </row>
    <row r="27" spans="1:36" x14ac:dyDescent="0.25">
      <c r="A27" t="s">
        <v>462</v>
      </c>
      <c r="B27" t="s">
        <v>305</v>
      </c>
      <c r="C27" s="25">
        <v>10</v>
      </c>
      <c r="D27" s="25">
        <v>10</v>
      </c>
      <c r="E27" s="25">
        <v>10</v>
      </c>
      <c r="F27" s="25">
        <v>10</v>
      </c>
      <c r="G27" s="25">
        <v>10</v>
      </c>
      <c r="H27" s="25">
        <v>10</v>
      </c>
      <c r="I27" s="25">
        <v>10</v>
      </c>
      <c r="J27" s="25">
        <v>10</v>
      </c>
      <c r="K27" s="25">
        <v>10</v>
      </c>
      <c r="L27" s="25">
        <v>10</v>
      </c>
      <c r="M27" s="25">
        <v>10</v>
      </c>
      <c r="N27" s="25">
        <v>10</v>
      </c>
      <c r="O27" s="25">
        <v>10</v>
      </c>
      <c r="P27" s="25">
        <v>10</v>
      </c>
      <c r="Q27" s="25">
        <v>10</v>
      </c>
      <c r="R27" s="25">
        <v>10</v>
      </c>
      <c r="S27" s="25">
        <v>10</v>
      </c>
      <c r="T27" s="25">
        <v>10</v>
      </c>
      <c r="U27" s="25">
        <v>10</v>
      </c>
      <c r="V27" s="25">
        <v>10</v>
      </c>
      <c r="W27" s="25">
        <v>10</v>
      </c>
      <c r="X27" s="25">
        <v>10</v>
      </c>
      <c r="Y27" s="25">
        <v>10</v>
      </c>
      <c r="Z27" s="25">
        <v>10</v>
      </c>
      <c r="AA27" s="25">
        <v>10</v>
      </c>
      <c r="AB27" s="25">
        <v>10</v>
      </c>
      <c r="AC27" s="25">
        <v>10</v>
      </c>
      <c r="AD27" s="25">
        <v>10</v>
      </c>
      <c r="AE27" s="25">
        <v>10</v>
      </c>
      <c r="AF27" s="25">
        <v>10</v>
      </c>
      <c r="AG27" s="25">
        <v>10</v>
      </c>
      <c r="AH27" s="25">
        <v>10</v>
      </c>
      <c r="AI27" s="25">
        <v>10</v>
      </c>
      <c r="AJ27" s="25">
        <v>10</v>
      </c>
    </row>
    <row r="28" spans="1:36" x14ac:dyDescent="0.25">
      <c r="A28" t="s">
        <v>463</v>
      </c>
      <c r="B28" t="s">
        <v>305</v>
      </c>
      <c r="C28" s="25">
        <v>3</v>
      </c>
      <c r="D28" s="25">
        <v>3</v>
      </c>
      <c r="E28" s="25">
        <v>3</v>
      </c>
      <c r="F28" s="25">
        <v>3</v>
      </c>
      <c r="G28" s="25">
        <v>3</v>
      </c>
      <c r="H28" s="25">
        <v>3</v>
      </c>
      <c r="I28" s="25">
        <v>3</v>
      </c>
      <c r="J28" s="25">
        <v>3</v>
      </c>
      <c r="K28" s="25">
        <v>3</v>
      </c>
      <c r="L28" s="25">
        <v>3</v>
      </c>
      <c r="M28" s="25">
        <v>3</v>
      </c>
      <c r="N28" s="25">
        <v>3</v>
      </c>
      <c r="O28" s="25">
        <v>3</v>
      </c>
      <c r="P28" s="25">
        <v>3</v>
      </c>
      <c r="Q28" s="25">
        <v>3</v>
      </c>
      <c r="R28" s="25">
        <v>3</v>
      </c>
      <c r="S28" s="25">
        <v>3</v>
      </c>
      <c r="T28" s="25">
        <v>3</v>
      </c>
      <c r="U28" s="25">
        <v>3</v>
      </c>
      <c r="V28" s="25">
        <v>3</v>
      </c>
      <c r="W28" s="25">
        <v>3</v>
      </c>
      <c r="X28" s="25">
        <v>3</v>
      </c>
      <c r="Y28" s="25">
        <v>3</v>
      </c>
      <c r="Z28" s="25">
        <v>3</v>
      </c>
      <c r="AA28" s="25">
        <v>3</v>
      </c>
      <c r="AB28" s="25">
        <v>3</v>
      </c>
      <c r="AC28" s="25">
        <v>3</v>
      </c>
      <c r="AD28" s="25">
        <v>3</v>
      </c>
      <c r="AE28" s="25">
        <v>3</v>
      </c>
      <c r="AF28" s="25">
        <v>3</v>
      </c>
      <c r="AG28" s="25">
        <v>3</v>
      </c>
      <c r="AH28" s="25">
        <v>3</v>
      </c>
      <c r="AI28" s="25">
        <v>3</v>
      </c>
      <c r="AJ28" s="25">
        <v>3</v>
      </c>
    </row>
    <row r="29" spans="1:36" x14ac:dyDescent="0.25">
      <c r="A29" t="s">
        <v>464</v>
      </c>
      <c r="B29" t="s">
        <v>305</v>
      </c>
      <c r="C29" s="25">
        <v>0</v>
      </c>
      <c r="D29" s="25">
        <v>0</v>
      </c>
      <c r="E29" s="25">
        <v>0</v>
      </c>
      <c r="F29" s="25">
        <v>0</v>
      </c>
      <c r="G29" s="25">
        <v>0</v>
      </c>
      <c r="H29" s="25">
        <v>0</v>
      </c>
      <c r="I29" s="25">
        <v>0</v>
      </c>
      <c r="J29" s="25">
        <v>0</v>
      </c>
      <c r="K29" s="25">
        <v>0</v>
      </c>
      <c r="L29" s="25">
        <v>0</v>
      </c>
      <c r="M29" s="25">
        <v>0</v>
      </c>
      <c r="N29" s="25">
        <v>0</v>
      </c>
      <c r="O29" s="25">
        <v>0</v>
      </c>
      <c r="P29" s="25">
        <v>0</v>
      </c>
      <c r="Q29" s="25">
        <v>0</v>
      </c>
      <c r="R29" s="25">
        <v>0</v>
      </c>
      <c r="S29" s="25">
        <v>0</v>
      </c>
      <c r="T29" s="25">
        <v>0</v>
      </c>
      <c r="U29" s="25">
        <v>0</v>
      </c>
      <c r="V29" s="25">
        <v>0</v>
      </c>
      <c r="W29" s="25">
        <v>0</v>
      </c>
      <c r="X29" s="25">
        <v>0</v>
      </c>
      <c r="Y29" s="25">
        <v>0</v>
      </c>
      <c r="Z29" s="25">
        <v>0</v>
      </c>
      <c r="AA29" s="25">
        <v>0</v>
      </c>
      <c r="AB29" s="25">
        <v>0</v>
      </c>
      <c r="AC29" s="25">
        <v>0</v>
      </c>
      <c r="AD29" s="25">
        <v>0</v>
      </c>
      <c r="AE29" s="25">
        <v>0</v>
      </c>
      <c r="AF29" s="25">
        <v>0</v>
      </c>
      <c r="AG29" s="25">
        <v>0</v>
      </c>
      <c r="AH29" s="25">
        <v>0</v>
      </c>
      <c r="AI29" s="25">
        <v>0</v>
      </c>
      <c r="AJ29" s="25">
        <v>0</v>
      </c>
    </row>
    <row r="30" spans="1:36" x14ac:dyDescent="0.25">
      <c r="A30" t="s">
        <v>465</v>
      </c>
      <c r="B30" t="s">
        <v>305</v>
      </c>
      <c r="C30" s="25">
        <v>8</v>
      </c>
      <c r="D30" s="25">
        <v>8</v>
      </c>
      <c r="E30" s="25">
        <v>8</v>
      </c>
      <c r="F30" s="25">
        <v>8</v>
      </c>
      <c r="G30" s="25">
        <v>8</v>
      </c>
      <c r="H30" s="25">
        <v>8</v>
      </c>
      <c r="I30" s="25">
        <v>8</v>
      </c>
      <c r="J30" s="25">
        <v>8</v>
      </c>
      <c r="K30" s="25">
        <v>8</v>
      </c>
      <c r="L30" s="25">
        <v>8</v>
      </c>
      <c r="M30" s="25">
        <v>8</v>
      </c>
      <c r="N30" s="25">
        <v>8</v>
      </c>
      <c r="O30" s="25">
        <v>8</v>
      </c>
      <c r="P30" s="25">
        <v>8</v>
      </c>
      <c r="Q30" s="25">
        <v>8</v>
      </c>
      <c r="R30" s="25">
        <v>8</v>
      </c>
      <c r="S30" s="25">
        <v>8</v>
      </c>
      <c r="T30" s="25">
        <v>8</v>
      </c>
      <c r="U30" s="25">
        <v>8</v>
      </c>
      <c r="V30" s="25">
        <v>8</v>
      </c>
      <c r="W30" s="25">
        <v>8</v>
      </c>
      <c r="X30" s="25">
        <v>8</v>
      </c>
      <c r="Y30" s="25">
        <v>8</v>
      </c>
      <c r="Z30" s="25">
        <v>8</v>
      </c>
      <c r="AA30" s="25">
        <v>8</v>
      </c>
      <c r="AB30" s="25">
        <v>8</v>
      </c>
      <c r="AC30" s="25">
        <v>8</v>
      </c>
      <c r="AD30" s="25">
        <v>8</v>
      </c>
      <c r="AE30" s="25">
        <v>8</v>
      </c>
      <c r="AF30" s="25">
        <v>8</v>
      </c>
      <c r="AG30" s="25">
        <v>8</v>
      </c>
      <c r="AH30" s="25">
        <v>8</v>
      </c>
      <c r="AI30" s="25">
        <v>8</v>
      </c>
      <c r="AJ30" s="25">
        <v>8</v>
      </c>
    </row>
    <row r="31" spans="1:36" x14ac:dyDescent="0.25">
      <c r="A31" t="s">
        <v>466</v>
      </c>
      <c r="B31" t="s">
        <v>305</v>
      </c>
      <c r="C31" s="25">
        <v>0</v>
      </c>
      <c r="D31" s="25">
        <v>0</v>
      </c>
      <c r="E31" s="25">
        <v>0</v>
      </c>
      <c r="F31" s="25">
        <v>0</v>
      </c>
      <c r="G31" s="25">
        <v>0</v>
      </c>
      <c r="H31" s="25">
        <v>0</v>
      </c>
      <c r="I31" s="25">
        <v>0</v>
      </c>
      <c r="J31" s="25">
        <v>0</v>
      </c>
      <c r="K31" s="25">
        <v>0</v>
      </c>
      <c r="L31" s="25">
        <v>0</v>
      </c>
      <c r="M31" s="25">
        <v>0</v>
      </c>
      <c r="N31" s="25">
        <v>0</v>
      </c>
      <c r="O31" s="25">
        <v>0</v>
      </c>
      <c r="P31" s="25">
        <v>0</v>
      </c>
      <c r="Q31" s="25">
        <v>0</v>
      </c>
      <c r="R31" s="25">
        <v>0</v>
      </c>
      <c r="S31" s="25">
        <v>0</v>
      </c>
      <c r="T31" s="25">
        <v>0</v>
      </c>
      <c r="U31" s="25">
        <v>0</v>
      </c>
      <c r="V31" s="25">
        <v>0</v>
      </c>
      <c r="W31" s="25">
        <v>0</v>
      </c>
      <c r="X31" s="25">
        <v>0</v>
      </c>
      <c r="Y31" s="25">
        <v>0</v>
      </c>
      <c r="Z31" s="25">
        <v>0</v>
      </c>
      <c r="AA31" s="25">
        <v>0</v>
      </c>
      <c r="AB31" s="25">
        <v>0</v>
      </c>
      <c r="AC31" s="25">
        <v>0</v>
      </c>
      <c r="AD31" s="25">
        <v>0</v>
      </c>
      <c r="AE31" s="25">
        <v>0</v>
      </c>
      <c r="AF31" s="25">
        <v>0</v>
      </c>
      <c r="AG31" s="25">
        <v>0</v>
      </c>
      <c r="AH31" s="25">
        <v>0</v>
      </c>
      <c r="AI31" s="25">
        <v>0</v>
      </c>
      <c r="AJ31" s="25">
        <v>0</v>
      </c>
    </row>
    <row r="32" spans="1:36" x14ac:dyDescent="0.25">
      <c r="A32" t="s">
        <v>467</v>
      </c>
      <c r="B32" t="s">
        <v>305</v>
      </c>
      <c r="C32" s="25">
        <v>0</v>
      </c>
      <c r="D32" s="25">
        <v>0</v>
      </c>
      <c r="E32" s="25">
        <v>0</v>
      </c>
      <c r="F32" s="25">
        <v>0</v>
      </c>
      <c r="G32" s="25">
        <v>0</v>
      </c>
      <c r="H32" s="25">
        <v>0</v>
      </c>
      <c r="I32" s="25">
        <v>0</v>
      </c>
      <c r="J32" s="25">
        <v>0</v>
      </c>
      <c r="K32" s="25">
        <v>0</v>
      </c>
      <c r="L32" s="25">
        <v>0</v>
      </c>
      <c r="M32" s="25">
        <v>0</v>
      </c>
      <c r="N32" s="25">
        <v>0</v>
      </c>
      <c r="O32" s="25">
        <v>0</v>
      </c>
      <c r="P32" s="25">
        <v>0</v>
      </c>
      <c r="Q32" s="25">
        <v>0</v>
      </c>
      <c r="R32" s="25">
        <v>0</v>
      </c>
      <c r="S32" s="25">
        <v>0</v>
      </c>
      <c r="T32" s="25">
        <v>0</v>
      </c>
      <c r="U32" s="25">
        <v>0</v>
      </c>
      <c r="V32" s="25">
        <v>0</v>
      </c>
      <c r="W32" s="25">
        <v>0</v>
      </c>
      <c r="X32" s="25">
        <v>0</v>
      </c>
      <c r="Y32" s="25">
        <v>0</v>
      </c>
      <c r="Z32" s="25">
        <v>0</v>
      </c>
      <c r="AA32" s="25">
        <v>0</v>
      </c>
      <c r="AB32" s="25">
        <v>0</v>
      </c>
      <c r="AC32" s="25">
        <v>0</v>
      </c>
      <c r="AD32" s="25">
        <v>0</v>
      </c>
      <c r="AE32" s="25">
        <v>0</v>
      </c>
      <c r="AF32" s="25">
        <v>0</v>
      </c>
      <c r="AG32" s="25">
        <v>0</v>
      </c>
      <c r="AH32" s="25">
        <v>0</v>
      </c>
      <c r="AI32" s="25">
        <v>0</v>
      </c>
      <c r="AJ32" s="25">
        <v>0</v>
      </c>
    </row>
    <row r="33" spans="1:36" x14ac:dyDescent="0.25">
      <c r="A33" t="s">
        <v>468</v>
      </c>
      <c r="B33" t="s">
        <v>305</v>
      </c>
      <c r="C33" s="25">
        <v>60</v>
      </c>
      <c r="D33" s="25">
        <v>60</v>
      </c>
      <c r="E33" s="25">
        <v>60</v>
      </c>
      <c r="F33" s="25">
        <v>60</v>
      </c>
      <c r="G33" s="25">
        <v>60</v>
      </c>
      <c r="H33" s="25">
        <v>60</v>
      </c>
      <c r="I33" s="25">
        <v>60</v>
      </c>
      <c r="J33" s="25">
        <v>60</v>
      </c>
      <c r="K33" s="25">
        <v>60</v>
      </c>
      <c r="L33" s="25">
        <v>60</v>
      </c>
      <c r="M33" s="25">
        <v>60</v>
      </c>
      <c r="N33" s="25">
        <v>60</v>
      </c>
      <c r="O33" s="25">
        <v>60</v>
      </c>
      <c r="P33" s="25">
        <v>60</v>
      </c>
      <c r="Q33" s="25">
        <v>60</v>
      </c>
      <c r="R33" s="25">
        <v>60</v>
      </c>
      <c r="S33" s="25">
        <v>60</v>
      </c>
      <c r="T33" s="25">
        <v>60</v>
      </c>
      <c r="U33" s="25">
        <v>60</v>
      </c>
      <c r="V33" s="25">
        <v>60</v>
      </c>
      <c r="W33" s="25">
        <v>60</v>
      </c>
      <c r="X33" s="25">
        <v>60</v>
      </c>
      <c r="Y33" s="25">
        <v>60</v>
      </c>
      <c r="Z33" s="25">
        <v>60</v>
      </c>
      <c r="AA33" s="25">
        <v>60</v>
      </c>
      <c r="AB33" s="25">
        <v>60</v>
      </c>
      <c r="AC33" s="25">
        <v>60</v>
      </c>
      <c r="AD33" s="25">
        <v>60</v>
      </c>
      <c r="AE33" s="25">
        <v>60</v>
      </c>
      <c r="AF33" s="25">
        <v>60</v>
      </c>
      <c r="AG33" s="25">
        <v>60</v>
      </c>
      <c r="AH33" s="25">
        <v>60</v>
      </c>
      <c r="AI33" s="25">
        <v>60</v>
      </c>
      <c r="AJ33" s="25">
        <v>60</v>
      </c>
    </row>
    <row r="34" spans="1:36" x14ac:dyDescent="0.25">
      <c r="A34" t="s">
        <v>753</v>
      </c>
      <c r="B34" t="s">
        <v>305</v>
      </c>
      <c r="C34" s="25">
        <v>0</v>
      </c>
      <c r="D34" s="25">
        <v>0</v>
      </c>
      <c r="E34" s="25">
        <v>0</v>
      </c>
      <c r="F34" s="25">
        <v>0</v>
      </c>
      <c r="G34" s="25">
        <v>0</v>
      </c>
      <c r="H34" s="25">
        <v>0</v>
      </c>
      <c r="I34" s="25">
        <v>0</v>
      </c>
      <c r="J34" s="25">
        <v>0</v>
      </c>
      <c r="K34" s="25">
        <v>0</v>
      </c>
      <c r="L34" s="25">
        <v>0</v>
      </c>
      <c r="M34" s="25">
        <v>0</v>
      </c>
      <c r="N34" s="25">
        <v>0</v>
      </c>
      <c r="O34" s="25">
        <v>0</v>
      </c>
      <c r="P34" s="25">
        <v>0</v>
      </c>
      <c r="Q34" s="25">
        <v>0</v>
      </c>
      <c r="R34" s="25">
        <v>0</v>
      </c>
      <c r="S34" s="25">
        <v>0</v>
      </c>
      <c r="T34" s="25">
        <v>0</v>
      </c>
      <c r="U34" s="25">
        <v>0</v>
      </c>
      <c r="V34" s="25">
        <v>0</v>
      </c>
      <c r="W34" s="25">
        <v>0</v>
      </c>
      <c r="X34" s="25">
        <v>0</v>
      </c>
      <c r="Y34" s="25">
        <v>0</v>
      </c>
      <c r="Z34" s="25">
        <v>0</v>
      </c>
      <c r="AA34" s="25">
        <v>0</v>
      </c>
      <c r="AB34" s="25">
        <v>0</v>
      </c>
      <c r="AC34" s="25">
        <v>0</v>
      </c>
      <c r="AD34" s="25">
        <v>0</v>
      </c>
      <c r="AE34" s="25">
        <v>0</v>
      </c>
      <c r="AF34" s="25">
        <v>0</v>
      </c>
      <c r="AG34" s="25">
        <v>0</v>
      </c>
      <c r="AH34" s="25">
        <v>0</v>
      </c>
      <c r="AI34" s="25">
        <v>0</v>
      </c>
      <c r="AJ34" s="25">
        <v>0</v>
      </c>
    </row>
    <row r="35" spans="1:36" s="76" customFormat="1" x14ac:dyDescent="0.25">
      <c r="A35" s="76" t="s">
        <v>780</v>
      </c>
      <c r="C35" s="77">
        <f>+SUM(C24:C34)</f>
        <v>100</v>
      </c>
      <c r="D35" s="77">
        <f t="shared" ref="D35" si="1">+SUM(D24:D34)</f>
        <v>100</v>
      </c>
      <c r="E35" s="77">
        <f t="shared" ref="E35" si="2">+SUM(E24:E34)</f>
        <v>100</v>
      </c>
      <c r="F35" s="77">
        <f t="shared" ref="F35" si="3">+SUM(F24:F34)</f>
        <v>100</v>
      </c>
      <c r="G35" s="77">
        <f t="shared" ref="G35" si="4">+SUM(G24:G34)</f>
        <v>100</v>
      </c>
      <c r="H35" s="77">
        <f t="shared" ref="H35" si="5">+SUM(H24:H34)</f>
        <v>100</v>
      </c>
      <c r="I35" s="77">
        <f t="shared" ref="I35" si="6">+SUM(I24:I34)</f>
        <v>100</v>
      </c>
      <c r="J35" s="77">
        <f t="shared" ref="J35" si="7">+SUM(J24:J34)</f>
        <v>100</v>
      </c>
      <c r="K35" s="77">
        <f t="shared" ref="K35" si="8">+SUM(K24:K34)</f>
        <v>100</v>
      </c>
      <c r="L35" s="77">
        <f t="shared" ref="L35" si="9">+SUM(L24:L34)</f>
        <v>100</v>
      </c>
      <c r="M35" s="77">
        <f t="shared" ref="M35" si="10">+SUM(M24:M34)</f>
        <v>100</v>
      </c>
      <c r="N35" s="77">
        <f t="shared" ref="N35" si="11">+SUM(N24:N34)</f>
        <v>100</v>
      </c>
      <c r="O35" s="77">
        <f t="shared" ref="O35" si="12">+SUM(O24:O34)</f>
        <v>100</v>
      </c>
      <c r="P35" s="77">
        <f t="shared" ref="P35" si="13">+SUM(P24:P34)</f>
        <v>100</v>
      </c>
      <c r="Q35" s="77">
        <f t="shared" ref="Q35" si="14">+SUM(Q24:Q34)</f>
        <v>100</v>
      </c>
      <c r="R35" s="77">
        <f t="shared" ref="R35" si="15">+SUM(R24:R34)</f>
        <v>100</v>
      </c>
      <c r="S35" s="77">
        <f t="shared" ref="S35" si="16">+SUM(S24:S34)</f>
        <v>100</v>
      </c>
      <c r="T35" s="77">
        <f t="shared" ref="T35" si="17">+SUM(T24:T34)</f>
        <v>100</v>
      </c>
      <c r="U35" s="77">
        <f t="shared" ref="U35" si="18">+SUM(U24:U34)</f>
        <v>100</v>
      </c>
      <c r="V35" s="77">
        <f t="shared" ref="V35" si="19">+SUM(V24:V34)</f>
        <v>100</v>
      </c>
      <c r="W35" s="77">
        <f t="shared" ref="W35" si="20">+SUM(W24:W34)</f>
        <v>100</v>
      </c>
      <c r="X35" s="77">
        <f t="shared" ref="X35" si="21">+SUM(X24:X34)</f>
        <v>100</v>
      </c>
      <c r="Y35" s="77">
        <f t="shared" ref="Y35" si="22">+SUM(Y24:Y34)</f>
        <v>100</v>
      </c>
      <c r="Z35" s="77">
        <f t="shared" ref="Z35" si="23">+SUM(Z24:Z34)</f>
        <v>100</v>
      </c>
      <c r="AA35" s="77">
        <f t="shared" ref="AA35" si="24">+SUM(AA24:AA34)</f>
        <v>100</v>
      </c>
      <c r="AB35" s="77">
        <f t="shared" ref="AB35" si="25">+SUM(AB24:AB34)</f>
        <v>100</v>
      </c>
      <c r="AC35" s="77">
        <f t="shared" ref="AC35" si="26">+SUM(AC24:AC34)</f>
        <v>100</v>
      </c>
      <c r="AD35" s="77">
        <f t="shared" ref="AD35" si="27">+SUM(AD24:AD34)</f>
        <v>100</v>
      </c>
      <c r="AE35" s="77">
        <f t="shared" ref="AE35" si="28">+SUM(AE24:AE34)</f>
        <v>100</v>
      </c>
      <c r="AF35" s="77">
        <f t="shared" ref="AF35" si="29">+SUM(AF24:AF34)</f>
        <v>100</v>
      </c>
      <c r="AG35" s="77">
        <f t="shared" ref="AG35" si="30">+SUM(AG24:AG34)</f>
        <v>100</v>
      </c>
      <c r="AH35" s="77">
        <f t="shared" ref="AH35" si="31">+SUM(AH24:AH34)</f>
        <v>100</v>
      </c>
      <c r="AI35" s="77">
        <f t="shared" ref="AI35" si="32">+SUM(AI24:AI34)</f>
        <v>100</v>
      </c>
      <c r="AJ35" s="77">
        <f t="shared" ref="AJ35" si="33">+SUM(AJ24:AJ34)</f>
        <v>100</v>
      </c>
    </row>
    <row r="36" spans="1:36" x14ac:dyDescent="0.25">
      <c r="A36" t="s">
        <v>469</v>
      </c>
      <c r="B36" t="s">
        <v>305</v>
      </c>
      <c r="C36" s="25">
        <v>0</v>
      </c>
      <c r="D36" s="25">
        <v>0</v>
      </c>
      <c r="E36" s="25">
        <v>0</v>
      </c>
      <c r="F36" s="25">
        <v>0</v>
      </c>
      <c r="G36" s="25">
        <v>0</v>
      </c>
      <c r="H36" s="25">
        <v>0</v>
      </c>
      <c r="I36" s="25">
        <v>0</v>
      </c>
      <c r="J36" s="25">
        <v>0</v>
      </c>
      <c r="K36" s="25">
        <v>0</v>
      </c>
      <c r="L36" s="25">
        <v>0</v>
      </c>
      <c r="M36" s="25">
        <v>0</v>
      </c>
      <c r="N36" s="25">
        <v>0</v>
      </c>
      <c r="O36" s="25">
        <v>0</v>
      </c>
      <c r="P36" s="25">
        <v>0</v>
      </c>
      <c r="Q36" s="25">
        <v>0</v>
      </c>
      <c r="R36" s="25">
        <v>0</v>
      </c>
      <c r="S36" s="25">
        <v>0</v>
      </c>
      <c r="T36" s="25">
        <v>0</v>
      </c>
      <c r="U36" s="25">
        <v>0</v>
      </c>
      <c r="V36" s="25">
        <v>0</v>
      </c>
      <c r="W36" s="25">
        <v>0</v>
      </c>
      <c r="X36" s="25">
        <v>0</v>
      </c>
      <c r="Y36" s="25">
        <v>0</v>
      </c>
      <c r="Z36" s="25">
        <v>0</v>
      </c>
      <c r="AA36" s="25">
        <v>0</v>
      </c>
      <c r="AB36" s="25">
        <v>0</v>
      </c>
      <c r="AC36" s="25">
        <v>0</v>
      </c>
      <c r="AD36" s="25">
        <v>0</v>
      </c>
      <c r="AE36" s="25">
        <v>0</v>
      </c>
      <c r="AF36" s="25">
        <v>0</v>
      </c>
      <c r="AG36" s="25">
        <v>0</v>
      </c>
      <c r="AH36" s="25">
        <v>0</v>
      </c>
      <c r="AI36" s="25">
        <v>0</v>
      </c>
      <c r="AJ36" s="25">
        <v>0</v>
      </c>
    </row>
    <row r="37" spans="1:36" x14ac:dyDescent="0.25">
      <c r="A37" t="s">
        <v>470</v>
      </c>
      <c r="B37" t="s">
        <v>305</v>
      </c>
      <c r="C37" s="25">
        <v>0</v>
      </c>
      <c r="D37" s="25">
        <v>0</v>
      </c>
      <c r="E37" s="25">
        <v>0</v>
      </c>
      <c r="F37" s="25">
        <v>0</v>
      </c>
      <c r="G37" s="25">
        <v>0</v>
      </c>
      <c r="H37" s="25">
        <v>0</v>
      </c>
      <c r="I37" s="25">
        <v>0</v>
      </c>
      <c r="J37" s="25">
        <v>0</v>
      </c>
      <c r="K37" s="25">
        <v>0</v>
      </c>
      <c r="L37" s="25">
        <v>0</v>
      </c>
      <c r="M37" s="25">
        <v>0</v>
      </c>
      <c r="N37" s="25">
        <v>0</v>
      </c>
      <c r="O37" s="25">
        <v>0</v>
      </c>
      <c r="P37" s="25">
        <v>0</v>
      </c>
      <c r="Q37" s="25">
        <v>0</v>
      </c>
      <c r="R37" s="25">
        <v>0</v>
      </c>
      <c r="S37" s="25">
        <v>0</v>
      </c>
      <c r="T37" s="25">
        <v>0</v>
      </c>
      <c r="U37" s="25">
        <v>0</v>
      </c>
      <c r="V37" s="25">
        <v>0</v>
      </c>
      <c r="W37" s="25">
        <v>0</v>
      </c>
      <c r="X37" s="25">
        <v>0</v>
      </c>
      <c r="Y37" s="25">
        <v>0</v>
      </c>
      <c r="Z37" s="25">
        <v>0</v>
      </c>
      <c r="AA37" s="25">
        <v>0</v>
      </c>
      <c r="AB37" s="25">
        <v>0</v>
      </c>
      <c r="AC37" s="25">
        <v>0</v>
      </c>
      <c r="AD37" s="25">
        <v>0</v>
      </c>
      <c r="AE37" s="25">
        <v>0</v>
      </c>
      <c r="AF37" s="25">
        <v>0</v>
      </c>
      <c r="AG37" s="25">
        <v>0</v>
      </c>
      <c r="AH37" s="25">
        <v>0</v>
      </c>
      <c r="AI37" s="25">
        <v>0</v>
      </c>
      <c r="AJ37" s="25">
        <v>0</v>
      </c>
    </row>
    <row r="38" spans="1:36" x14ac:dyDescent="0.25">
      <c r="A38" t="s">
        <v>471</v>
      </c>
      <c r="B38" t="s">
        <v>305</v>
      </c>
      <c r="C38" s="25">
        <v>0</v>
      </c>
      <c r="D38" s="25">
        <v>0</v>
      </c>
      <c r="E38" s="25">
        <v>0</v>
      </c>
      <c r="F38" s="25">
        <v>0</v>
      </c>
      <c r="G38" s="25">
        <v>0</v>
      </c>
      <c r="H38" s="25">
        <v>0</v>
      </c>
      <c r="I38" s="25">
        <v>0</v>
      </c>
      <c r="J38" s="25">
        <v>0</v>
      </c>
      <c r="K38" s="25">
        <v>0</v>
      </c>
      <c r="L38" s="25">
        <v>0</v>
      </c>
      <c r="M38" s="25">
        <v>0</v>
      </c>
      <c r="N38" s="25">
        <v>0</v>
      </c>
      <c r="O38" s="25">
        <v>0</v>
      </c>
      <c r="P38" s="25">
        <v>0</v>
      </c>
      <c r="Q38" s="25">
        <v>0</v>
      </c>
      <c r="R38" s="25">
        <v>0</v>
      </c>
      <c r="S38" s="25">
        <v>0</v>
      </c>
      <c r="T38" s="25">
        <v>0</v>
      </c>
      <c r="U38" s="25">
        <v>0</v>
      </c>
      <c r="V38" s="25">
        <v>0</v>
      </c>
      <c r="W38" s="25">
        <v>0</v>
      </c>
      <c r="X38" s="25">
        <v>0</v>
      </c>
      <c r="Y38" s="25">
        <v>0</v>
      </c>
      <c r="Z38" s="25">
        <v>0</v>
      </c>
      <c r="AA38" s="25">
        <v>0</v>
      </c>
      <c r="AB38" s="25">
        <v>0</v>
      </c>
      <c r="AC38" s="25">
        <v>0</v>
      </c>
      <c r="AD38" s="25">
        <v>0</v>
      </c>
      <c r="AE38" s="25">
        <v>0</v>
      </c>
      <c r="AF38" s="25">
        <v>0</v>
      </c>
      <c r="AG38" s="25">
        <v>0</v>
      </c>
      <c r="AH38" s="25">
        <v>0</v>
      </c>
      <c r="AI38" s="25">
        <v>0</v>
      </c>
      <c r="AJ38" s="25">
        <v>0</v>
      </c>
    </row>
    <row r="39" spans="1:36" x14ac:dyDescent="0.25">
      <c r="A39" t="s">
        <v>472</v>
      </c>
      <c r="B39" t="s">
        <v>305</v>
      </c>
      <c r="C39" s="25">
        <v>2</v>
      </c>
      <c r="D39" s="25">
        <v>2</v>
      </c>
      <c r="E39" s="25">
        <v>2</v>
      </c>
      <c r="F39" s="25">
        <v>2</v>
      </c>
      <c r="G39" s="25">
        <v>2</v>
      </c>
      <c r="H39" s="25">
        <v>2</v>
      </c>
      <c r="I39" s="25">
        <v>2</v>
      </c>
      <c r="J39" s="25">
        <v>2</v>
      </c>
      <c r="K39" s="25">
        <v>2</v>
      </c>
      <c r="L39" s="25">
        <v>2</v>
      </c>
      <c r="M39" s="25">
        <v>2</v>
      </c>
      <c r="N39" s="25">
        <v>2</v>
      </c>
      <c r="O39" s="25">
        <v>2</v>
      </c>
      <c r="P39" s="25">
        <v>2</v>
      </c>
      <c r="Q39" s="25">
        <v>2</v>
      </c>
      <c r="R39" s="25">
        <v>2</v>
      </c>
      <c r="S39" s="25">
        <v>2</v>
      </c>
      <c r="T39" s="25">
        <v>2</v>
      </c>
      <c r="U39" s="25">
        <v>2</v>
      </c>
      <c r="V39" s="25">
        <v>2</v>
      </c>
      <c r="W39" s="25">
        <v>2</v>
      </c>
      <c r="X39" s="25">
        <v>2</v>
      </c>
      <c r="Y39" s="25">
        <v>2</v>
      </c>
      <c r="Z39" s="25">
        <v>2</v>
      </c>
      <c r="AA39" s="25">
        <v>2</v>
      </c>
      <c r="AB39" s="25">
        <v>2</v>
      </c>
      <c r="AC39" s="25">
        <v>2</v>
      </c>
      <c r="AD39" s="25">
        <v>2</v>
      </c>
      <c r="AE39" s="25">
        <v>2</v>
      </c>
      <c r="AF39" s="25">
        <v>2</v>
      </c>
      <c r="AG39" s="25">
        <v>2</v>
      </c>
      <c r="AH39" s="25">
        <v>2</v>
      </c>
      <c r="AI39" s="25">
        <v>2</v>
      </c>
      <c r="AJ39" s="25">
        <v>2</v>
      </c>
    </row>
    <row r="40" spans="1:36" x14ac:dyDescent="0.25">
      <c r="A40" t="s">
        <v>473</v>
      </c>
      <c r="B40" t="s">
        <v>305</v>
      </c>
      <c r="C40" s="25">
        <v>1</v>
      </c>
      <c r="D40" s="25">
        <v>1</v>
      </c>
      <c r="E40" s="25">
        <v>1</v>
      </c>
      <c r="F40" s="25">
        <v>1</v>
      </c>
      <c r="G40" s="25">
        <v>1</v>
      </c>
      <c r="H40" s="25">
        <v>1</v>
      </c>
      <c r="I40" s="25">
        <v>1</v>
      </c>
      <c r="J40" s="25">
        <v>1</v>
      </c>
      <c r="K40" s="25">
        <v>1</v>
      </c>
      <c r="L40" s="25">
        <v>1</v>
      </c>
      <c r="M40" s="25">
        <v>1</v>
      </c>
      <c r="N40" s="25">
        <v>1</v>
      </c>
      <c r="O40" s="25">
        <v>1</v>
      </c>
      <c r="P40" s="25">
        <v>1</v>
      </c>
      <c r="Q40" s="25">
        <v>1</v>
      </c>
      <c r="R40" s="25">
        <v>1</v>
      </c>
      <c r="S40" s="25">
        <v>1</v>
      </c>
      <c r="T40" s="25">
        <v>1</v>
      </c>
      <c r="U40" s="25">
        <v>1</v>
      </c>
      <c r="V40" s="25">
        <v>1</v>
      </c>
      <c r="W40" s="25">
        <v>1</v>
      </c>
      <c r="X40" s="25">
        <v>1</v>
      </c>
      <c r="Y40" s="25">
        <v>1</v>
      </c>
      <c r="Z40" s="25">
        <v>1</v>
      </c>
      <c r="AA40" s="25">
        <v>1</v>
      </c>
      <c r="AB40" s="25">
        <v>1</v>
      </c>
      <c r="AC40" s="25">
        <v>1</v>
      </c>
      <c r="AD40" s="25">
        <v>1</v>
      </c>
      <c r="AE40" s="25">
        <v>1</v>
      </c>
      <c r="AF40" s="25">
        <v>1</v>
      </c>
      <c r="AG40" s="25">
        <v>1</v>
      </c>
      <c r="AH40" s="25">
        <v>1</v>
      </c>
      <c r="AI40" s="25">
        <v>1</v>
      </c>
      <c r="AJ40" s="25">
        <v>1</v>
      </c>
    </row>
    <row r="41" spans="1:36" x14ac:dyDescent="0.25">
      <c r="A41" t="s">
        <v>474</v>
      </c>
      <c r="B41" t="s">
        <v>305</v>
      </c>
      <c r="C41" s="25">
        <v>0</v>
      </c>
      <c r="D41" s="25">
        <v>0</v>
      </c>
      <c r="E41" s="25">
        <v>0</v>
      </c>
      <c r="F41" s="25">
        <v>0</v>
      </c>
      <c r="G41" s="25">
        <v>0</v>
      </c>
      <c r="H41" s="25">
        <v>0</v>
      </c>
      <c r="I41" s="25">
        <v>0</v>
      </c>
      <c r="J41" s="25">
        <v>0</v>
      </c>
      <c r="K41" s="25">
        <v>0</v>
      </c>
      <c r="L41" s="25">
        <v>0</v>
      </c>
      <c r="M41" s="25">
        <v>0</v>
      </c>
      <c r="N41" s="25">
        <v>0</v>
      </c>
      <c r="O41" s="25">
        <v>0</v>
      </c>
      <c r="P41" s="25">
        <v>0</v>
      </c>
      <c r="Q41" s="25">
        <v>0</v>
      </c>
      <c r="R41" s="25">
        <v>0</v>
      </c>
      <c r="S41" s="25">
        <v>0</v>
      </c>
      <c r="T41" s="25">
        <v>0</v>
      </c>
      <c r="U41" s="25">
        <v>0</v>
      </c>
      <c r="V41" s="25">
        <v>0</v>
      </c>
      <c r="W41" s="25">
        <v>0</v>
      </c>
      <c r="X41" s="25">
        <v>0</v>
      </c>
      <c r="Y41" s="25">
        <v>0</v>
      </c>
      <c r="Z41" s="25">
        <v>0</v>
      </c>
      <c r="AA41" s="25">
        <v>0</v>
      </c>
      <c r="AB41" s="25">
        <v>0</v>
      </c>
      <c r="AC41" s="25">
        <v>0</v>
      </c>
      <c r="AD41" s="25">
        <v>0</v>
      </c>
      <c r="AE41" s="25">
        <v>0</v>
      </c>
      <c r="AF41" s="25">
        <v>0</v>
      </c>
      <c r="AG41" s="25">
        <v>0</v>
      </c>
      <c r="AH41" s="25">
        <v>0</v>
      </c>
      <c r="AI41" s="25">
        <v>0</v>
      </c>
      <c r="AJ41" s="25">
        <v>0</v>
      </c>
    </row>
    <row r="42" spans="1:36" x14ac:dyDescent="0.25">
      <c r="A42" t="s">
        <v>475</v>
      </c>
      <c r="B42" t="s">
        <v>305</v>
      </c>
      <c r="C42" s="25">
        <v>2</v>
      </c>
      <c r="D42" s="25">
        <v>2</v>
      </c>
      <c r="E42" s="25">
        <v>2</v>
      </c>
      <c r="F42" s="25">
        <v>2</v>
      </c>
      <c r="G42" s="25">
        <v>2</v>
      </c>
      <c r="H42" s="25">
        <v>2</v>
      </c>
      <c r="I42" s="25">
        <v>2</v>
      </c>
      <c r="J42" s="25">
        <v>2</v>
      </c>
      <c r="K42" s="25">
        <v>2</v>
      </c>
      <c r="L42" s="25">
        <v>2</v>
      </c>
      <c r="M42" s="25">
        <v>2</v>
      </c>
      <c r="N42" s="25">
        <v>2</v>
      </c>
      <c r="O42" s="25">
        <v>2</v>
      </c>
      <c r="P42" s="25">
        <v>2</v>
      </c>
      <c r="Q42" s="25">
        <v>2</v>
      </c>
      <c r="R42" s="25">
        <v>2</v>
      </c>
      <c r="S42" s="25">
        <v>2</v>
      </c>
      <c r="T42" s="25">
        <v>2</v>
      </c>
      <c r="U42" s="25">
        <v>2</v>
      </c>
      <c r="V42" s="25">
        <v>2</v>
      </c>
      <c r="W42" s="25">
        <v>2</v>
      </c>
      <c r="X42" s="25">
        <v>2</v>
      </c>
      <c r="Y42" s="25">
        <v>2</v>
      </c>
      <c r="Z42" s="25">
        <v>2</v>
      </c>
      <c r="AA42" s="25">
        <v>2</v>
      </c>
      <c r="AB42" s="25">
        <v>2</v>
      </c>
      <c r="AC42" s="25">
        <v>2</v>
      </c>
      <c r="AD42" s="25">
        <v>2</v>
      </c>
      <c r="AE42" s="25">
        <v>2</v>
      </c>
      <c r="AF42" s="25">
        <v>2</v>
      </c>
      <c r="AG42" s="25">
        <v>2</v>
      </c>
      <c r="AH42" s="25">
        <v>2</v>
      </c>
      <c r="AI42" s="25">
        <v>2</v>
      </c>
      <c r="AJ42" s="25">
        <v>2</v>
      </c>
    </row>
    <row r="43" spans="1:36" x14ac:dyDescent="0.25">
      <c r="A43" t="s">
        <v>476</v>
      </c>
      <c r="B43" t="s">
        <v>305</v>
      </c>
      <c r="C43" s="25">
        <v>0</v>
      </c>
      <c r="D43" s="25">
        <v>0</v>
      </c>
      <c r="E43" s="25">
        <v>0</v>
      </c>
      <c r="F43" s="25">
        <v>0</v>
      </c>
      <c r="G43" s="25">
        <v>0</v>
      </c>
      <c r="H43" s="25">
        <v>0</v>
      </c>
      <c r="I43" s="25">
        <v>0</v>
      </c>
      <c r="J43" s="25">
        <v>0</v>
      </c>
      <c r="K43" s="25">
        <v>0</v>
      </c>
      <c r="L43" s="25">
        <v>0</v>
      </c>
      <c r="M43" s="25">
        <v>0</v>
      </c>
      <c r="N43" s="25">
        <v>0</v>
      </c>
      <c r="O43" s="25">
        <v>0</v>
      </c>
      <c r="P43" s="25">
        <v>0</v>
      </c>
      <c r="Q43" s="25">
        <v>0</v>
      </c>
      <c r="R43" s="25">
        <v>0</v>
      </c>
      <c r="S43" s="25">
        <v>0</v>
      </c>
      <c r="T43" s="25">
        <v>0</v>
      </c>
      <c r="U43" s="25">
        <v>0</v>
      </c>
      <c r="V43" s="25">
        <v>0</v>
      </c>
      <c r="W43" s="25">
        <v>0</v>
      </c>
      <c r="X43" s="25">
        <v>0</v>
      </c>
      <c r="Y43" s="25">
        <v>0</v>
      </c>
      <c r="Z43" s="25">
        <v>0</v>
      </c>
      <c r="AA43" s="25">
        <v>0</v>
      </c>
      <c r="AB43" s="25">
        <v>0</v>
      </c>
      <c r="AC43" s="25">
        <v>0</v>
      </c>
      <c r="AD43" s="25">
        <v>0</v>
      </c>
      <c r="AE43" s="25">
        <v>0</v>
      </c>
      <c r="AF43" s="25">
        <v>0</v>
      </c>
      <c r="AG43" s="25">
        <v>0</v>
      </c>
      <c r="AH43" s="25">
        <v>0</v>
      </c>
      <c r="AI43" s="25">
        <v>0</v>
      </c>
      <c r="AJ43" s="25">
        <v>0</v>
      </c>
    </row>
    <row r="44" spans="1:36" x14ac:dyDescent="0.25">
      <c r="A44" t="s">
        <v>477</v>
      </c>
      <c r="B44" t="s">
        <v>305</v>
      </c>
      <c r="C44" s="25">
        <v>0</v>
      </c>
      <c r="D44" s="25">
        <v>0</v>
      </c>
      <c r="E44" s="25">
        <v>0</v>
      </c>
      <c r="F44" s="25">
        <v>0</v>
      </c>
      <c r="G44" s="25">
        <v>0</v>
      </c>
      <c r="H44" s="25">
        <v>0</v>
      </c>
      <c r="I44" s="25">
        <v>0</v>
      </c>
      <c r="J44" s="25">
        <v>0</v>
      </c>
      <c r="K44" s="25">
        <v>0</v>
      </c>
      <c r="L44" s="25">
        <v>0</v>
      </c>
      <c r="M44" s="25">
        <v>0</v>
      </c>
      <c r="N44" s="25">
        <v>0</v>
      </c>
      <c r="O44" s="25">
        <v>0</v>
      </c>
      <c r="P44" s="25">
        <v>0</v>
      </c>
      <c r="Q44" s="25">
        <v>0</v>
      </c>
      <c r="R44" s="25">
        <v>0</v>
      </c>
      <c r="S44" s="25">
        <v>0</v>
      </c>
      <c r="T44" s="25">
        <v>0</v>
      </c>
      <c r="U44" s="25">
        <v>0</v>
      </c>
      <c r="V44" s="25">
        <v>0</v>
      </c>
      <c r="W44" s="25">
        <v>0</v>
      </c>
      <c r="X44" s="25">
        <v>0</v>
      </c>
      <c r="Y44" s="25">
        <v>0</v>
      </c>
      <c r="Z44" s="25">
        <v>0</v>
      </c>
      <c r="AA44" s="25">
        <v>0</v>
      </c>
      <c r="AB44" s="25">
        <v>0</v>
      </c>
      <c r="AC44" s="25">
        <v>0</v>
      </c>
      <c r="AD44" s="25">
        <v>0</v>
      </c>
      <c r="AE44" s="25">
        <v>0</v>
      </c>
      <c r="AF44" s="25">
        <v>0</v>
      </c>
      <c r="AG44" s="25">
        <v>0</v>
      </c>
      <c r="AH44" s="25">
        <v>0</v>
      </c>
      <c r="AI44" s="25">
        <v>0</v>
      </c>
      <c r="AJ44" s="25">
        <v>0</v>
      </c>
    </row>
    <row r="45" spans="1:36" x14ac:dyDescent="0.25">
      <c r="A45" t="s">
        <v>478</v>
      </c>
      <c r="B45" t="s">
        <v>305</v>
      </c>
      <c r="C45" s="25">
        <v>95</v>
      </c>
      <c r="D45" s="25">
        <v>95</v>
      </c>
      <c r="E45" s="25">
        <v>95</v>
      </c>
      <c r="F45" s="25">
        <v>95</v>
      </c>
      <c r="G45" s="25">
        <v>95</v>
      </c>
      <c r="H45" s="25">
        <v>95</v>
      </c>
      <c r="I45" s="25">
        <v>95</v>
      </c>
      <c r="J45" s="25">
        <v>95</v>
      </c>
      <c r="K45" s="25">
        <v>95</v>
      </c>
      <c r="L45" s="25">
        <v>95</v>
      </c>
      <c r="M45" s="25">
        <v>95</v>
      </c>
      <c r="N45" s="25">
        <v>95</v>
      </c>
      <c r="O45" s="25">
        <v>95</v>
      </c>
      <c r="P45" s="25">
        <v>95</v>
      </c>
      <c r="Q45" s="25">
        <v>95</v>
      </c>
      <c r="R45" s="25">
        <v>95</v>
      </c>
      <c r="S45" s="25">
        <v>95</v>
      </c>
      <c r="T45" s="25">
        <v>95</v>
      </c>
      <c r="U45" s="25">
        <v>95</v>
      </c>
      <c r="V45" s="25">
        <v>95</v>
      </c>
      <c r="W45" s="25">
        <v>95</v>
      </c>
      <c r="X45" s="25">
        <v>95</v>
      </c>
      <c r="Y45" s="25">
        <v>95</v>
      </c>
      <c r="Z45" s="25">
        <v>95</v>
      </c>
      <c r="AA45" s="25">
        <v>95</v>
      </c>
      <c r="AB45" s="25">
        <v>95</v>
      </c>
      <c r="AC45" s="25">
        <v>95</v>
      </c>
      <c r="AD45" s="25">
        <v>95</v>
      </c>
      <c r="AE45" s="25">
        <v>95</v>
      </c>
      <c r="AF45" s="25">
        <v>95</v>
      </c>
      <c r="AG45" s="25">
        <v>95</v>
      </c>
      <c r="AH45" s="25">
        <v>95</v>
      </c>
      <c r="AI45" s="25">
        <v>95</v>
      </c>
      <c r="AJ45" s="25">
        <v>95</v>
      </c>
    </row>
    <row r="46" spans="1:36" x14ac:dyDescent="0.25">
      <c r="A46" t="s">
        <v>754</v>
      </c>
      <c r="B46" t="s">
        <v>305</v>
      </c>
      <c r="C46" s="25">
        <v>0</v>
      </c>
      <c r="D46" s="25">
        <v>0</v>
      </c>
      <c r="E46" s="25">
        <v>0</v>
      </c>
      <c r="F46" s="25">
        <v>0</v>
      </c>
      <c r="G46" s="25">
        <v>0</v>
      </c>
      <c r="H46" s="25">
        <v>0</v>
      </c>
      <c r="I46" s="25">
        <v>0</v>
      </c>
      <c r="J46" s="25">
        <v>0</v>
      </c>
      <c r="K46" s="25">
        <v>0</v>
      </c>
      <c r="L46" s="25">
        <v>0</v>
      </c>
      <c r="M46" s="25">
        <v>0</v>
      </c>
      <c r="N46" s="25">
        <v>0</v>
      </c>
      <c r="O46" s="25">
        <v>0</v>
      </c>
      <c r="P46" s="25">
        <v>0</v>
      </c>
      <c r="Q46" s="25">
        <v>0</v>
      </c>
      <c r="R46" s="25">
        <v>0</v>
      </c>
      <c r="S46" s="25">
        <v>0</v>
      </c>
      <c r="T46" s="25">
        <v>0</v>
      </c>
      <c r="U46" s="25">
        <v>0</v>
      </c>
      <c r="V46" s="25">
        <v>0</v>
      </c>
      <c r="W46" s="25">
        <v>0</v>
      </c>
      <c r="X46" s="25">
        <v>0</v>
      </c>
      <c r="Y46" s="25">
        <v>0</v>
      </c>
      <c r="Z46" s="25">
        <v>0</v>
      </c>
      <c r="AA46" s="25">
        <v>0</v>
      </c>
      <c r="AB46" s="25">
        <v>0</v>
      </c>
      <c r="AC46" s="25">
        <v>0</v>
      </c>
      <c r="AD46" s="25">
        <v>0</v>
      </c>
      <c r="AE46" s="25">
        <v>0</v>
      </c>
      <c r="AF46" s="25">
        <v>0</v>
      </c>
      <c r="AG46" s="25">
        <v>0</v>
      </c>
      <c r="AH46" s="25">
        <v>0</v>
      </c>
      <c r="AI46" s="25">
        <v>0</v>
      </c>
      <c r="AJ46" s="25">
        <v>0</v>
      </c>
    </row>
    <row r="47" spans="1:36" s="76" customFormat="1" x14ac:dyDescent="0.25">
      <c r="A47" s="76" t="s">
        <v>780</v>
      </c>
      <c r="C47" s="77">
        <f>+SUM(C36:C46)</f>
        <v>100</v>
      </c>
      <c r="D47" s="77">
        <f t="shared" ref="D47" si="34">+SUM(D36:D46)</f>
        <v>100</v>
      </c>
      <c r="E47" s="77">
        <f t="shared" ref="E47" si="35">+SUM(E36:E46)</f>
        <v>100</v>
      </c>
      <c r="F47" s="77">
        <f t="shared" ref="F47" si="36">+SUM(F36:F46)</f>
        <v>100</v>
      </c>
      <c r="G47" s="77">
        <f t="shared" ref="G47" si="37">+SUM(G36:G46)</f>
        <v>100</v>
      </c>
      <c r="H47" s="77">
        <f t="shared" ref="H47" si="38">+SUM(H36:H46)</f>
        <v>100</v>
      </c>
      <c r="I47" s="77">
        <f t="shared" ref="I47" si="39">+SUM(I36:I46)</f>
        <v>100</v>
      </c>
      <c r="J47" s="77">
        <f t="shared" ref="J47" si="40">+SUM(J36:J46)</f>
        <v>100</v>
      </c>
      <c r="K47" s="77">
        <f t="shared" ref="K47" si="41">+SUM(K36:K46)</f>
        <v>100</v>
      </c>
      <c r="L47" s="77">
        <f t="shared" ref="L47" si="42">+SUM(L36:L46)</f>
        <v>100</v>
      </c>
      <c r="M47" s="77">
        <f t="shared" ref="M47" si="43">+SUM(M36:M46)</f>
        <v>100</v>
      </c>
      <c r="N47" s="77">
        <f t="shared" ref="N47" si="44">+SUM(N36:N46)</f>
        <v>100</v>
      </c>
      <c r="O47" s="77">
        <f t="shared" ref="O47" si="45">+SUM(O36:O46)</f>
        <v>100</v>
      </c>
      <c r="P47" s="77">
        <f t="shared" ref="P47" si="46">+SUM(P36:P46)</f>
        <v>100</v>
      </c>
      <c r="Q47" s="77">
        <f t="shared" ref="Q47" si="47">+SUM(Q36:Q46)</f>
        <v>100</v>
      </c>
      <c r="R47" s="77">
        <f t="shared" ref="R47" si="48">+SUM(R36:R46)</f>
        <v>100</v>
      </c>
      <c r="S47" s="77">
        <f t="shared" ref="S47" si="49">+SUM(S36:S46)</f>
        <v>100</v>
      </c>
      <c r="T47" s="77">
        <f t="shared" ref="T47" si="50">+SUM(T36:T46)</f>
        <v>100</v>
      </c>
      <c r="U47" s="77">
        <f t="shared" ref="U47" si="51">+SUM(U36:U46)</f>
        <v>100</v>
      </c>
      <c r="V47" s="77">
        <f t="shared" ref="V47" si="52">+SUM(V36:V46)</f>
        <v>100</v>
      </c>
      <c r="W47" s="77">
        <f t="shared" ref="W47" si="53">+SUM(W36:W46)</f>
        <v>100</v>
      </c>
      <c r="X47" s="77">
        <f t="shared" ref="X47" si="54">+SUM(X36:X46)</f>
        <v>100</v>
      </c>
      <c r="Y47" s="77">
        <f t="shared" ref="Y47" si="55">+SUM(Y36:Y46)</f>
        <v>100</v>
      </c>
      <c r="Z47" s="77">
        <f t="shared" ref="Z47" si="56">+SUM(Z36:Z46)</f>
        <v>100</v>
      </c>
      <c r="AA47" s="77">
        <f t="shared" ref="AA47" si="57">+SUM(AA36:AA46)</f>
        <v>100</v>
      </c>
      <c r="AB47" s="77">
        <f t="shared" ref="AB47" si="58">+SUM(AB36:AB46)</f>
        <v>100</v>
      </c>
      <c r="AC47" s="77">
        <f t="shared" ref="AC47" si="59">+SUM(AC36:AC46)</f>
        <v>100</v>
      </c>
      <c r="AD47" s="77">
        <f t="shared" ref="AD47" si="60">+SUM(AD36:AD46)</f>
        <v>100</v>
      </c>
      <c r="AE47" s="77">
        <f t="shared" ref="AE47" si="61">+SUM(AE36:AE46)</f>
        <v>100</v>
      </c>
      <c r="AF47" s="77">
        <f t="shared" ref="AF47" si="62">+SUM(AF36:AF46)</f>
        <v>100</v>
      </c>
      <c r="AG47" s="77">
        <f t="shared" ref="AG47" si="63">+SUM(AG36:AG46)</f>
        <v>100</v>
      </c>
      <c r="AH47" s="77">
        <f t="shared" ref="AH47" si="64">+SUM(AH36:AH46)</f>
        <v>100</v>
      </c>
      <c r="AI47" s="77">
        <f t="shared" ref="AI47" si="65">+SUM(AI36:AI46)</f>
        <v>100</v>
      </c>
      <c r="AJ47" s="77">
        <f t="shared" ref="AJ47" si="66">+SUM(AJ36:AJ46)</f>
        <v>100</v>
      </c>
    </row>
    <row r="48" spans="1:36" s="74" customFormat="1" ht="15.75" x14ac:dyDescent="0.25">
      <c r="A48" s="72" t="s">
        <v>772</v>
      </c>
      <c r="B48" s="73"/>
      <c r="C48" s="72"/>
      <c r="D48" s="72"/>
      <c r="E48" s="72"/>
      <c r="F48" s="72"/>
      <c r="G48" s="72"/>
      <c r="H48" s="72"/>
      <c r="I48" s="72"/>
      <c r="J48" s="72"/>
      <c r="K48" s="72"/>
      <c r="L48" s="72"/>
      <c r="M48" s="72"/>
      <c r="N48" s="72"/>
      <c r="O48" s="72"/>
      <c r="P48" s="72"/>
      <c r="Q48" s="72"/>
      <c r="R48" s="72"/>
      <c r="S48" s="72"/>
      <c r="T48" s="72"/>
      <c r="U48" s="72"/>
      <c r="V48" s="72"/>
      <c r="W48" s="72"/>
      <c r="X48" s="72"/>
      <c r="Y48" s="72"/>
      <c r="Z48" s="72"/>
      <c r="AA48" s="72"/>
      <c r="AB48" s="72"/>
      <c r="AC48" s="72"/>
      <c r="AD48" s="72"/>
      <c r="AE48" s="72"/>
      <c r="AF48" s="72"/>
      <c r="AG48" s="72"/>
      <c r="AH48" s="72"/>
      <c r="AI48" s="72"/>
      <c r="AJ48" s="72"/>
    </row>
    <row r="49" spans="1:36" x14ac:dyDescent="0.25">
      <c r="A49" t="s">
        <v>479</v>
      </c>
      <c r="B49" t="s">
        <v>305</v>
      </c>
      <c r="C49" s="25">
        <v>0</v>
      </c>
      <c r="D49" s="25">
        <v>0</v>
      </c>
      <c r="E49" s="25">
        <v>0</v>
      </c>
      <c r="F49" s="25">
        <v>0</v>
      </c>
      <c r="G49" s="25">
        <v>0</v>
      </c>
      <c r="H49" s="25">
        <v>0</v>
      </c>
      <c r="I49" s="25">
        <v>0</v>
      </c>
      <c r="J49" s="25">
        <v>0</v>
      </c>
      <c r="K49" s="25">
        <v>0</v>
      </c>
      <c r="L49" s="25">
        <v>0</v>
      </c>
      <c r="M49" s="25">
        <v>0</v>
      </c>
      <c r="N49" s="25">
        <v>0</v>
      </c>
      <c r="O49" s="25">
        <v>0</v>
      </c>
      <c r="P49" s="25">
        <v>0</v>
      </c>
      <c r="Q49" s="25">
        <v>0</v>
      </c>
      <c r="R49" s="25">
        <v>0</v>
      </c>
      <c r="S49" s="25">
        <v>0</v>
      </c>
      <c r="T49" s="25">
        <v>0</v>
      </c>
      <c r="U49" s="25">
        <v>0</v>
      </c>
      <c r="V49" s="25">
        <v>0</v>
      </c>
      <c r="W49" s="25">
        <v>0</v>
      </c>
      <c r="X49" s="25">
        <v>0</v>
      </c>
      <c r="Y49" s="25">
        <v>0</v>
      </c>
      <c r="Z49" s="25">
        <v>0</v>
      </c>
      <c r="AA49" s="25">
        <v>0</v>
      </c>
      <c r="AB49" s="25">
        <v>0</v>
      </c>
      <c r="AC49" s="25">
        <v>0</v>
      </c>
      <c r="AD49" s="25">
        <v>0</v>
      </c>
      <c r="AE49" s="25">
        <v>0</v>
      </c>
      <c r="AF49" s="25">
        <v>0</v>
      </c>
      <c r="AG49" s="25">
        <v>0</v>
      </c>
      <c r="AH49" s="25">
        <v>0</v>
      </c>
      <c r="AI49" s="25">
        <v>0</v>
      </c>
      <c r="AJ49" s="25">
        <v>0</v>
      </c>
    </row>
    <row r="50" spans="1:36" x14ac:dyDescent="0.25">
      <c r="A50" t="s">
        <v>480</v>
      </c>
      <c r="B50" t="s">
        <v>305</v>
      </c>
      <c r="C50" s="25">
        <v>0</v>
      </c>
      <c r="D50" s="25">
        <v>0</v>
      </c>
      <c r="E50" s="25">
        <v>0</v>
      </c>
      <c r="F50" s="25">
        <v>0</v>
      </c>
      <c r="G50" s="25">
        <v>0</v>
      </c>
      <c r="H50" s="25">
        <v>0</v>
      </c>
      <c r="I50" s="25">
        <v>0</v>
      </c>
      <c r="J50" s="25">
        <v>0</v>
      </c>
      <c r="K50" s="25">
        <v>0</v>
      </c>
      <c r="L50" s="25">
        <v>0</v>
      </c>
      <c r="M50" s="25">
        <v>0</v>
      </c>
      <c r="N50" s="25">
        <v>0</v>
      </c>
      <c r="O50" s="25">
        <v>0</v>
      </c>
      <c r="P50" s="25">
        <v>0</v>
      </c>
      <c r="Q50" s="25">
        <v>0</v>
      </c>
      <c r="R50" s="25">
        <v>0</v>
      </c>
      <c r="S50" s="25">
        <v>0</v>
      </c>
      <c r="T50" s="25">
        <v>0</v>
      </c>
      <c r="U50" s="25">
        <v>0</v>
      </c>
      <c r="V50" s="25">
        <v>0</v>
      </c>
      <c r="W50" s="25">
        <v>0</v>
      </c>
      <c r="X50" s="25">
        <v>0</v>
      </c>
      <c r="Y50" s="25">
        <v>0</v>
      </c>
      <c r="Z50" s="25">
        <v>0</v>
      </c>
      <c r="AA50" s="25">
        <v>0</v>
      </c>
      <c r="AB50" s="25">
        <v>0</v>
      </c>
      <c r="AC50" s="25">
        <v>0</v>
      </c>
      <c r="AD50" s="25">
        <v>0</v>
      </c>
      <c r="AE50" s="25">
        <v>0</v>
      </c>
      <c r="AF50" s="25">
        <v>0</v>
      </c>
      <c r="AG50" s="25">
        <v>0</v>
      </c>
      <c r="AH50" s="25">
        <v>0</v>
      </c>
      <c r="AI50" s="25">
        <v>0</v>
      </c>
      <c r="AJ50" s="25">
        <v>0</v>
      </c>
    </row>
    <row r="51" spans="1:36" x14ac:dyDescent="0.25">
      <c r="A51" t="s">
        <v>481</v>
      </c>
      <c r="B51" t="s">
        <v>305</v>
      </c>
      <c r="C51" s="25">
        <v>2.5</v>
      </c>
      <c r="D51" s="25">
        <v>2.5</v>
      </c>
      <c r="E51" s="25">
        <v>2.5</v>
      </c>
      <c r="F51" s="25">
        <v>2.5</v>
      </c>
      <c r="G51" s="25">
        <v>2.5</v>
      </c>
      <c r="H51" s="25">
        <v>2.5</v>
      </c>
      <c r="I51" s="25">
        <v>2.5</v>
      </c>
      <c r="J51" s="25">
        <v>2.5</v>
      </c>
      <c r="K51" s="25">
        <v>2.5</v>
      </c>
      <c r="L51" s="25">
        <v>2.5</v>
      </c>
      <c r="M51" s="25">
        <v>2.5</v>
      </c>
      <c r="N51" s="25">
        <v>2.5</v>
      </c>
      <c r="O51" s="25">
        <v>2.5</v>
      </c>
      <c r="P51" s="25">
        <v>2.5</v>
      </c>
      <c r="Q51" s="25">
        <v>2.5</v>
      </c>
      <c r="R51" s="25">
        <v>2.5</v>
      </c>
      <c r="S51" s="25">
        <v>2.5</v>
      </c>
      <c r="T51" s="25">
        <v>2.5</v>
      </c>
      <c r="U51" s="25">
        <v>2.5</v>
      </c>
      <c r="V51" s="25">
        <v>2.5</v>
      </c>
      <c r="W51" s="25">
        <v>2.5</v>
      </c>
      <c r="X51" s="25">
        <v>2.5</v>
      </c>
      <c r="Y51" s="25">
        <v>2.5</v>
      </c>
      <c r="Z51" s="25">
        <v>2.5</v>
      </c>
      <c r="AA51" s="25">
        <v>2.5</v>
      </c>
      <c r="AB51" s="25">
        <v>2.5</v>
      </c>
      <c r="AC51" s="25">
        <v>2.5</v>
      </c>
      <c r="AD51" s="25">
        <v>2.5</v>
      </c>
      <c r="AE51" s="25">
        <v>2.5</v>
      </c>
      <c r="AF51" s="25">
        <v>2.5</v>
      </c>
      <c r="AG51" s="25">
        <v>2.5</v>
      </c>
      <c r="AH51" s="25">
        <v>2.5</v>
      </c>
      <c r="AI51" s="25">
        <v>2.5</v>
      </c>
      <c r="AJ51" s="25">
        <v>2.5</v>
      </c>
    </row>
    <row r="52" spans="1:36" x14ac:dyDescent="0.25">
      <c r="A52" t="s">
        <v>482</v>
      </c>
      <c r="B52" t="s">
        <v>305</v>
      </c>
      <c r="C52" s="25">
        <v>0</v>
      </c>
      <c r="D52" s="25">
        <v>0</v>
      </c>
      <c r="E52" s="25">
        <v>0</v>
      </c>
      <c r="F52" s="25">
        <v>0</v>
      </c>
      <c r="G52" s="25">
        <v>0</v>
      </c>
      <c r="H52" s="25">
        <v>0</v>
      </c>
      <c r="I52" s="25">
        <v>0</v>
      </c>
      <c r="J52" s="25">
        <v>0</v>
      </c>
      <c r="K52" s="25">
        <v>0</v>
      </c>
      <c r="L52" s="25">
        <v>0</v>
      </c>
      <c r="M52" s="25">
        <v>0</v>
      </c>
      <c r="N52" s="25">
        <v>0</v>
      </c>
      <c r="O52" s="25">
        <v>0</v>
      </c>
      <c r="P52" s="25">
        <v>0</v>
      </c>
      <c r="Q52" s="25">
        <v>0</v>
      </c>
      <c r="R52" s="25">
        <v>0</v>
      </c>
      <c r="S52" s="25">
        <v>0</v>
      </c>
      <c r="T52" s="25">
        <v>0</v>
      </c>
      <c r="U52" s="25">
        <v>0</v>
      </c>
      <c r="V52" s="25">
        <v>0</v>
      </c>
      <c r="W52" s="25">
        <v>0</v>
      </c>
      <c r="X52" s="25">
        <v>0</v>
      </c>
      <c r="Y52" s="25">
        <v>0</v>
      </c>
      <c r="Z52" s="25">
        <v>0</v>
      </c>
      <c r="AA52" s="25">
        <v>0</v>
      </c>
      <c r="AB52" s="25">
        <v>0</v>
      </c>
      <c r="AC52" s="25">
        <v>0</v>
      </c>
      <c r="AD52" s="25">
        <v>0</v>
      </c>
      <c r="AE52" s="25">
        <v>0</v>
      </c>
      <c r="AF52" s="25">
        <v>0</v>
      </c>
      <c r="AG52" s="25">
        <v>0</v>
      </c>
      <c r="AH52" s="25">
        <v>0</v>
      </c>
      <c r="AI52" s="25">
        <v>0</v>
      </c>
      <c r="AJ52" s="25">
        <v>0</v>
      </c>
    </row>
    <row r="53" spans="1:36" x14ac:dyDescent="0.25">
      <c r="A53" t="s">
        <v>483</v>
      </c>
      <c r="B53" t="s">
        <v>305</v>
      </c>
      <c r="C53" s="25">
        <v>0</v>
      </c>
      <c r="D53" s="25">
        <v>0</v>
      </c>
      <c r="E53" s="25">
        <v>0</v>
      </c>
      <c r="F53" s="25">
        <v>0</v>
      </c>
      <c r="G53" s="25">
        <v>0</v>
      </c>
      <c r="H53" s="25">
        <v>0</v>
      </c>
      <c r="I53" s="25">
        <v>0</v>
      </c>
      <c r="J53" s="25">
        <v>0</v>
      </c>
      <c r="K53" s="25">
        <v>0</v>
      </c>
      <c r="L53" s="25">
        <v>0</v>
      </c>
      <c r="M53" s="25">
        <v>0</v>
      </c>
      <c r="N53" s="25">
        <v>0</v>
      </c>
      <c r="O53" s="25">
        <v>0</v>
      </c>
      <c r="P53" s="25">
        <v>0</v>
      </c>
      <c r="Q53" s="25">
        <v>0</v>
      </c>
      <c r="R53" s="25">
        <v>0</v>
      </c>
      <c r="S53" s="25">
        <v>0</v>
      </c>
      <c r="T53" s="25">
        <v>0</v>
      </c>
      <c r="U53" s="25">
        <v>0</v>
      </c>
      <c r="V53" s="25">
        <v>0</v>
      </c>
      <c r="W53" s="25">
        <v>0</v>
      </c>
      <c r="X53" s="25">
        <v>0</v>
      </c>
      <c r="Y53" s="25">
        <v>0</v>
      </c>
      <c r="Z53" s="25">
        <v>0</v>
      </c>
      <c r="AA53" s="25">
        <v>0</v>
      </c>
      <c r="AB53" s="25">
        <v>0</v>
      </c>
      <c r="AC53" s="25">
        <v>0</v>
      </c>
      <c r="AD53" s="25">
        <v>0</v>
      </c>
      <c r="AE53" s="25">
        <v>0</v>
      </c>
      <c r="AF53" s="25">
        <v>0</v>
      </c>
      <c r="AG53" s="25">
        <v>0</v>
      </c>
      <c r="AH53" s="25">
        <v>0</v>
      </c>
      <c r="AI53" s="25">
        <v>0</v>
      </c>
      <c r="AJ53" s="25">
        <v>0</v>
      </c>
    </row>
    <row r="54" spans="1:36" x14ac:dyDescent="0.25">
      <c r="A54" t="s">
        <v>484</v>
      </c>
      <c r="B54" t="s">
        <v>305</v>
      </c>
      <c r="C54" s="25">
        <v>2.5</v>
      </c>
      <c r="D54" s="25">
        <v>2.5</v>
      </c>
      <c r="E54" s="25">
        <v>2.5</v>
      </c>
      <c r="F54" s="25">
        <v>2.5</v>
      </c>
      <c r="G54" s="25">
        <v>2.5</v>
      </c>
      <c r="H54" s="25">
        <v>2.5</v>
      </c>
      <c r="I54" s="25">
        <v>2.5</v>
      </c>
      <c r="J54" s="25">
        <v>2.5</v>
      </c>
      <c r="K54" s="25">
        <v>2.5</v>
      </c>
      <c r="L54" s="25">
        <v>2.5</v>
      </c>
      <c r="M54" s="25">
        <v>2.5</v>
      </c>
      <c r="N54" s="25">
        <v>2.5</v>
      </c>
      <c r="O54" s="25">
        <v>2.5</v>
      </c>
      <c r="P54" s="25">
        <v>2.5</v>
      </c>
      <c r="Q54" s="25">
        <v>2.5</v>
      </c>
      <c r="R54" s="25">
        <v>2.5</v>
      </c>
      <c r="S54" s="25">
        <v>2.5</v>
      </c>
      <c r="T54" s="25">
        <v>2.5</v>
      </c>
      <c r="U54" s="25">
        <v>2.5</v>
      </c>
      <c r="V54" s="25">
        <v>2.5</v>
      </c>
      <c r="W54" s="25">
        <v>2.5</v>
      </c>
      <c r="X54" s="25">
        <v>2.5</v>
      </c>
      <c r="Y54" s="25">
        <v>2.5</v>
      </c>
      <c r="Z54" s="25">
        <v>2.5</v>
      </c>
      <c r="AA54" s="25">
        <v>2.5</v>
      </c>
      <c r="AB54" s="25">
        <v>2.5</v>
      </c>
      <c r="AC54" s="25">
        <v>2.5</v>
      </c>
      <c r="AD54" s="25">
        <v>2.5</v>
      </c>
      <c r="AE54" s="25">
        <v>2.5</v>
      </c>
      <c r="AF54" s="25">
        <v>2.5</v>
      </c>
      <c r="AG54" s="25">
        <v>2.5</v>
      </c>
      <c r="AH54" s="25">
        <v>2.5</v>
      </c>
      <c r="AI54" s="25">
        <v>2.5</v>
      </c>
      <c r="AJ54" s="25">
        <v>2.5</v>
      </c>
    </row>
    <row r="55" spans="1:36" x14ac:dyDescent="0.25">
      <c r="A55" t="s">
        <v>485</v>
      </c>
      <c r="B55" t="s">
        <v>305</v>
      </c>
      <c r="C55" s="25">
        <v>0</v>
      </c>
      <c r="D55" s="25">
        <v>0</v>
      </c>
      <c r="E55" s="25">
        <v>0</v>
      </c>
      <c r="F55" s="25">
        <v>0</v>
      </c>
      <c r="G55" s="25">
        <v>0</v>
      </c>
      <c r="H55" s="25">
        <v>0</v>
      </c>
      <c r="I55" s="25">
        <v>0</v>
      </c>
      <c r="J55" s="25">
        <v>0</v>
      </c>
      <c r="K55" s="25">
        <v>0</v>
      </c>
      <c r="L55" s="25">
        <v>0</v>
      </c>
      <c r="M55" s="25">
        <v>0</v>
      </c>
      <c r="N55" s="25">
        <v>0</v>
      </c>
      <c r="O55" s="25">
        <v>0</v>
      </c>
      <c r="P55" s="25">
        <v>0</v>
      </c>
      <c r="Q55" s="25">
        <v>0</v>
      </c>
      <c r="R55" s="25">
        <v>0</v>
      </c>
      <c r="S55" s="25">
        <v>0</v>
      </c>
      <c r="T55" s="25">
        <v>0</v>
      </c>
      <c r="U55" s="25">
        <v>0</v>
      </c>
      <c r="V55" s="25">
        <v>0</v>
      </c>
      <c r="W55" s="25">
        <v>0</v>
      </c>
      <c r="X55" s="25">
        <v>0</v>
      </c>
      <c r="Y55" s="25">
        <v>0</v>
      </c>
      <c r="Z55" s="25">
        <v>0</v>
      </c>
      <c r="AA55" s="25">
        <v>0</v>
      </c>
      <c r="AB55" s="25">
        <v>0</v>
      </c>
      <c r="AC55" s="25">
        <v>0</v>
      </c>
      <c r="AD55" s="25">
        <v>0</v>
      </c>
      <c r="AE55" s="25">
        <v>0</v>
      </c>
      <c r="AF55" s="25">
        <v>0</v>
      </c>
      <c r="AG55" s="25">
        <v>0</v>
      </c>
      <c r="AH55" s="25">
        <v>0</v>
      </c>
      <c r="AI55" s="25">
        <v>0</v>
      </c>
      <c r="AJ55" s="25">
        <v>0</v>
      </c>
    </row>
    <row r="56" spans="1:36" x14ac:dyDescent="0.25">
      <c r="A56" t="s">
        <v>486</v>
      </c>
      <c r="B56" t="s">
        <v>305</v>
      </c>
      <c r="C56" s="25">
        <v>0</v>
      </c>
      <c r="D56" s="25">
        <v>0</v>
      </c>
      <c r="E56" s="25">
        <v>0</v>
      </c>
      <c r="F56" s="25">
        <v>0</v>
      </c>
      <c r="G56" s="25">
        <v>0</v>
      </c>
      <c r="H56" s="25">
        <v>0</v>
      </c>
      <c r="I56" s="25">
        <v>0</v>
      </c>
      <c r="J56" s="25">
        <v>0</v>
      </c>
      <c r="K56" s="25">
        <v>0</v>
      </c>
      <c r="L56" s="25">
        <v>0</v>
      </c>
      <c r="M56" s="25">
        <v>0</v>
      </c>
      <c r="N56" s="25">
        <v>0</v>
      </c>
      <c r="O56" s="25">
        <v>0</v>
      </c>
      <c r="P56" s="25">
        <v>0</v>
      </c>
      <c r="Q56" s="25">
        <v>0</v>
      </c>
      <c r="R56" s="25">
        <v>0</v>
      </c>
      <c r="S56" s="25">
        <v>0</v>
      </c>
      <c r="T56" s="25">
        <v>0</v>
      </c>
      <c r="U56" s="25">
        <v>0</v>
      </c>
      <c r="V56" s="25">
        <v>0</v>
      </c>
      <c r="W56" s="25">
        <v>0</v>
      </c>
      <c r="X56" s="25">
        <v>0</v>
      </c>
      <c r="Y56" s="25">
        <v>0</v>
      </c>
      <c r="Z56" s="25">
        <v>0</v>
      </c>
      <c r="AA56" s="25">
        <v>0</v>
      </c>
      <c r="AB56" s="25">
        <v>0</v>
      </c>
      <c r="AC56" s="25">
        <v>0</v>
      </c>
      <c r="AD56" s="25">
        <v>0</v>
      </c>
      <c r="AE56" s="25">
        <v>0</v>
      </c>
      <c r="AF56" s="25">
        <v>0</v>
      </c>
      <c r="AG56" s="25">
        <v>0</v>
      </c>
      <c r="AH56" s="25">
        <v>0</v>
      </c>
      <c r="AI56" s="25">
        <v>0</v>
      </c>
      <c r="AJ56" s="25">
        <v>0</v>
      </c>
    </row>
    <row r="57" spans="1:36" x14ac:dyDescent="0.25">
      <c r="A57" t="s">
        <v>487</v>
      </c>
      <c r="B57" t="s">
        <v>305</v>
      </c>
      <c r="C57" s="25">
        <v>0</v>
      </c>
      <c r="D57" s="25">
        <v>0</v>
      </c>
      <c r="E57" s="25">
        <v>0</v>
      </c>
      <c r="F57" s="25">
        <v>0</v>
      </c>
      <c r="G57" s="25">
        <v>0</v>
      </c>
      <c r="H57" s="25">
        <v>0</v>
      </c>
      <c r="I57" s="25">
        <v>0</v>
      </c>
      <c r="J57" s="25">
        <v>0</v>
      </c>
      <c r="K57" s="25">
        <v>0</v>
      </c>
      <c r="L57" s="25">
        <v>0</v>
      </c>
      <c r="M57" s="25">
        <v>0</v>
      </c>
      <c r="N57" s="25">
        <v>0</v>
      </c>
      <c r="O57" s="25">
        <v>0</v>
      </c>
      <c r="P57" s="25">
        <v>0</v>
      </c>
      <c r="Q57" s="25">
        <v>0</v>
      </c>
      <c r="R57" s="25">
        <v>0</v>
      </c>
      <c r="S57" s="25">
        <v>0</v>
      </c>
      <c r="T57" s="25">
        <v>0</v>
      </c>
      <c r="U57" s="25">
        <v>0</v>
      </c>
      <c r="V57" s="25">
        <v>0</v>
      </c>
      <c r="W57" s="25">
        <v>0</v>
      </c>
      <c r="X57" s="25">
        <v>0</v>
      </c>
      <c r="Y57" s="25">
        <v>0</v>
      </c>
      <c r="Z57" s="25">
        <v>0</v>
      </c>
      <c r="AA57" s="25">
        <v>0</v>
      </c>
      <c r="AB57" s="25">
        <v>0</v>
      </c>
      <c r="AC57" s="25">
        <v>0</v>
      </c>
      <c r="AD57" s="25">
        <v>0</v>
      </c>
      <c r="AE57" s="25">
        <v>0</v>
      </c>
      <c r="AF57" s="25">
        <v>0</v>
      </c>
      <c r="AG57" s="25">
        <v>0</v>
      </c>
      <c r="AH57" s="25">
        <v>0</v>
      </c>
      <c r="AI57" s="25">
        <v>0</v>
      </c>
      <c r="AJ57" s="25">
        <v>0</v>
      </c>
    </row>
    <row r="58" spans="1:36" s="53" customFormat="1" x14ac:dyDescent="0.25">
      <c r="A58" t="s">
        <v>488</v>
      </c>
      <c r="B58" t="s">
        <v>305</v>
      </c>
      <c r="C58" s="25">
        <v>95</v>
      </c>
      <c r="D58" s="25">
        <v>95</v>
      </c>
      <c r="E58" s="25">
        <v>95</v>
      </c>
      <c r="F58" s="25">
        <v>95</v>
      </c>
      <c r="G58" s="25">
        <v>95</v>
      </c>
      <c r="H58" s="25">
        <v>95</v>
      </c>
      <c r="I58" s="25">
        <v>95</v>
      </c>
      <c r="J58" s="25">
        <v>95</v>
      </c>
      <c r="K58" s="25">
        <v>95</v>
      </c>
      <c r="L58" s="25">
        <v>95</v>
      </c>
      <c r="M58" s="25">
        <v>95</v>
      </c>
      <c r="N58" s="25">
        <v>95</v>
      </c>
      <c r="O58" s="25">
        <v>95</v>
      </c>
      <c r="P58" s="25">
        <v>95</v>
      </c>
      <c r="Q58" s="25">
        <v>95</v>
      </c>
      <c r="R58" s="25">
        <v>95</v>
      </c>
      <c r="S58" s="25">
        <v>95</v>
      </c>
      <c r="T58" s="25">
        <v>95</v>
      </c>
      <c r="U58" s="25">
        <v>95</v>
      </c>
      <c r="V58" s="25">
        <v>95</v>
      </c>
      <c r="W58" s="25">
        <v>95</v>
      </c>
      <c r="X58" s="25">
        <v>95</v>
      </c>
      <c r="Y58" s="25">
        <v>95</v>
      </c>
      <c r="Z58" s="25">
        <v>95</v>
      </c>
      <c r="AA58" s="25">
        <v>95</v>
      </c>
      <c r="AB58" s="25">
        <v>95</v>
      </c>
      <c r="AC58" s="25">
        <v>95</v>
      </c>
      <c r="AD58" s="25">
        <v>95</v>
      </c>
      <c r="AE58" s="25">
        <v>95</v>
      </c>
      <c r="AF58" s="25">
        <v>95</v>
      </c>
      <c r="AG58" s="25">
        <v>95</v>
      </c>
      <c r="AH58" s="25">
        <v>95</v>
      </c>
      <c r="AI58" s="25">
        <v>95</v>
      </c>
      <c r="AJ58" s="25">
        <v>95</v>
      </c>
    </row>
    <row r="59" spans="1:36" s="53" customFormat="1" x14ac:dyDescent="0.25">
      <c r="A59" t="s">
        <v>770</v>
      </c>
      <c r="B59" t="s">
        <v>305</v>
      </c>
      <c r="C59" s="25">
        <v>0</v>
      </c>
      <c r="D59" s="25">
        <v>0</v>
      </c>
      <c r="E59" s="25">
        <v>0</v>
      </c>
      <c r="F59" s="25">
        <v>0</v>
      </c>
      <c r="G59" s="25">
        <v>0</v>
      </c>
      <c r="H59" s="25">
        <v>0</v>
      </c>
      <c r="I59" s="25">
        <v>0</v>
      </c>
      <c r="J59" s="25">
        <v>0</v>
      </c>
      <c r="K59" s="25">
        <v>0</v>
      </c>
      <c r="L59" s="25">
        <v>0</v>
      </c>
      <c r="M59" s="25">
        <v>0</v>
      </c>
      <c r="N59" s="25">
        <v>0</v>
      </c>
      <c r="O59" s="25">
        <v>0</v>
      </c>
      <c r="P59" s="25">
        <v>0</v>
      </c>
      <c r="Q59" s="25">
        <v>0</v>
      </c>
      <c r="R59" s="25">
        <v>0</v>
      </c>
      <c r="S59" s="25">
        <v>0</v>
      </c>
      <c r="T59" s="25">
        <v>0</v>
      </c>
      <c r="U59" s="25">
        <v>0</v>
      </c>
      <c r="V59" s="25">
        <v>0</v>
      </c>
      <c r="W59" s="25">
        <v>0</v>
      </c>
      <c r="X59" s="25">
        <v>0</v>
      </c>
      <c r="Y59" s="25">
        <v>0</v>
      </c>
      <c r="Z59" s="25">
        <v>0</v>
      </c>
      <c r="AA59" s="25">
        <v>0</v>
      </c>
      <c r="AB59" s="25">
        <v>0</v>
      </c>
      <c r="AC59" s="25">
        <v>0</v>
      </c>
      <c r="AD59" s="25">
        <v>0</v>
      </c>
      <c r="AE59" s="25">
        <v>0</v>
      </c>
      <c r="AF59" s="25">
        <v>0</v>
      </c>
      <c r="AG59" s="25">
        <v>0</v>
      </c>
      <c r="AH59" s="25">
        <v>0</v>
      </c>
      <c r="AI59" s="25">
        <v>0</v>
      </c>
      <c r="AJ59" s="25">
        <v>0</v>
      </c>
    </row>
    <row r="60" spans="1:36" s="76" customFormat="1" x14ac:dyDescent="0.25">
      <c r="A60" s="76" t="s">
        <v>780</v>
      </c>
      <c r="C60" s="77">
        <f>+SUM(C49:C59)</f>
        <v>100</v>
      </c>
      <c r="D60" s="77">
        <f t="shared" ref="D60" si="67">+SUM(D49:D59)</f>
        <v>100</v>
      </c>
      <c r="E60" s="77">
        <f t="shared" ref="E60" si="68">+SUM(E49:E59)</f>
        <v>100</v>
      </c>
      <c r="F60" s="77">
        <f t="shared" ref="F60" si="69">+SUM(F49:F59)</f>
        <v>100</v>
      </c>
      <c r="G60" s="77">
        <f t="shared" ref="G60" si="70">+SUM(G49:G59)</f>
        <v>100</v>
      </c>
      <c r="H60" s="77">
        <f t="shared" ref="H60" si="71">+SUM(H49:H59)</f>
        <v>100</v>
      </c>
      <c r="I60" s="77">
        <f t="shared" ref="I60" si="72">+SUM(I49:I59)</f>
        <v>100</v>
      </c>
      <c r="J60" s="77">
        <f t="shared" ref="J60" si="73">+SUM(J49:J59)</f>
        <v>100</v>
      </c>
      <c r="K60" s="77">
        <f t="shared" ref="K60" si="74">+SUM(K49:K59)</f>
        <v>100</v>
      </c>
      <c r="L60" s="77">
        <f t="shared" ref="L60" si="75">+SUM(L49:L59)</f>
        <v>100</v>
      </c>
      <c r="M60" s="77">
        <f t="shared" ref="M60" si="76">+SUM(M49:M59)</f>
        <v>100</v>
      </c>
      <c r="N60" s="77">
        <f t="shared" ref="N60" si="77">+SUM(N49:N59)</f>
        <v>100</v>
      </c>
      <c r="O60" s="77">
        <f t="shared" ref="O60" si="78">+SUM(O49:O59)</f>
        <v>100</v>
      </c>
      <c r="P60" s="77">
        <f t="shared" ref="P60" si="79">+SUM(P49:P59)</f>
        <v>100</v>
      </c>
      <c r="Q60" s="77">
        <f t="shared" ref="Q60" si="80">+SUM(Q49:Q59)</f>
        <v>100</v>
      </c>
      <c r="R60" s="77">
        <f t="shared" ref="R60" si="81">+SUM(R49:R59)</f>
        <v>100</v>
      </c>
      <c r="S60" s="77">
        <f t="shared" ref="S60" si="82">+SUM(S49:S59)</f>
        <v>100</v>
      </c>
      <c r="T60" s="77">
        <f t="shared" ref="T60" si="83">+SUM(T49:T59)</f>
        <v>100</v>
      </c>
      <c r="U60" s="77">
        <f t="shared" ref="U60" si="84">+SUM(U49:U59)</f>
        <v>100</v>
      </c>
      <c r="V60" s="77">
        <f t="shared" ref="V60" si="85">+SUM(V49:V59)</f>
        <v>100</v>
      </c>
      <c r="W60" s="77">
        <f t="shared" ref="W60" si="86">+SUM(W49:W59)</f>
        <v>100</v>
      </c>
      <c r="X60" s="77">
        <f t="shared" ref="X60" si="87">+SUM(X49:X59)</f>
        <v>100</v>
      </c>
      <c r="Y60" s="77">
        <f t="shared" ref="Y60" si="88">+SUM(Y49:Y59)</f>
        <v>100</v>
      </c>
      <c r="Z60" s="77">
        <f t="shared" ref="Z60" si="89">+SUM(Z49:Z59)</f>
        <v>100</v>
      </c>
      <c r="AA60" s="77">
        <f t="shared" ref="AA60" si="90">+SUM(AA49:AA59)</f>
        <v>100</v>
      </c>
      <c r="AB60" s="77">
        <f t="shared" ref="AB60" si="91">+SUM(AB49:AB59)</f>
        <v>100</v>
      </c>
      <c r="AC60" s="77">
        <f t="shared" ref="AC60" si="92">+SUM(AC49:AC59)</f>
        <v>100</v>
      </c>
      <c r="AD60" s="77">
        <f t="shared" ref="AD60" si="93">+SUM(AD49:AD59)</f>
        <v>100</v>
      </c>
      <c r="AE60" s="77">
        <f t="shared" ref="AE60" si="94">+SUM(AE49:AE59)</f>
        <v>100</v>
      </c>
      <c r="AF60" s="77">
        <f t="shared" ref="AF60" si="95">+SUM(AF49:AF59)</f>
        <v>100</v>
      </c>
      <c r="AG60" s="77">
        <f t="shared" ref="AG60" si="96">+SUM(AG49:AG59)</f>
        <v>100</v>
      </c>
      <c r="AH60" s="77">
        <f t="shared" ref="AH60" si="97">+SUM(AH49:AH59)</f>
        <v>100</v>
      </c>
      <c r="AI60" s="77">
        <f t="shared" ref="AI60" si="98">+SUM(AI49:AI59)</f>
        <v>100</v>
      </c>
      <c r="AJ60" s="77">
        <f t="shared" ref="AJ60" si="99">+SUM(AJ49:AJ59)</f>
        <v>100</v>
      </c>
    </row>
    <row r="61" spans="1:36" s="50" customFormat="1" x14ac:dyDescent="0.25">
      <c r="A61" t="s">
        <v>489</v>
      </c>
      <c r="B61" t="s">
        <v>305</v>
      </c>
      <c r="C61" s="25">
        <v>0</v>
      </c>
      <c r="D61" s="25">
        <v>0</v>
      </c>
      <c r="E61" s="25">
        <v>0</v>
      </c>
      <c r="F61" s="25">
        <v>0</v>
      </c>
      <c r="G61" s="25">
        <v>0</v>
      </c>
      <c r="H61" s="25">
        <v>0</v>
      </c>
      <c r="I61" s="25">
        <v>0</v>
      </c>
      <c r="J61" s="25">
        <v>0</v>
      </c>
      <c r="K61" s="25">
        <v>0</v>
      </c>
      <c r="L61" s="25">
        <v>0</v>
      </c>
      <c r="M61" s="25">
        <v>0</v>
      </c>
      <c r="N61" s="25">
        <v>0</v>
      </c>
      <c r="O61" s="25">
        <v>0</v>
      </c>
      <c r="P61" s="25">
        <v>0</v>
      </c>
      <c r="Q61" s="25">
        <v>0</v>
      </c>
      <c r="R61" s="25">
        <v>0</v>
      </c>
      <c r="S61" s="25">
        <v>0</v>
      </c>
      <c r="T61" s="25">
        <v>0</v>
      </c>
      <c r="U61" s="25">
        <v>0</v>
      </c>
      <c r="V61" s="25">
        <v>0</v>
      </c>
      <c r="W61" s="25">
        <v>0</v>
      </c>
      <c r="X61" s="25">
        <v>0</v>
      </c>
      <c r="Y61" s="25">
        <v>0</v>
      </c>
      <c r="Z61" s="25">
        <v>0</v>
      </c>
      <c r="AA61" s="25">
        <v>0</v>
      </c>
      <c r="AB61" s="25">
        <v>0</v>
      </c>
      <c r="AC61" s="25">
        <v>0</v>
      </c>
      <c r="AD61" s="25">
        <v>0</v>
      </c>
      <c r="AE61" s="25">
        <v>0</v>
      </c>
      <c r="AF61" s="25">
        <v>0</v>
      </c>
      <c r="AG61" s="25">
        <v>0</v>
      </c>
      <c r="AH61" s="25">
        <v>0</v>
      </c>
      <c r="AI61" s="25">
        <v>0</v>
      </c>
      <c r="AJ61" s="25">
        <v>0</v>
      </c>
    </row>
    <row r="62" spans="1:36" x14ac:dyDescent="0.25">
      <c r="A62" t="s">
        <v>490</v>
      </c>
      <c r="B62" t="s">
        <v>305</v>
      </c>
      <c r="C62" s="25">
        <v>0</v>
      </c>
      <c r="D62" s="25">
        <v>0</v>
      </c>
      <c r="E62" s="25">
        <v>0</v>
      </c>
      <c r="F62" s="25">
        <v>0</v>
      </c>
      <c r="G62" s="25">
        <v>0</v>
      </c>
      <c r="H62" s="25">
        <v>0</v>
      </c>
      <c r="I62" s="25">
        <v>0</v>
      </c>
      <c r="J62" s="25">
        <v>0</v>
      </c>
      <c r="K62" s="25">
        <v>0</v>
      </c>
      <c r="L62" s="25">
        <v>0</v>
      </c>
      <c r="M62" s="25">
        <v>0</v>
      </c>
      <c r="N62" s="25">
        <v>0</v>
      </c>
      <c r="O62" s="25">
        <v>0</v>
      </c>
      <c r="P62" s="25">
        <v>0</v>
      </c>
      <c r="Q62" s="25">
        <v>0</v>
      </c>
      <c r="R62" s="25">
        <v>0</v>
      </c>
      <c r="S62" s="25">
        <v>0</v>
      </c>
      <c r="T62" s="25">
        <v>0</v>
      </c>
      <c r="U62" s="25">
        <v>0</v>
      </c>
      <c r="V62" s="25">
        <v>0</v>
      </c>
      <c r="W62" s="25">
        <v>0</v>
      </c>
      <c r="X62" s="25">
        <v>0</v>
      </c>
      <c r="Y62" s="25">
        <v>0</v>
      </c>
      <c r="Z62" s="25">
        <v>0</v>
      </c>
      <c r="AA62" s="25">
        <v>0</v>
      </c>
      <c r="AB62" s="25">
        <v>0</v>
      </c>
      <c r="AC62" s="25">
        <v>0</v>
      </c>
      <c r="AD62" s="25">
        <v>0</v>
      </c>
      <c r="AE62" s="25">
        <v>0</v>
      </c>
      <c r="AF62" s="25">
        <v>0</v>
      </c>
      <c r="AG62" s="25">
        <v>0</v>
      </c>
      <c r="AH62" s="25">
        <v>0</v>
      </c>
      <c r="AI62" s="25">
        <v>0</v>
      </c>
      <c r="AJ62" s="25">
        <v>0</v>
      </c>
    </row>
    <row r="63" spans="1:36" x14ac:dyDescent="0.25">
      <c r="A63" t="s">
        <v>491</v>
      </c>
      <c r="B63" t="s">
        <v>305</v>
      </c>
      <c r="C63" s="25">
        <v>5</v>
      </c>
      <c r="D63" s="25">
        <v>5</v>
      </c>
      <c r="E63" s="25">
        <v>5</v>
      </c>
      <c r="F63" s="25">
        <v>5</v>
      </c>
      <c r="G63" s="25">
        <v>5</v>
      </c>
      <c r="H63" s="25">
        <v>5</v>
      </c>
      <c r="I63" s="25">
        <v>5</v>
      </c>
      <c r="J63" s="25">
        <v>5</v>
      </c>
      <c r="K63" s="25">
        <v>5</v>
      </c>
      <c r="L63" s="25">
        <v>5</v>
      </c>
      <c r="M63" s="25">
        <v>5</v>
      </c>
      <c r="N63" s="25">
        <v>5</v>
      </c>
      <c r="O63" s="25">
        <v>5</v>
      </c>
      <c r="P63" s="25">
        <v>5</v>
      </c>
      <c r="Q63" s="25">
        <v>5</v>
      </c>
      <c r="R63" s="25">
        <v>5</v>
      </c>
      <c r="S63" s="25">
        <v>5</v>
      </c>
      <c r="T63" s="25">
        <v>5</v>
      </c>
      <c r="U63" s="25">
        <v>5</v>
      </c>
      <c r="V63" s="25">
        <v>5</v>
      </c>
      <c r="W63" s="25">
        <v>5</v>
      </c>
      <c r="X63" s="25">
        <v>5</v>
      </c>
      <c r="Y63" s="25">
        <v>5</v>
      </c>
      <c r="Z63" s="25">
        <v>5</v>
      </c>
      <c r="AA63" s="25">
        <v>5</v>
      </c>
      <c r="AB63" s="25">
        <v>5</v>
      </c>
      <c r="AC63" s="25">
        <v>5</v>
      </c>
      <c r="AD63" s="25">
        <v>5</v>
      </c>
      <c r="AE63" s="25">
        <v>5</v>
      </c>
      <c r="AF63" s="25">
        <v>5</v>
      </c>
      <c r="AG63" s="25">
        <v>5</v>
      </c>
      <c r="AH63" s="25">
        <v>5</v>
      </c>
      <c r="AI63" s="25">
        <v>5</v>
      </c>
      <c r="AJ63" s="25">
        <v>5</v>
      </c>
    </row>
    <row r="64" spans="1:36" s="50" customFormat="1" x14ac:dyDescent="0.25">
      <c r="A64" t="s">
        <v>492</v>
      </c>
      <c r="B64" t="s">
        <v>305</v>
      </c>
      <c r="C64" s="25">
        <v>0</v>
      </c>
      <c r="D64" s="25">
        <v>0</v>
      </c>
      <c r="E64" s="25">
        <v>0</v>
      </c>
      <c r="F64" s="25">
        <v>0</v>
      </c>
      <c r="G64" s="25">
        <v>0</v>
      </c>
      <c r="H64" s="25">
        <v>0</v>
      </c>
      <c r="I64" s="25">
        <v>0</v>
      </c>
      <c r="J64" s="25">
        <v>0</v>
      </c>
      <c r="K64" s="25">
        <v>0</v>
      </c>
      <c r="L64" s="25">
        <v>0</v>
      </c>
      <c r="M64" s="25">
        <v>0</v>
      </c>
      <c r="N64" s="25">
        <v>0</v>
      </c>
      <c r="O64" s="25">
        <v>0</v>
      </c>
      <c r="P64" s="25">
        <v>0</v>
      </c>
      <c r="Q64" s="25">
        <v>0</v>
      </c>
      <c r="R64" s="25">
        <v>0</v>
      </c>
      <c r="S64" s="25">
        <v>0</v>
      </c>
      <c r="T64" s="25">
        <v>0</v>
      </c>
      <c r="U64" s="25">
        <v>0</v>
      </c>
      <c r="V64" s="25">
        <v>0</v>
      </c>
      <c r="W64" s="25">
        <v>0</v>
      </c>
      <c r="X64" s="25">
        <v>0</v>
      </c>
      <c r="Y64" s="25">
        <v>0</v>
      </c>
      <c r="Z64" s="25">
        <v>0</v>
      </c>
      <c r="AA64" s="25">
        <v>0</v>
      </c>
      <c r="AB64" s="25">
        <v>0</v>
      </c>
      <c r="AC64" s="25">
        <v>0</v>
      </c>
      <c r="AD64" s="25">
        <v>0</v>
      </c>
      <c r="AE64" s="25">
        <v>0</v>
      </c>
      <c r="AF64" s="25">
        <v>0</v>
      </c>
      <c r="AG64" s="25">
        <v>0</v>
      </c>
      <c r="AH64" s="25">
        <v>0</v>
      </c>
      <c r="AI64" s="25">
        <v>0</v>
      </c>
      <c r="AJ64" s="25">
        <v>0</v>
      </c>
    </row>
    <row r="65" spans="1:36" x14ac:dyDescent="0.25">
      <c r="A65" t="s">
        <v>493</v>
      </c>
      <c r="B65" t="s">
        <v>305</v>
      </c>
      <c r="C65" s="25">
        <v>0</v>
      </c>
      <c r="D65" s="25">
        <v>0</v>
      </c>
      <c r="E65" s="25">
        <v>0</v>
      </c>
      <c r="F65" s="25">
        <v>0</v>
      </c>
      <c r="G65" s="25">
        <v>0</v>
      </c>
      <c r="H65" s="25">
        <v>0</v>
      </c>
      <c r="I65" s="25">
        <v>0</v>
      </c>
      <c r="J65" s="25">
        <v>0</v>
      </c>
      <c r="K65" s="25">
        <v>0</v>
      </c>
      <c r="L65" s="25">
        <v>0</v>
      </c>
      <c r="M65" s="25">
        <v>0</v>
      </c>
      <c r="N65" s="25">
        <v>0</v>
      </c>
      <c r="O65" s="25">
        <v>0</v>
      </c>
      <c r="P65" s="25">
        <v>0</v>
      </c>
      <c r="Q65" s="25">
        <v>0</v>
      </c>
      <c r="R65" s="25">
        <v>0</v>
      </c>
      <c r="S65" s="25">
        <v>0</v>
      </c>
      <c r="T65" s="25">
        <v>0</v>
      </c>
      <c r="U65" s="25">
        <v>0</v>
      </c>
      <c r="V65" s="25">
        <v>0</v>
      </c>
      <c r="W65" s="25">
        <v>0</v>
      </c>
      <c r="X65" s="25">
        <v>0</v>
      </c>
      <c r="Y65" s="25">
        <v>0</v>
      </c>
      <c r="Z65" s="25">
        <v>0</v>
      </c>
      <c r="AA65" s="25">
        <v>0</v>
      </c>
      <c r="AB65" s="25">
        <v>0</v>
      </c>
      <c r="AC65" s="25">
        <v>0</v>
      </c>
      <c r="AD65" s="25">
        <v>0</v>
      </c>
      <c r="AE65" s="25">
        <v>0</v>
      </c>
      <c r="AF65" s="25">
        <v>0</v>
      </c>
      <c r="AG65" s="25">
        <v>0</v>
      </c>
      <c r="AH65" s="25">
        <v>0</v>
      </c>
      <c r="AI65" s="25">
        <v>0</v>
      </c>
      <c r="AJ65" s="25">
        <v>0</v>
      </c>
    </row>
    <row r="66" spans="1:36" x14ac:dyDescent="0.25">
      <c r="A66" t="s">
        <v>494</v>
      </c>
      <c r="B66" t="s">
        <v>305</v>
      </c>
      <c r="C66" s="25">
        <v>0</v>
      </c>
      <c r="D66" s="25">
        <v>0</v>
      </c>
      <c r="E66" s="25">
        <v>0</v>
      </c>
      <c r="F66" s="25">
        <v>0</v>
      </c>
      <c r="G66" s="25">
        <v>0</v>
      </c>
      <c r="H66" s="25">
        <v>0</v>
      </c>
      <c r="I66" s="25">
        <v>0</v>
      </c>
      <c r="J66" s="25">
        <v>0</v>
      </c>
      <c r="K66" s="25">
        <v>0</v>
      </c>
      <c r="L66" s="25">
        <v>0</v>
      </c>
      <c r="M66" s="25">
        <v>0</v>
      </c>
      <c r="N66" s="25">
        <v>0</v>
      </c>
      <c r="O66" s="25">
        <v>0</v>
      </c>
      <c r="P66" s="25">
        <v>0</v>
      </c>
      <c r="Q66" s="25">
        <v>0</v>
      </c>
      <c r="R66" s="25">
        <v>0</v>
      </c>
      <c r="S66" s="25">
        <v>0</v>
      </c>
      <c r="T66" s="25">
        <v>0</v>
      </c>
      <c r="U66" s="25">
        <v>0</v>
      </c>
      <c r="V66" s="25">
        <v>0</v>
      </c>
      <c r="W66" s="25">
        <v>0</v>
      </c>
      <c r="X66" s="25">
        <v>0</v>
      </c>
      <c r="Y66" s="25">
        <v>0</v>
      </c>
      <c r="Z66" s="25">
        <v>0</v>
      </c>
      <c r="AA66" s="25">
        <v>0</v>
      </c>
      <c r="AB66" s="25">
        <v>0</v>
      </c>
      <c r="AC66" s="25">
        <v>0</v>
      </c>
      <c r="AD66" s="25">
        <v>0</v>
      </c>
      <c r="AE66" s="25">
        <v>0</v>
      </c>
      <c r="AF66" s="25">
        <v>0</v>
      </c>
      <c r="AG66" s="25">
        <v>0</v>
      </c>
      <c r="AH66" s="25">
        <v>0</v>
      </c>
      <c r="AI66" s="25">
        <v>0</v>
      </c>
      <c r="AJ66" s="25">
        <v>0</v>
      </c>
    </row>
    <row r="67" spans="1:36" s="53" customFormat="1" x14ac:dyDescent="0.25">
      <c r="A67" t="s">
        <v>495</v>
      </c>
      <c r="B67" t="s">
        <v>305</v>
      </c>
      <c r="C67" s="25">
        <v>5</v>
      </c>
      <c r="D67" s="25">
        <v>5</v>
      </c>
      <c r="E67" s="25">
        <v>5</v>
      </c>
      <c r="F67" s="25">
        <v>5</v>
      </c>
      <c r="G67" s="25">
        <v>5</v>
      </c>
      <c r="H67" s="25">
        <v>5</v>
      </c>
      <c r="I67" s="25">
        <v>5</v>
      </c>
      <c r="J67" s="25">
        <v>5</v>
      </c>
      <c r="K67" s="25">
        <v>5</v>
      </c>
      <c r="L67" s="25">
        <v>5</v>
      </c>
      <c r="M67" s="25">
        <v>5</v>
      </c>
      <c r="N67" s="25">
        <v>5</v>
      </c>
      <c r="O67" s="25">
        <v>5</v>
      </c>
      <c r="P67" s="25">
        <v>5</v>
      </c>
      <c r="Q67" s="25">
        <v>5</v>
      </c>
      <c r="R67" s="25">
        <v>5</v>
      </c>
      <c r="S67" s="25">
        <v>5</v>
      </c>
      <c r="T67" s="25">
        <v>5</v>
      </c>
      <c r="U67" s="25">
        <v>5</v>
      </c>
      <c r="V67" s="25">
        <v>5</v>
      </c>
      <c r="W67" s="25">
        <v>5</v>
      </c>
      <c r="X67" s="25">
        <v>5</v>
      </c>
      <c r="Y67" s="25">
        <v>5</v>
      </c>
      <c r="Z67" s="25">
        <v>5</v>
      </c>
      <c r="AA67" s="25">
        <v>5</v>
      </c>
      <c r="AB67" s="25">
        <v>5</v>
      </c>
      <c r="AC67" s="25">
        <v>5</v>
      </c>
      <c r="AD67" s="25">
        <v>5</v>
      </c>
      <c r="AE67" s="25">
        <v>5</v>
      </c>
      <c r="AF67" s="25">
        <v>5</v>
      </c>
      <c r="AG67" s="25">
        <v>5</v>
      </c>
      <c r="AH67" s="25">
        <v>5</v>
      </c>
      <c r="AI67" s="25">
        <v>5</v>
      </c>
      <c r="AJ67" s="25">
        <v>5</v>
      </c>
    </row>
    <row r="68" spans="1:36" x14ac:dyDescent="0.25">
      <c r="A68" t="s">
        <v>496</v>
      </c>
      <c r="B68" t="s">
        <v>305</v>
      </c>
      <c r="C68" s="25">
        <v>0</v>
      </c>
      <c r="D68" s="25">
        <v>0</v>
      </c>
      <c r="E68" s="25">
        <v>0</v>
      </c>
      <c r="F68" s="25">
        <v>0</v>
      </c>
      <c r="G68" s="25">
        <v>0</v>
      </c>
      <c r="H68" s="25">
        <v>0</v>
      </c>
      <c r="I68" s="25">
        <v>0</v>
      </c>
      <c r="J68" s="25">
        <v>0</v>
      </c>
      <c r="K68" s="25">
        <v>0</v>
      </c>
      <c r="L68" s="25">
        <v>0</v>
      </c>
      <c r="M68" s="25">
        <v>0</v>
      </c>
      <c r="N68" s="25">
        <v>0</v>
      </c>
      <c r="O68" s="25">
        <v>0</v>
      </c>
      <c r="P68" s="25">
        <v>0</v>
      </c>
      <c r="Q68" s="25">
        <v>0</v>
      </c>
      <c r="R68" s="25">
        <v>0</v>
      </c>
      <c r="S68" s="25">
        <v>0</v>
      </c>
      <c r="T68" s="25">
        <v>0</v>
      </c>
      <c r="U68" s="25">
        <v>0</v>
      </c>
      <c r="V68" s="25">
        <v>0</v>
      </c>
      <c r="W68" s="25">
        <v>0</v>
      </c>
      <c r="X68" s="25">
        <v>0</v>
      </c>
      <c r="Y68" s="25">
        <v>0</v>
      </c>
      <c r="Z68" s="25">
        <v>0</v>
      </c>
      <c r="AA68" s="25">
        <v>0</v>
      </c>
      <c r="AB68" s="25">
        <v>0</v>
      </c>
      <c r="AC68" s="25">
        <v>0</v>
      </c>
      <c r="AD68" s="25">
        <v>0</v>
      </c>
      <c r="AE68" s="25">
        <v>0</v>
      </c>
      <c r="AF68" s="25">
        <v>0</v>
      </c>
      <c r="AG68" s="25">
        <v>0</v>
      </c>
      <c r="AH68" s="25">
        <v>0</v>
      </c>
      <c r="AI68" s="25">
        <v>0</v>
      </c>
      <c r="AJ68" s="25">
        <v>0</v>
      </c>
    </row>
    <row r="69" spans="1:36" x14ac:dyDescent="0.25">
      <c r="A69" t="s">
        <v>497</v>
      </c>
      <c r="B69" t="s">
        <v>305</v>
      </c>
      <c r="C69" s="25">
        <v>0</v>
      </c>
      <c r="D69" s="25">
        <v>0</v>
      </c>
      <c r="E69" s="25">
        <v>0</v>
      </c>
      <c r="F69" s="25">
        <v>0</v>
      </c>
      <c r="G69" s="25">
        <v>0</v>
      </c>
      <c r="H69" s="25">
        <v>0</v>
      </c>
      <c r="I69" s="25">
        <v>0</v>
      </c>
      <c r="J69" s="25">
        <v>0</v>
      </c>
      <c r="K69" s="25">
        <v>0</v>
      </c>
      <c r="L69" s="25">
        <v>0</v>
      </c>
      <c r="M69" s="25">
        <v>0</v>
      </c>
      <c r="N69" s="25">
        <v>0</v>
      </c>
      <c r="O69" s="25">
        <v>0</v>
      </c>
      <c r="P69" s="25">
        <v>0</v>
      </c>
      <c r="Q69" s="25">
        <v>0</v>
      </c>
      <c r="R69" s="25">
        <v>0</v>
      </c>
      <c r="S69" s="25">
        <v>0</v>
      </c>
      <c r="T69" s="25">
        <v>0</v>
      </c>
      <c r="U69" s="25">
        <v>0</v>
      </c>
      <c r="V69" s="25">
        <v>0</v>
      </c>
      <c r="W69" s="25">
        <v>0</v>
      </c>
      <c r="X69" s="25">
        <v>0</v>
      </c>
      <c r="Y69" s="25">
        <v>0</v>
      </c>
      <c r="Z69" s="25">
        <v>0</v>
      </c>
      <c r="AA69" s="25">
        <v>0</v>
      </c>
      <c r="AB69" s="25">
        <v>0</v>
      </c>
      <c r="AC69" s="25">
        <v>0</v>
      </c>
      <c r="AD69" s="25">
        <v>0</v>
      </c>
      <c r="AE69" s="25">
        <v>0</v>
      </c>
      <c r="AF69" s="25">
        <v>0</v>
      </c>
      <c r="AG69" s="25">
        <v>0</v>
      </c>
      <c r="AH69" s="25">
        <v>0</v>
      </c>
      <c r="AI69" s="25">
        <v>0</v>
      </c>
      <c r="AJ69" s="25">
        <v>0</v>
      </c>
    </row>
    <row r="70" spans="1:36" s="53" customFormat="1" x14ac:dyDescent="0.25">
      <c r="A70" t="s">
        <v>498</v>
      </c>
      <c r="B70" t="s">
        <v>305</v>
      </c>
      <c r="C70" s="25">
        <v>90</v>
      </c>
      <c r="D70" s="25">
        <v>90</v>
      </c>
      <c r="E70" s="25">
        <v>90</v>
      </c>
      <c r="F70" s="25">
        <v>90</v>
      </c>
      <c r="G70" s="25">
        <v>90</v>
      </c>
      <c r="H70" s="25">
        <v>90</v>
      </c>
      <c r="I70" s="25">
        <v>90</v>
      </c>
      <c r="J70" s="25">
        <v>90</v>
      </c>
      <c r="K70" s="25">
        <v>90</v>
      </c>
      <c r="L70" s="25">
        <v>90</v>
      </c>
      <c r="M70" s="25">
        <v>90</v>
      </c>
      <c r="N70" s="25">
        <v>90</v>
      </c>
      <c r="O70" s="25">
        <v>90</v>
      </c>
      <c r="P70" s="25">
        <v>90</v>
      </c>
      <c r="Q70" s="25">
        <v>90</v>
      </c>
      <c r="R70" s="25">
        <v>90</v>
      </c>
      <c r="S70" s="25">
        <v>90</v>
      </c>
      <c r="T70" s="25">
        <v>90</v>
      </c>
      <c r="U70" s="25">
        <v>90</v>
      </c>
      <c r="V70" s="25">
        <v>90</v>
      </c>
      <c r="W70" s="25">
        <v>90</v>
      </c>
      <c r="X70" s="25">
        <v>90</v>
      </c>
      <c r="Y70" s="25">
        <v>90</v>
      </c>
      <c r="Z70" s="25">
        <v>90</v>
      </c>
      <c r="AA70" s="25">
        <v>90</v>
      </c>
      <c r="AB70" s="25">
        <v>90</v>
      </c>
      <c r="AC70" s="25">
        <v>90</v>
      </c>
      <c r="AD70" s="25">
        <v>90</v>
      </c>
      <c r="AE70" s="25">
        <v>90</v>
      </c>
      <c r="AF70" s="25">
        <v>90</v>
      </c>
      <c r="AG70" s="25">
        <v>90</v>
      </c>
      <c r="AH70" s="25">
        <v>90</v>
      </c>
      <c r="AI70" s="25">
        <v>90</v>
      </c>
      <c r="AJ70" s="25">
        <v>90</v>
      </c>
    </row>
    <row r="71" spans="1:36" x14ac:dyDescent="0.25">
      <c r="A71" t="s">
        <v>755</v>
      </c>
      <c r="B71" t="s">
        <v>305</v>
      </c>
      <c r="C71" s="25">
        <v>0</v>
      </c>
      <c r="D71" s="25">
        <v>0</v>
      </c>
      <c r="E71" s="25">
        <v>0</v>
      </c>
      <c r="F71" s="25">
        <v>0</v>
      </c>
      <c r="G71" s="25">
        <v>0</v>
      </c>
      <c r="H71" s="25">
        <v>0</v>
      </c>
      <c r="I71" s="25">
        <v>0</v>
      </c>
      <c r="J71" s="25">
        <v>0</v>
      </c>
      <c r="K71" s="25">
        <v>0</v>
      </c>
      <c r="L71" s="25">
        <v>0</v>
      </c>
      <c r="M71" s="25">
        <v>0</v>
      </c>
      <c r="N71" s="25">
        <v>0</v>
      </c>
      <c r="O71" s="25">
        <v>0</v>
      </c>
      <c r="P71" s="25">
        <v>0</v>
      </c>
      <c r="Q71" s="25">
        <v>0</v>
      </c>
      <c r="R71" s="25">
        <v>0</v>
      </c>
      <c r="S71" s="25">
        <v>0</v>
      </c>
      <c r="T71" s="25">
        <v>0</v>
      </c>
      <c r="U71" s="25">
        <v>0</v>
      </c>
      <c r="V71" s="25">
        <v>0</v>
      </c>
      <c r="W71" s="25">
        <v>0</v>
      </c>
      <c r="X71" s="25">
        <v>0</v>
      </c>
      <c r="Y71" s="25">
        <v>0</v>
      </c>
      <c r="Z71" s="25">
        <v>0</v>
      </c>
      <c r="AA71" s="25">
        <v>0</v>
      </c>
      <c r="AB71" s="25">
        <v>0</v>
      </c>
      <c r="AC71" s="25">
        <v>0</v>
      </c>
      <c r="AD71" s="25">
        <v>0</v>
      </c>
      <c r="AE71" s="25">
        <v>0</v>
      </c>
      <c r="AF71" s="25">
        <v>0</v>
      </c>
      <c r="AG71" s="25">
        <v>0</v>
      </c>
      <c r="AH71" s="25">
        <v>0</v>
      </c>
      <c r="AI71" s="25">
        <v>0</v>
      </c>
      <c r="AJ71" s="25">
        <v>0</v>
      </c>
    </row>
    <row r="72" spans="1:36" s="76" customFormat="1" x14ac:dyDescent="0.25">
      <c r="A72" s="76" t="s">
        <v>780</v>
      </c>
      <c r="C72" s="77">
        <f>+SUM(C61:C71)</f>
        <v>100</v>
      </c>
      <c r="D72" s="77">
        <f t="shared" ref="D72" si="100">+SUM(D61:D71)</f>
        <v>100</v>
      </c>
      <c r="E72" s="77">
        <f t="shared" ref="E72" si="101">+SUM(E61:E71)</f>
        <v>100</v>
      </c>
      <c r="F72" s="77">
        <f t="shared" ref="F72" si="102">+SUM(F61:F71)</f>
        <v>100</v>
      </c>
      <c r="G72" s="77">
        <f t="shared" ref="G72" si="103">+SUM(G61:G71)</f>
        <v>100</v>
      </c>
      <c r="H72" s="77">
        <f t="shared" ref="H72" si="104">+SUM(H61:H71)</f>
        <v>100</v>
      </c>
      <c r="I72" s="77">
        <f t="shared" ref="I72" si="105">+SUM(I61:I71)</f>
        <v>100</v>
      </c>
      <c r="J72" s="77">
        <f t="shared" ref="J72" si="106">+SUM(J61:J71)</f>
        <v>100</v>
      </c>
      <c r="K72" s="77">
        <f t="shared" ref="K72" si="107">+SUM(K61:K71)</f>
        <v>100</v>
      </c>
      <c r="L72" s="77">
        <f t="shared" ref="L72" si="108">+SUM(L61:L71)</f>
        <v>100</v>
      </c>
      <c r="M72" s="77">
        <f t="shared" ref="M72" si="109">+SUM(M61:M71)</f>
        <v>100</v>
      </c>
      <c r="N72" s="77">
        <f t="shared" ref="N72" si="110">+SUM(N61:N71)</f>
        <v>100</v>
      </c>
      <c r="O72" s="77">
        <f t="shared" ref="O72" si="111">+SUM(O61:O71)</f>
        <v>100</v>
      </c>
      <c r="P72" s="77">
        <f t="shared" ref="P72" si="112">+SUM(P61:P71)</f>
        <v>100</v>
      </c>
      <c r="Q72" s="77">
        <f t="shared" ref="Q72" si="113">+SUM(Q61:Q71)</f>
        <v>100</v>
      </c>
      <c r="R72" s="77">
        <f t="shared" ref="R72" si="114">+SUM(R61:R71)</f>
        <v>100</v>
      </c>
      <c r="S72" s="77">
        <f t="shared" ref="S72" si="115">+SUM(S61:S71)</f>
        <v>100</v>
      </c>
      <c r="T72" s="77">
        <f t="shared" ref="T72" si="116">+SUM(T61:T71)</f>
        <v>100</v>
      </c>
      <c r="U72" s="77">
        <f t="shared" ref="U72" si="117">+SUM(U61:U71)</f>
        <v>100</v>
      </c>
      <c r="V72" s="77">
        <f t="shared" ref="V72" si="118">+SUM(V61:V71)</f>
        <v>100</v>
      </c>
      <c r="W72" s="77">
        <f t="shared" ref="W72" si="119">+SUM(W61:W71)</f>
        <v>100</v>
      </c>
      <c r="X72" s="77">
        <f t="shared" ref="X72" si="120">+SUM(X61:X71)</f>
        <v>100</v>
      </c>
      <c r="Y72" s="77">
        <f t="shared" ref="Y72" si="121">+SUM(Y61:Y71)</f>
        <v>100</v>
      </c>
      <c r="Z72" s="77">
        <f t="shared" ref="Z72" si="122">+SUM(Z61:Z71)</f>
        <v>100</v>
      </c>
      <c r="AA72" s="77">
        <f t="shared" ref="AA72" si="123">+SUM(AA61:AA71)</f>
        <v>100</v>
      </c>
      <c r="AB72" s="77">
        <f t="shared" ref="AB72" si="124">+SUM(AB61:AB71)</f>
        <v>100</v>
      </c>
      <c r="AC72" s="77">
        <f t="shared" ref="AC72" si="125">+SUM(AC61:AC71)</f>
        <v>100</v>
      </c>
      <c r="AD72" s="77">
        <f t="shared" ref="AD72" si="126">+SUM(AD61:AD71)</f>
        <v>100</v>
      </c>
      <c r="AE72" s="77">
        <f t="shared" ref="AE72" si="127">+SUM(AE61:AE71)</f>
        <v>100</v>
      </c>
      <c r="AF72" s="77">
        <f t="shared" ref="AF72" si="128">+SUM(AF61:AF71)</f>
        <v>100</v>
      </c>
      <c r="AG72" s="77">
        <f t="shared" ref="AG72" si="129">+SUM(AG61:AG71)</f>
        <v>100</v>
      </c>
      <c r="AH72" s="77">
        <f t="shared" ref="AH72" si="130">+SUM(AH61:AH71)</f>
        <v>100</v>
      </c>
      <c r="AI72" s="77">
        <f t="shared" ref="AI72" si="131">+SUM(AI61:AI71)</f>
        <v>100</v>
      </c>
      <c r="AJ72" s="77">
        <f t="shared" ref="AJ72" si="132">+SUM(AJ61:AJ71)</f>
        <v>100</v>
      </c>
    </row>
    <row r="73" spans="1:36" x14ac:dyDescent="0.25">
      <c r="A73" s="75" t="s">
        <v>499</v>
      </c>
      <c r="B73" t="s">
        <v>305</v>
      </c>
      <c r="C73" s="25">
        <v>3</v>
      </c>
      <c r="D73" s="25">
        <v>3</v>
      </c>
      <c r="E73" s="25">
        <v>3</v>
      </c>
      <c r="F73" s="25">
        <v>3</v>
      </c>
      <c r="G73" s="25">
        <v>3</v>
      </c>
      <c r="H73" s="25">
        <v>3</v>
      </c>
      <c r="I73" s="25">
        <v>3</v>
      </c>
      <c r="J73" s="25">
        <v>3</v>
      </c>
      <c r="K73" s="25">
        <v>3</v>
      </c>
      <c r="L73" s="25">
        <v>3</v>
      </c>
      <c r="M73" s="25">
        <v>3</v>
      </c>
      <c r="N73" s="25">
        <v>3</v>
      </c>
      <c r="O73" s="25">
        <v>3</v>
      </c>
      <c r="P73" s="25">
        <v>3</v>
      </c>
      <c r="Q73" s="25">
        <v>3</v>
      </c>
      <c r="R73" s="25">
        <v>3</v>
      </c>
      <c r="S73" s="25">
        <v>3</v>
      </c>
      <c r="T73" s="25">
        <v>3</v>
      </c>
      <c r="U73" s="25">
        <v>3</v>
      </c>
      <c r="V73" s="25">
        <v>3</v>
      </c>
      <c r="W73" s="25">
        <v>3</v>
      </c>
      <c r="X73" s="25">
        <v>3</v>
      </c>
      <c r="Y73" s="25">
        <v>3</v>
      </c>
      <c r="Z73" s="25">
        <v>3</v>
      </c>
      <c r="AA73" s="25">
        <v>3</v>
      </c>
      <c r="AB73" s="25">
        <v>3</v>
      </c>
      <c r="AC73" s="25">
        <v>3</v>
      </c>
      <c r="AD73" s="25">
        <v>3</v>
      </c>
      <c r="AE73" s="25">
        <v>3</v>
      </c>
      <c r="AF73" s="25">
        <v>3</v>
      </c>
      <c r="AG73" s="25">
        <v>3</v>
      </c>
      <c r="AH73" s="25">
        <v>3</v>
      </c>
      <c r="AI73" s="25">
        <v>3</v>
      </c>
      <c r="AJ73" s="25">
        <v>3</v>
      </c>
    </row>
    <row r="74" spans="1:36" x14ac:dyDescent="0.25">
      <c r="A74" s="75" t="s">
        <v>500</v>
      </c>
      <c r="B74" t="s">
        <v>305</v>
      </c>
      <c r="C74" s="25">
        <v>3</v>
      </c>
      <c r="D74" s="25">
        <v>3</v>
      </c>
      <c r="E74" s="25">
        <v>3</v>
      </c>
      <c r="F74" s="25">
        <v>3</v>
      </c>
      <c r="G74" s="25">
        <v>3</v>
      </c>
      <c r="H74" s="25">
        <v>3</v>
      </c>
      <c r="I74" s="25">
        <v>3</v>
      </c>
      <c r="J74" s="25">
        <v>3</v>
      </c>
      <c r="K74" s="25">
        <v>3</v>
      </c>
      <c r="L74" s="25">
        <v>3</v>
      </c>
      <c r="M74" s="25">
        <v>3</v>
      </c>
      <c r="N74" s="25">
        <v>3</v>
      </c>
      <c r="O74" s="25">
        <v>3</v>
      </c>
      <c r="P74" s="25">
        <v>3</v>
      </c>
      <c r="Q74" s="25">
        <v>3</v>
      </c>
      <c r="R74" s="25">
        <v>3</v>
      </c>
      <c r="S74" s="25">
        <v>3</v>
      </c>
      <c r="T74" s="25">
        <v>3</v>
      </c>
      <c r="U74" s="25">
        <v>3</v>
      </c>
      <c r="V74" s="25">
        <v>3</v>
      </c>
      <c r="W74" s="25">
        <v>3</v>
      </c>
      <c r="X74" s="25">
        <v>3</v>
      </c>
      <c r="Y74" s="25">
        <v>3</v>
      </c>
      <c r="Z74" s="25">
        <v>3</v>
      </c>
      <c r="AA74" s="25">
        <v>3</v>
      </c>
      <c r="AB74" s="25">
        <v>3</v>
      </c>
      <c r="AC74" s="25">
        <v>3</v>
      </c>
      <c r="AD74" s="25">
        <v>3</v>
      </c>
      <c r="AE74" s="25">
        <v>3</v>
      </c>
      <c r="AF74" s="25">
        <v>3</v>
      </c>
      <c r="AG74" s="25">
        <v>3</v>
      </c>
      <c r="AH74" s="25">
        <v>3</v>
      </c>
      <c r="AI74" s="25">
        <v>3</v>
      </c>
      <c r="AJ74" s="25">
        <v>3</v>
      </c>
    </row>
    <row r="75" spans="1:36" x14ac:dyDescent="0.25">
      <c r="A75" s="75" t="s">
        <v>501</v>
      </c>
      <c r="B75" t="s">
        <v>305</v>
      </c>
      <c r="C75" s="25">
        <v>86</v>
      </c>
      <c r="D75" s="25">
        <v>86</v>
      </c>
      <c r="E75" s="25">
        <v>86</v>
      </c>
      <c r="F75" s="25">
        <v>86</v>
      </c>
      <c r="G75" s="25">
        <v>86</v>
      </c>
      <c r="H75" s="25">
        <v>86</v>
      </c>
      <c r="I75" s="25">
        <v>86</v>
      </c>
      <c r="J75" s="25">
        <v>86</v>
      </c>
      <c r="K75" s="25">
        <v>86</v>
      </c>
      <c r="L75" s="25">
        <v>86</v>
      </c>
      <c r="M75" s="25">
        <v>86</v>
      </c>
      <c r="N75" s="25">
        <v>86</v>
      </c>
      <c r="O75" s="25">
        <v>86</v>
      </c>
      <c r="P75" s="25">
        <v>86</v>
      </c>
      <c r="Q75" s="25">
        <v>86</v>
      </c>
      <c r="R75" s="25">
        <v>86</v>
      </c>
      <c r="S75" s="25">
        <v>86</v>
      </c>
      <c r="T75" s="25">
        <v>86</v>
      </c>
      <c r="U75" s="25">
        <v>86</v>
      </c>
      <c r="V75" s="25">
        <v>86</v>
      </c>
      <c r="W75" s="25">
        <v>86</v>
      </c>
      <c r="X75" s="25">
        <v>86</v>
      </c>
      <c r="Y75" s="25">
        <v>86</v>
      </c>
      <c r="Z75" s="25">
        <v>86</v>
      </c>
      <c r="AA75" s="25">
        <v>86</v>
      </c>
      <c r="AB75" s="25">
        <v>86</v>
      </c>
      <c r="AC75" s="25">
        <v>86</v>
      </c>
      <c r="AD75" s="25">
        <v>86</v>
      </c>
      <c r="AE75" s="25">
        <v>86</v>
      </c>
      <c r="AF75" s="25">
        <v>86</v>
      </c>
      <c r="AG75" s="25">
        <v>86</v>
      </c>
      <c r="AH75" s="25">
        <v>86</v>
      </c>
      <c r="AI75" s="25">
        <v>86</v>
      </c>
      <c r="AJ75" s="25">
        <v>86</v>
      </c>
    </row>
    <row r="76" spans="1:36" x14ac:dyDescent="0.25">
      <c r="A76" s="75" t="s">
        <v>502</v>
      </c>
      <c r="B76" t="s">
        <v>305</v>
      </c>
      <c r="C76" s="25">
        <v>0</v>
      </c>
      <c r="D76" s="25">
        <v>0</v>
      </c>
      <c r="E76" s="25">
        <v>0</v>
      </c>
      <c r="F76" s="25">
        <v>0</v>
      </c>
      <c r="G76" s="25">
        <v>0</v>
      </c>
      <c r="H76" s="25">
        <v>0</v>
      </c>
      <c r="I76" s="25">
        <v>0</v>
      </c>
      <c r="J76" s="25">
        <v>0</v>
      </c>
      <c r="K76" s="25">
        <v>0</v>
      </c>
      <c r="L76" s="25">
        <v>0</v>
      </c>
      <c r="M76" s="25">
        <v>0</v>
      </c>
      <c r="N76" s="25">
        <v>0</v>
      </c>
      <c r="O76" s="25">
        <v>0</v>
      </c>
      <c r="P76" s="25">
        <v>0</v>
      </c>
      <c r="Q76" s="25">
        <v>0</v>
      </c>
      <c r="R76" s="25">
        <v>0</v>
      </c>
      <c r="S76" s="25">
        <v>0</v>
      </c>
      <c r="T76" s="25">
        <v>0</v>
      </c>
      <c r="U76" s="25">
        <v>0</v>
      </c>
      <c r="V76" s="25">
        <v>0</v>
      </c>
      <c r="W76" s="25">
        <v>0</v>
      </c>
      <c r="X76" s="25">
        <v>0</v>
      </c>
      <c r="Y76" s="25">
        <v>0</v>
      </c>
      <c r="Z76" s="25">
        <v>0</v>
      </c>
      <c r="AA76" s="25">
        <v>0</v>
      </c>
      <c r="AB76" s="25">
        <v>0</v>
      </c>
      <c r="AC76" s="25">
        <v>0</v>
      </c>
      <c r="AD76" s="25">
        <v>0</v>
      </c>
      <c r="AE76" s="25">
        <v>0</v>
      </c>
      <c r="AF76" s="25">
        <v>0</v>
      </c>
      <c r="AG76" s="25">
        <v>0</v>
      </c>
      <c r="AH76" s="25">
        <v>0</v>
      </c>
      <c r="AI76" s="25">
        <v>0</v>
      </c>
      <c r="AJ76" s="25">
        <v>0</v>
      </c>
    </row>
    <row r="77" spans="1:36" x14ac:dyDescent="0.25">
      <c r="A77" s="75" t="s">
        <v>503</v>
      </c>
      <c r="B77" t="s">
        <v>305</v>
      </c>
      <c r="C77" s="25">
        <v>3</v>
      </c>
      <c r="D77" s="25">
        <v>3</v>
      </c>
      <c r="E77" s="25">
        <v>3</v>
      </c>
      <c r="F77" s="25">
        <v>3</v>
      </c>
      <c r="G77" s="25">
        <v>3</v>
      </c>
      <c r="H77" s="25">
        <v>3</v>
      </c>
      <c r="I77" s="25">
        <v>3</v>
      </c>
      <c r="J77" s="25">
        <v>3</v>
      </c>
      <c r="K77" s="25">
        <v>3</v>
      </c>
      <c r="L77" s="25">
        <v>3</v>
      </c>
      <c r="M77" s="25">
        <v>3</v>
      </c>
      <c r="N77" s="25">
        <v>3</v>
      </c>
      <c r="O77" s="25">
        <v>3</v>
      </c>
      <c r="P77" s="25">
        <v>3</v>
      </c>
      <c r="Q77" s="25">
        <v>3</v>
      </c>
      <c r="R77" s="25">
        <v>3</v>
      </c>
      <c r="S77" s="25">
        <v>3</v>
      </c>
      <c r="T77" s="25">
        <v>3</v>
      </c>
      <c r="U77" s="25">
        <v>3</v>
      </c>
      <c r="V77" s="25">
        <v>3</v>
      </c>
      <c r="W77" s="25">
        <v>3</v>
      </c>
      <c r="X77" s="25">
        <v>3</v>
      </c>
      <c r="Y77" s="25">
        <v>3</v>
      </c>
      <c r="Z77" s="25">
        <v>3</v>
      </c>
      <c r="AA77" s="25">
        <v>3</v>
      </c>
      <c r="AB77" s="25">
        <v>3</v>
      </c>
      <c r="AC77" s="25">
        <v>3</v>
      </c>
      <c r="AD77" s="25">
        <v>3</v>
      </c>
      <c r="AE77" s="25">
        <v>3</v>
      </c>
      <c r="AF77" s="25">
        <v>3</v>
      </c>
      <c r="AG77" s="25">
        <v>3</v>
      </c>
      <c r="AH77" s="25">
        <v>3</v>
      </c>
      <c r="AI77" s="25">
        <v>3</v>
      </c>
      <c r="AJ77" s="25">
        <v>3</v>
      </c>
    </row>
    <row r="78" spans="1:36" x14ac:dyDescent="0.25">
      <c r="A78" s="75" t="s">
        <v>504</v>
      </c>
      <c r="B78" t="s">
        <v>305</v>
      </c>
      <c r="C78" s="25">
        <v>5</v>
      </c>
      <c r="D78" s="25">
        <v>5</v>
      </c>
      <c r="E78" s="25">
        <v>5</v>
      </c>
      <c r="F78" s="25">
        <v>5</v>
      </c>
      <c r="G78" s="25">
        <v>5</v>
      </c>
      <c r="H78" s="25">
        <v>5</v>
      </c>
      <c r="I78" s="25">
        <v>5</v>
      </c>
      <c r="J78" s="25">
        <v>5</v>
      </c>
      <c r="K78" s="25">
        <v>5</v>
      </c>
      <c r="L78" s="25">
        <v>5</v>
      </c>
      <c r="M78" s="25">
        <v>5</v>
      </c>
      <c r="N78" s="25">
        <v>5</v>
      </c>
      <c r="O78" s="25">
        <v>5</v>
      </c>
      <c r="P78" s="25">
        <v>5</v>
      </c>
      <c r="Q78" s="25">
        <v>5</v>
      </c>
      <c r="R78" s="25">
        <v>5</v>
      </c>
      <c r="S78" s="25">
        <v>5</v>
      </c>
      <c r="T78" s="25">
        <v>5</v>
      </c>
      <c r="U78" s="25">
        <v>5</v>
      </c>
      <c r="V78" s="25">
        <v>5</v>
      </c>
      <c r="W78" s="25">
        <v>5</v>
      </c>
      <c r="X78" s="25">
        <v>5</v>
      </c>
      <c r="Y78" s="25">
        <v>5</v>
      </c>
      <c r="Z78" s="25">
        <v>5</v>
      </c>
      <c r="AA78" s="25">
        <v>5</v>
      </c>
      <c r="AB78" s="25">
        <v>5</v>
      </c>
      <c r="AC78" s="25">
        <v>5</v>
      </c>
      <c r="AD78" s="25">
        <v>5</v>
      </c>
      <c r="AE78" s="25">
        <v>5</v>
      </c>
      <c r="AF78" s="25">
        <v>5</v>
      </c>
      <c r="AG78" s="25">
        <v>5</v>
      </c>
      <c r="AH78" s="25">
        <v>5</v>
      </c>
      <c r="AI78" s="25">
        <v>5</v>
      </c>
      <c r="AJ78" s="25">
        <v>5</v>
      </c>
    </row>
    <row r="79" spans="1:36" x14ac:dyDescent="0.25">
      <c r="A79" s="75" t="s">
        <v>505</v>
      </c>
      <c r="B79" t="s">
        <v>305</v>
      </c>
      <c r="C79" s="25">
        <v>0</v>
      </c>
      <c r="D79" s="25">
        <v>0</v>
      </c>
      <c r="E79" s="25">
        <v>0</v>
      </c>
      <c r="F79" s="25">
        <v>0</v>
      </c>
      <c r="G79" s="25">
        <v>0</v>
      </c>
      <c r="H79" s="25">
        <v>0</v>
      </c>
      <c r="I79" s="25">
        <v>0</v>
      </c>
      <c r="J79" s="25">
        <v>0</v>
      </c>
      <c r="K79" s="25">
        <v>0</v>
      </c>
      <c r="L79" s="25">
        <v>0</v>
      </c>
      <c r="M79" s="25">
        <v>0</v>
      </c>
      <c r="N79" s="25">
        <v>0</v>
      </c>
      <c r="O79" s="25">
        <v>0</v>
      </c>
      <c r="P79" s="25">
        <v>0</v>
      </c>
      <c r="Q79" s="25">
        <v>0</v>
      </c>
      <c r="R79" s="25">
        <v>0</v>
      </c>
      <c r="S79" s="25">
        <v>0</v>
      </c>
      <c r="T79" s="25">
        <v>0</v>
      </c>
      <c r="U79" s="25">
        <v>0</v>
      </c>
      <c r="V79" s="25">
        <v>0</v>
      </c>
      <c r="W79" s="25">
        <v>0</v>
      </c>
      <c r="X79" s="25">
        <v>0</v>
      </c>
      <c r="Y79" s="25">
        <v>0</v>
      </c>
      <c r="Z79" s="25">
        <v>0</v>
      </c>
      <c r="AA79" s="25">
        <v>0</v>
      </c>
      <c r="AB79" s="25">
        <v>0</v>
      </c>
      <c r="AC79" s="25">
        <v>0</v>
      </c>
      <c r="AD79" s="25">
        <v>0</v>
      </c>
      <c r="AE79" s="25">
        <v>0</v>
      </c>
      <c r="AF79" s="25">
        <v>0</v>
      </c>
      <c r="AG79" s="25">
        <v>0</v>
      </c>
      <c r="AH79" s="25">
        <v>0</v>
      </c>
      <c r="AI79" s="25">
        <v>0</v>
      </c>
      <c r="AJ79" s="25">
        <v>0</v>
      </c>
    </row>
    <row r="80" spans="1:36" x14ac:dyDescent="0.25">
      <c r="A80" s="75" t="s">
        <v>506</v>
      </c>
      <c r="B80" t="s">
        <v>305</v>
      </c>
      <c r="C80" s="25">
        <v>0</v>
      </c>
      <c r="D80" s="25">
        <v>0</v>
      </c>
      <c r="E80" s="25">
        <v>0</v>
      </c>
      <c r="F80" s="25">
        <v>0</v>
      </c>
      <c r="G80" s="25">
        <v>0</v>
      </c>
      <c r="H80" s="25">
        <v>0</v>
      </c>
      <c r="I80" s="25">
        <v>0</v>
      </c>
      <c r="J80" s="25">
        <v>0</v>
      </c>
      <c r="K80" s="25">
        <v>0</v>
      </c>
      <c r="L80" s="25">
        <v>0</v>
      </c>
      <c r="M80" s="25">
        <v>0</v>
      </c>
      <c r="N80" s="25">
        <v>0</v>
      </c>
      <c r="O80" s="25">
        <v>0</v>
      </c>
      <c r="P80" s="25">
        <v>0</v>
      </c>
      <c r="Q80" s="25">
        <v>0</v>
      </c>
      <c r="R80" s="25">
        <v>0</v>
      </c>
      <c r="S80" s="25">
        <v>0</v>
      </c>
      <c r="T80" s="25">
        <v>0</v>
      </c>
      <c r="U80" s="25">
        <v>0</v>
      </c>
      <c r="V80" s="25">
        <v>0</v>
      </c>
      <c r="W80" s="25">
        <v>0</v>
      </c>
      <c r="X80" s="25">
        <v>0</v>
      </c>
      <c r="Y80" s="25">
        <v>0</v>
      </c>
      <c r="Z80" s="25">
        <v>0</v>
      </c>
      <c r="AA80" s="25">
        <v>0</v>
      </c>
      <c r="AB80" s="25">
        <v>0</v>
      </c>
      <c r="AC80" s="25">
        <v>0</v>
      </c>
      <c r="AD80" s="25">
        <v>0</v>
      </c>
      <c r="AE80" s="25">
        <v>0</v>
      </c>
      <c r="AF80" s="25">
        <v>0</v>
      </c>
      <c r="AG80" s="25">
        <v>0</v>
      </c>
      <c r="AH80" s="25">
        <v>0</v>
      </c>
      <c r="AI80" s="25">
        <v>0</v>
      </c>
      <c r="AJ80" s="25">
        <v>0</v>
      </c>
    </row>
    <row r="81" spans="1:36" x14ac:dyDescent="0.25">
      <c r="A81" s="75" t="s">
        <v>507</v>
      </c>
      <c r="B81" t="s">
        <v>305</v>
      </c>
      <c r="C81" s="25">
        <v>0</v>
      </c>
      <c r="D81" s="25">
        <v>0</v>
      </c>
      <c r="E81" s="25">
        <v>0</v>
      </c>
      <c r="F81" s="25">
        <v>0</v>
      </c>
      <c r="G81" s="25">
        <v>0</v>
      </c>
      <c r="H81" s="25">
        <v>0</v>
      </c>
      <c r="I81" s="25">
        <v>0</v>
      </c>
      <c r="J81" s="25">
        <v>0</v>
      </c>
      <c r="K81" s="25">
        <v>0</v>
      </c>
      <c r="L81" s="25">
        <v>0</v>
      </c>
      <c r="M81" s="25">
        <v>0</v>
      </c>
      <c r="N81" s="25">
        <v>0</v>
      </c>
      <c r="O81" s="25">
        <v>0</v>
      </c>
      <c r="P81" s="25">
        <v>0</v>
      </c>
      <c r="Q81" s="25">
        <v>0</v>
      </c>
      <c r="R81" s="25">
        <v>0</v>
      </c>
      <c r="S81" s="25">
        <v>0</v>
      </c>
      <c r="T81" s="25">
        <v>0</v>
      </c>
      <c r="U81" s="25">
        <v>0</v>
      </c>
      <c r="V81" s="25">
        <v>0</v>
      </c>
      <c r="W81" s="25">
        <v>0</v>
      </c>
      <c r="X81" s="25">
        <v>0</v>
      </c>
      <c r="Y81" s="25">
        <v>0</v>
      </c>
      <c r="Z81" s="25">
        <v>0</v>
      </c>
      <c r="AA81" s="25">
        <v>0</v>
      </c>
      <c r="AB81" s="25">
        <v>0</v>
      </c>
      <c r="AC81" s="25">
        <v>0</v>
      </c>
      <c r="AD81" s="25">
        <v>0</v>
      </c>
      <c r="AE81" s="25">
        <v>0</v>
      </c>
      <c r="AF81" s="25">
        <v>0</v>
      </c>
      <c r="AG81" s="25">
        <v>0</v>
      </c>
      <c r="AH81" s="25">
        <v>0</v>
      </c>
      <c r="AI81" s="25">
        <v>0</v>
      </c>
      <c r="AJ81" s="25">
        <v>0</v>
      </c>
    </row>
    <row r="82" spans="1:36" x14ac:dyDescent="0.25">
      <c r="A82" s="75" t="s">
        <v>508</v>
      </c>
      <c r="B82" t="s">
        <v>305</v>
      </c>
      <c r="C82" s="25">
        <v>0</v>
      </c>
      <c r="D82" s="25">
        <v>0</v>
      </c>
      <c r="E82" s="25">
        <v>0</v>
      </c>
      <c r="F82" s="25">
        <v>0</v>
      </c>
      <c r="G82" s="25">
        <v>0</v>
      </c>
      <c r="H82" s="25">
        <v>0</v>
      </c>
      <c r="I82" s="25">
        <v>0</v>
      </c>
      <c r="J82" s="25">
        <v>0</v>
      </c>
      <c r="K82" s="25">
        <v>0</v>
      </c>
      <c r="L82" s="25">
        <v>0</v>
      </c>
      <c r="M82" s="25">
        <v>0</v>
      </c>
      <c r="N82" s="25">
        <v>0</v>
      </c>
      <c r="O82" s="25">
        <v>0</v>
      </c>
      <c r="P82" s="25">
        <v>0</v>
      </c>
      <c r="Q82" s="25">
        <v>0</v>
      </c>
      <c r="R82" s="25">
        <v>0</v>
      </c>
      <c r="S82" s="25">
        <v>0</v>
      </c>
      <c r="T82" s="25">
        <v>0</v>
      </c>
      <c r="U82" s="25">
        <v>0</v>
      </c>
      <c r="V82" s="25">
        <v>0</v>
      </c>
      <c r="W82" s="25">
        <v>0</v>
      </c>
      <c r="X82" s="25">
        <v>0</v>
      </c>
      <c r="Y82" s="25">
        <v>0</v>
      </c>
      <c r="Z82" s="25">
        <v>0</v>
      </c>
      <c r="AA82" s="25">
        <v>0</v>
      </c>
      <c r="AB82" s="25">
        <v>0</v>
      </c>
      <c r="AC82" s="25">
        <v>0</v>
      </c>
      <c r="AD82" s="25">
        <v>0</v>
      </c>
      <c r="AE82" s="25">
        <v>0</v>
      </c>
      <c r="AF82" s="25">
        <v>0</v>
      </c>
      <c r="AG82" s="25">
        <v>0</v>
      </c>
      <c r="AH82" s="25">
        <v>0</v>
      </c>
      <c r="AI82" s="25">
        <v>0</v>
      </c>
      <c r="AJ82" s="25">
        <v>0</v>
      </c>
    </row>
    <row r="83" spans="1:36" x14ac:dyDescent="0.25">
      <c r="A83" s="75" t="s">
        <v>756</v>
      </c>
      <c r="B83" t="s">
        <v>305</v>
      </c>
      <c r="C83" s="25">
        <v>0</v>
      </c>
      <c r="D83" s="25">
        <v>0</v>
      </c>
      <c r="E83" s="25">
        <v>0</v>
      </c>
      <c r="F83" s="25">
        <v>0</v>
      </c>
      <c r="G83" s="25">
        <v>0</v>
      </c>
      <c r="H83" s="25">
        <v>0</v>
      </c>
      <c r="I83" s="25">
        <v>0</v>
      </c>
      <c r="J83" s="25">
        <v>0</v>
      </c>
      <c r="K83" s="25">
        <v>0</v>
      </c>
      <c r="L83" s="25">
        <v>0</v>
      </c>
      <c r="M83" s="25">
        <v>0</v>
      </c>
      <c r="N83" s="25">
        <v>0</v>
      </c>
      <c r="O83" s="25">
        <v>0</v>
      </c>
      <c r="P83" s="25">
        <v>0</v>
      </c>
      <c r="Q83" s="25">
        <v>0</v>
      </c>
      <c r="R83" s="25">
        <v>0</v>
      </c>
      <c r="S83" s="25">
        <v>0</v>
      </c>
      <c r="T83" s="25">
        <v>0</v>
      </c>
      <c r="U83" s="25">
        <v>0</v>
      </c>
      <c r="V83" s="25">
        <v>0</v>
      </c>
      <c r="W83" s="25">
        <v>0</v>
      </c>
      <c r="X83" s="25">
        <v>0</v>
      </c>
      <c r="Y83" s="25">
        <v>0</v>
      </c>
      <c r="Z83" s="25">
        <v>0</v>
      </c>
      <c r="AA83" s="25">
        <v>0</v>
      </c>
      <c r="AB83" s="25">
        <v>0</v>
      </c>
      <c r="AC83" s="25">
        <v>0</v>
      </c>
      <c r="AD83" s="25">
        <v>0</v>
      </c>
      <c r="AE83" s="25">
        <v>0</v>
      </c>
      <c r="AF83" s="25">
        <v>0</v>
      </c>
      <c r="AG83" s="25">
        <v>0</v>
      </c>
      <c r="AH83" s="25">
        <v>0</v>
      </c>
      <c r="AI83" s="25">
        <v>0</v>
      </c>
      <c r="AJ83" s="25">
        <v>0</v>
      </c>
    </row>
    <row r="84" spans="1:36" s="76" customFormat="1" x14ac:dyDescent="0.25">
      <c r="A84" s="76" t="s">
        <v>780</v>
      </c>
      <c r="C84" s="77">
        <f>+SUM(C73:C83)</f>
        <v>100</v>
      </c>
      <c r="D84" s="77">
        <f t="shared" ref="D84" si="133">+SUM(D73:D83)</f>
        <v>100</v>
      </c>
      <c r="E84" s="77">
        <f t="shared" ref="E84" si="134">+SUM(E73:E83)</f>
        <v>100</v>
      </c>
      <c r="F84" s="77">
        <f t="shared" ref="F84" si="135">+SUM(F73:F83)</f>
        <v>100</v>
      </c>
      <c r="G84" s="77">
        <f t="shared" ref="G84" si="136">+SUM(G73:G83)</f>
        <v>100</v>
      </c>
      <c r="H84" s="77">
        <f t="shared" ref="H84" si="137">+SUM(H73:H83)</f>
        <v>100</v>
      </c>
      <c r="I84" s="77">
        <f t="shared" ref="I84" si="138">+SUM(I73:I83)</f>
        <v>100</v>
      </c>
      <c r="J84" s="77">
        <f t="shared" ref="J84" si="139">+SUM(J73:J83)</f>
        <v>100</v>
      </c>
      <c r="K84" s="77">
        <f t="shared" ref="K84" si="140">+SUM(K73:K83)</f>
        <v>100</v>
      </c>
      <c r="L84" s="77">
        <f t="shared" ref="L84" si="141">+SUM(L73:L83)</f>
        <v>100</v>
      </c>
      <c r="M84" s="77">
        <f t="shared" ref="M84" si="142">+SUM(M73:M83)</f>
        <v>100</v>
      </c>
      <c r="N84" s="77">
        <f t="shared" ref="N84" si="143">+SUM(N73:N83)</f>
        <v>100</v>
      </c>
      <c r="O84" s="77">
        <f t="shared" ref="O84" si="144">+SUM(O73:O83)</f>
        <v>100</v>
      </c>
      <c r="P84" s="77">
        <f t="shared" ref="P84" si="145">+SUM(P73:P83)</f>
        <v>100</v>
      </c>
      <c r="Q84" s="77">
        <f t="shared" ref="Q84" si="146">+SUM(Q73:Q83)</f>
        <v>100</v>
      </c>
      <c r="R84" s="77">
        <f t="shared" ref="R84" si="147">+SUM(R73:R83)</f>
        <v>100</v>
      </c>
      <c r="S84" s="77">
        <f t="shared" ref="S84" si="148">+SUM(S73:S83)</f>
        <v>100</v>
      </c>
      <c r="T84" s="77">
        <f t="shared" ref="T84" si="149">+SUM(T73:T83)</f>
        <v>100</v>
      </c>
      <c r="U84" s="77">
        <f t="shared" ref="U84" si="150">+SUM(U73:U83)</f>
        <v>100</v>
      </c>
      <c r="V84" s="77">
        <f t="shared" ref="V84" si="151">+SUM(V73:V83)</f>
        <v>100</v>
      </c>
      <c r="W84" s="77">
        <f t="shared" ref="W84" si="152">+SUM(W73:W83)</f>
        <v>100</v>
      </c>
      <c r="X84" s="77">
        <f t="shared" ref="X84" si="153">+SUM(X73:X83)</f>
        <v>100</v>
      </c>
      <c r="Y84" s="77">
        <f t="shared" ref="Y84" si="154">+SUM(Y73:Y83)</f>
        <v>100</v>
      </c>
      <c r="Z84" s="77">
        <f t="shared" ref="Z84" si="155">+SUM(Z73:Z83)</f>
        <v>100</v>
      </c>
      <c r="AA84" s="77">
        <f t="shared" ref="AA84" si="156">+SUM(AA73:AA83)</f>
        <v>100</v>
      </c>
      <c r="AB84" s="77">
        <f t="shared" ref="AB84" si="157">+SUM(AB73:AB83)</f>
        <v>100</v>
      </c>
      <c r="AC84" s="77">
        <f t="shared" ref="AC84" si="158">+SUM(AC73:AC83)</f>
        <v>100</v>
      </c>
      <c r="AD84" s="77">
        <f t="shared" ref="AD84" si="159">+SUM(AD73:AD83)</f>
        <v>100</v>
      </c>
      <c r="AE84" s="77">
        <f t="shared" ref="AE84" si="160">+SUM(AE73:AE83)</f>
        <v>100</v>
      </c>
      <c r="AF84" s="77">
        <f t="shared" ref="AF84" si="161">+SUM(AF73:AF83)</f>
        <v>100</v>
      </c>
      <c r="AG84" s="77">
        <f t="shared" ref="AG84" si="162">+SUM(AG73:AG83)</f>
        <v>100</v>
      </c>
      <c r="AH84" s="77">
        <f t="shared" ref="AH84" si="163">+SUM(AH73:AH83)</f>
        <v>100</v>
      </c>
      <c r="AI84" s="77">
        <f t="shared" ref="AI84" si="164">+SUM(AI73:AI83)</f>
        <v>100</v>
      </c>
      <c r="AJ84" s="77">
        <f t="shared" ref="AJ84" si="165">+SUM(AJ73:AJ83)</f>
        <v>100</v>
      </c>
    </row>
    <row r="85" spans="1:36" s="74" customFormat="1" ht="15.75" x14ac:dyDescent="0.25">
      <c r="A85" s="72" t="s">
        <v>773</v>
      </c>
      <c r="B85" s="73"/>
      <c r="C85" s="72"/>
      <c r="D85" s="72"/>
      <c r="E85" s="72"/>
      <c r="F85" s="72"/>
      <c r="G85" s="72"/>
      <c r="H85" s="72"/>
      <c r="I85" s="72"/>
      <c r="J85" s="72"/>
      <c r="K85" s="72"/>
      <c r="L85" s="72"/>
      <c r="M85" s="72"/>
      <c r="N85" s="72"/>
      <c r="O85" s="72"/>
      <c r="P85" s="72"/>
      <c r="Q85" s="72"/>
      <c r="R85" s="72"/>
      <c r="S85" s="72"/>
      <c r="T85" s="72"/>
      <c r="U85" s="72"/>
      <c r="V85" s="72"/>
      <c r="W85" s="72"/>
      <c r="X85" s="72"/>
      <c r="Y85" s="72"/>
      <c r="Z85" s="72"/>
      <c r="AA85" s="72"/>
      <c r="AB85" s="72"/>
      <c r="AC85" s="72"/>
      <c r="AD85" s="72"/>
      <c r="AE85" s="72"/>
      <c r="AF85" s="72"/>
      <c r="AG85" s="72"/>
      <c r="AH85" s="72"/>
      <c r="AI85" s="72"/>
      <c r="AJ85" s="72"/>
    </row>
    <row r="86" spans="1:36" x14ac:dyDescent="0.25">
      <c r="A86" t="s">
        <v>509</v>
      </c>
      <c r="B86" t="s">
        <v>305</v>
      </c>
      <c r="C86" s="25">
        <v>0</v>
      </c>
      <c r="D86" s="25">
        <v>0</v>
      </c>
      <c r="E86" s="25">
        <v>0</v>
      </c>
      <c r="F86" s="25">
        <v>0</v>
      </c>
      <c r="G86" s="25">
        <v>0</v>
      </c>
      <c r="H86" s="25">
        <v>0</v>
      </c>
      <c r="I86" s="25">
        <v>0</v>
      </c>
      <c r="J86" s="25">
        <v>0</v>
      </c>
      <c r="K86" s="25">
        <v>0</v>
      </c>
      <c r="L86" s="25">
        <v>0</v>
      </c>
      <c r="M86" s="25">
        <v>0</v>
      </c>
      <c r="N86" s="25">
        <v>0</v>
      </c>
      <c r="O86" s="25">
        <v>0</v>
      </c>
      <c r="P86" s="25">
        <v>0</v>
      </c>
      <c r="Q86" s="25">
        <v>0</v>
      </c>
      <c r="R86" s="25">
        <v>0</v>
      </c>
      <c r="S86" s="25">
        <v>0</v>
      </c>
      <c r="T86" s="25">
        <v>0</v>
      </c>
      <c r="U86" s="25">
        <v>0</v>
      </c>
      <c r="V86" s="25">
        <v>0</v>
      </c>
      <c r="W86" s="25">
        <v>0</v>
      </c>
      <c r="X86" s="25">
        <v>0</v>
      </c>
      <c r="Y86" s="25">
        <v>0</v>
      </c>
      <c r="Z86" s="25">
        <v>0</v>
      </c>
      <c r="AA86" s="25">
        <v>0</v>
      </c>
      <c r="AB86" s="25">
        <v>0</v>
      </c>
      <c r="AC86" s="25">
        <v>0</v>
      </c>
      <c r="AD86" s="25">
        <v>0</v>
      </c>
      <c r="AE86" s="25">
        <v>0</v>
      </c>
      <c r="AF86" s="25">
        <v>0</v>
      </c>
      <c r="AG86" s="25">
        <v>0</v>
      </c>
      <c r="AH86" s="25">
        <v>0</v>
      </c>
      <c r="AI86" s="25">
        <v>0</v>
      </c>
      <c r="AJ86" s="25">
        <v>0</v>
      </c>
    </row>
    <row r="87" spans="1:36" x14ac:dyDescent="0.25">
      <c r="A87" t="s">
        <v>510</v>
      </c>
      <c r="B87" t="s">
        <v>305</v>
      </c>
      <c r="C87" s="25">
        <v>0</v>
      </c>
      <c r="D87" s="25">
        <v>0</v>
      </c>
      <c r="E87" s="25">
        <v>0</v>
      </c>
      <c r="F87" s="25">
        <v>0</v>
      </c>
      <c r="G87" s="25">
        <v>0</v>
      </c>
      <c r="H87" s="25">
        <v>0</v>
      </c>
      <c r="I87" s="25">
        <v>0</v>
      </c>
      <c r="J87" s="25">
        <v>0</v>
      </c>
      <c r="K87" s="25">
        <v>0</v>
      </c>
      <c r="L87" s="25">
        <v>0</v>
      </c>
      <c r="M87" s="25">
        <v>0</v>
      </c>
      <c r="N87" s="25">
        <v>0</v>
      </c>
      <c r="O87" s="25">
        <v>0</v>
      </c>
      <c r="P87" s="25">
        <v>0</v>
      </c>
      <c r="Q87" s="25">
        <v>0</v>
      </c>
      <c r="R87" s="25">
        <v>0</v>
      </c>
      <c r="S87" s="25">
        <v>0</v>
      </c>
      <c r="T87" s="25">
        <v>0</v>
      </c>
      <c r="U87" s="25">
        <v>0</v>
      </c>
      <c r="V87" s="25">
        <v>0</v>
      </c>
      <c r="W87" s="25">
        <v>0</v>
      </c>
      <c r="X87" s="25">
        <v>0</v>
      </c>
      <c r="Y87" s="25">
        <v>0</v>
      </c>
      <c r="Z87" s="25">
        <v>0</v>
      </c>
      <c r="AA87" s="25">
        <v>0</v>
      </c>
      <c r="AB87" s="25">
        <v>0</v>
      </c>
      <c r="AC87" s="25">
        <v>0</v>
      </c>
      <c r="AD87" s="25">
        <v>0</v>
      </c>
      <c r="AE87" s="25">
        <v>0</v>
      </c>
      <c r="AF87" s="25">
        <v>0</v>
      </c>
      <c r="AG87" s="25">
        <v>0</v>
      </c>
      <c r="AH87" s="25">
        <v>0</v>
      </c>
      <c r="AI87" s="25">
        <v>0</v>
      </c>
      <c r="AJ87" s="25">
        <v>0</v>
      </c>
    </row>
    <row r="88" spans="1:36" x14ac:dyDescent="0.25">
      <c r="A88" t="s">
        <v>511</v>
      </c>
      <c r="B88" t="s">
        <v>305</v>
      </c>
      <c r="C88" s="25">
        <v>1</v>
      </c>
      <c r="D88" s="25">
        <v>1</v>
      </c>
      <c r="E88" s="25">
        <v>1</v>
      </c>
      <c r="F88" s="25">
        <v>1</v>
      </c>
      <c r="G88" s="25">
        <v>1</v>
      </c>
      <c r="H88" s="25">
        <v>1</v>
      </c>
      <c r="I88" s="25">
        <v>1</v>
      </c>
      <c r="J88" s="25">
        <v>1</v>
      </c>
      <c r="K88" s="25">
        <v>1</v>
      </c>
      <c r="L88" s="25">
        <v>1</v>
      </c>
      <c r="M88" s="25">
        <v>1</v>
      </c>
      <c r="N88" s="25">
        <v>1</v>
      </c>
      <c r="O88" s="25">
        <v>1</v>
      </c>
      <c r="P88" s="25">
        <v>1</v>
      </c>
      <c r="Q88" s="25">
        <v>1</v>
      </c>
      <c r="R88" s="25">
        <v>1</v>
      </c>
      <c r="S88" s="25">
        <v>1</v>
      </c>
      <c r="T88" s="25">
        <v>1</v>
      </c>
      <c r="U88" s="25">
        <v>1</v>
      </c>
      <c r="V88" s="25">
        <v>1</v>
      </c>
      <c r="W88" s="25">
        <v>1</v>
      </c>
      <c r="X88" s="25">
        <v>1</v>
      </c>
      <c r="Y88" s="25">
        <v>1</v>
      </c>
      <c r="Z88" s="25">
        <v>1</v>
      </c>
      <c r="AA88" s="25">
        <v>1</v>
      </c>
      <c r="AB88" s="25">
        <v>1</v>
      </c>
      <c r="AC88" s="25">
        <v>1</v>
      </c>
      <c r="AD88" s="25">
        <v>1</v>
      </c>
      <c r="AE88" s="25">
        <v>1</v>
      </c>
      <c r="AF88" s="25">
        <v>1</v>
      </c>
      <c r="AG88" s="25">
        <v>1</v>
      </c>
      <c r="AH88" s="25">
        <v>1</v>
      </c>
      <c r="AI88" s="25">
        <v>1</v>
      </c>
      <c r="AJ88" s="25">
        <v>1</v>
      </c>
    </row>
    <row r="89" spans="1:36" x14ac:dyDescent="0.25">
      <c r="A89" t="s">
        <v>512</v>
      </c>
      <c r="B89" t="s">
        <v>305</v>
      </c>
      <c r="C89" s="25">
        <v>0</v>
      </c>
      <c r="D89" s="25">
        <v>0</v>
      </c>
      <c r="E89" s="25">
        <v>0</v>
      </c>
      <c r="F89" s="25">
        <v>0</v>
      </c>
      <c r="G89" s="25">
        <v>0</v>
      </c>
      <c r="H89" s="25">
        <v>0</v>
      </c>
      <c r="I89" s="25">
        <v>0</v>
      </c>
      <c r="J89" s="25">
        <v>0</v>
      </c>
      <c r="K89" s="25">
        <v>0</v>
      </c>
      <c r="L89" s="25">
        <v>0</v>
      </c>
      <c r="M89" s="25">
        <v>0</v>
      </c>
      <c r="N89" s="25">
        <v>0</v>
      </c>
      <c r="O89" s="25">
        <v>0</v>
      </c>
      <c r="P89" s="25">
        <v>0</v>
      </c>
      <c r="Q89" s="25">
        <v>0</v>
      </c>
      <c r="R89" s="25">
        <v>0</v>
      </c>
      <c r="S89" s="25">
        <v>0</v>
      </c>
      <c r="T89" s="25">
        <v>0</v>
      </c>
      <c r="U89" s="25">
        <v>0</v>
      </c>
      <c r="V89" s="25">
        <v>0</v>
      </c>
      <c r="W89" s="25">
        <v>0</v>
      </c>
      <c r="X89" s="25">
        <v>0</v>
      </c>
      <c r="Y89" s="25">
        <v>0</v>
      </c>
      <c r="Z89" s="25">
        <v>0</v>
      </c>
      <c r="AA89" s="25">
        <v>0</v>
      </c>
      <c r="AB89" s="25">
        <v>0</v>
      </c>
      <c r="AC89" s="25">
        <v>0</v>
      </c>
      <c r="AD89" s="25">
        <v>0</v>
      </c>
      <c r="AE89" s="25">
        <v>0</v>
      </c>
      <c r="AF89" s="25">
        <v>0</v>
      </c>
      <c r="AG89" s="25">
        <v>0</v>
      </c>
      <c r="AH89" s="25">
        <v>0</v>
      </c>
      <c r="AI89" s="25">
        <v>0</v>
      </c>
      <c r="AJ89" s="25">
        <v>0</v>
      </c>
    </row>
    <row r="90" spans="1:36" x14ac:dyDescent="0.25">
      <c r="A90" t="s">
        <v>513</v>
      </c>
      <c r="B90" t="s">
        <v>305</v>
      </c>
      <c r="C90" s="25">
        <v>0</v>
      </c>
      <c r="D90" s="25">
        <v>0</v>
      </c>
      <c r="E90" s="25">
        <v>0</v>
      </c>
      <c r="F90" s="25">
        <v>0</v>
      </c>
      <c r="G90" s="25">
        <v>0</v>
      </c>
      <c r="H90" s="25">
        <v>0</v>
      </c>
      <c r="I90" s="25">
        <v>0</v>
      </c>
      <c r="J90" s="25">
        <v>0</v>
      </c>
      <c r="K90" s="25">
        <v>0</v>
      </c>
      <c r="L90" s="25">
        <v>0</v>
      </c>
      <c r="M90" s="25">
        <v>0</v>
      </c>
      <c r="N90" s="25">
        <v>0</v>
      </c>
      <c r="O90" s="25">
        <v>0</v>
      </c>
      <c r="P90" s="25">
        <v>0</v>
      </c>
      <c r="Q90" s="25">
        <v>0</v>
      </c>
      <c r="R90" s="25">
        <v>0</v>
      </c>
      <c r="S90" s="25">
        <v>0</v>
      </c>
      <c r="T90" s="25">
        <v>0</v>
      </c>
      <c r="U90" s="25">
        <v>0</v>
      </c>
      <c r="V90" s="25">
        <v>0</v>
      </c>
      <c r="W90" s="25">
        <v>0</v>
      </c>
      <c r="X90" s="25">
        <v>0</v>
      </c>
      <c r="Y90" s="25">
        <v>0</v>
      </c>
      <c r="Z90" s="25">
        <v>0</v>
      </c>
      <c r="AA90" s="25">
        <v>0</v>
      </c>
      <c r="AB90" s="25">
        <v>0</v>
      </c>
      <c r="AC90" s="25">
        <v>0</v>
      </c>
      <c r="AD90" s="25">
        <v>0</v>
      </c>
      <c r="AE90" s="25">
        <v>0</v>
      </c>
      <c r="AF90" s="25">
        <v>0</v>
      </c>
      <c r="AG90" s="25">
        <v>0</v>
      </c>
      <c r="AH90" s="25">
        <v>0</v>
      </c>
      <c r="AI90" s="25">
        <v>0</v>
      </c>
      <c r="AJ90" s="25">
        <v>0</v>
      </c>
    </row>
    <row r="91" spans="1:36" x14ac:dyDescent="0.25">
      <c r="A91" t="s">
        <v>514</v>
      </c>
      <c r="B91" t="s">
        <v>305</v>
      </c>
      <c r="C91" s="25">
        <v>0</v>
      </c>
      <c r="D91" s="25">
        <v>0</v>
      </c>
      <c r="E91" s="25">
        <v>0</v>
      </c>
      <c r="F91" s="25">
        <v>0</v>
      </c>
      <c r="G91" s="25">
        <v>0</v>
      </c>
      <c r="H91" s="25">
        <v>0</v>
      </c>
      <c r="I91" s="25">
        <v>0</v>
      </c>
      <c r="J91" s="25">
        <v>0</v>
      </c>
      <c r="K91" s="25">
        <v>0</v>
      </c>
      <c r="L91" s="25">
        <v>0</v>
      </c>
      <c r="M91" s="25">
        <v>0</v>
      </c>
      <c r="N91" s="25">
        <v>0</v>
      </c>
      <c r="O91" s="25">
        <v>0</v>
      </c>
      <c r="P91" s="25">
        <v>0</v>
      </c>
      <c r="Q91" s="25">
        <v>0</v>
      </c>
      <c r="R91" s="25">
        <v>0</v>
      </c>
      <c r="S91" s="25">
        <v>0</v>
      </c>
      <c r="T91" s="25">
        <v>0</v>
      </c>
      <c r="U91" s="25">
        <v>0</v>
      </c>
      <c r="V91" s="25">
        <v>0</v>
      </c>
      <c r="W91" s="25">
        <v>0</v>
      </c>
      <c r="X91" s="25">
        <v>0</v>
      </c>
      <c r="Y91" s="25">
        <v>0</v>
      </c>
      <c r="Z91" s="25">
        <v>0</v>
      </c>
      <c r="AA91" s="25">
        <v>0</v>
      </c>
      <c r="AB91" s="25">
        <v>0</v>
      </c>
      <c r="AC91" s="25">
        <v>0</v>
      </c>
      <c r="AD91" s="25">
        <v>0</v>
      </c>
      <c r="AE91" s="25">
        <v>0</v>
      </c>
      <c r="AF91" s="25">
        <v>0</v>
      </c>
      <c r="AG91" s="25">
        <v>0</v>
      </c>
      <c r="AH91" s="25">
        <v>0</v>
      </c>
      <c r="AI91" s="25">
        <v>0</v>
      </c>
      <c r="AJ91" s="25">
        <v>0</v>
      </c>
    </row>
    <row r="92" spans="1:36" x14ac:dyDescent="0.25">
      <c r="A92" t="s">
        <v>515</v>
      </c>
      <c r="B92" t="s">
        <v>305</v>
      </c>
      <c r="C92" s="25">
        <v>0</v>
      </c>
      <c r="D92" s="25">
        <v>0</v>
      </c>
      <c r="E92" s="25">
        <v>0</v>
      </c>
      <c r="F92" s="25">
        <v>0</v>
      </c>
      <c r="G92" s="25">
        <v>0</v>
      </c>
      <c r="H92" s="25">
        <v>0</v>
      </c>
      <c r="I92" s="25">
        <v>0</v>
      </c>
      <c r="J92" s="25">
        <v>0</v>
      </c>
      <c r="K92" s="25">
        <v>0</v>
      </c>
      <c r="L92" s="25">
        <v>0</v>
      </c>
      <c r="M92" s="25">
        <v>0</v>
      </c>
      <c r="N92" s="25">
        <v>0</v>
      </c>
      <c r="O92" s="25">
        <v>0</v>
      </c>
      <c r="P92" s="25">
        <v>0</v>
      </c>
      <c r="Q92" s="25">
        <v>0</v>
      </c>
      <c r="R92" s="25">
        <v>0</v>
      </c>
      <c r="S92" s="25">
        <v>0</v>
      </c>
      <c r="T92" s="25">
        <v>0</v>
      </c>
      <c r="U92" s="25">
        <v>0</v>
      </c>
      <c r="V92" s="25">
        <v>0</v>
      </c>
      <c r="W92" s="25">
        <v>0</v>
      </c>
      <c r="X92" s="25">
        <v>0</v>
      </c>
      <c r="Y92" s="25">
        <v>0</v>
      </c>
      <c r="Z92" s="25">
        <v>0</v>
      </c>
      <c r="AA92" s="25">
        <v>0</v>
      </c>
      <c r="AB92" s="25">
        <v>0</v>
      </c>
      <c r="AC92" s="25">
        <v>0</v>
      </c>
      <c r="AD92" s="25">
        <v>0</v>
      </c>
      <c r="AE92" s="25">
        <v>0</v>
      </c>
      <c r="AF92" s="25">
        <v>0</v>
      </c>
      <c r="AG92" s="25">
        <v>0</v>
      </c>
      <c r="AH92" s="25">
        <v>0</v>
      </c>
      <c r="AI92" s="25">
        <v>0</v>
      </c>
      <c r="AJ92" s="25">
        <v>0</v>
      </c>
    </row>
    <row r="93" spans="1:36" x14ac:dyDescent="0.25">
      <c r="A93" t="s">
        <v>516</v>
      </c>
      <c r="B93" t="s">
        <v>305</v>
      </c>
      <c r="C93" s="25">
        <v>0</v>
      </c>
      <c r="D93" s="25">
        <v>0</v>
      </c>
      <c r="E93" s="25">
        <v>0</v>
      </c>
      <c r="F93" s="25">
        <v>0</v>
      </c>
      <c r="G93" s="25">
        <v>0</v>
      </c>
      <c r="H93" s="25">
        <v>0</v>
      </c>
      <c r="I93" s="25">
        <v>0</v>
      </c>
      <c r="J93" s="25">
        <v>0</v>
      </c>
      <c r="K93" s="25">
        <v>0</v>
      </c>
      <c r="L93" s="25">
        <v>0</v>
      </c>
      <c r="M93" s="25">
        <v>0</v>
      </c>
      <c r="N93" s="25">
        <v>0</v>
      </c>
      <c r="O93" s="25">
        <v>0</v>
      </c>
      <c r="P93" s="25">
        <v>0</v>
      </c>
      <c r="Q93" s="25">
        <v>0</v>
      </c>
      <c r="R93" s="25">
        <v>0</v>
      </c>
      <c r="S93" s="25">
        <v>0</v>
      </c>
      <c r="T93" s="25">
        <v>0</v>
      </c>
      <c r="U93" s="25">
        <v>0</v>
      </c>
      <c r="V93" s="25">
        <v>0</v>
      </c>
      <c r="W93" s="25">
        <v>0</v>
      </c>
      <c r="X93" s="25">
        <v>0</v>
      </c>
      <c r="Y93" s="25">
        <v>0</v>
      </c>
      <c r="Z93" s="25">
        <v>0</v>
      </c>
      <c r="AA93" s="25">
        <v>0</v>
      </c>
      <c r="AB93" s="25">
        <v>0</v>
      </c>
      <c r="AC93" s="25">
        <v>0</v>
      </c>
      <c r="AD93" s="25">
        <v>0</v>
      </c>
      <c r="AE93" s="25">
        <v>0</v>
      </c>
      <c r="AF93" s="25">
        <v>0</v>
      </c>
      <c r="AG93" s="25">
        <v>0</v>
      </c>
      <c r="AH93" s="25">
        <v>0</v>
      </c>
      <c r="AI93" s="25">
        <v>0</v>
      </c>
      <c r="AJ93" s="25">
        <v>0</v>
      </c>
    </row>
    <row r="94" spans="1:36" x14ac:dyDescent="0.25">
      <c r="A94" t="s">
        <v>517</v>
      </c>
      <c r="B94" t="s">
        <v>305</v>
      </c>
      <c r="C94" s="25">
        <v>0</v>
      </c>
      <c r="D94" s="25">
        <v>0</v>
      </c>
      <c r="E94" s="25">
        <v>0</v>
      </c>
      <c r="F94" s="25">
        <v>0</v>
      </c>
      <c r="G94" s="25">
        <v>0</v>
      </c>
      <c r="H94" s="25">
        <v>0</v>
      </c>
      <c r="I94" s="25">
        <v>0</v>
      </c>
      <c r="J94" s="25">
        <v>0</v>
      </c>
      <c r="K94" s="25">
        <v>0</v>
      </c>
      <c r="L94" s="25">
        <v>0</v>
      </c>
      <c r="M94" s="25">
        <v>0</v>
      </c>
      <c r="N94" s="25">
        <v>0</v>
      </c>
      <c r="O94" s="25">
        <v>0</v>
      </c>
      <c r="P94" s="25">
        <v>0</v>
      </c>
      <c r="Q94" s="25">
        <v>0</v>
      </c>
      <c r="R94" s="25">
        <v>0</v>
      </c>
      <c r="S94" s="25">
        <v>0</v>
      </c>
      <c r="T94" s="25">
        <v>0</v>
      </c>
      <c r="U94" s="25">
        <v>0</v>
      </c>
      <c r="V94" s="25">
        <v>0</v>
      </c>
      <c r="W94" s="25">
        <v>0</v>
      </c>
      <c r="X94" s="25">
        <v>0</v>
      </c>
      <c r="Y94" s="25">
        <v>0</v>
      </c>
      <c r="Z94" s="25">
        <v>0</v>
      </c>
      <c r="AA94" s="25">
        <v>0</v>
      </c>
      <c r="AB94" s="25">
        <v>0</v>
      </c>
      <c r="AC94" s="25">
        <v>0</v>
      </c>
      <c r="AD94" s="25">
        <v>0</v>
      </c>
      <c r="AE94" s="25">
        <v>0</v>
      </c>
      <c r="AF94" s="25">
        <v>0</v>
      </c>
      <c r="AG94" s="25">
        <v>0</v>
      </c>
      <c r="AH94" s="25">
        <v>0</v>
      </c>
      <c r="AI94" s="25">
        <v>0</v>
      </c>
      <c r="AJ94" s="25">
        <v>0</v>
      </c>
    </row>
    <row r="95" spans="1:36" x14ac:dyDescent="0.25">
      <c r="A95" t="s">
        <v>518</v>
      </c>
      <c r="B95" t="s">
        <v>305</v>
      </c>
      <c r="C95" s="25">
        <v>99</v>
      </c>
      <c r="D95" s="25">
        <v>99</v>
      </c>
      <c r="E95" s="25">
        <v>99</v>
      </c>
      <c r="F95" s="25">
        <v>99</v>
      </c>
      <c r="G95" s="25">
        <v>99</v>
      </c>
      <c r="H95" s="25">
        <v>99</v>
      </c>
      <c r="I95" s="25">
        <v>99</v>
      </c>
      <c r="J95" s="25">
        <v>99</v>
      </c>
      <c r="K95" s="25">
        <v>99</v>
      </c>
      <c r="L95" s="25">
        <v>99</v>
      </c>
      <c r="M95" s="25">
        <v>99</v>
      </c>
      <c r="N95" s="25">
        <v>99</v>
      </c>
      <c r="O95" s="25">
        <v>99</v>
      </c>
      <c r="P95" s="25">
        <v>99</v>
      </c>
      <c r="Q95" s="25">
        <v>99</v>
      </c>
      <c r="R95" s="25">
        <v>99</v>
      </c>
      <c r="S95" s="25">
        <v>99</v>
      </c>
      <c r="T95" s="25">
        <v>99</v>
      </c>
      <c r="U95" s="25">
        <v>99</v>
      </c>
      <c r="V95" s="25">
        <v>99</v>
      </c>
      <c r="W95" s="25">
        <v>99</v>
      </c>
      <c r="X95" s="25">
        <v>99</v>
      </c>
      <c r="Y95" s="25">
        <v>99</v>
      </c>
      <c r="Z95" s="25">
        <v>99</v>
      </c>
      <c r="AA95" s="25">
        <v>99</v>
      </c>
      <c r="AB95" s="25">
        <v>99</v>
      </c>
      <c r="AC95" s="25">
        <v>99</v>
      </c>
      <c r="AD95" s="25">
        <v>99</v>
      </c>
      <c r="AE95" s="25">
        <v>99</v>
      </c>
      <c r="AF95" s="25">
        <v>99</v>
      </c>
      <c r="AG95" s="25">
        <v>99</v>
      </c>
      <c r="AH95" s="25">
        <v>99</v>
      </c>
      <c r="AI95" s="25">
        <v>99</v>
      </c>
      <c r="AJ95" s="25">
        <v>99</v>
      </c>
    </row>
    <row r="96" spans="1:36" x14ac:dyDescent="0.25">
      <c r="A96" t="s">
        <v>757</v>
      </c>
      <c r="B96" t="s">
        <v>305</v>
      </c>
      <c r="C96" s="25">
        <v>0</v>
      </c>
      <c r="D96" s="25">
        <v>0</v>
      </c>
      <c r="E96" s="25">
        <v>0</v>
      </c>
      <c r="F96" s="25">
        <v>0</v>
      </c>
      <c r="G96" s="25">
        <v>0</v>
      </c>
      <c r="H96" s="25">
        <v>0</v>
      </c>
      <c r="I96" s="25">
        <v>0</v>
      </c>
      <c r="J96" s="25">
        <v>0</v>
      </c>
      <c r="K96" s="25">
        <v>0</v>
      </c>
      <c r="L96" s="25">
        <v>0</v>
      </c>
      <c r="M96" s="25">
        <v>0</v>
      </c>
      <c r="N96" s="25">
        <v>0</v>
      </c>
      <c r="O96" s="25">
        <v>0</v>
      </c>
      <c r="P96" s="25">
        <v>0</v>
      </c>
      <c r="Q96" s="25">
        <v>0</v>
      </c>
      <c r="R96" s="25">
        <v>0</v>
      </c>
      <c r="S96" s="25">
        <v>0</v>
      </c>
      <c r="T96" s="25">
        <v>0</v>
      </c>
      <c r="U96" s="25">
        <v>0</v>
      </c>
      <c r="V96" s="25">
        <v>0</v>
      </c>
      <c r="W96" s="25">
        <v>0</v>
      </c>
      <c r="X96" s="25">
        <v>0</v>
      </c>
      <c r="Y96" s="25">
        <v>0</v>
      </c>
      <c r="Z96" s="25">
        <v>0</v>
      </c>
      <c r="AA96" s="25">
        <v>0</v>
      </c>
      <c r="AB96" s="25">
        <v>0</v>
      </c>
      <c r="AC96" s="25">
        <v>0</v>
      </c>
      <c r="AD96" s="25">
        <v>0</v>
      </c>
      <c r="AE96" s="25">
        <v>0</v>
      </c>
      <c r="AF96" s="25">
        <v>0</v>
      </c>
      <c r="AG96" s="25">
        <v>0</v>
      </c>
      <c r="AH96" s="25">
        <v>0</v>
      </c>
      <c r="AI96" s="25">
        <v>0</v>
      </c>
      <c r="AJ96" s="25">
        <v>0</v>
      </c>
    </row>
    <row r="97" spans="1:36" x14ac:dyDescent="0.25">
      <c r="A97" t="s">
        <v>519</v>
      </c>
      <c r="B97" t="s">
        <v>305</v>
      </c>
      <c r="C97" s="25">
        <v>0</v>
      </c>
      <c r="D97" s="25">
        <v>0</v>
      </c>
      <c r="E97" s="25">
        <v>0</v>
      </c>
      <c r="F97" s="25">
        <v>0</v>
      </c>
      <c r="G97" s="25">
        <v>0</v>
      </c>
      <c r="H97" s="25">
        <v>0</v>
      </c>
      <c r="I97" s="25">
        <v>0</v>
      </c>
      <c r="J97" s="25">
        <v>0</v>
      </c>
      <c r="K97" s="25">
        <v>0</v>
      </c>
      <c r="L97" s="25">
        <v>0</v>
      </c>
      <c r="M97" s="25">
        <v>0</v>
      </c>
      <c r="N97" s="25">
        <v>0</v>
      </c>
      <c r="O97" s="25">
        <v>0</v>
      </c>
      <c r="P97" s="25">
        <v>0</v>
      </c>
      <c r="Q97" s="25">
        <v>0</v>
      </c>
      <c r="R97" s="25">
        <v>0</v>
      </c>
      <c r="S97" s="25">
        <v>0</v>
      </c>
      <c r="T97" s="25">
        <v>0</v>
      </c>
      <c r="U97" s="25">
        <v>0</v>
      </c>
      <c r="V97" s="25">
        <v>0</v>
      </c>
      <c r="W97" s="25">
        <v>0</v>
      </c>
      <c r="X97" s="25">
        <v>0</v>
      </c>
      <c r="Y97" s="25">
        <v>0</v>
      </c>
      <c r="Z97" s="25">
        <v>0</v>
      </c>
      <c r="AA97" s="25">
        <v>0</v>
      </c>
      <c r="AB97" s="25">
        <v>0</v>
      </c>
      <c r="AC97" s="25">
        <v>0</v>
      </c>
      <c r="AD97" s="25">
        <v>0</v>
      </c>
      <c r="AE97" s="25">
        <v>0</v>
      </c>
      <c r="AF97" s="25">
        <v>0</v>
      </c>
      <c r="AG97" s="25">
        <v>0</v>
      </c>
      <c r="AH97" s="25">
        <v>0</v>
      </c>
      <c r="AI97" s="25">
        <v>0</v>
      </c>
      <c r="AJ97" s="25">
        <v>0</v>
      </c>
    </row>
    <row r="98" spans="1:36" x14ac:dyDescent="0.25">
      <c r="A98" t="s">
        <v>520</v>
      </c>
      <c r="B98" t="s">
        <v>305</v>
      </c>
      <c r="C98" s="25">
        <v>0</v>
      </c>
      <c r="D98" s="25">
        <v>0</v>
      </c>
      <c r="E98" s="25">
        <v>0</v>
      </c>
      <c r="F98" s="25">
        <v>0</v>
      </c>
      <c r="G98" s="25">
        <v>0</v>
      </c>
      <c r="H98" s="25">
        <v>0</v>
      </c>
      <c r="I98" s="25">
        <v>0</v>
      </c>
      <c r="J98" s="25">
        <v>0</v>
      </c>
      <c r="K98" s="25">
        <v>0</v>
      </c>
      <c r="L98" s="25">
        <v>0</v>
      </c>
      <c r="M98" s="25">
        <v>0</v>
      </c>
      <c r="N98" s="25">
        <v>0</v>
      </c>
      <c r="O98" s="25">
        <v>0</v>
      </c>
      <c r="P98" s="25">
        <v>0</v>
      </c>
      <c r="Q98" s="25">
        <v>0</v>
      </c>
      <c r="R98" s="25">
        <v>0</v>
      </c>
      <c r="S98" s="25">
        <v>0</v>
      </c>
      <c r="T98" s="25">
        <v>0</v>
      </c>
      <c r="U98" s="25">
        <v>0</v>
      </c>
      <c r="V98" s="25">
        <v>0</v>
      </c>
      <c r="W98" s="25">
        <v>0</v>
      </c>
      <c r="X98" s="25">
        <v>0</v>
      </c>
      <c r="Y98" s="25">
        <v>0</v>
      </c>
      <c r="Z98" s="25">
        <v>0</v>
      </c>
      <c r="AA98" s="25">
        <v>0</v>
      </c>
      <c r="AB98" s="25">
        <v>0</v>
      </c>
      <c r="AC98" s="25">
        <v>0</v>
      </c>
      <c r="AD98" s="25">
        <v>0</v>
      </c>
      <c r="AE98" s="25">
        <v>0</v>
      </c>
      <c r="AF98" s="25">
        <v>0</v>
      </c>
      <c r="AG98" s="25">
        <v>0</v>
      </c>
      <c r="AH98" s="25">
        <v>0</v>
      </c>
      <c r="AI98" s="25">
        <v>0</v>
      </c>
      <c r="AJ98" s="25">
        <v>0</v>
      </c>
    </row>
    <row r="99" spans="1:36" x14ac:dyDescent="0.25">
      <c r="A99" t="s">
        <v>521</v>
      </c>
      <c r="B99" t="s">
        <v>305</v>
      </c>
      <c r="C99" s="25">
        <v>2</v>
      </c>
      <c r="D99" s="25">
        <v>2</v>
      </c>
      <c r="E99" s="25">
        <v>2</v>
      </c>
      <c r="F99" s="25">
        <v>2</v>
      </c>
      <c r="G99" s="25">
        <v>2</v>
      </c>
      <c r="H99" s="25">
        <v>2</v>
      </c>
      <c r="I99" s="25">
        <v>2</v>
      </c>
      <c r="J99" s="25">
        <v>2</v>
      </c>
      <c r="K99" s="25">
        <v>2</v>
      </c>
      <c r="L99" s="25">
        <v>2</v>
      </c>
      <c r="M99" s="25">
        <v>2</v>
      </c>
      <c r="N99" s="25">
        <v>2</v>
      </c>
      <c r="O99" s="25">
        <v>2</v>
      </c>
      <c r="P99" s="25">
        <v>2</v>
      </c>
      <c r="Q99" s="25">
        <v>2</v>
      </c>
      <c r="R99" s="25">
        <v>2</v>
      </c>
      <c r="S99" s="25">
        <v>2</v>
      </c>
      <c r="T99" s="25">
        <v>2</v>
      </c>
      <c r="U99" s="25">
        <v>2</v>
      </c>
      <c r="V99" s="25">
        <v>2</v>
      </c>
      <c r="W99" s="25">
        <v>2</v>
      </c>
      <c r="X99" s="25">
        <v>2</v>
      </c>
      <c r="Y99" s="25">
        <v>2</v>
      </c>
      <c r="Z99" s="25">
        <v>2</v>
      </c>
      <c r="AA99" s="25">
        <v>2</v>
      </c>
      <c r="AB99" s="25">
        <v>2</v>
      </c>
      <c r="AC99" s="25">
        <v>2</v>
      </c>
      <c r="AD99" s="25">
        <v>2</v>
      </c>
      <c r="AE99" s="25">
        <v>2</v>
      </c>
      <c r="AF99" s="25">
        <v>2</v>
      </c>
      <c r="AG99" s="25">
        <v>2</v>
      </c>
      <c r="AH99" s="25">
        <v>2</v>
      </c>
      <c r="AI99" s="25">
        <v>2</v>
      </c>
      <c r="AJ99" s="25">
        <v>2</v>
      </c>
    </row>
    <row r="100" spans="1:36" x14ac:dyDescent="0.25">
      <c r="A100" t="s">
        <v>522</v>
      </c>
      <c r="B100" t="s">
        <v>305</v>
      </c>
      <c r="C100" s="25">
        <v>0</v>
      </c>
      <c r="D100" s="25">
        <v>0</v>
      </c>
      <c r="E100" s="25">
        <v>0</v>
      </c>
      <c r="F100" s="25">
        <v>0</v>
      </c>
      <c r="G100" s="25">
        <v>0</v>
      </c>
      <c r="H100" s="25">
        <v>0</v>
      </c>
      <c r="I100" s="25">
        <v>0</v>
      </c>
      <c r="J100" s="25">
        <v>0</v>
      </c>
      <c r="K100" s="25">
        <v>0</v>
      </c>
      <c r="L100" s="25">
        <v>0</v>
      </c>
      <c r="M100" s="25">
        <v>0</v>
      </c>
      <c r="N100" s="25">
        <v>0</v>
      </c>
      <c r="O100" s="25">
        <v>0</v>
      </c>
      <c r="P100" s="25">
        <v>0</v>
      </c>
      <c r="Q100" s="25">
        <v>0</v>
      </c>
      <c r="R100" s="25">
        <v>0</v>
      </c>
      <c r="S100" s="25">
        <v>0</v>
      </c>
      <c r="T100" s="25">
        <v>0</v>
      </c>
      <c r="U100" s="25">
        <v>0</v>
      </c>
      <c r="V100" s="25">
        <v>0</v>
      </c>
      <c r="W100" s="25">
        <v>0</v>
      </c>
      <c r="X100" s="25">
        <v>0</v>
      </c>
      <c r="Y100" s="25">
        <v>0</v>
      </c>
      <c r="Z100" s="25">
        <v>0</v>
      </c>
      <c r="AA100" s="25">
        <v>0</v>
      </c>
      <c r="AB100" s="25">
        <v>0</v>
      </c>
      <c r="AC100" s="25">
        <v>0</v>
      </c>
      <c r="AD100" s="25">
        <v>0</v>
      </c>
      <c r="AE100" s="25">
        <v>0</v>
      </c>
      <c r="AF100" s="25">
        <v>0</v>
      </c>
      <c r="AG100" s="25">
        <v>0</v>
      </c>
      <c r="AH100" s="25">
        <v>0</v>
      </c>
      <c r="AI100" s="25">
        <v>0</v>
      </c>
      <c r="AJ100" s="25">
        <v>0</v>
      </c>
    </row>
    <row r="101" spans="1:36" x14ac:dyDescent="0.25">
      <c r="A101" t="s">
        <v>523</v>
      </c>
      <c r="B101" t="s">
        <v>305</v>
      </c>
      <c r="C101" s="25">
        <v>0</v>
      </c>
      <c r="D101" s="25">
        <v>0</v>
      </c>
      <c r="E101" s="25">
        <v>0</v>
      </c>
      <c r="F101" s="25">
        <v>0</v>
      </c>
      <c r="G101" s="25">
        <v>0</v>
      </c>
      <c r="H101" s="25">
        <v>0</v>
      </c>
      <c r="I101" s="25">
        <v>0</v>
      </c>
      <c r="J101" s="25">
        <v>0</v>
      </c>
      <c r="K101" s="25">
        <v>0</v>
      </c>
      <c r="L101" s="25">
        <v>0</v>
      </c>
      <c r="M101" s="25">
        <v>0</v>
      </c>
      <c r="N101" s="25">
        <v>0</v>
      </c>
      <c r="O101" s="25">
        <v>0</v>
      </c>
      <c r="P101" s="25">
        <v>0</v>
      </c>
      <c r="Q101" s="25">
        <v>0</v>
      </c>
      <c r="R101" s="25">
        <v>0</v>
      </c>
      <c r="S101" s="25">
        <v>0</v>
      </c>
      <c r="T101" s="25">
        <v>0</v>
      </c>
      <c r="U101" s="25">
        <v>0</v>
      </c>
      <c r="V101" s="25">
        <v>0</v>
      </c>
      <c r="W101" s="25">
        <v>0</v>
      </c>
      <c r="X101" s="25">
        <v>0</v>
      </c>
      <c r="Y101" s="25">
        <v>0</v>
      </c>
      <c r="Z101" s="25">
        <v>0</v>
      </c>
      <c r="AA101" s="25">
        <v>0</v>
      </c>
      <c r="AB101" s="25">
        <v>0</v>
      </c>
      <c r="AC101" s="25">
        <v>0</v>
      </c>
      <c r="AD101" s="25">
        <v>0</v>
      </c>
      <c r="AE101" s="25">
        <v>0</v>
      </c>
      <c r="AF101" s="25">
        <v>0</v>
      </c>
      <c r="AG101" s="25">
        <v>0</v>
      </c>
      <c r="AH101" s="25">
        <v>0</v>
      </c>
      <c r="AI101" s="25">
        <v>0</v>
      </c>
      <c r="AJ101" s="25">
        <v>0</v>
      </c>
    </row>
    <row r="102" spans="1:36" x14ac:dyDescent="0.25">
      <c r="A102" t="s">
        <v>524</v>
      </c>
      <c r="B102" t="s">
        <v>305</v>
      </c>
      <c r="C102" s="25">
        <v>0</v>
      </c>
      <c r="D102" s="25">
        <v>0</v>
      </c>
      <c r="E102" s="25">
        <v>0</v>
      </c>
      <c r="F102" s="25">
        <v>0</v>
      </c>
      <c r="G102" s="25">
        <v>0</v>
      </c>
      <c r="H102" s="25">
        <v>0</v>
      </c>
      <c r="I102" s="25">
        <v>0</v>
      </c>
      <c r="J102" s="25">
        <v>0</v>
      </c>
      <c r="K102" s="25">
        <v>0</v>
      </c>
      <c r="L102" s="25">
        <v>0</v>
      </c>
      <c r="M102" s="25">
        <v>0</v>
      </c>
      <c r="N102" s="25">
        <v>0</v>
      </c>
      <c r="O102" s="25">
        <v>0</v>
      </c>
      <c r="P102" s="25">
        <v>0</v>
      </c>
      <c r="Q102" s="25">
        <v>0</v>
      </c>
      <c r="R102" s="25">
        <v>0</v>
      </c>
      <c r="S102" s="25">
        <v>0</v>
      </c>
      <c r="T102" s="25">
        <v>0</v>
      </c>
      <c r="U102" s="25">
        <v>0</v>
      </c>
      <c r="V102" s="25">
        <v>0</v>
      </c>
      <c r="W102" s="25">
        <v>0</v>
      </c>
      <c r="X102" s="25">
        <v>0</v>
      </c>
      <c r="Y102" s="25">
        <v>0</v>
      </c>
      <c r="Z102" s="25">
        <v>0</v>
      </c>
      <c r="AA102" s="25">
        <v>0</v>
      </c>
      <c r="AB102" s="25">
        <v>0</v>
      </c>
      <c r="AC102" s="25">
        <v>0</v>
      </c>
      <c r="AD102" s="25">
        <v>0</v>
      </c>
      <c r="AE102" s="25">
        <v>0</v>
      </c>
      <c r="AF102" s="25">
        <v>0</v>
      </c>
      <c r="AG102" s="25">
        <v>0</v>
      </c>
      <c r="AH102" s="25">
        <v>0</v>
      </c>
      <c r="AI102" s="25">
        <v>0</v>
      </c>
      <c r="AJ102" s="25">
        <v>0</v>
      </c>
    </row>
    <row r="103" spans="1:36" x14ac:dyDescent="0.25">
      <c r="A103" t="s">
        <v>525</v>
      </c>
      <c r="B103" t="s">
        <v>305</v>
      </c>
      <c r="C103" s="25">
        <v>5</v>
      </c>
      <c r="D103" s="25">
        <v>5</v>
      </c>
      <c r="E103" s="25">
        <v>5</v>
      </c>
      <c r="F103" s="25">
        <v>5</v>
      </c>
      <c r="G103" s="25">
        <v>5</v>
      </c>
      <c r="H103" s="25">
        <v>5</v>
      </c>
      <c r="I103" s="25">
        <v>5</v>
      </c>
      <c r="J103" s="25">
        <v>5</v>
      </c>
      <c r="K103" s="25">
        <v>5</v>
      </c>
      <c r="L103" s="25">
        <v>5</v>
      </c>
      <c r="M103" s="25">
        <v>5</v>
      </c>
      <c r="N103" s="25">
        <v>5</v>
      </c>
      <c r="O103" s="25">
        <v>5</v>
      </c>
      <c r="P103" s="25">
        <v>5</v>
      </c>
      <c r="Q103" s="25">
        <v>5</v>
      </c>
      <c r="R103" s="25">
        <v>5</v>
      </c>
      <c r="S103" s="25">
        <v>5</v>
      </c>
      <c r="T103" s="25">
        <v>5</v>
      </c>
      <c r="U103" s="25">
        <v>5</v>
      </c>
      <c r="V103" s="25">
        <v>5</v>
      </c>
      <c r="W103" s="25">
        <v>5</v>
      </c>
      <c r="X103" s="25">
        <v>5</v>
      </c>
      <c r="Y103" s="25">
        <v>5</v>
      </c>
      <c r="Z103" s="25">
        <v>5</v>
      </c>
      <c r="AA103" s="25">
        <v>5</v>
      </c>
      <c r="AB103" s="25">
        <v>5</v>
      </c>
      <c r="AC103" s="25">
        <v>5</v>
      </c>
      <c r="AD103" s="25">
        <v>5</v>
      </c>
      <c r="AE103" s="25">
        <v>5</v>
      </c>
      <c r="AF103" s="25">
        <v>5</v>
      </c>
      <c r="AG103" s="25">
        <v>5</v>
      </c>
      <c r="AH103" s="25">
        <v>5</v>
      </c>
      <c r="AI103" s="25">
        <v>5</v>
      </c>
      <c r="AJ103" s="25">
        <v>5</v>
      </c>
    </row>
    <row r="104" spans="1:36" x14ac:dyDescent="0.25">
      <c r="A104" t="s">
        <v>526</v>
      </c>
      <c r="B104" t="s">
        <v>305</v>
      </c>
      <c r="C104" s="25">
        <v>0</v>
      </c>
      <c r="D104" s="25">
        <v>0</v>
      </c>
      <c r="E104" s="25">
        <v>0</v>
      </c>
      <c r="F104" s="25">
        <v>0</v>
      </c>
      <c r="G104" s="25">
        <v>0</v>
      </c>
      <c r="H104" s="25">
        <v>0</v>
      </c>
      <c r="I104" s="25">
        <v>0</v>
      </c>
      <c r="J104" s="25">
        <v>0</v>
      </c>
      <c r="K104" s="25">
        <v>0</v>
      </c>
      <c r="L104" s="25">
        <v>0</v>
      </c>
      <c r="M104" s="25">
        <v>0</v>
      </c>
      <c r="N104" s="25">
        <v>0</v>
      </c>
      <c r="O104" s="25">
        <v>0</v>
      </c>
      <c r="P104" s="25">
        <v>0</v>
      </c>
      <c r="Q104" s="25">
        <v>0</v>
      </c>
      <c r="R104" s="25">
        <v>0</v>
      </c>
      <c r="S104" s="25">
        <v>0</v>
      </c>
      <c r="T104" s="25">
        <v>0</v>
      </c>
      <c r="U104" s="25">
        <v>0</v>
      </c>
      <c r="V104" s="25">
        <v>0</v>
      </c>
      <c r="W104" s="25">
        <v>0</v>
      </c>
      <c r="X104" s="25">
        <v>0</v>
      </c>
      <c r="Y104" s="25">
        <v>0</v>
      </c>
      <c r="Z104" s="25">
        <v>0</v>
      </c>
      <c r="AA104" s="25">
        <v>0</v>
      </c>
      <c r="AB104" s="25">
        <v>0</v>
      </c>
      <c r="AC104" s="25">
        <v>0</v>
      </c>
      <c r="AD104" s="25">
        <v>0</v>
      </c>
      <c r="AE104" s="25">
        <v>0</v>
      </c>
      <c r="AF104" s="25">
        <v>0</v>
      </c>
      <c r="AG104" s="25">
        <v>0</v>
      </c>
      <c r="AH104" s="25">
        <v>0</v>
      </c>
      <c r="AI104" s="25">
        <v>0</v>
      </c>
      <c r="AJ104" s="25">
        <v>0</v>
      </c>
    </row>
    <row r="105" spans="1:36" x14ac:dyDescent="0.25">
      <c r="A105" t="s">
        <v>527</v>
      </c>
      <c r="B105" t="s">
        <v>305</v>
      </c>
      <c r="C105" s="25">
        <v>0</v>
      </c>
      <c r="D105" s="25">
        <v>0</v>
      </c>
      <c r="E105" s="25">
        <v>0</v>
      </c>
      <c r="F105" s="25">
        <v>0</v>
      </c>
      <c r="G105" s="25">
        <v>0</v>
      </c>
      <c r="H105" s="25">
        <v>0</v>
      </c>
      <c r="I105" s="25">
        <v>0</v>
      </c>
      <c r="J105" s="25">
        <v>0</v>
      </c>
      <c r="K105" s="25">
        <v>0</v>
      </c>
      <c r="L105" s="25">
        <v>0</v>
      </c>
      <c r="M105" s="25">
        <v>0</v>
      </c>
      <c r="N105" s="25">
        <v>0</v>
      </c>
      <c r="O105" s="25">
        <v>0</v>
      </c>
      <c r="P105" s="25">
        <v>0</v>
      </c>
      <c r="Q105" s="25">
        <v>0</v>
      </c>
      <c r="R105" s="25">
        <v>0</v>
      </c>
      <c r="S105" s="25">
        <v>0</v>
      </c>
      <c r="T105" s="25">
        <v>0</v>
      </c>
      <c r="U105" s="25">
        <v>0</v>
      </c>
      <c r="V105" s="25">
        <v>0</v>
      </c>
      <c r="W105" s="25">
        <v>0</v>
      </c>
      <c r="X105" s="25">
        <v>0</v>
      </c>
      <c r="Y105" s="25">
        <v>0</v>
      </c>
      <c r="Z105" s="25">
        <v>0</v>
      </c>
      <c r="AA105" s="25">
        <v>0</v>
      </c>
      <c r="AB105" s="25">
        <v>0</v>
      </c>
      <c r="AC105" s="25">
        <v>0</v>
      </c>
      <c r="AD105" s="25">
        <v>0</v>
      </c>
      <c r="AE105" s="25">
        <v>0</v>
      </c>
      <c r="AF105" s="25">
        <v>0</v>
      </c>
      <c r="AG105" s="25">
        <v>0</v>
      </c>
      <c r="AH105" s="25">
        <v>0</v>
      </c>
      <c r="AI105" s="25">
        <v>0</v>
      </c>
      <c r="AJ105" s="25">
        <v>0</v>
      </c>
    </row>
    <row r="106" spans="1:36" x14ac:dyDescent="0.25">
      <c r="A106" t="s">
        <v>528</v>
      </c>
      <c r="B106" t="s">
        <v>305</v>
      </c>
      <c r="C106" s="25">
        <v>93</v>
      </c>
      <c r="D106" s="25">
        <v>93</v>
      </c>
      <c r="E106" s="25">
        <v>93</v>
      </c>
      <c r="F106" s="25">
        <v>93</v>
      </c>
      <c r="G106" s="25">
        <v>93</v>
      </c>
      <c r="H106" s="25">
        <v>93</v>
      </c>
      <c r="I106" s="25">
        <v>93</v>
      </c>
      <c r="J106" s="25">
        <v>93</v>
      </c>
      <c r="K106" s="25">
        <v>93</v>
      </c>
      <c r="L106" s="25">
        <v>93</v>
      </c>
      <c r="M106" s="25">
        <v>93</v>
      </c>
      <c r="N106" s="25">
        <v>93</v>
      </c>
      <c r="O106" s="25">
        <v>93</v>
      </c>
      <c r="P106" s="25">
        <v>93</v>
      </c>
      <c r="Q106" s="25">
        <v>93</v>
      </c>
      <c r="R106" s="25">
        <v>93</v>
      </c>
      <c r="S106" s="25">
        <v>93</v>
      </c>
      <c r="T106" s="25">
        <v>93</v>
      </c>
      <c r="U106" s="25">
        <v>93</v>
      </c>
      <c r="V106" s="25">
        <v>93</v>
      </c>
      <c r="W106" s="25">
        <v>93</v>
      </c>
      <c r="X106" s="25">
        <v>93</v>
      </c>
      <c r="Y106" s="25">
        <v>93</v>
      </c>
      <c r="Z106" s="25">
        <v>93</v>
      </c>
      <c r="AA106" s="25">
        <v>93</v>
      </c>
      <c r="AB106" s="25">
        <v>93</v>
      </c>
      <c r="AC106" s="25">
        <v>93</v>
      </c>
      <c r="AD106" s="25">
        <v>93</v>
      </c>
      <c r="AE106" s="25">
        <v>93</v>
      </c>
      <c r="AF106" s="25">
        <v>93</v>
      </c>
      <c r="AG106" s="25">
        <v>93</v>
      </c>
      <c r="AH106" s="25">
        <v>93</v>
      </c>
      <c r="AI106" s="25">
        <v>93</v>
      </c>
      <c r="AJ106" s="25">
        <v>93</v>
      </c>
    </row>
    <row r="107" spans="1:36" x14ac:dyDescent="0.25">
      <c r="A107" t="s">
        <v>758</v>
      </c>
      <c r="B107" t="s">
        <v>305</v>
      </c>
      <c r="C107" s="25">
        <v>0</v>
      </c>
      <c r="D107" s="25">
        <v>0</v>
      </c>
      <c r="E107" s="25">
        <v>0</v>
      </c>
      <c r="F107" s="25">
        <v>0</v>
      </c>
      <c r="G107" s="25">
        <v>0</v>
      </c>
      <c r="H107" s="25">
        <v>0</v>
      </c>
      <c r="I107" s="25">
        <v>0</v>
      </c>
      <c r="J107" s="25">
        <v>0</v>
      </c>
      <c r="K107" s="25">
        <v>0</v>
      </c>
      <c r="L107" s="25">
        <v>0</v>
      </c>
      <c r="M107" s="25">
        <v>0</v>
      </c>
      <c r="N107" s="25">
        <v>0</v>
      </c>
      <c r="O107" s="25">
        <v>0</v>
      </c>
      <c r="P107" s="25">
        <v>0</v>
      </c>
      <c r="Q107" s="25">
        <v>0</v>
      </c>
      <c r="R107" s="25">
        <v>0</v>
      </c>
      <c r="S107" s="25">
        <v>0</v>
      </c>
      <c r="T107" s="25">
        <v>0</v>
      </c>
      <c r="U107" s="25">
        <v>0</v>
      </c>
      <c r="V107" s="25">
        <v>0</v>
      </c>
      <c r="W107" s="25">
        <v>0</v>
      </c>
      <c r="X107" s="25">
        <v>0</v>
      </c>
      <c r="Y107" s="25">
        <v>0</v>
      </c>
      <c r="Z107" s="25">
        <v>0</v>
      </c>
      <c r="AA107" s="25">
        <v>0</v>
      </c>
      <c r="AB107" s="25">
        <v>0</v>
      </c>
      <c r="AC107" s="25">
        <v>0</v>
      </c>
      <c r="AD107" s="25">
        <v>0</v>
      </c>
      <c r="AE107" s="25">
        <v>0</v>
      </c>
      <c r="AF107" s="25">
        <v>0</v>
      </c>
      <c r="AG107" s="25">
        <v>0</v>
      </c>
      <c r="AH107" s="25">
        <v>0</v>
      </c>
      <c r="AI107" s="25">
        <v>0</v>
      </c>
      <c r="AJ107" s="25">
        <v>0</v>
      </c>
    </row>
    <row r="108" spans="1:36" s="76" customFormat="1" x14ac:dyDescent="0.25">
      <c r="A108" s="76" t="s">
        <v>780</v>
      </c>
      <c r="C108" s="77">
        <f>+SUM(C97:C107)</f>
        <v>100</v>
      </c>
      <c r="D108" s="77">
        <f t="shared" ref="D108" si="166">+SUM(D97:D107)</f>
        <v>100</v>
      </c>
      <c r="E108" s="77">
        <f t="shared" ref="E108" si="167">+SUM(E97:E107)</f>
        <v>100</v>
      </c>
      <c r="F108" s="77">
        <f t="shared" ref="F108" si="168">+SUM(F97:F107)</f>
        <v>100</v>
      </c>
      <c r="G108" s="77">
        <f t="shared" ref="G108" si="169">+SUM(G97:G107)</f>
        <v>100</v>
      </c>
      <c r="H108" s="77">
        <f t="shared" ref="H108" si="170">+SUM(H97:H107)</f>
        <v>100</v>
      </c>
      <c r="I108" s="77">
        <f t="shared" ref="I108" si="171">+SUM(I97:I107)</f>
        <v>100</v>
      </c>
      <c r="J108" s="77">
        <f t="shared" ref="J108" si="172">+SUM(J97:J107)</f>
        <v>100</v>
      </c>
      <c r="K108" s="77">
        <f t="shared" ref="K108" si="173">+SUM(K97:K107)</f>
        <v>100</v>
      </c>
      <c r="L108" s="77">
        <f t="shared" ref="L108" si="174">+SUM(L97:L107)</f>
        <v>100</v>
      </c>
      <c r="M108" s="77">
        <f t="shared" ref="M108" si="175">+SUM(M97:M107)</f>
        <v>100</v>
      </c>
      <c r="N108" s="77">
        <f t="shared" ref="N108" si="176">+SUM(N97:N107)</f>
        <v>100</v>
      </c>
      <c r="O108" s="77">
        <f t="shared" ref="O108" si="177">+SUM(O97:O107)</f>
        <v>100</v>
      </c>
      <c r="P108" s="77">
        <f t="shared" ref="P108" si="178">+SUM(P97:P107)</f>
        <v>100</v>
      </c>
      <c r="Q108" s="77">
        <f t="shared" ref="Q108" si="179">+SUM(Q97:Q107)</f>
        <v>100</v>
      </c>
      <c r="R108" s="77">
        <f t="shared" ref="R108" si="180">+SUM(R97:R107)</f>
        <v>100</v>
      </c>
      <c r="S108" s="77">
        <f t="shared" ref="S108" si="181">+SUM(S97:S107)</f>
        <v>100</v>
      </c>
      <c r="T108" s="77">
        <f t="shared" ref="T108" si="182">+SUM(T97:T107)</f>
        <v>100</v>
      </c>
      <c r="U108" s="77">
        <f t="shared" ref="U108" si="183">+SUM(U97:U107)</f>
        <v>100</v>
      </c>
      <c r="V108" s="77">
        <f t="shared" ref="V108" si="184">+SUM(V97:V107)</f>
        <v>100</v>
      </c>
      <c r="W108" s="77">
        <f t="shared" ref="W108" si="185">+SUM(W97:W107)</f>
        <v>100</v>
      </c>
      <c r="X108" s="77">
        <f t="shared" ref="X108" si="186">+SUM(X97:X107)</f>
        <v>100</v>
      </c>
      <c r="Y108" s="77">
        <f t="shared" ref="Y108" si="187">+SUM(Y97:Y107)</f>
        <v>100</v>
      </c>
      <c r="Z108" s="77">
        <f t="shared" ref="Z108" si="188">+SUM(Z97:Z107)</f>
        <v>100</v>
      </c>
      <c r="AA108" s="77">
        <f t="shared" ref="AA108" si="189">+SUM(AA97:AA107)</f>
        <v>100</v>
      </c>
      <c r="AB108" s="77">
        <f t="shared" ref="AB108" si="190">+SUM(AB97:AB107)</f>
        <v>100</v>
      </c>
      <c r="AC108" s="77">
        <f t="shared" ref="AC108" si="191">+SUM(AC97:AC107)</f>
        <v>100</v>
      </c>
      <c r="AD108" s="77">
        <f t="shared" ref="AD108" si="192">+SUM(AD97:AD107)</f>
        <v>100</v>
      </c>
      <c r="AE108" s="77">
        <f t="shared" ref="AE108" si="193">+SUM(AE97:AE107)</f>
        <v>100</v>
      </c>
      <c r="AF108" s="77">
        <f t="shared" ref="AF108" si="194">+SUM(AF97:AF107)</f>
        <v>100</v>
      </c>
      <c r="AG108" s="77">
        <f t="shared" ref="AG108" si="195">+SUM(AG97:AG107)</f>
        <v>100</v>
      </c>
      <c r="AH108" s="77">
        <f t="shared" ref="AH108" si="196">+SUM(AH97:AH107)</f>
        <v>100</v>
      </c>
      <c r="AI108" s="77">
        <f t="shared" ref="AI108" si="197">+SUM(AI97:AI107)</f>
        <v>100</v>
      </c>
      <c r="AJ108" s="77">
        <f t="shared" ref="AJ108" si="198">+SUM(AJ97:AJ107)</f>
        <v>100</v>
      </c>
    </row>
    <row r="109" spans="1:36" s="74" customFormat="1" ht="15.75" x14ac:dyDescent="0.25">
      <c r="A109" s="72" t="s">
        <v>774</v>
      </c>
      <c r="B109" s="73"/>
      <c r="C109" s="72"/>
      <c r="D109" s="72"/>
      <c r="E109" s="72"/>
      <c r="F109" s="72"/>
      <c r="G109" s="72"/>
      <c r="H109" s="72"/>
      <c r="I109" s="72"/>
      <c r="J109" s="72"/>
      <c r="K109" s="72"/>
      <c r="L109" s="72"/>
      <c r="M109" s="72"/>
      <c r="N109" s="72"/>
      <c r="O109" s="72"/>
      <c r="P109" s="72"/>
      <c r="Q109" s="72"/>
      <c r="R109" s="72"/>
      <c r="S109" s="72"/>
      <c r="T109" s="72"/>
      <c r="U109" s="72"/>
      <c r="V109" s="72"/>
      <c r="W109" s="72"/>
      <c r="X109" s="72"/>
      <c r="Y109" s="72"/>
      <c r="Z109" s="72"/>
      <c r="AA109" s="72"/>
      <c r="AB109" s="72"/>
      <c r="AC109" s="72"/>
      <c r="AD109" s="72"/>
      <c r="AE109" s="72"/>
      <c r="AF109" s="72"/>
      <c r="AG109" s="72"/>
      <c r="AH109" s="72"/>
      <c r="AI109" s="72"/>
      <c r="AJ109" s="72"/>
    </row>
    <row r="110" spans="1:36" x14ac:dyDescent="0.25">
      <c r="A110" t="s">
        <v>529</v>
      </c>
      <c r="B110" t="s">
        <v>305</v>
      </c>
      <c r="C110" s="25">
        <v>0</v>
      </c>
      <c r="D110" s="25">
        <v>0</v>
      </c>
      <c r="E110" s="25">
        <v>0</v>
      </c>
      <c r="F110" s="25">
        <v>0</v>
      </c>
      <c r="G110" s="25">
        <v>0</v>
      </c>
      <c r="H110" s="25">
        <v>0</v>
      </c>
      <c r="I110" s="25">
        <v>0</v>
      </c>
      <c r="J110" s="25">
        <v>0</v>
      </c>
      <c r="K110" s="25">
        <v>0</v>
      </c>
      <c r="L110" s="25">
        <v>0</v>
      </c>
      <c r="M110" s="25">
        <v>0</v>
      </c>
      <c r="N110" s="25">
        <v>0</v>
      </c>
      <c r="O110" s="25">
        <v>0</v>
      </c>
      <c r="P110" s="25">
        <v>0</v>
      </c>
      <c r="Q110" s="25">
        <v>0</v>
      </c>
      <c r="R110" s="25">
        <v>0</v>
      </c>
      <c r="S110" s="25">
        <v>0</v>
      </c>
      <c r="T110" s="25">
        <v>0</v>
      </c>
      <c r="U110" s="25">
        <v>0</v>
      </c>
      <c r="V110" s="25">
        <v>0</v>
      </c>
      <c r="W110" s="25">
        <v>0</v>
      </c>
      <c r="X110" s="25">
        <v>0</v>
      </c>
      <c r="Y110" s="25">
        <v>0</v>
      </c>
      <c r="Z110" s="25">
        <v>0</v>
      </c>
      <c r="AA110" s="25">
        <v>0</v>
      </c>
      <c r="AB110" s="25">
        <v>0</v>
      </c>
      <c r="AC110" s="25">
        <v>0</v>
      </c>
      <c r="AD110" s="25">
        <v>0</v>
      </c>
      <c r="AE110" s="25">
        <v>0</v>
      </c>
      <c r="AF110" s="25">
        <v>0</v>
      </c>
      <c r="AG110" s="25">
        <v>0</v>
      </c>
      <c r="AH110" s="25">
        <v>0</v>
      </c>
      <c r="AI110" s="25">
        <v>0</v>
      </c>
      <c r="AJ110" s="25">
        <v>0</v>
      </c>
    </row>
    <row r="111" spans="1:36" x14ac:dyDescent="0.25">
      <c r="A111" t="s">
        <v>530</v>
      </c>
      <c r="B111" t="s">
        <v>305</v>
      </c>
      <c r="C111" s="25">
        <v>0</v>
      </c>
      <c r="D111" s="25">
        <v>0</v>
      </c>
      <c r="E111" s="25">
        <v>0</v>
      </c>
      <c r="F111" s="25">
        <v>0</v>
      </c>
      <c r="G111" s="25">
        <v>0</v>
      </c>
      <c r="H111" s="25">
        <v>0</v>
      </c>
      <c r="I111" s="25">
        <v>0</v>
      </c>
      <c r="J111" s="25">
        <v>0</v>
      </c>
      <c r="K111" s="25">
        <v>0</v>
      </c>
      <c r="L111" s="25">
        <v>0</v>
      </c>
      <c r="M111" s="25">
        <v>0</v>
      </c>
      <c r="N111" s="25">
        <v>0</v>
      </c>
      <c r="O111" s="25">
        <v>0</v>
      </c>
      <c r="P111" s="25">
        <v>0</v>
      </c>
      <c r="Q111" s="25">
        <v>0</v>
      </c>
      <c r="R111" s="25">
        <v>0</v>
      </c>
      <c r="S111" s="25">
        <v>0</v>
      </c>
      <c r="T111" s="25">
        <v>0</v>
      </c>
      <c r="U111" s="25">
        <v>0</v>
      </c>
      <c r="V111" s="25">
        <v>0</v>
      </c>
      <c r="W111" s="25">
        <v>0</v>
      </c>
      <c r="X111" s="25">
        <v>0</v>
      </c>
      <c r="Y111" s="25">
        <v>0</v>
      </c>
      <c r="Z111" s="25">
        <v>0</v>
      </c>
      <c r="AA111" s="25">
        <v>0</v>
      </c>
      <c r="AB111" s="25">
        <v>0</v>
      </c>
      <c r="AC111" s="25">
        <v>0</v>
      </c>
      <c r="AD111" s="25">
        <v>0</v>
      </c>
      <c r="AE111" s="25">
        <v>0</v>
      </c>
      <c r="AF111" s="25">
        <v>0</v>
      </c>
      <c r="AG111" s="25">
        <v>0</v>
      </c>
      <c r="AH111" s="25">
        <v>0</v>
      </c>
      <c r="AI111" s="25">
        <v>0</v>
      </c>
      <c r="AJ111" s="25">
        <v>0</v>
      </c>
    </row>
    <row r="112" spans="1:36" x14ac:dyDescent="0.25">
      <c r="A112" t="s">
        <v>531</v>
      </c>
      <c r="B112" t="s">
        <v>305</v>
      </c>
      <c r="C112" s="25">
        <v>1</v>
      </c>
      <c r="D112" s="25">
        <v>1</v>
      </c>
      <c r="E112" s="25">
        <v>1</v>
      </c>
      <c r="F112" s="25">
        <v>1</v>
      </c>
      <c r="G112" s="25">
        <v>1</v>
      </c>
      <c r="H112" s="25">
        <v>1</v>
      </c>
      <c r="I112" s="25">
        <v>1</v>
      </c>
      <c r="J112" s="25">
        <v>1</v>
      </c>
      <c r="K112" s="25">
        <v>1</v>
      </c>
      <c r="L112" s="25">
        <v>1</v>
      </c>
      <c r="M112" s="25">
        <v>1</v>
      </c>
      <c r="N112" s="25">
        <v>1</v>
      </c>
      <c r="O112" s="25">
        <v>1</v>
      </c>
      <c r="P112" s="25">
        <v>1</v>
      </c>
      <c r="Q112" s="25">
        <v>1</v>
      </c>
      <c r="R112" s="25">
        <v>1</v>
      </c>
      <c r="S112" s="25">
        <v>1</v>
      </c>
      <c r="T112" s="25">
        <v>1</v>
      </c>
      <c r="U112" s="25">
        <v>1</v>
      </c>
      <c r="V112" s="25">
        <v>1</v>
      </c>
      <c r="W112" s="25">
        <v>1</v>
      </c>
      <c r="X112" s="25">
        <v>1</v>
      </c>
      <c r="Y112" s="25">
        <v>1</v>
      </c>
      <c r="Z112" s="25">
        <v>1</v>
      </c>
      <c r="AA112" s="25">
        <v>1</v>
      </c>
      <c r="AB112" s="25">
        <v>1</v>
      </c>
      <c r="AC112" s="25">
        <v>1</v>
      </c>
      <c r="AD112" s="25">
        <v>1</v>
      </c>
      <c r="AE112" s="25">
        <v>1</v>
      </c>
      <c r="AF112" s="25">
        <v>1</v>
      </c>
      <c r="AG112" s="25">
        <v>1</v>
      </c>
      <c r="AH112" s="25">
        <v>1</v>
      </c>
      <c r="AI112" s="25">
        <v>1</v>
      </c>
      <c r="AJ112" s="25">
        <v>1</v>
      </c>
    </row>
    <row r="113" spans="1:36" x14ac:dyDescent="0.25">
      <c r="A113" t="s">
        <v>532</v>
      </c>
      <c r="B113" t="s">
        <v>305</v>
      </c>
      <c r="C113" s="25">
        <v>0</v>
      </c>
      <c r="D113" s="25">
        <v>0</v>
      </c>
      <c r="E113" s="25">
        <v>0</v>
      </c>
      <c r="F113" s="25">
        <v>0</v>
      </c>
      <c r="G113" s="25">
        <v>0</v>
      </c>
      <c r="H113" s="25">
        <v>0</v>
      </c>
      <c r="I113" s="25">
        <v>0</v>
      </c>
      <c r="J113" s="25">
        <v>0</v>
      </c>
      <c r="K113" s="25">
        <v>0</v>
      </c>
      <c r="L113" s="25">
        <v>0</v>
      </c>
      <c r="M113" s="25">
        <v>0</v>
      </c>
      <c r="N113" s="25">
        <v>0</v>
      </c>
      <c r="O113" s="25">
        <v>0</v>
      </c>
      <c r="P113" s="25">
        <v>0</v>
      </c>
      <c r="Q113" s="25">
        <v>0</v>
      </c>
      <c r="R113" s="25">
        <v>0</v>
      </c>
      <c r="S113" s="25">
        <v>0</v>
      </c>
      <c r="T113" s="25">
        <v>0</v>
      </c>
      <c r="U113" s="25">
        <v>0</v>
      </c>
      <c r="V113" s="25">
        <v>0</v>
      </c>
      <c r="W113" s="25">
        <v>0</v>
      </c>
      <c r="X113" s="25">
        <v>0</v>
      </c>
      <c r="Y113" s="25">
        <v>0</v>
      </c>
      <c r="Z113" s="25">
        <v>0</v>
      </c>
      <c r="AA113" s="25">
        <v>0</v>
      </c>
      <c r="AB113" s="25">
        <v>0</v>
      </c>
      <c r="AC113" s="25">
        <v>0</v>
      </c>
      <c r="AD113" s="25">
        <v>0</v>
      </c>
      <c r="AE113" s="25">
        <v>0</v>
      </c>
      <c r="AF113" s="25">
        <v>0</v>
      </c>
      <c r="AG113" s="25">
        <v>0</v>
      </c>
      <c r="AH113" s="25">
        <v>0</v>
      </c>
      <c r="AI113" s="25">
        <v>0</v>
      </c>
      <c r="AJ113" s="25">
        <v>0</v>
      </c>
    </row>
    <row r="114" spans="1:36" x14ac:dyDescent="0.25">
      <c r="A114" t="s">
        <v>533</v>
      </c>
      <c r="B114" t="s">
        <v>305</v>
      </c>
      <c r="C114" s="25">
        <v>0</v>
      </c>
      <c r="D114" s="25">
        <v>0</v>
      </c>
      <c r="E114" s="25">
        <v>0</v>
      </c>
      <c r="F114" s="25">
        <v>0</v>
      </c>
      <c r="G114" s="25">
        <v>0</v>
      </c>
      <c r="H114" s="25">
        <v>0</v>
      </c>
      <c r="I114" s="25">
        <v>0</v>
      </c>
      <c r="J114" s="25">
        <v>0</v>
      </c>
      <c r="K114" s="25">
        <v>0</v>
      </c>
      <c r="L114" s="25">
        <v>0</v>
      </c>
      <c r="M114" s="25">
        <v>0</v>
      </c>
      <c r="N114" s="25">
        <v>0</v>
      </c>
      <c r="O114" s="25">
        <v>0</v>
      </c>
      <c r="P114" s="25">
        <v>0</v>
      </c>
      <c r="Q114" s="25">
        <v>0</v>
      </c>
      <c r="R114" s="25">
        <v>0</v>
      </c>
      <c r="S114" s="25">
        <v>0</v>
      </c>
      <c r="T114" s="25">
        <v>0</v>
      </c>
      <c r="U114" s="25">
        <v>0</v>
      </c>
      <c r="V114" s="25">
        <v>0</v>
      </c>
      <c r="W114" s="25">
        <v>0</v>
      </c>
      <c r="X114" s="25">
        <v>0</v>
      </c>
      <c r="Y114" s="25">
        <v>0</v>
      </c>
      <c r="Z114" s="25">
        <v>0</v>
      </c>
      <c r="AA114" s="25">
        <v>0</v>
      </c>
      <c r="AB114" s="25">
        <v>0</v>
      </c>
      <c r="AC114" s="25">
        <v>0</v>
      </c>
      <c r="AD114" s="25">
        <v>0</v>
      </c>
      <c r="AE114" s="25">
        <v>0</v>
      </c>
      <c r="AF114" s="25">
        <v>0</v>
      </c>
      <c r="AG114" s="25">
        <v>0</v>
      </c>
      <c r="AH114" s="25">
        <v>0</v>
      </c>
      <c r="AI114" s="25">
        <v>0</v>
      </c>
      <c r="AJ114" s="25">
        <v>0</v>
      </c>
    </row>
    <row r="115" spans="1:36" x14ac:dyDescent="0.25">
      <c r="A115" t="s">
        <v>534</v>
      </c>
      <c r="B115" t="s">
        <v>305</v>
      </c>
      <c r="C115" s="25">
        <v>0</v>
      </c>
      <c r="D115" s="25">
        <v>0</v>
      </c>
      <c r="E115" s="25">
        <v>0</v>
      </c>
      <c r="F115" s="25">
        <v>0</v>
      </c>
      <c r="G115" s="25">
        <v>0</v>
      </c>
      <c r="H115" s="25">
        <v>0</v>
      </c>
      <c r="I115" s="25">
        <v>0</v>
      </c>
      <c r="J115" s="25">
        <v>0</v>
      </c>
      <c r="K115" s="25">
        <v>0</v>
      </c>
      <c r="L115" s="25">
        <v>0</v>
      </c>
      <c r="M115" s="25">
        <v>0</v>
      </c>
      <c r="N115" s="25">
        <v>0</v>
      </c>
      <c r="O115" s="25">
        <v>0</v>
      </c>
      <c r="P115" s="25">
        <v>0</v>
      </c>
      <c r="Q115" s="25">
        <v>0</v>
      </c>
      <c r="R115" s="25">
        <v>0</v>
      </c>
      <c r="S115" s="25">
        <v>0</v>
      </c>
      <c r="T115" s="25">
        <v>0</v>
      </c>
      <c r="U115" s="25">
        <v>0</v>
      </c>
      <c r="V115" s="25">
        <v>0</v>
      </c>
      <c r="W115" s="25">
        <v>0</v>
      </c>
      <c r="X115" s="25">
        <v>0</v>
      </c>
      <c r="Y115" s="25">
        <v>0</v>
      </c>
      <c r="Z115" s="25">
        <v>0</v>
      </c>
      <c r="AA115" s="25">
        <v>0</v>
      </c>
      <c r="AB115" s="25">
        <v>0</v>
      </c>
      <c r="AC115" s="25">
        <v>0</v>
      </c>
      <c r="AD115" s="25">
        <v>0</v>
      </c>
      <c r="AE115" s="25">
        <v>0</v>
      </c>
      <c r="AF115" s="25">
        <v>0</v>
      </c>
      <c r="AG115" s="25">
        <v>0</v>
      </c>
      <c r="AH115" s="25">
        <v>0</v>
      </c>
      <c r="AI115" s="25">
        <v>0</v>
      </c>
      <c r="AJ115" s="25">
        <v>0</v>
      </c>
    </row>
    <row r="116" spans="1:36" x14ac:dyDescent="0.25">
      <c r="A116" t="s">
        <v>535</v>
      </c>
      <c r="B116" t="s">
        <v>305</v>
      </c>
      <c r="C116" s="25">
        <v>0</v>
      </c>
      <c r="D116" s="25">
        <v>0</v>
      </c>
      <c r="E116" s="25">
        <v>0</v>
      </c>
      <c r="F116" s="25">
        <v>0</v>
      </c>
      <c r="G116" s="25">
        <v>0</v>
      </c>
      <c r="H116" s="25">
        <v>0</v>
      </c>
      <c r="I116" s="25">
        <v>0</v>
      </c>
      <c r="J116" s="25">
        <v>0</v>
      </c>
      <c r="K116" s="25">
        <v>0</v>
      </c>
      <c r="L116" s="25">
        <v>0</v>
      </c>
      <c r="M116" s="25">
        <v>0</v>
      </c>
      <c r="N116" s="25">
        <v>0</v>
      </c>
      <c r="O116" s="25">
        <v>0</v>
      </c>
      <c r="P116" s="25">
        <v>0</v>
      </c>
      <c r="Q116" s="25">
        <v>0</v>
      </c>
      <c r="R116" s="25">
        <v>0</v>
      </c>
      <c r="S116" s="25">
        <v>0</v>
      </c>
      <c r="T116" s="25">
        <v>0</v>
      </c>
      <c r="U116" s="25">
        <v>0</v>
      </c>
      <c r="V116" s="25">
        <v>0</v>
      </c>
      <c r="W116" s="25">
        <v>0</v>
      </c>
      <c r="X116" s="25">
        <v>0</v>
      </c>
      <c r="Y116" s="25">
        <v>0</v>
      </c>
      <c r="Z116" s="25">
        <v>0</v>
      </c>
      <c r="AA116" s="25">
        <v>0</v>
      </c>
      <c r="AB116" s="25">
        <v>0</v>
      </c>
      <c r="AC116" s="25">
        <v>0</v>
      </c>
      <c r="AD116" s="25">
        <v>0</v>
      </c>
      <c r="AE116" s="25">
        <v>0</v>
      </c>
      <c r="AF116" s="25">
        <v>0</v>
      </c>
      <c r="AG116" s="25">
        <v>0</v>
      </c>
      <c r="AH116" s="25">
        <v>0</v>
      </c>
      <c r="AI116" s="25">
        <v>0</v>
      </c>
      <c r="AJ116" s="25">
        <v>0</v>
      </c>
    </row>
    <row r="117" spans="1:36" x14ac:dyDescent="0.25">
      <c r="A117" t="s">
        <v>536</v>
      </c>
      <c r="B117" t="s">
        <v>305</v>
      </c>
      <c r="C117" s="25">
        <v>0</v>
      </c>
      <c r="D117" s="25">
        <v>0</v>
      </c>
      <c r="E117" s="25">
        <v>0</v>
      </c>
      <c r="F117" s="25">
        <v>0</v>
      </c>
      <c r="G117" s="25">
        <v>0</v>
      </c>
      <c r="H117" s="25">
        <v>0</v>
      </c>
      <c r="I117" s="25">
        <v>0</v>
      </c>
      <c r="J117" s="25">
        <v>0</v>
      </c>
      <c r="K117" s="25">
        <v>0</v>
      </c>
      <c r="L117" s="25">
        <v>0</v>
      </c>
      <c r="M117" s="25">
        <v>0</v>
      </c>
      <c r="N117" s="25">
        <v>0</v>
      </c>
      <c r="O117" s="25">
        <v>0</v>
      </c>
      <c r="P117" s="25">
        <v>0</v>
      </c>
      <c r="Q117" s="25">
        <v>0</v>
      </c>
      <c r="R117" s="25">
        <v>0</v>
      </c>
      <c r="S117" s="25">
        <v>0</v>
      </c>
      <c r="T117" s="25">
        <v>0</v>
      </c>
      <c r="U117" s="25">
        <v>0</v>
      </c>
      <c r="V117" s="25">
        <v>0</v>
      </c>
      <c r="W117" s="25">
        <v>0</v>
      </c>
      <c r="X117" s="25">
        <v>0</v>
      </c>
      <c r="Y117" s="25">
        <v>0</v>
      </c>
      <c r="Z117" s="25">
        <v>0</v>
      </c>
      <c r="AA117" s="25">
        <v>0</v>
      </c>
      <c r="AB117" s="25">
        <v>0</v>
      </c>
      <c r="AC117" s="25">
        <v>0</v>
      </c>
      <c r="AD117" s="25">
        <v>0</v>
      </c>
      <c r="AE117" s="25">
        <v>0</v>
      </c>
      <c r="AF117" s="25">
        <v>0</v>
      </c>
      <c r="AG117" s="25">
        <v>0</v>
      </c>
      <c r="AH117" s="25">
        <v>0</v>
      </c>
      <c r="AI117" s="25">
        <v>0</v>
      </c>
      <c r="AJ117" s="25">
        <v>0</v>
      </c>
    </row>
    <row r="118" spans="1:36" x14ac:dyDescent="0.25">
      <c r="A118" t="s">
        <v>537</v>
      </c>
      <c r="B118" t="s">
        <v>305</v>
      </c>
      <c r="C118" s="25">
        <v>0</v>
      </c>
      <c r="D118" s="25">
        <v>0</v>
      </c>
      <c r="E118" s="25">
        <v>0</v>
      </c>
      <c r="F118" s="25">
        <v>0</v>
      </c>
      <c r="G118" s="25">
        <v>0</v>
      </c>
      <c r="H118" s="25">
        <v>0</v>
      </c>
      <c r="I118" s="25">
        <v>0</v>
      </c>
      <c r="J118" s="25">
        <v>0</v>
      </c>
      <c r="K118" s="25">
        <v>0</v>
      </c>
      <c r="L118" s="25">
        <v>0</v>
      </c>
      <c r="M118" s="25">
        <v>0</v>
      </c>
      <c r="N118" s="25">
        <v>0</v>
      </c>
      <c r="O118" s="25">
        <v>0</v>
      </c>
      <c r="P118" s="25">
        <v>0</v>
      </c>
      <c r="Q118" s="25">
        <v>0</v>
      </c>
      <c r="R118" s="25">
        <v>0</v>
      </c>
      <c r="S118" s="25">
        <v>0</v>
      </c>
      <c r="T118" s="25">
        <v>0</v>
      </c>
      <c r="U118" s="25">
        <v>0</v>
      </c>
      <c r="V118" s="25">
        <v>0</v>
      </c>
      <c r="W118" s="25">
        <v>0</v>
      </c>
      <c r="X118" s="25">
        <v>0</v>
      </c>
      <c r="Y118" s="25">
        <v>0</v>
      </c>
      <c r="Z118" s="25">
        <v>0</v>
      </c>
      <c r="AA118" s="25">
        <v>0</v>
      </c>
      <c r="AB118" s="25">
        <v>0</v>
      </c>
      <c r="AC118" s="25">
        <v>0</v>
      </c>
      <c r="AD118" s="25">
        <v>0</v>
      </c>
      <c r="AE118" s="25">
        <v>0</v>
      </c>
      <c r="AF118" s="25">
        <v>0</v>
      </c>
      <c r="AG118" s="25">
        <v>0</v>
      </c>
      <c r="AH118" s="25">
        <v>0</v>
      </c>
      <c r="AI118" s="25">
        <v>0</v>
      </c>
      <c r="AJ118" s="25">
        <v>0</v>
      </c>
    </row>
    <row r="119" spans="1:36" x14ac:dyDescent="0.25">
      <c r="A119" t="s">
        <v>538</v>
      </c>
      <c r="B119" t="s">
        <v>305</v>
      </c>
      <c r="C119" s="25">
        <v>99</v>
      </c>
      <c r="D119" s="25">
        <v>99</v>
      </c>
      <c r="E119" s="25">
        <v>99</v>
      </c>
      <c r="F119" s="25">
        <v>99</v>
      </c>
      <c r="G119" s="25">
        <v>99</v>
      </c>
      <c r="H119" s="25">
        <v>99</v>
      </c>
      <c r="I119" s="25">
        <v>99</v>
      </c>
      <c r="J119" s="25">
        <v>99</v>
      </c>
      <c r="K119" s="25">
        <v>99</v>
      </c>
      <c r="L119" s="25">
        <v>99</v>
      </c>
      <c r="M119" s="25">
        <v>99</v>
      </c>
      <c r="N119" s="25">
        <v>99</v>
      </c>
      <c r="O119" s="25">
        <v>99</v>
      </c>
      <c r="P119" s="25">
        <v>99</v>
      </c>
      <c r="Q119" s="25">
        <v>99</v>
      </c>
      <c r="R119" s="25">
        <v>99</v>
      </c>
      <c r="S119" s="25">
        <v>99</v>
      </c>
      <c r="T119" s="25">
        <v>99</v>
      </c>
      <c r="U119" s="25">
        <v>99</v>
      </c>
      <c r="V119" s="25">
        <v>99</v>
      </c>
      <c r="W119" s="25">
        <v>99</v>
      </c>
      <c r="X119" s="25">
        <v>99</v>
      </c>
      <c r="Y119" s="25">
        <v>99</v>
      </c>
      <c r="Z119" s="25">
        <v>99</v>
      </c>
      <c r="AA119" s="25">
        <v>99</v>
      </c>
      <c r="AB119" s="25">
        <v>99</v>
      </c>
      <c r="AC119" s="25">
        <v>99</v>
      </c>
      <c r="AD119" s="25">
        <v>99</v>
      </c>
      <c r="AE119" s="25">
        <v>99</v>
      </c>
      <c r="AF119" s="25">
        <v>99</v>
      </c>
      <c r="AG119" s="25">
        <v>99</v>
      </c>
      <c r="AH119" s="25">
        <v>99</v>
      </c>
      <c r="AI119" s="25">
        <v>99</v>
      </c>
      <c r="AJ119" s="25">
        <v>99</v>
      </c>
    </row>
    <row r="120" spans="1:36" x14ac:dyDescent="0.25">
      <c r="A120" t="s">
        <v>759</v>
      </c>
      <c r="B120" t="s">
        <v>305</v>
      </c>
      <c r="C120" s="25">
        <v>0</v>
      </c>
      <c r="D120" s="25">
        <v>0</v>
      </c>
      <c r="E120" s="25">
        <v>0</v>
      </c>
      <c r="F120" s="25">
        <v>0</v>
      </c>
      <c r="G120" s="25">
        <v>0</v>
      </c>
      <c r="H120" s="25">
        <v>0</v>
      </c>
      <c r="I120" s="25">
        <v>0</v>
      </c>
      <c r="J120" s="25">
        <v>0</v>
      </c>
      <c r="K120" s="25">
        <v>0</v>
      </c>
      <c r="L120" s="25">
        <v>0</v>
      </c>
      <c r="M120" s="25">
        <v>0</v>
      </c>
      <c r="N120" s="25">
        <v>0</v>
      </c>
      <c r="O120" s="25">
        <v>0</v>
      </c>
      <c r="P120" s="25">
        <v>0</v>
      </c>
      <c r="Q120" s="25">
        <v>0</v>
      </c>
      <c r="R120" s="25">
        <v>0</v>
      </c>
      <c r="S120" s="25">
        <v>0</v>
      </c>
      <c r="T120" s="25">
        <v>0</v>
      </c>
      <c r="U120" s="25">
        <v>0</v>
      </c>
      <c r="V120" s="25">
        <v>0</v>
      </c>
      <c r="W120" s="25">
        <v>0</v>
      </c>
      <c r="X120" s="25">
        <v>0</v>
      </c>
      <c r="Y120" s="25">
        <v>0</v>
      </c>
      <c r="Z120" s="25">
        <v>0</v>
      </c>
      <c r="AA120" s="25">
        <v>0</v>
      </c>
      <c r="AB120" s="25">
        <v>0</v>
      </c>
      <c r="AC120" s="25">
        <v>0</v>
      </c>
      <c r="AD120" s="25">
        <v>0</v>
      </c>
      <c r="AE120" s="25">
        <v>0</v>
      </c>
      <c r="AF120" s="25">
        <v>0</v>
      </c>
      <c r="AG120" s="25">
        <v>0</v>
      </c>
      <c r="AH120" s="25">
        <v>0</v>
      </c>
      <c r="AI120" s="25">
        <v>0</v>
      </c>
      <c r="AJ120" s="25">
        <v>0</v>
      </c>
    </row>
    <row r="121" spans="1:36" s="76" customFormat="1" x14ac:dyDescent="0.25">
      <c r="A121" s="76" t="s">
        <v>780</v>
      </c>
      <c r="C121" s="77">
        <f>+SUM(C110:C120)</f>
        <v>100</v>
      </c>
      <c r="D121" s="77">
        <f t="shared" ref="D121" si="199">+SUM(D110:D120)</f>
        <v>100</v>
      </c>
      <c r="E121" s="77">
        <f t="shared" ref="E121" si="200">+SUM(E110:E120)</f>
        <v>100</v>
      </c>
      <c r="F121" s="77">
        <f t="shared" ref="F121" si="201">+SUM(F110:F120)</f>
        <v>100</v>
      </c>
      <c r="G121" s="77">
        <f t="shared" ref="G121" si="202">+SUM(G110:G120)</f>
        <v>100</v>
      </c>
      <c r="H121" s="77">
        <f t="shared" ref="H121" si="203">+SUM(H110:H120)</f>
        <v>100</v>
      </c>
      <c r="I121" s="77">
        <f t="shared" ref="I121" si="204">+SUM(I110:I120)</f>
        <v>100</v>
      </c>
      <c r="J121" s="77">
        <f t="shared" ref="J121" si="205">+SUM(J110:J120)</f>
        <v>100</v>
      </c>
      <c r="K121" s="77">
        <f t="shared" ref="K121" si="206">+SUM(K110:K120)</f>
        <v>100</v>
      </c>
      <c r="L121" s="77">
        <f t="shared" ref="L121" si="207">+SUM(L110:L120)</f>
        <v>100</v>
      </c>
      <c r="M121" s="77">
        <f t="shared" ref="M121" si="208">+SUM(M110:M120)</f>
        <v>100</v>
      </c>
      <c r="N121" s="77">
        <f t="shared" ref="N121" si="209">+SUM(N110:N120)</f>
        <v>100</v>
      </c>
      <c r="O121" s="77">
        <f t="shared" ref="O121" si="210">+SUM(O110:O120)</f>
        <v>100</v>
      </c>
      <c r="P121" s="77">
        <f t="shared" ref="P121" si="211">+SUM(P110:P120)</f>
        <v>100</v>
      </c>
      <c r="Q121" s="77">
        <f t="shared" ref="Q121" si="212">+SUM(Q110:Q120)</f>
        <v>100</v>
      </c>
      <c r="R121" s="77">
        <f t="shared" ref="R121" si="213">+SUM(R110:R120)</f>
        <v>100</v>
      </c>
      <c r="S121" s="77">
        <f t="shared" ref="S121" si="214">+SUM(S110:S120)</f>
        <v>100</v>
      </c>
      <c r="T121" s="77">
        <f t="shared" ref="T121" si="215">+SUM(T110:T120)</f>
        <v>100</v>
      </c>
      <c r="U121" s="77">
        <f t="shared" ref="U121" si="216">+SUM(U110:U120)</f>
        <v>100</v>
      </c>
      <c r="V121" s="77">
        <f t="shared" ref="V121" si="217">+SUM(V110:V120)</f>
        <v>100</v>
      </c>
      <c r="W121" s="77">
        <f t="shared" ref="W121" si="218">+SUM(W110:W120)</f>
        <v>100</v>
      </c>
      <c r="X121" s="77">
        <f t="shared" ref="X121" si="219">+SUM(X110:X120)</f>
        <v>100</v>
      </c>
      <c r="Y121" s="77">
        <f t="shared" ref="Y121" si="220">+SUM(Y110:Y120)</f>
        <v>100</v>
      </c>
      <c r="Z121" s="77">
        <f t="shared" ref="Z121" si="221">+SUM(Z110:Z120)</f>
        <v>100</v>
      </c>
      <c r="AA121" s="77">
        <f t="shared" ref="AA121" si="222">+SUM(AA110:AA120)</f>
        <v>100</v>
      </c>
      <c r="AB121" s="77">
        <f t="shared" ref="AB121" si="223">+SUM(AB110:AB120)</f>
        <v>100</v>
      </c>
      <c r="AC121" s="77">
        <f t="shared" ref="AC121" si="224">+SUM(AC110:AC120)</f>
        <v>100</v>
      </c>
      <c r="AD121" s="77">
        <f t="shared" ref="AD121" si="225">+SUM(AD110:AD120)</f>
        <v>100</v>
      </c>
      <c r="AE121" s="77">
        <f t="shared" ref="AE121" si="226">+SUM(AE110:AE120)</f>
        <v>100</v>
      </c>
      <c r="AF121" s="77">
        <f t="shared" ref="AF121" si="227">+SUM(AF110:AF120)</f>
        <v>100</v>
      </c>
      <c r="AG121" s="77">
        <f t="shared" ref="AG121" si="228">+SUM(AG110:AG120)</f>
        <v>100</v>
      </c>
      <c r="AH121" s="77">
        <f t="shared" ref="AH121" si="229">+SUM(AH110:AH120)</f>
        <v>100</v>
      </c>
      <c r="AI121" s="77">
        <f t="shared" ref="AI121" si="230">+SUM(AI110:AI120)</f>
        <v>100</v>
      </c>
      <c r="AJ121" s="77">
        <f t="shared" ref="AJ121" si="231">+SUM(AJ110:AJ120)</f>
        <v>100</v>
      </c>
    </row>
    <row r="122" spans="1:36" x14ac:dyDescent="0.25">
      <c r="A122" t="s">
        <v>539</v>
      </c>
      <c r="B122" t="s">
        <v>305</v>
      </c>
      <c r="C122" s="25">
        <v>0</v>
      </c>
      <c r="D122" s="25">
        <v>0</v>
      </c>
      <c r="E122" s="25">
        <v>0</v>
      </c>
      <c r="F122" s="25">
        <v>0</v>
      </c>
      <c r="G122" s="25">
        <v>0</v>
      </c>
      <c r="H122" s="25">
        <v>0</v>
      </c>
      <c r="I122" s="25">
        <v>0</v>
      </c>
      <c r="J122" s="25">
        <v>0</v>
      </c>
      <c r="K122" s="25">
        <v>0</v>
      </c>
      <c r="L122" s="25">
        <v>0</v>
      </c>
      <c r="M122" s="25">
        <v>0</v>
      </c>
      <c r="N122" s="25">
        <v>0</v>
      </c>
      <c r="O122" s="25">
        <v>0</v>
      </c>
      <c r="P122" s="25">
        <v>0</v>
      </c>
      <c r="Q122" s="25">
        <v>0</v>
      </c>
      <c r="R122" s="25">
        <v>0</v>
      </c>
      <c r="S122" s="25">
        <v>0</v>
      </c>
      <c r="T122" s="25">
        <v>0</v>
      </c>
      <c r="U122" s="25">
        <v>0</v>
      </c>
      <c r="V122" s="25">
        <v>0</v>
      </c>
      <c r="W122" s="25">
        <v>0</v>
      </c>
      <c r="X122" s="25">
        <v>0</v>
      </c>
      <c r="Y122" s="25">
        <v>0</v>
      </c>
      <c r="Z122" s="25">
        <v>0</v>
      </c>
      <c r="AA122" s="25">
        <v>0</v>
      </c>
      <c r="AB122" s="25">
        <v>0</v>
      </c>
      <c r="AC122" s="25">
        <v>0</v>
      </c>
      <c r="AD122" s="25">
        <v>0</v>
      </c>
      <c r="AE122" s="25">
        <v>0</v>
      </c>
      <c r="AF122" s="25">
        <v>0</v>
      </c>
      <c r="AG122" s="25">
        <v>0</v>
      </c>
      <c r="AH122" s="25">
        <v>0</v>
      </c>
      <c r="AI122" s="25">
        <v>0</v>
      </c>
      <c r="AJ122" s="25">
        <v>0</v>
      </c>
    </row>
    <row r="123" spans="1:36" x14ac:dyDescent="0.25">
      <c r="A123" t="s">
        <v>540</v>
      </c>
      <c r="B123" t="s">
        <v>305</v>
      </c>
      <c r="C123" s="25">
        <v>0</v>
      </c>
      <c r="D123" s="25">
        <v>0</v>
      </c>
      <c r="E123" s="25">
        <v>0</v>
      </c>
      <c r="F123" s="25">
        <v>0</v>
      </c>
      <c r="G123" s="25">
        <v>0</v>
      </c>
      <c r="H123" s="25">
        <v>0</v>
      </c>
      <c r="I123" s="25">
        <v>0</v>
      </c>
      <c r="J123" s="25">
        <v>0</v>
      </c>
      <c r="K123" s="25">
        <v>0</v>
      </c>
      <c r="L123" s="25">
        <v>0</v>
      </c>
      <c r="M123" s="25">
        <v>0</v>
      </c>
      <c r="N123" s="25">
        <v>0</v>
      </c>
      <c r="O123" s="25">
        <v>0</v>
      </c>
      <c r="P123" s="25">
        <v>0</v>
      </c>
      <c r="Q123" s="25">
        <v>0</v>
      </c>
      <c r="R123" s="25">
        <v>0</v>
      </c>
      <c r="S123" s="25">
        <v>0</v>
      </c>
      <c r="T123" s="25">
        <v>0</v>
      </c>
      <c r="U123" s="25">
        <v>0</v>
      </c>
      <c r="V123" s="25">
        <v>0</v>
      </c>
      <c r="W123" s="25">
        <v>0</v>
      </c>
      <c r="X123" s="25">
        <v>0</v>
      </c>
      <c r="Y123" s="25">
        <v>0</v>
      </c>
      <c r="Z123" s="25">
        <v>0</v>
      </c>
      <c r="AA123" s="25">
        <v>0</v>
      </c>
      <c r="AB123" s="25">
        <v>0</v>
      </c>
      <c r="AC123" s="25">
        <v>0</v>
      </c>
      <c r="AD123" s="25">
        <v>0</v>
      </c>
      <c r="AE123" s="25">
        <v>0</v>
      </c>
      <c r="AF123" s="25">
        <v>0</v>
      </c>
      <c r="AG123" s="25">
        <v>0</v>
      </c>
      <c r="AH123" s="25">
        <v>0</v>
      </c>
      <c r="AI123" s="25">
        <v>0</v>
      </c>
      <c r="AJ123" s="25">
        <v>0</v>
      </c>
    </row>
    <row r="124" spans="1:36" x14ac:dyDescent="0.25">
      <c r="A124" t="s">
        <v>541</v>
      </c>
      <c r="B124" t="s">
        <v>305</v>
      </c>
      <c r="C124" s="25">
        <v>2</v>
      </c>
      <c r="D124" s="25">
        <v>2</v>
      </c>
      <c r="E124" s="25">
        <v>2</v>
      </c>
      <c r="F124" s="25">
        <v>2</v>
      </c>
      <c r="G124" s="25">
        <v>2</v>
      </c>
      <c r="H124" s="25">
        <v>2</v>
      </c>
      <c r="I124" s="25">
        <v>2</v>
      </c>
      <c r="J124" s="25">
        <v>2</v>
      </c>
      <c r="K124" s="25">
        <v>2</v>
      </c>
      <c r="L124" s="25">
        <v>2</v>
      </c>
      <c r="M124" s="25">
        <v>2</v>
      </c>
      <c r="N124" s="25">
        <v>2</v>
      </c>
      <c r="O124" s="25">
        <v>2</v>
      </c>
      <c r="P124" s="25">
        <v>2</v>
      </c>
      <c r="Q124" s="25">
        <v>2</v>
      </c>
      <c r="R124" s="25">
        <v>2</v>
      </c>
      <c r="S124" s="25">
        <v>2</v>
      </c>
      <c r="T124" s="25">
        <v>2</v>
      </c>
      <c r="U124" s="25">
        <v>2</v>
      </c>
      <c r="V124" s="25">
        <v>2</v>
      </c>
      <c r="W124" s="25">
        <v>2</v>
      </c>
      <c r="X124" s="25">
        <v>2</v>
      </c>
      <c r="Y124" s="25">
        <v>2</v>
      </c>
      <c r="Z124" s="25">
        <v>2</v>
      </c>
      <c r="AA124" s="25">
        <v>2</v>
      </c>
      <c r="AB124" s="25">
        <v>2</v>
      </c>
      <c r="AC124" s="25">
        <v>2</v>
      </c>
      <c r="AD124" s="25">
        <v>2</v>
      </c>
      <c r="AE124" s="25">
        <v>2</v>
      </c>
      <c r="AF124" s="25">
        <v>2</v>
      </c>
      <c r="AG124" s="25">
        <v>2</v>
      </c>
      <c r="AH124" s="25">
        <v>2</v>
      </c>
      <c r="AI124" s="25">
        <v>2</v>
      </c>
      <c r="AJ124" s="25">
        <v>2</v>
      </c>
    </row>
    <row r="125" spans="1:36" x14ac:dyDescent="0.25">
      <c r="A125" t="s">
        <v>542</v>
      </c>
      <c r="B125" t="s">
        <v>305</v>
      </c>
      <c r="C125" s="25">
        <v>0</v>
      </c>
      <c r="D125" s="25">
        <v>0</v>
      </c>
      <c r="E125" s="25">
        <v>0</v>
      </c>
      <c r="F125" s="25">
        <v>0</v>
      </c>
      <c r="G125" s="25">
        <v>0</v>
      </c>
      <c r="H125" s="25">
        <v>0</v>
      </c>
      <c r="I125" s="25">
        <v>0</v>
      </c>
      <c r="J125" s="25">
        <v>0</v>
      </c>
      <c r="K125" s="25">
        <v>0</v>
      </c>
      <c r="L125" s="25">
        <v>0</v>
      </c>
      <c r="M125" s="25">
        <v>0</v>
      </c>
      <c r="N125" s="25">
        <v>0</v>
      </c>
      <c r="O125" s="25">
        <v>0</v>
      </c>
      <c r="P125" s="25">
        <v>0</v>
      </c>
      <c r="Q125" s="25">
        <v>0</v>
      </c>
      <c r="R125" s="25">
        <v>0</v>
      </c>
      <c r="S125" s="25">
        <v>0</v>
      </c>
      <c r="T125" s="25">
        <v>0</v>
      </c>
      <c r="U125" s="25">
        <v>0</v>
      </c>
      <c r="V125" s="25">
        <v>0</v>
      </c>
      <c r="W125" s="25">
        <v>0</v>
      </c>
      <c r="X125" s="25">
        <v>0</v>
      </c>
      <c r="Y125" s="25">
        <v>0</v>
      </c>
      <c r="Z125" s="25">
        <v>0</v>
      </c>
      <c r="AA125" s="25">
        <v>0</v>
      </c>
      <c r="AB125" s="25">
        <v>0</v>
      </c>
      <c r="AC125" s="25">
        <v>0</v>
      </c>
      <c r="AD125" s="25">
        <v>0</v>
      </c>
      <c r="AE125" s="25">
        <v>0</v>
      </c>
      <c r="AF125" s="25">
        <v>0</v>
      </c>
      <c r="AG125" s="25">
        <v>0</v>
      </c>
      <c r="AH125" s="25">
        <v>0</v>
      </c>
      <c r="AI125" s="25">
        <v>0</v>
      </c>
      <c r="AJ125" s="25">
        <v>0</v>
      </c>
    </row>
    <row r="126" spans="1:36" x14ac:dyDescent="0.25">
      <c r="A126" t="s">
        <v>543</v>
      </c>
      <c r="B126" t="s">
        <v>305</v>
      </c>
      <c r="C126" s="25">
        <v>0</v>
      </c>
      <c r="D126" s="25">
        <v>0</v>
      </c>
      <c r="E126" s="25">
        <v>0</v>
      </c>
      <c r="F126" s="25">
        <v>0</v>
      </c>
      <c r="G126" s="25">
        <v>0</v>
      </c>
      <c r="H126" s="25">
        <v>0</v>
      </c>
      <c r="I126" s="25">
        <v>0</v>
      </c>
      <c r="J126" s="25">
        <v>0</v>
      </c>
      <c r="K126" s="25">
        <v>0</v>
      </c>
      <c r="L126" s="25">
        <v>0</v>
      </c>
      <c r="M126" s="25">
        <v>0</v>
      </c>
      <c r="N126" s="25">
        <v>0</v>
      </c>
      <c r="O126" s="25">
        <v>0</v>
      </c>
      <c r="P126" s="25">
        <v>0</v>
      </c>
      <c r="Q126" s="25">
        <v>0</v>
      </c>
      <c r="R126" s="25">
        <v>0</v>
      </c>
      <c r="S126" s="25">
        <v>0</v>
      </c>
      <c r="T126" s="25">
        <v>0</v>
      </c>
      <c r="U126" s="25">
        <v>0</v>
      </c>
      <c r="V126" s="25">
        <v>0</v>
      </c>
      <c r="W126" s="25">
        <v>0</v>
      </c>
      <c r="X126" s="25">
        <v>0</v>
      </c>
      <c r="Y126" s="25">
        <v>0</v>
      </c>
      <c r="Z126" s="25">
        <v>0</v>
      </c>
      <c r="AA126" s="25">
        <v>0</v>
      </c>
      <c r="AB126" s="25">
        <v>0</v>
      </c>
      <c r="AC126" s="25">
        <v>0</v>
      </c>
      <c r="AD126" s="25">
        <v>0</v>
      </c>
      <c r="AE126" s="25">
        <v>0</v>
      </c>
      <c r="AF126" s="25">
        <v>0</v>
      </c>
      <c r="AG126" s="25">
        <v>0</v>
      </c>
      <c r="AH126" s="25">
        <v>0</v>
      </c>
      <c r="AI126" s="25">
        <v>0</v>
      </c>
      <c r="AJ126" s="25">
        <v>0</v>
      </c>
    </row>
    <row r="127" spans="1:36" x14ac:dyDescent="0.25">
      <c r="A127" t="s">
        <v>544</v>
      </c>
      <c r="B127" t="s">
        <v>305</v>
      </c>
      <c r="C127" s="25">
        <v>0</v>
      </c>
      <c r="D127" s="25">
        <v>0</v>
      </c>
      <c r="E127" s="25">
        <v>0</v>
      </c>
      <c r="F127" s="25">
        <v>0</v>
      </c>
      <c r="G127" s="25">
        <v>0</v>
      </c>
      <c r="H127" s="25">
        <v>0</v>
      </c>
      <c r="I127" s="25">
        <v>0</v>
      </c>
      <c r="J127" s="25">
        <v>0</v>
      </c>
      <c r="K127" s="25">
        <v>0</v>
      </c>
      <c r="L127" s="25">
        <v>0</v>
      </c>
      <c r="M127" s="25">
        <v>0</v>
      </c>
      <c r="N127" s="25">
        <v>0</v>
      </c>
      <c r="O127" s="25">
        <v>0</v>
      </c>
      <c r="P127" s="25">
        <v>0</v>
      </c>
      <c r="Q127" s="25">
        <v>0</v>
      </c>
      <c r="R127" s="25">
        <v>0</v>
      </c>
      <c r="S127" s="25">
        <v>0</v>
      </c>
      <c r="T127" s="25">
        <v>0</v>
      </c>
      <c r="U127" s="25">
        <v>0</v>
      </c>
      <c r="V127" s="25">
        <v>0</v>
      </c>
      <c r="W127" s="25">
        <v>0</v>
      </c>
      <c r="X127" s="25">
        <v>0</v>
      </c>
      <c r="Y127" s="25">
        <v>0</v>
      </c>
      <c r="Z127" s="25">
        <v>0</v>
      </c>
      <c r="AA127" s="25">
        <v>0</v>
      </c>
      <c r="AB127" s="25">
        <v>0</v>
      </c>
      <c r="AC127" s="25">
        <v>0</v>
      </c>
      <c r="AD127" s="25">
        <v>0</v>
      </c>
      <c r="AE127" s="25">
        <v>0</v>
      </c>
      <c r="AF127" s="25">
        <v>0</v>
      </c>
      <c r="AG127" s="25">
        <v>0</v>
      </c>
      <c r="AH127" s="25">
        <v>0</v>
      </c>
      <c r="AI127" s="25">
        <v>0</v>
      </c>
      <c r="AJ127" s="25">
        <v>0</v>
      </c>
    </row>
    <row r="128" spans="1:36" x14ac:dyDescent="0.25">
      <c r="A128" t="s">
        <v>545</v>
      </c>
      <c r="B128" t="s">
        <v>305</v>
      </c>
      <c r="C128" s="25">
        <v>5</v>
      </c>
      <c r="D128" s="25">
        <v>5</v>
      </c>
      <c r="E128" s="25">
        <v>5</v>
      </c>
      <c r="F128" s="25">
        <v>5</v>
      </c>
      <c r="G128" s="25">
        <v>5</v>
      </c>
      <c r="H128" s="25">
        <v>5</v>
      </c>
      <c r="I128" s="25">
        <v>5</v>
      </c>
      <c r="J128" s="25">
        <v>5</v>
      </c>
      <c r="K128" s="25">
        <v>5</v>
      </c>
      <c r="L128" s="25">
        <v>5</v>
      </c>
      <c r="M128" s="25">
        <v>5</v>
      </c>
      <c r="N128" s="25">
        <v>5</v>
      </c>
      <c r="O128" s="25">
        <v>5</v>
      </c>
      <c r="P128" s="25">
        <v>5</v>
      </c>
      <c r="Q128" s="25">
        <v>5</v>
      </c>
      <c r="R128" s="25">
        <v>5</v>
      </c>
      <c r="S128" s="25">
        <v>5</v>
      </c>
      <c r="T128" s="25">
        <v>5</v>
      </c>
      <c r="U128" s="25">
        <v>5</v>
      </c>
      <c r="V128" s="25">
        <v>5</v>
      </c>
      <c r="W128" s="25">
        <v>5</v>
      </c>
      <c r="X128" s="25">
        <v>5</v>
      </c>
      <c r="Y128" s="25">
        <v>5</v>
      </c>
      <c r="Z128" s="25">
        <v>5</v>
      </c>
      <c r="AA128" s="25">
        <v>5</v>
      </c>
      <c r="AB128" s="25">
        <v>5</v>
      </c>
      <c r="AC128" s="25">
        <v>5</v>
      </c>
      <c r="AD128" s="25">
        <v>5</v>
      </c>
      <c r="AE128" s="25">
        <v>5</v>
      </c>
      <c r="AF128" s="25">
        <v>5</v>
      </c>
      <c r="AG128" s="25">
        <v>5</v>
      </c>
      <c r="AH128" s="25">
        <v>5</v>
      </c>
      <c r="AI128" s="25">
        <v>5</v>
      </c>
      <c r="AJ128" s="25">
        <v>5</v>
      </c>
    </row>
    <row r="129" spans="1:36" x14ac:dyDescent="0.25">
      <c r="A129" t="s">
        <v>546</v>
      </c>
      <c r="B129" t="s">
        <v>305</v>
      </c>
      <c r="C129" s="25">
        <v>0</v>
      </c>
      <c r="D129" s="25">
        <v>0</v>
      </c>
      <c r="E129" s="25">
        <v>0</v>
      </c>
      <c r="F129" s="25">
        <v>0</v>
      </c>
      <c r="G129" s="25">
        <v>0</v>
      </c>
      <c r="H129" s="25">
        <v>0</v>
      </c>
      <c r="I129" s="25">
        <v>0</v>
      </c>
      <c r="J129" s="25">
        <v>0</v>
      </c>
      <c r="K129" s="25">
        <v>0</v>
      </c>
      <c r="L129" s="25">
        <v>0</v>
      </c>
      <c r="M129" s="25">
        <v>0</v>
      </c>
      <c r="N129" s="25">
        <v>0</v>
      </c>
      <c r="O129" s="25">
        <v>0</v>
      </c>
      <c r="P129" s="25">
        <v>0</v>
      </c>
      <c r="Q129" s="25">
        <v>0</v>
      </c>
      <c r="R129" s="25">
        <v>0</v>
      </c>
      <c r="S129" s="25">
        <v>0</v>
      </c>
      <c r="T129" s="25">
        <v>0</v>
      </c>
      <c r="U129" s="25">
        <v>0</v>
      </c>
      <c r="V129" s="25">
        <v>0</v>
      </c>
      <c r="W129" s="25">
        <v>0</v>
      </c>
      <c r="X129" s="25">
        <v>0</v>
      </c>
      <c r="Y129" s="25">
        <v>0</v>
      </c>
      <c r="Z129" s="25">
        <v>0</v>
      </c>
      <c r="AA129" s="25">
        <v>0</v>
      </c>
      <c r="AB129" s="25">
        <v>0</v>
      </c>
      <c r="AC129" s="25">
        <v>0</v>
      </c>
      <c r="AD129" s="25">
        <v>0</v>
      </c>
      <c r="AE129" s="25">
        <v>0</v>
      </c>
      <c r="AF129" s="25">
        <v>0</v>
      </c>
      <c r="AG129" s="25">
        <v>0</v>
      </c>
      <c r="AH129" s="25">
        <v>0</v>
      </c>
      <c r="AI129" s="25">
        <v>0</v>
      </c>
      <c r="AJ129" s="25">
        <v>0</v>
      </c>
    </row>
    <row r="130" spans="1:36" x14ac:dyDescent="0.25">
      <c r="A130" t="s">
        <v>547</v>
      </c>
      <c r="B130" t="s">
        <v>305</v>
      </c>
      <c r="C130" s="25">
        <v>0</v>
      </c>
      <c r="D130" s="25">
        <v>0</v>
      </c>
      <c r="E130" s="25">
        <v>0</v>
      </c>
      <c r="F130" s="25">
        <v>0</v>
      </c>
      <c r="G130" s="25">
        <v>0</v>
      </c>
      <c r="H130" s="25">
        <v>0</v>
      </c>
      <c r="I130" s="25">
        <v>0</v>
      </c>
      <c r="J130" s="25">
        <v>0</v>
      </c>
      <c r="K130" s="25">
        <v>0</v>
      </c>
      <c r="L130" s="25">
        <v>0</v>
      </c>
      <c r="M130" s="25">
        <v>0</v>
      </c>
      <c r="N130" s="25">
        <v>0</v>
      </c>
      <c r="O130" s="25">
        <v>0</v>
      </c>
      <c r="P130" s="25">
        <v>0</v>
      </c>
      <c r="Q130" s="25">
        <v>0</v>
      </c>
      <c r="R130" s="25">
        <v>0</v>
      </c>
      <c r="S130" s="25">
        <v>0</v>
      </c>
      <c r="T130" s="25">
        <v>0</v>
      </c>
      <c r="U130" s="25">
        <v>0</v>
      </c>
      <c r="V130" s="25">
        <v>0</v>
      </c>
      <c r="W130" s="25">
        <v>0</v>
      </c>
      <c r="X130" s="25">
        <v>0</v>
      </c>
      <c r="Y130" s="25">
        <v>0</v>
      </c>
      <c r="Z130" s="25">
        <v>0</v>
      </c>
      <c r="AA130" s="25">
        <v>0</v>
      </c>
      <c r="AB130" s="25">
        <v>0</v>
      </c>
      <c r="AC130" s="25">
        <v>0</v>
      </c>
      <c r="AD130" s="25">
        <v>0</v>
      </c>
      <c r="AE130" s="25">
        <v>0</v>
      </c>
      <c r="AF130" s="25">
        <v>0</v>
      </c>
      <c r="AG130" s="25">
        <v>0</v>
      </c>
      <c r="AH130" s="25">
        <v>0</v>
      </c>
      <c r="AI130" s="25">
        <v>0</v>
      </c>
      <c r="AJ130" s="25">
        <v>0</v>
      </c>
    </row>
    <row r="131" spans="1:36" x14ac:dyDescent="0.25">
      <c r="A131" t="s">
        <v>548</v>
      </c>
      <c r="B131" t="s">
        <v>305</v>
      </c>
      <c r="C131" s="25">
        <v>93</v>
      </c>
      <c r="D131" s="25">
        <v>93</v>
      </c>
      <c r="E131" s="25">
        <v>93</v>
      </c>
      <c r="F131" s="25">
        <v>93</v>
      </c>
      <c r="G131" s="25">
        <v>93</v>
      </c>
      <c r="H131" s="25">
        <v>93</v>
      </c>
      <c r="I131" s="25">
        <v>93</v>
      </c>
      <c r="J131" s="25">
        <v>93</v>
      </c>
      <c r="K131" s="25">
        <v>93</v>
      </c>
      <c r="L131" s="25">
        <v>93</v>
      </c>
      <c r="M131" s="25">
        <v>93</v>
      </c>
      <c r="N131" s="25">
        <v>93</v>
      </c>
      <c r="O131" s="25">
        <v>93</v>
      </c>
      <c r="P131" s="25">
        <v>93</v>
      </c>
      <c r="Q131" s="25">
        <v>93</v>
      </c>
      <c r="R131" s="25">
        <v>93</v>
      </c>
      <c r="S131" s="25">
        <v>93</v>
      </c>
      <c r="T131" s="25">
        <v>93</v>
      </c>
      <c r="U131" s="25">
        <v>93</v>
      </c>
      <c r="V131" s="25">
        <v>93</v>
      </c>
      <c r="W131" s="25">
        <v>93</v>
      </c>
      <c r="X131" s="25">
        <v>93</v>
      </c>
      <c r="Y131" s="25">
        <v>93</v>
      </c>
      <c r="Z131" s="25">
        <v>93</v>
      </c>
      <c r="AA131" s="25">
        <v>93</v>
      </c>
      <c r="AB131" s="25">
        <v>93</v>
      </c>
      <c r="AC131" s="25">
        <v>93</v>
      </c>
      <c r="AD131" s="25">
        <v>93</v>
      </c>
      <c r="AE131" s="25">
        <v>93</v>
      </c>
      <c r="AF131" s="25">
        <v>93</v>
      </c>
      <c r="AG131" s="25">
        <v>93</v>
      </c>
      <c r="AH131" s="25">
        <v>93</v>
      </c>
      <c r="AI131" s="25">
        <v>93</v>
      </c>
      <c r="AJ131" s="25">
        <v>93</v>
      </c>
    </row>
    <row r="132" spans="1:36" x14ac:dyDescent="0.25">
      <c r="A132" t="s">
        <v>760</v>
      </c>
      <c r="B132" t="s">
        <v>305</v>
      </c>
      <c r="C132" s="25">
        <v>0</v>
      </c>
      <c r="D132" s="25">
        <v>0</v>
      </c>
      <c r="E132" s="25">
        <v>0</v>
      </c>
      <c r="F132" s="25">
        <v>0</v>
      </c>
      <c r="G132" s="25">
        <v>0</v>
      </c>
      <c r="H132" s="25">
        <v>0</v>
      </c>
      <c r="I132" s="25">
        <v>0</v>
      </c>
      <c r="J132" s="25">
        <v>0</v>
      </c>
      <c r="K132" s="25">
        <v>0</v>
      </c>
      <c r="L132" s="25">
        <v>0</v>
      </c>
      <c r="M132" s="25">
        <v>0</v>
      </c>
      <c r="N132" s="25">
        <v>0</v>
      </c>
      <c r="O132" s="25">
        <v>0</v>
      </c>
      <c r="P132" s="25">
        <v>0</v>
      </c>
      <c r="Q132" s="25">
        <v>0</v>
      </c>
      <c r="R132" s="25">
        <v>0</v>
      </c>
      <c r="S132" s="25">
        <v>0</v>
      </c>
      <c r="T132" s="25">
        <v>0</v>
      </c>
      <c r="U132" s="25">
        <v>0</v>
      </c>
      <c r="V132" s="25">
        <v>0</v>
      </c>
      <c r="W132" s="25">
        <v>0</v>
      </c>
      <c r="X132" s="25">
        <v>0</v>
      </c>
      <c r="Y132" s="25">
        <v>0</v>
      </c>
      <c r="Z132" s="25">
        <v>0</v>
      </c>
      <c r="AA132" s="25">
        <v>0</v>
      </c>
      <c r="AB132" s="25">
        <v>0</v>
      </c>
      <c r="AC132" s="25">
        <v>0</v>
      </c>
      <c r="AD132" s="25">
        <v>0</v>
      </c>
      <c r="AE132" s="25">
        <v>0</v>
      </c>
      <c r="AF132" s="25">
        <v>0</v>
      </c>
      <c r="AG132" s="25">
        <v>0</v>
      </c>
      <c r="AH132" s="25">
        <v>0</v>
      </c>
      <c r="AI132" s="25">
        <v>0</v>
      </c>
      <c r="AJ132" s="25">
        <v>0</v>
      </c>
    </row>
    <row r="133" spans="1:36" s="76" customFormat="1" x14ac:dyDescent="0.25">
      <c r="A133" s="76" t="s">
        <v>780</v>
      </c>
      <c r="C133" s="77">
        <f>+SUM(C122:C132)</f>
        <v>100</v>
      </c>
      <c r="D133" s="77">
        <f t="shared" ref="D133" si="232">+SUM(D122:D132)</f>
        <v>100</v>
      </c>
      <c r="E133" s="77">
        <f t="shared" ref="E133" si="233">+SUM(E122:E132)</f>
        <v>100</v>
      </c>
      <c r="F133" s="77">
        <f t="shared" ref="F133" si="234">+SUM(F122:F132)</f>
        <v>100</v>
      </c>
      <c r="G133" s="77">
        <f t="shared" ref="G133" si="235">+SUM(G122:G132)</f>
        <v>100</v>
      </c>
      <c r="H133" s="77">
        <f t="shared" ref="H133" si="236">+SUM(H122:H132)</f>
        <v>100</v>
      </c>
      <c r="I133" s="77">
        <f t="shared" ref="I133" si="237">+SUM(I122:I132)</f>
        <v>100</v>
      </c>
      <c r="J133" s="77">
        <f t="shared" ref="J133" si="238">+SUM(J122:J132)</f>
        <v>100</v>
      </c>
      <c r="K133" s="77">
        <f t="shared" ref="K133" si="239">+SUM(K122:K132)</f>
        <v>100</v>
      </c>
      <c r="L133" s="77">
        <f t="shared" ref="L133" si="240">+SUM(L122:L132)</f>
        <v>100</v>
      </c>
      <c r="M133" s="77">
        <f t="shared" ref="M133" si="241">+SUM(M122:M132)</f>
        <v>100</v>
      </c>
      <c r="N133" s="77">
        <f t="shared" ref="N133" si="242">+SUM(N122:N132)</f>
        <v>100</v>
      </c>
      <c r="O133" s="77">
        <f t="shared" ref="O133" si="243">+SUM(O122:O132)</f>
        <v>100</v>
      </c>
      <c r="P133" s="77">
        <f t="shared" ref="P133" si="244">+SUM(P122:P132)</f>
        <v>100</v>
      </c>
      <c r="Q133" s="77">
        <f t="shared" ref="Q133" si="245">+SUM(Q122:Q132)</f>
        <v>100</v>
      </c>
      <c r="R133" s="77">
        <f t="shared" ref="R133" si="246">+SUM(R122:R132)</f>
        <v>100</v>
      </c>
      <c r="S133" s="77">
        <f t="shared" ref="S133" si="247">+SUM(S122:S132)</f>
        <v>100</v>
      </c>
      <c r="T133" s="77">
        <f t="shared" ref="T133" si="248">+SUM(T122:T132)</f>
        <v>100</v>
      </c>
      <c r="U133" s="77">
        <f t="shared" ref="U133" si="249">+SUM(U122:U132)</f>
        <v>100</v>
      </c>
      <c r="V133" s="77">
        <f t="shared" ref="V133" si="250">+SUM(V122:V132)</f>
        <v>100</v>
      </c>
      <c r="W133" s="77">
        <f t="shared" ref="W133" si="251">+SUM(W122:W132)</f>
        <v>100</v>
      </c>
      <c r="X133" s="77">
        <f t="shared" ref="X133" si="252">+SUM(X122:X132)</f>
        <v>100</v>
      </c>
      <c r="Y133" s="77">
        <f t="shared" ref="Y133" si="253">+SUM(Y122:Y132)</f>
        <v>100</v>
      </c>
      <c r="Z133" s="77">
        <f t="shared" ref="Z133" si="254">+SUM(Z122:Z132)</f>
        <v>100</v>
      </c>
      <c r="AA133" s="77">
        <f t="shared" ref="AA133" si="255">+SUM(AA122:AA132)</f>
        <v>100</v>
      </c>
      <c r="AB133" s="77">
        <f t="shared" ref="AB133" si="256">+SUM(AB122:AB132)</f>
        <v>100</v>
      </c>
      <c r="AC133" s="77">
        <f t="shared" ref="AC133" si="257">+SUM(AC122:AC132)</f>
        <v>100</v>
      </c>
      <c r="AD133" s="77">
        <f t="shared" ref="AD133" si="258">+SUM(AD122:AD132)</f>
        <v>100</v>
      </c>
      <c r="AE133" s="77">
        <f t="shared" ref="AE133" si="259">+SUM(AE122:AE132)</f>
        <v>100</v>
      </c>
      <c r="AF133" s="77">
        <f t="shared" ref="AF133" si="260">+SUM(AF122:AF132)</f>
        <v>100</v>
      </c>
      <c r="AG133" s="77">
        <f t="shared" ref="AG133" si="261">+SUM(AG122:AG132)</f>
        <v>100</v>
      </c>
      <c r="AH133" s="77">
        <f t="shared" ref="AH133" si="262">+SUM(AH122:AH132)</f>
        <v>100</v>
      </c>
      <c r="AI133" s="77">
        <f t="shared" ref="AI133" si="263">+SUM(AI122:AI132)</f>
        <v>100</v>
      </c>
      <c r="AJ133" s="77">
        <f t="shared" ref="AJ133" si="264">+SUM(AJ122:AJ132)</f>
        <v>100</v>
      </c>
    </row>
    <row r="134" spans="1:36" s="74" customFormat="1" ht="15.75" x14ac:dyDescent="0.25">
      <c r="A134" s="72" t="s">
        <v>775</v>
      </c>
      <c r="B134" s="73"/>
      <c r="C134" s="72"/>
      <c r="D134" s="72"/>
      <c r="E134" s="72"/>
      <c r="F134" s="72"/>
      <c r="G134" s="72"/>
      <c r="H134" s="72"/>
      <c r="I134" s="72"/>
      <c r="J134" s="72"/>
      <c r="K134" s="72"/>
      <c r="L134" s="72"/>
      <c r="M134" s="72"/>
      <c r="N134" s="72"/>
      <c r="O134" s="72"/>
      <c r="P134" s="72"/>
      <c r="Q134" s="72"/>
      <c r="R134" s="72"/>
      <c r="S134" s="72"/>
      <c r="T134" s="72"/>
      <c r="U134" s="72"/>
      <c r="V134" s="72"/>
      <c r="W134" s="72"/>
      <c r="X134" s="72"/>
      <c r="Y134" s="72"/>
      <c r="Z134" s="72"/>
      <c r="AA134" s="72"/>
      <c r="AB134" s="72"/>
      <c r="AC134" s="72"/>
      <c r="AD134" s="72"/>
      <c r="AE134" s="72"/>
      <c r="AF134" s="72"/>
      <c r="AG134" s="72"/>
      <c r="AH134" s="72"/>
      <c r="AI134" s="72"/>
      <c r="AJ134" s="72"/>
    </row>
    <row r="135" spans="1:36" x14ac:dyDescent="0.25">
      <c r="A135" t="s">
        <v>549</v>
      </c>
      <c r="B135" t="s">
        <v>305</v>
      </c>
      <c r="C135" s="25">
        <v>0</v>
      </c>
      <c r="D135" s="25">
        <v>0</v>
      </c>
      <c r="E135" s="25">
        <v>0</v>
      </c>
      <c r="F135" s="25">
        <v>0</v>
      </c>
      <c r="G135" s="25">
        <v>0</v>
      </c>
      <c r="H135" s="25">
        <v>0</v>
      </c>
      <c r="I135" s="25">
        <v>0</v>
      </c>
      <c r="J135" s="25">
        <v>0</v>
      </c>
      <c r="K135" s="25">
        <v>0</v>
      </c>
      <c r="L135" s="25">
        <v>0</v>
      </c>
      <c r="M135" s="25">
        <v>0</v>
      </c>
      <c r="N135" s="25">
        <v>0</v>
      </c>
      <c r="O135" s="25">
        <v>0</v>
      </c>
      <c r="P135" s="25">
        <v>0</v>
      </c>
      <c r="Q135" s="25">
        <v>0</v>
      </c>
      <c r="R135" s="25">
        <v>0</v>
      </c>
      <c r="S135" s="25">
        <v>0</v>
      </c>
      <c r="T135" s="25">
        <v>0</v>
      </c>
      <c r="U135" s="25">
        <v>0</v>
      </c>
      <c r="V135" s="25">
        <v>0</v>
      </c>
      <c r="W135" s="25">
        <v>0</v>
      </c>
      <c r="X135" s="25">
        <v>0</v>
      </c>
      <c r="Y135" s="25">
        <v>0</v>
      </c>
      <c r="Z135" s="25">
        <v>0</v>
      </c>
      <c r="AA135" s="25">
        <v>0</v>
      </c>
      <c r="AB135" s="25">
        <v>0</v>
      </c>
      <c r="AC135" s="25">
        <v>0</v>
      </c>
      <c r="AD135" s="25">
        <v>0</v>
      </c>
      <c r="AE135" s="25">
        <v>0</v>
      </c>
      <c r="AF135" s="25">
        <v>0</v>
      </c>
      <c r="AG135" s="25">
        <v>0</v>
      </c>
      <c r="AH135" s="25">
        <v>0</v>
      </c>
      <c r="AI135" s="25">
        <v>0</v>
      </c>
      <c r="AJ135" s="25">
        <v>0</v>
      </c>
    </row>
    <row r="136" spans="1:36" x14ac:dyDescent="0.25">
      <c r="A136" t="s">
        <v>550</v>
      </c>
      <c r="B136" t="s">
        <v>305</v>
      </c>
      <c r="C136" s="25">
        <v>0</v>
      </c>
      <c r="D136" s="25">
        <v>0</v>
      </c>
      <c r="E136" s="25">
        <v>0</v>
      </c>
      <c r="F136" s="25">
        <v>0</v>
      </c>
      <c r="G136" s="25">
        <v>0</v>
      </c>
      <c r="H136" s="25">
        <v>0</v>
      </c>
      <c r="I136" s="25">
        <v>0</v>
      </c>
      <c r="J136" s="25">
        <v>0</v>
      </c>
      <c r="K136" s="25">
        <v>0</v>
      </c>
      <c r="L136" s="25">
        <v>0</v>
      </c>
      <c r="M136" s="25">
        <v>0</v>
      </c>
      <c r="N136" s="25">
        <v>0</v>
      </c>
      <c r="O136" s="25">
        <v>0</v>
      </c>
      <c r="P136" s="25">
        <v>0</v>
      </c>
      <c r="Q136" s="25">
        <v>0</v>
      </c>
      <c r="R136" s="25">
        <v>0</v>
      </c>
      <c r="S136" s="25">
        <v>0</v>
      </c>
      <c r="T136" s="25">
        <v>0</v>
      </c>
      <c r="U136" s="25">
        <v>0</v>
      </c>
      <c r="V136" s="25">
        <v>0</v>
      </c>
      <c r="W136" s="25">
        <v>0</v>
      </c>
      <c r="X136" s="25">
        <v>0</v>
      </c>
      <c r="Y136" s="25">
        <v>0</v>
      </c>
      <c r="Z136" s="25">
        <v>0</v>
      </c>
      <c r="AA136" s="25">
        <v>0</v>
      </c>
      <c r="AB136" s="25">
        <v>0</v>
      </c>
      <c r="AC136" s="25">
        <v>0</v>
      </c>
      <c r="AD136" s="25">
        <v>0</v>
      </c>
      <c r="AE136" s="25">
        <v>0</v>
      </c>
      <c r="AF136" s="25">
        <v>0</v>
      </c>
      <c r="AG136" s="25">
        <v>0</v>
      </c>
      <c r="AH136" s="25">
        <v>0</v>
      </c>
      <c r="AI136" s="25">
        <v>0</v>
      </c>
      <c r="AJ136" s="25">
        <v>0</v>
      </c>
    </row>
    <row r="137" spans="1:36" x14ac:dyDescent="0.25">
      <c r="A137" t="s">
        <v>551</v>
      </c>
      <c r="B137" t="s">
        <v>305</v>
      </c>
      <c r="C137" s="25">
        <v>0</v>
      </c>
      <c r="D137" s="25">
        <v>0</v>
      </c>
      <c r="E137" s="25">
        <v>0</v>
      </c>
      <c r="F137" s="25">
        <v>0</v>
      </c>
      <c r="G137" s="25">
        <v>0</v>
      </c>
      <c r="H137" s="25">
        <v>0</v>
      </c>
      <c r="I137" s="25">
        <v>0</v>
      </c>
      <c r="J137" s="25">
        <v>0</v>
      </c>
      <c r="K137" s="25">
        <v>0</v>
      </c>
      <c r="L137" s="25">
        <v>0</v>
      </c>
      <c r="M137" s="25">
        <v>0</v>
      </c>
      <c r="N137" s="25">
        <v>0</v>
      </c>
      <c r="O137" s="25">
        <v>0</v>
      </c>
      <c r="P137" s="25">
        <v>0</v>
      </c>
      <c r="Q137" s="25">
        <v>0</v>
      </c>
      <c r="R137" s="25">
        <v>0</v>
      </c>
      <c r="S137" s="25">
        <v>0</v>
      </c>
      <c r="T137" s="25">
        <v>0</v>
      </c>
      <c r="U137" s="25">
        <v>0</v>
      </c>
      <c r="V137" s="25">
        <v>0</v>
      </c>
      <c r="W137" s="25">
        <v>0</v>
      </c>
      <c r="X137" s="25">
        <v>0</v>
      </c>
      <c r="Y137" s="25">
        <v>0</v>
      </c>
      <c r="Z137" s="25">
        <v>0</v>
      </c>
      <c r="AA137" s="25">
        <v>0</v>
      </c>
      <c r="AB137" s="25">
        <v>0</v>
      </c>
      <c r="AC137" s="25">
        <v>0</v>
      </c>
      <c r="AD137" s="25">
        <v>0</v>
      </c>
      <c r="AE137" s="25">
        <v>0</v>
      </c>
      <c r="AF137" s="25">
        <v>0</v>
      </c>
      <c r="AG137" s="25">
        <v>0</v>
      </c>
      <c r="AH137" s="25">
        <v>0</v>
      </c>
      <c r="AI137" s="25">
        <v>0</v>
      </c>
      <c r="AJ137" s="25">
        <v>0</v>
      </c>
    </row>
    <row r="138" spans="1:36" x14ac:dyDescent="0.25">
      <c r="A138" t="s">
        <v>552</v>
      </c>
      <c r="B138" t="s">
        <v>305</v>
      </c>
      <c r="C138" s="25">
        <v>0</v>
      </c>
      <c r="D138" s="25">
        <v>0</v>
      </c>
      <c r="E138" s="25">
        <v>0</v>
      </c>
      <c r="F138" s="25">
        <v>0</v>
      </c>
      <c r="G138" s="25">
        <v>0</v>
      </c>
      <c r="H138" s="25">
        <v>0</v>
      </c>
      <c r="I138" s="25">
        <v>0</v>
      </c>
      <c r="J138" s="25">
        <v>0</v>
      </c>
      <c r="K138" s="25">
        <v>0</v>
      </c>
      <c r="L138" s="25">
        <v>0</v>
      </c>
      <c r="M138" s="25">
        <v>0</v>
      </c>
      <c r="N138" s="25">
        <v>0</v>
      </c>
      <c r="O138" s="25">
        <v>0</v>
      </c>
      <c r="P138" s="25">
        <v>0</v>
      </c>
      <c r="Q138" s="25">
        <v>0</v>
      </c>
      <c r="R138" s="25">
        <v>0</v>
      </c>
      <c r="S138" s="25">
        <v>0</v>
      </c>
      <c r="T138" s="25">
        <v>0</v>
      </c>
      <c r="U138" s="25">
        <v>0</v>
      </c>
      <c r="V138" s="25">
        <v>0</v>
      </c>
      <c r="W138" s="25">
        <v>0</v>
      </c>
      <c r="X138" s="25">
        <v>0</v>
      </c>
      <c r="Y138" s="25">
        <v>0</v>
      </c>
      <c r="Z138" s="25">
        <v>0</v>
      </c>
      <c r="AA138" s="25">
        <v>0</v>
      </c>
      <c r="AB138" s="25">
        <v>0</v>
      </c>
      <c r="AC138" s="25">
        <v>0</v>
      </c>
      <c r="AD138" s="25">
        <v>0</v>
      </c>
      <c r="AE138" s="25">
        <v>0</v>
      </c>
      <c r="AF138" s="25">
        <v>0</v>
      </c>
      <c r="AG138" s="25">
        <v>0</v>
      </c>
      <c r="AH138" s="25">
        <v>0</v>
      </c>
      <c r="AI138" s="25">
        <v>0</v>
      </c>
      <c r="AJ138" s="25">
        <v>0</v>
      </c>
    </row>
    <row r="139" spans="1:36" x14ac:dyDescent="0.25">
      <c r="A139" t="s">
        <v>553</v>
      </c>
      <c r="B139" t="s">
        <v>305</v>
      </c>
      <c r="C139" s="25">
        <v>0</v>
      </c>
      <c r="D139" s="25">
        <v>0</v>
      </c>
      <c r="E139" s="25">
        <v>0</v>
      </c>
      <c r="F139" s="25">
        <v>0</v>
      </c>
      <c r="G139" s="25">
        <v>0</v>
      </c>
      <c r="H139" s="25">
        <v>0</v>
      </c>
      <c r="I139" s="25">
        <v>0</v>
      </c>
      <c r="J139" s="25">
        <v>0</v>
      </c>
      <c r="K139" s="25">
        <v>0</v>
      </c>
      <c r="L139" s="25">
        <v>0</v>
      </c>
      <c r="M139" s="25">
        <v>0</v>
      </c>
      <c r="N139" s="25">
        <v>0</v>
      </c>
      <c r="O139" s="25">
        <v>0</v>
      </c>
      <c r="P139" s="25">
        <v>0</v>
      </c>
      <c r="Q139" s="25">
        <v>0</v>
      </c>
      <c r="R139" s="25">
        <v>0</v>
      </c>
      <c r="S139" s="25">
        <v>0</v>
      </c>
      <c r="T139" s="25">
        <v>0</v>
      </c>
      <c r="U139" s="25">
        <v>0</v>
      </c>
      <c r="V139" s="25">
        <v>0</v>
      </c>
      <c r="W139" s="25">
        <v>0</v>
      </c>
      <c r="X139" s="25">
        <v>0</v>
      </c>
      <c r="Y139" s="25">
        <v>0</v>
      </c>
      <c r="Z139" s="25">
        <v>0</v>
      </c>
      <c r="AA139" s="25">
        <v>0</v>
      </c>
      <c r="AB139" s="25">
        <v>0</v>
      </c>
      <c r="AC139" s="25">
        <v>0</v>
      </c>
      <c r="AD139" s="25">
        <v>0</v>
      </c>
      <c r="AE139" s="25">
        <v>0</v>
      </c>
      <c r="AF139" s="25">
        <v>0</v>
      </c>
      <c r="AG139" s="25">
        <v>0</v>
      </c>
      <c r="AH139" s="25">
        <v>0</v>
      </c>
      <c r="AI139" s="25">
        <v>0</v>
      </c>
      <c r="AJ139" s="25">
        <v>0</v>
      </c>
    </row>
    <row r="140" spans="1:36" x14ac:dyDescent="0.25">
      <c r="A140" t="s">
        <v>554</v>
      </c>
      <c r="B140" t="s">
        <v>305</v>
      </c>
      <c r="C140" s="25">
        <v>0</v>
      </c>
      <c r="D140" s="25">
        <v>0</v>
      </c>
      <c r="E140" s="25">
        <v>0</v>
      </c>
      <c r="F140" s="25">
        <v>0</v>
      </c>
      <c r="G140" s="25">
        <v>0</v>
      </c>
      <c r="H140" s="25">
        <v>0</v>
      </c>
      <c r="I140" s="25">
        <v>0</v>
      </c>
      <c r="J140" s="25">
        <v>0</v>
      </c>
      <c r="K140" s="25">
        <v>0</v>
      </c>
      <c r="L140" s="25">
        <v>0</v>
      </c>
      <c r="M140" s="25">
        <v>0</v>
      </c>
      <c r="N140" s="25">
        <v>0</v>
      </c>
      <c r="O140" s="25">
        <v>0</v>
      </c>
      <c r="P140" s="25">
        <v>0</v>
      </c>
      <c r="Q140" s="25">
        <v>0</v>
      </c>
      <c r="R140" s="25">
        <v>0</v>
      </c>
      <c r="S140" s="25">
        <v>0</v>
      </c>
      <c r="T140" s="25">
        <v>0</v>
      </c>
      <c r="U140" s="25">
        <v>0</v>
      </c>
      <c r="V140" s="25">
        <v>0</v>
      </c>
      <c r="W140" s="25">
        <v>0</v>
      </c>
      <c r="X140" s="25">
        <v>0</v>
      </c>
      <c r="Y140" s="25">
        <v>0</v>
      </c>
      <c r="Z140" s="25">
        <v>0</v>
      </c>
      <c r="AA140" s="25">
        <v>0</v>
      </c>
      <c r="AB140" s="25">
        <v>0</v>
      </c>
      <c r="AC140" s="25">
        <v>0</v>
      </c>
      <c r="AD140" s="25">
        <v>0</v>
      </c>
      <c r="AE140" s="25">
        <v>0</v>
      </c>
      <c r="AF140" s="25">
        <v>0</v>
      </c>
      <c r="AG140" s="25">
        <v>0</v>
      </c>
      <c r="AH140" s="25">
        <v>0</v>
      </c>
      <c r="AI140" s="25">
        <v>0</v>
      </c>
      <c r="AJ140" s="25">
        <v>0</v>
      </c>
    </row>
    <row r="141" spans="1:36" x14ac:dyDescent="0.25">
      <c r="A141" t="s">
        <v>555</v>
      </c>
      <c r="B141" t="s">
        <v>305</v>
      </c>
      <c r="C141" s="25">
        <v>0</v>
      </c>
      <c r="D141" s="25">
        <v>0</v>
      </c>
      <c r="E141" s="25">
        <v>0</v>
      </c>
      <c r="F141" s="25">
        <v>0</v>
      </c>
      <c r="G141" s="25">
        <v>0</v>
      </c>
      <c r="H141" s="25">
        <v>0</v>
      </c>
      <c r="I141" s="25">
        <v>0</v>
      </c>
      <c r="J141" s="25">
        <v>0</v>
      </c>
      <c r="K141" s="25">
        <v>0</v>
      </c>
      <c r="L141" s="25">
        <v>0</v>
      </c>
      <c r="M141" s="25">
        <v>0</v>
      </c>
      <c r="N141" s="25">
        <v>0</v>
      </c>
      <c r="O141" s="25">
        <v>0</v>
      </c>
      <c r="P141" s="25">
        <v>0</v>
      </c>
      <c r="Q141" s="25">
        <v>0</v>
      </c>
      <c r="R141" s="25">
        <v>0</v>
      </c>
      <c r="S141" s="25">
        <v>0</v>
      </c>
      <c r="T141" s="25">
        <v>0</v>
      </c>
      <c r="U141" s="25">
        <v>0</v>
      </c>
      <c r="V141" s="25">
        <v>0</v>
      </c>
      <c r="W141" s="25">
        <v>0</v>
      </c>
      <c r="X141" s="25">
        <v>0</v>
      </c>
      <c r="Y141" s="25">
        <v>0</v>
      </c>
      <c r="Z141" s="25">
        <v>0</v>
      </c>
      <c r="AA141" s="25">
        <v>0</v>
      </c>
      <c r="AB141" s="25">
        <v>0</v>
      </c>
      <c r="AC141" s="25">
        <v>0</v>
      </c>
      <c r="AD141" s="25">
        <v>0</v>
      </c>
      <c r="AE141" s="25">
        <v>0</v>
      </c>
      <c r="AF141" s="25">
        <v>0</v>
      </c>
      <c r="AG141" s="25">
        <v>0</v>
      </c>
      <c r="AH141" s="25">
        <v>0</v>
      </c>
      <c r="AI141" s="25">
        <v>0</v>
      </c>
      <c r="AJ141" s="25">
        <v>0</v>
      </c>
    </row>
    <row r="142" spans="1:36" x14ac:dyDescent="0.25">
      <c r="A142" t="s">
        <v>556</v>
      </c>
      <c r="B142" t="s">
        <v>305</v>
      </c>
      <c r="C142" s="25">
        <v>0</v>
      </c>
      <c r="D142" s="25">
        <v>0</v>
      </c>
      <c r="E142" s="25">
        <v>0</v>
      </c>
      <c r="F142" s="25">
        <v>0</v>
      </c>
      <c r="G142" s="25">
        <v>0</v>
      </c>
      <c r="H142" s="25">
        <v>0</v>
      </c>
      <c r="I142" s="25">
        <v>0</v>
      </c>
      <c r="J142" s="25">
        <v>0</v>
      </c>
      <c r="K142" s="25">
        <v>0</v>
      </c>
      <c r="L142" s="25">
        <v>0</v>
      </c>
      <c r="M142" s="25">
        <v>0</v>
      </c>
      <c r="N142" s="25">
        <v>0</v>
      </c>
      <c r="O142" s="25">
        <v>0</v>
      </c>
      <c r="P142" s="25">
        <v>0</v>
      </c>
      <c r="Q142" s="25">
        <v>0</v>
      </c>
      <c r="R142" s="25">
        <v>0</v>
      </c>
      <c r="S142" s="25">
        <v>0</v>
      </c>
      <c r="T142" s="25">
        <v>0</v>
      </c>
      <c r="U142" s="25">
        <v>0</v>
      </c>
      <c r="V142" s="25">
        <v>0</v>
      </c>
      <c r="W142" s="25">
        <v>0</v>
      </c>
      <c r="X142" s="25">
        <v>0</v>
      </c>
      <c r="Y142" s="25">
        <v>0</v>
      </c>
      <c r="Z142" s="25">
        <v>0</v>
      </c>
      <c r="AA142" s="25">
        <v>0</v>
      </c>
      <c r="AB142" s="25">
        <v>0</v>
      </c>
      <c r="AC142" s="25">
        <v>0</v>
      </c>
      <c r="AD142" s="25">
        <v>0</v>
      </c>
      <c r="AE142" s="25">
        <v>0</v>
      </c>
      <c r="AF142" s="25">
        <v>0</v>
      </c>
      <c r="AG142" s="25">
        <v>0</v>
      </c>
      <c r="AH142" s="25">
        <v>0</v>
      </c>
      <c r="AI142" s="25">
        <v>0</v>
      </c>
      <c r="AJ142" s="25">
        <v>0</v>
      </c>
    </row>
    <row r="143" spans="1:36" x14ac:dyDescent="0.25">
      <c r="A143" t="s">
        <v>557</v>
      </c>
      <c r="B143" t="s">
        <v>305</v>
      </c>
      <c r="C143" s="25">
        <v>0</v>
      </c>
      <c r="D143" s="25">
        <v>0</v>
      </c>
      <c r="E143" s="25">
        <v>0</v>
      </c>
      <c r="F143" s="25">
        <v>0</v>
      </c>
      <c r="G143" s="25">
        <v>0</v>
      </c>
      <c r="H143" s="25">
        <v>0</v>
      </c>
      <c r="I143" s="25">
        <v>0</v>
      </c>
      <c r="J143" s="25">
        <v>0</v>
      </c>
      <c r="K143" s="25">
        <v>0</v>
      </c>
      <c r="L143" s="25">
        <v>0</v>
      </c>
      <c r="M143" s="25">
        <v>0</v>
      </c>
      <c r="N143" s="25">
        <v>0</v>
      </c>
      <c r="O143" s="25">
        <v>0</v>
      </c>
      <c r="P143" s="25">
        <v>0</v>
      </c>
      <c r="Q143" s="25">
        <v>0</v>
      </c>
      <c r="R143" s="25">
        <v>0</v>
      </c>
      <c r="S143" s="25">
        <v>0</v>
      </c>
      <c r="T143" s="25">
        <v>0</v>
      </c>
      <c r="U143" s="25">
        <v>0</v>
      </c>
      <c r="V143" s="25">
        <v>0</v>
      </c>
      <c r="W143" s="25">
        <v>0</v>
      </c>
      <c r="X143" s="25">
        <v>0</v>
      </c>
      <c r="Y143" s="25">
        <v>0</v>
      </c>
      <c r="Z143" s="25">
        <v>0</v>
      </c>
      <c r="AA143" s="25">
        <v>0</v>
      </c>
      <c r="AB143" s="25">
        <v>0</v>
      </c>
      <c r="AC143" s="25">
        <v>0</v>
      </c>
      <c r="AD143" s="25">
        <v>0</v>
      </c>
      <c r="AE143" s="25">
        <v>0</v>
      </c>
      <c r="AF143" s="25">
        <v>0</v>
      </c>
      <c r="AG143" s="25">
        <v>0</v>
      </c>
      <c r="AH143" s="25">
        <v>0</v>
      </c>
      <c r="AI143" s="25">
        <v>0</v>
      </c>
      <c r="AJ143" s="25">
        <v>0</v>
      </c>
    </row>
    <row r="144" spans="1:36" x14ac:dyDescent="0.25">
      <c r="A144" t="s">
        <v>558</v>
      </c>
      <c r="B144" t="s">
        <v>305</v>
      </c>
      <c r="C144" s="25">
        <v>100</v>
      </c>
      <c r="D144" s="25">
        <v>100</v>
      </c>
      <c r="E144" s="25">
        <v>100</v>
      </c>
      <c r="F144" s="25">
        <v>100</v>
      </c>
      <c r="G144" s="25">
        <v>100</v>
      </c>
      <c r="H144" s="25">
        <v>100</v>
      </c>
      <c r="I144" s="25">
        <v>100</v>
      </c>
      <c r="J144" s="25">
        <v>100</v>
      </c>
      <c r="K144" s="25">
        <v>100</v>
      </c>
      <c r="L144" s="25">
        <v>100</v>
      </c>
      <c r="M144" s="25">
        <v>100</v>
      </c>
      <c r="N144" s="25">
        <v>100</v>
      </c>
      <c r="O144" s="25">
        <v>100</v>
      </c>
      <c r="P144" s="25">
        <v>100</v>
      </c>
      <c r="Q144" s="25">
        <v>100</v>
      </c>
      <c r="R144" s="25">
        <v>100</v>
      </c>
      <c r="S144" s="25">
        <v>100</v>
      </c>
      <c r="T144" s="25">
        <v>100</v>
      </c>
      <c r="U144" s="25">
        <v>100</v>
      </c>
      <c r="V144" s="25">
        <v>100</v>
      </c>
      <c r="W144" s="25">
        <v>100</v>
      </c>
      <c r="X144" s="25">
        <v>100</v>
      </c>
      <c r="Y144" s="25">
        <v>100</v>
      </c>
      <c r="Z144" s="25">
        <v>100</v>
      </c>
      <c r="AA144" s="25">
        <v>100</v>
      </c>
      <c r="AB144" s="25">
        <v>100</v>
      </c>
      <c r="AC144" s="25">
        <v>100</v>
      </c>
      <c r="AD144" s="25">
        <v>100</v>
      </c>
      <c r="AE144" s="25">
        <v>100</v>
      </c>
      <c r="AF144" s="25">
        <v>100</v>
      </c>
      <c r="AG144" s="25">
        <v>100</v>
      </c>
      <c r="AH144" s="25">
        <v>100</v>
      </c>
      <c r="AI144" s="25">
        <v>100</v>
      </c>
      <c r="AJ144" s="25">
        <v>100</v>
      </c>
    </row>
    <row r="145" spans="1:36" x14ac:dyDescent="0.25">
      <c r="A145" t="s">
        <v>761</v>
      </c>
      <c r="B145" t="s">
        <v>305</v>
      </c>
      <c r="C145" s="25">
        <v>0</v>
      </c>
      <c r="D145" s="25">
        <v>0</v>
      </c>
      <c r="E145" s="25">
        <v>0</v>
      </c>
      <c r="F145" s="25">
        <v>0</v>
      </c>
      <c r="G145" s="25">
        <v>0</v>
      </c>
      <c r="H145" s="25">
        <v>0</v>
      </c>
      <c r="I145" s="25">
        <v>0</v>
      </c>
      <c r="J145" s="25">
        <v>0</v>
      </c>
      <c r="K145" s="25">
        <v>0</v>
      </c>
      <c r="L145" s="25">
        <v>0</v>
      </c>
      <c r="M145" s="25">
        <v>0</v>
      </c>
      <c r="N145" s="25">
        <v>0</v>
      </c>
      <c r="O145" s="25">
        <v>0</v>
      </c>
      <c r="P145" s="25">
        <v>0</v>
      </c>
      <c r="Q145" s="25">
        <v>0</v>
      </c>
      <c r="R145" s="25">
        <v>0</v>
      </c>
      <c r="S145" s="25">
        <v>0</v>
      </c>
      <c r="T145" s="25">
        <v>0</v>
      </c>
      <c r="U145" s="25">
        <v>0</v>
      </c>
      <c r="V145" s="25">
        <v>0</v>
      </c>
      <c r="W145" s="25">
        <v>0</v>
      </c>
      <c r="X145" s="25">
        <v>0</v>
      </c>
      <c r="Y145" s="25">
        <v>0</v>
      </c>
      <c r="Z145" s="25">
        <v>0</v>
      </c>
      <c r="AA145" s="25">
        <v>0</v>
      </c>
      <c r="AB145" s="25">
        <v>0</v>
      </c>
      <c r="AC145" s="25">
        <v>0</v>
      </c>
      <c r="AD145" s="25">
        <v>0</v>
      </c>
      <c r="AE145" s="25">
        <v>0</v>
      </c>
      <c r="AF145" s="25">
        <v>0</v>
      </c>
      <c r="AG145" s="25">
        <v>0</v>
      </c>
      <c r="AH145" s="25">
        <v>0</v>
      </c>
      <c r="AI145" s="25">
        <v>0</v>
      </c>
      <c r="AJ145" s="25">
        <v>0</v>
      </c>
    </row>
    <row r="146" spans="1:36" s="76" customFormat="1" x14ac:dyDescent="0.25">
      <c r="A146" s="76" t="s">
        <v>780</v>
      </c>
      <c r="C146" s="77">
        <f>+SUM(C135:C145)</f>
        <v>100</v>
      </c>
      <c r="D146" s="77">
        <f t="shared" ref="D146" si="265">+SUM(D135:D145)</f>
        <v>100</v>
      </c>
      <c r="E146" s="77">
        <f t="shared" ref="E146" si="266">+SUM(E135:E145)</f>
        <v>100</v>
      </c>
      <c r="F146" s="77">
        <f t="shared" ref="F146" si="267">+SUM(F135:F145)</f>
        <v>100</v>
      </c>
      <c r="G146" s="77">
        <f t="shared" ref="G146" si="268">+SUM(G135:G145)</f>
        <v>100</v>
      </c>
      <c r="H146" s="77">
        <f t="shared" ref="H146" si="269">+SUM(H135:H145)</f>
        <v>100</v>
      </c>
      <c r="I146" s="77">
        <f t="shared" ref="I146" si="270">+SUM(I135:I145)</f>
        <v>100</v>
      </c>
      <c r="J146" s="77">
        <f t="shared" ref="J146" si="271">+SUM(J135:J145)</f>
        <v>100</v>
      </c>
      <c r="K146" s="77">
        <f t="shared" ref="K146" si="272">+SUM(K135:K145)</f>
        <v>100</v>
      </c>
      <c r="L146" s="77">
        <f t="shared" ref="L146" si="273">+SUM(L135:L145)</f>
        <v>100</v>
      </c>
      <c r="M146" s="77">
        <f t="shared" ref="M146" si="274">+SUM(M135:M145)</f>
        <v>100</v>
      </c>
      <c r="N146" s="77">
        <f t="shared" ref="N146" si="275">+SUM(N135:N145)</f>
        <v>100</v>
      </c>
      <c r="O146" s="77">
        <f t="shared" ref="O146" si="276">+SUM(O135:O145)</f>
        <v>100</v>
      </c>
      <c r="P146" s="77">
        <f t="shared" ref="P146" si="277">+SUM(P135:P145)</f>
        <v>100</v>
      </c>
      <c r="Q146" s="77">
        <f t="shared" ref="Q146" si="278">+SUM(Q135:Q145)</f>
        <v>100</v>
      </c>
      <c r="R146" s="77">
        <f t="shared" ref="R146" si="279">+SUM(R135:R145)</f>
        <v>100</v>
      </c>
      <c r="S146" s="77">
        <f t="shared" ref="S146" si="280">+SUM(S135:S145)</f>
        <v>100</v>
      </c>
      <c r="T146" s="77">
        <f t="shared" ref="T146" si="281">+SUM(T135:T145)</f>
        <v>100</v>
      </c>
      <c r="U146" s="77">
        <f t="shared" ref="U146" si="282">+SUM(U135:U145)</f>
        <v>100</v>
      </c>
      <c r="V146" s="77">
        <f t="shared" ref="V146" si="283">+SUM(V135:V145)</f>
        <v>100</v>
      </c>
      <c r="W146" s="77">
        <f t="shared" ref="W146" si="284">+SUM(W135:W145)</f>
        <v>100</v>
      </c>
      <c r="X146" s="77">
        <f t="shared" ref="X146" si="285">+SUM(X135:X145)</f>
        <v>100</v>
      </c>
      <c r="Y146" s="77">
        <f t="shared" ref="Y146" si="286">+SUM(Y135:Y145)</f>
        <v>100</v>
      </c>
      <c r="Z146" s="77">
        <f t="shared" ref="Z146" si="287">+SUM(Z135:Z145)</f>
        <v>100</v>
      </c>
      <c r="AA146" s="77">
        <f t="shared" ref="AA146" si="288">+SUM(AA135:AA145)</f>
        <v>100</v>
      </c>
      <c r="AB146" s="77">
        <f t="shared" ref="AB146" si="289">+SUM(AB135:AB145)</f>
        <v>100</v>
      </c>
      <c r="AC146" s="77">
        <f t="shared" ref="AC146" si="290">+SUM(AC135:AC145)</f>
        <v>100</v>
      </c>
      <c r="AD146" s="77">
        <f t="shared" ref="AD146" si="291">+SUM(AD135:AD145)</f>
        <v>100</v>
      </c>
      <c r="AE146" s="77">
        <f t="shared" ref="AE146" si="292">+SUM(AE135:AE145)</f>
        <v>100</v>
      </c>
      <c r="AF146" s="77">
        <f t="shared" ref="AF146" si="293">+SUM(AF135:AF145)</f>
        <v>100</v>
      </c>
      <c r="AG146" s="77">
        <f t="shared" ref="AG146" si="294">+SUM(AG135:AG145)</f>
        <v>100</v>
      </c>
      <c r="AH146" s="77">
        <f t="shared" ref="AH146" si="295">+SUM(AH135:AH145)</f>
        <v>100</v>
      </c>
      <c r="AI146" s="77">
        <f t="shared" ref="AI146" si="296">+SUM(AI135:AI145)</f>
        <v>100</v>
      </c>
      <c r="AJ146" s="77">
        <f t="shared" ref="AJ146" si="297">+SUM(AJ135:AJ145)</f>
        <v>100</v>
      </c>
    </row>
    <row r="147" spans="1:36" x14ac:dyDescent="0.25">
      <c r="A147" t="s">
        <v>559</v>
      </c>
      <c r="B147" t="s">
        <v>305</v>
      </c>
      <c r="C147" s="25">
        <v>0</v>
      </c>
      <c r="D147" s="25">
        <v>0</v>
      </c>
      <c r="E147" s="25">
        <v>0</v>
      </c>
      <c r="F147" s="25">
        <v>0</v>
      </c>
      <c r="G147" s="25">
        <v>0</v>
      </c>
      <c r="H147" s="25">
        <v>0</v>
      </c>
      <c r="I147" s="25">
        <v>0</v>
      </c>
      <c r="J147" s="25">
        <v>0</v>
      </c>
      <c r="K147" s="25">
        <v>0</v>
      </c>
      <c r="L147" s="25">
        <v>0</v>
      </c>
      <c r="M147" s="25">
        <v>0</v>
      </c>
      <c r="N147" s="25">
        <v>0</v>
      </c>
      <c r="O147" s="25">
        <v>0</v>
      </c>
      <c r="P147" s="25">
        <v>0</v>
      </c>
      <c r="Q147" s="25">
        <v>0</v>
      </c>
      <c r="R147" s="25">
        <v>0</v>
      </c>
      <c r="S147" s="25">
        <v>0</v>
      </c>
      <c r="T147" s="25">
        <v>0</v>
      </c>
      <c r="U147" s="25">
        <v>0</v>
      </c>
      <c r="V147" s="25">
        <v>0</v>
      </c>
      <c r="W147" s="25">
        <v>0</v>
      </c>
      <c r="X147" s="25">
        <v>0</v>
      </c>
      <c r="Y147" s="25">
        <v>0</v>
      </c>
      <c r="Z147" s="25">
        <v>0</v>
      </c>
      <c r="AA147" s="25">
        <v>0</v>
      </c>
      <c r="AB147" s="25">
        <v>0</v>
      </c>
      <c r="AC147" s="25">
        <v>0</v>
      </c>
      <c r="AD147" s="25">
        <v>0</v>
      </c>
      <c r="AE147" s="25">
        <v>0</v>
      </c>
      <c r="AF147" s="25">
        <v>0</v>
      </c>
      <c r="AG147" s="25">
        <v>0</v>
      </c>
      <c r="AH147" s="25">
        <v>0</v>
      </c>
      <c r="AI147" s="25">
        <v>0</v>
      </c>
      <c r="AJ147" s="25">
        <v>0</v>
      </c>
    </row>
    <row r="148" spans="1:36" x14ac:dyDescent="0.25">
      <c r="A148" t="s">
        <v>560</v>
      </c>
      <c r="B148" t="s">
        <v>305</v>
      </c>
      <c r="C148" s="25">
        <v>0</v>
      </c>
      <c r="D148" s="25">
        <v>0</v>
      </c>
      <c r="E148" s="25">
        <v>0</v>
      </c>
      <c r="F148" s="25">
        <v>0</v>
      </c>
      <c r="G148" s="25">
        <v>0</v>
      </c>
      <c r="H148" s="25">
        <v>0</v>
      </c>
      <c r="I148" s="25">
        <v>0</v>
      </c>
      <c r="J148" s="25">
        <v>0</v>
      </c>
      <c r="K148" s="25">
        <v>0</v>
      </c>
      <c r="L148" s="25">
        <v>0</v>
      </c>
      <c r="M148" s="25">
        <v>0</v>
      </c>
      <c r="N148" s="25">
        <v>0</v>
      </c>
      <c r="O148" s="25">
        <v>0</v>
      </c>
      <c r="P148" s="25">
        <v>0</v>
      </c>
      <c r="Q148" s="25">
        <v>0</v>
      </c>
      <c r="R148" s="25">
        <v>0</v>
      </c>
      <c r="S148" s="25">
        <v>0</v>
      </c>
      <c r="T148" s="25">
        <v>0</v>
      </c>
      <c r="U148" s="25">
        <v>0</v>
      </c>
      <c r="V148" s="25">
        <v>0</v>
      </c>
      <c r="W148" s="25">
        <v>0</v>
      </c>
      <c r="X148" s="25">
        <v>0</v>
      </c>
      <c r="Y148" s="25">
        <v>0</v>
      </c>
      <c r="Z148" s="25">
        <v>0</v>
      </c>
      <c r="AA148" s="25">
        <v>0</v>
      </c>
      <c r="AB148" s="25">
        <v>0</v>
      </c>
      <c r="AC148" s="25">
        <v>0</v>
      </c>
      <c r="AD148" s="25">
        <v>0</v>
      </c>
      <c r="AE148" s="25">
        <v>0</v>
      </c>
      <c r="AF148" s="25">
        <v>0</v>
      </c>
      <c r="AG148" s="25">
        <v>0</v>
      </c>
      <c r="AH148" s="25">
        <v>0</v>
      </c>
      <c r="AI148" s="25">
        <v>0</v>
      </c>
      <c r="AJ148" s="25">
        <v>0</v>
      </c>
    </row>
    <row r="149" spans="1:36" x14ac:dyDescent="0.25">
      <c r="A149" t="s">
        <v>561</v>
      </c>
      <c r="B149" t="s">
        <v>305</v>
      </c>
      <c r="C149" s="25">
        <v>0</v>
      </c>
      <c r="D149" s="25">
        <v>0</v>
      </c>
      <c r="E149" s="25">
        <v>0</v>
      </c>
      <c r="F149" s="25">
        <v>0</v>
      </c>
      <c r="G149" s="25">
        <v>0</v>
      </c>
      <c r="H149" s="25">
        <v>0</v>
      </c>
      <c r="I149" s="25">
        <v>0</v>
      </c>
      <c r="J149" s="25">
        <v>0</v>
      </c>
      <c r="K149" s="25">
        <v>0</v>
      </c>
      <c r="L149" s="25">
        <v>0</v>
      </c>
      <c r="M149" s="25">
        <v>0</v>
      </c>
      <c r="N149" s="25">
        <v>0</v>
      </c>
      <c r="O149" s="25">
        <v>0</v>
      </c>
      <c r="P149" s="25">
        <v>0</v>
      </c>
      <c r="Q149" s="25">
        <v>0</v>
      </c>
      <c r="R149" s="25">
        <v>0</v>
      </c>
      <c r="S149" s="25">
        <v>0</v>
      </c>
      <c r="T149" s="25">
        <v>0</v>
      </c>
      <c r="U149" s="25">
        <v>0</v>
      </c>
      <c r="V149" s="25">
        <v>0</v>
      </c>
      <c r="W149" s="25">
        <v>0</v>
      </c>
      <c r="X149" s="25">
        <v>0</v>
      </c>
      <c r="Y149" s="25">
        <v>0</v>
      </c>
      <c r="Z149" s="25">
        <v>0</v>
      </c>
      <c r="AA149" s="25">
        <v>0</v>
      </c>
      <c r="AB149" s="25">
        <v>0</v>
      </c>
      <c r="AC149" s="25">
        <v>0</v>
      </c>
      <c r="AD149" s="25">
        <v>0</v>
      </c>
      <c r="AE149" s="25">
        <v>0</v>
      </c>
      <c r="AF149" s="25">
        <v>0</v>
      </c>
      <c r="AG149" s="25">
        <v>0</v>
      </c>
      <c r="AH149" s="25">
        <v>0</v>
      </c>
      <c r="AI149" s="25">
        <v>0</v>
      </c>
      <c r="AJ149" s="25">
        <v>0</v>
      </c>
    </row>
    <row r="150" spans="1:36" x14ac:dyDescent="0.25">
      <c r="A150" t="s">
        <v>562</v>
      </c>
      <c r="B150" t="s">
        <v>305</v>
      </c>
      <c r="C150" s="25">
        <v>0</v>
      </c>
      <c r="D150" s="25">
        <v>0</v>
      </c>
      <c r="E150" s="25">
        <v>0</v>
      </c>
      <c r="F150" s="25">
        <v>0</v>
      </c>
      <c r="G150" s="25">
        <v>0</v>
      </c>
      <c r="H150" s="25">
        <v>0</v>
      </c>
      <c r="I150" s="25">
        <v>0</v>
      </c>
      <c r="J150" s="25">
        <v>0</v>
      </c>
      <c r="K150" s="25">
        <v>0</v>
      </c>
      <c r="L150" s="25">
        <v>0</v>
      </c>
      <c r="M150" s="25">
        <v>0</v>
      </c>
      <c r="N150" s="25">
        <v>0</v>
      </c>
      <c r="O150" s="25">
        <v>0</v>
      </c>
      <c r="P150" s="25">
        <v>0</v>
      </c>
      <c r="Q150" s="25">
        <v>0</v>
      </c>
      <c r="R150" s="25">
        <v>0</v>
      </c>
      <c r="S150" s="25">
        <v>0</v>
      </c>
      <c r="T150" s="25">
        <v>0</v>
      </c>
      <c r="U150" s="25">
        <v>0</v>
      </c>
      <c r="V150" s="25">
        <v>0</v>
      </c>
      <c r="W150" s="25">
        <v>0</v>
      </c>
      <c r="X150" s="25">
        <v>0</v>
      </c>
      <c r="Y150" s="25">
        <v>0</v>
      </c>
      <c r="Z150" s="25">
        <v>0</v>
      </c>
      <c r="AA150" s="25">
        <v>0</v>
      </c>
      <c r="AB150" s="25">
        <v>0</v>
      </c>
      <c r="AC150" s="25">
        <v>0</v>
      </c>
      <c r="AD150" s="25">
        <v>0</v>
      </c>
      <c r="AE150" s="25">
        <v>0</v>
      </c>
      <c r="AF150" s="25">
        <v>0</v>
      </c>
      <c r="AG150" s="25">
        <v>0</v>
      </c>
      <c r="AH150" s="25">
        <v>0</v>
      </c>
      <c r="AI150" s="25">
        <v>0</v>
      </c>
      <c r="AJ150" s="25">
        <v>0</v>
      </c>
    </row>
    <row r="151" spans="1:36" x14ac:dyDescent="0.25">
      <c r="A151" t="s">
        <v>563</v>
      </c>
      <c r="B151" t="s">
        <v>305</v>
      </c>
      <c r="C151" s="25">
        <v>0</v>
      </c>
      <c r="D151" s="25">
        <v>0</v>
      </c>
      <c r="E151" s="25">
        <v>0</v>
      </c>
      <c r="F151" s="25">
        <v>0</v>
      </c>
      <c r="G151" s="25">
        <v>0</v>
      </c>
      <c r="H151" s="25">
        <v>0</v>
      </c>
      <c r="I151" s="25">
        <v>0</v>
      </c>
      <c r="J151" s="25">
        <v>0</v>
      </c>
      <c r="K151" s="25">
        <v>0</v>
      </c>
      <c r="L151" s="25">
        <v>0</v>
      </c>
      <c r="M151" s="25">
        <v>0</v>
      </c>
      <c r="N151" s="25">
        <v>0</v>
      </c>
      <c r="O151" s="25">
        <v>0</v>
      </c>
      <c r="P151" s="25">
        <v>0</v>
      </c>
      <c r="Q151" s="25">
        <v>0</v>
      </c>
      <c r="R151" s="25">
        <v>0</v>
      </c>
      <c r="S151" s="25">
        <v>0</v>
      </c>
      <c r="T151" s="25">
        <v>0</v>
      </c>
      <c r="U151" s="25">
        <v>0</v>
      </c>
      <c r="V151" s="25">
        <v>0</v>
      </c>
      <c r="W151" s="25">
        <v>0</v>
      </c>
      <c r="X151" s="25">
        <v>0</v>
      </c>
      <c r="Y151" s="25">
        <v>0</v>
      </c>
      <c r="Z151" s="25">
        <v>0</v>
      </c>
      <c r="AA151" s="25">
        <v>0</v>
      </c>
      <c r="AB151" s="25">
        <v>0</v>
      </c>
      <c r="AC151" s="25">
        <v>0</v>
      </c>
      <c r="AD151" s="25">
        <v>0</v>
      </c>
      <c r="AE151" s="25">
        <v>0</v>
      </c>
      <c r="AF151" s="25">
        <v>0</v>
      </c>
      <c r="AG151" s="25">
        <v>0</v>
      </c>
      <c r="AH151" s="25">
        <v>0</v>
      </c>
      <c r="AI151" s="25">
        <v>0</v>
      </c>
      <c r="AJ151" s="25">
        <v>0</v>
      </c>
    </row>
    <row r="152" spans="1:36" x14ac:dyDescent="0.25">
      <c r="A152" t="s">
        <v>564</v>
      </c>
      <c r="B152" t="s">
        <v>305</v>
      </c>
      <c r="C152" s="25">
        <v>0</v>
      </c>
      <c r="D152" s="25">
        <v>0</v>
      </c>
      <c r="E152" s="25">
        <v>0</v>
      </c>
      <c r="F152" s="25">
        <v>0</v>
      </c>
      <c r="G152" s="25">
        <v>0</v>
      </c>
      <c r="H152" s="25">
        <v>0</v>
      </c>
      <c r="I152" s="25">
        <v>0</v>
      </c>
      <c r="J152" s="25">
        <v>0</v>
      </c>
      <c r="K152" s="25">
        <v>0</v>
      </c>
      <c r="L152" s="25">
        <v>0</v>
      </c>
      <c r="M152" s="25">
        <v>0</v>
      </c>
      <c r="N152" s="25">
        <v>0</v>
      </c>
      <c r="O152" s="25">
        <v>0</v>
      </c>
      <c r="P152" s="25">
        <v>0</v>
      </c>
      <c r="Q152" s="25">
        <v>0</v>
      </c>
      <c r="R152" s="25">
        <v>0</v>
      </c>
      <c r="S152" s="25">
        <v>0</v>
      </c>
      <c r="T152" s="25">
        <v>0</v>
      </c>
      <c r="U152" s="25">
        <v>0</v>
      </c>
      <c r="V152" s="25">
        <v>0</v>
      </c>
      <c r="W152" s="25">
        <v>0</v>
      </c>
      <c r="X152" s="25">
        <v>0</v>
      </c>
      <c r="Y152" s="25">
        <v>0</v>
      </c>
      <c r="Z152" s="25">
        <v>0</v>
      </c>
      <c r="AA152" s="25">
        <v>0</v>
      </c>
      <c r="AB152" s="25">
        <v>0</v>
      </c>
      <c r="AC152" s="25">
        <v>0</v>
      </c>
      <c r="AD152" s="25">
        <v>0</v>
      </c>
      <c r="AE152" s="25">
        <v>0</v>
      </c>
      <c r="AF152" s="25">
        <v>0</v>
      </c>
      <c r="AG152" s="25">
        <v>0</v>
      </c>
      <c r="AH152" s="25">
        <v>0</v>
      </c>
      <c r="AI152" s="25">
        <v>0</v>
      </c>
      <c r="AJ152" s="25">
        <v>0</v>
      </c>
    </row>
    <row r="153" spans="1:36" x14ac:dyDescent="0.25">
      <c r="A153" t="s">
        <v>565</v>
      </c>
      <c r="B153" t="s">
        <v>305</v>
      </c>
      <c r="C153" s="25">
        <v>0</v>
      </c>
      <c r="D153" s="25">
        <v>0</v>
      </c>
      <c r="E153" s="25">
        <v>0</v>
      </c>
      <c r="F153" s="25">
        <v>0</v>
      </c>
      <c r="G153" s="25">
        <v>0</v>
      </c>
      <c r="H153" s="25">
        <v>0</v>
      </c>
      <c r="I153" s="25">
        <v>0</v>
      </c>
      <c r="J153" s="25">
        <v>0</v>
      </c>
      <c r="K153" s="25">
        <v>0</v>
      </c>
      <c r="L153" s="25">
        <v>0</v>
      </c>
      <c r="M153" s="25">
        <v>0</v>
      </c>
      <c r="N153" s="25">
        <v>0</v>
      </c>
      <c r="O153" s="25">
        <v>0</v>
      </c>
      <c r="P153" s="25">
        <v>0</v>
      </c>
      <c r="Q153" s="25">
        <v>0</v>
      </c>
      <c r="R153" s="25">
        <v>0</v>
      </c>
      <c r="S153" s="25">
        <v>0</v>
      </c>
      <c r="T153" s="25">
        <v>0</v>
      </c>
      <c r="U153" s="25">
        <v>0</v>
      </c>
      <c r="V153" s="25">
        <v>0</v>
      </c>
      <c r="W153" s="25">
        <v>0</v>
      </c>
      <c r="X153" s="25">
        <v>0</v>
      </c>
      <c r="Y153" s="25">
        <v>0</v>
      </c>
      <c r="Z153" s="25">
        <v>0</v>
      </c>
      <c r="AA153" s="25">
        <v>0</v>
      </c>
      <c r="AB153" s="25">
        <v>0</v>
      </c>
      <c r="AC153" s="25">
        <v>0</v>
      </c>
      <c r="AD153" s="25">
        <v>0</v>
      </c>
      <c r="AE153" s="25">
        <v>0</v>
      </c>
      <c r="AF153" s="25">
        <v>0</v>
      </c>
      <c r="AG153" s="25">
        <v>0</v>
      </c>
      <c r="AH153" s="25">
        <v>0</v>
      </c>
      <c r="AI153" s="25">
        <v>0</v>
      </c>
      <c r="AJ153" s="25">
        <v>0</v>
      </c>
    </row>
    <row r="154" spans="1:36" x14ac:dyDescent="0.25">
      <c r="A154" t="s">
        <v>566</v>
      </c>
      <c r="B154" t="s">
        <v>305</v>
      </c>
      <c r="C154" s="25">
        <v>0</v>
      </c>
      <c r="D154" s="25">
        <v>0</v>
      </c>
      <c r="E154" s="25">
        <v>0</v>
      </c>
      <c r="F154" s="25">
        <v>0</v>
      </c>
      <c r="G154" s="25">
        <v>0</v>
      </c>
      <c r="H154" s="25">
        <v>0</v>
      </c>
      <c r="I154" s="25">
        <v>0</v>
      </c>
      <c r="J154" s="25">
        <v>0</v>
      </c>
      <c r="K154" s="25">
        <v>0</v>
      </c>
      <c r="L154" s="25">
        <v>0</v>
      </c>
      <c r="M154" s="25">
        <v>0</v>
      </c>
      <c r="N154" s="25">
        <v>0</v>
      </c>
      <c r="O154" s="25">
        <v>0</v>
      </c>
      <c r="P154" s="25">
        <v>0</v>
      </c>
      <c r="Q154" s="25">
        <v>0</v>
      </c>
      <c r="R154" s="25">
        <v>0</v>
      </c>
      <c r="S154" s="25">
        <v>0</v>
      </c>
      <c r="T154" s="25">
        <v>0</v>
      </c>
      <c r="U154" s="25">
        <v>0</v>
      </c>
      <c r="V154" s="25">
        <v>0</v>
      </c>
      <c r="W154" s="25">
        <v>0</v>
      </c>
      <c r="X154" s="25">
        <v>0</v>
      </c>
      <c r="Y154" s="25">
        <v>0</v>
      </c>
      <c r="Z154" s="25">
        <v>0</v>
      </c>
      <c r="AA154" s="25">
        <v>0</v>
      </c>
      <c r="AB154" s="25">
        <v>0</v>
      </c>
      <c r="AC154" s="25">
        <v>0</v>
      </c>
      <c r="AD154" s="25">
        <v>0</v>
      </c>
      <c r="AE154" s="25">
        <v>0</v>
      </c>
      <c r="AF154" s="25">
        <v>0</v>
      </c>
      <c r="AG154" s="25">
        <v>0</v>
      </c>
      <c r="AH154" s="25">
        <v>0</v>
      </c>
      <c r="AI154" s="25">
        <v>0</v>
      </c>
      <c r="AJ154" s="25">
        <v>0</v>
      </c>
    </row>
    <row r="155" spans="1:36" x14ac:dyDescent="0.25">
      <c r="A155" t="s">
        <v>567</v>
      </c>
      <c r="B155" t="s">
        <v>305</v>
      </c>
      <c r="C155" s="25">
        <v>0</v>
      </c>
      <c r="D155" s="25">
        <v>0</v>
      </c>
      <c r="E155" s="25">
        <v>0</v>
      </c>
      <c r="F155" s="25">
        <v>0</v>
      </c>
      <c r="G155" s="25">
        <v>0</v>
      </c>
      <c r="H155" s="25">
        <v>0</v>
      </c>
      <c r="I155" s="25">
        <v>0</v>
      </c>
      <c r="J155" s="25">
        <v>0</v>
      </c>
      <c r="K155" s="25">
        <v>0</v>
      </c>
      <c r="L155" s="25">
        <v>0</v>
      </c>
      <c r="M155" s="25">
        <v>0</v>
      </c>
      <c r="N155" s="25">
        <v>0</v>
      </c>
      <c r="O155" s="25">
        <v>0</v>
      </c>
      <c r="P155" s="25">
        <v>0</v>
      </c>
      <c r="Q155" s="25">
        <v>0</v>
      </c>
      <c r="R155" s="25">
        <v>0</v>
      </c>
      <c r="S155" s="25">
        <v>0</v>
      </c>
      <c r="T155" s="25">
        <v>0</v>
      </c>
      <c r="U155" s="25">
        <v>0</v>
      </c>
      <c r="V155" s="25">
        <v>0</v>
      </c>
      <c r="W155" s="25">
        <v>0</v>
      </c>
      <c r="X155" s="25">
        <v>0</v>
      </c>
      <c r="Y155" s="25">
        <v>0</v>
      </c>
      <c r="Z155" s="25">
        <v>0</v>
      </c>
      <c r="AA155" s="25">
        <v>0</v>
      </c>
      <c r="AB155" s="25">
        <v>0</v>
      </c>
      <c r="AC155" s="25">
        <v>0</v>
      </c>
      <c r="AD155" s="25">
        <v>0</v>
      </c>
      <c r="AE155" s="25">
        <v>0</v>
      </c>
      <c r="AF155" s="25">
        <v>0</v>
      </c>
      <c r="AG155" s="25">
        <v>0</v>
      </c>
      <c r="AH155" s="25">
        <v>0</v>
      </c>
      <c r="AI155" s="25">
        <v>0</v>
      </c>
      <c r="AJ155" s="25">
        <v>0</v>
      </c>
    </row>
    <row r="156" spans="1:36" x14ac:dyDescent="0.25">
      <c r="A156" t="s">
        <v>568</v>
      </c>
      <c r="B156" t="s">
        <v>305</v>
      </c>
      <c r="C156" s="25">
        <v>100</v>
      </c>
      <c r="D156" s="25">
        <v>100</v>
      </c>
      <c r="E156" s="25">
        <v>100</v>
      </c>
      <c r="F156" s="25">
        <v>100</v>
      </c>
      <c r="G156" s="25">
        <v>100</v>
      </c>
      <c r="H156" s="25">
        <v>100</v>
      </c>
      <c r="I156" s="25">
        <v>100</v>
      </c>
      <c r="J156" s="25">
        <v>100</v>
      </c>
      <c r="K156" s="25">
        <v>100</v>
      </c>
      <c r="L156" s="25">
        <v>100</v>
      </c>
      <c r="M156" s="25">
        <v>100</v>
      </c>
      <c r="N156" s="25">
        <v>100</v>
      </c>
      <c r="O156" s="25">
        <v>100</v>
      </c>
      <c r="P156" s="25">
        <v>100</v>
      </c>
      <c r="Q156" s="25">
        <v>100</v>
      </c>
      <c r="R156" s="25">
        <v>100</v>
      </c>
      <c r="S156" s="25">
        <v>100</v>
      </c>
      <c r="T156" s="25">
        <v>100</v>
      </c>
      <c r="U156" s="25">
        <v>100</v>
      </c>
      <c r="V156" s="25">
        <v>100</v>
      </c>
      <c r="W156" s="25">
        <v>100</v>
      </c>
      <c r="X156" s="25">
        <v>100</v>
      </c>
      <c r="Y156" s="25">
        <v>100</v>
      </c>
      <c r="Z156" s="25">
        <v>100</v>
      </c>
      <c r="AA156" s="25">
        <v>100</v>
      </c>
      <c r="AB156" s="25">
        <v>100</v>
      </c>
      <c r="AC156" s="25">
        <v>100</v>
      </c>
      <c r="AD156" s="25">
        <v>100</v>
      </c>
      <c r="AE156" s="25">
        <v>100</v>
      </c>
      <c r="AF156" s="25">
        <v>100</v>
      </c>
      <c r="AG156" s="25">
        <v>100</v>
      </c>
      <c r="AH156" s="25">
        <v>100</v>
      </c>
      <c r="AI156" s="25">
        <v>100</v>
      </c>
      <c r="AJ156" s="25">
        <v>100</v>
      </c>
    </row>
    <row r="157" spans="1:36" x14ac:dyDescent="0.25">
      <c r="A157" t="s">
        <v>762</v>
      </c>
      <c r="B157" t="s">
        <v>305</v>
      </c>
      <c r="C157" s="25">
        <v>0</v>
      </c>
      <c r="D157" s="25">
        <v>0</v>
      </c>
      <c r="E157" s="25">
        <v>0</v>
      </c>
      <c r="F157" s="25">
        <v>0</v>
      </c>
      <c r="G157" s="25">
        <v>0</v>
      </c>
      <c r="H157" s="25">
        <v>0</v>
      </c>
      <c r="I157" s="25">
        <v>0</v>
      </c>
      <c r="J157" s="25">
        <v>0</v>
      </c>
      <c r="K157" s="25">
        <v>0</v>
      </c>
      <c r="L157" s="25">
        <v>0</v>
      </c>
      <c r="M157" s="25">
        <v>0</v>
      </c>
      <c r="N157" s="25">
        <v>0</v>
      </c>
      <c r="O157" s="25">
        <v>0</v>
      </c>
      <c r="P157" s="25">
        <v>0</v>
      </c>
      <c r="Q157" s="25">
        <v>0</v>
      </c>
      <c r="R157" s="25">
        <v>0</v>
      </c>
      <c r="S157" s="25">
        <v>0</v>
      </c>
      <c r="T157" s="25">
        <v>0</v>
      </c>
      <c r="U157" s="25">
        <v>0</v>
      </c>
      <c r="V157" s="25">
        <v>0</v>
      </c>
      <c r="W157" s="25">
        <v>0</v>
      </c>
      <c r="X157" s="25">
        <v>0</v>
      </c>
      <c r="Y157" s="25">
        <v>0</v>
      </c>
      <c r="Z157" s="25">
        <v>0</v>
      </c>
      <c r="AA157" s="25">
        <v>0</v>
      </c>
      <c r="AB157" s="25">
        <v>0</v>
      </c>
      <c r="AC157" s="25">
        <v>0</v>
      </c>
      <c r="AD157" s="25">
        <v>0</v>
      </c>
      <c r="AE157" s="25">
        <v>0</v>
      </c>
      <c r="AF157" s="25">
        <v>0</v>
      </c>
      <c r="AG157" s="25">
        <v>0</v>
      </c>
      <c r="AH157" s="25">
        <v>0</v>
      </c>
      <c r="AI157" s="25">
        <v>0</v>
      </c>
      <c r="AJ157" s="25">
        <v>0</v>
      </c>
    </row>
    <row r="158" spans="1:36" s="76" customFormat="1" x14ac:dyDescent="0.25">
      <c r="A158" s="76" t="s">
        <v>780</v>
      </c>
      <c r="C158" s="77">
        <f>+SUM(C147:C157)</f>
        <v>100</v>
      </c>
      <c r="D158" s="77">
        <f t="shared" ref="D158" si="298">+SUM(D147:D157)</f>
        <v>100</v>
      </c>
      <c r="E158" s="77">
        <f t="shared" ref="E158" si="299">+SUM(E147:E157)</f>
        <v>100</v>
      </c>
      <c r="F158" s="77">
        <f t="shared" ref="F158" si="300">+SUM(F147:F157)</f>
        <v>100</v>
      </c>
      <c r="G158" s="77">
        <f t="shared" ref="G158" si="301">+SUM(G147:G157)</f>
        <v>100</v>
      </c>
      <c r="H158" s="77">
        <f t="shared" ref="H158" si="302">+SUM(H147:H157)</f>
        <v>100</v>
      </c>
      <c r="I158" s="77">
        <f t="shared" ref="I158" si="303">+SUM(I147:I157)</f>
        <v>100</v>
      </c>
      <c r="J158" s="77">
        <f t="shared" ref="J158" si="304">+SUM(J147:J157)</f>
        <v>100</v>
      </c>
      <c r="K158" s="77">
        <f t="shared" ref="K158" si="305">+SUM(K147:K157)</f>
        <v>100</v>
      </c>
      <c r="L158" s="77">
        <f t="shared" ref="L158" si="306">+SUM(L147:L157)</f>
        <v>100</v>
      </c>
      <c r="M158" s="77">
        <f t="shared" ref="M158" si="307">+SUM(M147:M157)</f>
        <v>100</v>
      </c>
      <c r="N158" s="77">
        <f t="shared" ref="N158" si="308">+SUM(N147:N157)</f>
        <v>100</v>
      </c>
      <c r="O158" s="77">
        <f t="shared" ref="O158" si="309">+SUM(O147:O157)</f>
        <v>100</v>
      </c>
      <c r="P158" s="77">
        <f t="shared" ref="P158" si="310">+SUM(P147:P157)</f>
        <v>100</v>
      </c>
      <c r="Q158" s="77">
        <f t="shared" ref="Q158" si="311">+SUM(Q147:Q157)</f>
        <v>100</v>
      </c>
      <c r="R158" s="77">
        <f t="shared" ref="R158" si="312">+SUM(R147:R157)</f>
        <v>100</v>
      </c>
      <c r="S158" s="77">
        <f t="shared" ref="S158" si="313">+SUM(S147:S157)</f>
        <v>100</v>
      </c>
      <c r="T158" s="77">
        <f t="shared" ref="T158" si="314">+SUM(T147:T157)</f>
        <v>100</v>
      </c>
      <c r="U158" s="77">
        <f t="shared" ref="U158" si="315">+SUM(U147:U157)</f>
        <v>100</v>
      </c>
      <c r="V158" s="77">
        <f t="shared" ref="V158" si="316">+SUM(V147:V157)</f>
        <v>100</v>
      </c>
      <c r="W158" s="77">
        <f t="shared" ref="W158" si="317">+SUM(W147:W157)</f>
        <v>100</v>
      </c>
      <c r="X158" s="77">
        <f t="shared" ref="X158" si="318">+SUM(X147:X157)</f>
        <v>100</v>
      </c>
      <c r="Y158" s="77">
        <f t="shared" ref="Y158" si="319">+SUM(Y147:Y157)</f>
        <v>100</v>
      </c>
      <c r="Z158" s="77">
        <f t="shared" ref="Z158" si="320">+SUM(Z147:Z157)</f>
        <v>100</v>
      </c>
      <c r="AA158" s="77">
        <f t="shared" ref="AA158" si="321">+SUM(AA147:AA157)</f>
        <v>100</v>
      </c>
      <c r="AB158" s="77">
        <f t="shared" ref="AB158" si="322">+SUM(AB147:AB157)</f>
        <v>100</v>
      </c>
      <c r="AC158" s="77">
        <f t="shared" ref="AC158" si="323">+SUM(AC147:AC157)</f>
        <v>100</v>
      </c>
      <c r="AD158" s="77">
        <f t="shared" ref="AD158" si="324">+SUM(AD147:AD157)</f>
        <v>100</v>
      </c>
      <c r="AE158" s="77">
        <f t="shared" ref="AE158" si="325">+SUM(AE147:AE157)</f>
        <v>100</v>
      </c>
      <c r="AF158" s="77">
        <f t="shared" ref="AF158" si="326">+SUM(AF147:AF157)</f>
        <v>100</v>
      </c>
      <c r="AG158" s="77">
        <f t="shared" ref="AG158" si="327">+SUM(AG147:AG157)</f>
        <v>100</v>
      </c>
      <c r="AH158" s="77">
        <f t="shared" ref="AH158" si="328">+SUM(AH147:AH157)</f>
        <v>100</v>
      </c>
      <c r="AI158" s="77">
        <f t="shared" ref="AI158" si="329">+SUM(AI147:AI157)</f>
        <v>100</v>
      </c>
      <c r="AJ158" s="77">
        <f t="shared" ref="AJ158" si="330">+SUM(AJ147:AJ157)</f>
        <v>100</v>
      </c>
    </row>
    <row r="159" spans="1:36" s="74" customFormat="1" ht="15.75" x14ac:dyDescent="0.25">
      <c r="A159" s="72" t="s">
        <v>776</v>
      </c>
      <c r="B159" s="73"/>
      <c r="C159" s="72"/>
      <c r="D159" s="72"/>
      <c r="E159" s="72"/>
      <c r="F159" s="72"/>
      <c r="G159" s="72"/>
      <c r="H159" s="72"/>
      <c r="I159" s="72"/>
      <c r="J159" s="72"/>
      <c r="K159" s="72"/>
      <c r="L159" s="72"/>
      <c r="M159" s="72"/>
      <c r="N159" s="72"/>
      <c r="O159" s="72"/>
      <c r="P159" s="72"/>
      <c r="Q159" s="72"/>
      <c r="R159" s="72"/>
      <c r="S159" s="72"/>
      <c r="T159" s="72"/>
      <c r="U159" s="72"/>
      <c r="V159" s="72"/>
      <c r="W159" s="72"/>
      <c r="X159" s="72"/>
      <c r="Y159" s="72"/>
      <c r="Z159" s="72"/>
      <c r="AA159" s="72"/>
      <c r="AB159" s="72"/>
      <c r="AC159" s="72"/>
      <c r="AD159" s="72"/>
      <c r="AE159" s="72"/>
      <c r="AF159" s="72"/>
      <c r="AG159" s="72"/>
      <c r="AH159" s="72"/>
      <c r="AI159" s="72"/>
      <c r="AJ159" s="72"/>
    </row>
    <row r="160" spans="1:36" x14ac:dyDescent="0.25">
      <c r="A160" s="75" t="s">
        <v>569</v>
      </c>
      <c r="B160" t="s">
        <v>305</v>
      </c>
      <c r="C160" s="25">
        <v>71</v>
      </c>
      <c r="D160" s="25">
        <v>71</v>
      </c>
      <c r="E160" s="25">
        <v>71</v>
      </c>
      <c r="F160" s="25">
        <v>71</v>
      </c>
      <c r="G160" s="25">
        <v>71</v>
      </c>
      <c r="H160" s="25">
        <v>71</v>
      </c>
      <c r="I160" s="25">
        <v>71</v>
      </c>
      <c r="J160" s="25">
        <v>71</v>
      </c>
      <c r="K160" s="25">
        <v>71</v>
      </c>
      <c r="L160" s="25">
        <v>71</v>
      </c>
      <c r="M160" s="25">
        <v>71</v>
      </c>
      <c r="N160" s="25">
        <v>71</v>
      </c>
      <c r="O160" s="25">
        <v>71</v>
      </c>
      <c r="P160" s="25">
        <v>71</v>
      </c>
      <c r="Q160" s="25">
        <v>71</v>
      </c>
      <c r="R160" s="25">
        <v>71</v>
      </c>
      <c r="S160" s="25">
        <v>71</v>
      </c>
      <c r="T160" s="25">
        <v>71</v>
      </c>
      <c r="U160" s="25">
        <v>71</v>
      </c>
      <c r="V160" s="25">
        <v>71</v>
      </c>
      <c r="W160" s="25">
        <v>71</v>
      </c>
      <c r="X160" s="25">
        <v>71</v>
      </c>
      <c r="Y160" s="25">
        <v>71</v>
      </c>
      <c r="Z160" s="25">
        <v>71</v>
      </c>
      <c r="AA160" s="25">
        <v>71</v>
      </c>
      <c r="AB160" s="25">
        <v>71</v>
      </c>
      <c r="AC160" s="25">
        <v>71</v>
      </c>
      <c r="AD160" s="25">
        <v>71</v>
      </c>
      <c r="AE160" s="25">
        <v>71</v>
      </c>
      <c r="AF160" s="25">
        <v>71</v>
      </c>
      <c r="AG160" s="25">
        <v>71</v>
      </c>
      <c r="AH160" s="25">
        <v>71</v>
      </c>
      <c r="AI160" s="25">
        <v>71</v>
      </c>
      <c r="AJ160" s="25">
        <v>71</v>
      </c>
    </row>
    <row r="161" spans="1:36" x14ac:dyDescent="0.25">
      <c r="A161" s="75" t="s">
        <v>570</v>
      </c>
      <c r="B161" t="s">
        <v>305</v>
      </c>
      <c r="C161" s="25">
        <v>11</v>
      </c>
      <c r="D161" s="25">
        <v>11</v>
      </c>
      <c r="E161" s="25">
        <v>11</v>
      </c>
      <c r="F161" s="25">
        <v>11</v>
      </c>
      <c r="G161" s="25">
        <v>11</v>
      </c>
      <c r="H161" s="25">
        <v>11</v>
      </c>
      <c r="I161" s="25">
        <v>11</v>
      </c>
      <c r="J161" s="25">
        <v>11</v>
      </c>
      <c r="K161" s="25">
        <v>11</v>
      </c>
      <c r="L161" s="25">
        <v>11</v>
      </c>
      <c r="M161" s="25">
        <v>11</v>
      </c>
      <c r="N161" s="25">
        <v>11</v>
      </c>
      <c r="O161" s="25">
        <v>11</v>
      </c>
      <c r="P161" s="25">
        <v>11</v>
      </c>
      <c r="Q161" s="25">
        <v>11</v>
      </c>
      <c r="R161" s="25">
        <v>11</v>
      </c>
      <c r="S161" s="25">
        <v>11</v>
      </c>
      <c r="T161" s="25">
        <v>11</v>
      </c>
      <c r="U161" s="25">
        <v>11</v>
      </c>
      <c r="V161" s="25">
        <v>11</v>
      </c>
      <c r="W161" s="25">
        <v>11</v>
      </c>
      <c r="X161" s="25">
        <v>11</v>
      </c>
      <c r="Y161" s="25">
        <v>11</v>
      </c>
      <c r="Z161" s="25">
        <v>11</v>
      </c>
      <c r="AA161" s="25">
        <v>11</v>
      </c>
      <c r="AB161" s="25">
        <v>11</v>
      </c>
      <c r="AC161" s="25">
        <v>11</v>
      </c>
      <c r="AD161" s="25">
        <v>11</v>
      </c>
      <c r="AE161" s="25">
        <v>11</v>
      </c>
      <c r="AF161" s="25">
        <v>11</v>
      </c>
      <c r="AG161" s="25">
        <v>11</v>
      </c>
      <c r="AH161" s="25">
        <v>11</v>
      </c>
      <c r="AI161" s="25">
        <v>11</v>
      </c>
      <c r="AJ161" s="25">
        <v>11</v>
      </c>
    </row>
    <row r="162" spans="1:36" x14ac:dyDescent="0.25">
      <c r="A162" s="75" t="s">
        <v>571</v>
      </c>
      <c r="B162" t="s">
        <v>305</v>
      </c>
      <c r="C162" s="25">
        <v>13</v>
      </c>
      <c r="D162" s="25">
        <v>13</v>
      </c>
      <c r="E162" s="25">
        <v>13</v>
      </c>
      <c r="F162" s="25">
        <v>13</v>
      </c>
      <c r="G162" s="25">
        <v>13</v>
      </c>
      <c r="H162" s="25">
        <v>13</v>
      </c>
      <c r="I162" s="25">
        <v>13</v>
      </c>
      <c r="J162" s="25">
        <v>13</v>
      </c>
      <c r="K162" s="25">
        <v>13</v>
      </c>
      <c r="L162" s="25">
        <v>13</v>
      </c>
      <c r="M162" s="25">
        <v>13</v>
      </c>
      <c r="N162" s="25">
        <v>13</v>
      </c>
      <c r="O162" s="25">
        <v>13</v>
      </c>
      <c r="P162" s="25">
        <v>13</v>
      </c>
      <c r="Q162" s="25">
        <v>13</v>
      </c>
      <c r="R162" s="25">
        <v>13</v>
      </c>
      <c r="S162" s="25">
        <v>13</v>
      </c>
      <c r="T162" s="25">
        <v>13</v>
      </c>
      <c r="U162" s="25">
        <v>13</v>
      </c>
      <c r="V162" s="25">
        <v>13</v>
      </c>
      <c r="W162" s="25">
        <v>13</v>
      </c>
      <c r="X162" s="25">
        <v>13</v>
      </c>
      <c r="Y162" s="25">
        <v>13</v>
      </c>
      <c r="Z162" s="25">
        <v>13</v>
      </c>
      <c r="AA162" s="25">
        <v>13</v>
      </c>
      <c r="AB162" s="25">
        <v>13</v>
      </c>
      <c r="AC162" s="25">
        <v>13</v>
      </c>
      <c r="AD162" s="25">
        <v>13</v>
      </c>
      <c r="AE162" s="25">
        <v>13</v>
      </c>
      <c r="AF162" s="25">
        <v>13</v>
      </c>
      <c r="AG162" s="25">
        <v>13</v>
      </c>
      <c r="AH162" s="25">
        <v>13</v>
      </c>
      <c r="AI162" s="25">
        <v>13</v>
      </c>
      <c r="AJ162" s="25">
        <v>13</v>
      </c>
    </row>
    <row r="163" spans="1:36" x14ac:dyDescent="0.25">
      <c r="A163" s="75" t="s">
        <v>572</v>
      </c>
      <c r="B163" t="s">
        <v>305</v>
      </c>
      <c r="C163" s="25">
        <v>0</v>
      </c>
      <c r="D163" s="25">
        <v>0</v>
      </c>
      <c r="E163" s="25">
        <v>0</v>
      </c>
      <c r="F163" s="25">
        <v>0</v>
      </c>
      <c r="G163" s="25">
        <v>0</v>
      </c>
      <c r="H163" s="25">
        <v>0</v>
      </c>
      <c r="I163" s="25">
        <v>0</v>
      </c>
      <c r="J163" s="25">
        <v>0</v>
      </c>
      <c r="K163" s="25">
        <v>0</v>
      </c>
      <c r="L163" s="25">
        <v>0</v>
      </c>
      <c r="M163" s="25">
        <v>0</v>
      </c>
      <c r="N163" s="25">
        <v>0</v>
      </c>
      <c r="O163" s="25">
        <v>0</v>
      </c>
      <c r="P163" s="25">
        <v>0</v>
      </c>
      <c r="Q163" s="25">
        <v>0</v>
      </c>
      <c r="R163" s="25">
        <v>0</v>
      </c>
      <c r="S163" s="25">
        <v>0</v>
      </c>
      <c r="T163" s="25">
        <v>0</v>
      </c>
      <c r="U163" s="25">
        <v>0</v>
      </c>
      <c r="V163" s="25">
        <v>0</v>
      </c>
      <c r="W163" s="25">
        <v>0</v>
      </c>
      <c r="X163" s="25">
        <v>0</v>
      </c>
      <c r="Y163" s="25">
        <v>0</v>
      </c>
      <c r="Z163" s="25">
        <v>0</v>
      </c>
      <c r="AA163" s="25">
        <v>0</v>
      </c>
      <c r="AB163" s="25">
        <v>0</v>
      </c>
      <c r="AC163" s="25">
        <v>0</v>
      </c>
      <c r="AD163" s="25">
        <v>0</v>
      </c>
      <c r="AE163" s="25">
        <v>0</v>
      </c>
      <c r="AF163" s="25">
        <v>0</v>
      </c>
      <c r="AG163" s="25">
        <v>0</v>
      </c>
      <c r="AH163" s="25">
        <v>0</v>
      </c>
      <c r="AI163" s="25">
        <v>0</v>
      </c>
      <c r="AJ163" s="25">
        <v>0</v>
      </c>
    </row>
    <row r="164" spans="1:36" x14ac:dyDescent="0.25">
      <c r="A164" s="75" t="s">
        <v>573</v>
      </c>
      <c r="B164" t="s">
        <v>305</v>
      </c>
      <c r="C164" s="25">
        <v>3</v>
      </c>
      <c r="D164" s="25">
        <v>3</v>
      </c>
      <c r="E164" s="25">
        <v>3</v>
      </c>
      <c r="F164" s="25">
        <v>3</v>
      </c>
      <c r="G164" s="25">
        <v>3</v>
      </c>
      <c r="H164" s="25">
        <v>3</v>
      </c>
      <c r="I164" s="25">
        <v>3</v>
      </c>
      <c r="J164" s="25">
        <v>3</v>
      </c>
      <c r="K164" s="25">
        <v>3</v>
      </c>
      <c r="L164" s="25">
        <v>3</v>
      </c>
      <c r="M164" s="25">
        <v>3</v>
      </c>
      <c r="N164" s="25">
        <v>3</v>
      </c>
      <c r="O164" s="25">
        <v>3</v>
      </c>
      <c r="P164" s="25">
        <v>3</v>
      </c>
      <c r="Q164" s="25">
        <v>3</v>
      </c>
      <c r="R164" s="25">
        <v>3</v>
      </c>
      <c r="S164" s="25">
        <v>3</v>
      </c>
      <c r="T164" s="25">
        <v>3</v>
      </c>
      <c r="U164" s="25">
        <v>3</v>
      </c>
      <c r="V164" s="25">
        <v>3</v>
      </c>
      <c r="W164" s="25">
        <v>3</v>
      </c>
      <c r="X164" s="25">
        <v>3</v>
      </c>
      <c r="Y164" s="25">
        <v>3</v>
      </c>
      <c r="Z164" s="25">
        <v>3</v>
      </c>
      <c r="AA164" s="25">
        <v>3</v>
      </c>
      <c r="AB164" s="25">
        <v>3</v>
      </c>
      <c r="AC164" s="25">
        <v>3</v>
      </c>
      <c r="AD164" s="25">
        <v>3</v>
      </c>
      <c r="AE164" s="25">
        <v>3</v>
      </c>
      <c r="AF164" s="25">
        <v>3</v>
      </c>
      <c r="AG164" s="25">
        <v>3</v>
      </c>
      <c r="AH164" s="25">
        <v>3</v>
      </c>
      <c r="AI164" s="25">
        <v>3</v>
      </c>
      <c r="AJ164" s="25">
        <v>3</v>
      </c>
    </row>
    <row r="165" spans="1:36" x14ac:dyDescent="0.25">
      <c r="A165" s="75" t="s">
        <v>574</v>
      </c>
      <c r="B165" t="s">
        <v>305</v>
      </c>
      <c r="C165" s="25">
        <v>2</v>
      </c>
      <c r="D165" s="25">
        <v>2</v>
      </c>
      <c r="E165" s="25">
        <v>2</v>
      </c>
      <c r="F165" s="25">
        <v>2</v>
      </c>
      <c r="G165" s="25">
        <v>2</v>
      </c>
      <c r="H165" s="25">
        <v>2</v>
      </c>
      <c r="I165" s="25">
        <v>2</v>
      </c>
      <c r="J165" s="25">
        <v>2</v>
      </c>
      <c r="K165" s="25">
        <v>2</v>
      </c>
      <c r="L165" s="25">
        <v>2</v>
      </c>
      <c r="M165" s="25">
        <v>2</v>
      </c>
      <c r="N165" s="25">
        <v>2</v>
      </c>
      <c r="O165" s="25">
        <v>2</v>
      </c>
      <c r="P165" s="25">
        <v>2</v>
      </c>
      <c r="Q165" s="25">
        <v>2</v>
      </c>
      <c r="R165" s="25">
        <v>2</v>
      </c>
      <c r="S165" s="25">
        <v>2</v>
      </c>
      <c r="T165" s="25">
        <v>2</v>
      </c>
      <c r="U165" s="25">
        <v>2</v>
      </c>
      <c r="V165" s="25">
        <v>2</v>
      </c>
      <c r="W165" s="25">
        <v>2</v>
      </c>
      <c r="X165" s="25">
        <v>2</v>
      </c>
      <c r="Y165" s="25">
        <v>2</v>
      </c>
      <c r="Z165" s="25">
        <v>2</v>
      </c>
      <c r="AA165" s="25">
        <v>2</v>
      </c>
      <c r="AB165" s="25">
        <v>2</v>
      </c>
      <c r="AC165" s="25">
        <v>2</v>
      </c>
      <c r="AD165" s="25">
        <v>2</v>
      </c>
      <c r="AE165" s="25">
        <v>2</v>
      </c>
      <c r="AF165" s="25">
        <v>2</v>
      </c>
      <c r="AG165" s="25">
        <v>2</v>
      </c>
      <c r="AH165" s="25">
        <v>2</v>
      </c>
      <c r="AI165" s="25">
        <v>2</v>
      </c>
      <c r="AJ165" s="25">
        <v>2</v>
      </c>
    </row>
    <row r="166" spans="1:36" x14ac:dyDescent="0.25">
      <c r="A166" s="75" t="s">
        <v>575</v>
      </c>
      <c r="B166" t="s">
        <v>305</v>
      </c>
      <c r="C166" s="25">
        <v>0</v>
      </c>
      <c r="D166" s="25">
        <v>0</v>
      </c>
      <c r="E166" s="25">
        <v>0</v>
      </c>
      <c r="F166" s="25">
        <v>0</v>
      </c>
      <c r="G166" s="25">
        <v>0</v>
      </c>
      <c r="H166" s="25">
        <v>0</v>
      </c>
      <c r="I166" s="25">
        <v>0</v>
      </c>
      <c r="J166" s="25">
        <v>0</v>
      </c>
      <c r="K166" s="25">
        <v>0</v>
      </c>
      <c r="L166" s="25">
        <v>0</v>
      </c>
      <c r="M166" s="25">
        <v>0</v>
      </c>
      <c r="N166" s="25">
        <v>0</v>
      </c>
      <c r="O166" s="25">
        <v>0</v>
      </c>
      <c r="P166" s="25">
        <v>0</v>
      </c>
      <c r="Q166" s="25">
        <v>0</v>
      </c>
      <c r="R166" s="25">
        <v>0</v>
      </c>
      <c r="S166" s="25">
        <v>0</v>
      </c>
      <c r="T166" s="25">
        <v>0</v>
      </c>
      <c r="U166" s="25">
        <v>0</v>
      </c>
      <c r="V166" s="25">
        <v>0</v>
      </c>
      <c r="W166" s="25">
        <v>0</v>
      </c>
      <c r="X166" s="25">
        <v>0</v>
      </c>
      <c r="Y166" s="25">
        <v>0</v>
      </c>
      <c r="Z166" s="25">
        <v>0</v>
      </c>
      <c r="AA166" s="25">
        <v>0</v>
      </c>
      <c r="AB166" s="25">
        <v>0</v>
      </c>
      <c r="AC166" s="25">
        <v>0</v>
      </c>
      <c r="AD166" s="25">
        <v>0</v>
      </c>
      <c r="AE166" s="25">
        <v>0</v>
      </c>
      <c r="AF166" s="25">
        <v>0</v>
      </c>
      <c r="AG166" s="25">
        <v>0</v>
      </c>
      <c r="AH166" s="25">
        <v>0</v>
      </c>
      <c r="AI166" s="25">
        <v>0</v>
      </c>
      <c r="AJ166" s="25">
        <v>0</v>
      </c>
    </row>
    <row r="167" spans="1:36" x14ac:dyDescent="0.25">
      <c r="A167" s="75" t="s">
        <v>576</v>
      </c>
      <c r="B167" t="s">
        <v>305</v>
      </c>
      <c r="C167" s="25">
        <v>0</v>
      </c>
      <c r="D167" s="25">
        <v>0</v>
      </c>
      <c r="E167" s="25">
        <v>0</v>
      </c>
      <c r="F167" s="25">
        <v>0</v>
      </c>
      <c r="G167" s="25">
        <v>0</v>
      </c>
      <c r="H167" s="25">
        <v>0</v>
      </c>
      <c r="I167" s="25">
        <v>0</v>
      </c>
      <c r="J167" s="25">
        <v>0</v>
      </c>
      <c r="K167" s="25">
        <v>0</v>
      </c>
      <c r="L167" s="25">
        <v>0</v>
      </c>
      <c r="M167" s="25">
        <v>0</v>
      </c>
      <c r="N167" s="25">
        <v>0</v>
      </c>
      <c r="O167" s="25">
        <v>0</v>
      </c>
      <c r="P167" s="25">
        <v>0</v>
      </c>
      <c r="Q167" s="25">
        <v>0</v>
      </c>
      <c r="R167" s="25">
        <v>0</v>
      </c>
      <c r="S167" s="25">
        <v>0</v>
      </c>
      <c r="T167" s="25">
        <v>0</v>
      </c>
      <c r="U167" s="25">
        <v>0</v>
      </c>
      <c r="V167" s="25">
        <v>0</v>
      </c>
      <c r="W167" s="25">
        <v>0</v>
      </c>
      <c r="X167" s="25">
        <v>0</v>
      </c>
      <c r="Y167" s="25">
        <v>0</v>
      </c>
      <c r="Z167" s="25">
        <v>0</v>
      </c>
      <c r="AA167" s="25">
        <v>0</v>
      </c>
      <c r="AB167" s="25">
        <v>0</v>
      </c>
      <c r="AC167" s="25">
        <v>0</v>
      </c>
      <c r="AD167" s="25">
        <v>0</v>
      </c>
      <c r="AE167" s="25">
        <v>0</v>
      </c>
      <c r="AF167" s="25">
        <v>0</v>
      </c>
      <c r="AG167" s="25">
        <v>0</v>
      </c>
      <c r="AH167" s="25">
        <v>0</v>
      </c>
      <c r="AI167" s="25">
        <v>0</v>
      </c>
      <c r="AJ167" s="25">
        <v>0</v>
      </c>
    </row>
    <row r="168" spans="1:36" x14ac:dyDescent="0.25">
      <c r="A168" s="75" t="s">
        <v>577</v>
      </c>
      <c r="B168" t="s">
        <v>305</v>
      </c>
      <c r="C168" s="25">
        <v>0</v>
      </c>
      <c r="D168" s="25">
        <v>0</v>
      </c>
      <c r="E168" s="25">
        <v>0</v>
      </c>
      <c r="F168" s="25">
        <v>0</v>
      </c>
      <c r="G168" s="25">
        <v>0</v>
      </c>
      <c r="H168" s="25">
        <v>0</v>
      </c>
      <c r="I168" s="25">
        <v>0</v>
      </c>
      <c r="J168" s="25">
        <v>0</v>
      </c>
      <c r="K168" s="25">
        <v>0</v>
      </c>
      <c r="L168" s="25">
        <v>0</v>
      </c>
      <c r="M168" s="25">
        <v>0</v>
      </c>
      <c r="N168" s="25">
        <v>0</v>
      </c>
      <c r="O168" s="25">
        <v>0</v>
      </c>
      <c r="P168" s="25">
        <v>0</v>
      </c>
      <c r="Q168" s="25">
        <v>0</v>
      </c>
      <c r="R168" s="25">
        <v>0</v>
      </c>
      <c r="S168" s="25">
        <v>0</v>
      </c>
      <c r="T168" s="25">
        <v>0</v>
      </c>
      <c r="U168" s="25">
        <v>0</v>
      </c>
      <c r="V168" s="25">
        <v>0</v>
      </c>
      <c r="W168" s="25">
        <v>0</v>
      </c>
      <c r="X168" s="25">
        <v>0</v>
      </c>
      <c r="Y168" s="25">
        <v>0</v>
      </c>
      <c r="Z168" s="25">
        <v>0</v>
      </c>
      <c r="AA168" s="25">
        <v>0</v>
      </c>
      <c r="AB168" s="25">
        <v>0</v>
      </c>
      <c r="AC168" s="25">
        <v>0</v>
      </c>
      <c r="AD168" s="25">
        <v>0</v>
      </c>
      <c r="AE168" s="25">
        <v>0</v>
      </c>
      <c r="AF168" s="25">
        <v>0</v>
      </c>
      <c r="AG168" s="25">
        <v>0</v>
      </c>
      <c r="AH168" s="25">
        <v>0</v>
      </c>
      <c r="AI168" s="25">
        <v>0</v>
      </c>
      <c r="AJ168" s="25">
        <v>0</v>
      </c>
    </row>
    <row r="169" spans="1:36" x14ac:dyDescent="0.25">
      <c r="A169" s="75" t="s">
        <v>578</v>
      </c>
      <c r="B169" t="s">
        <v>305</v>
      </c>
      <c r="C169" s="25">
        <v>0</v>
      </c>
      <c r="D169" s="25">
        <v>0</v>
      </c>
      <c r="E169" s="25">
        <v>0</v>
      </c>
      <c r="F169" s="25">
        <v>0</v>
      </c>
      <c r="G169" s="25">
        <v>0</v>
      </c>
      <c r="H169" s="25">
        <v>0</v>
      </c>
      <c r="I169" s="25">
        <v>0</v>
      </c>
      <c r="J169" s="25">
        <v>0</v>
      </c>
      <c r="K169" s="25">
        <v>0</v>
      </c>
      <c r="L169" s="25">
        <v>0</v>
      </c>
      <c r="M169" s="25">
        <v>0</v>
      </c>
      <c r="N169" s="25">
        <v>0</v>
      </c>
      <c r="O169" s="25">
        <v>0</v>
      </c>
      <c r="P169" s="25">
        <v>0</v>
      </c>
      <c r="Q169" s="25">
        <v>0</v>
      </c>
      <c r="R169" s="25">
        <v>0</v>
      </c>
      <c r="S169" s="25">
        <v>0</v>
      </c>
      <c r="T169" s="25">
        <v>0</v>
      </c>
      <c r="U169" s="25">
        <v>0</v>
      </c>
      <c r="V169" s="25">
        <v>0</v>
      </c>
      <c r="W169" s="25">
        <v>0</v>
      </c>
      <c r="X169" s="25">
        <v>0</v>
      </c>
      <c r="Y169" s="25">
        <v>0</v>
      </c>
      <c r="Z169" s="25">
        <v>0</v>
      </c>
      <c r="AA169" s="25">
        <v>0</v>
      </c>
      <c r="AB169" s="25">
        <v>0</v>
      </c>
      <c r="AC169" s="25">
        <v>0</v>
      </c>
      <c r="AD169" s="25">
        <v>0</v>
      </c>
      <c r="AE169" s="25">
        <v>0</v>
      </c>
      <c r="AF169" s="25">
        <v>0</v>
      </c>
      <c r="AG169" s="25">
        <v>0</v>
      </c>
      <c r="AH169" s="25">
        <v>0</v>
      </c>
      <c r="AI169" s="25">
        <v>0</v>
      </c>
      <c r="AJ169" s="25">
        <v>0</v>
      </c>
    </row>
    <row r="170" spans="1:36" x14ac:dyDescent="0.25">
      <c r="A170" s="75" t="s">
        <v>763</v>
      </c>
      <c r="B170" t="s">
        <v>305</v>
      </c>
      <c r="C170" s="25">
        <v>0</v>
      </c>
      <c r="D170" s="25">
        <v>0</v>
      </c>
      <c r="E170" s="25">
        <v>0</v>
      </c>
      <c r="F170" s="25">
        <v>0</v>
      </c>
      <c r="G170" s="25">
        <v>0</v>
      </c>
      <c r="H170" s="25">
        <v>0</v>
      </c>
      <c r="I170" s="25">
        <v>0</v>
      </c>
      <c r="J170" s="25">
        <v>0</v>
      </c>
      <c r="K170" s="25">
        <v>0</v>
      </c>
      <c r="L170" s="25">
        <v>0</v>
      </c>
      <c r="M170" s="25">
        <v>0</v>
      </c>
      <c r="N170" s="25">
        <v>0</v>
      </c>
      <c r="O170" s="25">
        <v>0</v>
      </c>
      <c r="P170" s="25">
        <v>0</v>
      </c>
      <c r="Q170" s="25">
        <v>0</v>
      </c>
      <c r="R170" s="25">
        <v>0</v>
      </c>
      <c r="S170" s="25">
        <v>0</v>
      </c>
      <c r="T170" s="25">
        <v>0</v>
      </c>
      <c r="U170" s="25">
        <v>0</v>
      </c>
      <c r="V170" s="25">
        <v>0</v>
      </c>
      <c r="W170" s="25">
        <v>0</v>
      </c>
      <c r="X170" s="25">
        <v>0</v>
      </c>
      <c r="Y170" s="25">
        <v>0</v>
      </c>
      <c r="Z170" s="25">
        <v>0</v>
      </c>
      <c r="AA170" s="25">
        <v>0</v>
      </c>
      <c r="AB170" s="25">
        <v>0</v>
      </c>
      <c r="AC170" s="25">
        <v>0</v>
      </c>
      <c r="AD170" s="25">
        <v>0</v>
      </c>
      <c r="AE170" s="25">
        <v>0</v>
      </c>
      <c r="AF170" s="25">
        <v>0</v>
      </c>
      <c r="AG170" s="25">
        <v>0</v>
      </c>
      <c r="AH170" s="25">
        <v>0</v>
      </c>
      <c r="AI170" s="25">
        <v>0</v>
      </c>
      <c r="AJ170" s="25">
        <v>0</v>
      </c>
    </row>
    <row r="171" spans="1:36" s="76" customFormat="1" x14ac:dyDescent="0.25">
      <c r="A171" s="76" t="s">
        <v>780</v>
      </c>
      <c r="C171" s="77">
        <f>+SUM(C160:C170)</f>
        <v>100</v>
      </c>
      <c r="D171" s="77">
        <f t="shared" ref="D171" si="331">+SUM(D160:D170)</f>
        <v>100</v>
      </c>
      <c r="E171" s="77">
        <f t="shared" ref="E171" si="332">+SUM(E160:E170)</f>
        <v>100</v>
      </c>
      <c r="F171" s="77">
        <f t="shared" ref="F171" si="333">+SUM(F160:F170)</f>
        <v>100</v>
      </c>
      <c r="G171" s="77">
        <f t="shared" ref="G171" si="334">+SUM(G160:G170)</f>
        <v>100</v>
      </c>
      <c r="H171" s="77">
        <f t="shared" ref="H171" si="335">+SUM(H160:H170)</f>
        <v>100</v>
      </c>
      <c r="I171" s="77">
        <f t="shared" ref="I171" si="336">+SUM(I160:I170)</f>
        <v>100</v>
      </c>
      <c r="J171" s="77">
        <f t="shared" ref="J171" si="337">+SUM(J160:J170)</f>
        <v>100</v>
      </c>
      <c r="K171" s="77">
        <f t="shared" ref="K171" si="338">+SUM(K160:K170)</f>
        <v>100</v>
      </c>
      <c r="L171" s="77">
        <f t="shared" ref="L171" si="339">+SUM(L160:L170)</f>
        <v>100</v>
      </c>
      <c r="M171" s="77">
        <f t="shared" ref="M171" si="340">+SUM(M160:M170)</f>
        <v>100</v>
      </c>
      <c r="N171" s="77">
        <f t="shared" ref="N171" si="341">+SUM(N160:N170)</f>
        <v>100</v>
      </c>
      <c r="O171" s="77">
        <f t="shared" ref="O171" si="342">+SUM(O160:O170)</f>
        <v>100</v>
      </c>
      <c r="P171" s="77">
        <f t="shared" ref="P171" si="343">+SUM(P160:P170)</f>
        <v>100</v>
      </c>
      <c r="Q171" s="77">
        <f t="shared" ref="Q171" si="344">+SUM(Q160:Q170)</f>
        <v>100</v>
      </c>
      <c r="R171" s="77">
        <f t="shared" ref="R171" si="345">+SUM(R160:R170)</f>
        <v>100</v>
      </c>
      <c r="S171" s="77">
        <f t="shared" ref="S171" si="346">+SUM(S160:S170)</f>
        <v>100</v>
      </c>
      <c r="T171" s="77">
        <f t="shared" ref="T171" si="347">+SUM(T160:T170)</f>
        <v>100</v>
      </c>
      <c r="U171" s="77">
        <f t="shared" ref="U171" si="348">+SUM(U160:U170)</f>
        <v>100</v>
      </c>
      <c r="V171" s="77">
        <f t="shared" ref="V171" si="349">+SUM(V160:V170)</f>
        <v>100</v>
      </c>
      <c r="W171" s="77">
        <f t="shared" ref="W171" si="350">+SUM(W160:W170)</f>
        <v>100</v>
      </c>
      <c r="X171" s="77">
        <f t="shared" ref="X171" si="351">+SUM(X160:X170)</f>
        <v>100</v>
      </c>
      <c r="Y171" s="77">
        <f t="shared" ref="Y171" si="352">+SUM(Y160:Y170)</f>
        <v>100</v>
      </c>
      <c r="Z171" s="77">
        <f t="shared" ref="Z171" si="353">+SUM(Z160:Z170)</f>
        <v>100</v>
      </c>
      <c r="AA171" s="77">
        <f t="shared" ref="AA171" si="354">+SUM(AA160:AA170)</f>
        <v>100</v>
      </c>
      <c r="AB171" s="77">
        <f t="shared" ref="AB171" si="355">+SUM(AB160:AB170)</f>
        <v>100</v>
      </c>
      <c r="AC171" s="77">
        <f t="shared" ref="AC171" si="356">+SUM(AC160:AC170)</f>
        <v>100</v>
      </c>
      <c r="AD171" s="77">
        <f t="shared" ref="AD171" si="357">+SUM(AD160:AD170)</f>
        <v>100</v>
      </c>
      <c r="AE171" s="77">
        <f t="shared" ref="AE171" si="358">+SUM(AE160:AE170)</f>
        <v>100</v>
      </c>
      <c r="AF171" s="77">
        <f t="shared" ref="AF171" si="359">+SUM(AF160:AF170)</f>
        <v>100</v>
      </c>
      <c r="AG171" s="77">
        <f t="shared" ref="AG171" si="360">+SUM(AG160:AG170)</f>
        <v>100</v>
      </c>
      <c r="AH171" s="77">
        <f t="shared" ref="AH171" si="361">+SUM(AH160:AH170)</f>
        <v>100</v>
      </c>
      <c r="AI171" s="77">
        <f t="shared" ref="AI171" si="362">+SUM(AI160:AI170)</f>
        <v>100</v>
      </c>
      <c r="AJ171" s="77">
        <f t="shared" ref="AJ171" si="363">+SUM(AJ160:AJ170)</f>
        <v>100</v>
      </c>
    </row>
    <row r="172" spans="1:36" x14ac:dyDescent="0.25">
      <c r="A172" t="s">
        <v>579</v>
      </c>
      <c r="B172" t="s">
        <v>305</v>
      </c>
      <c r="C172" s="25">
        <v>25</v>
      </c>
      <c r="D172" s="25">
        <v>25</v>
      </c>
      <c r="E172" s="25">
        <v>25</v>
      </c>
      <c r="F172" s="25">
        <v>25</v>
      </c>
      <c r="G172" s="25">
        <v>25</v>
      </c>
      <c r="H172" s="25">
        <v>25</v>
      </c>
      <c r="I172" s="25">
        <v>25</v>
      </c>
      <c r="J172" s="25">
        <v>25</v>
      </c>
      <c r="K172" s="25">
        <v>25</v>
      </c>
      <c r="L172" s="25">
        <v>25</v>
      </c>
      <c r="M172" s="25">
        <v>25</v>
      </c>
      <c r="N172" s="25">
        <v>25</v>
      </c>
      <c r="O172" s="25">
        <v>25</v>
      </c>
      <c r="P172" s="25">
        <v>25</v>
      </c>
      <c r="Q172" s="25">
        <v>25</v>
      </c>
      <c r="R172" s="25">
        <v>25</v>
      </c>
      <c r="S172" s="25">
        <v>25</v>
      </c>
      <c r="T172" s="25">
        <v>25</v>
      </c>
      <c r="U172" s="25">
        <v>25</v>
      </c>
      <c r="V172" s="25">
        <v>25</v>
      </c>
      <c r="W172" s="25">
        <v>25</v>
      </c>
      <c r="X172" s="25">
        <v>25</v>
      </c>
      <c r="Y172" s="25">
        <v>25</v>
      </c>
      <c r="Z172" s="25">
        <v>25</v>
      </c>
      <c r="AA172" s="25">
        <v>25</v>
      </c>
      <c r="AB172" s="25">
        <v>25</v>
      </c>
      <c r="AC172" s="25">
        <v>25</v>
      </c>
      <c r="AD172" s="25">
        <v>25</v>
      </c>
      <c r="AE172" s="25">
        <v>25</v>
      </c>
      <c r="AF172" s="25">
        <v>25</v>
      </c>
      <c r="AG172" s="25">
        <v>25</v>
      </c>
      <c r="AH172" s="25">
        <v>25</v>
      </c>
      <c r="AI172" s="25">
        <v>25</v>
      </c>
      <c r="AJ172" s="25">
        <v>25</v>
      </c>
    </row>
    <row r="173" spans="1:36" x14ac:dyDescent="0.25">
      <c r="A173" t="s">
        <v>580</v>
      </c>
      <c r="B173" t="s">
        <v>305</v>
      </c>
      <c r="C173" s="25">
        <v>10</v>
      </c>
      <c r="D173" s="25">
        <v>10</v>
      </c>
      <c r="E173" s="25">
        <v>10</v>
      </c>
      <c r="F173" s="25">
        <v>10</v>
      </c>
      <c r="G173" s="25">
        <v>10</v>
      </c>
      <c r="H173" s="25">
        <v>10</v>
      </c>
      <c r="I173" s="25">
        <v>10</v>
      </c>
      <c r="J173" s="25">
        <v>10</v>
      </c>
      <c r="K173" s="25">
        <v>10</v>
      </c>
      <c r="L173" s="25">
        <v>10</v>
      </c>
      <c r="M173" s="25">
        <v>10</v>
      </c>
      <c r="N173" s="25">
        <v>10</v>
      </c>
      <c r="O173" s="25">
        <v>10</v>
      </c>
      <c r="P173" s="25">
        <v>10</v>
      </c>
      <c r="Q173" s="25">
        <v>10</v>
      </c>
      <c r="R173" s="25">
        <v>10</v>
      </c>
      <c r="S173" s="25">
        <v>10</v>
      </c>
      <c r="T173" s="25">
        <v>10</v>
      </c>
      <c r="U173" s="25">
        <v>10</v>
      </c>
      <c r="V173" s="25">
        <v>10</v>
      </c>
      <c r="W173" s="25">
        <v>10</v>
      </c>
      <c r="X173" s="25">
        <v>10</v>
      </c>
      <c r="Y173" s="25">
        <v>10</v>
      </c>
      <c r="Z173" s="25">
        <v>10</v>
      </c>
      <c r="AA173" s="25">
        <v>10</v>
      </c>
      <c r="AB173" s="25">
        <v>10</v>
      </c>
      <c r="AC173" s="25">
        <v>10</v>
      </c>
      <c r="AD173" s="25">
        <v>10</v>
      </c>
      <c r="AE173" s="25">
        <v>10</v>
      </c>
      <c r="AF173" s="25">
        <v>10</v>
      </c>
      <c r="AG173" s="25">
        <v>10</v>
      </c>
      <c r="AH173" s="25">
        <v>10</v>
      </c>
      <c r="AI173" s="25">
        <v>10</v>
      </c>
      <c r="AJ173" s="25">
        <v>10</v>
      </c>
    </row>
    <row r="174" spans="1:36" x14ac:dyDescent="0.25">
      <c r="A174" t="s">
        <v>581</v>
      </c>
      <c r="B174" t="s">
        <v>305</v>
      </c>
      <c r="C174" s="25">
        <v>35</v>
      </c>
      <c r="D174" s="25">
        <v>35</v>
      </c>
      <c r="E174" s="25">
        <v>35</v>
      </c>
      <c r="F174" s="25">
        <v>35</v>
      </c>
      <c r="G174" s="25">
        <v>35</v>
      </c>
      <c r="H174" s="25">
        <v>35</v>
      </c>
      <c r="I174" s="25">
        <v>35</v>
      </c>
      <c r="J174" s="25">
        <v>35</v>
      </c>
      <c r="K174" s="25">
        <v>35</v>
      </c>
      <c r="L174" s="25">
        <v>35</v>
      </c>
      <c r="M174" s="25">
        <v>35</v>
      </c>
      <c r="N174" s="25">
        <v>35</v>
      </c>
      <c r="O174" s="25">
        <v>35</v>
      </c>
      <c r="P174" s="25">
        <v>35</v>
      </c>
      <c r="Q174" s="25">
        <v>35</v>
      </c>
      <c r="R174" s="25">
        <v>35</v>
      </c>
      <c r="S174" s="25">
        <v>35</v>
      </c>
      <c r="T174" s="25">
        <v>35</v>
      </c>
      <c r="U174" s="25">
        <v>35</v>
      </c>
      <c r="V174" s="25">
        <v>35</v>
      </c>
      <c r="W174" s="25">
        <v>35</v>
      </c>
      <c r="X174" s="25">
        <v>35</v>
      </c>
      <c r="Y174" s="25">
        <v>35</v>
      </c>
      <c r="Z174" s="25">
        <v>35</v>
      </c>
      <c r="AA174" s="25">
        <v>35</v>
      </c>
      <c r="AB174" s="25">
        <v>35</v>
      </c>
      <c r="AC174" s="25">
        <v>35</v>
      </c>
      <c r="AD174" s="25">
        <v>35</v>
      </c>
      <c r="AE174" s="25">
        <v>35</v>
      </c>
      <c r="AF174" s="25">
        <v>35</v>
      </c>
      <c r="AG174" s="25">
        <v>35</v>
      </c>
      <c r="AH174" s="25">
        <v>35</v>
      </c>
      <c r="AI174" s="25">
        <v>35</v>
      </c>
      <c r="AJ174" s="25">
        <v>35</v>
      </c>
    </row>
    <row r="175" spans="1:36" x14ac:dyDescent="0.25">
      <c r="A175" t="s">
        <v>582</v>
      </c>
      <c r="B175" t="s">
        <v>305</v>
      </c>
      <c r="C175" s="25">
        <v>0</v>
      </c>
      <c r="D175" s="25">
        <v>0</v>
      </c>
      <c r="E175" s="25">
        <v>0</v>
      </c>
      <c r="F175" s="25">
        <v>0</v>
      </c>
      <c r="G175" s="25">
        <v>0</v>
      </c>
      <c r="H175" s="25">
        <v>0</v>
      </c>
      <c r="I175" s="25">
        <v>0</v>
      </c>
      <c r="J175" s="25">
        <v>0</v>
      </c>
      <c r="K175" s="25">
        <v>0</v>
      </c>
      <c r="L175" s="25">
        <v>0</v>
      </c>
      <c r="M175" s="25">
        <v>0</v>
      </c>
      <c r="N175" s="25">
        <v>0</v>
      </c>
      <c r="O175" s="25">
        <v>0</v>
      </c>
      <c r="P175" s="25">
        <v>0</v>
      </c>
      <c r="Q175" s="25">
        <v>0</v>
      </c>
      <c r="R175" s="25">
        <v>0</v>
      </c>
      <c r="S175" s="25">
        <v>0</v>
      </c>
      <c r="T175" s="25">
        <v>0</v>
      </c>
      <c r="U175" s="25">
        <v>0</v>
      </c>
      <c r="V175" s="25">
        <v>0</v>
      </c>
      <c r="W175" s="25">
        <v>0</v>
      </c>
      <c r="X175" s="25">
        <v>0</v>
      </c>
      <c r="Y175" s="25">
        <v>0</v>
      </c>
      <c r="Z175" s="25">
        <v>0</v>
      </c>
      <c r="AA175" s="25">
        <v>0</v>
      </c>
      <c r="AB175" s="25">
        <v>0</v>
      </c>
      <c r="AC175" s="25">
        <v>0</v>
      </c>
      <c r="AD175" s="25">
        <v>0</v>
      </c>
      <c r="AE175" s="25">
        <v>0</v>
      </c>
      <c r="AF175" s="25">
        <v>0</v>
      </c>
      <c r="AG175" s="25">
        <v>0</v>
      </c>
      <c r="AH175" s="25">
        <v>0</v>
      </c>
      <c r="AI175" s="25">
        <v>0</v>
      </c>
      <c r="AJ175" s="25">
        <v>0</v>
      </c>
    </row>
    <row r="176" spans="1:36" x14ac:dyDescent="0.25">
      <c r="A176" t="s">
        <v>583</v>
      </c>
      <c r="B176" t="s">
        <v>305</v>
      </c>
      <c r="C176" s="25">
        <v>28</v>
      </c>
      <c r="D176" s="25">
        <v>28</v>
      </c>
      <c r="E176" s="25">
        <v>28</v>
      </c>
      <c r="F176" s="25">
        <v>28</v>
      </c>
      <c r="G176" s="25">
        <v>28</v>
      </c>
      <c r="H176" s="25">
        <v>28</v>
      </c>
      <c r="I176" s="25">
        <v>28</v>
      </c>
      <c r="J176" s="25">
        <v>28</v>
      </c>
      <c r="K176" s="25">
        <v>28</v>
      </c>
      <c r="L176" s="25">
        <v>28</v>
      </c>
      <c r="M176" s="25">
        <v>28</v>
      </c>
      <c r="N176" s="25">
        <v>28</v>
      </c>
      <c r="O176" s="25">
        <v>28</v>
      </c>
      <c r="P176" s="25">
        <v>28</v>
      </c>
      <c r="Q176" s="25">
        <v>28</v>
      </c>
      <c r="R176" s="25">
        <v>28</v>
      </c>
      <c r="S176" s="25">
        <v>28</v>
      </c>
      <c r="T176" s="25">
        <v>28</v>
      </c>
      <c r="U176" s="25">
        <v>28</v>
      </c>
      <c r="V176" s="25">
        <v>28</v>
      </c>
      <c r="W176" s="25">
        <v>28</v>
      </c>
      <c r="X176" s="25">
        <v>28</v>
      </c>
      <c r="Y176" s="25">
        <v>28</v>
      </c>
      <c r="Z176" s="25">
        <v>28</v>
      </c>
      <c r="AA176" s="25">
        <v>28</v>
      </c>
      <c r="AB176" s="25">
        <v>28</v>
      </c>
      <c r="AC176" s="25">
        <v>28</v>
      </c>
      <c r="AD176" s="25">
        <v>28</v>
      </c>
      <c r="AE176" s="25">
        <v>28</v>
      </c>
      <c r="AF176" s="25">
        <v>28</v>
      </c>
      <c r="AG176" s="25">
        <v>28</v>
      </c>
      <c r="AH176" s="25">
        <v>28</v>
      </c>
      <c r="AI176" s="25">
        <v>28</v>
      </c>
      <c r="AJ176" s="25">
        <v>28</v>
      </c>
    </row>
    <row r="177" spans="1:36" x14ac:dyDescent="0.25">
      <c r="A177" t="s">
        <v>584</v>
      </c>
      <c r="B177" t="s">
        <v>305</v>
      </c>
      <c r="C177" s="25">
        <v>2</v>
      </c>
      <c r="D177" s="25">
        <v>2</v>
      </c>
      <c r="E177" s="25">
        <v>2</v>
      </c>
      <c r="F177" s="25">
        <v>2</v>
      </c>
      <c r="G177" s="25">
        <v>2</v>
      </c>
      <c r="H177" s="25">
        <v>2</v>
      </c>
      <c r="I177" s="25">
        <v>2</v>
      </c>
      <c r="J177" s="25">
        <v>2</v>
      </c>
      <c r="K177" s="25">
        <v>2</v>
      </c>
      <c r="L177" s="25">
        <v>2</v>
      </c>
      <c r="M177" s="25">
        <v>2</v>
      </c>
      <c r="N177" s="25">
        <v>2</v>
      </c>
      <c r="O177" s="25">
        <v>2</v>
      </c>
      <c r="P177" s="25">
        <v>2</v>
      </c>
      <c r="Q177" s="25">
        <v>2</v>
      </c>
      <c r="R177" s="25">
        <v>2</v>
      </c>
      <c r="S177" s="25">
        <v>2</v>
      </c>
      <c r="T177" s="25">
        <v>2</v>
      </c>
      <c r="U177" s="25">
        <v>2</v>
      </c>
      <c r="V177" s="25">
        <v>2</v>
      </c>
      <c r="W177" s="25">
        <v>2</v>
      </c>
      <c r="X177" s="25">
        <v>2</v>
      </c>
      <c r="Y177" s="25">
        <v>2</v>
      </c>
      <c r="Z177" s="25">
        <v>2</v>
      </c>
      <c r="AA177" s="25">
        <v>2</v>
      </c>
      <c r="AB177" s="25">
        <v>2</v>
      </c>
      <c r="AC177" s="25">
        <v>2</v>
      </c>
      <c r="AD177" s="25">
        <v>2</v>
      </c>
      <c r="AE177" s="25">
        <v>2</v>
      </c>
      <c r="AF177" s="25">
        <v>2</v>
      </c>
      <c r="AG177" s="25">
        <v>2</v>
      </c>
      <c r="AH177" s="25">
        <v>2</v>
      </c>
      <c r="AI177" s="25">
        <v>2</v>
      </c>
      <c r="AJ177" s="25">
        <v>2</v>
      </c>
    </row>
    <row r="178" spans="1:36" x14ac:dyDescent="0.25">
      <c r="A178" t="s">
        <v>585</v>
      </c>
      <c r="B178" t="s">
        <v>305</v>
      </c>
      <c r="C178" s="25">
        <v>0</v>
      </c>
      <c r="D178" s="25">
        <v>0</v>
      </c>
      <c r="E178" s="25">
        <v>0</v>
      </c>
      <c r="F178" s="25">
        <v>0</v>
      </c>
      <c r="G178" s="25">
        <v>0</v>
      </c>
      <c r="H178" s="25">
        <v>0</v>
      </c>
      <c r="I178" s="25">
        <v>0</v>
      </c>
      <c r="J178" s="25">
        <v>0</v>
      </c>
      <c r="K178" s="25">
        <v>0</v>
      </c>
      <c r="L178" s="25">
        <v>0</v>
      </c>
      <c r="M178" s="25">
        <v>0</v>
      </c>
      <c r="N178" s="25">
        <v>0</v>
      </c>
      <c r="O178" s="25">
        <v>0</v>
      </c>
      <c r="P178" s="25">
        <v>0</v>
      </c>
      <c r="Q178" s="25">
        <v>0</v>
      </c>
      <c r="R178" s="25">
        <v>0</v>
      </c>
      <c r="S178" s="25">
        <v>0</v>
      </c>
      <c r="T178" s="25">
        <v>0</v>
      </c>
      <c r="U178" s="25">
        <v>0</v>
      </c>
      <c r="V178" s="25">
        <v>0</v>
      </c>
      <c r="W178" s="25">
        <v>0</v>
      </c>
      <c r="X178" s="25">
        <v>0</v>
      </c>
      <c r="Y178" s="25">
        <v>0</v>
      </c>
      <c r="Z178" s="25">
        <v>0</v>
      </c>
      <c r="AA178" s="25">
        <v>0</v>
      </c>
      <c r="AB178" s="25">
        <v>0</v>
      </c>
      <c r="AC178" s="25">
        <v>0</v>
      </c>
      <c r="AD178" s="25">
        <v>0</v>
      </c>
      <c r="AE178" s="25">
        <v>0</v>
      </c>
      <c r="AF178" s="25">
        <v>0</v>
      </c>
      <c r="AG178" s="25">
        <v>0</v>
      </c>
      <c r="AH178" s="25">
        <v>0</v>
      </c>
      <c r="AI178" s="25">
        <v>0</v>
      </c>
      <c r="AJ178" s="25">
        <v>0</v>
      </c>
    </row>
    <row r="179" spans="1:36" x14ac:dyDescent="0.25">
      <c r="A179" t="s">
        <v>586</v>
      </c>
      <c r="B179" t="s">
        <v>305</v>
      </c>
      <c r="C179" s="25">
        <v>0</v>
      </c>
      <c r="D179" s="25">
        <v>0</v>
      </c>
      <c r="E179" s="25">
        <v>0</v>
      </c>
      <c r="F179" s="25">
        <v>0</v>
      </c>
      <c r="G179" s="25">
        <v>0</v>
      </c>
      <c r="H179" s="25">
        <v>0</v>
      </c>
      <c r="I179" s="25">
        <v>0</v>
      </c>
      <c r="J179" s="25">
        <v>0</v>
      </c>
      <c r="K179" s="25">
        <v>0</v>
      </c>
      <c r="L179" s="25">
        <v>0</v>
      </c>
      <c r="M179" s="25">
        <v>0</v>
      </c>
      <c r="N179" s="25">
        <v>0</v>
      </c>
      <c r="O179" s="25">
        <v>0</v>
      </c>
      <c r="P179" s="25">
        <v>0</v>
      </c>
      <c r="Q179" s="25">
        <v>0</v>
      </c>
      <c r="R179" s="25">
        <v>0</v>
      </c>
      <c r="S179" s="25">
        <v>0</v>
      </c>
      <c r="T179" s="25">
        <v>0</v>
      </c>
      <c r="U179" s="25">
        <v>0</v>
      </c>
      <c r="V179" s="25">
        <v>0</v>
      </c>
      <c r="W179" s="25">
        <v>0</v>
      </c>
      <c r="X179" s="25">
        <v>0</v>
      </c>
      <c r="Y179" s="25">
        <v>0</v>
      </c>
      <c r="Z179" s="25">
        <v>0</v>
      </c>
      <c r="AA179" s="25">
        <v>0</v>
      </c>
      <c r="AB179" s="25">
        <v>0</v>
      </c>
      <c r="AC179" s="25">
        <v>0</v>
      </c>
      <c r="AD179" s="25">
        <v>0</v>
      </c>
      <c r="AE179" s="25">
        <v>0</v>
      </c>
      <c r="AF179" s="25">
        <v>0</v>
      </c>
      <c r="AG179" s="25">
        <v>0</v>
      </c>
      <c r="AH179" s="25">
        <v>0</v>
      </c>
      <c r="AI179" s="25">
        <v>0</v>
      </c>
      <c r="AJ179" s="25">
        <v>0</v>
      </c>
    </row>
    <row r="180" spans="1:36" x14ac:dyDescent="0.25">
      <c r="A180" t="s">
        <v>587</v>
      </c>
      <c r="B180" t="s">
        <v>305</v>
      </c>
      <c r="C180" s="25">
        <v>0</v>
      </c>
      <c r="D180" s="25">
        <v>0</v>
      </c>
      <c r="E180" s="25">
        <v>0</v>
      </c>
      <c r="F180" s="25">
        <v>0</v>
      </c>
      <c r="G180" s="25">
        <v>0</v>
      </c>
      <c r="H180" s="25">
        <v>0</v>
      </c>
      <c r="I180" s="25">
        <v>0</v>
      </c>
      <c r="J180" s="25">
        <v>0</v>
      </c>
      <c r="K180" s="25">
        <v>0</v>
      </c>
      <c r="L180" s="25">
        <v>0</v>
      </c>
      <c r="M180" s="25">
        <v>0</v>
      </c>
      <c r="N180" s="25">
        <v>0</v>
      </c>
      <c r="O180" s="25">
        <v>0</v>
      </c>
      <c r="P180" s="25">
        <v>0</v>
      </c>
      <c r="Q180" s="25">
        <v>0</v>
      </c>
      <c r="R180" s="25">
        <v>0</v>
      </c>
      <c r="S180" s="25">
        <v>0</v>
      </c>
      <c r="T180" s="25">
        <v>0</v>
      </c>
      <c r="U180" s="25">
        <v>0</v>
      </c>
      <c r="V180" s="25">
        <v>0</v>
      </c>
      <c r="W180" s="25">
        <v>0</v>
      </c>
      <c r="X180" s="25">
        <v>0</v>
      </c>
      <c r="Y180" s="25">
        <v>0</v>
      </c>
      <c r="Z180" s="25">
        <v>0</v>
      </c>
      <c r="AA180" s="25">
        <v>0</v>
      </c>
      <c r="AB180" s="25">
        <v>0</v>
      </c>
      <c r="AC180" s="25">
        <v>0</v>
      </c>
      <c r="AD180" s="25">
        <v>0</v>
      </c>
      <c r="AE180" s="25">
        <v>0</v>
      </c>
      <c r="AF180" s="25">
        <v>0</v>
      </c>
      <c r="AG180" s="25">
        <v>0</v>
      </c>
      <c r="AH180" s="25">
        <v>0</v>
      </c>
      <c r="AI180" s="25">
        <v>0</v>
      </c>
      <c r="AJ180" s="25">
        <v>0</v>
      </c>
    </row>
    <row r="181" spans="1:36" x14ac:dyDescent="0.25">
      <c r="A181" t="s">
        <v>588</v>
      </c>
      <c r="B181" t="s">
        <v>305</v>
      </c>
      <c r="C181" s="25">
        <v>0</v>
      </c>
      <c r="D181" s="25">
        <v>0</v>
      </c>
      <c r="E181" s="25">
        <v>0</v>
      </c>
      <c r="F181" s="25">
        <v>0</v>
      </c>
      <c r="G181" s="25">
        <v>0</v>
      </c>
      <c r="H181" s="25">
        <v>0</v>
      </c>
      <c r="I181" s="25">
        <v>0</v>
      </c>
      <c r="J181" s="25">
        <v>0</v>
      </c>
      <c r="K181" s="25">
        <v>0</v>
      </c>
      <c r="L181" s="25">
        <v>0</v>
      </c>
      <c r="M181" s="25">
        <v>0</v>
      </c>
      <c r="N181" s="25">
        <v>0</v>
      </c>
      <c r="O181" s="25">
        <v>0</v>
      </c>
      <c r="P181" s="25">
        <v>0</v>
      </c>
      <c r="Q181" s="25">
        <v>0</v>
      </c>
      <c r="R181" s="25">
        <v>0</v>
      </c>
      <c r="S181" s="25">
        <v>0</v>
      </c>
      <c r="T181" s="25">
        <v>0</v>
      </c>
      <c r="U181" s="25">
        <v>0</v>
      </c>
      <c r="V181" s="25">
        <v>0</v>
      </c>
      <c r="W181" s="25">
        <v>0</v>
      </c>
      <c r="X181" s="25">
        <v>0</v>
      </c>
      <c r="Y181" s="25">
        <v>0</v>
      </c>
      <c r="Z181" s="25">
        <v>0</v>
      </c>
      <c r="AA181" s="25">
        <v>0</v>
      </c>
      <c r="AB181" s="25">
        <v>0</v>
      </c>
      <c r="AC181" s="25">
        <v>0</v>
      </c>
      <c r="AD181" s="25">
        <v>0</v>
      </c>
      <c r="AE181" s="25">
        <v>0</v>
      </c>
      <c r="AF181" s="25">
        <v>0</v>
      </c>
      <c r="AG181" s="25">
        <v>0</v>
      </c>
      <c r="AH181" s="25">
        <v>0</v>
      </c>
      <c r="AI181" s="25">
        <v>0</v>
      </c>
      <c r="AJ181" s="25">
        <v>0</v>
      </c>
    </row>
    <row r="182" spans="1:36" x14ac:dyDescent="0.25">
      <c r="A182" t="s">
        <v>764</v>
      </c>
      <c r="B182" t="s">
        <v>305</v>
      </c>
      <c r="C182" s="25">
        <v>0</v>
      </c>
      <c r="D182" s="25">
        <v>0</v>
      </c>
      <c r="E182" s="25">
        <v>0</v>
      </c>
      <c r="F182" s="25">
        <v>0</v>
      </c>
      <c r="G182" s="25">
        <v>0</v>
      </c>
      <c r="H182" s="25">
        <v>0</v>
      </c>
      <c r="I182" s="25">
        <v>0</v>
      </c>
      <c r="J182" s="25">
        <v>0</v>
      </c>
      <c r="K182" s="25">
        <v>0</v>
      </c>
      <c r="L182" s="25">
        <v>0</v>
      </c>
      <c r="M182" s="25">
        <v>0</v>
      </c>
      <c r="N182" s="25">
        <v>0</v>
      </c>
      <c r="O182" s="25">
        <v>0</v>
      </c>
      <c r="P182" s="25">
        <v>0</v>
      </c>
      <c r="Q182" s="25">
        <v>0</v>
      </c>
      <c r="R182" s="25">
        <v>0</v>
      </c>
      <c r="S182" s="25">
        <v>0</v>
      </c>
      <c r="T182" s="25">
        <v>0</v>
      </c>
      <c r="U182" s="25">
        <v>0</v>
      </c>
      <c r="V182" s="25">
        <v>0</v>
      </c>
      <c r="W182" s="25">
        <v>0</v>
      </c>
      <c r="X182" s="25">
        <v>0</v>
      </c>
      <c r="Y182" s="25">
        <v>0</v>
      </c>
      <c r="Z182" s="25">
        <v>0</v>
      </c>
      <c r="AA182" s="25">
        <v>0</v>
      </c>
      <c r="AB182" s="25">
        <v>0</v>
      </c>
      <c r="AC182" s="25">
        <v>0</v>
      </c>
      <c r="AD182" s="25">
        <v>0</v>
      </c>
      <c r="AE182" s="25">
        <v>0</v>
      </c>
      <c r="AF182" s="25">
        <v>0</v>
      </c>
      <c r="AG182" s="25">
        <v>0</v>
      </c>
      <c r="AH182" s="25">
        <v>0</v>
      </c>
      <c r="AI182" s="25">
        <v>0</v>
      </c>
      <c r="AJ182" s="25">
        <v>0</v>
      </c>
    </row>
    <row r="183" spans="1:36" s="76" customFormat="1" x14ac:dyDescent="0.25">
      <c r="A183" s="76" t="s">
        <v>780</v>
      </c>
      <c r="C183" s="77">
        <f>+SUM(C172:C182)</f>
        <v>100</v>
      </c>
      <c r="D183" s="77">
        <f t="shared" ref="D183" si="364">+SUM(D172:D182)</f>
        <v>100</v>
      </c>
      <c r="E183" s="77">
        <f t="shared" ref="E183" si="365">+SUM(E172:E182)</f>
        <v>100</v>
      </c>
      <c r="F183" s="77">
        <f t="shared" ref="F183" si="366">+SUM(F172:F182)</f>
        <v>100</v>
      </c>
      <c r="G183" s="77">
        <f t="shared" ref="G183" si="367">+SUM(G172:G182)</f>
        <v>100</v>
      </c>
      <c r="H183" s="77">
        <f t="shared" ref="H183" si="368">+SUM(H172:H182)</f>
        <v>100</v>
      </c>
      <c r="I183" s="77">
        <f t="shared" ref="I183" si="369">+SUM(I172:I182)</f>
        <v>100</v>
      </c>
      <c r="J183" s="77">
        <f t="shared" ref="J183" si="370">+SUM(J172:J182)</f>
        <v>100</v>
      </c>
      <c r="K183" s="77">
        <f t="shared" ref="K183" si="371">+SUM(K172:K182)</f>
        <v>100</v>
      </c>
      <c r="L183" s="77">
        <f t="shared" ref="L183" si="372">+SUM(L172:L182)</f>
        <v>100</v>
      </c>
      <c r="M183" s="77">
        <f t="shared" ref="M183" si="373">+SUM(M172:M182)</f>
        <v>100</v>
      </c>
      <c r="N183" s="77">
        <f t="shared" ref="N183" si="374">+SUM(N172:N182)</f>
        <v>100</v>
      </c>
      <c r="O183" s="77">
        <f t="shared" ref="O183" si="375">+SUM(O172:O182)</f>
        <v>100</v>
      </c>
      <c r="P183" s="77">
        <f t="shared" ref="P183" si="376">+SUM(P172:P182)</f>
        <v>100</v>
      </c>
      <c r="Q183" s="77">
        <f t="shared" ref="Q183" si="377">+SUM(Q172:Q182)</f>
        <v>100</v>
      </c>
      <c r="R183" s="77">
        <f t="shared" ref="R183" si="378">+SUM(R172:R182)</f>
        <v>100</v>
      </c>
      <c r="S183" s="77">
        <f t="shared" ref="S183" si="379">+SUM(S172:S182)</f>
        <v>100</v>
      </c>
      <c r="T183" s="77">
        <f t="shared" ref="T183" si="380">+SUM(T172:T182)</f>
        <v>100</v>
      </c>
      <c r="U183" s="77">
        <f t="shared" ref="U183" si="381">+SUM(U172:U182)</f>
        <v>100</v>
      </c>
      <c r="V183" s="77">
        <f t="shared" ref="V183" si="382">+SUM(V172:V182)</f>
        <v>100</v>
      </c>
      <c r="W183" s="77">
        <f t="shared" ref="W183" si="383">+SUM(W172:W182)</f>
        <v>100</v>
      </c>
      <c r="X183" s="77">
        <f t="shared" ref="X183" si="384">+SUM(X172:X182)</f>
        <v>100</v>
      </c>
      <c r="Y183" s="77">
        <f t="shared" ref="Y183" si="385">+SUM(Y172:Y182)</f>
        <v>100</v>
      </c>
      <c r="Z183" s="77">
        <f t="shared" ref="Z183" si="386">+SUM(Z172:Z182)</f>
        <v>100</v>
      </c>
      <c r="AA183" s="77">
        <f t="shared" ref="AA183" si="387">+SUM(AA172:AA182)</f>
        <v>100</v>
      </c>
      <c r="AB183" s="77">
        <f t="shared" ref="AB183" si="388">+SUM(AB172:AB182)</f>
        <v>100</v>
      </c>
      <c r="AC183" s="77">
        <f t="shared" ref="AC183" si="389">+SUM(AC172:AC182)</f>
        <v>100</v>
      </c>
      <c r="AD183" s="77">
        <f t="shared" ref="AD183" si="390">+SUM(AD172:AD182)</f>
        <v>100</v>
      </c>
      <c r="AE183" s="77">
        <f t="shared" ref="AE183" si="391">+SUM(AE172:AE182)</f>
        <v>100</v>
      </c>
      <c r="AF183" s="77">
        <f t="shared" ref="AF183" si="392">+SUM(AF172:AF182)</f>
        <v>100</v>
      </c>
      <c r="AG183" s="77">
        <f t="shared" ref="AG183" si="393">+SUM(AG172:AG182)</f>
        <v>100</v>
      </c>
      <c r="AH183" s="77">
        <f t="shared" ref="AH183" si="394">+SUM(AH172:AH182)</f>
        <v>100</v>
      </c>
      <c r="AI183" s="77">
        <f t="shared" ref="AI183" si="395">+SUM(AI172:AI182)</f>
        <v>100</v>
      </c>
      <c r="AJ183" s="77">
        <f t="shared" ref="AJ183" si="396">+SUM(AJ172:AJ182)</f>
        <v>100</v>
      </c>
    </row>
    <row r="184" spans="1:36" s="74" customFormat="1" ht="15.75" x14ac:dyDescent="0.25">
      <c r="A184" s="72" t="s">
        <v>777</v>
      </c>
      <c r="B184" s="73"/>
      <c r="C184" s="72"/>
      <c r="D184" s="72"/>
      <c r="E184" s="72"/>
      <c r="F184" s="72"/>
      <c r="G184" s="72"/>
      <c r="H184" s="72"/>
      <c r="I184" s="72"/>
      <c r="J184" s="72"/>
      <c r="K184" s="72"/>
      <c r="L184" s="72"/>
      <c r="M184" s="72"/>
      <c r="N184" s="72"/>
      <c r="O184" s="72"/>
      <c r="P184" s="72"/>
      <c r="Q184" s="72"/>
      <c r="R184" s="72"/>
      <c r="S184" s="72"/>
      <c r="T184" s="72"/>
      <c r="U184" s="72"/>
      <c r="V184" s="72"/>
      <c r="W184" s="72"/>
      <c r="X184" s="72"/>
      <c r="Y184" s="72"/>
      <c r="Z184" s="72"/>
      <c r="AA184" s="72"/>
      <c r="AB184" s="72"/>
      <c r="AC184" s="72"/>
      <c r="AD184" s="72"/>
      <c r="AE184" s="72"/>
      <c r="AF184" s="72"/>
      <c r="AG184" s="72"/>
      <c r="AH184" s="72"/>
      <c r="AI184" s="72"/>
      <c r="AJ184" s="72"/>
    </row>
    <row r="185" spans="1:36" x14ac:dyDescent="0.25">
      <c r="A185" s="75" t="s">
        <v>589</v>
      </c>
      <c r="B185" t="s">
        <v>305</v>
      </c>
      <c r="C185" s="25">
        <v>0</v>
      </c>
      <c r="D185" s="25">
        <v>0</v>
      </c>
      <c r="E185" s="25">
        <v>0</v>
      </c>
      <c r="F185" s="25">
        <v>0</v>
      </c>
      <c r="G185" s="25">
        <v>0</v>
      </c>
      <c r="H185" s="25">
        <v>0</v>
      </c>
      <c r="I185" s="25">
        <v>0</v>
      </c>
      <c r="J185" s="25">
        <v>0</v>
      </c>
      <c r="K185" s="25">
        <v>0</v>
      </c>
      <c r="L185" s="25">
        <v>0</v>
      </c>
      <c r="M185" s="25">
        <v>0</v>
      </c>
      <c r="N185" s="25">
        <v>0</v>
      </c>
      <c r="O185" s="25">
        <v>0</v>
      </c>
      <c r="P185" s="25">
        <v>0</v>
      </c>
      <c r="Q185" s="25">
        <v>0</v>
      </c>
      <c r="R185" s="25">
        <v>0</v>
      </c>
      <c r="S185" s="25">
        <v>0</v>
      </c>
      <c r="T185" s="25">
        <v>0</v>
      </c>
      <c r="U185" s="25">
        <v>0</v>
      </c>
      <c r="V185" s="25">
        <v>0</v>
      </c>
      <c r="W185" s="25">
        <v>0</v>
      </c>
      <c r="X185" s="25">
        <v>0</v>
      </c>
      <c r="Y185" s="25">
        <v>0</v>
      </c>
      <c r="Z185" s="25">
        <v>0</v>
      </c>
      <c r="AA185" s="25">
        <v>0</v>
      </c>
      <c r="AB185" s="25">
        <v>0</v>
      </c>
      <c r="AC185" s="25">
        <v>0</v>
      </c>
      <c r="AD185" s="25">
        <v>0</v>
      </c>
      <c r="AE185" s="25">
        <v>0</v>
      </c>
      <c r="AF185" s="25">
        <v>0</v>
      </c>
      <c r="AG185" s="25">
        <v>0</v>
      </c>
      <c r="AH185" s="25">
        <v>0</v>
      </c>
      <c r="AI185" s="25">
        <v>0</v>
      </c>
      <c r="AJ185" s="25">
        <v>0</v>
      </c>
    </row>
    <row r="186" spans="1:36" x14ac:dyDescent="0.25">
      <c r="A186" s="75" t="s">
        <v>590</v>
      </c>
      <c r="B186" t="s">
        <v>305</v>
      </c>
      <c r="C186" s="25">
        <v>5</v>
      </c>
      <c r="D186" s="25">
        <v>5</v>
      </c>
      <c r="E186" s="25">
        <v>5</v>
      </c>
      <c r="F186" s="25">
        <v>5</v>
      </c>
      <c r="G186" s="25">
        <v>5</v>
      </c>
      <c r="H186" s="25">
        <v>5</v>
      </c>
      <c r="I186" s="25">
        <v>5</v>
      </c>
      <c r="J186" s="25">
        <v>5</v>
      </c>
      <c r="K186" s="25">
        <v>5</v>
      </c>
      <c r="L186" s="25">
        <v>5</v>
      </c>
      <c r="M186" s="25">
        <v>5</v>
      </c>
      <c r="N186" s="25">
        <v>5</v>
      </c>
      <c r="O186" s="25">
        <v>5</v>
      </c>
      <c r="P186" s="25">
        <v>5</v>
      </c>
      <c r="Q186" s="25">
        <v>5</v>
      </c>
      <c r="R186" s="25">
        <v>5</v>
      </c>
      <c r="S186" s="25">
        <v>5</v>
      </c>
      <c r="T186" s="25">
        <v>5</v>
      </c>
      <c r="U186" s="25">
        <v>5</v>
      </c>
      <c r="V186" s="25">
        <v>5</v>
      </c>
      <c r="W186" s="25">
        <v>5</v>
      </c>
      <c r="X186" s="25">
        <v>5</v>
      </c>
      <c r="Y186" s="25">
        <v>5</v>
      </c>
      <c r="Z186" s="25">
        <v>5</v>
      </c>
      <c r="AA186" s="25">
        <v>5</v>
      </c>
      <c r="AB186" s="25">
        <v>5</v>
      </c>
      <c r="AC186" s="25">
        <v>5</v>
      </c>
      <c r="AD186" s="25">
        <v>5</v>
      </c>
      <c r="AE186" s="25">
        <v>5</v>
      </c>
      <c r="AF186" s="25">
        <v>5</v>
      </c>
      <c r="AG186" s="25">
        <v>5</v>
      </c>
      <c r="AH186" s="25">
        <v>5</v>
      </c>
      <c r="AI186" s="25">
        <v>5</v>
      </c>
      <c r="AJ186" s="25">
        <v>5</v>
      </c>
    </row>
    <row r="187" spans="1:36" x14ac:dyDescent="0.25">
      <c r="A187" s="75" t="s">
        <v>591</v>
      </c>
      <c r="B187" t="s">
        <v>305</v>
      </c>
      <c r="C187" s="25">
        <v>70</v>
      </c>
      <c r="D187" s="25">
        <v>70</v>
      </c>
      <c r="E187" s="25">
        <v>70</v>
      </c>
      <c r="F187" s="25">
        <v>70</v>
      </c>
      <c r="G187" s="25">
        <v>70</v>
      </c>
      <c r="H187" s="25">
        <v>70</v>
      </c>
      <c r="I187" s="25">
        <v>70</v>
      </c>
      <c r="J187" s="25">
        <v>70</v>
      </c>
      <c r="K187" s="25">
        <v>70</v>
      </c>
      <c r="L187" s="25">
        <v>70</v>
      </c>
      <c r="M187" s="25">
        <v>70</v>
      </c>
      <c r="N187" s="25">
        <v>70</v>
      </c>
      <c r="O187" s="25">
        <v>70</v>
      </c>
      <c r="P187" s="25">
        <v>70</v>
      </c>
      <c r="Q187" s="25">
        <v>70</v>
      </c>
      <c r="R187" s="25">
        <v>70</v>
      </c>
      <c r="S187" s="25">
        <v>70</v>
      </c>
      <c r="T187" s="25">
        <v>70</v>
      </c>
      <c r="U187" s="25">
        <v>70</v>
      </c>
      <c r="V187" s="25">
        <v>70</v>
      </c>
      <c r="W187" s="25">
        <v>70</v>
      </c>
      <c r="X187" s="25">
        <v>70</v>
      </c>
      <c r="Y187" s="25">
        <v>70</v>
      </c>
      <c r="Z187" s="25">
        <v>70</v>
      </c>
      <c r="AA187" s="25">
        <v>70</v>
      </c>
      <c r="AB187" s="25">
        <v>70</v>
      </c>
      <c r="AC187" s="25">
        <v>70</v>
      </c>
      <c r="AD187" s="25">
        <v>70</v>
      </c>
      <c r="AE187" s="25">
        <v>70</v>
      </c>
      <c r="AF187" s="25">
        <v>70</v>
      </c>
      <c r="AG187" s="25">
        <v>70</v>
      </c>
      <c r="AH187" s="25">
        <v>70</v>
      </c>
      <c r="AI187" s="25">
        <v>70</v>
      </c>
      <c r="AJ187" s="25">
        <v>70</v>
      </c>
    </row>
    <row r="188" spans="1:36" x14ac:dyDescent="0.25">
      <c r="A188" s="75" t="s">
        <v>592</v>
      </c>
      <c r="B188" t="s">
        <v>305</v>
      </c>
      <c r="C188" s="25">
        <v>0</v>
      </c>
      <c r="D188" s="25">
        <v>0</v>
      </c>
      <c r="E188" s="25">
        <v>0</v>
      </c>
      <c r="F188" s="25">
        <v>0</v>
      </c>
      <c r="G188" s="25">
        <v>0</v>
      </c>
      <c r="H188" s="25">
        <v>0</v>
      </c>
      <c r="I188" s="25">
        <v>0</v>
      </c>
      <c r="J188" s="25">
        <v>0</v>
      </c>
      <c r="K188" s="25">
        <v>0</v>
      </c>
      <c r="L188" s="25">
        <v>0</v>
      </c>
      <c r="M188" s="25">
        <v>0</v>
      </c>
      <c r="N188" s="25">
        <v>0</v>
      </c>
      <c r="O188" s="25">
        <v>0</v>
      </c>
      <c r="P188" s="25">
        <v>0</v>
      </c>
      <c r="Q188" s="25">
        <v>0</v>
      </c>
      <c r="R188" s="25">
        <v>0</v>
      </c>
      <c r="S188" s="25">
        <v>0</v>
      </c>
      <c r="T188" s="25">
        <v>0</v>
      </c>
      <c r="U188" s="25">
        <v>0</v>
      </c>
      <c r="V188" s="25">
        <v>0</v>
      </c>
      <c r="W188" s="25">
        <v>0</v>
      </c>
      <c r="X188" s="25">
        <v>0</v>
      </c>
      <c r="Y188" s="25">
        <v>0</v>
      </c>
      <c r="Z188" s="25">
        <v>0</v>
      </c>
      <c r="AA188" s="25">
        <v>0</v>
      </c>
      <c r="AB188" s="25">
        <v>0</v>
      </c>
      <c r="AC188" s="25">
        <v>0</v>
      </c>
      <c r="AD188" s="25">
        <v>0</v>
      </c>
      <c r="AE188" s="25">
        <v>0</v>
      </c>
      <c r="AF188" s="25">
        <v>0</v>
      </c>
      <c r="AG188" s="25">
        <v>0</v>
      </c>
      <c r="AH188" s="25">
        <v>0</v>
      </c>
      <c r="AI188" s="25">
        <v>0</v>
      </c>
      <c r="AJ188" s="25">
        <v>0</v>
      </c>
    </row>
    <row r="189" spans="1:36" x14ac:dyDescent="0.25">
      <c r="A189" s="75" t="s">
        <v>593</v>
      </c>
      <c r="B189" t="s">
        <v>305</v>
      </c>
      <c r="C189" s="25">
        <v>5</v>
      </c>
      <c r="D189" s="25">
        <v>5</v>
      </c>
      <c r="E189" s="25">
        <v>5</v>
      </c>
      <c r="F189" s="25">
        <v>5</v>
      </c>
      <c r="G189" s="25">
        <v>5</v>
      </c>
      <c r="H189" s="25">
        <v>5</v>
      </c>
      <c r="I189" s="25">
        <v>5</v>
      </c>
      <c r="J189" s="25">
        <v>5</v>
      </c>
      <c r="K189" s="25">
        <v>5</v>
      </c>
      <c r="L189" s="25">
        <v>5</v>
      </c>
      <c r="M189" s="25">
        <v>5</v>
      </c>
      <c r="N189" s="25">
        <v>5</v>
      </c>
      <c r="O189" s="25">
        <v>5</v>
      </c>
      <c r="P189" s="25">
        <v>5</v>
      </c>
      <c r="Q189" s="25">
        <v>5</v>
      </c>
      <c r="R189" s="25">
        <v>5</v>
      </c>
      <c r="S189" s="25">
        <v>5</v>
      </c>
      <c r="T189" s="25">
        <v>5</v>
      </c>
      <c r="U189" s="25">
        <v>5</v>
      </c>
      <c r="V189" s="25">
        <v>5</v>
      </c>
      <c r="W189" s="25">
        <v>5</v>
      </c>
      <c r="X189" s="25">
        <v>5</v>
      </c>
      <c r="Y189" s="25">
        <v>5</v>
      </c>
      <c r="Z189" s="25">
        <v>5</v>
      </c>
      <c r="AA189" s="25">
        <v>5</v>
      </c>
      <c r="AB189" s="25">
        <v>5</v>
      </c>
      <c r="AC189" s="25">
        <v>5</v>
      </c>
      <c r="AD189" s="25">
        <v>5</v>
      </c>
      <c r="AE189" s="25">
        <v>5</v>
      </c>
      <c r="AF189" s="25">
        <v>5</v>
      </c>
      <c r="AG189" s="25">
        <v>5</v>
      </c>
      <c r="AH189" s="25">
        <v>5</v>
      </c>
      <c r="AI189" s="25">
        <v>5</v>
      </c>
      <c r="AJ189" s="25">
        <v>5</v>
      </c>
    </row>
    <row r="190" spans="1:36" x14ac:dyDescent="0.25">
      <c r="A190" s="75" t="s">
        <v>594</v>
      </c>
      <c r="B190" t="s">
        <v>305</v>
      </c>
      <c r="C190" s="25">
        <v>10</v>
      </c>
      <c r="D190" s="25">
        <v>10</v>
      </c>
      <c r="E190" s="25">
        <v>10</v>
      </c>
      <c r="F190" s="25">
        <v>10</v>
      </c>
      <c r="G190" s="25">
        <v>10</v>
      </c>
      <c r="H190" s="25">
        <v>10</v>
      </c>
      <c r="I190" s="25">
        <v>10</v>
      </c>
      <c r="J190" s="25">
        <v>10</v>
      </c>
      <c r="K190" s="25">
        <v>10</v>
      </c>
      <c r="L190" s="25">
        <v>10</v>
      </c>
      <c r="M190" s="25">
        <v>10</v>
      </c>
      <c r="N190" s="25">
        <v>10</v>
      </c>
      <c r="O190" s="25">
        <v>10</v>
      </c>
      <c r="P190" s="25">
        <v>10</v>
      </c>
      <c r="Q190" s="25">
        <v>10</v>
      </c>
      <c r="R190" s="25">
        <v>10</v>
      </c>
      <c r="S190" s="25">
        <v>10</v>
      </c>
      <c r="T190" s="25">
        <v>10</v>
      </c>
      <c r="U190" s="25">
        <v>10</v>
      </c>
      <c r="V190" s="25">
        <v>10</v>
      </c>
      <c r="W190" s="25">
        <v>10</v>
      </c>
      <c r="X190" s="25">
        <v>10</v>
      </c>
      <c r="Y190" s="25">
        <v>10</v>
      </c>
      <c r="Z190" s="25">
        <v>10</v>
      </c>
      <c r="AA190" s="25">
        <v>10</v>
      </c>
      <c r="AB190" s="25">
        <v>10</v>
      </c>
      <c r="AC190" s="25">
        <v>10</v>
      </c>
      <c r="AD190" s="25">
        <v>10</v>
      </c>
      <c r="AE190" s="25">
        <v>10</v>
      </c>
      <c r="AF190" s="25">
        <v>10</v>
      </c>
      <c r="AG190" s="25">
        <v>10</v>
      </c>
      <c r="AH190" s="25">
        <v>10</v>
      </c>
      <c r="AI190" s="25">
        <v>10</v>
      </c>
      <c r="AJ190" s="25">
        <v>10</v>
      </c>
    </row>
    <row r="191" spans="1:36" x14ac:dyDescent="0.25">
      <c r="A191" s="75" t="s">
        <v>595</v>
      </c>
      <c r="B191" t="s">
        <v>305</v>
      </c>
      <c r="C191" s="25">
        <v>0</v>
      </c>
      <c r="D191" s="25">
        <v>0</v>
      </c>
      <c r="E191" s="25">
        <v>0</v>
      </c>
      <c r="F191" s="25">
        <v>0</v>
      </c>
      <c r="G191" s="25">
        <v>0</v>
      </c>
      <c r="H191" s="25">
        <v>0</v>
      </c>
      <c r="I191" s="25">
        <v>0</v>
      </c>
      <c r="J191" s="25">
        <v>0</v>
      </c>
      <c r="K191" s="25">
        <v>0</v>
      </c>
      <c r="L191" s="25">
        <v>0</v>
      </c>
      <c r="M191" s="25">
        <v>0</v>
      </c>
      <c r="N191" s="25">
        <v>0</v>
      </c>
      <c r="O191" s="25">
        <v>0</v>
      </c>
      <c r="P191" s="25">
        <v>0</v>
      </c>
      <c r="Q191" s="25">
        <v>0</v>
      </c>
      <c r="R191" s="25">
        <v>0</v>
      </c>
      <c r="S191" s="25">
        <v>0</v>
      </c>
      <c r="T191" s="25">
        <v>0</v>
      </c>
      <c r="U191" s="25">
        <v>0</v>
      </c>
      <c r="V191" s="25">
        <v>0</v>
      </c>
      <c r="W191" s="25">
        <v>0</v>
      </c>
      <c r="X191" s="25">
        <v>0</v>
      </c>
      <c r="Y191" s="25">
        <v>0</v>
      </c>
      <c r="Z191" s="25">
        <v>0</v>
      </c>
      <c r="AA191" s="25">
        <v>0</v>
      </c>
      <c r="AB191" s="25">
        <v>0</v>
      </c>
      <c r="AC191" s="25">
        <v>0</v>
      </c>
      <c r="AD191" s="25">
        <v>0</v>
      </c>
      <c r="AE191" s="25">
        <v>0</v>
      </c>
      <c r="AF191" s="25">
        <v>0</v>
      </c>
      <c r="AG191" s="25">
        <v>0</v>
      </c>
      <c r="AH191" s="25">
        <v>0</v>
      </c>
      <c r="AI191" s="25">
        <v>0</v>
      </c>
      <c r="AJ191" s="25">
        <v>0</v>
      </c>
    </row>
    <row r="192" spans="1:36" x14ac:dyDescent="0.25">
      <c r="A192" s="75" t="s">
        <v>596</v>
      </c>
      <c r="B192" t="s">
        <v>305</v>
      </c>
      <c r="C192" s="25">
        <v>10</v>
      </c>
      <c r="D192" s="25">
        <v>10</v>
      </c>
      <c r="E192" s="25">
        <v>10</v>
      </c>
      <c r="F192" s="25">
        <v>10</v>
      </c>
      <c r="G192" s="25">
        <v>10</v>
      </c>
      <c r="H192" s="25">
        <v>10</v>
      </c>
      <c r="I192" s="25">
        <v>10</v>
      </c>
      <c r="J192" s="25">
        <v>10</v>
      </c>
      <c r="K192" s="25">
        <v>10</v>
      </c>
      <c r="L192" s="25">
        <v>10</v>
      </c>
      <c r="M192" s="25">
        <v>10</v>
      </c>
      <c r="N192" s="25">
        <v>10</v>
      </c>
      <c r="O192" s="25">
        <v>10</v>
      </c>
      <c r="P192" s="25">
        <v>10</v>
      </c>
      <c r="Q192" s="25">
        <v>10</v>
      </c>
      <c r="R192" s="25">
        <v>10</v>
      </c>
      <c r="S192" s="25">
        <v>10</v>
      </c>
      <c r="T192" s="25">
        <v>10</v>
      </c>
      <c r="U192" s="25">
        <v>10</v>
      </c>
      <c r="V192" s="25">
        <v>10</v>
      </c>
      <c r="W192" s="25">
        <v>10</v>
      </c>
      <c r="X192" s="25">
        <v>10</v>
      </c>
      <c r="Y192" s="25">
        <v>10</v>
      </c>
      <c r="Z192" s="25">
        <v>10</v>
      </c>
      <c r="AA192" s="25">
        <v>10</v>
      </c>
      <c r="AB192" s="25">
        <v>10</v>
      </c>
      <c r="AC192" s="25">
        <v>10</v>
      </c>
      <c r="AD192" s="25">
        <v>10</v>
      </c>
      <c r="AE192" s="25">
        <v>10</v>
      </c>
      <c r="AF192" s="25">
        <v>10</v>
      </c>
      <c r="AG192" s="25">
        <v>10</v>
      </c>
      <c r="AH192" s="25">
        <v>10</v>
      </c>
      <c r="AI192" s="25">
        <v>10</v>
      </c>
      <c r="AJ192" s="25">
        <v>10</v>
      </c>
    </row>
    <row r="193" spans="1:36" x14ac:dyDescent="0.25">
      <c r="A193" s="75" t="s">
        <v>597</v>
      </c>
      <c r="B193" t="s">
        <v>305</v>
      </c>
      <c r="C193" s="25">
        <v>0</v>
      </c>
      <c r="D193" s="25">
        <v>0</v>
      </c>
      <c r="E193" s="25">
        <v>0</v>
      </c>
      <c r="F193" s="25">
        <v>0</v>
      </c>
      <c r="G193" s="25">
        <v>0</v>
      </c>
      <c r="H193" s="25">
        <v>0</v>
      </c>
      <c r="I193" s="25">
        <v>0</v>
      </c>
      <c r="J193" s="25">
        <v>0</v>
      </c>
      <c r="K193" s="25">
        <v>0</v>
      </c>
      <c r="L193" s="25">
        <v>0</v>
      </c>
      <c r="M193" s="25">
        <v>0</v>
      </c>
      <c r="N193" s="25">
        <v>0</v>
      </c>
      <c r="O193" s="25">
        <v>0</v>
      </c>
      <c r="P193" s="25">
        <v>0</v>
      </c>
      <c r="Q193" s="25">
        <v>0</v>
      </c>
      <c r="R193" s="25">
        <v>0</v>
      </c>
      <c r="S193" s="25">
        <v>0</v>
      </c>
      <c r="T193" s="25">
        <v>0</v>
      </c>
      <c r="U193" s="25">
        <v>0</v>
      </c>
      <c r="V193" s="25">
        <v>0</v>
      </c>
      <c r="W193" s="25">
        <v>0</v>
      </c>
      <c r="X193" s="25">
        <v>0</v>
      </c>
      <c r="Y193" s="25">
        <v>0</v>
      </c>
      <c r="Z193" s="25">
        <v>0</v>
      </c>
      <c r="AA193" s="25">
        <v>0</v>
      </c>
      <c r="AB193" s="25">
        <v>0</v>
      </c>
      <c r="AC193" s="25">
        <v>0</v>
      </c>
      <c r="AD193" s="25">
        <v>0</v>
      </c>
      <c r="AE193" s="25">
        <v>0</v>
      </c>
      <c r="AF193" s="25">
        <v>0</v>
      </c>
      <c r="AG193" s="25">
        <v>0</v>
      </c>
      <c r="AH193" s="25">
        <v>0</v>
      </c>
      <c r="AI193" s="25">
        <v>0</v>
      </c>
      <c r="AJ193" s="25">
        <v>0</v>
      </c>
    </row>
    <row r="194" spans="1:36" x14ac:dyDescent="0.25">
      <c r="A194" s="75" t="s">
        <v>598</v>
      </c>
      <c r="B194" t="s">
        <v>305</v>
      </c>
      <c r="C194" s="25">
        <v>0</v>
      </c>
      <c r="D194" s="25">
        <v>0</v>
      </c>
      <c r="E194" s="25">
        <v>0</v>
      </c>
      <c r="F194" s="25">
        <v>0</v>
      </c>
      <c r="G194" s="25">
        <v>0</v>
      </c>
      <c r="H194" s="25">
        <v>0</v>
      </c>
      <c r="I194" s="25">
        <v>0</v>
      </c>
      <c r="J194" s="25">
        <v>0</v>
      </c>
      <c r="K194" s="25">
        <v>0</v>
      </c>
      <c r="L194" s="25">
        <v>0</v>
      </c>
      <c r="M194" s="25">
        <v>0</v>
      </c>
      <c r="N194" s="25">
        <v>0</v>
      </c>
      <c r="O194" s="25">
        <v>0</v>
      </c>
      <c r="P194" s="25">
        <v>0</v>
      </c>
      <c r="Q194" s="25">
        <v>0</v>
      </c>
      <c r="R194" s="25">
        <v>0</v>
      </c>
      <c r="S194" s="25">
        <v>0</v>
      </c>
      <c r="T194" s="25">
        <v>0</v>
      </c>
      <c r="U194" s="25">
        <v>0</v>
      </c>
      <c r="V194" s="25">
        <v>0</v>
      </c>
      <c r="W194" s="25">
        <v>0</v>
      </c>
      <c r="X194" s="25">
        <v>0</v>
      </c>
      <c r="Y194" s="25">
        <v>0</v>
      </c>
      <c r="Z194" s="25">
        <v>0</v>
      </c>
      <c r="AA194" s="25">
        <v>0</v>
      </c>
      <c r="AB194" s="25">
        <v>0</v>
      </c>
      <c r="AC194" s="25">
        <v>0</v>
      </c>
      <c r="AD194" s="25">
        <v>0</v>
      </c>
      <c r="AE194" s="25">
        <v>0</v>
      </c>
      <c r="AF194" s="25">
        <v>0</v>
      </c>
      <c r="AG194" s="25">
        <v>0</v>
      </c>
      <c r="AH194" s="25">
        <v>0</v>
      </c>
      <c r="AI194" s="25">
        <v>0</v>
      </c>
      <c r="AJ194" s="25">
        <v>0</v>
      </c>
    </row>
    <row r="195" spans="1:36" x14ac:dyDescent="0.25">
      <c r="A195" s="75" t="s">
        <v>765</v>
      </c>
      <c r="B195" t="s">
        <v>305</v>
      </c>
      <c r="C195" s="25">
        <v>0</v>
      </c>
      <c r="D195" s="25">
        <v>0</v>
      </c>
      <c r="E195" s="25">
        <v>0</v>
      </c>
      <c r="F195" s="25">
        <v>0</v>
      </c>
      <c r="G195" s="25">
        <v>0</v>
      </c>
      <c r="H195" s="25">
        <v>0</v>
      </c>
      <c r="I195" s="25">
        <v>0</v>
      </c>
      <c r="J195" s="25">
        <v>0</v>
      </c>
      <c r="K195" s="25">
        <v>0</v>
      </c>
      <c r="L195" s="25">
        <v>0</v>
      </c>
      <c r="M195" s="25">
        <v>0</v>
      </c>
      <c r="N195" s="25">
        <v>0</v>
      </c>
      <c r="O195" s="25">
        <v>0</v>
      </c>
      <c r="P195" s="25">
        <v>0</v>
      </c>
      <c r="Q195" s="25">
        <v>0</v>
      </c>
      <c r="R195" s="25">
        <v>0</v>
      </c>
      <c r="S195" s="25">
        <v>0</v>
      </c>
      <c r="T195" s="25">
        <v>0</v>
      </c>
      <c r="U195" s="25">
        <v>0</v>
      </c>
      <c r="V195" s="25">
        <v>0</v>
      </c>
      <c r="W195" s="25">
        <v>0</v>
      </c>
      <c r="X195" s="25">
        <v>0</v>
      </c>
      <c r="Y195" s="25">
        <v>0</v>
      </c>
      <c r="Z195" s="25">
        <v>0</v>
      </c>
      <c r="AA195" s="25">
        <v>0</v>
      </c>
      <c r="AB195" s="25">
        <v>0</v>
      </c>
      <c r="AC195" s="25">
        <v>0</v>
      </c>
      <c r="AD195" s="25">
        <v>0</v>
      </c>
      <c r="AE195" s="25">
        <v>0</v>
      </c>
      <c r="AF195" s="25">
        <v>0</v>
      </c>
      <c r="AG195" s="25">
        <v>0</v>
      </c>
      <c r="AH195" s="25">
        <v>0</v>
      </c>
      <c r="AI195" s="25">
        <v>0</v>
      </c>
      <c r="AJ195" s="25">
        <v>0</v>
      </c>
    </row>
    <row r="196" spans="1:36" s="76" customFormat="1" x14ac:dyDescent="0.25">
      <c r="A196" s="76" t="s">
        <v>780</v>
      </c>
      <c r="C196" s="77">
        <f>+SUM(C185:C195)</f>
        <v>100</v>
      </c>
      <c r="D196" s="77">
        <f t="shared" ref="D196" si="397">+SUM(D185:D195)</f>
        <v>100</v>
      </c>
      <c r="E196" s="77">
        <f t="shared" ref="E196" si="398">+SUM(E185:E195)</f>
        <v>100</v>
      </c>
      <c r="F196" s="77">
        <f t="shared" ref="F196" si="399">+SUM(F185:F195)</f>
        <v>100</v>
      </c>
      <c r="G196" s="77">
        <f t="shared" ref="G196" si="400">+SUM(G185:G195)</f>
        <v>100</v>
      </c>
      <c r="H196" s="77">
        <f t="shared" ref="H196" si="401">+SUM(H185:H195)</f>
        <v>100</v>
      </c>
      <c r="I196" s="77">
        <f t="shared" ref="I196" si="402">+SUM(I185:I195)</f>
        <v>100</v>
      </c>
      <c r="J196" s="77">
        <f t="shared" ref="J196" si="403">+SUM(J185:J195)</f>
        <v>100</v>
      </c>
      <c r="K196" s="77">
        <f t="shared" ref="K196" si="404">+SUM(K185:K195)</f>
        <v>100</v>
      </c>
      <c r="L196" s="77">
        <f t="shared" ref="L196" si="405">+SUM(L185:L195)</f>
        <v>100</v>
      </c>
      <c r="M196" s="77">
        <f t="shared" ref="M196" si="406">+SUM(M185:M195)</f>
        <v>100</v>
      </c>
      <c r="N196" s="77">
        <f t="shared" ref="N196" si="407">+SUM(N185:N195)</f>
        <v>100</v>
      </c>
      <c r="O196" s="77">
        <f t="shared" ref="O196" si="408">+SUM(O185:O195)</f>
        <v>100</v>
      </c>
      <c r="P196" s="77">
        <f t="shared" ref="P196" si="409">+SUM(P185:P195)</f>
        <v>100</v>
      </c>
      <c r="Q196" s="77">
        <f t="shared" ref="Q196" si="410">+SUM(Q185:Q195)</f>
        <v>100</v>
      </c>
      <c r="R196" s="77">
        <f t="shared" ref="R196" si="411">+SUM(R185:R195)</f>
        <v>100</v>
      </c>
      <c r="S196" s="77">
        <f t="shared" ref="S196" si="412">+SUM(S185:S195)</f>
        <v>100</v>
      </c>
      <c r="T196" s="77">
        <f t="shared" ref="T196" si="413">+SUM(T185:T195)</f>
        <v>100</v>
      </c>
      <c r="U196" s="77">
        <f t="shared" ref="U196" si="414">+SUM(U185:U195)</f>
        <v>100</v>
      </c>
      <c r="V196" s="77">
        <f t="shared" ref="V196" si="415">+SUM(V185:V195)</f>
        <v>100</v>
      </c>
      <c r="W196" s="77">
        <f t="shared" ref="W196" si="416">+SUM(W185:W195)</f>
        <v>100</v>
      </c>
      <c r="X196" s="77">
        <f t="shared" ref="X196" si="417">+SUM(X185:X195)</f>
        <v>100</v>
      </c>
      <c r="Y196" s="77">
        <f t="shared" ref="Y196" si="418">+SUM(Y185:Y195)</f>
        <v>100</v>
      </c>
      <c r="Z196" s="77">
        <f t="shared" ref="Z196" si="419">+SUM(Z185:Z195)</f>
        <v>100</v>
      </c>
      <c r="AA196" s="77">
        <f t="shared" ref="AA196" si="420">+SUM(AA185:AA195)</f>
        <v>100</v>
      </c>
      <c r="AB196" s="77">
        <f t="shared" ref="AB196" si="421">+SUM(AB185:AB195)</f>
        <v>100</v>
      </c>
      <c r="AC196" s="77">
        <f t="shared" ref="AC196" si="422">+SUM(AC185:AC195)</f>
        <v>100</v>
      </c>
      <c r="AD196" s="77">
        <f t="shared" ref="AD196" si="423">+SUM(AD185:AD195)</f>
        <v>100</v>
      </c>
      <c r="AE196" s="77">
        <f t="shared" ref="AE196" si="424">+SUM(AE185:AE195)</f>
        <v>100</v>
      </c>
      <c r="AF196" s="77">
        <f t="shared" ref="AF196" si="425">+SUM(AF185:AF195)</f>
        <v>100</v>
      </c>
      <c r="AG196" s="77">
        <f t="shared" ref="AG196" si="426">+SUM(AG185:AG195)</f>
        <v>100</v>
      </c>
      <c r="AH196" s="77">
        <f t="shared" ref="AH196" si="427">+SUM(AH185:AH195)</f>
        <v>100</v>
      </c>
      <c r="AI196" s="77">
        <f t="shared" ref="AI196" si="428">+SUM(AI185:AI195)</f>
        <v>100</v>
      </c>
      <c r="AJ196" s="77">
        <f t="shared" ref="AJ196" si="429">+SUM(AJ185:AJ195)</f>
        <v>100</v>
      </c>
    </row>
    <row r="197" spans="1:36" x14ac:dyDescent="0.25">
      <c r="A197" s="75" t="s">
        <v>599</v>
      </c>
      <c r="B197" t="s">
        <v>305</v>
      </c>
      <c r="C197" s="25">
        <v>0</v>
      </c>
      <c r="D197" s="25">
        <v>0</v>
      </c>
      <c r="E197" s="25">
        <v>0</v>
      </c>
      <c r="F197" s="25">
        <v>0</v>
      </c>
      <c r="G197" s="25">
        <v>0</v>
      </c>
      <c r="H197" s="25">
        <v>0</v>
      </c>
      <c r="I197" s="25">
        <v>0</v>
      </c>
      <c r="J197" s="25">
        <v>0</v>
      </c>
      <c r="K197" s="25">
        <v>0</v>
      </c>
      <c r="L197" s="25">
        <v>0</v>
      </c>
      <c r="M197" s="25">
        <v>0</v>
      </c>
      <c r="N197" s="25">
        <v>0</v>
      </c>
      <c r="O197" s="25">
        <v>0</v>
      </c>
      <c r="P197" s="25">
        <v>0</v>
      </c>
      <c r="Q197" s="25">
        <v>0</v>
      </c>
      <c r="R197" s="25">
        <v>0</v>
      </c>
      <c r="S197" s="25">
        <v>0</v>
      </c>
      <c r="T197" s="25">
        <v>0</v>
      </c>
      <c r="U197" s="25">
        <v>0</v>
      </c>
      <c r="V197" s="25">
        <v>0</v>
      </c>
      <c r="W197" s="25">
        <v>0</v>
      </c>
      <c r="X197" s="25">
        <v>0</v>
      </c>
      <c r="Y197" s="25">
        <v>0</v>
      </c>
      <c r="Z197" s="25">
        <v>0</v>
      </c>
      <c r="AA197" s="25">
        <v>0</v>
      </c>
      <c r="AB197" s="25">
        <v>0</v>
      </c>
      <c r="AC197" s="25">
        <v>0</v>
      </c>
      <c r="AD197" s="25">
        <v>0</v>
      </c>
      <c r="AE197" s="25">
        <v>0</v>
      </c>
      <c r="AF197" s="25">
        <v>0</v>
      </c>
      <c r="AG197" s="25">
        <v>0</v>
      </c>
      <c r="AH197" s="25">
        <v>0</v>
      </c>
      <c r="AI197" s="25">
        <v>0</v>
      </c>
      <c r="AJ197" s="25">
        <v>0</v>
      </c>
    </row>
    <row r="198" spans="1:36" x14ac:dyDescent="0.25">
      <c r="A198" s="75" t="s">
        <v>600</v>
      </c>
      <c r="B198" t="s">
        <v>305</v>
      </c>
      <c r="C198" s="25">
        <v>0</v>
      </c>
      <c r="D198" s="25">
        <v>0</v>
      </c>
      <c r="E198" s="25">
        <v>0</v>
      </c>
      <c r="F198" s="25">
        <v>0</v>
      </c>
      <c r="G198" s="25">
        <v>0</v>
      </c>
      <c r="H198" s="25">
        <v>0</v>
      </c>
      <c r="I198" s="25">
        <v>0</v>
      </c>
      <c r="J198" s="25">
        <v>0</v>
      </c>
      <c r="K198" s="25">
        <v>0</v>
      </c>
      <c r="L198" s="25">
        <v>0</v>
      </c>
      <c r="M198" s="25">
        <v>0</v>
      </c>
      <c r="N198" s="25">
        <v>0</v>
      </c>
      <c r="O198" s="25">
        <v>0</v>
      </c>
      <c r="P198" s="25">
        <v>0</v>
      </c>
      <c r="Q198" s="25">
        <v>0</v>
      </c>
      <c r="R198" s="25">
        <v>0</v>
      </c>
      <c r="S198" s="25">
        <v>0</v>
      </c>
      <c r="T198" s="25">
        <v>0</v>
      </c>
      <c r="U198" s="25">
        <v>0</v>
      </c>
      <c r="V198" s="25">
        <v>0</v>
      </c>
      <c r="W198" s="25">
        <v>0</v>
      </c>
      <c r="X198" s="25">
        <v>0</v>
      </c>
      <c r="Y198" s="25">
        <v>0</v>
      </c>
      <c r="Z198" s="25">
        <v>0</v>
      </c>
      <c r="AA198" s="25">
        <v>0</v>
      </c>
      <c r="AB198" s="25">
        <v>0</v>
      </c>
      <c r="AC198" s="25">
        <v>0</v>
      </c>
      <c r="AD198" s="25">
        <v>0</v>
      </c>
      <c r="AE198" s="25">
        <v>0</v>
      </c>
      <c r="AF198" s="25">
        <v>0</v>
      </c>
      <c r="AG198" s="25">
        <v>0</v>
      </c>
      <c r="AH198" s="25">
        <v>0</v>
      </c>
      <c r="AI198" s="25">
        <v>0</v>
      </c>
      <c r="AJ198" s="25">
        <v>0</v>
      </c>
    </row>
    <row r="199" spans="1:36" x14ac:dyDescent="0.25">
      <c r="A199" s="75" t="s">
        <v>601</v>
      </c>
      <c r="B199" t="s">
        <v>305</v>
      </c>
      <c r="C199" s="25">
        <v>80</v>
      </c>
      <c r="D199" s="25">
        <v>80</v>
      </c>
      <c r="E199" s="25">
        <v>80</v>
      </c>
      <c r="F199" s="25">
        <v>80</v>
      </c>
      <c r="G199" s="25">
        <v>80</v>
      </c>
      <c r="H199" s="25">
        <v>80</v>
      </c>
      <c r="I199" s="25">
        <v>80</v>
      </c>
      <c r="J199" s="25">
        <v>80</v>
      </c>
      <c r="K199" s="25">
        <v>80</v>
      </c>
      <c r="L199" s="25">
        <v>80</v>
      </c>
      <c r="M199" s="25">
        <v>80</v>
      </c>
      <c r="N199" s="25">
        <v>80</v>
      </c>
      <c r="O199" s="25">
        <v>80</v>
      </c>
      <c r="P199" s="25">
        <v>80</v>
      </c>
      <c r="Q199" s="25">
        <v>80</v>
      </c>
      <c r="R199" s="25">
        <v>80</v>
      </c>
      <c r="S199" s="25">
        <v>80</v>
      </c>
      <c r="T199" s="25">
        <v>80</v>
      </c>
      <c r="U199" s="25">
        <v>80</v>
      </c>
      <c r="V199" s="25">
        <v>80</v>
      </c>
      <c r="W199" s="25">
        <v>80</v>
      </c>
      <c r="X199" s="25">
        <v>80</v>
      </c>
      <c r="Y199" s="25">
        <v>80</v>
      </c>
      <c r="Z199" s="25">
        <v>80</v>
      </c>
      <c r="AA199" s="25">
        <v>80</v>
      </c>
      <c r="AB199" s="25">
        <v>80</v>
      </c>
      <c r="AC199" s="25">
        <v>80</v>
      </c>
      <c r="AD199" s="25">
        <v>80</v>
      </c>
      <c r="AE199" s="25">
        <v>80</v>
      </c>
      <c r="AF199" s="25">
        <v>80</v>
      </c>
      <c r="AG199" s="25">
        <v>80</v>
      </c>
      <c r="AH199" s="25">
        <v>80</v>
      </c>
      <c r="AI199" s="25">
        <v>80</v>
      </c>
      <c r="AJ199" s="25">
        <v>80</v>
      </c>
    </row>
    <row r="200" spans="1:36" x14ac:dyDescent="0.25">
      <c r="A200" s="75" t="s">
        <v>602</v>
      </c>
      <c r="B200" t="s">
        <v>305</v>
      </c>
      <c r="C200" s="25">
        <v>0</v>
      </c>
      <c r="D200" s="25">
        <v>0</v>
      </c>
      <c r="E200" s="25">
        <v>0</v>
      </c>
      <c r="F200" s="25">
        <v>0</v>
      </c>
      <c r="G200" s="25">
        <v>0</v>
      </c>
      <c r="H200" s="25">
        <v>0</v>
      </c>
      <c r="I200" s="25">
        <v>0</v>
      </c>
      <c r="J200" s="25">
        <v>0</v>
      </c>
      <c r="K200" s="25">
        <v>0</v>
      </c>
      <c r="L200" s="25">
        <v>0</v>
      </c>
      <c r="M200" s="25">
        <v>0</v>
      </c>
      <c r="N200" s="25">
        <v>0</v>
      </c>
      <c r="O200" s="25">
        <v>0</v>
      </c>
      <c r="P200" s="25">
        <v>0</v>
      </c>
      <c r="Q200" s="25">
        <v>0</v>
      </c>
      <c r="R200" s="25">
        <v>0</v>
      </c>
      <c r="S200" s="25">
        <v>0</v>
      </c>
      <c r="T200" s="25">
        <v>0</v>
      </c>
      <c r="U200" s="25">
        <v>0</v>
      </c>
      <c r="V200" s="25">
        <v>0</v>
      </c>
      <c r="W200" s="25">
        <v>0</v>
      </c>
      <c r="X200" s="25">
        <v>0</v>
      </c>
      <c r="Y200" s="25">
        <v>0</v>
      </c>
      <c r="Z200" s="25">
        <v>0</v>
      </c>
      <c r="AA200" s="25">
        <v>0</v>
      </c>
      <c r="AB200" s="25">
        <v>0</v>
      </c>
      <c r="AC200" s="25">
        <v>0</v>
      </c>
      <c r="AD200" s="25">
        <v>0</v>
      </c>
      <c r="AE200" s="25">
        <v>0</v>
      </c>
      <c r="AF200" s="25">
        <v>0</v>
      </c>
      <c r="AG200" s="25">
        <v>0</v>
      </c>
      <c r="AH200" s="25">
        <v>0</v>
      </c>
      <c r="AI200" s="25">
        <v>0</v>
      </c>
      <c r="AJ200" s="25">
        <v>0</v>
      </c>
    </row>
    <row r="201" spans="1:36" x14ac:dyDescent="0.25">
      <c r="A201" s="75" t="s">
        <v>603</v>
      </c>
      <c r="B201" t="s">
        <v>305</v>
      </c>
      <c r="C201" s="25">
        <v>0</v>
      </c>
      <c r="D201" s="25">
        <v>0</v>
      </c>
      <c r="E201" s="25">
        <v>0</v>
      </c>
      <c r="F201" s="25">
        <v>0</v>
      </c>
      <c r="G201" s="25">
        <v>0</v>
      </c>
      <c r="H201" s="25">
        <v>0</v>
      </c>
      <c r="I201" s="25">
        <v>0</v>
      </c>
      <c r="J201" s="25">
        <v>0</v>
      </c>
      <c r="K201" s="25">
        <v>0</v>
      </c>
      <c r="L201" s="25">
        <v>0</v>
      </c>
      <c r="M201" s="25">
        <v>0</v>
      </c>
      <c r="N201" s="25">
        <v>0</v>
      </c>
      <c r="O201" s="25">
        <v>0</v>
      </c>
      <c r="P201" s="25">
        <v>0</v>
      </c>
      <c r="Q201" s="25">
        <v>0</v>
      </c>
      <c r="R201" s="25">
        <v>0</v>
      </c>
      <c r="S201" s="25">
        <v>0</v>
      </c>
      <c r="T201" s="25">
        <v>0</v>
      </c>
      <c r="U201" s="25">
        <v>0</v>
      </c>
      <c r="V201" s="25">
        <v>0</v>
      </c>
      <c r="W201" s="25">
        <v>0</v>
      </c>
      <c r="X201" s="25">
        <v>0</v>
      </c>
      <c r="Y201" s="25">
        <v>0</v>
      </c>
      <c r="Z201" s="25">
        <v>0</v>
      </c>
      <c r="AA201" s="25">
        <v>0</v>
      </c>
      <c r="AB201" s="25">
        <v>0</v>
      </c>
      <c r="AC201" s="25">
        <v>0</v>
      </c>
      <c r="AD201" s="25">
        <v>0</v>
      </c>
      <c r="AE201" s="25">
        <v>0</v>
      </c>
      <c r="AF201" s="25">
        <v>0</v>
      </c>
      <c r="AG201" s="25">
        <v>0</v>
      </c>
      <c r="AH201" s="25">
        <v>0</v>
      </c>
      <c r="AI201" s="25">
        <v>0</v>
      </c>
      <c r="AJ201" s="25">
        <v>0</v>
      </c>
    </row>
    <row r="202" spans="1:36" x14ac:dyDescent="0.25">
      <c r="A202" s="75" t="s">
        <v>604</v>
      </c>
      <c r="B202" t="s">
        <v>305</v>
      </c>
      <c r="C202" s="25">
        <v>5</v>
      </c>
      <c r="D202" s="25">
        <v>5</v>
      </c>
      <c r="E202" s="25">
        <v>5</v>
      </c>
      <c r="F202" s="25">
        <v>5</v>
      </c>
      <c r="G202" s="25">
        <v>5</v>
      </c>
      <c r="H202" s="25">
        <v>5</v>
      </c>
      <c r="I202" s="25">
        <v>5</v>
      </c>
      <c r="J202" s="25">
        <v>5</v>
      </c>
      <c r="K202" s="25">
        <v>5</v>
      </c>
      <c r="L202" s="25">
        <v>5</v>
      </c>
      <c r="M202" s="25">
        <v>5</v>
      </c>
      <c r="N202" s="25">
        <v>5</v>
      </c>
      <c r="O202" s="25">
        <v>5</v>
      </c>
      <c r="P202" s="25">
        <v>5</v>
      </c>
      <c r="Q202" s="25">
        <v>5</v>
      </c>
      <c r="R202" s="25">
        <v>5</v>
      </c>
      <c r="S202" s="25">
        <v>5</v>
      </c>
      <c r="T202" s="25">
        <v>5</v>
      </c>
      <c r="U202" s="25">
        <v>5</v>
      </c>
      <c r="V202" s="25">
        <v>5</v>
      </c>
      <c r="W202" s="25">
        <v>5</v>
      </c>
      <c r="X202" s="25">
        <v>5</v>
      </c>
      <c r="Y202" s="25">
        <v>5</v>
      </c>
      <c r="Z202" s="25">
        <v>5</v>
      </c>
      <c r="AA202" s="25">
        <v>5</v>
      </c>
      <c r="AB202" s="25">
        <v>5</v>
      </c>
      <c r="AC202" s="25">
        <v>5</v>
      </c>
      <c r="AD202" s="25">
        <v>5</v>
      </c>
      <c r="AE202" s="25">
        <v>5</v>
      </c>
      <c r="AF202" s="25">
        <v>5</v>
      </c>
      <c r="AG202" s="25">
        <v>5</v>
      </c>
      <c r="AH202" s="25">
        <v>5</v>
      </c>
      <c r="AI202" s="25">
        <v>5</v>
      </c>
      <c r="AJ202" s="25">
        <v>5</v>
      </c>
    </row>
    <row r="203" spans="1:36" x14ac:dyDescent="0.25">
      <c r="A203" s="75" t="s">
        <v>605</v>
      </c>
      <c r="B203" t="s">
        <v>305</v>
      </c>
      <c r="C203" s="25">
        <v>0</v>
      </c>
      <c r="D203" s="25">
        <v>0</v>
      </c>
      <c r="E203" s="25">
        <v>0</v>
      </c>
      <c r="F203" s="25">
        <v>0</v>
      </c>
      <c r="G203" s="25">
        <v>0</v>
      </c>
      <c r="H203" s="25">
        <v>0</v>
      </c>
      <c r="I203" s="25">
        <v>0</v>
      </c>
      <c r="J203" s="25">
        <v>0</v>
      </c>
      <c r="K203" s="25">
        <v>0</v>
      </c>
      <c r="L203" s="25">
        <v>0</v>
      </c>
      <c r="M203" s="25">
        <v>0</v>
      </c>
      <c r="N203" s="25">
        <v>0</v>
      </c>
      <c r="O203" s="25">
        <v>0</v>
      </c>
      <c r="P203" s="25">
        <v>0</v>
      </c>
      <c r="Q203" s="25">
        <v>0</v>
      </c>
      <c r="R203" s="25">
        <v>0</v>
      </c>
      <c r="S203" s="25">
        <v>0</v>
      </c>
      <c r="T203" s="25">
        <v>0</v>
      </c>
      <c r="U203" s="25">
        <v>0</v>
      </c>
      <c r="V203" s="25">
        <v>0</v>
      </c>
      <c r="W203" s="25">
        <v>0</v>
      </c>
      <c r="X203" s="25">
        <v>0</v>
      </c>
      <c r="Y203" s="25">
        <v>0</v>
      </c>
      <c r="Z203" s="25">
        <v>0</v>
      </c>
      <c r="AA203" s="25">
        <v>0</v>
      </c>
      <c r="AB203" s="25">
        <v>0</v>
      </c>
      <c r="AC203" s="25">
        <v>0</v>
      </c>
      <c r="AD203" s="25">
        <v>0</v>
      </c>
      <c r="AE203" s="25">
        <v>0</v>
      </c>
      <c r="AF203" s="25">
        <v>0</v>
      </c>
      <c r="AG203" s="25">
        <v>0</v>
      </c>
      <c r="AH203" s="25">
        <v>0</v>
      </c>
      <c r="AI203" s="25">
        <v>0</v>
      </c>
      <c r="AJ203" s="25">
        <v>0</v>
      </c>
    </row>
    <row r="204" spans="1:36" x14ac:dyDescent="0.25">
      <c r="A204" s="75" t="s">
        <v>606</v>
      </c>
      <c r="B204" t="s">
        <v>305</v>
      </c>
      <c r="C204" s="25">
        <v>0</v>
      </c>
      <c r="D204" s="25">
        <v>0</v>
      </c>
      <c r="E204" s="25">
        <v>0</v>
      </c>
      <c r="F204" s="25">
        <v>0</v>
      </c>
      <c r="G204" s="25">
        <v>0</v>
      </c>
      <c r="H204" s="25">
        <v>0</v>
      </c>
      <c r="I204" s="25">
        <v>0</v>
      </c>
      <c r="J204" s="25">
        <v>0</v>
      </c>
      <c r="K204" s="25">
        <v>0</v>
      </c>
      <c r="L204" s="25">
        <v>0</v>
      </c>
      <c r="M204" s="25">
        <v>0</v>
      </c>
      <c r="N204" s="25">
        <v>0</v>
      </c>
      <c r="O204" s="25">
        <v>0</v>
      </c>
      <c r="P204" s="25">
        <v>0</v>
      </c>
      <c r="Q204" s="25">
        <v>0</v>
      </c>
      <c r="R204" s="25">
        <v>0</v>
      </c>
      <c r="S204" s="25">
        <v>0</v>
      </c>
      <c r="T204" s="25">
        <v>0</v>
      </c>
      <c r="U204" s="25">
        <v>0</v>
      </c>
      <c r="V204" s="25">
        <v>0</v>
      </c>
      <c r="W204" s="25">
        <v>0</v>
      </c>
      <c r="X204" s="25">
        <v>0</v>
      </c>
      <c r="Y204" s="25">
        <v>0</v>
      </c>
      <c r="Z204" s="25">
        <v>0</v>
      </c>
      <c r="AA204" s="25">
        <v>0</v>
      </c>
      <c r="AB204" s="25">
        <v>0</v>
      </c>
      <c r="AC204" s="25">
        <v>0</v>
      </c>
      <c r="AD204" s="25">
        <v>0</v>
      </c>
      <c r="AE204" s="25">
        <v>0</v>
      </c>
      <c r="AF204" s="25">
        <v>0</v>
      </c>
      <c r="AG204" s="25">
        <v>0</v>
      </c>
      <c r="AH204" s="25">
        <v>0</v>
      </c>
      <c r="AI204" s="25">
        <v>0</v>
      </c>
      <c r="AJ204" s="25">
        <v>0</v>
      </c>
    </row>
    <row r="205" spans="1:36" x14ac:dyDescent="0.25">
      <c r="A205" s="75" t="s">
        <v>607</v>
      </c>
      <c r="B205" t="s">
        <v>305</v>
      </c>
      <c r="C205" s="25">
        <v>15</v>
      </c>
      <c r="D205" s="25">
        <v>15</v>
      </c>
      <c r="E205" s="25">
        <v>15</v>
      </c>
      <c r="F205" s="25">
        <v>15</v>
      </c>
      <c r="G205" s="25">
        <v>15</v>
      </c>
      <c r="H205" s="25">
        <v>15</v>
      </c>
      <c r="I205" s="25">
        <v>15</v>
      </c>
      <c r="J205" s="25">
        <v>15</v>
      </c>
      <c r="K205" s="25">
        <v>15</v>
      </c>
      <c r="L205" s="25">
        <v>15</v>
      </c>
      <c r="M205" s="25">
        <v>15</v>
      </c>
      <c r="N205" s="25">
        <v>15</v>
      </c>
      <c r="O205" s="25">
        <v>15</v>
      </c>
      <c r="P205" s="25">
        <v>15</v>
      </c>
      <c r="Q205" s="25">
        <v>15</v>
      </c>
      <c r="R205" s="25">
        <v>15</v>
      </c>
      <c r="S205" s="25">
        <v>15</v>
      </c>
      <c r="T205" s="25">
        <v>15</v>
      </c>
      <c r="U205" s="25">
        <v>15</v>
      </c>
      <c r="V205" s="25">
        <v>15</v>
      </c>
      <c r="W205" s="25">
        <v>15</v>
      </c>
      <c r="X205" s="25">
        <v>15</v>
      </c>
      <c r="Y205" s="25">
        <v>15</v>
      </c>
      <c r="Z205" s="25">
        <v>15</v>
      </c>
      <c r="AA205" s="25">
        <v>15</v>
      </c>
      <c r="AB205" s="25">
        <v>15</v>
      </c>
      <c r="AC205" s="25">
        <v>15</v>
      </c>
      <c r="AD205" s="25">
        <v>15</v>
      </c>
      <c r="AE205" s="25">
        <v>15</v>
      </c>
      <c r="AF205" s="25">
        <v>15</v>
      </c>
      <c r="AG205" s="25">
        <v>15</v>
      </c>
      <c r="AH205" s="25">
        <v>15</v>
      </c>
      <c r="AI205" s="25">
        <v>15</v>
      </c>
      <c r="AJ205" s="25">
        <v>15</v>
      </c>
    </row>
    <row r="206" spans="1:36" x14ac:dyDescent="0.25">
      <c r="A206" s="75" t="s">
        <v>608</v>
      </c>
      <c r="B206" t="s">
        <v>305</v>
      </c>
      <c r="C206" s="25">
        <v>0</v>
      </c>
      <c r="D206" s="25">
        <v>0</v>
      </c>
      <c r="E206" s="25">
        <v>0</v>
      </c>
      <c r="F206" s="25">
        <v>0</v>
      </c>
      <c r="G206" s="25">
        <v>0</v>
      </c>
      <c r="H206" s="25">
        <v>0</v>
      </c>
      <c r="I206" s="25">
        <v>0</v>
      </c>
      <c r="J206" s="25">
        <v>0</v>
      </c>
      <c r="K206" s="25">
        <v>0</v>
      </c>
      <c r="L206" s="25">
        <v>0</v>
      </c>
      <c r="M206" s="25">
        <v>0</v>
      </c>
      <c r="N206" s="25">
        <v>0</v>
      </c>
      <c r="O206" s="25">
        <v>0</v>
      </c>
      <c r="P206" s="25">
        <v>0</v>
      </c>
      <c r="Q206" s="25">
        <v>0</v>
      </c>
      <c r="R206" s="25">
        <v>0</v>
      </c>
      <c r="S206" s="25">
        <v>0</v>
      </c>
      <c r="T206" s="25">
        <v>0</v>
      </c>
      <c r="U206" s="25">
        <v>0</v>
      </c>
      <c r="V206" s="25">
        <v>0</v>
      </c>
      <c r="W206" s="25">
        <v>0</v>
      </c>
      <c r="X206" s="25">
        <v>0</v>
      </c>
      <c r="Y206" s="25">
        <v>0</v>
      </c>
      <c r="Z206" s="25">
        <v>0</v>
      </c>
      <c r="AA206" s="25">
        <v>0</v>
      </c>
      <c r="AB206" s="25">
        <v>0</v>
      </c>
      <c r="AC206" s="25">
        <v>0</v>
      </c>
      <c r="AD206" s="25">
        <v>0</v>
      </c>
      <c r="AE206" s="25">
        <v>0</v>
      </c>
      <c r="AF206" s="25">
        <v>0</v>
      </c>
      <c r="AG206" s="25">
        <v>0</v>
      </c>
      <c r="AH206" s="25">
        <v>0</v>
      </c>
      <c r="AI206" s="25">
        <v>0</v>
      </c>
      <c r="AJ206" s="25">
        <v>0</v>
      </c>
    </row>
    <row r="207" spans="1:36" x14ac:dyDescent="0.25">
      <c r="A207" s="75" t="s">
        <v>766</v>
      </c>
      <c r="B207" t="s">
        <v>305</v>
      </c>
      <c r="C207" s="25">
        <v>0</v>
      </c>
      <c r="D207" s="25">
        <v>0</v>
      </c>
      <c r="E207" s="25">
        <v>0</v>
      </c>
      <c r="F207" s="25">
        <v>0</v>
      </c>
      <c r="G207" s="25">
        <v>0</v>
      </c>
      <c r="H207" s="25">
        <v>0</v>
      </c>
      <c r="I207" s="25">
        <v>0</v>
      </c>
      <c r="J207" s="25">
        <v>0</v>
      </c>
      <c r="K207" s="25">
        <v>0</v>
      </c>
      <c r="L207" s="25">
        <v>0</v>
      </c>
      <c r="M207" s="25">
        <v>0</v>
      </c>
      <c r="N207" s="25">
        <v>0</v>
      </c>
      <c r="O207" s="25">
        <v>0</v>
      </c>
      <c r="P207" s="25">
        <v>0</v>
      </c>
      <c r="Q207" s="25">
        <v>0</v>
      </c>
      <c r="R207" s="25">
        <v>0</v>
      </c>
      <c r="S207" s="25">
        <v>0</v>
      </c>
      <c r="T207" s="25">
        <v>0</v>
      </c>
      <c r="U207" s="25">
        <v>0</v>
      </c>
      <c r="V207" s="25">
        <v>0</v>
      </c>
      <c r="W207" s="25">
        <v>0</v>
      </c>
      <c r="X207" s="25">
        <v>0</v>
      </c>
      <c r="Y207" s="25">
        <v>0</v>
      </c>
      <c r="Z207" s="25">
        <v>0</v>
      </c>
      <c r="AA207" s="25">
        <v>0</v>
      </c>
      <c r="AB207" s="25">
        <v>0</v>
      </c>
      <c r="AC207" s="25">
        <v>0</v>
      </c>
      <c r="AD207" s="25">
        <v>0</v>
      </c>
      <c r="AE207" s="25">
        <v>0</v>
      </c>
      <c r="AF207" s="25">
        <v>0</v>
      </c>
      <c r="AG207" s="25">
        <v>0</v>
      </c>
      <c r="AH207" s="25">
        <v>0</v>
      </c>
      <c r="AI207" s="25">
        <v>0</v>
      </c>
      <c r="AJ207" s="25">
        <v>0</v>
      </c>
    </row>
    <row r="208" spans="1:36" s="76" customFormat="1" x14ac:dyDescent="0.25">
      <c r="A208" s="76" t="s">
        <v>780</v>
      </c>
      <c r="C208" s="77">
        <f>+SUM(C197:C207)</f>
        <v>100</v>
      </c>
      <c r="D208" s="77">
        <f t="shared" ref="D208" si="430">+SUM(D197:D207)</f>
        <v>100</v>
      </c>
      <c r="E208" s="77">
        <f t="shared" ref="E208" si="431">+SUM(E197:E207)</f>
        <v>100</v>
      </c>
      <c r="F208" s="77">
        <f t="shared" ref="F208" si="432">+SUM(F197:F207)</f>
        <v>100</v>
      </c>
      <c r="G208" s="77">
        <f t="shared" ref="G208" si="433">+SUM(G197:G207)</f>
        <v>100</v>
      </c>
      <c r="H208" s="77">
        <f t="shared" ref="H208" si="434">+SUM(H197:H207)</f>
        <v>100</v>
      </c>
      <c r="I208" s="77">
        <f t="shared" ref="I208" si="435">+SUM(I197:I207)</f>
        <v>100</v>
      </c>
      <c r="J208" s="77">
        <f t="shared" ref="J208" si="436">+SUM(J197:J207)</f>
        <v>100</v>
      </c>
      <c r="K208" s="77">
        <f t="shared" ref="K208" si="437">+SUM(K197:K207)</f>
        <v>100</v>
      </c>
      <c r="L208" s="77">
        <f t="shared" ref="L208" si="438">+SUM(L197:L207)</f>
        <v>100</v>
      </c>
      <c r="M208" s="77">
        <f t="shared" ref="M208" si="439">+SUM(M197:M207)</f>
        <v>100</v>
      </c>
      <c r="N208" s="77">
        <f t="shared" ref="N208" si="440">+SUM(N197:N207)</f>
        <v>100</v>
      </c>
      <c r="O208" s="77">
        <f t="shared" ref="O208" si="441">+SUM(O197:O207)</f>
        <v>100</v>
      </c>
      <c r="P208" s="77">
        <f t="shared" ref="P208" si="442">+SUM(P197:P207)</f>
        <v>100</v>
      </c>
      <c r="Q208" s="77">
        <f t="shared" ref="Q208" si="443">+SUM(Q197:Q207)</f>
        <v>100</v>
      </c>
      <c r="R208" s="77">
        <f t="shared" ref="R208" si="444">+SUM(R197:R207)</f>
        <v>100</v>
      </c>
      <c r="S208" s="77">
        <f t="shared" ref="S208" si="445">+SUM(S197:S207)</f>
        <v>100</v>
      </c>
      <c r="T208" s="77">
        <f t="shared" ref="T208" si="446">+SUM(T197:T207)</f>
        <v>100</v>
      </c>
      <c r="U208" s="77">
        <f t="shared" ref="U208" si="447">+SUM(U197:U207)</f>
        <v>100</v>
      </c>
      <c r="V208" s="77">
        <f t="shared" ref="V208" si="448">+SUM(V197:V207)</f>
        <v>100</v>
      </c>
      <c r="W208" s="77">
        <f t="shared" ref="W208" si="449">+SUM(W197:W207)</f>
        <v>100</v>
      </c>
      <c r="X208" s="77">
        <f t="shared" ref="X208" si="450">+SUM(X197:X207)</f>
        <v>100</v>
      </c>
      <c r="Y208" s="77">
        <f t="shared" ref="Y208" si="451">+SUM(Y197:Y207)</f>
        <v>100</v>
      </c>
      <c r="Z208" s="77">
        <f t="shared" ref="Z208" si="452">+SUM(Z197:Z207)</f>
        <v>100</v>
      </c>
      <c r="AA208" s="77">
        <f t="shared" ref="AA208" si="453">+SUM(AA197:AA207)</f>
        <v>100</v>
      </c>
      <c r="AB208" s="77">
        <f t="shared" ref="AB208" si="454">+SUM(AB197:AB207)</f>
        <v>100</v>
      </c>
      <c r="AC208" s="77">
        <f t="shared" ref="AC208" si="455">+SUM(AC197:AC207)</f>
        <v>100</v>
      </c>
      <c r="AD208" s="77">
        <f t="shared" ref="AD208" si="456">+SUM(AD197:AD207)</f>
        <v>100</v>
      </c>
      <c r="AE208" s="77">
        <f t="shared" ref="AE208" si="457">+SUM(AE197:AE207)</f>
        <v>100</v>
      </c>
      <c r="AF208" s="77">
        <f t="shared" ref="AF208" si="458">+SUM(AF197:AF207)</f>
        <v>100</v>
      </c>
      <c r="AG208" s="77">
        <f t="shared" ref="AG208" si="459">+SUM(AG197:AG207)</f>
        <v>100</v>
      </c>
      <c r="AH208" s="77">
        <f t="shared" ref="AH208" si="460">+SUM(AH197:AH207)</f>
        <v>100</v>
      </c>
      <c r="AI208" s="77">
        <f t="shared" ref="AI208" si="461">+SUM(AI197:AI207)</f>
        <v>100</v>
      </c>
      <c r="AJ208" s="77">
        <f t="shared" ref="AJ208" si="462">+SUM(AJ197:AJ207)</f>
        <v>100</v>
      </c>
    </row>
    <row r="209" spans="1:36" x14ac:dyDescent="0.25">
      <c r="A209" t="s">
        <v>609</v>
      </c>
      <c r="B209" t="s">
        <v>305</v>
      </c>
      <c r="C209" s="25">
        <v>0</v>
      </c>
      <c r="D209" s="25">
        <v>0</v>
      </c>
      <c r="E209" s="25">
        <v>0</v>
      </c>
      <c r="F209" s="25">
        <v>0</v>
      </c>
      <c r="G209" s="25">
        <v>0</v>
      </c>
      <c r="H209" s="25">
        <v>0</v>
      </c>
      <c r="I209" s="25">
        <v>0</v>
      </c>
      <c r="J209" s="25">
        <v>0</v>
      </c>
      <c r="K209" s="25">
        <v>0</v>
      </c>
      <c r="L209" s="25">
        <v>0</v>
      </c>
      <c r="M209" s="25">
        <v>0</v>
      </c>
      <c r="N209" s="25">
        <v>0</v>
      </c>
      <c r="O209" s="25">
        <v>0</v>
      </c>
      <c r="P209" s="25">
        <v>0</v>
      </c>
      <c r="Q209" s="25">
        <v>0</v>
      </c>
      <c r="R209" s="25">
        <v>0</v>
      </c>
      <c r="S209" s="25">
        <v>0</v>
      </c>
      <c r="T209" s="25">
        <v>0</v>
      </c>
      <c r="U209" s="25">
        <v>0</v>
      </c>
      <c r="V209" s="25">
        <v>0</v>
      </c>
      <c r="W209" s="25">
        <v>0</v>
      </c>
      <c r="X209" s="25">
        <v>0</v>
      </c>
      <c r="Y209" s="25">
        <v>0</v>
      </c>
      <c r="Z209" s="25">
        <v>0</v>
      </c>
      <c r="AA209" s="25">
        <v>0</v>
      </c>
      <c r="AB209" s="25">
        <v>0</v>
      </c>
      <c r="AC209" s="25">
        <v>0</v>
      </c>
      <c r="AD209" s="25">
        <v>0</v>
      </c>
      <c r="AE209" s="25">
        <v>0</v>
      </c>
      <c r="AF209" s="25">
        <v>0</v>
      </c>
      <c r="AG209" s="25">
        <v>0</v>
      </c>
      <c r="AH209" s="25">
        <v>0</v>
      </c>
      <c r="AI209" s="25">
        <v>0</v>
      </c>
      <c r="AJ209" s="25">
        <v>0</v>
      </c>
    </row>
    <row r="210" spans="1:36" x14ac:dyDescent="0.25">
      <c r="A210" t="s">
        <v>610</v>
      </c>
      <c r="B210" t="s">
        <v>305</v>
      </c>
      <c r="C210" s="25">
        <v>5</v>
      </c>
      <c r="D210" s="25">
        <v>5</v>
      </c>
      <c r="E210" s="25">
        <v>5</v>
      </c>
      <c r="F210" s="25">
        <v>5</v>
      </c>
      <c r="G210" s="25">
        <v>5</v>
      </c>
      <c r="H210" s="25">
        <v>5</v>
      </c>
      <c r="I210" s="25">
        <v>5</v>
      </c>
      <c r="J210" s="25">
        <v>5</v>
      </c>
      <c r="K210" s="25">
        <v>5</v>
      </c>
      <c r="L210" s="25">
        <v>5</v>
      </c>
      <c r="M210" s="25">
        <v>5</v>
      </c>
      <c r="N210" s="25">
        <v>5</v>
      </c>
      <c r="O210" s="25">
        <v>5</v>
      </c>
      <c r="P210" s="25">
        <v>5</v>
      </c>
      <c r="Q210" s="25">
        <v>5</v>
      </c>
      <c r="R210" s="25">
        <v>5</v>
      </c>
      <c r="S210" s="25">
        <v>5</v>
      </c>
      <c r="T210" s="25">
        <v>5</v>
      </c>
      <c r="U210" s="25">
        <v>5</v>
      </c>
      <c r="V210" s="25">
        <v>5</v>
      </c>
      <c r="W210" s="25">
        <v>5</v>
      </c>
      <c r="X210" s="25">
        <v>5</v>
      </c>
      <c r="Y210" s="25">
        <v>5</v>
      </c>
      <c r="Z210" s="25">
        <v>5</v>
      </c>
      <c r="AA210" s="25">
        <v>5</v>
      </c>
      <c r="AB210" s="25">
        <v>5</v>
      </c>
      <c r="AC210" s="25">
        <v>5</v>
      </c>
      <c r="AD210" s="25">
        <v>5</v>
      </c>
      <c r="AE210" s="25">
        <v>5</v>
      </c>
      <c r="AF210" s="25">
        <v>5</v>
      </c>
      <c r="AG210" s="25">
        <v>5</v>
      </c>
      <c r="AH210" s="25">
        <v>5</v>
      </c>
      <c r="AI210" s="25">
        <v>5</v>
      </c>
      <c r="AJ210" s="25">
        <v>5</v>
      </c>
    </row>
    <row r="211" spans="1:36" x14ac:dyDescent="0.25">
      <c r="A211" t="s">
        <v>611</v>
      </c>
      <c r="B211" t="s">
        <v>305</v>
      </c>
      <c r="C211" s="25">
        <v>70</v>
      </c>
      <c r="D211" s="25">
        <v>70</v>
      </c>
      <c r="E211" s="25">
        <v>70</v>
      </c>
      <c r="F211" s="25">
        <v>70</v>
      </c>
      <c r="G211" s="25">
        <v>70</v>
      </c>
      <c r="H211" s="25">
        <v>70</v>
      </c>
      <c r="I211" s="25">
        <v>70</v>
      </c>
      <c r="J211" s="25">
        <v>70</v>
      </c>
      <c r="K211" s="25">
        <v>70</v>
      </c>
      <c r="L211" s="25">
        <v>70</v>
      </c>
      <c r="M211" s="25">
        <v>70</v>
      </c>
      <c r="N211" s="25">
        <v>70</v>
      </c>
      <c r="O211" s="25">
        <v>70</v>
      </c>
      <c r="P211" s="25">
        <v>70</v>
      </c>
      <c r="Q211" s="25">
        <v>70</v>
      </c>
      <c r="R211" s="25">
        <v>70</v>
      </c>
      <c r="S211" s="25">
        <v>70</v>
      </c>
      <c r="T211" s="25">
        <v>70</v>
      </c>
      <c r="U211" s="25">
        <v>70</v>
      </c>
      <c r="V211" s="25">
        <v>70</v>
      </c>
      <c r="W211" s="25">
        <v>70</v>
      </c>
      <c r="X211" s="25">
        <v>70</v>
      </c>
      <c r="Y211" s="25">
        <v>70</v>
      </c>
      <c r="Z211" s="25">
        <v>70</v>
      </c>
      <c r="AA211" s="25">
        <v>70</v>
      </c>
      <c r="AB211" s="25">
        <v>70</v>
      </c>
      <c r="AC211" s="25">
        <v>70</v>
      </c>
      <c r="AD211" s="25">
        <v>70</v>
      </c>
      <c r="AE211" s="25">
        <v>70</v>
      </c>
      <c r="AF211" s="25">
        <v>70</v>
      </c>
      <c r="AG211" s="25">
        <v>70</v>
      </c>
      <c r="AH211" s="25">
        <v>70</v>
      </c>
      <c r="AI211" s="25">
        <v>70</v>
      </c>
      <c r="AJ211" s="25">
        <v>70</v>
      </c>
    </row>
    <row r="212" spans="1:36" x14ac:dyDescent="0.25">
      <c r="A212" t="s">
        <v>612</v>
      </c>
      <c r="B212" t="s">
        <v>305</v>
      </c>
      <c r="C212" s="25">
        <v>0</v>
      </c>
      <c r="D212" s="25">
        <v>0</v>
      </c>
      <c r="E212" s="25">
        <v>0</v>
      </c>
      <c r="F212" s="25">
        <v>0</v>
      </c>
      <c r="G212" s="25">
        <v>0</v>
      </c>
      <c r="H212" s="25">
        <v>0</v>
      </c>
      <c r="I212" s="25">
        <v>0</v>
      </c>
      <c r="J212" s="25">
        <v>0</v>
      </c>
      <c r="K212" s="25">
        <v>0</v>
      </c>
      <c r="L212" s="25">
        <v>0</v>
      </c>
      <c r="M212" s="25">
        <v>0</v>
      </c>
      <c r="N212" s="25">
        <v>0</v>
      </c>
      <c r="O212" s="25">
        <v>0</v>
      </c>
      <c r="P212" s="25">
        <v>0</v>
      </c>
      <c r="Q212" s="25">
        <v>0</v>
      </c>
      <c r="R212" s="25">
        <v>0</v>
      </c>
      <c r="S212" s="25">
        <v>0</v>
      </c>
      <c r="T212" s="25">
        <v>0</v>
      </c>
      <c r="U212" s="25">
        <v>0</v>
      </c>
      <c r="V212" s="25">
        <v>0</v>
      </c>
      <c r="W212" s="25">
        <v>0</v>
      </c>
      <c r="X212" s="25">
        <v>0</v>
      </c>
      <c r="Y212" s="25">
        <v>0</v>
      </c>
      <c r="Z212" s="25">
        <v>0</v>
      </c>
      <c r="AA212" s="25">
        <v>0</v>
      </c>
      <c r="AB212" s="25">
        <v>0</v>
      </c>
      <c r="AC212" s="25">
        <v>0</v>
      </c>
      <c r="AD212" s="25">
        <v>0</v>
      </c>
      <c r="AE212" s="25">
        <v>0</v>
      </c>
      <c r="AF212" s="25">
        <v>0</v>
      </c>
      <c r="AG212" s="25">
        <v>0</v>
      </c>
      <c r="AH212" s="25">
        <v>0</v>
      </c>
      <c r="AI212" s="25">
        <v>0</v>
      </c>
      <c r="AJ212" s="25">
        <v>0</v>
      </c>
    </row>
    <row r="213" spans="1:36" x14ac:dyDescent="0.25">
      <c r="A213" t="s">
        <v>613</v>
      </c>
      <c r="B213" t="s">
        <v>305</v>
      </c>
      <c r="C213" s="25">
        <v>5</v>
      </c>
      <c r="D213" s="25">
        <v>5</v>
      </c>
      <c r="E213" s="25">
        <v>5</v>
      </c>
      <c r="F213" s="25">
        <v>5</v>
      </c>
      <c r="G213" s="25">
        <v>5</v>
      </c>
      <c r="H213" s="25">
        <v>5</v>
      </c>
      <c r="I213" s="25">
        <v>5</v>
      </c>
      <c r="J213" s="25">
        <v>5</v>
      </c>
      <c r="K213" s="25">
        <v>5</v>
      </c>
      <c r="L213" s="25">
        <v>5</v>
      </c>
      <c r="M213" s="25">
        <v>5</v>
      </c>
      <c r="N213" s="25">
        <v>5</v>
      </c>
      <c r="O213" s="25">
        <v>5</v>
      </c>
      <c r="P213" s="25">
        <v>5</v>
      </c>
      <c r="Q213" s="25">
        <v>5</v>
      </c>
      <c r="R213" s="25">
        <v>5</v>
      </c>
      <c r="S213" s="25">
        <v>5</v>
      </c>
      <c r="T213" s="25">
        <v>5</v>
      </c>
      <c r="U213" s="25">
        <v>5</v>
      </c>
      <c r="V213" s="25">
        <v>5</v>
      </c>
      <c r="W213" s="25">
        <v>5</v>
      </c>
      <c r="X213" s="25">
        <v>5</v>
      </c>
      <c r="Y213" s="25">
        <v>5</v>
      </c>
      <c r="Z213" s="25">
        <v>5</v>
      </c>
      <c r="AA213" s="25">
        <v>5</v>
      </c>
      <c r="AB213" s="25">
        <v>5</v>
      </c>
      <c r="AC213" s="25">
        <v>5</v>
      </c>
      <c r="AD213" s="25">
        <v>5</v>
      </c>
      <c r="AE213" s="25">
        <v>5</v>
      </c>
      <c r="AF213" s="25">
        <v>5</v>
      </c>
      <c r="AG213" s="25">
        <v>5</v>
      </c>
      <c r="AH213" s="25">
        <v>5</v>
      </c>
      <c r="AI213" s="25">
        <v>5</v>
      </c>
      <c r="AJ213" s="25">
        <v>5</v>
      </c>
    </row>
    <row r="214" spans="1:36" x14ac:dyDescent="0.25">
      <c r="A214" t="s">
        <v>614</v>
      </c>
      <c r="B214" t="s">
        <v>305</v>
      </c>
      <c r="C214" s="25">
        <v>10</v>
      </c>
      <c r="D214" s="25">
        <v>10</v>
      </c>
      <c r="E214" s="25">
        <v>10</v>
      </c>
      <c r="F214" s="25">
        <v>10</v>
      </c>
      <c r="G214" s="25">
        <v>10</v>
      </c>
      <c r="H214" s="25">
        <v>10</v>
      </c>
      <c r="I214" s="25">
        <v>10</v>
      </c>
      <c r="J214" s="25">
        <v>10</v>
      </c>
      <c r="K214" s="25">
        <v>10</v>
      </c>
      <c r="L214" s="25">
        <v>10</v>
      </c>
      <c r="M214" s="25">
        <v>10</v>
      </c>
      <c r="N214" s="25">
        <v>10</v>
      </c>
      <c r="O214" s="25">
        <v>10</v>
      </c>
      <c r="P214" s="25">
        <v>10</v>
      </c>
      <c r="Q214" s="25">
        <v>10</v>
      </c>
      <c r="R214" s="25">
        <v>10</v>
      </c>
      <c r="S214" s="25">
        <v>10</v>
      </c>
      <c r="T214" s="25">
        <v>10</v>
      </c>
      <c r="U214" s="25">
        <v>10</v>
      </c>
      <c r="V214" s="25">
        <v>10</v>
      </c>
      <c r="W214" s="25">
        <v>10</v>
      </c>
      <c r="X214" s="25">
        <v>10</v>
      </c>
      <c r="Y214" s="25">
        <v>10</v>
      </c>
      <c r="Z214" s="25">
        <v>10</v>
      </c>
      <c r="AA214" s="25">
        <v>10</v>
      </c>
      <c r="AB214" s="25">
        <v>10</v>
      </c>
      <c r="AC214" s="25">
        <v>10</v>
      </c>
      <c r="AD214" s="25">
        <v>10</v>
      </c>
      <c r="AE214" s="25">
        <v>10</v>
      </c>
      <c r="AF214" s="25">
        <v>10</v>
      </c>
      <c r="AG214" s="25">
        <v>10</v>
      </c>
      <c r="AH214" s="25">
        <v>10</v>
      </c>
      <c r="AI214" s="25">
        <v>10</v>
      </c>
      <c r="AJ214" s="25">
        <v>10</v>
      </c>
    </row>
    <row r="215" spans="1:36" x14ac:dyDescent="0.25">
      <c r="A215" t="s">
        <v>615</v>
      </c>
      <c r="B215" t="s">
        <v>305</v>
      </c>
      <c r="C215" s="25">
        <v>0</v>
      </c>
      <c r="D215" s="25">
        <v>0</v>
      </c>
      <c r="E215" s="25">
        <v>0</v>
      </c>
      <c r="F215" s="25">
        <v>0</v>
      </c>
      <c r="G215" s="25">
        <v>0</v>
      </c>
      <c r="H215" s="25">
        <v>0</v>
      </c>
      <c r="I215" s="25">
        <v>0</v>
      </c>
      <c r="J215" s="25">
        <v>0</v>
      </c>
      <c r="K215" s="25">
        <v>0</v>
      </c>
      <c r="L215" s="25">
        <v>0</v>
      </c>
      <c r="M215" s="25">
        <v>0</v>
      </c>
      <c r="N215" s="25">
        <v>0</v>
      </c>
      <c r="O215" s="25">
        <v>0</v>
      </c>
      <c r="P215" s="25">
        <v>0</v>
      </c>
      <c r="Q215" s="25">
        <v>0</v>
      </c>
      <c r="R215" s="25">
        <v>0</v>
      </c>
      <c r="S215" s="25">
        <v>0</v>
      </c>
      <c r="T215" s="25">
        <v>0</v>
      </c>
      <c r="U215" s="25">
        <v>0</v>
      </c>
      <c r="V215" s="25">
        <v>0</v>
      </c>
      <c r="W215" s="25">
        <v>0</v>
      </c>
      <c r="X215" s="25">
        <v>0</v>
      </c>
      <c r="Y215" s="25">
        <v>0</v>
      </c>
      <c r="Z215" s="25">
        <v>0</v>
      </c>
      <c r="AA215" s="25">
        <v>0</v>
      </c>
      <c r="AB215" s="25">
        <v>0</v>
      </c>
      <c r="AC215" s="25">
        <v>0</v>
      </c>
      <c r="AD215" s="25">
        <v>0</v>
      </c>
      <c r="AE215" s="25">
        <v>0</v>
      </c>
      <c r="AF215" s="25">
        <v>0</v>
      </c>
      <c r="AG215" s="25">
        <v>0</v>
      </c>
      <c r="AH215" s="25">
        <v>0</v>
      </c>
      <c r="AI215" s="25">
        <v>0</v>
      </c>
      <c r="AJ215" s="25">
        <v>0</v>
      </c>
    </row>
    <row r="216" spans="1:36" x14ac:dyDescent="0.25">
      <c r="A216" t="s">
        <v>616</v>
      </c>
      <c r="B216" t="s">
        <v>305</v>
      </c>
      <c r="C216" s="25">
        <v>10</v>
      </c>
      <c r="D216" s="25">
        <v>10</v>
      </c>
      <c r="E216" s="25">
        <v>10</v>
      </c>
      <c r="F216" s="25">
        <v>10</v>
      </c>
      <c r="G216" s="25">
        <v>10</v>
      </c>
      <c r="H216" s="25">
        <v>10</v>
      </c>
      <c r="I216" s="25">
        <v>10</v>
      </c>
      <c r="J216" s="25">
        <v>10</v>
      </c>
      <c r="K216" s="25">
        <v>10</v>
      </c>
      <c r="L216" s="25">
        <v>10</v>
      </c>
      <c r="M216" s="25">
        <v>10</v>
      </c>
      <c r="N216" s="25">
        <v>10</v>
      </c>
      <c r="O216" s="25">
        <v>10</v>
      </c>
      <c r="P216" s="25">
        <v>10</v>
      </c>
      <c r="Q216" s="25">
        <v>10</v>
      </c>
      <c r="R216" s="25">
        <v>10</v>
      </c>
      <c r="S216" s="25">
        <v>10</v>
      </c>
      <c r="T216" s="25">
        <v>10</v>
      </c>
      <c r="U216" s="25">
        <v>10</v>
      </c>
      <c r="V216" s="25">
        <v>10</v>
      </c>
      <c r="W216" s="25">
        <v>10</v>
      </c>
      <c r="X216" s="25">
        <v>10</v>
      </c>
      <c r="Y216" s="25">
        <v>10</v>
      </c>
      <c r="Z216" s="25">
        <v>10</v>
      </c>
      <c r="AA216" s="25">
        <v>10</v>
      </c>
      <c r="AB216" s="25">
        <v>10</v>
      </c>
      <c r="AC216" s="25">
        <v>10</v>
      </c>
      <c r="AD216" s="25">
        <v>10</v>
      </c>
      <c r="AE216" s="25">
        <v>10</v>
      </c>
      <c r="AF216" s="25">
        <v>10</v>
      </c>
      <c r="AG216" s="25">
        <v>10</v>
      </c>
      <c r="AH216" s="25">
        <v>10</v>
      </c>
      <c r="AI216" s="25">
        <v>10</v>
      </c>
      <c r="AJ216" s="25">
        <v>10</v>
      </c>
    </row>
    <row r="217" spans="1:36" x14ac:dyDescent="0.25">
      <c r="A217" t="s">
        <v>617</v>
      </c>
      <c r="B217" t="s">
        <v>305</v>
      </c>
      <c r="C217" s="25">
        <v>0</v>
      </c>
      <c r="D217" s="25">
        <v>0</v>
      </c>
      <c r="E217" s="25">
        <v>0</v>
      </c>
      <c r="F217" s="25">
        <v>0</v>
      </c>
      <c r="G217" s="25">
        <v>0</v>
      </c>
      <c r="H217" s="25">
        <v>0</v>
      </c>
      <c r="I217" s="25">
        <v>0</v>
      </c>
      <c r="J217" s="25">
        <v>0</v>
      </c>
      <c r="K217" s="25">
        <v>0</v>
      </c>
      <c r="L217" s="25">
        <v>0</v>
      </c>
      <c r="M217" s="25">
        <v>0</v>
      </c>
      <c r="N217" s="25">
        <v>0</v>
      </c>
      <c r="O217" s="25">
        <v>0</v>
      </c>
      <c r="P217" s="25">
        <v>0</v>
      </c>
      <c r="Q217" s="25">
        <v>0</v>
      </c>
      <c r="R217" s="25">
        <v>0</v>
      </c>
      <c r="S217" s="25">
        <v>0</v>
      </c>
      <c r="T217" s="25">
        <v>0</v>
      </c>
      <c r="U217" s="25">
        <v>0</v>
      </c>
      <c r="V217" s="25">
        <v>0</v>
      </c>
      <c r="W217" s="25">
        <v>0</v>
      </c>
      <c r="X217" s="25">
        <v>0</v>
      </c>
      <c r="Y217" s="25">
        <v>0</v>
      </c>
      <c r="Z217" s="25">
        <v>0</v>
      </c>
      <c r="AA217" s="25">
        <v>0</v>
      </c>
      <c r="AB217" s="25">
        <v>0</v>
      </c>
      <c r="AC217" s="25">
        <v>0</v>
      </c>
      <c r="AD217" s="25">
        <v>0</v>
      </c>
      <c r="AE217" s="25">
        <v>0</v>
      </c>
      <c r="AF217" s="25">
        <v>0</v>
      </c>
      <c r="AG217" s="25">
        <v>0</v>
      </c>
      <c r="AH217" s="25">
        <v>0</v>
      </c>
      <c r="AI217" s="25">
        <v>0</v>
      </c>
      <c r="AJ217" s="25">
        <v>0</v>
      </c>
    </row>
    <row r="218" spans="1:36" x14ac:dyDescent="0.25">
      <c r="A218" t="s">
        <v>618</v>
      </c>
      <c r="B218" t="s">
        <v>305</v>
      </c>
      <c r="C218" s="25">
        <v>0</v>
      </c>
      <c r="D218" s="25">
        <v>0</v>
      </c>
      <c r="E218" s="25">
        <v>0</v>
      </c>
      <c r="F218" s="25">
        <v>0</v>
      </c>
      <c r="G218" s="25">
        <v>0</v>
      </c>
      <c r="H218" s="25">
        <v>0</v>
      </c>
      <c r="I218" s="25">
        <v>0</v>
      </c>
      <c r="J218" s="25">
        <v>0</v>
      </c>
      <c r="K218" s="25">
        <v>0</v>
      </c>
      <c r="L218" s="25">
        <v>0</v>
      </c>
      <c r="M218" s="25">
        <v>0</v>
      </c>
      <c r="N218" s="25">
        <v>0</v>
      </c>
      <c r="O218" s="25">
        <v>0</v>
      </c>
      <c r="P218" s="25">
        <v>0</v>
      </c>
      <c r="Q218" s="25">
        <v>0</v>
      </c>
      <c r="R218" s="25">
        <v>0</v>
      </c>
      <c r="S218" s="25">
        <v>0</v>
      </c>
      <c r="T218" s="25">
        <v>0</v>
      </c>
      <c r="U218" s="25">
        <v>0</v>
      </c>
      <c r="V218" s="25">
        <v>0</v>
      </c>
      <c r="W218" s="25">
        <v>0</v>
      </c>
      <c r="X218" s="25">
        <v>0</v>
      </c>
      <c r="Y218" s="25">
        <v>0</v>
      </c>
      <c r="Z218" s="25">
        <v>0</v>
      </c>
      <c r="AA218" s="25">
        <v>0</v>
      </c>
      <c r="AB218" s="25">
        <v>0</v>
      </c>
      <c r="AC218" s="25">
        <v>0</v>
      </c>
      <c r="AD218" s="25">
        <v>0</v>
      </c>
      <c r="AE218" s="25">
        <v>0</v>
      </c>
      <c r="AF218" s="25">
        <v>0</v>
      </c>
      <c r="AG218" s="25">
        <v>0</v>
      </c>
      <c r="AH218" s="25">
        <v>0</v>
      </c>
      <c r="AI218" s="25">
        <v>0</v>
      </c>
      <c r="AJ218" s="25">
        <v>0</v>
      </c>
    </row>
    <row r="219" spans="1:36" x14ac:dyDescent="0.25">
      <c r="A219" t="s">
        <v>767</v>
      </c>
      <c r="B219" t="s">
        <v>305</v>
      </c>
      <c r="C219" s="25">
        <v>0</v>
      </c>
      <c r="D219" s="25">
        <v>0</v>
      </c>
      <c r="E219" s="25">
        <v>0</v>
      </c>
      <c r="F219" s="25">
        <v>0</v>
      </c>
      <c r="G219" s="25">
        <v>0</v>
      </c>
      <c r="H219" s="25">
        <v>0</v>
      </c>
      <c r="I219" s="25">
        <v>0</v>
      </c>
      <c r="J219" s="25">
        <v>0</v>
      </c>
      <c r="K219" s="25">
        <v>0</v>
      </c>
      <c r="L219" s="25">
        <v>0</v>
      </c>
      <c r="M219" s="25">
        <v>0</v>
      </c>
      <c r="N219" s="25">
        <v>0</v>
      </c>
      <c r="O219" s="25">
        <v>0</v>
      </c>
      <c r="P219" s="25">
        <v>0</v>
      </c>
      <c r="Q219" s="25">
        <v>0</v>
      </c>
      <c r="R219" s="25">
        <v>0</v>
      </c>
      <c r="S219" s="25">
        <v>0</v>
      </c>
      <c r="T219" s="25">
        <v>0</v>
      </c>
      <c r="U219" s="25">
        <v>0</v>
      </c>
      <c r="V219" s="25">
        <v>0</v>
      </c>
      <c r="W219" s="25">
        <v>0</v>
      </c>
      <c r="X219" s="25">
        <v>0</v>
      </c>
      <c r="Y219" s="25">
        <v>0</v>
      </c>
      <c r="Z219" s="25">
        <v>0</v>
      </c>
      <c r="AA219" s="25">
        <v>0</v>
      </c>
      <c r="AB219" s="25">
        <v>0</v>
      </c>
      <c r="AC219" s="25">
        <v>0</v>
      </c>
      <c r="AD219" s="25">
        <v>0</v>
      </c>
      <c r="AE219" s="25">
        <v>0</v>
      </c>
      <c r="AF219" s="25">
        <v>0</v>
      </c>
      <c r="AG219" s="25">
        <v>0</v>
      </c>
      <c r="AH219" s="25">
        <v>0</v>
      </c>
      <c r="AI219" s="25">
        <v>0</v>
      </c>
      <c r="AJ219" s="25">
        <v>0</v>
      </c>
    </row>
    <row r="220" spans="1:36" s="76" customFormat="1" x14ac:dyDescent="0.25">
      <c r="A220" s="76" t="s">
        <v>780</v>
      </c>
      <c r="C220" s="77">
        <f>+SUM(C209:C219)</f>
        <v>100</v>
      </c>
      <c r="D220" s="77">
        <f t="shared" ref="D220" si="463">+SUM(D209:D219)</f>
        <v>100</v>
      </c>
      <c r="E220" s="77">
        <f t="shared" ref="E220" si="464">+SUM(E209:E219)</f>
        <v>100</v>
      </c>
      <c r="F220" s="77">
        <f t="shared" ref="F220" si="465">+SUM(F209:F219)</f>
        <v>100</v>
      </c>
      <c r="G220" s="77">
        <f t="shared" ref="G220" si="466">+SUM(G209:G219)</f>
        <v>100</v>
      </c>
      <c r="H220" s="77">
        <f t="shared" ref="H220" si="467">+SUM(H209:H219)</f>
        <v>100</v>
      </c>
      <c r="I220" s="77">
        <f t="shared" ref="I220" si="468">+SUM(I209:I219)</f>
        <v>100</v>
      </c>
      <c r="J220" s="77">
        <f t="shared" ref="J220" si="469">+SUM(J209:J219)</f>
        <v>100</v>
      </c>
      <c r="K220" s="77">
        <f t="shared" ref="K220" si="470">+SUM(K209:K219)</f>
        <v>100</v>
      </c>
      <c r="L220" s="77">
        <f t="shared" ref="L220" si="471">+SUM(L209:L219)</f>
        <v>100</v>
      </c>
      <c r="M220" s="77">
        <f t="shared" ref="M220" si="472">+SUM(M209:M219)</f>
        <v>100</v>
      </c>
      <c r="N220" s="77">
        <f t="shared" ref="N220" si="473">+SUM(N209:N219)</f>
        <v>100</v>
      </c>
      <c r="O220" s="77">
        <f t="shared" ref="O220" si="474">+SUM(O209:O219)</f>
        <v>100</v>
      </c>
      <c r="P220" s="77">
        <f t="shared" ref="P220" si="475">+SUM(P209:P219)</f>
        <v>100</v>
      </c>
      <c r="Q220" s="77">
        <f t="shared" ref="Q220" si="476">+SUM(Q209:Q219)</f>
        <v>100</v>
      </c>
      <c r="R220" s="77">
        <f t="shared" ref="R220" si="477">+SUM(R209:R219)</f>
        <v>100</v>
      </c>
      <c r="S220" s="77">
        <f t="shared" ref="S220" si="478">+SUM(S209:S219)</f>
        <v>100</v>
      </c>
      <c r="T220" s="77">
        <f t="shared" ref="T220" si="479">+SUM(T209:T219)</f>
        <v>100</v>
      </c>
      <c r="U220" s="77">
        <f t="shared" ref="U220" si="480">+SUM(U209:U219)</f>
        <v>100</v>
      </c>
      <c r="V220" s="77">
        <f t="shared" ref="V220" si="481">+SUM(V209:V219)</f>
        <v>100</v>
      </c>
      <c r="W220" s="77">
        <f t="shared" ref="W220" si="482">+SUM(W209:W219)</f>
        <v>100</v>
      </c>
      <c r="X220" s="77">
        <f t="shared" ref="X220" si="483">+SUM(X209:X219)</f>
        <v>100</v>
      </c>
      <c r="Y220" s="77">
        <f t="shared" ref="Y220" si="484">+SUM(Y209:Y219)</f>
        <v>100</v>
      </c>
      <c r="Z220" s="77">
        <f t="shared" ref="Z220" si="485">+SUM(Z209:Z219)</f>
        <v>100</v>
      </c>
      <c r="AA220" s="77">
        <f t="shared" ref="AA220" si="486">+SUM(AA209:AA219)</f>
        <v>100</v>
      </c>
      <c r="AB220" s="77">
        <f t="shared" ref="AB220" si="487">+SUM(AB209:AB219)</f>
        <v>100</v>
      </c>
      <c r="AC220" s="77">
        <f t="shared" ref="AC220" si="488">+SUM(AC209:AC219)</f>
        <v>100</v>
      </c>
      <c r="AD220" s="77">
        <f t="shared" ref="AD220" si="489">+SUM(AD209:AD219)</f>
        <v>100</v>
      </c>
      <c r="AE220" s="77">
        <f t="shared" ref="AE220" si="490">+SUM(AE209:AE219)</f>
        <v>100</v>
      </c>
      <c r="AF220" s="77">
        <f t="shared" ref="AF220" si="491">+SUM(AF209:AF219)</f>
        <v>100</v>
      </c>
      <c r="AG220" s="77">
        <f t="shared" ref="AG220" si="492">+SUM(AG209:AG219)</f>
        <v>100</v>
      </c>
      <c r="AH220" s="77">
        <f t="shared" ref="AH220" si="493">+SUM(AH209:AH219)</f>
        <v>100</v>
      </c>
      <c r="AI220" s="77">
        <f t="shared" ref="AI220" si="494">+SUM(AI209:AI219)</f>
        <v>100</v>
      </c>
      <c r="AJ220" s="77">
        <f t="shared" ref="AJ220" si="495">+SUM(AJ209:AJ219)</f>
        <v>100</v>
      </c>
    </row>
    <row r="221" spans="1:36" x14ac:dyDescent="0.25">
      <c r="A221" t="s">
        <v>619</v>
      </c>
      <c r="B221" t="s">
        <v>305</v>
      </c>
      <c r="C221" s="25">
        <v>0</v>
      </c>
      <c r="D221" s="25">
        <v>0</v>
      </c>
      <c r="E221" s="25">
        <v>0</v>
      </c>
      <c r="F221" s="25">
        <v>0</v>
      </c>
      <c r="G221" s="25">
        <v>0</v>
      </c>
      <c r="H221" s="25">
        <v>0</v>
      </c>
      <c r="I221" s="25">
        <v>0</v>
      </c>
      <c r="J221" s="25">
        <v>0</v>
      </c>
      <c r="K221" s="25">
        <v>0</v>
      </c>
      <c r="L221" s="25">
        <v>0</v>
      </c>
      <c r="M221" s="25">
        <v>0</v>
      </c>
      <c r="N221" s="25">
        <v>0</v>
      </c>
      <c r="O221" s="25">
        <v>0</v>
      </c>
      <c r="P221" s="25">
        <v>0</v>
      </c>
      <c r="Q221" s="25">
        <v>0</v>
      </c>
      <c r="R221" s="25">
        <v>0</v>
      </c>
      <c r="S221" s="25">
        <v>0</v>
      </c>
      <c r="T221" s="25">
        <v>0</v>
      </c>
      <c r="U221" s="25">
        <v>0</v>
      </c>
      <c r="V221" s="25">
        <v>0</v>
      </c>
      <c r="W221" s="25">
        <v>0</v>
      </c>
      <c r="X221" s="25">
        <v>0</v>
      </c>
      <c r="Y221" s="25">
        <v>0</v>
      </c>
      <c r="Z221" s="25">
        <v>0</v>
      </c>
      <c r="AA221" s="25">
        <v>0</v>
      </c>
      <c r="AB221" s="25">
        <v>0</v>
      </c>
      <c r="AC221" s="25">
        <v>0</v>
      </c>
      <c r="AD221" s="25">
        <v>0</v>
      </c>
      <c r="AE221" s="25">
        <v>0</v>
      </c>
      <c r="AF221" s="25">
        <v>0</v>
      </c>
      <c r="AG221" s="25">
        <v>0</v>
      </c>
      <c r="AH221" s="25">
        <v>0</v>
      </c>
      <c r="AI221" s="25">
        <v>0</v>
      </c>
      <c r="AJ221" s="25">
        <v>0</v>
      </c>
    </row>
    <row r="222" spans="1:36" x14ac:dyDescent="0.25">
      <c r="A222" t="s">
        <v>620</v>
      </c>
      <c r="B222" t="s">
        <v>305</v>
      </c>
      <c r="C222" s="25">
        <v>0</v>
      </c>
      <c r="D222" s="25">
        <v>0</v>
      </c>
      <c r="E222" s="25">
        <v>0</v>
      </c>
      <c r="F222" s="25">
        <v>0</v>
      </c>
      <c r="G222" s="25">
        <v>0</v>
      </c>
      <c r="H222" s="25">
        <v>0</v>
      </c>
      <c r="I222" s="25">
        <v>0</v>
      </c>
      <c r="J222" s="25">
        <v>0</v>
      </c>
      <c r="K222" s="25">
        <v>0</v>
      </c>
      <c r="L222" s="25">
        <v>0</v>
      </c>
      <c r="M222" s="25">
        <v>0</v>
      </c>
      <c r="N222" s="25">
        <v>0</v>
      </c>
      <c r="O222" s="25">
        <v>0</v>
      </c>
      <c r="P222" s="25">
        <v>0</v>
      </c>
      <c r="Q222" s="25">
        <v>0</v>
      </c>
      <c r="R222" s="25">
        <v>0</v>
      </c>
      <c r="S222" s="25">
        <v>0</v>
      </c>
      <c r="T222" s="25">
        <v>0</v>
      </c>
      <c r="U222" s="25">
        <v>0</v>
      </c>
      <c r="V222" s="25">
        <v>0</v>
      </c>
      <c r="W222" s="25">
        <v>0</v>
      </c>
      <c r="X222" s="25">
        <v>0</v>
      </c>
      <c r="Y222" s="25">
        <v>0</v>
      </c>
      <c r="Z222" s="25">
        <v>0</v>
      </c>
      <c r="AA222" s="25">
        <v>0</v>
      </c>
      <c r="AB222" s="25">
        <v>0</v>
      </c>
      <c r="AC222" s="25">
        <v>0</v>
      </c>
      <c r="AD222" s="25">
        <v>0</v>
      </c>
      <c r="AE222" s="25">
        <v>0</v>
      </c>
      <c r="AF222" s="25">
        <v>0</v>
      </c>
      <c r="AG222" s="25">
        <v>0</v>
      </c>
      <c r="AH222" s="25">
        <v>0</v>
      </c>
      <c r="AI222" s="25">
        <v>0</v>
      </c>
      <c r="AJ222" s="25">
        <v>0</v>
      </c>
    </row>
    <row r="223" spans="1:36" x14ac:dyDescent="0.25">
      <c r="A223" t="s">
        <v>621</v>
      </c>
      <c r="B223" t="s">
        <v>305</v>
      </c>
      <c r="C223" s="25">
        <v>80</v>
      </c>
      <c r="D223" s="25">
        <v>80</v>
      </c>
      <c r="E223" s="25">
        <v>80</v>
      </c>
      <c r="F223" s="25">
        <v>80</v>
      </c>
      <c r="G223" s="25">
        <v>80</v>
      </c>
      <c r="H223" s="25">
        <v>80</v>
      </c>
      <c r="I223" s="25">
        <v>80</v>
      </c>
      <c r="J223" s="25">
        <v>80</v>
      </c>
      <c r="K223" s="25">
        <v>80</v>
      </c>
      <c r="L223" s="25">
        <v>80</v>
      </c>
      <c r="M223" s="25">
        <v>80</v>
      </c>
      <c r="N223" s="25">
        <v>80</v>
      </c>
      <c r="O223" s="25">
        <v>80</v>
      </c>
      <c r="P223" s="25">
        <v>80</v>
      </c>
      <c r="Q223" s="25">
        <v>80</v>
      </c>
      <c r="R223" s="25">
        <v>80</v>
      </c>
      <c r="S223" s="25">
        <v>80</v>
      </c>
      <c r="T223" s="25">
        <v>80</v>
      </c>
      <c r="U223" s="25">
        <v>80</v>
      </c>
      <c r="V223" s="25">
        <v>80</v>
      </c>
      <c r="W223" s="25">
        <v>80</v>
      </c>
      <c r="X223" s="25">
        <v>80</v>
      </c>
      <c r="Y223" s="25">
        <v>80</v>
      </c>
      <c r="Z223" s="25">
        <v>80</v>
      </c>
      <c r="AA223" s="25">
        <v>80</v>
      </c>
      <c r="AB223" s="25">
        <v>80</v>
      </c>
      <c r="AC223" s="25">
        <v>80</v>
      </c>
      <c r="AD223" s="25">
        <v>80</v>
      </c>
      <c r="AE223" s="25">
        <v>80</v>
      </c>
      <c r="AF223" s="25">
        <v>80</v>
      </c>
      <c r="AG223" s="25">
        <v>80</v>
      </c>
      <c r="AH223" s="25">
        <v>80</v>
      </c>
      <c r="AI223" s="25">
        <v>80</v>
      </c>
      <c r="AJ223" s="25">
        <v>80</v>
      </c>
    </row>
    <row r="224" spans="1:36" x14ac:dyDescent="0.25">
      <c r="A224" t="s">
        <v>622</v>
      </c>
      <c r="B224" t="s">
        <v>305</v>
      </c>
      <c r="C224" s="25">
        <v>0</v>
      </c>
      <c r="D224" s="25">
        <v>0</v>
      </c>
      <c r="E224" s="25">
        <v>0</v>
      </c>
      <c r="F224" s="25">
        <v>0</v>
      </c>
      <c r="G224" s="25">
        <v>0</v>
      </c>
      <c r="H224" s="25">
        <v>0</v>
      </c>
      <c r="I224" s="25">
        <v>0</v>
      </c>
      <c r="J224" s="25">
        <v>0</v>
      </c>
      <c r="K224" s="25">
        <v>0</v>
      </c>
      <c r="L224" s="25">
        <v>0</v>
      </c>
      <c r="M224" s="25">
        <v>0</v>
      </c>
      <c r="N224" s="25">
        <v>0</v>
      </c>
      <c r="O224" s="25">
        <v>0</v>
      </c>
      <c r="P224" s="25">
        <v>0</v>
      </c>
      <c r="Q224" s="25">
        <v>0</v>
      </c>
      <c r="R224" s="25">
        <v>0</v>
      </c>
      <c r="S224" s="25">
        <v>0</v>
      </c>
      <c r="T224" s="25">
        <v>0</v>
      </c>
      <c r="U224" s="25">
        <v>0</v>
      </c>
      <c r="V224" s="25">
        <v>0</v>
      </c>
      <c r="W224" s="25">
        <v>0</v>
      </c>
      <c r="X224" s="25">
        <v>0</v>
      </c>
      <c r="Y224" s="25">
        <v>0</v>
      </c>
      <c r="Z224" s="25">
        <v>0</v>
      </c>
      <c r="AA224" s="25">
        <v>0</v>
      </c>
      <c r="AB224" s="25">
        <v>0</v>
      </c>
      <c r="AC224" s="25">
        <v>0</v>
      </c>
      <c r="AD224" s="25">
        <v>0</v>
      </c>
      <c r="AE224" s="25">
        <v>0</v>
      </c>
      <c r="AF224" s="25">
        <v>0</v>
      </c>
      <c r="AG224" s="25">
        <v>0</v>
      </c>
      <c r="AH224" s="25">
        <v>0</v>
      </c>
      <c r="AI224" s="25">
        <v>0</v>
      </c>
      <c r="AJ224" s="25">
        <v>0</v>
      </c>
    </row>
    <row r="225" spans="1:36" x14ac:dyDescent="0.25">
      <c r="A225" t="s">
        <v>623</v>
      </c>
      <c r="B225" t="s">
        <v>305</v>
      </c>
      <c r="C225" s="25">
        <v>0</v>
      </c>
      <c r="D225" s="25">
        <v>0</v>
      </c>
      <c r="E225" s="25">
        <v>0</v>
      </c>
      <c r="F225" s="25">
        <v>0</v>
      </c>
      <c r="G225" s="25">
        <v>0</v>
      </c>
      <c r="H225" s="25">
        <v>0</v>
      </c>
      <c r="I225" s="25">
        <v>0</v>
      </c>
      <c r="J225" s="25">
        <v>0</v>
      </c>
      <c r="K225" s="25">
        <v>0</v>
      </c>
      <c r="L225" s="25">
        <v>0</v>
      </c>
      <c r="M225" s="25">
        <v>0</v>
      </c>
      <c r="N225" s="25">
        <v>0</v>
      </c>
      <c r="O225" s="25">
        <v>0</v>
      </c>
      <c r="P225" s="25">
        <v>0</v>
      </c>
      <c r="Q225" s="25">
        <v>0</v>
      </c>
      <c r="R225" s="25">
        <v>0</v>
      </c>
      <c r="S225" s="25">
        <v>0</v>
      </c>
      <c r="T225" s="25">
        <v>0</v>
      </c>
      <c r="U225" s="25">
        <v>0</v>
      </c>
      <c r="V225" s="25">
        <v>0</v>
      </c>
      <c r="W225" s="25">
        <v>0</v>
      </c>
      <c r="X225" s="25">
        <v>0</v>
      </c>
      <c r="Y225" s="25">
        <v>0</v>
      </c>
      <c r="Z225" s="25">
        <v>0</v>
      </c>
      <c r="AA225" s="25">
        <v>0</v>
      </c>
      <c r="AB225" s="25">
        <v>0</v>
      </c>
      <c r="AC225" s="25">
        <v>0</v>
      </c>
      <c r="AD225" s="25">
        <v>0</v>
      </c>
      <c r="AE225" s="25">
        <v>0</v>
      </c>
      <c r="AF225" s="25">
        <v>0</v>
      </c>
      <c r="AG225" s="25">
        <v>0</v>
      </c>
      <c r="AH225" s="25">
        <v>0</v>
      </c>
      <c r="AI225" s="25">
        <v>0</v>
      </c>
      <c r="AJ225" s="25">
        <v>0</v>
      </c>
    </row>
    <row r="226" spans="1:36" x14ac:dyDescent="0.25">
      <c r="A226" t="s">
        <v>624</v>
      </c>
      <c r="B226" t="s">
        <v>305</v>
      </c>
      <c r="C226" s="25">
        <v>5</v>
      </c>
      <c r="D226" s="25">
        <v>5</v>
      </c>
      <c r="E226" s="25">
        <v>5</v>
      </c>
      <c r="F226" s="25">
        <v>5</v>
      </c>
      <c r="G226" s="25">
        <v>5</v>
      </c>
      <c r="H226" s="25">
        <v>5</v>
      </c>
      <c r="I226" s="25">
        <v>5</v>
      </c>
      <c r="J226" s="25">
        <v>5</v>
      </c>
      <c r="K226" s="25">
        <v>5</v>
      </c>
      <c r="L226" s="25">
        <v>5</v>
      </c>
      <c r="M226" s="25">
        <v>5</v>
      </c>
      <c r="N226" s="25">
        <v>5</v>
      </c>
      <c r="O226" s="25">
        <v>5</v>
      </c>
      <c r="P226" s="25">
        <v>5</v>
      </c>
      <c r="Q226" s="25">
        <v>5</v>
      </c>
      <c r="R226" s="25">
        <v>5</v>
      </c>
      <c r="S226" s="25">
        <v>5</v>
      </c>
      <c r="T226" s="25">
        <v>5</v>
      </c>
      <c r="U226" s="25">
        <v>5</v>
      </c>
      <c r="V226" s="25">
        <v>5</v>
      </c>
      <c r="W226" s="25">
        <v>5</v>
      </c>
      <c r="X226" s="25">
        <v>5</v>
      </c>
      <c r="Y226" s="25">
        <v>5</v>
      </c>
      <c r="Z226" s="25">
        <v>5</v>
      </c>
      <c r="AA226" s="25">
        <v>5</v>
      </c>
      <c r="AB226" s="25">
        <v>5</v>
      </c>
      <c r="AC226" s="25">
        <v>5</v>
      </c>
      <c r="AD226" s="25">
        <v>5</v>
      </c>
      <c r="AE226" s="25">
        <v>5</v>
      </c>
      <c r="AF226" s="25">
        <v>5</v>
      </c>
      <c r="AG226" s="25">
        <v>5</v>
      </c>
      <c r="AH226" s="25">
        <v>5</v>
      </c>
      <c r="AI226" s="25">
        <v>5</v>
      </c>
      <c r="AJ226" s="25">
        <v>5</v>
      </c>
    </row>
    <row r="227" spans="1:36" x14ac:dyDescent="0.25">
      <c r="A227" t="s">
        <v>625</v>
      </c>
      <c r="B227" t="s">
        <v>305</v>
      </c>
      <c r="C227" s="25">
        <v>0</v>
      </c>
      <c r="D227" s="25">
        <v>0</v>
      </c>
      <c r="E227" s="25">
        <v>0</v>
      </c>
      <c r="F227" s="25">
        <v>0</v>
      </c>
      <c r="G227" s="25">
        <v>0</v>
      </c>
      <c r="H227" s="25">
        <v>0</v>
      </c>
      <c r="I227" s="25">
        <v>0</v>
      </c>
      <c r="J227" s="25">
        <v>0</v>
      </c>
      <c r="K227" s="25">
        <v>0</v>
      </c>
      <c r="L227" s="25">
        <v>0</v>
      </c>
      <c r="M227" s="25">
        <v>0</v>
      </c>
      <c r="N227" s="25">
        <v>0</v>
      </c>
      <c r="O227" s="25">
        <v>0</v>
      </c>
      <c r="P227" s="25">
        <v>0</v>
      </c>
      <c r="Q227" s="25">
        <v>0</v>
      </c>
      <c r="R227" s="25">
        <v>0</v>
      </c>
      <c r="S227" s="25">
        <v>0</v>
      </c>
      <c r="T227" s="25">
        <v>0</v>
      </c>
      <c r="U227" s="25">
        <v>0</v>
      </c>
      <c r="V227" s="25">
        <v>0</v>
      </c>
      <c r="W227" s="25">
        <v>0</v>
      </c>
      <c r="X227" s="25">
        <v>0</v>
      </c>
      <c r="Y227" s="25">
        <v>0</v>
      </c>
      <c r="Z227" s="25">
        <v>0</v>
      </c>
      <c r="AA227" s="25">
        <v>0</v>
      </c>
      <c r="AB227" s="25">
        <v>0</v>
      </c>
      <c r="AC227" s="25">
        <v>0</v>
      </c>
      <c r="AD227" s="25">
        <v>0</v>
      </c>
      <c r="AE227" s="25">
        <v>0</v>
      </c>
      <c r="AF227" s="25">
        <v>0</v>
      </c>
      <c r="AG227" s="25">
        <v>0</v>
      </c>
      <c r="AH227" s="25">
        <v>0</v>
      </c>
      <c r="AI227" s="25">
        <v>0</v>
      </c>
      <c r="AJ227" s="25">
        <v>0</v>
      </c>
    </row>
    <row r="228" spans="1:36" x14ac:dyDescent="0.25">
      <c r="A228" t="s">
        <v>626</v>
      </c>
      <c r="B228" t="s">
        <v>305</v>
      </c>
      <c r="C228" s="25">
        <v>0</v>
      </c>
      <c r="D228" s="25">
        <v>0</v>
      </c>
      <c r="E228" s="25">
        <v>0</v>
      </c>
      <c r="F228" s="25">
        <v>0</v>
      </c>
      <c r="G228" s="25">
        <v>0</v>
      </c>
      <c r="H228" s="25">
        <v>0</v>
      </c>
      <c r="I228" s="25">
        <v>0</v>
      </c>
      <c r="J228" s="25">
        <v>0</v>
      </c>
      <c r="K228" s="25">
        <v>0</v>
      </c>
      <c r="L228" s="25">
        <v>0</v>
      </c>
      <c r="M228" s="25">
        <v>0</v>
      </c>
      <c r="N228" s="25">
        <v>0</v>
      </c>
      <c r="O228" s="25">
        <v>0</v>
      </c>
      <c r="P228" s="25">
        <v>0</v>
      </c>
      <c r="Q228" s="25">
        <v>0</v>
      </c>
      <c r="R228" s="25">
        <v>0</v>
      </c>
      <c r="S228" s="25">
        <v>0</v>
      </c>
      <c r="T228" s="25">
        <v>0</v>
      </c>
      <c r="U228" s="25">
        <v>0</v>
      </c>
      <c r="V228" s="25">
        <v>0</v>
      </c>
      <c r="W228" s="25">
        <v>0</v>
      </c>
      <c r="X228" s="25">
        <v>0</v>
      </c>
      <c r="Y228" s="25">
        <v>0</v>
      </c>
      <c r="Z228" s="25">
        <v>0</v>
      </c>
      <c r="AA228" s="25">
        <v>0</v>
      </c>
      <c r="AB228" s="25">
        <v>0</v>
      </c>
      <c r="AC228" s="25">
        <v>0</v>
      </c>
      <c r="AD228" s="25">
        <v>0</v>
      </c>
      <c r="AE228" s="25">
        <v>0</v>
      </c>
      <c r="AF228" s="25">
        <v>0</v>
      </c>
      <c r="AG228" s="25">
        <v>0</v>
      </c>
      <c r="AH228" s="25">
        <v>0</v>
      </c>
      <c r="AI228" s="25">
        <v>0</v>
      </c>
      <c r="AJ228" s="25">
        <v>0</v>
      </c>
    </row>
    <row r="229" spans="1:36" x14ac:dyDescent="0.25">
      <c r="A229" t="s">
        <v>627</v>
      </c>
      <c r="B229" t="s">
        <v>305</v>
      </c>
      <c r="C229" s="25">
        <v>15</v>
      </c>
      <c r="D229" s="25">
        <v>15</v>
      </c>
      <c r="E229" s="25">
        <v>15</v>
      </c>
      <c r="F229" s="25">
        <v>15</v>
      </c>
      <c r="G229" s="25">
        <v>15</v>
      </c>
      <c r="H229" s="25">
        <v>15</v>
      </c>
      <c r="I229" s="25">
        <v>15</v>
      </c>
      <c r="J229" s="25">
        <v>15</v>
      </c>
      <c r="K229" s="25">
        <v>15</v>
      </c>
      <c r="L229" s="25">
        <v>15</v>
      </c>
      <c r="M229" s="25">
        <v>15</v>
      </c>
      <c r="N229" s="25">
        <v>15</v>
      </c>
      <c r="O229" s="25">
        <v>15</v>
      </c>
      <c r="P229" s="25">
        <v>15</v>
      </c>
      <c r="Q229" s="25">
        <v>15</v>
      </c>
      <c r="R229" s="25">
        <v>15</v>
      </c>
      <c r="S229" s="25">
        <v>15</v>
      </c>
      <c r="T229" s="25">
        <v>15</v>
      </c>
      <c r="U229" s="25">
        <v>15</v>
      </c>
      <c r="V229" s="25">
        <v>15</v>
      </c>
      <c r="W229" s="25">
        <v>15</v>
      </c>
      <c r="X229" s="25">
        <v>15</v>
      </c>
      <c r="Y229" s="25">
        <v>15</v>
      </c>
      <c r="Z229" s="25">
        <v>15</v>
      </c>
      <c r="AA229" s="25">
        <v>15</v>
      </c>
      <c r="AB229" s="25">
        <v>15</v>
      </c>
      <c r="AC229" s="25">
        <v>15</v>
      </c>
      <c r="AD229" s="25">
        <v>15</v>
      </c>
      <c r="AE229" s="25">
        <v>15</v>
      </c>
      <c r="AF229" s="25">
        <v>15</v>
      </c>
      <c r="AG229" s="25">
        <v>15</v>
      </c>
      <c r="AH229" s="25">
        <v>15</v>
      </c>
      <c r="AI229" s="25">
        <v>15</v>
      </c>
      <c r="AJ229" s="25">
        <v>15</v>
      </c>
    </row>
    <row r="230" spans="1:36" x14ac:dyDescent="0.25">
      <c r="A230" t="s">
        <v>628</v>
      </c>
      <c r="B230" t="s">
        <v>305</v>
      </c>
      <c r="C230" s="25">
        <v>0</v>
      </c>
      <c r="D230" s="25">
        <v>0</v>
      </c>
      <c r="E230" s="25">
        <v>0</v>
      </c>
      <c r="F230" s="25">
        <v>0</v>
      </c>
      <c r="G230" s="25">
        <v>0</v>
      </c>
      <c r="H230" s="25">
        <v>0</v>
      </c>
      <c r="I230" s="25">
        <v>0</v>
      </c>
      <c r="J230" s="25">
        <v>0</v>
      </c>
      <c r="K230" s="25">
        <v>0</v>
      </c>
      <c r="L230" s="25">
        <v>0</v>
      </c>
      <c r="M230" s="25">
        <v>0</v>
      </c>
      <c r="N230" s="25">
        <v>0</v>
      </c>
      <c r="O230" s="25">
        <v>0</v>
      </c>
      <c r="P230" s="25">
        <v>0</v>
      </c>
      <c r="Q230" s="25">
        <v>0</v>
      </c>
      <c r="R230" s="25">
        <v>0</v>
      </c>
      <c r="S230" s="25">
        <v>0</v>
      </c>
      <c r="T230" s="25">
        <v>0</v>
      </c>
      <c r="U230" s="25">
        <v>0</v>
      </c>
      <c r="V230" s="25">
        <v>0</v>
      </c>
      <c r="W230" s="25">
        <v>0</v>
      </c>
      <c r="X230" s="25">
        <v>0</v>
      </c>
      <c r="Y230" s="25">
        <v>0</v>
      </c>
      <c r="Z230" s="25">
        <v>0</v>
      </c>
      <c r="AA230" s="25">
        <v>0</v>
      </c>
      <c r="AB230" s="25">
        <v>0</v>
      </c>
      <c r="AC230" s="25">
        <v>0</v>
      </c>
      <c r="AD230" s="25">
        <v>0</v>
      </c>
      <c r="AE230" s="25">
        <v>0</v>
      </c>
      <c r="AF230" s="25">
        <v>0</v>
      </c>
      <c r="AG230" s="25">
        <v>0</v>
      </c>
      <c r="AH230" s="25">
        <v>0</v>
      </c>
      <c r="AI230" s="25">
        <v>0</v>
      </c>
      <c r="AJ230" s="25">
        <v>0</v>
      </c>
    </row>
    <row r="231" spans="1:36" x14ac:dyDescent="0.25">
      <c r="A231" t="s">
        <v>768</v>
      </c>
      <c r="B231" t="s">
        <v>305</v>
      </c>
      <c r="C231" s="25">
        <v>0</v>
      </c>
      <c r="D231" s="25">
        <v>0</v>
      </c>
      <c r="E231" s="25">
        <v>0</v>
      </c>
      <c r="F231" s="25">
        <v>0</v>
      </c>
      <c r="G231" s="25">
        <v>0</v>
      </c>
      <c r="H231" s="25">
        <v>0</v>
      </c>
      <c r="I231" s="25">
        <v>0</v>
      </c>
      <c r="J231" s="25">
        <v>0</v>
      </c>
      <c r="K231" s="25">
        <v>0</v>
      </c>
      <c r="L231" s="25">
        <v>0</v>
      </c>
      <c r="M231" s="25">
        <v>0</v>
      </c>
      <c r="N231" s="25">
        <v>0</v>
      </c>
      <c r="O231" s="25">
        <v>0</v>
      </c>
      <c r="P231" s="25">
        <v>0</v>
      </c>
      <c r="Q231" s="25">
        <v>0</v>
      </c>
      <c r="R231" s="25">
        <v>0</v>
      </c>
      <c r="S231" s="25">
        <v>0</v>
      </c>
      <c r="T231" s="25">
        <v>0</v>
      </c>
      <c r="U231" s="25">
        <v>0</v>
      </c>
      <c r="V231" s="25">
        <v>0</v>
      </c>
      <c r="W231" s="25">
        <v>0</v>
      </c>
      <c r="X231" s="25">
        <v>0</v>
      </c>
      <c r="Y231" s="25">
        <v>0</v>
      </c>
      <c r="Z231" s="25">
        <v>0</v>
      </c>
      <c r="AA231" s="25">
        <v>0</v>
      </c>
      <c r="AB231" s="25">
        <v>0</v>
      </c>
      <c r="AC231" s="25">
        <v>0</v>
      </c>
      <c r="AD231" s="25">
        <v>0</v>
      </c>
      <c r="AE231" s="25">
        <v>0</v>
      </c>
      <c r="AF231" s="25">
        <v>0</v>
      </c>
      <c r="AG231" s="25">
        <v>0</v>
      </c>
      <c r="AH231" s="25">
        <v>0</v>
      </c>
      <c r="AI231" s="25">
        <v>0</v>
      </c>
      <c r="AJ231" s="25">
        <v>0</v>
      </c>
    </row>
    <row r="232" spans="1:36" s="76" customFormat="1" x14ac:dyDescent="0.25">
      <c r="A232" s="76" t="s">
        <v>780</v>
      </c>
      <c r="C232" s="77">
        <f>+SUM(C221:C231)</f>
        <v>100</v>
      </c>
      <c r="D232" s="77">
        <f t="shared" ref="D232" si="496">+SUM(D221:D231)</f>
        <v>100</v>
      </c>
      <c r="E232" s="77">
        <f t="shared" ref="E232" si="497">+SUM(E221:E231)</f>
        <v>100</v>
      </c>
      <c r="F232" s="77">
        <f t="shared" ref="F232" si="498">+SUM(F221:F231)</f>
        <v>100</v>
      </c>
      <c r="G232" s="77">
        <f t="shared" ref="G232" si="499">+SUM(G221:G231)</f>
        <v>100</v>
      </c>
      <c r="H232" s="77">
        <f t="shared" ref="H232" si="500">+SUM(H221:H231)</f>
        <v>100</v>
      </c>
      <c r="I232" s="77">
        <f t="shared" ref="I232" si="501">+SUM(I221:I231)</f>
        <v>100</v>
      </c>
      <c r="J232" s="77">
        <f t="shared" ref="J232" si="502">+SUM(J221:J231)</f>
        <v>100</v>
      </c>
      <c r="K232" s="77">
        <f t="shared" ref="K232" si="503">+SUM(K221:K231)</f>
        <v>100</v>
      </c>
      <c r="L232" s="77">
        <f t="shared" ref="L232" si="504">+SUM(L221:L231)</f>
        <v>100</v>
      </c>
      <c r="M232" s="77">
        <f t="shared" ref="M232" si="505">+SUM(M221:M231)</f>
        <v>100</v>
      </c>
      <c r="N232" s="77">
        <f t="shared" ref="N232" si="506">+SUM(N221:N231)</f>
        <v>100</v>
      </c>
      <c r="O232" s="77">
        <f t="shared" ref="O232" si="507">+SUM(O221:O231)</f>
        <v>100</v>
      </c>
      <c r="P232" s="77">
        <f t="shared" ref="P232" si="508">+SUM(P221:P231)</f>
        <v>100</v>
      </c>
      <c r="Q232" s="77">
        <f t="shared" ref="Q232" si="509">+SUM(Q221:Q231)</f>
        <v>100</v>
      </c>
      <c r="R232" s="77">
        <f t="shared" ref="R232" si="510">+SUM(R221:R231)</f>
        <v>100</v>
      </c>
      <c r="S232" s="77">
        <f t="shared" ref="S232" si="511">+SUM(S221:S231)</f>
        <v>100</v>
      </c>
      <c r="T232" s="77">
        <f t="shared" ref="T232" si="512">+SUM(T221:T231)</f>
        <v>100</v>
      </c>
      <c r="U232" s="77">
        <f t="shared" ref="U232" si="513">+SUM(U221:U231)</f>
        <v>100</v>
      </c>
      <c r="V232" s="77">
        <f t="shared" ref="V232" si="514">+SUM(V221:V231)</f>
        <v>100</v>
      </c>
      <c r="W232" s="77">
        <f t="shared" ref="W232" si="515">+SUM(W221:W231)</f>
        <v>100</v>
      </c>
      <c r="X232" s="77">
        <f t="shared" ref="X232" si="516">+SUM(X221:X231)</f>
        <v>100</v>
      </c>
      <c r="Y232" s="77">
        <f t="shared" ref="Y232" si="517">+SUM(Y221:Y231)</f>
        <v>100</v>
      </c>
      <c r="Z232" s="77">
        <f t="shared" ref="Z232" si="518">+SUM(Z221:Z231)</f>
        <v>100</v>
      </c>
      <c r="AA232" s="77">
        <f t="shared" ref="AA232" si="519">+SUM(AA221:AA231)</f>
        <v>100</v>
      </c>
      <c r="AB232" s="77">
        <f t="shared" ref="AB232" si="520">+SUM(AB221:AB231)</f>
        <v>100</v>
      </c>
      <c r="AC232" s="77">
        <f t="shared" ref="AC232" si="521">+SUM(AC221:AC231)</f>
        <v>100</v>
      </c>
      <c r="AD232" s="77">
        <f t="shared" ref="AD232" si="522">+SUM(AD221:AD231)</f>
        <v>100</v>
      </c>
      <c r="AE232" s="77">
        <f t="shared" ref="AE232" si="523">+SUM(AE221:AE231)</f>
        <v>100</v>
      </c>
      <c r="AF232" s="77">
        <f t="shared" ref="AF232" si="524">+SUM(AF221:AF231)</f>
        <v>100</v>
      </c>
      <c r="AG232" s="77">
        <f t="shared" ref="AG232" si="525">+SUM(AG221:AG231)</f>
        <v>100</v>
      </c>
      <c r="AH232" s="77">
        <f t="shared" ref="AH232" si="526">+SUM(AH221:AH231)</f>
        <v>100</v>
      </c>
      <c r="AI232" s="77">
        <f t="shared" ref="AI232" si="527">+SUM(AI221:AI231)</f>
        <v>100</v>
      </c>
      <c r="AJ232" s="77">
        <f t="shared" ref="AJ232" si="528">+SUM(AJ221:AJ231)</f>
        <v>100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sheetPr>
  <dimension ref="A1:BT100"/>
  <sheetViews>
    <sheetView topLeftCell="C1" workbookViewId="0">
      <pane xSplit="2" ySplit="4" topLeftCell="H5" activePane="bottomRight" state="frozen"/>
      <selection activeCell="C1" sqref="C1"/>
      <selection pane="topRight" activeCell="E1" sqref="E1"/>
      <selection pane="bottomLeft" activeCell="C5" sqref="C5"/>
      <selection pane="bottomRight" activeCell="AE5" sqref="AE5"/>
    </sheetView>
  </sheetViews>
  <sheetFormatPr defaultRowHeight="15" outlineLevelCol="1" x14ac:dyDescent="0.25"/>
  <cols>
    <col min="1" max="1" width="23.7109375" customWidth="1"/>
    <col min="2" max="2" width="37.140625" customWidth="1"/>
    <col min="3" max="3" width="27.7109375" customWidth="1"/>
    <col min="4" max="4" width="27.5703125" customWidth="1"/>
    <col min="5" max="5" width="48" customWidth="1"/>
    <col min="6" max="6" width="11.5703125" customWidth="1"/>
    <col min="7" max="7" width="13.28515625" customWidth="1"/>
    <col min="8" max="27" width="10.7109375" customWidth="1" outlineLevel="1"/>
    <col min="28" max="68" width="10.7109375" customWidth="1"/>
    <col min="71" max="71" width="14.140625" customWidth="1"/>
    <col min="72" max="72" width="27.7109375" customWidth="1"/>
  </cols>
  <sheetData>
    <row r="1" spans="1:72" ht="18.75" x14ac:dyDescent="0.3">
      <c r="A1" s="1" t="s">
        <v>142</v>
      </c>
      <c r="AI1" s="11"/>
      <c r="AJ1" s="11"/>
    </row>
    <row r="2" spans="1:72" x14ac:dyDescent="0.25">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row>
    <row r="3" spans="1:72" s="19" customFormat="1" ht="29.25" customHeight="1" x14ac:dyDescent="0.25">
      <c r="A3" s="17" t="s">
        <v>4</v>
      </c>
      <c r="B3" s="17" t="s">
        <v>313</v>
      </c>
      <c r="C3" s="17" t="s">
        <v>315</v>
      </c>
      <c r="D3" s="17" t="s">
        <v>149</v>
      </c>
      <c r="E3" s="17" t="s">
        <v>150</v>
      </c>
      <c r="F3" s="17" t="s">
        <v>0</v>
      </c>
      <c r="G3" s="17" t="s">
        <v>283</v>
      </c>
      <c r="H3" s="17">
        <v>1990</v>
      </c>
      <c r="I3" s="17">
        <v>1991</v>
      </c>
      <c r="J3" s="17">
        <v>1992</v>
      </c>
      <c r="K3" s="17">
        <v>1993</v>
      </c>
      <c r="L3" s="17">
        <v>1994</v>
      </c>
      <c r="M3" s="17">
        <v>1995</v>
      </c>
      <c r="N3" s="17">
        <v>1996</v>
      </c>
      <c r="O3" s="17">
        <v>1997</v>
      </c>
      <c r="P3" s="17">
        <v>1998</v>
      </c>
      <c r="Q3" s="17">
        <v>1999</v>
      </c>
      <c r="R3" s="17">
        <v>2000</v>
      </c>
      <c r="S3" s="17">
        <v>2001</v>
      </c>
      <c r="T3" s="17">
        <v>2002</v>
      </c>
      <c r="U3" s="17">
        <v>2003</v>
      </c>
      <c r="V3" s="17">
        <v>2004</v>
      </c>
      <c r="W3" s="17">
        <v>2005</v>
      </c>
      <c r="X3" s="17">
        <v>2006</v>
      </c>
      <c r="Y3" s="17">
        <v>2007</v>
      </c>
      <c r="Z3" s="17">
        <v>2008</v>
      </c>
      <c r="AA3" s="17">
        <v>2009</v>
      </c>
      <c r="AB3" s="17">
        <v>2010</v>
      </c>
      <c r="AC3" s="17">
        <v>2011</v>
      </c>
      <c r="AD3" s="17">
        <v>2012</v>
      </c>
      <c r="AE3" s="17">
        <v>2013</v>
      </c>
      <c r="AF3" s="17">
        <v>2014</v>
      </c>
      <c r="AG3" s="17">
        <v>2015</v>
      </c>
      <c r="AH3" s="17">
        <v>2016</v>
      </c>
      <c r="AI3" s="17">
        <v>2017</v>
      </c>
      <c r="AJ3" s="17">
        <v>2018</v>
      </c>
      <c r="AK3" s="17">
        <v>2019</v>
      </c>
      <c r="AL3" s="17">
        <v>2020</v>
      </c>
      <c r="AM3" s="17">
        <v>2021</v>
      </c>
      <c r="AN3" s="17">
        <v>2022</v>
      </c>
      <c r="AO3" s="17">
        <v>2023</v>
      </c>
      <c r="AP3" s="17">
        <v>2024</v>
      </c>
      <c r="AQ3" s="17">
        <v>2025</v>
      </c>
      <c r="AR3" s="17">
        <v>2026</v>
      </c>
      <c r="AS3" s="17">
        <v>2027</v>
      </c>
      <c r="AT3" s="17">
        <v>2028</v>
      </c>
      <c r="AU3" s="17">
        <v>2029</v>
      </c>
      <c r="AV3" s="17">
        <v>2030</v>
      </c>
      <c r="AW3" s="17">
        <v>2031</v>
      </c>
      <c r="AX3" s="17">
        <v>2032</v>
      </c>
      <c r="AY3" s="17">
        <v>2033</v>
      </c>
      <c r="AZ3" s="17">
        <v>2034</v>
      </c>
      <c r="BA3" s="17">
        <v>2035</v>
      </c>
      <c r="BB3" s="17">
        <v>2036</v>
      </c>
      <c r="BC3" s="17">
        <v>2037</v>
      </c>
      <c r="BD3" s="17">
        <v>2038</v>
      </c>
      <c r="BE3" s="17">
        <v>2039</v>
      </c>
      <c r="BF3" s="17">
        <v>2040</v>
      </c>
      <c r="BG3" s="17">
        <v>2041</v>
      </c>
      <c r="BH3" s="17">
        <v>2042</v>
      </c>
      <c r="BI3" s="17">
        <v>2043</v>
      </c>
      <c r="BJ3" s="17">
        <v>2044</v>
      </c>
      <c r="BK3" s="17">
        <v>2045</v>
      </c>
      <c r="BL3" s="17">
        <v>2046</v>
      </c>
      <c r="BM3" s="17">
        <v>2047</v>
      </c>
      <c r="BN3" s="17">
        <v>2048</v>
      </c>
      <c r="BO3" s="17">
        <v>2049</v>
      </c>
      <c r="BP3" s="17">
        <v>2050</v>
      </c>
      <c r="BS3" s="18" t="s">
        <v>308</v>
      </c>
      <c r="BT3" s="17" t="s">
        <v>282</v>
      </c>
    </row>
    <row r="4" spans="1:72" ht="18.75" customHeight="1" x14ac:dyDescent="0.25">
      <c r="A4" s="20" t="s">
        <v>309</v>
      </c>
      <c r="B4" s="20"/>
      <c r="C4" s="20"/>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87">
        <f t="shared" ref="AT4:AZ4" si="0">AT11-AS11</f>
        <v>35036.376428365707</v>
      </c>
      <c r="AU4" s="87">
        <f t="shared" si="0"/>
        <v>37924.297525081784</v>
      </c>
      <c r="AV4" s="87">
        <f t="shared" si="0"/>
        <v>40947.82042920962</v>
      </c>
      <c r="AW4" s="87">
        <f>AW11-AV11</f>
        <v>26956.7131905891</v>
      </c>
      <c r="AX4" s="87">
        <f t="shared" si="0"/>
        <v>29792.143677718937</v>
      </c>
      <c r="AY4" s="87">
        <f t="shared" si="0"/>
        <v>32359.638541389257</v>
      </c>
      <c r="AZ4" s="87">
        <f t="shared" si="0"/>
        <v>31263.537997607142</v>
      </c>
      <c r="BA4" s="15">
        <f>BA8/'Intermediate calculations'!AV8</f>
        <v>3.5577961097022053</v>
      </c>
      <c r="BB4" s="15">
        <f>BB8/'Intermediate calculations'!AW8</f>
        <v>3.4600498656400522</v>
      </c>
      <c r="BC4" s="15">
        <f>BC8/'Intermediate calculations'!AX8</f>
        <v>3.3643495583681804</v>
      </c>
      <c r="BD4" s="15">
        <f>BD8/'Intermediate calculations'!AY8</f>
        <v>3.2706088762703751</v>
      </c>
      <c r="BE4" s="15">
        <f>BE8/'Intermediate calculations'!AZ8</f>
        <v>3.1787473930999104</v>
      </c>
      <c r="BF4" s="15">
        <f>BF8/'Intermediate calculations'!BA8</f>
        <v>3.0886900306561302</v>
      </c>
      <c r="BG4" s="15">
        <f>BG8/'Intermediate calculations'!BB8</f>
        <v>3.0156745748509843</v>
      </c>
      <c r="BH4" s="15">
        <f>BH8/'Intermediate calculations'!BC8</f>
        <v>2.9440624469798067</v>
      </c>
      <c r="BI4" s="15">
        <f>BI8/'Intermediate calculations'!BD8</f>
        <v>2.8738006873966508</v>
      </c>
      <c r="BJ4" s="15">
        <f>BJ8/'Intermediate calculations'!BE8</f>
        <v>2.804839565891009</v>
      </c>
      <c r="BK4" s="15">
        <f>BK8/'Intermediate calculations'!BF8</f>
        <v>2.7371323175961777</v>
      </c>
      <c r="BL4" s="15">
        <f>BL8/'Intermediate calculations'!BG8</f>
        <v>2.6706349056399117</v>
      </c>
      <c r="BM4" s="15">
        <f>BM8/'Intermediate calculations'!BH8</f>
        <v>2.6053058073346977</v>
      </c>
      <c r="BN4" s="15">
        <f>BN8/'Intermediate calculations'!BI8</f>
        <v>2.5411058211450399</v>
      </c>
      <c r="BO4" s="15">
        <f>BO8/'Intermediate calculations'!BJ8</f>
        <v>2.4779978920414036</v>
      </c>
      <c r="BP4" s="15">
        <f>BP8/'Intermediate calculations'!BK8</f>
        <v>2.4159469531663116</v>
      </c>
      <c r="BS4" s="16"/>
      <c r="BT4" s="15"/>
    </row>
    <row r="5" spans="1:72" s="23" customFormat="1" x14ac:dyDescent="0.25">
      <c r="A5" s="23" t="str">
        <f>'IPCC Categories'!A5</f>
        <v>3A Livestock</v>
      </c>
      <c r="C5" s="23" t="str">
        <f>'IPCC Categories'!$D$5</f>
        <v>3A1ai Dairy cattle</v>
      </c>
      <c r="D5" t="str">
        <f>'IPCC Categories'!$F$39</f>
        <v>TMR</v>
      </c>
      <c r="E5" s="23" t="str">
        <f>'IPCC Categories'!$F$31</f>
        <v>Population</v>
      </c>
      <c r="F5" s="23" t="s">
        <v>138</v>
      </c>
      <c r="H5" s="43">
        <f>Data!C51</f>
        <v>487746.14676082286</v>
      </c>
      <c r="I5" s="43">
        <f>Data!D51</f>
        <v>561522.50537304278</v>
      </c>
      <c r="J5" s="43">
        <f>Data!E51</f>
        <v>485789.62235185754</v>
      </c>
      <c r="K5" s="43">
        <f>Data!F51</f>
        <v>515225.4221676389</v>
      </c>
      <c r="L5" s="43">
        <f>Data!G51</f>
        <v>477963.52471599629</v>
      </c>
      <c r="M5" s="43">
        <f>Data!H51</f>
        <v>511312.37334970833</v>
      </c>
      <c r="N5" s="43">
        <f>Data!I51</f>
        <v>513268.89775867364</v>
      </c>
      <c r="O5" s="43">
        <f>Data!J51</f>
        <v>494824.80810561875</v>
      </c>
      <c r="P5" s="43">
        <f>Data!K51</f>
        <v>488955.23487872281</v>
      </c>
      <c r="Q5" s="43">
        <f>Data!L51</f>
        <v>480293.76727049437</v>
      </c>
      <c r="R5" s="43">
        <f>Data!M51</f>
        <v>618437.58059564023</v>
      </c>
      <c r="S5" s="43">
        <f>Data!N51</f>
        <v>616481.05618667486</v>
      </c>
      <c r="T5" s="43">
        <f>Data!O51</f>
        <v>537582.56063862459</v>
      </c>
      <c r="U5" s="43">
        <f>Data!P51</f>
        <v>488955.23487872281</v>
      </c>
      <c r="V5" s="43">
        <f>Data!Q51</f>
        <v>472093.95148910041</v>
      </c>
      <c r="W5" s="43">
        <f>Data!R51</f>
        <v>505442.80012281239</v>
      </c>
      <c r="X5" s="43">
        <f>Data!S51</f>
        <v>494451.08996008604</v>
      </c>
      <c r="Y5" s="43">
        <f>Data!T51</f>
        <v>490911.75928768812</v>
      </c>
      <c r="Z5" s="43">
        <f>Data!U51</f>
        <v>601202.57906048512</v>
      </c>
      <c r="AA5" s="43">
        <f>Data!V51</f>
        <v>616107.33804114221</v>
      </c>
      <c r="AB5" s="43">
        <f>Data!W51</f>
        <v>616107.33804114221</v>
      </c>
      <c r="AC5" s="43">
        <f>Data!X51</f>
        <v>593750.19957015652</v>
      </c>
      <c r="AD5" s="24">
        <f>'Intermediate calculations'!Y15*'Intermediate calculations'!Y16*Constants!$H$18</f>
        <v>591129.2897046</v>
      </c>
      <c r="AE5" s="24">
        <f>'Intermediate calculations'!Z15*'Intermediate calculations'!Z16*Constants!$H$18</f>
        <v>594806.21359952644</v>
      </c>
      <c r="AF5" s="24">
        <f>'Intermediate calculations'!AA15*'Intermediate calculations'!AA16*Constants!$H$18</f>
        <v>597334.14942871302</v>
      </c>
      <c r="AG5" s="24">
        <f>'Intermediate calculations'!AB15*'Intermediate calculations'!AB16*Constants!$H$18</f>
        <v>598126.94731703098</v>
      </c>
      <c r="AH5" s="24">
        <f>'Intermediate calculations'!AC15*'Intermediate calculations'!AC16*Constants!$H$18</f>
        <v>599199.48455998639</v>
      </c>
      <c r="AI5" s="24">
        <f>'Intermediate calculations'!AD15*'Intermediate calculations'!AD16*Constants!$H$18</f>
        <v>601548.74860188353</v>
      </c>
      <c r="AJ5" s="24">
        <f>'Intermediate calculations'!AE15*'Intermediate calculations'!AE16*Constants!$H$18</f>
        <v>604365.27789585036</v>
      </c>
      <c r="AK5" s="24">
        <f>'Intermediate calculations'!AF15*'Intermediate calculations'!AF16*Constants!$H$18</f>
        <v>605211.39267553936</v>
      </c>
      <c r="AL5" s="24">
        <f>'Intermediate calculations'!AG15*'Intermediate calculations'!AG16*Constants!$H$18</f>
        <v>586631.53886012151</v>
      </c>
      <c r="AM5" s="24">
        <f>'Intermediate calculations'!AH15*'Intermediate calculations'!AH16*Constants!$H$18</f>
        <v>591463.42522817326</v>
      </c>
      <c r="AN5" s="24">
        <f>'Intermediate calculations'!AI15*'Intermediate calculations'!AI16*Constants!$H$18</f>
        <v>595894.12780633103</v>
      </c>
      <c r="AO5" s="24">
        <f>'Intermediate calculations'!AJ15*'Intermediate calculations'!AJ16*Constants!$H$18</f>
        <v>600437.07435332856</v>
      </c>
      <c r="AP5" s="24">
        <f>'Intermediate calculations'!AK15*'Intermediate calculations'!AK16*Constants!$H$18</f>
        <v>605909.67145750136</v>
      </c>
      <c r="AQ5" s="24">
        <f>'Intermediate calculations'!AL15*'Intermediate calculations'!AL16*Constants!$H$18</f>
        <v>611484.95855705661</v>
      </c>
      <c r="AR5" s="24">
        <f>'Intermediate calculations'!AM15*'Intermediate calculations'!AM16*Constants!$H$18</f>
        <v>616913.71824369463</v>
      </c>
      <c r="AS5" s="24">
        <f>'Intermediate calculations'!AN15*'Intermediate calculations'!AN16*Constants!$H$18</f>
        <v>622233.87142890715</v>
      </c>
      <c r="AT5" s="24">
        <f>'Intermediate calculations'!AO15*'Intermediate calculations'!AO16*Constants!$H$18</f>
        <v>627964.25989361806</v>
      </c>
      <c r="AU5" s="24">
        <f>'Intermediate calculations'!AP15*'Intermediate calculations'!AP16*Constants!$H$18</f>
        <v>633390.82512909174</v>
      </c>
      <c r="AV5" s="24">
        <f>'Intermediate calculations'!AQ15*'Intermediate calculations'!AQ16*Constants!$H$18</f>
        <v>639012.03747758723</v>
      </c>
      <c r="AW5" s="24">
        <f>'Intermediate calculations'!AR15*'Intermediate calculations'!AR16*Constants!$H$18</f>
        <v>645470.2975270265</v>
      </c>
      <c r="AX5" s="24">
        <f>'Intermediate calculations'!AS15*'Intermediate calculations'!AS16*Constants!$H$18</f>
        <v>652504.02160877187</v>
      </c>
      <c r="AY5" s="24">
        <f>'Intermediate calculations'!AT15*'Intermediate calculations'!AT16*Constants!$H$18</f>
        <v>659816.93052558065</v>
      </c>
      <c r="AZ5" s="24">
        <f>'Intermediate calculations'!AU15*'Intermediate calculations'!AU16*Constants!$H$18</f>
        <v>660838.4321442548</v>
      </c>
      <c r="BA5" s="24">
        <f>'Intermediate calculations'!AV15*'Intermediate calculations'!AV16*Constants!$H$18</f>
        <v>353806.44911511842</v>
      </c>
      <c r="BB5" s="24">
        <f>'Intermediate calculations'!AW15*'Intermediate calculations'!AW16*Constants!$H$18</f>
        <v>354066.67159868689</v>
      </c>
      <c r="BC5" s="24">
        <f>'Intermediate calculations'!AX15*'Intermediate calculations'!AX16*Constants!$H$18</f>
        <v>354361.07744776766</v>
      </c>
      <c r="BD5" s="24">
        <f>'Intermediate calculations'!AY15*'Intermediate calculations'!AY16*Constants!$H$18</f>
        <v>354688.3673649907</v>
      </c>
      <c r="BE5" s="24">
        <f>'Intermediate calculations'!AZ15*'Intermediate calculations'!AZ16*Constants!$H$18</f>
        <v>355047.34211974725</v>
      </c>
      <c r="BF5" s="24">
        <f>'Intermediate calculations'!BA15*'Intermediate calculations'!BA16*Constants!$H$18</f>
        <v>355436.89306355093</v>
      </c>
      <c r="BG5" s="24">
        <f>'Intermediate calculations'!BB15*'Intermediate calculations'!BB16*Constants!$H$18</f>
        <v>355604.60638391611</v>
      </c>
      <c r="BH5" s="24">
        <f>'Intermediate calculations'!BC15*'Intermediate calculations'!BC16*Constants!$H$18</f>
        <v>355799.24625414406</v>
      </c>
      <c r="BI5" s="24">
        <f>'Intermediate calculations'!BD15*'Intermediate calculations'!BD16*Constants!$H$18</f>
        <v>356019.87221262697</v>
      </c>
      <c r="BJ5" s="24">
        <f>'Intermediate calculations'!BE15*'Intermediate calculations'!BE16*Constants!$H$18</f>
        <v>356265.60797182971</v>
      </c>
      <c r="BK5" s="24">
        <f>'Intermediate calculations'!BF15*'Intermediate calculations'!BF16*Constants!$H$18</f>
        <v>356535.63597260602</v>
      </c>
      <c r="BL5" s="24">
        <f>'Intermediate calculations'!BG15*'Intermediate calculations'!BG16*Constants!$H$18</f>
        <v>356575.09636444686</v>
      </c>
      <c r="BM5" s="24">
        <f>'Intermediate calculations'!BH15*'Intermediate calculations'!BH16*Constants!$H$18</f>
        <v>356636.09243029275</v>
      </c>
      <c r="BN5" s="24">
        <f>'Intermediate calculations'!BI15*'Intermediate calculations'!BI16*Constants!$H$18</f>
        <v>356717.9103664264</v>
      </c>
      <c r="BO5" s="24">
        <f>'Intermediate calculations'!BJ15*'Intermediate calculations'!BJ16*Constants!$H$18</f>
        <v>356819.87985342031</v>
      </c>
      <c r="BP5" s="24">
        <f>'Intermediate calculations'!BK15*'Intermediate calculations'!BK16*Constants!$H$18</f>
        <v>356941.37071572948</v>
      </c>
    </row>
    <row r="6" spans="1:72" s="23" customFormat="1" x14ac:dyDescent="0.25">
      <c r="A6" s="23" t="str">
        <f t="shared" ref="A6:A22" si="1">A5</f>
        <v>3A Livestock</v>
      </c>
      <c r="C6" s="23" t="str">
        <f>$C$5</f>
        <v>3A1ai Dairy cattle</v>
      </c>
      <c r="D6" t="str">
        <f>'IPCC Categories'!$F$40</f>
        <v>Pasture</v>
      </c>
      <c r="E6" s="23" t="str">
        <f>E5</f>
        <v>Population</v>
      </c>
      <c r="F6" s="23" t="str">
        <f>F5</f>
        <v>Head</v>
      </c>
      <c r="H6" s="43">
        <f>Data!C52</f>
        <v>399733.85323917714</v>
      </c>
      <c r="I6" s="43">
        <f>Data!D52</f>
        <v>460197.49462695734</v>
      </c>
      <c r="J6" s="43">
        <f>Data!E52</f>
        <v>398130.37764814246</v>
      </c>
      <c r="K6" s="43">
        <f>Data!F52</f>
        <v>422254.57783236104</v>
      </c>
      <c r="L6" s="43">
        <f>Data!G52</f>
        <v>391716.47528400371</v>
      </c>
      <c r="M6" s="43">
        <f>Data!H52</f>
        <v>419047.62665029167</v>
      </c>
      <c r="N6" s="43">
        <f>Data!I52</f>
        <v>420651.10224132636</v>
      </c>
      <c r="O6" s="43">
        <f>Data!J52</f>
        <v>405535.19189438137</v>
      </c>
      <c r="P6" s="43">
        <f>Data!K52</f>
        <v>400724.76512127731</v>
      </c>
      <c r="Q6" s="43">
        <f>Data!L52</f>
        <v>393626.23272950563</v>
      </c>
      <c r="R6" s="43">
        <f>Data!M52</f>
        <v>506842.41940435988</v>
      </c>
      <c r="S6" s="43">
        <f>Data!N52</f>
        <v>505238.9438133252</v>
      </c>
      <c r="T6" s="43">
        <f>Data!O52</f>
        <v>440577.43936137547</v>
      </c>
      <c r="U6" s="43">
        <f>Data!P52</f>
        <v>400724.76512127731</v>
      </c>
      <c r="V6" s="43">
        <f>Data!Q52</f>
        <v>386906.04851089959</v>
      </c>
      <c r="W6" s="43">
        <f>Data!R52</f>
        <v>414237.19987718761</v>
      </c>
      <c r="X6" s="43">
        <f>Data!S52</f>
        <v>405228.91003991402</v>
      </c>
      <c r="Y6" s="43">
        <f>Data!T52</f>
        <v>402328.24071231199</v>
      </c>
      <c r="Z6" s="43">
        <f>Data!U52</f>
        <v>492717.42093951488</v>
      </c>
      <c r="AA6" s="43">
        <f>Data!V52</f>
        <v>504932.66195885779</v>
      </c>
      <c r="AB6" s="43">
        <f>Data!W52</f>
        <v>504932.66195885779</v>
      </c>
      <c r="AC6" s="43">
        <f>Data!X52</f>
        <v>486609.80042984337</v>
      </c>
      <c r="AD6" s="24">
        <f>'Intermediate calculations'!Y15*'Intermediate calculations'!Y16*Constants!$H$19</f>
        <v>489792.8400409543</v>
      </c>
      <c r="AE6" s="24">
        <f>'Intermediate calculations'!Z15*'Intermediate calculations'!Z16*Constants!$H$19</f>
        <v>492839.43412532192</v>
      </c>
      <c r="AF6" s="24">
        <f>'Intermediate calculations'!AA15*'Intermediate calculations'!AA16*Constants!$H$19</f>
        <v>494934.00952664798</v>
      </c>
      <c r="AG6" s="24">
        <f>'Intermediate calculations'!AB15*'Intermediate calculations'!AB16*Constants!$H$19</f>
        <v>495590.89920553996</v>
      </c>
      <c r="AH6" s="24">
        <f>'Intermediate calculations'!AC15*'Intermediate calculations'!AC16*Constants!$H$19</f>
        <v>496479.57292113162</v>
      </c>
      <c r="AI6" s="24">
        <f>'Intermediate calculations'!AD15*'Intermediate calculations'!AD16*Constants!$H$19</f>
        <v>498426.10598441772</v>
      </c>
      <c r="AJ6" s="24">
        <f>'Intermediate calculations'!AE15*'Intermediate calculations'!AE16*Constants!$H$19</f>
        <v>500759.80168513313</v>
      </c>
      <c r="AK6" s="24">
        <f>'Intermediate calculations'!AF15*'Intermediate calculations'!AF16*Constants!$H$19</f>
        <v>501460.86821687547</v>
      </c>
      <c r="AL6" s="24">
        <f>'Intermediate calculations'!AG15*'Intermediate calculations'!AG16*Constants!$H$19</f>
        <v>486066.13219838642</v>
      </c>
      <c r="AM6" s="24">
        <f>'Intermediate calculations'!AH15*'Intermediate calculations'!AH16*Constants!$H$19</f>
        <v>490069.69518905785</v>
      </c>
      <c r="AN6" s="24">
        <f>'Intermediate calculations'!AI15*'Intermediate calculations'!AI16*Constants!$H$19</f>
        <v>493740.84875381715</v>
      </c>
      <c r="AO6" s="24">
        <f>'Intermediate calculations'!AJ15*'Intermediate calculations'!AJ16*Constants!$H$19</f>
        <v>497505.00446418655</v>
      </c>
      <c r="AP6" s="24">
        <f>'Intermediate calculations'!AK15*'Intermediate calculations'!AK16*Constants!$H$19</f>
        <v>502039.44206478685</v>
      </c>
      <c r="AQ6" s="24">
        <f>'Intermediate calculations'!AL15*'Intermediate calculations'!AL16*Constants!$H$19</f>
        <v>506658.96566156123</v>
      </c>
      <c r="AR6" s="24">
        <f>'Intermediate calculations'!AM15*'Intermediate calculations'!AM16*Constants!$H$19</f>
        <v>511157.08083048981</v>
      </c>
      <c r="AS6" s="24">
        <f>'Intermediate calculations'!AN15*'Intermediate calculations'!AN16*Constants!$H$19</f>
        <v>515565.20775538025</v>
      </c>
      <c r="AT6" s="24">
        <f>'Intermediate calculations'!AO15*'Intermediate calculations'!AO16*Constants!$H$19</f>
        <v>520313.24391185492</v>
      </c>
      <c r="AU6" s="24">
        <f>'Intermediate calculations'!AP15*'Intermediate calculations'!AP16*Constants!$H$19</f>
        <v>524809.5408212475</v>
      </c>
      <c r="AV6" s="24">
        <f>'Intermediate calculations'!AQ15*'Intermediate calculations'!AQ16*Constants!$H$19</f>
        <v>529467.11676714371</v>
      </c>
      <c r="AW6" s="24">
        <f>'Intermediate calculations'!AR15*'Intermediate calculations'!AR16*Constants!$H$19</f>
        <v>534818.24652239343</v>
      </c>
      <c r="AX6" s="24">
        <f>'Intermediate calculations'!AS15*'Intermediate calculations'!AS16*Constants!$H$19</f>
        <v>540646.18933298241</v>
      </c>
      <c r="AY6" s="24">
        <f>'Intermediate calculations'!AT15*'Intermediate calculations'!AT16*Constants!$H$19</f>
        <v>546705.45672119549</v>
      </c>
      <c r="AZ6" s="24">
        <f>'Intermediate calculations'!AU15*'Intermediate calculations'!AU16*Constants!$H$19</f>
        <v>547551.84377666819</v>
      </c>
      <c r="BA6" s="24">
        <f>'Intermediate calculations'!AV15*'Intermediate calculations'!AV16*Constants!$H$19</f>
        <v>293153.91498109809</v>
      </c>
      <c r="BB6" s="24">
        <f>'Intermediate calculations'!AW15*'Intermediate calculations'!AW16*Constants!$H$19</f>
        <v>293369.52789605485</v>
      </c>
      <c r="BC6" s="24">
        <f>'Intermediate calculations'!AX15*'Intermediate calculations'!AX16*Constants!$H$19</f>
        <v>293613.46417100751</v>
      </c>
      <c r="BD6" s="24">
        <f>'Intermediate calculations'!AY15*'Intermediate calculations'!AY16*Constants!$H$19</f>
        <v>293884.647245278</v>
      </c>
      <c r="BE6" s="24">
        <f>'Intermediate calculations'!AZ15*'Intermediate calculations'!AZ16*Constants!$H$19</f>
        <v>294182.08347064769</v>
      </c>
      <c r="BF6" s="24">
        <f>'Intermediate calculations'!BA15*'Intermediate calculations'!BA16*Constants!$H$19</f>
        <v>294504.85425265646</v>
      </c>
      <c r="BG6" s="24">
        <f>'Intermediate calculations'!BB15*'Intermediate calculations'!BB16*Constants!$H$19</f>
        <v>294643.81671810191</v>
      </c>
      <c r="BH6" s="24">
        <f>'Intermediate calculations'!BC15*'Intermediate calculations'!BC16*Constants!$H$19</f>
        <v>294805.08975343365</v>
      </c>
      <c r="BI6" s="24">
        <f>'Intermediate calculations'!BD15*'Intermediate calculations'!BD16*Constants!$H$19</f>
        <v>294987.89411903376</v>
      </c>
      <c r="BJ6" s="24">
        <f>'Intermediate calculations'!BE15*'Intermediate calculations'!BE16*Constants!$H$19</f>
        <v>295191.50374808745</v>
      </c>
      <c r="BK6" s="24">
        <f>'Intermediate calculations'!BF15*'Intermediate calculations'!BF16*Constants!$H$19</f>
        <v>295415.24123444495</v>
      </c>
      <c r="BL6" s="24">
        <f>'Intermediate calculations'!BG15*'Intermediate calculations'!BG16*Constants!$H$19</f>
        <v>295447.93698768452</v>
      </c>
      <c r="BM6" s="24">
        <f>'Intermediate calculations'!BH15*'Intermediate calculations'!BH16*Constants!$H$19</f>
        <v>295498.47658509971</v>
      </c>
      <c r="BN6" s="24">
        <f>'Intermediate calculations'!BI15*'Intermediate calculations'!BI16*Constants!$H$19</f>
        <v>295566.26858932473</v>
      </c>
      <c r="BO6" s="24">
        <f>'Intermediate calculations'!BJ15*'Intermediate calculations'!BJ16*Constants!$H$19</f>
        <v>295650.75759283395</v>
      </c>
      <c r="BP6" s="24">
        <f>'Intermediate calculations'!BK15*'Intermediate calculations'!BK16*Constants!$H$19</f>
        <v>295751.42145017587</v>
      </c>
    </row>
    <row r="7" spans="1:72" s="23" customFormat="1" x14ac:dyDescent="0.25">
      <c r="A7" s="23" t="str">
        <f t="shared" si="1"/>
        <v>3A Livestock</v>
      </c>
      <c r="C7" s="23" t="str">
        <f>'IPCC Categories'!D6</f>
        <v>3A1aii Other cattle</v>
      </c>
      <c r="D7" t="str">
        <f>'IPCC Categories'!F41</f>
        <v>Non-lactating</v>
      </c>
      <c r="E7" s="23" t="str">
        <f>E6</f>
        <v>Population</v>
      </c>
      <c r="F7" s="23" t="str">
        <f>F6</f>
        <v>Head</v>
      </c>
      <c r="H7" s="43">
        <f>Data!C53</f>
        <v>585792.9</v>
      </c>
      <c r="I7" s="43">
        <f>Data!D53</f>
        <v>665847.14000000013</v>
      </c>
      <c r="J7" s="43">
        <f>Data!E53</f>
        <v>575959.50999999989</v>
      </c>
      <c r="K7" s="43">
        <f>Data!F53</f>
        <v>602759.85000000009</v>
      </c>
      <c r="L7" s="43">
        <f>Data!G53</f>
        <v>536625.95000000007</v>
      </c>
      <c r="M7" s="43">
        <f>Data!H53</f>
        <v>583093.06999999995</v>
      </c>
      <c r="N7" s="43">
        <f>Data!I53</f>
        <v>592926.46</v>
      </c>
      <c r="O7" s="43">
        <f>Data!J53</f>
        <v>572912.89999999991</v>
      </c>
      <c r="P7" s="43">
        <f>Data!K53</f>
        <v>543412.73</v>
      </c>
      <c r="Q7" s="43">
        <f>Data!L53</f>
        <v>572566.12</v>
      </c>
      <c r="R7" s="43">
        <f>Data!M53</f>
        <v>709614.43</v>
      </c>
      <c r="S7" s="43">
        <f>Data!N53</f>
        <v>699781.04</v>
      </c>
      <c r="T7" s="43">
        <f>Data!O53</f>
        <v>642440.19000000006</v>
      </c>
      <c r="U7" s="43">
        <f>Data!P53</f>
        <v>543412.73</v>
      </c>
      <c r="V7" s="43">
        <f>Data!Q53</f>
        <v>507125.77999999997</v>
      </c>
      <c r="W7" s="43">
        <f>Data!R53</f>
        <v>553592.9</v>
      </c>
      <c r="X7" s="43">
        <f>Data!S53</f>
        <v>546806.12</v>
      </c>
      <c r="Y7" s="43">
        <f>Data!T53</f>
        <v>553246.12</v>
      </c>
      <c r="Z7" s="43">
        <f>Data!U53</f>
        <v>647220.70000000019</v>
      </c>
      <c r="AA7" s="43">
        <f>Data!V53</f>
        <v>673674.26</v>
      </c>
      <c r="AB7" s="43">
        <f>Data!W53</f>
        <v>673674.26</v>
      </c>
      <c r="AC7" s="43">
        <f>Data!X53</f>
        <v>633993.92000000016</v>
      </c>
      <c r="AD7" s="24">
        <f>'Intermediate calculations'!Y15*'Intermediate calculations'!Y16*(1-Constants!$H$18-Constants!$H$19)</f>
        <v>608018.69798187434</v>
      </c>
      <c r="AE7" s="24">
        <f>'Intermediate calculations'!Z15*'Intermediate calculations'!Z16*(1-Constants!$H$18-Constants!$H$19)</f>
        <v>611800.67684522725</v>
      </c>
      <c r="AF7" s="24">
        <f>'Intermediate calculations'!AA15*'Intermediate calculations'!AA16*(1-Constants!$H$18-Constants!$H$19)</f>
        <v>614400.83941239072</v>
      </c>
      <c r="AG7" s="24">
        <f>'Intermediate calculations'!AB15*'Intermediate calculations'!AB16*(1-Constants!$H$18-Constants!$H$19)</f>
        <v>615216.28866894625</v>
      </c>
      <c r="AH7" s="24">
        <f>'Intermediate calculations'!AC15*'Intermediate calculations'!AC16*(1-Constants!$H$18-Constants!$H$19)</f>
        <v>616319.46983312909</v>
      </c>
      <c r="AI7" s="24">
        <f>'Intermediate calculations'!AD15*'Intermediate calculations'!AD16*(1-Constants!$H$18-Constants!$H$19)</f>
        <v>618735.85570479452</v>
      </c>
      <c r="AJ7" s="24">
        <f>'Intermediate calculations'!AE15*'Intermediate calculations'!AE16*(1-Constants!$H$18-Constants!$H$19)</f>
        <v>621632.85726430325</v>
      </c>
      <c r="AK7" s="24">
        <f>'Intermediate calculations'!AF15*'Intermediate calculations'!AF16*(1-Constants!$H$18-Constants!$H$19)</f>
        <v>622503.14675198344</v>
      </c>
      <c r="AL7" s="24">
        <f>'Intermediate calculations'!AG15*'Intermediate calculations'!AG16*(1-Constants!$H$18-Constants!$H$19)</f>
        <v>603392.43997041078</v>
      </c>
      <c r="AM7" s="24">
        <f>'Intermediate calculations'!AH15*'Intermediate calculations'!AH16*(1-Constants!$H$18-Constants!$H$19)</f>
        <v>608362.38023469259</v>
      </c>
      <c r="AN7" s="24">
        <f>'Intermediate calculations'!AI15*'Intermediate calculations'!AI16*(1-Constants!$H$18-Constants!$H$19)</f>
        <v>612919.67431508354</v>
      </c>
      <c r="AO7" s="24">
        <f>'Intermediate calculations'!AJ15*'Intermediate calculations'!AJ16*(1-Constants!$H$18-Constants!$H$19)</f>
        <v>617592.41933485237</v>
      </c>
      <c r="AP7" s="24">
        <f>'Intermediate calculations'!AK15*'Intermediate calculations'!AK16*(1-Constants!$H$18-Constants!$H$19)</f>
        <v>623221.37635628728</v>
      </c>
      <c r="AQ7" s="24">
        <f>'Intermediate calculations'!AL15*'Intermediate calculations'!AL16*(1-Constants!$H$18-Constants!$H$19)</f>
        <v>628955.95737297274</v>
      </c>
      <c r="AR7" s="24">
        <f>'Intermediate calculations'!AM15*'Intermediate calculations'!AM16*(1-Constants!$H$18-Constants!$H$19)</f>
        <v>634539.82447922882</v>
      </c>
      <c r="AS7" s="24">
        <f>'Intermediate calculations'!AN15*'Intermediate calculations'!AN16*(1-Constants!$H$18-Constants!$H$19)</f>
        <v>640011.98204116174</v>
      </c>
      <c r="AT7" s="24">
        <f>'Intermediate calculations'!AO15*'Intermediate calculations'!AO16*(1-Constants!$H$18-Constants!$H$19)</f>
        <v>645906.09589057858</v>
      </c>
      <c r="AU7" s="24">
        <f>'Intermediate calculations'!AP15*'Intermediate calculations'!AP16*(1-Constants!$H$18-Constants!$H$19)</f>
        <v>651487.7058470659</v>
      </c>
      <c r="AV7" s="24">
        <f>'Intermediate calculations'!AQ15*'Intermediate calculations'!AQ16*(1-Constants!$H$18-Constants!$H$19)</f>
        <v>657269.52426266123</v>
      </c>
      <c r="AW7" s="24">
        <f>'Intermediate calculations'!AR15*'Intermediate calculations'!AR16*(1-Constants!$H$18-Constants!$H$19)</f>
        <v>663912.30602779891</v>
      </c>
      <c r="AX7" s="24">
        <f>'Intermediate calculations'!AS15*'Intermediate calculations'!AS16*(1-Constants!$H$18-Constants!$H$19)</f>
        <v>671146.9936547369</v>
      </c>
      <c r="AY7" s="24">
        <f>'Intermediate calculations'!AT15*'Intermediate calculations'!AT16*(1-Constants!$H$18-Constants!$H$19)</f>
        <v>678668.84282631171</v>
      </c>
      <c r="AZ7" s="24">
        <f>'Intermediate calculations'!AU15*'Intermediate calculations'!AU16*(1-Constants!$H$18-Constants!$H$19)</f>
        <v>679719.53020551929</v>
      </c>
      <c r="BA7" s="24">
        <f>'Intermediate calculations'!AV15*'Intermediate calculations'!AV16*(1-Constants!$H$18-Constants!$H$19)</f>
        <v>363915.20480412187</v>
      </c>
      <c r="BB7" s="24">
        <f>'Intermediate calculations'!AW15*'Intermediate calculations'!AW16*(1-Constants!$H$18-Constants!$H$19)</f>
        <v>364182.86221579229</v>
      </c>
      <c r="BC7" s="24">
        <f>'Intermediate calculations'!AX15*'Intermediate calculations'!AX16*(1-Constants!$H$18-Constants!$H$19)</f>
        <v>364485.67966056109</v>
      </c>
      <c r="BD7" s="24">
        <f>'Intermediate calculations'!AY15*'Intermediate calculations'!AY16*(1-Constants!$H$18-Constants!$H$19)</f>
        <v>364822.3207182762</v>
      </c>
      <c r="BE7" s="24">
        <f>'Intermediate calculations'!AZ15*'Intermediate calculations'!AZ16*(1-Constants!$H$18-Constants!$H$19)</f>
        <v>365191.55189459719</v>
      </c>
      <c r="BF7" s="24">
        <f>'Intermediate calculations'!BA15*'Intermediate calculations'!BA16*(1-Constants!$H$18-Constants!$H$19)</f>
        <v>365592.23286536674</v>
      </c>
      <c r="BG7" s="24">
        <f>'Intermediate calculations'!BB15*'Intermediate calculations'!BB16*(1-Constants!$H$18-Constants!$H$19)</f>
        <v>365764.73799488519</v>
      </c>
      <c r="BH7" s="24">
        <f>'Intermediate calculations'!BC15*'Intermediate calculations'!BC16*(1-Constants!$H$18-Constants!$H$19)</f>
        <v>365964.93900426256</v>
      </c>
      <c r="BI7" s="24">
        <f>'Intermediate calculations'!BD15*'Intermediate calculations'!BD16*(1-Constants!$H$18-Constants!$H$19)</f>
        <v>366191.86856155924</v>
      </c>
      <c r="BJ7" s="24">
        <f>'Intermediate calculations'!BE15*'Intermediate calculations'!BE16*(1-Constants!$H$18-Constants!$H$19)</f>
        <v>366444.62534245348</v>
      </c>
      <c r="BK7" s="24">
        <f>'Intermediate calculations'!BF15*'Intermediate calculations'!BF16*(1-Constants!$H$18-Constants!$H$19)</f>
        <v>366722.36842896621</v>
      </c>
      <c r="BL7" s="24">
        <f>'Intermediate calculations'!BG15*'Intermediate calculations'!BG16*(1-Constants!$H$18-Constants!$H$19)</f>
        <v>366762.95626057393</v>
      </c>
      <c r="BM7" s="24">
        <f>'Intermediate calculations'!BH15*'Intermediate calculations'!BH16*(1-Constants!$H$18-Constants!$H$19)</f>
        <v>366825.69507115829</v>
      </c>
      <c r="BN7" s="24">
        <f>'Intermediate calculations'!BI15*'Intermediate calculations'!BI16*(1-Constants!$H$18-Constants!$H$19)</f>
        <v>366909.85066261009</v>
      </c>
      <c r="BO7" s="24">
        <f>'Intermediate calculations'!BJ15*'Intermediate calculations'!BJ16*(1-Constants!$H$18-Constants!$H$19)</f>
        <v>367014.73356351809</v>
      </c>
      <c r="BP7" s="24">
        <f>'Intermediate calculations'!BK15*'Intermediate calculations'!BK16*(1-Constants!$H$18-Constants!$H$19)</f>
        <v>367139.69559332181</v>
      </c>
    </row>
    <row r="8" spans="1:72" s="23" customFormat="1" x14ac:dyDescent="0.25">
      <c r="A8" s="23" t="str">
        <f t="shared" si="1"/>
        <v>3A Livestock</v>
      </c>
      <c r="C8" s="23" t="str">
        <f>C7</f>
        <v>3A1aii Other cattle</v>
      </c>
      <c r="D8" t="str">
        <f>'IPCC Categories'!$F$36</f>
        <v>Commercial</v>
      </c>
      <c r="E8" s="23" t="str">
        <f>E6</f>
        <v>Population</v>
      </c>
      <c r="F8" s="23" t="str">
        <f>F6</f>
        <v>Head</v>
      </c>
      <c r="H8" s="43">
        <f>Data!C54</f>
        <v>6817100</v>
      </c>
      <c r="I8" s="43">
        <f>Data!D54</f>
        <v>6522860</v>
      </c>
      <c r="J8" s="43">
        <f>Data!E54</f>
        <v>6520490</v>
      </c>
      <c r="K8" s="43">
        <f>Data!F54</f>
        <v>6100150</v>
      </c>
      <c r="L8" s="43">
        <f>Data!G54</f>
        <v>6284050</v>
      </c>
      <c r="M8" s="43">
        <f>Data!H54</f>
        <v>6426930</v>
      </c>
      <c r="N8" s="43">
        <f>Data!I54</f>
        <v>6693540</v>
      </c>
      <c r="O8" s="43">
        <f>Data!J54</f>
        <v>6947100</v>
      </c>
      <c r="P8" s="43">
        <f>Data!K54</f>
        <v>7007270</v>
      </c>
      <c r="Q8" s="43">
        <f>Data!L54</f>
        <v>6893880</v>
      </c>
      <c r="R8" s="43">
        <f>Data!M54</f>
        <v>6425570</v>
      </c>
      <c r="S8" s="43">
        <f>Data!N54</f>
        <v>6458960</v>
      </c>
      <c r="T8" s="43">
        <f>Data!O54</f>
        <v>6019810</v>
      </c>
      <c r="U8" s="43">
        <f>Data!P54</f>
        <v>6177270</v>
      </c>
      <c r="V8" s="43">
        <f>Data!Q54</f>
        <v>6234220</v>
      </c>
      <c r="W8" s="43">
        <f>Data!R54</f>
        <v>6287100</v>
      </c>
      <c r="X8" s="43">
        <f>Data!S54</f>
        <v>6143880</v>
      </c>
      <c r="Y8" s="43">
        <f>Data!T54</f>
        <v>6323880</v>
      </c>
      <c r="Z8" s="43">
        <f>Data!U54</f>
        <v>6148152.25</v>
      </c>
      <c r="AA8" s="43">
        <f>Data!V54</f>
        <v>6044920.583333333</v>
      </c>
      <c r="AB8" s="43">
        <f>Data!W54</f>
        <v>6025917.666666667</v>
      </c>
      <c r="AC8" s="43">
        <f>Data!X54</f>
        <v>6004279.833333333</v>
      </c>
      <c r="AD8" s="24">
        <f>'Intermediate calculations'!Y10*'Intermediate calculations'!Y11*Constants!$H$20</f>
        <v>6007349.5592559706</v>
      </c>
      <c r="AE8" s="24">
        <f>'Intermediate calculations'!Z10*'Intermediate calculations'!Z11*Constants!$H$20</f>
        <v>5967530.2158234045</v>
      </c>
      <c r="AF8" s="24">
        <f>'Intermediate calculations'!AA10*'Intermediate calculations'!AA11*Constants!$H$20</f>
        <v>5883573.7985937558</v>
      </c>
      <c r="AG8" s="24">
        <f>'Intermediate calculations'!AB10*'Intermediate calculations'!AB11*Constants!$H$20</f>
        <v>5742053.6226589652</v>
      </c>
      <c r="AH8" s="24">
        <f>'Intermediate calculations'!AC10*'Intermediate calculations'!AC11*Constants!$H$20</f>
        <v>5604747.315330226</v>
      </c>
      <c r="AI8" s="24">
        <f>'Intermediate calculations'!AD10*'Intermediate calculations'!AD11*Constants!$H$20</f>
        <v>5499139.4932850013</v>
      </c>
      <c r="AJ8" s="24">
        <f>'Intermediate calculations'!AE10*'Intermediate calculations'!AE11*Constants!$H$20</f>
        <v>5403616.40519528</v>
      </c>
      <c r="AK8" s="24">
        <f>'Intermediate calculations'!AF10*'Intermediate calculations'!AF11*Constants!$H$20</f>
        <v>5253429.56876144</v>
      </c>
      <c r="AL8" s="24">
        <f>'Intermediate calculations'!AG10*'Intermediate calculations'!AG11*Constants!$H$20</f>
        <v>4607576.1616366571</v>
      </c>
      <c r="AM8" s="24">
        <f>'Intermediate calculations'!AH10*'Intermediate calculations'!AH11*Constants!$H$20</f>
        <v>4651493.7500498481</v>
      </c>
      <c r="AN8" s="24">
        <f>'Intermediate calculations'!AI10*'Intermediate calculations'!AI11*Constants!$H$20</f>
        <v>4681211.5868432671</v>
      </c>
      <c r="AO8" s="24">
        <f>'Intermediate calculations'!AJ10*'Intermediate calculations'!AJ11*Constants!$H$20</f>
        <v>4709962.8300589193</v>
      </c>
      <c r="AP8" s="24">
        <f>'Intermediate calculations'!AK10*'Intermediate calculations'!AK11*Constants!$H$20</f>
        <v>4757510.4709326616</v>
      </c>
      <c r="AQ8" s="24">
        <f>'Intermediate calculations'!AL10*'Intermediate calculations'!AL11*Constants!$H$20</f>
        <v>4803491.0582758049</v>
      </c>
      <c r="AR8" s="24">
        <f>'Intermediate calculations'!AM10*'Intermediate calculations'!AM11*Constants!$H$20</f>
        <v>4851763.7731029456</v>
      </c>
      <c r="AS8" s="24">
        <f>'Intermediate calculations'!AN10*'Intermediate calculations'!AN11*Constants!$H$20</f>
        <v>4893789.4407646945</v>
      </c>
      <c r="AT8" s="24">
        <f>'Intermediate calculations'!AO10*'Intermediate calculations'!AO11*Constants!$H$20</f>
        <v>4941620.3493552273</v>
      </c>
      <c r="AU8" s="24">
        <f>'Intermediate calculations'!AP10*'Intermediate calculations'!AP11*Constants!$H$20</f>
        <v>4979049.6559271999</v>
      </c>
      <c r="AV8" s="24">
        <f>'Intermediate calculations'!AQ10*'Intermediate calculations'!AQ11*Constants!$H$20</f>
        <v>5017505.9598009065</v>
      </c>
      <c r="AW8" s="24">
        <f>'Intermediate calculations'!AR10*'Intermediate calculations'!AR11*Constants!$H$20</f>
        <v>5035417.4995619692</v>
      </c>
      <c r="AX8" s="24">
        <f>'Intermediate calculations'!AS10*'Intermediate calculations'!AS11*Constants!$H$20</f>
        <v>5059977.8545983164</v>
      </c>
      <c r="AY8" s="24">
        <f>'Intermediate calculations'!AT10*'Intermediate calculations'!AT11*Constants!$H$20</f>
        <v>5084443.4222556762</v>
      </c>
      <c r="AZ8" s="24">
        <f>'Intermediate calculations'!AU10*'Intermediate calculations'!AU11*Constants!$H$20</f>
        <v>4976612.5856212554</v>
      </c>
      <c r="BA8" s="24">
        <f>'Intermediate calculations'!AV10*'Intermediate calculations'!AV11*Constants!$H$20</f>
        <v>-1173914.0740506803</v>
      </c>
      <c r="BB8" s="24">
        <f>'Intermediate calculations'!AW10*'Intermediate calculations'!AW11*Constants!$H$20</f>
        <v>-1146683.3503885153</v>
      </c>
      <c r="BC8" s="24">
        <f>'Intermediate calculations'!AX10*'Intermediate calculations'!AX11*Constants!$H$20</f>
        <v>-1119885.6806885502</v>
      </c>
      <c r="BD8" s="24">
        <f>'Intermediate calculations'!AY10*'Intermediate calculations'!AY11*Constants!$H$20</f>
        <v>-1093498.383903027</v>
      </c>
      <c r="BE8" s="24">
        <f>'Intermediate calculations'!AZ10*'Intermediate calculations'!AZ11*Constants!$H$20</f>
        <v>-1067500.3470607128</v>
      </c>
      <c r="BF8" s="24">
        <f>'Intermediate calculations'!BA10*'Intermediate calculations'!BA11*Constants!$H$20</f>
        <v>-1041871.879962365</v>
      </c>
      <c r="BG8" s="24">
        <f>'Intermediate calculations'!BB10*'Intermediate calculations'!BB11*Constants!$H$20</f>
        <v>-1021092.990564567</v>
      </c>
      <c r="BH8" s="24">
        <f>'Intermediate calculations'!BC10*'Intermediate calculations'!BC11*Constants!$H$20</f>
        <v>-1000627.9411941927</v>
      </c>
      <c r="BI8" s="24">
        <f>'Intermediate calculations'!BD10*'Intermediate calculations'!BD11*Constants!$H$20</f>
        <v>-980462.51017704059</v>
      </c>
      <c r="BJ8" s="24">
        <f>'Intermediate calculations'!BE10*'Intermediate calculations'!BE11*Constants!$H$20</f>
        <v>-960583.36035360862</v>
      </c>
      <c r="BK8" s="24">
        <f>'Intermediate calculations'!BF10*'Intermediate calculations'!BF11*Constants!$H$20</f>
        <v>-940977.96573821572</v>
      </c>
      <c r="BL8" s="24">
        <f>'Intermediate calculations'!BG10*'Intermediate calculations'!BG11*Constants!$H$20</f>
        <v>-921008.17221943941</v>
      </c>
      <c r="BM8" s="24">
        <f>'Intermediate calculations'!BH10*'Intermediate calculations'!BH11*Constants!$H$20</f>
        <v>-901312.98882898863</v>
      </c>
      <c r="BN8" s="24">
        <f>'Intermediate calculations'!BI10*'Intermediate calculations'!BI11*Constants!$H$20</f>
        <v>-881881.61283114972</v>
      </c>
      <c r="BO8" s="24">
        <f>'Intermediate calculations'!BJ10*'Intermediate calculations'!BJ11*Constants!$H$20</f>
        <v>-862703.84842223709</v>
      </c>
      <c r="BP8" s="24">
        <f>'Intermediate calculations'!BK10*'Intermediate calculations'!BK11*Constants!$H$20</f>
        <v>-843770.06137627654</v>
      </c>
    </row>
    <row r="9" spans="1:72" s="23" customFormat="1" x14ac:dyDescent="0.25">
      <c r="A9" s="23" t="str">
        <f t="shared" si="1"/>
        <v>3A Livestock</v>
      </c>
      <c r="C9" s="23" t="str">
        <f>$C$8</f>
        <v>3A1aii Other cattle</v>
      </c>
      <c r="D9" t="str">
        <f>'IPCC Categories'!$F$37</f>
        <v>Subsistence</v>
      </c>
      <c r="E9" s="23" t="str">
        <f t="shared" ref="E9:E22" si="2">E8</f>
        <v>Population</v>
      </c>
      <c r="F9" s="23" t="str">
        <f t="shared" ref="F9:F22" si="3">F8</f>
        <v>Head</v>
      </c>
      <c r="H9" s="43">
        <f>Data!C55</f>
        <v>4590000</v>
      </c>
      <c r="I9" s="43">
        <f>Data!D55</f>
        <v>4870000</v>
      </c>
      <c r="J9" s="43">
        <f>Data!E55</f>
        <v>5100000</v>
      </c>
      <c r="K9" s="43">
        <f>Data!F55</f>
        <v>5040000</v>
      </c>
      <c r="L9" s="43">
        <f>Data!G55</f>
        <v>4390000</v>
      </c>
      <c r="M9" s="43">
        <f>Data!H55</f>
        <v>4240000</v>
      </c>
      <c r="N9" s="43">
        <f>Data!I55</f>
        <v>4360000</v>
      </c>
      <c r="O9" s="43">
        <f>Data!J55</f>
        <v>4560000</v>
      </c>
      <c r="P9" s="43">
        <f>Data!K55</f>
        <v>4840000</v>
      </c>
      <c r="Q9" s="43">
        <f>Data!L55</f>
        <v>5040000</v>
      </c>
      <c r="R9" s="43">
        <f>Data!M55</f>
        <v>4920000</v>
      </c>
      <c r="S9" s="43">
        <f>Data!N55</f>
        <v>4800000</v>
      </c>
      <c r="T9" s="43">
        <f>Data!O55</f>
        <v>5440000</v>
      </c>
      <c r="U9" s="43">
        <f>Data!P55</f>
        <v>5570000</v>
      </c>
      <c r="V9" s="43">
        <f>Data!Q55</f>
        <v>5480000</v>
      </c>
      <c r="W9" s="43">
        <f>Data!R55</f>
        <v>5320000</v>
      </c>
      <c r="X9" s="43">
        <f>Data!S55</f>
        <v>5490000</v>
      </c>
      <c r="Y9" s="43">
        <f>Data!T55</f>
        <v>5710000</v>
      </c>
      <c r="Z9" s="43">
        <f>Data!U55</f>
        <v>5620000</v>
      </c>
      <c r="AA9" s="43">
        <f>Data!V55</f>
        <v>5560000</v>
      </c>
      <c r="AB9" s="43">
        <f>Data!W55</f>
        <v>5480000</v>
      </c>
      <c r="AC9" s="43">
        <f>Data!X55</f>
        <v>5520000</v>
      </c>
      <c r="AD9" s="24">
        <f>'Intermediate calculations'!Y10*'Intermediate calculations'!Y11*(1-Constants!$H$20)</f>
        <v>5327272.250660954</v>
      </c>
      <c r="AE9" s="24">
        <f>'Intermediate calculations'!Z10*'Intermediate calculations'!Z11*(1-Constants!$H$20)</f>
        <v>5291960.7574283015</v>
      </c>
      <c r="AF9" s="24">
        <f>'Intermediate calculations'!AA10*'Intermediate calculations'!AA11*(1-Constants!$H$20)</f>
        <v>5217508.8402623869</v>
      </c>
      <c r="AG9" s="24">
        <f>'Intermediate calculations'!AB10*'Intermediate calculations'!AB11*(1-Constants!$H$20)</f>
        <v>5092009.8163202135</v>
      </c>
      <c r="AH9" s="24">
        <f>'Intermediate calculations'!AC10*'Intermediate calculations'!AC11*(1-Constants!$H$20)</f>
        <v>4970247.619255105</v>
      </c>
      <c r="AI9" s="24">
        <f>'Intermediate calculations'!AD10*'Intermediate calculations'!AD11*(1-Constants!$H$20)</f>
        <v>4876595.3997055674</v>
      </c>
      <c r="AJ9" s="24">
        <f>'Intermediate calculations'!AE10*'Intermediate calculations'!AE11*(1-Constants!$H$20)</f>
        <v>4791886.2461165683</v>
      </c>
      <c r="AK9" s="24">
        <f>'Intermediate calculations'!AF10*'Intermediate calculations'!AF11*(1-Constants!$H$20)</f>
        <v>4658701.6930525973</v>
      </c>
      <c r="AL9" s="24">
        <f>'Intermediate calculations'!AG10*'Intermediate calculations'!AG11*(1-Constants!$H$20)</f>
        <v>4085963.7659796765</v>
      </c>
      <c r="AM9" s="24">
        <f>'Intermediate calculations'!AH10*'Intermediate calculations'!AH11*(1-Constants!$H$20)</f>
        <v>4124909.5519309971</v>
      </c>
      <c r="AN9" s="24">
        <f>'Intermediate calculations'!AI10*'Intermediate calculations'!AI11*(1-Constants!$H$20)</f>
        <v>4151263.1053138399</v>
      </c>
      <c r="AO9" s="24">
        <f>'Intermediate calculations'!AJ10*'Intermediate calculations'!AJ11*(1-Constants!$H$20)</f>
        <v>4176759.4908069656</v>
      </c>
      <c r="AP9" s="24">
        <f>'Intermediate calculations'!AK10*'Intermediate calculations'!AK11*(1-Constants!$H$20)</f>
        <v>4218924.3798836814</v>
      </c>
      <c r="AQ9" s="24">
        <f>'Intermediate calculations'!AL10*'Intermediate calculations'!AL11*(1-Constants!$H$20)</f>
        <v>4259699.6177162798</v>
      </c>
      <c r="AR9" s="24">
        <f>'Intermediate calculations'!AM10*'Intermediate calculations'!AM11*(1-Constants!$H$20)</f>
        <v>4302507.496902612</v>
      </c>
      <c r="AS9" s="24">
        <f>'Intermediate calculations'!AN10*'Intermediate calculations'!AN11*(1-Constants!$H$20)</f>
        <v>4339775.5418102005</v>
      </c>
      <c r="AT9" s="24">
        <f>'Intermediate calculations'!AO10*'Intermediate calculations'!AO11*(1-Constants!$H$20)</f>
        <v>4382191.6305602947</v>
      </c>
      <c r="AU9" s="24">
        <f>'Intermediate calculations'!AP10*'Intermediate calculations'!AP11*(1-Constants!$H$20)</f>
        <v>4415383.6571429875</v>
      </c>
      <c r="AV9" s="24">
        <f>'Intermediate calculations'!AQ10*'Intermediate calculations'!AQ11*(1-Constants!$H$20)</f>
        <v>4449486.4171819352</v>
      </c>
      <c r="AW9" s="24">
        <f>'Intermediate calculations'!AR10*'Intermediate calculations'!AR11*(1-Constants!$H$20)</f>
        <v>4465370.2354606129</v>
      </c>
      <c r="AX9" s="24">
        <f>'Intermediate calculations'!AS10*'Intermediate calculations'!AS11*(1-Constants!$H$20)</f>
        <v>4487150.1729456754</v>
      </c>
      <c r="AY9" s="24">
        <f>'Intermediate calculations'!AT10*'Intermediate calculations'!AT11*(1-Constants!$H$20)</f>
        <v>4508846.0536984298</v>
      </c>
      <c r="AZ9" s="24">
        <f>'Intermediate calculations'!AU10*'Intermediate calculations'!AU11*(1-Constants!$H$20)</f>
        <v>4413222.4815886607</v>
      </c>
      <c r="BA9" s="24">
        <f>'Intermediate calculations'!AV10*'Intermediate calculations'!AV11*(1-Constants!$H$20)</f>
        <v>-1041018.1411392824</v>
      </c>
      <c r="BB9" s="24">
        <f>'Intermediate calculations'!AW10*'Intermediate calculations'!AW11*(1-Constants!$H$20)</f>
        <v>-1016870.14091057</v>
      </c>
      <c r="BC9" s="24">
        <f>'Intermediate calculations'!AX10*'Intermediate calculations'!AX11*(1-Constants!$H$20)</f>
        <v>-993106.16966720484</v>
      </c>
      <c r="BD9" s="24">
        <f>'Intermediate calculations'!AY10*'Intermediate calculations'!AY11*(1-Constants!$H$20)</f>
        <v>-969706.11402721249</v>
      </c>
      <c r="BE9" s="24">
        <f>'Intermediate calculations'!AZ10*'Intermediate calculations'!AZ11*(1-Constants!$H$20)</f>
        <v>-946651.25116704707</v>
      </c>
      <c r="BF9" s="24">
        <f>'Intermediate calculations'!BA10*'Intermediate calculations'!BA11*(1-Constants!$H$20)</f>
        <v>-923924.11996662559</v>
      </c>
      <c r="BG9" s="24">
        <f>'Intermediate calculations'!BB10*'Intermediate calculations'!BB11*(1-Constants!$H$20)</f>
        <v>-905497.55767046497</v>
      </c>
      <c r="BH9" s="24">
        <f>'Intermediate calculations'!BC10*'Intermediate calculations'!BC11*(1-Constants!$H$20)</f>
        <v>-887349.30634201993</v>
      </c>
      <c r="BI9" s="24">
        <f>'Intermediate calculations'!BD10*'Intermediate calculations'!BD11*(1-Constants!$H$20)</f>
        <v>-869466.75430794165</v>
      </c>
      <c r="BJ9" s="24">
        <f>'Intermediate calculations'!BE10*'Intermediate calculations'!BE11*(1-Constants!$H$20)</f>
        <v>-851838.07427584147</v>
      </c>
      <c r="BK9" s="24">
        <f>'Intermediate calculations'!BF10*'Intermediate calculations'!BF11*(1-Constants!$H$20)</f>
        <v>-834452.15829615341</v>
      </c>
      <c r="BL9" s="24">
        <f>'Intermediate calculations'!BG10*'Intermediate calculations'!BG11*(1-Constants!$H$20)</f>
        <v>-816743.09611912537</v>
      </c>
      <c r="BM9" s="24">
        <f>'Intermediate calculations'!BH10*'Intermediate calculations'!BH11*(1-Constants!$H$20)</f>
        <v>-799277.55613136722</v>
      </c>
      <c r="BN9" s="24">
        <f>'Intermediate calculations'!BI10*'Intermediate calculations'!BI11*(1-Constants!$H$20)</f>
        <v>-782045.95854837797</v>
      </c>
      <c r="BO9" s="24">
        <f>'Intermediate calculations'!BJ10*'Intermediate calculations'!BJ11*(1-Constants!$H$20)</f>
        <v>-765039.26180839876</v>
      </c>
      <c r="BP9" s="24">
        <f>'Intermediate calculations'!BK10*'Intermediate calculations'!BK11*(1-Constants!$H$20)</f>
        <v>-748248.92235254694</v>
      </c>
    </row>
    <row r="10" spans="1:72" s="23" customFormat="1" x14ac:dyDescent="0.25">
      <c r="A10" s="23" t="str">
        <f t="shared" si="1"/>
        <v>3A Livestock</v>
      </c>
      <c r="C10" s="23" t="str">
        <f>$C$9</f>
        <v>3A1aii Other cattle</v>
      </c>
      <c r="D10" t="str">
        <f>'IPCC Categories'!$F$38</f>
        <v>Feedlot</v>
      </c>
      <c r="E10" s="23" t="str">
        <f t="shared" si="2"/>
        <v>Population</v>
      </c>
      <c r="F10" s="23" t="str">
        <f t="shared" si="3"/>
        <v>Head</v>
      </c>
      <c r="H10" s="43">
        <v>420000</v>
      </c>
      <c r="I10" s="43">
        <v>420000</v>
      </c>
      <c r="J10" s="43">
        <v>420000</v>
      </c>
      <c r="K10" s="43">
        <v>420000</v>
      </c>
      <c r="L10" s="43">
        <v>420000</v>
      </c>
      <c r="M10" s="43">
        <v>420000</v>
      </c>
      <c r="N10" s="43">
        <v>420000</v>
      </c>
      <c r="O10" s="43">
        <v>420000</v>
      </c>
      <c r="P10" s="43">
        <v>420000</v>
      </c>
      <c r="Q10" s="43">
        <v>420000</v>
      </c>
      <c r="R10" s="43">
        <v>420000</v>
      </c>
      <c r="S10" s="43">
        <v>420000</v>
      </c>
      <c r="T10" s="43">
        <v>420000</v>
      </c>
      <c r="U10" s="43">
        <v>420000</v>
      </c>
      <c r="V10" s="43">
        <v>420000</v>
      </c>
      <c r="W10" s="43">
        <v>420000</v>
      </c>
      <c r="X10" s="43">
        <v>420000</v>
      </c>
      <c r="Y10" s="43">
        <v>420000</v>
      </c>
      <c r="Z10" s="43">
        <v>391147.75</v>
      </c>
      <c r="AA10" s="43">
        <v>400819.41666666669</v>
      </c>
      <c r="AB10" s="43">
        <v>399822.33333333331</v>
      </c>
      <c r="AC10" s="43">
        <v>461800.16666666669</v>
      </c>
      <c r="AD10" s="24">
        <f>(((('Intermediate calculations'!Y9/('Intermediate calculations'!Y64+0.27))*ttokg)/Constants!$H$21)/(365/'Intermediate calculations'!Y65))</f>
        <v>544425.44678784802</v>
      </c>
      <c r="AE10" s="24">
        <f>(((('Intermediate calculations'!Z9/('Intermediate calculations'!Z64+0.27))*ttokg)/Constants!$H$21)/(365/'Intermediate calculations'!Z65))</f>
        <v>563815.25409722852</v>
      </c>
      <c r="AF10" s="24">
        <f>(((('Intermediate calculations'!AA9/('Intermediate calculations'!AA64+0.27))*ttokg)/Constants!$H$21)/(365/'Intermediate calculations'!AA65))</f>
        <v>579205.48050671967</v>
      </c>
      <c r="AG10" s="24">
        <f>(((('Intermediate calculations'!AB9/('Intermediate calculations'!AB64+0.27))*ttokg)/Constants!$H$21)/(365/'Intermediate calculations'!AB65))</f>
        <v>588722.95646496292</v>
      </c>
      <c r="AH10" s="24">
        <f>(((('Intermediate calculations'!AC9/('Intermediate calculations'!AC64+0.27))*ttokg)/Constants!$H$21)/(365/'Intermediate calculations'!AC65))</f>
        <v>598260.30078749277</v>
      </c>
      <c r="AI10" s="24">
        <f>(((('Intermediate calculations'!AD9/('Intermediate calculations'!AD64+0.27))*ttokg)/Constants!$H$21)/(365/'Intermediate calculations'!AD65))</f>
        <v>610925.73677676241</v>
      </c>
      <c r="AJ10" s="24">
        <f>(((('Intermediate calculations'!AE9/('Intermediate calculations'!AE64+0.27))*ttokg)/Constants!$H$21)/(365/'Intermediate calculations'!AE65))</f>
        <v>624646.75853090361</v>
      </c>
      <c r="AK10" s="24">
        <f>(((('Intermediate calculations'!AF9/('Intermediate calculations'!AF64+0.27))*ttokg)/Constants!$H$21)/(365/'Intermediate calculations'!AF65))</f>
        <v>631787.34034937981</v>
      </c>
      <c r="AL10" s="24">
        <f>(((('Intermediate calculations'!AG9/('Intermediate calculations'!AG64+0.27))*ttokg)/Constants!$H$21)/(365/'Intermediate calculations'!AG65))</f>
        <v>576398.87297452381</v>
      </c>
      <c r="AM10" s="24">
        <f>(((('Intermediate calculations'!AH9/('Intermediate calculations'!AH64+0.27))*ttokg)/Constants!$H$21)/(365/'Intermediate calculations'!AH65))</f>
        <v>595798.54202044464</v>
      </c>
      <c r="AN10" s="24">
        <f>(((('Intermediate calculations'!AI9/('Intermediate calculations'!AI64+0.27))*ttokg)/Constants!$H$21)/(365/'Intermediate calculations'!AI65))</f>
        <v>613737.42742892564</v>
      </c>
      <c r="AO10" s="24">
        <f>(((('Intermediate calculations'!AJ9/('Intermediate calculations'!AJ64+0.27))*ttokg)/Constants!$H$21)/(365/'Intermediate calculations'!AJ65))</f>
        <v>631876.49881874013</v>
      </c>
      <c r="AP10" s="24">
        <f>(((('Intermediate calculations'!AK9/('Intermediate calculations'!AK64+0.27))*ttokg)/Constants!$H$21)/(365/'Intermediate calculations'!AK65))</f>
        <v>652933.21435305837</v>
      </c>
      <c r="AQ10" s="24">
        <f>(((('Intermediate calculations'!AL9/('Intermediate calculations'!AL64+0.27))*ttokg)/Constants!$H$21)/(365/'Intermediate calculations'!AL65))</f>
        <v>674239.16012055427</v>
      </c>
      <c r="AR10" s="24">
        <f>(((('Intermediate calculations'!AM9/('Intermediate calculations'!AM64+0.27))*ttokg)/Constants!$H$21)/(365/'Intermediate calculations'!AM65))</f>
        <v>696349.35621155461</v>
      </c>
      <c r="AS10" s="24">
        <f>(((('Intermediate calculations'!AN9/('Intermediate calculations'!AN64+0.27))*ttokg)/Constants!$H$21)/(365/'Intermediate calculations'!AN65))</f>
        <v>718048.86491725256</v>
      </c>
      <c r="AT10" s="24">
        <f>(((('Intermediate calculations'!AO9/('Intermediate calculations'!AO64+0.27))*ttokg)/Constants!$H$21)/(365/'Intermediate calculations'!AO65))</f>
        <v>741100.85500334436</v>
      </c>
      <c r="AU10" s="24">
        <f>(((('Intermediate calculations'!AP9/('Intermediate calculations'!AP64+0.27))*ttokg)/Constants!$H$21)/(365/'Intermediate calculations'!AP65))</f>
        <v>763094.65965564456</v>
      </c>
      <c r="AV10" s="24">
        <f>(((('Intermediate calculations'!AQ9/('Intermediate calculations'!AQ64+0.27))*ttokg)/Constants!$H$21)/(365/'Intermediate calculations'!AQ65))</f>
        <v>785732.85719405068</v>
      </c>
      <c r="AW10" s="24">
        <f>(((('Intermediate calculations'!AR9/('Intermediate calculations'!AR64+0.27))*ttokg)/Constants!$H$21)/(365/'Intermediate calculations'!AR65))</f>
        <v>814549.93563886778</v>
      </c>
      <c r="AX10" s="24">
        <f>(((('Intermediate calculations'!AS9/('Intermediate calculations'!AS64+0.27))*ttokg)/Constants!$H$21)/(365/'Intermediate calculations'!AS65))</f>
        <v>845577.48851409461</v>
      </c>
      <c r="AY10" s="24">
        <f>(((('Intermediate calculations'!AT9/('Intermediate calculations'!AT64+0.27))*ttokg)/Constants!$H$21)/(365/'Intermediate calculations'!AT65))</f>
        <v>877823.17978379177</v>
      </c>
      <c r="AZ10" s="24">
        <f>(((('Intermediate calculations'!AU9/('Intermediate calculations'!AU64+0.27))*ttokg)/Constants!$H$21)/(365/'Intermediate calculations'!AU65))</f>
        <v>887771.79136016127</v>
      </c>
      <c r="BA10" s="24">
        <f>(((('Intermediate calculations'!AV9/('Intermediate calculations'!AV64+0.27))*ttokg)/Constants!$H$21)/(365/'Intermediate calculations'!AV65))</f>
        <v>-216402.104722052</v>
      </c>
      <c r="BB10" s="24">
        <f>(((('Intermediate calculations'!AW9/('Intermediate calculations'!AW64+0.27))*ttokg)/Constants!$H$21)/(365/'Intermediate calculations'!AW65))</f>
        <v>-218468.50448556282</v>
      </c>
      <c r="BC10" s="24">
        <f>(((('Intermediate calculations'!AX9/('Intermediate calculations'!AX64+0.27))*ttokg)/Constants!$H$21)/(365/'Intermediate calculations'!AX65))</f>
        <v>-220551.7054205364</v>
      </c>
      <c r="BD10" s="24">
        <f>(((('Intermediate calculations'!AY9/('Intermediate calculations'!AY64+0.27))*ttokg)/Constants!$H$21)/(365/'Intermediate calculations'!AY65))</f>
        <v>-222651.86652600818</v>
      </c>
      <c r="BE10" s="24">
        <f>(((('Intermediate calculations'!AZ9/('Intermediate calculations'!AZ64+0.27))*ttokg)/Constants!$H$21)/(365/'Intermediate calculations'!AZ65))</f>
        <v>-224769.14822859573</v>
      </c>
      <c r="BF10" s="24">
        <f>(((('Intermediate calculations'!BA9/('Intermediate calculations'!BA64+0.27))*ttokg)/Constants!$H$21)/(365/'Intermediate calculations'!BA65))</f>
        <v>-226903.71239487958</v>
      </c>
      <c r="BG10" s="24">
        <f>(((('Intermediate calculations'!BB9/('Intermediate calculations'!BB64+0.27))*ttokg)/Constants!$H$21)/(365/'Intermediate calculations'!BB65))</f>
        <v>-228616.72018837943</v>
      </c>
      <c r="BH10" s="24">
        <f>(((('Intermediate calculations'!BC9/('Intermediate calculations'!BC64+0.27))*ttokg)/Constants!$H$21)/(365/'Intermediate calculations'!BC65))</f>
        <v>-230341.54428104509</v>
      </c>
      <c r="BI10" s="24">
        <f>(((('Intermediate calculations'!BD9/('Intermediate calculations'!BD64+0.27))*ttokg)/Constants!$H$21)/(365/'Intermediate calculations'!BD65))</f>
        <v>-232078.27819190599</v>
      </c>
      <c r="BJ10" s="24">
        <f>(((('Intermediate calculations'!BE9/('Intermediate calculations'!BE64+0.27))*ttokg)/Constants!$H$21)/(365/'Intermediate calculations'!BE65))</f>
        <v>-233827.0161458505</v>
      </c>
      <c r="BK10" s="24">
        <f>(((('Intermediate calculations'!BF9/('Intermediate calculations'!BF64+0.27))*ttokg)/Constants!$H$21)/(365/'Intermediate calculations'!BF65))</f>
        <v>-235587.85307878631</v>
      </c>
      <c r="BL10" s="24">
        <f>(((('Intermediate calculations'!BG9/('Intermediate calculations'!BG64+0.27))*ttokg)/Constants!$H$21)/(365/'Intermediate calculations'!BG65))</f>
        <v>-237199.56630230488</v>
      </c>
      <c r="BM10" s="24">
        <f>(((('Intermediate calculations'!BH9/('Intermediate calculations'!BH64+0.27))*ttokg)/Constants!$H$21)/(365/'Intermediate calculations'!BH65))</f>
        <v>-238820.55513047398</v>
      </c>
      <c r="BN10" s="24">
        <f>(((('Intermediate calculations'!BI9/('Intermediate calculations'!BI64+0.27))*ttokg)/Constants!$H$21)/(365/'Intermediate calculations'!BI65))</f>
        <v>-240450.88092373559</v>
      </c>
      <c r="BO10" s="24">
        <f>(((('Intermediate calculations'!BJ9/('Intermediate calculations'!BJ64+0.27))*ttokg)/Constants!$H$21)/(365/'Intermediate calculations'!BJ65))</f>
        <v>-242090.60542728603</v>
      </c>
      <c r="BP10" s="24">
        <f>(((('Intermediate calculations'!BK9/('Intermediate calculations'!BK64+0.27))*ttokg)/Constants!$H$21)/(365/'Intermediate calculations'!BK65))</f>
        <v>-243739.79077340415</v>
      </c>
    </row>
    <row r="11" spans="1:72" s="23" customFormat="1" x14ac:dyDescent="0.25">
      <c r="A11" s="23" t="str">
        <f t="shared" si="1"/>
        <v>3A Livestock</v>
      </c>
      <c r="C11" s="23" t="str">
        <f>'IPCC Categories'!$C$7</f>
        <v>3A1c Sheep</v>
      </c>
      <c r="D11" t="str">
        <f>'IPCC Categories'!F36</f>
        <v>Commercial</v>
      </c>
      <c r="E11" s="23" t="str">
        <f t="shared" si="2"/>
        <v>Population</v>
      </c>
      <c r="F11" s="23" t="str">
        <f t="shared" si="3"/>
        <v>Head</v>
      </c>
      <c r="H11" s="43">
        <v>29979000</v>
      </c>
      <c r="I11" s="43">
        <v>28631000</v>
      </c>
      <c r="J11" s="43">
        <v>27448000</v>
      </c>
      <c r="K11" s="43">
        <v>25670000</v>
      </c>
      <c r="L11" s="43">
        <v>25851000</v>
      </c>
      <c r="M11" s="43">
        <v>25481000</v>
      </c>
      <c r="N11" s="43">
        <v>25566000</v>
      </c>
      <c r="O11" s="43">
        <v>25010000</v>
      </c>
      <c r="P11" s="43">
        <v>25079000</v>
      </c>
      <c r="Q11" s="43">
        <v>24463000</v>
      </c>
      <c r="R11" s="43">
        <v>23586000</v>
      </c>
      <c r="S11" s="43">
        <v>22998000</v>
      </c>
      <c r="T11" s="43">
        <v>22614000</v>
      </c>
      <c r="U11" s="43">
        <v>22693000</v>
      </c>
      <c r="V11" s="43">
        <v>22289000</v>
      </c>
      <c r="W11" s="43">
        <v>22236000</v>
      </c>
      <c r="X11" s="43">
        <v>21945000</v>
      </c>
      <c r="Y11" s="43">
        <v>21924000</v>
      </c>
      <c r="Z11" s="43">
        <v>21995000</v>
      </c>
      <c r="AA11" s="43">
        <v>21917000</v>
      </c>
      <c r="AB11" s="43">
        <v>21493000</v>
      </c>
      <c r="AC11" s="43">
        <v>21325000</v>
      </c>
      <c r="AD11" s="24">
        <f>('Intermediate calculations'!Y27*'Intermediate calculations'!Y28)*Constants!$H$22</f>
        <v>19018327.680967014</v>
      </c>
      <c r="AE11" s="24">
        <f>('Intermediate calculations'!Z27*'Intermediate calculations'!Z28)*Constants!$H$22</f>
        <v>19028713.427086703</v>
      </c>
      <c r="AF11" s="24">
        <f>('Intermediate calculations'!AA27*'Intermediate calculations'!AA28)*Constants!$H$22</f>
        <v>19051969.107683893</v>
      </c>
      <c r="AG11" s="24">
        <f>('Intermediate calculations'!AB27*'Intermediate calculations'!AB28)*Constants!$H$22</f>
        <v>19086973.789225459</v>
      </c>
      <c r="AH11" s="24">
        <f>('Intermediate calculations'!AC27*'Intermediate calculations'!AC28)*Constants!$H$22</f>
        <v>19134195.806752253</v>
      </c>
      <c r="AI11" s="24">
        <f>('Intermediate calculations'!AD27*'Intermediate calculations'!AD28)*Constants!$H$22</f>
        <v>19193685.267400872</v>
      </c>
      <c r="AJ11" s="24">
        <f>('Intermediate calculations'!AE27*'Intermediate calculations'!AE28)*Constants!$H$22</f>
        <v>19259954.114958268</v>
      </c>
      <c r="AK11" s="24">
        <f>('Intermediate calculations'!AF27*'Intermediate calculations'!AF28)*Constants!$H$22</f>
        <v>19331774.464016877</v>
      </c>
      <c r="AL11" s="24">
        <f>('Intermediate calculations'!AG27*'Intermediate calculations'!AG28)*Constants!$H$22</f>
        <v>19399264.907008924</v>
      </c>
      <c r="AM11" s="24">
        <f>('Intermediate calculations'!AH27*'Intermediate calculations'!AH28)*Constants!$H$22</f>
        <v>19427456.971954491</v>
      </c>
      <c r="AN11" s="24">
        <f>('Intermediate calculations'!AI27*'Intermediate calculations'!AI28)*Constants!$H$22</f>
        <v>19460170.41757524</v>
      </c>
      <c r="AO11" s="24">
        <f>('Intermediate calculations'!AJ27*'Intermediate calculations'!AJ28)*Constants!$H$22</f>
        <v>19497398.536194213</v>
      </c>
      <c r="AP11" s="24">
        <f>('Intermediate calculations'!AK27*'Intermediate calculations'!AK28)*Constants!$H$22</f>
        <v>19539334.211069677</v>
      </c>
      <c r="AQ11" s="24">
        <f>('Intermediate calculations'!AL27*'Intermediate calculations'!AL28)*Constants!$H$22</f>
        <v>19585305.150981959</v>
      </c>
      <c r="AR11" s="24">
        <f>('Intermediate calculations'!AM27*'Intermediate calculations'!AM28)*Constants!$H$22</f>
        <v>19613603.770404901</v>
      </c>
      <c r="AS11" s="24">
        <f>('Intermediate calculations'!AN27*'Intermediate calculations'!AN28)*Constants!$H$22</f>
        <v>19645213.91259072</v>
      </c>
      <c r="AT11" s="24">
        <f>('Intermediate calculations'!AO27*'Intermediate calculations'!AO28)*Constants!$H$22</f>
        <v>19680250.289019085</v>
      </c>
      <c r="AU11" s="24">
        <f>('Intermediate calculations'!AP27*'Intermediate calculations'!AP28)*Constants!$H$22</f>
        <v>19718174.586544167</v>
      </c>
      <c r="AV11" s="24">
        <f>('Intermediate calculations'!AQ27*'Intermediate calculations'!AQ28)*Constants!$H$22</f>
        <v>19759122.406973377</v>
      </c>
      <c r="AW11" s="24">
        <f>('Intermediate calculations'!AR27*'Intermediate calculations'!AR28)*Constants!$H$22</f>
        <v>19786079.120163966</v>
      </c>
      <c r="AX11" s="24">
        <f>('Intermediate calculations'!AS27*'Intermediate calculations'!AS28)*Constants!$H$22</f>
        <v>19815871.263841685</v>
      </c>
      <c r="AY11" s="24">
        <f>('Intermediate calculations'!AT27*'Intermediate calculations'!AT28)*Constants!$H$22</f>
        <v>19848230.902383074</v>
      </c>
      <c r="AZ11" s="24">
        <f>('Intermediate calculations'!AU27*'Intermediate calculations'!AU28)*Constants!$H$22</f>
        <v>19879494.440380681</v>
      </c>
      <c r="BA11" s="24">
        <f>('Intermediate calculations'!AV27*'Intermediate calculations'!AV28)*Constants!$H$22</f>
        <v>19745833.454347491</v>
      </c>
      <c r="BB11" s="24">
        <f>('Intermediate calculations'!AW27*'Intermediate calculations'!AW28)*Constants!$H$22</f>
        <v>19764815.427753989</v>
      </c>
      <c r="BC11" s="24">
        <f>('Intermediate calculations'!AX27*'Intermediate calculations'!AX28)*Constants!$H$22</f>
        <v>19785762.129433058</v>
      </c>
      <c r="BD11" s="24">
        <f>('Intermediate calculations'!AY27*'Intermediate calculations'!AY28)*Constants!$H$22</f>
        <v>19808599.333598968</v>
      </c>
      <c r="BE11" s="24">
        <f>('Intermediate calculations'!AZ27*'Intermediate calculations'!AZ28)*Constants!$H$22</f>
        <v>19833258.55165717</v>
      </c>
      <c r="BF11" s="24">
        <f>('Intermediate calculations'!BA27*'Intermediate calculations'!BA28)*Constants!$H$22</f>
        <v>19859676.487788312</v>
      </c>
      <c r="BG11" s="24">
        <f>('Intermediate calculations'!BB27*'Intermediate calculations'!BB28)*Constants!$H$22</f>
        <v>19872497.136151575</v>
      </c>
      <c r="BH11" s="24">
        <f>('Intermediate calculations'!BC27*'Intermediate calculations'!BC28)*Constants!$H$22</f>
        <v>19886867.327126332</v>
      </c>
      <c r="BI11" s="24">
        <f>('Intermediate calculations'!BD27*'Intermediate calculations'!BD28)*Constants!$H$22</f>
        <v>19902733.132976212</v>
      </c>
      <c r="BJ11" s="24">
        <f>('Intermediate calculations'!BE27*'Intermediate calculations'!BE28)*Constants!$H$22</f>
        <v>19920044.316978011</v>
      </c>
      <c r="BK11" s="24">
        <f>('Intermediate calculations'!BF27*'Intermediate calculations'!BF28)*Constants!$H$22</f>
        <v>19938754.019852098</v>
      </c>
      <c r="BL11" s="24">
        <f>('Intermediate calculations'!BG27*'Intermediate calculations'!BG28)*Constants!$H$22</f>
        <v>19943369.475962225</v>
      </c>
      <c r="BM11" s="24">
        <f>('Intermediate calculations'!BH27*'Intermediate calculations'!BH28)*Constants!$H$22</f>
        <v>19949226.116932139</v>
      </c>
      <c r="BN11" s="24">
        <f>('Intermediate calculations'!BI27*'Intermediate calculations'!BI28)*Constants!$H$22</f>
        <v>19956282.834742554</v>
      </c>
      <c r="BO11" s="24">
        <f>('Intermediate calculations'!BJ27*'Intermediate calculations'!BJ28)*Constants!$H$22</f>
        <v>19964501.031608582</v>
      </c>
      <c r="BP11" s="24">
        <f>('Intermediate calculations'!BK27*'Intermediate calculations'!BK28)*Constants!$H$22</f>
        <v>19973844.426938675</v>
      </c>
    </row>
    <row r="12" spans="1:72" s="23" customFormat="1" x14ac:dyDescent="0.25">
      <c r="A12" s="23" t="str">
        <f t="shared" si="1"/>
        <v>3A Livestock</v>
      </c>
      <c r="C12" s="23" t="str">
        <f>'IPCC Categories'!$C$7</f>
        <v>3A1c Sheep</v>
      </c>
      <c r="D12" t="str">
        <f>'IPCC Categories'!$F$37</f>
        <v>Subsistence</v>
      </c>
      <c r="E12" s="23" t="str">
        <f t="shared" si="2"/>
        <v>Population</v>
      </c>
      <c r="F12" s="23" t="str">
        <f t="shared" si="3"/>
        <v>Head</v>
      </c>
      <c r="H12" s="43">
        <v>4183862.7657327019</v>
      </c>
      <c r="I12" s="43">
        <v>3995736.1768468926</v>
      </c>
      <c r="J12" s="43">
        <v>3830636.9523276691</v>
      </c>
      <c r="K12" s="43">
        <v>3582499.6563046952</v>
      </c>
      <c r="L12" s="43">
        <v>3607759.9772159201</v>
      </c>
      <c r="M12" s="43">
        <v>3556122.8571211509</v>
      </c>
      <c r="N12" s="43">
        <v>3567985.4387645437</v>
      </c>
      <c r="O12" s="43">
        <v>3490390.1988383494</v>
      </c>
      <c r="P12" s="43">
        <v>3500019.8239371148</v>
      </c>
      <c r="Q12" s="43">
        <v>3414050.996968525</v>
      </c>
      <c r="R12" s="43">
        <v>3291657.0663655167</v>
      </c>
      <c r="S12" s="43">
        <v>3209595.9133500443</v>
      </c>
      <c r="T12" s="43">
        <v>3156004.9562787157</v>
      </c>
      <c r="U12" s="43">
        <v>3167030.1792178694</v>
      </c>
      <c r="V12" s="43">
        <v>3110648.0264657419</v>
      </c>
      <c r="W12" s="43">
        <v>3103251.3579116268</v>
      </c>
      <c r="X12" s="43">
        <v>3062639.4607560104</v>
      </c>
      <c r="Y12" s="43">
        <v>3059708.705291172</v>
      </c>
      <c r="Z12" s="43">
        <v>3069617.4499580064</v>
      </c>
      <c r="AA12" s="43">
        <v>3058731.7868028926</v>
      </c>
      <c r="AB12" s="43">
        <v>2999558.4383699675</v>
      </c>
      <c r="AC12" s="43">
        <v>2976112.3946512612</v>
      </c>
      <c r="AD12" s="24">
        <f>('Intermediate calculations'!Y27*'Intermediate calculations'!Y28)*(1-Constants!$H$22)</f>
        <v>2841819.0787651865</v>
      </c>
      <c r="AE12" s="24">
        <f>('Intermediate calculations'!Z27*'Intermediate calculations'!Z28)*(1-Constants!$H$22)</f>
        <v>2843370.9718635306</v>
      </c>
      <c r="AF12" s="24">
        <f>('Intermediate calculations'!AA27*'Intermediate calculations'!AA28)*(1-Constants!$H$22)</f>
        <v>2846845.9586194325</v>
      </c>
      <c r="AG12" s="24">
        <f>('Intermediate calculations'!AB27*'Intermediate calculations'!AB28)*(1-Constants!$H$22)</f>
        <v>2852076.5432175971</v>
      </c>
      <c r="AH12" s="24">
        <f>('Intermediate calculations'!AC27*'Intermediate calculations'!AC28)*(1-Constants!$H$22)</f>
        <v>2859132.7067560842</v>
      </c>
      <c r="AI12" s="24">
        <f>('Intermediate calculations'!AD27*'Intermediate calculations'!AD28)*(1-Constants!$H$22)</f>
        <v>2868021.9365081764</v>
      </c>
      <c r="AJ12" s="24">
        <f>('Intermediate calculations'!AE27*'Intermediate calculations'!AE28)*(1-Constants!$H$22)</f>
        <v>2877924.1780972127</v>
      </c>
      <c r="AK12" s="24">
        <f>('Intermediate calculations'!AF27*'Intermediate calculations'!AF28)*(1-Constants!$H$22)</f>
        <v>2888655.9543933268</v>
      </c>
      <c r="AL12" s="24">
        <f>('Intermediate calculations'!AG27*'Intermediate calculations'!AG28)*(1-Constants!$H$22)</f>
        <v>2898740.733231219</v>
      </c>
      <c r="AM12" s="24">
        <f>('Intermediate calculations'!AH27*'Intermediate calculations'!AH28)*(1-Constants!$H$22)</f>
        <v>2902953.3406368783</v>
      </c>
      <c r="AN12" s="24">
        <f>('Intermediate calculations'!AI27*'Intermediate calculations'!AI28)*(1-Constants!$H$22)</f>
        <v>2907841.5566491741</v>
      </c>
      <c r="AO12" s="24">
        <f>('Intermediate calculations'!AJ27*'Intermediate calculations'!AJ28)*(1-Constants!$H$22)</f>
        <v>2913404.3789715492</v>
      </c>
      <c r="AP12" s="24">
        <f>('Intermediate calculations'!AK27*'Intermediate calculations'!AK28)*(1-Constants!$H$22)</f>
        <v>2919670.6292402968</v>
      </c>
      <c r="AQ12" s="24">
        <f>('Intermediate calculations'!AL27*'Intermediate calculations'!AL28)*(1-Constants!$H$22)</f>
        <v>2926539.8501467295</v>
      </c>
      <c r="AR12" s="24">
        <f>('Intermediate calculations'!AM27*'Intermediate calculations'!AM28)*(1-Constants!$H$22)</f>
        <v>2930768.3794857902</v>
      </c>
      <c r="AS12" s="24">
        <f>('Intermediate calculations'!AN27*'Intermediate calculations'!AN28)*(1-Constants!$H$22)</f>
        <v>2935491.7340652798</v>
      </c>
      <c r="AT12" s="24">
        <f>('Intermediate calculations'!AO27*'Intermediate calculations'!AO28)*(1-Constants!$H$22)</f>
        <v>2940727.0546810129</v>
      </c>
      <c r="AU12" s="24">
        <f>('Intermediate calculations'!AP27*'Intermediate calculations'!AP28)*(1-Constants!$H$22)</f>
        <v>2946393.9037364847</v>
      </c>
      <c r="AV12" s="24">
        <f>('Intermediate calculations'!AQ27*'Intermediate calculations'!AQ28)*(1-Constants!$H$22)</f>
        <v>2952512.5435707346</v>
      </c>
      <c r="AW12" s="24">
        <f>('Intermediate calculations'!AR27*'Intermediate calculations'!AR28)*(1-Constants!$H$22)</f>
        <v>2956540.5581854205</v>
      </c>
      <c r="AX12" s="24">
        <f>('Intermediate calculations'!AS27*'Intermediate calculations'!AS28)*(1-Constants!$H$22)</f>
        <v>2960992.2578154244</v>
      </c>
      <c r="AY12" s="24">
        <f>('Intermediate calculations'!AT27*'Intermediate calculations'!AT28)*(1-Constants!$H$22)</f>
        <v>2965827.6061032182</v>
      </c>
      <c r="AZ12" s="24">
        <f>('Intermediate calculations'!AU27*'Intermediate calculations'!AU28)*(1-Constants!$H$22)</f>
        <v>2970499.1692522862</v>
      </c>
      <c r="BA12" s="24">
        <f>('Intermediate calculations'!AV27*'Intermediate calculations'!AV28)*(1-Constants!$H$22)</f>
        <v>2950526.8380059474</v>
      </c>
      <c r="BB12" s="24">
        <f>('Intermediate calculations'!AW27*'Intermediate calculations'!AW28)*(1-Constants!$H$22)</f>
        <v>2953363.224836803</v>
      </c>
      <c r="BC12" s="24">
        <f>('Intermediate calculations'!AX27*'Intermediate calculations'!AX28)*(1-Constants!$H$22)</f>
        <v>2956493.1917543649</v>
      </c>
      <c r="BD12" s="24">
        <f>('Intermediate calculations'!AY27*'Intermediate calculations'!AY28)*(1-Constants!$H$22)</f>
        <v>2959905.6475492711</v>
      </c>
      <c r="BE12" s="24">
        <f>('Intermediate calculations'!AZ27*'Intermediate calculations'!AZ28)*(1-Constants!$H$22)</f>
        <v>2963590.3582936004</v>
      </c>
      <c r="BF12" s="24">
        <f>('Intermediate calculations'!BA27*'Intermediate calculations'!BA28)*(1-Constants!$H$22)</f>
        <v>2967537.8659913572</v>
      </c>
      <c r="BG12" s="24">
        <f>('Intermediate calculations'!BB27*'Intermediate calculations'!BB28)*(1-Constants!$H$22)</f>
        <v>2969453.5950571322</v>
      </c>
      <c r="BH12" s="24">
        <f>('Intermediate calculations'!BC27*'Intermediate calculations'!BC28)*(1-Constants!$H$22)</f>
        <v>2971600.8649729001</v>
      </c>
      <c r="BI12" s="24">
        <f>('Intermediate calculations'!BD27*'Intermediate calculations'!BD28)*(1-Constants!$H$22)</f>
        <v>2973971.6175711579</v>
      </c>
      <c r="BJ12" s="24">
        <f>('Intermediate calculations'!BE27*'Intermediate calculations'!BE28)*(1-Constants!$H$22)</f>
        <v>2976558.3462151056</v>
      </c>
      <c r="BK12" s="24">
        <f>('Intermediate calculations'!BF27*'Intermediate calculations'!BF28)*(1-Constants!$H$22)</f>
        <v>2979354.0489434167</v>
      </c>
      <c r="BL12" s="24">
        <f>('Intermediate calculations'!BG27*'Intermediate calculations'!BG28)*(1-Constants!$H$22)</f>
        <v>2980043.7147989534</v>
      </c>
      <c r="BM12" s="24">
        <f>('Intermediate calculations'!BH27*'Intermediate calculations'!BH28)*(1-Constants!$H$22)</f>
        <v>2980918.8450588253</v>
      </c>
      <c r="BN12" s="24">
        <f>('Intermediate calculations'!BI27*'Intermediate calculations'!BI28)*(1-Constants!$H$22)</f>
        <v>2981973.2971454393</v>
      </c>
      <c r="BO12" s="24">
        <f>('Intermediate calculations'!BJ27*'Intermediate calculations'!BJ28)*(1-Constants!$H$22)</f>
        <v>2983201.3035736964</v>
      </c>
      <c r="BP12" s="24">
        <f>('Intermediate calculations'!BK27*'Intermediate calculations'!BK28)*(1-Constants!$H$22)</f>
        <v>2984597.4431057791</v>
      </c>
    </row>
    <row r="13" spans="1:72" s="23" customFormat="1" x14ac:dyDescent="0.25">
      <c r="A13" s="23" t="str">
        <f t="shared" si="1"/>
        <v>3A Livestock</v>
      </c>
      <c r="C13" s="23" t="str">
        <f>'IPCC Categories'!$C$8</f>
        <v>3A1d Goats</v>
      </c>
      <c r="D13" t="str">
        <f>'IPCC Categories'!F36</f>
        <v>Commercial</v>
      </c>
      <c r="E13" s="23" t="str">
        <f t="shared" si="2"/>
        <v>Population</v>
      </c>
      <c r="F13" s="23" t="str">
        <f t="shared" si="3"/>
        <v>Head</v>
      </c>
      <c r="H13" s="43">
        <v>2774000.0000000005</v>
      </c>
      <c r="I13" s="43">
        <v>2453000.0000000009</v>
      </c>
      <c r="J13" s="43">
        <v>2284999.9999999995</v>
      </c>
      <c r="K13" s="43">
        <v>2158999.9999999995</v>
      </c>
      <c r="L13" s="43">
        <v>2336999.9999999995</v>
      </c>
      <c r="M13" s="43">
        <v>2369000</v>
      </c>
      <c r="N13" s="43">
        <v>2405999.9999999995</v>
      </c>
      <c r="O13" s="43">
        <v>2394000</v>
      </c>
      <c r="P13" s="43">
        <v>2360000</v>
      </c>
      <c r="Q13" s="43">
        <v>2325000.0000000005</v>
      </c>
      <c r="R13" s="43">
        <v>2355000</v>
      </c>
      <c r="S13" s="43">
        <v>2427000.0000000005</v>
      </c>
      <c r="T13" s="43">
        <v>2216000.0000000005</v>
      </c>
      <c r="U13" s="43">
        <v>2160000</v>
      </c>
      <c r="V13" s="43">
        <v>2164000.0000000005</v>
      </c>
      <c r="W13" s="43">
        <v>2136000</v>
      </c>
      <c r="X13" s="43">
        <v>2181000</v>
      </c>
      <c r="Y13" s="43">
        <v>2116000</v>
      </c>
      <c r="Z13" s="43">
        <v>2114000.0000000005</v>
      </c>
      <c r="AA13" s="43">
        <v>2077000</v>
      </c>
      <c r="AB13" s="43">
        <v>2052000.0000000002</v>
      </c>
      <c r="AC13" s="43">
        <v>2033000.0000000002</v>
      </c>
      <c r="AD13" s="24">
        <f>'Intermediate calculations'!Y22*'Intermediate calculations'!Y25*Constants!$H$23</f>
        <v>2068020.3711862336</v>
      </c>
      <c r="AE13" s="24">
        <f>'Intermediate calculations'!Z22*'Intermediate calculations'!Z25*Constants!$H$23</f>
        <v>2073414.2581746883</v>
      </c>
      <c r="AF13" s="24">
        <f>'Intermediate calculations'!AA22*'Intermediate calculations'!AA25*Constants!$H$23</f>
        <v>2080602.090384315</v>
      </c>
      <c r="AG13" s="24">
        <f>'Intermediate calculations'!AB22*'Intermediate calculations'!AB25*Constants!$H$23</f>
        <v>2089424.0681822612</v>
      </c>
      <c r="AH13" s="24">
        <f>'Intermediate calculations'!AC22*'Intermediate calculations'!AC25*Constants!$H$23</f>
        <v>2099986.2027782789</v>
      </c>
      <c r="AI13" s="24">
        <f>'Intermediate calculations'!AD22*'Intermediate calculations'!AD25*Constants!$H$23</f>
        <v>2112316.6013010871</v>
      </c>
      <c r="AJ13" s="24">
        <f>'Intermediate calculations'!AE22*'Intermediate calculations'!AE25*Constants!$H$23</f>
        <v>2125500.0705008977</v>
      </c>
      <c r="AK13" s="24">
        <f>'Intermediate calculations'!AF22*'Intermediate calculations'!AF25*Constants!$H$23</f>
        <v>2139348.0975761078</v>
      </c>
      <c r="AL13" s="24">
        <f>'Intermediate calculations'!AG22*'Intermediate calculations'!AG25*Constants!$H$23</f>
        <v>2152212.3064880767</v>
      </c>
      <c r="AM13" s="24">
        <f>'Intermediate calculations'!AH22*'Intermediate calculations'!AH25*Constants!$H$23</f>
        <v>2158240.8667125739</v>
      </c>
      <c r="AN13" s="24">
        <f>'Intermediate calculations'!AI22*'Intermediate calculations'!AI25*Constants!$H$23</f>
        <v>2164851.5171703934</v>
      </c>
      <c r="AO13" s="24">
        <f>'Intermediate calculations'!AJ22*'Intermediate calculations'!AJ25*Constants!$H$23</f>
        <v>2172052.6469438924</v>
      </c>
      <c r="AP13" s="24">
        <f>'Intermediate calculations'!AK22*'Intermediate calculations'!AK25*Constants!$H$23</f>
        <v>2179884.4421844943</v>
      </c>
      <c r="AQ13" s="24">
        <f>'Intermediate calculations'!AL22*'Intermediate calculations'!AL25*Constants!$H$23</f>
        <v>2188241.4567813184</v>
      </c>
      <c r="AR13" s="24">
        <f>'Intermediate calculations'!AM22*'Intermediate calculations'!AM25*Constants!$H$23</f>
        <v>2193523.8841429623</v>
      </c>
      <c r="AS13" s="24">
        <f>'Intermediate calculations'!AN22*'Intermediate calculations'!AN25*Constants!$H$23</f>
        <v>2199239.2019303897</v>
      </c>
      <c r="AT13" s="24">
        <f>'Intermediate calculations'!AO22*'Intermediate calculations'!AO25*Constants!$H$23</f>
        <v>2205411.0547837582</v>
      </c>
      <c r="AU13" s="24">
        <f>'Intermediate calculations'!AP22*'Intermediate calculations'!AP25*Constants!$H$23</f>
        <v>2211954.4747049208</v>
      </c>
      <c r="AV13" s="24">
        <f>'Intermediate calculations'!AQ22*'Intermediate calculations'!AQ25*Constants!$H$23</f>
        <v>2218895.6360947033</v>
      </c>
      <c r="AW13" s="24">
        <f>'Intermediate calculations'!AR22*'Intermediate calculations'!AR25*Constants!$H$23</f>
        <v>2223441.6359146708</v>
      </c>
      <c r="AX13" s="24">
        <f>'Intermediate calculations'!AS22*'Intermediate calculations'!AS25*Constants!$H$23</f>
        <v>2228371.8052992979</v>
      </c>
      <c r="AY13" s="24">
        <f>'Intermediate calculations'!AT22*'Intermediate calculations'!AT25*Constants!$H$23</f>
        <v>2233644.4650993221</v>
      </c>
      <c r="AZ13" s="24">
        <f>'Intermediate calculations'!AU22*'Intermediate calculations'!AU25*Constants!$H$23</f>
        <v>2238663.2666500062</v>
      </c>
      <c r="BA13" s="24">
        <f>'Intermediate calculations'!AV22*'Intermediate calculations'!AV25*Constants!$H$23</f>
        <v>2216723.8290338363</v>
      </c>
      <c r="BB13" s="24">
        <f>'Intermediate calculations'!AW22*'Intermediate calculations'!AW25*Constants!$H$23</f>
        <v>2219659.3317864328</v>
      </c>
      <c r="BC13" s="24">
        <f>'Intermediate calculations'!AX22*'Intermediate calculations'!AX25*Constants!$H$23</f>
        <v>2222858.0465280842</v>
      </c>
      <c r="BD13" s="24">
        <f>'Intermediate calculations'!AY22*'Intermediate calculations'!AY25*Constants!$H$23</f>
        <v>2226309.2840009513</v>
      </c>
      <c r="BE13" s="24">
        <f>'Intermediate calculations'!AZ22*'Intermediate calculations'!AZ25*Constants!$H$23</f>
        <v>2230003.184065857</v>
      </c>
      <c r="BF13" s="24">
        <f>'Intermediate calculations'!BA22*'Intermediate calculations'!BA25*Constants!$H$23</f>
        <v>2233930.6363157313</v>
      </c>
      <c r="BG13" s="24">
        <f>'Intermediate calculations'!BB22*'Intermediate calculations'!BB25*Constants!$H$23</f>
        <v>2235616.4889502036</v>
      </c>
      <c r="BH13" s="24">
        <f>'Intermediate calculations'!BC22*'Intermediate calculations'!BC25*Constants!$H$23</f>
        <v>2237512.7409939715</v>
      </c>
      <c r="BI13" s="24">
        <f>'Intermediate calculations'!BD22*'Intermediate calculations'!BD25*Constants!$H$23</f>
        <v>2239611.4603994587</v>
      </c>
      <c r="BJ13" s="24">
        <f>'Intermediate calculations'!BE22*'Intermediate calculations'!BE25*Constants!$H$23</f>
        <v>2241905.2592762075</v>
      </c>
      <c r="BK13" s="24">
        <f>'Intermediate calculations'!BF22*'Intermediate calculations'!BF25*Constants!$H$23</f>
        <v>2244387.2472713711</v>
      </c>
      <c r="BL13" s="24">
        <f>'Intermediate calculations'!BG22*'Intermediate calculations'!BG25*Constants!$H$23</f>
        <v>2244580.8918294068</v>
      </c>
      <c r="BM13" s="24">
        <f>'Intermediate calculations'!BH22*'Intermediate calculations'!BH25*Constants!$H$23</f>
        <v>2244946.7507196893</v>
      </c>
      <c r="BN13" s="24">
        <f>'Intermediate calculations'!BI22*'Intermediate calculations'!BI25*Constants!$H$23</f>
        <v>2245478.6391973933</v>
      </c>
      <c r="BO13" s="24">
        <f>'Intermediate calculations'!BJ22*'Intermediate calculations'!BJ25*Constants!$H$23</f>
        <v>2246170.7510786764</v>
      </c>
      <c r="BP13" s="24">
        <f>'Intermediate calculations'!BK22*'Intermediate calculations'!BK25*Constants!$H$23</f>
        <v>2247017.6294126948</v>
      </c>
    </row>
    <row r="14" spans="1:72" s="23" customFormat="1" x14ac:dyDescent="0.25">
      <c r="A14" s="23" t="str">
        <f t="shared" si="1"/>
        <v>3A Livestock</v>
      </c>
      <c r="C14" s="23" t="str">
        <f>C13</f>
        <v>3A1d Goats</v>
      </c>
      <c r="D14" t="str">
        <f>$D$12</f>
        <v>Subsistence</v>
      </c>
      <c r="E14" s="23" t="str">
        <f t="shared" si="2"/>
        <v>Population</v>
      </c>
      <c r="F14" s="23" t="str">
        <f t="shared" si="3"/>
        <v>Head</v>
      </c>
      <c r="H14" s="43">
        <v>5479284.9120494025</v>
      </c>
      <c r="I14" s="43">
        <v>4845236.4416932901</v>
      </c>
      <c r="J14" s="43">
        <v>4513397.9899181286</v>
      </c>
      <c r="K14" s="43">
        <v>4264519.151086757</v>
      </c>
      <c r="L14" s="43">
        <v>4616109.8916580593</v>
      </c>
      <c r="M14" s="43">
        <v>4679317.2158057094</v>
      </c>
      <c r="N14" s="43">
        <v>4752400.6843514293</v>
      </c>
      <c r="O14" s="43">
        <v>4728697.9377960609</v>
      </c>
      <c r="P14" s="43">
        <v>4661540.1558891824</v>
      </c>
      <c r="Q14" s="43">
        <v>4592407.1451026909</v>
      </c>
      <c r="R14" s="43">
        <v>4651664.0114911124</v>
      </c>
      <c r="S14" s="43">
        <v>4793880.4908233248</v>
      </c>
      <c r="T14" s="43">
        <v>4377107.1972247576</v>
      </c>
      <c r="U14" s="43">
        <v>4266494.3799663708</v>
      </c>
      <c r="V14" s="43">
        <v>4274395.2954848269</v>
      </c>
      <c r="W14" s="43">
        <v>4219088.886855633</v>
      </c>
      <c r="X14" s="43">
        <v>4307974.1864382662</v>
      </c>
      <c r="Y14" s="43">
        <v>4179584.3092633518</v>
      </c>
      <c r="Z14" s="43">
        <v>4175633.8515041238</v>
      </c>
      <c r="AA14" s="43">
        <v>4102550.3829584038</v>
      </c>
      <c r="AB14" s="43">
        <v>4053169.6609680522</v>
      </c>
      <c r="AC14" s="43">
        <v>4015640.3122553849</v>
      </c>
      <c r="AD14" s="24">
        <f>'Intermediate calculations'!Y22*'Intermediate calculations'!Y25*(1-Constants!$H$23)</f>
        <v>4014392.4852438644</v>
      </c>
      <c r="AE14" s="24">
        <f>'Intermediate calculations'!Z22*'Intermediate calculations'!Z25*(1-Constants!$H$23)</f>
        <v>4024862.9717508648</v>
      </c>
      <c r="AF14" s="24">
        <f>'Intermediate calculations'!AA22*'Intermediate calculations'!AA25*(1-Constants!$H$23)</f>
        <v>4038815.8225107281</v>
      </c>
      <c r="AG14" s="24">
        <f>'Intermediate calculations'!AB22*'Intermediate calculations'!AB25*(1-Constants!$H$23)</f>
        <v>4055940.8382361531</v>
      </c>
      <c r="AH14" s="24">
        <f>'Intermediate calculations'!AC22*'Intermediate calculations'!AC25*(1-Constants!$H$23)</f>
        <v>4076443.8053931287</v>
      </c>
      <c r="AI14" s="24">
        <f>'Intermediate calculations'!AD22*'Intermediate calculations'!AD25*(1-Constants!$H$23)</f>
        <v>4100379.2848785804</v>
      </c>
      <c r="AJ14" s="24">
        <f>'Intermediate calculations'!AE22*'Intermediate calculations'!AE25*(1-Constants!$H$23)</f>
        <v>4125970.725089977</v>
      </c>
      <c r="AK14" s="24">
        <f>'Intermediate calculations'!AF22*'Intermediate calculations'!AF25*(1-Constants!$H$23)</f>
        <v>4152852.1894124444</v>
      </c>
      <c r="AL14" s="24">
        <f>'Intermediate calculations'!AG22*'Intermediate calculations'!AG25*(1-Constants!$H$23)</f>
        <v>4177823.8890650896</v>
      </c>
      <c r="AM14" s="24">
        <f>'Intermediate calculations'!AH22*'Intermediate calculations'!AH25*(1-Constants!$H$23)</f>
        <v>4189526.3883244074</v>
      </c>
      <c r="AN14" s="24">
        <f>'Intermediate calculations'!AI22*'Intermediate calculations'!AI25*(1-Constants!$H$23)</f>
        <v>4202358.82744841</v>
      </c>
      <c r="AO14" s="24">
        <f>'Intermediate calculations'!AJ22*'Intermediate calculations'!AJ25*(1-Constants!$H$23)</f>
        <v>4216337.491126379</v>
      </c>
      <c r="AP14" s="24">
        <f>'Intermediate calculations'!AK22*'Intermediate calculations'!AK25*(1-Constants!$H$23)</f>
        <v>4231540.3877698993</v>
      </c>
      <c r="AQ14" s="24">
        <f>'Intermediate calculations'!AL22*'Intermediate calculations'!AL25*(1-Constants!$H$23)</f>
        <v>4247762.8278696174</v>
      </c>
      <c r="AR14" s="24">
        <f>'Intermediate calculations'!AM22*'Intermediate calculations'!AM25*(1-Constants!$H$23)</f>
        <v>4258016.9515716322</v>
      </c>
      <c r="AS14" s="24">
        <f>'Intermediate calculations'!AN22*'Intermediate calculations'!AN25*(1-Constants!$H$23)</f>
        <v>4269111.3919825209</v>
      </c>
      <c r="AT14" s="24">
        <f>'Intermediate calculations'!AO22*'Intermediate calculations'!AO25*(1-Constants!$H$23)</f>
        <v>4281092.0475214124</v>
      </c>
      <c r="AU14" s="24">
        <f>'Intermediate calculations'!AP22*'Intermediate calculations'!AP25*(1-Constants!$H$23)</f>
        <v>4293793.9803095507</v>
      </c>
      <c r="AV14" s="24">
        <f>'Intermediate calculations'!AQ22*'Intermediate calculations'!AQ25*(1-Constants!$H$23)</f>
        <v>4307267.9994779527</v>
      </c>
      <c r="AW14" s="24">
        <f>'Intermediate calculations'!AR22*'Intermediate calculations'!AR25*(1-Constants!$H$23)</f>
        <v>4316092.5873637712</v>
      </c>
      <c r="AX14" s="24">
        <f>'Intermediate calculations'!AS22*'Intermediate calculations'!AS25*(1-Constants!$H$23)</f>
        <v>4325662.9161692243</v>
      </c>
      <c r="AY14" s="24">
        <f>'Intermediate calculations'!AT22*'Intermediate calculations'!AT25*(1-Constants!$H$23)</f>
        <v>4335898.0793104479</v>
      </c>
      <c r="AZ14" s="24">
        <f>'Intermediate calculations'!AU22*'Intermediate calculations'!AU25*(1-Constants!$H$23)</f>
        <v>4345640.458791188</v>
      </c>
      <c r="BA14" s="24">
        <f>'Intermediate calculations'!AV22*'Intermediate calculations'!AV25*(1-Constants!$H$23)</f>
        <v>4303052.1387127396</v>
      </c>
      <c r="BB14" s="24">
        <f>'Intermediate calculations'!AW22*'Intermediate calculations'!AW25*(1-Constants!$H$23)</f>
        <v>4308750.4675854268</v>
      </c>
      <c r="BC14" s="24">
        <f>'Intermediate calculations'!AX22*'Intermediate calculations'!AX25*(1-Constants!$H$23)</f>
        <v>4314959.737378045</v>
      </c>
      <c r="BD14" s="24">
        <f>'Intermediate calculations'!AY22*'Intermediate calculations'!AY25*(1-Constants!$H$23)</f>
        <v>4321659.1983547872</v>
      </c>
      <c r="BE14" s="24">
        <f>'Intermediate calculations'!AZ22*'Intermediate calculations'!AZ25*(1-Constants!$H$23)</f>
        <v>4328829.7102454863</v>
      </c>
      <c r="BF14" s="24">
        <f>'Intermediate calculations'!BA22*'Intermediate calculations'!BA25*(1-Constants!$H$23)</f>
        <v>4336453.588142301</v>
      </c>
      <c r="BG14" s="24">
        <f>'Intermediate calculations'!BB22*'Intermediate calculations'!BB25*(1-Constants!$H$23)</f>
        <v>4339726.1256092181</v>
      </c>
      <c r="BH14" s="24">
        <f>'Intermediate calculations'!BC22*'Intermediate calculations'!BC25*(1-Constants!$H$23)</f>
        <v>4343407.0854588849</v>
      </c>
      <c r="BI14" s="24">
        <f>'Intermediate calculations'!BD22*'Intermediate calculations'!BD25*(1-Constants!$H$23)</f>
        <v>4347481.070187184</v>
      </c>
      <c r="BJ14" s="24">
        <f>'Intermediate calculations'!BE22*'Intermediate calculations'!BE25*(1-Constants!$H$23)</f>
        <v>4351933.7385949902</v>
      </c>
      <c r="BK14" s="24">
        <f>'Intermediate calculations'!BF22*'Intermediate calculations'!BF25*(1-Constants!$H$23)</f>
        <v>4356751.7152914843</v>
      </c>
      <c r="BL14" s="24">
        <f>'Intermediate calculations'!BG22*'Intermediate calculations'!BG25*(1-Constants!$H$23)</f>
        <v>4357127.6135512013</v>
      </c>
      <c r="BM14" s="24">
        <f>'Intermediate calculations'!BH22*'Intermediate calculations'!BH25*(1-Constants!$H$23)</f>
        <v>4357837.8102205722</v>
      </c>
      <c r="BN14" s="24">
        <f>'Intermediate calculations'!BI22*'Intermediate calculations'!BI25*(1-Constants!$H$23)</f>
        <v>4358870.2996184686</v>
      </c>
      <c r="BO14" s="24">
        <f>'Intermediate calculations'!BJ22*'Intermediate calculations'!BJ25*(1-Constants!$H$23)</f>
        <v>4360213.8109174296</v>
      </c>
      <c r="BP14" s="24">
        <f>'Intermediate calculations'!BK22*'Intermediate calculations'!BK25*(1-Constants!$H$23)</f>
        <v>4361857.7512128772</v>
      </c>
    </row>
    <row r="15" spans="1:72" s="23" customFormat="1" x14ac:dyDescent="0.25">
      <c r="A15" s="23" t="str">
        <f t="shared" si="1"/>
        <v>3A Livestock</v>
      </c>
      <c r="C15" s="23" t="str">
        <f>'IPCC Categories'!$C$9</f>
        <v>3A1f Horses</v>
      </c>
      <c r="D15" t="str">
        <f>'IPCC Categories'!$F$42</f>
        <v>Horses</v>
      </c>
      <c r="E15" s="23" t="str">
        <f t="shared" si="2"/>
        <v>Population</v>
      </c>
      <c r="F15" s="23" t="str">
        <f t="shared" si="3"/>
        <v>Head</v>
      </c>
      <c r="H15" s="43">
        <v>230000</v>
      </c>
      <c r="I15" s="43">
        <v>230000</v>
      </c>
      <c r="J15" s="43">
        <v>230000</v>
      </c>
      <c r="K15" s="43">
        <v>235000</v>
      </c>
      <c r="L15" s="43">
        <v>240000</v>
      </c>
      <c r="M15" s="43">
        <v>245000</v>
      </c>
      <c r="N15" s="43">
        <v>250000</v>
      </c>
      <c r="O15" s="43">
        <v>255000</v>
      </c>
      <c r="P15" s="43">
        <v>260000</v>
      </c>
      <c r="Q15" s="43">
        <v>258000</v>
      </c>
      <c r="R15" s="43">
        <v>270000</v>
      </c>
      <c r="S15" s="43">
        <v>270000</v>
      </c>
      <c r="T15" s="43">
        <v>270000</v>
      </c>
      <c r="U15" s="43">
        <v>270000</v>
      </c>
      <c r="V15" s="43">
        <v>270000</v>
      </c>
      <c r="W15" s="43">
        <v>270000</v>
      </c>
      <c r="X15" s="43">
        <v>280000</v>
      </c>
      <c r="Y15" s="43">
        <v>290000</v>
      </c>
      <c r="Z15" s="43">
        <v>298000</v>
      </c>
      <c r="AA15" s="43">
        <v>300000</v>
      </c>
      <c r="AB15" s="43">
        <v>300000</v>
      </c>
      <c r="AC15" s="43">
        <v>305000</v>
      </c>
      <c r="AD15" s="24">
        <f>((Data!$AJ$61*((Drivers!Z5*1000000)/Drivers!Z4))+Data!$AK$61)</f>
        <v>309424.59857961355</v>
      </c>
      <c r="AE15" s="24">
        <f>((Data!$AJ$61*((Drivers!AA5*1000000)/Drivers!AA4))+Data!$AK$61)</f>
        <v>311238.00485276635</v>
      </c>
      <c r="AF15" s="24">
        <f>((Data!$AJ$61*((Drivers!AB5*1000000)/Drivers!AB4))+Data!$AK$61)</f>
        <v>311684.78111939383</v>
      </c>
      <c r="AG15" s="24">
        <f>((Data!$AJ$61*((Drivers!AC5*1000000)/Drivers!AC4))+Data!$AK$61)</f>
        <v>310319.89215582341</v>
      </c>
      <c r="AH15" s="24">
        <f>((Data!$AJ$61*((Drivers!AD5*1000000)/Drivers!AD4))+Data!$AK$61)</f>
        <v>308875.85176937183</v>
      </c>
      <c r="AI15" s="24">
        <f>((Data!$AJ$61*((Drivers!AE5*1000000)/Drivers!AE4))+Data!$AK$61)</f>
        <v>308188.80875604128</v>
      </c>
      <c r="AJ15" s="24">
        <f>((Data!$AJ$61*((Drivers!AF5*1000000)/Drivers!AF4))+Data!$AK$61)</f>
        <v>307730.5816715043</v>
      </c>
      <c r="AK15" s="24">
        <f>((Data!$AJ$61*((Drivers!AG5*1000000)/Drivers!AG4))+Data!$AK$61)</f>
        <v>305520.32201924094</v>
      </c>
      <c r="AL15" s="24">
        <f>((Data!$AJ$61*((Drivers!AH5*1000000)/Drivers!AH4))+Data!$AK$61)</f>
        <v>287661.89914888295</v>
      </c>
      <c r="AM15" s="24">
        <f>((Data!$AJ$61*((Drivers!AI5*1000000)/Drivers!AI4))+Data!$AK$61)</f>
        <v>290190.91684253712</v>
      </c>
      <c r="AN15" s="24">
        <f>((Data!$AJ$61*((Drivers!AJ5*1000000)/Drivers!AJ4))+Data!$AK$61)</f>
        <v>292261.88816590386</v>
      </c>
      <c r="AO15" s="24">
        <f>((Data!$AJ$61*((Drivers!AK5*1000000)/Drivers!AK4))+Data!$AK$61)</f>
        <v>294290.99398597062</v>
      </c>
      <c r="AP15" s="24">
        <f>((Data!$AJ$61*((Drivers!AL5*1000000)/Drivers!AL4))+Data!$AK$61)</f>
        <v>296921.63065138634</v>
      </c>
      <c r="AQ15" s="24">
        <f>((Data!$AJ$61*((Drivers!AM5*1000000)/Drivers!AM4))+Data!$AK$61)</f>
        <v>299504.15233855741</v>
      </c>
      <c r="AR15" s="24">
        <f>((Data!$AJ$61*((Drivers!AN5*1000000)/Drivers!AN4))+Data!$AK$61)</f>
        <v>302462.66364576167</v>
      </c>
      <c r="AS15" s="24">
        <f>((Data!$AJ$61*((Drivers!AO5*1000000)/Drivers!AO4))+Data!$AK$61)</f>
        <v>305228.59279304056</v>
      </c>
      <c r="AT15" s="24">
        <f>((Data!$AJ$61*((Drivers!AP5*1000000)/Drivers!AP4))+Data!$AK$61)</f>
        <v>308203.9000551239</v>
      </c>
      <c r="AU15" s="24">
        <f>((Data!$AJ$61*((Drivers!AQ5*1000000)/Drivers!AQ4))+Data!$AK$61)</f>
        <v>310844.02698894078</v>
      </c>
      <c r="AV15" s="24">
        <f>((Data!$AJ$61*((Drivers!AR5*1000000)/Drivers!AR4))+Data!$AK$61)</f>
        <v>313533.17193691689</v>
      </c>
      <c r="AW15" s="24">
        <f>((Data!$AJ$61*((Drivers!AS5*1000000)/Drivers!AS4))+Data!$AK$61)</f>
        <v>317257.67426268931</v>
      </c>
      <c r="AX15" s="24">
        <f>((Data!$AJ$61*((Drivers!AT5*1000000)/Drivers!AT4))+Data!$AK$61)</f>
        <v>321321.96909125871</v>
      </c>
      <c r="AY15" s="24">
        <f>((Data!$AJ$61*((Drivers!AU5*1000000)/Drivers!AU4))+Data!$AK$61)</f>
        <v>325501.24891106453</v>
      </c>
      <c r="AZ15" s="24">
        <f>((Data!$AJ$61*((Drivers!AV5*1000000)/Drivers!AV4))+Data!$AK$61)</f>
        <v>324906.74141302751</v>
      </c>
      <c r="BA15" s="24">
        <f>((Data!$AJ$61*((Drivers!AW5*1000000)/Drivers!AW4))+Data!$AK$61)</f>
        <v>96134.468780259602</v>
      </c>
      <c r="BB15" s="24">
        <f>((Data!$AJ$61*((Drivers!AX5*1000000)/Drivers!AX4))+Data!$AK$61)</f>
        <v>96134.468780259602</v>
      </c>
      <c r="BC15" s="24">
        <f>((Data!$AJ$61*((Drivers!AY5*1000000)/Drivers!AY4))+Data!$AK$61)</f>
        <v>96134.468780259602</v>
      </c>
      <c r="BD15" s="24">
        <f>((Data!$AJ$61*((Drivers!AZ5*1000000)/Drivers!AZ4))+Data!$AK$61)</f>
        <v>96134.468780259602</v>
      </c>
      <c r="BE15" s="24">
        <f>((Data!$AJ$61*((Drivers!BA5*1000000)/Drivers!BA4))+Data!$AK$61)</f>
        <v>96134.468780259602</v>
      </c>
      <c r="BF15" s="24">
        <f>((Data!$AJ$61*((Drivers!BB5*1000000)/Drivers!BB4))+Data!$AK$61)</f>
        <v>96134.468780259602</v>
      </c>
      <c r="BG15" s="24">
        <f>((Data!$AJ$61*((Drivers!BC5*1000000)/Drivers!BC4))+Data!$AK$61)</f>
        <v>96134.468780259602</v>
      </c>
      <c r="BH15" s="24">
        <f>((Data!$AJ$61*((Drivers!BD5*1000000)/Drivers!BD4))+Data!$AK$61)</f>
        <v>96134.468780259602</v>
      </c>
      <c r="BI15" s="24">
        <f>((Data!$AJ$61*((Drivers!BE5*1000000)/Drivers!BE4))+Data!$AK$61)</f>
        <v>96134.468780259602</v>
      </c>
      <c r="BJ15" s="24">
        <f>((Data!$AJ$61*((Drivers!BF5*1000000)/Drivers!BF4))+Data!$AK$61)</f>
        <v>96134.468780259602</v>
      </c>
      <c r="BK15" s="24">
        <f>((Data!$AJ$61*((Drivers!BG5*1000000)/Drivers!BG4))+Data!$AK$61)</f>
        <v>96134.468780259602</v>
      </c>
      <c r="BL15" s="24">
        <f>((Data!$AJ$61*((Drivers!BH5*1000000)/Drivers!BH4))+Data!$AK$61)</f>
        <v>96134.468780259602</v>
      </c>
      <c r="BM15" s="24">
        <f>((Data!$AJ$61*((Drivers!BI5*1000000)/Drivers!BI4))+Data!$AK$61)</f>
        <v>96134.468780259602</v>
      </c>
      <c r="BN15" s="24">
        <f>((Data!$AJ$61*((Drivers!BJ5*1000000)/Drivers!BJ4))+Data!$AK$61)</f>
        <v>96134.468780259602</v>
      </c>
      <c r="BO15" s="24">
        <f>((Data!$AJ$61*((Drivers!BK5*1000000)/Drivers!BK4))+Data!$AK$61)</f>
        <v>96134.468780259602</v>
      </c>
      <c r="BP15" s="24">
        <f>((Data!$AJ$61*((Drivers!BL5*1000000)/Drivers!BL4))+Data!$AK$61)</f>
        <v>96134.468780259602</v>
      </c>
    </row>
    <row r="16" spans="1:72" s="23" customFormat="1" x14ac:dyDescent="0.25">
      <c r="A16" s="23" t="str">
        <f t="shared" si="1"/>
        <v>3A Livestock</v>
      </c>
      <c r="C16" s="23" t="str">
        <f>'IPCC Categories'!$C$10</f>
        <v>3A1g Mules &amp; asses</v>
      </c>
      <c r="D16" t="str">
        <f>'IPCC Categories'!$F$43</f>
        <v>Mules &amp; Asses</v>
      </c>
      <c r="E16" s="23" t="str">
        <f t="shared" si="2"/>
        <v>Population</v>
      </c>
      <c r="F16" s="23" t="str">
        <f t="shared" si="3"/>
        <v>Head</v>
      </c>
      <c r="H16" s="43">
        <v>224000</v>
      </c>
      <c r="I16" s="43">
        <v>224000</v>
      </c>
      <c r="J16" s="43">
        <v>224000</v>
      </c>
      <c r="K16" s="43">
        <v>224000</v>
      </c>
      <c r="L16" s="43">
        <v>224000</v>
      </c>
      <c r="M16" s="43">
        <v>224000</v>
      </c>
      <c r="N16" s="43">
        <v>224000</v>
      </c>
      <c r="O16" s="43">
        <v>224000</v>
      </c>
      <c r="P16" s="43">
        <v>224000</v>
      </c>
      <c r="Q16" s="43">
        <v>224000</v>
      </c>
      <c r="R16" s="43">
        <v>164000</v>
      </c>
      <c r="S16" s="43">
        <v>164000</v>
      </c>
      <c r="T16" s="43">
        <v>164000</v>
      </c>
      <c r="U16" s="43">
        <v>164000</v>
      </c>
      <c r="V16" s="43">
        <v>164000</v>
      </c>
      <c r="W16" s="43">
        <v>164000</v>
      </c>
      <c r="X16" s="43">
        <v>164050</v>
      </c>
      <c r="Y16" s="43">
        <v>164600</v>
      </c>
      <c r="Z16" s="43">
        <v>164700</v>
      </c>
      <c r="AA16" s="43">
        <v>164800</v>
      </c>
      <c r="AB16" s="43">
        <v>166300</v>
      </c>
      <c r="AC16" s="43">
        <v>167000</v>
      </c>
      <c r="AD16" s="24">
        <f t="shared" ref="AD16:AI16" si="4">AC16</f>
        <v>167000</v>
      </c>
      <c r="AE16" s="24">
        <f t="shared" si="4"/>
        <v>167000</v>
      </c>
      <c r="AF16" s="24">
        <f t="shared" si="4"/>
        <v>167000</v>
      </c>
      <c r="AG16" s="24">
        <f t="shared" si="4"/>
        <v>167000</v>
      </c>
      <c r="AH16" s="24">
        <f t="shared" si="4"/>
        <v>167000</v>
      </c>
      <c r="AI16" s="24">
        <f t="shared" si="4"/>
        <v>167000</v>
      </c>
      <c r="AJ16" s="24">
        <f>AI16</f>
        <v>167000</v>
      </c>
      <c r="AK16" s="24">
        <f t="shared" ref="AK16:BP16" si="5">AJ16</f>
        <v>167000</v>
      </c>
      <c r="AL16" s="24">
        <f t="shared" si="5"/>
        <v>167000</v>
      </c>
      <c r="AM16" s="24">
        <f t="shared" si="5"/>
        <v>167000</v>
      </c>
      <c r="AN16" s="24">
        <f t="shared" si="5"/>
        <v>167000</v>
      </c>
      <c r="AO16" s="24">
        <f t="shared" si="5"/>
        <v>167000</v>
      </c>
      <c r="AP16" s="24">
        <f t="shared" si="5"/>
        <v>167000</v>
      </c>
      <c r="AQ16" s="24">
        <f t="shared" si="5"/>
        <v>167000</v>
      </c>
      <c r="AR16" s="24">
        <f t="shared" si="5"/>
        <v>167000</v>
      </c>
      <c r="AS16" s="24">
        <f t="shared" si="5"/>
        <v>167000</v>
      </c>
      <c r="AT16" s="24">
        <f t="shared" si="5"/>
        <v>167000</v>
      </c>
      <c r="AU16" s="24">
        <f t="shared" si="5"/>
        <v>167000</v>
      </c>
      <c r="AV16" s="24">
        <f t="shared" si="5"/>
        <v>167000</v>
      </c>
      <c r="AW16" s="24">
        <f t="shared" si="5"/>
        <v>167000</v>
      </c>
      <c r="AX16" s="24">
        <f t="shared" si="5"/>
        <v>167000</v>
      </c>
      <c r="AY16" s="24">
        <f t="shared" si="5"/>
        <v>167000</v>
      </c>
      <c r="AZ16" s="24">
        <f t="shared" si="5"/>
        <v>167000</v>
      </c>
      <c r="BA16" s="24">
        <f t="shared" si="5"/>
        <v>167000</v>
      </c>
      <c r="BB16" s="24">
        <f t="shared" si="5"/>
        <v>167000</v>
      </c>
      <c r="BC16" s="24">
        <f t="shared" si="5"/>
        <v>167000</v>
      </c>
      <c r="BD16" s="24">
        <f t="shared" si="5"/>
        <v>167000</v>
      </c>
      <c r="BE16" s="24">
        <f t="shared" si="5"/>
        <v>167000</v>
      </c>
      <c r="BF16" s="24">
        <f t="shared" si="5"/>
        <v>167000</v>
      </c>
      <c r="BG16" s="24">
        <f t="shared" si="5"/>
        <v>167000</v>
      </c>
      <c r="BH16" s="24">
        <f t="shared" si="5"/>
        <v>167000</v>
      </c>
      <c r="BI16" s="24">
        <f t="shared" si="5"/>
        <v>167000</v>
      </c>
      <c r="BJ16" s="24">
        <f t="shared" si="5"/>
        <v>167000</v>
      </c>
      <c r="BK16" s="24">
        <f t="shared" si="5"/>
        <v>167000</v>
      </c>
      <c r="BL16" s="24">
        <f t="shared" si="5"/>
        <v>167000</v>
      </c>
      <c r="BM16" s="24">
        <f t="shared" si="5"/>
        <v>167000</v>
      </c>
      <c r="BN16" s="24">
        <f t="shared" si="5"/>
        <v>167000</v>
      </c>
      <c r="BO16" s="24">
        <f t="shared" si="5"/>
        <v>167000</v>
      </c>
      <c r="BP16" s="24">
        <f t="shared" si="5"/>
        <v>167000</v>
      </c>
    </row>
    <row r="17" spans="1:72" s="23" customFormat="1" x14ac:dyDescent="0.25">
      <c r="A17" s="23" t="str">
        <f t="shared" si="1"/>
        <v>3A Livestock</v>
      </c>
      <c r="C17" s="23" t="str">
        <f>'IPCC Categories'!$C$11</f>
        <v>3A1h Swine</v>
      </c>
      <c r="D17" t="str">
        <f>'IPCC Categories'!F36</f>
        <v>Commercial</v>
      </c>
      <c r="E17" s="23" t="str">
        <f t="shared" si="2"/>
        <v>Population</v>
      </c>
      <c r="F17" s="23" t="str">
        <f t="shared" si="3"/>
        <v>Head</v>
      </c>
      <c r="H17" s="43">
        <v>1524000</v>
      </c>
      <c r="I17" s="43">
        <v>1665000</v>
      </c>
      <c r="J17" s="43">
        <v>1654000</v>
      </c>
      <c r="K17" s="43">
        <v>1653000</v>
      </c>
      <c r="L17" s="43">
        <v>1570000</v>
      </c>
      <c r="M17" s="43">
        <v>1585000</v>
      </c>
      <c r="N17" s="43">
        <v>1707000</v>
      </c>
      <c r="O17" s="43">
        <v>1699000</v>
      </c>
      <c r="P17" s="43">
        <v>1736000</v>
      </c>
      <c r="Q17" s="43">
        <v>1780000</v>
      </c>
      <c r="R17" s="43">
        <v>1647000</v>
      </c>
      <c r="S17" s="43">
        <v>1678000</v>
      </c>
      <c r="T17" s="43">
        <v>1710000</v>
      </c>
      <c r="U17" s="43">
        <v>1663000</v>
      </c>
      <c r="V17" s="43">
        <v>1663000</v>
      </c>
      <c r="W17" s="43">
        <v>1651000</v>
      </c>
      <c r="X17" s="43">
        <v>1622000</v>
      </c>
      <c r="Y17" s="43">
        <v>1651000</v>
      </c>
      <c r="Z17" s="43">
        <v>1615000</v>
      </c>
      <c r="AA17" s="43">
        <v>1613000</v>
      </c>
      <c r="AB17" s="43">
        <v>1594000</v>
      </c>
      <c r="AC17" s="43">
        <v>1584000</v>
      </c>
      <c r="AD17" s="24">
        <f>'Intermediate calculations'!Y32*'Intermediate calculations'!Y33*Constants!$H$24</f>
        <v>1668706.6341391769</v>
      </c>
      <c r="AE17" s="24">
        <f>'Intermediate calculations'!Z32*'Intermediate calculations'!Z33*Constants!$H$24</f>
        <v>1663439.5890291643</v>
      </c>
      <c r="AF17" s="24">
        <f>'Intermediate calculations'!AA32*'Intermediate calculations'!AA33*Constants!$H$24</f>
        <v>1646021.5105360481</v>
      </c>
      <c r="AG17" s="24">
        <f>'Intermediate calculations'!AB32*'Intermediate calculations'!AB33*Constants!$H$24</f>
        <v>1612202.0581695586</v>
      </c>
      <c r="AH17" s="24">
        <f>'Intermediate calculations'!AC32*'Intermediate calculations'!AC33*Constants!$H$24</f>
        <v>1579862.3263952187</v>
      </c>
      <c r="AI17" s="24">
        <f>'Intermediate calculations'!AD32*'Intermediate calculations'!AD33*Constants!$H$24</f>
        <v>1557175.5891199291</v>
      </c>
      <c r="AJ17" s="24">
        <f>'Intermediate calculations'!AE32*'Intermediate calculations'!AE33*Constants!$H$24</f>
        <v>1537961.8149546264</v>
      </c>
      <c r="AK17" s="24">
        <f>'Intermediate calculations'!AF32*'Intermediate calculations'!AF33*Constants!$H$24</f>
        <v>1502581.6771722403</v>
      </c>
      <c r="AL17" s="24">
        <f>'Intermediate calculations'!AG32*'Intermediate calculations'!AG33*Constants!$H$24</f>
        <v>1315396.4760612361</v>
      </c>
      <c r="AM17" s="24">
        <f>'Intermediate calculations'!AH32*'Intermediate calculations'!AH33*Constants!$H$24</f>
        <v>1323755.2854348691</v>
      </c>
      <c r="AN17" s="24">
        <f>'Intermediate calculations'!AI32*'Intermediate calculations'!AI33*Constants!$H$24</f>
        <v>1327951.065289777</v>
      </c>
      <c r="AO17" s="24">
        <f>'Intermediate calculations'!AJ32*'Intermediate calculations'!AJ33*Constants!$H$24</f>
        <v>1332030.1846082564</v>
      </c>
      <c r="AP17" s="24">
        <f>'Intermediate calculations'!AK32*'Intermediate calculations'!AK33*Constants!$H$24</f>
        <v>1341993.8516832485</v>
      </c>
      <c r="AQ17" s="24">
        <f>'Intermediate calculations'!AL32*'Intermediate calculations'!AL33*Constants!$H$24</f>
        <v>1351622.5569717193</v>
      </c>
      <c r="AR17" s="24">
        <f>'Intermediate calculations'!AM32*'Intermediate calculations'!AM33*Constants!$H$24</f>
        <v>1362669.1487958359</v>
      </c>
      <c r="AS17" s="24">
        <f>'Intermediate calculations'!AN32*'Intermediate calculations'!AN33*Constants!$H$24</f>
        <v>1371941.0880858656</v>
      </c>
      <c r="AT17" s="24">
        <f>'Intermediate calculations'!AO32*'Intermediate calculations'!AO33*Constants!$H$24</f>
        <v>1383083.8020384752</v>
      </c>
      <c r="AU17" s="24">
        <f>'Intermediate calculations'!AP32*'Intermediate calculations'!AP33*Constants!$H$24</f>
        <v>1391195.0575322811</v>
      </c>
      <c r="AV17" s="24">
        <f>'Intermediate calculations'!AQ32*'Intermediate calculations'!AQ33*Constants!$H$24</f>
        <v>1399727.3880666287</v>
      </c>
      <c r="AW17" s="24">
        <f>'Intermediate calculations'!AR32*'Intermediate calculations'!AR33*Constants!$H$24</f>
        <v>1415464.7923016609</v>
      </c>
      <c r="AX17" s="24">
        <f>'Intermediate calculations'!AS32*'Intermediate calculations'!AS33*Constants!$H$24</f>
        <v>1433848.6497403779</v>
      </c>
      <c r="AY17" s="24">
        <f>'Intermediate calculations'!AT32*'Intermediate calculations'!AT33*Constants!$H$24</f>
        <v>1452872.628530995</v>
      </c>
      <c r="AZ17" s="24">
        <f>'Intermediate calculations'!AU32*'Intermediate calculations'!AU33*Constants!$H$24</f>
        <v>1431491.3732216139</v>
      </c>
      <c r="BA17" s="24">
        <f>'Intermediate calculations'!AV32*'Intermediate calculations'!AV33*Constants!$H$24</f>
        <v>-482995.86603850994</v>
      </c>
      <c r="BB17" s="24">
        <f>'Intermediate calculations'!AW32*'Intermediate calculations'!AW33*Constants!$H$24</f>
        <v>-477712.67139265809</v>
      </c>
      <c r="BC17" s="24">
        <f>'Intermediate calculations'!AX32*'Intermediate calculations'!AX33*Constants!$H$24</f>
        <v>-472542.63526061765</v>
      </c>
      <c r="BD17" s="24">
        <f>'Intermediate calculations'!AY32*'Intermediate calculations'!AY33*Constants!$H$24</f>
        <v>-467478.35495464271</v>
      </c>
      <c r="BE17" s="24">
        <f>'Intermediate calculations'!AZ32*'Intermediate calculations'!AZ33*Constants!$H$24</f>
        <v>-462512.96981262625</v>
      </c>
      <c r="BF17" s="24">
        <f>'Intermediate calculations'!BA32*'Intermediate calculations'!BA33*Constants!$H$24</f>
        <v>-457640.10878107429</v>
      </c>
      <c r="BG17" s="24">
        <f>'Intermediate calculations'!BB32*'Intermediate calculations'!BB33*Constants!$H$24</f>
        <v>-452295.55110976769</v>
      </c>
      <c r="BH17" s="24">
        <f>'Intermediate calculations'!BC32*'Intermediate calculations'!BC33*Constants!$H$24</f>
        <v>-447045.22553647956</v>
      </c>
      <c r="BI17" s="24">
        <f>'Intermediate calculations'!BD32*'Intermediate calculations'!BD33*Constants!$H$24</f>
        <v>-441883.62847570429</v>
      </c>
      <c r="BJ17" s="24">
        <f>'Intermediate calculations'!BE32*'Intermediate calculations'!BE33*Constants!$H$24</f>
        <v>-436805.61582397495</v>
      </c>
      <c r="BK17" s="24">
        <f>'Intermediate calculations'!BF32*'Intermediate calculations'!BF33*Constants!$H$24</f>
        <v>-431806.37189970666</v>
      </c>
      <c r="BL17" s="24">
        <f>'Intermediate calculations'!BG32*'Intermediate calculations'!BG33*Constants!$H$24</f>
        <v>-426358.31520864717</v>
      </c>
      <c r="BM17" s="24">
        <f>'Intermediate calculations'!BH32*'Intermediate calculations'!BH33*Constants!$H$24</f>
        <v>-420993.47015354381</v>
      </c>
      <c r="BN17" s="24">
        <f>'Intermediate calculations'!BI32*'Intermediate calculations'!BI33*Constants!$H$24</f>
        <v>-415707.55352686573</v>
      </c>
      <c r="BO17" s="24">
        <f>'Intermediate calculations'!BJ32*'Intermediate calculations'!BJ33*Constants!$H$24</f>
        <v>-410496.53518797131</v>
      </c>
      <c r="BP17" s="24">
        <f>'Intermediate calculations'!BK32*'Intermediate calculations'!BK33*Constants!$H$24</f>
        <v>-405356.61833221326</v>
      </c>
    </row>
    <row r="18" spans="1:72" s="23" customFormat="1" x14ac:dyDescent="0.25">
      <c r="A18" s="23" t="str">
        <f t="shared" si="1"/>
        <v>3A Livestock</v>
      </c>
      <c r="C18" s="23" t="str">
        <f>C17</f>
        <v>3A1h Swine</v>
      </c>
      <c r="D18" t="str">
        <f>'IPCC Categories'!F37</f>
        <v>Subsistence</v>
      </c>
      <c r="E18" s="23" t="str">
        <f t="shared" si="2"/>
        <v>Population</v>
      </c>
      <c r="F18" s="23" t="str">
        <f t="shared" si="3"/>
        <v>Head</v>
      </c>
      <c r="H18" s="43">
        <v>199009.99166888703</v>
      </c>
      <c r="I18" s="43">
        <v>217422.33341778014</v>
      </c>
      <c r="J18" s="43">
        <v>215985.90959339839</v>
      </c>
      <c r="K18" s="43">
        <v>215855.3256093637</v>
      </c>
      <c r="L18" s="43">
        <v>205016.85493448336</v>
      </c>
      <c r="M18" s="43">
        <v>206975.6146950039</v>
      </c>
      <c r="N18" s="43">
        <v>222906.86074723766</v>
      </c>
      <c r="O18" s="43">
        <v>221862.18887496003</v>
      </c>
      <c r="P18" s="43">
        <v>226693.79628424402</v>
      </c>
      <c r="Q18" s="43">
        <v>232439.49158177094</v>
      </c>
      <c r="R18" s="43">
        <v>215071.82170515548</v>
      </c>
      <c r="S18" s="43">
        <v>219119.92521023127</v>
      </c>
      <c r="T18" s="43">
        <v>223298.61269934176</v>
      </c>
      <c r="U18" s="43">
        <v>217161.16544971074</v>
      </c>
      <c r="V18" s="43">
        <v>217161.16544971074</v>
      </c>
      <c r="W18" s="43">
        <v>215594.1576412943</v>
      </c>
      <c r="X18" s="43">
        <v>211807.22210428791</v>
      </c>
      <c r="Y18" s="43">
        <v>215594.1576412943</v>
      </c>
      <c r="Z18" s="43">
        <v>210893.134216045</v>
      </c>
      <c r="AA18" s="43">
        <v>210631.96624797559</v>
      </c>
      <c r="AB18" s="43">
        <v>208150.87055131624</v>
      </c>
      <c r="AC18" s="43">
        <v>206845.03071096921</v>
      </c>
      <c r="AD18" s="24">
        <f>'Intermediate calculations'!Y32*'Intermediate calculations'!Y33*(1-Constants!$H$24)</f>
        <v>227550.90465534228</v>
      </c>
      <c r="AE18" s="24">
        <f>'Intermediate calculations'!Z32*'Intermediate calculations'!Z33*(1-Constants!$H$24)</f>
        <v>226832.67123124967</v>
      </c>
      <c r="AF18" s="24">
        <f>'Intermediate calculations'!AA32*'Intermediate calculations'!AA33*(1-Constants!$H$24)</f>
        <v>224457.47870946111</v>
      </c>
      <c r="AG18" s="24">
        <f>'Intermediate calculations'!AB32*'Intermediate calculations'!AB33*(1-Constants!$H$24)</f>
        <v>219845.73520493979</v>
      </c>
      <c r="AH18" s="24">
        <f>'Intermediate calculations'!AC32*'Intermediate calculations'!AC33*(1-Constants!$H$24)</f>
        <v>215435.77178116617</v>
      </c>
      <c r="AI18" s="24">
        <f>'Intermediate calculations'!AD32*'Intermediate calculations'!AD33*(1-Constants!$H$24)</f>
        <v>212342.12578908124</v>
      </c>
      <c r="AJ18" s="24">
        <f>'Intermediate calculations'!AE32*'Intermediate calculations'!AE33*(1-Constants!$H$24)</f>
        <v>209722.06567563087</v>
      </c>
      <c r="AK18" s="24">
        <f>'Intermediate calculations'!AF32*'Intermediate calculations'!AF33*(1-Constants!$H$24)</f>
        <v>204897.50143257822</v>
      </c>
      <c r="AL18" s="24">
        <f>'Intermediate calculations'!AG32*'Intermediate calculations'!AG33*(1-Constants!$H$24)</f>
        <v>179372.24673562311</v>
      </c>
      <c r="AM18" s="24">
        <f>'Intermediate calculations'!AH32*'Intermediate calculations'!AH33*(1-Constants!$H$24)</f>
        <v>180512.08437748213</v>
      </c>
      <c r="AN18" s="24">
        <f>'Intermediate calculations'!AI32*'Intermediate calculations'!AI33*(1-Constants!$H$24)</f>
        <v>181084.23617587867</v>
      </c>
      <c r="AO18" s="24">
        <f>'Intermediate calculations'!AJ32*'Intermediate calculations'!AJ33*(1-Constants!$H$24)</f>
        <v>181640.47971930768</v>
      </c>
      <c r="AP18" s="24">
        <f>'Intermediate calculations'!AK32*'Intermediate calculations'!AK33*(1-Constants!$H$24)</f>
        <v>182999.16159317023</v>
      </c>
      <c r="AQ18" s="24">
        <f>'Intermediate calculations'!AL32*'Intermediate calculations'!AL33*(1-Constants!$H$24)</f>
        <v>184312.16685977991</v>
      </c>
      <c r="AR18" s="24">
        <f>'Intermediate calculations'!AM32*'Intermediate calculations'!AM33*(1-Constants!$H$24)</f>
        <v>185818.52029034126</v>
      </c>
      <c r="AS18" s="24">
        <f>'Intermediate calculations'!AN32*'Intermediate calculations'!AN33*(1-Constants!$H$24)</f>
        <v>187082.87564807257</v>
      </c>
      <c r="AT18" s="24">
        <f>'Intermediate calculations'!AO32*'Intermediate calculations'!AO33*(1-Constants!$H$24)</f>
        <v>188602.33664161025</v>
      </c>
      <c r="AU18" s="24">
        <f>'Intermediate calculations'!AP32*'Intermediate calculations'!AP33*(1-Constants!$H$24)</f>
        <v>189708.41693622014</v>
      </c>
      <c r="AV18" s="24">
        <f>'Intermediate calculations'!AQ32*'Intermediate calculations'!AQ33*(1-Constants!$H$24)</f>
        <v>190871.91655454028</v>
      </c>
      <c r="AW18" s="24">
        <f>'Intermediate calculations'!AR32*'Intermediate calculations'!AR33*(1-Constants!$H$24)</f>
        <v>193017.92622295374</v>
      </c>
      <c r="AX18" s="24">
        <f>'Intermediate calculations'!AS32*'Intermediate calculations'!AS33*(1-Constants!$H$24)</f>
        <v>195524.81587368788</v>
      </c>
      <c r="AY18" s="24">
        <f>'Intermediate calculations'!AT32*'Intermediate calculations'!AT33*(1-Constants!$H$24)</f>
        <v>198118.99479968112</v>
      </c>
      <c r="AZ18" s="24">
        <f>'Intermediate calculations'!AU32*'Intermediate calculations'!AU33*(1-Constants!$H$24)</f>
        <v>195203.36907567462</v>
      </c>
      <c r="BA18" s="24">
        <f>'Intermediate calculations'!AV32*'Intermediate calculations'!AV33*(1-Constants!$H$24)</f>
        <v>-65863.072641614985</v>
      </c>
      <c r="BB18" s="24">
        <f>'Intermediate calculations'!AW32*'Intermediate calculations'!AW33*(1-Constants!$H$24)</f>
        <v>-65142.63700808974</v>
      </c>
      <c r="BC18" s="24">
        <f>'Intermediate calculations'!AX32*'Intermediate calculations'!AX33*(1-Constants!$H$24)</f>
        <v>-64437.632080993317</v>
      </c>
      <c r="BD18" s="24">
        <f>'Intermediate calculations'!AY32*'Intermediate calculations'!AY33*(1-Constants!$H$24)</f>
        <v>-63747.048402905821</v>
      </c>
      <c r="BE18" s="24">
        <f>'Intermediate calculations'!AZ32*'Intermediate calculations'!AZ33*(1-Constants!$H$24)</f>
        <v>-63069.950428994489</v>
      </c>
      <c r="BF18" s="24">
        <f>'Intermediate calculations'!BA32*'Intermediate calculations'!BA33*(1-Constants!$H$24)</f>
        <v>-62405.469379237402</v>
      </c>
      <c r="BG18" s="24">
        <f>'Intermediate calculations'!BB32*'Intermediate calculations'!BB33*(1-Constants!$H$24)</f>
        <v>-61676.66606042286</v>
      </c>
      <c r="BH18" s="24">
        <f>'Intermediate calculations'!BC32*'Intermediate calculations'!BC33*(1-Constants!$H$24)</f>
        <v>-60960.712573156299</v>
      </c>
      <c r="BI18" s="24">
        <f>'Intermediate calculations'!BD32*'Intermediate calculations'!BD33*(1-Constants!$H$24)</f>
        <v>-60256.858428505126</v>
      </c>
      <c r="BJ18" s="24">
        <f>'Intermediate calculations'!BE32*'Intermediate calculations'!BE33*(1-Constants!$H$24)</f>
        <v>-59564.402157814766</v>
      </c>
      <c r="BK18" s="24">
        <f>'Intermediate calculations'!BF32*'Intermediate calculations'!BF33*(1-Constants!$H$24)</f>
        <v>-58882.687077232724</v>
      </c>
      <c r="BL18" s="24">
        <f>'Intermediate calculations'!BG32*'Intermediate calculations'!BG33*(1-Constants!$H$24)</f>
        <v>-58139.770255724608</v>
      </c>
      <c r="BM18" s="24">
        <f>'Intermediate calculations'!BH32*'Intermediate calculations'!BH33*(1-Constants!$H$24)</f>
        <v>-57408.200475483245</v>
      </c>
      <c r="BN18" s="24">
        <f>'Intermediate calculations'!BI32*'Intermediate calculations'!BI33*(1-Constants!$H$24)</f>
        <v>-56687.39366275441</v>
      </c>
      <c r="BO18" s="24">
        <f>'Intermediate calculations'!BJ32*'Intermediate calculations'!BJ33*(1-Constants!$H$24)</f>
        <v>-55976.800252905174</v>
      </c>
      <c r="BP18" s="24">
        <f>'Intermediate calculations'!BK32*'Intermediate calculations'!BK33*(1-Constants!$H$24)</f>
        <v>-55275.902499847267</v>
      </c>
    </row>
    <row r="19" spans="1:72" s="23" customFormat="1" x14ac:dyDescent="0.25">
      <c r="A19" s="23" t="str">
        <f t="shared" si="1"/>
        <v>3A Livestock</v>
      </c>
      <c r="C19" s="23" t="str">
        <f>'IPCC Categories'!$C$19</f>
        <v>3A2i Poultry</v>
      </c>
      <c r="D19" t="str">
        <f>'IPCC Categories'!F50</f>
        <v>Commercial layers</v>
      </c>
      <c r="E19" s="23" t="str">
        <f t="shared" si="2"/>
        <v>Population</v>
      </c>
      <c r="F19" s="23" t="str">
        <f t="shared" si="3"/>
        <v>Head</v>
      </c>
      <c r="H19" s="43">
        <v>14643674.931267885</v>
      </c>
      <c r="I19" s="43">
        <v>14226110.812328145</v>
      </c>
      <c r="J19" s="43">
        <v>13492476.52712371</v>
      </c>
      <c r="K19" s="43">
        <v>13280331.082668224</v>
      </c>
      <c r="L19" s="43">
        <v>12702684.496371185</v>
      </c>
      <c r="M19" s="43">
        <v>13860209.809151115</v>
      </c>
      <c r="N19" s="43">
        <v>14640611.562802857</v>
      </c>
      <c r="O19" s="43">
        <v>14688755.298092401</v>
      </c>
      <c r="P19" s="43">
        <v>16538299.007411262</v>
      </c>
      <c r="Q19" s="43">
        <v>17730716.13950536</v>
      </c>
      <c r="R19" s="43">
        <v>17355030.714458548</v>
      </c>
      <c r="S19" s="43">
        <v>17818001.024886843</v>
      </c>
      <c r="T19" s="43">
        <v>17678155.288284503</v>
      </c>
      <c r="U19" s="43">
        <v>16972399.104253348</v>
      </c>
      <c r="V19" s="43">
        <v>17587835.89054852</v>
      </c>
      <c r="W19" s="43">
        <v>18648391.6209228</v>
      </c>
      <c r="X19" s="43">
        <v>20580691.805783488</v>
      </c>
      <c r="Y19" s="43">
        <v>22776081.657241259</v>
      </c>
      <c r="Z19" s="43">
        <v>23076039.863330547</v>
      </c>
      <c r="AA19" s="43">
        <v>22225308.649488669</v>
      </c>
      <c r="AB19" s="43">
        <v>23091061.215630483</v>
      </c>
      <c r="AC19" s="43">
        <v>24156882.687047753</v>
      </c>
      <c r="AD19" s="24">
        <f>'Intermediate calculations'!Y37*'Intermediate calculations'!Y38*Constants!$H$25</f>
        <v>23783178.297081485</v>
      </c>
      <c r="AE19" s="24">
        <f>'Intermediate calculations'!Z37*'Intermediate calculations'!Z38*Constants!$H$25</f>
        <v>24298219.499107163</v>
      </c>
      <c r="AF19" s="24">
        <f>'Intermediate calculations'!AA37*'Intermediate calculations'!AA38*Constants!$H$25</f>
        <v>24713217.850884736</v>
      </c>
      <c r="AG19" s="24">
        <f>'Intermediate calculations'!AB37*'Intermediate calculations'!AB38*Constants!$H$25</f>
        <v>24984371.75947506</v>
      </c>
      <c r="AH19" s="24">
        <f>'Intermediate calculations'!AC37*'Intermediate calculations'!AC38*Constants!$H$25</f>
        <v>25259206.097597122</v>
      </c>
      <c r="AI19" s="24">
        <f>'Intermediate calculations'!AD37*'Intermediate calculations'!AD38*Constants!$H$25</f>
        <v>25613519.414029963</v>
      </c>
      <c r="AJ19" s="24">
        <f>'Intermediate calculations'!AE37*'Intermediate calculations'!AE38*Constants!$H$25</f>
        <v>25992423.275297467</v>
      </c>
      <c r="AK19" s="24">
        <f>'Intermediate calculations'!AF37*'Intermediate calculations'!AF38*Constants!$H$25</f>
        <v>26212776.117095202</v>
      </c>
      <c r="AL19" s="24">
        <f>'Intermediate calculations'!AG37*'Intermediate calculations'!AG38*Constants!$H$25</f>
        <v>24945123.146817725</v>
      </c>
      <c r="AM19" s="24">
        <f>'Intermediate calculations'!AH37*'Intermediate calculations'!AH38*Constants!$H$25</f>
        <v>25480661.252422262</v>
      </c>
      <c r="AN19" s="24">
        <f>'Intermediate calculations'!AI37*'Intermediate calculations'!AI38*Constants!$H$25</f>
        <v>25980586.095024668</v>
      </c>
      <c r="AO19" s="24">
        <f>'Intermediate calculations'!AJ37*'Intermediate calculations'!AJ38*Constants!$H$25</f>
        <v>26484457.575813033</v>
      </c>
      <c r="AP19" s="24">
        <f>'Intermediate calculations'!AK37*'Intermediate calculations'!AK38*Constants!$H$25</f>
        <v>27056316.967285138</v>
      </c>
      <c r="AQ19" s="24">
        <f>'Intermediate calculations'!AL37*'Intermediate calculations'!AL38*Constants!$H$25</f>
        <v>27632926.640755821</v>
      </c>
      <c r="AR19" s="24">
        <f>'Intermediate calculations'!AM37*'Intermediate calculations'!AM38*Constants!$H$25</f>
        <v>28210269.10213688</v>
      </c>
      <c r="AS19" s="24">
        <f>'Intermediate calculations'!AN37*'Intermediate calculations'!AN38*Constants!$H$25</f>
        <v>28776475.77705837</v>
      </c>
      <c r="AT19" s="24">
        <f>'Intermediate calculations'!AO37*'Intermediate calculations'!AO38*Constants!$H$25</f>
        <v>29372771.69785786</v>
      </c>
      <c r="AU19" s="24">
        <f>'Intermediate calculations'!AP37*'Intermediate calculations'!AP38*Constants!$H$25</f>
        <v>29942865.504824247</v>
      </c>
      <c r="AV19" s="24">
        <f>'Intermediate calculations'!AQ37*'Intermediate calculations'!AQ38*Constants!$H$25</f>
        <v>30526479.675415944</v>
      </c>
      <c r="AW19" s="24">
        <f>'Intermediate calculations'!AR37*'Intermediate calculations'!AR38*Constants!$H$25</f>
        <v>31188186.315280803</v>
      </c>
      <c r="AX19" s="24">
        <f>'Intermediate calculations'!AS37*'Intermediate calculations'!AS38*Constants!$H$25</f>
        <v>31895498.112077314</v>
      </c>
      <c r="AY19" s="24">
        <f>'Intermediate calculations'!AT37*'Intermediate calculations'!AT38*Constants!$H$25</f>
        <v>32625062.262962099</v>
      </c>
      <c r="AZ19" s="24">
        <f>'Intermediate calculations'!AU37*'Intermediate calculations'!AU38*Constants!$H$25</f>
        <v>32842216.548704859</v>
      </c>
      <c r="BA19" s="24">
        <f>'Intermediate calculations'!AV37*'Intermediate calculations'!AV38*Constants!$H$25</f>
        <v>7871979.81164575</v>
      </c>
      <c r="BB19" s="24">
        <f>'Intermediate calculations'!AW37*'Intermediate calculations'!AW38*Constants!$H$25</f>
        <v>7932482.6339800423</v>
      </c>
      <c r="BC19" s="24">
        <f>'Intermediate calculations'!AX37*'Intermediate calculations'!AX38*Constants!$H$25</f>
        <v>7993425.9629542492</v>
      </c>
      <c r="BD19" s="24">
        <f>'Intermediate calculations'!AY37*'Intermediate calculations'!AY38*Constants!$H$25</f>
        <v>8054813.1529049575</v>
      </c>
      <c r="BE19" s="24">
        <f>'Intermediate calculations'!AZ37*'Intermediate calculations'!AZ38*Constants!$H$25</f>
        <v>8116647.5734013747</v>
      </c>
      <c r="BF19" s="24">
        <f>'Intermediate calculations'!BA37*'Intermediate calculations'!BA38*Constants!$H$25</f>
        <v>8178932.6102363933</v>
      </c>
      <c r="BG19" s="24">
        <f>'Intermediate calculations'!BB37*'Intermediate calculations'!BB38*Constants!$H$25</f>
        <v>8232176.8362201471</v>
      </c>
      <c r="BH19" s="24">
        <f>'Intermediate calculations'!BC37*'Intermediate calculations'!BC38*Constants!$H$25</f>
        <v>8285749.7263312591</v>
      </c>
      <c r="BI19" s="24">
        <f>'Intermediate calculations'!BD37*'Intermediate calculations'!BD38*Constants!$H$25</f>
        <v>8339653.4169303114</v>
      </c>
      <c r="BJ19" s="24">
        <f>'Intermediate calculations'!BE37*'Intermediate calculations'!BE38*Constants!$H$25</f>
        <v>8393890.0515266806</v>
      </c>
      <c r="BK19" s="24">
        <f>'Intermediate calculations'!BF37*'Intermediate calculations'!BF38*Constants!$H$25</f>
        <v>8448461.7813392933</v>
      </c>
      <c r="BL19" s="24">
        <f>'Intermediate calculations'!BG37*'Intermediate calculations'!BG38*Constants!$H$25</f>
        <v>8493613.1761233099</v>
      </c>
      <c r="BM19" s="24">
        <f>'Intermediate calculations'!BH37*'Intermediate calculations'!BH38*Constants!$H$25</f>
        <v>8538993.3104170654</v>
      </c>
      <c r="BN19" s="24">
        <f>'Intermediate calculations'!BI37*'Intermediate calculations'!BI38*Constants!$H$25</f>
        <v>8584603.4248753432</v>
      </c>
      <c r="BO19" s="24">
        <f>'Intermediate calculations'!BJ37*'Intermediate calculations'!BJ38*Constants!$H$25</f>
        <v>8630444.7622401342</v>
      </c>
      <c r="BP19" s="24">
        <f>'Intermediate calculations'!BK37*'Intermediate calculations'!BK38*Constants!$H$25</f>
        <v>8676518.5676753148</v>
      </c>
    </row>
    <row r="20" spans="1:72" s="23" customFormat="1" x14ac:dyDescent="0.25">
      <c r="A20" s="23" t="str">
        <f t="shared" si="1"/>
        <v>3A Livestock</v>
      </c>
      <c r="C20" s="23" t="str">
        <f>C19</f>
        <v>3A2i Poultry</v>
      </c>
      <c r="D20" t="str">
        <f>'IPCC Categories'!F51</f>
        <v>Commercial broilers</v>
      </c>
      <c r="E20" s="23" t="str">
        <f t="shared" si="2"/>
        <v>Population</v>
      </c>
      <c r="F20" s="23" t="str">
        <f t="shared" si="3"/>
        <v>Head</v>
      </c>
      <c r="H20" s="43">
        <v>40304488.125775687</v>
      </c>
      <c r="I20" s="43">
        <v>37886218.887128815</v>
      </c>
      <c r="J20" s="43">
        <v>35805187.036307976</v>
      </c>
      <c r="K20" s="43">
        <v>40268107.368938237</v>
      </c>
      <c r="L20" s="43">
        <v>39890443.299430735</v>
      </c>
      <c r="M20" s="43">
        <v>45660443.796231762</v>
      </c>
      <c r="N20" s="43">
        <v>53091326.838711366</v>
      </c>
      <c r="O20" s="43">
        <v>54040901.985378392</v>
      </c>
      <c r="P20" s="43">
        <v>59214394.697576575</v>
      </c>
      <c r="Q20" s="43">
        <v>61819163.842046939</v>
      </c>
      <c r="R20" s="43">
        <v>66512864.907880791</v>
      </c>
      <c r="S20" s="43">
        <v>64225159.968942329</v>
      </c>
      <c r="T20" s="43">
        <v>71182309.580183759</v>
      </c>
      <c r="U20" s="43">
        <v>67705122.244331256</v>
      </c>
      <c r="V20" s="43">
        <v>69339582.95804137</v>
      </c>
      <c r="W20" s="43">
        <v>76722494.212373629</v>
      </c>
      <c r="X20" s="43">
        <v>82061878.307196394</v>
      </c>
      <c r="Y20" s="43">
        <v>85859218.536646262</v>
      </c>
      <c r="Z20" s="43">
        <v>91416754.470852047</v>
      </c>
      <c r="AA20" s="43">
        <v>86261715.79298</v>
      </c>
      <c r="AB20" s="43">
        <v>88431266.728296682</v>
      </c>
      <c r="AC20" s="43">
        <v>91461113.859690607</v>
      </c>
      <c r="AD20" s="24">
        <f>'Intermediate calculations'!Y42*'Intermediate calculations'!Y43*Constants!$H$26</f>
        <v>95145235.116061851</v>
      </c>
      <c r="AE20" s="24">
        <f>'Intermediate calculations'!Z42*'Intermediate calculations'!Z43*Constants!$H$26</f>
        <v>96689217.199123114</v>
      </c>
      <c r="AF20" s="24">
        <f>'Intermediate calculations'!AA42*'Intermediate calculations'!AA43*Constants!$H$26</f>
        <v>97147657.719454721</v>
      </c>
      <c r="AG20" s="24">
        <f>'Intermediate calculations'!AB42*'Intermediate calculations'!AB43*Constants!$H$26</f>
        <v>96120027.522461593</v>
      </c>
      <c r="AH20" s="24">
        <f>'Intermediate calculations'!AC42*'Intermediate calculations'!AC43*Constants!$H$26</f>
        <v>95094603.80396679</v>
      </c>
      <c r="AI20" s="24">
        <f>'Intermediate calculations'!AD42*'Intermediate calculations'!AD43*Constants!$H$26</f>
        <v>94797066.893859491</v>
      </c>
      <c r="AJ20" s="24">
        <f>'Intermediate calculations'!AE42*'Intermediate calculations'!AE43*Constants!$H$26</f>
        <v>94735085.059626624</v>
      </c>
      <c r="AK20" s="24">
        <f>'Intermediate calculations'!AF42*'Intermediate calculations'!AF43*Constants!$H$26</f>
        <v>93154876.199089095</v>
      </c>
      <c r="AL20" s="24">
        <f>'Intermediate calculations'!AG42*'Intermediate calculations'!AG43*Constants!$H$26</f>
        <v>77620718.516957879</v>
      </c>
      <c r="AM20" s="24">
        <f>'Intermediate calculations'!AH42*'Intermediate calculations'!AH43*Constants!$H$26</f>
        <v>79910336.111540973</v>
      </c>
      <c r="AN20" s="24">
        <f>'Intermediate calculations'!AI42*'Intermediate calculations'!AI43*Constants!$H$26</f>
        <v>81824148.905803218</v>
      </c>
      <c r="AO20" s="24">
        <f>'Intermediate calculations'!AJ42*'Intermediate calculations'!AJ43*Constants!$H$26</f>
        <v>83733318.061702609</v>
      </c>
      <c r="AP20" s="24">
        <f>'Intermediate calculations'!AK42*'Intermediate calculations'!AK43*Constants!$H$26</f>
        <v>86217207.440833971</v>
      </c>
      <c r="AQ20" s="24">
        <f>'Intermediate calculations'!AL42*'Intermediate calculations'!AL43*Constants!$H$26</f>
        <v>88693640.96405369</v>
      </c>
      <c r="AR20" s="24">
        <f>'Intermediate calculations'!AM42*'Intermediate calculations'!AM43*Constants!$H$26</f>
        <v>91412599.964942068</v>
      </c>
      <c r="AS20" s="24">
        <f>'Intermediate calculations'!AN42*'Intermediate calculations'!AN43*Constants!$H$26</f>
        <v>93986379.71127595</v>
      </c>
      <c r="AT20" s="24">
        <f>'Intermediate calculations'!AO42*'Intermediate calculations'!AO43*Constants!$H$26</f>
        <v>96779654.819194913</v>
      </c>
      <c r="AU20" s="24">
        <f>'Intermediate calculations'!AP42*'Intermediate calculations'!AP43*Constants!$H$26</f>
        <v>99298288.39689447</v>
      </c>
      <c r="AV20" s="24">
        <f>'Intermediate calculations'!AQ42*'Intermediate calculations'!AQ43*Constants!$H$26</f>
        <v>101891293.13091554</v>
      </c>
      <c r="AW20" s="24">
        <f>'Intermediate calculations'!AR42*'Intermediate calculations'!AR43*Constants!$H$26</f>
        <v>105337208.21587059</v>
      </c>
      <c r="AX20" s="24">
        <f>'Intermediate calculations'!AS42*'Intermediate calculations'!AS43*Constants!$H$26</f>
        <v>109120385.45718028</v>
      </c>
      <c r="AY20" s="24">
        <f>'Intermediate calculations'!AT42*'Intermediate calculations'!AT43*Constants!$H$26</f>
        <v>113036993.1020368</v>
      </c>
      <c r="AZ20" s="24">
        <f>'Intermediate calculations'!AU42*'Intermediate calculations'!AU43*Constants!$H$26</f>
        <v>112600852.85300086</v>
      </c>
      <c r="BA20" s="24">
        <f>'Intermediate calculations'!AV42*'Intermediate calculations'!AV43*Constants!$H$26</f>
        <v>-97653277.827072814</v>
      </c>
      <c r="BB20" s="24">
        <f>'Intermediate calculations'!AW42*'Intermediate calculations'!AW43*Constants!$H$26</f>
        <v>-97793194.976813674</v>
      </c>
      <c r="BC20" s="24">
        <f>'Intermediate calculations'!AX42*'Intermediate calculations'!AX43*Constants!$H$26</f>
        <v>-97944952.152236551</v>
      </c>
      <c r="BD20" s="24">
        <f>'Intermediate calculations'!AY42*'Intermediate calculations'!AY43*Constants!$H$26</f>
        <v>-98108055.245295197</v>
      </c>
      <c r="BE20" s="24">
        <f>'Intermediate calculations'!AZ42*'Intermediate calculations'!AZ43*Constants!$H$26</f>
        <v>-98282048.526509702</v>
      </c>
      <c r="BF20" s="24">
        <f>'Intermediate calculations'!BA42*'Intermediate calculations'!BA43*Constants!$H$26</f>
        <v>-98466510.958362281</v>
      </c>
      <c r="BG20" s="24">
        <f>'Intermediate calculations'!BB42*'Intermediate calculations'!BB43*Constants!$H$26</f>
        <v>-98542432.406339645</v>
      </c>
      <c r="BH20" s="24">
        <f>'Intermediate calculations'!BC42*'Intermediate calculations'!BC43*Constants!$H$26</f>
        <v>-98627868.999730736</v>
      </c>
      <c r="BI20" s="24">
        <f>'Intermediate calculations'!BD42*'Intermediate calculations'!BD43*Constants!$H$26</f>
        <v>-98722451.270283803</v>
      </c>
      <c r="BJ20" s="24">
        <f>'Intermediate calculations'!BE42*'Intermediate calculations'!BE43*Constants!$H$26</f>
        <v>-98825835.119007304</v>
      </c>
      <c r="BK20" s="24">
        <f>'Intermediate calculations'!BF42*'Intermediate calculations'!BF43*Constants!$H$26</f>
        <v>-98937699.636271372</v>
      </c>
      <c r="BL20" s="24">
        <f>'Intermediate calculations'!BG42*'Intermediate calculations'!BG43*Constants!$H$26</f>
        <v>-98939277.213236853</v>
      </c>
      <c r="BM20" s="24">
        <f>'Intermediate calculations'!BH42*'Intermediate calculations'!BH43*Constants!$H$26</f>
        <v>-98948708.62186639</v>
      </c>
      <c r="BN20" s="24">
        <f>'Intermediate calculations'!BI42*'Intermediate calculations'!BI43*Constants!$H$26</f>
        <v>-98965703.485359997</v>
      </c>
      <c r="BO20" s="24">
        <f>'Intermediate calculations'!BJ42*'Intermediate calculations'!BJ43*Constants!$H$26</f>
        <v>-98989989.216038346</v>
      </c>
      <c r="BP20" s="24">
        <f>'Intermediate calculations'!BK42*'Intermediate calculations'!BK43*Constants!$H$26</f>
        <v>-99021309.633695453</v>
      </c>
    </row>
    <row r="21" spans="1:72" s="23" customFormat="1" x14ac:dyDescent="0.25">
      <c r="A21" s="23" t="str">
        <f t="shared" si="1"/>
        <v>3A Livestock</v>
      </c>
      <c r="C21" s="23" t="str">
        <f>C20</f>
        <v>3A2i Poultry</v>
      </c>
      <c r="D21" t="str">
        <f>'IPCC Categories'!F52</f>
        <v>Subsistence layers</v>
      </c>
      <c r="E21" s="23" t="str">
        <f t="shared" si="2"/>
        <v>Population</v>
      </c>
      <c r="F21" s="23" t="str">
        <f t="shared" si="3"/>
        <v>Head</v>
      </c>
      <c r="H21" s="43">
        <v>615034.34711325122</v>
      </c>
      <c r="I21" s="43">
        <v>597496.65411778213</v>
      </c>
      <c r="J21" s="43">
        <v>566684.0141391959</v>
      </c>
      <c r="K21" s="43">
        <v>557773.90547206544</v>
      </c>
      <c r="L21" s="43">
        <v>533512.74884758983</v>
      </c>
      <c r="M21" s="43">
        <v>582128.81198434683</v>
      </c>
      <c r="N21" s="43">
        <v>614905.68563772005</v>
      </c>
      <c r="O21" s="43">
        <v>616927.72251988086</v>
      </c>
      <c r="P21" s="43">
        <v>694608.55831127299</v>
      </c>
      <c r="Q21" s="43">
        <v>744690.07785922522</v>
      </c>
      <c r="R21" s="43">
        <v>728911.290007259</v>
      </c>
      <c r="S21" s="43">
        <v>748356.04304524744</v>
      </c>
      <c r="T21" s="43">
        <v>742482.52210794913</v>
      </c>
      <c r="U21" s="43">
        <v>712840.76237864071</v>
      </c>
      <c r="V21" s="43">
        <v>738689.10740303784</v>
      </c>
      <c r="W21" s="43">
        <v>783232.44807875762</v>
      </c>
      <c r="X21" s="43">
        <v>864389.05584290659</v>
      </c>
      <c r="Y21" s="43">
        <v>956595.42960413289</v>
      </c>
      <c r="Z21" s="43">
        <v>969193.674259883</v>
      </c>
      <c r="AA21" s="43">
        <v>933462.96327852411</v>
      </c>
      <c r="AB21" s="43">
        <v>969824.57105648029</v>
      </c>
      <c r="AC21" s="43">
        <v>1014589.0728560057</v>
      </c>
      <c r="AD21" s="24">
        <f>'Intermediate calculations'!Y37*'Intermediate calculations'!Y38*(1-Constants!$H$25)</f>
        <v>990965.76237839612</v>
      </c>
      <c r="AE21" s="24">
        <f>'Intermediate calculations'!Z37*'Intermediate calculations'!Z38*(1-Constants!$H$25)</f>
        <v>1012425.8124627994</v>
      </c>
      <c r="AF21" s="24">
        <f>'Intermediate calculations'!AA37*'Intermediate calculations'!AA38*(1-Constants!$H$25)</f>
        <v>1029717.4104535317</v>
      </c>
      <c r="AG21" s="24">
        <f>'Intermediate calculations'!AB37*'Intermediate calculations'!AB38*(1-Constants!$H$25)</f>
        <v>1041015.4899781285</v>
      </c>
      <c r="AH21" s="24">
        <f>'Intermediate calculations'!AC37*'Intermediate calculations'!AC38*(1-Constants!$H$25)</f>
        <v>1052466.9207332144</v>
      </c>
      <c r="AI21" s="24">
        <f>'Intermediate calculations'!AD37*'Intermediate calculations'!AD38*(1-Constants!$H$25)</f>
        <v>1067229.9755845827</v>
      </c>
      <c r="AJ21" s="24">
        <f>'Intermediate calculations'!AE37*'Intermediate calculations'!AE38*(1-Constants!$H$25)</f>
        <v>1083017.6364707288</v>
      </c>
      <c r="AK21" s="24">
        <f>'Intermediate calculations'!AF37*'Intermediate calculations'!AF38*(1-Constants!$H$25)</f>
        <v>1092199.0048789678</v>
      </c>
      <c r="AL21" s="24">
        <f>'Intermediate calculations'!AG37*'Intermediate calculations'!AG38*(1-Constants!$H$25)</f>
        <v>1039380.1311174062</v>
      </c>
      <c r="AM21" s="24">
        <f>'Intermediate calculations'!AH37*'Intermediate calculations'!AH38*(1-Constants!$H$25)</f>
        <v>1061694.2188509286</v>
      </c>
      <c r="AN21" s="24">
        <f>'Intermediate calculations'!AI37*'Intermediate calculations'!AI38*(1-Constants!$H$25)</f>
        <v>1082524.4206260289</v>
      </c>
      <c r="AO21" s="24">
        <f>'Intermediate calculations'!AJ37*'Intermediate calculations'!AJ38*(1-Constants!$H$25)</f>
        <v>1103519.0656588774</v>
      </c>
      <c r="AP21" s="24">
        <f>'Intermediate calculations'!AK37*'Intermediate calculations'!AK38*(1-Constants!$H$25)</f>
        <v>1127346.5403035483</v>
      </c>
      <c r="AQ21" s="24">
        <f>'Intermediate calculations'!AL37*'Intermediate calculations'!AL38*(1-Constants!$H$25)</f>
        <v>1151371.943364827</v>
      </c>
      <c r="AR21" s="24">
        <f>'Intermediate calculations'!AM37*'Intermediate calculations'!AM38*(1-Constants!$H$25)</f>
        <v>1175427.8792557043</v>
      </c>
      <c r="AS21" s="24">
        <f>'Intermediate calculations'!AN37*'Intermediate calculations'!AN38*(1-Constants!$H$25)</f>
        <v>1199019.8240441</v>
      </c>
      <c r="AT21" s="24">
        <f>'Intermediate calculations'!AO37*'Intermediate calculations'!AO38*(1-Constants!$H$25)</f>
        <v>1223865.4874107454</v>
      </c>
      <c r="AU21" s="24">
        <f>'Intermediate calculations'!AP37*'Intermediate calculations'!AP38*(1-Constants!$H$25)</f>
        <v>1247619.3960343448</v>
      </c>
      <c r="AV21" s="24">
        <f>'Intermediate calculations'!AQ37*'Intermediate calculations'!AQ38*(1-Constants!$H$25)</f>
        <v>1271936.6531423323</v>
      </c>
      <c r="AW21" s="24">
        <f>'Intermediate calculations'!AR37*'Intermediate calculations'!AR38*(1-Constants!$H$25)</f>
        <v>1299507.7631367012</v>
      </c>
      <c r="AX21" s="24">
        <f>'Intermediate calculations'!AS37*'Intermediate calculations'!AS38*(1-Constants!$H$25)</f>
        <v>1328979.0880032226</v>
      </c>
      <c r="AY21" s="24">
        <f>'Intermediate calculations'!AT37*'Intermediate calculations'!AT38*(1-Constants!$H$25)</f>
        <v>1359377.5942900886</v>
      </c>
      <c r="AZ21" s="24">
        <f>'Intermediate calculations'!AU37*'Intermediate calculations'!AU38*(1-Constants!$H$25)</f>
        <v>1368425.6895293703</v>
      </c>
      <c r="BA21" s="24">
        <f>'Intermediate calculations'!AV37*'Intermediate calculations'!AV38*(1-Constants!$H$25)</f>
        <v>327999.15881857323</v>
      </c>
      <c r="BB21" s="24">
        <f>'Intermediate calculations'!AW37*'Intermediate calculations'!AW38*(1-Constants!$H$25)</f>
        <v>330520.10974916874</v>
      </c>
      <c r="BC21" s="24">
        <f>'Intermediate calculations'!AX37*'Intermediate calculations'!AX38*(1-Constants!$H$25)</f>
        <v>333059.41512309405</v>
      </c>
      <c r="BD21" s="24">
        <f>'Intermediate calculations'!AY37*'Intermediate calculations'!AY38*(1-Constants!$H$25)</f>
        <v>335617.21470437356</v>
      </c>
      <c r="BE21" s="24">
        <f>'Intermediate calculations'!AZ37*'Intermediate calculations'!AZ38*(1-Constants!$H$25)</f>
        <v>338193.6488917243</v>
      </c>
      <c r="BF21" s="24">
        <f>'Intermediate calculations'!BA37*'Intermediate calculations'!BA38*(1-Constants!$H$25)</f>
        <v>340788.85875985003</v>
      </c>
      <c r="BG21" s="24">
        <f>'Intermediate calculations'!BB37*'Intermediate calculations'!BB38*(1-Constants!$H$25)</f>
        <v>343007.36817583977</v>
      </c>
      <c r="BH21" s="24">
        <f>'Intermediate calculations'!BC37*'Intermediate calculations'!BC38*(1-Constants!$H$25)</f>
        <v>345239.57193046942</v>
      </c>
      <c r="BI21" s="24">
        <f>'Intermediate calculations'!BD37*'Intermediate calculations'!BD38*(1-Constants!$H$25)</f>
        <v>347485.55903876328</v>
      </c>
      <c r="BJ21" s="24">
        <f>'Intermediate calculations'!BE37*'Intermediate calculations'!BE38*(1-Constants!$H$25)</f>
        <v>349745.41881361202</v>
      </c>
      <c r="BK21" s="24">
        <f>'Intermediate calculations'!BF37*'Intermediate calculations'!BF38*(1-Constants!$H$25)</f>
        <v>352019.24088913755</v>
      </c>
      <c r="BL21" s="24">
        <f>'Intermediate calculations'!BG37*'Intermediate calculations'!BG38*(1-Constants!$H$25)</f>
        <v>353900.54900513822</v>
      </c>
      <c r="BM21" s="24">
        <f>'Intermediate calculations'!BH37*'Intermediate calculations'!BH38*(1-Constants!$H$25)</f>
        <v>355791.3879340447</v>
      </c>
      <c r="BN21" s="24">
        <f>'Intermediate calculations'!BI37*'Intermediate calculations'!BI38*(1-Constants!$H$25)</f>
        <v>357691.80936980632</v>
      </c>
      <c r="BO21" s="24">
        <f>'Intermediate calculations'!BJ37*'Intermediate calculations'!BJ38*(1-Constants!$H$25)</f>
        <v>359601.86509333923</v>
      </c>
      <c r="BP21" s="24">
        <f>'Intermediate calculations'!BK37*'Intermediate calculations'!BK38*(1-Constants!$H$25)</f>
        <v>361521.6069864718</v>
      </c>
    </row>
    <row r="22" spans="1:72" s="23" customFormat="1" x14ac:dyDescent="0.25">
      <c r="A22" s="23" t="str">
        <f t="shared" si="1"/>
        <v>3A Livestock</v>
      </c>
      <c r="C22" s="23" t="str">
        <f>C21</f>
        <v>3A2i Poultry</v>
      </c>
      <c r="D22" t="str">
        <f>'IPCC Categories'!F53</f>
        <v>Subsistence broilers</v>
      </c>
      <c r="E22" s="23" t="str">
        <f t="shared" si="2"/>
        <v>Population</v>
      </c>
      <c r="F22" s="23" t="str">
        <f t="shared" si="3"/>
        <v>Head</v>
      </c>
      <c r="H22" s="43">
        <v>1692788.501282579</v>
      </c>
      <c r="I22" s="43">
        <v>1591221.1932594103</v>
      </c>
      <c r="J22" s="43">
        <v>1503817.8555249351</v>
      </c>
      <c r="K22" s="43">
        <v>1691260.5094954062</v>
      </c>
      <c r="L22" s="43">
        <v>1675398.618576091</v>
      </c>
      <c r="M22" s="43">
        <v>1917738.6394417342</v>
      </c>
      <c r="N22" s="43">
        <v>2229835.7272258773</v>
      </c>
      <c r="O22" s="43">
        <v>2269717.8833858925</v>
      </c>
      <c r="P22" s="43">
        <v>2487004.5772982165</v>
      </c>
      <c r="Q22" s="43">
        <v>2596404.8813659716</v>
      </c>
      <c r="R22" s="43">
        <v>2793540.3261309932</v>
      </c>
      <c r="S22" s="43">
        <v>2697456.7186955782</v>
      </c>
      <c r="T22" s="43">
        <v>2989657.0023677181</v>
      </c>
      <c r="U22" s="43">
        <v>2843615.1342619131</v>
      </c>
      <c r="V22" s="43">
        <v>2912262.4842377375</v>
      </c>
      <c r="W22" s="43">
        <v>3222344.7569196927</v>
      </c>
      <c r="X22" s="43">
        <v>3446598.8889022488</v>
      </c>
      <c r="Y22" s="43">
        <v>3606087.1785391434</v>
      </c>
      <c r="Z22" s="43">
        <v>3839503.687775786</v>
      </c>
      <c r="AA22" s="43">
        <v>3622992.06330516</v>
      </c>
      <c r="AB22" s="43">
        <v>3714113.2025884609</v>
      </c>
      <c r="AC22" s="43">
        <v>3841366.7821070058</v>
      </c>
      <c r="AD22" s="24">
        <f>'Intermediate calculations'!Y42*'Intermediate calculations'!Y43*(1-Constants!$H$26)</f>
        <v>3964384.7965025804</v>
      </c>
      <c r="AE22" s="24">
        <f>'Intermediate calculations'!Z42*'Intermediate calculations'!Z43*(1-Constants!$H$26)</f>
        <v>4028717.3832968003</v>
      </c>
      <c r="AF22" s="24">
        <f>'Intermediate calculations'!AA42*'Intermediate calculations'!AA43*(1-Constants!$H$26)</f>
        <v>4047819.0716439504</v>
      </c>
      <c r="AG22" s="24">
        <f>'Intermediate calculations'!AB42*'Intermediate calculations'!AB43*(1-Constants!$H$26)</f>
        <v>4005001.1467692368</v>
      </c>
      <c r="AH22" s="24">
        <f>'Intermediate calculations'!AC42*'Intermediate calculations'!AC43*(1-Constants!$H$26)</f>
        <v>3962275.1584986197</v>
      </c>
      <c r="AI22" s="24">
        <f>'Intermediate calculations'!AD42*'Intermediate calculations'!AD43*(1-Constants!$H$26)</f>
        <v>3949877.7872441495</v>
      </c>
      <c r="AJ22" s="24">
        <f>'Intermediate calculations'!AE42*'Intermediate calculations'!AE43*(1-Constants!$H$26)</f>
        <v>3947295.2108177799</v>
      </c>
      <c r="AK22" s="24">
        <f>'Intermediate calculations'!AF42*'Intermediate calculations'!AF43*(1-Constants!$H$26)</f>
        <v>3881453.1749620489</v>
      </c>
      <c r="AL22" s="24">
        <f>'Intermediate calculations'!AG42*'Intermediate calculations'!AG43*(1-Constants!$H$26)</f>
        <v>3234196.6048732484</v>
      </c>
      <c r="AM22" s="24">
        <f>'Intermediate calculations'!AH42*'Intermediate calculations'!AH43*(1-Constants!$H$26)</f>
        <v>3329597.3379808771</v>
      </c>
      <c r="AN22" s="24">
        <f>'Intermediate calculations'!AI42*'Intermediate calculations'!AI43*(1-Constants!$H$26)</f>
        <v>3409339.537741804</v>
      </c>
      <c r="AO22" s="24">
        <f>'Intermediate calculations'!AJ42*'Intermediate calculations'!AJ43*(1-Constants!$H$26)</f>
        <v>3488888.2525709453</v>
      </c>
      <c r="AP22" s="24">
        <f>'Intermediate calculations'!AK42*'Intermediate calculations'!AK43*(1-Constants!$H$26)</f>
        <v>3592383.6433680854</v>
      </c>
      <c r="AQ22" s="24">
        <f>'Intermediate calculations'!AL42*'Intermediate calculations'!AL43*(1-Constants!$H$26)</f>
        <v>3695568.3735022405</v>
      </c>
      <c r="AR22" s="24">
        <f>'Intermediate calculations'!AM42*'Intermediate calculations'!AM43*(1-Constants!$H$26)</f>
        <v>3808858.3318725894</v>
      </c>
      <c r="AS22" s="24">
        <f>'Intermediate calculations'!AN42*'Intermediate calculations'!AN43*(1-Constants!$H$26)</f>
        <v>3916099.1546365018</v>
      </c>
      <c r="AT22" s="24">
        <f>'Intermediate calculations'!AO42*'Intermediate calculations'!AO43*(1-Constants!$H$26)</f>
        <v>4032485.6174664586</v>
      </c>
      <c r="AU22" s="24">
        <f>'Intermediate calculations'!AP42*'Intermediate calculations'!AP43*(1-Constants!$H$26)</f>
        <v>4137428.6832039398</v>
      </c>
      <c r="AV22" s="24">
        <f>'Intermediate calculations'!AQ42*'Intermediate calculations'!AQ43*(1-Constants!$H$26)</f>
        <v>4245470.5471214848</v>
      </c>
      <c r="AW22" s="24">
        <f>'Intermediate calculations'!AR42*'Intermediate calculations'!AR43*(1-Constants!$H$26)</f>
        <v>4389050.3423279459</v>
      </c>
      <c r="AX22" s="24">
        <f>'Intermediate calculations'!AS42*'Intermediate calculations'!AS43*(1-Constants!$H$26)</f>
        <v>4546682.7273825156</v>
      </c>
      <c r="AY22" s="24">
        <f>'Intermediate calculations'!AT42*'Intermediate calculations'!AT43*(1-Constants!$H$26)</f>
        <v>4709874.7125848709</v>
      </c>
      <c r="AZ22" s="24">
        <f>'Intermediate calculations'!AU42*'Intermediate calculations'!AU43*(1-Constants!$H$26)</f>
        <v>4691702.2022083737</v>
      </c>
      <c r="BA22" s="24">
        <f>'Intermediate calculations'!AV42*'Intermediate calculations'!AV43*(1-Constants!$H$26)</f>
        <v>-4068886.5761280376</v>
      </c>
      <c r="BB22" s="24">
        <f>'Intermediate calculations'!AW42*'Intermediate calculations'!AW43*(1-Constants!$H$26)</f>
        <v>-4074716.4573672405</v>
      </c>
      <c r="BC22" s="24">
        <f>'Intermediate calculations'!AX42*'Intermediate calculations'!AX43*(1-Constants!$H$26)</f>
        <v>-4081039.6730098599</v>
      </c>
      <c r="BD22" s="24">
        <f>'Intermediate calculations'!AY42*'Intermediate calculations'!AY43*(1-Constants!$H$26)</f>
        <v>-4087835.6352206366</v>
      </c>
      <c r="BE22" s="24">
        <f>'Intermediate calculations'!AZ42*'Intermediate calculations'!AZ43*(1-Constants!$H$26)</f>
        <v>-4095085.3552712412</v>
      </c>
      <c r="BF22" s="24">
        <f>'Intermediate calculations'!BA42*'Intermediate calculations'!BA43*(1-Constants!$H$26)</f>
        <v>-4102771.2899317653</v>
      </c>
      <c r="BG22" s="24">
        <f>'Intermediate calculations'!BB42*'Intermediate calculations'!BB43*(1-Constants!$H$26)</f>
        <v>-4105934.6835974893</v>
      </c>
      <c r="BH22" s="24">
        <f>'Intermediate calculations'!BC42*'Intermediate calculations'!BC43*(1-Constants!$H$26)</f>
        <v>-4109494.5416554511</v>
      </c>
      <c r="BI22" s="24">
        <f>'Intermediate calculations'!BD42*'Intermediate calculations'!BD43*(1-Constants!$H$26)</f>
        <v>-4113435.4695951622</v>
      </c>
      <c r="BJ22" s="24">
        <f>'Intermediate calculations'!BE42*'Intermediate calculations'!BE43*(1-Constants!$H$26)</f>
        <v>-4117743.1299586417</v>
      </c>
      <c r="BK22" s="24">
        <f>'Intermediate calculations'!BF42*'Intermediate calculations'!BF43*(1-Constants!$H$26)</f>
        <v>-4122404.1515113111</v>
      </c>
      <c r="BL22" s="24">
        <f>'Intermediate calculations'!BG42*'Intermediate calculations'!BG43*(1-Constants!$H$26)</f>
        <v>-4122469.8838848728</v>
      </c>
      <c r="BM22" s="24">
        <f>'Intermediate calculations'!BH42*'Intermediate calculations'!BH43*(1-Constants!$H$26)</f>
        <v>-4122862.8592444365</v>
      </c>
      <c r="BN22" s="24">
        <f>'Intermediate calculations'!BI42*'Intermediate calculations'!BI43*(1-Constants!$H$26)</f>
        <v>-4123570.9785566702</v>
      </c>
      <c r="BO22" s="24">
        <f>'Intermediate calculations'!BJ42*'Intermediate calculations'!BJ43*(1-Constants!$H$26)</f>
        <v>-4124582.8840016015</v>
      </c>
      <c r="BP22" s="24">
        <f>'Intermediate calculations'!BK42*'Intermediate calculations'!BK43*(1-Constants!$H$26)</f>
        <v>-4125887.9014039808</v>
      </c>
    </row>
    <row r="23" spans="1:72" ht="18.75" customHeight="1" x14ac:dyDescent="0.25">
      <c r="A23" s="20" t="s">
        <v>98</v>
      </c>
      <c r="B23" s="20"/>
      <c r="C23" s="20"/>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5"/>
      <c r="BL23" s="15"/>
      <c r="BM23" s="15"/>
      <c r="BN23" s="15"/>
      <c r="BO23" s="15"/>
      <c r="BP23" s="15"/>
      <c r="BS23" s="16"/>
      <c r="BT23" s="15"/>
    </row>
    <row r="24" spans="1:72" x14ac:dyDescent="0.25">
      <c r="A24" t="str">
        <f>'IPCC Categories'!A59</f>
        <v>3C Aggregated and non-CO2 emissions on land</v>
      </c>
      <c r="B24" t="str">
        <f>'IPCC Categories'!B59</f>
        <v>3C1 Biomass burning (CH4)</v>
      </c>
      <c r="C24" t="str">
        <f>'IPCC Categories'!C59</f>
        <v>3C1a Biomass burning in forest land</v>
      </c>
      <c r="D24" t="s">
        <v>346</v>
      </c>
      <c r="E24" t="str">
        <f t="shared" ref="E24:E39" si="6">D24&amp;" - Burnt area"</f>
        <v>Indigenous forests - Burnt area</v>
      </c>
      <c r="F24" t="s">
        <v>361</v>
      </c>
      <c r="G24" t="s">
        <v>640</v>
      </c>
      <c r="H24" s="44">
        <v>13927.534820378225</v>
      </c>
      <c r="I24" s="21">
        <v>13927.534820378225</v>
      </c>
      <c r="J24" s="21">
        <v>13927.534820378225</v>
      </c>
      <c r="K24" s="21">
        <v>13927.534820378225</v>
      </c>
      <c r="L24" s="21">
        <v>13927.534820378225</v>
      </c>
      <c r="M24" s="21">
        <v>13927.534820378225</v>
      </c>
      <c r="N24" s="21">
        <v>13927.534820378225</v>
      </c>
      <c r="O24" s="21">
        <v>13927.534820378225</v>
      </c>
      <c r="P24" s="21">
        <v>13927.534820378225</v>
      </c>
      <c r="Q24" s="21">
        <v>13927.534820378225</v>
      </c>
      <c r="R24" s="21">
        <v>12852.281138089251</v>
      </c>
      <c r="S24" s="21">
        <v>14305.950279381213</v>
      </c>
      <c r="T24" s="21">
        <v>13083.022271627655</v>
      </c>
      <c r="U24" s="21">
        <v>16497.991047996074</v>
      </c>
      <c r="V24" s="21">
        <v>12898.429364796932</v>
      </c>
      <c r="W24" s="21">
        <v>16959.473315072886</v>
      </c>
      <c r="X24" s="21">
        <v>15136.618360119473</v>
      </c>
      <c r="Y24" s="21">
        <v>19797.589257595289</v>
      </c>
      <c r="Z24" s="21">
        <v>16567.213388057597</v>
      </c>
      <c r="AA24" s="21">
        <v>16336.472254519189</v>
      </c>
      <c r="AB24" s="21">
        <v>13394.88</v>
      </c>
      <c r="AC24" s="21">
        <v>10042.290000000001</v>
      </c>
      <c r="AD24" s="45">
        <f>'[3]Activity data'!AE545</f>
        <v>13597.343916991533</v>
      </c>
      <c r="AE24" s="45">
        <f>'[3]Activity data'!AF545</f>
        <v>13591.541699530653</v>
      </c>
      <c r="AF24" s="45">
        <f>'[3]Activity data'!AG545</f>
        <v>13585.739482069775</v>
      </c>
      <c r="AG24" s="45">
        <f>'[3]Activity data'!AH545</f>
        <v>13579.937264608896</v>
      </c>
      <c r="AH24" s="45">
        <f>'[3]Activity data'!AI545</f>
        <v>13574.135047148016</v>
      </c>
      <c r="AI24" s="45">
        <f>'[3]Activity data'!AJ545</f>
        <v>13568.332829687137</v>
      </c>
      <c r="AJ24" s="45">
        <f>'[3]Activity data'!AK545</f>
        <v>13562.530612226257</v>
      </c>
      <c r="AK24" s="45">
        <f>'[3]Activity data'!AL545</f>
        <v>13556.72839476538</v>
      </c>
      <c r="AL24" s="45">
        <f>'[3]Activity data'!AM545</f>
        <v>13550.9261773045</v>
      </c>
      <c r="AM24" s="45">
        <f>'[3]Activity data'!AN545</f>
        <v>13545.12395984362</v>
      </c>
      <c r="AN24" s="45">
        <f>'[3]Activity data'!AO545</f>
        <v>13539.321742382741</v>
      </c>
      <c r="AO24" s="45">
        <f>'[3]Activity data'!AP545</f>
        <v>13533.519524921861</v>
      </c>
      <c r="AP24" s="45">
        <f>'[3]Activity data'!AQ545</f>
        <v>13527.717307460984</v>
      </c>
      <c r="AQ24" s="45">
        <f>'[3]Activity data'!AR545</f>
        <v>13521.915090000104</v>
      </c>
      <c r="AR24" s="45">
        <f>'[3]Activity data'!AS545</f>
        <v>13516.112872539225</v>
      </c>
      <c r="AS24" s="45">
        <f>'[3]Activity data'!AT545</f>
        <v>13510.310655078345</v>
      </c>
      <c r="AT24" s="45">
        <f>'[3]Activity data'!AU545</f>
        <v>13504.508437617465</v>
      </c>
      <c r="AU24" s="45">
        <f>'[3]Activity data'!AV545</f>
        <v>13498.706220156588</v>
      </c>
      <c r="AV24" s="45">
        <f>'[3]Activity data'!AW545</f>
        <v>13492.904002695708</v>
      </c>
      <c r="AW24" s="45">
        <f>'[3]Activity data'!AX545</f>
        <v>13487.101785234829</v>
      </c>
      <c r="AX24" s="45">
        <f>'[3]Activity data'!AY545</f>
        <v>13481.299567773949</v>
      </c>
      <c r="AY24" s="45">
        <f>'[3]Activity data'!AZ545</f>
        <v>13475.49735031307</v>
      </c>
      <c r="AZ24" s="45">
        <f>'[3]Activity data'!BA545</f>
        <v>13469.695132852192</v>
      </c>
      <c r="BA24" s="45">
        <f>'[3]Activity data'!BB545</f>
        <v>13463.892915391312</v>
      </c>
      <c r="BB24" s="45">
        <f>'[3]Activity data'!BC545</f>
        <v>13458.090697930433</v>
      </c>
      <c r="BC24" s="45">
        <f>'[3]Activity data'!BD545</f>
        <v>13452.288480469553</v>
      </c>
      <c r="BD24" s="45">
        <f>'[3]Activity data'!BE545</f>
        <v>13446.486263008674</v>
      </c>
      <c r="BE24" s="45">
        <f>'[3]Activity data'!BF545</f>
        <v>13440.684045547796</v>
      </c>
      <c r="BF24" s="45">
        <f>'[3]Activity data'!BG545</f>
        <v>13434.881828086916</v>
      </c>
      <c r="BG24" s="45">
        <f>'[3]Activity data'!BH545</f>
        <v>13429.079610626037</v>
      </c>
      <c r="BH24" s="45">
        <f>'[3]Activity data'!BI545</f>
        <v>13423.277393165157</v>
      </c>
      <c r="BI24" s="45">
        <f>'[3]Activity data'!BJ545</f>
        <v>13417.475175704278</v>
      </c>
      <c r="BJ24" s="45">
        <f>'[3]Activity data'!BK545</f>
        <v>13411.6729582434</v>
      </c>
      <c r="BK24" s="45">
        <f>'[3]Activity data'!BL545</f>
        <v>13405.87074078252</v>
      </c>
      <c r="BL24" s="45">
        <f>'[3]Activity data'!BM545</f>
        <v>13400.068523321641</v>
      </c>
      <c r="BM24" s="45">
        <f>'[3]Activity data'!BN545</f>
        <v>13394.266305860761</v>
      </c>
      <c r="BN24" s="45">
        <f>'[3]Activity data'!BO545</f>
        <v>13388.464088399882</v>
      </c>
      <c r="BO24" s="45">
        <f>'[3]Activity data'!BP545</f>
        <v>13382.661870939004</v>
      </c>
      <c r="BP24" s="45">
        <f>'[3]Activity data'!BQ545</f>
        <v>13376.859653478125</v>
      </c>
      <c r="BR24" s="23"/>
    </row>
    <row r="25" spans="1:72" x14ac:dyDescent="0.25">
      <c r="A25" t="str">
        <f t="shared" ref="A25:C27" si="7">A24</f>
        <v>3C Aggregated and non-CO2 emissions on land</v>
      </c>
      <c r="B25" t="str">
        <f t="shared" si="7"/>
        <v>3C1 Biomass burning (CH4)</v>
      </c>
      <c r="C25" t="str">
        <f t="shared" si="7"/>
        <v>3C1a Biomass burning in forest land</v>
      </c>
      <c r="D25" t="s">
        <v>347</v>
      </c>
      <c r="E25" t="str">
        <f t="shared" si="6"/>
        <v>Thickets - Burnt area</v>
      </c>
      <c r="F25" t="s">
        <v>361</v>
      </c>
      <c r="G25" t="s">
        <v>642</v>
      </c>
      <c r="H25" s="21">
        <v>401037.31973509229</v>
      </c>
      <c r="I25" s="21">
        <v>401037.31973509229</v>
      </c>
      <c r="J25" s="21">
        <v>401037.31973509229</v>
      </c>
      <c r="K25" s="21">
        <v>401037.31973509229</v>
      </c>
      <c r="L25" s="21">
        <v>401037.31973509229</v>
      </c>
      <c r="M25" s="21">
        <v>401037.31973509229</v>
      </c>
      <c r="N25" s="21">
        <v>401037.31973509229</v>
      </c>
      <c r="O25" s="21">
        <v>401037.31973509229</v>
      </c>
      <c r="P25" s="21">
        <v>401037.31973509229</v>
      </c>
      <c r="Q25" s="21">
        <v>401037.31973509229</v>
      </c>
      <c r="R25" s="21">
        <v>411780.62691264047</v>
      </c>
      <c r="S25" s="21">
        <v>522674.81569119875</v>
      </c>
      <c r="T25" s="21">
        <v>482456.63611545443</v>
      </c>
      <c r="U25" s="21">
        <v>289949.30840436177</v>
      </c>
      <c r="V25" s="21">
        <v>298325.21155180596</v>
      </c>
      <c r="W25" s="21">
        <v>512360.68702203204</v>
      </c>
      <c r="X25" s="21">
        <v>409265.54855707183</v>
      </c>
      <c r="Y25" s="21">
        <v>477841.81344468636</v>
      </c>
      <c r="Z25" s="21">
        <v>525720.59865390568</v>
      </c>
      <c r="AA25" s="21">
        <v>382291.91004643211</v>
      </c>
      <c r="AB25" s="21">
        <v>467157.06</v>
      </c>
      <c r="AC25" s="21">
        <v>371977.65</v>
      </c>
      <c r="AD25" s="45">
        <f>'[3]Activity data'!AE546</f>
        <v>393930.44129440375</v>
      </c>
      <c r="AE25" s="45">
        <f>'[3]Activity data'!AF546</f>
        <v>393306.72804719064</v>
      </c>
      <c r="AF25" s="45">
        <f>'[3]Activity data'!AG546</f>
        <v>392683.01479997754</v>
      </c>
      <c r="AG25" s="45">
        <f>'[3]Activity data'!AH546</f>
        <v>392059.30155276449</v>
      </c>
      <c r="AH25" s="45">
        <f>'[3]Activity data'!AI546</f>
        <v>391435.58830555138</v>
      </c>
      <c r="AI25" s="45">
        <f>'[3]Activity data'!AJ546</f>
        <v>390811.87505833828</v>
      </c>
      <c r="AJ25" s="45">
        <f>'[3]Activity data'!AK546</f>
        <v>390188.16181112523</v>
      </c>
      <c r="AK25" s="45">
        <f>'[3]Activity data'!AL546</f>
        <v>389564.44856391213</v>
      </c>
      <c r="AL25" s="45">
        <f>'[3]Activity data'!AM546</f>
        <v>388940.73531669908</v>
      </c>
      <c r="AM25" s="45">
        <f>'[3]Activity data'!AN546</f>
        <v>388317.02206948597</v>
      </c>
      <c r="AN25" s="45">
        <f>'[3]Activity data'!AO546</f>
        <v>387693.30882227287</v>
      </c>
      <c r="AO25" s="45">
        <f>'[3]Activity data'!AP546</f>
        <v>387069.59557505982</v>
      </c>
      <c r="AP25" s="45">
        <f>'[3]Activity data'!AQ546</f>
        <v>386445.88232784672</v>
      </c>
      <c r="AQ25" s="45">
        <f>'[3]Activity data'!AR546</f>
        <v>385822.16908063361</v>
      </c>
      <c r="AR25" s="45">
        <f>'[3]Activity data'!AS546</f>
        <v>385198.45583342056</v>
      </c>
      <c r="AS25" s="45">
        <f>'[3]Activity data'!AT546</f>
        <v>384574.74258620746</v>
      </c>
      <c r="AT25" s="45">
        <f>'[3]Activity data'!AU546</f>
        <v>383951.02933899435</v>
      </c>
      <c r="AU25" s="45">
        <f>'[3]Activity data'!AV546</f>
        <v>383327.31609178131</v>
      </c>
      <c r="AV25" s="45">
        <f>'[3]Activity data'!AW546</f>
        <v>382703.6028445682</v>
      </c>
      <c r="AW25" s="45">
        <f>'[3]Activity data'!AX546</f>
        <v>382079.88959735516</v>
      </c>
      <c r="AX25" s="45">
        <f>'[3]Activity data'!AY546</f>
        <v>381456.17635014205</v>
      </c>
      <c r="AY25" s="45">
        <f>'[3]Activity data'!AZ546</f>
        <v>380832.46310292894</v>
      </c>
      <c r="AZ25" s="45">
        <f>'[3]Activity data'!BA546</f>
        <v>380208.7498557159</v>
      </c>
      <c r="BA25" s="45">
        <f>'[3]Activity data'!BB546</f>
        <v>379585.03660850279</v>
      </c>
      <c r="BB25" s="45">
        <f>'[3]Activity data'!BC546</f>
        <v>378961.32336128969</v>
      </c>
      <c r="BC25" s="45">
        <f>'[3]Activity data'!BD546</f>
        <v>378337.61011407664</v>
      </c>
      <c r="BD25" s="45">
        <f>'[3]Activity data'!BE546</f>
        <v>377713.89686686354</v>
      </c>
      <c r="BE25" s="45">
        <f>'[3]Activity data'!BF546</f>
        <v>377090.18361965049</v>
      </c>
      <c r="BF25" s="45">
        <f>'[3]Activity data'!BG546</f>
        <v>376466.47037243738</v>
      </c>
      <c r="BG25" s="45">
        <f>'[3]Activity data'!BH546</f>
        <v>375842.75712522428</v>
      </c>
      <c r="BH25" s="45">
        <f>'[3]Activity data'!BI546</f>
        <v>375219.04387801123</v>
      </c>
      <c r="BI25" s="45">
        <f>'[3]Activity data'!BJ546</f>
        <v>374595.33063079813</v>
      </c>
      <c r="BJ25" s="45">
        <f>'[3]Activity data'!BK546</f>
        <v>373971.61738358502</v>
      </c>
      <c r="BK25" s="45">
        <f>'[3]Activity data'!BL546</f>
        <v>373347.90413637197</v>
      </c>
      <c r="BL25" s="45">
        <f>'[3]Activity data'!BM546</f>
        <v>372724.19088915887</v>
      </c>
      <c r="BM25" s="45">
        <f>'[3]Activity data'!BN546</f>
        <v>372100.47764194576</v>
      </c>
      <c r="BN25" s="45">
        <f>'[3]Activity data'!BO546</f>
        <v>371476.76439473272</v>
      </c>
      <c r="BO25" s="45">
        <f>'[3]Activity data'!BP546</f>
        <v>370853.05114751961</v>
      </c>
      <c r="BP25" s="45">
        <f>'[3]Activity data'!BQ546</f>
        <v>370229.33790030656</v>
      </c>
      <c r="BR25" s="23"/>
    </row>
    <row r="26" spans="1:72" x14ac:dyDescent="0.25">
      <c r="A26" t="str">
        <f t="shared" si="7"/>
        <v>3C Aggregated and non-CO2 emissions on land</v>
      </c>
      <c r="B26" t="str">
        <f t="shared" si="7"/>
        <v>3C1 Biomass burning (CH4)</v>
      </c>
      <c r="C26" t="str">
        <f t="shared" si="7"/>
        <v>3C1a Biomass burning in forest land</v>
      </c>
      <c r="D26" t="s">
        <v>348</v>
      </c>
      <c r="E26" t="str">
        <f t="shared" si="6"/>
        <v>Woodlands - Burnt area</v>
      </c>
      <c r="F26" t="s">
        <v>361</v>
      </c>
      <c r="G26" t="s">
        <v>643</v>
      </c>
      <c r="H26" s="21">
        <v>698264.20349125541</v>
      </c>
      <c r="I26" s="21">
        <v>698264.20349125541</v>
      </c>
      <c r="J26" s="21">
        <v>698264.20349125541</v>
      </c>
      <c r="K26" s="21">
        <v>698264.20349125541</v>
      </c>
      <c r="L26" s="21">
        <v>698264.20349125541</v>
      </c>
      <c r="M26" s="21">
        <v>698264.20349125541</v>
      </c>
      <c r="N26" s="21">
        <v>698264.20349125541</v>
      </c>
      <c r="O26" s="21">
        <v>698264.20349125541</v>
      </c>
      <c r="P26" s="21">
        <v>698264.20349125541</v>
      </c>
      <c r="Q26" s="21">
        <v>698264.20349125541</v>
      </c>
      <c r="R26" s="21">
        <v>731241.72629656445</v>
      </c>
      <c r="S26" s="21">
        <v>1051602.7161012881</v>
      </c>
      <c r="T26" s="21">
        <v>813247.12515611423</v>
      </c>
      <c r="U26" s="21">
        <v>311846.64197715657</v>
      </c>
      <c r="V26" s="21">
        <v>583382.80792515341</v>
      </c>
      <c r="W26" s="21">
        <v>984987.75084875035</v>
      </c>
      <c r="X26" s="21">
        <v>854549.78805948899</v>
      </c>
      <c r="Y26" s="21">
        <v>491709.35557034455</v>
      </c>
      <c r="Z26" s="21">
        <v>887938.03008249647</v>
      </c>
      <c r="AA26" s="21">
        <v>585090.29231333768</v>
      </c>
      <c r="AB26" s="21">
        <v>824275.8</v>
      </c>
      <c r="AC26" s="21">
        <v>754253.19</v>
      </c>
      <c r="AD26" s="45">
        <f>'[3]Activity data'!AE547</f>
        <v>664355.50457407185</v>
      </c>
      <c r="AE26" s="45">
        <f>'[3]Activity data'!AF547</f>
        <v>665519.12191991892</v>
      </c>
      <c r="AF26" s="45">
        <f>'[3]Activity data'!AG547</f>
        <v>666682.73926576588</v>
      </c>
      <c r="AG26" s="45">
        <f>'[3]Activity data'!AH547</f>
        <v>667846.35661161283</v>
      </c>
      <c r="AH26" s="45">
        <f>'[3]Activity data'!AI547</f>
        <v>669009.97395745991</v>
      </c>
      <c r="AI26" s="45">
        <f>'[3]Activity data'!AJ547</f>
        <v>670173.59130330686</v>
      </c>
      <c r="AJ26" s="45">
        <f>'[3]Activity data'!AK547</f>
        <v>671337.20864915382</v>
      </c>
      <c r="AK26" s="45">
        <f>'[3]Activity data'!AL547</f>
        <v>666658.3555590522</v>
      </c>
      <c r="AL26" s="45">
        <f>'[3]Activity data'!AM547</f>
        <v>661979.50246895046</v>
      </c>
      <c r="AM26" s="45">
        <f>'[3]Activity data'!AN547</f>
        <v>657300.64937884873</v>
      </c>
      <c r="AN26" s="45">
        <f>'[3]Activity data'!AO547</f>
        <v>652621.79628874699</v>
      </c>
      <c r="AO26" s="45">
        <f>'[3]Activity data'!AP547</f>
        <v>647942.94319864525</v>
      </c>
      <c r="AP26" s="45">
        <f>'[3]Activity data'!AQ547</f>
        <v>643264.09010854363</v>
      </c>
      <c r="AQ26" s="45">
        <f>'[3]Activity data'!AR547</f>
        <v>638585.2370184419</v>
      </c>
      <c r="AR26" s="45">
        <f>'[3]Activity data'!AS547</f>
        <v>633906.38392834016</v>
      </c>
      <c r="AS26" s="45">
        <f>'[3]Activity data'!AT547</f>
        <v>629227.53083823842</v>
      </c>
      <c r="AT26" s="45">
        <f>'[3]Activity data'!AU547</f>
        <v>624548.67774813669</v>
      </c>
      <c r="AU26" s="45">
        <f>'[3]Activity data'!AV547</f>
        <v>619869.82465803507</v>
      </c>
      <c r="AV26" s="45">
        <f>'[3]Activity data'!AW547</f>
        <v>615190.97156793333</v>
      </c>
      <c r="AW26" s="45">
        <f>'[3]Activity data'!AX547</f>
        <v>610512.11847783159</v>
      </c>
      <c r="AX26" s="45">
        <f>'[3]Activity data'!AY547</f>
        <v>605833.26538772986</v>
      </c>
      <c r="AY26" s="45">
        <f>'[3]Activity data'!AZ547</f>
        <v>601154.41229762812</v>
      </c>
      <c r="AZ26" s="45">
        <f>'[3]Activity data'!BA547</f>
        <v>596475.55920752638</v>
      </c>
      <c r="BA26" s="45">
        <f>'[3]Activity data'!BB547</f>
        <v>591796.70611742476</v>
      </c>
      <c r="BB26" s="45">
        <f>'[3]Activity data'!BC547</f>
        <v>587117.85302732303</v>
      </c>
      <c r="BC26" s="45">
        <f>'[3]Activity data'!BD547</f>
        <v>582438.99993722129</v>
      </c>
      <c r="BD26" s="45">
        <f>'[3]Activity data'!BE547</f>
        <v>577760.14684711955</v>
      </c>
      <c r="BE26" s="45">
        <f>'[3]Activity data'!BF547</f>
        <v>573081.29375701782</v>
      </c>
      <c r="BF26" s="45">
        <f>'[3]Activity data'!BG547</f>
        <v>568402.44066691608</v>
      </c>
      <c r="BG26" s="45">
        <f>'[3]Activity data'!BH547</f>
        <v>563723.58757681435</v>
      </c>
      <c r="BH26" s="45">
        <f>'[3]Activity data'!BI547</f>
        <v>559044.73448671272</v>
      </c>
      <c r="BI26" s="45">
        <f>'[3]Activity data'!BJ547</f>
        <v>554365.88139661099</v>
      </c>
      <c r="BJ26" s="45">
        <f>'[3]Activity data'!BK547</f>
        <v>549687.02830650925</v>
      </c>
      <c r="BK26" s="45">
        <f>'[3]Activity data'!BL547</f>
        <v>545008.17521640752</v>
      </c>
      <c r="BL26" s="45">
        <f>'[3]Activity data'!BM547</f>
        <v>540329.32212630589</v>
      </c>
      <c r="BM26" s="45">
        <f>'[3]Activity data'!BN547</f>
        <v>535650.46903620427</v>
      </c>
      <c r="BN26" s="45">
        <f>'[3]Activity data'!BO547</f>
        <v>530971.61594610265</v>
      </c>
      <c r="BO26" s="45">
        <f>'[3]Activity data'!BP547</f>
        <v>526292.76285600092</v>
      </c>
      <c r="BP26" s="45">
        <f>'[3]Activity data'!BQ547</f>
        <v>521613.90976589912</v>
      </c>
      <c r="BR26" s="23"/>
    </row>
    <row r="27" spans="1:72" x14ac:dyDescent="0.25">
      <c r="A27" t="str">
        <f t="shared" si="7"/>
        <v>3C Aggregated and non-CO2 emissions on land</v>
      </c>
      <c r="B27" t="str">
        <f t="shared" si="7"/>
        <v>3C1 Biomass burning (CH4)</v>
      </c>
      <c r="C27" t="str">
        <f t="shared" si="7"/>
        <v>3C1a Biomass burning in forest land</v>
      </c>
      <c r="D27" t="s">
        <v>349</v>
      </c>
      <c r="E27" t="str">
        <f t="shared" si="6"/>
        <v>Plantations - Burnt area</v>
      </c>
      <c r="F27" t="s">
        <v>361</v>
      </c>
      <c r="G27" t="s">
        <v>644</v>
      </c>
      <c r="H27" s="21">
        <v>47772.644287791714</v>
      </c>
      <c r="I27" s="21">
        <v>47772.644287791714</v>
      </c>
      <c r="J27" s="21">
        <v>47772.644287791714</v>
      </c>
      <c r="K27" s="21">
        <v>47772.644287791714</v>
      </c>
      <c r="L27" s="21">
        <v>47772.644287791714</v>
      </c>
      <c r="M27" s="21">
        <v>47772.644287791714</v>
      </c>
      <c r="N27" s="21">
        <v>47772.644287791714</v>
      </c>
      <c r="O27" s="21">
        <v>47772.644287791714</v>
      </c>
      <c r="P27" s="21">
        <v>47772.644287791714</v>
      </c>
      <c r="Q27" s="21">
        <v>47772.644287791714</v>
      </c>
      <c r="R27" s="21">
        <v>43563.926012051175</v>
      </c>
      <c r="S27" s="21">
        <v>53624.239434325704</v>
      </c>
      <c r="T27" s="21">
        <v>47878.785209219379</v>
      </c>
      <c r="U27" s="21">
        <v>55585.539069402163</v>
      </c>
      <c r="V27" s="21">
        <v>38210.731713960144</v>
      </c>
      <c r="W27" s="21">
        <v>56000.873109771281</v>
      </c>
      <c r="X27" s="21">
        <v>43771.593032235731</v>
      </c>
      <c r="Y27" s="21">
        <v>81497.768365765223</v>
      </c>
      <c r="Z27" s="21">
        <v>52655.126673464394</v>
      </c>
      <c r="AA27" s="21">
        <v>44856.076359866252</v>
      </c>
      <c r="AB27" s="21">
        <v>37862.19</v>
      </c>
      <c r="AC27" s="21">
        <v>43074.99</v>
      </c>
      <c r="AD27" s="45">
        <f>'[3]Activity data'!AE548</f>
        <v>13285.999123176394</v>
      </c>
      <c r="AE27" s="45">
        <f>'[3]Activity data'!AF548</f>
        <v>24983.999123176392</v>
      </c>
      <c r="AF27" s="45">
        <f>'[3]Activity data'!AG548</f>
        <v>20172.999123176392</v>
      </c>
      <c r="AG27" s="45">
        <f>'[3]Activity data'!AH548</f>
        <v>15648.999123176394</v>
      </c>
      <c r="AH27" s="45">
        <f>'[3]Activity data'!AI548</f>
        <v>17908.999123176392</v>
      </c>
      <c r="AI27" s="45">
        <f>'[3]Activity data'!AJ548</f>
        <v>19831.999123176392</v>
      </c>
      <c r="AJ27" s="45">
        <f>'[3]Activity data'!AK548</f>
        <v>19831.999123176392</v>
      </c>
      <c r="AK27" s="45">
        <f>'[3]Activity data'!AL548</f>
        <v>19918.097396718102</v>
      </c>
      <c r="AL27" s="45">
        <f>'[3]Activity data'!AM548</f>
        <v>20004.195670259811</v>
      </c>
      <c r="AM27" s="45">
        <f>'[3]Activity data'!AN548</f>
        <v>20090.29394380152</v>
      </c>
      <c r="AN27" s="45">
        <f>'[3]Activity data'!AO548</f>
        <v>20176.392217343229</v>
      </c>
      <c r="AO27" s="45">
        <f>'[3]Activity data'!AP548</f>
        <v>20262.490490884938</v>
      </c>
      <c r="AP27" s="45">
        <f>'[3]Activity data'!AQ548</f>
        <v>20348.588764426648</v>
      </c>
      <c r="AQ27" s="45">
        <f>'[3]Activity data'!AR548</f>
        <v>20434.687037968357</v>
      </c>
      <c r="AR27" s="45">
        <f>'[3]Activity data'!AS548</f>
        <v>20520.785311510066</v>
      </c>
      <c r="AS27" s="45">
        <f>'[3]Activity data'!AT548</f>
        <v>20606.883585051775</v>
      </c>
      <c r="AT27" s="45">
        <f>'[3]Activity data'!AU548</f>
        <v>20692.981858593485</v>
      </c>
      <c r="AU27" s="45">
        <f>'[3]Activity data'!AV548</f>
        <v>20779.080132135194</v>
      </c>
      <c r="AV27" s="45">
        <f>'[3]Activity data'!AW548</f>
        <v>20865.178405676903</v>
      </c>
      <c r="AW27" s="45">
        <f>'[3]Activity data'!AX548</f>
        <v>20865.178405676903</v>
      </c>
      <c r="AX27" s="45">
        <f>'[3]Activity data'!AY548</f>
        <v>20865.178405676903</v>
      </c>
      <c r="AY27" s="45">
        <f>'[3]Activity data'!AZ548</f>
        <v>20865.178405676903</v>
      </c>
      <c r="AZ27" s="45">
        <f>'[3]Activity data'!BA548</f>
        <v>20865.178405676903</v>
      </c>
      <c r="BA27" s="45">
        <f>'[3]Activity data'!BB548</f>
        <v>20865.178405676903</v>
      </c>
      <c r="BB27" s="45">
        <f>'[3]Activity data'!BC548</f>
        <v>20865.178405676903</v>
      </c>
      <c r="BC27" s="45">
        <f>'[3]Activity data'!BD548</f>
        <v>20865.178405676903</v>
      </c>
      <c r="BD27" s="45">
        <f>'[3]Activity data'!BE548</f>
        <v>20865.178405676903</v>
      </c>
      <c r="BE27" s="45">
        <f>'[3]Activity data'!BF548</f>
        <v>20779.080132135194</v>
      </c>
      <c r="BF27" s="45">
        <f>'[3]Activity data'!BG548</f>
        <v>20692.981858593485</v>
      </c>
      <c r="BG27" s="45">
        <f>'[3]Activity data'!BH548</f>
        <v>20606.883585051775</v>
      </c>
      <c r="BH27" s="45">
        <f>'[3]Activity data'!BI548</f>
        <v>20520.785311510066</v>
      </c>
      <c r="BI27" s="45">
        <f>'[3]Activity data'!BJ548</f>
        <v>20434.687037968357</v>
      </c>
      <c r="BJ27" s="45">
        <f>'[3]Activity data'!BK548</f>
        <v>20348.588764426648</v>
      </c>
      <c r="BK27" s="45">
        <f>'[3]Activity data'!BL548</f>
        <v>20262.490490884938</v>
      </c>
      <c r="BL27" s="45">
        <f>'[3]Activity data'!BM548</f>
        <v>20176.392217343229</v>
      </c>
      <c r="BM27" s="45">
        <f>'[3]Activity data'!BN548</f>
        <v>20090.29394380152</v>
      </c>
      <c r="BN27" s="45">
        <f>'[3]Activity data'!BO548</f>
        <v>20004.195670259811</v>
      </c>
      <c r="BO27" s="45">
        <f>'[3]Activity data'!BP548</f>
        <v>19918.097396718102</v>
      </c>
      <c r="BP27" s="45">
        <f>'[3]Activity data'!BQ548</f>
        <v>19831.999123176392</v>
      </c>
      <c r="BR27" s="23"/>
    </row>
    <row r="28" spans="1:72" x14ac:dyDescent="0.25">
      <c r="A28" t="str">
        <f t="shared" ref="A28:B34" si="8">A27</f>
        <v>3C Aggregated and non-CO2 emissions on land</v>
      </c>
      <c r="B28" t="str">
        <f t="shared" si="8"/>
        <v>3C1 Biomass burning (CH4)</v>
      </c>
      <c r="C28" t="str">
        <f>'IPCC Categories'!C60</f>
        <v>3C1b Biomass burning in Croplands</v>
      </c>
      <c r="D28" t="s">
        <v>350</v>
      </c>
      <c r="E28" t="str">
        <f t="shared" si="6"/>
        <v>Annual non-pivot - Burnt area</v>
      </c>
      <c r="F28" t="s">
        <v>361</v>
      </c>
      <c r="G28" t="s">
        <v>645</v>
      </c>
      <c r="H28" s="21">
        <v>30047.110409371311</v>
      </c>
      <c r="I28" s="21">
        <v>30047.110409371311</v>
      </c>
      <c r="J28" s="21">
        <v>30047.110409371311</v>
      </c>
      <c r="K28" s="21">
        <v>30047.110409371311</v>
      </c>
      <c r="L28" s="21">
        <v>30047.110409371311</v>
      </c>
      <c r="M28" s="21">
        <v>30047.110409371311</v>
      </c>
      <c r="N28" s="21">
        <v>30047.110409371311</v>
      </c>
      <c r="O28" s="21">
        <v>30047.110409371311</v>
      </c>
      <c r="P28" s="21">
        <v>30047.110409371311</v>
      </c>
      <c r="Q28" s="21">
        <v>30047.110409371311</v>
      </c>
      <c r="R28" s="21">
        <v>30550.126080485039</v>
      </c>
      <c r="S28" s="21">
        <v>23835.559094517404</v>
      </c>
      <c r="T28" s="21">
        <v>30988.534234208011</v>
      </c>
      <c r="U28" s="21">
        <v>28704.197012177781</v>
      </c>
      <c r="V28" s="21">
        <v>36157.13562546832</v>
      </c>
      <c r="W28" s="21">
        <v>39710.549081959784</v>
      </c>
      <c r="X28" s="21">
        <v>29765.606226454456</v>
      </c>
      <c r="Y28" s="21">
        <v>29857.902679869818</v>
      </c>
      <c r="Z28" s="21">
        <v>21089.739605410366</v>
      </c>
      <c r="AA28" s="21">
        <v>21897.333572794789</v>
      </c>
      <c r="AB28" s="21">
        <v>30941.1</v>
      </c>
      <c r="AC28" s="21">
        <v>30919.05</v>
      </c>
      <c r="AD28" s="45">
        <f>'[3]Activity data'!AE549</f>
        <v>329614.7597349711</v>
      </c>
      <c r="AE28" s="45">
        <f>'[3]Activity data'!AF549</f>
        <v>328711.1609496483</v>
      </c>
      <c r="AF28" s="45">
        <f>'[3]Activity data'!AG549</f>
        <v>327807.5621643255</v>
      </c>
      <c r="AG28" s="45">
        <f>'[3]Activity data'!AH549</f>
        <v>326903.96337900264</v>
      </c>
      <c r="AH28" s="45">
        <f>'[3]Activity data'!AI549</f>
        <v>326000.36459367984</v>
      </c>
      <c r="AI28" s="45">
        <f>'[3]Activity data'!AJ549</f>
        <v>325096.76580835704</v>
      </c>
      <c r="AJ28" s="45">
        <f>'[3]Activity data'!AK549</f>
        <v>324193.16702303418</v>
      </c>
      <c r="AK28" s="45">
        <f>'[3]Activity data'!AL549</f>
        <v>323289.56823771138</v>
      </c>
      <c r="AL28" s="45">
        <f>'[3]Activity data'!AM549</f>
        <v>322385.96945238858</v>
      </c>
      <c r="AM28" s="45">
        <f>'[3]Activity data'!AN549</f>
        <v>321482.37066706573</v>
      </c>
      <c r="AN28" s="45">
        <f>'[3]Activity data'!AO549</f>
        <v>320578.77188174293</v>
      </c>
      <c r="AO28" s="45">
        <f>'[3]Activity data'!AP549</f>
        <v>319675.17309642013</v>
      </c>
      <c r="AP28" s="45">
        <f>'[3]Activity data'!AQ549</f>
        <v>318771.57431109727</v>
      </c>
      <c r="AQ28" s="45">
        <f>'[3]Activity data'!AR549</f>
        <v>317867.97552577447</v>
      </c>
      <c r="AR28" s="45">
        <f>'[3]Activity data'!AS549</f>
        <v>316964.37674045167</v>
      </c>
      <c r="AS28" s="45">
        <f>'[3]Activity data'!AT549</f>
        <v>316060.77795512887</v>
      </c>
      <c r="AT28" s="45">
        <f>'[3]Activity data'!AU549</f>
        <v>315157.17916980601</v>
      </c>
      <c r="AU28" s="45">
        <f>'[3]Activity data'!AV549</f>
        <v>314253.58038448321</v>
      </c>
      <c r="AV28" s="45">
        <f>'[3]Activity data'!AW549</f>
        <v>313349.98159916041</v>
      </c>
      <c r="AW28" s="45">
        <f>'[3]Activity data'!AX549</f>
        <v>312446.38281383755</v>
      </c>
      <c r="AX28" s="45">
        <f>'[3]Activity data'!AY549</f>
        <v>311542.78402851475</v>
      </c>
      <c r="AY28" s="45">
        <f>'[3]Activity data'!AZ549</f>
        <v>310639.18524319195</v>
      </c>
      <c r="AZ28" s="45">
        <f>'[3]Activity data'!BA549</f>
        <v>309735.5864578691</v>
      </c>
      <c r="BA28" s="45">
        <f>'[3]Activity data'!BB549</f>
        <v>308831.9876725463</v>
      </c>
      <c r="BB28" s="45">
        <f>'[3]Activity data'!BC549</f>
        <v>307928.3888872235</v>
      </c>
      <c r="BC28" s="45">
        <f>'[3]Activity data'!BD549</f>
        <v>307024.79010190064</v>
      </c>
      <c r="BD28" s="45">
        <f>'[3]Activity data'!BE549</f>
        <v>306121.19131657784</v>
      </c>
      <c r="BE28" s="45">
        <f>'[3]Activity data'!BF549</f>
        <v>305217.59253125504</v>
      </c>
      <c r="BF28" s="45">
        <f>'[3]Activity data'!BG549</f>
        <v>304313.99374593218</v>
      </c>
      <c r="BG28" s="45">
        <f>'[3]Activity data'!BH549</f>
        <v>303410.39496060938</v>
      </c>
      <c r="BH28" s="45">
        <f>'[3]Activity data'!BI549</f>
        <v>302506.79617528658</v>
      </c>
      <c r="BI28" s="45">
        <f>'[3]Activity data'!BJ549</f>
        <v>301603.19738996372</v>
      </c>
      <c r="BJ28" s="45">
        <f>'[3]Activity data'!BK549</f>
        <v>300699.59860464092</v>
      </c>
      <c r="BK28" s="45">
        <f>'[3]Activity data'!BL549</f>
        <v>299795.99981931812</v>
      </c>
      <c r="BL28" s="45">
        <f>'[3]Activity data'!BM549</f>
        <v>298892.40103399527</v>
      </c>
      <c r="BM28" s="45">
        <f>'[3]Activity data'!BN549</f>
        <v>297988.80224867247</v>
      </c>
      <c r="BN28" s="45">
        <f>'[3]Activity data'!BO549</f>
        <v>297085.20346334967</v>
      </c>
      <c r="BO28" s="45">
        <f>'[3]Activity data'!BP549</f>
        <v>296181.60467802687</v>
      </c>
      <c r="BP28" s="45">
        <f>'[3]Activity data'!BQ549</f>
        <v>295278.00589270401</v>
      </c>
      <c r="BR28" s="23"/>
    </row>
    <row r="29" spans="1:72" x14ac:dyDescent="0.25">
      <c r="A29" t="str">
        <f t="shared" si="8"/>
        <v>3C Aggregated and non-CO2 emissions on land</v>
      </c>
      <c r="B29" t="str">
        <f t="shared" si="8"/>
        <v>3C1 Biomass burning (CH4)</v>
      </c>
      <c r="C29" t="str">
        <f>C28</f>
        <v>3C1b Biomass burning in Croplands</v>
      </c>
      <c r="D29" t="s">
        <v>351</v>
      </c>
      <c r="E29" t="str">
        <f t="shared" si="6"/>
        <v>Annual pivot - Burnt area</v>
      </c>
      <c r="F29" t="s">
        <v>361</v>
      </c>
      <c r="G29" t="s">
        <v>646</v>
      </c>
      <c r="H29" s="21">
        <v>380372.14381539257</v>
      </c>
      <c r="I29" s="21">
        <v>380372.14381539257</v>
      </c>
      <c r="J29" s="21">
        <v>380372.14381539257</v>
      </c>
      <c r="K29" s="21">
        <v>380372.14381539257</v>
      </c>
      <c r="L29" s="21">
        <v>380372.14381539257</v>
      </c>
      <c r="M29" s="21">
        <v>380372.14381539257</v>
      </c>
      <c r="N29" s="21">
        <v>380372.14381539257</v>
      </c>
      <c r="O29" s="21">
        <v>380372.14381539257</v>
      </c>
      <c r="P29" s="21">
        <v>380372.14381539257</v>
      </c>
      <c r="Q29" s="21">
        <v>380372.14381539257</v>
      </c>
      <c r="R29" s="21">
        <v>411480.66343904054</v>
      </c>
      <c r="S29" s="21">
        <v>381184.35260544776</v>
      </c>
      <c r="T29" s="21">
        <v>466789.31314819655</v>
      </c>
      <c r="U29" s="21">
        <v>348488.33398305555</v>
      </c>
      <c r="V29" s="21">
        <v>293918.05590122234</v>
      </c>
      <c r="W29" s="21">
        <v>497547.10624886618</v>
      </c>
      <c r="X29" s="21">
        <v>507145.93740406388</v>
      </c>
      <c r="Y29" s="21">
        <v>286718.93253482407</v>
      </c>
      <c r="Z29" s="21">
        <v>331713.45357481338</v>
      </c>
      <c r="AA29" s="21">
        <v>328160.04011832189</v>
      </c>
      <c r="AB29" s="21">
        <v>370038.33</v>
      </c>
      <c r="AC29" s="21">
        <v>386575.74</v>
      </c>
      <c r="AD29" s="45">
        <f>'[3]Activity data'!AE550</f>
        <v>27272.800964105933</v>
      </c>
      <c r="AE29" s="45">
        <f>'[3]Activity data'!AF550</f>
        <v>28102.087515757019</v>
      </c>
      <c r="AF29" s="45">
        <f>'[3]Activity data'!AG550</f>
        <v>28931.374067408098</v>
      </c>
      <c r="AG29" s="45">
        <f>'[3]Activity data'!AH550</f>
        <v>29760.660619059196</v>
      </c>
      <c r="AH29" s="45">
        <f>'[3]Activity data'!AI550</f>
        <v>30589.947170710278</v>
      </c>
      <c r="AI29" s="45">
        <f>'[3]Activity data'!AJ550</f>
        <v>31419.233722361369</v>
      </c>
      <c r="AJ29" s="45">
        <f>'[3]Activity data'!AK550</f>
        <v>32248.520274012448</v>
      </c>
      <c r="AK29" s="45">
        <f>'[3]Activity data'!AL550</f>
        <v>33077.806825663531</v>
      </c>
      <c r="AL29" s="45">
        <f>'[3]Activity data'!AM550</f>
        <v>33907.093377314624</v>
      </c>
      <c r="AM29" s="45">
        <f>'[3]Activity data'!AN550</f>
        <v>34736.379928965718</v>
      </c>
      <c r="AN29" s="45">
        <f>'[3]Activity data'!AO550</f>
        <v>35565.666480616797</v>
      </c>
      <c r="AO29" s="45">
        <f>'[3]Activity data'!AP550</f>
        <v>36394.953032267884</v>
      </c>
      <c r="AP29" s="45">
        <f>'[3]Activity data'!AQ550</f>
        <v>37224.23958391897</v>
      </c>
      <c r="AQ29" s="45">
        <f>'[3]Activity data'!AR550</f>
        <v>38053.526135570057</v>
      </c>
      <c r="AR29" s="45">
        <f>'[3]Activity data'!AS550</f>
        <v>38882.812687221151</v>
      </c>
      <c r="AS29" s="45">
        <f>'[3]Activity data'!AT550</f>
        <v>39712.09923887223</v>
      </c>
      <c r="AT29" s="45">
        <f>'[3]Activity data'!AU550</f>
        <v>40541.385790523324</v>
      </c>
      <c r="AU29" s="45">
        <f>'[3]Activity data'!AV550</f>
        <v>41370.67234217441</v>
      </c>
      <c r="AV29" s="45">
        <f>'[3]Activity data'!AW550</f>
        <v>42199.958893825504</v>
      </c>
      <c r="AW29" s="45">
        <f>'[3]Activity data'!AX550</f>
        <v>43029.245445476583</v>
      </c>
      <c r="AX29" s="45">
        <f>'[3]Activity data'!AY550</f>
        <v>43858.531997127677</v>
      </c>
      <c r="AY29" s="45">
        <f>'[3]Activity data'!AZ550</f>
        <v>44687.818548778749</v>
      </c>
      <c r="AZ29" s="45">
        <f>'[3]Activity data'!BA550</f>
        <v>45517.105100429842</v>
      </c>
      <c r="BA29" s="45">
        <f>'[3]Activity data'!BB550</f>
        <v>46346.391652080929</v>
      </c>
      <c r="BB29" s="45">
        <f>'[3]Activity data'!BC550</f>
        <v>47175.678203732023</v>
      </c>
      <c r="BC29" s="45">
        <f>'[3]Activity data'!BD550</f>
        <v>48004.964755383102</v>
      </c>
      <c r="BD29" s="45">
        <f>'[3]Activity data'!BE550</f>
        <v>48834.251307034181</v>
      </c>
      <c r="BE29" s="45">
        <f>'[3]Activity data'!BF550</f>
        <v>49663.537858685289</v>
      </c>
      <c r="BF29" s="45">
        <f>'[3]Activity data'!BG550</f>
        <v>50492.824410336369</v>
      </c>
      <c r="BG29" s="45">
        <f>'[3]Activity data'!BH550</f>
        <v>51322.110961987448</v>
      </c>
      <c r="BH29" s="45">
        <f>'[3]Activity data'!BI550</f>
        <v>52151.397513638527</v>
      </c>
      <c r="BI29" s="45">
        <f>'[3]Activity data'!BJ550</f>
        <v>52980.684065289621</v>
      </c>
      <c r="BJ29" s="45">
        <f>'[3]Activity data'!BK550</f>
        <v>53809.970616940707</v>
      </c>
      <c r="BK29" s="45">
        <f>'[3]Activity data'!BL550</f>
        <v>54639.257168591786</v>
      </c>
      <c r="BL29" s="45">
        <f>'[3]Activity data'!BM550</f>
        <v>55468.54372024288</v>
      </c>
      <c r="BM29" s="45">
        <f>'[3]Activity data'!BN550</f>
        <v>56297.830271893945</v>
      </c>
      <c r="BN29" s="45">
        <f>'[3]Activity data'!BO550</f>
        <v>57127.116823545024</v>
      </c>
      <c r="BO29" s="45">
        <f>'[3]Activity data'!BP550</f>
        <v>57956.403375196111</v>
      </c>
      <c r="BP29" s="45">
        <f>'[3]Activity data'!BQ550</f>
        <v>58785.68992684719</v>
      </c>
      <c r="BR29" s="23"/>
    </row>
    <row r="30" spans="1:72" x14ac:dyDescent="0.25">
      <c r="A30" t="str">
        <f t="shared" si="8"/>
        <v>3C Aggregated and non-CO2 emissions on land</v>
      </c>
      <c r="B30" t="str">
        <f t="shared" si="8"/>
        <v>3C1 Biomass burning (CH4)</v>
      </c>
      <c r="C30" t="str">
        <f>C29</f>
        <v>3C1b Biomass burning in Croplands</v>
      </c>
      <c r="D30" t="s">
        <v>352</v>
      </c>
      <c r="E30" t="str">
        <f t="shared" si="6"/>
        <v>Perennial orchards - Burnt area</v>
      </c>
      <c r="F30" t="s">
        <v>361</v>
      </c>
      <c r="G30" t="s">
        <v>647</v>
      </c>
      <c r="H30" s="21">
        <v>2718.1305530824302</v>
      </c>
      <c r="I30" s="21">
        <v>2718.1305530824302</v>
      </c>
      <c r="J30" s="21">
        <v>2718.1305530824302</v>
      </c>
      <c r="K30" s="21">
        <v>2718.1305530824302</v>
      </c>
      <c r="L30" s="21">
        <v>2718.1305530824302</v>
      </c>
      <c r="M30" s="21">
        <v>2718.1305530824302</v>
      </c>
      <c r="N30" s="21">
        <v>2718.1305530824302</v>
      </c>
      <c r="O30" s="21">
        <v>2718.1305530824302</v>
      </c>
      <c r="P30" s="21">
        <v>2718.1305530824302</v>
      </c>
      <c r="Q30" s="21">
        <v>2718.1305530824302</v>
      </c>
      <c r="R30" s="21">
        <v>2076.6702018456599</v>
      </c>
      <c r="S30" s="21">
        <v>3991.8216102144347</v>
      </c>
      <c r="T30" s="21">
        <v>2907.3382825839235</v>
      </c>
      <c r="U30" s="21">
        <v>2976.5606226454456</v>
      </c>
      <c r="V30" s="21">
        <v>1638.262048122687</v>
      </c>
      <c r="W30" s="21">
        <v>3691.8581366145063</v>
      </c>
      <c r="X30" s="21">
        <v>2561.2265822763138</v>
      </c>
      <c r="Y30" s="21">
        <v>4453.3038772912478</v>
      </c>
      <c r="Z30" s="21">
        <v>5676.2318850448037</v>
      </c>
      <c r="AA30" s="21">
        <v>2422.7819021532696</v>
      </c>
      <c r="AB30" s="21">
        <v>4072.41</v>
      </c>
      <c r="AC30" s="21">
        <v>3114.81</v>
      </c>
      <c r="AD30" s="45">
        <f>'[3]Activity data'!AE551</f>
        <v>3227.9349368076064</v>
      </c>
      <c r="AE30" s="45">
        <f>'[3]Activity data'!AF551</f>
        <v>3255.5028892035903</v>
      </c>
      <c r="AF30" s="45">
        <f>'[3]Activity data'!AG551</f>
        <v>3283.0708415995737</v>
      </c>
      <c r="AG30" s="45">
        <f>'[3]Activity data'!AH551</f>
        <v>3310.6387939955575</v>
      </c>
      <c r="AH30" s="45">
        <f>'[3]Activity data'!AI551</f>
        <v>3338.2067463915409</v>
      </c>
      <c r="AI30" s="45">
        <f>'[3]Activity data'!AJ551</f>
        <v>3365.7746987875248</v>
      </c>
      <c r="AJ30" s="45">
        <f>'[3]Activity data'!AK551</f>
        <v>3393.3426511835082</v>
      </c>
      <c r="AK30" s="45">
        <f>'[3]Activity data'!AL551</f>
        <v>3420.9106035794921</v>
      </c>
      <c r="AL30" s="45">
        <f>'[3]Activity data'!AM551</f>
        <v>3448.4785559754755</v>
      </c>
      <c r="AM30" s="45">
        <f>'[3]Activity data'!AN551</f>
        <v>3476.0465083714594</v>
      </c>
      <c r="AN30" s="45">
        <f>'[3]Activity data'!AO551</f>
        <v>3503.6144607674428</v>
      </c>
      <c r="AO30" s="45">
        <f>'[3]Activity data'!AP551</f>
        <v>3531.1824131634266</v>
      </c>
      <c r="AP30" s="45">
        <f>'[3]Activity data'!AQ551</f>
        <v>3558.7503655594105</v>
      </c>
      <c r="AQ30" s="45">
        <f>'[3]Activity data'!AR551</f>
        <v>3586.3183179553939</v>
      </c>
      <c r="AR30" s="45">
        <f>'[3]Activity data'!AS551</f>
        <v>3613.8862703513778</v>
      </c>
      <c r="AS30" s="45">
        <f>'[3]Activity data'!AT551</f>
        <v>3641.4542227473612</v>
      </c>
      <c r="AT30" s="45">
        <f>'[3]Activity data'!AU551</f>
        <v>3669.0221751433451</v>
      </c>
      <c r="AU30" s="45">
        <f>'[3]Activity data'!AV551</f>
        <v>3696.5901275393285</v>
      </c>
      <c r="AV30" s="45">
        <f>'[3]Activity data'!AW551</f>
        <v>3724.1580799353123</v>
      </c>
      <c r="AW30" s="45">
        <f>'[3]Activity data'!AX551</f>
        <v>3751.7260323312958</v>
      </c>
      <c r="AX30" s="45">
        <f>'[3]Activity data'!AY551</f>
        <v>3779.2939847272796</v>
      </c>
      <c r="AY30" s="45">
        <f>'[3]Activity data'!AZ551</f>
        <v>3806.861937123263</v>
      </c>
      <c r="AZ30" s="45">
        <f>'[3]Activity data'!BA551</f>
        <v>3834.4298895192469</v>
      </c>
      <c r="BA30" s="45">
        <f>'[3]Activity data'!BB551</f>
        <v>3861.9978419152303</v>
      </c>
      <c r="BB30" s="45">
        <f>'[3]Activity data'!BC551</f>
        <v>3889.5657943112142</v>
      </c>
      <c r="BC30" s="45">
        <f>'[3]Activity data'!BD551</f>
        <v>3917.1337467071976</v>
      </c>
      <c r="BD30" s="45">
        <f>'[3]Activity data'!BE551</f>
        <v>3944.7016991031815</v>
      </c>
      <c r="BE30" s="45">
        <f>'[3]Activity data'!BF551</f>
        <v>3972.2696514991649</v>
      </c>
      <c r="BF30" s="45">
        <f>'[3]Activity data'!BG551</f>
        <v>3999.8376038951487</v>
      </c>
      <c r="BG30" s="45">
        <f>'[3]Activity data'!BH551</f>
        <v>4027.4055562911321</v>
      </c>
      <c r="BH30" s="45">
        <f>'[3]Activity data'!BI551</f>
        <v>4054.973508687116</v>
      </c>
      <c r="BI30" s="45">
        <f>'[3]Activity data'!BJ551</f>
        <v>4082.5414610830994</v>
      </c>
      <c r="BJ30" s="45">
        <f>'[3]Activity data'!BK551</f>
        <v>4110.1094134790837</v>
      </c>
      <c r="BK30" s="45">
        <f>'[3]Activity data'!BL551</f>
        <v>4137.6773658750672</v>
      </c>
      <c r="BL30" s="45">
        <f>'[3]Activity data'!BM551</f>
        <v>4165.2453182710506</v>
      </c>
      <c r="BM30" s="45">
        <f>'[3]Activity data'!BN551</f>
        <v>4192.813270667034</v>
      </c>
      <c r="BN30" s="45">
        <f>'[3]Activity data'!BO551</f>
        <v>4220.3812230630174</v>
      </c>
      <c r="BO30" s="45">
        <f>'[3]Activity data'!BP551</f>
        <v>4247.9491754590017</v>
      </c>
      <c r="BP30" s="45">
        <f>'[3]Activity data'!BQ551</f>
        <v>4275.5171278549851</v>
      </c>
      <c r="BR30" s="23"/>
    </row>
    <row r="31" spans="1:72" x14ac:dyDescent="0.25">
      <c r="A31" t="str">
        <f t="shared" si="8"/>
        <v>3C Aggregated and non-CO2 emissions on land</v>
      </c>
      <c r="B31" t="str">
        <f t="shared" si="8"/>
        <v>3C1 Biomass burning (CH4)</v>
      </c>
      <c r="C31" t="str">
        <f>C30</f>
        <v>3C1b Biomass burning in Croplands</v>
      </c>
      <c r="D31" t="s">
        <v>353</v>
      </c>
      <c r="E31" t="str">
        <f t="shared" si="6"/>
        <v>Perennial vineyards - Burnt area</v>
      </c>
      <c r="F31" t="s">
        <v>361</v>
      </c>
      <c r="G31" t="s">
        <v>648</v>
      </c>
      <c r="H31" s="21">
        <v>650.6899965783067</v>
      </c>
      <c r="I31" s="21">
        <v>650.6899965783067</v>
      </c>
      <c r="J31" s="21">
        <v>650.6899965783067</v>
      </c>
      <c r="K31" s="21">
        <v>650.6899965783067</v>
      </c>
      <c r="L31" s="21">
        <v>650.6899965783067</v>
      </c>
      <c r="M31" s="21">
        <v>650.6899965783067</v>
      </c>
      <c r="N31" s="21">
        <v>650.6899965783067</v>
      </c>
      <c r="O31" s="21">
        <v>650.6899965783067</v>
      </c>
      <c r="P31" s="21">
        <v>650.6899965783067</v>
      </c>
      <c r="Q31" s="21">
        <v>650.6899965783067</v>
      </c>
      <c r="R31" s="21">
        <v>1015.2609875689892</v>
      </c>
      <c r="S31" s="21">
        <v>669.14928726137919</v>
      </c>
      <c r="T31" s="21">
        <v>530.70460713833518</v>
      </c>
      <c r="U31" s="21">
        <v>830.66808073826394</v>
      </c>
      <c r="V31" s="21">
        <v>207.66702018456598</v>
      </c>
      <c r="W31" s="21">
        <v>576.85283384601667</v>
      </c>
      <c r="X31" s="21">
        <v>1153.7056676920333</v>
      </c>
      <c r="Y31" s="21">
        <v>553.77872049217592</v>
      </c>
      <c r="Z31" s="21">
        <v>415.33404036913197</v>
      </c>
      <c r="AA31" s="21">
        <v>623.00106055369793</v>
      </c>
      <c r="AB31" s="21">
        <v>1034.0999999999999</v>
      </c>
      <c r="AC31" s="21">
        <v>2728.53</v>
      </c>
      <c r="AD31" s="45">
        <f>'[3]Activity data'!AE552</f>
        <v>892.04273910080849</v>
      </c>
      <c r="AE31" s="45">
        <f>'[3]Activity data'!AF552</f>
        <v>897.91643360164323</v>
      </c>
      <c r="AF31" s="45">
        <f>'[3]Activity data'!AG552</f>
        <v>903.79012810247798</v>
      </c>
      <c r="AG31" s="45">
        <f>'[3]Activity data'!AH552</f>
        <v>909.66382260331272</v>
      </c>
      <c r="AH31" s="45">
        <f>'[3]Activity data'!AI552</f>
        <v>915.53751710414724</v>
      </c>
      <c r="AI31" s="45">
        <f>'[3]Activity data'!AJ552</f>
        <v>921.41121160498199</v>
      </c>
      <c r="AJ31" s="45">
        <f>'[3]Activity data'!AK552</f>
        <v>927.28490610581673</v>
      </c>
      <c r="AK31" s="45">
        <f>'[3]Activity data'!AL552</f>
        <v>933.15860060665148</v>
      </c>
      <c r="AL31" s="45">
        <f>'[3]Activity data'!AM552</f>
        <v>939.03229510748622</v>
      </c>
      <c r="AM31" s="45">
        <f>'[3]Activity data'!AN552</f>
        <v>944.90598960832097</v>
      </c>
      <c r="AN31" s="45">
        <f>'[3]Activity data'!AO552</f>
        <v>950.77968410915571</v>
      </c>
      <c r="AO31" s="45">
        <f>'[3]Activity data'!AP552</f>
        <v>956.65337860999045</v>
      </c>
      <c r="AP31" s="45">
        <f>'[3]Activity data'!AQ552</f>
        <v>962.5270731108252</v>
      </c>
      <c r="AQ31" s="45">
        <f>'[3]Activity data'!AR552</f>
        <v>968.40076761165994</v>
      </c>
      <c r="AR31" s="45">
        <f>'[3]Activity data'!AS552</f>
        <v>974.27446211249469</v>
      </c>
      <c r="AS31" s="45">
        <f>'[3]Activity data'!AT552</f>
        <v>980.14815661332921</v>
      </c>
      <c r="AT31" s="45">
        <f>'[3]Activity data'!AU552</f>
        <v>986.02185111416395</v>
      </c>
      <c r="AU31" s="45">
        <f>'[3]Activity data'!AV552</f>
        <v>991.8955456149987</v>
      </c>
      <c r="AV31" s="45">
        <f>'[3]Activity data'!AW552</f>
        <v>997.76924011583344</v>
      </c>
      <c r="AW31" s="45">
        <f>'[3]Activity data'!AX552</f>
        <v>1003.6429346166682</v>
      </c>
      <c r="AX31" s="45">
        <f>'[3]Activity data'!AY552</f>
        <v>1009.5166291175029</v>
      </c>
      <c r="AY31" s="45">
        <f>'[3]Activity data'!AZ552</f>
        <v>1015.3903236183377</v>
      </c>
      <c r="AZ31" s="45">
        <f>'[3]Activity data'!BA552</f>
        <v>1021.2640181191724</v>
      </c>
      <c r="BA31" s="45">
        <f>'[3]Activity data'!BB552</f>
        <v>1027.1377126200073</v>
      </c>
      <c r="BB31" s="45">
        <f>'[3]Activity data'!BC552</f>
        <v>1033.011407120842</v>
      </c>
      <c r="BC31" s="45">
        <f>'[3]Activity data'!BD552</f>
        <v>1038.885101621677</v>
      </c>
      <c r="BD31" s="45">
        <f>'[3]Activity data'!BE552</f>
        <v>1044.7587961225115</v>
      </c>
      <c r="BE31" s="45">
        <f>'[3]Activity data'!BF552</f>
        <v>1050.6324906233463</v>
      </c>
      <c r="BF31" s="45">
        <f>'[3]Activity data'!BG552</f>
        <v>1056.506185124181</v>
      </c>
      <c r="BG31" s="45">
        <f>'[3]Activity data'!BH552</f>
        <v>1062.3798796250157</v>
      </c>
      <c r="BH31" s="45">
        <f>'[3]Activity data'!BI552</f>
        <v>1068.2535741258505</v>
      </c>
      <c r="BI31" s="45">
        <f>'[3]Activity data'!BJ552</f>
        <v>1074.1272686266852</v>
      </c>
      <c r="BJ31" s="45">
        <f>'[3]Activity data'!BK552</f>
        <v>1080.00096312752</v>
      </c>
      <c r="BK31" s="45">
        <f>'[3]Activity data'!BL552</f>
        <v>1085.8746576283547</v>
      </c>
      <c r="BL31" s="45">
        <f>'[3]Activity data'!BM552</f>
        <v>1091.7483521291895</v>
      </c>
      <c r="BM31" s="45">
        <f>'[3]Activity data'!BN552</f>
        <v>1097.6220466300242</v>
      </c>
      <c r="BN31" s="45">
        <f>'[3]Activity data'!BO552</f>
        <v>1103.495741130859</v>
      </c>
      <c r="BO31" s="45">
        <f>'[3]Activity data'!BP552</f>
        <v>1109.3694356316935</v>
      </c>
      <c r="BP31" s="45">
        <f>'[3]Activity data'!BQ552</f>
        <v>1115.2431301325282</v>
      </c>
      <c r="BR31" s="23"/>
    </row>
    <row r="32" spans="1:72" x14ac:dyDescent="0.25">
      <c r="A32" t="str">
        <f t="shared" si="8"/>
        <v>3C Aggregated and non-CO2 emissions on land</v>
      </c>
      <c r="B32" t="str">
        <f t="shared" si="8"/>
        <v>3C1 Biomass burning (CH4)</v>
      </c>
      <c r="C32" t="str">
        <f>C31</f>
        <v>3C1b Biomass burning in Croplands</v>
      </c>
      <c r="D32" t="s">
        <v>354</v>
      </c>
      <c r="E32" t="str">
        <f t="shared" si="6"/>
        <v>Cropland subsistence - Burnt area</v>
      </c>
      <c r="F32" t="s">
        <v>361</v>
      </c>
      <c r="G32" t="s">
        <v>649</v>
      </c>
      <c r="H32" s="21">
        <v>121475.97716262956</v>
      </c>
      <c r="I32" s="21">
        <v>121475.97716262956</v>
      </c>
      <c r="J32" s="21">
        <v>121475.97716262956</v>
      </c>
      <c r="K32" s="21">
        <v>121475.97716262956</v>
      </c>
      <c r="L32" s="21">
        <v>121475.97716262956</v>
      </c>
      <c r="M32" s="21">
        <v>121475.97716262956</v>
      </c>
      <c r="N32" s="21">
        <v>121475.97716262956</v>
      </c>
      <c r="O32" s="21">
        <v>121475.97716262956</v>
      </c>
      <c r="P32" s="21">
        <v>121475.97716262956</v>
      </c>
      <c r="Q32" s="21">
        <v>121475.97716262956</v>
      </c>
      <c r="R32" s="21">
        <v>110986.48523197359</v>
      </c>
      <c r="S32" s="21">
        <v>166133.61614765276</v>
      </c>
      <c r="T32" s="21">
        <v>130807.14860292274</v>
      </c>
      <c r="U32" s="21">
        <v>110963.41111861976</v>
      </c>
      <c r="V32" s="21">
        <v>88489.224711978939</v>
      </c>
      <c r="W32" s="21">
        <v>191815.10431047744</v>
      </c>
      <c r="X32" s="21">
        <v>150304.77438691808</v>
      </c>
      <c r="Y32" s="21">
        <v>232748.58140019077</v>
      </c>
      <c r="Z32" s="21">
        <v>140036.793944459</v>
      </c>
      <c r="AA32" s="21">
        <v>165649.05976722212</v>
      </c>
      <c r="AB32" s="21">
        <v>111287.7</v>
      </c>
      <c r="AC32" s="21">
        <v>75544.47</v>
      </c>
      <c r="AD32" s="45">
        <f>'[3]Activity data'!AE553</f>
        <v>111446.90580100549</v>
      </c>
      <c r="AE32" s="45">
        <f>'[3]Activity data'!AF553</f>
        <v>111463.54344556993</v>
      </c>
      <c r="AF32" s="45">
        <f>'[3]Activity data'!AG553</f>
        <v>111480.18109013437</v>
      </c>
      <c r="AG32" s="45">
        <f>'[3]Activity data'!AH553</f>
        <v>111496.81873469881</v>
      </c>
      <c r="AH32" s="45">
        <f>'[3]Activity data'!AI553</f>
        <v>111513.45637926325</v>
      </c>
      <c r="AI32" s="45">
        <f>'[3]Activity data'!AJ553</f>
        <v>111530.0940238277</v>
      </c>
      <c r="AJ32" s="45">
        <f>'[3]Activity data'!AK553</f>
        <v>111546.73166839214</v>
      </c>
      <c r="AK32" s="45">
        <f>'[3]Activity data'!AL553</f>
        <v>111563.36931295661</v>
      </c>
      <c r="AL32" s="45">
        <f>'[3]Activity data'!AM553</f>
        <v>111580.00695752105</v>
      </c>
      <c r="AM32" s="45">
        <f>'[3]Activity data'!AN553</f>
        <v>111596.64460208549</v>
      </c>
      <c r="AN32" s="45">
        <f>'[3]Activity data'!AO553</f>
        <v>111613.28224664993</v>
      </c>
      <c r="AO32" s="45">
        <f>'[3]Activity data'!AP553</f>
        <v>111629.91989121438</v>
      </c>
      <c r="AP32" s="45">
        <f>'[3]Activity data'!AQ553</f>
        <v>111646.55753577882</v>
      </c>
      <c r="AQ32" s="45">
        <f>'[3]Activity data'!AR553</f>
        <v>111663.19518034326</v>
      </c>
      <c r="AR32" s="45">
        <f>'[3]Activity data'!AS553</f>
        <v>111679.83282490773</v>
      </c>
      <c r="AS32" s="45">
        <f>'[3]Activity data'!AT553</f>
        <v>111696.47046947217</v>
      </c>
      <c r="AT32" s="45">
        <f>'[3]Activity data'!AU553</f>
        <v>111713.10811403662</v>
      </c>
      <c r="AU32" s="45">
        <f>'[3]Activity data'!AV553</f>
        <v>111729.74575860106</v>
      </c>
      <c r="AV32" s="45">
        <f>'[3]Activity data'!AW553</f>
        <v>111746.3834031655</v>
      </c>
      <c r="AW32" s="45">
        <f>'[3]Activity data'!AX553</f>
        <v>111763.02104772994</v>
      </c>
      <c r="AX32" s="45">
        <f>'[3]Activity data'!AY553</f>
        <v>111779.65869229441</v>
      </c>
      <c r="AY32" s="45">
        <f>'[3]Activity data'!AZ553</f>
        <v>111796.29633685885</v>
      </c>
      <c r="AZ32" s="45">
        <f>'[3]Activity data'!BA553</f>
        <v>111812.9339814233</v>
      </c>
      <c r="BA32" s="45">
        <f>'[3]Activity data'!BB553</f>
        <v>111829.57162598774</v>
      </c>
      <c r="BB32" s="45">
        <f>'[3]Activity data'!BC553</f>
        <v>111846.20927055218</v>
      </c>
      <c r="BC32" s="45">
        <f>'[3]Activity data'!BD553</f>
        <v>111862.84691511662</v>
      </c>
      <c r="BD32" s="45">
        <f>'[3]Activity data'!BE553</f>
        <v>111879.48455968106</v>
      </c>
      <c r="BE32" s="45">
        <f>'[3]Activity data'!BF553</f>
        <v>111896.12220424553</v>
      </c>
      <c r="BF32" s="45">
        <f>'[3]Activity data'!BG553</f>
        <v>111912.75984880998</v>
      </c>
      <c r="BG32" s="45">
        <f>'[3]Activity data'!BH553</f>
        <v>111929.39749337442</v>
      </c>
      <c r="BH32" s="45">
        <f>'[3]Activity data'!BI553</f>
        <v>111946.03513793886</v>
      </c>
      <c r="BI32" s="45">
        <f>'[3]Activity data'!BJ553</f>
        <v>111962.6727825033</v>
      </c>
      <c r="BJ32" s="45">
        <f>'[3]Activity data'!BK553</f>
        <v>111979.31042706774</v>
      </c>
      <c r="BK32" s="45">
        <f>'[3]Activity data'!BL553</f>
        <v>111995.94807163219</v>
      </c>
      <c r="BL32" s="45">
        <f>'[3]Activity data'!BM553</f>
        <v>112012.58571619666</v>
      </c>
      <c r="BM32" s="45">
        <f>'[3]Activity data'!BN553</f>
        <v>112029.2233607611</v>
      </c>
      <c r="BN32" s="45">
        <f>'[3]Activity data'!BO553</f>
        <v>112045.86100532554</v>
      </c>
      <c r="BO32" s="45">
        <f>'[3]Activity data'!BP553</f>
        <v>112062.49864988998</v>
      </c>
      <c r="BP32" s="45">
        <f>'[3]Activity data'!BQ553</f>
        <v>112079.13629445442</v>
      </c>
      <c r="BR32" s="23"/>
    </row>
    <row r="33" spans="1:72" x14ac:dyDescent="0.25">
      <c r="A33" t="str">
        <f t="shared" si="8"/>
        <v>3C Aggregated and non-CO2 emissions on land</v>
      </c>
      <c r="B33" t="str">
        <f t="shared" si="8"/>
        <v>3C1 Biomass burning (CH4)</v>
      </c>
      <c r="C33" t="str">
        <f>'IPCC Categories'!C61</f>
        <v>3C1c Biomass burning in Grasslands</v>
      </c>
      <c r="D33" t="s">
        <v>355</v>
      </c>
      <c r="E33" t="str">
        <f t="shared" si="6"/>
        <v>Grasslands - Burnt area</v>
      </c>
      <c r="F33" t="s">
        <v>361</v>
      </c>
      <c r="G33" t="s">
        <v>650</v>
      </c>
      <c r="H33" s="21">
        <v>2387838.4648902137</v>
      </c>
      <c r="I33" s="21">
        <v>2387838.4648902137</v>
      </c>
      <c r="J33" s="21">
        <v>2387838.4648902137</v>
      </c>
      <c r="K33" s="21">
        <v>2387838.4648902137</v>
      </c>
      <c r="L33" s="21">
        <v>2387838.4648902137</v>
      </c>
      <c r="M33" s="21">
        <v>2387838.4648902137</v>
      </c>
      <c r="N33" s="21">
        <v>2387838.4648902137</v>
      </c>
      <c r="O33" s="21">
        <v>2387838.4648902137</v>
      </c>
      <c r="P33" s="21">
        <v>2387838.4648902137</v>
      </c>
      <c r="Q33" s="21">
        <v>2387838.4648902137</v>
      </c>
      <c r="R33" s="21">
        <v>2371995.7786614662</v>
      </c>
      <c r="S33" s="21">
        <v>2712685.0623309235</v>
      </c>
      <c r="T33" s="21">
        <v>2759663.9571193433</v>
      </c>
      <c r="U33" s="21">
        <v>2215091.8078553495</v>
      </c>
      <c r="V33" s="21">
        <v>1879755.7184839835</v>
      </c>
      <c r="W33" s="21">
        <v>2920305.9342887821</v>
      </c>
      <c r="X33" s="21">
        <v>2572463.6754796347</v>
      </c>
      <c r="Y33" s="21">
        <v>2423589.496120654</v>
      </c>
      <c r="Z33" s="21">
        <v>2252194.9821283258</v>
      </c>
      <c r="AA33" s="21">
        <v>2329700.9288838757</v>
      </c>
      <c r="AB33" s="21">
        <v>2008702.26</v>
      </c>
      <c r="AC33" s="21">
        <v>2040577.5599999998</v>
      </c>
      <c r="AD33" s="45">
        <f>'[3]Activity data'!AE554</f>
        <v>2029778.8780198463</v>
      </c>
      <c r="AE33" s="45">
        <f>'[3]Activity data'!AF554</f>
        <v>2042800.9812413759</v>
      </c>
      <c r="AF33" s="45">
        <f>'[3]Activity data'!AG554</f>
        <v>2055823.0844629053</v>
      </c>
      <c r="AG33" s="45">
        <f>'[3]Activity data'!AH554</f>
        <v>2068845.1876844347</v>
      </c>
      <c r="AH33" s="45">
        <f>'[3]Activity data'!AI554</f>
        <v>2081867.2909059643</v>
      </c>
      <c r="AI33" s="45">
        <f>'[3]Activity data'!AJ554</f>
        <v>2094889.3941274937</v>
      </c>
      <c r="AJ33" s="45">
        <f>'[3]Activity data'!AK554</f>
        <v>2107911.4973490234</v>
      </c>
      <c r="AK33" s="45">
        <f>'[3]Activity data'!AL554</f>
        <v>2129780.2741153426</v>
      </c>
      <c r="AL33" s="45">
        <f>'[3]Activity data'!AM554</f>
        <v>2151649.0508816615</v>
      </c>
      <c r="AM33" s="45">
        <f>'[3]Activity data'!AN554</f>
        <v>2173517.8276479808</v>
      </c>
      <c r="AN33" s="45">
        <f>'[3]Activity data'!AO554</f>
        <v>2195386.6044142996</v>
      </c>
      <c r="AO33" s="45">
        <f>'[3]Activity data'!AP554</f>
        <v>2217255.3811806189</v>
      </c>
      <c r="AP33" s="45">
        <f>'[3]Activity data'!AQ554</f>
        <v>2239124.1579469377</v>
      </c>
      <c r="AQ33" s="45">
        <f>'[3]Activity data'!AR554</f>
        <v>2260992.934713257</v>
      </c>
      <c r="AR33" s="45">
        <f>'[3]Activity data'!AS554</f>
        <v>2282861.7114795758</v>
      </c>
      <c r="AS33" s="45">
        <f>'[3]Activity data'!AT554</f>
        <v>2304730.4882458951</v>
      </c>
      <c r="AT33" s="45">
        <f>'[3]Activity data'!AU554</f>
        <v>2326599.2650122144</v>
      </c>
      <c r="AU33" s="45">
        <f>'[3]Activity data'!AV554</f>
        <v>2348468.0417785333</v>
      </c>
      <c r="AV33" s="45">
        <f>'[3]Activity data'!AW554</f>
        <v>2370336.8185448521</v>
      </c>
      <c r="AW33" s="45">
        <f>'[3]Activity data'!AX554</f>
        <v>2392578.6068636663</v>
      </c>
      <c r="AX33" s="45">
        <f>'[3]Activity data'!AY554</f>
        <v>2414820.3951824801</v>
      </c>
      <c r="AY33" s="45">
        <f>'[3]Activity data'!AZ554</f>
        <v>2437062.1835012939</v>
      </c>
      <c r="AZ33" s="45">
        <f>'[3]Activity data'!BA554</f>
        <v>2459303.9718201077</v>
      </c>
      <c r="BA33" s="45">
        <f>'[3]Activity data'!BB554</f>
        <v>2481545.7601389214</v>
      </c>
      <c r="BB33" s="45">
        <f>'[3]Activity data'!BC554</f>
        <v>2503787.5484577357</v>
      </c>
      <c r="BC33" s="45">
        <f>'[3]Activity data'!BD554</f>
        <v>2526029.336776549</v>
      </c>
      <c r="BD33" s="45">
        <f>'[3]Activity data'!BE554</f>
        <v>2548271.1250953628</v>
      </c>
      <c r="BE33" s="45">
        <f>'[3]Activity data'!BF554</f>
        <v>2570512.9134141766</v>
      </c>
      <c r="BF33" s="45">
        <f>'[3]Activity data'!BG554</f>
        <v>2592754.7017329903</v>
      </c>
      <c r="BG33" s="45">
        <f>'[3]Activity data'!BH554</f>
        <v>2614996.4900518041</v>
      </c>
      <c r="BH33" s="45">
        <f>'[3]Activity data'!BI554</f>
        <v>2637238.2783706179</v>
      </c>
      <c r="BI33" s="45">
        <f>'[3]Activity data'!BJ554</f>
        <v>2659480.0666894317</v>
      </c>
      <c r="BJ33" s="45">
        <f>'[3]Activity data'!BK554</f>
        <v>2681721.8550082454</v>
      </c>
      <c r="BK33" s="45">
        <f>'[3]Activity data'!BL554</f>
        <v>2703963.6433270597</v>
      </c>
      <c r="BL33" s="45">
        <f>'[3]Activity data'!BM554</f>
        <v>2726205.4316458735</v>
      </c>
      <c r="BM33" s="45">
        <f>'[3]Activity data'!BN554</f>
        <v>2748447.2199646872</v>
      </c>
      <c r="BN33" s="45">
        <f>'[3]Activity data'!BO554</f>
        <v>2770689.008283501</v>
      </c>
      <c r="BO33" s="45">
        <f>'[3]Activity data'!BP554</f>
        <v>2792930.7966023148</v>
      </c>
      <c r="BP33" s="45">
        <f>'[3]Activity data'!BQ554</f>
        <v>2815172.5849211286</v>
      </c>
      <c r="BR33" s="23"/>
    </row>
    <row r="34" spans="1:72" x14ac:dyDescent="0.25">
      <c r="A34" t="str">
        <f t="shared" si="8"/>
        <v>3C Aggregated and non-CO2 emissions on land</v>
      </c>
      <c r="B34" t="str">
        <f t="shared" si="8"/>
        <v>3C1 Biomass burning (CH4)</v>
      </c>
      <c r="C34" t="str">
        <f>C33</f>
        <v>3C1c Biomass burning in Grasslands</v>
      </c>
      <c r="D34" t="s">
        <v>356</v>
      </c>
      <c r="E34" t="str">
        <f t="shared" si="6"/>
        <v>Low shrublands - Burnt area</v>
      </c>
      <c r="F34" t="s">
        <v>361</v>
      </c>
      <c r="G34" t="s">
        <v>651</v>
      </c>
      <c r="H34" s="21">
        <v>178542.87430934826</v>
      </c>
      <c r="I34" s="21">
        <v>178542.87430934826</v>
      </c>
      <c r="J34" s="21">
        <v>178542.87430934826</v>
      </c>
      <c r="K34" s="21">
        <v>178542.87430934826</v>
      </c>
      <c r="L34" s="21">
        <v>178542.87430934826</v>
      </c>
      <c r="M34" s="21">
        <v>178542.87430934826</v>
      </c>
      <c r="N34" s="21">
        <v>178542.87430934826</v>
      </c>
      <c r="O34" s="21">
        <v>178542.87430934826</v>
      </c>
      <c r="P34" s="21">
        <v>178542.87430934826</v>
      </c>
      <c r="Q34" s="21">
        <v>178542.87430934826</v>
      </c>
      <c r="R34" s="21">
        <v>150097.10736673351</v>
      </c>
      <c r="S34" s="21">
        <v>126284.62238556995</v>
      </c>
      <c r="T34" s="21">
        <v>307393.3380998653</v>
      </c>
      <c r="U34" s="21">
        <v>191745.88197041591</v>
      </c>
      <c r="V34" s="21">
        <v>117193.42172415672</v>
      </c>
      <c r="W34" s="21">
        <v>198875.78299675265</v>
      </c>
      <c r="X34" s="21">
        <v>154365.81833719404</v>
      </c>
      <c r="Y34" s="21">
        <v>132837.67057806067</v>
      </c>
      <c r="Z34" s="21">
        <v>160872.7183029771</v>
      </c>
      <c r="AA34" s="21">
        <v>215212.25525127185</v>
      </c>
      <c r="AB34" s="21">
        <v>515229.30000000005</v>
      </c>
      <c r="AC34" s="21">
        <v>517662.54000000004</v>
      </c>
      <c r="AD34" s="45">
        <f>'[3]Activity data'!AE555</f>
        <v>273139.2561664434</v>
      </c>
      <c r="AE34" s="45">
        <f>'[3]Activity data'!AF555</f>
        <v>272318.52883358276</v>
      </c>
      <c r="AF34" s="45">
        <f>'[3]Activity data'!AG555</f>
        <v>271497.80150072213</v>
      </c>
      <c r="AG34" s="45">
        <f>'[3]Activity data'!AH555</f>
        <v>270677.07416786149</v>
      </c>
      <c r="AH34" s="45">
        <f>'[3]Activity data'!AI555</f>
        <v>269856.34683500085</v>
      </c>
      <c r="AI34" s="45">
        <f>'[3]Activity data'!AJ555</f>
        <v>269035.61950214021</v>
      </c>
      <c r="AJ34" s="45">
        <f>'[3]Activity data'!AK555</f>
        <v>268214.89216927957</v>
      </c>
      <c r="AK34" s="45">
        <f>'[3]Activity data'!AL555</f>
        <v>267394.16483641899</v>
      </c>
      <c r="AL34" s="45">
        <f>'[3]Activity data'!AM555</f>
        <v>266573.43750355835</v>
      </c>
      <c r="AM34" s="45">
        <f>'[3]Activity data'!AN555</f>
        <v>265752.71017069771</v>
      </c>
      <c r="AN34" s="45">
        <f>'[3]Activity data'!AO555</f>
        <v>264931.98283783707</v>
      </c>
      <c r="AO34" s="45">
        <f>'[3]Activity data'!AP555</f>
        <v>264111.25550497643</v>
      </c>
      <c r="AP34" s="45">
        <f>'[3]Activity data'!AQ555</f>
        <v>263290.5281721158</v>
      </c>
      <c r="AQ34" s="45">
        <f>'[3]Activity data'!AR555</f>
        <v>262469.80083925516</v>
      </c>
      <c r="AR34" s="45">
        <f>'[3]Activity data'!AS555</f>
        <v>261649.07350639458</v>
      </c>
      <c r="AS34" s="45">
        <f>'[3]Activity data'!AT555</f>
        <v>260828.34617353394</v>
      </c>
      <c r="AT34" s="45">
        <f>'[3]Activity data'!AU555</f>
        <v>260007.6188406733</v>
      </c>
      <c r="AU34" s="45">
        <f>'[3]Activity data'!AV555</f>
        <v>259186.89150781266</v>
      </c>
      <c r="AV34" s="45">
        <f>'[3]Activity data'!AW555</f>
        <v>258366.16417495205</v>
      </c>
      <c r="AW34" s="45">
        <f>'[3]Activity data'!AX555</f>
        <v>257545.43684209141</v>
      </c>
      <c r="AX34" s="45">
        <f>'[3]Activity data'!AY555</f>
        <v>256724.70950923077</v>
      </c>
      <c r="AY34" s="45">
        <f>'[3]Activity data'!AZ555</f>
        <v>255903.98217637016</v>
      </c>
      <c r="AZ34" s="45">
        <f>'[3]Activity data'!BA555</f>
        <v>255083.25484350952</v>
      </c>
      <c r="BA34" s="45">
        <f>'[3]Activity data'!BB555</f>
        <v>254262.52751064888</v>
      </c>
      <c r="BB34" s="45">
        <f>'[3]Activity data'!BC555</f>
        <v>253441.80017778825</v>
      </c>
      <c r="BC34" s="45">
        <f>'[3]Activity data'!BD555</f>
        <v>252621.07284492764</v>
      </c>
      <c r="BD34" s="45">
        <f>'[3]Activity data'!BE555</f>
        <v>251800.345512067</v>
      </c>
      <c r="BE34" s="45">
        <f>'[3]Activity data'!BF555</f>
        <v>250979.61817920636</v>
      </c>
      <c r="BF34" s="45">
        <f>'[3]Activity data'!BG555</f>
        <v>250158.89084634575</v>
      </c>
      <c r="BG34" s="45">
        <f>'[3]Activity data'!BH555</f>
        <v>249338.16351348511</v>
      </c>
      <c r="BH34" s="45">
        <f>'[3]Activity data'!BI555</f>
        <v>248517.43618062447</v>
      </c>
      <c r="BI34" s="45">
        <f>'[3]Activity data'!BJ555</f>
        <v>247696.70884776386</v>
      </c>
      <c r="BJ34" s="45">
        <f>'[3]Activity data'!BK555</f>
        <v>246875.98151490322</v>
      </c>
      <c r="BK34" s="45">
        <f>'[3]Activity data'!BL555</f>
        <v>246055.25418204258</v>
      </c>
      <c r="BL34" s="45">
        <f>'[3]Activity data'!BM555</f>
        <v>245234.52684918194</v>
      </c>
      <c r="BM34" s="45">
        <f>'[3]Activity data'!BN555</f>
        <v>244413.79951632133</v>
      </c>
      <c r="BN34" s="45">
        <f>'[3]Activity data'!BO555</f>
        <v>243593.0721834607</v>
      </c>
      <c r="BO34" s="45">
        <f>'[3]Activity data'!BP555</f>
        <v>242772.34485060006</v>
      </c>
      <c r="BP34" s="45">
        <f>'[3]Activity data'!BQ555</f>
        <v>241951.61751773945</v>
      </c>
      <c r="BR34" s="23"/>
    </row>
    <row r="35" spans="1:72" x14ac:dyDescent="0.25">
      <c r="A35" t="str">
        <f>A39</f>
        <v>3C Aggregated and non-CO2 emissions on land</v>
      </c>
      <c r="B35" t="str">
        <f>B39</f>
        <v>3C1 Biomass burning (CH4)</v>
      </c>
      <c r="C35" t="str">
        <f>C39</f>
        <v>3C1f Biomass burning in Other lands</v>
      </c>
      <c r="D35" t="s">
        <v>360</v>
      </c>
      <c r="E35" t="str">
        <f t="shared" si="6"/>
        <v>Degraded land - Burnt area</v>
      </c>
      <c r="F35" t="s">
        <v>361</v>
      </c>
      <c r="G35" t="s">
        <v>641</v>
      </c>
      <c r="H35" s="21">
        <v>61714.023576182241</v>
      </c>
      <c r="I35" s="21">
        <v>61714.023576182241</v>
      </c>
      <c r="J35" s="21">
        <v>61714.023576182241</v>
      </c>
      <c r="K35" s="21">
        <v>61714.023576182241</v>
      </c>
      <c r="L35" s="21">
        <v>61714.023576182241</v>
      </c>
      <c r="M35" s="21">
        <v>61714.023576182241</v>
      </c>
      <c r="N35" s="21">
        <v>61714.023576182241</v>
      </c>
      <c r="O35" s="21">
        <v>61714.023576182241</v>
      </c>
      <c r="P35" s="21">
        <v>61714.023576182241</v>
      </c>
      <c r="Q35" s="21">
        <v>61714.023576182241</v>
      </c>
      <c r="R35" s="21">
        <v>67907.115600353078</v>
      </c>
      <c r="S35" s="21">
        <v>61469.437974631524</v>
      </c>
      <c r="T35" s="21">
        <v>82282.28821979581</v>
      </c>
      <c r="U35" s="21">
        <v>24204.744908178855</v>
      </c>
      <c r="V35" s="21">
        <v>72706.53117795194</v>
      </c>
      <c r="W35" s="21">
        <v>89066.077545824955</v>
      </c>
      <c r="X35" s="21">
        <v>131960.85427061474</v>
      </c>
      <c r="Y35" s="21">
        <v>20074.478617841378</v>
      </c>
      <c r="Z35" s="21">
        <v>93911.641350131511</v>
      </c>
      <c r="AA35" s="21">
        <v>60961.807480847041</v>
      </c>
      <c r="AB35" s="21">
        <v>82046.16</v>
      </c>
      <c r="AC35" s="21">
        <v>96577.74</v>
      </c>
      <c r="AD35" s="45">
        <f>'[3]Activity data'!AE556</f>
        <v>57963.822619231716</v>
      </c>
      <c r="AE35" s="45">
        <f>'[3]Activity data'!AF556</f>
        <v>57963.822619231716</v>
      </c>
      <c r="AF35" s="45">
        <f>'[3]Activity data'!AG556</f>
        <v>57963.822619231716</v>
      </c>
      <c r="AG35" s="45">
        <f>'[3]Activity data'!AH556</f>
        <v>57963.822619231716</v>
      </c>
      <c r="AH35" s="45">
        <f>'[3]Activity data'!AI556</f>
        <v>57963.822619231716</v>
      </c>
      <c r="AI35" s="45">
        <f>'[3]Activity data'!AJ556</f>
        <v>57963.822619231716</v>
      </c>
      <c r="AJ35" s="45">
        <f>'[3]Activity data'!AK556</f>
        <v>57963.822619231716</v>
      </c>
      <c r="AK35" s="45">
        <f>'[3]Activity data'!AL556</f>
        <v>57963.822619231716</v>
      </c>
      <c r="AL35" s="45">
        <f>'[3]Activity data'!AM556</f>
        <v>57963.822619231716</v>
      </c>
      <c r="AM35" s="45">
        <f>'[3]Activity data'!AN556</f>
        <v>57963.822619231716</v>
      </c>
      <c r="AN35" s="45">
        <f>'[3]Activity data'!AO556</f>
        <v>57963.822619231716</v>
      </c>
      <c r="AO35" s="45">
        <f>'[3]Activity data'!AP556</f>
        <v>57963.822619231716</v>
      </c>
      <c r="AP35" s="45">
        <f>'[3]Activity data'!AQ556</f>
        <v>57963.822619231716</v>
      </c>
      <c r="AQ35" s="45">
        <f>'[3]Activity data'!AR556</f>
        <v>57963.822619231716</v>
      </c>
      <c r="AR35" s="45">
        <f>'[3]Activity data'!AS556</f>
        <v>57963.822619231716</v>
      </c>
      <c r="AS35" s="45">
        <f>'[3]Activity data'!AT556</f>
        <v>57963.822619231716</v>
      </c>
      <c r="AT35" s="45">
        <f>'[3]Activity data'!AU556</f>
        <v>57963.822619231716</v>
      </c>
      <c r="AU35" s="45">
        <f>'[3]Activity data'!AV556</f>
        <v>57963.822619231716</v>
      </c>
      <c r="AV35" s="45">
        <f>'[3]Activity data'!AW556</f>
        <v>57963.822619231716</v>
      </c>
      <c r="AW35" s="45">
        <f>'[3]Activity data'!AX556</f>
        <v>57963.822619231716</v>
      </c>
      <c r="AX35" s="45">
        <f>'[3]Activity data'!AY556</f>
        <v>57963.822619231716</v>
      </c>
      <c r="AY35" s="45">
        <f>'[3]Activity data'!AZ556</f>
        <v>57963.822619231716</v>
      </c>
      <c r="AZ35" s="45">
        <f>'[3]Activity data'!BA556</f>
        <v>57963.822619231716</v>
      </c>
      <c r="BA35" s="45">
        <f>'[3]Activity data'!BB556</f>
        <v>57963.822619231716</v>
      </c>
      <c r="BB35" s="45">
        <f>'[3]Activity data'!BC556</f>
        <v>57963.822619231716</v>
      </c>
      <c r="BC35" s="45">
        <f>'[3]Activity data'!BD556</f>
        <v>57963.822619231716</v>
      </c>
      <c r="BD35" s="45">
        <f>'[3]Activity data'!BE556</f>
        <v>57963.822619231716</v>
      </c>
      <c r="BE35" s="45">
        <f>'[3]Activity data'!BF556</f>
        <v>57963.822619231716</v>
      </c>
      <c r="BF35" s="45">
        <f>'[3]Activity data'!BG556</f>
        <v>57963.822619231716</v>
      </c>
      <c r="BG35" s="45">
        <f>'[3]Activity data'!BH556</f>
        <v>57963.822619231716</v>
      </c>
      <c r="BH35" s="45">
        <f>'[3]Activity data'!BI556</f>
        <v>57963.822619231716</v>
      </c>
      <c r="BI35" s="45">
        <f>'[3]Activity data'!BJ556</f>
        <v>57963.822619231716</v>
      </c>
      <c r="BJ35" s="45">
        <f>'[3]Activity data'!BK556</f>
        <v>57963.822619231716</v>
      </c>
      <c r="BK35" s="45">
        <f>'[3]Activity data'!BL556</f>
        <v>57963.822619231716</v>
      </c>
      <c r="BL35" s="45">
        <f>'[3]Activity data'!BM556</f>
        <v>57963.822619231716</v>
      </c>
      <c r="BM35" s="45">
        <f>'[3]Activity data'!BN556</f>
        <v>57963.822619231716</v>
      </c>
      <c r="BN35" s="45">
        <f>'[3]Activity data'!BO556</f>
        <v>57963.822619231716</v>
      </c>
      <c r="BO35" s="45">
        <f>'[3]Activity data'!BP556</f>
        <v>57963.822619231716</v>
      </c>
      <c r="BP35" s="45">
        <f>'[3]Activity data'!BQ556</f>
        <v>57963.822619231716</v>
      </c>
      <c r="BR35" s="23"/>
    </row>
    <row r="36" spans="1:72" x14ac:dyDescent="0.25">
      <c r="A36" t="str">
        <f>A34</f>
        <v>3C Aggregated and non-CO2 emissions on land</v>
      </c>
      <c r="B36" t="str">
        <f>B34</f>
        <v>3C1 Biomass burning (CH4)</v>
      </c>
      <c r="C36" t="str">
        <f>'IPCC Categories'!C62</f>
        <v>3C1d Biomass burning in Wetlands</v>
      </c>
      <c r="D36" t="s">
        <v>106</v>
      </c>
      <c r="E36" t="str">
        <f t="shared" si="6"/>
        <v>Wetlands - Burnt area</v>
      </c>
      <c r="F36" t="s">
        <v>361</v>
      </c>
      <c r="G36" t="s">
        <v>652</v>
      </c>
      <c r="H36" s="21">
        <v>85448.056571942725</v>
      </c>
      <c r="I36" s="21">
        <v>85448.056571942725</v>
      </c>
      <c r="J36" s="21">
        <v>85448.056571942725</v>
      </c>
      <c r="K36" s="21">
        <v>85448.056571942725</v>
      </c>
      <c r="L36" s="21">
        <v>85448.056571942725</v>
      </c>
      <c r="M36" s="21">
        <v>85448.056571942725</v>
      </c>
      <c r="N36" s="21">
        <v>85448.056571942725</v>
      </c>
      <c r="O36" s="21">
        <v>85448.056571942725</v>
      </c>
      <c r="P36" s="21">
        <v>85448.056571942725</v>
      </c>
      <c r="Q36" s="21">
        <v>85448.056571942725</v>
      </c>
      <c r="R36" s="21">
        <v>75590.795347182022</v>
      </c>
      <c r="S36" s="21">
        <v>91304.266541147488</v>
      </c>
      <c r="T36" s="21">
        <v>103348.95371185233</v>
      </c>
      <c r="U36" s="21">
        <v>84543.551328472182</v>
      </c>
      <c r="V36" s="21">
        <v>72452.715931059676</v>
      </c>
      <c r="W36" s="21">
        <v>107202.33064194373</v>
      </c>
      <c r="X36" s="21">
        <v>95157.643471238887</v>
      </c>
      <c r="Y36" s="21">
        <v>83828.253814503129</v>
      </c>
      <c r="Z36" s="21">
        <v>76444.537541274112</v>
      </c>
      <c r="AA36" s="21">
        <v>85858.775789641106</v>
      </c>
      <c r="AB36" s="21">
        <v>114912.98999999999</v>
      </c>
      <c r="AC36" s="21">
        <v>124110.54</v>
      </c>
      <c r="AD36" s="45">
        <f>'[3]Activity data'!AE557</f>
        <v>91537.108006573035</v>
      </c>
      <c r="AE36" s="45">
        <f>'[3]Activity data'!AF557</f>
        <v>91537.108006573035</v>
      </c>
      <c r="AF36" s="45">
        <f>'[3]Activity data'!AG557</f>
        <v>91537.108006573035</v>
      </c>
      <c r="AG36" s="45">
        <f>'[3]Activity data'!AH557</f>
        <v>91537.108006573035</v>
      </c>
      <c r="AH36" s="45">
        <f>'[3]Activity data'!AI557</f>
        <v>91537.108006573035</v>
      </c>
      <c r="AI36" s="45">
        <f>'[3]Activity data'!AJ557</f>
        <v>91537.108006573035</v>
      </c>
      <c r="AJ36" s="45">
        <f>'[3]Activity data'!AK557</f>
        <v>91537.108006573035</v>
      </c>
      <c r="AK36" s="45">
        <f>'[3]Activity data'!AL557</f>
        <v>91537.108006573035</v>
      </c>
      <c r="AL36" s="45">
        <f>'[3]Activity data'!AM557</f>
        <v>91537.108006573035</v>
      </c>
      <c r="AM36" s="45">
        <f>'[3]Activity data'!AN557</f>
        <v>91537.108006573035</v>
      </c>
      <c r="AN36" s="45">
        <f>'[3]Activity data'!AO557</f>
        <v>91537.108006573035</v>
      </c>
      <c r="AO36" s="45">
        <f>'[3]Activity data'!AP557</f>
        <v>91537.108006573035</v>
      </c>
      <c r="AP36" s="45">
        <f>'[3]Activity data'!AQ557</f>
        <v>91537.108006573035</v>
      </c>
      <c r="AQ36" s="45">
        <f>'[3]Activity data'!AR557</f>
        <v>91537.108006573035</v>
      </c>
      <c r="AR36" s="45">
        <f>'[3]Activity data'!AS557</f>
        <v>91537.108006573035</v>
      </c>
      <c r="AS36" s="45">
        <f>'[3]Activity data'!AT557</f>
        <v>91537.108006573035</v>
      </c>
      <c r="AT36" s="45">
        <f>'[3]Activity data'!AU557</f>
        <v>91537.108006573035</v>
      </c>
      <c r="AU36" s="45">
        <f>'[3]Activity data'!AV557</f>
        <v>91537.108006573035</v>
      </c>
      <c r="AV36" s="45">
        <f>'[3]Activity data'!AW557</f>
        <v>91537.108006573035</v>
      </c>
      <c r="AW36" s="45">
        <f>'[3]Activity data'!AX557</f>
        <v>91537.108006573035</v>
      </c>
      <c r="AX36" s="45">
        <f>'[3]Activity data'!AY557</f>
        <v>91537.108006573035</v>
      </c>
      <c r="AY36" s="45">
        <f>'[3]Activity data'!AZ557</f>
        <v>91537.108006573035</v>
      </c>
      <c r="AZ36" s="45">
        <f>'[3]Activity data'!BA557</f>
        <v>91537.108006573035</v>
      </c>
      <c r="BA36" s="45">
        <f>'[3]Activity data'!BB557</f>
        <v>91537.108006573035</v>
      </c>
      <c r="BB36" s="45">
        <f>'[3]Activity data'!BC557</f>
        <v>91537.108006573035</v>
      </c>
      <c r="BC36" s="45">
        <f>'[3]Activity data'!BD557</f>
        <v>91537.108006573035</v>
      </c>
      <c r="BD36" s="45">
        <f>'[3]Activity data'!BE557</f>
        <v>91537.108006573035</v>
      </c>
      <c r="BE36" s="45">
        <f>'[3]Activity data'!BF557</f>
        <v>91537.108006573035</v>
      </c>
      <c r="BF36" s="45">
        <f>'[3]Activity data'!BG557</f>
        <v>91537.108006573035</v>
      </c>
      <c r="BG36" s="45">
        <f>'[3]Activity data'!BH557</f>
        <v>91537.108006573035</v>
      </c>
      <c r="BH36" s="45">
        <f>'[3]Activity data'!BI557</f>
        <v>91537.108006573035</v>
      </c>
      <c r="BI36" s="45">
        <f>'[3]Activity data'!BJ557</f>
        <v>91537.108006573035</v>
      </c>
      <c r="BJ36" s="45">
        <f>'[3]Activity data'!BK557</f>
        <v>91537.108006573035</v>
      </c>
      <c r="BK36" s="45">
        <f>'[3]Activity data'!BL557</f>
        <v>91537.108006573035</v>
      </c>
      <c r="BL36" s="45">
        <f>'[3]Activity data'!BM557</f>
        <v>91537.108006573035</v>
      </c>
      <c r="BM36" s="45">
        <f>'[3]Activity data'!BN557</f>
        <v>91537.108006573035</v>
      </c>
      <c r="BN36" s="45">
        <f>'[3]Activity data'!BO557</f>
        <v>91537.108006573035</v>
      </c>
      <c r="BO36" s="45">
        <f>'[3]Activity data'!BP557</f>
        <v>91537.108006573035</v>
      </c>
      <c r="BP36" s="45">
        <f>'[3]Activity data'!BQ557</f>
        <v>91537.108006573035</v>
      </c>
      <c r="BR36" s="23"/>
    </row>
    <row r="37" spans="1:72" x14ac:dyDescent="0.25">
      <c r="A37" t="str">
        <f t="shared" ref="A37:B39" si="9">A36</f>
        <v>3C Aggregated and non-CO2 emissions on land</v>
      </c>
      <c r="B37" t="str">
        <f t="shared" si="9"/>
        <v>3C1 Biomass burning (CH4)</v>
      </c>
      <c r="C37" t="str">
        <f>'IPCC Categories'!C63</f>
        <v>3C1e Biomass burning in Settlements</v>
      </c>
      <c r="D37" t="s">
        <v>357</v>
      </c>
      <c r="E37" t="str">
        <f t="shared" si="6"/>
        <v>Settlements - Burnt area</v>
      </c>
      <c r="F37" t="s">
        <v>361</v>
      </c>
      <c r="G37" t="s">
        <v>653</v>
      </c>
      <c r="H37" s="21">
        <v>51833.688238067662</v>
      </c>
      <c r="I37" s="21">
        <v>51833.688238067662</v>
      </c>
      <c r="J37" s="21">
        <v>51833.688238067662</v>
      </c>
      <c r="K37" s="21">
        <v>51833.688238067662</v>
      </c>
      <c r="L37" s="21">
        <v>51833.688238067662</v>
      </c>
      <c r="M37" s="21">
        <v>51833.688238067662</v>
      </c>
      <c r="N37" s="21">
        <v>51833.688238067662</v>
      </c>
      <c r="O37" s="21">
        <v>51833.688238067662</v>
      </c>
      <c r="P37" s="21">
        <v>51833.688238067662</v>
      </c>
      <c r="Q37" s="21">
        <v>51833.688238067662</v>
      </c>
      <c r="R37" s="21">
        <v>56462.3553768481</v>
      </c>
      <c r="S37" s="21">
        <v>62530.847188908192</v>
      </c>
      <c r="T37" s="21">
        <v>55285.57559580222</v>
      </c>
      <c r="U37" s="21">
        <v>47694.192302388648</v>
      </c>
      <c r="V37" s="21">
        <v>37195.470726391148</v>
      </c>
      <c r="W37" s="21">
        <v>84220.513741518429</v>
      </c>
      <c r="X37" s="21">
        <v>73767.9403922286</v>
      </c>
      <c r="Y37" s="21">
        <v>81590.064819180581</v>
      </c>
      <c r="Z37" s="21">
        <v>50370.789451434168</v>
      </c>
      <c r="AA37" s="21">
        <v>60615.69578053942</v>
      </c>
      <c r="AB37" s="21">
        <v>45329.58</v>
      </c>
      <c r="AC37" s="21">
        <v>31595.4</v>
      </c>
      <c r="AD37" s="45">
        <f>'[3]Activity data'!AE558</f>
        <v>45569.714076613083</v>
      </c>
      <c r="AE37" s="45">
        <f>'[3]Activity data'!AF558</f>
        <v>45666.022187618808</v>
      </c>
      <c r="AF37" s="45">
        <f>'[3]Activity data'!AG558</f>
        <v>45762.330298624533</v>
      </c>
      <c r="AG37" s="45">
        <f>'[3]Activity data'!AH558</f>
        <v>45858.638409630257</v>
      </c>
      <c r="AH37" s="45">
        <f>'[3]Activity data'!AI558</f>
        <v>45954.946520635982</v>
      </c>
      <c r="AI37" s="45">
        <f>'[3]Activity data'!AJ558</f>
        <v>46051.254631641707</v>
      </c>
      <c r="AJ37" s="45">
        <f>'[3]Activity data'!AK558</f>
        <v>46147.562742647431</v>
      </c>
      <c r="AK37" s="45">
        <f>'[3]Activity data'!AL558</f>
        <v>46243.870853653156</v>
      </c>
      <c r="AL37" s="45">
        <f>'[3]Activity data'!AM558</f>
        <v>46340.17896465888</v>
      </c>
      <c r="AM37" s="45">
        <f>'[3]Activity data'!AN558</f>
        <v>46436.487075664612</v>
      </c>
      <c r="AN37" s="45">
        <f>'[3]Activity data'!AO558</f>
        <v>46532.795186670337</v>
      </c>
      <c r="AO37" s="45">
        <f>'[3]Activity data'!AP558</f>
        <v>46629.103297676062</v>
      </c>
      <c r="AP37" s="45">
        <f>'[3]Activity data'!AQ558</f>
        <v>46725.411408681786</v>
      </c>
      <c r="AQ37" s="45">
        <f>'[3]Activity data'!AR558</f>
        <v>46821.719519687511</v>
      </c>
      <c r="AR37" s="45">
        <f>'[3]Activity data'!AS558</f>
        <v>46918.027630693236</v>
      </c>
      <c r="AS37" s="45">
        <f>'[3]Activity data'!AT558</f>
        <v>47014.33574169896</v>
      </c>
      <c r="AT37" s="45">
        <f>'[3]Activity data'!AU558</f>
        <v>47110.643852704685</v>
      </c>
      <c r="AU37" s="45">
        <f>'[3]Activity data'!AV558</f>
        <v>47206.951963710409</v>
      </c>
      <c r="AV37" s="45">
        <f>'[3]Activity data'!AW558</f>
        <v>47303.260074716134</v>
      </c>
      <c r="AW37" s="45">
        <f>'[3]Activity data'!AX558</f>
        <v>47399.568185721859</v>
      </c>
      <c r="AX37" s="45">
        <f>'[3]Activity data'!AY558</f>
        <v>47495.876296727583</v>
      </c>
      <c r="AY37" s="45">
        <f>'[3]Activity data'!AZ558</f>
        <v>47592.184407733308</v>
      </c>
      <c r="AZ37" s="45">
        <f>'[3]Activity data'!BA558</f>
        <v>47688.492518739033</v>
      </c>
      <c r="BA37" s="45">
        <f>'[3]Activity data'!BB558</f>
        <v>47784.800629744757</v>
      </c>
      <c r="BB37" s="45">
        <f>'[3]Activity data'!BC558</f>
        <v>47881.108740750482</v>
      </c>
      <c r="BC37" s="45">
        <f>'[3]Activity data'!BD558</f>
        <v>47977.416851756207</v>
      </c>
      <c r="BD37" s="45">
        <f>'[3]Activity data'!BE558</f>
        <v>48073.724962761939</v>
      </c>
      <c r="BE37" s="45">
        <f>'[3]Activity data'!BF558</f>
        <v>48170.033073767663</v>
      </c>
      <c r="BF37" s="45">
        <f>'[3]Activity data'!BG558</f>
        <v>48266.341184773388</v>
      </c>
      <c r="BG37" s="45">
        <f>'[3]Activity data'!BH558</f>
        <v>48362.649295779112</v>
      </c>
      <c r="BH37" s="45">
        <f>'[3]Activity data'!BI558</f>
        <v>48458.957406784837</v>
      </c>
      <c r="BI37" s="45">
        <f>'[3]Activity data'!BJ558</f>
        <v>48555.265517790562</v>
      </c>
      <c r="BJ37" s="45">
        <f>'[3]Activity data'!BK558</f>
        <v>48651.573628796286</v>
      </c>
      <c r="BK37" s="45">
        <f>'[3]Activity data'!BL558</f>
        <v>48747.881739802011</v>
      </c>
      <c r="BL37" s="45">
        <f>'[3]Activity data'!BM558</f>
        <v>48844.189850807736</v>
      </c>
      <c r="BM37" s="45">
        <f>'[3]Activity data'!BN558</f>
        <v>48940.49796181346</v>
      </c>
      <c r="BN37" s="45">
        <f>'[3]Activity data'!BO558</f>
        <v>49036.806072819185</v>
      </c>
      <c r="BO37" s="45">
        <f>'[3]Activity data'!BP558</f>
        <v>49133.11418382491</v>
      </c>
      <c r="BP37" s="45">
        <f>'[3]Activity data'!BQ558</f>
        <v>49229.422294830634</v>
      </c>
      <c r="BR37" s="23"/>
    </row>
    <row r="38" spans="1:72" x14ac:dyDescent="0.25">
      <c r="A38" t="str">
        <f t="shared" si="9"/>
        <v>3C Aggregated and non-CO2 emissions on land</v>
      </c>
      <c r="B38" t="str">
        <f t="shared" si="9"/>
        <v>3C1 Biomass burning (CH4)</v>
      </c>
      <c r="C38" t="str">
        <f>C37</f>
        <v>3C1e Biomass burning in Settlements</v>
      </c>
      <c r="D38" t="s">
        <v>358</v>
      </c>
      <c r="E38" t="str">
        <f t="shared" si="6"/>
        <v>Mines - Burnt area</v>
      </c>
      <c r="F38" t="s">
        <v>361</v>
      </c>
      <c r="G38" t="s">
        <v>654</v>
      </c>
      <c r="H38" s="21">
        <v>0</v>
      </c>
      <c r="I38" s="21">
        <v>0</v>
      </c>
      <c r="J38" s="21">
        <v>0</v>
      </c>
      <c r="K38" s="21">
        <v>0</v>
      </c>
      <c r="L38" s="21">
        <v>0</v>
      </c>
      <c r="M38" s="21">
        <v>0</v>
      </c>
      <c r="N38" s="21">
        <v>0</v>
      </c>
      <c r="O38" s="21">
        <v>0</v>
      </c>
      <c r="P38" s="21">
        <v>0</v>
      </c>
      <c r="Q38" s="21">
        <v>0</v>
      </c>
      <c r="R38" s="21">
        <v>0</v>
      </c>
      <c r="S38" s="21">
        <v>0</v>
      </c>
      <c r="T38" s="21">
        <v>0</v>
      </c>
      <c r="U38" s="21">
        <v>0</v>
      </c>
      <c r="V38" s="21">
        <v>0</v>
      </c>
      <c r="W38" s="21">
        <v>0</v>
      </c>
      <c r="X38" s="21">
        <v>0</v>
      </c>
      <c r="Y38" s="21">
        <v>0</v>
      </c>
      <c r="Z38" s="21">
        <v>0</v>
      </c>
      <c r="AA38" s="21">
        <v>0</v>
      </c>
      <c r="AB38" s="21">
        <v>0</v>
      </c>
      <c r="AC38" s="21">
        <v>0</v>
      </c>
      <c r="AD38" s="45">
        <f>'[3]Activity data'!AE559</f>
        <v>0</v>
      </c>
      <c r="AE38" s="45">
        <f>'[3]Activity data'!AF559</f>
        <v>0</v>
      </c>
      <c r="AF38" s="45">
        <f>'[3]Activity data'!AG559</f>
        <v>0</v>
      </c>
      <c r="AG38" s="45">
        <f>'[3]Activity data'!AH559</f>
        <v>0</v>
      </c>
      <c r="AH38" s="45">
        <f>'[3]Activity data'!AI559</f>
        <v>0</v>
      </c>
      <c r="AI38" s="45">
        <f>'[3]Activity data'!AJ559</f>
        <v>0</v>
      </c>
      <c r="AJ38" s="45">
        <f>'[3]Activity data'!AK559</f>
        <v>0</v>
      </c>
      <c r="AK38" s="45">
        <f>'[3]Activity data'!AL559</f>
        <v>0</v>
      </c>
      <c r="AL38" s="45">
        <f>'[3]Activity data'!AM559</f>
        <v>0</v>
      </c>
      <c r="AM38" s="45">
        <f>'[3]Activity data'!AN559</f>
        <v>0</v>
      </c>
      <c r="AN38" s="45">
        <f>'[3]Activity data'!AO559</f>
        <v>0</v>
      </c>
      <c r="AO38" s="45">
        <f>'[3]Activity data'!AP559</f>
        <v>0</v>
      </c>
      <c r="AP38" s="45">
        <f>'[3]Activity data'!AQ559</f>
        <v>0</v>
      </c>
      <c r="AQ38" s="45">
        <f>'[3]Activity data'!AR559</f>
        <v>0</v>
      </c>
      <c r="AR38" s="45">
        <f>'[3]Activity data'!AS559</f>
        <v>0</v>
      </c>
      <c r="AS38" s="45">
        <f>'[3]Activity data'!AT559</f>
        <v>0</v>
      </c>
      <c r="AT38" s="45">
        <f>'[3]Activity data'!AU559</f>
        <v>0</v>
      </c>
      <c r="AU38" s="45">
        <f>'[3]Activity data'!AV559</f>
        <v>0</v>
      </c>
      <c r="AV38" s="45">
        <f>'[3]Activity data'!AW559</f>
        <v>0</v>
      </c>
      <c r="AW38" s="45">
        <f>'[3]Activity data'!AX559</f>
        <v>0</v>
      </c>
      <c r="AX38" s="45">
        <f>'[3]Activity data'!AY559</f>
        <v>0</v>
      </c>
      <c r="AY38" s="45">
        <f>'[3]Activity data'!AZ559</f>
        <v>0</v>
      </c>
      <c r="AZ38" s="45">
        <f>'[3]Activity data'!BA559</f>
        <v>0</v>
      </c>
      <c r="BA38" s="45">
        <f>'[3]Activity data'!BB559</f>
        <v>0</v>
      </c>
      <c r="BB38" s="45">
        <f>'[3]Activity data'!BC559</f>
        <v>0</v>
      </c>
      <c r="BC38" s="45">
        <f>'[3]Activity data'!BD559</f>
        <v>0</v>
      </c>
      <c r="BD38" s="45">
        <f>'[3]Activity data'!BE559</f>
        <v>0</v>
      </c>
      <c r="BE38" s="45">
        <f>'[3]Activity data'!BF559</f>
        <v>0</v>
      </c>
      <c r="BF38" s="45">
        <f>'[3]Activity data'!BG559</f>
        <v>0</v>
      </c>
      <c r="BG38" s="45">
        <f>'[3]Activity data'!BH559</f>
        <v>0</v>
      </c>
      <c r="BH38" s="45">
        <f>'[3]Activity data'!BI559</f>
        <v>0</v>
      </c>
      <c r="BI38" s="45">
        <f>'[3]Activity data'!BJ559</f>
        <v>0</v>
      </c>
      <c r="BJ38" s="45">
        <f>'[3]Activity data'!BK559</f>
        <v>0</v>
      </c>
      <c r="BK38" s="45">
        <f>'[3]Activity data'!BL559</f>
        <v>0</v>
      </c>
      <c r="BL38" s="45">
        <f>'[3]Activity data'!BM559</f>
        <v>0</v>
      </c>
      <c r="BM38" s="45">
        <f>'[3]Activity data'!BN559</f>
        <v>0</v>
      </c>
      <c r="BN38" s="45">
        <f>'[3]Activity data'!BO559</f>
        <v>0</v>
      </c>
      <c r="BO38" s="45">
        <f>'[3]Activity data'!BP559</f>
        <v>0</v>
      </c>
      <c r="BP38" s="45">
        <f>'[3]Activity data'!BQ559</f>
        <v>0</v>
      </c>
      <c r="BR38" s="23"/>
    </row>
    <row r="39" spans="1:72" x14ac:dyDescent="0.25">
      <c r="A39" t="str">
        <f t="shared" si="9"/>
        <v>3C Aggregated and non-CO2 emissions on land</v>
      </c>
      <c r="B39" t="str">
        <f t="shared" si="9"/>
        <v>3C1 Biomass burning (CH4)</v>
      </c>
      <c r="C39" t="str">
        <f>'IPCC Categories'!C64</f>
        <v>3C1f Biomass burning in Other lands</v>
      </c>
      <c r="D39" t="s">
        <v>359</v>
      </c>
      <c r="E39" t="str">
        <f t="shared" si="6"/>
        <v>Bare ground - Burnt area</v>
      </c>
      <c r="F39" t="s">
        <v>361</v>
      </c>
      <c r="G39" t="s">
        <v>655</v>
      </c>
      <c r="H39" s="21">
        <v>0</v>
      </c>
      <c r="I39" s="21">
        <v>0</v>
      </c>
      <c r="J39" s="21">
        <v>0</v>
      </c>
      <c r="K39" s="21">
        <v>0</v>
      </c>
      <c r="L39" s="21">
        <v>0</v>
      </c>
      <c r="M39" s="21">
        <v>0</v>
      </c>
      <c r="N39" s="21">
        <v>0</v>
      </c>
      <c r="O39" s="21">
        <v>0</v>
      </c>
      <c r="P39" s="21">
        <v>0</v>
      </c>
      <c r="Q39" s="21">
        <v>0</v>
      </c>
      <c r="R39" s="21">
        <v>0</v>
      </c>
      <c r="S39" s="21">
        <v>0</v>
      </c>
      <c r="T39" s="21">
        <v>0</v>
      </c>
      <c r="U39" s="21">
        <v>0</v>
      </c>
      <c r="V39" s="21">
        <v>0</v>
      </c>
      <c r="W39" s="21">
        <v>0</v>
      </c>
      <c r="X39" s="21">
        <v>0</v>
      </c>
      <c r="Y39" s="21">
        <v>0</v>
      </c>
      <c r="Z39" s="21">
        <v>0</v>
      </c>
      <c r="AA39" s="21">
        <v>0</v>
      </c>
      <c r="AB39" s="21">
        <v>0</v>
      </c>
      <c r="AC39" s="21">
        <v>0</v>
      </c>
      <c r="AD39" s="45">
        <f>'[3]Activity data'!AE560</f>
        <v>0</v>
      </c>
      <c r="AE39" s="45">
        <f>'[3]Activity data'!AF560</f>
        <v>0</v>
      </c>
      <c r="AF39" s="45">
        <f>'[3]Activity data'!AG560</f>
        <v>0</v>
      </c>
      <c r="AG39" s="45">
        <f>'[3]Activity data'!AH560</f>
        <v>0</v>
      </c>
      <c r="AH39" s="45">
        <f>'[3]Activity data'!AI560</f>
        <v>0</v>
      </c>
      <c r="AI39" s="45">
        <f>'[3]Activity data'!AJ560</f>
        <v>0</v>
      </c>
      <c r="AJ39" s="45">
        <f>'[3]Activity data'!AK560</f>
        <v>0</v>
      </c>
      <c r="AK39" s="45">
        <f>'[3]Activity data'!AL560</f>
        <v>0</v>
      </c>
      <c r="AL39" s="45">
        <f>'[3]Activity data'!AM560</f>
        <v>0</v>
      </c>
      <c r="AM39" s="45">
        <f>'[3]Activity data'!AN560</f>
        <v>0</v>
      </c>
      <c r="AN39" s="45">
        <f>'[3]Activity data'!AO560</f>
        <v>0</v>
      </c>
      <c r="AO39" s="45">
        <f>'[3]Activity data'!AP560</f>
        <v>0</v>
      </c>
      <c r="AP39" s="45">
        <f>'[3]Activity data'!AQ560</f>
        <v>0</v>
      </c>
      <c r="AQ39" s="45">
        <f>'[3]Activity data'!AR560</f>
        <v>0</v>
      </c>
      <c r="AR39" s="45">
        <f>'[3]Activity data'!AS560</f>
        <v>0</v>
      </c>
      <c r="AS39" s="45">
        <f>'[3]Activity data'!AT560</f>
        <v>0</v>
      </c>
      <c r="AT39" s="45">
        <f>'[3]Activity data'!AU560</f>
        <v>0</v>
      </c>
      <c r="AU39" s="45">
        <f>'[3]Activity data'!AV560</f>
        <v>0</v>
      </c>
      <c r="AV39" s="45">
        <f>'[3]Activity data'!AW560</f>
        <v>0</v>
      </c>
      <c r="AW39" s="45">
        <f>'[3]Activity data'!AX560</f>
        <v>0</v>
      </c>
      <c r="AX39" s="45">
        <f>'[3]Activity data'!AY560</f>
        <v>0</v>
      </c>
      <c r="AY39" s="45">
        <f>'[3]Activity data'!AZ560</f>
        <v>0</v>
      </c>
      <c r="AZ39" s="45">
        <f>'[3]Activity data'!BA560</f>
        <v>0</v>
      </c>
      <c r="BA39" s="45">
        <f>'[3]Activity data'!BB560</f>
        <v>0</v>
      </c>
      <c r="BB39" s="45">
        <f>'[3]Activity data'!BC560</f>
        <v>0</v>
      </c>
      <c r="BC39" s="45">
        <f>'[3]Activity data'!BD560</f>
        <v>0</v>
      </c>
      <c r="BD39" s="45">
        <f>'[3]Activity data'!BE560</f>
        <v>0</v>
      </c>
      <c r="BE39" s="45">
        <f>'[3]Activity data'!BF560</f>
        <v>0</v>
      </c>
      <c r="BF39" s="45">
        <f>'[3]Activity data'!BG560</f>
        <v>0</v>
      </c>
      <c r="BG39" s="45">
        <f>'[3]Activity data'!BH560</f>
        <v>0</v>
      </c>
      <c r="BH39" s="45">
        <f>'[3]Activity data'!BI560</f>
        <v>0</v>
      </c>
      <c r="BI39" s="45">
        <f>'[3]Activity data'!BJ560</f>
        <v>0</v>
      </c>
      <c r="BJ39" s="45">
        <f>'[3]Activity data'!BK560</f>
        <v>0</v>
      </c>
      <c r="BK39" s="45">
        <f>'[3]Activity data'!BL560</f>
        <v>0</v>
      </c>
      <c r="BL39" s="45">
        <f>'[3]Activity data'!BM560</f>
        <v>0</v>
      </c>
      <c r="BM39" s="45">
        <f>'[3]Activity data'!BN560</f>
        <v>0</v>
      </c>
      <c r="BN39" s="45">
        <f>'[3]Activity data'!BO560</f>
        <v>0</v>
      </c>
      <c r="BO39" s="45">
        <f>'[3]Activity data'!BP560</f>
        <v>0</v>
      </c>
      <c r="BP39" s="45">
        <f>'[3]Activity data'!BQ560</f>
        <v>0</v>
      </c>
      <c r="BR39" s="23"/>
    </row>
    <row r="40" spans="1:72" ht="18.75" customHeight="1" x14ac:dyDescent="0.25">
      <c r="A40" s="20" t="s">
        <v>368</v>
      </c>
      <c r="B40" s="20"/>
      <c r="C40" s="20"/>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S40" s="16"/>
      <c r="BT40" s="15"/>
    </row>
    <row r="41" spans="1:72" x14ac:dyDescent="0.25">
      <c r="A41" t="str">
        <f>'IPCC Categories'!A59</f>
        <v>3C Aggregated and non-CO2 emissions on land</v>
      </c>
      <c r="D41" t="s">
        <v>367</v>
      </c>
      <c r="F41" t="s">
        <v>361</v>
      </c>
      <c r="H41" s="21">
        <v>4163000</v>
      </c>
      <c r="I41" s="21">
        <v>3816000</v>
      </c>
      <c r="J41" s="21">
        <v>4173000</v>
      </c>
      <c r="K41" s="21">
        <v>4377000</v>
      </c>
      <c r="L41" s="21">
        <v>4661000</v>
      </c>
      <c r="M41" s="21">
        <v>3526000</v>
      </c>
      <c r="N41" s="21">
        <v>3761000</v>
      </c>
      <c r="O41" s="21">
        <v>4023000</v>
      </c>
      <c r="P41" s="21">
        <v>3560000</v>
      </c>
      <c r="Q41" s="21">
        <v>3567000</v>
      </c>
      <c r="R41" s="21">
        <v>4013000</v>
      </c>
      <c r="S41" s="21">
        <v>3189000</v>
      </c>
      <c r="T41" s="21">
        <v>3533000</v>
      </c>
      <c r="U41" s="21">
        <v>3651000</v>
      </c>
      <c r="V41" s="21">
        <v>3204000</v>
      </c>
      <c r="W41" s="21">
        <v>3223000</v>
      </c>
      <c r="X41" s="21">
        <v>2032000</v>
      </c>
      <c r="Y41" s="21">
        <v>2897000</v>
      </c>
      <c r="Z41" s="21">
        <v>3297000</v>
      </c>
      <c r="AA41" s="21">
        <v>2896000</v>
      </c>
      <c r="AB41" s="21">
        <v>3263000</v>
      </c>
      <c r="AC41" s="21">
        <v>2859000</v>
      </c>
      <c r="AD41" s="22">
        <f>((Data!$AJ$42*LN('Intermediate calculations'!X60))+Data!$AK$42)</f>
        <v>3507287.7345839478</v>
      </c>
      <c r="AE41" s="22">
        <f>((Data!$AJ$42*LN('Intermediate calculations'!Y60))+Data!$AK$42)</f>
        <v>3516732.0948724914</v>
      </c>
      <c r="AF41" s="22">
        <f>((Data!$AJ$42*LN('Intermediate calculations'!Z60))+Data!$AK$42)</f>
        <v>3529637.8787537683</v>
      </c>
      <c r="AG41" s="22">
        <f>((Data!$AJ$42*LN('Intermediate calculations'!AA60))+Data!$AK$42)</f>
        <v>3539005.7664388958</v>
      </c>
      <c r="AH41" s="22">
        <f>((Data!$AJ$42*LN('Intermediate calculations'!AB60))+Data!$AK$42)</f>
        <v>3543567.8579666261</v>
      </c>
      <c r="AI41" s="22">
        <f>((Data!$AJ$42*LN('Intermediate calculations'!AC60))+Data!$AK$42)</f>
        <v>3548070.6866584886</v>
      </c>
      <c r="AJ41" s="22">
        <f>((Data!$AJ$42*LN('Intermediate calculations'!AD60))+Data!$AK$42)</f>
        <v>3554882.3741304055</v>
      </c>
      <c r="AK41" s="22">
        <f>((Data!$AJ$42*LN('Intermediate calculations'!AE60))+Data!$AK$42)</f>
        <v>3562340.1739368942</v>
      </c>
      <c r="AL41" s="22">
        <f>((Data!$AJ$42*LN('Intermediate calculations'!AF60))+Data!$AK$42)</f>
        <v>3564780.8503938634</v>
      </c>
      <c r="AM41" s="22">
        <f>((Data!$AJ$42*LN('Intermediate calculations'!AG60))+Data!$AK$42)</f>
        <v>3519949.5778955258</v>
      </c>
      <c r="AN41" s="22">
        <f>((Data!$AJ$42*LN('Intermediate calculations'!AH60))+Data!$AK$42)</f>
        <v>3533933.9685055744</v>
      </c>
      <c r="AO41" s="22">
        <f>((Data!$AJ$42*LN('Intermediate calculations'!AI60))+Data!$AK$42)</f>
        <v>3546507.0104061235</v>
      </c>
      <c r="AP41" s="22">
        <f>((Data!$AJ$42*LN('Intermediate calculations'!AJ60))+Data!$AK$42)</f>
        <v>3558963.4972859081</v>
      </c>
      <c r="AQ41" s="22">
        <f>((Data!$AJ$42*LN('Intermediate calculations'!AK60))+Data!$AK$42)</f>
        <v>3573262.2470776215</v>
      </c>
      <c r="AR41" s="22">
        <f>((Data!$AJ$42*LN('Intermediate calculations'!AL60))+Data!$AK$42)</f>
        <v>3587405.8058264162</v>
      </c>
      <c r="AS41" s="22">
        <f>((Data!$AJ$42*LN('Intermediate calculations'!AM60))+Data!$AK$42)</f>
        <v>3601745.6054545324</v>
      </c>
      <c r="AT41" s="22">
        <f>((Data!$AJ$42*LN('Intermediate calculations'!AN60))+Data!$AK$42)</f>
        <v>3615475.0259070657</v>
      </c>
      <c r="AU41" s="22">
        <f>((Data!$AJ$42*LN('Intermediate calculations'!AO60))+Data!$AK$42)</f>
        <v>3629791.2703763209</v>
      </c>
      <c r="AV41" s="22">
        <f>((Data!$AJ$42*LN('Intermediate calculations'!AP60))+Data!$AK$42)</f>
        <v>3643090.104685409</v>
      </c>
      <c r="AW41" s="22">
        <f>((Data!$AJ$42*LN('Intermediate calculations'!AQ60))+Data!$AK$42)</f>
        <v>3656507.5733412746</v>
      </c>
      <c r="AX41" s="22">
        <f>((Data!$AJ$42*LN('Intermediate calculations'!AR60))+Data!$AK$42)</f>
        <v>3672120.9606841598</v>
      </c>
      <c r="AY41" s="22">
        <f>((Data!$AJ$42*LN('Intermediate calculations'!AS60))+Data!$AK$42)</f>
        <v>3688603.9208228998</v>
      </c>
      <c r="AZ41" s="22">
        <f>((Data!$AJ$42*LN('Intermediate calculations'!AT60))+Data!$AK$42)</f>
        <v>3705294.7984956801</v>
      </c>
      <c r="BA41" s="22">
        <f>((Data!$AJ$42*LN('Intermediate calculations'!AU60))+Data!$AK$42)</f>
        <v>3708607.220119413</v>
      </c>
      <c r="BB41" s="22">
        <f>((Data!$AJ$42*LN('Intermediate calculations'!AV60))+Data!$AK$42)</f>
        <v>2332111.5264832824</v>
      </c>
      <c r="BC41" s="22">
        <f>((Data!$AJ$42*LN('Intermediate calculations'!AW60))+Data!$AK$42)</f>
        <v>2329676.2879809625</v>
      </c>
      <c r="BD41" s="22">
        <f>((Data!$AJ$42*LN('Intermediate calculations'!AX60))+Data!$AK$42)</f>
        <v>2327215.4146325253</v>
      </c>
      <c r="BE41" s="22">
        <f>((Data!$AJ$42*LN('Intermediate calculations'!AY60))+Data!$AK$42)</f>
        <v>2324728.5532853026</v>
      </c>
      <c r="BF41" s="22">
        <f>((Data!$AJ$42*LN('Intermediate calculations'!AZ60))+Data!$AK$42)</f>
        <v>2322215.3441441413</v>
      </c>
      <c r="BG41" s="22">
        <f>((Data!$AJ$42*LN('Intermediate calculations'!BA60))+Data!$AK$42)</f>
        <v>2319675.4206056185</v>
      </c>
      <c r="BH41" s="22">
        <f>((Data!$AJ$42*LN('Intermediate calculations'!BB60))+Data!$AK$42)</f>
        <v>2317498.2376428582</v>
      </c>
      <c r="BI41" s="22">
        <f>((Data!$AJ$42*LN('Intermediate calculations'!BC60))+Data!$AK$42)</f>
        <v>2315301.3054300416</v>
      </c>
      <c r="BJ41" s="22">
        <f>((Data!$AJ$42*LN('Intermediate calculations'!BD60))+Data!$AK$42)</f>
        <v>2313084.3876609504</v>
      </c>
      <c r="BK41" s="22">
        <f>((Data!$AJ$42*LN('Intermediate calculations'!BE60))+Data!$AK$42)</f>
        <v>2310847.2441526428</v>
      </c>
      <c r="BL41" s="22">
        <f>((Data!$AJ$42*LN('Intermediate calculations'!BF60))+Data!$AK$42)</f>
        <v>2308589.6307610366</v>
      </c>
      <c r="BM41" s="22">
        <f>((Data!$AJ$42*LN('Intermediate calculations'!BG60))+Data!$AK$42)</f>
        <v>2306717.5352260265</v>
      </c>
      <c r="BN41" s="22">
        <f>((Data!$AJ$42*LN('Intermediate calculations'!BH60))+Data!$AK$42)</f>
        <v>2304831.2883366328</v>
      </c>
      <c r="BO41" s="22">
        <f>((Data!$AJ$42*LN('Intermediate calculations'!BI60))+Data!$AK$42)</f>
        <v>2302930.748041559</v>
      </c>
      <c r="BP41" s="22">
        <f>((Data!$AJ$42*LN('Intermediate calculations'!BJ60))+Data!$AK$42)</f>
        <v>2301015.770327948</v>
      </c>
      <c r="BR41" s="23"/>
    </row>
    <row r="42" spans="1:72" x14ac:dyDescent="0.25">
      <c r="A42" t="str">
        <f>A41</f>
        <v>3C Aggregated and non-CO2 emissions on land</v>
      </c>
      <c r="D42" t="s">
        <v>370</v>
      </c>
      <c r="F42" t="s">
        <v>361</v>
      </c>
      <c r="H42" s="21">
        <v>1563000</v>
      </c>
      <c r="I42" s="21">
        <v>1436000</v>
      </c>
      <c r="J42" s="21">
        <v>750000</v>
      </c>
      <c r="K42" s="21">
        <v>1075000</v>
      </c>
      <c r="L42" s="21">
        <v>1048000</v>
      </c>
      <c r="M42" s="21">
        <v>1363000</v>
      </c>
      <c r="N42" s="21">
        <v>1294000</v>
      </c>
      <c r="O42" s="21">
        <v>1382000</v>
      </c>
      <c r="P42" s="21">
        <v>745000</v>
      </c>
      <c r="Q42" s="21">
        <v>718000</v>
      </c>
      <c r="R42" s="21">
        <v>934000</v>
      </c>
      <c r="S42" s="21">
        <v>974000</v>
      </c>
      <c r="T42" s="21">
        <v>941000</v>
      </c>
      <c r="U42" s="21">
        <v>748000</v>
      </c>
      <c r="V42" s="21">
        <v>830000</v>
      </c>
      <c r="W42" s="21">
        <v>805000</v>
      </c>
      <c r="X42" s="21">
        <v>765000</v>
      </c>
      <c r="Y42" s="21">
        <v>632000</v>
      </c>
      <c r="Z42" s="21">
        <v>748000</v>
      </c>
      <c r="AA42" s="21">
        <v>642000</v>
      </c>
      <c r="AB42" s="21">
        <v>558000</v>
      </c>
      <c r="AC42" s="21">
        <v>605000</v>
      </c>
      <c r="AD42" s="22">
        <f>Data!$AD$46</f>
        <v>492000</v>
      </c>
      <c r="AE42" s="22">
        <f t="shared" ref="AE42" si="10">AD42</f>
        <v>492000</v>
      </c>
      <c r="AF42" s="22">
        <f t="shared" ref="AF42" si="11">AE42</f>
        <v>492000</v>
      </c>
      <c r="AG42" s="22">
        <f t="shared" ref="AG42" si="12">AF42</f>
        <v>492000</v>
      </c>
      <c r="AH42" s="22">
        <f t="shared" ref="AH42" si="13">AG42</f>
        <v>492000</v>
      </c>
      <c r="AI42" s="22">
        <f t="shared" ref="AI42" si="14">AH42</f>
        <v>492000</v>
      </c>
      <c r="AJ42" s="22">
        <f t="shared" ref="AJ42:BP42" si="15">AI42</f>
        <v>492000</v>
      </c>
      <c r="AK42" s="22">
        <f t="shared" si="15"/>
        <v>492000</v>
      </c>
      <c r="AL42" s="22">
        <f t="shared" si="15"/>
        <v>492000</v>
      </c>
      <c r="AM42" s="22">
        <f t="shared" si="15"/>
        <v>492000</v>
      </c>
      <c r="AN42" s="22">
        <f t="shared" si="15"/>
        <v>492000</v>
      </c>
      <c r="AO42" s="22">
        <f t="shared" si="15"/>
        <v>492000</v>
      </c>
      <c r="AP42" s="22">
        <f t="shared" si="15"/>
        <v>492000</v>
      </c>
      <c r="AQ42" s="22">
        <f t="shared" si="15"/>
        <v>492000</v>
      </c>
      <c r="AR42" s="22">
        <f t="shared" si="15"/>
        <v>492000</v>
      </c>
      <c r="AS42" s="22">
        <f t="shared" si="15"/>
        <v>492000</v>
      </c>
      <c r="AT42" s="22">
        <f t="shared" si="15"/>
        <v>492000</v>
      </c>
      <c r="AU42" s="22">
        <f t="shared" si="15"/>
        <v>492000</v>
      </c>
      <c r="AV42" s="22">
        <f t="shared" si="15"/>
        <v>492000</v>
      </c>
      <c r="AW42" s="22">
        <f t="shared" si="15"/>
        <v>492000</v>
      </c>
      <c r="AX42" s="22">
        <f t="shared" si="15"/>
        <v>492000</v>
      </c>
      <c r="AY42" s="22">
        <f t="shared" si="15"/>
        <v>492000</v>
      </c>
      <c r="AZ42" s="22">
        <f t="shared" si="15"/>
        <v>492000</v>
      </c>
      <c r="BA42" s="22">
        <f t="shared" si="15"/>
        <v>492000</v>
      </c>
      <c r="BB42" s="22">
        <f t="shared" si="15"/>
        <v>492000</v>
      </c>
      <c r="BC42" s="22">
        <f t="shared" si="15"/>
        <v>492000</v>
      </c>
      <c r="BD42" s="22">
        <f t="shared" si="15"/>
        <v>492000</v>
      </c>
      <c r="BE42" s="22">
        <f t="shared" si="15"/>
        <v>492000</v>
      </c>
      <c r="BF42" s="22">
        <f t="shared" si="15"/>
        <v>492000</v>
      </c>
      <c r="BG42" s="22">
        <f t="shared" si="15"/>
        <v>492000</v>
      </c>
      <c r="BH42" s="22">
        <f t="shared" si="15"/>
        <v>492000</v>
      </c>
      <c r="BI42" s="22">
        <f t="shared" si="15"/>
        <v>492000</v>
      </c>
      <c r="BJ42" s="22">
        <f t="shared" si="15"/>
        <v>492000</v>
      </c>
      <c r="BK42" s="22">
        <f t="shared" si="15"/>
        <v>492000</v>
      </c>
      <c r="BL42" s="22">
        <f t="shared" si="15"/>
        <v>492000</v>
      </c>
      <c r="BM42" s="22">
        <f t="shared" si="15"/>
        <v>492000</v>
      </c>
      <c r="BN42" s="22">
        <f t="shared" si="15"/>
        <v>492000</v>
      </c>
      <c r="BO42" s="22">
        <f t="shared" si="15"/>
        <v>492000</v>
      </c>
      <c r="BP42" s="22">
        <f t="shared" si="15"/>
        <v>492000</v>
      </c>
      <c r="BR42" s="23"/>
    </row>
    <row r="43" spans="1:72" x14ac:dyDescent="0.25">
      <c r="A43" t="str">
        <f>A42</f>
        <v>3C Aggregated and non-CO2 emissions on land</v>
      </c>
      <c r="D43" t="s">
        <v>372</v>
      </c>
      <c r="F43" t="s">
        <v>361</v>
      </c>
      <c r="H43" s="21">
        <v>341000</v>
      </c>
      <c r="I43" s="21">
        <v>302000</v>
      </c>
      <c r="J43" s="21">
        <v>118000</v>
      </c>
      <c r="K43" s="21">
        <v>515368</v>
      </c>
      <c r="L43" s="21">
        <v>520185</v>
      </c>
      <c r="M43" s="21">
        <v>290557</v>
      </c>
      <c r="N43" s="21">
        <v>535839</v>
      </c>
      <c r="O43" s="21">
        <v>433371</v>
      </c>
      <c r="P43" s="21">
        <v>358469</v>
      </c>
      <c r="Q43" s="21">
        <v>223530</v>
      </c>
      <c r="R43" s="21">
        <v>142000</v>
      </c>
      <c r="S43" s="21">
        <v>88000</v>
      </c>
      <c r="T43" s="21">
        <v>75000</v>
      </c>
      <c r="U43" s="21">
        <v>95000</v>
      </c>
      <c r="V43" s="21">
        <v>130000</v>
      </c>
      <c r="W43" s="21">
        <v>86000</v>
      </c>
      <c r="X43" s="21">
        <v>37000</v>
      </c>
      <c r="Y43" s="21">
        <v>69000</v>
      </c>
      <c r="Z43" s="21">
        <v>87000</v>
      </c>
      <c r="AA43" s="21">
        <v>86000</v>
      </c>
      <c r="AB43" s="21">
        <v>87000</v>
      </c>
      <c r="AC43" s="21">
        <v>69000</v>
      </c>
      <c r="AD43" s="22">
        <f>Data!$AD$45</f>
        <v>42000</v>
      </c>
      <c r="AE43" s="22">
        <f>Data!$AD$45</f>
        <v>42000</v>
      </c>
      <c r="AF43" s="22">
        <f>Data!$AD$45</f>
        <v>42000</v>
      </c>
      <c r="AG43" s="22">
        <f>Data!$AD$45</f>
        <v>42000</v>
      </c>
      <c r="AH43" s="22">
        <f>Data!$AD$45</f>
        <v>42000</v>
      </c>
      <c r="AI43" s="22">
        <f>Data!$AD$45</f>
        <v>42000</v>
      </c>
      <c r="AJ43" s="22">
        <f>Data!$AD$45</f>
        <v>42000</v>
      </c>
      <c r="AK43" s="22">
        <f>Data!$AD$45</f>
        <v>42000</v>
      </c>
      <c r="AL43" s="22">
        <f>Data!$AD$45</f>
        <v>42000</v>
      </c>
      <c r="AM43" s="22">
        <f>Data!$AD$45</f>
        <v>42000</v>
      </c>
      <c r="AN43" s="22">
        <f>Data!$AD$45</f>
        <v>42000</v>
      </c>
      <c r="AO43" s="22">
        <f>Data!$AD$45</f>
        <v>42000</v>
      </c>
      <c r="AP43" s="22">
        <f>Data!$AD$45</f>
        <v>42000</v>
      </c>
      <c r="AQ43" s="22">
        <f>Data!$AD$45</f>
        <v>42000</v>
      </c>
      <c r="AR43" s="22">
        <f>Data!$AD$45</f>
        <v>42000</v>
      </c>
      <c r="AS43" s="22">
        <f>Data!$AD$45</f>
        <v>42000</v>
      </c>
      <c r="AT43" s="22">
        <f>Data!$AD$45</f>
        <v>42000</v>
      </c>
      <c r="AU43" s="22">
        <f>Data!$AD$45</f>
        <v>42000</v>
      </c>
      <c r="AV43" s="22">
        <f>Data!$AD$45</f>
        <v>42000</v>
      </c>
      <c r="AW43" s="22">
        <f>Data!$AD$45</f>
        <v>42000</v>
      </c>
      <c r="AX43" s="22">
        <f>Data!$AD$45</f>
        <v>42000</v>
      </c>
      <c r="AY43" s="22">
        <f>Data!$AD$45</f>
        <v>42000</v>
      </c>
      <c r="AZ43" s="22">
        <f>Data!$AD$45</f>
        <v>42000</v>
      </c>
      <c r="BA43" s="22">
        <f>Data!$AD$45</f>
        <v>42000</v>
      </c>
      <c r="BB43" s="22">
        <f>Data!$AD$45</f>
        <v>42000</v>
      </c>
      <c r="BC43" s="22">
        <f>Data!$AD$45</f>
        <v>42000</v>
      </c>
      <c r="BD43" s="22">
        <f>Data!$AD$45</f>
        <v>42000</v>
      </c>
      <c r="BE43" s="22">
        <f>Data!$AD$45</f>
        <v>42000</v>
      </c>
      <c r="BF43" s="22">
        <f>Data!$AD$45</f>
        <v>42000</v>
      </c>
      <c r="BG43" s="22">
        <f>Data!$AD$45</f>
        <v>42000</v>
      </c>
      <c r="BH43" s="22">
        <f>Data!$AD$45</f>
        <v>42000</v>
      </c>
      <c r="BI43" s="22">
        <f>Data!$AD$45</f>
        <v>42000</v>
      </c>
      <c r="BJ43" s="22">
        <f>Data!$AD$45</f>
        <v>42000</v>
      </c>
      <c r="BK43" s="22">
        <f>Data!$AD$45</f>
        <v>42000</v>
      </c>
      <c r="BL43" s="22">
        <f>Data!$AD$45</f>
        <v>42000</v>
      </c>
      <c r="BM43" s="22">
        <f>Data!$AD$45</f>
        <v>42000</v>
      </c>
      <c r="BN43" s="22">
        <f>Data!$AD$45</f>
        <v>42000</v>
      </c>
      <c r="BO43" s="22">
        <f>Data!$AD$45</f>
        <v>42000</v>
      </c>
      <c r="BP43" s="22">
        <f>Data!$AD$45</f>
        <v>42000</v>
      </c>
      <c r="BR43" s="23"/>
    </row>
    <row r="44" spans="1:72" ht="18.75" customHeight="1" x14ac:dyDescent="0.25">
      <c r="A44" s="20" t="s">
        <v>373</v>
      </c>
      <c r="B44" s="20"/>
      <c r="C44" s="20"/>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c r="AX44" s="15"/>
      <c r="AY44" s="15"/>
      <c r="AZ44" s="15"/>
      <c r="BA44" s="15"/>
      <c r="BB44" s="15"/>
      <c r="BC44" s="15"/>
      <c r="BD44" s="15"/>
      <c r="BE44" s="15"/>
      <c r="BF44" s="15"/>
      <c r="BG44" s="15"/>
      <c r="BH44" s="15"/>
      <c r="BI44" s="15"/>
      <c r="BJ44" s="15"/>
      <c r="BK44" s="15"/>
      <c r="BL44" s="15"/>
      <c r="BM44" s="15"/>
      <c r="BN44" s="15"/>
      <c r="BO44" s="15"/>
      <c r="BP44" s="15"/>
      <c r="BS44" s="16"/>
      <c r="BT44" s="15"/>
    </row>
    <row r="45" spans="1:72" x14ac:dyDescent="0.25">
      <c r="A45" t="str">
        <f>'IPCC Categories'!A59</f>
        <v>3C Aggregated and non-CO2 emissions on land</v>
      </c>
      <c r="B45" t="str">
        <f>'IPCC Categories'!B71</f>
        <v>3C2 Liming (CO2)</v>
      </c>
      <c r="C45" t="s">
        <v>383</v>
      </c>
      <c r="D45" t="s">
        <v>376</v>
      </c>
      <c r="E45" t="str">
        <f>C45&amp;D45</f>
        <v>Lime consumption - total</v>
      </c>
      <c r="F45" t="s">
        <v>321</v>
      </c>
      <c r="H45" s="21">
        <v>780000</v>
      </c>
      <c r="I45" s="21">
        <v>825000</v>
      </c>
      <c r="J45" s="21">
        <v>570000</v>
      </c>
      <c r="K45" s="21">
        <v>900000</v>
      </c>
      <c r="L45" s="21">
        <v>1299451</v>
      </c>
      <c r="M45" s="21">
        <v>1032745</v>
      </c>
      <c r="N45" s="21">
        <v>1263570</v>
      </c>
      <c r="O45" s="21">
        <v>1193985</v>
      </c>
      <c r="P45" s="21">
        <v>1244321</v>
      </c>
      <c r="Q45" s="21">
        <v>1237174</v>
      </c>
      <c r="R45" s="21">
        <v>825252</v>
      </c>
      <c r="S45" s="21">
        <v>1068357</v>
      </c>
      <c r="T45" s="21">
        <v>1467915</v>
      </c>
      <c r="U45" s="21">
        <v>1265742</v>
      </c>
      <c r="V45" s="21">
        <v>1264888</v>
      </c>
      <c r="W45" s="21">
        <v>580444</v>
      </c>
      <c r="X45" s="21">
        <v>963118</v>
      </c>
      <c r="Y45" s="21">
        <v>1137646</v>
      </c>
      <c r="Z45" s="21">
        <v>1429803</v>
      </c>
      <c r="AA45" s="21">
        <v>1517602.3688259386</v>
      </c>
      <c r="AB45" s="21">
        <v>1425245.0325037544</v>
      </c>
      <c r="AC45" s="21">
        <v>1576608.4448095565</v>
      </c>
      <c r="AD45" s="22">
        <f>AC45*(AD41/AC41)</f>
        <v>1934109.6399867192</v>
      </c>
      <c r="AE45" s="22">
        <f t="shared" ref="AE45:BP45" si="16">AD45*(AE41/AD41)</f>
        <v>1939317.7750642786</v>
      </c>
      <c r="AF45" s="22">
        <f t="shared" si="16"/>
        <v>1946434.7277939422</v>
      </c>
      <c r="AG45" s="22">
        <f t="shared" si="16"/>
        <v>1951600.6917094372</v>
      </c>
      <c r="AH45" s="22">
        <f t="shared" si="16"/>
        <v>1954116.4776585849</v>
      </c>
      <c r="AI45" s="22">
        <f t="shared" si="16"/>
        <v>1956599.5828496034</v>
      </c>
      <c r="AJ45" s="22">
        <f t="shared" si="16"/>
        <v>1960355.918628417</v>
      </c>
      <c r="AK45" s="22">
        <f t="shared" si="16"/>
        <v>1964468.5559682592</v>
      </c>
      <c r="AL45" s="22">
        <f t="shared" si="16"/>
        <v>1965814.4780085201</v>
      </c>
      <c r="AM45" s="22">
        <f t="shared" si="16"/>
        <v>1941092.0705889896</v>
      </c>
      <c r="AN45" s="22">
        <f t="shared" si="16"/>
        <v>1948803.8258640221</v>
      </c>
      <c r="AO45" s="22">
        <f t="shared" si="16"/>
        <v>1955737.286527663</v>
      </c>
      <c r="AP45" s="22">
        <f t="shared" si="16"/>
        <v>1962606.4723994113</v>
      </c>
      <c r="AQ45" s="22">
        <f t="shared" si="16"/>
        <v>1970491.5824630121</v>
      </c>
      <c r="AR45" s="22">
        <f t="shared" si="16"/>
        <v>1978291.1117260444</v>
      </c>
      <c r="AS45" s="22">
        <f t="shared" si="16"/>
        <v>1986198.8589070747</v>
      </c>
      <c r="AT45" s="22">
        <f t="shared" si="16"/>
        <v>1993770.0097387657</v>
      </c>
      <c r="AU45" s="22">
        <f t="shared" si="16"/>
        <v>2001664.767321202</v>
      </c>
      <c r="AV45" s="22">
        <f t="shared" si="16"/>
        <v>2008998.4694820384</v>
      </c>
      <c r="AW45" s="22">
        <f t="shared" si="16"/>
        <v>2016397.593088476</v>
      </c>
      <c r="AX45" s="22">
        <f t="shared" si="16"/>
        <v>2025007.6659590167</v>
      </c>
      <c r="AY45" s="22">
        <f t="shared" si="16"/>
        <v>2034097.2686698237</v>
      </c>
      <c r="AZ45" s="22">
        <f t="shared" si="16"/>
        <v>2043301.5284425374</v>
      </c>
      <c r="BA45" s="22">
        <f t="shared" si="16"/>
        <v>2045128.1782867999</v>
      </c>
      <c r="BB45" s="22">
        <f t="shared" si="16"/>
        <v>1286053.4196891394</v>
      </c>
      <c r="BC45" s="22">
        <f t="shared" si="16"/>
        <v>1284710.4964334965</v>
      </c>
      <c r="BD45" s="22">
        <f t="shared" si="16"/>
        <v>1283353.4367263427</v>
      </c>
      <c r="BE45" s="22">
        <f t="shared" si="16"/>
        <v>1281982.045820046</v>
      </c>
      <c r="BF45" s="22">
        <f t="shared" si="16"/>
        <v>1280596.1253039469</v>
      </c>
      <c r="BG45" s="22">
        <f t="shared" si="16"/>
        <v>1279195.4730129342</v>
      </c>
      <c r="BH45" s="22">
        <f t="shared" si="16"/>
        <v>1277994.8556484769</v>
      </c>
      <c r="BI45" s="22">
        <f t="shared" si="16"/>
        <v>1276783.347471002</v>
      </c>
      <c r="BJ45" s="22">
        <f t="shared" si="16"/>
        <v>1275560.8181683796</v>
      </c>
      <c r="BK45" s="22">
        <f t="shared" si="16"/>
        <v>1274327.135290643</v>
      </c>
      <c r="BL45" s="22">
        <f t="shared" si="16"/>
        <v>1273082.164203437</v>
      </c>
      <c r="BM45" s="22">
        <f t="shared" si="16"/>
        <v>1272049.7886770337</v>
      </c>
      <c r="BN45" s="22">
        <f t="shared" si="16"/>
        <v>1271009.6093224294</v>
      </c>
      <c r="BO45" s="22">
        <f t="shared" si="16"/>
        <v>1269961.5478047959</v>
      </c>
      <c r="BP45" s="22">
        <f t="shared" si="16"/>
        <v>1268905.5247075937</v>
      </c>
      <c r="BR45" s="23"/>
    </row>
    <row r="46" spans="1:72" x14ac:dyDescent="0.25">
      <c r="A46" t="str">
        <f>A45</f>
        <v>3C Aggregated and non-CO2 emissions on land</v>
      </c>
      <c r="B46" t="str">
        <f>'IPCC Categories'!B72</f>
        <v>3C3 Urea application (CO2)</v>
      </c>
      <c r="C46" t="s">
        <v>114</v>
      </c>
      <c r="D46" t="s">
        <v>376</v>
      </c>
      <c r="E46" t="str">
        <f>C46&amp;D46</f>
        <v>Urea application - total</v>
      </c>
      <c r="F46" t="s">
        <v>321</v>
      </c>
      <c r="H46" s="21">
        <v>124083.5011138469</v>
      </c>
      <c r="I46" s="21">
        <v>152218.50271143019</v>
      </c>
      <c r="J46" s="21">
        <v>180353.50430901349</v>
      </c>
      <c r="K46" s="21">
        <v>208488.50590658933</v>
      </c>
      <c r="L46" s="21">
        <v>236623.50750417262</v>
      </c>
      <c r="M46" s="21">
        <v>264758.50910175592</v>
      </c>
      <c r="N46" s="21">
        <v>292893.51069933921</v>
      </c>
      <c r="O46" s="21">
        <v>321028.5122969225</v>
      </c>
      <c r="P46" s="21">
        <v>349163.5138945058</v>
      </c>
      <c r="Q46" s="21">
        <v>377298.51549208909</v>
      </c>
      <c r="R46" s="21">
        <v>405433.51708967239</v>
      </c>
      <c r="S46" s="21">
        <v>433568.51868725568</v>
      </c>
      <c r="T46" s="21">
        <v>461703.52028483152</v>
      </c>
      <c r="U46" s="21">
        <v>489838.52188241482</v>
      </c>
      <c r="V46" s="21">
        <v>594407</v>
      </c>
      <c r="W46" s="21">
        <v>484209</v>
      </c>
      <c r="X46" s="21">
        <v>536026</v>
      </c>
      <c r="Y46" s="21">
        <v>660755</v>
      </c>
      <c r="Z46" s="21">
        <v>654808</v>
      </c>
      <c r="AA46" s="21">
        <v>518924</v>
      </c>
      <c r="AB46" s="21">
        <v>683837</v>
      </c>
      <c r="AC46" s="21">
        <v>778897</v>
      </c>
      <c r="AD46" s="22">
        <f>((Data!$AJ$48*'Activity data'!AD47)+Data!$AK$48)</f>
        <v>641039.33073872479</v>
      </c>
      <c r="AE46" s="22">
        <f>((Data!$AJ$48*'Activity data'!AE47)+Data!$AK$48)</f>
        <v>640957.31617336289</v>
      </c>
      <c r="AF46" s="22">
        <f>((Data!$AJ$48*'Activity data'!AF47)+Data!$AK$48)</f>
        <v>640845.24270058761</v>
      </c>
      <c r="AG46" s="22">
        <f>((Data!$AJ$48*'Activity data'!AG47)+Data!$AK$48)</f>
        <v>640763.89222121343</v>
      </c>
      <c r="AH46" s="22">
        <f>((Data!$AJ$48*'Activity data'!AH47)+Data!$AK$48)</f>
        <v>640724.27514368179</v>
      </c>
      <c r="AI46" s="22">
        <f>((Data!$AJ$48*'Activity data'!AI47)+Data!$AK$48)</f>
        <v>640685.17270298919</v>
      </c>
      <c r="AJ46" s="22">
        <f>((Data!$AJ$48*'Activity data'!AJ47)+Data!$AK$48)</f>
        <v>640626.02019606205</v>
      </c>
      <c r="AK46" s="22">
        <f>((Data!$AJ$48*'Activity data'!AK47)+Data!$AK$48)</f>
        <v>640561.25686736661</v>
      </c>
      <c r="AL46" s="22">
        <f>((Data!$AJ$48*'Activity data'!AL47)+Data!$AK$48)</f>
        <v>640540.06210004608</v>
      </c>
      <c r="AM46" s="22">
        <f>((Data!$AJ$48*'Activity data'!AM47)+Data!$AK$48)</f>
        <v>640929.37563915714</v>
      </c>
      <c r="AN46" s="22">
        <f>((Data!$AJ$48*'Activity data'!AN47)+Data!$AK$48)</f>
        <v>640807.93557517254</v>
      </c>
      <c r="AO46" s="22">
        <f>((Data!$AJ$48*'Activity data'!AO47)+Data!$AK$48)</f>
        <v>640698.75162461936</v>
      </c>
      <c r="AP46" s="22">
        <f>((Data!$AJ$48*'Activity data'!AP47)+Data!$AK$48)</f>
        <v>640590.57983466529</v>
      </c>
      <c r="AQ46" s="22">
        <f>((Data!$AJ$48*'Activity data'!AQ47)+Data!$AK$48)</f>
        <v>640466.40988418087</v>
      </c>
      <c r="AR46" s="22">
        <f>((Data!$AJ$48*'Activity data'!AR47)+Data!$AK$48)</f>
        <v>640343.58760845079</v>
      </c>
      <c r="AS46" s="22">
        <f>((Data!$AJ$48*'Activity data'!AS47)+Data!$AK$48)</f>
        <v>640219.06118231441</v>
      </c>
      <c r="AT46" s="22">
        <f>((Data!$AJ$48*'Activity data'!AT47)+Data!$AK$48)</f>
        <v>640099.83527217503</v>
      </c>
      <c r="AU46" s="22">
        <f>((Data!$AJ$48*'Activity data'!AU47)+Data!$AK$48)</f>
        <v>639975.51339839119</v>
      </c>
      <c r="AV46" s="22">
        <f>((Data!$AJ$48*'Activity data'!AV47)+Data!$AK$48)</f>
        <v>639860.02668649575</v>
      </c>
      <c r="AW46" s="22">
        <f>((Data!$AJ$48*'Activity data'!AW47)+Data!$AK$48)</f>
        <v>639743.50975719106</v>
      </c>
      <c r="AX46" s="22">
        <f>((Data!$AJ$48*'Activity data'!AX47)+Data!$AK$48)</f>
        <v>639607.92353031796</v>
      </c>
      <c r="AY46" s="22">
        <f>((Data!$AJ$48*'Activity data'!AY47)+Data!$AK$48)</f>
        <v>639464.78595716786</v>
      </c>
      <c r="AZ46" s="22">
        <f>((Data!$AJ$48*'Activity data'!AZ47)+Data!$AK$48)</f>
        <v>639319.84283386264</v>
      </c>
      <c r="BA46" s="22">
        <f>((Data!$AJ$48*'Activity data'!BA47)+Data!$AK$48)</f>
        <v>639291.07785545581</v>
      </c>
      <c r="BB46" s="22">
        <f>((Data!$AJ$48*'Activity data'!BB47)+Data!$AK$48)</f>
        <v>651244.52865434915</v>
      </c>
      <c r="BC46" s="22">
        <f>((Data!$AJ$48*'Activity data'!BC47)+Data!$AK$48)</f>
        <v>651265.67619862093</v>
      </c>
      <c r="BD46" s="22">
        <f>((Data!$AJ$48*'Activity data'!BD47)+Data!$AK$48)</f>
        <v>651287.04635519232</v>
      </c>
      <c r="BE46" s="22">
        <f>((Data!$AJ$48*'Activity data'!BE47)+Data!$AK$48)</f>
        <v>651308.64219083136</v>
      </c>
      <c r="BF46" s="22">
        <f>((Data!$AJ$48*'Activity data'!BF47)+Data!$AK$48)</f>
        <v>651330.46682998934</v>
      </c>
      <c r="BG46" s="22">
        <f>((Data!$AJ$48*'Activity data'!BG47)+Data!$AK$48)</f>
        <v>651352.52345624042</v>
      </c>
      <c r="BH46" s="22">
        <f>((Data!$AJ$48*'Activity data'!BH47)+Data!$AK$48)</f>
        <v>651371.43005329405</v>
      </c>
      <c r="BI46" s="22">
        <f>((Data!$AJ$48*'Activity data'!BI47)+Data!$AK$48)</f>
        <v>651390.50815229269</v>
      </c>
      <c r="BJ46" s="22">
        <f>((Data!$AJ$48*'Activity data'!BJ47)+Data!$AK$48)</f>
        <v>651409.75980531308</v>
      </c>
      <c r="BK46" s="22">
        <f>((Data!$AJ$48*'Activity data'!BK47)+Data!$AK$48)</f>
        <v>651429.18709809752</v>
      </c>
      <c r="BL46" s="22">
        <f>((Data!$AJ$48*'Activity data'!BL47)+Data!$AK$48)</f>
        <v>651448.79215078603</v>
      </c>
      <c r="BM46" s="22">
        <f>((Data!$AJ$48*'Activity data'!BM47)+Data!$AK$48)</f>
        <v>651465.04937699612</v>
      </c>
      <c r="BN46" s="22">
        <f>((Data!$AJ$48*'Activity data'!BN47)+Data!$AK$48)</f>
        <v>651481.42949317896</v>
      </c>
      <c r="BO46" s="22">
        <f>((Data!$AJ$48*'Activity data'!BO47)+Data!$AK$48)</f>
        <v>651497.93373290426</v>
      </c>
      <c r="BP46" s="22">
        <f>((Data!$AJ$48*'Activity data'!BP47)+Data!$AK$48)</f>
        <v>651514.56334677537</v>
      </c>
      <c r="BR46" s="23"/>
    </row>
    <row r="47" spans="1:72" x14ac:dyDescent="0.25">
      <c r="A47" t="str">
        <f>A45</f>
        <v>3C Aggregated and non-CO2 emissions on land</v>
      </c>
      <c r="B47" t="str">
        <f>'IPCC Categories'!B73</f>
        <v>3C4 Direct N2O from managed soils (N2O)</v>
      </c>
      <c r="C47" t="s">
        <v>384</v>
      </c>
      <c r="D47" t="s">
        <v>376</v>
      </c>
      <c r="E47" t="str">
        <f>C47&amp;D47</f>
        <v>Inorganic N application - total</v>
      </c>
      <c r="F47" t="s">
        <v>321</v>
      </c>
      <c r="H47" s="21">
        <v>343689</v>
      </c>
      <c r="I47" s="21">
        <v>365035</v>
      </c>
      <c r="J47" s="21">
        <v>347525</v>
      </c>
      <c r="K47" s="21">
        <v>408459</v>
      </c>
      <c r="L47" s="21">
        <v>375066</v>
      </c>
      <c r="M47" s="21">
        <v>371491</v>
      </c>
      <c r="N47" s="21">
        <v>415084</v>
      </c>
      <c r="O47" s="21">
        <v>406914</v>
      </c>
      <c r="P47" s="21">
        <v>415521</v>
      </c>
      <c r="Q47" s="21">
        <v>413045</v>
      </c>
      <c r="R47" s="21">
        <v>415933</v>
      </c>
      <c r="S47" s="21">
        <v>395813</v>
      </c>
      <c r="T47" s="21">
        <v>477072</v>
      </c>
      <c r="U47" s="21">
        <v>420827</v>
      </c>
      <c r="V47" s="21">
        <v>427571</v>
      </c>
      <c r="W47" s="21">
        <v>347260</v>
      </c>
      <c r="X47" s="21">
        <v>428719</v>
      </c>
      <c r="Y47" s="21">
        <v>439480</v>
      </c>
      <c r="Z47" s="21">
        <v>424123</v>
      </c>
      <c r="AA47" s="21">
        <v>453777</v>
      </c>
      <c r="AB47" s="21">
        <v>395000</v>
      </c>
      <c r="AC47" s="21">
        <v>419000</v>
      </c>
      <c r="AD47" s="22">
        <f>((Data!$AJ$49*'Activity data'!AD41)+Data!$AK$49)</f>
        <v>420412.44040319067</v>
      </c>
      <c r="AE47" s="22">
        <f>((Data!$AJ$49*'Activity data'!AE41)+Data!$AK$49)</f>
        <v>420352.11675115686</v>
      </c>
      <c r="AF47" s="22">
        <f>((Data!$AJ$49*'Activity data'!AF41)+Data!$AK$49)</f>
        <v>420269.68406198651</v>
      </c>
      <c r="AG47" s="22">
        <f>((Data!$AJ$49*'Activity data'!AG41)+Data!$AK$49)</f>
        <v>420209.84886089881</v>
      </c>
      <c r="AH47" s="22">
        <f>((Data!$AJ$49*'Activity data'!AH41)+Data!$AK$49)</f>
        <v>420180.70956364018</v>
      </c>
      <c r="AI47" s="22">
        <f>((Data!$AJ$49*'Activity data'!AI41)+Data!$AK$49)</f>
        <v>420151.94879394514</v>
      </c>
      <c r="AJ47" s="22">
        <f>((Data!$AJ$49*'Activity data'!AJ41)+Data!$AK$49)</f>
        <v>420108.4407264567</v>
      </c>
      <c r="AK47" s="22">
        <f>((Data!$AJ$49*'Activity data'!AK41)+Data!$AK$49)</f>
        <v>420060.80576689146</v>
      </c>
      <c r="AL47" s="22">
        <f>((Data!$AJ$49*'Activity data'!AL41)+Data!$AK$49)</f>
        <v>420045.21651438315</v>
      </c>
      <c r="AM47" s="22">
        <f>((Data!$AJ$49*'Activity data'!AM41)+Data!$AK$49)</f>
        <v>420331.56582760287</v>
      </c>
      <c r="AN47" s="22">
        <f>((Data!$AJ$49*'Activity data'!AN41)+Data!$AK$49)</f>
        <v>420242.2437891278</v>
      </c>
      <c r="AO47" s="22">
        <f>((Data!$AJ$49*'Activity data'!AO41)+Data!$AK$49)</f>
        <v>420161.93641187367</v>
      </c>
      <c r="AP47" s="22">
        <f>((Data!$AJ$49*'Activity data'!AP41)+Data!$AK$49)</f>
        <v>420082.37350267253</v>
      </c>
      <c r="AQ47" s="22">
        <f>((Data!$AJ$49*'Activity data'!AQ41)+Data!$AK$49)</f>
        <v>419991.04356812942</v>
      </c>
      <c r="AR47" s="22">
        <f>((Data!$AJ$49*'Activity data'!AR41)+Data!$AK$49)</f>
        <v>419900.70488023362</v>
      </c>
      <c r="AS47" s="22">
        <f>((Data!$AJ$49*'Activity data'!AS41)+Data!$AK$49)</f>
        <v>419809.11274941976</v>
      </c>
      <c r="AT47" s="22">
        <f>((Data!$AJ$49*'Activity data'!AT41)+Data!$AK$49)</f>
        <v>419721.41927345085</v>
      </c>
      <c r="AU47" s="22">
        <f>((Data!$AJ$49*'Activity data'!AU41)+Data!$AK$49)</f>
        <v>419629.97759572894</v>
      </c>
      <c r="AV47" s="22">
        <f>((Data!$AJ$49*'Activity data'!AV41)+Data!$AK$49)</f>
        <v>419545.03438848065</v>
      </c>
      <c r="AW47" s="22">
        <f>((Data!$AJ$49*'Activity data'!AW41)+Data!$AK$49)</f>
        <v>419459.3334319687</v>
      </c>
      <c r="AX47" s="22">
        <f>((Data!$AJ$49*'Activity data'!AX41)+Data!$AK$49)</f>
        <v>419359.60655620729</v>
      </c>
      <c r="AY47" s="22">
        <f>((Data!$AJ$49*'Activity data'!AY41)+Data!$AK$49)</f>
        <v>419254.32548670983</v>
      </c>
      <c r="AZ47" s="22">
        <f>((Data!$AJ$49*'Activity data'!AZ41)+Data!$AK$49)</f>
        <v>419147.71639238152</v>
      </c>
      <c r="BA47" s="22">
        <f>((Data!$AJ$49*'Activity data'!BA41)+Data!$AK$49)</f>
        <v>419126.55907062389</v>
      </c>
      <c r="BB47" s="22">
        <f>((Data!$AJ$49*'Activity data'!BB41)+Data!$AK$49)</f>
        <v>427918.60476901935</v>
      </c>
      <c r="BC47" s="22">
        <f>((Data!$AJ$49*'Activity data'!BC41)+Data!$AK$49)</f>
        <v>427934.1592878587</v>
      </c>
      <c r="BD47" s="22">
        <f>((Data!$AJ$49*'Activity data'!BD41)+Data!$AK$49)</f>
        <v>427949.87754330796</v>
      </c>
      <c r="BE47" s="22">
        <f>((Data!$AJ$49*'Activity data'!BE41)+Data!$AK$49)</f>
        <v>427965.76179104764</v>
      </c>
      <c r="BF47" s="22">
        <f>((Data!$AJ$49*'Activity data'!BF41)+Data!$AK$49)</f>
        <v>427981.81432918552</v>
      </c>
      <c r="BG47" s="22">
        <f>((Data!$AJ$49*'Activity data'!BG41)+Data!$AK$49)</f>
        <v>427998.03749931557</v>
      </c>
      <c r="BH47" s="22">
        <f>((Data!$AJ$49*'Activity data'!BH41)+Data!$AK$49)</f>
        <v>428011.94374848937</v>
      </c>
      <c r="BI47" s="22">
        <f>((Data!$AJ$49*'Activity data'!BI41)+Data!$AK$49)</f>
        <v>428025.97614139889</v>
      </c>
      <c r="BJ47" s="22">
        <f>((Data!$AJ$49*'Activity data'!BJ41)+Data!$AK$49)</f>
        <v>428040.13618739508</v>
      </c>
      <c r="BK47" s="22">
        <f>((Data!$AJ$49*'Activity data'!BK41)+Data!$AK$49)</f>
        <v>428054.42542059056</v>
      </c>
      <c r="BL47" s="22">
        <f>((Data!$AJ$49*'Activity data'!BL41)+Data!$AK$49)</f>
        <v>428068.84540039871</v>
      </c>
      <c r="BM47" s="22">
        <f>((Data!$AJ$49*'Activity data'!BM41)+Data!$AK$49)</f>
        <v>428080.80297467351</v>
      </c>
      <c r="BN47" s="22">
        <f>((Data!$AJ$49*'Activity data'!BN41)+Data!$AK$49)</f>
        <v>428092.850937429</v>
      </c>
      <c r="BO47" s="22">
        <f>((Data!$AJ$49*'Activity data'!BO41)+Data!$AK$49)</f>
        <v>428104.99019598478</v>
      </c>
      <c r="BP47" s="22">
        <f>((Data!$AJ$49*'Activity data'!BP41)+Data!$AK$49)</f>
        <v>428117.22167018935</v>
      </c>
      <c r="BR47" s="23"/>
    </row>
    <row r="48" spans="1:72" x14ac:dyDescent="0.25">
      <c r="A48" t="str">
        <f>A47</f>
        <v>3C Aggregated and non-CO2 emissions on land</v>
      </c>
      <c r="B48" t="str">
        <f>B47</f>
        <v>3C4 Direct N2O from managed soils (N2O)</v>
      </c>
      <c r="C48" t="s">
        <v>390</v>
      </c>
      <c r="D48" t="s">
        <v>376</v>
      </c>
      <c r="E48" t="str">
        <f>C48&amp;D48</f>
        <v>Compost N - total</v>
      </c>
      <c r="F48" t="s">
        <v>321</v>
      </c>
      <c r="H48" s="22">
        <f t="shared" ref="H48:AM48" si="17">H47*0.05*0.33*0.8*0.5</f>
        <v>2268.3474000000001</v>
      </c>
      <c r="I48" s="22">
        <f t="shared" si="17"/>
        <v>2409.2310000000002</v>
      </c>
      <c r="J48" s="22">
        <f t="shared" si="17"/>
        <v>2293.6650000000004</v>
      </c>
      <c r="K48" s="22">
        <f t="shared" si="17"/>
        <v>2695.8294000000005</v>
      </c>
      <c r="L48" s="22">
        <f t="shared" si="17"/>
        <v>2475.4356000000002</v>
      </c>
      <c r="M48" s="22">
        <f t="shared" si="17"/>
        <v>2451.8406</v>
      </c>
      <c r="N48" s="22">
        <f t="shared" si="17"/>
        <v>2739.5544000000004</v>
      </c>
      <c r="O48" s="22">
        <f t="shared" si="17"/>
        <v>2685.6324000000004</v>
      </c>
      <c r="P48" s="22">
        <f t="shared" si="17"/>
        <v>2742.4386000000009</v>
      </c>
      <c r="Q48" s="22">
        <f t="shared" si="17"/>
        <v>2726.0970000000002</v>
      </c>
      <c r="R48" s="22">
        <f t="shared" si="17"/>
        <v>2745.1578000000009</v>
      </c>
      <c r="S48" s="22">
        <f t="shared" si="17"/>
        <v>2612.3658000000005</v>
      </c>
      <c r="T48" s="22">
        <f t="shared" si="17"/>
        <v>3148.6752000000006</v>
      </c>
      <c r="U48" s="22">
        <f t="shared" si="17"/>
        <v>2777.4582000000009</v>
      </c>
      <c r="V48" s="22">
        <f t="shared" si="17"/>
        <v>2821.9686000000006</v>
      </c>
      <c r="W48" s="22">
        <f t="shared" si="17"/>
        <v>2291.9160000000002</v>
      </c>
      <c r="X48" s="22">
        <f t="shared" si="17"/>
        <v>2829.5454000000004</v>
      </c>
      <c r="Y48" s="22">
        <f t="shared" si="17"/>
        <v>2900.5680000000002</v>
      </c>
      <c r="Z48" s="22">
        <f t="shared" si="17"/>
        <v>2799.2118000000005</v>
      </c>
      <c r="AA48" s="22">
        <f t="shared" si="17"/>
        <v>2994.9282000000003</v>
      </c>
      <c r="AB48" s="22">
        <f t="shared" si="17"/>
        <v>2607</v>
      </c>
      <c r="AC48" s="22">
        <f t="shared" si="17"/>
        <v>2765.4</v>
      </c>
      <c r="AD48" s="22">
        <f t="shared" ref="AD48:AI48" si="18">AD47*0.05*0.33*0.8*0.5</f>
        <v>2774.7221066610591</v>
      </c>
      <c r="AE48" s="22">
        <f t="shared" si="18"/>
        <v>2774.3239705576357</v>
      </c>
      <c r="AF48" s="22">
        <f t="shared" si="18"/>
        <v>2773.7799148091117</v>
      </c>
      <c r="AG48" s="22">
        <f t="shared" si="18"/>
        <v>2773.385002481933</v>
      </c>
      <c r="AH48" s="22">
        <f t="shared" si="18"/>
        <v>2773.1926831200253</v>
      </c>
      <c r="AI48" s="22">
        <f t="shared" si="18"/>
        <v>2773.0028620400385</v>
      </c>
      <c r="AJ48" s="22">
        <f t="shared" si="17"/>
        <v>2772.7157087946148</v>
      </c>
      <c r="AK48" s="22">
        <f t="shared" si="17"/>
        <v>2772.4013180614843</v>
      </c>
      <c r="AL48" s="22">
        <f t="shared" si="17"/>
        <v>2772.2984289949295</v>
      </c>
      <c r="AM48" s="22">
        <f t="shared" si="17"/>
        <v>2774.1883344621797</v>
      </c>
      <c r="AN48" s="22">
        <f t="shared" ref="AN48:BP48" si="19">AN47*0.05*0.33*0.8*0.5</f>
        <v>2773.5988090082442</v>
      </c>
      <c r="AO48" s="22">
        <f t="shared" si="19"/>
        <v>2773.0687803183664</v>
      </c>
      <c r="AP48" s="22">
        <f t="shared" si="19"/>
        <v>2772.5436651176392</v>
      </c>
      <c r="AQ48" s="22">
        <f t="shared" si="19"/>
        <v>2771.9408875496547</v>
      </c>
      <c r="AR48" s="22">
        <f t="shared" si="19"/>
        <v>2771.3446522095423</v>
      </c>
      <c r="AS48" s="22">
        <f t="shared" si="19"/>
        <v>2770.7401441461711</v>
      </c>
      <c r="AT48" s="22">
        <f t="shared" si="19"/>
        <v>2770.1613672047761</v>
      </c>
      <c r="AU48" s="22">
        <f t="shared" si="19"/>
        <v>2769.5578521318116</v>
      </c>
      <c r="AV48" s="22">
        <f t="shared" si="19"/>
        <v>2768.9972269639729</v>
      </c>
      <c r="AW48" s="22">
        <f t="shared" si="19"/>
        <v>2768.4316006509939</v>
      </c>
      <c r="AX48" s="22">
        <f t="shared" si="19"/>
        <v>2767.7734032709686</v>
      </c>
      <c r="AY48" s="22">
        <f t="shared" si="19"/>
        <v>2767.0785482122851</v>
      </c>
      <c r="AZ48" s="22">
        <f t="shared" si="19"/>
        <v>2766.3749281897185</v>
      </c>
      <c r="BA48" s="22">
        <f t="shared" si="19"/>
        <v>2766.2352898661179</v>
      </c>
      <c r="BB48" s="22">
        <f t="shared" si="19"/>
        <v>2824.262791475528</v>
      </c>
      <c r="BC48" s="22">
        <f t="shared" si="19"/>
        <v>2824.3654512998678</v>
      </c>
      <c r="BD48" s="22">
        <f t="shared" si="19"/>
        <v>2824.4691917858327</v>
      </c>
      <c r="BE48" s="22">
        <f t="shared" si="19"/>
        <v>2824.574027820915</v>
      </c>
      <c r="BF48" s="22">
        <f t="shared" si="19"/>
        <v>2824.6799745726253</v>
      </c>
      <c r="BG48" s="22">
        <f t="shared" si="19"/>
        <v>2824.7870474954834</v>
      </c>
      <c r="BH48" s="22">
        <f t="shared" si="19"/>
        <v>2824.8788287400307</v>
      </c>
      <c r="BI48" s="22">
        <f t="shared" si="19"/>
        <v>2824.9714425332331</v>
      </c>
      <c r="BJ48" s="22">
        <f t="shared" si="19"/>
        <v>2825.064898836808</v>
      </c>
      <c r="BK48" s="22">
        <f t="shared" si="19"/>
        <v>2825.1592077758978</v>
      </c>
      <c r="BL48" s="22">
        <f t="shared" si="19"/>
        <v>2825.2543796426316</v>
      </c>
      <c r="BM48" s="22">
        <f t="shared" si="19"/>
        <v>2825.3332996328459</v>
      </c>
      <c r="BN48" s="22">
        <f t="shared" si="19"/>
        <v>2825.4128161870321</v>
      </c>
      <c r="BO48" s="22">
        <f t="shared" si="19"/>
        <v>2825.4929352934996</v>
      </c>
      <c r="BP48" s="22">
        <f t="shared" si="19"/>
        <v>2825.5736630232504</v>
      </c>
      <c r="BR48" s="23"/>
    </row>
    <row r="49" spans="1:72" ht="18.75" customHeight="1" x14ac:dyDescent="0.25">
      <c r="A49" s="20" t="s">
        <v>629</v>
      </c>
      <c r="B49" s="20"/>
      <c r="C49" s="20"/>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S49" s="16"/>
      <c r="BT49" s="15"/>
    </row>
    <row r="50" spans="1:72" x14ac:dyDescent="0.25">
      <c r="A50" t="str">
        <f>Constants!A130</f>
        <v>3C Aggregated and non-CO2 emissions on land</v>
      </c>
      <c r="B50" t="str">
        <f>Constants!B130</f>
        <v>3C4 Direct N2O from managed soils (N2O)</v>
      </c>
      <c r="C50" t="s">
        <v>409</v>
      </c>
      <c r="D50" t="str">
        <f>Constants!D115</f>
        <v xml:space="preserve"> - TMR</v>
      </c>
      <c r="E50" t="str">
        <f>C50&amp;D50</f>
        <v>MM N available - TMR</v>
      </c>
      <c r="F50" t="s">
        <v>407</v>
      </c>
      <c r="H50" s="22">
        <f>((H5*Constants!$H63*Constants!$H81*(1-Constants!$H99))+(H5*Constants!$H63*Constants!$H115))</f>
        <v>16768553.295054734</v>
      </c>
      <c r="I50" s="22">
        <f>((I5*Constants!$H63*Constants!$H81*(1-Constants!$H99))+(I5*Constants!$H63*Constants!$H115))</f>
        <v>19304960.418965299</v>
      </c>
      <c r="J50" s="22">
        <f>((J5*Constants!$H63*Constants!$H81*(1-Constants!$H99))+(J5*Constants!$H63*Constants!$H115))</f>
        <v>16701288.624605378</v>
      </c>
      <c r="K50" s="22">
        <f>((K5*Constants!$H63*Constants!$H81*(1-Constants!$H99))+(K5*Constants!$H63*Constants!$H115))</f>
        <v>17713281.812601872</v>
      </c>
      <c r="L50" s="22">
        <f>((L5*Constants!$H63*Constants!$H81*(1-Constants!$H99))+(L5*Constants!$H63*Constants!$H115))</f>
        <v>16432229.94280795</v>
      </c>
      <c r="M50" s="22">
        <f>((M5*Constants!$H63*Constants!$H81*(1-Constants!$H99))+(M5*Constants!$H63*Constants!$H115))</f>
        <v>17578752.471703161</v>
      </c>
      <c r="N50" s="22">
        <f>((N5*Constants!$H63*Constants!$H81*(1-Constants!$H99))+(N5*Constants!$H63*Constants!$H115))</f>
        <v>17646017.142152518</v>
      </c>
      <c r="O50" s="22">
        <f>((O5*Constants!$H63*Constants!$H81*(1-Constants!$H99))+(O5*Constants!$H63*Constants!$H115))</f>
        <v>17011915.361174878</v>
      </c>
      <c r="P50" s="22">
        <f>((P5*Constants!$H63*Constants!$H81*(1-Constants!$H99))+(P5*Constants!$H63*Constants!$H115))</f>
        <v>16810121.349826809</v>
      </c>
      <c r="Q50" s="22">
        <f>((Q5*Constants!$H63*Constants!$H81*(1-Constants!$H99))+(Q5*Constants!$H63*Constants!$H115))</f>
        <v>16512342.921095951</v>
      </c>
      <c r="R50" s="22">
        <f>((R5*Constants!$H63*Constants!$H81*(1-Constants!$H99))+(R5*Constants!$H63*Constants!$H115))</f>
        <v>21261682.124508936</v>
      </c>
      <c r="S50" s="22">
        <f>((S5*Constants!$H63*Constants!$H81*(1-Constants!$H99))+(S5*Constants!$H63*Constants!$H115))</f>
        <v>21194417.454059578</v>
      </c>
      <c r="T50" s="22">
        <f>((T5*Constants!$H63*Constants!$H81*(1-Constants!$H99))+(T5*Constants!$H63*Constants!$H115))</f>
        <v>18481912.934478231</v>
      </c>
      <c r="U50" s="22">
        <f>((U5*Constants!$H63*Constants!$H81*(1-Constants!$H99))+(U5*Constants!$H63*Constants!$H115))</f>
        <v>16810121.349826809</v>
      </c>
      <c r="V50" s="22">
        <f>((V5*Constants!$H63*Constants!$H81*(1-Constants!$H99))+(V5*Constants!$H63*Constants!$H115))</f>
        <v>16230435.931459881</v>
      </c>
      <c r="W50" s="22">
        <f>((W5*Constants!$H63*Constants!$H81*(1-Constants!$H99))+(W5*Constants!$H63*Constants!$H115))</f>
        <v>17376958.460355092</v>
      </c>
      <c r="X50" s="22">
        <f>((X5*Constants!$H63*Constants!$H81*(1-Constants!$H99))+(X5*Constants!$H63*Constants!$H115))</f>
        <v>16999067.053336237</v>
      </c>
      <c r="Y50" s="22">
        <f>((Y5*Constants!$H63*Constants!$H81*(1-Constants!$H99))+(Y5*Constants!$H63*Constants!$H115))</f>
        <v>16877386.020276166</v>
      </c>
      <c r="Z50" s="22">
        <f>((Z5*Constants!$H63*Constants!$H81*(1-Constants!$H99))+(Z5*Constants!$H63*Constants!$H115))</f>
        <v>20669148.398303367</v>
      </c>
      <c r="AA50" s="22">
        <f>((AA5*Constants!$H63*Constants!$H81*(1-Constants!$H99))+(AA5*Constants!$H63*Constants!$H115))</f>
        <v>21181569.146220937</v>
      </c>
      <c r="AB50" s="22">
        <f>((AB5*Constants!$H63*Constants!$H81*(1-Constants!$H99))+(AB5*Constants!$H63*Constants!$H115))</f>
        <v>21181569.146220937</v>
      </c>
      <c r="AC50" s="22">
        <f>((AC5*Constants!$H63*Constants!$H81*(1-Constants!$H99))+(AC5*Constants!$H63*Constants!$H115))</f>
        <v>20412938.024344582</v>
      </c>
      <c r="AD50" s="22">
        <f>((AD5*Constants!$H63*Constants!$H81*(1-Constants!$H99))+(AD5*Constants!$H63*Constants!$H115))</f>
        <v>20322831.998794224</v>
      </c>
      <c r="AE50" s="22">
        <f>((AE5*Constants!$H63*Constants!$H81*(1-Constants!$H99))+(AE5*Constants!$H63*Constants!$H115))</f>
        <v>20449243.441925868</v>
      </c>
      <c r="AF50" s="22">
        <f>((AF5*Constants!$H63*Constants!$H81*(1-Constants!$H99))+(AF5*Constants!$H63*Constants!$H115))</f>
        <v>20536153.050458316</v>
      </c>
      <c r="AG50" s="22">
        <f>((AG5*Constants!$H63*Constants!$H81*(1-Constants!$H99))+(AG5*Constants!$H63*Constants!$H115))</f>
        <v>20563409.183040306</v>
      </c>
      <c r="AH50" s="22">
        <f>((AH5*Constants!$H63*Constants!$H81*(1-Constants!$H99))+(AH5*Constants!$H63*Constants!$H115))</f>
        <v>20600282.663310457</v>
      </c>
      <c r="AI50" s="22">
        <f>((AI5*Constants!$H63*Constants!$H81*(1-Constants!$H99))+(AI5*Constants!$H63*Constants!$H115))</f>
        <v>20681049.594125446</v>
      </c>
      <c r="AJ50" s="22">
        <f>((AJ5*Constants!$H63*Constants!$H81*(1-Constants!$H99))+(AJ5*Constants!$H63*Constants!$H115))</f>
        <v>20777880.95176224</v>
      </c>
      <c r="AK50" s="22">
        <f>((AK5*Constants!$H63*Constants!$H81*(1-Constants!$H99))+(AK5*Constants!$H63*Constants!$H115))</f>
        <v>20806970.101663623</v>
      </c>
      <c r="AL50" s="22">
        <f>((AL5*Constants!$H63*Constants!$H81*(1-Constants!$H99))+(AL5*Constants!$H63*Constants!$H115))</f>
        <v>20168200.793105789</v>
      </c>
      <c r="AM50" s="22">
        <f>((AM5*Constants!$H63*Constants!$H81*(1-Constants!$H99))+(AM5*Constants!$H63*Constants!$H115))</f>
        <v>20334319.469012123</v>
      </c>
      <c r="AN50" s="22">
        <f>((AN5*Constants!$H63*Constants!$H81*(1-Constants!$H99))+(AN5*Constants!$H63*Constants!$H115))</f>
        <v>20486645.577193163</v>
      </c>
      <c r="AO50" s="22">
        <f>((AO5*Constants!$H63*Constants!$H81*(1-Constants!$H99))+(AO5*Constants!$H63*Constants!$H115))</f>
        <v>20642830.596379526</v>
      </c>
      <c r="AP50" s="22">
        <f>((AP5*Constants!$H63*Constants!$H81*(1-Constants!$H99))+(AP5*Constants!$H63*Constants!$H115))</f>
        <v>20830976.69822599</v>
      </c>
      <c r="AQ50" s="22">
        <f>((AQ5*Constants!$H63*Constants!$H81*(1-Constants!$H99))+(AQ5*Constants!$H63*Constants!$H115))</f>
        <v>21022653.248589329</v>
      </c>
      <c r="AR50" s="22">
        <f>((AR5*Constants!$H63*Constants!$H81*(1-Constants!$H99))+(AR5*Constants!$H63*Constants!$H115))</f>
        <v>21209292.234332196</v>
      </c>
      <c r="AS50" s="22">
        <f>((AS5*Constants!$H63*Constants!$H81*(1-Constants!$H99))+(AS5*Constants!$H63*Constants!$H115))</f>
        <v>21392197.364011958</v>
      </c>
      <c r="AT50" s="22">
        <f>((AT5*Constants!$H63*Constants!$H81*(1-Constants!$H99))+(AT5*Constants!$H63*Constants!$H115))</f>
        <v>21589206.248674642</v>
      </c>
      <c r="AU50" s="22">
        <f>((AU5*Constants!$H63*Constants!$H81*(1-Constants!$H99))+(AU5*Constants!$H63*Constants!$H115))</f>
        <v>21775769.789902888</v>
      </c>
      <c r="AV50" s="22">
        <f>((AV5*Constants!$H63*Constants!$H81*(1-Constants!$H99))+(AV5*Constants!$H63*Constants!$H115))</f>
        <v>21969025.235331941</v>
      </c>
      <c r="AW50" s="22">
        <f>((AW5*Constants!$H63*Constants!$H81*(1-Constants!$H99))+(AW5*Constants!$H63*Constants!$H115))</f>
        <v>22191058.107455175</v>
      </c>
      <c r="AX50" s="22">
        <f>((AX5*Constants!$H63*Constants!$H81*(1-Constants!$H99))+(AX5*Constants!$H63*Constants!$H115))</f>
        <v>22432875.245141953</v>
      </c>
      <c r="AY50" s="22">
        <f>((AY5*Constants!$H63*Constants!$H81*(1-Constants!$H99))+(AY5*Constants!$H63*Constants!$H115))</f>
        <v>22684290.666314971</v>
      </c>
      <c r="AZ50" s="22">
        <f>((AZ5*Constants!$H63*Constants!$H81*(1-Constants!$H99))+(AZ5*Constants!$H63*Constants!$H115))</f>
        <v>22719409.558483526</v>
      </c>
      <c r="BA50" s="22">
        <f>((BA5*Constants!$H63*Constants!$H81*(1-Constants!$H99))+(BA5*Constants!$H63*Constants!$H115))</f>
        <v>12163750.216216931</v>
      </c>
      <c r="BB50" s="22">
        <f>((BB5*Constants!$H63*Constants!$H81*(1-Constants!$H99))+(BB5*Constants!$H63*Constants!$H115))</f>
        <v>12172696.580249263</v>
      </c>
      <c r="BC50" s="22">
        <f>((BC5*Constants!$H63*Constants!$H81*(1-Constants!$H99))+(BC5*Constants!$H63*Constants!$H115))</f>
        <v>12182818.157228338</v>
      </c>
      <c r="BD50" s="22">
        <f>((BD5*Constants!$H63*Constants!$H81*(1-Constants!$H99))+(BD5*Constants!$H63*Constants!$H115))</f>
        <v>12194070.277734743</v>
      </c>
      <c r="BE50" s="22">
        <f>((BE5*Constants!$H63*Constants!$H81*(1-Constants!$H99))+(BE5*Constants!$H63*Constants!$H115))</f>
        <v>12206411.712611658</v>
      </c>
      <c r="BF50" s="22">
        <f>((BF5*Constants!$H63*Constants!$H81*(1-Constants!$H99))+(BF5*Constants!$H63*Constants!$H115))</f>
        <v>12219804.34688605</v>
      </c>
      <c r="BG50" s="22">
        <f>((BG5*Constants!$H63*Constants!$H81*(1-Constants!$H99))+(BG5*Constants!$H63*Constants!$H115))</f>
        <v>12225570.276088176</v>
      </c>
      <c r="BH50" s="22">
        <f>((BH5*Constants!$H63*Constants!$H81*(1-Constants!$H99))+(BH5*Constants!$H63*Constants!$H115))</f>
        <v>12232261.931284094</v>
      </c>
      <c r="BI50" s="22">
        <f>((BI5*Constants!$H63*Constants!$H81*(1-Constants!$H99))+(BI5*Constants!$H63*Constants!$H115))</f>
        <v>12239846.979710745</v>
      </c>
      <c r="BJ50" s="22">
        <f>((BJ5*Constants!$H63*Constants!$H81*(1-Constants!$H99))+(BJ5*Constants!$H63*Constants!$H115))</f>
        <v>12248295.294888748</v>
      </c>
      <c r="BK50" s="22">
        <f>((BK5*Constants!$H63*Constants!$H81*(1-Constants!$H99))+(BK5*Constants!$H63*Constants!$H115))</f>
        <v>12257578.769401556</v>
      </c>
      <c r="BL50" s="22">
        <f>((BL5*Constants!$H63*Constants!$H81*(1-Constants!$H99))+(BL5*Constants!$H63*Constants!$H115))</f>
        <v>12258935.404790726</v>
      </c>
      <c r="BM50" s="22">
        <f>((BM5*Constants!$H63*Constants!$H81*(1-Constants!$H99))+(BM5*Constants!$H63*Constants!$H115))</f>
        <v>12261032.429621611</v>
      </c>
      <c r="BN50" s="22">
        <f>((BN5*Constants!$H63*Constants!$H81*(1-Constants!$H99))+(BN5*Constants!$H63*Constants!$H115))</f>
        <v>12263845.303555436</v>
      </c>
      <c r="BO50" s="22">
        <f>((BO5*Constants!$H63*Constants!$H81*(1-Constants!$H99))+(BO5*Constants!$H63*Constants!$H115))</f>
        <v>12267350.981229126</v>
      </c>
      <c r="BP50" s="22">
        <f>((BP5*Constants!$H63*Constants!$H81*(1-Constants!$H99))+(BP5*Constants!$H63*Constants!$H115))</f>
        <v>12271527.797413165</v>
      </c>
    </row>
    <row r="51" spans="1:72" x14ac:dyDescent="0.25">
      <c r="A51" t="str">
        <f t="shared" ref="A51:A65" si="20">A50</f>
        <v>3C Aggregated and non-CO2 emissions on land</v>
      </c>
      <c r="B51" t="str">
        <f t="shared" ref="B51:B65" si="21">B50</f>
        <v>3C4 Direct N2O from managed soils (N2O)</v>
      </c>
      <c r="C51" t="s">
        <v>409</v>
      </c>
      <c r="D51" t="str">
        <f>Constants!D116</f>
        <v xml:space="preserve"> - Pasture</v>
      </c>
      <c r="E51" t="str">
        <f t="shared" ref="E51" si="22">C51&amp;D51</f>
        <v>MM N available - Pasture</v>
      </c>
      <c r="F51" t="str">
        <f>F50</f>
        <v>kg N</v>
      </c>
      <c r="H51" s="22">
        <f>((H6*Constants!$H64*Constants!$H82*(1-Constants!$H100))+(H6*Constants!$H64*Constants!$H116))</f>
        <v>48497097.884958483</v>
      </c>
      <c r="I51" s="22">
        <f>((I6*Constants!$H64*Constants!$H82*(1-Constants!$H100))+(I6*Constants!$H64*Constants!$H116))</f>
        <v>55832756.626650497</v>
      </c>
      <c r="J51" s="22">
        <f>((J6*Constants!$H64*Constants!$H82*(1-Constants!$H100))+(J6*Constants!$H64*Constants!$H116))</f>
        <v>48302558.663262829</v>
      </c>
      <c r="K51" s="22">
        <f>((K6*Constants!$H64*Constants!$H82*(1-Constants!$H100))+(K6*Constants!$H64*Constants!$H116))</f>
        <v>51229390.324504077</v>
      </c>
      <c r="L51" s="22">
        <f>((L6*Constants!$H64*Constants!$H82*(1-Constants!$H100))+(L6*Constants!$H64*Constants!$H116))</f>
        <v>47524401.776480258</v>
      </c>
      <c r="M51" s="22">
        <f>((M6*Constants!$H64*Constants!$H82*(1-Constants!$H100))+(M6*Constants!$H64*Constants!$H116))</f>
        <v>50840311.881112777</v>
      </c>
      <c r="N51" s="22">
        <f>((N6*Constants!$H64*Constants!$H82*(1-Constants!$H100))+(N6*Constants!$H64*Constants!$H116))</f>
        <v>51034851.102808431</v>
      </c>
      <c r="O51" s="22">
        <f>((O6*Constants!$H64*Constants!$H82*(1-Constants!$H100))+(O6*Constants!$H64*Constants!$H116))</f>
        <v>49200936.417385429</v>
      </c>
      <c r="P51" s="22">
        <f>((P6*Constants!$H64*Constants!$H82*(1-Constants!$H100))+(P6*Constants!$H64*Constants!$H116))</f>
        <v>48617318.752298489</v>
      </c>
      <c r="Q51" s="22">
        <f>((Q6*Constants!$H64*Constants!$H82*(1-Constants!$H100))+(Q6*Constants!$H64*Constants!$H116))</f>
        <v>47756100.175353706</v>
      </c>
      <c r="R51" s="22">
        <f>((R6*Constants!$H64*Constants!$H82*(1-Constants!$H100))+(R6*Constants!$H64*Constants!$H116))</f>
        <v>61491880.727437332</v>
      </c>
      <c r="S51" s="22">
        <f>((S6*Constants!$H64*Constants!$H82*(1-Constants!$H100))+(S6*Constants!$H64*Constants!$H116))</f>
        <v>61297341.505741686</v>
      </c>
      <c r="T51" s="22">
        <f>((T6*Constants!$H64*Constants!$H82*(1-Constants!$H100))+(T6*Constants!$H64*Constants!$H116))</f>
        <v>53452383.453318357</v>
      </c>
      <c r="U51" s="22">
        <f>((U6*Constants!$H64*Constants!$H82*(1-Constants!$H100))+(U6*Constants!$H64*Constants!$H116))</f>
        <v>48617318.752298489</v>
      </c>
      <c r="V51" s="22">
        <f>((V6*Constants!$H64*Constants!$H82*(1-Constants!$H100))+(V6*Constants!$H64*Constants!$H116))</f>
        <v>46940784.111393303</v>
      </c>
      <c r="W51" s="22">
        <f>((W6*Constants!$H64*Constants!$H82*(1-Constants!$H100))+(W6*Constants!$H64*Constants!$H116))</f>
        <v>50256694.216025844</v>
      </c>
      <c r="X51" s="22">
        <f>((X6*Constants!$H64*Constants!$H82*(1-Constants!$H100))+(X6*Constants!$H64*Constants!$H116))</f>
        <v>49163777.240207598</v>
      </c>
      <c r="Y51" s="22">
        <f>((Y6*Constants!$H64*Constants!$H82*(1-Constants!$H100))+(Y6*Constants!$H64*Constants!$H116))</f>
        <v>48811857.973994136</v>
      </c>
      <c r="Z51" s="22">
        <f>((Z6*Constants!$H64*Constants!$H82*(1-Constants!$H100))+(Z6*Constants!$H64*Constants!$H116))</f>
        <v>59778186.909354329</v>
      </c>
      <c r="AA51" s="22">
        <f>((AA6*Constants!$H64*Constants!$H82*(1-Constants!$H100))+(AA6*Constants!$H64*Constants!$H116))</f>
        <v>61260182.328563854</v>
      </c>
      <c r="AB51" s="22">
        <f>((AB6*Constants!$H64*Constants!$H82*(1-Constants!$H100))+(AB6*Constants!$H64*Constants!$H116))</f>
        <v>61260182.328563854</v>
      </c>
      <c r="AC51" s="22">
        <f>((AC6*Constants!$H64*Constants!$H82*(1-Constants!$H100))+(AC6*Constants!$H64*Constants!$H116))</f>
        <v>59037189.199749559</v>
      </c>
      <c r="AD51" s="22">
        <f>((AD6*Constants!$H64*Constants!$H82*(1-Constants!$H100))+(AD6*Constants!$H64*Constants!$H116))</f>
        <v>59423366.608394958</v>
      </c>
      <c r="AE51" s="22">
        <f>((AE6*Constants!$H64*Constants!$H82*(1-Constants!$H100))+(AE6*Constants!$H64*Constants!$H116))</f>
        <v>59792989.972360849</v>
      </c>
      <c r="AF51" s="22">
        <f>((AF6*Constants!$H64*Constants!$H82*(1-Constants!$H100))+(AF6*Constants!$H64*Constants!$H116))</f>
        <v>60047111.126829989</v>
      </c>
      <c r="AG51" s="22">
        <f>((AG6*Constants!$H64*Constants!$H82*(1-Constants!$H100))+(AG6*Constants!$H64*Constants!$H116))</f>
        <v>60126807.261642419</v>
      </c>
      <c r="AH51" s="22">
        <f>((AH6*Constants!$H64*Constants!$H82*(1-Constants!$H100))+(AH6*Constants!$H64*Constants!$H116))</f>
        <v>60234624.239923343</v>
      </c>
      <c r="AI51" s="22">
        <f>((AI6*Constants!$H64*Constants!$H82*(1-Constants!$H100))+(AI6*Constants!$H64*Constants!$H116))</f>
        <v>60470784.384333253</v>
      </c>
      <c r="AJ51" s="22">
        <f>((AJ6*Constants!$H64*Constants!$H82*(1-Constants!$H100))+(AJ6*Constants!$H64*Constants!$H116))</f>
        <v>60753916.443112336</v>
      </c>
      <c r="AK51" s="22">
        <f>((AK6*Constants!$H64*Constants!$H82*(1-Constants!$H100))+(AK6*Constants!$H64*Constants!$H116))</f>
        <v>60838972.266976804</v>
      </c>
      <c r="AL51" s="22">
        <f>((AL6*Constants!$H64*Constants!$H82*(1-Constants!$H100))+(AL6*Constants!$H64*Constants!$H116))</f>
        <v>58971229.483742893</v>
      </c>
      <c r="AM51" s="22">
        <f>((AM6*Constants!$H64*Constants!$H82*(1-Constants!$H100))+(AM6*Constants!$H64*Constants!$H116))</f>
        <v>59456955.635465682</v>
      </c>
      <c r="AN51" s="22">
        <f>((AN6*Constants!$H64*Constants!$H82*(1-Constants!$H100))+(AN6*Constants!$H64*Constants!$H116))</f>
        <v>59902352.722397715</v>
      </c>
      <c r="AO51" s="22">
        <f>((AO6*Constants!$H64*Constants!$H82*(1-Constants!$H100))+(AO6*Constants!$H64*Constants!$H116))</f>
        <v>60359033.152290605</v>
      </c>
      <c r="AP51" s="22">
        <f>((AP6*Constants!$H64*Constants!$H82*(1-Constants!$H100))+(AP6*Constants!$H64*Constants!$H116))</f>
        <v>60909166.853470944</v>
      </c>
      <c r="AQ51" s="22">
        <f>((AQ6*Constants!$H64*Constants!$H82*(1-Constants!$H100))+(AQ6*Constants!$H64*Constants!$H116))</f>
        <v>61469623.482898816</v>
      </c>
      <c r="AR51" s="22">
        <f>((AR6*Constants!$H64*Constants!$H82*(1-Constants!$H100))+(AR6*Constants!$H64*Constants!$H116))</f>
        <v>62015350.420654126</v>
      </c>
      <c r="AS51" s="22">
        <f>((AS6*Constants!$H64*Constants!$H82*(1-Constants!$H100))+(AS6*Constants!$H64*Constants!$H116))</f>
        <v>62550159.672443509</v>
      </c>
      <c r="AT51" s="22">
        <f>((AT6*Constants!$H64*Constants!$H82*(1-Constants!$H100))+(AT6*Constants!$H64*Constants!$H116))</f>
        <v>63126207.891467117</v>
      </c>
      <c r="AU51" s="22">
        <f>((AU6*Constants!$H64*Constants!$H82*(1-Constants!$H100))+(AU6*Constants!$H64*Constants!$H116))</f>
        <v>63671714.231667377</v>
      </c>
      <c r="AV51" s="22">
        <f>((AV6*Constants!$H64*Constants!$H82*(1-Constants!$H100))+(AV6*Constants!$H64*Constants!$H116))</f>
        <v>64236787.504106984</v>
      </c>
      <c r="AW51" s="22">
        <f>((AW6*Constants!$H64*Constants!$H82*(1-Constants!$H100))+(AW6*Constants!$H64*Constants!$H116))</f>
        <v>64886005.130866706</v>
      </c>
      <c r="AX51" s="22">
        <f>((AX6*Constants!$H64*Constants!$H82*(1-Constants!$H100))+(AX6*Constants!$H64*Constants!$H116))</f>
        <v>65593071.371723622</v>
      </c>
      <c r="AY51" s="22">
        <f>((AY6*Constants!$H64*Constants!$H82*(1-Constants!$H100))+(AY6*Constants!$H64*Constants!$H116))</f>
        <v>66328202.712879956</v>
      </c>
      <c r="AZ51" s="22">
        <f>((AZ6*Constants!$H64*Constants!$H82*(1-Constants!$H100))+(AZ6*Constants!$H64*Constants!$H116))</f>
        <v>66430889.326848738</v>
      </c>
      <c r="BA51" s="22">
        <f>((BA6*Constants!$H64*Constants!$H82*(1-Constants!$H100))+(BA6*Constants!$H64*Constants!$H116))</f>
        <v>35566450.014155865</v>
      </c>
      <c r="BB51" s="22">
        <f>((BB6*Constants!$H64*Constants!$H82*(1-Constants!$H100))+(BB6*Constants!$H64*Constants!$H116))</f>
        <v>35592608.92103149</v>
      </c>
      <c r="BC51" s="22">
        <f>((BC6*Constants!$H64*Constants!$H82*(1-Constants!$H100))+(BC6*Constants!$H64*Constants!$H116))</f>
        <v>35622204.116204999</v>
      </c>
      <c r="BD51" s="22">
        <f>((BD6*Constants!$H64*Constants!$H82*(1-Constants!$H100))+(BD6*Constants!$H64*Constants!$H116))</f>
        <v>35655104.987599969</v>
      </c>
      <c r="BE51" s="22">
        <f>((BE6*Constants!$H64*Constants!$H82*(1-Constants!$H100))+(BE6*Constants!$H64*Constants!$H116))</f>
        <v>35691190.98236724</v>
      </c>
      <c r="BF51" s="22">
        <f>((BF6*Constants!$H64*Constants!$H82*(1-Constants!$H100))+(BF6*Constants!$H64*Constants!$H116))</f>
        <v>35730350.653439969</v>
      </c>
      <c r="BG51" s="22">
        <f>((BG6*Constants!$H64*Constants!$H82*(1-Constants!$H100))+(BG6*Constants!$H64*Constants!$H116))</f>
        <v>35747210.061854929</v>
      </c>
      <c r="BH51" s="22">
        <f>((BH6*Constants!$H64*Constants!$H82*(1-Constants!$H100))+(BH6*Constants!$H64*Constants!$H116))</f>
        <v>35766776.266011298</v>
      </c>
      <c r="BI51" s="22">
        <f>((BI6*Constants!$H64*Constants!$H82*(1-Constants!$H100))+(BI6*Constants!$H64*Constants!$H116))</f>
        <v>35788954.725855179</v>
      </c>
      <c r="BJ51" s="22">
        <f>((BJ6*Constants!$H64*Constants!$H82*(1-Constants!$H100))+(BJ6*Constants!$H64*Constants!$H116))</f>
        <v>35813657.352441639</v>
      </c>
      <c r="BK51" s="22">
        <f>((BK6*Constants!$H64*Constants!$H82*(1-Constants!$H100))+(BK6*Constants!$H64*Constants!$H116))</f>
        <v>35840801.960506454</v>
      </c>
      <c r="BL51" s="22">
        <f>((BL6*Constants!$H64*Constants!$H82*(1-Constants!$H100))+(BL6*Constants!$H64*Constants!$H116))</f>
        <v>35844768.722721942</v>
      </c>
      <c r="BM51" s="22">
        <f>((BM6*Constants!$H64*Constants!$H82*(1-Constants!$H100))+(BM6*Constants!$H64*Constants!$H116))</f>
        <v>35850900.362019069</v>
      </c>
      <c r="BN51" s="22">
        <f>((BN6*Constants!$H64*Constants!$H82*(1-Constants!$H100))+(BN6*Constants!$H64*Constants!$H116))</f>
        <v>35859125.123164706</v>
      </c>
      <c r="BO51" s="22">
        <f>((BO6*Constants!$H64*Constants!$H82*(1-Constants!$H100))+(BO6*Constants!$H64*Constants!$H116))</f>
        <v>35869375.62219096</v>
      </c>
      <c r="BP51" s="22">
        <f>((BP6*Constants!$H64*Constants!$H82*(1-Constants!$H100))+(BP6*Constants!$H64*Constants!$H116))</f>
        <v>35881588.510600165</v>
      </c>
    </row>
    <row r="52" spans="1:72" x14ac:dyDescent="0.25">
      <c r="A52" t="str">
        <f t="shared" si="20"/>
        <v>3C Aggregated and non-CO2 emissions on land</v>
      </c>
      <c r="B52" t="str">
        <f t="shared" si="21"/>
        <v>3C4 Direct N2O from managed soils (N2O)</v>
      </c>
      <c r="C52" t="s">
        <v>409</v>
      </c>
      <c r="D52" t="str">
        <f>Constants!D117</f>
        <v xml:space="preserve"> - Non-lactating</v>
      </c>
      <c r="E52" t="str">
        <f t="shared" ref="E52:E66" si="23">C52&amp;D52</f>
        <v>MM N available - Non-lactating</v>
      </c>
      <c r="F52" t="str">
        <f t="shared" ref="F52:F66" si="24">F51</f>
        <v>kg N</v>
      </c>
      <c r="H52" s="22">
        <f>((H7*Constants!$H65*Constants!$H83*(1-Constants!$H101))+(H7*Constants!$H65*Constants!$H117))</f>
        <v>3062615.1790069034</v>
      </c>
      <c r="I52" s="22">
        <f>((I7*Constants!$H65*Constants!$H83*(1-Constants!$H101))+(I7*Constants!$H65*Constants!$H117))</f>
        <v>3481151.0311277835</v>
      </c>
      <c r="J52" s="22">
        <f>((J7*Constants!$H65*Constants!$H83*(1-Constants!$H101))+(J7*Constants!$H65*Constants!$H117))</f>
        <v>3011204.707020822</v>
      </c>
      <c r="K52" s="22">
        <f>((K7*Constants!$H65*Constants!$H83*(1-Constants!$H101))+(K7*Constants!$H65*Constants!$H117))</f>
        <v>3151320.9974138029</v>
      </c>
      <c r="L52" s="22">
        <f>((L7*Constants!$H65*Constants!$H83*(1-Constants!$H101))+(L7*Constants!$H65*Constants!$H117))</f>
        <v>2805562.8190765027</v>
      </c>
      <c r="M52" s="22">
        <f>((M7*Constants!$H65*Constants!$H83*(1-Constants!$H101))+(M7*Constants!$H65*Constants!$H117))</f>
        <v>3048500.0534416419</v>
      </c>
      <c r="N52" s="22">
        <f>((N7*Constants!$H65*Constants!$H83*(1-Constants!$H101))+(N7*Constants!$H65*Constants!$H117))</f>
        <v>3099910.5254277219</v>
      </c>
      <c r="O52" s="22">
        <f>((O7*Constants!$H65*Constants!$H83*(1-Constants!$H101))+(O7*Constants!$H65*Constants!$H117))</f>
        <v>2995276.5623975019</v>
      </c>
      <c r="P52" s="22">
        <f>((P7*Constants!$H65*Constants!$H83*(1-Constants!$H101))+(P7*Constants!$H65*Constants!$H117))</f>
        <v>2841045.1464392617</v>
      </c>
      <c r="Q52" s="22">
        <f>((Q7*Constants!$H65*Constants!$H83*(1-Constants!$H101))+(Q7*Constants!$H65*Constants!$H117))</f>
        <v>2993463.5433394425</v>
      </c>
      <c r="R52" s="22">
        <f>((R7*Constants!$H65*Constants!$H83*(1-Constants!$H101))+(R7*Constants!$H65*Constants!$H117))</f>
        <v>3709973.1399276629</v>
      </c>
      <c r="S52" s="22">
        <f>((S7*Constants!$H65*Constants!$H83*(1-Constants!$H101))+(S7*Constants!$H65*Constants!$H117))</f>
        <v>3658562.6679415829</v>
      </c>
      <c r="T52" s="22">
        <f>((T7*Constants!$H65*Constants!$H83*(1-Constants!$H101))+(T7*Constants!$H65*Constants!$H117))</f>
        <v>3358775.904416183</v>
      </c>
      <c r="U52" s="22">
        <f>((U7*Constants!$H65*Constants!$H83*(1-Constants!$H101))+(U7*Constants!$H65*Constants!$H117))</f>
        <v>2841045.1464392617</v>
      </c>
      <c r="V52" s="22">
        <f>((V7*Constants!$H65*Constants!$H83*(1-Constants!$H101))+(V7*Constants!$H65*Constants!$H117))</f>
        <v>2651331.4031182611</v>
      </c>
      <c r="W52" s="22">
        <f>((W7*Constants!$H65*Constants!$H83*(1-Constants!$H101))+(W7*Constants!$H65*Constants!$H117))</f>
        <v>2894268.6374834022</v>
      </c>
      <c r="X52" s="22">
        <f>((X7*Constants!$H65*Constants!$H83*(1-Constants!$H101))+(X7*Constants!$H65*Constants!$H117))</f>
        <v>2858786.3101206413</v>
      </c>
      <c r="Y52" s="22">
        <f>((Y7*Constants!$H65*Constants!$H83*(1-Constants!$H101))+(Y7*Constants!$H65*Constants!$H117))</f>
        <v>2892455.6184253423</v>
      </c>
      <c r="Z52" s="22">
        <f>((Z7*Constants!$H65*Constants!$H83*(1-Constants!$H101))+(Z7*Constants!$H65*Constants!$H117))</f>
        <v>3383769.1443298031</v>
      </c>
      <c r="AA52" s="22">
        <f>((AA7*Constants!$H65*Constants!$H83*(1-Constants!$H101))+(AA7*Constants!$H65*Constants!$H117))</f>
        <v>3522072.4156647222</v>
      </c>
      <c r="AB52" s="22">
        <f>((AB7*Constants!$H65*Constants!$H83*(1-Constants!$H101))+(AB7*Constants!$H65*Constants!$H117))</f>
        <v>3522072.4156647222</v>
      </c>
      <c r="AC52" s="22">
        <f>((AC7*Constants!$H65*Constants!$H83*(1-Constants!$H101))+(AC7*Constants!$H65*Constants!$H117))</f>
        <v>3314617.5086623426</v>
      </c>
      <c r="AD52" s="22">
        <f>((AD7*Constants!$H65*Constants!$H83*(1-Constants!$H101))+(AD7*Constants!$H65*Constants!$H117))</f>
        <v>3178815.0617040638</v>
      </c>
      <c r="AE52" s="22">
        <f>((AE7*Constants!$H65*Constants!$H83*(1-Constants!$H101))+(AE7*Constants!$H65*Constants!$H117))</f>
        <v>3198587.8275972446</v>
      </c>
      <c r="AF52" s="22">
        <f>((AF7*Constants!$H65*Constants!$H83*(1-Constants!$H101))+(AF7*Constants!$H65*Constants!$H117))</f>
        <v>3212181.8765283264</v>
      </c>
      <c r="AG52" s="22">
        <f>((AG7*Constants!$H65*Constants!$H83*(1-Constants!$H101))+(AG7*Constants!$H65*Constants!$H117))</f>
        <v>3216445.1703832657</v>
      </c>
      <c r="AH52" s="22">
        <f>((AH7*Constants!$H65*Constants!$H83*(1-Constants!$H101))+(AH7*Constants!$H65*Constants!$H117))</f>
        <v>3222212.7708076145</v>
      </c>
      <c r="AI52" s="22">
        <f>((AI7*Constants!$H65*Constants!$H83*(1-Constants!$H101))+(AI7*Constants!$H65*Constants!$H117))</f>
        <v>3234846.0069716247</v>
      </c>
      <c r="AJ52" s="22">
        <f>((AJ7*Constants!$H65*Constants!$H83*(1-Constants!$H101))+(AJ7*Constants!$H65*Constants!$H117))</f>
        <v>3249991.9757086281</v>
      </c>
      <c r="AK52" s="22">
        <f>((AK7*Constants!$H65*Constants!$H83*(1-Constants!$H101))+(AK7*Constants!$H65*Constants!$H117))</f>
        <v>3254541.9827078581</v>
      </c>
      <c r="AL52" s="22">
        <f>((AL7*Constants!$H65*Constants!$H83*(1-Constants!$H101))+(AL7*Constants!$H65*Constants!$H117))</f>
        <v>3154628.2748585576</v>
      </c>
      <c r="AM52" s="22">
        <f>((AM7*Constants!$H65*Constants!$H83*(1-Constants!$H101))+(AM7*Constants!$H65*Constants!$H117))</f>
        <v>3180611.8852644656</v>
      </c>
      <c r="AN52" s="22">
        <f>((AN7*Constants!$H65*Constants!$H83*(1-Constants!$H101))+(AN7*Constants!$H65*Constants!$H117))</f>
        <v>3204438.1180948801</v>
      </c>
      <c r="AO52" s="22">
        <f>((AO7*Constants!$H65*Constants!$H83*(1-Constants!$H101))+(AO7*Constants!$H65*Constants!$H117))</f>
        <v>3228867.9461538629</v>
      </c>
      <c r="AP52" s="22">
        <f>((AP7*Constants!$H65*Constants!$H83*(1-Constants!$H101))+(AP7*Constants!$H65*Constants!$H117))</f>
        <v>3258296.9973011604</v>
      </c>
      <c r="AQ52" s="22">
        <f>((AQ7*Constants!$H65*Constants!$H83*(1-Constants!$H101))+(AQ7*Constants!$H65*Constants!$H117))</f>
        <v>3288278.2669050526</v>
      </c>
      <c r="AR52" s="22">
        <f>((AR7*Constants!$H65*Constants!$H83*(1-Constants!$H101))+(AR7*Constants!$H65*Constants!$H117))</f>
        <v>3317471.5810561413</v>
      </c>
      <c r="AS52" s="22">
        <f>((AS7*Constants!$H65*Constants!$H83*(1-Constants!$H101))+(AS7*Constants!$H65*Constants!$H117))</f>
        <v>3346080.8605661755</v>
      </c>
      <c r="AT52" s="22">
        <f>((AT7*Constants!$H65*Constants!$H83*(1-Constants!$H101))+(AT7*Constants!$H65*Constants!$H117))</f>
        <v>3376896.1923020473</v>
      </c>
      <c r="AU52" s="22">
        <f>((AU7*Constants!$H65*Constants!$H83*(1-Constants!$H101))+(AU7*Constants!$H65*Constants!$H117))</f>
        <v>3406077.7057277551</v>
      </c>
      <c r="AV52" s="22">
        <f>((AV7*Constants!$H65*Constants!$H83*(1-Constants!$H101))+(AV7*Constants!$H65*Constants!$H117))</f>
        <v>3436305.9397023623</v>
      </c>
      <c r="AW52" s="22">
        <f>((AW7*Constants!$H65*Constants!$H83*(1-Constants!$H101))+(AW7*Constants!$H65*Constants!$H117))</f>
        <v>3471035.4221947952</v>
      </c>
      <c r="AX52" s="22">
        <f>((AX7*Constants!$H65*Constants!$H83*(1-Constants!$H101))+(AX7*Constants!$H65*Constants!$H117))</f>
        <v>3508859.4793686415</v>
      </c>
      <c r="AY52" s="22">
        <f>((AY7*Constants!$H65*Constants!$H83*(1-Constants!$H101))+(AY7*Constants!$H65*Constants!$H117))</f>
        <v>3548184.8611666551</v>
      </c>
      <c r="AZ52" s="22">
        <f>((AZ7*Constants!$H65*Constants!$H83*(1-Constants!$H101))+(AZ7*Constants!$H65*Constants!$H117))</f>
        <v>3553678.0160272764</v>
      </c>
      <c r="BA52" s="22">
        <f>((BA7*Constants!$H65*Constants!$H83*(1-Constants!$H101))+(BA7*Constants!$H65*Constants!$H117))</f>
        <v>1902604.5384034347</v>
      </c>
      <c r="BB52" s="22">
        <f>((BB7*Constants!$H65*Constants!$H83*(1-Constants!$H101))+(BB7*Constants!$H65*Constants!$H117))</f>
        <v>1904003.892427281</v>
      </c>
      <c r="BC52" s="22">
        <f>((BC7*Constants!$H65*Constants!$H83*(1-Constants!$H101))+(BC7*Constants!$H65*Constants!$H117))</f>
        <v>1905587.0684999458</v>
      </c>
      <c r="BD52" s="22">
        <f>((BD7*Constants!$H65*Constants!$H83*(1-Constants!$H101))+(BD7*Constants!$H65*Constants!$H117))</f>
        <v>1907347.0796117829</v>
      </c>
      <c r="BE52" s="22">
        <f>((BE7*Constants!$H65*Constants!$H83*(1-Constants!$H101))+(BE7*Constants!$H65*Constants!$H117))</f>
        <v>1909277.4768650839</v>
      </c>
      <c r="BF52" s="22">
        <f>((BF7*Constants!$H65*Constants!$H83*(1-Constants!$H101))+(BF7*Constants!$H65*Constants!$H117))</f>
        <v>1911372.2984701563</v>
      </c>
      <c r="BG52" s="22">
        <f>((BG7*Constants!$H65*Constants!$H83*(1-Constants!$H101))+(BG7*Constants!$H65*Constants!$H117))</f>
        <v>1912274.1817605132</v>
      </c>
      <c r="BH52" s="22">
        <f>((BH7*Constants!$H65*Constants!$H83*(1-Constants!$H101))+(BH7*Constants!$H65*Constants!$H117))</f>
        <v>1913320.8633610785</v>
      </c>
      <c r="BI52" s="22">
        <f>((BI7*Constants!$H65*Constants!$H83*(1-Constants!$H101))+(BI7*Constants!$H65*Constants!$H117))</f>
        <v>1914507.2859120211</v>
      </c>
      <c r="BJ52" s="22">
        <f>((BJ7*Constants!$H65*Constants!$H83*(1-Constants!$H101))+(BJ7*Constants!$H65*Constants!$H117))</f>
        <v>1915828.737151467</v>
      </c>
      <c r="BK52" s="22">
        <f>((BK7*Constants!$H65*Constants!$H83*(1-Constants!$H101))+(BK7*Constants!$H65*Constants!$H117))</f>
        <v>1917280.8206311716</v>
      </c>
      <c r="BL52" s="22">
        <f>((BL7*Constants!$H65*Constants!$H83*(1-Constants!$H101))+(BL7*Constants!$H65*Constants!$H117))</f>
        <v>1917493.0200435659</v>
      </c>
      <c r="BM52" s="22">
        <f>((BM7*Constants!$H65*Constants!$H83*(1-Constants!$H101))+(BM7*Constants!$H65*Constants!$H117))</f>
        <v>1917821.0281734159</v>
      </c>
      <c r="BN52" s="22">
        <f>((BN7*Constants!$H65*Constants!$H83*(1-Constants!$H101))+(BN7*Constants!$H65*Constants!$H117))</f>
        <v>1918261.0065203346</v>
      </c>
      <c r="BO52" s="22">
        <f>((BO7*Constants!$H65*Constants!$H83*(1-Constants!$H101))+(BO7*Constants!$H65*Constants!$H117))</f>
        <v>1918809.3504219749</v>
      </c>
      <c r="BP52" s="22">
        <f>((BP7*Constants!$H65*Constants!$H83*(1-Constants!$H101))+(BP7*Constants!$H65*Constants!$H117))</f>
        <v>1919462.6710908944</v>
      </c>
    </row>
    <row r="53" spans="1:72" x14ac:dyDescent="0.25">
      <c r="A53" t="str">
        <f t="shared" si="20"/>
        <v>3C Aggregated and non-CO2 emissions on land</v>
      </c>
      <c r="B53" t="str">
        <f t="shared" si="21"/>
        <v>3C4 Direct N2O from managed soils (N2O)</v>
      </c>
      <c r="C53" t="s">
        <v>409</v>
      </c>
      <c r="D53" t="str">
        <f>Constants!D118</f>
        <v xml:space="preserve"> - Commercial cattle</v>
      </c>
      <c r="E53" t="str">
        <f t="shared" si="23"/>
        <v>MM N available - Commercial cattle</v>
      </c>
      <c r="F53" t="str">
        <f t="shared" si="24"/>
        <v>kg N</v>
      </c>
      <c r="H53" s="22">
        <f>((H8*Constants!$H66*Constants!$H84*(1-Constants!$H102))+(H8*Constants!$H66*Constants!$H118))</f>
        <v>29140148.242835071</v>
      </c>
      <c r="I53" s="22">
        <f>((I8*Constants!$H66*Constants!$H84*(1-Constants!$H102))+(I8*Constants!$H66*Constants!$H118))</f>
        <v>27882399.754625745</v>
      </c>
      <c r="J53" s="22">
        <f>((J8*Constants!$H66*Constants!$H84*(1-Constants!$H102))+(J8*Constants!$H66*Constants!$H118))</f>
        <v>27872269.031688493</v>
      </c>
      <c r="K53" s="22">
        <f>((K8*Constants!$H66*Constants!$H84*(1-Constants!$H102))+(K8*Constants!$H66*Constants!$H118))</f>
        <v>26075497.690151285</v>
      </c>
      <c r="L53" s="22">
        <f>((L8*Constants!$H66*Constants!$H84*(1-Constants!$H102))+(L8*Constants!$H66*Constants!$H118))</f>
        <v>26861590.495282121</v>
      </c>
      <c r="M53" s="22">
        <f>((M8*Constants!$H66*Constants!$H84*(1-Constants!$H102))+(M8*Constants!$H66*Constants!$H118))</f>
        <v>27472340.576832376</v>
      </c>
      <c r="N53" s="22">
        <f>((N8*Constants!$H66*Constants!$H84*(1-Constants!$H102))+(N8*Constants!$H66*Constants!$H118))</f>
        <v>28611982.788773268</v>
      </c>
      <c r="O53" s="22">
        <f>((O8*Constants!$H66*Constants!$H84*(1-Constants!$H102))+(O8*Constants!$H66*Constants!$H118))</f>
        <v>29695841.906059686</v>
      </c>
      <c r="P53" s="22">
        <f>((P8*Constants!$H66*Constants!$H84*(1-Constants!$H102))+(P8*Constants!$H66*Constants!$H118))</f>
        <v>29953042.580799885</v>
      </c>
      <c r="Q53" s="22">
        <f>((Q8*Constants!$H66*Constants!$H84*(1-Constants!$H102))+(Q8*Constants!$H66*Constants!$H118))</f>
        <v>29468349.46946881</v>
      </c>
      <c r="R53" s="22">
        <f>((R8*Constants!$H66*Constants!$H84*(1-Constants!$H102))+(R8*Constants!$H66*Constants!$H118))</f>
        <v>27466527.166201718</v>
      </c>
      <c r="S53" s="22">
        <f>((S8*Constants!$H66*Constants!$H84*(1-Constants!$H102))+(S8*Constants!$H66*Constants!$H118))</f>
        <v>27609254.946317643</v>
      </c>
      <c r="T53" s="22">
        <f>((T8*Constants!$H66*Constants!$H84*(1-Constants!$H102))+(T8*Constants!$H66*Constants!$H118))</f>
        <v>25732079.006278474</v>
      </c>
      <c r="U53" s="22">
        <f>((U8*Constants!$H66*Constants!$H84*(1-Constants!$H102))+(U8*Constants!$H66*Constants!$H118))</f>
        <v>26405152.269442696</v>
      </c>
      <c r="V53" s="22">
        <f>((V8*Constants!$H66*Constants!$H84*(1-Constants!$H102))+(V8*Constants!$H66*Constants!$H118))</f>
        <v>26648588.839601479</v>
      </c>
      <c r="W53" s="22">
        <f>((W8*Constants!$H66*Constants!$H84*(1-Constants!$H102))+(W8*Constants!$H66*Constants!$H118))</f>
        <v>26874627.923534695</v>
      </c>
      <c r="X53" s="22">
        <f>((X8*Constants!$H66*Constants!$H84*(1-Constants!$H102))+(X8*Constants!$H66*Constants!$H118))</f>
        <v>26262424.489326771</v>
      </c>
      <c r="Y53" s="22">
        <f>((Y8*Constants!$H66*Constants!$H84*(1-Constants!$H102))+(Y8*Constants!$H66*Constants!$H118))</f>
        <v>27031846.484560855</v>
      </c>
      <c r="Z53" s="22">
        <f>((Z8*Constants!$H66*Constants!$H84*(1-Constants!$H102))+(Z8*Constants!$H66*Constants!$H118))</f>
        <v>26280686.506655321</v>
      </c>
      <c r="AA53" s="22">
        <f>((AA8*Constants!$H66*Constants!$H84*(1-Constants!$H102))+(AA8*Constants!$H66*Constants!$H118))</f>
        <v>25839415.868110832</v>
      </c>
      <c r="AB53" s="22">
        <f>((AB8*Constants!$H66*Constants!$H84*(1-Constants!$H102))+(AB8*Constants!$H66*Constants!$H118))</f>
        <v>25758186.634461202</v>
      </c>
      <c r="AC53" s="22">
        <f>((AC8*Constants!$H66*Constants!$H84*(1-Constants!$H102))+(AC8*Constants!$H66*Constants!$H118))</f>
        <v>25665694.273928557</v>
      </c>
      <c r="AD53" s="22">
        <f>((AD8*Constants!$H66*Constants!$H84*(1-Constants!$H102))+(AD8*Constants!$H66*Constants!$H118))</f>
        <v>25678816.021951988</v>
      </c>
      <c r="AE53" s="22">
        <f>((AE8*Constants!$H66*Constants!$H84*(1-Constants!$H102))+(AE8*Constants!$H66*Constants!$H118))</f>
        <v>25508605.584880892</v>
      </c>
      <c r="AF53" s="22">
        <f>((AF8*Constants!$H66*Constants!$H84*(1-Constants!$H102))+(AF8*Constants!$H66*Constants!$H118))</f>
        <v>25149728.284561221</v>
      </c>
      <c r="AG53" s="22">
        <f>((AG8*Constants!$H66*Constants!$H84*(1-Constants!$H102))+(AG8*Constants!$H66*Constants!$H118))</f>
        <v>24544790.861596633</v>
      </c>
      <c r="AH53" s="22">
        <f>((AH8*Constants!$H66*Constants!$H84*(1-Constants!$H102))+(AH8*Constants!$H66*Constants!$H118))</f>
        <v>23957865.90080161</v>
      </c>
      <c r="AI53" s="22">
        <f>((AI8*Constants!$H66*Constants!$H84*(1-Constants!$H102))+(AI8*Constants!$H66*Constants!$H118))</f>
        <v>23506438.227744035</v>
      </c>
      <c r="AJ53" s="22">
        <f>((AJ8*Constants!$H66*Constants!$H84*(1-Constants!$H102))+(AJ8*Constants!$H66*Constants!$H118))</f>
        <v>23098118.422027841</v>
      </c>
      <c r="AK53" s="22">
        <f>((AK8*Constants!$H66*Constants!$H84*(1-Constants!$H102))+(AK8*Constants!$H66*Constants!$H118))</f>
        <v>22456134.781212166</v>
      </c>
      <c r="AL53" s="22">
        <f>((AL8*Constants!$H66*Constants!$H84*(1-Constants!$H102))+(AL8*Constants!$H66*Constants!$H118))</f>
        <v>19695391.352663916</v>
      </c>
      <c r="AM53" s="22">
        <f>((AM8*Constants!$H66*Constants!$H84*(1-Constants!$H102))+(AM8*Constants!$H66*Constants!$H118))</f>
        <v>19883120.011012513</v>
      </c>
      <c r="AN53" s="22">
        <f>((AN8*Constants!$H66*Constants!$H84*(1-Constants!$H102))+(AN8*Constants!$H66*Constants!$H118))</f>
        <v>20010150.884788252</v>
      </c>
      <c r="AO53" s="22">
        <f>((AO8*Constants!$H66*Constants!$H84*(1-Constants!$H102))+(AO8*Constants!$H66*Constants!$H118))</f>
        <v>20133049.989901852</v>
      </c>
      <c r="AP53" s="22">
        <f>((AP8*Constants!$H66*Constants!$H84*(1-Constants!$H102))+(AP8*Constants!$H66*Constants!$H118))</f>
        <v>20336295.549400453</v>
      </c>
      <c r="AQ53" s="22">
        <f>((AQ8*Constants!$H66*Constants!$H84*(1-Constants!$H102))+(AQ8*Constants!$H66*Constants!$H118))</f>
        <v>20532842.634153768</v>
      </c>
      <c r="AR53" s="22">
        <f>((AR8*Constants!$H66*Constants!$H84*(1-Constants!$H102))+(AR8*Constants!$H66*Constants!$H118))</f>
        <v>20739187.57058524</v>
      </c>
      <c r="AS53" s="22">
        <f>((AS8*Constants!$H66*Constants!$H84*(1-Constants!$H102))+(AS8*Constants!$H66*Constants!$H118))</f>
        <v>20918829.087603837</v>
      </c>
      <c r="AT53" s="22">
        <f>((AT8*Constants!$H66*Constants!$H84*(1-Constants!$H102))+(AT8*Constants!$H66*Constants!$H118))</f>
        <v>21123285.493834876</v>
      </c>
      <c r="AU53" s="22">
        <f>((AU8*Constants!$H66*Constants!$H84*(1-Constants!$H102))+(AU8*Constants!$H66*Constants!$H118))</f>
        <v>21283279.559072856</v>
      </c>
      <c r="AV53" s="22">
        <f>((AV8*Constants!$H66*Constants!$H84*(1-Constants!$H102))+(AV8*Constants!$H66*Constants!$H118))</f>
        <v>21447663.592716385</v>
      </c>
      <c r="AW53" s="22">
        <f>((AW8*Constants!$H66*Constants!$H84*(1-Constants!$H102))+(AW8*Constants!$H66*Constants!$H118))</f>
        <v>21524227.663053449</v>
      </c>
      <c r="AX53" s="22">
        <f>((AX8*Constants!$H66*Constants!$H84*(1-Constants!$H102))+(AX8*Constants!$H66*Constants!$H118))</f>
        <v>21629212.537363026</v>
      </c>
      <c r="AY53" s="22">
        <f>((AY8*Constants!$H66*Constants!$H84*(1-Constants!$H102))+(AY8*Constants!$H66*Constants!$H118))</f>
        <v>21733792.236704476</v>
      </c>
      <c r="AZ53" s="22">
        <f>((AZ8*Constants!$H66*Constants!$H84*(1-Constants!$H102))+(AZ8*Constants!$H66*Constants!$H118))</f>
        <v>21272862.139643271</v>
      </c>
      <c r="BA53" s="22">
        <f>((BA8*Constants!$H66*Constants!$H84*(1-Constants!$H102))+(BA8*Constants!$H66*Constants!$H118))</f>
        <v>-5017973.9393858509</v>
      </c>
      <c r="BB53" s="22">
        <f>((BB8*Constants!$H66*Constants!$H84*(1-Constants!$H102))+(BB8*Constants!$H66*Constants!$H118))</f>
        <v>-4901574.3964313446</v>
      </c>
      <c r="BC53" s="22">
        <f>((BC8*Constants!$H66*Constants!$H84*(1-Constants!$H102))+(BC8*Constants!$H66*Constants!$H118))</f>
        <v>-4787025.9714970617</v>
      </c>
      <c r="BD53" s="22">
        <f>((BD8*Constants!$H66*Constants!$H84*(1-Constants!$H102))+(BD8*Constants!$H66*Constants!$H118))</f>
        <v>-4674231.7129328866</v>
      </c>
      <c r="BE53" s="22">
        <f>((BE8*Constants!$H66*Constants!$H84*(1-Constants!$H102))+(BE8*Constants!$H66*Constants!$H118))</f>
        <v>-4563101.3719363147</v>
      </c>
      <c r="BF53" s="22">
        <f>((BF8*Constants!$H66*Constants!$H84*(1-Constants!$H102))+(BF8*Constants!$H66*Constants!$H118))</f>
        <v>-4453550.7814385267</v>
      </c>
      <c r="BG53" s="22">
        <f>((BG8*Constants!$H66*Constants!$H84*(1-Constants!$H102))+(BG8*Constants!$H66*Constants!$H118))</f>
        <v>-4364730.0339985145</v>
      </c>
      <c r="BH53" s="22">
        <f>((BH8*Constants!$H66*Constants!$H84*(1-Constants!$H102))+(BH8*Constants!$H66*Constants!$H118))</f>
        <v>-4277250.8166700834</v>
      </c>
      <c r="BI53" s="22">
        <f>((BI8*Constants!$H66*Constants!$H84*(1-Constants!$H102))+(BI8*Constants!$H66*Constants!$H118))</f>
        <v>-4191052.3379591247</v>
      </c>
      <c r="BJ53" s="22">
        <f>((BJ8*Constants!$H66*Constants!$H84*(1-Constants!$H102))+(BJ8*Constants!$H66*Constants!$H118))</f>
        <v>-4106077.5872885557</v>
      </c>
      <c r="BK53" s="22">
        <f>((BK8*Constants!$H66*Constants!$H84*(1-Constants!$H102))+(BK8*Constants!$H66*Constants!$H118))</f>
        <v>-4022273.0214978484</v>
      </c>
      <c r="BL53" s="22">
        <f>((BL8*Constants!$H66*Constants!$H84*(1-Constants!$H102))+(BL8*Constants!$H66*Constants!$H118))</f>
        <v>-3936910.8083110177</v>
      </c>
      <c r="BM53" s="22">
        <f>((BM8*Constants!$H66*Constants!$H84*(1-Constants!$H102))+(BM8*Constants!$H66*Constants!$H118))</f>
        <v>-3852722.4344177837</v>
      </c>
      <c r="BN53" s="22">
        <f>((BN8*Constants!$H66*Constants!$H84*(1-Constants!$H102))+(BN8*Constants!$H66*Constants!$H118))</f>
        <v>-3769661.7228044453</v>
      </c>
      <c r="BO53" s="22">
        <f>((BO8*Constants!$H66*Constants!$H84*(1-Constants!$H102))+(BO8*Constants!$H66*Constants!$H118))</f>
        <v>-3687685.0908286963</v>
      </c>
      <c r="BP53" s="22">
        <f>((BP8*Constants!$H66*Constants!$H84*(1-Constants!$H102))+(BP8*Constants!$H66*Constants!$H118))</f>
        <v>-3606751.3563495832</v>
      </c>
    </row>
    <row r="54" spans="1:72" x14ac:dyDescent="0.25">
      <c r="A54" t="str">
        <f t="shared" si="20"/>
        <v>3C Aggregated and non-CO2 emissions on land</v>
      </c>
      <c r="B54" t="str">
        <f t="shared" si="21"/>
        <v>3C4 Direct N2O from managed soils (N2O)</v>
      </c>
      <c r="C54" t="s">
        <v>409</v>
      </c>
      <c r="D54" t="str">
        <f>Constants!D119</f>
        <v xml:space="preserve"> - Subsistence cattle</v>
      </c>
      <c r="E54" t="str">
        <f t="shared" si="23"/>
        <v>MM N available - Subsistence cattle</v>
      </c>
      <c r="F54" t="str">
        <f t="shared" si="24"/>
        <v>kg N</v>
      </c>
      <c r="H54" s="22">
        <f>((H9*Constants!$H67*Constants!$H85*(1-Constants!$H103))+(H9*Constants!$H67*Constants!$H119))</f>
        <v>147147691.68218684</v>
      </c>
      <c r="I54" s="22">
        <f>((I9*Constants!$H67*Constants!$H85*(1-Constants!$H103))+(I9*Constants!$H67*Constants!$H119))</f>
        <v>156124021.4580065</v>
      </c>
      <c r="J54" s="22">
        <f>((J9*Constants!$H67*Constants!$H85*(1-Constants!$H103))+(J9*Constants!$H67*Constants!$H119))</f>
        <v>163497435.2024298</v>
      </c>
      <c r="K54" s="22">
        <f>((K9*Constants!$H67*Constants!$H85*(1-Constants!$H103))+(K9*Constants!$H67*Constants!$H119))</f>
        <v>161573935.96475413</v>
      </c>
      <c r="L54" s="22">
        <f>((L9*Constants!$H67*Constants!$H85*(1-Constants!$H103))+(L9*Constants!$H67*Constants!$H119))</f>
        <v>140736027.55660135</v>
      </c>
      <c r="M54" s="22">
        <f>((M9*Constants!$H67*Constants!$H85*(1-Constants!$H103))+(M9*Constants!$H67*Constants!$H119))</f>
        <v>135927279.46241224</v>
      </c>
      <c r="N54" s="22">
        <f>((N9*Constants!$H67*Constants!$H85*(1-Constants!$H103))+(N9*Constants!$H67*Constants!$H119))</f>
        <v>139774277.93776351</v>
      </c>
      <c r="O54" s="22">
        <f>((O9*Constants!$H67*Constants!$H85*(1-Constants!$H103))+(O9*Constants!$H67*Constants!$H119))</f>
        <v>146185942.06334898</v>
      </c>
      <c r="P54" s="22">
        <f>((P9*Constants!$H67*Constants!$H85*(1-Constants!$H103))+(P9*Constants!$H67*Constants!$H119))</f>
        <v>155162271.8391687</v>
      </c>
      <c r="Q54" s="22">
        <f>((Q9*Constants!$H67*Constants!$H85*(1-Constants!$H103))+(Q9*Constants!$H67*Constants!$H119))</f>
        <v>161573935.96475413</v>
      </c>
      <c r="R54" s="22">
        <f>((R9*Constants!$H67*Constants!$H85*(1-Constants!$H103))+(R9*Constants!$H67*Constants!$H119))</f>
        <v>157726937.48940286</v>
      </c>
      <c r="S54" s="22">
        <f>((S9*Constants!$H67*Constants!$H85*(1-Constants!$H103))+(S9*Constants!$H67*Constants!$H119))</f>
        <v>153879939.01405159</v>
      </c>
      <c r="T54" s="22">
        <f>((T9*Constants!$H67*Constants!$H85*(1-Constants!$H103))+(T9*Constants!$H67*Constants!$H119))</f>
        <v>174397264.2159251</v>
      </c>
      <c r="U54" s="22">
        <f>((U9*Constants!$H67*Constants!$H85*(1-Constants!$H103))+(U9*Constants!$H67*Constants!$H119))</f>
        <v>178564845.89755568</v>
      </c>
      <c r="V54" s="22">
        <f>((V9*Constants!$H67*Constants!$H85*(1-Constants!$H103))+(V9*Constants!$H67*Constants!$H119))</f>
        <v>175679597.04104221</v>
      </c>
      <c r="W54" s="22">
        <f>((W9*Constants!$H67*Constants!$H85*(1-Constants!$H103))+(W9*Constants!$H67*Constants!$H119))</f>
        <v>170550265.74057382</v>
      </c>
      <c r="X54" s="22">
        <f>((X9*Constants!$H67*Constants!$H85*(1-Constants!$H103))+(X9*Constants!$H67*Constants!$H119))</f>
        <v>176000180.24732149</v>
      </c>
      <c r="Y54" s="22">
        <f>((Y9*Constants!$H67*Constants!$H85*(1-Constants!$H103))+(Y9*Constants!$H67*Constants!$H119))</f>
        <v>183053010.78546554</v>
      </c>
      <c r="Z54" s="22">
        <f>((Z9*Constants!$H67*Constants!$H85*(1-Constants!$H103))+(Z9*Constants!$H67*Constants!$H119))</f>
        <v>180167761.92895204</v>
      </c>
      <c r="AA54" s="22">
        <f>((AA9*Constants!$H67*Constants!$H85*(1-Constants!$H103))+(AA9*Constants!$H67*Constants!$H119))</f>
        <v>178244262.6912764</v>
      </c>
      <c r="AB54" s="22">
        <f>((AB9*Constants!$H67*Constants!$H85*(1-Constants!$H103))+(AB9*Constants!$H67*Constants!$H119))</f>
        <v>175679597.04104221</v>
      </c>
      <c r="AC54" s="22">
        <f>((AC9*Constants!$H67*Constants!$H85*(1-Constants!$H103))+(AC9*Constants!$H67*Constants!$H119))</f>
        <v>176961929.86615929</v>
      </c>
      <c r="AD54" s="22">
        <f>((AD9*Constants!$H67*Constants!$H85*(1-Constants!$H103))+(AD9*Constants!$H67*Constants!$H119))</f>
        <v>170783401.88394937</v>
      </c>
      <c r="AE54" s="22">
        <f>((AE9*Constants!$H67*Constants!$H85*(1-Constants!$H103))+(AE9*Constants!$H67*Constants!$H119))</f>
        <v>169651374.71204606</v>
      </c>
      <c r="AF54" s="22">
        <f>((AF9*Constants!$H67*Constants!$H85*(1-Constants!$H103))+(AF9*Constants!$H67*Constants!$H119))</f>
        <v>167264571.2801773</v>
      </c>
      <c r="AG54" s="22">
        <f>((AG9*Constants!$H67*Constants!$H85*(1-Constants!$H103))+(AG9*Constants!$H67*Constants!$H119))</f>
        <v>163241283.33214718</v>
      </c>
      <c r="AH54" s="22">
        <f>((AH9*Constants!$H67*Constants!$H85*(1-Constants!$H103))+(AH9*Constants!$H67*Constants!$H119))</f>
        <v>159337791.77827305</v>
      </c>
      <c r="AI54" s="22">
        <f>((AI9*Constants!$H67*Constants!$H85*(1-Constants!$H103))+(AI9*Constants!$H67*Constants!$H119))</f>
        <v>156335458.89643693</v>
      </c>
      <c r="AJ54" s="22">
        <f>((AJ9*Constants!$H67*Constants!$H85*(1-Constants!$H103))+(AJ9*Constants!$H67*Constants!$H119))</f>
        <v>153619825.69056043</v>
      </c>
      <c r="AK54" s="22">
        <f>((AK9*Constants!$H67*Constants!$H85*(1-Constants!$H103))+(AK9*Constants!$H67*Constants!$H119))</f>
        <v>149350152.58574843</v>
      </c>
      <c r="AL54" s="22">
        <f>((AL9*Constants!$H67*Constants!$H85*(1-Constants!$H103))+(AL9*Constants!$H67*Constants!$H119))</f>
        <v>130989136.48387024</v>
      </c>
      <c r="AM54" s="22">
        <f>((AM9*Constants!$H67*Constants!$H85*(1-Constants!$H103))+(AM9*Constants!$H67*Constants!$H119))</f>
        <v>132237672.9770043</v>
      </c>
      <c r="AN54" s="22">
        <f>((AN9*Constants!$H67*Constants!$H85*(1-Constants!$H103))+(AN9*Constants!$H67*Constants!$H119))</f>
        <v>133082523.64103669</v>
      </c>
      <c r="AO54" s="22">
        <f>((AO9*Constants!$H67*Constants!$H85*(1-Constants!$H103))+(AO9*Constants!$H67*Constants!$H119))</f>
        <v>133899894.94202854</v>
      </c>
      <c r="AP54" s="22">
        <f>((AP9*Constants!$H67*Constants!$H85*(1-Constants!$H103))+(AP9*Constants!$H67*Constants!$H119))</f>
        <v>135251630.47529089</v>
      </c>
      <c r="AQ54" s="22">
        <f>((AQ9*Constants!$H67*Constants!$H85*(1-Constants!$H103))+(AQ9*Constants!$H67*Constants!$H119))</f>
        <v>136558816.12340832</v>
      </c>
      <c r="AR54" s="22">
        <f>((AR9*Constants!$H67*Constants!$H85*(1-Constants!$H103))+(AR9*Constants!$H67*Constants!$H119))</f>
        <v>137931164.83976537</v>
      </c>
      <c r="AS54" s="22">
        <f>((AS9*Constants!$H67*Constants!$H85*(1-Constants!$H103))+(AS9*Constants!$H67*Constants!$H119))</f>
        <v>139125915.77258879</v>
      </c>
      <c r="AT54" s="22">
        <f>((AT9*Constants!$H67*Constants!$H85*(1-Constants!$H103))+(AT9*Constants!$H67*Constants!$H119))</f>
        <v>140485704.34552196</v>
      </c>
      <c r="AU54" s="22">
        <f>((AU9*Constants!$H67*Constants!$H85*(1-Constants!$H103))+(AU9*Constants!$H67*Constants!$H119))</f>
        <v>141549784.97600061</v>
      </c>
      <c r="AV54" s="22">
        <f>((AV9*Constants!$H67*Constants!$H85*(1-Constants!$H103))+(AV9*Constants!$H67*Constants!$H119))</f>
        <v>142643062.19162646</v>
      </c>
      <c r="AW54" s="22">
        <f>((AW9*Constants!$H67*Constants!$H85*(1-Constants!$H103))+(AW9*Constants!$H67*Constants!$H119))</f>
        <v>143152270.73080003</v>
      </c>
      <c r="AX54" s="22">
        <f>((AX9*Constants!$H67*Constants!$H85*(1-Constants!$H103))+(AX9*Constants!$H67*Constants!$H119))</f>
        <v>143850498.94995236</v>
      </c>
      <c r="AY54" s="22">
        <f>((AY9*Constants!$H67*Constants!$H85*(1-Constants!$H103))+(AY9*Constants!$H67*Constants!$H119))</f>
        <v>144546032.45142949</v>
      </c>
      <c r="AZ54" s="22">
        <f>((AZ9*Constants!$H67*Constants!$H85*(1-Constants!$H103))+(AZ9*Constants!$H67*Constants!$H119))</f>
        <v>141480501.31714675</v>
      </c>
      <c r="BA54" s="22">
        <f>((BA9*Constants!$H67*Constants!$H85*(1-Constants!$H103))+(BA9*Constants!$H67*Constants!$H119))</f>
        <v>-33373293.348132104</v>
      </c>
      <c r="BB54" s="22">
        <f>((BB9*Constants!$H67*Constants!$H85*(1-Constants!$H103))+(BB9*Constants!$H67*Constants!$H119))</f>
        <v>-32599149.01427678</v>
      </c>
      <c r="BC54" s="22">
        <f>((BC9*Constants!$H67*Constants!$H85*(1-Constants!$H103))+(BC9*Constants!$H67*Constants!$H119))</f>
        <v>-31837316.004764136</v>
      </c>
      <c r="BD54" s="22">
        <f>((BD9*Constants!$H67*Constants!$H85*(1-Constants!$H103))+(BD9*Constants!$H67*Constants!$H119))</f>
        <v>-31087149.518345919</v>
      </c>
      <c r="BE54" s="22">
        <f>((BE9*Constants!$H67*Constants!$H85*(1-Constants!$H103))+(BE9*Constants!$H67*Constants!$H119))</f>
        <v>-30348049.332741842</v>
      </c>
      <c r="BF54" s="22">
        <f>((BF9*Constants!$H67*Constants!$H85*(1-Constants!$H103))+(BF9*Constants!$H67*Constants!$H119))</f>
        <v>-29619455.673765756</v>
      </c>
      <c r="BG54" s="22">
        <f>((BG9*Constants!$H67*Constants!$H85*(1-Constants!$H103))+(BG9*Constants!$H67*Constants!$H119))</f>
        <v>-29028731.031604961</v>
      </c>
      <c r="BH54" s="22">
        <f>((BH9*Constants!$H67*Constants!$H85*(1-Constants!$H103))+(BH9*Constants!$H67*Constants!$H119))</f>
        <v>-28446928.571681459</v>
      </c>
      <c r="BI54" s="22">
        <f>((BI9*Constants!$H67*Constants!$H85*(1-Constants!$H103))+(BI9*Constants!$H67*Constants!$H119))</f>
        <v>-27873643.984927379</v>
      </c>
      <c r="BJ54" s="22">
        <f>((BJ9*Constants!$H67*Constants!$H85*(1-Constants!$H103))+(BJ9*Constants!$H67*Constants!$H119))</f>
        <v>-27308498.108211171</v>
      </c>
      <c r="BK54" s="22">
        <f>((BK9*Constants!$H67*Constants!$H85*(1-Constants!$H103))+(BK9*Constants!$H67*Constants!$H119))</f>
        <v>-26751134.839324124</v>
      </c>
      <c r="BL54" s="22">
        <f>((BL9*Constants!$H67*Constants!$H85*(1-Constants!$H103))+(BL9*Constants!$H67*Constants!$H119))</f>
        <v>-26183412.046033055</v>
      </c>
      <c r="BM54" s="22">
        <f>((BM9*Constants!$H67*Constants!$H85*(1-Constants!$H103))+(BM9*Constants!$H67*Constants!$H119))</f>
        <v>-25623496.165165618</v>
      </c>
      <c r="BN54" s="22">
        <f>((BN9*Constants!$H67*Constants!$H85*(1-Constants!$H103))+(BN9*Constants!$H67*Constants!$H119))</f>
        <v>-25071080.084918734</v>
      </c>
      <c r="BO54" s="22">
        <f>((BO9*Constants!$H67*Constants!$H85*(1-Constants!$H103))+(BO9*Constants!$H67*Constants!$H119))</f>
        <v>-24525873.948006548</v>
      </c>
      <c r="BP54" s="22">
        <f>((BP9*Constants!$H67*Constants!$H85*(1-Constants!$H103))+(BP9*Constants!$H67*Constants!$H119))</f>
        <v>-23987603.86227911</v>
      </c>
    </row>
    <row r="55" spans="1:72" x14ac:dyDescent="0.25">
      <c r="A55" t="str">
        <f t="shared" si="20"/>
        <v>3C Aggregated and non-CO2 emissions on land</v>
      </c>
      <c r="B55" t="str">
        <f t="shared" si="21"/>
        <v>3C4 Direct N2O from managed soils (N2O)</v>
      </c>
      <c r="C55" t="s">
        <v>409</v>
      </c>
      <c r="D55" t="str">
        <f>Constants!D120</f>
        <v xml:space="preserve"> - Feedlot</v>
      </c>
      <c r="E55" t="str">
        <f t="shared" si="23"/>
        <v>MM N available - Feedlot</v>
      </c>
      <c r="F55" t="str">
        <f t="shared" si="24"/>
        <v>kg N</v>
      </c>
      <c r="H55" s="22">
        <f>((H10*Constants!$H68*Constants!$H86*(1-Constants!$H104))+(H10*Constants!$H68*Constants!$H120))</f>
        <v>16959658.715999998</v>
      </c>
      <c r="I55" s="22">
        <f>((I10*Constants!$H68*Constants!$H86*(1-Constants!$H104))+(I10*Constants!$H68*Constants!$H120))</f>
        <v>16959658.715999998</v>
      </c>
      <c r="J55" s="22">
        <f>((J10*Constants!$H68*Constants!$H86*(1-Constants!$H104))+(J10*Constants!$H68*Constants!$H120))</f>
        <v>16959658.715999998</v>
      </c>
      <c r="K55" s="22">
        <f>((K10*Constants!$H68*Constants!$H86*(1-Constants!$H104))+(K10*Constants!$H68*Constants!$H120))</f>
        <v>16959658.715999998</v>
      </c>
      <c r="L55" s="22">
        <f>((L10*Constants!$H68*Constants!$H86*(1-Constants!$H104))+(L10*Constants!$H68*Constants!$H120))</f>
        <v>16959658.715999998</v>
      </c>
      <c r="M55" s="22">
        <f>((M10*Constants!$H68*Constants!$H86*(1-Constants!$H104))+(M10*Constants!$H68*Constants!$H120))</f>
        <v>16959658.715999998</v>
      </c>
      <c r="N55" s="22">
        <f>((N10*Constants!$H68*Constants!$H86*(1-Constants!$H104))+(N10*Constants!$H68*Constants!$H120))</f>
        <v>16959658.715999998</v>
      </c>
      <c r="O55" s="22">
        <f>((O10*Constants!$H68*Constants!$H86*(1-Constants!$H104))+(O10*Constants!$H68*Constants!$H120))</f>
        <v>16959658.715999998</v>
      </c>
      <c r="P55" s="22">
        <f>((P10*Constants!$H68*Constants!$H86*(1-Constants!$H104))+(P10*Constants!$H68*Constants!$H120))</f>
        <v>16959658.715999998</v>
      </c>
      <c r="Q55" s="22">
        <f>((Q10*Constants!$H68*Constants!$H86*(1-Constants!$H104))+(Q10*Constants!$H68*Constants!$H120))</f>
        <v>16959658.715999998</v>
      </c>
      <c r="R55" s="22">
        <f>((R10*Constants!$H68*Constants!$H86*(1-Constants!$H104))+(R10*Constants!$H68*Constants!$H120))</f>
        <v>16959658.715999998</v>
      </c>
      <c r="S55" s="22">
        <f>((S10*Constants!$H68*Constants!$H86*(1-Constants!$H104))+(S10*Constants!$H68*Constants!$H120))</f>
        <v>16959658.715999998</v>
      </c>
      <c r="T55" s="22">
        <f>((T10*Constants!$H68*Constants!$H86*(1-Constants!$H104))+(T10*Constants!$H68*Constants!$H120))</f>
        <v>16959658.715999998</v>
      </c>
      <c r="U55" s="22">
        <f>((U10*Constants!$H68*Constants!$H86*(1-Constants!$H104))+(U10*Constants!$H68*Constants!$H120))</f>
        <v>16959658.715999998</v>
      </c>
      <c r="V55" s="22">
        <f>((V10*Constants!$H68*Constants!$H86*(1-Constants!$H104))+(V10*Constants!$H68*Constants!$H120))</f>
        <v>16959658.715999998</v>
      </c>
      <c r="W55" s="22">
        <f>((W10*Constants!$H68*Constants!$H86*(1-Constants!$H104))+(W10*Constants!$H68*Constants!$H120))</f>
        <v>16959658.715999998</v>
      </c>
      <c r="X55" s="22">
        <f>((X10*Constants!$H68*Constants!$H86*(1-Constants!$H104))+(X10*Constants!$H68*Constants!$H120))</f>
        <v>16959658.715999998</v>
      </c>
      <c r="Y55" s="22">
        <f>((Y10*Constants!$H68*Constants!$H86*(1-Constants!$H104))+(Y10*Constants!$H68*Constants!$H120))</f>
        <v>16959658.715999998</v>
      </c>
      <c r="Z55" s="22">
        <f>((Z10*Constants!$H68*Constants!$H86*(1-Constants!$H104))+(Z10*Constants!$H68*Constants!$H120))</f>
        <v>15794600.827455448</v>
      </c>
      <c r="AA55" s="22">
        <f>((AA10*Constants!$H68*Constants!$H86*(1-Constants!$H104))+(AA10*Constants!$H68*Constants!$H120))</f>
        <v>16185144.079554448</v>
      </c>
      <c r="AB55" s="22">
        <f>((AB10*Constants!$H68*Constants!$H86*(1-Constants!$H104))+(AB10*Constants!$H68*Constants!$H120))</f>
        <v>16144881.715162199</v>
      </c>
      <c r="AC55" s="22">
        <f>((AC10*Constants!$H68*Constants!$H86*(1-Constants!$H104))+(AC10*Constants!$H68*Constants!$H120))</f>
        <v>18647555.2896633</v>
      </c>
      <c r="AD55" s="22">
        <f>((AD10*Constants!$H68*Constants!$H86*(1-Constants!$H104))+(AD10*Constants!$H68*Constants!$H120))</f>
        <v>21983975.651970763</v>
      </c>
      <c r="AE55" s="22">
        <f>((AE10*Constants!$H68*Constants!$H86*(1-Constants!$H104))+(AE10*Constants!$H68*Constants!$H120))</f>
        <v>22766938.78181861</v>
      </c>
      <c r="AF55" s="22">
        <f>((AF10*Constants!$H68*Constants!$H86*(1-Constants!$H104))+(AF10*Constants!$H68*Constants!$H120))</f>
        <v>23388398.275787514</v>
      </c>
      <c r="AG55" s="22">
        <f>((AG10*Constants!$H68*Constants!$H86*(1-Constants!$H104))+(AG10*Constants!$H68*Constants!$H120))</f>
        <v>23772715.285524514</v>
      </c>
      <c r="AH55" s="22">
        <f>((AH10*Constants!$H68*Constants!$H86*(1-Constants!$H104))+(AH10*Constants!$H68*Constants!$H120))</f>
        <v>24157834.582589004</v>
      </c>
      <c r="AI55" s="22">
        <f>((AI10*Constants!$H68*Constants!$H86*(1-Constants!$H104))+(AI10*Constants!$H68*Constants!$H120))</f>
        <v>24669266.658463664</v>
      </c>
      <c r="AJ55" s="22">
        <f>((AJ10*Constants!$H68*Constants!$H86*(1-Constants!$H104))+(AJ10*Constants!$H68*Constants!$H120))</f>
        <v>25223323.435094729</v>
      </c>
      <c r="AK55" s="22">
        <f>((AK10*Constants!$H68*Constants!$H86*(1-Constants!$H104))+(AK10*Constants!$H68*Constants!$H120))</f>
        <v>25511661.127178136</v>
      </c>
      <c r="AL55" s="22">
        <f>((AL10*Constants!$H68*Constants!$H86*(1-Constants!$H104))+(AL10*Constants!$H68*Constants!$H120))</f>
        <v>23275067.071273711</v>
      </c>
      <c r="AM55" s="22">
        <f>((AM10*Constants!$H68*Constants!$H86*(1-Constants!$H104))+(AM10*Constants!$H68*Constants!$H120))</f>
        <v>24058428.419421725</v>
      </c>
      <c r="AN55" s="22">
        <f>((AN10*Constants!$H68*Constants!$H86*(1-Constants!$H104))+(AN10*Constants!$H68*Constants!$H120))</f>
        <v>24782803.120072369</v>
      </c>
      <c r="AO55" s="22">
        <f>((AO10*Constants!$H68*Constants!$H86*(1-Constants!$H104))+(AO10*Constants!$H68*Constants!$H120))</f>
        <v>25515261.358635258</v>
      </c>
      <c r="AP55" s="22">
        <f>((AP10*Constants!$H68*Constants!$H86*(1-Constants!$H104))+(AP10*Constants!$H68*Constants!$H120))</f>
        <v>26365534.475639861</v>
      </c>
      <c r="AQ55" s="22">
        <f>((AQ10*Constants!$H68*Constants!$H86*(1-Constants!$H104))+(AQ10*Constants!$H68*Constants!$H120))</f>
        <v>27225871.54430256</v>
      </c>
      <c r="AR55" s="22">
        <f>((AR10*Constants!$H68*Constants!$H86*(1-Constants!$H104))+(AR10*Constants!$H68*Constants!$H120))</f>
        <v>28118684.353462569</v>
      </c>
      <c r="AS55" s="22">
        <f>((AS10*Constants!$H68*Constants!$H86*(1-Constants!$H104))+(AS10*Constants!$H68*Constants!$H120))</f>
        <v>28994913.548589975</v>
      </c>
      <c r="AT55" s="22">
        <f>((AT10*Constants!$H68*Constants!$H86*(1-Constants!$H104))+(AT10*Constants!$H68*Constants!$H120))</f>
        <v>29925756.130934574</v>
      </c>
      <c r="AU55" s="22">
        <f>((AU10*Constants!$H68*Constants!$H86*(1-Constants!$H104))+(AU10*Constants!$H68*Constants!$H120))</f>
        <v>30813869.037528343</v>
      </c>
      <c r="AV55" s="22">
        <f>((AV10*Constants!$H68*Constants!$H86*(1-Constants!$H104))+(AV10*Constants!$H68*Constants!$H120))</f>
        <v>31728002.618949197</v>
      </c>
      <c r="AW55" s="22">
        <f>((AW10*Constants!$H68*Constants!$H86*(1-Constants!$H104))+(AW10*Constants!$H68*Constants!$H120))</f>
        <v>32891640.275178481</v>
      </c>
      <c r="AX55" s="22">
        <f>((AX10*Constants!$H68*Constants!$H86*(1-Constants!$H104))+(AX10*Constants!$H68*Constants!$H120))</f>
        <v>34144537.197932027</v>
      </c>
      <c r="AY55" s="22">
        <f>((AY10*Constants!$H68*Constants!$H86*(1-Constants!$H104))+(AY10*Constants!$H68*Constants!$H120))</f>
        <v>35446622.71935004</v>
      </c>
      <c r="AZ55" s="22">
        <f>((AZ10*Constants!$H68*Constants!$H86*(1-Constants!$H104))+(AZ10*Constants!$H68*Constants!$H120))</f>
        <v>35848349.045619741</v>
      </c>
      <c r="BA55" s="22">
        <f>((BA10*Constants!$H68*Constants!$H86*(1-Constants!$H104))+(BA10*Constants!$H68*Constants!$H120))</f>
        <v>-8738347.241690699</v>
      </c>
      <c r="BB55" s="22">
        <f>((BB10*Constants!$H68*Constants!$H86*(1-Constants!$H104))+(BB10*Constants!$H68*Constants!$H120))</f>
        <v>-8821788.7530239522</v>
      </c>
      <c r="BC55" s="22">
        <f>((BC10*Constants!$H68*Constants!$H86*(1-Constants!$H104))+(BC10*Constants!$H68*Constants!$H120))</f>
        <v>-8905908.6980096772</v>
      </c>
      <c r="BD55" s="22">
        <f>((BD10*Constants!$H68*Constants!$H86*(1-Constants!$H104))+(BD10*Constants!$H68*Constants!$H120))</f>
        <v>-8990713.4970511496</v>
      </c>
      <c r="BE55" s="22">
        <f>((BE10*Constants!$H68*Constants!$H86*(1-Constants!$H104))+(BE10*Constants!$H68*Constants!$H120))</f>
        <v>-9076209.628197616</v>
      </c>
      <c r="BF55" s="22">
        <f>((BF10*Constants!$H68*Constants!$H86*(1-Constants!$H104))+(BF10*Constants!$H68*Constants!$H120))</f>
        <v>-9162403.6276442297</v>
      </c>
      <c r="BG55" s="22">
        <f>((BG10*Constants!$H68*Constants!$H86*(1-Constants!$H104))+(BG10*Constants!$H68*Constants!$H120))</f>
        <v>-9231575.121824244</v>
      </c>
      <c r="BH55" s="22">
        <f>((BH10*Constants!$H68*Constants!$H86*(1-Constants!$H104))+(BH10*Constants!$H68*Constants!$H120))</f>
        <v>-9301223.7598164901</v>
      </c>
      <c r="BI55" s="22">
        <f>((BI10*Constants!$H68*Constants!$H86*(1-Constants!$H104))+(BI10*Constants!$H68*Constants!$H120))</f>
        <v>-9371353.3179324549</v>
      </c>
      <c r="BJ55" s="22">
        <f>((BJ10*Constants!$H68*Constants!$H86*(1-Constants!$H104))+(BJ10*Constants!$H68*Constants!$H120))</f>
        <v>-9441967.6009863</v>
      </c>
      <c r="BK55" s="22">
        <f>((BK10*Constants!$H68*Constants!$H86*(1-Constants!$H104))+(BK10*Constants!$H68*Constants!$H120))</f>
        <v>-9513070.4425032511</v>
      </c>
      <c r="BL55" s="22">
        <f>((BL10*Constants!$H68*Constants!$H86*(1-Constants!$H104))+(BL10*Constants!$H68*Constants!$H120))</f>
        <v>-9578151.6477864403</v>
      </c>
      <c r="BM55" s="22">
        <f>((BM10*Constants!$H68*Constants!$H86*(1-Constants!$H104))+(BM10*Constants!$H68*Constants!$H120))</f>
        <v>-9643607.403282145</v>
      </c>
      <c r="BN55" s="22">
        <f>((BN10*Constants!$H68*Constants!$H86*(1-Constants!$H104))+(BN10*Constants!$H68*Constants!$H120))</f>
        <v>-9709440.186733596</v>
      </c>
      <c r="BO55" s="22">
        <f>((BO10*Constants!$H68*Constants!$H86*(1-Constants!$H104))+(BO10*Constants!$H68*Constants!$H120))</f>
        <v>-9775652.4914204478</v>
      </c>
      <c r="BP55" s="22">
        <f>((BP10*Constants!$H68*Constants!$H86*(1-Constants!$H104))+(BP10*Constants!$H68*Constants!$H120))</f>
        <v>-9842246.8262528088</v>
      </c>
    </row>
    <row r="56" spans="1:72" x14ac:dyDescent="0.25">
      <c r="A56" t="str">
        <f t="shared" si="20"/>
        <v>3C Aggregated and non-CO2 emissions on land</v>
      </c>
      <c r="B56" t="str">
        <f t="shared" si="21"/>
        <v>3C4 Direct N2O from managed soils (N2O)</v>
      </c>
      <c r="C56" t="s">
        <v>409</v>
      </c>
      <c r="D56" t="str">
        <f>Constants!D121</f>
        <v xml:space="preserve"> - Commercial sheep</v>
      </c>
      <c r="E56" t="str">
        <f t="shared" si="23"/>
        <v>MM N available - Commercial sheep</v>
      </c>
      <c r="F56" t="str">
        <f t="shared" si="24"/>
        <v>kg N</v>
      </c>
      <c r="H56" s="22">
        <f>((H11*Constants!$H69*Constants!$H87*(1-Constants!$H105))+(H11*Constants!$H69*Constants!$H121))</f>
        <v>5854027.4791245274</v>
      </c>
      <c r="I56" s="22">
        <f>((I11*Constants!$H69*Constants!$H87*(1-Constants!$H105))+(I11*Constants!$H69*Constants!$H121))</f>
        <v>5590802.2534045279</v>
      </c>
      <c r="J56" s="22">
        <f>((J11*Constants!$H69*Constants!$H87*(1-Constants!$H105))+(J11*Constants!$H69*Constants!$H121))</f>
        <v>5359796.7326131631</v>
      </c>
      <c r="K56" s="22">
        <f>((K11*Constants!$H69*Constants!$H87*(1-Constants!$H105))+(K11*Constants!$H69*Constants!$H121))</f>
        <v>5012605.003139752</v>
      </c>
      <c r="L56" s="22">
        <f>((L11*Constants!$H69*Constants!$H87*(1-Constants!$H105))+(L11*Constants!$H69*Constants!$H121))</f>
        <v>5047949.0430917693</v>
      </c>
      <c r="M56" s="22">
        <f>((M11*Constants!$H69*Constants!$H87*(1-Constants!$H105))+(M11*Constants!$H69*Constants!$H121))</f>
        <v>4975698.7956760423</v>
      </c>
      <c r="N56" s="22">
        <f>((N11*Constants!$H69*Constants!$H87*(1-Constants!$H105))+(N11*Constants!$H69*Constants!$H121))</f>
        <v>4992296.8254877636</v>
      </c>
      <c r="O56" s="22">
        <f>((O11*Constants!$H69*Constants!$H87*(1-Constants!$H105))+(O11*Constants!$H69*Constants!$H121))</f>
        <v>4883726.1834252123</v>
      </c>
      <c r="P56" s="22">
        <f>((P11*Constants!$H69*Constants!$H87*(1-Constants!$H105))+(P11*Constants!$H69*Constants!$H121))</f>
        <v>4897199.8782135509</v>
      </c>
      <c r="Q56" s="22">
        <f>((Q11*Constants!$H69*Constants!$H87*(1-Constants!$H105))+(Q11*Constants!$H69*Constants!$H121))</f>
        <v>4776912.9798133131</v>
      </c>
      <c r="R56" s="22">
        <f>((R11*Constants!$H69*Constants!$H87*(1-Constants!$H105))+(R11*Constants!$H69*Constants!$H121))</f>
        <v>4605660.3663441446</v>
      </c>
      <c r="S56" s="22">
        <f>((S11*Constants!$H69*Constants!$H87*(1-Constants!$H105))+(S11*Constants!$H69*Constants!$H121))</f>
        <v>4490841.0542348269</v>
      </c>
      <c r="T56" s="22">
        <f>((T11*Constants!$H69*Constants!$H87*(1-Constants!$H105))+(T11*Constants!$H69*Constants!$H121))</f>
        <v>4415857.0136736408</v>
      </c>
      <c r="U56" s="22">
        <f>((U11*Constants!$H69*Constants!$H87*(1-Constants!$H105))+(U11*Constants!$H69*Constants!$H121))</f>
        <v>4431283.4178515924</v>
      </c>
      <c r="V56" s="22">
        <f>((V11*Constants!$H69*Constants!$H87*(1-Constants!$H105))+(V11*Constants!$H69*Constants!$H121))</f>
        <v>4352393.9585111775</v>
      </c>
      <c r="W56" s="22">
        <f>((W11*Constants!$H69*Constants!$H87*(1-Constants!$H105))+(W11*Constants!$H69*Constants!$H121))</f>
        <v>4342044.5987462224</v>
      </c>
      <c r="X56" s="22">
        <f>((X11*Constants!$H69*Constants!$H87*(1-Constants!$H105))+(X11*Constants!$H69*Constants!$H121))</f>
        <v>4285220.7555084471</v>
      </c>
      <c r="Y56" s="22">
        <f>((Y11*Constants!$H69*Constants!$H87*(1-Constants!$H105))+(Y11*Constants!$H69*Constants!$H121))</f>
        <v>4281120.0657902574</v>
      </c>
      <c r="Z56" s="22">
        <f>((Z11*Constants!$H69*Constants!$H87*(1-Constants!$H105))+(Z11*Constants!$H69*Constants!$H121))</f>
        <v>4294984.3024565196</v>
      </c>
      <c r="AA56" s="22">
        <f>((AA11*Constants!$H69*Constants!$H87*(1-Constants!$H105))+(AA11*Constants!$H69*Constants!$H121))</f>
        <v>4279753.1692175278</v>
      </c>
      <c r="AB56" s="22">
        <f>((AB11*Constants!$H69*Constants!$H87*(1-Constants!$H105))+(AB11*Constants!$H69*Constants!$H121))</f>
        <v>4196958.2910978841</v>
      </c>
      <c r="AC56" s="22">
        <f>((AC11*Constants!$H69*Constants!$H87*(1-Constants!$H105))+(AC11*Constants!$H69*Constants!$H121))</f>
        <v>4164152.7733523645</v>
      </c>
      <c r="AD56" s="22">
        <f>((AD11*Constants!$H69*Constants!$H87*(1-Constants!$H105))+(AD11*Constants!$H69*Constants!$H121))</f>
        <v>3713726.7037384682</v>
      </c>
      <c r="AE56" s="22">
        <f>((AE11*Constants!$H69*Constants!$H87*(1-Constants!$H105))+(AE11*Constants!$H69*Constants!$H121))</f>
        <v>3715754.7381350752</v>
      </c>
      <c r="AF56" s="22">
        <f>((AF11*Constants!$H69*Constants!$H87*(1-Constants!$H105))+(AF11*Constants!$H69*Constants!$H121))</f>
        <v>3720295.8967214758</v>
      </c>
      <c r="AG56" s="22">
        <f>((AG11*Constants!$H69*Constants!$H87*(1-Constants!$H105))+(AG11*Constants!$H69*Constants!$H121))</f>
        <v>3727131.2937541422</v>
      </c>
      <c r="AH56" s="22">
        <f>((AH11*Constants!$H69*Constants!$H87*(1-Constants!$H105))+(AH11*Constants!$H69*Constants!$H121))</f>
        <v>3736352.3814562527</v>
      </c>
      <c r="AI56" s="22">
        <f>((AI11*Constants!$H69*Constants!$H87*(1-Constants!$H105))+(AI11*Constants!$H69*Constants!$H121))</f>
        <v>3747968.9442954171</v>
      </c>
      <c r="AJ56" s="22">
        <f>((AJ11*Constants!$H69*Constants!$H87*(1-Constants!$H105))+(AJ11*Constants!$H69*Constants!$H121))</f>
        <v>3760909.3243818409</v>
      </c>
      <c r="AK56" s="22">
        <f>((AK11*Constants!$H69*Constants!$H87*(1-Constants!$H105))+(AK11*Constants!$H69*Constants!$H121))</f>
        <v>3774933.7513790531</v>
      </c>
      <c r="AL56" s="22">
        <f>((AL11*Constants!$H69*Constants!$H87*(1-Constants!$H105))+(AL11*Constants!$H69*Constants!$H121))</f>
        <v>3788112.6735530319</v>
      </c>
      <c r="AM56" s="22">
        <f>((AM11*Constants!$H69*Constants!$H87*(1-Constants!$H105))+(AM11*Constants!$H69*Constants!$H121))</f>
        <v>3793617.7645462151</v>
      </c>
      <c r="AN56" s="22">
        <f>((AN11*Constants!$H69*Constants!$H87*(1-Constants!$H105))+(AN11*Constants!$H69*Constants!$H121))</f>
        <v>3800005.7497892417</v>
      </c>
      <c r="AO56" s="22">
        <f>((AO11*Constants!$H69*Constants!$H87*(1-Constants!$H105))+(AO11*Constants!$H69*Constants!$H121))</f>
        <v>3807275.3194677359</v>
      </c>
      <c r="AP56" s="22">
        <f>((AP11*Constants!$H69*Constants!$H87*(1-Constants!$H105))+(AP11*Constants!$H69*Constants!$H121))</f>
        <v>3815464.1380766486</v>
      </c>
      <c r="AQ56" s="22">
        <f>((AQ11*Constants!$H69*Constants!$H87*(1-Constants!$H105))+(AQ11*Constants!$H69*Constants!$H121))</f>
        <v>3824440.9266782589</v>
      </c>
      <c r="AR56" s="22">
        <f>((AR11*Constants!$H69*Constants!$H87*(1-Constants!$H105))+(AR11*Constants!$H69*Constants!$H121))</f>
        <v>3829966.8246642891</v>
      </c>
      <c r="AS56" s="22">
        <f>((AS11*Constants!$H69*Constants!$H87*(1-Constants!$H105))+(AS11*Constants!$H69*Constants!$H121))</f>
        <v>3836139.3668096182</v>
      </c>
      <c r="AT56" s="22">
        <f>((AT11*Constants!$H69*Constants!$H87*(1-Constants!$H105))+(AT11*Constants!$H69*Constants!$H121))</f>
        <v>3842980.9529325911</v>
      </c>
      <c r="AU56" s="22">
        <f>((AU11*Constants!$H69*Constants!$H87*(1-Constants!$H105))+(AU11*Constants!$H69*Constants!$H121))</f>
        <v>3850386.4661197667</v>
      </c>
      <c r="AV56" s="22">
        <f>((AV11*Constants!$H69*Constants!$H87*(1-Constants!$H105))+(AV11*Constants!$H69*Constants!$H121))</f>
        <v>3858382.3854634017</v>
      </c>
      <c r="AW56" s="22">
        <f>((AW11*Constants!$H69*Constants!$H87*(1-Constants!$H105))+(AW11*Constants!$H69*Constants!$H121))</f>
        <v>3863646.2481594426</v>
      </c>
      <c r="AX56" s="22">
        <f>((AX11*Constants!$H69*Constants!$H87*(1-Constants!$H105))+(AX11*Constants!$H69*Constants!$H121))</f>
        <v>3869463.788029064</v>
      </c>
      <c r="AY56" s="22">
        <f>((AY11*Constants!$H69*Constants!$H87*(1-Constants!$H105))+(AY11*Constants!$H69*Constants!$H121))</f>
        <v>3875782.6850314927</v>
      </c>
      <c r="AZ56" s="22">
        <f>((AZ11*Constants!$H69*Constants!$H87*(1-Constants!$H105))+(AZ11*Constants!$H69*Constants!$H121))</f>
        <v>3881887.5454515414</v>
      </c>
      <c r="BA56" s="22">
        <f>((BA11*Constants!$H69*Constants!$H87*(1-Constants!$H105))+(BA11*Constants!$H69*Constants!$H121))</f>
        <v>3855787.4392063315</v>
      </c>
      <c r="BB56" s="22">
        <f>((BB11*Constants!$H69*Constants!$H87*(1-Constants!$H105))+(BB11*Constants!$H69*Constants!$H121))</f>
        <v>3859494.0669767587</v>
      </c>
      <c r="BC56" s="22">
        <f>((BC11*Constants!$H69*Constants!$H87*(1-Constants!$H105))+(BC11*Constants!$H69*Constants!$H121))</f>
        <v>3863584.3490817756</v>
      </c>
      <c r="BD56" s="22">
        <f>((BD11*Constants!$H69*Constants!$H87*(1-Constants!$H105))+(BD11*Constants!$H69*Constants!$H121))</f>
        <v>3868043.791382506</v>
      </c>
      <c r="BE56" s="22">
        <f>((BE11*Constants!$H69*Constants!$H87*(1-Constants!$H105))+(BE11*Constants!$H69*Constants!$H121))</f>
        <v>3872859.0200467859</v>
      </c>
      <c r="BF56" s="22">
        <f>((BF11*Constants!$H69*Constants!$H87*(1-Constants!$H105))+(BF11*Constants!$H69*Constants!$H121))</f>
        <v>3878017.6752405372</v>
      </c>
      <c r="BG56" s="22">
        <f>((BG11*Constants!$H69*Constants!$H87*(1-Constants!$H105))+(BG11*Constants!$H69*Constants!$H121))</f>
        <v>3880521.1752845258</v>
      </c>
      <c r="BH56" s="22">
        <f>((BH11*Constants!$H69*Constants!$H87*(1-Constants!$H105))+(BH11*Constants!$H69*Constants!$H121))</f>
        <v>3883327.2559692212</v>
      </c>
      <c r="BI56" s="22">
        <f>((BI11*Constants!$H69*Constants!$H87*(1-Constants!$H105))+(BI11*Constants!$H69*Constants!$H121))</f>
        <v>3886425.3867749069</v>
      </c>
      <c r="BJ56" s="22">
        <f>((BJ11*Constants!$H69*Constants!$H87*(1-Constants!$H105))+(BJ11*Constants!$H69*Constants!$H121))</f>
        <v>3889805.7579294723</v>
      </c>
      <c r="BK56" s="22">
        <f>((BK11*Constants!$H69*Constants!$H87*(1-Constants!$H105))+(BK11*Constants!$H69*Constants!$H121))</f>
        <v>3893459.2191773844</v>
      </c>
      <c r="BL56" s="22">
        <f>((BL11*Constants!$H69*Constants!$H87*(1-Constants!$H105))+(BL11*Constants!$H69*Constants!$H121))</f>
        <v>3894360.483625744</v>
      </c>
      <c r="BM56" s="22">
        <f>((BM11*Constants!$H69*Constants!$H87*(1-Constants!$H105))+(BM11*Constants!$H69*Constants!$H121))</f>
        <v>3895504.1154070995</v>
      </c>
      <c r="BN56" s="22">
        <f>((BN11*Constants!$H69*Constants!$H87*(1-Constants!$H105))+(BN11*Constants!$H69*Constants!$H121))</f>
        <v>3896882.0873199245</v>
      </c>
      <c r="BO56" s="22">
        <f>((BO11*Constants!$H69*Constants!$H87*(1-Constants!$H105))+(BO11*Constants!$H69*Constants!$H121))</f>
        <v>3898486.8623385238</v>
      </c>
      <c r="BP56" s="22">
        <f>((BP11*Constants!$H69*Constants!$H87*(1-Constants!$H105))+(BP11*Constants!$H69*Constants!$H121))</f>
        <v>3900311.3559177192</v>
      </c>
    </row>
    <row r="57" spans="1:72" x14ac:dyDescent="0.25">
      <c r="A57" t="str">
        <f t="shared" si="20"/>
        <v>3C Aggregated and non-CO2 emissions on land</v>
      </c>
      <c r="B57" t="str">
        <f t="shared" si="21"/>
        <v>3C4 Direct N2O from managed soils (N2O)</v>
      </c>
      <c r="C57" t="s">
        <v>409</v>
      </c>
      <c r="D57" t="str">
        <f>Constants!D122</f>
        <v xml:space="preserve"> - Subsistence sheep</v>
      </c>
      <c r="E57" t="str">
        <f t="shared" si="23"/>
        <v>MM N available - Subsistence sheep</v>
      </c>
      <c r="F57" t="str">
        <f t="shared" si="24"/>
        <v>kg N</v>
      </c>
      <c r="H57" s="22">
        <f>((H12*Constants!$H70*Constants!$H88*(1-Constants!$H106))+(H12*Constants!$H70*Constants!$H122))</f>
        <v>4449823.866729687</v>
      </c>
      <c r="I57" s="22">
        <f>((I12*Constants!$H70*Constants!$H88*(1-Constants!$H106))+(I12*Constants!$H70*Constants!$H122))</f>
        <v>4249738.3878160603</v>
      </c>
      <c r="J57" s="22">
        <f>((J12*Constants!$H70*Constants!$H88*(1-Constants!$H106))+(J12*Constants!$H70*Constants!$H122))</f>
        <v>4074144.0839920086</v>
      </c>
      <c r="K57" s="22">
        <f>((K12*Constants!$H70*Constants!$H88*(1-Constants!$H106))+(K12*Constants!$H70*Constants!$H122))</f>
        <v>3810233.1184813054</v>
      </c>
      <c r="L57" s="22">
        <f>((L12*Constants!$H70*Constants!$H88*(1-Constants!$H106))+(L12*Constants!$H70*Constants!$H122))</f>
        <v>3837099.1953977491</v>
      </c>
      <c r="M57" s="22">
        <f>((M12*Constants!$H70*Constants!$H88*(1-Constants!$H106))+(M12*Constants!$H70*Constants!$H122))</f>
        <v>3782179.5906514279</v>
      </c>
      <c r="N57" s="22">
        <f>((N12*Constants!$H70*Constants!$H88*(1-Constants!$H106))+(N12*Constants!$H70*Constants!$H122))</f>
        <v>3794796.2566066636</v>
      </c>
      <c r="O57" s="22">
        <f>((O12*Constants!$H70*Constants!$H88*(1-Constants!$H106))+(O12*Constants!$H70*Constants!$H122))</f>
        <v>3712268.4181230017</v>
      </c>
      <c r="P57" s="22">
        <f>((P12*Constants!$H70*Constants!$H88*(1-Constants!$H106))+(P12*Constants!$H70*Constants!$H122))</f>
        <v>3722510.1822513817</v>
      </c>
      <c r="Q57" s="22">
        <f>((Q12*Constants!$H70*Constants!$H88*(1-Constants!$H106))+(Q12*Constants!$H70*Constants!$H122))</f>
        <v>3631076.4619169645</v>
      </c>
      <c r="R57" s="22">
        <f>((R12*Constants!$H70*Constants!$H88*(1-Constants!$H106))+(R12*Constants!$H70*Constants!$H122))</f>
        <v>3500902.1555317631</v>
      </c>
      <c r="S57" s="22">
        <f>((S12*Constants!$H70*Constants!$H88*(1-Constants!$H106))+(S12*Constants!$H70*Constants!$H122))</f>
        <v>3413624.5133943642</v>
      </c>
      <c r="T57" s="22">
        <f>((T12*Constants!$H70*Constants!$H88*(1-Constants!$H106))+(T12*Constants!$H70*Constants!$H122))</f>
        <v>3356626.8695495329</v>
      </c>
      <c r="U57" s="22">
        <f>((U12*Constants!$H70*Constants!$H88*(1-Constants!$H106))+(U12*Constants!$H70*Constants!$H122))</f>
        <v>3368352.9473196943</v>
      </c>
      <c r="V57" s="22">
        <f>((V12*Constants!$H70*Constants!$H88*(1-Constants!$H106))+(V12*Constants!$H70*Constants!$H122))</f>
        <v>3308386.6761912769</v>
      </c>
      <c r="W57" s="22">
        <f>((W12*Constants!$H70*Constants!$H88*(1-Constants!$H106))+(W12*Constants!$H70*Constants!$H122))</f>
        <v>3300519.8138897773</v>
      </c>
      <c r="X57" s="22">
        <f>((X12*Constants!$H70*Constants!$H88*(1-Constants!$H106))+(X12*Constants!$H70*Constants!$H122))</f>
        <v>3257326.2869136157</v>
      </c>
      <c r="Y57" s="22">
        <f>((Y12*Constants!$H70*Constants!$H88*(1-Constants!$H106))+(Y12*Constants!$H70*Constants!$H122))</f>
        <v>3254209.2282658513</v>
      </c>
      <c r="Z57" s="22">
        <f>((Z12*Constants!$H70*Constants!$H88*(1-Constants!$H106))+(Z12*Constants!$H70*Constants!$H122))</f>
        <v>3264747.8551225783</v>
      </c>
      <c r="AA57" s="22">
        <f>((AA12*Constants!$H70*Constants!$H88*(1-Constants!$H106))+(AA12*Constants!$H70*Constants!$H122))</f>
        <v>3253170.2087165965</v>
      </c>
      <c r="AB57" s="22">
        <f>((AB12*Constants!$H70*Constants!$H88*(1-Constants!$H106))+(AB12*Constants!$H70*Constants!$H122))</f>
        <v>3190235.3103045956</v>
      </c>
      <c r="AC57" s="22">
        <f>((AC12*Constants!$H70*Constants!$H88*(1-Constants!$H106))+(AC12*Constants!$H70*Constants!$H122))</f>
        <v>3165298.8411224815</v>
      </c>
      <c r="AD57" s="22">
        <f>((AD12*Constants!$H70*Constants!$H88*(1-Constants!$H106))+(AD12*Constants!$H70*Constants!$H122))</f>
        <v>3022468.7255970566</v>
      </c>
      <c r="AE57" s="22">
        <f>((AE12*Constants!$H70*Constants!$H88*(1-Constants!$H106))+(AE12*Constants!$H70*Constants!$H122))</f>
        <v>3024119.2699227897</v>
      </c>
      <c r="AF57" s="22">
        <f>((AF12*Constants!$H70*Constants!$H88*(1-Constants!$H106))+(AF12*Constants!$H70*Constants!$H122))</f>
        <v>3027815.1557270829</v>
      </c>
      <c r="AG57" s="22">
        <f>((AG12*Constants!$H70*Constants!$H88*(1-Constants!$H106))+(AG12*Constants!$H70*Constants!$H122))</f>
        <v>3033378.2397681018</v>
      </c>
      <c r="AH57" s="22">
        <f>((AH12*Constants!$H70*Constants!$H88*(1-Constants!$H106))+(AH12*Constants!$H70*Constants!$H122))</f>
        <v>3040882.9517243053</v>
      </c>
      <c r="AI57" s="22">
        <f>((AI12*Constants!$H70*Constants!$H88*(1-Constants!$H106))+(AI12*Constants!$H70*Constants!$H122))</f>
        <v>3050337.2548223119</v>
      </c>
      <c r="AJ57" s="22">
        <f>((AJ12*Constants!$H70*Constants!$H88*(1-Constants!$H106))+(AJ12*Constants!$H70*Constants!$H122))</f>
        <v>3060868.9652115516</v>
      </c>
      <c r="AK57" s="22">
        <f>((AK12*Constants!$H70*Constants!$H88*(1-Constants!$H106))+(AK12*Constants!$H70*Constants!$H122))</f>
        <v>3072282.942430398</v>
      </c>
      <c r="AL57" s="22">
        <f>((AL12*Constants!$H70*Constants!$H88*(1-Constants!$H106))+(AL12*Constants!$H70*Constants!$H122))</f>
        <v>3083008.7936535999</v>
      </c>
      <c r="AM57" s="22">
        <f>((AM12*Constants!$H70*Constants!$H88*(1-Constants!$H106))+(AM12*Constants!$H70*Constants!$H122))</f>
        <v>3087489.1894085454</v>
      </c>
      <c r="AN57" s="22">
        <f>((AN12*Constants!$H70*Constants!$H88*(1-Constants!$H106))+(AN12*Constants!$H70*Constants!$H122))</f>
        <v>3092688.1410700097</v>
      </c>
      <c r="AO57" s="22">
        <f>((AO12*Constants!$H70*Constants!$H88*(1-Constants!$H106))+(AO12*Constants!$H70*Constants!$H122))</f>
        <v>3098604.582627133</v>
      </c>
      <c r="AP57" s="22">
        <f>((AP12*Constants!$H70*Constants!$H88*(1-Constants!$H106))+(AP12*Constants!$H70*Constants!$H122))</f>
        <v>3105269.1678590272</v>
      </c>
      <c r="AQ57" s="22">
        <f>((AQ12*Constants!$H70*Constants!$H88*(1-Constants!$H106))+(AQ12*Constants!$H70*Constants!$H122))</f>
        <v>3112575.0535552874</v>
      </c>
      <c r="AR57" s="22">
        <f>((AR12*Constants!$H70*Constants!$H88*(1-Constants!$H106))+(AR12*Constants!$H70*Constants!$H122))</f>
        <v>3117072.3833740931</v>
      </c>
      <c r="AS57" s="22">
        <f>((AS12*Constants!$H70*Constants!$H88*(1-Constants!$H106))+(AS12*Constants!$H70*Constants!$H122))</f>
        <v>3122095.9936394645</v>
      </c>
      <c r="AT57" s="22">
        <f>((AT12*Constants!$H70*Constants!$H88*(1-Constants!$H106))+(AT12*Constants!$H70*Constants!$H122))</f>
        <v>3127664.114758702</v>
      </c>
      <c r="AU57" s="22">
        <f>((AU12*Constants!$H70*Constants!$H88*(1-Constants!$H106))+(AU12*Constants!$H70*Constants!$H122))</f>
        <v>3133691.1958529307</v>
      </c>
      <c r="AV57" s="22">
        <f>((AV12*Constants!$H70*Constants!$H88*(1-Constants!$H106))+(AV12*Constants!$H70*Constants!$H122))</f>
        <v>3140198.7873039139</v>
      </c>
      <c r="AW57" s="22">
        <f>((AW12*Constants!$H70*Constants!$H88*(1-Constants!$H106))+(AW12*Constants!$H70*Constants!$H122))</f>
        <v>3144482.8560154331</v>
      </c>
      <c r="AX57" s="22">
        <f>((AX12*Constants!$H70*Constants!$H88*(1-Constants!$H106))+(AX12*Constants!$H70*Constants!$H122))</f>
        <v>3149217.542684257</v>
      </c>
      <c r="AY57" s="22">
        <f>((AY12*Constants!$H70*Constants!$H88*(1-Constants!$H106))+(AY12*Constants!$H70*Constants!$H122))</f>
        <v>3154360.2659091204</v>
      </c>
      <c r="AZ57" s="22">
        <f>((AZ12*Constants!$H70*Constants!$H88*(1-Constants!$H106))+(AZ12*Constants!$H70*Constants!$H122))</f>
        <v>3159328.792450171</v>
      </c>
      <c r="BA57" s="22">
        <f>((BA12*Constants!$H70*Constants!$H88*(1-Constants!$H106))+(BA12*Constants!$H70*Constants!$H122))</f>
        <v>3138086.8537847605</v>
      </c>
      <c r="BB57" s="22">
        <f>((BB12*Constants!$H70*Constants!$H88*(1-Constants!$H106))+(BB12*Constants!$H70*Constants!$H122))</f>
        <v>3141103.5449436088</v>
      </c>
      <c r="BC57" s="22">
        <f>((BC12*Constants!$H70*Constants!$H88*(1-Constants!$H106))+(BC12*Constants!$H70*Constants!$H122))</f>
        <v>3144432.4785802267</v>
      </c>
      <c r="BD57" s="22">
        <f>((BD12*Constants!$H70*Constants!$H88*(1-Constants!$H106))+(BD12*Constants!$H70*Constants!$H122))</f>
        <v>3148061.8584357761</v>
      </c>
      <c r="BE57" s="22">
        <f>((BE12*Constants!$H70*Constants!$H88*(1-Constants!$H106))+(BE12*Constants!$H70*Constants!$H122))</f>
        <v>3151980.8000287944</v>
      </c>
      <c r="BF57" s="22">
        <f>((BF12*Constants!$H70*Constants!$H88*(1-Constants!$H106))+(BF12*Constants!$H70*Constants!$H122))</f>
        <v>3156179.2441344303</v>
      </c>
      <c r="BG57" s="22">
        <f>((BG12*Constants!$H70*Constants!$H88*(1-Constants!$H106))+(BG12*Constants!$H70*Constants!$H122))</f>
        <v>3158216.7528665261</v>
      </c>
      <c r="BH57" s="22">
        <f>((BH12*Constants!$H70*Constants!$H88*(1-Constants!$H106))+(BH12*Constants!$H70*Constants!$H122))</f>
        <v>3160500.521110015</v>
      </c>
      <c r="BI57" s="22">
        <f>((BI12*Constants!$H70*Constants!$H88*(1-Constants!$H106))+(BI12*Constants!$H70*Constants!$H122))</f>
        <v>3163021.9784532725</v>
      </c>
      <c r="BJ57" s="22">
        <f>((BJ12*Constants!$H70*Constants!$H88*(1-Constants!$H106))+(BJ12*Constants!$H70*Constants!$H122))</f>
        <v>3165773.1410752558</v>
      </c>
      <c r="BK57" s="22">
        <f>((BK12*Constants!$H70*Constants!$H88*(1-Constants!$H106))+(BK12*Constants!$H70*Constants!$H122))</f>
        <v>3168746.5619117641</v>
      </c>
      <c r="BL57" s="22">
        <f>((BL12*Constants!$H70*Constants!$H88*(1-Constants!$H106))+(BL12*Constants!$H70*Constants!$H122))</f>
        <v>3169480.068662791</v>
      </c>
      <c r="BM57" s="22">
        <f>((BM12*Constants!$H70*Constants!$H88*(1-Constants!$H106))+(BM12*Constants!$H70*Constants!$H122))</f>
        <v>3170410.8294775984</v>
      </c>
      <c r="BN57" s="22">
        <f>((BN12*Constants!$H70*Constants!$H88*(1-Constants!$H106))+(BN12*Constants!$H70*Constants!$H122))</f>
        <v>3171532.3113052933</v>
      </c>
      <c r="BO57" s="22">
        <f>((BO12*Constants!$H70*Constants!$H88*(1-Constants!$H106))+(BO12*Constants!$H70*Constants!$H122))</f>
        <v>3172838.3800314739</v>
      </c>
      <c r="BP57" s="22">
        <f>((BP12*Constants!$H70*Constants!$H88*(1-Constants!$H106))+(BP12*Constants!$H70*Constants!$H122))</f>
        <v>3174323.2697993768</v>
      </c>
    </row>
    <row r="58" spans="1:72" x14ac:dyDescent="0.25">
      <c r="A58" t="str">
        <f t="shared" si="20"/>
        <v>3C Aggregated and non-CO2 emissions on land</v>
      </c>
      <c r="B58" t="str">
        <f t="shared" si="21"/>
        <v>3C4 Direct N2O from managed soils (N2O)</v>
      </c>
      <c r="C58" t="s">
        <v>409</v>
      </c>
      <c r="D58" t="str">
        <f>Constants!D123</f>
        <v xml:space="preserve"> - Commercial goats</v>
      </c>
      <c r="E58" t="str">
        <f t="shared" si="23"/>
        <v>MM N available - Commercial goats</v>
      </c>
      <c r="F58" t="str">
        <f t="shared" si="24"/>
        <v>kg N</v>
      </c>
      <c r="H58" s="22">
        <f>((H13*Constants!$H71*Constants!$H89*(1-Constants!$H107))+(H13*Constants!$H71*Constants!$H123))</f>
        <v>615778.18513243599</v>
      </c>
      <c r="I58" s="22">
        <f>((I13*Constants!$H71*Constants!$H89*(1-Constants!$H107))+(I13*Constants!$H71*Constants!$H123))</f>
        <v>544521.949578178</v>
      </c>
      <c r="J58" s="22">
        <f>((J13*Constants!$H71*Constants!$H89*(1-Constants!$H107))+(J13*Constants!$H71*Constants!$H123))</f>
        <v>507228.96648436046</v>
      </c>
      <c r="K58" s="22">
        <f>((K13*Constants!$H71*Constants!$H89*(1-Constants!$H107))+(K13*Constants!$H71*Constants!$H123))</f>
        <v>479259.2291639974</v>
      </c>
      <c r="L58" s="22">
        <f>((L13*Constants!$H71*Constants!$H89*(1-Constants!$H107))+(L13*Constants!$H71*Constants!$H123))</f>
        <v>518772.03268006572</v>
      </c>
      <c r="M58" s="22">
        <f>((M13*Constants!$H71*Constants!$H89*(1-Constants!$H107))+(M13*Constants!$H71*Constants!$H123))</f>
        <v>525875.45803126914</v>
      </c>
      <c r="N58" s="22">
        <f>((N13*Constants!$H71*Constants!$H89*(1-Constants!$H107))+(N13*Constants!$H71*Constants!$H123))</f>
        <v>534088.79359359795</v>
      </c>
      <c r="O58" s="22">
        <f>((O13*Constants!$H71*Constants!$H89*(1-Constants!$H107))+(O13*Constants!$H71*Constants!$H123))</f>
        <v>531425.00908689678</v>
      </c>
      <c r="P58" s="22">
        <f>((P13*Constants!$H71*Constants!$H89*(1-Constants!$H107))+(P13*Constants!$H71*Constants!$H123))</f>
        <v>523877.61965124327</v>
      </c>
      <c r="Q58" s="22">
        <f>((Q13*Constants!$H71*Constants!$H89*(1-Constants!$H107))+(Q13*Constants!$H71*Constants!$H123))</f>
        <v>516108.24817336473</v>
      </c>
      <c r="R58" s="22">
        <f>((R13*Constants!$H71*Constants!$H89*(1-Constants!$H107))+(R13*Constants!$H71*Constants!$H123))</f>
        <v>522767.7094401177</v>
      </c>
      <c r="S58" s="22">
        <f>((S13*Constants!$H71*Constants!$H89*(1-Constants!$H107))+(S13*Constants!$H71*Constants!$H123))</f>
        <v>538750.41648032528</v>
      </c>
      <c r="T58" s="22">
        <f>((T13*Constants!$H71*Constants!$H89*(1-Constants!$H107))+(T13*Constants!$H71*Constants!$H123))</f>
        <v>491912.20557082852</v>
      </c>
      <c r="U58" s="22">
        <f>((U13*Constants!$H71*Constants!$H89*(1-Constants!$H107))+(U13*Constants!$H71*Constants!$H123))</f>
        <v>479481.21120622259</v>
      </c>
      <c r="V58" s="22">
        <f>((V13*Constants!$H71*Constants!$H89*(1-Constants!$H107))+(V13*Constants!$H71*Constants!$H123))</f>
        <v>480369.13937512314</v>
      </c>
      <c r="W58" s="22">
        <f>((W13*Constants!$H71*Constants!$H89*(1-Constants!$H107))+(W13*Constants!$H71*Constants!$H123))</f>
        <v>474153.64219282009</v>
      </c>
      <c r="X58" s="22">
        <f>((X13*Constants!$H71*Constants!$H89*(1-Constants!$H107))+(X13*Constants!$H71*Constants!$H123))</f>
        <v>484142.83409294975</v>
      </c>
      <c r="Y58" s="22">
        <f>((Y13*Constants!$H71*Constants!$H89*(1-Constants!$H107))+(Y13*Constants!$H71*Constants!$H123))</f>
        <v>469714.00134831812</v>
      </c>
      <c r="Z58" s="22">
        <f>((Z13*Constants!$H71*Constants!$H89*(1-Constants!$H107))+(Z13*Constants!$H71*Constants!$H123))</f>
        <v>469270.03726386797</v>
      </c>
      <c r="AA58" s="22">
        <f>((AA13*Constants!$H71*Constants!$H89*(1-Constants!$H107))+(AA13*Constants!$H71*Constants!$H123))</f>
        <v>461056.7017015391</v>
      </c>
      <c r="AB58" s="22">
        <f>((AB13*Constants!$H71*Constants!$H89*(1-Constants!$H107))+(AB13*Constants!$H71*Constants!$H123))</f>
        <v>455507.15064591152</v>
      </c>
      <c r="AC58" s="22">
        <f>((AC13*Constants!$H71*Constants!$H89*(1-Constants!$H107))+(AC13*Constants!$H71*Constants!$H123))</f>
        <v>451289.49184363458</v>
      </c>
      <c r="AD58" s="22">
        <f>((AD13*Constants!$H71*Constants!$H89*(1-Constants!$H107))+(AD13*Constants!$H71*Constants!$H123))</f>
        <v>459063.38535903586</v>
      </c>
      <c r="AE58" s="22">
        <f>((AE13*Constants!$H71*Constants!$H89*(1-Constants!$H107))+(AE13*Constants!$H71*Constants!$H123))</f>
        <v>460260.73140826449</v>
      </c>
      <c r="AF58" s="22">
        <f>((AF13*Constants!$H71*Constants!$H89*(1-Constants!$H107))+(AF13*Constants!$H71*Constants!$H123))</f>
        <v>461856.30108132871</v>
      </c>
      <c r="AG58" s="22">
        <f>((AG13*Constants!$H71*Constants!$H89*(1-Constants!$H107))+(AG13*Constants!$H71*Constants!$H123))</f>
        <v>463814.62172938132</v>
      </c>
      <c r="AH58" s="22">
        <f>((AH13*Constants!$H71*Constants!$H89*(1-Constants!$H107))+(AH13*Constants!$H71*Constants!$H123))</f>
        <v>466159.22593726171</v>
      </c>
      <c r="AI58" s="22">
        <f>((AI13*Constants!$H71*Constants!$H89*(1-Constants!$H107))+(AI13*Constants!$H71*Constants!$H123))</f>
        <v>468896.35298280412</v>
      </c>
      <c r="AJ58" s="22">
        <f>((AJ13*Constants!$H71*Constants!$H89*(1-Constants!$H107))+(AJ13*Constants!$H71*Constants!$H123))</f>
        <v>471822.84639938985</v>
      </c>
      <c r="AK58" s="22">
        <f>((AK13*Constants!$H71*Constants!$H89*(1-Constants!$H107))+(AK13*Constants!$H71*Constants!$H123))</f>
        <v>474896.8597303335</v>
      </c>
      <c r="AL58" s="22">
        <f>((AL13*Constants!$H71*Constants!$H89*(1-Constants!$H107))+(AL13*Constants!$H71*Constants!$H123))</f>
        <v>477752.48309622274</v>
      </c>
      <c r="AM58" s="22">
        <f>((AM13*Constants!$H71*Constants!$H89*(1-Constants!$H107))+(AM13*Constants!$H71*Constants!$H123))</f>
        <v>479090.71520653361</v>
      </c>
      <c r="AN58" s="22">
        <f>((AN13*Constants!$H71*Constants!$H89*(1-Constants!$H107))+(AN13*Constants!$H71*Constants!$H123))</f>
        <v>480558.16089559672</v>
      </c>
      <c r="AO58" s="22">
        <f>((AO13*Constants!$H71*Constants!$H89*(1-Constants!$H107))+(AO13*Constants!$H71*Constants!$H123))</f>
        <v>482156.68238904601</v>
      </c>
      <c r="AP58" s="22">
        <f>((AP13*Constants!$H71*Constants!$H89*(1-Constants!$H107))+(AP13*Constants!$H71*Constants!$H123))</f>
        <v>483895.20029084367</v>
      </c>
      <c r="AQ58" s="22">
        <f>((AQ13*Constants!$H71*Constants!$H89*(1-Constants!$H107))+(AQ13*Constants!$H71*Constants!$H123))</f>
        <v>485750.30745795171</v>
      </c>
      <c r="AR58" s="22">
        <f>((AR13*Constants!$H71*Constants!$H89*(1-Constants!$H107))+(AR13*Constants!$H71*Constants!$H123))</f>
        <v>486922.91147159511</v>
      </c>
      <c r="AS58" s="22">
        <f>((AS13*Constants!$H71*Constants!$H89*(1-Constants!$H107))+(AS13*Constants!$H71*Constants!$H123))</f>
        <v>488191.60938601376</v>
      </c>
      <c r="AT58" s="22">
        <f>((AT13*Constants!$H71*Constants!$H89*(1-Constants!$H107))+(AT13*Constants!$H71*Constants!$H123))</f>
        <v>489561.64988671732</v>
      </c>
      <c r="AU58" s="22">
        <f>((AU13*Constants!$H71*Constants!$H89*(1-Constants!$H107))+(AU13*Constants!$H71*Constants!$H123))</f>
        <v>491014.17160395341</v>
      </c>
      <c r="AV58" s="22">
        <f>((AV13*Constants!$H71*Constants!$H89*(1-Constants!$H107))+(AV13*Constants!$H71*Constants!$H123))</f>
        <v>492554.9847846714</v>
      </c>
      <c r="AW58" s="22">
        <f>((AW13*Constants!$H71*Constants!$H89*(1-Constants!$H107))+(AW13*Constants!$H71*Constants!$H123))</f>
        <v>493564.11510866269</v>
      </c>
      <c r="AX58" s="22">
        <f>((AX13*Constants!$H71*Constants!$H89*(1-Constants!$H107))+(AX13*Constants!$H71*Constants!$H123))</f>
        <v>494658.52417717787</v>
      </c>
      <c r="AY58" s="22">
        <f>((AY13*Constants!$H71*Constants!$H89*(1-Constants!$H107))+(AY13*Constants!$H71*Constants!$H123))</f>
        <v>495828.95996754552</v>
      </c>
      <c r="AZ58" s="22">
        <f>((AZ13*Constants!$H71*Constants!$H89*(1-Constants!$H107))+(AZ13*Constants!$H71*Constants!$H123))</f>
        <v>496943.04378528887</v>
      </c>
      <c r="BA58" s="22">
        <f>((BA13*Constants!$H71*Constants!$H89*(1-Constants!$H107))+(BA13*Constants!$H71*Constants!$H123))</f>
        <v>492072.88261798117</v>
      </c>
      <c r="BB58" s="22">
        <f>((BB13*Constants!$H71*Constants!$H89*(1-Constants!$H107))+(BB13*Constants!$H71*Constants!$H123))</f>
        <v>492724.51151396002</v>
      </c>
      <c r="BC58" s="22">
        <f>((BC13*Constants!$H71*Constants!$H89*(1-Constants!$H107))+(BC13*Constants!$H71*Constants!$H123))</f>
        <v>493434.56874480733</v>
      </c>
      <c r="BD58" s="22">
        <f>((BD13*Constants!$H71*Constants!$H89*(1-Constants!$H107))+(BD13*Constants!$H71*Constants!$H123))</f>
        <v>494200.68148723821</v>
      </c>
      <c r="BE58" s="22">
        <f>((BE13*Constants!$H71*Constants!$H89*(1-Constants!$H107))+(BE13*Constants!$H71*Constants!$H123))</f>
        <v>495020.66096742131</v>
      </c>
      <c r="BF58" s="22">
        <f>((BF13*Constants!$H71*Constants!$H89*(1-Constants!$H107))+(BF13*Constants!$H71*Constants!$H123))</f>
        <v>495892.48483859003</v>
      </c>
      <c r="BG58" s="22">
        <f>((BG13*Constants!$H71*Constants!$H89*(1-Constants!$H107))+(BG13*Constants!$H71*Constants!$H123))</f>
        <v>496266.71384928073</v>
      </c>
      <c r="BH58" s="22">
        <f>((BH13*Constants!$H71*Constants!$H89*(1-Constants!$H107))+(BH13*Constants!$H71*Constants!$H123))</f>
        <v>496687.64775052987</v>
      </c>
      <c r="BI58" s="22">
        <f>((BI13*Constants!$H71*Constants!$H89*(1-Constants!$H107))+(BI13*Constants!$H71*Constants!$H123))</f>
        <v>497153.52577021741</v>
      </c>
      <c r="BJ58" s="22">
        <f>((BJ13*Constants!$H71*Constants!$H89*(1-Constants!$H107))+(BJ13*Constants!$H71*Constants!$H123))</f>
        <v>497662.70792933175</v>
      </c>
      <c r="BK58" s="22">
        <f>((BK13*Constants!$H71*Constants!$H89*(1-Constants!$H107))+(BK13*Constants!$H71*Constants!$H123))</f>
        <v>498213.66469327634</v>
      </c>
      <c r="BL58" s="22">
        <f>((BL13*Constants!$H71*Constants!$H89*(1-Constants!$H107))+(BL13*Constants!$H71*Constants!$H123))</f>
        <v>498256.6503077349</v>
      </c>
      <c r="BM58" s="22">
        <f>((BM13*Constants!$H71*Constants!$H89*(1-Constants!$H107))+(BM13*Constants!$H71*Constants!$H123))</f>
        <v>498337.864411366</v>
      </c>
      <c r="BN58" s="22">
        <f>((BN13*Constants!$H71*Constants!$H89*(1-Constants!$H107))+(BN13*Constants!$H71*Constants!$H123))</f>
        <v>498455.93410188274</v>
      </c>
      <c r="BO58" s="22">
        <f>((BO13*Constants!$H71*Constants!$H89*(1-Constants!$H107))+(BO13*Constants!$H71*Constants!$H123))</f>
        <v>498609.57051073818</v>
      </c>
      <c r="BP58" s="22">
        <f>((BP13*Constants!$H71*Constants!$H89*(1-Constants!$H107))+(BP13*Constants!$H71*Constants!$H123))</f>
        <v>498797.56229283981</v>
      </c>
    </row>
    <row r="59" spans="1:72" x14ac:dyDescent="0.25">
      <c r="A59" t="str">
        <f t="shared" si="20"/>
        <v>3C Aggregated and non-CO2 emissions on land</v>
      </c>
      <c r="B59" t="str">
        <f t="shared" si="21"/>
        <v>3C4 Direct N2O from managed soils (N2O)</v>
      </c>
      <c r="C59" t="s">
        <v>409</v>
      </c>
      <c r="D59" t="str">
        <f>Constants!D124</f>
        <v xml:space="preserve"> - Subsistence goats</v>
      </c>
      <c r="E59" t="str">
        <f t="shared" si="23"/>
        <v>MM N available - Subsistence goats</v>
      </c>
      <c r="F59" t="str">
        <f t="shared" si="24"/>
        <v>kg N</v>
      </c>
      <c r="H59" s="22">
        <f>((H14*Constants!$H72*Constants!$H90*(1-Constants!$H108))+(H14*Constants!$H72*Constants!$H124))</f>
        <v>7560354.6157626472</v>
      </c>
      <c r="I59" s="22">
        <f>((I14*Constants!$H72*Constants!$H90*(1-Constants!$H108))+(I14*Constants!$H72*Constants!$H124))</f>
        <v>6685490.2207879517</v>
      </c>
      <c r="J59" s="22">
        <f>((J14*Constants!$H72*Constants!$H90*(1-Constants!$H108))+(J14*Constants!$H72*Constants!$H124))</f>
        <v>6227617.2664086716</v>
      </c>
      <c r="K59" s="22">
        <f>((K14*Constants!$H72*Constants!$H90*(1-Constants!$H108))+(K14*Constants!$H72*Constants!$H124))</f>
        <v>5884212.5506242104</v>
      </c>
      <c r="L59" s="22">
        <f>((L14*Constants!$H72*Constants!$H90*(1-Constants!$H108))+(L14*Constants!$H72*Constants!$H124))</f>
        <v>6369339.8475260669</v>
      </c>
      <c r="M59" s="22">
        <f>((M14*Constants!$H72*Constants!$H90*(1-Constants!$H108))+(M14*Constants!$H72*Constants!$H124))</f>
        <v>6456553.7435983112</v>
      </c>
      <c r="N59" s="22">
        <f>((N14*Constants!$H72*Constants!$H90*(1-Constants!$H108))+(N14*Constants!$H72*Constants!$H124))</f>
        <v>6557394.8109318437</v>
      </c>
      <c r="O59" s="22">
        <f>((O14*Constants!$H72*Constants!$H90*(1-Constants!$H108))+(O14*Constants!$H72*Constants!$H124))</f>
        <v>6524689.5999047523</v>
      </c>
      <c r="P59" s="22">
        <f>((P14*Constants!$H72*Constants!$H90*(1-Constants!$H108))+(P14*Constants!$H72*Constants!$H124))</f>
        <v>6432024.8353279931</v>
      </c>
      <c r="Q59" s="22">
        <f>((Q14*Constants!$H72*Constants!$H90*(1-Constants!$H108))+(Q14*Constants!$H72*Constants!$H124))</f>
        <v>6336634.6364989765</v>
      </c>
      <c r="R59" s="22">
        <f>((R14*Constants!$H72*Constants!$H90*(1-Constants!$H108))+(R14*Constants!$H72*Constants!$H124))</f>
        <v>6418397.6640667049</v>
      </c>
      <c r="S59" s="22">
        <f>((S14*Constants!$H72*Constants!$H90*(1-Constants!$H108))+(S14*Constants!$H72*Constants!$H124))</f>
        <v>6614628.9302292531</v>
      </c>
      <c r="T59" s="22">
        <f>((T14*Constants!$H72*Constants!$H90*(1-Constants!$H108))+(T14*Constants!$H72*Constants!$H124))</f>
        <v>6039562.3030028949</v>
      </c>
      <c r="U59" s="22">
        <f>((U14*Constants!$H72*Constants!$H90*(1-Constants!$H108))+(U14*Constants!$H72*Constants!$H124))</f>
        <v>5886937.9848764678</v>
      </c>
      <c r="V59" s="22">
        <f>((V14*Constants!$H72*Constants!$H90*(1-Constants!$H108))+(V14*Constants!$H72*Constants!$H124))</f>
        <v>5897839.7218854986</v>
      </c>
      <c r="W59" s="22">
        <f>((W14*Constants!$H72*Constants!$H90*(1-Constants!$H108))+(W14*Constants!$H72*Constants!$H124))</f>
        <v>5821527.5628222851</v>
      </c>
      <c r="X59" s="22">
        <f>((X14*Constants!$H72*Constants!$H90*(1-Constants!$H108))+(X14*Constants!$H72*Constants!$H124))</f>
        <v>5944172.1041738791</v>
      </c>
      <c r="Y59" s="22">
        <f>((Y14*Constants!$H72*Constants!$H90*(1-Constants!$H108))+(Y14*Constants!$H72*Constants!$H124))</f>
        <v>5767018.8777771331</v>
      </c>
      <c r="Z59" s="22">
        <f>((Z14*Constants!$H72*Constants!$H90*(1-Constants!$H108))+(Z14*Constants!$H72*Constants!$H124))</f>
        <v>5761568.0092726164</v>
      </c>
      <c r="AA59" s="22">
        <f>((AA14*Constants!$H72*Constants!$H90*(1-Constants!$H108))+(AA14*Constants!$H72*Constants!$H124))</f>
        <v>5660726.9419390857</v>
      </c>
      <c r="AB59" s="22">
        <f>((AB14*Constants!$H72*Constants!$H90*(1-Constants!$H108))+(AB14*Constants!$H72*Constants!$H124))</f>
        <v>5592591.0856326455</v>
      </c>
      <c r="AC59" s="22">
        <f>((AC14*Constants!$H72*Constants!$H90*(1-Constants!$H108))+(AC14*Constants!$H72*Constants!$H124))</f>
        <v>5540807.8348397501</v>
      </c>
      <c r="AD59" s="22">
        <f>((AD14*Constants!$H72*Constants!$H90*(1-Constants!$H108))+(AD14*Constants!$H72*Constants!$H124))</f>
        <v>5539086.0746360635</v>
      </c>
      <c r="AE59" s="22">
        <f>((AE14*Constants!$H72*Constants!$H90*(1-Constants!$H108))+(AE14*Constants!$H72*Constants!$H124))</f>
        <v>5553533.323184574</v>
      </c>
      <c r="AF59" s="22">
        <f>((AF14*Constants!$H72*Constants!$H90*(1-Constants!$H108))+(AF14*Constants!$H72*Constants!$H124))</f>
        <v>5572785.5616314933</v>
      </c>
      <c r="AG59" s="22">
        <f>((AG14*Constants!$H72*Constants!$H90*(1-Constants!$H108))+(AG14*Constants!$H72*Constants!$H124))</f>
        <v>5596414.7748888666</v>
      </c>
      <c r="AH59" s="22">
        <f>((AH14*Constants!$H72*Constants!$H90*(1-Constants!$H108))+(AH14*Constants!$H72*Constants!$H124))</f>
        <v>5624704.9085231284</v>
      </c>
      <c r="AI59" s="22">
        <f>((AI14*Constants!$H72*Constants!$H90*(1-Constants!$H108))+(AI14*Constants!$H72*Constants!$H124))</f>
        <v>5657731.2460312182</v>
      </c>
      <c r="AJ59" s="22">
        <f>((AJ14*Constants!$H72*Constants!$H90*(1-Constants!$H108))+(AJ14*Constants!$H72*Constants!$H124))</f>
        <v>5693042.4894200703</v>
      </c>
      <c r="AK59" s="22">
        <f>((AK14*Constants!$H72*Constants!$H90*(1-Constants!$H108))+(AK14*Constants!$H72*Constants!$H124))</f>
        <v>5730133.7168577788</v>
      </c>
      <c r="AL59" s="22">
        <f>((AL14*Constants!$H72*Constants!$H90*(1-Constants!$H108))+(AL14*Constants!$H72*Constants!$H124))</f>
        <v>5764589.8380054748</v>
      </c>
      <c r="AM59" s="22">
        <f>((AM14*Constants!$H72*Constants!$H90*(1-Constants!$H108))+(AM14*Constants!$H72*Constants!$H124))</f>
        <v>5780737.0261351839</v>
      </c>
      <c r="AN59" s="22">
        <f>((AN14*Constants!$H72*Constants!$H90*(1-Constants!$H108))+(AN14*Constants!$H72*Constants!$H124))</f>
        <v>5798443.3129809909</v>
      </c>
      <c r="AO59" s="22">
        <f>((AO14*Constants!$H72*Constants!$H90*(1-Constants!$H108))+(AO14*Constants!$H72*Constants!$H124))</f>
        <v>5817731.1682680044</v>
      </c>
      <c r="AP59" s="22">
        <f>((AP14*Constants!$H72*Constants!$H90*(1-Constants!$H108))+(AP14*Constants!$H72*Constants!$H124))</f>
        <v>5838708.228533485</v>
      </c>
      <c r="AQ59" s="22">
        <f>((AQ14*Constants!$H72*Constants!$H90*(1-Constants!$H108))+(AQ14*Constants!$H72*Constants!$H124))</f>
        <v>5861092.0617992319</v>
      </c>
      <c r="AR59" s="22">
        <f>((AR14*Constants!$H72*Constants!$H90*(1-Constants!$H108))+(AR14*Constants!$H72*Constants!$H124))</f>
        <v>5875240.7714767763</v>
      </c>
      <c r="AS59" s="22">
        <f>((AS14*Constants!$H72*Constants!$H90*(1-Constants!$H108))+(AS14*Constants!$H72*Constants!$H124))</f>
        <v>5890548.9558687406</v>
      </c>
      <c r="AT59" s="22">
        <f>((AT14*Constants!$H72*Constants!$H90*(1-Constants!$H108))+(AT14*Constants!$H72*Constants!$H124))</f>
        <v>5907079.9459262453</v>
      </c>
      <c r="AU59" s="22">
        <f>((AU14*Constants!$H72*Constants!$H90*(1-Constants!$H108))+(AU14*Constants!$H72*Constants!$H124))</f>
        <v>5924606.1592415506</v>
      </c>
      <c r="AV59" s="22">
        <f>((AV14*Constants!$H72*Constants!$H90*(1-Constants!$H108))+(AV14*Constants!$H72*Constants!$H124))</f>
        <v>5943197.7025994575</v>
      </c>
      <c r="AW59" s="22">
        <f>((AW14*Constants!$H72*Constants!$H90*(1-Constants!$H108))+(AW14*Constants!$H72*Constants!$H124))</f>
        <v>5955373.9290278442</v>
      </c>
      <c r="AX59" s="22">
        <f>((AX14*Constants!$H72*Constants!$H90*(1-Constants!$H108))+(AX14*Constants!$H72*Constants!$H124))</f>
        <v>5968579.133852941</v>
      </c>
      <c r="AY59" s="22">
        <f>((AY14*Constants!$H72*Constants!$H90*(1-Constants!$H108))+(AY14*Constants!$H72*Constants!$H124))</f>
        <v>5982701.6816196516</v>
      </c>
      <c r="AZ59" s="22">
        <f>((AZ14*Constants!$H72*Constants!$H90*(1-Constants!$H108))+(AZ14*Constants!$H72*Constants!$H124))</f>
        <v>5996144.2831375524</v>
      </c>
      <c r="BA59" s="22">
        <f>((BA14*Constants!$H72*Constants!$H90*(1-Constants!$H108))+(BA14*Constants!$H72*Constants!$H124))</f>
        <v>5937380.6292208508</v>
      </c>
      <c r="BB59" s="22">
        <f>((BB14*Constants!$H72*Constants!$H90*(1-Constants!$H108))+(BB14*Constants!$H72*Constants!$H124))</f>
        <v>5945243.2221843982</v>
      </c>
      <c r="BC59" s="22">
        <f>((BC14*Constants!$H72*Constants!$H90*(1-Constants!$H108))+(BC14*Constants!$H72*Constants!$H124))</f>
        <v>5953810.8149069278</v>
      </c>
      <c r="BD59" s="22">
        <f>((BD14*Constants!$H72*Constants!$H90*(1-Constants!$H108))+(BD14*Constants!$H72*Constants!$H124))</f>
        <v>5963054.7767617395</v>
      </c>
      <c r="BE59" s="22">
        <f>((BE14*Constants!$H72*Constants!$H90*(1-Constants!$H108))+(BE14*Constants!$H72*Constants!$H124))</f>
        <v>5972948.6978737833</v>
      </c>
      <c r="BF59" s="22">
        <f>((BF14*Constants!$H72*Constants!$H90*(1-Constants!$H108))+(BF14*Constants!$H72*Constants!$H124))</f>
        <v>5983468.1764868489</v>
      </c>
      <c r="BG59" s="22">
        <f>((BG14*Constants!$H72*Constants!$H90*(1-Constants!$H108))+(BG14*Constants!$H72*Constants!$H124))</f>
        <v>5987983.6459578471</v>
      </c>
      <c r="BH59" s="22">
        <f>((BH14*Constants!$H72*Constants!$H90*(1-Constants!$H108))+(BH14*Constants!$H72*Constants!$H124))</f>
        <v>5993062.6594124436</v>
      </c>
      <c r="BI59" s="22">
        <f>((BI14*Constants!$H72*Constants!$H90*(1-Constants!$H108))+(BI14*Constants!$H72*Constants!$H124))</f>
        <v>5998683.971269656</v>
      </c>
      <c r="BJ59" s="22">
        <f>((BJ14*Constants!$H72*Constants!$H90*(1-Constants!$H108))+(BJ14*Constants!$H72*Constants!$H124))</f>
        <v>6004827.7934453161</v>
      </c>
      <c r="BK59" s="22">
        <f>((BK14*Constants!$H72*Constants!$H90*(1-Constants!$H108))+(BK14*Constants!$H72*Constants!$H124))</f>
        <v>6011475.6704841377</v>
      </c>
      <c r="BL59" s="22">
        <f>((BL14*Constants!$H72*Constants!$H90*(1-Constants!$H108))+(BL14*Constants!$H72*Constants!$H124))</f>
        <v>6011994.3374614036</v>
      </c>
      <c r="BM59" s="22">
        <f>((BM14*Constants!$H72*Constants!$H90*(1-Constants!$H108))+(BM14*Constants!$H72*Constants!$H124))</f>
        <v>6012974.2716596732</v>
      </c>
      <c r="BN59" s="22">
        <f>((BN14*Constants!$H72*Constants!$H90*(1-Constants!$H108))+(BN14*Constants!$H72*Constants!$H124))</f>
        <v>6014398.9075584104</v>
      </c>
      <c r="BO59" s="22">
        <f>((BO14*Constants!$H72*Constants!$H90*(1-Constants!$H108))+(BO14*Constants!$H72*Constants!$H124))</f>
        <v>6016252.6935931705</v>
      </c>
      <c r="BP59" s="22">
        <f>((BP14*Constants!$H72*Constants!$H90*(1-Constants!$H108))+(BP14*Constants!$H72*Constants!$H124))</f>
        <v>6018521.013602118</v>
      </c>
    </row>
    <row r="60" spans="1:72" x14ac:dyDescent="0.25">
      <c r="A60" t="str">
        <f t="shared" si="20"/>
        <v>3C Aggregated and non-CO2 emissions on land</v>
      </c>
      <c r="B60" t="str">
        <f t="shared" si="21"/>
        <v>3C4 Direct N2O from managed soils (N2O)</v>
      </c>
      <c r="C60" t="s">
        <v>409</v>
      </c>
      <c r="D60" t="str">
        <f>Constants!D125</f>
        <v xml:space="preserve"> - Horses</v>
      </c>
      <c r="E60" t="str">
        <f t="shared" si="23"/>
        <v>MM N available - Horses</v>
      </c>
      <c r="F60" t="str">
        <f t="shared" si="24"/>
        <v>kg N</v>
      </c>
      <c r="H60" s="22">
        <f>((H15*Constants!$H73*Constants!$H91*(1-Constants!$H109))+(H15*Constants!$H73*Constants!$H125))</f>
        <v>0</v>
      </c>
      <c r="I60" s="22">
        <f>((I15*Constants!$H73*Constants!$H91*(1-Constants!$H109))+(I15*Constants!$H73*Constants!$H125))</f>
        <v>0</v>
      </c>
      <c r="J60" s="22">
        <f>((J15*Constants!$H73*Constants!$H91*(1-Constants!$H109))+(J15*Constants!$H73*Constants!$H125))</f>
        <v>0</v>
      </c>
      <c r="K60" s="22">
        <f>((K15*Constants!$H73*Constants!$H91*(1-Constants!$H109))+(K15*Constants!$H73*Constants!$H125))</f>
        <v>0</v>
      </c>
      <c r="L60" s="22">
        <f>((L15*Constants!$H73*Constants!$H91*(1-Constants!$H109))+(L15*Constants!$H73*Constants!$H125))</f>
        <v>0</v>
      </c>
      <c r="M60" s="22">
        <f>((M15*Constants!$H73*Constants!$H91*(1-Constants!$H109))+(M15*Constants!$H73*Constants!$H125))</f>
        <v>0</v>
      </c>
      <c r="N60" s="22">
        <f>((N15*Constants!$H73*Constants!$H91*(1-Constants!$H109))+(N15*Constants!$H73*Constants!$H125))</f>
        <v>0</v>
      </c>
      <c r="O60" s="22">
        <f>((O15*Constants!$H73*Constants!$H91*(1-Constants!$H109))+(O15*Constants!$H73*Constants!$H125))</f>
        <v>0</v>
      </c>
      <c r="P60" s="22">
        <f>((P15*Constants!$H73*Constants!$H91*(1-Constants!$H109))+(P15*Constants!$H73*Constants!$H125))</f>
        <v>0</v>
      </c>
      <c r="Q60" s="22">
        <f>((Q15*Constants!$H73*Constants!$H91*(1-Constants!$H109))+(Q15*Constants!$H73*Constants!$H125))</f>
        <v>0</v>
      </c>
      <c r="R60" s="22">
        <f>((R15*Constants!$H73*Constants!$H91*(1-Constants!$H109))+(R15*Constants!$H73*Constants!$H125))</f>
        <v>0</v>
      </c>
      <c r="S60" s="22">
        <f>((S15*Constants!$H73*Constants!$H91*(1-Constants!$H109))+(S15*Constants!$H73*Constants!$H125))</f>
        <v>0</v>
      </c>
      <c r="T60" s="22">
        <f>((T15*Constants!$H73*Constants!$H91*(1-Constants!$H109))+(T15*Constants!$H73*Constants!$H125))</f>
        <v>0</v>
      </c>
      <c r="U60" s="22">
        <f>((U15*Constants!$H73*Constants!$H91*(1-Constants!$H109))+(U15*Constants!$H73*Constants!$H125))</f>
        <v>0</v>
      </c>
      <c r="V60" s="22">
        <f>((V15*Constants!$H73*Constants!$H91*(1-Constants!$H109))+(V15*Constants!$H73*Constants!$H125))</f>
        <v>0</v>
      </c>
      <c r="W60" s="22">
        <f>((W15*Constants!$H73*Constants!$H91*(1-Constants!$H109))+(W15*Constants!$H73*Constants!$H125))</f>
        <v>0</v>
      </c>
      <c r="X60" s="22">
        <f>((X15*Constants!$H73*Constants!$H91*(1-Constants!$H109))+(X15*Constants!$H73*Constants!$H125))</f>
        <v>0</v>
      </c>
      <c r="Y60" s="22">
        <f>((Y15*Constants!$H73*Constants!$H91*(1-Constants!$H109))+(Y15*Constants!$H73*Constants!$H125))</f>
        <v>0</v>
      </c>
      <c r="Z60" s="22">
        <f>((Z15*Constants!$H73*Constants!$H91*(1-Constants!$H109))+(Z15*Constants!$H73*Constants!$H125))</f>
        <v>0</v>
      </c>
      <c r="AA60" s="22">
        <f>((AA15*Constants!$H73*Constants!$H91*(1-Constants!$H109))+(AA15*Constants!$H73*Constants!$H125))</f>
        <v>0</v>
      </c>
      <c r="AB60" s="22">
        <f>((AB15*Constants!$H73*Constants!$H91*(1-Constants!$H109))+(AB15*Constants!$H73*Constants!$H125))</f>
        <v>0</v>
      </c>
      <c r="AC60" s="22">
        <f>((AC15*Constants!$H73*Constants!$H91*(1-Constants!$H109))+(AC15*Constants!$H73*Constants!$H125))</f>
        <v>0</v>
      </c>
      <c r="AD60" s="22">
        <f>((AD15*Constants!$H73*Constants!$H91*(1-Constants!$H109))+(AD15*Constants!$H73*Constants!$H125))</f>
        <v>0</v>
      </c>
      <c r="AE60" s="22">
        <f>((AE15*Constants!$H73*Constants!$H91*(1-Constants!$H109))+(AE15*Constants!$H73*Constants!$H125))</f>
        <v>0</v>
      </c>
      <c r="AF60" s="22">
        <f>((AF15*Constants!$H73*Constants!$H91*(1-Constants!$H109))+(AF15*Constants!$H73*Constants!$H125))</f>
        <v>0</v>
      </c>
      <c r="AG60" s="22">
        <f>((AG15*Constants!$H73*Constants!$H91*(1-Constants!$H109))+(AG15*Constants!$H73*Constants!$H125))</f>
        <v>0</v>
      </c>
      <c r="AH60" s="22">
        <f>((AH15*Constants!$H73*Constants!$H91*(1-Constants!$H109))+(AH15*Constants!$H73*Constants!$H125))</f>
        <v>0</v>
      </c>
      <c r="AI60" s="22">
        <f>((AI15*Constants!$H73*Constants!$H91*(1-Constants!$H109))+(AI15*Constants!$H73*Constants!$H125))</f>
        <v>0</v>
      </c>
      <c r="AJ60" s="22">
        <f>((AJ15*Constants!$H73*Constants!$H91*(1-Constants!$H109))+(AJ15*Constants!$H73*Constants!$H125))</f>
        <v>0</v>
      </c>
      <c r="AK60" s="22">
        <f>((AK15*Constants!$H73*Constants!$H91*(1-Constants!$H109))+(AK15*Constants!$H73*Constants!$H125))</f>
        <v>0</v>
      </c>
      <c r="AL60" s="22">
        <f>((AL15*Constants!$H73*Constants!$H91*(1-Constants!$H109))+(AL15*Constants!$H73*Constants!$H125))</f>
        <v>0</v>
      </c>
      <c r="AM60" s="22">
        <f>((AM15*Constants!$H73*Constants!$H91*(1-Constants!$H109))+(AM15*Constants!$H73*Constants!$H125))</f>
        <v>0</v>
      </c>
      <c r="AN60" s="22">
        <f>((AN15*Constants!$H73*Constants!$H91*(1-Constants!$H109))+(AN15*Constants!$H73*Constants!$H125))</f>
        <v>0</v>
      </c>
      <c r="AO60" s="22">
        <f>((AO15*Constants!$H73*Constants!$H91*(1-Constants!$H109))+(AO15*Constants!$H73*Constants!$H125))</f>
        <v>0</v>
      </c>
      <c r="AP60" s="22">
        <f>((AP15*Constants!$H73*Constants!$H91*(1-Constants!$H109))+(AP15*Constants!$H73*Constants!$H125))</f>
        <v>0</v>
      </c>
      <c r="AQ60" s="22">
        <f>((AQ15*Constants!$H73*Constants!$H91*(1-Constants!$H109))+(AQ15*Constants!$H73*Constants!$H125))</f>
        <v>0</v>
      </c>
      <c r="AR60" s="22">
        <f>((AR15*Constants!$H73*Constants!$H91*(1-Constants!$H109))+(AR15*Constants!$H73*Constants!$H125))</f>
        <v>0</v>
      </c>
      <c r="AS60" s="22">
        <f>((AS15*Constants!$H73*Constants!$H91*(1-Constants!$H109))+(AS15*Constants!$H73*Constants!$H125))</f>
        <v>0</v>
      </c>
      <c r="AT60" s="22">
        <f>((AT15*Constants!$H73*Constants!$H91*(1-Constants!$H109))+(AT15*Constants!$H73*Constants!$H125))</f>
        <v>0</v>
      </c>
      <c r="AU60" s="22">
        <f>((AU15*Constants!$H73*Constants!$H91*(1-Constants!$H109))+(AU15*Constants!$H73*Constants!$H125))</f>
        <v>0</v>
      </c>
      <c r="AV60" s="22">
        <f>((AV15*Constants!$H73*Constants!$H91*(1-Constants!$H109))+(AV15*Constants!$H73*Constants!$H125))</f>
        <v>0</v>
      </c>
      <c r="AW60" s="22">
        <f>((AW15*Constants!$H73*Constants!$H91*(1-Constants!$H109))+(AW15*Constants!$H73*Constants!$H125))</f>
        <v>0</v>
      </c>
      <c r="AX60" s="22">
        <f>((AX15*Constants!$H73*Constants!$H91*(1-Constants!$H109))+(AX15*Constants!$H73*Constants!$H125))</f>
        <v>0</v>
      </c>
      <c r="AY60" s="22">
        <f>((AY15*Constants!$H73*Constants!$H91*(1-Constants!$H109))+(AY15*Constants!$H73*Constants!$H125))</f>
        <v>0</v>
      </c>
      <c r="AZ60" s="22">
        <f>((AZ15*Constants!$H73*Constants!$H91*(1-Constants!$H109))+(AZ15*Constants!$H73*Constants!$H125))</f>
        <v>0</v>
      </c>
      <c r="BA60" s="22">
        <f>((BA15*Constants!$H73*Constants!$H91*(1-Constants!$H109))+(BA15*Constants!$H73*Constants!$H125))</f>
        <v>0</v>
      </c>
      <c r="BB60" s="22">
        <f>((BB15*Constants!$H73*Constants!$H91*(1-Constants!$H109))+(BB15*Constants!$H73*Constants!$H125))</f>
        <v>0</v>
      </c>
      <c r="BC60" s="22">
        <f>((BC15*Constants!$H73*Constants!$H91*(1-Constants!$H109))+(BC15*Constants!$H73*Constants!$H125))</f>
        <v>0</v>
      </c>
      <c r="BD60" s="22">
        <f>((BD15*Constants!$H73*Constants!$H91*(1-Constants!$H109))+(BD15*Constants!$H73*Constants!$H125))</f>
        <v>0</v>
      </c>
      <c r="BE60" s="22">
        <f>((BE15*Constants!$H73*Constants!$H91*(1-Constants!$H109))+(BE15*Constants!$H73*Constants!$H125))</f>
        <v>0</v>
      </c>
      <c r="BF60" s="22">
        <f>((BF15*Constants!$H73*Constants!$H91*(1-Constants!$H109))+(BF15*Constants!$H73*Constants!$H125))</f>
        <v>0</v>
      </c>
      <c r="BG60" s="22">
        <f>((BG15*Constants!$H73*Constants!$H91*(1-Constants!$H109))+(BG15*Constants!$H73*Constants!$H125))</f>
        <v>0</v>
      </c>
      <c r="BH60" s="22">
        <f>((BH15*Constants!$H73*Constants!$H91*(1-Constants!$H109))+(BH15*Constants!$H73*Constants!$H125))</f>
        <v>0</v>
      </c>
      <c r="BI60" s="22">
        <f>((BI15*Constants!$H73*Constants!$H91*(1-Constants!$H109))+(BI15*Constants!$H73*Constants!$H125))</f>
        <v>0</v>
      </c>
      <c r="BJ60" s="22">
        <f>((BJ15*Constants!$H73*Constants!$H91*(1-Constants!$H109))+(BJ15*Constants!$H73*Constants!$H125))</f>
        <v>0</v>
      </c>
      <c r="BK60" s="22">
        <f>((BK15*Constants!$H73*Constants!$H91*(1-Constants!$H109))+(BK15*Constants!$H73*Constants!$H125))</f>
        <v>0</v>
      </c>
      <c r="BL60" s="22">
        <f>((BL15*Constants!$H73*Constants!$H91*(1-Constants!$H109))+(BL15*Constants!$H73*Constants!$H125))</f>
        <v>0</v>
      </c>
      <c r="BM60" s="22">
        <f>((BM15*Constants!$H73*Constants!$H91*(1-Constants!$H109))+(BM15*Constants!$H73*Constants!$H125))</f>
        <v>0</v>
      </c>
      <c r="BN60" s="22">
        <f>((BN15*Constants!$H73*Constants!$H91*(1-Constants!$H109))+(BN15*Constants!$H73*Constants!$H125))</f>
        <v>0</v>
      </c>
      <c r="BO60" s="22">
        <f>((BO15*Constants!$H73*Constants!$H91*(1-Constants!$H109))+(BO15*Constants!$H73*Constants!$H125))</f>
        <v>0</v>
      </c>
      <c r="BP60" s="22">
        <f>((BP15*Constants!$H73*Constants!$H91*(1-Constants!$H109))+(BP15*Constants!$H73*Constants!$H125))</f>
        <v>0</v>
      </c>
    </row>
    <row r="61" spans="1:72" x14ac:dyDescent="0.25">
      <c r="A61" t="str">
        <f t="shared" si="20"/>
        <v>3C Aggregated and non-CO2 emissions on land</v>
      </c>
      <c r="B61" t="str">
        <f t="shared" si="21"/>
        <v>3C4 Direct N2O from managed soils (N2O)</v>
      </c>
      <c r="C61" t="s">
        <v>409</v>
      </c>
      <c r="D61" t="str">
        <f>Constants!D126</f>
        <v xml:space="preserve"> - Mules &amp; Asses</v>
      </c>
      <c r="E61" t="str">
        <f t="shared" si="23"/>
        <v>MM N available - Mules &amp; Asses</v>
      </c>
      <c r="F61" t="str">
        <f t="shared" si="24"/>
        <v>kg N</v>
      </c>
      <c r="H61" s="22">
        <f>((H16*Constants!$H74*Constants!$H92*(1-Constants!$H110))+(H16*Constants!$H74*Constants!$H126))</f>
        <v>0</v>
      </c>
      <c r="I61" s="22">
        <f>((I16*Constants!$H74*Constants!$H92*(1-Constants!$H110))+(I16*Constants!$H74*Constants!$H126))</f>
        <v>0</v>
      </c>
      <c r="J61" s="22">
        <f>((J16*Constants!$H74*Constants!$H92*(1-Constants!$H110))+(J16*Constants!$H74*Constants!$H126))</f>
        <v>0</v>
      </c>
      <c r="K61" s="22">
        <f>((K16*Constants!$H74*Constants!$H92*(1-Constants!$H110))+(K16*Constants!$H74*Constants!$H126))</f>
        <v>0</v>
      </c>
      <c r="L61" s="22">
        <f>((L16*Constants!$H74*Constants!$H92*(1-Constants!$H110))+(L16*Constants!$H74*Constants!$H126))</f>
        <v>0</v>
      </c>
      <c r="M61" s="22">
        <f>((M16*Constants!$H74*Constants!$H92*(1-Constants!$H110))+(M16*Constants!$H74*Constants!$H126))</f>
        <v>0</v>
      </c>
      <c r="N61" s="22">
        <f>((N16*Constants!$H74*Constants!$H92*(1-Constants!$H110))+(N16*Constants!$H74*Constants!$H126))</f>
        <v>0</v>
      </c>
      <c r="O61" s="22">
        <f>((O16*Constants!$H74*Constants!$H92*(1-Constants!$H110))+(O16*Constants!$H74*Constants!$H126))</f>
        <v>0</v>
      </c>
      <c r="P61" s="22">
        <f>((P16*Constants!$H74*Constants!$H92*(1-Constants!$H110))+(P16*Constants!$H74*Constants!$H126))</f>
        <v>0</v>
      </c>
      <c r="Q61" s="22">
        <f>((Q16*Constants!$H74*Constants!$H92*(1-Constants!$H110))+(Q16*Constants!$H74*Constants!$H126))</f>
        <v>0</v>
      </c>
      <c r="R61" s="22">
        <f>((R16*Constants!$H74*Constants!$H92*(1-Constants!$H110))+(R16*Constants!$H74*Constants!$H126))</f>
        <v>0</v>
      </c>
      <c r="S61" s="22">
        <f>((S16*Constants!$H74*Constants!$H92*(1-Constants!$H110))+(S16*Constants!$H74*Constants!$H126))</f>
        <v>0</v>
      </c>
      <c r="T61" s="22">
        <f>((T16*Constants!$H74*Constants!$H92*(1-Constants!$H110))+(T16*Constants!$H74*Constants!$H126))</f>
        <v>0</v>
      </c>
      <c r="U61" s="22">
        <f>((U16*Constants!$H74*Constants!$H92*(1-Constants!$H110))+(U16*Constants!$H74*Constants!$H126))</f>
        <v>0</v>
      </c>
      <c r="V61" s="22">
        <f>((V16*Constants!$H74*Constants!$H92*(1-Constants!$H110))+(V16*Constants!$H74*Constants!$H126))</f>
        <v>0</v>
      </c>
      <c r="W61" s="22">
        <f>((W16*Constants!$H74*Constants!$H92*(1-Constants!$H110))+(W16*Constants!$H74*Constants!$H126))</f>
        <v>0</v>
      </c>
      <c r="X61" s="22">
        <f>((X16*Constants!$H74*Constants!$H92*(1-Constants!$H110))+(X16*Constants!$H74*Constants!$H126))</f>
        <v>0</v>
      </c>
      <c r="Y61" s="22">
        <f>((Y16*Constants!$H74*Constants!$H92*(1-Constants!$H110))+(Y16*Constants!$H74*Constants!$H126))</f>
        <v>0</v>
      </c>
      <c r="Z61" s="22">
        <f>((Z16*Constants!$H74*Constants!$H92*(1-Constants!$H110))+(Z16*Constants!$H74*Constants!$H126))</f>
        <v>0</v>
      </c>
      <c r="AA61" s="22">
        <f>((AA16*Constants!$H74*Constants!$H92*(1-Constants!$H110))+(AA16*Constants!$H74*Constants!$H126))</f>
        <v>0</v>
      </c>
      <c r="AB61" s="22">
        <f>((AB16*Constants!$H74*Constants!$H92*(1-Constants!$H110))+(AB16*Constants!$H74*Constants!$H126))</f>
        <v>0</v>
      </c>
      <c r="AC61" s="22">
        <f>((AC16*Constants!$H74*Constants!$H92*(1-Constants!$H110))+(AC16*Constants!$H74*Constants!$H126))</f>
        <v>0</v>
      </c>
      <c r="AD61" s="22">
        <f>((AD16*Constants!$H74*Constants!$H92*(1-Constants!$H110))+(AD16*Constants!$H74*Constants!$H126))</f>
        <v>0</v>
      </c>
      <c r="AE61" s="22">
        <f>((AE16*Constants!$H74*Constants!$H92*(1-Constants!$H110))+(AE16*Constants!$H74*Constants!$H126))</f>
        <v>0</v>
      </c>
      <c r="AF61" s="22">
        <f>((AF16*Constants!$H74*Constants!$H92*(1-Constants!$H110))+(AF16*Constants!$H74*Constants!$H126))</f>
        <v>0</v>
      </c>
      <c r="AG61" s="22">
        <f>((AG16*Constants!$H74*Constants!$H92*(1-Constants!$H110))+(AG16*Constants!$H74*Constants!$H126))</f>
        <v>0</v>
      </c>
      <c r="AH61" s="22">
        <f>((AH16*Constants!$H74*Constants!$H92*(1-Constants!$H110))+(AH16*Constants!$H74*Constants!$H126))</f>
        <v>0</v>
      </c>
      <c r="AI61" s="22">
        <f>((AI16*Constants!$H74*Constants!$H92*(1-Constants!$H110))+(AI16*Constants!$H74*Constants!$H126))</f>
        <v>0</v>
      </c>
      <c r="AJ61" s="22">
        <f>((AJ16*Constants!$H74*Constants!$H92*(1-Constants!$H110))+(AJ16*Constants!$H74*Constants!$H126))</f>
        <v>0</v>
      </c>
      <c r="AK61" s="22">
        <f>((AK16*Constants!$H74*Constants!$H92*(1-Constants!$H110))+(AK16*Constants!$H74*Constants!$H126))</f>
        <v>0</v>
      </c>
      <c r="AL61" s="22">
        <f>((AL16*Constants!$H74*Constants!$H92*(1-Constants!$H110))+(AL16*Constants!$H74*Constants!$H126))</f>
        <v>0</v>
      </c>
      <c r="AM61" s="22">
        <f>((AM16*Constants!$H74*Constants!$H92*(1-Constants!$H110))+(AM16*Constants!$H74*Constants!$H126))</f>
        <v>0</v>
      </c>
      <c r="AN61" s="22">
        <f>((AN16*Constants!$H74*Constants!$H92*(1-Constants!$H110))+(AN16*Constants!$H74*Constants!$H126))</f>
        <v>0</v>
      </c>
      <c r="AO61" s="22">
        <f>((AO16*Constants!$H74*Constants!$H92*(1-Constants!$H110))+(AO16*Constants!$H74*Constants!$H126))</f>
        <v>0</v>
      </c>
      <c r="AP61" s="22">
        <f>((AP16*Constants!$H74*Constants!$H92*(1-Constants!$H110))+(AP16*Constants!$H74*Constants!$H126))</f>
        <v>0</v>
      </c>
      <c r="AQ61" s="22">
        <f>((AQ16*Constants!$H74*Constants!$H92*(1-Constants!$H110))+(AQ16*Constants!$H74*Constants!$H126))</f>
        <v>0</v>
      </c>
      <c r="AR61" s="22">
        <f>((AR16*Constants!$H74*Constants!$H92*(1-Constants!$H110))+(AR16*Constants!$H74*Constants!$H126))</f>
        <v>0</v>
      </c>
      <c r="AS61" s="22">
        <f>((AS16*Constants!$H74*Constants!$H92*(1-Constants!$H110))+(AS16*Constants!$H74*Constants!$H126))</f>
        <v>0</v>
      </c>
      <c r="AT61" s="22">
        <f>((AT16*Constants!$H74*Constants!$H92*(1-Constants!$H110))+(AT16*Constants!$H74*Constants!$H126))</f>
        <v>0</v>
      </c>
      <c r="AU61" s="22">
        <f>((AU16*Constants!$H74*Constants!$H92*(1-Constants!$H110))+(AU16*Constants!$H74*Constants!$H126))</f>
        <v>0</v>
      </c>
      <c r="AV61" s="22">
        <f>((AV16*Constants!$H74*Constants!$H92*(1-Constants!$H110))+(AV16*Constants!$H74*Constants!$H126))</f>
        <v>0</v>
      </c>
      <c r="AW61" s="22">
        <f>((AW16*Constants!$H74*Constants!$H92*(1-Constants!$H110))+(AW16*Constants!$H74*Constants!$H126))</f>
        <v>0</v>
      </c>
      <c r="AX61" s="22">
        <f>((AX16*Constants!$H74*Constants!$H92*(1-Constants!$H110))+(AX16*Constants!$H74*Constants!$H126))</f>
        <v>0</v>
      </c>
      <c r="AY61" s="22">
        <f>((AY16*Constants!$H74*Constants!$H92*(1-Constants!$H110))+(AY16*Constants!$H74*Constants!$H126))</f>
        <v>0</v>
      </c>
      <c r="AZ61" s="22">
        <f>((AZ16*Constants!$H74*Constants!$H92*(1-Constants!$H110))+(AZ16*Constants!$H74*Constants!$H126))</f>
        <v>0</v>
      </c>
      <c r="BA61" s="22">
        <f>((BA16*Constants!$H74*Constants!$H92*(1-Constants!$H110))+(BA16*Constants!$H74*Constants!$H126))</f>
        <v>0</v>
      </c>
      <c r="BB61" s="22">
        <f>((BB16*Constants!$H74*Constants!$H92*(1-Constants!$H110))+(BB16*Constants!$H74*Constants!$H126))</f>
        <v>0</v>
      </c>
      <c r="BC61" s="22">
        <f>((BC16*Constants!$H74*Constants!$H92*(1-Constants!$H110))+(BC16*Constants!$H74*Constants!$H126))</f>
        <v>0</v>
      </c>
      <c r="BD61" s="22">
        <f>((BD16*Constants!$H74*Constants!$H92*(1-Constants!$H110))+(BD16*Constants!$H74*Constants!$H126))</f>
        <v>0</v>
      </c>
      <c r="BE61" s="22">
        <f>((BE16*Constants!$H74*Constants!$H92*(1-Constants!$H110))+(BE16*Constants!$H74*Constants!$H126))</f>
        <v>0</v>
      </c>
      <c r="BF61" s="22">
        <f>((BF16*Constants!$H74*Constants!$H92*(1-Constants!$H110))+(BF16*Constants!$H74*Constants!$H126))</f>
        <v>0</v>
      </c>
      <c r="BG61" s="22">
        <f>((BG16*Constants!$H74*Constants!$H92*(1-Constants!$H110))+(BG16*Constants!$H74*Constants!$H126))</f>
        <v>0</v>
      </c>
      <c r="BH61" s="22">
        <f>((BH16*Constants!$H74*Constants!$H92*(1-Constants!$H110))+(BH16*Constants!$H74*Constants!$H126))</f>
        <v>0</v>
      </c>
      <c r="BI61" s="22">
        <f>((BI16*Constants!$H74*Constants!$H92*(1-Constants!$H110))+(BI16*Constants!$H74*Constants!$H126))</f>
        <v>0</v>
      </c>
      <c r="BJ61" s="22">
        <f>((BJ16*Constants!$H74*Constants!$H92*(1-Constants!$H110))+(BJ16*Constants!$H74*Constants!$H126))</f>
        <v>0</v>
      </c>
      <c r="BK61" s="22">
        <f>((BK16*Constants!$H74*Constants!$H92*(1-Constants!$H110))+(BK16*Constants!$H74*Constants!$H126))</f>
        <v>0</v>
      </c>
      <c r="BL61" s="22">
        <f>((BL16*Constants!$H74*Constants!$H92*(1-Constants!$H110))+(BL16*Constants!$H74*Constants!$H126))</f>
        <v>0</v>
      </c>
      <c r="BM61" s="22">
        <f>((BM16*Constants!$H74*Constants!$H92*(1-Constants!$H110))+(BM16*Constants!$H74*Constants!$H126))</f>
        <v>0</v>
      </c>
      <c r="BN61" s="22">
        <f>((BN16*Constants!$H74*Constants!$H92*(1-Constants!$H110))+(BN16*Constants!$H74*Constants!$H126))</f>
        <v>0</v>
      </c>
      <c r="BO61" s="22">
        <f>((BO16*Constants!$H74*Constants!$H92*(1-Constants!$H110))+(BO16*Constants!$H74*Constants!$H126))</f>
        <v>0</v>
      </c>
      <c r="BP61" s="22">
        <f>((BP16*Constants!$H74*Constants!$H92*(1-Constants!$H110))+(BP16*Constants!$H74*Constants!$H126))</f>
        <v>0</v>
      </c>
    </row>
    <row r="62" spans="1:72" x14ac:dyDescent="0.25">
      <c r="A62" t="str">
        <f t="shared" si="20"/>
        <v>3C Aggregated and non-CO2 emissions on land</v>
      </c>
      <c r="B62" t="str">
        <f t="shared" si="21"/>
        <v>3C4 Direct N2O from managed soils (N2O)</v>
      </c>
      <c r="C62" t="s">
        <v>409</v>
      </c>
      <c r="D62" t="str">
        <f>Constants!D127</f>
        <v xml:space="preserve"> - Commercial swine</v>
      </c>
      <c r="E62" t="str">
        <f t="shared" si="23"/>
        <v>MM N available - Commercial swine</v>
      </c>
      <c r="F62" t="str">
        <f t="shared" si="24"/>
        <v>kg N</v>
      </c>
      <c r="H62" s="22">
        <f>((H17*Constants!$H75*Constants!$H93*(1-Constants!$H111))+(H17*Constants!$H75*Constants!$H127))</f>
        <v>7298537.9251200007</v>
      </c>
      <c r="I62" s="22">
        <f>((I17*Constants!$H75*Constants!$H93*(1-Constants!$H111))+(I17*Constants!$H75*Constants!$H127))</f>
        <v>7973796.3552000001</v>
      </c>
      <c r="J62" s="22">
        <f>((J17*Constants!$H75*Constants!$H93*(1-Constants!$H111))+(J17*Constants!$H75*Constants!$H127))</f>
        <v>7921116.6195200011</v>
      </c>
      <c r="K62" s="22">
        <f>((K17*Constants!$H75*Constants!$H93*(1-Constants!$H111))+(K17*Constants!$H75*Constants!$H127))</f>
        <v>7916327.5526400004</v>
      </c>
      <c r="L62" s="22">
        <f>((L17*Constants!$H75*Constants!$H93*(1-Constants!$H111))+(L17*Constants!$H75*Constants!$H127))</f>
        <v>7518835.0016000001</v>
      </c>
      <c r="M62" s="22">
        <f>((M17*Constants!$H75*Constants!$H93*(1-Constants!$H111))+(M17*Constants!$H75*Constants!$H127))</f>
        <v>7590671.0048000002</v>
      </c>
      <c r="N62" s="22">
        <f>((N17*Constants!$H75*Constants!$H93*(1-Constants!$H111))+(N17*Constants!$H75*Constants!$H127))</f>
        <v>8174937.1641600002</v>
      </c>
      <c r="O62" s="22">
        <f>((O17*Constants!$H75*Constants!$H93*(1-Constants!$H111))+(O17*Constants!$H75*Constants!$H127))</f>
        <v>8136624.6291200006</v>
      </c>
      <c r="P62" s="22">
        <f>((P17*Constants!$H75*Constants!$H93*(1-Constants!$H111))+(P17*Constants!$H75*Constants!$H127))</f>
        <v>8313820.1036800006</v>
      </c>
      <c r="Q62" s="22">
        <f>((Q17*Constants!$H75*Constants!$H93*(1-Constants!$H111))+(Q17*Constants!$H75*Constants!$H127))</f>
        <v>8524539.0463999994</v>
      </c>
      <c r="R62" s="22">
        <f>((R17*Constants!$H75*Constants!$H93*(1-Constants!$H111))+(R17*Constants!$H75*Constants!$H127))</f>
        <v>7887593.1513599996</v>
      </c>
      <c r="S62" s="22">
        <f>((S17*Constants!$H75*Constants!$H93*(1-Constants!$H111))+(S17*Constants!$H75*Constants!$H127))</f>
        <v>8036054.2246400006</v>
      </c>
      <c r="T62" s="22">
        <f>((T17*Constants!$H75*Constants!$H93*(1-Constants!$H111))+(T17*Constants!$H75*Constants!$H127))</f>
        <v>8189304.3647999996</v>
      </c>
      <c r="U62" s="22">
        <f>((U17*Constants!$H75*Constants!$H93*(1-Constants!$H111))+(U17*Constants!$H75*Constants!$H127))</f>
        <v>7964218.2214400005</v>
      </c>
      <c r="V62" s="22">
        <f>((V17*Constants!$H75*Constants!$H93*(1-Constants!$H111))+(V17*Constants!$H75*Constants!$H127))</f>
        <v>7964218.2214400005</v>
      </c>
      <c r="W62" s="22">
        <f>((W17*Constants!$H75*Constants!$H93*(1-Constants!$H111))+(W17*Constants!$H75*Constants!$H127))</f>
        <v>7906749.4188800007</v>
      </c>
      <c r="X62" s="22">
        <f>((X17*Constants!$H75*Constants!$H93*(1-Constants!$H111))+(X17*Constants!$H75*Constants!$H127))</f>
        <v>7767866.4793599993</v>
      </c>
      <c r="Y62" s="22">
        <f>((Y17*Constants!$H75*Constants!$H93*(1-Constants!$H111))+(Y17*Constants!$H75*Constants!$H127))</f>
        <v>7906749.4188800007</v>
      </c>
      <c r="Z62" s="22">
        <f>((Z17*Constants!$H75*Constants!$H93*(1-Constants!$H111))+(Z17*Constants!$H75*Constants!$H127))</f>
        <v>7734343.0111999996</v>
      </c>
      <c r="AA62" s="22">
        <f>((AA17*Constants!$H75*Constants!$H93*(1-Constants!$H111))+(AA17*Constants!$H75*Constants!$H127))</f>
        <v>7724764.87744</v>
      </c>
      <c r="AB62" s="22">
        <f>((AB17*Constants!$H75*Constants!$H93*(1-Constants!$H111))+(AB17*Constants!$H75*Constants!$H127))</f>
        <v>7633772.6067200005</v>
      </c>
      <c r="AC62" s="22">
        <f>((AC17*Constants!$H75*Constants!$H93*(1-Constants!$H111))+(AC17*Constants!$H75*Constants!$H127))</f>
        <v>7585881.9379200004</v>
      </c>
      <c r="AD62" s="22">
        <f>((AD17*Constants!$H75*Constants!$H93*(1-Constants!$H111))+(AD17*Constants!$H75*Constants!$H127))</f>
        <v>7991547.6739922101</v>
      </c>
      <c r="AE62" s="22">
        <f>((AE17*Constants!$H75*Constants!$H93*(1-Constants!$H111))+(AE17*Constants!$H75*Constants!$H127))</f>
        <v>7966323.4427003823</v>
      </c>
      <c r="AF62" s="22">
        <f>((AF17*Constants!$H75*Constants!$H93*(1-Constants!$H111))+(AF17*Constants!$H75*Constants!$H127))</f>
        <v>7882907.0998757593</v>
      </c>
      <c r="AG62" s="22">
        <f>((AG17*Constants!$H75*Constants!$H93*(1-Constants!$H111))+(AG17*Constants!$H75*Constants!$H127))</f>
        <v>7720943.4806476664</v>
      </c>
      <c r="AH62" s="22">
        <f>((AH17*Constants!$H75*Constants!$H93*(1-Constants!$H111))+(AH17*Constants!$H75*Constants!$H127))</f>
        <v>7566066.3422990916</v>
      </c>
      <c r="AI62" s="22">
        <f>((AI17*Constants!$H75*Constants!$H93*(1-Constants!$H111))+(AI17*Constants!$H75*Constants!$H127))</f>
        <v>7457418.0401987415</v>
      </c>
      <c r="AJ62" s="22">
        <f>((AJ17*Constants!$H75*Constants!$H93*(1-Constants!$H111))+(AJ17*Constants!$H75*Constants!$H127))</f>
        <v>7365401.9907038901</v>
      </c>
      <c r="AK62" s="22">
        <f>((AK17*Constants!$H75*Constants!$H93*(1-Constants!$H111))+(AK17*Constants!$H75*Constants!$H127))</f>
        <v>7195964.144640428</v>
      </c>
      <c r="AL62" s="22">
        <f>((AL17*Constants!$H75*Constants!$H93*(1-Constants!$H111))+(AL17*Constants!$H75*Constants!$H127))</f>
        <v>6299521.6975735789</v>
      </c>
      <c r="AM62" s="22">
        <f>((AM17*Constants!$H75*Constants!$H93*(1-Constants!$H111))+(AM17*Constants!$H75*Constants!$H127))</f>
        <v>6339552.5947010787</v>
      </c>
      <c r="AN62" s="22">
        <f>((AN17*Constants!$H75*Constants!$H93*(1-Constants!$H111))+(AN17*Constants!$H75*Constants!$H127))</f>
        <v>6359646.4650399899</v>
      </c>
      <c r="AO62" s="22">
        <f>((AO17*Constants!$H75*Constants!$H93*(1-Constants!$H111))+(AO17*Constants!$H75*Constants!$H127))</f>
        <v>6379181.6402676869</v>
      </c>
      <c r="AP62" s="22">
        <f>((AP17*Constants!$H75*Constants!$H93*(1-Constants!$H111))+(AP17*Constants!$H75*Constants!$H127))</f>
        <v>6426898.3082598783</v>
      </c>
      <c r="AQ62" s="22">
        <f>((AQ17*Constants!$H75*Constants!$H93*(1-Constants!$H111))+(AQ17*Constants!$H75*Constants!$H127))</f>
        <v>6473010.8218541751</v>
      </c>
      <c r="AR62" s="22">
        <f>((AR17*Constants!$H75*Constants!$H93*(1-Constants!$H111))+(AR17*Constants!$H75*Constants!$H127))</f>
        <v>6525913.6888959305</v>
      </c>
      <c r="AS62" s="22">
        <f>((AS17*Constants!$H75*Constants!$H93*(1-Constants!$H111))+(AS17*Constants!$H75*Constants!$H127))</f>
        <v>6570317.6262631817</v>
      </c>
      <c r="AT62" s="22">
        <f>((AT17*Constants!$H75*Constants!$H93*(1-Constants!$H111))+(AT17*Constants!$H75*Constants!$H127))</f>
        <v>6623680.828606938</v>
      </c>
      <c r="AU62" s="22">
        <f>((AU17*Constants!$H75*Constants!$H93*(1-Constants!$H111))+(AU17*Constants!$H75*Constants!$H127))</f>
        <v>6662526.1736475425</v>
      </c>
      <c r="AV62" s="22">
        <f>((AV17*Constants!$H75*Constants!$H93*(1-Constants!$H111))+(AV17*Constants!$H75*Constants!$H127))</f>
        <v>6703388.0752187986</v>
      </c>
      <c r="AW62" s="22">
        <f>((AW17*Constants!$H75*Constants!$H93*(1-Constants!$H111))+(AW17*Constants!$H75*Constants!$H127))</f>
        <v>6778755.5566179631</v>
      </c>
      <c r="AX62" s="22">
        <f>((AX17*Constants!$H75*Constants!$H93*(1-Constants!$H111))+(AX17*Constants!$H75*Constants!$H127))</f>
        <v>6866797.0794043643</v>
      </c>
      <c r="AY62" s="22">
        <f>((AY17*Constants!$H75*Constants!$H93*(1-Constants!$H111))+(AY17*Constants!$H75*Constants!$H127))</f>
        <v>6957904.1861563316</v>
      </c>
      <c r="AZ62" s="22">
        <f>((AZ17*Constants!$H75*Constants!$H93*(1-Constants!$H111))+(AZ17*Constants!$H75*Constants!$H127))</f>
        <v>6855507.9245013501</v>
      </c>
      <c r="BA62" s="22">
        <f>((BA17*Constants!$H75*Constants!$H93*(1-Constants!$H111))+(BA17*Constants!$H75*Constants!$H127))</f>
        <v>-2313099.5052219448</v>
      </c>
      <c r="BB62" s="22">
        <f>((BB17*Constants!$H75*Constants!$H93*(1-Constants!$H111))+(BB17*Constants!$H75*Constants!$H127))</f>
        <v>-2287797.9327229024</v>
      </c>
      <c r="BC62" s="22">
        <f>((BC17*Constants!$H75*Constants!$H93*(1-Constants!$H111))+(BC17*Constants!$H75*Constants!$H127))</f>
        <v>-2263038.2839145442</v>
      </c>
      <c r="BD62" s="22">
        <f>((BD17*Constants!$H75*Constants!$H93*(1-Constants!$H111))+(BD17*Constants!$H75*Constants!$H127))</f>
        <v>-2238785.1068301634</v>
      </c>
      <c r="BE62" s="22">
        <f>((BE17*Constants!$H75*Constants!$H93*(1-Constants!$H111))+(BE17*Constants!$H75*Constants!$H127))</f>
        <v>-2215005.5453000884</v>
      </c>
      <c r="BF62" s="22">
        <f>((BF17*Constants!$H75*Constants!$H93*(1-Constants!$H111))+(BF17*Constants!$H75*Constants!$H127))</f>
        <v>-2191669.0879230401</v>
      </c>
      <c r="BG62" s="22">
        <f>((BG17*Constants!$H75*Constants!$H93*(1-Constants!$H111))+(BG17*Constants!$H75*Constants!$H127))</f>
        <v>-2166073.6437911359</v>
      </c>
      <c r="BH62" s="22">
        <f>((BH17*Constants!$H75*Constants!$H93*(1-Constants!$H111))+(BH17*Constants!$H75*Constants!$H127))</f>
        <v>-2140929.4834788847</v>
      </c>
      <c r="BI62" s="22">
        <f>((BI17*Constants!$H75*Constants!$H93*(1-Constants!$H111))+(BI17*Constants!$H75*Constants!$H127))</f>
        <v>-2116210.2499472206</v>
      </c>
      <c r="BJ62" s="22">
        <f>((BJ17*Constants!$H75*Constants!$H93*(1-Constants!$H111))+(BJ17*Constants!$H75*Constants!$H127))</f>
        <v>-2091891.3077406024</v>
      </c>
      <c r="BK62" s="22">
        <f>((BK17*Constants!$H75*Constants!$H93*(1-Constants!$H111))+(BK17*Constants!$H75*Constants!$H127))</f>
        <v>-2067949.594237848</v>
      </c>
      <c r="BL62" s="22">
        <f>((BL17*Constants!$H75*Constants!$H93*(1-Constants!$H111))+(BL17*Constants!$H75*Constants!$H127))</f>
        <v>-2041858.4863783326</v>
      </c>
      <c r="BM62" s="22">
        <f>((BM17*Constants!$H75*Constants!$H93*(1-Constants!$H111))+(BM17*Constants!$H75*Constants!$H127))</f>
        <v>-2016165.8846086052</v>
      </c>
      <c r="BN62" s="22">
        <f>((BN17*Constants!$H75*Constants!$H93*(1-Constants!$H111))+(BN17*Constants!$H75*Constants!$H127))</f>
        <v>-1990851.2763613397</v>
      </c>
      <c r="BO62" s="22">
        <f>((BO17*Constants!$H75*Constants!$H93*(1-Constants!$H111))+(BO17*Constants!$H75*Constants!$H127))</f>
        <v>-1965895.361023468</v>
      </c>
      <c r="BP62" s="22">
        <f>((BP17*Constants!$H75*Constants!$H93*(1-Constants!$H111))+(BP17*Constants!$H75*Constants!$H127))</f>
        <v>-1941279.9554436032</v>
      </c>
    </row>
    <row r="63" spans="1:72" x14ac:dyDescent="0.25">
      <c r="A63" t="str">
        <f t="shared" si="20"/>
        <v>3C Aggregated and non-CO2 emissions on land</v>
      </c>
      <c r="B63" t="str">
        <f t="shared" si="21"/>
        <v>3C4 Direct N2O from managed soils (N2O)</v>
      </c>
      <c r="C63" t="s">
        <v>409</v>
      </c>
      <c r="D63" t="str">
        <f>Constants!D128</f>
        <v xml:space="preserve"> - Subsistence swine</v>
      </c>
      <c r="E63" t="str">
        <f t="shared" si="23"/>
        <v>MM N available - Subsistence swine</v>
      </c>
      <c r="F63" t="str">
        <f t="shared" si="24"/>
        <v>kg N</v>
      </c>
      <c r="H63" s="22">
        <f>((H18*Constants!$H76*Constants!$H94*(1-Constants!$H112))+(H18*Constants!$H76*Constants!$H128))</f>
        <v>1773185.6742955854</v>
      </c>
      <c r="I63" s="22">
        <f>((I18*Constants!$H76*Constants!$H94*(1-Constants!$H112))+(I18*Constants!$H76*Constants!$H128))</f>
        <v>1937240.2543977362</v>
      </c>
      <c r="J63" s="22">
        <f>((J18*Constants!$H76*Constants!$H94*(1-Constants!$H112))+(J18*Constants!$H76*Constants!$H128))</f>
        <v>1924441.6701344475</v>
      </c>
      <c r="K63" s="22">
        <f>((K18*Constants!$H76*Constants!$H94*(1-Constants!$H112))+(K18*Constants!$H76*Constants!$H128))</f>
        <v>1923278.1624741489</v>
      </c>
      <c r="L63" s="22">
        <f>((L18*Constants!$H76*Constants!$H94*(1-Constants!$H112))+(L18*Constants!$H76*Constants!$H128))</f>
        <v>1826707.0266693365</v>
      </c>
      <c r="M63" s="22">
        <f>((M18*Constants!$H76*Constants!$H94*(1-Constants!$H112))+(M18*Constants!$H76*Constants!$H128))</f>
        <v>1844159.6415738207</v>
      </c>
      <c r="N63" s="22">
        <f>((N18*Constants!$H76*Constants!$H94*(1-Constants!$H112))+(N18*Constants!$H76*Constants!$H128))</f>
        <v>1986107.5761302917</v>
      </c>
      <c r="O63" s="22">
        <f>((O18*Constants!$H76*Constants!$H94*(1-Constants!$H112))+(O18*Constants!$H76*Constants!$H128))</f>
        <v>1976799.5148479</v>
      </c>
      <c r="P63" s="22">
        <f>((P18*Constants!$H76*Constants!$H94*(1-Constants!$H112))+(P18*Constants!$H76*Constants!$H128))</f>
        <v>2019849.2982789606</v>
      </c>
      <c r="Q63" s="22">
        <f>((Q18*Constants!$H76*Constants!$H94*(1-Constants!$H112))+(Q18*Constants!$H76*Constants!$H128))</f>
        <v>2071043.6353321141</v>
      </c>
      <c r="R63" s="22">
        <f>((R18*Constants!$H76*Constants!$H94*(1-Constants!$H112))+(R18*Constants!$H76*Constants!$H128))</f>
        <v>1916297.1165123552</v>
      </c>
      <c r="S63" s="22">
        <f>((S18*Constants!$H76*Constants!$H94*(1-Constants!$H112))+(S18*Constants!$H76*Constants!$H128))</f>
        <v>1952365.8539816223</v>
      </c>
      <c r="T63" s="22">
        <f>((T18*Constants!$H76*Constants!$H94*(1-Constants!$H112))+(T18*Constants!$H76*Constants!$H128))</f>
        <v>1989598.0991111884</v>
      </c>
      <c r="U63" s="22">
        <f>((U18*Constants!$H76*Constants!$H94*(1-Constants!$H112))+(U18*Constants!$H76*Constants!$H128))</f>
        <v>1934913.2390771382</v>
      </c>
      <c r="V63" s="22">
        <f>((V18*Constants!$H76*Constants!$H94*(1-Constants!$H112))+(V18*Constants!$H76*Constants!$H128))</f>
        <v>1934913.2390771382</v>
      </c>
      <c r="W63" s="22">
        <f>((W18*Constants!$H76*Constants!$H94*(1-Constants!$H112))+(W18*Constants!$H76*Constants!$H128))</f>
        <v>1920951.1471535508</v>
      </c>
      <c r="X63" s="22">
        <f>((X18*Constants!$H76*Constants!$H94*(1-Constants!$H112))+(X18*Constants!$H76*Constants!$H128))</f>
        <v>1887209.4250048813</v>
      </c>
      <c r="Y63" s="22">
        <f>((Y18*Constants!$H76*Constants!$H94*(1-Constants!$H112))+(Y18*Constants!$H76*Constants!$H128))</f>
        <v>1920951.1471535508</v>
      </c>
      <c r="Z63" s="22">
        <f>((Z18*Constants!$H76*Constants!$H94*(1-Constants!$H112))+(Z18*Constants!$H76*Constants!$H128))</f>
        <v>1879064.8713827892</v>
      </c>
      <c r="AA63" s="22">
        <f>((AA18*Constants!$H76*Constants!$H94*(1-Constants!$H112))+(AA18*Constants!$H76*Constants!$H128))</f>
        <v>1876737.8560621911</v>
      </c>
      <c r="AB63" s="22">
        <f>((AB18*Constants!$H76*Constants!$H94*(1-Constants!$H112))+(AB18*Constants!$H76*Constants!$H128))</f>
        <v>1854631.2105165115</v>
      </c>
      <c r="AC63" s="22">
        <f>((AC18*Constants!$H76*Constants!$H94*(1-Constants!$H112))+(AC18*Constants!$H76*Constants!$H128))</f>
        <v>1842996.1339135219</v>
      </c>
      <c r="AD63" s="22">
        <f>((AD18*Constants!$H76*Constants!$H94*(1-Constants!$H112))+(AD18*Constants!$H76*Constants!$H128))</f>
        <v>2027486.1624997228</v>
      </c>
      <c r="AE63" s="22">
        <f>((AE18*Constants!$H76*Constants!$H94*(1-Constants!$H112))+(AE18*Constants!$H76*Constants!$H128))</f>
        <v>2021086.6786963153</v>
      </c>
      <c r="AF63" s="22">
        <f>((AF18*Constants!$H76*Constants!$H94*(1-Constants!$H112))+(AF18*Constants!$H76*Constants!$H128))</f>
        <v>1999923.6339767473</v>
      </c>
      <c r="AG63" s="22">
        <f>((AG18*Constants!$H76*Constants!$H94*(1-Constants!$H112))+(AG18*Constants!$H76*Constants!$H128))</f>
        <v>1958832.8452823355</v>
      </c>
      <c r="AH63" s="22">
        <f>((AH18*Constants!$H76*Constants!$H94*(1-Constants!$H112))+(AH18*Constants!$H76*Constants!$H128))</f>
        <v>1919539.9238484546</v>
      </c>
      <c r="AI63" s="22">
        <f>((AI18*Constants!$H76*Constants!$H94*(1-Constants!$H112))+(AI18*Constants!$H76*Constants!$H128))</f>
        <v>1891975.4347064525</v>
      </c>
      <c r="AJ63" s="22">
        <f>((AJ18*Constants!$H76*Constants!$H94*(1-Constants!$H112))+(AJ18*Constants!$H76*Constants!$H128))</f>
        <v>1868630.6115646414</v>
      </c>
      <c r="AK63" s="22">
        <f>((AK18*Constants!$H76*Constants!$H94*(1-Constants!$H112))+(AK18*Constants!$H76*Constants!$H128))</f>
        <v>1825643.5829799999</v>
      </c>
      <c r="AL63" s="22">
        <f>((AL18*Constants!$H76*Constants!$H94*(1-Constants!$H112))+(AL18*Constants!$H76*Constants!$H128))</f>
        <v>1598212.7108824211</v>
      </c>
      <c r="AM63" s="22">
        <f>((AM18*Constants!$H76*Constants!$H94*(1-Constants!$H112))+(AM18*Constants!$H76*Constants!$H128))</f>
        <v>1608368.702351081</v>
      </c>
      <c r="AN63" s="22">
        <f>((AN18*Constants!$H76*Constants!$H94*(1-Constants!$H112))+(AN18*Constants!$H76*Constants!$H128))</f>
        <v>1613466.5939892412</v>
      </c>
      <c r="AO63" s="22">
        <f>((AO18*Constants!$H76*Constants!$H94*(1-Constants!$H112))+(AO18*Constants!$H76*Constants!$H128))</f>
        <v>1618422.7425441782</v>
      </c>
      <c r="AP63" s="22">
        <f>((AP18*Constants!$H76*Constants!$H94*(1-Constants!$H112))+(AP18*Constants!$H76*Constants!$H128))</f>
        <v>1630528.6434311373</v>
      </c>
      <c r="AQ63" s="22">
        <f>((AQ18*Constants!$H76*Constants!$H94*(1-Constants!$H112))+(AQ18*Constants!$H76*Constants!$H128))</f>
        <v>1642227.5642215097</v>
      </c>
      <c r="AR63" s="22">
        <f>((AR18*Constants!$H76*Constants!$H94*(1-Constants!$H112))+(AR18*Constants!$H76*Constants!$H128))</f>
        <v>1655649.2236120666</v>
      </c>
      <c r="AS63" s="22">
        <f>((AS18*Constants!$H76*Constants!$H94*(1-Constants!$H112))+(AS18*Constants!$H76*Constants!$H128))</f>
        <v>1666914.6720890366</v>
      </c>
      <c r="AT63" s="22">
        <f>((AT18*Constants!$H76*Constants!$H94*(1-Constants!$H112))+(AT18*Constants!$H76*Constants!$H128))</f>
        <v>1680453.1203036099</v>
      </c>
      <c r="AU63" s="22">
        <f>((AU18*Constants!$H76*Constants!$H94*(1-Constants!$H112))+(AU18*Constants!$H76*Constants!$H128))</f>
        <v>1690308.3326805145</v>
      </c>
      <c r="AV63" s="22">
        <f>((AV18*Constants!$H76*Constants!$H94*(1-Constants!$H112))+(AV18*Constants!$H76*Constants!$H128))</f>
        <v>1700675.1531499422</v>
      </c>
      <c r="AW63" s="22">
        <f>((AW18*Constants!$H76*Constants!$H94*(1-Constants!$H112))+(AW18*Constants!$H76*Constants!$H128))</f>
        <v>1719796.1709893972</v>
      </c>
      <c r="AX63" s="22">
        <f>((AX18*Constants!$H76*Constants!$H94*(1-Constants!$H112))+(AX18*Constants!$H76*Constants!$H128))</f>
        <v>1742132.641527608</v>
      </c>
      <c r="AY63" s="22">
        <f>((AY18*Constants!$H76*Constants!$H94*(1-Constants!$H112))+(AY18*Constants!$H76*Constants!$H128))</f>
        <v>1765246.8624245373</v>
      </c>
      <c r="AZ63" s="22">
        <f>((AZ18*Constants!$H76*Constants!$H94*(1-Constants!$H112))+(AZ18*Constants!$H76*Constants!$H128))</f>
        <v>1739268.5398184152</v>
      </c>
      <c r="BA63" s="22">
        <f>((BA18*Constants!$H76*Constants!$H94*(1-Constants!$H112))+(BA18*Constants!$H76*Constants!$H128))</f>
        <v>-586842.17759032047</v>
      </c>
      <c r="BB63" s="22">
        <f>((BB18*Constants!$H76*Constants!$H94*(1-Constants!$H112))+(BB18*Constants!$H76*Constants!$H128))</f>
        <v>-580423.07202729688</v>
      </c>
      <c r="BC63" s="22">
        <f>((BC18*Constants!$H76*Constants!$H94*(1-Constants!$H112))+(BC18*Constants!$H76*Constants!$H128))</f>
        <v>-574141.45457406307</v>
      </c>
      <c r="BD63" s="22">
        <f>((BD18*Constants!$H76*Constants!$H94*(1-Constants!$H112))+(BD18*Constants!$H76*Constants!$H128))</f>
        <v>-567988.330931284</v>
      </c>
      <c r="BE63" s="22">
        <f>((BE18*Constants!$H76*Constants!$H94*(1-Constants!$H112))+(BE18*Constants!$H76*Constants!$H128))</f>
        <v>-561955.3653632449</v>
      </c>
      <c r="BF63" s="22">
        <f>((BF18*Constants!$H76*Constants!$H94*(1-Constants!$H112))+(BF18*Constants!$H76*Constants!$H128))</f>
        <v>-556034.81701092632</v>
      </c>
      <c r="BG63" s="22">
        <f>((BG18*Constants!$H76*Constants!$H94*(1-Constants!$H112))+(BG18*Constants!$H76*Constants!$H128))</f>
        <v>-549541.15509242751</v>
      </c>
      <c r="BH63" s="22">
        <f>((BH18*Constants!$H76*Constants!$H94*(1-Constants!$H112))+(BH18*Constants!$H76*Constants!$H128))</f>
        <v>-543161.9856023083</v>
      </c>
      <c r="BI63" s="22">
        <f>((BI18*Constants!$H76*Constants!$H94*(1-Constants!$H112))+(BI18*Constants!$H76*Constants!$H128))</f>
        <v>-536890.62165910716</v>
      </c>
      <c r="BJ63" s="22">
        <f>((BJ18*Constants!$H76*Constants!$H94*(1-Constants!$H112))+(BJ18*Constants!$H76*Constants!$H128))</f>
        <v>-530720.81315367692</v>
      </c>
      <c r="BK63" s="22">
        <f>((BK18*Constants!$H76*Constants!$H94*(1-Constants!$H112))+(BK18*Constants!$H76*Constants!$H128))</f>
        <v>-524646.70901095355</v>
      </c>
      <c r="BL63" s="22">
        <f>((BL18*Constants!$H76*Constants!$H94*(1-Constants!$H112))+(BL18*Constants!$H76*Constants!$H128))</f>
        <v>-518027.29531195102</v>
      </c>
      <c r="BM63" s="22">
        <f>((BM18*Constants!$H76*Constants!$H94*(1-Constants!$H112))+(BM18*Constants!$H76*Constants!$H128))</f>
        <v>-511508.98412971728</v>
      </c>
      <c r="BN63" s="22">
        <f>((BN18*Constants!$H76*Constants!$H94*(1-Constants!$H112))+(BN18*Constants!$H76*Constants!$H128))</f>
        <v>-505086.57134758931</v>
      </c>
      <c r="BO63" s="22">
        <f>((BO18*Constants!$H76*Constants!$H94*(1-Constants!$H112))+(BO18*Constants!$H76*Constants!$H128))</f>
        <v>-498755.16032632801</v>
      </c>
      <c r="BP63" s="22">
        <f>((BP18*Constants!$H76*Constants!$H94*(1-Constants!$H112))+(BP18*Constants!$H76*Constants!$H128))</f>
        <v>-492510.13793098991</v>
      </c>
    </row>
    <row r="64" spans="1:72" x14ac:dyDescent="0.25">
      <c r="A64" t="str">
        <f t="shared" si="20"/>
        <v>3C Aggregated and non-CO2 emissions on land</v>
      </c>
      <c r="B64" t="str">
        <f t="shared" si="21"/>
        <v>3C4 Direct N2O from managed soils (N2O)</v>
      </c>
      <c r="C64" t="s">
        <v>409</v>
      </c>
      <c r="D64" t="str">
        <f>Constants!D129</f>
        <v xml:space="preserve"> - Commercial layers</v>
      </c>
      <c r="E64" t="str">
        <f t="shared" si="23"/>
        <v>MM N available - Commercial layers</v>
      </c>
      <c r="F64" t="str">
        <f t="shared" si="24"/>
        <v>kg N</v>
      </c>
      <c r="H64" s="22">
        <f>((H19*Constants!$H77*Constants!$H95*(1-Constants!$H113))+(H19*Constants!$H77*Constants!$H129))</f>
        <v>6185488.2909675539</v>
      </c>
      <c r="I64" s="22">
        <f>((I19*Constants!$H77*Constants!$H95*(1-Constants!$H113))+(I19*Constants!$H77*Constants!$H129))</f>
        <v>6009109.2071274081</v>
      </c>
      <c r="J64" s="22">
        <f>((J19*Constants!$H77*Constants!$H95*(1-Constants!$H113))+(J19*Constants!$H77*Constants!$H129))</f>
        <v>5699222.0850570546</v>
      </c>
      <c r="K64" s="22">
        <f>((K19*Constants!$H77*Constants!$H95*(1-Constants!$H113))+(K19*Constants!$H77*Constants!$H129))</f>
        <v>5609611.8493190575</v>
      </c>
      <c r="L64" s="22">
        <f>((L19*Constants!$H77*Constants!$H95*(1-Constants!$H113))+(L19*Constants!$H77*Constants!$H129))</f>
        <v>5365613.9312671879</v>
      </c>
      <c r="M64" s="22">
        <f>((M19*Constants!$H77*Constants!$H95*(1-Constants!$H113))+(M19*Constants!$H77*Constants!$H129))</f>
        <v>5854552.6233854303</v>
      </c>
      <c r="N64" s="22">
        <f>((N19*Constants!$H77*Constants!$H95*(1-Constants!$H113))+(N19*Constants!$H77*Constants!$H129))</f>
        <v>6184194.3241279265</v>
      </c>
      <c r="O64" s="22">
        <f>((O19*Constants!$H77*Constants!$H95*(1-Constants!$H113))+(O19*Constants!$H77*Constants!$H129))</f>
        <v>6204530.2379142288</v>
      </c>
      <c r="P64" s="22">
        <f>((P19*Constants!$H77*Constants!$H95*(1-Constants!$H113))+(P19*Constants!$H77*Constants!$H129))</f>
        <v>6985777.5007305164</v>
      </c>
      <c r="Q64" s="22">
        <f>((Q19*Constants!$H77*Constants!$H95*(1-Constants!$H113))+(Q19*Constants!$H77*Constants!$H129))</f>
        <v>7489454.4973270632</v>
      </c>
      <c r="R64" s="22">
        <f>((R19*Constants!$H77*Constants!$H95*(1-Constants!$H113))+(R19*Constants!$H77*Constants!$H129))</f>
        <v>7330764.97378729</v>
      </c>
      <c r="S64" s="22">
        <f>((S19*Constants!$H77*Constants!$H95*(1-Constants!$H113))+(S19*Constants!$H77*Constants!$H129))</f>
        <v>7526323.6329122018</v>
      </c>
      <c r="T64" s="22">
        <f>((T19*Constants!$H77*Constants!$H95*(1-Constants!$H113))+(T19*Constants!$H77*Constants!$H129))</f>
        <v>7467252.7937713731</v>
      </c>
      <c r="U64" s="22">
        <f>((U19*Constants!$H77*Constants!$H95*(1-Constants!$H113))+(U19*Constants!$H77*Constants!$H129))</f>
        <v>7169141.381636614</v>
      </c>
      <c r="V64" s="22">
        <f>((V19*Constants!$H77*Constants!$H95*(1-Constants!$H113))+(V19*Constants!$H77*Constants!$H129))</f>
        <v>7429101.8801676938</v>
      </c>
      <c r="W64" s="22">
        <f>((W19*Constants!$H77*Constants!$H95*(1-Constants!$H113))+(W19*Constants!$H77*Constants!$H129))</f>
        <v>7877080.6206777897</v>
      </c>
      <c r="X64" s="22">
        <f>((X19*Constants!$H77*Constants!$H95*(1-Constants!$H113))+(X19*Constants!$H77*Constants!$H129))</f>
        <v>8693284.2187629454</v>
      </c>
      <c r="Y64" s="22">
        <f>((Y19*Constants!$H77*Constants!$H95*(1-Constants!$H113))+(Y19*Constants!$H77*Constants!$H129))</f>
        <v>9620616.8920187056</v>
      </c>
      <c r="Z64" s="22">
        <f>((Z19*Constants!$H77*Constants!$H95*(1-Constants!$H113))+(Z19*Constants!$H77*Constants!$H129))</f>
        <v>9747319.238270821</v>
      </c>
      <c r="AA64" s="22">
        <f>((AA19*Constants!$H77*Constants!$H95*(1-Constants!$H113))+(AA19*Constants!$H77*Constants!$H129))</f>
        <v>9387970.3735440131</v>
      </c>
      <c r="AB64" s="22">
        <f>((AB19*Constants!$H77*Constants!$H95*(1-Constants!$H113))+(AB19*Constants!$H77*Constants!$H129))</f>
        <v>9753664.2574823145</v>
      </c>
      <c r="AC64" s="22">
        <f>((AC19*Constants!$H77*Constants!$H95*(1-Constants!$H113))+(AC19*Constants!$H77*Constants!$H129))</f>
        <v>10203867.24700897</v>
      </c>
      <c r="AD64" s="22">
        <f>((AD19*Constants!$H77*Constants!$H95*(1-Constants!$H113))+(AD19*Constants!$H77*Constants!$H129))</f>
        <v>10046014.512687217</v>
      </c>
      <c r="AE64" s="22">
        <f>((AE19*Constants!$H77*Constants!$H95*(1-Constants!$H113))+(AE19*Constants!$H77*Constants!$H129))</f>
        <v>10263567.916422864</v>
      </c>
      <c r="AF64" s="22">
        <f>((AF19*Constants!$H77*Constants!$H95*(1-Constants!$H113))+(AF19*Constants!$H77*Constants!$H129))</f>
        <v>10438863.220213711</v>
      </c>
      <c r="AG64" s="22">
        <f>((AG19*Constants!$H77*Constants!$H95*(1-Constants!$H113))+(AG19*Constants!$H77*Constants!$H129))</f>
        <v>10553398.631202264</v>
      </c>
      <c r="AH64" s="22">
        <f>((AH19*Constants!$H77*Constants!$H95*(1-Constants!$H113))+(AH19*Constants!$H77*Constants!$H129))</f>
        <v>10669488.655625023</v>
      </c>
      <c r="AI64" s="22">
        <f>((AI19*Constants!$H77*Constants!$H95*(1-Constants!$H113))+(AI19*Constants!$H77*Constants!$H129))</f>
        <v>10819150.600486256</v>
      </c>
      <c r="AJ64" s="22">
        <f>((AJ19*Constants!$H77*Constants!$H95*(1-Constants!$H113))+(AJ19*Constants!$H77*Constants!$H129))</f>
        <v>10979199.591485647</v>
      </c>
      <c r="AK64" s="22">
        <f>((AK19*Constants!$H77*Constants!$H95*(1-Constants!$H113))+(AK19*Constants!$H77*Constants!$H129))</f>
        <v>11072276.631861012</v>
      </c>
      <c r="AL64" s="22">
        <f>((AL19*Constants!$H77*Constants!$H95*(1-Constants!$H113))+(AL19*Constants!$H77*Constants!$H129))</f>
        <v>10536820.017215807</v>
      </c>
      <c r="AM64" s="22">
        <f>((AM19*Constants!$H77*Constants!$H95*(1-Constants!$H113))+(AM19*Constants!$H77*Constants!$H129))</f>
        <v>10763031.313023163</v>
      </c>
      <c r="AN64" s="22">
        <f>((AN19*Constants!$H77*Constants!$H95*(1-Constants!$H113))+(AN19*Constants!$H77*Constants!$H129))</f>
        <v>10974199.56653842</v>
      </c>
      <c r="AO64" s="22">
        <f>((AO19*Constants!$H77*Constants!$H95*(1-Constants!$H113))+(AO19*Constants!$H77*Constants!$H129))</f>
        <v>11187034.880023424</v>
      </c>
      <c r="AP64" s="22">
        <f>((AP19*Constants!$H77*Constants!$H95*(1-Constants!$H113))+(AP19*Constants!$H77*Constants!$H129))</f>
        <v>11428588.28698124</v>
      </c>
      <c r="AQ64" s="22">
        <f>((AQ19*Constants!$H77*Constants!$H95*(1-Constants!$H113))+(AQ19*Constants!$H77*Constants!$H129))</f>
        <v>11672148.213055257</v>
      </c>
      <c r="AR64" s="22">
        <f>((AR19*Constants!$H77*Constants!$H95*(1-Constants!$H113))+(AR19*Constants!$H77*Constants!$H129))</f>
        <v>11916017.668742616</v>
      </c>
      <c r="AS64" s="22">
        <f>((AS19*Constants!$H77*Constants!$H95*(1-Constants!$H113))+(AS19*Constants!$H77*Constants!$H129))</f>
        <v>12155183.368229456</v>
      </c>
      <c r="AT64" s="22">
        <f>((AT19*Constants!$H77*Constants!$H95*(1-Constants!$H113))+(AT19*Constants!$H77*Constants!$H129))</f>
        <v>12407058.765175158</v>
      </c>
      <c r="AU64" s="22">
        <f>((AU19*Constants!$H77*Constants!$H95*(1-Constants!$H113))+(AU19*Constants!$H77*Constants!$H129))</f>
        <v>12647866.389237761</v>
      </c>
      <c r="AV64" s="22">
        <f>((AV19*Constants!$H77*Constants!$H95*(1-Constants!$H113))+(AV19*Constants!$H77*Constants!$H129))</f>
        <v>12894385.014895692</v>
      </c>
      <c r="AW64" s="22">
        <f>((AW19*Constants!$H77*Constants!$H95*(1-Constants!$H113))+(AW19*Constants!$H77*Constants!$H129))</f>
        <v>13173889.899574609</v>
      </c>
      <c r="AX64" s="22">
        <f>((AX19*Constants!$H77*Constants!$H95*(1-Constants!$H113))+(AX19*Constants!$H77*Constants!$H129))</f>
        <v>13472658.402541457</v>
      </c>
      <c r="AY64" s="22">
        <f>((AY19*Constants!$H77*Constants!$H95*(1-Constants!$H113))+(AY19*Constants!$H77*Constants!$H129))</f>
        <v>13780826.29987519</v>
      </c>
      <c r="AZ64" s="22">
        <f>((AZ19*Constants!$H77*Constants!$H95*(1-Constants!$H113))+(AZ19*Constants!$H77*Constants!$H129))</f>
        <v>13872552.270172931</v>
      </c>
      <c r="BA64" s="22">
        <f>((BA19*Constants!$H77*Constants!$H95*(1-Constants!$H113))+(BA19*Constants!$H77*Constants!$H129))</f>
        <v>3325124.2724391641</v>
      </c>
      <c r="BB64" s="22">
        <f>((BB19*Constants!$H77*Constants!$H95*(1-Constants!$H113))+(BB19*Constants!$H77*Constants!$H129))</f>
        <v>3350680.6645931695</v>
      </c>
      <c r="BC64" s="22">
        <f>((BC19*Constants!$H77*Constants!$H95*(1-Constants!$H113))+(BC19*Constants!$H77*Constants!$H129))</f>
        <v>3376423.1267518746</v>
      </c>
      <c r="BD64" s="22">
        <f>((BD19*Constants!$H77*Constants!$H95*(1-Constants!$H113))+(BD19*Constants!$H77*Constants!$H129))</f>
        <v>3402353.0757870539</v>
      </c>
      <c r="BE64" s="22">
        <f>((BE19*Constants!$H77*Constants!$H95*(1-Constants!$H113))+(BE19*Constants!$H77*Constants!$H129))</f>
        <v>3428471.93500474</v>
      </c>
      <c r="BF64" s="22">
        <f>((BF19*Constants!$H77*Constants!$H95*(1-Constants!$H113))+(BF19*Constants!$H77*Constants!$H129))</f>
        <v>3454781.1345638521</v>
      </c>
      <c r="BG64" s="22">
        <f>((BG19*Constants!$H77*Constants!$H95*(1-Constants!$H113))+(BG19*Constants!$H77*Constants!$H129))</f>
        <v>3477271.4956193902</v>
      </c>
      <c r="BH64" s="22">
        <f>((BH19*Constants!$H77*Constants!$H95*(1-Constants!$H113))+(BH19*Constants!$H77*Constants!$H129))</f>
        <v>3499900.6844023233</v>
      </c>
      <c r="BI64" s="22">
        <f>((BI19*Constants!$H77*Constants!$H95*(1-Constants!$H113))+(BI19*Constants!$H77*Constants!$H129))</f>
        <v>3522669.6033113631</v>
      </c>
      <c r="BJ64" s="22">
        <f>((BJ19*Constants!$H77*Constants!$H95*(1-Constants!$H113))+(BJ19*Constants!$H77*Constants!$H129))</f>
        <v>3545579.1577648697</v>
      </c>
      <c r="BK64" s="22">
        <f>((BK19*Constants!$H77*Constants!$H95*(1-Constants!$H113))+(BK19*Constants!$H77*Constants!$H129))</f>
        <v>3568630.256437717</v>
      </c>
      <c r="BL64" s="22">
        <f>((BL19*Constants!$H77*Constants!$H95*(1-Constants!$H113))+(BL19*Constants!$H77*Constants!$H129))</f>
        <v>3587702.2055944856</v>
      </c>
      <c r="BM64" s="22">
        <f>((BM19*Constants!$H77*Constants!$H95*(1-Constants!$H113))+(BM19*Constants!$H77*Constants!$H129))</f>
        <v>3606870.7743201684</v>
      </c>
      <c r="BN64" s="22">
        <f>((BN19*Constants!$H77*Constants!$H95*(1-Constants!$H113))+(BN19*Constants!$H77*Constants!$H129))</f>
        <v>3626136.4866673448</v>
      </c>
      <c r="BO64" s="22">
        <f>((BO19*Constants!$H77*Constants!$H95*(1-Constants!$H113))+(BO19*Constants!$H77*Constants!$H129))</f>
        <v>3645499.8675702326</v>
      </c>
      <c r="BP64" s="22">
        <f>((BP19*Constants!$H77*Constants!$H95*(1-Constants!$H113))+(BP19*Constants!$H77*Constants!$H129))</f>
        <v>3664961.4429860529</v>
      </c>
    </row>
    <row r="65" spans="1:68" x14ac:dyDescent="0.25">
      <c r="A65" t="str">
        <f t="shared" si="20"/>
        <v>3C Aggregated and non-CO2 emissions on land</v>
      </c>
      <c r="B65" t="str">
        <f t="shared" si="21"/>
        <v>3C4 Direct N2O from managed soils (N2O)</v>
      </c>
      <c r="C65" t="s">
        <v>409</v>
      </c>
      <c r="D65" t="str">
        <f>Constants!D130</f>
        <v xml:space="preserve"> - Commercial broilers</v>
      </c>
      <c r="E65" t="str">
        <f t="shared" si="23"/>
        <v>MM N available - Commercial broilers</v>
      </c>
      <c r="F65" t="str">
        <f t="shared" si="24"/>
        <v>kg N</v>
      </c>
      <c r="H65" s="22">
        <f>((H20*Constants!$H78*Constants!$H96*(1-Constants!$H114))+(H20*Constants!$H78*Constants!$H130))</f>
        <v>21441987.682912666</v>
      </c>
      <c r="I65" s="22">
        <f>((I20*Constants!$H78*Constants!$H96*(1-Constants!$H114))+(I20*Constants!$H78*Constants!$H130))</f>
        <v>20155468.447952528</v>
      </c>
      <c r="J65" s="22">
        <f>((J20*Constants!$H78*Constants!$H96*(1-Constants!$H114))+(J20*Constants!$H78*Constants!$H130))</f>
        <v>19048359.503315844</v>
      </c>
      <c r="K65" s="22">
        <f>((K20*Constants!$H78*Constants!$H96*(1-Constants!$H114))+(K20*Constants!$H78*Constants!$H130))</f>
        <v>21422633.120275144</v>
      </c>
      <c r="L65" s="22">
        <f>((L20*Constants!$H78*Constants!$H96*(1-Constants!$H114))+(L20*Constants!$H78*Constants!$H130))</f>
        <v>21221715.835297149</v>
      </c>
      <c r="M65" s="22">
        <f>((M20*Constants!$H78*Constants!$H96*(1-Constants!$H114))+(M20*Constants!$H78*Constants!$H130))</f>
        <v>24291356.099595293</v>
      </c>
      <c r="N65" s="22">
        <f>((N20*Constants!$H78*Constants!$H96*(1-Constants!$H114))+(N20*Constants!$H78*Constants!$H130))</f>
        <v>28244585.878194444</v>
      </c>
      <c r="O65" s="22">
        <f>((O20*Constants!$H78*Constants!$H96*(1-Constants!$H114))+(O20*Constants!$H78*Constants!$H130))</f>
        <v>28749759.856221307</v>
      </c>
      <c r="P65" s="22">
        <f>((P20*Constants!$H78*Constants!$H96*(1-Constants!$H114))+(P20*Constants!$H78*Constants!$H130))</f>
        <v>31502057.979110736</v>
      </c>
      <c r="Q65" s="22">
        <f>((Q20*Constants!$H78*Constants!$H96*(1-Constants!$H114))+(Q20*Constants!$H78*Constants!$H130))</f>
        <v>32887795.163968969</v>
      </c>
      <c r="R65" s="22">
        <f>((R20*Constants!$H78*Constants!$H96*(1-Constants!$H114))+(R20*Constants!$H78*Constants!$H130))</f>
        <v>35384844.130992576</v>
      </c>
      <c r="S65" s="22">
        <f>((S20*Constants!$H78*Constants!$H96*(1-Constants!$H114))+(S20*Constants!$H78*Constants!$H130))</f>
        <v>34167785.103477322</v>
      </c>
      <c r="T65" s="22">
        <f>((T20*Constants!$H78*Constants!$H96*(1-Constants!$H114))+(T20*Constants!$H78*Constants!$H130))</f>
        <v>37868988.696657754</v>
      </c>
      <c r="U65" s="22">
        <f>((U20*Constants!$H78*Constants!$H96*(1-Constants!$H114))+(U20*Constants!$H78*Constants!$H130))</f>
        <v>36019125.033984229</v>
      </c>
      <c r="V65" s="22">
        <f>((V20*Constants!$H78*Constants!$H96*(1-Constants!$H114))+(V20*Constants!$H78*Constants!$H130))</f>
        <v>36888658.133678004</v>
      </c>
      <c r="W65" s="22">
        <f>((W20*Constants!$H78*Constants!$H96*(1-Constants!$H114))+(W20*Constants!$H78*Constants!$H130))</f>
        <v>40816366.920982771</v>
      </c>
      <c r="X65" s="22">
        <f>((X20*Constants!$H78*Constants!$H96*(1-Constants!$H114))+(X20*Constants!$H78*Constants!$H130))</f>
        <v>43656919.259428479</v>
      </c>
      <c r="Y65" s="22">
        <f>((Y20*Constants!$H78*Constants!$H96*(1-Constants!$H114))+(Y20*Constants!$H78*Constants!$H130))</f>
        <v>45677104.261495814</v>
      </c>
      <c r="Z65" s="22">
        <f>((Z20*Constants!$H78*Constants!$H96*(1-Constants!$H114))+(Z20*Constants!$H78*Constants!$H130))</f>
        <v>48633713.378493287</v>
      </c>
      <c r="AA65" s="22">
        <f>((AA20*Constants!$H78*Constants!$H96*(1-Constants!$H114))+(AA20*Constants!$H78*Constants!$H130))</f>
        <v>45891232.801865354</v>
      </c>
      <c r="AB65" s="22">
        <f>((AB20*Constants!$H78*Constants!$H96*(1-Constants!$H114))+(AB20*Constants!$H78*Constants!$H130))</f>
        <v>47045433.899453834</v>
      </c>
      <c r="AC65" s="22">
        <f>((AC20*Constants!$H78*Constants!$H96*(1-Constants!$H114))+(AC20*Constants!$H78*Constants!$H130))</f>
        <v>48657312.573355399</v>
      </c>
      <c r="AD65" s="22">
        <f>((AD20*Constants!$H78*Constants!$H96*(1-Constants!$H114))+(AD20*Constants!$H78*Constants!$H130))</f>
        <v>50617265.081744902</v>
      </c>
      <c r="AE65" s="22">
        <f>((AE20*Constants!$H78*Constants!$H96*(1-Constants!$H114))+(AE20*Constants!$H78*Constants!$H130))</f>
        <v>51438663.549933501</v>
      </c>
      <c r="AF65" s="22">
        <f>((AF20*Constants!$H78*Constants!$H96*(1-Constants!$H114))+(AF20*Constants!$H78*Constants!$H130))</f>
        <v>51682553.906749912</v>
      </c>
      <c r="AG65" s="22">
        <f>((AG20*Constants!$H78*Constants!$H96*(1-Constants!$H114))+(AG20*Constants!$H78*Constants!$H130))</f>
        <v>51135854.641949564</v>
      </c>
      <c r="AH65" s="22">
        <f>((AH20*Constants!$H78*Constants!$H96*(1-Constants!$H114))+(AH20*Constants!$H78*Constants!$H130))</f>
        <v>50590329.223710328</v>
      </c>
      <c r="AI65" s="22">
        <f>((AI20*Constants!$H78*Constants!$H96*(1-Constants!$H114))+(AI20*Constants!$H78*Constants!$H130))</f>
        <v>50432039.587533243</v>
      </c>
      <c r="AJ65" s="22">
        <f>((AJ20*Constants!$H78*Constants!$H96*(1-Constants!$H114))+(AJ20*Constants!$H78*Constants!$H130))</f>
        <v>50399065.25172136</v>
      </c>
      <c r="AK65" s="22">
        <f>((AK20*Constants!$H78*Constants!$H96*(1-Constants!$H114))+(AK20*Constants!$H78*Constants!$H130))</f>
        <v>49558394.137915395</v>
      </c>
      <c r="AL65" s="22">
        <f>((AL20*Constants!$H78*Constants!$H96*(1-Constants!$H114))+(AL20*Constants!$H78*Constants!$H130))</f>
        <v>41294222.251021594</v>
      </c>
      <c r="AM65" s="22">
        <f>((AM20*Constants!$H78*Constants!$H96*(1-Constants!$H114))+(AM20*Constants!$H78*Constants!$H130))</f>
        <v>42512298.811339796</v>
      </c>
      <c r="AN65" s="22">
        <f>((AN20*Constants!$H78*Constants!$H96*(1-Constants!$H114))+(AN20*Constants!$H78*Constants!$H130))</f>
        <v>43530447.217887305</v>
      </c>
      <c r="AO65" s="22">
        <f>((AO20*Constants!$H78*Constants!$H96*(1-Constants!$H114))+(AO20*Constants!$H78*Constants!$H130))</f>
        <v>44546125.208825782</v>
      </c>
      <c r="AP65" s="22">
        <f>((AP20*Constants!$H78*Constants!$H96*(1-Constants!$H114))+(AP20*Constants!$H78*Constants!$H130))</f>
        <v>45867554.358523667</v>
      </c>
      <c r="AQ65" s="22">
        <f>((AQ20*Constants!$H78*Constants!$H96*(1-Constants!$H114))+(AQ20*Constants!$H78*Constants!$H130))</f>
        <v>47185016.992876559</v>
      </c>
      <c r="AR65" s="22">
        <f>((AR20*Constants!$H78*Constants!$H96*(1-Constants!$H114))+(AR20*Constants!$H78*Constants!$H130))</f>
        <v>48631503.181349173</v>
      </c>
      <c r="AS65" s="22">
        <f>((AS20*Constants!$H78*Constants!$H96*(1-Constants!$H114))+(AS20*Constants!$H78*Constants!$H130))</f>
        <v>50000754.006398804</v>
      </c>
      <c r="AT65" s="22">
        <f>((AT20*Constants!$H78*Constants!$H96*(1-Constants!$H114))+(AT20*Constants!$H78*Constants!$H130))</f>
        <v>51486776.363811694</v>
      </c>
      <c r="AU65" s="22">
        <f>((AU20*Constants!$H78*Constants!$H96*(1-Constants!$H114))+(AU20*Constants!$H78*Constants!$H130))</f>
        <v>52826689.427147858</v>
      </c>
      <c r="AV65" s="22">
        <f>((AV20*Constants!$H78*Constants!$H96*(1-Constants!$H114))+(AV20*Constants!$H78*Constants!$H130))</f>
        <v>54206167.945647061</v>
      </c>
      <c r="AW65" s="22">
        <f>((AW20*Constants!$H78*Constants!$H96*(1-Constants!$H114))+(AW20*Constants!$H78*Constants!$H130))</f>
        <v>56039394.770843148</v>
      </c>
      <c r="AX65" s="22">
        <f>((AX20*Constants!$H78*Constants!$H96*(1-Constants!$H114))+(AX20*Constants!$H78*Constants!$H130))</f>
        <v>58052045.063219905</v>
      </c>
      <c r="AY65" s="22">
        <f>((AY20*Constants!$H78*Constants!$H96*(1-Constants!$H114))+(AY20*Constants!$H78*Constants!$H130))</f>
        <v>60135680.330283575</v>
      </c>
      <c r="AZ65" s="22">
        <f>((AZ20*Constants!$H78*Constants!$H96*(1-Constants!$H114))+(AZ20*Constants!$H78*Constants!$H130))</f>
        <v>59903653.71779646</v>
      </c>
      <c r="BA65" s="22">
        <f>((BA20*Constants!$H78*Constants!$H96*(1-Constants!$H114))+(BA20*Constants!$H78*Constants!$H130))</f>
        <v>-51951543.804002732</v>
      </c>
      <c r="BB65" s="22">
        <f>((BB20*Constants!$H78*Constants!$H96*(1-Constants!$H114))+(BB20*Constants!$H78*Constants!$H130))</f>
        <v>-52025979.727664873</v>
      </c>
      <c r="BC65" s="22">
        <f>((BC20*Constants!$H78*Constants!$H96*(1-Constants!$H114))+(BC20*Constants!$H78*Constants!$H130))</f>
        <v>-52106714.544989847</v>
      </c>
      <c r="BD65" s="22">
        <f>((BD20*Constants!$H78*Constants!$H96*(1-Constants!$H114))+(BD20*Constants!$H78*Constants!$H130))</f>
        <v>-52193485.390497044</v>
      </c>
      <c r="BE65" s="22">
        <f>((BE20*Constants!$H78*Constants!$H96*(1-Constants!$H114))+(BE20*Constants!$H78*Constants!$H130))</f>
        <v>-52286049.81610316</v>
      </c>
      <c r="BF65" s="22">
        <f>((BF20*Constants!$H78*Constants!$H96*(1-Constants!$H114))+(BF20*Constants!$H78*Constants!$H130))</f>
        <v>-52384183.829848737</v>
      </c>
      <c r="BG65" s="22">
        <f>((BG20*Constants!$H78*Constants!$H96*(1-Constants!$H114))+(BG20*Constants!$H78*Constants!$H130))</f>
        <v>-52424574.040172689</v>
      </c>
      <c r="BH65" s="22">
        <f>((BH20*Constants!$H78*Constants!$H96*(1-Constants!$H114))+(BH20*Constants!$H78*Constants!$H130))</f>
        <v>-52470026.307856753</v>
      </c>
      <c r="BI65" s="22">
        <f>((BI20*Constants!$H78*Constants!$H96*(1-Constants!$H114))+(BI20*Constants!$H78*Constants!$H130))</f>
        <v>-52520344.075790986</v>
      </c>
      <c r="BJ65" s="22">
        <f>((BJ20*Constants!$H78*Constants!$H96*(1-Constants!$H114))+(BJ20*Constants!$H78*Constants!$H130))</f>
        <v>-52575344.283311881</v>
      </c>
      <c r="BK65" s="22">
        <f>((BK20*Constants!$H78*Constants!$H96*(1-Constants!$H114))+(BK20*Constants!$H78*Constants!$H130))</f>
        <v>-52634856.206496365</v>
      </c>
      <c r="BL65" s="22">
        <f>((BL20*Constants!$H78*Constants!$H96*(1-Constants!$H114))+(BL20*Constants!$H78*Constants!$H130))</f>
        <v>-52635695.477441996</v>
      </c>
      <c r="BM65" s="22">
        <f>((BM20*Constants!$H78*Constants!$H96*(1-Constants!$H114))+(BM20*Constants!$H78*Constants!$H130))</f>
        <v>-52640712.986832917</v>
      </c>
      <c r="BN65" s="22">
        <f>((BN20*Constants!$H78*Constants!$H96*(1-Constants!$H114))+(BN20*Constants!$H78*Constants!$H130))</f>
        <v>-52649754.254211515</v>
      </c>
      <c r="BO65" s="22">
        <f>((BO20*Constants!$H78*Constants!$H96*(1-Constants!$H114))+(BO20*Constants!$H78*Constants!$H130))</f>
        <v>-52662674.262932405</v>
      </c>
      <c r="BP65" s="22">
        <f>((BP20*Constants!$H78*Constants!$H96*(1-Constants!$H114))+(BP20*Constants!$H78*Constants!$H130))</f>
        <v>-52679336.725125976</v>
      </c>
    </row>
    <row r="66" spans="1:68" x14ac:dyDescent="0.25">
      <c r="A66" t="str">
        <f t="shared" ref="A66:A81" si="25">A65</f>
        <v>3C Aggregated and non-CO2 emissions on land</v>
      </c>
      <c r="B66" t="str">
        <f t="shared" ref="B66:B82" si="26">B65</f>
        <v>3C4 Direct N2O from managed soils (N2O)</v>
      </c>
      <c r="C66" t="s">
        <v>410</v>
      </c>
      <c r="D66" t="str">
        <f>D50</f>
        <v xml:space="preserve"> - TMR</v>
      </c>
      <c r="E66" t="str">
        <f t="shared" si="23"/>
        <v>Urine &amp; dung - TMR</v>
      </c>
      <c r="F66" t="str">
        <f t="shared" si="24"/>
        <v>kg N</v>
      </c>
      <c r="H66" s="22">
        <f>H5*Constants!$H63*(1-Constants!$H81)</f>
        <v>0</v>
      </c>
      <c r="I66" s="22">
        <f>I5*Constants!$H63*(1-Constants!$H81)</f>
        <v>0</v>
      </c>
      <c r="J66" s="22">
        <f>J5*Constants!$H63*(1-Constants!$H81)</f>
        <v>0</v>
      </c>
      <c r="K66" s="22">
        <f>K5*Constants!$H63*(1-Constants!$H81)</f>
        <v>0</v>
      </c>
      <c r="L66" s="22">
        <f>L5*Constants!$H63*(1-Constants!$H81)</f>
        <v>0</v>
      </c>
      <c r="M66" s="22">
        <f>M5*Constants!$H63*(1-Constants!$H81)</f>
        <v>0</v>
      </c>
      <c r="N66" s="22">
        <f>N5*Constants!$H63*(1-Constants!$H81)</f>
        <v>0</v>
      </c>
      <c r="O66" s="22">
        <f>O5*Constants!$H63*(1-Constants!$H81)</f>
        <v>0</v>
      </c>
      <c r="P66" s="22">
        <f>P5*Constants!$H63*(1-Constants!$H81)</f>
        <v>0</v>
      </c>
      <c r="Q66" s="22">
        <f>Q5*Constants!$H63*(1-Constants!$H81)</f>
        <v>0</v>
      </c>
      <c r="R66" s="22">
        <f>R5*Constants!$H63*(1-Constants!$H81)</f>
        <v>0</v>
      </c>
      <c r="S66" s="22">
        <f>S5*Constants!$H63*(1-Constants!$H81)</f>
        <v>0</v>
      </c>
      <c r="T66" s="22">
        <f>T5*Constants!$H63*(1-Constants!$H81)</f>
        <v>0</v>
      </c>
      <c r="U66" s="22">
        <f>U5*Constants!$H63*(1-Constants!$H81)</f>
        <v>0</v>
      </c>
      <c r="V66" s="22">
        <f>V5*Constants!$H63*(1-Constants!$H81)</f>
        <v>0</v>
      </c>
      <c r="W66" s="22">
        <f>W5*Constants!$H63*(1-Constants!$H81)</f>
        <v>0</v>
      </c>
      <c r="X66" s="22">
        <f>X5*Constants!$H63*(1-Constants!$H81)</f>
        <v>0</v>
      </c>
      <c r="Y66" s="22">
        <f>Y5*Constants!$H63*(1-Constants!$H81)</f>
        <v>0</v>
      </c>
      <c r="Z66" s="22">
        <f>Z5*Constants!$H63*(1-Constants!$H81)</f>
        <v>0</v>
      </c>
      <c r="AA66" s="22">
        <f>AA5*Constants!$H63*(1-Constants!$H81)</f>
        <v>0</v>
      </c>
      <c r="AB66" s="22">
        <f>AB5*Constants!$H63*(1-Constants!$H81)</f>
        <v>0</v>
      </c>
      <c r="AC66" s="22">
        <f>AC5*Constants!$H63*(1-Constants!$H81)</f>
        <v>0</v>
      </c>
      <c r="AD66" s="22">
        <f>AD5*Constants!$H63*(1-Constants!$H81)</f>
        <v>0</v>
      </c>
      <c r="AE66" s="22">
        <f>AE5*Constants!$H63*(1-Constants!$H81)</f>
        <v>0</v>
      </c>
      <c r="AF66" s="22">
        <f>AF5*Constants!$H63*(1-Constants!$H81)</f>
        <v>0</v>
      </c>
      <c r="AG66" s="22">
        <f>AG5*Constants!$H63*(1-Constants!$H81)</f>
        <v>0</v>
      </c>
      <c r="AH66" s="22">
        <f>AH5*Constants!$H63*(1-Constants!$H81)</f>
        <v>0</v>
      </c>
      <c r="AI66" s="22">
        <f>AI5*Constants!$H63*(1-Constants!$H81)</f>
        <v>0</v>
      </c>
      <c r="AJ66" s="22">
        <f>AJ5*Constants!$H63*(1-Constants!$H81)</f>
        <v>0</v>
      </c>
      <c r="AK66" s="22">
        <f>AK5*Constants!$H63*(1-Constants!$H81)</f>
        <v>0</v>
      </c>
      <c r="AL66" s="22">
        <f>AL5*Constants!$H63*(1-Constants!$H81)</f>
        <v>0</v>
      </c>
      <c r="AM66" s="22">
        <f>AM5*Constants!$H63*(1-Constants!$H81)</f>
        <v>0</v>
      </c>
      <c r="AN66" s="22">
        <f>AN5*Constants!$H63*(1-Constants!$H81)</f>
        <v>0</v>
      </c>
      <c r="AO66" s="22">
        <f>AO5*Constants!$H63*(1-Constants!$H81)</f>
        <v>0</v>
      </c>
      <c r="AP66" s="22">
        <f>AP5*Constants!$H63*(1-Constants!$H81)</f>
        <v>0</v>
      </c>
      <c r="AQ66" s="22">
        <f>AQ5*Constants!$H63*(1-Constants!$H81)</f>
        <v>0</v>
      </c>
      <c r="AR66" s="22">
        <f>AR5*Constants!$H63*(1-Constants!$H81)</f>
        <v>0</v>
      </c>
      <c r="AS66" s="22">
        <f>AS5*Constants!$H63*(1-Constants!$H81)</f>
        <v>0</v>
      </c>
      <c r="AT66" s="22">
        <f>AT5*Constants!$H63*(1-Constants!$H81)</f>
        <v>0</v>
      </c>
      <c r="AU66" s="22">
        <f>AU5*Constants!$H63*(1-Constants!$H81)</f>
        <v>0</v>
      </c>
      <c r="AV66" s="22">
        <f>AV5*Constants!$H63*(1-Constants!$H81)</f>
        <v>0</v>
      </c>
      <c r="AW66" s="22">
        <f>AW5*Constants!$H63*(1-Constants!$H81)</f>
        <v>0</v>
      </c>
      <c r="AX66" s="22">
        <f>AX5*Constants!$H63*(1-Constants!$H81)</f>
        <v>0</v>
      </c>
      <c r="AY66" s="22">
        <f>AY5*Constants!$H63*(1-Constants!$H81)</f>
        <v>0</v>
      </c>
      <c r="AZ66" s="22">
        <f>AZ5*Constants!$H63*(1-Constants!$H81)</f>
        <v>0</v>
      </c>
      <c r="BA66" s="22">
        <f>BA5*Constants!$H63*(1-Constants!$H81)</f>
        <v>0</v>
      </c>
      <c r="BB66" s="22">
        <f>BB5*Constants!$H63*(1-Constants!$H81)</f>
        <v>0</v>
      </c>
      <c r="BC66" s="22">
        <f>BC5*Constants!$H63*(1-Constants!$H81)</f>
        <v>0</v>
      </c>
      <c r="BD66" s="22">
        <f>BD5*Constants!$H63*(1-Constants!$H81)</f>
        <v>0</v>
      </c>
      <c r="BE66" s="22">
        <f>BE5*Constants!$H63*(1-Constants!$H81)</f>
        <v>0</v>
      </c>
      <c r="BF66" s="22">
        <f>BF5*Constants!$H63*(1-Constants!$H81)</f>
        <v>0</v>
      </c>
      <c r="BG66" s="22">
        <f>BG5*Constants!$H63*(1-Constants!$H81)</f>
        <v>0</v>
      </c>
      <c r="BH66" s="22">
        <f>BH5*Constants!$H63*(1-Constants!$H81)</f>
        <v>0</v>
      </c>
      <c r="BI66" s="22">
        <f>BI5*Constants!$H63*(1-Constants!$H81)</f>
        <v>0</v>
      </c>
      <c r="BJ66" s="22">
        <f>BJ5*Constants!$H63*(1-Constants!$H81)</f>
        <v>0</v>
      </c>
      <c r="BK66" s="22">
        <f>BK5*Constants!$H63*(1-Constants!$H81)</f>
        <v>0</v>
      </c>
      <c r="BL66" s="22">
        <f>BL5*Constants!$H63*(1-Constants!$H81)</f>
        <v>0</v>
      </c>
      <c r="BM66" s="22">
        <f>BM5*Constants!$H63*(1-Constants!$H81)</f>
        <v>0</v>
      </c>
      <c r="BN66" s="22">
        <f>BN5*Constants!$H63*(1-Constants!$H81)</f>
        <v>0</v>
      </c>
      <c r="BO66" s="22">
        <f>BO5*Constants!$H63*(1-Constants!$H81)</f>
        <v>0</v>
      </c>
      <c r="BP66" s="22">
        <f>BP5*Constants!$H63*(1-Constants!$H81)</f>
        <v>0</v>
      </c>
    </row>
    <row r="67" spans="1:68" x14ac:dyDescent="0.25">
      <c r="A67" t="str">
        <f t="shared" si="25"/>
        <v>3C Aggregated and non-CO2 emissions on land</v>
      </c>
      <c r="B67" t="str">
        <f t="shared" si="26"/>
        <v>3C4 Direct N2O from managed soils (N2O)</v>
      </c>
      <c r="C67" t="s">
        <v>410</v>
      </c>
      <c r="D67" t="str">
        <f t="shared" ref="D67:D81" si="27">D51</f>
        <v xml:space="preserve"> - Pasture</v>
      </c>
      <c r="E67" t="str">
        <f t="shared" ref="E67:E79" si="28">C67&amp;D67</f>
        <v>Urine &amp; dung - Pasture</v>
      </c>
      <c r="F67" t="str">
        <f t="shared" ref="F67:F79" si="29">F66</f>
        <v>kg N</v>
      </c>
      <c r="H67" s="22">
        <f>H6*Constants!$H64*(1-Constants!$H82)</f>
        <v>28033004.557779469</v>
      </c>
      <c r="I67" s="22">
        <f>I6*Constants!$H64*(1-Constants!$H82)</f>
        <v>32273269.726387568</v>
      </c>
      <c r="J67" s="22">
        <f>J6*Constants!$H64*(1-Constants!$H82)</f>
        <v>27920554.140614353</v>
      </c>
      <c r="K67" s="22">
        <f>K6*Constants!$H64*(1-Constants!$H82)</f>
        <v>29612364.349424317</v>
      </c>
      <c r="L67" s="22">
        <f>L6*Constants!$H64*(1-Constants!$H82)</f>
        <v>27470752.471953906</v>
      </c>
      <c r="M67" s="22">
        <f>M6*Constants!$H64*(1-Constants!$H82)</f>
        <v>29387463.51509409</v>
      </c>
      <c r="N67" s="22">
        <f>N6*Constants!$H64*(1-Constants!$H82)</f>
        <v>29499913.932259206</v>
      </c>
      <c r="O67" s="22">
        <f>O6*Constants!$H64*(1-Constants!$H82)</f>
        <v>28439847.640107188</v>
      </c>
      <c r="P67" s="22">
        <f>P6*Constants!$H64*(1-Constants!$H82)</f>
        <v>28102496.388611846</v>
      </c>
      <c r="Q67" s="22">
        <f>Q6*Constants!$H64*(1-Constants!$H82)</f>
        <v>27604682.18228538</v>
      </c>
      <c r="R67" s="22">
        <f>R6*Constants!$H64*(1-Constants!$H82)</f>
        <v>35544439.726842389</v>
      </c>
      <c r="S67" s="22">
        <f>S6*Constants!$H64*(1-Constants!$H82)</f>
        <v>35431989.309677273</v>
      </c>
      <c r="T67" s="22">
        <f>T6*Constants!$H64*(1-Constants!$H82)</f>
        <v>30897331.47590657</v>
      </c>
      <c r="U67" s="22">
        <f>U6*Constants!$H64*(1-Constants!$H82)</f>
        <v>28102496.388611846</v>
      </c>
      <c r="V67" s="22">
        <f>V6*Constants!$H64*(1-Constants!$H82)</f>
        <v>27133401.22045856</v>
      </c>
      <c r="W67" s="22">
        <f>W6*Constants!$H64*(1-Constants!$H82)</f>
        <v>29050112.263598755</v>
      </c>
      <c r="X67" s="22">
        <f>X6*Constants!$H64*(1-Constants!$H82)</f>
        <v>28418368.346940812</v>
      </c>
      <c r="Y67" s="22">
        <f>Y6*Constants!$H64*(1-Constants!$H82)</f>
        <v>28214946.805776961</v>
      </c>
      <c r="Z67" s="22">
        <f>Z6*Constants!$H64*(1-Constants!$H82)</f>
        <v>34553865.265522733</v>
      </c>
      <c r="AA67" s="22">
        <f>AA6*Constants!$H64*(1-Constants!$H82)</f>
        <v>35410510.016510896</v>
      </c>
      <c r="AB67" s="22">
        <f>AB6*Constants!$H64*(1-Constants!$H82)</f>
        <v>35410510.016510896</v>
      </c>
      <c r="AC67" s="22">
        <f>AC6*Constants!$H64*(1-Constants!$H82)</f>
        <v>34125542.890028648</v>
      </c>
      <c r="AD67" s="22">
        <f>AD6*Constants!$H64*(1-Constants!$H82)</f>
        <v>34348766.825661823</v>
      </c>
      <c r="AE67" s="22">
        <f>AE6*Constants!$H64*(1-Constants!$H82)</f>
        <v>34562421.949341528</v>
      </c>
      <c r="AF67" s="22">
        <f>AF6*Constants!$H64*(1-Constants!$H82)</f>
        <v>34709312.790075138</v>
      </c>
      <c r="AG67" s="22">
        <f>AG6*Constants!$H64*(1-Constants!$H82)</f>
        <v>34755379.920024522</v>
      </c>
      <c r="AH67" s="22">
        <f>AH6*Constants!$H64*(1-Constants!$H82)</f>
        <v>34817701.872788064</v>
      </c>
      <c r="AI67" s="22">
        <f>AI6*Constants!$H64*(1-Constants!$H82)</f>
        <v>34954210.626782231</v>
      </c>
      <c r="AJ67" s="22">
        <f>AJ6*Constants!$H64*(1-Constants!$H82)</f>
        <v>35117870.776365511</v>
      </c>
      <c r="AK67" s="22">
        <f>AK6*Constants!$H64*(1-Constants!$H82)</f>
        <v>35167035.992472142</v>
      </c>
      <c r="AL67" s="22">
        <f>AL6*Constants!$H64*(1-Constants!$H82)</f>
        <v>34087415.886556581</v>
      </c>
      <c r="AM67" s="22">
        <f>AM6*Constants!$H64*(1-Constants!$H82)</f>
        <v>34368182.448246062</v>
      </c>
      <c r="AN67" s="22">
        <f>AN6*Constants!$H64*(1-Constants!$H82)</f>
        <v>34625637.411790587</v>
      </c>
      <c r="AO67" s="22">
        <f>AO6*Constants!$H64*(1-Constants!$H82)</f>
        <v>34889614.5388963</v>
      </c>
      <c r="AP67" s="22">
        <f>AP6*Constants!$H64*(1-Constants!$H82)</f>
        <v>35207610.897960082</v>
      </c>
      <c r="AQ67" s="22">
        <f>AQ6*Constants!$H64*(1-Constants!$H82)</f>
        <v>35531574.267571568</v>
      </c>
      <c r="AR67" s="22">
        <f>AR6*Constants!$H64*(1-Constants!$H82)</f>
        <v>35847023.364539959</v>
      </c>
      <c r="AS67" s="22">
        <f>AS6*Constants!$H64*(1-Constants!$H82)</f>
        <v>36156161.660371967</v>
      </c>
      <c r="AT67" s="22">
        <f>AT6*Constants!$H64*(1-Constants!$H82)</f>
        <v>36489137.509518564</v>
      </c>
      <c r="AU67" s="22">
        <f>AU6*Constants!$H64*(1-Constants!$H82)</f>
        <v>36804459.093449347</v>
      </c>
      <c r="AV67" s="22">
        <f>AV6*Constants!$H64*(1-Constants!$H82)</f>
        <v>37131091.042836405</v>
      </c>
      <c r="AW67" s="22">
        <f>AW6*Constants!$H64*(1-Constants!$H82)</f>
        <v>37506361.347321801</v>
      </c>
      <c r="AX67" s="22">
        <f>AX6*Constants!$H64*(1-Constants!$H82)</f>
        <v>37915070.157065675</v>
      </c>
      <c r="AY67" s="22">
        <f>AY6*Constants!$H64*(1-Constants!$H82)</f>
        <v>38340001.568138704</v>
      </c>
      <c r="AZ67" s="22">
        <f>AZ6*Constants!$H64*(1-Constants!$H82)</f>
        <v>38399357.992398113</v>
      </c>
      <c r="BA67" s="22">
        <f>BA6*Constants!$H64*(1-Constants!$H82)</f>
        <v>20558641.626679689</v>
      </c>
      <c r="BB67" s="22">
        <f>BB6*Constants!$H64*(1-Constants!$H82)</f>
        <v>20573762.382099129</v>
      </c>
      <c r="BC67" s="22">
        <f>BC6*Constants!$H64*(1-Constants!$H82)</f>
        <v>20590869.431332368</v>
      </c>
      <c r="BD67" s="22">
        <f>BD6*Constants!$H64*(1-Constants!$H82)</f>
        <v>20609887.276069347</v>
      </c>
      <c r="BE67" s="22">
        <f>BE6*Constants!$H64*(1-Constants!$H82)</f>
        <v>20630746.232582219</v>
      </c>
      <c r="BF67" s="22">
        <f>BF6*Constants!$H64*(1-Constants!$H82)</f>
        <v>20653381.880601142</v>
      </c>
      <c r="BG67" s="22">
        <f>BG6*Constants!$H64*(1-Constants!$H82)</f>
        <v>20663127.203384351</v>
      </c>
      <c r="BH67" s="22">
        <f>BH6*Constants!$H64*(1-Constants!$H82)</f>
        <v>20674437.147983406</v>
      </c>
      <c r="BI67" s="22">
        <f>BI6*Constants!$H64*(1-Constants!$H82)</f>
        <v>20687257.066968311</v>
      </c>
      <c r="BJ67" s="22">
        <f>BJ6*Constants!$H64*(1-Constants!$H82)</f>
        <v>20701536.041873779</v>
      </c>
      <c r="BK67" s="22">
        <f>BK6*Constants!$H64*(1-Constants!$H82)</f>
        <v>20717226.566766735</v>
      </c>
      <c r="BL67" s="22">
        <f>BL6*Constants!$H64*(1-Constants!$H82)</f>
        <v>20719519.492902856</v>
      </c>
      <c r="BM67" s="22">
        <f>BM6*Constants!$H64*(1-Constants!$H82)</f>
        <v>20723063.793074604</v>
      </c>
      <c r="BN67" s="22">
        <f>BN6*Constants!$H64*(1-Constants!$H82)</f>
        <v>20727817.990268614</v>
      </c>
      <c r="BO67" s="22">
        <f>BO6*Constants!$H64*(1-Constants!$H82)</f>
        <v>20733743.134214427</v>
      </c>
      <c r="BP67" s="22">
        <f>BP6*Constants!$H64*(1-Constants!$H82)</f>
        <v>20740802.607283328</v>
      </c>
    </row>
    <row r="68" spans="1:68" x14ac:dyDescent="0.25">
      <c r="A68" t="str">
        <f t="shared" si="25"/>
        <v>3C Aggregated and non-CO2 emissions on land</v>
      </c>
      <c r="B68" t="str">
        <f t="shared" si="26"/>
        <v>3C4 Direct N2O from managed soils (N2O)</v>
      </c>
      <c r="C68" t="s">
        <v>410</v>
      </c>
      <c r="D68" t="str">
        <f t="shared" si="27"/>
        <v xml:space="preserve"> - Non-lactating</v>
      </c>
      <c r="E68" t="str">
        <f t="shared" si="28"/>
        <v>Urine &amp; dung - Non-lactating</v>
      </c>
      <c r="F68" t="str">
        <f t="shared" si="29"/>
        <v>kg N</v>
      </c>
      <c r="H68" s="22">
        <f>H7*Constants!$H65*(1-Constants!$H83)</f>
        <v>22536672.502374578</v>
      </c>
      <c r="I68" s="22">
        <f>I7*Constants!$H65*(1-Constants!$H83)</f>
        <v>25616525.79063822</v>
      </c>
      <c r="J68" s="22">
        <f>J7*Constants!$H65*(1-Constants!$H83)</f>
        <v>22158361.515645087</v>
      </c>
      <c r="K68" s="22">
        <f>K7*Constants!$H65*(1-Constants!$H83)</f>
        <v>23189426.39460196</v>
      </c>
      <c r="L68" s="22">
        <f>L7*Constants!$H65*(1-Constants!$H83)</f>
        <v>20645117.568727165</v>
      </c>
      <c r="M68" s="22">
        <f>M7*Constants!$H65*(1-Constants!$H83)</f>
        <v>22432804.421142988</v>
      </c>
      <c r="N68" s="22">
        <f>N7*Constants!$H65*(1-Constants!$H83)</f>
        <v>22811115.407872468</v>
      </c>
      <c r="O68" s="22">
        <f>O7*Constants!$H65*(1-Constants!$H83)</f>
        <v>22041152.085806556</v>
      </c>
      <c r="P68" s="22">
        <f>P7*Constants!$H65*(1-Constants!$H83)</f>
        <v>20906219.125618115</v>
      </c>
      <c r="Q68" s="22">
        <f>Q7*Constants!$H65*(1-Constants!$H83)</f>
        <v>22027810.737199616</v>
      </c>
      <c r="R68" s="22">
        <f>R7*Constants!$H65*(1-Constants!$H83)</f>
        <v>27300344.561822459</v>
      </c>
      <c r="S68" s="22">
        <f>S7*Constants!$H65*(1-Constants!$H83)</f>
        <v>26922033.575092979</v>
      </c>
      <c r="T68" s="22">
        <f>T7*Constants!$H65*(1-Constants!$H83)</f>
        <v>24716011.690126833</v>
      </c>
      <c r="U68" s="22">
        <f>U7*Constants!$H65*(1-Constants!$H83)</f>
        <v>20906219.125618115</v>
      </c>
      <c r="V68" s="22">
        <f>V7*Constants!$H65*(1-Constants!$H83)</f>
        <v>19510184.608538713</v>
      </c>
      <c r="W68" s="22">
        <f>W7*Constants!$H65*(1-Constants!$H83)</f>
        <v>21297871.460954543</v>
      </c>
      <c r="X68" s="22">
        <f>X7*Constants!$H65*(1-Constants!$H83)</f>
        <v>21036769.90406359</v>
      </c>
      <c r="Y68" s="22">
        <f>Y7*Constants!$H65*(1-Constants!$H83)</f>
        <v>21284530.112347595</v>
      </c>
      <c r="Z68" s="22">
        <f>Z7*Constants!$H65*(1-Constants!$H83)</f>
        <v>24899927.863000095</v>
      </c>
      <c r="AA68" s="22">
        <f>AA7*Constants!$H65*(1-Constants!$H83)</f>
        <v>25917651.393350005</v>
      </c>
      <c r="AB68" s="22">
        <f>AB7*Constants!$H65*(1-Constants!$H83)</f>
        <v>25917651.393350005</v>
      </c>
      <c r="AC68" s="22">
        <f>AC7*Constants!$H65*(1-Constants!$H83)</f>
        <v>24391066.097825136</v>
      </c>
      <c r="AD68" s="22">
        <f>AD7*Constants!$H65*(1-Constants!$H83)</f>
        <v>23391745.225552749</v>
      </c>
      <c r="AE68" s="22">
        <f>AE7*Constants!$H65*(1-Constants!$H83)</f>
        <v>23537245.826625735</v>
      </c>
      <c r="AF68" s="22">
        <f>AF7*Constants!$H65*(1-Constants!$H83)</f>
        <v>23637279.494205344</v>
      </c>
      <c r="AG68" s="22">
        <f>AG7*Constants!$H65*(1-Constants!$H83)</f>
        <v>23668651.524896219</v>
      </c>
      <c r="AH68" s="22">
        <f>AH7*Constants!$H65*(1-Constants!$H83)</f>
        <v>23711093.201140463</v>
      </c>
      <c r="AI68" s="22">
        <f>AI7*Constants!$H65*(1-Constants!$H83)</f>
        <v>23804056.596615363</v>
      </c>
      <c r="AJ68" s="22">
        <f>AJ7*Constants!$H65*(1-Constants!$H83)</f>
        <v>23915510.278258685</v>
      </c>
      <c r="AK68" s="22">
        <f>AK7*Constants!$H65*(1-Constants!$H83)</f>
        <v>23948992.126820024</v>
      </c>
      <c r="AL68" s="22">
        <f>AL7*Constants!$H65*(1-Constants!$H83)</f>
        <v>23213763.447836015</v>
      </c>
      <c r="AM68" s="22">
        <f>AM7*Constants!$H65*(1-Constants!$H83)</f>
        <v>23404967.397376005</v>
      </c>
      <c r="AN68" s="22">
        <f>AN7*Constants!$H65*(1-Constants!$H83)</f>
        <v>23580295.989079285</v>
      </c>
      <c r="AO68" s="22">
        <f>AO7*Constants!$H65*(1-Constants!$H83)</f>
        <v>23760066.218792949</v>
      </c>
      <c r="AP68" s="22">
        <f>AP7*Constants!$H65*(1-Constants!$H83)</f>
        <v>23976623.915074378</v>
      </c>
      <c r="AQ68" s="22">
        <f>AQ7*Constants!$H65*(1-Constants!$H83)</f>
        <v>24197245.186365608</v>
      </c>
      <c r="AR68" s="22">
        <f>AR7*Constants!$H65*(1-Constants!$H83)</f>
        <v>24412068.179731481</v>
      </c>
      <c r="AS68" s="22">
        <f>AS7*Constants!$H65*(1-Constants!$H83)</f>
        <v>24622593.474344432</v>
      </c>
      <c r="AT68" s="22">
        <f>AT7*Constants!$H65*(1-Constants!$H83)</f>
        <v>24849352.305863243</v>
      </c>
      <c r="AU68" s="22">
        <f>AU7*Constants!$H65*(1-Constants!$H83)</f>
        <v>25064088.461978059</v>
      </c>
      <c r="AV68" s="22">
        <f>AV7*Constants!$H65*(1-Constants!$H83)</f>
        <v>25286527.054355107</v>
      </c>
      <c r="AW68" s="22">
        <f>AW7*Constants!$H65*(1-Constants!$H83)</f>
        <v>25542088.69934202</v>
      </c>
      <c r="AX68" s="22">
        <f>AX7*Constants!$H65*(1-Constants!$H83)</f>
        <v>25820422.195199143</v>
      </c>
      <c r="AY68" s="22">
        <f>AY7*Constants!$H65*(1-Constants!$H83)</f>
        <v>26109803.39355788</v>
      </c>
      <c r="AZ68" s="22">
        <f>AZ7*Constants!$H65*(1-Constants!$H83)</f>
        <v>26150225.524600402</v>
      </c>
      <c r="BA68" s="22">
        <f>BA7*Constants!$H65*(1-Constants!$H83)</f>
        <v>14000575.611799093</v>
      </c>
      <c r="BB68" s="22">
        <f>BB7*Constants!$H65*(1-Constants!$H83)</f>
        <v>14010872.949697264</v>
      </c>
      <c r="BC68" s="22">
        <f>BC7*Constants!$H65*(1-Constants!$H83)</f>
        <v>14022522.967273032</v>
      </c>
      <c r="BD68" s="22">
        <f>BD7*Constants!$H65*(1-Constants!$H83)</f>
        <v>14035474.249660678</v>
      </c>
      <c r="BE68" s="22">
        <f>BE7*Constants!$H65*(1-Constants!$H83)</f>
        <v>14049679.341764754</v>
      </c>
      <c r="BF68" s="22">
        <f>BF7*Constants!$H65*(1-Constants!$H83)</f>
        <v>14065094.372940732</v>
      </c>
      <c r="BG68" s="22">
        <f>BG7*Constants!$H65*(1-Constants!$H83)</f>
        <v>14071731.004434451</v>
      </c>
      <c r="BH68" s="22">
        <f>BH7*Constants!$H65*(1-Constants!$H83)</f>
        <v>14079433.154090041</v>
      </c>
      <c r="BI68" s="22">
        <f>BI7*Constants!$H65*(1-Constants!$H83)</f>
        <v>14088163.606633771</v>
      </c>
      <c r="BJ68" s="22">
        <f>BJ7*Constants!$H65*(1-Constants!$H83)</f>
        <v>14097887.686242398</v>
      </c>
      <c r="BK68" s="22">
        <f>BK7*Constants!$H65*(1-Constants!$H83)</f>
        <v>14108573.041050447</v>
      </c>
      <c r="BL68" s="22">
        <f>BL7*Constants!$H65*(1-Constants!$H83)</f>
        <v>14110134.539437549</v>
      </c>
      <c r="BM68" s="22">
        <f>BM7*Constants!$H65*(1-Constants!$H83)</f>
        <v>14112548.232104918</v>
      </c>
      <c r="BN68" s="22">
        <f>BN7*Constants!$H65*(1-Constants!$H83)</f>
        <v>14115785.872922678</v>
      </c>
      <c r="BO68" s="22">
        <f>BO7*Constants!$H65*(1-Constants!$H83)</f>
        <v>14119820.93649013</v>
      </c>
      <c r="BP68" s="22">
        <f>BP7*Constants!$H65*(1-Constants!$H83)</f>
        <v>14124628.485951584</v>
      </c>
    </row>
    <row r="69" spans="1:68" x14ac:dyDescent="0.25">
      <c r="A69" t="str">
        <f t="shared" si="25"/>
        <v>3C Aggregated and non-CO2 emissions on land</v>
      </c>
      <c r="B69" t="str">
        <f t="shared" si="26"/>
        <v>3C4 Direct N2O from managed soils (N2O)</v>
      </c>
      <c r="C69" t="s">
        <v>410</v>
      </c>
      <c r="D69" t="str">
        <f t="shared" si="27"/>
        <v xml:space="preserve"> - Commercial cattle</v>
      </c>
      <c r="E69" t="str">
        <f t="shared" si="28"/>
        <v>Urine &amp; dung - Commercial cattle</v>
      </c>
      <c r="F69" t="str">
        <f t="shared" si="29"/>
        <v>kg N</v>
      </c>
      <c r="H69" s="22">
        <f>H8*Constants!$H66*(1-Constants!$H84)</f>
        <v>559255370.31703663</v>
      </c>
      <c r="I69" s="22">
        <f>I8*Constants!$H66*(1-Constants!$H84)</f>
        <v>535116762.9675647</v>
      </c>
      <c r="J69" s="22">
        <f>J8*Constants!$H66*(1-Constants!$H84)</f>
        <v>534922334.95159727</v>
      </c>
      <c r="K69" s="22">
        <f>K8*Constants!$H66*(1-Constants!$H84)</f>
        <v>500438844.55845898</v>
      </c>
      <c r="L69" s="22">
        <f>L8*Constants!$H66*(1-Constants!$H84)</f>
        <v>515525474.15187901</v>
      </c>
      <c r="M69" s="22">
        <f>M8*Constants!$H66*(1-Constants!$H84)</f>
        <v>527246940.36344963</v>
      </c>
      <c r="N69" s="22">
        <f>N8*Constants!$H66*(1-Constants!$H84)</f>
        <v>549118861.60271931</v>
      </c>
      <c r="O69" s="22">
        <f>O8*Constants!$H66*(1-Constants!$H84)</f>
        <v>569920198.19710505</v>
      </c>
      <c r="P69" s="22">
        <f>P8*Constants!$H66*(1-Constants!$H84)</f>
        <v>574856372.76282609</v>
      </c>
      <c r="Q69" s="22">
        <f>Q8*Constants!$H66*(1-Constants!$H84)</f>
        <v>565554181.73728025</v>
      </c>
      <c r="R69" s="22">
        <f>R8*Constants!$H66*(1-Constants!$H84)</f>
        <v>527135369.85639662</v>
      </c>
      <c r="S69" s="22">
        <f>S8*Constants!$H66*(1-Constants!$H84)</f>
        <v>529874589.8788234</v>
      </c>
      <c r="T69" s="22">
        <f>T8*Constants!$H66*(1-Constants!$H84)</f>
        <v>493847980.92857671</v>
      </c>
      <c r="U69" s="22">
        <f>U8*Constants!$H66*(1-Constants!$H84)</f>
        <v>506765548.60546583</v>
      </c>
      <c r="V69" s="22">
        <f>V8*Constants!$H66*(1-Constants!$H84)</f>
        <v>511437563.5883112</v>
      </c>
      <c r="W69" s="22">
        <f>W8*Constants!$H66*(1-Constants!$H84)</f>
        <v>515775687.42137289</v>
      </c>
      <c r="X69" s="22">
        <f>X8*Constants!$H66*(1-Constants!$H84)</f>
        <v>504026328.58303899</v>
      </c>
      <c r="Y69" s="22">
        <f>Y8*Constants!$H66*(1-Constants!$H84)</f>
        <v>518793013.34005684</v>
      </c>
      <c r="Z69" s="22">
        <f>Z8*Constants!$H66*(1-Constants!$H84)</f>
        <v>504376811.74388993</v>
      </c>
      <c r="AA69" s="22">
        <f>AA8*Constants!$H66*(1-Constants!$H84)</f>
        <v>495907981.30717754</v>
      </c>
      <c r="AB69" s="22">
        <f>AB8*Constants!$H66*(1-Constants!$H84)</f>
        <v>494349036.41895235</v>
      </c>
      <c r="AC69" s="22">
        <f>AC8*Constants!$H66*(1-Constants!$H84)</f>
        <v>492573930.50973994</v>
      </c>
      <c r="AD69" s="22">
        <f>AD8*Constants!$H66*(1-Constants!$H84)</f>
        <v>492825762.03746235</v>
      </c>
      <c r="AE69" s="22">
        <f>AE8*Constants!$H66*(1-Constants!$H84)</f>
        <v>489559097.08357269</v>
      </c>
      <c r="AF69" s="22">
        <f>AF8*Constants!$H66*(1-Constants!$H84)</f>
        <v>482671552.93602335</v>
      </c>
      <c r="AG69" s="22">
        <f>AG8*Constants!$H66*(1-Constants!$H84)</f>
        <v>471061642.79831916</v>
      </c>
      <c r="AH69" s="22">
        <f>AH8*Constants!$H66*(1-Constants!$H84)</f>
        <v>459797426.37902075</v>
      </c>
      <c r="AI69" s="22">
        <f>AI8*Constants!$H66*(1-Constants!$H84)</f>
        <v>451133662.95670366</v>
      </c>
      <c r="AJ69" s="22">
        <f>AJ8*Constants!$H66*(1-Constants!$H84)</f>
        <v>443297222.24093831</v>
      </c>
      <c r="AK69" s="22">
        <f>AK8*Constants!$H66*(1-Constants!$H84)</f>
        <v>430976324.08386987</v>
      </c>
      <c r="AL69" s="22">
        <f>AL8*Constants!$H66*(1-Constants!$H84)</f>
        <v>377992359.2935499</v>
      </c>
      <c r="AM69" s="22">
        <f>AM8*Constants!$H66*(1-Constants!$H84)</f>
        <v>381595232.53458351</v>
      </c>
      <c r="AN69" s="22">
        <f>AN8*Constants!$H66*(1-Constants!$H84)</f>
        <v>384033198.79896641</v>
      </c>
      <c r="AO69" s="22">
        <f>AO8*Constants!$H66*(1-Constants!$H84)</f>
        <v>386391868.49306577</v>
      </c>
      <c r="AP69" s="22">
        <f>AP8*Constants!$H66*(1-Constants!$H84)</f>
        <v>390292540.8470794</v>
      </c>
      <c r="AQ69" s="22">
        <f>AQ8*Constants!$H66*(1-Constants!$H84)</f>
        <v>394064656.61507225</v>
      </c>
      <c r="AR69" s="22">
        <f>AR8*Constants!$H66*(1-Constants!$H84)</f>
        <v>398024811.9607268</v>
      </c>
      <c r="AS69" s="22">
        <f>AS8*Constants!$H66*(1-Constants!$H84)</f>
        <v>401472477.43886149</v>
      </c>
      <c r="AT69" s="22">
        <f>AT8*Constants!$H66*(1-Constants!$H84)</f>
        <v>405396388.26551777</v>
      </c>
      <c r="AU69" s="22">
        <f>AU8*Constants!$H66*(1-Constants!$H84)</f>
        <v>408466981.43675172</v>
      </c>
      <c r="AV69" s="22">
        <f>AV8*Constants!$H66*(1-Constants!$H84)</f>
        <v>411621826.52688009</v>
      </c>
      <c r="AW69" s="22">
        <f>AW8*Constants!$H66*(1-Constants!$H84)</f>
        <v>413091237.97779346</v>
      </c>
      <c r="AX69" s="22">
        <f>AX8*Constants!$H66*(1-Constants!$H84)</f>
        <v>415106099.20191664</v>
      </c>
      <c r="AY69" s="22">
        <f>AY8*Constants!$H66*(1-Constants!$H84)</f>
        <v>417113184.34079289</v>
      </c>
      <c r="AZ69" s="22">
        <f>AZ8*Constants!$H66*(1-Constants!$H84)</f>
        <v>408267051.16487074</v>
      </c>
      <c r="BA69" s="22">
        <f>BA8*Constants!$H66*(1-Constants!$H84)</f>
        <v>-96304550.35184966</v>
      </c>
      <c r="BB69" s="22">
        <f>BB8*Constants!$H66*(1-Constants!$H84)</f>
        <v>-94070619.729490444</v>
      </c>
      <c r="BC69" s="22">
        <f>BC8*Constants!$H66*(1-Constants!$H84)</f>
        <v>-91872215.614590049</v>
      </c>
      <c r="BD69" s="22">
        <f>BD8*Constants!$H66*(1-Constants!$H84)</f>
        <v>-89707477.318913981</v>
      </c>
      <c r="BE69" s="22">
        <f>BE8*Constants!$H66*(1-Constants!$H84)</f>
        <v>-87574672.794737354</v>
      </c>
      <c r="BF69" s="22">
        <f>BF8*Constants!$H66*(1-Constants!$H84)</f>
        <v>-85472186.714476764</v>
      </c>
      <c r="BG69" s="22">
        <f>BG8*Constants!$H66*(1-Constants!$H84)</f>
        <v>-83767546.107042193</v>
      </c>
      <c r="BH69" s="22">
        <f>BH8*Constants!$H66*(1-Constants!$H84)</f>
        <v>-82088652.03710261</v>
      </c>
      <c r="BI69" s="22">
        <f>BI8*Constants!$H66*(1-Constants!$H84)</f>
        <v>-80434337.799215525</v>
      </c>
      <c r="BJ69" s="22">
        <f>BJ8*Constants!$H66*(1-Constants!$H84)</f>
        <v>-78803509.250992477</v>
      </c>
      <c r="BK69" s="22">
        <f>BK8*Constants!$H66*(1-Constants!$H84)</f>
        <v>-77195138.796423346</v>
      </c>
      <c r="BL69" s="22">
        <f>BL8*Constants!$H66*(1-Constants!$H84)</f>
        <v>-75556874.098898306</v>
      </c>
      <c r="BM69" s="22">
        <f>BM8*Constants!$H66*(1-Constants!$H84)</f>
        <v>-73941137.630240291</v>
      </c>
      <c r="BN69" s="22">
        <f>BN8*Constants!$H66*(1-Constants!$H84)</f>
        <v>-72347043.164933786</v>
      </c>
      <c r="BO69" s="22">
        <f>BO8*Constants!$H66*(1-Constants!$H84)</f>
        <v>-70773754.268429518</v>
      </c>
      <c r="BP69" s="22">
        <f>BP8*Constants!$H66*(1-Constants!$H84)</f>
        <v>-69220480.576406136</v>
      </c>
    </row>
    <row r="70" spans="1:68" x14ac:dyDescent="0.25">
      <c r="A70" t="str">
        <f t="shared" si="25"/>
        <v>3C Aggregated and non-CO2 emissions on land</v>
      </c>
      <c r="B70" t="str">
        <f t="shared" si="26"/>
        <v>3C4 Direct N2O from managed soils (N2O)</v>
      </c>
      <c r="C70" t="s">
        <v>410</v>
      </c>
      <c r="D70" t="str">
        <f t="shared" si="27"/>
        <v xml:space="preserve"> - Subsistence cattle</v>
      </c>
      <c r="E70" t="str">
        <f t="shared" si="28"/>
        <v>Urine &amp; dung - Subsistence cattle</v>
      </c>
      <c r="F70" t="str">
        <f t="shared" si="29"/>
        <v>kg N</v>
      </c>
      <c r="H70" s="22">
        <f>H9*Constants!$H67*(1-Constants!$H85)</f>
        <v>267001859.90719384</v>
      </c>
      <c r="I70" s="22">
        <f>I9*Constants!$H67*(1-Constants!$H85)</f>
        <v>283289555.06493115</v>
      </c>
      <c r="J70" s="22">
        <f>J9*Constants!$H67*(1-Constants!$H85)</f>
        <v>296668733.23021537</v>
      </c>
      <c r="K70" s="22">
        <f>K9*Constants!$H67*(1-Constants!$H85)</f>
        <v>293178512.83927161</v>
      </c>
      <c r="L70" s="22">
        <f>L9*Constants!$H67*(1-Constants!$H85)</f>
        <v>255367791.93738148</v>
      </c>
      <c r="M70" s="22">
        <f>M9*Constants!$H67*(1-Constants!$H85)</f>
        <v>246642240.96002218</v>
      </c>
      <c r="N70" s="22">
        <f>N9*Constants!$H67*(1-Constants!$H85)</f>
        <v>253622681.74190959</v>
      </c>
      <c r="O70" s="22">
        <f>O9*Constants!$H67*(1-Constants!$H85)</f>
        <v>265256749.71172196</v>
      </c>
      <c r="P70" s="22">
        <f>P9*Constants!$H67*(1-Constants!$H85)</f>
        <v>281544444.86945933</v>
      </c>
      <c r="Q70" s="22">
        <f>Q9*Constants!$H67*(1-Constants!$H85)</f>
        <v>293178512.83927161</v>
      </c>
      <c r="R70" s="22">
        <f>R9*Constants!$H67*(1-Constants!$H85)</f>
        <v>286198072.05738419</v>
      </c>
      <c r="S70" s="22">
        <f>S9*Constants!$H67*(1-Constants!$H85)</f>
        <v>279217631.27549684</v>
      </c>
      <c r="T70" s="22">
        <f>T9*Constants!$H67*(1-Constants!$H85)</f>
        <v>316446648.77889633</v>
      </c>
      <c r="U70" s="22">
        <f>U9*Constants!$H67*(1-Constants!$H85)</f>
        <v>324008792.95927441</v>
      </c>
      <c r="V70" s="22">
        <f>V9*Constants!$H67*(1-Constants!$H85)</f>
        <v>318773462.37285882</v>
      </c>
      <c r="W70" s="22">
        <f>W9*Constants!$H67*(1-Constants!$H85)</f>
        <v>309466207.99700898</v>
      </c>
      <c r="X70" s="22">
        <f>X9*Constants!$H67*(1-Constants!$H85)</f>
        <v>319355165.77134943</v>
      </c>
      <c r="Y70" s="22">
        <f>Y9*Constants!$H67*(1-Constants!$H85)</f>
        <v>332152640.5381431</v>
      </c>
      <c r="Z70" s="22">
        <f>Z9*Constants!$H67*(1-Constants!$H85)</f>
        <v>326917309.95172751</v>
      </c>
      <c r="AA70" s="22">
        <f>AA9*Constants!$H67*(1-Constants!$H85)</f>
        <v>323427089.5607838</v>
      </c>
      <c r="AB70" s="22">
        <f>AB9*Constants!$H67*(1-Constants!$H85)</f>
        <v>318773462.37285882</v>
      </c>
      <c r="AC70" s="22">
        <f>AC9*Constants!$H67*(1-Constants!$H85)</f>
        <v>321100275.96682131</v>
      </c>
      <c r="AD70" s="22">
        <f>AD9*Constants!$H67*(1-Constants!$H85)</f>
        <v>309889237.28942424</v>
      </c>
      <c r="AE70" s="22">
        <f>AE9*Constants!$H67*(1-Constants!$H85)</f>
        <v>307835155.72750294</v>
      </c>
      <c r="AF70" s="22">
        <f>AF9*Constants!$H67*(1-Constants!$H85)</f>
        <v>303504262.40354753</v>
      </c>
      <c r="AG70" s="22">
        <f>AG9*Constants!$H67*(1-Constants!$H85)</f>
        <v>296203941.53010571</v>
      </c>
      <c r="AH70" s="22">
        <f>AH9*Constants!$H67*(1-Constants!$H85)</f>
        <v>289120993.14605993</v>
      </c>
      <c r="AI70" s="22">
        <f>AI9*Constants!$H67*(1-Constants!$H85)</f>
        <v>283673211.7072444</v>
      </c>
      <c r="AJ70" s="22">
        <f>AJ9*Constants!$H67*(1-Constants!$H85)</f>
        <v>278745651.45464593</v>
      </c>
      <c r="AK70" s="22">
        <f>AK9*Constants!$H67*(1-Constants!$H85)</f>
        <v>270998260.7402693</v>
      </c>
      <c r="AL70" s="22">
        <f>AL9*Constants!$H67*(1-Constants!$H85)</f>
        <v>237681900.87799034</v>
      </c>
      <c r="AM70" s="22">
        <f>AM9*Constants!$H67*(1-Constants!$H85)</f>
        <v>239947390.48246747</v>
      </c>
      <c r="AN70" s="22">
        <f>AN9*Constants!$H67*(1-Constants!$H85)</f>
        <v>241480385.63897783</v>
      </c>
      <c r="AO70" s="22">
        <f>AO9*Constants!$H67*(1-Constants!$H85)</f>
        <v>242963519.04803565</v>
      </c>
      <c r="AP70" s="22">
        <f>AP9*Constants!$H67*(1-Constants!$H85)</f>
        <v>245416264.97532621</v>
      </c>
      <c r="AQ70" s="22">
        <f>AQ9*Constants!$H67*(1-Constants!$H85)</f>
        <v>247788174.41747478</v>
      </c>
      <c r="AR70" s="22">
        <f>AR9*Constants!$H67*(1-Constants!$H85)</f>
        <v>250278323.29796132</v>
      </c>
      <c r="AS70" s="22">
        <f>AS9*Constants!$H67*(1-Constants!$H85)</f>
        <v>252446218.13574582</v>
      </c>
      <c r="AT70" s="22">
        <f>AT9*Constants!$H67*(1-Constants!$H85)</f>
        <v>254913576.43340674</v>
      </c>
      <c r="AU70" s="22">
        <f>AU9*Constants!$H67*(1-Constants!$H85)</f>
        <v>256844367.90000108</v>
      </c>
      <c r="AV70" s="22">
        <f>AV9*Constants!$H67*(1-Constants!$H85)</f>
        <v>258828137.04125771</v>
      </c>
      <c r="AW70" s="22">
        <f>AW9*Constants!$H67*(1-Constants!$H85)</f>
        <v>259752104.1486291</v>
      </c>
      <c r="AX70" s="22">
        <f>AX9*Constants!$H67*(1-Constants!$H85)</f>
        <v>261019050.51402649</v>
      </c>
      <c r="AY70" s="22">
        <f>AY9*Constants!$H67*(1-Constants!$H85)</f>
        <v>262281107.27073896</v>
      </c>
      <c r="AZ70" s="22">
        <f>AZ9*Constants!$H67*(1-Constants!$H85)</f>
        <v>256718651.58353242</v>
      </c>
      <c r="BA70" s="22">
        <f>BA9*Constants!$H67*(1-Constants!$H85)</f>
        <v>-60556379.059110671</v>
      </c>
      <c r="BB70" s="22">
        <f>BB9*Constants!$H67*(1-Constants!$H85)</f>
        <v>-59151681.679131255</v>
      </c>
      <c r="BC70" s="22">
        <f>BC9*Constants!$H67*(1-Constants!$H85)</f>
        <v>-57769323.395741373</v>
      </c>
      <c r="BD70" s="22">
        <f>BD9*Constants!$H67*(1-Constants!$H85)</f>
        <v>-56408134.206676058</v>
      </c>
      <c r="BE70" s="22">
        <f>BE9*Constants!$H67*(1-Constants!$H85)</f>
        <v>-55067024.998926722</v>
      </c>
      <c r="BF70" s="22">
        <f>BF9*Constants!$H67*(1-Constants!$H85)</f>
        <v>-53744980.053203985</v>
      </c>
      <c r="BG70" s="22">
        <f>BG9*Constants!$H67*(1-Constants!$H85)</f>
        <v>-52673100.662186414</v>
      </c>
      <c r="BH70" s="22">
        <f>BH9*Constants!$H67*(1-Constants!$H85)</f>
        <v>-51617410.714744575</v>
      </c>
      <c r="BI70" s="22">
        <f>BI9*Constants!$H67*(1-Constants!$H85)</f>
        <v>-50577176.585553713</v>
      </c>
      <c r="BJ70" s="22">
        <f>BJ9*Constants!$H67*(1-Constants!$H85)</f>
        <v>-49551710.276996076</v>
      </c>
      <c r="BK70" s="22">
        <f>BK9*Constants!$H67*(1-Constants!$H85)</f>
        <v>-48540365.63587039</v>
      </c>
      <c r="BL70" s="22">
        <f>BL9*Constants!$H67*(1-Constants!$H85)</f>
        <v>-47510223.470624499</v>
      </c>
      <c r="BM70" s="22">
        <f>BM9*Constants!$H67*(1-Constants!$H85)</f>
        <v>-46494247.073889233</v>
      </c>
      <c r="BN70" s="22">
        <f>BN9*Constants!$H67*(1-Constants!$H85)</f>
        <v>-45491879.186344467</v>
      </c>
      <c r="BO70" s="22">
        <f>BO9*Constants!$H67*(1-Constants!$H85)</f>
        <v>-44502593.85726995</v>
      </c>
      <c r="BP70" s="22">
        <f>BP9*Constants!$H67*(1-Constants!$H85)</f>
        <v>-43525894.104941934</v>
      </c>
    </row>
    <row r="71" spans="1:68" x14ac:dyDescent="0.25">
      <c r="A71" t="str">
        <f t="shared" si="25"/>
        <v>3C Aggregated and non-CO2 emissions on land</v>
      </c>
      <c r="B71" t="str">
        <f t="shared" si="26"/>
        <v>3C4 Direct N2O from managed soils (N2O)</v>
      </c>
      <c r="C71" t="s">
        <v>410</v>
      </c>
      <c r="D71" t="str">
        <f t="shared" si="27"/>
        <v xml:space="preserve"> - Feedlot</v>
      </c>
      <c r="E71" t="str">
        <f t="shared" si="28"/>
        <v>Urine &amp; dung - Feedlot</v>
      </c>
      <c r="F71" t="str">
        <f t="shared" si="29"/>
        <v>kg N</v>
      </c>
      <c r="H71" s="22">
        <f>H10*Constants!$H68*(1-Constants!$H86)</f>
        <v>0</v>
      </c>
      <c r="I71" s="22">
        <f>I10*Constants!$H68*(1-Constants!$H86)</f>
        <v>0</v>
      </c>
      <c r="J71" s="22">
        <f>J10*Constants!$H68*(1-Constants!$H86)</f>
        <v>0</v>
      </c>
      <c r="K71" s="22">
        <f>K10*Constants!$H68*(1-Constants!$H86)</f>
        <v>0</v>
      </c>
      <c r="L71" s="22">
        <f>L10*Constants!$H68*(1-Constants!$H86)</f>
        <v>0</v>
      </c>
      <c r="M71" s="22">
        <f>M10*Constants!$H68*(1-Constants!$H86)</f>
        <v>0</v>
      </c>
      <c r="N71" s="22">
        <f>N10*Constants!$H68*(1-Constants!$H86)</f>
        <v>0</v>
      </c>
      <c r="O71" s="22">
        <f>O10*Constants!$H68*(1-Constants!$H86)</f>
        <v>0</v>
      </c>
      <c r="P71" s="22">
        <f>P10*Constants!$H68*(1-Constants!$H86)</f>
        <v>0</v>
      </c>
      <c r="Q71" s="22">
        <f>Q10*Constants!$H68*(1-Constants!$H86)</f>
        <v>0</v>
      </c>
      <c r="R71" s="22">
        <f>R10*Constants!$H68*(1-Constants!$H86)</f>
        <v>0</v>
      </c>
      <c r="S71" s="22">
        <f>S10*Constants!$H68*(1-Constants!$H86)</f>
        <v>0</v>
      </c>
      <c r="T71" s="22">
        <f>T10*Constants!$H68*(1-Constants!$H86)</f>
        <v>0</v>
      </c>
      <c r="U71" s="22">
        <f>U10*Constants!$H68*(1-Constants!$H86)</f>
        <v>0</v>
      </c>
      <c r="V71" s="22">
        <f>V10*Constants!$H68*(1-Constants!$H86)</f>
        <v>0</v>
      </c>
      <c r="W71" s="22">
        <f>W10*Constants!$H68*(1-Constants!$H86)</f>
        <v>0</v>
      </c>
      <c r="X71" s="22">
        <f>X10*Constants!$H68*(1-Constants!$H86)</f>
        <v>0</v>
      </c>
      <c r="Y71" s="22">
        <f>Y10*Constants!$H68*(1-Constants!$H86)</f>
        <v>0</v>
      </c>
      <c r="Z71" s="22">
        <f>Z10*Constants!$H68*(1-Constants!$H86)</f>
        <v>0</v>
      </c>
      <c r="AA71" s="22">
        <f>AA10*Constants!$H68*(1-Constants!$H86)</f>
        <v>0</v>
      </c>
      <c r="AB71" s="22">
        <f>AB10*Constants!$H68*(1-Constants!$H86)</f>
        <v>0</v>
      </c>
      <c r="AC71" s="22">
        <f>AC10*Constants!$H68*(1-Constants!$H86)</f>
        <v>0</v>
      </c>
      <c r="AD71" s="22">
        <f>AD10*Constants!$H68*(1-Constants!$H86)</f>
        <v>0</v>
      </c>
      <c r="AE71" s="22">
        <f>AE10*Constants!$H68*(1-Constants!$H86)</f>
        <v>0</v>
      </c>
      <c r="AF71" s="22">
        <f>AF10*Constants!$H68*(1-Constants!$H86)</f>
        <v>0</v>
      </c>
      <c r="AG71" s="22">
        <f>AG10*Constants!$H68*(1-Constants!$H86)</f>
        <v>0</v>
      </c>
      <c r="AH71" s="22">
        <f>AH10*Constants!$H68*(1-Constants!$H86)</f>
        <v>0</v>
      </c>
      <c r="AI71" s="22">
        <f>AI10*Constants!$H68*(1-Constants!$H86)</f>
        <v>0</v>
      </c>
      <c r="AJ71" s="22">
        <f>AJ10*Constants!$H68*(1-Constants!$H86)</f>
        <v>0</v>
      </c>
      <c r="AK71" s="22">
        <f>AK10*Constants!$H68*(1-Constants!$H86)</f>
        <v>0</v>
      </c>
      <c r="AL71" s="22">
        <f>AL10*Constants!$H68*(1-Constants!$H86)</f>
        <v>0</v>
      </c>
      <c r="AM71" s="22">
        <f>AM10*Constants!$H68*(1-Constants!$H86)</f>
        <v>0</v>
      </c>
      <c r="AN71" s="22">
        <f>AN10*Constants!$H68*(1-Constants!$H86)</f>
        <v>0</v>
      </c>
      <c r="AO71" s="22">
        <f>AO10*Constants!$H68*(1-Constants!$H86)</f>
        <v>0</v>
      </c>
      <c r="AP71" s="22">
        <f>AP10*Constants!$H68*(1-Constants!$H86)</f>
        <v>0</v>
      </c>
      <c r="AQ71" s="22">
        <f>AQ10*Constants!$H68*(1-Constants!$H86)</f>
        <v>0</v>
      </c>
      <c r="AR71" s="22">
        <f>AR10*Constants!$H68*(1-Constants!$H86)</f>
        <v>0</v>
      </c>
      <c r="AS71" s="22">
        <f>AS10*Constants!$H68*(1-Constants!$H86)</f>
        <v>0</v>
      </c>
      <c r="AT71" s="22">
        <f>AT10*Constants!$H68*(1-Constants!$H86)</f>
        <v>0</v>
      </c>
      <c r="AU71" s="22">
        <f>AU10*Constants!$H68*(1-Constants!$H86)</f>
        <v>0</v>
      </c>
      <c r="AV71" s="22">
        <f>AV10*Constants!$H68*(1-Constants!$H86)</f>
        <v>0</v>
      </c>
      <c r="AW71" s="22">
        <f>AW10*Constants!$H68*(1-Constants!$H86)</f>
        <v>0</v>
      </c>
      <c r="AX71" s="22">
        <f>AX10*Constants!$H68*(1-Constants!$H86)</f>
        <v>0</v>
      </c>
      <c r="AY71" s="22">
        <f>AY10*Constants!$H68*(1-Constants!$H86)</f>
        <v>0</v>
      </c>
      <c r="AZ71" s="22">
        <f>AZ10*Constants!$H68*(1-Constants!$H86)</f>
        <v>0</v>
      </c>
      <c r="BA71" s="22">
        <f>BA10*Constants!$H68*(1-Constants!$H86)</f>
        <v>0</v>
      </c>
      <c r="BB71" s="22">
        <f>BB10*Constants!$H68*(1-Constants!$H86)</f>
        <v>0</v>
      </c>
      <c r="BC71" s="22">
        <f>BC10*Constants!$H68*(1-Constants!$H86)</f>
        <v>0</v>
      </c>
      <c r="BD71" s="22">
        <f>BD10*Constants!$H68*(1-Constants!$H86)</f>
        <v>0</v>
      </c>
      <c r="BE71" s="22">
        <f>BE10*Constants!$H68*(1-Constants!$H86)</f>
        <v>0</v>
      </c>
      <c r="BF71" s="22">
        <f>BF10*Constants!$H68*(1-Constants!$H86)</f>
        <v>0</v>
      </c>
      <c r="BG71" s="22">
        <f>BG10*Constants!$H68*(1-Constants!$H86)</f>
        <v>0</v>
      </c>
      <c r="BH71" s="22">
        <f>BH10*Constants!$H68*(1-Constants!$H86)</f>
        <v>0</v>
      </c>
      <c r="BI71" s="22">
        <f>BI10*Constants!$H68*(1-Constants!$H86)</f>
        <v>0</v>
      </c>
      <c r="BJ71" s="22">
        <f>BJ10*Constants!$H68*(1-Constants!$H86)</f>
        <v>0</v>
      </c>
      <c r="BK71" s="22">
        <f>BK10*Constants!$H68*(1-Constants!$H86)</f>
        <v>0</v>
      </c>
      <c r="BL71" s="22">
        <f>BL10*Constants!$H68*(1-Constants!$H86)</f>
        <v>0</v>
      </c>
      <c r="BM71" s="22">
        <f>BM10*Constants!$H68*(1-Constants!$H86)</f>
        <v>0</v>
      </c>
      <c r="BN71" s="22">
        <f>BN10*Constants!$H68*(1-Constants!$H86)</f>
        <v>0</v>
      </c>
      <c r="BO71" s="22">
        <f>BO10*Constants!$H68*(1-Constants!$H86)</f>
        <v>0</v>
      </c>
      <c r="BP71" s="22">
        <f>BP10*Constants!$H68*(1-Constants!$H86)</f>
        <v>0</v>
      </c>
    </row>
    <row r="72" spans="1:68" x14ac:dyDescent="0.25">
      <c r="A72" t="str">
        <f t="shared" si="25"/>
        <v>3C Aggregated and non-CO2 emissions on land</v>
      </c>
      <c r="B72" t="str">
        <f t="shared" si="26"/>
        <v>3C4 Direct N2O from managed soils (N2O)</v>
      </c>
      <c r="C72" t="s">
        <v>410</v>
      </c>
      <c r="D72" t="str">
        <f t="shared" si="27"/>
        <v xml:space="preserve"> - Commercial sheep</v>
      </c>
      <c r="E72" t="str">
        <f t="shared" si="28"/>
        <v>Urine &amp; dung - Commercial sheep</v>
      </c>
      <c r="F72" t="str">
        <f t="shared" si="29"/>
        <v>kg N</v>
      </c>
      <c r="H72" s="22">
        <f>H11*Constants!$H69*(1-Constants!$H87)</f>
        <v>581876225.33466685</v>
      </c>
      <c r="I72" s="22">
        <f>I11*Constants!$H69*(1-Constants!$H87)</f>
        <v>555712272.17575133</v>
      </c>
      <c r="J72" s="22">
        <f>J11*Constants!$H69*(1-Constants!$H87)</f>
        <v>532750880.04889882</v>
      </c>
      <c r="K72" s="22">
        <f>K11*Constants!$H69*(1-Constants!$H87)</f>
        <v>498240858.74581867</v>
      </c>
      <c r="L72" s="22">
        <f>L11*Constants!$H69*(1-Constants!$H87)</f>
        <v>501753971.15068793</v>
      </c>
      <c r="M72" s="22">
        <f>M11*Constants!$H69*(1-Constants!$H87)</f>
        <v>494572470.65454638</v>
      </c>
      <c r="N72" s="22">
        <f>N11*Constants!$H69*(1-Constants!$H87)</f>
        <v>496222274.82257891</v>
      </c>
      <c r="O72" s="22">
        <f>O11*Constants!$H69*(1-Constants!$H87)</f>
        <v>485430614.61756623</v>
      </c>
      <c r="P72" s="22">
        <f>P11*Constants!$H69*(1-Constants!$H87)</f>
        <v>486769867.41279262</v>
      </c>
      <c r="Q72" s="22">
        <f>Q11*Constants!$H69*(1-Constants!$H87)</f>
        <v>474813639.55975699</v>
      </c>
      <c r="R72" s="22">
        <f>R11*Constants!$H69*(1-Constants!$H87)</f>
        <v>457791542.43782157</v>
      </c>
      <c r="S72" s="22">
        <f>S11*Constants!$H69*(1-Constants!$H87)</f>
        <v>446378779.48719668</v>
      </c>
      <c r="T72" s="22">
        <f>T11*Constants!$H69*(1-Constants!$H87)</f>
        <v>438925546.53984982</v>
      </c>
      <c r="U72" s="22">
        <f>U11*Constants!$H69*(1-Constants!$H87)</f>
        <v>440458893.94308001</v>
      </c>
      <c r="V72" s="22">
        <f>V11*Constants!$H69*(1-Constants!$H87)</f>
        <v>432617471.77972549</v>
      </c>
      <c r="W72" s="22">
        <f>W11*Constants!$H69*(1-Constants!$H87)</f>
        <v>431588770.35730517</v>
      </c>
      <c r="X72" s="22">
        <f>X11*Constants!$H69*(1-Constants!$H87)</f>
        <v>425940617.26439387</v>
      </c>
      <c r="Y72" s="22">
        <f>Y11*Constants!$H69*(1-Constants!$H87)</f>
        <v>425533018.58758587</v>
      </c>
      <c r="Z72" s="22">
        <f>Z11*Constants!$H69*(1-Constants!$H87)</f>
        <v>426911090.30441302</v>
      </c>
      <c r="AA72" s="22">
        <f>AA11*Constants!$H69*(1-Constants!$H87)</f>
        <v>425397152.36198318</v>
      </c>
      <c r="AB72" s="22">
        <f>AB11*Constants!$H69*(1-Constants!$H87)</f>
        <v>417167540.98262095</v>
      </c>
      <c r="AC72" s="22">
        <f>AC11*Constants!$H69*(1-Constants!$H87)</f>
        <v>413906751.56815672</v>
      </c>
      <c r="AD72" s="22">
        <f>AD11*Constants!$H69*(1-Constants!$H87)</f>
        <v>369135485.6125586</v>
      </c>
      <c r="AE72" s="22">
        <f>AE11*Constants!$H69*(1-Constants!$H87)</f>
        <v>369337067.34475148</v>
      </c>
      <c r="AF72" s="22">
        <f>AF11*Constants!$H69*(1-Constants!$H87)</f>
        <v>369788447.56568885</v>
      </c>
      <c r="AG72" s="22">
        <f>AG11*Constants!$H69*(1-Constants!$H87)</f>
        <v>370467869.55989969</v>
      </c>
      <c r="AH72" s="22">
        <f>AH11*Constants!$H69*(1-Constants!$H87)</f>
        <v>371384423.45800102</v>
      </c>
      <c r="AI72" s="22">
        <f>AI11*Constants!$H69*(1-Constants!$H87)</f>
        <v>372539081.81249624</v>
      </c>
      <c r="AJ72" s="22">
        <f>AJ11*Constants!$H69*(1-Constants!$H87)</f>
        <v>373825324.41144806</v>
      </c>
      <c r="AK72" s="22">
        <f>AK11*Constants!$H69*(1-Constants!$H87)</f>
        <v>375219318.6611709</v>
      </c>
      <c r="AL72" s="22">
        <f>AL11*Constants!$H69*(1-Constants!$H87)</f>
        <v>376529271.76882547</v>
      </c>
      <c r="AM72" s="22">
        <f>AM11*Constants!$H69*(1-Constants!$H87)</f>
        <v>377076464.54826838</v>
      </c>
      <c r="AN72" s="22">
        <f>AN11*Constants!$H69*(1-Constants!$H87)</f>
        <v>377711414.8886897</v>
      </c>
      <c r="AO72" s="22">
        <f>AO11*Constants!$H69*(1-Constants!$H87)</f>
        <v>378433992.59769666</v>
      </c>
      <c r="AP72" s="22">
        <f>AP11*Constants!$H69*(1-Constants!$H87)</f>
        <v>379247941.43532956</v>
      </c>
      <c r="AQ72" s="22">
        <f>AQ11*Constants!$H69*(1-Constants!$H87)</f>
        <v>380140212.59151369</v>
      </c>
      <c r="AR72" s="22">
        <f>AR11*Constants!$H69*(1-Constants!$H87)</f>
        <v>380689473.53590828</v>
      </c>
      <c r="AS72" s="22">
        <f>AS11*Constants!$H69*(1-Constants!$H87)</f>
        <v>381303009.35155845</v>
      </c>
      <c r="AT72" s="22">
        <f>AT11*Constants!$H69*(1-Constants!$H87)</f>
        <v>381983046.52643222</v>
      </c>
      <c r="AU72" s="22">
        <f>AU11*Constants!$H69*(1-Constants!$H87)</f>
        <v>382719136.69262737</v>
      </c>
      <c r="AV72" s="22">
        <f>AV11*Constants!$H69*(1-Constants!$H87)</f>
        <v>383513911.80810916</v>
      </c>
      <c r="AW72" s="22">
        <f>AW11*Constants!$H69*(1-Constants!$H87)</f>
        <v>384037127.07608914</v>
      </c>
      <c r="AX72" s="22">
        <f>AX11*Constants!$H69*(1-Constants!$H87)</f>
        <v>384615376.52096117</v>
      </c>
      <c r="AY72" s="22">
        <f>AY11*Constants!$H69*(1-Constants!$H87)</f>
        <v>385243459.65674478</v>
      </c>
      <c r="AZ72" s="22">
        <f>AZ11*Constants!$H69*(1-Constants!$H87)</f>
        <v>385850268.07199061</v>
      </c>
      <c r="BA72" s="22">
        <f>BA11*Constants!$H69*(1-Constants!$H87)</f>
        <v>383255980.40303892</v>
      </c>
      <c r="BB72" s="22">
        <f>BB11*Constants!$H69*(1-Constants!$H87)</f>
        <v>383624410.27178627</v>
      </c>
      <c r="BC72" s="22">
        <f>BC11*Constants!$H69*(1-Constants!$H87)</f>
        <v>384030974.45692343</v>
      </c>
      <c r="BD72" s="22">
        <f>BD11*Constants!$H69*(1-Constants!$H87)</f>
        <v>384474232.27597201</v>
      </c>
      <c r="BE72" s="22">
        <f>BE11*Constants!$H69*(1-Constants!$H87)</f>
        <v>384952854.40224075</v>
      </c>
      <c r="BF72" s="22">
        <f>BF11*Constants!$H69*(1-Constants!$H87)</f>
        <v>385465612.29800522</v>
      </c>
      <c r="BG72" s="22">
        <f>BG11*Constants!$H69*(1-Constants!$H87)</f>
        <v>385714454.16984743</v>
      </c>
      <c r="BH72" s="22">
        <f>BH11*Constants!$H69*(1-Constants!$H87)</f>
        <v>385993371.82826596</v>
      </c>
      <c r="BI72" s="22">
        <f>BI11*Constants!$H69*(1-Constants!$H87)</f>
        <v>386301318.56497568</v>
      </c>
      <c r="BJ72" s="22">
        <f>BJ11*Constants!$H69*(1-Constants!$H87)</f>
        <v>386637319.31226683</v>
      </c>
      <c r="BK72" s="22">
        <f>BK11*Constants!$H69*(1-Constants!$H87)</f>
        <v>387000464.55678821</v>
      </c>
      <c r="BL72" s="22">
        <f>BL11*Constants!$H69*(1-Constants!$H87)</f>
        <v>387090048.07123357</v>
      </c>
      <c r="BM72" s="22">
        <f>BM11*Constants!$H69*(1-Constants!$H87)</f>
        <v>387203722.31456107</v>
      </c>
      <c r="BN72" s="22">
        <f>BN11*Constants!$H69*(1-Constants!$H87)</f>
        <v>387340689.40228164</v>
      </c>
      <c r="BO72" s="22">
        <f>BO11*Constants!$H69*(1-Constants!$H87)</f>
        <v>387500200.17220271</v>
      </c>
      <c r="BP72" s="22">
        <f>BP11*Constants!$H69*(1-Constants!$H87)</f>
        <v>387681550.43760461</v>
      </c>
    </row>
    <row r="73" spans="1:68" x14ac:dyDescent="0.25">
      <c r="A73" t="str">
        <f t="shared" si="25"/>
        <v>3C Aggregated and non-CO2 emissions on land</v>
      </c>
      <c r="B73" t="str">
        <f t="shared" si="26"/>
        <v>3C4 Direct N2O from managed soils (N2O)</v>
      </c>
      <c r="C73" t="s">
        <v>410</v>
      </c>
      <c r="D73" t="str">
        <f t="shared" si="27"/>
        <v xml:space="preserve"> - Subsistence sheep</v>
      </c>
      <c r="E73" t="str">
        <f t="shared" si="28"/>
        <v>Urine &amp; dung - Subsistence sheep</v>
      </c>
      <c r="F73" t="str">
        <f t="shared" si="29"/>
        <v>kg N</v>
      </c>
      <c r="H73" s="22">
        <f>H12*Constants!$H70*(1-Constants!$H88)</f>
        <v>60666073.386478163</v>
      </c>
      <c r="I73" s="22">
        <f>I12*Constants!$H70*(1-Constants!$H88)</f>
        <v>57938235.002110019</v>
      </c>
      <c r="J73" s="22">
        <f>J12*Constants!$H70*(1-Constants!$H88)</f>
        <v>55544293.74935963</v>
      </c>
      <c r="K73" s="22">
        <f>K12*Constants!$H70*(1-Constants!$H88)</f>
        <v>51946299.203805812</v>
      </c>
      <c r="L73" s="22">
        <f>L12*Constants!$H70*(1-Constants!$H88)</f>
        <v>52312574.239095598</v>
      </c>
      <c r="M73" s="22">
        <f>M12*Constants!$H70*(1-Constants!$H88)</f>
        <v>51563835.216680013</v>
      </c>
      <c r="N73" s="22">
        <f>N12*Constants!$H70*(1-Constants!$H88)</f>
        <v>51735842.829937644</v>
      </c>
      <c r="O73" s="22">
        <f>O12*Constants!$H70*(1-Constants!$H88)</f>
        <v>50610710.677334763</v>
      </c>
      <c r="P73" s="22">
        <f>P12*Constants!$H70*(1-Constants!$H88)</f>
        <v>50750340.386920534</v>
      </c>
      <c r="Q73" s="22">
        <f>Q12*Constants!$H70*(1-Constants!$H88)</f>
        <v>49503791.095547549</v>
      </c>
      <c r="R73" s="22">
        <f>R12*Constants!$H70*(1-Constants!$H88)</f>
        <v>47729077.250524655</v>
      </c>
      <c r="S73" s="22">
        <f>S12*Constants!$H70*(1-Constants!$H88)</f>
        <v>46539189.29057771</v>
      </c>
      <c r="T73" s="22">
        <f>T12*Constants!$H70*(1-Constants!$H88)</f>
        <v>45762119.602449097</v>
      </c>
      <c r="U73" s="22">
        <f>U12*Constants!$H70*(1-Constants!$H88)</f>
        <v>45921985.501829728</v>
      </c>
      <c r="V73" s="22">
        <f>V12*Constants!$H70*(1-Constants!$H88)</f>
        <v>45104443.434111074</v>
      </c>
      <c r="W73" s="22">
        <f>W12*Constants!$H70*(1-Constants!$H88)</f>
        <v>44997191.628197499</v>
      </c>
      <c r="X73" s="22">
        <f>X12*Constants!$H70*(1-Constants!$H88)</f>
        <v>44408318.50516253</v>
      </c>
      <c r="Y73" s="22">
        <f>Y12*Constants!$H70*(1-Constants!$H88)</f>
        <v>44365822.506592996</v>
      </c>
      <c r="Z73" s="22">
        <f>Z12*Constants!$H70*(1-Constants!$H88)</f>
        <v>44509499.454137608</v>
      </c>
      <c r="AA73" s="22">
        <f>AA12*Constants!$H70*(1-Constants!$H88)</f>
        <v>44351657.173736483</v>
      </c>
      <c r="AB73" s="22">
        <f>AB12*Constants!$H70*(1-Constants!$H88)</f>
        <v>43493642.726427816</v>
      </c>
      <c r="AC73" s="22">
        <f>AC12*Constants!$H70*(1-Constants!$H88)</f>
        <v>43153674.737871543</v>
      </c>
      <c r="AD73" s="22">
        <f>AD12*Constants!$H70*(1-Constants!$H88)</f>
        <v>41206419.626259066</v>
      </c>
      <c r="AE73" s="22">
        <f>AE12*Constants!$H70*(1-Constants!$H88)</f>
        <v>41228922.09965834</v>
      </c>
      <c r="AF73" s="22">
        <f>AF12*Constants!$H70*(1-Constants!$H88)</f>
        <v>41279309.460180119</v>
      </c>
      <c r="AG73" s="22">
        <f>AG12*Constants!$H70*(1-Constants!$H88)</f>
        <v>41355153.015969127</v>
      </c>
      <c r="AH73" s="22">
        <f>AH12*Constants!$H70*(1-Constants!$H88)</f>
        <v>41457467.494005762</v>
      </c>
      <c r="AI73" s="22">
        <f>AI12*Constants!$H70*(1-Constants!$H88)</f>
        <v>41586361.459865861</v>
      </c>
      <c r="AJ73" s="22">
        <f>AJ12*Constants!$H70*(1-Constants!$H88)</f>
        <v>41729944.112684049</v>
      </c>
      <c r="AK73" s="22">
        <f>AK12*Constants!$H70*(1-Constants!$H88)</f>
        <v>41885555.03130205</v>
      </c>
      <c r="AL73" s="22">
        <f>AL12*Constants!$H70*(1-Constants!$H88)</f>
        <v>42031784.476989627</v>
      </c>
      <c r="AM73" s="22">
        <f>AM12*Constants!$H70*(1-Constants!$H88)</f>
        <v>42092867.348089814</v>
      </c>
      <c r="AN73" s="22">
        <f>AN12*Constants!$H70*(1-Constants!$H88)</f>
        <v>42163746.554205209</v>
      </c>
      <c r="AO73" s="22">
        <f>AO12*Constants!$H70*(1-Constants!$H88)</f>
        <v>42244407.562020563</v>
      </c>
      <c r="AP73" s="22">
        <f>AP12*Constants!$H70*(1-Constants!$H88)</f>
        <v>42335268.285698079</v>
      </c>
      <c r="AQ73" s="22">
        <f>AQ12*Constants!$H70*(1-Constants!$H88)</f>
        <v>42434872.092742309</v>
      </c>
      <c r="AR73" s="22">
        <f>AR12*Constants!$H70*(1-Constants!$H88)</f>
        <v>42496185.832117654</v>
      </c>
      <c r="AS73" s="22">
        <f>AS12*Constants!$H70*(1-Constants!$H88)</f>
        <v>42564674.544963732</v>
      </c>
      <c r="AT73" s="22">
        <f>AT12*Constants!$H70*(1-Constants!$H88)</f>
        <v>42640586.773079127</v>
      </c>
      <c r="AU73" s="22">
        <f>AU12*Constants!$H70*(1-Constants!$H88)</f>
        <v>42722756.17009785</v>
      </c>
      <c r="AV73" s="22">
        <f>AV12*Constants!$H70*(1-Constants!$H88)</f>
        <v>42811476.540242456</v>
      </c>
      <c r="AW73" s="22">
        <f>AW12*Constants!$H70*(1-Constants!$H88)</f>
        <v>42869882.813081466</v>
      </c>
      <c r="AX73" s="22">
        <f>AX12*Constants!$H70*(1-Constants!$H88)</f>
        <v>42934432.525051065</v>
      </c>
      <c r="AY73" s="22">
        <f>AY12*Constants!$H70*(1-Constants!$H88)</f>
        <v>43004545.148361519</v>
      </c>
      <c r="AZ73" s="22">
        <f>AZ12*Constants!$H70*(1-Constants!$H88)</f>
        <v>43072282.88468311</v>
      </c>
      <c r="BA73" s="22">
        <f>BA12*Constants!$H70*(1-Constants!$H88)</f>
        <v>42782683.77951809</v>
      </c>
      <c r="BB73" s="22">
        <f>BB12*Constants!$H70*(1-Constants!$H88)</f>
        <v>42823811.431467496</v>
      </c>
      <c r="BC73" s="22">
        <f>BC12*Constants!$H70*(1-Constants!$H88)</f>
        <v>42869195.999114707</v>
      </c>
      <c r="BD73" s="22">
        <f>BD12*Constants!$H70*(1-Constants!$H88)</f>
        <v>42918676.659756228</v>
      </c>
      <c r="BE73" s="22">
        <f>BE12*Constants!$H70*(1-Constants!$H88)</f>
        <v>42972105.02128239</v>
      </c>
      <c r="BF73" s="22">
        <f>BF12*Constants!$H70*(1-Constants!$H88)</f>
        <v>43029343.942608215</v>
      </c>
      <c r="BG73" s="22">
        <f>BG12*Constants!$H70*(1-Constants!$H88)</f>
        <v>43057122.043038465</v>
      </c>
      <c r="BH73" s="22">
        <f>BH12*Constants!$H70*(1-Constants!$H88)</f>
        <v>43088257.489295803</v>
      </c>
      <c r="BI73" s="22">
        <f>BI12*Constants!$H70*(1-Constants!$H88)</f>
        <v>43122633.437829554</v>
      </c>
      <c r="BJ73" s="22">
        <f>BJ12*Constants!$H70*(1-Constants!$H88)</f>
        <v>43160141.042292565</v>
      </c>
      <c r="BK73" s="22">
        <f>BK12*Constants!$H70*(1-Constants!$H88)</f>
        <v>43200678.774139702</v>
      </c>
      <c r="BL73" s="22">
        <f>BL12*Constants!$H70*(1-Constants!$H88)</f>
        <v>43210678.939476579</v>
      </c>
      <c r="BM73" s="22">
        <f>BM12*Constants!$H70*(1-Constants!$H88)</f>
        <v>43223368.341481574</v>
      </c>
      <c r="BN73" s="22">
        <f>BN12*Constants!$H70*(1-Constants!$H88)</f>
        <v>43238657.912686683</v>
      </c>
      <c r="BO73" s="22">
        <f>BO12*Constants!$H70*(1-Constants!$H88)</f>
        <v>43256464.024470717</v>
      </c>
      <c r="BP73" s="22">
        <f>BP12*Constants!$H70*(1-Constants!$H88)</f>
        <v>43276708.06880334</v>
      </c>
    </row>
    <row r="74" spans="1:68" x14ac:dyDescent="0.25">
      <c r="A74" t="str">
        <f t="shared" si="25"/>
        <v>3C Aggregated and non-CO2 emissions on land</v>
      </c>
      <c r="B74" t="str">
        <f t="shared" si="26"/>
        <v>3C4 Direct N2O from managed soils (N2O)</v>
      </c>
      <c r="C74" t="s">
        <v>410</v>
      </c>
      <c r="D74" t="str">
        <f t="shared" si="27"/>
        <v xml:space="preserve"> - Commercial goats</v>
      </c>
      <c r="E74" t="str">
        <f t="shared" si="28"/>
        <v>Urine &amp; dung - Commercial goats</v>
      </c>
      <c r="F74" t="str">
        <f t="shared" si="29"/>
        <v>kg N</v>
      </c>
      <c r="H74" s="22">
        <f>H13*Constants!$H71*(1-Constants!$H89)</f>
        <v>61206867.799308397</v>
      </c>
      <c r="I74" s="22">
        <f>I13*Constants!$H71*(1-Constants!$H89)</f>
        <v>54124169.686987571</v>
      </c>
      <c r="J74" s="22">
        <f>J13*Constants!$H71*(1-Constants!$H89)</f>
        <v>50417337.030071966</v>
      </c>
      <c r="K74" s="22">
        <f>K13*Constants!$H71*(1-Constants!$H89)</f>
        <v>47637212.537385285</v>
      </c>
      <c r="L74" s="22">
        <f>L13*Constants!$H71*(1-Constants!$H89)</f>
        <v>51564689.995307736</v>
      </c>
      <c r="M74" s="22">
        <f>M13*Constants!$H71*(1-Constants!$H89)</f>
        <v>52270753.358529769</v>
      </c>
      <c r="N74" s="22">
        <f>N13*Constants!$H71*(1-Constants!$H89)</f>
        <v>53087139.122255206</v>
      </c>
      <c r="O74" s="22">
        <f>O13*Constants!$H71*(1-Constants!$H89)</f>
        <v>52822365.361046962</v>
      </c>
      <c r="P74" s="22">
        <f>P13*Constants!$H71*(1-Constants!$H89)</f>
        <v>52072173.037623577</v>
      </c>
      <c r="Q74" s="22">
        <f>Q13*Constants!$H71*(1-Constants!$H89)</f>
        <v>51299916.234099507</v>
      </c>
      <c r="R74" s="22">
        <f>R13*Constants!$H71*(1-Constants!$H89)</f>
        <v>51961850.637120128</v>
      </c>
      <c r="S74" s="22">
        <f>S13*Constants!$H71*(1-Constants!$H89)</f>
        <v>53550493.204369679</v>
      </c>
      <c r="T74" s="22">
        <f>T13*Constants!$H71*(1-Constants!$H89)</f>
        <v>48894887.903124519</v>
      </c>
      <c r="U74" s="22">
        <f>U13*Constants!$H71*(1-Constants!$H89)</f>
        <v>47659277.017485984</v>
      </c>
      <c r="V74" s="22">
        <f>V13*Constants!$H71*(1-Constants!$H89)</f>
        <v>47747534.937888749</v>
      </c>
      <c r="W74" s="22">
        <f>W13*Constants!$H71*(1-Constants!$H89)</f>
        <v>47129729.495069467</v>
      </c>
      <c r="X74" s="22">
        <f>X13*Constants!$H71*(1-Constants!$H89)</f>
        <v>48122631.099600427</v>
      </c>
      <c r="Y74" s="22">
        <f>Y13*Constants!$H71*(1-Constants!$H89)</f>
        <v>46688439.893055715</v>
      </c>
      <c r="Z74" s="22">
        <f>Z13*Constants!$H71*(1-Constants!$H89)</f>
        <v>46644310.932854347</v>
      </c>
      <c r="AA74" s="22">
        <f>AA13*Constants!$H71*(1-Constants!$H89)</f>
        <v>45827925.16912888</v>
      </c>
      <c r="AB74" s="22">
        <f>AB13*Constants!$H71*(1-Constants!$H89)</f>
        <v>45276313.166611686</v>
      </c>
      <c r="AC74" s="22">
        <f>AC13*Constants!$H71*(1-Constants!$H89)</f>
        <v>44857088.044698618</v>
      </c>
      <c r="AD74" s="22">
        <f>AD13*Constants!$H71*(1-Constants!$H89)</f>
        <v>45629794.327855974</v>
      </c>
      <c r="AE74" s="22">
        <f>AE13*Constants!$H71*(1-Constants!$H89)</f>
        <v>45748807.639978088</v>
      </c>
      <c r="AF74" s="22">
        <f>AF13*Constants!$H71*(1-Constants!$H89)</f>
        <v>45907403.42073448</v>
      </c>
      <c r="AG74" s="22">
        <f>AG13*Constants!$H71*(1-Constants!$H89)</f>
        <v>46102055.774305969</v>
      </c>
      <c r="AH74" s="22">
        <f>AH13*Constants!$H71*(1-Constants!$H89)</f>
        <v>46335103.782920592</v>
      </c>
      <c r="AI74" s="22">
        <f>AI13*Constants!$H71*(1-Constants!$H89)</f>
        <v>46607167.615760647</v>
      </c>
      <c r="AJ74" s="22">
        <f>AJ13*Constants!$H71*(1-Constants!$H89)</f>
        <v>46898054.0095779</v>
      </c>
      <c r="AK74" s="22">
        <f>AK13*Constants!$H71*(1-Constants!$H89)</f>
        <v>47203603.527412668</v>
      </c>
      <c r="AL74" s="22">
        <f>AL13*Constants!$H71*(1-Constants!$H89)</f>
        <v>47487445.608961895</v>
      </c>
      <c r="AM74" s="22">
        <f>AM13*Constants!$H71*(1-Constants!$H89)</f>
        <v>47620462.656071112</v>
      </c>
      <c r="AN74" s="22">
        <f>AN13*Constants!$H71*(1-Constants!$H89)</f>
        <v>47766323.221550278</v>
      </c>
      <c r="AO74" s="22">
        <f>AO13*Constants!$H71*(1-Constants!$H89)</f>
        <v>47925212.406140119</v>
      </c>
      <c r="AP74" s="22">
        <f>AP13*Constants!$H71*(1-Constants!$H89)</f>
        <v>48098016.896379039</v>
      </c>
      <c r="AQ74" s="22">
        <f>AQ13*Constants!$H71*(1-Constants!$H89)</f>
        <v>48282410.078651823</v>
      </c>
      <c r="AR74" s="22">
        <f>AR13*Constants!$H71*(1-Constants!$H89)</f>
        <v>48398964.09205614</v>
      </c>
      <c r="AS74" s="22">
        <f>AS13*Constants!$H71*(1-Constants!$H89)</f>
        <v>48525069.607645944</v>
      </c>
      <c r="AT74" s="22">
        <f>AT13*Constants!$H71*(1-Constants!$H89)</f>
        <v>48661248.332113467</v>
      </c>
      <c r="AU74" s="22">
        <f>AU13*Constants!$H71*(1-Constants!$H89)</f>
        <v>48805625.490754403</v>
      </c>
      <c r="AV74" s="22">
        <f>AV13*Constants!$H71*(1-Constants!$H89)</f>
        <v>48958778.608114928</v>
      </c>
      <c r="AW74" s="22">
        <f>AW13*Constants!$H71*(1-Constants!$H89)</f>
        <v>49059083.730680324</v>
      </c>
      <c r="AX74" s="22">
        <f>AX13*Constants!$H71*(1-Constants!$H89)</f>
        <v>49167865.354960456</v>
      </c>
      <c r="AY74" s="22">
        <f>AY13*Constants!$H71*(1-Constants!$H89)</f>
        <v>49284203.852195784</v>
      </c>
      <c r="AZ74" s="22">
        <f>AZ13*Constants!$H71*(1-Constants!$H89)</f>
        <v>49394941.09914016</v>
      </c>
      <c r="BA74" s="22">
        <f>BA13*Constants!$H71*(1-Constants!$H89)</f>
        <v>48910858.814437889</v>
      </c>
      <c r="BB74" s="22">
        <f>BB13*Constants!$H71*(1-Constants!$H89)</f>
        <v>48975629.156508066</v>
      </c>
      <c r="BC74" s="22">
        <f>BC13*Constants!$H71*(1-Constants!$H89)</f>
        <v>49046207.134273015</v>
      </c>
      <c r="BD74" s="22">
        <f>BD13*Constants!$H71*(1-Constants!$H89)</f>
        <v>49122356.89481584</v>
      </c>
      <c r="BE74" s="22">
        <f>BE13*Constants!$H71*(1-Constants!$H89)</f>
        <v>49203860.879291877</v>
      </c>
      <c r="BF74" s="22">
        <f>BF13*Constants!$H71*(1-Constants!$H89)</f>
        <v>49290518.071305633</v>
      </c>
      <c r="BG74" s="22">
        <f>BG13*Constants!$H71*(1-Constants!$H89)</f>
        <v>49327715.533211641</v>
      </c>
      <c r="BH74" s="22">
        <f>BH13*Constants!$H71*(1-Constants!$H89)</f>
        <v>49369555.348697245</v>
      </c>
      <c r="BI74" s="22">
        <f>BI13*Constants!$H71*(1-Constants!$H89)</f>
        <v>49415862.501256548</v>
      </c>
      <c r="BJ74" s="22">
        <f>BJ13*Constants!$H71*(1-Constants!$H89)</f>
        <v>49466473.980927549</v>
      </c>
      <c r="BK74" s="22">
        <f>BK13*Constants!$H71*(1-Constants!$H89)</f>
        <v>49521237.755656987</v>
      </c>
      <c r="BL74" s="22">
        <f>BL13*Constants!$H71*(1-Constants!$H89)</f>
        <v>49525510.422154374</v>
      </c>
      <c r="BM74" s="22">
        <f>BM13*Constants!$H71*(1-Constants!$H89)</f>
        <v>49533582.908358663</v>
      </c>
      <c r="BN74" s="22">
        <f>BN13*Constants!$H71*(1-Constants!$H89)</f>
        <v>49545318.75109075</v>
      </c>
      <c r="BO74" s="22">
        <f>BO13*Constants!$H71*(1-Constants!$H89)</f>
        <v>49560589.839922771</v>
      </c>
      <c r="BP74" s="22">
        <f>BP13*Constants!$H71*(1-Constants!$H89)</f>
        <v>49579275.770071425</v>
      </c>
    </row>
    <row r="75" spans="1:68" x14ac:dyDescent="0.25">
      <c r="A75" t="str">
        <f t="shared" si="25"/>
        <v>3C Aggregated and non-CO2 emissions on land</v>
      </c>
      <c r="B75" t="str">
        <f t="shared" si="26"/>
        <v>3C4 Direct N2O from managed soils (N2O)</v>
      </c>
      <c r="C75" t="s">
        <v>410</v>
      </c>
      <c r="D75" t="str">
        <f t="shared" si="27"/>
        <v xml:space="preserve"> - Subsistence goats</v>
      </c>
      <c r="E75" t="str">
        <f t="shared" si="28"/>
        <v>Urine &amp; dung - Subsistence goats</v>
      </c>
      <c r="F75" t="str">
        <f t="shared" si="29"/>
        <v>kg N</v>
      </c>
      <c r="H75" s="22">
        <f>H14*Constants!$H72*(1-Constants!$H90)</f>
        <v>103073074.7293009</v>
      </c>
      <c r="I75" s="22">
        <f>I14*Constants!$H72*(1-Constants!$H90)</f>
        <v>91145729.023422912</v>
      </c>
      <c r="J75" s="22">
        <f>J14*Constants!$H72*(1-Constants!$H90)</f>
        <v>84903379.868944705</v>
      </c>
      <c r="K75" s="22">
        <f>K14*Constants!$H72*(1-Constants!$H90)</f>
        <v>80221618.003086045</v>
      </c>
      <c r="L75" s="22">
        <f>L14*Constants!$H72*(1-Constants!$H90)</f>
        <v>86835535.559616521</v>
      </c>
      <c r="M75" s="22">
        <f>M14*Constants!$H72*(1-Constants!$H90)</f>
        <v>88024554.446183816</v>
      </c>
      <c r="N75" s="22">
        <f>N14*Constants!$H72*(1-Constants!$H90)</f>
        <v>89399357.533777222</v>
      </c>
      <c r="O75" s="22">
        <f>O14*Constants!$H72*(1-Constants!$H90)</f>
        <v>88953475.451314494</v>
      </c>
      <c r="P75" s="22">
        <f>P14*Constants!$H72*(1-Constants!$H90)</f>
        <v>87690142.884336755</v>
      </c>
      <c r="Q75" s="22">
        <f>Q14*Constants!$H72*(1-Constants!$H90)</f>
        <v>86389653.477153808</v>
      </c>
      <c r="R75" s="22">
        <f>R14*Constants!$H72*(1-Constants!$H90)</f>
        <v>87504358.683310628</v>
      </c>
      <c r="S75" s="22">
        <f>S14*Constants!$H72*(1-Constants!$H90)</f>
        <v>90179651.178086996</v>
      </c>
      <c r="T75" s="22">
        <f>T14*Constants!$H72*(1-Constants!$H90)</f>
        <v>82339557.894784003</v>
      </c>
      <c r="U75" s="22">
        <f>U14*Constants!$H72*(1-Constants!$H90)</f>
        <v>80258774.843291268</v>
      </c>
      <c r="V75" s="22">
        <f>V14*Constants!$H72*(1-Constants!$H90)</f>
        <v>80407402.204112172</v>
      </c>
      <c r="W75" s="22">
        <f>W14*Constants!$H72*(1-Constants!$H90)</f>
        <v>79367010.678365812</v>
      </c>
      <c r="X75" s="22">
        <f>X14*Constants!$H72*(1-Constants!$H90)</f>
        <v>81039068.487601057</v>
      </c>
      <c r="Y75" s="22">
        <f>Y14*Constants!$H72*(1-Constants!$H90)</f>
        <v>78623873.874261275</v>
      </c>
      <c r="Z75" s="22">
        <f>Z14*Constants!$H72*(1-Constants!$H90)</f>
        <v>78549560.1938508</v>
      </c>
      <c r="AA75" s="22">
        <f>AA14*Constants!$H72*(1-Constants!$H90)</f>
        <v>77174757.106257394</v>
      </c>
      <c r="AB75" s="22">
        <f>AB14*Constants!$H72*(1-Constants!$H90)</f>
        <v>76245836.101126716</v>
      </c>
      <c r="AC75" s="22">
        <f>AC14*Constants!$H72*(1-Constants!$H90)</f>
        <v>75539856.137227386</v>
      </c>
      <c r="AD75" s="22">
        <f>AD14*Constants!$H72*(1-Constants!$H90)</f>
        <v>75516382.751763374</v>
      </c>
      <c r="AE75" s="22">
        <f>AE14*Constants!$H72*(1-Constants!$H90)</f>
        <v>75713347.365852863</v>
      </c>
      <c r="AF75" s="22">
        <f>AF14*Constants!$H72*(1-Constants!$H90)</f>
        <v>75975820.161508277</v>
      </c>
      <c r="AG75" s="22">
        <f>AG14*Constants!$H72*(1-Constants!$H90)</f>
        <v>76297965.852769122</v>
      </c>
      <c r="AH75" s="22">
        <f>AH14*Constants!$H72*(1-Constants!$H90)</f>
        <v>76683655.573209837</v>
      </c>
      <c r="AI75" s="22">
        <f>AI14*Constants!$H72*(1-Constants!$H90)</f>
        <v>77133915.690229893</v>
      </c>
      <c r="AJ75" s="22">
        <f>AJ14*Constants!$H72*(1-Constants!$H90)</f>
        <v>77615326.763331592</v>
      </c>
      <c r="AK75" s="22">
        <f>AK14*Constants!$H72*(1-Constants!$H90)</f>
        <v>78121005.008835793</v>
      </c>
      <c r="AL75" s="22">
        <f>AL14*Constants!$H72*(1-Constants!$H90)</f>
        <v>78590757.888222396</v>
      </c>
      <c r="AM75" s="22">
        <f>AM14*Constants!$H72*(1-Constants!$H90)</f>
        <v>78810898.39926292</v>
      </c>
      <c r="AN75" s="22">
        <f>AN14*Constants!$H72*(1-Constants!$H90)</f>
        <v>79052294.672320172</v>
      </c>
      <c r="AO75" s="22">
        <f>AO14*Constants!$H72*(1-Constants!$H90)</f>
        <v>79315253.045360148</v>
      </c>
      <c r="AP75" s="22">
        <f>AP14*Constants!$H72*(1-Constants!$H90)</f>
        <v>79601240.966592982</v>
      </c>
      <c r="AQ75" s="22">
        <f>AQ14*Constants!$H72*(1-Constants!$H90)</f>
        <v>79906407.937745139</v>
      </c>
      <c r="AR75" s="22">
        <f>AR14*Constants!$H72*(1-Constants!$H90)</f>
        <v>80099302.462411493</v>
      </c>
      <c r="AS75" s="22">
        <f>AS14*Constants!$H72*(1-Constants!$H90)</f>
        <v>80308004.529178739</v>
      </c>
      <c r="AT75" s="22">
        <f>AT14*Constants!$H72*(1-Constants!$H90)</f>
        <v>80533377.552025318</v>
      </c>
      <c r="AU75" s="22">
        <f>AU14*Constants!$H72*(1-Constants!$H90)</f>
        <v>80772318.816897169</v>
      </c>
      <c r="AV75" s="22">
        <f>AV14*Constants!$H72*(1-Constants!$H90)</f>
        <v>81025784.115187198</v>
      </c>
      <c r="AW75" s="22">
        <f>AW14*Constants!$H72*(1-Constants!$H90)</f>
        <v>81191787.055572733</v>
      </c>
      <c r="AX75" s="22">
        <f>AX14*Constants!$H72*(1-Constants!$H90)</f>
        <v>81371818.434116155</v>
      </c>
      <c r="AY75" s="22">
        <f>AY14*Constants!$H72*(1-Constants!$H90)</f>
        <v>81564356.283900529</v>
      </c>
      <c r="AZ75" s="22">
        <f>AZ14*Constants!$H72*(1-Constants!$H90)</f>
        <v>81747624.178229451</v>
      </c>
      <c r="BA75" s="22">
        <f>BA14*Constants!$H72*(1-Constants!$H90)</f>
        <v>80946477.830028445</v>
      </c>
      <c r="BB75" s="22">
        <f>BB14*Constants!$H72*(1-Constants!$H90)</f>
        <v>81053671.430498987</v>
      </c>
      <c r="BC75" s="22">
        <f>BC14*Constants!$H72*(1-Constants!$H90)</f>
        <v>81170476.550076097</v>
      </c>
      <c r="BD75" s="22">
        <f>BD14*Constants!$H72*(1-Constants!$H90)</f>
        <v>81296502.856973052</v>
      </c>
      <c r="BE75" s="22">
        <f>BE14*Constants!$H72*(1-Constants!$H90)</f>
        <v>81431390.295721129</v>
      </c>
      <c r="BF75" s="22">
        <f>BF14*Constants!$H72*(1-Constants!$H90)</f>
        <v>81574806.188268974</v>
      </c>
      <c r="BG75" s="22">
        <f>BG14*Constants!$H72*(1-Constants!$H90)</f>
        <v>81636367.232145384</v>
      </c>
      <c r="BH75" s="22">
        <f>BH14*Constants!$H72*(1-Constants!$H90)</f>
        <v>81705611.276897624</v>
      </c>
      <c r="BI75" s="22">
        <f>BI14*Constants!$H72*(1-Constants!$H90)</f>
        <v>81782248.673763514</v>
      </c>
      <c r="BJ75" s="22">
        <f>BJ14*Constants!$H72*(1-Constants!$H90)</f>
        <v>81866009.644567087</v>
      </c>
      <c r="BK75" s="22">
        <f>BK14*Constants!$H72*(1-Constants!$H90)</f>
        <v>81956642.579348341</v>
      </c>
      <c r="BL75" s="22">
        <f>BL14*Constants!$H72*(1-Constants!$H90)</f>
        <v>81963713.755612463</v>
      </c>
      <c r="BM75" s="22">
        <f>BM14*Constants!$H72*(1-Constants!$H90)</f>
        <v>81977073.556307182</v>
      </c>
      <c r="BN75" s="22">
        <f>BN14*Constants!$H72*(1-Constants!$H90)</f>
        <v>81996496.137643039</v>
      </c>
      <c r="BO75" s="22">
        <f>BO14*Constants!$H72*(1-Constants!$H90)</f>
        <v>82021769.479464158</v>
      </c>
      <c r="BP75" s="22">
        <f>BP14*Constants!$H72*(1-Constants!$H90)</f>
        <v>82052694.314299911</v>
      </c>
    </row>
    <row r="76" spans="1:68" x14ac:dyDescent="0.25">
      <c r="A76" t="str">
        <f t="shared" si="25"/>
        <v>3C Aggregated and non-CO2 emissions on land</v>
      </c>
      <c r="B76" t="str">
        <f t="shared" si="26"/>
        <v>3C4 Direct N2O from managed soils (N2O)</v>
      </c>
      <c r="C76" t="s">
        <v>410</v>
      </c>
      <c r="D76" t="str">
        <f t="shared" si="27"/>
        <v xml:space="preserve"> - Horses</v>
      </c>
      <c r="E76" t="str">
        <f t="shared" si="28"/>
        <v>Urine &amp; dung - Horses</v>
      </c>
      <c r="F76" t="str">
        <f t="shared" si="29"/>
        <v>kg N</v>
      </c>
      <c r="H76" s="22">
        <f>H15*Constants!$H73*(1-Constants!$H91)</f>
        <v>9085000</v>
      </c>
      <c r="I76" s="22">
        <f>I15*Constants!$H73*(1-Constants!$H91)</f>
        <v>9085000</v>
      </c>
      <c r="J76" s="22">
        <f>J15*Constants!$H73*(1-Constants!$H91)</f>
        <v>9085000</v>
      </c>
      <c r="K76" s="22">
        <f>K15*Constants!$H73*(1-Constants!$H91)</f>
        <v>9282500</v>
      </c>
      <c r="L76" s="22">
        <f>L15*Constants!$H73*(1-Constants!$H91)</f>
        <v>9480000</v>
      </c>
      <c r="M76" s="22">
        <f>M15*Constants!$H73*(1-Constants!$H91)</f>
        <v>9677500</v>
      </c>
      <c r="N76" s="22">
        <f>N15*Constants!$H73*(1-Constants!$H91)</f>
        <v>9875000</v>
      </c>
      <c r="O76" s="22">
        <f>O15*Constants!$H73*(1-Constants!$H91)</f>
        <v>10072500</v>
      </c>
      <c r="P76" s="22">
        <f>P15*Constants!$H73*(1-Constants!$H91)</f>
        <v>10270000</v>
      </c>
      <c r="Q76" s="22">
        <f>Q15*Constants!$H73*(1-Constants!$H91)</f>
        <v>10191000</v>
      </c>
      <c r="R76" s="22">
        <f>R15*Constants!$H73*(1-Constants!$H91)</f>
        <v>10665000</v>
      </c>
      <c r="S76" s="22">
        <f>S15*Constants!$H73*(1-Constants!$H91)</f>
        <v>10665000</v>
      </c>
      <c r="T76" s="22">
        <f>T15*Constants!$H73*(1-Constants!$H91)</f>
        <v>10665000</v>
      </c>
      <c r="U76" s="22">
        <f>U15*Constants!$H73*(1-Constants!$H91)</f>
        <v>10665000</v>
      </c>
      <c r="V76" s="22">
        <f>V15*Constants!$H73*(1-Constants!$H91)</f>
        <v>10665000</v>
      </c>
      <c r="W76" s="22">
        <f>W15*Constants!$H73*(1-Constants!$H91)</f>
        <v>10665000</v>
      </c>
      <c r="X76" s="22">
        <f>X15*Constants!$H73*(1-Constants!$H91)</f>
        <v>11060000</v>
      </c>
      <c r="Y76" s="22">
        <f>Y15*Constants!$H73*(1-Constants!$H91)</f>
        <v>11455000</v>
      </c>
      <c r="Z76" s="22">
        <f>Z15*Constants!$H73*(1-Constants!$H91)</f>
        <v>11771000</v>
      </c>
      <c r="AA76" s="22">
        <f>AA15*Constants!$H73*(1-Constants!$H91)</f>
        <v>11850000</v>
      </c>
      <c r="AB76" s="22">
        <f>AB15*Constants!$H73*(1-Constants!$H91)</f>
        <v>11850000</v>
      </c>
      <c r="AC76" s="22">
        <f>AC15*Constants!$H73*(1-Constants!$H91)</f>
        <v>12047500</v>
      </c>
      <c r="AD76" s="22">
        <f>AD15*Constants!$H73*(1-Constants!$H91)</f>
        <v>12222271.643894736</v>
      </c>
      <c r="AE76" s="22">
        <f>AE15*Constants!$H73*(1-Constants!$H91)</f>
        <v>12293901.19168427</v>
      </c>
      <c r="AF76" s="22">
        <f>AF15*Constants!$H73*(1-Constants!$H91)</f>
        <v>12311548.854216056</v>
      </c>
      <c r="AG76" s="22">
        <f>AG15*Constants!$H73*(1-Constants!$H91)</f>
        <v>12257635.740155024</v>
      </c>
      <c r="AH76" s="22">
        <f>AH15*Constants!$H73*(1-Constants!$H91)</f>
        <v>12200596.144890187</v>
      </c>
      <c r="AI76" s="22">
        <f>AI15*Constants!$H73*(1-Constants!$H91)</f>
        <v>12173457.945863631</v>
      </c>
      <c r="AJ76" s="22">
        <f>AJ15*Constants!$H73*(1-Constants!$H91)</f>
        <v>12155357.976024419</v>
      </c>
      <c r="AK76" s="22">
        <f>AK15*Constants!$H73*(1-Constants!$H91)</f>
        <v>12068052.719760017</v>
      </c>
      <c r="AL76" s="22">
        <f>AL15*Constants!$H73*(1-Constants!$H91)</f>
        <v>11362645.016380876</v>
      </c>
      <c r="AM76" s="22">
        <f>AM15*Constants!$H73*(1-Constants!$H91)</f>
        <v>11462541.215280216</v>
      </c>
      <c r="AN76" s="22">
        <f>AN15*Constants!$H73*(1-Constants!$H91)</f>
        <v>11544344.582553202</v>
      </c>
      <c r="AO76" s="22">
        <f>AO15*Constants!$H73*(1-Constants!$H91)</f>
        <v>11624494.262445839</v>
      </c>
      <c r="AP76" s="22">
        <f>AP15*Constants!$H73*(1-Constants!$H91)</f>
        <v>11728404.41072976</v>
      </c>
      <c r="AQ76" s="22">
        <f>AQ15*Constants!$H73*(1-Constants!$H91)</f>
        <v>11830414.017373018</v>
      </c>
      <c r="AR76" s="22">
        <f>AR15*Constants!$H73*(1-Constants!$H91)</f>
        <v>11947275.214007586</v>
      </c>
      <c r="AS76" s="22">
        <f>AS15*Constants!$H73*(1-Constants!$H91)</f>
        <v>12056529.415325101</v>
      </c>
      <c r="AT76" s="22">
        <f>AT15*Constants!$H73*(1-Constants!$H91)</f>
        <v>12174054.052177394</v>
      </c>
      <c r="AU76" s="22">
        <f>AU15*Constants!$H73*(1-Constants!$H91)</f>
        <v>12278339.06606316</v>
      </c>
      <c r="AV76" s="22">
        <f>AV15*Constants!$H73*(1-Constants!$H91)</f>
        <v>12384560.291508216</v>
      </c>
      <c r="AW76" s="22">
        <f>AW15*Constants!$H73*(1-Constants!$H91)</f>
        <v>12531678.133376228</v>
      </c>
      <c r="AX76" s="22">
        <f>AX15*Constants!$H73*(1-Constants!$H91)</f>
        <v>12692217.779104719</v>
      </c>
      <c r="AY76" s="22">
        <f>AY15*Constants!$H73*(1-Constants!$H91)</f>
        <v>12857299.331987049</v>
      </c>
      <c r="AZ76" s="22">
        <f>AZ15*Constants!$H73*(1-Constants!$H91)</f>
        <v>12833816.285814587</v>
      </c>
      <c r="BA76" s="22">
        <f>BA15*Constants!$H73*(1-Constants!$H91)</f>
        <v>3797311.5168202543</v>
      </c>
      <c r="BB76" s="22">
        <f>BB15*Constants!$H73*(1-Constants!$H91)</f>
        <v>3797311.5168202543</v>
      </c>
      <c r="BC76" s="22">
        <f>BC15*Constants!$H73*(1-Constants!$H91)</f>
        <v>3797311.5168202543</v>
      </c>
      <c r="BD76" s="22">
        <f>BD15*Constants!$H73*(1-Constants!$H91)</f>
        <v>3797311.5168202543</v>
      </c>
      <c r="BE76" s="22">
        <f>BE15*Constants!$H73*(1-Constants!$H91)</f>
        <v>3797311.5168202543</v>
      </c>
      <c r="BF76" s="22">
        <f>BF15*Constants!$H73*(1-Constants!$H91)</f>
        <v>3797311.5168202543</v>
      </c>
      <c r="BG76" s="22">
        <f>BG15*Constants!$H73*(1-Constants!$H91)</f>
        <v>3797311.5168202543</v>
      </c>
      <c r="BH76" s="22">
        <f>BH15*Constants!$H73*(1-Constants!$H91)</f>
        <v>3797311.5168202543</v>
      </c>
      <c r="BI76" s="22">
        <f>BI15*Constants!$H73*(1-Constants!$H91)</f>
        <v>3797311.5168202543</v>
      </c>
      <c r="BJ76" s="22">
        <f>BJ15*Constants!$H73*(1-Constants!$H91)</f>
        <v>3797311.5168202543</v>
      </c>
      <c r="BK76" s="22">
        <f>BK15*Constants!$H73*(1-Constants!$H91)</f>
        <v>3797311.5168202543</v>
      </c>
      <c r="BL76" s="22">
        <f>BL15*Constants!$H73*(1-Constants!$H91)</f>
        <v>3797311.5168202543</v>
      </c>
      <c r="BM76" s="22">
        <f>BM15*Constants!$H73*(1-Constants!$H91)</f>
        <v>3797311.5168202543</v>
      </c>
      <c r="BN76" s="22">
        <f>BN15*Constants!$H73*(1-Constants!$H91)</f>
        <v>3797311.5168202543</v>
      </c>
      <c r="BO76" s="22">
        <f>BO15*Constants!$H73*(1-Constants!$H91)</f>
        <v>3797311.5168202543</v>
      </c>
      <c r="BP76" s="22">
        <f>BP15*Constants!$H73*(1-Constants!$H91)</f>
        <v>3797311.5168202543</v>
      </c>
    </row>
    <row r="77" spans="1:68" x14ac:dyDescent="0.25">
      <c r="A77" t="str">
        <f t="shared" si="25"/>
        <v>3C Aggregated and non-CO2 emissions on land</v>
      </c>
      <c r="B77" t="str">
        <f t="shared" si="26"/>
        <v>3C4 Direct N2O from managed soils (N2O)</v>
      </c>
      <c r="C77" t="s">
        <v>410</v>
      </c>
      <c r="D77" t="str">
        <f t="shared" si="27"/>
        <v xml:space="preserve"> - Mules &amp; Asses</v>
      </c>
      <c r="E77" t="str">
        <f t="shared" si="28"/>
        <v>Urine &amp; dung - Mules &amp; Asses</v>
      </c>
      <c r="F77" t="str">
        <f t="shared" si="29"/>
        <v>kg N</v>
      </c>
      <c r="H77" s="22">
        <f>H16*Constants!$H74*(1-Constants!$H92)</f>
        <v>2956800</v>
      </c>
      <c r="I77" s="22">
        <f>I16*Constants!$H74*(1-Constants!$H92)</f>
        <v>2956800</v>
      </c>
      <c r="J77" s="22">
        <f>J16*Constants!$H74*(1-Constants!$H92)</f>
        <v>2956800</v>
      </c>
      <c r="K77" s="22">
        <f>K16*Constants!$H74*(1-Constants!$H92)</f>
        <v>2956800</v>
      </c>
      <c r="L77" s="22">
        <f>L16*Constants!$H74*(1-Constants!$H92)</f>
        <v>2956800</v>
      </c>
      <c r="M77" s="22">
        <f>M16*Constants!$H74*(1-Constants!$H92)</f>
        <v>2956800</v>
      </c>
      <c r="N77" s="22">
        <f>N16*Constants!$H74*(1-Constants!$H92)</f>
        <v>2956800</v>
      </c>
      <c r="O77" s="22">
        <f>O16*Constants!$H74*(1-Constants!$H92)</f>
        <v>2956800</v>
      </c>
      <c r="P77" s="22">
        <f>P16*Constants!$H74*(1-Constants!$H92)</f>
        <v>2956800</v>
      </c>
      <c r="Q77" s="22">
        <f>Q16*Constants!$H74*(1-Constants!$H92)</f>
        <v>2956800</v>
      </c>
      <c r="R77" s="22">
        <f>R16*Constants!$H74*(1-Constants!$H92)</f>
        <v>2164800</v>
      </c>
      <c r="S77" s="22">
        <f>S16*Constants!$H74*(1-Constants!$H92)</f>
        <v>2164800</v>
      </c>
      <c r="T77" s="22">
        <f>T16*Constants!$H74*(1-Constants!$H92)</f>
        <v>2164800</v>
      </c>
      <c r="U77" s="22">
        <f>U16*Constants!$H74*(1-Constants!$H92)</f>
        <v>2164800</v>
      </c>
      <c r="V77" s="22">
        <f>V16*Constants!$H74*(1-Constants!$H92)</f>
        <v>2164800</v>
      </c>
      <c r="W77" s="22">
        <f>W16*Constants!$H74*(1-Constants!$H92)</f>
        <v>2164800</v>
      </c>
      <c r="X77" s="22">
        <f>X16*Constants!$H74*(1-Constants!$H92)</f>
        <v>2165460</v>
      </c>
      <c r="Y77" s="22">
        <f>Y16*Constants!$H74*(1-Constants!$H92)</f>
        <v>2172720</v>
      </c>
      <c r="Z77" s="22">
        <f>Z16*Constants!$H74*(1-Constants!$H92)</f>
        <v>2174040</v>
      </c>
      <c r="AA77" s="22">
        <f>AA16*Constants!$H74*(1-Constants!$H92)</f>
        <v>2175360</v>
      </c>
      <c r="AB77" s="22">
        <f>AB16*Constants!$H74*(1-Constants!$H92)</f>
        <v>2195160</v>
      </c>
      <c r="AC77" s="22">
        <f>AC16*Constants!$H74*(1-Constants!$H92)</f>
        <v>2204400</v>
      </c>
      <c r="AD77" s="22">
        <f>AD16*Constants!$H74*(1-Constants!$H92)</f>
        <v>2204400</v>
      </c>
      <c r="AE77" s="22">
        <f>AE16*Constants!$H74*(1-Constants!$H92)</f>
        <v>2204400</v>
      </c>
      <c r="AF77" s="22">
        <f>AF16*Constants!$H74*(1-Constants!$H92)</f>
        <v>2204400</v>
      </c>
      <c r="AG77" s="22">
        <f>AG16*Constants!$H74*(1-Constants!$H92)</f>
        <v>2204400</v>
      </c>
      <c r="AH77" s="22">
        <f>AH16*Constants!$H74*(1-Constants!$H92)</f>
        <v>2204400</v>
      </c>
      <c r="AI77" s="22">
        <f>AI16*Constants!$H74*(1-Constants!$H92)</f>
        <v>2204400</v>
      </c>
      <c r="AJ77" s="22">
        <f>AJ16*Constants!$H74*(1-Constants!$H92)</f>
        <v>2204400</v>
      </c>
      <c r="AK77" s="22">
        <f>AK16*Constants!$H74*(1-Constants!$H92)</f>
        <v>2204400</v>
      </c>
      <c r="AL77" s="22">
        <f>AL16*Constants!$H74*(1-Constants!$H92)</f>
        <v>2204400</v>
      </c>
      <c r="AM77" s="22">
        <f>AM16*Constants!$H74*(1-Constants!$H92)</f>
        <v>2204400</v>
      </c>
      <c r="AN77" s="22">
        <f>AN16*Constants!$H74*(1-Constants!$H92)</f>
        <v>2204400</v>
      </c>
      <c r="AO77" s="22">
        <f>AO16*Constants!$H74*(1-Constants!$H92)</f>
        <v>2204400</v>
      </c>
      <c r="AP77" s="22">
        <f>AP16*Constants!$H74*(1-Constants!$H92)</f>
        <v>2204400</v>
      </c>
      <c r="AQ77" s="22">
        <f>AQ16*Constants!$H74*(1-Constants!$H92)</f>
        <v>2204400</v>
      </c>
      <c r="AR77" s="22">
        <f>AR16*Constants!$H74*(1-Constants!$H92)</f>
        <v>2204400</v>
      </c>
      <c r="AS77" s="22">
        <f>AS16*Constants!$H74*(1-Constants!$H92)</f>
        <v>2204400</v>
      </c>
      <c r="AT77" s="22">
        <f>AT16*Constants!$H74*(1-Constants!$H92)</f>
        <v>2204400</v>
      </c>
      <c r="AU77" s="22">
        <f>AU16*Constants!$H74*(1-Constants!$H92)</f>
        <v>2204400</v>
      </c>
      <c r="AV77" s="22">
        <f>AV16*Constants!$H74*(1-Constants!$H92)</f>
        <v>2204400</v>
      </c>
      <c r="AW77" s="22">
        <f>AW16*Constants!$H74*(1-Constants!$H92)</f>
        <v>2204400</v>
      </c>
      <c r="AX77" s="22">
        <f>AX16*Constants!$H74*(1-Constants!$H92)</f>
        <v>2204400</v>
      </c>
      <c r="AY77" s="22">
        <f>AY16*Constants!$H74*(1-Constants!$H92)</f>
        <v>2204400</v>
      </c>
      <c r="AZ77" s="22">
        <f>AZ16*Constants!$H74*(1-Constants!$H92)</f>
        <v>2204400</v>
      </c>
      <c r="BA77" s="22">
        <f>BA16*Constants!$H74*(1-Constants!$H92)</f>
        <v>2204400</v>
      </c>
      <c r="BB77" s="22">
        <f>BB16*Constants!$H74*(1-Constants!$H92)</f>
        <v>2204400</v>
      </c>
      <c r="BC77" s="22">
        <f>BC16*Constants!$H74*(1-Constants!$H92)</f>
        <v>2204400</v>
      </c>
      <c r="BD77" s="22">
        <f>BD16*Constants!$H74*(1-Constants!$H92)</f>
        <v>2204400</v>
      </c>
      <c r="BE77" s="22">
        <f>BE16*Constants!$H74*(1-Constants!$H92)</f>
        <v>2204400</v>
      </c>
      <c r="BF77" s="22">
        <f>BF16*Constants!$H74*(1-Constants!$H92)</f>
        <v>2204400</v>
      </c>
      <c r="BG77" s="22">
        <f>BG16*Constants!$H74*(1-Constants!$H92)</f>
        <v>2204400</v>
      </c>
      <c r="BH77" s="22">
        <f>BH16*Constants!$H74*(1-Constants!$H92)</f>
        <v>2204400</v>
      </c>
      <c r="BI77" s="22">
        <f>BI16*Constants!$H74*(1-Constants!$H92)</f>
        <v>2204400</v>
      </c>
      <c r="BJ77" s="22">
        <f>BJ16*Constants!$H74*(1-Constants!$H92)</f>
        <v>2204400</v>
      </c>
      <c r="BK77" s="22">
        <f>BK16*Constants!$H74*(1-Constants!$H92)</f>
        <v>2204400</v>
      </c>
      <c r="BL77" s="22">
        <f>BL16*Constants!$H74*(1-Constants!$H92)</f>
        <v>2204400</v>
      </c>
      <c r="BM77" s="22">
        <f>BM16*Constants!$H74*(1-Constants!$H92)</f>
        <v>2204400</v>
      </c>
      <c r="BN77" s="22">
        <f>BN16*Constants!$H74*(1-Constants!$H92)</f>
        <v>2204400</v>
      </c>
      <c r="BO77" s="22">
        <f>BO16*Constants!$H74*(1-Constants!$H92)</f>
        <v>2204400</v>
      </c>
      <c r="BP77" s="22">
        <f>BP16*Constants!$H74*(1-Constants!$H92)</f>
        <v>2204400</v>
      </c>
    </row>
    <row r="78" spans="1:68" x14ac:dyDescent="0.25">
      <c r="A78" t="str">
        <f t="shared" si="25"/>
        <v>3C Aggregated and non-CO2 emissions on land</v>
      </c>
      <c r="B78" t="str">
        <f t="shared" si="26"/>
        <v>3C4 Direct N2O from managed soils (N2O)</v>
      </c>
      <c r="C78" t="s">
        <v>410</v>
      </c>
      <c r="D78" t="str">
        <f t="shared" si="27"/>
        <v xml:space="preserve"> - Commercial swine</v>
      </c>
      <c r="E78" t="str">
        <f t="shared" si="28"/>
        <v>Urine &amp; dung - Commercial swine</v>
      </c>
      <c r="F78" t="str">
        <f t="shared" si="29"/>
        <v>kg N</v>
      </c>
      <c r="H78" s="22">
        <f>H17*Constants!$H75*(1-Constants!$H93)</f>
        <v>0</v>
      </c>
      <c r="I78" s="22">
        <f>I17*Constants!$H75*(1-Constants!$H93)</f>
        <v>0</v>
      </c>
      <c r="J78" s="22">
        <f>J17*Constants!$H75*(1-Constants!$H93)</f>
        <v>0</v>
      </c>
      <c r="K78" s="22">
        <f>K17*Constants!$H75*(1-Constants!$H93)</f>
        <v>0</v>
      </c>
      <c r="L78" s="22">
        <f>L17*Constants!$H75*(1-Constants!$H93)</f>
        <v>0</v>
      </c>
      <c r="M78" s="22">
        <f>M17*Constants!$H75*(1-Constants!$H93)</f>
        <v>0</v>
      </c>
      <c r="N78" s="22">
        <f>N17*Constants!$H75*(1-Constants!$H93)</f>
        <v>0</v>
      </c>
      <c r="O78" s="22">
        <f>O17*Constants!$H75*(1-Constants!$H93)</f>
        <v>0</v>
      </c>
      <c r="P78" s="22">
        <f>P17*Constants!$H75*(1-Constants!$H93)</f>
        <v>0</v>
      </c>
      <c r="Q78" s="22">
        <f>Q17*Constants!$H75*(1-Constants!$H93)</f>
        <v>0</v>
      </c>
      <c r="R78" s="22">
        <f>R17*Constants!$H75*(1-Constants!$H93)</f>
        <v>0</v>
      </c>
      <c r="S78" s="22">
        <f>S17*Constants!$H75*(1-Constants!$H93)</f>
        <v>0</v>
      </c>
      <c r="T78" s="22">
        <f>T17*Constants!$H75*(1-Constants!$H93)</f>
        <v>0</v>
      </c>
      <c r="U78" s="22">
        <f>U17*Constants!$H75*(1-Constants!$H93)</f>
        <v>0</v>
      </c>
      <c r="V78" s="22">
        <f>V17*Constants!$H75*(1-Constants!$H93)</f>
        <v>0</v>
      </c>
      <c r="W78" s="22">
        <f>W17*Constants!$H75*(1-Constants!$H93)</f>
        <v>0</v>
      </c>
      <c r="X78" s="22">
        <f>X17*Constants!$H75*(1-Constants!$H93)</f>
        <v>0</v>
      </c>
      <c r="Y78" s="22">
        <f>Y17*Constants!$H75*(1-Constants!$H93)</f>
        <v>0</v>
      </c>
      <c r="Z78" s="22">
        <f>Z17*Constants!$H75*(1-Constants!$H93)</f>
        <v>0</v>
      </c>
      <c r="AA78" s="22">
        <f>AA17*Constants!$H75*(1-Constants!$H93)</f>
        <v>0</v>
      </c>
      <c r="AB78" s="22">
        <f>AB17*Constants!$H75*(1-Constants!$H93)</f>
        <v>0</v>
      </c>
      <c r="AC78" s="22">
        <f>AC17*Constants!$H75*(1-Constants!$H93)</f>
        <v>0</v>
      </c>
      <c r="AD78" s="22">
        <f>AD17*Constants!$H75*(1-Constants!$H93)</f>
        <v>0</v>
      </c>
      <c r="AE78" s="22">
        <f>AE17*Constants!$H75*(1-Constants!$H93)</f>
        <v>0</v>
      </c>
      <c r="AF78" s="22">
        <f>AF17*Constants!$H75*(1-Constants!$H93)</f>
        <v>0</v>
      </c>
      <c r="AG78" s="22">
        <f>AG17*Constants!$H75*(1-Constants!$H93)</f>
        <v>0</v>
      </c>
      <c r="AH78" s="22">
        <f>AH17*Constants!$H75*(1-Constants!$H93)</f>
        <v>0</v>
      </c>
      <c r="AI78" s="22">
        <f>AI17*Constants!$H75*(1-Constants!$H93)</f>
        <v>0</v>
      </c>
      <c r="AJ78" s="22">
        <f>AJ17*Constants!$H75*(1-Constants!$H93)</f>
        <v>0</v>
      </c>
      <c r="AK78" s="22">
        <f>AK17*Constants!$H75*(1-Constants!$H93)</f>
        <v>0</v>
      </c>
      <c r="AL78" s="22">
        <f>AL17*Constants!$H75*(1-Constants!$H93)</f>
        <v>0</v>
      </c>
      <c r="AM78" s="22">
        <f>AM17*Constants!$H75*(1-Constants!$H93)</f>
        <v>0</v>
      </c>
      <c r="AN78" s="22">
        <f>AN17*Constants!$H75*(1-Constants!$H93)</f>
        <v>0</v>
      </c>
      <c r="AO78" s="22">
        <f>AO17*Constants!$H75*(1-Constants!$H93)</f>
        <v>0</v>
      </c>
      <c r="AP78" s="22">
        <f>AP17*Constants!$H75*(1-Constants!$H93)</f>
        <v>0</v>
      </c>
      <c r="AQ78" s="22">
        <f>AQ17*Constants!$H75*(1-Constants!$H93)</f>
        <v>0</v>
      </c>
      <c r="AR78" s="22">
        <f>AR17*Constants!$H75*(1-Constants!$H93)</f>
        <v>0</v>
      </c>
      <c r="AS78" s="22">
        <f>AS17*Constants!$H75*(1-Constants!$H93)</f>
        <v>0</v>
      </c>
      <c r="AT78" s="22">
        <f>AT17*Constants!$H75*(1-Constants!$H93)</f>
        <v>0</v>
      </c>
      <c r="AU78" s="22">
        <f>AU17*Constants!$H75*(1-Constants!$H93)</f>
        <v>0</v>
      </c>
      <c r="AV78" s="22">
        <f>AV17*Constants!$H75*(1-Constants!$H93)</f>
        <v>0</v>
      </c>
      <c r="AW78" s="22">
        <f>AW17*Constants!$H75*(1-Constants!$H93)</f>
        <v>0</v>
      </c>
      <c r="AX78" s="22">
        <f>AX17*Constants!$H75*(1-Constants!$H93)</f>
        <v>0</v>
      </c>
      <c r="AY78" s="22">
        <f>AY17*Constants!$H75*(1-Constants!$H93)</f>
        <v>0</v>
      </c>
      <c r="AZ78" s="22">
        <f>AZ17*Constants!$H75*(1-Constants!$H93)</f>
        <v>0</v>
      </c>
      <c r="BA78" s="22">
        <f>BA17*Constants!$H75*(1-Constants!$H93)</f>
        <v>0</v>
      </c>
      <c r="BB78" s="22">
        <f>BB17*Constants!$H75*(1-Constants!$H93)</f>
        <v>0</v>
      </c>
      <c r="BC78" s="22">
        <f>BC17*Constants!$H75*(1-Constants!$H93)</f>
        <v>0</v>
      </c>
      <c r="BD78" s="22">
        <f>BD17*Constants!$H75*(1-Constants!$H93)</f>
        <v>0</v>
      </c>
      <c r="BE78" s="22">
        <f>BE17*Constants!$H75*(1-Constants!$H93)</f>
        <v>0</v>
      </c>
      <c r="BF78" s="22">
        <f>BF17*Constants!$H75*(1-Constants!$H93)</f>
        <v>0</v>
      </c>
      <c r="BG78" s="22">
        <f>BG17*Constants!$H75*(1-Constants!$H93)</f>
        <v>0</v>
      </c>
      <c r="BH78" s="22">
        <f>BH17*Constants!$H75*(1-Constants!$H93)</f>
        <v>0</v>
      </c>
      <c r="BI78" s="22">
        <f>BI17*Constants!$H75*(1-Constants!$H93)</f>
        <v>0</v>
      </c>
      <c r="BJ78" s="22">
        <f>BJ17*Constants!$H75*(1-Constants!$H93)</f>
        <v>0</v>
      </c>
      <c r="BK78" s="22">
        <f>BK17*Constants!$H75*(1-Constants!$H93)</f>
        <v>0</v>
      </c>
      <c r="BL78" s="22">
        <f>BL17*Constants!$H75*(1-Constants!$H93)</f>
        <v>0</v>
      </c>
      <c r="BM78" s="22">
        <f>BM17*Constants!$H75*(1-Constants!$H93)</f>
        <v>0</v>
      </c>
      <c r="BN78" s="22">
        <f>BN17*Constants!$H75*(1-Constants!$H93)</f>
        <v>0</v>
      </c>
      <c r="BO78" s="22">
        <f>BO17*Constants!$H75*(1-Constants!$H93)</f>
        <v>0</v>
      </c>
      <c r="BP78" s="22">
        <f>BP17*Constants!$H75*(1-Constants!$H93)</f>
        <v>0</v>
      </c>
    </row>
    <row r="79" spans="1:68" x14ac:dyDescent="0.25">
      <c r="A79" t="str">
        <f t="shared" si="25"/>
        <v>3C Aggregated and non-CO2 emissions on land</v>
      </c>
      <c r="B79" t="str">
        <f t="shared" si="26"/>
        <v>3C4 Direct N2O from managed soils (N2O)</v>
      </c>
      <c r="C79" t="s">
        <v>410</v>
      </c>
      <c r="D79" t="str">
        <f>D63</f>
        <v xml:space="preserve"> - Subsistence swine</v>
      </c>
      <c r="E79" t="str">
        <f t="shared" si="28"/>
        <v>Urine &amp; dung - Subsistence swine</v>
      </c>
      <c r="F79" t="str">
        <f t="shared" si="29"/>
        <v>kg N</v>
      </c>
      <c r="H79" s="22">
        <f>H18*Constants!$H76*(1-Constants!$H94)</f>
        <v>0</v>
      </c>
      <c r="I79" s="22">
        <f>I18*Constants!$H76*(1-Constants!$H94)</f>
        <v>0</v>
      </c>
      <c r="J79" s="22">
        <f>J18*Constants!$H76*(1-Constants!$H94)</f>
        <v>0</v>
      </c>
      <c r="K79" s="22">
        <f>K18*Constants!$H76*(1-Constants!$H94)</f>
        <v>0</v>
      </c>
      <c r="L79" s="22">
        <f>L18*Constants!$H76*(1-Constants!$H94)</f>
        <v>0</v>
      </c>
      <c r="M79" s="22">
        <f>M18*Constants!$H76*(1-Constants!$H94)</f>
        <v>0</v>
      </c>
      <c r="N79" s="22">
        <f>N18*Constants!$H76*(1-Constants!$H94)</f>
        <v>0</v>
      </c>
      <c r="O79" s="22">
        <f>O18*Constants!$H76*(1-Constants!$H94)</f>
        <v>0</v>
      </c>
      <c r="P79" s="22">
        <f>P18*Constants!$H76*(1-Constants!$H94)</f>
        <v>0</v>
      </c>
      <c r="Q79" s="22">
        <f>Q18*Constants!$H76*(1-Constants!$H94)</f>
        <v>0</v>
      </c>
      <c r="R79" s="22">
        <f>R18*Constants!$H76*(1-Constants!$H94)</f>
        <v>0</v>
      </c>
      <c r="S79" s="22">
        <f>S18*Constants!$H76*(1-Constants!$H94)</f>
        <v>0</v>
      </c>
      <c r="T79" s="22">
        <f>T18*Constants!$H76*(1-Constants!$H94)</f>
        <v>0</v>
      </c>
      <c r="U79" s="22">
        <f>U18*Constants!$H76*(1-Constants!$H94)</f>
        <v>0</v>
      </c>
      <c r="V79" s="22">
        <f>V18*Constants!$H76*(1-Constants!$H94)</f>
        <v>0</v>
      </c>
      <c r="W79" s="22">
        <f>W18*Constants!$H76*(1-Constants!$H94)</f>
        <v>0</v>
      </c>
      <c r="X79" s="22">
        <f>X18*Constants!$H76*(1-Constants!$H94)</f>
        <v>0</v>
      </c>
      <c r="Y79" s="22">
        <f>Y18*Constants!$H76*(1-Constants!$H94)</f>
        <v>0</v>
      </c>
      <c r="Z79" s="22">
        <f>Z18*Constants!$H76*(1-Constants!$H94)</f>
        <v>0</v>
      </c>
      <c r="AA79" s="22">
        <f>AA18*Constants!$H76*(1-Constants!$H94)</f>
        <v>0</v>
      </c>
      <c r="AB79" s="22">
        <f>AB18*Constants!$H76*(1-Constants!$H94)</f>
        <v>0</v>
      </c>
      <c r="AC79" s="22">
        <f>AC18*Constants!$H76*(1-Constants!$H94)</f>
        <v>0</v>
      </c>
      <c r="AD79" s="22">
        <f>AD18*Constants!$H76*(1-Constants!$H94)</f>
        <v>0</v>
      </c>
      <c r="AE79" s="22">
        <f>AE18*Constants!$H76*(1-Constants!$H94)</f>
        <v>0</v>
      </c>
      <c r="AF79" s="22">
        <f>AF18*Constants!$H76*(1-Constants!$H94)</f>
        <v>0</v>
      </c>
      <c r="AG79" s="22">
        <f>AG18*Constants!$H76*(1-Constants!$H94)</f>
        <v>0</v>
      </c>
      <c r="AH79" s="22">
        <f>AH18*Constants!$H76*(1-Constants!$H94)</f>
        <v>0</v>
      </c>
      <c r="AI79" s="22">
        <f>AI18*Constants!$H76*(1-Constants!$H94)</f>
        <v>0</v>
      </c>
      <c r="AJ79" s="22">
        <f>AJ18*Constants!$H76*(1-Constants!$H94)</f>
        <v>0</v>
      </c>
      <c r="AK79" s="22">
        <f>AK18*Constants!$H76*(1-Constants!$H94)</f>
        <v>0</v>
      </c>
      <c r="AL79" s="22">
        <f>AL18*Constants!$H76*(1-Constants!$H94)</f>
        <v>0</v>
      </c>
      <c r="AM79" s="22">
        <f>AM18*Constants!$H76*(1-Constants!$H94)</f>
        <v>0</v>
      </c>
      <c r="AN79" s="22">
        <f>AN18*Constants!$H76*(1-Constants!$H94)</f>
        <v>0</v>
      </c>
      <c r="AO79" s="22">
        <f>AO18*Constants!$H76*(1-Constants!$H94)</f>
        <v>0</v>
      </c>
      <c r="AP79" s="22">
        <f>AP18*Constants!$H76*(1-Constants!$H94)</f>
        <v>0</v>
      </c>
      <c r="AQ79" s="22">
        <f>AQ18*Constants!$H76*(1-Constants!$H94)</f>
        <v>0</v>
      </c>
      <c r="AR79" s="22">
        <f>AR18*Constants!$H76*(1-Constants!$H94)</f>
        <v>0</v>
      </c>
      <c r="AS79" s="22">
        <f>AS18*Constants!$H76*(1-Constants!$H94)</f>
        <v>0</v>
      </c>
      <c r="AT79" s="22">
        <f>AT18*Constants!$H76*(1-Constants!$H94)</f>
        <v>0</v>
      </c>
      <c r="AU79" s="22">
        <f>AU18*Constants!$H76*(1-Constants!$H94)</f>
        <v>0</v>
      </c>
      <c r="AV79" s="22">
        <f>AV18*Constants!$H76*(1-Constants!$H94)</f>
        <v>0</v>
      </c>
      <c r="AW79" s="22">
        <f>AW18*Constants!$H76*(1-Constants!$H94)</f>
        <v>0</v>
      </c>
      <c r="AX79" s="22">
        <f>AX18*Constants!$H76*(1-Constants!$H94)</f>
        <v>0</v>
      </c>
      <c r="AY79" s="22">
        <f>AY18*Constants!$H76*(1-Constants!$H94)</f>
        <v>0</v>
      </c>
      <c r="AZ79" s="22">
        <f>AZ18*Constants!$H76*(1-Constants!$H94)</f>
        <v>0</v>
      </c>
      <c r="BA79" s="22">
        <f>BA18*Constants!$H76*(1-Constants!$H94)</f>
        <v>0</v>
      </c>
      <c r="BB79" s="22">
        <f>BB18*Constants!$H76*(1-Constants!$H94)</f>
        <v>0</v>
      </c>
      <c r="BC79" s="22">
        <f>BC18*Constants!$H76*(1-Constants!$H94)</f>
        <v>0</v>
      </c>
      <c r="BD79" s="22">
        <f>BD18*Constants!$H76*(1-Constants!$H94)</f>
        <v>0</v>
      </c>
      <c r="BE79" s="22">
        <f>BE18*Constants!$H76*(1-Constants!$H94)</f>
        <v>0</v>
      </c>
      <c r="BF79" s="22">
        <f>BF18*Constants!$H76*(1-Constants!$H94)</f>
        <v>0</v>
      </c>
      <c r="BG79" s="22">
        <f>BG18*Constants!$H76*(1-Constants!$H94)</f>
        <v>0</v>
      </c>
      <c r="BH79" s="22">
        <f>BH18*Constants!$H76*(1-Constants!$H94)</f>
        <v>0</v>
      </c>
      <c r="BI79" s="22">
        <f>BI18*Constants!$H76*(1-Constants!$H94)</f>
        <v>0</v>
      </c>
      <c r="BJ79" s="22">
        <f>BJ18*Constants!$H76*(1-Constants!$H94)</f>
        <v>0</v>
      </c>
      <c r="BK79" s="22">
        <f>BK18*Constants!$H76*(1-Constants!$H94)</f>
        <v>0</v>
      </c>
      <c r="BL79" s="22">
        <f>BL18*Constants!$H76*(1-Constants!$H94)</f>
        <v>0</v>
      </c>
      <c r="BM79" s="22">
        <f>BM18*Constants!$H76*(1-Constants!$H94)</f>
        <v>0</v>
      </c>
      <c r="BN79" s="22">
        <f>BN18*Constants!$H76*(1-Constants!$H94)</f>
        <v>0</v>
      </c>
      <c r="BO79" s="22">
        <f>BO18*Constants!$H76*(1-Constants!$H94)</f>
        <v>0</v>
      </c>
      <c r="BP79" s="22">
        <f>BP18*Constants!$H76*(1-Constants!$H94)</f>
        <v>0</v>
      </c>
    </row>
    <row r="80" spans="1:68" x14ac:dyDescent="0.25">
      <c r="A80" t="str">
        <f t="shared" si="25"/>
        <v>3C Aggregated and non-CO2 emissions on land</v>
      </c>
      <c r="B80" t="str">
        <f t="shared" si="26"/>
        <v>3C4 Direct N2O from managed soils (N2O)</v>
      </c>
      <c r="C80" t="s">
        <v>410</v>
      </c>
      <c r="D80" t="str">
        <f t="shared" si="27"/>
        <v xml:space="preserve"> - Commercial layers</v>
      </c>
      <c r="E80" t="str">
        <f t="shared" ref="E80:E81" si="30">C80&amp;D80</f>
        <v>Urine &amp; dung - Commercial layers</v>
      </c>
      <c r="F80" t="str">
        <f t="shared" ref="F80:F81" si="31">F79</f>
        <v>kg N</v>
      </c>
      <c r="H80" s="22">
        <f>H19*Constants!$H77*(1-Constants!$H95)</f>
        <v>0</v>
      </c>
      <c r="I80" s="22">
        <f>I19*Constants!$H77*(1-Constants!$H95)</f>
        <v>0</v>
      </c>
      <c r="J80" s="22">
        <f>J19*Constants!$H77*(1-Constants!$H95)</f>
        <v>0</v>
      </c>
      <c r="K80" s="22">
        <f>K19*Constants!$H77*(1-Constants!$H95)</f>
        <v>0</v>
      </c>
      <c r="L80" s="22">
        <f>L19*Constants!$H77*(1-Constants!$H95)</f>
        <v>0</v>
      </c>
      <c r="M80" s="22">
        <f>M19*Constants!$H77*(1-Constants!$H95)</f>
        <v>0</v>
      </c>
      <c r="N80" s="22">
        <f>N19*Constants!$H77*(1-Constants!$H95)</f>
        <v>0</v>
      </c>
      <c r="O80" s="22">
        <f>O19*Constants!$H77*(1-Constants!$H95)</f>
        <v>0</v>
      </c>
      <c r="P80" s="22">
        <f>P19*Constants!$H77*(1-Constants!$H95)</f>
        <v>0</v>
      </c>
      <c r="Q80" s="22">
        <f>Q19*Constants!$H77*(1-Constants!$H95)</f>
        <v>0</v>
      </c>
      <c r="R80" s="22">
        <f>R19*Constants!$H77*(1-Constants!$H95)</f>
        <v>0</v>
      </c>
      <c r="S80" s="22">
        <f>S19*Constants!$H77*(1-Constants!$H95)</f>
        <v>0</v>
      </c>
      <c r="T80" s="22">
        <f>T19*Constants!$H77*(1-Constants!$H95)</f>
        <v>0</v>
      </c>
      <c r="U80" s="22">
        <f>U19*Constants!$H77*(1-Constants!$H95)</f>
        <v>0</v>
      </c>
      <c r="V80" s="22">
        <f>V19*Constants!$H77*(1-Constants!$H95)</f>
        <v>0</v>
      </c>
      <c r="W80" s="22">
        <f>W19*Constants!$H77*(1-Constants!$H95)</f>
        <v>0</v>
      </c>
      <c r="X80" s="22">
        <f>X19*Constants!$H77*(1-Constants!$H95)</f>
        <v>0</v>
      </c>
      <c r="Y80" s="22">
        <f>Y19*Constants!$H77*(1-Constants!$H95)</f>
        <v>0</v>
      </c>
      <c r="Z80" s="22">
        <f>Z19*Constants!$H77*(1-Constants!$H95)</f>
        <v>0</v>
      </c>
      <c r="AA80" s="22">
        <f>AA19*Constants!$H77*(1-Constants!$H95)</f>
        <v>0</v>
      </c>
      <c r="AB80" s="22">
        <f>AB19*Constants!$H77*(1-Constants!$H95)</f>
        <v>0</v>
      </c>
      <c r="AC80" s="22">
        <f>AC19*Constants!$H77*(1-Constants!$H95)</f>
        <v>0</v>
      </c>
      <c r="AD80" s="22">
        <f>AD19*Constants!$H77*(1-Constants!$H95)</f>
        <v>0</v>
      </c>
      <c r="AE80" s="22">
        <f>AE19*Constants!$H77*(1-Constants!$H95)</f>
        <v>0</v>
      </c>
      <c r="AF80" s="22">
        <f>AF19*Constants!$H77*(1-Constants!$H95)</f>
        <v>0</v>
      </c>
      <c r="AG80" s="22">
        <f>AG19*Constants!$H77*(1-Constants!$H95)</f>
        <v>0</v>
      </c>
      <c r="AH80" s="22">
        <f>AH19*Constants!$H77*(1-Constants!$H95)</f>
        <v>0</v>
      </c>
      <c r="AI80" s="22">
        <f>AI19*Constants!$H77*(1-Constants!$H95)</f>
        <v>0</v>
      </c>
      <c r="AJ80" s="22">
        <f>AJ19*Constants!$H77*(1-Constants!$H95)</f>
        <v>0</v>
      </c>
      <c r="AK80" s="22">
        <f>AK19*Constants!$H77*(1-Constants!$H95)</f>
        <v>0</v>
      </c>
      <c r="AL80" s="22">
        <f>AL19*Constants!$H77*(1-Constants!$H95)</f>
        <v>0</v>
      </c>
      <c r="AM80" s="22">
        <f>AM19*Constants!$H77*(1-Constants!$H95)</f>
        <v>0</v>
      </c>
      <c r="AN80" s="22">
        <f>AN19*Constants!$H77*(1-Constants!$H95)</f>
        <v>0</v>
      </c>
      <c r="AO80" s="22">
        <f>AO19*Constants!$H77*(1-Constants!$H95)</f>
        <v>0</v>
      </c>
      <c r="AP80" s="22">
        <f>AP19*Constants!$H77*(1-Constants!$H95)</f>
        <v>0</v>
      </c>
      <c r="AQ80" s="22">
        <f>AQ19*Constants!$H77*(1-Constants!$H95)</f>
        <v>0</v>
      </c>
      <c r="AR80" s="22">
        <f>AR19*Constants!$H77*(1-Constants!$H95)</f>
        <v>0</v>
      </c>
      <c r="AS80" s="22">
        <f>AS19*Constants!$H77*(1-Constants!$H95)</f>
        <v>0</v>
      </c>
      <c r="AT80" s="22">
        <f>AT19*Constants!$H77*(1-Constants!$H95)</f>
        <v>0</v>
      </c>
      <c r="AU80" s="22">
        <f>AU19*Constants!$H77*(1-Constants!$H95)</f>
        <v>0</v>
      </c>
      <c r="AV80" s="22">
        <f>AV19*Constants!$H77*(1-Constants!$H95)</f>
        <v>0</v>
      </c>
      <c r="AW80" s="22">
        <f>AW19*Constants!$H77*(1-Constants!$H95)</f>
        <v>0</v>
      </c>
      <c r="AX80" s="22">
        <f>AX19*Constants!$H77*(1-Constants!$H95)</f>
        <v>0</v>
      </c>
      <c r="AY80" s="22">
        <f>AY19*Constants!$H77*(1-Constants!$H95)</f>
        <v>0</v>
      </c>
      <c r="AZ80" s="22">
        <f>AZ19*Constants!$H77*(1-Constants!$H95)</f>
        <v>0</v>
      </c>
      <c r="BA80" s="22">
        <f>BA19*Constants!$H77*(1-Constants!$H95)</f>
        <v>0</v>
      </c>
      <c r="BB80" s="22">
        <f>BB19*Constants!$H77*(1-Constants!$H95)</f>
        <v>0</v>
      </c>
      <c r="BC80" s="22">
        <f>BC19*Constants!$H77*(1-Constants!$H95)</f>
        <v>0</v>
      </c>
      <c r="BD80" s="22">
        <f>BD19*Constants!$H77*(1-Constants!$H95)</f>
        <v>0</v>
      </c>
      <c r="BE80" s="22">
        <f>BE19*Constants!$H77*(1-Constants!$H95)</f>
        <v>0</v>
      </c>
      <c r="BF80" s="22">
        <f>BF19*Constants!$H77*(1-Constants!$H95)</f>
        <v>0</v>
      </c>
      <c r="BG80" s="22">
        <f>BG19*Constants!$H77*(1-Constants!$H95)</f>
        <v>0</v>
      </c>
      <c r="BH80" s="22">
        <f>BH19*Constants!$H77*(1-Constants!$H95)</f>
        <v>0</v>
      </c>
      <c r="BI80" s="22">
        <f>BI19*Constants!$H77*(1-Constants!$H95)</f>
        <v>0</v>
      </c>
      <c r="BJ80" s="22">
        <f>BJ19*Constants!$H77*(1-Constants!$H95)</f>
        <v>0</v>
      </c>
      <c r="BK80" s="22">
        <f>BK19*Constants!$H77*(1-Constants!$H95)</f>
        <v>0</v>
      </c>
      <c r="BL80" s="22">
        <f>BL19*Constants!$H77*(1-Constants!$H95)</f>
        <v>0</v>
      </c>
      <c r="BM80" s="22">
        <f>BM19*Constants!$H77*(1-Constants!$H95)</f>
        <v>0</v>
      </c>
      <c r="BN80" s="22">
        <f>BN19*Constants!$H77*(1-Constants!$H95)</f>
        <v>0</v>
      </c>
      <c r="BO80" s="22">
        <f>BO19*Constants!$H77*(1-Constants!$H95)</f>
        <v>0</v>
      </c>
      <c r="BP80" s="22">
        <f>BP19*Constants!$H77*(1-Constants!$H95)</f>
        <v>0</v>
      </c>
    </row>
    <row r="81" spans="1:72" x14ac:dyDescent="0.25">
      <c r="A81" t="str">
        <f t="shared" si="25"/>
        <v>3C Aggregated and non-CO2 emissions on land</v>
      </c>
      <c r="B81" t="str">
        <f t="shared" si="26"/>
        <v>3C4 Direct N2O from managed soils (N2O)</v>
      </c>
      <c r="C81" t="s">
        <v>410</v>
      </c>
      <c r="D81" t="str">
        <f t="shared" si="27"/>
        <v xml:space="preserve"> - Commercial broilers</v>
      </c>
      <c r="E81" t="str">
        <f t="shared" si="30"/>
        <v>Urine &amp; dung - Commercial broilers</v>
      </c>
      <c r="F81" t="str">
        <f t="shared" si="31"/>
        <v>kg N</v>
      </c>
      <c r="H81" s="22">
        <f>H20*Constants!$H78*(1-Constants!$H96)</f>
        <v>0</v>
      </c>
      <c r="I81" s="22">
        <f>I20*Constants!$H78*(1-Constants!$H96)</f>
        <v>0</v>
      </c>
      <c r="J81" s="22">
        <f>J20*Constants!$H78*(1-Constants!$H96)</f>
        <v>0</v>
      </c>
      <c r="K81" s="22">
        <f>K20*Constants!$H78*(1-Constants!$H96)</f>
        <v>0</v>
      </c>
      <c r="L81" s="22">
        <f>L20*Constants!$H78*(1-Constants!$H96)</f>
        <v>0</v>
      </c>
      <c r="M81" s="22">
        <f>M20*Constants!$H78*(1-Constants!$H96)</f>
        <v>0</v>
      </c>
      <c r="N81" s="22">
        <f>N20*Constants!$H78*(1-Constants!$H96)</f>
        <v>0</v>
      </c>
      <c r="O81" s="22">
        <f>O20*Constants!$H78*(1-Constants!$H96)</f>
        <v>0</v>
      </c>
      <c r="P81" s="22">
        <f>P20*Constants!$H78*(1-Constants!$H96)</f>
        <v>0</v>
      </c>
      <c r="Q81" s="22">
        <f>Q20*Constants!$H78*(1-Constants!$H96)</f>
        <v>0</v>
      </c>
      <c r="R81" s="22">
        <f>R20*Constants!$H78*(1-Constants!$H96)</f>
        <v>0</v>
      </c>
      <c r="S81" s="22">
        <f>S20*Constants!$H78*(1-Constants!$H96)</f>
        <v>0</v>
      </c>
      <c r="T81" s="22">
        <f>T20*Constants!$H78*(1-Constants!$H96)</f>
        <v>0</v>
      </c>
      <c r="U81" s="22">
        <f>U20*Constants!$H78*(1-Constants!$H96)</f>
        <v>0</v>
      </c>
      <c r="V81" s="22">
        <f>V20*Constants!$H78*(1-Constants!$H96)</f>
        <v>0</v>
      </c>
      <c r="W81" s="22">
        <f>W20*Constants!$H78*(1-Constants!$H96)</f>
        <v>0</v>
      </c>
      <c r="X81" s="22">
        <f>X20*Constants!$H78*(1-Constants!$H96)</f>
        <v>0</v>
      </c>
      <c r="Y81" s="22">
        <f>Y20*Constants!$H78*(1-Constants!$H96)</f>
        <v>0</v>
      </c>
      <c r="Z81" s="22">
        <f>Z20*Constants!$H78*(1-Constants!$H96)</f>
        <v>0</v>
      </c>
      <c r="AA81" s="22">
        <f>AA20*Constants!$H78*(1-Constants!$H96)</f>
        <v>0</v>
      </c>
      <c r="AB81" s="22">
        <f>AB20*Constants!$H78*(1-Constants!$H96)</f>
        <v>0</v>
      </c>
      <c r="AC81" s="22">
        <f>AC20*Constants!$H78*(1-Constants!$H96)</f>
        <v>0</v>
      </c>
      <c r="AD81" s="22">
        <f>AD20*Constants!$H78*(1-Constants!$H96)</f>
        <v>0</v>
      </c>
      <c r="AE81" s="22">
        <f>AE20*Constants!$H78*(1-Constants!$H96)</f>
        <v>0</v>
      </c>
      <c r="AF81" s="22">
        <f>AF20*Constants!$H78*(1-Constants!$H96)</f>
        <v>0</v>
      </c>
      <c r="AG81" s="22">
        <f>AG20*Constants!$H78*(1-Constants!$H96)</f>
        <v>0</v>
      </c>
      <c r="AH81" s="22">
        <f>AH20*Constants!$H78*(1-Constants!$H96)</f>
        <v>0</v>
      </c>
      <c r="AI81" s="22">
        <f>AI20*Constants!$H78*(1-Constants!$H96)</f>
        <v>0</v>
      </c>
      <c r="AJ81" s="22">
        <f>AJ20*Constants!$H78*(1-Constants!$H96)</f>
        <v>0</v>
      </c>
      <c r="AK81" s="22">
        <f>AK20*Constants!$H78*(1-Constants!$H96)</f>
        <v>0</v>
      </c>
      <c r="AL81" s="22">
        <f>AL20*Constants!$H78*(1-Constants!$H96)</f>
        <v>0</v>
      </c>
      <c r="AM81" s="22">
        <f>AM20*Constants!$H78*(1-Constants!$H96)</f>
        <v>0</v>
      </c>
      <c r="AN81" s="22">
        <f>AN20*Constants!$H78*(1-Constants!$H96)</f>
        <v>0</v>
      </c>
      <c r="AO81" s="22">
        <f>AO20*Constants!$H78*(1-Constants!$H96)</f>
        <v>0</v>
      </c>
      <c r="AP81" s="22">
        <f>AP20*Constants!$H78*(1-Constants!$H96)</f>
        <v>0</v>
      </c>
      <c r="AQ81" s="22">
        <f>AQ20*Constants!$H78*(1-Constants!$H96)</f>
        <v>0</v>
      </c>
      <c r="AR81" s="22">
        <f>AR20*Constants!$H78*(1-Constants!$H96)</f>
        <v>0</v>
      </c>
      <c r="AS81" s="22">
        <f>AS20*Constants!$H78*(1-Constants!$H96)</f>
        <v>0</v>
      </c>
      <c r="AT81" s="22">
        <f>AT20*Constants!$H78*(1-Constants!$H96)</f>
        <v>0</v>
      </c>
      <c r="AU81" s="22">
        <f>AU20*Constants!$H78*(1-Constants!$H96)</f>
        <v>0</v>
      </c>
      <c r="AV81" s="22">
        <f>AV20*Constants!$H78*(1-Constants!$H96)</f>
        <v>0</v>
      </c>
      <c r="AW81" s="22">
        <f>AW20*Constants!$H78*(1-Constants!$H96)</f>
        <v>0</v>
      </c>
      <c r="AX81" s="22">
        <f>AX20*Constants!$H78*(1-Constants!$H96)</f>
        <v>0</v>
      </c>
      <c r="AY81" s="22">
        <f>AY20*Constants!$H78*(1-Constants!$H96)</f>
        <v>0</v>
      </c>
      <c r="AZ81" s="22">
        <f>AZ20*Constants!$H78*(1-Constants!$H96)</f>
        <v>0</v>
      </c>
      <c r="BA81" s="22">
        <f>BA20*Constants!$H78*(1-Constants!$H96)</f>
        <v>0</v>
      </c>
      <c r="BB81" s="22">
        <f>BB20*Constants!$H78*(1-Constants!$H96)</f>
        <v>0</v>
      </c>
      <c r="BC81" s="22">
        <f>BC20*Constants!$H78*(1-Constants!$H96)</f>
        <v>0</v>
      </c>
      <c r="BD81" s="22">
        <f>BD20*Constants!$H78*(1-Constants!$H96)</f>
        <v>0</v>
      </c>
      <c r="BE81" s="22">
        <f>BE20*Constants!$H78*(1-Constants!$H96)</f>
        <v>0</v>
      </c>
      <c r="BF81" s="22">
        <f>BF20*Constants!$H78*(1-Constants!$H96)</f>
        <v>0</v>
      </c>
      <c r="BG81" s="22">
        <f>BG20*Constants!$H78*(1-Constants!$H96)</f>
        <v>0</v>
      </c>
      <c r="BH81" s="22">
        <f>BH20*Constants!$H78*(1-Constants!$H96)</f>
        <v>0</v>
      </c>
      <c r="BI81" s="22">
        <f>BI20*Constants!$H78*(1-Constants!$H96)</f>
        <v>0</v>
      </c>
      <c r="BJ81" s="22">
        <f>BJ20*Constants!$H78*(1-Constants!$H96)</f>
        <v>0</v>
      </c>
      <c r="BK81" s="22">
        <f>BK20*Constants!$H78*(1-Constants!$H96)</f>
        <v>0</v>
      </c>
      <c r="BL81" s="22">
        <f>BL20*Constants!$H78*(1-Constants!$H96)</f>
        <v>0</v>
      </c>
      <c r="BM81" s="22">
        <f>BM20*Constants!$H78*(1-Constants!$H96)</f>
        <v>0</v>
      </c>
      <c r="BN81" s="22">
        <f>BN20*Constants!$H78*(1-Constants!$H96)</f>
        <v>0</v>
      </c>
      <c r="BO81" s="22">
        <f>BO20*Constants!$H78*(1-Constants!$H96)</f>
        <v>0</v>
      </c>
      <c r="BP81" s="22">
        <f>BP20*Constants!$H78*(1-Constants!$H96)</f>
        <v>0</v>
      </c>
    </row>
    <row r="82" spans="1:72" x14ac:dyDescent="0.25">
      <c r="A82" t="str">
        <f>A81</f>
        <v>3C Aggregated and non-CO2 emissions on land</v>
      </c>
      <c r="B82" t="str">
        <f t="shared" si="26"/>
        <v>3C4 Direct N2O from managed soils (N2O)</v>
      </c>
      <c r="C82" t="s">
        <v>661</v>
      </c>
      <c r="D82" t="s">
        <v>444</v>
      </c>
      <c r="E82" t="str">
        <f t="shared" ref="E82:E85" si="32">C82&amp;D82</f>
        <v>Crop residue N - maize</v>
      </c>
      <c r="F82" t="str">
        <f t="shared" ref="F82:F85" si="33">F81</f>
        <v>kg N</v>
      </c>
      <c r="H82" s="22">
        <v>169222719.81423381</v>
      </c>
      <c r="I82" s="22">
        <v>146469055.03045925</v>
      </c>
      <c r="J82" s="22">
        <v>159221366.84252763</v>
      </c>
      <c r="K82" s="22">
        <v>166361838.74906701</v>
      </c>
      <c r="L82" s="22">
        <v>177207855.24554062</v>
      </c>
      <c r="M82" s="22">
        <v>134194234.50025843</v>
      </c>
      <c r="N82" s="22">
        <v>143395687.73539102</v>
      </c>
      <c r="O82" s="22">
        <v>154135462.82738763</v>
      </c>
      <c r="P82" s="22">
        <v>135980324.06223202</v>
      </c>
      <c r="Q82" s="22">
        <v>136205316.98976544</v>
      </c>
      <c r="R82" s="22">
        <v>153316816.86155123</v>
      </c>
      <c r="S82" s="22">
        <v>121680505.97819223</v>
      </c>
      <c r="T82" s="22">
        <v>134754504.74286324</v>
      </c>
      <c r="U82" s="22">
        <v>139005050.45193782</v>
      </c>
      <c r="V82" s="22">
        <v>122072648.78867763</v>
      </c>
      <c r="W82" s="22">
        <v>122727616.37001581</v>
      </c>
      <c r="X82" s="22">
        <v>76773886.659184024</v>
      </c>
      <c r="Y82" s="22">
        <v>110722449.64123464</v>
      </c>
      <c r="Z82" s="22">
        <v>126740304.25230721</v>
      </c>
      <c r="AA82" s="22">
        <v>112126055.04929921</v>
      </c>
      <c r="AB82" s="22">
        <v>127466246.79321264</v>
      </c>
      <c r="AC82" s="22">
        <v>113245894.01580001</v>
      </c>
      <c r="AD82" s="22">
        <f>((AD41*Constants!$H$45*Constants!$H$48)*(1+Constants!$H$51))*Constants!$H$54*Constants!$H$42*Constants!$H$57*Constants!$H$58*ttokg</f>
        <v>100346378.06238909</v>
      </c>
      <c r="AE82" s="22">
        <f>((AE41*Constants!$H$45*Constants!$H$48)*(1+Constants!$H$51))*Constants!$H$54*Constants!$H$42*Constants!$H$57*Constants!$H$58*ttokg</f>
        <v>100616588.95461977</v>
      </c>
      <c r="AF82" s="22">
        <f>((AF41*Constants!$H$45*Constants!$H$48)*(1+Constants!$H$51))*Constants!$H$54*Constants!$H$42*Constants!$H$57*Constants!$H$58*ttokg</f>
        <v>100985834.01420589</v>
      </c>
      <c r="AG82" s="22">
        <f>((AG41*Constants!$H$45*Constants!$H$48)*(1+Constants!$H$51))*Constants!$H$54*Constants!$H$42*Constants!$H$57*Constants!$H$58*ttokg</f>
        <v>101253856.96254529</v>
      </c>
      <c r="AH82" s="22">
        <f>((AH41*Constants!$H$45*Constants!$H$48)*(1+Constants!$H$51))*Constants!$H$54*Constants!$H$42*Constants!$H$57*Constants!$H$58*ttokg</f>
        <v>101384382.1420687</v>
      </c>
      <c r="AI82" s="22">
        <f>((AI41*Constants!$H$45*Constants!$H$48)*(1+Constants!$H$51))*Constants!$H$54*Constants!$H$42*Constants!$H$57*Constants!$H$58*ttokg</f>
        <v>101513211.76326241</v>
      </c>
      <c r="AJ82" s="22">
        <f>((AJ41*Constants!$H$45*Constants!$H$48)*(1+Constants!$H$51))*Constants!$H$54*Constants!$H$42*Constants!$H$57*Constants!$H$58*ttokg</f>
        <v>101708099.72741768</v>
      </c>
      <c r="AK82" s="22">
        <f>((AK41*Constants!$H$45*Constants!$H$48)*(1+Constants!$H$51))*Constants!$H$54*Constants!$H$42*Constants!$H$57*Constants!$H$58*ttokg</f>
        <v>101921473.49527717</v>
      </c>
      <c r="AL82" s="22">
        <f>((AL41*Constants!$H$45*Constants!$H$48)*(1+Constants!$H$51))*Constants!$H$54*Constants!$H$42*Constants!$H$57*Constants!$H$58*ttokg</f>
        <v>101991303.25006573</v>
      </c>
      <c r="AM82" s="22">
        <f>((AM41*Constants!$H$45*Constants!$H$48)*(1+Constants!$H$51))*Constants!$H$54*Constants!$H$42*Constants!$H$57*Constants!$H$58*ttokg</f>
        <v>100708643.78224486</v>
      </c>
      <c r="AN82" s="22">
        <f>((AN41*Constants!$H$45*Constants!$H$48)*(1+Constants!$H$51))*Constants!$H$54*Constants!$H$42*Constants!$H$57*Constants!$H$58*ttokg</f>
        <v>101108748.66479863</v>
      </c>
      <c r="AO82" s="22">
        <f>((AO41*Constants!$H$45*Constants!$H$48)*(1+Constants!$H$51))*Constants!$H$54*Constants!$H$42*Constants!$H$57*Constants!$H$58*ttokg</f>
        <v>101468473.70346771</v>
      </c>
      <c r="AP82" s="22">
        <f>((AP41*Constants!$H$45*Constants!$H$48)*(1+Constants!$H$51))*Constants!$H$54*Constants!$H$42*Constants!$H$57*Constants!$H$58*ttokg</f>
        <v>101824864.00741759</v>
      </c>
      <c r="AQ82" s="22">
        <f>((AQ41*Constants!$H$45*Constants!$H$48)*(1+Constants!$H$51))*Constants!$H$54*Constants!$H$42*Constants!$H$57*Constants!$H$58*ttokg</f>
        <v>102233962.96393335</v>
      </c>
      <c r="AR82" s="22">
        <f>((AR41*Constants!$H$45*Constants!$H$48)*(1+Constants!$H$51))*Constants!$H$54*Constants!$H$42*Constants!$H$57*Constants!$H$58*ttokg</f>
        <v>102638621.77745454</v>
      </c>
      <c r="AS82" s="22">
        <f>((AS41*Constants!$H$45*Constants!$H$48)*(1+Constants!$H$51))*Constants!$H$54*Constants!$H$42*Constants!$H$57*Constants!$H$58*ttokg</f>
        <v>103048895.20345064</v>
      </c>
      <c r="AT82" s="22">
        <f>((AT41*Constants!$H$45*Constants!$H$48)*(1+Constants!$H$51))*Constants!$H$54*Constants!$H$42*Constants!$H$57*Constants!$H$58*ttokg</f>
        <v>103441705.18072237</v>
      </c>
      <c r="AU82" s="22">
        <f>((AU41*Constants!$H$45*Constants!$H$48)*(1+Constants!$H$51))*Constants!$H$54*Constants!$H$42*Constants!$H$57*Constants!$H$58*ttokg</f>
        <v>103851304.67430824</v>
      </c>
      <c r="AV82" s="22">
        <f>((AV41*Constants!$H$45*Constants!$H$48)*(1+Constants!$H$51))*Constants!$H$54*Constants!$H$42*Constants!$H$57*Constants!$H$58*ttokg</f>
        <v>104231795.22893538</v>
      </c>
      <c r="AW82" s="22">
        <f>((AW41*Constants!$H$45*Constants!$H$48)*(1+Constants!$H$51))*Constants!$H$54*Constants!$H$42*Constants!$H$57*Constants!$H$58*ttokg</f>
        <v>104615680.00950401</v>
      </c>
      <c r="AX82" s="22">
        <f>((AX41*Constants!$H$45*Constants!$H$48)*(1+Constants!$H$51))*Constants!$H$54*Constants!$H$42*Constants!$H$57*Constants!$H$58*ttokg</f>
        <v>105062391.82436158</v>
      </c>
      <c r="AY82" s="22">
        <f>((AY41*Constants!$H$45*Constants!$H$48)*(1+Constants!$H$51))*Constants!$H$54*Constants!$H$42*Constants!$H$57*Constants!$H$58*ttokg</f>
        <v>105533982.82995823</v>
      </c>
      <c r="AZ82" s="22">
        <f>((AZ41*Constants!$H$45*Constants!$H$48)*(1+Constants!$H$51))*Constants!$H$54*Constants!$H$42*Constants!$H$57*Constants!$H$58*ttokg</f>
        <v>106011522.52669616</v>
      </c>
      <c r="BA82" s="22">
        <f>((BA41*Constants!$H$45*Constants!$H$48)*(1+Constants!$H$51))*Constants!$H$54*Constants!$H$42*Constants!$H$57*Constants!$H$58*ttokg</f>
        <v>106106293.62553687</v>
      </c>
      <c r="BB82" s="22">
        <f>((BB41*Constants!$H$45*Constants!$H$48)*(1+Constants!$H$51))*Constants!$H$54*Constants!$H$42*Constants!$H$57*Constants!$H$58*ttokg</f>
        <v>66723623.104138419</v>
      </c>
      <c r="BC82" s="22">
        <f>((BC41*Constants!$H$45*Constants!$H$48)*(1+Constants!$H$51))*Constants!$H$54*Constants!$H$42*Constants!$H$57*Constants!$H$58*ttokg</f>
        <v>66653948.933691487</v>
      </c>
      <c r="BD82" s="22">
        <f>((BD41*Constants!$H$45*Constants!$H$48)*(1+Constants!$H$51))*Constants!$H$54*Constants!$H$42*Constants!$H$57*Constants!$H$58*ttokg</f>
        <v>66583541.329276562</v>
      </c>
      <c r="BE82" s="22">
        <f>((BE41*Constants!$H$45*Constants!$H$48)*(1+Constants!$H$51))*Constants!$H$54*Constants!$H$42*Constants!$H$57*Constants!$H$58*ttokg</f>
        <v>66512390.186906196</v>
      </c>
      <c r="BF82" s="22">
        <f>((BF41*Constants!$H$45*Constants!$H$48)*(1+Constants!$H$51))*Constants!$H$54*Constants!$H$42*Constants!$H$57*Constants!$H$58*ttokg</f>
        <v>66440485.212546073</v>
      </c>
      <c r="BG82" s="22">
        <f>((BG41*Constants!$H$45*Constants!$H$48)*(1+Constants!$H$51))*Constants!$H$54*Constants!$H$42*Constants!$H$57*Constants!$H$58*ttokg</f>
        <v>66367815.917371653</v>
      </c>
      <c r="BH82" s="22">
        <f>((BH41*Constants!$H$45*Constants!$H$48)*(1+Constants!$H$51))*Constants!$H$54*Constants!$H$42*Constants!$H$57*Constants!$H$58*ttokg</f>
        <v>66305524.927517019</v>
      </c>
      <c r="BI82" s="22">
        <f>((BI41*Constants!$H$45*Constants!$H$48)*(1+Constants!$H$51))*Constants!$H$54*Constants!$H$42*Constants!$H$57*Constants!$H$58*ttokg</f>
        <v>66242668.895423949</v>
      </c>
      <c r="BJ82" s="22">
        <f>((BJ41*Constants!$H$45*Constants!$H$48)*(1+Constants!$H$51))*Constants!$H$54*Constants!$H$42*Constants!$H$57*Constants!$H$58*ttokg</f>
        <v>66179241.060177661</v>
      </c>
      <c r="BK82" s="22">
        <f>((BK41*Constants!$H$45*Constants!$H$48)*(1+Constants!$H$51))*Constants!$H$54*Constants!$H$42*Constants!$H$57*Constants!$H$58*ttokg</f>
        <v>66115234.549947314</v>
      </c>
      <c r="BL82" s="22">
        <f>((BL41*Constants!$H$45*Constants!$H$48)*(1+Constants!$H$51))*Constants!$H$54*Constants!$H$42*Constants!$H$57*Constants!$H$58*ttokg</f>
        <v>66050642.379570462</v>
      </c>
      <c r="BM82" s="22">
        <f>((BM41*Constants!$H$45*Constants!$H$48)*(1+Constants!$H$51))*Constants!$H$54*Constants!$H$42*Constants!$H$57*Constants!$H$58*ttokg</f>
        <v>65997080.191195503</v>
      </c>
      <c r="BN82" s="22">
        <f>((BN41*Constants!$H$45*Constants!$H$48)*(1+Constants!$H$51))*Constants!$H$54*Constants!$H$42*Constants!$H$57*Constants!$H$58*ttokg</f>
        <v>65943113.120967492</v>
      </c>
      <c r="BO82" s="22">
        <f>((BO41*Constants!$H$45*Constants!$H$48)*(1+Constants!$H$51))*Constants!$H$54*Constants!$H$42*Constants!$H$57*Constants!$H$58*ttokg</f>
        <v>65888737.104682386</v>
      </c>
      <c r="BP82" s="22">
        <f>((BP41*Constants!$H$45*Constants!$H$48)*(1+Constants!$H$51))*Constants!$H$54*Constants!$H$42*Constants!$H$57*Constants!$H$58*ttokg</f>
        <v>65833948.02201426</v>
      </c>
    </row>
    <row r="83" spans="1:72" x14ac:dyDescent="0.25">
      <c r="A83" t="str">
        <f>A82</f>
        <v>3C Aggregated and non-CO2 emissions on land</v>
      </c>
      <c r="B83" t="str">
        <f t="shared" ref="B83:C83" si="34">B82</f>
        <v>3C4 Direct N2O from managed soils (N2O)</v>
      </c>
      <c r="C83" t="str">
        <f t="shared" si="34"/>
        <v>Crop residue N</v>
      </c>
      <c r="D83" t="s">
        <v>374</v>
      </c>
      <c r="E83" t="str">
        <f t="shared" si="32"/>
        <v>Crop residue N - wheat</v>
      </c>
      <c r="F83" t="str">
        <f t="shared" si="33"/>
        <v>kg N</v>
      </c>
      <c r="H83" s="22">
        <v>12027674.492947873</v>
      </c>
      <c r="I83" s="22">
        <v>15073733.727081215</v>
      </c>
      <c r="J83" s="22">
        <v>9317109.7170359995</v>
      </c>
      <c r="K83" s="22">
        <v>13960385.955568802</v>
      </c>
      <c r="L83" s="22">
        <v>12951268.598936448</v>
      </c>
      <c r="M83" s="22">
        <v>13915210.572107857</v>
      </c>
      <c r="N83" s="22">
        <v>19086964.362997342</v>
      </c>
      <c r="O83" s="22">
        <v>17104848.961899597</v>
      </c>
      <c r="P83" s="22">
        <v>13260858.352196401</v>
      </c>
      <c r="Q83" s="22">
        <v>12195250.161865054</v>
      </c>
      <c r="R83" s="22">
        <v>17086357.776156764</v>
      </c>
      <c r="S83" s="22">
        <v>17620050.867103875</v>
      </c>
      <c r="T83" s="22">
        <v>17154163.058715936</v>
      </c>
      <c r="U83" s="22">
        <v>10885377.79194624</v>
      </c>
      <c r="V83" s="22">
        <v>11871375.563916</v>
      </c>
      <c r="W83" s="22">
        <v>13405603.487245198</v>
      </c>
      <c r="X83" s="22">
        <v>14812335.740283838</v>
      </c>
      <c r="Y83" s="22">
        <v>13404854.889448704</v>
      </c>
      <c r="Z83" s="22">
        <v>14988421.865818368</v>
      </c>
      <c r="AA83" s="22">
        <v>13767379.251199199</v>
      </c>
      <c r="AB83" s="22">
        <v>10061071.645942945</v>
      </c>
      <c r="AC83" s="22">
        <v>14115618.755591758</v>
      </c>
      <c r="AD83" s="22">
        <f>((AD42*Constants!$H$47*Constants!$H$50)*(1+Constants!$H$53))*Constants!$H$56*Constants!$H$44*Constants!$H$57*Constants!$H$58*ttokg</f>
        <v>12131728.127999999</v>
      </c>
      <c r="AE83" s="22">
        <f>((AE42*Constants!$H$47*Constants!$H$50)*(1+Constants!$H$53))*Constants!$H$56*Constants!$H$44*Constants!$H$57*Constants!$H$58*ttokg</f>
        <v>12131728.127999999</v>
      </c>
      <c r="AF83" s="22">
        <f>((AF42*Constants!$H$47*Constants!$H$50)*(1+Constants!$H$53))*Constants!$H$56*Constants!$H$44*Constants!$H$57*Constants!$H$58*ttokg</f>
        <v>12131728.127999999</v>
      </c>
      <c r="AG83" s="22">
        <f>((AG42*Constants!$H$47*Constants!$H$50)*(1+Constants!$H$53))*Constants!$H$56*Constants!$H$44*Constants!$H$57*Constants!$H$58*ttokg</f>
        <v>12131728.127999999</v>
      </c>
      <c r="AH83" s="22">
        <f>((AH42*Constants!$H$47*Constants!$H$50)*(1+Constants!$H$53))*Constants!$H$56*Constants!$H$44*Constants!$H$57*Constants!$H$58*ttokg</f>
        <v>12131728.127999999</v>
      </c>
      <c r="AI83" s="22">
        <f>((AI42*Constants!$H$47*Constants!$H$50)*(1+Constants!$H$53))*Constants!$H$56*Constants!$H$44*Constants!$H$57*Constants!$H$58*ttokg</f>
        <v>12131728.127999999</v>
      </c>
      <c r="AJ83" s="22">
        <f>((AJ42*Constants!$H$47*Constants!$H$50)*(1+Constants!$H$53))*Constants!$H$56*Constants!$H$44*Constants!$H$57*Constants!$H$58*ttokg</f>
        <v>12131728.127999999</v>
      </c>
      <c r="AK83" s="22">
        <f>((AK42*Constants!$H$47*Constants!$H$50)*(1+Constants!$H$53))*Constants!$H$56*Constants!$H$44*Constants!$H$57*Constants!$H$58*ttokg</f>
        <v>12131728.127999999</v>
      </c>
      <c r="AL83" s="22">
        <f>((AL42*Constants!$H$47*Constants!$H$50)*(1+Constants!$H$53))*Constants!$H$56*Constants!$H$44*Constants!$H$57*Constants!$H$58*ttokg</f>
        <v>12131728.127999999</v>
      </c>
      <c r="AM83" s="22">
        <f>((AM42*Constants!$H$47*Constants!$H$50)*(1+Constants!$H$53))*Constants!$H$56*Constants!$H$44*Constants!$H$57*Constants!$H$58*ttokg</f>
        <v>12131728.127999999</v>
      </c>
      <c r="AN83" s="22">
        <f>((AN42*Constants!$H$47*Constants!$H$50)*(1+Constants!$H$53))*Constants!$H$56*Constants!$H$44*Constants!$H$57*Constants!$H$58*ttokg</f>
        <v>12131728.127999999</v>
      </c>
      <c r="AO83" s="22">
        <f>((AO42*Constants!$H$47*Constants!$H$50)*(1+Constants!$H$53))*Constants!$H$56*Constants!$H$44*Constants!$H$57*Constants!$H$58*ttokg</f>
        <v>12131728.127999999</v>
      </c>
      <c r="AP83" s="22">
        <f>((AP42*Constants!$H$47*Constants!$H$50)*(1+Constants!$H$53))*Constants!$H$56*Constants!$H$44*Constants!$H$57*Constants!$H$58*ttokg</f>
        <v>12131728.127999999</v>
      </c>
      <c r="AQ83" s="22">
        <f>((AQ42*Constants!$H$47*Constants!$H$50)*(1+Constants!$H$53))*Constants!$H$56*Constants!$H$44*Constants!$H$57*Constants!$H$58*ttokg</f>
        <v>12131728.127999999</v>
      </c>
      <c r="AR83" s="22">
        <f>((AR42*Constants!$H$47*Constants!$H$50)*(1+Constants!$H$53))*Constants!$H$56*Constants!$H$44*Constants!$H$57*Constants!$H$58*ttokg</f>
        <v>12131728.127999999</v>
      </c>
      <c r="AS83" s="22">
        <f>((AS42*Constants!$H$47*Constants!$H$50)*(1+Constants!$H$53))*Constants!$H$56*Constants!$H$44*Constants!$H$57*Constants!$H$58*ttokg</f>
        <v>12131728.127999999</v>
      </c>
      <c r="AT83" s="22">
        <f>((AT42*Constants!$H$47*Constants!$H$50)*(1+Constants!$H$53))*Constants!$H$56*Constants!$H$44*Constants!$H$57*Constants!$H$58*ttokg</f>
        <v>12131728.127999999</v>
      </c>
      <c r="AU83" s="22">
        <f>((AU42*Constants!$H$47*Constants!$H$50)*(1+Constants!$H$53))*Constants!$H$56*Constants!$H$44*Constants!$H$57*Constants!$H$58*ttokg</f>
        <v>12131728.127999999</v>
      </c>
      <c r="AV83" s="22">
        <f>((AV42*Constants!$H$47*Constants!$H$50)*(1+Constants!$H$53))*Constants!$H$56*Constants!$H$44*Constants!$H$57*Constants!$H$58*ttokg</f>
        <v>12131728.127999999</v>
      </c>
      <c r="AW83" s="22">
        <f>((AW42*Constants!$H$47*Constants!$H$50)*(1+Constants!$H$53))*Constants!$H$56*Constants!$H$44*Constants!$H$57*Constants!$H$58*ttokg</f>
        <v>12131728.127999999</v>
      </c>
      <c r="AX83" s="22">
        <f>((AX42*Constants!$H$47*Constants!$H$50)*(1+Constants!$H$53))*Constants!$H$56*Constants!$H$44*Constants!$H$57*Constants!$H$58*ttokg</f>
        <v>12131728.127999999</v>
      </c>
      <c r="AY83" s="22">
        <f>((AY42*Constants!$H$47*Constants!$H$50)*(1+Constants!$H$53))*Constants!$H$56*Constants!$H$44*Constants!$H$57*Constants!$H$58*ttokg</f>
        <v>12131728.127999999</v>
      </c>
      <c r="AZ83" s="22">
        <f>((AZ42*Constants!$H$47*Constants!$H$50)*(1+Constants!$H$53))*Constants!$H$56*Constants!$H$44*Constants!$H$57*Constants!$H$58*ttokg</f>
        <v>12131728.127999999</v>
      </c>
      <c r="BA83" s="22">
        <f>((BA42*Constants!$H$47*Constants!$H$50)*(1+Constants!$H$53))*Constants!$H$56*Constants!$H$44*Constants!$H$57*Constants!$H$58*ttokg</f>
        <v>12131728.127999999</v>
      </c>
      <c r="BB83" s="22">
        <f>((BB42*Constants!$H$47*Constants!$H$50)*(1+Constants!$H$53))*Constants!$H$56*Constants!$H$44*Constants!$H$57*Constants!$H$58*ttokg</f>
        <v>12131728.127999999</v>
      </c>
      <c r="BC83" s="22">
        <f>((BC42*Constants!$H$47*Constants!$H$50)*(1+Constants!$H$53))*Constants!$H$56*Constants!$H$44*Constants!$H$57*Constants!$H$58*ttokg</f>
        <v>12131728.127999999</v>
      </c>
      <c r="BD83" s="22">
        <f>((BD42*Constants!$H$47*Constants!$H$50)*(1+Constants!$H$53))*Constants!$H$56*Constants!$H$44*Constants!$H$57*Constants!$H$58*ttokg</f>
        <v>12131728.127999999</v>
      </c>
      <c r="BE83" s="22">
        <f>((BE42*Constants!$H$47*Constants!$H$50)*(1+Constants!$H$53))*Constants!$H$56*Constants!$H$44*Constants!$H$57*Constants!$H$58*ttokg</f>
        <v>12131728.127999999</v>
      </c>
      <c r="BF83" s="22">
        <f>((BF42*Constants!$H$47*Constants!$H$50)*(1+Constants!$H$53))*Constants!$H$56*Constants!$H$44*Constants!$H$57*Constants!$H$58*ttokg</f>
        <v>12131728.127999999</v>
      </c>
      <c r="BG83" s="22">
        <f>((BG42*Constants!$H$47*Constants!$H$50)*(1+Constants!$H$53))*Constants!$H$56*Constants!$H$44*Constants!$H$57*Constants!$H$58*ttokg</f>
        <v>12131728.127999999</v>
      </c>
      <c r="BH83" s="22">
        <f>((BH42*Constants!$H$47*Constants!$H$50)*(1+Constants!$H$53))*Constants!$H$56*Constants!$H$44*Constants!$H$57*Constants!$H$58*ttokg</f>
        <v>12131728.127999999</v>
      </c>
      <c r="BI83" s="22">
        <f>((BI42*Constants!$H$47*Constants!$H$50)*(1+Constants!$H$53))*Constants!$H$56*Constants!$H$44*Constants!$H$57*Constants!$H$58*ttokg</f>
        <v>12131728.127999999</v>
      </c>
      <c r="BJ83" s="22">
        <f>((BJ42*Constants!$H$47*Constants!$H$50)*(1+Constants!$H$53))*Constants!$H$56*Constants!$H$44*Constants!$H$57*Constants!$H$58*ttokg</f>
        <v>12131728.127999999</v>
      </c>
      <c r="BK83" s="22">
        <f>((BK42*Constants!$H$47*Constants!$H$50)*(1+Constants!$H$53))*Constants!$H$56*Constants!$H$44*Constants!$H$57*Constants!$H$58*ttokg</f>
        <v>12131728.127999999</v>
      </c>
      <c r="BL83" s="22">
        <f>((BL42*Constants!$H$47*Constants!$H$50)*(1+Constants!$H$53))*Constants!$H$56*Constants!$H$44*Constants!$H$57*Constants!$H$58*ttokg</f>
        <v>12131728.127999999</v>
      </c>
      <c r="BM83" s="22">
        <f>((BM42*Constants!$H$47*Constants!$H$50)*(1+Constants!$H$53))*Constants!$H$56*Constants!$H$44*Constants!$H$57*Constants!$H$58*ttokg</f>
        <v>12131728.127999999</v>
      </c>
      <c r="BN83" s="22">
        <f>((BN42*Constants!$H$47*Constants!$H$50)*(1+Constants!$H$53))*Constants!$H$56*Constants!$H$44*Constants!$H$57*Constants!$H$58*ttokg</f>
        <v>12131728.127999999</v>
      </c>
      <c r="BO83" s="22">
        <f>((BO42*Constants!$H$47*Constants!$H$50)*(1+Constants!$H$53))*Constants!$H$56*Constants!$H$44*Constants!$H$57*Constants!$H$58*ttokg</f>
        <v>12131728.127999999</v>
      </c>
      <c r="BP83" s="22">
        <f>((BP42*Constants!$H$47*Constants!$H$50)*(1+Constants!$H$53))*Constants!$H$56*Constants!$H$44*Constants!$H$57*Constants!$H$58*ttokg</f>
        <v>12131728.127999999</v>
      </c>
    </row>
    <row r="84" spans="1:72" x14ac:dyDescent="0.25">
      <c r="A84" t="str">
        <f>A83</f>
        <v>3C Aggregated and non-CO2 emissions on land</v>
      </c>
      <c r="B84" t="str">
        <f t="shared" ref="B84" si="35">B83</f>
        <v>3C4 Direct N2O from managed soils (N2O)</v>
      </c>
      <c r="C84" t="str">
        <f t="shared" ref="C84" si="36">C83</f>
        <v>Crop residue N</v>
      </c>
      <c r="D84" t="s">
        <v>375</v>
      </c>
      <c r="E84" t="str">
        <f t="shared" si="32"/>
        <v>Crop residue N - sorghum</v>
      </c>
      <c r="F84" t="str">
        <f t="shared" si="33"/>
        <v>kg N</v>
      </c>
      <c r="H84" s="22">
        <v>390687.3631584</v>
      </c>
      <c r="I84" s="22">
        <v>361799.87719679996</v>
      </c>
      <c r="J84" s="22">
        <v>48092.127955199998</v>
      </c>
      <c r="K84" s="22">
        <v>731712.72642101767</v>
      </c>
      <c r="L84" s="22">
        <v>784820.45288404799</v>
      </c>
      <c r="M84" s="22">
        <v>388730.34895175043</v>
      </c>
      <c r="N84" s="22">
        <v>1085449.9899444769</v>
      </c>
      <c r="O84" s="22">
        <v>767913.6197730815</v>
      </c>
      <c r="P84" s="22">
        <v>644364.57901744312</v>
      </c>
      <c r="Q84" s="22">
        <v>332629.55174332805</v>
      </c>
      <c r="R84" s="22">
        <v>310743.09356160002</v>
      </c>
      <c r="S84" s="22">
        <v>135738.5035776</v>
      </c>
      <c r="T84" s="22">
        <v>169256.39976</v>
      </c>
      <c r="U84" s="22">
        <v>170266.89153600001</v>
      </c>
      <c r="V84" s="22">
        <v>245534.82844799999</v>
      </c>
      <c r="W84" s="22">
        <v>170159.33773440003</v>
      </c>
      <c r="X84" s="22">
        <v>62943.126489599999</v>
      </c>
      <c r="Y84" s="22">
        <v>115864.25639040001</v>
      </c>
      <c r="Z84" s="22">
        <v>168245.86927680002</v>
      </c>
      <c r="AA84" s="22">
        <v>183064.86347520002</v>
      </c>
      <c r="AB84" s="22">
        <v>129857.51237760003</v>
      </c>
      <c r="AC84" s="22">
        <v>101755.71665280001</v>
      </c>
      <c r="AD84" s="22">
        <f>((AD43*Constants!$H$46*Constants!$H$49)+(1+Constants!$H$52))*Constants!$H$55*Constants!$H$43*Constants!$H$57*Constants!$H$58*ttokg</f>
        <v>131877.44099999996</v>
      </c>
      <c r="AE84" s="22">
        <f>((AE43*Constants!$H$46*Constants!$H$49)+(1+Constants!$H$52))*Constants!$H$55*Constants!$H$43*Constants!$H$57*Constants!$H$58*ttokg</f>
        <v>131877.44099999996</v>
      </c>
      <c r="AF84" s="22">
        <f>((AF43*Constants!$H$46*Constants!$H$49)+(1+Constants!$H$52))*Constants!$H$55*Constants!$H$43*Constants!$H$57*Constants!$H$58*ttokg</f>
        <v>131877.44099999996</v>
      </c>
      <c r="AG84" s="22">
        <f>((AG43*Constants!$H$46*Constants!$H$49)+(1+Constants!$H$52))*Constants!$H$55*Constants!$H$43*Constants!$H$57*Constants!$H$58*ttokg</f>
        <v>131877.44099999996</v>
      </c>
      <c r="AH84" s="22">
        <f>((AH43*Constants!$H$46*Constants!$H$49)+(1+Constants!$H$52))*Constants!$H$55*Constants!$H$43*Constants!$H$57*Constants!$H$58*ttokg</f>
        <v>131877.44099999996</v>
      </c>
      <c r="AI84" s="22">
        <f>((AI43*Constants!$H$46*Constants!$H$49)+(1+Constants!$H$52))*Constants!$H$55*Constants!$H$43*Constants!$H$57*Constants!$H$58*ttokg</f>
        <v>131877.44099999996</v>
      </c>
      <c r="AJ84" s="22">
        <f>((AJ43*Constants!$H$46*Constants!$H$49)+(1+Constants!$H$52))*Constants!$H$55*Constants!$H$43*Constants!$H$57*Constants!$H$58*ttokg</f>
        <v>131877.44099999996</v>
      </c>
      <c r="AK84" s="22">
        <f>((AK43*Constants!$H$46*Constants!$H$49)+(1+Constants!$H$52))*Constants!$H$55*Constants!$H$43*Constants!$H$57*Constants!$H$58*ttokg</f>
        <v>131877.44099999996</v>
      </c>
      <c r="AL84" s="22">
        <f>((AL43*Constants!$H$46*Constants!$H$49)+(1+Constants!$H$52))*Constants!$H$55*Constants!$H$43*Constants!$H$57*Constants!$H$58*ttokg</f>
        <v>131877.44099999996</v>
      </c>
      <c r="AM84" s="22">
        <f>((AM43*Constants!$H$46*Constants!$H$49)+(1+Constants!$H$52))*Constants!$H$55*Constants!$H$43*Constants!$H$57*Constants!$H$58*ttokg</f>
        <v>131877.44099999996</v>
      </c>
      <c r="AN84" s="22">
        <f>((AN43*Constants!$H$46*Constants!$H$49)+(1+Constants!$H$52))*Constants!$H$55*Constants!$H$43*Constants!$H$57*Constants!$H$58*ttokg</f>
        <v>131877.44099999996</v>
      </c>
      <c r="AO84" s="22">
        <f>((AO43*Constants!$H$46*Constants!$H$49)+(1+Constants!$H$52))*Constants!$H$55*Constants!$H$43*Constants!$H$57*Constants!$H$58*ttokg</f>
        <v>131877.44099999996</v>
      </c>
      <c r="AP84" s="22">
        <f>((AP43*Constants!$H$46*Constants!$H$49)+(1+Constants!$H$52))*Constants!$H$55*Constants!$H$43*Constants!$H$57*Constants!$H$58*ttokg</f>
        <v>131877.44099999996</v>
      </c>
      <c r="AQ84" s="22">
        <f>((AQ43*Constants!$H$46*Constants!$H$49)+(1+Constants!$H$52))*Constants!$H$55*Constants!$H$43*Constants!$H$57*Constants!$H$58*ttokg</f>
        <v>131877.44099999996</v>
      </c>
      <c r="AR84" s="22">
        <f>((AR43*Constants!$H$46*Constants!$H$49)+(1+Constants!$H$52))*Constants!$H$55*Constants!$H$43*Constants!$H$57*Constants!$H$58*ttokg</f>
        <v>131877.44099999996</v>
      </c>
      <c r="AS84" s="22">
        <f>((AS43*Constants!$H$46*Constants!$H$49)+(1+Constants!$H$52))*Constants!$H$55*Constants!$H$43*Constants!$H$57*Constants!$H$58*ttokg</f>
        <v>131877.44099999996</v>
      </c>
      <c r="AT84" s="22">
        <f>((AT43*Constants!$H$46*Constants!$H$49)+(1+Constants!$H$52))*Constants!$H$55*Constants!$H$43*Constants!$H$57*Constants!$H$58*ttokg</f>
        <v>131877.44099999996</v>
      </c>
      <c r="AU84" s="22">
        <f>((AU43*Constants!$H$46*Constants!$H$49)+(1+Constants!$H$52))*Constants!$H$55*Constants!$H$43*Constants!$H$57*Constants!$H$58*ttokg</f>
        <v>131877.44099999996</v>
      </c>
      <c r="AV84" s="22">
        <f>((AV43*Constants!$H$46*Constants!$H$49)+(1+Constants!$H$52))*Constants!$H$55*Constants!$H$43*Constants!$H$57*Constants!$H$58*ttokg</f>
        <v>131877.44099999996</v>
      </c>
      <c r="AW84" s="22">
        <f>((AW43*Constants!$H$46*Constants!$H$49)+(1+Constants!$H$52))*Constants!$H$55*Constants!$H$43*Constants!$H$57*Constants!$H$58*ttokg</f>
        <v>131877.44099999996</v>
      </c>
      <c r="AX84" s="22">
        <f>((AX43*Constants!$H$46*Constants!$H$49)+(1+Constants!$H$52))*Constants!$H$55*Constants!$H$43*Constants!$H$57*Constants!$H$58*ttokg</f>
        <v>131877.44099999996</v>
      </c>
      <c r="AY84" s="22">
        <f>((AY43*Constants!$H$46*Constants!$H$49)+(1+Constants!$H$52))*Constants!$H$55*Constants!$H$43*Constants!$H$57*Constants!$H$58*ttokg</f>
        <v>131877.44099999996</v>
      </c>
      <c r="AZ84" s="22">
        <f>((AZ43*Constants!$H$46*Constants!$H$49)+(1+Constants!$H$52))*Constants!$H$55*Constants!$H$43*Constants!$H$57*Constants!$H$58*ttokg</f>
        <v>131877.44099999996</v>
      </c>
      <c r="BA84" s="22">
        <f>((BA43*Constants!$H$46*Constants!$H$49)+(1+Constants!$H$52))*Constants!$H$55*Constants!$H$43*Constants!$H$57*Constants!$H$58*ttokg</f>
        <v>131877.44099999996</v>
      </c>
      <c r="BB84" s="22">
        <f>((BB43*Constants!$H$46*Constants!$H$49)+(1+Constants!$H$52))*Constants!$H$55*Constants!$H$43*Constants!$H$57*Constants!$H$58*ttokg</f>
        <v>131877.44099999996</v>
      </c>
      <c r="BC84" s="22">
        <f>((BC43*Constants!$H$46*Constants!$H$49)+(1+Constants!$H$52))*Constants!$H$55*Constants!$H$43*Constants!$H$57*Constants!$H$58*ttokg</f>
        <v>131877.44099999996</v>
      </c>
      <c r="BD84" s="22">
        <f>((BD43*Constants!$H$46*Constants!$H$49)+(1+Constants!$H$52))*Constants!$H$55*Constants!$H$43*Constants!$H$57*Constants!$H$58*ttokg</f>
        <v>131877.44099999996</v>
      </c>
      <c r="BE84" s="22">
        <f>((BE43*Constants!$H$46*Constants!$H$49)+(1+Constants!$H$52))*Constants!$H$55*Constants!$H$43*Constants!$H$57*Constants!$H$58*ttokg</f>
        <v>131877.44099999996</v>
      </c>
      <c r="BF84" s="22">
        <f>((BF43*Constants!$H$46*Constants!$H$49)+(1+Constants!$H$52))*Constants!$H$55*Constants!$H$43*Constants!$H$57*Constants!$H$58*ttokg</f>
        <v>131877.44099999996</v>
      </c>
      <c r="BG84" s="22">
        <f>((BG43*Constants!$H$46*Constants!$H$49)+(1+Constants!$H$52))*Constants!$H$55*Constants!$H$43*Constants!$H$57*Constants!$H$58*ttokg</f>
        <v>131877.44099999996</v>
      </c>
      <c r="BH84" s="22">
        <f>((BH43*Constants!$H$46*Constants!$H$49)+(1+Constants!$H$52))*Constants!$H$55*Constants!$H$43*Constants!$H$57*Constants!$H$58*ttokg</f>
        <v>131877.44099999996</v>
      </c>
      <c r="BI84" s="22">
        <f>((BI43*Constants!$H$46*Constants!$H$49)+(1+Constants!$H$52))*Constants!$H$55*Constants!$H$43*Constants!$H$57*Constants!$H$58*ttokg</f>
        <v>131877.44099999996</v>
      </c>
      <c r="BJ84" s="22">
        <f>((BJ43*Constants!$H$46*Constants!$H$49)+(1+Constants!$H$52))*Constants!$H$55*Constants!$H$43*Constants!$H$57*Constants!$H$58*ttokg</f>
        <v>131877.44099999996</v>
      </c>
      <c r="BK84" s="22">
        <f>((BK43*Constants!$H$46*Constants!$H$49)+(1+Constants!$H$52))*Constants!$H$55*Constants!$H$43*Constants!$H$57*Constants!$H$58*ttokg</f>
        <v>131877.44099999996</v>
      </c>
      <c r="BL84" s="22">
        <f>((BL43*Constants!$H$46*Constants!$H$49)+(1+Constants!$H$52))*Constants!$H$55*Constants!$H$43*Constants!$H$57*Constants!$H$58*ttokg</f>
        <v>131877.44099999996</v>
      </c>
      <c r="BM84" s="22">
        <f>((BM43*Constants!$H$46*Constants!$H$49)+(1+Constants!$H$52))*Constants!$H$55*Constants!$H$43*Constants!$H$57*Constants!$H$58*ttokg</f>
        <v>131877.44099999996</v>
      </c>
      <c r="BN84" s="22">
        <f>((BN43*Constants!$H$46*Constants!$H$49)+(1+Constants!$H$52))*Constants!$H$55*Constants!$H$43*Constants!$H$57*Constants!$H$58*ttokg</f>
        <v>131877.44099999996</v>
      </c>
      <c r="BO84" s="22">
        <f>((BO43*Constants!$H$46*Constants!$H$49)+(1+Constants!$H$52))*Constants!$H$55*Constants!$H$43*Constants!$H$57*Constants!$H$58*ttokg</f>
        <v>131877.44099999996</v>
      </c>
      <c r="BP84" s="22">
        <f>((BP43*Constants!$H$46*Constants!$H$49)+(1+Constants!$H$52))*Constants!$H$55*Constants!$H$43*Constants!$H$57*Constants!$H$58*ttokg</f>
        <v>131877.44099999996</v>
      </c>
    </row>
    <row r="85" spans="1:72" x14ac:dyDescent="0.25">
      <c r="A85" t="str">
        <f>A84</f>
        <v>3C Aggregated and non-CO2 emissions on land</v>
      </c>
      <c r="B85" t="str">
        <f t="shared" ref="B85" si="37">B84</f>
        <v>3C4 Direct N2O from managed soils (N2O)</v>
      </c>
      <c r="C85" t="str">
        <f t="shared" ref="C85" si="38">C84</f>
        <v>Crop residue N</v>
      </c>
      <c r="D85" t="s">
        <v>376</v>
      </c>
      <c r="E85" t="str">
        <f t="shared" si="32"/>
        <v>Crop residue N - total</v>
      </c>
      <c r="F85" t="str">
        <f t="shared" si="33"/>
        <v>kg N</v>
      </c>
      <c r="H85" s="22">
        <f>SUM(H82:H84)/Constants!$H$41</f>
        <v>302735136.11723351</v>
      </c>
      <c r="I85" s="22">
        <f>SUM(I82:I84)/Constants!$H$41</f>
        <v>269840981.05789542</v>
      </c>
      <c r="J85" s="22">
        <f>SUM(J82:J84)/Constants!$H$41</f>
        <v>280977614.4791981</v>
      </c>
      <c r="K85" s="22">
        <f>SUM(K82:K84)/Constants!$H$41</f>
        <v>301756562.3850947</v>
      </c>
      <c r="L85" s="22">
        <f>SUM(L82:L84)/Constants!$H$41</f>
        <v>318239907.16226852</v>
      </c>
      <c r="M85" s="22">
        <f>SUM(M82:M84)/Constants!$H$41</f>
        <v>247496959.03553009</v>
      </c>
      <c r="N85" s="22">
        <f>SUM(N82:N84)/Constants!$H$41</f>
        <v>272613503.48055476</v>
      </c>
      <c r="O85" s="22">
        <f>SUM(O82:O84)/Constants!$H$41</f>
        <v>286680375.68176723</v>
      </c>
      <c r="P85" s="22">
        <f>SUM(P82:P84)/Constants!$H$41</f>
        <v>249809244.98907641</v>
      </c>
      <c r="Q85" s="22">
        <f>SUM(Q82:Q84)/Constants!$H$41</f>
        <v>247888661.1722897</v>
      </c>
      <c r="R85" s="22">
        <f>SUM(R82:R84)/Constants!$H$41</f>
        <v>284523196.2187826</v>
      </c>
      <c r="S85" s="22">
        <f>SUM(S82:S84)/Constants!$H$41</f>
        <v>232393825.58145612</v>
      </c>
      <c r="T85" s="22">
        <f>SUM(T82:T84)/Constants!$H$41</f>
        <v>253463207.00223199</v>
      </c>
      <c r="U85" s="22">
        <f>SUM(U82:U84)/Constants!$H$41</f>
        <v>250101158.55903342</v>
      </c>
      <c r="V85" s="22">
        <f>SUM(V82:V84)/Constants!$H$41</f>
        <v>223649265.30173606</v>
      </c>
      <c r="W85" s="22">
        <f>SUM(W82:W84)/Constants!$H$41</f>
        <v>227172298.65832567</v>
      </c>
      <c r="X85" s="22">
        <f>SUM(X82:X84)/Constants!$H$41</f>
        <v>152748609.20992908</v>
      </c>
      <c r="Y85" s="22">
        <f>SUM(Y82:Y84)/Constants!$H$41</f>
        <v>207071947.97845623</v>
      </c>
      <c r="Z85" s="22">
        <f>SUM(Z82:Z84)/Constants!$H$41</f>
        <v>236494953.31233731</v>
      </c>
      <c r="AA85" s="22">
        <f>SUM(AA82:AA84)/Constants!$H$41</f>
        <v>210127498.6066227</v>
      </c>
      <c r="AB85" s="22">
        <f>SUM(AB82:AB84)/Constants!$H$41</f>
        <v>229428626.58588862</v>
      </c>
      <c r="AC85" s="22">
        <f>SUM(AC82:AC84)/Constants!$H$41</f>
        <v>212438780.81340763</v>
      </c>
      <c r="AD85" s="22">
        <f>SUM(AD82:AD84)/Constants!$H$41</f>
        <v>187683306.05231518</v>
      </c>
      <c r="AE85" s="22">
        <f>SUM(AE82:AE84)/Constants!$H$41</f>
        <v>188133657.53936628</v>
      </c>
      <c r="AF85" s="22">
        <f>SUM(AF82:AF84)/Constants!$H$41</f>
        <v>188749065.97200984</v>
      </c>
      <c r="AG85" s="22">
        <f>SUM(AG82:AG84)/Constants!$H$41</f>
        <v>189195770.88590884</v>
      </c>
      <c r="AH85" s="22">
        <f>SUM(AH82:AH84)/Constants!$H$41</f>
        <v>189413312.85178119</v>
      </c>
      <c r="AI85" s="22">
        <f>SUM(AI82:AI84)/Constants!$H$41</f>
        <v>189628028.88710403</v>
      </c>
      <c r="AJ85" s="22">
        <f>SUM(AJ82:AJ84)/Constants!$H$41</f>
        <v>189952842.16069612</v>
      </c>
      <c r="AK85" s="22">
        <f>SUM(AK82:AK84)/Constants!$H$41</f>
        <v>190308465.10712859</v>
      </c>
      <c r="AL85" s="22">
        <f>SUM(AL82:AL84)/Constants!$H$41</f>
        <v>190424848.03177622</v>
      </c>
      <c r="AM85" s="22">
        <f>SUM(AM82:AM84)/Constants!$H$41</f>
        <v>188287082.25207475</v>
      </c>
      <c r="AN85" s="22">
        <f>SUM(AN82:AN84)/Constants!$H$41</f>
        <v>188953923.72299773</v>
      </c>
      <c r="AO85" s="22">
        <f>SUM(AO82:AO84)/Constants!$H$41</f>
        <v>189553465.45411286</v>
      </c>
      <c r="AP85" s="22">
        <f>SUM(AP82:AP84)/Constants!$H$41</f>
        <v>190147449.2940293</v>
      </c>
      <c r="AQ85" s="22">
        <f>SUM(AQ82:AQ84)/Constants!$H$41</f>
        <v>190829280.88822225</v>
      </c>
      <c r="AR85" s="22">
        <f>SUM(AR82:AR84)/Constants!$H$41</f>
        <v>191503712.24409091</v>
      </c>
      <c r="AS85" s="22">
        <f>SUM(AS82:AS84)/Constants!$H$41</f>
        <v>192187501.28741774</v>
      </c>
      <c r="AT85" s="22">
        <f>SUM(AT82:AT84)/Constants!$H$41</f>
        <v>192842184.58287063</v>
      </c>
      <c r="AU85" s="22">
        <f>SUM(AU82:AU84)/Constants!$H$41</f>
        <v>193524850.40551373</v>
      </c>
      <c r="AV85" s="22">
        <f>SUM(AV82:AV84)/Constants!$H$41</f>
        <v>194159001.32989231</v>
      </c>
      <c r="AW85" s="22">
        <f>SUM(AW82:AW84)/Constants!$H$41</f>
        <v>194798809.29750669</v>
      </c>
      <c r="AX85" s="22">
        <f>SUM(AX82:AX84)/Constants!$H$41</f>
        <v>195543328.98893598</v>
      </c>
      <c r="AY85" s="22">
        <f>SUM(AY82:AY84)/Constants!$H$41</f>
        <v>196329313.99826372</v>
      </c>
      <c r="AZ85" s="22">
        <f>SUM(AZ82:AZ84)/Constants!$H$41</f>
        <v>197125213.49282694</v>
      </c>
      <c r="BA85" s="22">
        <f>SUM(BA82:BA84)/Constants!$H$41</f>
        <v>197283165.32422814</v>
      </c>
      <c r="BB85" s="22">
        <f>SUM(BB82:BB84)/Constants!$H$41</f>
        <v>131645381.12189738</v>
      </c>
      <c r="BC85" s="22">
        <f>SUM(BC82:BC84)/Constants!$H$41</f>
        <v>131529257.50448583</v>
      </c>
      <c r="BD85" s="22">
        <f>SUM(BD82:BD84)/Constants!$H$41</f>
        <v>131411911.49712759</v>
      </c>
      <c r="BE85" s="22">
        <f>SUM(BE82:BE84)/Constants!$H$41</f>
        <v>131293326.25984366</v>
      </c>
      <c r="BF85" s="22">
        <f>SUM(BF82:BF84)/Constants!$H$41</f>
        <v>131173484.63591012</v>
      </c>
      <c r="BG85" s="22">
        <f>SUM(BG82:BG84)/Constants!$H$41</f>
        <v>131052369.14395276</v>
      </c>
      <c r="BH85" s="22">
        <f>SUM(BH82:BH84)/Constants!$H$41</f>
        <v>130948550.82752837</v>
      </c>
      <c r="BI85" s="22">
        <f>SUM(BI82:BI84)/Constants!$H$41</f>
        <v>130843790.77403991</v>
      </c>
      <c r="BJ85" s="22">
        <f>SUM(BJ82:BJ84)/Constants!$H$41</f>
        <v>130738077.7152961</v>
      </c>
      <c r="BK85" s="22">
        <f>SUM(BK82:BK84)/Constants!$H$41</f>
        <v>130631400.19824553</v>
      </c>
      <c r="BL85" s="22">
        <f>SUM(BL82:BL84)/Constants!$H$41</f>
        <v>130523746.58095077</v>
      </c>
      <c r="BM85" s="22">
        <f>SUM(BM82:BM84)/Constants!$H$41</f>
        <v>130434476.26699252</v>
      </c>
      <c r="BN85" s="22">
        <f>SUM(BN82:BN84)/Constants!$H$41</f>
        <v>130344531.14994584</v>
      </c>
      <c r="BO85" s="22">
        <f>SUM(BO82:BO84)/Constants!$H$41</f>
        <v>130253904.4561373</v>
      </c>
      <c r="BP85" s="22">
        <f>SUM(BP82:BP84)/Constants!$H$41</f>
        <v>130162589.3183571</v>
      </c>
    </row>
    <row r="86" spans="1:72" ht="18.75" customHeight="1" x14ac:dyDescent="0.25">
      <c r="A86" s="20" t="s">
        <v>60</v>
      </c>
      <c r="B86" s="20"/>
      <c r="C86" s="20"/>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c r="BA86" s="15"/>
      <c r="BB86" s="15"/>
      <c r="BC86" s="15"/>
      <c r="BD86" s="15"/>
      <c r="BE86" s="15"/>
      <c r="BF86" s="15"/>
      <c r="BG86" s="15"/>
      <c r="BH86" s="15"/>
      <c r="BI86" s="15"/>
      <c r="BJ86" s="15"/>
      <c r="BK86" s="15"/>
      <c r="BL86" s="15"/>
      <c r="BM86" s="15"/>
      <c r="BN86" s="15"/>
      <c r="BO86" s="15"/>
      <c r="BP86" s="15"/>
      <c r="BQ86" s="23"/>
      <c r="BS86" s="16"/>
      <c r="BT86" s="15"/>
    </row>
    <row r="87" spans="1:72" x14ac:dyDescent="0.25">
      <c r="A87" t="str">
        <f>'IPCC Categories'!A59</f>
        <v>3C Aggregated and non-CO2 emissions on land</v>
      </c>
      <c r="B87" t="str">
        <f>'IPCC Categories'!B73</f>
        <v>3C4 Direct N2O from managed soils (N2O)</v>
      </c>
      <c r="C87" t="s">
        <v>60</v>
      </c>
      <c r="D87" t="s">
        <v>718</v>
      </c>
      <c r="F87" t="s">
        <v>719</v>
      </c>
      <c r="H87" s="81" t="s">
        <v>720</v>
      </c>
      <c r="I87" s="81" t="s">
        <v>720</v>
      </c>
      <c r="J87" s="81" t="s">
        <v>720</v>
      </c>
      <c r="K87" s="81" t="s">
        <v>720</v>
      </c>
      <c r="L87" s="81" t="s">
        <v>720</v>
      </c>
      <c r="M87" s="81" t="s">
        <v>720</v>
      </c>
      <c r="N87" s="81" t="s">
        <v>720</v>
      </c>
      <c r="O87" s="81" t="s">
        <v>720</v>
      </c>
      <c r="P87" s="81" t="s">
        <v>720</v>
      </c>
      <c r="Q87" s="81" t="s">
        <v>720</v>
      </c>
      <c r="R87" s="81" t="s">
        <v>720</v>
      </c>
      <c r="S87" s="81" t="s">
        <v>720</v>
      </c>
      <c r="T87" s="81" t="s">
        <v>720</v>
      </c>
      <c r="U87" s="81" t="s">
        <v>720</v>
      </c>
      <c r="V87" s="81" t="s">
        <v>720</v>
      </c>
      <c r="W87" s="81" t="s">
        <v>720</v>
      </c>
      <c r="X87" s="81" t="s">
        <v>720</v>
      </c>
      <c r="Y87" s="81" t="s">
        <v>720</v>
      </c>
      <c r="Z87" s="81" t="s">
        <v>720</v>
      </c>
      <c r="AA87" s="81" t="s">
        <v>720</v>
      </c>
      <c r="AB87" s="43" t="s">
        <v>720</v>
      </c>
      <c r="AC87" s="43" t="s">
        <v>720</v>
      </c>
      <c r="AD87" s="93" t="str">
        <f>IF('[3]Mitigation summary'!G11*CO2toC*Ggtot&gt;0,'[3]Mitigation summary'!G11*CO2toC*Ggtot,"NO")</f>
        <v>NO</v>
      </c>
      <c r="AE87" s="93" t="str">
        <f>IF('[3]Mitigation summary'!H11*CO2toC*Ggtot&gt;0,'[3]Mitigation summary'!H11*CO2toC*Ggtot,"NO")</f>
        <v>NO</v>
      </c>
      <c r="AF87" s="93" t="str">
        <f>IF('[3]Mitigation summary'!I11*CO2toC*Ggtot&gt;0,'[3]Mitigation summary'!I11*CO2toC*Ggtot,"NO")</f>
        <v>NO</v>
      </c>
      <c r="AG87" s="93" t="str">
        <f>IF('[3]Mitigation summary'!J11*CO2toC*Ggtot&gt;0,'[3]Mitigation summary'!J11*CO2toC*Ggtot,"NO")</f>
        <v>NO</v>
      </c>
      <c r="AH87" s="93" t="str">
        <f>IF('[3]Mitigation summary'!K11*CO2toC*Ggtot&gt;0,'[3]Mitigation summary'!K11*CO2toC*Ggtot,"NO")</f>
        <v>NO</v>
      </c>
      <c r="AI87" s="93" t="str">
        <f>IF('[3]Mitigation summary'!L11*CO2toC*Ggtot&gt;0,'[3]Mitigation summary'!L11*CO2toC*Ggtot,"NO")</f>
        <v>NO</v>
      </c>
      <c r="AJ87" s="93" t="str">
        <f>IF('[3]Mitigation summary'!M11*CO2toC*Ggtot&gt;0,'[3]Mitigation summary'!M11*CO2toC*Ggtot,"NO")</f>
        <v>NO</v>
      </c>
      <c r="AK87" s="93" t="str">
        <f>IF('[3]Mitigation summary'!N11*CO2toC*Ggtot&gt;0,'[3]Mitigation summary'!N11*CO2toC*Ggtot,"NO")</f>
        <v>NO</v>
      </c>
      <c r="AL87" s="93" t="str">
        <f>IF('[3]Mitigation summary'!O11*CO2toC*Ggtot&gt;0,'[3]Mitigation summary'!O11*CO2toC*Ggtot,"NO")</f>
        <v>NO</v>
      </c>
      <c r="AM87" s="93" t="str">
        <f>IF('[3]Mitigation summary'!P11*CO2toC*Ggtot&gt;0,'[3]Mitigation summary'!P11*CO2toC*Ggtot,"NO")</f>
        <v>NO</v>
      </c>
      <c r="AN87" s="93" t="str">
        <f>IF('[3]Mitigation summary'!Q11*CO2toC*Ggtot&gt;0,'[3]Mitigation summary'!Q11*CO2toC*Ggtot,"NO")</f>
        <v>NO</v>
      </c>
      <c r="AO87" s="93" t="str">
        <f>IF('[3]Mitigation summary'!R11*CO2toC*Ggtot&gt;0,'[3]Mitigation summary'!R11*CO2toC*Ggtot,"NO")</f>
        <v>NO</v>
      </c>
      <c r="AP87" s="93" t="str">
        <f>IF('[3]Mitigation summary'!S11*CO2toC*Ggtot&gt;0,'[3]Mitigation summary'!S11*CO2toC*Ggtot,"NO")</f>
        <v>NO</v>
      </c>
      <c r="AQ87" s="93" t="str">
        <f>IF('[3]Mitigation summary'!T11*CO2toC*Ggtot&gt;0,'[3]Mitigation summary'!T11*CO2toC*Ggtot,"NO")</f>
        <v>NO</v>
      </c>
      <c r="AR87" s="93" t="str">
        <f>IF('[3]Mitigation summary'!U11*CO2toC*Ggtot&gt;0,'[3]Mitigation summary'!U11*CO2toC*Ggtot,"NO")</f>
        <v>NO</v>
      </c>
      <c r="AS87" s="93" t="str">
        <f>IF('[3]Mitigation summary'!V11*CO2toC*Ggtot&gt;0,'[3]Mitigation summary'!V11*CO2toC*Ggtot,"NO")</f>
        <v>NO</v>
      </c>
      <c r="AT87" s="93" t="str">
        <f>IF('[3]Mitigation summary'!W11*CO2toC*Ggtot&gt;0,'[3]Mitigation summary'!W11*CO2toC*Ggtot,"NO")</f>
        <v>NO</v>
      </c>
      <c r="AU87" s="93" t="str">
        <f>IF('[3]Mitigation summary'!X11*CO2toC*Ggtot&gt;0,'[3]Mitigation summary'!X11*CO2toC*Ggtot,"NO")</f>
        <v>NO</v>
      </c>
      <c r="AV87" s="93" t="str">
        <f>IF('[3]Mitigation summary'!Y11*CO2toC*Ggtot&gt;0,'[3]Mitigation summary'!Y11*CO2toC*Ggtot,"NO")</f>
        <v>NO</v>
      </c>
      <c r="AW87" s="93" t="str">
        <f>IF('[3]Mitigation summary'!Z11*CO2toC*Ggtot&gt;0,'[3]Mitigation summary'!Z11*CO2toC*Ggtot,"NO")</f>
        <v>NO</v>
      </c>
      <c r="AX87" s="93" t="str">
        <f>IF('[3]Mitigation summary'!AA11*CO2toC*Ggtot&gt;0,'[3]Mitigation summary'!AA11*CO2toC*Ggtot,"NO")</f>
        <v>NO</v>
      </c>
      <c r="AY87" s="93" t="str">
        <f>IF('[3]Mitigation summary'!AB11*CO2toC*Ggtot&gt;0,'[3]Mitigation summary'!AB11*CO2toC*Ggtot,"NO")</f>
        <v>NO</v>
      </c>
      <c r="AZ87" s="93" t="str">
        <f>IF('[3]Mitigation summary'!AC11*CO2toC*Ggtot&gt;0,'[3]Mitigation summary'!AC11*CO2toC*Ggtot,"NO")</f>
        <v>NO</v>
      </c>
      <c r="BA87" s="93" t="str">
        <f>IF('[3]Mitigation summary'!AD11*CO2toC*Ggtot&gt;0,'[3]Mitigation summary'!AD11*CO2toC*Ggtot,"NO")</f>
        <v>NO</v>
      </c>
      <c r="BB87" s="93" t="str">
        <f>IF('[3]Mitigation summary'!AE11*CO2toC*Ggtot&gt;0,'[3]Mitigation summary'!AE11*CO2toC*Ggtot,"NO")</f>
        <v>NO</v>
      </c>
      <c r="BC87" s="93" t="str">
        <f>IF('[3]Mitigation summary'!AF11*CO2toC*Ggtot&gt;0,'[3]Mitigation summary'!AF11*CO2toC*Ggtot,"NO")</f>
        <v>NO</v>
      </c>
      <c r="BD87" s="93" t="str">
        <f>IF('[3]Mitigation summary'!AG11*CO2toC*Ggtot&gt;0,'[3]Mitigation summary'!AG11*CO2toC*Ggtot,"NO")</f>
        <v>NO</v>
      </c>
      <c r="BE87" s="93" t="str">
        <f>IF('[3]Mitigation summary'!AH11*CO2toC*Ggtot&gt;0,'[3]Mitigation summary'!AH11*CO2toC*Ggtot,"NO")</f>
        <v>NO</v>
      </c>
      <c r="BF87" s="93" t="str">
        <f>IF('[3]Mitigation summary'!AI11*CO2toC*Ggtot&gt;0,'[3]Mitigation summary'!AI11*CO2toC*Ggtot,"NO")</f>
        <v>NO</v>
      </c>
      <c r="BG87" s="93" t="str">
        <f>IF('[3]Mitigation summary'!AJ11*CO2toC*Ggtot&gt;0,'[3]Mitigation summary'!AJ11*CO2toC*Ggtot,"NO")</f>
        <v>NO</v>
      </c>
      <c r="BH87" s="93" t="str">
        <f>IF('[3]Mitigation summary'!AK11*CO2toC*Ggtot&gt;0,'[3]Mitigation summary'!AK11*CO2toC*Ggtot,"NO")</f>
        <v>NO</v>
      </c>
      <c r="BI87" s="93" t="str">
        <f>IF('[3]Mitigation summary'!AL11*CO2toC*Ggtot&gt;0,'[3]Mitigation summary'!AL11*CO2toC*Ggtot,"NO")</f>
        <v>NO</v>
      </c>
      <c r="BJ87" s="93" t="str">
        <f>IF('[3]Mitigation summary'!AM11*CO2toC*Ggtot&gt;0,'[3]Mitigation summary'!AM11*CO2toC*Ggtot,"NO")</f>
        <v>NO</v>
      </c>
      <c r="BK87" s="93" t="str">
        <f>IF('[3]Mitigation summary'!AN11*CO2toC*Ggtot&gt;0,'[3]Mitigation summary'!AN11*CO2toC*Ggtot,"NO")</f>
        <v>NO</v>
      </c>
      <c r="BL87" s="93" t="str">
        <f>IF('[3]Mitigation summary'!AO11*CO2toC*Ggtot&gt;0,'[3]Mitigation summary'!AO11*CO2toC*Ggtot,"NO")</f>
        <v>NO</v>
      </c>
      <c r="BM87" s="93" t="str">
        <f>IF('[3]Mitigation summary'!AP11*CO2toC*Ggtot&gt;0,'[3]Mitigation summary'!AP11*CO2toC*Ggtot,"NO")</f>
        <v>NO</v>
      </c>
      <c r="BN87" s="93" t="str">
        <f>IF('[3]Mitigation summary'!AQ11*CO2toC*Ggtot&gt;0,'[3]Mitigation summary'!AQ11*CO2toC*Ggtot,"NO")</f>
        <v>NO</v>
      </c>
      <c r="BO87" s="93" t="str">
        <f>IF('[3]Mitigation summary'!AR11*CO2toC*Ggtot&gt;0,'[3]Mitigation summary'!AR11*CO2toC*Ggtot,"NO")</f>
        <v>NO</v>
      </c>
      <c r="BP87" s="93" t="str">
        <f>IF('[3]Mitigation summary'!AS11*CO2toC*Ggtot&gt;0,'[3]Mitigation summary'!AS11*CO2toC*Ggtot,"NO")</f>
        <v>NO</v>
      </c>
      <c r="BQ87" s="80"/>
    </row>
    <row r="88" spans="1:72" x14ac:dyDescent="0.25">
      <c r="C88" t="s">
        <v>60</v>
      </c>
      <c r="D88" t="s">
        <v>101</v>
      </c>
      <c r="F88" t="s">
        <v>719</v>
      </c>
      <c r="H88" s="21" t="s">
        <v>720</v>
      </c>
      <c r="I88" s="21" t="s">
        <v>720</v>
      </c>
      <c r="J88" s="21" t="s">
        <v>720</v>
      </c>
      <c r="K88" s="21" t="s">
        <v>720</v>
      </c>
      <c r="L88" s="21" t="s">
        <v>720</v>
      </c>
      <c r="M88" s="21" t="s">
        <v>720</v>
      </c>
      <c r="N88" s="21" t="s">
        <v>720</v>
      </c>
      <c r="O88" s="21" t="s">
        <v>720</v>
      </c>
      <c r="P88" s="21" t="s">
        <v>720</v>
      </c>
      <c r="Q88" s="21" t="s">
        <v>720</v>
      </c>
      <c r="R88" s="21" t="s">
        <v>720</v>
      </c>
      <c r="S88" s="21" t="s">
        <v>720</v>
      </c>
      <c r="T88" s="21" t="s">
        <v>720</v>
      </c>
      <c r="U88" s="21" t="s">
        <v>720</v>
      </c>
      <c r="V88" s="21" t="s">
        <v>720</v>
      </c>
      <c r="W88" s="21" t="s">
        <v>720</v>
      </c>
      <c r="X88" s="21" t="s">
        <v>720</v>
      </c>
      <c r="Y88" s="21" t="s">
        <v>720</v>
      </c>
      <c r="Z88" s="21" t="s">
        <v>720</v>
      </c>
      <c r="AA88" s="21" t="s">
        <v>720</v>
      </c>
      <c r="AB88" s="43" t="s">
        <v>720</v>
      </c>
      <c r="AC88" s="43" t="s">
        <v>720</v>
      </c>
      <c r="AD88" s="93" t="str">
        <f>IF('[3]Mitigation summary'!G16*CO2toC*Ggtot&gt;0,'[3]Mitigation summary'!G16*CO2toC*Ggtot,"NO")</f>
        <v>NO</v>
      </c>
      <c r="AE88" s="93" t="str">
        <f>IF('[3]Mitigation summary'!H16*CO2toC*Ggtot&gt;0,'[3]Mitigation summary'!H16*CO2toC*Ggtot,"NO")</f>
        <v>NO</v>
      </c>
      <c r="AF88" s="93" t="str">
        <f>IF('[3]Mitigation summary'!I16*CO2toC*Ggtot&gt;0,'[3]Mitigation summary'!I16*CO2toC*Ggtot,"NO")</f>
        <v>NO</v>
      </c>
      <c r="AG88" s="93" t="str">
        <f>IF('[3]Mitigation summary'!J16*CO2toC*Ggtot&gt;0,'[3]Mitigation summary'!J16*CO2toC*Ggtot,"NO")</f>
        <v>NO</v>
      </c>
      <c r="AH88" s="93" t="str">
        <f>IF('[3]Mitigation summary'!K16*CO2toC*Ggtot&gt;0,'[3]Mitigation summary'!K16*CO2toC*Ggtot,"NO")</f>
        <v>NO</v>
      </c>
      <c r="AI88" s="93" t="str">
        <f>IF('[3]Mitigation summary'!L16*CO2toC*Ggtot&gt;0,'[3]Mitigation summary'!L16*CO2toC*Ggtot,"NO")</f>
        <v>NO</v>
      </c>
      <c r="AJ88" s="93" t="str">
        <f>IF('[3]Mitigation summary'!M16*CO2toC*Ggtot&gt;0,'[3]Mitigation summary'!M16*CO2toC*Ggtot,"NO")</f>
        <v>NO</v>
      </c>
      <c r="AK88" s="93" t="str">
        <f>IF('[3]Mitigation summary'!N16*CO2toC*Ggtot&gt;0,'[3]Mitigation summary'!N16*CO2toC*Ggtot,"NO")</f>
        <v>NO</v>
      </c>
      <c r="AL88" s="93" t="str">
        <f>IF('[3]Mitigation summary'!O16*CO2toC*Ggtot&gt;0,'[3]Mitigation summary'!O16*CO2toC*Ggtot,"NO")</f>
        <v>NO</v>
      </c>
      <c r="AM88" s="93" t="str">
        <f>IF('[3]Mitigation summary'!P16*CO2toC*Ggtot&gt;0,'[3]Mitigation summary'!P16*CO2toC*Ggtot,"NO")</f>
        <v>NO</v>
      </c>
      <c r="AN88" s="93" t="str">
        <f>IF('[3]Mitigation summary'!Q16*CO2toC*Ggtot&gt;0,'[3]Mitigation summary'!Q16*CO2toC*Ggtot,"NO")</f>
        <v>NO</v>
      </c>
      <c r="AO88" s="93" t="str">
        <f>IF('[3]Mitigation summary'!R16*CO2toC*Ggtot&gt;0,'[3]Mitigation summary'!R16*CO2toC*Ggtot,"NO")</f>
        <v>NO</v>
      </c>
      <c r="AP88" s="93" t="str">
        <f>IF('[3]Mitigation summary'!S16*CO2toC*Ggtot&gt;0,'[3]Mitigation summary'!S16*CO2toC*Ggtot,"NO")</f>
        <v>NO</v>
      </c>
      <c r="AQ88" s="93" t="str">
        <f>IF('[3]Mitigation summary'!T16*CO2toC*Ggtot&gt;0,'[3]Mitigation summary'!T16*CO2toC*Ggtot,"NO")</f>
        <v>NO</v>
      </c>
      <c r="AR88" s="93" t="str">
        <f>IF('[3]Mitigation summary'!U16*CO2toC*Ggtot&gt;0,'[3]Mitigation summary'!U16*CO2toC*Ggtot,"NO")</f>
        <v>NO</v>
      </c>
      <c r="AS88" s="93" t="str">
        <f>IF('[3]Mitigation summary'!V16*CO2toC*Ggtot&gt;0,'[3]Mitigation summary'!V16*CO2toC*Ggtot,"NO")</f>
        <v>NO</v>
      </c>
      <c r="AT88" s="93" t="str">
        <f>IF('[3]Mitigation summary'!W16*CO2toC*Ggtot&gt;0,'[3]Mitigation summary'!W16*CO2toC*Ggtot,"NO")</f>
        <v>NO</v>
      </c>
      <c r="AU88" s="93" t="str">
        <f>IF('[3]Mitigation summary'!X16*CO2toC*Ggtot&gt;0,'[3]Mitigation summary'!X16*CO2toC*Ggtot,"NO")</f>
        <v>NO</v>
      </c>
      <c r="AV88" s="93" t="str">
        <f>IF('[3]Mitigation summary'!Y16*CO2toC*Ggtot&gt;0,'[3]Mitigation summary'!Y16*CO2toC*Ggtot,"NO")</f>
        <v>NO</v>
      </c>
      <c r="AW88" s="93" t="str">
        <f>IF('[3]Mitigation summary'!Z16*CO2toC*Ggtot&gt;0,'[3]Mitigation summary'!Z16*CO2toC*Ggtot,"NO")</f>
        <v>NO</v>
      </c>
      <c r="AX88" s="93" t="str">
        <f>IF('[3]Mitigation summary'!AA16*CO2toC*Ggtot&gt;0,'[3]Mitigation summary'!AA16*CO2toC*Ggtot,"NO")</f>
        <v>NO</v>
      </c>
      <c r="AY88" s="93" t="str">
        <f>IF('[3]Mitigation summary'!AB16*CO2toC*Ggtot&gt;0,'[3]Mitigation summary'!AB16*CO2toC*Ggtot,"NO")</f>
        <v>NO</v>
      </c>
      <c r="AZ88" s="93" t="str">
        <f>IF('[3]Mitigation summary'!AC16*CO2toC*Ggtot&gt;0,'[3]Mitigation summary'!AC16*CO2toC*Ggtot,"NO")</f>
        <v>NO</v>
      </c>
      <c r="BA88" s="93" t="str">
        <f>IF('[3]Mitigation summary'!AD16*CO2toC*Ggtot&gt;0,'[3]Mitigation summary'!AD16*CO2toC*Ggtot,"NO")</f>
        <v>NO</v>
      </c>
      <c r="BB88" s="93" t="str">
        <f>IF('[3]Mitigation summary'!AE16*CO2toC*Ggtot&gt;0,'[3]Mitigation summary'!AE16*CO2toC*Ggtot,"NO")</f>
        <v>NO</v>
      </c>
      <c r="BC88" s="93" t="str">
        <f>IF('[3]Mitigation summary'!AF16*CO2toC*Ggtot&gt;0,'[3]Mitigation summary'!AF16*CO2toC*Ggtot,"NO")</f>
        <v>NO</v>
      </c>
      <c r="BD88" s="93" t="str">
        <f>IF('[3]Mitigation summary'!AG16*CO2toC*Ggtot&gt;0,'[3]Mitigation summary'!AG16*CO2toC*Ggtot,"NO")</f>
        <v>NO</v>
      </c>
      <c r="BE88" s="93" t="str">
        <f>IF('[3]Mitigation summary'!AH16*CO2toC*Ggtot&gt;0,'[3]Mitigation summary'!AH16*CO2toC*Ggtot,"NO")</f>
        <v>NO</v>
      </c>
      <c r="BF88" s="93" t="str">
        <f>IF('[3]Mitigation summary'!AI16*CO2toC*Ggtot&gt;0,'[3]Mitigation summary'!AI16*CO2toC*Ggtot,"NO")</f>
        <v>NO</v>
      </c>
      <c r="BG88" s="93" t="str">
        <f>IF('[3]Mitigation summary'!AJ16*CO2toC*Ggtot&gt;0,'[3]Mitigation summary'!AJ16*CO2toC*Ggtot,"NO")</f>
        <v>NO</v>
      </c>
      <c r="BH88" s="93" t="str">
        <f>IF('[3]Mitigation summary'!AK16*CO2toC*Ggtot&gt;0,'[3]Mitigation summary'!AK16*CO2toC*Ggtot,"NO")</f>
        <v>NO</v>
      </c>
      <c r="BI88" s="93" t="str">
        <f>IF('[3]Mitigation summary'!AL16*CO2toC*Ggtot&gt;0,'[3]Mitigation summary'!AL16*CO2toC*Ggtot,"NO")</f>
        <v>NO</v>
      </c>
      <c r="BJ88" s="93" t="str">
        <f>IF('[3]Mitigation summary'!AM16*CO2toC*Ggtot&gt;0,'[3]Mitigation summary'!AM16*CO2toC*Ggtot,"NO")</f>
        <v>NO</v>
      </c>
      <c r="BK88" s="93" t="str">
        <f>IF('[3]Mitigation summary'!AN16*CO2toC*Ggtot&gt;0,'[3]Mitigation summary'!AN16*CO2toC*Ggtot,"NO")</f>
        <v>NO</v>
      </c>
      <c r="BL88" s="93" t="str">
        <f>IF('[3]Mitigation summary'!AO16*CO2toC*Ggtot&gt;0,'[3]Mitigation summary'!AO16*CO2toC*Ggtot,"NO")</f>
        <v>NO</v>
      </c>
      <c r="BM88" s="93" t="str">
        <f>IF('[3]Mitigation summary'!AP16*CO2toC*Ggtot&gt;0,'[3]Mitigation summary'!AP16*CO2toC*Ggtot,"NO")</f>
        <v>NO</v>
      </c>
      <c r="BN88" s="93" t="str">
        <f>IF('[3]Mitigation summary'!AQ16*CO2toC*Ggtot&gt;0,'[3]Mitigation summary'!AQ16*CO2toC*Ggtot,"NO")</f>
        <v>NO</v>
      </c>
      <c r="BO88" s="93" t="str">
        <f>IF('[3]Mitigation summary'!AR16*CO2toC*Ggtot&gt;0,'[3]Mitigation summary'!AR16*CO2toC*Ggtot,"NO")</f>
        <v>NO</v>
      </c>
      <c r="BP88" s="93" t="str">
        <f>IF('[3]Mitigation summary'!AS16*CO2toC*Ggtot&gt;0,'[3]Mitigation summary'!AS16*CO2toC*Ggtot,"NO")</f>
        <v>NO</v>
      </c>
      <c r="BQ88" s="80"/>
    </row>
    <row r="89" spans="1:72" x14ac:dyDescent="0.25">
      <c r="A89" t="str">
        <f>A87</f>
        <v>3C Aggregated and non-CO2 emissions on land</v>
      </c>
      <c r="B89" t="str">
        <f>B87</f>
        <v>3C4 Direct N2O from managed soils (N2O)</v>
      </c>
      <c r="C89" t="s">
        <v>60</v>
      </c>
      <c r="D89" t="s">
        <v>102</v>
      </c>
      <c r="F89" t="s">
        <v>719</v>
      </c>
      <c r="H89" s="21" t="s">
        <v>720</v>
      </c>
      <c r="I89" s="21">
        <v>423.91166750554424</v>
      </c>
      <c r="J89" s="21">
        <v>423.91166750554424</v>
      </c>
      <c r="K89" s="21">
        <v>423.91166750554424</v>
      </c>
      <c r="L89" s="21">
        <v>423.91166750554424</v>
      </c>
      <c r="M89" s="21">
        <v>423.91166750554424</v>
      </c>
      <c r="N89" s="21">
        <v>423.91166750554424</v>
      </c>
      <c r="O89" s="21">
        <v>423.91166750554424</v>
      </c>
      <c r="P89" s="21">
        <v>423.91166750554424</v>
      </c>
      <c r="Q89" s="21">
        <v>423.91166750554424</v>
      </c>
      <c r="R89" s="21">
        <v>423.91166750554424</v>
      </c>
      <c r="S89" s="21">
        <v>423.91166750554424</v>
      </c>
      <c r="T89" s="21">
        <v>423.91166750554424</v>
      </c>
      <c r="U89" s="21">
        <v>423.91166750554424</v>
      </c>
      <c r="V89" s="21">
        <v>423.91166750554424</v>
      </c>
      <c r="W89" s="21">
        <v>423.91166750554424</v>
      </c>
      <c r="X89" s="21">
        <v>423.91166750554424</v>
      </c>
      <c r="Y89" s="21">
        <v>423.91166750554424</v>
      </c>
      <c r="Z89" s="21">
        <v>423.91166750554424</v>
      </c>
      <c r="AA89" s="21">
        <v>423.91166750554424</v>
      </c>
      <c r="AB89" s="43">
        <v>423.91166750554424</v>
      </c>
      <c r="AC89" s="43">
        <v>423.91166750554424</v>
      </c>
      <c r="AD89" s="93">
        <f>IF('[3]Mitigation summary'!G24*CO2toC*Ggtot&gt;0,'[3]Mitigation summary'!G24*CO2toC*Ggtot,"NO")</f>
        <v>3283.5231445314134</v>
      </c>
      <c r="AE89" s="93">
        <f>IF('[3]Mitigation summary'!H24*CO2toC*Ggtot&gt;0,'[3]Mitigation summary'!H24*CO2toC*Ggtot,"NO")</f>
        <v>3279.6568877269606</v>
      </c>
      <c r="AF89" s="93">
        <f>IF('[3]Mitigation summary'!I24*CO2toC*Ggtot&gt;0,'[3]Mitigation summary'!I24*CO2toC*Ggtot,"NO")</f>
        <v>3275.7906309225073</v>
      </c>
      <c r="AG89" s="93">
        <f>IF('[3]Mitigation summary'!J24*CO2toC*Ggtot&gt;0,'[3]Mitigation summary'!J24*CO2toC*Ggtot,"NO")</f>
        <v>3271.9243741180535</v>
      </c>
      <c r="AH89" s="93">
        <f>IF('[3]Mitigation summary'!K24*CO2toC*Ggtot&gt;0,'[3]Mitigation summary'!K24*CO2toC*Ggtot,"NO")</f>
        <v>3268.0581173136006</v>
      </c>
      <c r="AI89" s="93">
        <f>IF('[3]Mitigation summary'!L24*CO2toC*Ggtot&gt;0,'[3]Mitigation summary'!L24*CO2toC*Ggtot,"NO")</f>
        <v>3264.1918605091473</v>
      </c>
      <c r="AJ89" s="93">
        <f>IF('[3]Mitigation summary'!M24*CO2toC*Ggtot&gt;0,'[3]Mitigation summary'!M24*CO2toC*Ggtot,"NO")</f>
        <v>3260.325603704694</v>
      </c>
      <c r="AK89" s="93">
        <f>IF('[3]Mitigation summary'!N24*CO2toC*Ggtot&gt;0,'[3]Mitigation summary'!N24*CO2toC*Ggtot,"NO")</f>
        <v>3256.4593469002416</v>
      </c>
      <c r="AL89" s="93">
        <f>IF('[3]Mitigation summary'!O24*CO2toC*Ggtot&gt;0,'[3]Mitigation summary'!O24*CO2toC*Ggtot,"NO")</f>
        <v>3252.5930900957883</v>
      </c>
      <c r="AM89" s="93">
        <f>IF('[3]Mitigation summary'!P24*CO2toC*Ggtot&gt;0,'[3]Mitigation summary'!P24*CO2toC*Ggtot,"NO")</f>
        <v>3248.7268332913354</v>
      </c>
      <c r="AN89" s="93">
        <f>IF('[3]Mitigation summary'!Q24*CO2toC*Ggtot&gt;0,'[3]Mitigation summary'!Q24*CO2toC*Ggtot,"NO")</f>
        <v>3244.8605764868817</v>
      </c>
      <c r="AO89" s="93">
        <f>IF('[3]Mitigation summary'!R24*CO2toC*Ggtot&gt;0,'[3]Mitigation summary'!R24*CO2toC*Ggtot,"NO")</f>
        <v>3240.9943196824288</v>
      </c>
      <c r="AP89" s="93">
        <f>IF('[3]Mitigation summary'!S24*CO2toC*Ggtot&gt;0,'[3]Mitigation summary'!S24*CO2toC*Ggtot,"NO")</f>
        <v>3237.1280628779759</v>
      </c>
      <c r="AQ89" s="93">
        <f>IF('[3]Mitigation summary'!T24*CO2toC*Ggtot&gt;0,'[3]Mitigation summary'!T24*CO2toC*Ggtot,"NO")</f>
        <v>3233.2618060735231</v>
      </c>
      <c r="AR89" s="93">
        <f>IF('[3]Mitigation summary'!U24*CO2toC*Ggtot&gt;0,'[3]Mitigation summary'!U24*CO2toC*Ggtot,"NO")</f>
        <v>3229.3955492690707</v>
      </c>
      <c r="AS89" s="93">
        <f>IF('[3]Mitigation summary'!V24*CO2toC*Ggtot&gt;0,'[3]Mitigation summary'!V24*CO2toC*Ggtot,"NO")</f>
        <v>3225.5292924646164</v>
      </c>
      <c r="AT89" s="93">
        <f>IF('[3]Mitigation summary'!W24*CO2toC*Ggtot&gt;0,'[3]Mitigation summary'!W24*CO2toC*Ggtot,"NO")</f>
        <v>3221.6630356601645</v>
      </c>
      <c r="AU89" s="93">
        <f>IF('[3]Mitigation summary'!X24*CO2toC*Ggtot&gt;0,'[3]Mitigation summary'!X24*CO2toC*Ggtot,"NO")</f>
        <v>3217.7967788557107</v>
      </c>
      <c r="AV89" s="93">
        <f>IF('[3]Mitigation summary'!Y24*CO2toC*Ggtot&gt;0,'[3]Mitigation summary'!Y24*CO2toC*Ggtot,"NO")</f>
        <v>3213.9305220512579</v>
      </c>
      <c r="AW89" s="93">
        <f>IF('[3]Mitigation summary'!Z24*CO2toC*Ggtot&gt;0,'[3]Mitigation summary'!Z24*CO2toC*Ggtot,"NO")</f>
        <v>3210.0642652468041</v>
      </c>
      <c r="AX89" s="93">
        <f>IF('[3]Mitigation summary'!AA24*CO2toC*Ggtot&gt;0,'[3]Mitigation summary'!AA24*CO2toC*Ggtot,"NO")</f>
        <v>3206.1980084423521</v>
      </c>
      <c r="AY89" s="93">
        <f>IF('[3]Mitigation summary'!AB24*CO2toC*Ggtot&gt;0,'[3]Mitigation summary'!AB24*CO2toC*Ggtot,"NO")</f>
        <v>3202.3317516378988</v>
      </c>
      <c r="AZ89" s="93">
        <f>IF('[3]Mitigation summary'!AC24*CO2toC*Ggtot&gt;0,'[3]Mitigation summary'!AC24*CO2toC*Ggtot,"NO")</f>
        <v>3198.4654948334455</v>
      </c>
      <c r="BA89" s="93">
        <f>IF('[3]Mitigation summary'!AD24*CO2toC*Ggtot&gt;0,'[3]Mitigation summary'!AD24*CO2toC*Ggtot,"NO")</f>
        <v>3194.5992380289917</v>
      </c>
      <c r="BB89" s="93">
        <f>IF('[3]Mitigation summary'!AE24*CO2toC*Ggtot&gt;0,'[3]Mitigation summary'!AE24*CO2toC*Ggtot,"NO")</f>
        <v>3190.7329812245389</v>
      </c>
      <c r="BC89" s="93">
        <f>IF('[3]Mitigation summary'!AF24*CO2toC*Ggtot&gt;0,'[3]Mitigation summary'!AF24*CO2toC*Ggtot,"NO")</f>
        <v>3186.866724420086</v>
      </c>
      <c r="BD89" s="93">
        <f>IF('[3]Mitigation summary'!AG24*CO2toC*Ggtot&gt;0,'[3]Mitigation summary'!AG24*CO2toC*Ggtot,"NO")</f>
        <v>3183.0004676156332</v>
      </c>
      <c r="BE89" s="93">
        <f>IF('[3]Mitigation summary'!AH24*CO2toC*Ggtot&gt;0,'[3]Mitigation summary'!AH24*CO2toC*Ggtot,"NO")</f>
        <v>3179.1342108111803</v>
      </c>
      <c r="BF89" s="93">
        <f>IF('[3]Mitigation summary'!AI24*CO2toC*Ggtot&gt;0,'[3]Mitigation summary'!AI24*CO2toC*Ggtot,"NO")</f>
        <v>3175.2679540067279</v>
      </c>
      <c r="BG89" s="93">
        <f>IF('[3]Mitigation summary'!AJ24*CO2toC*Ggtot&gt;0,'[3]Mitigation summary'!AJ24*CO2toC*Ggtot,"NO")</f>
        <v>3171.4016972022737</v>
      </c>
      <c r="BH89" s="93">
        <f>IF('[3]Mitigation summary'!AK24*CO2toC*Ggtot&gt;0,'[3]Mitigation summary'!AK24*CO2toC*Ggtot,"NO")</f>
        <v>3167.5354403978208</v>
      </c>
      <c r="BI89" s="93">
        <f>IF('[3]Mitigation summary'!AL24*CO2toC*Ggtot&gt;0,'[3]Mitigation summary'!AL24*CO2toC*Ggtot,"NO")</f>
        <v>3163.669183593368</v>
      </c>
      <c r="BJ89" s="93">
        <f>IF('[3]Mitigation summary'!AM24*CO2toC*Ggtot&gt;0,'[3]Mitigation summary'!AM24*CO2toC*Ggtot,"NO")</f>
        <v>3159.802926788916</v>
      </c>
      <c r="BK89" s="93">
        <f>IF('[3]Mitigation summary'!AN24*CO2toC*Ggtot&gt;0,'[3]Mitigation summary'!AN24*CO2toC*Ggtot,"NO")</f>
        <v>3155.9366699844613</v>
      </c>
      <c r="BL89" s="93">
        <f>IF('[3]Mitigation summary'!AO24*CO2toC*Ggtot&gt;0,'[3]Mitigation summary'!AO24*CO2toC*Ggtot,"NO")</f>
        <v>3152.0704131800094</v>
      </c>
      <c r="BM89" s="93">
        <f>IF('[3]Mitigation summary'!AP24*CO2toC*Ggtot&gt;0,'[3]Mitigation summary'!AP24*CO2toC*Ggtot,"NO")</f>
        <v>3148.2041563755556</v>
      </c>
      <c r="BN89" s="93">
        <f>IF('[3]Mitigation summary'!AQ24*CO2toC*Ggtot&gt;0,'[3]Mitigation summary'!AQ24*CO2toC*Ggtot,"NO")</f>
        <v>3144.3378995711018</v>
      </c>
      <c r="BO89" s="93">
        <f>IF('[3]Mitigation summary'!AR24*CO2toC*Ggtot&gt;0,'[3]Mitigation summary'!AR24*CO2toC*Ggtot,"NO")</f>
        <v>3140.471642766649</v>
      </c>
      <c r="BP89" s="93">
        <f>IF('[3]Mitigation summary'!AS24*CO2toC*Ggtot&gt;0,'[3]Mitigation summary'!AS24*CO2toC*Ggtot,"NO")</f>
        <v>3136.6053859621961</v>
      </c>
      <c r="BQ89" s="80"/>
    </row>
    <row r="90" spans="1:72" x14ac:dyDescent="0.25">
      <c r="C90" t="s">
        <v>60</v>
      </c>
      <c r="D90" t="s">
        <v>103</v>
      </c>
      <c r="F90" t="s">
        <v>719</v>
      </c>
      <c r="H90" s="21" t="s">
        <v>720</v>
      </c>
      <c r="I90" s="21">
        <v>44225.892697537653</v>
      </c>
      <c r="J90" s="21">
        <v>44225.892697537653</v>
      </c>
      <c r="K90" s="21">
        <v>44225.892697537653</v>
      </c>
      <c r="L90" s="21">
        <v>44225.892697537653</v>
      </c>
      <c r="M90" s="21">
        <v>44225.892697537653</v>
      </c>
      <c r="N90" s="21">
        <v>44225.892697537653</v>
      </c>
      <c r="O90" s="21">
        <v>44225.892697537653</v>
      </c>
      <c r="P90" s="21">
        <v>44225.892697537653</v>
      </c>
      <c r="Q90" s="21">
        <v>44225.892697537653</v>
      </c>
      <c r="R90" s="21">
        <v>44225.892697537653</v>
      </c>
      <c r="S90" s="21">
        <v>44225.892697537653</v>
      </c>
      <c r="T90" s="21">
        <v>44225.892697537653</v>
      </c>
      <c r="U90" s="21">
        <v>44225.892697537653</v>
      </c>
      <c r="V90" s="21">
        <v>44225.892697537653</v>
      </c>
      <c r="W90" s="21">
        <v>44225.892697537653</v>
      </c>
      <c r="X90" s="21">
        <v>44225.892697537653</v>
      </c>
      <c r="Y90" s="21">
        <v>44225.892697537653</v>
      </c>
      <c r="Z90" s="21">
        <v>44225.892697537653</v>
      </c>
      <c r="AA90" s="21">
        <v>44225.892697537653</v>
      </c>
      <c r="AB90" s="43">
        <v>44225.892697537653</v>
      </c>
      <c r="AC90" s="43">
        <v>44225.892697537653</v>
      </c>
      <c r="AD90" s="93">
        <f>IF('[3]Mitigation summary'!G29*CO2toC*Ggtot&gt;0,'[3]Mitigation summary'!G29*CO2toC*Ggtot,"NO")</f>
        <v>467927.3506762968</v>
      </c>
      <c r="AE90" s="93">
        <f>IF('[3]Mitigation summary'!H29*CO2toC*Ggtot&gt;0,'[3]Mitigation summary'!H29*CO2toC*Ggtot,"NO")</f>
        <v>469011.62465508078</v>
      </c>
      <c r="AF90" s="93">
        <f>IF('[3]Mitigation summary'!I29*CO2toC*Ggtot&gt;0,'[3]Mitigation summary'!I29*CO2toC*Ggtot,"NO")</f>
        <v>470095.89863386494</v>
      </c>
      <c r="AG90" s="93">
        <f>IF('[3]Mitigation summary'!J29*CO2toC*Ggtot&gt;0,'[3]Mitigation summary'!J29*CO2toC*Ggtot,"NO")</f>
        <v>471180.17261264892</v>
      </c>
      <c r="AH90" s="93">
        <f>IF('[3]Mitigation summary'!K29*CO2toC*Ggtot&gt;0,'[3]Mitigation summary'!K29*CO2toC*Ggtot,"NO")</f>
        <v>472264.44659143296</v>
      </c>
      <c r="AI90" s="93">
        <f>IF('[3]Mitigation summary'!L29*CO2toC*Ggtot&gt;0,'[3]Mitigation summary'!L29*CO2toC*Ggtot,"NO")</f>
        <v>473348.72057021694</v>
      </c>
      <c r="AJ90" s="93">
        <f>IF('[3]Mitigation summary'!M29*CO2toC*Ggtot&gt;0,'[3]Mitigation summary'!M29*CO2toC*Ggtot,"NO")</f>
        <v>474432.9945490011</v>
      </c>
      <c r="AK90" s="93">
        <f>IF('[3]Mitigation summary'!N29*CO2toC*Ggtot&gt;0,'[3]Mitigation summary'!N29*CO2toC*Ggtot,"NO")</f>
        <v>475517.26852778508</v>
      </c>
      <c r="AL90" s="93">
        <f>IF('[3]Mitigation summary'!O29*CO2toC*Ggtot&gt;0,'[3]Mitigation summary'!O29*CO2toC*Ggtot,"NO")</f>
        <v>476601.54250656907</v>
      </c>
      <c r="AM90" s="93">
        <f>IF('[3]Mitigation summary'!P29*CO2toC*Ggtot&gt;0,'[3]Mitigation summary'!P29*CO2toC*Ggtot,"NO")</f>
        <v>477685.81648535322</v>
      </c>
      <c r="AN90" s="93">
        <f>IF('[3]Mitigation summary'!Q29*CO2toC*Ggtot&gt;0,'[3]Mitigation summary'!Q29*CO2toC*Ggtot,"NO")</f>
        <v>478770.09046413715</v>
      </c>
      <c r="AO90" s="93">
        <f>IF('[3]Mitigation summary'!R29*CO2toC*Ggtot&gt;0,'[3]Mitigation summary'!R29*CO2toC*Ggtot,"NO")</f>
        <v>479854.36444292124</v>
      </c>
      <c r="AP90" s="93">
        <f>IF('[3]Mitigation summary'!S29*CO2toC*Ggtot&gt;0,'[3]Mitigation summary'!S29*CO2toC*Ggtot,"NO")</f>
        <v>480938.63842170528</v>
      </c>
      <c r="AQ90" s="93">
        <f>IF('[3]Mitigation summary'!T29*CO2toC*Ggtot&gt;0,'[3]Mitigation summary'!T29*CO2toC*Ggtot,"NO")</f>
        <v>482022.91240048944</v>
      </c>
      <c r="AR90" s="93">
        <f>IF('[3]Mitigation summary'!U29*CO2toC*Ggtot&gt;0,'[3]Mitigation summary'!U29*CO2toC*Ggtot,"NO")</f>
        <v>483107.18637927336</v>
      </c>
      <c r="AS90" s="93">
        <f>IF('[3]Mitigation summary'!V29*CO2toC*Ggtot&gt;0,'[3]Mitigation summary'!V29*CO2toC*Ggtot,"NO")</f>
        <v>484191.46035805752</v>
      </c>
      <c r="AT90" s="93">
        <f>IF('[3]Mitigation summary'!W29*CO2toC*Ggtot&gt;0,'[3]Mitigation summary'!W29*CO2toC*Ggtot,"NO")</f>
        <v>485275.73433684139</v>
      </c>
      <c r="AU90" s="93">
        <f>IF('[3]Mitigation summary'!X29*CO2toC*Ggtot&gt;0,'[3]Mitigation summary'!X29*CO2toC*Ggtot,"NO")</f>
        <v>486360.00831562548</v>
      </c>
      <c r="AV90" s="93">
        <f>IF('[3]Mitigation summary'!Y29*CO2toC*Ggtot&gt;0,'[3]Mitigation summary'!Y29*CO2toC*Ggtot,"NO")</f>
        <v>487444.28229440958</v>
      </c>
      <c r="AW90" s="93">
        <f>IF('[3]Mitigation summary'!Z29*CO2toC*Ggtot&gt;0,'[3]Mitigation summary'!Z29*CO2toC*Ggtot,"NO")</f>
        <v>488528.55627319368</v>
      </c>
      <c r="AX90" s="93">
        <f>IF('[3]Mitigation summary'!AA29*CO2toC*Ggtot&gt;0,'[3]Mitigation summary'!AA29*CO2toC*Ggtot,"NO")</f>
        <v>489612.83025197766</v>
      </c>
      <c r="AY90" s="93">
        <f>IF('[3]Mitigation summary'!AB29*CO2toC*Ggtot&gt;0,'[3]Mitigation summary'!AB29*CO2toC*Ggtot,"NO")</f>
        <v>490697.1042307617</v>
      </c>
      <c r="AZ90" s="93">
        <f>IF('[3]Mitigation summary'!AC29*CO2toC*Ggtot&gt;0,'[3]Mitigation summary'!AC29*CO2toC*Ggtot,"NO")</f>
        <v>491781.3782095458</v>
      </c>
      <c r="BA90" s="93">
        <f>IF('[3]Mitigation summary'!AD29*CO2toC*Ggtot&gt;0,'[3]Mitigation summary'!AD29*CO2toC*Ggtot,"NO")</f>
        <v>492865.65218832978</v>
      </c>
      <c r="BB90" s="93">
        <f>IF('[3]Mitigation summary'!AE29*CO2toC*Ggtot&gt;0,'[3]Mitigation summary'!AE29*CO2toC*Ggtot,"NO")</f>
        <v>493949.92616711388</v>
      </c>
      <c r="BC90" s="93">
        <f>IF('[3]Mitigation summary'!AF29*CO2toC*Ggtot&gt;0,'[3]Mitigation summary'!AF29*CO2toC*Ggtot,"NO")</f>
        <v>495034.20014589792</v>
      </c>
      <c r="BD90" s="93">
        <f>IF('[3]Mitigation summary'!AG29*CO2toC*Ggtot&gt;0,'[3]Mitigation summary'!AG29*CO2toC*Ggtot,"NO")</f>
        <v>496118.4741246819</v>
      </c>
      <c r="BE90" s="93">
        <f>IF('[3]Mitigation summary'!AH29*CO2toC*Ggtot&gt;0,'[3]Mitigation summary'!AH29*CO2toC*Ggtot,"NO")</f>
        <v>497202.74810346606</v>
      </c>
      <c r="BF90" s="93">
        <f>IF('[3]Mitigation summary'!AI29*CO2toC*Ggtot&gt;0,'[3]Mitigation summary'!AI29*CO2toC*Ggtot,"NO")</f>
        <v>498287.02208225004</v>
      </c>
      <c r="BG90" s="93">
        <f>IF('[3]Mitigation summary'!AJ29*CO2toC*Ggtot&gt;0,'[3]Mitigation summary'!AJ29*CO2toC*Ggtot,"NO")</f>
        <v>499371.29606103408</v>
      </c>
      <c r="BH90" s="93">
        <f>IF('[3]Mitigation summary'!AK29*CO2toC*Ggtot&gt;0,'[3]Mitigation summary'!AK29*CO2toC*Ggtot,"NO")</f>
        <v>500455.57003981812</v>
      </c>
      <c r="BI90" s="93">
        <f>IF('[3]Mitigation summary'!AL29*CO2toC*Ggtot&gt;0,'[3]Mitigation summary'!AL29*CO2toC*Ggtot,"NO")</f>
        <v>501539.84401860222</v>
      </c>
      <c r="BJ90" s="93">
        <f>IF('[3]Mitigation summary'!AM29*CO2toC*Ggtot&gt;0,'[3]Mitigation summary'!AM29*CO2toC*Ggtot,"NO")</f>
        <v>502624.1179973862</v>
      </c>
      <c r="BK90" s="93">
        <f>IF('[3]Mitigation summary'!AN29*CO2toC*Ggtot&gt;0,'[3]Mitigation summary'!AN29*CO2toC*Ggtot,"NO")</f>
        <v>503708.39197617036</v>
      </c>
      <c r="BL90" s="93">
        <f>IF('[3]Mitigation summary'!AO29*CO2toC*Ggtot&gt;0,'[3]Mitigation summary'!AO29*CO2toC*Ggtot,"NO")</f>
        <v>504792.66595495434</v>
      </c>
      <c r="BM90" s="93">
        <f>IF('[3]Mitigation summary'!AP29*CO2toC*Ggtot&gt;0,'[3]Mitigation summary'!AP29*CO2toC*Ggtot,"NO")</f>
        <v>505876.93993373832</v>
      </c>
      <c r="BN90" s="93">
        <f>IF('[3]Mitigation summary'!AQ29*CO2toC*Ggtot&gt;0,'[3]Mitigation summary'!AQ29*CO2toC*Ggtot,"NO")</f>
        <v>506961.21391252236</v>
      </c>
      <c r="BO90" s="93">
        <f>IF('[3]Mitigation summary'!AR29*CO2toC*Ggtot&gt;0,'[3]Mitigation summary'!AR29*CO2toC*Ggtot,"NO")</f>
        <v>508045.4878913064</v>
      </c>
      <c r="BP90" s="93">
        <f>IF('[3]Mitigation summary'!AS29*CO2toC*Ggtot&gt;0,'[3]Mitigation summary'!AS29*CO2toC*Ggtot,"NO")</f>
        <v>509129.7618700905</v>
      </c>
      <c r="BQ90" s="80"/>
    </row>
    <row r="91" spans="1:72" x14ac:dyDescent="0.25">
      <c r="A91" t="str">
        <f>A87</f>
        <v>3C Aggregated and non-CO2 emissions on land</v>
      </c>
      <c r="B91" t="str">
        <f>B87</f>
        <v>3C4 Direct N2O from managed soils (N2O)</v>
      </c>
      <c r="C91" t="s">
        <v>60</v>
      </c>
      <c r="D91" t="s">
        <v>104</v>
      </c>
      <c r="F91" t="s">
        <v>719</v>
      </c>
      <c r="H91" s="21" t="s">
        <v>720</v>
      </c>
      <c r="I91" s="21">
        <v>48695.832223383841</v>
      </c>
      <c r="J91" s="21">
        <v>48695.832223383841</v>
      </c>
      <c r="K91" s="21">
        <v>48695.832223383841</v>
      </c>
      <c r="L91" s="21">
        <v>48695.832223383841</v>
      </c>
      <c r="M91" s="21">
        <v>48695.832223383841</v>
      </c>
      <c r="N91" s="21">
        <v>48695.832223383841</v>
      </c>
      <c r="O91" s="21">
        <v>48695.832223383841</v>
      </c>
      <c r="P91" s="21">
        <v>48695.832223383841</v>
      </c>
      <c r="Q91" s="21">
        <v>48695.832223383841</v>
      </c>
      <c r="R91" s="21">
        <v>48695.832223383841</v>
      </c>
      <c r="S91" s="21">
        <v>48695.832223383841</v>
      </c>
      <c r="T91" s="21">
        <v>48695.832223383841</v>
      </c>
      <c r="U91" s="21">
        <v>48695.832223383841</v>
      </c>
      <c r="V91" s="21">
        <v>48695.832223383841</v>
      </c>
      <c r="W91" s="21">
        <v>48695.832223383841</v>
      </c>
      <c r="X91" s="21">
        <v>48695.832223383841</v>
      </c>
      <c r="Y91" s="21">
        <v>48695.832223383841</v>
      </c>
      <c r="Z91" s="21">
        <v>48695.832223383841</v>
      </c>
      <c r="AA91" s="21">
        <v>48695.832223383841</v>
      </c>
      <c r="AB91" s="43">
        <v>48695.832223383841</v>
      </c>
      <c r="AC91" s="43">
        <v>48695.832223383841</v>
      </c>
      <c r="AD91" s="93">
        <f>IF('[3]Mitigation summary'!G37*CO2toC*Ggtot&gt;0,'[3]Mitigation summary'!G37*CO2toC*Ggtot,"NO")</f>
        <v>549791.65413497901</v>
      </c>
      <c r="AE91" s="93">
        <f>IF('[3]Mitigation summary'!H37*CO2toC*Ggtot&gt;0,'[3]Mitigation summary'!H37*CO2toC*Ggtot,"NO")</f>
        <v>549791.65413497901</v>
      </c>
      <c r="AF91" s="93">
        <f>IF('[3]Mitigation summary'!I37*CO2toC*Ggtot&gt;0,'[3]Mitigation summary'!I37*CO2toC*Ggtot,"NO")</f>
        <v>549791.65413497901</v>
      </c>
      <c r="AG91" s="93">
        <f>IF('[3]Mitigation summary'!J37*CO2toC*Ggtot&gt;0,'[3]Mitigation summary'!J37*CO2toC*Ggtot,"NO")</f>
        <v>549791.65413497901</v>
      </c>
      <c r="AH91" s="93">
        <f>IF('[3]Mitigation summary'!K37*CO2toC*Ggtot&gt;0,'[3]Mitigation summary'!K37*CO2toC*Ggtot,"NO")</f>
        <v>549791.65413497901</v>
      </c>
      <c r="AI91" s="93">
        <f>IF('[3]Mitigation summary'!L37*CO2toC*Ggtot&gt;0,'[3]Mitigation summary'!L37*CO2toC*Ggtot,"NO")</f>
        <v>549791.65413497901</v>
      </c>
      <c r="AJ91" s="93">
        <f>IF('[3]Mitigation summary'!M37*CO2toC*Ggtot&gt;0,'[3]Mitigation summary'!M37*CO2toC*Ggtot,"NO")</f>
        <v>549791.65413497901</v>
      </c>
      <c r="AK91" s="93">
        <f>IF('[3]Mitigation summary'!N37*CO2toC*Ggtot&gt;0,'[3]Mitigation summary'!N37*CO2toC*Ggtot,"NO")</f>
        <v>549791.65413497901</v>
      </c>
      <c r="AL91" s="93">
        <f>IF('[3]Mitigation summary'!O37*CO2toC*Ggtot&gt;0,'[3]Mitigation summary'!O37*CO2toC*Ggtot,"NO")</f>
        <v>549791.65413497901</v>
      </c>
      <c r="AM91" s="93">
        <f>IF('[3]Mitigation summary'!P37*CO2toC*Ggtot&gt;0,'[3]Mitigation summary'!P37*CO2toC*Ggtot,"NO")</f>
        <v>549791.65413497901</v>
      </c>
      <c r="AN91" s="93">
        <f>IF('[3]Mitigation summary'!Q37*CO2toC*Ggtot&gt;0,'[3]Mitigation summary'!Q37*CO2toC*Ggtot,"NO")</f>
        <v>549791.65413497901</v>
      </c>
      <c r="AO91" s="93">
        <f>IF('[3]Mitigation summary'!R37*CO2toC*Ggtot&gt;0,'[3]Mitigation summary'!R37*CO2toC*Ggtot,"NO")</f>
        <v>549791.65413497901</v>
      </c>
      <c r="AP91" s="93">
        <f>IF('[3]Mitigation summary'!S37*CO2toC*Ggtot&gt;0,'[3]Mitigation summary'!S37*CO2toC*Ggtot,"NO")</f>
        <v>549791.65413497901</v>
      </c>
      <c r="AQ91" s="93">
        <f>IF('[3]Mitigation summary'!T37*CO2toC*Ggtot&gt;0,'[3]Mitigation summary'!T37*CO2toC*Ggtot,"NO")</f>
        <v>549791.65413497901</v>
      </c>
      <c r="AR91" s="93">
        <f>IF('[3]Mitigation summary'!U37*CO2toC*Ggtot&gt;0,'[3]Mitigation summary'!U37*CO2toC*Ggtot,"NO")</f>
        <v>549791.65413497901</v>
      </c>
      <c r="AS91" s="93">
        <f>IF('[3]Mitigation summary'!V37*CO2toC*Ggtot&gt;0,'[3]Mitigation summary'!V37*CO2toC*Ggtot,"NO")</f>
        <v>549791.65413497901</v>
      </c>
      <c r="AT91" s="93">
        <f>IF('[3]Mitigation summary'!W37*CO2toC*Ggtot&gt;0,'[3]Mitigation summary'!W37*CO2toC*Ggtot,"NO")</f>
        <v>549791.65413497901</v>
      </c>
      <c r="AU91" s="93">
        <f>IF('[3]Mitigation summary'!X37*CO2toC*Ggtot&gt;0,'[3]Mitigation summary'!X37*CO2toC*Ggtot,"NO")</f>
        <v>549791.65413497901</v>
      </c>
      <c r="AV91" s="93">
        <f>IF('[3]Mitigation summary'!Y37*CO2toC*Ggtot&gt;0,'[3]Mitigation summary'!Y37*CO2toC*Ggtot,"NO")</f>
        <v>549791.65413497901</v>
      </c>
      <c r="AW91" s="93">
        <f>IF('[3]Mitigation summary'!Z37*CO2toC*Ggtot&gt;0,'[3]Mitigation summary'!Z37*CO2toC*Ggtot,"NO")</f>
        <v>549791.65413497901</v>
      </c>
      <c r="AX91" s="93">
        <f>IF('[3]Mitigation summary'!AA37*CO2toC*Ggtot&gt;0,'[3]Mitigation summary'!AA37*CO2toC*Ggtot,"NO")</f>
        <v>549791.65413497901</v>
      </c>
      <c r="AY91" s="93">
        <f>IF('[3]Mitigation summary'!AB37*CO2toC*Ggtot&gt;0,'[3]Mitigation summary'!AB37*CO2toC*Ggtot,"NO")</f>
        <v>549791.65413497901</v>
      </c>
      <c r="AZ91" s="93">
        <f>IF('[3]Mitigation summary'!AC37*CO2toC*Ggtot&gt;0,'[3]Mitigation summary'!AC37*CO2toC*Ggtot,"NO")</f>
        <v>549791.65413497901</v>
      </c>
      <c r="BA91" s="93">
        <f>IF('[3]Mitigation summary'!AD37*CO2toC*Ggtot&gt;0,'[3]Mitigation summary'!AD37*CO2toC*Ggtot,"NO")</f>
        <v>549791.65413497901</v>
      </c>
      <c r="BB91" s="93">
        <f>IF('[3]Mitigation summary'!AE37*CO2toC*Ggtot&gt;0,'[3]Mitigation summary'!AE37*CO2toC*Ggtot,"NO")</f>
        <v>549791.65413497901</v>
      </c>
      <c r="BC91" s="93">
        <f>IF('[3]Mitigation summary'!AF37*CO2toC*Ggtot&gt;0,'[3]Mitigation summary'!AF37*CO2toC*Ggtot,"NO")</f>
        <v>549791.65413497901</v>
      </c>
      <c r="BD91" s="93">
        <f>IF('[3]Mitigation summary'!AG37*CO2toC*Ggtot&gt;0,'[3]Mitigation summary'!AG37*CO2toC*Ggtot,"NO")</f>
        <v>549791.65413497901</v>
      </c>
      <c r="BE91" s="93">
        <f>IF('[3]Mitigation summary'!AH37*CO2toC*Ggtot&gt;0,'[3]Mitigation summary'!AH37*CO2toC*Ggtot,"NO")</f>
        <v>549791.65413497901</v>
      </c>
      <c r="BF91" s="93">
        <f>IF('[3]Mitigation summary'!AI37*CO2toC*Ggtot&gt;0,'[3]Mitigation summary'!AI37*CO2toC*Ggtot,"NO")</f>
        <v>549791.65413497901</v>
      </c>
      <c r="BG91" s="93">
        <f>IF('[3]Mitigation summary'!AJ37*CO2toC*Ggtot&gt;0,'[3]Mitigation summary'!AJ37*CO2toC*Ggtot,"NO")</f>
        <v>549791.65413497901</v>
      </c>
      <c r="BH91" s="93">
        <f>IF('[3]Mitigation summary'!AK37*CO2toC*Ggtot&gt;0,'[3]Mitigation summary'!AK37*CO2toC*Ggtot,"NO")</f>
        <v>549791.65413497901</v>
      </c>
      <c r="BI91" s="93">
        <f>IF('[3]Mitigation summary'!AL37*CO2toC*Ggtot&gt;0,'[3]Mitigation summary'!AL37*CO2toC*Ggtot,"NO")</f>
        <v>549791.65413497901</v>
      </c>
      <c r="BJ91" s="93">
        <f>IF('[3]Mitigation summary'!AM37*CO2toC*Ggtot&gt;0,'[3]Mitigation summary'!AM37*CO2toC*Ggtot,"NO")</f>
        <v>549791.65413497901</v>
      </c>
      <c r="BK91" s="93">
        <f>IF('[3]Mitigation summary'!AN37*CO2toC*Ggtot&gt;0,'[3]Mitigation summary'!AN37*CO2toC*Ggtot,"NO")</f>
        <v>549791.65413497901</v>
      </c>
      <c r="BL91" s="93">
        <f>IF('[3]Mitigation summary'!AO37*CO2toC*Ggtot&gt;0,'[3]Mitigation summary'!AO37*CO2toC*Ggtot,"NO")</f>
        <v>549791.65413497901</v>
      </c>
      <c r="BM91" s="93">
        <f>IF('[3]Mitigation summary'!AP37*CO2toC*Ggtot&gt;0,'[3]Mitigation summary'!AP37*CO2toC*Ggtot,"NO")</f>
        <v>549791.65413497901</v>
      </c>
      <c r="BN91" s="93">
        <f>IF('[3]Mitigation summary'!AQ37*CO2toC*Ggtot&gt;0,'[3]Mitigation summary'!AQ37*CO2toC*Ggtot,"NO")</f>
        <v>549791.65413497901</v>
      </c>
      <c r="BO91" s="93">
        <f>IF('[3]Mitigation summary'!AR37*CO2toC*Ggtot&gt;0,'[3]Mitigation summary'!AR37*CO2toC*Ggtot,"NO")</f>
        <v>549791.65413497901</v>
      </c>
      <c r="BP91" s="93">
        <f>IF('[3]Mitigation summary'!AS37*CO2toC*Ggtot&gt;0,'[3]Mitigation summary'!AS37*CO2toC*Ggtot,"NO")</f>
        <v>549791.65413497901</v>
      </c>
      <c r="BQ91" s="80"/>
    </row>
    <row r="92" spans="1:72" x14ac:dyDescent="0.25">
      <c r="C92" t="s">
        <v>60</v>
      </c>
      <c r="D92" t="s">
        <v>105</v>
      </c>
      <c r="F92" t="s">
        <v>719</v>
      </c>
      <c r="H92" s="21">
        <v>0</v>
      </c>
      <c r="I92" s="21">
        <v>543.68882579109982</v>
      </c>
      <c r="J92" s="21">
        <v>543.68882579109982</v>
      </c>
      <c r="K92" s="21">
        <v>543.68882579109982</v>
      </c>
      <c r="L92" s="21">
        <v>543.68882579109982</v>
      </c>
      <c r="M92" s="21">
        <v>543.68882579109982</v>
      </c>
      <c r="N92" s="21">
        <v>543.68882579109982</v>
      </c>
      <c r="O92" s="21">
        <v>543.68882579109982</v>
      </c>
      <c r="P92" s="21">
        <v>543.68882579109982</v>
      </c>
      <c r="Q92" s="21">
        <v>543.68882579109982</v>
      </c>
      <c r="R92" s="21">
        <v>543.68882579109982</v>
      </c>
      <c r="S92" s="21">
        <v>543.68882579109982</v>
      </c>
      <c r="T92" s="21">
        <v>543.68882579109982</v>
      </c>
      <c r="U92" s="21">
        <v>543.68882579109982</v>
      </c>
      <c r="V92" s="21">
        <v>543.68882579109982</v>
      </c>
      <c r="W92" s="21">
        <v>543.68882579109982</v>
      </c>
      <c r="X92" s="21">
        <v>543.68882579109982</v>
      </c>
      <c r="Y92" s="21">
        <v>543.68882579109982</v>
      </c>
      <c r="Z92" s="21">
        <v>543.68882579109982</v>
      </c>
      <c r="AA92" s="21">
        <v>543.68882579109982</v>
      </c>
      <c r="AB92" s="43">
        <v>543.68882579109982</v>
      </c>
      <c r="AC92" s="43">
        <v>543.68882579109982</v>
      </c>
      <c r="AD92" s="93" t="str">
        <f>IF('[3]Mitigation summary'!G42*CO2toC*Ggtot&gt;0,'[3]Mitigation summary'!G42*CO2toC*Ggtot,"NO")</f>
        <v>NO</v>
      </c>
      <c r="AE92" s="93" t="str">
        <f>IF('[3]Mitigation summary'!H42*CO2toC*Ggtot&gt;0,'[3]Mitigation summary'!H42*CO2toC*Ggtot,"NO")</f>
        <v>NO</v>
      </c>
      <c r="AF92" s="93" t="str">
        <f>IF('[3]Mitigation summary'!I42*CO2toC*Ggtot&gt;0,'[3]Mitigation summary'!I42*CO2toC*Ggtot,"NO")</f>
        <v>NO</v>
      </c>
      <c r="AG92" s="93" t="str">
        <f>IF('[3]Mitigation summary'!J42*CO2toC*Ggtot&gt;0,'[3]Mitigation summary'!J42*CO2toC*Ggtot,"NO")</f>
        <v>NO</v>
      </c>
      <c r="AH92" s="93" t="str">
        <f>IF('[3]Mitigation summary'!K42*CO2toC*Ggtot&gt;0,'[3]Mitigation summary'!K42*CO2toC*Ggtot,"NO")</f>
        <v>NO</v>
      </c>
      <c r="AI92" s="93" t="str">
        <f>IF('[3]Mitigation summary'!L42*CO2toC*Ggtot&gt;0,'[3]Mitigation summary'!L42*CO2toC*Ggtot,"NO")</f>
        <v>NO</v>
      </c>
      <c r="AJ92" s="93" t="str">
        <f>IF('[3]Mitigation summary'!M42*CO2toC*Ggtot&gt;0,'[3]Mitigation summary'!M42*CO2toC*Ggtot,"NO")</f>
        <v>NO</v>
      </c>
      <c r="AK92" s="93" t="str">
        <f>IF('[3]Mitigation summary'!N42*CO2toC*Ggtot&gt;0,'[3]Mitigation summary'!N42*CO2toC*Ggtot,"NO")</f>
        <v>NO</v>
      </c>
      <c r="AL92" s="93" t="str">
        <f>IF('[3]Mitigation summary'!O42*CO2toC*Ggtot&gt;0,'[3]Mitigation summary'!O42*CO2toC*Ggtot,"NO")</f>
        <v>NO</v>
      </c>
      <c r="AM92" s="93" t="str">
        <f>IF('[3]Mitigation summary'!P42*CO2toC*Ggtot&gt;0,'[3]Mitigation summary'!P42*CO2toC*Ggtot,"NO")</f>
        <v>NO</v>
      </c>
      <c r="AN92" s="93" t="str">
        <f>IF('[3]Mitigation summary'!Q42*CO2toC*Ggtot&gt;0,'[3]Mitigation summary'!Q42*CO2toC*Ggtot,"NO")</f>
        <v>NO</v>
      </c>
      <c r="AO92" s="93" t="str">
        <f>IF('[3]Mitigation summary'!R42*CO2toC*Ggtot&gt;0,'[3]Mitigation summary'!R42*CO2toC*Ggtot,"NO")</f>
        <v>NO</v>
      </c>
      <c r="AP92" s="93" t="str">
        <f>IF('[3]Mitigation summary'!S42*CO2toC*Ggtot&gt;0,'[3]Mitigation summary'!S42*CO2toC*Ggtot,"NO")</f>
        <v>NO</v>
      </c>
      <c r="AQ92" s="93" t="str">
        <f>IF('[3]Mitigation summary'!T42*CO2toC*Ggtot&gt;0,'[3]Mitigation summary'!T42*CO2toC*Ggtot,"NO")</f>
        <v>NO</v>
      </c>
      <c r="AR92" s="93" t="str">
        <f>IF('[3]Mitigation summary'!U42*CO2toC*Ggtot&gt;0,'[3]Mitigation summary'!U42*CO2toC*Ggtot,"NO")</f>
        <v>NO</v>
      </c>
      <c r="AS92" s="93" t="str">
        <f>IF('[3]Mitigation summary'!V42*CO2toC*Ggtot&gt;0,'[3]Mitigation summary'!V42*CO2toC*Ggtot,"NO")</f>
        <v>NO</v>
      </c>
      <c r="AT92" s="93" t="str">
        <f>IF('[3]Mitigation summary'!W42*CO2toC*Ggtot&gt;0,'[3]Mitigation summary'!W42*CO2toC*Ggtot,"NO")</f>
        <v>NO</v>
      </c>
      <c r="AU92" s="93" t="str">
        <f>IF('[3]Mitigation summary'!X42*CO2toC*Ggtot&gt;0,'[3]Mitigation summary'!X42*CO2toC*Ggtot,"NO")</f>
        <v>NO</v>
      </c>
      <c r="AV92" s="93" t="str">
        <f>IF('[3]Mitigation summary'!Y42*CO2toC*Ggtot&gt;0,'[3]Mitigation summary'!Y42*CO2toC*Ggtot,"NO")</f>
        <v>NO</v>
      </c>
      <c r="AW92" s="93" t="str">
        <f>IF('[3]Mitigation summary'!Z42*CO2toC*Ggtot&gt;0,'[3]Mitigation summary'!Z42*CO2toC*Ggtot,"NO")</f>
        <v>NO</v>
      </c>
      <c r="AX92" s="93" t="str">
        <f>IF('[3]Mitigation summary'!AA42*CO2toC*Ggtot&gt;0,'[3]Mitigation summary'!AA42*CO2toC*Ggtot,"NO")</f>
        <v>NO</v>
      </c>
      <c r="AY92" s="93" t="str">
        <f>IF('[3]Mitigation summary'!AB42*CO2toC*Ggtot&gt;0,'[3]Mitigation summary'!AB42*CO2toC*Ggtot,"NO")</f>
        <v>NO</v>
      </c>
      <c r="AZ92" s="93" t="str">
        <f>IF('[3]Mitigation summary'!AC42*CO2toC*Ggtot&gt;0,'[3]Mitigation summary'!AC42*CO2toC*Ggtot,"NO")</f>
        <v>NO</v>
      </c>
      <c r="BA92" s="93" t="str">
        <f>IF('[3]Mitigation summary'!AD42*CO2toC*Ggtot&gt;0,'[3]Mitigation summary'!AD42*CO2toC*Ggtot,"NO")</f>
        <v>NO</v>
      </c>
      <c r="BB92" s="93" t="str">
        <f>IF('[3]Mitigation summary'!AE42*CO2toC*Ggtot&gt;0,'[3]Mitigation summary'!AE42*CO2toC*Ggtot,"NO")</f>
        <v>NO</v>
      </c>
      <c r="BC92" s="93" t="str">
        <f>IF('[3]Mitigation summary'!AF42*CO2toC*Ggtot&gt;0,'[3]Mitigation summary'!AF42*CO2toC*Ggtot,"NO")</f>
        <v>NO</v>
      </c>
      <c r="BD92" s="93" t="str">
        <f>IF('[3]Mitigation summary'!AG42*CO2toC*Ggtot&gt;0,'[3]Mitigation summary'!AG42*CO2toC*Ggtot,"NO")</f>
        <v>NO</v>
      </c>
      <c r="BE92" s="93" t="str">
        <f>IF('[3]Mitigation summary'!AH42*CO2toC*Ggtot&gt;0,'[3]Mitigation summary'!AH42*CO2toC*Ggtot,"NO")</f>
        <v>NO</v>
      </c>
      <c r="BF92" s="93" t="str">
        <f>IF('[3]Mitigation summary'!AI42*CO2toC*Ggtot&gt;0,'[3]Mitigation summary'!AI42*CO2toC*Ggtot,"NO")</f>
        <v>NO</v>
      </c>
      <c r="BG92" s="93" t="str">
        <f>IF('[3]Mitigation summary'!AJ42*CO2toC*Ggtot&gt;0,'[3]Mitigation summary'!AJ42*CO2toC*Ggtot,"NO")</f>
        <v>NO</v>
      </c>
      <c r="BH92" s="93" t="str">
        <f>IF('[3]Mitigation summary'!AK42*CO2toC*Ggtot&gt;0,'[3]Mitigation summary'!AK42*CO2toC*Ggtot,"NO")</f>
        <v>NO</v>
      </c>
      <c r="BI92" s="93" t="str">
        <f>IF('[3]Mitigation summary'!AL42*CO2toC*Ggtot&gt;0,'[3]Mitigation summary'!AL42*CO2toC*Ggtot,"NO")</f>
        <v>NO</v>
      </c>
      <c r="BJ92" s="93" t="str">
        <f>IF('[3]Mitigation summary'!AM42*CO2toC*Ggtot&gt;0,'[3]Mitigation summary'!AM42*CO2toC*Ggtot,"NO")</f>
        <v>NO</v>
      </c>
      <c r="BK92" s="93" t="str">
        <f>IF('[3]Mitigation summary'!AN42*CO2toC*Ggtot&gt;0,'[3]Mitigation summary'!AN42*CO2toC*Ggtot,"NO")</f>
        <v>NO</v>
      </c>
      <c r="BL92" s="93" t="str">
        <f>IF('[3]Mitigation summary'!AO42*CO2toC*Ggtot&gt;0,'[3]Mitigation summary'!AO42*CO2toC*Ggtot,"NO")</f>
        <v>NO</v>
      </c>
      <c r="BM92" s="93" t="str">
        <f>IF('[3]Mitigation summary'!AP42*CO2toC*Ggtot&gt;0,'[3]Mitigation summary'!AP42*CO2toC*Ggtot,"NO")</f>
        <v>NO</v>
      </c>
      <c r="BN92" s="93" t="str">
        <f>IF('[3]Mitigation summary'!AQ42*CO2toC*Ggtot&gt;0,'[3]Mitigation summary'!AQ42*CO2toC*Ggtot,"NO")</f>
        <v>NO</v>
      </c>
      <c r="BO92" s="93" t="str">
        <f>IF('[3]Mitigation summary'!AR42*CO2toC*Ggtot&gt;0,'[3]Mitigation summary'!AR42*CO2toC*Ggtot,"NO")</f>
        <v>NO</v>
      </c>
      <c r="BP92" s="93" t="str">
        <f>IF('[3]Mitigation summary'!AS42*CO2toC*Ggtot&gt;0,'[3]Mitigation summary'!AS42*CO2toC*Ggtot,"NO")</f>
        <v>NO</v>
      </c>
      <c r="BQ92" s="80"/>
    </row>
    <row r="93" spans="1:72" x14ac:dyDescent="0.25">
      <c r="A93" t="str">
        <f>A87</f>
        <v>3C Aggregated and non-CO2 emissions on land</v>
      </c>
      <c r="B93" t="str">
        <f>B87</f>
        <v>3C4 Direct N2O from managed soils (N2O)</v>
      </c>
      <c r="C93" t="s">
        <v>60</v>
      </c>
      <c r="D93" t="s">
        <v>721</v>
      </c>
      <c r="F93" t="s">
        <v>719</v>
      </c>
      <c r="H93" s="21" t="s">
        <v>720</v>
      </c>
      <c r="I93" s="21" t="s">
        <v>720</v>
      </c>
      <c r="J93" s="21" t="s">
        <v>720</v>
      </c>
      <c r="K93" s="21" t="s">
        <v>720</v>
      </c>
      <c r="L93" s="21" t="s">
        <v>720</v>
      </c>
      <c r="M93" s="21" t="s">
        <v>720</v>
      </c>
      <c r="N93" s="21" t="s">
        <v>720</v>
      </c>
      <c r="O93" s="21" t="s">
        <v>720</v>
      </c>
      <c r="P93" s="21" t="s">
        <v>720</v>
      </c>
      <c r="Q93" s="21" t="s">
        <v>720</v>
      </c>
      <c r="R93" s="21" t="s">
        <v>720</v>
      </c>
      <c r="S93" s="21" t="s">
        <v>720</v>
      </c>
      <c r="T93" s="21" t="s">
        <v>720</v>
      </c>
      <c r="U93" s="21" t="s">
        <v>720</v>
      </c>
      <c r="V93" s="21" t="s">
        <v>720</v>
      </c>
      <c r="W93" s="21" t="s">
        <v>720</v>
      </c>
      <c r="X93" s="21" t="s">
        <v>720</v>
      </c>
      <c r="Y93" s="21" t="s">
        <v>720</v>
      </c>
      <c r="Z93" s="21" t="s">
        <v>720</v>
      </c>
      <c r="AA93" s="21" t="s">
        <v>720</v>
      </c>
      <c r="AB93" s="43" t="s">
        <v>720</v>
      </c>
      <c r="AC93" s="43" t="s">
        <v>720</v>
      </c>
      <c r="AD93" s="43" t="s">
        <v>720</v>
      </c>
      <c r="AE93" s="43" t="s">
        <v>720</v>
      </c>
      <c r="AF93" s="43" t="s">
        <v>720</v>
      </c>
      <c r="AG93" s="43" t="s">
        <v>720</v>
      </c>
      <c r="AH93" s="43" t="s">
        <v>720</v>
      </c>
      <c r="AI93" s="43" t="s">
        <v>720</v>
      </c>
      <c r="AJ93" s="43" t="s">
        <v>720</v>
      </c>
      <c r="AK93" s="43" t="s">
        <v>720</v>
      </c>
      <c r="AL93" s="43" t="s">
        <v>720</v>
      </c>
      <c r="AM93" s="43" t="s">
        <v>720</v>
      </c>
      <c r="AN93" s="43" t="s">
        <v>720</v>
      </c>
      <c r="AO93" s="43" t="s">
        <v>720</v>
      </c>
      <c r="AP93" s="43" t="s">
        <v>720</v>
      </c>
      <c r="AQ93" s="43" t="s">
        <v>720</v>
      </c>
      <c r="AR93" s="43" t="s">
        <v>720</v>
      </c>
      <c r="AS93" s="43" t="s">
        <v>720</v>
      </c>
      <c r="AT93" s="43" t="s">
        <v>720</v>
      </c>
      <c r="AU93" s="43" t="s">
        <v>720</v>
      </c>
      <c r="AV93" s="43" t="s">
        <v>720</v>
      </c>
      <c r="AW93" s="43" t="s">
        <v>720</v>
      </c>
      <c r="AX93" s="43" t="s">
        <v>720</v>
      </c>
      <c r="AY93" s="43" t="s">
        <v>720</v>
      </c>
      <c r="AZ93" s="43" t="s">
        <v>720</v>
      </c>
      <c r="BA93" s="43" t="s">
        <v>720</v>
      </c>
      <c r="BB93" s="43" t="s">
        <v>720</v>
      </c>
      <c r="BC93" s="43" t="s">
        <v>720</v>
      </c>
      <c r="BD93" s="43" t="s">
        <v>720</v>
      </c>
      <c r="BE93" s="43" t="s">
        <v>720</v>
      </c>
      <c r="BF93" s="43" t="s">
        <v>720</v>
      </c>
      <c r="BG93" s="43" t="s">
        <v>720</v>
      </c>
      <c r="BH93" s="43" t="s">
        <v>720</v>
      </c>
      <c r="BI93" s="43" t="s">
        <v>720</v>
      </c>
      <c r="BJ93" s="43" t="s">
        <v>720</v>
      </c>
      <c r="BK93" s="43" t="s">
        <v>720</v>
      </c>
      <c r="BL93" s="43" t="s">
        <v>720</v>
      </c>
      <c r="BM93" s="43" t="s">
        <v>720</v>
      </c>
      <c r="BN93" s="43" t="s">
        <v>720</v>
      </c>
      <c r="BO93" s="43" t="s">
        <v>720</v>
      </c>
      <c r="BP93" s="43" t="s">
        <v>720</v>
      </c>
      <c r="BQ93" s="80"/>
    </row>
    <row r="94" spans="1:72" x14ac:dyDescent="0.25">
      <c r="C94" t="s">
        <v>60</v>
      </c>
      <c r="D94" t="s">
        <v>792</v>
      </c>
      <c r="F94" t="s">
        <v>719</v>
      </c>
      <c r="H94" s="21" t="s">
        <v>720</v>
      </c>
      <c r="I94" s="21" t="s">
        <v>720</v>
      </c>
      <c r="J94" s="21" t="s">
        <v>720</v>
      </c>
      <c r="K94" s="21" t="s">
        <v>720</v>
      </c>
      <c r="L94" s="21" t="s">
        <v>720</v>
      </c>
      <c r="M94" s="21" t="s">
        <v>720</v>
      </c>
      <c r="N94" s="21" t="s">
        <v>720</v>
      </c>
      <c r="O94" s="21" t="s">
        <v>720</v>
      </c>
      <c r="P94" s="21" t="s">
        <v>720</v>
      </c>
      <c r="Q94" s="21" t="s">
        <v>720</v>
      </c>
      <c r="R94" s="21" t="s">
        <v>720</v>
      </c>
      <c r="S94" s="21" t="s">
        <v>720</v>
      </c>
      <c r="T94" s="21" t="s">
        <v>720</v>
      </c>
      <c r="U94" s="21" t="s">
        <v>720</v>
      </c>
      <c r="V94" s="21" t="s">
        <v>720</v>
      </c>
      <c r="W94" s="21" t="s">
        <v>720</v>
      </c>
      <c r="X94" s="21" t="s">
        <v>720</v>
      </c>
      <c r="Y94" s="21" t="s">
        <v>720</v>
      </c>
      <c r="Z94" s="21" t="s">
        <v>720</v>
      </c>
      <c r="AA94" s="21" t="s">
        <v>720</v>
      </c>
      <c r="AB94" s="43" t="s">
        <v>720</v>
      </c>
      <c r="AC94" s="43" t="s">
        <v>720</v>
      </c>
      <c r="AD94" s="43" t="s">
        <v>720</v>
      </c>
      <c r="AE94" s="43" t="s">
        <v>720</v>
      </c>
      <c r="AF94" s="43" t="s">
        <v>720</v>
      </c>
      <c r="AG94" s="43" t="s">
        <v>720</v>
      </c>
      <c r="AH94" s="43" t="s">
        <v>720</v>
      </c>
      <c r="AI94" s="43" t="s">
        <v>720</v>
      </c>
      <c r="AJ94" s="43" t="s">
        <v>720</v>
      </c>
      <c r="AK94" s="43" t="s">
        <v>720</v>
      </c>
      <c r="AL94" s="43" t="s">
        <v>720</v>
      </c>
      <c r="AM94" s="43" t="s">
        <v>720</v>
      </c>
      <c r="AN94" s="43" t="s">
        <v>720</v>
      </c>
      <c r="AO94" s="43" t="s">
        <v>720</v>
      </c>
      <c r="AP94" s="43" t="s">
        <v>720</v>
      </c>
      <c r="AQ94" s="43" t="s">
        <v>720</v>
      </c>
      <c r="AR94" s="43" t="s">
        <v>720</v>
      </c>
      <c r="AS94" s="43" t="s">
        <v>720</v>
      </c>
      <c r="AT94" s="43" t="s">
        <v>720</v>
      </c>
      <c r="AU94" s="43" t="s">
        <v>720</v>
      </c>
      <c r="AV94" s="43" t="s">
        <v>720</v>
      </c>
      <c r="AW94" s="43" t="s">
        <v>720</v>
      </c>
      <c r="AX94" s="43" t="s">
        <v>720</v>
      </c>
      <c r="AY94" s="43" t="s">
        <v>720</v>
      </c>
      <c r="AZ94" s="43" t="s">
        <v>720</v>
      </c>
      <c r="BA94" s="43" t="s">
        <v>720</v>
      </c>
      <c r="BB94" s="43" t="s">
        <v>720</v>
      </c>
      <c r="BC94" s="43" t="s">
        <v>720</v>
      </c>
      <c r="BD94" s="43" t="s">
        <v>720</v>
      </c>
      <c r="BE94" s="43" t="s">
        <v>720</v>
      </c>
      <c r="BF94" s="43" t="s">
        <v>720</v>
      </c>
      <c r="BG94" s="43" t="s">
        <v>720</v>
      </c>
      <c r="BH94" s="43" t="s">
        <v>720</v>
      </c>
      <c r="BI94" s="43" t="s">
        <v>720</v>
      </c>
      <c r="BJ94" s="43" t="s">
        <v>720</v>
      </c>
      <c r="BK94" s="43" t="s">
        <v>720</v>
      </c>
      <c r="BL94" s="43" t="s">
        <v>720</v>
      </c>
      <c r="BM94" s="43" t="s">
        <v>720</v>
      </c>
      <c r="BN94" s="43" t="s">
        <v>720</v>
      </c>
      <c r="BO94" s="43" t="s">
        <v>720</v>
      </c>
      <c r="BP94" s="43" t="s">
        <v>720</v>
      </c>
      <c r="BQ94" s="80"/>
    </row>
    <row r="95" spans="1:72" x14ac:dyDescent="0.25">
      <c r="A95" t="str">
        <f>A87</f>
        <v>3C Aggregated and non-CO2 emissions on land</v>
      </c>
      <c r="B95" t="str">
        <f>B87</f>
        <v>3C4 Direct N2O from managed soils (N2O)</v>
      </c>
      <c r="C95" t="s">
        <v>60</v>
      </c>
      <c r="D95" t="s">
        <v>107</v>
      </c>
      <c r="F95" t="s">
        <v>719</v>
      </c>
      <c r="H95" s="21" t="s">
        <v>720</v>
      </c>
      <c r="I95" s="21">
        <v>4.7379431086319741</v>
      </c>
      <c r="J95" s="21">
        <v>4.7379431086319741</v>
      </c>
      <c r="K95" s="21">
        <v>4.7379431086319741</v>
      </c>
      <c r="L95" s="21">
        <v>4.7379431086319741</v>
      </c>
      <c r="M95" s="21">
        <v>4.7379431086319741</v>
      </c>
      <c r="N95" s="21">
        <v>4.7379431086319741</v>
      </c>
      <c r="O95" s="21">
        <v>4.7379431086319741</v>
      </c>
      <c r="P95" s="21">
        <v>4.7379431086319741</v>
      </c>
      <c r="Q95" s="21">
        <v>4.7379431086319741</v>
      </c>
      <c r="R95" s="21">
        <v>4.7379431086319741</v>
      </c>
      <c r="S95" s="21">
        <v>4.7379431086319741</v>
      </c>
      <c r="T95" s="21">
        <v>4.7379431086319741</v>
      </c>
      <c r="U95" s="21">
        <v>4.7379431086319741</v>
      </c>
      <c r="V95" s="21">
        <v>4.7379431086319741</v>
      </c>
      <c r="W95" s="21">
        <v>4.7379431086319741</v>
      </c>
      <c r="X95" s="21">
        <v>4.7379431086319741</v>
      </c>
      <c r="Y95" s="21">
        <v>4.7379431086319741</v>
      </c>
      <c r="Z95" s="21">
        <v>4.7379431086319741</v>
      </c>
      <c r="AA95" s="21">
        <v>4.7379431086319741</v>
      </c>
      <c r="AB95" s="43">
        <v>4.7379431086319741</v>
      </c>
      <c r="AC95" s="43">
        <v>4.7379431086319741</v>
      </c>
      <c r="AD95" s="93">
        <f>IF('[3]Mitigation summary'!G53*CO2toC*Ggtot&gt;0,'[3]Mitigation summary'!G53*CO2toC*Ggtot,"NO")</f>
        <v>53.492906065199229</v>
      </c>
      <c r="AE95" s="93">
        <f>IF('[3]Mitigation summary'!H53*CO2toC*Ggtot&gt;0,'[3]Mitigation summary'!H53*CO2toC*Ggtot,"NO")</f>
        <v>53.492906065199229</v>
      </c>
      <c r="AF95" s="93">
        <f>IF('[3]Mitigation summary'!I53*CO2toC*Ggtot&gt;0,'[3]Mitigation summary'!I53*CO2toC*Ggtot,"NO")</f>
        <v>53.492906065199229</v>
      </c>
      <c r="AG95" s="93">
        <f>IF('[3]Mitigation summary'!J53*CO2toC*Ggtot&gt;0,'[3]Mitigation summary'!J53*CO2toC*Ggtot,"NO")</f>
        <v>53.492906065199229</v>
      </c>
      <c r="AH95" s="93">
        <f>IF('[3]Mitigation summary'!K53*CO2toC*Ggtot&gt;0,'[3]Mitigation summary'!K53*CO2toC*Ggtot,"NO")</f>
        <v>53.492906065199229</v>
      </c>
      <c r="AI95" s="93">
        <f>IF('[3]Mitigation summary'!L53*CO2toC*Ggtot&gt;0,'[3]Mitigation summary'!L53*CO2toC*Ggtot,"NO")</f>
        <v>53.492906065199229</v>
      </c>
      <c r="AJ95" s="93">
        <f>IF('[3]Mitigation summary'!M53*CO2toC*Ggtot&gt;0,'[3]Mitigation summary'!M53*CO2toC*Ggtot,"NO")</f>
        <v>53.492906065199229</v>
      </c>
      <c r="AK95" s="93">
        <f>IF('[3]Mitigation summary'!N53*CO2toC*Ggtot&gt;0,'[3]Mitigation summary'!N53*CO2toC*Ggtot,"NO")</f>
        <v>53.492906065199229</v>
      </c>
      <c r="AL95" s="93">
        <f>IF('[3]Mitigation summary'!O53*CO2toC*Ggtot&gt;0,'[3]Mitigation summary'!O53*CO2toC*Ggtot,"NO")</f>
        <v>53.492906065199229</v>
      </c>
      <c r="AM95" s="93">
        <f>IF('[3]Mitigation summary'!P53*CO2toC*Ggtot&gt;0,'[3]Mitigation summary'!P53*CO2toC*Ggtot,"NO")</f>
        <v>53.492906065199229</v>
      </c>
      <c r="AN95" s="93">
        <f>IF('[3]Mitigation summary'!Q53*CO2toC*Ggtot&gt;0,'[3]Mitigation summary'!Q53*CO2toC*Ggtot,"NO")</f>
        <v>53.492906065199229</v>
      </c>
      <c r="AO95" s="93">
        <f>IF('[3]Mitigation summary'!R53*CO2toC*Ggtot&gt;0,'[3]Mitigation summary'!R53*CO2toC*Ggtot,"NO")</f>
        <v>53.492906065199229</v>
      </c>
      <c r="AP95" s="93">
        <f>IF('[3]Mitigation summary'!S53*CO2toC*Ggtot&gt;0,'[3]Mitigation summary'!S53*CO2toC*Ggtot,"NO")</f>
        <v>53.492906065199229</v>
      </c>
      <c r="AQ95" s="93">
        <f>IF('[3]Mitigation summary'!T53*CO2toC*Ggtot&gt;0,'[3]Mitigation summary'!T53*CO2toC*Ggtot,"NO")</f>
        <v>53.492906065199229</v>
      </c>
      <c r="AR95" s="93">
        <f>IF('[3]Mitigation summary'!U53*CO2toC*Ggtot&gt;0,'[3]Mitigation summary'!U53*CO2toC*Ggtot,"NO")</f>
        <v>53.492906065199229</v>
      </c>
      <c r="AS95" s="93">
        <f>IF('[3]Mitigation summary'!V53*CO2toC*Ggtot&gt;0,'[3]Mitigation summary'!V53*CO2toC*Ggtot,"NO")</f>
        <v>53.492906065199229</v>
      </c>
      <c r="AT95" s="93">
        <f>IF('[3]Mitigation summary'!W53*CO2toC*Ggtot&gt;0,'[3]Mitigation summary'!W53*CO2toC*Ggtot,"NO")</f>
        <v>53.492906065199229</v>
      </c>
      <c r="AU95" s="93">
        <f>IF('[3]Mitigation summary'!X53*CO2toC*Ggtot&gt;0,'[3]Mitigation summary'!X53*CO2toC*Ggtot,"NO")</f>
        <v>53.492906065199229</v>
      </c>
      <c r="AV95" s="93">
        <f>IF('[3]Mitigation summary'!Y53*CO2toC*Ggtot&gt;0,'[3]Mitigation summary'!Y53*CO2toC*Ggtot,"NO")</f>
        <v>53.492906065199229</v>
      </c>
      <c r="AW95" s="93">
        <f>IF('[3]Mitigation summary'!Z53*CO2toC*Ggtot&gt;0,'[3]Mitigation summary'!Z53*CO2toC*Ggtot,"NO")</f>
        <v>53.492906065199229</v>
      </c>
      <c r="AX95" s="93">
        <f>IF('[3]Mitigation summary'!AA53*CO2toC*Ggtot&gt;0,'[3]Mitigation summary'!AA53*CO2toC*Ggtot,"NO")</f>
        <v>53.492906065199229</v>
      </c>
      <c r="AY95" s="93">
        <f>IF('[3]Mitigation summary'!AB53*CO2toC*Ggtot&gt;0,'[3]Mitigation summary'!AB53*CO2toC*Ggtot,"NO")</f>
        <v>53.492906065199229</v>
      </c>
      <c r="AZ95" s="93">
        <f>IF('[3]Mitigation summary'!AC53*CO2toC*Ggtot&gt;0,'[3]Mitigation summary'!AC53*CO2toC*Ggtot,"NO")</f>
        <v>53.492906065199229</v>
      </c>
      <c r="BA95" s="93">
        <f>IF('[3]Mitigation summary'!AD53*CO2toC*Ggtot&gt;0,'[3]Mitigation summary'!AD53*CO2toC*Ggtot,"NO")</f>
        <v>53.492906065199229</v>
      </c>
      <c r="BB95" s="93">
        <f>IF('[3]Mitigation summary'!AE53*CO2toC*Ggtot&gt;0,'[3]Mitigation summary'!AE53*CO2toC*Ggtot,"NO")</f>
        <v>53.492906065199229</v>
      </c>
      <c r="BC95" s="93">
        <f>IF('[3]Mitigation summary'!AF53*CO2toC*Ggtot&gt;0,'[3]Mitigation summary'!AF53*CO2toC*Ggtot,"NO")</f>
        <v>53.492906065199229</v>
      </c>
      <c r="BD95" s="93">
        <f>IF('[3]Mitigation summary'!AG53*CO2toC*Ggtot&gt;0,'[3]Mitigation summary'!AG53*CO2toC*Ggtot,"NO")</f>
        <v>53.492906065199229</v>
      </c>
      <c r="BE95" s="93">
        <f>IF('[3]Mitigation summary'!AH53*CO2toC*Ggtot&gt;0,'[3]Mitigation summary'!AH53*CO2toC*Ggtot,"NO")</f>
        <v>53.492906065199229</v>
      </c>
      <c r="BF95" s="93">
        <f>IF('[3]Mitigation summary'!AI53*CO2toC*Ggtot&gt;0,'[3]Mitigation summary'!AI53*CO2toC*Ggtot,"NO")</f>
        <v>53.492906065199229</v>
      </c>
      <c r="BG95" s="93">
        <f>IF('[3]Mitigation summary'!AJ53*CO2toC*Ggtot&gt;0,'[3]Mitigation summary'!AJ53*CO2toC*Ggtot,"NO")</f>
        <v>53.492906065199229</v>
      </c>
      <c r="BH95" s="93">
        <f>IF('[3]Mitigation summary'!AK53*CO2toC*Ggtot&gt;0,'[3]Mitigation summary'!AK53*CO2toC*Ggtot,"NO")</f>
        <v>53.492906065199229</v>
      </c>
      <c r="BI95" s="93">
        <f>IF('[3]Mitigation summary'!AL53*CO2toC*Ggtot&gt;0,'[3]Mitigation summary'!AL53*CO2toC*Ggtot,"NO")</f>
        <v>53.492906065199229</v>
      </c>
      <c r="BJ95" s="93">
        <f>IF('[3]Mitigation summary'!AM53*CO2toC*Ggtot&gt;0,'[3]Mitigation summary'!AM53*CO2toC*Ggtot,"NO")</f>
        <v>53.492906065199229</v>
      </c>
      <c r="BK95" s="93">
        <f>IF('[3]Mitigation summary'!AN53*CO2toC*Ggtot&gt;0,'[3]Mitigation summary'!AN53*CO2toC*Ggtot,"NO")</f>
        <v>53.492906065199229</v>
      </c>
      <c r="BL95" s="93">
        <f>IF('[3]Mitigation summary'!AO53*CO2toC*Ggtot&gt;0,'[3]Mitigation summary'!AO53*CO2toC*Ggtot,"NO")</f>
        <v>53.492906065199229</v>
      </c>
      <c r="BM95" s="93">
        <f>IF('[3]Mitigation summary'!AP53*CO2toC*Ggtot&gt;0,'[3]Mitigation summary'!AP53*CO2toC*Ggtot,"NO")</f>
        <v>53.492906065199229</v>
      </c>
      <c r="BN95" s="93">
        <f>IF('[3]Mitigation summary'!AQ53*CO2toC*Ggtot&gt;0,'[3]Mitigation summary'!AQ53*CO2toC*Ggtot,"NO")</f>
        <v>53.492906065199229</v>
      </c>
      <c r="BO95" s="93">
        <f>IF('[3]Mitigation summary'!AR53*CO2toC*Ggtot&gt;0,'[3]Mitigation summary'!AR53*CO2toC*Ggtot,"NO")</f>
        <v>53.492906065199229</v>
      </c>
      <c r="BP95" s="93">
        <f>IF('[3]Mitigation summary'!AS53*CO2toC*Ggtot&gt;0,'[3]Mitigation summary'!AS53*CO2toC*Ggtot,"NO")</f>
        <v>53.492906065199229</v>
      </c>
      <c r="BQ95" s="80"/>
    </row>
    <row r="96" spans="1:72" x14ac:dyDescent="0.25">
      <c r="C96" t="s">
        <v>60</v>
      </c>
      <c r="D96" t="s">
        <v>108</v>
      </c>
      <c r="F96" t="s">
        <v>719</v>
      </c>
      <c r="H96" s="21">
        <v>0</v>
      </c>
      <c r="I96" s="21">
        <v>5942.7299901832721</v>
      </c>
      <c r="J96" s="21">
        <v>5942.7299901832721</v>
      </c>
      <c r="K96" s="21">
        <v>5942.7299901832721</v>
      </c>
      <c r="L96" s="21">
        <v>5942.7299901832721</v>
      </c>
      <c r="M96" s="21">
        <v>5942.7299901832721</v>
      </c>
      <c r="N96" s="21">
        <v>5942.7299901832721</v>
      </c>
      <c r="O96" s="21">
        <v>5942.7299901832721</v>
      </c>
      <c r="P96" s="21">
        <v>5942.7299901832721</v>
      </c>
      <c r="Q96" s="21">
        <v>5942.7299901832721</v>
      </c>
      <c r="R96" s="21">
        <v>5942.7299901832721</v>
      </c>
      <c r="S96" s="21">
        <v>5942.7299901832721</v>
      </c>
      <c r="T96" s="21">
        <v>5942.7299901832721</v>
      </c>
      <c r="U96" s="21">
        <v>5942.7299901832721</v>
      </c>
      <c r="V96" s="21">
        <v>5942.7299901832721</v>
      </c>
      <c r="W96" s="21">
        <v>5942.7299901832721</v>
      </c>
      <c r="X96" s="21">
        <v>5942.7299901832721</v>
      </c>
      <c r="Y96" s="21">
        <v>5942.7299901832721</v>
      </c>
      <c r="Z96" s="21">
        <v>5942.7299901832721</v>
      </c>
      <c r="AA96" s="21">
        <v>5942.7299901832721</v>
      </c>
      <c r="AB96" s="43">
        <v>5942.7299901832721</v>
      </c>
      <c r="AC96" s="43">
        <v>5942.7299901832721</v>
      </c>
      <c r="AD96" s="93">
        <f>IF('[3]Mitigation summary'!G58*CO2toC*Ggtot&gt;0,'[3]Mitigation summary'!G58*CO2toC*Ggtot,"NO")</f>
        <v>58330.916309538901</v>
      </c>
      <c r="AE96" s="93">
        <f>IF('[3]Mitigation summary'!H58*CO2toC*Ggtot&gt;0,'[3]Mitigation summary'!H58*CO2toC*Ggtot,"NO")</f>
        <v>58330.916309538901</v>
      </c>
      <c r="AF96" s="93">
        <f>IF('[3]Mitigation summary'!I58*CO2toC*Ggtot&gt;0,'[3]Mitigation summary'!I58*CO2toC*Ggtot,"NO")</f>
        <v>58330.916309538901</v>
      </c>
      <c r="AG96" s="93">
        <f>IF('[3]Mitigation summary'!J58*CO2toC*Ggtot&gt;0,'[3]Mitigation summary'!J58*CO2toC*Ggtot,"NO")</f>
        <v>58330.916309538901</v>
      </c>
      <c r="AH96" s="93">
        <f>IF('[3]Mitigation summary'!K58*CO2toC*Ggtot&gt;0,'[3]Mitigation summary'!K58*CO2toC*Ggtot,"NO")</f>
        <v>58330.916309538901</v>
      </c>
      <c r="AI96" s="93">
        <f>IF('[3]Mitigation summary'!L58*CO2toC*Ggtot&gt;0,'[3]Mitigation summary'!L58*CO2toC*Ggtot,"NO")</f>
        <v>58330.916309538901</v>
      </c>
      <c r="AJ96" s="93">
        <f>IF('[3]Mitigation summary'!M58*CO2toC*Ggtot&gt;0,'[3]Mitigation summary'!M58*CO2toC*Ggtot,"NO")</f>
        <v>58330.916309538901</v>
      </c>
      <c r="AK96" s="93">
        <f>IF('[3]Mitigation summary'!N58*CO2toC*Ggtot&gt;0,'[3]Mitigation summary'!N58*CO2toC*Ggtot,"NO")</f>
        <v>58330.916309538901</v>
      </c>
      <c r="AL96" s="93">
        <f>IF('[3]Mitigation summary'!O58*CO2toC*Ggtot&gt;0,'[3]Mitigation summary'!O58*CO2toC*Ggtot,"NO")</f>
        <v>58330.916309538901</v>
      </c>
      <c r="AM96" s="93">
        <f>IF('[3]Mitigation summary'!P58*CO2toC*Ggtot&gt;0,'[3]Mitigation summary'!P58*CO2toC*Ggtot,"NO")</f>
        <v>58330.916309538901</v>
      </c>
      <c r="AN96" s="93">
        <f>IF('[3]Mitigation summary'!Q58*CO2toC*Ggtot&gt;0,'[3]Mitigation summary'!Q58*CO2toC*Ggtot,"NO")</f>
        <v>58330.916309538901</v>
      </c>
      <c r="AO96" s="93">
        <f>IF('[3]Mitigation summary'!R58*CO2toC*Ggtot&gt;0,'[3]Mitigation summary'!R58*CO2toC*Ggtot,"NO")</f>
        <v>58330.916309538901</v>
      </c>
      <c r="AP96" s="93">
        <f>IF('[3]Mitigation summary'!S58*CO2toC*Ggtot&gt;0,'[3]Mitigation summary'!S58*CO2toC*Ggtot,"NO")</f>
        <v>58330.916309538901</v>
      </c>
      <c r="AQ96" s="93">
        <f>IF('[3]Mitigation summary'!T58*CO2toC*Ggtot&gt;0,'[3]Mitigation summary'!T58*CO2toC*Ggtot,"NO")</f>
        <v>58330.916309538901</v>
      </c>
      <c r="AR96" s="93">
        <f>IF('[3]Mitigation summary'!U58*CO2toC*Ggtot&gt;0,'[3]Mitigation summary'!U58*CO2toC*Ggtot,"NO")</f>
        <v>58330.916309538901</v>
      </c>
      <c r="AS96" s="93">
        <f>IF('[3]Mitigation summary'!V58*CO2toC*Ggtot&gt;0,'[3]Mitigation summary'!V58*CO2toC*Ggtot,"NO")</f>
        <v>58330.916309538901</v>
      </c>
      <c r="AT96" s="93">
        <f>IF('[3]Mitigation summary'!W58*CO2toC*Ggtot&gt;0,'[3]Mitigation summary'!W58*CO2toC*Ggtot,"NO")</f>
        <v>58330.916309538901</v>
      </c>
      <c r="AU96" s="93">
        <f>IF('[3]Mitigation summary'!X58*CO2toC*Ggtot&gt;0,'[3]Mitigation summary'!X58*CO2toC*Ggtot,"NO")</f>
        <v>58330.916309538901</v>
      </c>
      <c r="AV96" s="93">
        <f>IF('[3]Mitigation summary'!Y58*CO2toC*Ggtot&gt;0,'[3]Mitigation summary'!Y58*CO2toC*Ggtot,"NO")</f>
        <v>58330.916309538901</v>
      </c>
      <c r="AW96" s="93">
        <f>IF('[3]Mitigation summary'!Z58*CO2toC*Ggtot&gt;0,'[3]Mitigation summary'!Z58*CO2toC*Ggtot,"NO")</f>
        <v>58330.916309538901</v>
      </c>
      <c r="AX96" s="93">
        <f>IF('[3]Mitigation summary'!AA58*CO2toC*Ggtot&gt;0,'[3]Mitigation summary'!AA58*CO2toC*Ggtot,"NO")</f>
        <v>58330.916309538901</v>
      </c>
      <c r="AY96" s="93">
        <f>IF('[3]Mitigation summary'!AB58*CO2toC*Ggtot&gt;0,'[3]Mitigation summary'!AB58*CO2toC*Ggtot,"NO")</f>
        <v>58330.916309538901</v>
      </c>
      <c r="AZ96" s="93">
        <f>IF('[3]Mitigation summary'!AC58*CO2toC*Ggtot&gt;0,'[3]Mitigation summary'!AC58*CO2toC*Ggtot,"NO")</f>
        <v>58330.916309538901</v>
      </c>
      <c r="BA96" s="93">
        <f>IF('[3]Mitigation summary'!AD58*CO2toC*Ggtot&gt;0,'[3]Mitigation summary'!AD58*CO2toC*Ggtot,"NO")</f>
        <v>58330.916309538901</v>
      </c>
      <c r="BB96" s="93">
        <f>IF('[3]Mitigation summary'!AE58*CO2toC*Ggtot&gt;0,'[3]Mitigation summary'!AE58*CO2toC*Ggtot,"NO")</f>
        <v>58330.916309538901</v>
      </c>
      <c r="BC96" s="93">
        <f>IF('[3]Mitigation summary'!AF58*CO2toC*Ggtot&gt;0,'[3]Mitigation summary'!AF58*CO2toC*Ggtot,"NO")</f>
        <v>58330.916309538901</v>
      </c>
      <c r="BD96" s="93">
        <f>IF('[3]Mitigation summary'!AG58*CO2toC*Ggtot&gt;0,'[3]Mitigation summary'!AG58*CO2toC*Ggtot,"NO")</f>
        <v>58330.916309538901</v>
      </c>
      <c r="BE96" s="93">
        <f>IF('[3]Mitigation summary'!AH58*CO2toC*Ggtot&gt;0,'[3]Mitigation summary'!AH58*CO2toC*Ggtot,"NO")</f>
        <v>58330.916309538901</v>
      </c>
      <c r="BF96" s="93">
        <f>IF('[3]Mitigation summary'!AI58*CO2toC*Ggtot&gt;0,'[3]Mitigation summary'!AI58*CO2toC*Ggtot,"NO")</f>
        <v>58330.916309538901</v>
      </c>
      <c r="BG96" s="93">
        <f>IF('[3]Mitigation summary'!AJ58*CO2toC*Ggtot&gt;0,'[3]Mitigation summary'!AJ58*CO2toC*Ggtot,"NO")</f>
        <v>58330.916309538901</v>
      </c>
      <c r="BH96" s="93">
        <f>IF('[3]Mitigation summary'!AK58*CO2toC*Ggtot&gt;0,'[3]Mitigation summary'!AK58*CO2toC*Ggtot,"NO")</f>
        <v>58330.916309538901</v>
      </c>
      <c r="BI96" s="93">
        <f>IF('[3]Mitigation summary'!AL58*CO2toC*Ggtot&gt;0,'[3]Mitigation summary'!AL58*CO2toC*Ggtot,"NO")</f>
        <v>58330.916309538901</v>
      </c>
      <c r="BJ96" s="93">
        <f>IF('[3]Mitigation summary'!AM58*CO2toC*Ggtot&gt;0,'[3]Mitigation summary'!AM58*CO2toC*Ggtot,"NO")</f>
        <v>58330.916309538901</v>
      </c>
      <c r="BK96" s="93">
        <f>IF('[3]Mitigation summary'!AN58*CO2toC*Ggtot&gt;0,'[3]Mitigation summary'!AN58*CO2toC*Ggtot,"NO")</f>
        <v>58330.916309538901</v>
      </c>
      <c r="BL96" s="93">
        <f>IF('[3]Mitigation summary'!AO58*CO2toC*Ggtot&gt;0,'[3]Mitigation summary'!AO58*CO2toC*Ggtot,"NO")</f>
        <v>58330.916309538901</v>
      </c>
      <c r="BM96" s="93">
        <f>IF('[3]Mitigation summary'!AP58*CO2toC*Ggtot&gt;0,'[3]Mitigation summary'!AP58*CO2toC*Ggtot,"NO")</f>
        <v>58330.916309538901</v>
      </c>
      <c r="BN96" s="93">
        <f>IF('[3]Mitigation summary'!AQ58*CO2toC*Ggtot&gt;0,'[3]Mitigation summary'!AQ58*CO2toC*Ggtot,"NO")</f>
        <v>58330.916309538901</v>
      </c>
      <c r="BO96" s="93">
        <f>IF('[3]Mitigation summary'!AR58*CO2toC*Ggtot&gt;0,'[3]Mitigation summary'!AR58*CO2toC*Ggtot,"NO")</f>
        <v>58330.916309538901</v>
      </c>
      <c r="BP96" s="93">
        <f>IF('[3]Mitigation summary'!AS58*CO2toC*Ggtot&gt;0,'[3]Mitigation summary'!AS58*CO2toC*Ggtot,"NO")</f>
        <v>58330.916309538901</v>
      </c>
      <c r="BQ96" s="80"/>
    </row>
    <row r="97" spans="1:69" x14ac:dyDescent="0.25">
      <c r="A97" t="str">
        <f>A95</f>
        <v>3C Aggregated and non-CO2 emissions on land</v>
      </c>
      <c r="B97" t="str">
        <f>B95</f>
        <v>3C4 Direct N2O from managed soils (N2O)</v>
      </c>
      <c r="C97" t="s">
        <v>60</v>
      </c>
      <c r="D97" t="s">
        <v>110</v>
      </c>
      <c r="F97" t="s">
        <v>719</v>
      </c>
      <c r="H97" s="21" t="str">
        <f>IF('[4]Baseline emission summary'!G63*CO2toC*Ggtot&gt;0,'[4]Baseline emission summary'!G63*CO2toC*Ggtot,"NO")</f>
        <v>NO</v>
      </c>
      <c r="I97" s="21" t="str">
        <f>IF('[4]Baseline emission summary'!H63*CO2toC*Ggtot&gt;0,'[4]Baseline emission summary'!H63*CO2toC*Ggtot,"NO")</f>
        <v>NO</v>
      </c>
      <c r="J97" s="21" t="str">
        <f>IF('[4]Baseline emission summary'!I63*CO2toC*Ggtot&gt;0,'[4]Baseline emission summary'!I63*CO2toC*Ggtot,"NO")</f>
        <v>NO</v>
      </c>
      <c r="K97" s="21" t="str">
        <f>IF('[4]Baseline emission summary'!J63*CO2toC*Ggtot&gt;0,'[4]Baseline emission summary'!J63*CO2toC*Ggtot,"NO")</f>
        <v>NO</v>
      </c>
      <c r="L97" s="21" t="str">
        <f>IF('[4]Baseline emission summary'!K63*CO2toC*Ggtot&gt;0,'[4]Baseline emission summary'!K63*CO2toC*Ggtot,"NO")</f>
        <v>NO</v>
      </c>
      <c r="M97" s="21" t="str">
        <f>IF('[4]Baseline emission summary'!L63*CO2toC*Ggtot&gt;0,'[4]Baseline emission summary'!L63*CO2toC*Ggtot,"NO")</f>
        <v>NO</v>
      </c>
      <c r="N97" s="21" t="str">
        <f>IF('[4]Baseline emission summary'!M63*CO2toC*Ggtot&gt;0,'[4]Baseline emission summary'!M63*CO2toC*Ggtot,"NO")</f>
        <v>NO</v>
      </c>
      <c r="O97" s="21" t="str">
        <f>IF('[4]Baseline emission summary'!N63*CO2toC*Ggtot&gt;0,'[4]Baseline emission summary'!N63*CO2toC*Ggtot,"NO")</f>
        <v>NO</v>
      </c>
      <c r="P97" s="21" t="str">
        <f>IF('[4]Baseline emission summary'!O63*CO2toC*Ggtot&gt;0,'[4]Baseline emission summary'!O63*CO2toC*Ggtot,"NO")</f>
        <v>NO</v>
      </c>
      <c r="Q97" s="21" t="str">
        <f>IF('[4]Baseline emission summary'!P63*CO2toC*Ggtot&gt;0,'[4]Baseline emission summary'!P63*CO2toC*Ggtot,"NO")</f>
        <v>NO</v>
      </c>
      <c r="R97" s="21" t="str">
        <f>IF('[4]Baseline emission summary'!Q63*CO2toC*Ggtot&gt;0,'[4]Baseline emission summary'!Q63*CO2toC*Ggtot,"NO")</f>
        <v>NO</v>
      </c>
      <c r="S97" s="21" t="str">
        <f>IF('[4]Baseline emission summary'!R63*CO2toC*Ggtot&gt;0,'[4]Baseline emission summary'!R63*CO2toC*Ggtot,"NO")</f>
        <v>NO</v>
      </c>
      <c r="T97" s="21" t="str">
        <f>IF('[4]Baseline emission summary'!S63*CO2toC*Ggtot&gt;0,'[4]Baseline emission summary'!S63*CO2toC*Ggtot,"NO")</f>
        <v>NO</v>
      </c>
      <c r="U97" s="21" t="str">
        <f>IF('[4]Baseline emission summary'!T63*CO2toC*Ggtot&gt;0,'[4]Baseline emission summary'!T63*CO2toC*Ggtot,"NO")</f>
        <v>NO</v>
      </c>
      <c r="V97" s="21" t="str">
        <f>IF('[4]Baseline emission summary'!U63*CO2toC*Ggtot&gt;0,'[4]Baseline emission summary'!U63*CO2toC*Ggtot,"NO")</f>
        <v>NO</v>
      </c>
      <c r="W97" s="21" t="str">
        <f>IF('[4]Baseline emission summary'!V63*CO2toC*Ggtot&gt;0,'[4]Baseline emission summary'!V63*CO2toC*Ggtot,"NO")</f>
        <v>NO</v>
      </c>
      <c r="X97" s="21" t="str">
        <f>IF('[4]Baseline emission summary'!W63*CO2toC*Ggtot&gt;0,'[4]Baseline emission summary'!W63*CO2toC*Ggtot,"NO")</f>
        <v>NO</v>
      </c>
      <c r="Y97" s="21" t="str">
        <f>IF('[4]Baseline emission summary'!X63*CO2toC*Ggtot&gt;0,'[4]Baseline emission summary'!X63*CO2toC*Ggtot,"NO")</f>
        <v>NO</v>
      </c>
      <c r="Z97" s="21" t="str">
        <f>IF('[4]Baseline emission summary'!Y63*CO2toC*Ggtot&gt;0,'[4]Baseline emission summary'!Y63*CO2toC*Ggtot,"NO")</f>
        <v>NO</v>
      </c>
      <c r="AA97" s="21" t="str">
        <f>IF('[4]Baseline emission summary'!Z63*CO2toC*Ggtot&gt;0,'[4]Baseline emission summary'!Z63*CO2toC*Ggtot,"NO")</f>
        <v>NO</v>
      </c>
      <c r="AB97" s="43" t="str">
        <f>IF('[4]Baseline emission summary'!AA63*CO2toC*Ggtot&gt;0,'[4]Baseline emission summary'!AA63*CO2toC*Ggtot,"NO")</f>
        <v>NO</v>
      </c>
      <c r="AC97" s="43" t="str">
        <f>IF('[4]Baseline emission summary'!AB63*CO2toC*Ggtot&gt;0,'[4]Baseline emission summary'!AB63*CO2toC*Ggtot,"NO")</f>
        <v>NO</v>
      </c>
      <c r="AD97" s="93" t="str">
        <f>IF('[3]Mitigation summary'!G66*CO2toC*Ggtot&gt;0,'[3]Mitigation summary'!G66*CO2toC*Ggtot,"NO")</f>
        <v>NO</v>
      </c>
      <c r="AE97" s="93" t="str">
        <f>IF('[3]Mitigation summary'!H66*CO2toC*Ggtot&gt;0,'[3]Mitigation summary'!H66*CO2toC*Ggtot,"NO")</f>
        <v>NO</v>
      </c>
      <c r="AF97" s="93" t="str">
        <f>IF('[3]Mitigation summary'!I66*CO2toC*Ggtot&gt;0,'[3]Mitigation summary'!I66*CO2toC*Ggtot,"NO")</f>
        <v>NO</v>
      </c>
      <c r="AG97" s="93" t="str">
        <f>IF('[3]Mitigation summary'!J66*CO2toC*Ggtot&gt;0,'[3]Mitigation summary'!J66*CO2toC*Ggtot,"NO")</f>
        <v>NO</v>
      </c>
      <c r="AH97" s="93" t="str">
        <f>IF('[3]Mitigation summary'!K66*CO2toC*Ggtot&gt;0,'[3]Mitigation summary'!K66*CO2toC*Ggtot,"NO")</f>
        <v>NO</v>
      </c>
      <c r="AI97" s="93" t="str">
        <f>IF('[3]Mitigation summary'!L66*CO2toC*Ggtot&gt;0,'[3]Mitigation summary'!L66*CO2toC*Ggtot,"NO")</f>
        <v>NO</v>
      </c>
      <c r="AJ97" s="93" t="str">
        <f>IF('[3]Mitigation summary'!M66*CO2toC*Ggtot&gt;0,'[3]Mitigation summary'!M66*CO2toC*Ggtot,"NO")</f>
        <v>NO</v>
      </c>
      <c r="AK97" s="93" t="str">
        <f>IF('[3]Mitigation summary'!N66*CO2toC*Ggtot&gt;0,'[3]Mitigation summary'!N66*CO2toC*Ggtot,"NO")</f>
        <v>NO</v>
      </c>
      <c r="AL97" s="93" t="str">
        <f>IF('[3]Mitigation summary'!O66*CO2toC*Ggtot&gt;0,'[3]Mitigation summary'!O66*CO2toC*Ggtot,"NO")</f>
        <v>NO</v>
      </c>
      <c r="AM97" s="93" t="str">
        <f>IF('[3]Mitigation summary'!P66*CO2toC*Ggtot&gt;0,'[3]Mitigation summary'!P66*CO2toC*Ggtot,"NO")</f>
        <v>NO</v>
      </c>
      <c r="AN97" s="93" t="str">
        <f>IF('[3]Mitigation summary'!Q66*CO2toC*Ggtot&gt;0,'[3]Mitigation summary'!Q66*CO2toC*Ggtot,"NO")</f>
        <v>NO</v>
      </c>
      <c r="AO97" s="93" t="str">
        <f>IF('[3]Mitigation summary'!R66*CO2toC*Ggtot&gt;0,'[3]Mitigation summary'!R66*CO2toC*Ggtot,"NO")</f>
        <v>NO</v>
      </c>
      <c r="AP97" s="93" t="str">
        <f>IF('[3]Mitigation summary'!S66*CO2toC*Ggtot&gt;0,'[3]Mitigation summary'!S66*CO2toC*Ggtot,"NO")</f>
        <v>NO</v>
      </c>
      <c r="AQ97" s="93" t="str">
        <f>IF('[3]Mitigation summary'!T66*CO2toC*Ggtot&gt;0,'[3]Mitigation summary'!T66*CO2toC*Ggtot,"NO")</f>
        <v>NO</v>
      </c>
      <c r="AR97" s="93" t="str">
        <f>IF('[3]Mitigation summary'!U66*CO2toC*Ggtot&gt;0,'[3]Mitigation summary'!U66*CO2toC*Ggtot,"NO")</f>
        <v>NO</v>
      </c>
      <c r="AS97" s="93" t="str">
        <f>IF('[3]Mitigation summary'!V66*CO2toC*Ggtot&gt;0,'[3]Mitigation summary'!V66*CO2toC*Ggtot,"NO")</f>
        <v>NO</v>
      </c>
      <c r="AT97" s="93" t="str">
        <f>IF('[3]Mitigation summary'!W66*CO2toC*Ggtot&gt;0,'[3]Mitigation summary'!W66*CO2toC*Ggtot,"NO")</f>
        <v>NO</v>
      </c>
      <c r="AU97" s="93" t="str">
        <f>IF('[3]Mitigation summary'!X66*CO2toC*Ggtot&gt;0,'[3]Mitigation summary'!X66*CO2toC*Ggtot,"NO")</f>
        <v>NO</v>
      </c>
      <c r="AV97" s="93" t="str">
        <f>IF('[3]Mitigation summary'!Y66*CO2toC*Ggtot&gt;0,'[3]Mitigation summary'!Y66*CO2toC*Ggtot,"NO")</f>
        <v>NO</v>
      </c>
      <c r="AW97" s="93" t="str">
        <f>IF('[3]Mitigation summary'!Z66*CO2toC*Ggtot&gt;0,'[3]Mitigation summary'!Z66*CO2toC*Ggtot,"NO")</f>
        <v>NO</v>
      </c>
      <c r="AX97" s="93" t="str">
        <f>IF('[3]Mitigation summary'!AA66*CO2toC*Ggtot&gt;0,'[3]Mitigation summary'!AA66*CO2toC*Ggtot,"NO")</f>
        <v>NO</v>
      </c>
      <c r="AY97" s="93" t="str">
        <f>IF('[3]Mitigation summary'!AB66*CO2toC*Ggtot&gt;0,'[3]Mitigation summary'!AB66*CO2toC*Ggtot,"NO")</f>
        <v>NO</v>
      </c>
      <c r="AZ97" s="93" t="str">
        <f>IF('[3]Mitigation summary'!AC66*CO2toC*Ggtot&gt;0,'[3]Mitigation summary'!AC66*CO2toC*Ggtot,"NO")</f>
        <v>NO</v>
      </c>
      <c r="BA97" s="93" t="str">
        <f>IF('[3]Mitigation summary'!AD66*CO2toC*Ggtot&gt;0,'[3]Mitigation summary'!AD66*CO2toC*Ggtot,"NO")</f>
        <v>NO</v>
      </c>
      <c r="BB97" s="93" t="str">
        <f>IF('[3]Mitigation summary'!AE66*CO2toC*Ggtot&gt;0,'[3]Mitigation summary'!AE66*CO2toC*Ggtot,"NO")</f>
        <v>NO</v>
      </c>
      <c r="BC97" s="93" t="str">
        <f>IF('[3]Mitigation summary'!AF66*CO2toC*Ggtot&gt;0,'[3]Mitigation summary'!AF66*CO2toC*Ggtot,"NO")</f>
        <v>NO</v>
      </c>
      <c r="BD97" s="93" t="str">
        <f>IF('[3]Mitigation summary'!AG66*CO2toC*Ggtot&gt;0,'[3]Mitigation summary'!AG66*CO2toC*Ggtot,"NO")</f>
        <v>NO</v>
      </c>
      <c r="BE97" s="93" t="str">
        <f>IF('[3]Mitigation summary'!AH66*CO2toC*Ggtot&gt;0,'[3]Mitigation summary'!AH66*CO2toC*Ggtot,"NO")</f>
        <v>NO</v>
      </c>
      <c r="BF97" s="93" t="str">
        <f>IF('[3]Mitigation summary'!AI66*CO2toC*Ggtot&gt;0,'[3]Mitigation summary'!AI66*CO2toC*Ggtot,"NO")</f>
        <v>NO</v>
      </c>
      <c r="BG97" s="93" t="str">
        <f>IF('[3]Mitigation summary'!AJ66*CO2toC*Ggtot&gt;0,'[3]Mitigation summary'!AJ66*CO2toC*Ggtot,"NO")</f>
        <v>NO</v>
      </c>
      <c r="BH97" s="93" t="str">
        <f>IF('[3]Mitigation summary'!AK66*CO2toC*Ggtot&gt;0,'[3]Mitigation summary'!AK66*CO2toC*Ggtot,"NO")</f>
        <v>NO</v>
      </c>
      <c r="BI97" s="93" t="str">
        <f>IF('[3]Mitigation summary'!AL66*CO2toC*Ggtot&gt;0,'[3]Mitigation summary'!AL66*CO2toC*Ggtot,"NO")</f>
        <v>NO</v>
      </c>
      <c r="BJ97" s="93" t="str">
        <f>IF('[3]Mitigation summary'!AM66*CO2toC*Ggtot&gt;0,'[3]Mitigation summary'!AM66*CO2toC*Ggtot,"NO")</f>
        <v>NO</v>
      </c>
      <c r="BK97" s="93" t="str">
        <f>IF('[3]Mitigation summary'!AN66*CO2toC*Ggtot&gt;0,'[3]Mitigation summary'!AN66*CO2toC*Ggtot,"NO")</f>
        <v>NO</v>
      </c>
      <c r="BL97" s="93" t="str">
        <f>IF('[3]Mitigation summary'!AO66*CO2toC*Ggtot&gt;0,'[3]Mitigation summary'!AO66*CO2toC*Ggtot,"NO")</f>
        <v>NO</v>
      </c>
      <c r="BM97" s="93" t="str">
        <f>IF('[3]Mitigation summary'!AP66*CO2toC*Ggtot&gt;0,'[3]Mitigation summary'!AP66*CO2toC*Ggtot,"NO")</f>
        <v>NO</v>
      </c>
      <c r="BN97" s="93" t="str">
        <f>IF('[3]Mitigation summary'!AQ66*CO2toC*Ggtot&gt;0,'[3]Mitigation summary'!AQ66*CO2toC*Ggtot,"NO")</f>
        <v>NO</v>
      </c>
      <c r="BO97" s="93" t="str">
        <f>IF('[3]Mitigation summary'!AR66*CO2toC*Ggtot&gt;0,'[3]Mitigation summary'!AR66*CO2toC*Ggtot,"NO")</f>
        <v>NO</v>
      </c>
      <c r="BP97" s="93" t="str">
        <f>IF('[3]Mitigation summary'!AS66*CO2toC*Ggtot&gt;0,'[3]Mitigation summary'!AS66*CO2toC*Ggtot,"NO")</f>
        <v>NO</v>
      </c>
      <c r="BQ97" s="80"/>
    </row>
    <row r="98" spans="1:69" x14ac:dyDescent="0.25">
      <c r="C98" t="s">
        <v>60</v>
      </c>
      <c r="D98" t="s">
        <v>793</v>
      </c>
      <c r="F98" t="s">
        <v>719</v>
      </c>
      <c r="H98" s="21">
        <v>0</v>
      </c>
      <c r="I98" s="21">
        <v>269926.33928069618</v>
      </c>
      <c r="J98" s="21">
        <v>269926.33928069618</v>
      </c>
      <c r="K98" s="21">
        <v>269926.33928069618</v>
      </c>
      <c r="L98" s="21">
        <v>269926.33928069618</v>
      </c>
      <c r="M98" s="21">
        <v>269926.33928069618</v>
      </c>
      <c r="N98" s="21">
        <v>269926.33928069618</v>
      </c>
      <c r="O98" s="21">
        <v>269926.33928069618</v>
      </c>
      <c r="P98" s="21">
        <v>269926.33928069618</v>
      </c>
      <c r="Q98" s="21">
        <v>269926.33928069618</v>
      </c>
      <c r="R98" s="21">
        <v>269926.33928069618</v>
      </c>
      <c r="S98" s="21">
        <v>269926.33928069618</v>
      </c>
      <c r="T98" s="21">
        <v>269926.33928069618</v>
      </c>
      <c r="U98" s="21">
        <v>269926.33928069618</v>
      </c>
      <c r="V98" s="21">
        <v>269926.33928069618</v>
      </c>
      <c r="W98" s="21">
        <v>269926.33928069618</v>
      </c>
      <c r="X98" s="21">
        <v>269926.33928069618</v>
      </c>
      <c r="Y98" s="21">
        <v>269926.33928069618</v>
      </c>
      <c r="Z98" s="21">
        <v>269926.33928069618</v>
      </c>
      <c r="AA98" s="21">
        <v>269926.33928069618</v>
      </c>
      <c r="AB98" s="43">
        <v>269926.33928069618</v>
      </c>
      <c r="AC98" s="43">
        <v>269926.33928069618</v>
      </c>
      <c r="AD98" s="93">
        <f>IF('[3]Mitigation summary'!G71*CO2toC*Ggtot&gt;0,'[3]Mitigation summary'!G71*CO2toC*Ggtot,"NO")</f>
        <v>3050891.1887046536</v>
      </c>
      <c r="AE98" s="93">
        <f>IF('[3]Mitigation summary'!H71*CO2toC*Ggtot&gt;0,'[3]Mitigation summary'!H71*CO2toC*Ggtot,"NO")</f>
        <v>3050891.1887046532</v>
      </c>
      <c r="AF98" s="93">
        <f>IF('[3]Mitigation summary'!I71*CO2toC*Ggtot&gt;0,'[3]Mitigation summary'!I71*CO2toC*Ggtot,"NO")</f>
        <v>3050891.1887046532</v>
      </c>
      <c r="AG98" s="93">
        <f>IF('[3]Mitigation summary'!J71*CO2toC*Ggtot&gt;0,'[3]Mitigation summary'!J71*CO2toC*Ggtot,"NO")</f>
        <v>3050891.1887046532</v>
      </c>
      <c r="AH98" s="93">
        <f>IF('[3]Mitigation summary'!K71*CO2toC*Ggtot&gt;0,'[3]Mitigation summary'!K71*CO2toC*Ggtot,"NO")</f>
        <v>3050891.1887046532</v>
      </c>
      <c r="AI98" s="93">
        <f>IF('[3]Mitigation summary'!L71*CO2toC*Ggtot&gt;0,'[3]Mitigation summary'!L71*CO2toC*Ggtot,"NO")</f>
        <v>3050891.1887046532</v>
      </c>
      <c r="AJ98" s="93">
        <f>IF('[3]Mitigation summary'!M71*CO2toC*Ggtot&gt;0,'[3]Mitigation summary'!M71*CO2toC*Ggtot,"NO")</f>
        <v>3050891.1887046532</v>
      </c>
      <c r="AK98" s="93">
        <f>IF('[3]Mitigation summary'!N71*CO2toC*Ggtot&gt;0,'[3]Mitigation summary'!N71*CO2toC*Ggtot,"NO")</f>
        <v>3050891.1887046532</v>
      </c>
      <c r="AL98" s="93">
        <f>IF('[3]Mitigation summary'!O71*CO2toC*Ggtot&gt;0,'[3]Mitigation summary'!O71*CO2toC*Ggtot,"NO")</f>
        <v>3050891.1887046532</v>
      </c>
      <c r="AM98" s="93">
        <f>IF('[3]Mitigation summary'!P71*CO2toC*Ggtot&gt;0,'[3]Mitigation summary'!P71*CO2toC*Ggtot,"NO")</f>
        <v>3050891.1887046532</v>
      </c>
      <c r="AN98" s="93">
        <f>IF('[3]Mitigation summary'!Q71*CO2toC*Ggtot&gt;0,'[3]Mitigation summary'!Q71*CO2toC*Ggtot,"NO")</f>
        <v>3050891.1887046532</v>
      </c>
      <c r="AO98" s="93">
        <f>IF('[3]Mitigation summary'!R71*CO2toC*Ggtot&gt;0,'[3]Mitigation summary'!R71*CO2toC*Ggtot,"NO")</f>
        <v>3050891.1887046532</v>
      </c>
      <c r="AP98" s="93">
        <f>IF('[3]Mitigation summary'!S71*CO2toC*Ggtot&gt;0,'[3]Mitigation summary'!S71*CO2toC*Ggtot,"NO")</f>
        <v>3050891.1887046532</v>
      </c>
      <c r="AQ98" s="93">
        <f>IF('[3]Mitigation summary'!T71*CO2toC*Ggtot&gt;0,'[3]Mitigation summary'!T71*CO2toC*Ggtot,"NO")</f>
        <v>3050891.1887046532</v>
      </c>
      <c r="AR98" s="93">
        <f>IF('[3]Mitigation summary'!U71*CO2toC*Ggtot&gt;0,'[3]Mitigation summary'!U71*CO2toC*Ggtot,"NO")</f>
        <v>3050891.1887046532</v>
      </c>
      <c r="AS98" s="93">
        <f>IF('[3]Mitigation summary'!V71*CO2toC*Ggtot&gt;0,'[3]Mitigation summary'!V71*CO2toC*Ggtot,"NO")</f>
        <v>3050891.1887046532</v>
      </c>
      <c r="AT98" s="93">
        <f>IF('[3]Mitigation summary'!W71*CO2toC*Ggtot&gt;0,'[3]Mitigation summary'!W71*CO2toC*Ggtot,"NO")</f>
        <v>3050891.1887046532</v>
      </c>
      <c r="AU98" s="93">
        <f>IF('[3]Mitigation summary'!X71*CO2toC*Ggtot&gt;0,'[3]Mitigation summary'!X71*CO2toC*Ggtot,"NO")</f>
        <v>3050891.1887046532</v>
      </c>
      <c r="AV98" s="93">
        <f>IF('[3]Mitigation summary'!Y71*CO2toC*Ggtot&gt;0,'[3]Mitigation summary'!Y71*CO2toC*Ggtot,"NO")</f>
        <v>3050891.1887046532</v>
      </c>
      <c r="AW98" s="93">
        <f>IF('[3]Mitigation summary'!Z71*CO2toC*Ggtot&gt;0,'[3]Mitigation summary'!Z71*CO2toC*Ggtot,"NO")</f>
        <v>3050891.1887046532</v>
      </c>
      <c r="AX98" s="93">
        <f>IF('[3]Mitigation summary'!AA71*CO2toC*Ggtot&gt;0,'[3]Mitigation summary'!AA71*CO2toC*Ggtot,"NO")</f>
        <v>3050891.1887046532</v>
      </c>
      <c r="AY98" s="93">
        <f>IF('[3]Mitigation summary'!AB71*CO2toC*Ggtot&gt;0,'[3]Mitigation summary'!AB71*CO2toC*Ggtot,"NO")</f>
        <v>3050891.1887046532</v>
      </c>
      <c r="AZ98" s="93">
        <f>IF('[3]Mitigation summary'!AC71*CO2toC*Ggtot&gt;0,'[3]Mitigation summary'!AC71*CO2toC*Ggtot,"NO")</f>
        <v>3050891.1887046532</v>
      </c>
      <c r="BA98" s="93">
        <f>IF('[3]Mitigation summary'!AD71*CO2toC*Ggtot&gt;0,'[3]Mitigation summary'!AD71*CO2toC*Ggtot,"NO")</f>
        <v>3050891.1887046532</v>
      </c>
      <c r="BB98" s="93">
        <f>IF('[3]Mitigation summary'!AE71*CO2toC*Ggtot&gt;0,'[3]Mitigation summary'!AE71*CO2toC*Ggtot,"NO")</f>
        <v>3050891.1887046532</v>
      </c>
      <c r="BC98" s="93">
        <f>IF('[3]Mitigation summary'!AF71*CO2toC*Ggtot&gt;0,'[3]Mitigation summary'!AF71*CO2toC*Ggtot,"NO")</f>
        <v>3050891.1887046532</v>
      </c>
      <c r="BD98" s="93">
        <f>IF('[3]Mitigation summary'!AG71*CO2toC*Ggtot&gt;0,'[3]Mitigation summary'!AG71*CO2toC*Ggtot,"NO")</f>
        <v>3050891.1887046532</v>
      </c>
      <c r="BE98" s="93">
        <f>IF('[3]Mitigation summary'!AH71*CO2toC*Ggtot&gt;0,'[3]Mitigation summary'!AH71*CO2toC*Ggtot,"NO")</f>
        <v>3050891.1887046532</v>
      </c>
      <c r="BF98" s="93">
        <f>IF('[3]Mitigation summary'!AI71*CO2toC*Ggtot&gt;0,'[3]Mitigation summary'!AI71*CO2toC*Ggtot,"NO")</f>
        <v>3050891.1887046532</v>
      </c>
      <c r="BG98" s="93">
        <f>IF('[3]Mitigation summary'!AJ71*CO2toC*Ggtot&gt;0,'[3]Mitigation summary'!AJ71*CO2toC*Ggtot,"NO")</f>
        <v>3050891.1887046532</v>
      </c>
      <c r="BH98" s="93">
        <f>IF('[3]Mitigation summary'!AK71*CO2toC*Ggtot&gt;0,'[3]Mitigation summary'!AK71*CO2toC*Ggtot,"NO")</f>
        <v>3050891.1887046532</v>
      </c>
      <c r="BI98" s="93">
        <f>IF('[3]Mitigation summary'!AL71*CO2toC*Ggtot&gt;0,'[3]Mitigation summary'!AL71*CO2toC*Ggtot,"NO")</f>
        <v>3050891.1887046532</v>
      </c>
      <c r="BJ98" s="93">
        <f>IF('[3]Mitigation summary'!AM71*CO2toC*Ggtot&gt;0,'[3]Mitigation summary'!AM71*CO2toC*Ggtot,"NO")</f>
        <v>3050891.1887046532</v>
      </c>
      <c r="BK98" s="93">
        <f>IF('[3]Mitigation summary'!AN71*CO2toC*Ggtot&gt;0,'[3]Mitigation summary'!AN71*CO2toC*Ggtot,"NO")</f>
        <v>3050891.1887046532</v>
      </c>
      <c r="BL98" s="93">
        <f>IF('[3]Mitigation summary'!AO71*CO2toC*Ggtot&gt;0,'[3]Mitigation summary'!AO71*CO2toC*Ggtot,"NO")</f>
        <v>3050891.1887046532</v>
      </c>
      <c r="BM98" s="93">
        <f>IF('[3]Mitigation summary'!AP71*CO2toC*Ggtot&gt;0,'[3]Mitigation summary'!AP71*CO2toC*Ggtot,"NO")</f>
        <v>3050891.1887046532</v>
      </c>
      <c r="BN98" s="93">
        <f>IF('[3]Mitigation summary'!AQ71*CO2toC*Ggtot&gt;0,'[3]Mitigation summary'!AQ71*CO2toC*Ggtot,"NO")</f>
        <v>3050891.1887046532</v>
      </c>
      <c r="BO98" s="93">
        <f>IF('[3]Mitigation summary'!AR71*CO2toC*Ggtot&gt;0,'[3]Mitigation summary'!AR71*CO2toC*Ggtot,"NO")</f>
        <v>3050891.1887046532</v>
      </c>
      <c r="BP98" s="93">
        <f>IF('[3]Mitigation summary'!AS71*CO2toC*Ggtot&gt;0,'[3]Mitigation summary'!AS71*CO2toC*Ggtot,"NO")</f>
        <v>3050891.1887046532</v>
      </c>
      <c r="BQ98" s="23"/>
    </row>
    <row r="99" spans="1:69" x14ac:dyDescent="0.25">
      <c r="AB99" s="11"/>
    </row>
    <row r="100" spans="1:69" x14ac:dyDescent="0.25">
      <c r="AB100" s="11"/>
    </row>
  </sheetData>
  <pageMargins left="0.7" right="0.7" top="0.75" bottom="0.75" header="0.3" footer="0.3"/>
  <drawing r:id="rId1"/>
  <extLst>
    <ext xmlns:x14="http://schemas.microsoft.com/office/spreadsheetml/2009/9/main" uri="{05C60535-1F16-4fd2-B633-F4F36F0B64E0}">
      <x14:sparklineGroups xmlns:xm="http://schemas.microsoft.com/office/excel/2006/main">
        <x14:sparklineGroup displayEmptyCellsAs="gap" xr2:uid="{00000000-0003-0000-0D00-000002000000}">
          <x14:colorSeries rgb="FF376092"/>
          <x14:colorNegative rgb="FFD00000"/>
          <x14:colorAxis rgb="FF000000"/>
          <x14:colorMarkers rgb="FFD00000"/>
          <x14:colorFirst rgb="FFD00000"/>
          <x14:colorLast rgb="FFD00000"/>
          <x14:colorHigh rgb="FFD00000"/>
          <x14:colorLow rgb="FFD00000"/>
          <x14:sparklines>
            <x14:sparkline>
              <xm:f>'Activity data'!AB45:BP45</xm:f>
              <xm:sqref>BR45</xm:sqref>
            </x14:sparkline>
            <x14:sparkline>
              <xm:f>'Activity data'!AB46:BP46</xm:f>
              <xm:sqref>BR46</xm:sqref>
            </x14:sparkline>
            <x14:sparkline>
              <xm:f>'Activity data'!AB47:BP47</xm:f>
              <xm:sqref>BR47</xm:sqref>
            </x14:sparkline>
            <x14:sparkline>
              <xm:f>'Activity data'!AB48:BP48</xm:f>
              <xm:sqref>BR48</xm:sqref>
            </x14:sparkline>
          </x14:sparklines>
        </x14:sparklineGroup>
        <x14:sparklineGroup displayEmptyCellsAs="gap" xr2:uid="{00000000-0003-0000-0D00-000003000000}">
          <x14:colorSeries rgb="FF376092"/>
          <x14:colorNegative rgb="FFD00000"/>
          <x14:colorAxis rgb="FF000000"/>
          <x14:colorMarkers rgb="FFD00000"/>
          <x14:colorFirst rgb="FFD00000"/>
          <x14:colorLast rgb="FFD00000"/>
          <x14:colorHigh rgb="FFD00000"/>
          <x14:colorLow rgb="FFD00000"/>
          <x14:sparklines>
            <x14:sparkline>
              <xm:f>'Activity data'!AB5:BP5</xm:f>
              <xm:sqref>BR5</xm:sqref>
            </x14:sparkline>
            <x14:sparkline>
              <xm:f>'Activity data'!AB6:BP6</xm:f>
              <xm:sqref>BR6</xm:sqref>
            </x14:sparkline>
            <x14:sparkline>
              <xm:f>'Activity data'!AB7:BP7</xm:f>
              <xm:sqref>BR7</xm:sqref>
            </x14:sparkline>
            <x14:sparkline>
              <xm:f>'Activity data'!AB8:BP8</xm:f>
              <xm:sqref>BR8</xm:sqref>
            </x14:sparkline>
            <x14:sparkline>
              <xm:f>'Activity data'!AB9:BP9</xm:f>
              <xm:sqref>BR9</xm:sqref>
            </x14:sparkline>
            <x14:sparkline>
              <xm:f>'Activity data'!AB10:BP10</xm:f>
              <xm:sqref>BR10</xm:sqref>
            </x14:sparkline>
            <x14:sparkline>
              <xm:f>'Activity data'!AB11:BP11</xm:f>
              <xm:sqref>BR11</xm:sqref>
            </x14:sparkline>
            <x14:sparkline>
              <xm:f>'Activity data'!AB12:BP12</xm:f>
              <xm:sqref>BR12</xm:sqref>
            </x14:sparkline>
            <x14:sparkline>
              <xm:f>'Activity data'!AB13:BP13</xm:f>
              <xm:sqref>BR13</xm:sqref>
            </x14:sparkline>
            <x14:sparkline>
              <xm:f>'Activity data'!AB14:BP14</xm:f>
              <xm:sqref>BR14</xm:sqref>
            </x14:sparkline>
            <x14:sparkline>
              <xm:f>'Activity data'!AB15:BP15</xm:f>
              <xm:sqref>BR15</xm:sqref>
            </x14:sparkline>
            <x14:sparkline>
              <xm:f>'Activity data'!AB16:BP16</xm:f>
              <xm:sqref>BR16</xm:sqref>
            </x14:sparkline>
            <x14:sparkline>
              <xm:f>'Activity data'!AB17:BP17</xm:f>
              <xm:sqref>BR17</xm:sqref>
            </x14:sparkline>
            <x14:sparkline>
              <xm:f>'Activity data'!AB18:BP18</xm:f>
              <xm:sqref>BR18</xm:sqref>
            </x14:sparkline>
            <x14:sparkline>
              <xm:f>'Activity data'!AB19:BP19</xm:f>
              <xm:sqref>BR19</xm:sqref>
            </x14:sparkline>
            <x14:sparkline>
              <xm:f>'Activity data'!AB20:BP20</xm:f>
              <xm:sqref>BR20</xm:sqref>
            </x14:sparkline>
            <x14:sparkline>
              <xm:f>'Activity data'!AB21:BP21</xm:f>
              <xm:sqref>BR21</xm:sqref>
            </x14:sparkline>
            <x14:sparkline>
              <xm:f>'Activity data'!AB22:BP22</xm:f>
              <xm:sqref>BR22</xm:sqref>
            </x14:sparkline>
          </x14:sparklines>
        </x14:sparklineGroup>
        <x14:sparklineGroup displayEmptyCellsAs="gap" xr2:uid="{00000000-0003-0000-0D00-000004000000}">
          <x14:colorSeries rgb="FF376092"/>
          <x14:colorNegative rgb="FFD00000"/>
          <x14:colorAxis rgb="FF000000"/>
          <x14:colorMarkers rgb="FFD00000"/>
          <x14:colorFirst rgb="FFD00000"/>
          <x14:colorLast rgb="FFD00000"/>
          <x14:colorHigh rgb="FFD00000"/>
          <x14:colorLow rgb="FFD00000"/>
          <x14:sparklines>
            <x14:sparkline>
              <xm:f>'Activity data'!AB24:BP24</xm:f>
              <xm:sqref>BR24</xm:sqref>
            </x14:sparkline>
            <x14:sparkline>
              <xm:f>'Activity data'!AB25:BP25</xm:f>
              <xm:sqref>BR25</xm:sqref>
            </x14:sparkline>
            <x14:sparkline>
              <xm:f>'Activity data'!AB26:BP26</xm:f>
              <xm:sqref>BR26</xm:sqref>
            </x14:sparkline>
            <x14:sparkline>
              <xm:f>'Activity data'!AB27:BP27</xm:f>
              <xm:sqref>BR27</xm:sqref>
            </x14:sparkline>
            <x14:sparkline>
              <xm:f>'Activity data'!AB28:BP28</xm:f>
              <xm:sqref>BR28</xm:sqref>
            </x14:sparkline>
            <x14:sparkline>
              <xm:f>'Activity data'!AB29:BP29</xm:f>
              <xm:sqref>BR29</xm:sqref>
            </x14:sparkline>
            <x14:sparkline>
              <xm:f>'Activity data'!AB30:BP30</xm:f>
              <xm:sqref>BR30</xm:sqref>
            </x14:sparkline>
            <x14:sparkline>
              <xm:f>'Activity data'!AB31:BP31</xm:f>
              <xm:sqref>BR31</xm:sqref>
            </x14:sparkline>
            <x14:sparkline>
              <xm:f>'Activity data'!AB32:BP32</xm:f>
              <xm:sqref>BR32</xm:sqref>
            </x14:sparkline>
            <x14:sparkline>
              <xm:f>'Activity data'!AB33:BP33</xm:f>
              <xm:sqref>BR33</xm:sqref>
            </x14:sparkline>
            <x14:sparkline>
              <xm:f>'Activity data'!AB34:BP34</xm:f>
              <xm:sqref>BR34</xm:sqref>
            </x14:sparkline>
            <x14:sparkline>
              <xm:f>'Activity data'!AB35:BP35</xm:f>
              <xm:sqref>BR35</xm:sqref>
            </x14:sparkline>
            <x14:sparkline>
              <xm:f>'Activity data'!AB36:BP36</xm:f>
              <xm:sqref>BR36</xm:sqref>
            </x14:sparkline>
            <x14:sparkline>
              <xm:f>'Activity data'!AB37:BP37</xm:f>
              <xm:sqref>BR37</xm:sqref>
            </x14:sparkline>
            <x14:sparkline>
              <xm:f>'Activity data'!AB38:BP38</xm:f>
              <xm:sqref>BR38</xm:sqref>
            </x14:sparkline>
            <x14:sparkline>
              <xm:f>'Activity data'!AB39:BP39</xm:f>
              <xm:sqref>BR39</xm:sqref>
            </x14:sparkline>
          </x14:sparklines>
        </x14:sparklineGroup>
        <x14:sparklineGroup displayEmptyCellsAs="gap" xr2:uid="{00000000-0003-0000-0D00-000005000000}">
          <x14:colorSeries rgb="FF376092"/>
          <x14:colorNegative rgb="FFD00000"/>
          <x14:colorAxis rgb="FF000000"/>
          <x14:colorMarkers rgb="FFD00000"/>
          <x14:colorFirst rgb="FFD00000"/>
          <x14:colorLast rgb="FFD00000"/>
          <x14:colorHigh rgb="FFD00000"/>
          <x14:colorLow rgb="FFD00000"/>
          <x14:sparklines>
            <x14:sparkline>
              <xm:f>'Activity data'!AB41:BP41</xm:f>
              <xm:sqref>BR41</xm:sqref>
            </x14:sparkline>
            <x14:sparkline>
              <xm:f>'Activity data'!AB42:BP42</xm:f>
              <xm:sqref>BR42</xm:sqref>
            </x14:sparkline>
            <x14:sparkline>
              <xm:f>'Activity data'!AB43:BP43</xm:f>
              <xm:sqref>BR43</xm:sqref>
            </x14:sparkline>
          </x14:sparklines>
        </x14:sparklineGroup>
      </x14:sparklineGroup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92D050"/>
  </sheetPr>
  <dimension ref="A1:AO221"/>
  <sheetViews>
    <sheetView topLeftCell="G37" workbookViewId="0">
      <selection activeCell="J32" sqref="J32"/>
    </sheetView>
  </sheetViews>
  <sheetFormatPr defaultRowHeight="15" x14ac:dyDescent="0.25"/>
  <cols>
    <col min="1" max="1" width="19.42578125" customWidth="1"/>
    <col min="2" max="2" width="33.140625" customWidth="1"/>
    <col min="3" max="3" width="27.7109375" customWidth="1"/>
    <col min="4" max="4" width="27.5703125" customWidth="1"/>
    <col min="5" max="5" width="24.42578125" customWidth="1"/>
    <col min="6" max="6" width="9" customWidth="1"/>
    <col min="7" max="7" width="16.42578125" customWidth="1"/>
    <col min="8" max="8" width="9.85546875" customWidth="1"/>
    <col min="12" max="12" width="9.85546875" customWidth="1"/>
    <col min="17" max="17" width="12" bestFit="1" customWidth="1"/>
  </cols>
  <sheetData>
    <row r="1" spans="1:41" ht="18.75" x14ac:dyDescent="0.3">
      <c r="A1" s="1" t="s">
        <v>143</v>
      </c>
    </row>
    <row r="3" spans="1:41" s="19" customFormat="1" ht="29.25" customHeight="1" x14ac:dyDescent="0.25">
      <c r="A3" s="17" t="s">
        <v>4</v>
      </c>
      <c r="B3" s="17" t="s">
        <v>313</v>
      </c>
      <c r="C3" s="17" t="s">
        <v>315</v>
      </c>
      <c r="D3" s="17" t="s">
        <v>149</v>
      </c>
      <c r="E3" s="17" t="s">
        <v>150</v>
      </c>
      <c r="F3" s="17" t="s">
        <v>5</v>
      </c>
      <c r="G3" s="17" t="s">
        <v>0</v>
      </c>
      <c r="H3" s="18" t="s">
        <v>751</v>
      </c>
      <c r="I3" s="18"/>
      <c r="J3" s="18" t="s">
        <v>1023</v>
      </c>
      <c r="K3" s="18"/>
      <c r="L3" s="18" t="s">
        <v>1024</v>
      </c>
      <c r="M3" s="18"/>
      <c r="N3" s="18" t="s">
        <v>1025</v>
      </c>
      <c r="O3" s="18"/>
      <c r="P3" s="18" t="s">
        <v>1026</v>
      </c>
      <c r="Q3" s="18"/>
      <c r="R3" s="18" t="s">
        <v>279</v>
      </c>
      <c r="S3" s="18"/>
      <c r="T3" s="18"/>
      <c r="U3" s="18"/>
      <c r="V3" s="18"/>
      <c r="W3" s="18"/>
      <c r="X3" s="18"/>
      <c r="Y3" s="18"/>
      <c r="Z3" s="18"/>
      <c r="AA3" s="18"/>
      <c r="AB3" s="18"/>
      <c r="AC3" s="18"/>
      <c r="AD3" s="18"/>
      <c r="AE3" s="18"/>
      <c r="AF3" s="18"/>
      <c r="AG3" s="18"/>
      <c r="AH3" s="18"/>
      <c r="AI3" s="18"/>
      <c r="AJ3" s="18"/>
      <c r="AK3" s="18"/>
      <c r="AL3" s="18"/>
      <c r="AM3" s="18"/>
      <c r="AN3" s="18"/>
      <c r="AO3" s="18"/>
    </row>
    <row r="4" spans="1:41" x14ac:dyDescent="0.25">
      <c r="A4" t="str">
        <f>'IPCC Categories'!A5</f>
        <v>3A Livestock</v>
      </c>
      <c r="B4" t="str">
        <f>'IPCC Categories'!B5</f>
        <v>3A1 Enteric fermentation (CH4)</v>
      </c>
      <c r="C4" t="str">
        <f>'Activity data'!C5</f>
        <v>3A1ai Dairy cattle</v>
      </c>
      <c r="D4" t="str">
        <f>'Activity data'!D5</f>
        <v>TMR</v>
      </c>
      <c r="E4" t="str">
        <f>'IPCC Categories'!F32&amp;" EF"</f>
        <v>Enteric fermentation EF</v>
      </c>
      <c r="F4" t="s">
        <v>121</v>
      </c>
      <c r="G4" t="s">
        <v>144</v>
      </c>
      <c r="H4" s="26">
        <f>SUM('Aggregated EF'!H8:H10)</f>
        <v>122.43852137301079</v>
      </c>
      <c r="J4">
        <v>6</v>
      </c>
      <c r="L4">
        <f>((H4*55.65)/365)/(J4/100)</f>
        <v>311.12802348895207</v>
      </c>
      <c r="N4">
        <f>L4/18.4515</f>
        <v>16.861936617020408</v>
      </c>
      <c r="P4">
        <f>(J4+POWER(9,-15))/0.3016</f>
        <v>19.893899204244047</v>
      </c>
      <c r="R4">
        <f>P4*N4*0.001*365</f>
        <v>122.4391286182849</v>
      </c>
      <c r="T4" s="108">
        <f>R4-H4</f>
        <v>6.0724527411082363E-4</v>
      </c>
    </row>
    <row r="5" spans="1:41" x14ac:dyDescent="0.25">
      <c r="A5" t="str">
        <f>A4</f>
        <v>3A Livestock</v>
      </c>
      <c r="B5" t="str">
        <f>B4</f>
        <v>3A1 Enteric fermentation (CH4)</v>
      </c>
      <c r="C5" t="str">
        <f>'Activity data'!C6</f>
        <v>3A1ai Dairy cattle</v>
      </c>
      <c r="D5" t="str">
        <f>'Activity data'!D6</f>
        <v>Pasture</v>
      </c>
      <c r="E5" t="str">
        <f t="shared" ref="E5:E17" si="0">E4</f>
        <v>Enteric fermentation EF</v>
      </c>
      <c r="F5" t="str">
        <f>F4</f>
        <v>CH4</v>
      </c>
      <c r="G5" t="str">
        <f>G4</f>
        <v>kg CH4/head/yr</v>
      </c>
      <c r="H5" s="26">
        <f>SUM('Aggregated EF'!H5:H7)</f>
        <v>118.18939556126456</v>
      </c>
      <c r="J5">
        <v>6.3</v>
      </c>
      <c r="L5">
        <f t="shared" ref="L5:L17" si="1">((H5*55.65)/365)/(J5/100)</f>
        <v>286.02913081036627</v>
      </c>
      <c r="N5">
        <f>L5/18.4515</f>
        <v>15.501673620592705</v>
      </c>
      <c r="P5">
        <f t="shared" ref="P5:P17" si="2">(J5+POWER(9,-15))/0.3016</f>
        <v>20.888594164456251</v>
      </c>
      <c r="R5">
        <f t="shared" ref="R5:R17" si="3">P5*N5*0.001*365</f>
        <v>118.18998173260263</v>
      </c>
      <c r="T5" s="108">
        <f t="shared" ref="T5:T17" si="4">R5-H5</f>
        <v>5.8617133807103983E-4</v>
      </c>
    </row>
    <row r="6" spans="1:41" x14ac:dyDescent="0.25">
      <c r="A6" t="str">
        <f t="shared" ref="A6:A69" si="5">A5</f>
        <v>3A Livestock</v>
      </c>
      <c r="B6" t="str">
        <f t="shared" ref="B6:B17" si="6">B5</f>
        <v>3A1 Enteric fermentation (CH4)</v>
      </c>
      <c r="C6" t="str">
        <f>'Activity data'!C7</f>
        <v>3A1aii Other cattle</v>
      </c>
      <c r="D6" t="str">
        <f>'Activity data'!D7</f>
        <v>Non-lactating</v>
      </c>
      <c r="E6" t="str">
        <f t="shared" si="0"/>
        <v>Enteric fermentation EF</v>
      </c>
      <c r="F6" t="str">
        <f>F5</f>
        <v>CH4</v>
      </c>
      <c r="G6" t="str">
        <f>G5</f>
        <v>kg CH4/head/yr</v>
      </c>
      <c r="H6" s="26">
        <f>SUM('Aggregated EF'!H12:H21)</f>
        <v>43.047261887683739</v>
      </c>
      <c r="J6">
        <v>7</v>
      </c>
      <c r="L6">
        <f t="shared" si="1"/>
        <v>93.760474522489218</v>
      </c>
      <c r="N6">
        <f t="shared" ref="N6:N17" si="7">L6/18.4515</f>
        <v>5.0814554113480863</v>
      </c>
      <c r="P6">
        <f t="shared" si="2"/>
        <v>23.209549071618053</v>
      </c>
      <c r="R6">
        <f t="shared" si="3"/>
        <v>43.047475384596716</v>
      </c>
      <c r="T6" s="108">
        <f t="shared" si="4"/>
        <v>2.1349691297700701E-4</v>
      </c>
    </row>
    <row r="7" spans="1:41" x14ac:dyDescent="0.25">
      <c r="A7" t="str">
        <f t="shared" si="5"/>
        <v>3A Livestock</v>
      </c>
      <c r="B7" t="str">
        <f t="shared" si="6"/>
        <v>3A1 Enteric fermentation (CH4)</v>
      </c>
      <c r="C7" t="str">
        <f>'Activity data'!C8</f>
        <v>3A1aii Other cattle</v>
      </c>
      <c r="D7" t="str">
        <f>'Activity data'!D8</f>
        <v>Commercial</v>
      </c>
      <c r="E7" t="str">
        <f>E5</f>
        <v>Enteric fermentation EF</v>
      </c>
      <c r="F7" t="str">
        <f>F5</f>
        <v>CH4</v>
      </c>
      <c r="G7" t="str">
        <f>G5</f>
        <v>kg CH4/head/yr</v>
      </c>
      <c r="H7" s="26">
        <f>SUM('Aggregated EF'!H22:H24,'Aggregated EF'!H26:H28)</f>
        <v>77.790815813890134</v>
      </c>
      <c r="J7">
        <v>7</v>
      </c>
      <c r="L7">
        <f t="shared" si="1"/>
        <v>169.43479060833602</v>
      </c>
      <c r="N7">
        <f t="shared" si="7"/>
        <v>9.1827109236829543</v>
      </c>
      <c r="P7">
        <f t="shared" si="2"/>
        <v>23.209549071618053</v>
      </c>
      <c r="R7">
        <f t="shared" si="3"/>
        <v>77.791201624701472</v>
      </c>
      <c r="T7" s="108">
        <f t="shared" si="4"/>
        <v>3.8581081133770567E-4</v>
      </c>
    </row>
    <row r="8" spans="1:41" x14ac:dyDescent="0.25">
      <c r="A8" t="str">
        <f t="shared" si="5"/>
        <v>3A Livestock</v>
      </c>
      <c r="B8" t="str">
        <f t="shared" si="6"/>
        <v>3A1 Enteric fermentation (CH4)</v>
      </c>
      <c r="C8" t="str">
        <f>'Activity data'!C9</f>
        <v>3A1aii Other cattle</v>
      </c>
      <c r="D8" t="str">
        <f>'Activity data'!D9</f>
        <v>Subsistence</v>
      </c>
      <c r="E8" t="str">
        <f t="shared" si="0"/>
        <v>Enteric fermentation EF</v>
      </c>
      <c r="F8" t="str">
        <f t="shared" ref="F8:F35" si="8">F7</f>
        <v>CH4</v>
      </c>
      <c r="G8" t="str">
        <f t="shared" ref="G8:G17" si="9">G7</f>
        <v>kg CH4/head/yr</v>
      </c>
      <c r="H8" s="26">
        <f>SUM('Aggregated EF'!H29:H34)</f>
        <v>61.771690572163486</v>
      </c>
      <c r="J8">
        <v>7</v>
      </c>
      <c r="L8">
        <f t="shared" si="1"/>
        <v>134.54381919142457</v>
      </c>
      <c r="N8">
        <f t="shared" si="7"/>
        <v>7.2917550980367221</v>
      </c>
      <c r="P8">
        <f t="shared" si="2"/>
        <v>23.209549071618053</v>
      </c>
      <c r="R8">
        <f t="shared" si="3"/>
        <v>61.771996934628113</v>
      </c>
      <c r="T8" s="108">
        <f t="shared" si="4"/>
        <v>3.0636246462734107E-4</v>
      </c>
    </row>
    <row r="9" spans="1:41" x14ac:dyDescent="0.25">
      <c r="A9" t="str">
        <f t="shared" si="5"/>
        <v>3A Livestock</v>
      </c>
      <c r="B9" t="str">
        <f t="shared" si="6"/>
        <v>3A1 Enteric fermentation (CH4)</v>
      </c>
      <c r="C9" t="str">
        <f>'Activity data'!C10</f>
        <v>3A1aii Other cattle</v>
      </c>
      <c r="D9" t="str">
        <f>'Activity data'!D10</f>
        <v>Feedlot</v>
      </c>
      <c r="E9" t="str">
        <f t="shared" si="0"/>
        <v>Enteric fermentation EF</v>
      </c>
      <c r="F9" t="str">
        <f t="shared" si="8"/>
        <v>CH4</v>
      </c>
      <c r="G9" t="str">
        <f t="shared" si="9"/>
        <v>kg CH4/head/yr</v>
      </c>
      <c r="H9" s="26">
        <f>'Aggregated EF'!H25</f>
        <v>58.9</v>
      </c>
      <c r="J9">
        <v>3</v>
      </c>
      <c r="L9">
        <f t="shared" si="1"/>
        <v>299.34109589041094</v>
      </c>
      <c r="N9">
        <f t="shared" si="7"/>
        <v>16.223130688042215</v>
      </c>
      <c r="P9">
        <f t="shared" si="2"/>
        <v>9.9469496021220323</v>
      </c>
      <c r="R9">
        <f t="shared" si="3"/>
        <v>58.900292120047261</v>
      </c>
      <c r="T9" s="108">
        <f t="shared" si="4"/>
        <v>2.9212004726275609E-4</v>
      </c>
    </row>
    <row r="10" spans="1:41" x14ac:dyDescent="0.25">
      <c r="A10" t="str">
        <f t="shared" si="5"/>
        <v>3A Livestock</v>
      </c>
      <c r="B10" t="str">
        <f t="shared" si="6"/>
        <v>3A1 Enteric fermentation (CH4)</v>
      </c>
      <c r="C10" t="str">
        <f>'Activity data'!C11</f>
        <v>3A1c Sheep</v>
      </c>
      <c r="D10" t="str">
        <f>'Activity data'!D11</f>
        <v>Commercial</v>
      </c>
      <c r="E10" t="str">
        <f t="shared" si="0"/>
        <v>Enteric fermentation EF</v>
      </c>
      <c r="F10" t="str">
        <f t="shared" si="8"/>
        <v>CH4</v>
      </c>
      <c r="G10" t="str">
        <f t="shared" si="9"/>
        <v>kg CH4/head/yr</v>
      </c>
      <c r="H10" s="26">
        <f>SUM('Aggregated EF'!H36:H59)</f>
        <v>6.9715683106127573</v>
      </c>
      <c r="J10">
        <v>6.7</v>
      </c>
      <c r="L10">
        <f t="shared" si="1"/>
        <v>15.864558433269265</v>
      </c>
      <c r="N10">
        <f t="shared" si="7"/>
        <v>0.85979776350265646</v>
      </c>
      <c r="P10">
        <f t="shared" si="2"/>
        <v>22.214854111405852</v>
      </c>
      <c r="R10">
        <f t="shared" si="3"/>
        <v>6.9716028867564583</v>
      </c>
      <c r="T10" s="108">
        <f t="shared" si="4"/>
        <v>3.4576143701059436E-5</v>
      </c>
    </row>
    <row r="11" spans="1:41" x14ac:dyDescent="0.25">
      <c r="A11" t="str">
        <f t="shared" si="5"/>
        <v>3A Livestock</v>
      </c>
      <c r="B11" t="str">
        <f t="shared" si="6"/>
        <v>3A1 Enteric fermentation (CH4)</v>
      </c>
      <c r="C11" t="str">
        <f>'Activity data'!C12</f>
        <v>3A1c Sheep</v>
      </c>
      <c r="D11" t="str">
        <f>'Activity data'!D12</f>
        <v>Subsistence</v>
      </c>
      <c r="E11" t="str">
        <f t="shared" si="0"/>
        <v>Enteric fermentation EF</v>
      </c>
      <c r="F11" t="str">
        <f t="shared" si="8"/>
        <v>CH4</v>
      </c>
      <c r="G11" t="str">
        <f t="shared" si="9"/>
        <v>kg CH4/head/yr</v>
      </c>
      <c r="H11" s="26">
        <f>SUM('Aggregated EF'!H60:H83)</f>
        <v>5.0562757874656858</v>
      </c>
      <c r="J11">
        <v>6.7</v>
      </c>
      <c r="L11">
        <f t="shared" si="1"/>
        <v>11.506102947146408</v>
      </c>
      <c r="N11">
        <f t="shared" si="7"/>
        <v>0.62358631803085973</v>
      </c>
      <c r="P11">
        <f t="shared" si="2"/>
        <v>22.214854111405852</v>
      </c>
      <c r="R11">
        <f t="shared" si="3"/>
        <v>5.0563008645373637</v>
      </c>
      <c r="T11" s="108">
        <f t="shared" si="4"/>
        <v>2.5077071677870322E-5</v>
      </c>
    </row>
    <row r="12" spans="1:41" x14ac:dyDescent="0.25">
      <c r="A12" t="str">
        <f t="shared" si="5"/>
        <v>3A Livestock</v>
      </c>
      <c r="B12" t="str">
        <f t="shared" si="6"/>
        <v>3A1 Enteric fermentation (CH4)</v>
      </c>
      <c r="C12" t="str">
        <f>'Activity data'!C13</f>
        <v>3A1d Goats</v>
      </c>
      <c r="D12" t="str">
        <f>'Activity data'!D13</f>
        <v>Commercial</v>
      </c>
      <c r="E12" t="str">
        <f t="shared" si="0"/>
        <v>Enteric fermentation EF</v>
      </c>
      <c r="F12" t="str">
        <f t="shared" si="8"/>
        <v>CH4</v>
      </c>
      <c r="G12" t="str">
        <f t="shared" si="9"/>
        <v>kg CH4/head/yr</v>
      </c>
      <c r="H12" s="26">
        <f>SUM('Aggregated EF'!H85:H102)</f>
        <v>7.3127480970496874</v>
      </c>
      <c r="J12">
        <v>5.5</v>
      </c>
      <c r="L12">
        <f t="shared" si="1"/>
        <v>20.271702694934749</v>
      </c>
      <c r="N12">
        <f t="shared" si="7"/>
        <v>1.0986479524664525</v>
      </c>
      <c r="P12">
        <f t="shared" si="2"/>
        <v>18.236074270557044</v>
      </c>
      <c r="R12">
        <f t="shared" si="3"/>
        <v>7.3127843653063831</v>
      </c>
      <c r="T12" s="108">
        <f t="shared" si="4"/>
        <v>3.6268256695670686E-5</v>
      </c>
    </row>
    <row r="13" spans="1:41" x14ac:dyDescent="0.25">
      <c r="A13" t="str">
        <f t="shared" si="5"/>
        <v>3A Livestock</v>
      </c>
      <c r="B13" t="str">
        <f t="shared" si="6"/>
        <v>3A1 Enteric fermentation (CH4)</v>
      </c>
      <c r="C13" t="str">
        <f>'Activity data'!C14</f>
        <v>3A1d Goats</v>
      </c>
      <c r="D13" t="str">
        <f>'Activity data'!D14</f>
        <v>Subsistence</v>
      </c>
      <c r="E13" t="str">
        <f t="shared" si="0"/>
        <v>Enteric fermentation EF</v>
      </c>
      <c r="F13" t="str">
        <f t="shared" si="8"/>
        <v>CH4</v>
      </c>
      <c r="G13" t="str">
        <f t="shared" si="9"/>
        <v>kg CH4/head/yr</v>
      </c>
      <c r="H13" s="26">
        <f>SUM('Aggregated EF'!H103:H108)</f>
        <v>5.5750300000000008</v>
      </c>
      <c r="J13">
        <v>5.5</v>
      </c>
      <c r="L13">
        <f t="shared" si="1"/>
        <v>15.454566351183065</v>
      </c>
      <c r="N13">
        <f t="shared" si="7"/>
        <v>0.83757777693862645</v>
      </c>
      <c r="P13">
        <f t="shared" si="2"/>
        <v>18.236074270557044</v>
      </c>
      <c r="R13">
        <f t="shared" si="3"/>
        <v>5.5750576498816118</v>
      </c>
      <c r="T13" s="108">
        <f t="shared" si="4"/>
        <v>2.7649881610969373E-5</v>
      </c>
    </row>
    <row r="14" spans="1:41" x14ac:dyDescent="0.25">
      <c r="A14" t="str">
        <f t="shared" si="5"/>
        <v>3A Livestock</v>
      </c>
      <c r="B14" t="str">
        <f t="shared" si="6"/>
        <v>3A1 Enteric fermentation (CH4)</v>
      </c>
      <c r="C14" t="str">
        <f>'Activity data'!C15</f>
        <v>3A1f Horses</v>
      </c>
      <c r="D14" t="str">
        <f>'Activity data'!D15</f>
        <v>Horses</v>
      </c>
      <c r="E14" t="str">
        <f t="shared" si="0"/>
        <v>Enteric fermentation EF</v>
      </c>
      <c r="F14" t="str">
        <f t="shared" si="8"/>
        <v>CH4</v>
      </c>
      <c r="G14" t="str">
        <f t="shared" si="9"/>
        <v>kg CH4/head/yr</v>
      </c>
      <c r="H14" s="26">
        <f>'Aggregated EF'!H110</f>
        <v>18</v>
      </c>
      <c r="J14">
        <v>6.5</v>
      </c>
      <c r="L14">
        <f t="shared" si="1"/>
        <v>42.221285563751316</v>
      </c>
      <c r="N14">
        <f t="shared" si="7"/>
        <v>2.2882305267187664</v>
      </c>
      <c r="P14">
        <f t="shared" si="2"/>
        <v>21.55172413793105</v>
      </c>
      <c r="R14">
        <f t="shared" si="3"/>
        <v>18.000089272679965</v>
      </c>
      <c r="T14" s="108">
        <f t="shared" si="4"/>
        <v>8.9272679964835788E-5</v>
      </c>
    </row>
    <row r="15" spans="1:41" x14ac:dyDescent="0.25">
      <c r="A15" t="str">
        <f t="shared" si="5"/>
        <v>3A Livestock</v>
      </c>
      <c r="B15" t="str">
        <f t="shared" si="6"/>
        <v>3A1 Enteric fermentation (CH4)</v>
      </c>
      <c r="C15" t="str">
        <f>'Activity data'!C16</f>
        <v>3A1g Mules &amp; asses</v>
      </c>
      <c r="D15" t="str">
        <f>'Activity data'!D16</f>
        <v>Mules &amp; Asses</v>
      </c>
      <c r="E15" t="str">
        <f t="shared" si="0"/>
        <v>Enteric fermentation EF</v>
      </c>
      <c r="F15" t="str">
        <f t="shared" si="8"/>
        <v>CH4</v>
      </c>
      <c r="G15" t="str">
        <f t="shared" si="9"/>
        <v>kg CH4/head/yr</v>
      </c>
      <c r="H15" s="26">
        <f>'Aggregated EF'!H112</f>
        <v>10</v>
      </c>
      <c r="J15">
        <v>6.5</v>
      </c>
      <c r="L15">
        <f t="shared" si="1"/>
        <v>23.456269757639621</v>
      </c>
      <c r="N15">
        <f t="shared" si="7"/>
        <v>1.2712391815104258</v>
      </c>
      <c r="P15">
        <f t="shared" si="2"/>
        <v>21.55172413793105</v>
      </c>
      <c r="R15">
        <f t="shared" si="3"/>
        <v>10.000049595933314</v>
      </c>
      <c r="T15" s="108">
        <f t="shared" si="4"/>
        <v>4.9595933313995033E-5</v>
      </c>
    </row>
    <row r="16" spans="1:41" x14ac:dyDescent="0.25">
      <c r="A16" t="str">
        <f t="shared" si="5"/>
        <v>3A Livestock</v>
      </c>
      <c r="B16" t="str">
        <f t="shared" si="6"/>
        <v>3A1 Enteric fermentation (CH4)</v>
      </c>
      <c r="C16" t="str">
        <f>'Activity data'!C17</f>
        <v>3A1h Swine</v>
      </c>
      <c r="D16" t="str">
        <f>'Activity data'!D17</f>
        <v>Commercial</v>
      </c>
      <c r="E16" t="str">
        <f t="shared" si="0"/>
        <v>Enteric fermentation EF</v>
      </c>
      <c r="F16" t="str">
        <f t="shared" si="8"/>
        <v>CH4</v>
      </c>
      <c r="G16" t="str">
        <f t="shared" si="9"/>
        <v>kg CH4/head/yr</v>
      </c>
      <c r="H16" s="26">
        <f>SUM('Aggregated EF'!H114:H123)</f>
        <v>1.1111400000000002</v>
      </c>
      <c r="J16">
        <v>0.7</v>
      </c>
      <c r="L16">
        <f t="shared" si="1"/>
        <v>24.201542465753434</v>
      </c>
      <c r="N16">
        <f t="shared" si="7"/>
        <v>1.3116300824189597</v>
      </c>
      <c r="P16">
        <f t="shared" si="2"/>
        <v>2.3209549071618198</v>
      </c>
      <c r="R16">
        <f t="shared" si="3"/>
        <v>1.1111455108025416</v>
      </c>
      <c r="T16" s="108">
        <f t="shared" si="4"/>
        <v>5.510802541408566E-6</v>
      </c>
    </row>
    <row r="17" spans="1:20" x14ac:dyDescent="0.25">
      <c r="A17" t="str">
        <f t="shared" si="5"/>
        <v>3A Livestock</v>
      </c>
      <c r="B17" t="str">
        <f t="shared" si="6"/>
        <v>3A1 Enteric fermentation (CH4)</v>
      </c>
      <c r="C17" t="str">
        <f>'Activity data'!C18</f>
        <v>3A1h Swine</v>
      </c>
      <c r="D17" t="str">
        <f>'Activity data'!D18</f>
        <v>Subsistence</v>
      </c>
      <c r="E17" t="str">
        <f t="shared" si="0"/>
        <v>Enteric fermentation EF</v>
      </c>
      <c r="F17" t="str">
        <f t="shared" si="8"/>
        <v>CH4</v>
      </c>
      <c r="G17" t="str">
        <f t="shared" si="9"/>
        <v>kg CH4/head/yr</v>
      </c>
      <c r="H17" s="26">
        <f>SUM('Aggregated EF'!H124:H133)</f>
        <v>1.1290500000000001</v>
      </c>
      <c r="J17">
        <v>0.7</v>
      </c>
      <c r="L17">
        <f t="shared" si="1"/>
        <v>24.591636986301374</v>
      </c>
      <c r="N17">
        <f t="shared" si="7"/>
        <v>1.3327716980354647</v>
      </c>
      <c r="P17">
        <f t="shared" si="2"/>
        <v>2.3209549071618198</v>
      </c>
      <c r="R17">
        <f t="shared" si="3"/>
        <v>1.129055599628858</v>
      </c>
      <c r="T17" s="108">
        <f t="shared" si="4"/>
        <v>5.59962885793297E-6</v>
      </c>
    </row>
    <row r="18" spans="1:20" x14ac:dyDescent="0.25">
      <c r="A18" t="str">
        <f t="shared" si="5"/>
        <v>3A Livestock</v>
      </c>
      <c r="B18" t="str">
        <f>'IPCC Categories'!B12</f>
        <v>3A2 Manure management (CH4)</v>
      </c>
      <c r="C18" t="str">
        <f>'Activity data'!C5</f>
        <v>3A1ai Dairy cattle</v>
      </c>
      <c r="D18" t="str">
        <f>'Activity data'!D5</f>
        <v>TMR</v>
      </c>
      <c r="E18" t="str">
        <f>'IPCC Categories'!F33&amp;" EF"</f>
        <v>Manure management EF</v>
      </c>
      <c r="F18" t="str">
        <f t="shared" si="8"/>
        <v>CH4</v>
      </c>
      <c r="G18" t="s">
        <v>144</v>
      </c>
      <c r="H18" s="26">
        <f>SUM('Aggregated EF'!N8:N10)</f>
        <v>12.458616998501393</v>
      </c>
    </row>
    <row r="19" spans="1:20" x14ac:dyDescent="0.25">
      <c r="A19" t="str">
        <f t="shared" si="5"/>
        <v>3A Livestock</v>
      </c>
      <c r="B19" t="str">
        <f>B18</f>
        <v>3A2 Manure management (CH4)</v>
      </c>
      <c r="C19" t="str">
        <f>'Activity data'!C6</f>
        <v>3A1ai Dairy cattle</v>
      </c>
      <c r="D19" t="str">
        <f>'Activity data'!D6</f>
        <v>Pasture</v>
      </c>
      <c r="E19" t="str">
        <f>E18</f>
        <v>Manure management EF</v>
      </c>
      <c r="F19" t="str">
        <f t="shared" si="8"/>
        <v>CH4</v>
      </c>
      <c r="G19" t="s">
        <v>144</v>
      </c>
      <c r="H19" s="26">
        <f>SUM('Aggregated EF'!N5:N7)</f>
        <v>4.2839434810533081</v>
      </c>
    </row>
    <row r="20" spans="1:20" x14ac:dyDescent="0.25">
      <c r="A20" t="str">
        <f t="shared" si="5"/>
        <v>3A Livestock</v>
      </c>
      <c r="B20" t="str">
        <f t="shared" ref="B20:B35" si="10">B19</f>
        <v>3A2 Manure management (CH4)</v>
      </c>
      <c r="C20" t="str">
        <f>'Activity data'!C7</f>
        <v>3A1aii Other cattle</v>
      </c>
      <c r="D20" t="str">
        <f>'Activity data'!D7</f>
        <v>Non-lactating</v>
      </c>
      <c r="E20" t="str">
        <f>E19</f>
        <v>Manure management EF</v>
      </c>
      <c r="F20" t="str">
        <f t="shared" si="8"/>
        <v>CH4</v>
      </c>
      <c r="G20" t="s">
        <v>144</v>
      </c>
      <c r="H20" s="26">
        <f>SUM('Aggregated EF'!N12:N21)</f>
        <v>0.71275396941061553</v>
      </c>
    </row>
    <row r="21" spans="1:20" x14ac:dyDescent="0.25">
      <c r="A21" t="str">
        <f t="shared" si="5"/>
        <v>3A Livestock</v>
      </c>
      <c r="B21" t="str">
        <f t="shared" si="10"/>
        <v>3A2 Manure management (CH4)</v>
      </c>
      <c r="C21" t="str">
        <f>'Activity data'!C8</f>
        <v>3A1aii Other cattle</v>
      </c>
      <c r="D21" t="str">
        <f>'Activity data'!D8</f>
        <v>Commercial</v>
      </c>
      <c r="E21" t="str">
        <f>E19</f>
        <v>Manure management EF</v>
      </c>
      <c r="F21" t="str">
        <f>F19</f>
        <v>CH4</v>
      </c>
      <c r="G21" t="s">
        <v>144</v>
      </c>
      <c r="H21" s="26">
        <f>SUM('Aggregated EF'!N22:N24,'Aggregated EF'!N26:N28)</f>
        <v>1.5931745829252119E-2</v>
      </c>
    </row>
    <row r="22" spans="1:20" x14ac:dyDescent="0.25">
      <c r="A22" t="str">
        <f t="shared" si="5"/>
        <v>3A Livestock</v>
      </c>
      <c r="B22" t="str">
        <f t="shared" si="10"/>
        <v>3A2 Manure management (CH4)</v>
      </c>
      <c r="C22" t="str">
        <f>'Activity data'!C9</f>
        <v>3A1aii Other cattle</v>
      </c>
      <c r="D22" t="str">
        <f>'Activity data'!D9</f>
        <v>Subsistence</v>
      </c>
      <c r="E22" t="str">
        <f t="shared" ref="E22:E56" si="11">E21</f>
        <v>Manure management EF</v>
      </c>
      <c r="F22" t="str">
        <f t="shared" si="8"/>
        <v>CH4</v>
      </c>
      <c r="G22" t="s">
        <v>144</v>
      </c>
      <c r="H22" s="26">
        <f>SUM('Aggregated EF'!N29:N34)</f>
        <v>1.3196902890530698E-2</v>
      </c>
    </row>
    <row r="23" spans="1:20" ht="15.75" x14ac:dyDescent="0.25">
      <c r="A23" t="str">
        <f t="shared" si="5"/>
        <v>3A Livestock</v>
      </c>
      <c r="B23" t="str">
        <f t="shared" si="10"/>
        <v>3A2 Manure management (CH4)</v>
      </c>
      <c r="C23" t="str">
        <f>'Activity data'!C10</f>
        <v>3A1aii Other cattle</v>
      </c>
      <c r="D23" t="str">
        <f>'Activity data'!D10</f>
        <v>Feedlot</v>
      </c>
      <c r="E23" t="str">
        <f t="shared" si="11"/>
        <v>Manure management EF</v>
      </c>
      <c r="F23" t="str">
        <f t="shared" si="8"/>
        <v>CH4</v>
      </c>
      <c r="G23" t="s">
        <v>144</v>
      </c>
      <c r="H23" s="26">
        <f>'Aggregated EF'!N25</f>
        <v>0.87</v>
      </c>
      <c r="N23" t="s">
        <v>1026</v>
      </c>
      <c r="O23" s="18" t="s">
        <v>1023</v>
      </c>
    </row>
    <row r="24" spans="1:20" x14ac:dyDescent="0.25">
      <c r="A24" t="str">
        <f t="shared" si="5"/>
        <v>3A Livestock</v>
      </c>
      <c r="B24" t="str">
        <f t="shared" si="10"/>
        <v>3A2 Manure management (CH4)</v>
      </c>
      <c r="C24" t="str">
        <f>'Activity data'!C11</f>
        <v>3A1c Sheep</v>
      </c>
      <c r="D24" t="str">
        <f>'Activity data'!D11</f>
        <v>Commercial</v>
      </c>
      <c r="E24" t="str">
        <f t="shared" si="11"/>
        <v>Manure management EF</v>
      </c>
      <c r="F24" t="str">
        <f t="shared" si="8"/>
        <v>CH4</v>
      </c>
      <c r="G24" t="s">
        <v>144</v>
      </c>
      <c r="H24" s="26">
        <f>SUM('Aggregated EF'!N36:N59)</f>
        <v>1.8957461499092729E-3</v>
      </c>
      <c r="N24">
        <v>21.549865229110516</v>
      </c>
      <c r="O24">
        <v>6.5</v>
      </c>
    </row>
    <row r="25" spans="1:20" x14ac:dyDescent="0.25">
      <c r="A25" t="str">
        <f t="shared" si="5"/>
        <v>3A Livestock</v>
      </c>
      <c r="B25" t="str">
        <f t="shared" si="10"/>
        <v>3A2 Manure management (CH4)</v>
      </c>
      <c r="C25" t="str">
        <f>'Activity data'!C12</f>
        <v>3A1c Sheep</v>
      </c>
      <c r="D25" t="str">
        <f>'Activity data'!D12</f>
        <v>Subsistence</v>
      </c>
      <c r="E25" t="str">
        <f t="shared" si="11"/>
        <v>Manure management EF</v>
      </c>
      <c r="F25" t="str">
        <f t="shared" si="8"/>
        <v>CH4</v>
      </c>
      <c r="G25" t="s">
        <v>144</v>
      </c>
      <c r="H25" s="26">
        <f>SUM('Aggregated EF'!N60:N83)</f>
        <v>1.4489063415995907E-3</v>
      </c>
      <c r="N25">
        <v>16.576819407008088</v>
      </c>
      <c r="O25">
        <v>5</v>
      </c>
    </row>
    <row r="26" spans="1:20" x14ac:dyDescent="0.25">
      <c r="A26" t="str">
        <f t="shared" si="5"/>
        <v>3A Livestock</v>
      </c>
      <c r="B26" t="str">
        <f t="shared" si="10"/>
        <v>3A2 Manure management (CH4)</v>
      </c>
      <c r="C26" t="str">
        <f>'Activity data'!C13</f>
        <v>3A1d Goats</v>
      </c>
      <c r="D26" t="str">
        <f>'Activity data'!D13</f>
        <v>Commercial</v>
      </c>
      <c r="E26" t="str">
        <f t="shared" si="11"/>
        <v>Manure management EF</v>
      </c>
      <c r="F26" t="str">
        <f t="shared" si="8"/>
        <v>CH4</v>
      </c>
      <c r="G26" t="s">
        <v>144</v>
      </c>
      <c r="H26" s="26">
        <f>SUM('Aggregated EF'!N85:N102)</f>
        <v>7.6349095476515513E-3</v>
      </c>
      <c r="N26">
        <v>13.26145552560647</v>
      </c>
      <c r="O26">
        <v>4</v>
      </c>
    </row>
    <row r="27" spans="1:20" x14ac:dyDescent="0.25">
      <c r="A27" t="str">
        <f t="shared" si="5"/>
        <v>3A Livestock</v>
      </c>
      <c r="B27" t="str">
        <f t="shared" si="10"/>
        <v>3A2 Manure management (CH4)</v>
      </c>
      <c r="C27" t="str">
        <f>'Activity data'!C14</f>
        <v>3A1d Goats</v>
      </c>
      <c r="D27" t="str">
        <f>'Activity data'!D14</f>
        <v>Subsistence</v>
      </c>
      <c r="E27" t="str">
        <f t="shared" si="11"/>
        <v>Manure management EF</v>
      </c>
      <c r="F27" t="str">
        <f t="shared" si="8"/>
        <v>CH4</v>
      </c>
      <c r="G27" t="s">
        <v>144</v>
      </c>
      <c r="H27" s="26">
        <f>SUM('Aggregated EF'!N103:N108)</f>
        <v>6.6239999999999988E-3</v>
      </c>
      <c r="N27">
        <v>9.9460916442048521</v>
      </c>
      <c r="O27">
        <v>3</v>
      </c>
    </row>
    <row r="28" spans="1:20" x14ac:dyDescent="0.25">
      <c r="A28" t="str">
        <f t="shared" si="5"/>
        <v>3A Livestock</v>
      </c>
      <c r="B28" t="str">
        <f t="shared" si="10"/>
        <v>3A2 Manure management (CH4)</v>
      </c>
      <c r="C28" t="str">
        <f>'Activity data'!C15</f>
        <v>3A1f Horses</v>
      </c>
      <c r="D28" t="str">
        <f>'Activity data'!D15</f>
        <v>Horses</v>
      </c>
      <c r="E28" t="str">
        <f t="shared" si="11"/>
        <v>Manure management EF</v>
      </c>
      <c r="F28" t="str">
        <f t="shared" si="8"/>
        <v>CH4</v>
      </c>
      <c r="G28" t="s">
        <v>144</v>
      </c>
      <c r="H28" s="26">
        <f>'Aggregated EF'!N110</f>
        <v>1.34E-2</v>
      </c>
      <c r="N28">
        <v>6.6307277628032333</v>
      </c>
      <c r="O28">
        <v>2</v>
      </c>
    </row>
    <row r="29" spans="1:20" x14ac:dyDescent="0.25">
      <c r="A29" t="str">
        <f t="shared" si="5"/>
        <v>3A Livestock</v>
      </c>
      <c r="B29" t="str">
        <f t="shared" si="10"/>
        <v>3A2 Manure management (CH4)</v>
      </c>
      <c r="C29" t="str">
        <f>'Activity data'!C16</f>
        <v>3A1g Mules &amp; asses</v>
      </c>
      <c r="D29" t="str">
        <f>'Activity data'!D16</f>
        <v>Mules &amp; Asses</v>
      </c>
      <c r="E29" t="str">
        <f t="shared" si="11"/>
        <v>Manure management EF</v>
      </c>
      <c r="F29" t="str">
        <f t="shared" si="8"/>
        <v>CH4</v>
      </c>
      <c r="G29" t="s">
        <v>144</v>
      </c>
      <c r="H29" s="26">
        <f>'Aggregated EF'!N112</f>
        <v>4.4999999999999997E-3</v>
      </c>
      <c r="N29">
        <v>3.3153638814016171</v>
      </c>
      <c r="O29">
        <v>1</v>
      </c>
    </row>
    <row r="30" spans="1:20" x14ac:dyDescent="0.25">
      <c r="A30" t="str">
        <f t="shared" si="5"/>
        <v>3A Livestock</v>
      </c>
      <c r="B30" t="str">
        <f t="shared" si="10"/>
        <v>3A2 Manure management (CH4)</v>
      </c>
      <c r="C30" t="str">
        <f>'Activity data'!C17</f>
        <v>3A1h Swine</v>
      </c>
      <c r="D30" t="str">
        <f>'Activity data'!D17</f>
        <v>Commercial</v>
      </c>
      <c r="E30" t="str">
        <f t="shared" si="11"/>
        <v>Manure management EF</v>
      </c>
      <c r="F30" t="str">
        <f t="shared" si="8"/>
        <v>CH4</v>
      </c>
      <c r="G30" t="s">
        <v>144</v>
      </c>
      <c r="H30" s="26">
        <f>SUM('Aggregated EF'!N114:N123)</f>
        <v>14.057009999999998</v>
      </c>
      <c r="N30">
        <v>19.892183288409704</v>
      </c>
      <c r="O30">
        <v>6</v>
      </c>
    </row>
    <row r="31" spans="1:20" x14ac:dyDescent="0.25">
      <c r="A31" t="str">
        <f t="shared" si="5"/>
        <v>3A Livestock</v>
      </c>
      <c r="B31" t="str">
        <f t="shared" si="10"/>
        <v>3A2 Manure management (CH4)</v>
      </c>
      <c r="C31" t="str">
        <f>'Activity data'!C18</f>
        <v>3A1h Swine</v>
      </c>
      <c r="D31" t="str">
        <f>'Activity data'!D18</f>
        <v>Subsistence</v>
      </c>
      <c r="E31" t="str">
        <f t="shared" si="11"/>
        <v>Manure management EF</v>
      </c>
      <c r="F31" t="str">
        <f t="shared" si="8"/>
        <v>CH4</v>
      </c>
      <c r="G31" t="s">
        <v>144</v>
      </c>
      <c r="H31" s="26">
        <f>SUM('Aggregated EF'!N124:N133)</f>
        <v>0.34509999999999996</v>
      </c>
      <c r="N31">
        <v>16.576819407008085</v>
      </c>
      <c r="O31">
        <v>5</v>
      </c>
    </row>
    <row r="32" spans="1:20" x14ac:dyDescent="0.25">
      <c r="A32" t="str">
        <f t="shared" si="5"/>
        <v>3A Livestock</v>
      </c>
      <c r="B32" t="str">
        <f t="shared" si="10"/>
        <v>3A2 Manure management (CH4)</v>
      </c>
      <c r="C32" t="str">
        <f>'Activity data'!C19</f>
        <v>3A2i Poultry</v>
      </c>
      <c r="D32" t="str">
        <f>'Activity data'!D19</f>
        <v>Commercial layers</v>
      </c>
      <c r="E32" t="str">
        <f t="shared" si="11"/>
        <v>Manure management EF</v>
      </c>
      <c r="F32" t="str">
        <f t="shared" si="8"/>
        <v>CH4</v>
      </c>
      <c r="G32" t="s">
        <v>144</v>
      </c>
      <c r="H32" s="26">
        <f>'Aggregated EF'!N136</f>
        <v>2.35E-2</v>
      </c>
      <c r="N32">
        <v>13.26145552560647</v>
      </c>
      <c r="O32">
        <v>4</v>
      </c>
    </row>
    <row r="33" spans="1:15" x14ac:dyDescent="0.25">
      <c r="A33" t="str">
        <f t="shared" si="5"/>
        <v>3A Livestock</v>
      </c>
      <c r="B33" t="str">
        <f t="shared" si="10"/>
        <v>3A2 Manure management (CH4)</v>
      </c>
      <c r="C33" t="str">
        <f>'Activity data'!C20</f>
        <v>3A2i Poultry</v>
      </c>
      <c r="D33" t="str">
        <f>'Activity data'!D20</f>
        <v>Commercial broilers</v>
      </c>
      <c r="E33" t="str">
        <f t="shared" si="11"/>
        <v>Manure management EF</v>
      </c>
      <c r="F33" t="str">
        <f t="shared" si="8"/>
        <v>CH4</v>
      </c>
      <c r="G33" t="s">
        <v>144</v>
      </c>
      <c r="H33" s="26">
        <f>'Aggregated EF'!N135</f>
        <v>2.35E-2</v>
      </c>
      <c r="N33">
        <v>9.9460916442048521</v>
      </c>
      <c r="O33">
        <v>3</v>
      </c>
    </row>
    <row r="34" spans="1:15" x14ac:dyDescent="0.25">
      <c r="A34" t="str">
        <f t="shared" si="5"/>
        <v>3A Livestock</v>
      </c>
      <c r="B34" t="str">
        <f t="shared" si="10"/>
        <v>3A2 Manure management (CH4)</v>
      </c>
      <c r="C34" t="str">
        <f>'Activity data'!C21</f>
        <v>3A2i Poultry</v>
      </c>
      <c r="D34" t="str">
        <f>'Activity data'!D21</f>
        <v>Subsistence layers</v>
      </c>
      <c r="E34" t="str">
        <f t="shared" si="11"/>
        <v>Manure management EF</v>
      </c>
      <c r="F34" t="str">
        <f t="shared" si="8"/>
        <v>CH4</v>
      </c>
      <c r="G34" t="s">
        <v>144</v>
      </c>
      <c r="H34" s="26">
        <f>'Aggregated EF'!N138</f>
        <v>2.35E-2</v>
      </c>
      <c r="N34">
        <v>6.6307277628032342</v>
      </c>
      <c r="O34">
        <v>2</v>
      </c>
    </row>
    <row r="35" spans="1:15" x14ac:dyDescent="0.25">
      <c r="A35" t="str">
        <f t="shared" si="5"/>
        <v>3A Livestock</v>
      </c>
      <c r="B35" t="str">
        <f t="shared" si="10"/>
        <v>3A2 Manure management (CH4)</v>
      </c>
      <c r="C35" t="str">
        <f>'Activity data'!C22</f>
        <v>3A2i Poultry</v>
      </c>
      <c r="D35" t="str">
        <f>'Activity data'!D22</f>
        <v>Subsistence broilers</v>
      </c>
      <c r="E35" t="str">
        <f t="shared" si="11"/>
        <v>Manure management EF</v>
      </c>
      <c r="F35" t="str">
        <f t="shared" si="8"/>
        <v>CH4</v>
      </c>
      <c r="G35" t="s">
        <v>144</v>
      </c>
      <c r="H35" s="26">
        <f>'Aggregated EF'!N137</f>
        <v>2.35E-2</v>
      </c>
      <c r="N35">
        <v>6.6307277628032342</v>
      </c>
      <c r="O35">
        <v>2</v>
      </c>
    </row>
    <row r="36" spans="1:15" x14ac:dyDescent="0.25">
      <c r="A36" t="str">
        <f t="shared" si="5"/>
        <v>3A Livestock</v>
      </c>
      <c r="B36" t="str">
        <f>'IPCC Categories'!B20</f>
        <v>3A2 Manure management (N2O)</v>
      </c>
      <c r="C36" t="str">
        <f>C18</f>
        <v>3A1ai Dairy cattle</v>
      </c>
      <c r="D36" t="str">
        <f t="shared" ref="D36:E37" si="12">D18</f>
        <v>TMR</v>
      </c>
      <c r="E36" t="str">
        <f t="shared" si="12"/>
        <v>Manure management EF</v>
      </c>
      <c r="F36" t="s">
        <v>139</v>
      </c>
      <c r="G36" t="s">
        <v>311</v>
      </c>
      <c r="H36" s="26">
        <f>SUM('Aggregated EF'!T8:T10)</f>
        <v>128.28236394776278</v>
      </c>
      <c r="N36">
        <v>19.892183288409701</v>
      </c>
      <c r="O36">
        <v>6</v>
      </c>
    </row>
    <row r="37" spans="1:15" x14ac:dyDescent="0.25">
      <c r="A37" t="str">
        <f t="shared" si="5"/>
        <v>3A Livestock</v>
      </c>
      <c r="B37" t="str">
        <f>B36</f>
        <v>3A2 Manure management (N2O)</v>
      </c>
      <c r="C37" t="str">
        <f>C19</f>
        <v>3A1ai Dairy cattle</v>
      </c>
      <c r="D37" t="str">
        <f t="shared" si="12"/>
        <v>Pasture</v>
      </c>
      <c r="E37" t="str">
        <f t="shared" si="12"/>
        <v>Manure management EF</v>
      </c>
      <c r="F37" t="str">
        <f>F36</f>
        <v>N2O</v>
      </c>
      <c r="G37" t="str">
        <f>G36</f>
        <v>kg N/head/yr</v>
      </c>
      <c r="H37" s="26">
        <f>SUM('Aggregated EF'!T5:T7)</f>
        <v>116.88195504174696</v>
      </c>
      <c r="N37">
        <v>16.576819407008088</v>
      </c>
      <c r="O37">
        <v>5</v>
      </c>
    </row>
    <row r="38" spans="1:15" x14ac:dyDescent="0.25">
      <c r="A38" t="str">
        <f t="shared" si="5"/>
        <v>3A Livestock</v>
      </c>
      <c r="B38" t="str">
        <f t="shared" ref="B38:B71" si="13">B37</f>
        <v>3A2 Manure management (N2O)</v>
      </c>
      <c r="C38" t="str">
        <f t="shared" ref="C38:E38" si="14">C20</f>
        <v>3A1aii Other cattle</v>
      </c>
      <c r="D38" t="str">
        <f t="shared" si="14"/>
        <v>Non-lactating</v>
      </c>
      <c r="E38" t="str">
        <f t="shared" si="14"/>
        <v>Manure management EF</v>
      </c>
      <c r="F38" t="str">
        <f t="shared" ref="F38:F53" si="15">F37</f>
        <v>N2O</v>
      </c>
      <c r="G38" t="str">
        <f t="shared" ref="G38:G53" si="16">G37</f>
        <v>kg N/head/yr</v>
      </c>
      <c r="H38" s="26">
        <f>SUM('Aggregated EF'!T12:T21)</f>
        <v>40.496928454397946</v>
      </c>
    </row>
    <row r="39" spans="1:15" x14ac:dyDescent="0.25">
      <c r="A39" t="str">
        <f t="shared" si="5"/>
        <v>3A Livestock</v>
      </c>
      <c r="B39" t="str">
        <f t="shared" si="13"/>
        <v>3A2 Manure management (N2O)</v>
      </c>
      <c r="C39" t="str">
        <f t="shared" ref="C39:E39" si="17">C21</f>
        <v>3A1aii Other cattle</v>
      </c>
      <c r="D39" t="str">
        <f t="shared" si="17"/>
        <v>Commercial</v>
      </c>
      <c r="E39" t="str">
        <f t="shared" si="17"/>
        <v>Manure management EF</v>
      </c>
      <c r="F39" t="str">
        <f t="shared" si="15"/>
        <v>N2O</v>
      </c>
      <c r="G39" t="str">
        <f t="shared" si="16"/>
        <v>kg N/head/yr</v>
      </c>
      <c r="H39" s="26">
        <f>SUM('Aggregated EF'!T22:T24,'Aggregated EF'!T26:T28)</f>
        <v>86.354881619987609</v>
      </c>
    </row>
    <row r="40" spans="1:15" x14ac:dyDescent="0.25">
      <c r="A40" t="str">
        <f t="shared" si="5"/>
        <v>3A Livestock</v>
      </c>
      <c r="B40" t="str">
        <f t="shared" si="13"/>
        <v>3A2 Manure management (N2O)</v>
      </c>
      <c r="C40" t="str">
        <f t="shared" ref="C40:E40" si="18">C22</f>
        <v>3A1aii Other cattle</v>
      </c>
      <c r="D40" t="str">
        <f t="shared" si="18"/>
        <v>Subsistence</v>
      </c>
      <c r="E40" t="str">
        <f t="shared" si="18"/>
        <v>Manure management EF</v>
      </c>
      <c r="F40" t="str">
        <f t="shared" si="15"/>
        <v>N2O</v>
      </c>
      <c r="G40" t="str">
        <f t="shared" si="16"/>
        <v>kg N/head/yr</v>
      </c>
      <c r="H40" s="26">
        <f>SUM('Aggregated EF'!T29:T34)</f>
        <v>64.633710943402036</v>
      </c>
    </row>
    <row r="41" spans="1:15" x14ac:dyDescent="0.25">
      <c r="A41" t="str">
        <f t="shared" si="5"/>
        <v>3A Livestock</v>
      </c>
      <c r="B41" t="str">
        <f t="shared" si="13"/>
        <v>3A2 Manure management (N2O)</v>
      </c>
      <c r="C41" t="str">
        <f t="shared" ref="C41:E41" si="19">C23</f>
        <v>3A1aii Other cattle</v>
      </c>
      <c r="D41" t="str">
        <f t="shared" si="19"/>
        <v>Feedlot</v>
      </c>
      <c r="E41" t="str">
        <f t="shared" si="19"/>
        <v>Manure management EF</v>
      </c>
      <c r="F41" t="str">
        <f t="shared" si="15"/>
        <v>N2O</v>
      </c>
      <c r="G41" t="str">
        <f t="shared" si="16"/>
        <v>kg N/head/yr</v>
      </c>
      <c r="H41" s="26">
        <f>'Aggregated EF'!T25</f>
        <v>65.765699999999995</v>
      </c>
    </row>
    <row r="42" spans="1:15" x14ac:dyDescent="0.25">
      <c r="A42" t="str">
        <f t="shared" si="5"/>
        <v>3A Livestock</v>
      </c>
      <c r="B42" t="str">
        <f t="shared" si="13"/>
        <v>3A2 Manure management (N2O)</v>
      </c>
      <c r="C42" t="str">
        <f t="shared" ref="C42:E42" si="20">C24</f>
        <v>3A1c Sheep</v>
      </c>
      <c r="D42" t="str">
        <f t="shared" si="20"/>
        <v>Commercial</v>
      </c>
      <c r="E42" t="str">
        <f t="shared" si="20"/>
        <v>Manure management EF</v>
      </c>
      <c r="F42" t="str">
        <f t="shared" si="15"/>
        <v>N2O</v>
      </c>
      <c r="G42" t="str">
        <f t="shared" si="16"/>
        <v>kg N/head/yr</v>
      </c>
      <c r="H42" s="26">
        <f>SUM('Aggregated EF'!T36:T59)</f>
        <v>19.60551595998232</v>
      </c>
    </row>
    <row r="43" spans="1:15" x14ac:dyDescent="0.25">
      <c r="A43" t="str">
        <f t="shared" si="5"/>
        <v>3A Livestock</v>
      </c>
      <c r="B43" t="str">
        <f t="shared" si="13"/>
        <v>3A2 Manure management (N2O)</v>
      </c>
      <c r="C43" t="str">
        <f t="shared" ref="C43:E43" si="21">C25</f>
        <v>3A1c Sheep</v>
      </c>
      <c r="D43" t="str">
        <f t="shared" si="21"/>
        <v>Subsistence</v>
      </c>
      <c r="E43" t="str">
        <f t="shared" si="21"/>
        <v>Manure management EF</v>
      </c>
      <c r="F43" t="str">
        <f t="shared" si="15"/>
        <v>N2O</v>
      </c>
      <c r="G43" t="str">
        <f t="shared" si="16"/>
        <v>kg N/head/yr</v>
      </c>
      <c r="H43" s="26">
        <f>SUM('Aggregated EF'!T60:T83)</f>
        <v>15.591414113527657</v>
      </c>
    </row>
    <row r="44" spans="1:15" x14ac:dyDescent="0.25">
      <c r="A44" t="str">
        <f t="shared" si="5"/>
        <v>3A Livestock</v>
      </c>
      <c r="B44" t="str">
        <f t="shared" si="13"/>
        <v>3A2 Manure management (N2O)</v>
      </c>
      <c r="C44" t="str">
        <f t="shared" ref="C44:E44" si="22">C26</f>
        <v>3A1d Goats</v>
      </c>
      <c r="D44" t="str">
        <f t="shared" si="22"/>
        <v>Commercial</v>
      </c>
      <c r="E44" t="str">
        <f t="shared" si="22"/>
        <v>Manure management EF</v>
      </c>
      <c r="F44" t="str">
        <f t="shared" si="15"/>
        <v>N2O</v>
      </c>
      <c r="G44" t="str">
        <f t="shared" si="16"/>
        <v>kg N/head/yr</v>
      </c>
      <c r="H44" s="26">
        <f>SUM('Aggregated EF'!T85:T102)</f>
        <v>22.287353637058541</v>
      </c>
    </row>
    <row r="45" spans="1:15" x14ac:dyDescent="0.25">
      <c r="A45" t="str">
        <f t="shared" si="5"/>
        <v>3A Livestock</v>
      </c>
      <c r="B45" t="str">
        <f t="shared" si="13"/>
        <v>3A2 Manure management (N2O)</v>
      </c>
      <c r="C45" t="str">
        <f t="shared" ref="C45:E45" si="23">C27</f>
        <v>3A1d Goats</v>
      </c>
      <c r="D45" t="str">
        <f t="shared" si="23"/>
        <v>Subsistence</v>
      </c>
      <c r="E45" t="str">
        <f t="shared" si="23"/>
        <v>Manure management EF</v>
      </c>
      <c r="F45" t="str">
        <f t="shared" si="15"/>
        <v>N2O</v>
      </c>
      <c r="G45" t="str">
        <f t="shared" si="16"/>
        <v>kg N/head/yr</v>
      </c>
      <c r="H45" s="26">
        <f>SUM('Aggregated EF'!T103:T108)</f>
        <v>20.227322529999995</v>
      </c>
    </row>
    <row r="46" spans="1:15" x14ac:dyDescent="0.25">
      <c r="A46" t="str">
        <f t="shared" si="5"/>
        <v>3A Livestock</v>
      </c>
      <c r="B46" t="str">
        <f t="shared" si="13"/>
        <v>3A2 Manure management (N2O)</v>
      </c>
      <c r="C46" t="str">
        <f t="shared" ref="C46:E46" si="24">C28</f>
        <v>3A1f Horses</v>
      </c>
      <c r="D46" t="str">
        <f t="shared" si="24"/>
        <v>Horses</v>
      </c>
      <c r="E46" t="str">
        <f t="shared" si="24"/>
        <v>Manure management EF</v>
      </c>
      <c r="F46" t="str">
        <f t="shared" si="15"/>
        <v>N2O</v>
      </c>
      <c r="G46" t="str">
        <f t="shared" si="16"/>
        <v>kg N/head/yr</v>
      </c>
      <c r="H46" s="26">
        <f>'Aggregated EF'!T110</f>
        <v>39.5</v>
      </c>
    </row>
    <row r="47" spans="1:15" x14ac:dyDescent="0.25">
      <c r="A47" t="str">
        <f t="shared" si="5"/>
        <v>3A Livestock</v>
      </c>
      <c r="B47" t="str">
        <f t="shared" si="13"/>
        <v>3A2 Manure management (N2O)</v>
      </c>
      <c r="C47" t="str">
        <f t="shared" ref="C47:E47" si="25">C29</f>
        <v>3A1g Mules &amp; asses</v>
      </c>
      <c r="D47" t="str">
        <f t="shared" si="25"/>
        <v>Mules &amp; Asses</v>
      </c>
      <c r="E47" t="str">
        <f t="shared" si="25"/>
        <v>Manure management EF</v>
      </c>
      <c r="F47" t="str">
        <f t="shared" si="15"/>
        <v>N2O</v>
      </c>
      <c r="G47" t="str">
        <f t="shared" si="16"/>
        <v>kg N/head/yr</v>
      </c>
      <c r="H47" s="26">
        <f>'Aggregated EF'!T112</f>
        <v>13.2</v>
      </c>
    </row>
    <row r="48" spans="1:15" x14ac:dyDescent="0.25">
      <c r="A48" t="str">
        <f t="shared" si="5"/>
        <v>3A Livestock</v>
      </c>
      <c r="B48" t="str">
        <f t="shared" si="13"/>
        <v>3A2 Manure management (N2O)</v>
      </c>
      <c r="C48" t="str">
        <f t="shared" ref="C48:E48" si="26">C30</f>
        <v>3A1h Swine</v>
      </c>
      <c r="D48" t="str">
        <f t="shared" si="26"/>
        <v>Commercial</v>
      </c>
      <c r="E48" t="str">
        <f t="shared" si="26"/>
        <v>Manure management EF</v>
      </c>
      <c r="F48" t="str">
        <f t="shared" si="15"/>
        <v>N2O</v>
      </c>
      <c r="G48" t="str">
        <f t="shared" si="16"/>
        <v>kg N/head/yr</v>
      </c>
      <c r="H48" s="26">
        <f>SUM('Aggregated EF'!T114:T123)</f>
        <v>13.769600000000001</v>
      </c>
    </row>
    <row r="49" spans="1:41" x14ac:dyDescent="0.25">
      <c r="A49" t="str">
        <f t="shared" si="5"/>
        <v>3A Livestock</v>
      </c>
      <c r="B49" t="str">
        <f t="shared" si="13"/>
        <v>3A2 Manure management (N2O)</v>
      </c>
      <c r="C49" t="str">
        <f t="shared" ref="C49:E49" si="27">C31</f>
        <v>3A1h Swine</v>
      </c>
      <c r="D49" t="str">
        <f t="shared" si="27"/>
        <v>Subsistence</v>
      </c>
      <c r="E49" t="str">
        <f t="shared" si="27"/>
        <v>Manure management EF</v>
      </c>
      <c r="F49" t="str">
        <f t="shared" si="15"/>
        <v>N2O</v>
      </c>
      <c r="G49" t="str">
        <f t="shared" si="16"/>
        <v>kg N/head/yr</v>
      </c>
      <c r="H49" s="26">
        <f>SUM('Aggregated EF'!T124:T133)</f>
        <v>15.091520000000001</v>
      </c>
    </row>
    <row r="50" spans="1:41" x14ac:dyDescent="0.25">
      <c r="A50" t="str">
        <f t="shared" si="5"/>
        <v>3A Livestock</v>
      </c>
      <c r="B50" t="str">
        <f t="shared" si="13"/>
        <v>3A2 Manure management (N2O)</v>
      </c>
      <c r="C50" t="str">
        <f t="shared" ref="C50:E50" si="28">C32</f>
        <v>3A2i Poultry</v>
      </c>
      <c r="D50" t="str">
        <f t="shared" si="28"/>
        <v>Commercial layers</v>
      </c>
      <c r="E50" t="str">
        <f t="shared" si="28"/>
        <v>Manure management EF</v>
      </c>
      <c r="F50" t="str">
        <f t="shared" si="15"/>
        <v>N2O</v>
      </c>
      <c r="G50" t="str">
        <f t="shared" si="16"/>
        <v>kg N/head/yr</v>
      </c>
      <c r="H50" s="26">
        <f>'Aggregated EF'!T136</f>
        <v>0.6</v>
      </c>
    </row>
    <row r="51" spans="1:41" x14ac:dyDescent="0.25">
      <c r="A51" t="str">
        <f t="shared" si="5"/>
        <v>3A Livestock</v>
      </c>
      <c r="B51" t="str">
        <f t="shared" si="13"/>
        <v>3A2 Manure management (N2O)</v>
      </c>
      <c r="C51" t="str">
        <f t="shared" ref="C51:E51" si="29">C33</f>
        <v>3A2i Poultry</v>
      </c>
      <c r="D51" t="str">
        <f t="shared" si="29"/>
        <v>Commercial broilers</v>
      </c>
      <c r="E51" t="str">
        <f t="shared" si="29"/>
        <v>Manure management EF</v>
      </c>
      <c r="F51" t="str">
        <f t="shared" si="15"/>
        <v>N2O</v>
      </c>
      <c r="G51" t="str">
        <f t="shared" si="16"/>
        <v>kg N/head/yr</v>
      </c>
      <c r="H51" s="26">
        <f>'Aggregated EF'!T135</f>
        <v>0.7</v>
      </c>
    </row>
    <row r="52" spans="1:41" x14ac:dyDescent="0.25">
      <c r="A52" t="str">
        <f t="shared" si="5"/>
        <v>3A Livestock</v>
      </c>
      <c r="B52" t="str">
        <f t="shared" si="13"/>
        <v>3A2 Manure management (N2O)</v>
      </c>
      <c r="C52" t="str">
        <f t="shared" ref="C52:E52" si="30">C34</f>
        <v>3A2i Poultry</v>
      </c>
      <c r="D52" t="str">
        <f t="shared" si="30"/>
        <v>Subsistence layers</v>
      </c>
      <c r="E52" t="str">
        <f t="shared" si="30"/>
        <v>Manure management EF</v>
      </c>
      <c r="F52" t="str">
        <f t="shared" si="15"/>
        <v>N2O</v>
      </c>
      <c r="G52" t="str">
        <f t="shared" si="16"/>
        <v>kg N/head/yr</v>
      </c>
      <c r="H52" s="26">
        <f>'Aggregated EF'!T138</f>
        <v>0.6</v>
      </c>
    </row>
    <row r="53" spans="1:41" x14ac:dyDescent="0.25">
      <c r="A53" t="str">
        <f t="shared" si="5"/>
        <v>3A Livestock</v>
      </c>
      <c r="B53" t="str">
        <f t="shared" si="13"/>
        <v>3A2 Manure management (N2O)</v>
      </c>
      <c r="C53" t="str">
        <f t="shared" ref="C53:E53" si="31">C35</f>
        <v>3A2i Poultry</v>
      </c>
      <c r="D53" t="str">
        <f t="shared" si="31"/>
        <v>Subsistence broilers</v>
      </c>
      <c r="E53" t="str">
        <f t="shared" si="31"/>
        <v>Manure management EF</v>
      </c>
      <c r="F53" t="str">
        <f t="shared" si="15"/>
        <v>N2O</v>
      </c>
      <c r="G53" t="str">
        <f t="shared" si="16"/>
        <v>kg N/head/yr</v>
      </c>
      <c r="H53" s="26">
        <f>'Aggregated EF'!T137</f>
        <v>0.7</v>
      </c>
    </row>
    <row r="54" spans="1:41" x14ac:dyDescent="0.25">
      <c r="A54" t="str">
        <f t="shared" si="5"/>
        <v>3A Livestock</v>
      </c>
      <c r="B54" t="str">
        <f t="shared" si="13"/>
        <v>3A2 Manure management (N2O)</v>
      </c>
      <c r="C54" t="str">
        <f>'Activity data'!C5</f>
        <v>3A1ai Dairy cattle</v>
      </c>
      <c r="D54" t="str">
        <f>'Activity data'!D5</f>
        <v>TMR</v>
      </c>
      <c r="E54" t="str">
        <f>E35</f>
        <v>Manure management EF</v>
      </c>
      <c r="F54" t="s">
        <v>139</v>
      </c>
      <c r="G54" s="12" t="s">
        <v>145</v>
      </c>
      <c r="H54" s="26">
        <f>(('Mitigation drivers'!C12*LagoonN2O)+('Mitigation drivers'!C13*LiquidN2O)+('Mitigation drivers'!C14*DrylotN2O)+('Mitigation drivers'!C15*SolidStorageN2O)+('Mitigation drivers'!C16*DailyspreadN2O)+('Mitigation drivers'!C17*CompostN2O)+('Mitigation drivers'!C18*ManwithbedN2O)+('Mitigation drivers'!C19*PMwithoutlitterN2O)+('Mitigation drivers'!C20*PMwithlitterN2O)+('Mitigation drivers'!C22*DigesterN2OEF))/100</f>
        <v>5.0000000000000001E-4</v>
      </c>
      <c r="I54" s="26">
        <f>(('Mitigation drivers'!D12*LagoonN2O)+('Mitigation drivers'!D13*LiquidN2O)+('Mitigation drivers'!D14*DrylotN2O)+('Mitigation drivers'!D15*SolidStorageN2O)+('Mitigation drivers'!D16*DailyspreadN2O)+('Mitigation drivers'!D17*CompostN2O)+('Mitigation drivers'!D18*ManwithbedN2O)+('Mitigation drivers'!D19*PMwithoutlitterN2O)+('Mitigation drivers'!D20*PMwithlitterN2O)+('Mitigation drivers'!D22*DigesterN2OEF))/100</f>
        <v>5.0000000000000001E-4</v>
      </c>
      <c r="J54" s="26">
        <f>(('Mitigation drivers'!E12*LagoonN2O)+('Mitigation drivers'!E13*LiquidN2O)+('Mitigation drivers'!E14*DrylotN2O)+('Mitigation drivers'!E15*SolidStorageN2O)+('Mitigation drivers'!E16*DailyspreadN2O)+('Mitigation drivers'!E17*CompostN2O)+('Mitigation drivers'!E18*ManwithbedN2O)+('Mitigation drivers'!E19*PMwithoutlitterN2O)+('Mitigation drivers'!E20*PMwithlitterN2O)+('Mitigation drivers'!E22*DigesterN2OEF))/100</f>
        <v>5.0000000000000001E-4</v>
      </c>
      <c r="K54" s="26">
        <f>(('Mitigation drivers'!F12*LagoonN2O)+('Mitigation drivers'!F13*LiquidN2O)+('Mitigation drivers'!F14*DrylotN2O)+('Mitigation drivers'!F15*SolidStorageN2O)+('Mitigation drivers'!F16*DailyspreadN2O)+('Mitigation drivers'!F17*CompostN2O)+('Mitigation drivers'!F18*ManwithbedN2O)+('Mitigation drivers'!F19*PMwithoutlitterN2O)+('Mitigation drivers'!F20*PMwithlitterN2O)+('Mitigation drivers'!F22*DigesterN2OEF))/100</f>
        <v>5.0000000000000001E-4</v>
      </c>
      <c r="L54" s="26">
        <f>(('Mitigation drivers'!G12*LagoonN2O)+('Mitigation drivers'!G13*LiquidN2O)+('Mitigation drivers'!G14*DrylotN2O)+('Mitigation drivers'!G15*SolidStorageN2O)+('Mitigation drivers'!G16*DailyspreadN2O)+('Mitigation drivers'!G17*CompostN2O)+('Mitigation drivers'!G18*ManwithbedN2O)+('Mitigation drivers'!G19*PMwithoutlitterN2O)+('Mitigation drivers'!G20*PMwithlitterN2O)+('Mitigation drivers'!G22*DigesterN2OEF))/100</f>
        <v>5.0000000000000001E-4</v>
      </c>
      <c r="M54" s="26">
        <f>(('Mitigation drivers'!H12*LagoonN2O)+('Mitigation drivers'!H13*LiquidN2O)+('Mitigation drivers'!H14*DrylotN2O)+('Mitigation drivers'!H15*SolidStorageN2O)+('Mitigation drivers'!H16*DailyspreadN2O)+('Mitigation drivers'!H17*CompostN2O)+('Mitigation drivers'!H18*ManwithbedN2O)+('Mitigation drivers'!H19*PMwithoutlitterN2O)+('Mitigation drivers'!H20*PMwithlitterN2O)+('Mitigation drivers'!H22*DigesterN2OEF))/100</f>
        <v>5.0000000000000001E-4</v>
      </c>
      <c r="N54" s="26">
        <f>(('Mitigation drivers'!I12*LagoonN2O)+('Mitigation drivers'!I13*LiquidN2O)+('Mitigation drivers'!I14*DrylotN2O)+('Mitigation drivers'!I15*SolidStorageN2O)+('Mitigation drivers'!I16*DailyspreadN2O)+('Mitigation drivers'!I17*CompostN2O)+('Mitigation drivers'!I18*ManwithbedN2O)+('Mitigation drivers'!I19*PMwithoutlitterN2O)+('Mitigation drivers'!I20*PMwithlitterN2O)+('Mitigation drivers'!I22*DigesterN2OEF))/100</f>
        <v>5.0000000000000001E-4</v>
      </c>
      <c r="O54" s="26">
        <f>(('Mitigation drivers'!J12*LagoonN2O)+('Mitigation drivers'!J13*LiquidN2O)+('Mitigation drivers'!J14*DrylotN2O)+('Mitigation drivers'!J15*SolidStorageN2O)+('Mitigation drivers'!J16*DailyspreadN2O)+('Mitigation drivers'!J17*CompostN2O)+('Mitigation drivers'!J18*ManwithbedN2O)+('Mitigation drivers'!J19*PMwithoutlitterN2O)+('Mitigation drivers'!J20*PMwithlitterN2O)+('Mitigation drivers'!J22*DigesterN2OEF))/100</f>
        <v>5.0000000000000001E-4</v>
      </c>
      <c r="P54" s="26">
        <f>(('Mitigation drivers'!K12*LagoonN2O)+('Mitigation drivers'!K13*LiquidN2O)+('Mitigation drivers'!K14*DrylotN2O)+('Mitigation drivers'!K15*SolidStorageN2O)+('Mitigation drivers'!K16*DailyspreadN2O)+('Mitigation drivers'!K17*CompostN2O)+('Mitigation drivers'!K18*ManwithbedN2O)+('Mitigation drivers'!K19*PMwithoutlitterN2O)+('Mitigation drivers'!K20*PMwithlitterN2O)+('Mitigation drivers'!K22*DigesterN2OEF))/100</f>
        <v>5.0000000000000001E-4</v>
      </c>
      <c r="Q54" s="26">
        <f>(('Mitigation drivers'!L12*LagoonN2O)+('Mitigation drivers'!L13*LiquidN2O)+('Mitigation drivers'!L14*DrylotN2O)+('Mitigation drivers'!L15*SolidStorageN2O)+('Mitigation drivers'!L16*DailyspreadN2O)+('Mitigation drivers'!L17*CompostN2O)+('Mitigation drivers'!L18*ManwithbedN2O)+('Mitigation drivers'!L19*PMwithoutlitterN2O)+('Mitigation drivers'!L20*PMwithlitterN2O)+('Mitigation drivers'!L22*DigesterN2OEF))/100</f>
        <v>5.0000000000000001E-4</v>
      </c>
      <c r="R54" s="26">
        <f>(('Mitigation drivers'!M12*LagoonN2O)+('Mitigation drivers'!M13*LiquidN2O)+('Mitigation drivers'!M14*DrylotN2O)+('Mitigation drivers'!M15*SolidStorageN2O)+('Mitigation drivers'!M16*DailyspreadN2O)+('Mitigation drivers'!M17*CompostN2O)+('Mitigation drivers'!M18*ManwithbedN2O)+('Mitigation drivers'!M19*PMwithoutlitterN2O)+('Mitigation drivers'!M20*PMwithlitterN2O)+('Mitigation drivers'!M22*DigesterN2OEF))/100</f>
        <v>5.0000000000000001E-4</v>
      </c>
      <c r="S54" s="26">
        <f>(('Mitigation drivers'!N12*LagoonN2O)+('Mitigation drivers'!N13*LiquidN2O)+('Mitigation drivers'!N14*DrylotN2O)+('Mitigation drivers'!N15*SolidStorageN2O)+('Mitigation drivers'!N16*DailyspreadN2O)+('Mitigation drivers'!N17*CompostN2O)+('Mitigation drivers'!N18*ManwithbedN2O)+('Mitigation drivers'!N19*PMwithoutlitterN2O)+('Mitigation drivers'!N20*PMwithlitterN2O)+('Mitigation drivers'!N22*DigesterN2OEF))/100</f>
        <v>5.0000000000000001E-4</v>
      </c>
      <c r="T54" s="26">
        <f>(('Mitigation drivers'!O12*LagoonN2O)+('Mitigation drivers'!O13*LiquidN2O)+('Mitigation drivers'!O14*DrylotN2O)+('Mitigation drivers'!O15*SolidStorageN2O)+('Mitigation drivers'!O16*DailyspreadN2O)+('Mitigation drivers'!O17*CompostN2O)+('Mitigation drivers'!O18*ManwithbedN2O)+('Mitigation drivers'!O19*PMwithoutlitterN2O)+('Mitigation drivers'!O20*PMwithlitterN2O)+('Mitigation drivers'!O22*DigesterN2OEF))/100</f>
        <v>5.0000000000000001E-4</v>
      </c>
      <c r="U54" s="26">
        <f>(('Mitigation drivers'!P12*LagoonN2O)+('Mitigation drivers'!P13*LiquidN2O)+('Mitigation drivers'!P14*DrylotN2O)+('Mitigation drivers'!P15*SolidStorageN2O)+('Mitigation drivers'!P16*DailyspreadN2O)+('Mitigation drivers'!P17*CompostN2O)+('Mitigation drivers'!P18*ManwithbedN2O)+('Mitigation drivers'!P19*PMwithoutlitterN2O)+('Mitigation drivers'!P20*PMwithlitterN2O)+('Mitigation drivers'!P22*DigesterN2OEF))/100</f>
        <v>5.0000000000000001E-4</v>
      </c>
      <c r="V54" s="26">
        <f>(('Mitigation drivers'!Q12*LagoonN2O)+('Mitigation drivers'!Q13*LiquidN2O)+('Mitigation drivers'!Q14*DrylotN2O)+('Mitigation drivers'!Q15*SolidStorageN2O)+('Mitigation drivers'!Q16*DailyspreadN2O)+('Mitigation drivers'!Q17*CompostN2O)+('Mitigation drivers'!Q18*ManwithbedN2O)+('Mitigation drivers'!Q19*PMwithoutlitterN2O)+('Mitigation drivers'!Q20*PMwithlitterN2O)+('Mitigation drivers'!Q22*DigesterN2OEF))/100</f>
        <v>5.0000000000000001E-4</v>
      </c>
      <c r="W54" s="26">
        <f>(('Mitigation drivers'!R12*LagoonN2O)+('Mitigation drivers'!R13*LiquidN2O)+('Mitigation drivers'!R14*DrylotN2O)+('Mitigation drivers'!R15*SolidStorageN2O)+('Mitigation drivers'!R16*DailyspreadN2O)+('Mitigation drivers'!R17*CompostN2O)+('Mitigation drivers'!R18*ManwithbedN2O)+('Mitigation drivers'!R19*PMwithoutlitterN2O)+('Mitigation drivers'!R20*PMwithlitterN2O)+('Mitigation drivers'!R22*DigesterN2OEF))/100</f>
        <v>5.0000000000000001E-4</v>
      </c>
      <c r="X54" s="26">
        <f>(('Mitigation drivers'!S12*LagoonN2O)+('Mitigation drivers'!S13*LiquidN2O)+('Mitigation drivers'!S14*DrylotN2O)+('Mitigation drivers'!S15*SolidStorageN2O)+('Mitigation drivers'!S16*DailyspreadN2O)+('Mitigation drivers'!S17*CompostN2O)+('Mitigation drivers'!S18*ManwithbedN2O)+('Mitigation drivers'!S19*PMwithoutlitterN2O)+('Mitigation drivers'!S20*PMwithlitterN2O)+('Mitigation drivers'!S22*DigesterN2OEF))/100</f>
        <v>5.0000000000000001E-4</v>
      </c>
      <c r="Y54" s="26">
        <f>(('Mitigation drivers'!T12*LagoonN2O)+('Mitigation drivers'!T13*LiquidN2O)+('Mitigation drivers'!T14*DrylotN2O)+('Mitigation drivers'!T15*SolidStorageN2O)+('Mitigation drivers'!T16*DailyspreadN2O)+('Mitigation drivers'!T17*CompostN2O)+('Mitigation drivers'!T18*ManwithbedN2O)+('Mitigation drivers'!T19*PMwithoutlitterN2O)+('Mitigation drivers'!T20*PMwithlitterN2O)+('Mitigation drivers'!T22*DigesterN2OEF))/100</f>
        <v>5.0000000000000001E-4</v>
      </c>
      <c r="Z54" s="26">
        <f>(('Mitigation drivers'!U12*LagoonN2O)+('Mitigation drivers'!U13*LiquidN2O)+('Mitigation drivers'!U14*DrylotN2O)+('Mitigation drivers'!U15*SolidStorageN2O)+('Mitigation drivers'!U16*DailyspreadN2O)+('Mitigation drivers'!U17*CompostN2O)+('Mitigation drivers'!U18*ManwithbedN2O)+('Mitigation drivers'!U19*PMwithoutlitterN2O)+('Mitigation drivers'!U20*PMwithlitterN2O)+('Mitigation drivers'!U22*DigesterN2OEF))/100</f>
        <v>5.0000000000000001E-4</v>
      </c>
      <c r="AA54" s="26">
        <f>(('Mitigation drivers'!V12*LagoonN2O)+('Mitigation drivers'!V13*LiquidN2O)+('Mitigation drivers'!V14*DrylotN2O)+('Mitigation drivers'!V15*SolidStorageN2O)+('Mitigation drivers'!V16*DailyspreadN2O)+('Mitigation drivers'!V17*CompostN2O)+('Mitigation drivers'!V18*ManwithbedN2O)+('Mitigation drivers'!V19*PMwithoutlitterN2O)+('Mitigation drivers'!V20*PMwithlitterN2O)+('Mitigation drivers'!V22*DigesterN2OEF))/100</f>
        <v>5.0000000000000001E-4</v>
      </c>
      <c r="AB54" s="26">
        <f>(('Mitigation drivers'!W12*LagoonN2O)+('Mitigation drivers'!W13*LiquidN2O)+('Mitigation drivers'!W14*DrylotN2O)+('Mitigation drivers'!W15*SolidStorageN2O)+('Mitigation drivers'!W16*DailyspreadN2O)+('Mitigation drivers'!W17*CompostN2O)+('Mitigation drivers'!W18*ManwithbedN2O)+('Mitigation drivers'!W19*PMwithoutlitterN2O)+('Mitigation drivers'!W20*PMwithlitterN2O)+('Mitigation drivers'!W22*DigesterN2OEF))/100</f>
        <v>5.0000000000000001E-4</v>
      </c>
      <c r="AC54" s="26">
        <f>(('Mitigation drivers'!X12*LagoonN2O)+('Mitigation drivers'!X13*LiquidN2O)+('Mitigation drivers'!X14*DrylotN2O)+('Mitigation drivers'!X15*SolidStorageN2O)+('Mitigation drivers'!X16*DailyspreadN2O)+('Mitigation drivers'!X17*CompostN2O)+('Mitigation drivers'!X18*ManwithbedN2O)+('Mitigation drivers'!X19*PMwithoutlitterN2O)+('Mitigation drivers'!X20*PMwithlitterN2O)+('Mitigation drivers'!X22*DigesterN2OEF))/100</f>
        <v>5.0000000000000001E-4</v>
      </c>
      <c r="AD54" s="26">
        <f>(('Mitigation drivers'!Y12*LagoonN2O)+('Mitigation drivers'!Y13*LiquidN2O)+('Mitigation drivers'!Y14*DrylotN2O)+('Mitigation drivers'!Y15*SolidStorageN2O)+('Mitigation drivers'!Y16*DailyspreadN2O)+('Mitigation drivers'!Y17*CompostN2O)+('Mitigation drivers'!Y18*ManwithbedN2O)+('Mitigation drivers'!Y19*PMwithoutlitterN2O)+('Mitigation drivers'!Y20*PMwithlitterN2O)+('Mitigation drivers'!Y22*DigesterN2OEF))/100</f>
        <v>5.0000000000000001E-4</v>
      </c>
      <c r="AE54" s="26">
        <f>(('Mitigation drivers'!Z12*LagoonN2O)+('Mitigation drivers'!Z13*LiquidN2O)+('Mitigation drivers'!Z14*DrylotN2O)+('Mitigation drivers'!Z15*SolidStorageN2O)+('Mitigation drivers'!Z16*DailyspreadN2O)+('Mitigation drivers'!Z17*CompostN2O)+('Mitigation drivers'!Z18*ManwithbedN2O)+('Mitigation drivers'!Z19*PMwithoutlitterN2O)+('Mitigation drivers'!Z20*PMwithlitterN2O)+('Mitigation drivers'!Z22*DigesterN2OEF))/100</f>
        <v>5.0000000000000001E-4</v>
      </c>
      <c r="AF54" s="26">
        <f>(('Mitigation drivers'!AA12*LagoonN2O)+('Mitigation drivers'!AA13*LiquidN2O)+('Mitigation drivers'!AA14*DrylotN2O)+('Mitigation drivers'!AA15*SolidStorageN2O)+('Mitigation drivers'!AA16*DailyspreadN2O)+('Mitigation drivers'!AA17*CompostN2O)+('Mitigation drivers'!AA18*ManwithbedN2O)+('Mitigation drivers'!AA19*PMwithoutlitterN2O)+('Mitigation drivers'!AA20*PMwithlitterN2O)+('Mitigation drivers'!AA22*DigesterN2OEF))/100</f>
        <v>5.0000000000000001E-4</v>
      </c>
      <c r="AG54" s="26">
        <f>(('Mitigation drivers'!AB12*LagoonN2O)+('Mitigation drivers'!AB13*LiquidN2O)+('Mitigation drivers'!AB14*DrylotN2O)+('Mitigation drivers'!AB15*SolidStorageN2O)+('Mitigation drivers'!AB16*DailyspreadN2O)+('Mitigation drivers'!AB17*CompostN2O)+('Mitigation drivers'!AB18*ManwithbedN2O)+('Mitigation drivers'!AB19*PMwithoutlitterN2O)+('Mitigation drivers'!AB20*PMwithlitterN2O)+('Mitigation drivers'!AB22*DigesterN2OEF))/100</f>
        <v>5.0000000000000001E-4</v>
      </c>
      <c r="AH54" s="26">
        <f>(('Mitigation drivers'!AC12*LagoonN2O)+('Mitigation drivers'!AC13*LiquidN2O)+('Mitigation drivers'!AC14*DrylotN2O)+('Mitigation drivers'!AC15*SolidStorageN2O)+('Mitigation drivers'!AC16*DailyspreadN2O)+('Mitigation drivers'!AC17*CompostN2O)+('Mitigation drivers'!AC18*ManwithbedN2O)+('Mitigation drivers'!AC19*PMwithoutlitterN2O)+('Mitigation drivers'!AC20*PMwithlitterN2O)+('Mitigation drivers'!AC22*DigesterN2OEF))/100</f>
        <v>5.0000000000000001E-4</v>
      </c>
      <c r="AI54" s="26">
        <f>(('Mitigation drivers'!AD12*LagoonN2O)+('Mitigation drivers'!AD13*LiquidN2O)+('Mitigation drivers'!AD14*DrylotN2O)+('Mitigation drivers'!AD15*SolidStorageN2O)+('Mitigation drivers'!AD16*DailyspreadN2O)+('Mitigation drivers'!AD17*CompostN2O)+('Mitigation drivers'!AD18*ManwithbedN2O)+('Mitigation drivers'!AD19*PMwithoutlitterN2O)+('Mitigation drivers'!AD20*PMwithlitterN2O)+('Mitigation drivers'!AD22*DigesterN2OEF))/100</f>
        <v>5.0000000000000001E-4</v>
      </c>
      <c r="AJ54" s="26">
        <f>(('Mitigation drivers'!AE12*LagoonN2O)+('Mitigation drivers'!AE13*LiquidN2O)+('Mitigation drivers'!AE14*DrylotN2O)+('Mitigation drivers'!AE15*SolidStorageN2O)+('Mitigation drivers'!AE16*DailyspreadN2O)+('Mitigation drivers'!AE17*CompostN2O)+('Mitigation drivers'!AE18*ManwithbedN2O)+('Mitigation drivers'!AE19*PMwithoutlitterN2O)+('Mitigation drivers'!AE20*PMwithlitterN2O)+('Mitigation drivers'!AE22*DigesterN2OEF))/100</f>
        <v>5.0000000000000001E-4</v>
      </c>
      <c r="AK54" s="26">
        <f>(('Mitigation drivers'!AF12*LagoonN2O)+('Mitigation drivers'!AF13*LiquidN2O)+('Mitigation drivers'!AF14*DrylotN2O)+('Mitigation drivers'!AF15*SolidStorageN2O)+('Mitigation drivers'!AF16*DailyspreadN2O)+('Mitigation drivers'!AF17*CompostN2O)+('Mitigation drivers'!AF18*ManwithbedN2O)+('Mitigation drivers'!AF19*PMwithoutlitterN2O)+('Mitigation drivers'!AF20*PMwithlitterN2O)+('Mitigation drivers'!AF22*DigesterN2OEF))/100</f>
        <v>5.0000000000000001E-4</v>
      </c>
      <c r="AL54" s="26">
        <f>(('Mitigation drivers'!AG12*LagoonN2O)+('Mitigation drivers'!AG13*LiquidN2O)+('Mitigation drivers'!AG14*DrylotN2O)+('Mitigation drivers'!AG15*SolidStorageN2O)+('Mitigation drivers'!AG16*DailyspreadN2O)+('Mitigation drivers'!AG17*CompostN2O)+('Mitigation drivers'!AG18*ManwithbedN2O)+('Mitigation drivers'!AG19*PMwithoutlitterN2O)+('Mitigation drivers'!AG20*PMwithlitterN2O)+('Mitigation drivers'!AG22*DigesterN2OEF))/100</f>
        <v>5.0000000000000001E-4</v>
      </c>
      <c r="AM54" s="26">
        <f>(('Mitigation drivers'!AH12*LagoonN2O)+('Mitigation drivers'!AH13*LiquidN2O)+('Mitigation drivers'!AH14*DrylotN2O)+('Mitigation drivers'!AH15*SolidStorageN2O)+('Mitigation drivers'!AH16*DailyspreadN2O)+('Mitigation drivers'!AH17*CompostN2O)+('Mitigation drivers'!AH18*ManwithbedN2O)+('Mitigation drivers'!AH19*PMwithoutlitterN2O)+('Mitigation drivers'!AH20*PMwithlitterN2O)+('Mitigation drivers'!AH22*DigesterN2OEF))/100</f>
        <v>5.0000000000000001E-4</v>
      </c>
      <c r="AN54" s="26">
        <f>(('Mitigation drivers'!AI12*LagoonN2O)+('Mitigation drivers'!AI13*LiquidN2O)+('Mitigation drivers'!AI14*DrylotN2O)+('Mitigation drivers'!AI15*SolidStorageN2O)+('Mitigation drivers'!AI16*DailyspreadN2O)+('Mitigation drivers'!AI17*CompostN2O)+('Mitigation drivers'!AI18*ManwithbedN2O)+('Mitigation drivers'!AI19*PMwithoutlitterN2O)+('Mitigation drivers'!AI20*PMwithlitterN2O)+('Mitigation drivers'!AI22*DigesterN2OEF))/100</f>
        <v>5.0000000000000001E-4</v>
      </c>
      <c r="AO54" s="26">
        <f>(('Mitigation drivers'!AJ12*LagoonN2O)+('Mitigation drivers'!AJ13*LiquidN2O)+('Mitigation drivers'!AJ14*DrylotN2O)+('Mitigation drivers'!AJ15*SolidStorageN2O)+('Mitigation drivers'!AJ16*DailyspreadN2O)+('Mitigation drivers'!AJ17*CompostN2O)+('Mitigation drivers'!AJ18*ManwithbedN2O)+('Mitigation drivers'!AJ19*PMwithoutlitterN2O)+('Mitigation drivers'!AJ20*PMwithlitterN2O)+('Mitigation drivers'!AJ22*DigesterN2OEF))/100</f>
        <v>5.0000000000000001E-4</v>
      </c>
    </row>
    <row r="55" spans="1:41" x14ac:dyDescent="0.25">
      <c r="A55" t="str">
        <f t="shared" si="5"/>
        <v>3A Livestock</v>
      </c>
      <c r="B55" t="str">
        <f t="shared" si="13"/>
        <v>3A2 Manure management (N2O)</v>
      </c>
      <c r="C55" t="str">
        <f>'Activity data'!C6</f>
        <v>3A1ai Dairy cattle</v>
      </c>
      <c r="D55" t="str">
        <f>'Activity data'!D6</f>
        <v>Pasture</v>
      </c>
      <c r="E55" t="str">
        <f t="shared" si="11"/>
        <v>Manure management EF</v>
      </c>
      <c r="F55" t="str">
        <f>F54</f>
        <v>N2O</v>
      </c>
      <c r="G55" t="str">
        <f>G54</f>
        <v>kg N2O-N/kg Nex</v>
      </c>
      <c r="H55" s="26">
        <f>(('Mitigation drivers'!C24*LagoonN2O)+('Mitigation drivers'!C25*LiquidN2O)+('Mitigation drivers'!C26*DrylotN2O)+('Mitigation drivers'!C27*SolidStorageN2O)+('Mitigation drivers'!C28*DailyspreadN2O)+('Mitigation drivers'!C29*CompostN2O)+('Mitigation drivers'!C30*ManwithbedN2O)+('Mitigation drivers'!C31*PMwithoutlitterN2O)+('Mitigation drivers'!C32*PMwithlitterN2O)+('Mitigation drivers'!C34*DigesterN2OEF))/100</f>
        <v>2.9000000000000002E-3</v>
      </c>
      <c r="I55" s="26">
        <f>(('Mitigation drivers'!D24*LagoonN2O)+('Mitigation drivers'!D25*LiquidN2O)+('Mitigation drivers'!D26*DrylotN2O)+('Mitigation drivers'!D27*SolidStorageN2O)+('Mitigation drivers'!D28*DailyspreadN2O)+('Mitigation drivers'!D29*CompostN2O)+('Mitigation drivers'!D30*ManwithbedN2O)+('Mitigation drivers'!D31*PMwithoutlitterN2O)+('Mitigation drivers'!D32*PMwithlitterN2O)+('Mitigation drivers'!D34*DigesterN2OEF))/100</f>
        <v>2.9000000000000002E-3</v>
      </c>
      <c r="J55" s="26">
        <f>(('Mitigation drivers'!E24*LagoonN2O)+('Mitigation drivers'!E25*LiquidN2O)+('Mitigation drivers'!E26*DrylotN2O)+('Mitigation drivers'!E27*SolidStorageN2O)+('Mitigation drivers'!E28*DailyspreadN2O)+('Mitigation drivers'!E29*CompostN2O)+('Mitigation drivers'!E30*ManwithbedN2O)+('Mitigation drivers'!E31*PMwithoutlitterN2O)+('Mitigation drivers'!E32*PMwithlitterN2O)+('Mitigation drivers'!E34*DigesterN2OEF))/100</f>
        <v>2.9000000000000002E-3</v>
      </c>
      <c r="K55" s="26">
        <f>(('Mitigation drivers'!F24*LagoonN2O)+('Mitigation drivers'!F25*LiquidN2O)+('Mitigation drivers'!F26*DrylotN2O)+('Mitigation drivers'!F27*SolidStorageN2O)+('Mitigation drivers'!F28*DailyspreadN2O)+('Mitigation drivers'!F29*CompostN2O)+('Mitigation drivers'!F30*ManwithbedN2O)+('Mitigation drivers'!F31*PMwithoutlitterN2O)+('Mitigation drivers'!F32*PMwithlitterN2O)+('Mitigation drivers'!F34*DigesterN2OEF))/100</f>
        <v>2.9000000000000002E-3</v>
      </c>
      <c r="L55" s="26">
        <f>(('Mitigation drivers'!G24*LagoonN2O)+('Mitigation drivers'!G25*LiquidN2O)+('Mitigation drivers'!G26*DrylotN2O)+('Mitigation drivers'!G27*SolidStorageN2O)+('Mitigation drivers'!G28*DailyspreadN2O)+('Mitigation drivers'!G29*CompostN2O)+('Mitigation drivers'!G30*ManwithbedN2O)+('Mitigation drivers'!G31*PMwithoutlitterN2O)+('Mitigation drivers'!G32*PMwithlitterN2O)+('Mitigation drivers'!G34*DigesterN2OEF))/100</f>
        <v>2.9000000000000002E-3</v>
      </c>
      <c r="M55" s="26">
        <f>(('Mitigation drivers'!H24*LagoonN2O)+('Mitigation drivers'!H25*LiquidN2O)+('Mitigation drivers'!H26*DrylotN2O)+('Mitigation drivers'!H27*SolidStorageN2O)+('Mitigation drivers'!H28*DailyspreadN2O)+('Mitigation drivers'!H29*CompostN2O)+('Mitigation drivers'!H30*ManwithbedN2O)+('Mitigation drivers'!H31*PMwithoutlitterN2O)+('Mitigation drivers'!H32*PMwithlitterN2O)+('Mitigation drivers'!H34*DigesterN2OEF))/100</f>
        <v>2.9000000000000002E-3</v>
      </c>
      <c r="N55" s="26">
        <f>(('Mitigation drivers'!I24*LagoonN2O)+('Mitigation drivers'!I25*LiquidN2O)+('Mitigation drivers'!I26*DrylotN2O)+('Mitigation drivers'!I27*SolidStorageN2O)+('Mitigation drivers'!I28*DailyspreadN2O)+('Mitigation drivers'!I29*CompostN2O)+('Mitigation drivers'!I30*ManwithbedN2O)+('Mitigation drivers'!I31*PMwithoutlitterN2O)+('Mitigation drivers'!I32*PMwithlitterN2O)+('Mitigation drivers'!I34*DigesterN2OEF))/100</f>
        <v>2.9000000000000002E-3</v>
      </c>
      <c r="O55" s="26">
        <f>(('Mitigation drivers'!J24*LagoonN2O)+('Mitigation drivers'!J25*LiquidN2O)+('Mitigation drivers'!J26*DrylotN2O)+('Mitigation drivers'!J27*SolidStorageN2O)+('Mitigation drivers'!J28*DailyspreadN2O)+('Mitigation drivers'!J29*CompostN2O)+('Mitigation drivers'!J30*ManwithbedN2O)+('Mitigation drivers'!J31*PMwithoutlitterN2O)+('Mitigation drivers'!J32*PMwithlitterN2O)+('Mitigation drivers'!J34*DigesterN2OEF))/100</f>
        <v>2.9000000000000002E-3</v>
      </c>
      <c r="P55" s="26">
        <f>(('Mitigation drivers'!K24*LagoonN2O)+('Mitigation drivers'!K25*LiquidN2O)+('Mitigation drivers'!K26*DrylotN2O)+('Mitigation drivers'!K27*SolidStorageN2O)+('Mitigation drivers'!K28*DailyspreadN2O)+('Mitigation drivers'!K29*CompostN2O)+('Mitigation drivers'!K30*ManwithbedN2O)+('Mitigation drivers'!K31*PMwithoutlitterN2O)+('Mitigation drivers'!K32*PMwithlitterN2O)+('Mitigation drivers'!K34*DigesterN2OEF))/100</f>
        <v>2.9000000000000002E-3</v>
      </c>
      <c r="Q55" s="26">
        <f>(('Mitigation drivers'!L24*LagoonN2O)+('Mitigation drivers'!L25*LiquidN2O)+('Mitigation drivers'!L26*DrylotN2O)+('Mitigation drivers'!L27*SolidStorageN2O)+('Mitigation drivers'!L28*DailyspreadN2O)+('Mitigation drivers'!L29*CompostN2O)+('Mitigation drivers'!L30*ManwithbedN2O)+('Mitigation drivers'!L31*PMwithoutlitterN2O)+('Mitigation drivers'!L32*PMwithlitterN2O)+('Mitigation drivers'!L34*DigesterN2OEF))/100</f>
        <v>2.9000000000000002E-3</v>
      </c>
      <c r="R55" s="26">
        <f>(('Mitigation drivers'!M24*LagoonN2O)+('Mitigation drivers'!M25*LiquidN2O)+('Mitigation drivers'!M26*DrylotN2O)+('Mitigation drivers'!M27*SolidStorageN2O)+('Mitigation drivers'!M28*DailyspreadN2O)+('Mitigation drivers'!M29*CompostN2O)+('Mitigation drivers'!M30*ManwithbedN2O)+('Mitigation drivers'!M31*PMwithoutlitterN2O)+('Mitigation drivers'!M32*PMwithlitterN2O)+('Mitigation drivers'!M34*DigesterN2OEF))/100</f>
        <v>2.9000000000000002E-3</v>
      </c>
      <c r="S55" s="26">
        <f>(('Mitigation drivers'!N24*LagoonN2O)+('Mitigation drivers'!N25*LiquidN2O)+('Mitigation drivers'!N26*DrylotN2O)+('Mitigation drivers'!N27*SolidStorageN2O)+('Mitigation drivers'!N28*DailyspreadN2O)+('Mitigation drivers'!N29*CompostN2O)+('Mitigation drivers'!N30*ManwithbedN2O)+('Mitigation drivers'!N31*PMwithoutlitterN2O)+('Mitigation drivers'!N32*PMwithlitterN2O)+('Mitigation drivers'!N34*DigesterN2OEF))/100</f>
        <v>2.9000000000000002E-3</v>
      </c>
      <c r="T55" s="26">
        <f>(('Mitigation drivers'!O24*LagoonN2O)+('Mitigation drivers'!O25*LiquidN2O)+('Mitigation drivers'!O26*DrylotN2O)+('Mitigation drivers'!O27*SolidStorageN2O)+('Mitigation drivers'!O28*DailyspreadN2O)+('Mitigation drivers'!O29*CompostN2O)+('Mitigation drivers'!O30*ManwithbedN2O)+('Mitigation drivers'!O31*PMwithoutlitterN2O)+('Mitigation drivers'!O32*PMwithlitterN2O)+('Mitigation drivers'!O34*DigesterN2OEF))/100</f>
        <v>2.9000000000000002E-3</v>
      </c>
      <c r="U55" s="26">
        <f>(('Mitigation drivers'!P24*LagoonN2O)+('Mitigation drivers'!P25*LiquidN2O)+('Mitigation drivers'!P26*DrylotN2O)+('Mitigation drivers'!P27*SolidStorageN2O)+('Mitigation drivers'!P28*DailyspreadN2O)+('Mitigation drivers'!P29*CompostN2O)+('Mitigation drivers'!P30*ManwithbedN2O)+('Mitigation drivers'!P31*PMwithoutlitterN2O)+('Mitigation drivers'!P32*PMwithlitterN2O)+('Mitigation drivers'!P34*DigesterN2OEF))/100</f>
        <v>2.9000000000000002E-3</v>
      </c>
      <c r="V55" s="26">
        <f>(('Mitigation drivers'!Q24*LagoonN2O)+('Mitigation drivers'!Q25*LiquidN2O)+('Mitigation drivers'!Q26*DrylotN2O)+('Mitigation drivers'!Q27*SolidStorageN2O)+('Mitigation drivers'!Q28*DailyspreadN2O)+('Mitigation drivers'!Q29*CompostN2O)+('Mitigation drivers'!Q30*ManwithbedN2O)+('Mitigation drivers'!Q31*PMwithoutlitterN2O)+('Mitigation drivers'!Q32*PMwithlitterN2O)+('Mitigation drivers'!Q34*DigesterN2OEF))/100</f>
        <v>2.9000000000000002E-3</v>
      </c>
      <c r="W55" s="26">
        <f>(('Mitigation drivers'!R24*LagoonN2O)+('Mitigation drivers'!R25*LiquidN2O)+('Mitigation drivers'!R26*DrylotN2O)+('Mitigation drivers'!R27*SolidStorageN2O)+('Mitigation drivers'!R28*DailyspreadN2O)+('Mitigation drivers'!R29*CompostN2O)+('Mitigation drivers'!R30*ManwithbedN2O)+('Mitigation drivers'!R31*PMwithoutlitterN2O)+('Mitigation drivers'!R32*PMwithlitterN2O)+('Mitigation drivers'!R34*DigesterN2OEF))/100</f>
        <v>2.9000000000000002E-3</v>
      </c>
      <c r="X55" s="26">
        <f>(('Mitigation drivers'!S24*LagoonN2O)+('Mitigation drivers'!S25*LiquidN2O)+('Mitigation drivers'!S26*DrylotN2O)+('Mitigation drivers'!S27*SolidStorageN2O)+('Mitigation drivers'!S28*DailyspreadN2O)+('Mitigation drivers'!S29*CompostN2O)+('Mitigation drivers'!S30*ManwithbedN2O)+('Mitigation drivers'!S31*PMwithoutlitterN2O)+('Mitigation drivers'!S32*PMwithlitterN2O)+('Mitigation drivers'!S34*DigesterN2OEF))/100</f>
        <v>2.9000000000000002E-3</v>
      </c>
      <c r="Y55" s="26">
        <f>(('Mitigation drivers'!T24*LagoonN2O)+('Mitigation drivers'!T25*LiquidN2O)+('Mitigation drivers'!T26*DrylotN2O)+('Mitigation drivers'!T27*SolidStorageN2O)+('Mitigation drivers'!T28*DailyspreadN2O)+('Mitigation drivers'!T29*CompostN2O)+('Mitigation drivers'!T30*ManwithbedN2O)+('Mitigation drivers'!T31*PMwithoutlitterN2O)+('Mitigation drivers'!T32*PMwithlitterN2O)+('Mitigation drivers'!T34*DigesterN2OEF))/100</f>
        <v>2.9000000000000002E-3</v>
      </c>
      <c r="Z55" s="26">
        <f>(('Mitigation drivers'!U24*LagoonN2O)+('Mitigation drivers'!U25*LiquidN2O)+('Mitigation drivers'!U26*DrylotN2O)+('Mitigation drivers'!U27*SolidStorageN2O)+('Mitigation drivers'!U28*DailyspreadN2O)+('Mitigation drivers'!U29*CompostN2O)+('Mitigation drivers'!U30*ManwithbedN2O)+('Mitigation drivers'!U31*PMwithoutlitterN2O)+('Mitigation drivers'!U32*PMwithlitterN2O)+('Mitigation drivers'!U34*DigesterN2OEF))/100</f>
        <v>2.9000000000000002E-3</v>
      </c>
      <c r="AA55" s="26">
        <f>(('Mitigation drivers'!V24*LagoonN2O)+('Mitigation drivers'!V25*LiquidN2O)+('Mitigation drivers'!V26*DrylotN2O)+('Mitigation drivers'!V27*SolidStorageN2O)+('Mitigation drivers'!V28*DailyspreadN2O)+('Mitigation drivers'!V29*CompostN2O)+('Mitigation drivers'!V30*ManwithbedN2O)+('Mitigation drivers'!V31*PMwithoutlitterN2O)+('Mitigation drivers'!V32*PMwithlitterN2O)+('Mitigation drivers'!V34*DigesterN2OEF))/100</f>
        <v>2.9000000000000002E-3</v>
      </c>
      <c r="AB55" s="26">
        <f>(('Mitigation drivers'!W24*LagoonN2O)+('Mitigation drivers'!W25*LiquidN2O)+('Mitigation drivers'!W26*DrylotN2O)+('Mitigation drivers'!W27*SolidStorageN2O)+('Mitigation drivers'!W28*DailyspreadN2O)+('Mitigation drivers'!W29*CompostN2O)+('Mitigation drivers'!W30*ManwithbedN2O)+('Mitigation drivers'!W31*PMwithoutlitterN2O)+('Mitigation drivers'!W32*PMwithlitterN2O)+('Mitigation drivers'!W34*DigesterN2OEF))/100</f>
        <v>2.9000000000000002E-3</v>
      </c>
      <c r="AC55" s="26">
        <f>(('Mitigation drivers'!X24*LagoonN2O)+('Mitigation drivers'!X25*LiquidN2O)+('Mitigation drivers'!X26*DrylotN2O)+('Mitigation drivers'!X27*SolidStorageN2O)+('Mitigation drivers'!X28*DailyspreadN2O)+('Mitigation drivers'!X29*CompostN2O)+('Mitigation drivers'!X30*ManwithbedN2O)+('Mitigation drivers'!X31*PMwithoutlitterN2O)+('Mitigation drivers'!X32*PMwithlitterN2O)+('Mitigation drivers'!X34*DigesterN2OEF))/100</f>
        <v>2.9000000000000002E-3</v>
      </c>
      <c r="AD55" s="26">
        <f>(('Mitigation drivers'!Y24*LagoonN2O)+('Mitigation drivers'!Y25*LiquidN2O)+('Mitigation drivers'!Y26*DrylotN2O)+('Mitigation drivers'!Y27*SolidStorageN2O)+('Mitigation drivers'!Y28*DailyspreadN2O)+('Mitigation drivers'!Y29*CompostN2O)+('Mitigation drivers'!Y30*ManwithbedN2O)+('Mitigation drivers'!Y31*PMwithoutlitterN2O)+('Mitigation drivers'!Y32*PMwithlitterN2O)+('Mitigation drivers'!Y34*DigesterN2OEF))/100</f>
        <v>2.9000000000000002E-3</v>
      </c>
      <c r="AE55" s="26">
        <f>(('Mitigation drivers'!Z24*LagoonN2O)+('Mitigation drivers'!Z25*LiquidN2O)+('Mitigation drivers'!Z26*DrylotN2O)+('Mitigation drivers'!Z27*SolidStorageN2O)+('Mitigation drivers'!Z28*DailyspreadN2O)+('Mitigation drivers'!Z29*CompostN2O)+('Mitigation drivers'!Z30*ManwithbedN2O)+('Mitigation drivers'!Z31*PMwithoutlitterN2O)+('Mitigation drivers'!Z32*PMwithlitterN2O)+('Mitigation drivers'!Z34*DigesterN2OEF))/100</f>
        <v>2.9000000000000002E-3</v>
      </c>
      <c r="AF55" s="26">
        <f>(('Mitigation drivers'!AA24*LagoonN2O)+('Mitigation drivers'!AA25*LiquidN2O)+('Mitigation drivers'!AA26*DrylotN2O)+('Mitigation drivers'!AA27*SolidStorageN2O)+('Mitigation drivers'!AA28*DailyspreadN2O)+('Mitigation drivers'!AA29*CompostN2O)+('Mitigation drivers'!AA30*ManwithbedN2O)+('Mitigation drivers'!AA31*PMwithoutlitterN2O)+('Mitigation drivers'!AA32*PMwithlitterN2O)+('Mitigation drivers'!AA34*DigesterN2OEF))/100</f>
        <v>2.9000000000000002E-3</v>
      </c>
      <c r="AG55" s="26">
        <f>(('Mitigation drivers'!AB24*LagoonN2O)+('Mitigation drivers'!AB25*LiquidN2O)+('Mitigation drivers'!AB26*DrylotN2O)+('Mitigation drivers'!AB27*SolidStorageN2O)+('Mitigation drivers'!AB28*DailyspreadN2O)+('Mitigation drivers'!AB29*CompostN2O)+('Mitigation drivers'!AB30*ManwithbedN2O)+('Mitigation drivers'!AB31*PMwithoutlitterN2O)+('Mitigation drivers'!AB32*PMwithlitterN2O)+('Mitigation drivers'!AB34*DigesterN2OEF))/100</f>
        <v>2.9000000000000002E-3</v>
      </c>
      <c r="AH55" s="26">
        <f>(('Mitigation drivers'!AC24*LagoonN2O)+('Mitigation drivers'!AC25*LiquidN2O)+('Mitigation drivers'!AC26*DrylotN2O)+('Mitigation drivers'!AC27*SolidStorageN2O)+('Mitigation drivers'!AC28*DailyspreadN2O)+('Mitigation drivers'!AC29*CompostN2O)+('Mitigation drivers'!AC30*ManwithbedN2O)+('Mitigation drivers'!AC31*PMwithoutlitterN2O)+('Mitigation drivers'!AC32*PMwithlitterN2O)+('Mitigation drivers'!AC34*DigesterN2OEF))/100</f>
        <v>2.9000000000000002E-3</v>
      </c>
      <c r="AI55" s="26">
        <f>(('Mitigation drivers'!AD24*LagoonN2O)+('Mitigation drivers'!AD25*LiquidN2O)+('Mitigation drivers'!AD26*DrylotN2O)+('Mitigation drivers'!AD27*SolidStorageN2O)+('Mitigation drivers'!AD28*DailyspreadN2O)+('Mitigation drivers'!AD29*CompostN2O)+('Mitigation drivers'!AD30*ManwithbedN2O)+('Mitigation drivers'!AD31*PMwithoutlitterN2O)+('Mitigation drivers'!AD32*PMwithlitterN2O)+('Mitigation drivers'!AD34*DigesterN2OEF))/100</f>
        <v>2.9000000000000002E-3</v>
      </c>
      <c r="AJ55" s="26">
        <f>(('Mitigation drivers'!AE24*LagoonN2O)+('Mitigation drivers'!AE25*LiquidN2O)+('Mitigation drivers'!AE26*DrylotN2O)+('Mitigation drivers'!AE27*SolidStorageN2O)+('Mitigation drivers'!AE28*DailyspreadN2O)+('Mitigation drivers'!AE29*CompostN2O)+('Mitigation drivers'!AE30*ManwithbedN2O)+('Mitigation drivers'!AE31*PMwithoutlitterN2O)+('Mitigation drivers'!AE32*PMwithlitterN2O)+('Mitigation drivers'!AE34*DigesterN2OEF))/100</f>
        <v>2.9000000000000002E-3</v>
      </c>
      <c r="AK55" s="26">
        <f>(('Mitigation drivers'!AF24*LagoonN2O)+('Mitigation drivers'!AF25*LiquidN2O)+('Mitigation drivers'!AF26*DrylotN2O)+('Mitigation drivers'!AF27*SolidStorageN2O)+('Mitigation drivers'!AF28*DailyspreadN2O)+('Mitigation drivers'!AF29*CompostN2O)+('Mitigation drivers'!AF30*ManwithbedN2O)+('Mitigation drivers'!AF31*PMwithoutlitterN2O)+('Mitigation drivers'!AF32*PMwithlitterN2O)+('Mitigation drivers'!AF34*DigesterN2OEF))/100</f>
        <v>2.9000000000000002E-3</v>
      </c>
      <c r="AL55" s="26">
        <f>(('Mitigation drivers'!AG24*LagoonN2O)+('Mitigation drivers'!AG25*LiquidN2O)+('Mitigation drivers'!AG26*DrylotN2O)+('Mitigation drivers'!AG27*SolidStorageN2O)+('Mitigation drivers'!AG28*DailyspreadN2O)+('Mitigation drivers'!AG29*CompostN2O)+('Mitigation drivers'!AG30*ManwithbedN2O)+('Mitigation drivers'!AG31*PMwithoutlitterN2O)+('Mitigation drivers'!AG32*PMwithlitterN2O)+('Mitigation drivers'!AG34*DigesterN2OEF))/100</f>
        <v>2.9000000000000002E-3</v>
      </c>
      <c r="AM55" s="26">
        <f>(('Mitigation drivers'!AH24*LagoonN2O)+('Mitigation drivers'!AH25*LiquidN2O)+('Mitigation drivers'!AH26*DrylotN2O)+('Mitigation drivers'!AH27*SolidStorageN2O)+('Mitigation drivers'!AH28*DailyspreadN2O)+('Mitigation drivers'!AH29*CompostN2O)+('Mitigation drivers'!AH30*ManwithbedN2O)+('Mitigation drivers'!AH31*PMwithoutlitterN2O)+('Mitigation drivers'!AH32*PMwithlitterN2O)+('Mitigation drivers'!AH34*DigesterN2OEF))/100</f>
        <v>2.9000000000000002E-3</v>
      </c>
      <c r="AN55" s="26">
        <f>(('Mitigation drivers'!AI24*LagoonN2O)+('Mitigation drivers'!AI25*LiquidN2O)+('Mitigation drivers'!AI26*DrylotN2O)+('Mitigation drivers'!AI27*SolidStorageN2O)+('Mitigation drivers'!AI28*DailyspreadN2O)+('Mitigation drivers'!AI29*CompostN2O)+('Mitigation drivers'!AI30*ManwithbedN2O)+('Mitigation drivers'!AI31*PMwithoutlitterN2O)+('Mitigation drivers'!AI32*PMwithlitterN2O)+('Mitigation drivers'!AI34*DigesterN2OEF))/100</f>
        <v>2.9000000000000002E-3</v>
      </c>
      <c r="AO55" s="26">
        <f>(('Mitigation drivers'!AJ24*LagoonN2O)+('Mitigation drivers'!AJ25*LiquidN2O)+('Mitigation drivers'!AJ26*DrylotN2O)+('Mitigation drivers'!AJ27*SolidStorageN2O)+('Mitigation drivers'!AJ28*DailyspreadN2O)+('Mitigation drivers'!AJ29*CompostN2O)+('Mitigation drivers'!AJ30*ManwithbedN2O)+('Mitigation drivers'!AJ31*PMwithoutlitterN2O)+('Mitigation drivers'!AJ32*PMwithlitterN2O)+('Mitigation drivers'!AJ34*DigesterN2OEF))/100</f>
        <v>2.9000000000000002E-3</v>
      </c>
    </row>
    <row r="56" spans="1:41" x14ac:dyDescent="0.25">
      <c r="A56" t="str">
        <f t="shared" si="5"/>
        <v>3A Livestock</v>
      </c>
      <c r="B56" t="str">
        <f t="shared" si="13"/>
        <v>3A2 Manure management (N2O)</v>
      </c>
      <c r="C56" t="str">
        <f>'Activity data'!C7</f>
        <v>3A1aii Other cattle</v>
      </c>
      <c r="D56" t="str">
        <f>'Activity data'!D7</f>
        <v>Non-lactating</v>
      </c>
      <c r="E56" t="str">
        <f t="shared" si="11"/>
        <v>Manure management EF</v>
      </c>
      <c r="F56" t="str">
        <f>F55</f>
        <v>N2O</v>
      </c>
      <c r="G56" t="str">
        <f>G55</f>
        <v>kg N2O-N/kg Nex</v>
      </c>
      <c r="H56" s="26">
        <f>(('Mitigation drivers'!C36*LagoonN2O)+('Mitigation drivers'!C37*LiquidN2O)+('Mitigation drivers'!C38*DrylotN2O)+('Mitigation drivers'!C39*SolidStorageN2O)+('Mitigation drivers'!C40*DailyspreadN2O)+('Mitigation drivers'!C41*CompostN2O)+('Mitigation drivers'!C42*ManwithbedN2O)+('Mitigation drivers'!C43*PMwithoutlitterN2O)+('Mitigation drivers'!C44*PMwithlitterN2O)+('Mitigation drivers'!C46*DigesterN2OEF))/100</f>
        <v>2.9999999999999997E-4</v>
      </c>
      <c r="I56" s="26">
        <f>(('Mitigation drivers'!D36*LagoonN2O)+('Mitigation drivers'!D37*LiquidN2O)+('Mitigation drivers'!D38*DrylotN2O)+('Mitigation drivers'!D39*SolidStorageN2O)+('Mitigation drivers'!D40*DailyspreadN2O)+('Mitigation drivers'!D41*CompostN2O)+('Mitigation drivers'!D42*ManwithbedN2O)+('Mitigation drivers'!D43*PMwithoutlitterN2O)+('Mitigation drivers'!D44*PMwithlitterN2O)+('Mitigation drivers'!D46*DigesterN2OEF))/100</f>
        <v>2.9999999999999997E-4</v>
      </c>
      <c r="J56" s="26">
        <f>(('Mitigation drivers'!E36*LagoonN2O)+('Mitigation drivers'!E37*LiquidN2O)+('Mitigation drivers'!E38*DrylotN2O)+('Mitigation drivers'!E39*SolidStorageN2O)+('Mitigation drivers'!E40*DailyspreadN2O)+('Mitigation drivers'!E41*CompostN2O)+('Mitigation drivers'!E42*ManwithbedN2O)+('Mitigation drivers'!E43*PMwithoutlitterN2O)+('Mitigation drivers'!E44*PMwithlitterN2O)+('Mitigation drivers'!E46*DigesterN2OEF))/100</f>
        <v>2.9999999999999997E-4</v>
      </c>
      <c r="K56" s="26">
        <f>(('Mitigation drivers'!F36*LagoonN2O)+('Mitigation drivers'!F37*LiquidN2O)+('Mitigation drivers'!F38*DrylotN2O)+('Mitigation drivers'!F39*SolidStorageN2O)+('Mitigation drivers'!F40*DailyspreadN2O)+('Mitigation drivers'!F41*CompostN2O)+('Mitigation drivers'!F42*ManwithbedN2O)+('Mitigation drivers'!F43*PMwithoutlitterN2O)+('Mitigation drivers'!F44*PMwithlitterN2O)+('Mitigation drivers'!F46*DigesterN2OEF))/100</f>
        <v>2.9999999999999997E-4</v>
      </c>
      <c r="L56" s="26">
        <f>(('Mitigation drivers'!G36*LagoonN2O)+('Mitigation drivers'!G37*LiquidN2O)+('Mitigation drivers'!G38*DrylotN2O)+('Mitigation drivers'!G39*SolidStorageN2O)+('Mitigation drivers'!G40*DailyspreadN2O)+('Mitigation drivers'!G41*CompostN2O)+('Mitigation drivers'!G42*ManwithbedN2O)+('Mitigation drivers'!G43*PMwithoutlitterN2O)+('Mitigation drivers'!G44*PMwithlitterN2O)+('Mitigation drivers'!G46*DigesterN2OEF))/100</f>
        <v>2.9999999999999997E-4</v>
      </c>
      <c r="M56" s="26">
        <f>(('Mitigation drivers'!H36*LagoonN2O)+('Mitigation drivers'!H37*LiquidN2O)+('Mitigation drivers'!H38*DrylotN2O)+('Mitigation drivers'!H39*SolidStorageN2O)+('Mitigation drivers'!H40*DailyspreadN2O)+('Mitigation drivers'!H41*CompostN2O)+('Mitigation drivers'!H42*ManwithbedN2O)+('Mitigation drivers'!H43*PMwithoutlitterN2O)+('Mitigation drivers'!H44*PMwithlitterN2O)+('Mitigation drivers'!H46*DigesterN2OEF))/100</f>
        <v>2.9999999999999997E-4</v>
      </c>
      <c r="N56" s="26">
        <f>(('Mitigation drivers'!I36*LagoonN2O)+('Mitigation drivers'!I37*LiquidN2O)+('Mitigation drivers'!I38*DrylotN2O)+('Mitigation drivers'!I39*SolidStorageN2O)+('Mitigation drivers'!I40*DailyspreadN2O)+('Mitigation drivers'!I41*CompostN2O)+('Mitigation drivers'!I42*ManwithbedN2O)+('Mitigation drivers'!I43*PMwithoutlitterN2O)+('Mitigation drivers'!I44*PMwithlitterN2O)+('Mitigation drivers'!I46*DigesterN2OEF))/100</f>
        <v>2.9999999999999997E-4</v>
      </c>
      <c r="O56" s="26">
        <f>(('Mitigation drivers'!J36*LagoonN2O)+('Mitigation drivers'!J37*LiquidN2O)+('Mitigation drivers'!J38*DrylotN2O)+('Mitigation drivers'!J39*SolidStorageN2O)+('Mitigation drivers'!J40*DailyspreadN2O)+('Mitigation drivers'!J41*CompostN2O)+('Mitigation drivers'!J42*ManwithbedN2O)+('Mitigation drivers'!J43*PMwithoutlitterN2O)+('Mitigation drivers'!J44*PMwithlitterN2O)+('Mitigation drivers'!J46*DigesterN2OEF))/100</f>
        <v>2.9999999999999997E-4</v>
      </c>
      <c r="P56" s="26">
        <f>(('Mitigation drivers'!K36*LagoonN2O)+('Mitigation drivers'!K37*LiquidN2O)+('Mitigation drivers'!K38*DrylotN2O)+('Mitigation drivers'!K39*SolidStorageN2O)+('Mitigation drivers'!K40*DailyspreadN2O)+('Mitigation drivers'!K41*CompostN2O)+('Mitigation drivers'!K42*ManwithbedN2O)+('Mitigation drivers'!K43*PMwithoutlitterN2O)+('Mitigation drivers'!K44*PMwithlitterN2O)+('Mitigation drivers'!K46*DigesterN2OEF))/100</f>
        <v>2.9999999999999997E-4</v>
      </c>
      <c r="Q56" s="26">
        <f>(('Mitigation drivers'!L36*LagoonN2O)+('Mitigation drivers'!L37*LiquidN2O)+('Mitigation drivers'!L38*DrylotN2O)+('Mitigation drivers'!L39*SolidStorageN2O)+('Mitigation drivers'!L40*DailyspreadN2O)+('Mitigation drivers'!L41*CompostN2O)+('Mitigation drivers'!L42*ManwithbedN2O)+('Mitigation drivers'!L43*PMwithoutlitterN2O)+('Mitigation drivers'!L44*PMwithlitterN2O)+('Mitigation drivers'!L46*DigesterN2OEF))/100</f>
        <v>2.9999999999999997E-4</v>
      </c>
      <c r="R56" s="26">
        <f>(('Mitigation drivers'!M36*LagoonN2O)+('Mitigation drivers'!M37*LiquidN2O)+('Mitigation drivers'!M38*DrylotN2O)+('Mitigation drivers'!M39*SolidStorageN2O)+('Mitigation drivers'!M40*DailyspreadN2O)+('Mitigation drivers'!M41*CompostN2O)+('Mitigation drivers'!M42*ManwithbedN2O)+('Mitigation drivers'!M43*PMwithoutlitterN2O)+('Mitigation drivers'!M44*PMwithlitterN2O)+('Mitigation drivers'!M46*DigesterN2OEF))/100</f>
        <v>2.9999999999999997E-4</v>
      </c>
      <c r="S56" s="26">
        <f>(('Mitigation drivers'!N36*LagoonN2O)+('Mitigation drivers'!N37*LiquidN2O)+('Mitigation drivers'!N38*DrylotN2O)+('Mitigation drivers'!N39*SolidStorageN2O)+('Mitigation drivers'!N40*DailyspreadN2O)+('Mitigation drivers'!N41*CompostN2O)+('Mitigation drivers'!N42*ManwithbedN2O)+('Mitigation drivers'!N43*PMwithoutlitterN2O)+('Mitigation drivers'!N44*PMwithlitterN2O)+('Mitigation drivers'!N46*DigesterN2OEF))/100</f>
        <v>2.9999999999999997E-4</v>
      </c>
      <c r="T56" s="26">
        <f>(('Mitigation drivers'!O36*LagoonN2O)+('Mitigation drivers'!O37*LiquidN2O)+('Mitigation drivers'!O38*DrylotN2O)+('Mitigation drivers'!O39*SolidStorageN2O)+('Mitigation drivers'!O40*DailyspreadN2O)+('Mitigation drivers'!O41*CompostN2O)+('Mitigation drivers'!O42*ManwithbedN2O)+('Mitigation drivers'!O43*PMwithoutlitterN2O)+('Mitigation drivers'!O44*PMwithlitterN2O)+('Mitigation drivers'!O46*DigesterN2OEF))/100</f>
        <v>2.9999999999999997E-4</v>
      </c>
      <c r="U56" s="26">
        <f>(('Mitigation drivers'!P36*LagoonN2O)+('Mitigation drivers'!P37*LiquidN2O)+('Mitigation drivers'!P38*DrylotN2O)+('Mitigation drivers'!P39*SolidStorageN2O)+('Mitigation drivers'!P40*DailyspreadN2O)+('Mitigation drivers'!P41*CompostN2O)+('Mitigation drivers'!P42*ManwithbedN2O)+('Mitigation drivers'!P43*PMwithoutlitterN2O)+('Mitigation drivers'!P44*PMwithlitterN2O)+('Mitigation drivers'!P46*DigesterN2OEF))/100</f>
        <v>2.9999999999999997E-4</v>
      </c>
      <c r="V56" s="26">
        <f>(('Mitigation drivers'!Q36*LagoonN2O)+('Mitigation drivers'!Q37*LiquidN2O)+('Mitigation drivers'!Q38*DrylotN2O)+('Mitigation drivers'!Q39*SolidStorageN2O)+('Mitigation drivers'!Q40*DailyspreadN2O)+('Mitigation drivers'!Q41*CompostN2O)+('Mitigation drivers'!Q42*ManwithbedN2O)+('Mitigation drivers'!Q43*PMwithoutlitterN2O)+('Mitigation drivers'!Q44*PMwithlitterN2O)+('Mitigation drivers'!Q46*DigesterN2OEF))/100</f>
        <v>2.9999999999999997E-4</v>
      </c>
      <c r="W56" s="26">
        <f>(('Mitigation drivers'!R36*LagoonN2O)+('Mitigation drivers'!R37*LiquidN2O)+('Mitigation drivers'!R38*DrylotN2O)+('Mitigation drivers'!R39*SolidStorageN2O)+('Mitigation drivers'!R40*DailyspreadN2O)+('Mitigation drivers'!R41*CompostN2O)+('Mitigation drivers'!R42*ManwithbedN2O)+('Mitigation drivers'!R43*PMwithoutlitterN2O)+('Mitigation drivers'!R44*PMwithlitterN2O)+('Mitigation drivers'!R46*DigesterN2OEF))/100</f>
        <v>2.9999999999999997E-4</v>
      </c>
      <c r="X56" s="26">
        <f>(('Mitigation drivers'!S36*LagoonN2O)+('Mitigation drivers'!S37*LiquidN2O)+('Mitigation drivers'!S38*DrylotN2O)+('Mitigation drivers'!S39*SolidStorageN2O)+('Mitigation drivers'!S40*DailyspreadN2O)+('Mitigation drivers'!S41*CompostN2O)+('Mitigation drivers'!S42*ManwithbedN2O)+('Mitigation drivers'!S43*PMwithoutlitterN2O)+('Mitigation drivers'!S44*PMwithlitterN2O)+('Mitigation drivers'!S46*DigesterN2OEF))/100</f>
        <v>2.9999999999999997E-4</v>
      </c>
      <c r="Y56" s="26">
        <f>(('Mitigation drivers'!T36*LagoonN2O)+('Mitigation drivers'!T37*LiquidN2O)+('Mitigation drivers'!T38*DrylotN2O)+('Mitigation drivers'!T39*SolidStorageN2O)+('Mitigation drivers'!T40*DailyspreadN2O)+('Mitigation drivers'!T41*CompostN2O)+('Mitigation drivers'!T42*ManwithbedN2O)+('Mitigation drivers'!T43*PMwithoutlitterN2O)+('Mitigation drivers'!T44*PMwithlitterN2O)+('Mitigation drivers'!T46*DigesterN2OEF))/100</f>
        <v>2.9999999999999997E-4</v>
      </c>
      <c r="Z56" s="26">
        <f>(('Mitigation drivers'!U36*LagoonN2O)+('Mitigation drivers'!U37*LiquidN2O)+('Mitigation drivers'!U38*DrylotN2O)+('Mitigation drivers'!U39*SolidStorageN2O)+('Mitigation drivers'!U40*DailyspreadN2O)+('Mitigation drivers'!U41*CompostN2O)+('Mitigation drivers'!U42*ManwithbedN2O)+('Mitigation drivers'!U43*PMwithoutlitterN2O)+('Mitigation drivers'!U44*PMwithlitterN2O)+('Mitigation drivers'!U46*DigesterN2OEF))/100</f>
        <v>2.9999999999999997E-4</v>
      </c>
      <c r="AA56" s="26">
        <f>(('Mitigation drivers'!V36*LagoonN2O)+('Mitigation drivers'!V37*LiquidN2O)+('Mitigation drivers'!V38*DrylotN2O)+('Mitigation drivers'!V39*SolidStorageN2O)+('Mitigation drivers'!V40*DailyspreadN2O)+('Mitigation drivers'!V41*CompostN2O)+('Mitigation drivers'!V42*ManwithbedN2O)+('Mitigation drivers'!V43*PMwithoutlitterN2O)+('Mitigation drivers'!V44*PMwithlitterN2O)+('Mitigation drivers'!V46*DigesterN2OEF))/100</f>
        <v>2.9999999999999997E-4</v>
      </c>
      <c r="AB56" s="26">
        <f>(('Mitigation drivers'!W36*LagoonN2O)+('Mitigation drivers'!W37*LiquidN2O)+('Mitigation drivers'!W38*DrylotN2O)+('Mitigation drivers'!W39*SolidStorageN2O)+('Mitigation drivers'!W40*DailyspreadN2O)+('Mitigation drivers'!W41*CompostN2O)+('Mitigation drivers'!W42*ManwithbedN2O)+('Mitigation drivers'!W43*PMwithoutlitterN2O)+('Mitigation drivers'!W44*PMwithlitterN2O)+('Mitigation drivers'!W46*DigesterN2OEF))/100</f>
        <v>2.9999999999999997E-4</v>
      </c>
      <c r="AC56" s="26">
        <f>(('Mitigation drivers'!X36*LagoonN2O)+('Mitigation drivers'!X37*LiquidN2O)+('Mitigation drivers'!X38*DrylotN2O)+('Mitigation drivers'!X39*SolidStorageN2O)+('Mitigation drivers'!X40*DailyspreadN2O)+('Mitigation drivers'!X41*CompostN2O)+('Mitigation drivers'!X42*ManwithbedN2O)+('Mitigation drivers'!X43*PMwithoutlitterN2O)+('Mitigation drivers'!X44*PMwithlitterN2O)+('Mitigation drivers'!X46*DigesterN2OEF))/100</f>
        <v>2.9999999999999997E-4</v>
      </c>
      <c r="AD56" s="26">
        <f>(('Mitigation drivers'!Y36*LagoonN2O)+('Mitigation drivers'!Y37*LiquidN2O)+('Mitigation drivers'!Y38*DrylotN2O)+('Mitigation drivers'!Y39*SolidStorageN2O)+('Mitigation drivers'!Y40*DailyspreadN2O)+('Mitigation drivers'!Y41*CompostN2O)+('Mitigation drivers'!Y42*ManwithbedN2O)+('Mitigation drivers'!Y43*PMwithoutlitterN2O)+('Mitigation drivers'!Y44*PMwithlitterN2O)+('Mitigation drivers'!Y46*DigesterN2OEF))/100</f>
        <v>2.9999999999999997E-4</v>
      </c>
      <c r="AE56" s="26">
        <f>(('Mitigation drivers'!Z36*LagoonN2O)+('Mitigation drivers'!Z37*LiquidN2O)+('Mitigation drivers'!Z38*DrylotN2O)+('Mitigation drivers'!Z39*SolidStorageN2O)+('Mitigation drivers'!Z40*DailyspreadN2O)+('Mitigation drivers'!Z41*CompostN2O)+('Mitigation drivers'!Z42*ManwithbedN2O)+('Mitigation drivers'!Z43*PMwithoutlitterN2O)+('Mitigation drivers'!Z44*PMwithlitterN2O)+('Mitigation drivers'!Z46*DigesterN2OEF))/100</f>
        <v>2.9999999999999997E-4</v>
      </c>
      <c r="AF56" s="26">
        <f>(('Mitigation drivers'!AA36*LagoonN2O)+('Mitigation drivers'!AA37*LiquidN2O)+('Mitigation drivers'!AA38*DrylotN2O)+('Mitigation drivers'!AA39*SolidStorageN2O)+('Mitigation drivers'!AA40*DailyspreadN2O)+('Mitigation drivers'!AA41*CompostN2O)+('Mitigation drivers'!AA42*ManwithbedN2O)+('Mitigation drivers'!AA43*PMwithoutlitterN2O)+('Mitigation drivers'!AA44*PMwithlitterN2O)+('Mitigation drivers'!AA46*DigesterN2OEF))/100</f>
        <v>2.9999999999999997E-4</v>
      </c>
      <c r="AG56" s="26">
        <f>(('Mitigation drivers'!AB36*LagoonN2O)+('Mitigation drivers'!AB37*LiquidN2O)+('Mitigation drivers'!AB38*DrylotN2O)+('Mitigation drivers'!AB39*SolidStorageN2O)+('Mitigation drivers'!AB40*DailyspreadN2O)+('Mitigation drivers'!AB41*CompostN2O)+('Mitigation drivers'!AB42*ManwithbedN2O)+('Mitigation drivers'!AB43*PMwithoutlitterN2O)+('Mitigation drivers'!AB44*PMwithlitterN2O)+('Mitigation drivers'!AB46*DigesterN2OEF))/100</f>
        <v>2.9999999999999997E-4</v>
      </c>
      <c r="AH56" s="26">
        <f>(('Mitigation drivers'!AC36*LagoonN2O)+('Mitigation drivers'!AC37*LiquidN2O)+('Mitigation drivers'!AC38*DrylotN2O)+('Mitigation drivers'!AC39*SolidStorageN2O)+('Mitigation drivers'!AC40*DailyspreadN2O)+('Mitigation drivers'!AC41*CompostN2O)+('Mitigation drivers'!AC42*ManwithbedN2O)+('Mitigation drivers'!AC43*PMwithoutlitterN2O)+('Mitigation drivers'!AC44*PMwithlitterN2O)+('Mitigation drivers'!AC46*DigesterN2OEF))/100</f>
        <v>2.9999999999999997E-4</v>
      </c>
      <c r="AI56" s="26">
        <f>(('Mitigation drivers'!AD36*LagoonN2O)+('Mitigation drivers'!AD37*LiquidN2O)+('Mitigation drivers'!AD38*DrylotN2O)+('Mitigation drivers'!AD39*SolidStorageN2O)+('Mitigation drivers'!AD40*DailyspreadN2O)+('Mitigation drivers'!AD41*CompostN2O)+('Mitigation drivers'!AD42*ManwithbedN2O)+('Mitigation drivers'!AD43*PMwithoutlitterN2O)+('Mitigation drivers'!AD44*PMwithlitterN2O)+('Mitigation drivers'!AD46*DigesterN2OEF))/100</f>
        <v>2.9999999999999997E-4</v>
      </c>
      <c r="AJ56" s="26">
        <f>(('Mitigation drivers'!AE36*LagoonN2O)+('Mitigation drivers'!AE37*LiquidN2O)+('Mitigation drivers'!AE38*DrylotN2O)+('Mitigation drivers'!AE39*SolidStorageN2O)+('Mitigation drivers'!AE40*DailyspreadN2O)+('Mitigation drivers'!AE41*CompostN2O)+('Mitigation drivers'!AE42*ManwithbedN2O)+('Mitigation drivers'!AE43*PMwithoutlitterN2O)+('Mitigation drivers'!AE44*PMwithlitterN2O)+('Mitigation drivers'!AE46*DigesterN2OEF))/100</f>
        <v>2.9999999999999997E-4</v>
      </c>
      <c r="AK56" s="26">
        <f>(('Mitigation drivers'!AF36*LagoonN2O)+('Mitigation drivers'!AF37*LiquidN2O)+('Mitigation drivers'!AF38*DrylotN2O)+('Mitigation drivers'!AF39*SolidStorageN2O)+('Mitigation drivers'!AF40*DailyspreadN2O)+('Mitigation drivers'!AF41*CompostN2O)+('Mitigation drivers'!AF42*ManwithbedN2O)+('Mitigation drivers'!AF43*PMwithoutlitterN2O)+('Mitigation drivers'!AF44*PMwithlitterN2O)+('Mitigation drivers'!AF46*DigesterN2OEF))/100</f>
        <v>2.9999999999999997E-4</v>
      </c>
      <c r="AL56" s="26">
        <f>(('Mitigation drivers'!AG36*LagoonN2O)+('Mitigation drivers'!AG37*LiquidN2O)+('Mitigation drivers'!AG38*DrylotN2O)+('Mitigation drivers'!AG39*SolidStorageN2O)+('Mitigation drivers'!AG40*DailyspreadN2O)+('Mitigation drivers'!AG41*CompostN2O)+('Mitigation drivers'!AG42*ManwithbedN2O)+('Mitigation drivers'!AG43*PMwithoutlitterN2O)+('Mitigation drivers'!AG44*PMwithlitterN2O)+('Mitigation drivers'!AG46*DigesterN2OEF))/100</f>
        <v>2.9999999999999997E-4</v>
      </c>
      <c r="AM56" s="26">
        <f>(('Mitigation drivers'!AH36*LagoonN2O)+('Mitigation drivers'!AH37*LiquidN2O)+('Mitigation drivers'!AH38*DrylotN2O)+('Mitigation drivers'!AH39*SolidStorageN2O)+('Mitigation drivers'!AH40*DailyspreadN2O)+('Mitigation drivers'!AH41*CompostN2O)+('Mitigation drivers'!AH42*ManwithbedN2O)+('Mitigation drivers'!AH43*PMwithoutlitterN2O)+('Mitigation drivers'!AH44*PMwithlitterN2O)+('Mitigation drivers'!AH46*DigesterN2OEF))/100</f>
        <v>2.9999999999999997E-4</v>
      </c>
      <c r="AN56" s="26">
        <f>(('Mitigation drivers'!AI36*LagoonN2O)+('Mitigation drivers'!AI37*LiquidN2O)+('Mitigation drivers'!AI38*DrylotN2O)+('Mitigation drivers'!AI39*SolidStorageN2O)+('Mitigation drivers'!AI40*DailyspreadN2O)+('Mitigation drivers'!AI41*CompostN2O)+('Mitigation drivers'!AI42*ManwithbedN2O)+('Mitigation drivers'!AI43*PMwithoutlitterN2O)+('Mitigation drivers'!AI44*PMwithlitterN2O)+('Mitigation drivers'!AI46*DigesterN2OEF))/100</f>
        <v>2.9999999999999997E-4</v>
      </c>
      <c r="AO56" s="26">
        <f>(('Mitigation drivers'!AJ36*LagoonN2O)+('Mitigation drivers'!AJ37*LiquidN2O)+('Mitigation drivers'!AJ38*DrylotN2O)+('Mitigation drivers'!AJ39*SolidStorageN2O)+('Mitigation drivers'!AJ40*DailyspreadN2O)+('Mitigation drivers'!AJ41*CompostN2O)+('Mitigation drivers'!AJ42*ManwithbedN2O)+('Mitigation drivers'!AJ43*PMwithoutlitterN2O)+('Mitigation drivers'!AJ44*PMwithlitterN2O)+('Mitigation drivers'!AJ46*DigesterN2OEF))/100</f>
        <v>2.9999999999999997E-4</v>
      </c>
    </row>
    <row r="57" spans="1:41" x14ac:dyDescent="0.25">
      <c r="A57" t="str">
        <f t="shared" si="5"/>
        <v>3A Livestock</v>
      </c>
      <c r="B57" t="str">
        <f t="shared" si="13"/>
        <v>3A2 Manure management (N2O)</v>
      </c>
      <c r="C57" t="str">
        <f>'Activity data'!C8</f>
        <v>3A1aii Other cattle</v>
      </c>
      <c r="D57" t="str">
        <f>'Activity data'!D8</f>
        <v>Commercial</v>
      </c>
      <c r="E57" t="str">
        <f>E55</f>
        <v>Manure management EF</v>
      </c>
      <c r="F57" t="str">
        <f>F55</f>
        <v>N2O</v>
      </c>
      <c r="G57" t="str">
        <f>G55</f>
        <v>kg N2O-N/kg Nex</v>
      </c>
      <c r="H57" s="26">
        <f>(('Mitigation drivers'!C49*LagoonN2O)+('Mitigation drivers'!C50*LiquidN2O)+('Mitigation drivers'!C51*DrylotN2O)+('Mitigation drivers'!C52*SolidStorageN2O)+('Mitigation drivers'!C53*DailyspreadN2O)+('Mitigation drivers'!C54*CompostN2O)+('Mitigation drivers'!C55*ManwithbedN2O)+('Mitigation drivers'!C56*PMwithoutlitterN2O)+('Mitigation drivers'!C57*PMwithlitterN2O)+('Mitigation drivers'!C59*DigesterN2OEF))/100</f>
        <v>6.4999999999999997E-4</v>
      </c>
      <c r="I57" s="26">
        <f>(('Mitigation drivers'!D49*LagoonN2O)+('Mitigation drivers'!D50*LiquidN2O)+('Mitigation drivers'!D51*DrylotN2O)+('Mitigation drivers'!D52*SolidStorageN2O)+('Mitigation drivers'!D53*DailyspreadN2O)+('Mitigation drivers'!D54*CompostN2O)+('Mitigation drivers'!D55*ManwithbedN2O)+('Mitigation drivers'!D56*PMwithoutlitterN2O)+('Mitigation drivers'!D57*PMwithlitterN2O)+('Mitigation drivers'!D59*DigesterN2OEF))/100</f>
        <v>6.4999999999999997E-4</v>
      </c>
      <c r="J57" s="26">
        <f>(('Mitigation drivers'!E49*LagoonN2O)+('Mitigation drivers'!E50*LiquidN2O)+('Mitigation drivers'!E51*DrylotN2O)+('Mitigation drivers'!E52*SolidStorageN2O)+('Mitigation drivers'!E53*DailyspreadN2O)+('Mitigation drivers'!E54*CompostN2O)+('Mitigation drivers'!E55*ManwithbedN2O)+('Mitigation drivers'!E56*PMwithoutlitterN2O)+('Mitigation drivers'!E57*PMwithlitterN2O)+('Mitigation drivers'!E59*DigesterN2OEF))/100</f>
        <v>6.4999999999999997E-4</v>
      </c>
      <c r="K57" s="26">
        <f>(('Mitigation drivers'!F49*LagoonN2O)+('Mitigation drivers'!F50*LiquidN2O)+('Mitigation drivers'!F51*DrylotN2O)+('Mitigation drivers'!F52*SolidStorageN2O)+('Mitigation drivers'!F53*DailyspreadN2O)+('Mitigation drivers'!F54*CompostN2O)+('Mitigation drivers'!F55*ManwithbedN2O)+('Mitigation drivers'!F56*PMwithoutlitterN2O)+('Mitigation drivers'!F57*PMwithlitterN2O)+('Mitigation drivers'!F59*DigesterN2OEF))/100</f>
        <v>6.4999999999999997E-4</v>
      </c>
      <c r="L57" s="26">
        <f>(('Mitigation drivers'!G49*LagoonN2O)+('Mitigation drivers'!G50*LiquidN2O)+('Mitigation drivers'!G51*DrylotN2O)+('Mitigation drivers'!G52*SolidStorageN2O)+('Mitigation drivers'!G53*DailyspreadN2O)+('Mitigation drivers'!G54*CompostN2O)+('Mitigation drivers'!G55*ManwithbedN2O)+('Mitigation drivers'!G56*PMwithoutlitterN2O)+('Mitigation drivers'!G57*PMwithlitterN2O)+('Mitigation drivers'!G59*DigesterN2OEF))/100</f>
        <v>6.4999999999999997E-4</v>
      </c>
      <c r="M57" s="26">
        <f>(('Mitigation drivers'!H49*LagoonN2O)+('Mitigation drivers'!H50*LiquidN2O)+('Mitigation drivers'!H51*DrylotN2O)+('Mitigation drivers'!H52*SolidStorageN2O)+('Mitigation drivers'!H53*DailyspreadN2O)+('Mitigation drivers'!H54*CompostN2O)+('Mitigation drivers'!H55*ManwithbedN2O)+('Mitigation drivers'!H56*PMwithoutlitterN2O)+('Mitigation drivers'!H57*PMwithlitterN2O)+('Mitigation drivers'!H59*DigesterN2OEF))/100</f>
        <v>6.4999999999999997E-4</v>
      </c>
      <c r="N57" s="26">
        <f>(('Mitigation drivers'!I49*LagoonN2O)+('Mitigation drivers'!I50*LiquidN2O)+('Mitigation drivers'!I51*DrylotN2O)+('Mitigation drivers'!I52*SolidStorageN2O)+('Mitigation drivers'!I53*DailyspreadN2O)+('Mitigation drivers'!I54*CompostN2O)+('Mitigation drivers'!I55*ManwithbedN2O)+('Mitigation drivers'!I56*PMwithoutlitterN2O)+('Mitigation drivers'!I57*PMwithlitterN2O)+('Mitigation drivers'!I59*DigesterN2OEF))/100</f>
        <v>6.4999999999999997E-4</v>
      </c>
      <c r="O57" s="26">
        <f>(('Mitigation drivers'!J49*LagoonN2O)+('Mitigation drivers'!J50*LiquidN2O)+('Mitigation drivers'!J51*DrylotN2O)+('Mitigation drivers'!J52*SolidStorageN2O)+('Mitigation drivers'!J53*DailyspreadN2O)+('Mitigation drivers'!J54*CompostN2O)+('Mitigation drivers'!J55*ManwithbedN2O)+('Mitigation drivers'!J56*PMwithoutlitterN2O)+('Mitigation drivers'!J57*PMwithlitterN2O)+('Mitigation drivers'!J59*DigesterN2OEF))/100</f>
        <v>6.4999999999999997E-4</v>
      </c>
      <c r="P57" s="26">
        <f>(('Mitigation drivers'!K49*LagoonN2O)+('Mitigation drivers'!K50*LiquidN2O)+('Mitigation drivers'!K51*DrylotN2O)+('Mitigation drivers'!K52*SolidStorageN2O)+('Mitigation drivers'!K53*DailyspreadN2O)+('Mitigation drivers'!K54*CompostN2O)+('Mitigation drivers'!K55*ManwithbedN2O)+('Mitigation drivers'!K56*PMwithoutlitterN2O)+('Mitigation drivers'!K57*PMwithlitterN2O)+('Mitigation drivers'!K59*DigesterN2OEF))/100</f>
        <v>6.4999999999999997E-4</v>
      </c>
      <c r="Q57" s="26">
        <f>(('Mitigation drivers'!L49*LagoonN2O)+('Mitigation drivers'!L50*LiquidN2O)+('Mitigation drivers'!L51*DrylotN2O)+('Mitigation drivers'!L52*SolidStorageN2O)+('Mitigation drivers'!L53*DailyspreadN2O)+('Mitigation drivers'!L54*CompostN2O)+('Mitigation drivers'!L55*ManwithbedN2O)+('Mitigation drivers'!L56*PMwithoutlitterN2O)+('Mitigation drivers'!L57*PMwithlitterN2O)+('Mitigation drivers'!L59*DigesterN2OEF))/100</f>
        <v>6.4999999999999997E-4</v>
      </c>
      <c r="R57" s="26">
        <f>(('Mitigation drivers'!M49*LagoonN2O)+('Mitigation drivers'!M50*LiquidN2O)+('Mitigation drivers'!M51*DrylotN2O)+('Mitigation drivers'!M52*SolidStorageN2O)+('Mitigation drivers'!M53*DailyspreadN2O)+('Mitigation drivers'!M54*CompostN2O)+('Mitigation drivers'!M55*ManwithbedN2O)+('Mitigation drivers'!M56*PMwithoutlitterN2O)+('Mitigation drivers'!M57*PMwithlitterN2O)+('Mitigation drivers'!M59*DigesterN2OEF))/100</f>
        <v>6.4999999999999997E-4</v>
      </c>
      <c r="S57" s="26">
        <f>(('Mitigation drivers'!N49*LagoonN2O)+('Mitigation drivers'!N50*LiquidN2O)+('Mitigation drivers'!N51*DrylotN2O)+('Mitigation drivers'!N52*SolidStorageN2O)+('Mitigation drivers'!N53*DailyspreadN2O)+('Mitigation drivers'!N54*CompostN2O)+('Mitigation drivers'!N55*ManwithbedN2O)+('Mitigation drivers'!N56*PMwithoutlitterN2O)+('Mitigation drivers'!N57*PMwithlitterN2O)+('Mitigation drivers'!N59*DigesterN2OEF))/100</f>
        <v>6.4999999999999997E-4</v>
      </c>
      <c r="T57" s="26">
        <f>(('Mitigation drivers'!O49*LagoonN2O)+('Mitigation drivers'!O50*LiquidN2O)+('Mitigation drivers'!O51*DrylotN2O)+('Mitigation drivers'!O52*SolidStorageN2O)+('Mitigation drivers'!O53*DailyspreadN2O)+('Mitigation drivers'!O54*CompostN2O)+('Mitigation drivers'!O55*ManwithbedN2O)+('Mitigation drivers'!O56*PMwithoutlitterN2O)+('Mitigation drivers'!O57*PMwithlitterN2O)+('Mitigation drivers'!O59*DigesterN2OEF))/100</f>
        <v>6.4999999999999997E-4</v>
      </c>
      <c r="U57" s="26">
        <f>(('Mitigation drivers'!P49*LagoonN2O)+('Mitigation drivers'!P50*LiquidN2O)+('Mitigation drivers'!P51*DrylotN2O)+('Mitigation drivers'!P52*SolidStorageN2O)+('Mitigation drivers'!P53*DailyspreadN2O)+('Mitigation drivers'!P54*CompostN2O)+('Mitigation drivers'!P55*ManwithbedN2O)+('Mitigation drivers'!P56*PMwithoutlitterN2O)+('Mitigation drivers'!P57*PMwithlitterN2O)+('Mitigation drivers'!P59*DigesterN2OEF))/100</f>
        <v>6.4999999999999997E-4</v>
      </c>
      <c r="V57" s="26">
        <f>(('Mitigation drivers'!Q49*LagoonN2O)+('Mitigation drivers'!Q50*LiquidN2O)+('Mitigation drivers'!Q51*DrylotN2O)+('Mitigation drivers'!Q52*SolidStorageN2O)+('Mitigation drivers'!Q53*DailyspreadN2O)+('Mitigation drivers'!Q54*CompostN2O)+('Mitigation drivers'!Q55*ManwithbedN2O)+('Mitigation drivers'!Q56*PMwithoutlitterN2O)+('Mitigation drivers'!Q57*PMwithlitterN2O)+('Mitigation drivers'!Q59*DigesterN2OEF))/100</f>
        <v>6.4999999999999997E-4</v>
      </c>
      <c r="W57" s="26">
        <f>(('Mitigation drivers'!R49*LagoonN2O)+('Mitigation drivers'!R50*LiquidN2O)+('Mitigation drivers'!R51*DrylotN2O)+('Mitigation drivers'!R52*SolidStorageN2O)+('Mitigation drivers'!R53*DailyspreadN2O)+('Mitigation drivers'!R54*CompostN2O)+('Mitigation drivers'!R55*ManwithbedN2O)+('Mitigation drivers'!R56*PMwithoutlitterN2O)+('Mitigation drivers'!R57*PMwithlitterN2O)+('Mitigation drivers'!R59*DigesterN2OEF))/100</f>
        <v>6.4999999999999997E-4</v>
      </c>
      <c r="X57" s="26">
        <f>(('Mitigation drivers'!S49*LagoonN2O)+('Mitigation drivers'!S50*LiquidN2O)+('Mitigation drivers'!S51*DrylotN2O)+('Mitigation drivers'!S52*SolidStorageN2O)+('Mitigation drivers'!S53*DailyspreadN2O)+('Mitigation drivers'!S54*CompostN2O)+('Mitigation drivers'!S55*ManwithbedN2O)+('Mitigation drivers'!S56*PMwithoutlitterN2O)+('Mitigation drivers'!S57*PMwithlitterN2O)+('Mitigation drivers'!S59*DigesterN2OEF))/100</f>
        <v>6.4999999999999997E-4</v>
      </c>
      <c r="Y57" s="26">
        <f>(('Mitigation drivers'!T49*LagoonN2O)+('Mitigation drivers'!T50*LiquidN2O)+('Mitigation drivers'!T51*DrylotN2O)+('Mitigation drivers'!T52*SolidStorageN2O)+('Mitigation drivers'!T53*DailyspreadN2O)+('Mitigation drivers'!T54*CompostN2O)+('Mitigation drivers'!T55*ManwithbedN2O)+('Mitigation drivers'!T56*PMwithoutlitterN2O)+('Mitigation drivers'!T57*PMwithlitterN2O)+('Mitigation drivers'!T59*DigesterN2OEF))/100</f>
        <v>6.4999999999999997E-4</v>
      </c>
      <c r="Z57" s="26">
        <f>(('Mitigation drivers'!U49*LagoonN2O)+('Mitigation drivers'!U50*LiquidN2O)+('Mitigation drivers'!U51*DrylotN2O)+('Mitigation drivers'!U52*SolidStorageN2O)+('Mitigation drivers'!U53*DailyspreadN2O)+('Mitigation drivers'!U54*CompostN2O)+('Mitigation drivers'!U55*ManwithbedN2O)+('Mitigation drivers'!U56*PMwithoutlitterN2O)+('Mitigation drivers'!U57*PMwithlitterN2O)+('Mitigation drivers'!U59*DigesterN2OEF))/100</f>
        <v>6.4999999999999997E-4</v>
      </c>
      <c r="AA57" s="26">
        <f>(('Mitigation drivers'!V49*LagoonN2O)+('Mitigation drivers'!V50*LiquidN2O)+('Mitigation drivers'!V51*DrylotN2O)+('Mitigation drivers'!V52*SolidStorageN2O)+('Mitigation drivers'!V53*DailyspreadN2O)+('Mitigation drivers'!V54*CompostN2O)+('Mitigation drivers'!V55*ManwithbedN2O)+('Mitigation drivers'!V56*PMwithoutlitterN2O)+('Mitigation drivers'!V57*PMwithlitterN2O)+('Mitigation drivers'!V59*DigesterN2OEF))/100</f>
        <v>6.4999999999999997E-4</v>
      </c>
      <c r="AB57" s="26">
        <f>(('Mitigation drivers'!W49*LagoonN2O)+('Mitigation drivers'!W50*LiquidN2O)+('Mitigation drivers'!W51*DrylotN2O)+('Mitigation drivers'!W52*SolidStorageN2O)+('Mitigation drivers'!W53*DailyspreadN2O)+('Mitigation drivers'!W54*CompostN2O)+('Mitigation drivers'!W55*ManwithbedN2O)+('Mitigation drivers'!W56*PMwithoutlitterN2O)+('Mitigation drivers'!W57*PMwithlitterN2O)+('Mitigation drivers'!W59*DigesterN2OEF))/100</f>
        <v>6.4999999999999997E-4</v>
      </c>
      <c r="AC57" s="26">
        <f>(('Mitigation drivers'!X49*LagoonN2O)+('Mitigation drivers'!X50*LiquidN2O)+('Mitigation drivers'!X51*DrylotN2O)+('Mitigation drivers'!X52*SolidStorageN2O)+('Mitigation drivers'!X53*DailyspreadN2O)+('Mitigation drivers'!X54*CompostN2O)+('Mitigation drivers'!X55*ManwithbedN2O)+('Mitigation drivers'!X56*PMwithoutlitterN2O)+('Mitigation drivers'!X57*PMwithlitterN2O)+('Mitigation drivers'!X59*DigesterN2OEF))/100</f>
        <v>6.4999999999999997E-4</v>
      </c>
      <c r="AD57" s="26">
        <f>(('Mitigation drivers'!Y49*LagoonN2O)+('Mitigation drivers'!Y50*LiquidN2O)+('Mitigation drivers'!Y51*DrylotN2O)+('Mitigation drivers'!Y52*SolidStorageN2O)+('Mitigation drivers'!Y53*DailyspreadN2O)+('Mitigation drivers'!Y54*CompostN2O)+('Mitigation drivers'!Y55*ManwithbedN2O)+('Mitigation drivers'!Y56*PMwithoutlitterN2O)+('Mitigation drivers'!Y57*PMwithlitterN2O)+('Mitigation drivers'!Y59*DigesterN2OEF))/100</f>
        <v>6.4999999999999997E-4</v>
      </c>
      <c r="AE57" s="26">
        <f>(('Mitigation drivers'!Z49*LagoonN2O)+('Mitigation drivers'!Z50*LiquidN2O)+('Mitigation drivers'!Z51*DrylotN2O)+('Mitigation drivers'!Z52*SolidStorageN2O)+('Mitigation drivers'!Z53*DailyspreadN2O)+('Mitigation drivers'!Z54*CompostN2O)+('Mitigation drivers'!Z55*ManwithbedN2O)+('Mitigation drivers'!Z56*PMwithoutlitterN2O)+('Mitigation drivers'!Z57*PMwithlitterN2O)+('Mitigation drivers'!Z59*DigesterN2OEF))/100</f>
        <v>6.4999999999999997E-4</v>
      </c>
      <c r="AF57" s="26">
        <f>(('Mitigation drivers'!AA49*LagoonN2O)+('Mitigation drivers'!AA50*LiquidN2O)+('Mitigation drivers'!AA51*DrylotN2O)+('Mitigation drivers'!AA52*SolidStorageN2O)+('Mitigation drivers'!AA53*DailyspreadN2O)+('Mitigation drivers'!AA54*CompostN2O)+('Mitigation drivers'!AA55*ManwithbedN2O)+('Mitigation drivers'!AA56*PMwithoutlitterN2O)+('Mitigation drivers'!AA57*PMwithlitterN2O)+('Mitigation drivers'!AA59*DigesterN2OEF))/100</f>
        <v>6.4999999999999997E-4</v>
      </c>
      <c r="AG57" s="26">
        <f>(('Mitigation drivers'!AB49*LagoonN2O)+('Mitigation drivers'!AB50*LiquidN2O)+('Mitigation drivers'!AB51*DrylotN2O)+('Mitigation drivers'!AB52*SolidStorageN2O)+('Mitigation drivers'!AB53*DailyspreadN2O)+('Mitigation drivers'!AB54*CompostN2O)+('Mitigation drivers'!AB55*ManwithbedN2O)+('Mitigation drivers'!AB56*PMwithoutlitterN2O)+('Mitigation drivers'!AB57*PMwithlitterN2O)+('Mitigation drivers'!AB59*DigesterN2OEF))/100</f>
        <v>6.4999999999999997E-4</v>
      </c>
      <c r="AH57" s="26">
        <f>(('Mitigation drivers'!AC49*LagoonN2O)+('Mitigation drivers'!AC50*LiquidN2O)+('Mitigation drivers'!AC51*DrylotN2O)+('Mitigation drivers'!AC52*SolidStorageN2O)+('Mitigation drivers'!AC53*DailyspreadN2O)+('Mitigation drivers'!AC54*CompostN2O)+('Mitigation drivers'!AC55*ManwithbedN2O)+('Mitigation drivers'!AC56*PMwithoutlitterN2O)+('Mitigation drivers'!AC57*PMwithlitterN2O)+('Mitigation drivers'!AC59*DigesterN2OEF))/100</f>
        <v>6.4999999999999997E-4</v>
      </c>
      <c r="AI57" s="26">
        <f>(('Mitigation drivers'!AD49*LagoonN2O)+('Mitigation drivers'!AD50*LiquidN2O)+('Mitigation drivers'!AD51*DrylotN2O)+('Mitigation drivers'!AD52*SolidStorageN2O)+('Mitigation drivers'!AD53*DailyspreadN2O)+('Mitigation drivers'!AD54*CompostN2O)+('Mitigation drivers'!AD55*ManwithbedN2O)+('Mitigation drivers'!AD56*PMwithoutlitterN2O)+('Mitigation drivers'!AD57*PMwithlitterN2O)+('Mitigation drivers'!AD59*DigesterN2OEF))/100</f>
        <v>6.4999999999999997E-4</v>
      </c>
      <c r="AJ57" s="26">
        <f>(('Mitigation drivers'!AE49*LagoonN2O)+('Mitigation drivers'!AE50*LiquidN2O)+('Mitigation drivers'!AE51*DrylotN2O)+('Mitigation drivers'!AE52*SolidStorageN2O)+('Mitigation drivers'!AE53*DailyspreadN2O)+('Mitigation drivers'!AE54*CompostN2O)+('Mitigation drivers'!AE55*ManwithbedN2O)+('Mitigation drivers'!AE56*PMwithoutlitterN2O)+('Mitigation drivers'!AE57*PMwithlitterN2O)+('Mitigation drivers'!AE59*DigesterN2OEF))/100</f>
        <v>6.4999999999999997E-4</v>
      </c>
      <c r="AK57" s="26">
        <f>(('Mitigation drivers'!AF49*LagoonN2O)+('Mitigation drivers'!AF50*LiquidN2O)+('Mitigation drivers'!AF51*DrylotN2O)+('Mitigation drivers'!AF52*SolidStorageN2O)+('Mitigation drivers'!AF53*DailyspreadN2O)+('Mitigation drivers'!AF54*CompostN2O)+('Mitigation drivers'!AF55*ManwithbedN2O)+('Mitigation drivers'!AF56*PMwithoutlitterN2O)+('Mitigation drivers'!AF57*PMwithlitterN2O)+('Mitigation drivers'!AF59*DigesterN2OEF))/100</f>
        <v>6.4999999999999997E-4</v>
      </c>
      <c r="AL57" s="26">
        <f>(('Mitigation drivers'!AG49*LagoonN2O)+('Mitigation drivers'!AG50*LiquidN2O)+('Mitigation drivers'!AG51*DrylotN2O)+('Mitigation drivers'!AG52*SolidStorageN2O)+('Mitigation drivers'!AG53*DailyspreadN2O)+('Mitigation drivers'!AG54*CompostN2O)+('Mitigation drivers'!AG55*ManwithbedN2O)+('Mitigation drivers'!AG56*PMwithoutlitterN2O)+('Mitigation drivers'!AG57*PMwithlitterN2O)+('Mitigation drivers'!AG59*DigesterN2OEF))/100</f>
        <v>6.4999999999999997E-4</v>
      </c>
      <c r="AM57" s="26">
        <f>(('Mitigation drivers'!AH49*LagoonN2O)+('Mitigation drivers'!AH50*LiquidN2O)+('Mitigation drivers'!AH51*DrylotN2O)+('Mitigation drivers'!AH52*SolidStorageN2O)+('Mitigation drivers'!AH53*DailyspreadN2O)+('Mitigation drivers'!AH54*CompostN2O)+('Mitigation drivers'!AH55*ManwithbedN2O)+('Mitigation drivers'!AH56*PMwithoutlitterN2O)+('Mitigation drivers'!AH57*PMwithlitterN2O)+('Mitigation drivers'!AH59*DigesterN2OEF))/100</f>
        <v>6.4999999999999997E-4</v>
      </c>
      <c r="AN57" s="26">
        <f>(('Mitigation drivers'!AI49*LagoonN2O)+('Mitigation drivers'!AI50*LiquidN2O)+('Mitigation drivers'!AI51*DrylotN2O)+('Mitigation drivers'!AI52*SolidStorageN2O)+('Mitigation drivers'!AI53*DailyspreadN2O)+('Mitigation drivers'!AI54*CompostN2O)+('Mitigation drivers'!AI55*ManwithbedN2O)+('Mitigation drivers'!AI56*PMwithoutlitterN2O)+('Mitigation drivers'!AI57*PMwithlitterN2O)+('Mitigation drivers'!AI59*DigesterN2OEF))/100</f>
        <v>6.4999999999999997E-4</v>
      </c>
      <c r="AO57" s="26">
        <f>(('Mitigation drivers'!AJ49*LagoonN2O)+('Mitigation drivers'!AJ50*LiquidN2O)+('Mitigation drivers'!AJ51*DrylotN2O)+('Mitigation drivers'!AJ52*SolidStorageN2O)+('Mitigation drivers'!AJ53*DailyspreadN2O)+('Mitigation drivers'!AJ54*CompostN2O)+('Mitigation drivers'!AJ55*ManwithbedN2O)+('Mitigation drivers'!AJ56*PMwithoutlitterN2O)+('Mitigation drivers'!AJ57*PMwithlitterN2O)+('Mitigation drivers'!AJ59*DigesterN2OEF))/100</f>
        <v>6.4999999999999997E-4</v>
      </c>
    </row>
    <row r="58" spans="1:41" x14ac:dyDescent="0.25">
      <c r="A58" t="str">
        <f t="shared" si="5"/>
        <v>3A Livestock</v>
      </c>
      <c r="B58" t="str">
        <f t="shared" si="13"/>
        <v>3A2 Manure management (N2O)</v>
      </c>
      <c r="C58" t="str">
        <f>'Activity data'!C9</f>
        <v>3A1aii Other cattle</v>
      </c>
      <c r="D58" t="str">
        <f>'Activity data'!D9</f>
        <v>Subsistence</v>
      </c>
      <c r="E58" t="str">
        <f t="shared" ref="E58:E71" si="32">E57</f>
        <v>Manure management EF</v>
      </c>
      <c r="F58" t="str">
        <f t="shared" ref="F58:F71" si="33">F57</f>
        <v>N2O</v>
      </c>
      <c r="G58" t="str">
        <f t="shared" ref="G58:G71" si="34">G57</f>
        <v>kg N2O-N/kg Nex</v>
      </c>
      <c r="H58" s="26">
        <f>(('Mitigation drivers'!C61*LagoonN2O)+('Mitigation drivers'!C62*LiquidN2O)+('Mitigation drivers'!C63*DrylotN2O)+('Mitigation drivers'!C64*SolidStorageN2O)+('Mitigation drivers'!C65*DailyspreadN2O)+('Mitigation drivers'!C66*CompostN2O)+('Mitigation drivers'!C67*ManwithbedN2O)+('Mitigation drivers'!C68*PMwithoutlitterN2O)+('Mitigation drivers'!C69*PMwithlitterN2O)+('Mitigation drivers'!C71*DigesterN2OEF))/100</f>
        <v>1.5000000000000002E-3</v>
      </c>
      <c r="I58" s="26">
        <f>(('Mitigation drivers'!D61*LagoonN2O)+('Mitigation drivers'!D62*LiquidN2O)+('Mitigation drivers'!D63*DrylotN2O)+('Mitigation drivers'!D64*SolidStorageN2O)+('Mitigation drivers'!D65*DailyspreadN2O)+('Mitigation drivers'!D66*CompostN2O)+('Mitigation drivers'!D67*ManwithbedN2O)+('Mitigation drivers'!D68*PMwithoutlitterN2O)+('Mitigation drivers'!D69*PMwithlitterN2O)+('Mitigation drivers'!D71*DigesterN2OEF))/100</f>
        <v>1.5000000000000002E-3</v>
      </c>
      <c r="J58" s="26">
        <f>(('Mitigation drivers'!E61*LagoonN2O)+('Mitigation drivers'!E62*LiquidN2O)+('Mitigation drivers'!E63*DrylotN2O)+('Mitigation drivers'!E64*SolidStorageN2O)+('Mitigation drivers'!E65*DailyspreadN2O)+('Mitigation drivers'!E66*CompostN2O)+('Mitigation drivers'!E67*ManwithbedN2O)+('Mitigation drivers'!E68*PMwithoutlitterN2O)+('Mitigation drivers'!E69*PMwithlitterN2O)+('Mitigation drivers'!E71*DigesterN2OEF))/100</f>
        <v>1.5000000000000002E-3</v>
      </c>
      <c r="K58" s="26">
        <f>(('Mitigation drivers'!F61*LagoonN2O)+('Mitigation drivers'!F62*LiquidN2O)+('Mitigation drivers'!F63*DrylotN2O)+('Mitigation drivers'!F64*SolidStorageN2O)+('Mitigation drivers'!F65*DailyspreadN2O)+('Mitigation drivers'!F66*CompostN2O)+('Mitigation drivers'!F67*ManwithbedN2O)+('Mitigation drivers'!F68*PMwithoutlitterN2O)+('Mitigation drivers'!F69*PMwithlitterN2O)+('Mitigation drivers'!F71*DigesterN2OEF))/100</f>
        <v>1.5000000000000002E-3</v>
      </c>
      <c r="L58" s="26">
        <f>(('Mitigation drivers'!G61*LagoonN2O)+('Mitigation drivers'!G62*LiquidN2O)+('Mitigation drivers'!G63*DrylotN2O)+('Mitigation drivers'!G64*SolidStorageN2O)+('Mitigation drivers'!G65*DailyspreadN2O)+('Mitigation drivers'!G66*CompostN2O)+('Mitigation drivers'!G67*ManwithbedN2O)+('Mitigation drivers'!G68*PMwithoutlitterN2O)+('Mitigation drivers'!G69*PMwithlitterN2O)+('Mitigation drivers'!G71*DigesterN2OEF))/100</f>
        <v>1.5000000000000002E-3</v>
      </c>
      <c r="M58" s="26">
        <f>(('Mitigation drivers'!H61*LagoonN2O)+('Mitigation drivers'!H62*LiquidN2O)+('Mitigation drivers'!H63*DrylotN2O)+('Mitigation drivers'!H64*SolidStorageN2O)+('Mitigation drivers'!H65*DailyspreadN2O)+('Mitigation drivers'!H66*CompostN2O)+('Mitigation drivers'!H67*ManwithbedN2O)+('Mitigation drivers'!H68*PMwithoutlitterN2O)+('Mitigation drivers'!H69*PMwithlitterN2O)+('Mitigation drivers'!H71*DigesterN2OEF))/100</f>
        <v>1.5000000000000002E-3</v>
      </c>
      <c r="N58" s="26">
        <f>(('Mitigation drivers'!I61*LagoonN2O)+('Mitigation drivers'!I62*LiquidN2O)+('Mitigation drivers'!I63*DrylotN2O)+('Mitigation drivers'!I64*SolidStorageN2O)+('Mitigation drivers'!I65*DailyspreadN2O)+('Mitigation drivers'!I66*CompostN2O)+('Mitigation drivers'!I67*ManwithbedN2O)+('Mitigation drivers'!I68*PMwithoutlitterN2O)+('Mitigation drivers'!I69*PMwithlitterN2O)+('Mitigation drivers'!I71*DigesterN2OEF))/100</f>
        <v>1.5000000000000002E-3</v>
      </c>
      <c r="O58" s="26">
        <f>(('Mitigation drivers'!J61*LagoonN2O)+('Mitigation drivers'!J62*LiquidN2O)+('Mitigation drivers'!J63*DrylotN2O)+('Mitigation drivers'!J64*SolidStorageN2O)+('Mitigation drivers'!J65*DailyspreadN2O)+('Mitigation drivers'!J66*CompostN2O)+('Mitigation drivers'!J67*ManwithbedN2O)+('Mitigation drivers'!J68*PMwithoutlitterN2O)+('Mitigation drivers'!J69*PMwithlitterN2O)+('Mitigation drivers'!J71*DigesterN2OEF))/100</f>
        <v>1.5000000000000002E-3</v>
      </c>
      <c r="P58" s="26">
        <f>(('Mitigation drivers'!K61*LagoonN2O)+('Mitigation drivers'!K62*LiquidN2O)+('Mitigation drivers'!K63*DrylotN2O)+('Mitigation drivers'!K64*SolidStorageN2O)+('Mitigation drivers'!K65*DailyspreadN2O)+('Mitigation drivers'!K66*CompostN2O)+('Mitigation drivers'!K67*ManwithbedN2O)+('Mitigation drivers'!K68*PMwithoutlitterN2O)+('Mitigation drivers'!K69*PMwithlitterN2O)+('Mitigation drivers'!K71*DigesterN2OEF))/100</f>
        <v>1.5000000000000002E-3</v>
      </c>
      <c r="Q58" s="26">
        <f>(('Mitigation drivers'!L61*LagoonN2O)+('Mitigation drivers'!L62*LiquidN2O)+('Mitigation drivers'!L63*DrylotN2O)+('Mitigation drivers'!L64*SolidStorageN2O)+('Mitigation drivers'!L65*DailyspreadN2O)+('Mitigation drivers'!L66*CompostN2O)+('Mitigation drivers'!L67*ManwithbedN2O)+('Mitigation drivers'!L68*PMwithoutlitterN2O)+('Mitigation drivers'!L69*PMwithlitterN2O)+('Mitigation drivers'!L71*DigesterN2OEF))/100</f>
        <v>1.5000000000000002E-3</v>
      </c>
      <c r="R58" s="26">
        <f>(('Mitigation drivers'!M61*LagoonN2O)+('Mitigation drivers'!M62*LiquidN2O)+('Mitigation drivers'!M63*DrylotN2O)+('Mitigation drivers'!M64*SolidStorageN2O)+('Mitigation drivers'!M65*DailyspreadN2O)+('Mitigation drivers'!M66*CompostN2O)+('Mitigation drivers'!M67*ManwithbedN2O)+('Mitigation drivers'!M68*PMwithoutlitterN2O)+('Mitigation drivers'!M69*PMwithlitterN2O)+('Mitigation drivers'!M71*DigesterN2OEF))/100</f>
        <v>1.5000000000000002E-3</v>
      </c>
      <c r="S58" s="26">
        <f>(('Mitigation drivers'!N61*LagoonN2O)+('Mitigation drivers'!N62*LiquidN2O)+('Mitigation drivers'!N63*DrylotN2O)+('Mitigation drivers'!N64*SolidStorageN2O)+('Mitigation drivers'!N65*DailyspreadN2O)+('Mitigation drivers'!N66*CompostN2O)+('Mitigation drivers'!N67*ManwithbedN2O)+('Mitigation drivers'!N68*PMwithoutlitterN2O)+('Mitigation drivers'!N69*PMwithlitterN2O)+('Mitigation drivers'!N71*DigesterN2OEF))/100</f>
        <v>1.5000000000000002E-3</v>
      </c>
      <c r="T58" s="26">
        <f>(('Mitigation drivers'!O61*LagoonN2O)+('Mitigation drivers'!O62*LiquidN2O)+('Mitigation drivers'!O63*DrylotN2O)+('Mitigation drivers'!O64*SolidStorageN2O)+('Mitigation drivers'!O65*DailyspreadN2O)+('Mitigation drivers'!O66*CompostN2O)+('Mitigation drivers'!O67*ManwithbedN2O)+('Mitigation drivers'!O68*PMwithoutlitterN2O)+('Mitigation drivers'!O69*PMwithlitterN2O)+('Mitigation drivers'!O71*DigesterN2OEF))/100</f>
        <v>1.5000000000000002E-3</v>
      </c>
      <c r="U58" s="26">
        <f>(('Mitigation drivers'!P61*LagoonN2O)+('Mitigation drivers'!P62*LiquidN2O)+('Mitigation drivers'!P63*DrylotN2O)+('Mitigation drivers'!P64*SolidStorageN2O)+('Mitigation drivers'!P65*DailyspreadN2O)+('Mitigation drivers'!P66*CompostN2O)+('Mitigation drivers'!P67*ManwithbedN2O)+('Mitigation drivers'!P68*PMwithoutlitterN2O)+('Mitigation drivers'!P69*PMwithlitterN2O)+('Mitigation drivers'!P71*DigesterN2OEF))/100</f>
        <v>1.5000000000000002E-3</v>
      </c>
      <c r="V58" s="26">
        <f>(('Mitigation drivers'!Q61*LagoonN2O)+('Mitigation drivers'!Q62*LiquidN2O)+('Mitigation drivers'!Q63*DrylotN2O)+('Mitigation drivers'!Q64*SolidStorageN2O)+('Mitigation drivers'!Q65*DailyspreadN2O)+('Mitigation drivers'!Q66*CompostN2O)+('Mitigation drivers'!Q67*ManwithbedN2O)+('Mitigation drivers'!Q68*PMwithoutlitterN2O)+('Mitigation drivers'!Q69*PMwithlitterN2O)+('Mitigation drivers'!Q71*DigesterN2OEF))/100</f>
        <v>1.5000000000000002E-3</v>
      </c>
      <c r="W58" s="26">
        <f>(('Mitigation drivers'!R61*LagoonN2O)+('Mitigation drivers'!R62*LiquidN2O)+('Mitigation drivers'!R63*DrylotN2O)+('Mitigation drivers'!R64*SolidStorageN2O)+('Mitigation drivers'!R65*DailyspreadN2O)+('Mitigation drivers'!R66*CompostN2O)+('Mitigation drivers'!R67*ManwithbedN2O)+('Mitigation drivers'!R68*PMwithoutlitterN2O)+('Mitigation drivers'!R69*PMwithlitterN2O)+('Mitigation drivers'!R71*DigesterN2OEF))/100</f>
        <v>1.5000000000000002E-3</v>
      </c>
      <c r="X58" s="26">
        <f>(('Mitigation drivers'!S61*LagoonN2O)+('Mitigation drivers'!S62*LiquidN2O)+('Mitigation drivers'!S63*DrylotN2O)+('Mitigation drivers'!S64*SolidStorageN2O)+('Mitigation drivers'!S65*DailyspreadN2O)+('Mitigation drivers'!S66*CompostN2O)+('Mitigation drivers'!S67*ManwithbedN2O)+('Mitigation drivers'!S68*PMwithoutlitterN2O)+('Mitigation drivers'!S69*PMwithlitterN2O)+('Mitigation drivers'!S71*DigesterN2OEF))/100</f>
        <v>1.5000000000000002E-3</v>
      </c>
      <c r="Y58" s="26">
        <f>(('Mitigation drivers'!T61*LagoonN2O)+('Mitigation drivers'!T62*LiquidN2O)+('Mitigation drivers'!T63*DrylotN2O)+('Mitigation drivers'!T64*SolidStorageN2O)+('Mitigation drivers'!T65*DailyspreadN2O)+('Mitigation drivers'!T66*CompostN2O)+('Mitigation drivers'!T67*ManwithbedN2O)+('Mitigation drivers'!T68*PMwithoutlitterN2O)+('Mitigation drivers'!T69*PMwithlitterN2O)+('Mitigation drivers'!T71*DigesterN2OEF))/100</f>
        <v>1.5000000000000002E-3</v>
      </c>
      <c r="Z58" s="26">
        <f>(('Mitigation drivers'!U61*LagoonN2O)+('Mitigation drivers'!U62*LiquidN2O)+('Mitigation drivers'!U63*DrylotN2O)+('Mitigation drivers'!U64*SolidStorageN2O)+('Mitigation drivers'!U65*DailyspreadN2O)+('Mitigation drivers'!U66*CompostN2O)+('Mitigation drivers'!U67*ManwithbedN2O)+('Mitigation drivers'!U68*PMwithoutlitterN2O)+('Mitigation drivers'!U69*PMwithlitterN2O)+('Mitigation drivers'!U71*DigesterN2OEF))/100</f>
        <v>1.5000000000000002E-3</v>
      </c>
      <c r="AA58" s="26">
        <f>(('Mitigation drivers'!V61*LagoonN2O)+('Mitigation drivers'!V62*LiquidN2O)+('Mitigation drivers'!V63*DrylotN2O)+('Mitigation drivers'!V64*SolidStorageN2O)+('Mitigation drivers'!V65*DailyspreadN2O)+('Mitigation drivers'!V66*CompostN2O)+('Mitigation drivers'!V67*ManwithbedN2O)+('Mitigation drivers'!V68*PMwithoutlitterN2O)+('Mitigation drivers'!V69*PMwithlitterN2O)+('Mitigation drivers'!V71*DigesterN2OEF))/100</f>
        <v>1.5000000000000002E-3</v>
      </c>
      <c r="AB58" s="26">
        <f>(('Mitigation drivers'!W61*LagoonN2O)+('Mitigation drivers'!W62*LiquidN2O)+('Mitigation drivers'!W63*DrylotN2O)+('Mitigation drivers'!W64*SolidStorageN2O)+('Mitigation drivers'!W65*DailyspreadN2O)+('Mitigation drivers'!W66*CompostN2O)+('Mitigation drivers'!W67*ManwithbedN2O)+('Mitigation drivers'!W68*PMwithoutlitterN2O)+('Mitigation drivers'!W69*PMwithlitterN2O)+('Mitigation drivers'!W71*DigesterN2OEF))/100</f>
        <v>1.5000000000000002E-3</v>
      </c>
      <c r="AC58" s="26">
        <f>(('Mitigation drivers'!X61*LagoonN2O)+('Mitigation drivers'!X62*LiquidN2O)+('Mitigation drivers'!X63*DrylotN2O)+('Mitigation drivers'!X64*SolidStorageN2O)+('Mitigation drivers'!X65*DailyspreadN2O)+('Mitigation drivers'!X66*CompostN2O)+('Mitigation drivers'!X67*ManwithbedN2O)+('Mitigation drivers'!X68*PMwithoutlitterN2O)+('Mitigation drivers'!X69*PMwithlitterN2O)+('Mitigation drivers'!X71*DigesterN2OEF))/100</f>
        <v>1.5000000000000002E-3</v>
      </c>
      <c r="AD58" s="26">
        <f>(('Mitigation drivers'!Y61*LagoonN2O)+('Mitigation drivers'!Y62*LiquidN2O)+('Mitigation drivers'!Y63*DrylotN2O)+('Mitigation drivers'!Y64*SolidStorageN2O)+('Mitigation drivers'!Y65*DailyspreadN2O)+('Mitigation drivers'!Y66*CompostN2O)+('Mitigation drivers'!Y67*ManwithbedN2O)+('Mitigation drivers'!Y68*PMwithoutlitterN2O)+('Mitigation drivers'!Y69*PMwithlitterN2O)+('Mitigation drivers'!Y71*DigesterN2OEF))/100</f>
        <v>1.5000000000000002E-3</v>
      </c>
      <c r="AE58" s="26">
        <f>(('Mitigation drivers'!Z61*LagoonN2O)+('Mitigation drivers'!Z62*LiquidN2O)+('Mitigation drivers'!Z63*DrylotN2O)+('Mitigation drivers'!Z64*SolidStorageN2O)+('Mitigation drivers'!Z65*DailyspreadN2O)+('Mitigation drivers'!Z66*CompostN2O)+('Mitigation drivers'!Z67*ManwithbedN2O)+('Mitigation drivers'!Z68*PMwithoutlitterN2O)+('Mitigation drivers'!Z69*PMwithlitterN2O)+('Mitigation drivers'!Z71*DigesterN2OEF))/100</f>
        <v>1.5000000000000002E-3</v>
      </c>
      <c r="AF58" s="26">
        <f>(('Mitigation drivers'!AA61*LagoonN2O)+('Mitigation drivers'!AA62*LiquidN2O)+('Mitigation drivers'!AA63*DrylotN2O)+('Mitigation drivers'!AA64*SolidStorageN2O)+('Mitigation drivers'!AA65*DailyspreadN2O)+('Mitigation drivers'!AA66*CompostN2O)+('Mitigation drivers'!AA67*ManwithbedN2O)+('Mitigation drivers'!AA68*PMwithoutlitterN2O)+('Mitigation drivers'!AA69*PMwithlitterN2O)+('Mitigation drivers'!AA71*DigesterN2OEF))/100</f>
        <v>1.5000000000000002E-3</v>
      </c>
      <c r="AG58" s="26">
        <f>(('Mitigation drivers'!AB61*LagoonN2O)+('Mitigation drivers'!AB62*LiquidN2O)+('Mitigation drivers'!AB63*DrylotN2O)+('Mitigation drivers'!AB64*SolidStorageN2O)+('Mitigation drivers'!AB65*DailyspreadN2O)+('Mitigation drivers'!AB66*CompostN2O)+('Mitigation drivers'!AB67*ManwithbedN2O)+('Mitigation drivers'!AB68*PMwithoutlitterN2O)+('Mitigation drivers'!AB69*PMwithlitterN2O)+('Mitigation drivers'!AB71*DigesterN2OEF))/100</f>
        <v>1.5000000000000002E-3</v>
      </c>
      <c r="AH58" s="26">
        <f>(('Mitigation drivers'!AC61*LagoonN2O)+('Mitigation drivers'!AC62*LiquidN2O)+('Mitigation drivers'!AC63*DrylotN2O)+('Mitigation drivers'!AC64*SolidStorageN2O)+('Mitigation drivers'!AC65*DailyspreadN2O)+('Mitigation drivers'!AC66*CompostN2O)+('Mitigation drivers'!AC67*ManwithbedN2O)+('Mitigation drivers'!AC68*PMwithoutlitterN2O)+('Mitigation drivers'!AC69*PMwithlitterN2O)+('Mitigation drivers'!AC71*DigesterN2OEF))/100</f>
        <v>1.5000000000000002E-3</v>
      </c>
      <c r="AI58" s="26">
        <f>(('Mitigation drivers'!AD61*LagoonN2O)+('Mitigation drivers'!AD62*LiquidN2O)+('Mitigation drivers'!AD63*DrylotN2O)+('Mitigation drivers'!AD64*SolidStorageN2O)+('Mitigation drivers'!AD65*DailyspreadN2O)+('Mitigation drivers'!AD66*CompostN2O)+('Mitigation drivers'!AD67*ManwithbedN2O)+('Mitigation drivers'!AD68*PMwithoutlitterN2O)+('Mitigation drivers'!AD69*PMwithlitterN2O)+('Mitigation drivers'!AD71*DigesterN2OEF))/100</f>
        <v>1.5000000000000002E-3</v>
      </c>
      <c r="AJ58" s="26">
        <f>(('Mitigation drivers'!AE61*LagoonN2O)+('Mitigation drivers'!AE62*LiquidN2O)+('Mitigation drivers'!AE63*DrylotN2O)+('Mitigation drivers'!AE64*SolidStorageN2O)+('Mitigation drivers'!AE65*DailyspreadN2O)+('Mitigation drivers'!AE66*CompostN2O)+('Mitigation drivers'!AE67*ManwithbedN2O)+('Mitigation drivers'!AE68*PMwithoutlitterN2O)+('Mitigation drivers'!AE69*PMwithlitterN2O)+('Mitigation drivers'!AE71*DigesterN2OEF))/100</f>
        <v>1.5000000000000002E-3</v>
      </c>
      <c r="AK58" s="26">
        <f>(('Mitigation drivers'!AF61*LagoonN2O)+('Mitigation drivers'!AF62*LiquidN2O)+('Mitigation drivers'!AF63*DrylotN2O)+('Mitigation drivers'!AF64*SolidStorageN2O)+('Mitigation drivers'!AF65*DailyspreadN2O)+('Mitigation drivers'!AF66*CompostN2O)+('Mitigation drivers'!AF67*ManwithbedN2O)+('Mitigation drivers'!AF68*PMwithoutlitterN2O)+('Mitigation drivers'!AF69*PMwithlitterN2O)+('Mitigation drivers'!AF71*DigesterN2OEF))/100</f>
        <v>1.5000000000000002E-3</v>
      </c>
      <c r="AL58" s="26">
        <f>(('Mitigation drivers'!AG61*LagoonN2O)+('Mitigation drivers'!AG62*LiquidN2O)+('Mitigation drivers'!AG63*DrylotN2O)+('Mitigation drivers'!AG64*SolidStorageN2O)+('Mitigation drivers'!AG65*DailyspreadN2O)+('Mitigation drivers'!AG66*CompostN2O)+('Mitigation drivers'!AG67*ManwithbedN2O)+('Mitigation drivers'!AG68*PMwithoutlitterN2O)+('Mitigation drivers'!AG69*PMwithlitterN2O)+('Mitigation drivers'!AG71*DigesterN2OEF))/100</f>
        <v>1.5000000000000002E-3</v>
      </c>
      <c r="AM58" s="26">
        <f>(('Mitigation drivers'!AH61*LagoonN2O)+('Mitigation drivers'!AH62*LiquidN2O)+('Mitigation drivers'!AH63*DrylotN2O)+('Mitigation drivers'!AH64*SolidStorageN2O)+('Mitigation drivers'!AH65*DailyspreadN2O)+('Mitigation drivers'!AH66*CompostN2O)+('Mitigation drivers'!AH67*ManwithbedN2O)+('Mitigation drivers'!AH68*PMwithoutlitterN2O)+('Mitigation drivers'!AH69*PMwithlitterN2O)+('Mitigation drivers'!AH71*DigesterN2OEF))/100</f>
        <v>1.5000000000000002E-3</v>
      </c>
      <c r="AN58" s="26">
        <f>(('Mitigation drivers'!AI61*LagoonN2O)+('Mitigation drivers'!AI62*LiquidN2O)+('Mitigation drivers'!AI63*DrylotN2O)+('Mitigation drivers'!AI64*SolidStorageN2O)+('Mitigation drivers'!AI65*DailyspreadN2O)+('Mitigation drivers'!AI66*CompostN2O)+('Mitigation drivers'!AI67*ManwithbedN2O)+('Mitigation drivers'!AI68*PMwithoutlitterN2O)+('Mitigation drivers'!AI69*PMwithlitterN2O)+('Mitigation drivers'!AI71*DigesterN2OEF))/100</f>
        <v>1.5000000000000002E-3</v>
      </c>
      <c r="AO58" s="26">
        <f>(('Mitigation drivers'!AJ61*LagoonN2O)+('Mitigation drivers'!AJ62*LiquidN2O)+('Mitigation drivers'!AJ63*DrylotN2O)+('Mitigation drivers'!AJ64*SolidStorageN2O)+('Mitigation drivers'!AJ65*DailyspreadN2O)+('Mitigation drivers'!AJ66*CompostN2O)+('Mitigation drivers'!AJ67*ManwithbedN2O)+('Mitigation drivers'!AJ68*PMwithoutlitterN2O)+('Mitigation drivers'!AJ69*PMwithlitterN2O)+('Mitigation drivers'!AJ71*DigesterN2OEF))/100</f>
        <v>1.5000000000000002E-3</v>
      </c>
    </row>
    <row r="59" spans="1:41" x14ac:dyDescent="0.25">
      <c r="A59" t="str">
        <f t="shared" si="5"/>
        <v>3A Livestock</v>
      </c>
      <c r="B59" t="str">
        <f t="shared" si="13"/>
        <v>3A2 Manure management (N2O)</v>
      </c>
      <c r="C59" t="str">
        <f>'Activity data'!C10</f>
        <v>3A1aii Other cattle</v>
      </c>
      <c r="D59" t="str">
        <f>'Activity data'!D10</f>
        <v>Feedlot</v>
      </c>
      <c r="E59" t="str">
        <f t="shared" si="32"/>
        <v>Manure management EF</v>
      </c>
      <c r="F59" t="str">
        <f t="shared" si="33"/>
        <v>N2O</v>
      </c>
      <c r="G59" t="str">
        <f t="shared" si="34"/>
        <v>kg N2O-N/kg Nex</v>
      </c>
      <c r="H59" s="26">
        <f>(('Mitigation drivers'!C73*LagoonN2O)+('Mitigation drivers'!C74*LiquidN2O)+('Mitigation drivers'!C75*DrylotN2O)+('Mitigation drivers'!C76*SolidStorageN2O)+('Mitigation drivers'!C77*DailyspreadN2O)+('Mitigation drivers'!C78*CompostN2O)+('Mitigation drivers'!C79*ManwithbedN2O)+('Mitigation drivers'!C80*PMwithoutlitterN2O)+('Mitigation drivers'!C81*PMwithlitterN2O)+('Mitigation drivers'!C83*DigesterN2OEF))/100</f>
        <v>1.7500000000000002E-2</v>
      </c>
      <c r="I59" s="26">
        <f>(('Mitigation drivers'!D73*LagoonN2O)+('Mitigation drivers'!D74*LiquidN2O)+('Mitigation drivers'!D75*DrylotN2O)+('Mitigation drivers'!D76*SolidStorageN2O)+('Mitigation drivers'!D77*DailyspreadN2O)+('Mitigation drivers'!D78*CompostN2O)+('Mitigation drivers'!D79*ManwithbedN2O)+('Mitigation drivers'!D80*PMwithoutlitterN2O)+('Mitigation drivers'!D81*PMwithlitterN2O)+('Mitigation drivers'!D83*DigesterN2OEF))/100</f>
        <v>1.7500000000000002E-2</v>
      </c>
      <c r="J59" s="26">
        <f>(('Mitigation drivers'!E73*LagoonN2O)+('Mitigation drivers'!E74*LiquidN2O)+('Mitigation drivers'!E75*DrylotN2O)+('Mitigation drivers'!E76*SolidStorageN2O)+('Mitigation drivers'!E77*DailyspreadN2O)+('Mitigation drivers'!E78*CompostN2O)+('Mitigation drivers'!E79*ManwithbedN2O)+('Mitigation drivers'!E80*PMwithoutlitterN2O)+('Mitigation drivers'!E81*PMwithlitterN2O)+('Mitigation drivers'!E83*DigesterN2OEF))/100</f>
        <v>1.7500000000000002E-2</v>
      </c>
      <c r="K59" s="26">
        <f>(('Mitigation drivers'!F73*LagoonN2O)+('Mitigation drivers'!F74*LiquidN2O)+('Mitigation drivers'!F75*DrylotN2O)+('Mitigation drivers'!F76*SolidStorageN2O)+('Mitigation drivers'!F77*DailyspreadN2O)+('Mitigation drivers'!F78*CompostN2O)+('Mitigation drivers'!F79*ManwithbedN2O)+('Mitigation drivers'!F80*PMwithoutlitterN2O)+('Mitigation drivers'!F81*PMwithlitterN2O)+('Mitigation drivers'!F83*DigesterN2OEF))/100</f>
        <v>1.7500000000000002E-2</v>
      </c>
      <c r="L59" s="26">
        <f>(('Mitigation drivers'!G73*LagoonN2O)+('Mitigation drivers'!G74*LiquidN2O)+('Mitigation drivers'!G75*DrylotN2O)+('Mitigation drivers'!G76*SolidStorageN2O)+('Mitigation drivers'!G77*DailyspreadN2O)+('Mitigation drivers'!G78*CompostN2O)+('Mitigation drivers'!G79*ManwithbedN2O)+('Mitigation drivers'!G80*PMwithoutlitterN2O)+('Mitigation drivers'!G81*PMwithlitterN2O)+('Mitigation drivers'!G83*DigesterN2OEF))/100</f>
        <v>1.7500000000000002E-2</v>
      </c>
      <c r="M59" s="26">
        <f>(('Mitigation drivers'!H73*LagoonN2O)+('Mitigation drivers'!H74*LiquidN2O)+('Mitigation drivers'!H75*DrylotN2O)+('Mitigation drivers'!H76*SolidStorageN2O)+('Mitigation drivers'!H77*DailyspreadN2O)+('Mitigation drivers'!H78*CompostN2O)+('Mitigation drivers'!H79*ManwithbedN2O)+('Mitigation drivers'!H80*PMwithoutlitterN2O)+('Mitigation drivers'!H81*PMwithlitterN2O)+('Mitigation drivers'!H83*DigesterN2OEF))/100</f>
        <v>1.7500000000000002E-2</v>
      </c>
      <c r="N59" s="26">
        <f>(('Mitigation drivers'!I73*LagoonN2O)+('Mitigation drivers'!I74*LiquidN2O)+('Mitigation drivers'!I75*DrylotN2O)+('Mitigation drivers'!I76*SolidStorageN2O)+('Mitigation drivers'!I77*DailyspreadN2O)+('Mitigation drivers'!I78*CompostN2O)+('Mitigation drivers'!I79*ManwithbedN2O)+('Mitigation drivers'!I80*PMwithoutlitterN2O)+('Mitigation drivers'!I81*PMwithlitterN2O)+('Mitigation drivers'!I83*DigesterN2OEF))/100</f>
        <v>1.7500000000000002E-2</v>
      </c>
      <c r="O59" s="26">
        <f>(('Mitigation drivers'!J73*LagoonN2O)+('Mitigation drivers'!J74*LiquidN2O)+('Mitigation drivers'!J75*DrylotN2O)+('Mitigation drivers'!J76*SolidStorageN2O)+('Mitigation drivers'!J77*DailyspreadN2O)+('Mitigation drivers'!J78*CompostN2O)+('Mitigation drivers'!J79*ManwithbedN2O)+('Mitigation drivers'!J80*PMwithoutlitterN2O)+('Mitigation drivers'!J81*PMwithlitterN2O)+('Mitigation drivers'!J83*DigesterN2OEF))/100</f>
        <v>1.7500000000000002E-2</v>
      </c>
      <c r="P59" s="26">
        <f>(('Mitigation drivers'!K73*LagoonN2O)+('Mitigation drivers'!K74*LiquidN2O)+('Mitigation drivers'!K75*DrylotN2O)+('Mitigation drivers'!K76*SolidStorageN2O)+('Mitigation drivers'!K77*DailyspreadN2O)+('Mitigation drivers'!K78*CompostN2O)+('Mitigation drivers'!K79*ManwithbedN2O)+('Mitigation drivers'!K80*PMwithoutlitterN2O)+('Mitigation drivers'!K81*PMwithlitterN2O)+('Mitigation drivers'!K83*DigesterN2OEF))/100</f>
        <v>1.7500000000000002E-2</v>
      </c>
      <c r="Q59" s="26">
        <f>(('Mitigation drivers'!L73*LagoonN2O)+('Mitigation drivers'!L74*LiquidN2O)+('Mitigation drivers'!L75*DrylotN2O)+('Mitigation drivers'!L76*SolidStorageN2O)+('Mitigation drivers'!L77*DailyspreadN2O)+('Mitigation drivers'!L78*CompostN2O)+('Mitigation drivers'!L79*ManwithbedN2O)+('Mitigation drivers'!L80*PMwithoutlitterN2O)+('Mitigation drivers'!L81*PMwithlitterN2O)+('Mitigation drivers'!L83*DigesterN2OEF))/100</f>
        <v>1.7500000000000002E-2</v>
      </c>
      <c r="R59" s="26">
        <f>(('Mitigation drivers'!M73*LagoonN2O)+('Mitigation drivers'!M74*LiquidN2O)+('Mitigation drivers'!M75*DrylotN2O)+('Mitigation drivers'!M76*SolidStorageN2O)+('Mitigation drivers'!M77*DailyspreadN2O)+('Mitigation drivers'!M78*CompostN2O)+('Mitigation drivers'!M79*ManwithbedN2O)+('Mitigation drivers'!M80*PMwithoutlitterN2O)+('Mitigation drivers'!M81*PMwithlitterN2O)+('Mitigation drivers'!M83*DigesterN2OEF))/100</f>
        <v>1.7500000000000002E-2</v>
      </c>
      <c r="S59" s="26">
        <f>(('Mitigation drivers'!N73*LagoonN2O)+('Mitigation drivers'!N74*LiquidN2O)+('Mitigation drivers'!N75*DrylotN2O)+('Mitigation drivers'!N76*SolidStorageN2O)+('Mitigation drivers'!N77*DailyspreadN2O)+('Mitigation drivers'!N78*CompostN2O)+('Mitigation drivers'!N79*ManwithbedN2O)+('Mitigation drivers'!N80*PMwithoutlitterN2O)+('Mitigation drivers'!N81*PMwithlitterN2O)+('Mitigation drivers'!N83*DigesterN2OEF))/100</f>
        <v>1.7500000000000002E-2</v>
      </c>
      <c r="T59" s="26">
        <f>(('Mitigation drivers'!O73*LagoonN2O)+('Mitigation drivers'!O74*LiquidN2O)+('Mitigation drivers'!O75*DrylotN2O)+('Mitigation drivers'!O76*SolidStorageN2O)+('Mitigation drivers'!O77*DailyspreadN2O)+('Mitigation drivers'!O78*CompostN2O)+('Mitigation drivers'!O79*ManwithbedN2O)+('Mitigation drivers'!O80*PMwithoutlitterN2O)+('Mitigation drivers'!O81*PMwithlitterN2O)+('Mitigation drivers'!O83*DigesterN2OEF))/100</f>
        <v>1.7500000000000002E-2</v>
      </c>
      <c r="U59" s="26">
        <f>(('Mitigation drivers'!P73*LagoonN2O)+('Mitigation drivers'!P74*LiquidN2O)+('Mitigation drivers'!P75*DrylotN2O)+('Mitigation drivers'!P76*SolidStorageN2O)+('Mitigation drivers'!P77*DailyspreadN2O)+('Mitigation drivers'!P78*CompostN2O)+('Mitigation drivers'!P79*ManwithbedN2O)+('Mitigation drivers'!P80*PMwithoutlitterN2O)+('Mitigation drivers'!P81*PMwithlitterN2O)+('Mitigation drivers'!P83*DigesterN2OEF))/100</f>
        <v>1.7500000000000002E-2</v>
      </c>
      <c r="V59" s="26">
        <f>(('Mitigation drivers'!Q73*LagoonN2O)+('Mitigation drivers'!Q74*LiquidN2O)+('Mitigation drivers'!Q75*DrylotN2O)+('Mitigation drivers'!Q76*SolidStorageN2O)+('Mitigation drivers'!Q77*DailyspreadN2O)+('Mitigation drivers'!Q78*CompostN2O)+('Mitigation drivers'!Q79*ManwithbedN2O)+('Mitigation drivers'!Q80*PMwithoutlitterN2O)+('Mitigation drivers'!Q81*PMwithlitterN2O)+('Mitigation drivers'!Q83*DigesterN2OEF))/100</f>
        <v>1.7500000000000002E-2</v>
      </c>
      <c r="W59" s="26">
        <f>(('Mitigation drivers'!R73*LagoonN2O)+('Mitigation drivers'!R74*LiquidN2O)+('Mitigation drivers'!R75*DrylotN2O)+('Mitigation drivers'!R76*SolidStorageN2O)+('Mitigation drivers'!R77*DailyspreadN2O)+('Mitigation drivers'!R78*CompostN2O)+('Mitigation drivers'!R79*ManwithbedN2O)+('Mitigation drivers'!R80*PMwithoutlitterN2O)+('Mitigation drivers'!R81*PMwithlitterN2O)+('Mitigation drivers'!R83*DigesterN2OEF))/100</f>
        <v>1.7500000000000002E-2</v>
      </c>
      <c r="X59" s="26">
        <f>(('Mitigation drivers'!S73*LagoonN2O)+('Mitigation drivers'!S74*LiquidN2O)+('Mitigation drivers'!S75*DrylotN2O)+('Mitigation drivers'!S76*SolidStorageN2O)+('Mitigation drivers'!S77*DailyspreadN2O)+('Mitigation drivers'!S78*CompostN2O)+('Mitigation drivers'!S79*ManwithbedN2O)+('Mitigation drivers'!S80*PMwithoutlitterN2O)+('Mitigation drivers'!S81*PMwithlitterN2O)+('Mitigation drivers'!S83*DigesterN2OEF))/100</f>
        <v>1.7500000000000002E-2</v>
      </c>
      <c r="Y59" s="26">
        <f>(('Mitigation drivers'!T73*LagoonN2O)+('Mitigation drivers'!T74*LiquidN2O)+('Mitigation drivers'!T75*DrylotN2O)+('Mitigation drivers'!T76*SolidStorageN2O)+('Mitigation drivers'!T77*DailyspreadN2O)+('Mitigation drivers'!T78*CompostN2O)+('Mitigation drivers'!T79*ManwithbedN2O)+('Mitigation drivers'!T80*PMwithoutlitterN2O)+('Mitigation drivers'!T81*PMwithlitterN2O)+('Mitigation drivers'!T83*DigesterN2OEF))/100</f>
        <v>1.7500000000000002E-2</v>
      </c>
      <c r="Z59" s="26">
        <f>(('Mitigation drivers'!U73*LagoonN2O)+('Mitigation drivers'!U74*LiquidN2O)+('Mitigation drivers'!U75*DrylotN2O)+('Mitigation drivers'!U76*SolidStorageN2O)+('Mitigation drivers'!U77*DailyspreadN2O)+('Mitigation drivers'!U78*CompostN2O)+('Mitigation drivers'!U79*ManwithbedN2O)+('Mitigation drivers'!U80*PMwithoutlitterN2O)+('Mitigation drivers'!U81*PMwithlitterN2O)+('Mitigation drivers'!U83*DigesterN2OEF))/100</f>
        <v>1.7500000000000002E-2</v>
      </c>
      <c r="AA59" s="26">
        <f>(('Mitigation drivers'!V73*LagoonN2O)+('Mitigation drivers'!V74*LiquidN2O)+('Mitigation drivers'!V75*DrylotN2O)+('Mitigation drivers'!V76*SolidStorageN2O)+('Mitigation drivers'!V77*DailyspreadN2O)+('Mitigation drivers'!V78*CompostN2O)+('Mitigation drivers'!V79*ManwithbedN2O)+('Mitigation drivers'!V80*PMwithoutlitterN2O)+('Mitigation drivers'!V81*PMwithlitterN2O)+('Mitigation drivers'!V83*DigesterN2OEF))/100</f>
        <v>1.7500000000000002E-2</v>
      </c>
      <c r="AB59" s="26">
        <f>(('Mitigation drivers'!W73*LagoonN2O)+('Mitigation drivers'!W74*LiquidN2O)+('Mitigation drivers'!W75*DrylotN2O)+('Mitigation drivers'!W76*SolidStorageN2O)+('Mitigation drivers'!W77*DailyspreadN2O)+('Mitigation drivers'!W78*CompostN2O)+('Mitigation drivers'!W79*ManwithbedN2O)+('Mitigation drivers'!W80*PMwithoutlitterN2O)+('Mitigation drivers'!W81*PMwithlitterN2O)+('Mitigation drivers'!W83*DigesterN2OEF))/100</f>
        <v>1.7500000000000002E-2</v>
      </c>
      <c r="AC59" s="26">
        <f>(('Mitigation drivers'!X73*LagoonN2O)+('Mitigation drivers'!X74*LiquidN2O)+('Mitigation drivers'!X75*DrylotN2O)+('Mitigation drivers'!X76*SolidStorageN2O)+('Mitigation drivers'!X77*DailyspreadN2O)+('Mitigation drivers'!X78*CompostN2O)+('Mitigation drivers'!X79*ManwithbedN2O)+('Mitigation drivers'!X80*PMwithoutlitterN2O)+('Mitigation drivers'!X81*PMwithlitterN2O)+('Mitigation drivers'!X83*DigesterN2OEF))/100</f>
        <v>1.7500000000000002E-2</v>
      </c>
      <c r="AD59" s="26">
        <f>(('Mitigation drivers'!Y73*LagoonN2O)+('Mitigation drivers'!Y74*LiquidN2O)+('Mitigation drivers'!Y75*DrylotN2O)+('Mitigation drivers'!Y76*SolidStorageN2O)+('Mitigation drivers'!Y77*DailyspreadN2O)+('Mitigation drivers'!Y78*CompostN2O)+('Mitigation drivers'!Y79*ManwithbedN2O)+('Mitigation drivers'!Y80*PMwithoutlitterN2O)+('Mitigation drivers'!Y81*PMwithlitterN2O)+('Mitigation drivers'!Y83*DigesterN2OEF))/100</f>
        <v>1.7500000000000002E-2</v>
      </c>
      <c r="AE59" s="26">
        <f>(('Mitigation drivers'!Z73*LagoonN2O)+('Mitigation drivers'!Z74*LiquidN2O)+('Mitigation drivers'!Z75*DrylotN2O)+('Mitigation drivers'!Z76*SolidStorageN2O)+('Mitigation drivers'!Z77*DailyspreadN2O)+('Mitigation drivers'!Z78*CompostN2O)+('Mitigation drivers'!Z79*ManwithbedN2O)+('Mitigation drivers'!Z80*PMwithoutlitterN2O)+('Mitigation drivers'!Z81*PMwithlitterN2O)+('Mitigation drivers'!Z83*DigesterN2OEF))/100</f>
        <v>1.7500000000000002E-2</v>
      </c>
      <c r="AF59" s="26">
        <f>(('Mitigation drivers'!AA73*LagoonN2O)+('Mitigation drivers'!AA74*LiquidN2O)+('Mitigation drivers'!AA75*DrylotN2O)+('Mitigation drivers'!AA76*SolidStorageN2O)+('Mitigation drivers'!AA77*DailyspreadN2O)+('Mitigation drivers'!AA78*CompostN2O)+('Mitigation drivers'!AA79*ManwithbedN2O)+('Mitigation drivers'!AA80*PMwithoutlitterN2O)+('Mitigation drivers'!AA81*PMwithlitterN2O)+('Mitigation drivers'!AA83*DigesterN2OEF))/100</f>
        <v>1.7500000000000002E-2</v>
      </c>
      <c r="AG59" s="26">
        <f>(('Mitigation drivers'!AB73*LagoonN2O)+('Mitigation drivers'!AB74*LiquidN2O)+('Mitigation drivers'!AB75*DrylotN2O)+('Mitigation drivers'!AB76*SolidStorageN2O)+('Mitigation drivers'!AB77*DailyspreadN2O)+('Mitigation drivers'!AB78*CompostN2O)+('Mitigation drivers'!AB79*ManwithbedN2O)+('Mitigation drivers'!AB80*PMwithoutlitterN2O)+('Mitigation drivers'!AB81*PMwithlitterN2O)+('Mitigation drivers'!AB83*DigesterN2OEF))/100</f>
        <v>1.7500000000000002E-2</v>
      </c>
      <c r="AH59" s="26">
        <f>(('Mitigation drivers'!AC73*LagoonN2O)+('Mitigation drivers'!AC74*LiquidN2O)+('Mitigation drivers'!AC75*DrylotN2O)+('Mitigation drivers'!AC76*SolidStorageN2O)+('Mitigation drivers'!AC77*DailyspreadN2O)+('Mitigation drivers'!AC78*CompostN2O)+('Mitigation drivers'!AC79*ManwithbedN2O)+('Mitigation drivers'!AC80*PMwithoutlitterN2O)+('Mitigation drivers'!AC81*PMwithlitterN2O)+('Mitigation drivers'!AC83*DigesterN2OEF))/100</f>
        <v>1.7500000000000002E-2</v>
      </c>
      <c r="AI59" s="26">
        <f>(('Mitigation drivers'!AD73*LagoonN2O)+('Mitigation drivers'!AD74*LiquidN2O)+('Mitigation drivers'!AD75*DrylotN2O)+('Mitigation drivers'!AD76*SolidStorageN2O)+('Mitigation drivers'!AD77*DailyspreadN2O)+('Mitigation drivers'!AD78*CompostN2O)+('Mitigation drivers'!AD79*ManwithbedN2O)+('Mitigation drivers'!AD80*PMwithoutlitterN2O)+('Mitigation drivers'!AD81*PMwithlitterN2O)+('Mitigation drivers'!AD83*DigesterN2OEF))/100</f>
        <v>1.7500000000000002E-2</v>
      </c>
      <c r="AJ59" s="26">
        <f>(('Mitigation drivers'!AE73*LagoonN2O)+('Mitigation drivers'!AE74*LiquidN2O)+('Mitigation drivers'!AE75*DrylotN2O)+('Mitigation drivers'!AE76*SolidStorageN2O)+('Mitigation drivers'!AE77*DailyspreadN2O)+('Mitigation drivers'!AE78*CompostN2O)+('Mitigation drivers'!AE79*ManwithbedN2O)+('Mitigation drivers'!AE80*PMwithoutlitterN2O)+('Mitigation drivers'!AE81*PMwithlitterN2O)+('Mitigation drivers'!AE83*DigesterN2OEF))/100</f>
        <v>1.7500000000000002E-2</v>
      </c>
      <c r="AK59" s="26">
        <f>(('Mitigation drivers'!AF73*LagoonN2O)+('Mitigation drivers'!AF74*LiquidN2O)+('Mitigation drivers'!AF75*DrylotN2O)+('Mitigation drivers'!AF76*SolidStorageN2O)+('Mitigation drivers'!AF77*DailyspreadN2O)+('Mitigation drivers'!AF78*CompostN2O)+('Mitigation drivers'!AF79*ManwithbedN2O)+('Mitigation drivers'!AF80*PMwithoutlitterN2O)+('Mitigation drivers'!AF81*PMwithlitterN2O)+('Mitigation drivers'!AF83*DigesterN2OEF))/100</f>
        <v>1.7500000000000002E-2</v>
      </c>
      <c r="AL59" s="26">
        <f>(('Mitigation drivers'!AG73*LagoonN2O)+('Mitigation drivers'!AG74*LiquidN2O)+('Mitigation drivers'!AG75*DrylotN2O)+('Mitigation drivers'!AG76*SolidStorageN2O)+('Mitigation drivers'!AG77*DailyspreadN2O)+('Mitigation drivers'!AG78*CompostN2O)+('Mitigation drivers'!AG79*ManwithbedN2O)+('Mitigation drivers'!AG80*PMwithoutlitterN2O)+('Mitigation drivers'!AG81*PMwithlitterN2O)+('Mitigation drivers'!AG83*DigesterN2OEF))/100</f>
        <v>1.7500000000000002E-2</v>
      </c>
      <c r="AM59" s="26">
        <f>(('Mitigation drivers'!AH73*LagoonN2O)+('Mitigation drivers'!AH74*LiquidN2O)+('Mitigation drivers'!AH75*DrylotN2O)+('Mitigation drivers'!AH76*SolidStorageN2O)+('Mitigation drivers'!AH77*DailyspreadN2O)+('Mitigation drivers'!AH78*CompostN2O)+('Mitigation drivers'!AH79*ManwithbedN2O)+('Mitigation drivers'!AH80*PMwithoutlitterN2O)+('Mitigation drivers'!AH81*PMwithlitterN2O)+('Mitigation drivers'!AH83*DigesterN2OEF))/100</f>
        <v>1.7500000000000002E-2</v>
      </c>
      <c r="AN59" s="26">
        <f>(('Mitigation drivers'!AI73*LagoonN2O)+('Mitigation drivers'!AI74*LiquidN2O)+('Mitigation drivers'!AI75*DrylotN2O)+('Mitigation drivers'!AI76*SolidStorageN2O)+('Mitigation drivers'!AI77*DailyspreadN2O)+('Mitigation drivers'!AI78*CompostN2O)+('Mitigation drivers'!AI79*ManwithbedN2O)+('Mitigation drivers'!AI80*PMwithoutlitterN2O)+('Mitigation drivers'!AI81*PMwithlitterN2O)+('Mitigation drivers'!AI83*DigesterN2OEF))/100</f>
        <v>1.7500000000000002E-2</v>
      </c>
      <c r="AO59" s="26">
        <f>(('Mitigation drivers'!AJ73*LagoonN2O)+('Mitigation drivers'!AJ74*LiquidN2O)+('Mitigation drivers'!AJ75*DrylotN2O)+('Mitigation drivers'!AJ76*SolidStorageN2O)+('Mitigation drivers'!AJ77*DailyspreadN2O)+('Mitigation drivers'!AJ78*CompostN2O)+('Mitigation drivers'!AJ79*ManwithbedN2O)+('Mitigation drivers'!AJ80*PMwithoutlitterN2O)+('Mitigation drivers'!AJ81*PMwithlitterN2O)+('Mitigation drivers'!AJ83*DigesterN2OEF))/100</f>
        <v>1.7500000000000002E-2</v>
      </c>
    </row>
    <row r="60" spans="1:41" x14ac:dyDescent="0.25">
      <c r="A60" t="str">
        <f t="shared" si="5"/>
        <v>3A Livestock</v>
      </c>
      <c r="B60" t="str">
        <f t="shared" si="13"/>
        <v>3A2 Manure management (N2O)</v>
      </c>
      <c r="C60" t="str">
        <f>'Activity data'!C11</f>
        <v>3A1c Sheep</v>
      </c>
      <c r="D60" t="str">
        <f>'Activity data'!D11</f>
        <v>Commercial</v>
      </c>
      <c r="E60" t="str">
        <f t="shared" si="32"/>
        <v>Manure management EF</v>
      </c>
      <c r="F60" t="str">
        <f t="shared" si="33"/>
        <v>N2O</v>
      </c>
      <c r="G60" t="str">
        <f t="shared" si="34"/>
        <v>kg N2O-N/kg Nex</v>
      </c>
      <c r="H60" s="26">
        <f>(('Mitigation drivers'!C86*LagoonN2O)+('Mitigation drivers'!C87*LiquidN2O)+('Mitigation drivers'!C88*DrylotN2O)+('Mitigation drivers'!C89*SolidStorageN2O)+('Mitigation drivers'!C90*DailyspreadN2O)+('Mitigation drivers'!C91*CompostN2O)+('Mitigation drivers'!C92*ManwithbedN2O)+('Mitigation drivers'!C93*PMwithoutlitterN2O)+('Mitigation drivers'!C94*PMwithlitterN2O)+('Mitigation drivers'!C96*DigesterN2OEF))/100</f>
        <v>2.0000000000000001E-4</v>
      </c>
      <c r="I60" s="26">
        <f>(('Mitigation drivers'!D86*LagoonN2O)+('Mitigation drivers'!D87*LiquidN2O)+('Mitigation drivers'!D88*DrylotN2O)+('Mitigation drivers'!D89*SolidStorageN2O)+('Mitigation drivers'!D90*DailyspreadN2O)+('Mitigation drivers'!D91*CompostN2O)+('Mitigation drivers'!D92*ManwithbedN2O)+('Mitigation drivers'!D93*PMwithoutlitterN2O)+('Mitigation drivers'!D94*PMwithlitterN2O)+('Mitigation drivers'!D96*DigesterN2OEF))/100</f>
        <v>2.0000000000000001E-4</v>
      </c>
      <c r="J60" s="26">
        <f>(('Mitigation drivers'!E86*LagoonN2O)+('Mitigation drivers'!E87*LiquidN2O)+('Mitigation drivers'!E88*DrylotN2O)+('Mitigation drivers'!E89*SolidStorageN2O)+('Mitigation drivers'!E90*DailyspreadN2O)+('Mitigation drivers'!E91*CompostN2O)+('Mitigation drivers'!E92*ManwithbedN2O)+('Mitigation drivers'!E93*PMwithoutlitterN2O)+('Mitigation drivers'!E94*PMwithlitterN2O)+('Mitigation drivers'!E96*DigesterN2OEF))/100</f>
        <v>2.0000000000000001E-4</v>
      </c>
      <c r="K60" s="26">
        <f>(('Mitigation drivers'!F86*LagoonN2O)+('Mitigation drivers'!F87*LiquidN2O)+('Mitigation drivers'!F88*DrylotN2O)+('Mitigation drivers'!F89*SolidStorageN2O)+('Mitigation drivers'!F90*DailyspreadN2O)+('Mitigation drivers'!F91*CompostN2O)+('Mitigation drivers'!F92*ManwithbedN2O)+('Mitigation drivers'!F93*PMwithoutlitterN2O)+('Mitigation drivers'!F94*PMwithlitterN2O)+('Mitigation drivers'!F96*DigesterN2OEF))/100</f>
        <v>2.0000000000000001E-4</v>
      </c>
      <c r="L60" s="26">
        <f>(('Mitigation drivers'!G86*LagoonN2O)+('Mitigation drivers'!G87*LiquidN2O)+('Mitigation drivers'!G88*DrylotN2O)+('Mitigation drivers'!G89*SolidStorageN2O)+('Mitigation drivers'!G90*DailyspreadN2O)+('Mitigation drivers'!G91*CompostN2O)+('Mitigation drivers'!G92*ManwithbedN2O)+('Mitigation drivers'!G93*PMwithoutlitterN2O)+('Mitigation drivers'!G94*PMwithlitterN2O)+('Mitigation drivers'!G96*DigesterN2OEF))/100</f>
        <v>2.0000000000000001E-4</v>
      </c>
      <c r="M60" s="26">
        <f>(('Mitigation drivers'!H86*LagoonN2O)+('Mitigation drivers'!H87*LiquidN2O)+('Mitigation drivers'!H88*DrylotN2O)+('Mitigation drivers'!H89*SolidStorageN2O)+('Mitigation drivers'!H90*DailyspreadN2O)+('Mitigation drivers'!H91*CompostN2O)+('Mitigation drivers'!H92*ManwithbedN2O)+('Mitigation drivers'!H93*PMwithoutlitterN2O)+('Mitigation drivers'!H94*PMwithlitterN2O)+('Mitigation drivers'!H96*DigesterN2OEF))/100</f>
        <v>2.0000000000000001E-4</v>
      </c>
      <c r="N60" s="26">
        <f>(('Mitigation drivers'!I86*LagoonN2O)+('Mitigation drivers'!I87*LiquidN2O)+('Mitigation drivers'!I88*DrylotN2O)+('Mitigation drivers'!I89*SolidStorageN2O)+('Mitigation drivers'!I90*DailyspreadN2O)+('Mitigation drivers'!I91*CompostN2O)+('Mitigation drivers'!I92*ManwithbedN2O)+('Mitigation drivers'!I93*PMwithoutlitterN2O)+('Mitigation drivers'!I94*PMwithlitterN2O)+('Mitigation drivers'!I96*DigesterN2OEF))/100</f>
        <v>2.0000000000000001E-4</v>
      </c>
      <c r="O60" s="26">
        <f>(('Mitigation drivers'!J86*LagoonN2O)+('Mitigation drivers'!J87*LiquidN2O)+('Mitigation drivers'!J88*DrylotN2O)+('Mitigation drivers'!J89*SolidStorageN2O)+('Mitigation drivers'!J90*DailyspreadN2O)+('Mitigation drivers'!J91*CompostN2O)+('Mitigation drivers'!J92*ManwithbedN2O)+('Mitigation drivers'!J93*PMwithoutlitterN2O)+('Mitigation drivers'!J94*PMwithlitterN2O)+('Mitigation drivers'!J96*DigesterN2OEF))/100</f>
        <v>2.0000000000000001E-4</v>
      </c>
      <c r="P60" s="26">
        <f>(('Mitigation drivers'!K86*LagoonN2O)+('Mitigation drivers'!K87*LiquidN2O)+('Mitigation drivers'!K88*DrylotN2O)+('Mitigation drivers'!K89*SolidStorageN2O)+('Mitigation drivers'!K90*DailyspreadN2O)+('Mitigation drivers'!K91*CompostN2O)+('Mitigation drivers'!K92*ManwithbedN2O)+('Mitigation drivers'!K93*PMwithoutlitterN2O)+('Mitigation drivers'!K94*PMwithlitterN2O)+('Mitigation drivers'!K96*DigesterN2OEF))/100</f>
        <v>2.0000000000000001E-4</v>
      </c>
      <c r="Q60" s="26">
        <f>(('Mitigation drivers'!L86*LagoonN2O)+('Mitigation drivers'!L87*LiquidN2O)+('Mitigation drivers'!L88*DrylotN2O)+('Mitigation drivers'!L89*SolidStorageN2O)+('Mitigation drivers'!L90*DailyspreadN2O)+('Mitigation drivers'!L91*CompostN2O)+('Mitigation drivers'!L92*ManwithbedN2O)+('Mitigation drivers'!L93*PMwithoutlitterN2O)+('Mitigation drivers'!L94*PMwithlitterN2O)+('Mitigation drivers'!L96*DigesterN2OEF))/100</f>
        <v>2.0000000000000001E-4</v>
      </c>
      <c r="R60" s="26">
        <f>(('Mitigation drivers'!M86*LagoonN2O)+('Mitigation drivers'!M87*LiquidN2O)+('Mitigation drivers'!M88*DrylotN2O)+('Mitigation drivers'!M89*SolidStorageN2O)+('Mitigation drivers'!M90*DailyspreadN2O)+('Mitigation drivers'!M91*CompostN2O)+('Mitigation drivers'!M92*ManwithbedN2O)+('Mitigation drivers'!M93*PMwithoutlitterN2O)+('Mitigation drivers'!M94*PMwithlitterN2O)+('Mitigation drivers'!M96*DigesterN2OEF))/100</f>
        <v>2.0000000000000001E-4</v>
      </c>
      <c r="S60" s="26">
        <f>(('Mitigation drivers'!N86*LagoonN2O)+('Mitigation drivers'!N87*LiquidN2O)+('Mitigation drivers'!N88*DrylotN2O)+('Mitigation drivers'!N89*SolidStorageN2O)+('Mitigation drivers'!N90*DailyspreadN2O)+('Mitigation drivers'!N91*CompostN2O)+('Mitigation drivers'!N92*ManwithbedN2O)+('Mitigation drivers'!N93*PMwithoutlitterN2O)+('Mitigation drivers'!N94*PMwithlitterN2O)+('Mitigation drivers'!N96*DigesterN2OEF))/100</f>
        <v>2.0000000000000001E-4</v>
      </c>
      <c r="T60" s="26">
        <f>(('Mitigation drivers'!O86*LagoonN2O)+('Mitigation drivers'!O87*LiquidN2O)+('Mitigation drivers'!O88*DrylotN2O)+('Mitigation drivers'!O89*SolidStorageN2O)+('Mitigation drivers'!O90*DailyspreadN2O)+('Mitigation drivers'!O91*CompostN2O)+('Mitigation drivers'!O92*ManwithbedN2O)+('Mitigation drivers'!O93*PMwithoutlitterN2O)+('Mitigation drivers'!O94*PMwithlitterN2O)+('Mitigation drivers'!O96*DigesterN2OEF))/100</f>
        <v>2.0000000000000001E-4</v>
      </c>
      <c r="U60" s="26">
        <f>(('Mitigation drivers'!P86*LagoonN2O)+('Mitigation drivers'!P87*LiquidN2O)+('Mitigation drivers'!P88*DrylotN2O)+('Mitigation drivers'!P89*SolidStorageN2O)+('Mitigation drivers'!P90*DailyspreadN2O)+('Mitigation drivers'!P91*CompostN2O)+('Mitigation drivers'!P92*ManwithbedN2O)+('Mitigation drivers'!P93*PMwithoutlitterN2O)+('Mitigation drivers'!P94*PMwithlitterN2O)+('Mitigation drivers'!P96*DigesterN2OEF))/100</f>
        <v>2.0000000000000001E-4</v>
      </c>
      <c r="V60" s="26">
        <f>(('Mitigation drivers'!Q86*LagoonN2O)+('Mitigation drivers'!Q87*LiquidN2O)+('Mitigation drivers'!Q88*DrylotN2O)+('Mitigation drivers'!Q89*SolidStorageN2O)+('Mitigation drivers'!Q90*DailyspreadN2O)+('Mitigation drivers'!Q91*CompostN2O)+('Mitigation drivers'!Q92*ManwithbedN2O)+('Mitigation drivers'!Q93*PMwithoutlitterN2O)+('Mitigation drivers'!Q94*PMwithlitterN2O)+('Mitigation drivers'!Q96*DigesterN2OEF))/100</f>
        <v>2.0000000000000001E-4</v>
      </c>
      <c r="W60" s="26">
        <f>(('Mitigation drivers'!R86*LagoonN2O)+('Mitigation drivers'!R87*LiquidN2O)+('Mitigation drivers'!R88*DrylotN2O)+('Mitigation drivers'!R89*SolidStorageN2O)+('Mitigation drivers'!R90*DailyspreadN2O)+('Mitigation drivers'!R91*CompostN2O)+('Mitigation drivers'!R92*ManwithbedN2O)+('Mitigation drivers'!R93*PMwithoutlitterN2O)+('Mitigation drivers'!R94*PMwithlitterN2O)+('Mitigation drivers'!R96*DigesterN2OEF))/100</f>
        <v>2.0000000000000001E-4</v>
      </c>
      <c r="X60" s="26">
        <f>(('Mitigation drivers'!S86*LagoonN2O)+('Mitigation drivers'!S87*LiquidN2O)+('Mitigation drivers'!S88*DrylotN2O)+('Mitigation drivers'!S89*SolidStorageN2O)+('Mitigation drivers'!S90*DailyspreadN2O)+('Mitigation drivers'!S91*CompostN2O)+('Mitigation drivers'!S92*ManwithbedN2O)+('Mitigation drivers'!S93*PMwithoutlitterN2O)+('Mitigation drivers'!S94*PMwithlitterN2O)+('Mitigation drivers'!S96*DigesterN2OEF))/100</f>
        <v>2.0000000000000001E-4</v>
      </c>
      <c r="Y60" s="26">
        <f>(('Mitigation drivers'!T86*LagoonN2O)+('Mitigation drivers'!T87*LiquidN2O)+('Mitigation drivers'!T88*DrylotN2O)+('Mitigation drivers'!T89*SolidStorageN2O)+('Mitigation drivers'!T90*DailyspreadN2O)+('Mitigation drivers'!T91*CompostN2O)+('Mitigation drivers'!T92*ManwithbedN2O)+('Mitigation drivers'!T93*PMwithoutlitterN2O)+('Mitigation drivers'!T94*PMwithlitterN2O)+('Mitigation drivers'!T96*DigesterN2OEF))/100</f>
        <v>2.0000000000000001E-4</v>
      </c>
      <c r="Z60" s="26">
        <f>(('Mitigation drivers'!U86*LagoonN2O)+('Mitigation drivers'!U87*LiquidN2O)+('Mitigation drivers'!U88*DrylotN2O)+('Mitigation drivers'!U89*SolidStorageN2O)+('Mitigation drivers'!U90*DailyspreadN2O)+('Mitigation drivers'!U91*CompostN2O)+('Mitigation drivers'!U92*ManwithbedN2O)+('Mitigation drivers'!U93*PMwithoutlitterN2O)+('Mitigation drivers'!U94*PMwithlitterN2O)+('Mitigation drivers'!U96*DigesterN2OEF))/100</f>
        <v>2.0000000000000001E-4</v>
      </c>
      <c r="AA60" s="26">
        <f>(('Mitigation drivers'!V86*LagoonN2O)+('Mitigation drivers'!V87*LiquidN2O)+('Mitigation drivers'!V88*DrylotN2O)+('Mitigation drivers'!V89*SolidStorageN2O)+('Mitigation drivers'!V90*DailyspreadN2O)+('Mitigation drivers'!V91*CompostN2O)+('Mitigation drivers'!V92*ManwithbedN2O)+('Mitigation drivers'!V93*PMwithoutlitterN2O)+('Mitigation drivers'!V94*PMwithlitterN2O)+('Mitigation drivers'!V96*DigesterN2OEF))/100</f>
        <v>2.0000000000000001E-4</v>
      </c>
      <c r="AB60" s="26">
        <f>(('Mitigation drivers'!W86*LagoonN2O)+('Mitigation drivers'!W87*LiquidN2O)+('Mitigation drivers'!W88*DrylotN2O)+('Mitigation drivers'!W89*SolidStorageN2O)+('Mitigation drivers'!W90*DailyspreadN2O)+('Mitigation drivers'!W91*CompostN2O)+('Mitigation drivers'!W92*ManwithbedN2O)+('Mitigation drivers'!W93*PMwithoutlitterN2O)+('Mitigation drivers'!W94*PMwithlitterN2O)+('Mitigation drivers'!W96*DigesterN2OEF))/100</f>
        <v>2.0000000000000001E-4</v>
      </c>
      <c r="AC60" s="26">
        <f>(('Mitigation drivers'!X86*LagoonN2O)+('Mitigation drivers'!X87*LiquidN2O)+('Mitigation drivers'!X88*DrylotN2O)+('Mitigation drivers'!X89*SolidStorageN2O)+('Mitigation drivers'!X90*DailyspreadN2O)+('Mitigation drivers'!X91*CompostN2O)+('Mitigation drivers'!X92*ManwithbedN2O)+('Mitigation drivers'!X93*PMwithoutlitterN2O)+('Mitigation drivers'!X94*PMwithlitterN2O)+('Mitigation drivers'!X96*DigesterN2OEF))/100</f>
        <v>2.0000000000000001E-4</v>
      </c>
      <c r="AD60" s="26">
        <f>(('Mitigation drivers'!Y86*LagoonN2O)+('Mitigation drivers'!Y87*LiquidN2O)+('Mitigation drivers'!Y88*DrylotN2O)+('Mitigation drivers'!Y89*SolidStorageN2O)+('Mitigation drivers'!Y90*DailyspreadN2O)+('Mitigation drivers'!Y91*CompostN2O)+('Mitigation drivers'!Y92*ManwithbedN2O)+('Mitigation drivers'!Y93*PMwithoutlitterN2O)+('Mitigation drivers'!Y94*PMwithlitterN2O)+('Mitigation drivers'!Y96*DigesterN2OEF))/100</f>
        <v>2.0000000000000001E-4</v>
      </c>
      <c r="AE60" s="26">
        <f>(('Mitigation drivers'!Z86*LagoonN2O)+('Mitigation drivers'!Z87*LiquidN2O)+('Mitigation drivers'!Z88*DrylotN2O)+('Mitigation drivers'!Z89*SolidStorageN2O)+('Mitigation drivers'!Z90*DailyspreadN2O)+('Mitigation drivers'!Z91*CompostN2O)+('Mitigation drivers'!Z92*ManwithbedN2O)+('Mitigation drivers'!Z93*PMwithoutlitterN2O)+('Mitigation drivers'!Z94*PMwithlitterN2O)+('Mitigation drivers'!Z96*DigesterN2OEF))/100</f>
        <v>2.0000000000000001E-4</v>
      </c>
      <c r="AF60" s="26">
        <f>(('Mitigation drivers'!AA86*LagoonN2O)+('Mitigation drivers'!AA87*LiquidN2O)+('Mitigation drivers'!AA88*DrylotN2O)+('Mitigation drivers'!AA89*SolidStorageN2O)+('Mitigation drivers'!AA90*DailyspreadN2O)+('Mitigation drivers'!AA91*CompostN2O)+('Mitigation drivers'!AA92*ManwithbedN2O)+('Mitigation drivers'!AA93*PMwithoutlitterN2O)+('Mitigation drivers'!AA94*PMwithlitterN2O)+('Mitigation drivers'!AA96*DigesterN2OEF))/100</f>
        <v>2.0000000000000001E-4</v>
      </c>
      <c r="AG60" s="26">
        <f>(('Mitigation drivers'!AB86*LagoonN2O)+('Mitigation drivers'!AB87*LiquidN2O)+('Mitigation drivers'!AB88*DrylotN2O)+('Mitigation drivers'!AB89*SolidStorageN2O)+('Mitigation drivers'!AB90*DailyspreadN2O)+('Mitigation drivers'!AB91*CompostN2O)+('Mitigation drivers'!AB92*ManwithbedN2O)+('Mitigation drivers'!AB93*PMwithoutlitterN2O)+('Mitigation drivers'!AB94*PMwithlitterN2O)+('Mitigation drivers'!AB96*DigesterN2OEF))/100</f>
        <v>2.0000000000000001E-4</v>
      </c>
      <c r="AH60" s="26">
        <f>(('Mitigation drivers'!AC86*LagoonN2O)+('Mitigation drivers'!AC87*LiquidN2O)+('Mitigation drivers'!AC88*DrylotN2O)+('Mitigation drivers'!AC89*SolidStorageN2O)+('Mitigation drivers'!AC90*DailyspreadN2O)+('Mitigation drivers'!AC91*CompostN2O)+('Mitigation drivers'!AC92*ManwithbedN2O)+('Mitigation drivers'!AC93*PMwithoutlitterN2O)+('Mitigation drivers'!AC94*PMwithlitterN2O)+('Mitigation drivers'!AC96*DigesterN2OEF))/100</f>
        <v>2.0000000000000001E-4</v>
      </c>
      <c r="AI60" s="26">
        <f>(('Mitigation drivers'!AD86*LagoonN2O)+('Mitigation drivers'!AD87*LiquidN2O)+('Mitigation drivers'!AD88*DrylotN2O)+('Mitigation drivers'!AD89*SolidStorageN2O)+('Mitigation drivers'!AD90*DailyspreadN2O)+('Mitigation drivers'!AD91*CompostN2O)+('Mitigation drivers'!AD92*ManwithbedN2O)+('Mitigation drivers'!AD93*PMwithoutlitterN2O)+('Mitigation drivers'!AD94*PMwithlitterN2O)+('Mitigation drivers'!AD96*DigesterN2OEF))/100</f>
        <v>2.0000000000000001E-4</v>
      </c>
      <c r="AJ60" s="26">
        <f>(('Mitigation drivers'!AE86*LagoonN2O)+('Mitigation drivers'!AE87*LiquidN2O)+('Mitigation drivers'!AE88*DrylotN2O)+('Mitigation drivers'!AE89*SolidStorageN2O)+('Mitigation drivers'!AE90*DailyspreadN2O)+('Mitigation drivers'!AE91*CompostN2O)+('Mitigation drivers'!AE92*ManwithbedN2O)+('Mitigation drivers'!AE93*PMwithoutlitterN2O)+('Mitigation drivers'!AE94*PMwithlitterN2O)+('Mitigation drivers'!AE96*DigesterN2OEF))/100</f>
        <v>2.0000000000000001E-4</v>
      </c>
      <c r="AK60" s="26">
        <f>(('Mitigation drivers'!AF86*LagoonN2O)+('Mitigation drivers'!AF87*LiquidN2O)+('Mitigation drivers'!AF88*DrylotN2O)+('Mitigation drivers'!AF89*SolidStorageN2O)+('Mitigation drivers'!AF90*DailyspreadN2O)+('Mitigation drivers'!AF91*CompostN2O)+('Mitigation drivers'!AF92*ManwithbedN2O)+('Mitigation drivers'!AF93*PMwithoutlitterN2O)+('Mitigation drivers'!AF94*PMwithlitterN2O)+('Mitigation drivers'!AF96*DigesterN2OEF))/100</f>
        <v>2.0000000000000001E-4</v>
      </c>
      <c r="AL60" s="26">
        <f>(('Mitigation drivers'!AG86*LagoonN2O)+('Mitigation drivers'!AG87*LiquidN2O)+('Mitigation drivers'!AG88*DrylotN2O)+('Mitigation drivers'!AG89*SolidStorageN2O)+('Mitigation drivers'!AG90*DailyspreadN2O)+('Mitigation drivers'!AG91*CompostN2O)+('Mitigation drivers'!AG92*ManwithbedN2O)+('Mitigation drivers'!AG93*PMwithoutlitterN2O)+('Mitigation drivers'!AG94*PMwithlitterN2O)+('Mitigation drivers'!AG96*DigesterN2OEF))/100</f>
        <v>2.0000000000000001E-4</v>
      </c>
      <c r="AM60" s="26">
        <f>(('Mitigation drivers'!AH86*LagoonN2O)+('Mitigation drivers'!AH87*LiquidN2O)+('Mitigation drivers'!AH88*DrylotN2O)+('Mitigation drivers'!AH89*SolidStorageN2O)+('Mitigation drivers'!AH90*DailyspreadN2O)+('Mitigation drivers'!AH91*CompostN2O)+('Mitigation drivers'!AH92*ManwithbedN2O)+('Mitigation drivers'!AH93*PMwithoutlitterN2O)+('Mitigation drivers'!AH94*PMwithlitterN2O)+('Mitigation drivers'!AH96*DigesterN2OEF))/100</f>
        <v>2.0000000000000001E-4</v>
      </c>
      <c r="AN60" s="26">
        <f>(('Mitigation drivers'!AI86*LagoonN2O)+('Mitigation drivers'!AI87*LiquidN2O)+('Mitigation drivers'!AI88*DrylotN2O)+('Mitigation drivers'!AI89*SolidStorageN2O)+('Mitigation drivers'!AI90*DailyspreadN2O)+('Mitigation drivers'!AI91*CompostN2O)+('Mitigation drivers'!AI92*ManwithbedN2O)+('Mitigation drivers'!AI93*PMwithoutlitterN2O)+('Mitigation drivers'!AI94*PMwithlitterN2O)+('Mitigation drivers'!AI96*DigesterN2OEF))/100</f>
        <v>2.0000000000000001E-4</v>
      </c>
      <c r="AO60" s="26">
        <f>(('Mitigation drivers'!AJ86*LagoonN2O)+('Mitigation drivers'!AJ87*LiquidN2O)+('Mitigation drivers'!AJ88*DrylotN2O)+('Mitigation drivers'!AJ89*SolidStorageN2O)+('Mitigation drivers'!AJ90*DailyspreadN2O)+('Mitigation drivers'!AJ91*CompostN2O)+('Mitigation drivers'!AJ92*ManwithbedN2O)+('Mitigation drivers'!AJ93*PMwithoutlitterN2O)+('Mitigation drivers'!AJ94*PMwithlitterN2O)+('Mitigation drivers'!AJ96*DigesterN2OEF))/100</f>
        <v>2.0000000000000001E-4</v>
      </c>
    </row>
    <row r="61" spans="1:41" x14ac:dyDescent="0.25">
      <c r="A61" t="str">
        <f t="shared" si="5"/>
        <v>3A Livestock</v>
      </c>
      <c r="B61" t="str">
        <f t="shared" si="13"/>
        <v>3A2 Manure management (N2O)</v>
      </c>
      <c r="C61" t="str">
        <f>'Activity data'!C12</f>
        <v>3A1c Sheep</v>
      </c>
      <c r="D61" t="str">
        <f>'Activity data'!D12</f>
        <v>Subsistence</v>
      </c>
      <c r="E61" t="str">
        <f t="shared" si="32"/>
        <v>Manure management EF</v>
      </c>
      <c r="F61" t="str">
        <f t="shared" si="33"/>
        <v>N2O</v>
      </c>
      <c r="G61" t="str">
        <f t="shared" si="34"/>
        <v>kg N2O-N/kg Nex</v>
      </c>
      <c r="H61" s="26">
        <f>(('Mitigation drivers'!C97*LagoonN2O)+('Mitigation drivers'!C98*LiquidN2O)+('Mitigation drivers'!C99*DrylotN2O)+('Mitigation drivers'!C100*SolidStorageN2O)+('Mitigation drivers'!C101*DailyspreadN2O)+('Mitigation drivers'!C102*CompostN2O)+('Mitigation drivers'!C103*ManwithbedN2O)+('Mitigation drivers'!C104*PMwithoutlitterN2O)+('Mitigation drivers'!C105*PMwithlitterN2O)+('Mitigation drivers'!C107*DigesterN2OEF))/100</f>
        <v>8.9999999999999998E-4</v>
      </c>
      <c r="I61" s="26">
        <f>(('Mitigation drivers'!D97*LagoonN2O)+('Mitigation drivers'!D98*LiquidN2O)+('Mitigation drivers'!D99*DrylotN2O)+('Mitigation drivers'!D100*SolidStorageN2O)+('Mitigation drivers'!D101*DailyspreadN2O)+('Mitigation drivers'!D102*CompostN2O)+('Mitigation drivers'!D103*ManwithbedN2O)+('Mitigation drivers'!D104*PMwithoutlitterN2O)+('Mitigation drivers'!D105*PMwithlitterN2O)+('Mitigation drivers'!D107*DigesterN2OEF))/100</f>
        <v>8.9999999999999998E-4</v>
      </c>
      <c r="J61" s="26">
        <f>(('Mitigation drivers'!E97*LagoonN2O)+('Mitigation drivers'!E98*LiquidN2O)+('Mitigation drivers'!E99*DrylotN2O)+('Mitigation drivers'!E100*SolidStorageN2O)+('Mitigation drivers'!E101*DailyspreadN2O)+('Mitigation drivers'!E102*CompostN2O)+('Mitigation drivers'!E103*ManwithbedN2O)+('Mitigation drivers'!E104*PMwithoutlitterN2O)+('Mitigation drivers'!E105*PMwithlitterN2O)+('Mitigation drivers'!E107*DigesterN2OEF))/100</f>
        <v>8.9999999999999998E-4</v>
      </c>
      <c r="K61" s="26">
        <f>(('Mitigation drivers'!F97*LagoonN2O)+('Mitigation drivers'!F98*LiquidN2O)+('Mitigation drivers'!F99*DrylotN2O)+('Mitigation drivers'!F100*SolidStorageN2O)+('Mitigation drivers'!F101*DailyspreadN2O)+('Mitigation drivers'!F102*CompostN2O)+('Mitigation drivers'!F103*ManwithbedN2O)+('Mitigation drivers'!F104*PMwithoutlitterN2O)+('Mitigation drivers'!F105*PMwithlitterN2O)+('Mitigation drivers'!F107*DigesterN2OEF))/100</f>
        <v>8.9999999999999998E-4</v>
      </c>
      <c r="L61" s="26">
        <f>(('Mitigation drivers'!G97*LagoonN2O)+('Mitigation drivers'!G98*LiquidN2O)+('Mitigation drivers'!G99*DrylotN2O)+('Mitigation drivers'!G100*SolidStorageN2O)+('Mitigation drivers'!G101*DailyspreadN2O)+('Mitigation drivers'!G102*CompostN2O)+('Mitigation drivers'!G103*ManwithbedN2O)+('Mitigation drivers'!G104*PMwithoutlitterN2O)+('Mitigation drivers'!G105*PMwithlitterN2O)+('Mitigation drivers'!G107*DigesterN2OEF))/100</f>
        <v>8.9999999999999998E-4</v>
      </c>
      <c r="M61" s="26">
        <f>(('Mitigation drivers'!H97*LagoonN2O)+('Mitigation drivers'!H98*LiquidN2O)+('Mitigation drivers'!H99*DrylotN2O)+('Mitigation drivers'!H100*SolidStorageN2O)+('Mitigation drivers'!H101*DailyspreadN2O)+('Mitigation drivers'!H102*CompostN2O)+('Mitigation drivers'!H103*ManwithbedN2O)+('Mitigation drivers'!H104*PMwithoutlitterN2O)+('Mitigation drivers'!H105*PMwithlitterN2O)+('Mitigation drivers'!H107*DigesterN2OEF))/100</f>
        <v>8.9999999999999998E-4</v>
      </c>
      <c r="N61" s="26">
        <f>(('Mitigation drivers'!I97*LagoonN2O)+('Mitigation drivers'!I98*LiquidN2O)+('Mitigation drivers'!I99*DrylotN2O)+('Mitigation drivers'!I100*SolidStorageN2O)+('Mitigation drivers'!I101*DailyspreadN2O)+('Mitigation drivers'!I102*CompostN2O)+('Mitigation drivers'!I103*ManwithbedN2O)+('Mitigation drivers'!I104*PMwithoutlitterN2O)+('Mitigation drivers'!I105*PMwithlitterN2O)+('Mitigation drivers'!I107*DigesterN2OEF))/100</f>
        <v>8.9999999999999998E-4</v>
      </c>
      <c r="O61" s="26">
        <f>(('Mitigation drivers'!J97*LagoonN2O)+('Mitigation drivers'!J98*LiquidN2O)+('Mitigation drivers'!J99*DrylotN2O)+('Mitigation drivers'!J100*SolidStorageN2O)+('Mitigation drivers'!J101*DailyspreadN2O)+('Mitigation drivers'!J102*CompostN2O)+('Mitigation drivers'!J103*ManwithbedN2O)+('Mitigation drivers'!J104*PMwithoutlitterN2O)+('Mitigation drivers'!J105*PMwithlitterN2O)+('Mitigation drivers'!J107*DigesterN2OEF))/100</f>
        <v>8.9999999999999998E-4</v>
      </c>
      <c r="P61" s="26">
        <f>(('Mitigation drivers'!K97*LagoonN2O)+('Mitigation drivers'!K98*LiquidN2O)+('Mitigation drivers'!K99*DrylotN2O)+('Mitigation drivers'!K100*SolidStorageN2O)+('Mitigation drivers'!K101*DailyspreadN2O)+('Mitigation drivers'!K102*CompostN2O)+('Mitigation drivers'!K103*ManwithbedN2O)+('Mitigation drivers'!K104*PMwithoutlitterN2O)+('Mitigation drivers'!K105*PMwithlitterN2O)+('Mitigation drivers'!K107*DigesterN2OEF))/100</f>
        <v>8.9999999999999998E-4</v>
      </c>
      <c r="Q61" s="26">
        <f>(('Mitigation drivers'!L97*LagoonN2O)+('Mitigation drivers'!L98*LiquidN2O)+('Mitigation drivers'!L99*DrylotN2O)+('Mitigation drivers'!L100*SolidStorageN2O)+('Mitigation drivers'!L101*DailyspreadN2O)+('Mitigation drivers'!L102*CompostN2O)+('Mitigation drivers'!L103*ManwithbedN2O)+('Mitigation drivers'!L104*PMwithoutlitterN2O)+('Mitigation drivers'!L105*PMwithlitterN2O)+('Mitigation drivers'!L107*DigesterN2OEF))/100</f>
        <v>8.9999999999999998E-4</v>
      </c>
      <c r="R61" s="26">
        <f>(('Mitigation drivers'!M97*LagoonN2O)+('Mitigation drivers'!M98*LiquidN2O)+('Mitigation drivers'!M99*DrylotN2O)+('Mitigation drivers'!M100*SolidStorageN2O)+('Mitigation drivers'!M101*DailyspreadN2O)+('Mitigation drivers'!M102*CompostN2O)+('Mitigation drivers'!M103*ManwithbedN2O)+('Mitigation drivers'!M104*PMwithoutlitterN2O)+('Mitigation drivers'!M105*PMwithlitterN2O)+('Mitigation drivers'!M107*DigesterN2OEF))/100</f>
        <v>8.9999999999999998E-4</v>
      </c>
      <c r="S61" s="26">
        <f>(('Mitigation drivers'!N97*LagoonN2O)+('Mitigation drivers'!N98*LiquidN2O)+('Mitigation drivers'!N99*DrylotN2O)+('Mitigation drivers'!N100*SolidStorageN2O)+('Mitigation drivers'!N101*DailyspreadN2O)+('Mitigation drivers'!N102*CompostN2O)+('Mitigation drivers'!N103*ManwithbedN2O)+('Mitigation drivers'!N104*PMwithoutlitterN2O)+('Mitigation drivers'!N105*PMwithlitterN2O)+('Mitigation drivers'!N107*DigesterN2OEF))/100</f>
        <v>8.9999999999999998E-4</v>
      </c>
      <c r="T61" s="26">
        <f>(('Mitigation drivers'!O97*LagoonN2O)+('Mitigation drivers'!O98*LiquidN2O)+('Mitigation drivers'!O99*DrylotN2O)+('Mitigation drivers'!O100*SolidStorageN2O)+('Mitigation drivers'!O101*DailyspreadN2O)+('Mitigation drivers'!O102*CompostN2O)+('Mitigation drivers'!O103*ManwithbedN2O)+('Mitigation drivers'!O104*PMwithoutlitterN2O)+('Mitigation drivers'!O105*PMwithlitterN2O)+('Mitigation drivers'!O107*DigesterN2OEF))/100</f>
        <v>8.9999999999999998E-4</v>
      </c>
      <c r="U61" s="26">
        <f>(('Mitigation drivers'!P97*LagoonN2O)+('Mitigation drivers'!P98*LiquidN2O)+('Mitigation drivers'!P99*DrylotN2O)+('Mitigation drivers'!P100*SolidStorageN2O)+('Mitigation drivers'!P101*DailyspreadN2O)+('Mitigation drivers'!P102*CompostN2O)+('Mitigation drivers'!P103*ManwithbedN2O)+('Mitigation drivers'!P104*PMwithoutlitterN2O)+('Mitigation drivers'!P105*PMwithlitterN2O)+('Mitigation drivers'!P107*DigesterN2OEF))/100</f>
        <v>8.9999999999999998E-4</v>
      </c>
      <c r="V61" s="26">
        <f>(('Mitigation drivers'!Q97*LagoonN2O)+('Mitigation drivers'!Q98*LiquidN2O)+('Mitigation drivers'!Q99*DrylotN2O)+('Mitigation drivers'!Q100*SolidStorageN2O)+('Mitigation drivers'!Q101*DailyspreadN2O)+('Mitigation drivers'!Q102*CompostN2O)+('Mitigation drivers'!Q103*ManwithbedN2O)+('Mitigation drivers'!Q104*PMwithoutlitterN2O)+('Mitigation drivers'!Q105*PMwithlitterN2O)+('Mitigation drivers'!Q107*DigesterN2OEF))/100</f>
        <v>8.9999999999999998E-4</v>
      </c>
      <c r="W61" s="26">
        <f>(('Mitigation drivers'!R97*LagoonN2O)+('Mitigation drivers'!R98*LiquidN2O)+('Mitigation drivers'!R99*DrylotN2O)+('Mitigation drivers'!R100*SolidStorageN2O)+('Mitigation drivers'!R101*DailyspreadN2O)+('Mitigation drivers'!R102*CompostN2O)+('Mitigation drivers'!R103*ManwithbedN2O)+('Mitigation drivers'!R104*PMwithoutlitterN2O)+('Mitigation drivers'!R105*PMwithlitterN2O)+('Mitigation drivers'!R107*DigesterN2OEF))/100</f>
        <v>8.9999999999999998E-4</v>
      </c>
      <c r="X61" s="26">
        <f>(('Mitigation drivers'!S97*LagoonN2O)+('Mitigation drivers'!S98*LiquidN2O)+('Mitigation drivers'!S99*DrylotN2O)+('Mitigation drivers'!S100*SolidStorageN2O)+('Mitigation drivers'!S101*DailyspreadN2O)+('Mitigation drivers'!S102*CompostN2O)+('Mitigation drivers'!S103*ManwithbedN2O)+('Mitigation drivers'!S104*PMwithoutlitterN2O)+('Mitigation drivers'!S105*PMwithlitterN2O)+('Mitigation drivers'!S107*DigesterN2OEF))/100</f>
        <v>8.9999999999999998E-4</v>
      </c>
      <c r="Y61" s="26">
        <f>(('Mitigation drivers'!T97*LagoonN2O)+('Mitigation drivers'!T98*LiquidN2O)+('Mitigation drivers'!T99*DrylotN2O)+('Mitigation drivers'!T100*SolidStorageN2O)+('Mitigation drivers'!T101*DailyspreadN2O)+('Mitigation drivers'!T102*CompostN2O)+('Mitigation drivers'!T103*ManwithbedN2O)+('Mitigation drivers'!T104*PMwithoutlitterN2O)+('Mitigation drivers'!T105*PMwithlitterN2O)+('Mitigation drivers'!T107*DigesterN2OEF))/100</f>
        <v>8.9999999999999998E-4</v>
      </c>
      <c r="Z61" s="26">
        <f>(('Mitigation drivers'!U97*LagoonN2O)+('Mitigation drivers'!U98*LiquidN2O)+('Mitigation drivers'!U99*DrylotN2O)+('Mitigation drivers'!U100*SolidStorageN2O)+('Mitigation drivers'!U101*DailyspreadN2O)+('Mitigation drivers'!U102*CompostN2O)+('Mitigation drivers'!U103*ManwithbedN2O)+('Mitigation drivers'!U104*PMwithoutlitterN2O)+('Mitigation drivers'!U105*PMwithlitterN2O)+('Mitigation drivers'!U107*DigesterN2OEF))/100</f>
        <v>8.9999999999999998E-4</v>
      </c>
      <c r="AA61" s="26">
        <f>(('Mitigation drivers'!V97*LagoonN2O)+('Mitigation drivers'!V98*LiquidN2O)+('Mitigation drivers'!V99*DrylotN2O)+('Mitigation drivers'!V100*SolidStorageN2O)+('Mitigation drivers'!V101*DailyspreadN2O)+('Mitigation drivers'!V102*CompostN2O)+('Mitigation drivers'!V103*ManwithbedN2O)+('Mitigation drivers'!V104*PMwithoutlitterN2O)+('Mitigation drivers'!V105*PMwithlitterN2O)+('Mitigation drivers'!V107*DigesterN2OEF))/100</f>
        <v>8.9999999999999998E-4</v>
      </c>
      <c r="AB61" s="26">
        <f>(('Mitigation drivers'!W97*LagoonN2O)+('Mitigation drivers'!W98*LiquidN2O)+('Mitigation drivers'!W99*DrylotN2O)+('Mitigation drivers'!W100*SolidStorageN2O)+('Mitigation drivers'!W101*DailyspreadN2O)+('Mitigation drivers'!W102*CompostN2O)+('Mitigation drivers'!W103*ManwithbedN2O)+('Mitigation drivers'!W104*PMwithoutlitterN2O)+('Mitigation drivers'!W105*PMwithlitterN2O)+('Mitigation drivers'!W107*DigesterN2OEF))/100</f>
        <v>8.9999999999999998E-4</v>
      </c>
      <c r="AC61" s="26">
        <f>(('Mitigation drivers'!X97*LagoonN2O)+('Mitigation drivers'!X98*LiquidN2O)+('Mitigation drivers'!X99*DrylotN2O)+('Mitigation drivers'!X100*SolidStorageN2O)+('Mitigation drivers'!X101*DailyspreadN2O)+('Mitigation drivers'!X102*CompostN2O)+('Mitigation drivers'!X103*ManwithbedN2O)+('Mitigation drivers'!X104*PMwithoutlitterN2O)+('Mitigation drivers'!X105*PMwithlitterN2O)+('Mitigation drivers'!X107*DigesterN2OEF))/100</f>
        <v>8.9999999999999998E-4</v>
      </c>
      <c r="AD61" s="26">
        <f>(('Mitigation drivers'!Y97*LagoonN2O)+('Mitigation drivers'!Y98*LiquidN2O)+('Mitigation drivers'!Y99*DrylotN2O)+('Mitigation drivers'!Y100*SolidStorageN2O)+('Mitigation drivers'!Y101*DailyspreadN2O)+('Mitigation drivers'!Y102*CompostN2O)+('Mitigation drivers'!Y103*ManwithbedN2O)+('Mitigation drivers'!Y104*PMwithoutlitterN2O)+('Mitigation drivers'!Y105*PMwithlitterN2O)+('Mitigation drivers'!Y107*DigesterN2OEF))/100</f>
        <v>8.9999999999999998E-4</v>
      </c>
      <c r="AE61" s="26">
        <f>(('Mitigation drivers'!Z97*LagoonN2O)+('Mitigation drivers'!Z98*LiquidN2O)+('Mitigation drivers'!Z99*DrylotN2O)+('Mitigation drivers'!Z100*SolidStorageN2O)+('Mitigation drivers'!Z101*DailyspreadN2O)+('Mitigation drivers'!Z102*CompostN2O)+('Mitigation drivers'!Z103*ManwithbedN2O)+('Mitigation drivers'!Z104*PMwithoutlitterN2O)+('Mitigation drivers'!Z105*PMwithlitterN2O)+('Mitigation drivers'!Z107*DigesterN2OEF))/100</f>
        <v>8.9999999999999998E-4</v>
      </c>
      <c r="AF61" s="26">
        <f>(('Mitigation drivers'!AA97*LagoonN2O)+('Mitigation drivers'!AA98*LiquidN2O)+('Mitigation drivers'!AA99*DrylotN2O)+('Mitigation drivers'!AA100*SolidStorageN2O)+('Mitigation drivers'!AA101*DailyspreadN2O)+('Mitigation drivers'!AA102*CompostN2O)+('Mitigation drivers'!AA103*ManwithbedN2O)+('Mitigation drivers'!AA104*PMwithoutlitterN2O)+('Mitigation drivers'!AA105*PMwithlitterN2O)+('Mitigation drivers'!AA107*DigesterN2OEF))/100</f>
        <v>8.9999999999999998E-4</v>
      </c>
      <c r="AG61" s="26">
        <f>(('Mitigation drivers'!AB97*LagoonN2O)+('Mitigation drivers'!AB98*LiquidN2O)+('Mitigation drivers'!AB99*DrylotN2O)+('Mitigation drivers'!AB100*SolidStorageN2O)+('Mitigation drivers'!AB101*DailyspreadN2O)+('Mitigation drivers'!AB102*CompostN2O)+('Mitigation drivers'!AB103*ManwithbedN2O)+('Mitigation drivers'!AB104*PMwithoutlitterN2O)+('Mitigation drivers'!AB105*PMwithlitterN2O)+('Mitigation drivers'!AB107*DigesterN2OEF))/100</f>
        <v>8.9999999999999998E-4</v>
      </c>
      <c r="AH61" s="26">
        <f>(('Mitigation drivers'!AC97*LagoonN2O)+('Mitigation drivers'!AC98*LiquidN2O)+('Mitigation drivers'!AC99*DrylotN2O)+('Mitigation drivers'!AC100*SolidStorageN2O)+('Mitigation drivers'!AC101*DailyspreadN2O)+('Mitigation drivers'!AC102*CompostN2O)+('Mitigation drivers'!AC103*ManwithbedN2O)+('Mitigation drivers'!AC104*PMwithoutlitterN2O)+('Mitigation drivers'!AC105*PMwithlitterN2O)+('Mitigation drivers'!AC107*DigesterN2OEF))/100</f>
        <v>8.9999999999999998E-4</v>
      </c>
      <c r="AI61" s="26">
        <f>(('Mitigation drivers'!AD97*LagoonN2O)+('Mitigation drivers'!AD98*LiquidN2O)+('Mitigation drivers'!AD99*DrylotN2O)+('Mitigation drivers'!AD100*SolidStorageN2O)+('Mitigation drivers'!AD101*DailyspreadN2O)+('Mitigation drivers'!AD102*CompostN2O)+('Mitigation drivers'!AD103*ManwithbedN2O)+('Mitigation drivers'!AD104*PMwithoutlitterN2O)+('Mitigation drivers'!AD105*PMwithlitterN2O)+('Mitigation drivers'!AD107*DigesterN2OEF))/100</f>
        <v>8.9999999999999998E-4</v>
      </c>
      <c r="AJ61" s="26">
        <f>(('Mitigation drivers'!AE97*LagoonN2O)+('Mitigation drivers'!AE98*LiquidN2O)+('Mitigation drivers'!AE99*DrylotN2O)+('Mitigation drivers'!AE100*SolidStorageN2O)+('Mitigation drivers'!AE101*DailyspreadN2O)+('Mitigation drivers'!AE102*CompostN2O)+('Mitigation drivers'!AE103*ManwithbedN2O)+('Mitigation drivers'!AE104*PMwithoutlitterN2O)+('Mitigation drivers'!AE105*PMwithlitterN2O)+('Mitigation drivers'!AE107*DigesterN2OEF))/100</f>
        <v>8.9999999999999998E-4</v>
      </c>
      <c r="AK61" s="26">
        <f>(('Mitigation drivers'!AF97*LagoonN2O)+('Mitigation drivers'!AF98*LiquidN2O)+('Mitigation drivers'!AF99*DrylotN2O)+('Mitigation drivers'!AF100*SolidStorageN2O)+('Mitigation drivers'!AF101*DailyspreadN2O)+('Mitigation drivers'!AF102*CompostN2O)+('Mitigation drivers'!AF103*ManwithbedN2O)+('Mitigation drivers'!AF104*PMwithoutlitterN2O)+('Mitigation drivers'!AF105*PMwithlitterN2O)+('Mitigation drivers'!AF107*DigesterN2OEF))/100</f>
        <v>8.9999999999999998E-4</v>
      </c>
      <c r="AL61" s="26">
        <f>(('Mitigation drivers'!AG97*LagoonN2O)+('Mitigation drivers'!AG98*LiquidN2O)+('Mitigation drivers'!AG99*DrylotN2O)+('Mitigation drivers'!AG100*SolidStorageN2O)+('Mitigation drivers'!AG101*DailyspreadN2O)+('Mitigation drivers'!AG102*CompostN2O)+('Mitigation drivers'!AG103*ManwithbedN2O)+('Mitigation drivers'!AG104*PMwithoutlitterN2O)+('Mitigation drivers'!AG105*PMwithlitterN2O)+('Mitigation drivers'!AG107*DigesterN2OEF))/100</f>
        <v>8.9999999999999998E-4</v>
      </c>
      <c r="AM61" s="26">
        <f>(('Mitigation drivers'!AH97*LagoonN2O)+('Mitigation drivers'!AH98*LiquidN2O)+('Mitigation drivers'!AH99*DrylotN2O)+('Mitigation drivers'!AH100*SolidStorageN2O)+('Mitigation drivers'!AH101*DailyspreadN2O)+('Mitigation drivers'!AH102*CompostN2O)+('Mitigation drivers'!AH103*ManwithbedN2O)+('Mitigation drivers'!AH104*PMwithoutlitterN2O)+('Mitigation drivers'!AH105*PMwithlitterN2O)+('Mitigation drivers'!AH107*DigesterN2OEF))/100</f>
        <v>8.9999999999999998E-4</v>
      </c>
      <c r="AN61" s="26">
        <f>(('Mitigation drivers'!AI97*LagoonN2O)+('Mitigation drivers'!AI98*LiquidN2O)+('Mitigation drivers'!AI99*DrylotN2O)+('Mitigation drivers'!AI100*SolidStorageN2O)+('Mitigation drivers'!AI101*DailyspreadN2O)+('Mitigation drivers'!AI102*CompostN2O)+('Mitigation drivers'!AI103*ManwithbedN2O)+('Mitigation drivers'!AI104*PMwithoutlitterN2O)+('Mitigation drivers'!AI105*PMwithlitterN2O)+('Mitigation drivers'!AI107*DigesterN2OEF))/100</f>
        <v>8.9999999999999998E-4</v>
      </c>
      <c r="AO61" s="26">
        <f>(('Mitigation drivers'!AJ97*LagoonN2O)+('Mitigation drivers'!AJ98*LiquidN2O)+('Mitigation drivers'!AJ99*DrylotN2O)+('Mitigation drivers'!AJ100*SolidStorageN2O)+('Mitigation drivers'!AJ101*DailyspreadN2O)+('Mitigation drivers'!AJ102*CompostN2O)+('Mitigation drivers'!AJ103*ManwithbedN2O)+('Mitigation drivers'!AJ104*PMwithoutlitterN2O)+('Mitigation drivers'!AJ105*PMwithlitterN2O)+('Mitigation drivers'!AJ107*DigesterN2OEF))/100</f>
        <v>8.9999999999999998E-4</v>
      </c>
    </row>
    <row r="62" spans="1:41" x14ac:dyDescent="0.25">
      <c r="A62" t="str">
        <f t="shared" si="5"/>
        <v>3A Livestock</v>
      </c>
      <c r="B62" t="str">
        <f t="shared" si="13"/>
        <v>3A2 Manure management (N2O)</v>
      </c>
      <c r="C62" t="str">
        <f>'Activity data'!C13</f>
        <v>3A1d Goats</v>
      </c>
      <c r="D62" t="str">
        <f>'Activity data'!D13</f>
        <v>Commercial</v>
      </c>
      <c r="E62" t="str">
        <f t="shared" si="32"/>
        <v>Manure management EF</v>
      </c>
      <c r="F62" t="str">
        <f t="shared" si="33"/>
        <v>N2O</v>
      </c>
      <c r="G62" t="str">
        <f t="shared" si="34"/>
        <v>kg N2O-N/kg Nex</v>
      </c>
      <c r="H62" s="26">
        <f>(('Mitigation drivers'!C110*LagoonN2O)+('Mitigation drivers'!C111*LiquidN2O)+('Mitigation drivers'!C112*DrylotN2O)+('Mitigation drivers'!C113*SolidStorageN2O)+('Mitigation drivers'!C114*DailyspreadN2O)+('Mitigation drivers'!C115*CompostN2O)+('Mitigation drivers'!C116*ManwithbedN2O)+('Mitigation drivers'!C117*PMwithoutlitterN2O)+('Mitigation drivers'!C118*PMwithlitterN2O)+('Mitigation drivers'!C120*DigesterN2OEF))/100</f>
        <v>2.0000000000000001E-4</v>
      </c>
      <c r="I62" s="26">
        <f>(('Mitigation drivers'!D110*LagoonN2O)+('Mitigation drivers'!D111*LiquidN2O)+('Mitigation drivers'!D112*DrylotN2O)+('Mitigation drivers'!D113*SolidStorageN2O)+('Mitigation drivers'!D114*DailyspreadN2O)+('Mitigation drivers'!D115*CompostN2O)+('Mitigation drivers'!D116*ManwithbedN2O)+('Mitigation drivers'!D117*PMwithoutlitterN2O)+('Mitigation drivers'!D118*PMwithlitterN2O)+('Mitigation drivers'!D120*DigesterN2OEF))/100</f>
        <v>2.0000000000000001E-4</v>
      </c>
      <c r="J62" s="26">
        <f>(('Mitigation drivers'!E110*LagoonN2O)+('Mitigation drivers'!E111*LiquidN2O)+('Mitigation drivers'!E112*DrylotN2O)+('Mitigation drivers'!E113*SolidStorageN2O)+('Mitigation drivers'!E114*DailyspreadN2O)+('Mitigation drivers'!E115*CompostN2O)+('Mitigation drivers'!E116*ManwithbedN2O)+('Mitigation drivers'!E117*PMwithoutlitterN2O)+('Mitigation drivers'!E118*PMwithlitterN2O)+('Mitigation drivers'!E120*DigesterN2OEF))/100</f>
        <v>2.0000000000000001E-4</v>
      </c>
      <c r="K62" s="26">
        <f>(('Mitigation drivers'!F110*LagoonN2O)+('Mitigation drivers'!F111*LiquidN2O)+('Mitigation drivers'!F112*DrylotN2O)+('Mitigation drivers'!F113*SolidStorageN2O)+('Mitigation drivers'!F114*DailyspreadN2O)+('Mitigation drivers'!F115*CompostN2O)+('Mitigation drivers'!F116*ManwithbedN2O)+('Mitigation drivers'!F117*PMwithoutlitterN2O)+('Mitigation drivers'!F118*PMwithlitterN2O)+('Mitigation drivers'!F120*DigesterN2OEF))/100</f>
        <v>2.0000000000000001E-4</v>
      </c>
      <c r="L62" s="26">
        <f>(('Mitigation drivers'!G110*LagoonN2O)+('Mitigation drivers'!G111*LiquidN2O)+('Mitigation drivers'!G112*DrylotN2O)+('Mitigation drivers'!G113*SolidStorageN2O)+('Mitigation drivers'!G114*DailyspreadN2O)+('Mitigation drivers'!G115*CompostN2O)+('Mitigation drivers'!G116*ManwithbedN2O)+('Mitigation drivers'!G117*PMwithoutlitterN2O)+('Mitigation drivers'!G118*PMwithlitterN2O)+('Mitigation drivers'!G120*DigesterN2OEF))/100</f>
        <v>2.0000000000000001E-4</v>
      </c>
      <c r="M62" s="26">
        <f>(('Mitigation drivers'!H110*LagoonN2O)+('Mitigation drivers'!H111*LiquidN2O)+('Mitigation drivers'!H112*DrylotN2O)+('Mitigation drivers'!H113*SolidStorageN2O)+('Mitigation drivers'!H114*DailyspreadN2O)+('Mitigation drivers'!H115*CompostN2O)+('Mitigation drivers'!H116*ManwithbedN2O)+('Mitigation drivers'!H117*PMwithoutlitterN2O)+('Mitigation drivers'!H118*PMwithlitterN2O)+('Mitigation drivers'!H120*DigesterN2OEF))/100</f>
        <v>2.0000000000000001E-4</v>
      </c>
      <c r="N62" s="26">
        <f>(('Mitigation drivers'!I110*LagoonN2O)+('Mitigation drivers'!I111*LiquidN2O)+('Mitigation drivers'!I112*DrylotN2O)+('Mitigation drivers'!I113*SolidStorageN2O)+('Mitigation drivers'!I114*DailyspreadN2O)+('Mitigation drivers'!I115*CompostN2O)+('Mitigation drivers'!I116*ManwithbedN2O)+('Mitigation drivers'!I117*PMwithoutlitterN2O)+('Mitigation drivers'!I118*PMwithlitterN2O)+('Mitigation drivers'!I120*DigesterN2OEF))/100</f>
        <v>2.0000000000000001E-4</v>
      </c>
      <c r="O62" s="26">
        <f>(('Mitigation drivers'!J110*LagoonN2O)+('Mitigation drivers'!J111*LiquidN2O)+('Mitigation drivers'!J112*DrylotN2O)+('Mitigation drivers'!J113*SolidStorageN2O)+('Mitigation drivers'!J114*DailyspreadN2O)+('Mitigation drivers'!J115*CompostN2O)+('Mitigation drivers'!J116*ManwithbedN2O)+('Mitigation drivers'!J117*PMwithoutlitterN2O)+('Mitigation drivers'!J118*PMwithlitterN2O)+('Mitigation drivers'!J120*DigesterN2OEF))/100</f>
        <v>2.0000000000000001E-4</v>
      </c>
      <c r="P62" s="26">
        <f>(('Mitigation drivers'!K110*LagoonN2O)+('Mitigation drivers'!K111*LiquidN2O)+('Mitigation drivers'!K112*DrylotN2O)+('Mitigation drivers'!K113*SolidStorageN2O)+('Mitigation drivers'!K114*DailyspreadN2O)+('Mitigation drivers'!K115*CompostN2O)+('Mitigation drivers'!K116*ManwithbedN2O)+('Mitigation drivers'!K117*PMwithoutlitterN2O)+('Mitigation drivers'!K118*PMwithlitterN2O)+('Mitigation drivers'!K120*DigesterN2OEF))/100</f>
        <v>2.0000000000000001E-4</v>
      </c>
      <c r="Q62" s="26">
        <f>(('Mitigation drivers'!L110*LagoonN2O)+('Mitigation drivers'!L111*LiquidN2O)+('Mitigation drivers'!L112*DrylotN2O)+('Mitigation drivers'!L113*SolidStorageN2O)+('Mitigation drivers'!L114*DailyspreadN2O)+('Mitigation drivers'!L115*CompostN2O)+('Mitigation drivers'!L116*ManwithbedN2O)+('Mitigation drivers'!L117*PMwithoutlitterN2O)+('Mitigation drivers'!L118*PMwithlitterN2O)+('Mitigation drivers'!L120*DigesterN2OEF))/100</f>
        <v>2.0000000000000001E-4</v>
      </c>
      <c r="R62" s="26">
        <f>(('Mitigation drivers'!M110*LagoonN2O)+('Mitigation drivers'!M111*LiquidN2O)+('Mitigation drivers'!M112*DrylotN2O)+('Mitigation drivers'!M113*SolidStorageN2O)+('Mitigation drivers'!M114*DailyspreadN2O)+('Mitigation drivers'!M115*CompostN2O)+('Mitigation drivers'!M116*ManwithbedN2O)+('Mitigation drivers'!M117*PMwithoutlitterN2O)+('Mitigation drivers'!M118*PMwithlitterN2O)+('Mitigation drivers'!M120*DigesterN2OEF))/100</f>
        <v>2.0000000000000001E-4</v>
      </c>
      <c r="S62" s="26">
        <f>(('Mitigation drivers'!N110*LagoonN2O)+('Mitigation drivers'!N111*LiquidN2O)+('Mitigation drivers'!N112*DrylotN2O)+('Mitigation drivers'!N113*SolidStorageN2O)+('Mitigation drivers'!N114*DailyspreadN2O)+('Mitigation drivers'!N115*CompostN2O)+('Mitigation drivers'!N116*ManwithbedN2O)+('Mitigation drivers'!N117*PMwithoutlitterN2O)+('Mitigation drivers'!N118*PMwithlitterN2O)+('Mitigation drivers'!N120*DigesterN2OEF))/100</f>
        <v>2.0000000000000001E-4</v>
      </c>
      <c r="T62" s="26">
        <f>(('Mitigation drivers'!O110*LagoonN2O)+('Mitigation drivers'!O111*LiquidN2O)+('Mitigation drivers'!O112*DrylotN2O)+('Mitigation drivers'!O113*SolidStorageN2O)+('Mitigation drivers'!O114*DailyspreadN2O)+('Mitigation drivers'!O115*CompostN2O)+('Mitigation drivers'!O116*ManwithbedN2O)+('Mitigation drivers'!O117*PMwithoutlitterN2O)+('Mitigation drivers'!O118*PMwithlitterN2O)+('Mitigation drivers'!O120*DigesterN2OEF))/100</f>
        <v>2.0000000000000001E-4</v>
      </c>
      <c r="U62" s="26">
        <f>(('Mitigation drivers'!P110*LagoonN2O)+('Mitigation drivers'!P111*LiquidN2O)+('Mitigation drivers'!P112*DrylotN2O)+('Mitigation drivers'!P113*SolidStorageN2O)+('Mitigation drivers'!P114*DailyspreadN2O)+('Mitigation drivers'!P115*CompostN2O)+('Mitigation drivers'!P116*ManwithbedN2O)+('Mitigation drivers'!P117*PMwithoutlitterN2O)+('Mitigation drivers'!P118*PMwithlitterN2O)+('Mitigation drivers'!P120*DigesterN2OEF))/100</f>
        <v>2.0000000000000001E-4</v>
      </c>
      <c r="V62" s="26">
        <f>(('Mitigation drivers'!Q110*LagoonN2O)+('Mitigation drivers'!Q111*LiquidN2O)+('Mitigation drivers'!Q112*DrylotN2O)+('Mitigation drivers'!Q113*SolidStorageN2O)+('Mitigation drivers'!Q114*DailyspreadN2O)+('Mitigation drivers'!Q115*CompostN2O)+('Mitigation drivers'!Q116*ManwithbedN2O)+('Mitigation drivers'!Q117*PMwithoutlitterN2O)+('Mitigation drivers'!Q118*PMwithlitterN2O)+('Mitigation drivers'!Q120*DigesterN2OEF))/100</f>
        <v>2.0000000000000001E-4</v>
      </c>
      <c r="W62" s="26">
        <f>(('Mitigation drivers'!R110*LagoonN2O)+('Mitigation drivers'!R111*LiquidN2O)+('Mitigation drivers'!R112*DrylotN2O)+('Mitigation drivers'!R113*SolidStorageN2O)+('Mitigation drivers'!R114*DailyspreadN2O)+('Mitigation drivers'!R115*CompostN2O)+('Mitigation drivers'!R116*ManwithbedN2O)+('Mitigation drivers'!R117*PMwithoutlitterN2O)+('Mitigation drivers'!R118*PMwithlitterN2O)+('Mitigation drivers'!R120*DigesterN2OEF))/100</f>
        <v>2.0000000000000001E-4</v>
      </c>
      <c r="X62" s="26">
        <f>(('Mitigation drivers'!S110*LagoonN2O)+('Mitigation drivers'!S111*LiquidN2O)+('Mitigation drivers'!S112*DrylotN2O)+('Mitigation drivers'!S113*SolidStorageN2O)+('Mitigation drivers'!S114*DailyspreadN2O)+('Mitigation drivers'!S115*CompostN2O)+('Mitigation drivers'!S116*ManwithbedN2O)+('Mitigation drivers'!S117*PMwithoutlitterN2O)+('Mitigation drivers'!S118*PMwithlitterN2O)+('Mitigation drivers'!S120*DigesterN2OEF))/100</f>
        <v>2.0000000000000001E-4</v>
      </c>
      <c r="Y62" s="26">
        <f>(('Mitigation drivers'!T110*LagoonN2O)+('Mitigation drivers'!T111*LiquidN2O)+('Mitigation drivers'!T112*DrylotN2O)+('Mitigation drivers'!T113*SolidStorageN2O)+('Mitigation drivers'!T114*DailyspreadN2O)+('Mitigation drivers'!T115*CompostN2O)+('Mitigation drivers'!T116*ManwithbedN2O)+('Mitigation drivers'!T117*PMwithoutlitterN2O)+('Mitigation drivers'!T118*PMwithlitterN2O)+('Mitigation drivers'!T120*DigesterN2OEF))/100</f>
        <v>2.0000000000000001E-4</v>
      </c>
      <c r="Z62" s="26">
        <f>(('Mitigation drivers'!U110*LagoonN2O)+('Mitigation drivers'!U111*LiquidN2O)+('Mitigation drivers'!U112*DrylotN2O)+('Mitigation drivers'!U113*SolidStorageN2O)+('Mitigation drivers'!U114*DailyspreadN2O)+('Mitigation drivers'!U115*CompostN2O)+('Mitigation drivers'!U116*ManwithbedN2O)+('Mitigation drivers'!U117*PMwithoutlitterN2O)+('Mitigation drivers'!U118*PMwithlitterN2O)+('Mitigation drivers'!U120*DigesterN2OEF))/100</f>
        <v>2.0000000000000001E-4</v>
      </c>
      <c r="AA62" s="26">
        <f>(('Mitigation drivers'!V110*LagoonN2O)+('Mitigation drivers'!V111*LiquidN2O)+('Mitigation drivers'!V112*DrylotN2O)+('Mitigation drivers'!V113*SolidStorageN2O)+('Mitigation drivers'!V114*DailyspreadN2O)+('Mitigation drivers'!V115*CompostN2O)+('Mitigation drivers'!V116*ManwithbedN2O)+('Mitigation drivers'!V117*PMwithoutlitterN2O)+('Mitigation drivers'!V118*PMwithlitterN2O)+('Mitigation drivers'!V120*DigesterN2OEF))/100</f>
        <v>2.0000000000000001E-4</v>
      </c>
      <c r="AB62" s="26">
        <f>(('Mitigation drivers'!W110*LagoonN2O)+('Mitigation drivers'!W111*LiquidN2O)+('Mitigation drivers'!W112*DrylotN2O)+('Mitigation drivers'!W113*SolidStorageN2O)+('Mitigation drivers'!W114*DailyspreadN2O)+('Mitigation drivers'!W115*CompostN2O)+('Mitigation drivers'!W116*ManwithbedN2O)+('Mitigation drivers'!W117*PMwithoutlitterN2O)+('Mitigation drivers'!W118*PMwithlitterN2O)+('Mitigation drivers'!W120*DigesterN2OEF))/100</f>
        <v>2.0000000000000001E-4</v>
      </c>
      <c r="AC62" s="26">
        <f>(('Mitigation drivers'!X110*LagoonN2O)+('Mitigation drivers'!X111*LiquidN2O)+('Mitigation drivers'!X112*DrylotN2O)+('Mitigation drivers'!X113*SolidStorageN2O)+('Mitigation drivers'!X114*DailyspreadN2O)+('Mitigation drivers'!X115*CompostN2O)+('Mitigation drivers'!X116*ManwithbedN2O)+('Mitigation drivers'!X117*PMwithoutlitterN2O)+('Mitigation drivers'!X118*PMwithlitterN2O)+('Mitigation drivers'!X120*DigesterN2OEF))/100</f>
        <v>2.0000000000000001E-4</v>
      </c>
      <c r="AD62" s="26">
        <f>(('Mitigation drivers'!Y110*LagoonN2O)+('Mitigation drivers'!Y111*LiquidN2O)+('Mitigation drivers'!Y112*DrylotN2O)+('Mitigation drivers'!Y113*SolidStorageN2O)+('Mitigation drivers'!Y114*DailyspreadN2O)+('Mitigation drivers'!Y115*CompostN2O)+('Mitigation drivers'!Y116*ManwithbedN2O)+('Mitigation drivers'!Y117*PMwithoutlitterN2O)+('Mitigation drivers'!Y118*PMwithlitterN2O)+('Mitigation drivers'!Y120*DigesterN2OEF))/100</f>
        <v>2.0000000000000001E-4</v>
      </c>
      <c r="AE62" s="26">
        <f>(('Mitigation drivers'!Z110*LagoonN2O)+('Mitigation drivers'!Z111*LiquidN2O)+('Mitigation drivers'!Z112*DrylotN2O)+('Mitigation drivers'!Z113*SolidStorageN2O)+('Mitigation drivers'!Z114*DailyspreadN2O)+('Mitigation drivers'!Z115*CompostN2O)+('Mitigation drivers'!Z116*ManwithbedN2O)+('Mitigation drivers'!Z117*PMwithoutlitterN2O)+('Mitigation drivers'!Z118*PMwithlitterN2O)+('Mitigation drivers'!Z120*DigesterN2OEF))/100</f>
        <v>2.0000000000000001E-4</v>
      </c>
      <c r="AF62" s="26">
        <f>(('Mitigation drivers'!AA110*LagoonN2O)+('Mitigation drivers'!AA111*LiquidN2O)+('Mitigation drivers'!AA112*DrylotN2O)+('Mitigation drivers'!AA113*SolidStorageN2O)+('Mitigation drivers'!AA114*DailyspreadN2O)+('Mitigation drivers'!AA115*CompostN2O)+('Mitigation drivers'!AA116*ManwithbedN2O)+('Mitigation drivers'!AA117*PMwithoutlitterN2O)+('Mitigation drivers'!AA118*PMwithlitterN2O)+('Mitigation drivers'!AA120*DigesterN2OEF))/100</f>
        <v>2.0000000000000001E-4</v>
      </c>
      <c r="AG62" s="26">
        <f>(('Mitigation drivers'!AB110*LagoonN2O)+('Mitigation drivers'!AB111*LiquidN2O)+('Mitigation drivers'!AB112*DrylotN2O)+('Mitigation drivers'!AB113*SolidStorageN2O)+('Mitigation drivers'!AB114*DailyspreadN2O)+('Mitigation drivers'!AB115*CompostN2O)+('Mitigation drivers'!AB116*ManwithbedN2O)+('Mitigation drivers'!AB117*PMwithoutlitterN2O)+('Mitigation drivers'!AB118*PMwithlitterN2O)+('Mitigation drivers'!AB120*DigesterN2OEF))/100</f>
        <v>2.0000000000000001E-4</v>
      </c>
      <c r="AH62" s="26">
        <f>(('Mitigation drivers'!AC110*LagoonN2O)+('Mitigation drivers'!AC111*LiquidN2O)+('Mitigation drivers'!AC112*DrylotN2O)+('Mitigation drivers'!AC113*SolidStorageN2O)+('Mitigation drivers'!AC114*DailyspreadN2O)+('Mitigation drivers'!AC115*CompostN2O)+('Mitigation drivers'!AC116*ManwithbedN2O)+('Mitigation drivers'!AC117*PMwithoutlitterN2O)+('Mitigation drivers'!AC118*PMwithlitterN2O)+('Mitigation drivers'!AC120*DigesterN2OEF))/100</f>
        <v>2.0000000000000001E-4</v>
      </c>
      <c r="AI62" s="26">
        <f>(('Mitigation drivers'!AD110*LagoonN2O)+('Mitigation drivers'!AD111*LiquidN2O)+('Mitigation drivers'!AD112*DrylotN2O)+('Mitigation drivers'!AD113*SolidStorageN2O)+('Mitigation drivers'!AD114*DailyspreadN2O)+('Mitigation drivers'!AD115*CompostN2O)+('Mitigation drivers'!AD116*ManwithbedN2O)+('Mitigation drivers'!AD117*PMwithoutlitterN2O)+('Mitigation drivers'!AD118*PMwithlitterN2O)+('Mitigation drivers'!AD120*DigesterN2OEF))/100</f>
        <v>2.0000000000000001E-4</v>
      </c>
      <c r="AJ62" s="26">
        <f>(('Mitigation drivers'!AE110*LagoonN2O)+('Mitigation drivers'!AE111*LiquidN2O)+('Mitigation drivers'!AE112*DrylotN2O)+('Mitigation drivers'!AE113*SolidStorageN2O)+('Mitigation drivers'!AE114*DailyspreadN2O)+('Mitigation drivers'!AE115*CompostN2O)+('Mitigation drivers'!AE116*ManwithbedN2O)+('Mitigation drivers'!AE117*PMwithoutlitterN2O)+('Mitigation drivers'!AE118*PMwithlitterN2O)+('Mitigation drivers'!AE120*DigesterN2OEF))/100</f>
        <v>2.0000000000000001E-4</v>
      </c>
      <c r="AK62" s="26">
        <f>(('Mitigation drivers'!AF110*LagoonN2O)+('Mitigation drivers'!AF111*LiquidN2O)+('Mitigation drivers'!AF112*DrylotN2O)+('Mitigation drivers'!AF113*SolidStorageN2O)+('Mitigation drivers'!AF114*DailyspreadN2O)+('Mitigation drivers'!AF115*CompostN2O)+('Mitigation drivers'!AF116*ManwithbedN2O)+('Mitigation drivers'!AF117*PMwithoutlitterN2O)+('Mitigation drivers'!AF118*PMwithlitterN2O)+('Mitigation drivers'!AF120*DigesterN2OEF))/100</f>
        <v>2.0000000000000001E-4</v>
      </c>
      <c r="AL62" s="26">
        <f>(('Mitigation drivers'!AG110*LagoonN2O)+('Mitigation drivers'!AG111*LiquidN2O)+('Mitigation drivers'!AG112*DrylotN2O)+('Mitigation drivers'!AG113*SolidStorageN2O)+('Mitigation drivers'!AG114*DailyspreadN2O)+('Mitigation drivers'!AG115*CompostN2O)+('Mitigation drivers'!AG116*ManwithbedN2O)+('Mitigation drivers'!AG117*PMwithoutlitterN2O)+('Mitigation drivers'!AG118*PMwithlitterN2O)+('Mitigation drivers'!AG120*DigesterN2OEF))/100</f>
        <v>2.0000000000000001E-4</v>
      </c>
      <c r="AM62" s="26">
        <f>(('Mitigation drivers'!AH110*LagoonN2O)+('Mitigation drivers'!AH111*LiquidN2O)+('Mitigation drivers'!AH112*DrylotN2O)+('Mitigation drivers'!AH113*SolidStorageN2O)+('Mitigation drivers'!AH114*DailyspreadN2O)+('Mitigation drivers'!AH115*CompostN2O)+('Mitigation drivers'!AH116*ManwithbedN2O)+('Mitigation drivers'!AH117*PMwithoutlitterN2O)+('Mitigation drivers'!AH118*PMwithlitterN2O)+('Mitigation drivers'!AH120*DigesterN2OEF))/100</f>
        <v>2.0000000000000001E-4</v>
      </c>
      <c r="AN62" s="26">
        <f>(('Mitigation drivers'!AI110*LagoonN2O)+('Mitigation drivers'!AI111*LiquidN2O)+('Mitigation drivers'!AI112*DrylotN2O)+('Mitigation drivers'!AI113*SolidStorageN2O)+('Mitigation drivers'!AI114*DailyspreadN2O)+('Mitigation drivers'!AI115*CompostN2O)+('Mitigation drivers'!AI116*ManwithbedN2O)+('Mitigation drivers'!AI117*PMwithoutlitterN2O)+('Mitigation drivers'!AI118*PMwithlitterN2O)+('Mitigation drivers'!AI120*DigesterN2OEF))/100</f>
        <v>2.0000000000000001E-4</v>
      </c>
      <c r="AO62" s="26">
        <f>(('Mitigation drivers'!AJ110*LagoonN2O)+('Mitigation drivers'!AJ111*LiquidN2O)+('Mitigation drivers'!AJ112*DrylotN2O)+('Mitigation drivers'!AJ113*SolidStorageN2O)+('Mitigation drivers'!AJ114*DailyspreadN2O)+('Mitigation drivers'!AJ115*CompostN2O)+('Mitigation drivers'!AJ116*ManwithbedN2O)+('Mitigation drivers'!AJ117*PMwithoutlitterN2O)+('Mitigation drivers'!AJ118*PMwithlitterN2O)+('Mitigation drivers'!AJ120*DigesterN2OEF))/100</f>
        <v>2.0000000000000001E-4</v>
      </c>
    </row>
    <row r="63" spans="1:41" x14ac:dyDescent="0.25">
      <c r="A63" t="str">
        <f t="shared" si="5"/>
        <v>3A Livestock</v>
      </c>
      <c r="B63" t="str">
        <f t="shared" si="13"/>
        <v>3A2 Manure management (N2O)</v>
      </c>
      <c r="C63" t="str">
        <f>'Activity data'!C14</f>
        <v>3A1d Goats</v>
      </c>
      <c r="D63" t="str">
        <f>'Activity data'!D14</f>
        <v>Subsistence</v>
      </c>
      <c r="E63" t="str">
        <f t="shared" si="32"/>
        <v>Manure management EF</v>
      </c>
      <c r="F63" t="str">
        <f t="shared" si="33"/>
        <v>N2O</v>
      </c>
      <c r="G63" t="str">
        <f t="shared" si="34"/>
        <v>kg N2O-N/kg Nex</v>
      </c>
      <c r="H63" s="26">
        <f>(('Mitigation drivers'!C122*LagoonN2O)+('Mitigation drivers'!C123*LiquidN2O)+('Mitigation drivers'!C124*DrylotN2O)+('Mitigation drivers'!C125*SolidStorageN2O)+('Mitigation drivers'!C126*DailyspreadN2O)+('Mitigation drivers'!C127*CompostN2O)+('Mitigation drivers'!C128*ManwithbedN2O)+('Mitigation drivers'!C129*PMwithoutlitterN2O)+('Mitigation drivers'!C130*PMwithlitterN2O)+('Mitigation drivers'!C132*DigesterN2OEF))/100</f>
        <v>8.9999999999999998E-4</v>
      </c>
      <c r="I63" s="26">
        <f>(('Mitigation drivers'!D122*LagoonN2O)+('Mitigation drivers'!D123*LiquidN2O)+('Mitigation drivers'!D124*DrylotN2O)+('Mitigation drivers'!D125*SolidStorageN2O)+('Mitigation drivers'!D126*DailyspreadN2O)+('Mitigation drivers'!D127*CompostN2O)+('Mitigation drivers'!D128*ManwithbedN2O)+('Mitigation drivers'!D129*PMwithoutlitterN2O)+('Mitigation drivers'!D130*PMwithlitterN2O)+('Mitigation drivers'!D132*DigesterN2OEF))/100</f>
        <v>8.9999999999999998E-4</v>
      </c>
      <c r="J63" s="26">
        <f>(('Mitigation drivers'!E122*LagoonN2O)+('Mitigation drivers'!E123*LiquidN2O)+('Mitigation drivers'!E124*DrylotN2O)+('Mitigation drivers'!E125*SolidStorageN2O)+('Mitigation drivers'!E126*DailyspreadN2O)+('Mitigation drivers'!E127*CompostN2O)+('Mitigation drivers'!E128*ManwithbedN2O)+('Mitigation drivers'!E129*PMwithoutlitterN2O)+('Mitigation drivers'!E130*PMwithlitterN2O)+('Mitigation drivers'!E132*DigesterN2OEF))/100</f>
        <v>8.9999999999999998E-4</v>
      </c>
      <c r="K63" s="26">
        <f>(('Mitigation drivers'!F122*LagoonN2O)+('Mitigation drivers'!F123*LiquidN2O)+('Mitigation drivers'!F124*DrylotN2O)+('Mitigation drivers'!F125*SolidStorageN2O)+('Mitigation drivers'!F126*DailyspreadN2O)+('Mitigation drivers'!F127*CompostN2O)+('Mitigation drivers'!F128*ManwithbedN2O)+('Mitigation drivers'!F129*PMwithoutlitterN2O)+('Mitigation drivers'!F130*PMwithlitterN2O)+('Mitigation drivers'!F132*DigesterN2OEF))/100</f>
        <v>8.9999999999999998E-4</v>
      </c>
      <c r="L63" s="26">
        <f>(('Mitigation drivers'!G122*LagoonN2O)+('Mitigation drivers'!G123*LiquidN2O)+('Mitigation drivers'!G124*DrylotN2O)+('Mitigation drivers'!G125*SolidStorageN2O)+('Mitigation drivers'!G126*DailyspreadN2O)+('Mitigation drivers'!G127*CompostN2O)+('Mitigation drivers'!G128*ManwithbedN2O)+('Mitigation drivers'!G129*PMwithoutlitterN2O)+('Mitigation drivers'!G130*PMwithlitterN2O)+('Mitigation drivers'!G132*DigesterN2OEF))/100</f>
        <v>8.9999999999999998E-4</v>
      </c>
      <c r="M63" s="26">
        <f>(('Mitigation drivers'!H122*LagoonN2O)+('Mitigation drivers'!H123*LiquidN2O)+('Mitigation drivers'!H124*DrylotN2O)+('Mitigation drivers'!H125*SolidStorageN2O)+('Mitigation drivers'!H126*DailyspreadN2O)+('Mitigation drivers'!H127*CompostN2O)+('Mitigation drivers'!H128*ManwithbedN2O)+('Mitigation drivers'!H129*PMwithoutlitterN2O)+('Mitigation drivers'!H130*PMwithlitterN2O)+('Mitigation drivers'!H132*DigesterN2OEF))/100</f>
        <v>8.9999999999999998E-4</v>
      </c>
      <c r="N63" s="26">
        <f>(('Mitigation drivers'!I122*LagoonN2O)+('Mitigation drivers'!I123*LiquidN2O)+('Mitigation drivers'!I124*DrylotN2O)+('Mitigation drivers'!I125*SolidStorageN2O)+('Mitigation drivers'!I126*DailyspreadN2O)+('Mitigation drivers'!I127*CompostN2O)+('Mitigation drivers'!I128*ManwithbedN2O)+('Mitigation drivers'!I129*PMwithoutlitterN2O)+('Mitigation drivers'!I130*PMwithlitterN2O)+('Mitigation drivers'!I132*DigesterN2OEF))/100</f>
        <v>8.9999999999999998E-4</v>
      </c>
      <c r="O63" s="26">
        <f>(('Mitigation drivers'!J122*LagoonN2O)+('Mitigation drivers'!J123*LiquidN2O)+('Mitigation drivers'!J124*DrylotN2O)+('Mitigation drivers'!J125*SolidStorageN2O)+('Mitigation drivers'!J126*DailyspreadN2O)+('Mitigation drivers'!J127*CompostN2O)+('Mitigation drivers'!J128*ManwithbedN2O)+('Mitigation drivers'!J129*PMwithoutlitterN2O)+('Mitigation drivers'!J130*PMwithlitterN2O)+('Mitigation drivers'!J132*DigesterN2OEF))/100</f>
        <v>8.9999999999999998E-4</v>
      </c>
      <c r="P63" s="26">
        <f>(('Mitigation drivers'!K122*LagoonN2O)+('Mitigation drivers'!K123*LiquidN2O)+('Mitigation drivers'!K124*DrylotN2O)+('Mitigation drivers'!K125*SolidStorageN2O)+('Mitigation drivers'!K126*DailyspreadN2O)+('Mitigation drivers'!K127*CompostN2O)+('Mitigation drivers'!K128*ManwithbedN2O)+('Mitigation drivers'!K129*PMwithoutlitterN2O)+('Mitigation drivers'!K130*PMwithlitterN2O)+('Mitigation drivers'!K132*DigesterN2OEF))/100</f>
        <v>8.9999999999999998E-4</v>
      </c>
      <c r="Q63" s="26">
        <f>(('Mitigation drivers'!L122*LagoonN2O)+('Mitigation drivers'!L123*LiquidN2O)+('Mitigation drivers'!L124*DrylotN2O)+('Mitigation drivers'!L125*SolidStorageN2O)+('Mitigation drivers'!L126*DailyspreadN2O)+('Mitigation drivers'!L127*CompostN2O)+('Mitigation drivers'!L128*ManwithbedN2O)+('Mitigation drivers'!L129*PMwithoutlitterN2O)+('Mitigation drivers'!L130*PMwithlitterN2O)+('Mitigation drivers'!L132*DigesterN2OEF))/100</f>
        <v>8.9999999999999998E-4</v>
      </c>
      <c r="R63" s="26">
        <f>(('Mitigation drivers'!M122*LagoonN2O)+('Mitigation drivers'!M123*LiquidN2O)+('Mitigation drivers'!M124*DrylotN2O)+('Mitigation drivers'!M125*SolidStorageN2O)+('Mitigation drivers'!M126*DailyspreadN2O)+('Mitigation drivers'!M127*CompostN2O)+('Mitigation drivers'!M128*ManwithbedN2O)+('Mitigation drivers'!M129*PMwithoutlitterN2O)+('Mitigation drivers'!M130*PMwithlitterN2O)+('Mitigation drivers'!M132*DigesterN2OEF))/100</f>
        <v>8.9999999999999998E-4</v>
      </c>
      <c r="S63" s="26">
        <f>(('Mitigation drivers'!N122*LagoonN2O)+('Mitigation drivers'!N123*LiquidN2O)+('Mitigation drivers'!N124*DrylotN2O)+('Mitigation drivers'!N125*SolidStorageN2O)+('Mitigation drivers'!N126*DailyspreadN2O)+('Mitigation drivers'!N127*CompostN2O)+('Mitigation drivers'!N128*ManwithbedN2O)+('Mitigation drivers'!N129*PMwithoutlitterN2O)+('Mitigation drivers'!N130*PMwithlitterN2O)+('Mitigation drivers'!N132*DigesterN2OEF))/100</f>
        <v>8.9999999999999998E-4</v>
      </c>
      <c r="T63" s="26">
        <f>(('Mitigation drivers'!O122*LagoonN2O)+('Mitigation drivers'!O123*LiquidN2O)+('Mitigation drivers'!O124*DrylotN2O)+('Mitigation drivers'!O125*SolidStorageN2O)+('Mitigation drivers'!O126*DailyspreadN2O)+('Mitigation drivers'!O127*CompostN2O)+('Mitigation drivers'!O128*ManwithbedN2O)+('Mitigation drivers'!O129*PMwithoutlitterN2O)+('Mitigation drivers'!O130*PMwithlitterN2O)+('Mitigation drivers'!O132*DigesterN2OEF))/100</f>
        <v>8.9999999999999998E-4</v>
      </c>
      <c r="U63" s="26">
        <f>(('Mitigation drivers'!P122*LagoonN2O)+('Mitigation drivers'!P123*LiquidN2O)+('Mitigation drivers'!P124*DrylotN2O)+('Mitigation drivers'!P125*SolidStorageN2O)+('Mitigation drivers'!P126*DailyspreadN2O)+('Mitigation drivers'!P127*CompostN2O)+('Mitigation drivers'!P128*ManwithbedN2O)+('Mitigation drivers'!P129*PMwithoutlitterN2O)+('Mitigation drivers'!P130*PMwithlitterN2O)+('Mitigation drivers'!P132*DigesterN2OEF))/100</f>
        <v>8.9999999999999998E-4</v>
      </c>
      <c r="V63" s="26">
        <f>(('Mitigation drivers'!Q122*LagoonN2O)+('Mitigation drivers'!Q123*LiquidN2O)+('Mitigation drivers'!Q124*DrylotN2O)+('Mitigation drivers'!Q125*SolidStorageN2O)+('Mitigation drivers'!Q126*DailyspreadN2O)+('Mitigation drivers'!Q127*CompostN2O)+('Mitigation drivers'!Q128*ManwithbedN2O)+('Mitigation drivers'!Q129*PMwithoutlitterN2O)+('Mitigation drivers'!Q130*PMwithlitterN2O)+('Mitigation drivers'!Q132*DigesterN2OEF))/100</f>
        <v>8.9999999999999998E-4</v>
      </c>
      <c r="W63" s="26">
        <f>(('Mitigation drivers'!R122*LagoonN2O)+('Mitigation drivers'!R123*LiquidN2O)+('Mitigation drivers'!R124*DrylotN2O)+('Mitigation drivers'!R125*SolidStorageN2O)+('Mitigation drivers'!R126*DailyspreadN2O)+('Mitigation drivers'!R127*CompostN2O)+('Mitigation drivers'!R128*ManwithbedN2O)+('Mitigation drivers'!R129*PMwithoutlitterN2O)+('Mitigation drivers'!R130*PMwithlitterN2O)+('Mitigation drivers'!R132*DigesterN2OEF))/100</f>
        <v>8.9999999999999998E-4</v>
      </c>
      <c r="X63" s="26">
        <f>(('Mitigation drivers'!S122*LagoonN2O)+('Mitigation drivers'!S123*LiquidN2O)+('Mitigation drivers'!S124*DrylotN2O)+('Mitigation drivers'!S125*SolidStorageN2O)+('Mitigation drivers'!S126*DailyspreadN2O)+('Mitigation drivers'!S127*CompostN2O)+('Mitigation drivers'!S128*ManwithbedN2O)+('Mitigation drivers'!S129*PMwithoutlitterN2O)+('Mitigation drivers'!S130*PMwithlitterN2O)+('Mitigation drivers'!S132*DigesterN2OEF))/100</f>
        <v>8.9999999999999998E-4</v>
      </c>
      <c r="Y63" s="26">
        <f>(('Mitigation drivers'!T122*LagoonN2O)+('Mitigation drivers'!T123*LiquidN2O)+('Mitigation drivers'!T124*DrylotN2O)+('Mitigation drivers'!T125*SolidStorageN2O)+('Mitigation drivers'!T126*DailyspreadN2O)+('Mitigation drivers'!T127*CompostN2O)+('Mitigation drivers'!T128*ManwithbedN2O)+('Mitigation drivers'!T129*PMwithoutlitterN2O)+('Mitigation drivers'!T130*PMwithlitterN2O)+('Mitigation drivers'!T132*DigesterN2OEF))/100</f>
        <v>8.9999999999999998E-4</v>
      </c>
      <c r="Z63" s="26">
        <f>(('Mitigation drivers'!U122*LagoonN2O)+('Mitigation drivers'!U123*LiquidN2O)+('Mitigation drivers'!U124*DrylotN2O)+('Mitigation drivers'!U125*SolidStorageN2O)+('Mitigation drivers'!U126*DailyspreadN2O)+('Mitigation drivers'!U127*CompostN2O)+('Mitigation drivers'!U128*ManwithbedN2O)+('Mitigation drivers'!U129*PMwithoutlitterN2O)+('Mitigation drivers'!U130*PMwithlitterN2O)+('Mitigation drivers'!U132*DigesterN2OEF))/100</f>
        <v>8.9999999999999998E-4</v>
      </c>
      <c r="AA63" s="26">
        <f>(('Mitigation drivers'!V122*LagoonN2O)+('Mitigation drivers'!V123*LiquidN2O)+('Mitigation drivers'!V124*DrylotN2O)+('Mitigation drivers'!V125*SolidStorageN2O)+('Mitigation drivers'!V126*DailyspreadN2O)+('Mitigation drivers'!V127*CompostN2O)+('Mitigation drivers'!V128*ManwithbedN2O)+('Mitigation drivers'!V129*PMwithoutlitterN2O)+('Mitigation drivers'!V130*PMwithlitterN2O)+('Mitigation drivers'!V132*DigesterN2OEF))/100</f>
        <v>8.9999999999999998E-4</v>
      </c>
      <c r="AB63" s="26">
        <f>(('Mitigation drivers'!W122*LagoonN2O)+('Mitigation drivers'!W123*LiquidN2O)+('Mitigation drivers'!W124*DrylotN2O)+('Mitigation drivers'!W125*SolidStorageN2O)+('Mitigation drivers'!W126*DailyspreadN2O)+('Mitigation drivers'!W127*CompostN2O)+('Mitigation drivers'!W128*ManwithbedN2O)+('Mitigation drivers'!W129*PMwithoutlitterN2O)+('Mitigation drivers'!W130*PMwithlitterN2O)+('Mitigation drivers'!W132*DigesterN2OEF))/100</f>
        <v>8.9999999999999998E-4</v>
      </c>
      <c r="AC63" s="26">
        <f>(('Mitigation drivers'!X122*LagoonN2O)+('Mitigation drivers'!X123*LiquidN2O)+('Mitigation drivers'!X124*DrylotN2O)+('Mitigation drivers'!X125*SolidStorageN2O)+('Mitigation drivers'!X126*DailyspreadN2O)+('Mitigation drivers'!X127*CompostN2O)+('Mitigation drivers'!X128*ManwithbedN2O)+('Mitigation drivers'!X129*PMwithoutlitterN2O)+('Mitigation drivers'!X130*PMwithlitterN2O)+('Mitigation drivers'!X132*DigesterN2OEF))/100</f>
        <v>8.9999999999999998E-4</v>
      </c>
      <c r="AD63" s="26">
        <f>(('Mitigation drivers'!Y122*LagoonN2O)+('Mitigation drivers'!Y123*LiquidN2O)+('Mitigation drivers'!Y124*DrylotN2O)+('Mitigation drivers'!Y125*SolidStorageN2O)+('Mitigation drivers'!Y126*DailyspreadN2O)+('Mitigation drivers'!Y127*CompostN2O)+('Mitigation drivers'!Y128*ManwithbedN2O)+('Mitigation drivers'!Y129*PMwithoutlitterN2O)+('Mitigation drivers'!Y130*PMwithlitterN2O)+('Mitigation drivers'!Y132*DigesterN2OEF))/100</f>
        <v>8.9999999999999998E-4</v>
      </c>
      <c r="AE63" s="26">
        <f>(('Mitigation drivers'!Z122*LagoonN2O)+('Mitigation drivers'!Z123*LiquidN2O)+('Mitigation drivers'!Z124*DrylotN2O)+('Mitigation drivers'!Z125*SolidStorageN2O)+('Mitigation drivers'!Z126*DailyspreadN2O)+('Mitigation drivers'!Z127*CompostN2O)+('Mitigation drivers'!Z128*ManwithbedN2O)+('Mitigation drivers'!Z129*PMwithoutlitterN2O)+('Mitigation drivers'!Z130*PMwithlitterN2O)+('Mitigation drivers'!Z132*DigesterN2OEF))/100</f>
        <v>8.9999999999999998E-4</v>
      </c>
      <c r="AF63" s="26">
        <f>(('Mitigation drivers'!AA122*LagoonN2O)+('Mitigation drivers'!AA123*LiquidN2O)+('Mitigation drivers'!AA124*DrylotN2O)+('Mitigation drivers'!AA125*SolidStorageN2O)+('Mitigation drivers'!AA126*DailyspreadN2O)+('Mitigation drivers'!AA127*CompostN2O)+('Mitigation drivers'!AA128*ManwithbedN2O)+('Mitigation drivers'!AA129*PMwithoutlitterN2O)+('Mitigation drivers'!AA130*PMwithlitterN2O)+('Mitigation drivers'!AA132*DigesterN2OEF))/100</f>
        <v>8.9999999999999998E-4</v>
      </c>
      <c r="AG63" s="26">
        <f>(('Mitigation drivers'!AB122*LagoonN2O)+('Mitigation drivers'!AB123*LiquidN2O)+('Mitigation drivers'!AB124*DrylotN2O)+('Mitigation drivers'!AB125*SolidStorageN2O)+('Mitigation drivers'!AB126*DailyspreadN2O)+('Mitigation drivers'!AB127*CompostN2O)+('Mitigation drivers'!AB128*ManwithbedN2O)+('Mitigation drivers'!AB129*PMwithoutlitterN2O)+('Mitigation drivers'!AB130*PMwithlitterN2O)+('Mitigation drivers'!AB132*DigesterN2OEF))/100</f>
        <v>8.9999999999999998E-4</v>
      </c>
      <c r="AH63" s="26">
        <f>(('Mitigation drivers'!AC122*LagoonN2O)+('Mitigation drivers'!AC123*LiquidN2O)+('Mitigation drivers'!AC124*DrylotN2O)+('Mitigation drivers'!AC125*SolidStorageN2O)+('Mitigation drivers'!AC126*DailyspreadN2O)+('Mitigation drivers'!AC127*CompostN2O)+('Mitigation drivers'!AC128*ManwithbedN2O)+('Mitigation drivers'!AC129*PMwithoutlitterN2O)+('Mitigation drivers'!AC130*PMwithlitterN2O)+('Mitigation drivers'!AC132*DigesterN2OEF))/100</f>
        <v>8.9999999999999998E-4</v>
      </c>
      <c r="AI63" s="26">
        <f>(('Mitigation drivers'!AD122*LagoonN2O)+('Mitigation drivers'!AD123*LiquidN2O)+('Mitigation drivers'!AD124*DrylotN2O)+('Mitigation drivers'!AD125*SolidStorageN2O)+('Mitigation drivers'!AD126*DailyspreadN2O)+('Mitigation drivers'!AD127*CompostN2O)+('Mitigation drivers'!AD128*ManwithbedN2O)+('Mitigation drivers'!AD129*PMwithoutlitterN2O)+('Mitigation drivers'!AD130*PMwithlitterN2O)+('Mitigation drivers'!AD132*DigesterN2OEF))/100</f>
        <v>8.9999999999999998E-4</v>
      </c>
      <c r="AJ63" s="26">
        <f>(('Mitigation drivers'!AE122*LagoonN2O)+('Mitigation drivers'!AE123*LiquidN2O)+('Mitigation drivers'!AE124*DrylotN2O)+('Mitigation drivers'!AE125*SolidStorageN2O)+('Mitigation drivers'!AE126*DailyspreadN2O)+('Mitigation drivers'!AE127*CompostN2O)+('Mitigation drivers'!AE128*ManwithbedN2O)+('Mitigation drivers'!AE129*PMwithoutlitterN2O)+('Mitigation drivers'!AE130*PMwithlitterN2O)+('Mitigation drivers'!AE132*DigesterN2OEF))/100</f>
        <v>8.9999999999999998E-4</v>
      </c>
      <c r="AK63" s="26">
        <f>(('Mitigation drivers'!AF122*LagoonN2O)+('Mitigation drivers'!AF123*LiquidN2O)+('Mitigation drivers'!AF124*DrylotN2O)+('Mitigation drivers'!AF125*SolidStorageN2O)+('Mitigation drivers'!AF126*DailyspreadN2O)+('Mitigation drivers'!AF127*CompostN2O)+('Mitigation drivers'!AF128*ManwithbedN2O)+('Mitigation drivers'!AF129*PMwithoutlitterN2O)+('Mitigation drivers'!AF130*PMwithlitterN2O)+('Mitigation drivers'!AF132*DigesterN2OEF))/100</f>
        <v>8.9999999999999998E-4</v>
      </c>
      <c r="AL63" s="26">
        <f>(('Mitigation drivers'!AG122*LagoonN2O)+('Mitigation drivers'!AG123*LiquidN2O)+('Mitigation drivers'!AG124*DrylotN2O)+('Mitigation drivers'!AG125*SolidStorageN2O)+('Mitigation drivers'!AG126*DailyspreadN2O)+('Mitigation drivers'!AG127*CompostN2O)+('Mitigation drivers'!AG128*ManwithbedN2O)+('Mitigation drivers'!AG129*PMwithoutlitterN2O)+('Mitigation drivers'!AG130*PMwithlitterN2O)+('Mitigation drivers'!AG132*DigesterN2OEF))/100</f>
        <v>8.9999999999999998E-4</v>
      </c>
      <c r="AM63" s="26">
        <f>(('Mitigation drivers'!AH122*LagoonN2O)+('Mitigation drivers'!AH123*LiquidN2O)+('Mitigation drivers'!AH124*DrylotN2O)+('Mitigation drivers'!AH125*SolidStorageN2O)+('Mitigation drivers'!AH126*DailyspreadN2O)+('Mitigation drivers'!AH127*CompostN2O)+('Mitigation drivers'!AH128*ManwithbedN2O)+('Mitigation drivers'!AH129*PMwithoutlitterN2O)+('Mitigation drivers'!AH130*PMwithlitterN2O)+('Mitigation drivers'!AH132*DigesterN2OEF))/100</f>
        <v>8.9999999999999998E-4</v>
      </c>
      <c r="AN63" s="26">
        <f>(('Mitigation drivers'!AI122*LagoonN2O)+('Mitigation drivers'!AI123*LiquidN2O)+('Mitigation drivers'!AI124*DrylotN2O)+('Mitigation drivers'!AI125*SolidStorageN2O)+('Mitigation drivers'!AI126*DailyspreadN2O)+('Mitigation drivers'!AI127*CompostN2O)+('Mitigation drivers'!AI128*ManwithbedN2O)+('Mitigation drivers'!AI129*PMwithoutlitterN2O)+('Mitigation drivers'!AI130*PMwithlitterN2O)+('Mitigation drivers'!AI132*DigesterN2OEF))/100</f>
        <v>8.9999999999999998E-4</v>
      </c>
      <c r="AO63" s="26">
        <f>(('Mitigation drivers'!AJ122*LagoonN2O)+('Mitigation drivers'!AJ123*LiquidN2O)+('Mitigation drivers'!AJ124*DrylotN2O)+('Mitigation drivers'!AJ125*SolidStorageN2O)+('Mitigation drivers'!AJ126*DailyspreadN2O)+('Mitigation drivers'!AJ127*CompostN2O)+('Mitigation drivers'!AJ128*ManwithbedN2O)+('Mitigation drivers'!AJ129*PMwithoutlitterN2O)+('Mitigation drivers'!AJ130*PMwithlitterN2O)+('Mitigation drivers'!AJ132*DigesterN2OEF))/100</f>
        <v>8.9999999999999998E-4</v>
      </c>
    </row>
    <row r="64" spans="1:41" x14ac:dyDescent="0.25">
      <c r="A64" t="str">
        <f t="shared" si="5"/>
        <v>3A Livestock</v>
      </c>
      <c r="B64" t="str">
        <f t="shared" si="13"/>
        <v>3A2 Manure management (N2O)</v>
      </c>
      <c r="C64" t="str">
        <f>'Activity data'!C15</f>
        <v>3A1f Horses</v>
      </c>
      <c r="D64" t="str">
        <f>'Activity data'!D15</f>
        <v>Horses</v>
      </c>
      <c r="E64" t="str">
        <f t="shared" si="32"/>
        <v>Manure management EF</v>
      </c>
      <c r="F64" t="str">
        <f t="shared" si="33"/>
        <v>N2O</v>
      </c>
      <c r="G64" t="str">
        <f t="shared" si="34"/>
        <v>kg N2O-N/kg Nex</v>
      </c>
      <c r="H64" s="26">
        <f>IFERROR((('Mitigation drivers'!C135*LagoonN2O)+('Mitigation drivers'!C136*LiquidN2O)+('Mitigation drivers'!C137*DrylotN2O)+('Mitigation drivers'!C138*SolidStorageN2O)+('Mitigation drivers'!C139*DailyspreadN2O)+('Mitigation drivers'!C140*CompostN2O)+('Mitigation drivers'!C141*ManwithbedN2O)+('Mitigation drivers'!C142*PMwithoutlitterN2O)+('Mitigation drivers'!C143*PMwithlitterN2O+('Mitigation drivers'!C145*DigesterN2OEF)))/100,0)</f>
        <v>0</v>
      </c>
      <c r="I64" s="26">
        <f>IFERROR((('Mitigation drivers'!D135*LagoonN2O)+('Mitigation drivers'!D136*LiquidN2O)+('Mitigation drivers'!D137*DrylotN2O)+('Mitigation drivers'!D138*SolidStorageN2O)+('Mitigation drivers'!D139*DailyspreadN2O)+('Mitigation drivers'!D140*CompostN2O)+('Mitigation drivers'!D141*ManwithbedN2O)+('Mitigation drivers'!D142*PMwithoutlitterN2O)+('Mitigation drivers'!D143*PMwithlitterN2O+('Mitigation drivers'!D145*DigesterN2OEF)))/100,0)</f>
        <v>0</v>
      </c>
      <c r="J64" s="26">
        <f>IFERROR((('Mitigation drivers'!E135*LagoonN2O)+('Mitigation drivers'!E136*LiquidN2O)+('Mitigation drivers'!E137*DrylotN2O)+('Mitigation drivers'!E138*SolidStorageN2O)+('Mitigation drivers'!E139*DailyspreadN2O)+('Mitigation drivers'!E140*CompostN2O)+('Mitigation drivers'!E141*ManwithbedN2O)+('Mitigation drivers'!E142*PMwithoutlitterN2O)+('Mitigation drivers'!E143*PMwithlitterN2O+('Mitigation drivers'!E145*DigesterN2OEF)))/100,0)</f>
        <v>0</v>
      </c>
      <c r="K64" s="26">
        <f>IFERROR((('Mitigation drivers'!F135*LagoonN2O)+('Mitigation drivers'!F136*LiquidN2O)+('Mitigation drivers'!F137*DrylotN2O)+('Mitigation drivers'!F138*SolidStorageN2O)+('Mitigation drivers'!F139*DailyspreadN2O)+('Mitigation drivers'!F140*CompostN2O)+('Mitigation drivers'!F141*ManwithbedN2O)+('Mitigation drivers'!F142*PMwithoutlitterN2O)+('Mitigation drivers'!F143*PMwithlitterN2O+('Mitigation drivers'!F145*DigesterN2OEF)))/100,0)</f>
        <v>0</v>
      </c>
      <c r="L64" s="26">
        <f>IFERROR((('Mitigation drivers'!G135*LagoonN2O)+('Mitigation drivers'!G136*LiquidN2O)+('Mitigation drivers'!G137*DrylotN2O)+('Mitigation drivers'!G138*SolidStorageN2O)+('Mitigation drivers'!G139*DailyspreadN2O)+('Mitigation drivers'!G140*CompostN2O)+('Mitigation drivers'!G141*ManwithbedN2O)+('Mitigation drivers'!G142*PMwithoutlitterN2O)+('Mitigation drivers'!G143*PMwithlitterN2O+('Mitigation drivers'!G145*DigesterN2OEF)))/100,0)</f>
        <v>0</v>
      </c>
      <c r="M64" s="26">
        <f>IFERROR((('Mitigation drivers'!H135*LagoonN2O)+('Mitigation drivers'!H136*LiquidN2O)+('Mitigation drivers'!H137*DrylotN2O)+('Mitigation drivers'!H138*SolidStorageN2O)+('Mitigation drivers'!H139*DailyspreadN2O)+('Mitigation drivers'!H140*CompostN2O)+('Mitigation drivers'!H141*ManwithbedN2O)+('Mitigation drivers'!H142*PMwithoutlitterN2O)+('Mitigation drivers'!H143*PMwithlitterN2O+('Mitigation drivers'!H145*DigesterN2OEF)))/100,0)</f>
        <v>0</v>
      </c>
      <c r="N64" s="26">
        <f>IFERROR((('Mitigation drivers'!I135*LagoonN2O)+('Mitigation drivers'!I136*LiquidN2O)+('Mitigation drivers'!I137*DrylotN2O)+('Mitigation drivers'!I138*SolidStorageN2O)+('Mitigation drivers'!I139*DailyspreadN2O)+('Mitigation drivers'!I140*CompostN2O)+('Mitigation drivers'!I141*ManwithbedN2O)+('Mitigation drivers'!I142*PMwithoutlitterN2O)+('Mitigation drivers'!I143*PMwithlitterN2O+('Mitigation drivers'!I145*DigesterN2OEF)))/100,0)</f>
        <v>0</v>
      </c>
      <c r="O64" s="26">
        <f>IFERROR((('Mitigation drivers'!J135*LagoonN2O)+('Mitigation drivers'!J136*LiquidN2O)+('Mitigation drivers'!J137*DrylotN2O)+('Mitigation drivers'!J138*SolidStorageN2O)+('Mitigation drivers'!J139*DailyspreadN2O)+('Mitigation drivers'!J140*CompostN2O)+('Mitigation drivers'!J141*ManwithbedN2O)+('Mitigation drivers'!J142*PMwithoutlitterN2O)+('Mitigation drivers'!J143*PMwithlitterN2O+('Mitigation drivers'!J145*DigesterN2OEF)))/100,0)</f>
        <v>0</v>
      </c>
      <c r="P64" s="26">
        <f>IFERROR((('Mitigation drivers'!K135*LagoonN2O)+('Mitigation drivers'!K136*LiquidN2O)+('Mitigation drivers'!K137*DrylotN2O)+('Mitigation drivers'!K138*SolidStorageN2O)+('Mitigation drivers'!K139*DailyspreadN2O)+('Mitigation drivers'!K140*CompostN2O)+('Mitigation drivers'!K141*ManwithbedN2O)+('Mitigation drivers'!K142*PMwithoutlitterN2O)+('Mitigation drivers'!K143*PMwithlitterN2O+('Mitigation drivers'!K145*DigesterN2OEF)))/100,0)</f>
        <v>0</v>
      </c>
      <c r="Q64" s="26">
        <f>IFERROR((('Mitigation drivers'!L135*LagoonN2O)+('Mitigation drivers'!L136*LiquidN2O)+('Mitigation drivers'!L137*DrylotN2O)+('Mitigation drivers'!L138*SolidStorageN2O)+('Mitigation drivers'!L139*DailyspreadN2O)+('Mitigation drivers'!L140*CompostN2O)+('Mitigation drivers'!L141*ManwithbedN2O)+('Mitigation drivers'!L142*PMwithoutlitterN2O)+('Mitigation drivers'!L143*PMwithlitterN2O+('Mitigation drivers'!L145*DigesterN2OEF)))/100,0)</f>
        <v>0</v>
      </c>
      <c r="R64" s="26">
        <f>IFERROR((('Mitigation drivers'!M135*LagoonN2O)+('Mitigation drivers'!M136*LiquidN2O)+('Mitigation drivers'!M137*DrylotN2O)+('Mitigation drivers'!M138*SolidStorageN2O)+('Mitigation drivers'!M139*DailyspreadN2O)+('Mitigation drivers'!M140*CompostN2O)+('Mitigation drivers'!M141*ManwithbedN2O)+('Mitigation drivers'!M142*PMwithoutlitterN2O)+('Mitigation drivers'!M143*PMwithlitterN2O+('Mitigation drivers'!M145*DigesterN2OEF)))/100,0)</f>
        <v>0</v>
      </c>
      <c r="S64" s="26">
        <f>IFERROR((('Mitigation drivers'!N135*LagoonN2O)+('Mitigation drivers'!N136*LiquidN2O)+('Mitigation drivers'!N137*DrylotN2O)+('Mitigation drivers'!N138*SolidStorageN2O)+('Mitigation drivers'!N139*DailyspreadN2O)+('Mitigation drivers'!N140*CompostN2O)+('Mitigation drivers'!N141*ManwithbedN2O)+('Mitigation drivers'!N142*PMwithoutlitterN2O)+('Mitigation drivers'!N143*PMwithlitterN2O+('Mitigation drivers'!N145*DigesterN2OEF)))/100,0)</f>
        <v>0</v>
      </c>
      <c r="T64" s="26">
        <f>IFERROR((('Mitigation drivers'!O135*LagoonN2O)+('Mitigation drivers'!O136*LiquidN2O)+('Mitigation drivers'!O137*DrylotN2O)+('Mitigation drivers'!O138*SolidStorageN2O)+('Mitigation drivers'!O139*DailyspreadN2O)+('Mitigation drivers'!O140*CompostN2O)+('Mitigation drivers'!O141*ManwithbedN2O)+('Mitigation drivers'!O142*PMwithoutlitterN2O)+('Mitigation drivers'!O143*PMwithlitterN2O+('Mitigation drivers'!O145*DigesterN2OEF)))/100,0)</f>
        <v>0</v>
      </c>
      <c r="U64" s="26">
        <f>IFERROR((('Mitigation drivers'!P135*LagoonN2O)+('Mitigation drivers'!P136*LiquidN2O)+('Mitigation drivers'!P137*DrylotN2O)+('Mitigation drivers'!P138*SolidStorageN2O)+('Mitigation drivers'!P139*DailyspreadN2O)+('Mitigation drivers'!P140*CompostN2O)+('Mitigation drivers'!P141*ManwithbedN2O)+('Mitigation drivers'!P142*PMwithoutlitterN2O)+('Mitigation drivers'!P143*PMwithlitterN2O+('Mitigation drivers'!P145*DigesterN2OEF)))/100,0)</f>
        <v>0</v>
      </c>
      <c r="V64" s="26">
        <f>IFERROR((('Mitigation drivers'!Q135*LagoonN2O)+('Mitigation drivers'!Q136*LiquidN2O)+('Mitigation drivers'!Q137*DrylotN2O)+('Mitigation drivers'!Q138*SolidStorageN2O)+('Mitigation drivers'!Q139*DailyspreadN2O)+('Mitigation drivers'!Q140*CompostN2O)+('Mitigation drivers'!Q141*ManwithbedN2O)+('Mitigation drivers'!Q142*PMwithoutlitterN2O)+('Mitigation drivers'!Q143*PMwithlitterN2O+('Mitigation drivers'!Q145*DigesterN2OEF)))/100,0)</f>
        <v>0</v>
      </c>
      <c r="W64" s="26">
        <f>IFERROR((('Mitigation drivers'!R135*LagoonN2O)+('Mitigation drivers'!R136*LiquidN2O)+('Mitigation drivers'!R137*DrylotN2O)+('Mitigation drivers'!R138*SolidStorageN2O)+('Mitigation drivers'!R139*DailyspreadN2O)+('Mitigation drivers'!R140*CompostN2O)+('Mitigation drivers'!R141*ManwithbedN2O)+('Mitigation drivers'!R142*PMwithoutlitterN2O)+('Mitigation drivers'!R143*PMwithlitterN2O+('Mitigation drivers'!R145*DigesterN2OEF)))/100,0)</f>
        <v>0</v>
      </c>
      <c r="X64" s="26">
        <f>IFERROR((('Mitigation drivers'!S135*LagoonN2O)+('Mitigation drivers'!S136*LiquidN2O)+('Mitigation drivers'!S137*DrylotN2O)+('Mitigation drivers'!S138*SolidStorageN2O)+('Mitigation drivers'!S139*DailyspreadN2O)+('Mitigation drivers'!S140*CompostN2O)+('Mitigation drivers'!S141*ManwithbedN2O)+('Mitigation drivers'!S142*PMwithoutlitterN2O)+('Mitigation drivers'!S143*PMwithlitterN2O+('Mitigation drivers'!S145*DigesterN2OEF)))/100,0)</f>
        <v>0</v>
      </c>
      <c r="Y64" s="26">
        <f>IFERROR((('Mitigation drivers'!T135*LagoonN2O)+('Mitigation drivers'!T136*LiquidN2O)+('Mitigation drivers'!T137*DrylotN2O)+('Mitigation drivers'!T138*SolidStorageN2O)+('Mitigation drivers'!T139*DailyspreadN2O)+('Mitigation drivers'!T140*CompostN2O)+('Mitigation drivers'!T141*ManwithbedN2O)+('Mitigation drivers'!T142*PMwithoutlitterN2O)+('Mitigation drivers'!T143*PMwithlitterN2O+('Mitigation drivers'!T145*DigesterN2OEF)))/100,0)</f>
        <v>0</v>
      </c>
      <c r="Z64" s="26">
        <f>IFERROR((('Mitigation drivers'!U135*LagoonN2O)+('Mitigation drivers'!U136*LiquidN2O)+('Mitigation drivers'!U137*DrylotN2O)+('Mitigation drivers'!U138*SolidStorageN2O)+('Mitigation drivers'!U139*DailyspreadN2O)+('Mitigation drivers'!U140*CompostN2O)+('Mitigation drivers'!U141*ManwithbedN2O)+('Mitigation drivers'!U142*PMwithoutlitterN2O)+('Mitigation drivers'!U143*PMwithlitterN2O+('Mitigation drivers'!U145*DigesterN2OEF)))/100,0)</f>
        <v>0</v>
      </c>
      <c r="AA64" s="26">
        <f>IFERROR((('Mitigation drivers'!V135*LagoonN2O)+('Mitigation drivers'!V136*LiquidN2O)+('Mitigation drivers'!V137*DrylotN2O)+('Mitigation drivers'!V138*SolidStorageN2O)+('Mitigation drivers'!V139*DailyspreadN2O)+('Mitigation drivers'!V140*CompostN2O)+('Mitigation drivers'!V141*ManwithbedN2O)+('Mitigation drivers'!V142*PMwithoutlitterN2O)+('Mitigation drivers'!V143*PMwithlitterN2O+('Mitigation drivers'!V145*DigesterN2OEF)))/100,0)</f>
        <v>0</v>
      </c>
      <c r="AB64" s="26">
        <f>IFERROR((('Mitigation drivers'!W135*LagoonN2O)+('Mitigation drivers'!W136*LiquidN2O)+('Mitigation drivers'!W137*DrylotN2O)+('Mitigation drivers'!W138*SolidStorageN2O)+('Mitigation drivers'!W139*DailyspreadN2O)+('Mitigation drivers'!W140*CompostN2O)+('Mitigation drivers'!W141*ManwithbedN2O)+('Mitigation drivers'!W142*PMwithoutlitterN2O)+('Mitigation drivers'!W143*PMwithlitterN2O+('Mitigation drivers'!W145*DigesterN2OEF)))/100,0)</f>
        <v>0</v>
      </c>
      <c r="AC64" s="26">
        <f>IFERROR((('Mitigation drivers'!X135*LagoonN2O)+('Mitigation drivers'!X136*LiquidN2O)+('Mitigation drivers'!X137*DrylotN2O)+('Mitigation drivers'!X138*SolidStorageN2O)+('Mitigation drivers'!X139*DailyspreadN2O)+('Mitigation drivers'!X140*CompostN2O)+('Mitigation drivers'!X141*ManwithbedN2O)+('Mitigation drivers'!X142*PMwithoutlitterN2O)+('Mitigation drivers'!X143*PMwithlitterN2O+('Mitigation drivers'!X145*DigesterN2OEF)))/100,0)</f>
        <v>0</v>
      </c>
      <c r="AD64" s="26">
        <f>IFERROR((('Mitigation drivers'!Y135*LagoonN2O)+('Mitigation drivers'!Y136*LiquidN2O)+('Mitigation drivers'!Y137*DrylotN2O)+('Mitigation drivers'!Y138*SolidStorageN2O)+('Mitigation drivers'!Y139*DailyspreadN2O)+('Mitigation drivers'!Y140*CompostN2O)+('Mitigation drivers'!Y141*ManwithbedN2O)+('Mitigation drivers'!Y142*PMwithoutlitterN2O)+('Mitigation drivers'!Y143*PMwithlitterN2O+('Mitigation drivers'!Y145*DigesterN2OEF)))/100,0)</f>
        <v>0</v>
      </c>
      <c r="AE64" s="26">
        <f>IFERROR((('Mitigation drivers'!Z135*LagoonN2O)+('Mitigation drivers'!Z136*LiquidN2O)+('Mitigation drivers'!Z137*DrylotN2O)+('Mitigation drivers'!Z138*SolidStorageN2O)+('Mitigation drivers'!Z139*DailyspreadN2O)+('Mitigation drivers'!Z140*CompostN2O)+('Mitigation drivers'!Z141*ManwithbedN2O)+('Mitigation drivers'!Z142*PMwithoutlitterN2O)+('Mitigation drivers'!Z143*PMwithlitterN2O+('Mitigation drivers'!Z145*DigesterN2OEF)))/100,0)</f>
        <v>0</v>
      </c>
      <c r="AF64" s="26">
        <f>IFERROR((('Mitigation drivers'!AA135*LagoonN2O)+('Mitigation drivers'!AA136*LiquidN2O)+('Mitigation drivers'!AA137*DrylotN2O)+('Mitigation drivers'!AA138*SolidStorageN2O)+('Mitigation drivers'!AA139*DailyspreadN2O)+('Mitigation drivers'!AA140*CompostN2O)+('Mitigation drivers'!AA141*ManwithbedN2O)+('Mitigation drivers'!AA142*PMwithoutlitterN2O)+('Mitigation drivers'!AA143*PMwithlitterN2O+('Mitigation drivers'!AA145*DigesterN2OEF)))/100,0)</f>
        <v>0</v>
      </c>
      <c r="AG64" s="26">
        <f>IFERROR((('Mitigation drivers'!AB135*LagoonN2O)+('Mitigation drivers'!AB136*LiquidN2O)+('Mitigation drivers'!AB137*DrylotN2O)+('Mitigation drivers'!AB138*SolidStorageN2O)+('Mitigation drivers'!AB139*DailyspreadN2O)+('Mitigation drivers'!AB140*CompostN2O)+('Mitigation drivers'!AB141*ManwithbedN2O)+('Mitigation drivers'!AB142*PMwithoutlitterN2O)+('Mitigation drivers'!AB143*PMwithlitterN2O+('Mitigation drivers'!AB145*DigesterN2OEF)))/100,0)</f>
        <v>0</v>
      </c>
      <c r="AH64" s="26">
        <f>IFERROR((('Mitigation drivers'!AC135*LagoonN2O)+('Mitigation drivers'!AC136*LiquidN2O)+('Mitigation drivers'!AC137*DrylotN2O)+('Mitigation drivers'!AC138*SolidStorageN2O)+('Mitigation drivers'!AC139*DailyspreadN2O)+('Mitigation drivers'!AC140*CompostN2O)+('Mitigation drivers'!AC141*ManwithbedN2O)+('Mitigation drivers'!AC142*PMwithoutlitterN2O)+('Mitigation drivers'!AC143*PMwithlitterN2O+('Mitigation drivers'!AC145*DigesterN2OEF)))/100,0)</f>
        <v>0</v>
      </c>
      <c r="AI64" s="26">
        <f>IFERROR((('Mitigation drivers'!AD135*LagoonN2O)+('Mitigation drivers'!AD136*LiquidN2O)+('Mitigation drivers'!AD137*DrylotN2O)+('Mitigation drivers'!AD138*SolidStorageN2O)+('Mitigation drivers'!AD139*DailyspreadN2O)+('Mitigation drivers'!AD140*CompostN2O)+('Mitigation drivers'!AD141*ManwithbedN2O)+('Mitigation drivers'!AD142*PMwithoutlitterN2O)+('Mitigation drivers'!AD143*PMwithlitterN2O+('Mitigation drivers'!AD145*DigesterN2OEF)))/100,0)</f>
        <v>0</v>
      </c>
      <c r="AJ64" s="26">
        <f>IFERROR((('Mitigation drivers'!AE135*LagoonN2O)+('Mitigation drivers'!AE136*LiquidN2O)+('Mitigation drivers'!AE137*DrylotN2O)+('Mitigation drivers'!AE138*SolidStorageN2O)+('Mitigation drivers'!AE139*DailyspreadN2O)+('Mitigation drivers'!AE140*CompostN2O)+('Mitigation drivers'!AE141*ManwithbedN2O)+('Mitigation drivers'!AE142*PMwithoutlitterN2O)+('Mitigation drivers'!AE143*PMwithlitterN2O+('Mitigation drivers'!AE145*DigesterN2OEF)))/100,0)</f>
        <v>0</v>
      </c>
      <c r="AK64" s="26">
        <f>IFERROR((('Mitigation drivers'!AF135*LagoonN2O)+('Mitigation drivers'!AF136*LiquidN2O)+('Mitigation drivers'!AF137*DrylotN2O)+('Mitigation drivers'!AF138*SolidStorageN2O)+('Mitigation drivers'!AF139*DailyspreadN2O)+('Mitigation drivers'!AF140*CompostN2O)+('Mitigation drivers'!AF141*ManwithbedN2O)+('Mitigation drivers'!AF142*PMwithoutlitterN2O)+('Mitigation drivers'!AF143*PMwithlitterN2O+('Mitigation drivers'!AF145*DigesterN2OEF)))/100,0)</f>
        <v>0</v>
      </c>
      <c r="AL64" s="26">
        <f>IFERROR((('Mitigation drivers'!AG135*LagoonN2O)+('Mitigation drivers'!AG136*LiquidN2O)+('Mitigation drivers'!AG137*DrylotN2O)+('Mitigation drivers'!AG138*SolidStorageN2O)+('Mitigation drivers'!AG139*DailyspreadN2O)+('Mitigation drivers'!AG140*CompostN2O)+('Mitigation drivers'!AG141*ManwithbedN2O)+('Mitigation drivers'!AG142*PMwithoutlitterN2O)+('Mitigation drivers'!AG143*PMwithlitterN2O+('Mitigation drivers'!AG145*DigesterN2OEF)))/100,0)</f>
        <v>0</v>
      </c>
      <c r="AM64" s="26">
        <f>IFERROR((('Mitigation drivers'!AH135*LagoonN2O)+('Mitigation drivers'!AH136*LiquidN2O)+('Mitigation drivers'!AH137*DrylotN2O)+('Mitigation drivers'!AH138*SolidStorageN2O)+('Mitigation drivers'!AH139*DailyspreadN2O)+('Mitigation drivers'!AH140*CompostN2O)+('Mitigation drivers'!AH141*ManwithbedN2O)+('Mitigation drivers'!AH142*PMwithoutlitterN2O)+('Mitigation drivers'!AH143*PMwithlitterN2O+('Mitigation drivers'!AH145*DigesterN2OEF)))/100,0)</f>
        <v>0</v>
      </c>
      <c r="AN64" s="26">
        <f>IFERROR((('Mitigation drivers'!AI135*LagoonN2O)+('Mitigation drivers'!AI136*LiquidN2O)+('Mitigation drivers'!AI137*DrylotN2O)+('Mitigation drivers'!AI138*SolidStorageN2O)+('Mitigation drivers'!AI139*DailyspreadN2O)+('Mitigation drivers'!AI140*CompostN2O)+('Mitigation drivers'!AI141*ManwithbedN2O)+('Mitigation drivers'!AI142*PMwithoutlitterN2O)+('Mitigation drivers'!AI143*PMwithlitterN2O+('Mitigation drivers'!AI145*DigesterN2OEF)))/100,0)</f>
        <v>0</v>
      </c>
      <c r="AO64" s="26">
        <f>IFERROR((('Mitigation drivers'!AJ135*LagoonN2O)+('Mitigation drivers'!AJ136*LiquidN2O)+('Mitigation drivers'!AJ137*DrylotN2O)+('Mitigation drivers'!AJ138*SolidStorageN2O)+('Mitigation drivers'!AJ139*DailyspreadN2O)+('Mitigation drivers'!AJ140*CompostN2O)+('Mitigation drivers'!AJ141*ManwithbedN2O)+('Mitigation drivers'!AJ142*PMwithoutlitterN2O)+('Mitigation drivers'!AJ143*PMwithlitterN2O+('Mitigation drivers'!AJ145*DigesterN2OEF)))/100,0)</f>
        <v>0</v>
      </c>
    </row>
    <row r="65" spans="1:41" x14ac:dyDescent="0.25">
      <c r="A65" t="str">
        <f t="shared" si="5"/>
        <v>3A Livestock</v>
      </c>
      <c r="B65" t="str">
        <f t="shared" si="13"/>
        <v>3A2 Manure management (N2O)</v>
      </c>
      <c r="C65" t="str">
        <f>'Activity data'!C16</f>
        <v>3A1g Mules &amp; asses</v>
      </c>
      <c r="D65" t="str">
        <f>'Activity data'!D16</f>
        <v>Mules &amp; Asses</v>
      </c>
      <c r="E65" t="str">
        <f t="shared" si="32"/>
        <v>Manure management EF</v>
      </c>
      <c r="F65" t="str">
        <f t="shared" si="33"/>
        <v>N2O</v>
      </c>
      <c r="G65" t="str">
        <f t="shared" si="34"/>
        <v>kg N2O-N/kg Nex</v>
      </c>
      <c r="H65" s="26">
        <f>IFERROR((('Mitigation drivers'!C147*LagoonN2O)+('Mitigation drivers'!C148*LiquidN2O)+('Mitigation drivers'!C149*DrylotN2O)+('Mitigation drivers'!C150*SolidStorageN2O)+('Mitigation drivers'!C151*DailyspreadN2O)+('Mitigation drivers'!C152*CompostN2O)+('Mitigation drivers'!C153*ManwithbedN2O)+('Mitigation drivers'!C154*PMwithoutlitterN2O)+('Mitigation drivers'!C155*PMwithlitterN2O)+('Mitigation drivers'!C157*DigesterN2OEF))/100,0)</f>
        <v>0</v>
      </c>
      <c r="I65" s="26">
        <f>IFERROR((('Mitigation drivers'!D147*LagoonN2O)+('Mitigation drivers'!D148*LiquidN2O)+('Mitigation drivers'!D149*DrylotN2O)+('Mitigation drivers'!D150*SolidStorageN2O)+('Mitigation drivers'!D151*DailyspreadN2O)+('Mitigation drivers'!D152*CompostN2O)+('Mitigation drivers'!D153*ManwithbedN2O)+('Mitigation drivers'!D154*PMwithoutlitterN2O)+('Mitigation drivers'!D155*PMwithlitterN2O)+('Mitigation drivers'!D157*DigesterN2OEF))/100,0)</f>
        <v>0</v>
      </c>
      <c r="J65" s="26">
        <f>IFERROR((('Mitigation drivers'!E147*LagoonN2O)+('Mitigation drivers'!E148*LiquidN2O)+('Mitigation drivers'!E149*DrylotN2O)+('Mitigation drivers'!E150*SolidStorageN2O)+('Mitigation drivers'!E151*DailyspreadN2O)+('Mitigation drivers'!E152*CompostN2O)+('Mitigation drivers'!E153*ManwithbedN2O)+('Mitigation drivers'!E154*PMwithoutlitterN2O)+('Mitigation drivers'!E155*PMwithlitterN2O)+('Mitigation drivers'!E157*DigesterN2OEF))/100,0)</f>
        <v>0</v>
      </c>
      <c r="K65" s="26">
        <f>IFERROR((('Mitigation drivers'!F147*LagoonN2O)+('Mitigation drivers'!F148*LiquidN2O)+('Mitigation drivers'!F149*DrylotN2O)+('Mitigation drivers'!F150*SolidStorageN2O)+('Mitigation drivers'!F151*DailyspreadN2O)+('Mitigation drivers'!F152*CompostN2O)+('Mitigation drivers'!F153*ManwithbedN2O)+('Mitigation drivers'!F154*PMwithoutlitterN2O)+('Mitigation drivers'!F155*PMwithlitterN2O)+('Mitigation drivers'!F157*DigesterN2OEF))/100,0)</f>
        <v>0</v>
      </c>
      <c r="L65" s="26">
        <f>IFERROR((('Mitigation drivers'!G147*LagoonN2O)+('Mitigation drivers'!G148*LiquidN2O)+('Mitigation drivers'!G149*DrylotN2O)+('Mitigation drivers'!G150*SolidStorageN2O)+('Mitigation drivers'!G151*DailyspreadN2O)+('Mitigation drivers'!G152*CompostN2O)+('Mitigation drivers'!G153*ManwithbedN2O)+('Mitigation drivers'!G154*PMwithoutlitterN2O)+('Mitigation drivers'!G155*PMwithlitterN2O)+('Mitigation drivers'!G157*DigesterN2OEF))/100,0)</f>
        <v>0</v>
      </c>
      <c r="M65" s="26">
        <f>IFERROR((('Mitigation drivers'!H147*LagoonN2O)+('Mitigation drivers'!H148*LiquidN2O)+('Mitigation drivers'!H149*DrylotN2O)+('Mitigation drivers'!H150*SolidStorageN2O)+('Mitigation drivers'!H151*DailyspreadN2O)+('Mitigation drivers'!H152*CompostN2O)+('Mitigation drivers'!H153*ManwithbedN2O)+('Mitigation drivers'!H154*PMwithoutlitterN2O)+('Mitigation drivers'!H155*PMwithlitterN2O)+('Mitigation drivers'!H157*DigesterN2OEF))/100,0)</f>
        <v>0</v>
      </c>
      <c r="N65" s="26">
        <f>IFERROR((('Mitigation drivers'!I147*LagoonN2O)+('Mitigation drivers'!I148*LiquidN2O)+('Mitigation drivers'!I149*DrylotN2O)+('Mitigation drivers'!I150*SolidStorageN2O)+('Mitigation drivers'!I151*DailyspreadN2O)+('Mitigation drivers'!I152*CompostN2O)+('Mitigation drivers'!I153*ManwithbedN2O)+('Mitigation drivers'!I154*PMwithoutlitterN2O)+('Mitigation drivers'!I155*PMwithlitterN2O)+('Mitigation drivers'!I157*DigesterN2OEF))/100,0)</f>
        <v>0</v>
      </c>
      <c r="O65" s="26">
        <f>IFERROR((('Mitigation drivers'!J147*LagoonN2O)+('Mitigation drivers'!J148*LiquidN2O)+('Mitigation drivers'!J149*DrylotN2O)+('Mitigation drivers'!J150*SolidStorageN2O)+('Mitigation drivers'!J151*DailyspreadN2O)+('Mitigation drivers'!J152*CompostN2O)+('Mitigation drivers'!J153*ManwithbedN2O)+('Mitigation drivers'!J154*PMwithoutlitterN2O)+('Mitigation drivers'!J155*PMwithlitterN2O)+('Mitigation drivers'!J157*DigesterN2OEF))/100,0)</f>
        <v>0</v>
      </c>
      <c r="P65" s="26">
        <f>IFERROR((('Mitigation drivers'!K147*LagoonN2O)+('Mitigation drivers'!K148*LiquidN2O)+('Mitigation drivers'!K149*DrylotN2O)+('Mitigation drivers'!K150*SolidStorageN2O)+('Mitigation drivers'!K151*DailyspreadN2O)+('Mitigation drivers'!K152*CompostN2O)+('Mitigation drivers'!K153*ManwithbedN2O)+('Mitigation drivers'!K154*PMwithoutlitterN2O)+('Mitigation drivers'!K155*PMwithlitterN2O)+('Mitigation drivers'!K157*DigesterN2OEF))/100,0)</f>
        <v>0</v>
      </c>
      <c r="Q65" s="26">
        <f>IFERROR((('Mitigation drivers'!L147*LagoonN2O)+('Mitigation drivers'!L148*LiquidN2O)+('Mitigation drivers'!L149*DrylotN2O)+('Mitigation drivers'!L150*SolidStorageN2O)+('Mitigation drivers'!L151*DailyspreadN2O)+('Mitigation drivers'!L152*CompostN2O)+('Mitigation drivers'!L153*ManwithbedN2O)+('Mitigation drivers'!L154*PMwithoutlitterN2O)+('Mitigation drivers'!L155*PMwithlitterN2O)+('Mitigation drivers'!L157*DigesterN2OEF))/100,0)</f>
        <v>0</v>
      </c>
      <c r="R65" s="26">
        <f>IFERROR((('Mitigation drivers'!M147*LagoonN2O)+('Mitigation drivers'!M148*LiquidN2O)+('Mitigation drivers'!M149*DrylotN2O)+('Mitigation drivers'!M150*SolidStorageN2O)+('Mitigation drivers'!M151*DailyspreadN2O)+('Mitigation drivers'!M152*CompostN2O)+('Mitigation drivers'!M153*ManwithbedN2O)+('Mitigation drivers'!M154*PMwithoutlitterN2O)+('Mitigation drivers'!M155*PMwithlitterN2O)+('Mitigation drivers'!M157*DigesterN2OEF))/100,0)</f>
        <v>0</v>
      </c>
      <c r="S65" s="26">
        <f>IFERROR((('Mitigation drivers'!N147*LagoonN2O)+('Mitigation drivers'!N148*LiquidN2O)+('Mitigation drivers'!N149*DrylotN2O)+('Mitigation drivers'!N150*SolidStorageN2O)+('Mitigation drivers'!N151*DailyspreadN2O)+('Mitigation drivers'!N152*CompostN2O)+('Mitigation drivers'!N153*ManwithbedN2O)+('Mitigation drivers'!N154*PMwithoutlitterN2O)+('Mitigation drivers'!N155*PMwithlitterN2O)+('Mitigation drivers'!N157*DigesterN2OEF))/100,0)</f>
        <v>0</v>
      </c>
      <c r="T65" s="26">
        <f>IFERROR((('Mitigation drivers'!O147*LagoonN2O)+('Mitigation drivers'!O148*LiquidN2O)+('Mitigation drivers'!O149*DrylotN2O)+('Mitigation drivers'!O150*SolidStorageN2O)+('Mitigation drivers'!O151*DailyspreadN2O)+('Mitigation drivers'!O152*CompostN2O)+('Mitigation drivers'!O153*ManwithbedN2O)+('Mitigation drivers'!O154*PMwithoutlitterN2O)+('Mitigation drivers'!O155*PMwithlitterN2O)+('Mitigation drivers'!O157*DigesterN2OEF))/100,0)</f>
        <v>0</v>
      </c>
      <c r="U65" s="26">
        <f>IFERROR((('Mitigation drivers'!P147*LagoonN2O)+('Mitigation drivers'!P148*LiquidN2O)+('Mitigation drivers'!P149*DrylotN2O)+('Mitigation drivers'!P150*SolidStorageN2O)+('Mitigation drivers'!P151*DailyspreadN2O)+('Mitigation drivers'!P152*CompostN2O)+('Mitigation drivers'!P153*ManwithbedN2O)+('Mitigation drivers'!P154*PMwithoutlitterN2O)+('Mitigation drivers'!P155*PMwithlitterN2O)+('Mitigation drivers'!P157*DigesterN2OEF))/100,0)</f>
        <v>0</v>
      </c>
      <c r="V65" s="26">
        <f>IFERROR((('Mitigation drivers'!Q147*LagoonN2O)+('Mitigation drivers'!Q148*LiquidN2O)+('Mitigation drivers'!Q149*DrylotN2O)+('Mitigation drivers'!Q150*SolidStorageN2O)+('Mitigation drivers'!Q151*DailyspreadN2O)+('Mitigation drivers'!Q152*CompostN2O)+('Mitigation drivers'!Q153*ManwithbedN2O)+('Mitigation drivers'!Q154*PMwithoutlitterN2O)+('Mitigation drivers'!Q155*PMwithlitterN2O)+('Mitigation drivers'!Q157*DigesterN2OEF))/100,0)</f>
        <v>0</v>
      </c>
      <c r="W65" s="26">
        <f>IFERROR((('Mitigation drivers'!R147*LagoonN2O)+('Mitigation drivers'!R148*LiquidN2O)+('Mitigation drivers'!R149*DrylotN2O)+('Mitigation drivers'!R150*SolidStorageN2O)+('Mitigation drivers'!R151*DailyspreadN2O)+('Mitigation drivers'!R152*CompostN2O)+('Mitigation drivers'!R153*ManwithbedN2O)+('Mitigation drivers'!R154*PMwithoutlitterN2O)+('Mitigation drivers'!R155*PMwithlitterN2O)+('Mitigation drivers'!R157*DigesterN2OEF))/100,0)</f>
        <v>0</v>
      </c>
      <c r="X65" s="26">
        <f>IFERROR((('Mitigation drivers'!S147*LagoonN2O)+('Mitigation drivers'!S148*LiquidN2O)+('Mitigation drivers'!S149*DrylotN2O)+('Mitigation drivers'!S150*SolidStorageN2O)+('Mitigation drivers'!S151*DailyspreadN2O)+('Mitigation drivers'!S152*CompostN2O)+('Mitigation drivers'!S153*ManwithbedN2O)+('Mitigation drivers'!S154*PMwithoutlitterN2O)+('Mitigation drivers'!S155*PMwithlitterN2O)+('Mitigation drivers'!S157*DigesterN2OEF))/100,0)</f>
        <v>0</v>
      </c>
      <c r="Y65" s="26">
        <f>IFERROR((('Mitigation drivers'!T147*LagoonN2O)+('Mitigation drivers'!T148*LiquidN2O)+('Mitigation drivers'!T149*DrylotN2O)+('Mitigation drivers'!T150*SolidStorageN2O)+('Mitigation drivers'!T151*DailyspreadN2O)+('Mitigation drivers'!T152*CompostN2O)+('Mitigation drivers'!T153*ManwithbedN2O)+('Mitigation drivers'!T154*PMwithoutlitterN2O)+('Mitigation drivers'!T155*PMwithlitterN2O)+('Mitigation drivers'!T157*DigesterN2OEF))/100,0)</f>
        <v>0</v>
      </c>
      <c r="Z65" s="26">
        <f>IFERROR((('Mitigation drivers'!U147*LagoonN2O)+('Mitigation drivers'!U148*LiquidN2O)+('Mitigation drivers'!U149*DrylotN2O)+('Mitigation drivers'!U150*SolidStorageN2O)+('Mitigation drivers'!U151*DailyspreadN2O)+('Mitigation drivers'!U152*CompostN2O)+('Mitigation drivers'!U153*ManwithbedN2O)+('Mitigation drivers'!U154*PMwithoutlitterN2O)+('Mitigation drivers'!U155*PMwithlitterN2O)+('Mitigation drivers'!U157*DigesterN2OEF))/100,0)</f>
        <v>0</v>
      </c>
      <c r="AA65" s="26">
        <f>IFERROR((('Mitigation drivers'!V147*LagoonN2O)+('Mitigation drivers'!V148*LiquidN2O)+('Mitigation drivers'!V149*DrylotN2O)+('Mitigation drivers'!V150*SolidStorageN2O)+('Mitigation drivers'!V151*DailyspreadN2O)+('Mitigation drivers'!V152*CompostN2O)+('Mitigation drivers'!V153*ManwithbedN2O)+('Mitigation drivers'!V154*PMwithoutlitterN2O)+('Mitigation drivers'!V155*PMwithlitterN2O)+('Mitigation drivers'!V157*DigesterN2OEF))/100,0)</f>
        <v>0</v>
      </c>
      <c r="AB65" s="26">
        <f>IFERROR((('Mitigation drivers'!W147*LagoonN2O)+('Mitigation drivers'!W148*LiquidN2O)+('Mitigation drivers'!W149*DrylotN2O)+('Mitigation drivers'!W150*SolidStorageN2O)+('Mitigation drivers'!W151*DailyspreadN2O)+('Mitigation drivers'!W152*CompostN2O)+('Mitigation drivers'!W153*ManwithbedN2O)+('Mitigation drivers'!W154*PMwithoutlitterN2O)+('Mitigation drivers'!W155*PMwithlitterN2O)+('Mitigation drivers'!W157*DigesterN2OEF))/100,0)</f>
        <v>0</v>
      </c>
      <c r="AC65" s="26">
        <f>IFERROR((('Mitigation drivers'!X147*LagoonN2O)+('Mitigation drivers'!X148*LiquidN2O)+('Mitigation drivers'!X149*DrylotN2O)+('Mitigation drivers'!X150*SolidStorageN2O)+('Mitigation drivers'!X151*DailyspreadN2O)+('Mitigation drivers'!X152*CompostN2O)+('Mitigation drivers'!X153*ManwithbedN2O)+('Mitigation drivers'!X154*PMwithoutlitterN2O)+('Mitigation drivers'!X155*PMwithlitterN2O)+('Mitigation drivers'!X157*DigesterN2OEF))/100,0)</f>
        <v>0</v>
      </c>
      <c r="AD65" s="26">
        <f>IFERROR((('Mitigation drivers'!Y147*LagoonN2O)+('Mitigation drivers'!Y148*LiquidN2O)+('Mitigation drivers'!Y149*DrylotN2O)+('Mitigation drivers'!Y150*SolidStorageN2O)+('Mitigation drivers'!Y151*DailyspreadN2O)+('Mitigation drivers'!Y152*CompostN2O)+('Mitigation drivers'!Y153*ManwithbedN2O)+('Mitigation drivers'!Y154*PMwithoutlitterN2O)+('Mitigation drivers'!Y155*PMwithlitterN2O)+('Mitigation drivers'!Y157*DigesterN2OEF))/100,0)</f>
        <v>0</v>
      </c>
      <c r="AE65" s="26">
        <f>IFERROR((('Mitigation drivers'!Z147*LagoonN2O)+('Mitigation drivers'!Z148*LiquidN2O)+('Mitigation drivers'!Z149*DrylotN2O)+('Mitigation drivers'!Z150*SolidStorageN2O)+('Mitigation drivers'!Z151*DailyspreadN2O)+('Mitigation drivers'!Z152*CompostN2O)+('Mitigation drivers'!Z153*ManwithbedN2O)+('Mitigation drivers'!Z154*PMwithoutlitterN2O)+('Mitigation drivers'!Z155*PMwithlitterN2O)+('Mitigation drivers'!Z157*DigesterN2OEF))/100,0)</f>
        <v>0</v>
      </c>
      <c r="AF65" s="26">
        <f>IFERROR((('Mitigation drivers'!AA147*LagoonN2O)+('Mitigation drivers'!AA148*LiquidN2O)+('Mitigation drivers'!AA149*DrylotN2O)+('Mitigation drivers'!AA150*SolidStorageN2O)+('Mitigation drivers'!AA151*DailyspreadN2O)+('Mitigation drivers'!AA152*CompostN2O)+('Mitigation drivers'!AA153*ManwithbedN2O)+('Mitigation drivers'!AA154*PMwithoutlitterN2O)+('Mitigation drivers'!AA155*PMwithlitterN2O)+('Mitigation drivers'!AA157*DigesterN2OEF))/100,0)</f>
        <v>0</v>
      </c>
      <c r="AG65" s="26">
        <f>IFERROR((('Mitigation drivers'!AB147*LagoonN2O)+('Mitigation drivers'!AB148*LiquidN2O)+('Mitigation drivers'!AB149*DrylotN2O)+('Mitigation drivers'!AB150*SolidStorageN2O)+('Mitigation drivers'!AB151*DailyspreadN2O)+('Mitigation drivers'!AB152*CompostN2O)+('Mitigation drivers'!AB153*ManwithbedN2O)+('Mitigation drivers'!AB154*PMwithoutlitterN2O)+('Mitigation drivers'!AB155*PMwithlitterN2O)+('Mitigation drivers'!AB157*DigesterN2OEF))/100,0)</f>
        <v>0</v>
      </c>
      <c r="AH65" s="26">
        <f>IFERROR((('Mitigation drivers'!AC147*LagoonN2O)+('Mitigation drivers'!AC148*LiquidN2O)+('Mitigation drivers'!AC149*DrylotN2O)+('Mitigation drivers'!AC150*SolidStorageN2O)+('Mitigation drivers'!AC151*DailyspreadN2O)+('Mitigation drivers'!AC152*CompostN2O)+('Mitigation drivers'!AC153*ManwithbedN2O)+('Mitigation drivers'!AC154*PMwithoutlitterN2O)+('Mitigation drivers'!AC155*PMwithlitterN2O)+('Mitigation drivers'!AC157*DigesterN2OEF))/100,0)</f>
        <v>0</v>
      </c>
      <c r="AI65" s="26">
        <f>IFERROR((('Mitigation drivers'!AD147*LagoonN2O)+('Mitigation drivers'!AD148*LiquidN2O)+('Mitigation drivers'!AD149*DrylotN2O)+('Mitigation drivers'!AD150*SolidStorageN2O)+('Mitigation drivers'!AD151*DailyspreadN2O)+('Mitigation drivers'!AD152*CompostN2O)+('Mitigation drivers'!AD153*ManwithbedN2O)+('Mitigation drivers'!AD154*PMwithoutlitterN2O)+('Mitigation drivers'!AD155*PMwithlitterN2O)+('Mitigation drivers'!AD157*DigesterN2OEF))/100,0)</f>
        <v>0</v>
      </c>
      <c r="AJ65" s="26">
        <f>IFERROR((('Mitigation drivers'!AE147*LagoonN2O)+('Mitigation drivers'!AE148*LiquidN2O)+('Mitigation drivers'!AE149*DrylotN2O)+('Mitigation drivers'!AE150*SolidStorageN2O)+('Mitigation drivers'!AE151*DailyspreadN2O)+('Mitigation drivers'!AE152*CompostN2O)+('Mitigation drivers'!AE153*ManwithbedN2O)+('Mitigation drivers'!AE154*PMwithoutlitterN2O)+('Mitigation drivers'!AE155*PMwithlitterN2O)+('Mitigation drivers'!AE157*DigesterN2OEF))/100,0)</f>
        <v>0</v>
      </c>
      <c r="AK65" s="26">
        <f>IFERROR((('Mitigation drivers'!AF147*LagoonN2O)+('Mitigation drivers'!AF148*LiquidN2O)+('Mitigation drivers'!AF149*DrylotN2O)+('Mitigation drivers'!AF150*SolidStorageN2O)+('Mitigation drivers'!AF151*DailyspreadN2O)+('Mitigation drivers'!AF152*CompostN2O)+('Mitigation drivers'!AF153*ManwithbedN2O)+('Mitigation drivers'!AF154*PMwithoutlitterN2O)+('Mitigation drivers'!AF155*PMwithlitterN2O)+('Mitigation drivers'!AF157*DigesterN2OEF))/100,0)</f>
        <v>0</v>
      </c>
      <c r="AL65" s="26">
        <f>IFERROR((('Mitigation drivers'!AG147*LagoonN2O)+('Mitigation drivers'!AG148*LiquidN2O)+('Mitigation drivers'!AG149*DrylotN2O)+('Mitigation drivers'!AG150*SolidStorageN2O)+('Mitigation drivers'!AG151*DailyspreadN2O)+('Mitigation drivers'!AG152*CompostN2O)+('Mitigation drivers'!AG153*ManwithbedN2O)+('Mitigation drivers'!AG154*PMwithoutlitterN2O)+('Mitigation drivers'!AG155*PMwithlitterN2O)+('Mitigation drivers'!AG157*DigesterN2OEF))/100,0)</f>
        <v>0</v>
      </c>
      <c r="AM65" s="26">
        <f>IFERROR((('Mitigation drivers'!AH147*LagoonN2O)+('Mitigation drivers'!AH148*LiquidN2O)+('Mitigation drivers'!AH149*DrylotN2O)+('Mitigation drivers'!AH150*SolidStorageN2O)+('Mitigation drivers'!AH151*DailyspreadN2O)+('Mitigation drivers'!AH152*CompostN2O)+('Mitigation drivers'!AH153*ManwithbedN2O)+('Mitigation drivers'!AH154*PMwithoutlitterN2O)+('Mitigation drivers'!AH155*PMwithlitterN2O)+('Mitigation drivers'!AH157*DigesterN2OEF))/100,0)</f>
        <v>0</v>
      </c>
      <c r="AN65" s="26">
        <f>IFERROR((('Mitigation drivers'!AI147*LagoonN2O)+('Mitigation drivers'!AI148*LiquidN2O)+('Mitigation drivers'!AI149*DrylotN2O)+('Mitigation drivers'!AI150*SolidStorageN2O)+('Mitigation drivers'!AI151*DailyspreadN2O)+('Mitigation drivers'!AI152*CompostN2O)+('Mitigation drivers'!AI153*ManwithbedN2O)+('Mitigation drivers'!AI154*PMwithoutlitterN2O)+('Mitigation drivers'!AI155*PMwithlitterN2O)+('Mitigation drivers'!AI157*DigesterN2OEF))/100,0)</f>
        <v>0</v>
      </c>
      <c r="AO65" s="26">
        <f>IFERROR((('Mitigation drivers'!AJ147*LagoonN2O)+('Mitigation drivers'!AJ148*LiquidN2O)+('Mitigation drivers'!AJ149*DrylotN2O)+('Mitigation drivers'!AJ150*SolidStorageN2O)+('Mitigation drivers'!AJ151*DailyspreadN2O)+('Mitigation drivers'!AJ152*CompostN2O)+('Mitigation drivers'!AJ153*ManwithbedN2O)+('Mitigation drivers'!AJ154*PMwithoutlitterN2O)+('Mitigation drivers'!AJ155*PMwithlitterN2O)+('Mitigation drivers'!AJ157*DigesterN2OEF))/100,0)</f>
        <v>0</v>
      </c>
    </row>
    <row r="66" spans="1:41" x14ac:dyDescent="0.25">
      <c r="A66" t="str">
        <f t="shared" si="5"/>
        <v>3A Livestock</v>
      </c>
      <c r="B66" t="str">
        <f t="shared" si="13"/>
        <v>3A2 Manure management (N2O)</v>
      </c>
      <c r="C66" t="str">
        <f>'Activity data'!C17</f>
        <v>3A1h Swine</v>
      </c>
      <c r="D66" t="str">
        <f>'Activity data'!D17</f>
        <v>Commercial</v>
      </c>
      <c r="E66" t="str">
        <f t="shared" si="32"/>
        <v>Manure management EF</v>
      </c>
      <c r="F66" t="str">
        <f t="shared" si="33"/>
        <v>N2O</v>
      </c>
      <c r="G66" t="str">
        <f t="shared" si="34"/>
        <v>kg N2O-N/kg Nex</v>
      </c>
      <c r="H66" s="26">
        <f>(('Mitigation drivers'!C160*LagoonN2O)+('Mitigation drivers'!C161*LiquidN2O)+('Mitigation drivers'!C162*DrylotN2O)+('Mitigation drivers'!C163*SolidStorageN2O)+('Mitigation drivers'!C164*DailyspreadN2O)+('Mitigation drivers'!C165*CompostN2O)+('Mitigation drivers'!C166*ManwithbedN2O)+('Mitigation drivers'!C167*PMwithoutlitterN2O)+('Mitigation drivers'!C168*PMwithlitterN2O)+('Mitigation drivers'!C170*DigesterN2OEF))/100</f>
        <v>2.7200000000000002E-3</v>
      </c>
      <c r="I66" s="26">
        <f>(('Mitigation drivers'!D160*LagoonN2O)+('Mitigation drivers'!D161*LiquidN2O)+('Mitigation drivers'!D162*DrylotN2O)+('Mitigation drivers'!D163*SolidStorageN2O)+('Mitigation drivers'!D164*DailyspreadN2O)+('Mitigation drivers'!D165*CompostN2O)+('Mitigation drivers'!D166*ManwithbedN2O)+('Mitigation drivers'!D167*PMwithoutlitterN2O)+('Mitigation drivers'!D168*PMwithlitterN2O)+('Mitigation drivers'!D170*DigesterN2OEF))/100</f>
        <v>2.7200000000000002E-3</v>
      </c>
      <c r="J66" s="26">
        <f>(('Mitigation drivers'!E160*LagoonN2O)+('Mitigation drivers'!E161*LiquidN2O)+('Mitigation drivers'!E162*DrylotN2O)+('Mitigation drivers'!E163*SolidStorageN2O)+('Mitigation drivers'!E164*DailyspreadN2O)+('Mitigation drivers'!E165*CompostN2O)+('Mitigation drivers'!E166*ManwithbedN2O)+('Mitigation drivers'!E167*PMwithoutlitterN2O)+('Mitigation drivers'!E168*PMwithlitterN2O)+('Mitigation drivers'!E170*DigesterN2OEF))/100</f>
        <v>2.7200000000000002E-3</v>
      </c>
      <c r="K66" s="26">
        <f>(('Mitigation drivers'!F160*LagoonN2O)+('Mitigation drivers'!F161*LiquidN2O)+('Mitigation drivers'!F162*DrylotN2O)+('Mitigation drivers'!F163*SolidStorageN2O)+('Mitigation drivers'!F164*DailyspreadN2O)+('Mitigation drivers'!F165*CompostN2O)+('Mitigation drivers'!F166*ManwithbedN2O)+('Mitigation drivers'!F167*PMwithoutlitterN2O)+('Mitigation drivers'!F168*PMwithlitterN2O)+('Mitigation drivers'!F170*DigesterN2OEF))/100</f>
        <v>2.7200000000000002E-3</v>
      </c>
      <c r="L66" s="26">
        <f>(('Mitigation drivers'!G160*LagoonN2O)+('Mitigation drivers'!G161*LiquidN2O)+('Mitigation drivers'!G162*DrylotN2O)+('Mitigation drivers'!G163*SolidStorageN2O)+('Mitigation drivers'!G164*DailyspreadN2O)+('Mitigation drivers'!G165*CompostN2O)+('Mitigation drivers'!G166*ManwithbedN2O)+('Mitigation drivers'!G167*PMwithoutlitterN2O)+('Mitigation drivers'!G168*PMwithlitterN2O)+('Mitigation drivers'!G170*DigesterN2OEF))/100</f>
        <v>2.7200000000000002E-3</v>
      </c>
      <c r="M66" s="26">
        <f>(('Mitigation drivers'!H160*LagoonN2O)+('Mitigation drivers'!H161*LiquidN2O)+('Mitigation drivers'!H162*DrylotN2O)+('Mitigation drivers'!H163*SolidStorageN2O)+('Mitigation drivers'!H164*DailyspreadN2O)+('Mitigation drivers'!H165*CompostN2O)+('Mitigation drivers'!H166*ManwithbedN2O)+('Mitigation drivers'!H167*PMwithoutlitterN2O)+('Mitigation drivers'!H168*PMwithlitterN2O)+('Mitigation drivers'!H170*DigesterN2OEF))/100</f>
        <v>2.7200000000000002E-3</v>
      </c>
      <c r="N66" s="26">
        <f>(('Mitigation drivers'!I160*LagoonN2O)+('Mitigation drivers'!I161*LiquidN2O)+('Mitigation drivers'!I162*DrylotN2O)+('Mitigation drivers'!I163*SolidStorageN2O)+('Mitigation drivers'!I164*DailyspreadN2O)+('Mitigation drivers'!I165*CompostN2O)+('Mitigation drivers'!I166*ManwithbedN2O)+('Mitigation drivers'!I167*PMwithoutlitterN2O)+('Mitigation drivers'!I168*PMwithlitterN2O)+('Mitigation drivers'!I170*DigesterN2OEF))/100</f>
        <v>2.7200000000000002E-3</v>
      </c>
      <c r="O66" s="26">
        <f>(('Mitigation drivers'!J160*LagoonN2O)+('Mitigation drivers'!J161*LiquidN2O)+('Mitigation drivers'!J162*DrylotN2O)+('Mitigation drivers'!J163*SolidStorageN2O)+('Mitigation drivers'!J164*DailyspreadN2O)+('Mitigation drivers'!J165*CompostN2O)+('Mitigation drivers'!J166*ManwithbedN2O)+('Mitigation drivers'!J167*PMwithoutlitterN2O)+('Mitigation drivers'!J168*PMwithlitterN2O)+('Mitigation drivers'!J170*DigesterN2OEF))/100</f>
        <v>2.7200000000000002E-3</v>
      </c>
      <c r="P66" s="26">
        <f>(('Mitigation drivers'!K160*LagoonN2O)+('Mitigation drivers'!K161*LiquidN2O)+('Mitigation drivers'!K162*DrylotN2O)+('Mitigation drivers'!K163*SolidStorageN2O)+('Mitigation drivers'!K164*DailyspreadN2O)+('Mitigation drivers'!K165*CompostN2O)+('Mitigation drivers'!K166*ManwithbedN2O)+('Mitigation drivers'!K167*PMwithoutlitterN2O)+('Mitigation drivers'!K168*PMwithlitterN2O)+('Mitigation drivers'!K170*DigesterN2OEF))/100</f>
        <v>2.7200000000000002E-3</v>
      </c>
      <c r="Q66" s="26">
        <f>(('Mitigation drivers'!L160*LagoonN2O)+('Mitigation drivers'!L161*LiquidN2O)+('Mitigation drivers'!L162*DrylotN2O)+('Mitigation drivers'!L163*SolidStorageN2O)+('Mitigation drivers'!L164*DailyspreadN2O)+('Mitigation drivers'!L165*CompostN2O)+('Mitigation drivers'!L166*ManwithbedN2O)+('Mitigation drivers'!L167*PMwithoutlitterN2O)+('Mitigation drivers'!L168*PMwithlitterN2O)+('Mitigation drivers'!L170*DigesterN2OEF))/100</f>
        <v>2.7200000000000002E-3</v>
      </c>
      <c r="R66" s="26">
        <f>(('Mitigation drivers'!M160*LagoonN2O)+('Mitigation drivers'!M161*LiquidN2O)+('Mitigation drivers'!M162*DrylotN2O)+('Mitigation drivers'!M163*SolidStorageN2O)+('Mitigation drivers'!M164*DailyspreadN2O)+('Mitigation drivers'!M165*CompostN2O)+('Mitigation drivers'!M166*ManwithbedN2O)+('Mitigation drivers'!M167*PMwithoutlitterN2O)+('Mitigation drivers'!M168*PMwithlitterN2O)+('Mitigation drivers'!M170*DigesterN2OEF))/100</f>
        <v>2.7200000000000002E-3</v>
      </c>
      <c r="S66" s="26">
        <f>(('Mitigation drivers'!N160*LagoonN2O)+('Mitigation drivers'!N161*LiquidN2O)+('Mitigation drivers'!N162*DrylotN2O)+('Mitigation drivers'!N163*SolidStorageN2O)+('Mitigation drivers'!N164*DailyspreadN2O)+('Mitigation drivers'!N165*CompostN2O)+('Mitigation drivers'!N166*ManwithbedN2O)+('Mitigation drivers'!N167*PMwithoutlitterN2O)+('Mitigation drivers'!N168*PMwithlitterN2O)+('Mitigation drivers'!N170*DigesterN2OEF))/100</f>
        <v>2.7200000000000002E-3</v>
      </c>
      <c r="T66" s="26">
        <f>(('Mitigation drivers'!O160*LagoonN2O)+('Mitigation drivers'!O161*LiquidN2O)+('Mitigation drivers'!O162*DrylotN2O)+('Mitigation drivers'!O163*SolidStorageN2O)+('Mitigation drivers'!O164*DailyspreadN2O)+('Mitigation drivers'!O165*CompostN2O)+('Mitigation drivers'!O166*ManwithbedN2O)+('Mitigation drivers'!O167*PMwithoutlitterN2O)+('Mitigation drivers'!O168*PMwithlitterN2O)+('Mitigation drivers'!O170*DigesterN2OEF))/100</f>
        <v>2.7200000000000002E-3</v>
      </c>
      <c r="U66" s="26">
        <f>(('Mitigation drivers'!P160*LagoonN2O)+('Mitigation drivers'!P161*LiquidN2O)+('Mitigation drivers'!P162*DrylotN2O)+('Mitigation drivers'!P163*SolidStorageN2O)+('Mitigation drivers'!P164*DailyspreadN2O)+('Mitigation drivers'!P165*CompostN2O)+('Mitigation drivers'!P166*ManwithbedN2O)+('Mitigation drivers'!P167*PMwithoutlitterN2O)+('Mitigation drivers'!P168*PMwithlitterN2O)+('Mitigation drivers'!P170*DigesterN2OEF))/100</f>
        <v>2.7200000000000002E-3</v>
      </c>
      <c r="V66" s="26">
        <f>(('Mitigation drivers'!Q160*LagoonN2O)+('Mitigation drivers'!Q161*LiquidN2O)+('Mitigation drivers'!Q162*DrylotN2O)+('Mitigation drivers'!Q163*SolidStorageN2O)+('Mitigation drivers'!Q164*DailyspreadN2O)+('Mitigation drivers'!Q165*CompostN2O)+('Mitigation drivers'!Q166*ManwithbedN2O)+('Mitigation drivers'!Q167*PMwithoutlitterN2O)+('Mitigation drivers'!Q168*PMwithlitterN2O)+('Mitigation drivers'!Q170*DigesterN2OEF))/100</f>
        <v>2.7200000000000002E-3</v>
      </c>
      <c r="W66" s="26">
        <f>(('Mitigation drivers'!R160*LagoonN2O)+('Mitigation drivers'!R161*LiquidN2O)+('Mitigation drivers'!R162*DrylotN2O)+('Mitigation drivers'!R163*SolidStorageN2O)+('Mitigation drivers'!R164*DailyspreadN2O)+('Mitigation drivers'!R165*CompostN2O)+('Mitigation drivers'!R166*ManwithbedN2O)+('Mitigation drivers'!R167*PMwithoutlitterN2O)+('Mitigation drivers'!R168*PMwithlitterN2O)+('Mitigation drivers'!R170*DigesterN2OEF))/100</f>
        <v>2.7200000000000002E-3</v>
      </c>
      <c r="X66" s="26">
        <f>(('Mitigation drivers'!S160*LagoonN2O)+('Mitigation drivers'!S161*LiquidN2O)+('Mitigation drivers'!S162*DrylotN2O)+('Mitigation drivers'!S163*SolidStorageN2O)+('Mitigation drivers'!S164*DailyspreadN2O)+('Mitigation drivers'!S165*CompostN2O)+('Mitigation drivers'!S166*ManwithbedN2O)+('Mitigation drivers'!S167*PMwithoutlitterN2O)+('Mitigation drivers'!S168*PMwithlitterN2O)+('Mitigation drivers'!S170*DigesterN2OEF))/100</f>
        <v>2.7200000000000002E-3</v>
      </c>
      <c r="Y66" s="26">
        <f>(('Mitigation drivers'!T160*LagoonN2O)+('Mitigation drivers'!T161*LiquidN2O)+('Mitigation drivers'!T162*DrylotN2O)+('Mitigation drivers'!T163*SolidStorageN2O)+('Mitigation drivers'!T164*DailyspreadN2O)+('Mitigation drivers'!T165*CompostN2O)+('Mitigation drivers'!T166*ManwithbedN2O)+('Mitigation drivers'!T167*PMwithoutlitterN2O)+('Mitigation drivers'!T168*PMwithlitterN2O)+('Mitigation drivers'!T170*DigesterN2OEF))/100</f>
        <v>2.7200000000000002E-3</v>
      </c>
      <c r="Z66" s="26">
        <f>(('Mitigation drivers'!U160*LagoonN2O)+('Mitigation drivers'!U161*LiquidN2O)+('Mitigation drivers'!U162*DrylotN2O)+('Mitigation drivers'!U163*SolidStorageN2O)+('Mitigation drivers'!U164*DailyspreadN2O)+('Mitigation drivers'!U165*CompostN2O)+('Mitigation drivers'!U166*ManwithbedN2O)+('Mitigation drivers'!U167*PMwithoutlitterN2O)+('Mitigation drivers'!U168*PMwithlitterN2O)+('Mitigation drivers'!U170*DigesterN2OEF))/100</f>
        <v>2.7200000000000002E-3</v>
      </c>
      <c r="AA66" s="26">
        <f>(('Mitigation drivers'!V160*LagoonN2O)+('Mitigation drivers'!V161*LiquidN2O)+('Mitigation drivers'!V162*DrylotN2O)+('Mitigation drivers'!V163*SolidStorageN2O)+('Mitigation drivers'!V164*DailyspreadN2O)+('Mitigation drivers'!V165*CompostN2O)+('Mitigation drivers'!V166*ManwithbedN2O)+('Mitigation drivers'!V167*PMwithoutlitterN2O)+('Mitigation drivers'!V168*PMwithlitterN2O)+('Mitigation drivers'!V170*DigesterN2OEF))/100</f>
        <v>2.7200000000000002E-3</v>
      </c>
      <c r="AB66" s="26">
        <f>(('Mitigation drivers'!W160*LagoonN2O)+('Mitigation drivers'!W161*LiquidN2O)+('Mitigation drivers'!W162*DrylotN2O)+('Mitigation drivers'!W163*SolidStorageN2O)+('Mitigation drivers'!W164*DailyspreadN2O)+('Mitigation drivers'!W165*CompostN2O)+('Mitigation drivers'!W166*ManwithbedN2O)+('Mitigation drivers'!W167*PMwithoutlitterN2O)+('Mitigation drivers'!W168*PMwithlitterN2O)+('Mitigation drivers'!W170*DigesterN2OEF))/100</f>
        <v>2.7200000000000002E-3</v>
      </c>
      <c r="AC66" s="26">
        <f>(('Mitigation drivers'!X160*LagoonN2O)+('Mitigation drivers'!X161*LiquidN2O)+('Mitigation drivers'!X162*DrylotN2O)+('Mitigation drivers'!X163*SolidStorageN2O)+('Mitigation drivers'!X164*DailyspreadN2O)+('Mitigation drivers'!X165*CompostN2O)+('Mitigation drivers'!X166*ManwithbedN2O)+('Mitigation drivers'!X167*PMwithoutlitterN2O)+('Mitigation drivers'!X168*PMwithlitterN2O)+('Mitigation drivers'!X170*DigesterN2OEF))/100</f>
        <v>2.7200000000000002E-3</v>
      </c>
      <c r="AD66" s="26">
        <f>(('Mitigation drivers'!Y160*LagoonN2O)+('Mitigation drivers'!Y161*LiquidN2O)+('Mitigation drivers'!Y162*DrylotN2O)+('Mitigation drivers'!Y163*SolidStorageN2O)+('Mitigation drivers'!Y164*DailyspreadN2O)+('Mitigation drivers'!Y165*CompostN2O)+('Mitigation drivers'!Y166*ManwithbedN2O)+('Mitigation drivers'!Y167*PMwithoutlitterN2O)+('Mitigation drivers'!Y168*PMwithlitterN2O)+('Mitigation drivers'!Y170*DigesterN2OEF))/100</f>
        <v>2.7200000000000002E-3</v>
      </c>
      <c r="AE66" s="26">
        <f>(('Mitigation drivers'!Z160*LagoonN2O)+('Mitigation drivers'!Z161*LiquidN2O)+('Mitigation drivers'!Z162*DrylotN2O)+('Mitigation drivers'!Z163*SolidStorageN2O)+('Mitigation drivers'!Z164*DailyspreadN2O)+('Mitigation drivers'!Z165*CompostN2O)+('Mitigation drivers'!Z166*ManwithbedN2O)+('Mitigation drivers'!Z167*PMwithoutlitterN2O)+('Mitigation drivers'!Z168*PMwithlitterN2O)+('Mitigation drivers'!Z170*DigesterN2OEF))/100</f>
        <v>2.7200000000000002E-3</v>
      </c>
      <c r="AF66" s="26">
        <f>(('Mitigation drivers'!AA160*LagoonN2O)+('Mitigation drivers'!AA161*LiquidN2O)+('Mitigation drivers'!AA162*DrylotN2O)+('Mitigation drivers'!AA163*SolidStorageN2O)+('Mitigation drivers'!AA164*DailyspreadN2O)+('Mitigation drivers'!AA165*CompostN2O)+('Mitigation drivers'!AA166*ManwithbedN2O)+('Mitigation drivers'!AA167*PMwithoutlitterN2O)+('Mitigation drivers'!AA168*PMwithlitterN2O)+('Mitigation drivers'!AA170*DigesterN2OEF))/100</f>
        <v>2.7200000000000002E-3</v>
      </c>
      <c r="AG66" s="26">
        <f>(('Mitigation drivers'!AB160*LagoonN2O)+('Mitigation drivers'!AB161*LiquidN2O)+('Mitigation drivers'!AB162*DrylotN2O)+('Mitigation drivers'!AB163*SolidStorageN2O)+('Mitigation drivers'!AB164*DailyspreadN2O)+('Mitigation drivers'!AB165*CompostN2O)+('Mitigation drivers'!AB166*ManwithbedN2O)+('Mitigation drivers'!AB167*PMwithoutlitterN2O)+('Mitigation drivers'!AB168*PMwithlitterN2O)+('Mitigation drivers'!AB170*DigesterN2OEF))/100</f>
        <v>2.7200000000000002E-3</v>
      </c>
      <c r="AH66" s="26">
        <f>(('Mitigation drivers'!AC160*LagoonN2O)+('Mitigation drivers'!AC161*LiquidN2O)+('Mitigation drivers'!AC162*DrylotN2O)+('Mitigation drivers'!AC163*SolidStorageN2O)+('Mitigation drivers'!AC164*DailyspreadN2O)+('Mitigation drivers'!AC165*CompostN2O)+('Mitigation drivers'!AC166*ManwithbedN2O)+('Mitigation drivers'!AC167*PMwithoutlitterN2O)+('Mitigation drivers'!AC168*PMwithlitterN2O)+('Mitigation drivers'!AC170*DigesterN2OEF))/100</f>
        <v>2.7200000000000002E-3</v>
      </c>
      <c r="AI66" s="26">
        <f>(('Mitigation drivers'!AD160*LagoonN2O)+('Mitigation drivers'!AD161*LiquidN2O)+('Mitigation drivers'!AD162*DrylotN2O)+('Mitigation drivers'!AD163*SolidStorageN2O)+('Mitigation drivers'!AD164*DailyspreadN2O)+('Mitigation drivers'!AD165*CompostN2O)+('Mitigation drivers'!AD166*ManwithbedN2O)+('Mitigation drivers'!AD167*PMwithoutlitterN2O)+('Mitigation drivers'!AD168*PMwithlitterN2O)+('Mitigation drivers'!AD170*DigesterN2OEF))/100</f>
        <v>2.7200000000000002E-3</v>
      </c>
      <c r="AJ66" s="26">
        <f>(('Mitigation drivers'!AE160*LagoonN2O)+('Mitigation drivers'!AE161*LiquidN2O)+('Mitigation drivers'!AE162*DrylotN2O)+('Mitigation drivers'!AE163*SolidStorageN2O)+('Mitigation drivers'!AE164*DailyspreadN2O)+('Mitigation drivers'!AE165*CompostN2O)+('Mitigation drivers'!AE166*ManwithbedN2O)+('Mitigation drivers'!AE167*PMwithoutlitterN2O)+('Mitigation drivers'!AE168*PMwithlitterN2O)+('Mitigation drivers'!AE170*DigesterN2OEF))/100</f>
        <v>2.7200000000000002E-3</v>
      </c>
      <c r="AK66" s="26">
        <f>(('Mitigation drivers'!AF160*LagoonN2O)+('Mitigation drivers'!AF161*LiquidN2O)+('Mitigation drivers'!AF162*DrylotN2O)+('Mitigation drivers'!AF163*SolidStorageN2O)+('Mitigation drivers'!AF164*DailyspreadN2O)+('Mitigation drivers'!AF165*CompostN2O)+('Mitigation drivers'!AF166*ManwithbedN2O)+('Mitigation drivers'!AF167*PMwithoutlitterN2O)+('Mitigation drivers'!AF168*PMwithlitterN2O)+('Mitigation drivers'!AF170*DigesterN2OEF))/100</f>
        <v>2.7200000000000002E-3</v>
      </c>
      <c r="AL66" s="26">
        <f>(('Mitigation drivers'!AG160*LagoonN2O)+('Mitigation drivers'!AG161*LiquidN2O)+('Mitigation drivers'!AG162*DrylotN2O)+('Mitigation drivers'!AG163*SolidStorageN2O)+('Mitigation drivers'!AG164*DailyspreadN2O)+('Mitigation drivers'!AG165*CompostN2O)+('Mitigation drivers'!AG166*ManwithbedN2O)+('Mitigation drivers'!AG167*PMwithoutlitterN2O)+('Mitigation drivers'!AG168*PMwithlitterN2O)+('Mitigation drivers'!AG170*DigesterN2OEF))/100</f>
        <v>2.7200000000000002E-3</v>
      </c>
      <c r="AM66" s="26">
        <f>(('Mitigation drivers'!AH160*LagoonN2O)+('Mitigation drivers'!AH161*LiquidN2O)+('Mitigation drivers'!AH162*DrylotN2O)+('Mitigation drivers'!AH163*SolidStorageN2O)+('Mitigation drivers'!AH164*DailyspreadN2O)+('Mitigation drivers'!AH165*CompostN2O)+('Mitigation drivers'!AH166*ManwithbedN2O)+('Mitigation drivers'!AH167*PMwithoutlitterN2O)+('Mitigation drivers'!AH168*PMwithlitterN2O)+('Mitigation drivers'!AH170*DigesterN2OEF))/100</f>
        <v>2.7200000000000002E-3</v>
      </c>
      <c r="AN66" s="26">
        <f>(('Mitigation drivers'!AI160*LagoonN2O)+('Mitigation drivers'!AI161*LiquidN2O)+('Mitigation drivers'!AI162*DrylotN2O)+('Mitigation drivers'!AI163*SolidStorageN2O)+('Mitigation drivers'!AI164*DailyspreadN2O)+('Mitigation drivers'!AI165*CompostN2O)+('Mitigation drivers'!AI166*ManwithbedN2O)+('Mitigation drivers'!AI167*PMwithoutlitterN2O)+('Mitigation drivers'!AI168*PMwithlitterN2O)+('Mitigation drivers'!AI170*DigesterN2OEF))/100</f>
        <v>2.7200000000000002E-3</v>
      </c>
      <c r="AO66" s="26">
        <f>(('Mitigation drivers'!AJ160*LagoonN2O)+('Mitigation drivers'!AJ161*LiquidN2O)+('Mitigation drivers'!AJ162*DrylotN2O)+('Mitigation drivers'!AJ163*SolidStorageN2O)+('Mitigation drivers'!AJ164*DailyspreadN2O)+('Mitigation drivers'!AJ165*CompostN2O)+('Mitigation drivers'!AJ166*ManwithbedN2O)+('Mitigation drivers'!AJ167*PMwithoutlitterN2O)+('Mitigation drivers'!AJ168*PMwithlitterN2O)+('Mitigation drivers'!AJ170*DigesterN2OEF))/100</f>
        <v>2.7200000000000002E-3</v>
      </c>
    </row>
    <row r="67" spans="1:41" x14ac:dyDescent="0.25">
      <c r="A67" t="str">
        <f t="shared" si="5"/>
        <v>3A Livestock</v>
      </c>
      <c r="B67" t="str">
        <f t="shared" si="13"/>
        <v>3A2 Manure management (N2O)</v>
      </c>
      <c r="C67" t="str">
        <f>'Activity data'!C18</f>
        <v>3A1h Swine</v>
      </c>
      <c r="D67" t="str">
        <f>'Activity data'!D18</f>
        <v>Subsistence</v>
      </c>
      <c r="E67" t="str">
        <f t="shared" si="32"/>
        <v>Manure management EF</v>
      </c>
      <c r="F67" t="str">
        <f t="shared" si="33"/>
        <v>N2O</v>
      </c>
      <c r="G67" t="str">
        <f t="shared" si="34"/>
        <v>kg N2O-N/kg Nex</v>
      </c>
      <c r="H67" s="26">
        <f>(('Mitigation drivers'!C172*LagoonN2O)+('Mitigation drivers'!C173*LiquidN2O)+('Mitigation drivers'!C174*DrylotN2O)+('Mitigation drivers'!C175*SolidStorageN2O)+('Mitigation drivers'!C176*DailyspreadN2O)+('Mitigation drivers'!C177*CompostN2O)+('Mitigation drivers'!C178*ManwithbedN2O)+('Mitigation drivers'!C179*PMwithoutlitterN2O)+('Mitigation drivers'!C180*PMwithlitterN2O)+('Mitigation drivers'!C182*DigesterN2OEF))/100</f>
        <v>7.1200000000000005E-3</v>
      </c>
      <c r="I67" s="26">
        <f>(('Mitigation drivers'!D172*LagoonN2O)+('Mitigation drivers'!D173*LiquidN2O)+('Mitigation drivers'!D174*DrylotN2O)+('Mitigation drivers'!D175*SolidStorageN2O)+('Mitigation drivers'!D176*DailyspreadN2O)+('Mitigation drivers'!D177*CompostN2O)+('Mitigation drivers'!D178*ManwithbedN2O)+('Mitigation drivers'!D179*PMwithoutlitterN2O)+('Mitigation drivers'!D180*PMwithlitterN2O)+('Mitigation drivers'!D182*DigesterN2OEF))/100</f>
        <v>7.1200000000000005E-3</v>
      </c>
      <c r="J67" s="26">
        <f>(('Mitigation drivers'!E172*LagoonN2O)+('Mitigation drivers'!E173*LiquidN2O)+('Mitigation drivers'!E174*DrylotN2O)+('Mitigation drivers'!E175*SolidStorageN2O)+('Mitigation drivers'!E176*DailyspreadN2O)+('Mitigation drivers'!E177*CompostN2O)+('Mitigation drivers'!E178*ManwithbedN2O)+('Mitigation drivers'!E179*PMwithoutlitterN2O)+('Mitigation drivers'!E180*PMwithlitterN2O)+('Mitigation drivers'!E182*DigesterN2OEF))/100</f>
        <v>7.1200000000000005E-3</v>
      </c>
      <c r="K67" s="26">
        <f>(('Mitigation drivers'!F172*LagoonN2O)+('Mitigation drivers'!F173*LiquidN2O)+('Mitigation drivers'!F174*DrylotN2O)+('Mitigation drivers'!F175*SolidStorageN2O)+('Mitigation drivers'!F176*DailyspreadN2O)+('Mitigation drivers'!F177*CompostN2O)+('Mitigation drivers'!F178*ManwithbedN2O)+('Mitigation drivers'!F179*PMwithoutlitterN2O)+('Mitigation drivers'!F180*PMwithlitterN2O)+('Mitigation drivers'!F182*DigesterN2OEF))/100</f>
        <v>7.1200000000000005E-3</v>
      </c>
      <c r="L67" s="26">
        <f>(('Mitigation drivers'!G172*LagoonN2O)+('Mitigation drivers'!G173*LiquidN2O)+('Mitigation drivers'!G174*DrylotN2O)+('Mitigation drivers'!G175*SolidStorageN2O)+('Mitigation drivers'!G176*DailyspreadN2O)+('Mitigation drivers'!G177*CompostN2O)+('Mitigation drivers'!G178*ManwithbedN2O)+('Mitigation drivers'!G179*PMwithoutlitterN2O)+('Mitigation drivers'!G180*PMwithlitterN2O)+('Mitigation drivers'!G182*DigesterN2OEF))/100</f>
        <v>7.1200000000000005E-3</v>
      </c>
      <c r="M67" s="26">
        <f>(('Mitigation drivers'!H172*LagoonN2O)+('Mitigation drivers'!H173*LiquidN2O)+('Mitigation drivers'!H174*DrylotN2O)+('Mitigation drivers'!H175*SolidStorageN2O)+('Mitigation drivers'!H176*DailyspreadN2O)+('Mitigation drivers'!H177*CompostN2O)+('Mitigation drivers'!H178*ManwithbedN2O)+('Mitigation drivers'!H179*PMwithoutlitterN2O)+('Mitigation drivers'!H180*PMwithlitterN2O)+('Mitigation drivers'!H182*DigesterN2OEF))/100</f>
        <v>7.1200000000000005E-3</v>
      </c>
      <c r="N67" s="26">
        <f>(('Mitigation drivers'!I172*LagoonN2O)+('Mitigation drivers'!I173*LiquidN2O)+('Mitigation drivers'!I174*DrylotN2O)+('Mitigation drivers'!I175*SolidStorageN2O)+('Mitigation drivers'!I176*DailyspreadN2O)+('Mitigation drivers'!I177*CompostN2O)+('Mitigation drivers'!I178*ManwithbedN2O)+('Mitigation drivers'!I179*PMwithoutlitterN2O)+('Mitigation drivers'!I180*PMwithlitterN2O)+('Mitigation drivers'!I182*DigesterN2OEF))/100</f>
        <v>7.1200000000000005E-3</v>
      </c>
      <c r="O67" s="26">
        <f>(('Mitigation drivers'!J172*LagoonN2O)+('Mitigation drivers'!J173*LiquidN2O)+('Mitigation drivers'!J174*DrylotN2O)+('Mitigation drivers'!J175*SolidStorageN2O)+('Mitigation drivers'!J176*DailyspreadN2O)+('Mitigation drivers'!J177*CompostN2O)+('Mitigation drivers'!J178*ManwithbedN2O)+('Mitigation drivers'!J179*PMwithoutlitterN2O)+('Mitigation drivers'!J180*PMwithlitterN2O)+('Mitigation drivers'!J182*DigesterN2OEF))/100</f>
        <v>7.1200000000000005E-3</v>
      </c>
      <c r="P67" s="26">
        <f>(('Mitigation drivers'!K172*LagoonN2O)+('Mitigation drivers'!K173*LiquidN2O)+('Mitigation drivers'!K174*DrylotN2O)+('Mitigation drivers'!K175*SolidStorageN2O)+('Mitigation drivers'!K176*DailyspreadN2O)+('Mitigation drivers'!K177*CompostN2O)+('Mitigation drivers'!K178*ManwithbedN2O)+('Mitigation drivers'!K179*PMwithoutlitterN2O)+('Mitigation drivers'!K180*PMwithlitterN2O)+('Mitigation drivers'!K182*DigesterN2OEF))/100</f>
        <v>7.1200000000000005E-3</v>
      </c>
      <c r="Q67" s="26">
        <f>(('Mitigation drivers'!L172*LagoonN2O)+('Mitigation drivers'!L173*LiquidN2O)+('Mitigation drivers'!L174*DrylotN2O)+('Mitigation drivers'!L175*SolidStorageN2O)+('Mitigation drivers'!L176*DailyspreadN2O)+('Mitigation drivers'!L177*CompostN2O)+('Mitigation drivers'!L178*ManwithbedN2O)+('Mitigation drivers'!L179*PMwithoutlitterN2O)+('Mitigation drivers'!L180*PMwithlitterN2O)+('Mitigation drivers'!L182*DigesterN2OEF))/100</f>
        <v>7.1200000000000005E-3</v>
      </c>
      <c r="R67" s="26">
        <f>(('Mitigation drivers'!M172*LagoonN2O)+('Mitigation drivers'!M173*LiquidN2O)+('Mitigation drivers'!M174*DrylotN2O)+('Mitigation drivers'!M175*SolidStorageN2O)+('Mitigation drivers'!M176*DailyspreadN2O)+('Mitigation drivers'!M177*CompostN2O)+('Mitigation drivers'!M178*ManwithbedN2O)+('Mitigation drivers'!M179*PMwithoutlitterN2O)+('Mitigation drivers'!M180*PMwithlitterN2O)+('Mitigation drivers'!M182*DigesterN2OEF))/100</f>
        <v>7.1200000000000005E-3</v>
      </c>
      <c r="S67" s="26">
        <f>(('Mitigation drivers'!N172*LagoonN2O)+('Mitigation drivers'!N173*LiquidN2O)+('Mitigation drivers'!N174*DrylotN2O)+('Mitigation drivers'!N175*SolidStorageN2O)+('Mitigation drivers'!N176*DailyspreadN2O)+('Mitigation drivers'!N177*CompostN2O)+('Mitigation drivers'!N178*ManwithbedN2O)+('Mitigation drivers'!N179*PMwithoutlitterN2O)+('Mitigation drivers'!N180*PMwithlitterN2O)+('Mitigation drivers'!N182*DigesterN2OEF))/100</f>
        <v>7.1200000000000005E-3</v>
      </c>
      <c r="T67" s="26">
        <f>(('Mitigation drivers'!O172*LagoonN2O)+('Mitigation drivers'!O173*LiquidN2O)+('Mitigation drivers'!O174*DrylotN2O)+('Mitigation drivers'!O175*SolidStorageN2O)+('Mitigation drivers'!O176*DailyspreadN2O)+('Mitigation drivers'!O177*CompostN2O)+('Mitigation drivers'!O178*ManwithbedN2O)+('Mitigation drivers'!O179*PMwithoutlitterN2O)+('Mitigation drivers'!O180*PMwithlitterN2O)+('Mitigation drivers'!O182*DigesterN2OEF))/100</f>
        <v>7.1200000000000005E-3</v>
      </c>
      <c r="U67" s="26">
        <f>(('Mitigation drivers'!P172*LagoonN2O)+('Mitigation drivers'!P173*LiquidN2O)+('Mitigation drivers'!P174*DrylotN2O)+('Mitigation drivers'!P175*SolidStorageN2O)+('Mitigation drivers'!P176*DailyspreadN2O)+('Mitigation drivers'!P177*CompostN2O)+('Mitigation drivers'!P178*ManwithbedN2O)+('Mitigation drivers'!P179*PMwithoutlitterN2O)+('Mitigation drivers'!P180*PMwithlitterN2O)+('Mitigation drivers'!P182*DigesterN2OEF))/100</f>
        <v>7.1200000000000005E-3</v>
      </c>
      <c r="V67" s="26">
        <f>(('Mitigation drivers'!Q172*LagoonN2O)+('Mitigation drivers'!Q173*LiquidN2O)+('Mitigation drivers'!Q174*DrylotN2O)+('Mitigation drivers'!Q175*SolidStorageN2O)+('Mitigation drivers'!Q176*DailyspreadN2O)+('Mitigation drivers'!Q177*CompostN2O)+('Mitigation drivers'!Q178*ManwithbedN2O)+('Mitigation drivers'!Q179*PMwithoutlitterN2O)+('Mitigation drivers'!Q180*PMwithlitterN2O)+('Mitigation drivers'!Q182*DigesterN2OEF))/100</f>
        <v>7.1200000000000005E-3</v>
      </c>
      <c r="W67" s="26">
        <f>(('Mitigation drivers'!R172*LagoonN2O)+('Mitigation drivers'!R173*LiquidN2O)+('Mitigation drivers'!R174*DrylotN2O)+('Mitigation drivers'!R175*SolidStorageN2O)+('Mitigation drivers'!R176*DailyspreadN2O)+('Mitigation drivers'!R177*CompostN2O)+('Mitigation drivers'!R178*ManwithbedN2O)+('Mitigation drivers'!R179*PMwithoutlitterN2O)+('Mitigation drivers'!R180*PMwithlitterN2O)+('Mitigation drivers'!R182*DigesterN2OEF))/100</f>
        <v>7.1200000000000005E-3</v>
      </c>
      <c r="X67" s="26">
        <f>(('Mitigation drivers'!S172*LagoonN2O)+('Mitigation drivers'!S173*LiquidN2O)+('Mitigation drivers'!S174*DrylotN2O)+('Mitigation drivers'!S175*SolidStorageN2O)+('Mitigation drivers'!S176*DailyspreadN2O)+('Mitigation drivers'!S177*CompostN2O)+('Mitigation drivers'!S178*ManwithbedN2O)+('Mitigation drivers'!S179*PMwithoutlitterN2O)+('Mitigation drivers'!S180*PMwithlitterN2O)+('Mitigation drivers'!S182*DigesterN2OEF))/100</f>
        <v>7.1200000000000005E-3</v>
      </c>
      <c r="Y67" s="26">
        <f>(('Mitigation drivers'!T172*LagoonN2O)+('Mitigation drivers'!T173*LiquidN2O)+('Mitigation drivers'!T174*DrylotN2O)+('Mitigation drivers'!T175*SolidStorageN2O)+('Mitigation drivers'!T176*DailyspreadN2O)+('Mitigation drivers'!T177*CompostN2O)+('Mitigation drivers'!T178*ManwithbedN2O)+('Mitigation drivers'!T179*PMwithoutlitterN2O)+('Mitigation drivers'!T180*PMwithlitterN2O)+('Mitigation drivers'!T182*DigesterN2OEF))/100</f>
        <v>7.1200000000000005E-3</v>
      </c>
      <c r="Z67" s="26">
        <f>(('Mitigation drivers'!U172*LagoonN2O)+('Mitigation drivers'!U173*LiquidN2O)+('Mitigation drivers'!U174*DrylotN2O)+('Mitigation drivers'!U175*SolidStorageN2O)+('Mitigation drivers'!U176*DailyspreadN2O)+('Mitigation drivers'!U177*CompostN2O)+('Mitigation drivers'!U178*ManwithbedN2O)+('Mitigation drivers'!U179*PMwithoutlitterN2O)+('Mitigation drivers'!U180*PMwithlitterN2O)+('Mitigation drivers'!U182*DigesterN2OEF))/100</f>
        <v>7.1200000000000005E-3</v>
      </c>
      <c r="AA67" s="26">
        <f>(('Mitigation drivers'!V172*LagoonN2O)+('Mitigation drivers'!V173*LiquidN2O)+('Mitigation drivers'!V174*DrylotN2O)+('Mitigation drivers'!V175*SolidStorageN2O)+('Mitigation drivers'!V176*DailyspreadN2O)+('Mitigation drivers'!V177*CompostN2O)+('Mitigation drivers'!V178*ManwithbedN2O)+('Mitigation drivers'!V179*PMwithoutlitterN2O)+('Mitigation drivers'!V180*PMwithlitterN2O)+('Mitigation drivers'!V182*DigesterN2OEF))/100</f>
        <v>7.1200000000000005E-3</v>
      </c>
      <c r="AB67" s="26">
        <f>(('Mitigation drivers'!W172*LagoonN2O)+('Mitigation drivers'!W173*LiquidN2O)+('Mitigation drivers'!W174*DrylotN2O)+('Mitigation drivers'!W175*SolidStorageN2O)+('Mitigation drivers'!W176*DailyspreadN2O)+('Mitigation drivers'!W177*CompostN2O)+('Mitigation drivers'!W178*ManwithbedN2O)+('Mitigation drivers'!W179*PMwithoutlitterN2O)+('Mitigation drivers'!W180*PMwithlitterN2O)+('Mitigation drivers'!W182*DigesterN2OEF))/100</f>
        <v>7.1200000000000005E-3</v>
      </c>
      <c r="AC67" s="26">
        <f>(('Mitigation drivers'!X172*LagoonN2O)+('Mitigation drivers'!X173*LiquidN2O)+('Mitigation drivers'!X174*DrylotN2O)+('Mitigation drivers'!X175*SolidStorageN2O)+('Mitigation drivers'!X176*DailyspreadN2O)+('Mitigation drivers'!X177*CompostN2O)+('Mitigation drivers'!X178*ManwithbedN2O)+('Mitigation drivers'!X179*PMwithoutlitterN2O)+('Mitigation drivers'!X180*PMwithlitterN2O)+('Mitigation drivers'!X182*DigesterN2OEF))/100</f>
        <v>7.1200000000000005E-3</v>
      </c>
      <c r="AD67" s="26">
        <f>(('Mitigation drivers'!Y172*LagoonN2O)+('Mitigation drivers'!Y173*LiquidN2O)+('Mitigation drivers'!Y174*DrylotN2O)+('Mitigation drivers'!Y175*SolidStorageN2O)+('Mitigation drivers'!Y176*DailyspreadN2O)+('Mitigation drivers'!Y177*CompostN2O)+('Mitigation drivers'!Y178*ManwithbedN2O)+('Mitigation drivers'!Y179*PMwithoutlitterN2O)+('Mitigation drivers'!Y180*PMwithlitterN2O)+('Mitigation drivers'!Y182*DigesterN2OEF))/100</f>
        <v>7.1200000000000005E-3</v>
      </c>
      <c r="AE67" s="26">
        <f>(('Mitigation drivers'!Z172*LagoonN2O)+('Mitigation drivers'!Z173*LiquidN2O)+('Mitigation drivers'!Z174*DrylotN2O)+('Mitigation drivers'!Z175*SolidStorageN2O)+('Mitigation drivers'!Z176*DailyspreadN2O)+('Mitigation drivers'!Z177*CompostN2O)+('Mitigation drivers'!Z178*ManwithbedN2O)+('Mitigation drivers'!Z179*PMwithoutlitterN2O)+('Mitigation drivers'!Z180*PMwithlitterN2O)+('Mitigation drivers'!Z182*DigesterN2OEF))/100</f>
        <v>7.1200000000000005E-3</v>
      </c>
      <c r="AF67" s="26">
        <f>(('Mitigation drivers'!AA172*LagoonN2O)+('Mitigation drivers'!AA173*LiquidN2O)+('Mitigation drivers'!AA174*DrylotN2O)+('Mitigation drivers'!AA175*SolidStorageN2O)+('Mitigation drivers'!AA176*DailyspreadN2O)+('Mitigation drivers'!AA177*CompostN2O)+('Mitigation drivers'!AA178*ManwithbedN2O)+('Mitigation drivers'!AA179*PMwithoutlitterN2O)+('Mitigation drivers'!AA180*PMwithlitterN2O)+('Mitigation drivers'!AA182*DigesterN2OEF))/100</f>
        <v>7.1200000000000005E-3</v>
      </c>
      <c r="AG67" s="26">
        <f>(('Mitigation drivers'!AB172*LagoonN2O)+('Mitigation drivers'!AB173*LiquidN2O)+('Mitigation drivers'!AB174*DrylotN2O)+('Mitigation drivers'!AB175*SolidStorageN2O)+('Mitigation drivers'!AB176*DailyspreadN2O)+('Mitigation drivers'!AB177*CompostN2O)+('Mitigation drivers'!AB178*ManwithbedN2O)+('Mitigation drivers'!AB179*PMwithoutlitterN2O)+('Mitigation drivers'!AB180*PMwithlitterN2O)+('Mitigation drivers'!AB182*DigesterN2OEF))/100</f>
        <v>7.1200000000000005E-3</v>
      </c>
      <c r="AH67" s="26">
        <f>(('Mitigation drivers'!AC172*LagoonN2O)+('Mitigation drivers'!AC173*LiquidN2O)+('Mitigation drivers'!AC174*DrylotN2O)+('Mitigation drivers'!AC175*SolidStorageN2O)+('Mitigation drivers'!AC176*DailyspreadN2O)+('Mitigation drivers'!AC177*CompostN2O)+('Mitigation drivers'!AC178*ManwithbedN2O)+('Mitigation drivers'!AC179*PMwithoutlitterN2O)+('Mitigation drivers'!AC180*PMwithlitterN2O)+('Mitigation drivers'!AC182*DigesterN2OEF))/100</f>
        <v>7.1200000000000005E-3</v>
      </c>
      <c r="AI67" s="26">
        <f>(('Mitigation drivers'!AD172*LagoonN2O)+('Mitigation drivers'!AD173*LiquidN2O)+('Mitigation drivers'!AD174*DrylotN2O)+('Mitigation drivers'!AD175*SolidStorageN2O)+('Mitigation drivers'!AD176*DailyspreadN2O)+('Mitigation drivers'!AD177*CompostN2O)+('Mitigation drivers'!AD178*ManwithbedN2O)+('Mitigation drivers'!AD179*PMwithoutlitterN2O)+('Mitigation drivers'!AD180*PMwithlitterN2O)+('Mitigation drivers'!AD182*DigesterN2OEF))/100</f>
        <v>7.1200000000000005E-3</v>
      </c>
      <c r="AJ67" s="26">
        <f>(('Mitigation drivers'!AE172*LagoonN2O)+('Mitigation drivers'!AE173*LiquidN2O)+('Mitigation drivers'!AE174*DrylotN2O)+('Mitigation drivers'!AE175*SolidStorageN2O)+('Mitigation drivers'!AE176*DailyspreadN2O)+('Mitigation drivers'!AE177*CompostN2O)+('Mitigation drivers'!AE178*ManwithbedN2O)+('Mitigation drivers'!AE179*PMwithoutlitterN2O)+('Mitigation drivers'!AE180*PMwithlitterN2O)+('Mitigation drivers'!AE182*DigesterN2OEF))/100</f>
        <v>7.1200000000000005E-3</v>
      </c>
      <c r="AK67" s="26">
        <f>(('Mitigation drivers'!AF172*LagoonN2O)+('Mitigation drivers'!AF173*LiquidN2O)+('Mitigation drivers'!AF174*DrylotN2O)+('Mitigation drivers'!AF175*SolidStorageN2O)+('Mitigation drivers'!AF176*DailyspreadN2O)+('Mitigation drivers'!AF177*CompostN2O)+('Mitigation drivers'!AF178*ManwithbedN2O)+('Mitigation drivers'!AF179*PMwithoutlitterN2O)+('Mitigation drivers'!AF180*PMwithlitterN2O)+('Mitigation drivers'!AF182*DigesterN2OEF))/100</f>
        <v>7.1200000000000005E-3</v>
      </c>
      <c r="AL67" s="26">
        <f>(('Mitigation drivers'!AG172*LagoonN2O)+('Mitigation drivers'!AG173*LiquidN2O)+('Mitigation drivers'!AG174*DrylotN2O)+('Mitigation drivers'!AG175*SolidStorageN2O)+('Mitigation drivers'!AG176*DailyspreadN2O)+('Mitigation drivers'!AG177*CompostN2O)+('Mitigation drivers'!AG178*ManwithbedN2O)+('Mitigation drivers'!AG179*PMwithoutlitterN2O)+('Mitigation drivers'!AG180*PMwithlitterN2O)+('Mitigation drivers'!AG182*DigesterN2OEF))/100</f>
        <v>7.1200000000000005E-3</v>
      </c>
      <c r="AM67" s="26">
        <f>(('Mitigation drivers'!AH172*LagoonN2O)+('Mitigation drivers'!AH173*LiquidN2O)+('Mitigation drivers'!AH174*DrylotN2O)+('Mitigation drivers'!AH175*SolidStorageN2O)+('Mitigation drivers'!AH176*DailyspreadN2O)+('Mitigation drivers'!AH177*CompostN2O)+('Mitigation drivers'!AH178*ManwithbedN2O)+('Mitigation drivers'!AH179*PMwithoutlitterN2O)+('Mitigation drivers'!AH180*PMwithlitterN2O)+('Mitigation drivers'!AH182*DigesterN2OEF))/100</f>
        <v>7.1200000000000005E-3</v>
      </c>
      <c r="AN67" s="26">
        <f>(('Mitigation drivers'!AI172*LagoonN2O)+('Mitigation drivers'!AI173*LiquidN2O)+('Mitigation drivers'!AI174*DrylotN2O)+('Mitigation drivers'!AI175*SolidStorageN2O)+('Mitigation drivers'!AI176*DailyspreadN2O)+('Mitigation drivers'!AI177*CompostN2O)+('Mitigation drivers'!AI178*ManwithbedN2O)+('Mitigation drivers'!AI179*PMwithoutlitterN2O)+('Mitigation drivers'!AI180*PMwithlitterN2O)+('Mitigation drivers'!AI182*DigesterN2OEF))/100</f>
        <v>7.1200000000000005E-3</v>
      </c>
      <c r="AO67" s="26">
        <f>(('Mitigation drivers'!AJ172*LagoonN2O)+('Mitigation drivers'!AJ173*LiquidN2O)+('Mitigation drivers'!AJ174*DrylotN2O)+('Mitigation drivers'!AJ175*SolidStorageN2O)+('Mitigation drivers'!AJ176*DailyspreadN2O)+('Mitigation drivers'!AJ177*CompostN2O)+('Mitigation drivers'!AJ178*ManwithbedN2O)+('Mitigation drivers'!AJ179*PMwithoutlitterN2O)+('Mitigation drivers'!AJ180*PMwithlitterN2O)+('Mitigation drivers'!AJ182*DigesterN2OEF))/100</f>
        <v>7.1200000000000005E-3</v>
      </c>
    </row>
    <row r="68" spans="1:41" x14ac:dyDescent="0.25">
      <c r="A68" t="str">
        <f t="shared" si="5"/>
        <v>3A Livestock</v>
      </c>
      <c r="B68" t="str">
        <f t="shared" si="13"/>
        <v>3A2 Manure management (N2O)</v>
      </c>
      <c r="C68" t="str">
        <f>'Activity data'!C19</f>
        <v>3A2i Poultry</v>
      </c>
      <c r="D68" t="str">
        <f>'Activity data'!D19</f>
        <v>Commercial layers</v>
      </c>
      <c r="E68" t="str">
        <f t="shared" si="32"/>
        <v>Manure management EF</v>
      </c>
      <c r="F68" t="str">
        <f t="shared" si="33"/>
        <v>N2O</v>
      </c>
      <c r="G68" t="str">
        <f t="shared" si="34"/>
        <v>kg N2O-N/kg Nex</v>
      </c>
      <c r="H68" s="26">
        <f>(('Mitigation drivers'!C185*LagoonN2O)+('Mitigation drivers'!C186*LiquidN2O)+('Mitigation drivers'!C187*DrylotN2O)+('Mitigation drivers'!C188*SolidStorageN2O)+('Mitigation drivers'!C189*DailyspreadN2O)+('Mitigation drivers'!C190*CompostN2O)+('Mitigation drivers'!C191*ManwithbedN2O)+('Mitigation drivers'!C192*PMwithoutlitterN2O)+('Mitigation drivers'!C193*PMwithlitterN2O)+('Mitigation drivers'!C195*DigesterN2OEF))/100</f>
        <v>1.4700000000000001E-2</v>
      </c>
      <c r="I68" s="26">
        <f>(('Mitigation drivers'!D185*LagoonN2O)+('Mitigation drivers'!D186*LiquidN2O)+('Mitigation drivers'!D187*DrylotN2O)+('Mitigation drivers'!D188*SolidStorageN2O)+('Mitigation drivers'!D189*DailyspreadN2O)+('Mitigation drivers'!D190*CompostN2O)+('Mitigation drivers'!D191*ManwithbedN2O)+('Mitigation drivers'!D192*PMwithoutlitterN2O)+('Mitigation drivers'!D193*PMwithlitterN2O)+('Mitigation drivers'!D195*DigesterN2OEF))/100</f>
        <v>1.4700000000000001E-2</v>
      </c>
      <c r="J68" s="26">
        <f>(('Mitigation drivers'!E185*LagoonN2O)+('Mitigation drivers'!E186*LiquidN2O)+('Mitigation drivers'!E187*DrylotN2O)+('Mitigation drivers'!E188*SolidStorageN2O)+('Mitigation drivers'!E189*DailyspreadN2O)+('Mitigation drivers'!E190*CompostN2O)+('Mitigation drivers'!E191*ManwithbedN2O)+('Mitigation drivers'!E192*PMwithoutlitterN2O)+('Mitigation drivers'!E193*PMwithlitterN2O)+('Mitigation drivers'!E195*DigesterN2OEF))/100</f>
        <v>1.4700000000000001E-2</v>
      </c>
      <c r="K68" s="26">
        <f>(('Mitigation drivers'!F185*LagoonN2O)+('Mitigation drivers'!F186*LiquidN2O)+('Mitigation drivers'!F187*DrylotN2O)+('Mitigation drivers'!F188*SolidStorageN2O)+('Mitigation drivers'!F189*DailyspreadN2O)+('Mitigation drivers'!F190*CompostN2O)+('Mitigation drivers'!F191*ManwithbedN2O)+('Mitigation drivers'!F192*PMwithoutlitterN2O)+('Mitigation drivers'!F193*PMwithlitterN2O)+('Mitigation drivers'!F195*DigesterN2OEF))/100</f>
        <v>1.4700000000000001E-2</v>
      </c>
      <c r="L68" s="26">
        <f>(('Mitigation drivers'!G185*LagoonN2O)+('Mitigation drivers'!G186*LiquidN2O)+('Mitigation drivers'!G187*DrylotN2O)+('Mitigation drivers'!G188*SolidStorageN2O)+('Mitigation drivers'!G189*DailyspreadN2O)+('Mitigation drivers'!G190*CompostN2O)+('Mitigation drivers'!G191*ManwithbedN2O)+('Mitigation drivers'!G192*PMwithoutlitterN2O)+('Mitigation drivers'!G193*PMwithlitterN2O)+('Mitigation drivers'!G195*DigesterN2OEF))/100</f>
        <v>1.4700000000000001E-2</v>
      </c>
      <c r="M68" s="26">
        <f>(('Mitigation drivers'!H185*LagoonN2O)+('Mitigation drivers'!H186*LiquidN2O)+('Mitigation drivers'!H187*DrylotN2O)+('Mitigation drivers'!H188*SolidStorageN2O)+('Mitigation drivers'!H189*DailyspreadN2O)+('Mitigation drivers'!H190*CompostN2O)+('Mitigation drivers'!H191*ManwithbedN2O)+('Mitigation drivers'!H192*PMwithoutlitterN2O)+('Mitigation drivers'!H193*PMwithlitterN2O)+('Mitigation drivers'!H195*DigesterN2OEF))/100</f>
        <v>1.4700000000000001E-2</v>
      </c>
      <c r="N68" s="26">
        <f>(('Mitigation drivers'!I185*LagoonN2O)+('Mitigation drivers'!I186*LiquidN2O)+('Mitigation drivers'!I187*DrylotN2O)+('Mitigation drivers'!I188*SolidStorageN2O)+('Mitigation drivers'!I189*DailyspreadN2O)+('Mitigation drivers'!I190*CompostN2O)+('Mitigation drivers'!I191*ManwithbedN2O)+('Mitigation drivers'!I192*PMwithoutlitterN2O)+('Mitigation drivers'!I193*PMwithlitterN2O)+('Mitigation drivers'!I195*DigesterN2OEF))/100</f>
        <v>1.4700000000000001E-2</v>
      </c>
      <c r="O68" s="26">
        <f>(('Mitigation drivers'!J185*LagoonN2O)+('Mitigation drivers'!J186*LiquidN2O)+('Mitigation drivers'!J187*DrylotN2O)+('Mitigation drivers'!J188*SolidStorageN2O)+('Mitigation drivers'!J189*DailyspreadN2O)+('Mitigation drivers'!J190*CompostN2O)+('Mitigation drivers'!J191*ManwithbedN2O)+('Mitigation drivers'!J192*PMwithoutlitterN2O)+('Mitigation drivers'!J193*PMwithlitterN2O)+('Mitigation drivers'!J195*DigesterN2OEF))/100</f>
        <v>1.4700000000000001E-2</v>
      </c>
      <c r="P68" s="26">
        <f>(('Mitigation drivers'!K185*LagoonN2O)+('Mitigation drivers'!K186*LiquidN2O)+('Mitigation drivers'!K187*DrylotN2O)+('Mitigation drivers'!K188*SolidStorageN2O)+('Mitigation drivers'!K189*DailyspreadN2O)+('Mitigation drivers'!K190*CompostN2O)+('Mitigation drivers'!K191*ManwithbedN2O)+('Mitigation drivers'!K192*PMwithoutlitterN2O)+('Mitigation drivers'!K193*PMwithlitterN2O)+('Mitigation drivers'!K195*DigesterN2OEF))/100</f>
        <v>1.4700000000000001E-2</v>
      </c>
      <c r="Q68" s="26">
        <f>(('Mitigation drivers'!L185*LagoonN2O)+('Mitigation drivers'!L186*LiquidN2O)+('Mitigation drivers'!L187*DrylotN2O)+('Mitigation drivers'!L188*SolidStorageN2O)+('Mitigation drivers'!L189*DailyspreadN2O)+('Mitigation drivers'!L190*CompostN2O)+('Mitigation drivers'!L191*ManwithbedN2O)+('Mitigation drivers'!L192*PMwithoutlitterN2O)+('Mitigation drivers'!L193*PMwithlitterN2O)+('Mitigation drivers'!L195*DigesterN2OEF))/100</f>
        <v>1.4700000000000001E-2</v>
      </c>
      <c r="R68" s="26">
        <f>(('Mitigation drivers'!M185*LagoonN2O)+('Mitigation drivers'!M186*LiquidN2O)+('Mitigation drivers'!M187*DrylotN2O)+('Mitigation drivers'!M188*SolidStorageN2O)+('Mitigation drivers'!M189*DailyspreadN2O)+('Mitigation drivers'!M190*CompostN2O)+('Mitigation drivers'!M191*ManwithbedN2O)+('Mitigation drivers'!M192*PMwithoutlitterN2O)+('Mitigation drivers'!M193*PMwithlitterN2O)+('Mitigation drivers'!M195*DigesterN2OEF))/100</f>
        <v>1.4700000000000001E-2</v>
      </c>
      <c r="S68" s="26">
        <f>(('Mitigation drivers'!N185*LagoonN2O)+('Mitigation drivers'!N186*LiquidN2O)+('Mitigation drivers'!N187*DrylotN2O)+('Mitigation drivers'!N188*SolidStorageN2O)+('Mitigation drivers'!N189*DailyspreadN2O)+('Mitigation drivers'!N190*CompostN2O)+('Mitigation drivers'!N191*ManwithbedN2O)+('Mitigation drivers'!N192*PMwithoutlitterN2O)+('Mitigation drivers'!N193*PMwithlitterN2O)+('Mitigation drivers'!N195*DigesterN2OEF))/100</f>
        <v>1.4700000000000001E-2</v>
      </c>
      <c r="T68" s="26">
        <f>(('Mitigation drivers'!O185*LagoonN2O)+('Mitigation drivers'!O186*LiquidN2O)+('Mitigation drivers'!O187*DrylotN2O)+('Mitigation drivers'!O188*SolidStorageN2O)+('Mitigation drivers'!O189*DailyspreadN2O)+('Mitigation drivers'!O190*CompostN2O)+('Mitigation drivers'!O191*ManwithbedN2O)+('Mitigation drivers'!O192*PMwithoutlitterN2O)+('Mitigation drivers'!O193*PMwithlitterN2O)+('Mitigation drivers'!O195*DigesterN2OEF))/100</f>
        <v>1.4700000000000001E-2</v>
      </c>
      <c r="U68" s="26">
        <f>(('Mitigation drivers'!P185*LagoonN2O)+('Mitigation drivers'!P186*LiquidN2O)+('Mitigation drivers'!P187*DrylotN2O)+('Mitigation drivers'!P188*SolidStorageN2O)+('Mitigation drivers'!P189*DailyspreadN2O)+('Mitigation drivers'!P190*CompostN2O)+('Mitigation drivers'!P191*ManwithbedN2O)+('Mitigation drivers'!P192*PMwithoutlitterN2O)+('Mitigation drivers'!P193*PMwithlitterN2O)+('Mitigation drivers'!P195*DigesterN2OEF))/100</f>
        <v>1.4700000000000001E-2</v>
      </c>
      <c r="V68" s="26">
        <f>(('Mitigation drivers'!Q185*LagoonN2O)+('Mitigation drivers'!Q186*LiquidN2O)+('Mitigation drivers'!Q187*DrylotN2O)+('Mitigation drivers'!Q188*SolidStorageN2O)+('Mitigation drivers'!Q189*DailyspreadN2O)+('Mitigation drivers'!Q190*CompostN2O)+('Mitigation drivers'!Q191*ManwithbedN2O)+('Mitigation drivers'!Q192*PMwithoutlitterN2O)+('Mitigation drivers'!Q193*PMwithlitterN2O)+('Mitigation drivers'!Q195*DigesterN2OEF))/100</f>
        <v>1.4700000000000001E-2</v>
      </c>
      <c r="W68" s="26">
        <f>(('Mitigation drivers'!R185*LagoonN2O)+('Mitigation drivers'!R186*LiquidN2O)+('Mitigation drivers'!R187*DrylotN2O)+('Mitigation drivers'!R188*SolidStorageN2O)+('Mitigation drivers'!R189*DailyspreadN2O)+('Mitigation drivers'!R190*CompostN2O)+('Mitigation drivers'!R191*ManwithbedN2O)+('Mitigation drivers'!R192*PMwithoutlitterN2O)+('Mitigation drivers'!R193*PMwithlitterN2O)+('Mitigation drivers'!R195*DigesterN2OEF))/100</f>
        <v>1.4700000000000001E-2</v>
      </c>
      <c r="X68" s="26">
        <f>(('Mitigation drivers'!S185*LagoonN2O)+('Mitigation drivers'!S186*LiquidN2O)+('Mitigation drivers'!S187*DrylotN2O)+('Mitigation drivers'!S188*SolidStorageN2O)+('Mitigation drivers'!S189*DailyspreadN2O)+('Mitigation drivers'!S190*CompostN2O)+('Mitigation drivers'!S191*ManwithbedN2O)+('Mitigation drivers'!S192*PMwithoutlitterN2O)+('Mitigation drivers'!S193*PMwithlitterN2O)+('Mitigation drivers'!S195*DigesterN2OEF))/100</f>
        <v>1.4700000000000001E-2</v>
      </c>
      <c r="Y68" s="26">
        <f>(('Mitigation drivers'!T185*LagoonN2O)+('Mitigation drivers'!T186*LiquidN2O)+('Mitigation drivers'!T187*DrylotN2O)+('Mitigation drivers'!T188*SolidStorageN2O)+('Mitigation drivers'!T189*DailyspreadN2O)+('Mitigation drivers'!T190*CompostN2O)+('Mitigation drivers'!T191*ManwithbedN2O)+('Mitigation drivers'!T192*PMwithoutlitterN2O)+('Mitigation drivers'!T193*PMwithlitterN2O)+('Mitigation drivers'!T195*DigesterN2OEF))/100</f>
        <v>1.4700000000000001E-2</v>
      </c>
      <c r="Z68" s="26">
        <f>(('Mitigation drivers'!U185*LagoonN2O)+('Mitigation drivers'!U186*LiquidN2O)+('Mitigation drivers'!U187*DrylotN2O)+('Mitigation drivers'!U188*SolidStorageN2O)+('Mitigation drivers'!U189*DailyspreadN2O)+('Mitigation drivers'!U190*CompostN2O)+('Mitigation drivers'!U191*ManwithbedN2O)+('Mitigation drivers'!U192*PMwithoutlitterN2O)+('Mitigation drivers'!U193*PMwithlitterN2O)+('Mitigation drivers'!U195*DigesterN2OEF))/100</f>
        <v>1.4700000000000001E-2</v>
      </c>
      <c r="AA68" s="26">
        <f>(('Mitigation drivers'!V185*LagoonN2O)+('Mitigation drivers'!V186*LiquidN2O)+('Mitigation drivers'!V187*DrylotN2O)+('Mitigation drivers'!V188*SolidStorageN2O)+('Mitigation drivers'!V189*DailyspreadN2O)+('Mitigation drivers'!V190*CompostN2O)+('Mitigation drivers'!V191*ManwithbedN2O)+('Mitigation drivers'!V192*PMwithoutlitterN2O)+('Mitigation drivers'!V193*PMwithlitterN2O)+('Mitigation drivers'!V195*DigesterN2OEF))/100</f>
        <v>1.4700000000000001E-2</v>
      </c>
      <c r="AB68" s="26">
        <f>(('Mitigation drivers'!W185*LagoonN2O)+('Mitigation drivers'!W186*LiquidN2O)+('Mitigation drivers'!W187*DrylotN2O)+('Mitigation drivers'!W188*SolidStorageN2O)+('Mitigation drivers'!W189*DailyspreadN2O)+('Mitigation drivers'!W190*CompostN2O)+('Mitigation drivers'!W191*ManwithbedN2O)+('Mitigation drivers'!W192*PMwithoutlitterN2O)+('Mitigation drivers'!W193*PMwithlitterN2O)+('Mitigation drivers'!W195*DigesterN2OEF))/100</f>
        <v>1.4700000000000001E-2</v>
      </c>
      <c r="AC68" s="26">
        <f>(('Mitigation drivers'!X185*LagoonN2O)+('Mitigation drivers'!X186*LiquidN2O)+('Mitigation drivers'!X187*DrylotN2O)+('Mitigation drivers'!X188*SolidStorageN2O)+('Mitigation drivers'!X189*DailyspreadN2O)+('Mitigation drivers'!X190*CompostN2O)+('Mitigation drivers'!X191*ManwithbedN2O)+('Mitigation drivers'!X192*PMwithoutlitterN2O)+('Mitigation drivers'!X193*PMwithlitterN2O)+('Mitigation drivers'!X195*DigesterN2OEF))/100</f>
        <v>1.4700000000000001E-2</v>
      </c>
      <c r="AD68" s="26">
        <f>(('Mitigation drivers'!Y185*LagoonN2O)+('Mitigation drivers'!Y186*LiquidN2O)+('Mitigation drivers'!Y187*DrylotN2O)+('Mitigation drivers'!Y188*SolidStorageN2O)+('Mitigation drivers'!Y189*DailyspreadN2O)+('Mitigation drivers'!Y190*CompostN2O)+('Mitigation drivers'!Y191*ManwithbedN2O)+('Mitigation drivers'!Y192*PMwithoutlitterN2O)+('Mitigation drivers'!Y193*PMwithlitterN2O)+('Mitigation drivers'!Y195*DigesterN2OEF))/100</f>
        <v>1.4700000000000001E-2</v>
      </c>
      <c r="AE68" s="26">
        <f>(('Mitigation drivers'!Z185*LagoonN2O)+('Mitigation drivers'!Z186*LiquidN2O)+('Mitigation drivers'!Z187*DrylotN2O)+('Mitigation drivers'!Z188*SolidStorageN2O)+('Mitigation drivers'!Z189*DailyspreadN2O)+('Mitigation drivers'!Z190*CompostN2O)+('Mitigation drivers'!Z191*ManwithbedN2O)+('Mitigation drivers'!Z192*PMwithoutlitterN2O)+('Mitigation drivers'!Z193*PMwithlitterN2O)+('Mitigation drivers'!Z195*DigesterN2OEF))/100</f>
        <v>1.4700000000000001E-2</v>
      </c>
      <c r="AF68" s="26">
        <f>(('Mitigation drivers'!AA185*LagoonN2O)+('Mitigation drivers'!AA186*LiquidN2O)+('Mitigation drivers'!AA187*DrylotN2O)+('Mitigation drivers'!AA188*SolidStorageN2O)+('Mitigation drivers'!AA189*DailyspreadN2O)+('Mitigation drivers'!AA190*CompostN2O)+('Mitigation drivers'!AA191*ManwithbedN2O)+('Mitigation drivers'!AA192*PMwithoutlitterN2O)+('Mitigation drivers'!AA193*PMwithlitterN2O)+('Mitigation drivers'!AA195*DigesterN2OEF))/100</f>
        <v>1.4700000000000001E-2</v>
      </c>
      <c r="AG68" s="26">
        <f>(('Mitigation drivers'!AB185*LagoonN2O)+('Mitigation drivers'!AB186*LiquidN2O)+('Mitigation drivers'!AB187*DrylotN2O)+('Mitigation drivers'!AB188*SolidStorageN2O)+('Mitigation drivers'!AB189*DailyspreadN2O)+('Mitigation drivers'!AB190*CompostN2O)+('Mitigation drivers'!AB191*ManwithbedN2O)+('Mitigation drivers'!AB192*PMwithoutlitterN2O)+('Mitigation drivers'!AB193*PMwithlitterN2O)+('Mitigation drivers'!AB195*DigesterN2OEF))/100</f>
        <v>1.4700000000000001E-2</v>
      </c>
      <c r="AH68" s="26">
        <f>(('Mitigation drivers'!AC185*LagoonN2O)+('Mitigation drivers'!AC186*LiquidN2O)+('Mitigation drivers'!AC187*DrylotN2O)+('Mitigation drivers'!AC188*SolidStorageN2O)+('Mitigation drivers'!AC189*DailyspreadN2O)+('Mitigation drivers'!AC190*CompostN2O)+('Mitigation drivers'!AC191*ManwithbedN2O)+('Mitigation drivers'!AC192*PMwithoutlitterN2O)+('Mitigation drivers'!AC193*PMwithlitterN2O)+('Mitigation drivers'!AC195*DigesterN2OEF))/100</f>
        <v>1.4700000000000001E-2</v>
      </c>
      <c r="AI68" s="26">
        <f>(('Mitigation drivers'!AD185*LagoonN2O)+('Mitigation drivers'!AD186*LiquidN2O)+('Mitigation drivers'!AD187*DrylotN2O)+('Mitigation drivers'!AD188*SolidStorageN2O)+('Mitigation drivers'!AD189*DailyspreadN2O)+('Mitigation drivers'!AD190*CompostN2O)+('Mitigation drivers'!AD191*ManwithbedN2O)+('Mitigation drivers'!AD192*PMwithoutlitterN2O)+('Mitigation drivers'!AD193*PMwithlitterN2O)+('Mitigation drivers'!AD195*DigesterN2OEF))/100</f>
        <v>1.4700000000000001E-2</v>
      </c>
      <c r="AJ68" s="26">
        <f>(('Mitigation drivers'!AE185*LagoonN2O)+('Mitigation drivers'!AE186*LiquidN2O)+('Mitigation drivers'!AE187*DrylotN2O)+('Mitigation drivers'!AE188*SolidStorageN2O)+('Mitigation drivers'!AE189*DailyspreadN2O)+('Mitigation drivers'!AE190*CompostN2O)+('Mitigation drivers'!AE191*ManwithbedN2O)+('Mitigation drivers'!AE192*PMwithoutlitterN2O)+('Mitigation drivers'!AE193*PMwithlitterN2O)+('Mitigation drivers'!AE195*DigesterN2OEF))/100</f>
        <v>1.4700000000000001E-2</v>
      </c>
      <c r="AK68" s="26">
        <f>(('Mitigation drivers'!AF185*LagoonN2O)+('Mitigation drivers'!AF186*LiquidN2O)+('Mitigation drivers'!AF187*DrylotN2O)+('Mitigation drivers'!AF188*SolidStorageN2O)+('Mitigation drivers'!AF189*DailyspreadN2O)+('Mitigation drivers'!AF190*CompostN2O)+('Mitigation drivers'!AF191*ManwithbedN2O)+('Mitigation drivers'!AF192*PMwithoutlitterN2O)+('Mitigation drivers'!AF193*PMwithlitterN2O)+('Mitigation drivers'!AF195*DigesterN2OEF))/100</f>
        <v>1.4700000000000001E-2</v>
      </c>
      <c r="AL68" s="26">
        <f>(('Mitigation drivers'!AG185*LagoonN2O)+('Mitigation drivers'!AG186*LiquidN2O)+('Mitigation drivers'!AG187*DrylotN2O)+('Mitigation drivers'!AG188*SolidStorageN2O)+('Mitigation drivers'!AG189*DailyspreadN2O)+('Mitigation drivers'!AG190*CompostN2O)+('Mitigation drivers'!AG191*ManwithbedN2O)+('Mitigation drivers'!AG192*PMwithoutlitterN2O)+('Mitigation drivers'!AG193*PMwithlitterN2O)+('Mitigation drivers'!AG195*DigesterN2OEF))/100</f>
        <v>1.4700000000000001E-2</v>
      </c>
      <c r="AM68" s="26">
        <f>(('Mitigation drivers'!AH185*LagoonN2O)+('Mitigation drivers'!AH186*LiquidN2O)+('Mitigation drivers'!AH187*DrylotN2O)+('Mitigation drivers'!AH188*SolidStorageN2O)+('Mitigation drivers'!AH189*DailyspreadN2O)+('Mitigation drivers'!AH190*CompostN2O)+('Mitigation drivers'!AH191*ManwithbedN2O)+('Mitigation drivers'!AH192*PMwithoutlitterN2O)+('Mitigation drivers'!AH193*PMwithlitterN2O)+('Mitigation drivers'!AH195*DigesterN2OEF))/100</f>
        <v>1.4700000000000001E-2</v>
      </c>
      <c r="AN68" s="26">
        <f>(('Mitigation drivers'!AI185*LagoonN2O)+('Mitigation drivers'!AI186*LiquidN2O)+('Mitigation drivers'!AI187*DrylotN2O)+('Mitigation drivers'!AI188*SolidStorageN2O)+('Mitigation drivers'!AI189*DailyspreadN2O)+('Mitigation drivers'!AI190*CompostN2O)+('Mitigation drivers'!AI191*ManwithbedN2O)+('Mitigation drivers'!AI192*PMwithoutlitterN2O)+('Mitigation drivers'!AI193*PMwithlitterN2O)+('Mitigation drivers'!AI195*DigesterN2OEF))/100</f>
        <v>1.4700000000000001E-2</v>
      </c>
      <c r="AO68" s="26">
        <f>(('Mitigation drivers'!AJ185*LagoonN2O)+('Mitigation drivers'!AJ186*LiquidN2O)+('Mitigation drivers'!AJ187*DrylotN2O)+('Mitigation drivers'!AJ188*SolidStorageN2O)+('Mitigation drivers'!AJ189*DailyspreadN2O)+('Mitigation drivers'!AJ190*CompostN2O)+('Mitigation drivers'!AJ191*ManwithbedN2O)+('Mitigation drivers'!AJ192*PMwithoutlitterN2O)+('Mitigation drivers'!AJ193*PMwithlitterN2O)+('Mitigation drivers'!AJ195*DigesterN2OEF))/100</f>
        <v>1.4700000000000001E-2</v>
      </c>
    </row>
    <row r="69" spans="1:41" x14ac:dyDescent="0.25">
      <c r="A69" t="str">
        <f t="shared" si="5"/>
        <v>3A Livestock</v>
      </c>
      <c r="B69" t="str">
        <f t="shared" si="13"/>
        <v>3A2 Manure management (N2O)</v>
      </c>
      <c r="C69" t="str">
        <f>'Activity data'!C20</f>
        <v>3A2i Poultry</v>
      </c>
      <c r="D69" t="str">
        <f>'Activity data'!D20</f>
        <v>Commercial broilers</v>
      </c>
      <c r="E69" t="str">
        <f t="shared" si="32"/>
        <v>Manure management EF</v>
      </c>
      <c r="F69" t="str">
        <f t="shared" si="33"/>
        <v>N2O</v>
      </c>
      <c r="G69" t="str">
        <f t="shared" si="34"/>
        <v>kg N2O-N/kg Nex</v>
      </c>
      <c r="H69" s="26">
        <f>(('Mitigation drivers'!C197*LagoonN2O)+('Mitigation drivers'!C198*LiquidN2O)+('Mitigation drivers'!C199*DrylotN2O)+('Mitigation drivers'!C200*SolidStorageN2O)+('Mitigation drivers'!C201*DailyspreadN2O)+('Mitigation drivers'!C202*CompostN2O)+('Mitigation drivers'!C203*ManwithbedN2O)+('Mitigation drivers'!C204*PMwithoutlitterN2O)+('Mitigation drivers'!C205*PMwithlitterN2O)+('Mitigation drivers'!C207*DigesterN2OEF))/100</f>
        <v>1.6449999999999999E-2</v>
      </c>
      <c r="I69" s="26">
        <f>(('Mitigation drivers'!D197*LagoonN2O)+('Mitigation drivers'!D198*LiquidN2O)+('Mitigation drivers'!D199*DrylotN2O)+('Mitigation drivers'!D200*SolidStorageN2O)+('Mitigation drivers'!D201*DailyspreadN2O)+('Mitigation drivers'!D202*CompostN2O)+('Mitigation drivers'!D203*ManwithbedN2O)+('Mitigation drivers'!D204*PMwithoutlitterN2O)+('Mitigation drivers'!D205*PMwithlitterN2O)+('Mitigation drivers'!D207*DigesterN2OEF))/100</f>
        <v>1.6449999999999999E-2</v>
      </c>
      <c r="J69" s="26">
        <f>(('Mitigation drivers'!E197*LagoonN2O)+('Mitigation drivers'!E198*LiquidN2O)+('Mitigation drivers'!E199*DrylotN2O)+('Mitigation drivers'!E200*SolidStorageN2O)+('Mitigation drivers'!E201*DailyspreadN2O)+('Mitigation drivers'!E202*CompostN2O)+('Mitigation drivers'!E203*ManwithbedN2O)+('Mitigation drivers'!E204*PMwithoutlitterN2O)+('Mitigation drivers'!E205*PMwithlitterN2O)+('Mitigation drivers'!E207*DigesterN2OEF))/100</f>
        <v>1.6449999999999999E-2</v>
      </c>
      <c r="K69" s="26">
        <f>(('Mitigation drivers'!F197*LagoonN2O)+('Mitigation drivers'!F198*LiquidN2O)+('Mitigation drivers'!F199*DrylotN2O)+('Mitigation drivers'!F200*SolidStorageN2O)+('Mitigation drivers'!F201*DailyspreadN2O)+('Mitigation drivers'!F202*CompostN2O)+('Mitigation drivers'!F203*ManwithbedN2O)+('Mitigation drivers'!F204*PMwithoutlitterN2O)+('Mitigation drivers'!F205*PMwithlitterN2O)+('Mitigation drivers'!F207*DigesterN2OEF))/100</f>
        <v>1.6449999999999999E-2</v>
      </c>
      <c r="L69" s="26">
        <f>(('Mitigation drivers'!G197*LagoonN2O)+('Mitigation drivers'!G198*LiquidN2O)+('Mitigation drivers'!G199*DrylotN2O)+('Mitigation drivers'!G200*SolidStorageN2O)+('Mitigation drivers'!G201*DailyspreadN2O)+('Mitigation drivers'!G202*CompostN2O)+('Mitigation drivers'!G203*ManwithbedN2O)+('Mitigation drivers'!G204*PMwithoutlitterN2O)+('Mitigation drivers'!G205*PMwithlitterN2O)+('Mitigation drivers'!G207*DigesterN2OEF))/100</f>
        <v>1.6449999999999999E-2</v>
      </c>
      <c r="M69" s="26">
        <f>(('Mitigation drivers'!H197*LagoonN2O)+('Mitigation drivers'!H198*LiquidN2O)+('Mitigation drivers'!H199*DrylotN2O)+('Mitigation drivers'!H200*SolidStorageN2O)+('Mitigation drivers'!H201*DailyspreadN2O)+('Mitigation drivers'!H202*CompostN2O)+('Mitigation drivers'!H203*ManwithbedN2O)+('Mitigation drivers'!H204*PMwithoutlitterN2O)+('Mitigation drivers'!H205*PMwithlitterN2O)+('Mitigation drivers'!H207*DigesterN2OEF))/100</f>
        <v>1.6449999999999999E-2</v>
      </c>
      <c r="N69" s="26">
        <f>(('Mitigation drivers'!I197*LagoonN2O)+('Mitigation drivers'!I198*LiquidN2O)+('Mitigation drivers'!I199*DrylotN2O)+('Mitigation drivers'!I200*SolidStorageN2O)+('Mitigation drivers'!I201*DailyspreadN2O)+('Mitigation drivers'!I202*CompostN2O)+('Mitigation drivers'!I203*ManwithbedN2O)+('Mitigation drivers'!I204*PMwithoutlitterN2O)+('Mitigation drivers'!I205*PMwithlitterN2O)+('Mitigation drivers'!I207*DigesterN2OEF))/100</f>
        <v>1.6449999999999999E-2</v>
      </c>
      <c r="O69" s="26">
        <f>(('Mitigation drivers'!J197*LagoonN2O)+('Mitigation drivers'!J198*LiquidN2O)+('Mitigation drivers'!J199*DrylotN2O)+('Mitigation drivers'!J200*SolidStorageN2O)+('Mitigation drivers'!J201*DailyspreadN2O)+('Mitigation drivers'!J202*CompostN2O)+('Mitigation drivers'!J203*ManwithbedN2O)+('Mitigation drivers'!J204*PMwithoutlitterN2O)+('Mitigation drivers'!J205*PMwithlitterN2O)+('Mitigation drivers'!J207*DigesterN2OEF))/100</f>
        <v>1.6449999999999999E-2</v>
      </c>
      <c r="P69" s="26">
        <f>(('Mitigation drivers'!K197*LagoonN2O)+('Mitigation drivers'!K198*LiquidN2O)+('Mitigation drivers'!K199*DrylotN2O)+('Mitigation drivers'!K200*SolidStorageN2O)+('Mitigation drivers'!K201*DailyspreadN2O)+('Mitigation drivers'!K202*CompostN2O)+('Mitigation drivers'!K203*ManwithbedN2O)+('Mitigation drivers'!K204*PMwithoutlitterN2O)+('Mitigation drivers'!K205*PMwithlitterN2O)+('Mitigation drivers'!K207*DigesterN2OEF))/100</f>
        <v>1.6449999999999999E-2</v>
      </c>
      <c r="Q69" s="26">
        <f>(('Mitigation drivers'!L197*LagoonN2O)+('Mitigation drivers'!L198*LiquidN2O)+('Mitigation drivers'!L199*DrylotN2O)+('Mitigation drivers'!L200*SolidStorageN2O)+('Mitigation drivers'!L201*DailyspreadN2O)+('Mitigation drivers'!L202*CompostN2O)+('Mitigation drivers'!L203*ManwithbedN2O)+('Mitigation drivers'!L204*PMwithoutlitterN2O)+('Mitigation drivers'!L205*PMwithlitterN2O)+('Mitigation drivers'!L207*DigesterN2OEF))/100</f>
        <v>1.6449999999999999E-2</v>
      </c>
      <c r="R69" s="26">
        <f>(('Mitigation drivers'!M197*LagoonN2O)+('Mitigation drivers'!M198*LiquidN2O)+('Mitigation drivers'!M199*DrylotN2O)+('Mitigation drivers'!M200*SolidStorageN2O)+('Mitigation drivers'!M201*DailyspreadN2O)+('Mitigation drivers'!M202*CompostN2O)+('Mitigation drivers'!M203*ManwithbedN2O)+('Mitigation drivers'!M204*PMwithoutlitterN2O)+('Mitigation drivers'!M205*PMwithlitterN2O)+('Mitigation drivers'!M207*DigesterN2OEF))/100</f>
        <v>1.6449999999999999E-2</v>
      </c>
      <c r="S69" s="26">
        <f>(('Mitigation drivers'!N197*LagoonN2O)+('Mitigation drivers'!N198*LiquidN2O)+('Mitigation drivers'!N199*DrylotN2O)+('Mitigation drivers'!N200*SolidStorageN2O)+('Mitigation drivers'!N201*DailyspreadN2O)+('Mitigation drivers'!N202*CompostN2O)+('Mitigation drivers'!N203*ManwithbedN2O)+('Mitigation drivers'!N204*PMwithoutlitterN2O)+('Mitigation drivers'!N205*PMwithlitterN2O)+('Mitigation drivers'!N207*DigesterN2OEF))/100</f>
        <v>1.6449999999999999E-2</v>
      </c>
      <c r="T69" s="26">
        <f>(('Mitigation drivers'!O197*LagoonN2O)+('Mitigation drivers'!O198*LiquidN2O)+('Mitigation drivers'!O199*DrylotN2O)+('Mitigation drivers'!O200*SolidStorageN2O)+('Mitigation drivers'!O201*DailyspreadN2O)+('Mitigation drivers'!O202*CompostN2O)+('Mitigation drivers'!O203*ManwithbedN2O)+('Mitigation drivers'!O204*PMwithoutlitterN2O)+('Mitigation drivers'!O205*PMwithlitterN2O)+('Mitigation drivers'!O207*DigesterN2OEF))/100</f>
        <v>1.6449999999999999E-2</v>
      </c>
      <c r="U69" s="26">
        <f>(('Mitigation drivers'!P197*LagoonN2O)+('Mitigation drivers'!P198*LiquidN2O)+('Mitigation drivers'!P199*DrylotN2O)+('Mitigation drivers'!P200*SolidStorageN2O)+('Mitigation drivers'!P201*DailyspreadN2O)+('Mitigation drivers'!P202*CompostN2O)+('Mitigation drivers'!P203*ManwithbedN2O)+('Mitigation drivers'!P204*PMwithoutlitterN2O)+('Mitigation drivers'!P205*PMwithlitterN2O)+('Mitigation drivers'!P207*DigesterN2OEF))/100</f>
        <v>1.6449999999999999E-2</v>
      </c>
      <c r="V69" s="26">
        <f>(('Mitigation drivers'!Q197*LagoonN2O)+('Mitigation drivers'!Q198*LiquidN2O)+('Mitigation drivers'!Q199*DrylotN2O)+('Mitigation drivers'!Q200*SolidStorageN2O)+('Mitigation drivers'!Q201*DailyspreadN2O)+('Mitigation drivers'!Q202*CompostN2O)+('Mitigation drivers'!Q203*ManwithbedN2O)+('Mitigation drivers'!Q204*PMwithoutlitterN2O)+('Mitigation drivers'!Q205*PMwithlitterN2O)+('Mitigation drivers'!Q207*DigesterN2OEF))/100</f>
        <v>1.6449999999999999E-2</v>
      </c>
      <c r="W69" s="26">
        <f>(('Mitigation drivers'!R197*LagoonN2O)+('Mitigation drivers'!R198*LiquidN2O)+('Mitigation drivers'!R199*DrylotN2O)+('Mitigation drivers'!R200*SolidStorageN2O)+('Mitigation drivers'!R201*DailyspreadN2O)+('Mitigation drivers'!R202*CompostN2O)+('Mitigation drivers'!R203*ManwithbedN2O)+('Mitigation drivers'!R204*PMwithoutlitterN2O)+('Mitigation drivers'!R205*PMwithlitterN2O)+('Mitigation drivers'!R207*DigesterN2OEF))/100</f>
        <v>1.6449999999999999E-2</v>
      </c>
      <c r="X69" s="26">
        <f>(('Mitigation drivers'!S197*LagoonN2O)+('Mitigation drivers'!S198*LiquidN2O)+('Mitigation drivers'!S199*DrylotN2O)+('Mitigation drivers'!S200*SolidStorageN2O)+('Mitigation drivers'!S201*DailyspreadN2O)+('Mitigation drivers'!S202*CompostN2O)+('Mitigation drivers'!S203*ManwithbedN2O)+('Mitigation drivers'!S204*PMwithoutlitterN2O)+('Mitigation drivers'!S205*PMwithlitterN2O)+('Mitigation drivers'!S207*DigesterN2OEF))/100</f>
        <v>1.6449999999999999E-2</v>
      </c>
      <c r="Y69" s="26">
        <f>(('Mitigation drivers'!T197*LagoonN2O)+('Mitigation drivers'!T198*LiquidN2O)+('Mitigation drivers'!T199*DrylotN2O)+('Mitigation drivers'!T200*SolidStorageN2O)+('Mitigation drivers'!T201*DailyspreadN2O)+('Mitigation drivers'!T202*CompostN2O)+('Mitigation drivers'!T203*ManwithbedN2O)+('Mitigation drivers'!T204*PMwithoutlitterN2O)+('Mitigation drivers'!T205*PMwithlitterN2O)+('Mitigation drivers'!T207*DigesterN2OEF))/100</f>
        <v>1.6449999999999999E-2</v>
      </c>
      <c r="Z69" s="26">
        <f>(('Mitigation drivers'!U197*LagoonN2O)+('Mitigation drivers'!U198*LiquidN2O)+('Mitigation drivers'!U199*DrylotN2O)+('Mitigation drivers'!U200*SolidStorageN2O)+('Mitigation drivers'!U201*DailyspreadN2O)+('Mitigation drivers'!U202*CompostN2O)+('Mitigation drivers'!U203*ManwithbedN2O)+('Mitigation drivers'!U204*PMwithoutlitterN2O)+('Mitigation drivers'!U205*PMwithlitterN2O)+('Mitigation drivers'!U207*DigesterN2OEF))/100</f>
        <v>1.6449999999999999E-2</v>
      </c>
      <c r="AA69" s="26">
        <f>(('Mitigation drivers'!V197*LagoonN2O)+('Mitigation drivers'!V198*LiquidN2O)+('Mitigation drivers'!V199*DrylotN2O)+('Mitigation drivers'!V200*SolidStorageN2O)+('Mitigation drivers'!V201*DailyspreadN2O)+('Mitigation drivers'!V202*CompostN2O)+('Mitigation drivers'!V203*ManwithbedN2O)+('Mitigation drivers'!V204*PMwithoutlitterN2O)+('Mitigation drivers'!V205*PMwithlitterN2O)+('Mitigation drivers'!V207*DigesterN2OEF))/100</f>
        <v>1.6449999999999999E-2</v>
      </c>
      <c r="AB69" s="26">
        <f>(('Mitigation drivers'!W197*LagoonN2O)+('Mitigation drivers'!W198*LiquidN2O)+('Mitigation drivers'!W199*DrylotN2O)+('Mitigation drivers'!W200*SolidStorageN2O)+('Mitigation drivers'!W201*DailyspreadN2O)+('Mitigation drivers'!W202*CompostN2O)+('Mitigation drivers'!W203*ManwithbedN2O)+('Mitigation drivers'!W204*PMwithoutlitterN2O)+('Mitigation drivers'!W205*PMwithlitterN2O)+('Mitigation drivers'!W207*DigesterN2OEF))/100</f>
        <v>1.6449999999999999E-2</v>
      </c>
      <c r="AC69" s="26">
        <f>(('Mitigation drivers'!X197*LagoonN2O)+('Mitigation drivers'!X198*LiquidN2O)+('Mitigation drivers'!X199*DrylotN2O)+('Mitigation drivers'!X200*SolidStorageN2O)+('Mitigation drivers'!X201*DailyspreadN2O)+('Mitigation drivers'!X202*CompostN2O)+('Mitigation drivers'!X203*ManwithbedN2O)+('Mitigation drivers'!X204*PMwithoutlitterN2O)+('Mitigation drivers'!X205*PMwithlitterN2O)+('Mitigation drivers'!X207*DigesterN2OEF))/100</f>
        <v>1.6449999999999999E-2</v>
      </c>
      <c r="AD69" s="26">
        <f>(('Mitigation drivers'!Y197*LagoonN2O)+('Mitigation drivers'!Y198*LiquidN2O)+('Mitigation drivers'!Y199*DrylotN2O)+('Mitigation drivers'!Y200*SolidStorageN2O)+('Mitigation drivers'!Y201*DailyspreadN2O)+('Mitigation drivers'!Y202*CompostN2O)+('Mitigation drivers'!Y203*ManwithbedN2O)+('Mitigation drivers'!Y204*PMwithoutlitterN2O)+('Mitigation drivers'!Y205*PMwithlitterN2O)+('Mitigation drivers'!Y207*DigesterN2OEF))/100</f>
        <v>1.6449999999999999E-2</v>
      </c>
      <c r="AE69" s="26">
        <f>(('Mitigation drivers'!Z197*LagoonN2O)+('Mitigation drivers'!Z198*LiquidN2O)+('Mitigation drivers'!Z199*DrylotN2O)+('Mitigation drivers'!Z200*SolidStorageN2O)+('Mitigation drivers'!Z201*DailyspreadN2O)+('Mitigation drivers'!Z202*CompostN2O)+('Mitigation drivers'!Z203*ManwithbedN2O)+('Mitigation drivers'!Z204*PMwithoutlitterN2O)+('Mitigation drivers'!Z205*PMwithlitterN2O)+('Mitigation drivers'!Z207*DigesterN2OEF))/100</f>
        <v>1.6449999999999999E-2</v>
      </c>
      <c r="AF69" s="26">
        <f>(('Mitigation drivers'!AA197*LagoonN2O)+('Mitigation drivers'!AA198*LiquidN2O)+('Mitigation drivers'!AA199*DrylotN2O)+('Mitigation drivers'!AA200*SolidStorageN2O)+('Mitigation drivers'!AA201*DailyspreadN2O)+('Mitigation drivers'!AA202*CompostN2O)+('Mitigation drivers'!AA203*ManwithbedN2O)+('Mitigation drivers'!AA204*PMwithoutlitterN2O)+('Mitigation drivers'!AA205*PMwithlitterN2O)+('Mitigation drivers'!AA207*DigesterN2OEF))/100</f>
        <v>1.6449999999999999E-2</v>
      </c>
      <c r="AG69" s="26">
        <f>(('Mitigation drivers'!AB197*LagoonN2O)+('Mitigation drivers'!AB198*LiquidN2O)+('Mitigation drivers'!AB199*DrylotN2O)+('Mitigation drivers'!AB200*SolidStorageN2O)+('Mitigation drivers'!AB201*DailyspreadN2O)+('Mitigation drivers'!AB202*CompostN2O)+('Mitigation drivers'!AB203*ManwithbedN2O)+('Mitigation drivers'!AB204*PMwithoutlitterN2O)+('Mitigation drivers'!AB205*PMwithlitterN2O)+('Mitigation drivers'!AB207*DigesterN2OEF))/100</f>
        <v>1.6449999999999999E-2</v>
      </c>
      <c r="AH69" s="26">
        <f>(('Mitigation drivers'!AC197*LagoonN2O)+('Mitigation drivers'!AC198*LiquidN2O)+('Mitigation drivers'!AC199*DrylotN2O)+('Mitigation drivers'!AC200*SolidStorageN2O)+('Mitigation drivers'!AC201*DailyspreadN2O)+('Mitigation drivers'!AC202*CompostN2O)+('Mitigation drivers'!AC203*ManwithbedN2O)+('Mitigation drivers'!AC204*PMwithoutlitterN2O)+('Mitigation drivers'!AC205*PMwithlitterN2O)+('Mitigation drivers'!AC207*DigesterN2OEF))/100</f>
        <v>1.6449999999999999E-2</v>
      </c>
      <c r="AI69" s="26">
        <f>(('Mitigation drivers'!AD197*LagoonN2O)+('Mitigation drivers'!AD198*LiquidN2O)+('Mitigation drivers'!AD199*DrylotN2O)+('Mitigation drivers'!AD200*SolidStorageN2O)+('Mitigation drivers'!AD201*DailyspreadN2O)+('Mitigation drivers'!AD202*CompostN2O)+('Mitigation drivers'!AD203*ManwithbedN2O)+('Mitigation drivers'!AD204*PMwithoutlitterN2O)+('Mitigation drivers'!AD205*PMwithlitterN2O)+('Mitigation drivers'!AD207*DigesterN2OEF))/100</f>
        <v>1.6449999999999999E-2</v>
      </c>
      <c r="AJ69" s="26">
        <f>(('Mitigation drivers'!AE197*LagoonN2O)+('Mitigation drivers'!AE198*LiquidN2O)+('Mitigation drivers'!AE199*DrylotN2O)+('Mitigation drivers'!AE200*SolidStorageN2O)+('Mitigation drivers'!AE201*DailyspreadN2O)+('Mitigation drivers'!AE202*CompostN2O)+('Mitigation drivers'!AE203*ManwithbedN2O)+('Mitigation drivers'!AE204*PMwithoutlitterN2O)+('Mitigation drivers'!AE205*PMwithlitterN2O)+('Mitigation drivers'!AE207*DigesterN2OEF))/100</f>
        <v>1.6449999999999999E-2</v>
      </c>
      <c r="AK69" s="26">
        <f>(('Mitigation drivers'!AF197*LagoonN2O)+('Mitigation drivers'!AF198*LiquidN2O)+('Mitigation drivers'!AF199*DrylotN2O)+('Mitigation drivers'!AF200*SolidStorageN2O)+('Mitigation drivers'!AF201*DailyspreadN2O)+('Mitigation drivers'!AF202*CompostN2O)+('Mitigation drivers'!AF203*ManwithbedN2O)+('Mitigation drivers'!AF204*PMwithoutlitterN2O)+('Mitigation drivers'!AF205*PMwithlitterN2O)+('Mitigation drivers'!AF207*DigesterN2OEF))/100</f>
        <v>1.6449999999999999E-2</v>
      </c>
      <c r="AL69" s="26">
        <f>(('Mitigation drivers'!AG197*LagoonN2O)+('Mitigation drivers'!AG198*LiquidN2O)+('Mitigation drivers'!AG199*DrylotN2O)+('Mitigation drivers'!AG200*SolidStorageN2O)+('Mitigation drivers'!AG201*DailyspreadN2O)+('Mitigation drivers'!AG202*CompostN2O)+('Mitigation drivers'!AG203*ManwithbedN2O)+('Mitigation drivers'!AG204*PMwithoutlitterN2O)+('Mitigation drivers'!AG205*PMwithlitterN2O)+('Mitigation drivers'!AG207*DigesterN2OEF))/100</f>
        <v>1.6449999999999999E-2</v>
      </c>
      <c r="AM69" s="26">
        <f>(('Mitigation drivers'!AH197*LagoonN2O)+('Mitigation drivers'!AH198*LiquidN2O)+('Mitigation drivers'!AH199*DrylotN2O)+('Mitigation drivers'!AH200*SolidStorageN2O)+('Mitigation drivers'!AH201*DailyspreadN2O)+('Mitigation drivers'!AH202*CompostN2O)+('Mitigation drivers'!AH203*ManwithbedN2O)+('Mitigation drivers'!AH204*PMwithoutlitterN2O)+('Mitigation drivers'!AH205*PMwithlitterN2O)+('Mitigation drivers'!AH207*DigesterN2OEF))/100</f>
        <v>1.6449999999999999E-2</v>
      </c>
      <c r="AN69" s="26">
        <f>(('Mitigation drivers'!AI197*LagoonN2O)+('Mitigation drivers'!AI198*LiquidN2O)+('Mitigation drivers'!AI199*DrylotN2O)+('Mitigation drivers'!AI200*SolidStorageN2O)+('Mitigation drivers'!AI201*DailyspreadN2O)+('Mitigation drivers'!AI202*CompostN2O)+('Mitigation drivers'!AI203*ManwithbedN2O)+('Mitigation drivers'!AI204*PMwithoutlitterN2O)+('Mitigation drivers'!AI205*PMwithlitterN2O)+('Mitigation drivers'!AI207*DigesterN2OEF))/100</f>
        <v>1.6449999999999999E-2</v>
      </c>
      <c r="AO69" s="26">
        <f>(('Mitigation drivers'!AJ197*LagoonN2O)+('Mitigation drivers'!AJ198*LiquidN2O)+('Mitigation drivers'!AJ199*DrylotN2O)+('Mitigation drivers'!AJ200*SolidStorageN2O)+('Mitigation drivers'!AJ201*DailyspreadN2O)+('Mitigation drivers'!AJ202*CompostN2O)+('Mitigation drivers'!AJ203*ManwithbedN2O)+('Mitigation drivers'!AJ204*PMwithoutlitterN2O)+('Mitigation drivers'!AJ205*PMwithlitterN2O)+('Mitigation drivers'!AJ207*DigesterN2OEF))/100</f>
        <v>1.6449999999999999E-2</v>
      </c>
    </row>
    <row r="70" spans="1:41" x14ac:dyDescent="0.25">
      <c r="A70" t="str">
        <f t="shared" ref="A70:A71" si="35">A69</f>
        <v>3A Livestock</v>
      </c>
      <c r="B70" t="str">
        <f t="shared" si="13"/>
        <v>3A2 Manure management (N2O)</v>
      </c>
      <c r="C70" t="str">
        <f>'Activity data'!C21</f>
        <v>3A2i Poultry</v>
      </c>
      <c r="D70" t="str">
        <f>'Activity data'!D21</f>
        <v>Subsistence layers</v>
      </c>
      <c r="E70" t="str">
        <f t="shared" si="32"/>
        <v>Manure management EF</v>
      </c>
      <c r="F70" t="str">
        <f t="shared" si="33"/>
        <v>N2O</v>
      </c>
      <c r="G70" t="str">
        <f t="shared" si="34"/>
        <v>kg N2O-N/kg Nex</v>
      </c>
      <c r="H70" s="26">
        <f>(('Mitigation drivers'!C209*LagoonN2O)+('Mitigation drivers'!C210*LiquidN2O)+('Mitigation drivers'!C211*DrylotN2O)+('Mitigation drivers'!C212*SolidStorageN2O)+('Mitigation drivers'!C213*DailyspreadN2O)+('Mitigation drivers'!C214*CompostN2O)+('Mitigation drivers'!C215*ManwithbedN2O)+('Mitigation drivers'!C216*PMwithoutlitterN2O)+('Mitigation drivers'!C217*PMwithlitterN2O)+('Mitigation drivers'!C219*DigesterN2OEF))/100</f>
        <v>1.4700000000000001E-2</v>
      </c>
      <c r="I70" s="26">
        <f>(('Mitigation drivers'!D209*LagoonN2O)+('Mitigation drivers'!D210*LiquidN2O)+('Mitigation drivers'!D211*DrylotN2O)+('Mitigation drivers'!D212*SolidStorageN2O)+('Mitigation drivers'!D213*DailyspreadN2O)+('Mitigation drivers'!D214*CompostN2O)+('Mitigation drivers'!D215*ManwithbedN2O)+('Mitigation drivers'!D216*PMwithoutlitterN2O)+('Mitigation drivers'!D217*PMwithlitterN2O)+('Mitigation drivers'!D219*DigesterN2OEF))/100</f>
        <v>1.4700000000000001E-2</v>
      </c>
      <c r="J70" s="26">
        <f>(('Mitigation drivers'!E209*LagoonN2O)+('Mitigation drivers'!E210*LiquidN2O)+('Mitigation drivers'!E211*DrylotN2O)+('Mitigation drivers'!E212*SolidStorageN2O)+('Mitigation drivers'!E213*DailyspreadN2O)+('Mitigation drivers'!E214*CompostN2O)+('Mitigation drivers'!E215*ManwithbedN2O)+('Mitigation drivers'!E216*PMwithoutlitterN2O)+('Mitigation drivers'!E217*PMwithlitterN2O)+('Mitigation drivers'!E219*DigesterN2OEF))/100</f>
        <v>1.4700000000000001E-2</v>
      </c>
      <c r="K70" s="26">
        <f>(('Mitigation drivers'!F209*LagoonN2O)+('Mitigation drivers'!F210*LiquidN2O)+('Mitigation drivers'!F211*DrylotN2O)+('Mitigation drivers'!F212*SolidStorageN2O)+('Mitigation drivers'!F213*DailyspreadN2O)+('Mitigation drivers'!F214*CompostN2O)+('Mitigation drivers'!F215*ManwithbedN2O)+('Mitigation drivers'!F216*PMwithoutlitterN2O)+('Mitigation drivers'!F217*PMwithlitterN2O)+('Mitigation drivers'!F219*DigesterN2OEF))/100</f>
        <v>1.4700000000000001E-2</v>
      </c>
      <c r="L70" s="26">
        <f>(('Mitigation drivers'!G209*LagoonN2O)+('Mitigation drivers'!G210*LiquidN2O)+('Mitigation drivers'!G211*DrylotN2O)+('Mitigation drivers'!G212*SolidStorageN2O)+('Mitigation drivers'!G213*DailyspreadN2O)+('Mitigation drivers'!G214*CompostN2O)+('Mitigation drivers'!G215*ManwithbedN2O)+('Mitigation drivers'!G216*PMwithoutlitterN2O)+('Mitigation drivers'!G217*PMwithlitterN2O)+('Mitigation drivers'!G219*DigesterN2OEF))/100</f>
        <v>1.4700000000000001E-2</v>
      </c>
      <c r="M70" s="26">
        <f>(('Mitigation drivers'!H209*LagoonN2O)+('Mitigation drivers'!H210*LiquidN2O)+('Mitigation drivers'!H211*DrylotN2O)+('Mitigation drivers'!H212*SolidStorageN2O)+('Mitigation drivers'!H213*DailyspreadN2O)+('Mitigation drivers'!H214*CompostN2O)+('Mitigation drivers'!H215*ManwithbedN2O)+('Mitigation drivers'!H216*PMwithoutlitterN2O)+('Mitigation drivers'!H217*PMwithlitterN2O)+('Mitigation drivers'!H219*DigesterN2OEF))/100</f>
        <v>1.4700000000000001E-2</v>
      </c>
      <c r="N70" s="26">
        <f>(('Mitigation drivers'!I209*LagoonN2O)+('Mitigation drivers'!I210*LiquidN2O)+('Mitigation drivers'!I211*DrylotN2O)+('Mitigation drivers'!I212*SolidStorageN2O)+('Mitigation drivers'!I213*DailyspreadN2O)+('Mitigation drivers'!I214*CompostN2O)+('Mitigation drivers'!I215*ManwithbedN2O)+('Mitigation drivers'!I216*PMwithoutlitterN2O)+('Mitigation drivers'!I217*PMwithlitterN2O)+('Mitigation drivers'!I219*DigesterN2OEF))/100</f>
        <v>1.4700000000000001E-2</v>
      </c>
      <c r="O70" s="26">
        <f>(('Mitigation drivers'!J209*LagoonN2O)+('Mitigation drivers'!J210*LiquidN2O)+('Mitigation drivers'!J211*DrylotN2O)+('Mitigation drivers'!J212*SolidStorageN2O)+('Mitigation drivers'!J213*DailyspreadN2O)+('Mitigation drivers'!J214*CompostN2O)+('Mitigation drivers'!J215*ManwithbedN2O)+('Mitigation drivers'!J216*PMwithoutlitterN2O)+('Mitigation drivers'!J217*PMwithlitterN2O)+('Mitigation drivers'!J219*DigesterN2OEF))/100</f>
        <v>1.4700000000000001E-2</v>
      </c>
      <c r="P70" s="26">
        <f>(('Mitigation drivers'!K209*LagoonN2O)+('Mitigation drivers'!K210*LiquidN2O)+('Mitigation drivers'!K211*DrylotN2O)+('Mitigation drivers'!K212*SolidStorageN2O)+('Mitigation drivers'!K213*DailyspreadN2O)+('Mitigation drivers'!K214*CompostN2O)+('Mitigation drivers'!K215*ManwithbedN2O)+('Mitigation drivers'!K216*PMwithoutlitterN2O)+('Mitigation drivers'!K217*PMwithlitterN2O)+('Mitigation drivers'!K219*DigesterN2OEF))/100</f>
        <v>1.4700000000000001E-2</v>
      </c>
      <c r="Q70" s="26">
        <f>(('Mitigation drivers'!L209*LagoonN2O)+('Mitigation drivers'!L210*LiquidN2O)+('Mitigation drivers'!L211*DrylotN2O)+('Mitigation drivers'!L212*SolidStorageN2O)+('Mitigation drivers'!L213*DailyspreadN2O)+('Mitigation drivers'!L214*CompostN2O)+('Mitigation drivers'!L215*ManwithbedN2O)+('Mitigation drivers'!L216*PMwithoutlitterN2O)+('Mitigation drivers'!L217*PMwithlitterN2O)+('Mitigation drivers'!L219*DigesterN2OEF))/100</f>
        <v>1.4700000000000001E-2</v>
      </c>
      <c r="R70" s="26">
        <f>(('Mitigation drivers'!M209*LagoonN2O)+('Mitigation drivers'!M210*LiquidN2O)+('Mitigation drivers'!M211*DrylotN2O)+('Mitigation drivers'!M212*SolidStorageN2O)+('Mitigation drivers'!M213*DailyspreadN2O)+('Mitigation drivers'!M214*CompostN2O)+('Mitigation drivers'!M215*ManwithbedN2O)+('Mitigation drivers'!M216*PMwithoutlitterN2O)+('Mitigation drivers'!M217*PMwithlitterN2O)+('Mitigation drivers'!M219*DigesterN2OEF))/100</f>
        <v>1.4700000000000001E-2</v>
      </c>
      <c r="S70" s="26">
        <f>(('Mitigation drivers'!N209*LagoonN2O)+('Mitigation drivers'!N210*LiquidN2O)+('Mitigation drivers'!N211*DrylotN2O)+('Mitigation drivers'!N212*SolidStorageN2O)+('Mitigation drivers'!N213*DailyspreadN2O)+('Mitigation drivers'!N214*CompostN2O)+('Mitigation drivers'!N215*ManwithbedN2O)+('Mitigation drivers'!N216*PMwithoutlitterN2O)+('Mitigation drivers'!N217*PMwithlitterN2O)+('Mitigation drivers'!N219*DigesterN2OEF))/100</f>
        <v>1.4700000000000001E-2</v>
      </c>
      <c r="T70" s="26">
        <f>(('Mitigation drivers'!O209*LagoonN2O)+('Mitigation drivers'!O210*LiquidN2O)+('Mitigation drivers'!O211*DrylotN2O)+('Mitigation drivers'!O212*SolidStorageN2O)+('Mitigation drivers'!O213*DailyspreadN2O)+('Mitigation drivers'!O214*CompostN2O)+('Mitigation drivers'!O215*ManwithbedN2O)+('Mitigation drivers'!O216*PMwithoutlitterN2O)+('Mitigation drivers'!O217*PMwithlitterN2O)+('Mitigation drivers'!O219*DigesterN2OEF))/100</f>
        <v>1.4700000000000001E-2</v>
      </c>
      <c r="U70" s="26">
        <f>(('Mitigation drivers'!P209*LagoonN2O)+('Mitigation drivers'!P210*LiquidN2O)+('Mitigation drivers'!P211*DrylotN2O)+('Mitigation drivers'!P212*SolidStorageN2O)+('Mitigation drivers'!P213*DailyspreadN2O)+('Mitigation drivers'!P214*CompostN2O)+('Mitigation drivers'!P215*ManwithbedN2O)+('Mitigation drivers'!P216*PMwithoutlitterN2O)+('Mitigation drivers'!P217*PMwithlitterN2O)+('Mitigation drivers'!P219*DigesterN2OEF))/100</f>
        <v>1.4700000000000001E-2</v>
      </c>
      <c r="V70" s="26">
        <f>(('Mitigation drivers'!Q209*LagoonN2O)+('Mitigation drivers'!Q210*LiquidN2O)+('Mitigation drivers'!Q211*DrylotN2O)+('Mitigation drivers'!Q212*SolidStorageN2O)+('Mitigation drivers'!Q213*DailyspreadN2O)+('Mitigation drivers'!Q214*CompostN2O)+('Mitigation drivers'!Q215*ManwithbedN2O)+('Mitigation drivers'!Q216*PMwithoutlitterN2O)+('Mitigation drivers'!Q217*PMwithlitterN2O)+('Mitigation drivers'!Q219*DigesterN2OEF))/100</f>
        <v>1.4700000000000001E-2</v>
      </c>
      <c r="W70" s="26">
        <f>(('Mitigation drivers'!R209*LagoonN2O)+('Mitigation drivers'!R210*LiquidN2O)+('Mitigation drivers'!R211*DrylotN2O)+('Mitigation drivers'!R212*SolidStorageN2O)+('Mitigation drivers'!R213*DailyspreadN2O)+('Mitigation drivers'!R214*CompostN2O)+('Mitigation drivers'!R215*ManwithbedN2O)+('Mitigation drivers'!R216*PMwithoutlitterN2O)+('Mitigation drivers'!R217*PMwithlitterN2O)+('Mitigation drivers'!R219*DigesterN2OEF))/100</f>
        <v>1.4700000000000001E-2</v>
      </c>
      <c r="X70" s="26">
        <f>(('Mitigation drivers'!S209*LagoonN2O)+('Mitigation drivers'!S210*LiquidN2O)+('Mitigation drivers'!S211*DrylotN2O)+('Mitigation drivers'!S212*SolidStorageN2O)+('Mitigation drivers'!S213*DailyspreadN2O)+('Mitigation drivers'!S214*CompostN2O)+('Mitigation drivers'!S215*ManwithbedN2O)+('Mitigation drivers'!S216*PMwithoutlitterN2O)+('Mitigation drivers'!S217*PMwithlitterN2O)+('Mitigation drivers'!S219*DigesterN2OEF))/100</f>
        <v>1.4700000000000001E-2</v>
      </c>
      <c r="Y70" s="26">
        <f>(('Mitigation drivers'!T209*LagoonN2O)+('Mitigation drivers'!T210*LiquidN2O)+('Mitigation drivers'!T211*DrylotN2O)+('Mitigation drivers'!T212*SolidStorageN2O)+('Mitigation drivers'!T213*DailyspreadN2O)+('Mitigation drivers'!T214*CompostN2O)+('Mitigation drivers'!T215*ManwithbedN2O)+('Mitigation drivers'!T216*PMwithoutlitterN2O)+('Mitigation drivers'!T217*PMwithlitterN2O)+('Mitigation drivers'!T219*DigesterN2OEF))/100</f>
        <v>1.4700000000000001E-2</v>
      </c>
      <c r="Z70" s="26">
        <f>(('Mitigation drivers'!U209*LagoonN2O)+('Mitigation drivers'!U210*LiquidN2O)+('Mitigation drivers'!U211*DrylotN2O)+('Mitigation drivers'!U212*SolidStorageN2O)+('Mitigation drivers'!U213*DailyspreadN2O)+('Mitigation drivers'!U214*CompostN2O)+('Mitigation drivers'!U215*ManwithbedN2O)+('Mitigation drivers'!U216*PMwithoutlitterN2O)+('Mitigation drivers'!U217*PMwithlitterN2O)+('Mitigation drivers'!U219*DigesterN2OEF))/100</f>
        <v>1.4700000000000001E-2</v>
      </c>
      <c r="AA70" s="26">
        <f>(('Mitigation drivers'!V209*LagoonN2O)+('Mitigation drivers'!V210*LiquidN2O)+('Mitigation drivers'!V211*DrylotN2O)+('Mitigation drivers'!V212*SolidStorageN2O)+('Mitigation drivers'!V213*DailyspreadN2O)+('Mitigation drivers'!V214*CompostN2O)+('Mitigation drivers'!V215*ManwithbedN2O)+('Mitigation drivers'!V216*PMwithoutlitterN2O)+('Mitigation drivers'!V217*PMwithlitterN2O)+('Mitigation drivers'!V219*DigesterN2OEF))/100</f>
        <v>1.4700000000000001E-2</v>
      </c>
      <c r="AB70" s="26">
        <f>(('Mitigation drivers'!W209*LagoonN2O)+('Mitigation drivers'!W210*LiquidN2O)+('Mitigation drivers'!W211*DrylotN2O)+('Mitigation drivers'!W212*SolidStorageN2O)+('Mitigation drivers'!W213*DailyspreadN2O)+('Mitigation drivers'!W214*CompostN2O)+('Mitigation drivers'!W215*ManwithbedN2O)+('Mitigation drivers'!W216*PMwithoutlitterN2O)+('Mitigation drivers'!W217*PMwithlitterN2O)+('Mitigation drivers'!W219*DigesterN2OEF))/100</f>
        <v>1.4700000000000001E-2</v>
      </c>
      <c r="AC70" s="26">
        <f>(('Mitigation drivers'!X209*LagoonN2O)+('Mitigation drivers'!X210*LiquidN2O)+('Mitigation drivers'!X211*DrylotN2O)+('Mitigation drivers'!X212*SolidStorageN2O)+('Mitigation drivers'!X213*DailyspreadN2O)+('Mitigation drivers'!X214*CompostN2O)+('Mitigation drivers'!X215*ManwithbedN2O)+('Mitigation drivers'!X216*PMwithoutlitterN2O)+('Mitigation drivers'!X217*PMwithlitterN2O)+('Mitigation drivers'!X219*DigesterN2OEF))/100</f>
        <v>1.4700000000000001E-2</v>
      </c>
      <c r="AD70" s="26">
        <f>(('Mitigation drivers'!Y209*LagoonN2O)+('Mitigation drivers'!Y210*LiquidN2O)+('Mitigation drivers'!Y211*DrylotN2O)+('Mitigation drivers'!Y212*SolidStorageN2O)+('Mitigation drivers'!Y213*DailyspreadN2O)+('Mitigation drivers'!Y214*CompostN2O)+('Mitigation drivers'!Y215*ManwithbedN2O)+('Mitigation drivers'!Y216*PMwithoutlitterN2O)+('Mitigation drivers'!Y217*PMwithlitterN2O)+('Mitigation drivers'!Y219*DigesterN2OEF))/100</f>
        <v>1.4700000000000001E-2</v>
      </c>
      <c r="AE70" s="26">
        <f>(('Mitigation drivers'!Z209*LagoonN2O)+('Mitigation drivers'!Z210*LiquidN2O)+('Mitigation drivers'!Z211*DrylotN2O)+('Mitigation drivers'!Z212*SolidStorageN2O)+('Mitigation drivers'!Z213*DailyspreadN2O)+('Mitigation drivers'!Z214*CompostN2O)+('Mitigation drivers'!Z215*ManwithbedN2O)+('Mitigation drivers'!Z216*PMwithoutlitterN2O)+('Mitigation drivers'!Z217*PMwithlitterN2O)+('Mitigation drivers'!Z219*DigesterN2OEF))/100</f>
        <v>1.4700000000000001E-2</v>
      </c>
      <c r="AF70" s="26">
        <f>(('Mitigation drivers'!AA209*LagoonN2O)+('Mitigation drivers'!AA210*LiquidN2O)+('Mitigation drivers'!AA211*DrylotN2O)+('Mitigation drivers'!AA212*SolidStorageN2O)+('Mitigation drivers'!AA213*DailyspreadN2O)+('Mitigation drivers'!AA214*CompostN2O)+('Mitigation drivers'!AA215*ManwithbedN2O)+('Mitigation drivers'!AA216*PMwithoutlitterN2O)+('Mitigation drivers'!AA217*PMwithlitterN2O)+('Mitigation drivers'!AA219*DigesterN2OEF))/100</f>
        <v>1.4700000000000001E-2</v>
      </c>
      <c r="AG70" s="26">
        <f>(('Mitigation drivers'!AB209*LagoonN2O)+('Mitigation drivers'!AB210*LiquidN2O)+('Mitigation drivers'!AB211*DrylotN2O)+('Mitigation drivers'!AB212*SolidStorageN2O)+('Mitigation drivers'!AB213*DailyspreadN2O)+('Mitigation drivers'!AB214*CompostN2O)+('Mitigation drivers'!AB215*ManwithbedN2O)+('Mitigation drivers'!AB216*PMwithoutlitterN2O)+('Mitigation drivers'!AB217*PMwithlitterN2O)+('Mitigation drivers'!AB219*DigesterN2OEF))/100</f>
        <v>1.4700000000000001E-2</v>
      </c>
      <c r="AH70" s="26">
        <f>(('Mitigation drivers'!AC209*LagoonN2O)+('Mitigation drivers'!AC210*LiquidN2O)+('Mitigation drivers'!AC211*DrylotN2O)+('Mitigation drivers'!AC212*SolidStorageN2O)+('Mitigation drivers'!AC213*DailyspreadN2O)+('Mitigation drivers'!AC214*CompostN2O)+('Mitigation drivers'!AC215*ManwithbedN2O)+('Mitigation drivers'!AC216*PMwithoutlitterN2O)+('Mitigation drivers'!AC217*PMwithlitterN2O)+('Mitigation drivers'!AC219*DigesterN2OEF))/100</f>
        <v>1.4700000000000001E-2</v>
      </c>
      <c r="AI70" s="26">
        <f>(('Mitigation drivers'!AD209*LagoonN2O)+('Mitigation drivers'!AD210*LiquidN2O)+('Mitigation drivers'!AD211*DrylotN2O)+('Mitigation drivers'!AD212*SolidStorageN2O)+('Mitigation drivers'!AD213*DailyspreadN2O)+('Mitigation drivers'!AD214*CompostN2O)+('Mitigation drivers'!AD215*ManwithbedN2O)+('Mitigation drivers'!AD216*PMwithoutlitterN2O)+('Mitigation drivers'!AD217*PMwithlitterN2O)+('Mitigation drivers'!AD219*DigesterN2OEF))/100</f>
        <v>1.4700000000000001E-2</v>
      </c>
      <c r="AJ70" s="26">
        <f>(('Mitigation drivers'!AE209*LagoonN2O)+('Mitigation drivers'!AE210*LiquidN2O)+('Mitigation drivers'!AE211*DrylotN2O)+('Mitigation drivers'!AE212*SolidStorageN2O)+('Mitigation drivers'!AE213*DailyspreadN2O)+('Mitigation drivers'!AE214*CompostN2O)+('Mitigation drivers'!AE215*ManwithbedN2O)+('Mitigation drivers'!AE216*PMwithoutlitterN2O)+('Mitigation drivers'!AE217*PMwithlitterN2O)+('Mitigation drivers'!AE219*DigesterN2OEF))/100</f>
        <v>1.4700000000000001E-2</v>
      </c>
      <c r="AK70" s="26">
        <f>(('Mitigation drivers'!AF209*LagoonN2O)+('Mitigation drivers'!AF210*LiquidN2O)+('Mitigation drivers'!AF211*DrylotN2O)+('Mitigation drivers'!AF212*SolidStorageN2O)+('Mitigation drivers'!AF213*DailyspreadN2O)+('Mitigation drivers'!AF214*CompostN2O)+('Mitigation drivers'!AF215*ManwithbedN2O)+('Mitigation drivers'!AF216*PMwithoutlitterN2O)+('Mitigation drivers'!AF217*PMwithlitterN2O)+('Mitigation drivers'!AF219*DigesterN2OEF))/100</f>
        <v>1.4700000000000001E-2</v>
      </c>
      <c r="AL70" s="26">
        <f>(('Mitigation drivers'!AG209*LagoonN2O)+('Mitigation drivers'!AG210*LiquidN2O)+('Mitigation drivers'!AG211*DrylotN2O)+('Mitigation drivers'!AG212*SolidStorageN2O)+('Mitigation drivers'!AG213*DailyspreadN2O)+('Mitigation drivers'!AG214*CompostN2O)+('Mitigation drivers'!AG215*ManwithbedN2O)+('Mitigation drivers'!AG216*PMwithoutlitterN2O)+('Mitigation drivers'!AG217*PMwithlitterN2O)+('Mitigation drivers'!AG219*DigesterN2OEF))/100</f>
        <v>1.4700000000000001E-2</v>
      </c>
      <c r="AM70" s="26">
        <f>(('Mitigation drivers'!AH209*LagoonN2O)+('Mitigation drivers'!AH210*LiquidN2O)+('Mitigation drivers'!AH211*DrylotN2O)+('Mitigation drivers'!AH212*SolidStorageN2O)+('Mitigation drivers'!AH213*DailyspreadN2O)+('Mitigation drivers'!AH214*CompostN2O)+('Mitigation drivers'!AH215*ManwithbedN2O)+('Mitigation drivers'!AH216*PMwithoutlitterN2O)+('Mitigation drivers'!AH217*PMwithlitterN2O)+('Mitigation drivers'!AH219*DigesterN2OEF))/100</f>
        <v>1.4700000000000001E-2</v>
      </c>
      <c r="AN70" s="26">
        <f>(('Mitigation drivers'!AI209*LagoonN2O)+('Mitigation drivers'!AI210*LiquidN2O)+('Mitigation drivers'!AI211*DrylotN2O)+('Mitigation drivers'!AI212*SolidStorageN2O)+('Mitigation drivers'!AI213*DailyspreadN2O)+('Mitigation drivers'!AI214*CompostN2O)+('Mitigation drivers'!AI215*ManwithbedN2O)+('Mitigation drivers'!AI216*PMwithoutlitterN2O)+('Mitigation drivers'!AI217*PMwithlitterN2O)+('Mitigation drivers'!AI219*DigesterN2OEF))/100</f>
        <v>1.4700000000000001E-2</v>
      </c>
      <c r="AO70" s="26">
        <f>(('Mitigation drivers'!AJ209*LagoonN2O)+('Mitigation drivers'!AJ210*LiquidN2O)+('Mitigation drivers'!AJ211*DrylotN2O)+('Mitigation drivers'!AJ212*SolidStorageN2O)+('Mitigation drivers'!AJ213*DailyspreadN2O)+('Mitigation drivers'!AJ214*CompostN2O)+('Mitigation drivers'!AJ215*ManwithbedN2O)+('Mitigation drivers'!AJ216*PMwithoutlitterN2O)+('Mitigation drivers'!AJ217*PMwithlitterN2O)+('Mitigation drivers'!AJ219*DigesterN2OEF))/100</f>
        <v>1.4700000000000001E-2</v>
      </c>
    </row>
    <row r="71" spans="1:41" x14ac:dyDescent="0.25">
      <c r="A71" t="str">
        <f t="shared" si="35"/>
        <v>3A Livestock</v>
      </c>
      <c r="B71" t="str">
        <f t="shared" si="13"/>
        <v>3A2 Manure management (N2O)</v>
      </c>
      <c r="C71" t="str">
        <f>'Activity data'!C22</f>
        <v>3A2i Poultry</v>
      </c>
      <c r="D71" t="str">
        <f>'Activity data'!D22</f>
        <v>Subsistence broilers</v>
      </c>
      <c r="E71" t="str">
        <f t="shared" si="32"/>
        <v>Manure management EF</v>
      </c>
      <c r="F71" t="str">
        <f t="shared" si="33"/>
        <v>N2O</v>
      </c>
      <c r="G71" t="str">
        <f t="shared" si="34"/>
        <v>kg N2O-N/kg Nex</v>
      </c>
      <c r="H71" s="26">
        <f>(('Mitigation drivers'!C221*LagoonN2O)+('Mitigation drivers'!C222*LiquidN2O)+('Mitigation drivers'!C223*DrylotN2O)+('Mitigation drivers'!C224*SolidStorageN2O)+('Mitigation drivers'!C225*DailyspreadN2O)+('Mitigation drivers'!C226*CompostN2O)+('Mitigation drivers'!C227*ManwithbedN2O)+('Mitigation drivers'!C228*PMwithoutlitterN2O)+('Mitigation drivers'!C229*PMwithlitterN2O)+('Mitigation drivers'!C231*DigesterN2OEF))/100</f>
        <v>1.6449999999999999E-2</v>
      </c>
      <c r="I71" s="26">
        <f>(('Mitigation drivers'!D221*LagoonN2O)+('Mitigation drivers'!D222*LiquidN2O)+('Mitigation drivers'!D223*DrylotN2O)+('Mitigation drivers'!D224*SolidStorageN2O)+('Mitigation drivers'!D225*DailyspreadN2O)+('Mitigation drivers'!D226*CompostN2O)+('Mitigation drivers'!D227*ManwithbedN2O)+('Mitigation drivers'!D228*PMwithoutlitterN2O)+('Mitigation drivers'!D229*PMwithlitterN2O)+('Mitigation drivers'!D231*DigesterN2OEF))/100</f>
        <v>1.6449999999999999E-2</v>
      </c>
      <c r="J71" s="26">
        <f>(('Mitigation drivers'!E221*LagoonN2O)+('Mitigation drivers'!E222*LiquidN2O)+('Mitigation drivers'!E223*DrylotN2O)+('Mitigation drivers'!E224*SolidStorageN2O)+('Mitigation drivers'!E225*DailyspreadN2O)+('Mitigation drivers'!E226*CompostN2O)+('Mitigation drivers'!E227*ManwithbedN2O)+('Mitigation drivers'!E228*PMwithoutlitterN2O)+('Mitigation drivers'!E229*PMwithlitterN2O)+('Mitigation drivers'!E231*DigesterN2OEF))/100</f>
        <v>1.6449999999999999E-2</v>
      </c>
      <c r="K71" s="26">
        <f>(('Mitigation drivers'!F221*LagoonN2O)+('Mitigation drivers'!F222*LiquidN2O)+('Mitigation drivers'!F223*DrylotN2O)+('Mitigation drivers'!F224*SolidStorageN2O)+('Mitigation drivers'!F225*DailyspreadN2O)+('Mitigation drivers'!F226*CompostN2O)+('Mitigation drivers'!F227*ManwithbedN2O)+('Mitigation drivers'!F228*PMwithoutlitterN2O)+('Mitigation drivers'!F229*PMwithlitterN2O)+('Mitigation drivers'!F231*DigesterN2OEF))/100</f>
        <v>1.6449999999999999E-2</v>
      </c>
      <c r="L71" s="26">
        <f>(('Mitigation drivers'!G221*LagoonN2O)+('Mitigation drivers'!G222*LiquidN2O)+('Mitigation drivers'!G223*DrylotN2O)+('Mitigation drivers'!G224*SolidStorageN2O)+('Mitigation drivers'!G225*DailyspreadN2O)+('Mitigation drivers'!G226*CompostN2O)+('Mitigation drivers'!G227*ManwithbedN2O)+('Mitigation drivers'!G228*PMwithoutlitterN2O)+('Mitigation drivers'!G229*PMwithlitterN2O)+('Mitigation drivers'!G231*DigesterN2OEF))/100</f>
        <v>1.6449999999999999E-2</v>
      </c>
      <c r="M71" s="26">
        <f>(('Mitigation drivers'!H221*LagoonN2O)+('Mitigation drivers'!H222*LiquidN2O)+('Mitigation drivers'!H223*DrylotN2O)+('Mitigation drivers'!H224*SolidStorageN2O)+('Mitigation drivers'!H225*DailyspreadN2O)+('Mitigation drivers'!H226*CompostN2O)+('Mitigation drivers'!H227*ManwithbedN2O)+('Mitigation drivers'!H228*PMwithoutlitterN2O)+('Mitigation drivers'!H229*PMwithlitterN2O)+('Mitigation drivers'!H231*DigesterN2OEF))/100</f>
        <v>1.6449999999999999E-2</v>
      </c>
      <c r="N71" s="26">
        <f>(('Mitigation drivers'!I221*LagoonN2O)+('Mitigation drivers'!I222*LiquidN2O)+('Mitigation drivers'!I223*DrylotN2O)+('Mitigation drivers'!I224*SolidStorageN2O)+('Mitigation drivers'!I225*DailyspreadN2O)+('Mitigation drivers'!I226*CompostN2O)+('Mitigation drivers'!I227*ManwithbedN2O)+('Mitigation drivers'!I228*PMwithoutlitterN2O)+('Mitigation drivers'!I229*PMwithlitterN2O)+('Mitigation drivers'!I231*DigesterN2OEF))/100</f>
        <v>1.6449999999999999E-2</v>
      </c>
      <c r="O71" s="26">
        <f>(('Mitigation drivers'!J221*LagoonN2O)+('Mitigation drivers'!J222*LiquidN2O)+('Mitigation drivers'!J223*DrylotN2O)+('Mitigation drivers'!J224*SolidStorageN2O)+('Mitigation drivers'!J225*DailyspreadN2O)+('Mitigation drivers'!J226*CompostN2O)+('Mitigation drivers'!J227*ManwithbedN2O)+('Mitigation drivers'!J228*PMwithoutlitterN2O)+('Mitigation drivers'!J229*PMwithlitterN2O)+('Mitigation drivers'!J231*DigesterN2OEF))/100</f>
        <v>1.6449999999999999E-2</v>
      </c>
      <c r="P71" s="26">
        <f>(('Mitigation drivers'!K221*LagoonN2O)+('Mitigation drivers'!K222*LiquidN2O)+('Mitigation drivers'!K223*DrylotN2O)+('Mitigation drivers'!K224*SolidStorageN2O)+('Mitigation drivers'!K225*DailyspreadN2O)+('Mitigation drivers'!K226*CompostN2O)+('Mitigation drivers'!K227*ManwithbedN2O)+('Mitigation drivers'!K228*PMwithoutlitterN2O)+('Mitigation drivers'!K229*PMwithlitterN2O)+('Mitigation drivers'!K231*DigesterN2OEF))/100</f>
        <v>1.6449999999999999E-2</v>
      </c>
      <c r="Q71" s="26">
        <f>(('Mitigation drivers'!L221*LagoonN2O)+('Mitigation drivers'!L222*LiquidN2O)+('Mitigation drivers'!L223*DrylotN2O)+('Mitigation drivers'!L224*SolidStorageN2O)+('Mitigation drivers'!L225*DailyspreadN2O)+('Mitigation drivers'!L226*CompostN2O)+('Mitigation drivers'!L227*ManwithbedN2O)+('Mitigation drivers'!L228*PMwithoutlitterN2O)+('Mitigation drivers'!L229*PMwithlitterN2O)+('Mitigation drivers'!L231*DigesterN2OEF))/100</f>
        <v>1.6449999999999999E-2</v>
      </c>
      <c r="R71" s="26">
        <f>(('Mitigation drivers'!M221*LagoonN2O)+('Mitigation drivers'!M222*LiquidN2O)+('Mitigation drivers'!M223*DrylotN2O)+('Mitigation drivers'!M224*SolidStorageN2O)+('Mitigation drivers'!M225*DailyspreadN2O)+('Mitigation drivers'!M226*CompostN2O)+('Mitigation drivers'!M227*ManwithbedN2O)+('Mitigation drivers'!M228*PMwithoutlitterN2O)+('Mitigation drivers'!M229*PMwithlitterN2O)+('Mitigation drivers'!M231*DigesterN2OEF))/100</f>
        <v>1.6449999999999999E-2</v>
      </c>
      <c r="S71" s="26">
        <f>(('Mitigation drivers'!N221*LagoonN2O)+('Mitigation drivers'!N222*LiquidN2O)+('Mitigation drivers'!N223*DrylotN2O)+('Mitigation drivers'!N224*SolidStorageN2O)+('Mitigation drivers'!N225*DailyspreadN2O)+('Mitigation drivers'!N226*CompostN2O)+('Mitigation drivers'!N227*ManwithbedN2O)+('Mitigation drivers'!N228*PMwithoutlitterN2O)+('Mitigation drivers'!N229*PMwithlitterN2O)+('Mitigation drivers'!N231*DigesterN2OEF))/100</f>
        <v>1.6449999999999999E-2</v>
      </c>
      <c r="T71" s="26">
        <f>(('Mitigation drivers'!O221*LagoonN2O)+('Mitigation drivers'!O222*LiquidN2O)+('Mitigation drivers'!O223*DrylotN2O)+('Mitigation drivers'!O224*SolidStorageN2O)+('Mitigation drivers'!O225*DailyspreadN2O)+('Mitigation drivers'!O226*CompostN2O)+('Mitigation drivers'!O227*ManwithbedN2O)+('Mitigation drivers'!O228*PMwithoutlitterN2O)+('Mitigation drivers'!O229*PMwithlitterN2O)+('Mitigation drivers'!O231*DigesterN2OEF))/100</f>
        <v>1.6449999999999999E-2</v>
      </c>
      <c r="U71" s="26">
        <f>(('Mitigation drivers'!P221*LagoonN2O)+('Mitigation drivers'!P222*LiquidN2O)+('Mitigation drivers'!P223*DrylotN2O)+('Mitigation drivers'!P224*SolidStorageN2O)+('Mitigation drivers'!P225*DailyspreadN2O)+('Mitigation drivers'!P226*CompostN2O)+('Mitigation drivers'!P227*ManwithbedN2O)+('Mitigation drivers'!P228*PMwithoutlitterN2O)+('Mitigation drivers'!P229*PMwithlitterN2O)+('Mitigation drivers'!P231*DigesterN2OEF))/100</f>
        <v>1.6449999999999999E-2</v>
      </c>
      <c r="V71" s="26">
        <f>(('Mitigation drivers'!Q221*LagoonN2O)+('Mitigation drivers'!Q222*LiquidN2O)+('Mitigation drivers'!Q223*DrylotN2O)+('Mitigation drivers'!Q224*SolidStorageN2O)+('Mitigation drivers'!Q225*DailyspreadN2O)+('Mitigation drivers'!Q226*CompostN2O)+('Mitigation drivers'!Q227*ManwithbedN2O)+('Mitigation drivers'!Q228*PMwithoutlitterN2O)+('Mitigation drivers'!Q229*PMwithlitterN2O)+('Mitigation drivers'!Q231*DigesterN2OEF))/100</f>
        <v>1.6449999999999999E-2</v>
      </c>
      <c r="W71" s="26">
        <f>(('Mitigation drivers'!R221*LagoonN2O)+('Mitigation drivers'!R222*LiquidN2O)+('Mitigation drivers'!R223*DrylotN2O)+('Mitigation drivers'!R224*SolidStorageN2O)+('Mitigation drivers'!R225*DailyspreadN2O)+('Mitigation drivers'!R226*CompostN2O)+('Mitigation drivers'!R227*ManwithbedN2O)+('Mitigation drivers'!R228*PMwithoutlitterN2O)+('Mitigation drivers'!R229*PMwithlitterN2O)+('Mitigation drivers'!R231*DigesterN2OEF))/100</f>
        <v>1.6449999999999999E-2</v>
      </c>
      <c r="X71" s="26">
        <f>(('Mitigation drivers'!S221*LagoonN2O)+('Mitigation drivers'!S222*LiquidN2O)+('Mitigation drivers'!S223*DrylotN2O)+('Mitigation drivers'!S224*SolidStorageN2O)+('Mitigation drivers'!S225*DailyspreadN2O)+('Mitigation drivers'!S226*CompostN2O)+('Mitigation drivers'!S227*ManwithbedN2O)+('Mitigation drivers'!S228*PMwithoutlitterN2O)+('Mitigation drivers'!S229*PMwithlitterN2O)+('Mitigation drivers'!S231*DigesterN2OEF))/100</f>
        <v>1.6449999999999999E-2</v>
      </c>
      <c r="Y71" s="26">
        <f>(('Mitigation drivers'!T221*LagoonN2O)+('Mitigation drivers'!T222*LiquidN2O)+('Mitigation drivers'!T223*DrylotN2O)+('Mitigation drivers'!T224*SolidStorageN2O)+('Mitigation drivers'!T225*DailyspreadN2O)+('Mitigation drivers'!T226*CompostN2O)+('Mitigation drivers'!T227*ManwithbedN2O)+('Mitigation drivers'!T228*PMwithoutlitterN2O)+('Mitigation drivers'!T229*PMwithlitterN2O)+('Mitigation drivers'!T231*DigesterN2OEF))/100</f>
        <v>1.6449999999999999E-2</v>
      </c>
      <c r="Z71" s="26">
        <f>(('Mitigation drivers'!U221*LagoonN2O)+('Mitigation drivers'!U222*LiquidN2O)+('Mitigation drivers'!U223*DrylotN2O)+('Mitigation drivers'!U224*SolidStorageN2O)+('Mitigation drivers'!U225*DailyspreadN2O)+('Mitigation drivers'!U226*CompostN2O)+('Mitigation drivers'!U227*ManwithbedN2O)+('Mitigation drivers'!U228*PMwithoutlitterN2O)+('Mitigation drivers'!U229*PMwithlitterN2O)+('Mitigation drivers'!U231*DigesterN2OEF))/100</f>
        <v>1.6449999999999999E-2</v>
      </c>
      <c r="AA71" s="26">
        <f>(('Mitigation drivers'!V221*LagoonN2O)+('Mitigation drivers'!V222*LiquidN2O)+('Mitigation drivers'!V223*DrylotN2O)+('Mitigation drivers'!V224*SolidStorageN2O)+('Mitigation drivers'!V225*DailyspreadN2O)+('Mitigation drivers'!V226*CompostN2O)+('Mitigation drivers'!V227*ManwithbedN2O)+('Mitigation drivers'!V228*PMwithoutlitterN2O)+('Mitigation drivers'!V229*PMwithlitterN2O)+('Mitigation drivers'!V231*DigesterN2OEF))/100</f>
        <v>1.6449999999999999E-2</v>
      </c>
      <c r="AB71" s="26">
        <f>(('Mitigation drivers'!W221*LagoonN2O)+('Mitigation drivers'!W222*LiquidN2O)+('Mitigation drivers'!W223*DrylotN2O)+('Mitigation drivers'!W224*SolidStorageN2O)+('Mitigation drivers'!W225*DailyspreadN2O)+('Mitigation drivers'!W226*CompostN2O)+('Mitigation drivers'!W227*ManwithbedN2O)+('Mitigation drivers'!W228*PMwithoutlitterN2O)+('Mitigation drivers'!W229*PMwithlitterN2O)+('Mitigation drivers'!W231*DigesterN2OEF))/100</f>
        <v>1.6449999999999999E-2</v>
      </c>
      <c r="AC71" s="26">
        <f>(('Mitigation drivers'!X221*LagoonN2O)+('Mitigation drivers'!X222*LiquidN2O)+('Mitigation drivers'!X223*DrylotN2O)+('Mitigation drivers'!X224*SolidStorageN2O)+('Mitigation drivers'!X225*DailyspreadN2O)+('Mitigation drivers'!X226*CompostN2O)+('Mitigation drivers'!X227*ManwithbedN2O)+('Mitigation drivers'!X228*PMwithoutlitterN2O)+('Mitigation drivers'!X229*PMwithlitterN2O)+('Mitigation drivers'!X231*DigesterN2OEF))/100</f>
        <v>1.6449999999999999E-2</v>
      </c>
      <c r="AD71" s="26">
        <f>(('Mitigation drivers'!Y221*LagoonN2O)+('Mitigation drivers'!Y222*LiquidN2O)+('Mitigation drivers'!Y223*DrylotN2O)+('Mitigation drivers'!Y224*SolidStorageN2O)+('Mitigation drivers'!Y225*DailyspreadN2O)+('Mitigation drivers'!Y226*CompostN2O)+('Mitigation drivers'!Y227*ManwithbedN2O)+('Mitigation drivers'!Y228*PMwithoutlitterN2O)+('Mitigation drivers'!Y229*PMwithlitterN2O)+('Mitigation drivers'!Y231*DigesterN2OEF))/100</f>
        <v>1.6449999999999999E-2</v>
      </c>
      <c r="AE71" s="26">
        <f>(('Mitigation drivers'!Z221*LagoonN2O)+('Mitigation drivers'!Z222*LiquidN2O)+('Mitigation drivers'!Z223*DrylotN2O)+('Mitigation drivers'!Z224*SolidStorageN2O)+('Mitigation drivers'!Z225*DailyspreadN2O)+('Mitigation drivers'!Z226*CompostN2O)+('Mitigation drivers'!Z227*ManwithbedN2O)+('Mitigation drivers'!Z228*PMwithoutlitterN2O)+('Mitigation drivers'!Z229*PMwithlitterN2O)+('Mitigation drivers'!Z231*DigesterN2OEF))/100</f>
        <v>1.6449999999999999E-2</v>
      </c>
      <c r="AF71" s="26">
        <f>(('Mitigation drivers'!AA221*LagoonN2O)+('Mitigation drivers'!AA222*LiquidN2O)+('Mitigation drivers'!AA223*DrylotN2O)+('Mitigation drivers'!AA224*SolidStorageN2O)+('Mitigation drivers'!AA225*DailyspreadN2O)+('Mitigation drivers'!AA226*CompostN2O)+('Mitigation drivers'!AA227*ManwithbedN2O)+('Mitigation drivers'!AA228*PMwithoutlitterN2O)+('Mitigation drivers'!AA229*PMwithlitterN2O)+('Mitigation drivers'!AA231*DigesterN2OEF))/100</f>
        <v>1.6449999999999999E-2</v>
      </c>
      <c r="AG71" s="26">
        <f>(('Mitigation drivers'!AB221*LagoonN2O)+('Mitigation drivers'!AB222*LiquidN2O)+('Mitigation drivers'!AB223*DrylotN2O)+('Mitigation drivers'!AB224*SolidStorageN2O)+('Mitigation drivers'!AB225*DailyspreadN2O)+('Mitigation drivers'!AB226*CompostN2O)+('Mitigation drivers'!AB227*ManwithbedN2O)+('Mitigation drivers'!AB228*PMwithoutlitterN2O)+('Mitigation drivers'!AB229*PMwithlitterN2O)+('Mitigation drivers'!AB231*DigesterN2OEF))/100</f>
        <v>1.6449999999999999E-2</v>
      </c>
      <c r="AH71" s="26">
        <f>(('Mitigation drivers'!AC221*LagoonN2O)+('Mitigation drivers'!AC222*LiquidN2O)+('Mitigation drivers'!AC223*DrylotN2O)+('Mitigation drivers'!AC224*SolidStorageN2O)+('Mitigation drivers'!AC225*DailyspreadN2O)+('Mitigation drivers'!AC226*CompostN2O)+('Mitigation drivers'!AC227*ManwithbedN2O)+('Mitigation drivers'!AC228*PMwithoutlitterN2O)+('Mitigation drivers'!AC229*PMwithlitterN2O)+('Mitigation drivers'!AC231*DigesterN2OEF))/100</f>
        <v>1.6449999999999999E-2</v>
      </c>
      <c r="AI71" s="26">
        <f>(('Mitigation drivers'!AD221*LagoonN2O)+('Mitigation drivers'!AD222*LiquidN2O)+('Mitigation drivers'!AD223*DrylotN2O)+('Mitigation drivers'!AD224*SolidStorageN2O)+('Mitigation drivers'!AD225*DailyspreadN2O)+('Mitigation drivers'!AD226*CompostN2O)+('Mitigation drivers'!AD227*ManwithbedN2O)+('Mitigation drivers'!AD228*PMwithoutlitterN2O)+('Mitigation drivers'!AD229*PMwithlitterN2O)+('Mitigation drivers'!AD231*DigesterN2OEF))/100</f>
        <v>1.6449999999999999E-2</v>
      </c>
      <c r="AJ71" s="26">
        <f>(('Mitigation drivers'!AE221*LagoonN2O)+('Mitigation drivers'!AE222*LiquidN2O)+('Mitigation drivers'!AE223*DrylotN2O)+('Mitigation drivers'!AE224*SolidStorageN2O)+('Mitigation drivers'!AE225*DailyspreadN2O)+('Mitigation drivers'!AE226*CompostN2O)+('Mitigation drivers'!AE227*ManwithbedN2O)+('Mitigation drivers'!AE228*PMwithoutlitterN2O)+('Mitigation drivers'!AE229*PMwithlitterN2O)+('Mitigation drivers'!AE231*DigesterN2OEF))/100</f>
        <v>1.6449999999999999E-2</v>
      </c>
      <c r="AK71" s="26">
        <f>(('Mitigation drivers'!AF221*LagoonN2O)+('Mitigation drivers'!AF222*LiquidN2O)+('Mitigation drivers'!AF223*DrylotN2O)+('Mitigation drivers'!AF224*SolidStorageN2O)+('Mitigation drivers'!AF225*DailyspreadN2O)+('Mitigation drivers'!AF226*CompostN2O)+('Mitigation drivers'!AF227*ManwithbedN2O)+('Mitigation drivers'!AF228*PMwithoutlitterN2O)+('Mitigation drivers'!AF229*PMwithlitterN2O)+('Mitigation drivers'!AF231*DigesterN2OEF))/100</f>
        <v>1.6449999999999999E-2</v>
      </c>
      <c r="AL71" s="26">
        <f>(('Mitigation drivers'!AG221*LagoonN2O)+('Mitigation drivers'!AG222*LiquidN2O)+('Mitigation drivers'!AG223*DrylotN2O)+('Mitigation drivers'!AG224*SolidStorageN2O)+('Mitigation drivers'!AG225*DailyspreadN2O)+('Mitigation drivers'!AG226*CompostN2O)+('Mitigation drivers'!AG227*ManwithbedN2O)+('Mitigation drivers'!AG228*PMwithoutlitterN2O)+('Mitigation drivers'!AG229*PMwithlitterN2O)+('Mitigation drivers'!AG231*DigesterN2OEF))/100</f>
        <v>1.6449999999999999E-2</v>
      </c>
      <c r="AM71" s="26">
        <f>(('Mitigation drivers'!AH221*LagoonN2O)+('Mitigation drivers'!AH222*LiquidN2O)+('Mitigation drivers'!AH223*DrylotN2O)+('Mitigation drivers'!AH224*SolidStorageN2O)+('Mitigation drivers'!AH225*DailyspreadN2O)+('Mitigation drivers'!AH226*CompostN2O)+('Mitigation drivers'!AH227*ManwithbedN2O)+('Mitigation drivers'!AH228*PMwithoutlitterN2O)+('Mitigation drivers'!AH229*PMwithlitterN2O)+('Mitigation drivers'!AH231*DigesterN2OEF))/100</f>
        <v>1.6449999999999999E-2</v>
      </c>
      <c r="AN71" s="26">
        <f>(('Mitigation drivers'!AI221*LagoonN2O)+('Mitigation drivers'!AI222*LiquidN2O)+('Mitigation drivers'!AI223*DrylotN2O)+('Mitigation drivers'!AI224*SolidStorageN2O)+('Mitigation drivers'!AI225*DailyspreadN2O)+('Mitigation drivers'!AI226*CompostN2O)+('Mitigation drivers'!AI227*ManwithbedN2O)+('Mitigation drivers'!AI228*PMwithoutlitterN2O)+('Mitigation drivers'!AI229*PMwithlitterN2O)+('Mitigation drivers'!AI231*DigesterN2OEF))/100</f>
        <v>1.6449999999999999E-2</v>
      </c>
      <c r="AO71" s="26">
        <f>(('Mitigation drivers'!AJ221*LagoonN2O)+('Mitigation drivers'!AJ222*LiquidN2O)+('Mitigation drivers'!AJ223*DrylotN2O)+('Mitigation drivers'!AJ224*SolidStorageN2O)+('Mitigation drivers'!AJ225*DailyspreadN2O)+('Mitigation drivers'!AJ226*CompostN2O)+('Mitigation drivers'!AJ227*ManwithbedN2O)+('Mitigation drivers'!AJ228*PMwithoutlitterN2O)+('Mitigation drivers'!AJ229*PMwithlitterN2O)+('Mitigation drivers'!AJ231*DigesterN2OEF))/100</f>
        <v>1.6449999999999999E-2</v>
      </c>
    </row>
    <row r="73" spans="1:41" x14ac:dyDescent="0.25">
      <c r="A73" t="str">
        <f>'IPCC Categories'!A5</f>
        <v>3A Livestock</v>
      </c>
      <c r="B73" t="str">
        <f>'IPCC Categories'!B20</f>
        <v>3A2 Manure management (N2O)</v>
      </c>
      <c r="C73" t="str">
        <f>'IPCC Categories'!B20</f>
        <v>3A2 Manure management (N2O)</v>
      </c>
      <c r="D73" t="s">
        <v>294</v>
      </c>
      <c r="E73" t="s">
        <v>293</v>
      </c>
      <c r="F73" t="s">
        <v>139</v>
      </c>
      <c r="G73" t="s">
        <v>145</v>
      </c>
      <c r="H73" s="27">
        <v>0</v>
      </c>
    </row>
    <row r="74" spans="1:41" x14ac:dyDescent="0.25">
      <c r="A74" t="str">
        <f>A73</f>
        <v>3A Livestock</v>
      </c>
      <c r="B74" t="str">
        <f>B73</f>
        <v>3A2 Manure management (N2O)</v>
      </c>
      <c r="C74" t="str">
        <f>C73</f>
        <v>3A2 Manure management (N2O)</v>
      </c>
      <c r="D74" t="s">
        <v>295</v>
      </c>
      <c r="E74" t="str">
        <f>E73</f>
        <v>Manure EF</v>
      </c>
      <c r="F74" t="str">
        <f>F73</f>
        <v>N2O</v>
      </c>
      <c r="G74" t="str">
        <f>G73</f>
        <v>kg N2O-N/kg Nex</v>
      </c>
      <c r="H74" s="27">
        <v>0</v>
      </c>
    </row>
    <row r="75" spans="1:41" x14ac:dyDescent="0.25">
      <c r="A75" t="str">
        <f t="shared" ref="A75:A82" si="36">A74</f>
        <v>3A Livestock</v>
      </c>
      <c r="B75" t="str">
        <f t="shared" ref="B75:B82" si="37">B74</f>
        <v>3A2 Manure management (N2O)</v>
      </c>
      <c r="C75" t="str">
        <f t="shared" ref="C75:C82" si="38">C74</f>
        <v>3A2 Manure management (N2O)</v>
      </c>
      <c r="D75" t="s">
        <v>296</v>
      </c>
      <c r="E75" t="str">
        <f t="shared" ref="E75:E82" si="39">E74</f>
        <v>Manure EF</v>
      </c>
      <c r="F75" t="str">
        <f t="shared" ref="F75:F82" si="40">F74</f>
        <v>N2O</v>
      </c>
      <c r="G75" t="str">
        <f t="shared" ref="G75:G82" si="41">G74</f>
        <v>kg N2O-N/kg Nex</v>
      </c>
      <c r="H75" s="27">
        <v>0.02</v>
      </c>
    </row>
    <row r="76" spans="1:41" x14ac:dyDescent="0.25">
      <c r="A76" t="str">
        <f t="shared" si="36"/>
        <v>3A Livestock</v>
      </c>
      <c r="B76" t="str">
        <f t="shared" si="37"/>
        <v>3A2 Manure management (N2O)</v>
      </c>
      <c r="C76" t="str">
        <f t="shared" si="38"/>
        <v>3A2 Manure management (N2O)</v>
      </c>
      <c r="D76" t="s">
        <v>297</v>
      </c>
      <c r="E76" t="str">
        <f t="shared" si="39"/>
        <v>Manure EF</v>
      </c>
      <c r="F76" t="str">
        <f t="shared" si="40"/>
        <v>N2O</v>
      </c>
      <c r="G76" t="str">
        <f t="shared" si="41"/>
        <v>kg N2O-N/kg Nex</v>
      </c>
      <c r="H76" s="27">
        <v>5.0000000000000001E-3</v>
      </c>
    </row>
    <row r="77" spans="1:41" x14ac:dyDescent="0.25">
      <c r="A77" t="str">
        <f t="shared" si="36"/>
        <v>3A Livestock</v>
      </c>
      <c r="B77" t="str">
        <f t="shared" si="37"/>
        <v>3A2 Manure management (N2O)</v>
      </c>
      <c r="C77" t="str">
        <f t="shared" si="38"/>
        <v>3A2 Manure management (N2O)</v>
      </c>
      <c r="D77" t="s">
        <v>298</v>
      </c>
      <c r="E77" t="str">
        <f t="shared" si="39"/>
        <v>Manure EF</v>
      </c>
      <c r="F77" t="str">
        <f t="shared" si="40"/>
        <v>N2O</v>
      </c>
      <c r="G77" t="str">
        <f t="shared" si="41"/>
        <v>kg N2O-N/kg Nex</v>
      </c>
      <c r="H77" s="27">
        <v>0</v>
      </c>
    </row>
    <row r="78" spans="1:41" x14ac:dyDescent="0.25">
      <c r="A78" t="str">
        <f t="shared" si="36"/>
        <v>3A Livestock</v>
      </c>
      <c r="B78" t="str">
        <f t="shared" si="37"/>
        <v>3A2 Manure management (N2O)</v>
      </c>
      <c r="C78" t="str">
        <f t="shared" si="38"/>
        <v>3A2 Manure management (N2O)</v>
      </c>
      <c r="D78" t="s">
        <v>299</v>
      </c>
      <c r="E78" t="str">
        <f t="shared" si="39"/>
        <v>Manure EF</v>
      </c>
      <c r="F78" t="str">
        <f t="shared" si="40"/>
        <v>N2O</v>
      </c>
      <c r="G78" t="str">
        <f t="shared" si="41"/>
        <v>kg N2O-N/kg Nex</v>
      </c>
      <c r="H78" s="27">
        <v>6.0000000000000001E-3</v>
      </c>
    </row>
    <row r="79" spans="1:41" x14ac:dyDescent="0.25">
      <c r="A79" t="str">
        <f t="shared" si="36"/>
        <v>3A Livestock</v>
      </c>
      <c r="B79" t="str">
        <f t="shared" si="37"/>
        <v>3A2 Manure management (N2O)</v>
      </c>
      <c r="C79" t="str">
        <f t="shared" si="38"/>
        <v>3A2 Manure management (N2O)</v>
      </c>
      <c r="D79" t="s">
        <v>300</v>
      </c>
      <c r="E79" t="str">
        <f t="shared" si="39"/>
        <v>Manure EF</v>
      </c>
      <c r="F79" t="str">
        <f t="shared" si="40"/>
        <v>N2O</v>
      </c>
      <c r="G79" t="str">
        <f t="shared" si="41"/>
        <v>kg N2O-N/kg Nex</v>
      </c>
      <c r="H79" s="27">
        <v>0.01</v>
      </c>
    </row>
    <row r="80" spans="1:41" x14ac:dyDescent="0.25">
      <c r="A80" t="str">
        <f t="shared" si="36"/>
        <v>3A Livestock</v>
      </c>
      <c r="B80" t="str">
        <f t="shared" si="37"/>
        <v>3A2 Manure management (N2O)</v>
      </c>
      <c r="C80" t="str">
        <f t="shared" si="38"/>
        <v>3A2 Manure management (N2O)</v>
      </c>
      <c r="D80" t="s">
        <v>301</v>
      </c>
      <c r="E80" t="str">
        <f t="shared" si="39"/>
        <v>Manure EF</v>
      </c>
      <c r="F80" t="str">
        <f t="shared" si="40"/>
        <v>N2O</v>
      </c>
      <c r="G80" t="str">
        <f t="shared" si="41"/>
        <v>kg N2O-N/kg Nex</v>
      </c>
      <c r="H80" s="27">
        <v>1E-3</v>
      </c>
    </row>
    <row r="81" spans="1:8" x14ac:dyDescent="0.25">
      <c r="A81" t="str">
        <f t="shared" si="36"/>
        <v>3A Livestock</v>
      </c>
      <c r="B81" t="str">
        <f t="shared" si="37"/>
        <v>3A2 Manure management (N2O)</v>
      </c>
      <c r="C81" t="str">
        <f t="shared" si="38"/>
        <v>3A2 Manure management (N2O)</v>
      </c>
      <c r="D81" t="s">
        <v>302</v>
      </c>
      <c r="E81" t="str">
        <f t="shared" si="39"/>
        <v>Manure EF</v>
      </c>
      <c r="F81" t="str">
        <f t="shared" si="40"/>
        <v>N2O</v>
      </c>
      <c r="G81" t="str">
        <f t="shared" si="41"/>
        <v>kg N2O-N/kg Nex</v>
      </c>
      <c r="H81" s="27">
        <v>1E-3</v>
      </c>
    </row>
    <row r="82" spans="1:8" x14ac:dyDescent="0.25">
      <c r="A82" t="str">
        <f t="shared" si="36"/>
        <v>3A Livestock</v>
      </c>
      <c r="B82" t="str">
        <f t="shared" si="37"/>
        <v>3A2 Manure management (N2O)</v>
      </c>
      <c r="C82" t="str">
        <f t="shared" si="38"/>
        <v>3A2 Manure management (N2O)</v>
      </c>
      <c r="D82" t="s">
        <v>769</v>
      </c>
      <c r="E82" t="str">
        <f t="shared" si="39"/>
        <v>Manure EF</v>
      </c>
      <c r="F82" t="str">
        <f t="shared" si="40"/>
        <v>N2O</v>
      </c>
      <c r="G82" t="str">
        <f t="shared" si="41"/>
        <v>kg N2O-N/kg Nex</v>
      </c>
      <c r="H82" s="27">
        <v>0</v>
      </c>
    </row>
    <row r="84" spans="1:8" x14ac:dyDescent="0.25">
      <c r="A84" t="str">
        <f>'IPCC Categories'!A59</f>
        <v>3C Aggregated and non-CO2 emissions on land</v>
      </c>
      <c r="B84" t="str">
        <f>'IPCC Categories'!B59</f>
        <v>3C1 Biomass burning (CH4)</v>
      </c>
      <c r="C84" t="str">
        <f>'Activity data'!C24</f>
        <v>3C1a Biomass burning in forest land</v>
      </c>
      <c r="D84" t="str">
        <f>'Activity data'!D24</f>
        <v>Indigenous forests</v>
      </c>
      <c r="E84" t="s">
        <v>364</v>
      </c>
      <c r="G84" t="s">
        <v>365</v>
      </c>
      <c r="H84" s="54">
        <v>19.8</v>
      </c>
    </row>
    <row r="85" spans="1:8" x14ac:dyDescent="0.25">
      <c r="A85" t="str">
        <f>A84</f>
        <v>3C Aggregated and non-CO2 emissions on land</v>
      </c>
      <c r="B85" t="str">
        <f>B84</f>
        <v>3C1 Biomass burning (CH4)</v>
      </c>
      <c r="C85" t="str">
        <f>'Activity data'!C25</f>
        <v>3C1a Biomass burning in forest land</v>
      </c>
      <c r="D85" t="str">
        <f>'Activity data'!D25</f>
        <v>Thickets</v>
      </c>
      <c r="E85" t="str">
        <f>E84</f>
        <v>Biomass burning Mb</v>
      </c>
      <c r="G85" t="s">
        <v>365</v>
      </c>
      <c r="H85" s="54">
        <v>1.4</v>
      </c>
    </row>
    <row r="86" spans="1:8" x14ac:dyDescent="0.25">
      <c r="A86" t="str">
        <f t="shared" ref="A86:A147" si="42">A85</f>
        <v>3C Aggregated and non-CO2 emissions on land</v>
      </c>
      <c r="B86" t="str">
        <f t="shared" ref="B86:B99" si="43">B85</f>
        <v>3C1 Biomass burning (CH4)</v>
      </c>
      <c r="C86" t="str">
        <f>'Activity data'!C26</f>
        <v>3C1a Biomass burning in forest land</v>
      </c>
      <c r="D86" t="str">
        <f>'Activity data'!D26</f>
        <v>Woodlands</v>
      </c>
      <c r="E86" t="str">
        <f t="shared" ref="E86:E115" si="44">E85</f>
        <v>Biomass burning Mb</v>
      </c>
      <c r="G86" t="s">
        <v>365</v>
      </c>
      <c r="H86" s="54">
        <v>4.4000000000000004</v>
      </c>
    </row>
    <row r="87" spans="1:8" x14ac:dyDescent="0.25">
      <c r="A87" t="str">
        <f t="shared" si="42"/>
        <v>3C Aggregated and non-CO2 emissions on land</v>
      </c>
      <c r="B87" t="str">
        <f t="shared" si="43"/>
        <v>3C1 Biomass burning (CH4)</v>
      </c>
      <c r="C87" t="str">
        <f>'Activity data'!C27</f>
        <v>3C1a Biomass burning in forest land</v>
      </c>
      <c r="D87" t="str">
        <f>'Activity data'!D27</f>
        <v>Plantations</v>
      </c>
      <c r="E87" t="str">
        <f t="shared" si="44"/>
        <v>Biomass burning Mb</v>
      </c>
      <c r="G87" t="s">
        <v>365</v>
      </c>
      <c r="H87" s="54">
        <v>33.6</v>
      </c>
    </row>
    <row r="88" spans="1:8" x14ac:dyDescent="0.25">
      <c r="A88" t="str">
        <f t="shared" si="42"/>
        <v>3C Aggregated and non-CO2 emissions on land</v>
      </c>
      <c r="B88" t="str">
        <f t="shared" si="43"/>
        <v>3C1 Biomass burning (CH4)</v>
      </c>
      <c r="C88" t="str">
        <f>'Activity data'!C28</f>
        <v>3C1b Biomass burning in Croplands</v>
      </c>
      <c r="D88" t="str">
        <f>'Activity data'!D28</f>
        <v>Annual non-pivot</v>
      </c>
      <c r="E88" t="str">
        <f t="shared" si="44"/>
        <v>Biomass burning Mb</v>
      </c>
      <c r="G88" t="s">
        <v>365</v>
      </c>
      <c r="H88" s="54">
        <v>7</v>
      </c>
    </row>
    <row r="89" spans="1:8" x14ac:dyDescent="0.25">
      <c r="A89" t="str">
        <f t="shared" si="42"/>
        <v>3C Aggregated and non-CO2 emissions on land</v>
      </c>
      <c r="B89" t="str">
        <f t="shared" si="43"/>
        <v>3C1 Biomass burning (CH4)</v>
      </c>
      <c r="C89" t="str">
        <f>'Activity data'!C29</f>
        <v>3C1b Biomass burning in Croplands</v>
      </c>
      <c r="D89" t="str">
        <f>'Activity data'!D29</f>
        <v>Annual pivot</v>
      </c>
      <c r="E89" t="str">
        <f t="shared" si="44"/>
        <v>Biomass burning Mb</v>
      </c>
      <c r="G89" t="s">
        <v>365</v>
      </c>
      <c r="H89" s="54">
        <v>7</v>
      </c>
    </row>
    <row r="90" spans="1:8" x14ac:dyDescent="0.25">
      <c r="A90" t="str">
        <f t="shared" si="42"/>
        <v>3C Aggregated and non-CO2 emissions on land</v>
      </c>
      <c r="B90" t="str">
        <f t="shared" si="43"/>
        <v>3C1 Biomass burning (CH4)</v>
      </c>
      <c r="C90" t="str">
        <f>'Activity data'!C30</f>
        <v>3C1b Biomass burning in Croplands</v>
      </c>
      <c r="D90" t="str">
        <f>'Activity data'!D30</f>
        <v>Perennial orchards</v>
      </c>
      <c r="E90" t="str">
        <f t="shared" si="44"/>
        <v>Biomass burning Mb</v>
      </c>
      <c r="G90" t="s">
        <v>365</v>
      </c>
      <c r="H90" s="54">
        <v>7</v>
      </c>
    </row>
    <row r="91" spans="1:8" x14ac:dyDescent="0.25">
      <c r="A91" t="str">
        <f t="shared" si="42"/>
        <v>3C Aggregated and non-CO2 emissions on land</v>
      </c>
      <c r="B91" t="str">
        <f t="shared" si="43"/>
        <v>3C1 Biomass burning (CH4)</v>
      </c>
      <c r="C91" t="str">
        <f>'Activity data'!C31</f>
        <v>3C1b Biomass burning in Croplands</v>
      </c>
      <c r="D91" t="str">
        <f>'Activity data'!D31</f>
        <v>Perennial vineyards</v>
      </c>
      <c r="E91" t="str">
        <f t="shared" si="44"/>
        <v>Biomass burning Mb</v>
      </c>
      <c r="G91" t="s">
        <v>365</v>
      </c>
      <c r="H91" s="54">
        <v>7</v>
      </c>
    </row>
    <row r="92" spans="1:8" x14ac:dyDescent="0.25">
      <c r="A92" t="str">
        <f t="shared" si="42"/>
        <v>3C Aggregated and non-CO2 emissions on land</v>
      </c>
      <c r="B92" t="str">
        <f t="shared" si="43"/>
        <v>3C1 Biomass burning (CH4)</v>
      </c>
      <c r="C92" t="str">
        <f>'Activity data'!C32</f>
        <v>3C1b Biomass burning in Croplands</v>
      </c>
      <c r="D92" t="str">
        <f>'Activity data'!D32</f>
        <v>Cropland subsistence</v>
      </c>
      <c r="E92" t="str">
        <f t="shared" si="44"/>
        <v>Biomass burning Mb</v>
      </c>
      <c r="G92" t="s">
        <v>365</v>
      </c>
      <c r="H92" s="54">
        <v>7</v>
      </c>
    </row>
    <row r="93" spans="1:8" x14ac:dyDescent="0.25">
      <c r="A93" t="str">
        <f t="shared" si="42"/>
        <v>3C Aggregated and non-CO2 emissions on land</v>
      </c>
      <c r="B93" t="str">
        <f t="shared" si="43"/>
        <v>3C1 Biomass burning (CH4)</v>
      </c>
      <c r="C93" t="str">
        <f>'Activity data'!C33</f>
        <v>3C1c Biomass burning in Grasslands</v>
      </c>
      <c r="D93" t="str">
        <f>'Activity data'!D33</f>
        <v>Grasslands</v>
      </c>
      <c r="E93" t="str">
        <f t="shared" si="44"/>
        <v>Biomass burning Mb</v>
      </c>
      <c r="G93" t="s">
        <v>365</v>
      </c>
      <c r="H93" s="54">
        <v>4.0999999999999996</v>
      </c>
    </row>
    <row r="94" spans="1:8" x14ac:dyDescent="0.25">
      <c r="A94" t="str">
        <f t="shared" si="42"/>
        <v>3C Aggregated and non-CO2 emissions on land</v>
      </c>
      <c r="B94" t="str">
        <f t="shared" si="43"/>
        <v>3C1 Biomass burning (CH4)</v>
      </c>
      <c r="C94" t="str">
        <f>'Activity data'!C34</f>
        <v>3C1c Biomass burning in Grasslands</v>
      </c>
      <c r="D94" t="str">
        <f>'Activity data'!D34</f>
        <v>Low shrublands</v>
      </c>
      <c r="E94" t="str">
        <f t="shared" si="44"/>
        <v>Biomass burning Mb</v>
      </c>
      <c r="G94" t="s">
        <v>365</v>
      </c>
      <c r="H94" s="54">
        <v>2.4</v>
      </c>
    </row>
    <row r="95" spans="1:8" x14ac:dyDescent="0.25">
      <c r="A95" t="str">
        <f>A99</f>
        <v>3C Aggregated and non-CO2 emissions on land</v>
      </c>
      <c r="B95" t="str">
        <f>B99</f>
        <v>3C1 Biomass burning (CH4)</v>
      </c>
      <c r="C95" t="str">
        <f>'Activity data'!C35</f>
        <v>3C1f Biomass burning in Other lands</v>
      </c>
      <c r="D95" t="str">
        <f>'Activity data'!D35</f>
        <v>Degraded land</v>
      </c>
      <c r="E95" t="str">
        <f>E99</f>
        <v>Biomass burning Mb</v>
      </c>
      <c r="G95" t="s">
        <v>365</v>
      </c>
      <c r="H95" s="54">
        <v>2</v>
      </c>
    </row>
    <row r="96" spans="1:8" x14ac:dyDescent="0.25">
      <c r="A96" t="str">
        <f>A94</f>
        <v>3C Aggregated and non-CO2 emissions on land</v>
      </c>
      <c r="B96" t="str">
        <f>B94</f>
        <v>3C1 Biomass burning (CH4)</v>
      </c>
      <c r="C96" t="str">
        <f>'Activity data'!C36</f>
        <v>3C1d Biomass burning in Wetlands</v>
      </c>
      <c r="D96" t="str">
        <f>'Activity data'!D36</f>
        <v>Wetlands</v>
      </c>
      <c r="E96" t="str">
        <f>E94</f>
        <v>Biomass burning Mb</v>
      </c>
      <c r="G96" t="s">
        <v>365</v>
      </c>
      <c r="H96" s="54">
        <v>4.0999999999999996</v>
      </c>
    </row>
    <row r="97" spans="1:8" x14ac:dyDescent="0.25">
      <c r="A97" t="str">
        <f t="shared" si="42"/>
        <v>3C Aggregated and non-CO2 emissions on land</v>
      </c>
      <c r="B97" t="str">
        <f t="shared" si="43"/>
        <v>3C1 Biomass burning (CH4)</v>
      </c>
      <c r="C97" t="str">
        <f>'Activity data'!C37</f>
        <v>3C1e Biomass burning in Settlements</v>
      </c>
      <c r="D97" t="str">
        <f>'Activity data'!D37</f>
        <v>Settlements</v>
      </c>
      <c r="E97" t="str">
        <f t="shared" si="44"/>
        <v>Biomass burning Mb</v>
      </c>
      <c r="G97" t="s">
        <v>365</v>
      </c>
      <c r="H97" s="54">
        <v>4.0999999999999996</v>
      </c>
    </row>
    <row r="98" spans="1:8" x14ac:dyDescent="0.25">
      <c r="A98" t="str">
        <f t="shared" si="42"/>
        <v>3C Aggregated and non-CO2 emissions on land</v>
      </c>
      <c r="B98" t="str">
        <f t="shared" si="43"/>
        <v>3C1 Biomass burning (CH4)</v>
      </c>
      <c r="C98" t="str">
        <f>'Activity data'!C38</f>
        <v>3C1e Biomass burning in Settlements</v>
      </c>
      <c r="D98" t="str">
        <f>'Activity data'!D38</f>
        <v>Mines</v>
      </c>
      <c r="E98" t="str">
        <f t="shared" si="44"/>
        <v>Biomass burning Mb</v>
      </c>
      <c r="G98" t="s">
        <v>365</v>
      </c>
      <c r="H98" s="54">
        <v>4.0999999999999996</v>
      </c>
    </row>
    <row r="99" spans="1:8" x14ac:dyDescent="0.25">
      <c r="A99" t="str">
        <f t="shared" si="42"/>
        <v>3C Aggregated and non-CO2 emissions on land</v>
      </c>
      <c r="B99" t="str">
        <f t="shared" si="43"/>
        <v>3C1 Biomass burning (CH4)</v>
      </c>
      <c r="C99" t="str">
        <f>'Activity data'!C39</f>
        <v>3C1f Biomass burning in Other lands</v>
      </c>
      <c r="D99" t="str">
        <f>'Activity data'!D39</f>
        <v>Bare ground</v>
      </c>
      <c r="E99" t="str">
        <f t="shared" si="44"/>
        <v>Biomass burning Mb</v>
      </c>
      <c r="G99" t="s">
        <v>365</v>
      </c>
      <c r="H99" s="54">
        <v>0</v>
      </c>
    </row>
    <row r="100" spans="1:8" x14ac:dyDescent="0.25">
      <c r="A100" t="str">
        <f>A95</f>
        <v>3C Aggregated and non-CO2 emissions on land</v>
      </c>
      <c r="B100" t="str">
        <f>'IPCC Categories'!B65</f>
        <v>3C1 Biomass burning (N2O)</v>
      </c>
      <c r="C100" t="str">
        <f t="shared" ref="C100:D119" si="45">C84</f>
        <v>3C1a Biomass burning in forest land</v>
      </c>
      <c r="D100" t="str">
        <f t="shared" si="45"/>
        <v>Indigenous forests</v>
      </c>
      <c r="E100" t="s">
        <v>363</v>
      </c>
      <c r="G100" t="s">
        <v>705</v>
      </c>
      <c r="H100" s="27">
        <v>1</v>
      </c>
    </row>
    <row r="101" spans="1:8" x14ac:dyDescent="0.25">
      <c r="A101" t="str">
        <f t="shared" si="42"/>
        <v>3C Aggregated and non-CO2 emissions on land</v>
      </c>
      <c r="B101" t="str">
        <f>B100</f>
        <v>3C1 Biomass burning (N2O)</v>
      </c>
      <c r="C101" t="str">
        <f t="shared" si="45"/>
        <v>3C1a Biomass burning in forest land</v>
      </c>
      <c r="D101" t="str">
        <f t="shared" si="45"/>
        <v>Thickets</v>
      </c>
      <c r="E101" t="str">
        <f t="shared" si="44"/>
        <v>Biomass burning Cf</v>
      </c>
      <c r="G101" t="s">
        <v>705</v>
      </c>
      <c r="H101" s="54">
        <v>0.95</v>
      </c>
    </row>
    <row r="102" spans="1:8" x14ac:dyDescent="0.25">
      <c r="A102" t="str">
        <f t="shared" si="42"/>
        <v>3C Aggregated and non-CO2 emissions on land</v>
      </c>
      <c r="B102" t="str">
        <f t="shared" ref="B102:B147" si="46">B101</f>
        <v>3C1 Biomass burning (N2O)</v>
      </c>
      <c r="C102" t="str">
        <f t="shared" si="45"/>
        <v>3C1a Biomass burning in forest land</v>
      </c>
      <c r="D102" t="str">
        <f t="shared" si="45"/>
        <v>Woodlands</v>
      </c>
      <c r="E102" t="str">
        <f t="shared" si="44"/>
        <v>Biomass burning Cf</v>
      </c>
      <c r="G102" t="s">
        <v>705</v>
      </c>
      <c r="H102" s="54">
        <v>0.8</v>
      </c>
    </row>
    <row r="103" spans="1:8" x14ac:dyDescent="0.25">
      <c r="A103" t="str">
        <f t="shared" si="42"/>
        <v>3C Aggregated and non-CO2 emissions on land</v>
      </c>
      <c r="B103" t="str">
        <f t="shared" si="46"/>
        <v>3C1 Biomass burning (N2O)</v>
      </c>
      <c r="C103" t="str">
        <f t="shared" si="45"/>
        <v>3C1a Biomass burning in forest land</v>
      </c>
      <c r="D103" t="str">
        <f t="shared" si="45"/>
        <v>Plantations</v>
      </c>
      <c r="E103" t="str">
        <f t="shared" si="44"/>
        <v>Biomass burning Cf</v>
      </c>
      <c r="G103" t="s">
        <v>705</v>
      </c>
      <c r="H103" s="27">
        <v>1</v>
      </c>
    </row>
    <row r="104" spans="1:8" x14ac:dyDescent="0.25">
      <c r="A104" t="str">
        <f t="shared" si="42"/>
        <v>3C Aggregated and non-CO2 emissions on land</v>
      </c>
      <c r="B104" t="str">
        <f t="shared" si="46"/>
        <v>3C1 Biomass burning (N2O)</v>
      </c>
      <c r="C104" t="str">
        <f t="shared" si="45"/>
        <v>3C1b Biomass burning in Croplands</v>
      </c>
      <c r="D104" t="str">
        <f t="shared" si="45"/>
        <v>Annual non-pivot</v>
      </c>
      <c r="E104" t="str">
        <f t="shared" si="44"/>
        <v>Biomass burning Cf</v>
      </c>
      <c r="G104" t="s">
        <v>705</v>
      </c>
      <c r="H104" s="27">
        <v>1</v>
      </c>
    </row>
    <row r="105" spans="1:8" x14ac:dyDescent="0.25">
      <c r="A105" t="str">
        <f t="shared" si="42"/>
        <v>3C Aggregated and non-CO2 emissions on land</v>
      </c>
      <c r="B105" t="str">
        <f t="shared" si="46"/>
        <v>3C1 Biomass burning (N2O)</v>
      </c>
      <c r="C105" t="str">
        <f t="shared" si="45"/>
        <v>3C1b Biomass burning in Croplands</v>
      </c>
      <c r="D105" t="str">
        <f t="shared" si="45"/>
        <v>Annual pivot</v>
      </c>
      <c r="E105" t="str">
        <f t="shared" si="44"/>
        <v>Biomass burning Cf</v>
      </c>
      <c r="G105" t="s">
        <v>705</v>
      </c>
      <c r="H105" s="27">
        <v>1</v>
      </c>
    </row>
    <row r="106" spans="1:8" x14ac:dyDescent="0.25">
      <c r="A106" t="str">
        <f t="shared" si="42"/>
        <v>3C Aggregated and non-CO2 emissions on land</v>
      </c>
      <c r="B106" t="str">
        <f t="shared" si="46"/>
        <v>3C1 Biomass burning (N2O)</v>
      </c>
      <c r="C106" t="str">
        <f t="shared" si="45"/>
        <v>3C1b Biomass burning in Croplands</v>
      </c>
      <c r="D106" t="str">
        <f t="shared" si="45"/>
        <v>Perennial orchards</v>
      </c>
      <c r="E106" t="str">
        <f t="shared" si="44"/>
        <v>Biomass burning Cf</v>
      </c>
      <c r="G106" t="s">
        <v>705</v>
      </c>
      <c r="H106" s="27">
        <v>1</v>
      </c>
    </row>
    <row r="107" spans="1:8" x14ac:dyDescent="0.25">
      <c r="A107" t="str">
        <f t="shared" si="42"/>
        <v>3C Aggregated and non-CO2 emissions on land</v>
      </c>
      <c r="B107" t="str">
        <f t="shared" si="46"/>
        <v>3C1 Biomass burning (N2O)</v>
      </c>
      <c r="C107" t="str">
        <f t="shared" si="45"/>
        <v>3C1b Biomass burning in Croplands</v>
      </c>
      <c r="D107" t="str">
        <f t="shared" si="45"/>
        <v>Perennial vineyards</v>
      </c>
      <c r="E107" t="str">
        <f t="shared" si="44"/>
        <v>Biomass burning Cf</v>
      </c>
      <c r="G107" t="s">
        <v>705</v>
      </c>
      <c r="H107" s="27">
        <v>1</v>
      </c>
    </row>
    <row r="108" spans="1:8" x14ac:dyDescent="0.25">
      <c r="A108" t="str">
        <f t="shared" si="42"/>
        <v>3C Aggregated and non-CO2 emissions on land</v>
      </c>
      <c r="B108" t="str">
        <f t="shared" si="46"/>
        <v>3C1 Biomass burning (N2O)</v>
      </c>
      <c r="C108" t="str">
        <f t="shared" si="45"/>
        <v>3C1b Biomass burning in Croplands</v>
      </c>
      <c r="D108" t="str">
        <f t="shared" si="45"/>
        <v>Cropland subsistence</v>
      </c>
      <c r="E108" t="str">
        <f t="shared" si="44"/>
        <v>Biomass burning Cf</v>
      </c>
      <c r="G108" t="s">
        <v>705</v>
      </c>
      <c r="H108" s="27">
        <v>1</v>
      </c>
    </row>
    <row r="109" spans="1:8" x14ac:dyDescent="0.25">
      <c r="A109" t="str">
        <f t="shared" si="42"/>
        <v>3C Aggregated and non-CO2 emissions on land</v>
      </c>
      <c r="B109" t="str">
        <f t="shared" si="46"/>
        <v>3C1 Biomass burning (N2O)</v>
      </c>
      <c r="C109" t="str">
        <f t="shared" si="45"/>
        <v>3C1c Biomass burning in Grasslands</v>
      </c>
      <c r="D109" t="str">
        <f t="shared" si="45"/>
        <v>Grasslands</v>
      </c>
      <c r="E109" t="str">
        <f t="shared" si="44"/>
        <v>Biomass burning Cf</v>
      </c>
      <c r="G109" t="s">
        <v>705</v>
      </c>
      <c r="H109" s="27">
        <v>1</v>
      </c>
    </row>
    <row r="110" spans="1:8" x14ac:dyDescent="0.25">
      <c r="A110" t="str">
        <f t="shared" si="42"/>
        <v>3C Aggregated and non-CO2 emissions on land</v>
      </c>
      <c r="B110" t="str">
        <f t="shared" si="46"/>
        <v>3C1 Biomass burning (N2O)</v>
      </c>
      <c r="C110" t="str">
        <f t="shared" si="45"/>
        <v>3C1c Biomass burning in Grasslands</v>
      </c>
      <c r="D110" t="str">
        <f t="shared" si="45"/>
        <v>Low shrublands</v>
      </c>
      <c r="E110" t="str">
        <f t="shared" si="44"/>
        <v>Biomass burning Cf</v>
      </c>
      <c r="G110" t="s">
        <v>705</v>
      </c>
      <c r="H110" s="54">
        <v>0.91</v>
      </c>
    </row>
    <row r="111" spans="1:8" x14ac:dyDescent="0.25">
      <c r="A111" t="str">
        <f>A115</f>
        <v>3C Aggregated and non-CO2 emissions on land</v>
      </c>
      <c r="B111" t="str">
        <f>B115</f>
        <v>3C1 Biomass burning (N2O)</v>
      </c>
      <c r="C111" t="str">
        <f t="shared" si="45"/>
        <v>3C1f Biomass burning in Other lands</v>
      </c>
      <c r="D111" t="str">
        <f t="shared" si="45"/>
        <v>Degraded land</v>
      </c>
      <c r="E111" t="str">
        <f>E115</f>
        <v>Biomass burning Cf</v>
      </c>
      <c r="G111" t="s">
        <v>705</v>
      </c>
      <c r="H111" s="27">
        <v>1</v>
      </c>
    </row>
    <row r="112" spans="1:8" x14ac:dyDescent="0.25">
      <c r="A112" t="str">
        <f>A110</f>
        <v>3C Aggregated and non-CO2 emissions on land</v>
      </c>
      <c r="B112" t="str">
        <f>B110</f>
        <v>3C1 Biomass burning (N2O)</v>
      </c>
      <c r="C112" t="str">
        <f t="shared" si="45"/>
        <v>3C1d Biomass burning in Wetlands</v>
      </c>
      <c r="D112" t="str">
        <f t="shared" si="45"/>
        <v>Wetlands</v>
      </c>
      <c r="E112" t="str">
        <f>E110</f>
        <v>Biomass burning Cf</v>
      </c>
      <c r="G112" t="s">
        <v>705</v>
      </c>
      <c r="H112" s="27">
        <v>1</v>
      </c>
    </row>
    <row r="113" spans="1:8" x14ac:dyDescent="0.25">
      <c r="A113" t="str">
        <f t="shared" si="42"/>
        <v>3C Aggregated and non-CO2 emissions on land</v>
      </c>
      <c r="B113" t="str">
        <f t="shared" si="46"/>
        <v>3C1 Biomass burning (N2O)</v>
      </c>
      <c r="C113" t="str">
        <f t="shared" si="45"/>
        <v>3C1e Biomass burning in Settlements</v>
      </c>
      <c r="D113" t="str">
        <f t="shared" si="45"/>
        <v>Settlements</v>
      </c>
      <c r="E113" t="str">
        <f t="shared" si="44"/>
        <v>Biomass burning Cf</v>
      </c>
      <c r="G113" t="s">
        <v>705</v>
      </c>
      <c r="H113" s="27">
        <v>1</v>
      </c>
    </row>
    <row r="114" spans="1:8" x14ac:dyDescent="0.25">
      <c r="A114" t="str">
        <f t="shared" si="42"/>
        <v>3C Aggregated and non-CO2 emissions on land</v>
      </c>
      <c r="B114" t="str">
        <f t="shared" si="46"/>
        <v>3C1 Biomass burning (N2O)</v>
      </c>
      <c r="C114" t="str">
        <f t="shared" si="45"/>
        <v>3C1e Biomass burning in Settlements</v>
      </c>
      <c r="D114" t="str">
        <f t="shared" si="45"/>
        <v>Mines</v>
      </c>
      <c r="E114" t="str">
        <f t="shared" si="44"/>
        <v>Biomass burning Cf</v>
      </c>
      <c r="G114" t="s">
        <v>705</v>
      </c>
      <c r="H114" s="27">
        <v>1</v>
      </c>
    </row>
    <row r="115" spans="1:8" x14ac:dyDescent="0.25">
      <c r="A115" t="str">
        <f t="shared" si="42"/>
        <v>3C Aggregated and non-CO2 emissions on land</v>
      </c>
      <c r="B115" t="str">
        <f t="shared" si="46"/>
        <v>3C1 Biomass burning (N2O)</v>
      </c>
      <c r="C115" t="str">
        <f t="shared" si="45"/>
        <v>3C1f Biomass burning in Other lands</v>
      </c>
      <c r="D115" t="str">
        <f t="shared" si="45"/>
        <v>Bare ground</v>
      </c>
      <c r="E115" t="str">
        <f t="shared" si="44"/>
        <v>Biomass burning Cf</v>
      </c>
      <c r="G115" t="s">
        <v>705</v>
      </c>
      <c r="H115" s="54">
        <v>0</v>
      </c>
    </row>
    <row r="116" spans="1:8" x14ac:dyDescent="0.25">
      <c r="A116" t="str">
        <f t="shared" si="42"/>
        <v>3C Aggregated and non-CO2 emissions on land</v>
      </c>
      <c r="B116" t="str">
        <f t="shared" si="46"/>
        <v>3C1 Biomass burning (N2O)</v>
      </c>
      <c r="C116" t="str">
        <f t="shared" si="45"/>
        <v>3C1a Biomass burning in forest land</v>
      </c>
      <c r="D116" t="str">
        <f t="shared" si="45"/>
        <v>Indigenous forests</v>
      </c>
      <c r="E116" t="s">
        <v>362</v>
      </c>
      <c r="F116" t="s">
        <v>121</v>
      </c>
      <c r="G116" t="s">
        <v>366</v>
      </c>
      <c r="H116" s="27">
        <v>4.7</v>
      </c>
    </row>
    <row r="117" spans="1:8" x14ac:dyDescent="0.25">
      <c r="A117" t="str">
        <f t="shared" si="42"/>
        <v>3C Aggregated and non-CO2 emissions on land</v>
      </c>
      <c r="B117" t="str">
        <f t="shared" si="46"/>
        <v>3C1 Biomass burning (N2O)</v>
      </c>
      <c r="C117" t="str">
        <f t="shared" si="45"/>
        <v>3C1a Biomass burning in forest land</v>
      </c>
      <c r="D117" t="str">
        <f t="shared" si="45"/>
        <v>Thickets</v>
      </c>
      <c r="E117" t="str">
        <f>E116</f>
        <v>Biomass burning EF</v>
      </c>
      <c r="F117" t="str">
        <f>F116</f>
        <v>CH4</v>
      </c>
      <c r="G117" t="s">
        <v>366</v>
      </c>
      <c r="H117" s="27">
        <v>4.7</v>
      </c>
    </row>
    <row r="118" spans="1:8" x14ac:dyDescent="0.25">
      <c r="A118" t="str">
        <f t="shared" si="42"/>
        <v>3C Aggregated and non-CO2 emissions on land</v>
      </c>
      <c r="B118" t="str">
        <f t="shared" si="46"/>
        <v>3C1 Biomass burning (N2O)</v>
      </c>
      <c r="C118" t="str">
        <f t="shared" si="45"/>
        <v>3C1a Biomass burning in forest land</v>
      </c>
      <c r="D118" t="str">
        <f t="shared" si="45"/>
        <v>Woodlands</v>
      </c>
      <c r="E118" t="str">
        <f t="shared" ref="E118:E131" si="47">E117</f>
        <v>Biomass burning EF</v>
      </c>
      <c r="F118" t="str">
        <f t="shared" ref="F118:F131" si="48">F117</f>
        <v>CH4</v>
      </c>
      <c r="G118" t="s">
        <v>366</v>
      </c>
      <c r="H118" s="27">
        <v>2.2999999999999998</v>
      </c>
    </row>
    <row r="119" spans="1:8" x14ac:dyDescent="0.25">
      <c r="A119" t="str">
        <f t="shared" si="42"/>
        <v>3C Aggregated and non-CO2 emissions on land</v>
      </c>
      <c r="B119" t="str">
        <f t="shared" si="46"/>
        <v>3C1 Biomass burning (N2O)</v>
      </c>
      <c r="C119" t="str">
        <f t="shared" si="45"/>
        <v>3C1a Biomass burning in forest land</v>
      </c>
      <c r="D119" t="str">
        <f t="shared" si="45"/>
        <v>Plantations</v>
      </c>
      <c r="E119" t="str">
        <f t="shared" si="47"/>
        <v>Biomass burning EF</v>
      </c>
      <c r="F119" t="str">
        <f t="shared" si="48"/>
        <v>CH4</v>
      </c>
      <c r="G119" t="s">
        <v>366</v>
      </c>
      <c r="H119" s="27">
        <v>4.7</v>
      </c>
    </row>
    <row r="120" spans="1:8" x14ac:dyDescent="0.25">
      <c r="A120" t="str">
        <f t="shared" si="42"/>
        <v>3C Aggregated and non-CO2 emissions on land</v>
      </c>
      <c r="B120" t="str">
        <f t="shared" si="46"/>
        <v>3C1 Biomass burning (N2O)</v>
      </c>
      <c r="C120" t="str">
        <f t="shared" ref="C120:D139" si="49">C104</f>
        <v>3C1b Biomass burning in Croplands</v>
      </c>
      <c r="D120" t="str">
        <f t="shared" si="49"/>
        <v>Annual non-pivot</v>
      </c>
      <c r="E120" t="str">
        <f t="shared" si="47"/>
        <v>Biomass burning EF</v>
      </c>
      <c r="F120" t="str">
        <f t="shared" si="48"/>
        <v>CH4</v>
      </c>
      <c r="G120" t="s">
        <v>366</v>
      </c>
      <c r="H120" s="27">
        <v>2.7</v>
      </c>
    </row>
    <row r="121" spans="1:8" x14ac:dyDescent="0.25">
      <c r="A121" t="str">
        <f t="shared" si="42"/>
        <v>3C Aggregated and non-CO2 emissions on land</v>
      </c>
      <c r="B121" t="str">
        <f t="shared" si="46"/>
        <v>3C1 Biomass burning (N2O)</v>
      </c>
      <c r="C121" t="str">
        <f t="shared" si="49"/>
        <v>3C1b Biomass burning in Croplands</v>
      </c>
      <c r="D121" t="str">
        <f t="shared" si="49"/>
        <v>Annual pivot</v>
      </c>
      <c r="E121" t="str">
        <f t="shared" si="47"/>
        <v>Biomass burning EF</v>
      </c>
      <c r="F121" t="str">
        <f t="shared" si="48"/>
        <v>CH4</v>
      </c>
      <c r="G121" t="s">
        <v>366</v>
      </c>
      <c r="H121" s="27">
        <v>2.7</v>
      </c>
    </row>
    <row r="122" spans="1:8" x14ac:dyDescent="0.25">
      <c r="A122" t="str">
        <f t="shared" si="42"/>
        <v>3C Aggregated and non-CO2 emissions on land</v>
      </c>
      <c r="B122" t="str">
        <f t="shared" si="46"/>
        <v>3C1 Biomass burning (N2O)</v>
      </c>
      <c r="C122" t="str">
        <f t="shared" si="49"/>
        <v>3C1b Biomass burning in Croplands</v>
      </c>
      <c r="D122" t="str">
        <f t="shared" si="49"/>
        <v>Perennial orchards</v>
      </c>
      <c r="E122" t="str">
        <f t="shared" si="47"/>
        <v>Biomass burning EF</v>
      </c>
      <c r="F122" t="str">
        <f t="shared" si="48"/>
        <v>CH4</v>
      </c>
      <c r="G122" t="s">
        <v>366</v>
      </c>
      <c r="H122" s="27">
        <v>2.7</v>
      </c>
    </row>
    <row r="123" spans="1:8" x14ac:dyDescent="0.25">
      <c r="A123" t="str">
        <f t="shared" si="42"/>
        <v>3C Aggregated and non-CO2 emissions on land</v>
      </c>
      <c r="B123" t="str">
        <f t="shared" si="46"/>
        <v>3C1 Biomass burning (N2O)</v>
      </c>
      <c r="C123" t="str">
        <f t="shared" si="49"/>
        <v>3C1b Biomass burning in Croplands</v>
      </c>
      <c r="D123" t="str">
        <f t="shared" si="49"/>
        <v>Perennial vineyards</v>
      </c>
      <c r="E123" t="str">
        <f t="shared" si="47"/>
        <v>Biomass burning EF</v>
      </c>
      <c r="F123" t="str">
        <f t="shared" si="48"/>
        <v>CH4</v>
      </c>
      <c r="G123" t="s">
        <v>366</v>
      </c>
      <c r="H123" s="27">
        <v>2.7</v>
      </c>
    </row>
    <row r="124" spans="1:8" x14ac:dyDescent="0.25">
      <c r="A124" t="str">
        <f t="shared" si="42"/>
        <v>3C Aggregated and non-CO2 emissions on land</v>
      </c>
      <c r="B124" t="str">
        <f t="shared" si="46"/>
        <v>3C1 Biomass burning (N2O)</v>
      </c>
      <c r="C124" t="str">
        <f t="shared" si="49"/>
        <v>3C1b Biomass burning in Croplands</v>
      </c>
      <c r="D124" t="str">
        <f t="shared" si="49"/>
        <v>Cropland subsistence</v>
      </c>
      <c r="E124" t="str">
        <f t="shared" si="47"/>
        <v>Biomass burning EF</v>
      </c>
      <c r="F124" t="str">
        <f t="shared" si="48"/>
        <v>CH4</v>
      </c>
      <c r="G124" t="s">
        <v>366</v>
      </c>
      <c r="H124" s="27">
        <v>2.7</v>
      </c>
    </row>
    <row r="125" spans="1:8" x14ac:dyDescent="0.25">
      <c r="A125" t="str">
        <f t="shared" si="42"/>
        <v>3C Aggregated and non-CO2 emissions on land</v>
      </c>
      <c r="B125" t="str">
        <f t="shared" si="46"/>
        <v>3C1 Biomass burning (N2O)</v>
      </c>
      <c r="C125" t="str">
        <f t="shared" si="49"/>
        <v>3C1c Biomass burning in Grasslands</v>
      </c>
      <c r="D125" t="str">
        <f t="shared" si="49"/>
        <v>Grasslands</v>
      </c>
      <c r="E125" t="str">
        <f t="shared" si="47"/>
        <v>Biomass burning EF</v>
      </c>
      <c r="F125" t="str">
        <f t="shared" si="48"/>
        <v>CH4</v>
      </c>
      <c r="G125" t="s">
        <v>366</v>
      </c>
      <c r="H125" s="27">
        <v>2.2999999999999998</v>
      </c>
    </row>
    <row r="126" spans="1:8" x14ac:dyDescent="0.25">
      <c r="A126" t="str">
        <f t="shared" si="42"/>
        <v>3C Aggregated and non-CO2 emissions on land</v>
      </c>
      <c r="B126" t="str">
        <f t="shared" si="46"/>
        <v>3C1 Biomass burning (N2O)</v>
      </c>
      <c r="C126" t="str">
        <f t="shared" si="49"/>
        <v>3C1c Biomass burning in Grasslands</v>
      </c>
      <c r="D126" t="str">
        <f t="shared" si="49"/>
        <v>Low shrublands</v>
      </c>
      <c r="E126" t="str">
        <f t="shared" si="47"/>
        <v>Biomass burning EF</v>
      </c>
      <c r="F126" t="str">
        <f t="shared" si="48"/>
        <v>CH4</v>
      </c>
      <c r="G126" t="s">
        <v>366</v>
      </c>
      <c r="H126" s="27">
        <v>4.7</v>
      </c>
    </row>
    <row r="127" spans="1:8" x14ac:dyDescent="0.25">
      <c r="A127" t="str">
        <f t="shared" si="42"/>
        <v>3C Aggregated and non-CO2 emissions on land</v>
      </c>
      <c r="B127" t="str">
        <f t="shared" si="46"/>
        <v>3C1 Biomass burning (N2O)</v>
      </c>
      <c r="C127" t="str">
        <f t="shared" si="49"/>
        <v>3C1f Biomass burning in Other lands</v>
      </c>
      <c r="D127" t="str">
        <f t="shared" si="49"/>
        <v>Degraded land</v>
      </c>
      <c r="E127" t="str">
        <f>E131</f>
        <v>Biomass burning EF</v>
      </c>
      <c r="F127" t="str">
        <f>F131</f>
        <v>CH4</v>
      </c>
      <c r="G127" t="s">
        <v>366</v>
      </c>
      <c r="H127" s="27">
        <v>2.2999999999999998</v>
      </c>
    </row>
    <row r="128" spans="1:8" x14ac:dyDescent="0.25">
      <c r="A128" t="str">
        <f t="shared" si="42"/>
        <v>3C Aggregated and non-CO2 emissions on land</v>
      </c>
      <c r="B128" t="str">
        <f t="shared" si="46"/>
        <v>3C1 Biomass burning (N2O)</v>
      </c>
      <c r="C128" t="str">
        <f t="shared" si="49"/>
        <v>3C1d Biomass burning in Wetlands</v>
      </c>
      <c r="D128" t="str">
        <f t="shared" si="49"/>
        <v>Wetlands</v>
      </c>
      <c r="E128" t="str">
        <f>E126</f>
        <v>Biomass burning EF</v>
      </c>
      <c r="F128" t="str">
        <f>F126</f>
        <v>CH4</v>
      </c>
      <c r="G128" t="s">
        <v>366</v>
      </c>
      <c r="H128" s="27">
        <v>2.2999999999999998</v>
      </c>
    </row>
    <row r="129" spans="1:8" x14ac:dyDescent="0.25">
      <c r="A129" t="str">
        <f t="shared" si="42"/>
        <v>3C Aggregated and non-CO2 emissions on land</v>
      </c>
      <c r="B129" t="str">
        <f t="shared" si="46"/>
        <v>3C1 Biomass burning (N2O)</v>
      </c>
      <c r="C129" t="str">
        <f t="shared" si="49"/>
        <v>3C1e Biomass burning in Settlements</v>
      </c>
      <c r="D129" t="str">
        <f t="shared" si="49"/>
        <v>Settlements</v>
      </c>
      <c r="E129" t="str">
        <f t="shared" si="47"/>
        <v>Biomass burning EF</v>
      </c>
      <c r="F129" t="str">
        <f t="shared" si="48"/>
        <v>CH4</v>
      </c>
      <c r="G129" t="s">
        <v>366</v>
      </c>
      <c r="H129" s="27">
        <v>2.2999999999999998</v>
      </c>
    </row>
    <row r="130" spans="1:8" x14ac:dyDescent="0.25">
      <c r="A130" t="str">
        <f t="shared" si="42"/>
        <v>3C Aggregated and non-CO2 emissions on land</v>
      </c>
      <c r="B130" t="str">
        <f t="shared" si="46"/>
        <v>3C1 Biomass burning (N2O)</v>
      </c>
      <c r="C130" t="str">
        <f t="shared" si="49"/>
        <v>3C1e Biomass burning in Settlements</v>
      </c>
      <c r="D130" t="str">
        <f t="shared" si="49"/>
        <v>Mines</v>
      </c>
      <c r="E130" t="str">
        <f t="shared" si="47"/>
        <v>Biomass burning EF</v>
      </c>
      <c r="F130" t="str">
        <f t="shared" si="48"/>
        <v>CH4</v>
      </c>
      <c r="G130" t="s">
        <v>366</v>
      </c>
      <c r="H130" s="27">
        <v>2.2999999999999998</v>
      </c>
    </row>
    <row r="131" spans="1:8" x14ac:dyDescent="0.25">
      <c r="A131" t="str">
        <f t="shared" si="42"/>
        <v>3C Aggregated and non-CO2 emissions on land</v>
      </c>
      <c r="B131" t="str">
        <f t="shared" si="46"/>
        <v>3C1 Biomass burning (N2O)</v>
      </c>
      <c r="C131" t="str">
        <f t="shared" si="49"/>
        <v>3C1f Biomass burning in Other lands</v>
      </c>
      <c r="D131" t="str">
        <f t="shared" si="49"/>
        <v>Bare ground</v>
      </c>
      <c r="E131" t="str">
        <f t="shared" si="47"/>
        <v>Biomass burning EF</v>
      </c>
      <c r="F131" t="str">
        <f t="shared" si="48"/>
        <v>CH4</v>
      </c>
      <c r="G131" t="s">
        <v>366</v>
      </c>
      <c r="H131" s="27">
        <v>0</v>
      </c>
    </row>
    <row r="132" spans="1:8" x14ac:dyDescent="0.25">
      <c r="A132" t="str">
        <f t="shared" si="42"/>
        <v>3C Aggregated and non-CO2 emissions on land</v>
      </c>
      <c r="B132" t="str">
        <f t="shared" si="46"/>
        <v>3C1 Biomass burning (N2O)</v>
      </c>
      <c r="C132" t="str">
        <f t="shared" si="49"/>
        <v>3C1a Biomass burning in forest land</v>
      </c>
      <c r="D132" t="str">
        <f t="shared" si="49"/>
        <v>Indigenous forests</v>
      </c>
      <c r="E132" t="str">
        <f>E127</f>
        <v>Biomass burning EF</v>
      </c>
      <c r="F132" t="s">
        <v>139</v>
      </c>
      <c r="G132" t="s">
        <v>366</v>
      </c>
      <c r="H132" s="27">
        <v>0.26</v>
      </c>
    </row>
    <row r="133" spans="1:8" x14ac:dyDescent="0.25">
      <c r="A133" t="str">
        <f t="shared" si="42"/>
        <v>3C Aggregated and non-CO2 emissions on land</v>
      </c>
      <c r="B133" t="str">
        <f t="shared" si="46"/>
        <v>3C1 Biomass burning (N2O)</v>
      </c>
      <c r="C133" t="str">
        <f t="shared" si="49"/>
        <v>3C1a Biomass burning in forest land</v>
      </c>
      <c r="D133" t="str">
        <f t="shared" si="49"/>
        <v>Thickets</v>
      </c>
      <c r="E133" t="str">
        <f t="shared" ref="E133:E147" si="50">E132</f>
        <v>Biomass burning EF</v>
      </c>
      <c r="F133" t="str">
        <f t="shared" ref="F133:F147" si="51">F132</f>
        <v>N2O</v>
      </c>
      <c r="G133" t="s">
        <v>366</v>
      </c>
      <c r="H133" s="27">
        <v>0.26</v>
      </c>
    </row>
    <row r="134" spans="1:8" x14ac:dyDescent="0.25">
      <c r="A134" t="str">
        <f t="shared" si="42"/>
        <v>3C Aggregated and non-CO2 emissions on land</v>
      </c>
      <c r="B134" t="str">
        <f t="shared" si="46"/>
        <v>3C1 Biomass burning (N2O)</v>
      </c>
      <c r="C134" t="str">
        <f t="shared" si="49"/>
        <v>3C1a Biomass burning in forest land</v>
      </c>
      <c r="D134" t="str">
        <f t="shared" si="49"/>
        <v>Woodlands</v>
      </c>
      <c r="E134" t="str">
        <f t="shared" si="50"/>
        <v>Biomass burning EF</v>
      </c>
      <c r="F134" t="str">
        <f t="shared" si="51"/>
        <v>N2O</v>
      </c>
      <c r="G134" t="s">
        <v>366</v>
      </c>
      <c r="H134" s="27">
        <v>0.21</v>
      </c>
    </row>
    <row r="135" spans="1:8" x14ac:dyDescent="0.25">
      <c r="A135" t="str">
        <f t="shared" si="42"/>
        <v>3C Aggregated and non-CO2 emissions on land</v>
      </c>
      <c r="B135" t="str">
        <f t="shared" si="46"/>
        <v>3C1 Biomass burning (N2O)</v>
      </c>
      <c r="C135" t="str">
        <f t="shared" si="49"/>
        <v>3C1a Biomass burning in forest land</v>
      </c>
      <c r="D135" t="str">
        <f t="shared" si="49"/>
        <v>Plantations</v>
      </c>
      <c r="E135" t="str">
        <f t="shared" si="50"/>
        <v>Biomass burning EF</v>
      </c>
      <c r="F135" t="str">
        <f t="shared" si="51"/>
        <v>N2O</v>
      </c>
      <c r="G135" t="s">
        <v>366</v>
      </c>
      <c r="H135" s="27">
        <v>0.26</v>
      </c>
    </row>
    <row r="136" spans="1:8" x14ac:dyDescent="0.25">
      <c r="A136" t="str">
        <f t="shared" si="42"/>
        <v>3C Aggregated and non-CO2 emissions on land</v>
      </c>
      <c r="B136" t="str">
        <f t="shared" si="46"/>
        <v>3C1 Biomass burning (N2O)</v>
      </c>
      <c r="C136" t="str">
        <f t="shared" si="49"/>
        <v>3C1b Biomass burning in Croplands</v>
      </c>
      <c r="D136" t="str">
        <f t="shared" si="49"/>
        <v>Annual non-pivot</v>
      </c>
      <c r="E136" t="str">
        <f t="shared" si="50"/>
        <v>Biomass burning EF</v>
      </c>
      <c r="F136" t="str">
        <f t="shared" si="51"/>
        <v>N2O</v>
      </c>
      <c r="G136" t="s">
        <v>366</v>
      </c>
      <c r="H136" s="27">
        <v>7.0000000000000007E-2</v>
      </c>
    </row>
    <row r="137" spans="1:8" x14ac:dyDescent="0.25">
      <c r="A137" t="str">
        <f t="shared" si="42"/>
        <v>3C Aggregated and non-CO2 emissions on land</v>
      </c>
      <c r="B137" t="str">
        <f t="shared" si="46"/>
        <v>3C1 Biomass burning (N2O)</v>
      </c>
      <c r="C137" t="str">
        <f t="shared" si="49"/>
        <v>3C1b Biomass burning in Croplands</v>
      </c>
      <c r="D137" t="str">
        <f t="shared" si="49"/>
        <v>Annual pivot</v>
      </c>
      <c r="E137" t="str">
        <f t="shared" si="50"/>
        <v>Biomass burning EF</v>
      </c>
      <c r="F137" t="str">
        <f t="shared" si="51"/>
        <v>N2O</v>
      </c>
      <c r="G137" t="s">
        <v>366</v>
      </c>
      <c r="H137" s="27">
        <v>7.0000000000000007E-2</v>
      </c>
    </row>
    <row r="138" spans="1:8" x14ac:dyDescent="0.25">
      <c r="A138" t="str">
        <f t="shared" si="42"/>
        <v>3C Aggregated and non-CO2 emissions on land</v>
      </c>
      <c r="B138" t="str">
        <f t="shared" si="46"/>
        <v>3C1 Biomass burning (N2O)</v>
      </c>
      <c r="C138" t="str">
        <f t="shared" si="49"/>
        <v>3C1b Biomass burning in Croplands</v>
      </c>
      <c r="D138" t="str">
        <f t="shared" si="49"/>
        <v>Perennial orchards</v>
      </c>
      <c r="E138" t="str">
        <f t="shared" si="50"/>
        <v>Biomass burning EF</v>
      </c>
      <c r="F138" t="str">
        <f t="shared" si="51"/>
        <v>N2O</v>
      </c>
      <c r="G138" t="s">
        <v>366</v>
      </c>
      <c r="H138" s="27">
        <v>7.0000000000000007E-2</v>
      </c>
    </row>
    <row r="139" spans="1:8" x14ac:dyDescent="0.25">
      <c r="A139" t="str">
        <f t="shared" si="42"/>
        <v>3C Aggregated and non-CO2 emissions on land</v>
      </c>
      <c r="B139" t="str">
        <f t="shared" si="46"/>
        <v>3C1 Biomass burning (N2O)</v>
      </c>
      <c r="C139" t="str">
        <f t="shared" si="49"/>
        <v>3C1b Biomass burning in Croplands</v>
      </c>
      <c r="D139" t="str">
        <f t="shared" si="49"/>
        <v>Perennial vineyards</v>
      </c>
      <c r="E139" t="str">
        <f t="shared" si="50"/>
        <v>Biomass burning EF</v>
      </c>
      <c r="F139" t="str">
        <f t="shared" si="51"/>
        <v>N2O</v>
      </c>
      <c r="G139" t="s">
        <v>366</v>
      </c>
      <c r="H139" s="27">
        <v>7.0000000000000007E-2</v>
      </c>
    </row>
    <row r="140" spans="1:8" x14ac:dyDescent="0.25">
      <c r="A140" t="str">
        <f t="shared" si="42"/>
        <v>3C Aggregated and non-CO2 emissions on land</v>
      </c>
      <c r="B140" t="str">
        <f t="shared" si="46"/>
        <v>3C1 Biomass burning (N2O)</v>
      </c>
      <c r="C140" t="str">
        <f t="shared" ref="C140:D147" si="52">C124</f>
        <v>3C1b Biomass burning in Croplands</v>
      </c>
      <c r="D140" t="str">
        <f t="shared" si="52"/>
        <v>Cropland subsistence</v>
      </c>
      <c r="E140" t="str">
        <f t="shared" si="50"/>
        <v>Biomass burning EF</v>
      </c>
      <c r="F140" t="str">
        <f t="shared" si="51"/>
        <v>N2O</v>
      </c>
      <c r="G140" t="s">
        <v>366</v>
      </c>
      <c r="H140" s="27">
        <v>7.0000000000000007E-2</v>
      </c>
    </row>
    <row r="141" spans="1:8" x14ac:dyDescent="0.25">
      <c r="A141" t="str">
        <f t="shared" si="42"/>
        <v>3C Aggregated and non-CO2 emissions on land</v>
      </c>
      <c r="B141" t="str">
        <f t="shared" si="46"/>
        <v>3C1 Biomass burning (N2O)</v>
      </c>
      <c r="C141" t="str">
        <f t="shared" si="52"/>
        <v>3C1c Biomass burning in Grasslands</v>
      </c>
      <c r="D141" t="str">
        <f t="shared" si="52"/>
        <v>Grasslands</v>
      </c>
      <c r="E141" t="str">
        <f t="shared" si="50"/>
        <v>Biomass burning EF</v>
      </c>
      <c r="F141" t="str">
        <f t="shared" si="51"/>
        <v>N2O</v>
      </c>
      <c r="G141" t="s">
        <v>366</v>
      </c>
      <c r="H141" s="27">
        <v>0.21</v>
      </c>
    </row>
    <row r="142" spans="1:8" x14ac:dyDescent="0.25">
      <c r="A142" t="str">
        <f t="shared" si="42"/>
        <v>3C Aggregated and non-CO2 emissions on land</v>
      </c>
      <c r="B142" t="str">
        <f t="shared" si="46"/>
        <v>3C1 Biomass burning (N2O)</v>
      </c>
      <c r="C142" t="str">
        <f t="shared" si="52"/>
        <v>3C1c Biomass burning in Grasslands</v>
      </c>
      <c r="D142" t="str">
        <f t="shared" si="52"/>
        <v>Low shrublands</v>
      </c>
      <c r="E142" t="str">
        <f t="shared" si="50"/>
        <v>Biomass burning EF</v>
      </c>
      <c r="F142" t="str">
        <f t="shared" si="51"/>
        <v>N2O</v>
      </c>
      <c r="G142" t="s">
        <v>366</v>
      </c>
      <c r="H142" s="27">
        <v>0.26</v>
      </c>
    </row>
    <row r="143" spans="1:8" x14ac:dyDescent="0.25">
      <c r="A143" t="str">
        <f t="shared" si="42"/>
        <v>3C Aggregated and non-CO2 emissions on land</v>
      </c>
      <c r="B143" t="str">
        <f t="shared" si="46"/>
        <v>3C1 Biomass burning (N2O)</v>
      </c>
      <c r="C143" t="str">
        <f t="shared" si="52"/>
        <v>3C1f Biomass burning in Other lands</v>
      </c>
      <c r="D143" t="str">
        <f t="shared" si="52"/>
        <v>Degraded land</v>
      </c>
      <c r="E143" t="str">
        <f>E147</f>
        <v>Biomass burning EF</v>
      </c>
      <c r="F143" t="str">
        <f>F147</f>
        <v>N2O</v>
      </c>
      <c r="G143" t="s">
        <v>366</v>
      </c>
      <c r="H143" s="27">
        <v>0.21</v>
      </c>
    </row>
    <row r="144" spans="1:8" x14ac:dyDescent="0.25">
      <c r="A144" t="str">
        <f t="shared" si="42"/>
        <v>3C Aggregated and non-CO2 emissions on land</v>
      </c>
      <c r="B144" t="str">
        <f t="shared" si="46"/>
        <v>3C1 Biomass burning (N2O)</v>
      </c>
      <c r="C144" t="str">
        <f t="shared" si="52"/>
        <v>3C1d Biomass burning in Wetlands</v>
      </c>
      <c r="D144" t="str">
        <f t="shared" si="52"/>
        <v>Wetlands</v>
      </c>
      <c r="E144" t="str">
        <f>E142</f>
        <v>Biomass burning EF</v>
      </c>
      <c r="F144" t="str">
        <f>F142</f>
        <v>N2O</v>
      </c>
      <c r="G144" t="s">
        <v>366</v>
      </c>
      <c r="H144" s="27">
        <v>0.21</v>
      </c>
    </row>
    <row r="145" spans="1:8" x14ac:dyDescent="0.25">
      <c r="A145" t="str">
        <f t="shared" si="42"/>
        <v>3C Aggregated and non-CO2 emissions on land</v>
      </c>
      <c r="B145" t="str">
        <f t="shared" si="46"/>
        <v>3C1 Biomass burning (N2O)</v>
      </c>
      <c r="C145" t="str">
        <f t="shared" si="52"/>
        <v>3C1e Biomass burning in Settlements</v>
      </c>
      <c r="D145" t="str">
        <f t="shared" si="52"/>
        <v>Settlements</v>
      </c>
      <c r="E145" t="str">
        <f t="shared" si="50"/>
        <v>Biomass burning EF</v>
      </c>
      <c r="F145" t="str">
        <f t="shared" si="51"/>
        <v>N2O</v>
      </c>
      <c r="G145" t="s">
        <v>366</v>
      </c>
      <c r="H145" s="27">
        <v>0.21</v>
      </c>
    </row>
    <row r="146" spans="1:8" x14ac:dyDescent="0.25">
      <c r="A146" t="str">
        <f t="shared" si="42"/>
        <v>3C Aggregated and non-CO2 emissions on land</v>
      </c>
      <c r="B146" t="str">
        <f t="shared" si="46"/>
        <v>3C1 Biomass burning (N2O)</v>
      </c>
      <c r="C146" t="str">
        <f t="shared" si="52"/>
        <v>3C1e Biomass burning in Settlements</v>
      </c>
      <c r="D146" t="str">
        <f t="shared" si="52"/>
        <v>Mines</v>
      </c>
      <c r="E146" t="str">
        <f t="shared" si="50"/>
        <v>Biomass burning EF</v>
      </c>
      <c r="F146" t="str">
        <f t="shared" si="51"/>
        <v>N2O</v>
      </c>
      <c r="G146" t="s">
        <v>366</v>
      </c>
      <c r="H146" s="27">
        <v>0.21</v>
      </c>
    </row>
    <row r="147" spans="1:8" x14ac:dyDescent="0.25">
      <c r="A147" t="str">
        <f t="shared" si="42"/>
        <v>3C Aggregated and non-CO2 emissions on land</v>
      </c>
      <c r="B147" t="str">
        <f t="shared" si="46"/>
        <v>3C1 Biomass burning (N2O)</v>
      </c>
      <c r="C147" t="str">
        <f t="shared" si="52"/>
        <v>3C1f Biomass burning in Other lands</v>
      </c>
      <c r="D147" t="str">
        <f t="shared" si="52"/>
        <v>Bare ground</v>
      </c>
      <c r="E147" t="str">
        <f t="shared" si="50"/>
        <v>Biomass burning EF</v>
      </c>
      <c r="F147" t="str">
        <f t="shared" si="51"/>
        <v>N2O</v>
      </c>
      <c r="G147" t="s">
        <v>366</v>
      </c>
      <c r="H147" s="27">
        <v>0</v>
      </c>
    </row>
    <row r="149" spans="1:8" x14ac:dyDescent="0.25">
      <c r="A149" t="str">
        <f>'IPCC Categories'!A59</f>
        <v>3C Aggregated and non-CO2 emissions on land</v>
      </c>
      <c r="B149" t="str">
        <f>'IPCC Categories'!B71</f>
        <v>3C2 Liming (CO2)</v>
      </c>
      <c r="E149" t="s">
        <v>378</v>
      </c>
      <c r="F149" t="s">
        <v>380</v>
      </c>
      <c r="G149" t="s">
        <v>379</v>
      </c>
      <c r="H149" s="27">
        <v>0.125</v>
      </c>
    </row>
    <row r="150" spans="1:8" x14ac:dyDescent="0.25">
      <c r="A150" t="str">
        <f>A149</f>
        <v>3C Aggregated and non-CO2 emissions on land</v>
      </c>
      <c r="B150" t="str">
        <f>'IPCC Categories'!B72</f>
        <v>3C3 Urea application (CO2)</v>
      </c>
      <c r="E150" t="s">
        <v>385</v>
      </c>
      <c r="F150" t="s">
        <v>380</v>
      </c>
      <c r="G150" t="s">
        <v>386</v>
      </c>
      <c r="H150" s="27">
        <v>0.2</v>
      </c>
    </row>
    <row r="152" spans="1:8" x14ac:dyDescent="0.25">
      <c r="A152" t="str">
        <f>A150</f>
        <v>3C Aggregated and non-CO2 emissions on land</v>
      </c>
      <c r="B152" t="str">
        <f>'IPCC Categories'!B73</f>
        <v>3C4 Direct N2O from managed soils (N2O)</v>
      </c>
      <c r="C152" t="s">
        <v>391</v>
      </c>
      <c r="D152" t="s">
        <v>392</v>
      </c>
      <c r="E152" t="str">
        <f>C152&amp;D152</f>
        <v>FracMM - Diary cattle</v>
      </c>
      <c r="F152" t="s">
        <v>139</v>
      </c>
      <c r="G152" t="s">
        <v>377</v>
      </c>
      <c r="H152" s="22">
        <f>(SUM('Mitigation drivers'!C12:C20,'Mitigation drivers'!C24:C32)/2)/100</f>
        <v>0.7</v>
      </c>
    </row>
    <row r="153" spans="1:8" x14ac:dyDescent="0.25">
      <c r="A153" t="str">
        <f>A152</f>
        <v>3C Aggregated and non-CO2 emissions on land</v>
      </c>
      <c r="B153" t="str">
        <f>B152</f>
        <v>3C4 Direct N2O from managed soils (N2O)</v>
      </c>
      <c r="C153" t="str">
        <f>C152</f>
        <v>FracMM</v>
      </c>
      <c r="D153" t="s">
        <v>393</v>
      </c>
      <c r="E153" t="str">
        <f t="shared" ref="E153:E176" si="53">C153&amp;D153</f>
        <v>FracMM - commercial other cattle</v>
      </c>
      <c r="F153" t="str">
        <f>F152</f>
        <v>N2O</v>
      </c>
      <c r="G153" t="str">
        <f>G152</f>
        <v>fraction</v>
      </c>
      <c r="H153" s="22">
        <f>(SUM('Mitigation drivers'!C36:C44,'Mitigation drivers'!C49:C57)/2)/100</f>
        <v>0.05</v>
      </c>
    </row>
    <row r="154" spans="1:8" x14ac:dyDescent="0.25">
      <c r="A154" t="str">
        <f t="shared" ref="A154:A163" si="54">A153</f>
        <v>3C Aggregated and non-CO2 emissions on land</v>
      </c>
      <c r="B154" t="str">
        <f t="shared" ref="B154:B163" si="55">B153</f>
        <v>3C4 Direct N2O from managed soils (N2O)</v>
      </c>
      <c r="C154" t="str">
        <f t="shared" ref="C154:C163" si="56">C153</f>
        <v>FracMM</v>
      </c>
      <c r="D154" t="s">
        <v>394</v>
      </c>
      <c r="E154" t="str">
        <f t="shared" si="53"/>
        <v>FracMM - feedlot other cattle</v>
      </c>
      <c r="F154" t="str">
        <f t="shared" ref="F154:F163" si="57">F153</f>
        <v>N2O</v>
      </c>
      <c r="G154" t="str">
        <f t="shared" ref="G154:G163" si="58">G153</f>
        <v>fraction</v>
      </c>
      <c r="H154" s="22">
        <f>(SUM('Mitigation drivers'!C73:C81))/100</f>
        <v>1</v>
      </c>
    </row>
    <row r="155" spans="1:8" x14ac:dyDescent="0.25">
      <c r="A155" t="str">
        <f t="shared" si="54"/>
        <v>3C Aggregated and non-CO2 emissions on land</v>
      </c>
      <c r="B155" t="str">
        <f t="shared" si="55"/>
        <v>3C4 Direct N2O from managed soils (N2O)</v>
      </c>
      <c r="C155" t="str">
        <f t="shared" si="56"/>
        <v>FracMM</v>
      </c>
      <c r="D155" t="s">
        <v>395</v>
      </c>
      <c r="E155" t="str">
        <f t="shared" si="53"/>
        <v>FracMM - subsistence other cattle</v>
      </c>
      <c r="F155" t="str">
        <f t="shared" si="57"/>
        <v>N2O</v>
      </c>
      <c r="G155" t="str">
        <f t="shared" si="58"/>
        <v>fraction</v>
      </c>
      <c r="H155" s="22">
        <f>(SUM('Mitigation drivers'!C61:C69))/100</f>
        <v>0.1</v>
      </c>
    </row>
    <row r="156" spans="1:8" x14ac:dyDescent="0.25">
      <c r="A156" t="str">
        <f t="shared" si="54"/>
        <v>3C Aggregated and non-CO2 emissions on land</v>
      </c>
      <c r="B156" t="str">
        <f t="shared" si="55"/>
        <v>3C4 Direct N2O from managed soils (N2O)</v>
      </c>
      <c r="C156" t="str">
        <f t="shared" si="56"/>
        <v>FracMM</v>
      </c>
      <c r="D156" t="s">
        <v>396</v>
      </c>
      <c r="E156" t="str">
        <f t="shared" si="53"/>
        <v>FracMM - commercial sheep</v>
      </c>
      <c r="F156" t="str">
        <f t="shared" si="57"/>
        <v>N2O</v>
      </c>
      <c r="G156" t="str">
        <f t="shared" si="58"/>
        <v>fraction</v>
      </c>
      <c r="H156" s="22">
        <f>(SUM('Mitigation drivers'!C86:C94))/100</f>
        <v>0.01</v>
      </c>
    </row>
    <row r="157" spans="1:8" x14ac:dyDescent="0.25">
      <c r="A157" t="str">
        <f t="shared" si="54"/>
        <v>3C Aggregated and non-CO2 emissions on land</v>
      </c>
      <c r="B157" t="str">
        <f t="shared" si="55"/>
        <v>3C4 Direct N2O from managed soils (N2O)</v>
      </c>
      <c r="C157" t="str">
        <f t="shared" si="56"/>
        <v>FracMM</v>
      </c>
      <c r="D157" t="s">
        <v>397</v>
      </c>
      <c r="E157" t="str">
        <f t="shared" si="53"/>
        <v>FracMM - subsistence sheep</v>
      </c>
      <c r="F157" t="str">
        <f t="shared" si="57"/>
        <v>N2O</v>
      </c>
      <c r="G157" t="str">
        <f t="shared" si="58"/>
        <v>fraction</v>
      </c>
      <c r="H157" s="22">
        <f>(SUM('Mitigation drivers'!C97:C105))/100</f>
        <v>7.0000000000000007E-2</v>
      </c>
    </row>
    <row r="158" spans="1:8" x14ac:dyDescent="0.25">
      <c r="A158" t="str">
        <f t="shared" si="54"/>
        <v>3C Aggregated and non-CO2 emissions on land</v>
      </c>
      <c r="B158" t="str">
        <f t="shared" si="55"/>
        <v>3C4 Direct N2O from managed soils (N2O)</v>
      </c>
      <c r="C158" t="str">
        <f t="shared" si="56"/>
        <v>FracMM</v>
      </c>
      <c r="D158" t="s">
        <v>398</v>
      </c>
      <c r="E158" t="str">
        <f t="shared" si="53"/>
        <v>FracMM - commercial goats</v>
      </c>
      <c r="F158" t="str">
        <f t="shared" si="57"/>
        <v>N2O</v>
      </c>
      <c r="G158" t="str">
        <f t="shared" si="58"/>
        <v>fraction</v>
      </c>
      <c r="H158" s="22">
        <f>(SUM('Mitigation drivers'!C110:C118))/100</f>
        <v>0.01</v>
      </c>
    </row>
    <row r="159" spans="1:8" x14ac:dyDescent="0.25">
      <c r="A159" t="str">
        <f t="shared" si="54"/>
        <v>3C Aggregated and non-CO2 emissions on land</v>
      </c>
      <c r="B159" t="str">
        <f t="shared" si="55"/>
        <v>3C4 Direct N2O from managed soils (N2O)</v>
      </c>
      <c r="C159" t="str">
        <f t="shared" si="56"/>
        <v>FracMM</v>
      </c>
      <c r="D159" t="s">
        <v>399</v>
      </c>
      <c r="E159" t="str">
        <f t="shared" si="53"/>
        <v>FracMM - subsistence goats</v>
      </c>
      <c r="F159" t="str">
        <f t="shared" si="57"/>
        <v>N2O</v>
      </c>
      <c r="G159" t="str">
        <f t="shared" si="58"/>
        <v>fraction</v>
      </c>
      <c r="H159" s="22">
        <f>(SUM('Mitigation drivers'!C122:C130))/100</f>
        <v>7.0000000000000007E-2</v>
      </c>
    </row>
    <row r="160" spans="1:8" x14ac:dyDescent="0.25">
      <c r="A160" t="str">
        <f t="shared" si="54"/>
        <v>3C Aggregated and non-CO2 emissions on land</v>
      </c>
      <c r="B160" t="str">
        <f t="shared" si="55"/>
        <v>3C4 Direct N2O from managed soils (N2O)</v>
      </c>
      <c r="C160" t="str">
        <f t="shared" si="56"/>
        <v>FracMM</v>
      </c>
      <c r="D160" t="s">
        <v>400</v>
      </c>
      <c r="E160" t="str">
        <f t="shared" si="53"/>
        <v>FracMM - commercial swine</v>
      </c>
      <c r="F160" t="str">
        <f t="shared" si="57"/>
        <v>N2O</v>
      </c>
      <c r="G160" t="str">
        <f t="shared" si="58"/>
        <v>fraction</v>
      </c>
      <c r="H160" s="22">
        <f>(SUM('Mitigation drivers'!C160:C168))/100</f>
        <v>1</v>
      </c>
    </row>
    <row r="161" spans="1:8" x14ac:dyDescent="0.25">
      <c r="A161" t="str">
        <f t="shared" si="54"/>
        <v>3C Aggregated and non-CO2 emissions on land</v>
      </c>
      <c r="B161" t="str">
        <f t="shared" si="55"/>
        <v>3C4 Direct N2O from managed soils (N2O)</v>
      </c>
      <c r="C161" t="str">
        <f t="shared" si="56"/>
        <v>FracMM</v>
      </c>
      <c r="D161" t="s">
        <v>401</v>
      </c>
      <c r="E161" t="str">
        <f t="shared" si="53"/>
        <v>FracMM - subsistence swine</v>
      </c>
      <c r="F161" t="str">
        <f t="shared" si="57"/>
        <v>N2O</v>
      </c>
      <c r="G161" t="str">
        <f t="shared" si="58"/>
        <v>fraction</v>
      </c>
      <c r="H161" s="22">
        <f>(SUM('Mitigation drivers'!C172:C180))/100</f>
        <v>1</v>
      </c>
    </row>
    <row r="162" spans="1:8" x14ac:dyDescent="0.25">
      <c r="A162" t="str">
        <f t="shared" si="54"/>
        <v>3C Aggregated and non-CO2 emissions on land</v>
      </c>
      <c r="B162" t="str">
        <f t="shared" si="55"/>
        <v>3C4 Direct N2O from managed soils (N2O)</v>
      </c>
      <c r="C162" t="str">
        <f t="shared" si="56"/>
        <v>FracMM</v>
      </c>
      <c r="D162" t="s">
        <v>402</v>
      </c>
      <c r="E162" t="str">
        <f t="shared" si="53"/>
        <v>FracMM - broilers</v>
      </c>
      <c r="F162" t="str">
        <f t="shared" si="57"/>
        <v>N2O</v>
      </c>
      <c r="G162" t="str">
        <f t="shared" si="58"/>
        <v>fraction</v>
      </c>
      <c r="H162" s="22">
        <f>(SUM('Mitigation drivers'!C197:C205,'Mitigation drivers'!C221:C229)/2)/100</f>
        <v>1</v>
      </c>
    </row>
    <row r="163" spans="1:8" x14ac:dyDescent="0.25">
      <c r="A163" t="str">
        <f t="shared" si="54"/>
        <v>3C Aggregated and non-CO2 emissions on land</v>
      </c>
      <c r="B163" t="str">
        <f t="shared" si="55"/>
        <v>3C4 Direct N2O from managed soils (N2O)</v>
      </c>
      <c r="C163" t="str">
        <f t="shared" si="56"/>
        <v>FracMM</v>
      </c>
      <c r="D163" t="s">
        <v>403</v>
      </c>
      <c r="E163" t="str">
        <f t="shared" si="53"/>
        <v>FracMM - layers</v>
      </c>
      <c r="F163" t="str">
        <f t="shared" si="57"/>
        <v>N2O</v>
      </c>
      <c r="G163" t="str">
        <f t="shared" si="58"/>
        <v>fraction</v>
      </c>
      <c r="H163" s="22">
        <f>(SUM('Mitigation drivers'!C185:C193,'Mitigation drivers'!C209:C217)/2)/100</f>
        <v>1</v>
      </c>
    </row>
    <row r="164" spans="1:8" x14ac:dyDescent="0.25">
      <c r="A164" t="str">
        <f t="shared" ref="A164" si="59">A163</f>
        <v>3C Aggregated and non-CO2 emissions on land</v>
      </c>
      <c r="B164" t="str">
        <f t="shared" ref="B164" si="60">B163</f>
        <v>3C4 Direct N2O from managed soils (N2O)</v>
      </c>
      <c r="C164" t="s">
        <v>404</v>
      </c>
      <c r="D164" t="str">
        <f>D152</f>
        <v xml:space="preserve"> - Diary cattle</v>
      </c>
      <c r="E164" t="str">
        <f t="shared" si="53"/>
        <v>FracLoss - Diary cattle</v>
      </c>
      <c r="F164" t="str">
        <f>F152</f>
        <v>N2O</v>
      </c>
      <c r="G164" t="str">
        <f>G152</f>
        <v>fraction</v>
      </c>
      <c r="H164" s="54">
        <v>0.44350000000000001</v>
      </c>
    </row>
    <row r="165" spans="1:8" x14ac:dyDescent="0.25">
      <c r="A165" t="str">
        <f t="shared" ref="A165:A192" si="61">A164</f>
        <v>3C Aggregated and non-CO2 emissions on land</v>
      </c>
      <c r="B165" t="str">
        <f t="shared" ref="B165:B192" si="62">B164</f>
        <v>3C4 Direct N2O from managed soils (N2O)</v>
      </c>
      <c r="C165" t="str">
        <f>C164</f>
        <v>FracLoss</v>
      </c>
      <c r="D165" t="str">
        <f t="shared" ref="D165:G165" si="63">D153</f>
        <v xml:space="preserve"> - commercial other cattle</v>
      </c>
      <c r="E165" t="str">
        <f t="shared" si="53"/>
        <v>FracLoss - commercial other cattle</v>
      </c>
      <c r="F165" t="str">
        <f t="shared" si="63"/>
        <v>N2O</v>
      </c>
      <c r="G165" t="str">
        <f t="shared" si="63"/>
        <v>fraction</v>
      </c>
      <c r="H165" s="54">
        <v>1.4E-2</v>
      </c>
    </row>
    <row r="166" spans="1:8" x14ac:dyDescent="0.25">
      <c r="A166" t="str">
        <f t="shared" si="61"/>
        <v>3C Aggregated and non-CO2 emissions on land</v>
      </c>
      <c r="B166" t="str">
        <f t="shared" si="62"/>
        <v>3C4 Direct N2O from managed soils (N2O)</v>
      </c>
      <c r="C166" t="str">
        <f>C165</f>
        <v>FracLoss</v>
      </c>
      <c r="D166" t="str">
        <f t="shared" ref="D166:G166" si="64">D154</f>
        <v xml:space="preserve"> - feedlot other cattle</v>
      </c>
      <c r="E166" t="str">
        <f t="shared" si="53"/>
        <v>FracLoss - feedlot other cattle</v>
      </c>
      <c r="F166" t="str">
        <f t="shared" si="64"/>
        <v>N2O</v>
      </c>
      <c r="G166" t="str">
        <f t="shared" si="64"/>
        <v>fraction</v>
      </c>
      <c r="H166" s="54">
        <v>0.38600000000000001</v>
      </c>
    </row>
    <row r="167" spans="1:8" x14ac:dyDescent="0.25">
      <c r="A167" t="str">
        <f t="shared" si="61"/>
        <v>3C Aggregated and non-CO2 emissions on land</v>
      </c>
      <c r="B167" t="str">
        <f t="shared" si="62"/>
        <v>3C4 Direct N2O from managed soils (N2O)</v>
      </c>
      <c r="C167" t="str">
        <f t="shared" ref="C167:C175" si="65">C166</f>
        <v>FracLoss</v>
      </c>
      <c r="D167" t="str">
        <f t="shared" ref="D167:G167" si="66">D155</f>
        <v xml:space="preserve"> - subsistence other cattle</v>
      </c>
      <c r="E167" t="str">
        <f t="shared" si="53"/>
        <v>FracLoss - subsistence other cattle</v>
      </c>
      <c r="F167" t="str">
        <f t="shared" si="66"/>
        <v>N2O</v>
      </c>
      <c r="G167" t="str">
        <f t="shared" si="66"/>
        <v>fraction</v>
      </c>
      <c r="H167" s="54">
        <v>0.04</v>
      </c>
    </row>
    <row r="168" spans="1:8" x14ac:dyDescent="0.25">
      <c r="A168" t="str">
        <f t="shared" si="61"/>
        <v>3C Aggregated and non-CO2 emissions on land</v>
      </c>
      <c r="B168" t="str">
        <f t="shared" si="62"/>
        <v>3C4 Direct N2O from managed soils (N2O)</v>
      </c>
      <c r="C168" t="str">
        <f t="shared" si="65"/>
        <v>FracLoss</v>
      </c>
      <c r="D168" t="str">
        <f t="shared" ref="D168:G168" si="67">D156</f>
        <v xml:space="preserve"> - commercial sheep</v>
      </c>
      <c r="E168" t="str">
        <f t="shared" si="53"/>
        <v>FracLoss - commercial sheep</v>
      </c>
      <c r="F168" t="str">
        <f t="shared" si="67"/>
        <v>N2O</v>
      </c>
      <c r="G168" t="str">
        <f t="shared" si="67"/>
        <v>fraction</v>
      </c>
      <c r="H168" s="54">
        <v>4.0000000000000001E-3</v>
      </c>
    </row>
    <row r="169" spans="1:8" x14ac:dyDescent="0.25">
      <c r="A169" t="str">
        <f t="shared" si="61"/>
        <v>3C Aggregated and non-CO2 emissions on land</v>
      </c>
      <c r="B169" t="str">
        <f t="shared" si="62"/>
        <v>3C4 Direct N2O from managed soils (N2O)</v>
      </c>
      <c r="C169" t="str">
        <f t="shared" si="65"/>
        <v>FracLoss</v>
      </c>
      <c r="D169" t="str">
        <f t="shared" ref="D169:G169" si="68">D157</f>
        <v xml:space="preserve"> - subsistence sheep</v>
      </c>
      <c r="E169" t="str">
        <f t="shared" si="53"/>
        <v>FracLoss - subsistence sheep</v>
      </c>
      <c r="F169" t="str">
        <f t="shared" si="68"/>
        <v>N2O</v>
      </c>
      <c r="G169" t="str">
        <f t="shared" si="68"/>
        <v>fraction</v>
      </c>
      <c r="H169" s="54">
        <v>2.5499999999999998E-2</v>
      </c>
    </row>
    <row r="170" spans="1:8" x14ac:dyDescent="0.25">
      <c r="A170" t="str">
        <f t="shared" si="61"/>
        <v>3C Aggregated and non-CO2 emissions on land</v>
      </c>
      <c r="B170" t="str">
        <f t="shared" si="62"/>
        <v>3C4 Direct N2O from managed soils (N2O)</v>
      </c>
      <c r="C170" t="str">
        <f t="shared" si="65"/>
        <v>FracLoss</v>
      </c>
      <c r="D170" t="str">
        <f t="shared" ref="D170:G170" si="69">D158</f>
        <v xml:space="preserve"> - commercial goats</v>
      </c>
      <c r="E170" t="str">
        <f t="shared" si="53"/>
        <v>FracLoss - commercial goats</v>
      </c>
      <c r="F170" t="str">
        <f t="shared" si="69"/>
        <v>N2O</v>
      </c>
      <c r="G170" t="str">
        <f t="shared" si="69"/>
        <v>fraction</v>
      </c>
      <c r="H170" s="54">
        <v>4.0000000000000001E-3</v>
      </c>
    </row>
    <row r="171" spans="1:8" x14ac:dyDescent="0.25">
      <c r="A171" t="str">
        <f t="shared" si="61"/>
        <v>3C Aggregated and non-CO2 emissions on land</v>
      </c>
      <c r="B171" t="str">
        <f t="shared" si="62"/>
        <v>3C4 Direct N2O from managed soils (N2O)</v>
      </c>
      <c r="C171" t="str">
        <f t="shared" si="65"/>
        <v>FracLoss</v>
      </c>
      <c r="D171" t="str">
        <f t="shared" ref="D171:G171" si="70">D159</f>
        <v xml:space="preserve"> - subsistence goats</v>
      </c>
      <c r="E171" t="str">
        <f t="shared" si="53"/>
        <v>FracLoss - subsistence goats</v>
      </c>
      <c r="F171" t="str">
        <f t="shared" si="70"/>
        <v>N2O</v>
      </c>
      <c r="G171" t="str">
        <f t="shared" si="70"/>
        <v>fraction</v>
      </c>
      <c r="H171" s="54">
        <v>2.5499999999999998E-2</v>
      </c>
    </row>
    <row r="172" spans="1:8" x14ac:dyDescent="0.25">
      <c r="A172" t="str">
        <f t="shared" si="61"/>
        <v>3C Aggregated and non-CO2 emissions on land</v>
      </c>
      <c r="B172" t="str">
        <f t="shared" si="62"/>
        <v>3C4 Direct N2O from managed soils (N2O)</v>
      </c>
      <c r="C172" t="str">
        <f t="shared" si="65"/>
        <v>FracLoss</v>
      </c>
      <c r="D172" t="str">
        <f t="shared" ref="D172:G172" si="71">D160</f>
        <v xml:space="preserve"> - commercial swine</v>
      </c>
      <c r="E172" t="str">
        <f t="shared" si="53"/>
        <v>FracLoss - commercial swine</v>
      </c>
      <c r="F172" t="str">
        <f t="shared" si="71"/>
        <v>N2O</v>
      </c>
      <c r="G172" t="str">
        <f t="shared" si="71"/>
        <v>fraction</v>
      </c>
      <c r="H172" s="54">
        <v>0.6522</v>
      </c>
    </row>
    <row r="173" spans="1:8" x14ac:dyDescent="0.25">
      <c r="A173" t="str">
        <f t="shared" si="61"/>
        <v>3C Aggregated and non-CO2 emissions on land</v>
      </c>
      <c r="B173" t="str">
        <f t="shared" si="62"/>
        <v>3C4 Direct N2O from managed soils (N2O)</v>
      </c>
      <c r="C173" t="str">
        <f t="shared" si="65"/>
        <v>FracLoss</v>
      </c>
      <c r="D173" t="str">
        <f t="shared" ref="D173:G173" si="72">D161</f>
        <v xml:space="preserve"> - subsistence swine</v>
      </c>
      <c r="E173" t="str">
        <f t="shared" si="53"/>
        <v>FracLoss - subsistence swine</v>
      </c>
      <c r="F173" t="str">
        <f t="shared" si="72"/>
        <v>N2O</v>
      </c>
      <c r="G173" t="str">
        <f t="shared" si="72"/>
        <v>fraction</v>
      </c>
      <c r="H173" s="54">
        <v>0.40959999999999996</v>
      </c>
    </row>
    <row r="174" spans="1:8" x14ac:dyDescent="0.25">
      <c r="A174" t="str">
        <f t="shared" si="61"/>
        <v>3C Aggregated and non-CO2 emissions on land</v>
      </c>
      <c r="B174" t="str">
        <f t="shared" si="62"/>
        <v>3C4 Direct N2O from managed soils (N2O)</v>
      </c>
      <c r="C174" t="str">
        <f t="shared" si="65"/>
        <v>FracLoss</v>
      </c>
      <c r="D174" t="str">
        <f t="shared" ref="D174:G174" si="73">D162</f>
        <v xml:space="preserve"> - broilers</v>
      </c>
      <c r="E174" t="str">
        <f t="shared" si="53"/>
        <v>FracLoss - broilers</v>
      </c>
      <c r="F174" t="str">
        <f t="shared" si="73"/>
        <v>N2O</v>
      </c>
      <c r="G174" t="str">
        <f t="shared" si="73"/>
        <v>fraction</v>
      </c>
      <c r="H174" s="54">
        <v>0.24</v>
      </c>
    </row>
    <row r="175" spans="1:8" x14ac:dyDescent="0.25">
      <c r="A175" t="str">
        <f t="shared" si="61"/>
        <v>3C Aggregated and non-CO2 emissions on land</v>
      </c>
      <c r="B175" t="str">
        <f t="shared" si="62"/>
        <v>3C4 Direct N2O from managed soils (N2O)</v>
      </c>
      <c r="C175" t="str">
        <f t="shared" si="65"/>
        <v>FracLoss</v>
      </c>
      <c r="D175" t="str">
        <f t="shared" ref="D175:G176" si="74">D163</f>
        <v xml:space="preserve"> - layers</v>
      </c>
      <c r="E175" t="str">
        <f t="shared" si="53"/>
        <v>FracLoss - layers</v>
      </c>
      <c r="F175" t="str">
        <f t="shared" si="74"/>
        <v>N2O</v>
      </c>
      <c r="G175" t="str">
        <f t="shared" si="74"/>
        <v>fraction</v>
      </c>
      <c r="H175" s="54">
        <v>0.29600000000000004</v>
      </c>
    </row>
    <row r="176" spans="1:8" x14ac:dyDescent="0.25">
      <c r="A176" t="str">
        <f t="shared" si="61"/>
        <v>3C Aggregated and non-CO2 emissions on land</v>
      </c>
      <c r="B176" t="str">
        <f t="shared" si="62"/>
        <v>3C4 Direct N2O from managed soils (N2O)</v>
      </c>
      <c r="C176" t="s">
        <v>405</v>
      </c>
      <c r="D176" t="str">
        <f>D164</f>
        <v xml:space="preserve"> - Diary cattle</v>
      </c>
      <c r="E176" t="str">
        <f t="shared" si="53"/>
        <v>N for bedding - Diary cattle</v>
      </c>
      <c r="F176" t="str">
        <f t="shared" si="74"/>
        <v>N2O</v>
      </c>
      <c r="G176" t="str">
        <f t="shared" si="74"/>
        <v>fraction</v>
      </c>
      <c r="H176" s="54">
        <v>0.35</v>
      </c>
    </row>
    <row r="177" spans="1:8" x14ac:dyDescent="0.25">
      <c r="A177" t="str">
        <f t="shared" si="61"/>
        <v>3C Aggregated and non-CO2 emissions on land</v>
      </c>
      <c r="B177" t="str">
        <f t="shared" si="62"/>
        <v>3C4 Direct N2O from managed soils (N2O)</v>
      </c>
      <c r="C177" t="s">
        <v>405</v>
      </c>
      <c r="D177" t="str">
        <f t="shared" ref="D177:D187" si="75">D165</f>
        <v xml:space="preserve"> - commercial other cattle</v>
      </c>
      <c r="E177" t="str">
        <f t="shared" ref="E177:E187" si="76">C177&amp;D177</f>
        <v>N for bedding - commercial other cattle</v>
      </c>
      <c r="F177" t="str">
        <f t="shared" ref="F177:G177" si="77">F165</f>
        <v>N2O</v>
      </c>
      <c r="G177" t="str">
        <f t="shared" si="77"/>
        <v>fraction</v>
      </c>
      <c r="H177" s="54">
        <v>0.04</v>
      </c>
    </row>
    <row r="178" spans="1:8" x14ac:dyDescent="0.25">
      <c r="A178" t="str">
        <f t="shared" si="61"/>
        <v>3C Aggregated and non-CO2 emissions on land</v>
      </c>
      <c r="B178" t="str">
        <f t="shared" si="62"/>
        <v>3C4 Direct N2O from managed soils (N2O)</v>
      </c>
      <c r="C178" t="s">
        <v>405</v>
      </c>
      <c r="D178" t="str">
        <f t="shared" si="75"/>
        <v xml:space="preserve"> - feedlot other cattle</v>
      </c>
      <c r="E178" t="str">
        <f t="shared" si="76"/>
        <v>N for bedding - feedlot other cattle</v>
      </c>
      <c r="F178" t="str">
        <f t="shared" ref="F178:G178" si="78">F166</f>
        <v>N2O</v>
      </c>
      <c r="G178" t="str">
        <f t="shared" si="78"/>
        <v>fraction</v>
      </c>
      <c r="H178" s="54">
        <v>0</v>
      </c>
    </row>
    <row r="179" spans="1:8" x14ac:dyDescent="0.25">
      <c r="A179" t="str">
        <f t="shared" si="61"/>
        <v>3C Aggregated and non-CO2 emissions on land</v>
      </c>
      <c r="B179" t="str">
        <f t="shared" si="62"/>
        <v>3C4 Direct N2O from managed soils (N2O)</v>
      </c>
      <c r="C179" t="s">
        <v>405</v>
      </c>
      <c r="D179" t="str">
        <f t="shared" si="75"/>
        <v xml:space="preserve"> - subsistence other cattle</v>
      </c>
      <c r="E179" t="str">
        <f t="shared" si="76"/>
        <v>N for bedding - subsistence other cattle</v>
      </c>
      <c r="F179" t="str">
        <f t="shared" ref="F179:G179" si="79">F167</f>
        <v>N2O</v>
      </c>
      <c r="G179" t="str">
        <f t="shared" si="79"/>
        <v>fraction</v>
      </c>
      <c r="H179" s="54">
        <v>0.4</v>
      </c>
    </row>
    <row r="180" spans="1:8" x14ac:dyDescent="0.25">
      <c r="A180" t="str">
        <f t="shared" si="61"/>
        <v>3C Aggregated and non-CO2 emissions on land</v>
      </c>
      <c r="B180" t="str">
        <f t="shared" si="62"/>
        <v>3C4 Direct N2O from managed soils (N2O)</v>
      </c>
      <c r="C180" t="s">
        <v>405</v>
      </c>
      <c r="D180" t="str">
        <f t="shared" si="75"/>
        <v xml:space="preserve"> - commercial sheep</v>
      </c>
      <c r="E180" t="str">
        <f t="shared" si="76"/>
        <v>N for bedding - commercial sheep</v>
      </c>
      <c r="F180" t="str">
        <f t="shared" ref="F180:G180" si="80">F168</f>
        <v>N2O</v>
      </c>
      <c r="G180" t="str">
        <f t="shared" si="80"/>
        <v>fraction</v>
      </c>
      <c r="H180" s="54">
        <v>0</v>
      </c>
    </row>
    <row r="181" spans="1:8" x14ac:dyDescent="0.25">
      <c r="A181" t="str">
        <f t="shared" si="61"/>
        <v>3C Aggregated and non-CO2 emissions on land</v>
      </c>
      <c r="B181" t="str">
        <f t="shared" si="62"/>
        <v>3C4 Direct N2O from managed soils (N2O)</v>
      </c>
      <c r="C181" t="s">
        <v>405</v>
      </c>
      <c r="D181" t="str">
        <f t="shared" si="75"/>
        <v xml:space="preserve"> - subsistence sheep</v>
      </c>
      <c r="E181" t="str">
        <f t="shared" si="76"/>
        <v>N for bedding - subsistence sheep</v>
      </c>
      <c r="F181" t="str">
        <f t="shared" ref="F181:G181" si="81">F169</f>
        <v>N2O</v>
      </c>
      <c r="G181" t="str">
        <f t="shared" si="81"/>
        <v>fraction</v>
      </c>
      <c r="H181" s="54">
        <v>0</v>
      </c>
    </row>
    <row r="182" spans="1:8" x14ac:dyDescent="0.25">
      <c r="A182" t="str">
        <f t="shared" si="61"/>
        <v>3C Aggregated and non-CO2 emissions on land</v>
      </c>
      <c r="B182" t="str">
        <f t="shared" si="62"/>
        <v>3C4 Direct N2O from managed soils (N2O)</v>
      </c>
      <c r="C182" t="s">
        <v>405</v>
      </c>
      <c r="D182" t="str">
        <f t="shared" si="75"/>
        <v xml:space="preserve"> - commercial goats</v>
      </c>
      <c r="E182" t="str">
        <f t="shared" si="76"/>
        <v>N for bedding - commercial goats</v>
      </c>
      <c r="F182" t="str">
        <f t="shared" ref="F182:G182" si="82">F170</f>
        <v>N2O</v>
      </c>
      <c r="G182" t="str">
        <f t="shared" si="82"/>
        <v>fraction</v>
      </c>
      <c r="H182" s="54">
        <v>0</v>
      </c>
    </row>
    <row r="183" spans="1:8" x14ac:dyDescent="0.25">
      <c r="A183" t="str">
        <f t="shared" si="61"/>
        <v>3C Aggregated and non-CO2 emissions on land</v>
      </c>
      <c r="B183" t="str">
        <f t="shared" si="62"/>
        <v>3C4 Direct N2O from managed soils (N2O)</v>
      </c>
      <c r="C183" t="s">
        <v>405</v>
      </c>
      <c r="D183" t="str">
        <f t="shared" si="75"/>
        <v xml:space="preserve"> - subsistence goats</v>
      </c>
      <c r="E183" t="str">
        <f t="shared" si="76"/>
        <v>N for bedding - subsistence goats</v>
      </c>
      <c r="F183" t="str">
        <f t="shared" ref="F183:G183" si="83">F171</f>
        <v>N2O</v>
      </c>
      <c r="G183" t="str">
        <f t="shared" si="83"/>
        <v>fraction</v>
      </c>
      <c r="H183" s="54">
        <v>0</v>
      </c>
    </row>
    <row r="184" spans="1:8" x14ac:dyDescent="0.25">
      <c r="A184" t="str">
        <f t="shared" si="61"/>
        <v>3C Aggregated and non-CO2 emissions on land</v>
      </c>
      <c r="B184" t="str">
        <f t="shared" si="62"/>
        <v>3C4 Direct N2O from managed soils (N2O)</v>
      </c>
      <c r="C184" t="s">
        <v>405</v>
      </c>
      <c r="D184" t="str">
        <f t="shared" si="75"/>
        <v xml:space="preserve"> - commercial swine</v>
      </c>
      <c r="E184" t="str">
        <f t="shared" si="76"/>
        <v>N for bedding - commercial swine</v>
      </c>
      <c r="F184" t="str">
        <f t="shared" ref="F184:G184" si="84">F172</f>
        <v>N2O</v>
      </c>
      <c r="G184" t="str">
        <f t="shared" si="84"/>
        <v>fraction</v>
      </c>
      <c r="H184" s="54">
        <v>0</v>
      </c>
    </row>
    <row r="185" spans="1:8" x14ac:dyDescent="0.25">
      <c r="A185" t="str">
        <f t="shared" si="61"/>
        <v>3C Aggregated and non-CO2 emissions on land</v>
      </c>
      <c r="B185" t="str">
        <f t="shared" si="62"/>
        <v>3C4 Direct N2O from managed soils (N2O)</v>
      </c>
      <c r="C185" t="s">
        <v>405</v>
      </c>
      <c r="D185" t="str">
        <f t="shared" si="75"/>
        <v xml:space="preserve"> - subsistence swine</v>
      </c>
      <c r="E185" t="str">
        <f t="shared" si="76"/>
        <v>N for bedding - subsistence swine</v>
      </c>
      <c r="F185" t="str">
        <f t="shared" ref="F185:G185" si="85">F173</f>
        <v>N2O</v>
      </c>
      <c r="G185" t="str">
        <f t="shared" si="85"/>
        <v>fraction</v>
      </c>
      <c r="H185" s="54">
        <v>0</v>
      </c>
    </row>
    <row r="186" spans="1:8" x14ac:dyDescent="0.25">
      <c r="A186" t="str">
        <f t="shared" si="61"/>
        <v>3C Aggregated and non-CO2 emissions on land</v>
      </c>
      <c r="B186" t="str">
        <f t="shared" si="62"/>
        <v>3C4 Direct N2O from managed soils (N2O)</v>
      </c>
      <c r="C186" t="s">
        <v>405</v>
      </c>
      <c r="D186" t="str">
        <f t="shared" si="75"/>
        <v xml:space="preserve"> - broilers</v>
      </c>
      <c r="E186" t="str">
        <f t="shared" si="76"/>
        <v>N for bedding - broilers</v>
      </c>
      <c r="F186" t="str">
        <f t="shared" ref="F186:G186" si="86">F174</f>
        <v>N2O</v>
      </c>
      <c r="G186" t="str">
        <f t="shared" si="86"/>
        <v>fraction</v>
      </c>
      <c r="H186" s="54">
        <v>0</v>
      </c>
    </row>
    <row r="187" spans="1:8" x14ac:dyDescent="0.25">
      <c r="A187" t="str">
        <f t="shared" si="61"/>
        <v>3C Aggregated and non-CO2 emissions on land</v>
      </c>
      <c r="B187" t="str">
        <f t="shared" si="62"/>
        <v>3C4 Direct N2O from managed soils (N2O)</v>
      </c>
      <c r="C187" t="s">
        <v>405</v>
      </c>
      <c r="D187" t="str">
        <f t="shared" si="75"/>
        <v xml:space="preserve"> - layers</v>
      </c>
      <c r="E187" t="str">
        <f t="shared" si="76"/>
        <v>N for bedding - layers</v>
      </c>
      <c r="F187" t="str">
        <f t="shared" ref="F187:G187" si="87">F175</f>
        <v>N2O</v>
      </c>
      <c r="G187" t="str">
        <f t="shared" si="87"/>
        <v>fraction</v>
      </c>
      <c r="H187" s="54">
        <v>0</v>
      </c>
    </row>
    <row r="188" spans="1:8" x14ac:dyDescent="0.25">
      <c r="A188" t="str">
        <f t="shared" si="61"/>
        <v>3C Aggregated and non-CO2 emissions on land</v>
      </c>
      <c r="B188" t="str">
        <f t="shared" si="62"/>
        <v>3C4 Direct N2O from managed soils (N2O)</v>
      </c>
      <c r="C188" t="s">
        <v>411</v>
      </c>
      <c r="D188" t="s">
        <v>417</v>
      </c>
      <c r="E188" t="str">
        <f t="shared" ref="E188:E206" si="88">C188&amp;D188</f>
        <v>Synthetic N - EF</v>
      </c>
      <c r="F188" t="str">
        <f t="shared" ref="F188" si="89">F176</f>
        <v>N2O</v>
      </c>
      <c r="G188" t="s">
        <v>416</v>
      </c>
      <c r="H188" s="27">
        <v>0.01</v>
      </c>
    </row>
    <row r="189" spans="1:8" x14ac:dyDescent="0.25">
      <c r="A189" t="str">
        <f t="shared" si="61"/>
        <v>3C Aggregated and non-CO2 emissions on land</v>
      </c>
      <c r="B189" t="str">
        <f t="shared" si="62"/>
        <v>3C4 Direct N2O from managed soils (N2O)</v>
      </c>
      <c r="C189" t="s">
        <v>412</v>
      </c>
      <c r="D189" t="str">
        <f>D188</f>
        <v xml:space="preserve"> - EF</v>
      </c>
      <c r="E189" t="str">
        <f t="shared" si="88"/>
        <v>Organic N - EF</v>
      </c>
      <c r="F189" t="str">
        <f t="shared" ref="F189" si="90">F177</f>
        <v>N2O</v>
      </c>
      <c r="G189" t="s">
        <v>416</v>
      </c>
      <c r="H189" s="27">
        <v>0.01</v>
      </c>
    </row>
    <row r="190" spans="1:8" x14ac:dyDescent="0.25">
      <c r="A190" t="str">
        <f t="shared" si="61"/>
        <v>3C Aggregated and non-CO2 emissions on land</v>
      </c>
      <c r="B190" t="str">
        <f t="shared" si="62"/>
        <v>3C4 Direct N2O from managed soils (N2O)</v>
      </c>
      <c r="C190" t="s">
        <v>406</v>
      </c>
      <c r="D190" t="str">
        <f t="shared" ref="D190:D193" si="91">D189</f>
        <v xml:space="preserve"> - EF</v>
      </c>
      <c r="E190" t="str">
        <f t="shared" si="88"/>
        <v>Manure N - EF</v>
      </c>
      <c r="F190" t="str">
        <f t="shared" ref="F190" si="92">F178</f>
        <v>N2O</v>
      </c>
      <c r="G190" t="s">
        <v>416</v>
      </c>
      <c r="H190" s="27">
        <v>0.01</v>
      </c>
    </row>
    <row r="191" spans="1:8" x14ac:dyDescent="0.25">
      <c r="A191" t="str">
        <f t="shared" si="61"/>
        <v>3C Aggregated and non-CO2 emissions on land</v>
      </c>
      <c r="B191" t="str">
        <f t="shared" si="62"/>
        <v>3C4 Direct N2O from managed soils (N2O)</v>
      </c>
      <c r="C191" t="s">
        <v>414</v>
      </c>
      <c r="D191" t="str">
        <f t="shared" si="91"/>
        <v xml:space="preserve"> - EF</v>
      </c>
      <c r="E191" t="str">
        <f t="shared" si="88"/>
        <v>Urine and dung N (CPP) - EF</v>
      </c>
      <c r="F191" t="str">
        <f t="shared" ref="F191" si="93">F179</f>
        <v>N2O</v>
      </c>
      <c r="G191" t="s">
        <v>416</v>
      </c>
      <c r="H191" s="27">
        <v>0.02</v>
      </c>
    </row>
    <row r="192" spans="1:8" x14ac:dyDescent="0.25">
      <c r="A192" t="str">
        <f t="shared" si="61"/>
        <v>3C Aggregated and non-CO2 emissions on land</v>
      </c>
      <c r="B192" t="str">
        <f t="shared" si="62"/>
        <v>3C4 Direct N2O from managed soils (N2O)</v>
      </c>
      <c r="C192" t="s">
        <v>415</v>
      </c>
      <c r="D192" t="str">
        <f t="shared" si="91"/>
        <v xml:space="preserve"> - EF</v>
      </c>
      <c r="E192" t="str">
        <f t="shared" si="88"/>
        <v>Urine and dung N (SO) - EF</v>
      </c>
      <c r="F192" t="str">
        <f t="shared" ref="F192" si="94">F180</f>
        <v>N2O</v>
      </c>
      <c r="G192" t="s">
        <v>416</v>
      </c>
      <c r="H192" s="27">
        <v>0.01</v>
      </c>
    </row>
    <row r="193" spans="1:8" x14ac:dyDescent="0.25">
      <c r="A193" t="str">
        <f t="shared" ref="A193" si="95">A192</f>
        <v>3C Aggregated and non-CO2 emissions on land</v>
      </c>
      <c r="B193" t="str">
        <f t="shared" ref="B193" si="96">B192</f>
        <v>3C4 Direct N2O from managed soils (N2O)</v>
      </c>
      <c r="C193" t="s">
        <v>413</v>
      </c>
      <c r="D193" t="str">
        <f t="shared" si="91"/>
        <v xml:space="preserve"> - EF</v>
      </c>
      <c r="E193" t="str">
        <f t="shared" si="88"/>
        <v>SOM N - EF</v>
      </c>
      <c r="F193" t="str">
        <f t="shared" ref="F193:F194" si="97">F181</f>
        <v>N2O</v>
      </c>
      <c r="G193" t="s">
        <v>416</v>
      </c>
      <c r="H193" s="27">
        <v>0.01</v>
      </c>
    </row>
    <row r="194" spans="1:8" x14ac:dyDescent="0.25">
      <c r="A194" t="str">
        <f t="shared" ref="A194" si="98">A193</f>
        <v>3C Aggregated and non-CO2 emissions on land</v>
      </c>
      <c r="B194" t="str">
        <f t="shared" ref="B194" si="99">B193</f>
        <v>3C4 Direct N2O from managed soils (N2O)</v>
      </c>
      <c r="C194" t="s">
        <v>446</v>
      </c>
      <c r="D194" t="s">
        <v>417</v>
      </c>
      <c r="E194" t="str">
        <f t="shared" ref="E194" si="100">C194&amp;D194</f>
        <v>Crop residue - EF</v>
      </c>
      <c r="F194" t="str">
        <f t="shared" si="97"/>
        <v>N2O</v>
      </c>
      <c r="G194" t="s">
        <v>416</v>
      </c>
      <c r="H194" s="27">
        <v>0.01</v>
      </c>
    </row>
    <row r="196" spans="1:8" x14ac:dyDescent="0.25">
      <c r="A196" t="str">
        <f>'IPCC Categories'!A59</f>
        <v>3C Aggregated and non-CO2 emissions on land</v>
      </c>
      <c r="B196" t="str">
        <f>'IPCC Categories'!B78</f>
        <v>3C5 Indirect N2O from managed soils (N2O)</v>
      </c>
      <c r="C196" t="s">
        <v>423</v>
      </c>
      <c r="D196" t="s">
        <v>426</v>
      </c>
      <c r="E196" t="str">
        <f t="shared" si="88"/>
        <v>FracGASF - synthetic N</v>
      </c>
      <c r="F196" t="s">
        <v>139</v>
      </c>
      <c r="G196" t="s">
        <v>377</v>
      </c>
      <c r="H196" s="27">
        <v>0.1</v>
      </c>
    </row>
    <row r="197" spans="1:8" x14ac:dyDescent="0.25">
      <c r="A197" t="str">
        <f>A196</f>
        <v>3C Aggregated and non-CO2 emissions on land</v>
      </c>
      <c r="B197" t="str">
        <f>B196</f>
        <v>3C5 Indirect N2O from managed soils (N2O)</v>
      </c>
      <c r="C197" t="s">
        <v>424</v>
      </c>
      <c r="D197" t="s">
        <v>427</v>
      </c>
      <c r="E197" t="str">
        <f t="shared" si="88"/>
        <v>FracGASM - Organic N</v>
      </c>
      <c r="F197" t="str">
        <f>F196</f>
        <v>N2O</v>
      </c>
      <c r="G197" t="str">
        <f>G196</f>
        <v>fraction</v>
      </c>
      <c r="H197" s="27">
        <v>0.2</v>
      </c>
    </row>
    <row r="198" spans="1:8" x14ac:dyDescent="0.25">
      <c r="A198" t="str">
        <f t="shared" ref="A198:A201" si="101">A197</f>
        <v>3C Aggregated and non-CO2 emissions on land</v>
      </c>
      <c r="B198" t="str">
        <f t="shared" ref="B198:B201" si="102">B197</f>
        <v>3C5 Indirect N2O from managed soils (N2O)</v>
      </c>
      <c r="C198" t="s">
        <v>425</v>
      </c>
      <c r="D198" t="s">
        <v>428</v>
      </c>
      <c r="E198" t="str">
        <f t="shared" si="88"/>
        <v>FracLEACH - N application</v>
      </c>
      <c r="F198" t="str">
        <f t="shared" ref="F198:F201" si="103">F197</f>
        <v>N2O</v>
      </c>
      <c r="G198" t="str">
        <f t="shared" ref="G198:G199" si="104">G197</f>
        <v>fraction</v>
      </c>
      <c r="H198" s="27">
        <v>4.5999999999999999E-2</v>
      </c>
    </row>
    <row r="199" spans="1:8" x14ac:dyDescent="0.25">
      <c r="A199" t="str">
        <f t="shared" si="101"/>
        <v>3C Aggregated and non-CO2 emissions on land</v>
      </c>
      <c r="B199" t="str">
        <f t="shared" si="102"/>
        <v>3C5 Indirect N2O from managed soils (N2O)</v>
      </c>
      <c r="C199" t="s">
        <v>425</v>
      </c>
      <c r="D199" t="s">
        <v>429</v>
      </c>
      <c r="E199" t="str">
        <f t="shared" si="88"/>
        <v>FracLEACH - U&amp;D</v>
      </c>
      <c r="F199" t="str">
        <f t="shared" si="103"/>
        <v>N2O</v>
      </c>
      <c r="G199" t="str">
        <f t="shared" si="104"/>
        <v>fraction</v>
      </c>
      <c r="H199" s="27">
        <v>0</v>
      </c>
    </row>
    <row r="200" spans="1:8" x14ac:dyDescent="0.25">
      <c r="A200" t="str">
        <f t="shared" si="101"/>
        <v>3C Aggregated and non-CO2 emissions on land</v>
      </c>
      <c r="B200" t="str">
        <f t="shared" si="102"/>
        <v>3C5 Indirect N2O from managed soils (N2O)</v>
      </c>
      <c r="C200" t="s">
        <v>432</v>
      </c>
      <c r="D200" t="s">
        <v>430</v>
      </c>
      <c r="E200" t="str">
        <f t="shared" si="88"/>
        <v>Indirect MS - volatilisation EF</v>
      </c>
      <c r="F200" t="str">
        <f t="shared" si="103"/>
        <v>N2O</v>
      </c>
      <c r="G200" t="s">
        <v>433</v>
      </c>
      <c r="H200" s="27">
        <v>0.01</v>
      </c>
    </row>
    <row r="201" spans="1:8" x14ac:dyDescent="0.25">
      <c r="A201" t="str">
        <f t="shared" si="101"/>
        <v>3C Aggregated and non-CO2 emissions on land</v>
      </c>
      <c r="B201" t="str">
        <f t="shared" si="102"/>
        <v>3C5 Indirect N2O from managed soils (N2O)</v>
      </c>
      <c r="C201" t="str">
        <f>C200</f>
        <v>Indirect MS</v>
      </c>
      <c r="D201" t="s">
        <v>431</v>
      </c>
      <c r="E201" t="str">
        <f t="shared" si="88"/>
        <v>Indirect MS - leaching EF</v>
      </c>
      <c r="F201" t="str">
        <f t="shared" si="103"/>
        <v>N2O</v>
      </c>
      <c r="G201" t="s">
        <v>434</v>
      </c>
      <c r="H201" s="27">
        <v>7.4999999999999997E-3</v>
      </c>
    </row>
    <row r="203" spans="1:8" x14ac:dyDescent="0.25">
      <c r="A203" t="str">
        <f>'IPCC Categories'!A59</f>
        <v>3C Aggregated and non-CO2 emissions on land</v>
      </c>
      <c r="B203" t="str">
        <f>'IPCC Categories'!B80</f>
        <v>3C6 Indirect N2O from manure management (N2O)</v>
      </c>
      <c r="C203" t="s">
        <v>440</v>
      </c>
      <c r="D203" t="s">
        <v>441</v>
      </c>
      <c r="E203" t="str">
        <f t="shared" si="88"/>
        <v>FracLEACHMM - manure management</v>
      </c>
      <c r="F203" t="s">
        <v>139</v>
      </c>
      <c r="G203" t="s">
        <v>377</v>
      </c>
      <c r="H203" s="27">
        <v>0.1</v>
      </c>
    </row>
    <row r="204" spans="1:8" x14ac:dyDescent="0.25">
      <c r="A204" t="str">
        <f t="shared" ref="A204:B206" si="105">A203</f>
        <v>3C Aggregated and non-CO2 emissions on land</v>
      </c>
      <c r="B204" t="str">
        <f t="shared" si="105"/>
        <v>3C6 Indirect N2O from manure management (N2O)</v>
      </c>
      <c r="C204" t="s">
        <v>442</v>
      </c>
      <c r="D204" t="s">
        <v>430</v>
      </c>
      <c r="E204" t="str">
        <f t="shared" si="88"/>
        <v>Indirect MM - volatilisation EF</v>
      </c>
      <c r="F204" t="str">
        <f>F203</f>
        <v>N2O</v>
      </c>
      <c r="G204" t="s">
        <v>433</v>
      </c>
      <c r="H204" s="27">
        <v>0.01</v>
      </c>
    </row>
    <row r="205" spans="1:8" x14ac:dyDescent="0.25">
      <c r="A205" t="str">
        <f t="shared" si="105"/>
        <v>3C Aggregated and non-CO2 emissions on land</v>
      </c>
      <c r="B205" t="str">
        <f t="shared" si="105"/>
        <v>3C6 Indirect N2O from manure management (N2O)</v>
      </c>
      <c r="C205" t="str">
        <f>C204</f>
        <v>Indirect MM</v>
      </c>
      <c r="D205" t="s">
        <v>431</v>
      </c>
      <c r="E205" t="str">
        <f t="shared" si="88"/>
        <v>Indirect MM - leaching EF</v>
      </c>
      <c r="F205" t="str">
        <f>F204</f>
        <v>N2O</v>
      </c>
      <c r="G205" t="s">
        <v>434</v>
      </c>
      <c r="H205" s="27">
        <v>7.4999999999999997E-3</v>
      </c>
    </row>
    <row r="206" spans="1:8" x14ac:dyDescent="0.25">
      <c r="A206" t="str">
        <f t="shared" si="105"/>
        <v>3C Aggregated and non-CO2 emissions on land</v>
      </c>
      <c r="B206" t="str">
        <f t="shared" si="105"/>
        <v>3C6 Indirect N2O from manure management (N2O)</v>
      </c>
      <c r="C206" t="s">
        <v>443</v>
      </c>
      <c r="D206" t="str">
        <f>'Activity data'!D66</f>
        <v xml:space="preserve"> - TMR</v>
      </c>
      <c r="E206" t="str">
        <f t="shared" si="88"/>
        <v>FracGasMS - TMR</v>
      </c>
      <c r="F206" t="str">
        <f t="shared" ref="F206:F221" si="106">F205</f>
        <v>N2O</v>
      </c>
      <c r="G206" t="s">
        <v>377</v>
      </c>
      <c r="H206" s="27">
        <v>0.33300000000000002</v>
      </c>
    </row>
    <row r="207" spans="1:8" x14ac:dyDescent="0.25">
      <c r="A207" t="str">
        <f t="shared" ref="A207:A221" si="107">A206</f>
        <v>3C Aggregated and non-CO2 emissions on land</v>
      </c>
      <c r="B207" t="str">
        <f t="shared" ref="B207:B221" si="108">B206</f>
        <v>3C6 Indirect N2O from manure management (N2O)</v>
      </c>
      <c r="C207" t="s">
        <v>443</v>
      </c>
      <c r="D207" t="str">
        <f>'Activity data'!D67</f>
        <v xml:space="preserve"> - Pasture</v>
      </c>
      <c r="E207" t="str">
        <f t="shared" ref="E207:E221" si="109">C207&amp;D207</f>
        <v>FracGasMS - Pasture</v>
      </c>
      <c r="F207" t="str">
        <f t="shared" si="106"/>
        <v>N2O</v>
      </c>
      <c r="G207" t="s">
        <v>377</v>
      </c>
      <c r="H207" s="27">
        <v>8.6999999999999994E-2</v>
      </c>
    </row>
    <row r="208" spans="1:8" x14ac:dyDescent="0.25">
      <c r="A208" t="str">
        <f t="shared" si="107"/>
        <v>3C Aggregated and non-CO2 emissions on land</v>
      </c>
      <c r="B208" t="str">
        <f t="shared" si="108"/>
        <v>3C6 Indirect N2O from manure management (N2O)</v>
      </c>
      <c r="C208" t="s">
        <v>443</v>
      </c>
      <c r="D208" t="str">
        <f>'Activity data'!D68</f>
        <v xml:space="preserve"> - Non-lactating</v>
      </c>
      <c r="E208" t="str">
        <f t="shared" si="109"/>
        <v>FracGasMS - Non-lactating</v>
      </c>
      <c r="F208" t="str">
        <f t="shared" si="106"/>
        <v>N2O</v>
      </c>
      <c r="G208" t="s">
        <v>377</v>
      </c>
      <c r="H208" s="27">
        <v>1.4999999999999999E-2</v>
      </c>
    </row>
    <row r="209" spans="1:8" x14ac:dyDescent="0.25">
      <c r="A209" t="str">
        <f t="shared" si="107"/>
        <v>3C Aggregated and non-CO2 emissions on land</v>
      </c>
      <c r="B209" t="str">
        <f t="shared" si="108"/>
        <v>3C6 Indirect N2O from manure management (N2O)</v>
      </c>
      <c r="C209" t="s">
        <v>443</v>
      </c>
      <c r="D209" t="str">
        <f>'Activity data'!D69</f>
        <v xml:space="preserve"> - Commercial cattle</v>
      </c>
      <c r="E209" t="str">
        <f t="shared" si="109"/>
        <v>FracGasMS - Commercial cattle</v>
      </c>
      <c r="F209" t="str">
        <f t="shared" si="106"/>
        <v>N2O</v>
      </c>
      <c r="G209" t="s">
        <v>377</v>
      </c>
      <c r="H209" s="27">
        <v>8.0000000000000002E-3</v>
      </c>
    </row>
    <row r="210" spans="1:8" x14ac:dyDescent="0.25">
      <c r="A210" t="str">
        <f t="shared" si="107"/>
        <v>3C Aggregated and non-CO2 emissions on land</v>
      </c>
      <c r="B210" t="str">
        <f t="shared" si="108"/>
        <v>3C6 Indirect N2O from manure management (N2O)</v>
      </c>
      <c r="C210" t="s">
        <v>443</v>
      </c>
      <c r="D210" t="str">
        <f>'Activity data'!D70</f>
        <v xml:space="preserve"> - Subsistence cattle</v>
      </c>
      <c r="E210" t="str">
        <f t="shared" si="109"/>
        <v>FracGasMS - Subsistence cattle</v>
      </c>
      <c r="F210" t="str">
        <f t="shared" si="106"/>
        <v>N2O</v>
      </c>
      <c r="G210" t="s">
        <v>377</v>
      </c>
      <c r="H210" s="27">
        <v>0.03</v>
      </c>
    </row>
    <row r="211" spans="1:8" x14ac:dyDescent="0.25">
      <c r="A211" t="str">
        <f t="shared" si="107"/>
        <v>3C Aggregated and non-CO2 emissions on land</v>
      </c>
      <c r="B211" t="str">
        <f t="shared" si="108"/>
        <v>3C6 Indirect N2O from manure management (N2O)</v>
      </c>
      <c r="C211" t="s">
        <v>443</v>
      </c>
      <c r="D211" t="str">
        <f>'Activity data'!D71</f>
        <v xml:space="preserve"> - Feedlot</v>
      </c>
      <c r="E211" t="str">
        <f t="shared" si="109"/>
        <v>FracGasMS - Feedlot</v>
      </c>
      <c r="F211" t="str">
        <f t="shared" si="106"/>
        <v>N2O</v>
      </c>
      <c r="G211" t="s">
        <v>377</v>
      </c>
      <c r="H211" s="27">
        <v>0.28299999999999997</v>
      </c>
    </row>
    <row r="212" spans="1:8" x14ac:dyDescent="0.25">
      <c r="A212" t="str">
        <f t="shared" si="107"/>
        <v>3C Aggregated and non-CO2 emissions on land</v>
      </c>
      <c r="B212" t="str">
        <f t="shared" si="108"/>
        <v>3C6 Indirect N2O from manure management (N2O)</v>
      </c>
      <c r="C212" t="s">
        <v>443</v>
      </c>
      <c r="D212" t="str">
        <f>'Activity data'!D72</f>
        <v xml:space="preserve"> - Commercial sheep</v>
      </c>
      <c r="E212" t="str">
        <f t="shared" si="109"/>
        <v>FracGasMS - Commercial sheep</v>
      </c>
      <c r="F212" t="str">
        <f t="shared" si="106"/>
        <v>N2O</v>
      </c>
      <c r="G212" t="s">
        <v>377</v>
      </c>
      <c r="H212" s="27">
        <v>2E-3</v>
      </c>
    </row>
    <row r="213" spans="1:8" x14ac:dyDescent="0.25">
      <c r="A213" t="str">
        <f t="shared" si="107"/>
        <v>3C Aggregated and non-CO2 emissions on land</v>
      </c>
      <c r="B213" t="str">
        <f t="shared" si="108"/>
        <v>3C6 Indirect N2O from manure management (N2O)</v>
      </c>
      <c r="C213" t="s">
        <v>443</v>
      </c>
      <c r="D213" t="str">
        <f>'Activity data'!D73</f>
        <v xml:space="preserve"> - Subsistence sheep</v>
      </c>
      <c r="E213" t="str">
        <f t="shared" si="109"/>
        <v>FracGasMS - Subsistence sheep</v>
      </c>
      <c r="F213" t="str">
        <f t="shared" si="106"/>
        <v>N2O</v>
      </c>
      <c r="G213" t="s">
        <v>377</v>
      </c>
      <c r="H213" s="27">
        <v>1.6500000000000001E-2</v>
      </c>
    </row>
    <row r="214" spans="1:8" x14ac:dyDescent="0.25">
      <c r="A214" t="str">
        <f t="shared" si="107"/>
        <v>3C Aggregated and non-CO2 emissions on land</v>
      </c>
      <c r="B214" t="str">
        <f t="shared" si="108"/>
        <v>3C6 Indirect N2O from manure management (N2O)</v>
      </c>
      <c r="C214" t="s">
        <v>443</v>
      </c>
      <c r="D214" t="str">
        <f>'Activity data'!D74</f>
        <v xml:space="preserve"> - Commercial goats</v>
      </c>
      <c r="E214" t="str">
        <f t="shared" si="109"/>
        <v>FracGasMS - Commercial goats</v>
      </c>
      <c r="F214" t="str">
        <f t="shared" si="106"/>
        <v>N2O</v>
      </c>
      <c r="G214" t="s">
        <v>377</v>
      </c>
      <c r="H214" s="27">
        <v>2E-3</v>
      </c>
    </row>
    <row r="215" spans="1:8" x14ac:dyDescent="0.25">
      <c r="A215" t="str">
        <f t="shared" si="107"/>
        <v>3C Aggregated and non-CO2 emissions on land</v>
      </c>
      <c r="B215" t="str">
        <f t="shared" si="108"/>
        <v>3C6 Indirect N2O from manure management (N2O)</v>
      </c>
      <c r="C215" t="s">
        <v>443</v>
      </c>
      <c r="D215" t="str">
        <f>'Activity data'!D75</f>
        <v xml:space="preserve"> - Subsistence goats</v>
      </c>
      <c r="E215" t="str">
        <f t="shared" si="109"/>
        <v>FracGasMS - Subsistence goats</v>
      </c>
      <c r="F215" t="str">
        <f t="shared" si="106"/>
        <v>N2O</v>
      </c>
      <c r="G215" t="s">
        <v>377</v>
      </c>
      <c r="H215" s="27">
        <v>1.6500000000000001E-2</v>
      </c>
    </row>
    <row r="216" spans="1:8" x14ac:dyDescent="0.25">
      <c r="A216" t="str">
        <f t="shared" si="107"/>
        <v>3C Aggregated and non-CO2 emissions on land</v>
      </c>
      <c r="B216" t="str">
        <f t="shared" si="108"/>
        <v>3C6 Indirect N2O from manure management (N2O)</v>
      </c>
      <c r="C216" t="s">
        <v>443</v>
      </c>
      <c r="D216" t="str">
        <f>'Activity data'!D76</f>
        <v xml:space="preserve"> - Horses</v>
      </c>
      <c r="E216" t="str">
        <f t="shared" si="109"/>
        <v>FracGasMS - Horses</v>
      </c>
      <c r="F216" t="str">
        <f t="shared" si="106"/>
        <v>N2O</v>
      </c>
      <c r="G216" t="s">
        <v>377</v>
      </c>
      <c r="H216" s="27">
        <v>0</v>
      </c>
    </row>
    <row r="217" spans="1:8" x14ac:dyDescent="0.25">
      <c r="A217" t="str">
        <f t="shared" si="107"/>
        <v>3C Aggregated and non-CO2 emissions on land</v>
      </c>
      <c r="B217" t="str">
        <f t="shared" si="108"/>
        <v>3C6 Indirect N2O from manure management (N2O)</v>
      </c>
      <c r="C217" t="s">
        <v>443</v>
      </c>
      <c r="D217" t="str">
        <f>'Activity data'!D77</f>
        <v xml:space="preserve"> - Mules &amp; Asses</v>
      </c>
      <c r="E217" t="str">
        <f t="shared" si="109"/>
        <v>FracGasMS - Mules &amp; Asses</v>
      </c>
      <c r="F217" t="str">
        <f t="shared" si="106"/>
        <v>N2O</v>
      </c>
      <c r="G217" t="s">
        <v>377</v>
      </c>
      <c r="H217" s="27">
        <v>0</v>
      </c>
    </row>
    <row r="218" spans="1:8" x14ac:dyDescent="0.25">
      <c r="A218" t="str">
        <f t="shared" si="107"/>
        <v>3C Aggregated and non-CO2 emissions on land</v>
      </c>
      <c r="B218" t="str">
        <f t="shared" si="108"/>
        <v>3C6 Indirect N2O from manure management (N2O)</v>
      </c>
      <c r="C218" t="s">
        <v>443</v>
      </c>
      <c r="D218" t="str">
        <f>'Activity data'!D78</f>
        <v xml:space="preserve"> - Commercial swine</v>
      </c>
      <c r="E218" t="str">
        <f t="shared" si="109"/>
        <v>FracGasMS - Commercial swine</v>
      </c>
      <c r="F218" t="str">
        <f t="shared" si="106"/>
        <v>N2O</v>
      </c>
      <c r="G218" t="s">
        <v>377</v>
      </c>
      <c r="H218" s="27">
        <v>0.3649</v>
      </c>
    </row>
    <row r="219" spans="1:8" x14ac:dyDescent="0.25">
      <c r="A219" t="str">
        <f t="shared" si="107"/>
        <v>3C Aggregated and non-CO2 emissions on land</v>
      </c>
      <c r="B219" t="str">
        <f t="shared" si="108"/>
        <v>3C6 Indirect N2O from manure management (N2O)</v>
      </c>
      <c r="C219" t="s">
        <v>443</v>
      </c>
      <c r="D219" t="str">
        <f>'Activity data'!D79</f>
        <v xml:space="preserve"> - Subsistence swine</v>
      </c>
      <c r="E219" t="str">
        <f t="shared" si="109"/>
        <v>FracGasMS - Subsistence swine</v>
      </c>
      <c r="F219" t="str">
        <f t="shared" si="106"/>
        <v>N2O</v>
      </c>
      <c r="G219" t="s">
        <v>377</v>
      </c>
      <c r="H219" s="27">
        <v>0.23760000000000001</v>
      </c>
    </row>
    <row r="220" spans="1:8" x14ac:dyDescent="0.25">
      <c r="A220" t="str">
        <f t="shared" si="107"/>
        <v>3C Aggregated and non-CO2 emissions on land</v>
      </c>
      <c r="B220" t="str">
        <f t="shared" si="108"/>
        <v>3C6 Indirect N2O from manure management (N2O)</v>
      </c>
      <c r="C220" t="s">
        <v>443</v>
      </c>
      <c r="D220" t="str">
        <f>'Activity data'!D80</f>
        <v xml:space="preserve"> - Commercial layers</v>
      </c>
      <c r="E220" t="str">
        <f t="shared" si="109"/>
        <v>FracGasMS - Commercial layers</v>
      </c>
      <c r="F220" t="str">
        <f t="shared" si="106"/>
        <v>N2O</v>
      </c>
      <c r="G220" t="s">
        <v>377</v>
      </c>
      <c r="H220" s="27">
        <v>0.28899999999999998</v>
      </c>
    </row>
    <row r="221" spans="1:8" x14ac:dyDescent="0.25">
      <c r="A221" t="str">
        <f t="shared" si="107"/>
        <v>3C Aggregated and non-CO2 emissions on land</v>
      </c>
      <c r="B221" t="str">
        <f t="shared" si="108"/>
        <v>3C6 Indirect N2O from manure management (N2O)</v>
      </c>
      <c r="C221" t="s">
        <v>443</v>
      </c>
      <c r="D221" t="str">
        <f>'Activity data'!D81</f>
        <v xml:space="preserve"> - Commercial broilers</v>
      </c>
      <c r="E221" t="str">
        <f t="shared" si="109"/>
        <v>FracGasMS - Commercial broilers</v>
      </c>
      <c r="F221" t="str">
        <f t="shared" si="106"/>
        <v>N2O</v>
      </c>
      <c r="G221" t="s">
        <v>377</v>
      </c>
      <c r="H221" s="27">
        <v>0.3</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2D050"/>
  </sheetPr>
  <dimension ref="A1:T138"/>
  <sheetViews>
    <sheetView workbookViewId="0">
      <pane xSplit="1" topLeftCell="B1" activePane="topRight" state="frozen"/>
      <selection pane="topRight" activeCell="L5" sqref="L5"/>
    </sheetView>
  </sheetViews>
  <sheetFormatPr defaultRowHeight="15" x14ac:dyDescent="0.25"/>
  <cols>
    <col min="1" max="1" width="62.85546875" customWidth="1"/>
    <col min="2" max="2" width="20.42578125" customWidth="1"/>
    <col min="3" max="3" width="8.5703125" customWidth="1"/>
    <col min="5" max="5" width="15.28515625" customWidth="1"/>
    <col min="6" max="6" width="19.140625" customWidth="1"/>
    <col min="8" max="8" width="10.5703125" customWidth="1"/>
    <col min="10" max="10" width="23.28515625" customWidth="1"/>
    <col min="13" max="13" width="15.42578125" customWidth="1"/>
    <col min="14" max="14" width="10.7109375" customWidth="1"/>
    <col min="16" max="16" width="21.7109375" customWidth="1"/>
    <col min="19" max="19" width="13.28515625" customWidth="1"/>
    <col min="20" max="20" width="10.5703125" customWidth="1"/>
  </cols>
  <sheetData>
    <row r="1" spans="1:20" ht="18.75" x14ac:dyDescent="0.3">
      <c r="A1" s="1" t="s">
        <v>277</v>
      </c>
    </row>
    <row r="3" spans="1:20" ht="15.75" x14ac:dyDescent="0.25">
      <c r="A3" s="17" t="s">
        <v>278</v>
      </c>
      <c r="B3" s="17" t="s">
        <v>280</v>
      </c>
      <c r="C3" s="17" t="s">
        <v>5</v>
      </c>
      <c r="D3" s="17" t="s">
        <v>279</v>
      </c>
      <c r="E3" s="17" t="s">
        <v>0</v>
      </c>
      <c r="F3" s="17" t="s">
        <v>281</v>
      </c>
      <c r="G3" s="17" t="s">
        <v>284</v>
      </c>
      <c r="H3" s="17" t="s">
        <v>285</v>
      </c>
      <c r="J3" s="17" t="s">
        <v>280</v>
      </c>
      <c r="K3" s="17" t="s">
        <v>5</v>
      </c>
      <c r="L3" s="17" t="s">
        <v>279</v>
      </c>
      <c r="M3" s="17" t="s">
        <v>0</v>
      </c>
      <c r="N3" s="17" t="s">
        <v>285</v>
      </c>
      <c r="P3" s="17" t="s">
        <v>280</v>
      </c>
      <c r="Q3" s="17" t="s">
        <v>5</v>
      </c>
      <c r="R3" s="17" t="s">
        <v>310</v>
      </c>
      <c r="S3" s="17" t="s">
        <v>0</v>
      </c>
      <c r="T3" s="17" t="s">
        <v>285</v>
      </c>
    </row>
    <row r="4" spans="1:20" x14ac:dyDescent="0.25">
      <c r="A4" s="13" t="s">
        <v>2</v>
      </c>
    </row>
    <row r="5" spans="1:20" x14ac:dyDescent="0.25">
      <c r="A5" s="14" t="s">
        <v>156</v>
      </c>
      <c r="B5" t="s">
        <v>97</v>
      </c>
      <c r="C5" t="s">
        <v>121</v>
      </c>
      <c r="D5" s="21">
        <v>127</v>
      </c>
      <c r="E5" t="s">
        <v>144</v>
      </c>
      <c r="F5" s="21">
        <v>362133.25145839731</v>
      </c>
      <c r="G5" s="22">
        <f>F5/SUM($F$5:$F$7)</f>
        <v>0.71719117961892542</v>
      </c>
      <c r="H5" s="22">
        <f>D5*G5</f>
        <v>91.083279811603532</v>
      </c>
      <c r="J5" t="s">
        <v>98</v>
      </c>
      <c r="K5" t="s">
        <v>121</v>
      </c>
      <c r="L5" s="21">
        <v>4.9800000000000004</v>
      </c>
      <c r="M5" t="s">
        <v>144</v>
      </c>
      <c r="N5" s="22">
        <f>L5*G5</f>
        <v>3.5716120745022488</v>
      </c>
      <c r="P5" t="s">
        <v>98</v>
      </c>
      <c r="Q5" t="s">
        <v>139</v>
      </c>
      <c r="R5" s="21">
        <v>118.26</v>
      </c>
      <c r="S5" t="s">
        <v>311</v>
      </c>
      <c r="T5" s="22">
        <f>R5*G5</f>
        <v>84.815028901734124</v>
      </c>
    </row>
    <row r="6" spans="1:20" x14ac:dyDescent="0.25">
      <c r="A6" s="14" t="s">
        <v>157</v>
      </c>
      <c r="B6" t="str">
        <f>$B$5</f>
        <v>Enteric fermentation</v>
      </c>
      <c r="C6" t="str">
        <f>$C$5</f>
        <v>CH4</v>
      </c>
      <c r="D6" s="21">
        <v>83.4</v>
      </c>
      <c r="E6" t="s">
        <v>144</v>
      </c>
      <c r="F6" s="21">
        <v>88281.240405280929</v>
      </c>
      <c r="G6" s="22">
        <f t="shared" ref="G6:G7" si="0">F6/SUM($F$5:$F$7)</f>
        <v>0.17483765075287233</v>
      </c>
      <c r="H6" s="22">
        <f t="shared" ref="H6:H10" si="1">D6*G6</f>
        <v>14.581460072789554</v>
      </c>
      <c r="J6" t="str">
        <f>$J$5</f>
        <v>Manure management</v>
      </c>
      <c r="K6" t="str">
        <f>$K$5</f>
        <v>CH4</v>
      </c>
      <c r="L6" s="21">
        <v>1.1100000000000001</v>
      </c>
      <c r="M6" t="s">
        <v>144</v>
      </c>
      <c r="N6" s="22">
        <f t="shared" ref="N6:N69" si="2">L6*G6</f>
        <v>0.1940697923356883</v>
      </c>
      <c r="P6" t="str">
        <f>$P$5</f>
        <v>Manure management</v>
      </c>
      <c r="Q6" t="str">
        <f>$Q$5</f>
        <v>N2O</v>
      </c>
      <c r="R6" s="21">
        <v>124.173</v>
      </c>
      <c r="S6" t="s">
        <v>311</v>
      </c>
      <c r="T6" s="22">
        <f t="shared" ref="T6:T69" si="3">R6*G6</f>
        <v>21.710115606936416</v>
      </c>
    </row>
    <row r="7" spans="1:20" x14ac:dyDescent="0.25">
      <c r="A7" s="14" t="s">
        <v>158</v>
      </c>
      <c r="B7" t="str">
        <f t="shared" ref="B7:B10" si="4">$B$5</f>
        <v>Enteric fermentation</v>
      </c>
      <c r="C7" t="str">
        <f t="shared" ref="C7:C10" si="5">$C$5</f>
        <v>CH4</v>
      </c>
      <c r="D7" s="21">
        <v>116</v>
      </c>
      <c r="E7" t="s">
        <v>144</v>
      </c>
      <c r="F7" s="21">
        <v>54518.170095179601</v>
      </c>
      <c r="G7" s="22">
        <f t="shared" si="0"/>
        <v>0.10797116962820237</v>
      </c>
      <c r="H7" s="22">
        <f t="shared" si="1"/>
        <v>12.524655676871475</v>
      </c>
      <c r="J7" t="str">
        <f t="shared" ref="J7:J10" si="6">$J$5</f>
        <v>Manure management</v>
      </c>
      <c r="K7" t="str">
        <f t="shared" ref="K7:K10" si="7">$K$5</f>
        <v>CH4</v>
      </c>
      <c r="L7" s="21">
        <v>4.8</v>
      </c>
      <c r="M7" t="s">
        <v>144</v>
      </c>
      <c r="N7" s="22">
        <f t="shared" si="2"/>
        <v>0.51826161421537131</v>
      </c>
      <c r="P7" t="str">
        <f t="shared" ref="P7:P10" si="8">$P$5</f>
        <v>Manure management</v>
      </c>
      <c r="Q7" t="str">
        <f t="shared" ref="Q7:Q10" si="9">$Q$5</f>
        <v>N2O</v>
      </c>
      <c r="R7" s="21">
        <v>95.921999999999997</v>
      </c>
      <c r="S7" t="s">
        <v>311</v>
      </c>
      <c r="T7" s="22">
        <f t="shared" si="3"/>
        <v>10.356810533076427</v>
      </c>
    </row>
    <row r="8" spans="1:20" x14ac:dyDescent="0.25">
      <c r="A8" s="14" t="s">
        <v>159</v>
      </c>
      <c r="B8" t="str">
        <f t="shared" si="4"/>
        <v>Enteric fermentation</v>
      </c>
      <c r="C8" t="str">
        <f t="shared" si="5"/>
        <v>CH4</v>
      </c>
      <c r="D8" s="21">
        <v>132</v>
      </c>
      <c r="E8" t="s">
        <v>144</v>
      </c>
      <c r="F8" s="21">
        <v>441866.74854160275</v>
      </c>
      <c r="G8" s="22">
        <f>F8/SUM($F$8:$F$10)</f>
        <v>0.71719117961892531</v>
      </c>
      <c r="H8" s="22">
        <f t="shared" si="1"/>
        <v>94.669235709698143</v>
      </c>
      <c r="J8" t="str">
        <f t="shared" si="6"/>
        <v>Manure management</v>
      </c>
      <c r="K8" t="str">
        <f t="shared" si="7"/>
        <v>CH4</v>
      </c>
      <c r="L8" s="21">
        <v>14.8</v>
      </c>
      <c r="M8" t="s">
        <v>144</v>
      </c>
      <c r="N8" s="22">
        <f t="shared" si="2"/>
        <v>10.614429458360096</v>
      </c>
      <c r="P8" t="str">
        <f t="shared" si="8"/>
        <v>Manure management</v>
      </c>
      <c r="Q8" t="str">
        <f t="shared" si="9"/>
        <v>N2O</v>
      </c>
      <c r="R8" s="21">
        <v>129.20999999999998</v>
      </c>
      <c r="S8" t="s">
        <v>311</v>
      </c>
      <c r="T8" s="22">
        <f t="shared" si="3"/>
        <v>92.668272318561321</v>
      </c>
    </row>
    <row r="9" spans="1:20" x14ac:dyDescent="0.25">
      <c r="A9" s="14" t="s">
        <v>160</v>
      </c>
      <c r="B9" t="str">
        <f t="shared" si="4"/>
        <v>Enteric fermentation</v>
      </c>
      <c r="C9" t="str">
        <f t="shared" si="5"/>
        <v>CH4</v>
      </c>
      <c r="D9" s="21">
        <v>80.400000000000006</v>
      </c>
      <c r="E9" t="s">
        <v>144</v>
      </c>
      <c r="F9" s="21">
        <v>107718.75959471907</v>
      </c>
      <c r="G9" s="22">
        <f t="shared" ref="G9:G10" si="10">F9/SUM($F$8:$F$10)</f>
        <v>0.17483765075287233</v>
      </c>
      <c r="H9" s="22">
        <f t="shared" si="1"/>
        <v>14.056947120530936</v>
      </c>
      <c r="J9" t="str">
        <f t="shared" si="6"/>
        <v>Manure management</v>
      </c>
      <c r="K9" t="str">
        <f t="shared" si="7"/>
        <v>CH4</v>
      </c>
      <c r="L9" s="21">
        <v>1.47</v>
      </c>
      <c r="M9" t="s">
        <v>144</v>
      </c>
      <c r="N9" s="22">
        <f t="shared" si="2"/>
        <v>0.25701134660672231</v>
      </c>
      <c r="P9" t="str">
        <f t="shared" si="8"/>
        <v>Manure management</v>
      </c>
      <c r="Q9" t="str">
        <f t="shared" si="9"/>
        <v>N2O</v>
      </c>
      <c r="R9" s="21">
        <v>135.6705</v>
      </c>
      <c r="S9" t="s">
        <v>311</v>
      </c>
      <c r="T9" s="22">
        <f t="shared" si="3"/>
        <v>23.720311496467566</v>
      </c>
    </row>
    <row r="10" spans="1:20" x14ac:dyDescent="0.25">
      <c r="A10" s="14" t="s">
        <v>161</v>
      </c>
      <c r="B10" t="str">
        <f t="shared" si="4"/>
        <v>Enteric fermentation</v>
      </c>
      <c r="C10" t="str">
        <f t="shared" si="5"/>
        <v>CH4</v>
      </c>
      <c r="D10" s="21">
        <v>127</v>
      </c>
      <c r="E10" t="s">
        <v>144</v>
      </c>
      <c r="F10" s="21">
        <v>66521.829904820392</v>
      </c>
      <c r="G10" s="22">
        <f t="shared" si="10"/>
        <v>0.10797116962820238</v>
      </c>
      <c r="H10" s="22">
        <f t="shared" si="1"/>
        <v>13.712338542781703</v>
      </c>
      <c r="J10" t="str">
        <f t="shared" si="6"/>
        <v>Manure management</v>
      </c>
      <c r="K10" t="str">
        <f t="shared" si="7"/>
        <v>CH4</v>
      </c>
      <c r="L10" s="21">
        <v>14.7</v>
      </c>
      <c r="M10" t="s">
        <v>144</v>
      </c>
      <c r="N10" s="22">
        <f t="shared" si="2"/>
        <v>1.587176193534575</v>
      </c>
      <c r="P10" t="str">
        <f t="shared" si="8"/>
        <v>Manure management</v>
      </c>
      <c r="Q10" t="str">
        <f t="shared" si="9"/>
        <v>N2O</v>
      </c>
      <c r="R10" s="21">
        <v>110.15700000000001</v>
      </c>
      <c r="S10" t="s">
        <v>311</v>
      </c>
      <c r="T10" s="22">
        <f t="shared" si="3"/>
        <v>11.893780132733891</v>
      </c>
    </row>
    <row r="11" spans="1:20" x14ac:dyDescent="0.25">
      <c r="A11" s="13" t="s">
        <v>151</v>
      </c>
      <c r="M11" s="13"/>
    </row>
    <row r="12" spans="1:20" x14ac:dyDescent="0.25">
      <c r="A12" s="14" t="s">
        <v>162</v>
      </c>
      <c r="B12" t="str">
        <f t="shared" ref="B12:B34" si="11">$B$5</f>
        <v>Enteric fermentation</v>
      </c>
      <c r="C12" t="str">
        <f t="shared" ref="C12:C34" si="12">$C$5</f>
        <v>CH4</v>
      </c>
      <c r="D12" s="21">
        <v>20</v>
      </c>
      <c r="E12" t="s">
        <v>144</v>
      </c>
      <c r="F12" s="21">
        <v>58517.112103162421</v>
      </c>
      <c r="G12" s="22">
        <f>F12/SUM($F$12:$F$21)</f>
        <v>8.6862621266192389E-2</v>
      </c>
      <c r="H12" s="22">
        <f>D12*G12</f>
        <v>1.7372524253238477</v>
      </c>
      <c r="J12" t="str">
        <f t="shared" ref="J12:J34" si="13">$J$5</f>
        <v>Manure management</v>
      </c>
      <c r="K12" t="str">
        <f t="shared" ref="K12:K34" si="14">$K$5</f>
        <v>CH4</v>
      </c>
      <c r="L12" s="21">
        <v>0.32</v>
      </c>
      <c r="M12" t="s">
        <v>144</v>
      </c>
      <c r="N12" s="22">
        <f t="shared" si="2"/>
        <v>2.7796038805181566E-2</v>
      </c>
      <c r="P12" t="str">
        <f t="shared" ref="P12:P34" si="15">$P$5</f>
        <v>Manure management</v>
      </c>
      <c r="Q12" t="str">
        <f t="shared" ref="Q12:Q34" si="16">$Q$5</f>
        <v>N2O</v>
      </c>
      <c r="R12" s="21">
        <v>8.2782</v>
      </c>
      <c r="S12" t="s">
        <v>311</v>
      </c>
      <c r="T12" s="22">
        <f t="shared" si="3"/>
        <v>0.71906615136579388</v>
      </c>
    </row>
    <row r="13" spans="1:20" x14ac:dyDescent="0.25">
      <c r="A13" s="14" t="s">
        <v>163</v>
      </c>
      <c r="B13" t="str">
        <f t="shared" si="11"/>
        <v>Enteric fermentation</v>
      </c>
      <c r="C13" t="str">
        <f t="shared" si="12"/>
        <v>CH4</v>
      </c>
      <c r="D13" s="21">
        <v>24.5</v>
      </c>
      <c r="E13" t="s">
        <v>144</v>
      </c>
      <c r="F13" s="21">
        <v>58517.112103162421</v>
      </c>
      <c r="G13" s="22">
        <f t="shared" ref="G13:G21" si="17">F13/SUM($F$12:$F$21)</f>
        <v>8.6862621266192389E-2</v>
      </c>
      <c r="H13" s="22">
        <f t="shared" ref="H13:H76" si="18">D13*G13</f>
        <v>2.1281342210217136</v>
      </c>
      <c r="J13" t="str">
        <f t="shared" si="13"/>
        <v>Manure management</v>
      </c>
      <c r="K13" t="str">
        <f t="shared" si="14"/>
        <v>CH4</v>
      </c>
      <c r="L13" s="21">
        <v>0.4</v>
      </c>
      <c r="M13" t="s">
        <v>144</v>
      </c>
      <c r="N13" s="22">
        <f t="shared" si="2"/>
        <v>3.4745048506476958E-2</v>
      </c>
      <c r="P13" t="str">
        <f t="shared" si="15"/>
        <v>Manure management</v>
      </c>
      <c r="Q13" t="str">
        <f t="shared" si="16"/>
        <v>N2O</v>
      </c>
      <c r="R13" s="21">
        <v>12.417300000000001</v>
      </c>
      <c r="S13" t="s">
        <v>311</v>
      </c>
      <c r="T13" s="22">
        <f t="shared" si="3"/>
        <v>1.0785992270486908</v>
      </c>
    </row>
    <row r="14" spans="1:20" x14ac:dyDescent="0.25">
      <c r="A14" s="14" t="s">
        <v>164</v>
      </c>
      <c r="B14" t="str">
        <f t="shared" si="11"/>
        <v>Enteric fermentation</v>
      </c>
      <c r="C14" t="str">
        <f t="shared" si="12"/>
        <v>CH4</v>
      </c>
      <c r="D14" s="21">
        <v>37.1</v>
      </c>
      <c r="E14" t="s">
        <v>144</v>
      </c>
      <c r="F14" s="21">
        <v>87775.668154743631</v>
      </c>
      <c r="G14" s="22">
        <f t="shared" si="17"/>
        <v>0.13029393189928859</v>
      </c>
      <c r="H14" s="22">
        <f t="shared" si="18"/>
        <v>4.8339048734636068</v>
      </c>
      <c r="J14" t="str">
        <f t="shared" si="13"/>
        <v>Manure management</v>
      </c>
      <c r="K14" t="str">
        <f t="shared" si="14"/>
        <v>CH4</v>
      </c>
      <c r="L14" s="21">
        <v>0.57999999999999996</v>
      </c>
      <c r="M14" t="s">
        <v>144</v>
      </c>
      <c r="N14" s="22">
        <f t="shared" si="2"/>
        <v>7.5570480501587378E-2</v>
      </c>
      <c r="P14" t="str">
        <f t="shared" si="15"/>
        <v>Manure management</v>
      </c>
      <c r="Q14" t="str">
        <f t="shared" si="16"/>
        <v>N2O</v>
      </c>
      <c r="R14" s="21">
        <v>32.652900000000002</v>
      </c>
      <c r="S14" t="s">
        <v>311</v>
      </c>
      <c r="T14" s="22">
        <f t="shared" si="3"/>
        <v>4.254474728914281</v>
      </c>
    </row>
    <row r="15" spans="1:20" x14ac:dyDescent="0.25">
      <c r="A15" s="14" t="s">
        <v>165</v>
      </c>
      <c r="B15" t="str">
        <f t="shared" si="11"/>
        <v>Enteric fermentation</v>
      </c>
      <c r="C15" t="str">
        <f t="shared" si="12"/>
        <v>CH4</v>
      </c>
      <c r="D15" s="21">
        <v>52.6</v>
      </c>
      <c r="E15" t="s">
        <v>144</v>
      </c>
      <c r="F15" s="21">
        <v>25115.112066318696</v>
      </c>
      <c r="G15" s="22">
        <f t="shared" si="17"/>
        <v>3.7280795122436018E-2</v>
      </c>
      <c r="H15" s="22">
        <f t="shared" si="18"/>
        <v>1.9609698234401347</v>
      </c>
      <c r="J15" t="str">
        <f t="shared" si="13"/>
        <v>Manure management</v>
      </c>
      <c r="K15" t="str">
        <f t="shared" si="14"/>
        <v>CH4</v>
      </c>
      <c r="L15" s="21">
        <v>0.78</v>
      </c>
      <c r="M15" t="s">
        <v>144</v>
      </c>
      <c r="N15" s="22">
        <f t="shared" si="2"/>
        <v>2.9079020195500096E-2</v>
      </c>
      <c r="P15" t="str">
        <f t="shared" si="15"/>
        <v>Manure management</v>
      </c>
      <c r="Q15" t="str">
        <f t="shared" si="16"/>
        <v>N2O</v>
      </c>
      <c r="R15" s="21">
        <v>58.407299999999999</v>
      </c>
      <c r="S15" t="s">
        <v>311</v>
      </c>
      <c r="T15" s="22">
        <f t="shared" si="3"/>
        <v>2.1774705849546572</v>
      </c>
    </row>
    <row r="16" spans="1:20" x14ac:dyDescent="0.25">
      <c r="A16" s="14" t="s">
        <v>166</v>
      </c>
      <c r="B16" t="str">
        <f t="shared" si="11"/>
        <v>Enteric fermentation</v>
      </c>
      <c r="C16" t="str">
        <f t="shared" si="12"/>
        <v>CH4</v>
      </c>
      <c r="D16" s="21">
        <v>61.8</v>
      </c>
      <c r="E16" t="s">
        <v>144</v>
      </c>
      <c r="F16" s="21">
        <v>73507.645072152271</v>
      </c>
      <c r="G16" s="22">
        <f t="shared" si="17"/>
        <v>0.10911452230956882</v>
      </c>
      <c r="H16" s="22">
        <f t="shared" si="18"/>
        <v>6.7432774787313532</v>
      </c>
      <c r="J16" t="str">
        <f t="shared" si="13"/>
        <v>Manure management</v>
      </c>
      <c r="K16" t="str">
        <f t="shared" si="14"/>
        <v>CH4</v>
      </c>
      <c r="L16" s="21">
        <v>0.88</v>
      </c>
      <c r="M16" t="s">
        <v>144</v>
      </c>
      <c r="N16" s="22">
        <f t="shared" si="2"/>
        <v>9.6020779632420561E-2</v>
      </c>
      <c r="P16" t="str">
        <f t="shared" si="15"/>
        <v>Manure management</v>
      </c>
      <c r="Q16" t="str">
        <f t="shared" si="16"/>
        <v>N2O</v>
      </c>
      <c r="R16" s="21">
        <v>76.573350000000005</v>
      </c>
      <c r="S16" t="s">
        <v>311</v>
      </c>
      <c r="T16" s="22">
        <f t="shared" si="3"/>
        <v>8.3552645068934215</v>
      </c>
    </row>
    <row r="17" spans="1:20" x14ac:dyDescent="0.25">
      <c r="A17" s="14" t="s">
        <v>167</v>
      </c>
      <c r="B17" t="str">
        <f t="shared" si="11"/>
        <v>Enteric fermentation</v>
      </c>
      <c r="C17" t="str">
        <f t="shared" si="12"/>
        <v>CH4</v>
      </c>
      <c r="D17" s="21">
        <v>21.5</v>
      </c>
      <c r="E17" t="s">
        <v>144</v>
      </c>
      <c r="F17" s="21">
        <v>71401.24789683758</v>
      </c>
      <c r="G17" s="22">
        <f t="shared" si="17"/>
        <v>0.10598779281968941</v>
      </c>
      <c r="H17" s="22">
        <f t="shared" si="18"/>
        <v>2.2787375456233225</v>
      </c>
      <c r="J17" t="str">
        <f t="shared" si="13"/>
        <v>Manure management</v>
      </c>
      <c r="K17" t="str">
        <f t="shared" si="14"/>
        <v>CH4</v>
      </c>
      <c r="L17" s="21">
        <v>0.21</v>
      </c>
      <c r="M17" t="s">
        <v>144</v>
      </c>
      <c r="N17" s="22">
        <f t="shared" si="2"/>
        <v>2.2257436492134776E-2</v>
      </c>
      <c r="P17" t="str">
        <f t="shared" si="15"/>
        <v>Manure management</v>
      </c>
      <c r="Q17" t="str">
        <f t="shared" si="16"/>
        <v>N2O</v>
      </c>
      <c r="R17" s="21">
        <v>8.0482500000000012</v>
      </c>
      <c r="S17" t="s">
        <v>311</v>
      </c>
      <c r="T17" s="22">
        <f t="shared" si="3"/>
        <v>0.85301625356106547</v>
      </c>
    </row>
    <row r="18" spans="1:20" x14ac:dyDescent="0.25">
      <c r="A18" s="14" t="s">
        <v>168</v>
      </c>
      <c r="B18" t="str">
        <f t="shared" si="11"/>
        <v>Enteric fermentation</v>
      </c>
      <c r="C18" t="str">
        <f t="shared" si="12"/>
        <v>CH4</v>
      </c>
      <c r="D18" s="21">
        <v>62.6</v>
      </c>
      <c r="E18" t="s">
        <v>144</v>
      </c>
      <c r="F18" s="21">
        <v>71401.24789683758</v>
      </c>
      <c r="G18" s="22">
        <f t="shared" si="17"/>
        <v>0.10598779281968941</v>
      </c>
      <c r="H18" s="22">
        <f t="shared" si="18"/>
        <v>6.6348358305125572</v>
      </c>
      <c r="J18" t="str">
        <f t="shared" si="13"/>
        <v>Manure management</v>
      </c>
      <c r="K18" t="str">
        <f t="shared" si="14"/>
        <v>CH4</v>
      </c>
      <c r="L18" s="21">
        <v>1.19</v>
      </c>
      <c r="M18" t="s">
        <v>144</v>
      </c>
      <c r="N18" s="22">
        <f t="shared" si="2"/>
        <v>0.1261254734554304</v>
      </c>
      <c r="P18" t="str">
        <f t="shared" si="15"/>
        <v>Manure management</v>
      </c>
      <c r="Q18" t="str">
        <f t="shared" si="16"/>
        <v>N2O</v>
      </c>
      <c r="R18" s="21">
        <v>12.64725</v>
      </c>
      <c r="S18" t="s">
        <v>311</v>
      </c>
      <c r="T18" s="22">
        <f t="shared" si="3"/>
        <v>1.3404541127388168</v>
      </c>
    </row>
    <row r="19" spans="1:20" x14ac:dyDescent="0.25">
      <c r="A19" s="14" t="s">
        <v>169</v>
      </c>
      <c r="B19" t="str">
        <f t="shared" si="11"/>
        <v>Enteric fermentation</v>
      </c>
      <c r="C19" t="str">
        <f t="shared" si="12"/>
        <v>CH4</v>
      </c>
      <c r="D19" s="21">
        <v>42.1</v>
      </c>
      <c r="E19" t="s">
        <v>144</v>
      </c>
      <c r="F19" s="21">
        <v>107101.87184525639</v>
      </c>
      <c r="G19" s="22">
        <f t="shared" si="17"/>
        <v>0.15898168922953415</v>
      </c>
      <c r="H19" s="22">
        <f t="shared" si="18"/>
        <v>6.6931291165633882</v>
      </c>
      <c r="J19" t="str">
        <f t="shared" si="13"/>
        <v>Manure management</v>
      </c>
      <c r="K19" t="str">
        <f t="shared" si="14"/>
        <v>CH4</v>
      </c>
      <c r="L19" s="21">
        <v>0.75</v>
      </c>
      <c r="M19" t="s">
        <v>144</v>
      </c>
      <c r="N19" s="22">
        <f t="shared" si="2"/>
        <v>0.11923626692215061</v>
      </c>
      <c r="P19" t="str">
        <f t="shared" si="15"/>
        <v>Manure management</v>
      </c>
      <c r="Q19" t="str">
        <f t="shared" si="16"/>
        <v>N2O</v>
      </c>
      <c r="R19" s="21">
        <v>39.551400000000001</v>
      </c>
      <c r="S19" t="s">
        <v>311</v>
      </c>
      <c r="T19" s="22">
        <f t="shared" si="3"/>
        <v>6.2879483833929974</v>
      </c>
    </row>
    <row r="20" spans="1:20" x14ac:dyDescent="0.25">
      <c r="A20" s="14" t="s">
        <v>170</v>
      </c>
      <c r="B20" t="str">
        <f t="shared" si="11"/>
        <v>Enteric fermentation</v>
      </c>
      <c r="C20" t="str">
        <f t="shared" si="12"/>
        <v>CH4</v>
      </c>
      <c r="D20" s="21">
        <v>22.5</v>
      </c>
      <c r="E20" t="s">
        <v>144</v>
      </c>
      <c r="F20" s="21">
        <v>30644.887933681304</v>
      </c>
      <c r="G20" s="22">
        <f t="shared" si="17"/>
        <v>4.5489177415923988E-2</v>
      </c>
      <c r="H20" s="22">
        <f t="shared" si="18"/>
        <v>1.0235064918582897</v>
      </c>
      <c r="J20" t="str">
        <f t="shared" si="13"/>
        <v>Manure management</v>
      </c>
      <c r="K20" t="str">
        <f t="shared" si="14"/>
        <v>CH4</v>
      </c>
      <c r="L20" s="21">
        <v>0.37</v>
      </c>
      <c r="M20" t="s">
        <v>144</v>
      </c>
      <c r="N20" s="22">
        <f t="shared" si="2"/>
        <v>1.6830995643891875E-2</v>
      </c>
      <c r="P20" t="str">
        <f t="shared" si="15"/>
        <v>Manure management</v>
      </c>
      <c r="Q20" t="str">
        <f t="shared" si="16"/>
        <v>N2O</v>
      </c>
      <c r="R20" s="21">
        <v>74.043900000000008</v>
      </c>
      <c r="S20" t="s">
        <v>311</v>
      </c>
      <c r="T20" s="22">
        <f t="shared" si="3"/>
        <v>3.3681961036669343</v>
      </c>
    </row>
    <row r="21" spans="1:20" x14ac:dyDescent="0.25">
      <c r="A21" s="14" t="s">
        <v>171</v>
      </c>
      <c r="B21" t="str">
        <f t="shared" si="11"/>
        <v>Enteric fermentation</v>
      </c>
      <c r="C21" t="str">
        <f t="shared" si="12"/>
        <v>CH4</v>
      </c>
      <c r="D21" s="21">
        <v>67.7</v>
      </c>
      <c r="E21" t="s">
        <v>144</v>
      </c>
      <c r="F21" s="21">
        <v>89692.354927847715</v>
      </c>
      <c r="G21" s="22">
        <f t="shared" si="17"/>
        <v>0.13313905585148483</v>
      </c>
      <c r="H21" s="22">
        <f t="shared" si="18"/>
        <v>9.013514081145523</v>
      </c>
      <c r="J21" t="str">
        <f t="shared" si="13"/>
        <v>Manure management</v>
      </c>
      <c r="K21" t="str">
        <f t="shared" si="14"/>
        <v>CH4</v>
      </c>
      <c r="L21" s="21">
        <v>1.24</v>
      </c>
      <c r="M21" t="s">
        <v>144</v>
      </c>
      <c r="N21" s="22">
        <f t="shared" si="2"/>
        <v>0.16509242925584119</v>
      </c>
      <c r="P21" t="str">
        <f t="shared" si="15"/>
        <v>Manure management</v>
      </c>
      <c r="Q21" t="str">
        <f t="shared" si="16"/>
        <v>N2O</v>
      </c>
      <c r="R21" s="21">
        <v>90.600300000000004</v>
      </c>
      <c r="S21" t="s">
        <v>311</v>
      </c>
      <c r="T21" s="22">
        <f t="shared" si="3"/>
        <v>12.062438401861282</v>
      </c>
    </row>
    <row r="22" spans="1:20" x14ac:dyDescent="0.25">
      <c r="A22" s="14" t="s">
        <v>172</v>
      </c>
      <c r="B22" t="str">
        <f t="shared" si="11"/>
        <v>Enteric fermentation</v>
      </c>
      <c r="C22" t="str">
        <f t="shared" si="12"/>
        <v>CH4</v>
      </c>
      <c r="D22" s="21">
        <v>113</v>
      </c>
      <c r="E22" t="s">
        <v>144</v>
      </c>
      <c r="F22" s="21">
        <v>160017.76666666666</v>
      </c>
      <c r="G22" s="22">
        <f>F22/SUM($F$22:$F$24,$F$26:$F$28)</f>
        <v>2.6554920846633981E-2</v>
      </c>
      <c r="H22" s="22">
        <f>D22*G22</f>
        <v>3.0007060556696397</v>
      </c>
      <c r="J22" t="str">
        <f t="shared" si="13"/>
        <v>Manure management</v>
      </c>
      <c r="K22" t="str">
        <f t="shared" si="14"/>
        <v>CH4</v>
      </c>
      <c r="L22" s="21">
        <v>2.1999999999999999E-2</v>
      </c>
      <c r="M22" t="s">
        <v>144</v>
      </c>
      <c r="N22" s="22">
        <f t="shared" si="2"/>
        <v>5.842082586259475E-4</v>
      </c>
      <c r="P22" t="str">
        <f t="shared" si="15"/>
        <v>Manure management</v>
      </c>
      <c r="Q22" t="str">
        <f t="shared" si="16"/>
        <v>N2O</v>
      </c>
      <c r="R22" s="21">
        <v>168.55334999999999</v>
      </c>
      <c r="S22" t="s">
        <v>311</v>
      </c>
      <c r="T22" s="22">
        <f t="shared" si="3"/>
        <v>4.4759208676849935</v>
      </c>
    </row>
    <row r="23" spans="1:20" x14ac:dyDescent="0.25">
      <c r="A23" s="14" t="s">
        <v>173</v>
      </c>
      <c r="B23" t="str">
        <f t="shared" si="11"/>
        <v>Enteric fermentation</v>
      </c>
      <c r="C23" t="str">
        <f t="shared" si="12"/>
        <v>CH4</v>
      </c>
      <c r="D23" s="21">
        <v>51.6</v>
      </c>
      <c r="E23" t="s">
        <v>144</v>
      </c>
      <c r="F23" s="21">
        <v>1455775.5333333332</v>
      </c>
      <c r="G23" s="22">
        <f t="shared" ref="G23:G28" si="19">F23/SUM($F$22:$F$24,$F$26:$F$28)</f>
        <v>0.24158569928464005</v>
      </c>
      <c r="H23" s="22">
        <f t="shared" si="18"/>
        <v>12.465822083087426</v>
      </c>
      <c r="J23" t="str">
        <f t="shared" si="13"/>
        <v>Manure management</v>
      </c>
      <c r="K23" t="str">
        <f t="shared" si="14"/>
        <v>CH4</v>
      </c>
      <c r="L23" s="21">
        <v>1.2E-2</v>
      </c>
      <c r="M23" t="s">
        <v>144</v>
      </c>
      <c r="N23" s="22">
        <f t="shared" si="2"/>
        <v>2.8990283914156808E-3</v>
      </c>
      <c r="P23" t="str">
        <f t="shared" si="15"/>
        <v>Manure management</v>
      </c>
      <c r="Q23" t="str">
        <f t="shared" si="16"/>
        <v>N2O</v>
      </c>
      <c r="R23" s="21">
        <v>43.6905</v>
      </c>
      <c r="S23" t="s">
        <v>311</v>
      </c>
      <c r="T23" s="22">
        <f t="shared" si="3"/>
        <v>10.554999994595565</v>
      </c>
    </row>
    <row r="24" spans="1:20" x14ac:dyDescent="0.25">
      <c r="A24" s="14" t="s">
        <v>174</v>
      </c>
      <c r="B24" t="str">
        <f t="shared" si="11"/>
        <v>Enteric fermentation</v>
      </c>
      <c r="C24" t="str">
        <f t="shared" si="12"/>
        <v>CH4</v>
      </c>
      <c r="D24" s="21">
        <v>92.6</v>
      </c>
      <c r="E24" t="s">
        <v>144</v>
      </c>
      <c r="F24" s="21">
        <v>2980000</v>
      </c>
      <c r="G24" s="22">
        <f t="shared" si="19"/>
        <v>0.49453048727903293</v>
      </c>
      <c r="H24" s="22">
        <f t="shared" si="18"/>
        <v>45.793523122038444</v>
      </c>
      <c r="J24" t="str">
        <f t="shared" si="13"/>
        <v>Manure management</v>
      </c>
      <c r="K24" t="str">
        <f t="shared" si="14"/>
        <v>CH4</v>
      </c>
      <c r="L24" s="21">
        <v>1.7999999999999999E-2</v>
      </c>
      <c r="M24" t="s">
        <v>144</v>
      </c>
      <c r="N24" s="22">
        <f t="shared" si="2"/>
        <v>8.9015487710225917E-3</v>
      </c>
      <c r="P24" t="str">
        <f t="shared" si="15"/>
        <v>Manure management</v>
      </c>
      <c r="Q24" t="str">
        <f t="shared" si="16"/>
        <v>N2O</v>
      </c>
      <c r="R24" s="21">
        <v>109.22624999999998</v>
      </c>
      <c r="S24" t="s">
        <v>311</v>
      </c>
      <c r="T24" s="22">
        <f t="shared" si="3"/>
        <v>54.015710636161458</v>
      </c>
    </row>
    <row r="25" spans="1:20" x14ac:dyDescent="0.25">
      <c r="A25" s="14" t="s">
        <v>175</v>
      </c>
      <c r="B25" t="str">
        <f t="shared" si="11"/>
        <v>Enteric fermentation</v>
      </c>
      <c r="C25" t="str">
        <f t="shared" si="12"/>
        <v>CH4</v>
      </c>
      <c r="D25" s="21">
        <v>58.9</v>
      </c>
      <c r="E25" t="s">
        <v>144</v>
      </c>
      <c r="F25" s="21">
        <v>399822.33333333331</v>
      </c>
      <c r="G25" s="22">
        <v>1</v>
      </c>
      <c r="H25" s="22">
        <f>D25*G25</f>
        <v>58.9</v>
      </c>
      <c r="J25" t="str">
        <f t="shared" si="13"/>
        <v>Manure management</v>
      </c>
      <c r="K25" t="str">
        <f t="shared" si="14"/>
        <v>CH4</v>
      </c>
      <c r="L25" s="21">
        <v>0.87</v>
      </c>
      <c r="M25" t="s">
        <v>144</v>
      </c>
      <c r="N25" s="22">
        <f t="shared" si="2"/>
        <v>0.87</v>
      </c>
      <c r="P25" t="str">
        <f t="shared" si="15"/>
        <v>Manure management</v>
      </c>
      <c r="Q25" t="str">
        <f t="shared" si="16"/>
        <v>N2O</v>
      </c>
      <c r="R25" s="21">
        <v>65.765699999999995</v>
      </c>
      <c r="S25" t="s">
        <v>311</v>
      </c>
      <c r="T25" s="22">
        <f t="shared" si="3"/>
        <v>65.765699999999995</v>
      </c>
    </row>
    <row r="26" spans="1:20" x14ac:dyDescent="0.25">
      <c r="A26" s="14" t="s">
        <v>176</v>
      </c>
      <c r="B26" t="str">
        <f t="shared" si="11"/>
        <v>Enteric fermentation</v>
      </c>
      <c r="C26" t="str">
        <f t="shared" si="12"/>
        <v>CH4</v>
      </c>
      <c r="D26" s="21">
        <v>75.900000000000006</v>
      </c>
      <c r="E26" t="s">
        <v>144</v>
      </c>
      <c r="F26" s="21">
        <v>798049.7466666667</v>
      </c>
      <c r="G26" s="22">
        <f t="shared" si="19"/>
        <v>0.13243621815166962</v>
      </c>
      <c r="H26" s="22">
        <f t="shared" si="18"/>
        <v>10.051908957711724</v>
      </c>
      <c r="J26" t="str">
        <f t="shared" si="13"/>
        <v>Manure management</v>
      </c>
      <c r="K26" t="str">
        <f t="shared" si="14"/>
        <v>CH4</v>
      </c>
      <c r="L26" s="21">
        <v>1.6E-2</v>
      </c>
      <c r="M26" t="s">
        <v>144</v>
      </c>
      <c r="N26" s="22">
        <f t="shared" si="2"/>
        <v>2.118979490426714E-3</v>
      </c>
      <c r="P26" t="str">
        <f t="shared" si="15"/>
        <v>Manure management</v>
      </c>
      <c r="Q26" t="str">
        <f t="shared" si="16"/>
        <v>N2O</v>
      </c>
      <c r="R26" s="21">
        <v>83.931749999999994</v>
      </c>
      <c r="S26" t="s">
        <v>311</v>
      </c>
      <c r="T26" s="22">
        <f t="shared" si="3"/>
        <v>11.115603552851395</v>
      </c>
    </row>
    <row r="27" spans="1:20" x14ac:dyDescent="0.25">
      <c r="A27" s="14" t="s">
        <v>177</v>
      </c>
      <c r="B27" t="str">
        <f t="shared" si="11"/>
        <v>Enteric fermentation</v>
      </c>
      <c r="C27" t="str">
        <f t="shared" si="12"/>
        <v>CH4</v>
      </c>
      <c r="D27" s="21">
        <v>89.4</v>
      </c>
      <c r="E27" t="s">
        <v>144</v>
      </c>
      <c r="F27" s="21">
        <v>170000</v>
      </c>
      <c r="G27" s="22">
        <f t="shared" si="19"/>
        <v>2.8211470750817317E-2</v>
      </c>
      <c r="H27" s="22">
        <f t="shared" si="18"/>
        <v>2.5221054851230682</v>
      </c>
      <c r="J27" t="str">
        <f t="shared" si="13"/>
        <v>Manure management</v>
      </c>
      <c r="K27" t="str">
        <f t="shared" si="14"/>
        <v>CH4</v>
      </c>
      <c r="L27" s="21">
        <v>1.7999999999999999E-2</v>
      </c>
      <c r="M27" t="s">
        <v>144</v>
      </c>
      <c r="N27" s="22">
        <f t="shared" si="2"/>
        <v>5.0780647351471168E-4</v>
      </c>
      <c r="P27" t="str">
        <f t="shared" si="15"/>
        <v>Manure management</v>
      </c>
      <c r="Q27" t="str">
        <f t="shared" si="16"/>
        <v>N2O</v>
      </c>
      <c r="R27" s="21">
        <v>98.878499999999988</v>
      </c>
      <c r="S27" t="s">
        <v>311</v>
      </c>
      <c r="T27" s="22">
        <f t="shared" si="3"/>
        <v>2.7895079106346898</v>
      </c>
    </row>
    <row r="28" spans="1:20" x14ac:dyDescent="0.25">
      <c r="A28" s="14" t="s">
        <v>178</v>
      </c>
      <c r="B28" t="str">
        <f t="shared" si="11"/>
        <v>Enteric fermentation</v>
      </c>
      <c r="C28" t="str">
        <f t="shared" si="12"/>
        <v>CH4</v>
      </c>
      <c r="D28" s="21">
        <v>51.6</v>
      </c>
      <c r="E28" t="s">
        <v>144</v>
      </c>
      <c r="F28" s="21">
        <v>462074.62</v>
      </c>
      <c r="G28" s="22">
        <f t="shared" si="19"/>
        <v>7.6681203687206032E-2</v>
      </c>
      <c r="H28" s="22">
        <f>D28*G28</f>
        <v>3.9567501102598315</v>
      </c>
      <c r="J28" t="str">
        <f t="shared" si="13"/>
        <v>Manure management</v>
      </c>
      <c r="K28" t="str">
        <f t="shared" si="14"/>
        <v>CH4</v>
      </c>
      <c r="L28" s="21">
        <v>1.2E-2</v>
      </c>
      <c r="M28" t="s">
        <v>144</v>
      </c>
      <c r="N28" s="22">
        <f t="shared" si="2"/>
        <v>9.2017444424647235E-4</v>
      </c>
      <c r="P28" t="str">
        <f t="shared" si="15"/>
        <v>Manure management</v>
      </c>
      <c r="Q28" t="str">
        <f t="shared" si="16"/>
        <v>N2O</v>
      </c>
      <c r="R28" s="21">
        <v>44.38035</v>
      </c>
      <c r="S28" t="s">
        <v>311</v>
      </c>
      <c r="T28" s="22">
        <f t="shared" si="3"/>
        <v>3.4031386580594942</v>
      </c>
    </row>
    <row r="29" spans="1:20" x14ac:dyDescent="0.25">
      <c r="A29" s="14" t="s">
        <v>179</v>
      </c>
      <c r="B29" t="str">
        <f t="shared" si="11"/>
        <v>Enteric fermentation</v>
      </c>
      <c r="C29" t="str">
        <f t="shared" si="12"/>
        <v>CH4</v>
      </c>
      <c r="D29" s="21">
        <v>83.8</v>
      </c>
      <c r="E29" t="s">
        <v>144</v>
      </c>
      <c r="F29" s="21">
        <v>145520.9662395542</v>
      </c>
      <c r="G29" s="22">
        <f>F29/SUM($F$29:$F$34)</f>
        <v>2.6554920846633981E-2</v>
      </c>
      <c r="H29" s="22">
        <f t="shared" si="18"/>
        <v>2.2253023669479277</v>
      </c>
      <c r="J29" t="str">
        <f t="shared" si="13"/>
        <v>Manure management</v>
      </c>
      <c r="K29" t="str">
        <f t="shared" si="14"/>
        <v>CH4</v>
      </c>
      <c r="L29" s="21">
        <v>1.7000000000000001E-2</v>
      </c>
      <c r="M29" t="s">
        <v>144</v>
      </c>
      <c r="N29" s="22">
        <f t="shared" si="2"/>
        <v>4.514336543927777E-4</v>
      </c>
      <c r="P29" t="str">
        <f t="shared" si="15"/>
        <v>Manure management</v>
      </c>
      <c r="Q29" t="str">
        <f t="shared" si="16"/>
        <v>N2O</v>
      </c>
      <c r="R29" s="21">
        <v>134.52074999999999</v>
      </c>
      <c r="S29" t="s">
        <v>311</v>
      </c>
      <c r="T29" s="22">
        <f t="shared" si="3"/>
        <v>3.5721878684798378</v>
      </c>
    </row>
    <row r="30" spans="1:20" x14ac:dyDescent="0.25">
      <c r="A30" s="14" t="s">
        <v>180</v>
      </c>
      <c r="B30" t="str">
        <f t="shared" si="11"/>
        <v>Enteric fermentation</v>
      </c>
      <c r="C30" t="str">
        <f t="shared" si="12"/>
        <v>CH4</v>
      </c>
      <c r="D30" s="21">
        <v>40.9</v>
      </c>
      <c r="E30" t="s">
        <v>144</v>
      </c>
      <c r="F30" s="21">
        <v>1323889.6320798274</v>
      </c>
      <c r="G30" s="22">
        <f t="shared" ref="G30:G34" si="20">F30/SUM($F$29:$F$34)</f>
        <v>0.24158569928464008</v>
      </c>
      <c r="H30" s="22">
        <f t="shared" si="18"/>
        <v>9.880855100741778</v>
      </c>
      <c r="J30" t="str">
        <f t="shared" si="13"/>
        <v>Manure management</v>
      </c>
      <c r="K30" t="str">
        <f t="shared" si="14"/>
        <v>CH4</v>
      </c>
      <c r="L30" s="21">
        <v>0.01</v>
      </c>
      <c r="M30" t="s">
        <v>144</v>
      </c>
      <c r="N30" s="22">
        <f t="shared" si="2"/>
        <v>2.4158569928464007E-3</v>
      </c>
      <c r="P30" t="str">
        <f t="shared" si="15"/>
        <v>Manure management</v>
      </c>
      <c r="Q30" t="str">
        <f t="shared" si="16"/>
        <v>N2O</v>
      </c>
      <c r="R30" s="21">
        <v>19.545750000000002</v>
      </c>
      <c r="S30" t="s">
        <v>311</v>
      </c>
      <c r="T30" s="22">
        <f t="shared" si="3"/>
        <v>4.721973681792754</v>
      </c>
    </row>
    <row r="31" spans="1:20" x14ac:dyDescent="0.25">
      <c r="A31" s="14" t="s">
        <v>181</v>
      </c>
      <c r="B31" t="str">
        <f t="shared" si="11"/>
        <v>Enteric fermentation</v>
      </c>
      <c r="C31" t="str">
        <f t="shared" si="12"/>
        <v>CH4</v>
      </c>
      <c r="D31" s="21">
        <v>73.099999999999994</v>
      </c>
      <c r="E31" t="s">
        <v>144</v>
      </c>
      <c r="F31" s="21">
        <v>2710027.0702891005</v>
      </c>
      <c r="G31" s="22">
        <f t="shared" si="20"/>
        <v>0.49453048727903304</v>
      </c>
      <c r="H31" s="22">
        <f t="shared" si="18"/>
        <v>36.150178620097314</v>
      </c>
      <c r="J31" t="str">
        <f t="shared" si="13"/>
        <v>Manure management</v>
      </c>
      <c r="K31" t="str">
        <f t="shared" si="14"/>
        <v>CH4</v>
      </c>
      <c r="L31" s="21">
        <v>1.4999999999999999E-2</v>
      </c>
      <c r="M31" t="s">
        <v>144</v>
      </c>
      <c r="N31" s="22">
        <f t="shared" si="2"/>
        <v>7.4179573091854951E-3</v>
      </c>
      <c r="P31" t="str">
        <f t="shared" si="15"/>
        <v>Manure management</v>
      </c>
      <c r="Q31" t="str">
        <f t="shared" si="16"/>
        <v>N2O</v>
      </c>
      <c r="R31" s="21">
        <v>84.851550000000003</v>
      </c>
      <c r="S31" t="s">
        <v>311</v>
      </c>
      <c r="T31" s="22">
        <f t="shared" si="3"/>
        <v>41.961678367881234</v>
      </c>
    </row>
    <row r="32" spans="1:20" x14ac:dyDescent="0.25">
      <c r="A32" s="14" t="s">
        <v>182</v>
      </c>
      <c r="B32" t="str">
        <f t="shared" si="11"/>
        <v>Enteric fermentation</v>
      </c>
      <c r="C32" t="str">
        <f t="shared" si="12"/>
        <v>CH4</v>
      </c>
      <c r="D32" s="21">
        <v>62.5</v>
      </c>
      <c r="E32" t="s">
        <v>144</v>
      </c>
      <c r="F32" s="21">
        <v>725750.47547114955</v>
      </c>
      <c r="G32" s="22">
        <f t="shared" si="20"/>
        <v>0.13243621815166964</v>
      </c>
      <c r="H32" s="22">
        <f t="shared" si="18"/>
        <v>8.2772636344793522</v>
      </c>
      <c r="J32" t="str">
        <f t="shared" si="13"/>
        <v>Manure management</v>
      </c>
      <c r="K32" t="str">
        <f t="shared" si="14"/>
        <v>CH4</v>
      </c>
      <c r="L32" s="21">
        <v>1.2999999999999999E-2</v>
      </c>
      <c r="M32" t="s">
        <v>144</v>
      </c>
      <c r="N32" s="22">
        <f t="shared" si="2"/>
        <v>1.7216708359717053E-3</v>
      </c>
      <c r="P32" t="str">
        <f t="shared" si="15"/>
        <v>Manure management</v>
      </c>
      <c r="Q32" t="str">
        <f t="shared" si="16"/>
        <v>N2O</v>
      </c>
      <c r="R32" s="21">
        <v>48.979350000000004</v>
      </c>
      <c r="S32" t="s">
        <v>311</v>
      </c>
      <c r="T32" s="22">
        <f t="shared" si="3"/>
        <v>6.4866398815269815</v>
      </c>
    </row>
    <row r="33" spans="1:20" x14ac:dyDescent="0.25">
      <c r="A33" s="14" t="s">
        <v>183</v>
      </c>
      <c r="B33" t="str">
        <f t="shared" si="11"/>
        <v>Enteric fermentation</v>
      </c>
      <c r="C33" t="str">
        <f t="shared" si="12"/>
        <v>CH4</v>
      </c>
      <c r="D33" s="21">
        <v>72.599999999999994</v>
      </c>
      <c r="E33" t="s">
        <v>144</v>
      </c>
      <c r="F33" s="21">
        <v>154598.85971447889</v>
      </c>
      <c r="G33" s="22">
        <f t="shared" si="20"/>
        <v>2.821147075081732E-2</v>
      </c>
      <c r="H33" s="22">
        <f t="shared" si="18"/>
        <v>2.0481527765093372</v>
      </c>
      <c r="J33" t="str">
        <f t="shared" si="13"/>
        <v>Manure management</v>
      </c>
      <c r="K33" t="str">
        <f t="shared" si="14"/>
        <v>CH4</v>
      </c>
      <c r="L33" s="21">
        <v>1.4999999999999999E-2</v>
      </c>
      <c r="M33" t="s">
        <v>144</v>
      </c>
      <c r="N33" s="22">
        <f t="shared" si="2"/>
        <v>4.2317206126225978E-4</v>
      </c>
      <c r="P33" t="str">
        <f t="shared" si="15"/>
        <v>Manure management</v>
      </c>
      <c r="Q33" t="str">
        <f t="shared" si="16"/>
        <v>N2O</v>
      </c>
      <c r="R33" s="21">
        <v>92.209950000000006</v>
      </c>
      <c r="S33" t="s">
        <v>311</v>
      </c>
      <c r="T33" s="22">
        <f t="shared" si="3"/>
        <v>2.6013783073593277</v>
      </c>
    </row>
    <row r="34" spans="1:20" x14ac:dyDescent="0.25">
      <c r="A34" s="14" t="s">
        <v>184</v>
      </c>
      <c r="B34" t="str">
        <f t="shared" si="11"/>
        <v>Enteric fermentation</v>
      </c>
      <c r="C34" t="str">
        <f t="shared" si="12"/>
        <v>CH4</v>
      </c>
      <c r="D34" s="21">
        <v>41.6</v>
      </c>
      <c r="E34" t="s">
        <v>144</v>
      </c>
      <c r="F34" s="21">
        <v>420212.99620588904</v>
      </c>
      <c r="G34" s="22">
        <f t="shared" si="20"/>
        <v>7.6681203687206045E-2</v>
      </c>
      <c r="H34" s="22">
        <f t="shared" si="18"/>
        <v>3.1899380733877716</v>
      </c>
      <c r="J34" t="str">
        <f t="shared" si="13"/>
        <v>Manure management</v>
      </c>
      <c r="K34" t="str">
        <f t="shared" si="14"/>
        <v>CH4</v>
      </c>
      <c r="L34" s="21">
        <v>0.01</v>
      </c>
      <c r="M34" t="s">
        <v>144</v>
      </c>
      <c r="N34" s="22">
        <f t="shared" si="2"/>
        <v>7.6681203687206049E-4</v>
      </c>
      <c r="P34" t="str">
        <f t="shared" si="15"/>
        <v>Manure management</v>
      </c>
      <c r="Q34" t="str">
        <f t="shared" si="16"/>
        <v>N2O</v>
      </c>
      <c r="R34" s="21">
        <v>68.984999999999999</v>
      </c>
      <c r="S34" t="s">
        <v>311</v>
      </c>
      <c r="T34" s="22">
        <f t="shared" si="3"/>
        <v>5.2898528363619093</v>
      </c>
    </row>
    <row r="35" spans="1:20" x14ac:dyDescent="0.25">
      <c r="A35" s="13" t="s">
        <v>152</v>
      </c>
      <c r="M35" s="13"/>
    </row>
    <row r="36" spans="1:20" x14ac:dyDescent="0.25">
      <c r="A36" s="14" t="s">
        <v>185</v>
      </c>
      <c r="B36" t="str">
        <f t="shared" ref="B36:B83" si="21">$B$5</f>
        <v>Enteric fermentation</v>
      </c>
      <c r="C36" t="str">
        <f t="shared" ref="C36:C83" si="22">$C$5</f>
        <v>CH4</v>
      </c>
      <c r="D36" s="21">
        <v>7.28</v>
      </c>
      <c r="E36" t="s">
        <v>144</v>
      </c>
      <c r="F36" s="21">
        <v>11250</v>
      </c>
      <c r="G36" s="22">
        <f>F36/SUM($F$36:$F$59)</f>
        <v>5.2342623179639882E-4</v>
      </c>
      <c r="H36" s="22">
        <f t="shared" si="18"/>
        <v>3.8105429674777837E-3</v>
      </c>
      <c r="J36" t="str">
        <f t="shared" ref="J36:J83" si="23">$J$5</f>
        <v>Manure management</v>
      </c>
      <c r="K36" t="str">
        <f t="shared" ref="K36:K83" si="24">$K$5</f>
        <v>CH4</v>
      </c>
      <c r="L36" s="21">
        <v>2E-3</v>
      </c>
      <c r="M36" t="s">
        <v>144</v>
      </c>
      <c r="N36" s="22">
        <f t="shared" si="2"/>
        <v>1.0468524635927976E-6</v>
      </c>
      <c r="P36" t="str">
        <f t="shared" ref="P36:P83" si="25">$P$5</f>
        <v>Manure management</v>
      </c>
      <c r="Q36" t="str">
        <f t="shared" ref="Q36:Q83" si="26">$Q$5</f>
        <v>N2O</v>
      </c>
      <c r="R36" s="21">
        <v>20.498399999999997</v>
      </c>
      <c r="S36" t="s">
        <v>311</v>
      </c>
      <c r="T36" s="22">
        <f t="shared" si="3"/>
        <v>1.07294002698553E-2</v>
      </c>
    </row>
    <row r="37" spans="1:20" x14ac:dyDescent="0.25">
      <c r="A37" s="14" t="s">
        <v>186</v>
      </c>
      <c r="B37" t="str">
        <f t="shared" si="21"/>
        <v>Enteric fermentation</v>
      </c>
      <c r="C37" t="str">
        <f t="shared" si="22"/>
        <v>CH4</v>
      </c>
      <c r="D37" s="21">
        <v>10.5</v>
      </c>
      <c r="E37" t="s">
        <v>144</v>
      </c>
      <c r="F37" s="21">
        <v>250</v>
      </c>
      <c r="G37" s="22">
        <f t="shared" ref="G37:G59" si="27">F37/SUM($F$36:$F$59)</f>
        <v>1.1631694039919974E-5</v>
      </c>
      <c r="H37" s="22">
        <f t="shared" si="18"/>
        <v>1.2213278741915972E-4</v>
      </c>
      <c r="J37" t="str">
        <f t="shared" si="23"/>
        <v>Manure management</v>
      </c>
      <c r="K37" t="str">
        <f t="shared" si="24"/>
        <v>CH4</v>
      </c>
      <c r="L37" s="21">
        <v>3.0000000000000001E-3</v>
      </c>
      <c r="M37" t="s">
        <v>144</v>
      </c>
      <c r="N37" s="22">
        <f t="shared" si="2"/>
        <v>3.4895082119759926E-8</v>
      </c>
      <c r="P37" t="str">
        <f t="shared" si="25"/>
        <v>Manure management</v>
      </c>
      <c r="Q37" t="str">
        <f t="shared" si="26"/>
        <v>N2O</v>
      </c>
      <c r="R37" s="21">
        <v>30.961124999999996</v>
      </c>
      <c r="S37" t="s">
        <v>311</v>
      </c>
      <c r="T37" s="22">
        <f t="shared" si="3"/>
        <v>3.6013033313171726E-4</v>
      </c>
    </row>
    <row r="38" spans="1:20" x14ac:dyDescent="0.25">
      <c r="A38" s="14" t="s">
        <v>187</v>
      </c>
      <c r="B38" t="str">
        <f t="shared" si="21"/>
        <v>Enteric fermentation</v>
      </c>
      <c r="C38" t="str">
        <f t="shared" si="22"/>
        <v>CH4</v>
      </c>
      <c r="D38" s="21">
        <v>3.62</v>
      </c>
      <c r="E38" t="s">
        <v>144</v>
      </c>
      <c r="F38" s="21">
        <v>6000</v>
      </c>
      <c r="G38" s="22">
        <f t="shared" si="27"/>
        <v>2.7916065695807939E-4</v>
      </c>
      <c r="H38" s="22">
        <f t="shared" si="18"/>
        <v>1.0105615781882474E-3</v>
      </c>
      <c r="J38" t="str">
        <f t="shared" si="23"/>
        <v>Manure management</v>
      </c>
      <c r="K38" t="str">
        <f t="shared" si="24"/>
        <v>CH4</v>
      </c>
      <c r="L38" s="21">
        <v>1E-3</v>
      </c>
      <c r="M38" t="s">
        <v>144</v>
      </c>
      <c r="N38" s="22">
        <f t="shared" si="2"/>
        <v>2.7916065695807941E-7</v>
      </c>
      <c r="P38" t="str">
        <f t="shared" si="25"/>
        <v>Manure management</v>
      </c>
      <c r="Q38" t="str">
        <f t="shared" si="26"/>
        <v>N2O</v>
      </c>
      <c r="R38" s="21">
        <v>9.608625</v>
      </c>
      <c r="S38" t="s">
        <v>311</v>
      </c>
      <c r="T38" s="22">
        <f t="shared" si="3"/>
        <v>2.6823500674638253E-3</v>
      </c>
    </row>
    <row r="39" spans="1:20" x14ac:dyDescent="0.25">
      <c r="A39" s="14" t="s">
        <v>188</v>
      </c>
      <c r="B39" t="str">
        <f t="shared" si="21"/>
        <v>Enteric fermentation</v>
      </c>
      <c r="C39" t="str">
        <f t="shared" si="22"/>
        <v>CH4</v>
      </c>
      <c r="D39" s="21">
        <v>5.0199999999999996</v>
      </c>
      <c r="E39" t="s">
        <v>144</v>
      </c>
      <c r="F39" s="21">
        <v>4000</v>
      </c>
      <c r="G39" s="22">
        <f t="shared" si="27"/>
        <v>1.8610710463871959E-4</v>
      </c>
      <c r="H39" s="22">
        <f t="shared" si="18"/>
        <v>9.3425766528637229E-4</v>
      </c>
      <c r="J39" t="str">
        <f t="shared" si="23"/>
        <v>Manure management</v>
      </c>
      <c r="K39" t="str">
        <f t="shared" si="24"/>
        <v>CH4</v>
      </c>
      <c r="L39" s="21">
        <v>1.2999999999999999E-3</v>
      </c>
      <c r="M39" t="s">
        <v>144</v>
      </c>
      <c r="N39" s="22">
        <f t="shared" si="2"/>
        <v>2.4193923603033547E-7</v>
      </c>
      <c r="P39" t="str">
        <f t="shared" si="25"/>
        <v>Manure management</v>
      </c>
      <c r="Q39" t="str">
        <f t="shared" si="26"/>
        <v>N2O</v>
      </c>
      <c r="R39" s="21">
        <v>14.306175</v>
      </c>
      <c r="S39" t="s">
        <v>311</v>
      </c>
      <c r="T39" s="22">
        <f t="shared" si="3"/>
        <v>2.6624808077048341E-3</v>
      </c>
    </row>
    <row r="40" spans="1:20" x14ac:dyDescent="0.25">
      <c r="A40" s="14" t="s">
        <v>189</v>
      </c>
      <c r="B40" t="str">
        <f t="shared" si="21"/>
        <v>Enteric fermentation</v>
      </c>
      <c r="C40" t="str">
        <f t="shared" si="22"/>
        <v>CH4</v>
      </c>
      <c r="D40" s="21">
        <v>5.94</v>
      </c>
      <c r="E40" t="s">
        <v>144</v>
      </c>
      <c r="F40" s="21">
        <v>3000</v>
      </c>
      <c r="G40" s="22">
        <f t="shared" si="27"/>
        <v>1.3958032847903969E-4</v>
      </c>
      <c r="H40" s="22">
        <f t="shared" si="18"/>
        <v>8.2910715116549585E-4</v>
      </c>
      <c r="J40" t="str">
        <f t="shared" si="23"/>
        <v>Manure management</v>
      </c>
      <c r="K40" t="str">
        <f t="shared" si="24"/>
        <v>CH4</v>
      </c>
      <c r="L40" s="21">
        <v>1.6000000000000001E-3</v>
      </c>
      <c r="M40" t="s">
        <v>144</v>
      </c>
      <c r="N40" s="22">
        <f t="shared" si="2"/>
        <v>2.2332852556646353E-7</v>
      </c>
      <c r="P40" t="str">
        <f t="shared" si="25"/>
        <v>Manure management</v>
      </c>
      <c r="Q40" t="str">
        <f t="shared" si="26"/>
        <v>N2O</v>
      </c>
      <c r="R40" s="21">
        <v>17.295524999999998</v>
      </c>
      <c r="S40" t="s">
        <v>311</v>
      </c>
      <c r="T40" s="22">
        <f t="shared" si="3"/>
        <v>2.4141150607174425E-3</v>
      </c>
    </row>
    <row r="41" spans="1:20" x14ac:dyDescent="0.25">
      <c r="A41" s="14" t="s">
        <v>190</v>
      </c>
      <c r="B41" t="str">
        <f t="shared" si="21"/>
        <v>Enteric fermentation</v>
      </c>
      <c r="C41" t="str">
        <f t="shared" si="22"/>
        <v>CH4</v>
      </c>
      <c r="D41" s="21">
        <v>7.64</v>
      </c>
      <c r="E41" t="s">
        <v>144</v>
      </c>
      <c r="F41" s="21">
        <v>500</v>
      </c>
      <c r="G41" s="22">
        <f t="shared" si="27"/>
        <v>2.3263388079839949E-5</v>
      </c>
      <c r="H41" s="22">
        <f t="shared" si="18"/>
        <v>1.7773228492997721E-4</v>
      </c>
      <c r="J41" t="str">
        <f t="shared" si="23"/>
        <v>Manure management</v>
      </c>
      <c r="K41" t="str">
        <f t="shared" si="24"/>
        <v>CH4</v>
      </c>
      <c r="L41" s="21">
        <v>2E-3</v>
      </c>
      <c r="M41" t="s">
        <v>144</v>
      </c>
      <c r="N41" s="22">
        <f t="shared" si="2"/>
        <v>4.6526776159679897E-8</v>
      </c>
      <c r="P41" t="str">
        <f t="shared" si="25"/>
        <v>Manure management</v>
      </c>
      <c r="Q41" t="str">
        <f t="shared" si="26"/>
        <v>N2O</v>
      </c>
      <c r="R41" s="21">
        <v>22.633649999999999</v>
      </c>
      <c r="S41" t="s">
        <v>311</v>
      </c>
      <c r="T41" s="22">
        <f t="shared" si="3"/>
        <v>5.2653538361326947E-4</v>
      </c>
    </row>
    <row r="42" spans="1:20" x14ac:dyDescent="0.25">
      <c r="A42" s="14" t="s">
        <v>191</v>
      </c>
      <c r="B42" t="str">
        <f t="shared" si="21"/>
        <v>Enteric fermentation</v>
      </c>
      <c r="C42" t="str">
        <f t="shared" si="22"/>
        <v>CH4</v>
      </c>
      <c r="D42" s="21">
        <v>8.07</v>
      </c>
      <c r="E42" t="s">
        <v>144</v>
      </c>
      <c r="F42" s="21">
        <v>5062950</v>
      </c>
      <c r="G42" s="22">
        <f t="shared" si="27"/>
        <v>0.23556274135765132</v>
      </c>
      <c r="H42" s="22">
        <f t="shared" si="18"/>
        <v>1.9009913227562463</v>
      </c>
      <c r="J42" t="str">
        <f t="shared" si="23"/>
        <v>Manure management</v>
      </c>
      <c r="K42" t="str">
        <f t="shared" si="24"/>
        <v>CH4</v>
      </c>
      <c r="L42" s="21">
        <v>2.2000000000000001E-3</v>
      </c>
      <c r="M42" t="s">
        <v>144</v>
      </c>
      <c r="N42" s="22">
        <f t="shared" si="2"/>
        <v>5.1823803098683297E-4</v>
      </c>
      <c r="P42" t="str">
        <f t="shared" si="25"/>
        <v>Manure management</v>
      </c>
      <c r="Q42" t="str">
        <f t="shared" si="26"/>
        <v>N2O</v>
      </c>
      <c r="R42" s="21">
        <v>22.633649999999999</v>
      </c>
      <c r="S42" t="s">
        <v>311</v>
      </c>
      <c r="T42" s="22">
        <f t="shared" si="3"/>
        <v>5.3316446409296043</v>
      </c>
    </row>
    <row r="43" spans="1:20" x14ac:dyDescent="0.25">
      <c r="A43" s="14" t="s">
        <v>192</v>
      </c>
      <c r="B43" t="str">
        <f t="shared" si="21"/>
        <v>Enteric fermentation</v>
      </c>
      <c r="C43" t="str">
        <f t="shared" si="22"/>
        <v>CH4</v>
      </c>
      <c r="D43" s="21">
        <v>14.7</v>
      </c>
      <c r="E43" t="s">
        <v>144</v>
      </c>
      <c r="F43" s="21">
        <v>112510</v>
      </c>
      <c r="G43" s="22">
        <f t="shared" si="27"/>
        <v>5.234727585725585E-3</v>
      </c>
      <c r="H43" s="22">
        <f t="shared" si="18"/>
        <v>7.6950495510166098E-2</v>
      </c>
      <c r="J43" t="str">
        <f t="shared" si="23"/>
        <v>Manure management</v>
      </c>
      <c r="K43" t="str">
        <f t="shared" si="24"/>
        <v>CH4</v>
      </c>
      <c r="L43" s="21">
        <v>4.1999999999999997E-3</v>
      </c>
      <c r="M43" t="s">
        <v>144</v>
      </c>
      <c r="N43" s="22">
        <f t="shared" si="2"/>
        <v>2.1985855860047455E-5</v>
      </c>
      <c r="P43" t="str">
        <f t="shared" si="25"/>
        <v>Manure management</v>
      </c>
      <c r="Q43" t="str">
        <f t="shared" si="26"/>
        <v>N2O</v>
      </c>
      <c r="R43" s="21">
        <v>41.637374999999999</v>
      </c>
      <c r="S43" t="s">
        <v>311</v>
      </c>
      <c r="T43" s="22">
        <f t="shared" si="3"/>
        <v>0.21796031550970082</v>
      </c>
    </row>
    <row r="44" spans="1:20" x14ac:dyDescent="0.25">
      <c r="A44" s="14" t="s">
        <v>193</v>
      </c>
      <c r="B44" t="str">
        <f t="shared" si="21"/>
        <v>Enteric fermentation</v>
      </c>
      <c r="C44" t="str">
        <f t="shared" si="22"/>
        <v>CH4</v>
      </c>
      <c r="D44" s="21">
        <v>3.62</v>
      </c>
      <c r="E44" t="s">
        <v>144</v>
      </c>
      <c r="F44" s="21">
        <v>2700240</v>
      </c>
      <c r="G44" s="22">
        <f t="shared" si="27"/>
        <v>0.12563346205741405</v>
      </c>
      <c r="H44" s="22">
        <f t="shared" si="18"/>
        <v>0.45479313264783888</v>
      </c>
      <c r="J44" t="str">
        <f t="shared" si="23"/>
        <v>Manure management</v>
      </c>
      <c r="K44" t="str">
        <f t="shared" si="24"/>
        <v>CH4</v>
      </c>
      <c r="L44" s="21">
        <v>1E-3</v>
      </c>
      <c r="M44" t="s">
        <v>144</v>
      </c>
      <c r="N44" s="22">
        <f t="shared" si="2"/>
        <v>1.2563346205741405E-4</v>
      </c>
      <c r="P44" t="str">
        <f t="shared" si="25"/>
        <v>Manure management</v>
      </c>
      <c r="Q44" t="str">
        <f t="shared" si="26"/>
        <v>N2O</v>
      </c>
      <c r="R44" s="21">
        <v>9.608625</v>
      </c>
      <c r="S44" t="s">
        <v>311</v>
      </c>
      <c r="T44" s="22">
        <f t="shared" si="3"/>
        <v>1.2071648243614201</v>
      </c>
    </row>
    <row r="45" spans="1:20" x14ac:dyDescent="0.25">
      <c r="A45" s="14" t="s">
        <v>194</v>
      </c>
      <c r="B45" t="str">
        <f t="shared" si="21"/>
        <v>Enteric fermentation</v>
      </c>
      <c r="C45" t="str">
        <f t="shared" si="22"/>
        <v>CH4</v>
      </c>
      <c r="D45" s="21">
        <v>5.54</v>
      </c>
      <c r="E45" t="s">
        <v>144</v>
      </c>
      <c r="F45" s="21">
        <v>1800160</v>
      </c>
      <c r="G45" s="22">
        <f t="shared" si="27"/>
        <v>8.375564137160936E-2</v>
      </c>
      <c r="H45" s="22">
        <f t="shared" si="18"/>
        <v>0.46400625319871586</v>
      </c>
      <c r="J45" t="str">
        <f t="shared" si="23"/>
        <v>Manure management</v>
      </c>
      <c r="K45" t="str">
        <f t="shared" si="24"/>
        <v>CH4</v>
      </c>
      <c r="L45" s="21">
        <v>1.4E-3</v>
      </c>
      <c r="M45" t="s">
        <v>144</v>
      </c>
      <c r="N45" s="22">
        <f t="shared" si="2"/>
        <v>1.172578979202531E-4</v>
      </c>
      <c r="P45" t="str">
        <f t="shared" si="25"/>
        <v>Manure management</v>
      </c>
      <c r="Q45" t="str">
        <f t="shared" si="26"/>
        <v>N2O</v>
      </c>
      <c r="R45" s="21">
        <v>16.014374999999998</v>
      </c>
      <c r="S45" t="s">
        <v>311</v>
      </c>
      <c r="T45" s="22">
        <f t="shared" si="3"/>
        <v>1.3412942492904665</v>
      </c>
    </row>
    <row r="46" spans="1:20" x14ac:dyDescent="0.25">
      <c r="A46" s="14" t="s">
        <v>195</v>
      </c>
      <c r="B46" t="str">
        <f t="shared" si="21"/>
        <v>Enteric fermentation</v>
      </c>
      <c r="C46" t="str">
        <f t="shared" si="22"/>
        <v>CH4</v>
      </c>
      <c r="D46" s="21">
        <v>6.21</v>
      </c>
      <c r="E46" t="s">
        <v>144</v>
      </c>
      <c r="F46" s="21">
        <v>1350120</v>
      </c>
      <c r="G46" s="22">
        <f t="shared" si="27"/>
        <v>6.2816731028707024E-2</v>
      </c>
      <c r="H46" s="22">
        <f t="shared" si="18"/>
        <v>0.39009189968827063</v>
      </c>
      <c r="J46" t="str">
        <f t="shared" si="23"/>
        <v>Manure management</v>
      </c>
      <c r="K46" t="str">
        <f t="shared" si="24"/>
        <v>CH4</v>
      </c>
      <c r="L46" s="21">
        <v>1.6000000000000001E-3</v>
      </c>
      <c r="M46" t="s">
        <v>144</v>
      </c>
      <c r="N46" s="22">
        <f t="shared" si="2"/>
        <v>1.0050676964593125E-4</v>
      </c>
      <c r="P46" t="str">
        <f t="shared" si="25"/>
        <v>Manure management</v>
      </c>
      <c r="Q46" t="str">
        <f t="shared" si="26"/>
        <v>N2O</v>
      </c>
      <c r="R46" s="21">
        <v>18.149625</v>
      </c>
      <c r="S46" t="s">
        <v>311</v>
      </c>
      <c r="T46" s="22">
        <f t="shared" si="3"/>
        <v>1.1401001118968968</v>
      </c>
    </row>
    <row r="47" spans="1:20" x14ac:dyDescent="0.25">
      <c r="A47" s="14" t="s">
        <v>196</v>
      </c>
      <c r="B47" t="str">
        <f t="shared" si="21"/>
        <v>Enteric fermentation</v>
      </c>
      <c r="C47" t="str">
        <f t="shared" si="22"/>
        <v>CH4</v>
      </c>
      <c r="D47" s="21">
        <v>11.5</v>
      </c>
      <c r="E47" t="s">
        <v>144</v>
      </c>
      <c r="F47" s="21">
        <v>225020</v>
      </c>
      <c r="G47" s="22">
        <f t="shared" si="27"/>
        <v>1.046945517145117E-2</v>
      </c>
      <c r="H47" s="22">
        <f t="shared" si="18"/>
        <v>0.12039873447168846</v>
      </c>
      <c r="J47" t="str">
        <f t="shared" si="23"/>
        <v>Manure management</v>
      </c>
      <c r="K47" t="str">
        <f t="shared" si="24"/>
        <v>CH4</v>
      </c>
      <c r="L47" s="21">
        <v>3.2000000000000002E-3</v>
      </c>
      <c r="M47" t="s">
        <v>144</v>
      </c>
      <c r="N47" s="22">
        <f t="shared" si="2"/>
        <v>3.3502256548643744E-5</v>
      </c>
      <c r="P47" t="str">
        <f t="shared" si="25"/>
        <v>Manure management</v>
      </c>
      <c r="Q47" t="str">
        <f t="shared" si="26"/>
        <v>N2O</v>
      </c>
      <c r="R47" s="21">
        <v>33.438014999999993</v>
      </c>
      <c r="S47" t="s">
        <v>311</v>
      </c>
      <c r="T47" s="22">
        <f t="shared" si="3"/>
        <v>0.35007779906481173</v>
      </c>
    </row>
    <row r="48" spans="1:20" x14ac:dyDescent="0.25">
      <c r="A48" s="14" t="s">
        <v>197</v>
      </c>
      <c r="B48" t="str">
        <f t="shared" si="21"/>
        <v>Enteric fermentation</v>
      </c>
      <c r="C48" t="str">
        <f t="shared" si="22"/>
        <v>CH4</v>
      </c>
      <c r="D48" s="21">
        <v>9.66</v>
      </c>
      <c r="E48" t="s">
        <v>144</v>
      </c>
      <c r="F48" s="21">
        <v>2725650</v>
      </c>
      <c r="G48" s="22">
        <f t="shared" si="27"/>
        <v>0.1268157074396315</v>
      </c>
      <c r="H48" s="22">
        <f t="shared" si="18"/>
        <v>1.2250397338668402</v>
      </c>
      <c r="J48" t="str">
        <f t="shared" si="23"/>
        <v>Manure management</v>
      </c>
      <c r="K48" t="str">
        <f t="shared" si="24"/>
        <v>CH4</v>
      </c>
      <c r="L48" s="21">
        <v>2.7000000000000001E-3</v>
      </c>
      <c r="M48" t="s">
        <v>144</v>
      </c>
      <c r="N48" s="22">
        <f t="shared" si="2"/>
        <v>3.4240241008700505E-4</v>
      </c>
      <c r="P48" t="str">
        <f t="shared" si="25"/>
        <v>Manure management</v>
      </c>
      <c r="Q48" t="str">
        <f t="shared" si="26"/>
        <v>N2O</v>
      </c>
      <c r="R48" s="21">
        <v>27.117674999999998</v>
      </c>
      <c r="S48" t="s">
        <v>311</v>
      </c>
      <c r="T48" s="22">
        <f t="shared" si="3"/>
        <v>3.4389471392430089</v>
      </c>
    </row>
    <row r="49" spans="1:20" x14ac:dyDescent="0.25">
      <c r="A49" s="14" t="s">
        <v>198</v>
      </c>
      <c r="B49" t="str">
        <f t="shared" si="21"/>
        <v>Enteric fermentation</v>
      </c>
      <c r="C49" t="str">
        <f t="shared" si="22"/>
        <v>CH4</v>
      </c>
      <c r="D49" s="21">
        <v>14.7</v>
      </c>
      <c r="E49" t="s">
        <v>144</v>
      </c>
      <c r="F49" s="21">
        <v>60570</v>
      </c>
      <c r="G49" s="22">
        <f t="shared" si="27"/>
        <v>2.8181268319918112E-3</v>
      </c>
      <c r="H49" s="22">
        <f t="shared" si="18"/>
        <v>4.1426464430279621E-2</v>
      </c>
      <c r="J49" t="str">
        <f t="shared" si="23"/>
        <v>Manure management</v>
      </c>
      <c r="K49" t="str">
        <f t="shared" si="24"/>
        <v>CH4</v>
      </c>
      <c r="L49" s="21">
        <v>4.1000000000000003E-3</v>
      </c>
      <c r="M49" t="s">
        <v>144</v>
      </c>
      <c r="N49" s="22">
        <f t="shared" si="2"/>
        <v>1.1554320011166427E-5</v>
      </c>
      <c r="P49" t="str">
        <f t="shared" si="25"/>
        <v>Manure management</v>
      </c>
      <c r="Q49" t="str">
        <f t="shared" si="26"/>
        <v>N2O</v>
      </c>
      <c r="R49" s="21">
        <v>41.637374999999999</v>
      </c>
      <c r="S49" t="s">
        <v>311</v>
      </c>
      <c r="T49" s="22">
        <f t="shared" si="3"/>
        <v>0.11733940370120503</v>
      </c>
    </row>
    <row r="50" spans="1:20" x14ac:dyDescent="0.25">
      <c r="A50" s="14" t="s">
        <v>199</v>
      </c>
      <c r="B50" t="str">
        <f t="shared" si="21"/>
        <v>Enteric fermentation</v>
      </c>
      <c r="C50" t="str">
        <f t="shared" si="22"/>
        <v>CH4</v>
      </c>
      <c r="D50" s="21">
        <v>3.62</v>
      </c>
      <c r="E50" t="s">
        <v>144</v>
      </c>
      <c r="F50" s="21">
        <v>1453680</v>
      </c>
      <c r="G50" s="22">
        <f t="shared" si="27"/>
        <v>6.7635043967803468E-2</v>
      </c>
      <c r="H50" s="22">
        <f t="shared" si="18"/>
        <v>0.24483885916344855</v>
      </c>
      <c r="J50" t="str">
        <f t="shared" si="23"/>
        <v>Manure management</v>
      </c>
      <c r="K50" t="str">
        <f t="shared" si="24"/>
        <v>CH4</v>
      </c>
      <c r="L50" s="21">
        <v>1E-3</v>
      </c>
      <c r="M50" t="s">
        <v>144</v>
      </c>
      <c r="N50" s="22">
        <f t="shared" si="2"/>
        <v>6.7635043967803464E-5</v>
      </c>
      <c r="P50" t="str">
        <f t="shared" si="25"/>
        <v>Manure management</v>
      </c>
      <c r="Q50" t="str">
        <f t="shared" si="26"/>
        <v>N2O</v>
      </c>
      <c r="R50" s="21">
        <v>9.608625</v>
      </c>
      <c r="S50" t="s">
        <v>311</v>
      </c>
      <c r="T50" s="22">
        <f t="shared" si="3"/>
        <v>0.64987977434513555</v>
      </c>
    </row>
    <row r="51" spans="1:20" x14ac:dyDescent="0.25">
      <c r="A51" s="14" t="s">
        <v>200</v>
      </c>
      <c r="B51" t="str">
        <f t="shared" si="21"/>
        <v>Enteric fermentation</v>
      </c>
      <c r="C51" t="str">
        <f t="shared" si="22"/>
        <v>CH4</v>
      </c>
      <c r="D51" s="21">
        <v>5.54</v>
      </c>
      <c r="E51" t="s">
        <v>144</v>
      </c>
      <c r="F51" s="21">
        <v>969120</v>
      </c>
      <c r="G51" s="22">
        <f t="shared" si="27"/>
        <v>4.5090029311868979E-2</v>
      </c>
      <c r="H51" s="22">
        <f t="shared" si="18"/>
        <v>0.24979876238775414</v>
      </c>
      <c r="J51" t="str">
        <f t="shared" si="23"/>
        <v>Manure management</v>
      </c>
      <c r="K51" t="str">
        <f t="shared" si="24"/>
        <v>CH4</v>
      </c>
      <c r="L51" s="21">
        <v>1.4E-3</v>
      </c>
      <c r="M51" t="s">
        <v>144</v>
      </c>
      <c r="N51" s="22">
        <f t="shared" si="2"/>
        <v>6.3126041036616574E-5</v>
      </c>
      <c r="P51" t="str">
        <f t="shared" si="25"/>
        <v>Manure management</v>
      </c>
      <c r="Q51" t="str">
        <f t="shared" si="26"/>
        <v>N2O</v>
      </c>
      <c r="R51" s="21">
        <v>16.014374999999998</v>
      </c>
      <c r="S51" t="s">
        <v>311</v>
      </c>
      <c r="T51" s="22">
        <f t="shared" si="3"/>
        <v>0.72208863816126168</v>
      </c>
    </row>
    <row r="52" spans="1:20" x14ac:dyDescent="0.25">
      <c r="A52" s="14" t="s">
        <v>201</v>
      </c>
      <c r="B52" t="str">
        <f t="shared" si="21"/>
        <v>Enteric fermentation</v>
      </c>
      <c r="C52" t="str">
        <f t="shared" si="22"/>
        <v>CH4</v>
      </c>
      <c r="D52" s="21">
        <v>6.88</v>
      </c>
      <c r="E52" t="s">
        <v>144</v>
      </c>
      <c r="F52" s="21">
        <v>726840</v>
      </c>
      <c r="G52" s="22">
        <f t="shared" si="27"/>
        <v>3.3817521983901734E-2</v>
      </c>
      <c r="H52" s="22">
        <f t="shared" si="18"/>
        <v>0.23266455124924393</v>
      </c>
      <c r="J52" t="str">
        <f t="shared" si="23"/>
        <v>Manure management</v>
      </c>
      <c r="K52" t="str">
        <f t="shared" si="24"/>
        <v>CH4</v>
      </c>
      <c r="L52" s="21">
        <v>1.8E-3</v>
      </c>
      <c r="M52" t="s">
        <v>144</v>
      </c>
      <c r="N52" s="22">
        <f t="shared" si="2"/>
        <v>6.0871539571023123E-5</v>
      </c>
      <c r="P52" t="str">
        <f t="shared" si="25"/>
        <v>Manure management</v>
      </c>
      <c r="Q52" t="str">
        <f t="shared" si="26"/>
        <v>N2O</v>
      </c>
      <c r="R52" s="21">
        <v>20.284875</v>
      </c>
      <c r="S52" t="s">
        <v>311</v>
      </c>
      <c r="T52" s="22">
        <f t="shared" si="3"/>
        <v>0.68598420625319867</v>
      </c>
    </row>
    <row r="53" spans="1:20" x14ac:dyDescent="0.25">
      <c r="A53" s="14" t="s">
        <v>202</v>
      </c>
      <c r="B53" t="str">
        <f t="shared" si="21"/>
        <v>Enteric fermentation</v>
      </c>
      <c r="C53" t="str">
        <f t="shared" si="22"/>
        <v>CH4</v>
      </c>
      <c r="D53" s="21">
        <v>9.8800000000000008</v>
      </c>
      <c r="E53" t="s">
        <v>144</v>
      </c>
      <c r="F53" s="21">
        <v>121140</v>
      </c>
      <c r="G53" s="22">
        <f t="shared" si="27"/>
        <v>5.6362536639836223E-3</v>
      </c>
      <c r="H53" s="22">
        <f t="shared" si="18"/>
        <v>5.5686186200158194E-2</v>
      </c>
      <c r="J53" t="str">
        <f t="shared" si="23"/>
        <v>Manure management</v>
      </c>
      <c r="K53" t="str">
        <f t="shared" si="24"/>
        <v>CH4</v>
      </c>
      <c r="L53" s="21">
        <v>2.7000000000000001E-3</v>
      </c>
      <c r="M53" t="s">
        <v>144</v>
      </c>
      <c r="N53" s="22">
        <f t="shared" si="2"/>
        <v>1.5217884892755781E-5</v>
      </c>
      <c r="P53" t="str">
        <f t="shared" si="25"/>
        <v>Manure management</v>
      </c>
      <c r="Q53" t="str">
        <f t="shared" si="26"/>
        <v>N2O</v>
      </c>
      <c r="R53" s="21">
        <v>29.167514999999998</v>
      </c>
      <c r="S53" t="s">
        <v>311</v>
      </c>
      <c r="T53" s="22">
        <f t="shared" si="3"/>
        <v>0.16439551328804725</v>
      </c>
    </row>
    <row r="54" spans="1:20" x14ac:dyDescent="0.25">
      <c r="A54" s="14" t="s">
        <v>203</v>
      </c>
      <c r="B54" t="str">
        <f t="shared" si="21"/>
        <v>Enteric fermentation</v>
      </c>
      <c r="C54" t="str">
        <f t="shared" si="22"/>
        <v>CH4</v>
      </c>
      <c r="D54" s="21">
        <v>10.4</v>
      </c>
      <c r="E54" t="s">
        <v>144</v>
      </c>
      <c r="F54" s="21">
        <v>1872000</v>
      </c>
      <c r="G54" s="22">
        <f t="shared" si="27"/>
        <v>8.7098124970920759E-2</v>
      </c>
      <c r="H54" s="22">
        <f t="shared" si="18"/>
        <v>0.90582049969757594</v>
      </c>
      <c r="J54" t="str">
        <f t="shared" si="23"/>
        <v>Manure management</v>
      </c>
      <c r="K54" t="str">
        <f t="shared" si="24"/>
        <v>CH4</v>
      </c>
      <c r="L54" s="21">
        <v>2.8999999999999998E-3</v>
      </c>
      <c r="M54" t="s">
        <v>144</v>
      </c>
      <c r="N54" s="22">
        <f t="shared" si="2"/>
        <v>2.5258456241567017E-4</v>
      </c>
      <c r="P54" t="str">
        <f t="shared" si="25"/>
        <v>Manure management</v>
      </c>
      <c r="Q54" t="str">
        <f t="shared" si="26"/>
        <v>N2O</v>
      </c>
      <c r="R54" s="21">
        <v>29.039400000000001</v>
      </c>
      <c r="S54" t="s">
        <v>311</v>
      </c>
      <c r="T54" s="22">
        <f t="shared" si="3"/>
        <v>2.5292772902805565</v>
      </c>
    </row>
    <row r="55" spans="1:20" x14ac:dyDescent="0.25">
      <c r="A55" s="14" t="s">
        <v>204</v>
      </c>
      <c r="B55" t="str">
        <f t="shared" si="21"/>
        <v>Enteric fermentation</v>
      </c>
      <c r="C55" t="str">
        <f t="shared" si="22"/>
        <v>CH4</v>
      </c>
      <c r="D55" s="21">
        <v>22.2</v>
      </c>
      <c r="E55" t="s">
        <v>144</v>
      </c>
      <c r="F55" s="21">
        <v>41600</v>
      </c>
      <c r="G55" s="22">
        <f t="shared" si="27"/>
        <v>1.9355138882426836E-3</v>
      </c>
      <c r="H55" s="22">
        <f t="shared" si="18"/>
        <v>4.2968408318987579E-2</v>
      </c>
      <c r="J55" t="str">
        <f t="shared" si="23"/>
        <v>Manure management</v>
      </c>
      <c r="K55" t="str">
        <f t="shared" si="24"/>
        <v>CH4</v>
      </c>
      <c r="L55" s="21">
        <v>6.4000000000000003E-3</v>
      </c>
      <c r="M55" t="s">
        <v>144</v>
      </c>
      <c r="N55" s="22">
        <f t="shared" si="2"/>
        <v>1.2387288884753176E-5</v>
      </c>
      <c r="P55" t="str">
        <f t="shared" si="25"/>
        <v>Manure management</v>
      </c>
      <c r="Q55" t="str">
        <f t="shared" si="26"/>
        <v>N2O</v>
      </c>
      <c r="R55" s="21">
        <v>58.932899999999997</v>
      </c>
      <c r="S55" t="s">
        <v>311</v>
      </c>
      <c r="T55" s="22">
        <f t="shared" si="3"/>
        <v>0.11406544642441724</v>
      </c>
    </row>
    <row r="56" spans="1:20" x14ac:dyDescent="0.25">
      <c r="A56" s="14" t="s">
        <v>205</v>
      </c>
      <c r="B56" t="str">
        <f t="shared" si="21"/>
        <v>Enteric fermentation</v>
      </c>
      <c r="C56" t="str">
        <f t="shared" si="22"/>
        <v>CH4</v>
      </c>
      <c r="D56" s="21">
        <v>3.62</v>
      </c>
      <c r="E56" t="s">
        <v>144</v>
      </c>
      <c r="F56" s="21">
        <v>998400</v>
      </c>
      <c r="G56" s="22">
        <f t="shared" si="27"/>
        <v>4.6452333317824411E-2</v>
      </c>
      <c r="H56" s="22">
        <f t="shared" si="18"/>
        <v>0.16815744661052437</v>
      </c>
      <c r="J56" t="str">
        <f t="shared" si="23"/>
        <v>Manure management</v>
      </c>
      <c r="K56" t="str">
        <f t="shared" si="24"/>
        <v>CH4</v>
      </c>
      <c r="L56" s="21">
        <v>1E-3</v>
      </c>
      <c r="M56" t="s">
        <v>144</v>
      </c>
      <c r="N56" s="22">
        <f t="shared" si="2"/>
        <v>4.6452333317824413E-5</v>
      </c>
      <c r="P56" t="str">
        <f t="shared" si="25"/>
        <v>Manure management</v>
      </c>
      <c r="Q56" t="str">
        <f t="shared" si="26"/>
        <v>N2O</v>
      </c>
      <c r="R56" s="21">
        <v>9.608625</v>
      </c>
      <c r="S56" t="s">
        <v>311</v>
      </c>
      <c r="T56" s="22">
        <f t="shared" si="3"/>
        <v>0.44634305122598056</v>
      </c>
    </row>
    <row r="57" spans="1:20" x14ac:dyDescent="0.25">
      <c r="A57" s="14" t="s">
        <v>206</v>
      </c>
      <c r="B57" t="str">
        <f t="shared" si="21"/>
        <v>Enteric fermentation</v>
      </c>
      <c r="C57" t="str">
        <f t="shared" si="22"/>
        <v>CH4</v>
      </c>
      <c r="D57" s="21">
        <v>4.7699999999999996</v>
      </c>
      <c r="E57" t="s">
        <v>144</v>
      </c>
      <c r="F57" s="21">
        <v>665600</v>
      </c>
      <c r="G57" s="22">
        <f t="shared" si="27"/>
        <v>3.0968222211882938E-2</v>
      </c>
      <c r="H57" s="22">
        <f t="shared" si="18"/>
        <v>0.14771841995068161</v>
      </c>
      <c r="J57" t="str">
        <f t="shared" si="23"/>
        <v>Manure management</v>
      </c>
      <c r="K57" t="str">
        <f t="shared" si="24"/>
        <v>CH4</v>
      </c>
      <c r="L57" s="21">
        <v>1.1999999999999999E-3</v>
      </c>
      <c r="M57" t="s">
        <v>144</v>
      </c>
      <c r="N57" s="22">
        <f t="shared" si="2"/>
        <v>3.7161866654259525E-5</v>
      </c>
      <c r="P57" t="str">
        <f t="shared" si="25"/>
        <v>Manure management</v>
      </c>
      <c r="Q57" t="str">
        <f t="shared" si="26"/>
        <v>N2O</v>
      </c>
      <c r="R57" s="21">
        <v>13.452074999999999</v>
      </c>
      <c r="S57" t="s">
        <v>311</v>
      </c>
      <c r="T57" s="22">
        <f t="shared" si="3"/>
        <v>0.41658684781091515</v>
      </c>
    </row>
    <row r="58" spans="1:20" x14ac:dyDescent="0.25">
      <c r="A58" s="14" t="s">
        <v>207</v>
      </c>
      <c r="B58" t="str">
        <f t="shared" si="21"/>
        <v>Enteric fermentation</v>
      </c>
      <c r="C58" t="str">
        <f t="shared" si="22"/>
        <v>CH4</v>
      </c>
      <c r="D58" s="21">
        <v>8.01</v>
      </c>
      <c r="E58" t="s">
        <v>144</v>
      </c>
      <c r="F58" s="21">
        <v>499200</v>
      </c>
      <c r="G58" s="22">
        <f t="shared" si="27"/>
        <v>2.3226166658912206E-2</v>
      </c>
      <c r="H58" s="22">
        <f t="shared" si="18"/>
        <v>0.18604159493788677</v>
      </c>
      <c r="J58" t="str">
        <f t="shared" si="23"/>
        <v>Manure management</v>
      </c>
      <c r="K58" t="str">
        <f t="shared" si="24"/>
        <v>CH4</v>
      </c>
      <c r="L58" s="21">
        <v>2.2000000000000001E-3</v>
      </c>
      <c r="M58" t="s">
        <v>144</v>
      </c>
      <c r="N58" s="22">
        <f t="shared" si="2"/>
        <v>5.1097566649606857E-5</v>
      </c>
      <c r="P58" t="str">
        <f t="shared" si="25"/>
        <v>Manure management</v>
      </c>
      <c r="Q58" t="str">
        <f t="shared" si="26"/>
        <v>N2O</v>
      </c>
      <c r="R58" s="21">
        <v>23.701274999999999</v>
      </c>
      <c r="S58" t="s">
        <v>311</v>
      </c>
      <c r="T58" s="22">
        <f t="shared" si="3"/>
        <v>0.55048976317870935</v>
      </c>
    </row>
    <row r="59" spans="1:20" x14ac:dyDescent="0.25">
      <c r="A59" s="14" t="s">
        <v>208</v>
      </c>
      <c r="B59" t="str">
        <f t="shared" si="21"/>
        <v>Enteric fermentation</v>
      </c>
      <c r="C59" t="str">
        <f t="shared" si="22"/>
        <v>CH4</v>
      </c>
      <c r="D59" s="21">
        <v>14.8</v>
      </c>
      <c r="E59" t="s">
        <v>144</v>
      </c>
      <c r="F59" s="21">
        <v>83200</v>
      </c>
      <c r="G59" s="22">
        <f t="shared" si="27"/>
        <v>3.8710277764853673E-3</v>
      </c>
      <c r="H59" s="22">
        <f t="shared" si="18"/>
        <v>5.7291211091983436E-2</v>
      </c>
      <c r="J59" t="str">
        <f t="shared" si="23"/>
        <v>Manure management</v>
      </c>
      <c r="K59" t="str">
        <f t="shared" si="24"/>
        <v>CH4</v>
      </c>
      <c r="L59" s="21">
        <v>4.1999999999999997E-3</v>
      </c>
      <c r="M59" t="s">
        <v>144</v>
      </c>
      <c r="N59" s="22">
        <f t="shared" si="2"/>
        <v>1.6258316661238541E-5</v>
      </c>
      <c r="P59" t="str">
        <f t="shared" si="25"/>
        <v>Manure management</v>
      </c>
      <c r="Q59" t="str">
        <f t="shared" si="26"/>
        <v>N2O</v>
      </c>
      <c r="R59" s="21">
        <v>41.979014999999997</v>
      </c>
      <c r="S59" t="s">
        <v>311</v>
      </c>
      <c r="T59" s="22">
        <f t="shared" si="3"/>
        <v>0.16250193309449587</v>
      </c>
    </row>
    <row r="60" spans="1:20" x14ac:dyDescent="0.25">
      <c r="A60" s="14" t="s">
        <v>209</v>
      </c>
      <c r="B60" t="str">
        <f t="shared" si="21"/>
        <v>Enteric fermentation</v>
      </c>
      <c r="C60" t="str">
        <f t="shared" si="22"/>
        <v>CH4</v>
      </c>
      <c r="D60" s="21">
        <v>5.27</v>
      </c>
      <c r="E60" t="s">
        <v>144</v>
      </c>
      <c r="F60" s="21">
        <v>1570.0475704490825</v>
      </c>
      <c r="G60" s="22">
        <f>F60/SUM($F$60:$F$83)</f>
        <v>5.2342623179639871E-4</v>
      </c>
      <c r="H60" s="22">
        <f t="shared" si="18"/>
        <v>2.758456241567021E-3</v>
      </c>
      <c r="J60" t="str">
        <f t="shared" si="23"/>
        <v>Manure management</v>
      </c>
      <c r="K60" t="str">
        <f t="shared" si="24"/>
        <v>CH4</v>
      </c>
      <c r="L60" s="21">
        <v>1.5E-3</v>
      </c>
      <c r="M60" t="s">
        <v>144</v>
      </c>
      <c r="N60" s="22">
        <f t="shared" si="2"/>
        <v>7.8513934769459805E-7</v>
      </c>
      <c r="P60" t="str">
        <f t="shared" si="25"/>
        <v>Manure management</v>
      </c>
      <c r="Q60" t="str">
        <f t="shared" si="26"/>
        <v>N2O</v>
      </c>
      <c r="R60" s="21">
        <v>16.398719999999997</v>
      </c>
      <c r="S60" t="s">
        <v>311</v>
      </c>
      <c r="T60" s="22">
        <f t="shared" si="3"/>
        <v>8.5835202158842383E-3</v>
      </c>
    </row>
    <row r="61" spans="1:20" x14ac:dyDescent="0.25">
      <c r="A61" s="14" t="s">
        <v>210</v>
      </c>
      <c r="B61" t="str">
        <f t="shared" si="21"/>
        <v>Enteric fermentation</v>
      </c>
      <c r="C61" t="str">
        <f t="shared" si="22"/>
        <v>CH4</v>
      </c>
      <c r="D61" s="21">
        <v>7.62</v>
      </c>
      <c r="E61" t="s">
        <v>144</v>
      </c>
      <c r="F61" s="21">
        <v>34.88994600997961</v>
      </c>
      <c r="G61" s="22">
        <f t="shared" ref="G61:G83" si="28">F61/SUM($F$60:$F$83)</f>
        <v>1.1631694039919973E-5</v>
      </c>
      <c r="H61" s="22">
        <f t="shared" si="18"/>
        <v>8.8633508584190187E-5</v>
      </c>
      <c r="J61" t="str">
        <f t="shared" si="23"/>
        <v>Manure management</v>
      </c>
      <c r="K61" t="str">
        <f t="shared" si="24"/>
        <v>CH4</v>
      </c>
      <c r="L61" s="21">
        <v>2.2000000000000001E-3</v>
      </c>
      <c r="M61" t="s">
        <v>144</v>
      </c>
      <c r="N61" s="22">
        <f t="shared" si="2"/>
        <v>2.5589726887823941E-8</v>
      </c>
      <c r="P61" t="str">
        <f t="shared" si="25"/>
        <v>Manure management</v>
      </c>
      <c r="Q61" t="str">
        <f t="shared" si="26"/>
        <v>N2O</v>
      </c>
      <c r="R61" s="21">
        <v>24.768900000000002</v>
      </c>
      <c r="S61" t="s">
        <v>311</v>
      </c>
      <c r="T61" s="22">
        <f t="shared" si="3"/>
        <v>2.8810426650537383E-4</v>
      </c>
    </row>
    <row r="62" spans="1:20" x14ac:dyDescent="0.25">
      <c r="A62" s="14" t="s">
        <v>211</v>
      </c>
      <c r="B62" t="str">
        <f t="shared" si="21"/>
        <v>Enteric fermentation</v>
      </c>
      <c r="C62" t="str">
        <f t="shared" si="22"/>
        <v>CH4</v>
      </c>
      <c r="D62" s="21">
        <v>2.76</v>
      </c>
      <c r="E62" t="s">
        <v>144</v>
      </c>
      <c r="F62" s="21">
        <v>837.35870423951064</v>
      </c>
      <c r="G62" s="22">
        <f t="shared" si="28"/>
        <v>2.7916065695807933E-4</v>
      </c>
      <c r="H62" s="22">
        <f t="shared" si="18"/>
        <v>7.7048341320429888E-4</v>
      </c>
      <c r="J62" t="str">
        <f t="shared" si="23"/>
        <v>Manure management</v>
      </c>
      <c r="K62" t="str">
        <f t="shared" si="24"/>
        <v>CH4</v>
      </c>
      <c r="L62" s="21">
        <v>6.9999999999999999E-4</v>
      </c>
      <c r="M62" t="s">
        <v>144</v>
      </c>
      <c r="N62" s="22">
        <f t="shared" si="2"/>
        <v>1.9541245987065553E-7</v>
      </c>
      <c r="P62" t="str">
        <f t="shared" si="25"/>
        <v>Manure management</v>
      </c>
      <c r="Q62" t="str">
        <f t="shared" si="26"/>
        <v>N2O</v>
      </c>
      <c r="R62" s="21">
        <v>7.6868999999999996</v>
      </c>
      <c r="S62" t="s">
        <v>311</v>
      </c>
      <c r="T62" s="22">
        <f t="shared" si="3"/>
        <v>2.14588005397106E-3</v>
      </c>
    </row>
    <row r="63" spans="1:20" x14ac:dyDescent="0.25">
      <c r="A63" s="14" t="s">
        <v>212</v>
      </c>
      <c r="B63" t="str">
        <f t="shared" si="21"/>
        <v>Enteric fermentation</v>
      </c>
      <c r="C63" t="str">
        <f t="shared" si="22"/>
        <v>CH4</v>
      </c>
      <c r="D63" s="21">
        <v>3.76</v>
      </c>
      <c r="E63" t="s">
        <v>144</v>
      </c>
      <c r="F63" s="21">
        <v>558.23913615967376</v>
      </c>
      <c r="G63" s="22">
        <f t="shared" si="28"/>
        <v>1.8610710463871956E-4</v>
      </c>
      <c r="H63" s="22">
        <f t="shared" si="18"/>
        <v>6.9976271344158547E-4</v>
      </c>
      <c r="J63" t="str">
        <f t="shared" si="23"/>
        <v>Manure management</v>
      </c>
      <c r="K63" t="str">
        <f t="shared" si="24"/>
        <v>CH4</v>
      </c>
      <c r="L63" s="21">
        <v>1E-3</v>
      </c>
      <c r="M63" t="s">
        <v>144</v>
      </c>
      <c r="N63" s="22">
        <f t="shared" si="2"/>
        <v>1.8610710463871956E-7</v>
      </c>
      <c r="P63" t="str">
        <f t="shared" si="25"/>
        <v>Manure management</v>
      </c>
      <c r="Q63" t="str">
        <f t="shared" si="26"/>
        <v>N2O</v>
      </c>
      <c r="R63" s="21">
        <v>11.444940000000001</v>
      </c>
      <c r="S63" t="s">
        <v>311</v>
      </c>
      <c r="T63" s="22">
        <f t="shared" si="3"/>
        <v>2.1299846461638673E-3</v>
      </c>
    </row>
    <row r="64" spans="1:20" x14ac:dyDescent="0.25">
      <c r="A64" s="14" t="s">
        <v>213</v>
      </c>
      <c r="B64" t="str">
        <f t="shared" si="21"/>
        <v>Enteric fermentation</v>
      </c>
      <c r="C64" t="str">
        <f t="shared" si="22"/>
        <v>CH4</v>
      </c>
      <c r="D64" s="21">
        <v>4.4000000000000004</v>
      </c>
      <c r="E64" t="s">
        <v>144</v>
      </c>
      <c r="F64" s="21">
        <v>418.67935211975532</v>
      </c>
      <c r="G64" s="22">
        <f t="shared" si="28"/>
        <v>1.3958032847903967E-4</v>
      </c>
      <c r="H64" s="22">
        <f t="shared" si="18"/>
        <v>6.1415344530777458E-4</v>
      </c>
      <c r="J64" t="str">
        <f t="shared" si="23"/>
        <v>Manure management</v>
      </c>
      <c r="K64" t="str">
        <f t="shared" si="24"/>
        <v>CH4</v>
      </c>
      <c r="L64" s="21">
        <v>1.1999999999999999E-3</v>
      </c>
      <c r="M64" t="s">
        <v>144</v>
      </c>
      <c r="N64" s="22">
        <f t="shared" si="2"/>
        <v>1.6749639417484759E-7</v>
      </c>
      <c r="P64" t="str">
        <f t="shared" si="25"/>
        <v>Manure management</v>
      </c>
      <c r="Q64" t="str">
        <f t="shared" si="26"/>
        <v>N2O</v>
      </c>
      <c r="R64" s="21">
        <v>13.836419999999999</v>
      </c>
      <c r="S64" t="s">
        <v>311</v>
      </c>
      <c r="T64" s="22">
        <f t="shared" si="3"/>
        <v>1.9312920485739537E-3</v>
      </c>
    </row>
    <row r="65" spans="1:20" x14ac:dyDescent="0.25">
      <c r="A65" s="14" t="s">
        <v>214</v>
      </c>
      <c r="B65" t="str">
        <f t="shared" si="21"/>
        <v>Enteric fermentation</v>
      </c>
      <c r="C65" t="str">
        <f t="shared" si="22"/>
        <v>CH4</v>
      </c>
      <c r="D65" s="21">
        <v>5.6</v>
      </c>
      <c r="E65" t="s">
        <v>144</v>
      </c>
      <c r="F65" s="21">
        <v>69.77989201995922</v>
      </c>
      <c r="G65" s="22">
        <f t="shared" si="28"/>
        <v>2.3263388079839945E-5</v>
      </c>
      <c r="H65" s="22">
        <f t="shared" si="18"/>
        <v>1.302749732471037E-4</v>
      </c>
      <c r="J65" t="str">
        <f t="shared" si="23"/>
        <v>Manure management</v>
      </c>
      <c r="K65" t="str">
        <f t="shared" si="24"/>
        <v>CH4</v>
      </c>
      <c r="L65" s="21">
        <v>1.6000000000000001E-3</v>
      </c>
      <c r="M65" t="s">
        <v>144</v>
      </c>
      <c r="N65" s="22">
        <f t="shared" si="2"/>
        <v>3.7221420927743912E-8</v>
      </c>
      <c r="P65" t="str">
        <f t="shared" si="25"/>
        <v>Manure management</v>
      </c>
      <c r="Q65" t="str">
        <f t="shared" si="26"/>
        <v>N2O</v>
      </c>
      <c r="R65" s="21">
        <v>18.106919999999999</v>
      </c>
      <c r="S65" t="s">
        <v>311</v>
      </c>
      <c r="T65" s="22">
        <f t="shared" si="3"/>
        <v>4.2122830689061546E-4</v>
      </c>
    </row>
    <row r="66" spans="1:20" x14ac:dyDescent="0.25">
      <c r="A66" s="14" t="s">
        <v>215</v>
      </c>
      <c r="B66" t="str">
        <f t="shared" si="21"/>
        <v>Enteric fermentation</v>
      </c>
      <c r="C66" t="str">
        <f t="shared" si="22"/>
        <v>CH4</v>
      </c>
      <c r="D66" s="21">
        <v>5.79</v>
      </c>
      <c r="E66" t="s">
        <v>144</v>
      </c>
      <c r="F66" s="21">
        <v>706584.20860490517</v>
      </c>
      <c r="G66" s="22">
        <f t="shared" si="28"/>
        <v>0.23556274135765132</v>
      </c>
      <c r="H66" s="22">
        <f t="shared" si="18"/>
        <v>1.3639082724608012</v>
      </c>
      <c r="J66" t="str">
        <f t="shared" si="23"/>
        <v>Manure management</v>
      </c>
      <c r="K66" t="str">
        <f t="shared" si="24"/>
        <v>CH4</v>
      </c>
      <c r="L66" s="21">
        <v>1.6999999999999999E-3</v>
      </c>
      <c r="M66" t="s">
        <v>144</v>
      </c>
      <c r="N66" s="22">
        <f t="shared" si="2"/>
        <v>4.0045666030800721E-4</v>
      </c>
      <c r="P66" t="str">
        <f t="shared" si="25"/>
        <v>Manure management</v>
      </c>
      <c r="Q66" t="str">
        <f t="shared" si="26"/>
        <v>N2O</v>
      </c>
      <c r="R66" s="21">
        <v>17.978804999999998</v>
      </c>
      <c r="S66" t="s">
        <v>311</v>
      </c>
      <c r="T66" s="22">
        <f t="shared" si="3"/>
        <v>4.2351365921346478</v>
      </c>
    </row>
    <row r="67" spans="1:20" x14ac:dyDescent="0.25">
      <c r="A67" s="14" t="s">
        <v>216</v>
      </c>
      <c r="B67" t="str">
        <f t="shared" si="21"/>
        <v>Enteric fermentation</v>
      </c>
      <c r="C67" t="str">
        <f t="shared" si="22"/>
        <v>CH4</v>
      </c>
      <c r="D67" s="21">
        <v>10.5</v>
      </c>
      <c r="E67" t="s">
        <v>144</v>
      </c>
      <c r="F67" s="21">
        <v>15701.871302331225</v>
      </c>
      <c r="G67" s="22">
        <f t="shared" si="28"/>
        <v>5.234727585725585E-3</v>
      </c>
      <c r="H67" s="22">
        <f t="shared" si="18"/>
        <v>5.4964639650118642E-2</v>
      </c>
      <c r="J67" t="str">
        <f t="shared" si="23"/>
        <v>Manure management</v>
      </c>
      <c r="K67" t="str">
        <f t="shared" si="24"/>
        <v>CH4</v>
      </c>
      <c r="L67" s="21">
        <v>3.2000000000000002E-3</v>
      </c>
      <c r="M67" t="s">
        <v>144</v>
      </c>
      <c r="N67" s="22">
        <f t="shared" si="2"/>
        <v>1.6751128274321872E-5</v>
      </c>
      <c r="P67" t="str">
        <f t="shared" si="25"/>
        <v>Manure management</v>
      </c>
      <c r="Q67" t="str">
        <f t="shared" si="26"/>
        <v>N2O</v>
      </c>
      <c r="R67" s="21">
        <v>33.309899999999999</v>
      </c>
      <c r="S67" t="s">
        <v>311</v>
      </c>
      <c r="T67" s="22">
        <f t="shared" si="3"/>
        <v>0.17436825240776066</v>
      </c>
    </row>
    <row r="68" spans="1:20" x14ac:dyDescent="0.25">
      <c r="A68" s="14" t="s">
        <v>217</v>
      </c>
      <c r="B68" t="str">
        <f t="shared" si="21"/>
        <v>Enteric fermentation</v>
      </c>
      <c r="C68" t="str">
        <f t="shared" si="22"/>
        <v>CH4</v>
      </c>
      <c r="D68" s="21">
        <v>2.76</v>
      </c>
      <c r="E68" t="s">
        <v>144</v>
      </c>
      <c r="F68" s="21">
        <v>376844.91125594941</v>
      </c>
      <c r="G68" s="22">
        <f t="shared" si="28"/>
        <v>0.12563346205741405</v>
      </c>
      <c r="H68" s="22">
        <f t="shared" si="18"/>
        <v>0.34674835527846276</v>
      </c>
      <c r="J68" t="str">
        <f t="shared" si="23"/>
        <v>Manure management</v>
      </c>
      <c r="K68" t="str">
        <f t="shared" si="24"/>
        <v>CH4</v>
      </c>
      <c r="L68" s="21">
        <v>6.9999999999999999E-4</v>
      </c>
      <c r="M68" t="s">
        <v>144</v>
      </c>
      <c r="N68" s="22">
        <f t="shared" si="2"/>
        <v>8.7943423440189835E-5</v>
      </c>
      <c r="P68" t="str">
        <f t="shared" si="25"/>
        <v>Manure management</v>
      </c>
      <c r="Q68" t="str">
        <f t="shared" si="26"/>
        <v>N2O</v>
      </c>
      <c r="R68" s="21">
        <v>7.6868999999999996</v>
      </c>
      <c r="S68" t="s">
        <v>311</v>
      </c>
      <c r="T68" s="22">
        <f t="shared" si="3"/>
        <v>0.96573185948913598</v>
      </c>
    </row>
    <row r="69" spans="1:20" x14ac:dyDescent="0.25">
      <c r="A69" s="14" t="s">
        <v>218</v>
      </c>
      <c r="B69" t="str">
        <f t="shared" si="21"/>
        <v>Enteric fermentation</v>
      </c>
      <c r="C69" t="str">
        <f t="shared" si="22"/>
        <v>CH4</v>
      </c>
      <c r="D69" s="21">
        <v>4.12</v>
      </c>
      <c r="E69" t="s">
        <v>144</v>
      </c>
      <c r="F69" s="21">
        <v>251229.9408372996</v>
      </c>
      <c r="G69" s="22">
        <f t="shared" si="28"/>
        <v>8.375564137160936E-2</v>
      </c>
      <c r="H69" s="22">
        <f t="shared" si="18"/>
        <v>0.34507324245103055</v>
      </c>
      <c r="J69" t="str">
        <f t="shared" si="23"/>
        <v>Manure management</v>
      </c>
      <c r="K69" t="str">
        <f t="shared" si="24"/>
        <v>CH4</v>
      </c>
      <c r="L69" s="21">
        <v>1.1000000000000001E-3</v>
      </c>
      <c r="M69" t="s">
        <v>144</v>
      </c>
      <c r="N69" s="22">
        <f t="shared" si="2"/>
        <v>9.2131205508770296E-5</v>
      </c>
      <c r="P69" t="str">
        <f t="shared" si="25"/>
        <v>Manure management</v>
      </c>
      <c r="Q69" t="str">
        <f t="shared" si="26"/>
        <v>N2O</v>
      </c>
      <c r="R69" s="21">
        <v>12.811500000000001</v>
      </c>
      <c r="S69" t="s">
        <v>311</v>
      </c>
      <c r="T69" s="22">
        <f t="shared" si="3"/>
        <v>1.0730353994323734</v>
      </c>
    </row>
    <row r="70" spans="1:20" x14ac:dyDescent="0.25">
      <c r="A70" s="14" t="s">
        <v>219</v>
      </c>
      <c r="B70" t="str">
        <f t="shared" si="21"/>
        <v>Enteric fermentation</v>
      </c>
      <c r="C70" t="str">
        <f t="shared" si="22"/>
        <v>CH4</v>
      </c>
      <c r="D70" s="21">
        <v>4.59</v>
      </c>
      <c r="E70" t="s">
        <v>144</v>
      </c>
      <c r="F70" s="21">
        <v>188422.4556279747</v>
      </c>
      <c r="G70" s="22">
        <f t="shared" si="28"/>
        <v>6.2816731028707024E-2</v>
      </c>
      <c r="H70" s="22">
        <f t="shared" si="18"/>
        <v>0.2883287954217652</v>
      </c>
      <c r="J70" t="str">
        <f t="shared" si="23"/>
        <v>Manure management</v>
      </c>
      <c r="K70" t="str">
        <f t="shared" si="24"/>
        <v>CH4</v>
      </c>
      <c r="L70" s="21">
        <v>1.2999999999999999E-3</v>
      </c>
      <c r="M70" t="s">
        <v>144</v>
      </c>
      <c r="N70" s="22">
        <f t="shared" ref="N70:N108" si="29">L70*G70</f>
        <v>8.1661750337319122E-5</v>
      </c>
      <c r="P70" t="str">
        <f t="shared" si="25"/>
        <v>Manure management</v>
      </c>
      <c r="Q70" t="str">
        <f t="shared" si="26"/>
        <v>N2O</v>
      </c>
      <c r="R70" s="21">
        <v>14.5197</v>
      </c>
      <c r="S70" t="s">
        <v>311</v>
      </c>
      <c r="T70" s="22">
        <f t="shared" ref="T70:T83" si="30">R70*G70</f>
        <v>0.9120800895175174</v>
      </c>
    </row>
    <row r="71" spans="1:20" x14ac:dyDescent="0.25">
      <c r="A71" s="14" t="s">
        <v>220</v>
      </c>
      <c r="B71" t="str">
        <f t="shared" si="21"/>
        <v>Enteric fermentation</v>
      </c>
      <c r="C71" t="str">
        <f t="shared" si="22"/>
        <v>CH4</v>
      </c>
      <c r="D71" s="21">
        <v>8.25</v>
      </c>
      <c r="E71" t="s">
        <v>144</v>
      </c>
      <c r="F71" s="21">
        <v>31403.74260466245</v>
      </c>
      <c r="G71" s="22">
        <f t="shared" si="28"/>
        <v>1.046945517145117E-2</v>
      </c>
      <c r="H71" s="22">
        <f t="shared" si="18"/>
        <v>8.6373005164472147E-2</v>
      </c>
      <c r="J71" t="str">
        <f t="shared" si="23"/>
        <v>Manure management</v>
      </c>
      <c r="K71" t="str">
        <f t="shared" si="24"/>
        <v>CH4</v>
      </c>
      <c r="L71" s="21">
        <v>2.5000000000000001E-3</v>
      </c>
      <c r="M71" t="s">
        <v>144</v>
      </c>
      <c r="N71" s="22">
        <f t="shared" si="29"/>
        <v>2.6173637928627927E-5</v>
      </c>
      <c r="P71" t="str">
        <f t="shared" si="25"/>
        <v>Manure management</v>
      </c>
      <c r="Q71" t="str">
        <f t="shared" si="26"/>
        <v>N2O</v>
      </c>
      <c r="R71" s="21">
        <v>26.733330000000002</v>
      </c>
      <c r="S71" t="s">
        <v>311</v>
      </c>
      <c r="T71" s="22">
        <f t="shared" si="30"/>
        <v>0.27988340001861073</v>
      </c>
    </row>
    <row r="72" spans="1:20" x14ac:dyDescent="0.25">
      <c r="A72" s="14" t="s">
        <v>221</v>
      </c>
      <c r="B72" t="str">
        <f t="shared" si="21"/>
        <v>Enteric fermentation</v>
      </c>
      <c r="C72" t="str">
        <f t="shared" si="22"/>
        <v>CH4</v>
      </c>
      <c r="D72" s="21">
        <v>6.83</v>
      </c>
      <c r="E72" t="s">
        <v>144</v>
      </c>
      <c r="F72" s="21">
        <v>380391.12536840374</v>
      </c>
      <c r="G72" s="22">
        <f t="shared" si="28"/>
        <v>0.1268157074396315</v>
      </c>
      <c r="H72" s="22">
        <f t="shared" si="18"/>
        <v>0.86615128181268308</v>
      </c>
      <c r="J72" t="str">
        <f t="shared" si="23"/>
        <v>Manure management</v>
      </c>
      <c r="K72" t="str">
        <f t="shared" si="24"/>
        <v>CH4</v>
      </c>
      <c r="L72" s="21">
        <v>2E-3</v>
      </c>
      <c r="M72" t="s">
        <v>144</v>
      </c>
      <c r="N72" s="22">
        <f t="shared" si="29"/>
        <v>2.5363141487926298E-4</v>
      </c>
      <c r="P72" t="str">
        <f t="shared" si="25"/>
        <v>Manure management</v>
      </c>
      <c r="Q72" t="str">
        <f t="shared" si="26"/>
        <v>N2O</v>
      </c>
      <c r="R72" s="21">
        <v>21.480614999999997</v>
      </c>
      <c r="S72" t="s">
        <v>311</v>
      </c>
      <c r="T72" s="22">
        <f t="shared" si="30"/>
        <v>2.7240793874633593</v>
      </c>
    </row>
    <row r="73" spans="1:20" x14ac:dyDescent="0.25">
      <c r="A73" s="14" t="s">
        <v>222</v>
      </c>
      <c r="B73" t="str">
        <f t="shared" si="21"/>
        <v>Enteric fermentation</v>
      </c>
      <c r="C73" t="str">
        <f t="shared" si="22"/>
        <v>CH4</v>
      </c>
      <c r="D73" s="21">
        <v>10.5</v>
      </c>
      <c r="E73" t="s">
        <v>144</v>
      </c>
      <c r="F73" s="21">
        <v>8453.1361192978602</v>
      </c>
      <c r="G73" s="22">
        <f t="shared" si="28"/>
        <v>2.8181268319918107E-3</v>
      </c>
      <c r="H73" s="22">
        <f t="shared" si="18"/>
        <v>2.9590331735914011E-2</v>
      </c>
      <c r="J73" t="str">
        <f t="shared" si="23"/>
        <v>Manure management</v>
      </c>
      <c r="K73" t="str">
        <f t="shared" si="24"/>
        <v>CH4</v>
      </c>
      <c r="L73" s="21">
        <v>3.2000000000000002E-3</v>
      </c>
      <c r="M73" t="s">
        <v>144</v>
      </c>
      <c r="N73" s="22">
        <f t="shared" si="29"/>
        <v>9.0180058623737941E-6</v>
      </c>
      <c r="P73" t="str">
        <f t="shared" si="25"/>
        <v>Manure management</v>
      </c>
      <c r="Q73" t="str">
        <f t="shared" si="26"/>
        <v>N2O</v>
      </c>
      <c r="R73" s="21">
        <v>33.352604999999997</v>
      </c>
      <c r="S73" t="s">
        <v>311</v>
      </c>
      <c r="T73" s="22">
        <f t="shared" si="30"/>
        <v>9.399187106732422E-2</v>
      </c>
    </row>
    <row r="74" spans="1:20" x14ac:dyDescent="0.25">
      <c r="A74" s="14" t="s">
        <v>223</v>
      </c>
      <c r="B74" t="str">
        <f t="shared" si="21"/>
        <v>Enteric fermentation</v>
      </c>
      <c r="C74" t="str">
        <f t="shared" si="22"/>
        <v>CH4</v>
      </c>
      <c r="D74" s="21">
        <v>2.76</v>
      </c>
      <c r="E74" t="s">
        <v>144</v>
      </c>
      <c r="F74" s="21">
        <v>202875.26686314863</v>
      </c>
      <c r="G74" s="22">
        <f t="shared" si="28"/>
        <v>6.7635043967803454E-2</v>
      </c>
      <c r="H74" s="22">
        <f t="shared" si="18"/>
        <v>0.18667272135113752</v>
      </c>
      <c r="J74" t="str">
        <f t="shared" si="23"/>
        <v>Manure management</v>
      </c>
      <c r="K74" t="str">
        <f t="shared" si="24"/>
        <v>CH4</v>
      </c>
      <c r="L74" s="21">
        <v>6.9999999999999999E-4</v>
      </c>
      <c r="M74" t="s">
        <v>144</v>
      </c>
      <c r="N74" s="22">
        <f t="shared" si="29"/>
        <v>4.734453077746242E-5</v>
      </c>
      <c r="P74" t="str">
        <f t="shared" si="25"/>
        <v>Manure management</v>
      </c>
      <c r="Q74" t="str">
        <f t="shared" si="26"/>
        <v>N2O</v>
      </c>
      <c r="R74" s="21">
        <v>7.6868999999999996</v>
      </c>
      <c r="S74" t="s">
        <v>311</v>
      </c>
      <c r="T74" s="22">
        <f t="shared" si="30"/>
        <v>0.51990381947610831</v>
      </c>
    </row>
    <row r="75" spans="1:20" x14ac:dyDescent="0.25">
      <c r="A75" s="14" t="s">
        <v>224</v>
      </c>
      <c r="B75" t="str">
        <f t="shared" si="21"/>
        <v>Enteric fermentation</v>
      </c>
      <c r="C75" t="str">
        <f t="shared" si="22"/>
        <v>CH4</v>
      </c>
      <c r="D75" s="21">
        <v>4.12</v>
      </c>
      <c r="E75" t="s">
        <v>144</v>
      </c>
      <c r="F75" s="21">
        <v>135250.17790876576</v>
      </c>
      <c r="G75" s="22">
        <f t="shared" si="28"/>
        <v>4.5090029311868972E-2</v>
      </c>
      <c r="H75" s="22">
        <f t="shared" si="18"/>
        <v>0.18577092076490018</v>
      </c>
      <c r="J75" t="str">
        <f t="shared" si="23"/>
        <v>Manure management</v>
      </c>
      <c r="K75" t="str">
        <f t="shared" si="24"/>
        <v>CH4</v>
      </c>
      <c r="L75" s="21">
        <v>1.1000000000000001E-3</v>
      </c>
      <c r="M75" t="s">
        <v>144</v>
      </c>
      <c r="N75" s="22">
        <f t="shared" si="29"/>
        <v>4.9599032243055872E-5</v>
      </c>
      <c r="P75" t="str">
        <f t="shared" si="25"/>
        <v>Manure management</v>
      </c>
      <c r="Q75" t="str">
        <f t="shared" si="26"/>
        <v>N2O</v>
      </c>
      <c r="R75" s="21">
        <v>12.811500000000001</v>
      </c>
      <c r="S75" t="s">
        <v>311</v>
      </c>
      <c r="T75" s="22">
        <f t="shared" si="30"/>
        <v>0.57767091052900932</v>
      </c>
    </row>
    <row r="76" spans="1:20" x14ac:dyDescent="0.25">
      <c r="A76" s="14" t="s">
        <v>225</v>
      </c>
      <c r="B76" t="str">
        <f t="shared" si="21"/>
        <v>Enteric fermentation</v>
      </c>
      <c r="C76" t="str">
        <f t="shared" si="22"/>
        <v>CH4</v>
      </c>
      <c r="D76" s="21">
        <v>5.07</v>
      </c>
      <c r="E76" t="s">
        <v>144</v>
      </c>
      <c r="F76" s="21">
        <v>101437.63343157432</v>
      </c>
      <c r="G76" s="22">
        <f t="shared" si="28"/>
        <v>3.3817521983901727E-2</v>
      </c>
      <c r="H76" s="22">
        <f t="shared" si="18"/>
        <v>0.17145483645838178</v>
      </c>
      <c r="J76" t="str">
        <f t="shared" si="23"/>
        <v>Manure management</v>
      </c>
      <c r="K76" t="str">
        <f t="shared" si="24"/>
        <v>CH4</v>
      </c>
      <c r="L76" s="21">
        <v>1.4E-3</v>
      </c>
      <c r="M76" t="s">
        <v>144</v>
      </c>
      <c r="N76" s="22">
        <f t="shared" si="29"/>
        <v>4.734453077746242E-5</v>
      </c>
      <c r="P76" t="str">
        <f t="shared" si="25"/>
        <v>Manure management</v>
      </c>
      <c r="Q76" t="str">
        <f t="shared" si="26"/>
        <v>N2O</v>
      </c>
      <c r="R76" s="21">
        <v>16.227899999999998</v>
      </c>
      <c r="S76" t="s">
        <v>311</v>
      </c>
      <c r="T76" s="22">
        <f t="shared" si="30"/>
        <v>0.54878736500255876</v>
      </c>
    </row>
    <row r="77" spans="1:20" x14ac:dyDescent="0.25">
      <c r="A77" s="14" t="s">
        <v>226</v>
      </c>
      <c r="B77" t="str">
        <f t="shared" si="21"/>
        <v>Enteric fermentation</v>
      </c>
      <c r="C77" t="str">
        <f t="shared" si="22"/>
        <v>CH4</v>
      </c>
      <c r="D77" s="21">
        <v>6.94</v>
      </c>
      <c r="E77" t="s">
        <v>144</v>
      </c>
      <c r="F77" s="21">
        <v>16906.27223859572</v>
      </c>
      <c r="G77" s="22">
        <f t="shared" si="28"/>
        <v>5.6362536639836215E-3</v>
      </c>
      <c r="H77" s="22">
        <f t="shared" ref="H77:H108" si="31">D77*G77</f>
        <v>3.9115600428046335E-2</v>
      </c>
      <c r="J77" t="str">
        <f t="shared" si="23"/>
        <v>Manure management</v>
      </c>
      <c r="K77" t="str">
        <f t="shared" si="24"/>
        <v>CH4</v>
      </c>
      <c r="L77" s="21">
        <v>2.0999999999999999E-3</v>
      </c>
      <c r="M77" t="s">
        <v>144</v>
      </c>
      <c r="N77" s="22">
        <f t="shared" si="29"/>
        <v>1.1836132694365605E-5</v>
      </c>
      <c r="P77" t="str">
        <f t="shared" si="25"/>
        <v>Manure management</v>
      </c>
      <c r="Q77" t="str">
        <f t="shared" si="26"/>
        <v>N2O</v>
      </c>
      <c r="R77" s="21">
        <v>23.188814999999998</v>
      </c>
      <c r="S77" t="s">
        <v>311</v>
      </c>
      <c r="T77" s="22">
        <f t="shared" si="30"/>
        <v>0.13069804350718836</v>
      </c>
    </row>
    <row r="78" spans="1:20" x14ac:dyDescent="0.25">
      <c r="A78" s="14" t="s">
        <v>227</v>
      </c>
      <c r="B78" t="str">
        <f t="shared" si="21"/>
        <v>Enteric fermentation</v>
      </c>
      <c r="C78" t="str">
        <f t="shared" si="22"/>
        <v>CH4</v>
      </c>
      <c r="D78" s="21">
        <v>7.4</v>
      </c>
      <c r="E78" t="s">
        <v>144</v>
      </c>
      <c r="F78" s="21">
        <v>261255.91572272734</v>
      </c>
      <c r="G78" s="22">
        <f t="shared" si="28"/>
        <v>8.7098124970920759E-2</v>
      </c>
      <c r="H78" s="22">
        <f t="shared" si="31"/>
        <v>0.64452612478481364</v>
      </c>
      <c r="J78" t="str">
        <f t="shared" si="23"/>
        <v>Manure management</v>
      </c>
      <c r="K78" t="str">
        <f t="shared" si="24"/>
        <v>CH4</v>
      </c>
      <c r="L78" s="21">
        <v>2.2000000000000001E-3</v>
      </c>
      <c r="M78" t="s">
        <v>144</v>
      </c>
      <c r="N78" s="22">
        <f t="shared" si="29"/>
        <v>1.9161587493602569E-4</v>
      </c>
      <c r="P78" t="str">
        <f t="shared" si="25"/>
        <v>Manure management</v>
      </c>
      <c r="Q78" t="str">
        <f t="shared" si="26"/>
        <v>N2O</v>
      </c>
      <c r="R78" s="21">
        <v>23.274225000000001</v>
      </c>
      <c r="S78" t="s">
        <v>311</v>
      </c>
      <c r="T78" s="22">
        <f t="shared" si="30"/>
        <v>2.0271413576513284</v>
      </c>
    </row>
    <row r="79" spans="1:20" x14ac:dyDescent="0.25">
      <c r="A79" s="14" t="s">
        <v>228</v>
      </c>
      <c r="B79" t="str">
        <f t="shared" si="21"/>
        <v>Enteric fermentation</v>
      </c>
      <c r="C79" t="str">
        <f t="shared" si="22"/>
        <v>CH4</v>
      </c>
      <c r="D79" s="21">
        <v>15</v>
      </c>
      <c r="E79" t="s">
        <v>144</v>
      </c>
      <c r="F79" s="21">
        <v>5805.6870160606077</v>
      </c>
      <c r="G79" s="22">
        <f t="shared" si="28"/>
        <v>1.9355138882426836E-3</v>
      </c>
      <c r="H79" s="22">
        <f t="shared" si="31"/>
        <v>2.9032708323640254E-2</v>
      </c>
      <c r="J79" t="str">
        <f t="shared" si="23"/>
        <v>Manure management</v>
      </c>
      <c r="K79" t="str">
        <f t="shared" si="24"/>
        <v>CH4</v>
      </c>
      <c r="L79" s="21">
        <v>5.0000000000000001E-3</v>
      </c>
      <c r="M79" t="s">
        <v>144</v>
      </c>
      <c r="N79" s="22">
        <f t="shared" si="29"/>
        <v>9.6775694412134183E-6</v>
      </c>
      <c r="P79" t="str">
        <f t="shared" si="25"/>
        <v>Manure management</v>
      </c>
      <c r="Q79" t="str">
        <f t="shared" si="26"/>
        <v>N2O</v>
      </c>
      <c r="R79" s="21">
        <v>46.97549999999999</v>
      </c>
      <c r="S79" t="s">
        <v>311</v>
      </c>
      <c r="T79" s="22">
        <f t="shared" si="30"/>
        <v>9.0921732657144164E-2</v>
      </c>
    </row>
    <row r="80" spans="1:20" x14ac:dyDescent="0.25">
      <c r="A80" s="14" t="s">
        <v>229</v>
      </c>
      <c r="B80" t="str">
        <f t="shared" si="21"/>
        <v>Enteric fermentation</v>
      </c>
      <c r="C80" t="str">
        <f t="shared" si="22"/>
        <v>CH4</v>
      </c>
      <c r="D80" s="21">
        <v>2.76</v>
      </c>
      <c r="E80" t="s">
        <v>144</v>
      </c>
      <c r="F80" s="21">
        <v>139336.48838545458</v>
      </c>
      <c r="G80" s="22">
        <f t="shared" si="28"/>
        <v>4.6452333317824404E-2</v>
      </c>
      <c r="H80" s="22">
        <f t="shared" si="31"/>
        <v>0.12820843995719536</v>
      </c>
      <c r="J80" t="str">
        <f t="shared" si="23"/>
        <v>Manure management</v>
      </c>
      <c r="K80" t="str">
        <f t="shared" si="24"/>
        <v>CH4</v>
      </c>
      <c r="L80" s="21">
        <v>6.9999999999999999E-4</v>
      </c>
      <c r="M80" t="s">
        <v>144</v>
      </c>
      <c r="N80" s="22">
        <f t="shared" si="29"/>
        <v>3.2516633322477081E-5</v>
      </c>
      <c r="P80" t="str">
        <f t="shared" si="25"/>
        <v>Manure management</v>
      </c>
      <c r="Q80" t="str">
        <f t="shared" si="26"/>
        <v>N2O</v>
      </c>
      <c r="R80" s="21">
        <v>7.6868999999999996</v>
      </c>
      <c r="S80" t="s">
        <v>311</v>
      </c>
      <c r="T80" s="22">
        <f t="shared" si="30"/>
        <v>0.35707444098078439</v>
      </c>
    </row>
    <row r="81" spans="1:20" x14ac:dyDescent="0.25">
      <c r="A81" s="14" t="s">
        <v>230</v>
      </c>
      <c r="B81" t="str">
        <f t="shared" si="21"/>
        <v>Enteric fermentation</v>
      </c>
      <c r="C81" t="str">
        <f t="shared" si="22"/>
        <v>CH4</v>
      </c>
      <c r="D81" s="21">
        <v>3.55</v>
      </c>
      <c r="E81" t="s">
        <v>144</v>
      </c>
      <c r="F81" s="21">
        <v>92890.992256969723</v>
      </c>
      <c r="G81" s="22">
        <f t="shared" si="28"/>
        <v>3.0968222211882938E-2</v>
      </c>
      <c r="H81" s="22">
        <f t="shared" si="31"/>
        <v>0.10993718885218443</v>
      </c>
      <c r="J81" t="str">
        <f t="shared" si="23"/>
        <v>Manure management</v>
      </c>
      <c r="K81" t="str">
        <f t="shared" si="24"/>
        <v>CH4</v>
      </c>
      <c r="L81" s="21">
        <v>1E-3</v>
      </c>
      <c r="M81" t="s">
        <v>144</v>
      </c>
      <c r="N81" s="22">
        <f t="shared" si="29"/>
        <v>3.096822221188294E-5</v>
      </c>
      <c r="P81" t="str">
        <f t="shared" si="25"/>
        <v>Manure management</v>
      </c>
      <c r="Q81" t="str">
        <f t="shared" si="26"/>
        <v>N2O</v>
      </c>
      <c r="R81" s="21">
        <v>10.67625</v>
      </c>
      <c r="S81" t="s">
        <v>311</v>
      </c>
      <c r="T81" s="22">
        <f t="shared" si="30"/>
        <v>0.33062448238961523</v>
      </c>
    </row>
    <row r="82" spans="1:20" x14ac:dyDescent="0.25">
      <c r="A82" s="14" t="s">
        <v>231</v>
      </c>
      <c r="B82" t="str">
        <f t="shared" si="21"/>
        <v>Enteric fermentation</v>
      </c>
      <c r="C82" t="str">
        <f t="shared" si="22"/>
        <v>CH4</v>
      </c>
      <c r="D82" s="21">
        <v>5.8</v>
      </c>
      <c r="E82" t="s">
        <v>144</v>
      </c>
      <c r="F82" s="21">
        <v>69668.244192727288</v>
      </c>
      <c r="G82" s="22">
        <f t="shared" si="28"/>
        <v>2.3226166658912202E-2</v>
      </c>
      <c r="H82" s="22">
        <f t="shared" si="31"/>
        <v>0.13471176662169076</v>
      </c>
      <c r="J82" t="str">
        <f t="shared" si="23"/>
        <v>Manure management</v>
      </c>
      <c r="K82" t="str">
        <f t="shared" si="24"/>
        <v>CH4</v>
      </c>
      <c r="L82" s="21">
        <v>2E-3</v>
      </c>
      <c r="M82" t="s">
        <v>144</v>
      </c>
      <c r="N82" s="22">
        <f t="shared" si="29"/>
        <v>4.6452333317824407E-5</v>
      </c>
      <c r="P82" t="str">
        <f t="shared" si="25"/>
        <v>Manure management</v>
      </c>
      <c r="Q82" t="str">
        <f t="shared" si="26"/>
        <v>N2O</v>
      </c>
      <c r="R82" s="21">
        <v>18.790199999999995</v>
      </c>
      <c r="S82" t="s">
        <v>311</v>
      </c>
      <c r="T82" s="22">
        <f t="shared" si="30"/>
        <v>0.43642431675429194</v>
      </c>
    </row>
    <row r="83" spans="1:20" x14ac:dyDescent="0.25">
      <c r="A83" s="14" t="s">
        <v>232</v>
      </c>
      <c r="B83" t="str">
        <f t="shared" si="21"/>
        <v>Enteric fermentation</v>
      </c>
      <c r="C83" t="str">
        <f t="shared" si="22"/>
        <v>CH4</v>
      </c>
      <c r="D83" s="21">
        <v>10.5</v>
      </c>
      <c r="E83" t="s">
        <v>144</v>
      </c>
      <c r="F83" s="21">
        <v>11611.374032121215</v>
      </c>
      <c r="G83" s="22">
        <f t="shared" si="28"/>
        <v>3.8710277764853673E-3</v>
      </c>
      <c r="H83" s="22">
        <f t="shared" si="31"/>
        <v>4.0645791653096355E-2</v>
      </c>
      <c r="J83" t="str">
        <f t="shared" si="23"/>
        <v>Manure management</v>
      </c>
      <c r="K83" t="str">
        <f t="shared" si="24"/>
        <v>CH4</v>
      </c>
      <c r="L83" s="21">
        <v>3.2000000000000002E-3</v>
      </c>
      <c r="M83" t="s">
        <v>144</v>
      </c>
      <c r="N83" s="22">
        <f t="shared" si="29"/>
        <v>1.2387288884753176E-5</v>
      </c>
      <c r="P83" t="str">
        <f t="shared" si="25"/>
        <v>Manure management</v>
      </c>
      <c r="Q83" t="str">
        <f t="shared" si="26"/>
        <v>N2O</v>
      </c>
      <c r="R83" s="21">
        <v>25.409474999999997</v>
      </c>
      <c r="S83" t="s">
        <v>311</v>
      </c>
      <c r="T83" s="22">
        <f t="shared" si="30"/>
        <v>9.8360783510910516E-2</v>
      </c>
    </row>
    <row r="84" spans="1:20" x14ac:dyDescent="0.25">
      <c r="A84" s="13" t="s">
        <v>153</v>
      </c>
      <c r="M84" s="13"/>
    </row>
    <row r="85" spans="1:20" x14ac:dyDescent="0.25">
      <c r="A85" s="14" t="s">
        <v>233</v>
      </c>
      <c r="B85" t="str">
        <f t="shared" ref="B85:B108" si="32">$B$5</f>
        <v>Enteric fermentation</v>
      </c>
      <c r="C85" t="str">
        <f t="shared" ref="C85:C108" si="33">$C$5</f>
        <v>CH4</v>
      </c>
      <c r="D85" s="21">
        <v>6.01</v>
      </c>
      <c r="E85" t="s">
        <v>144</v>
      </c>
      <c r="F85" s="21">
        <v>7463.5068944892591</v>
      </c>
      <c r="G85" s="22">
        <f>F85/SUM($F$85:$F$102)</f>
        <v>3.6371865957549993E-3</v>
      </c>
      <c r="H85" s="22">
        <f t="shared" si="31"/>
        <v>2.1859491440487544E-2</v>
      </c>
      <c r="J85" t="str">
        <f t="shared" ref="J85:J108" si="34">$J$5</f>
        <v>Manure management</v>
      </c>
      <c r="K85" t="str">
        <f t="shared" ref="K85:K108" si="35">$K$5</f>
        <v>CH4</v>
      </c>
      <c r="L85" s="21">
        <v>6.1999999999999998E-3</v>
      </c>
      <c r="M85" t="s">
        <v>144</v>
      </c>
      <c r="N85" s="22">
        <f t="shared" si="29"/>
        <v>2.2550556893680993E-5</v>
      </c>
      <c r="P85" t="str">
        <f t="shared" ref="P85:P108" si="36">$P$5</f>
        <v>Manure management</v>
      </c>
      <c r="Q85" t="str">
        <f t="shared" ref="Q85:Q108" si="37">$Q$5</f>
        <v>N2O</v>
      </c>
      <c r="R85" s="21">
        <v>20.752075000000005</v>
      </c>
      <c r="S85" t="s">
        <v>311</v>
      </c>
      <c r="T85" s="22">
        <f t="shared" ref="T85:T108" si="38">R85*G85</f>
        <v>7.5479169024102441E-2</v>
      </c>
    </row>
    <row r="86" spans="1:20" x14ac:dyDescent="0.25">
      <c r="A86" s="14" t="s">
        <v>234</v>
      </c>
      <c r="B86" t="str">
        <f t="shared" si="32"/>
        <v>Enteric fermentation</v>
      </c>
      <c r="C86" t="str">
        <f t="shared" si="33"/>
        <v>CH4</v>
      </c>
      <c r="D86" s="21">
        <v>4.76</v>
      </c>
      <c r="E86" t="s">
        <v>144</v>
      </c>
      <c r="F86" s="21">
        <v>339589.56369926129</v>
      </c>
      <c r="G86" s="22">
        <f t="shared" ref="G86:G102" si="39">F86/SUM($F$85:$F$102)</f>
        <v>0.16549199010685245</v>
      </c>
      <c r="H86" s="22">
        <f t="shared" si="31"/>
        <v>0.78774187290861764</v>
      </c>
      <c r="J86" t="str">
        <f t="shared" si="34"/>
        <v>Manure management</v>
      </c>
      <c r="K86" t="str">
        <f t="shared" si="35"/>
        <v>CH4</v>
      </c>
      <c r="L86" s="21">
        <v>5.0000000000000001E-3</v>
      </c>
      <c r="M86" t="s">
        <v>144</v>
      </c>
      <c r="N86" s="22">
        <f t="shared" si="29"/>
        <v>8.2745995053426231E-4</v>
      </c>
      <c r="P86" t="str">
        <f t="shared" si="36"/>
        <v>Manure management</v>
      </c>
      <c r="Q86" t="str">
        <f t="shared" si="37"/>
        <v>N2O</v>
      </c>
      <c r="R86" s="21">
        <v>15.001500000000002</v>
      </c>
      <c r="S86" t="s">
        <v>311</v>
      </c>
      <c r="T86" s="22">
        <f t="shared" si="38"/>
        <v>2.4826280895879473</v>
      </c>
    </row>
    <row r="87" spans="1:20" x14ac:dyDescent="0.25">
      <c r="A87" s="14" t="s">
        <v>235</v>
      </c>
      <c r="B87" t="str">
        <f t="shared" si="32"/>
        <v>Enteric fermentation</v>
      </c>
      <c r="C87" t="str">
        <f t="shared" si="33"/>
        <v>CH4</v>
      </c>
      <c r="D87" s="21">
        <v>2.63</v>
      </c>
      <c r="E87" t="s">
        <v>144</v>
      </c>
      <c r="F87" s="21">
        <v>173153.35995215081</v>
      </c>
      <c r="G87" s="22">
        <f t="shared" si="39"/>
        <v>8.4382729021515987E-2</v>
      </c>
      <c r="H87" s="22">
        <f t="shared" si="31"/>
        <v>0.22192657732658705</v>
      </c>
      <c r="J87" t="str">
        <f t="shared" si="34"/>
        <v>Manure management</v>
      </c>
      <c r="K87" t="str">
        <f t="shared" si="35"/>
        <v>CH4</v>
      </c>
      <c r="L87" s="21">
        <v>2E-3</v>
      </c>
      <c r="M87" t="s">
        <v>144</v>
      </c>
      <c r="N87" s="22">
        <f t="shared" si="29"/>
        <v>1.6876545804303197E-4</v>
      </c>
      <c r="P87" t="str">
        <f t="shared" si="36"/>
        <v>Manure management</v>
      </c>
      <c r="Q87" t="str">
        <f t="shared" si="37"/>
        <v>N2O</v>
      </c>
      <c r="R87" s="21">
        <v>7.2507250000000019</v>
      </c>
      <c r="S87" t="s">
        <v>311</v>
      </c>
      <c r="T87" s="22">
        <f t="shared" si="38"/>
        <v>0.61183596288453168</v>
      </c>
    </row>
    <row r="88" spans="1:20" x14ac:dyDescent="0.25">
      <c r="A88" s="14" t="s">
        <v>236</v>
      </c>
      <c r="B88" t="str">
        <f t="shared" si="32"/>
        <v>Enteric fermentation</v>
      </c>
      <c r="C88" t="str">
        <f t="shared" si="33"/>
        <v>CH4</v>
      </c>
      <c r="D88" s="21">
        <v>3.39</v>
      </c>
      <c r="E88" t="s">
        <v>144</v>
      </c>
      <c r="F88" s="21">
        <v>120908.811690726</v>
      </c>
      <c r="G88" s="22">
        <f t="shared" si="39"/>
        <v>5.8922422851230984E-2</v>
      </c>
      <c r="H88" s="22">
        <f t="shared" si="31"/>
        <v>0.19974701346567303</v>
      </c>
      <c r="J88" t="str">
        <f t="shared" si="34"/>
        <v>Manure management</v>
      </c>
      <c r="K88" t="str">
        <f t="shared" si="35"/>
        <v>CH4</v>
      </c>
      <c r="L88" s="21">
        <v>3.0000000000000001E-3</v>
      </c>
      <c r="M88" t="s">
        <v>144</v>
      </c>
      <c r="N88" s="22">
        <f t="shared" si="29"/>
        <v>1.7676726855369297E-4</v>
      </c>
      <c r="P88" t="str">
        <f t="shared" si="36"/>
        <v>Manure management</v>
      </c>
      <c r="Q88" t="str">
        <f t="shared" si="37"/>
        <v>N2O</v>
      </c>
      <c r="R88" s="21">
        <v>10.251025</v>
      </c>
      <c r="S88" t="s">
        <v>311</v>
      </c>
      <c r="T88" s="22">
        <f t="shared" si="38"/>
        <v>0.60401522970854016</v>
      </c>
    </row>
    <row r="89" spans="1:20" x14ac:dyDescent="0.25">
      <c r="A89" s="14" t="s">
        <v>237</v>
      </c>
      <c r="B89" t="str">
        <f t="shared" si="32"/>
        <v>Enteric fermentation</v>
      </c>
      <c r="C89" t="str">
        <f t="shared" si="33"/>
        <v>CH4</v>
      </c>
      <c r="D89" s="21">
        <v>4.51</v>
      </c>
      <c r="E89" t="s">
        <v>144</v>
      </c>
      <c r="F89" s="21">
        <v>14927.013788978518</v>
      </c>
      <c r="G89" s="22">
        <f t="shared" si="39"/>
        <v>7.2743731915099986E-3</v>
      </c>
      <c r="H89" s="22">
        <f t="shared" si="31"/>
        <v>3.2807423093710091E-2</v>
      </c>
      <c r="J89" t="str">
        <f t="shared" si="34"/>
        <v>Manure management</v>
      </c>
      <c r="K89" t="str">
        <f t="shared" si="35"/>
        <v>CH4</v>
      </c>
      <c r="L89" s="21">
        <v>4.0000000000000001E-3</v>
      </c>
      <c r="M89" t="s">
        <v>144</v>
      </c>
      <c r="N89" s="22">
        <f t="shared" si="29"/>
        <v>2.9097492766039994E-5</v>
      </c>
      <c r="P89" t="str">
        <f t="shared" si="36"/>
        <v>Manure management</v>
      </c>
      <c r="Q89" t="str">
        <f t="shared" si="37"/>
        <v>N2O</v>
      </c>
      <c r="R89" s="21">
        <v>14.751474999999999</v>
      </c>
      <c r="S89" t="s">
        <v>311</v>
      </c>
      <c r="T89" s="22">
        <f t="shared" si="38"/>
        <v>0.10730773427522995</v>
      </c>
    </row>
    <row r="90" spans="1:20" x14ac:dyDescent="0.25">
      <c r="A90" s="14" t="s">
        <v>238</v>
      </c>
      <c r="B90" t="str">
        <f t="shared" si="32"/>
        <v>Enteric fermentation</v>
      </c>
      <c r="C90" t="str">
        <f t="shared" si="33"/>
        <v>CH4</v>
      </c>
      <c r="D90" s="21">
        <v>3.64</v>
      </c>
      <c r="E90" t="s">
        <v>144</v>
      </c>
      <c r="F90" s="21">
        <v>90308.433423320035</v>
      </c>
      <c r="G90" s="22">
        <f t="shared" si="39"/>
        <v>4.4009957808635487E-2</v>
      </c>
      <c r="H90" s="22">
        <f t="shared" si="31"/>
        <v>0.16019624642343319</v>
      </c>
      <c r="J90" t="str">
        <f t="shared" si="34"/>
        <v>Manure management</v>
      </c>
      <c r="K90" t="str">
        <f t="shared" si="35"/>
        <v>CH4</v>
      </c>
      <c r="L90" s="21">
        <v>3.0000000000000001E-3</v>
      </c>
      <c r="M90" t="s">
        <v>144</v>
      </c>
      <c r="N90" s="22">
        <f t="shared" si="29"/>
        <v>1.3202987342590648E-4</v>
      </c>
      <c r="P90" t="str">
        <f t="shared" si="36"/>
        <v>Manure management</v>
      </c>
      <c r="Q90" t="str">
        <f t="shared" si="37"/>
        <v>N2O</v>
      </c>
      <c r="R90" s="21">
        <v>11.251125</v>
      </c>
      <c r="S90" t="s">
        <v>311</v>
      </c>
      <c r="T90" s="22">
        <f t="shared" si="38"/>
        <v>0.49516153654968392</v>
      </c>
    </row>
    <row r="91" spans="1:20" x14ac:dyDescent="0.25">
      <c r="A91" s="14" t="s">
        <v>239</v>
      </c>
      <c r="B91" t="str">
        <f t="shared" si="32"/>
        <v>Enteric fermentation</v>
      </c>
      <c r="C91" t="str">
        <f t="shared" si="33"/>
        <v>CH4</v>
      </c>
      <c r="D91" s="21">
        <v>18.3</v>
      </c>
      <c r="E91" t="s">
        <v>144</v>
      </c>
      <c r="F91" s="21">
        <v>110948.49938645436</v>
      </c>
      <c r="G91" s="22">
        <f t="shared" si="39"/>
        <v>5.4068469486576197E-2</v>
      </c>
      <c r="H91" s="22">
        <f t="shared" si="31"/>
        <v>0.98945299160434441</v>
      </c>
      <c r="J91" t="str">
        <f t="shared" si="34"/>
        <v>Manure management</v>
      </c>
      <c r="K91" t="str">
        <f t="shared" si="35"/>
        <v>CH4</v>
      </c>
      <c r="L91" s="21">
        <v>0.02</v>
      </c>
      <c r="M91" t="s">
        <v>144</v>
      </c>
      <c r="N91" s="22">
        <f t="shared" si="29"/>
        <v>1.081369389731524E-3</v>
      </c>
      <c r="P91" t="str">
        <f t="shared" si="36"/>
        <v>Manure management</v>
      </c>
      <c r="Q91" t="str">
        <f t="shared" si="37"/>
        <v>N2O</v>
      </c>
      <c r="R91" s="21">
        <v>59.005899999999997</v>
      </c>
      <c r="S91" t="s">
        <v>311</v>
      </c>
      <c r="T91" s="22">
        <f t="shared" si="38"/>
        <v>3.1903587036779664</v>
      </c>
    </row>
    <row r="92" spans="1:20" x14ac:dyDescent="0.25">
      <c r="A92" s="14" t="s">
        <v>240</v>
      </c>
      <c r="B92" t="str">
        <f t="shared" si="32"/>
        <v>Enteric fermentation</v>
      </c>
      <c r="C92" t="str">
        <f t="shared" si="33"/>
        <v>CH4</v>
      </c>
      <c r="D92" s="21">
        <v>12.1</v>
      </c>
      <c r="E92" t="s">
        <v>144</v>
      </c>
      <c r="F92" s="21">
        <v>457985.08467664308</v>
      </c>
      <c r="G92" s="22">
        <f t="shared" si="39"/>
        <v>0.22318961241551805</v>
      </c>
      <c r="H92" s="22">
        <f t="shared" si="31"/>
        <v>2.7005943102277681</v>
      </c>
      <c r="J92" t="str">
        <f t="shared" si="34"/>
        <v>Manure management</v>
      </c>
      <c r="K92" t="str">
        <f t="shared" si="35"/>
        <v>CH4</v>
      </c>
      <c r="L92" s="21">
        <v>1.2999999999999999E-2</v>
      </c>
      <c r="M92" t="s">
        <v>144</v>
      </c>
      <c r="N92" s="22">
        <f t="shared" si="29"/>
        <v>2.9014649614017346E-3</v>
      </c>
      <c r="P92" t="str">
        <f t="shared" si="36"/>
        <v>Manure management</v>
      </c>
      <c r="Q92" t="str">
        <f t="shared" si="37"/>
        <v>N2O</v>
      </c>
      <c r="R92" s="21">
        <v>39.003900000000002</v>
      </c>
      <c r="S92" t="s">
        <v>311</v>
      </c>
      <c r="T92" s="22">
        <f t="shared" si="38"/>
        <v>8.7052653236936255</v>
      </c>
    </row>
    <row r="93" spans="1:20" x14ac:dyDescent="0.25">
      <c r="A93" s="14" t="s">
        <v>241</v>
      </c>
      <c r="B93" t="str">
        <f t="shared" si="32"/>
        <v>Enteric fermentation</v>
      </c>
      <c r="C93" t="str">
        <f t="shared" si="33"/>
        <v>CH4</v>
      </c>
      <c r="D93" s="21">
        <v>3.62</v>
      </c>
      <c r="E93" t="s">
        <v>144</v>
      </c>
      <c r="F93" s="21">
        <v>202545.51632178301</v>
      </c>
      <c r="G93" s="22">
        <f t="shared" si="39"/>
        <v>9.8706391969679813E-2</v>
      </c>
      <c r="H93" s="22">
        <f t="shared" si="31"/>
        <v>0.35731713893024092</v>
      </c>
      <c r="J93" t="str">
        <f t="shared" si="34"/>
        <v>Manure management</v>
      </c>
      <c r="K93" t="str">
        <f t="shared" si="35"/>
        <v>CH4</v>
      </c>
      <c r="L93" s="21">
        <v>3.3999999999999998E-3</v>
      </c>
      <c r="M93" t="s">
        <v>144</v>
      </c>
      <c r="N93" s="22">
        <f t="shared" si="29"/>
        <v>3.3560173269691132E-4</v>
      </c>
      <c r="P93" t="str">
        <f t="shared" si="36"/>
        <v>Manure management</v>
      </c>
      <c r="Q93" t="str">
        <f t="shared" si="37"/>
        <v>N2O</v>
      </c>
      <c r="R93" s="21">
        <v>11.251125</v>
      </c>
      <c r="S93" t="s">
        <v>311</v>
      </c>
      <c r="T93" s="22">
        <f t="shared" si="38"/>
        <v>1.1105579543498638</v>
      </c>
    </row>
    <row r="94" spans="1:20" x14ac:dyDescent="0.25">
      <c r="A94" s="14" t="s">
        <v>242</v>
      </c>
      <c r="B94" t="str">
        <f t="shared" si="32"/>
        <v>Enteric fermentation</v>
      </c>
      <c r="C94" t="str">
        <f t="shared" si="33"/>
        <v>CH4</v>
      </c>
      <c r="D94" s="21">
        <v>5.54</v>
      </c>
      <c r="E94" t="s">
        <v>144</v>
      </c>
      <c r="F94" s="21">
        <v>336715.79464958829</v>
      </c>
      <c r="G94" s="22">
        <f t="shared" si="39"/>
        <v>0.16409151786042311</v>
      </c>
      <c r="H94" s="22">
        <f t="shared" si="31"/>
        <v>0.90906700894674408</v>
      </c>
      <c r="J94" t="str">
        <f t="shared" si="34"/>
        <v>Manure management</v>
      </c>
      <c r="K94" t="str">
        <f t="shared" si="35"/>
        <v>CH4</v>
      </c>
      <c r="L94" s="21">
        <v>6.0000000000000001E-3</v>
      </c>
      <c r="M94" t="s">
        <v>144</v>
      </c>
      <c r="N94" s="22">
        <f t="shared" si="29"/>
        <v>9.8454910716253875E-4</v>
      </c>
      <c r="P94" t="str">
        <f t="shared" si="36"/>
        <v>Manure management</v>
      </c>
      <c r="Q94" t="str">
        <f t="shared" si="37"/>
        <v>N2O</v>
      </c>
      <c r="R94" s="21">
        <v>16.751675000000002</v>
      </c>
      <c r="S94" t="s">
        <v>311</v>
      </c>
      <c r="T94" s="22">
        <f t="shared" si="38"/>
        <v>2.7488077774545037</v>
      </c>
    </row>
    <row r="95" spans="1:20" x14ac:dyDescent="0.25">
      <c r="A95" s="14" t="s">
        <v>243</v>
      </c>
      <c r="B95" t="str">
        <f t="shared" si="32"/>
        <v>Enteric fermentation</v>
      </c>
      <c r="C95" t="str">
        <f t="shared" si="33"/>
        <v>CH4</v>
      </c>
      <c r="D95" s="21">
        <v>13.1</v>
      </c>
      <c r="E95" t="s">
        <v>144</v>
      </c>
      <c r="F95" s="21">
        <v>69665.336824052749</v>
      </c>
      <c r="G95" s="22">
        <f t="shared" si="39"/>
        <v>3.3949969212501332E-2</v>
      </c>
      <c r="H95" s="22">
        <f t="shared" si="31"/>
        <v>0.44474459668376742</v>
      </c>
      <c r="J95" t="str">
        <f t="shared" si="34"/>
        <v>Manure management</v>
      </c>
      <c r="K95" t="str">
        <f t="shared" si="35"/>
        <v>CH4</v>
      </c>
      <c r="L95" s="21">
        <v>1.4E-2</v>
      </c>
      <c r="M95" t="s">
        <v>144</v>
      </c>
      <c r="N95" s="22">
        <f t="shared" si="29"/>
        <v>4.7529956897501867E-4</v>
      </c>
      <c r="P95" t="str">
        <f t="shared" si="36"/>
        <v>Manure management</v>
      </c>
      <c r="Q95" t="str">
        <f t="shared" si="37"/>
        <v>N2O</v>
      </c>
      <c r="R95" s="21">
        <v>26.502650000000003</v>
      </c>
      <c r="S95" t="s">
        <v>311</v>
      </c>
      <c r="T95" s="22">
        <f t="shared" si="38"/>
        <v>0.89976415154969858</v>
      </c>
    </row>
    <row r="96" spans="1:20" x14ac:dyDescent="0.25">
      <c r="A96" s="14" t="s">
        <v>244</v>
      </c>
      <c r="B96" t="str">
        <f t="shared" si="32"/>
        <v>Enteric fermentation</v>
      </c>
      <c r="C96" t="str">
        <f t="shared" si="33"/>
        <v>CH4</v>
      </c>
      <c r="D96" s="21">
        <v>8.01</v>
      </c>
      <c r="E96" t="s">
        <v>144</v>
      </c>
      <c r="F96" s="21">
        <v>112238.59821652943</v>
      </c>
      <c r="G96" s="22">
        <f t="shared" si="39"/>
        <v>5.4697172620141038E-2</v>
      </c>
      <c r="H96" s="22">
        <f t="shared" si="31"/>
        <v>0.43812435268732969</v>
      </c>
      <c r="J96" t="str">
        <f t="shared" si="34"/>
        <v>Manure management</v>
      </c>
      <c r="K96" t="str">
        <f t="shared" si="35"/>
        <v>CH4</v>
      </c>
      <c r="L96" s="21">
        <v>8.3999999999999995E-3</v>
      </c>
      <c r="M96" t="s">
        <v>144</v>
      </c>
      <c r="N96" s="22">
        <f t="shared" si="29"/>
        <v>4.594562500091847E-4</v>
      </c>
      <c r="P96" t="str">
        <f t="shared" si="36"/>
        <v>Manure management</v>
      </c>
      <c r="Q96" t="str">
        <f t="shared" si="37"/>
        <v>N2O</v>
      </c>
      <c r="R96" s="21">
        <v>20.252025000000003</v>
      </c>
      <c r="S96" t="s">
        <v>311</v>
      </c>
      <c r="T96" s="22">
        <f t="shared" si="38"/>
        <v>1.1077285073324119</v>
      </c>
    </row>
    <row r="97" spans="1:20" x14ac:dyDescent="0.25">
      <c r="A97" s="14" t="s">
        <v>245</v>
      </c>
      <c r="B97" t="str">
        <f t="shared" si="32"/>
        <v>Enteric fermentation</v>
      </c>
      <c r="C97" t="str">
        <f t="shared" si="33"/>
        <v>CH4</v>
      </c>
      <c r="D97" s="21">
        <v>10.5</v>
      </c>
      <c r="E97" t="s">
        <v>144</v>
      </c>
      <c r="F97" s="21">
        <v>155.50480476023225</v>
      </c>
      <c r="G97" s="22">
        <f t="shared" si="39"/>
        <v>7.5782068596604404E-5</v>
      </c>
      <c r="H97" s="22">
        <f t="shared" si="31"/>
        <v>7.9571172026434627E-4</v>
      </c>
      <c r="J97" t="str">
        <f t="shared" si="34"/>
        <v>Manure management</v>
      </c>
      <c r="K97" t="str">
        <f t="shared" si="35"/>
        <v>CH4</v>
      </c>
      <c r="L97" s="21">
        <v>8.9999999999999993E-3</v>
      </c>
      <c r="M97" t="s">
        <v>144</v>
      </c>
      <c r="N97" s="22">
        <f t="shared" si="29"/>
        <v>6.8203861736943956E-7</v>
      </c>
      <c r="P97" t="str">
        <f t="shared" si="36"/>
        <v>Manure management</v>
      </c>
      <c r="Q97" t="str">
        <f t="shared" si="37"/>
        <v>N2O</v>
      </c>
      <c r="R97" s="21">
        <v>36.253625</v>
      </c>
      <c r="S97" t="s">
        <v>311</v>
      </c>
      <c r="T97" s="22">
        <f t="shared" si="38"/>
        <v>2.7473746966255722E-3</v>
      </c>
    </row>
    <row r="98" spans="1:20" x14ac:dyDescent="0.25">
      <c r="A98" s="14" t="s">
        <v>246</v>
      </c>
      <c r="B98" t="str">
        <f t="shared" si="32"/>
        <v>Enteric fermentation</v>
      </c>
      <c r="C98" t="str">
        <f t="shared" si="33"/>
        <v>CH4</v>
      </c>
      <c r="D98" s="21">
        <v>8.48</v>
      </c>
      <c r="E98" t="s">
        <v>144</v>
      </c>
      <c r="F98" s="21">
        <v>7075.4686165905678</v>
      </c>
      <c r="G98" s="22">
        <f t="shared" si="39"/>
        <v>3.4480841211455004E-3</v>
      </c>
      <c r="H98" s="22">
        <f t="shared" si="31"/>
        <v>2.9239753347313845E-2</v>
      </c>
      <c r="J98" t="str">
        <f t="shared" si="34"/>
        <v>Manure management</v>
      </c>
      <c r="K98" t="str">
        <f t="shared" si="35"/>
        <v>CH4</v>
      </c>
      <c r="L98" s="21">
        <v>7.0000000000000001E-3</v>
      </c>
      <c r="M98" t="s">
        <v>144</v>
      </c>
      <c r="N98" s="22">
        <f t="shared" si="29"/>
        <v>2.4136588848018503E-5</v>
      </c>
      <c r="P98" t="str">
        <f t="shared" si="36"/>
        <v>Manure management</v>
      </c>
      <c r="Q98" t="str">
        <f t="shared" si="37"/>
        <v>N2O</v>
      </c>
      <c r="R98" s="21">
        <v>24.002400000000005</v>
      </c>
      <c r="S98" t="s">
        <v>311</v>
      </c>
      <c r="T98" s="22">
        <f t="shared" si="38"/>
        <v>8.2762294309382783E-2</v>
      </c>
    </row>
    <row r="99" spans="1:20" x14ac:dyDescent="0.25">
      <c r="A99" s="14" t="s">
        <v>247</v>
      </c>
      <c r="B99" t="str">
        <f t="shared" si="32"/>
        <v>Enteric fermentation</v>
      </c>
      <c r="C99" t="str">
        <f t="shared" si="33"/>
        <v>CH4</v>
      </c>
      <c r="D99" s="21">
        <v>3.62</v>
      </c>
      <c r="E99" t="s">
        <v>144</v>
      </c>
      <c r="F99" s="21">
        <v>3607.7114704373885</v>
      </c>
      <c r="G99" s="22">
        <f t="shared" si="39"/>
        <v>1.7581439914412223E-3</v>
      </c>
      <c r="H99" s="22">
        <f t="shared" si="31"/>
        <v>6.3644812490172252E-3</v>
      </c>
      <c r="J99" t="str">
        <f t="shared" si="34"/>
        <v>Manure management</v>
      </c>
      <c r="K99" t="str">
        <f t="shared" si="35"/>
        <v>CH4</v>
      </c>
      <c r="L99" s="21">
        <v>3.0000000000000001E-3</v>
      </c>
      <c r="M99" t="s">
        <v>144</v>
      </c>
      <c r="N99" s="22">
        <f t="shared" si="29"/>
        <v>5.2744319743236674E-6</v>
      </c>
      <c r="P99" t="str">
        <f t="shared" si="36"/>
        <v>Manure management</v>
      </c>
      <c r="Q99" t="str">
        <f t="shared" si="37"/>
        <v>N2O</v>
      </c>
      <c r="R99" s="21">
        <v>11.251125</v>
      </c>
      <c r="S99" t="s">
        <v>311</v>
      </c>
      <c r="T99" s="22">
        <f t="shared" si="38"/>
        <v>1.9781097815704123E-2</v>
      </c>
    </row>
    <row r="100" spans="1:20" x14ac:dyDescent="0.25">
      <c r="A100" s="14" t="s">
        <v>248</v>
      </c>
      <c r="B100" t="str">
        <f t="shared" si="32"/>
        <v>Enteric fermentation</v>
      </c>
      <c r="C100" t="str">
        <f t="shared" si="33"/>
        <v>CH4</v>
      </c>
      <c r="D100" s="21">
        <v>5.0199999999999996</v>
      </c>
      <c r="E100" t="s">
        <v>144</v>
      </c>
      <c r="F100" s="21">
        <v>2519.1778371157625</v>
      </c>
      <c r="G100" s="22">
        <f t="shared" si="39"/>
        <v>1.2276695112649913E-3</v>
      </c>
      <c r="H100" s="22">
        <f t="shared" si="31"/>
        <v>6.1629009465502555E-3</v>
      </c>
      <c r="J100" t="str">
        <f t="shared" si="34"/>
        <v>Manure management</v>
      </c>
      <c r="K100" t="str">
        <f t="shared" si="35"/>
        <v>CH4</v>
      </c>
      <c r="L100" s="21">
        <v>4.0000000000000001E-3</v>
      </c>
      <c r="M100" t="s">
        <v>144</v>
      </c>
      <c r="N100" s="22">
        <f t="shared" si="29"/>
        <v>4.910678045059965E-6</v>
      </c>
      <c r="P100" t="str">
        <f t="shared" si="36"/>
        <v>Manure management</v>
      </c>
      <c r="Q100" t="str">
        <f t="shared" si="37"/>
        <v>N2O</v>
      </c>
      <c r="R100" s="21">
        <v>16.751675000000002</v>
      </c>
      <c r="S100" t="s">
        <v>311</v>
      </c>
      <c r="T100" s="22">
        <f t="shared" si="38"/>
        <v>2.0565520660119976E-2</v>
      </c>
    </row>
    <row r="101" spans="1:20" x14ac:dyDescent="0.25">
      <c r="A101" s="14" t="s">
        <v>249</v>
      </c>
      <c r="B101" t="str">
        <f t="shared" si="32"/>
        <v>Enteric fermentation</v>
      </c>
      <c r="C101" t="str">
        <f t="shared" si="33"/>
        <v>CH4</v>
      </c>
      <c r="D101" s="21">
        <v>7.65</v>
      </c>
      <c r="E101" t="s">
        <v>144</v>
      </c>
      <c r="F101" s="21">
        <v>311.00960952046449</v>
      </c>
      <c r="G101" s="22">
        <f t="shared" si="39"/>
        <v>1.5156413719320881E-4</v>
      </c>
      <c r="H101" s="22">
        <f t="shared" si="31"/>
        <v>1.1594656495280474E-3</v>
      </c>
      <c r="J101" t="str">
        <f t="shared" si="34"/>
        <v>Manure management</v>
      </c>
      <c r="K101" t="str">
        <f t="shared" si="35"/>
        <v>CH4</v>
      </c>
      <c r="L101" s="21">
        <v>6.0000000000000001E-3</v>
      </c>
      <c r="M101" t="s">
        <v>144</v>
      </c>
      <c r="N101" s="22">
        <f t="shared" si="29"/>
        <v>9.0938482315925281E-7</v>
      </c>
      <c r="P101" t="str">
        <f t="shared" si="36"/>
        <v>Manure management</v>
      </c>
      <c r="Q101" t="str">
        <f t="shared" si="37"/>
        <v>N2O</v>
      </c>
      <c r="R101" s="21">
        <v>26.502650000000003</v>
      </c>
      <c r="S101" t="s">
        <v>311</v>
      </c>
      <c r="T101" s="22">
        <f t="shared" si="38"/>
        <v>4.0168512805835955E-3</v>
      </c>
    </row>
    <row r="102" spans="1:20" x14ac:dyDescent="0.25">
      <c r="A102" s="14" t="s">
        <v>250</v>
      </c>
      <c r="B102" t="str">
        <f t="shared" si="32"/>
        <v>Enteric fermentation</v>
      </c>
      <c r="C102" t="str">
        <f t="shared" si="33"/>
        <v>CH4</v>
      </c>
      <c r="D102" s="21">
        <v>5.94</v>
      </c>
      <c r="E102" t="s">
        <v>144</v>
      </c>
      <c r="F102" s="21">
        <v>1881.6081375988101</v>
      </c>
      <c r="G102" s="22">
        <f t="shared" si="39"/>
        <v>9.1696303001891316E-4</v>
      </c>
      <c r="H102" s="22">
        <f t="shared" si="31"/>
        <v>5.4467603983123442E-3</v>
      </c>
      <c r="J102" t="str">
        <f t="shared" si="34"/>
        <v>Manure management</v>
      </c>
      <c r="K102" t="str">
        <f t="shared" si="35"/>
        <v>CH4</v>
      </c>
      <c r="L102" s="21">
        <v>5.0000000000000001E-3</v>
      </c>
      <c r="M102" t="s">
        <v>144</v>
      </c>
      <c r="N102" s="22">
        <f t="shared" si="29"/>
        <v>4.584815150094566E-6</v>
      </c>
      <c r="P102" t="str">
        <f t="shared" si="36"/>
        <v>Manure management</v>
      </c>
      <c r="Q102" t="str">
        <f t="shared" si="37"/>
        <v>N2O</v>
      </c>
      <c r="R102" s="21">
        <v>20.252025000000003</v>
      </c>
      <c r="S102" t="s">
        <v>311</v>
      </c>
      <c r="T102" s="22">
        <f t="shared" si="38"/>
        <v>1.8570358208018781E-2</v>
      </c>
    </row>
    <row r="103" spans="1:20" x14ac:dyDescent="0.25">
      <c r="A103" s="14" t="s">
        <v>251</v>
      </c>
      <c r="B103" t="str">
        <f t="shared" si="32"/>
        <v>Enteric fermentation</v>
      </c>
      <c r="C103" t="str">
        <f t="shared" si="33"/>
        <v>CH4</v>
      </c>
      <c r="D103" s="21">
        <v>11.1</v>
      </c>
      <c r="E103" t="s">
        <v>144</v>
      </c>
      <c r="F103" s="21">
        <v>44584.86627064857</v>
      </c>
      <c r="G103" s="22">
        <f>F103/SUM($F$103:$F$108)</f>
        <v>1.0999999999999998E-2</v>
      </c>
      <c r="H103" s="22">
        <f t="shared" si="31"/>
        <v>0.12209999999999997</v>
      </c>
      <c r="J103" t="str">
        <f t="shared" si="34"/>
        <v>Manure management</v>
      </c>
      <c r="K103" t="str">
        <f t="shared" si="35"/>
        <v>CH4</v>
      </c>
      <c r="L103" s="21">
        <v>1.2999999999999999E-2</v>
      </c>
      <c r="M103" t="s">
        <v>144</v>
      </c>
      <c r="N103" s="22">
        <f t="shared" si="29"/>
        <v>1.4299999999999995E-4</v>
      </c>
      <c r="P103" t="str">
        <f t="shared" si="36"/>
        <v>Manure management</v>
      </c>
      <c r="Q103" t="str">
        <f t="shared" si="37"/>
        <v>N2O</v>
      </c>
      <c r="R103" s="21">
        <v>41.004100000000001</v>
      </c>
      <c r="S103" t="s">
        <v>311</v>
      </c>
      <c r="T103" s="22">
        <f t="shared" si="38"/>
        <v>0.45104509999999992</v>
      </c>
    </row>
    <row r="104" spans="1:20" x14ac:dyDescent="0.25">
      <c r="A104" s="14" t="s">
        <v>252</v>
      </c>
      <c r="B104" t="str">
        <f t="shared" si="32"/>
        <v>Enteric fermentation</v>
      </c>
      <c r="C104" t="str">
        <f t="shared" si="33"/>
        <v>CH4</v>
      </c>
      <c r="D104" s="21">
        <v>7.4</v>
      </c>
      <c r="E104" t="s">
        <v>144</v>
      </c>
      <c r="F104" s="21">
        <v>1921202.4192988568</v>
      </c>
      <c r="G104" s="22">
        <f t="shared" ref="G104:G108" si="40">F104/SUM($F$103:$F$108)</f>
        <v>0.47399999999999992</v>
      </c>
      <c r="H104" s="22">
        <f t="shared" si="31"/>
        <v>3.5075999999999996</v>
      </c>
      <c r="J104" t="str">
        <f t="shared" si="34"/>
        <v>Manure management</v>
      </c>
      <c r="K104" t="str">
        <f t="shared" si="35"/>
        <v>CH4</v>
      </c>
      <c r="L104" s="21">
        <v>8.9999999999999993E-3</v>
      </c>
      <c r="M104" t="s">
        <v>144</v>
      </c>
      <c r="N104" s="22">
        <f t="shared" si="29"/>
        <v>4.265999999999999E-3</v>
      </c>
      <c r="P104" t="str">
        <f t="shared" si="36"/>
        <v>Manure management</v>
      </c>
      <c r="Q104" t="str">
        <f t="shared" si="37"/>
        <v>N2O</v>
      </c>
      <c r="R104" s="21">
        <v>27.202719999999999</v>
      </c>
      <c r="S104" t="s">
        <v>311</v>
      </c>
      <c r="T104" s="22">
        <f t="shared" si="38"/>
        <v>12.894089279999998</v>
      </c>
    </row>
    <row r="105" spans="1:20" x14ac:dyDescent="0.25">
      <c r="A105" s="14" t="s">
        <v>253</v>
      </c>
      <c r="B105" t="str">
        <f t="shared" si="32"/>
        <v>Enteric fermentation</v>
      </c>
      <c r="C105" t="str">
        <f t="shared" si="33"/>
        <v>CH4</v>
      </c>
      <c r="D105" s="21">
        <v>2.54</v>
      </c>
      <c r="E105" t="s">
        <v>144</v>
      </c>
      <c r="F105" s="21">
        <v>806580.76253264246</v>
      </c>
      <c r="G105" s="22">
        <f t="shared" si="40"/>
        <v>0.19899999999999998</v>
      </c>
      <c r="H105" s="22">
        <f t="shared" si="31"/>
        <v>0.50545999999999991</v>
      </c>
      <c r="J105" t="str">
        <f t="shared" si="34"/>
        <v>Manure management</v>
      </c>
      <c r="K105" t="str">
        <f t="shared" si="35"/>
        <v>CH4</v>
      </c>
      <c r="L105" s="21">
        <v>3.0000000000000001E-3</v>
      </c>
      <c r="M105" t="s">
        <v>144</v>
      </c>
      <c r="N105" s="22">
        <f t="shared" si="29"/>
        <v>5.9699999999999998E-4</v>
      </c>
      <c r="P105" t="str">
        <f t="shared" si="36"/>
        <v>Manure management</v>
      </c>
      <c r="Q105" t="str">
        <f t="shared" si="37"/>
        <v>N2O</v>
      </c>
      <c r="R105" s="21">
        <v>8.0007999999999999</v>
      </c>
      <c r="S105" t="s">
        <v>311</v>
      </c>
      <c r="T105" s="22">
        <f t="shared" si="38"/>
        <v>1.5921591999999998</v>
      </c>
    </row>
    <row r="106" spans="1:20" x14ac:dyDescent="0.25">
      <c r="A106" s="14" t="s">
        <v>254</v>
      </c>
      <c r="B106" t="str">
        <f t="shared" si="32"/>
        <v>Enteric fermentation</v>
      </c>
      <c r="C106" t="str">
        <f t="shared" si="33"/>
        <v>CH4</v>
      </c>
      <c r="D106" s="21">
        <v>3.66</v>
      </c>
      <c r="E106" t="s">
        <v>144</v>
      </c>
      <c r="F106" s="21">
        <v>684985.67270360084</v>
      </c>
      <c r="G106" s="22">
        <f t="shared" si="40"/>
        <v>0.16899999999999998</v>
      </c>
      <c r="H106" s="22">
        <f t="shared" si="31"/>
        <v>0.61853999999999998</v>
      </c>
      <c r="J106" t="str">
        <f t="shared" si="34"/>
        <v>Manure management</v>
      </c>
      <c r="K106" t="str">
        <f t="shared" si="35"/>
        <v>CH4</v>
      </c>
      <c r="L106" s="21">
        <v>4.0000000000000001E-3</v>
      </c>
      <c r="M106" t="s">
        <v>144</v>
      </c>
      <c r="N106" s="22">
        <f t="shared" si="29"/>
        <v>6.7599999999999995E-4</v>
      </c>
      <c r="P106" t="str">
        <f t="shared" si="36"/>
        <v>Manure management</v>
      </c>
      <c r="Q106" t="str">
        <f t="shared" si="37"/>
        <v>N2O</v>
      </c>
      <c r="R106" s="21">
        <v>13.001299999999999</v>
      </c>
      <c r="S106" t="s">
        <v>311</v>
      </c>
      <c r="T106" s="22">
        <f t="shared" si="38"/>
        <v>2.1972196999999998</v>
      </c>
    </row>
    <row r="107" spans="1:20" x14ac:dyDescent="0.25">
      <c r="A107" s="14" t="s">
        <v>255</v>
      </c>
      <c r="B107" t="str">
        <f t="shared" si="32"/>
        <v>Enteric fermentation</v>
      </c>
      <c r="C107" t="str">
        <f t="shared" si="33"/>
        <v>CH4</v>
      </c>
      <c r="D107" s="21">
        <v>8.11</v>
      </c>
      <c r="E107" t="s">
        <v>144</v>
      </c>
      <c r="F107" s="21">
        <v>81063.393219361053</v>
      </c>
      <c r="G107" s="22">
        <f t="shared" si="40"/>
        <v>0.02</v>
      </c>
      <c r="H107" s="22">
        <f t="shared" si="31"/>
        <v>0.16219999999999998</v>
      </c>
      <c r="J107" t="str">
        <f t="shared" si="34"/>
        <v>Manure management</v>
      </c>
      <c r="K107" t="str">
        <f t="shared" si="35"/>
        <v>CH4</v>
      </c>
      <c r="L107" s="21">
        <v>8.9999999999999993E-3</v>
      </c>
      <c r="M107" t="s">
        <v>144</v>
      </c>
      <c r="N107" s="22">
        <f t="shared" si="29"/>
        <v>1.7999999999999998E-4</v>
      </c>
      <c r="P107" t="str">
        <f t="shared" si="36"/>
        <v>Manure management</v>
      </c>
      <c r="Q107" t="str">
        <f t="shared" si="37"/>
        <v>N2O</v>
      </c>
      <c r="R107" s="21">
        <v>30.803080000000005</v>
      </c>
      <c r="S107" t="s">
        <v>311</v>
      </c>
      <c r="T107" s="22">
        <f t="shared" si="38"/>
        <v>0.6160616000000001</v>
      </c>
    </row>
    <row r="108" spans="1:20" x14ac:dyDescent="0.25">
      <c r="A108" s="14" t="s">
        <v>256</v>
      </c>
      <c r="B108" t="str">
        <f t="shared" si="32"/>
        <v>Enteric fermentation</v>
      </c>
      <c r="C108" t="str">
        <f t="shared" si="33"/>
        <v>CH4</v>
      </c>
      <c r="D108" s="21">
        <v>5.19</v>
      </c>
      <c r="E108" t="s">
        <v>144</v>
      </c>
      <c r="F108" s="21">
        <v>514752.54694294266</v>
      </c>
      <c r="G108" s="22">
        <f t="shared" si="40"/>
        <v>0.127</v>
      </c>
      <c r="H108" s="22">
        <f t="shared" si="31"/>
        <v>0.6591300000000001</v>
      </c>
      <c r="J108" t="str">
        <f t="shared" si="34"/>
        <v>Manure management</v>
      </c>
      <c r="K108" t="str">
        <f t="shared" si="35"/>
        <v>CH4</v>
      </c>
      <c r="L108" s="21">
        <v>6.0000000000000001E-3</v>
      </c>
      <c r="M108" t="s">
        <v>144</v>
      </c>
      <c r="N108" s="22">
        <f t="shared" si="29"/>
        <v>7.6199999999999998E-4</v>
      </c>
      <c r="P108" t="str">
        <f t="shared" si="36"/>
        <v>Manure management</v>
      </c>
      <c r="Q108" t="str">
        <f t="shared" si="37"/>
        <v>N2O</v>
      </c>
      <c r="R108" s="21">
        <v>19.501950000000001</v>
      </c>
      <c r="S108" t="s">
        <v>311</v>
      </c>
      <c r="T108" s="22">
        <f t="shared" si="38"/>
        <v>2.4767476500000001</v>
      </c>
    </row>
    <row r="109" spans="1:20" x14ac:dyDescent="0.25">
      <c r="A109" s="13" t="s">
        <v>3</v>
      </c>
      <c r="M109" s="13"/>
    </row>
    <row r="110" spans="1:20" x14ac:dyDescent="0.25">
      <c r="A110" s="14" t="s">
        <v>3</v>
      </c>
      <c r="B110" t="str">
        <f>$B$5</f>
        <v>Enteric fermentation</v>
      </c>
      <c r="C110" t="str">
        <f>$C$5</f>
        <v>CH4</v>
      </c>
      <c r="D110" s="21">
        <v>18</v>
      </c>
      <c r="E110" t="s">
        <v>144</v>
      </c>
      <c r="H110" s="22">
        <f>D110</f>
        <v>18</v>
      </c>
      <c r="J110" t="str">
        <f>$J$5</f>
        <v>Manure management</v>
      </c>
      <c r="K110" t="str">
        <f>$K$5</f>
        <v>CH4</v>
      </c>
      <c r="L110" s="21">
        <v>1.34E-2</v>
      </c>
      <c r="M110" t="s">
        <v>144</v>
      </c>
      <c r="N110" s="22">
        <f>L110</f>
        <v>1.34E-2</v>
      </c>
      <c r="P110" t="str">
        <f>$P$5</f>
        <v>Manure management</v>
      </c>
      <c r="Q110" t="str">
        <f>$Q$5</f>
        <v>N2O</v>
      </c>
      <c r="R110" s="21">
        <v>39.5</v>
      </c>
      <c r="S110" t="s">
        <v>311</v>
      </c>
      <c r="T110" s="22">
        <f>R110</f>
        <v>39.5</v>
      </c>
    </row>
    <row r="111" spans="1:20" x14ac:dyDescent="0.25">
      <c r="A111" s="13" t="s">
        <v>154</v>
      </c>
      <c r="M111" s="13"/>
    </row>
    <row r="112" spans="1:20" x14ac:dyDescent="0.25">
      <c r="A112" s="14" t="s">
        <v>154</v>
      </c>
      <c r="B112" t="str">
        <f>$B$5</f>
        <v>Enteric fermentation</v>
      </c>
      <c r="C112" t="str">
        <f>$C$5</f>
        <v>CH4</v>
      </c>
      <c r="D112" s="21">
        <v>10</v>
      </c>
      <c r="E112" t="s">
        <v>144</v>
      </c>
      <c r="H112" s="22">
        <f>D112</f>
        <v>10</v>
      </c>
      <c r="J112" t="str">
        <f>$J$5</f>
        <v>Manure management</v>
      </c>
      <c r="K112" t="str">
        <f>$K$5</f>
        <v>CH4</v>
      </c>
      <c r="L112" s="21">
        <v>4.4999999999999997E-3</v>
      </c>
      <c r="M112" t="s">
        <v>144</v>
      </c>
      <c r="N112" s="22">
        <f>L112</f>
        <v>4.4999999999999997E-3</v>
      </c>
      <c r="P112" t="str">
        <f>$P$5</f>
        <v>Manure management</v>
      </c>
      <c r="Q112" t="str">
        <f>$Q$5</f>
        <v>N2O</v>
      </c>
      <c r="R112" s="21">
        <v>13.2</v>
      </c>
      <c r="S112" t="s">
        <v>311</v>
      </c>
      <c r="T112" s="22">
        <f>R112</f>
        <v>13.2</v>
      </c>
    </row>
    <row r="113" spans="1:20" x14ac:dyDescent="0.25">
      <c r="A113" s="13" t="s">
        <v>155</v>
      </c>
      <c r="M113" s="13"/>
    </row>
    <row r="114" spans="1:20" x14ac:dyDescent="0.25">
      <c r="A114" s="14" t="s">
        <v>257</v>
      </c>
      <c r="B114" t="str">
        <f t="shared" ref="B114:B133" si="41">$B$5</f>
        <v>Enteric fermentation</v>
      </c>
      <c r="C114" t="str">
        <f t="shared" ref="C114:C133" si="42">$C$5</f>
        <v>CH4</v>
      </c>
      <c r="D114" s="21">
        <v>0.99</v>
      </c>
      <c r="E114" t="s">
        <v>144</v>
      </c>
      <c r="F114" s="21">
        <v>78106</v>
      </c>
      <c r="G114">
        <f>F114/SUM($F$114:$F$123)</f>
        <v>4.9000000000000002E-2</v>
      </c>
      <c r="H114" s="22">
        <f t="shared" ref="H114:H133" si="43">D114*G114</f>
        <v>4.8510000000000005E-2</v>
      </c>
      <c r="J114" t="str">
        <f t="shared" ref="J114:J133" si="44">$J$5</f>
        <v>Manure management</v>
      </c>
      <c r="K114" t="str">
        <f t="shared" ref="K114:K133" si="45">$K$5</f>
        <v>CH4</v>
      </c>
      <c r="L114" s="21">
        <v>20.96</v>
      </c>
      <c r="M114" t="s">
        <v>144</v>
      </c>
      <c r="N114" s="22">
        <f t="shared" ref="N114:N133" si="46">L114*G114</f>
        <v>1.0270400000000002</v>
      </c>
      <c r="P114" t="str">
        <f t="shared" ref="P114:P133" si="47">$P$5</f>
        <v>Manure management</v>
      </c>
      <c r="Q114" t="str">
        <f t="shared" ref="Q114:Q133" si="48">$Q$5</f>
        <v>N2O</v>
      </c>
      <c r="R114" s="21">
        <v>11.04</v>
      </c>
      <c r="S114" t="s">
        <v>311</v>
      </c>
      <c r="T114" s="22">
        <f t="shared" ref="T114:T133" si="49">R114*G114</f>
        <v>0.54096</v>
      </c>
    </row>
    <row r="115" spans="1:20" x14ac:dyDescent="0.25">
      <c r="A115" s="14" t="s">
        <v>258</v>
      </c>
      <c r="B115" t="str">
        <f t="shared" si="41"/>
        <v>Enteric fermentation</v>
      </c>
      <c r="C115" t="str">
        <f t="shared" si="42"/>
        <v>CH4</v>
      </c>
      <c r="D115" s="21">
        <v>1.89</v>
      </c>
      <c r="E115" t="s">
        <v>144</v>
      </c>
      <c r="F115" s="21">
        <v>9564</v>
      </c>
      <c r="G115">
        <f t="shared" ref="G115:G123" si="50">F115/SUM($F$114:$F$123)</f>
        <v>6.0000000000000001E-3</v>
      </c>
      <c r="H115" s="22">
        <f t="shared" si="43"/>
        <v>1.1339999999999999E-2</v>
      </c>
      <c r="J115" t="str">
        <f t="shared" si="44"/>
        <v>Manure management</v>
      </c>
      <c r="K115" t="str">
        <f t="shared" si="45"/>
        <v>CH4</v>
      </c>
      <c r="L115" s="21">
        <v>16.47</v>
      </c>
      <c r="M115" t="s">
        <v>144</v>
      </c>
      <c r="N115" s="22">
        <f t="shared" si="46"/>
        <v>9.8819999999999991E-2</v>
      </c>
      <c r="P115" t="str">
        <f t="shared" si="47"/>
        <v>Manure management</v>
      </c>
      <c r="Q115" t="str">
        <f t="shared" si="48"/>
        <v>N2O</v>
      </c>
      <c r="R115" s="21">
        <v>14.59</v>
      </c>
      <c r="S115" t="s">
        <v>311</v>
      </c>
      <c r="T115" s="22">
        <f t="shared" si="49"/>
        <v>8.7540000000000007E-2</v>
      </c>
    </row>
    <row r="116" spans="1:20" x14ac:dyDescent="0.25">
      <c r="A116" s="14" t="s">
        <v>259</v>
      </c>
      <c r="B116" t="str">
        <f t="shared" si="41"/>
        <v>Enteric fermentation</v>
      </c>
      <c r="C116" t="str">
        <f t="shared" si="42"/>
        <v>CH4</v>
      </c>
      <c r="D116" s="21">
        <v>1.89</v>
      </c>
      <c r="E116" t="s">
        <v>144</v>
      </c>
      <c r="F116" s="21">
        <v>9564</v>
      </c>
      <c r="G116">
        <f t="shared" si="50"/>
        <v>6.0000000000000001E-3</v>
      </c>
      <c r="H116" s="22">
        <f t="shared" si="43"/>
        <v>1.1339999999999999E-2</v>
      </c>
      <c r="J116" t="str">
        <f t="shared" si="44"/>
        <v>Manure management</v>
      </c>
      <c r="K116" t="str">
        <f t="shared" si="45"/>
        <v>CH4</v>
      </c>
      <c r="L116" s="21">
        <v>16.47</v>
      </c>
      <c r="M116" t="s">
        <v>144</v>
      </c>
      <c r="N116" s="22">
        <f t="shared" si="46"/>
        <v>9.8819999999999991E-2</v>
      </c>
      <c r="P116" t="str">
        <f t="shared" si="47"/>
        <v>Manure management</v>
      </c>
      <c r="Q116" t="str">
        <f t="shared" si="48"/>
        <v>N2O</v>
      </c>
      <c r="R116" s="21">
        <v>14.59</v>
      </c>
      <c r="S116" t="s">
        <v>311</v>
      </c>
      <c r="T116" s="22">
        <f t="shared" si="49"/>
        <v>8.7540000000000007E-2</v>
      </c>
    </row>
    <row r="117" spans="1:20" x14ac:dyDescent="0.25">
      <c r="A117" s="14" t="s">
        <v>260</v>
      </c>
      <c r="B117" t="str">
        <f t="shared" si="41"/>
        <v>Enteric fermentation</v>
      </c>
      <c r="C117" t="str">
        <f t="shared" si="42"/>
        <v>CH4</v>
      </c>
      <c r="D117" s="21">
        <v>1.55</v>
      </c>
      <c r="E117" t="s">
        <v>144</v>
      </c>
      <c r="F117" s="21">
        <v>82888</v>
      </c>
      <c r="G117">
        <f t="shared" si="50"/>
        <v>5.1999999999999998E-2</v>
      </c>
      <c r="H117" s="22">
        <f t="shared" si="43"/>
        <v>8.0600000000000005E-2</v>
      </c>
      <c r="J117" t="str">
        <f t="shared" si="44"/>
        <v>Manure management</v>
      </c>
      <c r="K117" t="str">
        <f t="shared" si="45"/>
        <v>CH4</v>
      </c>
      <c r="L117" s="21">
        <v>13.47</v>
      </c>
      <c r="M117" t="s">
        <v>144</v>
      </c>
      <c r="N117" s="22">
        <f t="shared" si="46"/>
        <v>0.70043999999999995</v>
      </c>
      <c r="P117" t="str">
        <f t="shared" si="47"/>
        <v>Manure management</v>
      </c>
      <c r="Q117" t="str">
        <f t="shared" si="48"/>
        <v>N2O</v>
      </c>
      <c r="R117" s="21">
        <v>20.7</v>
      </c>
      <c r="S117" t="s">
        <v>311</v>
      </c>
      <c r="T117" s="22">
        <f t="shared" si="49"/>
        <v>1.0764</v>
      </c>
    </row>
    <row r="118" spans="1:20" x14ac:dyDescent="0.25">
      <c r="A118" s="14" t="s">
        <v>261</v>
      </c>
      <c r="B118" t="str">
        <f t="shared" si="41"/>
        <v>Enteric fermentation</v>
      </c>
      <c r="C118" t="str">
        <f t="shared" si="42"/>
        <v>CH4</v>
      </c>
      <c r="D118" s="21">
        <v>2.15</v>
      </c>
      <c r="E118" t="s">
        <v>144</v>
      </c>
      <c r="F118" s="21">
        <v>296484</v>
      </c>
      <c r="G118">
        <f t="shared" si="50"/>
        <v>0.186</v>
      </c>
      <c r="H118" s="22">
        <f t="shared" si="43"/>
        <v>0.39989999999999998</v>
      </c>
      <c r="J118" t="str">
        <f t="shared" si="44"/>
        <v>Manure management</v>
      </c>
      <c r="K118" t="str">
        <f t="shared" si="45"/>
        <v>CH4</v>
      </c>
      <c r="L118" s="21">
        <v>18.71</v>
      </c>
      <c r="M118" t="s">
        <v>144</v>
      </c>
      <c r="N118" s="22">
        <f t="shared" si="46"/>
        <v>3.4800599999999999</v>
      </c>
      <c r="P118" t="str">
        <f t="shared" si="47"/>
        <v>Manure management</v>
      </c>
      <c r="Q118" t="str">
        <f t="shared" si="48"/>
        <v>N2O</v>
      </c>
      <c r="R118" s="21">
        <v>20.7</v>
      </c>
      <c r="S118" t="s">
        <v>311</v>
      </c>
      <c r="T118" s="22">
        <f t="shared" si="49"/>
        <v>3.8501999999999996</v>
      </c>
    </row>
    <row r="119" spans="1:20" x14ac:dyDescent="0.25">
      <c r="A119" s="14" t="s">
        <v>262</v>
      </c>
      <c r="B119" t="str">
        <f t="shared" si="41"/>
        <v>Enteric fermentation</v>
      </c>
      <c r="C119" t="str">
        <f t="shared" si="42"/>
        <v>CH4</v>
      </c>
      <c r="D119" s="21">
        <v>4.09</v>
      </c>
      <c r="E119" t="s">
        <v>144</v>
      </c>
      <c r="F119" s="21">
        <v>52602</v>
      </c>
      <c r="G119">
        <f t="shared" si="50"/>
        <v>3.3000000000000002E-2</v>
      </c>
      <c r="H119" s="22">
        <f t="shared" si="43"/>
        <v>0.13497000000000001</v>
      </c>
      <c r="J119" t="str">
        <f t="shared" si="44"/>
        <v>Manure management</v>
      </c>
      <c r="K119" t="str">
        <f t="shared" si="45"/>
        <v>CH4</v>
      </c>
      <c r="L119" s="21">
        <v>35.549999999999997</v>
      </c>
      <c r="M119" t="s">
        <v>144</v>
      </c>
      <c r="N119" s="22">
        <f t="shared" si="46"/>
        <v>1.1731499999999999</v>
      </c>
      <c r="P119" t="str">
        <f t="shared" si="47"/>
        <v>Manure management</v>
      </c>
      <c r="Q119" t="str">
        <f t="shared" si="48"/>
        <v>N2O</v>
      </c>
      <c r="R119" s="21">
        <v>20.7</v>
      </c>
      <c r="S119" t="s">
        <v>311</v>
      </c>
      <c r="T119" s="22">
        <f t="shared" si="49"/>
        <v>0.68310000000000004</v>
      </c>
    </row>
    <row r="120" spans="1:20" x14ac:dyDescent="0.25">
      <c r="A120" s="14" t="s">
        <v>263</v>
      </c>
      <c r="B120" t="str">
        <f t="shared" si="41"/>
        <v>Enteric fermentation</v>
      </c>
      <c r="C120" t="str">
        <f t="shared" si="42"/>
        <v>CH4</v>
      </c>
      <c r="D120" s="21">
        <v>0.51</v>
      </c>
      <c r="E120" t="s">
        <v>144</v>
      </c>
      <c r="F120" s="21">
        <v>446320.00000000006</v>
      </c>
      <c r="G120">
        <f t="shared" si="50"/>
        <v>0.28000000000000003</v>
      </c>
      <c r="H120" s="22">
        <f t="shared" si="43"/>
        <v>0.14280000000000001</v>
      </c>
      <c r="J120" t="str">
        <f t="shared" si="44"/>
        <v>Manure management</v>
      </c>
      <c r="K120" t="str">
        <f t="shared" si="45"/>
        <v>CH4</v>
      </c>
      <c r="L120" s="21">
        <v>17.96</v>
      </c>
      <c r="M120" t="s">
        <v>144</v>
      </c>
      <c r="N120" s="22">
        <f t="shared" si="46"/>
        <v>5.0288000000000004</v>
      </c>
      <c r="P120" t="str">
        <f t="shared" si="47"/>
        <v>Manure management</v>
      </c>
      <c r="Q120" t="str">
        <f t="shared" si="48"/>
        <v>N2O</v>
      </c>
      <c r="R120" s="21">
        <v>11.04</v>
      </c>
      <c r="S120" t="s">
        <v>311</v>
      </c>
      <c r="T120" s="22">
        <f t="shared" si="49"/>
        <v>3.0912000000000002</v>
      </c>
    </row>
    <row r="121" spans="1:20" x14ac:dyDescent="0.25">
      <c r="A121" s="14" t="s">
        <v>264</v>
      </c>
      <c r="B121" t="str">
        <f t="shared" si="41"/>
        <v>Enteric fermentation</v>
      </c>
      <c r="C121" t="str">
        <f t="shared" si="42"/>
        <v>CH4</v>
      </c>
      <c r="D121" s="21">
        <v>0.43</v>
      </c>
      <c r="E121" t="s">
        <v>144</v>
      </c>
      <c r="F121" s="21">
        <v>526020</v>
      </c>
      <c r="G121">
        <f t="shared" si="50"/>
        <v>0.33</v>
      </c>
      <c r="H121" s="22">
        <f t="shared" si="43"/>
        <v>0.1419</v>
      </c>
      <c r="J121" t="str">
        <f t="shared" si="44"/>
        <v>Manure management</v>
      </c>
      <c r="K121" t="str">
        <f t="shared" si="45"/>
        <v>CH4</v>
      </c>
      <c r="L121" s="21">
        <v>3.74</v>
      </c>
      <c r="M121" t="s">
        <v>144</v>
      </c>
      <c r="N121" s="22">
        <f t="shared" si="46"/>
        <v>1.2342000000000002</v>
      </c>
      <c r="P121" t="str">
        <f t="shared" si="47"/>
        <v>Manure management</v>
      </c>
      <c r="Q121" t="str">
        <f t="shared" si="48"/>
        <v>N2O</v>
      </c>
      <c r="R121" s="21">
        <v>11.04</v>
      </c>
      <c r="S121" t="s">
        <v>311</v>
      </c>
      <c r="T121" s="22">
        <f t="shared" si="49"/>
        <v>3.6431999999999998</v>
      </c>
    </row>
    <row r="122" spans="1:20" x14ac:dyDescent="0.25">
      <c r="A122" s="14" t="s">
        <v>265</v>
      </c>
      <c r="B122" t="str">
        <f t="shared" si="41"/>
        <v>Enteric fermentation</v>
      </c>
      <c r="C122" t="str">
        <f t="shared" si="42"/>
        <v>CH4</v>
      </c>
      <c r="D122" s="21">
        <v>2.41</v>
      </c>
      <c r="E122" t="s">
        <v>144</v>
      </c>
      <c r="F122" s="21">
        <v>9564</v>
      </c>
      <c r="G122">
        <f t="shared" si="50"/>
        <v>6.0000000000000001E-3</v>
      </c>
      <c r="H122" s="22">
        <f t="shared" si="43"/>
        <v>1.4460000000000001E-2</v>
      </c>
      <c r="J122" t="str">
        <f t="shared" si="44"/>
        <v>Manure management</v>
      </c>
      <c r="K122" t="str">
        <f t="shared" si="45"/>
        <v>CH4</v>
      </c>
      <c r="L122" s="21">
        <v>20.96</v>
      </c>
      <c r="M122" t="s">
        <v>144</v>
      </c>
      <c r="N122" s="22">
        <f t="shared" si="46"/>
        <v>0.12576000000000001</v>
      </c>
      <c r="P122" t="str">
        <f t="shared" si="47"/>
        <v>Manure management</v>
      </c>
      <c r="Q122" t="str">
        <f t="shared" si="48"/>
        <v>N2O</v>
      </c>
      <c r="R122" s="21">
        <v>12.25</v>
      </c>
      <c r="S122" t="s">
        <v>311</v>
      </c>
      <c r="T122" s="22">
        <f t="shared" si="49"/>
        <v>7.3499999999999996E-2</v>
      </c>
    </row>
    <row r="123" spans="1:20" x14ac:dyDescent="0.25">
      <c r="A123" s="14" t="s">
        <v>266</v>
      </c>
      <c r="B123" t="str">
        <f t="shared" si="41"/>
        <v>Enteric fermentation</v>
      </c>
      <c r="C123" t="str">
        <f t="shared" si="42"/>
        <v>CH4</v>
      </c>
      <c r="D123" s="21">
        <v>2.41</v>
      </c>
      <c r="E123" t="s">
        <v>144</v>
      </c>
      <c r="F123" s="21">
        <v>82888</v>
      </c>
      <c r="G123">
        <f t="shared" si="50"/>
        <v>5.1999999999999998E-2</v>
      </c>
      <c r="H123" s="22">
        <f t="shared" si="43"/>
        <v>0.12532000000000001</v>
      </c>
      <c r="J123" t="str">
        <f t="shared" si="44"/>
        <v>Manure management</v>
      </c>
      <c r="K123" t="str">
        <f t="shared" si="45"/>
        <v>CH4</v>
      </c>
      <c r="L123" s="21">
        <v>20.96</v>
      </c>
      <c r="M123" t="s">
        <v>144</v>
      </c>
      <c r="N123" s="22">
        <f t="shared" si="46"/>
        <v>1.08992</v>
      </c>
      <c r="P123" t="str">
        <f t="shared" si="47"/>
        <v>Manure management</v>
      </c>
      <c r="Q123" t="str">
        <f t="shared" si="48"/>
        <v>N2O</v>
      </c>
      <c r="R123" s="21">
        <v>12.23</v>
      </c>
      <c r="S123" t="s">
        <v>311</v>
      </c>
      <c r="T123" s="22">
        <f t="shared" si="49"/>
        <v>0.63595999999999997</v>
      </c>
    </row>
    <row r="124" spans="1:20" x14ac:dyDescent="0.25">
      <c r="A124" s="14" t="s">
        <v>267</v>
      </c>
      <c r="B124" t="str">
        <f t="shared" si="41"/>
        <v>Enteric fermentation</v>
      </c>
      <c r="C124" t="str">
        <f t="shared" si="42"/>
        <v>CH4</v>
      </c>
      <c r="D124" s="21">
        <v>0.79</v>
      </c>
      <c r="E124" t="s">
        <v>144</v>
      </c>
      <c r="F124" s="21">
        <v>7701.5822103987002</v>
      </c>
      <c r="G124">
        <f>F124/SUM($F$124:$F$133)</f>
        <v>3.6999999999999998E-2</v>
      </c>
      <c r="H124" s="22">
        <f t="shared" si="43"/>
        <v>2.9229999999999999E-2</v>
      </c>
      <c r="J124" t="str">
        <f t="shared" si="44"/>
        <v>Manure management</v>
      </c>
      <c r="K124" t="str">
        <f t="shared" si="45"/>
        <v>CH4</v>
      </c>
      <c r="L124" s="21">
        <v>0.46</v>
      </c>
      <c r="M124" t="s">
        <v>144</v>
      </c>
      <c r="N124" s="22">
        <f t="shared" si="46"/>
        <v>1.702E-2</v>
      </c>
      <c r="P124" t="str">
        <f t="shared" si="47"/>
        <v>Manure management</v>
      </c>
      <c r="Q124" t="str">
        <f t="shared" si="48"/>
        <v>N2O</v>
      </c>
      <c r="R124" s="21">
        <v>11.04</v>
      </c>
      <c r="S124" t="s">
        <v>311</v>
      </c>
      <c r="T124" s="22">
        <f t="shared" si="49"/>
        <v>0.40847999999999995</v>
      </c>
    </row>
    <row r="125" spans="1:20" x14ac:dyDescent="0.25">
      <c r="A125" s="14" t="s">
        <v>268</v>
      </c>
      <c r="B125" t="str">
        <f t="shared" si="41"/>
        <v>Enteric fermentation</v>
      </c>
      <c r="C125" t="str">
        <f t="shared" si="42"/>
        <v>CH4</v>
      </c>
      <c r="D125" s="21">
        <v>1.55</v>
      </c>
      <c r="E125" t="s">
        <v>144</v>
      </c>
      <c r="F125" s="21">
        <v>3746.7156699236921</v>
      </c>
      <c r="G125">
        <f t="shared" ref="G125:G133" si="51">F125/SUM($F$124:$F$133)</f>
        <v>1.7999999999999999E-2</v>
      </c>
      <c r="H125" s="22">
        <f t="shared" si="43"/>
        <v>2.7899999999999998E-2</v>
      </c>
      <c r="J125" t="str">
        <f t="shared" si="44"/>
        <v>Manure management</v>
      </c>
      <c r="K125" t="str">
        <f t="shared" si="45"/>
        <v>CH4</v>
      </c>
      <c r="L125" s="21">
        <v>0.37</v>
      </c>
      <c r="M125" t="s">
        <v>144</v>
      </c>
      <c r="N125" s="22">
        <f t="shared" si="46"/>
        <v>6.6599999999999993E-3</v>
      </c>
      <c r="P125" t="str">
        <f t="shared" si="47"/>
        <v>Manure management</v>
      </c>
      <c r="Q125" t="str">
        <f t="shared" si="48"/>
        <v>N2O</v>
      </c>
      <c r="R125" s="21">
        <v>14.59</v>
      </c>
      <c r="S125" t="s">
        <v>311</v>
      </c>
      <c r="T125" s="22">
        <f t="shared" si="49"/>
        <v>0.26261999999999996</v>
      </c>
    </row>
    <row r="126" spans="1:20" x14ac:dyDescent="0.25">
      <c r="A126" s="14" t="s">
        <v>269</v>
      </c>
      <c r="B126" t="str">
        <f t="shared" si="41"/>
        <v>Enteric fermentation</v>
      </c>
      <c r="C126" t="str">
        <f t="shared" si="42"/>
        <v>CH4</v>
      </c>
      <c r="D126" s="21">
        <v>1.55</v>
      </c>
      <c r="E126" t="s">
        <v>144</v>
      </c>
      <c r="F126" s="21">
        <v>1873.357834961846</v>
      </c>
      <c r="G126">
        <f t="shared" si="51"/>
        <v>8.9999999999999993E-3</v>
      </c>
      <c r="H126" s="22">
        <f t="shared" si="43"/>
        <v>1.3949999999999999E-2</v>
      </c>
      <c r="J126" t="str">
        <f t="shared" si="44"/>
        <v>Manure management</v>
      </c>
      <c r="K126" t="str">
        <f t="shared" si="45"/>
        <v>CH4</v>
      </c>
      <c r="L126" s="21">
        <v>0.37</v>
      </c>
      <c r="M126" t="s">
        <v>144</v>
      </c>
      <c r="N126" s="22">
        <f t="shared" si="46"/>
        <v>3.3299999999999996E-3</v>
      </c>
      <c r="P126" t="str">
        <f t="shared" si="47"/>
        <v>Manure management</v>
      </c>
      <c r="Q126" t="str">
        <f t="shared" si="48"/>
        <v>N2O</v>
      </c>
      <c r="R126" s="21">
        <v>14.59</v>
      </c>
      <c r="S126" t="s">
        <v>311</v>
      </c>
      <c r="T126" s="22">
        <f t="shared" si="49"/>
        <v>0.13130999999999998</v>
      </c>
    </row>
    <row r="127" spans="1:20" x14ac:dyDescent="0.25">
      <c r="A127" s="14" t="s">
        <v>270</v>
      </c>
      <c r="B127" t="str">
        <f t="shared" si="41"/>
        <v>Enteric fermentation</v>
      </c>
      <c r="C127" t="str">
        <f t="shared" si="42"/>
        <v>CH4</v>
      </c>
      <c r="D127" s="21">
        <v>1.24</v>
      </c>
      <c r="E127" t="s">
        <v>144</v>
      </c>
      <c r="F127" s="21">
        <v>15819.466161900034</v>
      </c>
      <c r="G127">
        <f t="shared" si="51"/>
        <v>7.5999999999999998E-2</v>
      </c>
      <c r="H127" s="22">
        <f t="shared" si="43"/>
        <v>9.423999999999999E-2</v>
      </c>
      <c r="J127" t="str">
        <f t="shared" si="44"/>
        <v>Manure management</v>
      </c>
      <c r="K127" t="str">
        <f t="shared" si="45"/>
        <v>CH4</v>
      </c>
      <c r="L127" s="21">
        <v>0.3</v>
      </c>
      <c r="M127" t="s">
        <v>144</v>
      </c>
      <c r="N127" s="22">
        <f t="shared" si="46"/>
        <v>2.2799999999999997E-2</v>
      </c>
      <c r="P127" t="str">
        <f t="shared" si="47"/>
        <v>Manure management</v>
      </c>
      <c r="Q127" t="str">
        <f t="shared" si="48"/>
        <v>N2O</v>
      </c>
      <c r="R127" s="21">
        <v>20.7</v>
      </c>
      <c r="S127" t="s">
        <v>311</v>
      </c>
      <c r="T127" s="22">
        <f t="shared" si="49"/>
        <v>1.5731999999999999</v>
      </c>
    </row>
    <row r="128" spans="1:20" x14ac:dyDescent="0.25">
      <c r="A128" s="14" t="s">
        <v>271</v>
      </c>
      <c r="B128" t="str">
        <f t="shared" si="41"/>
        <v>Enteric fermentation</v>
      </c>
      <c r="C128" t="str">
        <f t="shared" si="42"/>
        <v>CH4</v>
      </c>
      <c r="D128" s="21">
        <v>1.72</v>
      </c>
      <c r="E128" t="s">
        <v>144</v>
      </c>
      <c r="F128" s="21">
        <v>57033.338531060654</v>
      </c>
      <c r="G128">
        <f t="shared" si="51"/>
        <v>0.27400000000000002</v>
      </c>
      <c r="H128" s="22">
        <f t="shared" si="43"/>
        <v>0.47128000000000003</v>
      </c>
      <c r="J128" t="str">
        <f t="shared" si="44"/>
        <v>Manure management</v>
      </c>
      <c r="K128" t="str">
        <f t="shared" si="45"/>
        <v>CH4</v>
      </c>
      <c r="L128" s="21">
        <v>0.42</v>
      </c>
      <c r="M128" t="s">
        <v>144</v>
      </c>
      <c r="N128" s="22">
        <f t="shared" si="46"/>
        <v>0.11508</v>
      </c>
      <c r="P128" t="str">
        <f t="shared" si="47"/>
        <v>Manure management</v>
      </c>
      <c r="Q128" t="str">
        <f t="shared" si="48"/>
        <v>N2O</v>
      </c>
      <c r="R128" s="21">
        <v>20.7</v>
      </c>
      <c r="S128" t="s">
        <v>311</v>
      </c>
      <c r="T128" s="22">
        <f t="shared" si="49"/>
        <v>5.6718000000000002</v>
      </c>
    </row>
    <row r="129" spans="1:20" x14ac:dyDescent="0.25">
      <c r="A129" s="14" t="s">
        <v>272</v>
      </c>
      <c r="B129" t="str">
        <f t="shared" si="41"/>
        <v>Enteric fermentation</v>
      </c>
      <c r="C129" t="str">
        <f t="shared" si="42"/>
        <v>CH4</v>
      </c>
      <c r="D129" s="21">
        <v>3.27</v>
      </c>
      <c r="E129" t="s">
        <v>144</v>
      </c>
      <c r="F129" s="21">
        <v>10199.392657014496</v>
      </c>
      <c r="G129">
        <f t="shared" si="51"/>
        <v>4.9000000000000002E-2</v>
      </c>
      <c r="H129" s="22">
        <f t="shared" si="43"/>
        <v>0.16023000000000001</v>
      </c>
      <c r="J129" t="str">
        <f t="shared" si="44"/>
        <v>Manure management</v>
      </c>
      <c r="K129" t="str">
        <f t="shared" si="45"/>
        <v>CH4</v>
      </c>
      <c r="L129" s="21">
        <v>0.79</v>
      </c>
      <c r="M129" t="s">
        <v>144</v>
      </c>
      <c r="N129" s="22">
        <f t="shared" si="46"/>
        <v>3.8710000000000001E-2</v>
      </c>
      <c r="P129" t="str">
        <f t="shared" si="47"/>
        <v>Manure management</v>
      </c>
      <c r="Q129" t="str">
        <f t="shared" si="48"/>
        <v>N2O</v>
      </c>
      <c r="R129" s="21">
        <v>20.7</v>
      </c>
      <c r="S129" t="s">
        <v>311</v>
      </c>
      <c r="T129" s="22">
        <f t="shared" si="49"/>
        <v>1.0143</v>
      </c>
    </row>
    <row r="130" spans="1:20" x14ac:dyDescent="0.25">
      <c r="A130" s="14" t="s">
        <v>273</v>
      </c>
      <c r="B130" t="str">
        <f t="shared" si="41"/>
        <v>Enteric fermentation</v>
      </c>
      <c r="C130" t="str">
        <f t="shared" si="42"/>
        <v>CH4</v>
      </c>
      <c r="D130" s="21">
        <v>0.41</v>
      </c>
      <c r="E130" t="s">
        <v>144</v>
      </c>
      <c r="F130" s="21">
        <v>43087.230204122461</v>
      </c>
      <c r="G130">
        <f t="shared" si="51"/>
        <v>0.20699999999999999</v>
      </c>
      <c r="H130" s="22">
        <f t="shared" si="43"/>
        <v>8.4869999999999987E-2</v>
      </c>
      <c r="J130" t="str">
        <f t="shared" si="44"/>
        <v>Manure management</v>
      </c>
      <c r="K130" t="str">
        <f t="shared" si="45"/>
        <v>CH4</v>
      </c>
      <c r="L130" s="21">
        <v>0.4</v>
      </c>
      <c r="M130" t="s">
        <v>144</v>
      </c>
      <c r="N130" s="22">
        <f t="shared" si="46"/>
        <v>8.2799999999999999E-2</v>
      </c>
      <c r="P130" t="str">
        <f t="shared" si="47"/>
        <v>Manure management</v>
      </c>
      <c r="Q130" t="str">
        <f t="shared" si="48"/>
        <v>N2O</v>
      </c>
      <c r="R130" s="21">
        <v>11.04</v>
      </c>
      <c r="S130" t="s">
        <v>311</v>
      </c>
      <c r="T130" s="22">
        <f t="shared" si="49"/>
        <v>2.2852799999999998</v>
      </c>
    </row>
    <row r="131" spans="1:20" x14ac:dyDescent="0.25">
      <c r="A131" s="14" t="s">
        <v>274</v>
      </c>
      <c r="B131" t="str">
        <f t="shared" si="41"/>
        <v>Enteric fermentation</v>
      </c>
      <c r="C131" t="str">
        <f t="shared" si="42"/>
        <v>CH4</v>
      </c>
      <c r="D131" s="21">
        <v>0.34</v>
      </c>
      <c r="E131" t="s">
        <v>144</v>
      </c>
      <c r="F131" s="21">
        <v>50996.963285072481</v>
      </c>
      <c r="G131">
        <f t="shared" si="51"/>
        <v>0.245</v>
      </c>
      <c r="H131" s="22">
        <f t="shared" si="43"/>
        <v>8.3299999999999999E-2</v>
      </c>
      <c r="J131" t="str">
        <f t="shared" si="44"/>
        <v>Manure management</v>
      </c>
      <c r="K131" t="str">
        <f t="shared" si="45"/>
        <v>CH4</v>
      </c>
      <c r="L131" s="21">
        <v>0.08</v>
      </c>
      <c r="M131" t="s">
        <v>144</v>
      </c>
      <c r="N131" s="22">
        <f t="shared" si="46"/>
        <v>1.9599999999999999E-2</v>
      </c>
      <c r="P131" t="str">
        <f t="shared" si="47"/>
        <v>Manure management</v>
      </c>
      <c r="Q131" t="str">
        <f t="shared" si="48"/>
        <v>N2O</v>
      </c>
      <c r="R131" s="21">
        <v>11.04</v>
      </c>
      <c r="S131" t="s">
        <v>311</v>
      </c>
      <c r="T131" s="22">
        <f t="shared" si="49"/>
        <v>2.7047999999999996</v>
      </c>
    </row>
    <row r="132" spans="1:20" x14ac:dyDescent="0.25">
      <c r="A132" s="14" t="s">
        <v>275</v>
      </c>
      <c r="B132" t="str">
        <f t="shared" si="41"/>
        <v>Enteric fermentation</v>
      </c>
      <c r="C132" t="str">
        <f t="shared" si="42"/>
        <v>CH4</v>
      </c>
      <c r="D132" s="21">
        <v>1.93</v>
      </c>
      <c r="E132" t="s">
        <v>144</v>
      </c>
      <c r="F132" s="21">
        <v>1873.357834961846</v>
      </c>
      <c r="G132">
        <f t="shared" si="51"/>
        <v>8.9999999999999993E-3</v>
      </c>
      <c r="H132" s="22">
        <f t="shared" si="43"/>
        <v>1.7369999999999997E-2</v>
      </c>
      <c r="J132" t="str">
        <f t="shared" si="44"/>
        <v>Manure management</v>
      </c>
      <c r="K132" t="str">
        <f t="shared" si="45"/>
        <v>CH4</v>
      </c>
      <c r="L132" s="21">
        <v>0.46</v>
      </c>
      <c r="M132" t="s">
        <v>144</v>
      </c>
      <c r="N132" s="22">
        <f t="shared" si="46"/>
        <v>4.1399999999999996E-3</v>
      </c>
      <c r="P132" t="str">
        <f t="shared" si="47"/>
        <v>Manure management</v>
      </c>
      <c r="Q132" t="str">
        <f t="shared" si="48"/>
        <v>N2O</v>
      </c>
      <c r="R132" s="21">
        <v>12.25</v>
      </c>
      <c r="S132" t="s">
        <v>311</v>
      </c>
      <c r="T132" s="22">
        <f t="shared" si="49"/>
        <v>0.11024999999999999</v>
      </c>
    </row>
    <row r="133" spans="1:20" x14ac:dyDescent="0.25">
      <c r="A133" s="14" t="s">
        <v>276</v>
      </c>
      <c r="B133" t="str">
        <f t="shared" si="41"/>
        <v>Enteric fermentation</v>
      </c>
      <c r="C133" t="str">
        <f t="shared" si="42"/>
        <v>CH4</v>
      </c>
      <c r="D133" s="21">
        <v>1.93</v>
      </c>
      <c r="E133" t="s">
        <v>144</v>
      </c>
      <c r="F133" s="21">
        <v>15819.466161900034</v>
      </c>
      <c r="G133">
        <f t="shared" si="51"/>
        <v>7.5999999999999998E-2</v>
      </c>
      <c r="H133" s="22">
        <f t="shared" si="43"/>
        <v>0.14668</v>
      </c>
      <c r="J133" t="str">
        <f t="shared" si="44"/>
        <v>Manure management</v>
      </c>
      <c r="K133" t="str">
        <f t="shared" si="45"/>
        <v>CH4</v>
      </c>
      <c r="L133" s="21">
        <v>0.46</v>
      </c>
      <c r="M133" t="s">
        <v>144</v>
      </c>
      <c r="N133" s="22">
        <f t="shared" si="46"/>
        <v>3.4959999999999998E-2</v>
      </c>
      <c r="P133" t="str">
        <f t="shared" si="47"/>
        <v>Manure management</v>
      </c>
      <c r="Q133" t="str">
        <f t="shared" si="48"/>
        <v>N2O</v>
      </c>
      <c r="R133" s="21">
        <v>12.23</v>
      </c>
      <c r="S133" t="s">
        <v>311</v>
      </c>
      <c r="T133" s="22">
        <f t="shared" si="49"/>
        <v>0.92947999999999997</v>
      </c>
    </row>
    <row r="134" spans="1:20" x14ac:dyDescent="0.25">
      <c r="A134" s="13" t="s">
        <v>288</v>
      </c>
      <c r="M134" s="13"/>
    </row>
    <row r="135" spans="1:20" x14ac:dyDescent="0.25">
      <c r="A135" s="14" t="s">
        <v>289</v>
      </c>
      <c r="F135" s="21">
        <v>88431266.728296682</v>
      </c>
      <c r="J135" t="str">
        <f t="shared" ref="J135:J138" si="52">$J$5</f>
        <v>Manure management</v>
      </c>
      <c r="K135" t="str">
        <f t="shared" ref="K135:K138" si="53">$K$5</f>
        <v>CH4</v>
      </c>
      <c r="L135" s="21">
        <v>2.35E-2</v>
      </c>
      <c r="M135" t="s">
        <v>144</v>
      </c>
      <c r="N135" s="22">
        <f>L135</f>
        <v>2.35E-2</v>
      </c>
      <c r="P135" t="str">
        <f t="shared" ref="P135:P138" si="54">$P$5</f>
        <v>Manure management</v>
      </c>
      <c r="Q135" t="str">
        <f t="shared" ref="Q135:Q138" si="55">$Q$5</f>
        <v>N2O</v>
      </c>
      <c r="R135" s="21">
        <v>0.7</v>
      </c>
      <c r="S135" t="s">
        <v>311</v>
      </c>
      <c r="T135" s="22">
        <f>R135</f>
        <v>0.7</v>
      </c>
    </row>
    <row r="136" spans="1:20" x14ac:dyDescent="0.25">
      <c r="A136" s="14" t="s">
        <v>290</v>
      </c>
      <c r="F136" s="21">
        <v>23091061.215630483</v>
      </c>
      <c r="J136" t="str">
        <f t="shared" si="52"/>
        <v>Manure management</v>
      </c>
      <c r="K136" t="str">
        <f t="shared" si="53"/>
        <v>CH4</v>
      </c>
      <c r="L136" s="21">
        <v>2.35E-2</v>
      </c>
      <c r="M136" t="s">
        <v>144</v>
      </c>
      <c r="N136" s="22">
        <f t="shared" ref="N136:N138" si="56">L136</f>
        <v>2.35E-2</v>
      </c>
      <c r="P136" t="str">
        <f t="shared" si="54"/>
        <v>Manure management</v>
      </c>
      <c r="Q136" t="str">
        <f t="shared" si="55"/>
        <v>N2O</v>
      </c>
      <c r="R136" s="21">
        <v>0.6</v>
      </c>
      <c r="S136" t="s">
        <v>311</v>
      </c>
      <c r="T136" s="22">
        <f t="shared" ref="T136:T138" si="57">R136</f>
        <v>0.6</v>
      </c>
    </row>
    <row r="137" spans="1:20" x14ac:dyDescent="0.25">
      <c r="A137" s="14" t="s">
        <v>291</v>
      </c>
      <c r="F137" s="21">
        <v>3714113.2025884609</v>
      </c>
      <c r="J137" t="str">
        <f t="shared" si="52"/>
        <v>Manure management</v>
      </c>
      <c r="K137" t="str">
        <f t="shared" si="53"/>
        <v>CH4</v>
      </c>
      <c r="L137" s="21">
        <v>2.35E-2</v>
      </c>
      <c r="M137" t="s">
        <v>144</v>
      </c>
      <c r="N137" s="22">
        <f t="shared" si="56"/>
        <v>2.35E-2</v>
      </c>
      <c r="P137" t="str">
        <f t="shared" si="54"/>
        <v>Manure management</v>
      </c>
      <c r="Q137" t="str">
        <f t="shared" si="55"/>
        <v>N2O</v>
      </c>
      <c r="R137" s="21">
        <v>0.7</v>
      </c>
      <c r="S137" t="s">
        <v>311</v>
      </c>
      <c r="T137" s="22">
        <f t="shared" si="57"/>
        <v>0.7</v>
      </c>
    </row>
    <row r="138" spans="1:20" x14ac:dyDescent="0.25">
      <c r="A138" s="14" t="s">
        <v>292</v>
      </c>
      <c r="F138" s="21">
        <v>969824.57105648029</v>
      </c>
      <c r="J138" t="str">
        <f t="shared" si="52"/>
        <v>Manure management</v>
      </c>
      <c r="K138" t="str">
        <f t="shared" si="53"/>
        <v>CH4</v>
      </c>
      <c r="L138" s="21">
        <v>2.35E-2</v>
      </c>
      <c r="M138" t="s">
        <v>144</v>
      </c>
      <c r="N138" s="22">
        <f t="shared" si="56"/>
        <v>2.35E-2</v>
      </c>
      <c r="P138" t="str">
        <f t="shared" si="54"/>
        <v>Manure management</v>
      </c>
      <c r="Q138" t="str">
        <f t="shared" si="55"/>
        <v>N2O</v>
      </c>
      <c r="R138" s="21">
        <v>0.6</v>
      </c>
      <c r="S138" t="s">
        <v>311</v>
      </c>
      <c r="T138" s="22">
        <f t="shared" si="57"/>
        <v>0.6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2D050"/>
  </sheetPr>
  <dimension ref="A1:BV187"/>
  <sheetViews>
    <sheetView workbookViewId="0">
      <pane xSplit="7" ySplit="3" topLeftCell="AD92" activePane="bottomRight" state="frozen"/>
      <selection pane="topRight" activeCell="H1" sqref="H1"/>
      <selection pane="bottomLeft" activeCell="A4" sqref="A4"/>
      <selection pane="bottomRight" activeCell="AD155" sqref="AD155"/>
    </sheetView>
  </sheetViews>
  <sheetFormatPr defaultRowHeight="15" x14ac:dyDescent="0.25"/>
  <cols>
    <col min="1" max="1" width="15.42578125" customWidth="1"/>
    <col min="2" max="2" width="31" customWidth="1"/>
    <col min="3" max="3" width="27.7109375" customWidth="1"/>
    <col min="4" max="4" width="48.42578125" customWidth="1"/>
    <col min="5" max="5" width="33.28515625" customWidth="1"/>
    <col min="6" max="6" width="7.5703125" customWidth="1"/>
    <col min="7" max="7" width="14" customWidth="1"/>
    <col min="8" max="35" width="9.7109375" customWidth="1"/>
    <col min="36" max="36" width="9.5703125" customWidth="1"/>
    <col min="51" max="52" width="9.42578125" customWidth="1"/>
    <col min="53" max="53" width="9.7109375" customWidth="1"/>
  </cols>
  <sheetData>
    <row r="1" spans="1:74" ht="18.75" x14ac:dyDescent="0.3">
      <c r="A1" s="1" t="s">
        <v>658</v>
      </c>
    </row>
    <row r="3" spans="1:74" s="19" customFormat="1" ht="15.75" x14ac:dyDescent="0.25">
      <c r="A3" s="17" t="s">
        <v>4</v>
      </c>
      <c r="B3" s="17" t="s">
        <v>313</v>
      </c>
      <c r="C3" s="17" t="s">
        <v>315</v>
      </c>
      <c r="D3" s="17" t="s">
        <v>149</v>
      </c>
      <c r="E3" s="17" t="s">
        <v>150</v>
      </c>
      <c r="F3" s="17" t="s">
        <v>5</v>
      </c>
      <c r="G3" s="17" t="s">
        <v>0</v>
      </c>
      <c r="H3" s="17">
        <v>1990</v>
      </c>
      <c r="I3" s="17">
        <v>1991</v>
      </c>
      <c r="J3" s="17">
        <v>1992</v>
      </c>
      <c r="K3" s="17">
        <v>1993</v>
      </c>
      <c r="L3" s="17">
        <v>1994</v>
      </c>
      <c r="M3" s="17">
        <v>1995</v>
      </c>
      <c r="N3" s="17">
        <v>1996</v>
      </c>
      <c r="O3" s="17">
        <v>1997</v>
      </c>
      <c r="P3" s="17">
        <v>1998</v>
      </c>
      <c r="Q3" s="17">
        <v>1999</v>
      </c>
      <c r="R3" s="17">
        <v>2000</v>
      </c>
      <c r="S3" s="17">
        <v>2001</v>
      </c>
      <c r="T3" s="17">
        <v>2002</v>
      </c>
      <c r="U3" s="17">
        <v>2003</v>
      </c>
      <c r="V3" s="17">
        <v>2004</v>
      </c>
      <c r="W3" s="17">
        <v>2005</v>
      </c>
      <c r="X3" s="17">
        <v>2006</v>
      </c>
      <c r="Y3" s="17">
        <v>2007</v>
      </c>
      <c r="Z3" s="17">
        <v>2008</v>
      </c>
      <c r="AA3" s="17">
        <v>2009</v>
      </c>
      <c r="AB3" s="17">
        <v>2010</v>
      </c>
      <c r="AC3" s="17">
        <v>2011</v>
      </c>
      <c r="AD3" s="17">
        <v>2012</v>
      </c>
      <c r="AE3" s="17">
        <v>2013</v>
      </c>
      <c r="AF3" s="17">
        <v>2014</v>
      </c>
      <c r="AG3" s="17">
        <v>2015</v>
      </c>
      <c r="AH3" s="17">
        <v>2016</v>
      </c>
      <c r="AI3" s="17">
        <v>2017</v>
      </c>
      <c r="AJ3" s="17">
        <v>2018</v>
      </c>
      <c r="AK3" s="17">
        <v>2019</v>
      </c>
      <c r="AL3" s="17">
        <v>2020</v>
      </c>
      <c r="AM3" s="17">
        <v>2021</v>
      </c>
      <c r="AN3" s="17">
        <v>2022</v>
      </c>
      <c r="AO3" s="17">
        <v>2023</v>
      </c>
      <c r="AP3" s="17">
        <v>2024</v>
      </c>
      <c r="AQ3" s="17">
        <v>2025</v>
      </c>
      <c r="AR3" s="17">
        <v>2026</v>
      </c>
      <c r="AS3" s="17">
        <v>2027</v>
      </c>
      <c r="AT3" s="17">
        <v>2028</v>
      </c>
      <c r="AU3" s="17">
        <v>2029</v>
      </c>
      <c r="AV3" s="17">
        <v>2030</v>
      </c>
      <c r="AW3" s="17">
        <v>2031</v>
      </c>
      <c r="AX3" s="17">
        <v>2032</v>
      </c>
      <c r="AY3" s="17">
        <v>2033</v>
      </c>
      <c r="AZ3" s="17">
        <v>2034</v>
      </c>
      <c r="BA3" s="17">
        <v>2035</v>
      </c>
      <c r="BB3" s="17">
        <v>2036</v>
      </c>
      <c r="BC3" s="17">
        <v>2037</v>
      </c>
      <c r="BD3" s="17">
        <v>2038</v>
      </c>
      <c r="BE3" s="17">
        <v>2039</v>
      </c>
      <c r="BF3" s="17">
        <v>2040</v>
      </c>
      <c r="BG3" s="17">
        <v>2041</v>
      </c>
      <c r="BH3" s="17">
        <v>2042</v>
      </c>
      <c r="BI3" s="17">
        <v>2043</v>
      </c>
      <c r="BJ3" s="17">
        <v>2044</v>
      </c>
      <c r="BK3" s="17">
        <v>2045</v>
      </c>
      <c r="BL3" s="17">
        <v>2046</v>
      </c>
      <c r="BM3" s="17">
        <v>2047</v>
      </c>
      <c r="BN3" s="17">
        <v>2048</v>
      </c>
      <c r="BO3" s="17">
        <v>2049</v>
      </c>
      <c r="BP3" s="17">
        <v>2050</v>
      </c>
      <c r="BQ3" s="17"/>
      <c r="BR3" s="17"/>
      <c r="BS3" s="17"/>
      <c r="BT3" s="17"/>
      <c r="BU3" s="17"/>
      <c r="BV3" s="17"/>
    </row>
    <row r="4" spans="1:74" x14ac:dyDescent="0.25">
      <c r="A4" t="str">
        <f>'IPCC Categories'!A5</f>
        <v>3A Livestock</v>
      </c>
      <c r="B4" t="str">
        <f>'IPCC Categories'!B5</f>
        <v>3A1 Enteric fermentation (CH4)</v>
      </c>
      <c r="C4" t="str">
        <f>EF!C4</f>
        <v>3A1ai Dairy cattle</v>
      </c>
      <c r="D4" t="str">
        <f>EF!D4</f>
        <v>TMR</v>
      </c>
      <c r="E4" t="str">
        <f>'IPCC Categories'!F5&amp;" Emissions"</f>
        <v>Enteric fermentation Emissions</v>
      </c>
      <c r="F4" t="s">
        <v>121</v>
      </c>
      <c r="G4" t="s">
        <v>286</v>
      </c>
      <c r="H4" s="28">
        <f>IF(('Activity data'!H5*EF!$H4)*kgtoGg=0,"NO",('Activity data'!H5*EF!$H4)*kgtoGg)</f>
        <v>59.718917014778661</v>
      </c>
      <c r="I4" s="28">
        <f>IF(('Activity data'!I5*EF!$H4)*kgtoGg=0,"NO",('Activity data'!I5*EF!$H4)*kgtoGg)</f>
        <v>68.751985275543859</v>
      </c>
      <c r="J4" s="28">
        <f>IF(('Activity data'!J5*EF!$H4)*kgtoGg=0,"NO",('Activity data'!J5*EF!$H4)*kgtoGg)</f>
        <v>59.479363059114746</v>
      </c>
      <c r="K4" s="28">
        <f>IF(('Activity data'!K5*EF!$H4)*kgtoGg=0,"NO",('Activity data'!K5*EF!$H4)*kgtoGg)</f>
        <v>63.083438863990956</v>
      </c>
      <c r="L4" s="28">
        <f>IF(('Activity data'!L5*EF!$H4)*kgtoGg=0,"NO",('Activity data'!L5*EF!$H4)*kgtoGg)</f>
        <v>58.521147236459079</v>
      </c>
      <c r="M4" s="28">
        <f>IF(('Activity data'!M5*EF!$H4)*kgtoGg=0,"NO",('Activity data'!M5*EF!$H4)*kgtoGg)</f>
        <v>62.604330952663126</v>
      </c>
      <c r="N4" s="28">
        <f>IF(('Activity data'!N5*EF!$H4)*kgtoGg=0,"NO",('Activity data'!N5*EF!$H4)*kgtoGg)</f>
        <v>62.843884908327048</v>
      </c>
      <c r="O4" s="28">
        <f>IF(('Activity data'!O5*EF!$H4)*kgtoGg=0,"NO",('Activity data'!O5*EF!$H4)*kgtoGg)</f>
        <v>60.585617843135758</v>
      </c>
      <c r="P4" s="28">
        <f>IF(('Activity data'!P5*EF!$H4)*kgtoGg=0,"NO",('Activity data'!P5*EF!$H4)*kgtoGg)</f>
        <v>59.866955976144006</v>
      </c>
      <c r="Q4" s="28">
        <f>IF(('Activity data'!Q5*EF!$H4)*kgtoGg=0,"NO",('Activity data'!Q5*EF!$H4)*kgtoGg)</f>
        <v>58.80645868927229</v>
      </c>
      <c r="R4" s="28">
        <f>IF(('Activity data'!R5*EF!$H4)*kgtoGg=0,"NO",('Activity data'!R5*EF!$H4)*kgtoGg)</f>
        <v>75.720582929632371</v>
      </c>
      <c r="S4" s="28">
        <f>IF(('Activity data'!S5*EF!$H4)*kgtoGg=0,"NO",('Activity data'!S5*EF!$H4)*kgtoGg)</f>
        <v>75.481028973968449</v>
      </c>
      <c r="T4" s="28">
        <f>IF(('Activity data'!T5*EF!$H4)*kgtoGg=0,"NO",('Activity data'!T5*EF!$H4)*kgtoGg)</f>
        <v>65.820813840510098</v>
      </c>
      <c r="U4" s="28">
        <f>IF(('Activity data'!U5*EF!$H4)*kgtoGg=0,"NO",('Activity data'!U5*EF!$H4)*kgtoGg)</f>
        <v>59.866955976144006</v>
      </c>
      <c r="V4" s="28">
        <f>IF(('Activity data'!V5*EF!$H4)*kgtoGg=0,"NO",('Activity data'!V5*EF!$H4)*kgtoGg)</f>
        <v>57.802485369467341</v>
      </c>
      <c r="W4" s="28">
        <f>IF(('Activity data'!W5*EF!$H4)*kgtoGg=0,"NO",('Activity data'!W5*EF!$H4)*kgtoGg)</f>
        <v>61.885669085671374</v>
      </c>
      <c r="X4" s="28">
        <f>IF(('Activity data'!X5*EF!$H4)*kgtoGg=0,"NO",('Activity data'!X5*EF!$H4)*kgtoGg)</f>
        <v>60.539860345986469</v>
      </c>
      <c r="Y4" s="28">
        <f>IF(('Activity data'!Y5*EF!$H4)*kgtoGg=0,"NO",('Activity data'!Y5*EF!$H4)*kgtoGg)</f>
        <v>60.106509931807928</v>
      </c>
      <c r="Z4" s="28">
        <f>IF(('Activity data'!Z5*EF!$H4)*kgtoGg=0,"NO",('Activity data'!Z5*EF!$H4)*kgtoGg)</f>
        <v>73.610354825806411</v>
      </c>
      <c r="AA4" s="28">
        <f>IF(('Activity data'!AA5*EF!$H4)*kgtoGg=0,"NO",('Activity data'!AA5*EF!$H4)*kgtoGg)</f>
        <v>75.435271476819167</v>
      </c>
      <c r="AB4" s="28">
        <f>IF(('Activity data'!AB5*EF!$H4)*kgtoGg=0,"NO",('Activity data'!AB5*EF!$H4)*kgtoGg)</f>
        <v>75.435271476819167</v>
      </c>
      <c r="AC4" s="28">
        <f>IF(('Activity data'!AC5*EF!$H4)*kgtoGg=0,"NO",('Activity data'!AC5*EF!$H4)*kgtoGg)</f>
        <v>72.697896500300033</v>
      </c>
      <c r="AD4" s="28">
        <f>IF(('Activity data'!AD5*EF!$H4)*kgtoGg=0,"NO",('Activity data'!AD5*EF!$H4)*kgtoGg)</f>
        <v>72.376996171709351</v>
      </c>
      <c r="AE4" s="28">
        <f>IF(('Activity data'!AE5*EF!$H4)*kgtoGg=0,"NO",('Activity data'!AE5*EF!$H4)*kgtoGg)</f>
        <v>72.827193296605245</v>
      </c>
      <c r="AF4" s="28">
        <f>IF(('Activity data'!AF5*EF!$H4)*kgtoGg=0,"NO",('Activity data'!AF5*EF!$H4)*kgtoGg)</f>
        <v>73.136710021656683</v>
      </c>
      <c r="AG4" s="28">
        <f>IF(('Activity data'!AG5*EF!$H4)*kgtoGg=0,"NO",('Activity data'!AG5*EF!$H4)*kgtoGg)</f>
        <v>73.233779022849987</v>
      </c>
      <c r="AH4" s="28">
        <f>IF(('Activity data'!AH5*EF!$H4)*kgtoGg=0,"NO",('Activity data'!AH5*EF!$H4)*kgtoGg)</f>
        <v>73.365098896994937</v>
      </c>
      <c r="AI4" s="28">
        <f>IF(('Activity data'!AI5*EF!$H4)*kgtoGg=0,"NO",('Activity data'!AI5*EF!$H4)*kgtoGg)</f>
        <v>73.652739312599607</v>
      </c>
      <c r="AJ4" s="28">
        <f>IF(('Activity data'!AJ5*EF!$H4)*kgtoGg=0,"NO",('Activity data'!AJ5*EF!$H4)*kgtoGg)</f>
        <v>73.997590994756678</v>
      </c>
      <c r="AK4" s="28">
        <f>IF(('Activity data'!AK5*EF!$H4)*kgtoGg=0,"NO",('Activity data'!AK5*EF!$H4)*kgtoGg)</f>
        <v>74.101188037293639</v>
      </c>
      <c r="AL4" s="28">
        <f>IF(('Activity data'!AL5*EF!$H4)*kgtoGg=0,"NO",('Activity data'!AL5*EF!$H4)*kgtoGg)</f>
        <v>71.826298208807202</v>
      </c>
      <c r="AM4" s="28">
        <f>IF(('Activity data'!AM5*EF!$H4)*kgtoGg=0,"NO",('Activity data'!AM5*EF!$H4)*kgtoGg)</f>
        <v>72.417907231153862</v>
      </c>
      <c r="AN4" s="28">
        <f>IF(('Activity data'!AN5*EF!$H4)*kgtoGg=0,"NO",('Activity data'!AN5*EF!$H4)*kgtoGg)</f>
        <v>72.960395903467088</v>
      </c>
      <c r="AO4" s="28">
        <f>IF(('Activity data'!AO5*EF!$H4)*kgtoGg=0,"NO",('Activity data'!AO5*EF!$H4)*kgtoGg)</f>
        <v>73.516627561358078</v>
      </c>
      <c r="AP4" s="28">
        <f>IF(('Activity data'!AP5*EF!$H4)*kgtoGg=0,"NO",('Activity data'!AP5*EF!$H4)*kgtoGg)</f>
        <v>74.186684258863224</v>
      </c>
      <c r="AQ4" s="28">
        <f>IF(('Activity data'!AQ5*EF!$H4)*kgtoGg=0,"NO",('Activity data'!AQ5*EF!$H4)*kgtoGg)</f>
        <v>74.869314167562791</v>
      </c>
      <c r="AR4" s="28">
        <f>IF(('Activity data'!AR5*EF!$H4)*kgtoGg=0,"NO",('Activity data'!AR5*EF!$H4)*kgtoGg)</f>
        <v>75.534003476484159</v>
      </c>
      <c r="AS4" s="28">
        <f>IF(('Activity data'!AS5*EF!$H4)*kgtoGg=0,"NO",('Activity data'!AS5*EF!$H4)*kgtoGg)</f>
        <v>76.185395165959491</v>
      </c>
      <c r="AT4" s="28">
        <f>IF(('Activity data'!AT5*EF!$H4)*kgtoGg=0,"NO",('Activity data'!AT5*EF!$H4)*kgtoGg)</f>
        <v>76.887015456471644</v>
      </c>
      <c r="AU4" s="28">
        <f>IF(('Activity data'!AU5*EF!$H4)*kgtoGg=0,"NO",('Activity data'!AU5*EF!$H4)*kgtoGg)</f>
        <v>77.551436080037234</v>
      </c>
      <c r="AV4" s="28">
        <f>IF(('Activity data'!AV5*EF!$H4)*kgtoGg=0,"NO",('Activity data'!AV5*EF!$H4)*kgtoGg)</f>
        <v>78.239689008310734</v>
      </c>
      <c r="AW4" s="28">
        <f>IF(('Activity data'!AW5*EF!$H4)*kgtoGg=0,"NO",('Activity data'!AW5*EF!$H4)*kgtoGg)</f>
        <v>79.030428819406467</v>
      </c>
      <c r="AX4" s="28">
        <f>IF(('Activity data'!AX5*EF!$H4)*kgtoGg=0,"NO",('Activity data'!AX5*EF!$H4)*kgtoGg)</f>
        <v>79.891627595721104</v>
      </c>
      <c r="AY4" s="28">
        <f>IF(('Activity data'!AY5*EF!$H4)*kgtoGg=0,"NO",('Activity data'!AY5*EF!$H4)*kgtoGg)</f>
        <v>80.787009350430679</v>
      </c>
      <c r="AZ4" s="28">
        <f>IF(('Activity data'!AZ5*EF!$H4)*kgtoGg=0,"NO",('Activity data'!AZ5*EF!$H4)*kgtoGg)</f>
        <v>80.912080498201277</v>
      </c>
      <c r="BA4" s="28">
        <f>IF(('Activity data'!BA5*EF!$H4)*kgtoGg=0,"NO",('Activity data'!BA5*EF!$H4)*kgtoGg)</f>
        <v>43.319538481890476</v>
      </c>
      <c r="BB4" s="28">
        <f>IF(('Activity data'!BB5*EF!$H4)*kgtoGg=0,"NO",('Activity data'!BB5*EF!$H4)*kgtoGg)</f>
        <v>43.351399738006613</v>
      </c>
      <c r="BC4" s="28">
        <f>IF(('Activity data'!BC5*EF!$H4)*kgtoGg=0,"NO",('Activity data'!BC5*EF!$H4)*kgtoGg)</f>
        <v>43.387446354851633</v>
      </c>
      <c r="BD4" s="28">
        <f>IF(('Activity data'!BD5*EF!$H4)*kgtoGg=0,"NO",('Activity data'!BD5*EF!$H4)*kgtoGg)</f>
        <v>43.427519248376711</v>
      </c>
      <c r="BE4" s="28">
        <f>IF(('Activity data'!BE5*EF!$H4)*kgtoGg=0,"NO",('Activity data'!BE5*EF!$H4)*kgtoGg)</f>
        <v>43.471471586559346</v>
      </c>
      <c r="BF4" s="28">
        <f>IF(('Activity data'!BF5*EF!$H4)*kgtoGg=0,"NO",('Activity data'!BF5*EF!$H4)*kgtoGg)</f>
        <v>43.519167628118126</v>
      </c>
      <c r="BG4" s="28">
        <f>IF(('Activity data'!BG5*EF!$H4)*kgtoGg=0,"NO",('Activity data'!BG5*EF!$H4)*kgtoGg)</f>
        <v>43.539702199078199</v>
      </c>
      <c r="BH4" s="28">
        <f>IF(('Activity data'!BH5*EF!$H4)*kgtoGg=0,"NO",('Activity data'!BH5*EF!$H4)*kgtoGg)</f>
        <v>43.56353361698914</v>
      </c>
      <c r="BI4" s="28">
        <f>IF(('Activity data'!BI5*EF!$H4)*kgtoGg=0,"NO",('Activity data'!BI5*EF!$H4)*kgtoGg)</f>
        <v>43.590546733122295</v>
      </c>
      <c r="BJ4" s="28">
        <f>IF(('Activity data'!BJ5*EF!$H4)*kgtoGg=0,"NO",('Activity data'!BJ5*EF!$H4)*kgtoGg)</f>
        <v>43.620634256127552</v>
      </c>
      <c r="BK4" s="28">
        <f>IF(('Activity data'!BK5*EF!$H4)*kgtoGg=0,"NO",('Activity data'!BK5*EF!$H4)*kgtoGg)</f>
        <v>43.653696085271918</v>
      </c>
      <c r="BL4" s="28">
        <f>IF(('Activity data'!BL5*EF!$H4)*kgtoGg=0,"NO",('Activity data'!BL5*EF!$H4)*kgtoGg)</f>
        <v>43.658527557301703</v>
      </c>
      <c r="BM4" s="28">
        <f>IF(('Activity data'!BM5*EF!$H4)*kgtoGg=0,"NO",('Activity data'!BM5*EF!$H4)*kgtoGg)</f>
        <v>43.665995825413447</v>
      </c>
      <c r="BN4" s="28">
        <f>IF(('Activity data'!BN5*EF!$H4)*kgtoGg=0,"NO",('Activity data'!BN5*EF!$H4)*kgtoGg)</f>
        <v>43.676013492535439</v>
      </c>
      <c r="BO4" s="28">
        <f>IF(('Activity data'!BO5*EF!$H4)*kgtoGg=0,"NO",('Activity data'!BO5*EF!$H4)*kgtoGg)</f>
        <v>43.688498485748141</v>
      </c>
      <c r="BP4" s="28">
        <f>IF(('Activity data'!BP5*EF!$H4)*kgtoGg=0,"NO",('Activity data'!BP5*EF!$H4)*kgtoGg)</f>
        <v>43.703373647289609</v>
      </c>
    </row>
    <row r="5" spans="1:74" x14ac:dyDescent="0.25">
      <c r="A5" t="str">
        <f>A4</f>
        <v>3A Livestock</v>
      </c>
      <c r="B5" t="str">
        <f>B4</f>
        <v>3A1 Enteric fermentation (CH4)</v>
      </c>
      <c r="C5" t="str">
        <f>EF!C5</f>
        <v>3A1ai Dairy cattle</v>
      </c>
      <c r="D5" t="str">
        <f>EF!D5</f>
        <v>Pasture</v>
      </c>
      <c r="E5" t="str">
        <f t="shared" ref="E5:G6" si="0">E4</f>
        <v>Enteric fermentation Emissions</v>
      </c>
      <c r="F5" t="str">
        <f t="shared" si="0"/>
        <v>CH4</v>
      </c>
      <c r="G5" t="str">
        <f t="shared" si="0"/>
        <v>Gg CH4</v>
      </c>
      <c r="H5" s="28">
        <f>IF(('Activity data'!H6*EF!$H5)*kgtoGg=0,"NO",('Activity data'!H6*EF!$H5)*kgtoGg)</f>
        <v>47.244302499713584</v>
      </c>
      <c r="I5" s="28">
        <f>IF(('Activity data'!I6*EF!$H5)*kgtoGg=0,"NO",('Activity data'!I6*EF!$H5)*kgtoGg)</f>
        <v>54.390463728768381</v>
      </c>
      <c r="J5" s="28">
        <f>IF(('Activity data'!J6*EF!$H5)*kgtoGg=0,"NO",('Activity data'!J6*EF!$H5)*kgtoGg)</f>
        <v>47.054788688811946</v>
      </c>
      <c r="K5" s="28">
        <f>IF(('Activity data'!K6*EF!$H5)*kgtoGg=0,"NO",('Activity data'!K6*EF!$H5)*kgtoGg)</f>
        <v>49.90601332698369</v>
      </c>
      <c r="L5" s="28">
        <f>IF(('Activity data'!L6*EF!$H5)*kgtoGg=0,"NO",('Activity data'!L6*EF!$H5)*kgtoGg)</f>
        <v>46.296733445205426</v>
      </c>
      <c r="M5" s="28">
        <f>IF(('Activity data'!M6*EF!$H5)*kgtoGg=0,"NO",('Activity data'!M6*EF!$H5)*kgtoGg)</f>
        <v>49.526985705180429</v>
      </c>
      <c r="N5" s="28">
        <f>IF(('Activity data'!N6*EF!$H5)*kgtoGg=0,"NO",('Activity data'!N6*EF!$H5)*kgtoGg)</f>
        <v>49.71649951608206</v>
      </c>
      <c r="O5" s="28">
        <f>IF(('Activity data'!O6*EF!$H5)*kgtoGg=0,"NO",('Activity data'!O6*EF!$H5)*kgtoGg)</f>
        <v>47.929959208818367</v>
      </c>
      <c r="P5" s="28">
        <f>IF(('Activity data'!P6*EF!$H5)*kgtoGg=0,"NO",('Activity data'!P6*EF!$H5)*kgtoGg)</f>
        <v>47.36141777611347</v>
      </c>
      <c r="Q5" s="28">
        <f>IF(('Activity data'!Q6*EF!$H5)*kgtoGg=0,"NO",('Activity data'!Q6*EF!$H5)*kgtoGg)</f>
        <v>46.522446523357921</v>
      </c>
      <c r="R5" s="28">
        <f>IF(('Activity data'!R6*EF!$H5)*kgtoGg=0,"NO",('Activity data'!R6*EF!$H5)*kgtoGg)</f>
        <v>59.903399194210245</v>
      </c>
      <c r="S5" s="28">
        <f>IF(('Activity data'!S6*EF!$H5)*kgtoGg=0,"NO",('Activity data'!S6*EF!$H5)*kgtoGg)</f>
        <v>59.713885383308607</v>
      </c>
      <c r="T5" s="28">
        <f>IF(('Activity data'!T6*EF!$H5)*kgtoGg=0,"NO",('Activity data'!T6*EF!$H5)*kgtoGg)</f>
        <v>52.071581256050649</v>
      </c>
      <c r="U5" s="28">
        <f>IF(('Activity data'!U6*EF!$H5)*kgtoGg=0,"NO",('Activity data'!U6*EF!$H5)*kgtoGg)</f>
        <v>47.36141777611347</v>
      </c>
      <c r="V5" s="28">
        <f>IF(('Activity data'!V6*EF!$H5)*kgtoGg=0,"NO",('Activity data'!V6*EF!$H5)*kgtoGg)</f>
        <v>45.728192012500521</v>
      </c>
      <c r="W5" s="28">
        <f>IF(('Activity data'!W6*EF!$H5)*kgtoGg=0,"NO",('Activity data'!W6*EF!$H5)*kgtoGg)</f>
        <v>48.958444272475539</v>
      </c>
      <c r="X5" s="28">
        <f>IF(('Activity data'!X6*EF!$H5)*kgtoGg=0,"NO",('Activity data'!X6*EF!$H5)*kgtoGg)</f>
        <v>47.893759941567488</v>
      </c>
      <c r="Y5" s="28">
        <f>IF(('Activity data'!Y6*EF!$H5)*kgtoGg=0,"NO",('Activity data'!Y6*EF!$H5)*kgtoGg)</f>
        <v>47.550931587015107</v>
      </c>
      <c r="Z5" s="28">
        <f>IF(('Activity data'!Z6*EF!$H5)*kgtoGg=0,"NO",('Activity data'!Z6*EF!$H5)*kgtoGg)</f>
        <v>58.233974163346424</v>
      </c>
      <c r="AA5" s="28">
        <f>IF(('Activity data'!AA6*EF!$H5)*kgtoGg=0,"NO",('Activity data'!AA6*EF!$H5)*kgtoGg)</f>
        <v>59.677686116057721</v>
      </c>
      <c r="AB5" s="28">
        <f>IF(('Activity data'!AB6*EF!$H5)*kgtoGg=0,"NO",('Activity data'!AB6*EF!$H5)*kgtoGg)</f>
        <v>59.677686116057721</v>
      </c>
      <c r="AC5" s="28">
        <f>IF(('Activity data'!AC6*EF!$H5)*kgtoGg=0,"NO",('Activity data'!AC6*EF!$H5)*kgtoGg)</f>
        <v>57.512118186990755</v>
      </c>
      <c r="AD5" s="28">
        <f>IF(('Activity data'!AD6*EF!$H5)*kgtoGg=0,"NO",('Activity data'!AD6*EF!$H5)*kgtoGg)</f>
        <v>57.888319714675518</v>
      </c>
      <c r="AE5" s="28">
        <f>IF(('Activity data'!AE6*EF!$H5)*kgtoGg=0,"NO",('Activity data'!AE6*EF!$H5)*kgtoGg)</f>
        <v>58.248394828027457</v>
      </c>
      <c r="AF5" s="28">
        <f>IF(('Activity data'!AF6*EF!$H5)*kgtoGg=0,"NO",('Activity data'!AF6*EF!$H5)*kgtoGg)</f>
        <v>58.495951428667674</v>
      </c>
      <c r="AG5" s="28">
        <f>IF(('Activity data'!AG6*EF!$H5)*kgtoGg=0,"NO",('Activity data'!AG6*EF!$H5)*kgtoGg)</f>
        <v>58.573588822766354</v>
      </c>
      <c r="AH5" s="28">
        <f>IF(('Activity data'!AH6*EF!$H5)*kgtoGg=0,"NO",('Activity data'!AH6*EF!$H5)*kgtoGg)</f>
        <v>58.678620632063321</v>
      </c>
      <c r="AI5" s="28">
        <f>IF(('Activity data'!AI6*EF!$H5)*kgtoGg=0,"NO",('Activity data'!AI6*EF!$H5)*kgtoGg)</f>
        <v>58.908680198253116</v>
      </c>
      <c r="AJ5" s="28">
        <f>IF(('Activity data'!AJ6*EF!$H5)*kgtoGg=0,"NO",('Activity data'!AJ6*EF!$H5)*kgtoGg)</f>
        <v>59.184498282544595</v>
      </c>
      <c r="AK5" s="28">
        <f>IF(('Activity data'!AK6*EF!$H5)*kgtoGg=0,"NO",('Activity data'!AK6*EF!$H5)*kgtoGg)</f>
        <v>59.267356912179451</v>
      </c>
      <c r="AL5" s="28">
        <f>IF(('Activity data'!AL6*EF!$H5)*kgtoGg=0,"NO",('Activity data'!AL6*EF!$H5)*kgtoGg)</f>
        <v>57.447862367329009</v>
      </c>
      <c r="AM5" s="28">
        <f>IF(('Activity data'!AM6*EF!$H5)*kgtoGg=0,"NO",('Activity data'!AM6*EF!$H5)*kgtoGg)</f>
        <v>57.921041057287908</v>
      </c>
      <c r="AN5" s="28">
        <f>IF(('Activity data'!AN6*EF!$H5)*kgtoGg=0,"NO",('Activity data'!AN6*EF!$H5)*kgtoGg)</f>
        <v>58.354932478119395</v>
      </c>
      <c r="AO5" s="28">
        <f>IF(('Activity data'!AO6*EF!$H5)*kgtoGg=0,"NO",('Activity data'!AO6*EF!$H5)*kgtoGg)</f>
        <v>58.799815766326432</v>
      </c>
      <c r="AP5" s="28">
        <f>IF(('Activity data'!AP6*EF!$H5)*kgtoGg=0,"NO",('Activity data'!AP6*EF!$H5)*kgtoGg)</f>
        <v>59.33573820555165</v>
      </c>
      <c r="AQ5" s="28">
        <f>IF(('Activity data'!AQ6*EF!$H5)*kgtoGg=0,"NO",('Activity data'!AQ6*EF!$H5)*kgtoGg)</f>
        <v>59.881716907235422</v>
      </c>
      <c r="AR5" s="28">
        <f>IF(('Activity data'!AR6*EF!$H5)*kgtoGg=0,"NO",('Activity data'!AR6*EF!$H5)*kgtoGg)</f>
        <v>60.413346420216044</v>
      </c>
      <c r="AS5" s="28">
        <f>IF(('Activity data'!AS6*EF!$H5)*kgtoGg=0,"NO",('Activity data'!AS6*EF!$H5)*kgtoGg)</f>
        <v>60.934340277026173</v>
      </c>
      <c r="AT5" s="28">
        <f>IF(('Activity data'!AT6*EF!$H5)*kgtoGg=0,"NO",('Activity data'!AT6*EF!$H5)*kgtoGg)</f>
        <v>61.495507800462953</v>
      </c>
      <c r="AU5" s="28">
        <f>IF(('Activity data'!AU6*EF!$H5)*kgtoGg=0,"NO",('Activity data'!AU6*EF!$H5)*kgtoGg)</f>
        <v>62.026922414448045</v>
      </c>
      <c r="AV5" s="28">
        <f>IF(('Activity data'!AV6*EF!$H5)*kgtoGg=0,"NO",('Activity data'!AV6*EF!$H5)*kgtoGg)</f>
        <v>62.577398500274199</v>
      </c>
      <c r="AW5" s="28">
        <f>IF(('Activity data'!AW6*EF!$H5)*kgtoGg=0,"NO",('Activity data'!AW6*EF!$H5)*kgtoGg)</f>
        <v>63.209845291617057</v>
      </c>
      <c r="AX5" s="28">
        <f>IF(('Activity data'!AX6*EF!$H5)*kgtoGg=0,"NO",('Activity data'!AX6*EF!$H5)*kgtoGg)</f>
        <v>63.898646329766187</v>
      </c>
      <c r="AY5" s="28">
        <f>IF(('Activity data'!AY6*EF!$H5)*kgtoGg=0,"NO",('Activity data'!AY6*EF!$H5)*kgtoGg)</f>
        <v>64.614787479923166</v>
      </c>
      <c r="AZ5" s="28">
        <f>IF(('Activity data'!AZ6*EF!$H5)*kgtoGg=0,"NO",('Activity data'!AZ6*EF!$H5)*kgtoGg)</f>
        <v>64.714821454420374</v>
      </c>
      <c r="BA5" s="28">
        <f>IF(('Activity data'!BA6*EF!$H5)*kgtoGg=0,"NO",('Activity data'!BA6*EF!$H5)*kgtoGg)</f>
        <v>34.647684018034326</v>
      </c>
      <c r="BB5" s="28">
        <f>IF(('Activity data'!BB6*EF!$H5)*kgtoGg=0,"NO",('Activity data'!BB6*EF!$H5)*kgtoGg)</f>
        <v>34.67316717812826</v>
      </c>
      <c r="BC5" s="28">
        <f>IF(('Activity data'!BC6*EF!$H5)*kgtoGg=0,"NO",('Activity data'!BC6*EF!$H5)*kgtoGg)</f>
        <v>34.701997859020388</v>
      </c>
      <c r="BD5" s="28">
        <f>IF(('Activity data'!BD6*EF!$H5)*kgtoGg=0,"NO",('Activity data'!BD6*EF!$H5)*kgtoGg)</f>
        <v>34.734048822654856</v>
      </c>
      <c r="BE5" s="28">
        <f>IF(('Activity data'!BE6*EF!$H5)*kgtoGg=0,"NO",('Activity data'!BE6*EF!$H5)*kgtoGg)</f>
        <v>34.769202630349326</v>
      </c>
      <c r="BF5" s="28">
        <f>IF(('Activity data'!BF6*EF!$H5)*kgtoGg=0,"NO",('Activity data'!BF6*EF!$H5)*kgtoGg)</f>
        <v>34.80735071397978</v>
      </c>
      <c r="BG5" s="28">
        <f>IF(('Activity data'!BG6*EF!$H5)*kgtoGg=0,"NO",('Activity data'!BG6*EF!$H5)*kgtoGg)</f>
        <v>34.823774603776485</v>
      </c>
      <c r="BH5" s="28">
        <f>IF(('Activity data'!BH6*EF!$H5)*kgtoGg=0,"NO",('Activity data'!BH6*EF!$H5)*kgtoGg)</f>
        <v>34.842835366342669</v>
      </c>
      <c r="BI5" s="28">
        <f>IF(('Activity data'!BI6*EF!$H5)*kgtoGg=0,"NO",('Activity data'!BI6*EF!$H5)*kgtoGg)</f>
        <v>34.86444090381891</v>
      </c>
      <c r="BJ5" s="28">
        <f>IF(('Activity data'!BJ6*EF!$H5)*kgtoGg=0,"NO",('Activity data'!BJ6*EF!$H5)*kgtoGg)</f>
        <v>34.888505402807219</v>
      </c>
      <c r="BK5" s="28">
        <f>IF(('Activity data'!BK6*EF!$H5)*kgtoGg=0,"NO",('Activity data'!BK6*EF!$H5)*kgtoGg)</f>
        <v>34.914948801084201</v>
      </c>
      <c r="BL5" s="28">
        <f>IF(('Activity data'!BL6*EF!$H5)*kgtoGg=0,"NO",('Activity data'!BL6*EF!$H5)*kgtoGg)</f>
        <v>34.918813092397009</v>
      </c>
      <c r="BM5" s="28">
        <f>IF(('Activity data'!BM6*EF!$H5)*kgtoGg=0,"NO",('Activity data'!BM6*EF!$H5)*kgtoGg)</f>
        <v>34.92478633686742</v>
      </c>
      <c r="BN5" s="28">
        <f>IF(('Activity data'!BN6*EF!$H5)*kgtoGg=0,"NO",('Activity data'!BN6*EF!$H5)*kgtoGg)</f>
        <v>34.932798632870664</v>
      </c>
      <c r="BO5" s="28">
        <f>IF(('Activity data'!BO6*EF!$H5)*kgtoGg=0,"NO",('Activity data'!BO6*EF!$H5)*kgtoGg)</f>
        <v>34.942784337126994</v>
      </c>
      <c r="BP5" s="28">
        <f>IF(('Activity data'!BP6*EF!$H5)*kgtoGg=0,"NO",('Activity data'!BP6*EF!$H5)*kgtoGg)</f>
        <v>34.954681737581105</v>
      </c>
    </row>
    <row r="6" spans="1:74" x14ac:dyDescent="0.25">
      <c r="A6" t="str">
        <f t="shared" ref="A6:A53" si="1">A5</f>
        <v>3A Livestock</v>
      </c>
      <c r="B6" t="str">
        <f t="shared" ref="B6:B17" si="2">B5</f>
        <v>3A1 Enteric fermentation (CH4)</v>
      </c>
      <c r="C6" t="str">
        <f>EF!C6</f>
        <v>3A1aii Other cattle</v>
      </c>
      <c r="D6" t="str">
        <f>EF!D6</f>
        <v>Non-lactating</v>
      </c>
      <c r="E6" t="str">
        <f t="shared" si="0"/>
        <v>Enteric fermentation Emissions</v>
      </c>
      <c r="F6" t="str">
        <f t="shared" si="0"/>
        <v>CH4</v>
      </c>
      <c r="G6" t="str">
        <f t="shared" si="0"/>
        <v>Gg CH4</v>
      </c>
      <c r="H6" s="28">
        <f>IF(('Activity data'!H7*EF!$H6)*kgtoGg=0,"NO",('Activity data'!H7*EF!$H6)*kgtoGg)</f>
        <v>25.216780378245733</v>
      </c>
      <c r="I6" s="28">
        <f>IF(('Activity data'!I7*EF!$H6)*kgtoGg=0,"NO",('Activity data'!I7*EF!$H6)*kgtoGg)</f>
        <v>28.66289621274522</v>
      </c>
      <c r="J6" s="28">
        <f>IF(('Activity data'!J7*EF!$H6)*kgtoGg=0,"NO",('Activity data'!J7*EF!$H6)*kgtoGg)</f>
        <v>24.793479863671994</v>
      </c>
      <c r="K6" s="28">
        <f>IF(('Activity data'!K7*EF!$H6)*kgtoGg=0,"NO",('Activity data'!K7*EF!$H6)*kgtoGg)</f>
        <v>25.947161118330968</v>
      </c>
      <c r="L6" s="28">
        <f>IF(('Activity data'!L7*EF!$H6)*kgtoGg=0,"NO",('Activity data'!L7*EF!$H6)*kgtoGg)</f>
        <v>23.100277805377079</v>
      </c>
      <c r="M6" s="28">
        <f>IF(('Activity data'!M7*EF!$H6)*kgtoGg=0,"NO",('Activity data'!M7*EF!$H6)*kgtoGg)</f>
        <v>25.100560089183503</v>
      </c>
      <c r="N6" s="28">
        <f>IF(('Activity data'!N7*EF!$H6)*kgtoGg=0,"NO",('Activity data'!N7*EF!$H6)*kgtoGg)</f>
        <v>25.523860603757235</v>
      </c>
      <c r="O6" s="28">
        <f>IF(('Activity data'!O7*EF!$H6)*kgtoGg=0,"NO",('Activity data'!O7*EF!$H6)*kgtoGg)</f>
        <v>24.662331645132362</v>
      </c>
      <c r="P6" s="28">
        <f>IF(('Activity data'!P7*EF!$H6)*kgtoGg=0,"NO",('Activity data'!P7*EF!$H6)*kgtoGg)</f>
        <v>23.392430101411172</v>
      </c>
      <c r="Q6" s="28">
        <f>IF(('Activity data'!Q7*EF!$H6)*kgtoGg=0,"NO",('Activity data'!Q7*EF!$H6)*kgtoGg)</f>
        <v>24.647403715654953</v>
      </c>
      <c r="R6" s="28">
        <f>IF(('Activity data'!R7*EF!$H6)*kgtoGg=0,"NO",('Activity data'!R7*EF!$H6)*kgtoGg)</f>
        <v>30.546958207489421</v>
      </c>
      <c r="S6" s="28">
        <f>IF(('Activity data'!S7*EF!$H6)*kgtoGg=0,"NO",('Activity data'!S7*EF!$H6)*kgtoGg)</f>
        <v>30.123657692915693</v>
      </c>
      <c r="T6" s="28">
        <f>IF(('Activity data'!T7*EF!$H6)*kgtoGg=0,"NO",('Activity data'!T7*EF!$H6)*kgtoGg)</f>
        <v>27.655291106103299</v>
      </c>
      <c r="U6" s="28">
        <f>IF(('Activity data'!U7*EF!$H6)*kgtoGg=0,"NO",('Activity data'!U7*EF!$H6)*kgtoGg)</f>
        <v>23.392430101411172</v>
      </c>
      <c r="V6" s="28">
        <f>IF(('Activity data'!V7*EF!$H6)*kgtoGg=0,"NO",('Activity data'!V7*EF!$H6)*kgtoGg)</f>
        <v>21.830376261655886</v>
      </c>
      <c r="W6" s="28">
        <f>IF(('Activity data'!W7*EF!$H6)*kgtoGg=0,"NO",('Activity data'!W7*EF!$H6)*kgtoGg)</f>
        <v>23.830658545462317</v>
      </c>
      <c r="X6" s="28">
        <f>IF(('Activity data'!X7*EF!$H6)*kgtoGg=0,"NO",('Activity data'!X7*EF!$H6)*kgtoGg)</f>
        <v>23.53850624942822</v>
      </c>
      <c r="Y6" s="28">
        <f>IF(('Activity data'!Y7*EF!$H6)*kgtoGg=0,"NO",('Activity data'!Y7*EF!$H6)*kgtoGg)</f>
        <v>23.815730615984904</v>
      </c>
      <c r="Z6" s="28">
        <f>IF(('Activity data'!Z7*EF!$H6)*kgtoGg=0,"NO",('Activity data'!Z7*EF!$H6)*kgtoGg)</f>
        <v>27.861078972029997</v>
      </c>
      <c r="AA6" s="28">
        <f>IF(('Activity data'!AA7*EF!$H6)*kgtoGg=0,"NO",('Activity data'!AA7*EF!$H6)*kgtoGg)</f>
        <v>28.999832297211544</v>
      </c>
      <c r="AB6" s="28">
        <f>IF(('Activity data'!AB7*EF!$H6)*kgtoGg=0,"NO",('Activity data'!AB7*EF!$H6)*kgtoGg)</f>
        <v>28.999832297211544</v>
      </c>
      <c r="AC6" s="28">
        <f>IF(('Activity data'!AC7*EF!$H6)*kgtoGg=0,"NO",('Activity data'!AC7*EF!$H6)*kgtoGg)</f>
        <v>27.29170230943922</v>
      </c>
      <c r="AD6" s="28">
        <f>IF(('Activity data'!AD7*EF!$H6)*kgtoGg=0,"NO",('Activity data'!AD7*EF!$H6)*kgtoGg)</f>
        <v>26.173540124634229</v>
      </c>
      <c r="AE6" s="28">
        <f>IF(('Activity data'!AE7*EF!$H6)*kgtoGg=0,"NO",('Activity data'!AE7*EF!$H6)*kgtoGg)</f>
        <v>26.336343959218663</v>
      </c>
      <c r="AF6" s="28">
        <f>IF(('Activity data'!AF7*EF!$H6)*kgtoGg=0,"NO",('Activity data'!AF7*EF!$H6)*kgtoGg)</f>
        <v>26.448273838197906</v>
      </c>
      <c r="AG6" s="28">
        <f>IF(('Activity data'!AG7*EF!$H6)*kgtoGg=0,"NO",('Activity data'!AG7*EF!$H6)*kgtoGg)</f>
        <v>26.483376695900965</v>
      </c>
      <c r="AH6" s="28">
        <f>IF(('Activity data'!AH7*EF!$H6)*kgtoGg=0,"NO",('Activity data'!AH7*EF!$H6)*kgtoGg)</f>
        <v>26.530865624385104</v>
      </c>
      <c r="AI6" s="28">
        <f>IF(('Activity data'!AI7*EF!$H6)*kgtoGg=0,"NO",('Activity data'!AI7*EF!$H6)*kgtoGg)</f>
        <v>26.634884419824388</v>
      </c>
      <c r="AJ6" s="28">
        <f>IF(('Activity data'!AJ7*EF!$H6)*kgtoGg=0,"NO",('Activity data'!AJ7*EF!$H6)*kgtoGg)</f>
        <v>26.759592404645588</v>
      </c>
      <c r="AK6" s="28">
        <f>IF(('Activity data'!AK7*EF!$H6)*kgtoGg=0,"NO",('Activity data'!AK7*EF!$H6)*kgtoGg)</f>
        <v>26.797055984139856</v>
      </c>
      <c r="AL6" s="28">
        <f>IF(('Activity data'!AL7*EF!$H6)*kgtoGg=0,"NO",('Activity data'!AL7*EF!$H6)*kgtoGg)</f>
        <v>25.97439238445476</v>
      </c>
      <c r="AM6" s="28">
        <f>IF(('Activity data'!AM7*EF!$H6)*kgtoGg=0,"NO",('Activity data'!AM7*EF!$H6)*kgtoGg)</f>
        <v>26.188334704577446</v>
      </c>
      <c r="AN6" s="28">
        <f>IF(('Activity data'!AN7*EF!$H6)*kgtoGg=0,"NO",('Activity data'!AN7*EF!$H6)*kgtoGg)</f>
        <v>26.384513736355224</v>
      </c>
      <c r="AO6" s="28">
        <f>IF(('Activity data'!AO7*EF!$H6)*kgtoGg=0,"NO",('Activity data'!AO7*EF!$H6)*kgtoGg)</f>
        <v>26.585662614955584</v>
      </c>
      <c r="AP6" s="28">
        <f>IF(('Activity data'!AP7*EF!$H6)*kgtoGg=0,"NO",('Activity data'!AP7*EF!$H6)*kgtoGg)</f>
        <v>26.827973802011808</v>
      </c>
      <c r="AQ6" s="28">
        <f>IF(('Activity data'!AQ7*EF!$H6)*kgtoGg=0,"NO",('Activity data'!AQ7*EF!$H6)*kgtoGg)</f>
        <v>27.074831812853205</v>
      </c>
      <c r="AR6" s="28">
        <f>IF(('Activity data'!AR7*EF!$H6)*kgtoGg=0,"NO",('Activity data'!AR7*EF!$H6)*kgtoGg)</f>
        <v>27.315202002522234</v>
      </c>
      <c r="AS6" s="28">
        <f>IF(('Activity data'!AS7*EF!$H6)*kgtoGg=0,"NO",('Activity data'!AS7*EF!$H6)*kgtoGg)</f>
        <v>27.550763402181431</v>
      </c>
      <c r="AT6" s="28">
        <f>IF(('Activity data'!AT7*EF!$H6)*kgtoGg=0,"NO",('Activity data'!AT7*EF!$H6)*kgtoGg)</f>
        <v>27.804488864653102</v>
      </c>
      <c r="AU6" s="28">
        <f>IF(('Activity data'!AU7*EF!$H6)*kgtoGg=0,"NO",('Activity data'!AU7*EF!$H6)*kgtoGg)</f>
        <v>28.044761890204914</v>
      </c>
      <c r="AV6" s="28">
        <f>IF(('Activity data'!AV7*EF!$H6)*kgtoGg=0,"NO",('Activity data'!AV7*EF!$H6)*kgtoGg)</f>
        <v>28.293653341728078</v>
      </c>
      <c r="AW6" s="28">
        <f>IF(('Activity data'!AW7*EF!$H6)*kgtoGg=0,"NO",('Activity data'!AW7*EF!$H6)*kgtoGg)</f>
        <v>28.579606908034688</v>
      </c>
      <c r="AX6" s="28">
        <f>IF(('Activity data'!AX7*EF!$H6)*kgtoGg=0,"NO",('Activity data'!AX7*EF!$H6)*kgtoGg)</f>
        <v>28.891040400987077</v>
      </c>
      <c r="AY6" s="28">
        <f>IF(('Activity data'!AY7*EF!$H6)*kgtoGg=0,"NO",('Activity data'!AY7*EF!$H6)*kgtoGg)</f>
        <v>29.214835412155512</v>
      </c>
      <c r="AZ6" s="28">
        <f>IF(('Activity data'!AZ7*EF!$H6)*kgtoGg=0,"NO",('Activity data'!AZ7*EF!$H6)*kgtoGg)</f>
        <v>29.260064626930344</v>
      </c>
      <c r="BA6" s="28">
        <f>IF(('Activity data'!BA7*EF!$H6)*kgtoGg=0,"NO",('Activity data'!BA7*EF!$H6)*kgtoGg)</f>
        <v>15.665553126113098</v>
      </c>
      <c r="BB6" s="28">
        <f>IF(('Activity data'!BB7*EF!$H6)*kgtoGg=0,"NO",('Activity data'!BB7*EF!$H6)*kgtoGg)</f>
        <v>15.677075044809452</v>
      </c>
      <c r="BC6" s="28">
        <f>IF(('Activity data'!BC7*EF!$H6)*kgtoGg=0,"NO",('Activity data'!BC7*EF!$H6)*kgtoGg)</f>
        <v>15.690110506658574</v>
      </c>
      <c r="BD6" s="28">
        <f>IF(('Activity data'!BD7*EF!$H6)*kgtoGg=0,"NO",('Activity data'!BD7*EF!$H6)*kgtoGg)</f>
        <v>15.704601982432184</v>
      </c>
      <c r="BE6" s="28">
        <f>IF(('Activity data'!BE7*EF!$H6)*kgtoGg=0,"NO",('Activity data'!BE7*EF!$H6)*kgtoGg)</f>
        <v>15.720496373576371</v>
      </c>
      <c r="BF6" s="28">
        <f>IF(('Activity data'!BF7*EF!$H6)*kgtoGg=0,"NO",('Activity data'!BF7*EF!$H6)*kgtoGg)</f>
        <v>15.737744592258499</v>
      </c>
      <c r="BG6" s="28">
        <f>IF(('Activity data'!BG7*EF!$H6)*kgtoGg=0,"NO",('Activity data'!BG7*EF!$H6)*kgtoGg)</f>
        <v>15.745170465745849</v>
      </c>
      <c r="BH6" s="28">
        <f>IF(('Activity data'!BH7*EF!$H6)*kgtoGg=0,"NO",('Activity data'!BH7*EF!$H6)*kgtoGg)</f>
        <v>15.753788571026694</v>
      </c>
      <c r="BI6" s="28">
        <f>IF(('Activity data'!BI7*EF!$H6)*kgtoGg=0,"NO",('Activity data'!BI7*EF!$H6)*kgtoGg)</f>
        <v>15.7635572671097</v>
      </c>
      <c r="BJ6" s="28">
        <f>IF(('Activity data'!BJ7*EF!$H6)*kgtoGg=0,"NO",('Activity data'!BJ7*EF!$H6)*kgtoGg)</f>
        <v>15.774437754450743</v>
      </c>
      <c r="BK6" s="28">
        <f>IF(('Activity data'!BK7*EF!$H6)*kgtoGg=0,"NO",('Activity data'!BK7*EF!$H6)*kgtoGg)</f>
        <v>15.786393833833351</v>
      </c>
      <c r="BL6" s="28">
        <f>IF(('Activity data'!BL7*EF!$H6)*kgtoGg=0,"NO",('Activity data'!BL7*EF!$H6)*kgtoGg)</f>
        <v>15.788141028850022</v>
      </c>
      <c r="BM6" s="28">
        <f>IF(('Activity data'!BM7*EF!$H6)*kgtoGg=0,"NO",('Activity data'!BM7*EF!$H6)*kgtoGg)</f>
        <v>15.790841762859769</v>
      </c>
      <c r="BN6" s="28">
        <f>IF(('Activity data'!BN7*EF!$H6)*kgtoGg=0,"NO",('Activity data'!BN7*EF!$H6)*kgtoGg)</f>
        <v>15.794464430644307</v>
      </c>
      <c r="BO6" s="28">
        <f>IF(('Activity data'!BO7*EF!$H6)*kgtoGg=0,"NO",('Activity data'!BO7*EF!$H6)*kgtoGg)</f>
        <v>15.798979352347233</v>
      </c>
      <c r="BP6" s="28">
        <f>IF(('Activity data'!BP7*EF!$H6)*kgtoGg=0,"NO",('Activity data'!BP7*EF!$H6)*kgtoGg)</f>
        <v>15.804358625570211</v>
      </c>
    </row>
    <row r="7" spans="1:74" x14ac:dyDescent="0.25">
      <c r="A7" t="str">
        <f t="shared" si="1"/>
        <v>3A Livestock</v>
      </c>
      <c r="B7" t="str">
        <f t="shared" si="2"/>
        <v>3A1 Enteric fermentation (CH4)</v>
      </c>
      <c r="C7" t="str">
        <f>EF!C7</f>
        <v>3A1aii Other cattle</v>
      </c>
      <c r="D7" t="str">
        <f>EF!D7</f>
        <v>Commercial</v>
      </c>
      <c r="E7" t="str">
        <f>E5</f>
        <v>Enteric fermentation Emissions</v>
      </c>
      <c r="F7" t="str">
        <f>F5</f>
        <v>CH4</v>
      </c>
      <c r="G7" t="str">
        <f>G5</f>
        <v>Gg CH4</v>
      </c>
      <c r="H7" s="28">
        <f>IF(('Activity data'!H8*EF!$H7)*kgtoGg=0,"NO",('Activity data'!H8*EF!$H7)*kgtoGg)</f>
        <v>530.30777048487039</v>
      </c>
      <c r="I7" s="28">
        <f>IF(('Activity data'!I8*EF!$H7)*kgtoGg=0,"NO",('Activity data'!I8*EF!$H7)*kgtoGg)</f>
        <v>507.4186008397914</v>
      </c>
      <c r="J7" s="28">
        <f>IF(('Activity data'!J8*EF!$H7)*kgtoGg=0,"NO",('Activity data'!J8*EF!$H7)*kgtoGg)</f>
        <v>507.23423660631244</v>
      </c>
      <c r="K7" s="28">
        <f>IF(('Activity data'!K8*EF!$H7)*kgtoGg=0,"NO",('Activity data'!K8*EF!$H7)*kgtoGg)</f>
        <v>474.53564508710184</v>
      </c>
      <c r="L7" s="28">
        <f>IF(('Activity data'!L8*EF!$H7)*kgtoGg=0,"NO",('Activity data'!L8*EF!$H7)*kgtoGg)</f>
        <v>488.84137611527626</v>
      </c>
      <c r="M7" s="28">
        <f>IF(('Activity data'!M8*EF!$H7)*kgtoGg=0,"NO",('Activity data'!M8*EF!$H7)*kgtoGg)</f>
        <v>499.9561278787649</v>
      </c>
      <c r="N7" s="28">
        <f>IF(('Activity data'!N8*EF!$H7)*kgtoGg=0,"NO",('Activity data'!N8*EF!$H7)*kgtoGg)</f>
        <v>520.69593728290613</v>
      </c>
      <c r="O7" s="28">
        <f>IF(('Activity data'!O8*EF!$H7)*kgtoGg=0,"NO",('Activity data'!O8*EF!$H7)*kgtoGg)</f>
        <v>540.42057654067605</v>
      </c>
      <c r="P7" s="28">
        <f>IF(('Activity data'!P8*EF!$H7)*kgtoGg=0,"NO",('Activity data'!P8*EF!$H7)*kgtoGg)</f>
        <v>545.10124992819794</v>
      </c>
      <c r="Q7" s="28">
        <f>IF(('Activity data'!Q8*EF!$H7)*kgtoGg=0,"NO",('Activity data'!Q8*EF!$H7)*kgtoGg)</f>
        <v>536.28054932306088</v>
      </c>
      <c r="R7" s="28">
        <f>IF(('Activity data'!R8*EF!$H7)*kgtoGg=0,"NO",('Activity data'!R8*EF!$H7)*kgtoGg)</f>
        <v>499.85033236925801</v>
      </c>
      <c r="S7" s="28">
        <f>IF(('Activity data'!S8*EF!$H7)*kgtoGg=0,"NO",('Activity data'!S8*EF!$H7)*kgtoGg)</f>
        <v>502.44776770928382</v>
      </c>
      <c r="T7" s="28">
        <f>IF(('Activity data'!T8*EF!$H7)*kgtoGg=0,"NO",('Activity data'!T8*EF!$H7)*kgtoGg)</f>
        <v>468.28593094461399</v>
      </c>
      <c r="U7" s="28">
        <f>IF(('Activity data'!U8*EF!$H7)*kgtoGg=0,"NO",('Activity data'!U8*EF!$H7)*kgtoGg)</f>
        <v>480.5348728026691</v>
      </c>
      <c r="V7" s="28">
        <f>IF(('Activity data'!V8*EF!$H7)*kgtoGg=0,"NO",('Activity data'!V8*EF!$H7)*kgtoGg)</f>
        <v>484.96505976327012</v>
      </c>
      <c r="W7" s="28">
        <f>IF(('Activity data'!W8*EF!$H7)*kgtoGg=0,"NO",('Activity data'!W8*EF!$H7)*kgtoGg)</f>
        <v>489.07863810350864</v>
      </c>
      <c r="X7" s="28">
        <f>IF(('Activity data'!X8*EF!$H7)*kgtoGg=0,"NO",('Activity data'!X8*EF!$H7)*kgtoGg)</f>
        <v>477.93743746264329</v>
      </c>
      <c r="Y7" s="28">
        <f>IF(('Activity data'!Y8*EF!$H7)*kgtoGg=0,"NO",('Activity data'!Y8*EF!$H7)*kgtoGg)</f>
        <v>491.93978430914353</v>
      </c>
      <c r="Z7" s="28">
        <f>IF(('Activity data'!Z8*EF!$H7)*kgtoGg=0,"NO",('Activity data'!Z8*EF!$H7)*kgtoGg)</f>
        <v>478.26977927550422</v>
      </c>
      <c r="AA7" s="28">
        <f>IF(('Activity data'!AA8*EF!$H7)*kgtoGg=0,"NO",('Activity data'!AA8*EF!$H7)*kgtoGg)</f>
        <v>470.23930370767658</v>
      </c>
      <c r="AB7" s="28">
        <f>IF(('Activity data'!AB8*EF!$H7)*kgtoGg=0,"NO",('Activity data'!AB8*EF!$H7)*kgtoGg)</f>
        <v>468.76105131733328</v>
      </c>
      <c r="AC7" s="28">
        <f>IF(('Activity data'!AC8*EF!$H7)*kgtoGg=0,"NO",('Activity data'!AC8*EF!$H7)*kgtoGg)</f>
        <v>467.07782660988823</v>
      </c>
      <c r="AD7" s="28">
        <f>IF(('Activity data'!AD8*EF!$H7)*kgtoGg=0,"NO",('Activity data'!AD8*EF!$H7)*kgtoGg)</f>
        <v>467.31662309373525</v>
      </c>
      <c r="AE7" s="28">
        <f>IF(('Activity data'!AE8*EF!$H7)*kgtoGg=0,"NO",('Activity data'!AE8*EF!$H7)*kgtoGg)</f>
        <v>464.21904388294246</v>
      </c>
      <c r="AF7" s="28">
        <f>IF(('Activity data'!AF8*EF!$H7)*kgtoGg=0,"NO",('Activity data'!AF8*EF!$H7)*kgtoGg)</f>
        <v>457.68800569383677</v>
      </c>
      <c r="AG7" s="28">
        <f>IF(('Activity data'!AG8*EF!$H7)*kgtoGg=0,"NO",('Activity data'!AG8*EF!$H7)*kgtoGg)</f>
        <v>446.67903575374419</v>
      </c>
      <c r="AH7" s="28">
        <f>IF(('Activity data'!AH8*EF!$H7)*kgtoGg=0,"NO",('Activity data'!AH8*EF!$H7)*kgtoGg)</f>
        <v>435.99786609024881</v>
      </c>
      <c r="AI7" s="28">
        <f>IF(('Activity data'!AI8*EF!$H7)*kgtoGg=0,"NO",('Activity data'!AI8*EF!$H7)*kgtoGg)</f>
        <v>427.78254745702264</v>
      </c>
      <c r="AJ7" s="28">
        <f>IF(('Activity data'!AJ8*EF!$H7)*kgtoGg=0,"NO",('Activity data'!AJ8*EF!$H7)*kgtoGg)</f>
        <v>420.35172850546115</v>
      </c>
      <c r="AK7" s="28">
        <f>IF(('Activity data'!AK8*EF!$H7)*kgtoGg=0,"NO",('Activity data'!AK8*EF!$H7)*kgtoGg)</f>
        <v>408.66857197476548</v>
      </c>
      <c r="AL7" s="28">
        <f>IF(('Activity data'!AL8*EF!$H7)*kgtoGg=0,"NO",('Activity data'!AL8*EF!$H7)*kgtoGg)</f>
        <v>358.42710853834808</v>
      </c>
      <c r="AM7" s="28">
        <f>IF(('Activity data'!AM8*EF!$H7)*kgtoGg=0,"NO",('Activity data'!AM8*EF!$H7)*kgtoGg)</f>
        <v>361.84349356958882</v>
      </c>
      <c r="AN7" s="28">
        <f>IF(('Activity data'!AN8*EF!$H7)*kgtoGg=0,"NO",('Activity data'!AN8*EF!$H7)*kgtoGg)</f>
        <v>364.15526833797293</v>
      </c>
      <c r="AO7" s="28">
        <f>IF(('Activity data'!AO8*EF!$H7)*kgtoGg=0,"NO",('Activity data'!AO8*EF!$H7)*kgtoGg)</f>
        <v>366.39185100338204</v>
      </c>
      <c r="AP7" s="28">
        <f>IF(('Activity data'!AP8*EF!$H7)*kgtoGg=0,"NO",('Activity data'!AP8*EF!$H7)*kgtoGg)</f>
        <v>370.09062077697638</v>
      </c>
      <c r="AQ7" s="28">
        <f>IF(('Activity data'!AQ8*EF!$H7)*kgtoGg=0,"NO",('Activity data'!AQ8*EF!$H7)*kgtoGg)</f>
        <v>373.66748817800135</v>
      </c>
      <c r="AR7" s="28">
        <f>IF(('Activity data'!AR8*EF!$H7)*kgtoGg=0,"NO",('Activity data'!AR8*EF!$H7)*kgtoGg)</f>
        <v>377.42266204595586</v>
      </c>
      <c r="AS7" s="28">
        <f>IF(('Activity data'!AS8*EF!$H7)*kgtoGg=0,"NO",('Activity data'!AS8*EF!$H7)*kgtoGg)</f>
        <v>380.69187301848672</v>
      </c>
      <c r="AT7" s="28">
        <f>IF(('Activity data'!AT8*EF!$H7)*kgtoGg=0,"NO",('Activity data'!AT8*EF!$H7)*kgtoGg)</f>
        <v>384.41267841886389</v>
      </c>
      <c r="AU7" s="28">
        <f>IF(('Activity data'!AU8*EF!$H7)*kgtoGg=0,"NO",('Activity data'!AU8*EF!$H7)*kgtoGg)</f>
        <v>387.32433471244582</v>
      </c>
      <c r="AV7" s="28">
        <f>IF(('Activity data'!AV8*EF!$H7)*kgtoGg=0,"NO",('Activity data'!AV8*EF!$H7)*kgtoGg)</f>
        <v>390.31588196396831</v>
      </c>
      <c r="AW7" s="28">
        <f>IF(('Activity data'!AW8*EF!$H7)*kgtoGg=0,"NO",('Activity data'!AW8*EF!$H7)*kgtoGg)</f>
        <v>391.70923525446432</v>
      </c>
      <c r="AX7" s="28">
        <f>IF(('Activity data'!AX8*EF!$H7)*kgtoGg=0,"NO",('Activity data'!AX8*EF!$H7)*kgtoGg)</f>
        <v>393.61980530942054</v>
      </c>
      <c r="AY7" s="28">
        <f>IF(('Activity data'!AY8*EF!$H7)*kgtoGg=0,"NO",('Activity data'!AY8*EF!$H7)*kgtoGg)</f>
        <v>395.52300177683651</v>
      </c>
      <c r="AZ7" s="28">
        <f>IF(('Activity data'!AZ8*EF!$H7)*kgtoGg=0,"NO",('Activity data'!AZ8*EF!$H7)*kgtoGg)</f>
        <v>387.13475302515064</v>
      </c>
      <c r="BA7" s="28">
        <f>IF(('Activity data'!BA8*EF!$H7)*kgtoGg=0,"NO",('Activity data'!BA8*EF!$H7)*kgtoGg)</f>
        <v>-91.319733515809844</v>
      </c>
      <c r="BB7" s="28">
        <f>IF(('Activity data'!BB8*EF!$H7)*kgtoGg=0,"NO",('Activity data'!BB8*EF!$H7)*kgtoGg)</f>
        <v>-89.201433306927441</v>
      </c>
      <c r="BC7" s="28">
        <f>IF(('Activity data'!BC8*EF!$H7)*kgtoGg=0,"NO",('Activity data'!BC8*EF!$H7)*kgtoGg)</f>
        <v>-87.116820719055994</v>
      </c>
      <c r="BD7" s="28">
        <f>IF(('Activity data'!BD8*EF!$H7)*kgtoGg=0,"NO",('Activity data'!BD8*EF!$H7)*kgtoGg)</f>
        <v>-85.0641313749869</v>
      </c>
      <c r="BE7" s="28">
        <f>IF(('Activity data'!BE8*EF!$H7)*kgtoGg=0,"NO",('Activity data'!BE8*EF!$H7)*kgtoGg)</f>
        <v>-83.041722879463705</v>
      </c>
      <c r="BF7" s="28">
        <f>IF(('Activity data'!BF8*EF!$H7)*kgtoGg=0,"NO",('Activity data'!BF8*EF!$H7)*kgtoGg)</f>
        <v>-81.048063515823799</v>
      </c>
      <c r="BG7" s="28">
        <f>IF(('Activity data'!BG8*EF!$H7)*kgtoGg=0,"NO",('Activity data'!BG8*EF!$H7)*kgtoGg)</f>
        <v>-79.431656757862484</v>
      </c>
      <c r="BH7" s="28">
        <f>IF(('Activity data'!BH8*EF!$H7)*kgtoGg=0,"NO",('Activity data'!BH8*EF!$H7)*kgtoGg)</f>
        <v>-77.839663871669529</v>
      </c>
      <c r="BI7" s="28">
        <f>IF(('Activity data'!BI8*EF!$H7)*kgtoGg=0,"NO",('Activity data'!BI8*EF!$H7)*kgtoGg)</f>
        <v>-76.270978541606539</v>
      </c>
      <c r="BJ7" s="28">
        <f>IF(('Activity data'!BJ8*EF!$H7)*kgtoGg=0,"NO",('Activity data'!BJ8*EF!$H7)*kgtoGg)</f>
        <v>-74.724563259155232</v>
      </c>
      <c r="BK7" s="28">
        <f>IF(('Activity data'!BK8*EF!$H7)*kgtoGg=0,"NO",('Activity data'!BK8*EF!$H7)*kgtoGg)</f>
        <v>-73.199443617670568</v>
      </c>
      <c r="BL7" s="28">
        <f>IF(('Activity data'!BL8*EF!$H7)*kgtoGg=0,"NO",('Activity data'!BL8*EF!$H7)*kgtoGg)</f>
        <v>-71.645977088210017</v>
      </c>
      <c r="BM7" s="28">
        <f>IF(('Activity data'!BM8*EF!$H7)*kgtoGg=0,"NO",('Activity data'!BM8*EF!$H7)*kgtoGg)</f>
        <v>-70.113872704662668</v>
      </c>
      <c r="BN7" s="28">
        <f>IF(('Activity data'!BN8*EF!$H7)*kgtoGg=0,"NO",('Activity data'!BN8*EF!$H7)*kgtoGg)</f>
        <v>-68.602290113404337</v>
      </c>
      <c r="BO7" s="28">
        <f>IF(('Activity data'!BO8*EF!$H7)*kgtoGg=0,"NO",('Activity data'!BO8*EF!$H7)*kgtoGg)</f>
        <v>-67.110436174548425</v>
      </c>
      <c r="BP7" s="28">
        <f>IF(('Activity data'!BP8*EF!$H7)*kgtoGg=0,"NO",('Activity data'!BP8*EF!$H7)*kgtoGg)</f>
        <v>-65.637561433796705</v>
      </c>
    </row>
    <row r="8" spans="1:74" x14ac:dyDescent="0.25">
      <c r="A8" t="str">
        <f t="shared" si="1"/>
        <v>3A Livestock</v>
      </c>
      <c r="B8" t="str">
        <f t="shared" si="2"/>
        <v>3A1 Enteric fermentation (CH4)</v>
      </c>
      <c r="C8" t="str">
        <f>EF!C8</f>
        <v>3A1aii Other cattle</v>
      </c>
      <c r="D8" t="str">
        <f>EF!D8</f>
        <v>Subsistence</v>
      </c>
      <c r="E8" t="str">
        <f t="shared" ref="E8:E17" si="3">E7</f>
        <v>Enteric fermentation Emissions</v>
      </c>
      <c r="F8" t="str">
        <f t="shared" ref="F8:F18" si="4">F7</f>
        <v>CH4</v>
      </c>
      <c r="G8" t="str">
        <f t="shared" ref="G8:G18" si="5">G7</f>
        <v>Gg CH4</v>
      </c>
      <c r="H8" s="28">
        <f>IF(('Activity data'!H9*EF!$H8)*kgtoGg=0,"NO",('Activity data'!H9*EF!$H8)*kgtoGg)</f>
        <v>283.53205972623039</v>
      </c>
      <c r="I8" s="28">
        <f>IF(('Activity data'!I9*EF!$H8)*kgtoGg=0,"NO",('Activity data'!I9*EF!$H8)*kgtoGg)</f>
        <v>300.82813308643614</v>
      </c>
      <c r="J8" s="28">
        <f>IF(('Activity data'!J9*EF!$H8)*kgtoGg=0,"NO",('Activity data'!J9*EF!$H8)*kgtoGg)</f>
        <v>315.03562191803377</v>
      </c>
      <c r="K8" s="28">
        <f>IF(('Activity data'!K9*EF!$H8)*kgtoGg=0,"NO",('Activity data'!K9*EF!$H8)*kgtoGg)</f>
        <v>311.32932048370395</v>
      </c>
      <c r="L8" s="28">
        <f>IF(('Activity data'!L9*EF!$H8)*kgtoGg=0,"NO",('Activity data'!L9*EF!$H8)*kgtoGg)</f>
        <v>271.17772161179766</v>
      </c>
      <c r="M8" s="28">
        <f>IF(('Activity data'!M9*EF!$H8)*kgtoGg=0,"NO",('Activity data'!M9*EF!$H8)*kgtoGg)</f>
        <v>261.91196802597318</v>
      </c>
      <c r="N8" s="28">
        <f>IF(('Activity data'!N9*EF!$H8)*kgtoGg=0,"NO",('Activity data'!N9*EF!$H8)*kgtoGg)</f>
        <v>269.32457089463281</v>
      </c>
      <c r="O8" s="28">
        <f>IF(('Activity data'!O9*EF!$H8)*kgtoGg=0,"NO",('Activity data'!O9*EF!$H8)*kgtoGg)</f>
        <v>281.67890900906548</v>
      </c>
      <c r="P8" s="28">
        <f>IF(('Activity data'!P9*EF!$H8)*kgtoGg=0,"NO",('Activity data'!P9*EF!$H8)*kgtoGg)</f>
        <v>298.97498236927129</v>
      </c>
      <c r="Q8" s="28">
        <f>IF(('Activity data'!Q9*EF!$H8)*kgtoGg=0,"NO",('Activity data'!Q9*EF!$H8)*kgtoGg)</f>
        <v>311.32932048370395</v>
      </c>
      <c r="R8" s="28">
        <f>IF(('Activity data'!R9*EF!$H8)*kgtoGg=0,"NO",('Activity data'!R9*EF!$H8)*kgtoGg)</f>
        <v>303.91671761504432</v>
      </c>
      <c r="S8" s="28">
        <f>IF(('Activity data'!S9*EF!$H8)*kgtoGg=0,"NO",('Activity data'!S9*EF!$H8)*kgtoGg)</f>
        <v>296.50411474638474</v>
      </c>
      <c r="T8" s="28">
        <f>IF(('Activity data'!T9*EF!$H8)*kgtoGg=0,"NO",('Activity data'!T9*EF!$H8)*kgtoGg)</f>
        <v>336.03799671256934</v>
      </c>
      <c r="U8" s="28">
        <f>IF(('Activity data'!U9*EF!$H8)*kgtoGg=0,"NO",('Activity data'!U9*EF!$H8)*kgtoGg)</f>
        <v>344.06831648695061</v>
      </c>
      <c r="V8" s="28">
        <f>IF(('Activity data'!V9*EF!$H8)*kgtoGg=0,"NO",('Activity data'!V9*EF!$H8)*kgtoGg)</f>
        <v>338.50886433545588</v>
      </c>
      <c r="W8" s="28">
        <f>IF(('Activity data'!W9*EF!$H8)*kgtoGg=0,"NO",('Activity data'!W9*EF!$H8)*kgtoGg)</f>
        <v>328.62539384390971</v>
      </c>
      <c r="X8" s="28">
        <f>IF(('Activity data'!X9*EF!$H8)*kgtoGg=0,"NO",('Activity data'!X9*EF!$H8)*kgtoGg)</f>
        <v>339.12658124117752</v>
      </c>
      <c r="Y8" s="28">
        <f>IF(('Activity data'!Y9*EF!$H8)*kgtoGg=0,"NO",('Activity data'!Y9*EF!$H8)*kgtoGg)</f>
        <v>352.71635316705351</v>
      </c>
      <c r="Z8" s="28">
        <f>IF(('Activity data'!Z9*EF!$H8)*kgtoGg=0,"NO",('Activity data'!Z9*EF!$H8)*kgtoGg)</f>
        <v>347.15690101555879</v>
      </c>
      <c r="AA8" s="28">
        <f>IF(('Activity data'!AA9*EF!$H8)*kgtoGg=0,"NO",('Activity data'!AA9*EF!$H8)*kgtoGg)</f>
        <v>343.45059958122897</v>
      </c>
      <c r="AB8" s="28">
        <f>IF(('Activity data'!AB9*EF!$H8)*kgtoGg=0,"NO",('Activity data'!AB9*EF!$H8)*kgtoGg)</f>
        <v>338.50886433545588</v>
      </c>
      <c r="AC8" s="28">
        <f>IF(('Activity data'!AC9*EF!$H8)*kgtoGg=0,"NO",('Activity data'!AC9*EF!$H8)*kgtoGg)</f>
        <v>340.97973195834243</v>
      </c>
      <c r="AD8" s="28">
        <f>IF(('Activity data'!AD9*EF!$H8)*kgtoGg=0,"NO",('Activity data'!AD9*EF!$H8)*kgtoGg)</f>
        <v>329.0746130615014</v>
      </c>
      <c r="AE8" s="28">
        <f>IF(('Activity data'!AE9*EF!$H8)*kgtoGg=0,"NO",('Activity data'!AE9*EF!$H8)*kgtoGg)</f>
        <v>326.8933624278929</v>
      </c>
      <c r="AF8" s="28">
        <f>IF(('Activity data'!AF9*EF!$H8)*kgtoGg=0,"NO",('Activity data'!AF9*EF!$H8)*kgtoGg)</f>
        <v>322.29434163821571</v>
      </c>
      <c r="AG8" s="28">
        <f>IF(('Activity data'!AG9*EF!$H8)*kgtoGg=0,"NO",('Activity data'!AG9*EF!$H8)*kgtoGg)</f>
        <v>314.54205476415126</v>
      </c>
      <c r="AH8" s="28">
        <f>IF(('Activity data'!AH9*EF!$H8)*kgtoGg=0,"NO",('Activity data'!AH9*EF!$H8)*kgtoGg)</f>
        <v>307.02059800365856</v>
      </c>
      <c r="AI8" s="28">
        <f>IF(('Activity data'!AI9*EF!$H8)*kgtoGg=0,"NO",('Activity data'!AI9*EF!$H8)*kgtoGg)</f>
        <v>301.23554207624824</v>
      </c>
      <c r="AJ8" s="28">
        <f>IF(('Activity data'!AJ9*EF!$H8)*kgtoGg=0,"NO",('Activity data'!AJ9*EF!$H8)*kgtoGg)</f>
        <v>296.00291445211866</v>
      </c>
      <c r="AK8" s="28">
        <f>IF(('Activity data'!AK9*EF!$H8)*kgtoGg=0,"NO",('Activity data'!AK9*EF!$H8)*kgtoGg)</f>
        <v>287.77587945125919</v>
      </c>
      <c r="AL8" s="28">
        <f>IF(('Activity data'!AL9*EF!$H8)*kgtoGg=0,"NO",('Activity data'!AL9*EF!$H8)*kgtoGg)</f>
        <v>252.39688944116838</v>
      </c>
      <c r="AM8" s="28">
        <f>IF(('Activity data'!AM9*EF!$H8)*kgtoGg=0,"NO",('Activity data'!AM9*EF!$H8)*kgtoGg)</f>
        <v>254.80263648004308</v>
      </c>
      <c r="AN8" s="28">
        <f>IF(('Activity data'!AN9*EF!$H8)*kgtoGg=0,"NO",('Activity data'!AN9*EF!$H8)*kgtoGg)</f>
        <v>256.43054002508501</v>
      </c>
      <c r="AO8" s="28">
        <f>IF(('Activity data'!AO9*EF!$H8)*kgtoGg=0,"NO",('Activity data'!AO9*EF!$H8)*kgtoGg)</f>
        <v>258.00549486047498</v>
      </c>
      <c r="AP8" s="28">
        <f>IF(('Activity data'!AP9*EF!$H8)*kgtoGg=0,"NO",('Activity data'!AP9*EF!$H8)*kgtoGg)</f>
        <v>260.61009134153147</v>
      </c>
      <c r="AQ8" s="28">
        <f>IF(('Activity data'!AQ9*EF!$H8)*kgtoGg=0,"NO",('Activity data'!AQ9*EF!$H8)*kgtoGg)</f>
        <v>263.12884671593309</v>
      </c>
      <c r="AR8" s="28">
        <f>IF(('Activity data'!AR9*EF!$H8)*kgtoGg=0,"NO",('Activity data'!AR9*EF!$H8)*kgtoGg)</f>
        <v>265.77316178308178</v>
      </c>
      <c r="AS8" s="28">
        <f>IF(('Activity data'!AS9*EF!$H8)*kgtoGg=0,"NO",('Activity data'!AS9*EF!$H8)*kgtoGg)</f>
        <v>268.07527192134285</v>
      </c>
      <c r="AT8" s="28">
        <f>IF(('Activity data'!AT9*EF!$H8)*kgtoGg=0,"NO",('Activity data'!AT9*EF!$H8)*kgtoGg)</f>
        <v>270.6953854308951</v>
      </c>
      <c r="AU8" s="28">
        <f>IF(('Activity data'!AU9*EF!$H8)*kgtoGg=0,"NO",('Activity data'!AU9*EF!$H8)*kgtoGg)</f>
        <v>272.7457130264242</v>
      </c>
      <c r="AV8" s="28">
        <f>IF(('Activity data'!AV9*EF!$H8)*kgtoGg=0,"NO",('Activity data'!AV9*EF!$H8)*kgtoGg)</f>
        <v>274.85229816720681</v>
      </c>
      <c r="AW8" s="28">
        <f>IF(('Activity data'!AW9*EF!$H8)*kgtoGg=0,"NO",('Activity data'!AW9*EF!$H8)*kgtoGg)</f>
        <v>275.83346847502179</v>
      </c>
      <c r="AX8" s="28">
        <f>IF(('Activity data'!AX9*EF!$H8)*kgtoGg=0,"NO",('Activity data'!AX9*EF!$H8)*kgtoGg)</f>
        <v>277.17885203403011</v>
      </c>
      <c r="AY8" s="28">
        <f>IF(('Activity data'!AY9*EF!$H8)*kgtoGg=0,"NO",('Activity data'!AY9*EF!$H8)*kgtoGg)</f>
        <v>278.51904326657984</v>
      </c>
      <c r="AZ8" s="28">
        <f>IF(('Activity data'!AZ9*EF!$H8)*kgtoGg=0,"NO",('Activity data'!AZ9*EF!$H8)*kgtoGg)</f>
        <v>272.6122135588102</v>
      </c>
      <c r="BA8" s="28">
        <f>IF(('Activity data'!BA9*EF!$H8)*kgtoGg=0,"NO",('Activity data'!BA9*EF!$H8)*kgtoGg)</f>
        <v>-64.305450494464566</v>
      </c>
      <c r="BB8" s="28">
        <f>IF(('Activity data'!BB9*EF!$H8)*kgtoGg=0,"NO",('Activity data'!BB9*EF!$H8)*kgtoGg)</f>
        <v>-62.813787696400013</v>
      </c>
      <c r="BC8" s="28">
        <f>IF(('Activity data'!BC9*EF!$H8)*kgtoGg=0,"NO",('Activity data'!BC9*EF!$H8)*kgtoGg)</f>
        <v>-61.345847017989065</v>
      </c>
      <c r="BD8" s="28">
        <f>IF(('Activity data'!BD9*EF!$H8)*kgtoGg=0,"NO",('Activity data'!BD9*EF!$H8)*kgtoGg)</f>
        <v>-59.900386021624051</v>
      </c>
      <c r="BE8" s="28">
        <f>IF(('Activity data'!BE9*EF!$H8)*kgtoGg=0,"NO",('Activity data'!BE9*EF!$H8)*kgtoGg)</f>
        <v>-58.476248166842247</v>
      </c>
      <c r="BF8" s="28">
        <f>IF(('Activity data'!BF9*EF!$H8)*kgtoGg=0,"NO",('Activity data'!BF9*EF!$H8)*kgtoGg)</f>
        <v>-57.072354850736843</v>
      </c>
      <c r="BG8" s="28">
        <f>IF(('Activity data'!BG9*EF!$H8)*kgtoGg=0,"NO",('Activity data'!BG9*EF!$H8)*kgtoGg)</f>
        <v>-55.934114946269716</v>
      </c>
      <c r="BH8" s="28">
        <f>IF(('Activity data'!BH9*EF!$H8)*kgtoGg=0,"NO",('Activity data'!BH9*EF!$H8)*kgtoGg)</f>
        <v>-54.81306678078316</v>
      </c>
      <c r="BI8" s="28">
        <f>IF(('Activity data'!BI9*EF!$H8)*kgtoGg=0,"NO",('Activity data'!BI9*EF!$H8)*kgtoGg)</f>
        <v>-53.708431309893463</v>
      </c>
      <c r="BJ8" s="28">
        <f>IF(('Activity data'!BJ9*EF!$H8)*kgtoGg=0,"NO",('Activity data'!BJ9*EF!$H8)*kgtoGg)</f>
        <v>-52.619477941754887</v>
      </c>
      <c r="BK8" s="28">
        <f>IF(('Activity data'!BK9*EF!$H8)*kgtoGg=0,"NO",('Activity data'!BK9*EF!$H8)*kgtoGg)</f>
        <v>-51.54552051954397</v>
      </c>
      <c r="BL8" s="28">
        <f>IF(('Activity data'!BL9*EF!$H8)*kgtoGg=0,"NO",('Activity data'!BL9*EF!$H8)*kgtoGg)</f>
        <v>-50.451601810421387</v>
      </c>
      <c r="BM8" s="28">
        <f>IF(('Activity data'!BM9*EF!$H8)*kgtoGg=0,"NO",('Activity data'!BM9*EF!$H8)*kgtoGg)</f>
        <v>-49.372725878621843</v>
      </c>
      <c r="BN8" s="28">
        <f>IF(('Activity data'!BN9*EF!$H8)*kgtoGg=0,"NO",('Activity data'!BN9*EF!$H8)*kgtoGg)</f>
        <v>-48.308300964661392</v>
      </c>
      <c r="BO8" s="28">
        <f>IF(('Activity data'!BO9*EF!$H8)*kgtoGg=0,"NO",('Activity data'!BO9*EF!$H8)*kgtoGg)</f>
        <v>-47.257768555984775</v>
      </c>
      <c r="BP8" s="28">
        <f>IF(('Activity data'!BP9*EF!$H8)*kgtoGg=0,"NO",('Activity data'!BP9*EF!$H8)*kgtoGg)</f>
        <v>-46.22060090251631</v>
      </c>
    </row>
    <row r="9" spans="1:74" x14ac:dyDescent="0.25">
      <c r="A9" t="str">
        <f t="shared" si="1"/>
        <v>3A Livestock</v>
      </c>
      <c r="B9" t="str">
        <f t="shared" si="2"/>
        <v>3A1 Enteric fermentation (CH4)</v>
      </c>
      <c r="C9" t="str">
        <f>EF!C9</f>
        <v>3A1aii Other cattle</v>
      </c>
      <c r="D9" t="str">
        <f>EF!D9</f>
        <v>Feedlot</v>
      </c>
      <c r="E9" t="str">
        <f t="shared" si="3"/>
        <v>Enteric fermentation Emissions</v>
      </c>
      <c r="F9" t="str">
        <f t="shared" si="4"/>
        <v>CH4</v>
      </c>
      <c r="G9" t="str">
        <f t="shared" si="5"/>
        <v>Gg CH4</v>
      </c>
      <c r="H9" s="28">
        <f>IF(('Activity data'!H10*EF!$H9)*kgtoGg=0,"NO",('Activity data'!H10*EF!$H9)*kgtoGg)</f>
        <v>24.738</v>
      </c>
      <c r="I9" s="28">
        <f>IF(('Activity data'!I10*EF!$H9)*kgtoGg=0,"NO",('Activity data'!I10*EF!$H9)*kgtoGg)</f>
        <v>24.738</v>
      </c>
      <c r="J9" s="28">
        <f>IF(('Activity data'!J10*EF!$H9)*kgtoGg=0,"NO",('Activity data'!J10*EF!$H9)*kgtoGg)</f>
        <v>24.738</v>
      </c>
      <c r="K9" s="28">
        <f>IF(('Activity data'!K10*EF!$H9)*kgtoGg=0,"NO",('Activity data'!K10*EF!$H9)*kgtoGg)</f>
        <v>24.738</v>
      </c>
      <c r="L9" s="28">
        <f>IF(('Activity data'!L10*EF!$H9)*kgtoGg=0,"NO",('Activity data'!L10*EF!$H9)*kgtoGg)</f>
        <v>24.738</v>
      </c>
      <c r="M9" s="28">
        <f>IF(('Activity data'!M10*EF!$H9)*kgtoGg=0,"NO",('Activity data'!M10*EF!$H9)*kgtoGg)</f>
        <v>24.738</v>
      </c>
      <c r="N9" s="28">
        <f>IF(('Activity data'!N10*EF!$H9)*kgtoGg=0,"NO",('Activity data'!N10*EF!$H9)*kgtoGg)</f>
        <v>24.738</v>
      </c>
      <c r="O9" s="28">
        <f>IF(('Activity data'!O10*EF!$H9)*kgtoGg=0,"NO",('Activity data'!O10*EF!$H9)*kgtoGg)</f>
        <v>24.738</v>
      </c>
      <c r="P9" s="28">
        <f>IF(('Activity data'!P10*EF!$H9)*kgtoGg=0,"NO",('Activity data'!P10*EF!$H9)*kgtoGg)</f>
        <v>24.738</v>
      </c>
      <c r="Q9" s="28">
        <f>IF(('Activity data'!Q10*EF!$H9)*kgtoGg=0,"NO",('Activity data'!Q10*EF!$H9)*kgtoGg)</f>
        <v>24.738</v>
      </c>
      <c r="R9" s="28">
        <f>IF(('Activity data'!R10*EF!$H9)*kgtoGg=0,"NO",('Activity data'!R10*EF!$H9)*kgtoGg)</f>
        <v>24.738</v>
      </c>
      <c r="S9" s="28">
        <f>IF(('Activity data'!S10*EF!$H9)*kgtoGg=0,"NO",('Activity data'!S10*EF!$H9)*kgtoGg)</f>
        <v>24.738</v>
      </c>
      <c r="T9" s="28">
        <f>IF(('Activity data'!T10*EF!$H9)*kgtoGg=0,"NO",('Activity data'!T10*EF!$H9)*kgtoGg)</f>
        <v>24.738</v>
      </c>
      <c r="U9" s="28">
        <f>IF(('Activity data'!U10*EF!$H9)*kgtoGg=0,"NO",('Activity data'!U10*EF!$H9)*kgtoGg)</f>
        <v>24.738</v>
      </c>
      <c r="V9" s="28">
        <f>IF(('Activity data'!V10*EF!$H9)*kgtoGg=0,"NO",('Activity data'!V10*EF!$H9)*kgtoGg)</f>
        <v>24.738</v>
      </c>
      <c r="W9" s="28">
        <f>IF(('Activity data'!W10*EF!$H9)*kgtoGg=0,"NO",('Activity data'!W10*EF!$H9)*kgtoGg)</f>
        <v>24.738</v>
      </c>
      <c r="X9" s="28">
        <f>IF(('Activity data'!X10*EF!$H9)*kgtoGg=0,"NO",('Activity data'!X10*EF!$H9)*kgtoGg)</f>
        <v>24.738</v>
      </c>
      <c r="Y9" s="28">
        <f>IF(('Activity data'!Y10*EF!$H9)*kgtoGg=0,"NO",('Activity data'!Y10*EF!$H9)*kgtoGg)</f>
        <v>24.738</v>
      </c>
      <c r="Z9" s="28">
        <f>IF(('Activity data'!Z10*EF!$H9)*kgtoGg=0,"NO",('Activity data'!Z10*EF!$H9)*kgtoGg)</f>
        <v>23.038602474999998</v>
      </c>
      <c r="AA9" s="28">
        <f>IF(('Activity data'!AA10*EF!$H9)*kgtoGg=0,"NO",('Activity data'!AA10*EF!$H9)*kgtoGg)</f>
        <v>23.608263641666664</v>
      </c>
      <c r="AB9" s="28">
        <f>IF(('Activity data'!AB10*EF!$H9)*kgtoGg=0,"NO",('Activity data'!AB10*EF!$H9)*kgtoGg)</f>
        <v>23.549535433333329</v>
      </c>
      <c r="AC9" s="28">
        <f>IF(('Activity data'!AC10*EF!$H9)*kgtoGg=0,"NO",('Activity data'!AC10*EF!$H9)*kgtoGg)</f>
        <v>27.200029816666664</v>
      </c>
      <c r="AD9" s="28">
        <f>IF(('Activity data'!AD10*EF!$H9)*kgtoGg=0,"NO",('Activity data'!AD10*EF!$H9)*kgtoGg)</f>
        <v>32.066658815804246</v>
      </c>
      <c r="AE9" s="28">
        <f>IF(('Activity data'!AE10*EF!$H9)*kgtoGg=0,"NO",('Activity data'!AE10*EF!$H9)*kgtoGg)</f>
        <v>33.208718466326758</v>
      </c>
      <c r="AF9" s="28">
        <f>IF(('Activity data'!AF10*EF!$H9)*kgtoGg=0,"NO",('Activity data'!AF10*EF!$H9)*kgtoGg)</f>
        <v>34.11520280184579</v>
      </c>
      <c r="AG9" s="28">
        <f>IF(('Activity data'!AG10*EF!$H9)*kgtoGg=0,"NO",('Activity data'!AG10*EF!$H9)*kgtoGg)</f>
        <v>34.675782135786314</v>
      </c>
      <c r="AH9" s="28">
        <f>IF(('Activity data'!AH10*EF!$H9)*kgtoGg=0,"NO",('Activity data'!AH10*EF!$H9)*kgtoGg)</f>
        <v>35.237531716383323</v>
      </c>
      <c r="AI9" s="28">
        <f>IF(('Activity data'!AI10*EF!$H9)*kgtoGg=0,"NO",('Activity data'!AI10*EF!$H9)*kgtoGg)</f>
        <v>35.983525896151299</v>
      </c>
      <c r="AJ9" s="28">
        <f>IF(('Activity data'!AJ10*EF!$H9)*kgtoGg=0,"NO",('Activity data'!AJ10*EF!$H9)*kgtoGg)</f>
        <v>36.791694077470218</v>
      </c>
      <c r="AK9" s="28">
        <f>IF(('Activity data'!AK10*EF!$H9)*kgtoGg=0,"NO",('Activity data'!AK10*EF!$H9)*kgtoGg)</f>
        <v>37.212274346578468</v>
      </c>
      <c r="AL9" s="28">
        <f>IF(('Activity data'!AL10*EF!$H9)*kgtoGg=0,"NO",('Activity data'!AL10*EF!$H9)*kgtoGg)</f>
        <v>33.949893618199454</v>
      </c>
      <c r="AM9" s="28">
        <f>IF(('Activity data'!AM10*EF!$H9)*kgtoGg=0,"NO",('Activity data'!AM10*EF!$H9)*kgtoGg)</f>
        <v>35.092534125004185</v>
      </c>
      <c r="AN9" s="28">
        <f>IF(('Activity data'!AN10*EF!$H9)*kgtoGg=0,"NO",('Activity data'!AN10*EF!$H9)*kgtoGg)</f>
        <v>36.14913447556372</v>
      </c>
      <c r="AO9" s="28">
        <f>IF(('Activity data'!AO10*EF!$H9)*kgtoGg=0,"NO",('Activity data'!AO10*EF!$H9)*kgtoGg)</f>
        <v>37.217525780423792</v>
      </c>
      <c r="AP9" s="28">
        <f>IF(('Activity data'!AP10*EF!$H9)*kgtoGg=0,"NO",('Activity data'!AP10*EF!$H9)*kgtoGg)</f>
        <v>38.457766325395134</v>
      </c>
      <c r="AQ9" s="28">
        <f>IF(('Activity data'!AQ10*EF!$H9)*kgtoGg=0,"NO",('Activity data'!AQ10*EF!$H9)*kgtoGg)</f>
        <v>39.712686531100644</v>
      </c>
      <c r="AR9" s="28">
        <f>IF(('Activity data'!AR10*EF!$H9)*kgtoGg=0,"NO",('Activity data'!AR10*EF!$H9)*kgtoGg)</f>
        <v>41.014977080860561</v>
      </c>
      <c r="AS9" s="28">
        <f>IF(('Activity data'!AS10*EF!$H9)*kgtoGg=0,"NO",('Activity data'!AS10*EF!$H9)*kgtoGg)</f>
        <v>42.293078143626175</v>
      </c>
      <c r="AT9" s="28">
        <f>IF(('Activity data'!AT10*EF!$H9)*kgtoGg=0,"NO",('Activity data'!AT10*EF!$H9)*kgtoGg)</f>
        <v>43.650840359696986</v>
      </c>
      <c r="AU9" s="28">
        <f>IF(('Activity data'!AU10*EF!$H9)*kgtoGg=0,"NO",('Activity data'!AU10*EF!$H9)*kgtoGg)</f>
        <v>44.946275453717462</v>
      </c>
      <c r="AV9" s="28">
        <f>IF(('Activity data'!AV10*EF!$H9)*kgtoGg=0,"NO",('Activity data'!AV10*EF!$H9)*kgtoGg)</f>
        <v>46.279665288729582</v>
      </c>
      <c r="AW9" s="28">
        <f>IF(('Activity data'!AW10*EF!$H9)*kgtoGg=0,"NO",('Activity data'!AW10*EF!$H9)*kgtoGg)</f>
        <v>47.976991209129309</v>
      </c>
      <c r="AX9" s="28">
        <f>IF(('Activity data'!AX10*EF!$H9)*kgtoGg=0,"NO",('Activity data'!AX10*EF!$H9)*kgtoGg)</f>
        <v>49.804514073480171</v>
      </c>
      <c r="AY9" s="28">
        <f>IF(('Activity data'!AY10*EF!$H9)*kgtoGg=0,"NO",('Activity data'!AY10*EF!$H9)*kgtoGg)</f>
        <v>51.703785289265333</v>
      </c>
      <c r="AZ9" s="28">
        <f>IF(('Activity data'!AZ10*EF!$H9)*kgtoGg=0,"NO",('Activity data'!AZ10*EF!$H9)*kgtoGg)</f>
        <v>52.28975851111349</v>
      </c>
      <c r="BA9" s="28">
        <f>IF(('Activity data'!BA10*EF!$H9)*kgtoGg=0,"NO",('Activity data'!BA10*EF!$H9)*kgtoGg)</f>
        <v>-12.746083968128861</v>
      </c>
      <c r="BB9" s="28">
        <f>IF(('Activity data'!BB10*EF!$H9)*kgtoGg=0,"NO",('Activity data'!BB10*EF!$H9)*kgtoGg)</f>
        <v>-12.867794914199649</v>
      </c>
      <c r="BC9" s="28">
        <f>IF(('Activity data'!BC10*EF!$H9)*kgtoGg=0,"NO",('Activity data'!BC10*EF!$H9)*kgtoGg)</f>
        <v>-12.990495449269591</v>
      </c>
      <c r="BD9" s="28">
        <f>IF(('Activity data'!BD10*EF!$H9)*kgtoGg=0,"NO",('Activity data'!BD10*EF!$H9)*kgtoGg)</f>
        <v>-13.11419493838188</v>
      </c>
      <c r="BE9" s="28">
        <f>IF(('Activity data'!BE10*EF!$H9)*kgtoGg=0,"NO",('Activity data'!BE10*EF!$H9)*kgtoGg)</f>
        <v>-13.238902830664287</v>
      </c>
      <c r="BF9" s="28">
        <f>IF(('Activity data'!BF10*EF!$H9)*kgtoGg=0,"NO",('Activity data'!BF10*EF!$H9)*kgtoGg)</f>
        <v>-13.364628660058406</v>
      </c>
      <c r="BG9" s="28">
        <f>IF(('Activity data'!BG10*EF!$H9)*kgtoGg=0,"NO",('Activity data'!BG10*EF!$H9)*kgtoGg)</f>
        <v>-13.465524819095547</v>
      </c>
      <c r="BH9" s="28">
        <f>IF(('Activity data'!BH10*EF!$H9)*kgtoGg=0,"NO",('Activity data'!BH10*EF!$H9)*kgtoGg)</f>
        <v>-13.567116958153555</v>
      </c>
      <c r="BI9" s="28">
        <f>IF(('Activity data'!BI10*EF!$H9)*kgtoGg=0,"NO",('Activity data'!BI10*EF!$H9)*kgtoGg)</f>
        <v>-13.669410585503263</v>
      </c>
      <c r="BJ9" s="28">
        <f>IF(('Activity data'!BJ10*EF!$H9)*kgtoGg=0,"NO",('Activity data'!BJ10*EF!$H9)*kgtoGg)</f>
        <v>-13.772411250990594</v>
      </c>
      <c r="BK9" s="28">
        <f>IF(('Activity data'!BK10*EF!$H9)*kgtoGg=0,"NO",('Activity data'!BK10*EF!$H9)*kgtoGg)</f>
        <v>-13.876124546340513</v>
      </c>
      <c r="BL9" s="28">
        <f>IF(('Activity data'!BL10*EF!$H9)*kgtoGg=0,"NO",('Activity data'!BL10*EF!$H9)*kgtoGg)</f>
        <v>-13.971054455205756</v>
      </c>
      <c r="BM9" s="28">
        <f>IF(('Activity data'!BM10*EF!$H9)*kgtoGg=0,"NO",('Activity data'!BM10*EF!$H9)*kgtoGg)</f>
        <v>-14.066530697184916</v>
      </c>
      <c r="BN9" s="28">
        <f>IF(('Activity data'!BN10*EF!$H9)*kgtoGg=0,"NO",('Activity data'!BN10*EF!$H9)*kgtoGg)</f>
        <v>-14.162556886408025</v>
      </c>
      <c r="BO9" s="28">
        <f>IF(('Activity data'!BO10*EF!$H9)*kgtoGg=0,"NO",('Activity data'!BO10*EF!$H9)*kgtoGg)</f>
        <v>-14.259136659667147</v>
      </c>
      <c r="BP9" s="28">
        <f>IF(('Activity data'!BP10*EF!$H9)*kgtoGg=0,"NO",('Activity data'!BP10*EF!$H9)*kgtoGg)</f>
        <v>-14.356273676553505</v>
      </c>
    </row>
    <row r="10" spans="1:74" x14ac:dyDescent="0.25">
      <c r="A10" t="str">
        <f t="shared" si="1"/>
        <v>3A Livestock</v>
      </c>
      <c r="B10" t="str">
        <f t="shared" si="2"/>
        <v>3A1 Enteric fermentation (CH4)</v>
      </c>
      <c r="C10" t="str">
        <f>EF!C10</f>
        <v>3A1c Sheep</v>
      </c>
      <c r="D10" t="str">
        <f>EF!D10</f>
        <v>Commercial</v>
      </c>
      <c r="E10" t="str">
        <f t="shared" si="3"/>
        <v>Enteric fermentation Emissions</v>
      </c>
      <c r="F10" t="str">
        <f t="shared" si="4"/>
        <v>CH4</v>
      </c>
      <c r="G10" t="str">
        <f t="shared" si="5"/>
        <v>Gg CH4</v>
      </c>
      <c r="H10" s="28">
        <f>IF(('Activity data'!H11*EF!$H10)*kgtoGg=0,"NO",('Activity data'!H11*EF!$H10)*kgtoGg)</f>
        <v>209.00064638385984</v>
      </c>
      <c r="I10" s="28">
        <f>IF(('Activity data'!I11*EF!$H10)*kgtoGg=0,"NO",('Activity data'!I11*EF!$H10)*kgtoGg)</f>
        <v>199.60297230115387</v>
      </c>
      <c r="J10" s="28">
        <f>IF(('Activity data'!J11*EF!$H10)*kgtoGg=0,"NO",('Activity data'!J11*EF!$H10)*kgtoGg)</f>
        <v>191.35560698969897</v>
      </c>
      <c r="K10" s="28">
        <f>IF(('Activity data'!K11*EF!$H10)*kgtoGg=0,"NO",('Activity data'!K11*EF!$H10)*kgtoGg)</f>
        <v>178.96015853342948</v>
      </c>
      <c r="L10" s="28">
        <f>IF(('Activity data'!L11*EF!$H10)*kgtoGg=0,"NO",('Activity data'!L11*EF!$H10)*kgtoGg)</f>
        <v>180.22201239765039</v>
      </c>
      <c r="M10" s="28">
        <f>IF(('Activity data'!M11*EF!$H10)*kgtoGg=0,"NO",('Activity data'!M11*EF!$H10)*kgtoGg)</f>
        <v>177.64253212272365</v>
      </c>
      <c r="N10" s="28">
        <f>IF(('Activity data'!N11*EF!$H10)*kgtoGg=0,"NO",('Activity data'!N11*EF!$H10)*kgtoGg)</f>
        <v>178.23511542912576</v>
      </c>
      <c r="O10" s="28">
        <f>IF(('Activity data'!O11*EF!$H10)*kgtoGg=0,"NO",('Activity data'!O11*EF!$H10)*kgtoGg)</f>
        <v>174.35892344842506</v>
      </c>
      <c r="P10" s="28">
        <f>IF(('Activity data'!P11*EF!$H10)*kgtoGg=0,"NO",('Activity data'!P11*EF!$H10)*kgtoGg)</f>
        <v>174.83996166185733</v>
      </c>
      <c r="Q10" s="28">
        <f>IF(('Activity data'!Q11*EF!$H10)*kgtoGg=0,"NO",('Activity data'!Q11*EF!$H10)*kgtoGg)</f>
        <v>170.54547558251988</v>
      </c>
      <c r="R10" s="28">
        <f>IF(('Activity data'!R11*EF!$H10)*kgtoGg=0,"NO",('Activity data'!R11*EF!$H10)*kgtoGg)</f>
        <v>164.4314101741125</v>
      </c>
      <c r="S10" s="28">
        <f>IF(('Activity data'!S11*EF!$H10)*kgtoGg=0,"NO",('Activity data'!S11*EF!$H10)*kgtoGg)</f>
        <v>160.33212800747219</v>
      </c>
      <c r="T10" s="28">
        <f>IF(('Activity data'!T11*EF!$H10)*kgtoGg=0,"NO",('Activity data'!T11*EF!$H10)*kgtoGg)</f>
        <v>157.65504577619689</v>
      </c>
      <c r="U10" s="28">
        <f>IF(('Activity data'!U11*EF!$H10)*kgtoGg=0,"NO",('Activity data'!U11*EF!$H10)*kgtoGg)</f>
        <v>158.20579967273531</v>
      </c>
      <c r="V10" s="28">
        <f>IF(('Activity data'!V11*EF!$H10)*kgtoGg=0,"NO",('Activity data'!V11*EF!$H10)*kgtoGg)</f>
        <v>155.38928607524772</v>
      </c>
      <c r="W10" s="28">
        <f>IF(('Activity data'!W11*EF!$H10)*kgtoGg=0,"NO",('Activity data'!W11*EF!$H10)*kgtoGg)</f>
        <v>155.01979295478526</v>
      </c>
      <c r="X10" s="28">
        <f>IF(('Activity data'!X11*EF!$H10)*kgtoGg=0,"NO",('Activity data'!X11*EF!$H10)*kgtoGg)</f>
        <v>152.99106657639697</v>
      </c>
      <c r="Y10" s="28">
        <f>IF(('Activity data'!Y11*EF!$H10)*kgtoGg=0,"NO",('Activity data'!Y11*EF!$H10)*kgtoGg)</f>
        <v>152.84466364187409</v>
      </c>
      <c r="Z10" s="28">
        <f>IF(('Activity data'!Z11*EF!$H10)*kgtoGg=0,"NO",('Activity data'!Z11*EF!$H10)*kgtoGg)</f>
        <v>153.3396449919276</v>
      </c>
      <c r="AA10" s="28">
        <f>IF(('Activity data'!AA11*EF!$H10)*kgtoGg=0,"NO",('Activity data'!AA11*EF!$H10)*kgtoGg)</f>
        <v>152.79586266369981</v>
      </c>
      <c r="AB10" s="28">
        <f>IF(('Activity data'!AB11*EF!$H10)*kgtoGg=0,"NO",('Activity data'!AB11*EF!$H10)*kgtoGg)</f>
        <v>149.83991769999997</v>
      </c>
      <c r="AC10" s="28">
        <f>IF(('Activity data'!AC11*EF!$H10)*kgtoGg=0,"NO",('Activity data'!AC11*EF!$H10)*kgtoGg)</f>
        <v>148.66869422381706</v>
      </c>
      <c r="AD10" s="28">
        <f>IF(('Activity data'!AD11*EF!$H10)*kgtoGg=0,"NO",('Activity data'!AD11*EF!$H10)*kgtoGg)</f>
        <v>132.58757058147904</v>
      </c>
      <c r="AE10" s="28">
        <f>IF(('Activity data'!AE11*EF!$H10)*kgtoGg=0,"NO",('Activity data'!AE11*EF!$H10)*kgtoGg)</f>
        <v>132.65997552000914</v>
      </c>
      <c r="AF10" s="28">
        <f>IF(('Activity data'!AF11*EF!$H10)*kgtoGg=0,"NO",('Activity data'!AF11*EF!$H10)*kgtoGg)</f>
        <v>132.82210408590223</v>
      </c>
      <c r="AG10" s="28">
        <f>IF(('Activity data'!AG11*EF!$H10)*kgtoGg=0,"NO",('Activity data'!AG11*EF!$H10)*kgtoGg)</f>
        <v>133.06614161446052</v>
      </c>
      <c r="AH10" s="28">
        <f>IF(('Activity data'!AH11*EF!$H10)*kgtoGg=0,"NO",('Activity data'!AH11*EF!$H10)*kgtoGg)</f>
        <v>133.3953531354135</v>
      </c>
      <c r="AI10" s="28">
        <f>IF(('Activity data'!AI11*EF!$H10)*kgtoGg=0,"NO",('Activity data'!AI11*EF!$H10)*kgtoGg)</f>
        <v>133.81008797408685</v>
      </c>
      <c r="AJ10" s="28">
        <f>IF(('Activity data'!AJ11*EF!$H10)*kgtoGg=0,"NO",('Activity data'!AJ11*EF!$H10)*kgtoGg)</f>
        <v>134.27208577169884</v>
      </c>
      <c r="AK10" s="28">
        <f>IF(('Activity data'!AK11*EF!$H10)*kgtoGg=0,"NO",('Activity data'!AK11*EF!$H10)*kgtoGg)</f>
        <v>134.77278624125299</v>
      </c>
      <c r="AL10" s="28">
        <f>IF(('Activity data'!AL11*EF!$H10)*kgtoGg=0,"NO",('Activity data'!AL11*EF!$H10)*kgtoGg)</f>
        <v>135.24330047488556</v>
      </c>
      <c r="AM10" s="28">
        <f>IF(('Activity data'!AM11*EF!$H10)*kgtoGg=0,"NO",('Activity data'!AM11*EF!$H10)*kgtoGg)</f>
        <v>135.43984338147078</v>
      </c>
      <c r="AN10" s="28">
        <f>IF(('Activity data'!AN11*EF!$H10)*kgtoGg=0,"NO",('Activity data'!AN11*EF!$H10)*kgtoGg)</f>
        <v>135.66790740229135</v>
      </c>
      <c r="AO10" s="28">
        <f>IF(('Activity data'!AO11*EF!$H10)*kgtoGg=0,"NO",('Activity data'!AO11*EF!$H10)*kgtoGg)</f>
        <v>135.92744577431912</v>
      </c>
      <c r="AP10" s="28">
        <f>IF(('Activity data'!AP11*EF!$H10)*kgtoGg=0,"NO",('Activity data'!AP11*EF!$H10)*kgtoGg)</f>
        <v>136.21980319636509</v>
      </c>
      <c r="AQ10" s="28">
        <f>IF(('Activity data'!AQ11*EF!$H10)*kgtoGg=0,"NO",('Activity data'!AQ11*EF!$H10)*kgtoGg)</f>
        <v>136.54029274426662</v>
      </c>
      <c r="AR10" s="28">
        <f>IF(('Activity data'!AR11*EF!$H10)*kgtoGg=0,"NO",('Activity data'!AR11*EF!$H10)*kgtoGg)</f>
        <v>136.73757850266969</v>
      </c>
      <c r="AS10" s="28">
        <f>IF(('Activity data'!AS11*EF!$H10)*kgtoGg=0,"NO",('Activity data'!AS11*EF!$H10)*kgtoGg)</f>
        <v>136.95795076822631</v>
      </c>
      <c r="AT10" s="28">
        <f>IF(('Activity data'!AT11*EF!$H10)*kgtoGg=0,"NO",('Activity data'!AT11*EF!$H10)*kgtoGg)</f>
        <v>137.20220925985299</v>
      </c>
      <c r="AU10" s="28">
        <f>IF(('Activity data'!AU11*EF!$H10)*kgtoGg=0,"NO",('Activity data'!AU11*EF!$H10)*kgtoGg)</f>
        <v>137.46660109068114</v>
      </c>
      <c r="AV10" s="28">
        <f>IF(('Activity data'!AV11*EF!$H10)*kgtoGg=0,"NO",('Activity data'!AV11*EF!$H10)*kgtoGg)</f>
        <v>137.75207161797405</v>
      </c>
      <c r="AW10" s="28">
        <f>IF(('Activity data'!AW11*EF!$H10)*kgtoGg=0,"NO",('Activity data'!AW11*EF!$H10)*kgtoGg)</f>
        <v>137.94000218541183</v>
      </c>
      <c r="AX10" s="28">
        <f>IF(('Activity data'!AX11*EF!$H10)*kgtoGg=0,"NO",('Activity data'!AX11*EF!$H10)*kgtoGg)</f>
        <v>138.14770015018067</v>
      </c>
      <c r="AY10" s="28">
        <f>IF(('Activity data'!AY11*EF!$H10)*kgtoGg=0,"NO",('Activity data'!AY11*EF!$H10)*kgtoGg)</f>
        <v>138.37329758077868</v>
      </c>
      <c r="AZ10" s="28">
        <f>IF(('Activity data'!AZ11*EF!$H10)*kgtoGg=0,"NO",('Activity data'!AZ11*EF!$H10)*kgtoGg)</f>
        <v>138.59125347156044</v>
      </c>
      <c r="BA10" s="28">
        <f>IF(('Activity data'!BA11*EF!$H10)*kgtoGg=0,"NO",('Activity data'!BA11*EF!$H10)*kgtoGg)</f>
        <v>137.6594267769662</v>
      </c>
      <c r="BB10" s="28">
        <f>IF(('Activity data'!BB11*EF!$H10)*kgtoGg=0,"NO",('Activity data'!BB11*EF!$H10)*kgtoGg)</f>
        <v>137.79176090123983</v>
      </c>
      <c r="BC10" s="28">
        <f>IF(('Activity data'!BC11*EF!$H10)*kgtoGg=0,"NO",('Activity data'!BC11*EF!$H10)*kgtoGg)</f>
        <v>137.93779226287748</v>
      </c>
      <c r="BD10" s="28">
        <f>IF(('Activity data'!BD11*EF!$H10)*kgtoGg=0,"NO",('Activity data'!BD11*EF!$H10)*kgtoGg)</f>
        <v>138.09700339174353</v>
      </c>
      <c r="BE10" s="28">
        <f>IF(('Activity data'!BE11*EF!$H10)*kgtoGg=0,"NO",('Activity data'!BE11*EF!$H10)*kgtoGg)</f>
        <v>138.26891681492259</v>
      </c>
      <c r="BF10" s="28">
        <f>IF(('Activity data'!BF11*EF!$H10)*kgtoGg=0,"NO",('Activity data'!BF11*EF!$H10)*kgtoGg)</f>
        <v>138.45309126128626</v>
      </c>
      <c r="BG10" s="28">
        <f>IF(('Activity data'!BG11*EF!$H10)*kgtoGg=0,"NO",('Activity data'!BG11*EF!$H10)*kgtoGg)</f>
        <v>138.54247128713709</v>
      </c>
      <c r="BH10" s="28">
        <f>IF(('Activity data'!BH11*EF!$H10)*kgtoGg=0,"NO",('Activity data'!BH11*EF!$H10)*kgtoGg)</f>
        <v>138.64265405515414</v>
      </c>
      <c r="BI10" s="28">
        <f>IF(('Activity data'!BI11*EF!$H10)*kgtoGg=0,"NO",('Activity data'!BI11*EF!$H10)*kgtoGg)</f>
        <v>138.75326360443952</v>
      </c>
      <c r="BJ10" s="28">
        <f>IF(('Activity data'!BJ11*EF!$H10)*kgtoGg=0,"NO",('Activity data'!BJ11*EF!$H10)*kgtoGg)</f>
        <v>138.87394970624567</v>
      </c>
      <c r="BK10" s="28">
        <f>IF(('Activity data'!BK11*EF!$H10)*kgtoGg=0,"NO",('Activity data'!BK11*EF!$H10)*kgtoGg)</f>
        <v>139.00438567790363</v>
      </c>
      <c r="BL10" s="28">
        <f>IF(('Activity data'!BL11*EF!$H10)*kgtoGg=0,"NO",('Activity data'!BL11*EF!$H10)*kgtoGg)</f>
        <v>139.03656264546001</v>
      </c>
      <c r="BM10" s="28">
        <f>IF(('Activity data'!BM11*EF!$H10)*kgtoGg=0,"NO",('Activity data'!BM11*EF!$H10)*kgtoGg)</f>
        <v>139.07739261805247</v>
      </c>
      <c r="BN10" s="28">
        <f>IF(('Activity data'!BN11*EF!$H10)*kgtoGg=0,"NO",('Activity data'!BN11*EF!$H10)*kgtoGg)</f>
        <v>139.1265890083165</v>
      </c>
      <c r="BO10" s="28">
        <f>IF(('Activity data'!BO11*EF!$H10)*kgtoGg=0,"NO",('Activity data'!BO11*EF!$H10)*kgtoGg)</f>
        <v>139.18388272915809</v>
      </c>
      <c r="BP10" s="28">
        <f>IF(('Activity data'!BP11*EF!$H10)*kgtoGg=0,"NO",('Activity data'!BP11*EF!$H10)*kgtoGg)</f>
        <v>139.24902084795488</v>
      </c>
    </row>
    <row r="11" spans="1:74" x14ac:dyDescent="0.25">
      <c r="A11" t="str">
        <f t="shared" si="1"/>
        <v>3A Livestock</v>
      </c>
      <c r="B11" t="str">
        <f t="shared" si="2"/>
        <v>3A1 Enteric fermentation (CH4)</v>
      </c>
      <c r="C11" t="str">
        <f>EF!C11</f>
        <v>3A1c Sheep</v>
      </c>
      <c r="D11" t="str">
        <f>EF!D11</f>
        <v>Subsistence</v>
      </c>
      <c r="E11" t="str">
        <f t="shared" si="3"/>
        <v>Enteric fermentation Emissions</v>
      </c>
      <c r="F11" t="str">
        <f t="shared" si="4"/>
        <v>CH4</v>
      </c>
      <c r="G11" t="str">
        <f t="shared" si="5"/>
        <v>Gg CH4</v>
      </c>
      <c r="H11" s="28">
        <f>IF(('Activity data'!H12*EF!$H11)*kgtoGg=0,"NO",('Activity data'!H12*EF!$H11)*kgtoGg)</f>
        <v>21.154764000453479</v>
      </c>
      <c r="I11" s="28">
        <f>IF(('Activity data'!I12*EF!$H11)*kgtoGg=0,"NO",('Activity data'!I12*EF!$H11)*kgtoGg)</f>
        <v>20.20354408409165</v>
      </c>
      <c r="J11" s="28">
        <f>IF(('Activity data'!J12*EF!$H11)*kgtoGg=0,"NO",('Activity data'!J12*EF!$H11)*kgtoGg)</f>
        <v>19.368756872625738</v>
      </c>
      <c r="K11" s="28">
        <f>IF(('Activity data'!K12*EF!$H11)*kgtoGg=0,"NO",('Activity data'!K12*EF!$H11)*kgtoGg)</f>
        <v>18.114106270777572</v>
      </c>
      <c r="L11" s="28">
        <f>IF(('Activity data'!L12*EF!$H11)*kgtoGg=0,"NO",('Activity data'!L12*EF!$H11)*kgtoGg)</f>
        <v>18.241829419784612</v>
      </c>
      <c r="M11" s="28">
        <f>IF(('Activity data'!M12*EF!$H11)*kgtoGg=0,"NO",('Activity data'!M12*EF!$H11)*kgtoGg)</f>
        <v>17.98073789971497</v>
      </c>
      <c r="N11" s="28">
        <f>IF(('Activity data'!N12*EF!$H11)*kgtoGg=0,"NO",('Activity data'!N12*EF!$H11)*kgtoGg)</f>
        <v>18.040718384055292</v>
      </c>
      <c r="O11" s="28">
        <f>IF(('Activity data'!O12*EF!$H11)*kgtoGg=0,"NO",('Activity data'!O12*EF!$H11)*kgtoGg)</f>
        <v>17.648375451193886</v>
      </c>
      <c r="P11" s="28">
        <f>IF(('Activity data'!P12*EF!$H11)*kgtoGg=0,"NO",('Activity data'!P12*EF!$H11)*kgtoGg)</f>
        <v>17.697065491423142</v>
      </c>
      <c r="Q11" s="28">
        <f>IF(('Activity data'!Q12*EF!$H11)*kgtoGg=0,"NO",('Activity data'!Q12*EF!$H11)*kgtoGg)</f>
        <v>17.26238339314504</v>
      </c>
      <c r="R11" s="28">
        <f>IF(('Activity data'!R12*EF!$H11)*kgtoGg=0,"NO",('Activity data'!R12*EF!$H11)*kgtoGg)</f>
        <v>16.643525925304292</v>
      </c>
      <c r="S11" s="28">
        <f>IF(('Activity data'!S12*EF!$H11)*kgtoGg=0,"NO",('Activity data'!S12*EF!$H11)*kgtoGg)</f>
        <v>16.228602104220641</v>
      </c>
      <c r="T11" s="28">
        <f>IF(('Activity data'!T12*EF!$H11)*kgtoGg=0,"NO",('Activity data'!T12*EF!$H11)*kgtoGg)</f>
        <v>15.957631445553769</v>
      </c>
      <c r="U11" s="28">
        <f>IF(('Activity data'!U12*EF!$H11)*kgtoGg=0,"NO",('Activity data'!U12*EF!$H11)*kgtoGg)</f>
        <v>16.013378013352426</v>
      </c>
      <c r="V11" s="28">
        <f>IF(('Activity data'!V12*EF!$H11)*kgtoGg=0,"NO",('Activity data'!V12*EF!$H11)*kgtoGg)</f>
        <v>15.728294299546651</v>
      </c>
      <c r="W11" s="28">
        <f>IF(('Activity data'!W12*EF!$H11)*kgtoGg=0,"NO",('Activity data'!W12*EF!$H11)*kgtoGg)</f>
        <v>15.690894703428569</v>
      </c>
      <c r="X11" s="28">
        <f>IF(('Activity data'!X12*EF!$H11)*kgtoGg=0,"NO",('Activity data'!X12*EF!$H11)*kgtoGg)</f>
        <v>15.485549751157579</v>
      </c>
      <c r="Y11" s="28">
        <f>IF(('Activity data'!Y12*EF!$H11)*kgtoGg=0,"NO",('Activity data'!Y12*EF!$H11)*kgtoGg)</f>
        <v>15.470731043261734</v>
      </c>
      <c r="Z11" s="28">
        <f>IF(('Activity data'!Z12*EF!$H11)*kgtoGg=0,"NO",('Activity data'!Z12*EF!$H11)*kgtoGg)</f>
        <v>15.520832389004827</v>
      </c>
      <c r="AA11" s="28">
        <f>IF(('Activity data'!AA12*EF!$H11)*kgtoGg=0,"NO",('Activity data'!AA12*EF!$H11)*kgtoGg)</f>
        <v>15.465791473963119</v>
      </c>
      <c r="AB11" s="28">
        <f>IF(('Activity data'!AB12*EF!$H11)*kgtoGg=0,"NO",('Activity data'!AB12*EF!$H11)*kgtoGg)</f>
        <v>15.166594705018449</v>
      </c>
      <c r="AC11" s="28">
        <f>IF(('Activity data'!AC12*EF!$H11)*kgtoGg=0,"NO",('Activity data'!AC12*EF!$H11)*kgtoGg)</f>
        <v>15.048045041851694</v>
      </c>
      <c r="AD11" s="28">
        <f>IF(('Activity data'!AD12*EF!$H11)*kgtoGg=0,"NO",('Activity data'!AD12*EF!$H11)*kgtoGg)</f>
        <v>14.369021000318453</v>
      </c>
      <c r="AE11" s="28">
        <f>IF(('Activity data'!AE12*EF!$H11)*kgtoGg=0,"NO",('Activity data'!AE12*EF!$H11)*kgtoGg)</f>
        <v>14.376867799816345</v>
      </c>
      <c r="AF11" s="28">
        <f>IF(('Activity data'!AF12*EF!$H11)*kgtoGg=0,"NO",('Activity data'!AF12*EF!$H11)*kgtoGg)</f>
        <v>14.394438291211975</v>
      </c>
      <c r="AG11" s="28">
        <f>IF(('Activity data'!AG12*EF!$H11)*kgtoGg=0,"NO",('Activity data'!AG12*EF!$H11)*kgtoGg)</f>
        <v>14.420885569469965</v>
      </c>
      <c r="AH11" s="28">
        <f>IF(('Activity data'!AH12*EF!$H11)*kgtoGg=0,"NO",('Activity data'!AH12*EF!$H11)*kgtoGg)</f>
        <v>14.456563478322018</v>
      </c>
      <c r="AI11" s="28">
        <f>IF(('Activity data'!AI12*EF!$H11)*kgtoGg=0,"NO",('Activity data'!AI12*EF!$H11)*kgtoGg)</f>
        <v>14.50150987548674</v>
      </c>
      <c r="AJ11" s="28">
        <f>IF(('Activity data'!AJ12*EF!$H11)*kgtoGg=0,"NO",('Activity data'!AJ12*EF!$H11)*kgtoGg)</f>
        <v>14.55157833987502</v>
      </c>
      <c r="AK11" s="28">
        <f>IF(('Activity data'!AK12*EF!$H11)*kgtoGg=0,"NO",('Activity data'!AK12*EF!$H11)*kgtoGg)</f>
        <v>14.60584116051756</v>
      </c>
      <c r="AL11" s="28">
        <f>IF(('Activity data'!AL12*EF!$H11)*kgtoGg=0,"NO",('Activity data'!AL12*EF!$H11)*kgtoGg)</f>
        <v>14.656832583577541</v>
      </c>
      <c r="AM11" s="28">
        <f>IF(('Activity data'!AM12*EF!$H11)*kgtoGg=0,"NO",('Activity data'!AM12*EF!$H11)*kgtoGg)</f>
        <v>14.678132688404874</v>
      </c>
      <c r="AN11" s="28">
        <f>IF(('Activity data'!AN12*EF!$H11)*kgtoGg=0,"NO",('Activity data'!AN12*EF!$H11)*kgtoGg)</f>
        <v>14.702848856671748</v>
      </c>
      <c r="AO11" s="28">
        <f>IF(('Activity data'!AO12*EF!$H11)*kgtoGg=0,"NO",('Activity data'!AO12*EF!$H11)*kgtoGg)</f>
        <v>14.730976020490347</v>
      </c>
      <c r="AP11" s="28">
        <f>IF(('Activity data'!AP12*EF!$H11)*kgtoGg=0,"NO",('Activity data'!AP12*EF!$H11)*kgtoGg)</f>
        <v>14.762659910002416</v>
      </c>
      <c r="AQ11" s="28">
        <f>IF(('Activity data'!AQ12*EF!$H11)*kgtoGg=0,"NO",('Activity data'!AQ12*EF!$H11)*kgtoGg)</f>
        <v>14.797392585350364</v>
      </c>
      <c r="AR11" s="28">
        <f>IF(('Activity data'!AR12*EF!$H11)*kgtoGg=0,"NO",('Activity data'!AR12*EF!$H11)*kgtoGg)</f>
        <v>14.818773195864045</v>
      </c>
      <c r="AS11" s="28">
        <f>IF(('Activity data'!AS12*EF!$H11)*kgtoGg=0,"NO",('Activity data'!AS12*EF!$H11)*kgtoGg)</f>
        <v>14.842655779259934</v>
      </c>
      <c r="AT11" s="28">
        <f>IF(('Activity data'!AT12*EF!$H11)*kgtoGg=0,"NO",('Activity data'!AT12*EF!$H11)*kgtoGg)</f>
        <v>14.869127004128885</v>
      </c>
      <c r="AU11" s="28">
        <f>IF(('Activity data'!AU12*EF!$H11)*kgtoGg=0,"NO",('Activity data'!AU12*EF!$H11)*kgtoGg)</f>
        <v>14.897780155799289</v>
      </c>
      <c r="AV11" s="28">
        <f>IF(('Activity data'!AV12*EF!$H11)*kgtoGg=0,"NO",('Activity data'!AV12*EF!$H11)*kgtoGg)</f>
        <v>14.928717686245429</v>
      </c>
      <c r="AW11" s="28">
        <f>IF(('Activity data'!AW12*EF!$H11)*kgtoGg=0,"NO",('Activity data'!AW12*EF!$H11)*kgtoGg)</f>
        <v>14.949084439013225</v>
      </c>
      <c r="AX11" s="28">
        <f>IF(('Activity data'!AX12*EF!$H11)*kgtoGg=0,"NO",('Activity data'!AX12*EF!$H11)*kgtoGg)</f>
        <v>14.971593460065483</v>
      </c>
      <c r="AY11" s="28">
        <f>IF(('Activity data'!AY12*EF!$H11)*kgtoGg=0,"NO",('Activity data'!AY12*EF!$H11)*kgtoGg)</f>
        <v>14.996042314537018</v>
      </c>
      <c r="AZ11" s="28">
        <f>IF(('Activity data'!AZ12*EF!$H11)*kgtoGg=0,"NO",('Activity data'!AZ12*EF!$H11)*kgtoGg)</f>
        <v>15.019663026177268</v>
      </c>
      <c r="BA11" s="28">
        <f>IF(('Activity data'!BA12*EF!$H11)*kgtoGg=0,"NO",('Activity data'!BA12*EF!$H11)*kgtoGg)</f>
        <v>14.918677411277161</v>
      </c>
      <c r="BB11" s="28">
        <f>IF(('Activity data'!BB12*EF!$H11)*kgtoGg=0,"NO",('Activity data'!BB12*EF!$H11)*kgtoGg)</f>
        <v>14.933018965333902</v>
      </c>
      <c r="BC11" s="28">
        <f>IF(('Activity data'!BC12*EF!$H11)*kgtoGg=0,"NO",('Activity data'!BC12*EF!$H11)*kgtoGg)</f>
        <v>14.948844941274739</v>
      </c>
      <c r="BD11" s="28">
        <f>IF(('Activity data'!BD12*EF!$H11)*kgtoGg=0,"NO",('Activity data'!BD12*EF!$H11)*kgtoGg)</f>
        <v>14.966099258886322</v>
      </c>
      <c r="BE11" s="28">
        <f>IF(('Activity data'!BE12*EF!$H11)*kgtoGg=0,"NO",('Activity data'!BE12*EF!$H11)*kgtoGg)</f>
        <v>14.984730172606687</v>
      </c>
      <c r="BF11" s="28">
        <f>IF(('Activity data'!BF12*EF!$H11)*kgtoGg=0,"NO",('Activity data'!BF12*EF!$H11)*kgtoGg)</f>
        <v>15.004689860199688</v>
      </c>
      <c r="BG11" s="28">
        <f>IF(('Activity data'!BG12*EF!$H11)*kgtoGg=0,"NO",('Activity data'!BG12*EF!$H11)*kgtoGg)</f>
        <v>15.014376314690312</v>
      </c>
      <c r="BH11" s="28">
        <f>IF(('Activity data'!BH12*EF!$H11)*kgtoGg=0,"NO",('Activity data'!BH12*EF!$H11)*kgtoGg)</f>
        <v>15.025233503574562</v>
      </c>
      <c r="BI11" s="28">
        <f>IF(('Activity data'!BI12*EF!$H11)*kgtoGg=0,"NO",('Activity data'!BI12*EF!$H11)*kgtoGg)</f>
        <v>15.037220682535205</v>
      </c>
      <c r="BJ11" s="28">
        <f>IF(('Activity data'!BJ12*EF!$H11)*kgtoGg=0,"NO",('Activity data'!BJ12*EF!$H11)*kgtoGg)</f>
        <v>15.050299895946342</v>
      </c>
      <c r="BK11" s="28">
        <f>IF(('Activity data'!BK12*EF!$H11)*kgtoGg=0,"NO",('Activity data'!BK12*EF!$H11)*kgtoGg)</f>
        <v>15.064435739960453</v>
      </c>
      <c r="BL11" s="28">
        <f>IF(('Activity data'!BL12*EF!$H11)*kgtoGg=0,"NO",('Activity data'!BL12*EF!$H11)*kgtoGg)</f>
        <v>15.067922880727245</v>
      </c>
      <c r="BM11" s="28">
        <f>IF(('Activity data'!BM12*EF!$H11)*kgtoGg=0,"NO",('Activity data'!BM12*EF!$H11)*kgtoGg)</f>
        <v>15.072347780671114</v>
      </c>
      <c r="BN11" s="28">
        <f>IF(('Activity data'!BN12*EF!$H11)*kgtoGg=0,"NO",('Activity data'!BN12*EF!$H11)*kgtoGg)</f>
        <v>15.077679381225703</v>
      </c>
      <c r="BO11" s="28">
        <f>IF(('Activity data'!BO12*EF!$H11)*kgtoGg=0,"NO",('Activity data'!BO12*EF!$H11)*kgtoGg)</f>
        <v>15.083888520395751</v>
      </c>
      <c r="BP11" s="28">
        <f>IF(('Activity data'!BP12*EF!$H11)*kgtoGg=0,"NO",('Activity data'!BP12*EF!$H11)*kgtoGg)</f>
        <v>15.090947786907744</v>
      </c>
    </row>
    <row r="12" spans="1:74" x14ac:dyDescent="0.25">
      <c r="A12" t="str">
        <f t="shared" si="1"/>
        <v>3A Livestock</v>
      </c>
      <c r="B12" t="str">
        <f t="shared" si="2"/>
        <v>3A1 Enteric fermentation (CH4)</v>
      </c>
      <c r="C12" t="str">
        <f>EF!C12</f>
        <v>3A1d Goats</v>
      </c>
      <c r="D12" t="str">
        <f>EF!D12</f>
        <v>Commercial</v>
      </c>
      <c r="E12" t="str">
        <f t="shared" si="3"/>
        <v>Enteric fermentation Emissions</v>
      </c>
      <c r="F12" t="str">
        <f t="shared" si="4"/>
        <v>CH4</v>
      </c>
      <c r="G12" t="str">
        <f t="shared" si="5"/>
        <v>Gg CH4</v>
      </c>
      <c r="H12" s="28">
        <f>IF(('Activity data'!H13*EF!$H12)*kgtoGg=0,"NO",('Activity data'!H13*EF!$H12)*kgtoGg)</f>
        <v>20.285563221215835</v>
      </c>
      <c r="I12" s="28">
        <f>IF(('Activity data'!I13*EF!$H12)*kgtoGg=0,"NO",('Activity data'!I13*EF!$H12)*kgtoGg)</f>
        <v>17.938171082062887</v>
      </c>
      <c r="J12" s="28">
        <f>IF(('Activity data'!J13*EF!$H12)*kgtoGg=0,"NO",('Activity data'!J13*EF!$H12)*kgtoGg)</f>
        <v>16.709629401758534</v>
      </c>
      <c r="K12" s="28">
        <f>IF(('Activity data'!K13*EF!$H12)*kgtoGg=0,"NO",('Activity data'!K13*EF!$H12)*kgtoGg)</f>
        <v>15.788223141530271</v>
      </c>
      <c r="L12" s="28">
        <f>IF(('Activity data'!L13*EF!$H12)*kgtoGg=0,"NO",('Activity data'!L13*EF!$H12)*kgtoGg)</f>
        <v>17.089892302805115</v>
      </c>
      <c r="M12" s="28">
        <f>IF(('Activity data'!M13*EF!$H12)*kgtoGg=0,"NO",('Activity data'!M13*EF!$H12)*kgtoGg)</f>
        <v>17.32390024191071</v>
      </c>
      <c r="N12" s="28">
        <f>IF(('Activity data'!N13*EF!$H12)*kgtoGg=0,"NO",('Activity data'!N13*EF!$H12)*kgtoGg)</f>
        <v>17.594471921501544</v>
      </c>
      <c r="O12" s="28">
        <f>IF(('Activity data'!O13*EF!$H12)*kgtoGg=0,"NO",('Activity data'!O13*EF!$H12)*kgtoGg)</f>
        <v>17.506718944336949</v>
      </c>
      <c r="P12" s="28">
        <f>IF(('Activity data'!P13*EF!$H12)*kgtoGg=0,"NO",('Activity data'!P13*EF!$H12)*kgtoGg)</f>
        <v>17.258085509037262</v>
      </c>
      <c r="Q12" s="28">
        <f>IF(('Activity data'!Q13*EF!$H12)*kgtoGg=0,"NO",('Activity data'!Q13*EF!$H12)*kgtoGg)</f>
        <v>17.002139325640524</v>
      </c>
      <c r="R12" s="28">
        <f>IF(('Activity data'!R13*EF!$H12)*kgtoGg=0,"NO",('Activity data'!R13*EF!$H12)*kgtoGg)</f>
        <v>17.221521768552012</v>
      </c>
      <c r="S12" s="28">
        <f>IF(('Activity data'!S13*EF!$H12)*kgtoGg=0,"NO",('Activity data'!S13*EF!$H12)*kgtoGg)</f>
        <v>17.748039631539594</v>
      </c>
      <c r="T12" s="28">
        <f>IF(('Activity data'!T13*EF!$H12)*kgtoGg=0,"NO",('Activity data'!T13*EF!$H12)*kgtoGg)</f>
        <v>16.205049783062112</v>
      </c>
      <c r="U12" s="28">
        <f>IF(('Activity data'!U13*EF!$H12)*kgtoGg=0,"NO",('Activity data'!U13*EF!$H12)*kgtoGg)</f>
        <v>15.795535889627324</v>
      </c>
      <c r="V12" s="28">
        <f>IF(('Activity data'!V13*EF!$H12)*kgtoGg=0,"NO",('Activity data'!V13*EF!$H12)*kgtoGg)</f>
        <v>15.824786882015525</v>
      </c>
      <c r="W12" s="28">
        <f>IF(('Activity data'!W13*EF!$H12)*kgtoGg=0,"NO",('Activity data'!W13*EF!$H12)*kgtoGg)</f>
        <v>15.620029935298131</v>
      </c>
      <c r="X12" s="28">
        <f>IF(('Activity data'!X13*EF!$H12)*kgtoGg=0,"NO",('Activity data'!X13*EF!$H12)*kgtoGg)</f>
        <v>15.949103599665367</v>
      </c>
      <c r="Y12" s="28">
        <f>IF(('Activity data'!Y13*EF!$H12)*kgtoGg=0,"NO",('Activity data'!Y13*EF!$H12)*kgtoGg)</f>
        <v>15.473774973357138</v>
      </c>
      <c r="Z12" s="28">
        <f>IF(('Activity data'!Z13*EF!$H12)*kgtoGg=0,"NO",('Activity data'!Z13*EF!$H12)*kgtoGg)</f>
        <v>15.459149477163042</v>
      </c>
      <c r="AA12" s="28">
        <f>IF(('Activity data'!AA13*EF!$H12)*kgtoGg=0,"NO",('Activity data'!AA13*EF!$H12)*kgtoGg)</f>
        <v>15.188577797572201</v>
      </c>
      <c r="AB12" s="28">
        <f>IF(('Activity data'!AB13*EF!$H12)*kgtoGg=0,"NO",('Activity data'!AB13*EF!$H12)*kgtoGg)</f>
        <v>15.005759095145958</v>
      </c>
      <c r="AC12" s="28">
        <f>IF(('Activity data'!AC13*EF!$H12)*kgtoGg=0,"NO",('Activity data'!AC13*EF!$H12)*kgtoGg)</f>
        <v>14.866816881302015</v>
      </c>
      <c r="AD12" s="28">
        <f>IF(('Activity data'!AD13*EF!$H12)*kgtoGg=0,"NO",('Activity data'!AD13*EF!$H12)*kgtoGg)</f>
        <v>15.122912034052119</v>
      </c>
      <c r="AE12" s="28">
        <f>IF(('Activity data'!AE13*EF!$H12)*kgtoGg=0,"NO",('Activity data'!AE13*EF!$H12)*kgtoGg)</f>
        <v>15.16235617086264</v>
      </c>
      <c r="AF12" s="28">
        <f>IF(('Activity data'!AF13*EF!$H12)*kgtoGg=0,"NO",('Activity data'!AF13*EF!$H12)*kgtoGg)</f>
        <v>15.214918977175502</v>
      </c>
      <c r="AG12" s="28">
        <f>IF(('Activity data'!AG13*EF!$H12)*kgtoGg=0,"NO",('Activity data'!AG13*EF!$H12)*kgtoGg)</f>
        <v>15.279431878529646</v>
      </c>
      <c r="AH12" s="28">
        <f>IF(('Activity data'!AH13*EF!$H12)*kgtoGg=0,"NO",('Activity data'!AH13*EF!$H12)*kgtoGg)</f>
        <v>15.356670108197457</v>
      </c>
      <c r="AI12" s="28">
        <f>IF(('Activity data'!AI13*EF!$H12)*kgtoGg=0,"NO",('Activity data'!AI13*EF!$H12)*kgtoGg)</f>
        <v>15.446839206530987</v>
      </c>
      <c r="AJ12" s="28">
        <f>IF(('Activity data'!AJ13*EF!$H12)*kgtoGg=0,"NO",('Activity data'!AJ13*EF!$H12)*kgtoGg)</f>
        <v>15.543246595834415</v>
      </c>
      <c r="AK12" s="28">
        <f>IF(('Activity data'!AK13*EF!$H12)*kgtoGg=0,"NO",('Activity data'!AK13*EF!$H12)*kgtoGg)</f>
        <v>15.644513729476552</v>
      </c>
      <c r="AL12" s="28">
        <f>IF(('Activity data'!AL13*EF!$H12)*kgtoGg=0,"NO",('Activity data'!AL13*EF!$H12)*kgtoGg)</f>
        <v>15.738586448717601</v>
      </c>
      <c r="AM12" s="28">
        <f>IF(('Activity data'!AM13*EF!$H12)*kgtoGg=0,"NO",('Activity data'!AM13*EF!$H12)*kgtoGg)</f>
        <v>15.782671791027241</v>
      </c>
      <c r="AN12" s="28">
        <f>IF(('Activity data'!AN13*EF!$H12)*kgtoGg=0,"NO",('Activity data'!AN13*EF!$H12)*kgtoGg)</f>
        <v>15.831013812582922</v>
      </c>
      <c r="AO12" s="28">
        <f>IF(('Activity data'!AO13*EF!$H12)*kgtoGg=0,"NO",('Activity data'!AO13*EF!$H12)*kgtoGg)</f>
        <v>15.883673860630685</v>
      </c>
      <c r="AP12" s="28">
        <f>IF(('Activity data'!AP13*EF!$H12)*kgtoGg=0,"NO",('Activity data'!AP13*EF!$H12)*kgtoGg)</f>
        <v>15.940945806372881</v>
      </c>
      <c r="AQ12" s="28">
        <f>IF(('Activity data'!AQ13*EF!$H12)*kgtoGg=0,"NO",('Activity data'!AQ13*EF!$H12)*kgtoGg)</f>
        <v>16.002058548962822</v>
      </c>
      <c r="AR12" s="28">
        <f>IF(('Activity data'!AR13*EF!$H12)*kgtoGg=0,"NO",('Activity data'!AR13*EF!$H12)*kgtoGg)</f>
        <v>16.040687609599484</v>
      </c>
      <c r="AS12" s="28">
        <f>IF(('Activity data'!AS13*EF!$H12)*kgtoGg=0,"NO",('Activity data'!AS13*EF!$H12)*kgtoGg)</f>
        <v>16.082482288873532</v>
      </c>
      <c r="AT12" s="28">
        <f>IF(('Activity data'!AT13*EF!$H12)*kgtoGg=0,"NO",('Activity data'!AT13*EF!$H12)*kgtoGg)</f>
        <v>16.127615494082271</v>
      </c>
      <c r="AU12" s="28">
        <f>IF(('Activity data'!AU13*EF!$H12)*kgtoGg=0,"NO",('Activity data'!AU13*EF!$H12)*kgtoGg)</f>
        <v>16.175465875658951</v>
      </c>
      <c r="AV12" s="28">
        <f>IF(('Activity data'!AV13*EF!$H12)*kgtoGg=0,"NO",('Activity data'!AV13*EF!$H12)*kgtoGg)</f>
        <v>16.226224840403397</v>
      </c>
      <c r="AW12" s="28">
        <f>IF(('Activity data'!AW13*EF!$H12)*kgtoGg=0,"NO",('Activity data'!AW13*EF!$H12)*kgtoGg)</f>
        <v>16.259468591936052</v>
      </c>
      <c r="AX12" s="28">
        <f>IF(('Activity data'!AX13*EF!$H12)*kgtoGg=0,"NO",('Activity data'!AX13*EF!$H12)*kgtoGg)</f>
        <v>16.295521678721617</v>
      </c>
      <c r="AY12" s="28">
        <f>IF(('Activity data'!AY13*EF!$H12)*kgtoGg=0,"NO",('Activity data'!AY13*EF!$H12)*kgtoGg)</f>
        <v>16.334079311640636</v>
      </c>
      <c r="AZ12" s="28">
        <f>IF(('Activity data'!AZ13*EF!$H12)*kgtoGg=0,"NO",('Activity data'!AZ13*EF!$H12)*kgtoGg)</f>
        <v>16.370780543129868</v>
      </c>
      <c r="BA12" s="28">
        <f>IF(('Activity data'!BA13*EF!$H12)*kgtoGg=0,"NO",('Activity data'!BA13*EF!$H12)*kgtoGg)</f>
        <v>16.210342962451882</v>
      </c>
      <c r="BB12" s="28">
        <f>IF(('Activity data'!BB13*EF!$H12)*kgtoGg=0,"NO",('Activity data'!BB13*EF!$H12)*kgtoGg)</f>
        <v>16.231809554619815</v>
      </c>
      <c r="BC12" s="28">
        <f>IF(('Activity data'!BC13*EF!$H12)*kgtoGg=0,"NO",('Activity data'!BC13*EF!$H12)*kgtoGg)</f>
        <v>16.255200949759832</v>
      </c>
      <c r="BD12" s="28">
        <f>IF(('Activity data'!BD13*EF!$H12)*kgtoGg=0,"NO",('Activity data'!BD13*EF!$H12)*kgtoGg)</f>
        <v>16.280438980022009</v>
      </c>
      <c r="BE12" s="28">
        <f>IF(('Activity data'!BE13*EF!$H12)*kgtoGg=0,"NO",('Activity data'!BE13*EF!$H12)*kgtoGg)</f>
        <v>16.307451540692337</v>
      </c>
      <c r="BF12" s="28">
        <f>IF(('Activity data'!BF13*EF!$H12)*kgtoGg=0,"NO",('Activity data'!BF13*EF!$H12)*kgtoGg)</f>
        <v>16.33617200965886</v>
      </c>
      <c r="BG12" s="28">
        <f>IF(('Activity data'!BG13*EF!$H12)*kgtoGg=0,"NO",('Activity data'!BG13*EF!$H12)*kgtoGg)</f>
        <v>16.348500225303503</v>
      </c>
      <c r="BH12" s="28">
        <f>IF(('Activity data'!BH13*EF!$H12)*kgtoGg=0,"NO",('Activity data'!BH13*EF!$H12)*kgtoGg)</f>
        <v>16.362367038828094</v>
      </c>
      <c r="BI12" s="28">
        <f>IF(('Activity data'!BI13*EF!$H12)*kgtoGg=0,"NO",('Activity data'!BI13*EF!$H12)*kgtoGg)</f>
        <v>16.377714445166813</v>
      </c>
      <c r="BJ12" s="28">
        <f>IF(('Activity data'!BJ13*EF!$H12)*kgtoGg=0,"NO",('Activity data'!BJ13*EF!$H12)*kgtoGg)</f>
        <v>16.394488418537772</v>
      </c>
      <c r="BK12" s="28">
        <f>IF(('Activity data'!BK13*EF!$H12)*kgtoGg=0,"NO",('Activity data'!BK13*EF!$H12)*kgtoGg)</f>
        <v>16.412638571526305</v>
      </c>
      <c r="BL12" s="28">
        <f>IF(('Activity data'!BL13*EF!$H12)*kgtoGg=0,"NO",('Activity data'!BL13*EF!$H12)*kgtoGg)</f>
        <v>16.414054645399585</v>
      </c>
      <c r="BM12" s="28">
        <f>IF(('Activity data'!BM13*EF!$H12)*kgtoGg=0,"NO",('Activity data'!BM13*EF!$H12)*kgtoGg)</f>
        <v>16.416730079303285</v>
      </c>
      <c r="BN12" s="28">
        <f>IF(('Activity data'!BN13*EF!$H12)*kgtoGg=0,"NO",('Activity data'!BN13*EF!$H12)*kgtoGg)</f>
        <v>16.420619645756457</v>
      </c>
      <c r="BO12" s="28">
        <f>IF(('Activity data'!BO13*EF!$H12)*kgtoGg=0,"NO",('Activity data'!BO13*EF!$H12)*kgtoGg)</f>
        <v>16.425680885599256</v>
      </c>
      <c r="BP12" s="28">
        <f>IF(('Activity data'!BP13*EF!$H12)*kgtoGg=0,"NO",('Activity data'!BP13*EF!$H12)*kgtoGg)</f>
        <v>16.431873893524784</v>
      </c>
    </row>
    <row r="13" spans="1:74" x14ac:dyDescent="0.25">
      <c r="A13" t="str">
        <f t="shared" si="1"/>
        <v>3A Livestock</v>
      </c>
      <c r="B13" t="str">
        <f t="shared" si="2"/>
        <v>3A1 Enteric fermentation (CH4)</v>
      </c>
      <c r="C13" t="str">
        <f>EF!C13</f>
        <v>3A1d Goats</v>
      </c>
      <c r="D13" t="str">
        <f>EF!D13</f>
        <v>Subsistence</v>
      </c>
      <c r="E13" t="str">
        <f t="shared" si="3"/>
        <v>Enteric fermentation Emissions</v>
      </c>
      <c r="F13" t="str">
        <f t="shared" si="4"/>
        <v>CH4</v>
      </c>
      <c r="G13" t="str">
        <f t="shared" si="5"/>
        <v>Gg CH4</v>
      </c>
      <c r="H13" s="28">
        <f>IF(('Activity data'!H14*EF!$H13)*kgtoGg=0,"NO",('Activity data'!H14*EF!$H13)*kgtoGg)</f>
        <v>30.547177763222784</v>
      </c>
      <c r="I13" s="28">
        <f>IF(('Activity data'!I14*EF!$H13)*kgtoGg=0,"NO",('Activity data'!I14*EF!$H13)*kgtoGg)</f>
        <v>27.012338519533348</v>
      </c>
      <c r="J13" s="28">
        <f>IF(('Activity data'!J14*EF!$H13)*kgtoGg=0,"NO",('Activity data'!J14*EF!$H13)*kgtoGg)</f>
        <v>25.162329195733268</v>
      </c>
      <c r="K13" s="28">
        <f>IF(('Activity data'!K14*EF!$H13)*kgtoGg=0,"NO",('Activity data'!K14*EF!$H13)*kgtoGg)</f>
        <v>23.774822202883204</v>
      </c>
      <c r="L13" s="28">
        <f>IF(('Activity data'!L14*EF!$H13)*kgtoGg=0,"NO",('Activity data'!L14*EF!$H13)*kgtoGg)</f>
        <v>25.734951129290433</v>
      </c>
      <c r="M13" s="28">
        <f>IF(('Activity data'!M14*EF!$H13)*kgtoGg=0,"NO",('Activity data'!M14*EF!$H13)*kgtoGg)</f>
        <v>26.087333857633308</v>
      </c>
      <c r="N13" s="28">
        <f>IF(('Activity data'!N14*EF!$H13)*kgtoGg=0,"NO",('Activity data'!N14*EF!$H13)*kgtoGg)</f>
        <v>26.494776387279753</v>
      </c>
      <c r="O13" s="28">
        <f>IF(('Activity data'!O14*EF!$H13)*kgtoGg=0,"NO",('Activity data'!O14*EF!$H13)*kgtoGg)</f>
        <v>26.362632864151173</v>
      </c>
      <c r="P13" s="28">
        <f>IF(('Activity data'!P14*EF!$H13)*kgtoGg=0,"NO",('Activity data'!P14*EF!$H13)*kgtoGg)</f>
        <v>25.988226215286872</v>
      </c>
      <c r="Q13" s="28">
        <f>IF(('Activity data'!Q14*EF!$H13)*kgtoGg=0,"NO",('Activity data'!Q14*EF!$H13)*kgtoGg)</f>
        <v>25.602807606161857</v>
      </c>
      <c r="R13" s="28">
        <f>IF(('Activity data'!R14*EF!$H13)*kgtoGg=0,"NO",('Activity data'!R14*EF!$H13)*kgtoGg)</f>
        <v>25.933166413983301</v>
      </c>
      <c r="S13" s="28">
        <f>IF(('Activity data'!S14*EF!$H13)*kgtoGg=0,"NO",('Activity data'!S14*EF!$H13)*kgtoGg)</f>
        <v>26.726027552754761</v>
      </c>
      <c r="T13" s="28">
        <f>IF(('Activity data'!T14*EF!$H13)*kgtoGg=0,"NO",('Activity data'!T14*EF!$H13)*kgtoGg)</f>
        <v>24.402503937743941</v>
      </c>
      <c r="U13" s="28">
        <f>IF(('Activity data'!U14*EF!$H13)*kgtoGg=0,"NO",('Activity data'!U14*EF!$H13)*kgtoGg)</f>
        <v>23.785834163143917</v>
      </c>
      <c r="V13" s="28">
        <f>IF(('Activity data'!V14*EF!$H13)*kgtoGg=0,"NO",('Activity data'!V14*EF!$H13)*kgtoGg)</f>
        <v>23.829882004186778</v>
      </c>
      <c r="W13" s="28">
        <f>IF(('Activity data'!W14*EF!$H13)*kgtoGg=0,"NO",('Activity data'!W14*EF!$H13)*kgtoGg)</f>
        <v>23.521547116886765</v>
      </c>
      <c r="X13" s="28">
        <f>IF(('Activity data'!X14*EF!$H13)*kgtoGg=0,"NO",('Activity data'!X14*EF!$H13)*kgtoGg)</f>
        <v>24.017085328618933</v>
      </c>
      <c r="Y13" s="28">
        <f>IF(('Activity data'!Y14*EF!$H13)*kgtoGg=0,"NO",('Activity data'!Y14*EF!$H13)*kgtoGg)</f>
        <v>23.301307911672467</v>
      </c>
      <c r="Z13" s="28">
        <f>IF(('Activity data'!Z14*EF!$H13)*kgtoGg=0,"NO",('Activity data'!Z14*EF!$H13)*kgtoGg)</f>
        <v>23.279283991151036</v>
      </c>
      <c r="AA13" s="28">
        <f>IF(('Activity data'!AA14*EF!$H13)*kgtoGg=0,"NO",('Activity data'!AA14*EF!$H13)*kgtoGg)</f>
        <v>22.871841461504591</v>
      </c>
      <c r="AB13" s="28">
        <f>IF(('Activity data'!AB14*EF!$H13)*kgtoGg=0,"NO",('Activity data'!AB14*EF!$H13)*kgtoGg)</f>
        <v>22.596542454986725</v>
      </c>
      <c r="AC13" s="28">
        <f>IF(('Activity data'!AC14*EF!$H13)*kgtoGg=0,"NO",('Activity data'!AC14*EF!$H13)*kgtoGg)</f>
        <v>22.38731521003314</v>
      </c>
      <c r="AD13" s="28">
        <f>IF(('Activity data'!AD14*EF!$H13)*kgtoGg=0,"NO",('Activity data'!AD14*EF!$H13)*kgtoGg)</f>
        <v>22.380358537009105</v>
      </c>
      <c r="AE13" s="28">
        <f>IF(('Activity data'!AE14*EF!$H13)*kgtoGg=0,"NO",('Activity data'!AE14*EF!$H13)*kgtoGg)</f>
        <v>22.438731813400228</v>
      </c>
      <c r="AF13" s="28">
        <f>IF(('Activity data'!AF14*EF!$H13)*kgtoGg=0,"NO",('Activity data'!AF14*EF!$H13)*kgtoGg)</f>
        <v>22.516519374971988</v>
      </c>
      <c r="AG13" s="28">
        <f>IF(('Activity data'!AG14*EF!$H13)*kgtoGg=0,"NO",('Activity data'!AG14*EF!$H13)*kgtoGg)</f>
        <v>22.611991851391704</v>
      </c>
      <c r="AH13" s="28">
        <f>IF(('Activity data'!AH14*EF!$H13)*kgtoGg=0,"NO",('Activity data'!AH14*EF!$H13)*kgtoGg)</f>
        <v>22.726296508380855</v>
      </c>
      <c r="AI13" s="28">
        <f>IF(('Activity data'!AI14*EF!$H13)*kgtoGg=0,"NO",('Activity data'!AI14*EF!$H13)*kgtoGg)</f>
        <v>22.859737524576634</v>
      </c>
      <c r="AJ13" s="28">
        <f>IF(('Activity data'!AJ14*EF!$H13)*kgtoGg=0,"NO",('Activity data'!AJ14*EF!$H13)*kgtoGg)</f>
        <v>23.002410571498377</v>
      </c>
      <c r="AK13" s="28">
        <f>IF(('Activity data'!AK14*EF!$H13)*kgtoGg=0,"NO",('Activity data'!AK14*EF!$H13)*kgtoGg)</f>
        <v>23.152275541540064</v>
      </c>
      <c r="AL13" s="28">
        <f>IF(('Activity data'!AL14*EF!$H13)*kgtoGg=0,"NO",('Activity data'!AL14*EF!$H13)*kgtoGg)</f>
        <v>23.291493516254551</v>
      </c>
      <c r="AM13" s="28">
        <f>IF(('Activity data'!AM14*EF!$H13)*kgtoGg=0,"NO",('Activity data'!AM14*EF!$H13)*kgtoGg)</f>
        <v>23.356735300700223</v>
      </c>
      <c r="AN13" s="28">
        <f>IF(('Activity data'!AN14*EF!$H13)*kgtoGg=0,"NO",('Activity data'!AN14*EF!$H13)*kgtoGg)</f>
        <v>23.428276533789713</v>
      </c>
      <c r="AO13" s="28">
        <f>IF(('Activity data'!AO14*EF!$H13)*kgtoGg=0,"NO",('Activity data'!AO14*EF!$H13)*kgtoGg)</f>
        <v>23.506208003154299</v>
      </c>
      <c r="AP13" s="28">
        <f>IF(('Activity data'!AP14*EF!$H13)*kgtoGg=0,"NO",('Activity data'!AP14*EF!$H13)*kgtoGg)</f>
        <v>23.590964608028823</v>
      </c>
      <c r="AQ13" s="28">
        <f>IF(('Activity data'!AQ14*EF!$H13)*kgtoGg=0,"NO",('Activity data'!AQ14*EF!$H13)*kgtoGg)</f>
        <v>23.681405198257956</v>
      </c>
      <c r="AR13" s="28">
        <f>IF(('Activity data'!AR14*EF!$H13)*kgtoGg=0,"NO",('Activity data'!AR14*EF!$H13)*kgtoGg)</f>
        <v>23.738572245520402</v>
      </c>
      <c r="AS13" s="28">
        <f>IF(('Activity data'!AS14*EF!$H13)*kgtoGg=0,"NO",('Activity data'!AS14*EF!$H13)*kgtoGg)</f>
        <v>23.800424083644316</v>
      </c>
      <c r="AT13" s="28">
        <f>IF(('Activity data'!AT14*EF!$H13)*kgtoGg=0,"NO",('Activity data'!AT14*EF!$H13)*kgtoGg)</f>
        <v>23.8672165976933</v>
      </c>
      <c r="AU13" s="28">
        <f>IF(('Activity data'!AU14*EF!$H13)*kgtoGg=0,"NO",('Activity data'!AU14*EF!$H13)*kgtoGg)</f>
        <v>23.938030254045156</v>
      </c>
      <c r="AV13" s="28">
        <f>IF(('Activity data'!AV14*EF!$H13)*kgtoGg=0,"NO",('Activity data'!AV14*EF!$H13)*kgtoGg)</f>
        <v>24.013148315129573</v>
      </c>
      <c r="AW13" s="28">
        <f>IF(('Activity data'!AW14*EF!$H13)*kgtoGg=0,"NO",('Activity data'!AW14*EF!$H13)*kgtoGg)</f>
        <v>24.062345657330646</v>
      </c>
      <c r="AX13" s="28">
        <f>IF(('Activity data'!AX14*EF!$H13)*kgtoGg=0,"NO",('Activity data'!AX14*EF!$H13)*kgtoGg)</f>
        <v>24.115700527530912</v>
      </c>
      <c r="AY13" s="28">
        <f>IF(('Activity data'!AY14*EF!$H13)*kgtoGg=0,"NO",('Activity data'!AY14*EF!$H13)*kgtoGg)</f>
        <v>24.172761869098128</v>
      </c>
      <c r="AZ13" s="28">
        <f>IF(('Activity data'!AZ14*EF!$H13)*kgtoGg=0,"NO",('Activity data'!AZ14*EF!$H13)*kgtoGg)</f>
        <v>24.227075926974639</v>
      </c>
      <c r="BA13" s="28">
        <f>IF(('Activity data'!BA14*EF!$H13)*kgtoGg=0,"NO",('Activity data'!BA14*EF!$H13)*kgtoGg)</f>
        <v>23.989644764887686</v>
      </c>
      <c r="BB13" s="28">
        <f>IF(('Activity data'!BB14*EF!$H13)*kgtoGg=0,"NO",('Activity data'!BB14*EF!$H13)*kgtoGg)</f>
        <v>24.021413119302785</v>
      </c>
      <c r="BC13" s="28">
        <f>IF(('Activity data'!BC14*EF!$H13)*kgtoGg=0,"NO",('Activity data'!BC14*EF!$H13)*kgtoGg)</f>
        <v>24.056029984674726</v>
      </c>
      <c r="BD13" s="28">
        <f>IF(('Activity data'!BD14*EF!$H13)*kgtoGg=0,"NO",('Activity data'!BD14*EF!$H13)*kgtoGg)</f>
        <v>24.093379680603892</v>
      </c>
      <c r="BE13" s="28">
        <f>IF(('Activity data'!BE14*EF!$H13)*kgtoGg=0,"NO",('Activity data'!BE14*EF!$H13)*kgtoGg)</f>
        <v>24.133355499509896</v>
      </c>
      <c r="BF13" s="28">
        <f>IF(('Activity data'!BF14*EF!$H13)*kgtoGg=0,"NO",('Activity data'!BF14*EF!$H13)*kgtoGg)</f>
        <v>24.175858847500976</v>
      </c>
      <c r="BG13" s="28">
        <f>IF(('Activity data'!BG14*EF!$H13)*kgtoGg=0,"NO",('Activity data'!BG14*EF!$H13)*kgtoGg)</f>
        <v>24.194103342055165</v>
      </c>
      <c r="BH13" s="28">
        <f>IF(('Activity data'!BH14*EF!$H13)*kgtoGg=0,"NO",('Activity data'!BH14*EF!$H13)*kgtoGg)</f>
        <v>24.214624803645847</v>
      </c>
      <c r="BI13" s="28">
        <f>IF(('Activity data'!BI14*EF!$H13)*kgtoGg=0,"NO",('Activity data'!BI14*EF!$H13)*kgtoGg)</f>
        <v>24.23733739072566</v>
      </c>
      <c r="BJ13" s="28">
        <f>IF(('Activity data'!BJ14*EF!$H13)*kgtoGg=0,"NO",('Activity data'!BJ14*EF!$H13)*kgtoGg)</f>
        <v>24.26216115067923</v>
      </c>
      <c r="BK13" s="28">
        <f>IF(('Activity data'!BK14*EF!$H13)*kgtoGg=0,"NO",('Activity data'!BK14*EF!$H13)*kgtoGg)</f>
        <v>24.289021515301489</v>
      </c>
      <c r="BL13" s="28">
        <f>IF(('Activity data'!BL14*EF!$H13)*kgtoGg=0,"NO",('Activity data'!BL14*EF!$H13)*kgtoGg)</f>
        <v>24.291117159376356</v>
      </c>
      <c r="BM13" s="28">
        <f>IF(('Activity data'!BM14*EF!$H13)*kgtoGg=0,"NO",('Activity data'!BM14*EF!$H13)*kgtoGg)</f>
        <v>24.295076527113999</v>
      </c>
      <c r="BN13" s="28">
        <f>IF(('Activity data'!BN14*EF!$H13)*kgtoGg=0,"NO",('Activity data'!BN14*EF!$H13)*kgtoGg)</f>
        <v>24.300832686481954</v>
      </c>
      <c r="BO13" s="28">
        <f>IF(('Activity data'!BO14*EF!$H13)*kgtoGg=0,"NO",('Activity data'!BO14*EF!$H13)*kgtoGg)</f>
        <v>24.308322802279001</v>
      </c>
      <c r="BP13" s="28">
        <f>IF(('Activity data'!BP14*EF!$H13)*kgtoGg=0,"NO",('Activity data'!BP14*EF!$H13)*kgtoGg)</f>
        <v>24.317487818744329</v>
      </c>
    </row>
    <row r="14" spans="1:74" x14ac:dyDescent="0.25">
      <c r="A14" t="str">
        <f t="shared" si="1"/>
        <v>3A Livestock</v>
      </c>
      <c r="B14" t="str">
        <f t="shared" si="2"/>
        <v>3A1 Enteric fermentation (CH4)</v>
      </c>
      <c r="C14" t="str">
        <f>EF!C14</f>
        <v>3A1f Horses</v>
      </c>
      <c r="D14" t="str">
        <f>EF!D14</f>
        <v>Horses</v>
      </c>
      <c r="E14" t="str">
        <f t="shared" si="3"/>
        <v>Enteric fermentation Emissions</v>
      </c>
      <c r="F14" t="str">
        <f t="shared" si="4"/>
        <v>CH4</v>
      </c>
      <c r="G14" t="str">
        <f t="shared" si="5"/>
        <v>Gg CH4</v>
      </c>
      <c r="H14" s="28">
        <f>IF(('Activity data'!H15*EF!$H14)*kgtoGg=0,"NO",('Activity data'!H15*EF!$H14)*kgtoGg)</f>
        <v>4.1399999999999997</v>
      </c>
      <c r="I14" s="28">
        <f>IF(('Activity data'!I15*EF!$H14)*kgtoGg=0,"NO",('Activity data'!I15*EF!$H14)*kgtoGg)</f>
        <v>4.1399999999999997</v>
      </c>
      <c r="J14" s="28">
        <f>IF(('Activity data'!J15*EF!$H14)*kgtoGg=0,"NO",('Activity data'!J15*EF!$H14)*kgtoGg)</f>
        <v>4.1399999999999997</v>
      </c>
      <c r="K14" s="28">
        <f>IF(('Activity data'!K15*EF!$H14)*kgtoGg=0,"NO",('Activity data'!K15*EF!$H14)*kgtoGg)</f>
        <v>4.2299999999999995</v>
      </c>
      <c r="L14" s="28">
        <f>IF(('Activity data'!L15*EF!$H14)*kgtoGg=0,"NO",('Activity data'!L15*EF!$H14)*kgtoGg)</f>
        <v>4.3199999999999994</v>
      </c>
      <c r="M14" s="28">
        <f>IF(('Activity data'!M15*EF!$H14)*kgtoGg=0,"NO",('Activity data'!M15*EF!$H14)*kgtoGg)</f>
        <v>4.41</v>
      </c>
      <c r="N14" s="28">
        <f>IF(('Activity data'!N15*EF!$H14)*kgtoGg=0,"NO",('Activity data'!N15*EF!$H14)*kgtoGg)</f>
        <v>4.5</v>
      </c>
      <c r="O14" s="28">
        <f>IF(('Activity data'!O15*EF!$H14)*kgtoGg=0,"NO",('Activity data'!O15*EF!$H14)*kgtoGg)</f>
        <v>4.59</v>
      </c>
      <c r="P14" s="28">
        <f>IF(('Activity data'!P15*EF!$H14)*kgtoGg=0,"NO",('Activity data'!P15*EF!$H14)*kgtoGg)</f>
        <v>4.68</v>
      </c>
      <c r="Q14" s="28">
        <f>IF(('Activity data'!Q15*EF!$H14)*kgtoGg=0,"NO",('Activity data'!Q15*EF!$H14)*kgtoGg)</f>
        <v>4.6440000000000001</v>
      </c>
      <c r="R14" s="28">
        <f>IF(('Activity data'!R15*EF!$H14)*kgtoGg=0,"NO",('Activity data'!R15*EF!$H14)*kgtoGg)</f>
        <v>4.8599999999999994</v>
      </c>
      <c r="S14" s="28">
        <f>IF(('Activity data'!S15*EF!$H14)*kgtoGg=0,"NO",('Activity data'!S15*EF!$H14)*kgtoGg)</f>
        <v>4.8599999999999994</v>
      </c>
      <c r="T14" s="28">
        <f>IF(('Activity data'!T15*EF!$H14)*kgtoGg=0,"NO",('Activity data'!T15*EF!$H14)*kgtoGg)</f>
        <v>4.8599999999999994</v>
      </c>
      <c r="U14" s="28">
        <f>IF(('Activity data'!U15*EF!$H14)*kgtoGg=0,"NO",('Activity data'!U15*EF!$H14)*kgtoGg)</f>
        <v>4.8599999999999994</v>
      </c>
      <c r="V14" s="28">
        <f>IF(('Activity data'!V15*EF!$H14)*kgtoGg=0,"NO",('Activity data'!V15*EF!$H14)*kgtoGg)</f>
        <v>4.8599999999999994</v>
      </c>
      <c r="W14" s="28">
        <f>IF(('Activity data'!W15*EF!$H14)*kgtoGg=0,"NO",('Activity data'!W15*EF!$H14)*kgtoGg)</f>
        <v>4.8599999999999994</v>
      </c>
      <c r="X14" s="28">
        <f>IF(('Activity data'!X15*EF!$H14)*kgtoGg=0,"NO",('Activity data'!X15*EF!$H14)*kgtoGg)</f>
        <v>5.04</v>
      </c>
      <c r="Y14" s="28">
        <f>IF(('Activity data'!Y15*EF!$H14)*kgtoGg=0,"NO",('Activity data'!Y15*EF!$H14)*kgtoGg)</f>
        <v>5.22</v>
      </c>
      <c r="Z14" s="28">
        <f>IF(('Activity data'!Z15*EF!$H14)*kgtoGg=0,"NO",('Activity data'!Z15*EF!$H14)*kgtoGg)</f>
        <v>5.3639999999999999</v>
      </c>
      <c r="AA14" s="28">
        <f>IF(('Activity data'!AA15*EF!$H14)*kgtoGg=0,"NO",('Activity data'!AA15*EF!$H14)*kgtoGg)</f>
        <v>5.3999999999999995</v>
      </c>
      <c r="AB14" s="28">
        <f>IF(('Activity data'!AB15*EF!$H14)*kgtoGg=0,"NO",('Activity data'!AB15*EF!$H14)*kgtoGg)</f>
        <v>5.3999999999999995</v>
      </c>
      <c r="AC14" s="28">
        <f>IF(('Activity data'!AC15*EF!$H14)*kgtoGg=0,"NO",('Activity data'!AC15*EF!$H14)*kgtoGg)</f>
        <v>5.4899999999999993</v>
      </c>
      <c r="AD14" s="28">
        <f>IF(('Activity data'!AD15*EF!$H14)*kgtoGg=0,"NO",('Activity data'!AD15*EF!$H14)*kgtoGg)</f>
        <v>5.5696427744330439</v>
      </c>
      <c r="AE14" s="28">
        <f>IF(('Activity data'!AE15*EF!$H14)*kgtoGg=0,"NO",('Activity data'!AE15*EF!$H14)*kgtoGg)</f>
        <v>5.6022840873497932</v>
      </c>
      <c r="AF14" s="28">
        <f>IF(('Activity data'!AF15*EF!$H14)*kgtoGg=0,"NO",('Activity data'!AF15*EF!$H14)*kgtoGg)</f>
        <v>5.6103260601490881</v>
      </c>
      <c r="AG14" s="28">
        <f>IF(('Activity data'!AG15*EF!$H14)*kgtoGg=0,"NO",('Activity data'!AG15*EF!$H14)*kgtoGg)</f>
        <v>5.5857580588048208</v>
      </c>
      <c r="AH14" s="28">
        <f>IF(('Activity data'!AH15*EF!$H14)*kgtoGg=0,"NO",('Activity data'!AH15*EF!$H14)*kgtoGg)</f>
        <v>5.559765331848693</v>
      </c>
      <c r="AI14" s="28">
        <f>IF(('Activity data'!AI15*EF!$H14)*kgtoGg=0,"NO",('Activity data'!AI15*EF!$H14)*kgtoGg)</f>
        <v>5.5473985576087426</v>
      </c>
      <c r="AJ14" s="28">
        <f>IF(('Activity data'!AJ15*EF!$H14)*kgtoGg=0,"NO",('Activity data'!AJ15*EF!$H14)*kgtoGg)</f>
        <v>5.5391504700870771</v>
      </c>
      <c r="AK14" s="28">
        <f>IF(('Activity data'!AK15*EF!$H14)*kgtoGg=0,"NO",('Activity data'!AK15*EF!$H14)*kgtoGg)</f>
        <v>5.4993657963463365</v>
      </c>
      <c r="AL14" s="28">
        <f>IF(('Activity data'!AL15*EF!$H14)*kgtoGg=0,"NO",('Activity data'!AL15*EF!$H14)*kgtoGg)</f>
        <v>5.1779141846798922</v>
      </c>
      <c r="AM14" s="28">
        <f>IF(('Activity data'!AM15*EF!$H14)*kgtoGg=0,"NO",('Activity data'!AM15*EF!$H14)*kgtoGg)</f>
        <v>5.2234365031656678</v>
      </c>
      <c r="AN14" s="28">
        <f>IF(('Activity data'!AN15*EF!$H14)*kgtoGg=0,"NO",('Activity data'!AN15*EF!$H14)*kgtoGg)</f>
        <v>5.2607139869862687</v>
      </c>
      <c r="AO14" s="28">
        <f>IF(('Activity data'!AO15*EF!$H14)*kgtoGg=0,"NO",('Activity data'!AO15*EF!$H14)*kgtoGg)</f>
        <v>5.2972378917474705</v>
      </c>
      <c r="AP14" s="28">
        <f>IF(('Activity data'!AP15*EF!$H14)*kgtoGg=0,"NO",('Activity data'!AP15*EF!$H14)*kgtoGg)</f>
        <v>5.3445893517249541</v>
      </c>
      <c r="AQ14" s="28">
        <f>IF(('Activity data'!AQ15*EF!$H14)*kgtoGg=0,"NO",('Activity data'!AQ15*EF!$H14)*kgtoGg)</f>
        <v>5.391074742094033</v>
      </c>
      <c r="AR14" s="28">
        <f>IF(('Activity data'!AR15*EF!$H14)*kgtoGg=0,"NO",('Activity data'!AR15*EF!$H14)*kgtoGg)</f>
        <v>5.4443279456237095</v>
      </c>
      <c r="AS14" s="28">
        <f>IF(('Activity data'!AS15*EF!$H14)*kgtoGg=0,"NO",('Activity data'!AS15*EF!$H14)*kgtoGg)</f>
        <v>5.4941146702747297</v>
      </c>
      <c r="AT14" s="28">
        <f>IF(('Activity data'!AT15*EF!$H14)*kgtoGg=0,"NO",('Activity data'!AT15*EF!$H14)*kgtoGg)</f>
        <v>5.5476702009922301</v>
      </c>
      <c r="AU14" s="28">
        <f>IF(('Activity data'!AU15*EF!$H14)*kgtoGg=0,"NO",('Activity data'!AU15*EF!$H14)*kgtoGg)</f>
        <v>5.5951924858009336</v>
      </c>
      <c r="AV14" s="28">
        <f>IF(('Activity data'!AV15*EF!$H14)*kgtoGg=0,"NO",('Activity data'!AV15*EF!$H14)*kgtoGg)</f>
        <v>5.6435970948645044</v>
      </c>
      <c r="AW14" s="28">
        <f>IF(('Activity data'!AW15*EF!$H14)*kgtoGg=0,"NO",('Activity data'!AW15*EF!$H14)*kgtoGg)</f>
        <v>5.7106381367284076</v>
      </c>
      <c r="AX14" s="28">
        <f>IF(('Activity data'!AX15*EF!$H14)*kgtoGg=0,"NO",('Activity data'!AX15*EF!$H14)*kgtoGg)</f>
        <v>5.7837954436426573</v>
      </c>
      <c r="AY14" s="28">
        <f>IF(('Activity data'!AY15*EF!$H14)*kgtoGg=0,"NO",('Activity data'!AY15*EF!$H14)*kgtoGg)</f>
        <v>5.8590224803991617</v>
      </c>
      <c r="AZ14" s="28">
        <f>IF(('Activity data'!AZ15*EF!$H14)*kgtoGg=0,"NO",('Activity data'!AZ15*EF!$H14)*kgtoGg)</f>
        <v>5.8483213454344947</v>
      </c>
      <c r="BA14" s="28">
        <f>IF(('Activity data'!BA15*EF!$H14)*kgtoGg=0,"NO",('Activity data'!BA15*EF!$H14)*kgtoGg)</f>
        <v>1.7304204380446728</v>
      </c>
      <c r="BB14" s="28">
        <f>IF(('Activity data'!BB15*EF!$H14)*kgtoGg=0,"NO",('Activity data'!BB15*EF!$H14)*kgtoGg)</f>
        <v>1.7304204380446728</v>
      </c>
      <c r="BC14" s="28">
        <f>IF(('Activity data'!BC15*EF!$H14)*kgtoGg=0,"NO",('Activity data'!BC15*EF!$H14)*kgtoGg)</f>
        <v>1.7304204380446728</v>
      </c>
      <c r="BD14" s="28">
        <f>IF(('Activity data'!BD15*EF!$H14)*kgtoGg=0,"NO",('Activity data'!BD15*EF!$H14)*kgtoGg)</f>
        <v>1.7304204380446728</v>
      </c>
      <c r="BE14" s="28">
        <f>IF(('Activity data'!BE15*EF!$H14)*kgtoGg=0,"NO",('Activity data'!BE15*EF!$H14)*kgtoGg)</f>
        <v>1.7304204380446728</v>
      </c>
      <c r="BF14" s="28">
        <f>IF(('Activity data'!BF15*EF!$H14)*kgtoGg=0,"NO",('Activity data'!BF15*EF!$H14)*kgtoGg)</f>
        <v>1.7304204380446728</v>
      </c>
      <c r="BG14" s="28">
        <f>IF(('Activity data'!BG15*EF!$H14)*kgtoGg=0,"NO",('Activity data'!BG15*EF!$H14)*kgtoGg)</f>
        <v>1.7304204380446728</v>
      </c>
      <c r="BH14" s="28">
        <f>IF(('Activity data'!BH15*EF!$H14)*kgtoGg=0,"NO",('Activity data'!BH15*EF!$H14)*kgtoGg)</f>
        <v>1.7304204380446728</v>
      </c>
      <c r="BI14" s="28">
        <f>IF(('Activity data'!BI15*EF!$H14)*kgtoGg=0,"NO",('Activity data'!BI15*EF!$H14)*kgtoGg)</f>
        <v>1.7304204380446728</v>
      </c>
      <c r="BJ14" s="28">
        <f>IF(('Activity data'!BJ15*EF!$H14)*kgtoGg=0,"NO",('Activity data'!BJ15*EF!$H14)*kgtoGg)</f>
        <v>1.7304204380446728</v>
      </c>
      <c r="BK14" s="28">
        <f>IF(('Activity data'!BK15*EF!$H14)*kgtoGg=0,"NO",('Activity data'!BK15*EF!$H14)*kgtoGg)</f>
        <v>1.7304204380446728</v>
      </c>
      <c r="BL14" s="28">
        <f>IF(('Activity data'!BL15*EF!$H14)*kgtoGg=0,"NO",('Activity data'!BL15*EF!$H14)*kgtoGg)</f>
        <v>1.7304204380446728</v>
      </c>
      <c r="BM14" s="28">
        <f>IF(('Activity data'!BM15*EF!$H14)*kgtoGg=0,"NO",('Activity data'!BM15*EF!$H14)*kgtoGg)</f>
        <v>1.7304204380446728</v>
      </c>
      <c r="BN14" s="28">
        <f>IF(('Activity data'!BN15*EF!$H14)*kgtoGg=0,"NO",('Activity data'!BN15*EF!$H14)*kgtoGg)</f>
        <v>1.7304204380446728</v>
      </c>
      <c r="BO14" s="28">
        <f>IF(('Activity data'!BO15*EF!$H14)*kgtoGg=0,"NO",('Activity data'!BO15*EF!$H14)*kgtoGg)</f>
        <v>1.7304204380446728</v>
      </c>
      <c r="BP14" s="28">
        <f>IF(('Activity data'!BP15*EF!$H14)*kgtoGg=0,"NO",('Activity data'!BP15*EF!$H14)*kgtoGg)</f>
        <v>1.7304204380446728</v>
      </c>
    </row>
    <row r="15" spans="1:74" x14ac:dyDescent="0.25">
      <c r="A15" t="str">
        <f t="shared" si="1"/>
        <v>3A Livestock</v>
      </c>
      <c r="B15" t="str">
        <f t="shared" si="2"/>
        <v>3A1 Enteric fermentation (CH4)</v>
      </c>
      <c r="C15" t="str">
        <f>EF!C15</f>
        <v>3A1g Mules &amp; asses</v>
      </c>
      <c r="D15" t="str">
        <f>EF!D15</f>
        <v>Mules &amp; Asses</v>
      </c>
      <c r="E15" t="str">
        <f t="shared" si="3"/>
        <v>Enteric fermentation Emissions</v>
      </c>
      <c r="F15" t="str">
        <f t="shared" si="4"/>
        <v>CH4</v>
      </c>
      <c r="G15" t="str">
        <f t="shared" si="5"/>
        <v>Gg CH4</v>
      </c>
      <c r="H15" s="28">
        <f>IF(('Activity data'!H16*EF!$H15)*kgtoGg=0,"NO",('Activity data'!H16*EF!$H15)*kgtoGg)</f>
        <v>2.2399999999999998</v>
      </c>
      <c r="I15" s="28">
        <f>IF(('Activity data'!I16*EF!$H15)*kgtoGg=0,"NO",('Activity data'!I16*EF!$H15)*kgtoGg)</f>
        <v>2.2399999999999998</v>
      </c>
      <c r="J15" s="28">
        <f>IF(('Activity data'!J16*EF!$H15)*kgtoGg=0,"NO",('Activity data'!J16*EF!$H15)*kgtoGg)</f>
        <v>2.2399999999999998</v>
      </c>
      <c r="K15" s="28">
        <f>IF(('Activity data'!K16*EF!$H15)*kgtoGg=0,"NO",('Activity data'!K16*EF!$H15)*kgtoGg)</f>
        <v>2.2399999999999998</v>
      </c>
      <c r="L15" s="28">
        <f>IF(('Activity data'!L16*EF!$H15)*kgtoGg=0,"NO",('Activity data'!L16*EF!$H15)*kgtoGg)</f>
        <v>2.2399999999999998</v>
      </c>
      <c r="M15" s="28">
        <f>IF(('Activity data'!M16*EF!$H15)*kgtoGg=0,"NO",('Activity data'!M16*EF!$H15)*kgtoGg)</f>
        <v>2.2399999999999998</v>
      </c>
      <c r="N15" s="28">
        <f>IF(('Activity data'!N16*EF!$H15)*kgtoGg=0,"NO",('Activity data'!N16*EF!$H15)*kgtoGg)</f>
        <v>2.2399999999999998</v>
      </c>
      <c r="O15" s="28">
        <f>IF(('Activity data'!O16*EF!$H15)*kgtoGg=0,"NO",('Activity data'!O16*EF!$H15)*kgtoGg)</f>
        <v>2.2399999999999998</v>
      </c>
      <c r="P15" s="28">
        <f>IF(('Activity data'!P16*EF!$H15)*kgtoGg=0,"NO",('Activity data'!P16*EF!$H15)*kgtoGg)</f>
        <v>2.2399999999999998</v>
      </c>
      <c r="Q15" s="28">
        <f>IF(('Activity data'!Q16*EF!$H15)*kgtoGg=0,"NO",('Activity data'!Q16*EF!$H15)*kgtoGg)</f>
        <v>2.2399999999999998</v>
      </c>
      <c r="R15" s="28">
        <f>IF(('Activity data'!R16*EF!$H15)*kgtoGg=0,"NO",('Activity data'!R16*EF!$H15)*kgtoGg)</f>
        <v>1.64</v>
      </c>
      <c r="S15" s="28">
        <f>IF(('Activity data'!S16*EF!$H15)*kgtoGg=0,"NO",('Activity data'!S16*EF!$H15)*kgtoGg)</f>
        <v>1.64</v>
      </c>
      <c r="T15" s="28">
        <f>IF(('Activity data'!T16*EF!$H15)*kgtoGg=0,"NO",('Activity data'!T16*EF!$H15)*kgtoGg)</f>
        <v>1.64</v>
      </c>
      <c r="U15" s="28">
        <f>IF(('Activity data'!U16*EF!$H15)*kgtoGg=0,"NO",('Activity data'!U16*EF!$H15)*kgtoGg)</f>
        <v>1.64</v>
      </c>
      <c r="V15" s="28">
        <f>IF(('Activity data'!V16*EF!$H15)*kgtoGg=0,"NO",('Activity data'!V16*EF!$H15)*kgtoGg)</f>
        <v>1.64</v>
      </c>
      <c r="W15" s="28">
        <f>IF(('Activity data'!W16*EF!$H15)*kgtoGg=0,"NO",('Activity data'!W16*EF!$H15)*kgtoGg)</f>
        <v>1.64</v>
      </c>
      <c r="X15" s="28">
        <f>IF(('Activity data'!X16*EF!$H15)*kgtoGg=0,"NO",('Activity data'!X16*EF!$H15)*kgtoGg)</f>
        <v>1.6404999999999998</v>
      </c>
      <c r="Y15" s="28">
        <f>IF(('Activity data'!Y16*EF!$H15)*kgtoGg=0,"NO",('Activity data'!Y16*EF!$H15)*kgtoGg)</f>
        <v>1.6459999999999999</v>
      </c>
      <c r="Z15" s="28">
        <f>IF(('Activity data'!Z16*EF!$H15)*kgtoGg=0,"NO",('Activity data'!Z16*EF!$H15)*kgtoGg)</f>
        <v>1.647</v>
      </c>
      <c r="AA15" s="28">
        <f>IF(('Activity data'!AA16*EF!$H15)*kgtoGg=0,"NO",('Activity data'!AA16*EF!$H15)*kgtoGg)</f>
        <v>1.6479999999999999</v>
      </c>
      <c r="AB15" s="28">
        <f>IF(('Activity data'!AB16*EF!$H15)*kgtoGg=0,"NO",('Activity data'!AB16*EF!$H15)*kgtoGg)</f>
        <v>1.663</v>
      </c>
      <c r="AC15" s="28">
        <f>IF(('Activity data'!AC16*EF!$H15)*kgtoGg=0,"NO",('Activity data'!AC16*EF!$H15)*kgtoGg)</f>
        <v>1.67</v>
      </c>
      <c r="AD15" s="28">
        <f>IF(('Activity data'!AD16*EF!$H15)*kgtoGg=0,"NO",('Activity data'!AD16*EF!$H15)*kgtoGg)</f>
        <v>1.67</v>
      </c>
      <c r="AE15" s="28">
        <f>IF(('Activity data'!AE16*EF!$H15)*kgtoGg=0,"NO",('Activity data'!AE16*EF!$H15)*kgtoGg)</f>
        <v>1.67</v>
      </c>
      <c r="AF15" s="28">
        <f>IF(('Activity data'!AF16*EF!$H15)*kgtoGg=0,"NO",('Activity data'!AF16*EF!$H15)*kgtoGg)</f>
        <v>1.67</v>
      </c>
      <c r="AG15" s="28">
        <f>IF(('Activity data'!AG16*EF!$H15)*kgtoGg=0,"NO",('Activity data'!AG16*EF!$H15)*kgtoGg)</f>
        <v>1.67</v>
      </c>
      <c r="AH15" s="28">
        <f>IF(('Activity data'!AH16*EF!$H15)*kgtoGg=0,"NO",('Activity data'!AH16*EF!$H15)*kgtoGg)</f>
        <v>1.67</v>
      </c>
      <c r="AI15" s="28">
        <f>IF(('Activity data'!AI16*EF!$H15)*kgtoGg=0,"NO",('Activity data'!AI16*EF!$H15)*kgtoGg)</f>
        <v>1.67</v>
      </c>
      <c r="AJ15" s="28">
        <f>IF(('Activity data'!AJ16*EF!$H15)*kgtoGg=0,"NO",('Activity data'!AJ16*EF!$H15)*kgtoGg)</f>
        <v>1.67</v>
      </c>
      <c r="AK15" s="28">
        <f>IF(('Activity data'!AK16*EF!$H15)*kgtoGg=0,"NO",('Activity data'!AK16*EF!$H15)*kgtoGg)</f>
        <v>1.67</v>
      </c>
      <c r="AL15" s="28">
        <f>IF(('Activity data'!AL16*EF!$H15)*kgtoGg=0,"NO",('Activity data'!AL16*EF!$H15)*kgtoGg)</f>
        <v>1.67</v>
      </c>
      <c r="AM15" s="28">
        <f>IF(('Activity data'!AM16*EF!$H15)*kgtoGg=0,"NO",('Activity data'!AM16*EF!$H15)*kgtoGg)</f>
        <v>1.67</v>
      </c>
      <c r="AN15" s="28">
        <f>IF(('Activity data'!AN16*EF!$H15)*kgtoGg=0,"NO",('Activity data'!AN16*EF!$H15)*kgtoGg)</f>
        <v>1.67</v>
      </c>
      <c r="AO15" s="28">
        <f>IF(('Activity data'!AO16*EF!$H15)*kgtoGg=0,"NO",('Activity data'!AO16*EF!$H15)*kgtoGg)</f>
        <v>1.67</v>
      </c>
      <c r="AP15" s="28">
        <f>IF(('Activity data'!AP16*EF!$H15)*kgtoGg=0,"NO",('Activity data'!AP16*EF!$H15)*kgtoGg)</f>
        <v>1.67</v>
      </c>
      <c r="AQ15" s="28">
        <f>IF(('Activity data'!AQ16*EF!$H15)*kgtoGg=0,"NO",('Activity data'!AQ16*EF!$H15)*kgtoGg)</f>
        <v>1.67</v>
      </c>
      <c r="AR15" s="28">
        <f>IF(('Activity data'!AR16*EF!$H15)*kgtoGg=0,"NO",('Activity data'!AR16*EF!$H15)*kgtoGg)</f>
        <v>1.67</v>
      </c>
      <c r="AS15" s="28">
        <f>IF(('Activity data'!AS16*EF!$H15)*kgtoGg=0,"NO",('Activity data'!AS16*EF!$H15)*kgtoGg)</f>
        <v>1.67</v>
      </c>
      <c r="AT15" s="28">
        <f>IF(('Activity data'!AT16*EF!$H15)*kgtoGg=0,"NO",('Activity data'!AT16*EF!$H15)*kgtoGg)</f>
        <v>1.67</v>
      </c>
      <c r="AU15" s="28">
        <f>IF(('Activity data'!AU16*EF!$H15)*kgtoGg=0,"NO",('Activity data'!AU16*EF!$H15)*kgtoGg)</f>
        <v>1.67</v>
      </c>
      <c r="AV15" s="28">
        <f>IF(('Activity data'!AV16*EF!$H15)*kgtoGg=0,"NO",('Activity data'!AV16*EF!$H15)*kgtoGg)</f>
        <v>1.67</v>
      </c>
      <c r="AW15" s="28">
        <f>IF(('Activity data'!AW16*EF!$H15)*kgtoGg=0,"NO",('Activity data'!AW16*EF!$H15)*kgtoGg)</f>
        <v>1.67</v>
      </c>
      <c r="AX15" s="28">
        <f>IF(('Activity data'!AX16*EF!$H15)*kgtoGg=0,"NO",('Activity data'!AX16*EF!$H15)*kgtoGg)</f>
        <v>1.67</v>
      </c>
      <c r="AY15" s="28">
        <f>IF(('Activity data'!AY16*EF!$H15)*kgtoGg=0,"NO",('Activity data'!AY16*EF!$H15)*kgtoGg)</f>
        <v>1.67</v>
      </c>
      <c r="AZ15" s="28">
        <f>IF(('Activity data'!AZ16*EF!$H15)*kgtoGg=0,"NO",('Activity data'!AZ16*EF!$H15)*kgtoGg)</f>
        <v>1.67</v>
      </c>
      <c r="BA15" s="28">
        <f>IF(('Activity data'!BA16*EF!$H15)*kgtoGg=0,"NO",('Activity data'!BA16*EF!$H15)*kgtoGg)</f>
        <v>1.67</v>
      </c>
      <c r="BB15" s="28">
        <f>IF(('Activity data'!BB16*EF!$H15)*kgtoGg=0,"NO",('Activity data'!BB16*EF!$H15)*kgtoGg)</f>
        <v>1.67</v>
      </c>
      <c r="BC15" s="28">
        <f>IF(('Activity data'!BC16*EF!$H15)*kgtoGg=0,"NO",('Activity data'!BC16*EF!$H15)*kgtoGg)</f>
        <v>1.67</v>
      </c>
      <c r="BD15" s="28">
        <f>IF(('Activity data'!BD16*EF!$H15)*kgtoGg=0,"NO",('Activity data'!BD16*EF!$H15)*kgtoGg)</f>
        <v>1.67</v>
      </c>
      <c r="BE15" s="28">
        <f>IF(('Activity data'!BE16*EF!$H15)*kgtoGg=0,"NO",('Activity data'!BE16*EF!$H15)*kgtoGg)</f>
        <v>1.67</v>
      </c>
      <c r="BF15" s="28">
        <f>IF(('Activity data'!BF16*EF!$H15)*kgtoGg=0,"NO",('Activity data'!BF16*EF!$H15)*kgtoGg)</f>
        <v>1.67</v>
      </c>
      <c r="BG15" s="28">
        <f>IF(('Activity data'!BG16*EF!$H15)*kgtoGg=0,"NO",('Activity data'!BG16*EF!$H15)*kgtoGg)</f>
        <v>1.67</v>
      </c>
      <c r="BH15" s="28">
        <f>IF(('Activity data'!BH16*EF!$H15)*kgtoGg=0,"NO",('Activity data'!BH16*EF!$H15)*kgtoGg)</f>
        <v>1.67</v>
      </c>
      <c r="BI15" s="28">
        <f>IF(('Activity data'!BI16*EF!$H15)*kgtoGg=0,"NO",('Activity data'!BI16*EF!$H15)*kgtoGg)</f>
        <v>1.67</v>
      </c>
      <c r="BJ15" s="28">
        <f>IF(('Activity data'!BJ16*EF!$H15)*kgtoGg=0,"NO",('Activity data'!BJ16*EF!$H15)*kgtoGg)</f>
        <v>1.67</v>
      </c>
      <c r="BK15" s="28">
        <f>IF(('Activity data'!BK16*EF!$H15)*kgtoGg=0,"NO",('Activity data'!BK16*EF!$H15)*kgtoGg)</f>
        <v>1.67</v>
      </c>
      <c r="BL15" s="28">
        <f>IF(('Activity data'!BL16*EF!$H15)*kgtoGg=0,"NO",('Activity data'!BL16*EF!$H15)*kgtoGg)</f>
        <v>1.67</v>
      </c>
      <c r="BM15" s="28">
        <f>IF(('Activity data'!BM16*EF!$H15)*kgtoGg=0,"NO",('Activity data'!BM16*EF!$H15)*kgtoGg)</f>
        <v>1.67</v>
      </c>
      <c r="BN15" s="28">
        <f>IF(('Activity data'!BN16*EF!$H15)*kgtoGg=0,"NO",('Activity data'!BN16*EF!$H15)*kgtoGg)</f>
        <v>1.67</v>
      </c>
      <c r="BO15" s="28">
        <f>IF(('Activity data'!BO16*EF!$H15)*kgtoGg=0,"NO",('Activity data'!BO16*EF!$H15)*kgtoGg)</f>
        <v>1.67</v>
      </c>
      <c r="BP15" s="28">
        <f>IF(('Activity data'!BP16*EF!$H15)*kgtoGg=0,"NO",('Activity data'!BP16*EF!$H15)*kgtoGg)</f>
        <v>1.67</v>
      </c>
    </row>
    <row r="16" spans="1:74" x14ac:dyDescent="0.25">
      <c r="A16" t="str">
        <f t="shared" si="1"/>
        <v>3A Livestock</v>
      </c>
      <c r="B16" t="str">
        <f t="shared" si="2"/>
        <v>3A1 Enteric fermentation (CH4)</v>
      </c>
      <c r="C16" t="str">
        <f>EF!C16</f>
        <v>3A1h Swine</v>
      </c>
      <c r="D16" t="str">
        <f>EF!D16</f>
        <v>Commercial</v>
      </c>
      <c r="E16" t="str">
        <f t="shared" si="3"/>
        <v>Enteric fermentation Emissions</v>
      </c>
      <c r="F16" t="str">
        <f t="shared" si="4"/>
        <v>CH4</v>
      </c>
      <c r="G16" t="str">
        <f t="shared" si="5"/>
        <v>Gg CH4</v>
      </c>
      <c r="H16" s="28">
        <f>IF(('Activity data'!H17*EF!$H16)*kgtoGg=0,"NO",('Activity data'!H17*EF!$H16)*kgtoGg)</f>
        <v>1.6933773600000002</v>
      </c>
      <c r="I16" s="28">
        <f>IF(('Activity data'!I17*EF!$H16)*kgtoGg=0,"NO",('Activity data'!I17*EF!$H16)*kgtoGg)</f>
        <v>1.8500481000000002</v>
      </c>
      <c r="J16" s="28">
        <f>IF(('Activity data'!J17*EF!$H16)*kgtoGg=0,"NO",('Activity data'!J17*EF!$H16)*kgtoGg)</f>
        <v>1.8378255600000002</v>
      </c>
      <c r="K16" s="28">
        <f>IF(('Activity data'!K17*EF!$H16)*kgtoGg=0,"NO",('Activity data'!K17*EF!$H16)*kgtoGg)</f>
        <v>1.8367144200000003</v>
      </c>
      <c r="L16" s="28">
        <f>IF(('Activity data'!L17*EF!$H16)*kgtoGg=0,"NO",('Activity data'!L17*EF!$H16)*kgtoGg)</f>
        <v>1.7444898000000002</v>
      </c>
      <c r="M16" s="28">
        <f>IF(('Activity data'!M17*EF!$H16)*kgtoGg=0,"NO",('Activity data'!M17*EF!$H16)*kgtoGg)</f>
        <v>1.7611569000000002</v>
      </c>
      <c r="N16" s="28">
        <f>IF(('Activity data'!N17*EF!$H16)*kgtoGg=0,"NO",('Activity data'!N17*EF!$H16)*kgtoGg)</f>
        <v>1.8967159800000004</v>
      </c>
      <c r="O16" s="28">
        <f>IF(('Activity data'!O17*EF!$H16)*kgtoGg=0,"NO",('Activity data'!O17*EF!$H16)*kgtoGg)</f>
        <v>1.8878268600000003</v>
      </c>
      <c r="P16" s="28">
        <f>IF(('Activity data'!P17*EF!$H16)*kgtoGg=0,"NO",('Activity data'!P17*EF!$H16)*kgtoGg)</f>
        <v>1.9289390400000004</v>
      </c>
      <c r="Q16" s="28">
        <f>IF(('Activity data'!Q17*EF!$H16)*kgtoGg=0,"NO",('Activity data'!Q17*EF!$H16)*kgtoGg)</f>
        <v>1.9778292000000004</v>
      </c>
      <c r="R16" s="28">
        <f>IF(('Activity data'!R17*EF!$H16)*kgtoGg=0,"NO",('Activity data'!R17*EF!$H16)*kgtoGg)</f>
        <v>1.8300475800000002</v>
      </c>
      <c r="S16" s="28">
        <f>IF(('Activity data'!S17*EF!$H16)*kgtoGg=0,"NO",('Activity data'!S17*EF!$H16)*kgtoGg)</f>
        <v>1.8644929200000002</v>
      </c>
      <c r="T16" s="28">
        <f>IF(('Activity data'!T17*EF!$H16)*kgtoGg=0,"NO",('Activity data'!T17*EF!$H16)*kgtoGg)</f>
        <v>1.9000494000000003</v>
      </c>
      <c r="U16" s="28">
        <f>IF(('Activity data'!U17*EF!$H16)*kgtoGg=0,"NO",('Activity data'!U17*EF!$H16)*kgtoGg)</f>
        <v>1.8478258200000002</v>
      </c>
      <c r="V16" s="28">
        <f>IF(('Activity data'!V17*EF!$H16)*kgtoGg=0,"NO",('Activity data'!V17*EF!$H16)*kgtoGg)</f>
        <v>1.8478258200000002</v>
      </c>
      <c r="W16" s="28">
        <f>IF(('Activity data'!W17*EF!$H16)*kgtoGg=0,"NO",('Activity data'!W17*EF!$H16)*kgtoGg)</f>
        <v>1.8344921400000003</v>
      </c>
      <c r="X16" s="28">
        <f>IF(('Activity data'!X17*EF!$H16)*kgtoGg=0,"NO",('Activity data'!X17*EF!$H16)*kgtoGg)</f>
        <v>1.8022690800000003</v>
      </c>
      <c r="Y16" s="28">
        <f>IF(('Activity data'!Y17*EF!$H16)*kgtoGg=0,"NO",('Activity data'!Y17*EF!$H16)*kgtoGg)</f>
        <v>1.8344921400000003</v>
      </c>
      <c r="Z16" s="28">
        <f>IF(('Activity data'!Z17*EF!$H16)*kgtoGg=0,"NO",('Activity data'!Z17*EF!$H16)*kgtoGg)</f>
        <v>1.7944911000000003</v>
      </c>
      <c r="AA16" s="28">
        <f>IF(('Activity data'!AA17*EF!$H16)*kgtoGg=0,"NO",('Activity data'!AA17*EF!$H16)*kgtoGg)</f>
        <v>1.7922688200000003</v>
      </c>
      <c r="AB16" s="28">
        <f>IF(('Activity data'!AB17*EF!$H16)*kgtoGg=0,"NO",('Activity data'!AB17*EF!$H16)*kgtoGg)</f>
        <v>1.7711571600000002</v>
      </c>
      <c r="AC16" s="28">
        <f>IF(('Activity data'!AC17*EF!$H16)*kgtoGg=0,"NO",('Activity data'!AC17*EF!$H16)*kgtoGg)</f>
        <v>1.7600457600000003</v>
      </c>
      <c r="AD16" s="28">
        <f>IF(('Activity data'!AD17*EF!$H16)*kgtoGg=0,"NO",('Activity data'!AD17*EF!$H16)*kgtoGg)</f>
        <v>1.8541666894574054</v>
      </c>
      <c r="AE16" s="28">
        <f>IF(('Activity data'!AE17*EF!$H16)*kgtoGg=0,"NO",('Activity data'!AE17*EF!$H16)*kgtoGg)</f>
        <v>1.8483142649538657</v>
      </c>
      <c r="AF16" s="28">
        <f>IF(('Activity data'!AF17*EF!$H16)*kgtoGg=0,"NO",('Activity data'!AF17*EF!$H16)*kgtoGg)</f>
        <v>1.8289603412170248</v>
      </c>
      <c r="AG16" s="28">
        <f>IF(('Activity data'!AG17*EF!$H16)*kgtoGg=0,"NO",('Activity data'!AG17*EF!$H16)*kgtoGg)</f>
        <v>1.7913821949145237</v>
      </c>
      <c r="AH16" s="28">
        <f>IF(('Activity data'!AH17*EF!$H16)*kgtoGg=0,"NO",('Activity data'!AH17*EF!$H16)*kgtoGg)</f>
        <v>1.7554482253507835</v>
      </c>
      <c r="AI16" s="28">
        <f>IF(('Activity data'!AI17*EF!$H16)*kgtoGg=0,"NO",('Activity data'!AI17*EF!$H16)*kgtoGg)</f>
        <v>1.7302400840947183</v>
      </c>
      <c r="AJ16" s="28">
        <f>IF(('Activity data'!AJ17*EF!$H16)*kgtoGg=0,"NO",('Activity data'!AJ17*EF!$H16)*kgtoGg)</f>
        <v>1.708890891068684</v>
      </c>
      <c r="AK16" s="28">
        <f>IF(('Activity data'!AK17*EF!$H16)*kgtoGg=0,"NO",('Activity data'!AK17*EF!$H16)*kgtoGg)</f>
        <v>1.6695786047731636</v>
      </c>
      <c r="AL16" s="28">
        <f>IF(('Activity data'!AL17*EF!$H16)*kgtoGg=0,"NO",('Activity data'!AL17*EF!$H16)*kgtoGg)</f>
        <v>1.4615896404106821</v>
      </c>
      <c r="AM16" s="28">
        <f>IF(('Activity data'!AM17*EF!$H16)*kgtoGg=0,"NO",('Activity data'!AM17*EF!$H16)*kgtoGg)</f>
        <v>1.4708774478581006</v>
      </c>
      <c r="AN16" s="28">
        <f>IF(('Activity data'!AN17*EF!$H16)*kgtoGg=0,"NO",('Activity data'!AN17*EF!$H16)*kgtoGg)</f>
        <v>1.475539546686083</v>
      </c>
      <c r="AO16" s="28">
        <f>IF(('Activity data'!AO17*EF!$H16)*kgtoGg=0,"NO",('Activity data'!AO17*EF!$H16)*kgtoGg)</f>
        <v>1.4800720193256183</v>
      </c>
      <c r="AP16" s="28">
        <f>IF(('Activity data'!AP17*EF!$H16)*kgtoGg=0,"NO",('Activity data'!AP17*EF!$H16)*kgtoGg)</f>
        <v>1.4911430483593251</v>
      </c>
      <c r="AQ16" s="28">
        <f>IF(('Activity data'!AQ17*EF!$H16)*kgtoGg=0,"NO",('Activity data'!AQ17*EF!$H16)*kgtoGg)</f>
        <v>1.5018418879535562</v>
      </c>
      <c r="AR16" s="28">
        <f>IF(('Activity data'!AR17*EF!$H16)*kgtoGg=0,"NO",('Activity data'!AR17*EF!$H16)*kgtoGg)</f>
        <v>1.5141161979930053</v>
      </c>
      <c r="AS16" s="28">
        <f>IF(('Activity data'!AS17*EF!$H16)*kgtoGg=0,"NO",('Activity data'!AS17*EF!$H16)*kgtoGg)</f>
        <v>1.5244186206157291</v>
      </c>
      <c r="AT16" s="28">
        <f>IF(('Activity data'!AT17*EF!$H16)*kgtoGg=0,"NO",('Activity data'!AT17*EF!$H16)*kgtoGg)</f>
        <v>1.5367997357970316</v>
      </c>
      <c r="AU16" s="28">
        <f>IF(('Activity data'!AU17*EF!$H16)*kgtoGg=0,"NO",('Activity data'!AU17*EF!$H16)*kgtoGg)</f>
        <v>1.5458124762264192</v>
      </c>
      <c r="AV16" s="28">
        <f>IF(('Activity data'!AV17*EF!$H16)*kgtoGg=0,"NO",('Activity data'!AV17*EF!$H16)*kgtoGg)</f>
        <v>1.5552930899763542</v>
      </c>
      <c r="AW16" s="28">
        <f>IF(('Activity data'!AW17*EF!$H16)*kgtoGg=0,"NO",('Activity data'!AW17*EF!$H16)*kgtoGg)</f>
        <v>1.5727795493180676</v>
      </c>
      <c r="AX16" s="28">
        <f>IF(('Activity data'!AX17*EF!$H16)*kgtoGg=0,"NO",('Activity data'!AX17*EF!$H16)*kgtoGg)</f>
        <v>1.5932065886725237</v>
      </c>
      <c r="AY16" s="28">
        <f>IF(('Activity data'!AY17*EF!$H16)*kgtoGg=0,"NO",('Activity data'!AY17*EF!$H16)*kgtoGg)</f>
        <v>1.61434489246593</v>
      </c>
      <c r="AZ16" s="28">
        <f>IF(('Activity data'!AZ17*EF!$H16)*kgtoGg=0,"NO",('Activity data'!AZ17*EF!$H16)*kgtoGg)</f>
        <v>1.5905873244414643</v>
      </c>
      <c r="BA16" s="28">
        <f>IF(('Activity data'!BA17*EF!$H16)*kgtoGg=0,"NO",('Activity data'!BA17*EF!$H16)*kgtoGg)</f>
        <v>-0.53667602659003</v>
      </c>
      <c r="BB16" s="28">
        <f>IF(('Activity data'!BB17*EF!$H16)*kgtoGg=0,"NO",('Activity data'!BB17*EF!$H16)*kgtoGg)</f>
        <v>-0.53080565769123822</v>
      </c>
      <c r="BC16" s="28">
        <f>IF(('Activity data'!BC17*EF!$H16)*kgtoGg=0,"NO",('Activity data'!BC17*EF!$H16)*kgtoGg)</f>
        <v>-0.52506102374348274</v>
      </c>
      <c r="BD16" s="28">
        <f>IF(('Activity data'!BD17*EF!$H16)*kgtoGg=0,"NO",('Activity data'!BD17*EF!$H16)*kgtoGg)</f>
        <v>-0.51943389932430173</v>
      </c>
      <c r="BE16" s="28">
        <f>IF(('Activity data'!BE17*EF!$H16)*kgtoGg=0,"NO",('Activity data'!BE17*EF!$H16)*kgtoGg)</f>
        <v>-0.51391666127760161</v>
      </c>
      <c r="BF16" s="28">
        <f>IF(('Activity data'!BF17*EF!$H16)*kgtoGg=0,"NO",('Activity data'!BF17*EF!$H16)*kgtoGg)</f>
        <v>-0.50850223047100296</v>
      </c>
      <c r="BG16" s="28">
        <f>IF(('Activity data'!BG17*EF!$H16)*kgtoGg=0,"NO",('Activity data'!BG17*EF!$H16)*kgtoGg)</f>
        <v>-0.50256367866010732</v>
      </c>
      <c r="BH16" s="28">
        <f>IF(('Activity data'!BH17*EF!$H16)*kgtoGg=0,"NO",('Activity data'!BH17*EF!$H16)*kgtoGg)</f>
        <v>-0.496729831902604</v>
      </c>
      <c r="BI16" s="28">
        <f>IF(('Activity data'!BI17*EF!$H16)*kgtoGg=0,"NO",('Activity data'!BI17*EF!$H16)*kgtoGg)</f>
        <v>-0.49099457494449417</v>
      </c>
      <c r="BJ16" s="28">
        <f>IF(('Activity data'!BJ17*EF!$H16)*kgtoGg=0,"NO",('Activity data'!BJ17*EF!$H16)*kgtoGg)</f>
        <v>-0.48535219196665164</v>
      </c>
      <c r="BK16" s="28">
        <f>IF(('Activity data'!BK17*EF!$H16)*kgtoGg=0,"NO",('Activity data'!BK17*EF!$H16)*kgtoGg)</f>
        <v>-0.47979733207264019</v>
      </c>
      <c r="BL16" s="28">
        <f>IF(('Activity data'!BL17*EF!$H16)*kgtoGg=0,"NO",('Activity data'!BL17*EF!$H16)*kgtoGg)</f>
        <v>-0.47374377836093629</v>
      </c>
      <c r="BM16" s="28">
        <f>IF(('Activity data'!BM17*EF!$H16)*kgtoGg=0,"NO",('Activity data'!BM17*EF!$H16)*kgtoGg)</f>
        <v>-0.46778268442640875</v>
      </c>
      <c r="BN16" s="28">
        <f>IF(('Activity data'!BN17*EF!$H16)*kgtoGg=0,"NO",('Activity data'!BN17*EF!$H16)*kgtoGg)</f>
        <v>-0.46190929102584166</v>
      </c>
      <c r="BO16" s="28">
        <f>IF(('Activity data'!BO17*EF!$H16)*kgtoGg=0,"NO",('Activity data'!BO17*EF!$H16)*kgtoGg)</f>
        <v>-0.45611912010876249</v>
      </c>
      <c r="BP16" s="28">
        <f>IF(('Activity data'!BP17*EF!$H16)*kgtoGg=0,"NO",('Activity data'!BP17*EF!$H16)*kgtoGg)</f>
        <v>-0.45040795289365548</v>
      </c>
    </row>
    <row r="17" spans="1:68" x14ac:dyDescent="0.25">
      <c r="A17" t="str">
        <f t="shared" si="1"/>
        <v>3A Livestock</v>
      </c>
      <c r="B17" t="str">
        <f t="shared" si="2"/>
        <v>3A1 Enteric fermentation (CH4)</v>
      </c>
      <c r="C17" t="str">
        <f>EF!C17</f>
        <v>3A1h Swine</v>
      </c>
      <c r="D17" t="str">
        <f>EF!D17</f>
        <v>Subsistence</v>
      </c>
      <c r="E17" t="str">
        <f t="shared" si="3"/>
        <v>Enteric fermentation Emissions</v>
      </c>
      <c r="F17" t="str">
        <f t="shared" si="4"/>
        <v>CH4</v>
      </c>
      <c r="G17" t="str">
        <f t="shared" si="5"/>
        <v>Gg CH4</v>
      </c>
      <c r="H17" s="28">
        <f>IF(('Activity data'!H18*EF!$H17)*kgtoGg=0,"NO",('Activity data'!H18*EF!$H17)*kgtoGg)</f>
        <v>0.22469223109375691</v>
      </c>
      <c r="I17" s="28">
        <f>IF(('Activity data'!I18*EF!$H17)*kgtoGg=0,"NO",('Activity data'!I18*EF!$H17)*kgtoGg)</f>
        <v>0.24548068554534469</v>
      </c>
      <c r="J17" s="28">
        <f>IF(('Activity data'!J18*EF!$H17)*kgtoGg=0,"NO",('Activity data'!J18*EF!$H17)*kgtoGg)</f>
        <v>0.24385889122642646</v>
      </c>
      <c r="K17" s="28">
        <f>IF(('Activity data'!K18*EF!$H17)*kgtoGg=0,"NO",('Activity data'!K18*EF!$H17)*kgtoGg)</f>
        <v>0.2437114553792521</v>
      </c>
      <c r="L17" s="28">
        <f>IF(('Activity data'!L18*EF!$H17)*kgtoGg=0,"NO",('Activity data'!L18*EF!$H17)*kgtoGg)</f>
        <v>0.23147428006377843</v>
      </c>
      <c r="M17" s="28">
        <f>IF(('Activity data'!M18*EF!$H17)*kgtoGg=0,"NO",('Activity data'!M18*EF!$H17)*kgtoGg)</f>
        <v>0.23368581777139416</v>
      </c>
      <c r="N17" s="28">
        <f>IF(('Activity data'!N18*EF!$H17)*kgtoGg=0,"NO",('Activity data'!N18*EF!$H17)*kgtoGg)</f>
        <v>0.25167299112666869</v>
      </c>
      <c r="O17" s="28">
        <f>IF(('Activity data'!O18*EF!$H17)*kgtoGg=0,"NO",('Activity data'!O18*EF!$H17)*kgtoGg)</f>
        <v>0.25049350434927364</v>
      </c>
      <c r="P17" s="28">
        <f>IF(('Activity data'!P18*EF!$H17)*kgtoGg=0,"NO",('Activity data'!P18*EF!$H17)*kgtoGg)</f>
        <v>0.25594863069472573</v>
      </c>
      <c r="Q17" s="28">
        <f>IF(('Activity data'!Q18*EF!$H17)*kgtoGg=0,"NO",('Activity data'!Q18*EF!$H17)*kgtoGg)</f>
        <v>0.2624358079703985</v>
      </c>
      <c r="R17" s="28">
        <f>IF(('Activity data'!R18*EF!$H17)*kgtoGg=0,"NO",('Activity data'!R18*EF!$H17)*kgtoGg)</f>
        <v>0.24282684029620583</v>
      </c>
      <c r="S17" s="28">
        <f>IF(('Activity data'!S18*EF!$H17)*kgtoGg=0,"NO",('Activity data'!S18*EF!$H17)*kgtoGg)</f>
        <v>0.24739735155861162</v>
      </c>
      <c r="T17" s="28">
        <f>IF(('Activity data'!T18*EF!$H17)*kgtoGg=0,"NO",('Activity data'!T18*EF!$H17)*kgtoGg)</f>
        <v>0.25211529866819182</v>
      </c>
      <c r="U17" s="28">
        <f>IF(('Activity data'!U18*EF!$H17)*kgtoGg=0,"NO",('Activity data'!U18*EF!$H17)*kgtoGg)</f>
        <v>0.24518581385099592</v>
      </c>
      <c r="V17" s="28">
        <f>IF(('Activity data'!V18*EF!$H17)*kgtoGg=0,"NO",('Activity data'!V18*EF!$H17)*kgtoGg)</f>
        <v>0.24518581385099592</v>
      </c>
      <c r="W17" s="28">
        <f>IF(('Activity data'!W18*EF!$H17)*kgtoGg=0,"NO",('Activity data'!W18*EF!$H17)*kgtoGg)</f>
        <v>0.24341658368490332</v>
      </c>
      <c r="X17" s="28">
        <f>IF(('Activity data'!X18*EF!$H17)*kgtoGg=0,"NO",('Activity data'!X18*EF!$H17)*kgtoGg)</f>
        <v>0.23914094411684628</v>
      </c>
      <c r="Y17" s="28">
        <f>IF(('Activity data'!Y18*EF!$H17)*kgtoGg=0,"NO",('Activity data'!Y18*EF!$H17)*kgtoGg)</f>
        <v>0.24341658368490332</v>
      </c>
      <c r="Z17" s="28">
        <f>IF(('Activity data'!Z18*EF!$H17)*kgtoGg=0,"NO",('Activity data'!Z18*EF!$H17)*kgtoGg)</f>
        <v>0.23810889318662562</v>
      </c>
      <c r="AA17" s="28">
        <f>IF(('Activity data'!AA18*EF!$H17)*kgtoGg=0,"NO",('Activity data'!AA18*EF!$H17)*kgtoGg)</f>
        <v>0.23781402149227684</v>
      </c>
      <c r="AB17" s="28">
        <f>IF(('Activity data'!AB18*EF!$H17)*kgtoGg=0,"NO",('Activity data'!AB18*EF!$H17)*kgtoGg)</f>
        <v>0.23501274039596362</v>
      </c>
      <c r="AC17" s="28">
        <f>IF(('Activity data'!AC18*EF!$H17)*kgtoGg=0,"NO",('Activity data'!AC18*EF!$H17)*kgtoGg)</f>
        <v>0.2335383819242198</v>
      </c>
      <c r="AD17" s="28">
        <f>IF(('Activity data'!AD18*EF!$H17)*kgtoGg=0,"NO",('Activity data'!AD18*EF!$H17)*kgtoGg)</f>
        <v>0.2569163489011142</v>
      </c>
      <c r="AE17" s="28">
        <f>IF(('Activity data'!AE18*EF!$H17)*kgtoGg=0,"NO",('Activity data'!AE18*EF!$H17)*kgtoGg)</f>
        <v>0.25610542745364245</v>
      </c>
      <c r="AF17" s="28">
        <f>IF(('Activity data'!AF18*EF!$H17)*kgtoGg=0,"NO",('Activity data'!AF18*EF!$H17)*kgtoGg)</f>
        <v>0.25342371633691707</v>
      </c>
      <c r="AG17" s="28">
        <f>IF(('Activity data'!AG18*EF!$H17)*kgtoGg=0,"NO",('Activity data'!AG18*EF!$H17)*kgtoGg)</f>
        <v>0.2482168273331373</v>
      </c>
      <c r="AH17" s="28">
        <f>IF(('Activity data'!AH18*EF!$H17)*kgtoGg=0,"NO",('Activity data'!AH18*EF!$H17)*kgtoGg)</f>
        <v>0.24323775812952569</v>
      </c>
      <c r="AI17" s="28">
        <f>IF(('Activity data'!AI18*EF!$H17)*kgtoGg=0,"NO",('Activity data'!AI18*EF!$H17)*kgtoGg)</f>
        <v>0.23974487712216219</v>
      </c>
      <c r="AJ17" s="28">
        <f>IF(('Activity data'!AJ18*EF!$H17)*kgtoGg=0,"NO",('Activity data'!AJ18*EF!$H17)*kgtoGg)</f>
        <v>0.23678669825107104</v>
      </c>
      <c r="AK17" s="28">
        <f>IF(('Activity data'!AK18*EF!$H17)*kgtoGg=0,"NO",('Activity data'!AK18*EF!$H17)*kgtoGg)</f>
        <v>0.23133952399245247</v>
      </c>
      <c r="AL17" s="28">
        <f>IF(('Activity data'!AL18*EF!$H17)*kgtoGg=0,"NO",('Activity data'!AL18*EF!$H17)*kgtoGg)</f>
        <v>0.20252023517685527</v>
      </c>
      <c r="AM17" s="28">
        <f>IF(('Activity data'!AM18*EF!$H17)*kgtoGg=0,"NO",('Activity data'!AM18*EF!$H17)*kgtoGg)</f>
        <v>0.20380716886639622</v>
      </c>
      <c r="AN17" s="28">
        <f>IF(('Activity data'!AN18*EF!$H17)*kgtoGg=0,"NO",('Activity data'!AN18*EF!$H17)*kgtoGg)</f>
        <v>0.20445315685437584</v>
      </c>
      <c r="AO17" s="28">
        <f>IF(('Activity data'!AO18*EF!$H17)*kgtoGg=0,"NO",('Activity data'!AO18*EF!$H17)*kgtoGg)</f>
        <v>0.20508118362708436</v>
      </c>
      <c r="AP17" s="28">
        <f>IF(('Activity data'!AP18*EF!$H17)*kgtoGg=0,"NO",('Activity data'!AP18*EF!$H17)*kgtoGg)</f>
        <v>0.20661520339676887</v>
      </c>
      <c r="AQ17" s="28">
        <f>IF(('Activity data'!AQ18*EF!$H17)*kgtoGg=0,"NO",('Activity data'!AQ18*EF!$H17)*kgtoGg)</f>
        <v>0.20809765199303451</v>
      </c>
      <c r="AR17" s="28">
        <f>IF(('Activity data'!AR18*EF!$H17)*kgtoGg=0,"NO",('Activity data'!AR18*EF!$H17)*kgtoGg)</f>
        <v>0.20979840033380981</v>
      </c>
      <c r="AS17" s="28">
        <f>IF(('Activity data'!AS18*EF!$H17)*kgtoGg=0,"NO",('Activity data'!AS18*EF!$H17)*kgtoGg)</f>
        <v>0.21122592075045635</v>
      </c>
      <c r="AT17" s="28">
        <f>IF(('Activity data'!AT18*EF!$H17)*kgtoGg=0,"NO",('Activity data'!AT18*EF!$H17)*kgtoGg)</f>
        <v>0.21294146818521006</v>
      </c>
      <c r="AU17" s="28">
        <f>IF(('Activity data'!AU18*EF!$H17)*kgtoGg=0,"NO",('Activity data'!AU18*EF!$H17)*kgtoGg)</f>
        <v>0.21419028814183935</v>
      </c>
      <c r="AV17" s="28">
        <f>IF(('Activity data'!AV18*EF!$H17)*kgtoGg=0,"NO",('Activity data'!AV18*EF!$H17)*kgtoGg)</f>
        <v>0.21550393738590373</v>
      </c>
      <c r="AW17" s="28">
        <f>IF(('Activity data'!AW18*EF!$H17)*kgtoGg=0,"NO",('Activity data'!AW18*EF!$H17)*kgtoGg)</f>
        <v>0.21792688960202594</v>
      </c>
      <c r="AX17" s="28">
        <f>IF(('Activity data'!AX18*EF!$H17)*kgtoGg=0,"NO",('Activity data'!AX18*EF!$H17)*kgtoGg)</f>
        <v>0.22075729336218733</v>
      </c>
      <c r="AY17" s="28">
        <f>IF(('Activity data'!AY18*EF!$H17)*kgtoGg=0,"NO",('Activity data'!AY18*EF!$H17)*kgtoGg)</f>
        <v>0.22368625107857998</v>
      </c>
      <c r="AZ17" s="28">
        <f>IF(('Activity data'!AZ18*EF!$H17)*kgtoGg=0,"NO",('Activity data'!AZ18*EF!$H17)*kgtoGg)</f>
        <v>0.22039436385489045</v>
      </c>
      <c r="BA17" s="28">
        <f>IF(('Activity data'!BA18*EF!$H17)*kgtoGg=0,"NO",('Activity data'!BA18*EF!$H17)*kgtoGg)</f>
        <v>-7.4362702166015399E-2</v>
      </c>
      <c r="BB17" s="28">
        <f>IF(('Activity data'!BB18*EF!$H17)*kgtoGg=0,"NO",('Activity data'!BB18*EF!$H17)*kgtoGg)</f>
        <v>-7.3549294313983729E-2</v>
      </c>
      <c r="BC17" s="28">
        <f>IF(('Activity data'!BC18*EF!$H17)*kgtoGg=0,"NO",('Activity data'!BC18*EF!$H17)*kgtoGg)</f>
        <v>-7.2753308501045513E-2</v>
      </c>
      <c r="BD17" s="28">
        <f>IF(('Activity data'!BD18*EF!$H17)*kgtoGg=0,"NO",('Activity data'!BD18*EF!$H17)*kgtoGg)</f>
        <v>-7.1973604999300819E-2</v>
      </c>
      <c r="BE17" s="28">
        <f>IF(('Activity data'!BE18*EF!$H17)*kgtoGg=0,"NO",('Activity data'!BE18*EF!$H17)*kgtoGg)</f>
        <v>-7.1209127531856237E-2</v>
      </c>
      <c r="BF17" s="28">
        <f>IF(('Activity data'!BF18*EF!$H17)*kgtoGg=0,"NO",('Activity data'!BF18*EF!$H17)*kgtoGg)</f>
        <v>-7.0458895202628005E-2</v>
      </c>
      <c r="BG17" s="28">
        <f>IF(('Activity data'!BG18*EF!$H17)*kgtoGg=0,"NO",('Activity data'!BG18*EF!$H17)*kgtoGg)</f>
        <v>-6.9636039815520426E-2</v>
      </c>
      <c r="BH17" s="28">
        <f>IF(('Activity data'!BH18*EF!$H17)*kgtoGg=0,"NO",('Activity data'!BH18*EF!$H17)*kgtoGg)</f>
        <v>-6.8827692530722115E-2</v>
      </c>
      <c r="BI17" s="28">
        <f>IF(('Activity data'!BI18*EF!$H17)*kgtoGg=0,"NO",('Activity data'!BI18*EF!$H17)*kgtoGg)</f>
        <v>-6.8033006008703711E-2</v>
      </c>
      <c r="BJ17" s="28">
        <f>IF(('Activity data'!BJ18*EF!$H17)*kgtoGg=0,"NO",('Activity data'!BJ18*EF!$H17)*kgtoGg)</f>
        <v>-6.7251188256280764E-2</v>
      </c>
      <c r="BK17" s="28">
        <f>IF(('Activity data'!BK18*EF!$H17)*kgtoGg=0,"NO",('Activity data'!BK18*EF!$H17)*kgtoGg)</f>
        <v>-6.6481497844549611E-2</v>
      </c>
      <c r="BL17" s="28">
        <f>IF(('Activity data'!BL18*EF!$H17)*kgtoGg=0,"NO",('Activity data'!BL18*EF!$H17)*kgtoGg)</f>
        <v>-6.5642707607225875E-2</v>
      </c>
      <c r="BM17" s="28">
        <f>IF(('Activity data'!BM18*EF!$H17)*kgtoGg=0,"NO",('Activity data'!BM18*EF!$H17)*kgtoGg)</f>
        <v>-6.4816728746844354E-2</v>
      </c>
      <c r="BN17" s="28">
        <f>IF(('Activity data'!BN18*EF!$H17)*kgtoGg=0,"NO",('Activity data'!BN18*EF!$H17)*kgtoGg)</f>
        <v>-6.4002901814932872E-2</v>
      </c>
      <c r="BO17" s="28">
        <f>IF(('Activity data'!BO18*EF!$H17)*kgtoGg=0,"NO",('Activity data'!BO18*EF!$H17)*kgtoGg)</f>
        <v>-6.3200606325542585E-2</v>
      </c>
      <c r="BP17" s="28">
        <f>IF(('Activity data'!BP18*EF!$H17)*kgtoGg=0,"NO",('Activity data'!BP18*EF!$H17)*kgtoGg)</f>
        <v>-6.2409257717452565E-2</v>
      </c>
    </row>
    <row r="18" spans="1:68" x14ac:dyDescent="0.25">
      <c r="A18" t="str">
        <f t="shared" si="1"/>
        <v>3A Livestock</v>
      </c>
      <c r="B18" t="str">
        <f>'IPCC Categories'!B12</f>
        <v>3A2 Manure management (CH4)</v>
      </c>
      <c r="C18" t="str">
        <f>EF!C18</f>
        <v>3A1ai Dairy cattle</v>
      </c>
      <c r="D18" t="str">
        <f>EF!D18</f>
        <v>TMR</v>
      </c>
      <c r="E18" t="str">
        <f>'IPCC Categories'!F6&amp;" Emissions"</f>
        <v>Manure management Emissions</v>
      </c>
      <c r="F18" t="str">
        <f t="shared" si="4"/>
        <v>CH4</v>
      </c>
      <c r="G18" t="str">
        <f t="shared" si="5"/>
        <v>Gg CH4</v>
      </c>
      <c r="H18" s="28">
        <f>IF(('Activity data'!H5*EF!$H18)*kgtoGg=0,"NO",('Activity data'!H5*EF!$H18)*kgtoGg)</f>
        <v>6.0766424349879422</v>
      </c>
      <c r="I18" s="28">
        <f>IF(('Activity data'!I5*EF!$H18)*kgtoGg=0,"NO",('Activity data'!I5*EF!$H18)*kgtoGg)</f>
        <v>6.9957938304816798</v>
      </c>
      <c r="J18" s="28">
        <f>IF(('Activity data'!J5*EF!$H18)*kgtoGg=0,"NO",('Activity data'!J5*EF!$H18)*kgtoGg)</f>
        <v>6.0522668467284246</v>
      </c>
      <c r="K18" s="28">
        <f>IF(('Activity data'!K5*EF!$H18)*kgtoGg=0,"NO",('Activity data'!K5*EF!$H18)*kgtoGg)</f>
        <v>6.4189962026778016</v>
      </c>
      <c r="L18" s="28">
        <f>IF(('Activity data'!L5*EF!$H18)*kgtoGg=0,"NO",('Activity data'!L5*EF!$H18)*kgtoGg)</f>
        <v>5.9547644936903517</v>
      </c>
      <c r="M18" s="28">
        <f>IF(('Activity data'!M5*EF!$H18)*kgtoGg=0,"NO",('Activity data'!M5*EF!$H18)*kgtoGg)</f>
        <v>6.3702450261587664</v>
      </c>
      <c r="N18" s="28">
        <f>IF(('Activity data'!N5*EF!$H18)*kgtoGg=0,"NO",('Activity data'!N5*EF!$H18)*kgtoGg)</f>
        <v>6.3946206144182849</v>
      </c>
      <c r="O18" s="28">
        <f>IF(('Activity data'!O5*EF!$H18)*kgtoGg=0,"NO",('Activity data'!O5*EF!$H18)*kgtoGg)</f>
        <v>6.1648327655448512</v>
      </c>
      <c r="P18" s="28">
        <f>IF(('Activity data'!P5*EF!$H18)*kgtoGg=0,"NO",('Activity data'!P5*EF!$H18)*kgtoGg)</f>
        <v>6.0917060007662966</v>
      </c>
      <c r="Q18" s="28">
        <f>IF(('Activity data'!Q5*EF!$H18)*kgtoGg=0,"NO",('Activity data'!Q5*EF!$H18)*kgtoGg)</f>
        <v>5.9837960931904526</v>
      </c>
      <c r="R18" s="28">
        <f>IF(('Activity data'!R5*EF!$H18)*kgtoGg=0,"NO",('Activity data'!R5*EF!$H18)*kgtoGg)</f>
        <v>7.7048769541209179</v>
      </c>
      <c r="S18" s="28">
        <f>IF(('Activity data'!S5*EF!$H18)*kgtoGg=0,"NO",('Activity data'!S5*EF!$H18)*kgtoGg)</f>
        <v>7.6805013658613994</v>
      </c>
      <c r="T18" s="28">
        <f>IF(('Activity data'!T5*EF!$H18)*kgtoGg=0,"NO",('Activity data'!T5*EF!$H18)*kgtoGg)</f>
        <v>6.697535228070274</v>
      </c>
      <c r="U18" s="28">
        <f>IF(('Activity data'!U5*EF!$H18)*kgtoGg=0,"NO",('Activity data'!U5*EF!$H18)*kgtoGg)</f>
        <v>6.0917060007662966</v>
      </c>
      <c r="V18" s="28">
        <f>IF(('Activity data'!V5*EF!$H18)*kgtoGg=0,"NO",('Activity data'!V5*EF!$H18)*kgtoGg)</f>
        <v>5.881637728911798</v>
      </c>
      <c r="W18" s="28">
        <f>IF(('Activity data'!W5*EF!$H18)*kgtoGg=0,"NO",('Activity data'!W5*EF!$H18)*kgtoGg)</f>
        <v>6.2971182613802119</v>
      </c>
      <c r="X18" s="28">
        <f>IF(('Activity data'!X5*EF!$H18)*kgtoGg=0,"NO",('Activity data'!X5*EF!$H18)*kgtoGg)</f>
        <v>6.1601767543042687</v>
      </c>
      <c r="Y18" s="28">
        <f>IF(('Activity data'!Y5*EF!$H18)*kgtoGg=0,"NO",('Activity data'!Y5*EF!$H18)*kgtoGg)</f>
        <v>6.1160815890258151</v>
      </c>
      <c r="Z18" s="28">
        <f>IF(('Activity data'!Z5*EF!$H18)*kgtoGg=0,"NO",('Activity data'!Z5*EF!$H18)*kgtoGg)</f>
        <v>7.4901526710258377</v>
      </c>
      <c r="AA18" s="28">
        <f>IF(('Activity data'!AA5*EF!$H18)*kgtoGg=0,"NO",('Activity data'!AA5*EF!$H18)*kgtoGg)</f>
        <v>7.6758453546208179</v>
      </c>
      <c r="AB18" s="28">
        <f>IF(('Activity data'!AB5*EF!$H18)*kgtoGg=0,"NO",('Activity data'!AB5*EF!$H18)*kgtoGg)</f>
        <v>7.6758453546208179</v>
      </c>
      <c r="AC18" s="28">
        <f>IF(('Activity data'!AC5*EF!$H18)*kgtoGg=0,"NO",('Activity data'!AC5*EF!$H18)*kgtoGg)</f>
        <v>7.3973063292283463</v>
      </c>
      <c r="AD18" s="28">
        <f>IF(('Activity data'!AD5*EF!$H18)*kgtoGg=0,"NO",('Activity data'!AD5*EF!$H18)*kgtoGg)</f>
        <v>7.3646534170257834</v>
      </c>
      <c r="AE18" s="28">
        <f>IF(('Activity data'!AE5*EF!$H18)*kgtoGg=0,"NO",('Activity data'!AE5*EF!$H18)*kgtoGg)</f>
        <v>7.4104628035653102</v>
      </c>
      <c r="AF18" s="28">
        <f>IF(('Activity data'!AF5*EF!$H18)*kgtoGg=0,"NO",('Activity data'!AF5*EF!$H18)*kgtoGg)</f>
        <v>7.4419573878579355</v>
      </c>
      <c r="AG18" s="28">
        <f>IF(('Activity data'!AG5*EF!$H18)*kgtoGg=0,"NO",('Activity data'!AG5*EF!$H18)*kgtoGg)</f>
        <v>7.4518345531057086</v>
      </c>
      <c r="AH18" s="28">
        <f>IF(('Activity data'!AH5*EF!$H18)*kgtoGg=0,"NO",('Activity data'!AH5*EF!$H18)*kgtoGg)</f>
        <v>7.4651968838323191</v>
      </c>
      <c r="AI18" s="28">
        <f>IF(('Activity data'!AI5*EF!$H18)*kgtoGg=0,"NO",('Activity data'!AI5*EF!$H18)*kgtoGg)</f>
        <v>7.494465464758667</v>
      </c>
      <c r="AJ18" s="28">
        <f>IF(('Activity data'!AJ5*EF!$H18)*kgtoGg=0,"NO",('Activity data'!AJ5*EF!$H18)*kgtoGg)</f>
        <v>7.5295555244972592</v>
      </c>
      <c r="AK18" s="28">
        <f>IF(('Activity data'!AK5*EF!$H18)*kgtoGg=0,"NO",('Activity data'!AK5*EF!$H18)*kgtoGg)</f>
        <v>7.5400969444741763</v>
      </c>
      <c r="AL18" s="28">
        <f>IF(('Activity data'!AL5*EF!$H18)*kgtoGg=0,"NO",('Activity data'!AL5*EF!$H18)*kgtoGg)</f>
        <v>7.3086176618997394</v>
      </c>
      <c r="AM18" s="28">
        <f>IF(('Activity data'!AM5*EF!$H18)*kgtoGg=0,"NO",('Activity data'!AM5*EF!$H18)*kgtoGg)</f>
        <v>7.3688162835395774</v>
      </c>
      <c r="AN18" s="28">
        <f>IF(('Activity data'!AN5*EF!$H18)*kgtoGg=0,"NO",('Activity data'!AN5*EF!$H18)*kgtoGg)</f>
        <v>7.4240167099951169</v>
      </c>
      <c r="AO18" s="28">
        <f>IF(('Activity data'!AO5*EF!$H18)*kgtoGg=0,"NO",('Activity data'!AO5*EF!$H18)*kgtoGg)</f>
        <v>7.4806155410688238</v>
      </c>
      <c r="AP18" s="28">
        <f>IF(('Activity data'!AP5*EF!$H18)*kgtoGg=0,"NO",('Activity data'!AP5*EF!$H18)*kgtoGg)</f>
        <v>7.5487965323768202</v>
      </c>
      <c r="AQ18" s="28">
        <f>IF(('Activity data'!AQ5*EF!$H18)*kgtoGg=0,"NO",('Activity data'!AQ5*EF!$H18)*kgtoGg)</f>
        <v>7.6182568990068642</v>
      </c>
      <c r="AR18" s="28">
        <f>IF(('Activity data'!AR5*EF!$H18)*kgtoGg=0,"NO",('Activity data'!AR5*EF!$H18)*kgtoGg)</f>
        <v>7.6858917367195918</v>
      </c>
      <c r="AS18" s="28">
        <f>IF(('Activity data'!AS5*EF!$H18)*kgtoGg=0,"NO",('Activity data'!AS5*EF!$H18)*kgtoGg)</f>
        <v>7.7521734876275126</v>
      </c>
      <c r="AT18" s="28">
        <f>IF(('Activity data'!AT5*EF!$H18)*kgtoGg=0,"NO",('Activity data'!AT5*EF!$H18)*kgtoGg)</f>
        <v>7.8235662027619757</v>
      </c>
      <c r="AU18" s="28">
        <f>IF(('Activity data'!AU5*EF!$H18)*kgtoGg=0,"NO",('Activity data'!AU5*EF!$H18)*kgtoGg)</f>
        <v>7.8911737006481246</v>
      </c>
      <c r="AV18" s="28">
        <f>IF(('Activity data'!AV5*EF!$H18)*kgtoGg=0,"NO",('Activity data'!AV5*EF!$H18)*kgtoGg)</f>
        <v>7.961206232365277</v>
      </c>
      <c r="AW18" s="28">
        <f>IF(('Activity data'!AW5*EF!$H18)*kgtoGg=0,"NO",('Activity data'!AW5*EF!$H18)*kgtoGg)</f>
        <v>8.0416672207979634</v>
      </c>
      <c r="AX18" s="28">
        <f>IF(('Activity data'!AX5*EF!$H18)*kgtoGg=0,"NO",('Activity data'!AX5*EF!$H18)*kgtoGg)</f>
        <v>8.1292976952055653</v>
      </c>
      <c r="AY18" s="28">
        <f>IF(('Activity data'!AY5*EF!$H18)*kgtoGg=0,"NO",('Activity data'!AY5*EF!$H18)*kgtoGg)</f>
        <v>8.2204064265450114</v>
      </c>
      <c r="AZ18" s="28">
        <f>IF(('Activity data'!AZ5*EF!$H18)*kgtoGg=0,"NO",('Activity data'!AZ5*EF!$H18)*kgtoGg)</f>
        <v>8.2331329239754218</v>
      </c>
      <c r="BA18" s="28">
        <f>IF(('Activity data'!BA5*EF!$H18)*kgtoGg=0,"NO",('Activity data'!BA5*EF!$H18)*kgtoGg)</f>
        <v>4.4079390411250321</v>
      </c>
      <c r="BB18" s="28">
        <f>IF(('Activity data'!BB5*EF!$H18)*kgtoGg=0,"NO",('Activity data'!BB5*EF!$H18)*kgtoGg)</f>
        <v>4.4111810533822107</v>
      </c>
      <c r="BC18" s="28">
        <f>IF(('Activity data'!BC5*EF!$H18)*kgtoGg=0,"NO",('Activity data'!BC5*EF!$H18)*kgtoGg)</f>
        <v>4.4148489430980264</v>
      </c>
      <c r="BD18" s="28">
        <f>IF(('Activity data'!BD5*EF!$H18)*kgtoGg=0,"NO",('Activity data'!BD5*EF!$H18)*kgtoGg)</f>
        <v>4.4189265228241794</v>
      </c>
      <c r="BE18" s="28">
        <f>IF(('Activity data'!BE5*EF!$H18)*kgtoGg=0,"NO",('Activity data'!BE5*EF!$H18)*kgtoGg)</f>
        <v>4.4233988518058229</v>
      </c>
      <c r="BF18" s="28">
        <f>IF(('Activity data'!BF5*EF!$H18)*kgtoGg=0,"NO",('Activity data'!BF5*EF!$H18)*kgtoGg)</f>
        <v>4.4282521178160774</v>
      </c>
      <c r="BG18" s="28">
        <f>IF(('Activity data'!BG5*EF!$H18)*kgtoGg=0,"NO",('Activity data'!BG5*EF!$H18)*kgtoGg)</f>
        <v>4.4303415938400539</v>
      </c>
      <c r="BH18" s="28">
        <f>IF(('Activity data'!BH5*EF!$H18)*kgtoGg=0,"NO",('Activity data'!BH5*EF!$H18)*kgtoGg)</f>
        <v>4.432766537435862</v>
      </c>
      <c r="BI18" s="28">
        <f>IF(('Activity data'!BI5*EF!$H18)*kgtoGg=0,"NO",('Activity data'!BI5*EF!$H18)*kgtoGg)</f>
        <v>4.4355152317525279</v>
      </c>
      <c r="BJ18" s="28">
        <f>IF(('Activity data'!BJ5*EF!$H18)*kgtoGg=0,"NO",('Activity data'!BJ5*EF!$H18)*kgtoGg)</f>
        <v>4.4385767594592709</v>
      </c>
      <c r="BK18" s="28">
        <f>IF(('Activity data'!BK5*EF!$H18)*kgtoGg=0,"NO",('Activity data'!BK5*EF!$H18)*kgtoGg)</f>
        <v>4.4419409348998142</v>
      </c>
      <c r="BL18" s="28">
        <f>IF(('Activity data'!BL5*EF!$H18)*kgtoGg=0,"NO",('Activity data'!BL5*EF!$H18)*kgtoGg)</f>
        <v>4.4424325568083702</v>
      </c>
      <c r="BM18" s="28">
        <f>IF(('Activity data'!BM5*EF!$H18)*kgtoGg=0,"NO",('Activity data'!BM5*EF!$H18)*kgtoGg)</f>
        <v>4.4431924834311589</v>
      </c>
      <c r="BN18" s="28">
        <f>IF(('Activity data'!BN5*EF!$H18)*kgtoGg=0,"NO",('Activity data'!BN5*EF!$H18)*kgtoGg)</f>
        <v>4.4442118217610558</v>
      </c>
      <c r="BO18" s="28">
        <f>IF(('Activity data'!BO5*EF!$H18)*kgtoGg=0,"NO",('Activity data'!BO5*EF!$H18)*kgtoGg)</f>
        <v>4.4454822205450464</v>
      </c>
      <c r="BP18" s="28">
        <f>IF(('Activity data'!BP5*EF!$H18)*kgtoGg=0,"NO",('Activity data'!BP5*EF!$H18)*kgtoGg)</f>
        <v>4.4469958286673741</v>
      </c>
    </row>
    <row r="19" spans="1:68" x14ac:dyDescent="0.25">
      <c r="A19" t="str">
        <f t="shared" si="1"/>
        <v>3A Livestock</v>
      </c>
      <c r="B19" t="str">
        <f>B18</f>
        <v>3A2 Manure management (CH4)</v>
      </c>
      <c r="C19" t="str">
        <f>EF!C19</f>
        <v>3A1ai Dairy cattle</v>
      </c>
      <c r="D19" t="str">
        <f>EF!D19</f>
        <v>Pasture</v>
      </c>
      <c r="E19" t="str">
        <f>E18</f>
        <v>Manure management Emissions</v>
      </c>
      <c r="F19" t="str">
        <f t="shared" ref="F19:F35" si="6">F18</f>
        <v>CH4</v>
      </c>
      <c r="G19" t="str">
        <f t="shared" ref="G19:G35" si="7">G18</f>
        <v>Gg CH4</v>
      </c>
      <c r="H19" s="28">
        <f>IF(('Activity data'!H6*EF!$H19)*kgtoGg=0,"NO",('Activity data'!H6*EF!$H19)*kgtoGg)</f>
        <v>1.7124372347402925</v>
      </c>
      <c r="I19" s="28">
        <f>IF(('Activity data'!I6*EF!$H19)*kgtoGg=0,"NO",('Activity data'!I6*EF!$H19)*kgtoGg)</f>
        <v>1.9714600571042187</v>
      </c>
      <c r="J19" s="28">
        <f>IF(('Activity data'!J6*EF!$H19)*kgtoGg=0,"NO",('Activity data'!J6*EF!$H19)*kgtoGg)</f>
        <v>1.7055680359350514</v>
      </c>
      <c r="K19" s="28">
        <f>IF(('Activity data'!K6*EF!$H19)*kgtoGg=0,"NO",('Activity data'!K6*EF!$H19)*kgtoGg)</f>
        <v>1.8089147460498598</v>
      </c>
      <c r="L19" s="28">
        <f>IF(('Activity data'!L6*EF!$H19)*kgtoGg=0,"NO",('Activity data'!L6*EF!$H19)*kgtoGg)</f>
        <v>1.6780912407140869</v>
      </c>
      <c r="M19" s="28">
        <f>IF(('Activity data'!M6*EF!$H19)*kgtoGg=0,"NO",('Activity data'!M6*EF!$H19)*kgtoGg)</f>
        <v>1.7951763484393775</v>
      </c>
      <c r="N19" s="28">
        <f>IF(('Activity data'!N6*EF!$H19)*kgtoGg=0,"NO",('Activity data'!N6*EF!$H19)*kgtoGg)</f>
        <v>1.8020455472446186</v>
      </c>
      <c r="O19" s="28">
        <f>IF(('Activity data'!O6*EF!$H19)*kgtoGg=0,"NO",('Activity data'!O6*EF!$H19)*kgtoGg)</f>
        <v>1.7372898416536373</v>
      </c>
      <c r="P19" s="28">
        <f>IF(('Activity data'!P6*EF!$H19)*kgtoGg=0,"NO",('Activity data'!P6*EF!$H19)*kgtoGg)</f>
        <v>1.7166822452379138</v>
      </c>
      <c r="Q19" s="28">
        <f>IF(('Activity data'!Q6*EF!$H19)*kgtoGg=0,"NO",('Activity data'!Q6*EF!$H19)*kgtoGg)</f>
        <v>1.6862725336731379</v>
      </c>
      <c r="R19" s="28">
        <f>IF(('Activity data'!R6*EF!$H19)*kgtoGg=0,"NO",('Activity data'!R6*EF!$H19)*kgtoGg)</f>
        <v>2.1712842785285944</v>
      </c>
      <c r="S19" s="28">
        <f>IF(('Activity data'!S6*EF!$H19)*kgtoGg=0,"NO",('Activity data'!S6*EF!$H19)*kgtoGg)</f>
        <v>2.1644150797233528</v>
      </c>
      <c r="T19" s="28">
        <f>IF(('Activity data'!T6*EF!$H19)*kgtoGg=0,"NO",('Activity data'!T6*EF!$H19)*kgtoGg)</f>
        <v>1.8874088492513235</v>
      </c>
      <c r="U19" s="28">
        <f>IF(('Activity data'!U6*EF!$H19)*kgtoGg=0,"NO",('Activity data'!U6*EF!$H19)*kgtoGg)</f>
        <v>1.7166822452379138</v>
      </c>
      <c r="V19" s="28">
        <f>IF(('Activity data'!V6*EF!$H19)*kgtoGg=0,"NO",('Activity data'!V6*EF!$H19)*kgtoGg)</f>
        <v>1.6574836442983631</v>
      </c>
      <c r="W19" s="28">
        <f>IF(('Activity data'!W6*EF!$H19)*kgtoGg=0,"NO",('Activity data'!W6*EF!$H19)*kgtoGg)</f>
        <v>1.7745687520236539</v>
      </c>
      <c r="X19" s="28">
        <f>IF(('Activity data'!X6*EF!$H19)*kgtoGg=0,"NO",('Activity data'!X6*EF!$H19)*kgtoGg)</f>
        <v>1.735977747499827</v>
      </c>
      <c r="Y19" s="28">
        <f>IF(('Activity data'!Y6*EF!$H19)*kgtoGg=0,"NO",('Activity data'!Y6*EF!$H19)*kgtoGg)</f>
        <v>1.723551444043155</v>
      </c>
      <c r="Z19" s="28">
        <f>IF(('Activity data'!Z6*EF!$H19)*kgtoGg=0,"NO",('Activity data'!Z6*EF!$H19)*kgtoGg)</f>
        <v>2.1107735834352335</v>
      </c>
      <c r="AA19" s="28">
        <f>IF(('Activity data'!AA6*EF!$H19)*kgtoGg=0,"NO",('Activity data'!AA6*EF!$H19)*kgtoGg)</f>
        <v>2.1631029855695427</v>
      </c>
      <c r="AB19" s="28">
        <f>IF(('Activity data'!AB6*EF!$H19)*kgtoGg=0,"NO",('Activity data'!AB6*EF!$H19)*kgtoGg)</f>
        <v>2.1631029855695427</v>
      </c>
      <c r="AC19" s="28">
        <f>IF(('Activity data'!AC6*EF!$H19)*kgtoGg=0,"NO",('Activity data'!AC6*EF!$H19)*kgtoGg)</f>
        <v>2.0846088823680784</v>
      </c>
      <c r="AD19" s="28">
        <f>IF(('Activity data'!AD6*EF!$H19)*kgtoGg=0,"NO",('Activity data'!AD6*EF!$H19)*kgtoGg)</f>
        <v>2.0982448441600319</v>
      </c>
      <c r="AE19" s="28">
        <f>IF(('Activity data'!AE6*EF!$H19)*kgtoGg=0,"NO",('Activity data'!AE6*EF!$H19)*kgtoGg)</f>
        <v>2.1112962810271738</v>
      </c>
      <c r="AF19" s="28">
        <f>IF(('Activity data'!AF6*EF!$H19)*kgtoGg=0,"NO",('Activity data'!AF6*EF!$H19)*kgtoGg)</f>
        <v>2.1202693236632593</v>
      </c>
      <c r="AG19" s="28">
        <f>IF(('Activity data'!AG6*EF!$H19)*kgtoGg=0,"NO",('Activity data'!AG6*EF!$H19)*kgtoGg)</f>
        <v>2.1230834019209199</v>
      </c>
      <c r="AH19" s="28">
        <f>IF(('Activity data'!AH6*EF!$H19)*kgtoGg=0,"NO",('Activity data'!AH6*EF!$H19)*kgtoGg)</f>
        <v>2.1268904298916125</v>
      </c>
      <c r="AI19" s="28">
        <f>IF(('Activity data'!AI6*EF!$H19)*kgtoGg=0,"NO",('Activity data'!AI6*EF!$H19)*kgtoGg)</f>
        <v>2.1352292675187319</v>
      </c>
      <c r="AJ19" s="28">
        <f>IF(('Activity data'!AJ6*EF!$H19)*kgtoGg=0,"NO",('Activity data'!AJ6*EF!$H19)*kgtoGg)</f>
        <v>2.1452266880025732</v>
      </c>
      <c r="AK19" s="28">
        <f>IF(('Activity data'!AK6*EF!$H19)*kgtoGg=0,"NO",('Activity data'!AK6*EF!$H19)*kgtoGg)</f>
        <v>2.1482300174010156</v>
      </c>
      <c r="AL19" s="28">
        <f>IF(('Activity data'!AL6*EF!$H19)*kgtoGg=0,"NO",('Activity data'!AL6*EF!$H19)*kgtoGg)</f>
        <v>2.0822798383920729</v>
      </c>
      <c r="AM19" s="28">
        <f>IF(('Activity data'!AM6*EF!$H19)*kgtoGg=0,"NO",('Activity data'!AM6*EF!$H19)*kgtoGg)</f>
        <v>2.099430875966946</v>
      </c>
      <c r="AN19" s="28">
        <f>IF(('Activity data'!AN6*EF!$H19)*kgtoGg=0,"NO",('Activity data'!AN6*EF!$H19)*kgtoGg)</f>
        <v>2.1151578903486419</v>
      </c>
      <c r="AO19" s="28">
        <f>IF(('Activity data'!AO6*EF!$H19)*kgtoGg=0,"NO",('Activity data'!AO6*EF!$H19)*kgtoGg)</f>
        <v>2.1312833206657489</v>
      </c>
      <c r="AP19" s="28">
        <f>IF(('Activity data'!AP6*EF!$H19)*kgtoGg=0,"NO",('Activity data'!AP6*EF!$H19)*kgtoGg)</f>
        <v>2.1507085950650837</v>
      </c>
      <c r="AQ19" s="28">
        <f>IF(('Activity data'!AQ6*EF!$H19)*kgtoGg=0,"NO",('Activity data'!AQ6*EF!$H19)*kgtoGg)</f>
        <v>2.1704983730630572</v>
      </c>
      <c r="AR19" s="28">
        <f>IF(('Activity data'!AR6*EF!$H19)*kgtoGg=0,"NO",('Activity data'!AR6*EF!$H19)*kgtoGg)</f>
        <v>2.1897680442180159</v>
      </c>
      <c r="AS19" s="28">
        <f>IF(('Activity data'!AS6*EF!$H19)*kgtoGg=0,"NO",('Activity data'!AS6*EF!$H19)*kgtoGg)</f>
        <v>2.2086522108215552</v>
      </c>
      <c r="AT19" s="28">
        <f>IF(('Activity data'!AT6*EF!$H19)*kgtoGg=0,"NO",('Activity data'!AT6*EF!$H19)*kgtoGg)</f>
        <v>2.2289925293618906</v>
      </c>
      <c r="AU19" s="28">
        <f>IF(('Activity data'!AU6*EF!$H19)*kgtoGg=0,"NO",('Activity data'!AU6*EF!$H19)*kgtoGg)</f>
        <v>2.2482544111957634</v>
      </c>
      <c r="AV19" s="28">
        <f>IF(('Activity data'!AV6*EF!$H19)*kgtoGg=0,"NO",('Activity data'!AV6*EF!$H19)*kgtoGg)</f>
        <v>2.2682072033066958</v>
      </c>
      <c r="AW19" s="28">
        <f>IF(('Activity data'!AW6*EF!$H19)*kgtoGg=0,"NO",('Activity data'!AW6*EF!$H19)*kgtoGg)</f>
        <v>2.2911311407379684</v>
      </c>
      <c r="AX19" s="28">
        <f>IF(('Activity data'!AX6*EF!$H19)*kgtoGg=0,"NO",('Activity data'!AX6*EF!$H19)*kgtoGg)</f>
        <v>2.3160977183493427</v>
      </c>
      <c r="AY19" s="28">
        <f>IF(('Activity data'!AY6*EF!$H19)*kgtoGg=0,"NO",('Activity data'!AY6*EF!$H19)*kgtoGg)</f>
        <v>2.3420552773770367</v>
      </c>
      <c r="AZ19" s="28">
        <f>IF(('Activity data'!AZ6*EF!$H19)*kgtoGg=0,"NO",('Activity data'!AZ6*EF!$H19)*kgtoGg)</f>
        <v>2.3456811516857772</v>
      </c>
      <c r="BA19" s="28">
        <f>IF(('Activity data'!BA6*EF!$H19)*kgtoGg=0,"NO",('Activity data'!BA6*EF!$H19)*kgtoGg)</f>
        <v>1.2558548030285308</v>
      </c>
      <c r="BB19" s="28">
        <f>IF(('Activity data'!BB6*EF!$H19)*kgtoGg=0,"NO",('Activity data'!BB6*EF!$H19)*kgtoGg)</f>
        <v>1.2567784765699908</v>
      </c>
      <c r="BC19" s="28">
        <f>IF(('Activity data'!BC6*EF!$H19)*kgtoGg=0,"NO",('Activity data'!BC6*EF!$H19)*kgtoGg)</f>
        <v>1.2578234857848665</v>
      </c>
      <c r="BD19" s="28">
        <f>IF(('Activity data'!BD6*EF!$H19)*kgtoGg=0,"NO",('Activity data'!BD6*EF!$H19)*kgtoGg)</f>
        <v>1.2589852187480597</v>
      </c>
      <c r="BE19" s="28">
        <f>IF(('Activity data'!BE6*EF!$H19)*kgtoGg=0,"NO",('Activity data'!BE6*EF!$H19)*kgtoGg)</f>
        <v>1.2602594187267613</v>
      </c>
      <c r="BF19" s="28">
        <f>IF(('Activity data'!BF6*EF!$H19)*kgtoGg=0,"NO",('Activity data'!BF6*EF!$H19)*kgtoGg)</f>
        <v>1.2616421505142221</v>
      </c>
      <c r="BG19" s="28">
        <f>IF(('Activity data'!BG6*EF!$H19)*kgtoGg=0,"NO",('Activity data'!BG6*EF!$H19)*kgtoGg)</f>
        <v>1.2622374578621782</v>
      </c>
      <c r="BH19" s="28">
        <f>IF(('Activity data'!BH6*EF!$H19)*kgtoGg=0,"NO",('Activity data'!BH6*EF!$H19)*kgtoGg)</f>
        <v>1.2629283424305575</v>
      </c>
      <c r="BI19" s="28">
        <f>IF(('Activity data'!BI6*EF!$H19)*kgtoGg=0,"NO",('Activity data'!BI6*EF!$H19)*kgtoGg)</f>
        <v>1.2637114660008781</v>
      </c>
      <c r="BJ19" s="28">
        <f>IF(('Activity data'!BJ6*EF!$H19)*kgtoGg=0,"NO",('Activity data'!BJ6*EF!$H19)*kgtoGg)</f>
        <v>1.2645837181439423</v>
      </c>
      <c r="BK19" s="28">
        <f>IF(('Activity data'!BK6*EF!$H19)*kgtoGg=0,"NO",('Activity data'!BK6*EF!$H19)*kgtoGg)</f>
        <v>1.2655421968900908</v>
      </c>
      <c r="BL19" s="28">
        <f>IF(('Activity data'!BL6*EF!$H19)*kgtoGg=0,"NO",('Activity data'!BL6*EF!$H19)*kgtoGg)</f>
        <v>1.2656822636490397</v>
      </c>
      <c r="BM19" s="28">
        <f>IF(('Activity data'!BM6*EF!$H19)*kgtoGg=0,"NO",('Activity data'!BM6*EF!$H19)*kgtoGg)</f>
        <v>1.2658987724279214</v>
      </c>
      <c r="BN19" s="28">
        <f>IF(('Activity data'!BN6*EF!$H19)*kgtoGg=0,"NO",('Activity data'!BN6*EF!$H19)*kgtoGg)</f>
        <v>1.2661891895424888</v>
      </c>
      <c r="BO19" s="28">
        <f>IF(('Activity data'!BO6*EF!$H19)*kgtoGg=0,"NO",('Activity data'!BO6*EF!$H19)*kgtoGg)</f>
        <v>1.2665511356582928</v>
      </c>
      <c r="BP19" s="28">
        <f>IF(('Activity data'!BP6*EF!$H19)*kgtoGg=0,"NO",('Activity data'!BP6*EF!$H19)*kgtoGg)</f>
        <v>1.2669823739337303</v>
      </c>
    </row>
    <row r="20" spans="1:68" x14ac:dyDescent="0.25">
      <c r="A20" t="str">
        <f t="shared" si="1"/>
        <v>3A Livestock</v>
      </c>
      <c r="B20" t="str">
        <f t="shared" ref="B20:B35" si="8">B19</f>
        <v>3A2 Manure management (CH4)</v>
      </c>
      <c r="C20" t="str">
        <f>EF!C20</f>
        <v>3A1aii Other cattle</v>
      </c>
      <c r="D20" t="str">
        <f>EF!D20</f>
        <v>Non-lactating</v>
      </c>
      <c r="E20" t="str">
        <f>E19</f>
        <v>Manure management Emissions</v>
      </c>
      <c r="F20" t="str">
        <f t="shared" si="6"/>
        <v>CH4</v>
      </c>
      <c r="G20" t="str">
        <f t="shared" si="7"/>
        <v>Gg CH4</v>
      </c>
      <c r="H20" s="28">
        <f>IF(('Activity data'!H7*EF!$H20)*kgtoGg=0,"NO",('Activity data'!H7*EF!$H20)*kgtoGg)</f>
        <v>0.41752621472755574</v>
      </c>
      <c r="I20" s="28">
        <f>IF(('Activity data'!I7*EF!$H20)*kgtoGg=0,"NO",('Activity data'!I7*EF!$H20)*kgtoGg)</f>
        <v>0.47458519205570593</v>
      </c>
      <c r="J20" s="28">
        <f>IF(('Activity data'!J7*EF!$H20)*kgtoGg=0,"NO",('Activity data'!J7*EF!$H20)*kgtoGg)</f>
        <v>0.41051742697229299</v>
      </c>
      <c r="K20" s="28">
        <f>IF(('Activity data'!K7*EF!$H20)*kgtoGg=0,"NO",('Activity data'!K7*EF!$H20)*kgtoGg)</f>
        <v>0.42961947568884723</v>
      </c>
      <c r="L20" s="28">
        <f>IF(('Activity data'!L7*EF!$H20)*kgtoGg=0,"NO",('Activity data'!L7*EF!$H20)*kgtoGg)</f>
        <v>0.38248227595124251</v>
      </c>
      <c r="M20" s="28">
        <f>IF(('Activity data'!M7*EF!$H20)*kgtoGg=0,"NO",('Activity data'!M7*EF!$H20)*kgtoGg)</f>
        <v>0.41560190017832183</v>
      </c>
      <c r="N20" s="28">
        <f>IF(('Activity data'!N7*EF!$H20)*kgtoGg=0,"NO",('Activity data'!N7*EF!$H20)*kgtoGg)</f>
        <v>0.42261068793358447</v>
      </c>
      <c r="O20" s="28">
        <f>IF(('Activity data'!O7*EF!$H20)*kgtoGg=0,"NO",('Activity data'!O7*EF!$H20)*kgtoGg)</f>
        <v>0.40834594360154697</v>
      </c>
      <c r="P20" s="28">
        <f>IF(('Activity data'!P7*EF!$H20)*kgtoGg=0,"NO",('Activity data'!P7*EF!$H20)*kgtoGg)</f>
        <v>0.38731958033575903</v>
      </c>
      <c r="Q20" s="28">
        <f>IF(('Activity data'!Q7*EF!$H20)*kgtoGg=0,"NO",('Activity data'!Q7*EF!$H20)*kgtoGg)</f>
        <v>0.40809877478003481</v>
      </c>
      <c r="R20" s="28">
        <f>IF(('Activity data'!R7*EF!$H20)*kgtoGg=0,"NO",('Activity data'!R7*EF!$H20)*kgtoGg)</f>
        <v>0.50578050173355138</v>
      </c>
      <c r="S20" s="28">
        <f>IF(('Activity data'!S7*EF!$H20)*kgtoGg=0,"NO",('Activity data'!S7*EF!$H20)*kgtoGg)</f>
        <v>0.49877171397828873</v>
      </c>
      <c r="T20" s="28">
        <f>IF(('Activity data'!T7*EF!$H20)*kgtoGg=0,"NO",('Activity data'!T7*EF!$H20)*kgtoGg)</f>
        <v>0.45790179553141008</v>
      </c>
      <c r="U20" s="28">
        <f>IF(('Activity data'!U7*EF!$H20)*kgtoGg=0,"NO",('Activity data'!U7*EF!$H20)*kgtoGg)</f>
        <v>0.38731958033575903</v>
      </c>
      <c r="V20" s="28">
        <f>IF(('Activity data'!V7*EF!$H20)*kgtoGg=0,"NO",('Activity data'!V7*EF!$H20)*kgtoGg)</f>
        <v>0.36145591268545452</v>
      </c>
      <c r="W20" s="28">
        <f>IF(('Activity data'!W7*EF!$H20)*kgtoGg=0,"NO",('Activity data'!W7*EF!$H20)*kgtoGg)</f>
        <v>0.39457553691253394</v>
      </c>
      <c r="X20" s="28">
        <f>IF(('Activity data'!X7*EF!$H20)*kgtoGg=0,"NO",('Activity data'!X7*EF!$H20)*kgtoGg)</f>
        <v>0.38973823252801737</v>
      </c>
      <c r="Y20" s="28">
        <f>IF(('Activity data'!Y7*EF!$H20)*kgtoGg=0,"NO",('Activity data'!Y7*EF!$H20)*kgtoGg)</f>
        <v>0.39432836809102173</v>
      </c>
      <c r="Z20" s="28">
        <f>IF(('Activity data'!Z7*EF!$H20)*kgtoGg=0,"NO",('Activity data'!Z7*EF!$H20)*kgtoGg)</f>
        <v>0.46130912300971733</v>
      </c>
      <c r="AA20" s="28">
        <f>IF(('Activity data'!AA7*EF!$H20)*kgtoGg=0,"NO",('Activity data'!AA7*EF!$H20)*kgtoGg)</f>
        <v>0.48016400290475908</v>
      </c>
      <c r="AB20" s="28">
        <f>IF(('Activity data'!AB7*EF!$H20)*kgtoGg=0,"NO",('Activity data'!AB7*EF!$H20)*kgtoGg)</f>
        <v>0.48016400290475908</v>
      </c>
      <c r="AC20" s="28">
        <f>IF(('Activity data'!AC7*EF!$H20)*kgtoGg=0,"NO",('Activity data'!AC7*EF!$H20)*kgtoGg)</f>
        <v>0.45188168306219634</v>
      </c>
      <c r="AD20" s="28">
        <f>IF(('Activity data'!AD7*EF!$H20)*kgtoGg=0,"NO",('Activity data'!AD7*EF!$H20)*kgtoGg)</f>
        <v>0.43336774046245513</v>
      </c>
      <c r="AE20" s="28">
        <f>IF(('Activity data'!AE7*EF!$H20)*kgtoGg=0,"NO",('Activity data'!AE7*EF!$H20)*kgtoGg)</f>
        <v>0.43606336090953701</v>
      </c>
      <c r="AF20" s="28">
        <f>IF(('Activity data'!AF7*EF!$H20)*kgtoGg=0,"NO",('Activity data'!AF7*EF!$H20)*kgtoGg)</f>
        <v>0.43791663710039563</v>
      </c>
      <c r="AG20" s="28">
        <f>IF(('Activity data'!AG7*EF!$H20)*kgtoGg=0,"NO",('Activity data'!AG7*EF!$H20)*kgtoGg)</f>
        <v>0.43849785179485851</v>
      </c>
      <c r="AH20" s="28">
        <f>IF(('Activity data'!AH7*EF!$H20)*kgtoGg=0,"NO",('Activity data'!AH7*EF!$H20)*kgtoGg)</f>
        <v>0.43928414854860887</v>
      </c>
      <c r="AI20" s="28">
        <f>IF(('Activity data'!AI7*EF!$H20)*kgtoGg=0,"NO",('Activity data'!AI7*EF!$H20)*kgtoGg)</f>
        <v>0.44100643717026611</v>
      </c>
      <c r="AJ20" s="28">
        <f>IF(('Activity data'!AJ7*EF!$H20)*kgtoGg=0,"NO",('Activity data'!AJ7*EF!$H20)*kgtoGg)</f>
        <v>0.44307128653119471</v>
      </c>
      <c r="AK20" s="28">
        <f>IF(('Activity data'!AK7*EF!$H20)*kgtoGg=0,"NO",('Activity data'!AK7*EF!$H20)*kgtoGg)</f>
        <v>0.44369158881807513</v>
      </c>
      <c r="AL20" s="28">
        <f>IF(('Activity data'!AL7*EF!$H20)*kgtoGg=0,"NO",('Activity data'!AL7*EF!$H20)*kgtoGg)</f>
        <v>0.43007035670126681</v>
      </c>
      <c r="AM20" s="28">
        <f>IF(('Activity data'!AM7*EF!$H20)*kgtoGg=0,"NO",('Activity data'!AM7*EF!$H20)*kgtoGg)</f>
        <v>0.43361270135236735</v>
      </c>
      <c r="AN20" s="28">
        <f>IF(('Activity data'!AN7*EF!$H20)*kgtoGg=0,"NO",('Activity data'!AN7*EF!$H20)*kgtoGg)</f>
        <v>0.43686093079793747</v>
      </c>
      <c r="AO20" s="28">
        <f>IF(('Activity data'!AO7*EF!$H20)*kgtoGg=0,"NO",('Activity data'!AO7*EF!$H20)*kgtoGg)</f>
        <v>0.44019144835882135</v>
      </c>
      <c r="AP20" s="28">
        <f>IF(('Activity data'!AP7*EF!$H20)*kgtoGg=0,"NO",('Activity data'!AP7*EF!$H20)*kgtoGg)</f>
        <v>0.44420350981949086</v>
      </c>
      <c r="AQ20" s="28">
        <f>IF(('Activity data'!AQ7*EF!$H20)*kgtoGg=0,"NO",('Activity data'!AQ7*EF!$H20)*kgtoGg)</f>
        <v>0.44829085520204021</v>
      </c>
      <c r="AR20" s="28">
        <f>IF(('Activity data'!AR7*EF!$H20)*kgtoGg=0,"NO",('Activity data'!AR7*EF!$H20)*kgtoGg)</f>
        <v>0.45227077864668558</v>
      </c>
      <c r="AS20" s="28">
        <f>IF(('Activity data'!AS7*EF!$H20)*kgtoGg=0,"NO",('Activity data'!AS7*EF!$H20)*kgtoGg)</f>
        <v>0.45617108067019357</v>
      </c>
      <c r="AT20" s="28">
        <f>IF(('Activity data'!AT7*EF!$H20)*kgtoGg=0,"NO",('Activity data'!AT7*EF!$H20)*kgtoGg)</f>
        <v>0.46037213371252356</v>
      </c>
      <c r="AU20" s="28">
        <f>IF(('Activity data'!AU7*EF!$H20)*kgtoGg=0,"NO",('Activity data'!AU7*EF!$H20)*kgtoGg)</f>
        <v>0.46435044836471168</v>
      </c>
      <c r="AV20" s="28">
        <f>IF(('Activity data'!AV7*EF!$H20)*kgtoGg=0,"NO",('Activity data'!AV7*EF!$H20)*kgtoGg)</f>
        <v>0.46847146239083864</v>
      </c>
      <c r="AW20" s="28">
        <f>IF(('Activity data'!AW7*EF!$H20)*kgtoGg=0,"NO",('Activity data'!AW7*EF!$H20)*kgtoGg)</f>
        <v>0.47320613146186896</v>
      </c>
      <c r="AX20" s="28">
        <f>IF(('Activity data'!AX7*EF!$H20)*kgtoGg=0,"NO",('Activity data'!AX7*EF!$H20)*kgtoGg)</f>
        <v>0.47836268378541491</v>
      </c>
      <c r="AY20" s="28">
        <f>IF(('Activity data'!AY7*EF!$H20)*kgtoGg=0,"NO",('Activity data'!AY7*EF!$H20)*kgtoGg)</f>
        <v>0.4837239116397628</v>
      </c>
      <c r="AZ20" s="28">
        <f>IF(('Activity data'!AZ7*EF!$H20)*kgtoGg=0,"NO",('Activity data'!AZ7*EF!$H20)*kgtoGg)</f>
        <v>0.48447279323990261</v>
      </c>
      <c r="BA20" s="28">
        <f>IF(('Activity data'!BA7*EF!$H20)*kgtoGg=0,"NO",('Activity data'!BA7*EF!$H20)*kgtoGg)</f>
        <v>0.25938200675301493</v>
      </c>
      <c r="BB20" s="28">
        <f>IF(('Activity data'!BB7*EF!$H20)*kgtoGg=0,"NO",('Activity data'!BB7*EF!$H20)*kgtoGg)</f>
        <v>0.25957278063562522</v>
      </c>
      <c r="BC20" s="28">
        <f>IF(('Activity data'!BC7*EF!$H20)*kgtoGg=0,"NO",('Activity data'!BC7*EF!$H20)*kgtoGg)</f>
        <v>0.25978861497139094</v>
      </c>
      <c r="BD20" s="28">
        <f>IF(('Activity data'!BD7*EF!$H20)*kgtoGg=0,"NO",('Activity data'!BD7*EF!$H20)*kgtoGg)</f>
        <v>0.260028557221544</v>
      </c>
      <c r="BE20" s="28">
        <f>IF(('Activity data'!BE7*EF!$H20)*kgtoGg=0,"NO",('Activity data'!BE7*EF!$H20)*kgtoGg)</f>
        <v>0.26029172820809693</v>
      </c>
      <c r="BF20" s="28">
        <f>IF(('Activity data'!BF7*EF!$H20)*kgtoGg=0,"NO",('Activity data'!BF7*EF!$H20)*kgtoGg)</f>
        <v>0.26057731516048022</v>
      </c>
      <c r="BG20" s="28">
        <f>IF(('Activity data'!BG7*EF!$H20)*kgtoGg=0,"NO",('Activity data'!BG7*EF!$H20)*kgtoGg)</f>
        <v>0.26070026887628817</v>
      </c>
      <c r="BH20" s="28">
        <f>IF(('Activity data'!BH7*EF!$H20)*kgtoGg=0,"NO",('Activity data'!BH7*EF!$H20)*kgtoGg)</f>
        <v>0.26084296294040193</v>
      </c>
      <c r="BI20" s="28">
        <f>IF(('Activity data'!BI7*EF!$H20)*kgtoGg=0,"NO",('Activity data'!BI7*EF!$H20)*kgtoGg)</f>
        <v>0.26100470788314173</v>
      </c>
      <c r="BJ20" s="28">
        <f>IF(('Activity data'!BJ7*EF!$H20)*kgtoGg=0,"NO",('Activity data'!BJ7*EF!$H20)*kgtoGg)</f>
        <v>0.26118486128201956</v>
      </c>
      <c r="BK20" s="28">
        <f>IF(('Activity data'!BK7*EF!$H20)*kgtoGg=0,"NO",('Activity data'!BK7*EF!$H20)*kgtoGg)</f>
        <v>0.26138282376940786</v>
      </c>
      <c r="BL20" s="28">
        <f>IF(('Activity data'!BL7*EF!$H20)*kgtoGg=0,"NO",('Activity data'!BL7*EF!$H20)*kgtoGg)</f>
        <v>0.26141175290749602</v>
      </c>
      <c r="BM20" s="28">
        <f>IF(('Activity data'!BM7*EF!$H20)*kgtoGg=0,"NO",('Activity data'!BM7*EF!$H20)*kgtoGg)</f>
        <v>0.26145647024377611</v>
      </c>
      <c r="BN20" s="28">
        <f>IF(('Activity data'!BN7*EF!$H20)*kgtoGg=0,"NO",('Activity data'!BN7*EF!$H20)*kgtoGg)</f>
        <v>0.26151645247563149</v>
      </c>
      <c r="BO20" s="28">
        <f>IF(('Activity data'!BO7*EF!$H20)*kgtoGg=0,"NO",('Activity data'!BO7*EF!$H20)*kgtoGg)</f>
        <v>0.26159120817957698</v>
      </c>
      <c r="BP20" s="28">
        <f>IF(('Activity data'!BP7*EF!$H20)*kgtoGg=0,"NO",('Activity data'!BP7*EF!$H20)*kgtoGg)</f>
        <v>0.26168027536234517</v>
      </c>
    </row>
    <row r="21" spans="1:68" x14ac:dyDescent="0.25">
      <c r="A21" t="str">
        <f t="shared" si="1"/>
        <v>3A Livestock</v>
      </c>
      <c r="B21" t="str">
        <f t="shared" si="8"/>
        <v>3A2 Manure management (CH4)</v>
      </c>
      <c r="C21" t="str">
        <f>EF!C21</f>
        <v>3A1aii Other cattle</v>
      </c>
      <c r="D21" t="str">
        <f>EF!D21</f>
        <v>Commercial</v>
      </c>
      <c r="E21" t="str">
        <f>E19</f>
        <v>Manure management Emissions</v>
      </c>
      <c r="F21" t="str">
        <f>F19</f>
        <v>CH4</v>
      </c>
      <c r="G21" t="str">
        <f>G19</f>
        <v>Gg CH4</v>
      </c>
      <c r="H21" s="28">
        <f>IF(('Activity data'!H8*EF!$H21)*kgtoGg=0,"NO",('Activity data'!H8*EF!$H21)*kgtoGg)</f>
        <v>0.10860830449259461</v>
      </c>
      <c r="I21" s="28">
        <f>IF(('Activity data'!I8*EF!$H21)*kgtoGg=0,"NO",('Activity data'!I8*EF!$H21)*kgtoGg)</f>
        <v>0.10392054759979548</v>
      </c>
      <c r="J21" s="28">
        <f>IF(('Activity data'!J8*EF!$H21)*kgtoGg=0,"NO",('Activity data'!J8*EF!$H21)*kgtoGg)</f>
        <v>0.10388278936218015</v>
      </c>
      <c r="K21" s="28">
        <f>IF(('Activity data'!K8*EF!$H21)*kgtoGg=0,"NO",('Activity data'!K8*EF!$H21)*kgtoGg)</f>
        <v>9.7186039320312306E-2</v>
      </c>
      <c r="L21" s="28">
        <f>IF(('Activity data'!L8*EF!$H21)*kgtoGg=0,"NO",('Activity data'!L8*EF!$H21)*kgtoGg)</f>
        <v>0.10011588737831177</v>
      </c>
      <c r="M21" s="28">
        <f>IF(('Activity data'!M8*EF!$H21)*kgtoGg=0,"NO",('Activity data'!M8*EF!$H21)*kgtoGg)</f>
        <v>0.10239221522239531</v>
      </c>
      <c r="N21" s="28">
        <f>IF(('Activity data'!N8*EF!$H21)*kgtoGg=0,"NO",('Activity data'!N8*EF!$H21)*kgtoGg)</f>
        <v>0.10663977797793223</v>
      </c>
      <c r="O21" s="28">
        <f>IF(('Activity data'!O8*EF!$H21)*kgtoGg=0,"NO",('Activity data'!O8*EF!$H21)*kgtoGg)</f>
        <v>0.11067943145039739</v>
      </c>
      <c r="P21" s="28">
        <f>IF(('Activity data'!P8*EF!$H21)*kgtoGg=0,"NO",('Activity data'!P8*EF!$H21)*kgtoGg)</f>
        <v>0.11163804459694349</v>
      </c>
      <c r="Q21" s="28">
        <f>IF(('Activity data'!Q8*EF!$H21)*kgtoGg=0,"NO",('Activity data'!Q8*EF!$H21)*kgtoGg)</f>
        <v>0.10983154393736459</v>
      </c>
      <c r="R21" s="28">
        <f>IF(('Activity data'!R8*EF!$H21)*kgtoGg=0,"NO",('Activity data'!R8*EF!$H21)*kgtoGg)</f>
        <v>0.10237054804806753</v>
      </c>
      <c r="S21" s="28">
        <f>IF(('Activity data'!S8*EF!$H21)*kgtoGg=0,"NO",('Activity data'!S8*EF!$H21)*kgtoGg)</f>
        <v>0.10290250904130627</v>
      </c>
      <c r="T21" s="28">
        <f>IF(('Activity data'!T8*EF!$H21)*kgtoGg=0,"NO",('Activity data'!T8*EF!$H21)*kgtoGg)</f>
        <v>9.5906082860390207E-2</v>
      </c>
      <c r="U21" s="28">
        <f>IF(('Activity data'!U8*EF!$H21)*kgtoGg=0,"NO",('Activity data'!U8*EF!$H21)*kgtoGg)</f>
        <v>9.8414695558664236E-2</v>
      </c>
      <c r="V21" s="28">
        <f>IF(('Activity data'!V8*EF!$H21)*kgtoGg=0,"NO",('Activity data'!V8*EF!$H21)*kgtoGg)</f>
        <v>9.9322008483640145E-2</v>
      </c>
      <c r="W21" s="28">
        <f>IF(('Activity data'!W8*EF!$H21)*kgtoGg=0,"NO",('Activity data'!W8*EF!$H21)*kgtoGg)</f>
        <v>0.100164479203091</v>
      </c>
      <c r="X21" s="28">
        <f>IF(('Activity data'!X8*EF!$H21)*kgtoGg=0,"NO",('Activity data'!X8*EF!$H21)*kgtoGg)</f>
        <v>9.7882734565425497E-2</v>
      </c>
      <c r="Y21" s="28">
        <f>IF(('Activity data'!Y8*EF!$H21)*kgtoGg=0,"NO",('Activity data'!Y8*EF!$H21)*kgtoGg)</f>
        <v>0.10075044881469088</v>
      </c>
      <c r="Z21" s="28">
        <f>IF(('Activity data'!Z8*EF!$H21)*kgtoGg=0,"NO",('Activity data'!Z8*EF!$H21)*kgtoGg)</f>
        <v>9.7950798966544531E-2</v>
      </c>
      <c r="AA21" s="28">
        <f>IF(('Activity data'!AA8*EF!$H21)*kgtoGg=0,"NO",('Activity data'!AA8*EF!$H21)*kgtoGg)</f>
        <v>9.6306138291681109E-2</v>
      </c>
      <c r="AB21" s="28">
        <f>IF(('Activity data'!AB8*EF!$H21)*kgtoGg=0,"NO",('Activity data'!AB8*EF!$H21)*kgtoGg)</f>
        <v>9.6003388653333327E-2</v>
      </c>
      <c r="AC21" s="28">
        <f>IF(('Activity data'!AC8*EF!$H21)*kgtoGg=0,"NO",('Activity data'!AC8*EF!$H21)*kgtoGg)</f>
        <v>9.5658660192370931E-2</v>
      </c>
      <c r="AD21" s="28">
        <f>IF(('Activity data'!AD8*EF!$H21)*kgtoGg=0,"NO",('Activity data'!AD8*EF!$H21)*kgtoGg)</f>
        <v>9.5707566285535867E-2</v>
      </c>
      <c r="AE21" s="28">
        <f>IF(('Activity data'!AE8*EF!$H21)*kgtoGg=0,"NO",('Activity data'!AE8*EF!$H21)*kgtoGg)</f>
        <v>9.507317462688053E-2</v>
      </c>
      <c r="AF21" s="28">
        <f>IF(('Activity data'!AF8*EF!$H21)*kgtoGg=0,"NO",('Activity data'!AF8*EF!$H21)*kgtoGg)</f>
        <v>9.3735602326843109E-2</v>
      </c>
      <c r="AG21" s="28">
        <f>IF(('Activity data'!AG8*EF!$H21)*kgtoGg=0,"NO",('Activity data'!AG8*EF!$H21)*kgtoGg)</f>
        <v>9.1480938854138993E-2</v>
      </c>
      <c r="AH21" s="28">
        <f>IF(('Activity data'!AH8*EF!$H21)*kgtoGg=0,"NO",('Activity data'!AH8*EF!$H21)*kgtoGg)</f>
        <v>8.9293409665024345E-2</v>
      </c>
      <c r="AI21" s="28">
        <f>IF(('Activity data'!AI8*EF!$H21)*kgtoGg=0,"NO",('Activity data'!AI8*EF!$H21)*kgtoGg)</f>
        <v>8.7610892686618924E-2</v>
      </c>
      <c r="AJ21" s="28">
        <f>IF(('Activity data'!AJ8*EF!$H21)*kgtoGg=0,"NO",('Activity data'!AJ8*EF!$H21)*kgtoGg)</f>
        <v>8.6089043126348228E-2</v>
      </c>
      <c r="AK21" s="28">
        <f>IF(('Activity data'!AK8*EF!$H21)*kgtoGg=0,"NO",('Activity data'!AK8*EF!$H21)*kgtoGg)</f>
        <v>8.3696304621384818E-2</v>
      </c>
      <c r="AL21" s="28">
        <f>IF(('Activity data'!AL8*EF!$H21)*kgtoGg=0,"NO",('Activity data'!AL8*EF!$H21)*kgtoGg)</f>
        <v>7.34067322961163E-2</v>
      </c>
      <c r="AM21" s="28">
        <f>IF(('Activity data'!AM8*EF!$H21)*kgtoGg=0,"NO",('Activity data'!AM8*EF!$H21)*kgtoGg)</f>
        <v>7.4106416152148968E-2</v>
      </c>
      <c r="AN21" s="28">
        <f>IF(('Activity data'!AN8*EF!$H21)*kgtoGg=0,"NO",('Activity data'!AN8*EF!$H21)*kgtoGg)</f>
        <v>7.4579873174536918E-2</v>
      </c>
      <c r="AO21" s="28">
        <f>IF(('Activity data'!AO8*EF!$H21)*kgtoGg=0,"NO",('Activity data'!AO8*EF!$H21)*kgtoGg)</f>
        <v>7.5037930673723691E-2</v>
      </c>
      <c r="AP21" s="28">
        <f>IF(('Activity data'!AP8*EF!$H21)*kgtoGg=0,"NO",('Activity data'!AP8*EF!$H21)*kgtoGg)</f>
        <v>7.5795447602904714E-2</v>
      </c>
      <c r="AQ21" s="28">
        <f>IF(('Activity data'!AQ8*EF!$H21)*kgtoGg=0,"NO",('Activity data'!AQ8*EF!$H21)*kgtoGg)</f>
        <v>7.6527998633535405E-2</v>
      </c>
      <c r="AR21" s="28">
        <f>IF(('Activity data'!AR8*EF!$H21)*kgtoGg=0,"NO",('Activity data'!AR8*EF!$H21)*kgtoGg)</f>
        <v>7.7297067256649366E-2</v>
      </c>
      <c r="AS21" s="28">
        <f>IF(('Activity data'!AS8*EF!$H21)*kgtoGg=0,"NO",('Activity data'!AS8*EF!$H21)*kgtoGg)</f>
        <v>7.7966609512140975E-2</v>
      </c>
      <c r="AT21" s="28">
        <f>IF(('Activity data'!AT8*EF!$H21)*kgtoGg=0,"NO",('Activity data'!AT8*EF!$H21)*kgtoGg)</f>
        <v>7.8728639390587538E-2</v>
      </c>
      <c r="AU21" s="28">
        <f>IF(('Activity data'!AU8*EF!$H21)*kgtoGg=0,"NO",('Activity data'!AU8*EF!$H21)*kgtoGg)</f>
        <v>7.9324953589457362E-2</v>
      </c>
      <c r="AV21" s="28">
        <f>IF(('Activity data'!AV8*EF!$H21)*kgtoGg=0,"NO",('Activity data'!AV8*EF!$H21)*kgtoGg)</f>
        <v>7.9937629648305739E-2</v>
      </c>
      <c r="AW21" s="28">
        <f>IF(('Activity data'!AW8*EF!$H21)*kgtoGg=0,"NO",('Activity data'!AW8*EF!$H21)*kgtoGg)</f>
        <v>8.0222991747189526E-2</v>
      </c>
      <c r="AX21" s="28">
        <f>IF(('Activity data'!AX8*EF!$H21)*kgtoGg=0,"NO",('Activity data'!AX8*EF!$H21)*kgtoGg)</f>
        <v>8.0614281081104813E-2</v>
      </c>
      <c r="AY21" s="28">
        <f>IF(('Activity data'!AY8*EF!$H21)*kgtoGg=0,"NO",('Activity data'!AY8*EF!$H21)*kgtoGg)</f>
        <v>8.100406028659024E-2</v>
      </c>
      <c r="AZ21" s="28">
        <f>IF(('Activity data'!AZ8*EF!$H21)*kgtoGg=0,"NO",('Activity data'!AZ8*EF!$H21)*kgtoGg)</f>
        <v>7.9286126804775037E-2</v>
      </c>
      <c r="BA21" s="28">
        <f>IF(('Activity data'!BA8*EF!$H21)*kgtoGg=0,"NO",('Activity data'!BA8*EF!$H21)*kgtoGg)</f>
        <v>-1.8702500653157286E-2</v>
      </c>
      <c r="BB21" s="28">
        <f>IF(('Activity data'!BB8*EF!$H21)*kgtoGg=0,"NO",('Activity data'!BB8*EF!$H21)*kgtoGg)</f>
        <v>-1.8268667685025074E-2</v>
      </c>
      <c r="BC21" s="28">
        <f>IF(('Activity data'!BC8*EF!$H21)*kgtoGg=0,"NO",('Activity data'!BC8*EF!$H21)*kgtoGg)</f>
        <v>-1.7841734022548978E-2</v>
      </c>
      <c r="BD21" s="28">
        <f>IF(('Activity data'!BD8*EF!$H21)*kgtoGg=0,"NO",('Activity data'!BD8*EF!$H21)*kgtoGg)</f>
        <v>-1.7421338317040982E-2</v>
      </c>
      <c r="BE21" s="28">
        <f>IF(('Activity data'!BE8*EF!$H21)*kgtoGg=0,"NO",('Activity data'!BE8*EF!$H21)*kgtoGg)</f>
        <v>-1.7007144202009699E-2</v>
      </c>
      <c r="BF21" s="28">
        <f>IF(('Activity data'!BF8*EF!$H21)*kgtoGg=0,"NO",('Activity data'!BF8*EF!$H21)*kgtoGg)</f>
        <v>-1.6598837978205473E-2</v>
      </c>
      <c r="BG21" s="28">
        <f>IF(('Activity data'!BG8*EF!$H21)*kgtoGg=0,"NO",('Activity data'!BG8*EF!$H21)*kgtoGg)</f>
        <v>-1.6267793993705613E-2</v>
      </c>
      <c r="BH21" s="28">
        <f>IF(('Activity data'!BH8*EF!$H21)*kgtoGg=0,"NO",('Activity data'!BH8*EF!$H21)*kgtoGg)</f>
        <v>-1.5941750028753716E-2</v>
      </c>
      <c r="BI21" s="28">
        <f>IF(('Activity data'!BI8*EF!$H21)*kgtoGg=0,"NO",('Activity data'!BI8*EF!$H21)*kgtoGg)</f>
        <v>-1.562047950725113E-2</v>
      </c>
      <c r="BJ21" s="28">
        <f>IF(('Activity data'!BJ8*EF!$H21)*kgtoGg=0,"NO",('Activity data'!BJ8*EF!$H21)*kgtoGg)</f>
        <v>-1.5303769944962587E-2</v>
      </c>
      <c r="BK21" s="28">
        <f>IF(('Activity data'!BK8*EF!$H21)*kgtoGg=0,"NO",('Activity data'!BK8*EF!$H21)*kgtoGg)</f>
        <v>-1.4991421781067962E-2</v>
      </c>
      <c r="BL21" s="28">
        <f>IF(('Activity data'!BL8*EF!$H21)*kgtoGg=0,"NO",('Activity data'!BL8*EF!$H21)*kgtoGg)</f>
        <v>-1.4673268106464171E-2</v>
      </c>
      <c r="BM21" s="28">
        <f>IF(('Activity data'!BM8*EF!$H21)*kgtoGg=0,"NO",('Activity data'!BM8*EF!$H21)*kgtoGg)</f>
        <v>-1.4359489450627001E-2</v>
      </c>
      <c r="BN21" s="28">
        <f>IF(('Activity data'!BN8*EF!$H21)*kgtoGg=0,"NO",('Activity data'!BN8*EF!$H21)*kgtoGg)</f>
        <v>-1.40499137071168E-2</v>
      </c>
      <c r="BO21" s="28">
        <f>IF(('Activity data'!BO8*EF!$H21)*kgtoGg=0,"NO",('Activity data'!BO8*EF!$H21)*kgtoGg)</f>
        <v>-1.3744378438980727E-2</v>
      </c>
      <c r="BP21" s="28">
        <f>IF(('Activity data'!BP8*EF!$H21)*kgtoGg=0,"NO",('Activity data'!BP8*EF!$H21)*kgtoGg)</f>
        <v>-1.3442730156179297E-2</v>
      </c>
    </row>
    <row r="22" spans="1:68" x14ac:dyDescent="0.25">
      <c r="A22" t="str">
        <f t="shared" si="1"/>
        <v>3A Livestock</v>
      </c>
      <c r="B22" t="str">
        <f t="shared" si="8"/>
        <v>3A2 Manure management (CH4)</v>
      </c>
      <c r="C22" t="str">
        <f>EF!C22</f>
        <v>3A1aii Other cattle</v>
      </c>
      <c r="D22" t="str">
        <f>EF!D22</f>
        <v>Subsistence</v>
      </c>
      <c r="E22" t="str">
        <f t="shared" ref="E22:E53" si="9">E21</f>
        <v>Manure management Emissions</v>
      </c>
      <c r="F22" t="str">
        <f t="shared" si="6"/>
        <v>CH4</v>
      </c>
      <c r="G22" t="str">
        <f t="shared" si="7"/>
        <v>Gg CH4</v>
      </c>
      <c r="H22" s="28">
        <f>IF(('Activity data'!H9*EF!$H22)*kgtoGg=0,"NO",('Activity data'!H9*EF!$H22)*kgtoGg)</f>
        <v>6.0573784267535902E-2</v>
      </c>
      <c r="I22" s="28">
        <f>IF(('Activity data'!I9*EF!$H22)*kgtoGg=0,"NO",('Activity data'!I9*EF!$H22)*kgtoGg)</f>
        <v>6.4268917076884494E-2</v>
      </c>
      <c r="J22" s="28">
        <f>IF(('Activity data'!J9*EF!$H22)*kgtoGg=0,"NO",('Activity data'!J9*EF!$H22)*kgtoGg)</f>
        <v>6.7304204741706564E-2</v>
      </c>
      <c r="K22" s="28">
        <f>IF(('Activity data'!K9*EF!$H22)*kgtoGg=0,"NO",('Activity data'!K9*EF!$H22)*kgtoGg)</f>
        <v>6.651239056827471E-2</v>
      </c>
      <c r="L22" s="28">
        <f>IF(('Activity data'!L9*EF!$H22)*kgtoGg=0,"NO",('Activity data'!L9*EF!$H22)*kgtoGg)</f>
        <v>5.7934403689429759E-2</v>
      </c>
      <c r="M22" s="28">
        <f>IF(('Activity data'!M9*EF!$H22)*kgtoGg=0,"NO",('Activity data'!M9*EF!$H22)*kgtoGg)</f>
        <v>5.5954868255850158E-2</v>
      </c>
      <c r="N22" s="28">
        <f>IF(('Activity data'!N9*EF!$H22)*kgtoGg=0,"NO",('Activity data'!N9*EF!$H22)*kgtoGg)</f>
        <v>5.7538496602713839E-2</v>
      </c>
      <c r="O22" s="28">
        <f>IF(('Activity data'!O9*EF!$H22)*kgtoGg=0,"NO",('Activity data'!O9*EF!$H22)*kgtoGg)</f>
        <v>6.0177877180819982E-2</v>
      </c>
      <c r="P22" s="28">
        <f>IF(('Activity data'!P9*EF!$H22)*kgtoGg=0,"NO",('Activity data'!P9*EF!$H22)*kgtoGg)</f>
        <v>6.3873009990168567E-2</v>
      </c>
      <c r="Q22" s="28">
        <f>IF(('Activity data'!Q9*EF!$H22)*kgtoGg=0,"NO",('Activity data'!Q9*EF!$H22)*kgtoGg)</f>
        <v>6.651239056827471E-2</v>
      </c>
      <c r="R22" s="28">
        <f>IF(('Activity data'!R9*EF!$H22)*kgtoGg=0,"NO",('Activity data'!R9*EF!$H22)*kgtoGg)</f>
        <v>6.4928762221411029E-2</v>
      </c>
      <c r="S22" s="28">
        <f>IF(('Activity data'!S9*EF!$H22)*kgtoGg=0,"NO",('Activity data'!S9*EF!$H22)*kgtoGg)</f>
        <v>6.3345133874547349E-2</v>
      </c>
      <c r="T22" s="28">
        <f>IF(('Activity data'!T9*EF!$H22)*kgtoGg=0,"NO",('Activity data'!T9*EF!$H22)*kgtoGg)</f>
        <v>7.1791151724486982E-2</v>
      </c>
      <c r="U22" s="28">
        <f>IF(('Activity data'!U9*EF!$H22)*kgtoGg=0,"NO",('Activity data'!U9*EF!$H22)*kgtoGg)</f>
        <v>7.350674910025598E-2</v>
      </c>
      <c r="V22" s="28">
        <f>IF(('Activity data'!V9*EF!$H22)*kgtoGg=0,"NO",('Activity data'!V9*EF!$H22)*kgtoGg)</f>
        <v>7.2319027840108213E-2</v>
      </c>
      <c r="W22" s="28">
        <f>IF(('Activity data'!W9*EF!$H22)*kgtoGg=0,"NO",('Activity data'!W9*EF!$H22)*kgtoGg)</f>
        <v>7.0207523377623302E-2</v>
      </c>
      <c r="X22" s="28">
        <f>IF(('Activity data'!X9*EF!$H22)*kgtoGg=0,"NO",('Activity data'!X9*EF!$H22)*kgtoGg)</f>
        <v>7.2450996869013531E-2</v>
      </c>
      <c r="Y22" s="28">
        <f>IF(('Activity data'!Y9*EF!$H22)*kgtoGg=0,"NO",('Activity data'!Y9*EF!$H22)*kgtoGg)</f>
        <v>7.5354315504930283E-2</v>
      </c>
      <c r="Z22" s="28">
        <f>IF(('Activity data'!Z9*EF!$H22)*kgtoGg=0,"NO",('Activity data'!Z9*EF!$H22)*kgtoGg)</f>
        <v>7.4166594244782516E-2</v>
      </c>
      <c r="AA22" s="28">
        <f>IF(('Activity data'!AA9*EF!$H22)*kgtoGg=0,"NO",('Activity data'!AA9*EF!$H22)*kgtoGg)</f>
        <v>7.3374780071350676E-2</v>
      </c>
      <c r="AB22" s="28">
        <f>IF(('Activity data'!AB9*EF!$H22)*kgtoGg=0,"NO",('Activity data'!AB9*EF!$H22)*kgtoGg)</f>
        <v>7.2319027840108213E-2</v>
      </c>
      <c r="AC22" s="28">
        <f>IF(('Activity data'!AC9*EF!$H22)*kgtoGg=0,"NO",('Activity data'!AC9*EF!$H22)*kgtoGg)</f>
        <v>7.2846903955729445E-2</v>
      </c>
      <c r="AD22" s="28">
        <f>IF(('Activity data'!AD9*EF!$H22)*kgtoGg=0,"NO",('Activity data'!AD9*EF!$H22)*kgtoGg)</f>
        <v>7.0303494563391522E-2</v>
      </c>
      <c r="AE22" s="28">
        <f>IF(('Activity data'!AE9*EF!$H22)*kgtoGg=0,"NO",('Activity data'!AE9*EF!$H22)*kgtoGg)</f>
        <v>6.9837492216280578E-2</v>
      </c>
      <c r="AF22" s="28">
        <f>IF(('Activity data'!AF9*EF!$H22)*kgtoGg=0,"NO",('Activity data'!AF9*EF!$H22)*kgtoGg)</f>
        <v>6.8854957495428151E-2</v>
      </c>
      <c r="AG22" s="28">
        <f>IF(('Activity data'!AG9*EF!$H22)*kgtoGg=0,"NO",('Activity data'!AG9*EF!$H22)*kgtoGg)</f>
        <v>6.7198759063606908E-2</v>
      </c>
      <c r="AH22" s="28">
        <f>IF(('Activity data'!AH9*EF!$H22)*kgtoGg=0,"NO",('Activity data'!AH9*EF!$H22)*kgtoGg)</f>
        <v>6.5591875173201017E-2</v>
      </c>
      <c r="AI22" s="28">
        <f>IF(('Activity data'!AI9*EF!$H22)*kgtoGg=0,"NO",('Activity data'!AI9*EF!$H22)*kgtoGg)</f>
        <v>6.4355955926323108E-2</v>
      </c>
      <c r="AJ22" s="28">
        <f>IF(('Activity data'!AJ9*EF!$H22)*kgtoGg=0,"NO",('Activity data'!AJ9*EF!$H22)*kgtoGg)</f>
        <v>6.3238057452470034E-2</v>
      </c>
      <c r="AK22" s="28">
        <f>IF(('Activity data'!AK9*EF!$H22)*kgtoGg=0,"NO",('Activity data'!AK9*EF!$H22)*kgtoGg)</f>
        <v>6.1480433839166078E-2</v>
      </c>
      <c r="AL22" s="28">
        <f>IF(('Activity data'!AL9*EF!$H22)*kgtoGg=0,"NO",('Activity data'!AL9*EF!$H22)*kgtoGg)</f>
        <v>5.392206703386089E-2</v>
      </c>
      <c r="AM22" s="28">
        <f>IF(('Activity data'!AM9*EF!$H22)*kgtoGg=0,"NO",('Activity data'!AM9*EF!$H22)*kgtoGg)</f>
        <v>5.4436030789055859E-2</v>
      </c>
      <c r="AN22" s="28">
        <f>IF(('Activity data'!AN9*EF!$H22)*kgtoGg=0,"NO",('Activity data'!AN9*EF!$H22)*kgtoGg)</f>
        <v>5.4783816073869653E-2</v>
      </c>
      <c r="AO22" s="28">
        <f>IF(('Activity data'!AO9*EF!$H22)*kgtoGg=0,"NO",('Activity data'!AO9*EF!$H22)*kgtoGg)</f>
        <v>5.5120289397281967E-2</v>
      </c>
      <c r="AP22" s="28">
        <f>IF(('Activity data'!AP9*EF!$H22)*kgtoGg=0,"NO",('Activity data'!AP9*EF!$H22)*kgtoGg)</f>
        <v>5.5676735343817389E-2</v>
      </c>
      <c r="AQ22" s="28">
        <f>IF(('Activity data'!AQ9*EF!$H22)*kgtoGg=0,"NO",('Activity data'!AQ9*EF!$H22)*kgtoGg)</f>
        <v>5.6214842197832481E-2</v>
      </c>
      <c r="AR22" s="28">
        <f>IF(('Activity data'!AR9*EF!$H22)*kgtoGg=0,"NO",('Activity data'!AR9*EF!$H22)*kgtoGg)</f>
        <v>5.6779773622404078E-2</v>
      </c>
      <c r="AS22" s="28">
        <f>IF(('Activity data'!AS9*EF!$H22)*kgtoGg=0,"NO",('Activity data'!AS9*EF!$H22)*kgtoGg)</f>
        <v>5.7271596391969458E-2</v>
      </c>
      <c r="AT22" s="28">
        <f>IF(('Activity data'!AT9*EF!$H22)*kgtoGg=0,"NO",('Activity data'!AT9*EF!$H22)*kgtoGg)</f>
        <v>5.7831357396200579E-2</v>
      </c>
      <c r="AU22" s="28">
        <f>IF(('Activity data'!AU9*EF!$H22)*kgtoGg=0,"NO",('Activity data'!AU9*EF!$H22)*kgtoGg)</f>
        <v>5.826938934775229E-2</v>
      </c>
      <c r="AV22" s="28">
        <f>IF(('Activity data'!AV9*EF!$H22)*kgtoGg=0,"NO",('Activity data'!AV9*EF!$H22)*kgtoGg)</f>
        <v>5.8719440160285359E-2</v>
      </c>
      <c r="AW22" s="28">
        <f>IF(('Activity data'!AW9*EF!$H22)*kgtoGg=0,"NO",('Activity data'!AW9*EF!$H22)*kgtoGg)</f>
        <v>5.8929057367639905E-2</v>
      </c>
      <c r="AX22" s="28">
        <f>IF(('Activity data'!AX9*EF!$H22)*kgtoGg=0,"NO",('Activity data'!AX9*EF!$H22)*kgtoGg)</f>
        <v>5.92164850875921E-2</v>
      </c>
      <c r="AY22" s="28">
        <f>IF(('Activity data'!AY9*EF!$H22)*kgtoGg=0,"NO",('Activity data'!AY9*EF!$H22)*kgtoGg)</f>
        <v>5.9502803519010737E-2</v>
      </c>
      <c r="AZ22" s="28">
        <f>IF(('Activity data'!AZ9*EF!$H22)*kgtoGg=0,"NO",('Activity data'!AZ9*EF!$H22)*kgtoGg)</f>
        <v>5.8240868523832451E-2</v>
      </c>
      <c r="BA22" s="28">
        <f>IF(('Activity data'!BA9*EF!$H22)*kgtoGg=0,"NO",('Activity data'!BA9*EF!$H22)*kgtoGg)</f>
        <v>-1.3738215315895889E-2</v>
      </c>
      <c r="BB22" s="28">
        <f>IF(('Activity data'!BB9*EF!$H22)*kgtoGg=0,"NO",('Activity data'!BB9*EF!$H22)*kgtoGg)</f>
        <v>-1.3419536501877058E-2</v>
      </c>
      <c r="BC22" s="28">
        <f>IF(('Activity data'!BC9*EF!$H22)*kgtoGg=0,"NO",('Activity data'!BC9*EF!$H22)*kgtoGg)</f>
        <v>-1.3105925681085005E-2</v>
      </c>
      <c r="BD22" s="28">
        <f>IF(('Activity data'!BD9*EF!$H22)*kgtoGg=0,"NO",('Activity data'!BD9*EF!$H22)*kgtoGg)</f>
        <v>-1.2797117419171011E-2</v>
      </c>
      <c r="BE22" s="28">
        <f>IF(('Activity data'!BE9*EF!$H22)*kgtoGg=0,"NO",('Activity data'!BE9*EF!$H22)*kgtoGg)</f>
        <v>-1.2492864632850905E-2</v>
      </c>
      <c r="BF22" s="28">
        <f>IF(('Activity data'!BF9*EF!$H22)*kgtoGg=0,"NO",('Activity data'!BF9*EF!$H22)*kgtoGg)</f>
        <v>-1.2192936889418591E-2</v>
      </c>
      <c r="BG22" s="28">
        <f>IF(('Activity data'!BG9*EF!$H22)*kgtoGg=0,"NO",('Activity data'!BG9*EF!$H22)*kgtoGg)</f>
        <v>-1.1949763336189845E-2</v>
      </c>
      <c r="BH22" s="28">
        <f>IF(('Activity data'!BH9*EF!$H22)*kgtoGg=0,"NO",('Activity data'!BH9*EF!$H22)*kgtoGg)</f>
        <v>-1.1710262625775411E-2</v>
      </c>
      <c r="BI22" s="28">
        <f>IF(('Activity data'!BI9*EF!$H22)*kgtoGg=0,"NO",('Activity data'!BI9*EF!$H22)*kgtoGg)</f>
        <v>-1.1474268323146819E-2</v>
      </c>
      <c r="BJ22" s="28">
        <f>IF(('Activity data'!BJ9*EF!$H22)*kgtoGg=0,"NO",('Activity data'!BJ9*EF!$H22)*kgtoGg)</f>
        <v>-1.1241624344674956E-2</v>
      </c>
      <c r="BK22" s="28">
        <f>IF(('Activity data'!BK9*EF!$H22)*kgtoGg=0,"NO",('Activity data'!BK9*EF!$H22)*kgtoGg)</f>
        <v>-1.1012184099828085E-2</v>
      </c>
      <c r="BL22" s="28">
        <f>IF(('Activity data'!BL9*EF!$H22)*kgtoGg=0,"NO",('Activity data'!BL9*EF!$H22)*kgtoGg)</f>
        <v>-1.0778479325995476E-2</v>
      </c>
      <c r="BM22" s="28">
        <f>IF(('Activity data'!BM9*EF!$H22)*kgtoGg=0,"NO",('Activity data'!BM9*EF!$H22)*kgtoGg)</f>
        <v>-1.0547988290846352E-2</v>
      </c>
      <c r="BN22" s="28">
        <f>IF(('Activity data'!BN9*EF!$H22)*kgtoGg=0,"NO",('Activity data'!BN9*EF!$H22)*kgtoGg)</f>
        <v>-1.032058457089494E-2</v>
      </c>
      <c r="BO22" s="28">
        <f>IF(('Activity data'!BO9*EF!$H22)*kgtoGg=0,"NO",('Activity data'!BO9*EF!$H22)*kgtoGg)</f>
        <v>-1.0096148845528728E-2</v>
      </c>
      <c r="BP22" s="28">
        <f>IF(('Activity data'!BP9*EF!$H22)*kgtoGg=0,"NO",('Activity data'!BP9*EF!$H22)*kgtoGg)</f>
        <v>-9.8745683662308046E-3</v>
      </c>
    </row>
    <row r="23" spans="1:68" x14ac:dyDescent="0.25">
      <c r="A23" t="str">
        <f t="shared" si="1"/>
        <v>3A Livestock</v>
      </c>
      <c r="B23" t="str">
        <f t="shared" si="8"/>
        <v>3A2 Manure management (CH4)</v>
      </c>
      <c r="C23" t="str">
        <f>EF!C23</f>
        <v>3A1aii Other cattle</v>
      </c>
      <c r="D23" t="str">
        <f>EF!D23</f>
        <v>Feedlot</v>
      </c>
      <c r="E23" t="str">
        <f t="shared" si="9"/>
        <v>Manure management Emissions</v>
      </c>
      <c r="F23" t="str">
        <f t="shared" si="6"/>
        <v>CH4</v>
      </c>
      <c r="G23" t="str">
        <f t="shared" si="7"/>
        <v>Gg CH4</v>
      </c>
      <c r="H23" s="28">
        <f>IF(('Activity data'!H10*EF!$H23)*kgtoGg=0,"NO",('Activity data'!H10*EF!$H23)*kgtoGg)</f>
        <v>0.3654</v>
      </c>
      <c r="I23" s="28">
        <f>IF(('Activity data'!I10*EF!$H23)*kgtoGg=0,"NO",('Activity data'!I10*EF!$H23)*kgtoGg)</f>
        <v>0.3654</v>
      </c>
      <c r="J23" s="28">
        <f>IF(('Activity data'!J10*EF!$H23)*kgtoGg=0,"NO",('Activity data'!J10*EF!$H23)*kgtoGg)</f>
        <v>0.3654</v>
      </c>
      <c r="K23" s="28">
        <f>IF(('Activity data'!K10*EF!$H23)*kgtoGg=0,"NO",('Activity data'!K10*EF!$H23)*kgtoGg)</f>
        <v>0.3654</v>
      </c>
      <c r="L23" s="28">
        <f>IF(('Activity data'!L10*EF!$H23)*kgtoGg=0,"NO",('Activity data'!L10*EF!$H23)*kgtoGg)</f>
        <v>0.3654</v>
      </c>
      <c r="M23" s="28">
        <f>IF(('Activity data'!M10*EF!$H23)*kgtoGg=0,"NO",('Activity data'!M10*EF!$H23)*kgtoGg)</f>
        <v>0.3654</v>
      </c>
      <c r="N23" s="28">
        <f>IF(('Activity data'!N10*EF!$H23)*kgtoGg=0,"NO",('Activity data'!N10*EF!$H23)*kgtoGg)</f>
        <v>0.3654</v>
      </c>
      <c r="O23" s="28">
        <f>IF(('Activity data'!O10*EF!$H23)*kgtoGg=0,"NO",('Activity data'!O10*EF!$H23)*kgtoGg)</f>
        <v>0.3654</v>
      </c>
      <c r="P23" s="28">
        <f>IF(('Activity data'!P10*EF!$H23)*kgtoGg=0,"NO",('Activity data'!P10*EF!$H23)*kgtoGg)</f>
        <v>0.3654</v>
      </c>
      <c r="Q23" s="28">
        <f>IF(('Activity data'!Q10*EF!$H23)*kgtoGg=0,"NO",('Activity data'!Q10*EF!$H23)*kgtoGg)</f>
        <v>0.3654</v>
      </c>
      <c r="R23" s="28">
        <f>IF(('Activity data'!R10*EF!$H23)*kgtoGg=0,"NO",('Activity data'!R10*EF!$H23)*kgtoGg)</f>
        <v>0.3654</v>
      </c>
      <c r="S23" s="28">
        <f>IF(('Activity data'!S10*EF!$H23)*kgtoGg=0,"NO",('Activity data'!S10*EF!$H23)*kgtoGg)</f>
        <v>0.3654</v>
      </c>
      <c r="T23" s="28">
        <f>IF(('Activity data'!T10*EF!$H23)*kgtoGg=0,"NO",('Activity data'!T10*EF!$H23)*kgtoGg)</f>
        <v>0.3654</v>
      </c>
      <c r="U23" s="28">
        <f>IF(('Activity data'!U10*EF!$H23)*kgtoGg=0,"NO",('Activity data'!U10*EF!$H23)*kgtoGg)</f>
        <v>0.3654</v>
      </c>
      <c r="V23" s="28">
        <f>IF(('Activity data'!V10*EF!$H23)*kgtoGg=0,"NO",('Activity data'!V10*EF!$H23)*kgtoGg)</f>
        <v>0.3654</v>
      </c>
      <c r="W23" s="28">
        <f>IF(('Activity data'!W10*EF!$H23)*kgtoGg=0,"NO",('Activity data'!W10*EF!$H23)*kgtoGg)</f>
        <v>0.3654</v>
      </c>
      <c r="X23" s="28">
        <f>IF(('Activity data'!X10*EF!$H23)*kgtoGg=0,"NO",('Activity data'!X10*EF!$H23)*kgtoGg)</f>
        <v>0.3654</v>
      </c>
      <c r="Y23" s="28">
        <f>IF(('Activity data'!Y10*EF!$H23)*kgtoGg=0,"NO",('Activity data'!Y10*EF!$H23)*kgtoGg)</f>
        <v>0.3654</v>
      </c>
      <c r="Z23" s="28">
        <f>IF(('Activity data'!Z10*EF!$H23)*kgtoGg=0,"NO",('Activity data'!Z10*EF!$H23)*kgtoGg)</f>
        <v>0.34029854249999997</v>
      </c>
      <c r="AA23" s="28">
        <f>IF(('Activity data'!AA10*EF!$H23)*kgtoGg=0,"NO",('Activity data'!AA10*EF!$H23)*kgtoGg)</f>
        <v>0.34871289249999998</v>
      </c>
      <c r="AB23" s="28">
        <f>IF(('Activity data'!AB10*EF!$H23)*kgtoGg=0,"NO",('Activity data'!AB10*EF!$H23)*kgtoGg)</f>
        <v>0.34784542999999996</v>
      </c>
      <c r="AC23" s="28">
        <f>IF(('Activity data'!AC10*EF!$H23)*kgtoGg=0,"NO",('Activity data'!AC10*EF!$H23)*kgtoGg)</f>
        <v>0.40176614500000002</v>
      </c>
      <c r="AD23" s="28">
        <f>IF(('Activity data'!AD10*EF!$H23)*kgtoGg=0,"NO",('Activity data'!AD10*EF!$H23)*kgtoGg)</f>
        <v>0.47365013870542771</v>
      </c>
      <c r="AE23" s="28">
        <f>IF(('Activity data'!AE10*EF!$H23)*kgtoGg=0,"NO",('Activity data'!AE10*EF!$H23)*kgtoGg)</f>
        <v>0.49051927106458876</v>
      </c>
      <c r="AF23" s="28">
        <f>IF(('Activity data'!AF10*EF!$H23)*kgtoGg=0,"NO",('Activity data'!AF10*EF!$H23)*kgtoGg)</f>
        <v>0.50390876804084606</v>
      </c>
      <c r="AG23" s="28">
        <f>IF(('Activity data'!AG10*EF!$H23)*kgtoGg=0,"NO",('Activity data'!AG10*EF!$H23)*kgtoGg)</f>
        <v>0.51218897212451775</v>
      </c>
      <c r="AH23" s="28">
        <f>IF(('Activity data'!AH10*EF!$H23)*kgtoGg=0,"NO",('Activity data'!AH10*EF!$H23)*kgtoGg)</f>
        <v>0.5204864616851187</v>
      </c>
      <c r="AI23" s="28">
        <f>IF(('Activity data'!AI10*EF!$H23)*kgtoGg=0,"NO",('Activity data'!AI10*EF!$H23)*kgtoGg)</f>
        <v>0.5315053909957832</v>
      </c>
      <c r="AJ23" s="28">
        <f>IF(('Activity data'!AJ10*EF!$H23)*kgtoGg=0,"NO",('Activity data'!AJ10*EF!$H23)*kgtoGg)</f>
        <v>0.54344267992188611</v>
      </c>
      <c r="AK23" s="28">
        <f>IF(('Activity data'!AK10*EF!$H23)*kgtoGg=0,"NO",('Activity data'!AK10*EF!$H23)*kgtoGg)</f>
        <v>0.54965498610396035</v>
      </c>
      <c r="AL23" s="28">
        <f>IF(('Activity data'!AL10*EF!$H23)*kgtoGg=0,"NO",('Activity data'!AL10*EF!$H23)*kgtoGg)</f>
        <v>0.50146701948783567</v>
      </c>
      <c r="AM23" s="28">
        <f>IF(('Activity data'!AM10*EF!$H23)*kgtoGg=0,"NO",('Activity data'!AM10*EF!$H23)*kgtoGg)</f>
        <v>0.51834473155778682</v>
      </c>
      <c r="AN23" s="28">
        <f>IF(('Activity data'!AN10*EF!$H23)*kgtoGg=0,"NO",('Activity data'!AN10*EF!$H23)*kgtoGg)</f>
        <v>0.53395156186316528</v>
      </c>
      <c r="AO23" s="28">
        <f>IF(('Activity data'!AO10*EF!$H23)*kgtoGg=0,"NO",('Activity data'!AO10*EF!$H23)*kgtoGg)</f>
        <v>0.54973255397230381</v>
      </c>
      <c r="AP23" s="28">
        <f>IF(('Activity data'!AP10*EF!$H23)*kgtoGg=0,"NO",('Activity data'!AP10*EF!$H23)*kgtoGg)</f>
        <v>0.56805189648716081</v>
      </c>
      <c r="AQ23" s="28">
        <f>IF(('Activity data'!AQ10*EF!$H23)*kgtoGg=0,"NO",('Activity data'!AQ10*EF!$H23)*kgtoGg)</f>
        <v>0.58658806930488216</v>
      </c>
      <c r="AR23" s="28">
        <f>IF(('Activity data'!AR10*EF!$H23)*kgtoGg=0,"NO",('Activity data'!AR10*EF!$H23)*kgtoGg)</f>
        <v>0.60582393990405248</v>
      </c>
      <c r="AS23" s="28">
        <f>IF(('Activity data'!AS10*EF!$H23)*kgtoGg=0,"NO",('Activity data'!AS10*EF!$H23)*kgtoGg)</f>
        <v>0.62470251247800967</v>
      </c>
      <c r="AT23" s="28">
        <f>IF(('Activity data'!AT10*EF!$H23)*kgtoGg=0,"NO",('Activity data'!AT10*EF!$H23)*kgtoGg)</f>
        <v>0.64475774385290952</v>
      </c>
      <c r="AU23" s="28">
        <f>IF(('Activity data'!AU10*EF!$H23)*kgtoGg=0,"NO",('Activity data'!AU10*EF!$H23)*kgtoGg)</f>
        <v>0.66389235390041079</v>
      </c>
      <c r="AV23" s="28">
        <f>IF(('Activity data'!AV10*EF!$H23)*kgtoGg=0,"NO",('Activity data'!AV10*EF!$H23)*kgtoGg)</f>
        <v>0.68358758575882406</v>
      </c>
      <c r="AW23" s="28">
        <f>IF(('Activity data'!AW10*EF!$H23)*kgtoGg=0,"NO",('Activity data'!AW10*EF!$H23)*kgtoGg)</f>
        <v>0.7086584440058149</v>
      </c>
      <c r="AX23" s="28">
        <f>IF(('Activity data'!AX10*EF!$H23)*kgtoGg=0,"NO",('Activity data'!AX10*EF!$H23)*kgtoGg)</f>
        <v>0.73565241500726219</v>
      </c>
      <c r="AY23" s="28">
        <f>IF(('Activity data'!AY10*EF!$H23)*kgtoGg=0,"NO",('Activity data'!AY10*EF!$H23)*kgtoGg)</f>
        <v>0.76370616641189881</v>
      </c>
      <c r="AZ23" s="28">
        <f>IF(('Activity data'!AZ10*EF!$H23)*kgtoGg=0,"NO",('Activity data'!AZ10*EF!$H23)*kgtoGg)</f>
        <v>0.77236145848334026</v>
      </c>
      <c r="BA23" s="28">
        <f>IF(('Activity data'!BA10*EF!$H23)*kgtoGg=0,"NO",('Activity data'!BA10*EF!$H23)*kgtoGg)</f>
        <v>-0.18826983110818521</v>
      </c>
      <c r="BB23" s="28">
        <f>IF(('Activity data'!BB10*EF!$H23)*kgtoGg=0,"NO",('Activity data'!BB10*EF!$H23)*kgtoGg)</f>
        <v>-0.19006759890243963</v>
      </c>
      <c r="BC23" s="28">
        <f>IF(('Activity data'!BC10*EF!$H23)*kgtoGg=0,"NO",('Activity data'!BC10*EF!$H23)*kgtoGg)</f>
        <v>-0.19187998371586665</v>
      </c>
      <c r="BD23" s="28">
        <f>IF(('Activity data'!BD10*EF!$H23)*kgtoGg=0,"NO",('Activity data'!BD10*EF!$H23)*kgtoGg)</f>
        <v>-0.19370712387762709</v>
      </c>
      <c r="BE23" s="28">
        <f>IF(('Activity data'!BE10*EF!$H23)*kgtoGg=0,"NO",('Activity data'!BE10*EF!$H23)*kgtoGg)</f>
        <v>-0.19554915895887828</v>
      </c>
      <c r="BF23" s="28">
        <f>IF(('Activity data'!BF10*EF!$H23)*kgtoGg=0,"NO",('Activity data'!BF10*EF!$H23)*kgtoGg)</f>
        <v>-0.19740622978354522</v>
      </c>
      <c r="BG23" s="28">
        <f>IF(('Activity data'!BG10*EF!$H23)*kgtoGg=0,"NO",('Activity data'!BG10*EF!$H23)*kgtoGg)</f>
        <v>-0.19889654656389008</v>
      </c>
      <c r="BH23" s="28">
        <f>IF(('Activity data'!BH10*EF!$H23)*kgtoGg=0,"NO",('Activity data'!BH10*EF!$H23)*kgtoGg)</f>
        <v>-0.20039714352450921</v>
      </c>
      <c r="BI23" s="28">
        <f>IF(('Activity data'!BI10*EF!$H23)*kgtoGg=0,"NO",('Activity data'!BI10*EF!$H23)*kgtoGg)</f>
        <v>-0.20190810202695822</v>
      </c>
      <c r="BJ23" s="28">
        <f>IF(('Activity data'!BJ10*EF!$H23)*kgtoGg=0,"NO",('Activity data'!BJ10*EF!$H23)*kgtoGg)</f>
        <v>-0.20342950404688992</v>
      </c>
      <c r="BK23" s="28">
        <f>IF(('Activity data'!BK10*EF!$H23)*kgtoGg=0,"NO",('Activity data'!BK10*EF!$H23)*kgtoGg)</f>
        <v>-0.20496143217854407</v>
      </c>
      <c r="BL23" s="28">
        <f>IF(('Activity data'!BL10*EF!$H23)*kgtoGg=0,"NO",('Activity data'!BL10*EF!$H23)*kgtoGg)</f>
        <v>-0.20636362268300526</v>
      </c>
      <c r="BM23" s="28">
        <f>IF(('Activity data'!BM10*EF!$H23)*kgtoGg=0,"NO",('Activity data'!BM10*EF!$H23)*kgtoGg)</f>
        <v>-0.20777388296351235</v>
      </c>
      <c r="BN23" s="28">
        <f>IF(('Activity data'!BN10*EF!$H23)*kgtoGg=0,"NO",('Activity data'!BN10*EF!$H23)*kgtoGg)</f>
        <v>-0.20919226640364996</v>
      </c>
      <c r="BO23" s="28">
        <f>IF(('Activity data'!BO10*EF!$H23)*kgtoGg=0,"NO",('Activity data'!BO10*EF!$H23)*kgtoGg)</f>
        <v>-0.21061882672173884</v>
      </c>
      <c r="BP23" s="28">
        <f>IF(('Activity data'!BP10*EF!$H23)*kgtoGg=0,"NO",('Activity data'!BP10*EF!$H23)*kgtoGg)</f>
        <v>-0.2120536179728616</v>
      </c>
    </row>
    <row r="24" spans="1:68" x14ac:dyDescent="0.25">
      <c r="A24" t="str">
        <f t="shared" si="1"/>
        <v>3A Livestock</v>
      </c>
      <c r="B24" t="str">
        <f t="shared" si="8"/>
        <v>3A2 Manure management (CH4)</v>
      </c>
      <c r="C24" t="str">
        <f>EF!C24</f>
        <v>3A1c Sheep</v>
      </c>
      <c r="D24" t="str">
        <f>EF!D24</f>
        <v>Commercial</v>
      </c>
      <c r="E24" t="str">
        <f t="shared" si="9"/>
        <v>Manure management Emissions</v>
      </c>
      <c r="F24" t="str">
        <f t="shared" si="6"/>
        <v>CH4</v>
      </c>
      <c r="G24" t="str">
        <f t="shared" si="7"/>
        <v>Gg CH4</v>
      </c>
      <c r="H24" s="28">
        <f>IF(('Activity data'!H11*EF!$H24)*kgtoGg=0,"NO",('Activity data'!H11*EF!$H24)*kgtoGg)</f>
        <v>5.683257382813009E-2</v>
      </c>
      <c r="I24" s="28">
        <f>IF(('Activity data'!I11*EF!$H24)*kgtoGg=0,"NO",('Activity data'!I11*EF!$H24)*kgtoGg)</f>
        <v>5.427710801805239E-2</v>
      </c>
      <c r="J24" s="28">
        <f>IF(('Activity data'!J11*EF!$H24)*kgtoGg=0,"NO",('Activity data'!J11*EF!$H24)*kgtoGg)</f>
        <v>5.2034440322709721E-2</v>
      </c>
      <c r="K24" s="28">
        <f>IF(('Activity data'!K11*EF!$H24)*kgtoGg=0,"NO",('Activity data'!K11*EF!$H24)*kgtoGg)</f>
        <v>4.8663803668171031E-2</v>
      </c>
      <c r="L24" s="28">
        <f>IF(('Activity data'!L11*EF!$H24)*kgtoGg=0,"NO",('Activity data'!L11*EF!$H24)*kgtoGg)</f>
        <v>4.9006933721304616E-2</v>
      </c>
      <c r="M24" s="28">
        <f>IF(('Activity data'!M11*EF!$H24)*kgtoGg=0,"NO",('Activity data'!M11*EF!$H24)*kgtoGg)</f>
        <v>4.8305507645838179E-2</v>
      </c>
      <c r="N24" s="28">
        <f>IF(('Activity data'!N11*EF!$H24)*kgtoGg=0,"NO",('Activity data'!N11*EF!$H24)*kgtoGg)</f>
        <v>4.846664606858047E-2</v>
      </c>
      <c r="O24" s="28">
        <f>IF(('Activity data'!O11*EF!$H24)*kgtoGg=0,"NO",('Activity data'!O11*EF!$H24)*kgtoGg)</f>
        <v>4.7412611209230918E-2</v>
      </c>
      <c r="P24" s="28">
        <f>IF(('Activity data'!P11*EF!$H24)*kgtoGg=0,"NO",('Activity data'!P11*EF!$H24)*kgtoGg)</f>
        <v>4.7543417693574654E-2</v>
      </c>
      <c r="Q24" s="28">
        <f>IF(('Activity data'!Q11*EF!$H24)*kgtoGg=0,"NO",('Activity data'!Q11*EF!$H24)*kgtoGg)</f>
        <v>4.637563806523054E-2</v>
      </c>
      <c r="R24" s="28">
        <f>IF(('Activity data'!R11*EF!$H24)*kgtoGg=0,"NO",('Activity data'!R11*EF!$H24)*kgtoGg)</f>
        <v>4.4713068691760109E-2</v>
      </c>
      <c r="S24" s="28">
        <f>IF(('Activity data'!S11*EF!$H24)*kgtoGg=0,"NO",('Activity data'!S11*EF!$H24)*kgtoGg)</f>
        <v>4.3598369955613454E-2</v>
      </c>
      <c r="T24" s="28">
        <f>IF(('Activity data'!T11*EF!$H24)*kgtoGg=0,"NO",('Activity data'!T11*EF!$H24)*kgtoGg)</f>
        <v>4.2870403434048299E-2</v>
      </c>
      <c r="U24" s="28">
        <f>IF(('Activity data'!U11*EF!$H24)*kgtoGg=0,"NO",('Activity data'!U11*EF!$H24)*kgtoGg)</f>
        <v>4.3020167379891124E-2</v>
      </c>
      <c r="V24" s="28">
        <f>IF(('Activity data'!V11*EF!$H24)*kgtoGg=0,"NO",('Activity data'!V11*EF!$H24)*kgtoGg)</f>
        <v>4.2254285935327783E-2</v>
      </c>
      <c r="W24" s="28">
        <f>IF(('Activity data'!W11*EF!$H24)*kgtoGg=0,"NO",('Activity data'!W11*EF!$H24)*kgtoGg)</f>
        <v>4.2153811389382595E-2</v>
      </c>
      <c r="X24" s="28">
        <f>IF(('Activity data'!X11*EF!$H24)*kgtoGg=0,"NO",('Activity data'!X11*EF!$H24)*kgtoGg)</f>
        <v>4.1602149259758997E-2</v>
      </c>
      <c r="Y24" s="28">
        <f>IF(('Activity data'!Y11*EF!$H24)*kgtoGg=0,"NO",('Activity data'!Y11*EF!$H24)*kgtoGg)</f>
        <v>4.1562338590610905E-2</v>
      </c>
      <c r="Z24" s="28">
        <f>IF(('Activity data'!Z11*EF!$H24)*kgtoGg=0,"NO",('Activity data'!Z11*EF!$H24)*kgtoGg)</f>
        <v>4.1696936567254456E-2</v>
      </c>
      <c r="AA24" s="28">
        <f>IF(('Activity data'!AA11*EF!$H24)*kgtoGg=0,"NO",('Activity data'!AA11*EF!$H24)*kgtoGg)</f>
        <v>4.1549068367561531E-2</v>
      </c>
      <c r="AB24" s="28">
        <f>IF(('Activity data'!AB11*EF!$H24)*kgtoGg=0,"NO",('Activity data'!AB11*EF!$H24)*kgtoGg)</f>
        <v>4.0745272000000006E-2</v>
      </c>
      <c r="AC24" s="28">
        <f>IF(('Activity data'!AC11*EF!$H24)*kgtoGg=0,"NO",('Activity data'!AC11*EF!$H24)*kgtoGg)</f>
        <v>4.042678664681524E-2</v>
      </c>
      <c r="AD24" s="28">
        <f>IF(('Activity data'!AD11*EF!$H24)*kgtoGg=0,"NO",('Activity data'!AD11*EF!$H24)*kgtoGg)</f>
        <v>3.6053921478906167E-2</v>
      </c>
      <c r="AE24" s="28">
        <f>IF(('Activity data'!AE11*EF!$H24)*kgtoGg=0,"NO",('Activity data'!AE11*EF!$H24)*kgtoGg)</f>
        <v>3.6073610217126503E-2</v>
      </c>
      <c r="AF24" s="28">
        <f>IF(('Activity data'!AF11*EF!$H24)*kgtoGg=0,"NO",('Activity data'!AF11*EF!$H24)*kgtoGg)</f>
        <v>3.6117697084082141E-2</v>
      </c>
      <c r="AG24" s="28">
        <f>IF(('Activity data'!AG11*EF!$H24)*kgtoGg=0,"NO",('Activity data'!AG11*EF!$H24)*kgtoGg)</f>
        <v>3.618405707434337E-2</v>
      </c>
      <c r="AH24" s="28">
        <f>IF(('Activity data'!AH11*EF!$H24)*kgtoGg=0,"NO",('Activity data'!AH11*EF!$H24)*kgtoGg)</f>
        <v>3.6273578032260737E-2</v>
      </c>
      <c r="AI24" s="28">
        <f>IF(('Activity data'!AI11*EF!$H24)*kgtoGg=0,"NO",('Activity data'!AI11*EF!$H24)*kgtoGg)</f>
        <v>3.6386354948245533E-2</v>
      </c>
      <c r="AJ24" s="28">
        <f>IF(('Activity data'!AJ11*EF!$H24)*kgtoGg=0,"NO",('Activity data'!AJ11*EF!$H24)*kgtoGg)</f>
        <v>3.6511983860861394E-2</v>
      </c>
      <c r="AK24" s="28">
        <f>IF(('Activity data'!AK11*EF!$H24)*kgtoGg=0,"NO",('Activity data'!AK11*EF!$H24)*kgtoGg)</f>
        <v>3.6648137011074396E-2</v>
      </c>
      <c r="AL24" s="28">
        <f>IF(('Activity data'!AL11*EF!$H24)*kgtoGg=0,"NO",('Activity data'!AL11*EF!$H24)*kgtoGg)</f>
        <v>3.6776081758532232E-2</v>
      </c>
      <c r="AM24" s="28">
        <f>IF(('Activity data'!AM11*EF!$H24)*kgtoGg=0,"NO",('Activity data'!AM11*EF!$H24)*kgtoGg)</f>
        <v>3.6829526757110792E-2</v>
      </c>
      <c r="AN24" s="28">
        <f>IF(('Activity data'!AN11*EF!$H24)*kgtoGg=0,"NO",('Activity data'!AN11*EF!$H24)*kgtoGg)</f>
        <v>3.6891543145696586E-2</v>
      </c>
      <c r="AO24" s="28">
        <f>IF(('Activity data'!AO11*EF!$H24)*kgtoGg=0,"NO",('Activity data'!AO11*EF!$H24)*kgtoGg)</f>
        <v>3.6962118208236874E-2</v>
      </c>
      <c r="AP24" s="28">
        <f>IF(('Activity data'!AP11*EF!$H24)*kgtoGg=0,"NO",('Activity data'!AP11*EF!$H24)*kgtoGg)</f>
        <v>3.7041617602425879E-2</v>
      </c>
      <c r="AQ24" s="28">
        <f>IF(('Activity data'!AQ11*EF!$H24)*kgtoGg=0,"NO",('Activity data'!AQ11*EF!$H24)*kgtoGg)</f>
        <v>3.71287668347723E-2</v>
      </c>
      <c r="AR24" s="28">
        <f>IF(('Activity data'!AR11*EF!$H24)*kgtoGg=0,"NO",('Activity data'!AR11*EF!$H24)*kgtoGg)</f>
        <v>3.7182413833591089E-2</v>
      </c>
      <c r="AS24" s="28">
        <f>IF(('Activity data'!AS11*EF!$H24)*kgtoGg=0,"NO",('Activity data'!AS11*EF!$H24)*kgtoGg)</f>
        <v>3.7242338638937944E-2</v>
      </c>
      <c r="AT24" s="28">
        <f>IF(('Activity data'!AT11*EF!$H24)*kgtoGg=0,"NO",('Activity data'!AT11*EF!$H24)*kgtoGg)</f>
        <v>3.7308758714658788E-2</v>
      </c>
      <c r="AU24" s="28">
        <f>IF(('Activity data'!AU11*EF!$H24)*kgtoGg=0,"NO",('Activity data'!AU11*EF!$H24)*kgtoGg)</f>
        <v>3.7380653555679967E-2</v>
      </c>
      <c r="AV24" s="28">
        <f>IF(('Activity data'!AV11*EF!$H24)*kgtoGg=0,"NO",('Activity data'!AV11*EF!$H24)*kgtoGg)</f>
        <v>3.7458280228605825E-2</v>
      </c>
      <c r="AW24" s="28">
        <f>IF(('Activity data'!AW11*EF!$H24)*kgtoGg=0,"NO",('Activity data'!AW11*EF!$H24)*kgtoGg)</f>
        <v>3.7509383313851091E-2</v>
      </c>
      <c r="AX24" s="28">
        <f>IF(('Activity data'!AX11*EF!$H24)*kgtoGg=0,"NO",('Activity data'!AX11*EF!$H24)*kgtoGg)</f>
        <v>3.7565861655525674E-2</v>
      </c>
      <c r="AY24" s="28">
        <f>IF(('Activity data'!AY11*EF!$H24)*kgtoGg=0,"NO",('Activity data'!AY11*EF!$H24)*kgtoGg)</f>
        <v>3.7627207315702967E-2</v>
      </c>
      <c r="AZ24" s="28">
        <f>IF(('Activity data'!AZ11*EF!$H24)*kgtoGg=0,"NO",('Activity data'!AZ11*EF!$H24)*kgtoGg)</f>
        <v>3.7686475047494471E-2</v>
      </c>
      <c r="BA24" s="28">
        <f>IF(('Activity data'!BA11*EF!$H24)*kgtoGg=0,"NO",('Activity data'!BA11*EF!$H24)*kgtoGg)</f>
        <v>3.7433087747828976E-2</v>
      </c>
      <c r="BB24" s="28">
        <f>IF(('Activity data'!BB11*EF!$H24)*kgtoGg=0,"NO",('Activity data'!BB11*EF!$H24)*kgtoGg)</f>
        <v>3.7469072750832028E-2</v>
      </c>
      <c r="BC24" s="28">
        <f>IF(('Activity data'!BC11*EF!$H24)*kgtoGg=0,"NO",('Activity data'!BC11*EF!$H24)*kgtoGg)</f>
        <v>3.750878237989342E-2</v>
      </c>
      <c r="BD24" s="28">
        <f>IF(('Activity data'!BD11*EF!$H24)*kgtoGg=0,"NO",('Activity data'!BD11*EF!$H24)*kgtoGg)</f>
        <v>3.7552075921765626E-2</v>
      </c>
      <c r="BE24" s="28">
        <f>IF(('Activity data'!BE11*EF!$H24)*kgtoGg=0,"NO",('Activity data'!BE11*EF!$H24)*kgtoGg)</f>
        <v>3.7598823539459238E-2</v>
      </c>
      <c r="BF24" s="28">
        <f>IF(('Activity data'!BF11*EF!$H24)*kgtoGg=0,"NO",('Activity data'!BF11*EF!$H24)*kgtoGg)</f>
        <v>3.7648905240168402E-2</v>
      </c>
      <c r="BG24" s="28">
        <f>IF(('Activity data'!BG11*EF!$H24)*kgtoGg=0,"NO",('Activity data'!BG11*EF!$H24)*kgtoGg)</f>
        <v>3.76732099349424E-2</v>
      </c>
      <c r="BH24" s="28">
        <f>IF(('Activity data'!BH11*EF!$H24)*kgtoGg=0,"NO",('Activity data'!BH11*EF!$H24)*kgtoGg)</f>
        <v>3.7700452169156254E-2</v>
      </c>
      <c r="BI24" s="28">
        <f>IF(('Activity data'!BI11*EF!$H24)*kgtoGg=0,"NO",('Activity data'!BI11*EF!$H24)*kgtoGg)</f>
        <v>3.7730529709511379E-2</v>
      </c>
      <c r="BJ24" s="28">
        <f>IF(('Activity data'!BJ11*EF!$H24)*kgtoGg=0,"NO",('Activity data'!BJ11*EF!$H24)*kgtoGg)</f>
        <v>3.7763347319933152E-2</v>
      </c>
      <c r="BK24" s="28">
        <f>IF(('Activity data'!BK11*EF!$H24)*kgtoGg=0,"NO",('Activity data'!BK11*EF!$H24)*kgtoGg)</f>
        <v>3.7798816167122655E-2</v>
      </c>
      <c r="BL24" s="28">
        <f>IF(('Activity data'!BL11*EF!$H24)*kgtoGg=0,"NO",('Activity data'!BL11*EF!$H24)*kgtoGg)</f>
        <v>3.7807565900273503E-2</v>
      </c>
      <c r="BM24" s="28">
        <f>IF(('Activity data'!BM11*EF!$H24)*kgtoGg=0,"NO",('Activity data'!BM11*EF!$H24)*kgtoGg)</f>
        <v>3.7818668604843612E-2</v>
      </c>
      <c r="BN24" s="28">
        <f>IF(('Activity data'!BN11*EF!$H24)*kgtoGg=0,"NO",('Activity data'!BN11*EF!$H24)*kgtoGg)</f>
        <v>3.7832046350463708E-2</v>
      </c>
      <c r="BO24" s="28">
        <f>IF(('Activity data'!BO11*EF!$H24)*kgtoGg=0,"NO",('Activity data'!BO11*EF!$H24)*kgtoGg)</f>
        <v>3.7847625965531671E-2</v>
      </c>
      <c r="BP24" s="28">
        <f>IF(('Activity data'!BP11*EF!$H24)*kgtoGg=0,"NO",('Activity data'!BP11*EF!$H24)*kgtoGg)</f>
        <v>3.7865338671255785E-2</v>
      </c>
    </row>
    <row r="25" spans="1:68" x14ac:dyDescent="0.25">
      <c r="A25" t="str">
        <f t="shared" si="1"/>
        <v>3A Livestock</v>
      </c>
      <c r="B25" t="str">
        <f t="shared" si="8"/>
        <v>3A2 Manure management (CH4)</v>
      </c>
      <c r="C25" t="str">
        <f>EF!C25</f>
        <v>3A1c Sheep</v>
      </c>
      <c r="D25" t="str">
        <f>EF!D25</f>
        <v>Subsistence</v>
      </c>
      <c r="E25" t="str">
        <f t="shared" si="9"/>
        <v>Manure management Emissions</v>
      </c>
      <c r="F25" t="str">
        <f t="shared" si="6"/>
        <v>CH4</v>
      </c>
      <c r="G25" t="str">
        <f t="shared" si="7"/>
        <v>Gg CH4</v>
      </c>
      <c r="H25" s="28">
        <f>IF(('Activity data'!H12*EF!$H25)*kgtoGg=0,"NO",('Activity data'!H12*EF!$H25)*kgtoGg)</f>
        <v>6.0620252936525133E-3</v>
      </c>
      <c r="I25" s="28">
        <f>IF(('Activity data'!I12*EF!$H25)*kgtoGg=0,"NO",('Activity data'!I12*EF!$H25)*kgtoGg)</f>
        <v>5.7894474859923658E-3</v>
      </c>
      <c r="J25" s="28">
        <f>IF(('Activity data'!J12*EF!$H25)*kgtoGg=0,"NO",('Activity data'!J12*EF!$H25)*kgtoGg)</f>
        <v>5.550234172593288E-3</v>
      </c>
      <c r="K25" s="28">
        <f>IF(('Activity data'!K12*EF!$H25)*kgtoGg=0,"NO",('Activity data'!K12*EF!$H25)*kgtoGg)</f>
        <v>5.1907064707982266E-3</v>
      </c>
      <c r="L25" s="28">
        <f>IF(('Activity data'!L12*EF!$H25)*kgtoGg=0,"NO",('Activity data'!L12*EF!$H25)*kgtoGg)</f>
        <v>5.2273063099573412E-3</v>
      </c>
      <c r="M25" s="28">
        <f>IF(('Activity data'!M12*EF!$H25)*kgtoGg=0,"NO",('Activity data'!M12*EF!$H25)*kgtoGg)</f>
        <v>5.1524889591900904E-3</v>
      </c>
      <c r="N25" s="28">
        <f>IF(('Activity data'!N12*EF!$H25)*kgtoGg=0,"NO",('Activity data'!N12*EF!$H25)*kgtoGg)</f>
        <v>5.1696767289609452E-3</v>
      </c>
      <c r="O25" s="28">
        <f>IF(('Activity data'!O12*EF!$H25)*kgtoGg=0,"NO",('Activity data'!O12*EF!$H25)*kgtoGg)</f>
        <v>5.0572484937539399E-3</v>
      </c>
      <c r="P25" s="28">
        <f>IF(('Activity data'!P12*EF!$H25)*kgtoGg=0,"NO",('Activity data'!P12*EF!$H25)*kgtoGg)</f>
        <v>5.0712009186267681E-3</v>
      </c>
      <c r="Q25" s="28">
        <f>IF(('Activity data'!Q12*EF!$H25)*kgtoGg=0,"NO",('Activity data'!Q12*EF!$H25)*kgtoGg)</f>
        <v>4.9466401400521005E-3</v>
      </c>
      <c r="R25" s="28">
        <f>IF(('Activity data'!R12*EF!$H25)*kgtoGg=0,"NO",('Activity data'!R12*EF!$H25)*kgtoGg)</f>
        <v>4.7693027978281018E-3</v>
      </c>
      <c r="S25" s="28">
        <f>IF(('Activity data'!S12*EF!$H25)*kgtoGg=0,"NO",('Activity data'!S12*EF!$H25)*kgtoGg)</f>
        <v>4.6504038728250093E-3</v>
      </c>
      <c r="T25" s="28">
        <f>IF(('Activity data'!T12*EF!$H25)*kgtoGg=0,"NO",('Activity data'!T12*EF!$H25)*kgtoGg)</f>
        <v>4.5727555952719701E-3</v>
      </c>
      <c r="U25" s="28">
        <f>IF(('Activity data'!U12*EF!$H25)*kgtoGg=0,"NO",('Activity data'!U12*EF!$H25)*kgtoGg)</f>
        <v>4.588730110706059E-3</v>
      </c>
      <c r="V25" s="28">
        <f>IF(('Activity data'!V12*EF!$H25)*kgtoGg=0,"NO",('Activity data'!V12*EF!$H25)*kgtoGg)</f>
        <v>4.5070376520304645E-3</v>
      </c>
      <c r="W25" s="28">
        <f>IF(('Activity data'!W12*EF!$H25)*kgtoGg=0,"NO",('Activity data'!W12*EF!$H25)*kgtoGg)</f>
        <v>4.4963205720556969E-3</v>
      </c>
      <c r="X25" s="28">
        <f>IF(('Activity data'!X12*EF!$H25)*kgtoGg=0,"NO",('Activity data'!X12*EF!$H25)*kgtoGg)</f>
        <v>4.4374777367225341E-3</v>
      </c>
      <c r="Y25" s="28">
        <f>IF(('Activity data'!Y12*EF!$H25)*kgtoGg=0,"NO",('Activity data'!Y12*EF!$H25)*kgtoGg)</f>
        <v>4.4332313465438519E-3</v>
      </c>
      <c r="Z25" s="28">
        <f>IF(('Activity data'!Z12*EF!$H25)*kgtoGg=0,"NO",('Activity data'!Z12*EF!$H25)*kgtoGg)</f>
        <v>4.4475881895289192E-3</v>
      </c>
      <c r="AA25" s="28">
        <f>IF(('Activity data'!AA12*EF!$H25)*kgtoGg=0,"NO",('Activity data'!AA12*EF!$H25)*kgtoGg)</f>
        <v>4.4318158831509582E-3</v>
      </c>
      <c r="AB25" s="28">
        <f>IF(('Activity data'!AB12*EF!$H25)*kgtoGg=0,"NO",('Activity data'!AB12*EF!$H25)*kgtoGg)</f>
        <v>4.3460792433528102E-3</v>
      </c>
      <c r="AC25" s="28">
        <f>IF(('Activity data'!AC12*EF!$H25)*kgtoGg=0,"NO",('Activity data'!AC12*EF!$H25)*kgtoGg)</f>
        <v>4.3121081219233554E-3</v>
      </c>
      <c r="AD25" s="28">
        <f>IF(('Activity data'!AD12*EF!$H25)*kgtoGg=0,"NO",('Activity data'!AD12*EF!$H25)*kgtoGg)</f>
        <v>4.1175296849015851E-3</v>
      </c>
      <c r="AE25" s="28">
        <f>IF(('Activity data'!AE12*EF!$H25)*kgtoGg=0,"NO",('Activity data'!AE12*EF!$H25)*kgtoGg)</f>
        <v>4.1197782326532605E-3</v>
      </c>
      <c r="AF25" s="28">
        <f>IF(('Activity data'!AF12*EF!$H25)*kgtoGg=0,"NO",('Activity data'!AF12*EF!$H25)*kgtoGg)</f>
        <v>4.1248131630008617E-3</v>
      </c>
      <c r="AG25" s="28">
        <f>IF(('Activity data'!AG12*EF!$H25)*kgtoGg=0,"NO",('Activity data'!AG12*EF!$H25)*kgtoGg)</f>
        <v>4.1323917901954152E-3</v>
      </c>
      <c r="AH25" s="28">
        <f>IF(('Activity data'!AH12*EF!$H25)*kgtoGg=0,"NO",('Activity data'!AH12*EF!$H25)*kgtoGg)</f>
        <v>4.1426155102936933E-3</v>
      </c>
      <c r="AI25" s="28">
        <f>IF(('Activity data'!AI12*EF!$H25)*kgtoGg=0,"NO",('Activity data'!AI12*EF!$H25)*kgtoGg)</f>
        <v>4.1554951716534349E-3</v>
      </c>
      <c r="AJ25" s="28">
        <f>IF(('Activity data'!AJ12*EF!$H25)*kgtoGg=0,"NO",('Activity data'!AJ12*EF!$H25)*kgtoGg)</f>
        <v>4.1698425922878412E-3</v>
      </c>
      <c r="AK25" s="28">
        <f>IF(('Activity data'!AK12*EF!$H25)*kgtoGg=0,"NO",('Activity data'!AK12*EF!$H25)*kgtoGg)</f>
        <v>4.1853919310199088E-3</v>
      </c>
      <c r="AL25" s="28">
        <f>IF(('Activity data'!AL12*EF!$H25)*kgtoGg=0,"NO",('Activity data'!AL12*EF!$H25)*kgtoGg)</f>
        <v>4.2000038310317607E-3</v>
      </c>
      <c r="AM25" s="28">
        <f>IF(('Activity data'!AM12*EF!$H25)*kgtoGg=0,"NO",('Activity data'!AM12*EF!$H25)*kgtoGg)</f>
        <v>4.2061075046164898E-3</v>
      </c>
      <c r="AN25" s="28">
        <f>IF(('Activity data'!AN12*EF!$H25)*kgtoGg=0,"NO",('Activity data'!AN12*EF!$H25)*kgtoGg)</f>
        <v>4.2131900717958127E-3</v>
      </c>
      <c r="AO25" s="28">
        <f>IF(('Activity data'!AO12*EF!$H25)*kgtoGg=0,"NO",('Activity data'!AO12*EF!$H25)*kgtoGg)</f>
        <v>4.2212500803358944E-3</v>
      </c>
      <c r="AP25" s="28">
        <f>IF(('Activity data'!AP12*EF!$H25)*kgtoGg=0,"NO",('Activity data'!AP12*EF!$H25)*kgtoGg)</f>
        <v>4.2303292900883332E-3</v>
      </c>
      <c r="AQ25" s="28">
        <f>IF(('Activity data'!AQ12*EF!$H25)*kgtoGg=0,"NO",('Activity data'!AQ12*EF!$H25)*kgtoGg)</f>
        <v>4.2402821478215117E-3</v>
      </c>
      <c r="AR25" s="28">
        <f>IF(('Activity data'!AR12*EF!$H25)*kgtoGg=0,"NO",('Activity data'!AR12*EF!$H25)*kgtoGg)</f>
        <v>4.2464088907965165E-3</v>
      </c>
      <c r="AS25" s="28">
        <f>IF(('Activity data'!AS12*EF!$H25)*kgtoGg=0,"NO",('Activity data'!AS12*EF!$H25)*kgtoGg)</f>
        <v>4.2532525892003629E-3</v>
      </c>
      <c r="AT25" s="28">
        <f>IF(('Activity data'!AT12*EF!$H25)*kgtoGg=0,"NO",('Activity data'!AT12*EF!$H25)*kgtoGg)</f>
        <v>4.2608380784408054E-3</v>
      </c>
      <c r="AU25" s="28">
        <f>IF(('Activity data'!AU12*EF!$H25)*kgtoGg=0,"NO",('Activity data'!AU12*EF!$H25)*kgtoGg)</f>
        <v>4.2690488119741668E-3</v>
      </c>
      <c r="AV25" s="28">
        <f>IF(('Activity data'!AV12*EF!$H25)*kgtoGg=0,"NO",('Activity data'!AV12*EF!$H25)*kgtoGg)</f>
        <v>4.2779141480319745E-3</v>
      </c>
      <c r="AW25" s="28">
        <f>IF(('Activity data'!AW12*EF!$H25)*kgtoGg=0,"NO",('Activity data'!AW12*EF!$H25)*kgtoGg)</f>
        <v>4.2837503639512487E-3</v>
      </c>
      <c r="AX25" s="28">
        <f>IF(('Activity data'!AX12*EF!$H25)*kgtoGg=0,"NO",('Activity data'!AX12*EF!$H25)*kgtoGg)</f>
        <v>4.2902004597760585E-3</v>
      </c>
      <c r="AY25" s="28">
        <f>IF(('Activity data'!AY12*EF!$H25)*kgtoGg=0,"NO",('Activity data'!AY12*EF!$H25)*kgtoGg)</f>
        <v>4.2972064265740855E-3</v>
      </c>
      <c r="AZ25" s="28">
        <f>IF(('Activity data'!AZ12*EF!$H25)*kgtoGg=0,"NO",('Activity data'!AZ12*EF!$H25)*kgtoGg)</f>
        <v>4.3039750840459523E-3</v>
      </c>
      <c r="BA25" s="28">
        <f>IF(('Activity data'!BA12*EF!$H25)*kgtoGg=0,"NO",('Activity data'!BA12*EF!$H25)*kgtoGg)</f>
        <v>4.2750370466466056E-3</v>
      </c>
      <c r="BB25" s="28">
        <f>IF(('Activity data'!BB12*EF!$H25)*kgtoGg=0,"NO",('Activity data'!BB12*EF!$H25)*kgtoGg)</f>
        <v>4.2791467055130613E-3</v>
      </c>
      <c r="BC25" s="28">
        <f>IF(('Activity data'!BC12*EF!$H25)*kgtoGg=0,"NO",('Activity data'!BC12*EF!$H25)*kgtoGg)</f>
        <v>4.2836817344289136E-3</v>
      </c>
      <c r="BD25" s="28">
        <f>IF(('Activity data'!BD12*EF!$H25)*kgtoGg=0,"NO",('Activity data'!BD12*EF!$H25)*kgtoGg)</f>
        <v>4.2886260632705817E-3</v>
      </c>
      <c r="BE25" s="28">
        <f>IF(('Activity data'!BE12*EF!$H25)*kgtoGg=0,"NO",('Activity data'!BE12*EF!$H25)*kgtoGg)</f>
        <v>4.2939648640350006E-3</v>
      </c>
      <c r="BF25" s="28">
        <f>IF(('Activity data'!BF12*EF!$H25)*kgtoGg=0,"NO",('Activity data'!BF12*EF!$H25)*kgtoGg)</f>
        <v>4.2996844329717928E-3</v>
      </c>
      <c r="BG25" s="28">
        <f>IF(('Activity data'!BG12*EF!$H25)*kgtoGg=0,"NO",('Activity data'!BG12*EF!$H25)*kgtoGg)</f>
        <v>4.3024601449639811E-3</v>
      </c>
      <c r="BH25" s="28">
        <f>IF(('Activity data'!BH12*EF!$H25)*kgtoGg=0,"NO",('Activity data'!BH12*EF!$H25)*kgtoGg)</f>
        <v>4.3055713379620639E-3</v>
      </c>
      <c r="BI25" s="28">
        <f>IF(('Activity data'!BI12*EF!$H25)*kgtoGg=0,"NO",('Activity data'!BI12*EF!$H25)*kgtoGg)</f>
        <v>4.3090063364360429E-3</v>
      </c>
      <c r="BJ25" s="28">
        <f>IF(('Activity data'!BJ12*EF!$H25)*kgtoGg=0,"NO",('Activity data'!BJ12*EF!$H25)*kgtoGg)</f>
        <v>4.3127542639722558E-3</v>
      </c>
      <c r="BK25" s="28">
        <f>IF(('Activity data'!BK12*EF!$H25)*kgtoGg=0,"NO",('Activity data'!BK12*EF!$H25)*kgtoGg)</f>
        <v>4.3168049753845332E-3</v>
      </c>
      <c r="BL25" s="28">
        <f>IF(('Activity data'!BL12*EF!$H25)*kgtoGg=0,"NO",('Activity data'!BL12*EF!$H25)*kgtoGg)</f>
        <v>4.3178042366162055E-3</v>
      </c>
      <c r="BM25" s="28">
        <f>IF(('Activity data'!BM12*EF!$H25)*kgtoGg=0,"NO",('Activity data'!BM12*EF!$H25)*kgtoGg)</f>
        <v>4.3190722183994593E-3</v>
      </c>
      <c r="BN25" s="28">
        <f>IF(('Activity data'!BN12*EF!$H25)*kgtoGg=0,"NO",('Activity data'!BN12*EF!$H25)*kgtoGg)</f>
        <v>4.3206000207146669E-3</v>
      </c>
      <c r="BO25" s="28">
        <f>IF(('Activity data'!BO12*EF!$H25)*kgtoGg=0,"NO",('Activity data'!BO12*EF!$H25)*kgtoGg)</f>
        <v>4.3223792870160944E-3</v>
      </c>
      <c r="BP25" s="28">
        <f>IF(('Activity data'!BP12*EF!$H25)*kgtoGg=0,"NO",('Activity data'!BP12*EF!$H25)*kgtoGg)</f>
        <v>4.3244021624378867E-3</v>
      </c>
    </row>
    <row r="26" spans="1:68" x14ac:dyDescent="0.25">
      <c r="A26" t="str">
        <f t="shared" si="1"/>
        <v>3A Livestock</v>
      </c>
      <c r="B26" t="str">
        <f t="shared" si="8"/>
        <v>3A2 Manure management (CH4)</v>
      </c>
      <c r="C26" t="str">
        <f>EF!C26</f>
        <v>3A1d Goats</v>
      </c>
      <c r="D26" t="str">
        <f>EF!D26</f>
        <v>Commercial</v>
      </c>
      <c r="E26" t="str">
        <f t="shared" si="9"/>
        <v>Manure management Emissions</v>
      </c>
      <c r="F26" t="str">
        <f t="shared" si="6"/>
        <v>CH4</v>
      </c>
      <c r="G26" t="str">
        <f t="shared" si="7"/>
        <v>Gg CH4</v>
      </c>
      <c r="H26" s="28">
        <f>IF(('Activity data'!H13*EF!$H26)*kgtoGg=0,"NO",('Activity data'!H13*EF!$H26)*kgtoGg)</f>
        <v>2.1179239085185406E-2</v>
      </c>
      <c r="I26" s="28">
        <f>IF(('Activity data'!I13*EF!$H26)*kgtoGg=0,"NO",('Activity data'!I13*EF!$H26)*kgtoGg)</f>
        <v>1.872843312038926E-2</v>
      </c>
      <c r="J26" s="28">
        <f>IF(('Activity data'!J13*EF!$H26)*kgtoGg=0,"NO",('Activity data'!J13*EF!$H26)*kgtoGg)</f>
        <v>1.7445768316383788E-2</v>
      </c>
      <c r="K26" s="28">
        <f>IF(('Activity data'!K13*EF!$H26)*kgtoGg=0,"NO",('Activity data'!K13*EF!$H26)*kgtoGg)</f>
        <v>1.6483769713379698E-2</v>
      </c>
      <c r="L26" s="28">
        <f>IF(('Activity data'!L13*EF!$H26)*kgtoGg=0,"NO",('Activity data'!L13*EF!$H26)*kgtoGg)</f>
        <v>1.7842783612861672E-2</v>
      </c>
      <c r="M26" s="28">
        <f>IF(('Activity data'!M13*EF!$H26)*kgtoGg=0,"NO",('Activity data'!M13*EF!$H26)*kgtoGg)</f>
        <v>1.8087100718386526E-2</v>
      </c>
      <c r="N26" s="28">
        <f>IF(('Activity data'!N13*EF!$H26)*kgtoGg=0,"NO",('Activity data'!N13*EF!$H26)*kgtoGg)</f>
        <v>1.8369592371649628E-2</v>
      </c>
      <c r="O26" s="28">
        <f>IF(('Activity data'!O13*EF!$H26)*kgtoGg=0,"NO",('Activity data'!O13*EF!$H26)*kgtoGg)</f>
        <v>1.8277973457077813E-2</v>
      </c>
      <c r="P26" s="28">
        <f>IF(('Activity data'!P13*EF!$H26)*kgtoGg=0,"NO",('Activity data'!P13*EF!$H26)*kgtoGg)</f>
        <v>1.8018386532457662E-2</v>
      </c>
      <c r="Q26" s="28">
        <f>IF(('Activity data'!Q13*EF!$H26)*kgtoGg=0,"NO",('Activity data'!Q13*EF!$H26)*kgtoGg)</f>
        <v>1.775116469828986E-2</v>
      </c>
      <c r="R26" s="28">
        <f>IF(('Activity data'!R13*EF!$H26)*kgtoGg=0,"NO",('Activity data'!R13*EF!$H26)*kgtoGg)</f>
        <v>1.7980211984719403E-2</v>
      </c>
      <c r="S26" s="28">
        <f>IF(('Activity data'!S13*EF!$H26)*kgtoGg=0,"NO",('Activity data'!S13*EF!$H26)*kgtoGg)</f>
        <v>1.8529925472150318E-2</v>
      </c>
      <c r="T26" s="28">
        <f>IF(('Activity data'!T13*EF!$H26)*kgtoGg=0,"NO",('Activity data'!T13*EF!$H26)*kgtoGg)</f>
        <v>1.6918959557595842E-2</v>
      </c>
      <c r="U26" s="28">
        <f>IF(('Activity data'!U13*EF!$H26)*kgtoGg=0,"NO",('Activity data'!U13*EF!$H26)*kgtoGg)</f>
        <v>1.649140462292735E-2</v>
      </c>
      <c r="V26" s="28">
        <f>IF(('Activity data'!V13*EF!$H26)*kgtoGg=0,"NO",('Activity data'!V13*EF!$H26)*kgtoGg)</f>
        <v>1.6521944261117961E-2</v>
      </c>
      <c r="W26" s="28">
        <f>IF(('Activity data'!W13*EF!$H26)*kgtoGg=0,"NO",('Activity data'!W13*EF!$H26)*kgtoGg)</f>
        <v>1.6308166793783711E-2</v>
      </c>
      <c r="X26" s="28">
        <f>IF(('Activity data'!X13*EF!$H26)*kgtoGg=0,"NO",('Activity data'!X13*EF!$H26)*kgtoGg)</f>
        <v>1.6651737723428033E-2</v>
      </c>
      <c r="Y26" s="28">
        <f>IF(('Activity data'!Y13*EF!$H26)*kgtoGg=0,"NO",('Activity data'!Y13*EF!$H26)*kgtoGg)</f>
        <v>1.615546860283068E-2</v>
      </c>
      <c r="Z26" s="28">
        <f>IF(('Activity data'!Z13*EF!$H26)*kgtoGg=0,"NO",('Activity data'!Z13*EF!$H26)*kgtoGg)</f>
        <v>1.6140198783735384E-2</v>
      </c>
      <c r="AA26" s="28">
        <f>IF(('Activity data'!AA13*EF!$H26)*kgtoGg=0,"NO",('Activity data'!AA13*EF!$H26)*kgtoGg)</f>
        <v>1.5857707130472271E-2</v>
      </c>
      <c r="AB26" s="28">
        <f>IF(('Activity data'!AB13*EF!$H26)*kgtoGg=0,"NO",('Activity data'!AB13*EF!$H26)*kgtoGg)</f>
        <v>1.5666834391780984E-2</v>
      </c>
      <c r="AC26" s="28">
        <f>IF(('Activity data'!AC13*EF!$H26)*kgtoGg=0,"NO",('Activity data'!AC13*EF!$H26)*kgtoGg)</f>
        <v>1.5521771110375606E-2</v>
      </c>
      <c r="AD26" s="28">
        <f>IF(('Activity data'!AD13*EF!$H26)*kgtoGg=0,"NO",('Activity data'!AD13*EF!$H26)*kgtoGg)</f>
        <v>1.578914847670768E-2</v>
      </c>
      <c r="AE26" s="28">
        <f>IF(('Activity data'!AE13*EF!$H26)*kgtoGg=0,"NO",('Activity data'!AE13*EF!$H26)*kgtoGg)</f>
        <v>1.5830330315974785E-2</v>
      </c>
      <c r="AF26" s="28">
        <f>IF(('Activity data'!AF13*EF!$H26)*kgtoGg=0,"NO",('Activity data'!AF13*EF!$H26)*kgtoGg)</f>
        <v>1.5885208764738982E-2</v>
      </c>
      <c r="AG26" s="28">
        <f>IF(('Activity data'!AG13*EF!$H26)*kgtoGg=0,"NO",('Activity data'!AG13*EF!$H26)*kgtoGg)</f>
        <v>1.5952563767257691E-2</v>
      </c>
      <c r="AH26" s="28">
        <f>IF(('Activity data'!AH13*EF!$H26)*kgtoGg=0,"NO",('Activity data'!AH13*EF!$H26)*kgtoGg)</f>
        <v>1.6033204709528407E-2</v>
      </c>
      <c r="AI26" s="28">
        <f>IF(('Activity data'!AI13*EF!$H26)*kgtoGg=0,"NO",('Activity data'!AI13*EF!$H26)*kgtoGg)</f>
        <v>1.6127346186936543E-2</v>
      </c>
      <c r="AJ26" s="28">
        <f>IF(('Activity data'!AJ13*EF!$H26)*kgtoGg=0,"NO",('Activity data'!AJ13*EF!$H26)*kgtoGg)</f>
        <v>1.6228000781801349E-2</v>
      </c>
      <c r="AK26" s="28">
        <f>IF(('Activity data'!AK13*EF!$H26)*kgtoGg=0,"NO",('Activity data'!AK13*EF!$H26)*kgtoGg)</f>
        <v>1.6333729215934008E-2</v>
      </c>
      <c r="AL26" s="28">
        <f>IF(('Activity data'!AL13*EF!$H26)*kgtoGg=0,"NO",('Activity data'!AL13*EF!$H26)*kgtoGg)</f>
        <v>1.6431946287378985E-2</v>
      </c>
      <c r="AM26" s="28">
        <f>IF(('Activity data'!AM13*EF!$H26)*kgtoGg=0,"NO",('Activity data'!AM13*EF!$H26)*kgtoGg)</f>
        <v>1.6477973799395588E-2</v>
      </c>
      <c r="AN26" s="28">
        <f>IF(('Activity data'!AN13*EF!$H26)*kgtoGg=0,"NO",('Activity data'!AN13*EF!$H26)*kgtoGg)</f>
        <v>1.6528445517692184E-2</v>
      </c>
      <c r="AO26" s="28">
        <f>IF(('Activity data'!AO13*EF!$H26)*kgtoGg=0,"NO",('Activity data'!AO13*EF!$H26)*kgtoGg)</f>
        <v>1.6583425492153747E-2</v>
      </c>
      <c r="AP26" s="28">
        <f>IF(('Activity data'!AP13*EF!$H26)*kgtoGg=0,"NO",('Activity data'!AP13*EF!$H26)*kgtoGg)</f>
        <v>1.6643220540411473E-2</v>
      </c>
      <c r="AQ26" s="28">
        <f>IF(('Activity data'!AQ13*EF!$H26)*kgtoGg=0,"NO",('Activity data'!AQ13*EF!$H26)*kgtoGg)</f>
        <v>1.6707025590946629E-2</v>
      </c>
      <c r="AR26" s="28">
        <f>IF(('Activity data'!AR13*EF!$H26)*kgtoGg=0,"NO",('Activity data'!AR13*EF!$H26)*kgtoGg)</f>
        <v>1.6747356446044817E-2</v>
      </c>
      <c r="AS26" s="28">
        <f>IF(('Activity data'!AS13*EF!$H26)*kgtoGg=0,"NO",('Activity data'!AS13*EF!$H26)*kgtoGg)</f>
        <v>1.679099238038791E-2</v>
      </c>
      <c r="AT26" s="28">
        <f>IF(('Activity data'!AT13*EF!$H26)*kgtoGg=0,"NO",('Activity data'!AT13*EF!$H26)*kgtoGg)</f>
        <v>1.6838113918664795E-2</v>
      </c>
      <c r="AU26" s="28">
        <f>IF(('Activity data'!AU13*EF!$H26)*kgtoGg=0,"NO",('Activity data'!AU13*EF!$H26)*kgtoGg)</f>
        <v>1.6888072337895171E-2</v>
      </c>
      <c r="AV26" s="28">
        <f>IF(('Activity data'!AV13*EF!$H26)*kgtoGg=0,"NO",('Activity data'!AV13*EF!$H26)*kgtoGg)</f>
        <v>1.6941067477261811E-2</v>
      </c>
      <c r="AW26" s="28">
        <f>IF(('Activity data'!AW13*EF!$H26)*kgtoGg=0,"NO",('Activity data'!AW13*EF!$H26)*kgtoGg)</f>
        <v>1.6975775774690904E-2</v>
      </c>
      <c r="AX26" s="28">
        <f>IF(('Activity data'!AX13*EF!$H26)*kgtoGg=0,"NO",('Activity data'!AX13*EF!$H26)*kgtoGg)</f>
        <v>1.7013417171997135E-2</v>
      </c>
      <c r="AY26" s="28">
        <f>IF(('Activity data'!AY13*EF!$H26)*kgtoGg=0,"NO",('Activity data'!AY13*EF!$H26)*kgtoGg)</f>
        <v>1.7053673452645857E-2</v>
      </c>
      <c r="AZ26" s="28">
        <f>IF(('Activity data'!AZ13*EF!$H26)*kgtoGg=0,"NO",('Activity data'!AZ13*EF!$H26)*kgtoGg)</f>
        <v>1.7091991548522943E-2</v>
      </c>
      <c r="BA26" s="28">
        <f>IF(('Activity data'!BA13*EF!$H26)*kgtoGg=0,"NO",('Activity data'!BA13*EF!$H26)*kgtoGg)</f>
        <v>1.6924485926797139E-2</v>
      </c>
      <c r="BB26" s="28">
        <f>IF(('Activity data'!BB13*EF!$H26)*kgtoGg=0,"NO",('Activity data'!BB13*EF!$H26)*kgtoGg)</f>
        <v>1.6946898224790095E-2</v>
      </c>
      <c r="BC26" s="28">
        <f>IF(('Activity data'!BC13*EF!$H26)*kgtoGg=0,"NO",('Activity data'!BC13*EF!$H26)*kgtoGg)</f>
        <v>1.6971320122511346E-2</v>
      </c>
      <c r="BD26" s="28">
        <f>IF(('Activity data'!BD13*EF!$H26)*kgtoGg=0,"NO",('Activity data'!BD13*EF!$H26)*kgtoGg)</f>
        <v>1.6997670008444151E-2</v>
      </c>
      <c r="BE26" s="28">
        <f>IF(('Activity data'!BE13*EF!$H26)*kgtoGg=0,"NO",('Activity data'!BE13*EF!$H26)*kgtoGg)</f>
        <v>1.7025872601317771E-2</v>
      </c>
      <c r="BF26" s="28">
        <f>IF(('Activity data'!BF13*EF!$H26)*kgtoGg=0,"NO",('Activity data'!BF13*EF!$H26)*kgtoGg)</f>
        <v>1.7055858343998281E-2</v>
      </c>
      <c r="BG26" s="28">
        <f>IF(('Activity data'!BG13*EF!$H26)*kgtoGg=0,"NO",('Activity data'!BG13*EF!$H26)*kgtoGg)</f>
        <v>1.706872967637315E-2</v>
      </c>
      <c r="BH26" s="28">
        <f>IF(('Activity data'!BH13*EF!$H26)*kgtoGg=0,"NO",('Activity data'!BH13*EF!$H26)*kgtoGg)</f>
        <v>1.7083207389206864E-2</v>
      </c>
      <c r="BI26" s="28">
        <f>IF(('Activity data'!BI13*EF!$H26)*kgtoGg=0,"NO",('Activity data'!BI13*EF!$H26)*kgtoGg)</f>
        <v>1.7099230922033661E-2</v>
      </c>
      <c r="BJ26" s="28">
        <f>IF(('Activity data'!BJ13*EF!$H26)*kgtoGg=0,"NO",('Activity data'!BJ13*EF!$H26)*kgtoGg)</f>
        <v>1.7116743868978143E-2</v>
      </c>
      <c r="BK26" s="28">
        <f>IF(('Activity data'!BK13*EF!$H26)*kgtoGg=0,"NO",('Activity data'!BK13*EF!$H26)*kgtoGg)</f>
        <v>1.7135693622819574E-2</v>
      </c>
      <c r="BL26" s="28">
        <f>IF(('Activity data'!BL13*EF!$H26)*kgtoGg=0,"NO",('Activity data'!BL13*EF!$H26)*kgtoGg)</f>
        <v>1.7137172081504573E-2</v>
      </c>
      <c r="BM26" s="28">
        <f>IF(('Activity data'!BM13*EF!$H26)*kgtoGg=0,"NO",('Activity data'!BM13*EF!$H26)*kgtoGg)</f>
        <v>1.7139965381039082E-2</v>
      </c>
      <c r="BN26" s="28">
        <f>IF(('Activity data'!BN13*EF!$H26)*kgtoGg=0,"NO",('Activity data'!BN13*EF!$H26)*kgtoGg)</f>
        <v>1.7144026301455787E-2</v>
      </c>
      <c r="BO26" s="28">
        <f>IF(('Activity data'!BO13*EF!$H26)*kgtoGg=0,"NO",('Activity data'!BO13*EF!$H26)*kgtoGg)</f>
        <v>1.7149310513066243E-2</v>
      </c>
      <c r="BP26" s="28">
        <f>IF(('Activity data'!BP13*EF!$H26)*kgtoGg=0,"NO",('Activity data'!BP13*EF!$H26)*kgtoGg)</f>
        <v>1.7155776352544339E-2</v>
      </c>
    </row>
    <row r="27" spans="1:68" x14ac:dyDescent="0.25">
      <c r="A27" t="str">
        <f t="shared" si="1"/>
        <v>3A Livestock</v>
      </c>
      <c r="B27" t="str">
        <f t="shared" si="8"/>
        <v>3A2 Manure management (CH4)</v>
      </c>
      <c r="C27" t="str">
        <f>EF!C27</f>
        <v>3A1d Goats</v>
      </c>
      <c r="D27" t="str">
        <f>EF!D27</f>
        <v>Subsistence</v>
      </c>
      <c r="E27" t="str">
        <f t="shared" si="9"/>
        <v>Manure management Emissions</v>
      </c>
      <c r="F27" t="str">
        <f t="shared" si="6"/>
        <v>CH4</v>
      </c>
      <c r="G27" t="str">
        <f t="shared" si="7"/>
        <v>Gg CH4</v>
      </c>
      <c r="H27" s="28">
        <f>IF(('Activity data'!H14*EF!$H27)*kgtoGg=0,"NO",('Activity data'!H14*EF!$H27)*kgtoGg)</f>
        <v>3.6294783257415232E-2</v>
      </c>
      <c r="I27" s="28">
        <f>IF(('Activity data'!I14*EF!$H27)*kgtoGg=0,"NO",('Activity data'!I14*EF!$H27)*kgtoGg)</f>
        <v>3.2094846189776344E-2</v>
      </c>
      <c r="J27" s="28">
        <f>IF(('Activity data'!J14*EF!$H27)*kgtoGg=0,"NO",('Activity data'!J14*EF!$H27)*kgtoGg)</f>
        <v>2.989674828521768E-2</v>
      </c>
      <c r="K27" s="28">
        <f>IF(('Activity data'!K14*EF!$H27)*kgtoGg=0,"NO",('Activity data'!K14*EF!$H27)*kgtoGg)</f>
        <v>2.8248174856798671E-2</v>
      </c>
      <c r="L27" s="28">
        <f>IF(('Activity data'!L14*EF!$H27)*kgtoGg=0,"NO",('Activity data'!L14*EF!$H27)*kgtoGg)</f>
        <v>3.0577111922342977E-2</v>
      </c>
      <c r="M27" s="28">
        <f>IF(('Activity data'!M14*EF!$H27)*kgtoGg=0,"NO",('Activity data'!M14*EF!$H27)*kgtoGg)</f>
        <v>3.099579723749701E-2</v>
      </c>
      <c r="N27" s="28">
        <f>IF(('Activity data'!N14*EF!$H27)*kgtoGg=0,"NO",('Activity data'!N14*EF!$H27)*kgtoGg)</f>
        <v>3.1479902133143861E-2</v>
      </c>
      <c r="O27" s="28">
        <f>IF(('Activity data'!O14*EF!$H27)*kgtoGg=0,"NO",('Activity data'!O14*EF!$H27)*kgtoGg)</f>
        <v>3.1322895139961102E-2</v>
      </c>
      <c r="P27" s="28">
        <f>IF(('Activity data'!P14*EF!$H27)*kgtoGg=0,"NO",('Activity data'!P14*EF!$H27)*kgtoGg)</f>
        <v>3.0878041992609937E-2</v>
      </c>
      <c r="Q27" s="28">
        <f>IF(('Activity data'!Q14*EF!$H27)*kgtoGg=0,"NO",('Activity data'!Q14*EF!$H27)*kgtoGg)</f>
        <v>3.0420104929160217E-2</v>
      </c>
      <c r="R27" s="28">
        <f>IF(('Activity data'!R14*EF!$H27)*kgtoGg=0,"NO",('Activity data'!R14*EF!$H27)*kgtoGg)</f>
        <v>3.081262241211712E-2</v>
      </c>
      <c r="S27" s="28">
        <f>IF(('Activity data'!S14*EF!$H27)*kgtoGg=0,"NO",('Activity data'!S14*EF!$H27)*kgtoGg)</f>
        <v>3.1754664371213694E-2</v>
      </c>
      <c r="T27" s="28">
        <f>IF(('Activity data'!T14*EF!$H27)*kgtoGg=0,"NO",('Activity data'!T14*EF!$H27)*kgtoGg)</f>
        <v>2.8993958074416789E-2</v>
      </c>
      <c r="U27" s="28">
        <f>IF(('Activity data'!U14*EF!$H27)*kgtoGg=0,"NO",('Activity data'!U14*EF!$H27)*kgtoGg)</f>
        <v>2.8261258772897233E-2</v>
      </c>
      <c r="V27" s="28">
        <f>IF(('Activity data'!V14*EF!$H27)*kgtoGg=0,"NO",('Activity data'!V14*EF!$H27)*kgtoGg)</f>
        <v>2.8313594437291489E-2</v>
      </c>
      <c r="W27" s="28">
        <f>IF(('Activity data'!W14*EF!$H27)*kgtoGg=0,"NO",('Activity data'!W14*EF!$H27)*kgtoGg)</f>
        <v>2.7947244786531707E-2</v>
      </c>
      <c r="X27" s="28">
        <f>IF(('Activity data'!X14*EF!$H27)*kgtoGg=0,"NO",('Activity data'!X14*EF!$H27)*kgtoGg)</f>
        <v>2.8536021010967069E-2</v>
      </c>
      <c r="Y27" s="28">
        <f>IF(('Activity data'!Y14*EF!$H27)*kgtoGg=0,"NO",('Activity data'!Y14*EF!$H27)*kgtoGg)</f>
        <v>2.7685566464560437E-2</v>
      </c>
      <c r="Z27" s="28">
        <f>IF(('Activity data'!Z14*EF!$H27)*kgtoGg=0,"NO",('Activity data'!Z14*EF!$H27)*kgtoGg)</f>
        <v>2.7659398632363309E-2</v>
      </c>
      <c r="AA27" s="28">
        <f>IF(('Activity data'!AA14*EF!$H27)*kgtoGg=0,"NO",('Activity data'!AA14*EF!$H27)*kgtoGg)</f>
        <v>2.7175293736716462E-2</v>
      </c>
      <c r="AB27" s="28">
        <f>IF(('Activity data'!AB14*EF!$H27)*kgtoGg=0,"NO",('Activity data'!AB14*EF!$H27)*kgtoGg)</f>
        <v>2.684819583425237E-2</v>
      </c>
      <c r="AC27" s="28">
        <f>IF(('Activity data'!AC14*EF!$H27)*kgtoGg=0,"NO",('Activity data'!AC14*EF!$H27)*kgtoGg)</f>
        <v>2.6599601428379662E-2</v>
      </c>
      <c r="AD27" s="28">
        <f>IF(('Activity data'!AD14*EF!$H27)*kgtoGg=0,"NO",('Activity data'!AD14*EF!$H27)*kgtoGg)</f>
        <v>2.6591335822255355E-2</v>
      </c>
      <c r="AE27" s="28">
        <f>IF(('Activity data'!AE14*EF!$H27)*kgtoGg=0,"NO",('Activity data'!AE14*EF!$H27)*kgtoGg)</f>
        <v>2.6660692324877722E-2</v>
      </c>
      <c r="AF27" s="28">
        <f>IF(('Activity data'!AF14*EF!$H27)*kgtoGg=0,"NO",('Activity data'!AF14*EF!$H27)*kgtoGg)</f>
        <v>2.6753116008311057E-2</v>
      </c>
      <c r="AG27" s="28">
        <f>IF(('Activity data'!AG14*EF!$H27)*kgtoGg=0,"NO",('Activity data'!AG14*EF!$H27)*kgtoGg)</f>
        <v>2.6866552112476273E-2</v>
      </c>
      <c r="AH27" s="28">
        <f>IF(('Activity data'!AH14*EF!$H27)*kgtoGg=0,"NO",('Activity data'!AH14*EF!$H27)*kgtoGg)</f>
        <v>2.7002363766924078E-2</v>
      </c>
      <c r="AI27" s="28">
        <f>IF(('Activity data'!AI14*EF!$H27)*kgtoGg=0,"NO",('Activity data'!AI14*EF!$H27)*kgtoGg)</f>
        <v>2.7160912383035713E-2</v>
      </c>
      <c r="AJ27" s="28">
        <f>IF(('Activity data'!AJ14*EF!$H27)*kgtoGg=0,"NO",('Activity data'!AJ14*EF!$H27)*kgtoGg)</f>
        <v>2.7330430082995998E-2</v>
      </c>
      <c r="AK27" s="28">
        <f>IF(('Activity data'!AK14*EF!$H27)*kgtoGg=0,"NO",('Activity data'!AK14*EF!$H27)*kgtoGg)</f>
        <v>2.7508492902668026E-2</v>
      </c>
      <c r="AL27" s="28">
        <f>IF(('Activity data'!AL14*EF!$H27)*kgtoGg=0,"NO",('Activity data'!AL14*EF!$H27)*kgtoGg)</f>
        <v>2.7673905441167147E-2</v>
      </c>
      <c r="AM27" s="28">
        <f>IF(('Activity data'!AM14*EF!$H27)*kgtoGg=0,"NO",('Activity data'!AM14*EF!$H27)*kgtoGg)</f>
        <v>2.7751422796260871E-2</v>
      </c>
      <c r="AN27" s="28">
        <f>IF(('Activity data'!AN14*EF!$H27)*kgtoGg=0,"NO",('Activity data'!AN14*EF!$H27)*kgtoGg)</f>
        <v>2.783642487301826E-2</v>
      </c>
      <c r="AO27" s="28">
        <f>IF(('Activity data'!AO14*EF!$H27)*kgtoGg=0,"NO",('Activity data'!AO14*EF!$H27)*kgtoGg)</f>
        <v>2.7929019541221126E-2</v>
      </c>
      <c r="AP27" s="28">
        <f>IF(('Activity data'!AP14*EF!$H27)*kgtoGg=0,"NO",('Activity data'!AP14*EF!$H27)*kgtoGg)</f>
        <v>2.8029723528587808E-2</v>
      </c>
      <c r="AQ27" s="28">
        <f>IF(('Activity data'!AQ14*EF!$H27)*kgtoGg=0,"NO",('Activity data'!AQ14*EF!$H27)*kgtoGg)</f>
        <v>2.813718097180834E-2</v>
      </c>
      <c r="AR27" s="28">
        <f>IF(('Activity data'!AR14*EF!$H27)*kgtoGg=0,"NO",('Activity data'!AR14*EF!$H27)*kgtoGg)</f>
        <v>2.8205104287210486E-2</v>
      </c>
      <c r="AS27" s="28">
        <f>IF(('Activity data'!AS14*EF!$H27)*kgtoGg=0,"NO",('Activity data'!AS14*EF!$H27)*kgtoGg)</f>
        <v>2.827859386049221E-2</v>
      </c>
      <c r="AT27" s="28">
        <f>IF(('Activity data'!AT14*EF!$H27)*kgtoGg=0,"NO",('Activity data'!AT14*EF!$H27)*kgtoGg)</f>
        <v>2.8357953722781829E-2</v>
      </c>
      <c r="AU27" s="28">
        <f>IF(('Activity data'!AU14*EF!$H27)*kgtoGg=0,"NO",('Activity data'!AU14*EF!$H27)*kgtoGg)</f>
        <v>2.8442091325570455E-2</v>
      </c>
      <c r="AV27" s="28">
        <f>IF(('Activity data'!AV14*EF!$H27)*kgtoGg=0,"NO",('Activity data'!AV14*EF!$H27)*kgtoGg)</f>
        <v>2.8531343228541953E-2</v>
      </c>
      <c r="AW27" s="28">
        <f>IF(('Activity data'!AW14*EF!$H27)*kgtoGg=0,"NO",('Activity data'!AW14*EF!$H27)*kgtoGg)</f>
        <v>2.8589797298697615E-2</v>
      </c>
      <c r="AX27" s="28">
        <f>IF(('Activity data'!AX14*EF!$H27)*kgtoGg=0,"NO",('Activity data'!AX14*EF!$H27)*kgtoGg)</f>
        <v>2.8653191156704935E-2</v>
      </c>
      <c r="AY27" s="28">
        <f>IF(('Activity data'!AY14*EF!$H27)*kgtoGg=0,"NO",('Activity data'!AY14*EF!$H27)*kgtoGg)</f>
        <v>2.8720988877352402E-2</v>
      </c>
      <c r="AZ27" s="28">
        <f>IF(('Activity data'!AZ14*EF!$H27)*kgtoGg=0,"NO",('Activity data'!AZ14*EF!$H27)*kgtoGg)</f>
        <v>2.8785522399032822E-2</v>
      </c>
      <c r="BA27" s="28">
        <f>IF(('Activity data'!BA14*EF!$H27)*kgtoGg=0,"NO",('Activity data'!BA14*EF!$H27)*kgtoGg)</f>
        <v>2.8503417366833182E-2</v>
      </c>
      <c r="BB27" s="28">
        <f>IF(('Activity data'!BB14*EF!$H27)*kgtoGg=0,"NO",('Activity data'!BB14*EF!$H27)*kgtoGg)</f>
        <v>2.8541163097285861E-2</v>
      </c>
      <c r="BC27" s="28">
        <f>IF(('Activity data'!BC14*EF!$H27)*kgtoGg=0,"NO",('Activity data'!BC14*EF!$H27)*kgtoGg)</f>
        <v>2.8582293300392164E-2</v>
      </c>
      <c r="BD27" s="28">
        <f>IF(('Activity data'!BD14*EF!$H27)*kgtoGg=0,"NO",('Activity data'!BD14*EF!$H27)*kgtoGg)</f>
        <v>2.8626670529902105E-2</v>
      </c>
      <c r="BE27" s="28">
        <f>IF(('Activity data'!BE14*EF!$H27)*kgtoGg=0,"NO",('Activity data'!BE14*EF!$H27)*kgtoGg)</f>
        <v>2.8674168000666096E-2</v>
      </c>
      <c r="BF27" s="28">
        <f>IF(('Activity data'!BF14*EF!$H27)*kgtoGg=0,"NO",('Activity data'!BF14*EF!$H27)*kgtoGg)</f>
        <v>2.8724668567854592E-2</v>
      </c>
      <c r="BG27" s="28">
        <f>IF(('Activity data'!BG14*EF!$H27)*kgtoGg=0,"NO",('Activity data'!BG14*EF!$H27)*kgtoGg)</f>
        <v>2.8746345856035454E-2</v>
      </c>
      <c r="BH27" s="28">
        <f>IF(('Activity data'!BH14*EF!$H27)*kgtoGg=0,"NO",('Activity data'!BH14*EF!$H27)*kgtoGg)</f>
        <v>2.8770728534079647E-2</v>
      </c>
      <c r="BI27" s="28">
        <f>IF(('Activity data'!BI14*EF!$H27)*kgtoGg=0,"NO",('Activity data'!BI14*EF!$H27)*kgtoGg)</f>
        <v>2.8797714608919899E-2</v>
      </c>
      <c r="BJ27" s="28">
        <f>IF(('Activity data'!BJ14*EF!$H27)*kgtoGg=0,"NO",('Activity data'!BJ14*EF!$H27)*kgtoGg)</f>
        <v>2.8827209084453208E-2</v>
      </c>
      <c r="BK27" s="28">
        <f>IF(('Activity data'!BK14*EF!$H27)*kgtoGg=0,"NO",('Activity data'!BK14*EF!$H27)*kgtoGg)</f>
        <v>2.8859123362090785E-2</v>
      </c>
      <c r="BL27" s="28">
        <f>IF(('Activity data'!BL14*EF!$H27)*kgtoGg=0,"NO",('Activity data'!BL14*EF!$H27)*kgtoGg)</f>
        <v>2.8861613312163151E-2</v>
      </c>
      <c r="BM27" s="28">
        <f>IF(('Activity data'!BM14*EF!$H27)*kgtoGg=0,"NO",('Activity data'!BM14*EF!$H27)*kgtoGg)</f>
        <v>2.8866317654901063E-2</v>
      </c>
      <c r="BN27" s="28">
        <f>IF(('Activity data'!BN14*EF!$H27)*kgtoGg=0,"NO",('Activity data'!BN14*EF!$H27)*kgtoGg)</f>
        <v>2.887315686467273E-2</v>
      </c>
      <c r="BO27" s="28">
        <f>IF(('Activity data'!BO14*EF!$H27)*kgtoGg=0,"NO",('Activity data'!BO14*EF!$H27)*kgtoGg)</f>
        <v>2.888205628351705E-2</v>
      </c>
      <c r="BP27" s="28">
        <f>IF(('Activity data'!BP14*EF!$H27)*kgtoGg=0,"NO",('Activity data'!BP14*EF!$H27)*kgtoGg)</f>
        <v>2.8892945744034091E-2</v>
      </c>
    </row>
    <row r="28" spans="1:68" x14ac:dyDescent="0.25">
      <c r="A28" t="str">
        <f t="shared" si="1"/>
        <v>3A Livestock</v>
      </c>
      <c r="B28" t="str">
        <f t="shared" si="8"/>
        <v>3A2 Manure management (CH4)</v>
      </c>
      <c r="C28" t="str">
        <f>EF!C28</f>
        <v>3A1f Horses</v>
      </c>
      <c r="D28" t="str">
        <f>EF!D28</f>
        <v>Horses</v>
      </c>
      <c r="E28" t="str">
        <f t="shared" si="9"/>
        <v>Manure management Emissions</v>
      </c>
      <c r="F28" t="str">
        <f t="shared" si="6"/>
        <v>CH4</v>
      </c>
      <c r="G28" t="str">
        <f t="shared" si="7"/>
        <v>Gg CH4</v>
      </c>
      <c r="H28" s="28">
        <f>IF(('Activity data'!H15*EF!$H28)*kgtoGg=0,"NO",('Activity data'!H15*EF!$H28)*kgtoGg)</f>
        <v>3.0819999999999997E-3</v>
      </c>
      <c r="I28" s="28">
        <f>IF(('Activity data'!I15*EF!$H28)*kgtoGg=0,"NO",('Activity data'!I15*EF!$H28)*kgtoGg)</f>
        <v>3.0819999999999997E-3</v>
      </c>
      <c r="J28" s="28">
        <f>IF(('Activity data'!J15*EF!$H28)*kgtoGg=0,"NO",('Activity data'!J15*EF!$H28)*kgtoGg)</f>
        <v>3.0819999999999997E-3</v>
      </c>
      <c r="K28" s="28">
        <f>IF(('Activity data'!K15*EF!$H28)*kgtoGg=0,"NO",('Activity data'!K15*EF!$H28)*kgtoGg)</f>
        <v>3.1489999999999999E-3</v>
      </c>
      <c r="L28" s="28">
        <f>IF(('Activity data'!L15*EF!$H28)*kgtoGg=0,"NO",('Activity data'!L15*EF!$H28)*kgtoGg)</f>
        <v>3.2159999999999997E-3</v>
      </c>
      <c r="M28" s="28">
        <f>IF(('Activity data'!M15*EF!$H28)*kgtoGg=0,"NO",('Activity data'!M15*EF!$H28)*kgtoGg)</f>
        <v>3.2829999999999999E-3</v>
      </c>
      <c r="N28" s="28">
        <f>IF(('Activity data'!N15*EF!$H28)*kgtoGg=0,"NO",('Activity data'!N15*EF!$H28)*kgtoGg)</f>
        <v>3.3499999999999997E-3</v>
      </c>
      <c r="O28" s="28">
        <f>IF(('Activity data'!O15*EF!$H28)*kgtoGg=0,"NO",('Activity data'!O15*EF!$H28)*kgtoGg)</f>
        <v>3.4169999999999999E-3</v>
      </c>
      <c r="P28" s="28">
        <f>IF(('Activity data'!P15*EF!$H28)*kgtoGg=0,"NO",('Activity data'!P15*EF!$H28)*kgtoGg)</f>
        <v>3.4839999999999997E-3</v>
      </c>
      <c r="Q28" s="28">
        <f>IF(('Activity data'!Q15*EF!$H28)*kgtoGg=0,"NO",('Activity data'!Q15*EF!$H28)*kgtoGg)</f>
        <v>3.4572000000000001E-3</v>
      </c>
      <c r="R28" s="28">
        <f>IF(('Activity data'!R15*EF!$H28)*kgtoGg=0,"NO",('Activity data'!R15*EF!$H28)*kgtoGg)</f>
        <v>3.6179999999999997E-3</v>
      </c>
      <c r="S28" s="28">
        <f>IF(('Activity data'!S15*EF!$H28)*kgtoGg=0,"NO",('Activity data'!S15*EF!$H28)*kgtoGg)</f>
        <v>3.6179999999999997E-3</v>
      </c>
      <c r="T28" s="28">
        <f>IF(('Activity data'!T15*EF!$H28)*kgtoGg=0,"NO",('Activity data'!T15*EF!$H28)*kgtoGg)</f>
        <v>3.6179999999999997E-3</v>
      </c>
      <c r="U28" s="28">
        <f>IF(('Activity data'!U15*EF!$H28)*kgtoGg=0,"NO",('Activity data'!U15*EF!$H28)*kgtoGg)</f>
        <v>3.6179999999999997E-3</v>
      </c>
      <c r="V28" s="28">
        <f>IF(('Activity data'!V15*EF!$H28)*kgtoGg=0,"NO",('Activity data'!V15*EF!$H28)*kgtoGg)</f>
        <v>3.6179999999999997E-3</v>
      </c>
      <c r="W28" s="28">
        <f>IF(('Activity data'!W15*EF!$H28)*kgtoGg=0,"NO",('Activity data'!W15*EF!$H28)*kgtoGg)</f>
        <v>3.6179999999999997E-3</v>
      </c>
      <c r="X28" s="28">
        <f>IF(('Activity data'!X15*EF!$H28)*kgtoGg=0,"NO",('Activity data'!X15*EF!$H28)*kgtoGg)</f>
        <v>3.7519999999999997E-3</v>
      </c>
      <c r="Y28" s="28">
        <f>IF(('Activity data'!Y15*EF!$H28)*kgtoGg=0,"NO",('Activity data'!Y15*EF!$H28)*kgtoGg)</f>
        <v>3.8859999999999997E-3</v>
      </c>
      <c r="Z28" s="28">
        <f>IF(('Activity data'!Z15*EF!$H28)*kgtoGg=0,"NO",('Activity data'!Z15*EF!$H28)*kgtoGg)</f>
        <v>3.9931999999999997E-3</v>
      </c>
      <c r="AA28" s="28">
        <f>IF(('Activity data'!AA15*EF!$H28)*kgtoGg=0,"NO",('Activity data'!AA15*EF!$H28)*kgtoGg)</f>
        <v>4.0200000000000001E-3</v>
      </c>
      <c r="AB28" s="28">
        <f>IF(('Activity data'!AB15*EF!$H28)*kgtoGg=0,"NO",('Activity data'!AB15*EF!$H28)*kgtoGg)</f>
        <v>4.0200000000000001E-3</v>
      </c>
      <c r="AC28" s="28">
        <f>IF(('Activity data'!AC15*EF!$H28)*kgtoGg=0,"NO",('Activity data'!AC15*EF!$H28)*kgtoGg)</f>
        <v>4.0869999999999995E-3</v>
      </c>
      <c r="AD28" s="28">
        <f>IF(('Activity data'!AD15*EF!$H28)*kgtoGg=0,"NO",('Activity data'!AD15*EF!$H28)*kgtoGg)</f>
        <v>4.1462896209668214E-3</v>
      </c>
      <c r="AE28" s="28">
        <f>IF(('Activity data'!AE15*EF!$H28)*kgtoGg=0,"NO",('Activity data'!AE15*EF!$H28)*kgtoGg)</f>
        <v>4.1705892650270686E-3</v>
      </c>
      <c r="AF28" s="28">
        <f>IF(('Activity data'!AF15*EF!$H28)*kgtoGg=0,"NO",('Activity data'!AF15*EF!$H28)*kgtoGg)</f>
        <v>4.1765760669998774E-3</v>
      </c>
      <c r="AG28" s="28">
        <f>IF(('Activity data'!AG15*EF!$H28)*kgtoGg=0,"NO",('Activity data'!AG15*EF!$H28)*kgtoGg)</f>
        <v>4.1582865548880337E-3</v>
      </c>
      <c r="AH28" s="28">
        <f>IF(('Activity data'!AH15*EF!$H28)*kgtoGg=0,"NO",('Activity data'!AH15*EF!$H28)*kgtoGg)</f>
        <v>4.1389364137095824E-3</v>
      </c>
      <c r="AI28" s="28">
        <f>IF(('Activity data'!AI15*EF!$H28)*kgtoGg=0,"NO",('Activity data'!AI15*EF!$H28)*kgtoGg)</f>
        <v>4.1297300373309533E-3</v>
      </c>
      <c r="AJ28" s="28">
        <f>IF(('Activity data'!AJ15*EF!$H28)*kgtoGg=0,"NO",('Activity data'!AJ15*EF!$H28)*kgtoGg)</f>
        <v>4.1235897943981579E-3</v>
      </c>
      <c r="AK28" s="28">
        <f>IF(('Activity data'!AK15*EF!$H28)*kgtoGg=0,"NO",('Activity data'!AK15*EF!$H28)*kgtoGg)</f>
        <v>4.0939723150578283E-3</v>
      </c>
      <c r="AL28" s="28">
        <f>IF(('Activity data'!AL15*EF!$H28)*kgtoGg=0,"NO",('Activity data'!AL15*EF!$H28)*kgtoGg)</f>
        <v>3.8546694485950316E-3</v>
      </c>
      <c r="AM28" s="28">
        <f>IF(('Activity data'!AM15*EF!$H28)*kgtoGg=0,"NO",('Activity data'!AM15*EF!$H28)*kgtoGg)</f>
        <v>3.8885582856899971E-3</v>
      </c>
      <c r="AN28" s="28">
        <f>IF(('Activity data'!AN15*EF!$H28)*kgtoGg=0,"NO",('Activity data'!AN15*EF!$H28)*kgtoGg)</f>
        <v>3.9163093014231119E-3</v>
      </c>
      <c r="AO28" s="28">
        <f>IF(('Activity data'!AO15*EF!$H28)*kgtoGg=0,"NO",('Activity data'!AO15*EF!$H28)*kgtoGg)</f>
        <v>3.943499319412006E-3</v>
      </c>
      <c r="AP28" s="28">
        <f>IF(('Activity data'!AP15*EF!$H28)*kgtoGg=0,"NO",('Activity data'!AP15*EF!$H28)*kgtoGg)</f>
        <v>3.9787498507285772E-3</v>
      </c>
      <c r="AQ28" s="28">
        <f>IF(('Activity data'!AQ15*EF!$H28)*kgtoGg=0,"NO",('Activity data'!AQ15*EF!$H28)*kgtoGg)</f>
        <v>4.0133556413366692E-3</v>
      </c>
      <c r="AR28" s="28">
        <f>IF(('Activity data'!AR15*EF!$H28)*kgtoGg=0,"NO",('Activity data'!AR15*EF!$H28)*kgtoGg)</f>
        <v>4.0529996928532061E-3</v>
      </c>
      <c r="AS28" s="28">
        <f>IF(('Activity data'!AS15*EF!$H28)*kgtoGg=0,"NO",('Activity data'!AS15*EF!$H28)*kgtoGg)</f>
        <v>4.0900631434267433E-3</v>
      </c>
      <c r="AT28" s="28">
        <f>IF(('Activity data'!AT15*EF!$H28)*kgtoGg=0,"NO",('Activity data'!AT15*EF!$H28)*kgtoGg)</f>
        <v>4.1299322607386601E-3</v>
      </c>
      <c r="AU28" s="28">
        <f>IF(('Activity data'!AU15*EF!$H28)*kgtoGg=0,"NO",('Activity data'!AU15*EF!$H28)*kgtoGg)</f>
        <v>4.1653099616518066E-3</v>
      </c>
      <c r="AV28" s="28">
        <f>IF(('Activity data'!AV15*EF!$H28)*kgtoGg=0,"NO",('Activity data'!AV15*EF!$H28)*kgtoGg)</f>
        <v>4.2013445039546862E-3</v>
      </c>
      <c r="AW28" s="28">
        <f>IF(('Activity data'!AW15*EF!$H28)*kgtoGg=0,"NO",('Activity data'!AW15*EF!$H28)*kgtoGg)</f>
        <v>4.251252835120037E-3</v>
      </c>
      <c r="AX28" s="28">
        <f>IF(('Activity data'!AX15*EF!$H28)*kgtoGg=0,"NO",('Activity data'!AX15*EF!$H28)*kgtoGg)</f>
        <v>4.3057143858228663E-3</v>
      </c>
      <c r="AY28" s="28">
        <f>IF(('Activity data'!AY15*EF!$H28)*kgtoGg=0,"NO",('Activity data'!AY15*EF!$H28)*kgtoGg)</f>
        <v>4.3617167354082645E-3</v>
      </c>
      <c r="AZ28" s="28">
        <f>IF(('Activity data'!AZ15*EF!$H28)*kgtoGg=0,"NO",('Activity data'!AZ15*EF!$H28)*kgtoGg)</f>
        <v>4.3537503349345688E-3</v>
      </c>
      <c r="BA28" s="28">
        <f>IF(('Activity data'!BA15*EF!$H28)*kgtoGg=0,"NO",('Activity data'!BA15*EF!$H28)*kgtoGg)</f>
        <v>1.2882018816554785E-3</v>
      </c>
      <c r="BB28" s="28">
        <f>IF(('Activity data'!BB15*EF!$H28)*kgtoGg=0,"NO",('Activity data'!BB15*EF!$H28)*kgtoGg)</f>
        <v>1.2882018816554785E-3</v>
      </c>
      <c r="BC28" s="28">
        <f>IF(('Activity data'!BC15*EF!$H28)*kgtoGg=0,"NO",('Activity data'!BC15*EF!$H28)*kgtoGg)</f>
        <v>1.2882018816554785E-3</v>
      </c>
      <c r="BD28" s="28">
        <f>IF(('Activity data'!BD15*EF!$H28)*kgtoGg=0,"NO",('Activity data'!BD15*EF!$H28)*kgtoGg)</f>
        <v>1.2882018816554785E-3</v>
      </c>
      <c r="BE28" s="28">
        <f>IF(('Activity data'!BE15*EF!$H28)*kgtoGg=0,"NO",('Activity data'!BE15*EF!$H28)*kgtoGg)</f>
        <v>1.2882018816554785E-3</v>
      </c>
      <c r="BF28" s="28">
        <f>IF(('Activity data'!BF15*EF!$H28)*kgtoGg=0,"NO",('Activity data'!BF15*EF!$H28)*kgtoGg)</f>
        <v>1.2882018816554785E-3</v>
      </c>
      <c r="BG28" s="28">
        <f>IF(('Activity data'!BG15*EF!$H28)*kgtoGg=0,"NO",('Activity data'!BG15*EF!$H28)*kgtoGg)</f>
        <v>1.2882018816554785E-3</v>
      </c>
      <c r="BH28" s="28">
        <f>IF(('Activity data'!BH15*EF!$H28)*kgtoGg=0,"NO",('Activity data'!BH15*EF!$H28)*kgtoGg)</f>
        <v>1.2882018816554785E-3</v>
      </c>
      <c r="BI28" s="28">
        <f>IF(('Activity data'!BI15*EF!$H28)*kgtoGg=0,"NO",('Activity data'!BI15*EF!$H28)*kgtoGg)</f>
        <v>1.2882018816554785E-3</v>
      </c>
      <c r="BJ28" s="28">
        <f>IF(('Activity data'!BJ15*EF!$H28)*kgtoGg=0,"NO",('Activity data'!BJ15*EF!$H28)*kgtoGg)</f>
        <v>1.2882018816554785E-3</v>
      </c>
      <c r="BK28" s="28">
        <f>IF(('Activity data'!BK15*EF!$H28)*kgtoGg=0,"NO",('Activity data'!BK15*EF!$H28)*kgtoGg)</f>
        <v>1.2882018816554785E-3</v>
      </c>
      <c r="BL28" s="28">
        <f>IF(('Activity data'!BL15*EF!$H28)*kgtoGg=0,"NO",('Activity data'!BL15*EF!$H28)*kgtoGg)</f>
        <v>1.2882018816554785E-3</v>
      </c>
      <c r="BM28" s="28">
        <f>IF(('Activity data'!BM15*EF!$H28)*kgtoGg=0,"NO",('Activity data'!BM15*EF!$H28)*kgtoGg)</f>
        <v>1.2882018816554785E-3</v>
      </c>
      <c r="BN28" s="28">
        <f>IF(('Activity data'!BN15*EF!$H28)*kgtoGg=0,"NO",('Activity data'!BN15*EF!$H28)*kgtoGg)</f>
        <v>1.2882018816554785E-3</v>
      </c>
      <c r="BO28" s="28">
        <f>IF(('Activity data'!BO15*EF!$H28)*kgtoGg=0,"NO",('Activity data'!BO15*EF!$H28)*kgtoGg)</f>
        <v>1.2882018816554785E-3</v>
      </c>
      <c r="BP28" s="28">
        <f>IF(('Activity data'!BP15*EF!$H28)*kgtoGg=0,"NO",('Activity data'!BP15*EF!$H28)*kgtoGg)</f>
        <v>1.2882018816554785E-3</v>
      </c>
    </row>
    <row r="29" spans="1:68" x14ac:dyDescent="0.25">
      <c r="A29" t="str">
        <f t="shared" si="1"/>
        <v>3A Livestock</v>
      </c>
      <c r="B29" t="str">
        <f t="shared" si="8"/>
        <v>3A2 Manure management (CH4)</v>
      </c>
      <c r="C29" t="str">
        <f>EF!C29</f>
        <v>3A1g Mules &amp; asses</v>
      </c>
      <c r="D29" t="str">
        <f>EF!D29</f>
        <v>Mules &amp; Asses</v>
      </c>
      <c r="E29" t="str">
        <f t="shared" si="9"/>
        <v>Manure management Emissions</v>
      </c>
      <c r="F29" t="str">
        <f t="shared" si="6"/>
        <v>CH4</v>
      </c>
      <c r="G29" t="str">
        <f t="shared" si="7"/>
        <v>Gg CH4</v>
      </c>
      <c r="H29" s="28">
        <f>IF(('Activity data'!H16*EF!$H29)*kgtoGg=0,"NO",('Activity data'!H16*EF!$H29)*kgtoGg)</f>
        <v>1.0079999999999998E-3</v>
      </c>
      <c r="I29" s="28">
        <f>IF(('Activity data'!I16*EF!$H29)*kgtoGg=0,"NO",('Activity data'!I16*EF!$H29)*kgtoGg)</f>
        <v>1.0079999999999998E-3</v>
      </c>
      <c r="J29" s="28">
        <f>IF(('Activity data'!J16*EF!$H29)*kgtoGg=0,"NO",('Activity data'!J16*EF!$H29)*kgtoGg)</f>
        <v>1.0079999999999998E-3</v>
      </c>
      <c r="K29" s="28">
        <f>IF(('Activity data'!K16*EF!$H29)*kgtoGg=0,"NO",('Activity data'!K16*EF!$H29)*kgtoGg)</f>
        <v>1.0079999999999998E-3</v>
      </c>
      <c r="L29" s="28">
        <f>IF(('Activity data'!L16*EF!$H29)*kgtoGg=0,"NO",('Activity data'!L16*EF!$H29)*kgtoGg)</f>
        <v>1.0079999999999998E-3</v>
      </c>
      <c r="M29" s="28">
        <f>IF(('Activity data'!M16*EF!$H29)*kgtoGg=0,"NO",('Activity data'!M16*EF!$H29)*kgtoGg)</f>
        <v>1.0079999999999998E-3</v>
      </c>
      <c r="N29" s="28">
        <f>IF(('Activity data'!N16*EF!$H29)*kgtoGg=0,"NO",('Activity data'!N16*EF!$H29)*kgtoGg)</f>
        <v>1.0079999999999998E-3</v>
      </c>
      <c r="O29" s="28">
        <f>IF(('Activity data'!O16*EF!$H29)*kgtoGg=0,"NO",('Activity data'!O16*EF!$H29)*kgtoGg)</f>
        <v>1.0079999999999998E-3</v>
      </c>
      <c r="P29" s="28">
        <f>IF(('Activity data'!P16*EF!$H29)*kgtoGg=0,"NO",('Activity data'!P16*EF!$H29)*kgtoGg)</f>
        <v>1.0079999999999998E-3</v>
      </c>
      <c r="Q29" s="28">
        <f>IF(('Activity data'!Q16*EF!$H29)*kgtoGg=0,"NO",('Activity data'!Q16*EF!$H29)*kgtoGg)</f>
        <v>1.0079999999999998E-3</v>
      </c>
      <c r="R29" s="28">
        <f>IF(('Activity data'!R16*EF!$H29)*kgtoGg=0,"NO",('Activity data'!R16*EF!$H29)*kgtoGg)</f>
        <v>7.3799999999999994E-4</v>
      </c>
      <c r="S29" s="28">
        <f>IF(('Activity data'!S16*EF!$H29)*kgtoGg=0,"NO",('Activity data'!S16*EF!$H29)*kgtoGg)</f>
        <v>7.3799999999999994E-4</v>
      </c>
      <c r="T29" s="28">
        <f>IF(('Activity data'!T16*EF!$H29)*kgtoGg=0,"NO",('Activity data'!T16*EF!$H29)*kgtoGg)</f>
        <v>7.3799999999999994E-4</v>
      </c>
      <c r="U29" s="28">
        <f>IF(('Activity data'!U16*EF!$H29)*kgtoGg=0,"NO",('Activity data'!U16*EF!$H29)*kgtoGg)</f>
        <v>7.3799999999999994E-4</v>
      </c>
      <c r="V29" s="28">
        <f>IF(('Activity data'!V16*EF!$H29)*kgtoGg=0,"NO",('Activity data'!V16*EF!$H29)*kgtoGg)</f>
        <v>7.3799999999999994E-4</v>
      </c>
      <c r="W29" s="28">
        <f>IF(('Activity data'!W16*EF!$H29)*kgtoGg=0,"NO",('Activity data'!W16*EF!$H29)*kgtoGg)</f>
        <v>7.3799999999999994E-4</v>
      </c>
      <c r="X29" s="28">
        <f>IF(('Activity data'!X16*EF!$H29)*kgtoGg=0,"NO",('Activity data'!X16*EF!$H29)*kgtoGg)</f>
        <v>7.3822499999999991E-4</v>
      </c>
      <c r="Y29" s="28">
        <f>IF(('Activity data'!Y16*EF!$H29)*kgtoGg=0,"NO",('Activity data'!Y16*EF!$H29)*kgtoGg)</f>
        <v>7.4069999999999995E-4</v>
      </c>
      <c r="Z29" s="28">
        <f>IF(('Activity data'!Z16*EF!$H29)*kgtoGg=0,"NO",('Activity data'!Z16*EF!$H29)*kgtoGg)</f>
        <v>7.4114999999999999E-4</v>
      </c>
      <c r="AA29" s="28">
        <f>IF(('Activity data'!AA16*EF!$H29)*kgtoGg=0,"NO",('Activity data'!AA16*EF!$H29)*kgtoGg)</f>
        <v>7.4159999999999992E-4</v>
      </c>
      <c r="AB29" s="28">
        <f>IF(('Activity data'!AB16*EF!$H29)*kgtoGg=0,"NO",('Activity data'!AB16*EF!$H29)*kgtoGg)</f>
        <v>7.4834999999999984E-4</v>
      </c>
      <c r="AC29" s="28">
        <f>IF(('Activity data'!AC16*EF!$H29)*kgtoGg=0,"NO",('Activity data'!AC16*EF!$H29)*kgtoGg)</f>
        <v>7.515E-4</v>
      </c>
      <c r="AD29" s="28">
        <f>IF(('Activity data'!AD16*EF!$H29)*kgtoGg=0,"NO",('Activity data'!AD16*EF!$H29)*kgtoGg)</f>
        <v>7.515E-4</v>
      </c>
      <c r="AE29" s="28">
        <f>IF(('Activity data'!AE16*EF!$H29)*kgtoGg=0,"NO",('Activity data'!AE16*EF!$H29)*kgtoGg)</f>
        <v>7.515E-4</v>
      </c>
      <c r="AF29" s="28">
        <f>IF(('Activity data'!AF16*EF!$H29)*kgtoGg=0,"NO",('Activity data'!AF16*EF!$H29)*kgtoGg)</f>
        <v>7.515E-4</v>
      </c>
      <c r="AG29" s="28">
        <f>IF(('Activity data'!AG16*EF!$H29)*kgtoGg=0,"NO",('Activity data'!AG16*EF!$H29)*kgtoGg)</f>
        <v>7.515E-4</v>
      </c>
      <c r="AH29" s="28">
        <f>IF(('Activity data'!AH16*EF!$H29)*kgtoGg=0,"NO",('Activity data'!AH16*EF!$H29)*kgtoGg)</f>
        <v>7.515E-4</v>
      </c>
      <c r="AI29" s="28">
        <f>IF(('Activity data'!AI16*EF!$H29)*kgtoGg=0,"NO",('Activity data'!AI16*EF!$H29)*kgtoGg)</f>
        <v>7.515E-4</v>
      </c>
      <c r="AJ29" s="28">
        <f>IF(('Activity data'!AJ16*EF!$H29)*kgtoGg=0,"NO",('Activity data'!AJ16*EF!$H29)*kgtoGg)</f>
        <v>7.515E-4</v>
      </c>
      <c r="AK29" s="28">
        <f>IF(('Activity data'!AK16*EF!$H29)*kgtoGg=0,"NO",('Activity data'!AK16*EF!$H29)*kgtoGg)</f>
        <v>7.515E-4</v>
      </c>
      <c r="AL29" s="28">
        <f>IF(('Activity data'!AL16*EF!$H29)*kgtoGg=0,"NO",('Activity data'!AL16*EF!$H29)*kgtoGg)</f>
        <v>7.515E-4</v>
      </c>
      <c r="AM29" s="28">
        <f>IF(('Activity data'!AM16*EF!$H29)*kgtoGg=0,"NO",('Activity data'!AM16*EF!$H29)*kgtoGg)</f>
        <v>7.515E-4</v>
      </c>
      <c r="AN29" s="28">
        <f>IF(('Activity data'!AN16*EF!$H29)*kgtoGg=0,"NO",('Activity data'!AN16*EF!$H29)*kgtoGg)</f>
        <v>7.515E-4</v>
      </c>
      <c r="AO29" s="28">
        <f>IF(('Activity data'!AO16*EF!$H29)*kgtoGg=0,"NO",('Activity data'!AO16*EF!$H29)*kgtoGg)</f>
        <v>7.515E-4</v>
      </c>
      <c r="AP29" s="28">
        <f>IF(('Activity data'!AP16*EF!$H29)*kgtoGg=0,"NO",('Activity data'!AP16*EF!$H29)*kgtoGg)</f>
        <v>7.515E-4</v>
      </c>
      <c r="AQ29" s="28">
        <f>IF(('Activity data'!AQ16*EF!$H29)*kgtoGg=0,"NO",('Activity data'!AQ16*EF!$H29)*kgtoGg)</f>
        <v>7.515E-4</v>
      </c>
      <c r="AR29" s="28">
        <f>IF(('Activity data'!AR16*EF!$H29)*kgtoGg=0,"NO",('Activity data'!AR16*EF!$H29)*kgtoGg)</f>
        <v>7.515E-4</v>
      </c>
      <c r="AS29" s="28">
        <f>IF(('Activity data'!AS16*EF!$H29)*kgtoGg=0,"NO",('Activity data'!AS16*EF!$H29)*kgtoGg)</f>
        <v>7.515E-4</v>
      </c>
      <c r="AT29" s="28">
        <f>IF(('Activity data'!AT16*EF!$H29)*kgtoGg=0,"NO",('Activity data'!AT16*EF!$H29)*kgtoGg)</f>
        <v>7.515E-4</v>
      </c>
      <c r="AU29" s="28">
        <f>IF(('Activity data'!AU16*EF!$H29)*kgtoGg=0,"NO",('Activity data'!AU16*EF!$H29)*kgtoGg)</f>
        <v>7.515E-4</v>
      </c>
      <c r="AV29" s="28">
        <f>IF(('Activity data'!AV16*EF!$H29)*kgtoGg=0,"NO",('Activity data'!AV16*EF!$H29)*kgtoGg)</f>
        <v>7.515E-4</v>
      </c>
      <c r="AW29" s="28">
        <f>IF(('Activity data'!AW16*EF!$H29)*kgtoGg=0,"NO",('Activity data'!AW16*EF!$H29)*kgtoGg)</f>
        <v>7.515E-4</v>
      </c>
      <c r="AX29" s="28">
        <f>IF(('Activity data'!AX16*EF!$H29)*kgtoGg=0,"NO",('Activity data'!AX16*EF!$H29)*kgtoGg)</f>
        <v>7.515E-4</v>
      </c>
      <c r="AY29" s="28">
        <f>IF(('Activity data'!AY16*EF!$H29)*kgtoGg=0,"NO",('Activity data'!AY16*EF!$H29)*kgtoGg)</f>
        <v>7.515E-4</v>
      </c>
      <c r="AZ29" s="28">
        <f>IF(('Activity data'!AZ16*EF!$H29)*kgtoGg=0,"NO",('Activity data'!AZ16*EF!$H29)*kgtoGg)</f>
        <v>7.515E-4</v>
      </c>
      <c r="BA29" s="28">
        <f>IF(('Activity data'!BA16*EF!$H29)*kgtoGg=0,"NO",('Activity data'!BA16*EF!$H29)*kgtoGg)</f>
        <v>7.515E-4</v>
      </c>
      <c r="BB29" s="28">
        <f>IF(('Activity data'!BB16*EF!$H29)*kgtoGg=0,"NO",('Activity data'!BB16*EF!$H29)*kgtoGg)</f>
        <v>7.515E-4</v>
      </c>
      <c r="BC29" s="28">
        <f>IF(('Activity data'!BC16*EF!$H29)*kgtoGg=0,"NO",('Activity data'!BC16*EF!$H29)*kgtoGg)</f>
        <v>7.515E-4</v>
      </c>
      <c r="BD29" s="28">
        <f>IF(('Activity data'!BD16*EF!$H29)*kgtoGg=0,"NO",('Activity data'!BD16*EF!$H29)*kgtoGg)</f>
        <v>7.515E-4</v>
      </c>
      <c r="BE29" s="28">
        <f>IF(('Activity data'!BE16*EF!$H29)*kgtoGg=0,"NO",('Activity data'!BE16*EF!$H29)*kgtoGg)</f>
        <v>7.515E-4</v>
      </c>
      <c r="BF29" s="28">
        <f>IF(('Activity data'!BF16*EF!$H29)*kgtoGg=0,"NO",('Activity data'!BF16*EF!$H29)*kgtoGg)</f>
        <v>7.515E-4</v>
      </c>
      <c r="BG29" s="28">
        <f>IF(('Activity data'!BG16*EF!$H29)*kgtoGg=0,"NO",('Activity data'!BG16*EF!$H29)*kgtoGg)</f>
        <v>7.515E-4</v>
      </c>
      <c r="BH29" s="28">
        <f>IF(('Activity data'!BH16*EF!$H29)*kgtoGg=0,"NO",('Activity data'!BH16*EF!$H29)*kgtoGg)</f>
        <v>7.515E-4</v>
      </c>
      <c r="BI29" s="28">
        <f>IF(('Activity data'!BI16*EF!$H29)*kgtoGg=0,"NO",('Activity data'!BI16*EF!$H29)*kgtoGg)</f>
        <v>7.515E-4</v>
      </c>
      <c r="BJ29" s="28">
        <f>IF(('Activity data'!BJ16*EF!$H29)*kgtoGg=0,"NO",('Activity data'!BJ16*EF!$H29)*kgtoGg)</f>
        <v>7.515E-4</v>
      </c>
      <c r="BK29" s="28">
        <f>IF(('Activity data'!BK16*EF!$H29)*kgtoGg=0,"NO",('Activity data'!BK16*EF!$H29)*kgtoGg)</f>
        <v>7.515E-4</v>
      </c>
      <c r="BL29" s="28">
        <f>IF(('Activity data'!BL16*EF!$H29)*kgtoGg=0,"NO",('Activity data'!BL16*EF!$H29)*kgtoGg)</f>
        <v>7.515E-4</v>
      </c>
      <c r="BM29" s="28">
        <f>IF(('Activity data'!BM16*EF!$H29)*kgtoGg=0,"NO",('Activity data'!BM16*EF!$H29)*kgtoGg)</f>
        <v>7.515E-4</v>
      </c>
      <c r="BN29" s="28">
        <f>IF(('Activity data'!BN16*EF!$H29)*kgtoGg=0,"NO",('Activity data'!BN16*EF!$H29)*kgtoGg)</f>
        <v>7.515E-4</v>
      </c>
      <c r="BO29" s="28">
        <f>IF(('Activity data'!BO16*EF!$H29)*kgtoGg=0,"NO",('Activity data'!BO16*EF!$H29)*kgtoGg)</f>
        <v>7.515E-4</v>
      </c>
      <c r="BP29" s="28">
        <f>IF(('Activity data'!BP16*EF!$H29)*kgtoGg=0,"NO",('Activity data'!BP16*EF!$H29)*kgtoGg)</f>
        <v>7.515E-4</v>
      </c>
    </row>
    <row r="30" spans="1:68" x14ac:dyDescent="0.25">
      <c r="A30" t="str">
        <f t="shared" si="1"/>
        <v>3A Livestock</v>
      </c>
      <c r="B30" t="str">
        <f t="shared" si="8"/>
        <v>3A2 Manure management (CH4)</v>
      </c>
      <c r="C30" t="str">
        <f>EF!C30</f>
        <v>3A1h Swine</v>
      </c>
      <c r="D30" t="str">
        <f>EF!D30</f>
        <v>Commercial</v>
      </c>
      <c r="E30" t="str">
        <f t="shared" si="9"/>
        <v>Manure management Emissions</v>
      </c>
      <c r="F30" t="str">
        <f t="shared" si="6"/>
        <v>CH4</v>
      </c>
      <c r="G30" t="str">
        <f t="shared" si="7"/>
        <v>Gg CH4</v>
      </c>
      <c r="H30" s="28">
        <f>IF(('Activity data'!H17*EF!$H30)*kgtoGg=0,"NO",('Activity data'!H17*EF!$H30)*kgtoGg)</f>
        <v>21.422883239999997</v>
      </c>
      <c r="I30" s="28">
        <f>IF(('Activity data'!I17*EF!$H30)*kgtoGg=0,"NO",('Activity data'!I17*EF!$H30)*kgtoGg)</f>
        <v>23.404921649999999</v>
      </c>
      <c r="J30" s="28">
        <f>IF(('Activity data'!J17*EF!$H30)*kgtoGg=0,"NO",('Activity data'!J17*EF!$H30)*kgtoGg)</f>
        <v>23.250294539999995</v>
      </c>
      <c r="K30" s="28">
        <f>IF(('Activity data'!K17*EF!$H30)*kgtoGg=0,"NO",('Activity data'!K17*EF!$H30)*kgtoGg)</f>
        <v>23.236237529999997</v>
      </c>
      <c r="L30" s="28">
        <f>IF(('Activity data'!L17*EF!$H30)*kgtoGg=0,"NO",('Activity data'!L17*EF!$H30)*kgtoGg)</f>
        <v>22.069505699999993</v>
      </c>
      <c r="M30" s="28">
        <f>IF(('Activity data'!M17*EF!$H30)*kgtoGg=0,"NO",('Activity data'!M17*EF!$H30)*kgtoGg)</f>
        <v>22.280360849999997</v>
      </c>
      <c r="N30" s="28">
        <f>IF(('Activity data'!N17*EF!$H30)*kgtoGg=0,"NO",('Activity data'!N17*EF!$H30)*kgtoGg)</f>
        <v>23.995316069999994</v>
      </c>
      <c r="O30" s="28">
        <f>IF(('Activity data'!O17*EF!$H30)*kgtoGg=0,"NO",('Activity data'!O17*EF!$H30)*kgtoGg)</f>
        <v>23.882859989999996</v>
      </c>
      <c r="P30" s="28">
        <f>IF(('Activity data'!P17*EF!$H30)*kgtoGg=0,"NO",('Activity data'!P17*EF!$H30)*kgtoGg)</f>
        <v>24.402969359999993</v>
      </c>
      <c r="Q30" s="28">
        <f>IF(('Activity data'!Q17*EF!$H30)*kgtoGg=0,"NO",('Activity data'!Q17*EF!$H30)*kgtoGg)</f>
        <v>25.021477799999996</v>
      </c>
      <c r="R30" s="28">
        <f>IF(('Activity data'!R17*EF!$H30)*kgtoGg=0,"NO",('Activity data'!R17*EF!$H30)*kgtoGg)</f>
        <v>23.151895469999999</v>
      </c>
      <c r="S30" s="28">
        <f>IF(('Activity data'!S17*EF!$H30)*kgtoGg=0,"NO",('Activity data'!S17*EF!$H30)*kgtoGg)</f>
        <v>23.587662779999995</v>
      </c>
      <c r="T30" s="28">
        <f>IF(('Activity data'!T17*EF!$H30)*kgtoGg=0,"NO",('Activity data'!T17*EF!$H30)*kgtoGg)</f>
        <v>24.037487099999996</v>
      </c>
      <c r="U30" s="28">
        <f>IF(('Activity data'!U17*EF!$H30)*kgtoGg=0,"NO",('Activity data'!U17*EF!$H30)*kgtoGg)</f>
        <v>23.376807629999995</v>
      </c>
      <c r="V30" s="28">
        <f>IF(('Activity data'!V17*EF!$H30)*kgtoGg=0,"NO",('Activity data'!V17*EF!$H30)*kgtoGg)</f>
        <v>23.376807629999995</v>
      </c>
      <c r="W30" s="28">
        <f>IF(('Activity data'!W17*EF!$H30)*kgtoGg=0,"NO",('Activity data'!W17*EF!$H30)*kgtoGg)</f>
        <v>23.208123509999997</v>
      </c>
      <c r="X30" s="28">
        <f>IF(('Activity data'!X17*EF!$H30)*kgtoGg=0,"NO",('Activity data'!X17*EF!$H30)*kgtoGg)</f>
        <v>22.800470219999998</v>
      </c>
      <c r="Y30" s="28">
        <f>IF(('Activity data'!Y17*EF!$H30)*kgtoGg=0,"NO",('Activity data'!Y17*EF!$H30)*kgtoGg)</f>
        <v>23.208123509999997</v>
      </c>
      <c r="Z30" s="28">
        <f>IF(('Activity data'!Z17*EF!$H30)*kgtoGg=0,"NO",('Activity data'!Z17*EF!$H30)*kgtoGg)</f>
        <v>22.702071149999998</v>
      </c>
      <c r="AA30" s="28">
        <f>IF(('Activity data'!AA17*EF!$H30)*kgtoGg=0,"NO",('Activity data'!AA17*EF!$H30)*kgtoGg)</f>
        <v>22.673957129999998</v>
      </c>
      <c r="AB30" s="28">
        <f>IF(('Activity data'!AB17*EF!$H30)*kgtoGg=0,"NO",('Activity data'!AB17*EF!$H30)*kgtoGg)</f>
        <v>22.406873939999997</v>
      </c>
      <c r="AC30" s="28">
        <f>IF(('Activity data'!AC17*EF!$H30)*kgtoGg=0,"NO",('Activity data'!AC17*EF!$H30)*kgtoGg)</f>
        <v>22.266303839999996</v>
      </c>
      <c r="AD30" s="28">
        <f>IF(('Activity data'!AD17*EF!$H30)*kgtoGg=0,"NO",('Activity data'!AD17*EF!$H30)*kgtoGg)</f>
        <v>23.457025843160746</v>
      </c>
      <c r="AE30" s="28">
        <f>IF(('Activity data'!AE17*EF!$H30)*kgtoGg=0,"NO",('Activity data'!AE17*EF!$H30)*kgtoGg)</f>
        <v>23.382986937378849</v>
      </c>
      <c r="AF30" s="28">
        <f>IF(('Activity data'!AF17*EF!$H30)*kgtoGg=0,"NO",('Activity data'!AF17*EF!$H30)*kgtoGg)</f>
        <v>23.13814083382033</v>
      </c>
      <c r="AG30" s="28">
        <f>IF(('Activity data'!AG17*EF!$H30)*kgtoGg=0,"NO",('Activity data'!AG17*EF!$H30)*kgtoGg)</f>
        <v>22.662740453710065</v>
      </c>
      <c r="AH30" s="28">
        <f>IF(('Activity data'!AH17*EF!$H30)*kgtoGg=0,"NO",('Activity data'!AH17*EF!$H30)*kgtoGg)</f>
        <v>22.20814052076085</v>
      </c>
      <c r="AI30" s="28">
        <f>IF(('Activity data'!AI17*EF!$H30)*kgtoGg=0,"NO",('Activity data'!AI17*EF!$H30)*kgtoGg)</f>
        <v>21.88923282801473</v>
      </c>
      <c r="AJ30" s="28">
        <f>IF(('Activity data'!AJ17*EF!$H30)*kgtoGg=0,"NO",('Activity data'!AJ17*EF!$H30)*kgtoGg)</f>
        <v>21.619144612435328</v>
      </c>
      <c r="AK30" s="28">
        <f>IF(('Activity data'!AK17*EF!$H30)*kgtoGg=0,"NO",('Activity data'!AK17*EF!$H30)*kgtoGg)</f>
        <v>21.121805661826951</v>
      </c>
      <c r="AL30" s="28">
        <f>IF(('Activity data'!AL17*EF!$H30)*kgtoGg=0,"NO",('Activity data'!AL17*EF!$H30)*kgtoGg)</f>
        <v>18.490541417957555</v>
      </c>
      <c r="AM30" s="28">
        <f>IF(('Activity data'!AM17*EF!$H30)*kgtoGg=0,"NO",('Activity data'!AM17*EF!$H30)*kgtoGg)</f>
        <v>18.608041284910804</v>
      </c>
      <c r="AN30" s="28">
        <f>IF(('Activity data'!AN17*EF!$H30)*kgtoGg=0,"NO",('Activity data'!AN17*EF!$H30)*kgtoGg)</f>
        <v>18.667021404289045</v>
      </c>
      <c r="AO30" s="28">
        <f>IF(('Activity data'!AO17*EF!$H30)*kgtoGg=0,"NO",('Activity data'!AO17*EF!$H30)*kgtoGg)</f>
        <v>18.724361625340102</v>
      </c>
      <c r="AP30" s="28">
        <f>IF(('Activity data'!AP17*EF!$H30)*kgtoGg=0,"NO",('Activity data'!AP17*EF!$H30)*kgtoGg)</f>
        <v>18.864420993049936</v>
      </c>
      <c r="AQ30" s="28">
        <f>IF(('Activity data'!AQ17*EF!$H30)*kgtoGg=0,"NO",('Activity data'!AQ17*EF!$H30)*kgtoGg)</f>
        <v>18.999771799577022</v>
      </c>
      <c r="AR30" s="28">
        <f>IF(('Activity data'!AR17*EF!$H30)*kgtoGg=0,"NO",('Activity data'!AR17*EF!$H30)*kgtoGg)</f>
        <v>19.155053851314552</v>
      </c>
      <c r="AS30" s="28">
        <f>IF(('Activity data'!AS17*EF!$H30)*kgtoGg=0,"NO",('Activity data'!AS17*EF!$H30)*kgtoGg)</f>
        <v>19.285389594633891</v>
      </c>
      <c r="AT30" s="28">
        <f>IF(('Activity data'!AT17*EF!$H30)*kgtoGg=0,"NO",('Activity data'!AT17*EF!$H30)*kgtoGg)</f>
        <v>19.442022836092864</v>
      </c>
      <c r="AU30" s="28">
        <f>IF(('Activity data'!AU17*EF!$H30)*kgtoGg=0,"NO",('Activity data'!AU17*EF!$H30)*kgtoGg)</f>
        <v>19.556042835681847</v>
      </c>
      <c r="AV30" s="28">
        <f>IF(('Activity data'!AV17*EF!$H30)*kgtoGg=0,"NO",('Activity data'!AV17*EF!$H30)*kgtoGg)</f>
        <v>19.675981891326479</v>
      </c>
      <c r="AW30" s="28">
        <f>IF(('Activity data'!AW17*EF!$H30)*kgtoGg=0,"NO",('Activity data'!AW17*EF!$H30)*kgtoGg)</f>
        <v>19.897202740032366</v>
      </c>
      <c r="AX30" s="28">
        <f>IF(('Activity data'!AX17*EF!$H30)*kgtoGg=0,"NO",('Activity data'!AX17*EF!$H30)*kgtoGg)</f>
        <v>20.155624807886987</v>
      </c>
      <c r="AY30" s="28">
        <f>IF(('Activity data'!AY17*EF!$H30)*kgtoGg=0,"NO",('Activity data'!AY17*EF!$H30)*kgtoGg)</f>
        <v>20.423045067986479</v>
      </c>
      <c r="AZ30" s="28">
        <f>IF(('Activity data'!AZ17*EF!$H30)*kgtoGg=0,"NO",('Activity data'!AZ17*EF!$H30)*kgtoGg)</f>
        <v>20.122488548289958</v>
      </c>
      <c r="BA30" s="28">
        <f>IF(('Activity data'!BA17*EF!$H30)*kgtoGg=0,"NO",('Activity data'!BA17*EF!$H30)*kgtoGg)</f>
        <v>-6.7894777188619928</v>
      </c>
      <c r="BB30" s="28">
        <f>IF(('Activity data'!BB17*EF!$H30)*kgtoGg=0,"NO",('Activity data'!BB17*EF!$H30)*kgtoGg)</f>
        <v>-6.7152117988933071</v>
      </c>
      <c r="BC30" s="28">
        <f>IF(('Activity data'!BC17*EF!$H30)*kgtoGg=0,"NO",('Activity data'!BC17*EF!$H30)*kgtoGg)</f>
        <v>-6.6425365492848538</v>
      </c>
      <c r="BD30" s="28">
        <f>IF(('Activity data'!BD17*EF!$H30)*kgtoGg=0,"NO",('Activity data'!BD17*EF!$H30)*kgtoGg)</f>
        <v>-6.5713479103809611</v>
      </c>
      <c r="BE30" s="28">
        <f>IF(('Activity data'!BE17*EF!$H30)*kgtoGg=0,"NO",('Activity data'!BE17*EF!$H30)*kgtoGg)</f>
        <v>-6.5015494417857838</v>
      </c>
      <c r="BF30" s="28">
        <f>IF(('Activity data'!BF17*EF!$H30)*kgtoGg=0,"NO",('Activity data'!BF17*EF!$H30)*kgtoGg)</f>
        <v>-6.4330515855366484</v>
      </c>
      <c r="BG30" s="28">
        <f>IF(('Activity data'!BG17*EF!$H30)*kgtoGg=0,"NO",('Activity data'!BG17*EF!$H30)*kgtoGg)</f>
        <v>-6.3579230849055142</v>
      </c>
      <c r="BH30" s="28">
        <f>IF(('Activity data'!BH17*EF!$H30)*kgtoGg=0,"NO",('Activity data'!BH17*EF!$H30)*kgtoGg)</f>
        <v>-6.2841192058185475</v>
      </c>
      <c r="BI30" s="28">
        <f>IF(('Activity data'!BI17*EF!$H30)*kgtoGg=0,"NO",('Activity data'!BI17*EF!$H30)*kgtoGg)</f>
        <v>-6.2115625843192586</v>
      </c>
      <c r="BJ30" s="28">
        <f>IF(('Activity data'!BJ17*EF!$H30)*kgtoGg=0,"NO",('Activity data'!BJ17*EF!$H30)*kgtoGg)</f>
        <v>-6.1401809096937727</v>
      </c>
      <c r="BK30" s="28">
        <f>IF(('Activity data'!BK17*EF!$H30)*kgtoGg=0,"NO",('Activity data'!BK17*EF!$H30)*kgtoGg)</f>
        <v>-6.069906487857895</v>
      </c>
      <c r="BL30" s="28">
        <f>IF(('Activity data'!BL17*EF!$H30)*kgtoGg=0,"NO",('Activity data'!BL17*EF!$H30)*kgtoGg)</f>
        <v>-5.9933231004711045</v>
      </c>
      <c r="BM30" s="28">
        <f>IF(('Activity data'!BM17*EF!$H30)*kgtoGg=0,"NO",('Activity data'!BM17*EF!$H30)*kgtoGg)</f>
        <v>-5.917909419883066</v>
      </c>
      <c r="BN30" s="28">
        <f>IF(('Activity data'!BN17*EF!$H30)*kgtoGg=0,"NO",('Activity data'!BN17*EF!$H30)*kgtoGg)</f>
        <v>-5.8436052370026852</v>
      </c>
      <c r="BO30" s="28">
        <f>IF(('Activity data'!BO17*EF!$H30)*kgtoGg=0,"NO",('Activity data'!BO17*EF!$H30)*kgtoGg)</f>
        <v>-5.7703539001026636</v>
      </c>
      <c r="BP30" s="28">
        <f>IF(('Activity data'!BP17*EF!$H30)*kgtoGg=0,"NO",('Activity data'!BP17*EF!$H30)*kgtoGg)</f>
        <v>-5.6981020374621041</v>
      </c>
    </row>
    <row r="31" spans="1:68" x14ac:dyDescent="0.25">
      <c r="A31" t="str">
        <f t="shared" si="1"/>
        <v>3A Livestock</v>
      </c>
      <c r="B31" t="str">
        <f t="shared" si="8"/>
        <v>3A2 Manure management (CH4)</v>
      </c>
      <c r="C31" t="str">
        <f>EF!C31</f>
        <v>3A1h Swine</v>
      </c>
      <c r="D31" t="str">
        <f>EF!D31</f>
        <v>Subsistence</v>
      </c>
      <c r="E31" t="str">
        <f t="shared" si="9"/>
        <v>Manure management Emissions</v>
      </c>
      <c r="F31" t="str">
        <f t="shared" si="6"/>
        <v>CH4</v>
      </c>
      <c r="G31" t="str">
        <f t="shared" si="7"/>
        <v>Gg CH4</v>
      </c>
      <c r="H31" s="28">
        <f>IF(('Activity data'!H18*EF!$H31)*kgtoGg=0,"NO",('Activity data'!H18*EF!$H31)*kgtoGg)</f>
        <v>6.8678348124932898E-2</v>
      </c>
      <c r="I31" s="28">
        <f>IF(('Activity data'!I18*EF!$H31)*kgtoGg=0,"NO",('Activity data'!I18*EF!$H31)*kgtoGg)</f>
        <v>7.5032447262475918E-2</v>
      </c>
      <c r="J31" s="28">
        <f>IF(('Activity data'!J18*EF!$H31)*kgtoGg=0,"NO",('Activity data'!J18*EF!$H31)*kgtoGg)</f>
        <v>7.4536737400681771E-2</v>
      </c>
      <c r="K31" s="28">
        <f>IF(('Activity data'!K18*EF!$H31)*kgtoGg=0,"NO",('Activity data'!K18*EF!$H31)*kgtoGg)</f>
        <v>7.4491672867791403E-2</v>
      </c>
      <c r="L31" s="28">
        <f>IF(('Activity data'!L18*EF!$H31)*kgtoGg=0,"NO",('Activity data'!L18*EF!$H31)*kgtoGg)</f>
        <v>7.0751316637890194E-2</v>
      </c>
      <c r="M31" s="28">
        <f>IF(('Activity data'!M18*EF!$H31)*kgtoGg=0,"NO",('Activity data'!M18*EF!$H31)*kgtoGg)</f>
        <v>7.1427284631245841E-2</v>
      </c>
      <c r="N31" s="28">
        <f>IF(('Activity data'!N18*EF!$H31)*kgtoGg=0,"NO",('Activity data'!N18*EF!$H31)*kgtoGg)</f>
        <v>7.69251576438717E-2</v>
      </c>
      <c r="O31" s="28">
        <f>IF(('Activity data'!O18*EF!$H31)*kgtoGg=0,"NO",('Activity data'!O18*EF!$H31)*kgtoGg)</f>
        <v>7.6564641380748699E-2</v>
      </c>
      <c r="P31" s="28">
        <f>IF(('Activity data'!P18*EF!$H31)*kgtoGg=0,"NO",('Activity data'!P18*EF!$H31)*kgtoGg)</f>
        <v>7.8232029097692599E-2</v>
      </c>
      <c r="Q31" s="28">
        <f>IF(('Activity data'!Q18*EF!$H31)*kgtoGg=0,"NO",('Activity data'!Q18*EF!$H31)*kgtoGg)</f>
        <v>8.0214868544869131E-2</v>
      </c>
      <c r="R31" s="28">
        <f>IF(('Activity data'!R18*EF!$H31)*kgtoGg=0,"NO",('Activity data'!R18*EF!$H31)*kgtoGg)</f>
        <v>7.4221285670449139E-2</v>
      </c>
      <c r="S31" s="28">
        <f>IF(('Activity data'!S18*EF!$H31)*kgtoGg=0,"NO",('Activity data'!S18*EF!$H31)*kgtoGg)</f>
        <v>7.5618286190050801E-2</v>
      </c>
      <c r="T31" s="28">
        <f>IF(('Activity data'!T18*EF!$H31)*kgtoGg=0,"NO",('Activity data'!T18*EF!$H31)*kgtoGg)</f>
        <v>7.7060351242542832E-2</v>
      </c>
      <c r="U31" s="28">
        <f>IF(('Activity data'!U18*EF!$H31)*kgtoGg=0,"NO",('Activity data'!U18*EF!$H31)*kgtoGg)</f>
        <v>7.4942318196695168E-2</v>
      </c>
      <c r="V31" s="28">
        <f>IF(('Activity data'!V18*EF!$H31)*kgtoGg=0,"NO",('Activity data'!V18*EF!$H31)*kgtoGg)</f>
        <v>7.4942318196695168E-2</v>
      </c>
      <c r="W31" s="28">
        <f>IF(('Activity data'!W18*EF!$H31)*kgtoGg=0,"NO",('Activity data'!W18*EF!$H31)*kgtoGg)</f>
        <v>7.4401543802010653E-2</v>
      </c>
      <c r="X31" s="28">
        <f>IF(('Activity data'!X18*EF!$H31)*kgtoGg=0,"NO",('Activity data'!X18*EF!$H31)*kgtoGg)</f>
        <v>7.309467234818974E-2</v>
      </c>
      <c r="Y31" s="28">
        <f>IF(('Activity data'!Y18*EF!$H31)*kgtoGg=0,"NO",('Activity data'!Y18*EF!$H31)*kgtoGg)</f>
        <v>7.4401543802010653E-2</v>
      </c>
      <c r="Z31" s="28">
        <f>IF(('Activity data'!Z18*EF!$H31)*kgtoGg=0,"NO",('Activity data'!Z18*EF!$H31)*kgtoGg)</f>
        <v>7.2779220617957122E-2</v>
      </c>
      <c r="AA31" s="28">
        <f>IF(('Activity data'!AA18*EF!$H31)*kgtoGg=0,"NO",('Activity data'!AA18*EF!$H31)*kgtoGg)</f>
        <v>7.2689091552176358E-2</v>
      </c>
      <c r="AB31" s="28">
        <f>IF(('Activity data'!AB18*EF!$H31)*kgtoGg=0,"NO",('Activity data'!AB18*EF!$H31)*kgtoGg)</f>
        <v>7.1832865427259224E-2</v>
      </c>
      <c r="AC31" s="28">
        <f>IF(('Activity data'!AC18*EF!$H31)*kgtoGg=0,"NO",('Activity data'!AC18*EF!$H31)*kgtoGg)</f>
        <v>7.1382220098355459E-2</v>
      </c>
      <c r="AD31" s="28">
        <f>IF(('Activity data'!AD18*EF!$H31)*kgtoGg=0,"NO",('Activity data'!AD18*EF!$H31)*kgtoGg)</f>
        <v>7.8527817196558602E-2</v>
      </c>
      <c r="AE31" s="28">
        <f>IF(('Activity data'!AE18*EF!$H31)*kgtoGg=0,"NO",('Activity data'!AE18*EF!$H31)*kgtoGg)</f>
        <v>7.8279954841904253E-2</v>
      </c>
      <c r="AF31" s="28">
        <f>IF(('Activity data'!AF18*EF!$H31)*kgtoGg=0,"NO",('Activity data'!AF18*EF!$H31)*kgtoGg)</f>
        <v>7.7460275902635017E-2</v>
      </c>
      <c r="AG31" s="28">
        <f>IF(('Activity data'!AG18*EF!$H31)*kgtoGg=0,"NO",('Activity data'!AG18*EF!$H31)*kgtoGg)</f>
        <v>7.5868763219224714E-2</v>
      </c>
      <c r="AH31" s="28">
        <f>IF(('Activity data'!AH18*EF!$H31)*kgtoGg=0,"NO",('Activity data'!AH18*EF!$H31)*kgtoGg)</f>
        <v>7.4346884841680436E-2</v>
      </c>
      <c r="AI31" s="28">
        <f>IF(('Activity data'!AI18*EF!$H31)*kgtoGg=0,"NO",('Activity data'!AI18*EF!$H31)*kgtoGg)</f>
        <v>7.3279267609811918E-2</v>
      </c>
      <c r="AJ31" s="28">
        <f>IF(('Activity data'!AJ18*EF!$H31)*kgtoGg=0,"NO",('Activity data'!AJ18*EF!$H31)*kgtoGg)</f>
        <v>7.2375084864660211E-2</v>
      </c>
      <c r="AK31" s="28">
        <f>IF(('Activity data'!AK18*EF!$H31)*kgtoGg=0,"NO",('Activity data'!AK18*EF!$H31)*kgtoGg)</f>
        <v>7.0710127744382734E-2</v>
      </c>
      <c r="AL31" s="28">
        <f>IF(('Activity data'!AL18*EF!$H31)*kgtoGg=0,"NO",('Activity data'!AL18*EF!$H31)*kgtoGg)</f>
        <v>6.1901362348463523E-2</v>
      </c>
      <c r="AM31" s="28">
        <f>IF(('Activity data'!AM18*EF!$H31)*kgtoGg=0,"NO",('Activity data'!AM18*EF!$H31)*kgtoGg)</f>
        <v>6.2294720318669075E-2</v>
      </c>
      <c r="AN31" s="28">
        <f>IF(('Activity data'!AN18*EF!$H31)*kgtoGg=0,"NO",('Activity data'!AN18*EF!$H31)*kgtoGg)</f>
        <v>6.2492169904295722E-2</v>
      </c>
      <c r="AO31" s="28">
        <f>IF(('Activity data'!AO18*EF!$H31)*kgtoGg=0,"NO",('Activity data'!AO18*EF!$H31)*kgtoGg)</f>
        <v>6.2684129551133075E-2</v>
      </c>
      <c r="AP31" s="28">
        <f>IF(('Activity data'!AP18*EF!$H31)*kgtoGg=0,"NO",('Activity data'!AP18*EF!$H31)*kgtoGg)</f>
        <v>6.3153010665803033E-2</v>
      </c>
      <c r="AQ31" s="28">
        <f>IF(('Activity data'!AQ18*EF!$H31)*kgtoGg=0,"NO",('Activity data'!AQ18*EF!$H31)*kgtoGg)</f>
        <v>6.360612878331004E-2</v>
      </c>
      <c r="AR31" s="28">
        <f>IF(('Activity data'!AR18*EF!$H31)*kgtoGg=0,"NO",('Activity data'!AR18*EF!$H31)*kgtoGg)</f>
        <v>6.4125971352196762E-2</v>
      </c>
      <c r="AS31" s="28">
        <f>IF(('Activity data'!AS18*EF!$H31)*kgtoGg=0,"NO",('Activity data'!AS18*EF!$H31)*kgtoGg)</f>
        <v>6.4562300386149837E-2</v>
      </c>
      <c r="AT31" s="28">
        <f>IF(('Activity data'!AT18*EF!$H31)*kgtoGg=0,"NO",('Activity data'!AT18*EF!$H31)*kgtoGg)</f>
        <v>6.5086666375019683E-2</v>
      </c>
      <c r="AU31" s="28">
        <f>IF(('Activity data'!AU18*EF!$H31)*kgtoGg=0,"NO",('Activity data'!AU18*EF!$H31)*kgtoGg)</f>
        <v>6.5468374684689551E-2</v>
      </c>
      <c r="AV31" s="28">
        <f>IF(('Activity data'!AV18*EF!$H31)*kgtoGg=0,"NO",('Activity data'!AV18*EF!$H31)*kgtoGg)</f>
        <v>6.5869898402971833E-2</v>
      </c>
      <c r="AW31" s="28">
        <f>IF(('Activity data'!AW18*EF!$H31)*kgtoGg=0,"NO",('Activity data'!AW18*EF!$H31)*kgtoGg)</f>
        <v>6.6610486339541322E-2</v>
      </c>
      <c r="AX31" s="28">
        <f>IF(('Activity data'!AX18*EF!$H31)*kgtoGg=0,"NO",('Activity data'!AX18*EF!$H31)*kgtoGg)</f>
        <v>6.7475613958009675E-2</v>
      </c>
      <c r="AY31" s="28">
        <f>IF(('Activity data'!AY18*EF!$H31)*kgtoGg=0,"NO",('Activity data'!AY18*EF!$H31)*kgtoGg)</f>
        <v>6.8370865105369938E-2</v>
      </c>
      <c r="AZ31" s="28">
        <f>IF(('Activity data'!AZ18*EF!$H31)*kgtoGg=0,"NO",('Activity data'!AZ18*EF!$H31)*kgtoGg)</f>
        <v>6.7364682668015305E-2</v>
      </c>
      <c r="BA31" s="28">
        <f>IF(('Activity data'!BA18*EF!$H31)*kgtoGg=0,"NO",('Activity data'!BA18*EF!$H31)*kgtoGg)</f>
        <v>-2.2729346368621329E-2</v>
      </c>
      <c r="BB31" s="28">
        <f>IF(('Activity data'!BB18*EF!$H31)*kgtoGg=0,"NO",('Activity data'!BB18*EF!$H31)*kgtoGg)</f>
        <v>-2.2480724031491765E-2</v>
      </c>
      <c r="BC31" s="28">
        <f>IF(('Activity data'!BC18*EF!$H31)*kgtoGg=0,"NO",('Activity data'!BC18*EF!$H31)*kgtoGg)</f>
        <v>-2.2237426831150792E-2</v>
      </c>
      <c r="BD31" s="28">
        <f>IF(('Activity data'!BD18*EF!$H31)*kgtoGg=0,"NO",('Activity data'!BD18*EF!$H31)*kgtoGg)</f>
        <v>-2.1999106403842797E-2</v>
      </c>
      <c r="BE31" s="28">
        <f>IF(('Activity data'!BE18*EF!$H31)*kgtoGg=0,"NO",('Activity data'!BE18*EF!$H31)*kgtoGg)</f>
        <v>-2.1765439893045996E-2</v>
      </c>
      <c r="BF31" s="28">
        <f>IF(('Activity data'!BF18*EF!$H31)*kgtoGg=0,"NO",('Activity data'!BF18*EF!$H31)*kgtoGg)</f>
        <v>-2.1536127482774822E-2</v>
      </c>
      <c r="BG31" s="28">
        <f>IF(('Activity data'!BG18*EF!$H31)*kgtoGg=0,"NO",('Activity data'!BG18*EF!$H31)*kgtoGg)</f>
        <v>-2.1284617457451926E-2</v>
      </c>
      <c r="BH31" s="28">
        <f>IF(('Activity data'!BH18*EF!$H31)*kgtoGg=0,"NO",('Activity data'!BH18*EF!$H31)*kgtoGg)</f>
        <v>-2.1037541908996236E-2</v>
      </c>
      <c r="BI31" s="28">
        <f>IF(('Activity data'!BI18*EF!$H31)*kgtoGg=0,"NO",('Activity data'!BI18*EF!$H31)*kgtoGg)</f>
        <v>-2.0794641843677117E-2</v>
      </c>
      <c r="BJ31" s="28">
        <f>IF(('Activity data'!BJ18*EF!$H31)*kgtoGg=0,"NO",('Activity data'!BJ18*EF!$H31)*kgtoGg)</f>
        <v>-2.0555675184661872E-2</v>
      </c>
      <c r="BK31" s="28">
        <f>IF(('Activity data'!BK18*EF!$H31)*kgtoGg=0,"NO",('Activity data'!BK18*EF!$H31)*kgtoGg)</f>
        <v>-2.0320415310353012E-2</v>
      </c>
      <c r="BL31" s="28">
        <f>IF(('Activity data'!BL18*EF!$H31)*kgtoGg=0,"NO",('Activity data'!BL18*EF!$H31)*kgtoGg)</f>
        <v>-2.0064034715250558E-2</v>
      </c>
      <c r="BM31" s="28">
        <f>IF(('Activity data'!BM18*EF!$H31)*kgtoGg=0,"NO",('Activity data'!BM18*EF!$H31)*kgtoGg)</f>
        <v>-1.9811569984089266E-2</v>
      </c>
      <c r="BN31" s="28">
        <f>IF(('Activity data'!BN18*EF!$H31)*kgtoGg=0,"NO",('Activity data'!BN18*EF!$H31)*kgtoGg)</f>
        <v>-1.9562819553016541E-2</v>
      </c>
      <c r="BO31" s="28">
        <f>IF(('Activity data'!BO18*EF!$H31)*kgtoGg=0,"NO",('Activity data'!BO18*EF!$H31)*kgtoGg)</f>
        <v>-1.9317593767277572E-2</v>
      </c>
      <c r="BP31" s="28">
        <f>IF(('Activity data'!BP18*EF!$H31)*kgtoGg=0,"NO",('Activity data'!BP18*EF!$H31)*kgtoGg)</f>
        <v>-1.907571395269729E-2</v>
      </c>
    </row>
    <row r="32" spans="1:68" x14ac:dyDescent="0.25">
      <c r="A32" t="str">
        <f t="shared" si="1"/>
        <v>3A Livestock</v>
      </c>
      <c r="B32" t="str">
        <f t="shared" si="8"/>
        <v>3A2 Manure management (CH4)</v>
      </c>
      <c r="C32" t="str">
        <f>EF!C32</f>
        <v>3A2i Poultry</v>
      </c>
      <c r="D32" t="str">
        <f>EF!D32</f>
        <v>Commercial layers</v>
      </c>
      <c r="E32" t="str">
        <f t="shared" si="9"/>
        <v>Manure management Emissions</v>
      </c>
      <c r="F32" t="str">
        <f t="shared" si="6"/>
        <v>CH4</v>
      </c>
      <c r="G32" t="str">
        <f t="shared" si="7"/>
        <v>Gg CH4</v>
      </c>
      <c r="H32" s="28">
        <f>IF(('Activity data'!H19*EF!$H32)*kgtoGg=0,"NO",('Activity data'!H19*EF!$H32)*kgtoGg)</f>
        <v>0.34412636088479531</v>
      </c>
      <c r="I32" s="28">
        <f>IF(('Activity data'!I19*EF!$H32)*kgtoGg=0,"NO",('Activity data'!I19*EF!$H32)*kgtoGg)</f>
        <v>0.33431360408971139</v>
      </c>
      <c r="J32" s="28">
        <f>IF(('Activity data'!J19*EF!$H32)*kgtoGg=0,"NO",('Activity data'!J19*EF!$H32)*kgtoGg)</f>
        <v>0.31707319838740716</v>
      </c>
      <c r="K32" s="28">
        <f>IF(('Activity data'!K19*EF!$H32)*kgtoGg=0,"NO",('Activity data'!K19*EF!$H32)*kgtoGg)</f>
        <v>0.31208778044270324</v>
      </c>
      <c r="L32" s="28">
        <f>IF(('Activity data'!L19*EF!$H32)*kgtoGg=0,"NO",('Activity data'!L19*EF!$H32)*kgtoGg)</f>
        <v>0.29851308566472284</v>
      </c>
      <c r="M32" s="28">
        <f>IF(('Activity data'!M19*EF!$H32)*kgtoGg=0,"NO",('Activity data'!M19*EF!$H32)*kgtoGg)</f>
        <v>0.32571493051505118</v>
      </c>
      <c r="N32" s="28">
        <f>IF(('Activity data'!N19*EF!$H32)*kgtoGg=0,"NO",('Activity data'!N19*EF!$H32)*kgtoGg)</f>
        <v>0.34405437172586711</v>
      </c>
      <c r="O32" s="28">
        <f>IF(('Activity data'!O19*EF!$H32)*kgtoGg=0,"NO",('Activity data'!O19*EF!$H32)*kgtoGg)</f>
        <v>0.34518574950517145</v>
      </c>
      <c r="P32" s="28">
        <f>IF(('Activity data'!P19*EF!$H32)*kgtoGg=0,"NO",('Activity data'!P19*EF!$H32)*kgtoGg)</f>
        <v>0.38865002667416459</v>
      </c>
      <c r="Q32" s="28">
        <f>IF(('Activity data'!Q19*EF!$H32)*kgtoGg=0,"NO",('Activity data'!Q19*EF!$H32)*kgtoGg)</f>
        <v>0.41667182927837593</v>
      </c>
      <c r="R32" s="28">
        <f>IF(('Activity data'!R19*EF!$H32)*kgtoGg=0,"NO",('Activity data'!R19*EF!$H32)*kgtoGg)</f>
        <v>0.40784322178977589</v>
      </c>
      <c r="S32" s="28">
        <f>IF(('Activity data'!S19*EF!$H32)*kgtoGg=0,"NO",('Activity data'!S19*EF!$H32)*kgtoGg)</f>
        <v>0.41872302408484074</v>
      </c>
      <c r="T32" s="28">
        <f>IF(('Activity data'!T19*EF!$H32)*kgtoGg=0,"NO",('Activity data'!T19*EF!$H32)*kgtoGg)</f>
        <v>0.41543664927468582</v>
      </c>
      <c r="U32" s="28">
        <f>IF(('Activity data'!U19*EF!$H32)*kgtoGg=0,"NO",('Activity data'!U19*EF!$H32)*kgtoGg)</f>
        <v>0.39885137894995365</v>
      </c>
      <c r="V32" s="28">
        <f>IF(('Activity data'!V19*EF!$H32)*kgtoGg=0,"NO",('Activity data'!V19*EF!$H32)*kgtoGg)</f>
        <v>0.41331414342789019</v>
      </c>
      <c r="W32" s="28">
        <f>IF(('Activity data'!W19*EF!$H32)*kgtoGg=0,"NO",('Activity data'!W19*EF!$H32)*kgtoGg)</f>
        <v>0.43823720309168573</v>
      </c>
      <c r="X32" s="28">
        <f>IF(('Activity data'!X19*EF!$H32)*kgtoGg=0,"NO",('Activity data'!X19*EF!$H32)*kgtoGg)</f>
        <v>0.48364625743591194</v>
      </c>
      <c r="Y32" s="28">
        <f>IF(('Activity data'!Y19*EF!$H32)*kgtoGg=0,"NO",('Activity data'!Y19*EF!$H32)*kgtoGg)</f>
        <v>0.53523791894516948</v>
      </c>
      <c r="Z32" s="28">
        <f>IF(('Activity data'!Z19*EF!$H32)*kgtoGg=0,"NO",('Activity data'!Z19*EF!$H32)*kgtoGg)</f>
        <v>0.54228693678826778</v>
      </c>
      <c r="AA32" s="28">
        <f>IF(('Activity data'!AA19*EF!$H32)*kgtoGg=0,"NO",('Activity data'!AA19*EF!$H32)*kgtoGg)</f>
        <v>0.52229475326298369</v>
      </c>
      <c r="AB32" s="28">
        <f>IF(('Activity data'!AB19*EF!$H32)*kgtoGg=0,"NO",('Activity data'!AB19*EF!$H32)*kgtoGg)</f>
        <v>0.5426399385673164</v>
      </c>
      <c r="AC32" s="28">
        <f>IF(('Activity data'!AC19*EF!$H32)*kgtoGg=0,"NO",('Activity data'!AC19*EF!$H32)*kgtoGg)</f>
        <v>0.56768674314562217</v>
      </c>
      <c r="AD32" s="28">
        <f>IF(('Activity data'!AD19*EF!$H32)*kgtoGg=0,"NO",('Activity data'!AD19*EF!$H32)*kgtoGg)</f>
        <v>0.55890468998141496</v>
      </c>
      <c r="AE32" s="28">
        <f>IF(('Activity data'!AE19*EF!$H32)*kgtoGg=0,"NO",('Activity data'!AE19*EF!$H32)*kgtoGg)</f>
        <v>0.57100815822901829</v>
      </c>
      <c r="AF32" s="28">
        <f>IF(('Activity data'!AF19*EF!$H32)*kgtoGg=0,"NO",('Activity data'!AF19*EF!$H32)*kgtoGg)</f>
        <v>0.58076061949579127</v>
      </c>
      <c r="AG32" s="28">
        <f>IF(('Activity data'!AG19*EF!$H32)*kgtoGg=0,"NO",('Activity data'!AG19*EF!$H32)*kgtoGg)</f>
        <v>0.58713273634766394</v>
      </c>
      <c r="AH32" s="28">
        <f>IF(('Activity data'!AH19*EF!$H32)*kgtoGg=0,"NO",('Activity data'!AH19*EF!$H32)*kgtoGg)</f>
        <v>0.59359134329353236</v>
      </c>
      <c r="AI32" s="28">
        <f>IF(('Activity data'!AI19*EF!$H32)*kgtoGg=0,"NO",('Activity data'!AI19*EF!$H32)*kgtoGg)</f>
        <v>0.60191770622970409</v>
      </c>
      <c r="AJ32" s="28">
        <f>IF(('Activity data'!AJ19*EF!$H32)*kgtoGg=0,"NO",('Activity data'!AJ19*EF!$H32)*kgtoGg)</f>
        <v>0.61082194696949044</v>
      </c>
      <c r="AK32" s="28">
        <f>IF(('Activity data'!AK19*EF!$H32)*kgtoGg=0,"NO",('Activity data'!AK19*EF!$H32)*kgtoGg)</f>
        <v>0.61600023875173726</v>
      </c>
      <c r="AL32" s="28">
        <f>IF(('Activity data'!AL19*EF!$H32)*kgtoGg=0,"NO",('Activity data'!AL19*EF!$H32)*kgtoGg)</f>
        <v>0.58621039395021657</v>
      </c>
      <c r="AM32" s="28">
        <f>IF(('Activity data'!AM19*EF!$H32)*kgtoGg=0,"NO",('Activity data'!AM19*EF!$H32)*kgtoGg)</f>
        <v>0.59879553943192321</v>
      </c>
      <c r="AN32" s="28">
        <f>IF(('Activity data'!AN19*EF!$H32)*kgtoGg=0,"NO",('Activity data'!AN19*EF!$H32)*kgtoGg)</f>
        <v>0.61054377323307962</v>
      </c>
      <c r="AO32" s="28">
        <f>IF(('Activity data'!AO19*EF!$H32)*kgtoGg=0,"NO",('Activity data'!AO19*EF!$H32)*kgtoGg)</f>
        <v>0.62238475303160634</v>
      </c>
      <c r="AP32" s="28">
        <f>IF(('Activity data'!AP19*EF!$H32)*kgtoGg=0,"NO",('Activity data'!AP19*EF!$H32)*kgtoGg)</f>
        <v>0.63582344873120078</v>
      </c>
      <c r="AQ32" s="28">
        <f>IF(('Activity data'!AQ19*EF!$H32)*kgtoGg=0,"NO",('Activity data'!AQ19*EF!$H32)*kgtoGg)</f>
        <v>0.6493737760577617</v>
      </c>
      <c r="AR32" s="28">
        <f>IF(('Activity data'!AR19*EF!$H32)*kgtoGg=0,"NO",('Activity data'!AR19*EF!$H32)*kgtoGg)</f>
        <v>0.66294132390021665</v>
      </c>
      <c r="AS32" s="28">
        <f>IF(('Activity data'!AS19*EF!$H32)*kgtoGg=0,"NO",('Activity data'!AS19*EF!$H32)*kgtoGg)</f>
        <v>0.67624718076087176</v>
      </c>
      <c r="AT32" s="28">
        <f>IF(('Activity data'!AT19*EF!$H32)*kgtoGg=0,"NO",('Activity data'!AT19*EF!$H32)*kgtoGg)</f>
        <v>0.69026013489965976</v>
      </c>
      <c r="AU32" s="28">
        <f>IF(('Activity data'!AU19*EF!$H32)*kgtoGg=0,"NO",('Activity data'!AU19*EF!$H32)*kgtoGg)</f>
        <v>0.70365733936336983</v>
      </c>
      <c r="AV32" s="28">
        <f>IF(('Activity data'!AV19*EF!$H32)*kgtoGg=0,"NO",('Activity data'!AV19*EF!$H32)*kgtoGg)</f>
        <v>0.71737227237227463</v>
      </c>
      <c r="AW32" s="28">
        <f>IF(('Activity data'!AW19*EF!$H32)*kgtoGg=0,"NO",('Activity data'!AW19*EF!$H32)*kgtoGg)</f>
        <v>0.7329223784090988</v>
      </c>
      <c r="AX32" s="28">
        <f>IF(('Activity data'!AX19*EF!$H32)*kgtoGg=0,"NO",('Activity data'!AX19*EF!$H32)*kgtoGg)</f>
        <v>0.74954420563381685</v>
      </c>
      <c r="AY32" s="28">
        <f>IF(('Activity data'!AY19*EF!$H32)*kgtoGg=0,"NO",('Activity data'!AY19*EF!$H32)*kgtoGg)</f>
        <v>0.76668896317960933</v>
      </c>
      <c r="AZ32" s="28">
        <f>IF(('Activity data'!AZ19*EF!$H32)*kgtoGg=0,"NO",('Activity data'!AZ19*EF!$H32)*kgtoGg)</f>
        <v>0.77179208889456419</v>
      </c>
      <c r="BA32" s="28">
        <f>IF(('Activity data'!BA19*EF!$H32)*kgtoGg=0,"NO",('Activity data'!BA19*EF!$H32)*kgtoGg)</f>
        <v>0.1849915255736751</v>
      </c>
      <c r="BB32" s="28">
        <f>IF(('Activity data'!BB19*EF!$H32)*kgtoGg=0,"NO",('Activity data'!BB19*EF!$H32)*kgtoGg)</f>
        <v>0.18641334189853098</v>
      </c>
      <c r="BC32" s="28">
        <f>IF(('Activity data'!BC19*EF!$H32)*kgtoGg=0,"NO",('Activity data'!BC19*EF!$H32)*kgtoGg)</f>
        <v>0.18784551012942485</v>
      </c>
      <c r="BD32" s="28">
        <f>IF(('Activity data'!BD19*EF!$H32)*kgtoGg=0,"NO",('Activity data'!BD19*EF!$H32)*kgtoGg)</f>
        <v>0.18928810909326649</v>
      </c>
      <c r="BE32" s="28">
        <f>IF(('Activity data'!BE19*EF!$H32)*kgtoGg=0,"NO",('Activity data'!BE19*EF!$H32)*kgtoGg)</f>
        <v>0.19074121797493229</v>
      </c>
      <c r="BF32" s="28">
        <f>IF(('Activity data'!BF19*EF!$H32)*kgtoGg=0,"NO",('Activity data'!BF19*EF!$H32)*kgtoGg)</f>
        <v>0.19220491634055523</v>
      </c>
      <c r="BG32" s="28">
        <f>IF(('Activity data'!BG19*EF!$H32)*kgtoGg=0,"NO",('Activity data'!BG19*EF!$H32)*kgtoGg)</f>
        <v>0.19345615565117347</v>
      </c>
      <c r="BH32" s="28">
        <f>IF(('Activity data'!BH19*EF!$H32)*kgtoGg=0,"NO",('Activity data'!BH19*EF!$H32)*kgtoGg)</f>
        <v>0.19471511856878457</v>
      </c>
      <c r="BI32" s="28">
        <f>IF(('Activity data'!BI19*EF!$H32)*kgtoGg=0,"NO",('Activity data'!BI19*EF!$H32)*kgtoGg)</f>
        <v>0.1959818552978623</v>
      </c>
      <c r="BJ32" s="28">
        <f>IF(('Activity data'!BJ19*EF!$H32)*kgtoGg=0,"NO",('Activity data'!BJ19*EF!$H32)*kgtoGg)</f>
        <v>0.19725641621087697</v>
      </c>
      <c r="BK32" s="28">
        <f>IF(('Activity data'!BK19*EF!$H32)*kgtoGg=0,"NO",('Activity data'!BK19*EF!$H32)*kgtoGg)</f>
        <v>0.19853885186147341</v>
      </c>
      <c r="BL32" s="28">
        <f>IF(('Activity data'!BL19*EF!$H32)*kgtoGg=0,"NO",('Activity data'!BL19*EF!$H32)*kgtoGg)</f>
        <v>0.19959990963889776</v>
      </c>
      <c r="BM32" s="28">
        <f>IF(('Activity data'!BM19*EF!$H32)*kgtoGg=0,"NO",('Activity data'!BM19*EF!$H32)*kgtoGg)</f>
        <v>0.20066634279480103</v>
      </c>
      <c r="BN32" s="28">
        <f>IF(('Activity data'!BN19*EF!$H32)*kgtoGg=0,"NO",('Activity data'!BN19*EF!$H32)*kgtoGg)</f>
        <v>0.20173818048457057</v>
      </c>
      <c r="BO32" s="28">
        <f>IF(('Activity data'!BO19*EF!$H32)*kgtoGg=0,"NO",('Activity data'!BO19*EF!$H32)*kgtoGg)</f>
        <v>0.20281545191264314</v>
      </c>
      <c r="BP32" s="28">
        <f>IF(('Activity data'!BP19*EF!$H32)*kgtoGg=0,"NO",('Activity data'!BP19*EF!$H32)*kgtoGg)</f>
        <v>0.20389818634036988</v>
      </c>
    </row>
    <row r="33" spans="1:68" x14ac:dyDescent="0.25">
      <c r="A33" t="str">
        <f t="shared" si="1"/>
        <v>3A Livestock</v>
      </c>
      <c r="B33" t="str">
        <f t="shared" si="8"/>
        <v>3A2 Manure management (CH4)</v>
      </c>
      <c r="C33" t="str">
        <f>EF!C33</f>
        <v>3A2i Poultry</v>
      </c>
      <c r="D33" t="str">
        <f>EF!D33</f>
        <v>Commercial broilers</v>
      </c>
      <c r="E33" t="str">
        <f t="shared" si="9"/>
        <v>Manure management Emissions</v>
      </c>
      <c r="F33" t="str">
        <f t="shared" si="6"/>
        <v>CH4</v>
      </c>
      <c r="G33" t="str">
        <f t="shared" si="7"/>
        <v>Gg CH4</v>
      </c>
      <c r="H33" s="28">
        <f>IF(('Activity data'!H20*EF!$H33)*kgtoGg=0,"NO",('Activity data'!H20*EF!$H33)*kgtoGg)</f>
        <v>0.94715547095572861</v>
      </c>
      <c r="I33" s="28">
        <f>IF(('Activity data'!I20*EF!$H33)*kgtoGg=0,"NO",('Activity data'!I20*EF!$H33)*kgtoGg)</f>
        <v>0.89032614384752706</v>
      </c>
      <c r="J33" s="28">
        <f>IF(('Activity data'!J20*EF!$H33)*kgtoGg=0,"NO",('Activity data'!J20*EF!$H33)*kgtoGg)</f>
        <v>0.84142189535323741</v>
      </c>
      <c r="K33" s="28">
        <f>IF(('Activity data'!K20*EF!$H33)*kgtoGg=0,"NO",('Activity data'!K20*EF!$H33)*kgtoGg)</f>
        <v>0.94630052317004854</v>
      </c>
      <c r="L33" s="28">
        <f>IF(('Activity data'!L20*EF!$H33)*kgtoGg=0,"NO",('Activity data'!L20*EF!$H33)*kgtoGg)</f>
        <v>0.93742541753662223</v>
      </c>
      <c r="M33" s="28">
        <f>IF(('Activity data'!M20*EF!$H33)*kgtoGg=0,"NO",('Activity data'!M20*EF!$H33)*kgtoGg)</f>
        <v>1.0730204292114462</v>
      </c>
      <c r="N33" s="28">
        <f>IF(('Activity data'!N20*EF!$H33)*kgtoGg=0,"NO",('Activity data'!N20*EF!$H33)*kgtoGg)</f>
        <v>1.247646180709717</v>
      </c>
      <c r="O33" s="28">
        <f>IF(('Activity data'!O20*EF!$H33)*kgtoGg=0,"NO",('Activity data'!O20*EF!$H33)*kgtoGg)</f>
        <v>1.2699611966563922</v>
      </c>
      <c r="P33" s="28">
        <f>IF(('Activity data'!P20*EF!$H33)*kgtoGg=0,"NO",('Activity data'!P20*EF!$H33)*kgtoGg)</f>
        <v>1.3915382753930494</v>
      </c>
      <c r="Q33" s="28">
        <f>IF(('Activity data'!Q20*EF!$H33)*kgtoGg=0,"NO",('Activity data'!Q20*EF!$H33)*kgtoGg)</f>
        <v>1.452750350288103</v>
      </c>
      <c r="R33" s="28">
        <f>IF(('Activity data'!R20*EF!$H33)*kgtoGg=0,"NO",('Activity data'!R20*EF!$H33)*kgtoGg)</f>
        <v>1.5630523253351984</v>
      </c>
      <c r="S33" s="28">
        <f>IF(('Activity data'!S20*EF!$H33)*kgtoGg=0,"NO",('Activity data'!S20*EF!$H33)*kgtoGg)</f>
        <v>1.5092912592701446</v>
      </c>
      <c r="T33" s="28">
        <f>IF(('Activity data'!T20*EF!$H33)*kgtoGg=0,"NO",('Activity data'!T20*EF!$H33)*kgtoGg)</f>
        <v>1.6727842751343183</v>
      </c>
      <c r="U33" s="28">
        <f>IF(('Activity data'!U20*EF!$H33)*kgtoGg=0,"NO",('Activity data'!U20*EF!$H33)*kgtoGg)</f>
        <v>1.5910703727417843</v>
      </c>
      <c r="V33" s="28">
        <f>IF(('Activity data'!V20*EF!$H33)*kgtoGg=0,"NO",('Activity data'!V20*EF!$H33)*kgtoGg)</f>
        <v>1.6294801995139723</v>
      </c>
      <c r="W33" s="28">
        <f>IF(('Activity data'!W20*EF!$H33)*kgtoGg=0,"NO",('Activity data'!W20*EF!$H33)*kgtoGg)</f>
        <v>1.8029786139907802</v>
      </c>
      <c r="X33" s="28">
        <f>IF(('Activity data'!X20*EF!$H33)*kgtoGg=0,"NO",('Activity data'!X20*EF!$H33)*kgtoGg)</f>
        <v>1.9284541402191151</v>
      </c>
      <c r="Y33" s="28">
        <f>IF(('Activity data'!Y20*EF!$H33)*kgtoGg=0,"NO",('Activity data'!Y20*EF!$H33)*kgtoGg)</f>
        <v>2.0176916356111869</v>
      </c>
      <c r="Z33" s="28">
        <f>IF(('Activity data'!Z20*EF!$H33)*kgtoGg=0,"NO",('Activity data'!Z20*EF!$H33)*kgtoGg)</f>
        <v>2.1482937300650229</v>
      </c>
      <c r="AA33" s="28">
        <f>IF(('Activity data'!AA20*EF!$H33)*kgtoGg=0,"NO",('Activity data'!AA20*EF!$H33)*kgtoGg)</f>
        <v>2.0271503211350299</v>
      </c>
      <c r="AB33" s="28">
        <f>IF(('Activity data'!AB20*EF!$H33)*kgtoGg=0,"NO",('Activity data'!AB20*EF!$H33)*kgtoGg)</f>
        <v>2.078134768114972</v>
      </c>
      <c r="AC33" s="28">
        <f>IF(('Activity data'!AC20*EF!$H33)*kgtoGg=0,"NO",('Activity data'!AC20*EF!$H33)*kgtoGg)</f>
        <v>2.1493361757027292</v>
      </c>
      <c r="AD33" s="28">
        <f>IF(('Activity data'!AD20*EF!$H33)*kgtoGg=0,"NO",('Activity data'!AD20*EF!$H33)*kgtoGg)</f>
        <v>2.2359130252274535</v>
      </c>
      <c r="AE33" s="28">
        <f>IF(('Activity data'!AE20*EF!$H33)*kgtoGg=0,"NO",('Activity data'!AE20*EF!$H33)*kgtoGg)</f>
        <v>2.2721966041793928</v>
      </c>
      <c r="AF33" s="28">
        <f>IF(('Activity data'!AF20*EF!$H33)*kgtoGg=0,"NO",('Activity data'!AF20*EF!$H33)*kgtoGg)</f>
        <v>2.2829699564071859</v>
      </c>
      <c r="AG33" s="28">
        <f>IF(('Activity data'!AG20*EF!$H33)*kgtoGg=0,"NO",('Activity data'!AG20*EF!$H33)*kgtoGg)</f>
        <v>2.2588206467778473</v>
      </c>
      <c r="AH33" s="28">
        <f>IF(('Activity data'!AH20*EF!$H33)*kgtoGg=0,"NO",('Activity data'!AH20*EF!$H33)*kgtoGg)</f>
        <v>2.2347231893932196</v>
      </c>
      <c r="AI33" s="28">
        <f>IF(('Activity data'!AI20*EF!$H33)*kgtoGg=0,"NO",('Activity data'!AI20*EF!$H33)*kgtoGg)</f>
        <v>2.2277310720056978</v>
      </c>
      <c r="AJ33" s="28">
        <f>IF(('Activity data'!AJ20*EF!$H33)*kgtoGg=0,"NO",('Activity data'!AJ20*EF!$H33)*kgtoGg)</f>
        <v>2.2262744989012253</v>
      </c>
      <c r="AK33" s="28">
        <f>IF(('Activity data'!AK20*EF!$H33)*kgtoGg=0,"NO",('Activity data'!AK20*EF!$H33)*kgtoGg)</f>
        <v>2.1891395906785935</v>
      </c>
      <c r="AL33" s="28">
        <f>IF(('Activity data'!AL20*EF!$H33)*kgtoGg=0,"NO",('Activity data'!AL20*EF!$H33)*kgtoGg)</f>
        <v>1.8240868851485099</v>
      </c>
      <c r="AM33" s="28">
        <f>IF(('Activity data'!AM20*EF!$H33)*kgtoGg=0,"NO",('Activity data'!AM20*EF!$H33)*kgtoGg)</f>
        <v>1.8778928986212129</v>
      </c>
      <c r="AN33" s="28">
        <f>IF(('Activity data'!AN20*EF!$H33)*kgtoGg=0,"NO",('Activity data'!AN20*EF!$H33)*kgtoGg)</f>
        <v>1.9228674992863757</v>
      </c>
      <c r="AO33" s="28">
        <f>IF(('Activity data'!AO20*EF!$H33)*kgtoGg=0,"NO",('Activity data'!AO20*EF!$H33)*kgtoGg)</f>
        <v>1.9677329744500112</v>
      </c>
      <c r="AP33" s="28">
        <f>IF(('Activity data'!AP20*EF!$H33)*kgtoGg=0,"NO",('Activity data'!AP20*EF!$H33)*kgtoGg)</f>
        <v>2.0261043748595982</v>
      </c>
      <c r="AQ33" s="28">
        <f>IF(('Activity data'!AQ20*EF!$H33)*kgtoGg=0,"NO",('Activity data'!AQ20*EF!$H33)*kgtoGg)</f>
        <v>2.0843005626552618</v>
      </c>
      <c r="AR33" s="28">
        <f>IF(('Activity data'!AR20*EF!$H33)*kgtoGg=0,"NO",('Activity data'!AR20*EF!$H33)*kgtoGg)</f>
        <v>2.1481960991761384</v>
      </c>
      <c r="AS33" s="28">
        <f>IF(('Activity data'!AS20*EF!$H33)*kgtoGg=0,"NO",('Activity data'!AS20*EF!$H33)*kgtoGg)</f>
        <v>2.208679923214985</v>
      </c>
      <c r="AT33" s="28">
        <f>IF(('Activity data'!AT20*EF!$H33)*kgtoGg=0,"NO",('Activity data'!AT20*EF!$H33)*kgtoGg)</f>
        <v>2.2743218882510807</v>
      </c>
      <c r="AU33" s="28">
        <f>IF(('Activity data'!AU20*EF!$H33)*kgtoGg=0,"NO",('Activity data'!AU20*EF!$H33)*kgtoGg)</f>
        <v>2.3335097773270199</v>
      </c>
      <c r="AV33" s="28">
        <f>IF(('Activity data'!AV20*EF!$H33)*kgtoGg=0,"NO",('Activity data'!AV20*EF!$H33)*kgtoGg)</f>
        <v>2.3944453885765151</v>
      </c>
      <c r="AW33" s="28">
        <f>IF(('Activity data'!AW20*EF!$H33)*kgtoGg=0,"NO",('Activity data'!AW20*EF!$H33)*kgtoGg)</f>
        <v>2.4754243930729589</v>
      </c>
      <c r="AX33" s="28">
        <f>IF(('Activity data'!AX20*EF!$H33)*kgtoGg=0,"NO",('Activity data'!AX20*EF!$H33)*kgtoGg)</f>
        <v>2.5643290582437364</v>
      </c>
      <c r="AY33" s="28">
        <f>IF(('Activity data'!AY20*EF!$H33)*kgtoGg=0,"NO",('Activity data'!AY20*EF!$H33)*kgtoGg)</f>
        <v>2.656369337897865</v>
      </c>
      <c r="AZ33" s="28">
        <f>IF(('Activity data'!AZ20*EF!$H33)*kgtoGg=0,"NO",('Activity data'!AZ20*EF!$H33)*kgtoGg)</f>
        <v>2.6461200420455202</v>
      </c>
      <c r="BA33" s="28">
        <f>IF(('Activity data'!BA20*EF!$H33)*kgtoGg=0,"NO",('Activity data'!BA20*EF!$H33)*kgtoGg)</f>
        <v>-2.2948520289362109</v>
      </c>
      <c r="BB33" s="28">
        <f>IF(('Activity data'!BB20*EF!$H33)*kgtoGg=0,"NO",('Activity data'!BB20*EF!$H33)*kgtoGg)</f>
        <v>-2.2981400819551214</v>
      </c>
      <c r="BC33" s="28">
        <f>IF(('Activity data'!BC20*EF!$H33)*kgtoGg=0,"NO",('Activity data'!BC20*EF!$H33)*kgtoGg)</f>
        <v>-2.3017063755775586</v>
      </c>
      <c r="BD33" s="28">
        <f>IF(('Activity data'!BD20*EF!$H33)*kgtoGg=0,"NO",('Activity data'!BD20*EF!$H33)*kgtoGg)</f>
        <v>-2.3055392982644372</v>
      </c>
      <c r="BE33" s="28">
        <f>IF(('Activity data'!BE20*EF!$H33)*kgtoGg=0,"NO",('Activity data'!BE20*EF!$H33)*kgtoGg)</f>
        <v>-2.3096281403729781</v>
      </c>
      <c r="BF33" s="28">
        <f>IF(('Activity data'!BF20*EF!$H33)*kgtoGg=0,"NO",('Activity data'!BF20*EF!$H33)*kgtoGg)</f>
        <v>-2.3139630075215134</v>
      </c>
      <c r="BG33" s="28">
        <f>IF(('Activity data'!BG20*EF!$H33)*kgtoGg=0,"NO",('Activity data'!BG20*EF!$H33)*kgtoGg)</f>
        <v>-2.3157471615489813</v>
      </c>
      <c r="BH33" s="28">
        <f>IF(('Activity data'!BH20*EF!$H33)*kgtoGg=0,"NO",('Activity data'!BH20*EF!$H33)*kgtoGg)</f>
        <v>-2.3177549214936723</v>
      </c>
      <c r="BI33" s="28">
        <f>IF(('Activity data'!BI20*EF!$H33)*kgtoGg=0,"NO",('Activity data'!BI20*EF!$H33)*kgtoGg)</f>
        <v>-2.3199776048516689</v>
      </c>
      <c r="BJ33" s="28">
        <f>IF(('Activity data'!BJ20*EF!$H33)*kgtoGg=0,"NO",('Activity data'!BJ20*EF!$H33)*kgtoGg)</f>
        <v>-2.3224071252966718</v>
      </c>
      <c r="BK33" s="28">
        <f>IF(('Activity data'!BK20*EF!$H33)*kgtoGg=0,"NO",('Activity data'!BK20*EF!$H33)*kgtoGg)</f>
        <v>-2.3250359414523776</v>
      </c>
      <c r="BL33" s="28">
        <f>IF(('Activity data'!BL20*EF!$H33)*kgtoGg=0,"NO",('Activity data'!BL20*EF!$H33)*kgtoGg)</f>
        <v>-2.3250730145110658</v>
      </c>
      <c r="BM33" s="28">
        <f>IF(('Activity data'!BM20*EF!$H33)*kgtoGg=0,"NO",('Activity data'!BM20*EF!$H33)*kgtoGg)</f>
        <v>-2.3252946526138598</v>
      </c>
      <c r="BN33" s="28">
        <f>IF(('Activity data'!BN20*EF!$H33)*kgtoGg=0,"NO",('Activity data'!BN20*EF!$H33)*kgtoGg)</f>
        <v>-2.3256940319059596</v>
      </c>
      <c r="BO33" s="28">
        <f>IF(('Activity data'!BO20*EF!$H33)*kgtoGg=0,"NO",('Activity data'!BO20*EF!$H33)*kgtoGg)</f>
        <v>-2.3262647465769009</v>
      </c>
      <c r="BP33" s="28">
        <f>IF(('Activity data'!BP20*EF!$H33)*kgtoGg=0,"NO",('Activity data'!BP20*EF!$H33)*kgtoGg)</f>
        <v>-2.3270007763918432</v>
      </c>
    </row>
    <row r="34" spans="1:68" x14ac:dyDescent="0.25">
      <c r="A34" t="str">
        <f t="shared" si="1"/>
        <v>3A Livestock</v>
      </c>
      <c r="B34" t="str">
        <f t="shared" si="8"/>
        <v>3A2 Manure management (CH4)</v>
      </c>
      <c r="C34" t="str">
        <f>EF!C34</f>
        <v>3A2i Poultry</v>
      </c>
      <c r="D34" t="str">
        <f>EF!D34</f>
        <v>Subsistence layers</v>
      </c>
      <c r="E34" t="str">
        <f t="shared" si="9"/>
        <v>Manure management Emissions</v>
      </c>
      <c r="F34" t="str">
        <f t="shared" si="6"/>
        <v>CH4</v>
      </c>
      <c r="G34" t="str">
        <f t="shared" si="7"/>
        <v>Gg CH4</v>
      </c>
      <c r="H34" s="28">
        <f>IF(('Activity data'!H21*EF!$H34)*kgtoGg=0,"NO",('Activity data'!H21*EF!$H34)*kgtoGg)</f>
        <v>1.4453307157161402E-2</v>
      </c>
      <c r="I34" s="28">
        <f>IF(('Activity data'!I21*EF!$H34)*kgtoGg=0,"NO",('Activity data'!I21*EF!$H34)*kgtoGg)</f>
        <v>1.4041171371767878E-2</v>
      </c>
      <c r="J34" s="28">
        <f>IF(('Activity data'!J21*EF!$H34)*kgtoGg=0,"NO",('Activity data'!J21*EF!$H34)*kgtoGg)</f>
        <v>1.3317074332271103E-2</v>
      </c>
      <c r="K34" s="28">
        <f>IF(('Activity data'!K21*EF!$H34)*kgtoGg=0,"NO",('Activity data'!K21*EF!$H34)*kgtoGg)</f>
        <v>1.3107686778593537E-2</v>
      </c>
      <c r="L34" s="28">
        <f>IF(('Activity data'!L21*EF!$H34)*kgtoGg=0,"NO",('Activity data'!L21*EF!$H34)*kgtoGg)</f>
        <v>1.2537549597918361E-2</v>
      </c>
      <c r="M34" s="28">
        <f>IF(('Activity data'!M21*EF!$H34)*kgtoGg=0,"NO",('Activity data'!M21*EF!$H34)*kgtoGg)</f>
        <v>1.368002708163215E-2</v>
      </c>
      <c r="N34" s="28">
        <f>IF(('Activity data'!N21*EF!$H34)*kgtoGg=0,"NO",('Activity data'!N21*EF!$H34)*kgtoGg)</f>
        <v>1.445028361248642E-2</v>
      </c>
      <c r="O34" s="28">
        <f>IF(('Activity data'!O21*EF!$H34)*kgtoGg=0,"NO",('Activity data'!O21*EF!$H34)*kgtoGg)</f>
        <v>1.4497801479217198E-2</v>
      </c>
      <c r="P34" s="28">
        <f>IF(('Activity data'!P21*EF!$H34)*kgtoGg=0,"NO",('Activity data'!P21*EF!$H34)*kgtoGg)</f>
        <v>1.6323301120314916E-2</v>
      </c>
      <c r="Q34" s="28">
        <f>IF(('Activity data'!Q21*EF!$H34)*kgtoGg=0,"NO",('Activity data'!Q21*EF!$H34)*kgtoGg)</f>
        <v>1.750021682969179E-2</v>
      </c>
      <c r="R34" s="28">
        <f>IF(('Activity data'!R21*EF!$H34)*kgtoGg=0,"NO",('Activity data'!R21*EF!$H34)*kgtoGg)</f>
        <v>1.7129415315170586E-2</v>
      </c>
      <c r="S34" s="28">
        <f>IF(('Activity data'!S21*EF!$H34)*kgtoGg=0,"NO",('Activity data'!S21*EF!$H34)*kgtoGg)</f>
        <v>1.7586367011563315E-2</v>
      </c>
      <c r="T34" s="28">
        <f>IF(('Activity data'!T21*EF!$H34)*kgtoGg=0,"NO",('Activity data'!T21*EF!$H34)*kgtoGg)</f>
        <v>1.7448339269536806E-2</v>
      </c>
      <c r="U34" s="28">
        <f>IF(('Activity data'!U21*EF!$H34)*kgtoGg=0,"NO",('Activity data'!U21*EF!$H34)*kgtoGg)</f>
        <v>1.6751757915898054E-2</v>
      </c>
      <c r="V34" s="28">
        <f>IF(('Activity data'!V21*EF!$H34)*kgtoGg=0,"NO",('Activity data'!V21*EF!$H34)*kgtoGg)</f>
        <v>1.7359194023971385E-2</v>
      </c>
      <c r="W34" s="28">
        <f>IF(('Activity data'!W21*EF!$H34)*kgtoGg=0,"NO",('Activity data'!W21*EF!$H34)*kgtoGg)</f>
        <v>1.8405962529850804E-2</v>
      </c>
      <c r="X34" s="28">
        <f>IF(('Activity data'!X21*EF!$H34)*kgtoGg=0,"NO",('Activity data'!X21*EF!$H34)*kgtoGg)</f>
        <v>2.0313142812308307E-2</v>
      </c>
      <c r="Y34" s="28">
        <f>IF(('Activity data'!Y21*EF!$H34)*kgtoGg=0,"NO",('Activity data'!Y21*EF!$H34)*kgtoGg)</f>
        <v>2.2479992595697124E-2</v>
      </c>
      <c r="Z34" s="28">
        <f>IF(('Activity data'!Z21*EF!$H34)*kgtoGg=0,"NO",('Activity data'!Z21*EF!$H34)*kgtoGg)</f>
        <v>2.277605134510725E-2</v>
      </c>
      <c r="AA34" s="28">
        <f>IF(('Activity data'!AA21*EF!$H34)*kgtoGg=0,"NO",('Activity data'!AA21*EF!$H34)*kgtoGg)</f>
        <v>2.1936379637045315E-2</v>
      </c>
      <c r="AB34" s="28">
        <f>IF(('Activity data'!AB21*EF!$H34)*kgtoGg=0,"NO",('Activity data'!AB21*EF!$H34)*kgtoGg)</f>
        <v>2.2790877419827285E-2</v>
      </c>
      <c r="AC34" s="28">
        <f>IF(('Activity data'!AC21*EF!$H34)*kgtoGg=0,"NO",('Activity data'!AC21*EF!$H34)*kgtoGg)</f>
        <v>2.3842843212116133E-2</v>
      </c>
      <c r="AD34" s="28">
        <f>IF(('Activity data'!AD21*EF!$H34)*kgtoGg=0,"NO",('Activity data'!AD21*EF!$H34)*kgtoGg)</f>
        <v>2.3287695415892307E-2</v>
      </c>
      <c r="AE34" s="28">
        <f>IF(('Activity data'!AE21*EF!$H34)*kgtoGg=0,"NO",('Activity data'!AE21*EF!$H34)*kgtoGg)</f>
        <v>2.3792006592875784E-2</v>
      </c>
      <c r="AF34" s="28">
        <f>IF(('Activity data'!AF21*EF!$H34)*kgtoGg=0,"NO",('Activity data'!AF21*EF!$H34)*kgtoGg)</f>
        <v>2.4198359145657992E-2</v>
      </c>
      <c r="AG34" s="28">
        <f>IF(('Activity data'!AG21*EF!$H34)*kgtoGg=0,"NO",('Activity data'!AG21*EF!$H34)*kgtoGg)</f>
        <v>2.4463864014486018E-2</v>
      </c>
      <c r="AH34" s="28">
        <f>IF(('Activity data'!AH21*EF!$H34)*kgtoGg=0,"NO",('Activity data'!AH21*EF!$H34)*kgtoGg)</f>
        <v>2.4732972637230538E-2</v>
      </c>
      <c r="AI34" s="28">
        <f>IF(('Activity data'!AI21*EF!$H34)*kgtoGg=0,"NO",('Activity data'!AI21*EF!$H34)*kgtoGg)</f>
        <v>2.5079904426237691E-2</v>
      </c>
      <c r="AJ34" s="28">
        <f>IF(('Activity data'!AJ21*EF!$H34)*kgtoGg=0,"NO",('Activity data'!AJ21*EF!$H34)*kgtoGg)</f>
        <v>2.5450914457062126E-2</v>
      </c>
      <c r="AK34" s="28">
        <f>IF(('Activity data'!AK21*EF!$H34)*kgtoGg=0,"NO",('Activity data'!AK21*EF!$H34)*kgtoGg)</f>
        <v>2.5666676614655742E-2</v>
      </c>
      <c r="AL34" s="28">
        <f>IF(('Activity data'!AL21*EF!$H34)*kgtoGg=0,"NO",('Activity data'!AL21*EF!$H34)*kgtoGg)</f>
        <v>2.4425433081259044E-2</v>
      </c>
      <c r="AM34" s="28">
        <f>IF(('Activity data'!AM21*EF!$H34)*kgtoGg=0,"NO",('Activity data'!AM21*EF!$H34)*kgtoGg)</f>
        <v>2.4949814142996823E-2</v>
      </c>
      <c r="AN34" s="28">
        <f>IF(('Activity data'!AN21*EF!$H34)*kgtoGg=0,"NO",('Activity data'!AN21*EF!$H34)*kgtoGg)</f>
        <v>2.5439323884711679E-2</v>
      </c>
      <c r="AO34" s="28">
        <f>IF(('Activity data'!AO21*EF!$H34)*kgtoGg=0,"NO",('Activity data'!AO21*EF!$H34)*kgtoGg)</f>
        <v>2.5932698042983617E-2</v>
      </c>
      <c r="AP34" s="28">
        <f>IF(('Activity data'!AP21*EF!$H34)*kgtoGg=0,"NO",('Activity data'!AP21*EF!$H34)*kgtoGg)</f>
        <v>2.6492643697133385E-2</v>
      </c>
      <c r="AQ34" s="28">
        <f>IF(('Activity data'!AQ21*EF!$H34)*kgtoGg=0,"NO",('Activity data'!AQ21*EF!$H34)*kgtoGg)</f>
        <v>2.7057240669073435E-2</v>
      </c>
      <c r="AR34" s="28">
        <f>IF(('Activity data'!AR21*EF!$H34)*kgtoGg=0,"NO",('Activity data'!AR21*EF!$H34)*kgtoGg)</f>
        <v>2.7622555162509051E-2</v>
      </c>
      <c r="AS34" s="28">
        <f>IF(('Activity data'!AS21*EF!$H34)*kgtoGg=0,"NO",('Activity data'!AS21*EF!$H34)*kgtoGg)</f>
        <v>2.8176965865036346E-2</v>
      </c>
      <c r="AT34" s="28">
        <f>IF(('Activity data'!AT21*EF!$H34)*kgtoGg=0,"NO",('Activity data'!AT21*EF!$H34)*kgtoGg)</f>
        <v>2.8760838954152518E-2</v>
      </c>
      <c r="AU34" s="28">
        <f>IF(('Activity data'!AU21*EF!$H34)*kgtoGg=0,"NO",('Activity data'!AU21*EF!$H34)*kgtoGg)</f>
        <v>2.9319055806807104E-2</v>
      </c>
      <c r="AV34" s="28">
        <f>IF(('Activity data'!AV21*EF!$H34)*kgtoGg=0,"NO",('Activity data'!AV21*EF!$H34)*kgtoGg)</f>
        <v>2.9890511348844809E-2</v>
      </c>
      <c r="AW34" s="28">
        <f>IF(('Activity data'!AW21*EF!$H34)*kgtoGg=0,"NO",('Activity data'!AW21*EF!$H34)*kgtoGg)</f>
        <v>3.0538432433712476E-2</v>
      </c>
      <c r="AX34" s="28">
        <f>IF(('Activity data'!AX21*EF!$H34)*kgtoGg=0,"NO",('Activity data'!AX21*EF!$H34)*kgtoGg)</f>
        <v>3.123100856807573E-2</v>
      </c>
      <c r="AY34" s="28">
        <f>IF(('Activity data'!AY21*EF!$H34)*kgtoGg=0,"NO",('Activity data'!AY21*EF!$H34)*kgtoGg)</f>
        <v>3.1945373465817078E-2</v>
      </c>
      <c r="AZ34" s="28">
        <f>IF(('Activity data'!AZ21*EF!$H34)*kgtoGg=0,"NO",('Activity data'!AZ21*EF!$H34)*kgtoGg)</f>
        <v>3.2158003703940202E-2</v>
      </c>
      <c r="BA34" s="28">
        <f>IF(('Activity data'!BA21*EF!$H34)*kgtoGg=0,"NO",('Activity data'!BA21*EF!$H34)*kgtoGg)</f>
        <v>7.7079802322364711E-3</v>
      </c>
      <c r="BB34" s="28">
        <f>IF(('Activity data'!BB21*EF!$H34)*kgtoGg=0,"NO",('Activity data'!BB21*EF!$H34)*kgtoGg)</f>
        <v>7.7672225791054648E-3</v>
      </c>
      <c r="BC34" s="28">
        <f>IF(('Activity data'!BC21*EF!$H34)*kgtoGg=0,"NO",('Activity data'!BC21*EF!$H34)*kgtoGg)</f>
        <v>7.8268962553927103E-3</v>
      </c>
      <c r="BD34" s="28">
        <f>IF(('Activity data'!BD21*EF!$H34)*kgtoGg=0,"NO",('Activity data'!BD21*EF!$H34)*kgtoGg)</f>
        <v>7.8870045455527778E-3</v>
      </c>
      <c r="BE34" s="28">
        <f>IF(('Activity data'!BE21*EF!$H34)*kgtoGg=0,"NO",('Activity data'!BE21*EF!$H34)*kgtoGg)</f>
        <v>7.9475507489555203E-3</v>
      </c>
      <c r="BF34" s="28">
        <f>IF(('Activity data'!BF21*EF!$H34)*kgtoGg=0,"NO",('Activity data'!BF21*EF!$H34)*kgtoGg)</f>
        <v>8.0085381808564764E-3</v>
      </c>
      <c r="BG34" s="28">
        <f>IF(('Activity data'!BG21*EF!$H34)*kgtoGg=0,"NO",('Activity data'!BG21*EF!$H34)*kgtoGg)</f>
        <v>8.0606731521322347E-3</v>
      </c>
      <c r="BH34" s="28">
        <f>IF(('Activity data'!BH21*EF!$H34)*kgtoGg=0,"NO",('Activity data'!BH21*EF!$H34)*kgtoGg)</f>
        <v>8.1131299403660317E-3</v>
      </c>
      <c r="BI34" s="28">
        <f>IF(('Activity data'!BI21*EF!$H34)*kgtoGg=0,"NO",('Activity data'!BI21*EF!$H34)*kgtoGg)</f>
        <v>8.1659106374109367E-3</v>
      </c>
      <c r="BJ34" s="28">
        <f>IF(('Activity data'!BJ21*EF!$H34)*kgtoGg=0,"NO",('Activity data'!BJ21*EF!$H34)*kgtoGg)</f>
        <v>8.2190173421198831E-3</v>
      </c>
      <c r="BK34" s="28">
        <f>IF(('Activity data'!BK21*EF!$H34)*kgtoGg=0,"NO",('Activity data'!BK21*EF!$H34)*kgtoGg)</f>
        <v>8.2724521608947329E-3</v>
      </c>
      <c r="BL34" s="28">
        <f>IF(('Activity data'!BL21*EF!$H34)*kgtoGg=0,"NO",('Activity data'!BL21*EF!$H34)*kgtoGg)</f>
        <v>8.3166629016207475E-3</v>
      </c>
      <c r="BM34" s="28">
        <f>IF(('Activity data'!BM21*EF!$H34)*kgtoGg=0,"NO",('Activity data'!BM21*EF!$H34)*kgtoGg)</f>
        <v>8.3610976164500486E-3</v>
      </c>
      <c r="BN34" s="28">
        <f>IF(('Activity data'!BN21*EF!$H34)*kgtoGg=0,"NO",('Activity data'!BN21*EF!$H34)*kgtoGg)</f>
        <v>8.4057575201904496E-3</v>
      </c>
      <c r="BO34" s="28">
        <f>IF(('Activity data'!BO21*EF!$H34)*kgtoGg=0,"NO",('Activity data'!BO21*EF!$H34)*kgtoGg)</f>
        <v>8.4506438296934709E-3</v>
      </c>
      <c r="BP34" s="28">
        <f>IF(('Activity data'!BP21*EF!$H34)*kgtoGg=0,"NO",('Activity data'!BP21*EF!$H34)*kgtoGg)</f>
        <v>8.495757764182087E-3</v>
      </c>
    </row>
    <row r="35" spans="1:68" x14ac:dyDescent="0.25">
      <c r="A35" t="str">
        <f t="shared" si="1"/>
        <v>3A Livestock</v>
      </c>
      <c r="B35" t="str">
        <f t="shared" si="8"/>
        <v>3A2 Manure management (CH4)</v>
      </c>
      <c r="C35" t="str">
        <f>EF!C35</f>
        <v>3A2i Poultry</v>
      </c>
      <c r="D35" t="str">
        <f>EF!D35</f>
        <v>Subsistence broilers</v>
      </c>
      <c r="E35" t="str">
        <f t="shared" si="9"/>
        <v>Manure management Emissions</v>
      </c>
      <c r="F35" t="str">
        <f t="shared" si="6"/>
        <v>CH4</v>
      </c>
      <c r="G35" t="str">
        <f t="shared" si="7"/>
        <v>Gg CH4</v>
      </c>
      <c r="H35" s="28">
        <f>IF(('Activity data'!H22*EF!$H35)*kgtoGg=0,"NO",('Activity data'!H22*EF!$H35)*kgtoGg)</f>
        <v>3.97805297801406E-2</v>
      </c>
      <c r="I35" s="28">
        <f>IF(('Activity data'!I22*EF!$H35)*kgtoGg=0,"NO",('Activity data'!I22*EF!$H35)*kgtoGg)</f>
        <v>3.7393698041596139E-2</v>
      </c>
      <c r="J35" s="28">
        <f>IF(('Activity data'!J22*EF!$H35)*kgtoGg=0,"NO",('Activity data'!J22*EF!$H35)*kgtoGg)</f>
        <v>3.5339719604835972E-2</v>
      </c>
      <c r="K35" s="28">
        <f>IF(('Activity data'!K22*EF!$H35)*kgtoGg=0,"NO",('Activity data'!K22*EF!$H35)*kgtoGg)</f>
        <v>3.974462197314204E-2</v>
      </c>
      <c r="L35" s="28">
        <f>IF(('Activity data'!L22*EF!$H35)*kgtoGg=0,"NO",('Activity data'!L22*EF!$H35)*kgtoGg)</f>
        <v>3.9371867536538138E-2</v>
      </c>
      <c r="M35" s="28">
        <f>IF(('Activity data'!M22*EF!$H35)*kgtoGg=0,"NO",('Activity data'!M22*EF!$H35)*kgtoGg)</f>
        <v>4.5066858026880756E-2</v>
      </c>
      <c r="N35" s="28">
        <f>IF(('Activity data'!N22*EF!$H35)*kgtoGg=0,"NO",('Activity data'!N22*EF!$H35)*kgtoGg)</f>
        <v>5.2401139589808118E-2</v>
      </c>
      <c r="O35" s="28">
        <f>IF(('Activity data'!O22*EF!$H35)*kgtoGg=0,"NO",('Activity data'!O22*EF!$H35)*kgtoGg)</f>
        <v>5.3338370259568474E-2</v>
      </c>
      <c r="P35" s="28">
        <f>IF(('Activity data'!P22*EF!$H35)*kgtoGg=0,"NO",('Activity data'!P22*EF!$H35)*kgtoGg)</f>
        <v>5.8444607566508086E-2</v>
      </c>
      <c r="Q35" s="28">
        <f>IF(('Activity data'!Q22*EF!$H35)*kgtoGg=0,"NO",('Activity data'!Q22*EF!$H35)*kgtoGg)</f>
        <v>6.101551471210033E-2</v>
      </c>
      <c r="R35" s="28">
        <f>IF(('Activity data'!R22*EF!$H35)*kgtoGg=0,"NO",('Activity data'!R22*EF!$H35)*kgtoGg)</f>
        <v>6.5648197664078339E-2</v>
      </c>
      <c r="S35" s="28">
        <f>IF(('Activity data'!S22*EF!$H35)*kgtoGg=0,"NO",('Activity data'!S22*EF!$H35)*kgtoGg)</f>
        <v>6.3390232889346088E-2</v>
      </c>
      <c r="T35" s="28">
        <f>IF(('Activity data'!T22*EF!$H35)*kgtoGg=0,"NO",('Activity data'!T22*EF!$H35)*kgtoGg)</f>
        <v>7.0256939555641371E-2</v>
      </c>
      <c r="U35" s="28">
        <f>IF(('Activity data'!U22*EF!$H35)*kgtoGg=0,"NO",('Activity data'!U22*EF!$H35)*kgtoGg)</f>
        <v>6.6824955655154963E-2</v>
      </c>
      <c r="V35" s="28">
        <f>IF(('Activity data'!V22*EF!$H35)*kgtoGg=0,"NO",('Activity data'!V22*EF!$H35)*kgtoGg)</f>
        <v>6.8438168379586828E-2</v>
      </c>
      <c r="W35" s="28">
        <f>IF(('Activity data'!W22*EF!$H35)*kgtoGg=0,"NO",('Activity data'!W22*EF!$H35)*kgtoGg)</f>
        <v>7.572510178761277E-2</v>
      </c>
      <c r="X35" s="28">
        <f>IF(('Activity data'!X22*EF!$H35)*kgtoGg=0,"NO",('Activity data'!X22*EF!$H35)*kgtoGg)</f>
        <v>8.0995073889202837E-2</v>
      </c>
      <c r="Y35" s="28">
        <f>IF(('Activity data'!Y22*EF!$H35)*kgtoGg=0,"NO",('Activity data'!Y22*EF!$H35)*kgtoGg)</f>
        <v>8.474304869566987E-2</v>
      </c>
      <c r="Z35" s="28">
        <f>IF(('Activity data'!Z22*EF!$H35)*kgtoGg=0,"NO",('Activity data'!Z22*EF!$H35)*kgtoGg)</f>
        <v>9.0228336662730974E-2</v>
      </c>
      <c r="AA35" s="28">
        <f>IF(('Activity data'!AA22*EF!$H35)*kgtoGg=0,"NO",('Activity data'!AA22*EF!$H35)*kgtoGg)</f>
        <v>8.514031348767126E-2</v>
      </c>
      <c r="AB35" s="28">
        <f>IF(('Activity data'!AB22*EF!$H35)*kgtoGg=0,"NO",('Activity data'!AB22*EF!$H35)*kgtoGg)</f>
        <v>8.7281660260828828E-2</v>
      </c>
      <c r="AC35" s="28">
        <f>IF(('Activity data'!AC22*EF!$H35)*kgtoGg=0,"NO",('Activity data'!AC22*EF!$H35)*kgtoGg)</f>
        <v>9.027211937951464E-2</v>
      </c>
      <c r="AD35" s="28">
        <f>IF(('Activity data'!AD22*EF!$H35)*kgtoGg=0,"NO",('Activity data'!AD22*EF!$H35)*kgtoGg)</f>
        <v>9.3163042717810632E-2</v>
      </c>
      <c r="AE35" s="28">
        <f>IF(('Activity data'!AE22*EF!$H35)*kgtoGg=0,"NO",('Activity data'!AE22*EF!$H35)*kgtoGg)</f>
        <v>9.4674858507474813E-2</v>
      </c>
      <c r="AF35" s="28">
        <f>IF(('Activity data'!AF22*EF!$H35)*kgtoGg=0,"NO",('Activity data'!AF22*EF!$H35)*kgtoGg)</f>
        <v>9.5123748183632839E-2</v>
      </c>
      <c r="AG35" s="28">
        <f>IF(('Activity data'!AG22*EF!$H35)*kgtoGg=0,"NO",('Activity data'!AG22*EF!$H35)*kgtoGg)</f>
        <v>9.411752694907706E-2</v>
      </c>
      <c r="AH35" s="28">
        <f>IF(('Activity data'!AH22*EF!$H35)*kgtoGg=0,"NO",('Activity data'!AH22*EF!$H35)*kgtoGg)</f>
        <v>9.3113466224717556E-2</v>
      </c>
      <c r="AI35" s="28">
        <f>IF(('Activity data'!AI22*EF!$H35)*kgtoGg=0,"NO",('Activity data'!AI22*EF!$H35)*kgtoGg)</f>
        <v>9.2822128000237508E-2</v>
      </c>
      <c r="AJ35" s="28">
        <f>IF(('Activity data'!AJ22*EF!$H35)*kgtoGg=0,"NO",('Activity data'!AJ22*EF!$H35)*kgtoGg)</f>
        <v>9.2761437454217818E-2</v>
      </c>
      <c r="AK35" s="28">
        <f>IF(('Activity data'!AK22*EF!$H35)*kgtoGg=0,"NO",('Activity data'!AK22*EF!$H35)*kgtoGg)</f>
        <v>9.1214149611608147E-2</v>
      </c>
      <c r="AL35" s="28">
        <f>IF(('Activity data'!AL22*EF!$H35)*kgtoGg=0,"NO",('Activity data'!AL22*EF!$H35)*kgtoGg)</f>
        <v>7.6003620214521325E-2</v>
      </c>
      <c r="AM35" s="28">
        <f>IF(('Activity data'!AM22*EF!$H35)*kgtoGg=0,"NO",('Activity data'!AM22*EF!$H35)*kgtoGg)</f>
        <v>7.8245537442550611E-2</v>
      </c>
      <c r="AN35" s="28">
        <f>IF(('Activity data'!AN22*EF!$H35)*kgtoGg=0,"NO",('Activity data'!AN22*EF!$H35)*kgtoGg)</f>
        <v>8.0119479136932389E-2</v>
      </c>
      <c r="AO35" s="28">
        <f>IF(('Activity data'!AO22*EF!$H35)*kgtoGg=0,"NO",('Activity data'!AO22*EF!$H35)*kgtoGg)</f>
        <v>8.1988873935417206E-2</v>
      </c>
      <c r="AP35" s="28">
        <f>IF(('Activity data'!AP22*EF!$H35)*kgtoGg=0,"NO",('Activity data'!AP22*EF!$H35)*kgtoGg)</f>
        <v>8.4421015619150011E-2</v>
      </c>
      <c r="AQ35" s="28">
        <f>IF(('Activity data'!AQ22*EF!$H35)*kgtoGg=0,"NO",('Activity data'!AQ22*EF!$H35)*kgtoGg)</f>
        <v>8.6845856777302652E-2</v>
      </c>
      <c r="AR35" s="28">
        <f>IF(('Activity data'!AR22*EF!$H35)*kgtoGg=0,"NO",('Activity data'!AR22*EF!$H35)*kgtoGg)</f>
        <v>8.9508170799005846E-2</v>
      </c>
      <c r="AS35" s="28">
        <f>IF(('Activity data'!AS22*EF!$H35)*kgtoGg=0,"NO",('Activity data'!AS22*EF!$H35)*kgtoGg)</f>
        <v>9.2028330133957781E-2</v>
      </c>
      <c r="AT35" s="28">
        <f>IF(('Activity data'!AT22*EF!$H35)*kgtoGg=0,"NO",('Activity data'!AT22*EF!$H35)*kgtoGg)</f>
        <v>9.4763412010461776E-2</v>
      </c>
      <c r="AU35" s="28">
        <f>IF(('Activity data'!AU22*EF!$H35)*kgtoGg=0,"NO",('Activity data'!AU22*EF!$H35)*kgtoGg)</f>
        <v>9.7229574055292575E-2</v>
      </c>
      <c r="AV35" s="28">
        <f>IF(('Activity data'!AV22*EF!$H35)*kgtoGg=0,"NO",('Activity data'!AV22*EF!$H35)*kgtoGg)</f>
        <v>9.9768557857354889E-2</v>
      </c>
      <c r="AW35" s="28">
        <f>IF(('Activity data'!AW22*EF!$H35)*kgtoGg=0,"NO",('Activity data'!AW22*EF!$H35)*kgtoGg)</f>
        <v>0.10314268304470672</v>
      </c>
      <c r="AX35" s="28">
        <f>IF(('Activity data'!AX22*EF!$H35)*kgtoGg=0,"NO",('Activity data'!AX22*EF!$H35)*kgtoGg)</f>
        <v>0.10684704409348912</v>
      </c>
      <c r="AY35" s="28">
        <f>IF(('Activity data'!AY22*EF!$H35)*kgtoGg=0,"NO",('Activity data'!AY22*EF!$H35)*kgtoGg)</f>
        <v>0.11068205574574447</v>
      </c>
      <c r="AZ35" s="28">
        <f>IF(('Activity data'!AZ22*EF!$H35)*kgtoGg=0,"NO",('Activity data'!AZ22*EF!$H35)*kgtoGg)</f>
        <v>0.11025500175189677</v>
      </c>
      <c r="BA35" s="28">
        <f>IF(('Activity data'!BA22*EF!$H35)*kgtoGg=0,"NO",('Activity data'!BA22*EF!$H35)*kgtoGg)</f>
        <v>-9.5618834539008879E-2</v>
      </c>
      <c r="BB35" s="28">
        <f>IF(('Activity data'!BB22*EF!$H35)*kgtoGg=0,"NO",('Activity data'!BB22*EF!$H35)*kgtoGg)</f>
        <v>-9.5755836748130152E-2</v>
      </c>
      <c r="BC35" s="28">
        <f>IF(('Activity data'!BC22*EF!$H35)*kgtoGg=0,"NO",('Activity data'!BC22*EF!$H35)*kgtoGg)</f>
        <v>-9.5904432315731702E-2</v>
      </c>
      <c r="BD35" s="28">
        <f>IF(('Activity data'!BD22*EF!$H35)*kgtoGg=0,"NO",('Activity data'!BD22*EF!$H35)*kgtoGg)</f>
        <v>-9.6064137427684965E-2</v>
      </c>
      <c r="BE35" s="28">
        <f>IF(('Activity data'!BE22*EF!$H35)*kgtoGg=0,"NO",('Activity data'!BE22*EF!$H35)*kgtoGg)</f>
        <v>-9.6234505848874163E-2</v>
      </c>
      <c r="BF35" s="28">
        <f>IF(('Activity data'!BF22*EF!$H35)*kgtoGg=0,"NO",('Activity data'!BF22*EF!$H35)*kgtoGg)</f>
        <v>-9.641512531339648E-2</v>
      </c>
      <c r="BG35" s="28">
        <f>IF(('Activity data'!BG22*EF!$H35)*kgtoGg=0,"NO",('Activity data'!BG22*EF!$H35)*kgtoGg)</f>
        <v>-9.6489465064540994E-2</v>
      </c>
      <c r="BH35" s="28">
        <f>IF(('Activity data'!BH22*EF!$H35)*kgtoGg=0,"NO",('Activity data'!BH22*EF!$H35)*kgtoGg)</f>
        <v>-9.6573121728903102E-2</v>
      </c>
      <c r="BI35" s="28">
        <f>IF(('Activity data'!BI22*EF!$H35)*kgtoGg=0,"NO",('Activity data'!BI22*EF!$H35)*kgtoGg)</f>
        <v>-9.6665733535486312E-2</v>
      </c>
      <c r="BJ35" s="28">
        <f>IF(('Activity data'!BJ22*EF!$H35)*kgtoGg=0,"NO",('Activity data'!BJ22*EF!$H35)*kgtoGg)</f>
        <v>-9.6766963554028085E-2</v>
      </c>
      <c r="BK35" s="28">
        <f>IF(('Activity data'!BK22*EF!$H35)*kgtoGg=0,"NO",('Activity data'!BK22*EF!$H35)*kgtoGg)</f>
        <v>-9.6876497560515806E-2</v>
      </c>
      <c r="BL35" s="28">
        <f>IF(('Activity data'!BL22*EF!$H35)*kgtoGg=0,"NO",('Activity data'!BL22*EF!$H35)*kgtoGg)</f>
        <v>-9.6878042271294512E-2</v>
      </c>
      <c r="BM35" s="28">
        <f>IF(('Activity data'!BM22*EF!$H35)*kgtoGg=0,"NO",('Activity data'!BM22*EF!$H35)*kgtoGg)</f>
        <v>-9.6887277192244256E-2</v>
      </c>
      <c r="BN35" s="28">
        <f>IF(('Activity data'!BN22*EF!$H35)*kgtoGg=0,"NO",('Activity data'!BN22*EF!$H35)*kgtoGg)</f>
        <v>-9.6903917996081751E-2</v>
      </c>
      <c r="BO35" s="28">
        <f>IF(('Activity data'!BO22*EF!$H35)*kgtoGg=0,"NO",('Activity data'!BO22*EF!$H35)*kgtoGg)</f>
        <v>-9.6927697774037633E-2</v>
      </c>
      <c r="BP35" s="28">
        <f>IF(('Activity data'!BP22*EF!$H35)*kgtoGg=0,"NO",('Activity data'!BP22*EF!$H35)*kgtoGg)</f>
        <v>-9.6958365682993541E-2</v>
      </c>
    </row>
    <row r="36" spans="1:68" x14ac:dyDescent="0.25">
      <c r="A36" t="str">
        <f t="shared" si="1"/>
        <v>3A Livestock</v>
      </c>
      <c r="B36" t="str">
        <f>'IPCC Categories'!B20</f>
        <v>3A2 Manure management (N2O)</v>
      </c>
      <c r="C36" t="str">
        <f>EF!C54</f>
        <v>3A1ai Dairy cattle</v>
      </c>
      <c r="D36" t="str">
        <f>EF!D54</f>
        <v>TMR</v>
      </c>
      <c r="E36" t="str">
        <f t="shared" si="9"/>
        <v>Manure management Emissions</v>
      </c>
      <c r="F36" t="s">
        <v>139</v>
      </c>
      <c r="G36" t="s">
        <v>287</v>
      </c>
      <c r="H36" s="28">
        <f>IF(('Activity data'!H5*EF!$H36*EF!$H54)*NtoN2O*kgtoGg=0,"NO",('Activity data'!H5*EF!$H36*EF!$H54)*NtoN2O*kgtoGg)</f>
        <v>4.916153684584277E-2</v>
      </c>
      <c r="I36" s="28">
        <f>IF(('Activity data'!I5*EF!$H36*EF!$H54)*NtoN2O*kgtoGg=0,"NO",('Activity data'!I5*EF!$H36*EF!$H54)*NtoN2O*kgtoGg)</f>
        <v>5.6597698456454765E-2</v>
      </c>
      <c r="J36" s="28">
        <f>IF(('Activity data'!J5*EF!$H36*EF!$H54)*NtoN2O*kgtoGg=0,"NO",('Activity data'!J5*EF!$H36*EF!$H54)*NtoN2O*kgtoGg)</f>
        <v>4.8964332321604243E-2</v>
      </c>
      <c r="K36" s="28">
        <f>IF(('Activity data'!K5*EF!$H36*EF!$H54)*NtoN2O*kgtoGg=0,"NO",('Activity data'!K5*EF!$H36*EF!$H54)*NtoN2O*kgtoGg)</f>
        <v>5.1931263309866894E-2</v>
      </c>
      <c r="L36" s="28">
        <f>IF(('Activity data'!L5*EF!$H36*EF!$H54)*NtoN2O*kgtoGg=0,"NO",('Activity data'!L5*EF!$H36*EF!$H54)*NtoN2O*kgtoGg)</f>
        <v>4.8175514224650169E-2</v>
      </c>
      <c r="M36" s="28">
        <f>IF(('Activity data'!M5*EF!$H36*EF!$H54)*NtoN2O*kgtoGg=0,"NO",('Activity data'!M5*EF!$H36*EF!$H54)*NtoN2O*kgtoGg)</f>
        <v>5.1536854261389861E-2</v>
      </c>
      <c r="N36" s="28">
        <f>IF(('Activity data'!N5*EF!$H36*EF!$H54)*NtoN2O*kgtoGg=0,"NO",('Activity data'!N5*EF!$H36*EF!$H54)*NtoN2O*kgtoGg)</f>
        <v>5.1734058785628381E-2</v>
      </c>
      <c r="O36" s="28">
        <f>IF(('Activity data'!O5*EF!$H36*EF!$H54)*NtoN2O*kgtoGg=0,"NO",('Activity data'!O5*EF!$H36*EF!$H54)*NtoN2O*kgtoGg)</f>
        <v>4.9875018382975388E-2</v>
      </c>
      <c r="P36" s="28">
        <f>IF(('Activity data'!P5*EF!$H36*EF!$H54)*NtoN2O*kgtoGg=0,"NO",('Activity data'!P5*EF!$H36*EF!$H54)*NtoN2O*kgtoGg)</f>
        <v>4.9283404810259827E-2</v>
      </c>
      <c r="Q36" s="28">
        <f>IF(('Activity data'!Q5*EF!$H36*EF!$H54)*NtoN2O*kgtoGg=0,"NO",('Activity data'!Q5*EF!$H36*EF!$H54)*NtoN2O*kgtoGg)</f>
        <v>4.841038702879942E-2</v>
      </c>
      <c r="R36" s="28">
        <f>IF(('Activity data'!R5*EF!$H36*EF!$H54)*NtoN2O*kgtoGg=0,"NO",('Activity data'!R5*EF!$H36*EF!$H54)*NtoN2O*kgtoGg)</f>
        <v>6.2334355908741548E-2</v>
      </c>
      <c r="S36" s="28">
        <f>IF(('Activity data'!S5*EF!$H36*EF!$H54)*NtoN2O*kgtoGg=0,"NO",('Activity data'!S5*EF!$H36*EF!$H54)*NtoN2O*kgtoGg)</f>
        <v>6.2137151384503035E-2</v>
      </c>
      <c r="T36" s="28">
        <f>IF(('Activity data'!T5*EF!$H36*EF!$H54)*NtoN2O*kgtoGg=0,"NO",('Activity data'!T5*EF!$H36*EF!$H54)*NtoN2O*kgtoGg)</f>
        <v>5.4184712760996942E-2</v>
      </c>
      <c r="U36" s="28">
        <f>IF(('Activity data'!U5*EF!$H36*EF!$H54)*NtoN2O*kgtoGg=0,"NO",('Activity data'!U5*EF!$H36*EF!$H54)*NtoN2O*kgtoGg)</f>
        <v>4.9283404810259827E-2</v>
      </c>
      <c r="V36" s="28">
        <f>IF(('Activity data'!V5*EF!$H36*EF!$H54)*NtoN2O*kgtoGg=0,"NO",('Activity data'!V5*EF!$H36*EF!$H54)*NtoN2O*kgtoGg)</f>
        <v>4.7583900651934616E-2</v>
      </c>
      <c r="W36" s="28">
        <f>IF(('Activity data'!W5*EF!$H36*EF!$H54)*NtoN2O*kgtoGg=0,"NO",('Activity data'!W5*EF!$H36*EF!$H54)*NtoN2O*kgtoGg)</f>
        <v>5.0945240688674294E-2</v>
      </c>
      <c r="X36" s="28">
        <f>IF(('Activity data'!X5*EF!$H36*EF!$H54)*NtoN2O*kgtoGg=0,"NO",('Activity data'!X5*EF!$H36*EF!$H54)*NtoN2O*kgtoGg)</f>
        <v>4.9837350103064657E-2</v>
      </c>
      <c r="Y36" s="28">
        <f>IF(('Activity data'!Y5*EF!$H36*EF!$H54)*NtoN2O*kgtoGg=0,"NO",('Activity data'!Y5*EF!$H36*EF!$H54)*NtoN2O*kgtoGg)</f>
        <v>4.9480609334498347E-2</v>
      </c>
      <c r="Z36" s="28">
        <f>IF(('Activity data'!Z5*EF!$H36*EF!$H54)*NtoN2O*kgtoGg=0,"NO",('Activity data'!Z5*EF!$H36*EF!$H54)*NtoN2O*kgtoGg)</f>
        <v>6.0597183470505606E-2</v>
      </c>
      <c r="AA36" s="28">
        <f>IF(('Activity data'!AA5*EF!$H36*EF!$H54)*NtoN2O*kgtoGg=0,"NO",('Activity data'!AA5*EF!$H36*EF!$H54)*NtoN2O*kgtoGg)</f>
        <v>6.2099483104592297E-2</v>
      </c>
      <c r="AB36" s="28">
        <f>IF(('Activity data'!AB5*EF!$H36*EF!$H54)*NtoN2O*kgtoGg=0,"NO",('Activity data'!AB5*EF!$H36*EF!$H54)*NtoN2O*kgtoGg)</f>
        <v>6.2099483104592297E-2</v>
      </c>
      <c r="AC36" s="28">
        <f>IF(('Activity data'!AC5*EF!$H36*EF!$H54)*NtoN2O*kgtoGg=0,"NO",('Activity data'!AC5*EF!$H36*EF!$H54)*NtoN2O*kgtoGg)</f>
        <v>5.9846033653462256E-2</v>
      </c>
      <c r="AD36" s="28">
        <f>IF(('Activity data'!AD5*EF!$H36*EF!$H54)*NtoN2O*kgtoGg=0,"NO",('Activity data'!AD5*EF!$H36*EF!$H54)*NtoN2O*kgtoGg)</f>
        <v>5.9581863535910565E-2</v>
      </c>
      <c r="AE36" s="28">
        <f>IF(('Activity data'!AE5*EF!$H36*EF!$H54)*NtoN2O*kgtoGg=0,"NO",('Activity data'!AE5*EF!$H36*EF!$H54)*NtoN2O*kgtoGg)</f>
        <v>5.9952472777501202E-2</v>
      </c>
      <c r="AF36" s="28">
        <f>IF(('Activity data'!AF5*EF!$H36*EF!$H54)*NtoN2O*kgtoGg=0,"NO",('Activity data'!AF5*EF!$H36*EF!$H54)*NtoN2O*kgtoGg)</f>
        <v>6.0207271736418301E-2</v>
      </c>
      <c r="AG36" s="28">
        <f>IF(('Activity data'!AG5*EF!$H36*EF!$H54)*NtoN2O*kgtoGg=0,"NO",('Activity data'!AG5*EF!$H36*EF!$H54)*NtoN2O*kgtoGg)</f>
        <v>6.0287180440683194E-2</v>
      </c>
      <c r="AH36" s="28">
        <f>IF(('Activity data'!AH5*EF!$H36*EF!$H54)*NtoN2O*kgtoGg=0,"NO",('Activity data'!AH5*EF!$H36*EF!$H54)*NtoN2O*kgtoGg)</f>
        <v>6.0395284993714014E-2</v>
      </c>
      <c r="AI36" s="28">
        <f>IF(('Activity data'!AI5*EF!$H36*EF!H54)*NtoN2O*kgtoGg=0,"NO",('Activity data'!AI5*EF!$H36*EF!H54)*NtoN2O*kgtoGg)</f>
        <v>6.0632075036082048E-2</v>
      </c>
      <c r="AJ36" s="28">
        <f>IF(('Activity data'!AJ5*EF!$H36*EF!I54)*NtoN2O*kgtoGg=0,"NO",('Activity data'!AJ5*EF!$H36*EF!I54)*NtoN2O*kgtoGg)</f>
        <v>6.0915962278620638E-2</v>
      </c>
      <c r="AK36" s="28">
        <f>IF(('Activity data'!AK5*EF!$H36*EF!J54)*NtoN2O*kgtoGg=0,"NO",('Activity data'!AK5*EF!$H36*EF!J54)*NtoN2O*kgtoGg)</f>
        <v>6.1001244967563928E-2</v>
      </c>
      <c r="AL36" s="28">
        <f>IF(('Activity data'!AL5*EF!$H36*EF!K54)*NtoN2O*kgtoGg=0,"NO",('Activity data'!AL5*EF!$H36*EF!K54)*NtoN2O*kgtoGg)</f>
        <v>5.9128520448870917E-2</v>
      </c>
      <c r="AM36" s="28">
        <f>IF(('Activity data'!AM5*EF!$H36*EF!L54)*NtoN2O*kgtoGg=0,"NO",('Activity data'!AM5*EF!$H36*EF!L54)*NtoN2O*kgtoGg)</f>
        <v>5.961554215328714E-2</v>
      </c>
      <c r="AN36" s="28">
        <f>IF(('Activity data'!AN5*EF!$H36*EF!M54)*NtoN2O*kgtoGg=0,"NO",('Activity data'!AN5*EF!$H36*EF!M54)*NtoN2O*kgtoGg)</f>
        <v>6.0062127225246474E-2</v>
      </c>
      <c r="AO36" s="28">
        <f>IF(('Activity data'!AO5*EF!$H36*EF!N54)*NtoN2O*kgtoGg=0,"NO",('Activity data'!AO5*EF!$H36*EF!N54)*NtoN2O*kgtoGg)</f>
        <v>6.0520025735654244E-2</v>
      </c>
      <c r="AP36" s="28">
        <f>IF(('Activity data'!AP5*EF!$H36*EF!O54)*NtoN2O*kgtoGg=0,"NO",('Activity data'!AP5*EF!$H36*EF!O54)*NtoN2O*kgtoGg)</f>
        <v>6.107162678051329E-2</v>
      </c>
      <c r="AQ36" s="28">
        <f>IF(('Activity data'!AQ5*EF!$H36*EF!P54)*NtoN2O*kgtoGg=0,"NO",('Activity data'!AQ5*EF!$H36*EF!P54)*NtoN2O*kgtoGg)</f>
        <v>6.1633578287442058E-2</v>
      </c>
      <c r="AR36" s="28">
        <f>IF(('Activity data'!AR5*EF!$H36*EF!Q54)*NtoN2O*kgtoGg=0,"NO",('Activity data'!AR5*EF!$H36*EF!Q54)*NtoN2O*kgtoGg)</f>
        <v>6.2180760814939798E-2</v>
      </c>
      <c r="AS36" s="28">
        <f>IF(('Activity data'!AS5*EF!$H36*EF!R54)*NtoN2O*kgtoGg=0,"NO",('Activity data'!AS5*EF!$H36*EF!R54)*NtoN2O*kgtoGg)</f>
        <v>6.2716996536282391E-2</v>
      </c>
      <c r="AT36" s="28">
        <f>IF(('Activity data'!AT5*EF!$H36*EF!S54)*NtoN2O*kgtoGg=0,"NO",('Activity data'!AT5*EF!$H36*EF!S54)*NtoN2O*kgtoGg)</f>
        <v>6.3294581219461896E-2</v>
      </c>
      <c r="AU36" s="28">
        <f>IF(('Activity data'!AU5*EF!$H36*EF!T54)*NtoN2O*kgtoGg=0,"NO",('Activity data'!AU5*EF!$H36*EF!T54)*NtoN2O*kgtoGg)</f>
        <v>6.3841542561015929E-2</v>
      </c>
      <c r="AV36" s="28">
        <f>IF(('Activity data'!AV5*EF!$H36*EF!U54)*NtoN2O*kgtoGg=0,"NO",('Activity data'!AV5*EF!$H36*EF!U54)*NtoN2O*kgtoGg)</f>
        <v>6.4408123024693842E-2</v>
      </c>
      <c r="AW36" s="28">
        <f>IF(('Activity data'!AW5*EF!$H36*EF!V54)*NtoN2O*kgtoGg=0,"NO",('Activity data'!AW5*EF!$H36*EF!V54)*NtoN2O*kgtoGg)</f>
        <v>6.5059072276654292E-2</v>
      </c>
      <c r="AX36" s="28">
        <f>IF(('Activity data'!AX5*EF!$H36*EF!W54)*NtoN2O*kgtoGg=0,"NO",('Activity data'!AX5*EF!$H36*EF!W54)*NtoN2O*kgtoGg)</f>
        <v>6.5768024439382053E-2</v>
      </c>
      <c r="AY36" s="28">
        <f>IF(('Activity data'!AY5*EF!$H36*EF!X54)*NtoN2O*kgtoGg=0,"NO",('Activity data'!AY5*EF!$H36*EF!X54)*NtoN2O*kgtoGg)</f>
        <v>6.6505116559025759E-2</v>
      </c>
      <c r="AZ36" s="28">
        <f>IF(('Activity data'!AZ5*EF!$H36*EF!Y54)*NtoN2O*kgtoGg=0,"NO",('Activity data'!AZ5*EF!$H36*EF!Y54)*NtoN2O*kgtoGg)</f>
        <v>6.6608077063784327E-2</v>
      </c>
      <c r="BA36" s="28">
        <f>IF(('Activity data'!BA5*EF!$H36*EF!Z54)*NtoN2O*kgtoGg=0,"NO",('Activity data'!BA5*EF!$H36*EF!Z54)*NtoN2O*kgtoGg)</f>
        <v>3.5661314599783112E-2</v>
      </c>
      <c r="BB36" s="28">
        <f>IF(('Activity data'!BB5*EF!$H36*EF!AA54)*NtoN2O*kgtoGg=0,"NO",('Activity data'!BB5*EF!$H36*EF!AA54)*NtoN2O*kgtoGg)</f>
        <v>3.5687543278982381E-2</v>
      </c>
      <c r="BC36" s="28">
        <f>IF(('Activity data'!BC5*EF!$H36*EF!AB54)*NtoN2O*kgtoGg=0,"NO",('Activity data'!BC5*EF!$H36*EF!AB54)*NtoN2O*kgtoGg)</f>
        <v>3.5717217411916767E-2</v>
      </c>
      <c r="BD36" s="28">
        <f>IF(('Activity data'!BD5*EF!$H36*EF!AC54)*NtoN2O*kgtoGg=0,"NO",('Activity data'!BD5*EF!$H36*EF!AC54)*NtoN2O*kgtoGg)</f>
        <v>3.5750206038134905E-2</v>
      </c>
      <c r="BE36" s="28">
        <f>IF(('Activity data'!BE5*EF!$H36*EF!AD54)*NtoN2O*kgtoGg=0,"NO",('Activity data'!BE5*EF!$H36*EF!AD54)*NtoN2O*kgtoGg)</f>
        <v>3.5786388283243133E-2</v>
      </c>
      <c r="BF36" s="28">
        <f>IF(('Activity data'!BF5*EF!$H36*EF!AE54)*NtoN2O*kgtoGg=0,"NO",('Activity data'!BF5*EF!$H36*EF!AE54)*NtoN2O*kgtoGg)</f>
        <v>3.5825652402917518E-2</v>
      </c>
      <c r="BG36" s="28">
        <f>IF(('Activity data'!BG5*EF!$H36*EF!AF54)*NtoN2O*kgtoGg=0,"NO",('Activity data'!BG5*EF!$H36*EF!AF54)*NtoN2O*kgtoGg)</f>
        <v>3.5842556779576207E-2</v>
      </c>
      <c r="BH36" s="28">
        <f>IF(('Activity data'!BH5*EF!$H36*EF!AG54)*NtoN2O*kgtoGg=0,"NO",('Activity data'!BH5*EF!$H36*EF!AG54)*NtoN2O*kgtoGg)</f>
        <v>3.5862175171675115E-2</v>
      </c>
      <c r="BI36" s="28">
        <f>IF(('Activity data'!BI5*EF!$H36*EF!AH54)*NtoN2O*kgtoGg=0,"NO",('Activity data'!BI5*EF!$H36*EF!AH54)*NtoN2O*kgtoGg)</f>
        <v>3.588441278699845E-2</v>
      </c>
      <c r="BJ36" s="28">
        <f>IF(('Activity data'!BJ5*EF!$H36*EF!AI54)*NtoN2O*kgtoGg=0,"NO",('Activity data'!BJ5*EF!$H36*EF!AI54)*NtoN2O*kgtoGg)</f>
        <v>3.5909181301646116E-2</v>
      </c>
      <c r="BK36" s="28">
        <f>IF(('Activity data'!BK5*EF!$H36*EF!AJ54)*NtoN2O*kgtoGg=0,"NO",('Activity data'!BK5*EF!$H36*EF!AJ54)*NtoN2O*kgtoGg)</f>
        <v>3.5936398311145284E-2</v>
      </c>
      <c r="BL36" s="28">
        <f>IF(('Activity data'!BL5*EF!$H36*EF!AK54)*NtoN2O*kgtoGg=0,"NO",('Activity data'!BL5*EF!$H36*EF!AK54)*NtoN2O*kgtoGg)</f>
        <v>3.5940375653704157E-2</v>
      </c>
      <c r="BM36" s="28">
        <f>IF(('Activity data'!BM5*EF!$H36*EF!AL54)*NtoN2O*kgtoGg=0,"NO",('Activity data'!BM5*EF!$H36*EF!AL54)*NtoN2O*kgtoGg)</f>
        <v>3.5946523647611327E-2</v>
      </c>
      <c r="BN36" s="28">
        <f>IF(('Activity data'!BN5*EF!$H36*EF!AM54)*NtoN2O*kgtoGg=0,"NO",('Activity data'!BN5*EF!$H36*EF!AM54)*NtoN2O*kgtoGg)</f>
        <v>3.5954770346244613E-2</v>
      </c>
      <c r="BO36" s="28">
        <f>IF(('Activity data'!BO5*EF!$H36*EF!AN54)*NtoN2O*kgtoGg=0,"NO",('Activity data'!BO5*EF!$H36*EF!AN54)*NtoN2O*kgtoGg)</f>
        <v>3.5965048185906283E-2</v>
      </c>
      <c r="BP36" s="28">
        <f>IF(('Activity data'!BP5*EF!$H36*EF!AO54)*NtoN2O*kgtoGg=0,"NO",('Activity data'!BP5*EF!$H36*EF!AO54)*NtoN2O*kgtoGg)</f>
        <v>3.5977293649132408E-2</v>
      </c>
    </row>
    <row r="37" spans="1:68" x14ac:dyDescent="0.25">
      <c r="A37" t="str">
        <f t="shared" si="1"/>
        <v>3A Livestock</v>
      </c>
      <c r="B37" t="str">
        <f>B36</f>
        <v>3A2 Manure management (N2O)</v>
      </c>
      <c r="C37" t="str">
        <f>EF!C55</f>
        <v>3A1ai Dairy cattle</v>
      </c>
      <c r="D37" t="str">
        <f>EF!D55</f>
        <v>Pasture</v>
      </c>
      <c r="E37" t="str">
        <f t="shared" si="9"/>
        <v>Manure management Emissions</v>
      </c>
      <c r="F37" t="s">
        <v>139</v>
      </c>
      <c r="G37" t="str">
        <f t="shared" ref="G37:G53" si="10">G36</f>
        <v>Gg N2O</v>
      </c>
      <c r="H37" s="28">
        <f>IF(('Activity data'!H6*EF!$H37*EF!$H55)*NtoN2O*kgtoGg=0,"NO",('Activity data'!H6*EF!$H37*EF!$H55)*NtoN2O*kgtoGg)</f>
        <v>0.21291734414122981</v>
      </c>
      <c r="I37" s="28">
        <f>IF(('Activity data'!I6*EF!$H37*EF!$H55)*NtoN2O*kgtoGg=0,"NO",('Activity data'!I6*EF!$H37*EF!$H55)*NtoN2O*kgtoGg)</f>
        <v>0.24512316768375322</v>
      </c>
      <c r="J37" s="28">
        <f>IF(('Activity data'!J6*EF!$H37*EF!$H55)*NtoN2O*kgtoGg=0,"NO",('Activity data'!J6*EF!$H37*EF!$H55)*NtoN2O*kgtoGg)</f>
        <v>0.21206325644895188</v>
      </c>
      <c r="K37" s="28">
        <f>IF(('Activity data'!K6*EF!$H37*EF!$H55)*NtoN2O*kgtoGg=0,"NO",('Activity data'!K6*EF!$H37*EF!$H55)*NtoN2O*kgtoGg)</f>
        <v>0.22491295779681808</v>
      </c>
      <c r="L37" s="28">
        <f>IF(('Activity data'!L6*EF!$H37*EF!$H55)*NtoN2O*kgtoGg=0,"NO",('Activity data'!L6*EF!$H37*EF!$H55)*NtoN2O*kgtoGg)</f>
        <v>0.20864690567984037</v>
      </c>
      <c r="M37" s="28">
        <f>IF(('Activity data'!M6*EF!$H37*EF!$H55)*NtoN2O*kgtoGg=0,"NO",('Activity data'!M6*EF!$H37*EF!$H55)*NtoN2O*kgtoGg)</f>
        <v>0.22320478241226227</v>
      </c>
      <c r="N37" s="28">
        <f>IF(('Activity data'!N6*EF!$H37*EF!$H55)*NtoN2O*kgtoGg=0,"NO",('Activity data'!N6*EF!$H37*EF!$H55)*NtoN2O*kgtoGg)</f>
        <v>0.22405887010454018</v>
      </c>
      <c r="O37" s="28">
        <f>IF(('Activity data'!O6*EF!$H37*EF!$H55)*NtoN2O*kgtoGg=0,"NO",('Activity data'!O6*EF!$H37*EF!$H55)*NtoN2O*kgtoGg)</f>
        <v>0.21600741421890937</v>
      </c>
      <c r="P37" s="28">
        <f>IF(('Activity data'!P6*EF!$H37*EF!$H55)*NtoN2O*kgtoGg=0,"NO",('Activity data'!P6*EF!$H37*EF!$H55)*NtoN2O*kgtoGg)</f>
        <v>0.21344515114207568</v>
      </c>
      <c r="Q37" s="28">
        <f>IF(('Activity data'!Q6*EF!$H37*EF!$H55)*NtoN2O*kgtoGg=0,"NO",('Activity data'!Q6*EF!$H37*EF!$H55)*NtoN2O*kgtoGg)</f>
        <v>0.20966413371783418</v>
      </c>
      <c r="R37" s="28">
        <f>IF(('Activity data'!R6*EF!$H37*EF!$H55)*NtoN2O*kgtoGg=0,"NO",('Activity data'!R6*EF!$H37*EF!$H55)*NtoN2O*kgtoGg)</f>
        <v>0.26996848268720769</v>
      </c>
      <c r="S37" s="28">
        <f>IF(('Activity data'!S6*EF!$H37*EF!$H55)*NtoN2O*kgtoGg=0,"NO",('Activity data'!S6*EF!$H37*EF!$H55)*NtoN2O*kgtoGg)</f>
        <v>0.26911439499492978</v>
      </c>
      <c r="T37" s="28">
        <f>IF(('Activity data'!T6*EF!$H37*EF!$H55)*NtoN2O*kgtoGg=0,"NO",('Activity data'!T6*EF!$H37*EF!$H55)*NtoN2O*kgtoGg)</f>
        <v>0.23467258906700467</v>
      </c>
      <c r="U37" s="28">
        <f>IF(('Activity data'!U6*EF!$H37*EF!$H55)*NtoN2O*kgtoGg=0,"NO",('Activity data'!U6*EF!$H37*EF!$H55)*NtoN2O*kgtoGg)</f>
        <v>0.21344515114207568</v>
      </c>
      <c r="V37" s="28">
        <f>IF(('Activity data'!V6*EF!$H37*EF!$H55)*NtoN2O*kgtoGg=0,"NO",('Activity data'!V6*EF!$H37*EF!$H55)*NtoN2O*kgtoGg)</f>
        <v>0.20608464260300666</v>
      </c>
      <c r="W37" s="28">
        <f>IF(('Activity data'!W6*EF!$H37*EF!$H55)*NtoN2O*kgtoGg=0,"NO",('Activity data'!W6*EF!$H37*EF!$H55)*NtoN2O*kgtoGg)</f>
        <v>0.22064251933542864</v>
      </c>
      <c r="X37" s="28">
        <f>IF(('Activity data'!X6*EF!$H37*EF!$H55)*NtoN2O*kgtoGg=0,"NO",('Activity data'!X6*EF!$H37*EF!$H55)*NtoN2O*kgtoGg)</f>
        <v>0.2158442738731933</v>
      </c>
      <c r="Y37" s="28">
        <f>IF(('Activity data'!Y6*EF!$H37*EF!$H55)*NtoN2O*kgtoGg=0,"NO",('Activity data'!Y6*EF!$H37*EF!$H55)*NtoN2O*kgtoGg)</f>
        <v>0.21429923883435359</v>
      </c>
      <c r="Z37" s="28">
        <f>IF(('Activity data'!Z6*EF!$H37*EF!$H55)*NtoN2O*kgtoGg=0,"NO",('Activity data'!Z6*EF!$H37*EF!$H55)*NtoN2O*kgtoGg)</f>
        <v>0.26244483380242267</v>
      </c>
      <c r="AA37" s="28">
        <f>IF(('Activity data'!AA6*EF!$H37*EF!$H55)*NtoN2O*kgtoGg=0,"NO",('Activity data'!AA6*EF!$H37*EF!$H55)*NtoN2O*kgtoGg)</f>
        <v>0.26895125464921371</v>
      </c>
      <c r="AB37" s="28">
        <f>IF(('Activity data'!AB6*EF!$H37*EF!$H55)*NtoN2O*kgtoGg=0,"NO",('Activity data'!AB6*EF!$H37*EF!$H55)*NtoN2O*kgtoGg)</f>
        <v>0.26895125464921371</v>
      </c>
      <c r="AC37" s="28">
        <f>IF(('Activity data'!AC6*EF!$H37*EF!$H55)*NtoN2O*kgtoGg=0,"NO",('Activity data'!AC6*EF!$H37*EF!$H55)*NtoN2O*kgtoGg)</f>
        <v>0.25919162337902713</v>
      </c>
      <c r="AD37" s="28">
        <f>IF(('Activity data'!AD6*EF!$H37*EF!$H55)*NtoN2O*kgtoGg=0,"NO",('Activity data'!AD6*EF!$H37*EF!$H55)*NtoN2O*kgtoGg)</f>
        <v>0.26088706231871722</v>
      </c>
      <c r="AE37" s="28">
        <f>IF(('Activity data'!AE6*EF!$H37*EF!$H55)*NtoN2O*kgtoGg=0,"NO",('Activity data'!AE6*EF!$H37*EF!$H55)*NtoN2O*kgtoGg)</f>
        <v>0.2625098238533321</v>
      </c>
      <c r="AF37" s="28">
        <f>IF(('Activity data'!AF6*EF!$H37*EF!$H55)*NtoN2O*kgtoGg=0,"NO",('Activity data'!AF6*EF!$H37*EF!$H55)*NtoN2O*kgtoGg)</f>
        <v>0.26362549476271357</v>
      </c>
      <c r="AG37" s="28">
        <f>IF(('Activity data'!AG6*EF!$H37*EF!$H55)*NtoN2O*kgtoGg=0,"NO",('Activity data'!AG6*EF!$H37*EF!$H55)*NtoN2O*kgtoGg)</f>
        <v>0.2639753855830434</v>
      </c>
      <c r="AH37" s="28">
        <f>IF(('Activity data'!AH6*EF!$H37*EF!$H55)*NtoN2O*kgtoGg=0,"NO",('Activity data'!AH6*EF!$H37*EF!$H55)*NtoN2O*kgtoGg)</f>
        <v>0.26444873565284266</v>
      </c>
      <c r="AI37" s="28">
        <f>IF(('Activity data'!AI6*EF!$H37*EF!H55)*NtoN2O*kgtoGg=0,"NO",('Activity data'!AI6*EF!$H37*EF!H55)*NtoN2O*kgtoGg)</f>
        <v>0.26548555214151259</v>
      </c>
      <c r="AJ37" s="28">
        <f>IF(('Activity data'!AJ6*EF!$H37*EF!I55)*NtoN2O*kgtoGg=0,"NO",('Activity data'!AJ6*EF!$H37*EF!I55)*NtoN2O*kgtoGg)</f>
        <v>0.26672858994429993</v>
      </c>
      <c r="AK37" s="28">
        <f>IF(('Activity data'!AK6*EF!$H37*EF!J55)*NtoN2O*kgtoGg=0,"NO",('Activity data'!AK6*EF!$H37*EF!J55)*NtoN2O*kgtoGg)</f>
        <v>0.26710201146663365</v>
      </c>
      <c r="AL37" s="28">
        <f>IF(('Activity data'!AL6*EF!$H37*EF!K55)*NtoN2O*kgtoGg=0,"NO",('Activity data'!AL6*EF!$H37*EF!K55)*NtoN2O*kgtoGg)</f>
        <v>0.2589020397097988</v>
      </c>
      <c r="AM37" s="28">
        <f>IF(('Activity data'!AM6*EF!$H37*EF!L55)*NtoN2O*kgtoGg=0,"NO",('Activity data'!AM6*EF!$H37*EF!L55)*NtoN2O*kgtoGg)</f>
        <v>0.26103452859501175</v>
      </c>
      <c r="AN37" s="28">
        <f>IF(('Activity data'!AN6*EF!$H37*EF!M55)*NtoN2O*kgtoGg=0,"NO",('Activity data'!AN6*EF!$H37*EF!M55)*NtoN2O*kgtoGg)</f>
        <v>0.26298996034193323</v>
      </c>
      <c r="AO37" s="28">
        <f>IF(('Activity data'!AO6*EF!$H37*EF!N55)*NtoN2O*kgtoGg=0,"NO",('Activity data'!AO6*EF!$H37*EF!N55)*NtoN2O*kgtoGg)</f>
        <v>0.26499492947399811</v>
      </c>
      <c r="AP37" s="28">
        <f>IF(('Activity data'!AP6*EF!$H37*EF!O55)*NtoN2O*kgtoGg=0,"NO",('Activity data'!AP6*EF!$H37*EF!O55)*NtoN2O*kgtoGg)</f>
        <v>0.26741018753450635</v>
      </c>
      <c r="AQ37" s="28">
        <f>IF(('Activity data'!AQ6*EF!$H37*EF!P55)*NtoN2O*kgtoGg=0,"NO",('Activity data'!AQ6*EF!$H37*EF!P55)*NtoN2O*kgtoGg)</f>
        <v>0.26987076646084124</v>
      </c>
      <c r="AR37" s="28">
        <f>IF(('Activity data'!AR6*EF!$H37*EF!Q55)*NtoN2O*kgtoGg=0,"NO",('Activity data'!AR6*EF!$H37*EF!Q55)*NtoN2O*kgtoGg)</f>
        <v>0.27226667745924399</v>
      </c>
      <c r="AS37" s="28">
        <f>IF(('Activity data'!AS6*EF!$H37*EF!R55)*NtoN2O*kgtoGg=0,"NO",('Activity data'!AS6*EF!$H37*EF!R55)*NtoN2O*kgtoGg)</f>
        <v>0.27461465642044425</v>
      </c>
      <c r="AT37" s="28">
        <f>IF(('Activity data'!AT6*EF!$H37*EF!S55)*NtoN2O*kgtoGg=0,"NO",('Activity data'!AT6*EF!$H37*EF!S55)*NtoN2O*kgtoGg)</f>
        <v>0.27714368727467675</v>
      </c>
      <c r="AU37" s="28">
        <f>IF(('Activity data'!AU6*EF!$H37*EF!T55)*NtoN2O*kgtoGg=0,"NO",('Activity data'!AU6*EF!$H37*EF!T55)*NtoN2O*kgtoGg)</f>
        <v>0.2795386297811987</v>
      </c>
      <c r="AV37" s="28">
        <f>IF(('Activity data'!AV6*EF!$H37*EF!U55)*NtoN2O*kgtoGg=0,"NO",('Activity data'!AV6*EF!$H37*EF!U55)*NtoN2O*kgtoGg)</f>
        <v>0.2820194772063051</v>
      </c>
      <c r="AW37" s="28">
        <f>IF(('Activity data'!AW6*EF!$H37*EF!V55)*NtoN2O*kgtoGg=0,"NO",('Activity data'!AW6*EF!$H37*EF!V55)*NtoN2O*kgtoGg)</f>
        <v>0.28486974451894415</v>
      </c>
      <c r="AX37" s="28">
        <f>IF(('Activity data'!AX6*EF!$H37*EF!W55)*NtoN2O*kgtoGg=0,"NO",('Activity data'!AX6*EF!$H37*EF!W55)*NtoN2O*kgtoGg)</f>
        <v>0.28797398524057027</v>
      </c>
      <c r="AY37" s="28">
        <f>IF(('Activity data'!AY6*EF!$H37*EF!X55)*NtoN2O*kgtoGg=0,"NO",('Activity data'!AY6*EF!$H37*EF!X55)*NtoN2O*kgtoGg)</f>
        <v>0.2912014404818154</v>
      </c>
      <c r="AZ37" s="28">
        <f>IF(('Activity data'!AZ6*EF!$H37*EF!Y55)*NtoN2O*kgtoGg=0,"NO",('Activity data'!AZ6*EF!$H37*EF!Y55)*NtoN2O*kgtoGg)</f>
        <v>0.29165226665654759</v>
      </c>
      <c r="BA37" s="28">
        <f>IF(('Activity data'!BA6*EF!$H37*EF!Z55)*NtoN2O*kgtoGg=0,"NO",('Activity data'!BA6*EF!$H37*EF!Z55)*NtoN2O*kgtoGg)</f>
        <v>0.1561477780693053</v>
      </c>
      <c r="BB37" s="28">
        <f>IF(('Activity data'!BB6*EF!$H37*EF!AA55)*NtoN2O*kgtoGg=0,"NO",('Activity data'!BB6*EF!$H37*EF!AA55)*NtoN2O*kgtoGg)</f>
        <v>0.15626262380689576</v>
      </c>
      <c r="BC37" s="28">
        <f>IF(('Activity data'!BC6*EF!$H37*EF!AB55)*NtoN2O*kgtoGg=0,"NO",('Activity data'!BC6*EF!$H37*EF!AB55)*NtoN2O*kgtoGg)</f>
        <v>0.1563925559189292</v>
      </c>
      <c r="BD37" s="28">
        <f>IF(('Activity data'!BD6*EF!$H37*EF!AC55)*NtoN2O*kgtoGg=0,"NO",('Activity data'!BD6*EF!$H37*EF!AC55)*NtoN2O*kgtoGg)</f>
        <v>0.1565370009777648</v>
      </c>
      <c r="BE37" s="28">
        <f>IF(('Activity data'!BE6*EF!$H37*EF!AD55)*NtoN2O*kgtoGg=0,"NO",('Activity data'!BE6*EF!$H37*EF!AD55)*NtoN2O*kgtoGg)</f>
        <v>0.15669542971889827</v>
      </c>
      <c r="BF37" s="28">
        <f>IF(('Activity data'!BF6*EF!$H37*EF!AE55)*NtoN2O*kgtoGg=0,"NO",('Activity data'!BF6*EF!$H37*EF!AE55)*NtoN2O*kgtoGg)</f>
        <v>0.156867352855042</v>
      </c>
      <c r="BG37" s="28">
        <f>IF(('Activity data'!BG6*EF!$H37*EF!AF55)*NtoN2O*kgtoGg=0,"NO",('Activity data'!BG6*EF!$H37*EF!AF55)*NtoN2O*kgtoGg)</f>
        <v>0.15694137090189544</v>
      </c>
      <c r="BH37" s="28">
        <f>IF(('Activity data'!BH6*EF!$H37*EF!AG55)*NtoN2O*kgtoGg=0,"NO",('Activity data'!BH6*EF!$H37*EF!AG55)*NtoN2O*kgtoGg)</f>
        <v>0.15702727262396923</v>
      </c>
      <c r="BI37" s="28">
        <f>IF(('Activity data'!BI6*EF!$H37*EF!AH55)*NtoN2O*kgtoGg=0,"NO",('Activity data'!BI6*EF!$H37*EF!AH55)*NtoN2O*kgtoGg)</f>
        <v>0.15712464296102122</v>
      </c>
      <c r="BJ37" s="28">
        <f>IF(('Activity data'!BJ6*EF!$H37*EF!AI55)*NtoN2O*kgtoGg=0,"NO",('Activity data'!BJ6*EF!$H37*EF!AI55)*NtoN2O*kgtoGg)</f>
        <v>0.15723309517518419</v>
      </c>
      <c r="BK37" s="28">
        <f>IF(('Activity data'!BK6*EF!$H37*EF!AJ55)*NtoN2O*kgtoGg=0,"NO",('Activity data'!BK6*EF!$H37*EF!AJ55)*NtoN2O*kgtoGg)</f>
        <v>0.15735226844758546</v>
      </c>
      <c r="BL37" s="28">
        <f>IF(('Activity data'!BL6*EF!$H37*EF!AK55)*NtoN2O*kgtoGg=0,"NO",('Activity data'!BL6*EF!$H37*EF!AK55)*NtoN2O*kgtoGg)</f>
        <v>0.15736968376752411</v>
      </c>
      <c r="BM37" s="28">
        <f>IF(('Activity data'!BM6*EF!$H37*EF!AL55)*NtoN2O*kgtoGg=0,"NO",('Activity data'!BM6*EF!$H37*EF!AL55)*NtoN2O*kgtoGg)</f>
        <v>0.15739660357120949</v>
      </c>
      <c r="BN37" s="28">
        <f>IF(('Activity data'!BN6*EF!$H37*EF!AM55)*NtoN2O*kgtoGg=0,"NO",('Activity data'!BN6*EF!$H37*EF!AM55)*NtoN2O*kgtoGg)</f>
        <v>0.15743271283084972</v>
      </c>
      <c r="BO37" s="28">
        <f>IF(('Activity data'!BO6*EF!$H37*EF!AN55)*NtoN2O*kgtoGg=0,"NO",('Activity data'!BO6*EF!$H37*EF!AN55)*NtoN2O*kgtoGg)</f>
        <v>0.15747771570986671</v>
      </c>
      <c r="BP37" s="28">
        <f>IF(('Activity data'!BP6*EF!$H37*EF!AO55)*NtoN2O*kgtoGg=0,"NO",('Activity data'!BP6*EF!$H37*EF!AO55)*NtoN2O*kgtoGg)</f>
        <v>0.15753133408865197</v>
      </c>
    </row>
    <row r="38" spans="1:68" x14ac:dyDescent="0.25">
      <c r="A38" t="str">
        <f t="shared" si="1"/>
        <v>3A Livestock</v>
      </c>
      <c r="B38" t="str">
        <f t="shared" ref="B38:B53" si="11">B37</f>
        <v>3A2 Manure management (N2O)</v>
      </c>
      <c r="C38" t="str">
        <f>EF!C56</f>
        <v>3A1aii Other cattle</v>
      </c>
      <c r="D38" t="str">
        <f>EF!D56</f>
        <v>Non-lactating</v>
      </c>
      <c r="E38" t="str">
        <f t="shared" si="9"/>
        <v>Manure management Emissions</v>
      </c>
      <c r="F38" t="s">
        <v>139</v>
      </c>
      <c r="G38" t="str">
        <f t="shared" si="10"/>
        <v>Gg N2O</v>
      </c>
      <c r="H38" s="28">
        <f>IF(('Activity data'!H7*EF!$H38*EF!$H56)*NtoN2O*kgtoGg=0,"NO",('Activity data'!H7*EF!$H38*EF!$H56)*NtoN2O*kgtoGg)</f>
        <v>1.1183611918471593E-2</v>
      </c>
      <c r="I38" s="28">
        <f>IF(('Activity data'!I7*EF!$H38*EF!$H56)*NtoN2O*kgtoGg=0,"NO",('Activity data'!I7*EF!$H38*EF!$H56)*NtoN2O*kgtoGg)</f>
        <v>1.2711960166782875E-2</v>
      </c>
      <c r="J38" s="28">
        <f>IF(('Activity data'!J7*EF!$H38*EF!$H56)*NtoN2O*kgtoGg=0,"NO",('Activity data'!J7*EF!$H38*EF!$H56)*NtoN2O*kgtoGg)</f>
        <v>1.0995878646861469E-2</v>
      </c>
      <c r="K38" s="28">
        <f>IF(('Activity data'!K7*EF!$H38*EF!$H56)*NtoN2O*kgtoGg=0,"NO",('Activity data'!K7*EF!$H38*EF!$H56)*NtoN2O*kgtoGg)</f>
        <v>1.1507534902584429E-2</v>
      </c>
      <c r="L38" s="28">
        <f>IF(('Activity data'!L7*EF!$H38*EF!$H56)*NtoN2O*kgtoGg=0,"NO",('Activity data'!L7*EF!$H38*EF!$H56)*NtoN2O*kgtoGg)</f>
        <v>1.0244945560421E-2</v>
      </c>
      <c r="M38" s="28">
        <f>IF(('Activity data'!M7*EF!$H38*EF!$H56)*NtoN2O*kgtoGg=0,"NO",('Activity data'!M7*EF!$H38*EF!$H56)*NtoN2O*kgtoGg)</f>
        <v>1.1132068359364188E-2</v>
      </c>
      <c r="N38" s="28">
        <f>IF(('Activity data'!N7*EF!$H38*EF!$H56)*NtoN2O*kgtoGg=0,"NO",('Activity data'!N7*EF!$H38*EF!$H56)*NtoN2O*kgtoGg)</f>
        <v>1.1319801630974307E-2</v>
      </c>
      <c r="O38" s="28">
        <f>IF(('Activity data'!O7*EF!$H38*EF!$H56)*NtoN2O*kgtoGg=0,"NO",('Activity data'!O7*EF!$H38*EF!$H56)*NtoN2O*kgtoGg)</f>
        <v>1.0937714568896487E-2</v>
      </c>
      <c r="P38" s="28">
        <f>IF(('Activity data'!P7*EF!$H38*EF!$H56)*NtoN2O*kgtoGg=0,"NO",('Activity data'!P7*EF!$H38*EF!$H56)*NtoN2O*kgtoGg)</f>
        <v>1.0374514754066132E-2</v>
      </c>
      <c r="Q38" s="28">
        <f>IF(('Activity data'!Q7*EF!$H38*EF!$H56)*NtoN2O*kgtoGg=0,"NO",('Activity data'!Q7*EF!$H38*EF!$H56)*NtoN2O*kgtoGg)</f>
        <v>1.0931094050038906E-2</v>
      </c>
      <c r="R38" s="28">
        <f>IF(('Activity data'!R7*EF!$H38*EF!$H56)*NtoN2O*kgtoGg=0,"NO",('Activity data'!R7*EF!$H38*EF!$H56)*NtoN2O*kgtoGg)</f>
        <v>1.3547539406618663E-2</v>
      </c>
      <c r="S38" s="28">
        <f>IF(('Activity data'!S7*EF!$H38*EF!$H56)*NtoN2O*kgtoGg=0,"NO",('Activity data'!S7*EF!$H38*EF!$H56)*NtoN2O*kgtoGg)</f>
        <v>1.3359806135008544E-2</v>
      </c>
      <c r="T38" s="28">
        <f>IF(('Activity data'!T7*EF!$H38*EF!$H56)*NtoN2O*kgtoGg=0,"NO",('Activity data'!T7*EF!$H38*EF!$H56)*NtoN2O*kgtoGg)</f>
        <v>1.2265088507882486E-2</v>
      </c>
      <c r="U38" s="28">
        <f>IF(('Activity data'!U7*EF!$H38*EF!$H56)*NtoN2O*kgtoGg=0,"NO",('Activity data'!U7*EF!$H38*EF!$H56)*NtoN2O*kgtoGg)</f>
        <v>1.0374514754066132E-2</v>
      </c>
      <c r="V38" s="28">
        <f>IF(('Activity data'!V7*EF!$H38*EF!$H56)*NtoN2O*kgtoGg=0,"NO",('Activity data'!V7*EF!$H38*EF!$H56)*NtoN2O*kgtoGg)</f>
        <v>9.6817457455906381E-3</v>
      </c>
      <c r="W38" s="28">
        <f>IF(('Activity data'!W7*EF!$H38*EF!$H56)*NtoN2O*kgtoGg=0,"NO",('Activity data'!W7*EF!$H38*EF!$H56)*NtoN2O*kgtoGg)</f>
        <v>1.0568868544533832E-2</v>
      </c>
      <c r="X38" s="28">
        <f>IF(('Activity data'!X7*EF!$H38*EF!$H56)*NtoN2O*kgtoGg=0,"NO",('Activity data'!X7*EF!$H38*EF!$H56)*NtoN2O*kgtoGg)</f>
        <v>1.0439299350888697E-2</v>
      </c>
      <c r="Y38" s="28">
        <f>IF(('Activity data'!Y7*EF!$H38*EF!$H56)*NtoN2O*kgtoGg=0,"NO",('Activity data'!Y7*EF!$H38*EF!$H56)*NtoN2O*kgtoGg)</f>
        <v>1.0562248025676249E-2</v>
      </c>
      <c r="Z38" s="28">
        <f>IF(('Activity data'!Z7*EF!$H38*EF!$H56)*NtoN2O*kgtoGg=0,"NO",('Activity data'!Z7*EF!$H38*EF!$H56)*NtoN2O*kgtoGg)</f>
        <v>1.2356355180135385E-2</v>
      </c>
      <c r="AA38" s="28">
        <f>IF(('Activity data'!AA7*EF!$H38*EF!$H56)*NtoN2O*kgtoGg=0,"NO",('Activity data'!AA7*EF!$H38*EF!$H56)*NtoN2O*kgtoGg)</f>
        <v>1.2861390917000753E-2</v>
      </c>
      <c r="AB38" s="28">
        <f>IF(('Activity data'!AB7*EF!$H38*EF!$H56)*NtoN2O*kgtoGg=0,"NO",('Activity data'!AB7*EF!$H38*EF!$H56)*NtoN2O*kgtoGg)</f>
        <v>1.2861390917000753E-2</v>
      </c>
      <c r="AC38" s="28">
        <f>IF(('Activity data'!AC7*EF!$H38*EF!$H56)*NtoN2O*kgtoGg=0,"NO",('Activity data'!AC7*EF!$H38*EF!$H56)*NtoN2O*kgtoGg)</f>
        <v>1.2103837311702698E-2</v>
      </c>
      <c r="AD38" s="28">
        <f>IF(('Activity data'!AD7*EF!$H38*EF!$H56)*NtoN2O*kgtoGg=0,"NO",('Activity data'!AD7*EF!$H38*EF!$H56)*NtoN2O*kgtoGg)</f>
        <v>1.1607933720950987E-2</v>
      </c>
      <c r="AE38" s="28">
        <f>IF(('Activity data'!AE7*EF!$H38*EF!$H56)*NtoN2O*kgtoGg=0,"NO",('Activity data'!AE7*EF!$H38*EF!$H56)*NtoN2O*kgtoGg)</f>
        <v>1.1680137026746603E-2</v>
      </c>
      <c r="AF38" s="28">
        <f>IF(('Activity data'!AF7*EF!$H38*EF!$H56)*NtoN2O*kgtoGg=0,"NO",('Activity data'!AF7*EF!$H38*EF!$H56)*NtoN2O*kgtoGg)</f>
        <v>1.1729777794116936E-2</v>
      </c>
      <c r="AG38" s="28">
        <f>IF(('Activity data'!AG7*EF!$H38*EF!$H56)*NtoN2O*kgtoGg=0,"NO",('Activity data'!AG7*EF!$H38*EF!$H56)*NtoN2O*kgtoGg)</f>
        <v>1.1745345869497372E-2</v>
      </c>
      <c r="AH38" s="28">
        <f>IF(('Activity data'!AH7*EF!$H38*EF!$H56)*NtoN2O*kgtoGg=0,"NO",('Activity data'!AH7*EF!$H38*EF!$H56)*NtoN2O*kgtoGg)</f>
        <v>1.1766407152445642E-2</v>
      </c>
      <c r="AI38" s="28">
        <f>IF(('Activity data'!AI7*EF!$H38*EF!H56)*NtoN2O*kgtoGg=0,"NO",('Activity data'!AI7*EF!$H38*EF!H56)*NtoN2O*kgtoGg)</f>
        <v>1.1812539363733939E-2</v>
      </c>
      <c r="AJ38" s="28">
        <f>IF(('Activity data'!AJ7*EF!$H38*EF!I56)*NtoN2O*kgtoGg=0,"NO",('Activity data'!AJ7*EF!$H38*EF!I56)*NtoN2O*kgtoGg)</f>
        <v>1.186784720575243E-2</v>
      </c>
      <c r="AK38" s="28">
        <f>IF(('Activity data'!AK7*EF!$H38*EF!J56)*NtoN2O*kgtoGg=0,"NO",('Activity data'!AK7*EF!$H38*EF!J56)*NtoN2O*kgtoGg)</f>
        <v>1.1884462258421965E-2</v>
      </c>
      <c r="AL38" s="28">
        <f>IF(('Activity data'!AL7*EF!$H38*EF!K56)*NtoN2O*kgtoGg=0,"NO",('Activity data'!AL7*EF!$H38*EF!K56)*NtoN2O*kgtoGg)</f>
        <v>1.1519611936520126E-2</v>
      </c>
      <c r="AM38" s="28">
        <f>IF(('Activity data'!AM7*EF!$H38*EF!L56)*NtoN2O*kgtoGg=0,"NO",('Activity data'!AM7*EF!$H38*EF!L56)*NtoN2O*kgtoGg)</f>
        <v>1.1614495099449744E-2</v>
      </c>
      <c r="AN38" s="28">
        <f>IF(('Activity data'!AN7*EF!$H38*EF!M56)*NtoN2O*kgtoGg=0,"NO",('Activity data'!AN7*EF!$H38*EF!M56)*NtoN2O*kgtoGg)</f>
        <v>1.1701500265257389E-2</v>
      </c>
      <c r="AO38" s="28">
        <f>IF(('Activity data'!AO7*EF!$H38*EF!N56)*NtoN2O*kgtoGg=0,"NO",('Activity data'!AO7*EF!$H38*EF!N56)*NtoN2O*kgtoGg)</f>
        <v>1.1790709552182964E-2</v>
      </c>
      <c r="AP38" s="28">
        <f>IF(('Activity data'!AP7*EF!$H38*EF!O56)*NtoN2O*kgtoGg=0,"NO",('Activity data'!AP7*EF!$H38*EF!O56)*NtoN2O*kgtoGg)</f>
        <v>1.189817427364593E-2</v>
      </c>
      <c r="AQ38" s="28">
        <f>IF(('Activity data'!AQ7*EF!$H38*EF!P56)*NtoN2O*kgtoGg=0,"NO",('Activity data'!AQ7*EF!$H38*EF!P56)*NtoN2O*kgtoGg)</f>
        <v>1.2007655506016015E-2</v>
      </c>
      <c r="AR38" s="28">
        <f>IF(('Activity data'!AR7*EF!$H38*EF!Q56)*NtoN2O*kgtoGg=0,"NO",('Activity data'!AR7*EF!$H38*EF!Q56)*NtoN2O*kgtoGg)</f>
        <v>1.2114259397460733E-2</v>
      </c>
      <c r="AS38" s="28">
        <f>IF(('Activity data'!AS7*EF!$H38*EF!R56)*NtoN2O*kgtoGg=0,"NO",('Activity data'!AS7*EF!$H38*EF!R56)*NtoN2O*kgtoGg)</f>
        <v>1.221873059629122E-2</v>
      </c>
      <c r="AT38" s="28">
        <f>IF(('Activity data'!AT7*EF!$H38*EF!S56)*NtoN2O*kgtoGg=0,"NO",('Activity data'!AT7*EF!$H38*EF!S56)*NtoN2O*kgtoGg)</f>
        <v>1.2331257535240406E-2</v>
      </c>
      <c r="AU38" s="28">
        <f>IF(('Activity data'!AU7*EF!$H38*EF!T56)*NtoN2O*kgtoGg=0,"NO",('Activity data'!AU7*EF!$H38*EF!T56)*NtoN2O*kgtoGg)</f>
        <v>1.2437818334515426E-2</v>
      </c>
      <c r="AV38" s="28">
        <f>IF(('Activity data'!AV7*EF!$H38*EF!U56)*NtoN2O*kgtoGg=0,"NO",('Activity data'!AV7*EF!$H38*EF!U56)*NtoN2O*kgtoGg)</f>
        <v>1.2548201395394263E-2</v>
      </c>
      <c r="AW38" s="28">
        <f>IF(('Activity data'!AW7*EF!$H38*EF!V56)*NtoN2O*kgtoGg=0,"NO",('Activity data'!AW7*EF!$H38*EF!V56)*NtoN2O*kgtoGg)</f>
        <v>1.2675021459823859E-2</v>
      </c>
      <c r="AX38" s="28">
        <f>IF(('Activity data'!AX7*EF!$H38*EF!W56)*NtoN2O*kgtoGg=0,"NO",('Activity data'!AX7*EF!$H38*EF!W56)*NtoN2O*kgtoGg)</f>
        <v>1.2813141841226641E-2</v>
      </c>
      <c r="AY38" s="28">
        <f>IF(('Activity data'!AY7*EF!$H38*EF!X56)*NtoN2O*kgtoGg=0,"NO",('Activity data'!AY7*EF!$H38*EF!X56)*NtoN2O*kgtoGg)</f>
        <v>1.2956744541164057E-2</v>
      </c>
      <c r="AZ38" s="28">
        <f>IF(('Activity data'!AZ7*EF!$H38*EF!Y56)*NtoN2O*kgtoGg=0,"NO",('Activity data'!AZ7*EF!$H38*EF!Y56)*NtoN2O*kgtoGg)</f>
        <v>1.2976803643786663E-2</v>
      </c>
      <c r="BA38" s="28">
        <f>IF(('Activity data'!BA7*EF!$H38*EF!Z56)*NtoN2O*kgtoGg=0,"NO",('Activity data'!BA7*EF!$H38*EF!Z56)*NtoN2O*kgtoGg)</f>
        <v>6.9476540629980453E-3</v>
      </c>
      <c r="BB38" s="28">
        <f>IF(('Activity data'!BB7*EF!$H38*EF!AA56)*NtoN2O*kgtoGg=0,"NO",('Activity data'!BB7*EF!$H38*EF!AA56)*NtoN2O*kgtoGg)</f>
        <v>6.9527640201505212E-3</v>
      </c>
      <c r="BC38" s="28">
        <f>IF(('Activity data'!BC7*EF!$H38*EF!AB56)*NtoN2O*kgtoGg=0,"NO",('Activity data'!BC7*EF!$H38*EF!AB56)*NtoN2O*kgtoGg)</f>
        <v>6.9585452318798495E-3</v>
      </c>
      <c r="BD38" s="28">
        <f>IF(('Activity data'!BD7*EF!$H38*EF!AC56)*NtoN2O*kgtoGg=0,"NO",('Activity data'!BD7*EF!$H38*EF!AC56)*NtoN2O*kgtoGg)</f>
        <v>6.9649721840421407E-3</v>
      </c>
      <c r="BE38" s="28">
        <f>IF(('Activity data'!BE7*EF!$H38*EF!AD56)*NtoN2O*kgtoGg=0,"NO",('Activity data'!BE7*EF!$H38*EF!AD56)*NtoN2O*kgtoGg)</f>
        <v>6.9720213274922825E-3</v>
      </c>
      <c r="BF38" s="28">
        <f>IF(('Activity data'!BF7*EF!$H38*EF!AE56)*NtoN2O*kgtoGg=0,"NO",('Activity data'!BF7*EF!$H38*EF!AE56)*NtoN2O*kgtoGg)</f>
        <v>6.9796708918352492E-3</v>
      </c>
      <c r="BG38" s="28">
        <f>IF(('Activity data'!BG7*EF!$H38*EF!AF56)*NtoN2O*kgtoGg=0,"NO",('Activity data'!BG7*EF!$H38*EF!AF56)*NtoN2O*kgtoGg)</f>
        <v>6.9829642578396519E-3</v>
      </c>
      <c r="BH38" s="28">
        <f>IF(('Activity data'!BH7*EF!$H38*EF!AG56)*NtoN2O*kgtoGg=0,"NO",('Activity data'!BH7*EF!$H38*EF!AG56)*NtoN2O*kgtoGg)</f>
        <v>6.986786377217614E-3</v>
      </c>
      <c r="BI38" s="28">
        <f>IF(('Activity data'!BI7*EF!$H38*EF!AH56)*NtoN2O*kgtoGg=0,"NO",('Activity data'!BI7*EF!$H38*EF!AH56)*NtoN2O*kgtoGg)</f>
        <v>6.9911187822393143E-3</v>
      </c>
      <c r="BJ38" s="28">
        <f>IF(('Activity data'!BJ7*EF!$H38*EF!AI56)*NtoN2O*kgtoGg=0,"NO",('Activity data'!BJ7*EF!$H38*EF!AI56)*NtoN2O*kgtoGg)</f>
        <v>6.9959442653533691E-3</v>
      </c>
      <c r="BK38" s="28">
        <f>IF(('Activity data'!BK7*EF!$H38*EF!AJ56)*NtoN2O*kgtoGg=0,"NO",('Activity data'!BK7*EF!$H38*EF!AJ56)*NtoN2O*kgtoGg)</f>
        <v>7.0012467722505977E-3</v>
      </c>
      <c r="BL38" s="28">
        <f>IF(('Activity data'!BL7*EF!$H38*EF!AK56)*NtoN2O*kgtoGg=0,"NO",('Activity data'!BL7*EF!$H38*EF!AK56)*NtoN2O*kgtoGg)</f>
        <v>7.0020216511494588E-3</v>
      </c>
      <c r="BM38" s="28">
        <f>IF(('Activity data'!BM7*EF!$H38*EF!AL56)*NtoN2O*kgtoGg=0,"NO",('Activity data'!BM7*EF!$H38*EF!AL56)*NtoN2O*kgtoGg)</f>
        <v>7.00321942345056E-3</v>
      </c>
      <c r="BN38" s="28">
        <f>IF(('Activity data'!BN7*EF!$H38*EF!AM56)*NtoN2O*kgtoGg=0,"NO",('Activity data'!BN7*EF!$H38*EF!AM56)*NtoN2O*kgtoGg)</f>
        <v>7.0048260722774189E-3</v>
      </c>
      <c r="BO38" s="28">
        <f>IF(('Activity data'!BO7*EF!$H38*EF!AN56)*NtoN2O*kgtoGg=0,"NO",('Activity data'!BO7*EF!$H38*EF!AN56)*NtoN2O*kgtoGg)</f>
        <v>7.0068284346492373E-3</v>
      </c>
      <c r="BP38" s="28">
        <f>IF(('Activity data'!BP7*EF!$H38*EF!AO56)*NtoN2O*kgtoGg=0,"NO",('Activity data'!BP7*EF!$H38*EF!AO56)*NtoN2O*kgtoGg)</f>
        <v>7.0092141358857468E-3</v>
      </c>
    </row>
    <row r="39" spans="1:68" x14ac:dyDescent="0.25">
      <c r="A39" t="str">
        <f t="shared" si="1"/>
        <v>3A Livestock</v>
      </c>
      <c r="B39" t="str">
        <f t="shared" si="11"/>
        <v>3A2 Manure management (N2O)</v>
      </c>
      <c r="C39" t="str">
        <f>EF!C57</f>
        <v>3A1aii Other cattle</v>
      </c>
      <c r="D39" t="str">
        <f>EF!D57</f>
        <v>Commercial</v>
      </c>
      <c r="E39" t="str">
        <f>E37</f>
        <v>Manure management Emissions</v>
      </c>
      <c r="F39" t="s">
        <v>139</v>
      </c>
      <c r="G39" t="str">
        <f>G37</f>
        <v>Gg N2O</v>
      </c>
      <c r="H39" s="28">
        <f>IF(('Activity data'!H8*EF!$H39*EF!$H57)*NtoN2O*kgtoGg=0,"NO",('Activity data'!H8*EF!$H39*EF!$H57)*NtoN2O*kgtoGg)</f>
        <v>0.60130464628072355</v>
      </c>
      <c r="I39" s="28">
        <f>IF(('Activity data'!I8*EF!$H39*EF!$H57)*NtoN2O*kgtoGg=0,"NO",('Activity data'!I8*EF!$H39*EF!$H57)*NtoN2O*kgtoGg)</f>
        <v>0.57535110604783257</v>
      </c>
      <c r="J39" s="28">
        <f>IF(('Activity data'!J8*EF!$H39*EF!$H57)*NtoN2O*kgtoGg=0,"NO",('Activity data'!J8*EF!$H39*EF!$H57)*NtoN2O*kgtoGg)</f>
        <v>0.57514205938404817</v>
      </c>
      <c r="K39" s="28">
        <f>IF(('Activity data'!K8*EF!$H39*EF!$H57)*NtoN2O*kgtoGg=0,"NO",('Activity data'!K8*EF!$H39*EF!$H57)*NtoN2O*kgtoGg)</f>
        <v>0.53806582535232794</v>
      </c>
      <c r="L39" s="28">
        <f>IF(('Activity data'!L8*EF!$H39*EF!$H57)*NtoN2O*kgtoGg=0,"NO",('Activity data'!L8*EF!$H39*EF!$H57)*NtoN2O*kgtoGg)</f>
        <v>0.55428678799788489</v>
      </c>
      <c r="M39" s="28">
        <f>IF(('Activity data'!M8*EF!$H39*EF!$H57)*NtoN2O*kgtoGg=0,"NO",('Activity data'!M8*EF!$H39*EF!$H57)*NtoN2O*kgtoGg)</f>
        <v>0.56688956745844588</v>
      </c>
      <c r="N39" s="28">
        <f>IF(('Activity data'!N8*EF!$H39*EF!$H57)*NtoN2O*kgtoGg=0,"NO",('Activity data'!N8*EF!$H39*EF!$H57)*NtoN2O*kgtoGg)</f>
        <v>0.59040599405405159</v>
      </c>
      <c r="O39" s="28">
        <f>IF(('Activity data'!O8*EF!$H39*EF!$H57)*NtoN2O*kgtoGg=0,"NO",('Activity data'!O8*EF!$H39*EF!$H57)*NtoN2O*kgtoGg)</f>
        <v>0.61277134091869179</v>
      </c>
      <c r="P39" s="28">
        <f>IF(('Activity data'!P8*EF!$H39*EF!$H57)*NtoN2O*kgtoGg=0,"NO",('Activity data'!P8*EF!$H39*EF!$H57)*NtoN2O*kgtoGg)</f>
        <v>0.6180786564292039</v>
      </c>
      <c r="Q39" s="28">
        <f>IF(('Activity data'!Q8*EF!$H39*EF!$H57)*NtoN2O*kgtoGg=0,"NO",('Activity data'!Q8*EF!$H39*EF!$H57)*NtoN2O*kgtoGg)</f>
        <v>0.60807705254459443</v>
      </c>
      <c r="R39" s="28">
        <f>IF(('Activity data'!R8*EF!$H39*EF!$H57)*NtoN2O*kgtoGg=0,"NO",('Activity data'!R8*EF!$H39*EF!$H57)*NtoN2O*kgtoGg)</f>
        <v>0.56676960819146394</v>
      </c>
      <c r="S39" s="28">
        <f>IF(('Activity data'!S8*EF!$H39*EF!$H57)*NtoN2O*kgtoGg=0,"NO",('Activity data'!S8*EF!$H39*EF!$H57)*NtoN2O*kgtoGg)</f>
        <v>0.56971478460655445</v>
      </c>
      <c r="T39" s="28">
        <f>IF(('Activity data'!T8*EF!$H39*EF!$H57)*NtoN2O*kgtoGg=0,"NO",('Activity data'!T8*EF!$H39*EF!$H57)*NtoN2O*kgtoGg)</f>
        <v>0.53097940806606359</v>
      </c>
      <c r="U39" s="28">
        <f>IF(('Activity data'!U8*EF!$H39*EF!$H57)*NtoN2O*kgtoGg=0,"NO",('Activity data'!U8*EF!$H39*EF!$H57)*NtoN2O*kgtoGg)</f>
        <v>0.54486822143294433</v>
      </c>
      <c r="V39" s="28">
        <f>IF(('Activity data'!V8*EF!$H39*EF!$H57)*NtoN2O*kgtoGg=0,"NO",('Activity data'!V8*EF!$H39*EF!$H57)*NtoN2O*kgtoGg)</f>
        <v>0.54989151573780826</v>
      </c>
      <c r="W39" s="28">
        <f>IF(('Activity data'!W8*EF!$H39*EF!$H57)*NtoN2O*kgtoGg=0,"NO",('Activity data'!W8*EF!$H39*EF!$H57)*NtoN2O*kgtoGg)</f>
        <v>0.55455581429516021</v>
      </c>
      <c r="X39" s="28">
        <f>IF(('Activity data'!X8*EF!$H39*EF!$H57)*NtoN2O*kgtoGg=0,"NO",('Activity data'!X8*EF!$H39*EF!$H57)*NtoN2O*kgtoGg)</f>
        <v>0.54192304501785393</v>
      </c>
      <c r="Y39" s="28">
        <f>IF(('Activity data'!Y8*EF!$H39*EF!$H57)*NtoN2O*kgtoGg=0,"NO",('Activity data'!Y8*EF!$H39*EF!$H57)*NtoN2O*kgtoGg)</f>
        <v>0.55780000682427144</v>
      </c>
      <c r="Z39" s="28">
        <f>IF(('Activity data'!Z8*EF!$H39*EF!$H57)*NtoN2O*kgtoGg=0,"NO",('Activity data'!Z8*EF!$H39*EF!$H57)*NtoN2O*kgtoGg)</f>
        <v>0.54229988029606202</v>
      </c>
      <c r="AA39" s="28">
        <f>IF(('Activity data'!AA8*EF!$H39*EF!$H57)*NtoN2O*kgtoGg=0,"NO",('Activity data'!AA8*EF!$H39*EF!$H57)*NtoN2O*kgtoGg)</f>
        <v>0.53319429569117582</v>
      </c>
      <c r="AB39" s="28">
        <f>IF(('Activity data'!AB8*EF!$H39*EF!$H57)*NtoN2O*kgtoGg=0,"NO",('Activity data'!AB8*EF!$H39*EF!$H57)*NtoN2O*kgtoGg)</f>
        <v>0.53151813690158023</v>
      </c>
      <c r="AC39" s="28">
        <f>IF(('Activity data'!AC8*EF!$H39*EF!$H57)*NtoN2O*kgtoGg=0,"NO",('Activity data'!AC8*EF!$H39*EF!$H57)*NtoN2O*kgtoGg)</f>
        <v>0.52960956438265261</v>
      </c>
      <c r="AD39" s="28">
        <f>IF(('Activity data'!AD8*EF!$H39*EF!$H57)*NtoN2O*kgtoGg=0,"NO",('Activity data'!AD8*EF!$H39*EF!$H57)*NtoN2O*kgtoGg)</f>
        <v>0.52988033061170758</v>
      </c>
      <c r="AE39" s="28">
        <f>IF(('Activity data'!AE8*EF!$H39*EF!$H57)*NtoN2O*kgtoGg=0,"NO",('Activity data'!AE8*EF!$H39*EF!$H57)*NtoN2O*kgtoGg)</f>
        <v>0.52636805175151047</v>
      </c>
      <c r="AF39" s="28">
        <f>IF(('Activity data'!AF8*EF!$H39*EF!$H57)*NtoN2O*kgtoGg=0,"NO",('Activity data'!AF8*EF!$H39*EF!$H57)*NtoN2O*kgtoGg)</f>
        <v>0.51896264714173934</v>
      </c>
      <c r="AG39" s="28">
        <f>IF(('Activity data'!AG8*EF!$H39*EF!$H57)*NtoN2O*kgtoGg=0,"NO",('Activity data'!AG8*EF!$H39*EF!$H57)*NtoN2O*kgtoGg)</f>
        <v>0.50647981142977161</v>
      </c>
      <c r="AH39" s="28">
        <f>IF(('Activity data'!AH8*EF!$H39*EF!$H57)*NtoN2O*kgtoGg=0,"NO",('Activity data'!AH8*EF!$H39*EF!$H57)*NtoN2O*kgtoGg)</f>
        <v>0.4943686614451126</v>
      </c>
      <c r="AI39" s="28">
        <f>IF(('Activity data'!AI8*EF!$H39*EF!$H57)*NtoN2O*kgtoGg=0,"NO",('Activity data'!AI8*EF!$H39*EF!H57)*NtoN2O*kgtoGg)</f>
        <v>0.48505348723916247</v>
      </c>
      <c r="AJ39" s="28">
        <f>IF(('Activity data'!AJ8*EF!$H39*EF!$H57)*NtoN2O*kgtoGg=0,"NO",('Activity data'!AJ8*EF!$H39*EF!I57)*NtoN2O*kgtoGg)</f>
        <v>0.47662784045454271</v>
      </c>
      <c r="AK39" s="28">
        <f>IF(('Activity data'!AK8*EF!$H39*EF!$H57)*NtoN2O*kgtoGg=0,"NO",('Activity data'!AK8*EF!$H39*EF!J57)*NtoN2O*kgtoGg)</f>
        <v>0.46338055897739389</v>
      </c>
      <c r="AL39" s="28">
        <f>IF(('Activity data'!AL8*EF!$H39*EF!$H57)*NtoN2O*kgtoGg=0,"NO",('Activity data'!AL8*EF!$H39*EF!K57)*NtoN2O*kgtoGg)</f>
        <v>0.40641283743592205</v>
      </c>
      <c r="AM39" s="28">
        <f>IF(('Activity data'!AM8*EF!$H39*EF!$H57)*NtoN2O*kgtoGg=0,"NO",('Activity data'!AM8*EF!$H39*EF!L57)*NtoN2O*kgtoGg)</f>
        <v>0.41028660340184542</v>
      </c>
      <c r="AN39" s="28">
        <f>IF(('Activity data'!AN8*EF!$H39*EF!$H57)*NtoN2O*kgtoGg=0,"NO",('Activity data'!AN8*EF!$H39*EF!M57)*NtoN2O*kgtoGg)</f>
        <v>0.41290787540039242</v>
      </c>
      <c r="AO39" s="28">
        <f>IF(('Activity data'!AO8*EF!$H39*EF!$H57)*NtoN2O*kgtoGg=0,"NO",('Activity data'!AO8*EF!$H39*EF!N57)*NtoN2O*kgtoGg)</f>
        <v>0.41544388868051429</v>
      </c>
      <c r="AP39" s="28">
        <f>IF(('Activity data'!AP8*EF!$H39*EF!$H57)*NtoN2O*kgtoGg=0,"NO",('Activity data'!AP8*EF!$H39*EF!O57)*NtoN2O*kgtoGg)</f>
        <v>0.41963784467016801</v>
      </c>
      <c r="AQ39" s="28">
        <f>IF(('Activity data'!AQ8*EF!$H39*EF!$H57)*NtoN2O*kgtoGg=0,"NO",('Activity data'!AQ8*EF!$H39*EF!P57)*NtoN2O*kgtoGg)</f>
        <v>0.42369357816507769</v>
      </c>
      <c r="AR39" s="28">
        <f>IF(('Activity data'!AR8*EF!$H39*EF!$H57)*NtoN2O*kgtoGg=0,"NO",('Activity data'!AR8*EF!$H39*EF!Q57)*NtoN2O*kgtoGg)</f>
        <v>0.42795148955175888</v>
      </c>
      <c r="AS39" s="28">
        <f>IF(('Activity data'!AS8*EF!$H39*EF!$H57)*NtoN2O*kgtoGg=0,"NO",('Activity data'!AS8*EF!$H39*EF!R57)*NtoN2O*kgtoGg)</f>
        <v>0.43165837799817441</v>
      </c>
      <c r="AT39" s="28">
        <f>IF(('Activity data'!AT8*EF!$H39*EF!$H57)*NtoN2O*kgtoGg=0,"NO",('Activity data'!AT8*EF!$H39*EF!S57)*NtoN2O*kgtoGg)</f>
        <v>0.43587731971405297</v>
      </c>
      <c r="AU39" s="28">
        <f>IF(('Activity data'!AU8*EF!$H39*EF!$H57)*NtoN2O*kgtoGg=0,"NO",('Activity data'!AU8*EF!$H39*EF!T57)*NtoN2O*kgtoGg)</f>
        <v>0.43917878455229692</v>
      </c>
      <c r="AV39" s="28">
        <f>IF(('Activity data'!AV8*EF!$H39*EF!$H57)*NtoN2O*kgtoGg=0,"NO",('Activity data'!AV8*EF!$H39*EF!U57)*NtoN2O*kgtoGg)</f>
        <v>0.44257083604017933</v>
      </c>
      <c r="AW39" s="28">
        <f>IF(('Activity data'!AW8*EF!$H39*EF!$H57)*NtoN2O*kgtoGg=0,"NO",('Activity data'!AW8*EF!$H39*EF!V57)*NtoN2O*kgtoGg)</f>
        <v>0.44415072955507112</v>
      </c>
      <c r="AX39" s="28">
        <f>IF(('Activity data'!AX8*EF!$H39*EF!$H57)*NtoN2O*kgtoGg=0,"NO",('Activity data'!AX8*EF!$H39*EF!W57)*NtoN2O*kgtoGg)</f>
        <v>0.44631708410431642</v>
      </c>
      <c r="AY39" s="28">
        <f>IF(('Activity data'!AY8*EF!$H39*EF!$H57)*NtoN2O*kgtoGg=0,"NO",('Activity data'!AY8*EF!$H39*EF!X57)*NtoN2O*kgtoGg)</f>
        <v>0.44847507790025098</v>
      </c>
      <c r="AZ39" s="28">
        <f>IF(('Activity data'!AZ8*EF!$H39*EF!$H57)*NtoN2O*kgtoGg=0,"NO",('Activity data'!AZ8*EF!$H39*EF!Y57)*NtoN2O*kgtoGg)</f>
        <v>0.43896382192914674</v>
      </c>
      <c r="BA39" s="28">
        <f>IF(('Activity data'!BA8*EF!$H39*EF!$H57)*NtoN2O*kgtoGg=0,"NO",('Activity data'!BA8*EF!$H39*EF!Z57)*NtoN2O*kgtoGg)</f>
        <v>-0.10354549398732707</v>
      </c>
      <c r="BB39" s="28">
        <f>IF(('Activity data'!BB8*EF!$H39*EF!$H57)*NtoN2O*kgtoGg=0,"NO",('Activity data'!BB8*EF!$H39*EF!AA57)*NtoN2O*kgtoGg)</f>
        <v>-0.10114359865651981</v>
      </c>
      <c r="BC39" s="28">
        <f>IF(('Activity data'!BC8*EF!$H39*EF!$H57)*NtoN2O*kgtoGg=0,"NO",('Activity data'!BC8*EF!$H39*EF!AB57)*NtoN2O*kgtoGg)</f>
        <v>-9.8779900999145701E-2</v>
      </c>
      <c r="BD39" s="28">
        <f>IF(('Activity data'!BD8*EF!$H39*EF!$H57)*NtoN2O*kgtoGg=0,"NO",('Activity data'!BD8*EF!$H39*EF!AC57)*NtoN2O*kgtoGg)</f>
        <v>-9.645240042559923E-2</v>
      </c>
      <c r="BE39" s="28">
        <f>IF(('Activity data'!BE8*EF!$H39*EF!$H57)*NtoN2O*kgtoGg=0,"NO",('Activity data'!BE8*EF!$H39*EF!AD57)*NtoN2O*kgtoGg)</f>
        <v>-9.4159234659003305E-2</v>
      </c>
      <c r="BF39" s="28">
        <f>IF(('Activity data'!BF8*EF!$H39*EF!$H57)*NtoN2O*kgtoGg=0,"NO",('Activity data'!BF8*EF!$H39*EF!AE57)*NtoN2O*kgtoGg)</f>
        <v>-9.1898666918572763E-2</v>
      </c>
      <c r="BG39" s="28">
        <f>IF(('Activity data'!BG8*EF!$H39*EF!$H57)*NtoN2O*kgtoGg=0,"NO",('Activity data'!BG8*EF!$H39*EF!AF57)*NtoN2O*kgtoGg)</f>
        <v>-9.0065857844413774E-2</v>
      </c>
      <c r="BH39" s="28">
        <f>IF(('Activity data'!BH8*EF!$H39*EF!$H57)*NtoN2O*kgtoGg=0,"NO",('Activity data'!BH8*EF!$H39*EF!AG57)*NtoN2O*kgtoGg)</f>
        <v>-8.8260731137636633E-2</v>
      </c>
      <c r="BI39" s="28">
        <f>IF(('Activity data'!BI8*EF!$H39*EF!$H57)*NtoN2O*kgtoGg=0,"NO",('Activity data'!BI8*EF!$H39*EF!AH57)*NtoN2O*kgtoGg)</f>
        <v>-8.6482032370585105E-2</v>
      </c>
      <c r="BJ39" s="28">
        <f>IF(('Activity data'!BJ8*EF!$H39*EF!$H57)*NtoN2O*kgtoGg=0,"NO",('Activity data'!BJ8*EF!$H39*EF!AI57)*NtoN2O*kgtoGg)</f>
        <v>-8.4728585134525733E-2</v>
      </c>
      <c r="BK39" s="28">
        <f>IF(('Activity data'!BK8*EF!$H39*EF!$H57)*NtoN2O*kgtoGg=0,"NO",('Activity data'!BK8*EF!$H39*EF!AJ57)*NtoN2O*kgtoGg)</f>
        <v>-8.2999284570590512E-2</v>
      </c>
      <c r="BL39" s="28">
        <f>IF(('Activity data'!BL8*EF!$H39*EF!$H57)*NtoN2O*kgtoGg=0,"NO",('Activity data'!BL8*EF!$H39*EF!AK57)*NtoN2O*kgtoGg)</f>
        <v>-8.1237842076259073E-2</v>
      </c>
      <c r="BM39" s="28">
        <f>IF(('Activity data'!BM8*EF!$H39*EF!$H57)*NtoN2O*kgtoGg=0,"NO",('Activity data'!BM8*EF!$H39*EF!AL57)*NtoN2O*kgtoGg)</f>
        <v>-7.9500621662589185E-2</v>
      </c>
      <c r="BN39" s="28">
        <f>IF(('Activity data'!BN8*EF!$H39*EF!$H57)*NtoN2O*kgtoGg=0,"NO",('Activity data'!BN8*EF!$H39*EF!AM57)*NtoN2O*kgtoGg)</f>
        <v>-7.7786670470567892E-2</v>
      </c>
      <c r="BO39" s="28">
        <f>IF(('Activity data'!BO8*EF!$H39*EF!$H57)*NtoN2O*kgtoGg=0,"NO",('Activity data'!BO8*EF!$H39*EF!AN57)*NtoN2O*kgtoGg)</f>
        <v>-7.609508917583023E-2</v>
      </c>
      <c r="BP39" s="28">
        <f>IF(('Activity data'!BP8*EF!$H39*EF!$H57)*NtoN2O*kgtoGg=0,"NO",('Activity data'!BP8*EF!$H39*EF!AO57)*NtoN2O*kgtoGg)</f>
        <v>-7.4425027988165984E-2</v>
      </c>
    </row>
    <row r="40" spans="1:68" x14ac:dyDescent="0.25">
      <c r="A40" t="str">
        <f t="shared" si="1"/>
        <v>3A Livestock</v>
      </c>
      <c r="B40" t="str">
        <f t="shared" si="11"/>
        <v>3A2 Manure management (N2O)</v>
      </c>
      <c r="C40" t="str">
        <f>EF!C58</f>
        <v>3A1aii Other cattle</v>
      </c>
      <c r="D40" t="str">
        <f>EF!D58</f>
        <v>Subsistence</v>
      </c>
      <c r="E40" t="str">
        <f t="shared" si="9"/>
        <v>Manure management Emissions</v>
      </c>
      <c r="F40" t="s">
        <v>139</v>
      </c>
      <c r="G40" t="str">
        <f t="shared" si="10"/>
        <v>Gg N2O</v>
      </c>
      <c r="H40" s="28">
        <f>IF(('Activity data'!H9*EF!$H40*EF!$H58)*NtoN2O*kgtoGg=0,"NO",('Activity data'!H9*EF!$H40*EF!$H58)*NtoN2O*kgtoGg)</f>
        <v>0.69929058547122203</v>
      </c>
      <c r="I40" s="28">
        <f>IF(('Activity data'!I9*EF!$H40*EF!$H58)*NtoN2O*kgtoGg=0,"NO",('Activity data'!I9*EF!$H40*EF!$H58)*NtoN2O*kgtoGg)</f>
        <v>0.7419488346938673</v>
      </c>
      <c r="J40" s="28">
        <f>IF(('Activity data'!J9*EF!$H40*EF!$H58)*NtoN2O*kgtoGg=0,"NO",('Activity data'!J9*EF!$H40*EF!$H58)*NtoN2O*kgtoGg)</f>
        <v>0.77698953941246884</v>
      </c>
      <c r="K40" s="28">
        <f>IF(('Activity data'!K9*EF!$H40*EF!$H58)*NtoN2O*kgtoGg=0,"NO",('Activity data'!K9*EF!$H40*EF!$H58)*NtoN2O*kgtoGg)</f>
        <v>0.76784848600761624</v>
      </c>
      <c r="L40" s="28">
        <f>IF(('Activity data'!L9*EF!$H40*EF!$H58)*NtoN2O*kgtoGg=0,"NO",('Activity data'!L9*EF!$H40*EF!$H58)*NtoN2O*kgtoGg)</f>
        <v>0.66882040745504678</v>
      </c>
      <c r="M40" s="28">
        <f>IF(('Activity data'!M9*EF!$H40*EF!$H58)*NtoN2O*kgtoGg=0,"NO",('Activity data'!M9*EF!$H40*EF!$H58)*NtoN2O*kgtoGg)</f>
        <v>0.64596777394291538</v>
      </c>
      <c r="N40" s="28">
        <f>IF(('Activity data'!N9*EF!$H40*EF!$H58)*NtoN2O*kgtoGg=0,"NO",('Activity data'!N9*EF!$H40*EF!$H58)*NtoN2O*kgtoGg)</f>
        <v>0.66424988075262037</v>
      </c>
      <c r="O40" s="28">
        <f>IF(('Activity data'!O9*EF!$H40*EF!$H58)*NtoN2O*kgtoGg=0,"NO",('Activity data'!O9*EF!$H40*EF!$H58)*NtoN2O*kgtoGg)</f>
        <v>0.69472005876879561</v>
      </c>
      <c r="P40" s="28">
        <f>IF(('Activity data'!P9*EF!$H40*EF!$H58)*NtoN2O*kgtoGg=0,"NO",('Activity data'!P9*EF!$H40*EF!$H58)*NtoN2O*kgtoGg)</f>
        <v>0.73737830799144111</v>
      </c>
      <c r="Q40" s="28">
        <f>IF(('Activity data'!Q9*EF!$H40*EF!$H58)*NtoN2O*kgtoGg=0,"NO",('Activity data'!Q9*EF!$H40*EF!$H58)*NtoN2O*kgtoGg)</f>
        <v>0.76784848600761624</v>
      </c>
      <c r="R40" s="28">
        <f>IF(('Activity data'!R9*EF!$H40*EF!$H58)*NtoN2O*kgtoGg=0,"NO",('Activity data'!R9*EF!$H40*EF!$H58)*NtoN2O*kgtoGg)</f>
        <v>0.74956637919791114</v>
      </c>
      <c r="S40" s="28">
        <f>IF(('Activity data'!S9*EF!$H40*EF!$H58)*NtoN2O*kgtoGg=0,"NO",('Activity data'!S9*EF!$H40*EF!$H58)*NtoN2O*kgtoGg)</f>
        <v>0.73128427238820592</v>
      </c>
      <c r="T40" s="28">
        <f>IF(('Activity data'!T9*EF!$H40*EF!$H58)*NtoN2O*kgtoGg=0,"NO",('Activity data'!T9*EF!$H40*EF!$H58)*NtoN2O*kgtoGg)</f>
        <v>0.82878884203996683</v>
      </c>
      <c r="U40" s="28">
        <f>IF(('Activity data'!U9*EF!$H40*EF!$H58)*NtoN2O*kgtoGg=0,"NO",('Activity data'!U9*EF!$H40*EF!$H58)*NtoN2O*kgtoGg)</f>
        <v>0.84859445775048059</v>
      </c>
      <c r="V40" s="28">
        <f>IF(('Activity data'!V9*EF!$H40*EF!$H58)*NtoN2O*kgtoGg=0,"NO",('Activity data'!V9*EF!$H40*EF!$H58)*NtoN2O*kgtoGg)</f>
        <v>0.83488287764320168</v>
      </c>
      <c r="W40" s="28">
        <f>IF(('Activity data'!W9*EF!$H40*EF!$H58)*NtoN2O*kgtoGg=0,"NO",('Activity data'!W9*EF!$H40*EF!$H58)*NtoN2O*kgtoGg)</f>
        <v>0.81050673523026162</v>
      </c>
      <c r="X40" s="28">
        <f>IF(('Activity data'!X9*EF!$H40*EF!$H58)*NtoN2O*kgtoGg=0,"NO",('Activity data'!X9*EF!$H40*EF!$H58)*NtoN2O*kgtoGg)</f>
        <v>0.83640638654401056</v>
      </c>
      <c r="Y40" s="28">
        <f>IF(('Activity data'!Y9*EF!$H40*EF!$H58)*NtoN2O*kgtoGg=0,"NO",('Activity data'!Y9*EF!$H40*EF!$H58)*NtoN2O*kgtoGg)</f>
        <v>0.86992358236180345</v>
      </c>
      <c r="Z40" s="28">
        <f>IF(('Activity data'!Z9*EF!$H40*EF!$H58)*NtoN2O*kgtoGg=0,"NO",('Activity data'!Z9*EF!$H40*EF!$H58)*NtoN2O*kgtoGg)</f>
        <v>0.85621200225452454</v>
      </c>
      <c r="AA40" s="28">
        <f>IF(('Activity data'!AA9*EF!$H40*EF!$H58)*NtoN2O*kgtoGg=0,"NO",('Activity data'!AA9*EF!$H40*EF!$H58)*NtoN2O*kgtoGg)</f>
        <v>0.84707094884967205</v>
      </c>
      <c r="AB40" s="28">
        <f>IF(('Activity data'!AB9*EF!$H40*EF!$H58)*NtoN2O*kgtoGg=0,"NO",('Activity data'!AB9*EF!$H40*EF!$H58)*NtoN2O*kgtoGg)</f>
        <v>0.83488287764320168</v>
      </c>
      <c r="AC40" s="28">
        <f>IF(('Activity data'!AC9*EF!$H40*EF!$H58)*NtoN2O*kgtoGg=0,"NO",('Activity data'!AC9*EF!$H40*EF!$H58)*NtoN2O*kgtoGg)</f>
        <v>0.84097691324643697</v>
      </c>
      <c r="AD40" s="28">
        <f>IF(('Activity data'!AD9*EF!$H40*EF!$H58)*NtoN2O*kgtoGg=0,"NO",('Activity data'!AD9*EF!$H40*EF!$H58)*NtoN2O*kgtoGg)</f>
        <v>0.81161466909134916</v>
      </c>
      <c r="AE40" s="28">
        <f>IF(('Activity data'!AE9*EF!$H40*EF!$H58)*NtoN2O*kgtoGg=0,"NO",('Activity data'!AE9*EF!$H40*EF!$H58)*NtoN2O*kgtoGg)</f>
        <v>0.80623493166726978</v>
      </c>
      <c r="AF40" s="28">
        <f>IF(('Activity data'!AF9*EF!$H40*EF!$H58)*NtoN2O*kgtoGg=0,"NO",('Activity data'!AF9*EF!$H40*EF!$H58)*NtoN2O*kgtoGg)</f>
        <v>0.79489211581881503</v>
      </c>
      <c r="AG40" s="28">
        <f>IF(('Activity data'!AG9*EF!$H40*EF!$H58)*NtoN2O*kgtoGg=0,"NO",('Activity data'!AG9*EF!$H40*EF!$H58)*NtoN2O*kgtoGg)</f>
        <v>0.77577222781694366</v>
      </c>
      <c r="AH40" s="28">
        <f>IF(('Activity data'!AH9*EF!$H40*EF!$H58)*NtoN2O*kgtoGg=0,"NO",('Activity data'!AH9*EF!$H40*EF!$H58)*NtoN2O*kgtoGg)</f>
        <v>0.75722164871587128</v>
      </c>
      <c r="AI40" s="28">
        <f>IF(('Activity data'!AI9*EF!$H40*EF!H58)*NtoN2O*kgtoGg=0,"NO",('Activity data'!AI9*EF!$H40*EF!H58)*NtoN2O*kgtoGg)</f>
        <v>0.74295364970944966</v>
      </c>
      <c r="AJ40" s="28">
        <f>IF(('Activity data'!AJ9*EF!$H40*EF!I58)*NtoN2O*kgtoGg=0,"NO",('Activity data'!AJ9*EF!$H40*EF!I58)*NtoN2O*kgtoGg)</f>
        <v>0.73004813476216801</v>
      </c>
      <c r="AK40" s="28">
        <f>IF(('Activity data'!AK9*EF!$H40*EF!J58)*NtoN2O*kgtoGg=0,"NO",('Activity data'!AK9*EF!$H40*EF!J58)*NtoN2O*kgtoGg)</f>
        <v>0.7097573495578483</v>
      </c>
      <c r="AL40" s="28">
        <f>IF(('Activity data'!AL9*EF!$H40*EF!K58)*NtoN2O*kgtoGg=0,"NO",('Activity data'!AL9*EF!$H40*EF!K58)*NtoN2O*kgtoGg)</f>
        <v>0.62250021658521282</v>
      </c>
      <c r="AM40" s="28">
        <f>IF(('Activity data'!AM9*EF!$H40*EF!L58)*NtoN2O*kgtoGg=0,"NO",('Activity data'!AM9*EF!$H40*EF!L58)*NtoN2O*kgtoGg)</f>
        <v>0.62843364173979577</v>
      </c>
      <c r="AN40" s="28">
        <f>IF(('Activity data'!AN9*EF!$H40*EF!M58)*NtoN2O*kgtoGg=0,"NO",('Activity data'!AN9*EF!$H40*EF!M58)*NtoN2O*kgtoGg)</f>
        <v>0.63244862905446586</v>
      </c>
      <c r="AO40" s="28">
        <f>IF(('Activity data'!AO9*EF!$H40*EF!N58)*NtoN2O*kgtoGg=0,"NO",('Activity data'!AO9*EF!$H40*EF!N58)*NtoN2O*kgtoGg)</f>
        <v>0.63633302607818865</v>
      </c>
      <c r="AP40" s="28">
        <f>IF(('Activity data'!AP9*EF!$H40*EF!O58)*NtoN2O*kgtoGg=0,"NO",('Activity data'!AP9*EF!$H40*EF!O58)*NtoN2O*kgtoGg)</f>
        <v>0.64275688445918766</v>
      </c>
      <c r="AQ40" s="28">
        <f>IF(('Activity data'!AQ9*EF!$H40*EF!P58)*NtoN2O*kgtoGg=0,"NO",('Activity data'!AQ9*EF!$H40*EF!P58)*NtoN2O*kgtoGg)</f>
        <v>0.64896902823624347</v>
      </c>
      <c r="AR40" s="28">
        <f>IF(('Activity data'!AR9*EF!$H40*EF!Q58)*NtoN2O*kgtoGg=0,"NO",('Activity data'!AR9*EF!$H40*EF!Q58)*NtoN2O*kgtoGg)</f>
        <v>0.65549084673275582</v>
      </c>
      <c r="AS40" s="28">
        <f>IF(('Activity data'!AS9*EF!$H40*EF!R58)*NtoN2O*kgtoGg=0,"NO",('Activity data'!AS9*EF!$H40*EF!R58)*NtoN2O*kgtoGg)</f>
        <v>0.66116866654600104</v>
      </c>
      <c r="AT40" s="28">
        <f>IF(('Activity data'!AT9*EF!$H40*EF!S58)*NtoN2O*kgtoGg=0,"NO",('Activity data'!AT9*EF!$H40*EF!S58)*NtoN2O*kgtoGg)</f>
        <v>0.66763079542082715</v>
      </c>
      <c r="AU40" s="28">
        <f>IF(('Activity data'!AU9*EF!$H40*EF!T58)*NtoN2O*kgtoGg=0,"NO",('Activity data'!AU9*EF!$H40*EF!T58)*NtoN2O*kgtoGg)</f>
        <v>0.67268763021428868</v>
      </c>
      <c r="AV40" s="28">
        <f>IF(('Activity data'!AV9*EF!$H40*EF!U58)*NtoN2O*kgtoGg=0,"NO",('Activity data'!AV9*EF!$H40*EF!U58)*NtoN2O*kgtoGg)</f>
        <v>0.67788321606043689</v>
      </c>
      <c r="AW40" s="28">
        <f>IF(('Activity data'!AW9*EF!$H40*EF!V58)*NtoN2O*kgtoGg=0,"NO",('Activity data'!AW9*EF!$H40*EF!V58)*NtoN2O*kgtoGg)</f>
        <v>0.68030312991307629</v>
      </c>
      <c r="AX40" s="28">
        <f>IF(('Activity data'!AX9*EF!$H40*EF!W58)*NtoN2O*kgtoGg=0,"NO",('Activity data'!AX9*EF!$H40*EF!W58)*NtoN2O*kgtoGg)</f>
        <v>0.68362132277483145</v>
      </c>
      <c r="AY40" s="28">
        <f>IF(('Activity data'!AY9*EF!$H40*EF!X58)*NtoN2O*kgtoGg=0,"NO",('Activity data'!AY9*EF!$H40*EF!X58)*NtoN2O*kgtoGg)</f>
        <v>0.68692670951860213</v>
      </c>
      <c r="AZ40" s="28">
        <f>IF(('Activity data'!AZ9*EF!$H40*EF!Y58)*NtoN2O*kgtoGg=0,"NO",('Activity data'!AZ9*EF!$H40*EF!Y58)*NtoN2O*kgtoGg)</f>
        <v>0.67235837319496583</v>
      </c>
      <c r="BA40" s="28">
        <f>IF(('Activity data'!BA9*EF!$H40*EF!Z58)*NtoN2O*kgtoGg=0,"NO",('Activity data'!BA9*EF!$H40*EF!Z58)*NtoN2O*kgtoGg)</f>
        <v>-0.1586000403929089</v>
      </c>
      <c r="BB40" s="28">
        <f>IF(('Activity data'!BB9*EF!$H40*EF!AA58)*NtoN2O*kgtoGg=0,"NO",('Activity data'!BB9*EF!$H40*EF!AA58)*NtoN2O*kgtoGg)</f>
        <v>-0.15492107106439137</v>
      </c>
      <c r="BC40" s="28">
        <f>IF(('Activity data'!BC9*EF!$H40*EF!AB58)*NtoN2O*kgtoGg=0,"NO",('Activity data'!BC9*EF!$H40*EF!AB58)*NtoN2O*kgtoGg)</f>
        <v>-0.15130060889360838</v>
      </c>
      <c r="BD40" s="28">
        <f>IF(('Activity data'!BD9*EF!$H40*EF!AC58)*NtoN2O*kgtoGg=0,"NO",('Activity data'!BD9*EF!$H40*EF!AC58)*NtoN2O*kgtoGg)</f>
        <v>-0.14773558958891347</v>
      </c>
      <c r="BE40" s="28">
        <f>IF(('Activity data'!BE9*EF!$H40*EF!AD58)*NtoN2O*kgtoGg=0,"NO",('Activity data'!BE9*EF!$H40*EF!AD58)*NtoN2O*kgtoGg)</f>
        <v>-0.14422316071147476</v>
      </c>
      <c r="BF40" s="28">
        <f>IF(('Activity data'!BF9*EF!$H40*EF!AE58)*NtoN2O*kgtoGg=0,"NO",('Activity data'!BF9*EF!$H40*EF!AE58)*NtoN2O*kgtoGg)</f>
        <v>-0.1407606620441057</v>
      </c>
      <c r="BG40" s="28">
        <f>IF(('Activity data'!BG9*EF!$H40*EF!AF58)*NtoN2O*kgtoGg=0,"NO",('Activity data'!BG9*EF!$H40*EF!AF58)*NtoN2O*kgtoGg)</f>
        <v>-0.1379533588771549</v>
      </c>
      <c r="BH40" s="28">
        <f>IF(('Activity data'!BH9*EF!$H40*EF!AG58)*NtoN2O*kgtoGg=0,"NO",('Activity data'!BH9*EF!$H40*EF!AG58)*NtoN2O*kgtoGg)</f>
        <v>-0.13518845663385484</v>
      </c>
      <c r="BI40" s="28">
        <f>IF(('Activity data'!BI9*EF!$H40*EF!AH58)*NtoN2O*kgtoGg=0,"NO",('Activity data'!BI9*EF!$H40*EF!AH58)*NtoN2O*kgtoGg)</f>
        <v>-0.13246403391454542</v>
      </c>
      <c r="BJ40" s="28">
        <f>IF(('Activity data'!BJ9*EF!$H40*EF!AI58)*NtoN2O*kgtoGg=0,"NO",('Activity data'!BJ9*EF!$H40*EF!AI58)*NtoN2O*kgtoGg)</f>
        <v>-0.12977828882070402</v>
      </c>
      <c r="BK40" s="28">
        <f>IF(('Activity data'!BK9*EF!$H40*EF!AJ58)*NtoN2O*kgtoGg=0,"NO",('Activity data'!BK9*EF!$H40*EF!AJ58)*NtoN2O*kgtoGg)</f>
        <v>-0.12712952904632721</v>
      </c>
      <c r="BL40" s="28">
        <f>IF(('Activity data'!BL9*EF!$H40*EF!AK58)*NtoN2O*kgtoGg=0,"NO",('Activity data'!BL9*EF!$H40*EF!AK58)*NtoN2O*kgtoGg)</f>
        <v>-0.12443153766115941</v>
      </c>
      <c r="BM40" s="28">
        <f>IF(('Activity data'!BM9*EF!$H40*EF!AL58)*NtoN2O*kgtoGg=0,"NO",('Activity data'!BM9*EF!$H40*EF!AL58)*NtoN2O*kgtoGg)</f>
        <v>-0.12177064709828132</v>
      </c>
      <c r="BN40" s="28">
        <f>IF(('Activity data'!BN9*EF!$H40*EF!AM58)*NtoN2O*kgtoGg=0,"NO",('Activity data'!BN9*EF!$H40*EF!AM58)*NtoN2O*kgtoGg)</f>
        <v>-0.11914539786899743</v>
      </c>
      <c r="BO40" s="28">
        <f>IF(('Activity data'!BO9*EF!$H40*EF!AN58)*NtoN2O*kgtoGg=0,"NO",('Activity data'!BO9*EF!$H40*EF!AN58)*NtoN2O*kgtoGg)</f>
        <v>-0.11655441248332606</v>
      </c>
      <c r="BP40" s="28">
        <f>IF(('Activity data'!BP9*EF!$H40*EF!AO58)*NtoN2O*kgtoGg=0,"NO",('Activity data'!BP9*EF!$H40*EF!AO58)*NtoN2O*kgtoGg)</f>
        <v>-0.11399638932246699</v>
      </c>
    </row>
    <row r="41" spans="1:68" x14ac:dyDescent="0.25">
      <c r="A41" t="str">
        <f t="shared" si="1"/>
        <v>3A Livestock</v>
      </c>
      <c r="B41" t="str">
        <f t="shared" si="11"/>
        <v>3A2 Manure management (N2O)</v>
      </c>
      <c r="C41" t="str">
        <f>EF!C59</f>
        <v>3A1aii Other cattle</v>
      </c>
      <c r="D41" t="str">
        <f>EF!D59</f>
        <v>Feedlot</v>
      </c>
      <c r="E41" t="str">
        <f t="shared" si="9"/>
        <v>Manure management Emissions</v>
      </c>
      <c r="F41" t="s">
        <v>139</v>
      </c>
      <c r="G41" t="str">
        <f t="shared" si="10"/>
        <v>Gg N2O</v>
      </c>
      <c r="H41" s="28">
        <f>IF(('Activity data'!H10*EF!$H41*EF!$H59)*NtoN2O*kgtoGg=0,"NO",('Activity data'!H10*EF!$H41*EF!$H59)*NtoN2O*kgtoGg)</f>
        <v>0.75959383499999988</v>
      </c>
      <c r="I41" s="28">
        <f>IF(('Activity data'!I10*EF!$H41*EF!$H59)*NtoN2O*kgtoGg=0,"NO",('Activity data'!I10*EF!$H41*EF!$H59)*NtoN2O*kgtoGg)</f>
        <v>0.75959383499999988</v>
      </c>
      <c r="J41" s="28">
        <f>IF(('Activity data'!J10*EF!$H41*EF!$H59)*NtoN2O*kgtoGg=0,"NO",('Activity data'!J10*EF!$H41*EF!$H59)*NtoN2O*kgtoGg)</f>
        <v>0.75959383499999988</v>
      </c>
      <c r="K41" s="28">
        <f>IF(('Activity data'!K10*EF!$H41*EF!$H59)*NtoN2O*kgtoGg=0,"NO",('Activity data'!K10*EF!$H41*EF!$H59)*NtoN2O*kgtoGg)</f>
        <v>0.75959383499999988</v>
      </c>
      <c r="L41" s="28">
        <f>IF(('Activity data'!L10*EF!$H41*EF!$H59)*NtoN2O*kgtoGg=0,"NO",('Activity data'!L10*EF!$H41*EF!$H59)*NtoN2O*kgtoGg)</f>
        <v>0.75959383499999988</v>
      </c>
      <c r="M41" s="28">
        <f>IF(('Activity data'!M10*EF!$H41*EF!$H59)*NtoN2O*kgtoGg=0,"NO",('Activity data'!M10*EF!$H41*EF!$H59)*NtoN2O*kgtoGg)</f>
        <v>0.75959383499999988</v>
      </c>
      <c r="N41" s="28">
        <f>IF(('Activity data'!N10*EF!$H41*EF!$H59)*NtoN2O*kgtoGg=0,"NO",('Activity data'!N10*EF!$H41*EF!$H59)*NtoN2O*kgtoGg)</f>
        <v>0.75959383499999988</v>
      </c>
      <c r="O41" s="28">
        <f>IF(('Activity data'!O10*EF!$H41*EF!$H59)*NtoN2O*kgtoGg=0,"NO",('Activity data'!O10*EF!$H41*EF!$H59)*NtoN2O*kgtoGg)</f>
        <v>0.75959383499999988</v>
      </c>
      <c r="P41" s="28">
        <f>IF(('Activity data'!P10*EF!$H41*EF!$H59)*NtoN2O*kgtoGg=0,"NO",('Activity data'!P10*EF!$H41*EF!$H59)*NtoN2O*kgtoGg)</f>
        <v>0.75959383499999988</v>
      </c>
      <c r="Q41" s="28">
        <f>IF(('Activity data'!Q10*EF!$H41*EF!$H59)*NtoN2O*kgtoGg=0,"NO",('Activity data'!Q10*EF!$H41*EF!$H59)*NtoN2O*kgtoGg)</f>
        <v>0.75959383499999988</v>
      </c>
      <c r="R41" s="28">
        <f>IF(('Activity data'!R10*EF!$H41*EF!$H59)*NtoN2O*kgtoGg=0,"NO",('Activity data'!R10*EF!$H41*EF!$H59)*NtoN2O*kgtoGg)</f>
        <v>0.75959383499999988</v>
      </c>
      <c r="S41" s="28">
        <f>IF(('Activity data'!S10*EF!$H41*EF!$H59)*NtoN2O*kgtoGg=0,"NO",('Activity data'!S10*EF!$H41*EF!$H59)*NtoN2O*kgtoGg)</f>
        <v>0.75959383499999988</v>
      </c>
      <c r="T41" s="28">
        <f>IF(('Activity data'!T10*EF!$H41*EF!$H59)*NtoN2O*kgtoGg=0,"NO",('Activity data'!T10*EF!$H41*EF!$H59)*NtoN2O*kgtoGg)</f>
        <v>0.75959383499999988</v>
      </c>
      <c r="U41" s="28">
        <f>IF(('Activity data'!U10*EF!$H41*EF!$H59)*NtoN2O*kgtoGg=0,"NO",('Activity data'!U10*EF!$H41*EF!$H59)*NtoN2O*kgtoGg)</f>
        <v>0.75959383499999988</v>
      </c>
      <c r="V41" s="28">
        <f>IF(('Activity data'!V10*EF!$H41*EF!$H59)*NtoN2O*kgtoGg=0,"NO",('Activity data'!V10*EF!$H41*EF!$H59)*NtoN2O*kgtoGg)</f>
        <v>0.75959383499999988</v>
      </c>
      <c r="W41" s="28">
        <f>IF(('Activity data'!W10*EF!$H41*EF!$H59)*NtoN2O*kgtoGg=0,"NO",('Activity data'!W10*EF!$H41*EF!$H59)*NtoN2O*kgtoGg)</f>
        <v>0.75959383499999988</v>
      </c>
      <c r="X41" s="28">
        <f>IF(('Activity data'!X10*EF!$H41*EF!$H59)*NtoN2O*kgtoGg=0,"NO",('Activity data'!X10*EF!$H41*EF!$H59)*NtoN2O*kgtoGg)</f>
        <v>0.75959383499999988</v>
      </c>
      <c r="Y41" s="28">
        <f>IF(('Activity data'!Y10*EF!$H41*EF!$H59)*NtoN2O*kgtoGg=0,"NO",('Activity data'!Y10*EF!$H41*EF!$H59)*NtoN2O*kgtoGg)</f>
        <v>0.75959383499999988</v>
      </c>
      <c r="Z41" s="28">
        <f>IF(('Activity data'!Z10*EF!$H41*EF!$H59)*NtoN2O*kgtoGg=0,"NO",('Activity data'!Z10*EF!$H41*EF!$H59)*NtoN2O*kgtoGg)</f>
        <v>0.70741290350981256</v>
      </c>
      <c r="AA41" s="28">
        <f>IF(('Activity data'!AA10*EF!$H41*EF!$H59)*NtoN2O*kgtoGg=0,"NO",('Activity data'!AA10*EF!$H41*EF!$H59)*NtoN2O*kgtoGg)</f>
        <v>0.72490466154356248</v>
      </c>
      <c r="AB41" s="28">
        <f>IF(('Activity data'!AB10*EF!$H41*EF!$H59)*NtoN2O*kgtoGg=0,"NO",('Activity data'!AB10*EF!$H41*EF!$H59)*NtoN2O*kgtoGg)</f>
        <v>0.72310137975074984</v>
      </c>
      <c r="AC41" s="28">
        <f>IF(('Activity data'!AC10*EF!$H41*EF!$H59)*NtoN2O*kgtoGg=0,"NO",('Activity data'!AC10*EF!$H41*EF!$H59)*NtoN2O*kgtoGg)</f>
        <v>0.83519180857612507</v>
      </c>
      <c r="AD41" s="28">
        <f>IF(('Activity data'!AD10*EF!$H41*EF!$H59)*NtoN2O*kgtoGg=0,"NO",('Activity data'!AD10*EF!$H41*EF!$H59)*NtoN2O*kgtoGg)</f>
        <v>0.98462431665992833</v>
      </c>
      <c r="AE41" s="28">
        <f>IF(('Activity data'!AE10*EF!$H41*EF!$H59)*NtoN2O*kgtoGg=0,"NO",('Activity data'!AE10*EF!$H41*EF!$H59)*NtoN2O*kgtoGg)</f>
        <v>1.0196918835505078</v>
      </c>
      <c r="AF41" s="28">
        <f>IF(('Activity data'!AF10*EF!$H41*EF!$H59)*NtoN2O*kgtoGg=0,"NO",('Activity data'!AF10*EF!$H41*EF!$H59)*NtoN2O*kgtoGg)</f>
        <v>1.0475259814074214</v>
      </c>
      <c r="AG41" s="28">
        <f>IF(('Activity data'!AG10*EF!$H41*EF!$H59)*NtoN2O*kgtoGg=0,"NO",('Activity data'!AG10*EF!$H41*EF!$H59)*NtoN2O*kgtoGg)</f>
        <v>1.0647388767946648</v>
      </c>
      <c r="AH41" s="28">
        <f>IF(('Activity data'!AH10*EF!$H41*EF!$H59)*NtoN2O*kgtoGg=0,"NO",('Activity data'!AH10*EF!$H41*EF!$H59)*NtoN2O*kgtoGg)</f>
        <v>1.0819877052462501</v>
      </c>
      <c r="AI41" s="28">
        <f>IF(('Activity data'!AI10*EF!$H41*EF!H59)*NtoN2O*kgtoGg=0,"NO",('Activity data'!AI10*EF!$H41*EF!H59)*NtoN2O*kgtoGg)</f>
        <v>1.1048938649963369</v>
      </c>
      <c r="AJ41" s="28">
        <f>IF(('Activity data'!AJ10*EF!$H41*EF!I59)*NtoN2O*kgtoGg=0,"NO",('Activity data'!AJ10*EF!$H41*EF!I59)*NtoN2O*kgtoGg)</f>
        <v>1.1297091115066857</v>
      </c>
      <c r="AK41" s="28">
        <f>IF(('Activity data'!AK10*EF!$H41*EF!J59)*NtoN2O*kgtoGg=0,"NO",('Activity data'!AK10*EF!$H41*EF!J59)*NtoN2O*kgtoGg)</f>
        <v>1.142623258953418</v>
      </c>
      <c r="AL41" s="28">
        <f>IF(('Activity data'!AL10*EF!$H41*EF!K59)*NtoN2O*kgtoGg=0,"NO",('Activity data'!AL10*EF!$H41*EF!K59)*NtoN2O*kgtoGg)</f>
        <v>1.0424500724104675</v>
      </c>
      <c r="AM41" s="28">
        <f>IF(('Activity data'!AM10*EF!$H41*EF!L59)*NtoN2O*kgtoGg=0,"NO",('Activity data'!AM10*EF!$H41*EF!L59)*NtoN2O*kgtoGg)</f>
        <v>1.0775354748112338</v>
      </c>
      <c r="AN41" s="28">
        <f>IF(('Activity data'!AN10*EF!$H41*EF!M59)*NtoN2O*kgtoGg=0,"NO",('Activity data'!AN10*EF!$H41*EF!M59)*NtoN2O*kgtoGg)</f>
        <v>1.1099789671042184</v>
      </c>
      <c r="AO41" s="28">
        <f>IF(('Activity data'!AO10*EF!$H41*EF!N59)*NtoN2O*kgtoGg=0,"NO",('Activity data'!AO10*EF!$H41*EF!N59)*NtoN2O*kgtoGg)</f>
        <v>1.1427845071049993</v>
      </c>
      <c r="AP41" s="28">
        <f>IF(('Activity data'!AP10*EF!$H41*EF!O59)*NtoN2O*kgtoGg=0,"NO",('Activity data'!AP10*EF!$H41*EF!O59)*NtoN2O*kgtoGg)</f>
        <v>1.1808667721174206</v>
      </c>
      <c r="AQ41" s="28">
        <f>IF(('Activity data'!AQ10*EF!$H41*EF!P59)*NtoN2O*kgtoGg=0,"NO",('Activity data'!AQ10*EF!$H41*EF!P59)*NtoN2O*kgtoGg)</f>
        <v>1.219399784150359</v>
      </c>
      <c r="AR41" s="28">
        <f>IF(('Activity data'!AR10*EF!$H41*EF!Q59)*NtoN2O*kgtoGg=0,"NO",('Activity data'!AR10*EF!$H41*EF!Q59)*NtoN2O*kgtoGg)</f>
        <v>1.2593873285345614</v>
      </c>
      <c r="AS41" s="28">
        <f>IF(('Activity data'!AS10*EF!$H41*EF!R59)*NtoN2O*kgtoGg=0,"NO",('Activity data'!AS10*EF!$H41*EF!R59)*NtoN2O*kgtoGg)</f>
        <v>1.2986321214759353</v>
      </c>
      <c r="AT41" s="28">
        <f>IF(('Activity data'!AT10*EF!$H41*EF!S59)*NtoN2O*kgtoGg=0,"NO",('Activity data'!AT10*EF!$H41*EF!S59)*NtoN2O*kgtoGg)</f>
        <v>1.3403229537470696</v>
      </c>
      <c r="AU41" s="28">
        <f>IF(('Activity data'!AU10*EF!$H41*EF!T59)*NtoN2O*kgtoGg=0,"NO",('Activity data'!AU10*EF!$H41*EF!T59)*NtoN2O*kgtoGg)</f>
        <v>1.3800999976091688</v>
      </c>
      <c r="AV41" s="28">
        <f>IF(('Activity data'!AV10*EF!$H41*EF!U59)*NtoN2O*kgtoGg=0,"NO",('Activity data'!AV10*EF!$H41*EF!U59)*NtoN2O*kgtoGg)</f>
        <v>1.4210424625750864</v>
      </c>
      <c r="AW41" s="28">
        <f>IF(('Activity data'!AW10*EF!$H41*EF!V59)*NtoN2O*kgtoGg=0,"NO",('Activity data'!AW10*EF!$H41*EF!V59)*NtoN2O*kgtoGg)</f>
        <v>1.4731597843117399</v>
      </c>
      <c r="AX41" s="28">
        <f>IF(('Activity data'!AX10*EF!$H41*EF!W59)*NtoN2O*kgtoGg=0,"NO",('Activity data'!AX10*EF!$H41*EF!W59)*NtoN2O*kgtoGg)</f>
        <v>1.5292748745002132</v>
      </c>
      <c r="AY41" s="28">
        <f>IF(('Activity data'!AY10*EF!$H41*EF!X59)*NtoN2O*kgtoGg=0,"NO",('Activity data'!AY10*EF!$H41*EF!X59)*NtoN2O*kgtoGg)</f>
        <v>1.58759303710444</v>
      </c>
      <c r="AZ41" s="28">
        <f>IF(('Activity data'!AZ10*EF!$H41*EF!Y59)*NtoN2O*kgtoGg=0,"NO",('Activity data'!AZ10*EF!$H41*EF!Y59)*NtoN2O*kgtoGg)</f>
        <v>1.6055856657240113</v>
      </c>
      <c r="BA41" s="28">
        <f>IF(('Activity data'!BA10*EF!$H41*EF!Z59)*NtoN2O*kgtoGg=0,"NO",('Activity data'!BA10*EF!$H41*EF!Z59)*NtoN2O*kgtoGg)</f>
        <v>-0.39137548720927395</v>
      </c>
      <c r="BB41" s="28">
        <f>IF(('Activity data'!BB10*EF!$H41*EF!AA59)*NtoN2O*kgtoGg=0,"NO",('Activity data'!BB10*EF!$H41*EF!AA59)*NtoN2O*kgtoGg)</f>
        <v>-0.39511268844976988</v>
      </c>
      <c r="BC41" s="28">
        <f>IF(('Activity data'!BC10*EF!$H41*EF!AB59)*NtoN2O*kgtoGg=0,"NO",('Activity data'!BC10*EF!$H41*EF!AB59)*NtoN2O*kgtoGg)</f>
        <v>-0.39888027556232269</v>
      </c>
      <c r="BD41" s="28">
        <f>IF(('Activity data'!BD10*EF!$H41*EF!AC59)*NtoN2O*kgtoGg=0,"NO",('Activity data'!BD10*EF!$H41*EF!AC59)*NtoN2O*kgtoGg)</f>
        <v>-0.40267853610571114</v>
      </c>
      <c r="BE41" s="28">
        <f>IF(('Activity data'!BE10*EF!$H41*EF!AD59)*NtoN2O*kgtoGg=0,"NO",('Activity data'!BE10*EF!$H41*EF!AD59)*NtoN2O*kgtoGg)</f>
        <v>-0.40650776022057733</v>
      </c>
      <c r="BF41" s="28">
        <f>IF(('Activity data'!BF10*EF!$H41*EF!AE59)*NtoN2O*kgtoGg=0,"NO",('Activity data'!BF10*EF!$H41*EF!AE59)*NtoN2O*kgtoGg)</f>
        <v>-0.41036824065181815</v>
      </c>
      <c r="BG41" s="28">
        <f>IF(('Activity data'!BG10*EF!$H41*EF!AF59)*NtoN2O*kgtoGg=0,"NO",('Activity data'!BG10*EF!$H41*EF!AF59)*NtoN2O*kgtoGg)</f>
        <v>-0.41346631245955484</v>
      </c>
      <c r="BH41" s="28">
        <f>IF(('Activity data'!BH10*EF!$H41*EF!AG59)*NtoN2O*kgtoGg=0,"NO",('Activity data'!BH10*EF!$H41*EF!AG59)*NtoN2O*kgtoGg)</f>
        <v>-0.41658575471490794</v>
      </c>
      <c r="BI41" s="28">
        <f>IF(('Activity data'!BI10*EF!$H41*EF!AH59)*NtoN2O*kgtoGg=0,"NO",('Activity data'!BI10*EF!$H41*EF!AH59)*NtoN2O*kgtoGg)</f>
        <v>-0.41972673655234932</v>
      </c>
      <c r="BJ41" s="28">
        <f>IF(('Activity data'!BJ10*EF!$H41*EF!AI59)*NtoN2O*kgtoGg=0,"NO",('Activity data'!BJ10*EF!$H41*EF!AI59)*NtoN2O*kgtoGg)</f>
        <v>-0.42288942838293692</v>
      </c>
      <c r="BK41" s="28">
        <f>IF(('Activity data'!BK10*EF!$H41*EF!AJ59)*NtoN2O*kgtoGg=0,"NO",('Activity data'!BK10*EF!$H41*EF!AJ59)*NtoN2O*kgtoGg)</f>
        <v>-0.42607400190364725</v>
      </c>
      <c r="BL41" s="28">
        <f>IF(('Activity data'!BL10*EF!$H41*EF!AK59)*NtoN2O*kgtoGg=0,"NO",('Activity data'!BL10*EF!$H41*EF!AK59)*NtoN2O*kgtoGg)</f>
        <v>-0.42898887673310604</v>
      </c>
      <c r="BM41" s="28">
        <f>IF(('Activity data'!BM10*EF!$H41*EF!AL59)*NtoN2O*kgtoGg=0,"NO",('Activity data'!BM10*EF!$H41*EF!AL59)*NtoN2O*kgtoGg)</f>
        <v>-0.43192052701996581</v>
      </c>
      <c r="BN41" s="28">
        <f>IF(('Activity data'!BN10*EF!$H41*EF!AM59)*NtoN2O*kgtoGg=0,"NO",('Activity data'!BN10*EF!$H41*EF!AM59)*NtoN2O*kgtoGg)</f>
        <v>-0.43486906373806822</v>
      </c>
      <c r="BO41" s="28">
        <f>IF(('Activity data'!BO10*EF!$H41*EF!AN59)*NtoN2O*kgtoGg=0,"NO",('Activity data'!BO10*EF!$H41*EF!AN59)*NtoN2O*kgtoGg)</f>
        <v>-0.43783459855710477</v>
      </c>
      <c r="BP41" s="28">
        <f>IF(('Activity data'!BP10*EF!$H41*EF!AO59)*NtoN2O*kgtoGg=0,"NO",('Activity data'!BP10*EF!$H41*EF!AO59)*NtoN2O*kgtoGg)</f>
        <v>-0.4408172438468278</v>
      </c>
    </row>
    <row r="42" spans="1:68" x14ac:dyDescent="0.25">
      <c r="A42" t="str">
        <f t="shared" si="1"/>
        <v>3A Livestock</v>
      </c>
      <c r="B42" t="str">
        <f t="shared" si="11"/>
        <v>3A2 Manure management (N2O)</v>
      </c>
      <c r="C42" t="str">
        <f>EF!C60</f>
        <v>3A1c Sheep</v>
      </c>
      <c r="D42" t="str">
        <f>EF!D60</f>
        <v>Commercial</v>
      </c>
      <c r="E42" t="str">
        <f t="shared" si="9"/>
        <v>Manure management Emissions</v>
      </c>
      <c r="F42" t="s">
        <v>139</v>
      </c>
      <c r="G42" t="str">
        <f t="shared" si="10"/>
        <v>Gg N2O</v>
      </c>
      <c r="H42" s="28">
        <f>IF(('Activity data'!H11*EF!$H42*EF!$H60)*NtoN2O*kgtoGg=0,"NO",('Activity data'!H11*EF!$H42*EF!$H60)*NtoN2O*kgtoGg)</f>
        <v>0.18472261121735453</v>
      </c>
      <c r="I42" s="28">
        <f>IF(('Activity data'!I11*EF!$H42*EF!$H60)*NtoN2O*kgtoGg=0,"NO",('Activity data'!I11*EF!$H42*EF!$H60)*NtoN2O*kgtoGg)</f>
        <v>0.17641659434150833</v>
      </c>
      <c r="J42" s="28">
        <f>IF(('Activity data'!J11*EF!$H42*EF!$H60)*NtoN2O*kgtoGg=0,"NO",('Activity data'!J11*EF!$H42*EF!$H60)*NtoN2O*kgtoGg)</f>
        <v>0.16912726350758692</v>
      </c>
      <c r="K42" s="28">
        <f>IF(('Activity data'!K11*EF!$H42*EF!$H60)*NtoN2O*kgtoGg=0,"NO",('Activity data'!K11*EF!$H42*EF!$H60)*NtoN2O*kgtoGg)</f>
        <v>0.15817170118914878</v>
      </c>
      <c r="L42" s="28">
        <f>IF(('Activity data'!L11*EF!$H42*EF!$H60)*NtoN2O*kgtoGg=0,"NO",('Activity data'!L11*EF!$H42*EF!$H60)*NtoN2O*kgtoGg)</f>
        <v>0.15928697496847238</v>
      </c>
      <c r="M42" s="28">
        <f>IF(('Activity data'!M11*EF!$H42*EF!$H60)*NtoN2O*kgtoGg=0,"NO",('Activity data'!M11*EF!$H42*EF!$H60)*NtoN2O*kgtoGg)</f>
        <v>0.15700713354112583</v>
      </c>
      <c r="N42" s="28">
        <f>IF(('Activity data'!N11*EF!$H42*EF!$H60)*NtoN2O*kgtoGg=0,"NO",('Activity data'!N11*EF!$H42*EF!$H60)*NtoN2O*kgtoGg)</f>
        <v>0.1575308808960568</v>
      </c>
      <c r="O42" s="28">
        <f>IF(('Activity data'!O11*EF!$H42*EF!$H60)*NtoN2O*kgtoGg=0,"NO",('Activity data'!O11*EF!$H42*EF!$H60)*NtoN2O*kgtoGg)</f>
        <v>0.15410495702144961</v>
      </c>
      <c r="P42" s="28">
        <f>IF(('Activity data'!P11*EF!$H42*EF!$H60)*NtoN2O*kgtoGg=0,"NO",('Activity data'!P11*EF!$H42*EF!$H60)*NtoN2O*kgtoGg)</f>
        <v>0.15453011663898178</v>
      </c>
      <c r="Q42" s="28">
        <f>IF(('Activity data'!Q11*EF!$H42*EF!$H60)*NtoN2O*kgtoGg=0,"NO",('Activity data'!Q11*EF!$H42*EF!$H60)*NtoN2O*kgtoGg)</f>
        <v>0.1507344887491292</v>
      </c>
      <c r="R42" s="28">
        <f>IF(('Activity data'!R11*EF!$H42*EF!$H60)*NtoN2O*kgtoGg=0,"NO",('Activity data'!R11*EF!$H42*EF!$H60)*NtoN2O*kgtoGg)</f>
        <v>0.14533064839295923</v>
      </c>
      <c r="S42" s="28">
        <f>IF(('Activity data'!S11*EF!$H42*EF!$H60)*NtoN2O*kgtoGg=0,"NO",('Activity data'!S11*EF!$H42*EF!$H60)*NtoN2O*kgtoGg)</f>
        <v>0.14170754904355451</v>
      </c>
      <c r="T42" s="28">
        <f>IF(('Activity data'!T11*EF!$H42*EF!$H60)*NtoN2O*kgtoGg=0,"NO",('Activity data'!T11*EF!$H42*EF!$H60)*NtoN2O*kgtoGg)</f>
        <v>0.13934144334598406</v>
      </c>
      <c r="U42" s="28">
        <f>IF(('Activity data'!U11*EF!$H42*EF!$H60)*NtoN2O*kgtoGg=0,"NO",('Activity data'!U11*EF!$H42*EF!$H60)*NtoN2O*kgtoGg)</f>
        <v>0.13982822029939046</v>
      </c>
      <c r="V42" s="28">
        <f>IF(('Activity data'!V11*EF!$H42*EF!$H60)*NtoN2O*kgtoGg=0,"NO",('Activity data'!V11*EF!$H42*EF!$H60)*NtoN2O*kgtoGg)</f>
        <v>0.13733887993007157</v>
      </c>
      <c r="W42" s="28">
        <f>IF(('Activity data'!W11*EF!$H42*EF!$H60)*NtoN2O*kgtoGg=0,"NO",('Activity data'!W11*EF!$H42*EF!$H60)*NtoN2O*kgtoGg)</f>
        <v>0.13701230804993814</v>
      </c>
      <c r="X42" s="28">
        <f>IF(('Activity data'!X11*EF!$H42*EF!$H60)*NtoN2O*kgtoGg=0,"NO",('Activity data'!X11*EF!$H42*EF!$H60)*NtoN2O*kgtoGg)</f>
        <v>0.13521924357599804</v>
      </c>
      <c r="Y42" s="28">
        <f>IF(('Activity data'!Y11*EF!$H42*EF!$H60)*NtoN2O*kgtoGg=0,"NO",('Activity data'!Y11*EF!$H42*EF!$H60)*NtoN2O*kgtoGg)</f>
        <v>0.13508984717066219</v>
      </c>
      <c r="Z42" s="28">
        <f>IF(('Activity data'!Z11*EF!$H42*EF!$H60)*NtoN2O*kgtoGg=0,"NO",('Activity data'!Z11*EF!$H42*EF!$H60)*NtoN2O*kgtoGg)</f>
        <v>0.1355273302553692</v>
      </c>
      <c r="AA42" s="28">
        <f>IF(('Activity data'!AA11*EF!$H42*EF!$H60)*NtoN2O*kgtoGg=0,"NO",('Activity data'!AA11*EF!$H42*EF!$H60)*NtoN2O*kgtoGg)</f>
        <v>0.13504671503555021</v>
      </c>
      <c r="AB42" s="28">
        <f>IF(('Activity data'!AB11*EF!$H42*EF!$H60)*NtoN2O*kgtoGg=0,"NO",('Activity data'!AB11*EF!$H42*EF!$H60)*NtoN2O*kgtoGg)</f>
        <v>0.13243413999448284</v>
      </c>
      <c r="AC42" s="28">
        <f>IF(('Activity data'!AC11*EF!$H42*EF!$H60)*NtoN2O*kgtoGg=0,"NO",('Activity data'!AC11*EF!$H42*EF!$H60)*NtoN2O*kgtoGg)</f>
        <v>0.1313989687517958</v>
      </c>
      <c r="AD42" s="28">
        <f>IF(('Activity data'!AD11*EF!$H42*EF!$H60)*NtoN2O*kgtoGg=0,"NO",('Activity data'!AD11*EF!$H42*EF!$H60)*NtoN2O*kgtoGg)</f>
        <v>0.1171858684484313</v>
      </c>
      <c r="AE42" s="28">
        <f>IF(('Activity data'!AE11*EF!$H42*EF!$H60)*NtoN2O*kgtoGg=0,"NO",('Activity data'!AE11*EF!$H42*EF!$H60)*NtoN2O*kgtoGg)</f>
        <v>0.11724986264912746</v>
      </c>
      <c r="AF42" s="28">
        <f>IF(('Activity data'!AF11*EF!$H42*EF!$H60)*NtoN2O*kgtoGg=0,"NO",('Activity data'!AF11*EF!$H42*EF!$H60)*NtoN2O*kgtoGg)</f>
        <v>0.11739315795736154</v>
      </c>
      <c r="AG42" s="28">
        <f>IF(('Activity data'!AG11*EF!$H42*EF!$H60)*NtoN2O*kgtoGg=0,"NO",('Activity data'!AG11*EF!$H42*EF!$H60)*NtoN2O*kgtoGg)</f>
        <v>0.11760884747933324</v>
      </c>
      <c r="AH42" s="28">
        <f>IF(('Activity data'!AH11*EF!$H42*EF!$H60)*NtoN2O*kgtoGg=0,"NO",('Activity data'!AH11*EF!$H42*EF!$H60)*NtoN2O*kgtoGg)</f>
        <v>0.11789981697079396</v>
      </c>
      <c r="AI42" s="28">
        <f>IF(('Activity data'!AI11*EF!$H42*EF!H60)*NtoN2O*kgtoGg=0,"NO",('Activity data'!AI11*EF!$H42*EF!H60)*NtoN2O*kgtoGg)</f>
        <v>0.11826637517857025</v>
      </c>
      <c r="AJ42" s="28">
        <f>IF(('Activity data'!AJ11*EF!$H42*EF!I60)*NtoN2O*kgtoGg=0,"NO",('Activity data'!AJ11*EF!$H42*EF!I60)*NtoN2O*kgtoGg)</f>
        <v>0.11867470616236446</v>
      </c>
      <c r="AK42" s="28">
        <f>IF(('Activity data'!AK11*EF!$H42*EF!J60)*NtoN2O*kgtoGg=0,"NO",('Activity data'!AK11*EF!$H42*EF!J60)*NtoN2O*kgtoGg)</f>
        <v>0.11911724401941932</v>
      </c>
      <c r="AL42" s="28">
        <f>IF(('Activity data'!AL11*EF!$H42*EF!K60)*NtoN2O*kgtoGg=0,"NO",('Activity data'!AL11*EF!$H42*EF!K60)*NtoN2O*kgtoGg)</f>
        <v>0.11953310214883348</v>
      </c>
      <c r="AM42" s="28">
        <f>IF(('Activity data'!AM11*EF!$H42*EF!L60)*NtoN2O*kgtoGg=0,"NO",('Activity data'!AM11*EF!$H42*EF!L60)*NtoN2O*kgtoGg)</f>
        <v>0.11970681414230742</v>
      </c>
      <c r="AN42" s="28">
        <f>IF(('Activity data'!AN11*EF!$H42*EF!M60)*NtoN2O*kgtoGg=0,"NO",('Activity data'!AN11*EF!$H42*EF!M60)*NtoN2O*kgtoGg)</f>
        <v>0.11990838567894911</v>
      </c>
      <c r="AO42" s="28">
        <f>IF(('Activity data'!AO11*EF!$H42*EF!N60)*NtoN2O*kgtoGg=0,"NO",('Activity data'!AO11*EF!$H42*EF!N60)*NtoN2O*kgtoGg)</f>
        <v>0.12013777542784022</v>
      </c>
      <c r="AP42" s="28">
        <f>IF(('Activity data'!AP11*EF!$H42*EF!O60)*NtoN2O*kgtoGg=0,"NO",('Activity data'!AP11*EF!$H42*EF!O60)*NtoN2O*kgtoGg)</f>
        <v>0.1203961718842316</v>
      </c>
      <c r="AQ42" s="28">
        <f>IF(('Activity data'!AQ11*EF!$H42*EF!P60)*NtoN2O*kgtoGg=0,"NO",('Activity data'!AQ11*EF!$H42*EF!P60)*NtoN2O*kgtoGg)</f>
        <v>0.12067943256873451</v>
      </c>
      <c r="AR42" s="28">
        <f>IF(('Activity data'!AR11*EF!$H42*EF!Q60)*NtoN2O*kgtoGg=0,"NO",('Activity data'!AR11*EF!$H42*EF!Q60)*NtoN2O*kgtoGg)</f>
        <v>0.12085380112251057</v>
      </c>
      <c r="AS42" s="28">
        <f>IF(('Activity data'!AS11*EF!$H42*EF!R60)*NtoN2O*kgtoGg=0,"NO",('Activity data'!AS11*EF!$H42*EF!R60)*NtoN2O*kgtoGg)</f>
        <v>0.12104857439732014</v>
      </c>
      <c r="AT42" s="28">
        <f>IF(('Activity data'!AT11*EF!$H42*EF!S60)*NtoN2O*kgtoGg=0,"NO",('Activity data'!AT11*EF!$H42*EF!S60)*NtoN2O*kgtoGg)</f>
        <v>0.1212644592147404</v>
      </c>
      <c r="AU42" s="28">
        <f>IF(('Activity data'!AU11*EF!$H42*EF!T60)*NtoN2O*kgtoGg=0,"NO",('Activity data'!AU11*EF!$H42*EF!T60)*NtoN2O*kgtoGg)</f>
        <v>0.12149813863258012</v>
      </c>
      <c r="AV42" s="28">
        <f>IF(('Activity data'!AV11*EF!$H42*EF!U60)*NtoN2O*kgtoGg=0,"NO",('Activity data'!AV11*EF!$H42*EF!U60)*NtoN2O*kgtoGg)</f>
        <v>0.12175044819305053</v>
      </c>
      <c r="AW42" s="28">
        <f>IF(('Activity data'!AW11*EF!$H42*EF!V60)*NtoN2O*kgtoGg=0,"NO",('Activity data'!AW11*EF!$H42*EF!V60)*NtoN2O*kgtoGg)</f>
        <v>0.12191654827812352</v>
      </c>
      <c r="AX42" s="28">
        <f>IF(('Activity data'!AX11*EF!$H42*EF!W60)*NtoN2O*kgtoGg=0,"NO",('Activity data'!AX11*EF!$H42*EF!W60)*NtoN2O*kgtoGg)</f>
        <v>0.12210011953046386</v>
      </c>
      <c r="AY42" s="28">
        <f>IF(('Activity data'!AY11*EF!$H42*EF!X60)*NtoN2O*kgtoGg=0,"NO",('Activity data'!AY11*EF!$H42*EF!X60)*NtoN2O*kgtoGg)</f>
        <v>0.12229951100214119</v>
      </c>
      <c r="AZ42" s="28">
        <f>IF(('Activity data'!AZ11*EF!$H42*EF!Y60)*NtoN2O*kgtoGg=0,"NO",('Activity data'!AZ11*EF!$H42*EF!Y60)*NtoN2O*kgtoGg)</f>
        <v>0.12249214859428272</v>
      </c>
      <c r="BA42" s="28">
        <f>IF(('Activity data'!BA11*EF!$H42*EF!Z60)*NtoN2O*kgtoGg=0,"NO",('Activity data'!BA11*EF!$H42*EF!Z60)*NtoN2O*kgtoGg)</f>
        <v>0.12166856520731396</v>
      </c>
      <c r="BB42" s="28">
        <f>IF(('Activity data'!BB11*EF!$H42*EF!AA60)*NtoN2O*kgtoGg=0,"NO",('Activity data'!BB11*EF!$H42*EF!AA60)*NtoN2O*kgtoGg)</f>
        <v>0.12178552707040835</v>
      </c>
      <c r="BC42" s="28">
        <f>IF(('Activity data'!BC11*EF!$H42*EF!AB60)*NtoN2O*kgtoGg=0,"NO",('Activity data'!BC11*EF!$H42*EF!AB60)*NtoN2O*kgtoGg)</f>
        <v>0.12191459506568997</v>
      </c>
      <c r="BD42" s="28">
        <f>IF(('Activity data'!BD11*EF!$H42*EF!AC60)*NtoN2O*kgtoGg=0,"NO",('Activity data'!BD11*EF!$H42*EF!AC60)*NtoN2O*kgtoGg)</f>
        <v>0.12205531183364191</v>
      </c>
      <c r="BE42" s="28">
        <f>IF(('Activity data'!BE11*EF!$H42*EF!AD60)*NtoN2O*kgtoGg=0,"NO",('Activity data'!BE11*EF!$H42*EF!AD60)*NtoN2O*kgtoGg)</f>
        <v>0.1222072553657907</v>
      </c>
      <c r="BF42" s="28">
        <f>IF(('Activity data'!BF11*EF!$H42*EF!AE60)*NtoN2O*kgtoGg=0,"NO",('Activity data'!BF11*EF!$H42*EF!AE60)*NtoN2O*kgtoGg)</f>
        <v>0.12237003565016037</v>
      </c>
      <c r="BG42" s="28">
        <f>IF(('Activity data'!BG11*EF!$H42*EF!AF60)*NtoN2O*kgtoGg=0,"NO",('Activity data'!BG11*EF!$H42*EF!AF60)*NtoN2O*kgtoGg)</f>
        <v>0.12244903306979282</v>
      </c>
      <c r="BH42" s="28">
        <f>IF(('Activity data'!BH11*EF!$H42*EF!AG60)*NtoN2O*kgtoGg=0,"NO",('Activity data'!BH11*EF!$H42*EF!AG60)*NtoN2O*kgtoGg)</f>
        <v>0.12253757835817966</v>
      </c>
      <c r="BI42" s="28">
        <f>IF(('Activity data'!BI11*EF!$H42*EF!AH60)*NtoN2O*kgtoGg=0,"NO",('Activity data'!BI11*EF!$H42*EF!AH60)*NtoN2O*kgtoGg)</f>
        <v>0.12263533922697641</v>
      </c>
      <c r="BJ42" s="28">
        <f>IF(('Activity data'!BJ11*EF!$H42*EF!AI60)*NtoN2O*kgtoGg=0,"NO",('Activity data'!BJ11*EF!$H42*EF!AI60)*NtoN2O*kgtoGg)</f>
        <v>0.12274200613087835</v>
      </c>
      <c r="BK42" s="28">
        <f>IF(('Activity data'!BK11*EF!$H42*EF!AJ60)*NtoN2O*kgtoGg=0,"NO",('Activity data'!BK11*EF!$H42*EF!AJ60)*NtoN2O*kgtoGg)</f>
        <v>0.12285729033548833</v>
      </c>
      <c r="BL42" s="28">
        <f>IF(('Activity data'!BL11*EF!$H42*EF!AK60)*NtoN2O*kgtoGg=0,"NO",('Activity data'!BL11*EF!$H42*EF!AK60)*NtoN2O*kgtoGg)</f>
        <v>0.12288572954642335</v>
      </c>
      <c r="BM42" s="28">
        <f>IF(('Activity data'!BM11*EF!$H42*EF!AL60)*NtoN2O*kgtoGg=0,"NO",('Activity data'!BM11*EF!$H42*EF!AL60)*NtoN2O*kgtoGg)</f>
        <v>0.12292181660779716</v>
      </c>
      <c r="BN42" s="28">
        <f>IF(('Activity data'!BN11*EF!$H42*EF!AM60)*NtoN2O*kgtoGg=0,"NO",('Activity data'!BN11*EF!$H42*EF!AM60)*NtoN2O*kgtoGg)</f>
        <v>0.12296529822294655</v>
      </c>
      <c r="BO42" s="28">
        <f>IF(('Activity data'!BO11*EF!$H42*EF!AN60)*NtoN2O*kgtoGg=0,"NO",('Activity data'!BO11*EF!$H42*EF!AN60)*NtoN2O*kgtoGg)</f>
        <v>0.12301593656260404</v>
      </c>
      <c r="BP42" s="28">
        <f>IF(('Activity data'!BP11*EF!$H42*EF!AO60)*NtoN2O*kgtoGg=0,"NO",('Activity data'!BP11*EF!$H42*EF!AO60)*NtoN2O*kgtoGg)</f>
        <v>0.12307350807543004</v>
      </c>
    </row>
    <row r="43" spans="1:68" x14ac:dyDescent="0.25">
      <c r="A43" t="str">
        <f t="shared" si="1"/>
        <v>3A Livestock</v>
      </c>
      <c r="B43" t="str">
        <f t="shared" si="11"/>
        <v>3A2 Manure management (N2O)</v>
      </c>
      <c r="C43" t="str">
        <f>EF!C61</f>
        <v>3A1c Sheep</v>
      </c>
      <c r="D43" t="str">
        <f>EF!D61</f>
        <v>Subsistence</v>
      </c>
      <c r="E43" t="str">
        <f t="shared" si="9"/>
        <v>Manure management Emissions</v>
      </c>
      <c r="F43" t="s">
        <v>139</v>
      </c>
      <c r="G43" t="str">
        <f t="shared" si="10"/>
        <v>Gg N2O</v>
      </c>
      <c r="H43" s="28">
        <f>IF(('Activity data'!H12*EF!$H43*EF!$H61)*NtoN2O*kgtoGg=0,"NO",('Activity data'!H12*EF!$H43*EF!$H61)*NtoN2O*kgtoGg)</f>
        <v>9.2257162292800898E-2</v>
      </c>
      <c r="I43" s="28">
        <f>IF(('Activity data'!I12*EF!$H43*EF!$H61)*NtoN2O*kgtoGg=0,"NO",('Activity data'!I12*EF!$H43*EF!$H61)*NtoN2O*kgtoGg)</f>
        <v>8.810883663915349E-2</v>
      </c>
      <c r="J43" s="28">
        <f>IF(('Activity data'!J12*EF!$H43*EF!$H61)*NtoN2O*kgtoGg=0,"NO",('Activity data'!J12*EF!$H43*EF!$H61)*NtoN2O*kgtoGg)</f>
        <v>8.4468280816998517E-2</v>
      </c>
      <c r="K43" s="28">
        <f>IF(('Activity data'!K12*EF!$H43*EF!$H61)*NtoN2O*kgtoGg=0,"NO",('Activity data'!K12*EF!$H43*EF!$H61)*NtoN2O*kgtoGg)</f>
        <v>7.8996676208552608E-2</v>
      </c>
      <c r="L43" s="28">
        <f>IF(('Activity data'!L12*EF!$H43*EF!$H61)*NtoN2O*kgtoGg=0,"NO",('Activity data'!L12*EF!$H43*EF!$H61)*NtoN2O*kgtoGg)</f>
        <v>7.9553684326735249E-2</v>
      </c>
      <c r="M43" s="28">
        <f>IF(('Activity data'!M12*EF!$H43*EF!$H61)*NtoN2O*kgtoGg=0,"NO",('Activity data'!M12*EF!$H43*EF!$H61)*NtoN2O*kgtoGg)</f>
        <v>7.8415048947024904E-2</v>
      </c>
      <c r="N43" s="28">
        <f>IF(('Activity data'!N12*EF!$H43*EF!$H61)*NtoN2O*kgtoGg=0,"NO",('Activity data'!N12*EF!$H43*EF!$H61)*NtoN2O*kgtoGg)</f>
        <v>7.867662734506646E-2</v>
      </c>
      <c r="O43" s="28">
        <f>IF(('Activity data'!O12*EF!$H43*EF!$H61)*NtoN2O*kgtoGg=0,"NO",('Activity data'!O12*EF!$H43*EF!$H61)*NtoN2O*kgtoGg)</f>
        <v>7.6965596882582824E-2</v>
      </c>
      <c r="P43" s="28">
        <f>IF(('Activity data'!P12*EF!$H43*EF!$H61)*NtoN2O*kgtoGg=0,"NO",('Activity data'!P12*EF!$H43*EF!$H61)*NtoN2O*kgtoGg)</f>
        <v>7.7177936993934437E-2</v>
      </c>
      <c r="Q43" s="28">
        <f>IF(('Activity data'!Q12*EF!$H43*EF!$H61)*NtoN2O*kgtoGg=0,"NO",('Activity data'!Q12*EF!$H43*EF!$H61)*NtoN2O*kgtoGg)</f>
        <v>7.5282262956362631E-2</v>
      </c>
      <c r="R43" s="28">
        <f>IF(('Activity data'!R12*EF!$H43*EF!$H61)*NtoN2O*kgtoGg=0,"NO",('Activity data'!R12*EF!$H43*EF!$H61)*NtoN2O*kgtoGg)</f>
        <v>7.2583389367157303E-2</v>
      </c>
      <c r="S43" s="28">
        <f>IF(('Activity data'!S12*EF!$H43*EF!$H61)*NtoN2O*kgtoGg=0,"NO",('Activity data'!S12*EF!$H43*EF!$H61)*NtoN2O*kgtoGg)</f>
        <v>7.0773882331293281E-2</v>
      </c>
      <c r="T43" s="28">
        <f>IF(('Activity data'!T12*EF!$H43*EF!$H61)*NtoN2O*kgtoGg=0,"NO",('Activity data'!T12*EF!$H43*EF!$H61)*NtoN2O*kgtoGg)</f>
        <v>6.9592163450729036E-2</v>
      </c>
      <c r="U43" s="28">
        <f>IF(('Activity data'!U12*EF!$H43*EF!$H61)*NtoN2O*kgtoGg=0,"NO",('Activity data'!U12*EF!$H43*EF!$H61)*NtoN2O*kgtoGg)</f>
        <v>6.9835277491261782E-2</v>
      </c>
      <c r="V43" s="28">
        <f>IF(('Activity data'!V12*EF!$H43*EF!$H61)*NtoN2O*kgtoGg=0,"NO",('Activity data'!V12*EF!$H43*EF!$H61)*NtoN2O*kgtoGg)</f>
        <v>6.8592010752334814E-2</v>
      </c>
      <c r="W43" s="28">
        <f>IF(('Activity data'!W12*EF!$H43*EF!$H61)*NtoN2O*kgtoGg=0,"NO",('Activity data'!W12*EF!$H43*EF!$H61)*NtoN2O*kgtoGg)</f>
        <v>6.8428908927673615E-2</v>
      </c>
      <c r="X43" s="28">
        <f>IF(('Activity data'!X12*EF!$H43*EF!$H61)*NtoN2O*kgtoGg=0,"NO",('Activity data'!X12*EF!$H43*EF!$H61)*NtoN2O*kgtoGg)</f>
        <v>6.7533387588496016E-2</v>
      </c>
      <c r="Y43" s="28">
        <f>IF(('Activity data'!Y12*EF!$H43*EF!$H61)*NtoN2O*kgtoGg=0,"NO",('Activity data'!Y12*EF!$H43*EF!$H61)*NtoN2O*kgtoGg)</f>
        <v>6.746876233721516E-2</v>
      </c>
      <c r="Z43" s="28">
        <f>IF(('Activity data'!Z12*EF!$H43*EF!$H61)*NtoN2O*kgtoGg=0,"NO",('Activity data'!Z12*EF!$H43*EF!$H61)*NtoN2O*kgtoGg)</f>
        <v>6.7687257234402817E-2</v>
      </c>
      <c r="AA43" s="28">
        <f>IF(('Activity data'!AA12*EF!$H43*EF!$H61)*NtoN2O*kgtoGg=0,"NO",('Activity data'!AA12*EF!$H43*EF!$H61)*NtoN2O*kgtoGg)</f>
        <v>6.7447220586788204E-2</v>
      </c>
      <c r="AB43" s="28">
        <f>IF(('Activity data'!AB12*EF!$H43*EF!$H61)*NtoN2O*kgtoGg=0,"NO",('Activity data'!AB12*EF!$H43*EF!$H61)*NtoN2O*kgtoGg)</f>
        <v>6.6142405989498512E-2</v>
      </c>
      <c r="AC43" s="28">
        <f>IF(('Activity data'!AC12*EF!$H43*EF!$H61)*NtoN2O*kgtoGg=0,"NO",('Activity data'!AC12*EF!$H43*EF!$H61)*NtoN2O*kgtoGg)</f>
        <v>6.5625403979251651E-2</v>
      </c>
      <c r="AD43" s="28">
        <f>IF(('Activity data'!AD12*EF!$H43*EF!$H61)*NtoN2O*kgtoGg=0,"NO",('Activity data'!AD12*EF!$H43*EF!$H61)*NtoN2O*kgtoGg)</f>
        <v>6.266414044546309E-2</v>
      </c>
      <c r="AE43" s="28">
        <f>IF(('Activity data'!AE12*EF!$H43*EF!$H61)*NtoN2O*kgtoGg=0,"NO",('Activity data'!AE12*EF!$H43*EF!$H61)*NtoN2O*kgtoGg)</f>
        <v>6.2698360796715452E-2</v>
      </c>
      <c r="AF43" s="28">
        <f>IF(('Activity data'!AF12*EF!$H43*EF!$H61)*NtoN2O*kgtoGg=0,"NO",('Activity data'!AF12*EF!$H43*EF!$H61)*NtoN2O*kgtoGg)</f>
        <v>6.2774986736679445E-2</v>
      </c>
      <c r="AG43" s="28">
        <f>IF(('Activity data'!AG12*EF!$H43*EF!$H61)*NtoN2O*kgtoGg=0,"NO",('Activity data'!AG12*EF!$H43*EF!$H61)*NtoN2O*kgtoGg)</f>
        <v>6.2890324862994521E-2</v>
      </c>
      <c r="AH43" s="28">
        <f>IF(('Activity data'!AH12*EF!$H43*EF!$H61)*NtoN2O*kgtoGg=0,"NO",('Activity data'!AH12*EF!$H43*EF!$H61)*NtoN2O*kgtoGg)</f>
        <v>6.3045918308856697E-2</v>
      </c>
      <c r="AI43" s="28">
        <f>IF(('Activity data'!AI12*EF!$H43*EF!H61)*NtoN2O*kgtoGg=0,"NO",('Activity data'!AI12*EF!$H43*EF!H61)*NtoN2O*kgtoGg)</f>
        <v>6.324193217398956E-2</v>
      </c>
      <c r="AJ43" s="28">
        <f>IF(('Activity data'!AJ12*EF!$H43*EF!I61)*NtoN2O*kgtoGg=0,"NO",('Activity data'!AJ12*EF!$H43*EF!I61)*NtoN2O*kgtoGg)</f>
        <v>6.346028367366699E-2</v>
      </c>
      <c r="AK43" s="28">
        <f>IF(('Activity data'!AK12*EF!$H43*EF!J61)*NtoN2O*kgtoGg=0,"NO",('Activity data'!AK12*EF!$H43*EF!J61)*NtoN2O*kgtoGg)</f>
        <v>6.3696927006127543E-2</v>
      </c>
      <c r="AL43" s="28">
        <f>IF(('Activity data'!AL12*EF!$H43*EF!K61)*NtoN2O*kgtoGg=0,"NO",('Activity data'!AL12*EF!$H43*EF!K61)*NtoN2O*kgtoGg)</f>
        <v>6.3919303582518794E-2</v>
      </c>
      <c r="AM43" s="28">
        <f>IF(('Activity data'!AM12*EF!$H43*EF!L61)*NtoN2O*kgtoGg=0,"NO",('Activity data'!AM12*EF!$H43*EF!L61)*NtoN2O*kgtoGg)</f>
        <v>6.401219458465271E-2</v>
      </c>
      <c r="AN43" s="28">
        <f>IF(('Activity data'!AN12*EF!$H43*EF!M61)*NtoN2O*kgtoGg=0,"NO",('Activity data'!AN12*EF!$H43*EF!M61)*NtoN2O*kgtoGg)</f>
        <v>6.4119983239113915E-2</v>
      </c>
      <c r="AO43" s="28">
        <f>IF(('Activity data'!AO12*EF!$H43*EF!N61)*NtoN2O*kgtoGg=0,"NO",('Activity data'!AO12*EF!$H43*EF!N61)*NtoN2O*kgtoGg)</f>
        <v>6.4242647444547399E-2</v>
      </c>
      <c r="AP43" s="28">
        <f>IF(('Activity data'!AP12*EF!$H43*EF!O61)*NtoN2O*kgtoGg=0,"NO",('Activity data'!AP12*EF!$H43*EF!O61)*NtoN2O*kgtoGg)</f>
        <v>6.4380822738619198E-2</v>
      </c>
      <c r="AQ43" s="28">
        <f>IF(('Activity data'!AQ12*EF!$H43*EF!P61)*NtoN2O*kgtoGg=0,"NO",('Activity data'!AQ12*EF!$H43*EF!P61)*NtoN2O*kgtoGg)</f>
        <v>6.4532293965921486E-2</v>
      </c>
      <c r="AR43" s="28">
        <f>IF(('Activity data'!AR12*EF!$H43*EF!Q61)*NtoN2O*kgtoGg=0,"NO",('Activity data'!AR12*EF!$H43*EF!Q61)*NtoN2O*kgtoGg)</f>
        <v>6.462553605805911E-2</v>
      </c>
      <c r="AS43" s="28">
        <f>IF(('Activity data'!AS12*EF!$H43*EF!R61)*NtoN2O*kgtoGg=0,"NO",('Activity data'!AS12*EF!$H43*EF!R61)*NtoN2O*kgtoGg)</f>
        <v>6.4729689400175275E-2</v>
      </c>
      <c r="AT43" s="28">
        <f>IF(('Activity data'!AT12*EF!$H43*EF!S61)*NtoN2O*kgtoGg=0,"NO",('Activity data'!AT12*EF!$H43*EF!S61)*NtoN2O*kgtoGg)</f>
        <v>6.4845131959060415E-2</v>
      </c>
      <c r="AU43" s="28">
        <f>IF(('Activity data'!AU12*EF!$H43*EF!T61)*NtoN2O*kgtoGg=0,"NO",('Activity data'!AU12*EF!$H43*EF!T61)*NtoN2O*kgtoGg)</f>
        <v>6.4970090028259403E-2</v>
      </c>
      <c r="AV43" s="28">
        <f>IF(('Activity data'!AV12*EF!$H43*EF!U61)*NtoN2O*kgtoGg=0,"NO",('Activity data'!AV12*EF!$H43*EF!U61)*NtoN2O*kgtoGg)</f>
        <v>6.5105010406820332E-2</v>
      </c>
      <c r="AW43" s="28">
        <f>IF(('Activity data'!AW12*EF!$H43*EF!V61)*NtoN2O*kgtoGg=0,"NO",('Activity data'!AW12*EF!$H43*EF!V61)*NtoN2O*kgtoGg)</f>
        <v>6.5193831006068584E-2</v>
      </c>
      <c r="AX43" s="28">
        <f>IF(('Activity data'!AX12*EF!$H43*EF!W61)*NtoN2O*kgtoGg=0,"NO",('Activity data'!AX12*EF!$H43*EF!W61)*NtoN2O*kgtoGg)</f>
        <v>6.5291994162520045E-2</v>
      </c>
      <c r="AY43" s="28">
        <f>IF(('Activity data'!AY12*EF!$H43*EF!X61)*NtoN2O*kgtoGg=0,"NO",('Activity data'!AY12*EF!$H43*EF!X61)*NtoN2O*kgtoGg)</f>
        <v>6.5398617045895405E-2</v>
      </c>
      <c r="AZ43" s="28">
        <f>IF(('Activity data'!AZ12*EF!$H43*EF!Y61)*NtoN2O*kgtoGg=0,"NO",('Activity data'!AZ12*EF!$H43*EF!Y61)*NtoN2O*kgtoGg)</f>
        <v>6.5501628349978927E-2</v>
      </c>
      <c r="BA43" s="28">
        <f>IF(('Activity data'!BA12*EF!$H43*EF!Z61)*NtoN2O*kgtoGg=0,"NO",('Activity data'!BA12*EF!$H43*EF!Z61)*NtoN2O*kgtoGg)</f>
        <v>6.506122418083396E-2</v>
      </c>
      <c r="BB43" s="28">
        <f>IF(('Activity data'!BB12*EF!$H43*EF!AA61)*NtoN2O*kgtoGg=0,"NO",('Activity data'!BB12*EF!$H43*EF!AA61)*NtoN2O*kgtoGg)</f>
        <v>6.512376853633306E-2</v>
      </c>
      <c r="BC43" s="28">
        <f>IF(('Activity data'!BC12*EF!$H43*EF!AB61)*NtoN2O*kgtoGg=0,"NO",('Activity data'!BC12*EF!$H43*EF!AB61)*NtoN2O*kgtoGg)</f>
        <v>6.5192786542432504E-2</v>
      </c>
      <c r="BD43" s="28">
        <f>IF(('Activity data'!BD12*EF!$H43*EF!AC61)*NtoN2O*kgtoGg=0,"NO",('Activity data'!BD12*EF!$H43*EF!AC61)*NtoN2O*kgtoGg)</f>
        <v>6.5268033630044034E-2</v>
      </c>
      <c r="BE43" s="28">
        <f>IF(('Activity data'!BE12*EF!$H43*EF!AD61)*NtoN2O*kgtoGg=0,"NO",('Activity data'!BE12*EF!$H43*EF!AD61)*NtoN2O*kgtoGg)</f>
        <v>6.534928413374741E-2</v>
      </c>
      <c r="BF43" s="28">
        <f>IF(('Activity data'!BF12*EF!$H43*EF!AE61)*NtoN2O*kgtoGg=0,"NO",('Activity data'!BF12*EF!$H43*EF!AE61)*NtoN2O*kgtoGg)</f>
        <v>6.5436329497975634E-2</v>
      </c>
      <c r="BG43" s="28">
        <f>IF(('Activity data'!BG12*EF!$H43*EF!AF61)*NtoN2O*kgtoGg=0,"NO",('Activity data'!BG12*EF!$H43*EF!AF61)*NtoN2O*kgtoGg)</f>
        <v>6.54785726921783E-2</v>
      </c>
      <c r="BH43" s="28">
        <f>IF(('Activity data'!BH12*EF!$H43*EF!AG61)*NtoN2O*kgtoGg=0,"NO",('Activity data'!BH12*EF!$H43*EF!AG61)*NtoN2O*kgtoGg)</f>
        <v>6.552592152750053E-2</v>
      </c>
      <c r="BI43" s="28">
        <f>IF(('Activity data'!BI12*EF!$H43*EF!AH61)*NtoN2O*kgtoGg=0,"NO",('Activity data'!BI12*EF!$H43*EF!AH61)*NtoN2O*kgtoGg)</f>
        <v>6.557819831559332E-2</v>
      </c>
      <c r="BJ43" s="28">
        <f>IF(('Activity data'!BJ12*EF!$H43*EF!AI61)*NtoN2O*kgtoGg=0,"NO",('Activity data'!BJ12*EF!$H43*EF!AI61)*NtoN2O*kgtoGg)</f>
        <v>6.5635237529753657E-2</v>
      </c>
      <c r="BK43" s="28">
        <f>IF(('Activity data'!BK12*EF!$H43*EF!AJ61)*NtoN2O*kgtoGg=0,"NO",('Activity data'!BK12*EF!$H43*EF!AJ61)*NtoN2O*kgtoGg)</f>
        <v>6.5696884771733188E-2</v>
      </c>
      <c r="BL43" s="28">
        <f>IF(('Activity data'!BL12*EF!$H43*EF!AK61)*NtoN2O*kgtoGg=0,"NO",('Activity data'!BL12*EF!$H43*EF!AK61)*NtoN2O*kgtoGg)</f>
        <v>6.5712092396439034E-2</v>
      </c>
      <c r="BM43" s="28">
        <f>IF(('Activity data'!BM12*EF!$H43*EF!AL61)*NtoN2O*kgtoGg=0,"NO",('Activity data'!BM12*EF!$H43*EF!AL61)*NtoN2O*kgtoGg)</f>
        <v>6.5731389643727739E-2</v>
      </c>
      <c r="BN43" s="28">
        <f>IF(('Activity data'!BN12*EF!$H43*EF!AM61)*NtoN2O*kgtoGg=0,"NO",('Activity data'!BN12*EF!$H43*EF!AM61)*NtoN2O*kgtoGg)</f>
        <v>6.5754641065376054E-2</v>
      </c>
      <c r="BO43" s="28">
        <f>IF(('Activity data'!BO12*EF!$H43*EF!AN61)*NtoN2O*kgtoGg=0,"NO",('Activity data'!BO12*EF!$H43*EF!AN61)*NtoN2O*kgtoGg)</f>
        <v>6.578171948421814E-2</v>
      </c>
      <c r="BP43" s="28">
        <f>IF(('Activity data'!BP12*EF!$H43*EF!AO61)*NtoN2O*kgtoGg=0,"NO",('Activity data'!BP12*EF!$H43*EF!AO61)*NtoN2O*kgtoGg)</f>
        <v>6.5812505358088025E-2</v>
      </c>
    </row>
    <row r="44" spans="1:68" x14ac:dyDescent="0.25">
      <c r="A44" t="str">
        <f t="shared" si="1"/>
        <v>3A Livestock</v>
      </c>
      <c r="B44" t="str">
        <f t="shared" si="11"/>
        <v>3A2 Manure management (N2O)</v>
      </c>
      <c r="C44" t="str">
        <f>EF!C62</f>
        <v>3A1d Goats</v>
      </c>
      <c r="D44" t="str">
        <f>EF!D62</f>
        <v>Commercial</v>
      </c>
      <c r="E44" t="str">
        <f t="shared" si="9"/>
        <v>Manure management Emissions</v>
      </c>
      <c r="F44" t="s">
        <v>139</v>
      </c>
      <c r="G44" t="str">
        <f t="shared" si="10"/>
        <v>Gg N2O</v>
      </c>
      <c r="H44" s="28">
        <f>IF(('Activity data'!H13*EF!$H44*EF!$H62)*NtoN2O*kgtoGg=0,"NO",('Activity data'!H13*EF!$H44*EF!$H62)*NtoN2O*kgtoGg)</f>
        <v>1.9430751682320124E-2</v>
      </c>
      <c r="I44" s="28">
        <f>IF(('Activity data'!I13*EF!$H44*EF!$H62)*NtoN2O*kgtoGg=0,"NO",('Activity data'!I13*EF!$H44*EF!$H62)*NtoN2O*kgtoGg)</f>
        <v>1.7182276091107163E-2</v>
      </c>
      <c r="J44" s="28">
        <f>IF(('Activity data'!J13*EF!$H44*EF!$H62)*NtoN2O*kgtoGg=0,"NO",('Activity data'!J13*EF!$H44*EF!$H62)*NtoN2O*kgtoGg)</f>
        <v>1.6005503819070465E-2</v>
      </c>
      <c r="K44" s="28">
        <f>IF(('Activity data'!K13*EF!$H44*EF!$H62)*NtoN2O*kgtoGg=0,"NO",('Activity data'!K13*EF!$H44*EF!$H62)*NtoN2O*kgtoGg)</f>
        <v>1.5122924615042945E-2</v>
      </c>
      <c r="L44" s="28">
        <f>IF(('Activity data'!L13*EF!$H44*EF!$H62)*NtoN2O*kgtoGg=0,"NO",('Activity data'!L13*EF!$H44*EF!$H62)*NtoN2O*kgtoGg)</f>
        <v>1.6369742855653249E-2</v>
      </c>
      <c r="M44" s="28">
        <f>IF(('Activity data'!M13*EF!$H44*EF!$H62)*NtoN2O*kgtoGg=0,"NO",('Activity data'!M13*EF!$H44*EF!$H62)*NtoN2O*kgtoGg)</f>
        <v>1.6593889955088814E-2</v>
      </c>
      <c r="N44" s="28">
        <f>IF(('Activity data'!N13*EF!$H44*EF!$H62)*NtoN2O*kgtoGg=0,"NO",('Activity data'!N13*EF!$H44*EF!$H62)*NtoN2O*kgtoGg)</f>
        <v>1.6853060038811176E-2</v>
      </c>
      <c r="O44" s="28">
        <f>IF(('Activity data'!O13*EF!$H44*EF!$H62)*NtoN2O*kgtoGg=0,"NO",('Activity data'!O13*EF!$H44*EF!$H62)*NtoN2O*kgtoGg)</f>
        <v>1.6769004876522844E-2</v>
      </c>
      <c r="P44" s="28">
        <f>IF(('Activity data'!P13*EF!$H44*EF!$H62)*NtoN2O*kgtoGg=0,"NO",('Activity data'!P13*EF!$H44*EF!$H62)*NtoN2O*kgtoGg)</f>
        <v>1.6530848583372559E-2</v>
      </c>
      <c r="Q44" s="28">
        <f>IF(('Activity data'!Q13*EF!$H44*EF!$H62)*NtoN2O*kgtoGg=0,"NO",('Activity data'!Q13*EF!$H44*EF!$H62)*NtoN2O*kgtoGg)</f>
        <v>1.6285687693364925E-2</v>
      </c>
      <c r="R44" s="28">
        <f>IF(('Activity data'!R13*EF!$H44*EF!$H62)*NtoN2O*kgtoGg=0,"NO",('Activity data'!R13*EF!$H44*EF!$H62)*NtoN2O*kgtoGg)</f>
        <v>1.6495825599085752E-2</v>
      </c>
      <c r="S44" s="28">
        <f>IF(('Activity data'!S13*EF!$H44*EF!$H62)*NtoN2O*kgtoGg=0,"NO",('Activity data'!S13*EF!$H44*EF!$H62)*NtoN2O*kgtoGg)</f>
        <v>1.7000156572815769E-2</v>
      </c>
      <c r="T44" s="28">
        <f>IF(('Activity data'!T13*EF!$H44*EF!$H62)*NtoN2O*kgtoGg=0,"NO",('Activity data'!T13*EF!$H44*EF!$H62)*NtoN2O*kgtoGg)</f>
        <v>1.5522186635912547E-2</v>
      </c>
      <c r="U44" s="28">
        <f>IF(('Activity data'!U13*EF!$H44*EF!$H62)*NtoN2O*kgtoGg=0,"NO",('Activity data'!U13*EF!$H44*EF!$H62)*NtoN2O*kgtoGg)</f>
        <v>1.512992921190031E-2</v>
      </c>
      <c r="V44" s="28">
        <f>IF(('Activity data'!V13*EF!$H44*EF!$H62)*NtoN2O*kgtoGg=0,"NO",('Activity data'!V13*EF!$H44*EF!$H62)*NtoN2O*kgtoGg)</f>
        <v>1.5157947599329761E-2</v>
      </c>
      <c r="W44" s="28">
        <f>IF(('Activity data'!W13*EF!$H44*EF!$H62)*NtoN2O*kgtoGg=0,"NO",('Activity data'!W13*EF!$H44*EF!$H62)*NtoN2O*kgtoGg)</f>
        <v>1.4961818887323638E-2</v>
      </c>
      <c r="X44" s="28">
        <f>IF(('Activity data'!X13*EF!$H44*EF!$H62)*NtoN2O*kgtoGg=0,"NO",('Activity data'!X13*EF!$H44*EF!$H62)*NtoN2O*kgtoGg)</f>
        <v>1.5277025745904898E-2</v>
      </c>
      <c r="Y44" s="28">
        <f>IF(('Activity data'!Y13*EF!$H44*EF!$H62)*NtoN2O*kgtoGg=0,"NO",('Activity data'!Y13*EF!$H44*EF!$H62)*NtoN2O*kgtoGg)</f>
        <v>1.4821726950176417E-2</v>
      </c>
      <c r="Z44" s="28">
        <f>IF(('Activity data'!Z13*EF!$H44*EF!$H62)*NtoN2O*kgtoGg=0,"NO",('Activity data'!Z13*EF!$H44*EF!$H62)*NtoN2O*kgtoGg)</f>
        <v>1.4807717756461695E-2</v>
      </c>
      <c r="AA44" s="28">
        <f>IF(('Activity data'!AA13*EF!$H44*EF!$H62)*NtoN2O*kgtoGg=0,"NO",('Activity data'!AA13*EF!$H44*EF!$H62)*NtoN2O*kgtoGg)</f>
        <v>1.4548547672739326E-2</v>
      </c>
      <c r="AB44" s="28">
        <f>IF(('Activity data'!AB13*EF!$H44*EF!$H62)*NtoN2O*kgtoGg=0,"NO",('Activity data'!AB13*EF!$H44*EF!$H62)*NtoN2O*kgtoGg)</f>
        <v>1.4373432751305298E-2</v>
      </c>
      <c r="AC44" s="28">
        <f>IF(('Activity data'!AC13*EF!$H44*EF!$H62)*NtoN2O*kgtoGg=0,"NO",('Activity data'!AC13*EF!$H44*EF!$H62)*NtoN2O*kgtoGg)</f>
        <v>1.4240345411015433E-2</v>
      </c>
      <c r="AD44" s="28">
        <f>IF(('Activity data'!AD13*EF!$H44*EF!$H62)*NtoN2O*kgtoGg=0,"NO",('Activity data'!AD13*EF!$H44*EF!$H62)*NtoN2O*kgtoGg)</f>
        <v>1.4485648992970149E-2</v>
      </c>
      <c r="AE44" s="28">
        <f>IF(('Activity data'!AE13*EF!$H44*EF!$H62)*NtoN2O*kgtoGg=0,"NO",('Activity data'!AE13*EF!$H44*EF!$H62)*NtoN2O*kgtoGg)</f>
        <v>1.4523430996818442E-2</v>
      </c>
      <c r="AF44" s="28">
        <f>IF(('Activity data'!AF13*EF!$H44*EF!$H62)*NtoN2O*kgtoGg=0,"NO",('Activity data'!AF13*EF!$H44*EF!$H62)*NtoN2O*kgtoGg)</f>
        <v>1.4573778863725229E-2</v>
      </c>
      <c r="AG44" s="28">
        <f>IF(('Activity data'!AG13*EF!$H44*EF!$H62)*NtoN2O*kgtoGg=0,"NO",('Activity data'!AG13*EF!$H44*EF!$H62)*NtoN2O*kgtoGg)</f>
        <v>1.4635573261684437E-2</v>
      </c>
      <c r="AH44" s="28">
        <f>IF(('Activity data'!AH13*EF!$H44*EF!$H62)*NtoN2O*kgtoGg=0,"NO",('Activity data'!AH13*EF!$H44*EF!$H62)*NtoN2O*kgtoGg)</f>
        <v>1.4709556756482728E-2</v>
      </c>
      <c r="AI44" s="28">
        <f>IF(('Activity data'!AI13*EF!$H44*EF!H62)*NtoN2O*kgtoGg=0,"NO",('Activity data'!AI13*EF!$H44*EF!H62)*NtoN2O*kgtoGg)</f>
        <v>1.4795926227225602E-2</v>
      </c>
      <c r="AJ44" s="28">
        <f>IF(('Activity data'!AJ13*EF!$H44*EF!I62)*NtoN2O*kgtoGg=0,"NO",('Activity data'!AJ13*EF!$H44*EF!I62)*NtoN2O*kgtoGg)</f>
        <v>1.4888271114151717E-2</v>
      </c>
      <c r="AK44" s="28">
        <f>IF(('Activity data'!AK13*EF!$H44*EF!J62)*NtoN2O*kgtoGg=0,"NO",('Activity data'!AK13*EF!$H44*EF!J62)*NtoN2O*kgtoGg)</f>
        <v>1.4985270961083385E-2</v>
      </c>
      <c r="AL44" s="28">
        <f>IF(('Activity data'!AL13*EF!$H44*EF!K62)*NtoN2O*kgtoGg=0,"NO",('Activity data'!AL13*EF!$H44*EF!K62)*NtoN2O*kgtoGg)</f>
        <v>1.5075379558400602E-2</v>
      </c>
      <c r="AM44" s="28">
        <f>IF(('Activity data'!AM13*EF!$H44*EF!L62)*NtoN2O*kgtoGg=0,"NO",('Activity data'!AM13*EF!$H44*EF!L62)*NtoN2O*kgtoGg)</f>
        <v>1.5117607192403527E-2</v>
      </c>
      <c r="AN44" s="28">
        <f>IF(('Activity data'!AN13*EF!$H44*EF!M62)*NtoN2O*kgtoGg=0,"NO",('Activity data'!AN13*EF!$H44*EF!M62)*NtoN2O*kgtoGg)</f>
        <v>1.5163912133825485E-2</v>
      </c>
      <c r="AO44" s="28">
        <f>IF(('Activity data'!AO13*EF!$H44*EF!N62)*NtoN2O*kgtoGg=0,"NO",('Activity data'!AO13*EF!$H44*EF!N62)*NtoN2O*kgtoGg)</f>
        <v>1.5214353144806386E-2</v>
      </c>
      <c r="AP44" s="28">
        <f>IF(('Activity data'!AP13*EF!$H44*EF!O62)*NtoN2O*kgtoGg=0,"NO",('Activity data'!AP13*EF!$H44*EF!O62)*NtoN2O*kgtoGg)</f>
        <v>1.5269211713136204E-2</v>
      </c>
      <c r="AQ44" s="28">
        <f>IF(('Activity data'!AQ13*EF!$H44*EF!P62)*NtoN2O*kgtoGg=0,"NO",('Activity data'!AQ13*EF!$H44*EF!P62)*NtoN2O*kgtoGg)</f>
        <v>1.5327749231318039E-2</v>
      </c>
      <c r="AR44" s="28">
        <f>IF(('Activity data'!AR13*EF!$H44*EF!Q62)*NtoN2O*kgtoGg=0,"NO",('Activity data'!AR13*EF!$H44*EF!Q62)*NtoN2O*kgtoGg)</f>
        <v>1.5364750505414648E-2</v>
      </c>
      <c r="AS44" s="28">
        <f>IF(('Activity data'!AS13*EF!$H44*EF!R62)*NtoN2O*kgtoGg=0,"NO",('Activity data'!AS13*EF!$H44*EF!R62)*NtoN2O*kgtoGg)</f>
        <v>1.5404784002427285E-2</v>
      </c>
      <c r="AT44" s="28">
        <f>IF(('Activity data'!AT13*EF!$H44*EF!S62)*NtoN2O*kgtoGg=0,"NO",('Activity data'!AT13*EF!$H44*EF!S62)*NtoN2O*kgtoGg)</f>
        <v>1.5448015343528085E-2</v>
      </c>
      <c r="AU44" s="28">
        <f>IF(('Activity data'!AU13*EF!$H44*EF!T62)*NtoN2O*kgtoGg=0,"NO",('Activity data'!AU13*EF!$H44*EF!T62)*NtoN2O*kgtoGg)</f>
        <v>1.5493849362144254E-2</v>
      </c>
      <c r="AV44" s="28">
        <f>IF(('Activity data'!AV13*EF!$H44*EF!U62)*NtoN2O*kgtoGg=0,"NO",('Activity data'!AV13*EF!$H44*EF!U62)*NtoN2O*kgtoGg)</f>
        <v>1.5542469399401562E-2</v>
      </c>
      <c r="AW44" s="28">
        <f>IF(('Activity data'!AW13*EF!$H44*EF!V62)*NtoN2O*kgtoGg=0,"NO",('Activity data'!AW13*EF!$H44*EF!V62)*NtoN2O*kgtoGg)</f>
        <v>1.5574312295454071E-2</v>
      </c>
      <c r="AX44" s="28">
        <f>IF(('Activity data'!AX13*EF!$H44*EF!W62)*NtoN2O*kgtoGg=0,"NO",('Activity data'!AX13*EF!$H44*EF!W62)*NtoN2O*kgtoGg)</f>
        <v>1.5608846144431889E-2</v>
      </c>
      <c r="AY44" s="28">
        <f>IF(('Activity data'!AY13*EF!$H44*EF!X62)*NtoN2O*kgtoGg=0,"NO",('Activity data'!AY13*EF!$H44*EF!X62)*NtoN2O*kgtoGg)</f>
        <v>1.5645779000697076E-2</v>
      </c>
      <c r="AZ44" s="28">
        <f>IF(('Activity data'!AZ13*EF!$H44*EF!Y62)*NtoN2O*kgtoGg=0,"NO",('Activity data'!AZ13*EF!$H44*EF!Y62)*NtoN2O*kgtoGg)</f>
        <v>1.5680933682266716E-2</v>
      </c>
      <c r="BA44" s="28">
        <f>IF(('Activity data'!BA13*EF!$H44*EF!Z62)*NtoN2O*kgtoGg=0,"NO",('Activity data'!BA13*EF!$H44*EF!Z62)*NtoN2O*kgtoGg)</f>
        <v>1.552725676648822E-2</v>
      </c>
      <c r="BB44" s="28">
        <f>IF(('Activity data'!BB13*EF!$H44*EF!AA62)*NtoN2O*kgtoGg=0,"NO",('Activity data'!BB13*EF!$H44*EF!AA62)*NtoN2O*kgtoGg)</f>
        <v>1.5547818779843832E-2</v>
      </c>
      <c r="BC44" s="28">
        <f>IF(('Activity data'!BC13*EF!$H44*EF!AB62)*NtoN2O*kgtoGg=0,"NO",('Activity data'!BC13*EF!$H44*EF!AB62)*NtoN2O*kgtoGg)</f>
        <v>1.5570224487070797E-2</v>
      </c>
      <c r="BD44" s="28">
        <f>IF(('Activity data'!BD13*EF!$H44*EF!AC62)*NtoN2O*kgtoGg=0,"NO",('Activity data'!BD13*EF!$H44*EF!AC62)*NtoN2O*kgtoGg)</f>
        <v>1.5594399014227253E-2</v>
      </c>
      <c r="BE44" s="28">
        <f>IF(('Activity data'!BE13*EF!$H44*EF!AD62)*NtoN2O*kgtoGg=0,"NO",('Activity data'!BE13*EF!$H44*EF!AD62)*NtoN2O*kgtoGg)</f>
        <v>1.5620273295013296E-2</v>
      </c>
      <c r="BF44" s="28">
        <f>IF(('Activity data'!BF13*EF!$H44*EF!AE62)*NtoN2O*kgtoGg=0,"NO",('Activity data'!BF13*EF!$H44*EF!AE62)*NtoN2O*kgtoGg)</f>
        <v>1.5647783514700201E-2</v>
      </c>
      <c r="BG44" s="28">
        <f>IF(('Activity data'!BG13*EF!$H44*EF!AF62)*NtoN2O*kgtoGg=0,"NO",('Activity data'!BG13*EF!$H44*EF!AF62)*NtoN2O*kgtoGg)</f>
        <v>1.5659592232765602E-2</v>
      </c>
      <c r="BH44" s="28">
        <f>IF(('Activity data'!BH13*EF!$H44*EF!AG62)*NtoN2O*kgtoGg=0,"NO",('Activity data'!BH13*EF!$H44*EF!AG62)*NtoN2O*kgtoGg)</f>
        <v>1.5672874713872142E-2</v>
      </c>
      <c r="BI44" s="28">
        <f>IF(('Activity data'!BI13*EF!$H44*EF!AH62)*NtoN2O*kgtoGg=0,"NO",('Activity data'!BI13*EF!$H44*EF!AH62)*NtoN2O*kgtoGg)</f>
        <v>1.5687575397224301E-2</v>
      </c>
      <c r="BJ44" s="28">
        <f>IF(('Activity data'!BJ13*EF!$H44*EF!AI62)*NtoN2O*kgtoGg=0,"NO",('Activity data'!BJ13*EF!$H44*EF!AI62)*NtoN2O*kgtoGg)</f>
        <v>1.5703642533627795E-2</v>
      </c>
      <c r="BK44" s="28">
        <f>IF(('Activity data'!BK13*EF!$H44*EF!AJ62)*NtoN2O*kgtoGg=0,"NO",('Activity data'!BK13*EF!$H44*EF!AJ62)*NtoN2O*kgtoGg)</f>
        <v>1.5721027858938724E-2</v>
      </c>
      <c r="BL44" s="28">
        <f>IF(('Activity data'!BL13*EF!$H44*EF!AK62)*NtoN2O*kgtoGg=0,"NO",('Activity data'!BL13*EF!$H44*EF!AK62)*NtoN2O*kgtoGg)</f>
        <v>1.572238426100139E-2</v>
      </c>
      <c r="BM44" s="28">
        <f>IF(('Activity data'!BM13*EF!$H44*EF!AL62)*NtoN2O*kgtoGg=0,"NO",('Activity data'!BM13*EF!$H44*EF!AL62)*NtoN2O*kgtoGg)</f>
        <v>1.5724946955034496E-2</v>
      </c>
      <c r="BN44" s="28">
        <f>IF(('Activity data'!BN13*EF!$H44*EF!AM62)*NtoN2O*kgtoGg=0,"NO",('Activity data'!BN13*EF!$H44*EF!AM62)*NtoN2O*kgtoGg)</f>
        <v>1.5728672619393889E-2</v>
      </c>
      <c r="BO44" s="28">
        <f>IF(('Activity data'!BO13*EF!$H44*EF!AN62)*NtoN2O*kgtoGg=0,"NO",('Activity data'!BO13*EF!$H44*EF!AN62)*NtoN2O*kgtoGg)</f>
        <v>1.5733520584102465E-2</v>
      </c>
      <c r="BP44" s="28">
        <f>IF(('Activity data'!BP13*EF!$H44*EF!AO62)*NtoN2O*kgtoGg=0,"NO",('Activity data'!BP13*EF!$H44*EF!AO62)*NtoN2O*kgtoGg)</f>
        <v>1.5739452625419498E-2</v>
      </c>
    </row>
    <row r="45" spans="1:68" x14ac:dyDescent="0.25">
      <c r="A45" t="str">
        <f t="shared" si="1"/>
        <v>3A Livestock</v>
      </c>
      <c r="B45" t="str">
        <f t="shared" si="11"/>
        <v>3A2 Manure management (N2O)</v>
      </c>
      <c r="C45" t="str">
        <f>EF!C63</f>
        <v>3A1d Goats</v>
      </c>
      <c r="D45" t="str">
        <f>EF!D63</f>
        <v>Subsistence</v>
      </c>
      <c r="E45" t="str">
        <f t="shared" si="9"/>
        <v>Manure management Emissions</v>
      </c>
      <c r="F45" t="s">
        <v>139</v>
      </c>
      <c r="G45" t="str">
        <f t="shared" si="10"/>
        <v>Gg N2O</v>
      </c>
      <c r="H45" s="28">
        <f>IF(('Activity data'!H14*EF!$H45*EF!$H63)*NtoN2O*kgtoGg=0,"NO",('Activity data'!H14*EF!$H45*EF!$H63)*NtoN2O*kgtoGg)</f>
        <v>0.15674707216898293</v>
      </c>
      <c r="I45" s="28">
        <f>IF(('Activity data'!I14*EF!$H45*EF!$H63)*NtoN2O*kgtoGg=0,"NO",('Activity data'!I14*EF!$H45*EF!$H63)*NtoN2O*kgtoGg)</f>
        <v>0.13860871233976757</v>
      </c>
      <c r="J45" s="28">
        <f>IF(('Activity data'!J14*EF!$H45*EF!$H63)*NtoN2O*kgtoGg=0,"NO",('Activity data'!J14*EF!$H45*EF!$H63)*NtoN2O*kgtoGg)</f>
        <v>0.12911573897120623</v>
      </c>
      <c r="K45" s="28">
        <f>IF(('Activity data'!K14*EF!$H45*EF!$H63)*NtoN2O*kgtoGg=0,"NO",('Activity data'!K14*EF!$H45*EF!$H63)*NtoN2O*kgtoGg)</f>
        <v>0.12199600894478523</v>
      </c>
      <c r="L45" s="28">
        <f>IF(('Activity data'!L14*EF!$H45*EF!$H63)*NtoN2O*kgtoGg=0,"NO",('Activity data'!L14*EF!$H45*EF!$H63)*NtoN2O*kgtoGg)</f>
        <v>0.13205404025195139</v>
      </c>
      <c r="M45" s="28">
        <f>IF(('Activity data'!M14*EF!$H45*EF!$H63)*NtoN2O*kgtoGg=0,"NO",('Activity data'!M14*EF!$H45*EF!$H63)*NtoN2O*kgtoGg)</f>
        <v>0.13386222565548689</v>
      </c>
      <c r="N45" s="28">
        <f>IF(('Activity data'!N14*EF!$H45*EF!$H63)*NtoN2O*kgtoGg=0,"NO",('Activity data'!N14*EF!$H45*EF!$H63)*NtoN2O*kgtoGg)</f>
        <v>0.13595294002832481</v>
      </c>
      <c r="O45" s="28">
        <f>IF(('Activity data'!O14*EF!$H45*EF!$H63)*NtoN2O*kgtoGg=0,"NO",('Activity data'!O14*EF!$H45*EF!$H63)*NtoN2O*kgtoGg)</f>
        <v>0.13527487050199902</v>
      </c>
      <c r="P45" s="28">
        <f>IF(('Activity data'!P14*EF!$H45*EF!$H63)*NtoN2O*kgtoGg=0,"NO",('Activity data'!P14*EF!$H45*EF!$H63)*NtoN2O*kgtoGg)</f>
        <v>0.13335367351074254</v>
      </c>
      <c r="Q45" s="28">
        <f>IF(('Activity data'!Q14*EF!$H45*EF!$H63)*NtoN2O*kgtoGg=0,"NO",('Activity data'!Q14*EF!$H45*EF!$H63)*NtoN2O*kgtoGg)</f>
        <v>0.1313759707256256</v>
      </c>
      <c r="R45" s="28">
        <f>IF(('Activity data'!R14*EF!$H45*EF!$H63)*NtoN2O*kgtoGg=0,"NO",('Activity data'!R14*EF!$H45*EF!$H63)*NtoN2O*kgtoGg)</f>
        <v>0.13307114454144012</v>
      </c>
      <c r="S45" s="28">
        <f>IF(('Activity data'!S14*EF!$H45*EF!$H63)*NtoN2O*kgtoGg=0,"NO",('Activity data'!S14*EF!$H45*EF!$H63)*NtoN2O*kgtoGg)</f>
        <v>0.13713956169939495</v>
      </c>
      <c r="T45" s="28">
        <f>IF(('Activity data'!T14*EF!$H45*EF!$H63)*NtoN2O*kgtoGg=0,"NO",('Activity data'!T14*EF!$H45*EF!$H63)*NtoN2O*kgtoGg)</f>
        <v>0.12521683919483284</v>
      </c>
      <c r="U45" s="28">
        <f>IF(('Activity data'!U14*EF!$H45*EF!$H63)*NtoN2O*kgtoGg=0,"NO",('Activity data'!U14*EF!$H45*EF!$H63)*NtoN2O*kgtoGg)</f>
        <v>0.12205251473864571</v>
      </c>
      <c r="V45" s="28">
        <f>IF(('Activity data'!V14*EF!$H45*EF!$H63)*NtoN2O*kgtoGg=0,"NO",('Activity data'!V14*EF!$H45*EF!$H63)*NtoN2O*kgtoGg)</f>
        <v>0.12227853791408765</v>
      </c>
      <c r="W45" s="28">
        <f>IF(('Activity data'!W14*EF!$H45*EF!$H63)*NtoN2O*kgtoGg=0,"NO",('Activity data'!W14*EF!$H45*EF!$H63)*NtoN2O*kgtoGg)</f>
        <v>0.12069637568599409</v>
      </c>
      <c r="X45" s="28">
        <f>IF(('Activity data'!X14*EF!$H45*EF!$H63)*NtoN2O*kgtoGg=0,"NO",('Activity data'!X14*EF!$H45*EF!$H63)*NtoN2O*kgtoGg)</f>
        <v>0.12323913640971589</v>
      </c>
      <c r="Y45" s="28">
        <f>IF(('Activity data'!Y14*EF!$H45*EF!$H63)*NtoN2O*kgtoGg=0,"NO",('Activity data'!Y14*EF!$H45*EF!$H63)*NtoN2O*kgtoGg)</f>
        <v>0.11956625980878442</v>
      </c>
      <c r="Z45" s="28">
        <f>IF(('Activity data'!Z14*EF!$H45*EF!$H63)*NtoN2O*kgtoGg=0,"NO",('Activity data'!Z14*EF!$H45*EF!$H63)*NtoN2O*kgtoGg)</f>
        <v>0.11945324822106343</v>
      </c>
      <c r="AA45" s="28">
        <f>IF(('Activity data'!AA14*EF!$H45*EF!$H63)*NtoN2O*kgtoGg=0,"NO",('Activity data'!AA14*EF!$H45*EF!$H63)*NtoN2O*kgtoGg)</f>
        <v>0.11736253384822554</v>
      </c>
      <c r="AB45" s="28">
        <f>IF(('Activity data'!AB14*EF!$H45*EF!$H63)*NtoN2O*kgtoGg=0,"NO",('Activity data'!AB14*EF!$H45*EF!$H63)*NtoN2O*kgtoGg)</f>
        <v>0.11594988900171342</v>
      </c>
      <c r="AC45" s="28">
        <f>IF(('Activity data'!AC14*EF!$H45*EF!$H63)*NtoN2O*kgtoGg=0,"NO",('Activity data'!AC14*EF!$H45*EF!$H63)*NtoN2O*kgtoGg)</f>
        <v>0.11487627891836423</v>
      </c>
      <c r="AD45" s="28">
        <f>IF(('Activity data'!AD14*EF!$H45*EF!$H63)*NtoN2O*kgtoGg=0,"NO",('Activity data'!AD14*EF!$H45*EF!$H63)*NtoN2O*kgtoGg)</f>
        <v>0.1148405820648936</v>
      </c>
      <c r="AE45" s="28">
        <f>IF(('Activity data'!AE14*EF!$H45*EF!$H63)*NtoN2O*kgtoGg=0,"NO",('Activity data'!AE14*EF!$H45*EF!$H63)*NtoN2O*kgtoGg)</f>
        <v>0.11514011350567485</v>
      </c>
      <c r="AF45" s="28">
        <f>IF(('Activity data'!AF14*EF!$H45*EF!$H63)*NtoN2O*kgtoGg=0,"NO",('Activity data'!AF14*EF!$H45*EF!$H63)*NtoN2O*kgtoGg)</f>
        <v>0.1155392656833997</v>
      </c>
      <c r="AG45" s="28">
        <f>IF(('Activity data'!AG14*EF!$H45*EF!$H63)*NtoN2O*kgtoGg=0,"NO",('Activity data'!AG14*EF!$H45*EF!$H63)*NtoN2O*kgtoGg)</f>
        <v>0.11602916466089314</v>
      </c>
      <c r="AH45" s="28">
        <f>IF(('Activity data'!AH14*EF!$H45*EF!$H63)*NtoN2O*kgtoGg=0,"NO",('Activity data'!AH14*EF!$H45*EF!$H63)*NtoN2O*kgtoGg)</f>
        <v>0.11661569741548039</v>
      </c>
      <c r="AI45" s="28">
        <f>IF(('Activity data'!AI14*EF!$H45*EF!H63)*NtoN2O*kgtoGg=0,"NO",('Activity data'!AI14*EF!$H45*EF!H63)*NtoN2O*kgtoGg)</f>
        <v>0.11730042478237726</v>
      </c>
      <c r="AJ45" s="28">
        <f>IF(('Activity data'!AJ14*EF!$H45*EF!I63)*NtoN2O*kgtoGg=0,"NO",('Activity data'!AJ14*EF!$H45*EF!I63)*NtoN2O*kgtoGg)</f>
        <v>0.11803252457096508</v>
      </c>
      <c r="AK45" s="28">
        <f>IF(('Activity data'!AK14*EF!$H45*EF!J63)*NtoN2O*kgtoGg=0,"NO",('Activity data'!AK14*EF!$H45*EF!J63)*NtoN2O*kgtoGg)</f>
        <v>0.11880152835445074</v>
      </c>
      <c r="AL45" s="28">
        <f>IF(('Activity data'!AL14*EF!$H45*EF!K63)*NtoN2O*kgtoGg=0,"NO",('Activity data'!AL14*EF!$H45*EF!K63)*NtoN2O*kgtoGg)</f>
        <v>0.11951589909268844</v>
      </c>
      <c r="AM45" s="28">
        <f>IF(('Activity data'!AM14*EF!$H45*EF!L63)*NtoN2O*kgtoGg=0,"NO",('Activity data'!AM14*EF!$H45*EF!L63)*NtoN2O*kgtoGg)</f>
        <v>0.11985067498505422</v>
      </c>
      <c r="AN45" s="28">
        <f>IF(('Activity data'!AN14*EF!$H45*EF!M63)*NtoN2O*kgtoGg=0,"NO",('Activity data'!AN14*EF!$H45*EF!M63)*NtoN2O*kgtoGg)</f>
        <v>0.12021777530813667</v>
      </c>
      <c r="AO45" s="28">
        <f>IF(('Activity data'!AO14*EF!$H45*EF!N63)*NtoN2O*kgtoGg=0,"NO",('Activity data'!AO14*EF!$H45*EF!N63)*NtoN2O*kgtoGg)</f>
        <v>0.12061766592151543</v>
      </c>
      <c r="AP45" s="28">
        <f>IF(('Activity data'!AP14*EF!$H45*EF!O63)*NtoN2O*kgtoGg=0,"NO",('Activity data'!AP14*EF!$H45*EF!O63)*NtoN2O*kgtoGg)</f>
        <v>0.12105257842845937</v>
      </c>
      <c r="AQ45" s="28">
        <f>IF(('Activity data'!AQ14*EF!$H45*EF!P63)*NtoN2O*kgtoGg=0,"NO",('Activity data'!AQ14*EF!$H45*EF!P63)*NtoN2O*kgtoGg)</f>
        <v>0.12151665723251566</v>
      </c>
      <c r="AR45" s="28">
        <f>IF(('Activity data'!AR14*EF!$H45*EF!Q63)*NtoN2O*kgtoGg=0,"NO",('Activity data'!AR14*EF!$H45*EF!Q63)*NtoN2O*kgtoGg)</f>
        <v>0.12180999913638614</v>
      </c>
      <c r="AS45" s="28">
        <f>IF(('Activity data'!AS14*EF!$H45*EF!R63)*NtoN2O*kgtoGg=0,"NO",('Activity data'!AS14*EF!$H45*EF!R63)*NtoN2O*kgtoGg)</f>
        <v>0.12212738015958056</v>
      </c>
      <c r="AT45" s="28">
        <f>IF(('Activity data'!AT14*EF!$H45*EF!S63)*NtoN2O*kgtoGg=0,"NO",('Activity data'!AT14*EF!$H45*EF!S63)*NtoN2O*kgtoGg)</f>
        <v>0.12247011332796476</v>
      </c>
      <c r="AU45" s="28">
        <f>IF(('Activity data'!AU14*EF!$H45*EF!T63)*NtoN2O*kgtoGg=0,"NO",('Activity data'!AU14*EF!$H45*EF!T63)*NtoN2O*kgtoGg)</f>
        <v>0.12283348022846115</v>
      </c>
      <c r="AV45" s="28">
        <f>IF(('Activity data'!AV14*EF!$H45*EF!U63)*NtoN2O*kgtoGg=0,"NO",('Activity data'!AV14*EF!$H45*EF!U63)*NtoN2O*kgtoGg)</f>
        <v>0.12321893436871788</v>
      </c>
      <c r="AW45" s="28">
        <f>IF(('Activity data'!AW14*EF!$H45*EF!V63)*NtoN2O*kgtoGg=0,"NO",('Activity data'!AW14*EF!$H45*EF!V63)*NtoN2O*kgtoGg)</f>
        <v>0.12347138123658526</v>
      </c>
      <c r="AX45" s="28">
        <f>IF(('Activity data'!AX14*EF!$H45*EF!W63)*NtoN2O*kgtoGg=0,"NO",('Activity data'!AX14*EF!$H45*EF!W63)*NtoN2O*kgtoGg)</f>
        <v>0.12374516167400154</v>
      </c>
      <c r="AY45" s="28">
        <f>IF(('Activity data'!AY14*EF!$H45*EF!X63)*NtoN2O*kgtoGg=0,"NO",('Activity data'!AY14*EF!$H45*EF!X63)*NtoN2O*kgtoGg)</f>
        <v>0.12403796116906533</v>
      </c>
      <c r="AZ45" s="28">
        <f>IF(('Activity data'!AZ14*EF!$H45*EF!Y63)*NtoN2O*kgtoGg=0,"NO",('Activity data'!AZ14*EF!$H45*EF!Y63)*NtoN2O*kgtoGg)</f>
        <v>0.12431666349684663</v>
      </c>
      <c r="BA45" s="28">
        <f>IF(('Activity data'!BA14*EF!$H45*EF!Z63)*NtoN2O*kgtoGg=0,"NO",('Activity data'!BA14*EF!$H45*EF!Z63)*NtoN2O*kgtoGg)</f>
        <v>0.12309833034059625</v>
      </c>
      <c r="BB45" s="28">
        <f>IF(('Activity data'!BB14*EF!$H45*EF!AA63)*NtoN2O*kgtoGg=0,"NO",('Activity data'!BB14*EF!$H45*EF!AA63)*NtoN2O*kgtoGg)</f>
        <v>0.12326134365006759</v>
      </c>
      <c r="BC45" s="28">
        <f>IF(('Activity data'!BC14*EF!$H45*EF!AB63)*NtoN2O*kgtoGg=0,"NO",('Activity data'!BC14*EF!$H45*EF!AB63)*NtoN2O*kgtoGg)</f>
        <v>0.12343897355541526</v>
      </c>
      <c r="BD45" s="28">
        <f>IF(('Activity data'!BD14*EF!$H45*EF!AC63)*NtoN2O*kgtoGg=0,"NO",('Activity data'!BD14*EF!$H45*EF!AC63)*NtoN2O*kgtoGg)</f>
        <v>0.12363062646452125</v>
      </c>
      <c r="BE45" s="28">
        <f>IF(('Activity data'!BE14*EF!$H45*EF!AD63)*NtoN2O*kgtoGg=0,"NO",('Activity data'!BE14*EF!$H45*EF!AD63)*NtoN2O*kgtoGg)</f>
        <v>0.12383575482759435</v>
      </c>
      <c r="BF45" s="28">
        <f>IF(('Activity data'!BF14*EF!$H45*EF!AE63)*NtoN2O*kgtoGg=0,"NO",('Activity data'!BF14*EF!$H45*EF!AE63)*NtoN2O*kgtoGg)</f>
        <v>0.12405385272870395</v>
      </c>
      <c r="BG45" s="28">
        <f>IF(('Activity data'!BG14*EF!$H45*EF!AF63)*NtoN2O*kgtoGg=0,"NO",('Activity data'!BG14*EF!$H45*EF!AF63)*NtoN2O*kgtoGg)</f>
        <v>0.12414747090602753</v>
      </c>
      <c r="BH45" s="28">
        <f>IF(('Activity data'!BH14*EF!$H45*EF!AG63)*NtoN2O*kgtoGg=0,"NO",('Activity data'!BH14*EF!$H45*EF!AG63)*NtoN2O*kgtoGg)</f>
        <v>0.12425277290956782</v>
      </c>
      <c r="BI45" s="28">
        <f>IF(('Activity data'!BI14*EF!$H45*EF!AH63)*NtoN2O*kgtoGg=0,"NO",('Activity data'!BI14*EF!$H45*EF!AH63)*NtoN2O*kgtoGg)</f>
        <v>0.12436931825964037</v>
      </c>
      <c r="BJ45" s="28">
        <f>IF(('Activity data'!BJ14*EF!$H45*EF!AI63)*NtoN2O*kgtoGg=0,"NO",('Activity data'!BJ14*EF!$H45*EF!AI63)*NtoN2O*kgtoGg)</f>
        <v>0.12449669669450293</v>
      </c>
      <c r="BK45" s="28">
        <f>IF(('Activity data'!BK14*EF!$H45*EF!AJ63)*NtoN2O*kgtoGg=0,"NO",('Activity data'!BK14*EF!$H45*EF!AJ63)*NtoN2O*kgtoGg)</f>
        <v>0.12463452558149747</v>
      </c>
      <c r="BL45" s="28">
        <f>IF(('Activity data'!BL14*EF!$H45*EF!AK63)*NtoN2O*kgtoGg=0,"NO",('Activity data'!BL14*EF!$H45*EF!AK63)*NtoN2O*kgtoGg)</f>
        <v>0.12464527898318946</v>
      </c>
      <c r="BM45" s="28">
        <f>IF(('Activity data'!BM14*EF!$H45*EF!AL63)*NtoN2O*kgtoGg=0,"NO",('Activity data'!BM14*EF!$H45*EF!AL63)*NtoN2O*kgtoGg)</f>
        <v>0.12466559573078972</v>
      </c>
      <c r="BN45" s="28">
        <f>IF(('Activity data'!BN14*EF!$H45*EF!AM63)*NtoN2O*kgtoGg=0,"NO",('Activity data'!BN14*EF!$H45*EF!AM63)*NtoN2O*kgtoGg)</f>
        <v>0.12469513237521754</v>
      </c>
      <c r="BO45" s="28">
        <f>IF(('Activity data'!BO14*EF!$H45*EF!AN63)*NtoN2O*kgtoGg=0,"NO",('Activity data'!BO14*EF!$H45*EF!AN63)*NtoN2O*kgtoGg)</f>
        <v>0.1247335664895077</v>
      </c>
      <c r="BP45" s="28">
        <f>IF(('Activity data'!BP14*EF!$H45*EF!AO63)*NtoN2O*kgtoGg=0,"NO",('Activity data'!BP14*EF!$H45*EF!AO63)*NtoN2O*kgtoGg)</f>
        <v>0.12478059504017958</v>
      </c>
    </row>
    <row r="46" spans="1:68" x14ac:dyDescent="0.25">
      <c r="A46" t="str">
        <f t="shared" si="1"/>
        <v>3A Livestock</v>
      </c>
      <c r="B46" t="str">
        <f t="shared" si="11"/>
        <v>3A2 Manure management (N2O)</v>
      </c>
      <c r="C46" t="str">
        <f>EF!C64</f>
        <v>3A1f Horses</v>
      </c>
      <c r="D46" t="str">
        <f>EF!D64</f>
        <v>Horses</v>
      </c>
      <c r="E46" t="str">
        <f t="shared" si="9"/>
        <v>Manure management Emissions</v>
      </c>
      <c r="F46" t="s">
        <v>139</v>
      </c>
      <c r="G46" t="str">
        <f t="shared" si="10"/>
        <v>Gg N2O</v>
      </c>
      <c r="H46" s="28" t="str">
        <f>IF(('Activity data'!H15*EF!$H46*EF!$H64)*NtoN2O*kgtoGg=0,"NO",('Activity data'!H15*EF!$H46*EF!$H64)*NtoN2O*kgtoGg)</f>
        <v>NO</v>
      </c>
      <c r="I46" s="28" t="str">
        <f>IF(('Activity data'!I15*EF!$H46*EF!$H64)*NtoN2O*kgtoGg=0,"NO",('Activity data'!I15*EF!$H46*EF!$H64)*NtoN2O*kgtoGg)</f>
        <v>NO</v>
      </c>
      <c r="J46" s="28" t="str">
        <f>IF(('Activity data'!J15*EF!$H46*EF!$H64)*NtoN2O*kgtoGg=0,"NO",('Activity data'!J15*EF!$H46*EF!$H64)*NtoN2O*kgtoGg)</f>
        <v>NO</v>
      </c>
      <c r="K46" s="28" t="str">
        <f>IF(('Activity data'!K15*EF!$H46*EF!$H64)*NtoN2O*kgtoGg=0,"NO",('Activity data'!K15*EF!$H46*EF!$H64)*NtoN2O*kgtoGg)</f>
        <v>NO</v>
      </c>
      <c r="L46" s="28" t="str">
        <f>IF(('Activity data'!L15*EF!$H46*EF!$H64)*NtoN2O*kgtoGg=0,"NO",('Activity data'!L15*EF!$H46*EF!$H64)*NtoN2O*kgtoGg)</f>
        <v>NO</v>
      </c>
      <c r="M46" s="28" t="str">
        <f>IF(('Activity data'!M15*EF!$H46*EF!$H64)*NtoN2O*kgtoGg=0,"NO",('Activity data'!M15*EF!$H46*EF!$H64)*NtoN2O*kgtoGg)</f>
        <v>NO</v>
      </c>
      <c r="N46" s="28" t="str">
        <f>IF(('Activity data'!N15*EF!$H46*EF!$H64)*NtoN2O*kgtoGg=0,"NO",('Activity data'!N15*EF!$H46*EF!$H64)*NtoN2O*kgtoGg)</f>
        <v>NO</v>
      </c>
      <c r="O46" s="28" t="str">
        <f>IF(('Activity data'!O15*EF!$H46*EF!$H64)*NtoN2O*kgtoGg=0,"NO",('Activity data'!O15*EF!$H46*EF!$H64)*NtoN2O*kgtoGg)</f>
        <v>NO</v>
      </c>
      <c r="P46" s="28" t="str">
        <f>IF(('Activity data'!P15*EF!$H46*EF!$H64)*NtoN2O*kgtoGg=0,"NO",('Activity data'!P15*EF!$H46*EF!$H64)*NtoN2O*kgtoGg)</f>
        <v>NO</v>
      </c>
      <c r="Q46" s="28" t="str">
        <f>IF(('Activity data'!Q15*EF!$H46*EF!$H64)*NtoN2O*kgtoGg=0,"NO",('Activity data'!Q15*EF!$H46*EF!$H64)*NtoN2O*kgtoGg)</f>
        <v>NO</v>
      </c>
      <c r="R46" s="28" t="str">
        <f>IF(('Activity data'!R15*EF!$H46*EF!$H64)*NtoN2O*kgtoGg=0,"NO",('Activity data'!R15*EF!$H46*EF!$H64)*NtoN2O*kgtoGg)</f>
        <v>NO</v>
      </c>
      <c r="S46" s="28" t="str">
        <f>IF(('Activity data'!S15*EF!$H46*EF!$H64)*NtoN2O*kgtoGg=0,"NO",('Activity data'!S15*EF!$H46*EF!$H64)*NtoN2O*kgtoGg)</f>
        <v>NO</v>
      </c>
      <c r="T46" s="28" t="str">
        <f>IF(('Activity data'!T15*EF!$H46*EF!$H64)*NtoN2O*kgtoGg=0,"NO",('Activity data'!T15*EF!$H46*EF!$H64)*NtoN2O*kgtoGg)</f>
        <v>NO</v>
      </c>
      <c r="U46" s="28" t="str">
        <f>IF(('Activity data'!U15*EF!$H46*EF!$H64)*NtoN2O*kgtoGg=0,"NO",('Activity data'!U15*EF!$H46*EF!$H64)*NtoN2O*kgtoGg)</f>
        <v>NO</v>
      </c>
      <c r="V46" s="28" t="str">
        <f>IF(('Activity data'!V15*EF!$H46*EF!$H64)*NtoN2O*kgtoGg=0,"NO",('Activity data'!V15*EF!$H46*EF!$H64)*NtoN2O*kgtoGg)</f>
        <v>NO</v>
      </c>
      <c r="W46" s="28" t="str">
        <f>IF(('Activity data'!W15*EF!$H46*EF!$H64)*NtoN2O*kgtoGg=0,"NO",('Activity data'!W15*EF!$H46*EF!$H64)*NtoN2O*kgtoGg)</f>
        <v>NO</v>
      </c>
      <c r="X46" s="28" t="str">
        <f>IF(('Activity data'!X15*EF!$H46*EF!$H64)*NtoN2O*kgtoGg=0,"NO",('Activity data'!X15*EF!$H46*EF!$H64)*NtoN2O*kgtoGg)</f>
        <v>NO</v>
      </c>
      <c r="Y46" s="28" t="str">
        <f>IF(('Activity data'!Y15*EF!$H46*EF!$H64)*NtoN2O*kgtoGg=0,"NO",('Activity data'!Y15*EF!$H46*EF!$H64)*NtoN2O*kgtoGg)</f>
        <v>NO</v>
      </c>
      <c r="Z46" s="28" t="str">
        <f>IF(('Activity data'!Z15*EF!$H46*EF!$H64)*NtoN2O*kgtoGg=0,"NO",('Activity data'!Z15*EF!$H46*EF!$H64)*NtoN2O*kgtoGg)</f>
        <v>NO</v>
      </c>
      <c r="AA46" s="28" t="str">
        <f>IF(('Activity data'!AA15*EF!$H46*EF!$H64)*NtoN2O*kgtoGg=0,"NO",('Activity data'!AA15*EF!$H46*EF!$H64)*NtoN2O*kgtoGg)</f>
        <v>NO</v>
      </c>
      <c r="AB46" s="28" t="str">
        <f>IF(('Activity data'!AB15*EF!$H46*EF!$H64)*NtoN2O*kgtoGg=0,"NO",('Activity data'!AB15*EF!$H46*EF!$H64)*NtoN2O*kgtoGg)</f>
        <v>NO</v>
      </c>
      <c r="AC46" s="28" t="str">
        <f>IF(('Activity data'!AC15*EF!$H46*EF!$H64)*NtoN2O*kgtoGg=0,"NO",('Activity data'!AC15*EF!$H46*EF!$H64)*NtoN2O*kgtoGg)</f>
        <v>NO</v>
      </c>
      <c r="AD46" s="28" t="str">
        <f>IF(('Activity data'!AD15*EF!$H46*EF!$H64)*NtoN2O*kgtoGg=0,"NO",('Activity data'!AD15*EF!$H46*EF!$H64)*NtoN2O*kgtoGg)</f>
        <v>NO</v>
      </c>
      <c r="AE46" s="28" t="str">
        <f>IF(('Activity data'!AE15*EF!$H46*EF!$H64)*NtoN2O*kgtoGg=0,"NO",('Activity data'!AE15*EF!$H46*EF!$H64)*NtoN2O*kgtoGg)</f>
        <v>NO</v>
      </c>
      <c r="AF46" s="28" t="str">
        <f>IF(('Activity data'!AF15*EF!$H46*EF!$H64)*NtoN2O*kgtoGg=0,"NO",('Activity data'!AF15*EF!$H46*EF!$H64)*NtoN2O*kgtoGg)</f>
        <v>NO</v>
      </c>
      <c r="AG46" s="28" t="str">
        <f>IF(('Activity data'!AG15*EF!$H46*EF!$H64)*NtoN2O*kgtoGg=0,"NO",('Activity data'!AG15*EF!$H46*EF!$H64)*NtoN2O*kgtoGg)</f>
        <v>NO</v>
      </c>
      <c r="AH46" s="28" t="str">
        <f>IF(('Activity data'!AH15*EF!$H46*EF!$H64)*NtoN2O*kgtoGg=0,"NO",('Activity data'!AH15*EF!$H46*EF!$H64)*NtoN2O*kgtoGg)</f>
        <v>NO</v>
      </c>
      <c r="AI46" s="28" t="str">
        <f>IF(('Activity data'!AI15*EF!$H46*EF!H64)*NtoN2O*kgtoGg=0,"NO",('Activity data'!AI15*EF!$H46*EF!H64)*NtoN2O*kgtoGg)</f>
        <v>NO</v>
      </c>
      <c r="AJ46" s="28" t="str">
        <f>IF(('Activity data'!AJ15*EF!$H46*EF!I64)*NtoN2O*kgtoGg=0,"NO",('Activity data'!AJ15*EF!$H46*EF!I64)*NtoN2O*kgtoGg)</f>
        <v>NO</v>
      </c>
      <c r="AK46" s="28" t="str">
        <f>IF(('Activity data'!AK15*EF!$H46*EF!J64)*NtoN2O*kgtoGg=0,"NO",('Activity data'!AK15*EF!$H46*EF!J64)*NtoN2O*kgtoGg)</f>
        <v>NO</v>
      </c>
      <c r="AL46" s="28" t="str">
        <f>IF(('Activity data'!AL15*EF!$H46*EF!K64)*NtoN2O*kgtoGg=0,"NO",('Activity data'!AL15*EF!$H46*EF!K64)*NtoN2O*kgtoGg)</f>
        <v>NO</v>
      </c>
      <c r="AM46" s="28" t="str">
        <f>IF(('Activity data'!AM15*EF!$H46*EF!L64)*NtoN2O*kgtoGg=0,"NO",('Activity data'!AM15*EF!$H46*EF!L64)*NtoN2O*kgtoGg)</f>
        <v>NO</v>
      </c>
      <c r="AN46" s="28" t="str">
        <f>IF(('Activity data'!AN15*EF!$H46*EF!M64)*NtoN2O*kgtoGg=0,"NO",('Activity data'!AN15*EF!$H46*EF!M64)*NtoN2O*kgtoGg)</f>
        <v>NO</v>
      </c>
      <c r="AO46" s="28" t="str">
        <f>IF(('Activity data'!AO15*EF!$H46*EF!N64)*NtoN2O*kgtoGg=0,"NO",('Activity data'!AO15*EF!$H46*EF!N64)*NtoN2O*kgtoGg)</f>
        <v>NO</v>
      </c>
      <c r="AP46" s="28" t="str">
        <f>IF(('Activity data'!AP15*EF!$H46*EF!O64)*NtoN2O*kgtoGg=0,"NO",('Activity data'!AP15*EF!$H46*EF!O64)*NtoN2O*kgtoGg)</f>
        <v>NO</v>
      </c>
      <c r="AQ46" s="28" t="str">
        <f>IF(('Activity data'!AQ15*EF!$H46*EF!P64)*NtoN2O*kgtoGg=0,"NO",('Activity data'!AQ15*EF!$H46*EF!P64)*NtoN2O*kgtoGg)</f>
        <v>NO</v>
      </c>
      <c r="AR46" s="28" t="str">
        <f>IF(('Activity data'!AR15*EF!$H46*EF!Q64)*NtoN2O*kgtoGg=0,"NO",('Activity data'!AR15*EF!$H46*EF!Q64)*NtoN2O*kgtoGg)</f>
        <v>NO</v>
      </c>
      <c r="AS46" s="28" t="str">
        <f>IF(('Activity data'!AS15*EF!$H46*EF!R64)*NtoN2O*kgtoGg=0,"NO",('Activity data'!AS15*EF!$H46*EF!R64)*NtoN2O*kgtoGg)</f>
        <v>NO</v>
      </c>
      <c r="AT46" s="28" t="str">
        <f>IF(('Activity data'!AT15*EF!$H46*EF!S64)*NtoN2O*kgtoGg=0,"NO",('Activity data'!AT15*EF!$H46*EF!S64)*NtoN2O*kgtoGg)</f>
        <v>NO</v>
      </c>
      <c r="AU46" s="28" t="str">
        <f>IF(('Activity data'!AU15*EF!$H46*EF!T64)*NtoN2O*kgtoGg=0,"NO",('Activity data'!AU15*EF!$H46*EF!T64)*NtoN2O*kgtoGg)</f>
        <v>NO</v>
      </c>
      <c r="AV46" s="28" t="str">
        <f>IF(('Activity data'!AV15*EF!$H46*EF!U64)*NtoN2O*kgtoGg=0,"NO",('Activity data'!AV15*EF!$H46*EF!U64)*NtoN2O*kgtoGg)</f>
        <v>NO</v>
      </c>
      <c r="AW46" s="28" t="str">
        <f>IF(('Activity data'!AW15*EF!$H46*EF!V64)*NtoN2O*kgtoGg=0,"NO",('Activity data'!AW15*EF!$H46*EF!V64)*NtoN2O*kgtoGg)</f>
        <v>NO</v>
      </c>
      <c r="AX46" s="28" t="str">
        <f>IF(('Activity data'!AX15*EF!$H46*EF!W64)*NtoN2O*kgtoGg=0,"NO",('Activity data'!AX15*EF!$H46*EF!W64)*NtoN2O*kgtoGg)</f>
        <v>NO</v>
      </c>
      <c r="AY46" s="28" t="str">
        <f>IF(('Activity data'!AY15*EF!$H46*EF!X64)*NtoN2O*kgtoGg=0,"NO",('Activity data'!AY15*EF!$H46*EF!X64)*NtoN2O*kgtoGg)</f>
        <v>NO</v>
      </c>
      <c r="AZ46" s="28" t="str">
        <f>IF(('Activity data'!AZ15*EF!$H46*EF!Y64)*NtoN2O*kgtoGg=0,"NO",('Activity data'!AZ15*EF!$H46*EF!Y64)*NtoN2O*kgtoGg)</f>
        <v>NO</v>
      </c>
      <c r="BA46" s="28" t="str">
        <f>IF(('Activity data'!BA15*EF!$H46*EF!Z64)*NtoN2O*kgtoGg=0,"NO",('Activity data'!BA15*EF!$H46*EF!Z64)*NtoN2O*kgtoGg)</f>
        <v>NO</v>
      </c>
      <c r="BB46" s="28" t="str">
        <f>IF(('Activity data'!BB15*EF!$H46*EF!AA64)*NtoN2O*kgtoGg=0,"NO",('Activity data'!BB15*EF!$H46*EF!AA64)*NtoN2O*kgtoGg)</f>
        <v>NO</v>
      </c>
      <c r="BC46" s="28" t="str">
        <f>IF(('Activity data'!BC15*EF!$H46*EF!AB64)*NtoN2O*kgtoGg=0,"NO",('Activity data'!BC15*EF!$H46*EF!AB64)*NtoN2O*kgtoGg)</f>
        <v>NO</v>
      </c>
      <c r="BD46" s="28" t="str">
        <f>IF(('Activity data'!BD15*EF!$H46*EF!AC64)*NtoN2O*kgtoGg=0,"NO",('Activity data'!BD15*EF!$H46*EF!AC64)*NtoN2O*kgtoGg)</f>
        <v>NO</v>
      </c>
      <c r="BE46" s="28" t="str">
        <f>IF(('Activity data'!BE15*EF!$H46*EF!AD64)*NtoN2O*kgtoGg=0,"NO",('Activity data'!BE15*EF!$H46*EF!AD64)*NtoN2O*kgtoGg)</f>
        <v>NO</v>
      </c>
      <c r="BF46" s="28" t="str">
        <f>IF(('Activity data'!BF15*EF!$H46*EF!AE64)*NtoN2O*kgtoGg=0,"NO",('Activity data'!BF15*EF!$H46*EF!AE64)*NtoN2O*kgtoGg)</f>
        <v>NO</v>
      </c>
      <c r="BG46" s="28" t="str">
        <f>IF(('Activity data'!BG15*EF!$H46*EF!AF64)*NtoN2O*kgtoGg=0,"NO",('Activity data'!BG15*EF!$H46*EF!AF64)*NtoN2O*kgtoGg)</f>
        <v>NO</v>
      </c>
      <c r="BH46" s="28" t="str">
        <f>IF(('Activity data'!BH15*EF!$H46*EF!AG64)*NtoN2O*kgtoGg=0,"NO",('Activity data'!BH15*EF!$H46*EF!AG64)*NtoN2O*kgtoGg)</f>
        <v>NO</v>
      </c>
      <c r="BI46" s="28" t="str">
        <f>IF(('Activity data'!BI15*EF!$H46*EF!AH64)*NtoN2O*kgtoGg=0,"NO",('Activity data'!BI15*EF!$H46*EF!AH64)*NtoN2O*kgtoGg)</f>
        <v>NO</v>
      </c>
      <c r="BJ46" s="28" t="str">
        <f>IF(('Activity data'!BJ15*EF!$H46*EF!AI64)*NtoN2O*kgtoGg=0,"NO",('Activity data'!BJ15*EF!$H46*EF!AI64)*NtoN2O*kgtoGg)</f>
        <v>NO</v>
      </c>
      <c r="BK46" s="28" t="str">
        <f>IF(('Activity data'!BK15*EF!$H46*EF!AJ64)*NtoN2O*kgtoGg=0,"NO",('Activity data'!BK15*EF!$H46*EF!AJ64)*NtoN2O*kgtoGg)</f>
        <v>NO</v>
      </c>
      <c r="BL46" s="28" t="str">
        <f>IF(('Activity data'!BL15*EF!$H46*EF!AK64)*NtoN2O*kgtoGg=0,"NO",('Activity data'!BL15*EF!$H46*EF!AK64)*NtoN2O*kgtoGg)</f>
        <v>NO</v>
      </c>
      <c r="BM46" s="28" t="str">
        <f>IF(('Activity data'!BM15*EF!$H46*EF!AL64)*NtoN2O*kgtoGg=0,"NO",('Activity data'!BM15*EF!$H46*EF!AL64)*NtoN2O*kgtoGg)</f>
        <v>NO</v>
      </c>
      <c r="BN46" s="28" t="str">
        <f>IF(('Activity data'!BN15*EF!$H46*EF!AM64)*NtoN2O*kgtoGg=0,"NO",('Activity data'!BN15*EF!$H46*EF!AM64)*NtoN2O*kgtoGg)</f>
        <v>NO</v>
      </c>
      <c r="BO46" s="28" t="str">
        <f>IF(('Activity data'!BO15*EF!$H46*EF!AN64)*NtoN2O*kgtoGg=0,"NO",('Activity data'!BO15*EF!$H46*EF!AN64)*NtoN2O*kgtoGg)</f>
        <v>NO</v>
      </c>
      <c r="BP46" s="28" t="str">
        <f>IF(('Activity data'!BP15*EF!$H46*EF!AO64)*NtoN2O*kgtoGg=0,"NO",('Activity data'!BP15*EF!$H46*EF!AO64)*NtoN2O*kgtoGg)</f>
        <v>NO</v>
      </c>
    </row>
    <row r="47" spans="1:68" x14ac:dyDescent="0.25">
      <c r="A47" t="str">
        <f t="shared" si="1"/>
        <v>3A Livestock</v>
      </c>
      <c r="B47" t="str">
        <f t="shared" si="11"/>
        <v>3A2 Manure management (N2O)</v>
      </c>
      <c r="C47" t="str">
        <f>EF!C65</f>
        <v>3A1g Mules &amp; asses</v>
      </c>
      <c r="D47" t="str">
        <f>EF!D65</f>
        <v>Mules &amp; Asses</v>
      </c>
      <c r="E47" t="str">
        <f t="shared" si="9"/>
        <v>Manure management Emissions</v>
      </c>
      <c r="F47" t="s">
        <v>139</v>
      </c>
      <c r="G47" t="str">
        <f t="shared" si="10"/>
        <v>Gg N2O</v>
      </c>
      <c r="H47" s="28" t="str">
        <f>IF(('Activity data'!H16*EF!$H47*EF!$H65)*NtoN2O*kgtoGg=0,"NO",('Activity data'!H16*EF!$H47*EF!$H65)*NtoN2O*kgtoGg)</f>
        <v>NO</v>
      </c>
      <c r="I47" s="28" t="str">
        <f>IF(('Activity data'!I16*EF!$H47*EF!$H65)*NtoN2O*kgtoGg=0,"NO",('Activity data'!I16*EF!$H47*EF!$H65)*NtoN2O*kgtoGg)</f>
        <v>NO</v>
      </c>
      <c r="J47" s="28" t="str">
        <f>IF(('Activity data'!J16*EF!$H47*EF!$H65)*NtoN2O*kgtoGg=0,"NO",('Activity data'!J16*EF!$H47*EF!$H65)*NtoN2O*kgtoGg)</f>
        <v>NO</v>
      </c>
      <c r="K47" s="28" t="str">
        <f>IF(('Activity data'!K16*EF!$H47*EF!$H65)*NtoN2O*kgtoGg=0,"NO",('Activity data'!K16*EF!$H47*EF!$H65)*NtoN2O*kgtoGg)</f>
        <v>NO</v>
      </c>
      <c r="L47" s="28" t="str">
        <f>IF(('Activity data'!L16*EF!$H47*EF!$H65)*NtoN2O*kgtoGg=0,"NO",('Activity data'!L16*EF!$H47*EF!$H65)*NtoN2O*kgtoGg)</f>
        <v>NO</v>
      </c>
      <c r="M47" s="28" t="str">
        <f>IF(('Activity data'!M16*EF!$H47*EF!$H65)*NtoN2O*kgtoGg=0,"NO",('Activity data'!M16*EF!$H47*EF!$H65)*NtoN2O*kgtoGg)</f>
        <v>NO</v>
      </c>
      <c r="N47" s="28" t="str">
        <f>IF(('Activity data'!N16*EF!$H47*EF!$H65)*NtoN2O*kgtoGg=0,"NO",('Activity data'!N16*EF!$H47*EF!$H65)*NtoN2O*kgtoGg)</f>
        <v>NO</v>
      </c>
      <c r="O47" s="28" t="str">
        <f>IF(('Activity data'!O16*EF!$H47*EF!$H65)*NtoN2O*kgtoGg=0,"NO",('Activity data'!O16*EF!$H47*EF!$H65)*NtoN2O*kgtoGg)</f>
        <v>NO</v>
      </c>
      <c r="P47" s="28" t="str">
        <f>IF(('Activity data'!P16*EF!$H47*EF!$H65)*NtoN2O*kgtoGg=0,"NO",('Activity data'!P16*EF!$H47*EF!$H65)*NtoN2O*kgtoGg)</f>
        <v>NO</v>
      </c>
      <c r="Q47" s="28" t="str">
        <f>IF(('Activity data'!Q16*EF!$H47*EF!$H65)*NtoN2O*kgtoGg=0,"NO",('Activity data'!Q16*EF!$H47*EF!$H65)*NtoN2O*kgtoGg)</f>
        <v>NO</v>
      </c>
      <c r="R47" s="28" t="str">
        <f>IF(('Activity data'!R16*EF!$H47*EF!$H65)*NtoN2O*kgtoGg=0,"NO",('Activity data'!R16*EF!$H47*EF!$H65)*NtoN2O*kgtoGg)</f>
        <v>NO</v>
      </c>
      <c r="S47" s="28" t="str">
        <f>IF(('Activity data'!S16*EF!$H47*EF!$H65)*NtoN2O*kgtoGg=0,"NO",('Activity data'!S16*EF!$H47*EF!$H65)*NtoN2O*kgtoGg)</f>
        <v>NO</v>
      </c>
      <c r="T47" s="28" t="str">
        <f>IF(('Activity data'!T16*EF!$H47*EF!$H65)*NtoN2O*kgtoGg=0,"NO",('Activity data'!T16*EF!$H47*EF!$H65)*NtoN2O*kgtoGg)</f>
        <v>NO</v>
      </c>
      <c r="U47" s="28" t="str">
        <f>IF(('Activity data'!U16*EF!$H47*EF!$H65)*NtoN2O*kgtoGg=0,"NO",('Activity data'!U16*EF!$H47*EF!$H65)*NtoN2O*kgtoGg)</f>
        <v>NO</v>
      </c>
      <c r="V47" s="28" t="str">
        <f>IF(('Activity data'!V16*EF!$H47*EF!$H65)*NtoN2O*kgtoGg=0,"NO",('Activity data'!V16*EF!$H47*EF!$H65)*NtoN2O*kgtoGg)</f>
        <v>NO</v>
      </c>
      <c r="W47" s="28" t="str">
        <f>IF(('Activity data'!W16*EF!$H47*EF!$H65)*NtoN2O*kgtoGg=0,"NO",('Activity data'!W16*EF!$H47*EF!$H65)*NtoN2O*kgtoGg)</f>
        <v>NO</v>
      </c>
      <c r="X47" s="28" t="str">
        <f>IF(('Activity data'!X16*EF!$H47*EF!$H65)*NtoN2O*kgtoGg=0,"NO",('Activity data'!X16*EF!$H47*EF!$H65)*NtoN2O*kgtoGg)</f>
        <v>NO</v>
      </c>
      <c r="Y47" s="28" t="str">
        <f>IF(('Activity data'!Y16*EF!$H47*EF!$H65)*NtoN2O*kgtoGg=0,"NO",('Activity data'!Y16*EF!$H47*EF!$H65)*NtoN2O*kgtoGg)</f>
        <v>NO</v>
      </c>
      <c r="Z47" s="28" t="str">
        <f>IF(('Activity data'!Z16*EF!$H47*EF!$H65)*NtoN2O*kgtoGg=0,"NO",('Activity data'!Z16*EF!$H47*EF!$H65)*NtoN2O*kgtoGg)</f>
        <v>NO</v>
      </c>
      <c r="AA47" s="28" t="str">
        <f>IF(('Activity data'!AA16*EF!$H47*EF!$H65)*NtoN2O*kgtoGg=0,"NO",('Activity data'!AA16*EF!$H47*EF!$H65)*NtoN2O*kgtoGg)</f>
        <v>NO</v>
      </c>
      <c r="AB47" s="28" t="str">
        <f>IF(('Activity data'!AB16*EF!$H47*EF!$H65)*NtoN2O*kgtoGg=0,"NO",('Activity data'!AB16*EF!$H47*EF!$H65)*NtoN2O*kgtoGg)</f>
        <v>NO</v>
      </c>
      <c r="AC47" s="28" t="str">
        <f>IF(('Activity data'!AC16*EF!$H47*EF!$H65)*NtoN2O*kgtoGg=0,"NO",('Activity data'!AC16*EF!$H47*EF!$H65)*NtoN2O*kgtoGg)</f>
        <v>NO</v>
      </c>
      <c r="AD47" s="28" t="str">
        <f>IF(('Activity data'!AD16*EF!$H47*EF!$H65)*NtoN2O*kgtoGg=0,"NO",('Activity data'!AD16*EF!$H47*EF!$H65)*NtoN2O*kgtoGg)</f>
        <v>NO</v>
      </c>
      <c r="AE47" s="28" t="str">
        <f>IF(('Activity data'!AE16*EF!$H47*EF!$H65)*NtoN2O*kgtoGg=0,"NO",('Activity data'!AE16*EF!$H47*EF!$H65)*NtoN2O*kgtoGg)</f>
        <v>NO</v>
      </c>
      <c r="AF47" s="28" t="str">
        <f>IF(('Activity data'!AF16*EF!$H47*EF!$H65)*NtoN2O*kgtoGg=0,"NO",('Activity data'!AF16*EF!$H47*EF!$H65)*NtoN2O*kgtoGg)</f>
        <v>NO</v>
      </c>
      <c r="AG47" s="28" t="str">
        <f>IF(('Activity data'!AG16*EF!$H47*EF!$H65)*NtoN2O*kgtoGg=0,"NO",('Activity data'!AG16*EF!$H47*EF!$H65)*NtoN2O*kgtoGg)</f>
        <v>NO</v>
      </c>
      <c r="AH47" s="28" t="str">
        <f>IF(('Activity data'!AH16*EF!$H47*EF!$H65)*NtoN2O*kgtoGg=0,"NO",('Activity data'!AH16*EF!$H47*EF!$H65)*NtoN2O*kgtoGg)</f>
        <v>NO</v>
      </c>
      <c r="AI47" s="28" t="str">
        <f>IF(('Activity data'!AI16*EF!$H47*EF!H65)*NtoN2O*kgtoGg=0,"NO",('Activity data'!AI16*EF!$H47*EF!H65)*NtoN2O*kgtoGg)</f>
        <v>NO</v>
      </c>
      <c r="AJ47" s="28" t="str">
        <f>IF(('Activity data'!AJ16*EF!$H47*EF!I65)*NtoN2O*kgtoGg=0,"NO",('Activity data'!AJ16*EF!$H47*EF!I65)*NtoN2O*kgtoGg)</f>
        <v>NO</v>
      </c>
      <c r="AK47" s="28" t="str">
        <f>IF(('Activity data'!AK16*EF!$H47*EF!J65)*NtoN2O*kgtoGg=0,"NO",('Activity data'!AK16*EF!$H47*EF!J65)*NtoN2O*kgtoGg)</f>
        <v>NO</v>
      </c>
      <c r="AL47" s="28" t="str">
        <f>IF(('Activity data'!AL16*EF!$H47*EF!K65)*NtoN2O*kgtoGg=0,"NO",('Activity data'!AL16*EF!$H47*EF!K65)*NtoN2O*kgtoGg)</f>
        <v>NO</v>
      </c>
      <c r="AM47" s="28" t="str">
        <f>IF(('Activity data'!AM16*EF!$H47*EF!L65)*NtoN2O*kgtoGg=0,"NO",('Activity data'!AM16*EF!$H47*EF!L65)*NtoN2O*kgtoGg)</f>
        <v>NO</v>
      </c>
      <c r="AN47" s="28" t="str">
        <f>IF(('Activity data'!AN16*EF!$H47*EF!M65)*NtoN2O*kgtoGg=0,"NO",('Activity data'!AN16*EF!$H47*EF!M65)*NtoN2O*kgtoGg)</f>
        <v>NO</v>
      </c>
      <c r="AO47" s="28" t="str">
        <f>IF(('Activity data'!AO16*EF!$H47*EF!N65)*NtoN2O*kgtoGg=0,"NO",('Activity data'!AO16*EF!$H47*EF!N65)*NtoN2O*kgtoGg)</f>
        <v>NO</v>
      </c>
      <c r="AP47" s="28" t="str">
        <f>IF(('Activity data'!AP16*EF!$H47*EF!O65)*NtoN2O*kgtoGg=0,"NO",('Activity data'!AP16*EF!$H47*EF!O65)*NtoN2O*kgtoGg)</f>
        <v>NO</v>
      </c>
      <c r="AQ47" s="28" t="str">
        <f>IF(('Activity data'!AQ16*EF!$H47*EF!P65)*NtoN2O*kgtoGg=0,"NO",('Activity data'!AQ16*EF!$H47*EF!P65)*NtoN2O*kgtoGg)</f>
        <v>NO</v>
      </c>
      <c r="AR47" s="28" t="str">
        <f>IF(('Activity data'!AR16*EF!$H47*EF!Q65)*NtoN2O*kgtoGg=0,"NO",('Activity data'!AR16*EF!$H47*EF!Q65)*NtoN2O*kgtoGg)</f>
        <v>NO</v>
      </c>
      <c r="AS47" s="28" t="str">
        <f>IF(('Activity data'!AS16*EF!$H47*EF!R65)*NtoN2O*kgtoGg=0,"NO",('Activity data'!AS16*EF!$H47*EF!R65)*NtoN2O*kgtoGg)</f>
        <v>NO</v>
      </c>
      <c r="AT47" s="28" t="str">
        <f>IF(('Activity data'!AT16*EF!$H47*EF!S65)*NtoN2O*kgtoGg=0,"NO",('Activity data'!AT16*EF!$H47*EF!S65)*NtoN2O*kgtoGg)</f>
        <v>NO</v>
      </c>
      <c r="AU47" s="28" t="str">
        <f>IF(('Activity data'!AU16*EF!$H47*EF!T65)*NtoN2O*kgtoGg=0,"NO",('Activity data'!AU16*EF!$H47*EF!T65)*NtoN2O*kgtoGg)</f>
        <v>NO</v>
      </c>
      <c r="AV47" s="28" t="str">
        <f>IF(('Activity data'!AV16*EF!$H47*EF!U65)*NtoN2O*kgtoGg=0,"NO",('Activity data'!AV16*EF!$H47*EF!U65)*NtoN2O*kgtoGg)</f>
        <v>NO</v>
      </c>
      <c r="AW47" s="28" t="str">
        <f>IF(('Activity data'!AW16*EF!$H47*EF!V65)*NtoN2O*kgtoGg=0,"NO",('Activity data'!AW16*EF!$H47*EF!V65)*NtoN2O*kgtoGg)</f>
        <v>NO</v>
      </c>
      <c r="AX47" s="28" t="str">
        <f>IF(('Activity data'!AX16*EF!$H47*EF!W65)*NtoN2O*kgtoGg=0,"NO",('Activity data'!AX16*EF!$H47*EF!W65)*NtoN2O*kgtoGg)</f>
        <v>NO</v>
      </c>
      <c r="AY47" s="28" t="str">
        <f>IF(('Activity data'!AY16*EF!$H47*EF!X65)*NtoN2O*kgtoGg=0,"NO",('Activity data'!AY16*EF!$H47*EF!X65)*NtoN2O*kgtoGg)</f>
        <v>NO</v>
      </c>
      <c r="AZ47" s="28" t="str">
        <f>IF(('Activity data'!AZ16*EF!$H47*EF!Y65)*NtoN2O*kgtoGg=0,"NO",('Activity data'!AZ16*EF!$H47*EF!Y65)*NtoN2O*kgtoGg)</f>
        <v>NO</v>
      </c>
      <c r="BA47" s="28" t="str">
        <f>IF(('Activity data'!BA16*EF!$H47*EF!Z65)*NtoN2O*kgtoGg=0,"NO",('Activity data'!BA16*EF!$H47*EF!Z65)*NtoN2O*kgtoGg)</f>
        <v>NO</v>
      </c>
      <c r="BB47" s="28" t="str">
        <f>IF(('Activity data'!BB16*EF!$H47*EF!AA65)*NtoN2O*kgtoGg=0,"NO",('Activity data'!BB16*EF!$H47*EF!AA65)*NtoN2O*kgtoGg)</f>
        <v>NO</v>
      </c>
      <c r="BC47" s="28" t="str">
        <f>IF(('Activity data'!BC16*EF!$H47*EF!AB65)*NtoN2O*kgtoGg=0,"NO",('Activity data'!BC16*EF!$H47*EF!AB65)*NtoN2O*kgtoGg)</f>
        <v>NO</v>
      </c>
      <c r="BD47" s="28" t="str">
        <f>IF(('Activity data'!BD16*EF!$H47*EF!AC65)*NtoN2O*kgtoGg=0,"NO",('Activity data'!BD16*EF!$H47*EF!AC65)*NtoN2O*kgtoGg)</f>
        <v>NO</v>
      </c>
      <c r="BE47" s="28" t="str">
        <f>IF(('Activity data'!BE16*EF!$H47*EF!AD65)*NtoN2O*kgtoGg=0,"NO",('Activity data'!BE16*EF!$H47*EF!AD65)*NtoN2O*kgtoGg)</f>
        <v>NO</v>
      </c>
      <c r="BF47" s="28" t="str">
        <f>IF(('Activity data'!BF16*EF!$H47*EF!AE65)*NtoN2O*kgtoGg=0,"NO",('Activity data'!BF16*EF!$H47*EF!AE65)*NtoN2O*kgtoGg)</f>
        <v>NO</v>
      </c>
      <c r="BG47" s="28" t="str">
        <f>IF(('Activity data'!BG16*EF!$H47*EF!AF65)*NtoN2O*kgtoGg=0,"NO",('Activity data'!BG16*EF!$H47*EF!AF65)*NtoN2O*kgtoGg)</f>
        <v>NO</v>
      </c>
      <c r="BH47" s="28" t="str">
        <f>IF(('Activity data'!BH16*EF!$H47*EF!AG65)*NtoN2O*kgtoGg=0,"NO",('Activity data'!BH16*EF!$H47*EF!AG65)*NtoN2O*kgtoGg)</f>
        <v>NO</v>
      </c>
      <c r="BI47" s="28" t="str">
        <f>IF(('Activity data'!BI16*EF!$H47*EF!AH65)*NtoN2O*kgtoGg=0,"NO",('Activity data'!BI16*EF!$H47*EF!AH65)*NtoN2O*kgtoGg)</f>
        <v>NO</v>
      </c>
      <c r="BJ47" s="28" t="str">
        <f>IF(('Activity data'!BJ16*EF!$H47*EF!AI65)*NtoN2O*kgtoGg=0,"NO",('Activity data'!BJ16*EF!$H47*EF!AI65)*NtoN2O*kgtoGg)</f>
        <v>NO</v>
      </c>
      <c r="BK47" s="28" t="str">
        <f>IF(('Activity data'!BK16*EF!$H47*EF!AJ65)*NtoN2O*kgtoGg=0,"NO",('Activity data'!BK16*EF!$H47*EF!AJ65)*NtoN2O*kgtoGg)</f>
        <v>NO</v>
      </c>
      <c r="BL47" s="28" t="str">
        <f>IF(('Activity data'!BL16*EF!$H47*EF!AK65)*NtoN2O*kgtoGg=0,"NO",('Activity data'!BL16*EF!$H47*EF!AK65)*NtoN2O*kgtoGg)</f>
        <v>NO</v>
      </c>
      <c r="BM47" s="28" t="str">
        <f>IF(('Activity data'!BM16*EF!$H47*EF!AL65)*NtoN2O*kgtoGg=0,"NO",('Activity data'!BM16*EF!$H47*EF!AL65)*NtoN2O*kgtoGg)</f>
        <v>NO</v>
      </c>
      <c r="BN47" s="28" t="str">
        <f>IF(('Activity data'!BN16*EF!$H47*EF!AM65)*NtoN2O*kgtoGg=0,"NO",('Activity data'!BN16*EF!$H47*EF!AM65)*NtoN2O*kgtoGg)</f>
        <v>NO</v>
      </c>
      <c r="BO47" s="28" t="str">
        <f>IF(('Activity data'!BO16*EF!$H47*EF!AN65)*NtoN2O*kgtoGg=0,"NO",('Activity data'!BO16*EF!$H47*EF!AN65)*NtoN2O*kgtoGg)</f>
        <v>NO</v>
      </c>
      <c r="BP47" s="28" t="str">
        <f>IF(('Activity data'!BP16*EF!$H47*EF!AO65)*NtoN2O*kgtoGg=0,"NO",('Activity data'!BP16*EF!$H47*EF!AO65)*NtoN2O*kgtoGg)</f>
        <v>NO</v>
      </c>
    </row>
    <row r="48" spans="1:68" x14ac:dyDescent="0.25">
      <c r="A48" t="str">
        <f t="shared" si="1"/>
        <v>3A Livestock</v>
      </c>
      <c r="B48" t="str">
        <f t="shared" si="11"/>
        <v>3A2 Manure management (N2O)</v>
      </c>
      <c r="C48" t="str">
        <f>EF!C66</f>
        <v>3A1h Swine</v>
      </c>
      <c r="D48" t="str">
        <f>EF!D66</f>
        <v>Commercial</v>
      </c>
      <c r="E48" t="str">
        <f t="shared" si="9"/>
        <v>Manure management Emissions</v>
      </c>
      <c r="F48" t="s">
        <v>139</v>
      </c>
      <c r="G48" t="str">
        <f t="shared" si="10"/>
        <v>Gg N2O</v>
      </c>
      <c r="H48" s="28">
        <f>IF(('Activity data'!H17*EF!$H48*EF!$H66)*NtoN2O*kgtoGg=0,"NO",('Activity data'!H17*EF!$H48*EF!$H66)*NtoN2O*kgtoGg)</f>
        <v>8.969533176685715E-2</v>
      </c>
      <c r="I48" s="28">
        <f>IF(('Activity data'!I17*EF!$H48*EF!$H66)*NtoN2O*kgtoGg=0,"NO",('Activity data'!I17*EF!$H48*EF!$H66)*NtoN2O*kgtoGg)</f>
        <v>9.7993915611428561E-2</v>
      </c>
      <c r="J48" s="28">
        <f>IF(('Activity data'!J17*EF!$H48*EF!$H66)*NtoN2O*kgtoGg=0,"NO",('Activity data'!J17*EF!$H48*EF!$H66)*NtoN2O*kgtoGg)</f>
        <v>9.7346508361142864E-2</v>
      </c>
      <c r="K48" s="28">
        <f>IF(('Activity data'!K17*EF!$H48*EF!$H66)*NtoN2O*kgtoGg=0,"NO",('Activity data'!K17*EF!$H48*EF!$H66)*NtoN2O*kgtoGg)</f>
        <v>9.7287653156571438E-2</v>
      </c>
      <c r="L48" s="28">
        <f>IF(('Activity data'!L17*EF!$H48*EF!$H66)*NtoN2O*kgtoGg=0,"NO",('Activity data'!L17*EF!$H48*EF!$H66)*NtoN2O*kgtoGg)</f>
        <v>9.2402671177142848E-2</v>
      </c>
      <c r="M48" s="28">
        <f>IF(('Activity data'!M17*EF!$H48*EF!$H66)*NtoN2O*kgtoGg=0,"NO",('Activity data'!M17*EF!$H48*EF!$H66)*NtoN2O*kgtoGg)</f>
        <v>9.328549924571429E-2</v>
      </c>
      <c r="N48" s="28">
        <f>IF(('Activity data'!N17*EF!$H48*EF!$H66)*NtoN2O*kgtoGg=0,"NO",('Activity data'!N17*EF!$H48*EF!$H66)*NtoN2O*kgtoGg)</f>
        <v>0.10046583420342857</v>
      </c>
      <c r="O48" s="28">
        <f>IF(('Activity data'!O17*EF!$H48*EF!$H66)*NtoN2O*kgtoGg=0,"NO",('Activity data'!O17*EF!$H48*EF!$H66)*NtoN2O*kgtoGg)</f>
        <v>9.9994992566857149E-2</v>
      </c>
      <c r="P48" s="28">
        <f>IF(('Activity data'!P17*EF!$H48*EF!$H66)*NtoN2O*kgtoGg=0,"NO",('Activity data'!P17*EF!$H48*EF!$H66)*NtoN2O*kgtoGg)</f>
        <v>0.102172635136</v>
      </c>
      <c r="Q48" s="28">
        <f>IF(('Activity data'!Q17*EF!$H48*EF!$H66)*NtoN2O*kgtoGg=0,"NO",('Activity data'!Q17*EF!$H48*EF!$H66)*NtoN2O*kgtoGg)</f>
        <v>0.10476226413714287</v>
      </c>
      <c r="R48" s="28">
        <f>IF(('Activity data'!R17*EF!$H48*EF!$H66)*NtoN2O*kgtoGg=0,"NO",('Activity data'!R17*EF!$H48*EF!$H66)*NtoN2O*kgtoGg)</f>
        <v>9.6934521929142842E-2</v>
      </c>
      <c r="S48" s="28">
        <f>IF(('Activity data'!S17*EF!$H48*EF!$H66)*NtoN2O*kgtoGg=0,"NO",('Activity data'!S17*EF!$H48*EF!$H66)*NtoN2O*kgtoGg)</f>
        <v>9.8759033270857152E-2</v>
      </c>
      <c r="T48" s="28">
        <f>IF(('Activity data'!T17*EF!$H48*EF!$H66)*NtoN2O*kgtoGg=0,"NO",('Activity data'!T17*EF!$H48*EF!$H66)*NtoN2O*kgtoGg)</f>
        <v>0.10064239981714285</v>
      </c>
      <c r="U48" s="28">
        <f>IF(('Activity data'!U17*EF!$H48*EF!$H66)*NtoN2O*kgtoGg=0,"NO",('Activity data'!U17*EF!$H48*EF!$H66)*NtoN2O*kgtoGg)</f>
        <v>9.7876205202285724E-2</v>
      </c>
      <c r="V48" s="28">
        <f>IF(('Activity data'!V17*EF!$H48*EF!$H66)*NtoN2O*kgtoGg=0,"NO",('Activity data'!V17*EF!$H48*EF!$H66)*NtoN2O*kgtoGg)</f>
        <v>9.7876205202285724E-2</v>
      </c>
      <c r="W48" s="28">
        <f>IF(('Activity data'!W17*EF!$H48*EF!$H66)*NtoN2O*kgtoGg=0,"NO",('Activity data'!W17*EF!$H48*EF!$H66)*NtoN2O*kgtoGg)</f>
        <v>9.7169942747428573E-2</v>
      </c>
      <c r="X48" s="28">
        <f>IF(('Activity data'!X17*EF!$H48*EF!$H66)*NtoN2O*kgtoGg=0,"NO",('Activity data'!X17*EF!$H48*EF!$H66)*NtoN2O*kgtoGg)</f>
        <v>9.5463141814857155E-2</v>
      </c>
      <c r="Y48" s="28">
        <f>IF(('Activity data'!Y17*EF!$H48*EF!$H66)*NtoN2O*kgtoGg=0,"NO",('Activity data'!Y17*EF!$H48*EF!$H66)*NtoN2O*kgtoGg)</f>
        <v>9.7169942747428573E-2</v>
      </c>
      <c r="Z48" s="28">
        <f>IF(('Activity data'!Z17*EF!$H48*EF!$H66)*NtoN2O*kgtoGg=0,"NO",('Activity data'!Z17*EF!$H48*EF!$H66)*NtoN2O*kgtoGg)</f>
        <v>9.5051155382857147E-2</v>
      </c>
      <c r="AA48" s="28">
        <f>IF(('Activity data'!AA17*EF!$H48*EF!$H66)*NtoN2O*kgtoGg=0,"NO",('Activity data'!AA17*EF!$H48*EF!$H66)*NtoN2O*kgtoGg)</f>
        <v>9.4933444973714295E-2</v>
      </c>
      <c r="AB48" s="28">
        <f>IF(('Activity data'!AB17*EF!$H48*EF!$H66)*NtoN2O*kgtoGg=0,"NO",('Activity data'!AB17*EF!$H48*EF!$H66)*NtoN2O*kgtoGg)</f>
        <v>9.381519608685715E-2</v>
      </c>
      <c r="AC48" s="28">
        <f>IF(('Activity data'!AC17*EF!$H48*EF!$H66)*NtoN2O*kgtoGg=0,"NO",('Activity data'!AC17*EF!$H48*EF!$H66)*NtoN2O*kgtoGg)</f>
        <v>9.3226644041142864E-2</v>
      </c>
      <c r="AD48" s="28">
        <f>IF(('Activity data'!AD17*EF!$H48*EF!$H66)*NtoN2O*kgtoGg=0,"NO",('Activity data'!AD17*EF!$H48*EF!$H66)*NtoN2O*kgtoGg)</f>
        <v>9.8212070321961289E-2</v>
      </c>
      <c r="AE48" s="28">
        <f>IF(('Activity data'!AE17*EF!$H48*EF!$H66)*NtoN2O*kgtoGg=0,"NO",('Activity data'!AE17*EF!$H48*EF!$H66)*NtoN2O*kgtoGg)</f>
        <v>9.7902077304524535E-2</v>
      </c>
      <c r="AF48" s="28">
        <f>IF(('Activity data'!AF17*EF!$H48*EF!$H66)*NtoN2O*kgtoGg=0,"NO",('Activity data'!AF17*EF!$H48*EF!$H66)*NtoN2O*kgtoGg)</f>
        <v>9.6876932731570997E-2</v>
      </c>
      <c r="AG48" s="28">
        <f>IF(('Activity data'!AG17*EF!$H48*EF!$H66)*NtoN2O*kgtoGg=0,"NO",('Activity data'!AG17*EF!$H48*EF!$H66)*NtoN2O*kgtoGg)</f>
        <v>9.4886481944047557E-2</v>
      </c>
      <c r="AH48" s="28">
        <f>IF(('Activity data'!AH17*EF!$H48*EF!$H66)*NtoN2O*kgtoGg=0,"NO",('Activity data'!AH17*EF!$H48*EF!$H66)*NtoN2O*kgtoGg)</f>
        <v>9.2983120414683651E-2</v>
      </c>
      <c r="AI48" s="28">
        <f>IF(('Activity data'!AI17*EF!$H48*EF!H66)*NtoN2O*kgtoGg=0,"NO",('Activity data'!AI17*EF!$H48*EF!H66)*NtoN2O*kgtoGg)</f>
        <v>9.1647887851288232E-2</v>
      </c>
      <c r="AJ48" s="28">
        <f>IF(('Activity data'!AJ17*EF!$H48*EF!I66)*NtoN2O*kgtoGg=0,"NO",('Activity data'!AJ17*EF!$H48*EF!I66)*NtoN2O*kgtoGg)</f>
        <v>9.0517057242200105E-2</v>
      </c>
      <c r="AK48" s="28">
        <f>IF(('Activity data'!AK17*EF!$H48*EF!J66)*NtoN2O*kgtoGg=0,"NO",('Activity data'!AK17*EF!$H48*EF!J66)*NtoN2O*kgtoGg)</f>
        <v>8.8434751995252456E-2</v>
      </c>
      <c r="AL48" s="28">
        <f>IF(('Activity data'!AL17*EF!$H48*EF!K66)*NtoN2O*kgtoGg=0,"NO",('Activity data'!AL17*EF!$H48*EF!K66)*NtoN2O*kgtoGg)</f>
        <v>7.7417928691120311E-2</v>
      </c>
      <c r="AM48" s="28">
        <f>IF(('Activity data'!AM17*EF!$H48*EF!L66)*NtoN2O*kgtoGg=0,"NO",('Activity data'!AM17*EF!$H48*EF!L66)*NtoN2O*kgtoGg)</f>
        <v>7.7909888126779042E-2</v>
      </c>
      <c r="AN48" s="28">
        <f>IF(('Activity data'!AN17*EF!$H48*EF!M66)*NtoN2O*kgtoGg=0,"NO",('Activity data'!AN17*EF!$H48*EF!M66)*NtoN2O*kgtoGg)</f>
        <v>7.8156831608476335E-2</v>
      </c>
      <c r="AO48" s="28">
        <f>IF(('Activity data'!AO17*EF!$H48*EF!N66)*NtoN2O*kgtoGg=0,"NO",('Activity data'!AO17*EF!$H48*EF!N66)*NtoN2O*kgtoGg)</f>
        <v>7.8396909010436708E-2</v>
      </c>
      <c r="AP48" s="28">
        <f>IF(('Activity data'!AP17*EF!$H48*EF!O66)*NtoN2O*kgtoGg=0,"NO",('Activity data'!AP17*EF!$H48*EF!O66)*NtoN2O*kgtoGg)</f>
        <v>7.8983322674416961E-2</v>
      </c>
      <c r="AQ48" s="28">
        <f>IF(('Activity data'!AQ17*EF!$H48*EF!P66)*NtoN2O*kgtoGg=0,"NO",('Activity data'!AQ17*EF!$H48*EF!P66)*NtoN2O*kgtoGg)</f>
        <v>7.9550022093927919E-2</v>
      </c>
      <c r="AR48" s="28">
        <f>IF(('Activity data'!AR17*EF!$H48*EF!Q66)*NtoN2O*kgtoGg=0,"NO",('Activity data'!AR17*EF!$H48*EF!Q66)*NtoN2O*kgtoGg)</f>
        <v>8.0200171515553365E-2</v>
      </c>
      <c r="AS48" s="28">
        <f>IF(('Activity data'!AS17*EF!$H48*EF!R66)*NtoN2O*kgtoGg=0,"NO",('Activity data'!AS17*EF!$H48*EF!R66)*NtoN2O*kgtoGg)</f>
        <v>8.0745873399241927E-2</v>
      </c>
      <c r="AT48" s="28">
        <f>IF(('Activity data'!AT17*EF!$H48*EF!S66)*NtoN2O*kgtoGg=0,"NO",('Activity data'!AT17*EF!$H48*EF!S66)*NtoN2O*kgtoGg)</f>
        <v>8.1401680108403665E-2</v>
      </c>
      <c r="AU48" s="28">
        <f>IF(('Activity data'!AU17*EF!$H48*EF!T66)*NtoN2O*kgtoGg=0,"NO",('Activity data'!AU17*EF!$H48*EF!T66)*NtoN2O*kgtoGg)</f>
        <v>8.1879069709822755E-2</v>
      </c>
      <c r="AV48" s="28">
        <f>IF(('Activity data'!AV17*EF!$H48*EF!U66)*NtoN2O*kgtoGg=0,"NO",('Activity data'!AV17*EF!$H48*EF!U66)*NtoN2O*kgtoGg)</f>
        <v>8.2381241768892818E-2</v>
      </c>
      <c r="AW48" s="28">
        <f>IF(('Activity data'!AW17*EF!$H48*EF!V66)*NtoN2O*kgtoGg=0,"NO",('Activity data'!AW17*EF!$H48*EF!V66)*NtoN2O*kgtoGg)</f>
        <v>8.3307469914568902E-2</v>
      </c>
      <c r="AX48" s="28">
        <f>IF(('Activity data'!AX17*EF!$H48*EF!W66)*NtoN2O*kgtoGg=0,"NO",('Activity data'!AX17*EF!$H48*EF!W66)*NtoN2O*kgtoGg)</f>
        <v>8.4389455604936589E-2</v>
      </c>
      <c r="AY48" s="28">
        <f>IF(('Activity data'!AY17*EF!$H48*EF!X66)*NtoN2O*kgtoGg=0,"NO",('Activity data'!AY17*EF!$H48*EF!X66)*NtoN2O*kgtoGg)</f>
        <v>8.5509115768420865E-2</v>
      </c>
      <c r="AZ48" s="28">
        <f>IF(('Activity data'!AZ17*EF!$H48*EF!Y66)*NtoN2O*kgtoGg=0,"NO",('Activity data'!AZ17*EF!$H48*EF!Y66)*NtoN2O*kgtoGg)</f>
        <v>8.4250717613193291E-2</v>
      </c>
      <c r="BA48" s="28">
        <f>IF(('Activity data'!BA17*EF!$H48*EF!Z66)*NtoN2O*kgtoGg=0,"NO",('Activity data'!BA17*EF!$H48*EF!Z66)*NtoN2O*kgtoGg)</f>
        <v>-2.8426820502850808E-2</v>
      </c>
      <c r="BB48" s="28">
        <f>IF(('Activity data'!BB17*EF!$H48*EF!AA66)*NtoN2O*kgtoGg=0,"NO",('Activity data'!BB17*EF!$H48*EF!AA66)*NtoN2O*kgtoGg)</f>
        <v>-2.8115877001178527E-2</v>
      </c>
      <c r="BC48" s="28">
        <f>IF(('Activity data'!BC17*EF!$H48*EF!AB66)*NtoN2O*kgtoGg=0,"NO",('Activity data'!BC17*EF!$H48*EF!AB66)*NtoN2O*kgtoGg)</f>
        <v>-2.7811593466985605E-2</v>
      </c>
      <c r="BD48" s="28">
        <f>IF(('Activity data'!BD17*EF!$H48*EF!AC66)*NtoN2O*kgtoGg=0,"NO",('Activity data'!BD17*EF!$H48*EF!AC66)*NtoN2O*kgtoGg)</f>
        <v>-2.7513534213570397E-2</v>
      </c>
      <c r="BE48" s="28">
        <f>IF(('Activity data'!BE17*EF!$H48*EF!AD66)*NtoN2O*kgtoGg=0,"NO",('Activity data'!BE17*EF!$H48*EF!AD66)*NtoN2O*kgtoGg)</f>
        <v>-2.7221295455261082E-2</v>
      </c>
      <c r="BF48" s="28">
        <f>IF(('Activity data'!BF17*EF!$H48*EF!AE66)*NtoN2O*kgtoGg=0,"NO",('Activity data'!BF17*EF!$H48*EF!AE66)*NtoN2O*kgtoGg)</f>
        <v>-2.6934502222400951E-2</v>
      </c>
      <c r="BG48" s="28">
        <f>IF(('Activity data'!BG17*EF!$H48*EF!AF66)*NtoN2O*kgtoGg=0,"NO",('Activity data'!BG17*EF!$H48*EF!AF66)*NtoN2O*kgtoGg)</f>
        <v>-2.6619947187312407E-2</v>
      </c>
      <c r="BH48" s="28">
        <f>IF(('Activity data'!BH17*EF!$H48*EF!AG66)*NtoN2O*kgtoGg=0,"NO",('Activity data'!BH17*EF!$H48*EF!AG66)*NtoN2O*kgtoGg)</f>
        <v>-2.6310938201629927E-2</v>
      </c>
      <c r="BI48" s="28">
        <f>IF(('Activity data'!BI17*EF!$H48*EF!AH66)*NtoN2O*kgtoGg=0,"NO",('Activity data'!BI17*EF!$H48*EF!AH66)*NtoN2O*kgtoGg)</f>
        <v>-2.600715135070272E-2</v>
      </c>
      <c r="BJ48" s="28">
        <f>IF(('Activity data'!BJ17*EF!$H48*EF!AI66)*NtoN2O*kgtoGg=0,"NO",('Activity data'!BJ17*EF!$H48*EF!AI66)*NtoN2O*kgtoGg)</f>
        <v>-2.5708283877268884E-2</v>
      </c>
      <c r="BK48" s="28">
        <f>IF(('Activity data'!BK17*EF!$H48*EF!AJ66)*NtoN2O*kgtoGg=0,"NO",('Activity data'!BK17*EF!$H48*EF!AJ66)*NtoN2O*kgtoGg)</f>
        <v>-2.5414052353403601E-2</v>
      </c>
      <c r="BL48" s="28">
        <f>IF(('Activity data'!BL17*EF!$H48*EF!AK66)*NtoN2O*kgtoGg=0,"NO",('Activity data'!BL17*EF!$H48*EF!AK66)*NtoN2O*kgtoGg)</f>
        <v>-2.5093405862334557E-2</v>
      </c>
      <c r="BM48" s="28">
        <f>IF(('Activity data'!BM17*EF!$H48*EF!AL66)*NtoN2O*kgtoGg=0,"NO",('Activity data'!BM17*EF!$H48*EF!AL66)*NtoN2O*kgtoGg)</f>
        <v>-2.4777656809122427E-2</v>
      </c>
      <c r="BN48" s="28">
        <f>IF(('Activity data'!BN17*EF!$H48*EF!AM66)*NtoN2O*kgtoGg=0,"NO",('Activity data'!BN17*EF!$H48*EF!AM66)*NtoN2O*kgtoGg)</f>
        <v>-2.4466553104711776E-2</v>
      </c>
      <c r="BO48" s="28">
        <f>IF(('Activity data'!BO17*EF!$H48*EF!AN66)*NtoN2O*kgtoGg=0,"NO",('Activity data'!BO17*EF!$H48*EF!AN66)*NtoN2O*kgtoGg)</f>
        <v>-2.415985755435068E-2</v>
      </c>
      <c r="BP48" s="28">
        <f>IF(('Activity data'!BP17*EF!$H48*EF!AO66)*NtoN2O*kgtoGg=0,"NO",('Activity data'!BP17*EF!$H48*EF!AO66)*NtoN2O*kgtoGg)</f>
        <v>-2.3857346696324909E-2</v>
      </c>
    </row>
    <row r="49" spans="1:68" x14ac:dyDescent="0.25">
      <c r="A49" t="str">
        <f t="shared" si="1"/>
        <v>3A Livestock</v>
      </c>
      <c r="B49" t="str">
        <f t="shared" si="11"/>
        <v>3A2 Manure management (N2O)</v>
      </c>
      <c r="C49" t="str">
        <f>EF!C67</f>
        <v>3A1h Swine</v>
      </c>
      <c r="D49" t="str">
        <f>EF!D67</f>
        <v>Subsistence</v>
      </c>
      <c r="E49" t="str">
        <f t="shared" si="9"/>
        <v>Manure management Emissions</v>
      </c>
      <c r="F49" t="s">
        <v>139</v>
      </c>
      <c r="G49" t="str">
        <f t="shared" si="10"/>
        <v>Gg N2O</v>
      </c>
      <c r="H49" s="28">
        <f>IF(('Activity data'!H18*EF!$H49*EF!$H67)*NtoN2O*kgtoGg=0,"NO",('Activity data'!H18*EF!$H49*EF!$H67)*NtoN2O*kgtoGg)</f>
        <v>3.3603344466422339E-2</v>
      </c>
      <c r="I49" s="28">
        <f>IF(('Activity data'!I18*EF!$H49*EF!$H67)*NtoN2O*kgtoGg=0,"NO",('Activity data'!I18*EF!$H49*EF!$H67)*NtoN2O*kgtoGg)</f>
        <v>3.6712315312725202E-2</v>
      </c>
      <c r="J49" s="28">
        <f>IF(('Activity data'!J18*EF!$H49*EF!$H67)*NtoN2O*kgtoGg=0,"NO",('Activity data'!J18*EF!$H49*EF!$H67)*NtoN2O*kgtoGg)</f>
        <v>3.6469771487836318E-2</v>
      </c>
      <c r="K49" s="28">
        <f>IF(('Activity data'!K18*EF!$H49*EF!$H67)*NtoN2O*kgtoGg=0,"NO",('Activity data'!K18*EF!$H49*EF!$H67)*NtoN2O*kgtoGg)</f>
        <v>3.6447722049210061E-2</v>
      </c>
      <c r="L49" s="28">
        <f>IF(('Activity data'!L18*EF!$H49*EF!$H67)*NtoN2O*kgtoGg=0,"NO",('Activity data'!L18*EF!$H49*EF!$H67)*NtoN2O*kgtoGg)</f>
        <v>3.4617618643230354E-2</v>
      </c>
      <c r="M49" s="28">
        <f>IF(('Activity data'!M18*EF!$H49*EF!$H67)*NtoN2O*kgtoGg=0,"NO",('Activity data'!M18*EF!$H49*EF!$H67)*NtoN2O*kgtoGg)</f>
        <v>3.4948360222624285E-2</v>
      </c>
      <c r="N49" s="28">
        <f>IF(('Activity data'!N18*EF!$H49*EF!$H67)*NtoN2O*kgtoGg=0,"NO",('Activity data'!N18*EF!$H49*EF!$H67)*NtoN2O*kgtoGg)</f>
        <v>3.763839173502817E-2</v>
      </c>
      <c r="O49" s="28">
        <f>IF(('Activity data'!O18*EF!$H49*EF!$H67)*NtoN2O*kgtoGg=0,"NO",('Activity data'!O18*EF!$H49*EF!$H67)*NtoN2O*kgtoGg)</f>
        <v>3.7461996226018084E-2</v>
      </c>
      <c r="P49" s="28">
        <f>IF(('Activity data'!P18*EF!$H49*EF!$H67)*NtoN2O*kgtoGg=0,"NO",('Activity data'!P18*EF!$H49*EF!$H67)*NtoN2O*kgtoGg)</f>
        <v>3.8277825455189748E-2</v>
      </c>
      <c r="Q49" s="28">
        <f>IF(('Activity data'!Q18*EF!$H49*EF!$H67)*NtoN2O*kgtoGg=0,"NO",('Activity data'!Q18*EF!$H49*EF!$H67)*NtoN2O*kgtoGg)</f>
        <v>3.9248000754745251E-2</v>
      </c>
      <c r="R49" s="28">
        <f>IF(('Activity data'!R18*EF!$H49*EF!$H67)*NtoN2O*kgtoGg=0,"NO",('Activity data'!R18*EF!$H49*EF!$H67)*NtoN2O*kgtoGg)</f>
        <v>3.6315425417452488E-2</v>
      </c>
      <c r="S49" s="28">
        <f>IF(('Activity data'!S18*EF!$H49*EF!$H67)*NtoN2O*kgtoGg=0,"NO",('Activity data'!S18*EF!$H49*EF!$H67)*NtoN2O*kgtoGg)</f>
        <v>3.6998958014866593E-2</v>
      </c>
      <c r="T49" s="28">
        <f>IF(('Activity data'!T18*EF!$H49*EF!$H67)*NtoN2O*kgtoGg=0,"NO",('Activity data'!T18*EF!$H49*EF!$H67)*NtoN2O*kgtoGg)</f>
        <v>3.7704540050906954E-2</v>
      </c>
      <c r="U49" s="28">
        <f>IF(('Activity data'!U18*EF!$H49*EF!$H67)*NtoN2O*kgtoGg=0,"NO",('Activity data'!U18*EF!$H49*EF!$H67)*NtoN2O*kgtoGg)</f>
        <v>3.6668216435472668E-2</v>
      </c>
      <c r="V49" s="28">
        <f>IF(('Activity data'!V18*EF!$H49*EF!$H67)*NtoN2O*kgtoGg=0,"NO",('Activity data'!V18*EF!$H49*EF!$H67)*NtoN2O*kgtoGg)</f>
        <v>3.6668216435472668E-2</v>
      </c>
      <c r="W49" s="28">
        <f>IF(('Activity data'!W18*EF!$H49*EF!$H67)*NtoN2O*kgtoGg=0,"NO",('Activity data'!W18*EF!$H49*EF!$H67)*NtoN2O*kgtoGg)</f>
        <v>3.6403623171957535E-2</v>
      </c>
      <c r="X49" s="28">
        <f>IF(('Activity data'!X18*EF!$H49*EF!$H67)*NtoN2O*kgtoGg=0,"NO",('Activity data'!X18*EF!$H49*EF!$H67)*NtoN2O*kgtoGg)</f>
        <v>3.576418945179595E-2</v>
      </c>
      <c r="Y49" s="28">
        <f>IF(('Activity data'!Y18*EF!$H49*EF!$H67)*NtoN2O*kgtoGg=0,"NO",('Activity data'!Y18*EF!$H49*EF!$H67)*NtoN2O*kgtoGg)</f>
        <v>3.6403623171957535E-2</v>
      </c>
      <c r="Z49" s="28">
        <f>IF(('Activity data'!Z18*EF!$H49*EF!$H67)*NtoN2O*kgtoGg=0,"NO",('Activity data'!Z18*EF!$H49*EF!$H67)*NtoN2O*kgtoGg)</f>
        <v>3.5609843381412126E-2</v>
      </c>
      <c r="AA49" s="28">
        <f>IF(('Activity data'!AA18*EF!$H49*EF!$H67)*NtoN2O*kgtoGg=0,"NO",('Activity data'!AA18*EF!$H49*EF!$H67)*NtoN2O*kgtoGg)</f>
        <v>3.5565744504159599E-2</v>
      </c>
      <c r="AB49" s="28">
        <f>IF(('Activity data'!AB18*EF!$H49*EF!$H67)*NtoN2O*kgtoGg=0,"NO",('Activity data'!AB18*EF!$H49*EF!$H67)*NtoN2O*kgtoGg)</f>
        <v>3.5146805170260635E-2</v>
      </c>
      <c r="AC49" s="28">
        <f>IF(('Activity data'!AC18*EF!$H49*EF!$H67)*NtoN2O*kgtoGg=0,"NO",('Activity data'!AC18*EF!$H49*EF!$H67)*NtoN2O*kgtoGg)</f>
        <v>3.4926310783998021E-2</v>
      </c>
      <c r="AD49" s="28">
        <f>IF(('Activity data'!AD18*EF!$H49*EF!$H67)*NtoN2O*kgtoGg=0,"NO",('Activity data'!AD18*EF!$H49*EF!$H67)*NtoN2O*kgtoGg)</f>
        <v>3.8422550388835235E-2</v>
      </c>
      <c r="AE49" s="28">
        <f>IF(('Activity data'!AE18*EF!$H49*EF!$H67)*NtoN2O*kgtoGg=0,"NO",('Activity data'!AE18*EF!$H49*EF!$H67)*NtoN2O*kgtoGg)</f>
        <v>3.8301274844051346E-2</v>
      </c>
      <c r="AF49" s="28">
        <f>IF(('Activity data'!AF18*EF!$H49*EF!$H67)*NtoN2O*kgtoGg=0,"NO",('Activity data'!AF18*EF!$H49*EF!$H67)*NtoN2O*kgtoGg)</f>
        <v>3.7900217531227944E-2</v>
      </c>
      <c r="AG49" s="28">
        <f>IF(('Activity data'!AG18*EF!$H49*EF!$H67)*NtoN2O*kgtoGg=0,"NO",('Activity data'!AG18*EF!$H49*EF!$H67)*NtoN2O*kgtoGg)</f>
        <v>3.712151288291534E-2</v>
      </c>
      <c r="AH49" s="28">
        <f>IF(('Activity data'!AH18*EF!$H49*EF!$H67)*NtoN2O*kgtoGg=0,"NO",('Activity data'!AH18*EF!$H49*EF!$H67)*NtoN2O*kgtoGg)</f>
        <v>3.6376879315672413E-2</v>
      </c>
      <c r="AI49" s="28">
        <f>IF(('Activity data'!AI18*EF!$H49*EF!H67)*NtoN2O*kgtoGg=0,"NO",('Activity data'!AI18*EF!$H49*EF!H67)*NtoN2O*kgtoGg)</f>
        <v>3.5854509302702606E-2</v>
      </c>
      <c r="AJ49" s="28">
        <f>IF(('Activity data'!AJ18*EF!$H49*EF!I67)*NtoN2O*kgtoGg=0,"NO",('Activity data'!AJ18*EF!$H49*EF!I67)*NtoN2O*kgtoGg)</f>
        <v>3.5412105472740686E-2</v>
      </c>
      <c r="AK49" s="28">
        <f>IF(('Activity data'!AK18*EF!$H49*EF!J67)*NtoN2O*kgtoGg=0,"NO",('Activity data'!AK18*EF!$H49*EF!J67)*NtoN2O*kgtoGg)</f>
        <v>3.4597465500143629E-2</v>
      </c>
      <c r="AL49" s="28">
        <f>IF(('Activity data'!AL18*EF!$H49*EF!K67)*NtoN2O*kgtoGg=0,"NO",('Activity data'!AL18*EF!$H49*EF!K67)*NtoN2O*kgtoGg)</f>
        <v>3.0287461168290553E-2</v>
      </c>
      <c r="AM49" s="28">
        <f>IF(('Activity data'!AM18*EF!$H49*EF!L67)*NtoN2O*kgtoGg=0,"NO",('Activity data'!AM18*EF!$H49*EF!L67)*NtoN2O*kgtoGg)</f>
        <v>3.0479925660118236E-2</v>
      </c>
      <c r="AN49" s="28">
        <f>IF(('Activity data'!AN18*EF!$H49*EF!M67)*NtoN2O*kgtoGg=0,"NO",('Activity data'!AN18*EF!$H49*EF!M67)*NtoN2O*kgtoGg)</f>
        <v>3.0576534949970324E-2</v>
      </c>
      <c r="AO49" s="28">
        <f>IF(('Activity data'!AO18*EF!$H49*EF!N67)*NtoN2O*kgtoGg=0,"NO",('Activity data'!AO18*EF!$H49*EF!N67)*NtoN2O*kgtoGg)</f>
        <v>3.0670458090413286E-2</v>
      </c>
      <c r="AP49" s="28">
        <f>IF(('Activity data'!AP18*EF!$H49*EF!O67)*NtoN2O*kgtoGg=0,"NO",('Activity data'!AP18*EF!$H49*EF!O67)*NtoN2O*kgtoGg)</f>
        <v>3.0899874988755002E-2</v>
      </c>
      <c r="AQ49" s="28">
        <f>IF(('Activity data'!AQ18*EF!$H49*EF!P67)*NtoN2O*kgtoGg=0,"NO",('Activity data'!AQ18*EF!$H49*EF!P67)*NtoN2O*kgtoGg)</f>
        <v>3.1121579275510219E-2</v>
      </c>
      <c r="AR49" s="28">
        <f>IF(('Activity data'!AR18*EF!$H49*EF!Q67)*NtoN2O*kgtoGg=0,"NO",('Activity data'!AR18*EF!$H49*EF!Q67)*NtoN2O*kgtoGg)</f>
        <v>3.1375930892687053E-2</v>
      </c>
      <c r="AS49" s="28">
        <f>IF(('Activity data'!AS18*EF!$H49*EF!R67)*NtoN2O*kgtoGg=0,"NO",('Activity data'!AS18*EF!$H49*EF!R67)*NtoN2O*kgtoGg)</f>
        <v>3.1589420518295906E-2</v>
      </c>
      <c r="AT49" s="28">
        <f>IF(('Activity data'!AT18*EF!$H49*EF!S67)*NtoN2O*kgtoGg=0,"NO",('Activity data'!AT18*EF!$H49*EF!S67)*NtoN2O*kgtoGg)</f>
        <v>3.1845985380898841E-2</v>
      </c>
      <c r="AU49" s="28">
        <f>IF(('Activity data'!AU18*EF!$H49*EF!T67)*NtoN2O*kgtoGg=0,"NO",('Activity data'!AU18*EF!$H49*EF!T67)*NtoN2O*kgtoGg)</f>
        <v>3.2032749858579623E-2</v>
      </c>
      <c r="AV49" s="28">
        <f>IF(('Activity data'!AV18*EF!$H49*EF!U67)*NtoN2O*kgtoGg=0,"NO",('Activity data'!AV18*EF!$H49*EF!U67)*NtoN2O*kgtoGg)</f>
        <v>3.222920973545864E-2</v>
      </c>
      <c r="AW49" s="28">
        <f>IF(('Activity data'!AW18*EF!$H49*EF!V67)*NtoN2O*kgtoGg=0,"NO",('Activity data'!AW18*EF!$H49*EF!V67)*NtoN2O*kgtoGg)</f>
        <v>3.2591568939191247E-2</v>
      </c>
      <c r="AX49" s="28">
        <f>IF(('Activity data'!AX18*EF!$H49*EF!W67)*NtoN2O*kgtoGg=0,"NO",('Activity data'!AX18*EF!$H49*EF!W67)*NtoN2O*kgtoGg)</f>
        <v>3.3014863647997064E-2</v>
      </c>
      <c r="AY49" s="28">
        <f>IF(('Activity data'!AY18*EF!$H49*EF!X67)*NtoN2O*kgtoGg=0,"NO",('Activity data'!AY18*EF!$H49*EF!X67)*NtoN2O*kgtoGg)</f>
        <v>3.345289737347313E-2</v>
      </c>
      <c r="AZ49" s="28">
        <f>IF(('Activity data'!AZ18*EF!$H49*EF!Y67)*NtoN2O*kgtoGg=0,"NO",('Activity data'!AZ18*EF!$H49*EF!Y67)*NtoN2O*kgtoGg)</f>
        <v>3.2960586536628499E-2</v>
      </c>
      <c r="BA49" s="28">
        <f>IF(('Activity data'!BA18*EF!$H49*EF!Z67)*NtoN2O*kgtoGg=0,"NO",('Activity data'!BA18*EF!$H49*EF!Z67)*NtoN2O*kgtoGg)</f>
        <v>-1.112114773249949E-2</v>
      </c>
      <c r="BB49" s="28">
        <f>IF(('Activity data'!BB18*EF!$H49*EF!AA67)*NtoN2O*kgtoGg=0,"NO",('Activity data'!BB18*EF!$H49*EF!AA67)*NtoN2O*kgtoGg)</f>
        <v>-1.0999500339038397E-2</v>
      </c>
      <c r="BC49" s="28">
        <f>IF(('Activity data'!BC18*EF!$H49*EF!AB67)*NtoN2O*kgtoGg=0,"NO",('Activity data'!BC18*EF!$H49*EF!AB67)*NtoN2O*kgtoGg)</f>
        <v>-1.0880458459698174E-2</v>
      </c>
      <c r="BD49" s="28">
        <f>IF(('Activity data'!BD18*EF!$H49*EF!AC67)*NtoN2O*kgtoGg=0,"NO",('Activity data'!BD18*EF!$H49*EF!AC67)*NtoN2O*kgtoGg)</f>
        <v>-1.0763851645019877E-2</v>
      </c>
      <c r="BE49" s="28">
        <f>IF(('Activity data'!BE18*EF!$H49*EF!AD67)*NtoN2O*kgtoGg=0,"NO",('Activity data'!BE18*EF!$H49*EF!AD67)*NtoN2O*kgtoGg)</f>
        <v>-1.0649521925873338E-2</v>
      </c>
      <c r="BF49" s="28">
        <f>IF(('Activity data'!BF18*EF!$H49*EF!AE67)*NtoN2O*kgtoGg=0,"NO",('Activity data'!BF18*EF!$H49*EF!AE67)*NtoN2O*kgtoGg)</f>
        <v>-1.0537322606536911E-2</v>
      </c>
      <c r="BG49" s="28">
        <f>IF(('Activity data'!BG18*EF!$H49*EF!AF67)*NtoN2O*kgtoGg=0,"NO",('Activity data'!BG18*EF!$H49*EF!AF67)*NtoN2O*kgtoGg)</f>
        <v>-1.0414262308081425E-2</v>
      </c>
      <c r="BH49" s="28">
        <f>IF(('Activity data'!BH18*EF!$H49*EF!AG67)*NtoN2O*kgtoGg=0,"NO",('Activity data'!BH18*EF!$H49*EF!AG67)*NtoN2O*kgtoGg)</f>
        <v>-1.0293371736443279E-2</v>
      </c>
      <c r="BI49" s="28">
        <f>IF(('Activity data'!BI18*EF!$H49*EF!AH67)*NtoN2O*kgtoGg=0,"NO",('Activity data'!BI18*EF!$H49*EF!AH67)*NtoN2O*kgtoGg)</f>
        <v>-1.0174524169652843E-2</v>
      </c>
      <c r="BJ49" s="28">
        <f>IF(('Activity data'!BJ18*EF!$H49*EF!AI67)*NtoN2O*kgtoGg=0,"NO",('Activity data'!BJ18*EF!$H49*EF!AI67)*NtoN2O*kgtoGg)</f>
        <v>-1.0057601162939404E-2</v>
      </c>
      <c r="BK49" s="28">
        <f>IF(('Activity data'!BK18*EF!$H49*EF!AJ67)*NtoN2O*kgtoGg=0,"NO",('Activity data'!BK18*EF!$H49*EF!AJ67)*NtoN2O*kgtoGg)</f>
        <v>-9.9424918335602689E-3</v>
      </c>
      <c r="BL49" s="28">
        <f>IF(('Activity data'!BL18*EF!$H49*EF!AK67)*NtoN2O*kgtoGg=0,"NO",('Activity data'!BL18*EF!$H49*EF!AK67)*NtoN2O*kgtoGg)</f>
        <v>-9.8170484341927999E-3</v>
      </c>
      <c r="BM49" s="28">
        <f>IF(('Activity data'!BM18*EF!$H49*EF!AL67)*NtoN2O*kgtoGg=0,"NO",('Activity data'!BM18*EF!$H49*EF!AL67)*NtoN2O*kgtoGg)</f>
        <v>-9.6935210116723403E-3</v>
      </c>
      <c r="BN49" s="28">
        <f>IF(('Activity data'!BN18*EF!$H49*EF!AM67)*NtoN2O*kgtoGg=0,"NO",('Activity data'!BN18*EF!$H49*EF!AM67)*NtoN2O*kgtoGg)</f>
        <v>-9.5718109436564065E-3</v>
      </c>
      <c r="BO49" s="28">
        <f>IF(('Activity data'!BO18*EF!$H49*EF!AN67)*NtoN2O*kgtoGg=0,"NO",('Activity data'!BO18*EF!$H49*EF!AN67)*NtoN2O*kgtoGg)</f>
        <v>-9.4518254347556157E-3</v>
      </c>
      <c r="BP49" s="28">
        <f>IF(('Activity data'!BP18*EF!$H49*EF!AO67)*NtoN2O*kgtoGg=0,"NO",('Activity data'!BP18*EF!$H49*EF!AO67)*NtoN2O*kgtoGg)</f>
        <v>-9.3334770622229783E-3</v>
      </c>
    </row>
    <row r="50" spans="1:68" x14ac:dyDescent="0.25">
      <c r="A50" t="str">
        <f t="shared" si="1"/>
        <v>3A Livestock</v>
      </c>
      <c r="B50" t="str">
        <f t="shared" si="11"/>
        <v>3A2 Manure management (N2O)</v>
      </c>
      <c r="C50" t="str">
        <f>EF!C68</f>
        <v>3A2i Poultry</v>
      </c>
      <c r="D50" t="str">
        <f>EF!D68</f>
        <v>Commercial layers</v>
      </c>
      <c r="E50" t="str">
        <f t="shared" si="9"/>
        <v>Manure management Emissions</v>
      </c>
      <c r="F50" t="s">
        <v>139</v>
      </c>
      <c r="G50" t="str">
        <f t="shared" si="10"/>
        <v>Gg N2O</v>
      </c>
      <c r="H50" s="28">
        <f>IF(('Activity data'!H19*EF!$H50*EF!$H68)*NtoN2O*kgtoGg=0,"NO",('Activity data'!H19*EF!$H50*EF!$H68)*NtoN2O*kgtoGg)</f>
        <v>0.20296133454737286</v>
      </c>
      <c r="I50" s="28">
        <f>IF(('Activity data'!I19*EF!$H50*EF!$H68)*NtoN2O*kgtoGg=0,"NO",('Activity data'!I19*EF!$H50*EF!$H68)*NtoN2O*kgtoGg)</f>
        <v>0.19717389585886808</v>
      </c>
      <c r="J50" s="28">
        <f>IF(('Activity data'!J19*EF!$H50*EF!$H68)*NtoN2O*kgtoGg=0,"NO",('Activity data'!J19*EF!$H50*EF!$H68)*NtoN2O*kgtoGg)</f>
        <v>0.18700572466593463</v>
      </c>
      <c r="K50" s="28">
        <f>IF(('Activity data'!K19*EF!$H50*EF!$H68)*NtoN2O*kgtoGg=0,"NO",('Activity data'!K19*EF!$H50*EF!$H68)*NtoN2O*kgtoGg)</f>
        <v>0.1840653888057816</v>
      </c>
      <c r="L50" s="28">
        <f>IF(('Activity data'!L19*EF!$H50*EF!$H68)*NtoN2O*kgtoGg=0,"NO",('Activity data'!L19*EF!$H50*EF!$H68)*NtoN2O*kgtoGg)</f>
        <v>0.17605920711970463</v>
      </c>
      <c r="M50" s="28">
        <f>IF(('Activity data'!M19*EF!$H50*EF!$H68)*NtoN2O*kgtoGg=0,"NO",('Activity data'!M19*EF!$H50*EF!$H68)*NtoN2O*kgtoGg)</f>
        <v>0.19210250795483447</v>
      </c>
      <c r="N50" s="28">
        <f>IF(('Activity data'!N19*EF!$H50*EF!$H68)*NtoN2O*kgtoGg=0,"NO",('Activity data'!N19*EF!$H50*EF!$H68)*NtoN2O*kgtoGg)</f>
        <v>0.20291887626044761</v>
      </c>
      <c r="O50" s="28">
        <f>IF(('Activity data'!O19*EF!$H50*EF!$H68)*NtoN2O*kgtoGg=0,"NO",('Activity data'!O19*EF!$H50*EF!$H68)*NtoN2O*kgtoGg)</f>
        <v>0.20358614843156064</v>
      </c>
      <c r="P50" s="28">
        <f>IF(('Activity data'!P19*EF!$H50*EF!$H68)*NtoN2O*kgtoGg=0,"NO",('Activity data'!P19*EF!$H50*EF!$H68)*NtoN2O*kgtoGg)</f>
        <v>0.22922082424272011</v>
      </c>
      <c r="Q50" s="28">
        <f>IF(('Activity data'!Q19*EF!$H50*EF!$H68)*NtoN2O*kgtoGg=0,"NO",('Activity data'!Q19*EF!$H50*EF!$H68)*NtoN2O*kgtoGg)</f>
        <v>0.24574772569354431</v>
      </c>
      <c r="R50" s="28">
        <f>IF(('Activity data'!R19*EF!$H50*EF!$H68)*NtoN2O*kgtoGg=0,"NO",('Activity data'!R19*EF!$H50*EF!$H68)*NtoN2O*kgtoGg)</f>
        <v>0.24054072570239549</v>
      </c>
      <c r="S50" s="28">
        <f>IF(('Activity data'!S19*EF!$H50*EF!$H68)*NtoN2O*kgtoGg=0,"NO",('Activity data'!S19*EF!$H50*EF!$H68)*NtoN2O*kgtoGg)</f>
        <v>0.24695749420493165</v>
      </c>
      <c r="T50" s="28">
        <f>IF(('Activity data'!T19*EF!$H50*EF!$H68)*NtoN2O*kgtoGg=0,"NO",('Activity data'!T19*EF!$H50*EF!$H68)*NtoN2O*kgtoGg)</f>
        <v>0.24501923229562322</v>
      </c>
      <c r="U50" s="28">
        <f>IF(('Activity data'!U19*EF!$H50*EF!$H68)*NtoN2O*kgtoGg=0,"NO",('Activity data'!U19*EF!$H50*EF!$H68)*NtoN2O*kgtoGg)</f>
        <v>0.23523745158495141</v>
      </c>
      <c r="V50" s="28">
        <f>IF(('Activity data'!V19*EF!$H50*EF!$H68)*NtoN2O*kgtoGg=0,"NO",('Activity data'!V19*EF!$H50*EF!$H68)*NtoN2O*kgtoGg)</f>
        <v>0.24376740544300249</v>
      </c>
      <c r="W50" s="28">
        <f>IF(('Activity data'!W19*EF!$H50*EF!$H68)*NtoN2O*kgtoGg=0,"NO",('Activity data'!W19*EF!$H50*EF!$H68)*NtoN2O*kgtoGg)</f>
        <v>0.25846670786599002</v>
      </c>
      <c r="X50" s="28">
        <f>IF(('Activity data'!X19*EF!$H50*EF!$H68)*NtoN2O*kgtoGg=0,"NO",('Activity data'!X19*EF!$H50*EF!$H68)*NtoN2O*kgtoGg)</f>
        <v>0.28524838842815914</v>
      </c>
      <c r="Y50" s="28">
        <f>IF(('Activity data'!Y19*EF!$H50*EF!$H68)*NtoN2O*kgtoGg=0,"NO",('Activity data'!Y19*EF!$H50*EF!$H68)*NtoN2O*kgtoGg)</f>
        <v>0.3156764917693638</v>
      </c>
      <c r="Z50" s="28">
        <f>IF(('Activity data'!Z19*EF!$H50*EF!$H68)*NtoN2O*kgtoGg=0,"NO",('Activity data'!Z19*EF!$H50*EF!$H68)*NtoN2O*kgtoGg)</f>
        <v>0.31983391250576138</v>
      </c>
      <c r="AA50" s="28">
        <f>IF(('Activity data'!AA19*EF!$H50*EF!$H68)*NtoN2O*kgtoGg=0,"NO",('Activity data'!AA19*EF!$H50*EF!$H68)*NtoN2O*kgtoGg)</f>
        <v>0.30804277788191292</v>
      </c>
      <c r="AB50" s="28">
        <f>IF(('Activity data'!AB19*EF!$H50*EF!$H68)*NtoN2O*kgtoGg=0,"NO",('Activity data'!AB19*EF!$H50*EF!$H68)*NtoN2O*kgtoGg)</f>
        <v>0.32004210844863845</v>
      </c>
      <c r="AC50" s="28">
        <f>IF(('Activity data'!AC19*EF!$H50*EF!$H68)*NtoN2O*kgtoGg=0,"NO",('Activity data'!AC19*EF!$H50*EF!$H68)*NtoN2O*kgtoGg)</f>
        <v>0.33481439404248187</v>
      </c>
      <c r="AD50" s="28">
        <f>IF(('Activity data'!AD19*EF!$H50*EF!$H68)*NtoN2O*kgtoGg=0,"NO",('Activity data'!AD19*EF!$H50*EF!$H68)*NtoN2O*kgtoGg)</f>
        <v>0.32963485119754937</v>
      </c>
      <c r="AE50" s="28">
        <f>IF(('Activity data'!AE19*EF!$H50*EF!$H68)*NtoN2O*kgtoGg=0,"NO",('Activity data'!AE19*EF!$H50*EF!$H68)*NtoN2O*kgtoGg)</f>
        <v>0.3367733222576253</v>
      </c>
      <c r="AF50" s="28">
        <f>IF(('Activity data'!AF19*EF!$H50*EF!$H68)*NtoN2O*kgtoGg=0,"NO",('Activity data'!AF19*EF!$H50*EF!$H68)*NtoN2O*kgtoGg)</f>
        <v>0.34252519941326248</v>
      </c>
      <c r="AG50" s="28">
        <f>IF(('Activity data'!AG19*EF!$H50*EF!$H68)*NtoN2O*kgtoGg=0,"NO",('Activity data'!AG19*EF!$H50*EF!$H68)*NtoN2O*kgtoGg)</f>
        <v>0.34628339258632435</v>
      </c>
      <c r="AH50" s="28">
        <f>IF(('Activity data'!AH19*EF!$H50*EF!$H68)*NtoN2O*kgtoGg=0,"NO",('Activity data'!AH19*EF!$H50*EF!$H68)*NtoN2O*kgtoGg)</f>
        <v>0.35009259651269609</v>
      </c>
      <c r="AI50" s="28">
        <f>IF(('Activity data'!AI19*EF!$H50*EF!H68)*NtoN2O*kgtoGg=0,"NO",('Activity data'!AI19*EF!$H50*EF!H68)*NtoN2O*kgtoGg)</f>
        <v>0.35500337907845531</v>
      </c>
      <c r="AJ50" s="28">
        <f>IF(('Activity data'!AJ19*EF!$H50*EF!I68)*NtoN2O*kgtoGg=0,"NO",('Activity data'!AJ19*EF!$H50*EF!I68)*NtoN2O*kgtoGg)</f>
        <v>0.36025498659562288</v>
      </c>
      <c r="AK50" s="28">
        <f>IF(('Activity data'!AK19*EF!$H50*EF!J68)*NtoN2O*kgtoGg=0,"NO",('Activity data'!AK19*EF!$H50*EF!J68)*NtoN2O*kgtoGg)</f>
        <v>0.36330907698293946</v>
      </c>
      <c r="AL50" s="28">
        <f>IF(('Activity data'!AL19*EF!$H50*EF!K68)*NtoN2O*kgtoGg=0,"NO",('Activity data'!AL19*EF!$H50*EF!K68)*NtoN2O*kgtoGg)</f>
        <v>0.34573940681489368</v>
      </c>
      <c r="AM50" s="28">
        <f>IF(('Activity data'!AM19*EF!$H50*EF!L68)*NtoN2O*kgtoGg=0,"NO",('Activity data'!AM19*EF!$H50*EF!L68)*NtoN2O*kgtoGg)</f>
        <v>0.35316196495857255</v>
      </c>
      <c r="AN50" s="28">
        <f>IF(('Activity data'!AN19*EF!$H50*EF!M68)*NtoN2O*kgtoGg=0,"NO",('Activity data'!AN19*EF!$H50*EF!M68)*NtoN2O*kgtoGg)</f>
        <v>0.36009092327704184</v>
      </c>
      <c r="AO50" s="28">
        <f>IF(('Activity data'!AO19*EF!$H50*EF!N68)*NtoN2O*kgtoGg=0,"NO",('Activity data'!AO19*EF!$H50*EF!N68)*NtoN2O*kgtoGg)</f>
        <v>0.36707458200076865</v>
      </c>
      <c r="AP50" s="28">
        <f>IF(('Activity data'!AP19*EF!$H50*EF!O68)*NtoN2O*kgtoGg=0,"NO",('Activity data'!AP19*EF!$H50*EF!O68)*NtoN2O*kgtoGg)</f>
        <v>0.37500055316657199</v>
      </c>
      <c r="AQ50" s="28">
        <f>IF(('Activity data'!AQ19*EF!$H50*EF!P68)*NtoN2O*kgtoGg=0,"NO",('Activity data'!AQ19*EF!$H50*EF!P68)*NtoN2O*kgtoGg)</f>
        <v>0.38299236324087566</v>
      </c>
      <c r="AR50" s="28">
        <f>IF(('Activity data'!AR19*EF!$H50*EF!Q68)*NtoN2O*kgtoGg=0,"NO",('Activity data'!AR19*EF!$H50*EF!Q68)*NtoN2O*kgtoGg)</f>
        <v>0.39099432975561715</v>
      </c>
      <c r="AS50" s="28">
        <f>IF(('Activity data'!AS19*EF!$H50*EF!R68)*NtoN2O*kgtoGg=0,"NO",('Activity data'!AS19*EF!$H50*EF!R68)*NtoN2O*kgtoGg)</f>
        <v>0.398841954270029</v>
      </c>
      <c r="AT50" s="28">
        <f>IF(('Activity data'!AT19*EF!$H50*EF!S68)*NtoN2O*kgtoGg=0,"NO",('Activity data'!AT19*EF!$H50*EF!S68)*NtoN2O*kgtoGg)</f>
        <v>0.40710661573230994</v>
      </c>
      <c r="AU50" s="28">
        <f>IF(('Activity data'!AU19*EF!$H50*EF!T68)*NtoN2O*kgtoGg=0,"NO",('Activity data'!AU19*EF!$H50*EF!T68)*NtoN2O*kgtoGg)</f>
        <v>0.41500811589686409</v>
      </c>
      <c r="AV50" s="28">
        <f>IF(('Activity data'!AV19*EF!$H50*EF!U68)*NtoN2O*kgtoGg=0,"NO",('Activity data'!AV19*EF!$H50*EF!U68)*NtoN2O*kgtoGg)</f>
        <v>0.42309700830126501</v>
      </c>
      <c r="AW50" s="28">
        <f>IF(('Activity data'!AW19*EF!$H50*EF!V68)*NtoN2O*kgtoGg=0,"NO",('Activity data'!AW19*EF!$H50*EF!V68)*NtoN2O*kgtoGg)</f>
        <v>0.43226826232979193</v>
      </c>
      <c r="AX50" s="28">
        <f>IF(('Activity data'!AX19*EF!$H50*EF!W68)*NtoN2O*kgtoGg=0,"NO",('Activity data'!AX19*EF!$H50*EF!W68)*NtoN2O*kgtoGg)</f>
        <v>0.44207160383339156</v>
      </c>
      <c r="AY50" s="28">
        <f>IF(('Activity data'!AY19*EF!$H50*EF!X68)*NtoN2O*kgtoGg=0,"NO",('Activity data'!AY19*EF!$H50*EF!X68)*NtoN2O*kgtoGg)</f>
        <v>0.45218336296465478</v>
      </c>
      <c r="AZ50" s="28">
        <f>IF(('Activity data'!AZ19*EF!$H50*EF!Y68)*NtoN2O*kgtoGg=0,"NO",('Activity data'!AZ19*EF!$H50*EF!Y68)*NtoN2O*kgtoGg)</f>
        <v>0.4551931213650493</v>
      </c>
      <c r="BA50" s="28">
        <f>IF(('Activity data'!BA19*EF!$H50*EF!Z68)*NtoN2O*kgtoGg=0,"NO",('Activity data'!BA19*EF!$H50*EF!Z68)*NtoN2O*kgtoGg)</f>
        <v>0.10910564018941009</v>
      </c>
      <c r="BB50" s="28">
        <f>IF(('Activity data'!BB19*EF!$H50*EF!AA68)*NtoN2O*kgtoGg=0,"NO",('Activity data'!BB19*EF!$H50*EF!AA68)*NtoN2O*kgtoGg)</f>
        <v>0.10994420930696339</v>
      </c>
      <c r="BC50" s="28">
        <f>IF(('Activity data'!BC19*EF!$H50*EF!AB68)*NtoN2O*kgtoGg=0,"NO",('Activity data'!BC19*EF!$H50*EF!AB68)*NtoN2O*kgtoGg)</f>
        <v>0.11078888384654588</v>
      </c>
      <c r="BD50" s="28">
        <f>IF(('Activity data'!BD19*EF!$H50*EF!AC68)*NtoN2O*kgtoGg=0,"NO",('Activity data'!BD19*EF!$H50*EF!AC68)*NtoN2O*kgtoGg)</f>
        <v>0.11163971029926273</v>
      </c>
      <c r="BE50" s="28">
        <f>IF(('Activity data'!BE19*EF!$H50*EF!AD68)*NtoN2O*kgtoGg=0,"NO",('Activity data'!BE19*EF!$H50*EF!AD68)*NtoN2O*kgtoGg)</f>
        <v>0.11249673536734303</v>
      </c>
      <c r="BF50" s="28">
        <f>IF(('Activity data'!BF19*EF!$H50*EF!AE68)*NtoN2O*kgtoGg=0,"NO",('Activity data'!BF19*EF!$H50*EF!AE68)*NtoN2O*kgtoGg)</f>
        <v>0.1133600059778764</v>
      </c>
      <c r="BG50" s="28">
        <f>IF(('Activity data'!BG19*EF!$H50*EF!AF68)*NtoN2O*kgtoGg=0,"NO",('Activity data'!BG19*EF!$H50*EF!AF68)*NtoN2O*kgtoGg)</f>
        <v>0.11409797095001123</v>
      </c>
      <c r="BH50" s="28">
        <f>IF(('Activity data'!BH19*EF!$H50*EF!AG68)*NtoN2O*kgtoGg=0,"NO",('Activity data'!BH19*EF!$H50*EF!AG68)*NtoN2O*kgtoGg)</f>
        <v>0.11484049120695125</v>
      </c>
      <c r="BI50" s="28">
        <f>IF(('Activity data'!BI19*EF!$H50*EF!AH68)*NtoN2O*kgtoGg=0,"NO",('Activity data'!BI19*EF!$H50*EF!AH68)*NtoN2O*kgtoGg)</f>
        <v>0.11558759635865411</v>
      </c>
      <c r="BJ50" s="28">
        <f>IF(('Activity data'!BJ19*EF!$H50*EF!AI68)*NtoN2O*kgtoGg=0,"NO",('Activity data'!BJ19*EF!$H50*EF!AI68)*NtoN2O*kgtoGg)</f>
        <v>0.11633931611415979</v>
      </c>
      <c r="BK50" s="28">
        <f>IF(('Activity data'!BK19*EF!$H50*EF!AJ68)*NtoN2O*kgtoGg=0,"NO",('Activity data'!BK19*EF!$H50*EF!AJ68)*NtoN2O*kgtoGg)</f>
        <v>0.11709568028936261</v>
      </c>
      <c r="BL50" s="28">
        <f>IF(('Activity data'!BL19*EF!$H50*EF!AK68)*NtoN2O*kgtoGg=0,"NO",('Activity data'!BL19*EF!$H50*EF!AK68)*NtoN2O*kgtoGg)</f>
        <v>0.11772147862106908</v>
      </c>
      <c r="BM50" s="28">
        <f>IF(('Activity data'!BM19*EF!$H50*EF!AL68)*NtoN2O*kgtoGg=0,"NO",('Activity data'!BM19*EF!$H50*EF!AL68)*NtoN2O*kgtoGg)</f>
        <v>0.11835044728238052</v>
      </c>
      <c r="BN50" s="28">
        <f>IF(('Activity data'!BN19*EF!$H50*EF!AM68)*NtoN2O*kgtoGg=0,"NO",('Activity data'!BN19*EF!$H50*EF!AM68)*NtoN2O*kgtoGg)</f>
        <v>0.11898260346877226</v>
      </c>
      <c r="BO50" s="28">
        <f>IF(('Activity data'!BO19*EF!$H50*EF!AN68)*NtoN2O*kgtoGg=0,"NO",('Activity data'!BO19*EF!$H50*EF!AN68)*NtoN2O*kgtoGg)</f>
        <v>0.11961796440464827</v>
      </c>
      <c r="BP50" s="28">
        <f>IF(('Activity data'!BP19*EF!$H50*EF!AO68)*NtoN2O*kgtoGg=0,"NO",('Activity data'!BP19*EF!$H50*EF!AO68)*NtoN2O*kgtoGg)</f>
        <v>0.12025654734797987</v>
      </c>
    </row>
    <row r="51" spans="1:68" x14ac:dyDescent="0.25">
      <c r="A51" t="str">
        <f t="shared" si="1"/>
        <v>3A Livestock</v>
      </c>
      <c r="B51" t="str">
        <f t="shared" si="11"/>
        <v>3A2 Manure management (N2O)</v>
      </c>
      <c r="C51" t="str">
        <f>EF!C69</f>
        <v>3A2i Poultry</v>
      </c>
      <c r="D51" t="str">
        <f>EF!D69</f>
        <v>Commercial broilers</v>
      </c>
      <c r="E51" t="str">
        <f t="shared" si="9"/>
        <v>Manure management Emissions</v>
      </c>
      <c r="F51" t="s">
        <v>139</v>
      </c>
      <c r="G51" t="str">
        <f t="shared" si="10"/>
        <v>Gg N2O</v>
      </c>
      <c r="H51" s="28">
        <f>IF(('Activity data'!H20*EF!$H51*EF!$H69)*NtoN2O*kgtoGg=0,"NO",('Activity data'!H20*EF!$H51*EF!$H69)*NtoN2O*kgtoGg)</f>
        <v>0.72930971263591093</v>
      </c>
      <c r="I51" s="28">
        <f>IF(('Activity data'!I20*EF!$H51*EF!$H69)*NtoN2O*kgtoGg=0,"NO",('Activity data'!I20*EF!$H51*EF!$H69)*NtoN2O*kgtoGg)</f>
        <v>0.68555113076259577</v>
      </c>
      <c r="J51" s="28">
        <f>IF(('Activity data'!J20*EF!$H51*EF!$H69)*NtoN2O*kgtoGg=0,"NO",('Activity data'!J20*EF!$H51*EF!$H69)*NtoN2O*kgtoGg)</f>
        <v>0.64789485942199276</v>
      </c>
      <c r="K51" s="28">
        <f>IF(('Activity data'!K20*EF!$H51*EF!$H69)*NtoN2O*kgtoGg=0,"NO",('Activity data'!K20*EF!$H51*EF!$H69)*NtoN2O*kgtoGg)</f>
        <v>0.72865140284093732</v>
      </c>
      <c r="L51" s="28">
        <f>IF(('Activity data'!L20*EF!$H51*EF!$H69)*NtoN2O*kgtoGg=0,"NO",('Activity data'!L20*EF!$H51*EF!$H69)*NtoN2O*kgtoGg)</f>
        <v>0.72181757150319903</v>
      </c>
      <c r="M51" s="28">
        <f>IF(('Activity data'!M20*EF!$H51*EF!$H69)*NtoN2O*kgtoGg=0,"NO",('Activity data'!M20*EF!$H51*EF!$H69)*NtoN2O*kgtoGg)</f>
        <v>0.82622573049281356</v>
      </c>
      <c r="N51" s="28">
        <f>IF(('Activity data'!N20*EF!$H51*EF!$H69)*NtoN2O*kgtoGg=0,"NO",('Activity data'!N20*EF!$H51*EF!$H69)*NtoN2O*kgtoGg)</f>
        <v>0.96068755914648207</v>
      </c>
      <c r="O51" s="28">
        <f>IF(('Activity data'!O20*EF!$H51*EF!$H69)*NtoN2O*kgtoGg=0,"NO",('Activity data'!O20*EF!$H51*EF!$H69)*NtoN2O*kgtoGg)</f>
        <v>0.97787012142542185</v>
      </c>
      <c r="P51" s="28">
        <f>IF(('Activity data'!P20*EF!$H51*EF!$H69)*NtoN2O*kgtoGg=0,"NO",('Activity data'!P20*EF!$H51*EF!$H69)*NtoN2O*kgtoGg)</f>
        <v>1.071484472052648</v>
      </c>
      <c r="Q51" s="28">
        <f>IF(('Activity data'!Q20*EF!$H51*EF!$H69)*NtoN2O*kgtoGg=0,"NO",('Activity data'!Q20*EF!$H51*EF!$H69)*NtoN2O*kgtoGg)</f>
        <v>1.1186177697218391</v>
      </c>
      <c r="R51" s="28">
        <f>IF(('Activity data'!R20*EF!$H51*EF!$H69)*NtoN2O*kgtoGg=0,"NO",('Activity data'!R20*EF!$H51*EF!$H69)*NtoN2O*kgtoGg)</f>
        <v>1.2035502905081028</v>
      </c>
      <c r="S51" s="28">
        <f>IF(('Activity data'!S20*EF!$H51*EF!$H69)*NtoN2O*kgtoGg=0,"NO",('Activity data'!S20*EF!$H51*EF!$H69)*NtoN2O*kgtoGg)</f>
        <v>1.1621542696380114</v>
      </c>
      <c r="T51" s="28">
        <f>IF(('Activity data'!T20*EF!$H51*EF!$H69)*NtoN2O*kgtoGg=0,"NO",('Activity data'!T20*EF!$H51*EF!$H69)*NtoN2O*kgtoGg)</f>
        <v>1.2880438918534249</v>
      </c>
      <c r="U51" s="28">
        <f>IF(('Activity data'!U20*EF!$H51*EF!$H69)*NtoN2O*kgtoGg=0,"NO",('Activity data'!U20*EF!$H51*EF!$H69)*NtoN2O*kgtoGg)</f>
        <v>1.225124187011174</v>
      </c>
      <c r="V51" s="28">
        <f>IF(('Activity data'!V20*EF!$H51*EF!$H69)*NtoN2O*kgtoGg=0,"NO",('Activity data'!V20*EF!$H51*EF!$H69)*NtoN2O*kgtoGg)</f>
        <v>1.2546997536257585</v>
      </c>
      <c r="W51" s="28">
        <f>IF(('Activity data'!W20*EF!$H51*EF!$H69)*NtoN2O*kgtoGg=0,"NO",('Activity data'!W20*EF!$H51*EF!$H69)*NtoN2O*kgtoGg)</f>
        <v>1.3882935327729005</v>
      </c>
      <c r="X51" s="28">
        <f>IF(('Activity data'!X20*EF!$H51*EF!$H69)*NtoN2O*kgtoGg=0,"NO",('Activity data'!X20*EF!$H51*EF!$H69)*NtoN2O*kgtoGg)</f>
        <v>1.4849096879687185</v>
      </c>
      <c r="Y51" s="28">
        <f>IF(('Activity data'!Y20*EF!$H51*EF!$H69)*NtoN2O*kgtoGg=0,"NO",('Activity data'!Y20*EF!$H51*EF!$H69)*NtoN2O*kgtoGg)</f>
        <v>1.5536225594206139</v>
      </c>
      <c r="Z51" s="28">
        <f>IF(('Activity data'!Z20*EF!$H51*EF!$H69)*NtoN2O*kgtoGg=0,"NO",('Activity data'!Z20*EF!$H51*EF!$H69)*NtoN2O*kgtoGg)</f>
        <v>1.6541861721500675</v>
      </c>
      <c r="AA51" s="28">
        <f>IF(('Activity data'!AA20*EF!$H51*EF!$H69)*NtoN2O*kgtoGg=0,"NO",('Activity data'!AA20*EF!$H51*EF!$H69)*NtoN2O*kgtoGg)</f>
        <v>1.5609057472739727</v>
      </c>
      <c r="AB51" s="28">
        <f>IF(('Activity data'!AB20*EF!$H51*EF!$H69)*NtoN2O*kgtoGg=0,"NO",('Activity data'!AB20*EF!$H51*EF!$H69)*NtoN2O*kgtoGg)</f>
        <v>1.6001637714485282</v>
      </c>
      <c r="AC51" s="28">
        <f>IF(('Activity data'!AC20*EF!$H51*EF!$H69)*NtoN2O*kgtoGg=0,"NO",('Activity data'!AC20*EF!$H51*EF!$H69)*NtoN2O*kgtoGg)</f>
        <v>1.6549888552911012</v>
      </c>
      <c r="AD51" s="28">
        <f>IF(('Activity data'!AD20*EF!$H51*EF!$H69)*NtoN2O*kgtoGg=0,"NO",('Activity data'!AD20*EF!$H51*EF!$H69)*NtoN2O*kgtoGg)</f>
        <v>1.7216530294251391</v>
      </c>
      <c r="AE51" s="28">
        <f>IF(('Activity data'!AE20*EF!$H51*EF!$H69)*NtoN2O*kgtoGg=0,"NO",('Activity data'!AE20*EF!$H51*EF!$H69)*NtoN2O*kgtoGg)</f>
        <v>1.7495913852181326</v>
      </c>
      <c r="AF51" s="28">
        <f>IF(('Activity data'!AF20*EF!$H51*EF!$H69)*NtoN2O*kgtoGg=0,"NO",('Activity data'!AF20*EF!$H51*EF!$H69)*NtoN2O*kgtoGg)</f>
        <v>1.7578868664335328</v>
      </c>
      <c r="AG51" s="28">
        <f>IF(('Activity data'!AG20*EF!$H51*EF!$H69)*NtoN2O*kgtoGg=0,"NO",('Activity data'!AG20*EF!$H51*EF!$H69)*NtoN2O*kgtoGg)</f>
        <v>1.7392918980189422</v>
      </c>
      <c r="AH51" s="28">
        <f>IF(('Activity data'!AH20*EF!$H51*EF!$H69)*NtoN2O*kgtoGg=0,"NO",('Activity data'!AH20*EF!$H51*EF!$H69)*NtoN2O*kgtoGg)</f>
        <v>1.7207368558327785</v>
      </c>
      <c r="AI51" s="28">
        <f>IF(('Activity data'!AI20*EF!$H51*EF!H69)*NtoN2O*kgtoGg=0,"NO",('Activity data'!AI20*EF!$H51*EF!H69)*NtoN2O*kgtoGg)</f>
        <v>1.7153529254443873</v>
      </c>
      <c r="AJ51" s="28">
        <f>IF(('Activity data'!AJ20*EF!$H51*EF!I69)*NtoN2O*kgtoGg=0,"NO",('Activity data'!AJ20*EF!$H51*EF!I69)*NtoN2O*kgtoGg)</f>
        <v>1.7142313641539435</v>
      </c>
      <c r="AK51" s="28">
        <f>IF(('Activity data'!AK20*EF!$H51*EF!J69)*NtoN2O*kgtoGg=0,"NO",('Activity data'!AK20*EF!$H51*EF!J69)*NtoN2O*kgtoGg)</f>
        <v>1.6856374848225169</v>
      </c>
      <c r="AL51" s="28">
        <f>IF(('Activity data'!AL20*EF!$H51*EF!K69)*NtoN2O*kgtoGg=0,"NO",('Activity data'!AL20*EF!$H51*EF!K69)*NtoN2O*kgtoGg)</f>
        <v>1.4045469015643526</v>
      </c>
      <c r="AM51" s="28">
        <f>IF(('Activity data'!AM20*EF!$H51*EF!L69)*NtoN2O*kgtoGg=0,"NO",('Activity data'!AM20*EF!$H51*EF!L69)*NtoN2O*kgtoGg)</f>
        <v>1.4459775319383337</v>
      </c>
      <c r="AN51" s="28">
        <f>IF(('Activity data'!AN20*EF!$H51*EF!M69)*NtoN2O*kgtoGg=0,"NO",('Activity data'!AN20*EF!$H51*EF!M69)*NtoN2O*kgtoGg)</f>
        <v>1.480607974450509</v>
      </c>
      <c r="AO51" s="28">
        <f>IF(('Activity data'!AO20*EF!$H51*EF!N69)*NtoN2O*kgtoGg=0,"NO",('Activity data'!AO20*EF!$H51*EF!N69)*NtoN2O*kgtoGg)</f>
        <v>1.5151543903265086</v>
      </c>
      <c r="AP51" s="28">
        <f>IF(('Activity data'!AP20*EF!$H51*EF!O69)*NtoN2O*kgtoGg=0,"NO",('Activity data'!AP20*EF!$H51*EF!O69)*NtoN2O*kgtoGg)</f>
        <v>1.5601003686418904</v>
      </c>
      <c r="AQ51" s="28">
        <f>IF(('Activity data'!AQ20*EF!$H51*EF!P69)*NtoN2O*kgtoGg=0,"NO",('Activity data'!AQ20*EF!$H51*EF!P69)*NtoN2O*kgtoGg)</f>
        <v>1.6049114332445515</v>
      </c>
      <c r="AR51" s="28">
        <f>IF(('Activity data'!AR20*EF!$H51*EF!Q69)*NtoN2O*kgtoGg=0,"NO",('Activity data'!AR20*EF!$H51*EF!Q69)*NtoN2O*kgtoGg)</f>
        <v>1.6541109963656262</v>
      </c>
      <c r="AS51" s="28">
        <f>IF(('Activity data'!AS20*EF!$H51*EF!R69)*NtoN2O*kgtoGg=0,"NO",('Activity data'!AS20*EF!$H51*EF!R69)*NtoN2O*kgtoGg)</f>
        <v>1.7006835408755379</v>
      </c>
      <c r="AT51" s="28">
        <f>IF(('Activity data'!AT20*EF!$H51*EF!S69)*NtoN2O*kgtoGg=0,"NO",('Activity data'!AT20*EF!$H51*EF!S69)*NtoN2O*kgtoGg)</f>
        <v>1.7512278539533319</v>
      </c>
      <c r="AU51" s="28">
        <f>IF(('Activity data'!AU20*EF!$H51*EF!T69)*NtoN2O*kgtoGg=0,"NO",('Activity data'!AU20*EF!$H51*EF!T69)*NtoN2O*kgtoGg)</f>
        <v>1.7968025285418052</v>
      </c>
      <c r="AV51" s="28">
        <f>IF(('Activity data'!AV20*EF!$H51*EF!U69)*NtoN2O*kgtoGg=0,"NO",('Activity data'!AV20*EF!$H51*EF!U69)*NtoN2O*kgtoGg)</f>
        <v>1.8437229492039162</v>
      </c>
      <c r="AW51" s="28">
        <f>IF(('Activity data'!AW20*EF!$H51*EF!V69)*NtoN2O*kgtoGg=0,"NO",('Activity data'!AW20*EF!$H51*EF!V69)*NtoN2O*kgtoGg)</f>
        <v>1.9060767826661782</v>
      </c>
      <c r="AX51" s="28">
        <f>IF(('Activity data'!AX20*EF!$H51*EF!W69)*NtoN2O*kgtoGg=0,"NO",('Activity data'!AX20*EF!$H51*EF!W69)*NtoN2O*kgtoGg)</f>
        <v>1.9745333748476768</v>
      </c>
      <c r="AY51" s="28">
        <f>IF(('Activity data'!AY20*EF!$H51*EF!X69)*NtoN2O*kgtoGg=0,"NO",('Activity data'!AY20*EF!$H51*EF!X69)*NtoN2O*kgtoGg)</f>
        <v>2.0454043901813557</v>
      </c>
      <c r="AZ51" s="28">
        <f>IF(('Activity data'!AZ20*EF!$H51*EF!Y69)*NtoN2O*kgtoGg=0,"NO",('Activity data'!AZ20*EF!$H51*EF!Y69)*NtoN2O*kgtoGg)</f>
        <v>2.0375124323750504</v>
      </c>
      <c r="BA51" s="28">
        <f>IF(('Activity data'!BA20*EF!$H51*EF!Z69)*NtoN2O*kgtoGg=0,"NO",('Activity data'!BA20*EF!$H51*EF!Z69)*NtoN2O*kgtoGg)</f>
        <v>-1.7670360622808823</v>
      </c>
      <c r="BB51" s="28">
        <f>IF(('Activity data'!BB20*EF!$H51*EF!AA69)*NtoN2O*kgtoGg=0,"NO",('Activity data'!BB20*EF!$H51*EF!AA69)*NtoN2O*kgtoGg)</f>
        <v>-1.769567863105443</v>
      </c>
      <c r="BC51" s="28">
        <f>IF(('Activity data'!BC20*EF!$H51*EF!AB69)*NtoN2O*kgtoGg=0,"NO",('Activity data'!BC20*EF!$H51*EF!AB69)*NtoN2O*kgtoGg)</f>
        <v>-1.7723139091947202</v>
      </c>
      <c r="BD51" s="28">
        <f>IF(('Activity data'!BD20*EF!$H51*EF!AC69)*NtoN2O*kgtoGg=0,"NO",('Activity data'!BD20*EF!$H51*EF!AC69)*NtoN2O*kgtoGg)</f>
        <v>-1.775265259663616</v>
      </c>
      <c r="BE51" s="28">
        <f>IF(('Activity data'!BE20*EF!$H51*EF!AD69)*NtoN2O*kgtoGg=0,"NO",('Activity data'!BE20*EF!$H51*EF!AD69)*NtoN2O*kgtoGg)</f>
        <v>-1.7784136680871927</v>
      </c>
      <c r="BF51" s="28">
        <f>IF(('Activity data'!BF20*EF!$H51*EF!AE69)*NtoN2O*kgtoGg=0,"NO",('Activity data'!BF20*EF!$H51*EF!AE69)*NtoN2O*kgtoGg)</f>
        <v>-1.7817515157915651</v>
      </c>
      <c r="BG51" s="28">
        <f>IF(('Activity data'!BG20*EF!$H51*EF!AF69)*NtoN2O*kgtoGg=0,"NO",('Activity data'!BG20*EF!$H51*EF!AF69)*NtoN2O*kgtoGg)</f>
        <v>-1.7831253143927157</v>
      </c>
      <c r="BH51" s="28">
        <f>IF(('Activity data'!BH20*EF!$H51*EF!AG69)*NtoN2O*kgtoGg=0,"NO",('Activity data'!BH20*EF!$H51*EF!AG69)*NtoN2O*kgtoGg)</f>
        <v>-1.7846712895501273</v>
      </c>
      <c r="BI51" s="28">
        <f>IF(('Activity data'!BI20*EF!$H51*EF!AH69)*NtoN2O*kgtoGg=0,"NO",('Activity data'!BI20*EF!$H51*EF!AH69)*NtoN2O*kgtoGg)</f>
        <v>-1.7863827557357852</v>
      </c>
      <c r="BJ51" s="28">
        <f>IF(('Activity data'!BJ20*EF!$H51*EF!AI69)*NtoN2O*kgtoGg=0,"NO",('Activity data'!BJ20*EF!$H51*EF!AI69)*NtoN2O*kgtoGg)</f>
        <v>-1.788253486478437</v>
      </c>
      <c r="BK51" s="28">
        <f>IF(('Activity data'!BK20*EF!$H51*EF!AJ69)*NtoN2O*kgtoGg=0,"NO",('Activity data'!BK20*EF!$H51*EF!AJ69)*NtoN2O*kgtoGg)</f>
        <v>-1.79027767491833</v>
      </c>
      <c r="BL51" s="28">
        <f>IF(('Activity data'!BL20*EF!$H51*EF!AK69)*NtoN2O*kgtoGg=0,"NO",('Activity data'!BL20*EF!$H51*EF!AK69)*NtoN2O*kgtoGg)</f>
        <v>-1.7903062211735206</v>
      </c>
      <c r="BM51" s="28">
        <f>IF(('Activity data'!BM20*EF!$H51*EF!AL69)*NtoN2O*kgtoGg=0,"NO",('Activity data'!BM20*EF!$H51*EF!AL69)*NtoN2O*kgtoGg)</f>
        <v>-1.7904768825126722</v>
      </c>
      <c r="BN51" s="28">
        <f>IF(('Activity data'!BN20*EF!$H51*EF!AM69)*NtoN2O*kgtoGg=0,"NO",('Activity data'!BN20*EF!$H51*EF!AM69)*NtoN2O*kgtoGg)</f>
        <v>-1.7907844045675889</v>
      </c>
      <c r="BO51" s="28">
        <f>IF(('Activity data'!BO20*EF!$H51*EF!AN69)*NtoN2O*kgtoGg=0,"NO",('Activity data'!BO20*EF!$H51*EF!AN69)*NtoN2O*kgtoGg)</f>
        <v>-1.7912238548642139</v>
      </c>
      <c r="BP51" s="28">
        <f>IF(('Activity data'!BP20*EF!$H51*EF!AO69)*NtoN2O*kgtoGg=0,"NO",('Activity data'!BP20*EF!$H51*EF!AO69)*NtoN2O*kgtoGg)</f>
        <v>-1.7917905978217188</v>
      </c>
    </row>
    <row r="52" spans="1:68" x14ac:dyDescent="0.25">
      <c r="A52" t="str">
        <f t="shared" si="1"/>
        <v>3A Livestock</v>
      </c>
      <c r="B52" t="str">
        <f t="shared" si="11"/>
        <v>3A2 Manure management (N2O)</v>
      </c>
      <c r="C52" t="str">
        <f>EF!C70</f>
        <v>3A2i Poultry</v>
      </c>
      <c r="D52" t="str">
        <f>EF!D70</f>
        <v>Subsistence layers</v>
      </c>
      <c r="E52" t="str">
        <f t="shared" si="9"/>
        <v>Manure management Emissions</v>
      </c>
      <c r="F52" t="s">
        <v>139</v>
      </c>
      <c r="G52" t="str">
        <f t="shared" si="10"/>
        <v>Gg N2O</v>
      </c>
      <c r="H52" s="28">
        <f>IF(('Activity data'!H21*EF!$H52*EF!$H70)*NtoN2O*kgtoGg=0,"NO",('Activity data'!H21*EF!$H52*EF!$H70)*NtoN2O*kgtoGg)</f>
        <v>8.5243760509896623E-3</v>
      </c>
      <c r="I52" s="28">
        <f>IF(('Activity data'!I21*EF!$H52*EF!$H70)*NtoN2O*kgtoGg=0,"NO",('Activity data'!I21*EF!$H52*EF!$H70)*NtoN2O*kgtoGg)</f>
        <v>8.2813036260724598E-3</v>
      </c>
      <c r="J52" s="28">
        <f>IF(('Activity data'!J21*EF!$H52*EF!$H70)*NtoN2O*kgtoGg=0,"NO",('Activity data'!J21*EF!$H52*EF!$H70)*NtoN2O*kgtoGg)</f>
        <v>7.8542404359692557E-3</v>
      </c>
      <c r="K52" s="28">
        <f>IF(('Activity data'!K21*EF!$H52*EF!$H70)*NtoN2O*kgtoGg=0,"NO",('Activity data'!K21*EF!$H52*EF!$H70)*NtoN2O*kgtoGg)</f>
        <v>7.7307463298428268E-3</v>
      </c>
      <c r="L52" s="28">
        <f>IF(('Activity data'!L21*EF!$H52*EF!$H70)*NtoN2O*kgtoGg=0,"NO",('Activity data'!L21*EF!$H52*EF!$H70)*NtoN2O*kgtoGg)</f>
        <v>7.394486699027595E-3</v>
      </c>
      <c r="M52" s="28">
        <f>IF(('Activity data'!M21*EF!$H52*EF!$H70)*NtoN2O*kgtoGg=0,"NO",('Activity data'!M21*EF!$H52*EF!$H70)*NtoN2O*kgtoGg)</f>
        <v>8.0683053341030469E-3</v>
      </c>
      <c r="N52" s="28">
        <f>IF(('Activity data'!N21*EF!$H52*EF!$H70)*NtoN2O*kgtoGg=0,"NO",('Activity data'!N21*EF!$H52*EF!$H70)*NtoN2O*kgtoGg)</f>
        <v>8.5225928029387995E-3</v>
      </c>
      <c r="O52" s="28">
        <f>IF(('Activity data'!O21*EF!$H52*EF!$H70)*NtoN2O*kgtoGg=0,"NO",('Activity data'!O21*EF!$H52*EF!$H70)*NtoN2O*kgtoGg)</f>
        <v>8.55061823412555E-3</v>
      </c>
      <c r="P52" s="28">
        <f>IF(('Activity data'!P21*EF!$H52*EF!$H70)*NtoN2O*kgtoGg=0,"NO",('Activity data'!P21*EF!$H52*EF!$H70)*NtoN2O*kgtoGg)</f>
        <v>9.627274618194244E-3</v>
      </c>
      <c r="Q52" s="28">
        <f>IF(('Activity data'!Q21*EF!$H52*EF!$H70)*NtoN2O*kgtoGg=0,"NO",('Activity data'!Q21*EF!$H52*EF!$H70)*NtoN2O*kgtoGg)</f>
        <v>1.0321404479128861E-2</v>
      </c>
      <c r="R52" s="28">
        <f>IF(('Activity data'!R21*EF!$H52*EF!$H70)*NtoN2O*kgtoGg=0,"NO",('Activity data'!R21*EF!$H52*EF!$H70)*NtoN2O*kgtoGg)</f>
        <v>1.010271047950061E-2</v>
      </c>
      <c r="S52" s="28">
        <f>IF(('Activity data'!S21*EF!$H52*EF!$H70)*NtoN2O*kgtoGg=0,"NO",('Activity data'!S21*EF!$H52*EF!$H70)*NtoN2O*kgtoGg)</f>
        <v>1.0372214756607131E-2</v>
      </c>
      <c r="T52" s="28">
        <f>IF(('Activity data'!T21*EF!$H52*EF!$H70)*NtoN2O*kgtoGg=0,"NO",('Activity data'!T21*EF!$H52*EF!$H70)*NtoN2O*kgtoGg)</f>
        <v>1.0290807756416174E-2</v>
      </c>
      <c r="U52" s="28">
        <f>IF(('Activity data'!U21*EF!$H52*EF!$H70)*NtoN2O*kgtoGg=0,"NO",('Activity data'!U21*EF!$H52*EF!$H70)*NtoN2O*kgtoGg)</f>
        <v>9.8799729665679584E-3</v>
      </c>
      <c r="V52" s="28">
        <f>IF(('Activity data'!V21*EF!$H52*EF!$H70)*NtoN2O*kgtoGg=0,"NO",('Activity data'!V21*EF!$H52*EF!$H70)*NtoN2O*kgtoGg)</f>
        <v>1.0238231028606104E-2</v>
      </c>
      <c r="W52" s="28">
        <f>IF(('Activity data'!W21*EF!$H52*EF!$H70)*NtoN2O*kgtoGg=0,"NO",('Activity data'!W21*EF!$H52*EF!$H70)*NtoN2O*kgtoGg)</f>
        <v>1.085560173037158E-2</v>
      </c>
      <c r="X52" s="28">
        <f>IF(('Activity data'!X21*EF!$H52*EF!$H70)*NtoN2O*kgtoGg=0,"NO",('Activity data'!X21*EF!$H52*EF!$H70)*NtoN2O*kgtoGg)</f>
        <v>1.1980432313982685E-2</v>
      </c>
      <c r="Y52" s="28">
        <f>IF(('Activity data'!Y21*EF!$H52*EF!$H70)*NtoN2O*kgtoGg=0,"NO",('Activity data'!Y21*EF!$H52*EF!$H70)*NtoN2O*kgtoGg)</f>
        <v>1.3258412654313281E-2</v>
      </c>
      <c r="Z52" s="28">
        <f>IF(('Activity data'!Z21*EF!$H52*EF!$H70)*NtoN2O*kgtoGg=0,"NO",('Activity data'!Z21*EF!$H52*EF!$H70)*NtoN2O*kgtoGg)</f>
        <v>1.3433024325241976E-2</v>
      </c>
      <c r="AA52" s="28">
        <f>IF(('Activity data'!AA21*EF!$H52*EF!$H70)*NtoN2O*kgtoGg=0,"NO",('Activity data'!AA21*EF!$H52*EF!$H70)*NtoN2O*kgtoGg)</f>
        <v>1.2937796671040344E-2</v>
      </c>
      <c r="AB52" s="28">
        <f>IF(('Activity data'!AB21*EF!$H52*EF!$H70)*NtoN2O*kgtoGg=0,"NO",('Activity data'!AB21*EF!$H52*EF!$H70)*NtoN2O*kgtoGg)</f>
        <v>1.3441768554842816E-2</v>
      </c>
      <c r="AC52" s="28">
        <f>IF(('Activity data'!AC21*EF!$H52*EF!$H70)*NtoN2O*kgtoGg=0,"NO",('Activity data'!AC21*EF!$H52*EF!$H70)*NtoN2O*kgtoGg)</f>
        <v>1.4062204549784241E-2</v>
      </c>
      <c r="AD52" s="28">
        <f>IF(('Activity data'!AD21*EF!$H52*EF!$H70)*NtoN2O*kgtoGg=0,"NO",('Activity data'!AD21*EF!$H52*EF!$H70)*NtoN2O*kgtoGg)</f>
        <v>1.3734785466564569E-2</v>
      </c>
      <c r="AE52" s="28">
        <f>IF(('Activity data'!AE21*EF!$H52*EF!$H70)*NtoN2O*kgtoGg=0,"NO",('Activity data'!AE21*EF!$H52*EF!$H70)*NtoN2O*kgtoGg)</f>
        <v>1.40322217607344E-2</v>
      </c>
      <c r="AF52" s="28">
        <f>IF(('Activity data'!AF21*EF!$H52*EF!$H70)*NtoN2O*kgtoGg=0,"NO",('Activity data'!AF21*EF!$H52*EF!$H70)*NtoN2O*kgtoGg)</f>
        <v>1.4271883308885947E-2</v>
      </c>
      <c r="AG52" s="28">
        <f>IF(('Activity data'!AG21*EF!$H52*EF!$H70)*NtoN2O*kgtoGg=0,"NO",('Activity data'!AG21*EF!$H52*EF!$H70)*NtoN2O*kgtoGg)</f>
        <v>1.442847469109686E-2</v>
      </c>
      <c r="AH52" s="28">
        <f>IF(('Activity data'!AH21*EF!$H52*EF!$H70)*NtoN2O*kgtoGg=0,"NO",('Activity data'!AH21*EF!$H52*EF!$H70)*NtoN2O*kgtoGg)</f>
        <v>1.4587191521362352E-2</v>
      </c>
      <c r="AI52" s="28">
        <f>IF(('Activity data'!AI21*EF!$H52*EF!H70)*NtoN2O*kgtoGg=0,"NO",('Activity data'!AI21*EF!$H52*EF!H70)*NtoN2O*kgtoGg)</f>
        <v>1.4791807461602316E-2</v>
      </c>
      <c r="AJ52" s="28">
        <f>IF(('Activity data'!AJ21*EF!$H52*EF!I70)*NtoN2O*kgtoGg=0,"NO",('Activity data'!AJ21*EF!$H52*EF!I70)*NtoN2O*kgtoGg)</f>
        <v>1.5010624441484299E-2</v>
      </c>
      <c r="AK52" s="28">
        <f>IF(('Activity data'!AK21*EF!$H52*EF!J70)*NtoN2O*kgtoGg=0,"NO",('Activity data'!AK21*EF!$H52*EF!J70)*NtoN2O*kgtoGg)</f>
        <v>1.5137878207622494E-2</v>
      </c>
      <c r="AL52" s="28">
        <f>IF(('Activity data'!AL21*EF!$H52*EF!K70)*NtoN2O*kgtoGg=0,"NO",('Activity data'!AL21*EF!$H52*EF!K70)*NtoN2O*kgtoGg)</f>
        <v>1.4405808617287252E-2</v>
      </c>
      <c r="AM52" s="28">
        <f>IF(('Activity data'!AM21*EF!$H52*EF!L70)*NtoN2O*kgtoGg=0,"NO",('Activity data'!AM21*EF!$H52*EF!L70)*NtoN2O*kgtoGg)</f>
        <v>1.471508187327387E-2</v>
      </c>
      <c r="AN52" s="28">
        <f>IF(('Activity data'!AN21*EF!$H52*EF!M70)*NtoN2O*kgtoGg=0,"NO",('Activity data'!AN21*EF!$H52*EF!M70)*NtoN2O*kgtoGg)</f>
        <v>1.5003788469876761E-2</v>
      </c>
      <c r="AO52" s="28">
        <f>IF(('Activity data'!AO21*EF!$H52*EF!N70)*NtoN2O*kgtoGg=0,"NO",('Activity data'!AO21*EF!$H52*EF!N70)*NtoN2O*kgtoGg)</f>
        <v>1.5294774250032041E-2</v>
      </c>
      <c r="AP52" s="28">
        <f>IF(('Activity data'!AP21*EF!$H52*EF!O70)*NtoN2O*kgtoGg=0,"NO",('Activity data'!AP21*EF!$H52*EF!O70)*NtoN2O*kgtoGg)</f>
        <v>1.5625023048607179E-2</v>
      </c>
      <c r="AQ52" s="28">
        <f>IF(('Activity data'!AQ21*EF!$H52*EF!P70)*NtoN2O*kgtoGg=0,"NO",('Activity data'!AQ21*EF!$H52*EF!P70)*NtoN2O*kgtoGg)</f>
        <v>1.5958015135036502E-2</v>
      </c>
      <c r="AR52" s="28">
        <f>IF(('Activity data'!AR21*EF!$H52*EF!Q70)*NtoN2O*kgtoGg=0,"NO",('Activity data'!AR21*EF!$H52*EF!Q70)*NtoN2O*kgtoGg)</f>
        <v>1.6291430406484061E-2</v>
      </c>
      <c r="AS52" s="28">
        <f>IF(('Activity data'!AS21*EF!$H52*EF!R70)*NtoN2O*kgtoGg=0,"NO",('Activity data'!AS21*EF!$H52*EF!R70)*NtoN2O*kgtoGg)</f>
        <v>1.6618414761251227E-2</v>
      </c>
      <c r="AT52" s="28">
        <f>IF(('Activity data'!AT21*EF!$H52*EF!S70)*NtoN2O*kgtoGg=0,"NO",('Activity data'!AT21*EF!$H52*EF!S70)*NtoN2O*kgtoGg)</f>
        <v>1.6962775655512932E-2</v>
      </c>
      <c r="AU52" s="28">
        <f>IF(('Activity data'!AU21*EF!$H52*EF!T70)*NtoN2O*kgtoGg=0,"NO",('Activity data'!AU21*EF!$H52*EF!T70)*NtoN2O*kgtoGg)</f>
        <v>1.7292004829036017E-2</v>
      </c>
      <c r="AV52" s="28">
        <f>IF(('Activity data'!AV21*EF!$H52*EF!U70)*NtoN2O*kgtoGg=0,"NO",('Activity data'!AV21*EF!$H52*EF!U70)*NtoN2O*kgtoGg)</f>
        <v>1.7629042012552724E-2</v>
      </c>
      <c r="AW52" s="28">
        <f>IF(('Activity data'!AW21*EF!$H52*EF!V70)*NtoN2O*kgtoGg=0,"NO",('Activity data'!AW21*EF!$H52*EF!V70)*NtoN2O*kgtoGg)</f>
        <v>1.8011177597074678E-2</v>
      </c>
      <c r="AX52" s="28">
        <f>IF(('Activity data'!AX21*EF!$H52*EF!W70)*NtoN2O*kgtoGg=0,"NO",('Activity data'!AX21*EF!$H52*EF!W70)*NtoN2O*kgtoGg)</f>
        <v>1.8419650159724663E-2</v>
      </c>
      <c r="AY52" s="28">
        <f>IF(('Activity data'!AY21*EF!$H52*EF!X70)*NtoN2O*kgtoGg=0,"NO",('Activity data'!AY21*EF!$H52*EF!X70)*NtoN2O*kgtoGg)</f>
        <v>1.884097345686063E-2</v>
      </c>
      <c r="AZ52" s="28">
        <f>IF(('Activity data'!AZ21*EF!$H52*EF!Y70)*NtoN2O*kgtoGg=0,"NO",('Activity data'!AZ21*EF!$H52*EF!Y70)*NtoN2O*kgtoGg)</f>
        <v>1.8966380056877074E-2</v>
      </c>
      <c r="BA52" s="28">
        <f>IF(('Activity data'!BA21*EF!$H52*EF!Z70)*NtoN2O*kgtoGg=0,"NO",('Activity data'!BA21*EF!$H52*EF!Z70)*NtoN2O*kgtoGg)</f>
        <v>4.546068341225425E-3</v>
      </c>
      <c r="BB52" s="28">
        <f>IF(('Activity data'!BB21*EF!$H52*EF!AA70)*NtoN2O*kgtoGg=0,"NO",('Activity data'!BB21*EF!$H52*EF!AA70)*NtoN2O*kgtoGg)</f>
        <v>4.5810087211234788E-3</v>
      </c>
      <c r="BC52" s="28">
        <f>IF(('Activity data'!BC21*EF!$H52*EF!AB70)*NtoN2O*kgtoGg=0,"NO",('Activity data'!BC21*EF!$H52*EF!AB70)*NtoN2O*kgtoGg)</f>
        <v>4.6162034936060832E-3</v>
      </c>
      <c r="BD52" s="28">
        <f>IF(('Activity data'!BD21*EF!$H52*EF!AC70)*NtoN2O*kgtoGg=0,"NO",('Activity data'!BD21*EF!$H52*EF!AC70)*NtoN2O*kgtoGg)</f>
        <v>4.651654595802618E-3</v>
      </c>
      <c r="BE52" s="28">
        <f>IF(('Activity data'!BE21*EF!$H52*EF!AD70)*NtoN2O*kgtoGg=0,"NO",('Activity data'!BE21*EF!$H52*EF!AD70)*NtoN2O*kgtoGg)</f>
        <v>4.6873639736392985E-3</v>
      </c>
      <c r="BF52" s="28">
        <f>IF(('Activity data'!BF21*EF!$H52*EF!AE70)*NtoN2O*kgtoGg=0,"NO",('Activity data'!BF21*EF!$H52*EF!AE70)*NtoN2O*kgtoGg)</f>
        <v>4.7233335824115215E-3</v>
      </c>
      <c r="BG52" s="28">
        <f>IF(('Activity data'!BG21*EF!$H52*EF!AF70)*NtoN2O*kgtoGg=0,"NO",('Activity data'!BG21*EF!$H52*EF!AF70)*NtoN2O*kgtoGg)</f>
        <v>4.7540821229171398E-3</v>
      </c>
      <c r="BH52" s="28">
        <f>IF(('Activity data'!BH21*EF!$H52*EF!AG70)*NtoN2O*kgtoGg=0,"NO",('Activity data'!BH21*EF!$H52*EF!AG70)*NtoN2O*kgtoGg)</f>
        <v>4.7850204669563062E-3</v>
      </c>
      <c r="BI52" s="28">
        <f>IF(('Activity data'!BI21*EF!$H52*EF!AH70)*NtoN2O*kgtoGg=0,"NO",('Activity data'!BI21*EF!$H52*EF!AH70)*NtoN2O*kgtoGg)</f>
        <v>4.8161498482772597E-3</v>
      </c>
      <c r="BJ52" s="28">
        <f>IF(('Activity data'!BJ21*EF!$H52*EF!AI70)*NtoN2O*kgtoGg=0,"NO",('Activity data'!BJ21*EF!$H52*EF!AI70)*NtoN2O*kgtoGg)</f>
        <v>4.8474715047566626E-3</v>
      </c>
      <c r="BK52" s="28">
        <f>IF(('Activity data'!BK21*EF!$H52*EF!AJ70)*NtoN2O*kgtoGg=0,"NO",('Activity data'!BK21*EF!$H52*EF!AJ70)*NtoN2O*kgtoGg)</f>
        <v>4.8789866787234456E-3</v>
      </c>
      <c r="BL52" s="28">
        <f>IF(('Activity data'!BL21*EF!$H52*EF!AK70)*NtoN2O*kgtoGg=0,"NO",('Activity data'!BL21*EF!$H52*EF!AK70)*NtoN2O*kgtoGg)</f>
        <v>4.9050616092112158E-3</v>
      </c>
      <c r="BM52" s="28">
        <f>IF(('Activity data'!BM21*EF!$H52*EF!AL70)*NtoN2O*kgtoGg=0,"NO",('Activity data'!BM21*EF!$H52*EF!AL70)*NtoN2O*kgtoGg)</f>
        <v>4.9312686367658596E-3</v>
      </c>
      <c r="BN52" s="28">
        <f>IF(('Activity data'!BN21*EF!$H52*EF!AM70)*NtoN2O*kgtoGg=0,"NO",('Activity data'!BN21*EF!$H52*EF!AM70)*NtoN2O*kgtoGg)</f>
        <v>4.9576084778655159E-3</v>
      </c>
      <c r="BO52" s="28">
        <f>IF(('Activity data'!BO21*EF!$H52*EF!AN70)*NtoN2O*kgtoGg=0,"NO",('Activity data'!BO21*EF!$H52*EF!AN70)*NtoN2O*kgtoGg)</f>
        <v>4.9840818501936824E-3</v>
      </c>
      <c r="BP52" s="28">
        <f>IF(('Activity data'!BP21*EF!$H52*EF!AO70)*NtoN2O*kgtoGg=0,"NO",('Activity data'!BP21*EF!$H52*EF!AO70)*NtoN2O*kgtoGg)</f>
        <v>5.0106894728324993E-3</v>
      </c>
    </row>
    <row r="53" spans="1:68" x14ac:dyDescent="0.25">
      <c r="A53" t="str">
        <f t="shared" si="1"/>
        <v>3A Livestock</v>
      </c>
      <c r="B53" t="str">
        <f t="shared" si="11"/>
        <v>3A2 Manure management (N2O)</v>
      </c>
      <c r="C53" t="str">
        <f>EF!C71</f>
        <v>3A2i Poultry</v>
      </c>
      <c r="D53" t="str">
        <f>EF!D71</f>
        <v>Subsistence broilers</v>
      </c>
      <c r="E53" t="str">
        <f t="shared" si="9"/>
        <v>Manure management Emissions</v>
      </c>
      <c r="F53" t="s">
        <v>139</v>
      </c>
      <c r="G53" t="str">
        <f t="shared" si="10"/>
        <v>Gg N2O</v>
      </c>
      <c r="H53" s="28">
        <f>IF(('Activity data'!H22*EF!$H53*EF!$H71)*NtoN2O*kgtoGg=0,"NO",('Activity data'!H22*EF!$H53*EF!$H71)*NtoN2O*kgtoGg)</f>
        <v>3.0631007930708259E-2</v>
      </c>
      <c r="I53" s="28">
        <f>IF(('Activity data'!I22*EF!$H53*EF!$H71)*NtoN2O*kgtoGg=0,"NO",('Activity data'!I22*EF!$H53*EF!$H71)*NtoN2O*kgtoGg)</f>
        <v>2.8793147492029023E-2</v>
      </c>
      <c r="J53" s="28">
        <f>IF(('Activity data'!J22*EF!$H53*EF!$H71)*NtoN2O*kgtoGg=0,"NO",('Activity data'!J22*EF!$H53*EF!$H71)*NtoN2O*kgtoGg)</f>
        <v>2.7211584095723697E-2</v>
      </c>
      <c r="K53" s="28">
        <f>IF(('Activity data'!K22*EF!$H53*EF!$H71)*NtoN2O*kgtoGg=0,"NO",('Activity data'!K22*EF!$H53*EF!$H71)*NtoN2O*kgtoGg)</f>
        <v>3.0603358919319371E-2</v>
      </c>
      <c r="L53" s="28">
        <f>IF(('Activity data'!L22*EF!$H53*EF!$H71)*NtoN2O*kgtoGg=0,"NO",('Activity data'!L22*EF!$H53*EF!$H71)*NtoN2O*kgtoGg)</f>
        <v>3.0316338003134366E-2</v>
      </c>
      <c r="M53" s="28">
        <f>IF(('Activity data'!M22*EF!$H53*EF!$H71)*NtoN2O*kgtoGg=0,"NO",('Activity data'!M22*EF!$H53*EF!$H71)*NtoN2O*kgtoGg)</f>
        <v>3.4701480680698171E-2</v>
      </c>
      <c r="N53" s="28">
        <f>IF(('Activity data'!N22*EF!$H53*EF!$H71)*NtoN2O*kgtoGg=0,"NO",('Activity data'!N22*EF!$H53*EF!$H71)*NtoN2O*kgtoGg)</f>
        <v>4.0348877484152244E-2</v>
      </c>
      <c r="O53" s="28">
        <f>IF(('Activity data'!O22*EF!$H53*EF!$H71)*NtoN2O*kgtoGg=0,"NO",('Activity data'!O22*EF!$H53*EF!$H71)*NtoN2O*kgtoGg)</f>
        <v>4.1070545099867725E-2</v>
      </c>
      <c r="P53" s="28">
        <f>IF(('Activity data'!P22*EF!$H53*EF!$H71)*NtoN2O*kgtoGg=0,"NO",('Activity data'!P22*EF!$H53*EF!$H71)*NtoN2O*kgtoGg)</f>
        <v>4.5002347826211216E-2</v>
      </c>
      <c r="Q53" s="28">
        <f>IF(('Activity data'!Q22*EF!$H53*EF!$H71)*NtoN2O*kgtoGg=0,"NO",('Activity data'!Q22*EF!$H53*EF!$H71)*NtoN2O*kgtoGg)</f>
        <v>4.6981946328317245E-2</v>
      </c>
      <c r="R53" s="28">
        <f>IF(('Activity data'!R22*EF!$H53*EF!$H71)*NtoN2O*kgtoGg=0,"NO",('Activity data'!R22*EF!$H53*EF!$H71)*NtoN2O*kgtoGg)</f>
        <v>5.0549112201340313E-2</v>
      </c>
      <c r="S53" s="28">
        <f>IF(('Activity data'!S22*EF!$H53*EF!$H71)*NtoN2O*kgtoGg=0,"NO",('Activity data'!S22*EF!$H53*EF!$H71)*NtoN2O*kgtoGg)</f>
        <v>4.8810479324796478E-2</v>
      </c>
      <c r="T53" s="28">
        <f>IF(('Activity data'!T22*EF!$H53*EF!$H71)*NtoN2O*kgtoGg=0,"NO",('Activity data'!T22*EF!$H53*EF!$H71)*NtoN2O*kgtoGg)</f>
        <v>5.4097843457843853E-2</v>
      </c>
      <c r="U53" s="28">
        <f>IF(('Activity data'!U22*EF!$H53*EF!$H71)*NtoN2O*kgtoGg=0,"NO",('Activity data'!U22*EF!$H53*EF!$H71)*NtoN2O*kgtoGg)</f>
        <v>5.1455215854469313E-2</v>
      </c>
      <c r="V53" s="28">
        <f>IF(('Activity data'!V22*EF!$H53*EF!$H71)*NtoN2O*kgtoGg=0,"NO",('Activity data'!V22*EF!$H53*EF!$H71)*NtoN2O*kgtoGg)</f>
        <v>5.2697389652281851E-2</v>
      </c>
      <c r="W53" s="28">
        <f>IF(('Activity data'!W22*EF!$H53*EF!$H71)*NtoN2O*kgtoGg=0,"NO",('Activity data'!W22*EF!$H53*EF!$H71)*NtoN2O*kgtoGg)</f>
        <v>5.8308328376461827E-2</v>
      </c>
      <c r="X53" s="28">
        <f>IF(('Activity data'!X22*EF!$H53*EF!$H71)*NtoN2O*kgtoGg=0,"NO",('Activity data'!X22*EF!$H53*EF!$H71)*NtoN2O*kgtoGg)</f>
        <v>6.236620689468618E-2</v>
      </c>
      <c r="Y53" s="28">
        <f>IF(('Activity data'!Y22*EF!$H53*EF!$H71)*NtoN2O*kgtoGg=0,"NO",('Activity data'!Y22*EF!$H53*EF!$H71)*NtoN2O*kgtoGg)</f>
        <v>6.5252147495665797E-2</v>
      </c>
      <c r="Z53" s="28">
        <f>IF(('Activity data'!Z22*EF!$H53*EF!$H71)*NtoN2O*kgtoGg=0,"NO",('Activity data'!Z22*EF!$H53*EF!$H71)*NtoN2O*kgtoGg)</f>
        <v>6.9475819230302827E-2</v>
      </c>
      <c r="AA53" s="28">
        <f>IF(('Activity data'!AA22*EF!$H53*EF!$H71)*NtoN2O*kgtoGg=0,"NO",('Activity data'!AA22*EF!$H53*EF!$H71)*NtoN2O*kgtoGg)</f>
        <v>6.555804138550686E-2</v>
      </c>
      <c r="AB53" s="28">
        <f>IF(('Activity data'!AB22*EF!$H53*EF!$H71)*NtoN2O*kgtoGg=0,"NO",('Activity data'!AB22*EF!$H53*EF!$H71)*NtoN2O*kgtoGg)</f>
        <v>6.7206878400838194E-2</v>
      </c>
      <c r="AC53" s="28">
        <f>IF(('Activity data'!AC22*EF!$H53*EF!$H71)*NtoN2O*kgtoGg=0,"NO",('Activity data'!AC22*EF!$H53*EF!$H71)*NtoN2O*kgtoGg)</f>
        <v>6.9509531922226239E-2</v>
      </c>
      <c r="AD53" s="28">
        <f>IF(('Activity data'!AD22*EF!$H53*EF!$H71)*NtoN2O*kgtoGg=0,"NO",('Activity data'!AD22*EF!$H53*EF!$H71)*NtoN2O*kgtoGg)</f>
        <v>7.1735542892714194E-2</v>
      </c>
      <c r="AE53" s="28">
        <f>IF(('Activity data'!AE22*EF!$H53*EF!$H71)*NtoN2O*kgtoGg=0,"NO",('Activity data'!AE22*EF!$H53*EF!$H71)*NtoN2O*kgtoGg)</f>
        <v>7.2899641050755595E-2</v>
      </c>
      <c r="AF53" s="28">
        <f>IF(('Activity data'!AF22*EF!$H53*EF!$H71)*NtoN2O*kgtoGg=0,"NO",('Activity data'!AF22*EF!$H53*EF!$H71)*NtoN2O*kgtoGg)</f>
        <v>7.3245286101397272E-2</v>
      </c>
      <c r="AG53" s="28">
        <f>IF(('Activity data'!AG22*EF!$H53*EF!$H71)*NtoN2O*kgtoGg=0,"NO",('Activity data'!AG22*EF!$H53*EF!$H71)*NtoN2O*kgtoGg)</f>
        <v>7.2470495750789329E-2</v>
      </c>
      <c r="AH53" s="28">
        <f>IF(('Activity data'!AH22*EF!$H53*EF!$H71)*NtoN2O*kgtoGg=0,"NO",('Activity data'!AH22*EF!$H53*EF!$H71)*NtoN2O*kgtoGg)</f>
        <v>7.1697368993032501E-2</v>
      </c>
      <c r="AI53" s="28">
        <f>IF(('Activity data'!AI22*EF!$H53*EF!H71)*NtoN2O*kgtoGg=0,"NO",('Activity data'!AI22*EF!$H53*EF!H71)*NtoN2O*kgtoGg)</f>
        <v>7.1473038560182875E-2</v>
      </c>
      <c r="AJ53" s="28">
        <f>IF(('Activity data'!AJ22*EF!$H53*EF!I71)*NtoN2O*kgtoGg=0,"NO",('Activity data'!AJ22*EF!$H53*EF!I71)*NtoN2O*kgtoGg)</f>
        <v>7.1426306839747711E-2</v>
      </c>
      <c r="AK53" s="28">
        <f>IF(('Activity data'!AK22*EF!$H53*EF!J71)*NtoN2O*kgtoGg=0,"NO",('Activity data'!AK22*EF!$H53*EF!J71)*NtoN2O*kgtoGg)</f>
        <v>7.0234895200938272E-2</v>
      </c>
      <c r="AL53" s="28">
        <f>IF(('Activity data'!AL22*EF!$H53*EF!K71)*NtoN2O*kgtoGg=0,"NO",('Activity data'!AL22*EF!$H53*EF!K71)*NtoN2O*kgtoGg)</f>
        <v>5.8522787565181415E-2</v>
      </c>
      <c r="AM53" s="28">
        <f>IF(('Activity data'!AM22*EF!$H53*EF!L71)*NtoN2O*kgtoGg=0,"NO",('Activity data'!AM22*EF!$H53*EF!L71)*NtoN2O*kgtoGg)</f>
        <v>6.0249063830763963E-2</v>
      </c>
      <c r="AN53" s="28">
        <f>IF(('Activity data'!AN22*EF!$H53*EF!M71)*NtoN2O*kgtoGg=0,"NO",('Activity data'!AN22*EF!$H53*EF!M71)*NtoN2O*kgtoGg)</f>
        <v>6.1691998935437933E-2</v>
      </c>
      <c r="AO53" s="28">
        <f>IF(('Activity data'!AO22*EF!$H53*EF!N71)*NtoN2O*kgtoGg=0,"NO",('Activity data'!AO22*EF!$H53*EF!N71)*NtoN2O*kgtoGg)</f>
        <v>6.313143293027125E-2</v>
      </c>
      <c r="AP53" s="28">
        <f>IF(('Activity data'!AP22*EF!$H53*EF!O71)*NtoN2O*kgtoGg=0,"NO",('Activity data'!AP22*EF!$H53*EF!O71)*NtoN2O*kgtoGg)</f>
        <v>6.5004182026745502E-2</v>
      </c>
      <c r="AQ53" s="28">
        <f>IF(('Activity data'!AQ22*EF!$H53*EF!P71)*NtoN2O*kgtoGg=0,"NO",('Activity data'!AQ22*EF!$H53*EF!P71)*NtoN2O*kgtoGg)</f>
        <v>6.6871309718523023E-2</v>
      </c>
      <c r="AR53" s="28">
        <f>IF(('Activity data'!AR22*EF!$H53*EF!Q71)*NtoN2O*kgtoGg=0,"NO",('Activity data'!AR22*EF!$H53*EF!Q71)*NtoN2O*kgtoGg)</f>
        <v>6.8921291515234503E-2</v>
      </c>
      <c r="AS53" s="28">
        <f>IF(('Activity data'!AS22*EF!$H53*EF!R71)*NtoN2O*kgtoGg=0,"NO",('Activity data'!AS22*EF!$H53*EF!R71)*NtoN2O*kgtoGg)</f>
        <v>7.086181420314748E-2</v>
      </c>
      <c r="AT53" s="28">
        <f>IF(('Activity data'!AT22*EF!$H53*EF!S71)*NtoN2O*kgtoGg=0,"NO",('Activity data'!AT22*EF!$H53*EF!S71)*NtoN2O*kgtoGg)</f>
        <v>7.2967827248055561E-2</v>
      </c>
      <c r="AU53" s="28">
        <f>IF(('Activity data'!AU22*EF!$H53*EF!T71)*NtoN2O*kgtoGg=0,"NO",('Activity data'!AU22*EF!$H53*EF!T71)*NtoN2O*kgtoGg)</f>
        <v>7.4866772022575287E-2</v>
      </c>
      <c r="AV53" s="28">
        <f>IF(('Activity data'!AV22*EF!$H53*EF!U71)*NtoN2O*kgtoGg=0,"NO",('Activity data'!AV22*EF!$H53*EF!U71)*NtoN2O*kgtoGg)</f>
        <v>7.682178955016325E-2</v>
      </c>
      <c r="AW53" s="28">
        <f>IF(('Activity data'!AW22*EF!$H53*EF!V71)*NtoN2O*kgtoGg=0,"NO",('Activity data'!AW22*EF!$H53*EF!V71)*NtoN2O*kgtoGg)</f>
        <v>7.9419865944424156E-2</v>
      </c>
      <c r="AX53" s="28">
        <f>IF(('Activity data'!AX22*EF!$H53*EF!W71)*NtoN2O*kgtoGg=0,"NO",('Activity data'!AX22*EF!$H53*EF!W71)*NtoN2O*kgtoGg)</f>
        <v>8.2272223951986606E-2</v>
      </c>
      <c r="AY53" s="28">
        <f>IF(('Activity data'!AY22*EF!$H53*EF!X71)*NtoN2O*kgtoGg=0,"NO",('Activity data'!AY22*EF!$H53*EF!X71)*NtoN2O*kgtoGg)</f>
        <v>8.5225182924223236E-2</v>
      </c>
      <c r="AZ53" s="28">
        <f>IF(('Activity data'!AZ22*EF!$H53*EF!Y71)*NtoN2O*kgtoGg=0,"NO",('Activity data'!AZ22*EF!$H53*EF!Y71)*NtoN2O*kgtoGg)</f>
        <v>8.4896351348960508E-2</v>
      </c>
      <c r="BA53" s="28">
        <f>IF(('Activity data'!BA22*EF!$H53*EF!Z71)*NtoN2O*kgtoGg=0,"NO",('Activity data'!BA22*EF!$H53*EF!Z71)*NtoN2O*kgtoGg)</f>
        <v>-7.3626502595036822E-2</v>
      </c>
      <c r="BB53" s="28">
        <f>IF(('Activity data'!BB22*EF!$H53*EF!AA71)*NtoN2O*kgtoGg=0,"NO",('Activity data'!BB22*EF!$H53*EF!AA71)*NtoN2O*kgtoGg)</f>
        <v>-7.3731994296060199E-2</v>
      </c>
      <c r="BC53" s="28">
        <f>IF(('Activity data'!BC22*EF!$H53*EF!AB71)*NtoN2O*kgtoGg=0,"NO",('Activity data'!BC22*EF!$H53*EF!AB71)*NtoN2O*kgtoGg)</f>
        <v>-7.3846412883113402E-2</v>
      </c>
      <c r="BD53" s="28">
        <f>IF(('Activity data'!BD22*EF!$H53*EF!AC71)*NtoN2O*kgtoGg=0,"NO",('Activity data'!BD22*EF!$H53*EF!AC71)*NtoN2O*kgtoGg)</f>
        <v>-7.3969385819317404E-2</v>
      </c>
      <c r="BE53" s="28">
        <f>IF(('Activity data'!BE22*EF!$H53*EF!AD71)*NtoN2O*kgtoGg=0,"NO",('Activity data'!BE22*EF!$H53*EF!AD71)*NtoN2O*kgtoGg)</f>
        <v>-7.4100569503633099E-2</v>
      </c>
      <c r="BF53" s="28">
        <f>IF(('Activity data'!BF22*EF!$H53*EF!AE71)*NtoN2O*kgtoGg=0,"NO",('Activity data'!BF22*EF!$H53*EF!AE71)*NtoN2O*kgtoGg)</f>
        <v>-7.4239646491315286E-2</v>
      </c>
      <c r="BG53" s="28">
        <f>IF(('Activity data'!BG22*EF!$H53*EF!AF71)*NtoN2O*kgtoGg=0,"NO",('Activity data'!BG22*EF!$H53*EF!AF71)*NtoN2O*kgtoGg)</f>
        <v>-7.4296888099696562E-2</v>
      </c>
      <c r="BH53" s="28">
        <f>IF(('Activity data'!BH22*EF!$H53*EF!AG71)*NtoN2O*kgtoGg=0,"NO",('Activity data'!BH22*EF!$H53*EF!AG71)*NtoN2O*kgtoGg)</f>
        <v>-7.4361303731255379E-2</v>
      </c>
      <c r="BI53" s="28">
        <f>IF(('Activity data'!BI22*EF!$H53*EF!AH71)*NtoN2O*kgtoGg=0,"NO",('Activity data'!BI22*EF!$H53*EF!AH71)*NtoN2O*kgtoGg)</f>
        <v>-7.4432614822324453E-2</v>
      </c>
      <c r="BJ53" s="28">
        <f>IF(('Activity data'!BJ22*EF!$H53*EF!AI71)*NtoN2O*kgtoGg=0,"NO",('Activity data'!BJ22*EF!$H53*EF!AI71)*NtoN2O*kgtoGg)</f>
        <v>-7.4510561936601619E-2</v>
      </c>
      <c r="BK53" s="28">
        <f>IF(('Activity data'!BK22*EF!$H53*EF!AJ71)*NtoN2O*kgtoGg=0,"NO",('Activity data'!BK22*EF!$H53*EF!AJ71)*NtoN2O*kgtoGg)</f>
        <v>-7.4594903121597153E-2</v>
      </c>
      <c r="BL53" s="28">
        <f>IF(('Activity data'!BL22*EF!$H53*EF!AK71)*NtoN2O*kgtoGg=0,"NO",('Activity data'!BL22*EF!$H53*EF!AK71)*NtoN2O*kgtoGg)</f>
        <v>-7.4596092548896764E-2</v>
      </c>
      <c r="BM53" s="28">
        <f>IF(('Activity data'!BM22*EF!$H53*EF!AL71)*NtoN2O*kgtoGg=0,"NO",('Activity data'!BM22*EF!$H53*EF!AL71)*NtoN2O*kgtoGg)</f>
        <v>-7.4603203438028065E-2</v>
      </c>
      <c r="BN53" s="28">
        <f>IF(('Activity data'!BN22*EF!$H53*EF!AM71)*NtoN2O*kgtoGg=0,"NO",('Activity data'!BN22*EF!$H53*EF!AM71)*NtoN2O*kgtoGg)</f>
        <v>-7.4616016856982936E-2</v>
      </c>
      <c r="BO53" s="28">
        <f>IF(('Activity data'!BO22*EF!$H53*EF!AN71)*NtoN2O*kgtoGg=0,"NO",('Activity data'!BO22*EF!$H53*EF!AN71)*NtoN2O*kgtoGg)</f>
        <v>-7.4634327286008981E-2</v>
      </c>
      <c r="BP53" s="28">
        <f>IF(('Activity data'!BP22*EF!$H53*EF!AO71)*NtoN2O*kgtoGg=0,"NO",('Activity data'!BP22*EF!$H53*EF!AO71)*NtoN2O*kgtoGg)</f>
        <v>-7.465794157590501E-2</v>
      </c>
    </row>
    <row r="54" spans="1:68" x14ac:dyDescent="0.25">
      <c r="A54" t="str">
        <f>'IPCC Categories'!A59</f>
        <v>3C Aggregated and non-CO2 emissions on land</v>
      </c>
      <c r="B54" t="str">
        <f>'IPCC Categories'!B59</f>
        <v>3C1 Biomass burning (CH4)</v>
      </c>
      <c r="C54" t="str">
        <f>'IPCC Categories'!C59</f>
        <v>3C1a Biomass burning in forest land</v>
      </c>
      <c r="D54" t="str">
        <f>EF!D84</f>
        <v>Indigenous forests</v>
      </c>
      <c r="E54" t="s">
        <v>640</v>
      </c>
      <c r="F54" t="s">
        <v>121</v>
      </c>
      <c r="G54" t="s">
        <v>286</v>
      </c>
      <c r="H54" s="22">
        <f>INDEX('Activity data'!H$24:H$39,MATCH(Emissions!$D54,'Activity data'!$D$24:$D$39,0))*INDEX(EF!$H$84:$H$99,MATCH(Emissions!$D54,EF!$D$84:$D$99,0))*INDEX(EF!$H$100:$H$115,MATCH(Emissions!$D54,EF!$D$100:$D$115,0))*INDEX(EF!$H$116:$H$131,MATCH(Emissions!$D54,EF!$D$116:$D$131,0))*kgtoGg</f>
        <v>1.2960963903843976</v>
      </c>
      <c r="I54" s="22">
        <f>INDEX('Activity data'!I$24:I$39,MATCH(Emissions!$D54,'Activity data'!$D$24:$D$39,0))*INDEX(EF!$H$84:$H$99,MATCH(Emissions!$D54,EF!$D$84:$D$99,0))*INDEX(EF!$H$100:$H$115,MATCH(Emissions!$D54,EF!$D$100:$D$115,0))*INDEX(EF!$H$116:$H$131,MATCH(Emissions!$D54,EF!$D$116:$D$131,0))*kgtoGg</f>
        <v>1.2960963903843976</v>
      </c>
      <c r="J54" s="22">
        <f>INDEX('Activity data'!J$24:J$39,MATCH(Emissions!$D54,'Activity data'!$D$24:$D$39,0))*INDEX(EF!$H$84:$H$99,MATCH(Emissions!$D54,EF!$D$84:$D$99,0))*INDEX(EF!$H$100:$H$115,MATCH(Emissions!$D54,EF!$D$100:$D$115,0))*INDEX(EF!$H$116:$H$131,MATCH(Emissions!$D54,EF!$D$116:$D$131,0))*kgtoGg</f>
        <v>1.2960963903843976</v>
      </c>
      <c r="K54" s="22">
        <f>INDEX('Activity data'!K$24:K$39,MATCH(Emissions!$D54,'Activity data'!$D$24:$D$39,0))*INDEX(EF!$H$84:$H$99,MATCH(Emissions!$D54,EF!$D$84:$D$99,0))*INDEX(EF!$H$100:$H$115,MATCH(Emissions!$D54,EF!$D$100:$D$115,0))*INDEX(EF!$H$116:$H$131,MATCH(Emissions!$D54,EF!$D$116:$D$131,0))*kgtoGg</f>
        <v>1.2960963903843976</v>
      </c>
      <c r="L54" s="22">
        <f>INDEX('Activity data'!L$24:L$39,MATCH(Emissions!$D54,'Activity data'!$D$24:$D$39,0))*INDEX(EF!$H$84:$H$99,MATCH(Emissions!$D54,EF!$D$84:$D$99,0))*INDEX(EF!$H$100:$H$115,MATCH(Emissions!$D54,EF!$D$100:$D$115,0))*INDEX(EF!$H$116:$H$131,MATCH(Emissions!$D54,EF!$D$116:$D$131,0))*kgtoGg</f>
        <v>1.2960963903843976</v>
      </c>
      <c r="M54" s="22">
        <f>INDEX('Activity data'!M$24:M$39,MATCH(Emissions!$D54,'Activity data'!$D$24:$D$39,0))*INDEX(EF!$H$84:$H$99,MATCH(Emissions!$D54,EF!$D$84:$D$99,0))*INDEX(EF!$H$100:$H$115,MATCH(Emissions!$D54,EF!$D$100:$D$115,0))*INDEX(EF!$H$116:$H$131,MATCH(Emissions!$D54,EF!$D$116:$D$131,0))*kgtoGg</f>
        <v>1.2960963903843976</v>
      </c>
      <c r="N54" s="22">
        <f>INDEX('Activity data'!N$24:N$39,MATCH(Emissions!$D54,'Activity data'!$D$24:$D$39,0))*INDEX(EF!$H$84:$H$99,MATCH(Emissions!$D54,EF!$D$84:$D$99,0))*INDEX(EF!$H$100:$H$115,MATCH(Emissions!$D54,EF!$D$100:$D$115,0))*INDEX(EF!$H$116:$H$131,MATCH(Emissions!$D54,EF!$D$116:$D$131,0))*kgtoGg</f>
        <v>1.2960963903843976</v>
      </c>
      <c r="O54" s="22">
        <f>INDEX('Activity data'!O$24:O$39,MATCH(Emissions!$D54,'Activity data'!$D$24:$D$39,0))*INDEX(EF!$H$84:$H$99,MATCH(Emissions!$D54,EF!$D$84:$D$99,0))*INDEX(EF!$H$100:$H$115,MATCH(Emissions!$D54,EF!$D$100:$D$115,0))*INDEX(EF!$H$116:$H$131,MATCH(Emissions!$D54,EF!$D$116:$D$131,0))*kgtoGg</f>
        <v>1.2960963903843976</v>
      </c>
      <c r="P54" s="22">
        <f>INDEX('Activity data'!P$24:P$39,MATCH(Emissions!$D54,'Activity data'!$D$24:$D$39,0))*INDEX(EF!$H$84:$H$99,MATCH(Emissions!$D54,EF!$D$84:$D$99,0))*INDEX(EF!$H$100:$H$115,MATCH(Emissions!$D54,EF!$D$100:$D$115,0))*INDEX(EF!$H$116:$H$131,MATCH(Emissions!$D54,EF!$D$116:$D$131,0))*kgtoGg</f>
        <v>1.2960963903843976</v>
      </c>
      <c r="Q54" s="22">
        <f>INDEX('Activity data'!Q$24:Q$39,MATCH(Emissions!$D54,'Activity data'!$D$24:$D$39,0))*INDEX(EF!$H$84:$H$99,MATCH(Emissions!$D54,EF!$D$84:$D$99,0))*INDEX(EF!$H$100:$H$115,MATCH(Emissions!$D54,EF!$D$100:$D$115,0))*INDEX(EF!$H$116:$H$131,MATCH(Emissions!$D54,EF!$D$116:$D$131,0))*kgtoGg</f>
        <v>1.2960963903843976</v>
      </c>
      <c r="R54" s="22">
        <f>INDEX('Activity data'!R$24:R$39,MATCH(Emissions!$D54,'Activity data'!$D$24:$D$39,0))*INDEX(EF!$H$84:$H$99,MATCH(Emissions!$D54,EF!$D$84:$D$99,0))*INDEX(EF!$H$100:$H$115,MATCH(Emissions!$D54,EF!$D$100:$D$115,0))*INDEX(EF!$H$116:$H$131,MATCH(Emissions!$D54,EF!$D$116:$D$131,0))*kgtoGg</f>
        <v>1.1960332827105857</v>
      </c>
      <c r="S54" s="22">
        <f>INDEX('Activity data'!S$24:S$39,MATCH(Emissions!$D54,'Activity data'!$D$24:$D$39,0))*INDEX(EF!$H$84:$H$99,MATCH(Emissions!$D54,EF!$D$84:$D$99,0))*INDEX(EF!$H$100:$H$115,MATCH(Emissions!$D54,EF!$D$100:$D$115,0))*INDEX(EF!$H$116:$H$131,MATCH(Emissions!$D54,EF!$D$116:$D$131,0))*kgtoGg</f>
        <v>1.3313117329992157</v>
      </c>
      <c r="T54" s="22">
        <f>INDEX('Activity data'!T$24:T$39,MATCH(Emissions!$D54,'Activity data'!$D$24:$D$39,0))*INDEX(EF!$H$84:$H$99,MATCH(Emissions!$D54,EF!$D$84:$D$99,0))*INDEX(EF!$H$100:$H$115,MATCH(Emissions!$D54,EF!$D$100:$D$115,0))*INDEX(EF!$H$116:$H$131,MATCH(Emissions!$D54,EF!$D$116:$D$131,0))*kgtoGg</f>
        <v>1.2175060525976695</v>
      </c>
      <c r="U54" s="22">
        <f>INDEX('Activity data'!U$24:U$39,MATCH(Emissions!$D54,'Activity data'!$D$24:$D$39,0))*INDEX(EF!$H$84:$H$99,MATCH(Emissions!$D54,EF!$D$84:$D$99,0))*INDEX(EF!$H$100:$H$115,MATCH(Emissions!$D54,EF!$D$100:$D$115,0))*INDEX(EF!$H$116:$H$131,MATCH(Emissions!$D54,EF!$D$116:$D$131,0))*kgtoGg</f>
        <v>1.535303046926515</v>
      </c>
      <c r="V54" s="22">
        <f>INDEX('Activity data'!V$24:V$39,MATCH(Emissions!$D54,'Activity data'!$D$24:$D$39,0))*INDEX(EF!$H$84:$H$99,MATCH(Emissions!$D54,EF!$D$84:$D$99,0))*INDEX(EF!$H$100:$H$115,MATCH(Emissions!$D54,EF!$D$100:$D$115,0))*INDEX(EF!$H$116:$H$131,MATCH(Emissions!$D54,EF!$D$116:$D$131,0))*kgtoGg</f>
        <v>1.2003278366880026</v>
      </c>
      <c r="W54" s="22">
        <f>INDEX('Activity data'!W$24:W$39,MATCH(Emissions!$D54,'Activity data'!$D$24:$D$39,0))*INDEX(EF!$H$84:$H$99,MATCH(Emissions!$D54,EF!$D$84:$D$99,0))*INDEX(EF!$H$100:$H$115,MATCH(Emissions!$D54,EF!$D$100:$D$115,0))*INDEX(EF!$H$116:$H$131,MATCH(Emissions!$D54,EF!$D$116:$D$131,0))*kgtoGg</f>
        <v>1.578248586700683</v>
      </c>
      <c r="X54" s="22">
        <f>INDEX('Activity data'!X$24:X$39,MATCH(Emissions!$D54,'Activity data'!$D$24:$D$39,0))*INDEX(EF!$H$84:$H$99,MATCH(Emissions!$D54,EF!$D$84:$D$99,0))*INDEX(EF!$H$100:$H$115,MATCH(Emissions!$D54,EF!$D$100:$D$115,0))*INDEX(EF!$H$116:$H$131,MATCH(Emissions!$D54,EF!$D$116:$D$131,0))*kgtoGg</f>
        <v>1.4086137045927183</v>
      </c>
      <c r="Y54" s="22">
        <f>INDEX('Activity data'!Y$24:Y$39,MATCH(Emissions!$D54,'Activity data'!$D$24:$D$39,0))*INDEX(EF!$H$84:$H$99,MATCH(Emissions!$D54,EF!$D$84:$D$99,0))*INDEX(EF!$H$100:$H$115,MATCH(Emissions!$D54,EF!$D$100:$D$115,0))*INDEX(EF!$H$116:$H$131,MATCH(Emissions!$D54,EF!$D$116:$D$131,0))*kgtoGg</f>
        <v>1.8423636563118175</v>
      </c>
      <c r="Z54" s="22">
        <f>INDEX('Activity data'!Z$24:Z$39,MATCH(Emissions!$D54,'Activity data'!$D$24:$D$39,0))*INDEX(EF!$H$84:$H$99,MATCH(Emissions!$D54,EF!$D$84:$D$99,0))*INDEX(EF!$H$100:$H$115,MATCH(Emissions!$D54,EF!$D$100:$D$115,0))*INDEX(EF!$H$116:$H$131,MATCH(Emissions!$D54,EF!$D$116:$D$131,0))*kgtoGg</f>
        <v>1.5417448778926399</v>
      </c>
      <c r="AA54" s="22">
        <f>INDEX('Activity data'!AA$24:AA$39,MATCH(Emissions!$D54,'Activity data'!$D$24:$D$39,0))*INDEX(EF!$H$84:$H$99,MATCH(Emissions!$D54,EF!$D$84:$D$99,0))*INDEX(EF!$H$100:$H$115,MATCH(Emissions!$D54,EF!$D$100:$D$115,0))*INDEX(EF!$H$116:$H$131,MATCH(Emissions!$D54,EF!$D$116:$D$131,0))*kgtoGg</f>
        <v>1.5202721080055559</v>
      </c>
      <c r="AB54" s="22">
        <f>INDEX('Activity data'!AB$24:AB$39,MATCH(Emissions!$D54,'Activity data'!$D$24:$D$39,0))*INDEX(EF!$H$84:$H$99,MATCH(Emissions!$D54,EF!$D$84:$D$99,0))*INDEX(EF!$H$100:$H$115,MATCH(Emissions!$D54,EF!$D$100:$D$115,0))*INDEX(EF!$H$116:$H$131,MATCH(Emissions!$D54,EF!$D$116:$D$131,0))*kgtoGg</f>
        <v>1.2465275328000001</v>
      </c>
      <c r="AC54" s="22">
        <f>INDEX('Activity data'!AC$24:AC$39,MATCH(Emissions!$D54,'Activity data'!$D$24:$D$39,0))*INDEX(EF!$H$84:$H$99,MATCH(Emissions!$D54,EF!$D$84:$D$99,0))*INDEX(EF!$H$100:$H$115,MATCH(Emissions!$D54,EF!$D$100:$D$115,0))*INDEX(EF!$H$116:$H$131,MATCH(Emissions!$D54,EF!$D$116:$D$131,0))*kgtoGg</f>
        <v>0.93453550740000024</v>
      </c>
      <c r="AD54" s="22">
        <f>INDEX('Activity data'!AD$24:AD$39,MATCH(Emissions!$D54,'Activity data'!$D$24:$D$39,0))*INDEX(EF!$H$84:$H$99,MATCH(Emissions!$D54,EF!$D$84:$D$99,0))*INDEX(EF!$H$100:$H$115,MATCH(Emissions!$D54,EF!$D$100:$D$115,0))*INDEX(EF!$H$116:$H$131,MATCH(Emissions!$D54,EF!$D$116:$D$131,0))*kgtoGg</f>
        <v>1.2653688249152322</v>
      </c>
      <c r="AE54" s="22">
        <f>INDEX('Activity data'!AE$24:AE$39,MATCH(Emissions!$D54,'Activity data'!$D$24:$D$39,0))*INDEX(EF!$H$84:$H$99,MATCH(Emissions!$D54,EF!$D$84:$D$99,0))*INDEX(EF!$H$100:$H$115,MATCH(Emissions!$D54,EF!$D$100:$D$115,0))*INDEX(EF!$H$116:$H$131,MATCH(Emissions!$D54,EF!$D$116:$D$131,0))*kgtoGg</f>
        <v>1.2648288705583226</v>
      </c>
      <c r="AF54" s="22">
        <f>INDEX('Activity data'!AF$24:AF$39,MATCH(Emissions!$D54,'Activity data'!$D$24:$D$39,0))*INDEX(EF!$H$84:$H$99,MATCH(Emissions!$D54,EF!$D$84:$D$99,0))*INDEX(EF!$H$100:$H$115,MATCH(Emissions!$D54,EF!$D$100:$D$115,0))*INDEX(EF!$H$116:$H$131,MATCH(Emissions!$D54,EF!$D$116:$D$131,0))*kgtoGg</f>
        <v>1.2642889162014133</v>
      </c>
      <c r="AG54" s="22">
        <f>INDEX('Activity data'!AG$24:AG$39,MATCH(Emissions!$D54,'Activity data'!$D$24:$D$39,0))*INDEX(EF!$H$84:$H$99,MATCH(Emissions!$D54,EF!$D$84:$D$99,0))*INDEX(EF!$H$100:$H$115,MATCH(Emissions!$D54,EF!$D$100:$D$115,0))*INDEX(EF!$H$116:$H$131,MATCH(Emissions!$D54,EF!$D$116:$D$131,0))*kgtoGg</f>
        <v>1.2637489618445039</v>
      </c>
      <c r="AH54" s="22">
        <f>INDEX('Activity data'!AH$24:AH$39,MATCH(Emissions!$D54,'Activity data'!$D$24:$D$39,0))*INDEX(EF!$H$84:$H$99,MATCH(Emissions!$D54,EF!$D$84:$D$99,0))*INDEX(EF!$H$100:$H$115,MATCH(Emissions!$D54,EF!$D$100:$D$115,0))*INDEX(EF!$H$116:$H$131,MATCH(Emissions!$D54,EF!$D$116:$D$131,0))*kgtoGg</f>
        <v>1.2632090074875946</v>
      </c>
      <c r="AI54" s="22">
        <f>INDEX('Activity data'!AI$24:AI$39,MATCH(Emissions!$D54,'Activity data'!$D$24:$D$39,0))*INDEX(EF!$H$84:$H$99,MATCH(Emissions!$D54,EF!$D$84:$D$99,0))*INDEX(EF!$H$100:$H$115,MATCH(Emissions!$D54,EF!$D$100:$D$115,0))*INDEX(EF!$H$116:$H$131,MATCH(Emissions!$D54,EF!$D$116:$D$131,0))*kgtoGg</f>
        <v>1.262669053130685</v>
      </c>
      <c r="AJ54" s="22">
        <f>INDEX('Activity data'!AJ$24:AJ$39,MATCH(Emissions!$D54,'Activity data'!$D$24:$D$39,0))*INDEX(EF!$H$84:$H$99,MATCH(Emissions!$D54,EF!$D$84:$D$99,0))*INDEX(EF!$H$100:$H$115,MATCH(Emissions!$D54,EF!$D$100:$D$115,0))*INDEX(EF!$H$116:$H$131,MATCH(Emissions!$D54,EF!$D$116:$D$131,0))*kgtoGg</f>
        <v>1.2621290987737757</v>
      </c>
      <c r="AK54" s="22">
        <f>INDEX('Activity data'!AK$24:AK$39,MATCH(Emissions!$D54,'Activity data'!$D$24:$D$39,0))*INDEX(EF!$H$84:$H$99,MATCH(Emissions!$D54,EF!$D$84:$D$99,0))*INDEX(EF!$H$100:$H$115,MATCH(Emissions!$D54,EF!$D$100:$D$115,0))*INDEX(EF!$H$116:$H$131,MATCH(Emissions!$D54,EF!$D$116:$D$131,0))*kgtoGg</f>
        <v>1.2615891444168661</v>
      </c>
      <c r="AL54" s="22">
        <f>INDEX('Activity data'!AL$24:AL$39,MATCH(Emissions!$D54,'Activity data'!$D$24:$D$39,0))*INDEX(EF!$H$84:$H$99,MATCH(Emissions!$D54,EF!$D$84:$D$99,0))*INDEX(EF!$H$100:$H$115,MATCH(Emissions!$D54,EF!$D$100:$D$115,0))*INDEX(EF!$H$116:$H$131,MATCH(Emissions!$D54,EF!$D$116:$D$131,0))*kgtoGg</f>
        <v>1.2610491900599567</v>
      </c>
      <c r="AM54" s="22">
        <f>INDEX('Activity data'!AM$24:AM$39,MATCH(Emissions!$D54,'Activity data'!$D$24:$D$39,0))*INDEX(EF!$H$84:$H$99,MATCH(Emissions!$D54,EF!$D$84:$D$99,0))*INDEX(EF!$H$100:$H$115,MATCH(Emissions!$D54,EF!$D$100:$D$115,0))*INDEX(EF!$H$116:$H$131,MATCH(Emissions!$D54,EF!$D$116:$D$131,0))*kgtoGg</f>
        <v>1.2605092357030474</v>
      </c>
      <c r="AN54" s="22">
        <f>INDEX('Activity data'!AN$24:AN$39,MATCH(Emissions!$D54,'Activity data'!$D$24:$D$39,0))*INDEX(EF!$H$84:$H$99,MATCH(Emissions!$D54,EF!$D$84:$D$99,0))*INDEX(EF!$H$100:$H$115,MATCH(Emissions!$D54,EF!$D$100:$D$115,0))*INDEX(EF!$H$116:$H$131,MATCH(Emissions!$D54,EF!$D$116:$D$131,0))*kgtoGg</f>
        <v>1.2599692813461378</v>
      </c>
      <c r="AO54" s="22">
        <f>INDEX('Activity data'!AO$24:AO$39,MATCH(Emissions!$D54,'Activity data'!$D$24:$D$39,0))*INDEX(EF!$H$84:$H$99,MATCH(Emissions!$D54,EF!$D$84:$D$99,0))*INDEX(EF!$H$100:$H$115,MATCH(Emissions!$D54,EF!$D$100:$D$115,0))*INDEX(EF!$H$116:$H$131,MATCH(Emissions!$D54,EF!$D$116:$D$131,0))*kgtoGg</f>
        <v>1.2594293269892285</v>
      </c>
      <c r="AP54" s="22">
        <f>INDEX('Activity data'!AP$24:AP$39,MATCH(Emissions!$D54,'Activity data'!$D$24:$D$39,0))*INDEX(EF!$H$84:$H$99,MATCH(Emissions!$D54,EF!$D$84:$D$99,0))*INDEX(EF!$H$100:$H$115,MATCH(Emissions!$D54,EF!$D$100:$D$115,0))*INDEX(EF!$H$116:$H$131,MATCH(Emissions!$D54,EF!$D$116:$D$131,0))*kgtoGg</f>
        <v>1.2588893726323194</v>
      </c>
      <c r="AQ54" s="22">
        <f>INDEX('Activity data'!AQ$24:AQ$39,MATCH(Emissions!$D54,'Activity data'!$D$24:$D$39,0))*INDEX(EF!$H$84:$H$99,MATCH(Emissions!$D54,EF!$D$84:$D$99,0))*INDEX(EF!$H$100:$H$115,MATCH(Emissions!$D54,EF!$D$100:$D$115,0))*INDEX(EF!$H$116:$H$131,MATCH(Emissions!$D54,EF!$D$116:$D$131,0))*kgtoGg</f>
        <v>1.2583494182754098</v>
      </c>
      <c r="AR54" s="22">
        <f>INDEX('Activity data'!AR$24:AR$39,MATCH(Emissions!$D54,'Activity data'!$D$24:$D$39,0))*INDEX(EF!$H$84:$H$99,MATCH(Emissions!$D54,EF!$D$84:$D$99,0))*INDEX(EF!$H$100:$H$115,MATCH(Emissions!$D54,EF!$D$100:$D$115,0))*INDEX(EF!$H$116:$H$131,MATCH(Emissions!$D54,EF!$D$116:$D$131,0))*kgtoGg</f>
        <v>1.2578094639185002</v>
      </c>
      <c r="AS54" s="22">
        <f>INDEX('Activity data'!AS$24:AS$39,MATCH(Emissions!$D54,'Activity data'!$D$24:$D$39,0))*INDEX(EF!$H$84:$H$99,MATCH(Emissions!$D54,EF!$D$84:$D$99,0))*INDEX(EF!$H$100:$H$115,MATCH(Emissions!$D54,EF!$D$100:$D$115,0))*INDEX(EF!$H$116:$H$131,MATCH(Emissions!$D54,EF!$D$116:$D$131,0))*kgtoGg</f>
        <v>1.2572695095615909</v>
      </c>
      <c r="AT54" s="22">
        <f>INDEX('Activity data'!AT$24:AT$39,MATCH(Emissions!$D54,'Activity data'!$D$24:$D$39,0))*INDEX(EF!$H$84:$H$99,MATCH(Emissions!$D54,EF!$D$84:$D$99,0))*INDEX(EF!$H$100:$H$115,MATCH(Emissions!$D54,EF!$D$100:$D$115,0))*INDEX(EF!$H$116:$H$131,MATCH(Emissions!$D54,EF!$D$116:$D$131,0))*kgtoGg</f>
        <v>1.2567295552046813</v>
      </c>
      <c r="AU54" s="22">
        <f>INDEX('Activity data'!AU$24:AU$39,MATCH(Emissions!$D54,'Activity data'!$D$24:$D$39,0))*INDEX(EF!$H$84:$H$99,MATCH(Emissions!$D54,EF!$D$84:$D$99,0))*INDEX(EF!$H$100:$H$115,MATCH(Emissions!$D54,EF!$D$100:$D$115,0))*INDEX(EF!$H$116:$H$131,MATCH(Emissions!$D54,EF!$D$116:$D$131,0))*kgtoGg</f>
        <v>1.256189600847772</v>
      </c>
      <c r="AV54" s="22">
        <f>INDEX('Activity data'!AV$24:AV$39,MATCH(Emissions!$D54,'Activity data'!$D$24:$D$39,0))*INDEX(EF!$H$84:$H$99,MATCH(Emissions!$D54,EF!$D$84:$D$99,0))*INDEX(EF!$H$100:$H$115,MATCH(Emissions!$D54,EF!$D$100:$D$115,0))*INDEX(EF!$H$116:$H$131,MATCH(Emissions!$D54,EF!$D$116:$D$131,0))*kgtoGg</f>
        <v>1.2556496464908629</v>
      </c>
      <c r="AW54" s="22">
        <f>INDEX('Activity data'!AW$24:AW$39,MATCH(Emissions!$D54,'Activity data'!$D$24:$D$39,0))*INDEX(EF!$H$84:$H$99,MATCH(Emissions!$D54,EF!$D$84:$D$99,0))*INDEX(EF!$H$100:$H$115,MATCH(Emissions!$D54,EF!$D$100:$D$115,0))*INDEX(EF!$H$116:$H$131,MATCH(Emissions!$D54,EF!$D$116:$D$131,0))*kgtoGg</f>
        <v>1.2551096921339533</v>
      </c>
      <c r="AX54" s="22">
        <f>INDEX('Activity data'!AX$24:AX$39,MATCH(Emissions!$D54,'Activity data'!$D$24:$D$39,0))*INDEX(EF!$H$84:$H$99,MATCH(Emissions!$D54,EF!$D$84:$D$99,0))*INDEX(EF!$H$100:$H$115,MATCH(Emissions!$D54,EF!$D$100:$D$115,0))*INDEX(EF!$H$116:$H$131,MATCH(Emissions!$D54,EF!$D$116:$D$131,0))*kgtoGg</f>
        <v>1.2545697377770435</v>
      </c>
      <c r="AY54" s="22">
        <f>INDEX('Activity data'!AY$24:AY$39,MATCH(Emissions!$D54,'Activity data'!$D$24:$D$39,0))*INDEX(EF!$H$84:$H$99,MATCH(Emissions!$D54,EF!$D$84:$D$99,0))*INDEX(EF!$H$100:$H$115,MATCH(Emissions!$D54,EF!$D$100:$D$115,0))*INDEX(EF!$H$116:$H$131,MATCH(Emissions!$D54,EF!$D$116:$D$131,0))*kgtoGg</f>
        <v>1.2540297834201344</v>
      </c>
      <c r="AZ54" s="22">
        <f>INDEX('Activity data'!AZ$24:AZ$39,MATCH(Emissions!$D54,'Activity data'!$D$24:$D$39,0))*INDEX(EF!$H$84:$H$99,MATCH(Emissions!$D54,EF!$D$84:$D$99,0))*INDEX(EF!$H$100:$H$115,MATCH(Emissions!$D54,EF!$D$100:$D$115,0))*INDEX(EF!$H$116:$H$131,MATCH(Emissions!$D54,EF!$D$116:$D$131,0))*kgtoGg</f>
        <v>1.253489829063225</v>
      </c>
      <c r="BA54" s="22">
        <f>INDEX('Activity data'!BA$24:BA$39,MATCH(Emissions!$D54,'Activity data'!$D$24:$D$39,0))*INDEX(EF!$H$84:$H$99,MATCH(Emissions!$D54,EF!$D$84:$D$99,0))*INDEX(EF!$H$100:$H$115,MATCH(Emissions!$D54,EF!$D$100:$D$115,0))*INDEX(EF!$H$116:$H$131,MATCH(Emissions!$D54,EF!$D$116:$D$131,0))*kgtoGg</f>
        <v>1.2529498747063155</v>
      </c>
      <c r="BB54" s="22">
        <f>INDEX('Activity data'!BB$24:BB$39,MATCH(Emissions!$D54,'Activity data'!$D$24:$D$39,0))*INDEX(EF!$H$84:$H$99,MATCH(Emissions!$D54,EF!$D$84:$D$99,0))*INDEX(EF!$H$100:$H$115,MATCH(Emissions!$D54,EF!$D$100:$D$115,0))*INDEX(EF!$H$116:$H$131,MATCH(Emissions!$D54,EF!$D$116:$D$131,0))*kgtoGg</f>
        <v>1.2524099203494063</v>
      </c>
      <c r="BC54" s="22">
        <f>INDEX('Activity data'!BC$24:BC$39,MATCH(Emissions!$D54,'Activity data'!$D$24:$D$39,0))*INDEX(EF!$H$84:$H$99,MATCH(Emissions!$D54,EF!$D$84:$D$99,0))*INDEX(EF!$H$100:$H$115,MATCH(Emissions!$D54,EF!$D$100:$D$115,0))*INDEX(EF!$H$116:$H$131,MATCH(Emissions!$D54,EF!$D$116:$D$131,0))*kgtoGg</f>
        <v>1.2518699659924968</v>
      </c>
      <c r="BD54" s="22">
        <f>INDEX('Activity data'!BD$24:BD$39,MATCH(Emissions!$D54,'Activity data'!$D$24:$D$39,0))*INDEX(EF!$H$84:$H$99,MATCH(Emissions!$D54,EF!$D$84:$D$99,0))*INDEX(EF!$H$100:$H$115,MATCH(Emissions!$D54,EF!$D$100:$D$115,0))*INDEX(EF!$H$116:$H$131,MATCH(Emissions!$D54,EF!$D$116:$D$131,0))*kgtoGg</f>
        <v>1.251330011635587</v>
      </c>
      <c r="BE54" s="22">
        <f>INDEX('Activity data'!BE$24:BE$39,MATCH(Emissions!$D54,'Activity data'!$D$24:$D$39,0))*INDEX(EF!$H$84:$H$99,MATCH(Emissions!$D54,EF!$D$84:$D$99,0))*INDEX(EF!$H$100:$H$115,MATCH(Emissions!$D54,EF!$D$100:$D$115,0))*INDEX(EF!$H$116:$H$131,MATCH(Emissions!$D54,EF!$D$116:$D$131,0))*kgtoGg</f>
        <v>1.2507900572786779</v>
      </c>
      <c r="BF54" s="22">
        <f>INDEX('Activity data'!BF$24:BF$39,MATCH(Emissions!$D54,'Activity data'!$D$24:$D$39,0))*INDEX(EF!$H$84:$H$99,MATCH(Emissions!$D54,EF!$D$84:$D$99,0))*INDEX(EF!$H$100:$H$115,MATCH(Emissions!$D54,EF!$D$100:$D$115,0))*INDEX(EF!$H$116:$H$131,MATCH(Emissions!$D54,EF!$D$116:$D$131,0))*kgtoGg</f>
        <v>1.2502501029217685</v>
      </c>
      <c r="BG54" s="22">
        <f>INDEX('Activity data'!BG$24:BG$39,MATCH(Emissions!$D54,'Activity data'!$D$24:$D$39,0))*INDEX(EF!$H$84:$H$99,MATCH(Emissions!$D54,EF!$D$84:$D$99,0))*INDEX(EF!$H$100:$H$115,MATCH(Emissions!$D54,EF!$D$100:$D$115,0))*INDEX(EF!$H$116:$H$131,MATCH(Emissions!$D54,EF!$D$116:$D$131,0))*kgtoGg</f>
        <v>1.249710148564859</v>
      </c>
      <c r="BH54" s="22">
        <f>INDEX('Activity data'!BH$24:BH$39,MATCH(Emissions!$D54,'Activity data'!$D$24:$D$39,0))*INDEX(EF!$H$84:$H$99,MATCH(Emissions!$D54,EF!$D$84:$D$99,0))*INDEX(EF!$H$100:$H$115,MATCH(Emissions!$D54,EF!$D$100:$D$115,0))*INDEX(EF!$H$116:$H$131,MATCH(Emissions!$D54,EF!$D$116:$D$131,0))*kgtoGg</f>
        <v>1.2491701942079498</v>
      </c>
      <c r="BI54" s="22">
        <f>INDEX('Activity data'!BI$24:BI$39,MATCH(Emissions!$D54,'Activity data'!$D$24:$D$39,0))*INDEX(EF!$H$84:$H$99,MATCH(Emissions!$D54,EF!$D$84:$D$99,0))*INDEX(EF!$H$100:$H$115,MATCH(Emissions!$D54,EF!$D$100:$D$115,0))*INDEX(EF!$H$116:$H$131,MATCH(Emissions!$D54,EF!$D$116:$D$131,0))*kgtoGg</f>
        <v>1.2486302398510403</v>
      </c>
      <c r="BJ54" s="22">
        <f>INDEX('Activity data'!BJ$24:BJ$39,MATCH(Emissions!$D54,'Activity data'!$D$24:$D$39,0))*INDEX(EF!$H$84:$H$99,MATCH(Emissions!$D54,EF!$D$84:$D$99,0))*INDEX(EF!$H$100:$H$115,MATCH(Emissions!$D54,EF!$D$100:$D$115,0))*INDEX(EF!$H$116:$H$131,MATCH(Emissions!$D54,EF!$D$116:$D$131,0))*kgtoGg</f>
        <v>1.2480902854941309</v>
      </c>
      <c r="BK54" s="22">
        <f>INDEX('Activity data'!BK$24:BK$39,MATCH(Emissions!$D54,'Activity data'!$D$24:$D$39,0))*INDEX(EF!$H$84:$H$99,MATCH(Emissions!$D54,EF!$D$84:$D$99,0))*INDEX(EF!$H$100:$H$115,MATCH(Emissions!$D54,EF!$D$100:$D$115,0))*INDEX(EF!$H$116:$H$131,MATCH(Emissions!$D54,EF!$D$116:$D$131,0))*kgtoGg</f>
        <v>1.2475503311372214</v>
      </c>
      <c r="BL54" s="22">
        <f>INDEX('Activity data'!BL$24:BL$39,MATCH(Emissions!$D54,'Activity data'!$D$24:$D$39,0))*INDEX(EF!$H$84:$H$99,MATCH(Emissions!$D54,EF!$D$84:$D$99,0))*INDEX(EF!$H$100:$H$115,MATCH(Emissions!$D54,EF!$D$100:$D$115,0))*INDEX(EF!$H$116:$H$131,MATCH(Emissions!$D54,EF!$D$116:$D$131,0))*kgtoGg</f>
        <v>1.247010376780312</v>
      </c>
      <c r="BM54" s="22">
        <f>INDEX('Activity data'!BM$24:BM$39,MATCH(Emissions!$D54,'Activity data'!$D$24:$D$39,0))*INDEX(EF!$H$84:$H$99,MATCH(Emissions!$D54,EF!$D$84:$D$99,0))*INDEX(EF!$H$100:$H$115,MATCH(Emissions!$D54,EF!$D$100:$D$115,0))*INDEX(EF!$H$116:$H$131,MATCH(Emissions!$D54,EF!$D$116:$D$131,0))*kgtoGg</f>
        <v>1.2464704224234024</v>
      </c>
      <c r="BN54" s="22">
        <f>INDEX('Activity data'!BN$24:BN$39,MATCH(Emissions!$D54,'Activity data'!$D$24:$D$39,0))*INDEX(EF!$H$84:$H$99,MATCH(Emissions!$D54,EF!$D$84:$D$99,0))*INDEX(EF!$H$100:$H$115,MATCH(Emissions!$D54,EF!$D$100:$D$115,0))*INDEX(EF!$H$116:$H$131,MATCH(Emissions!$D54,EF!$D$116:$D$131,0))*kgtoGg</f>
        <v>1.2459304680664931</v>
      </c>
      <c r="BO54" s="22">
        <f>INDEX('Activity data'!BO$24:BO$39,MATCH(Emissions!$D54,'Activity data'!$D$24:$D$39,0))*INDEX(EF!$H$84:$H$99,MATCH(Emissions!$D54,EF!$D$84:$D$99,0))*INDEX(EF!$H$100:$H$115,MATCH(Emissions!$D54,EF!$D$100:$D$115,0))*INDEX(EF!$H$116:$H$131,MATCH(Emissions!$D54,EF!$D$116:$D$131,0))*kgtoGg</f>
        <v>1.2453905137095838</v>
      </c>
      <c r="BP54" s="22">
        <f>INDEX('Activity data'!BP$24:BP$39,MATCH(Emissions!$D54,'Activity data'!$D$24:$D$39,0))*INDEX(EF!$H$84:$H$99,MATCH(Emissions!$D54,EF!$D$84:$D$99,0))*INDEX(EF!$H$100:$H$115,MATCH(Emissions!$D54,EF!$D$100:$D$115,0))*INDEX(EF!$H$116:$H$131,MATCH(Emissions!$D54,EF!$D$116:$D$131,0))*kgtoGg</f>
        <v>1.2448505593526744</v>
      </c>
    </row>
    <row r="55" spans="1:68" x14ac:dyDescent="0.25">
      <c r="A55" t="str">
        <f>A54</f>
        <v>3C Aggregated and non-CO2 emissions on land</v>
      </c>
      <c r="B55" t="str">
        <f t="shared" ref="B55" si="12">B54</f>
        <v>3C1 Biomass burning (CH4)</v>
      </c>
      <c r="C55" t="str">
        <f>C54</f>
        <v>3C1a Biomass burning in forest land</v>
      </c>
      <c r="D55" t="str">
        <f>EF!D85</f>
        <v>Thickets</v>
      </c>
      <c r="E55" t="s">
        <v>642</v>
      </c>
      <c r="F55" t="str">
        <f>F54</f>
        <v>CH4</v>
      </c>
      <c r="G55" t="str">
        <f>G54</f>
        <v>Gg CH4</v>
      </c>
      <c r="H55" s="22">
        <f>INDEX('Activity data'!H$24:H$39,MATCH(Emissions!$D55,'Activity data'!$D$24:$D$39,0))*INDEX(EF!$H$84:$H$99,MATCH(Emissions!$D55,EF!$D$84:$D$99,0))*INDEX(EF!$H$100:$H$115,MATCH(Emissions!$D55,EF!$D$100:$D$115,0))*INDEX(EF!$H$116:$H$131,MATCH(Emissions!$D55,EF!$D$116:$D$131,0))*kgtoGg</f>
        <v>2.5068842856640616</v>
      </c>
      <c r="I55" s="22">
        <f>INDEX('Activity data'!I$24:I$39,MATCH(Emissions!$D55,'Activity data'!$D$24:$D$39,0))*INDEX(EF!$H$84:$H$99,MATCH(Emissions!$D55,EF!$D$84:$D$99,0))*INDEX(EF!$H$100:$H$115,MATCH(Emissions!$D55,EF!$D$100:$D$115,0))*INDEX(EF!$H$116:$H$131,MATCH(Emissions!$D55,EF!$D$116:$D$131,0))*kgtoGg</f>
        <v>2.5068842856640616</v>
      </c>
      <c r="J55" s="22">
        <f>INDEX('Activity data'!J$24:J$39,MATCH(Emissions!$D55,'Activity data'!$D$24:$D$39,0))*INDEX(EF!$H$84:$H$99,MATCH(Emissions!$D55,EF!$D$84:$D$99,0))*INDEX(EF!$H$100:$H$115,MATCH(Emissions!$D55,EF!$D$100:$D$115,0))*INDEX(EF!$H$116:$H$131,MATCH(Emissions!$D55,EF!$D$116:$D$131,0))*kgtoGg</f>
        <v>2.5068842856640616</v>
      </c>
      <c r="K55" s="22">
        <f>INDEX('Activity data'!K$24:K$39,MATCH(Emissions!$D55,'Activity data'!$D$24:$D$39,0))*INDEX(EF!$H$84:$H$99,MATCH(Emissions!$D55,EF!$D$84:$D$99,0))*INDEX(EF!$H$100:$H$115,MATCH(Emissions!$D55,EF!$D$100:$D$115,0))*INDEX(EF!$H$116:$H$131,MATCH(Emissions!$D55,EF!$D$116:$D$131,0))*kgtoGg</f>
        <v>2.5068842856640616</v>
      </c>
      <c r="L55" s="22">
        <f>INDEX('Activity data'!L$24:L$39,MATCH(Emissions!$D55,'Activity data'!$D$24:$D$39,0))*INDEX(EF!$H$84:$H$99,MATCH(Emissions!$D55,EF!$D$84:$D$99,0))*INDEX(EF!$H$100:$H$115,MATCH(Emissions!$D55,EF!$D$100:$D$115,0))*INDEX(EF!$H$116:$H$131,MATCH(Emissions!$D55,EF!$D$116:$D$131,0))*kgtoGg</f>
        <v>2.5068842856640616</v>
      </c>
      <c r="M55" s="22">
        <f>INDEX('Activity data'!M$24:M$39,MATCH(Emissions!$D55,'Activity data'!$D$24:$D$39,0))*INDEX(EF!$H$84:$H$99,MATCH(Emissions!$D55,EF!$D$84:$D$99,0))*INDEX(EF!$H$100:$H$115,MATCH(Emissions!$D55,EF!$D$100:$D$115,0))*INDEX(EF!$H$116:$H$131,MATCH(Emissions!$D55,EF!$D$116:$D$131,0))*kgtoGg</f>
        <v>2.5068842856640616</v>
      </c>
      <c r="N55" s="22">
        <f>INDEX('Activity data'!N$24:N$39,MATCH(Emissions!$D55,'Activity data'!$D$24:$D$39,0))*INDEX(EF!$H$84:$H$99,MATCH(Emissions!$D55,EF!$D$84:$D$99,0))*INDEX(EF!$H$100:$H$115,MATCH(Emissions!$D55,EF!$D$100:$D$115,0))*INDEX(EF!$H$116:$H$131,MATCH(Emissions!$D55,EF!$D$116:$D$131,0))*kgtoGg</f>
        <v>2.5068842856640616</v>
      </c>
      <c r="O55" s="22">
        <f>INDEX('Activity data'!O$24:O$39,MATCH(Emissions!$D55,'Activity data'!$D$24:$D$39,0))*INDEX(EF!$H$84:$H$99,MATCH(Emissions!$D55,EF!$D$84:$D$99,0))*INDEX(EF!$H$100:$H$115,MATCH(Emissions!$D55,EF!$D$100:$D$115,0))*INDEX(EF!$H$116:$H$131,MATCH(Emissions!$D55,EF!$D$116:$D$131,0))*kgtoGg</f>
        <v>2.5068842856640616</v>
      </c>
      <c r="P55" s="22">
        <f>INDEX('Activity data'!P$24:P$39,MATCH(Emissions!$D55,'Activity data'!$D$24:$D$39,0))*INDEX(EF!$H$84:$H$99,MATCH(Emissions!$D55,EF!$D$84:$D$99,0))*INDEX(EF!$H$100:$H$115,MATCH(Emissions!$D55,EF!$D$100:$D$115,0))*INDEX(EF!$H$116:$H$131,MATCH(Emissions!$D55,EF!$D$116:$D$131,0))*kgtoGg</f>
        <v>2.5068842856640616</v>
      </c>
      <c r="Q55" s="22">
        <f>INDEX('Activity data'!Q$24:Q$39,MATCH(Emissions!$D55,'Activity data'!$D$24:$D$39,0))*INDEX(EF!$H$84:$H$99,MATCH(Emissions!$D55,EF!$D$84:$D$99,0))*INDEX(EF!$H$100:$H$115,MATCH(Emissions!$D55,EF!$D$100:$D$115,0))*INDEX(EF!$H$116:$H$131,MATCH(Emissions!$D55,EF!$D$116:$D$131,0))*kgtoGg</f>
        <v>2.5068842856640616</v>
      </c>
      <c r="R55" s="22">
        <f>INDEX('Activity data'!R$24:R$39,MATCH(Emissions!$D55,'Activity data'!$D$24:$D$39,0))*INDEX(EF!$H$84:$H$99,MATCH(Emissions!$D55,EF!$D$84:$D$99,0))*INDEX(EF!$H$100:$H$115,MATCH(Emissions!$D55,EF!$D$100:$D$115,0))*INDEX(EF!$H$116:$H$131,MATCH(Emissions!$D55,EF!$D$116:$D$131,0))*kgtoGg</f>
        <v>2.574040698830915</v>
      </c>
      <c r="S55" s="22">
        <f>INDEX('Activity data'!S$24:S$39,MATCH(Emissions!$D55,'Activity data'!$D$24:$D$39,0))*INDEX(EF!$H$84:$H$99,MATCH(Emissions!$D55,EF!$D$84:$D$99,0))*INDEX(EF!$H$100:$H$115,MATCH(Emissions!$D55,EF!$D$100:$D$115,0))*INDEX(EF!$H$116:$H$131,MATCH(Emissions!$D55,EF!$D$116:$D$131,0))*kgtoGg</f>
        <v>3.2672402728856826</v>
      </c>
      <c r="T55" s="22">
        <f>INDEX('Activity data'!T$24:T$39,MATCH(Emissions!$D55,'Activity data'!$D$24:$D$39,0))*INDEX(EF!$H$84:$H$99,MATCH(Emissions!$D55,EF!$D$84:$D$99,0))*INDEX(EF!$H$100:$H$115,MATCH(Emissions!$D55,EF!$D$100:$D$115,0))*INDEX(EF!$H$116:$H$131,MATCH(Emissions!$D55,EF!$D$116:$D$131,0))*kgtoGg</f>
        <v>3.0158364323577054</v>
      </c>
      <c r="U55" s="22">
        <f>INDEX('Activity data'!U$24:U$39,MATCH(Emissions!$D55,'Activity data'!$D$24:$D$39,0))*INDEX(EF!$H$84:$H$99,MATCH(Emissions!$D55,EF!$D$84:$D$99,0))*INDEX(EF!$H$100:$H$115,MATCH(Emissions!$D55,EF!$D$100:$D$115,0))*INDEX(EF!$H$116:$H$131,MATCH(Emissions!$D55,EF!$D$116:$D$131,0))*kgtoGg</f>
        <v>1.8124731268356651</v>
      </c>
      <c r="V55" s="22">
        <f>INDEX('Activity data'!V$24:V$39,MATCH(Emissions!$D55,'Activity data'!$D$24:$D$39,0))*INDEX(EF!$H$84:$H$99,MATCH(Emissions!$D55,EF!$D$84:$D$99,0))*INDEX(EF!$H$100:$H$115,MATCH(Emissions!$D55,EF!$D$100:$D$115,0))*INDEX(EF!$H$116:$H$131,MATCH(Emissions!$D55,EF!$D$116:$D$131,0))*kgtoGg</f>
        <v>1.8648308974103387</v>
      </c>
      <c r="W55" s="22">
        <f>INDEX('Activity data'!W$24:W$39,MATCH(Emissions!$D55,'Activity data'!$D$24:$D$39,0))*INDEX(EF!$H$84:$H$99,MATCH(Emissions!$D55,EF!$D$84:$D$99,0))*INDEX(EF!$H$100:$H$115,MATCH(Emissions!$D55,EF!$D$100:$D$115,0))*INDEX(EF!$H$116:$H$131,MATCH(Emissions!$D55,EF!$D$116:$D$131,0))*kgtoGg</f>
        <v>3.2027666545747224</v>
      </c>
      <c r="X55" s="22">
        <f>INDEX('Activity data'!X$24:X$39,MATCH(Emissions!$D55,'Activity data'!$D$24:$D$39,0))*INDEX(EF!$H$84:$H$99,MATCH(Emissions!$D55,EF!$D$84:$D$99,0))*INDEX(EF!$H$100:$H$115,MATCH(Emissions!$D55,EF!$D$100:$D$115,0))*INDEX(EF!$H$116:$H$131,MATCH(Emissions!$D55,EF!$D$116:$D$131,0))*kgtoGg</f>
        <v>2.5583189440302561</v>
      </c>
      <c r="Y55" s="22">
        <f>INDEX('Activity data'!Y$24:Y$39,MATCH(Emissions!$D55,'Activity data'!$D$24:$D$39,0))*INDEX(EF!$H$84:$H$99,MATCH(Emissions!$D55,EF!$D$84:$D$99,0))*INDEX(EF!$H$100:$H$115,MATCH(Emissions!$D55,EF!$D$100:$D$115,0))*INDEX(EF!$H$116:$H$131,MATCH(Emissions!$D55,EF!$D$116:$D$131,0))*kgtoGg</f>
        <v>2.986989175842734</v>
      </c>
      <c r="Z55" s="22">
        <f>INDEX('Activity data'!Z$24:Z$39,MATCH(Emissions!$D55,'Activity data'!$D$24:$D$39,0))*INDEX(EF!$H$84:$H$99,MATCH(Emissions!$D55,EF!$D$84:$D$99,0))*INDEX(EF!$H$100:$H$115,MATCH(Emissions!$D55,EF!$D$100:$D$115,0))*INDEX(EF!$H$116:$H$131,MATCH(Emissions!$D55,EF!$D$116:$D$131,0))*kgtoGg</f>
        <v>3.286279462185564</v>
      </c>
      <c r="AA55" s="22">
        <f>INDEX('Activity data'!AA$24:AA$39,MATCH(Emissions!$D55,'Activity data'!$D$24:$D$39,0))*INDEX(EF!$H$84:$H$99,MATCH(Emissions!$D55,EF!$D$84:$D$99,0))*INDEX(EF!$H$100:$H$115,MATCH(Emissions!$D55,EF!$D$100:$D$115,0))*INDEX(EF!$H$116:$H$131,MATCH(Emissions!$D55,EF!$D$116:$D$131,0))*kgtoGg</f>
        <v>2.3897067297002468</v>
      </c>
      <c r="AB55" s="22">
        <f>INDEX('Activity data'!AB$24:AB$39,MATCH(Emissions!$D55,'Activity data'!$D$24:$D$39,0))*INDEX(EF!$H$84:$H$99,MATCH(Emissions!$D55,EF!$D$84:$D$99,0))*INDEX(EF!$H$100:$H$115,MATCH(Emissions!$D55,EF!$D$100:$D$115,0))*INDEX(EF!$H$116:$H$131,MATCH(Emissions!$D55,EF!$D$116:$D$131,0))*kgtoGg</f>
        <v>2.9201987820599995</v>
      </c>
      <c r="AC55" s="22">
        <f>INDEX('Activity data'!AC$24:AC$39,MATCH(Emissions!$D55,'Activity data'!$D$24:$D$39,0))*INDEX(EF!$H$84:$H$99,MATCH(Emissions!$D55,EF!$D$84:$D$99,0))*INDEX(EF!$H$100:$H$115,MATCH(Emissions!$D55,EF!$D$100:$D$115,0))*INDEX(EF!$H$116:$H$131,MATCH(Emissions!$D55,EF!$D$116:$D$131,0))*kgtoGg</f>
        <v>2.3252322901500002</v>
      </c>
      <c r="AD55" s="22">
        <f>INDEX('Activity data'!AD$24:AD$39,MATCH(Emissions!$D55,'Activity data'!$D$24:$D$39,0))*INDEX(EF!$H$84:$H$99,MATCH(Emissions!$D55,EF!$D$84:$D$99,0))*INDEX(EF!$H$100:$H$115,MATCH(Emissions!$D55,EF!$D$100:$D$115,0))*INDEX(EF!$H$116:$H$131,MATCH(Emissions!$D55,EF!$D$116:$D$131,0))*kgtoGg</f>
        <v>2.4624591885313172</v>
      </c>
      <c r="AE55" s="22">
        <f>INDEX('Activity data'!AE$24:AE$39,MATCH(Emissions!$D55,'Activity data'!$D$24:$D$39,0))*INDEX(EF!$H$84:$H$99,MATCH(Emissions!$D55,EF!$D$84:$D$99,0))*INDEX(EF!$H$100:$H$115,MATCH(Emissions!$D55,EF!$D$100:$D$115,0))*INDEX(EF!$H$116:$H$131,MATCH(Emissions!$D55,EF!$D$116:$D$131,0))*kgtoGg</f>
        <v>2.4585603570229884</v>
      </c>
      <c r="AF55" s="22">
        <f>INDEX('Activity data'!AF$24:AF$39,MATCH(Emissions!$D55,'Activity data'!$D$24:$D$39,0))*INDEX(EF!$H$84:$H$99,MATCH(Emissions!$D55,EF!$D$84:$D$99,0))*INDEX(EF!$H$100:$H$115,MATCH(Emissions!$D55,EF!$D$100:$D$115,0))*INDEX(EF!$H$116:$H$131,MATCH(Emissions!$D55,EF!$D$116:$D$131,0))*kgtoGg</f>
        <v>2.4546615255146595</v>
      </c>
      <c r="AG55" s="22">
        <f>INDEX('Activity data'!AG$24:AG$39,MATCH(Emissions!$D55,'Activity data'!$D$24:$D$39,0))*INDEX(EF!$H$84:$H$99,MATCH(Emissions!$D55,EF!$D$84:$D$99,0))*INDEX(EF!$H$100:$H$115,MATCH(Emissions!$D55,EF!$D$100:$D$115,0))*INDEX(EF!$H$116:$H$131,MATCH(Emissions!$D55,EF!$D$116:$D$131,0))*kgtoGg</f>
        <v>2.4507626940063303</v>
      </c>
      <c r="AH55" s="22">
        <f>INDEX('Activity data'!AH$24:AH$39,MATCH(Emissions!$D55,'Activity data'!$D$24:$D$39,0))*INDEX(EF!$H$84:$H$99,MATCH(Emissions!$D55,EF!$D$84:$D$99,0))*INDEX(EF!$H$100:$H$115,MATCH(Emissions!$D55,EF!$D$100:$D$115,0))*INDEX(EF!$H$116:$H$131,MATCH(Emissions!$D55,EF!$D$116:$D$131,0))*kgtoGg</f>
        <v>2.4468638624980015</v>
      </c>
      <c r="AI55" s="22">
        <f>INDEX('Activity data'!AI$24:AI$39,MATCH(Emissions!$D55,'Activity data'!$D$24:$D$39,0))*INDEX(EF!$H$84:$H$99,MATCH(Emissions!$D55,EF!$D$84:$D$99,0))*INDEX(EF!$H$100:$H$115,MATCH(Emissions!$D55,EF!$D$100:$D$115,0))*INDEX(EF!$H$116:$H$131,MATCH(Emissions!$D55,EF!$D$116:$D$131,0))*kgtoGg</f>
        <v>2.4429650309896722</v>
      </c>
      <c r="AJ55" s="22">
        <f>INDEX('Activity data'!AJ$24:AJ$39,MATCH(Emissions!$D55,'Activity data'!$D$24:$D$39,0))*INDEX(EF!$H$84:$H$99,MATCH(Emissions!$D55,EF!$D$84:$D$99,0))*INDEX(EF!$H$100:$H$115,MATCH(Emissions!$D55,EF!$D$100:$D$115,0))*INDEX(EF!$H$116:$H$131,MATCH(Emissions!$D55,EF!$D$116:$D$131,0))*kgtoGg</f>
        <v>2.4390661994813438</v>
      </c>
      <c r="AK55" s="22">
        <f>INDEX('Activity data'!AK$24:AK$39,MATCH(Emissions!$D55,'Activity data'!$D$24:$D$39,0))*INDEX(EF!$H$84:$H$99,MATCH(Emissions!$D55,EF!$D$84:$D$99,0))*INDEX(EF!$H$100:$H$115,MATCH(Emissions!$D55,EF!$D$100:$D$115,0))*INDEX(EF!$H$116:$H$131,MATCH(Emissions!$D55,EF!$D$116:$D$131,0))*kgtoGg</f>
        <v>2.4351673679730146</v>
      </c>
      <c r="AL55" s="22">
        <f>INDEX('Activity data'!AL$24:AL$39,MATCH(Emissions!$D55,'Activity data'!$D$24:$D$39,0))*INDEX(EF!$H$84:$H$99,MATCH(Emissions!$D55,EF!$D$84:$D$99,0))*INDEX(EF!$H$100:$H$115,MATCH(Emissions!$D55,EF!$D$100:$D$115,0))*INDEX(EF!$H$116:$H$131,MATCH(Emissions!$D55,EF!$D$116:$D$131,0))*kgtoGg</f>
        <v>2.4312685364646853</v>
      </c>
      <c r="AM55" s="22">
        <f>INDEX('Activity data'!AM$24:AM$39,MATCH(Emissions!$D55,'Activity data'!$D$24:$D$39,0))*INDEX(EF!$H$84:$H$99,MATCH(Emissions!$D55,EF!$D$84:$D$99,0))*INDEX(EF!$H$100:$H$115,MATCH(Emissions!$D55,EF!$D$100:$D$115,0))*INDEX(EF!$H$116:$H$131,MATCH(Emissions!$D55,EF!$D$116:$D$131,0))*kgtoGg</f>
        <v>2.427369704956357</v>
      </c>
      <c r="AN55" s="22">
        <f>INDEX('Activity data'!AN$24:AN$39,MATCH(Emissions!$D55,'Activity data'!$D$24:$D$39,0))*INDEX(EF!$H$84:$H$99,MATCH(Emissions!$D55,EF!$D$84:$D$99,0))*INDEX(EF!$H$100:$H$115,MATCH(Emissions!$D55,EF!$D$100:$D$115,0))*INDEX(EF!$H$116:$H$131,MATCH(Emissions!$D55,EF!$D$116:$D$131,0))*kgtoGg</f>
        <v>2.4234708734480273</v>
      </c>
      <c r="AO55" s="22">
        <f>INDEX('Activity data'!AO$24:AO$39,MATCH(Emissions!$D55,'Activity data'!$D$24:$D$39,0))*INDEX(EF!$H$84:$H$99,MATCH(Emissions!$D55,EF!$D$84:$D$99,0))*INDEX(EF!$H$100:$H$115,MATCH(Emissions!$D55,EF!$D$100:$D$115,0))*INDEX(EF!$H$116:$H$131,MATCH(Emissions!$D55,EF!$D$116:$D$131,0))*kgtoGg</f>
        <v>2.4195720419396989</v>
      </c>
      <c r="AP55" s="22">
        <f>INDEX('Activity data'!AP$24:AP$39,MATCH(Emissions!$D55,'Activity data'!$D$24:$D$39,0))*INDEX(EF!$H$84:$H$99,MATCH(Emissions!$D55,EF!$D$84:$D$99,0))*INDEX(EF!$H$100:$H$115,MATCH(Emissions!$D55,EF!$D$100:$D$115,0))*INDEX(EF!$H$116:$H$131,MATCH(Emissions!$D55,EF!$D$116:$D$131,0))*kgtoGg</f>
        <v>2.4156732104313696</v>
      </c>
      <c r="AQ55" s="22">
        <f>INDEX('Activity data'!AQ$24:AQ$39,MATCH(Emissions!$D55,'Activity data'!$D$24:$D$39,0))*INDEX(EF!$H$84:$H$99,MATCH(Emissions!$D55,EF!$D$84:$D$99,0))*INDEX(EF!$H$100:$H$115,MATCH(Emissions!$D55,EF!$D$100:$D$115,0))*INDEX(EF!$H$116:$H$131,MATCH(Emissions!$D55,EF!$D$116:$D$131,0))*kgtoGg</f>
        <v>2.4117743789230404</v>
      </c>
      <c r="AR55" s="22">
        <f>INDEX('Activity data'!AR$24:AR$39,MATCH(Emissions!$D55,'Activity data'!$D$24:$D$39,0))*INDEX(EF!$H$84:$H$99,MATCH(Emissions!$D55,EF!$D$84:$D$99,0))*INDEX(EF!$H$100:$H$115,MATCH(Emissions!$D55,EF!$D$100:$D$115,0))*INDEX(EF!$H$116:$H$131,MATCH(Emissions!$D55,EF!$D$116:$D$131,0))*kgtoGg</f>
        <v>2.407875547414712</v>
      </c>
      <c r="AS55" s="22">
        <f>INDEX('Activity data'!AS$24:AS$39,MATCH(Emissions!$D55,'Activity data'!$D$24:$D$39,0))*INDEX(EF!$H$84:$H$99,MATCH(Emissions!$D55,EF!$D$84:$D$99,0))*INDEX(EF!$H$100:$H$115,MATCH(Emissions!$D55,EF!$D$100:$D$115,0))*INDEX(EF!$H$116:$H$131,MATCH(Emissions!$D55,EF!$D$116:$D$131,0))*kgtoGg</f>
        <v>2.4039767159063823</v>
      </c>
      <c r="AT55" s="22">
        <f>INDEX('Activity data'!AT$24:AT$39,MATCH(Emissions!$D55,'Activity data'!$D$24:$D$39,0))*INDEX(EF!$H$84:$H$99,MATCH(Emissions!$D55,EF!$D$84:$D$99,0))*INDEX(EF!$H$100:$H$115,MATCH(Emissions!$D55,EF!$D$100:$D$115,0))*INDEX(EF!$H$116:$H$131,MATCH(Emissions!$D55,EF!$D$116:$D$131,0))*kgtoGg</f>
        <v>2.4000778843980535</v>
      </c>
      <c r="AU55" s="22">
        <f>INDEX('Activity data'!AU$24:AU$39,MATCH(Emissions!$D55,'Activity data'!$D$24:$D$39,0))*INDEX(EF!$H$84:$H$99,MATCH(Emissions!$D55,EF!$D$84:$D$99,0))*INDEX(EF!$H$100:$H$115,MATCH(Emissions!$D55,EF!$D$100:$D$115,0))*INDEX(EF!$H$116:$H$131,MATCH(Emissions!$D55,EF!$D$116:$D$131,0))*kgtoGg</f>
        <v>2.3961790528897247</v>
      </c>
      <c r="AV55" s="22">
        <f>INDEX('Activity data'!AV$24:AV$39,MATCH(Emissions!$D55,'Activity data'!$D$24:$D$39,0))*INDEX(EF!$H$84:$H$99,MATCH(Emissions!$D55,EF!$D$84:$D$99,0))*INDEX(EF!$H$100:$H$115,MATCH(Emissions!$D55,EF!$D$100:$D$115,0))*INDEX(EF!$H$116:$H$131,MATCH(Emissions!$D55,EF!$D$116:$D$131,0))*kgtoGg</f>
        <v>2.3922802213813954</v>
      </c>
      <c r="AW55" s="22">
        <f>INDEX('Activity data'!AW$24:AW$39,MATCH(Emissions!$D55,'Activity data'!$D$24:$D$39,0))*INDEX(EF!$H$84:$H$99,MATCH(Emissions!$D55,EF!$D$84:$D$99,0))*INDEX(EF!$H$100:$H$115,MATCH(Emissions!$D55,EF!$D$100:$D$115,0))*INDEX(EF!$H$116:$H$131,MATCH(Emissions!$D55,EF!$D$116:$D$131,0))*kgtoGg</f>
        <v>2.3883813898730675</v>
      </c>
      <c r="AX55" s="22">
        <f>INDEX('Activity data'!AX$24:AX$39,MATCH(Emissions!$D55,'Activity data'!$D$24:$D$39,0))*INDEX(EF!$H$84:$H$99,MATCH(Emissions!$D55,EF!$D$84:$D$99,0))*INDEX(EF!$H$100:$H$115,MATCH(Emissions!$D55,EF!$D$100:$D$115,0))*INDEX(EF!$H$116:$H$131,MATCH(Emissions!$D55,EF!$D$116:$D$131,0))*kgtoGg</f>
        <v>2.3844825583647378</v>
      </c>
      <c r="AY55" s="22">
        <f>INDEX('Activity data'!AY$24:AY$39,MATCH(Emissions!$D55,'Activity data'!$D$24:$D$39,0))*INDEX(EF!$H$84:$H$99,MATCH(Emissions!$D55,EF!$D$84:$D$99,0))*INDEX(EF!$H$100:$H$115,MATCH(Emissions!$D55,EF!$D$100:$D$115,0))*INDEX(EF!$H$116:$H$131,MATCH(Emissions!$D55,EF!$D$116:$D$131,0))*kgtoGg</f>
        <v>2.3805837268564085</v>
      </c>
      <c r="AZ55" s="22">
        <f>INDEX('Activity data'!AZ$24:AZ$39,MATCH(Emissions!$D55,'Activity data'!$D$24:$D$39,0))*INDEX(EF!$H$84:$H$99,MATCH(Emissions!$D55,EF!$D$84:$D$99,0))*INDEX(EF!$H$100:$H$115,MATCH(Emissions!$D55,EF!$D$100:$D$115,0))*INDEX(EF!$H$116:$H$131,MATCH(Emissions!$D55,EF!$D$116:$D$131,0))*kgtoGg</f>
        <v>2.3766848953480793</v>
      </c>
      <c r="BA55" s="22">
        <f>INDEX('Activity data'!BA$24:BA$39,MATCH(Emissions!$D55,'Activity data'!$D$24:$D$39,0))*INDEX(EF!$H$84:$H$99,MATCH(Emissions!$D55,EF!$D$84:$D$99,0))*INDEX(EF!$H$100:$H$115,MATCH(Emissions!$D55,EF!$D$100:$D$115,0))*INDEX(EF!$H$116:$H$131,MATCH(Emissions!$D55,EF!$D$116:$D$131,0))*kgtoGg</f>
        <v>2.3727860638397509</v>
      </c>
      <c r="BB55" s="22">
        <f>INDEX('Activity data'!BB$24:BB$39,MATCH(Emissions!$D55,'Activity data'!$D$24:$D$39,0))*INDEX(EF!$H$84:$H$99,MATCH(Emissions!$D55,EF!$D$84:$D$99,0))*INDEX(EF!$H$100:$H$115,MATCH(Emissions!$D55,EF!$D$100:$D$115,0))*INDEX(EF!$H$116:$H$131,MATCH(Emissions!$D55,EF!$D$116:$D$131,0))*kgtoGg</f>
        <v>2.3688872323314216</v>
      </c>
      <c r="BC55" s="22">
        <f>INDEX('Activity data'!BC$24:BC$39,MATCH(Emissions!$D55,'Activity data'!$D$24:$D$39,0))*INDEX(EF!$H$84:$H$99,MATCH(Emissions!$D55,EF!$D$84:$D$99,0))*INDEX(EF!$H$100:$H$115,MATCH(Emissions!$D55,EF!$D$100:$D$115,0))*INDEX(EF!$H$116:$H$131,MATCH(Emissions!$D55,EF!$D$116:$D$131,0))*kgtoGg</f>
        <v>2.3649884008230924</v>
      </c>
      <c r="BD55" s="22">
        <f>INDEX('Activity data'!BD$24:BD$39,MATCH(Emissions!$D55,'Activity data'!$D$24:$D$39,0))*INDEX(EF!$H$84:$H$99,MATCH(Emissions!$D55,EF!$D$84:$D$99,0))*INDEX(EF!$H$100:$H$115,MATCH(Emissions!$D55,EF!$D$100:$D$115,0))*INDEX(EF!$H$116:$H$131,MATCH(Emissions!$D55,EF!$D$116:$D$131,0))*kgtoGg</f>
        <v>2.361089569314764</v>
      </c>
      <c r="BE55" s="22">
        <f>INDEX('Activity data'!BE$24:BE$39,MATCH(Emissions!$D55,'Activity data'!$D$24:$D$39,0))*INDEX(EF!$H$84:$H$99,MATCH(Emissions!$D55,EF!$D$84:$D$99,0))*INDEX(EF!$H$100:$H$115,MATCH(Emissions!$D55,EF!$D$100:$D$115,0))*INDEX(EF!$H$116:$H$131,MATCH(Emissions!$D55,EF!$D$116:$D$131,0))*kgtoGg</f>
        <v>2.3571907378064347</v>
      </c>
      <c r="BF55" s="22">
        <f>INDEX('Activity data'!BF$24:BF$39,MATCH(Emissions!$D55,'Activity data'!$D$24:$D$39,0))*INDEX(EF!$H$84:$H$99,MATCH(Emissions!$D55,EF!$D$84:$D$99,0))*INDEX(EF!$H$100:$H$115,MATCH(Emissions!$D55,EF!$D$100:$D$115,0))*INDEX(EF!$H$116:$H$131,MATCH(Emissions!$D55,EF!$D$116:$D$131,0))*kgtoGg</f>
        <v>2.3532919062981059</v>
      </c>
      <c r="BG55" s="22">
        <f>INDEX('Activity data'!BG$24:BG$39,MATCH(Emissions!$D55,'Activity data'!$D$24:$D$39,0))*INDEX(EF!$H$84:$H$99,MATCH(Emissions!$D55,EF!$D$84:$D$99,0))*INDEX(EF!$H$100:$H$115,MATCH(Emissions!$D55,EF!$D$100:$D$115,0))*INDEX(EF!$H$116:$H$131,MATCH(Emissions!$D55,EF!$D$116:$D$131,0))*kgtoGg</f>
        <v>2.3493930747897767</v>
      </c>
      <c r="BH55" s="22">
        <f>INDEX('Activity data'!BH$24:BH$39,MATCH(Emissions!$D55,'Activity data'!$D$24:$D$39,0))*INDEX(EF!$H$84:$H$99,MATCH(Emissions!$D55,EF!$D$84:$D$99,0))*INDEX(EF!$H$100:$H$115,MATCH(Emissions!$D55,EF!$D$100:$D$115,0))*INDEX(EF!$H$116:$H$131,MATCH(Emissions!$D55,EF!$D$116:$D$131,0))*kgtoGg</f>
        <v>2.3454942432814478</v>
      </c>
      <c r="BI55" s="22">
        <f>INDEX('Activity data'!BI$24:BI$39,MATCH(Emissions!$D55,'Activity data'!$D$24:$D$39,0))*INDEX(EF!$H$84:$H$99,MATCH(Emissions!$D55,EF!$D$84:$D$99,0))*INDEX(EF!$H$100:$H$115,MATCH(Emissions!$D55,EF!$D$100:$D$115,0))*INDEX(EF!$H$116:$H$131,MATCH(Emissions!$D55,EF!$D$116:$D$131,0))*kgtoGg</f>
        <v>2.341595411773119</v>
      </c>
      <c r="BJ55" s="22">
        <f>INDEX('Activity data'!BJ$24:BJ$39,MATCH(Emissions!$D55,'Activity data'!$D$24:$D$39,0))*INDEX(EF!$H$84:$H$99,MATCH(Emissions!$D55,EF!$D$84:$D$99,0))*INDEX(EF!$H$100:$H$115,MATCH(Emissions!$D55,EF!$D$100:$D$115,0))*INDEX(EF!$H$116:$H$131,MATCH(Emissions!$D55,EF!$D$116:$D$131,0))*kgtoGg</f>
        <v>2.3376965802647898</v>
      </c>
      <c r="BK55" s="22">
        <f>INDEX('Activity data'!BK$24:BK$39,MATCH(Emissions!$D55,'Activity data'!$D$24:$D$39,0))*INDEX(EF!$H$84:$H$99,MATCH(Emissions!$D55,EF!$D$84:$D$99,0))*INDEX(EF!$H$100:$H$115,MATCH(Emissions!$D55,EF!$D$100:$D$115,0))*INDEX(EF!$H$116:$H$131,MATCH(Emissions!$D55,EF!$D$116:$D$131,0))*kgtoGg</f>
        <v>2.3337977487564614</v>
      </c>
      <c r="BL55" s="22">
        <f>INDEX('Activity data'!BL$24:BL$39,MATCH(Emissions!$D55,'Activity data'!$D$24:$D$39,0))*INDEX(EF!$H$84:$H$99,MATCH(Emissions!$D55,EF!$D$84:$D$99,0))*INDEX(EF!$H$100:$H$115,MATCH(Emissions!$D55,EF!$D$100:$D$115,0))*INDEX(EF!$H$116:$H$131,MATCH(Emissions!$D55,EF!$D$116:$D$131,0))*kgtoGg</f>
        <v>2.3298989172481317</v>
      </c>
      <c r="BM55" s="22">
        <f>INDEX('Activity data'!BM$24:BM$39,MATCH(Emissions!$D55,'Activity data'!$D$24:$D$39,0))*INDEX(EF!$H$84:$H$99,MATCH(Emissions!$D55,EF!$D$84:$D$99,0))*INDEX(EF!$H$100:$H$115,MATCH(Emissions!$D55,EF!$D$100:$D$115,0))*INDEX(EF!$H$116:$H$131,MATCH(Emissions!$D55,EF!$D$116:$D$131,0))*kgtoGg</f>
        <v>2.3260000857398029</v>
      </c>
      <c r="BN55" s="22">
        <f>INDEX('Activity data'!BN$24:BN$39,MATCH(Emissions!$D55,'Activity data'!$D$24:$D$39,0))*INDEX(EF!$H$84:$H$99,MATCH(Emissions!$D55,EF!$D$84:$D$99,0))*INDEX(EF!$H$100:$H$115,MATCH(Emissions!$D55,EF!$D$100:$D$115,0))*INDEX(EF!$H$116:$H$131,MATCH(Emissions!$D55,EF!$D$116:$D$131,0))*kgtoGg</f>
        <v>2.3221012542314736</v>
      </c>
      <c r="BO55" s="22">
        <f>INDEX('Activity data'!BO$24:BO$39,MATCH(Emissions!$D55,'Activity data'!$D$24:$D$39,0))*INDEX(EF!$H$84:$H$99,MATCH(Emissions!$D55,EF!$D$84:$D$99,0))*INDEX(EF!$H$100:$H$115,MATCH(Emissions!$D55,EF!$D$100:$D$115,0))*INDEX(EF!$H$116:$H$131,MATCH(Emissions!$D55,EF!$D$116:$D$131,0))*kgtoGg</f>
        <v>2.3182024227231448</v>
      </c>
      <c r="BP55" s="22">
        <f>INDEX('Activity data'!BP$24:BP$39,MATCH(Emissions!$D55,'Activity data'!$D$24:$D$39,0))*INDEX(EF!$H$84:$H$99,MATCH(Emissions!$D55,EF!$D$84:$D$99,0))*INDEX(EF!$H$100:$H$115,MATCH(Emissions!$D55,EF!$D$100:$D$115,0))*INDEX(EF!$H$116:$H$131,MATCH(Emissions!$D55,EF!$D$116:$D$131,0))*kgtoGg</f>
        <v>2.314303591214816</v>
      </c>
    </row>
    <row r="56" spans="1:68" x14ac:dyDescent="0.25">
      <c r="A56" t="str">
        <f t="shared" ref="A56:A60" si="13">A55</f>
        <v>3C Aggregated and non-CO2 emissions on land</v>
      </c>
      <c r="B56" t="str">
        <f t="shared" ref="B56:B59" si="14">B55</f>
        <v>3C1 Biomass burning (CH4)</v>
      </c>
      <c r="C56" t="str">
        <f t="shared" ref="C56:C57" si="15">C55</f>
        <v>3C1a Biomass burning in forest land</v>
      </c>
      <c r="D56" t="str">
        <f>EF!D86</f>
        <v>Woodlands</v>
      </c>
      <c r="E56" t="s">
        <v>643</v>
      </c>
      <c r="F56" t="str">
        <f t="shared" ref="F56:F59" si="16">F55</f>
        <v>CH4</v>
      </c>
      <c r="G56" t="str">
        <f t="shared" ref="G56:G59" si="17">G55</f>
        <v>Gg CH4</v>
      </c>
      <c r="H56" s="22">
        <f>INDEX('Activity data'!H$24:H$39,MATCH(Emissions!$D56,'Activity data'!$D$24:$D$39,0))*INDEX(EF!$H$84:$H$99,MATCH(Emissions!$D56,EF!$D$84:$D$99,0))*INDEX(EF!$H$100:$H$115,MATCH(Emissions!$D56,EF!$D$100:$D$115,0))*INDEX(EF!$H$116:$H$131,MATCH(Emissions!$D56,EF!$D$116:$D$131,0))*kgtoGg</f>
        <v>5.6531469914652028</v>
      </c>
      <c r="I56" s="22">
        <f>INDEX('Activity data'!I$24:I$39,MATCH(Emissions!$D56,'Activity data'!$D$24:$D$39,0))*INDEX(EF!$H$84:$H$99,MATCH(Emissions!$D56,EF!$D$84:$D$99,0))*INDEX(EF!$H$100:$H$115,MATCH(Emissions!$D56,EF!$D$100:$D$115,0))*INDEX(EF!$H$116:$H$131,MATCH(Emissions!$D56,EF!$D$116:$D$131,0))*kgtoGg</f>
        <v>5.6531469914652028</v>
      </c>
      <c r="J56" s="22">
        <f>INDEX('Activity data'!J$24:J$39,MATCH(Emissions!$D56,'Activity data'!$D$24:$D$39,0))*INDEX(EF!$H$84:$H$99,MATCH(Emissions!$D56,EF!$D$84:$D$99,0))*INDEX(EF!$H$100:$H$115,MATCH(Emissions!$D56,EF!$D$100:$D$115,0))*INDEX(EF!$H$116:$H$131,MATCH(Emissions!$D56,EF!$D$116:$D$131,0))*kgtoGg</f>
        <v>5.6531469914652028</v>
      </c>
      <c r="K56" s="22">
        <f>INDEX('Activity data'!K$24:K$39,MATCH(Emissions!$D56,'Activity data'!$D$24:$D$39,0))*INDEX(EF!$H$84:$H$99,MATCH(Emissions!$D56,EF!$D$84:$D$99,0))*INDEX(EF!$H$100:$H$115,MATCH(Emissions!$D56,EF!$D$100:$D$115,0))*INDEX(EF!$H$116:$H$131,MATCH(Emissions!$D56,EF!$D$116:$D$131,0))*kgtoGg</f>
        <v>5.6531469914652028</v>
      </c>
      <c r="L56" s="22">
        <f>INDEX('Activity data'!L$24:L$39,MATCH(Emissions!$D56,'Activity data'!$D$24:$D$39,0))*INDEX(EF!$H$84:$H$99,MATCH(Emissions!$D56,EF!$D$84:$D$99,0))*INDEX(EF!$H$100:$H$115,MATCH(Emissions!$D56,EF!$D$100:$D$115,0))*INDEX(EF!$H$116:$H$131,MATCH(Emissions!$D56,EF!$D$116:$D$131,0))*kgtoGg</f>
        <v>5.6531469914652028</v>
      </c>
      <c r="M56" s="22">
        <f>INDEX('Activity data'!M$24:M$39,MATCH(Emissions!$D56,'Activity data'!$D$24:$D$39,0))*INDEX(EF!$H$84:$H$99,MATCH(Emissions!$D56,EF!$D$84:$D$99,0))*INDEX(EF!$H$100:$H$115,MATCH(Emissions!$D56,EF!$D$100:$D$115,0))*INDEX(EF!$H$116:$H$131,MATCH(Emissions!$D56,EF!$D$116:$D$131,0))*kgtoGg</f>
        <v>5.6531469914652028</v>
      </c>
      <c r="N56" s="22">
        <f>INDEX('Activity data'!N$24:N$39,MATCH(Emissions!$D56,'Activity data'!$D$24:$D$39,0))*INDEX(EF!$H$84:$H$99,MATCH(Emissions!$D56,EF!$D$84:$D$99,0))*INDEX(EF!$H$100:$H$115,MATCH(Emissions!$D56,EF!$D$100:$D$115,0))*INDEX(EF!$H$116:$H$131,MATCH(Emissions!$D56,EF!$D$116:$D$131,0))*kgtoGg</f>
        <v>5.6531469914652028</v>
      </c>
      <c r="O56" s="22">
        <f>INDEX('Activity data'!O$24:O$39,MATCH(Emissions!$D56,'Activity data'!$D$24:$D$39,0))*INDEX(EF!$H$84:$H$99,MATCH(Emissions!$D56,EF!$D$84:$D$99,0))*INDEX(EF!$H$100:$H$115,MATCH(Emissions!$D56,EF!$D$100:$D$115,0))*INDEX(EF!$H$116:$H$131,MATCH(Emissions!$D56,EF!$D$116:$D$131,0))*kgtoGg</f>
        <v>5.6531469914652028</v>
      </c>
      <c r="P56" s="22">
        <f>INDEX('Activity data'!P$24:P$39,MATCH(Emissions!$D56,'Activity data'!$D$24:$D$39,0))*INDEX(EF!$H$84:$H$99,MATCH(Emissions!$D56,EF!$D$84:$D$99,0))*INDEX(EF!$H$100:$H$115,MATCH(Emissions!$D56,EF!$D$100:$D$115,0))*INDEX(EF!$H$116:$H$131,MATCH(Emissions!$D56,EF!$D$116:$D$131,0))*kgtoGg</f>
        <v>5.6531469914652028</v>
      </c>
      <c r="Q56" s="22">
        <f>INDEX('Activity data'!Q$24:Q$39,MATCH(Emissions!$D56,'Activity data'!$D$24:$D$39,0))*INDEX(EF!$H$84:$H$99,MATCH(Emissions!$D56,EF!$D$84:$D$99,0))*INDEX(EF!$H$100:$H$115,MATCH(Emissions!$D56,EF!$D$100:$D$115,0))*INDEX(EF!$H$116:$H$131,MATCH(Emissions!$D56,EF!$D$116:$D$131,0))*kgtoGg</f>
        <v>5.6531469914652028</v>
      </c>
      <c r="R56" s="22">
        <f>INDEX('Activity data'!R$24:R$39,MATCH(Emissions!$D56,'Activity data'!$D$24:$D$39,0))*INDEX(EF!$H$84:$H$99,MATCH(Emissions!$D56,EF!$D$84:$D$99,0))*INDEX(EF!$H$100:$H$115,MATCH(Emissions!$D56,EF!$D$100:$D$115,0))*INDEX(EF!$H$116:$H$131,MATCH(Emissions!$D56,EF!$D$116:$D$131,0))*kgtoGg</f>
        <v>5.9201330160969858</v>
      </c>
      <c r="S56" s="22">
        <f>INDEX('Activity data'!S$24:S$39,MATCH(Emissions!$D56,'Activity data'!$D$24:$D$39,0))*INDEX(EF!$H$84:$H$99,MATCH(Emissions!$D56,EF!$D$84:$D$99,0))*INDEX(EF!$H$100:$H$115,MATCH(Emissions!$D56,EF!$D$100:$D$115,0))*INDEX(EF!$H$116:$H$131,MATCH(Emissions!$D56,EF!$D$116:$D$131,0))*kgtoGg</f>
        <v>8.5137755895560279</v>
      </c>
      <c r="T56" s="22">
        <f>INDEX('Activity data'!T$24:T$39,MATCH(Emissions!$D56,'Activity data'!$D$24:$D$39,0))*INDEX(EF!$H$84:$H$99,MATCH(Emissions!$D56,EF!$D$84:$D$99,0))*INDEX(EF!$H$100:$H$115,MATCH(Emissions!$D56,EF!$D$100:$D$115,0))*INDEX(EF!$H$116:$H$131,MATCH(Emissions!$D56,EF!$D$116:$D$131,0))*kgtoGg</f>
        <v>6.5840487252639006</v>
      </c>
      <c r="U56" s="22">
        <f>INDEX('Activity data'!U$24:U$39,MATCH(Emissions!$D56,'Activity data'!$D$24:$D$39,0))*INDEX(EF!$H$84:$H$99,MATCH(Emissions!$D56,EF!$D$84:$D$99,0))*INDEX(EF!$H$100:$H$115,MATCH(Emissions!$D56,EF!$D$100:$D$115,0))*INDEX(EF!$H$116:$H$131,MATCH(Emissions!$D56,EF!$D$116:$D$131,0))*kgtoGg</f>
        <v>2.5247104134470595</v>
      </c>
      <c r="V56" s="22">
        <f>INDEX('Activity data'!V$24:V$39,MATCH(Emissions!$D56,'Activity data'!$D$24:$D$39,0))*INDEX(EF!$H$84:$H$99,MATCH(Emissions!$D56,EF!$D$84:$D$99,0))*INDEX(EF!$H$100:$H$115,MATCH(Emissions!$D56,EF!$D$100:$D$115,0))*INDEX(EF!$H$116:$H$131,MATCH(Emissions!$D56,EF!$D$116:$D$131,0))*kgtoGg</f>
        <v>4.7230672129620421</v>
      </c>
      <c r="W56" s="22">
        <f>INDEX('Activity data'!W$24:W$39,MATCH(Emissions!$D56,'Activity data'!$D$24:$D$39,0))*INDEX(EF!$H$84:$H$99,MATCH(Emissions!$D56,EF!$D$84:$D$99,0))*INDEX(EF!$H$100:$H$115,MATCH(Emissions!$D56,EF!$D$100:$D$115,0))*INDEX(EF!$H$116:$H$131,MATCH(Emissions!$D56,EF!$D$116:$D$131,0))*kgtoGg</f>
        <v>7.9744608308714833</v>
      </c>
      <c r="X56" s="22">
        <f>INDEX('Activity data'!X$24:X$39,MATCH(Emissions!$D56,'Activity data'!$D$24:$D$39,0))*INDEX(EF!$H$84:$H$99,MATCH(Emissions!$D56,EF!$D$84:$D$99,0))*INDEX(EF!$H$100:$H$115,MATCH(Emissions!$D56,EF!$D$100:$D$115,0))*INDEX(EF!$H$116:$H$131,MATCH(Emissions!$D56,EF!$D$116:$D$131,0))*kgtoGg</f>
        <v>6.9184350841296229</v>
      </c>
      <c r="Y56" s="22">
        <f>INDEX('Activity data'!Y$24:Y$39,MATCH(Emissions!$D56,'Activity data'!$D$24:$D$39,0))*INDEX(EF!$H$84:$H$99,MATCH(Emissions!$D56,EF!$D$84:$D$99,0))*INDEX(EF!$H$100:$H$115,MATCH(Emissions!$D56,EF!$D$100:$D$115,0))*INDEX(EF!$H$116:$H$131,MATCH(Emissions!$D56,EF!$D$116:$D$131,0))*kgtoGg</f>
        <v>3.9808789426975095</v>
      </c>
      <c r="Z56" s="22">
        <f>INDEX('Activity data'!Z$24:Z$39,MATCH(Emissions!$D56,'Activity data'!$D$24:$D$39,0))*INDEX(EF!$H$84:$H$99,MATCH(Emissions!$D56,EF!$D$84:$D$99,0))*INDEX(EF!$H$100:$H$115,MATCH(Emissions!$D56,EF!$D$100:$D$115,0))*INDEX(EF!$H$116:$H$131,MATCH(Emissions!$D56,EF!$D$116:$D$131,0))*kgtoGg</f>
        <v>7.1887462915478917</v>
      </c>
      <c r="AA56" s="22">
        <f>INDEX('Activity data'!AA$24:AA$39,MATCH(Emissions!$D56,'Activity data'!$D$24:$D$39,0))*INDEX(EF!$H$84:$H$99,MATCH(Emissions!$D56,EF!$D$84:$D$99,0))*INDEX(EF!$H$100:$H$115,MATCH(Emissions!$D56,EF!$D$100:$D$115,0))*INDEX(EF!$H$116:$H$131,MATCH(Emissions!$D56,EF!$D$116:$D$131,0))*kgtoGg</f>
        <v>4.7368910065687819</v>
      </c>
      <c r="AB56" s="22">
        <f>INDEX('Activity data'!AB$24:AB$39,MATCH(Emissions!$D56,'Activity data'!$D$24:$D$39,0))*INDEX(EF!$H$84:$H$99,MATCH(Emissions!$D56,EF!$D$84:$D$99,0))*INDEX(EF!$H$100:$H$115,MATCH(Emissions!$D56,EF!$D$100:$D$115,0))*INDEX(EF!$H$116:$H$131,MATCH(Emissions!$D56,EF!$D$116:$D$131,0))*kgtoGg</f>
        <v>6.6733368768000005</v>
      </c>
      <c r="AC56" s="22">
        <f>INDEX('Activity data'!AC$24:AC$39,MATCH(Emissions!$D56,'Activity data'!$D$24:$D$39,0))*INDEX(EF!$H$84:$H$99,MATCH(Emissions!$D56,EF!$D$84:$D$99,0))*INDEX(EF!$H$100:$H$115,MATCH(Emissions!$D56,EF!$D$100:$D$115,0))*INDEX(EF!$H$116:$H$131,MATCH(Emissions!$D56,EF!$D$116:$D$131,0))*kgtoGg</f>
        <v>6.10643382624</v>
      </c>
      <c r="AD56" s="22">
        <f>INDEX('Activity data'!AD$24:AD$39,MATCH(Emissions!$D56,'Activity data'!$D$24:$D$39,0))*INDEX(EF!$H$84:$H$99,MATCH(Emissions!$D56,EF!$D$84:$D$99,0))*INDEX(EF!$H$100:$H$115,MATCH(Emissions!$D56,EF!$D$100:$D$115,0))*INDEX(EF!$H$116:$H$131,MATCH(Emissions!$D56,EF!$D$116:$D$131,0))*kgtoGg</f>
        <v>5.3786221650316861</v>
      </c>
      <c r="AE56" s="22">
        <f>INDEX('Activity data'!AE$24:AE$39,MATCH(Emissions!$D56,'Activity data'!$D$24:$D$39,0))*INDEX(EF!$H$84:$H$99,MATCH(Emissions!$D56,EF!$D$84:$D$99,0))*INDEX(EF!$H$100:$H$115,MATCH(Emissions!$D56,EF!$D$100:$D$115,0))*INDEX(EF!$H$116:$H$131,MATCH(Emissions!$D56,EF!$D$116:$D$131,0))*kgtoGg</f>
        <v>5.3880428110636629</v>
      </c>
      <c r="AF56" s="22">
        <f>INDEX('Activity data'!AF$24:AF$39,MATCH(Emissions!$D56,'Activity data'!$D$24:$D$39,0))*INDEX(EF!$H$84:$H$99,MATCH(Emissions!$D56,EF!$D$84:$D$99,0))*INDEX(EF!$H$100:$H$115,MATCH(Emissions!$D56,EF!$D$100:$D$115,0))*INDEX(EF!$H$116:$H$131,MATCH(Emissions!$D56,EF!$D$116:$D$131,0))*kgtoGg</f>
        <v>5.3974634570956406</v>
      </c>
      <c r="AG56" s="22">
        <f>INDEX('Activity data'!AG$24:AG$39,MATCH(Emissions!$D56,'Activity data'!$D$24:$D$39,0))*INDEX(EF!$H$84:$H$99,MATCH(Emissions!$D56,EF!$D$84:$D$99,0))*INDEX(EF!$H$100:$H$115,MATCH(Emissions!$D56,EF!$D$100:$D$115,0))*INDEX(EF!$H$116:$H$131,MATCH(Emissions!$D56,EF!$D$116:$D$131,0))*kgtoGg</f>
        <v>5.4068841031276182</v>
      </c>
      <c r="AH56" s="22">
        <f>INDEX('Activity data'!AH$24:AH$39,MATCH(Emissions!$D56,'Activity data'!$D$24:$D$39,0))*INDEX(EF!$H$84:$H$99,MATCH(Emissions!$D56,EF!$D$84:$D$99,0))*INDEX(EF!$H$100:$H$115,MATCH(Emissions!$D56,EF!$D$100:$D$115,0))*INDEX(EF!$H$116:$H$131,MATCH(Emissions!$D56,EF!$D$116:$D$131,0))*kgtoGg</f>
        <v>5.4163047491595959</v>
      </c>
      <c r="AI56" s="22">
        <f>INDEX('Activity data'!AI$24:AI$39,MATCH(Emissions!$D56,'Activity data'!$D$24:$D$39,0))*INDEX(EF!$H$84:$H$99,MATCH(Emissions!$D56,EF!$D$84:$D$99,0))*INDEX(EF!$H$100:$H$115,MATCH(Emissions!$D56,EF!$D$100:$D$115,0))*INDEX(EF!$H$116:$H$131,MATCH(Emissions!$D56,EF!$D$116:$D$131,0))*kgtoGg</f>
        <v>5.4257253951915727</v>
      </c>
      <c r="AJ56" s="22">
        <f>INDEX('Activity data'!AJ$24:AJ$39,MATCH(Emissions!$D56,'Activity data'!$D$24:$D$39,0))*INDEX(EF!$H$84:$H$99,MATCH(Emissions!$D56,EF!$D$84:$D$99,0))*INDEX(EF!$H$100:$H$115,MATCH(Emissions!$D56,EF!$D$100:$D$115,0))*INDEX(EF!$H$116:$H$131,MATCH(Emissions!$D56,EF!$D$116:$D$131,0))*kgtoGg</f>
        <v>5.4351460412235486</v>
      </c>
      <c r="AK56" s="22">
        <f>INDEX('Activity data'!AK$24:AK$39,MATCH(Emissions!$D56,'Activity data'!$D$24:$D$39,0))*INDEX(EF!$H$84:$H$99,MATCH(Emissions!$D56,EF!$D$84:$D$99,0))*INDEX(EF!$H$100:$H$115,MATCH(Emissions!$D56,EF!$D$100:$D$115,0))*INDEX(EF!$H$116:$H$131,MATCH(Emissions!$D56,EF!$D$116:$D$131,0))*kgtoGg</f>
        <v>5.3972660466060871</v>
      </c>
      <c r="AL56" s="22">
        <f>INDEX('Activity data'!AL$24:AL$39,MATCH(Emissions!$D56,'Activity data'!$D$24:$D$39,0))*INDEX(EF!$H$84:$H$99,MATCH(Emissions!$D56,EF!$D$84:$D$99,0))*INDEX(EF!$H$100:$H$115,MATCH(Emissions!$D56,EF!$D$100:$D$115,0))*INDEX(EF!$H$116:$H$131,MATCH(Emissions!$D56,EF!$D$116:$D$131,0))*kgtoGg</f>
        <v>5.3593860519886229</v>
      </c>
      <c r="AM56" s="22">
        <f>INDEX('Activity data'!AM$24:AM$39,MATCH(Emissions!$D56,'Activity data'!$D$24:$D$39,0))*INDEX(EF!$H$84:$H$99,MATCH(Emissions!$D56,EF!$D$84:$D$99,0))*INDEX(EF!$H$100:$H$115,MATCH(Emissions!$D56,EF!$D$100:$D$115,0))*INDEX(EF!$H$116:$H$131,MATCH(Emissions!$D56,EF!$D$116:$D$131,0))*kgtoGg</f>
        <v>5.3215060573711588</v>
      </c>
      <c r="AN56" s="22">
        <f>INDEX('Activity data'!AN$24:AN$39,MATCH(Emissions!$D56,'Activity data'!$D$24:$D$39,0))*INDEX(EF!$H$84:$H$99,MATCH(Emissions!$D56,EF!$D$84:$D$99,0))*INDEX(EF!$H$100:$H$115,MATCH(Emissions!$D56,EF!$D$100:$D$115,0))*INDEX(EF!$H$116:$H$131,MATCH(Emissions!$D56,EF!$D$116:$D$131,0))*kgtoGg</f>
        <v>5.2836260627536946</v>
      </c>
      <c r="AO56" s="22">
        <f>INDEX('Activity data'!AO$24:AO$39,MATCH(Emissions!$D56,'Activity data'!$D$24:$D$39,0))*INDEX(EF!$H$84:$H$99,MATCH(Emissions!$D56,EF!$D$84:$D$99,0))*INDEX(EF!$H$100:$H$115,MATCH(Emissions!$D56,EF!$D$100:$D$115,0))*INDEX(EF!$H$116:$H$131,MATCH(Emissions!$D56,EF!$D$116:$D$131,0))*kgtoGg</f>
        <v>5.2457460681362322</v>
      </c>
      <c r="AP56" s="22">
        <f>INDEX('Activity data'!AP$24:AP$39,MATCH(Emissions!$D56,'Activity data'!$D$24:$D$39,0))*INDEX(EF!$H$84:$H$99,MATCH(Emissions!$D56,EF!$D$84:$D$99,0))*INDEX(EF!$H$100:$H$115,MATCH(Emissions!$D56,EF!$D$100:$D$115,0))*INDEX(EF!$H$116:$H$131,MATCH(Emissions!$D56,EF!$D$116:$D$131,0))*kgtoGg</f>
        <v>5.2078660735187698</v>
      </c>
      <c r="AQ56" s="22">
        <f>INDEX('Activity data'!AQ$24:AQ$39,MATCH(Emissions!$D56,'Activity data'!$D$24:$D$39,0))*INDEX(EF!$H$84:$H$99,MATCH(Emissions!$D56,EF!$D$84:$D$99,0))*INDEX(EF!$H$100:$H$115,MATCH(Emissions!$D56,EF!$D$100:$D$115,0))*INDEX(EF!$H$116:$H$131,MATCH(Emissions!$D56,EF!$D$116:$D$131,0))*kgtoGg</f>
        <v>5.1699860789013057</v>
      </c>
      <c r="AR56" s="22">
        <f>INDEX('Activity data'!AR$24:AR$39,MATCH(Emissions!$D56,'Activity data'!$D$24:$D$39,0))*INDEX(EF!$H$84:$H$99,MATCH(Emissions!$D56,EF!$D$84:$D$99,0))*INDEX(EF!$H$100:$H$115,MATCH(Emissions!$D56,EF!$D$100:$D$115,0))*INDEX(EF!$H$116:$H$131,MATCH(Emissions!$D56,EF!$D$116:$D$131,0))*kgtoGg</f>
        <v>5.1321060842838424</v>
      </c>
      <c r="AS56" s="22">
        <f>INDEX('Activity data'!AS$24:AS$39,MATCH(Emissions!$D56,'Activity data'!$D$24:$D$39,0))*INDEX(EF!$H$84:$H$99,MATCH(Emissions!$D56,EF!$D$84:$D$99,0))*INDEX(EF!$H$100:$H$115,MATCH(Emissions!$D56,EF!$D$100:$D$115,0))*INDEX(EF!$H$116:$H$131,MATCH(Emissions!$D56,EF!$D$116:$D$131,0))*kgtoGg</f>
        <v>5.0942260896663782</v>
      </c>
      <c r="AT56" s="22">
        <f>INDEX('Activity data'!AT$24:AT$39,MATCH(Emissions!$D56,'Activity data'!$D$24:$D$39,0))*INDEX(EF!$H$84:$H$99,MATCH(Emissions!$D56,EF!$D$84:$D$99,0))*INDEX(EF!$H$100:$H$115,MATCH(Emissions!$D56,EF!$D$100:$D$115,0))*INDEX(EF!$H$116:$H$131,MATCH(Emissions!$D56,EF!$D$116:$D$131,0))*kgtoGg</f>
        <v>5.0563460950489141</v>
      </c>
      <c r="AU56" s="22">
        <f>INDEX('Activity data'!AU$24:AU$39,MATCH(Emissions!$D56,'Activity data'!$D$24:$D$39,0))*INDEX(EF!$H$84:$H$99,MATCH(Emissions!$D56,EF!$D$84:$D$99,0))*INDEX(EF!$H$100:$H$115,MATCH(Emissions!$D56,EF!$D$100:$D$115,0))*INDEX(EF!$H$116:$H$131,MATCH(Emissions!$D56,EF!$D$116:$D$131,0))*kgtoGg</f>
        <v>5.0184661004314526</v>
      </c>
      <c r="AV56" s="22">
        <f>INDEX('Activity data'!AV$24:AV$39,MATCH(Emissions!$D56,'Activity data'!$D$24:$D$39,0))*INDEX(EF!$H$84:$H$99,MATCH(Emissions!$D56,EF!$D$84:$D$99,0))*INDEX(EF!$H$100:$H$115,MATCH(Emissions!$D56,EF!$D$100:$D$115,0))*INDEX(EF!$H$116:$H$131,MATCH(Emissions!$D56,EF!$D$116:$D$131,0))*kgtoGg</f>
        <v>4.9805861058139884</v>
      </c>
      <c r="AW56" s="22">
        <f>INDEX('Activity data'!AW$24:AW$39,MATCH(Emissions!$D56,'Activity data'!$D$24:$D$39,0))*INDEX(EF!$H$84:$H$99,MATCH(Emissions!$D56,EF!$D$84:$D$99,0))*INDEX(EF!$H$100:$H$115,MATCH(Emissions!$D56,EF!$D$100:$D$115,0))*INDEX(EF!$H$116:$H$131,MATCH(Emissions!$D56,EF!$D$116:$D$131,0))*kgtoGg</f>
        <v>4.9427061111965243</v>
      </c>
      <c r="AX56" s="22">
        <f>INDEX('Activity data'!AX$24:AX$39,MATCH(Emissions!$D56,'Activity data'!$D$24:$D$39,0))*INDEX(EF!$H$84:$H$99,MATCH(Emissions!$D56,EF!$D$84:$D$99,0))*INDEX(EF!$H$100:$H$115,MATCH(Emissions!$D56,EF!$D$100:$D$115,0))*INDEX(EF!$H$116:$H$131,MATCH(Emissions!$D56,EF!$D$116:$D$131,0))*kgtoGg</f>
        <v>4.9048261165790601</v>
      </c>
      <c r="AY56" s="22">
        <f>INDEX('Activity data'!AY$24:AY$39,MATCH(Emissions!$D56,'Activity data'!$D$24:$D$39,0))*INDEX(EF!$H$84:$H$99,MATCH(Emissions!$D56,EF!$D$84:$D$99,0))*INDEX(EF!$H$100:$H$115,MATCH(Emissions!$D56,EF!$D$100:$D$115,0))*INDEX(EF!$H$116:$H$131,MATCH(Emissions!$D56,EF!$D$116:$D$131,0))*kgtoGg</f>
        <v>4.8669461219615968</v>
      </c>
      <c r="AZ56" s="22">
        <f>INDEX('Activity data'!AZ$24:AZ$39,MATCH(Emissions!$D56,'Activity data'!$D$24:$D$39,0))*INDEX(EF!$H$84:$H$99,MATCH(Emissions!$D56,EF!$D$84:$D$99,0))*INDEX(EF!$H$100:$H$115,MATCH(Emissions!$D56,EF!$D$100:$D$115,0))*INDEX(EF!$H$116:$H$131,MATCH(Emissions!$D56,EF!$D$116:$D$131,0))*kgtoGg</f>
        <v>4.8290661273441344</v>
      </c>
      <c r="BA56" s="22">
        <f>INDEX('Activity data'!BA$24:BA$39,MATCH(Emissions!$D56,'Activity data'!$D$24:$D$39,0))*INDEX(EF!$H$84:$H$99,MATCH(Emissions!$D56,EF!$D$84:$D$99,0))*INDEX(EF!$H$100:$H$115,MATCH(Emissions!$D56,EF!$D$100:$D$115,0))*INDEX(EF!$H$116:$H$131,MATCH(Emissions!$D56,EF!$D$116:$D$131,0))*kgtoGg</f>
        <v>4.7911861327266712</v>
      </c>
      <c r="BB56" s="22">
        <f>INDEX('Activity data'!BB$24:BB$39,MATCH(Emissions!$D56,'Activity data'!$D$24:$D$39,0))*INDEX(EF!$H$84:$H$99,MATCH(Emissions!$D56,EF!$D$84:$D$99,0))*INDEX(EF!$H$100:$H$115,MATCH(Emissions!$D56,EF!$D$100:$D$115,0))*INDEX(EF!$H$116:$H$131,MATCH(Emissions!$D56,EF!$D$116:$D$131,0))*kgtoGg</f>
        <v>4.7533061381092079</v>
      </c>
      <c r="BC56" s="22">
        <f>INDEX('Activity data'!BC$24:BC$39,MATCH(Emissions!$D56,'Activity data'!$D$24:$D$39,0))*INDEX(EF!$H$84:$H$99,MATCH(Emissions!$D56,EF!$D$84:$D$99,0))*INDEX(EF!$H$100:$H$115,MATCH(Emissions!$D56,EF!$D$100:$D$115,0))*INDEX(EF!$H$116:$H$131,MATCH(Emissions!$D56,EF!$D$116:$D$131,0))*kgtoGg</f>
        <v>4.7154261434917437</v>
      </c>
      <c r="BD56" s="22">
        <f>INDEX('Activity data'!BD$24:BD$39,MATCH(Emissions!$D56,'Activity data'!$D$24:$D$39,0))*INDEX(EF!$H$84:$H$99,MATCH(Emissions!$D56,EF!$D$84:$D$99,0))*INDEX(EF!$H$100:$H$115,MATCH(Emissions!$D56,EF!$D$100:$D$115,0))*INDEX(EF!$H$116:$H$131,MATCH(Emissions!$D56,EF!$D$116:$D$131,0))*kgtoGg</f>
        <v>4.6775461488742796</v>
      </c>
      <c r="BE56" s="22">
        <f>INDEX('Activity data'!BE$24:BE$39,MATCH(Emissions!$D56,'Activity data'!$D$24:$D$39,0))*INDEX(EF!$H$84:$H$99,MATCH(Emissions!$D56,EF!$D$84:$D$99,0))*INDEX(EF!$H$100:$H$115,MATCH(Emissions!$D56,EF!$D$100:$D$115,0))*INDEX(EF!$H$116:$H$131,MATCH(Emissions!$D56,EF!$D$116:$D$131,0))*kgtoGg</f>
        <v>4.6396661542568172</v>
      </c>
      <c r="BF56" s="22">
        <f>INDEX('Activity data'!BF$24:BF$39,MATCH(Emissions!$D56,'Activity data'!$D$24:$D$39,0))*INDEX(EF!$H$84:$H$99,MATCH(Emissions!$D56,EF!$D$84:$D$99,0))*INDEX(EF!$H$100:$H$115,MATCH(Emissions!$D56,EF!$D$100:$D$115,0))*INDEX(EF!$H$116:$H$131,MATCH(Emissions!$D56,EF!$D$116:$D$131,0))*kgtoGg</f>
        <v>4.601786159639353</v>
      </c>
      <c r="BG56" s="22">
        <f>INDEX('Activity data'!BG$24:BG$39,MATCH(Emissions!$D56,'Activity data'!$D$24:$D$39,0))*INDEX(EF!$H$84:$H$99,MATCH(Emissions!$D56,EF!$D$84:$D$99,0))*INDEX(EF!$H$100:$H$115,MATCH(Emissions!$D56,EF!$D$100:$D$115,0))*INDEX(EF!$H$116:$H$131,MATCH(Emissions!$D56,EF!$D$116:$D$131,0))*kgtoGg</f>
        <v>4.5639061650218888</v>
      </c>
      <c r="BH56" s="22">
        <f>INDEX('Activity data'!BH$24:BH$39,MATCH(Emissions!$D56,'Activity data'!$D$24:$D$39,0))*INDEX(EF!$H$84:$H$99,MATCH(Emissions!$D56,EF!$D$84:$D$99,0))*INDEX(EF!$H$100:$H$115,MATCH(Emissions!$D56,EF!$D$100:$D$115,0))*INDEX(EF!$H$116:$H$131,MATCH(Emissions!$D56,EF!$D$116:$D$131,0))*kgtoGg</f>
        <v>4.5260261704044256</v>
      </c>
      <c r="BI56" s="22">
        <f>INDEX('Activity data'!BI$24:BI$39,MATCH(Emissions!$D56,'Activity data'!$D$24:$D$39,0))*INDEX(EF!$H$84:$H$99,MATCH(Emissions!$D56,EF!$D$84:$D$99,0))*INDEX(EF!$H$100:$H$115,MATCH(Emissions!$D56,EF!$D$100:$D$115,0))*INDEX(EF!$H$116:$H$131,MATCH(Emissions!$D56,EF!$D$116:$D$131,0))*kgtoGg</f>
        <v>4.4881461757869623</v>
      </c>
      <c r="BJ56" s="22">
        <f>INDEX('Activity data'!BJ$24:BJ$39,MATCH(Emissions!$D56,'Activity data'!$D$24:$D$39,0))*INDEX(EF!$H$84:$H$99,MATCH(Emissions!$D56,EF!$D$84:$D$99,0))*INDEX(EF!$H$100:$H$115,MATCH(Emissions!$D56,EF!$D$100:$D$115,0))*INDEX(EF!$H$116:$H$131,MATCH(Emissions!$D56,EF!$D$116:$D$131,0))*kgtoGg</f>
        <v>4.4502661811694981</v>
      </c>
      <c r="BK56" s="22">
        <f>INDEX('Activity data'!BK$24:BK$39,MATCH(Emissions!$D56,'Activity data'!$D$24:$D$39,0))*INDEX(EF!$H$84:$H$99,MATCH(Emissions!$D56,EF!$D$84:$D$99,0))*INDEX(EF!$H$100:$H$115,MATCH(Emissions!$D56,EF!$D$100:$D$115,0))*INDEX(EF!$H$116:$H$131,MATCH(Emissions!$D56,EF!$D$116:$D$131,0))*kgtoGg</f>
        <v>4.4123861865520357</v>
      </c>
      <c r="BL56" s="22">
        <f>INDEX('Activity data'!BL$24:BL$39,MATCH(Emissions!$D56,'Activity data'!$D$24:$D$39,0))*INDEX(EF!$H$84:$H$99,MATCH(Emissions!$D56,EF!$D$84:$D$99,0))*INDEX(EF!$H$100:$H$115,MATCH(Emissions!$D56,EF!$D$100:$D$115,0))*INDEX(EF!$H$116:$H$131,MATCH(Emissions!$D56,EF!$D$116:$D$131,0))*kgtoGg</f>
        <v>4.3745061919345725</v>
      </c>
      <c r="BM56" s="22">
        <f>INDEX('Activity data'!BM$24:BM$39,MATCH(Emissions!$D56,'Activity data'!$D$24:$D$39,0))*INDEX(EF!$H$84:$H$99,MATCH(Emissions!$D56,EF!$D$84:$D$99,0))*INDEX(EF!$H$100:$H$115,MATCH(Emissions!$D56,EF!$D$100:$D$115,0))*INDEX(EF!$H$116:$H$131,MATCH(Emissions!$D56,EF!$D$116:$D$131,0))*kgtoGg</f>
        <v>4.3366261973171101</v>
      </c>
      <c r="BN56" s="22">
        <f>INDEX('Activity data'!BN$24:BN$39,MATCH(Emissions!$D56,'Activity data'!$D$24:$D$39,0))*INDEX(EF!$H$84:$H$99,MATCH(Emissions!$D56,EF!$D$84:$D$99,0))*INDEX(EF!$H$100:$H$115,MATCH(Emissions!$D56,EF!$D$100:$D$115,0))*INDEX(EF!$H$116:$H$131,MATCH(Emissions!$D56,EF!$D$116:$D$131,0))*kgtoGg</f>
        <v>4.2987462026996468</v>
      </c>
      <c r="BO56" s="22">
        <f>INDEX('Activity data'!BO$24:BO$39,MATCH(Emissions!$D56,'Activity data'!$D$24:$D$39,0))*INDEX(EF!$H$84:$H$99,MATCH(Emissions!$D56,EF!$D$84:$D$99,0))*INDEX(EF!$H$100:$H$115,MATCH(Emissions!$D56,EF!$D$100:$D$115,0))*INDEX(EF!$H$116:$H$131,MATCH(Emissions!$D56,EF!$D$116:$D$131,0))*kgtoGg</f>
        <v>4.2608662080821844</v>
      </c>
      <c r="BP56" s="22">
        <f>INDEX('Activity data'!BP$24:BP$39,MATCH(Emissions!$D56,'Activity data'!$D$24:$D$39,0))*INDEX(EF!$H$84:$H$99,MATCH(Emissions!$D56,EF!$D$84:$D$99,0))*INDEX(EF!$H$100:$H$115,MATCH(Emissions!$D56,EF!$D$100:$D$115,0))*INDEX(EF!$H$116:$H$131,MATCH(Emissions!$D56,EF!$D$116:$D$131,0))*kgtoGg</f>
        <v>4.2229862134647194</v>
      </c>
    </row>
    <row r="57" spans="1:68" x14ac:dyDescent="0.25">
      <c r="A57" t="str">
        <f t="shared" si="13"/>
        <v>3C Aggregated and non-CO2 emissions on land</v>
      </c>
      <c r="B57" t="str">
        <f t="shared" si="14"/>
        <v>3C1 Biomass burning (CH4)</v>
      </c>
      <c r="C57" t="str">
        <f t="shared" si="15"/>
        <v>3C1a Biomass burning in forest land</v>
      </c>
      <c r="D57" t="str">
        <f>EF!D87</f>
        <v>Plantations</v>
      </c>
      <c r="E57" t="s">
        <v>644</v>
      </c>
      <c r="F57" t="str">
        <f t="shared" si="16"/>
        <v>CH4</v>
      </c>
      <c r="G57" t="str">
        <f t="shared" si="17"/>
        <v>Gg CH4</v>
      </c>
      <c r="H57" s="22">
        <f>INDEX('Activity data'!H$24:H$39,MATCH(Emissions!$D57,'Activity data'!$D$24:$D$39,0))*INDEX(EF!$H$84:$H$99,MATCH(Emissions!$D57,EF!$D$84:$D$99,0))*INDEX(EF!$H$100:$H$115,MATCH(Emissions!$D57,EF!$D$100:$D$115,0))*INDEX(EF!$H$116:$H$131,MATCH(Emissions!$D57,EF!$D$116:$D$131,0))*kgtoGg</f>
        <v>7.5442559859280678</v>
      </c>
      <c r="I57" s="22">
        <f>INDEX('Activity data'!I$24:I$39,MATCH(Emissions!$D57,'Activity data'!$D$24:$D$39,0))*INDEX(EF!$H$84:$H$99,MATCH(Emissions!$D57,EF!$D$84:$D$99,0))*INDEX(EF!$H$100:$H$115,MATCH(Emissions!$D57,EF!$D$100:$D$115,0))*INDEX(EF!$H$116:$H$131,MATCH(Emissions!$D57,EF!$D$116:$D$131,0))*kgtoGg</f>
        <v>7.5442559859280678</v>
      </c>
      <c r="J57" s="22">
        <f>INDEX('Activity data'!J$24:J$39,MATCH(Emissions!$D57,'Activity data'!$D$24:$D$39,0))*INDEX(EF!$H$84:$H$99,MATCH(Emissions!$D57,EF!$D$84:$D$99,0))*INDEX(EF!$H$100:$H$115,MATCH(Emissions!$D57,EF!$D$100:$D$115,0))*INDEX(EF!$H$116:$H$131,MATCH(Emissions!$D57,EF!$D$116:$D$131,0))*kgtoGg</f>
        <v>7.5442559859280678</v>
      </c>
      <c r="K57" s="22">
        <f>INDEX('Activity data'!K$24:K$39,MATCH(Emissions!$D57,'Activity data'!$D$24:$D$39,0))*INDEX(EF!$H$84:$H$99,MATCH(Emissions!$D57,EF!$D$84:$D$99,0))*INDEX(EF!$H$100:$H$115,MATCH(Emissions!$D57,EF!$D$100:$D$115,0))*INDEX(EF!$H$116:$H$131,MATCH(Emissions!$D57,EF!$D$116:$D$131,0))*kgtoGg</f>
        <v>7.5442559859280678</v>
      </c>
      <c r="L57" s="22">
        <f>INDEX('Activity data'!L$24:L$39,MATCH(Emissions!$D57,'Activity data'!$D$24:$D$39,0))*INDEX(EF!$H$84:$H$99,MATCH(Emissions!$D57,EF!$D$84:$D$99,0))*INDEX(EF!$H$100:$H$115,MATCH(Emissions!$D57,EF!$D$100:$D$115,0))*INDEX(EF!$H$116:$H$131,MATCH(Emissions!$D57,EF!$D$116:$D$131,0))*kgtoGg</f>
        <v>7.5442559859280678</v>
      </c>
      <c r="M57" s="22">
        <f>INDEX('Activity data'!M$24:M$39,MATCH(Emissions!$D57,'Activity data'!$D$24:$D$39,0))*INDEX(EF!$H$84:$H$99,MATCH(Emissions!$D57,EF!$D$84:$D$99,0))*INDEX(EF!$H$100:$H$115,MATCH(Emissions!$D57,EF!$D$100:$D$115,0))*INDEX(EF!$H$116:$H$131,MATCH(Emissions!$D57,EF!$D$116:$D$131,0))*kgtoGg</f>
        <v>7.5442559859280678</v>
      </c>
      <c r="N57" s="22">
        <f>INDEX('Activity data'!N$24:N$39,MATCH(Emissions!$D57,'Activity data'!$D$24:$D$39,0))*INDEX(EF!$H$84:$H$99,MATCH(Emissions!$D57,EF!$D$84:$D$99,0))*INDEX(EF!$H$100:$H$115,MATCH(Emissions!$D57,EF!$D$100:$D$115,0))*INDEX(EF!$H$116:$H$131,MATCH(Emissions!$D57,EF!$D$116:$D$131,0))*kgtoGg</f>
        <v>7.5442559859280678</v>
      </c>
      <c r="O57" s="22">
        <f>INDEX('Activity data'!O$24:O$39,MATCH(Emissions!$D57,'Activity data'!$D$24:$D$39,0))*INDEX(EF!$H$84:$H$99,MATCH(Emissions!$D57,EF!$D$84:$D$99,0))*INDEX(EF!$H$100:$H$115,MATCH(Emissions!$D57,EF!$D$100:$D$115,0))*INDEX(EF!$H$116:$H$131,MATCH(Emissions!$D57,EF!$D$116:$D$131,0))*kgtoGg</f>
        <v>7.5442559859280678</v>
      </c>
      <c r="P57" s="22">
        <f>INDEX('Activity data'!P$24:P$39,MATCH(Emissions!$D57,'Activity data'!$D$24:$D$39,0))*INDEX(EF!$H$84:$H$99,MATCH(Emissions!$D57,EF!$D$84:$D$99,0))*INDEX(EF!$H$100:$H$115,MATCH(Emissions!$D57,EF!$D$100:$D$115,0))*INDEX(EF!$H$116:$H$131,MATCH(Emissions!$D57,EF!$D$116:$D$131,0))*kgtoGg</f>
        <v>7.5442559859280678</v>
      </c>
      <c r="Q57" s="22">
        <f>INDEX('Activity data'!Q$24:Q$39,MATCH(Emissions!$D57,'Activity data'!$D$24:$D$39,0))*INDEX(EF!$H$84:$H$99,MATCH(Emissions!$D57,EF!$D$84:$D$99,0))*INDEX(EF!$H$100:$H$115,MATCH(Emissions!$D57,EF!$D$100:$D$115,0))*INDEX(EF!$H$116:$H$131,MATCH(Emissions!$D57,EF!$D$116:$D$131,0))*kgtoGg</f>
        <v>7.5442559859280678</v>
      </c>
      <c r="R57" s="22">
        <f>INDEX('Activity data'!R$24:R$39,MATCH(Emissions!$D57,'Activity data'!$D$24:$D$39,0))*INDEX(EF!$H$84:$H$99,MATCH(Emissions!$D57,EF!$D$84:$D$99,0))*INDEX(EF!$H$100:$H$115,MATCH(Emissions!$D57,EF!$D$100:$D$115,0))*INDEX(EF!$H$116:$H$131,MATCH(Emissions!$D57,EF!$D$116:$D$131,0))*kgtoGg</f>
        <v>6.8796151958231224</v>
      </c>
      <c r="S57" s="22">
        <f>INDEX('Activity data'!S$24:S$39,MATCH(Emissions!$D57,'Activity data'!$D$24:$D$39,0))*INDEX(EF!$H$84:$H$99,MATCH(Emissions!$D57,EF!$D$84:$D$99,0))*INDEX(EF!$H$100:$H$115,MATCH(Emissions!$D57,EF!$D$100:$D$115,0))*INDEX(EF!$H$116:$H$131,MATCH(Emissions!$D57,EF!$D$116:$D$131,0))*kgtoGg</f>
        <v>8.4683398914687142</v>
      </c>
      <c r="T57" s="22">
        <f>INDEX('Activity data'!T$24:T$39,MATCH(Emissions!$D57,'Activity data'!$D$24:$D$39,0))*INDEX(EF!$H$84:$H$99,MATCH(Emissions!$D57,EF!$D$84:$D$99,0))*INDEX(EF!$H$100:$H$115,MATCH(Emissions!$D57,EF!$D$100:$D$115,0))*INDEX(EF!$H$116:$H$131,MATCH(Emissions!$D57,EF!$D$116:$D$131,0))*kgtoGg</f>
        <v>7.561017760239924</v>
      </c>
      <c r="U57" s="22">
        <f>INDEX('Activity data'!U$24:U$39,MATCH(Emissions!$D57,'Activity data'!$D$24:$D$39,0))*INDEX(EF!$H$84:$H$99,MATCH(Emissions!$D57,EF!$D$84:$D$99,0))*INDEX(EF!$H$100:$H$115,MATCH(Emissions!$D57,EF!$D$100:$D$115,0))*INDEX(EF!$H$116:$H$131,MATCH(Emissions!$D57,EF!$D$116:$D$131,0))*kgtoGg</f>
        <v>8.7780683298399893</v>
      </c>
      <c r="V57" s="22">
        <f>INDEX('Activity data'!V$24:V$39,MATCH(Emissions!$D57,'Activity data'!$D$24:$D$39,0))*INDEX(EF!$H$84:$H$99,MATCH(Emissions!$D57,EF!$D$84:$D$99,0))*INDEX(EF!$H$100:$H$115,MATCH(Emissions!$D57,EF!$D$100:$D$115,0))*INDEX(EF!$H$116:$H$131,MATCH(Emissions!$D57,EF!$D$116:$D$131,0))*kgtoGg</f>
        <v>6.0342387522685863</v>
      </c>
      <c r="W57" s="22">
        <f>INDEX('Activity data'!W$24:W$39,MATCH(Emissions!$D57,'Activity data'!$D$24:$D$39,0))*INDEX(EF!$H$84:$H$99,MATCH(Emissions!$D57,EF!$D$84:$D$99,0))*INDEX(EF!$H$100:$H$115,MATCH(Emissions!$D57,EF!$D$100:$D$115,0))*INDEX(EF!$H$116:$H$131,MATCH(Emissions!$D57,EF!$D$116:$D$131,0))*kgtoGg</f>
        <v>8.8436578814950799</v>
      </c>
      <c r="X57" s="22">
        <f>INDEX('Activity data'!X$24:X$39,MATCH(Emissions!$D57,'Activity data'!$D$24:$D$39,0))*INDEX(EF!$H$84:$H$99,MATCH(Emissions!$D57,EF!$D$84:$D$99,0))*INDEX(EF!$H$100:$H$115,MATCH(Emissions!$D57,EF!$D$100:$D$115,0))*INDEX(EF!$H$116:$H$131,MATCH(Emissions!$D57,EF!$D$116:$D$131,0))*kgtoGg</f>
        <v>6.9124099716506668</v>
      </c>
      <c r="Y57" s="22">
        <f>INDEX('Activity data'!Y$24:Y$39,MATCH(Emissions!$D57,'Activity data'!$D$24:$D$39,0))*INDEX(EF!$H$84:$H$99,MATCH(Emissions!$D57,EF!$D$84:$D$99,0))*INDEX(EF!$H$100:$H$115,MATCH(Emissions!$D57,EF!$D$100:$D$115,0))*INDEX(EF!$H$116:$H$131,MATCH(Emissions!$D57,EF!$D$116:$D$131,0))*kgtoGg</f>
        <v>12.870127580321645</v>
      </c>
      <c r="Z57" s="22">
        <f>INDEX('Activity data'!Z$24:Z$39,MATCH(Emissions!$D57,'Activity data'!$D$24:$D$39,0))*INDEX(EF!$H$84:$H$99,MATCH(Emissions!$D57,EF!$D$84:$D$99,0))*INDEX(EF!$H$100:$H$115,MATCH(Emissions!$D57,EF!$D$100:$D$115,0))*INDEX(EF!$H$116:$H$131,MATCH(Emissions!$D57,EF!$D$116:$D$131,0))*kgtoGg</f>
        <v>8.3152976042734963</v>
      </c>
      <c r="AA57" s="22">
        <f>INDEX('Activity data'!AA$24:AA$39,MATCH(Emissions!$D57,'Activity data'!$D$24:$D$39,0))*INDEX(EF!$H$84:$H$99,MATCH(Emissions!$D57,EF!$D$84:$D$99,0))*INDEX(EF!$H$100:$H$115,MATCH(Emissions!$D57,EF!$D$100:$D$115,0))*INDEX(EF!$H$116:$H$131,MATCH(Emissions!$D57,EF!$D$116:$D$131,0))*kgtoGg</f>
        <v>7.0836715787500779</v>
      </c>
      <c r="AB57" s="22">
        <f>INDEX('Activity data'!AB$24:AB$39,MATCH(Emissions!$D57,'Activity data'!$D$24:$D$39,0))*INDEX(EF!$H$84:$H$99,MATCH(Emissions!$D57,EF!$D$84:$D$99,0))*INDEX(EF!$H$100:$H$115,MATCH(Emissions!$D57,EF!$D$100:$D$115,0))*INDEX(EF!$H$116:$H$131,MATCH(Emissions!$D57,EF!$D$116:$D$131,0))*kgtoGg</f>
        <v>5.9791970448000002</v>
      </c>
      <c r="AC57" s="22">
        <f>INDEX('Activity data'!AC$24:AC$39,MATCH(Emissions!$D57,'Activity data'!$D$24:$D$39,0))*INDEX(EF!$H$84:$H$99,MATCH(Emissions!$D57,EF!$D$84:$D$99,0))*INDEX(EF!$H$100:$H$115,MATCH(Emissions!$D57,EF!$D$100:$D$115,0))*INDEX(EF!$H$116:$H$131,MATCH(Emissions!$D57,EF!$D$116:$D$131,0))*kgtoGg</f>
        <v>6.8024024208</v>
      </c>
      <c r="AD57" s="22">
        <f>INDEX('Activity data'!AD$24:AD$39,MATCH(Emissions!$D57,'Activity data'!$D$24:$D$39,0))*INDEX(EF!$H$84:$H$99,MATCH(Emissions!$D57,EF!$D$84:$D$99,0))*INDEX(EF!$H$100:$H$115,MATCH(Emissions!$D57,EF!$D$100:$D$115,0))*INDEX(EF!$H$116:$H$131,MATCH(Emissions!$D57,EF!$D$116:$D$131,0))*kgtoGg</f>
        <v>2.098124981532016</v>
      </c>
      <c r="AE57" s="22">
        <f>INDEX('Activity data'!AE$24:AE$39,MATCH(Emissions!$D57,'Activity data'!$D$24:$D$39,0))*INDEX(EF!$H$84:$H$99,MATCH(Emissions!$D57,EF!$D$84:$D$99,0))*INDEX(EF!$H$100:$H$115,MATCH(Emissions!$D57,EF!$D$100:$D$115,0))*INDEX(EF!$H$116:$H$131,MATCH(Emissions!$D57,EF!$D$116:$D$131,0))*kgtoGg</f>
        <v>3.9454731415320157</v>
      </c>
      <c r="AF57" s="22">
        <f>INDEX('Activity data'!AF$24:AF$39,MATCH(Emissions!$D57,'Activity data'!$D$24:$D$39,0))*INDEX(EF!$H$84:$H$99,MATCH(Emissions!$D57,EF!$D$84:$D$99,0))*INDEX(EF!$H$100:$H$115,MATCH(Emissions!$D57,EF!$D$100:$D$115,0))*INDEX(EF!$H$116:$H$131,MATCH(Emissions!$D57,EF!$D$116:$D$131,0))*kgtoGg</f>
        <v>3.1857200215320161</v>
      </c>
      <c r="AG57" s="22">
        <f>INDEX('Activity data'!AG$24:AG$39,MATCH(Emissions!$D57,'Activity data'!$D$24:$D$39,0))*INDEX(EF!$H$84:$H$99,MATCH(Emissions!$D57,EF!$D$84:$D$99,0))*INDEX(EF!$H$100:$H$115,MATCH(Emissions!$D57,EF!$D$100:$D$115,0))*INDEX(EF!$H$116:$H$131,MATCH(Emissions!$D57,EF!$D$116:$D$131,0))*kgtoGg</f>
        <v>2.4712899415320164</v>
      </c>
      <c r="AH57" s="22">
        <f>INDEX('Activity data'!AH$24:AH$39,MATCH(Emissions!$D57,'Activity data'!$D$24:$D$39,0))*INDEX(EF!$H$84:$H$99,MATCH(Emissions!$D57,EF!$D$84:$D$99,0))*INDEX(EF!$H$100:$H$115,MATCH(Emissions!$D57,EF!$D$100:$D$115,0))*INDEX(EF!$H$116:$H$131,MATCH(Emissions!$D57,EF!$D$116:$D$131,0))*kgtoGg</f>
        <v>2.8281891415320159</v>
      </c>
      <c r="AI57" s="22">
        <f>INDEX('Activity data'!AI$24:AI$39,MATCH(Emissions!$D57,'Activity data'!$D$24:$D$39,0))*INDEX(EF!$H$84:$H$99,MATCH(Emissions!$D57,EF!$D$84:$D$99,0))*INDEX(EF!$H$100:$H$115,MATCH(Emissions!$D57,EF!$D$100:$D$115,0))*INDEX(EF!$H$116:$H$131,MATCH(Emissions!$D57,EF!$D$116:$D$131,0))*kgtoGg</f>
        <v>3.1318693015320158</v>
      </c>
      <c r="AJ57" s="22">
        <f>INDEX('Activity data'!AJ$24:AJ$39,MATCH(Emissions!$D57,'Activity data'!$D$24:$D$39,0))*INDEX(EF!$H$84:$H$99,MATCH(Emissions!$D57,EF!$D$84:$D$99,0))*INDEX(EF!$H$100:$H$115,MATCH(Emissions!$D57,EF!$D$100:$D$115,0))*INDEX(EF!$H$116:$H$131,MATCH(Emissions!$D57,EF!$D$116:$D$131,0))*kgtoGg</f>
        <v>3.1318693015320158</v>
      </c>
      <c r="AK57" s="22">
        <f>INDEX('Activity data'!AK$24:AK$39,MATCH(Emissions!$D57,'Activity data'!$D$24:$D$39,0))*INDEX(EF!$H$84:$H$99,MATCH(Emissions!$D57,EF!$D$84:$D$99,0))*INDEX(EF!$H$100:$H$115,MATCH(Emissions!$D57,EF!$D$100:$D$115,0))*INDEX(EF!$H$116:$H$131,MATCH(Emissions!$D57,EF!$D$116:$D$131,0))*kgtoGg</f>
        <v>3.1454659408897232</v>
      </c>
      <c r="AL57" s="22">
        <f>INDEX('Activity data'!AL$24:AL$39,MATCH(Emissions!$D57,'Activity data'!$D$24:$D$39,0))*INDEX(EF!$H$84:$H$99,MATCH(Emissions!$D57,EF!$D$84:$D$99,0))*INDEX(EF!$H$100:$H$115,MATCH(Emissions!$D57,EF!$D$100:$D$115,0))*INDEX(EF!$H$116:$H$131,MATCH(Emissions!$D57,EF!$D$116:$D$131,0))*kgtoGg</f>
        <v>3.1590625802474293</v>
      </c>
      <c r="AM57" s="22">
        <f>INDEX('Activity data'!AM$24:AM$39,MATCH(Emissions!$D57,'Activity data'!$D$24:$D$39,0))*INDEX(EF!$H$84:$H$99,MATCH(Emissions!$D57,EF!$D$84:$D$99,0))*INDEX(EF!$H$100:$H$115,MATCH(Emissions!$D57,EF!$D$100:$D$115,0))*INDEX(EF!$H$116:$H$131,MATCH(Emissions!$D57,EF!$D$116:$D$131,0))*kgtoGg</f>
        <v>3.1726592196051362</v>
      </c>
      <c r="AN57" s="22">
        <f>INDEX('Activity data'!AN$24:AN$39,MATCH(Emissions!$D57,'Activity data'!$D$24:$D$39,0))*INDEX(EF!$H$84:$H$99,MATCH(Emissions!$D57,EF!$D$84:$D$99,0))*INDEX(EF!$H$100:$H$115,MATCH(Emissions!$D57,EF!$D$100:$D$115,0))*INDEX(EF!$H$116:$H$131,MATCH(Emissions!$D57,EF!$D$116:$D$131,0))*kgtoGg</f>
        <v>3.1862558589628427</v>
      </c>
      <c r="AO57" s="22">
        <f>INDEX('Activity data'!AO$24:AO$39,MATCH(Emissions!$D57,'Activity data'!$D$24:$D$39,0))*INDEX(EF!$H$84:$H$99,MATCH(Emissions!$D57,EF!$D$84:$D$99,0))*INDEX(EF!$H$100:$H$115,MATCH(Emissions!$D57,EF!$D$100:$D$115,0))*INDEX(EF!$H$116:$H$131,MATCH(Emissions!$D57,EF!$D$116:$D$131,0))*kgtoGg</f>
        <v>3.1998524983205496</v>
      </c>
      <c r="AP57" s="22">
        <f>INDEX('Activity data'!AP$24:AP$39,MATCH(Emissions!$D57,'Activity data'!$D$24:$D$39,0))*INDEX(EF!$H$84:$H$99,MATCH(Emissions!$D57,EF!$D$84:$D$99,0))*INDEX(EF!$H$100:$H$115,MATCH(Emissions!$D57,EF!$D$100:$D$115,0))*INDEX(EF!$H$116:$H$131,MATCH(Emissions!$D57,EF!$D$116:$D$131,0))*kgtoGg</f>
        <v>3.2134491376782566</v>
      </c>
      <c r="AQ57" s="22">
        <f>INDEX('Activity data'!AQ$24:AQ$39,MATCH(Emissions!$D57,'Activity data'!$D$24:$D$39,0))*INDEX(EF!$H$84:$H$99,MATCH(Emissions!$D57,EF!$D$84:$D$99,0))*INDEX(EF!$H$100:$H$115,MATCH(Emissions!$D57,EF!$D$100:$D$115,0))*INDEX(EF!$H$116:$H$131,MATCH(Emissions!$D57,EF!$D$116:$D$131,0))*kgtoGg</f>
        <v>3.2270457770359631</v>
      </c>
      <c r="AR57" s="22">
        <f>INDEX('Activity data'!AR$24:AR$39,MATCH(Emissions!$D57,'Activity data'!$D$24:$D$39,0))*INDEX(EF!$H$84:$H$99,MATCH(Emissions!$D57,EF!$D$84:$D$99,0))*INDEX(EF!$H$100:$H$115,MATCH(Emissions!$D57,EF!$D$100:$D$115,0))*INDEX(EF!$H$116:$H$131,MATCH(Emissions!$D57,EF!$D$116:$D$131,0))*kgtoGg</f>
        <v>3.24064241639367</v>
      </c>
      <c r="AS57" s="22">
        <f>INDEX('Activity data'!AS$24:AS$39,MATCH(Emissions!$D57,'Activity data'!$D$24:$D$39,0))*INDEX(EF!$H$84:$H$99,MATCH(Emissions!$D57,EF!$D$84:$D$99,0))*INDEX(EF!$H$100:$H$115,MATCH(Emissions!$D57,EF!$D$100:$D$115,0))*INDEX(EF!$H$116:$H$131,MATCH(Emissions!$D57,EF!$D$116:$D$131,0))*kgtoGg</f>
        <v>3.2542390557513761</v>
      </c>
      <c r="AT57" s="22">
        <f>INDEX('Activity data'!AT$24:AT$39,MATCH(Emissions!$D57,'Activity data'!$D$24:$D$39,0))*INDEX(EF!$H$84:$H$99,MATCH(Emissions!$D57,EF!$D$84:$D$99,0))*INDEX(EF!$H$100:$H$115,MATCH(Emissions!$D57,EF!$D$100:$D$115,0))*INDEX(EF!$H$116:$H$131,MATCH(Emissions!$D57,EF!$D$116:$D$131,0))*kgtoGg</f>
        <v>3.267835695109083</v>
      </c>
      <c r="AU57" s="22">
        <f>INDEX('Activity data'!AU$24:AU$39,MATCH(Emissions!$D57,'Activity data'!$D$24:$D$39,0))*INDEX(EF!$H$84:$H$99,MATCH(Emissions!$D57,EF!$D$84:$D$99,0))*INDEX(EF!$H$100:$H$115,MATCH(Emissions!$D57,EF!$D$100:$D$115,0))*INDEX(EF!$H$116:$H$131,MATCH(Emissions!$D57,EF!$D$116:$D$131,0))*kgtoGg</f>
        <v>3.2814323344667895</v>
      </c>
      <c r="AV57" s="22">
        <f>INDEX('Activity data'!AV$24:AV$39,MATCH(Emissions!$D57,'Activity data'!$D$24:$D$39,0))*INDEX(EF!$H$84:$H$99,MATCH(Emissions!$D57,EF!$D$84:$D$99,0))*INDEX(EF!$H$100:$H$115,MATCH(Emissions!$D57,EF!$D$100:$D$115,0))*INDEX(EF!$H$116:$H$131,MATCH(Emissions!$D57,EF!$D$116:$D$131,0))*kgtoGg</f>
        <v>3.2950289738244969</v>
      </c>
      <c r="AW57" s="22">
        <f>INDEX('Activity data'!AW$24:AW$39,MATCH(Emissions!$D57,'Activity data'!$D$24:$D$39,0))*INDEX(EF!$H$84:$H$99,MATCH(Emissions!$D57,EF!$D$84:$D$99,0))*INDEX(EF!$H$100:$H$115,MATCH(Emissions!$D57,EF!$D$100:$D$115,0))*INDEX(EF!$H$116:$H$131,MATCH(Emissions!$D57,EF!$D$116:$D$131,0))*kgtoGg</f>
        <v>3.2950289738244969</v>
      </c>
      <c r="AX57" s="22">
        <f>INDEX('Activity data'!AX$24:AX$39,MATCH(Emissions!$D57,'Activity data'!$D$24:$D$39,0))*INDEX(EF!$H$84:$H$99,MATCH(Emissions!$D57,EF!$D$84:$D$99,0))*INDEX(EF!$H$100:$H$115,MATCH(Emissions!$D57,EF!$D$100:$D$115,0))*INDEX(EF!$H$116:$H$131,MATCH(Emissions!$D57,EF!$D$116:$D$131,0))*kgtoGg</f>
        <v>3.2950289738244969</v>
      </c>
      <c r="AY57" s="22">
        <f>INDEX('Activity data'!AY$24:AY$39,MATCH(Emissions!$D57,'Activity data'!$D$24:$D$39,0))*INDEX(EF!$H$84:$H$99,MATCH(Emissions!$D57,EF!$D$84:$D$99,0))*INDEX(EF!$H$100:$H$115,MATCH(Emissions!$D57,EF!$D$100:$D$115,0))*INDEX(EF!$H$116:$H$131,MATCH(Emissions!$D57,EF!$D$116:$D$131,0))*kgtoGg</f>
        <v>3.2950289738244969</v>
      </c>
      <c r="AZ57" s="22">
        <f>INDEX('Activity data'!AZ$24:AZ$39,MATCH(Emissions!$D57,'Activity data'!$D$24:$D$39,0))*INDEX(EF!$H$84:$H$99,MATCH(Emissions!$D57,EF!$D$84:$D$99,0))*INDEX(EF!$H$100:$H$115,MATCH(Emissions!$D57,EF!$D$100:$D$115,0))*INDEX(EF!$H$116:$H$131,MATCH(Emissions!$D57,EF!$D$116:$D$131,0))*kgtoGg</f>
        <v>3.2950289738244969</v>
      </c>
      <c r="BA57" s="22">
        <f>INDEX('Activity data'!BA$24:BA$39,MATCH(Emissions!$D57,'Activity data'!$D$24:$D$39,0))*INDEX(EF!$H$84:$H$99,MATCH(Emissions!$D57,EF!$D$84:$D$99,0))*INDEX(EF!$H$100:$H$115,MATCH(Emissions!$D57,EF!$D$100:$D$115,0))*INDEX(EF!$H$116:$H$131,MATCH(Emissions!$D57,EF!$D$116:$D$131,0))*kgtoGg</f>
        <v>3.2950289738244969</v>
      </c>
      <c r="BB57" s="22">
        <f>INDEX('Activity data'!BB$24:BB$39,MATCH(Emissions!$D57,'Activity data'!$D$24:$D$39,0))*INDEX(EF!$H$84:$H$99,MATCH(Emissions!$D57,EF!$D$84:$D$99,0))*INDEX(EF!$H$100:$H$115,MATCH(Emissions!$D57,EF!$D$100:$D$115,0))*INDEX(EF!$H$116:$H$131,MATCH(Emissions!$D57,EF!$D$116:$D$131,0))*kgtoGg</f>
        <v>3.2950289738244969</v>
      </c>
      <c r="BC57" s="22">
        <f>INDEX('Activity data'!BC$24:BC$39,MATCH(Emissions!$D57,'Activity data'!$D$24:$D$39,0))*INDEX(EF!$H$84:$H$99,MATCH(Emissions!$D57,EF!$D$84:$D$99,0))*INDEX(EF!$H$100:$H$115,MATCH(Emissions!$D57,EF!$D$100:$D$115,0))*INDEX(EF!$H$116:$H$131,MATCH(Emissions!$D57,EF!$D$116:$D$131,0))*kgtoGg</f>
        <v>3.2950289738244969</v>
      </c>
      <c r="BD57" s="22">
        <f>INDEX('Activity data'!BD$24:BD$39,MATCH(Emissions!$D57,'Activity data'!$D$24:$D$39,0))*INDEX(EF!$H$84:$H$99,MATCH(Emissions!$D57,EF!$D$84:$D$99,0))*INDEX(EF!$H$100:$H$115,MATCH(Emissions!$D57,EF!$D$100:$D$115,0))*INDEX(EF!$H$116:$H$131,MATCH(Emissions!$D57,EF!$D$116:$D$131,0))*kgtoGg</f>
        <v>3.2950289738244969</v>
      </c>
      <c r="BE57" s="22">
        <f>INDEX('Activity data'!BE$24:BE$39,MATCH(Emissions!$D57,'Activity data'!$D$24:$D$39,0))*INDEX(EF!$H$84:$H$99,MATCH(Emissions!$D57,EF!$D$84:$D$99,0))*INDEX(EF!$H$100:$H$115,MATCH(Emissions!$D57,EF!$D$100:$D$115,0))*INDEX(EF!$H$116:$H$131,MATCH(Emissions!$D57,EF!$D$116:$D$131,0))*kgtoGg</f>
        <v>3.2814323344667895</v>
      </c>
      <c r="BF57" s="22">
        <f>INDEX('Activity data'!BF$24:BF$39,MATCH(Emissions!$D57,'Activity data'!$D$24:$D$39,0))*INDEX(EF!$H$84:$H$99,MATCH(Emissions!$D57,EF!$D$84:$D$99,0))*INDEX(EF!$H$100:$H$115,MATCH(Emissions!$D57,EF!$D$100:$D$115,0))*INDEX(EF!$H$116:$H$131,MATCH(Emissions!$D57,EF!$D$116:$D$131,0))*kgtoGg</f>
        <v>3.267835695109083</v>
      </c>
      <c r="BG57" s="22">
        <f>INDEX('Activity data'!BG$24:BG$39,MATCH(Emissions!$D57,'Activity data'!$D$24:$D$39,0))*INDEX(EF!$H$84:$H$99,MATCH(Emissions!$D57,EF!$D$84:$D$99,0))*INDEX(EF!$H$100:$H$115,MATCH(Emissions!$D57,EF!$D$100:$D$115,0))*INDEX(EF!$H$116:$H$131,MATCH(Emissions!$D57,EF!$D$116:$D$131,0))*kgtoGg</f>
        <v>3.2542390557513761</v>
      </c>
      <c r="BH57" s="22">
        <f>INDEX('Activity data'!BH$24:BH$39,MATCH(Emissions!$D57,'Activity data'!$D$24:$D$39,0))*INDEX(EF!$H$84:$H$99,MATCH(Emissions!$D57,EF!$D$84:$D$99,0))*INDEX(EF!$H$100:$H$115,MATCH(Emissions!$D57,EF!$D$100:$D$115,0))*INDEX(EF!$H$116:$H$131,MATCH(Emissions!$D57,EF!$D$116:$D$131,0))*kgtoGg</f>
        <v>3.24064241639367</v>
      </c>
      <c r="BI57" s="22">
        <f>INDEX('Activity data'!BI$24:BI$39,MATCH(Emissions!$D57,'Activity data'!$D$24:$D$39,0))*INDEX(EF!$H$84:$H$99,MATCH(Emissions!$D57,EF!$D$84:$D$99,0))*INDEX(EF!$H$100:$H$115,MATCH(Emissions!$D57,EF!$D$100:$D$115,0))*INDEX(EF!$H$116:$H$131,MATCH(Emissions!$D57,EF!$D$116:$D$131,0))*kgtoGg</f>
        <v>3.2270457770359631</v>
      </c>
      <c r="BJ57" s="22">
        <f>INDEX('Activity data'!BJ$24:BJ$39,MATCH(Emissions!$D57,'Activity data'!$D$24:$D$39,0))*INDEX(EF!$H$84:$H$99,MATCH(Emissions!$D57,EF!$D$84:$D$99,0))*INDEX(EF!$H$100:$H$115,MATCH(Emissions!$D57,EF!$D$100:$D$115,0))*INDEX(EF!$H$116:$H$131,MATCH(Emissions!$D57,EF!$D$116:$D$131,0))*kgtoGg</f>
        <v>3.2134491376782566</v>
      </c>
      <c r="BK57" s="22">
        <f>INDEX('Activity data'!BK$24:BK$39,MATCH(Emissions!$D57,'Activity data'!$D$24:$D$39,0))*INDEX(EF!$H$84:$H$99,MATCH(Emissions!$D57,EF!$D$84:$D$99,0))*INDEX(EF!$H$100:$H$115,MATCH(Emissions!$D57,EF!$D$100:$D$115,0))*INDEX(EF!$H$116:$H$131,MATCH(Emissions!$D57,EF!$D$116:$D$131,0))*kgtoGg</f>
        <v>3.1998524983205496</v>
      </c>
      <c r="BL57" s="22">
        <f>INDEX('Activity data'!BL$24:BL$39,MATCH(Emissions!$D57,'Activity data'!$D$24:$D$39,0))*INDEX(EF!$H$84:$H$99,MATCH(Emissions!$D57,EF!$D$84:$D$99,0))*INDEX(EF!$H$100:$H$115,MATCH(Emissions!$D57,EF!$D$100:$D$115,0))*INDEX(EF!$H$116:$H$131,MATCH(Emissions!$D57,EF!$D$116:$D$131,0))*kgtoGg</f>
        <v>3.1862558589628427</v>
      </c>
      <c r="BM57" s="22">
        <f>INDEX('Activity data'!BM$24:BM$39,MATCH(Emissions!$D57,'Activity data'!$D$24:$D$39,0))*INDEX(EF!$H$84:$H$99,MATCH(Emissions!$D57,EF!$D$84:$D$99,0))*INDEX(EF!$H$100:$H$115,MATCH(Emissions!$D57,EF!$D$100:$D$115,0))*INDEX(EF!$H$116:$H$131,MATCH(Emissions!$D57,EF!$D$116:$D$131,0))*kgtoGg</f>
        <v>3.1726592196051362</v>
      </c>
      <c r="BN57" s="22">
        <f>INDEX('Activity data'!BN$24:BN$39,MATCH(Emissions!$D57,'Activity data'!$D$24:$D$39,0))*INDEX(EF!$H$84:$H$99,MATCH(Emissions!$D57,EF!$D$84:$D$99,0))*INDEX(EF!$H$100:$H$115,MATCH(Emissions!$D57,EF!$D$100:$D$115,0))*INDEX(EF!$H$116:$H$131,MATCH(Emissions!$D57,EF!$D$116:$D$131,0))*kgtoGg</f>
        <v>3.1590625802474293</v>
      </c>
      <c r="BO57" s="22">
        <f>INDEX('Activity data'!BO$24:BO$39,MATCH(Emissions!$D57,'Activity data'!$D$24:$D$39,0))*INDEX(EF!$H$84:$H$99,MATCH(Emissions!$D57,EF!$D$84:$D$99,0))*INDEX(EF!$H$100:$H$115,MATCH(Emissions!$D57,EF!$D$100:$D$115,0))*INDEX(EF!$H$116:$H$131,MATCH(Emissions!$D57,EF!$D$116:$D$131,0))*kgtoGg</f>
        <v>3.1454659408897232</v>
      </c>
      <c r="BP57" s="22">
        <f>INDEX('Activity data'!BP$24:BP$39,MATCH(Emissions!$D57,'Activity data'!$D$24:$D$39,0))*INDEX(EF!$H$84:$H$99,MATCH(Emissions!$D57,EF!$D$84:$D$99,0))*INDEX(EF!$H$100:$H$115,MATCH(Emissions!$D57,EF!$D$100:$D$115,0))*INDEX(EF!$H$116:$H$131,MATCH(Emissions!$D57,EF!$D$116:$D$131,0))*kgtoGg</f>
        <v>3.1318693015320158</v>
      </c>
    </row>
    <row r="58" spans="1:68" x14ac:dyDescent="0.25">
      <c r="A58" t="str">
        <f t="shared" si="13"/>
        <v>3C Aggregated and non-CO2 emissions on land</v>
      </c>
      <c r="B58" t="str">
        <f t="shared" si="14"/>
        <v>3C1 Biomass burning (CH4)</v>
      </c>
      <c r="C58" t="str">
        <f>'IPCC Categories'!C60</f>
        <v>3C1b Biomass burning in Croplands</v>
      </c>
      <c r="D58" t="str">
        <f>EF!D88</f>
        <v>Annual non-pivot</v>
      </c>
      <c r="E58" t="s">
        <v>645</v>
      </c>
      <c r="F58" t="str">
        <f t="shared" si="16"/>
        <v>CH4</v>
      </c>
      <c r="G58" t="str">
        <f t="shared" si="17"/>
        <v>Gg CH4</v>
      </c>
      <c r="H58" s="22">
        <f>INDEX('Activity data'!H$24:H$39,MATCH(Emissions!$D58,'Activity data'!$D$24:$D$39,0))*INDEX(EF!$H$84:$H$99,MATCH(Emissions!$D58,EF!$D$84:$D$99,0))*INDEX(EF!$H$100:$H$115,MATCH(Emissions!$D58,EF!$D$100:$D$115,0))*INDEX(EF!$H$116:$H$131,MATCH(Emissions!$D58,EF!$D$116:$D$131,0))*kgtoGg</f>
        <v>0.56789038673711778</v>
      </c>
      <c r="I58" s="22">
        <f>INDEX('Activity data'!I$24:I$39,MATCH(Emissions!$D58,'Activity data'!$D$24:$D$39,0))*INDEX(EF!$H$84:$H$99,MATCH(Emissions!$D58,EF!$D$84:$D$99,0))*INDEX(EF!$H$100:$H$115,MATCH(Emissions!$D58,EF!$D$100:$D$115,0))*INDEX(EF!$H$116:$H$131,MATCH(Emissions!$D58,EF!$D$116:$D$131,0))*kgtoGg</f>
        <v>0.56789038673711778</v>
      </c>
      <c r="J58" s="22">
        <f>INDEX('Activity data'!J$24:J$39,MATCH(Emissions!$D58,'Activity data'!$D$24:$D$39,0))*INDEX(EF!$H$84:$H$99,MATCH(Emissions!$D58,EF!$D$84:$D$99,0))*INDEX(EF!$H$100:$H$115,MATCH(Emissions!$D58,EF!$D$100:$D$115,0))*INDEX(EF!$H$116:$H$131,MATCH(Emissions!$D58,EF!$D$116:$D$131,0))*kgtoGg</f>
        <v>0.56789038673711778</v>
      </c>
      <c r="K58" s="22">
        <f>INDEX('Activity data'!K$24:K$39,MATCH(Emissions!$D58,'Activity data'!$D$24:$D$39,0))*INDEX(EF!$H$84:$H$99,MATCH(Emissions!$D58,EF!$D$84:$D$99,0))*INDEX(EF!$H$100:$H$115,MATCH(Emissions!$D58,EF!$D$100:$D$115,0))*INDEX(EF!$H$116:$H$131,MATCH(Emissions!$D58,EF!$D$116:$D$131,0))*kgtoGg</f>
        <v>0.56789038673711778</v>
      </c>
      <c r="L58" s="22">
        <f>INDEX('Activity data'!L$24:L$39,MATCH(Emissions!$D58,'Activity data'!$D$24:$D$39,0))*INDEX(EF!$H$84:$H$99,MATCH(Emissions!$D58,EF!$D$84:$D$99,0))*INDEX(EF!$H$100:$H$115,MATCH(Emissions!$D58,EF!$D$100:$D$115,0))*INDEX(EF!$H$116:$H$131,MATCH(Emissions!$D58,EF!$D$116:$D$131,0))*kgtoGg</f>
        <v>0.56789038673711778</v>
      </c>
      <c r="M58" s="22">
        <f>INDEX('Activity data'!M$24:M$39,MATCH(Emissions!$D58,'Activity data'!$D$24:$D$39,0))*INDEX(EF!$H$84:$H$99,MATCH(Emissions!$D58,EF!$D$84:$D$99,0))*INDEX(EF!$H$100:$H$115,MATCH(Emissions!$D58,EF!$D$100:$D$115,0))*INDEX(EF!$H$116:$H$131,MATCH(Emissions!$D58,EF!$D$116:$D$131,0))*kgtoGg</f>
        <v>0.56789038673711778</v>
      </c>
      <c r="N58" s="22">
        <f>INDEX('Activity data'!N$24:N$39,MATCH(Emissions!$D58,'Activity data'!$D$24:$D$39,0))*INDEX(EF!$H$84:$H$99,MATCH(Emissions!$D58,EF!$D$84:$D$99,0))*INDEX(EF!$H$100:$H$115,MATCH(Emissions!$D58,EF!$D$100:$D$115,0))*INDEX(EF!$H$116:$H$131,MATCH(Emissions!$D58,EF!$D$116:$D$131,0))*kgtoGg</f>
        <v>0.56789038673711778</v>
      </c>
      <c r="O58" s="22">
        <f>INDEX('Activity data'!O$24:O$39,MATCH(Emissions!$D58,'Activity data'!$D$24:$D$39,0))*INDEX(EF!$H$84:$H$99,MATCH(Emissions!$D58,EF!$D$84:$D$99,0))*INDEX(EF!$H$100:$H$115,MATCH(Emissions!$D58,EF!$D$100:$D$115,0))*INDEX(EF!$H$116:$H$131,MATCH(Emissions!$D58,EF!$D$116:$D$131,0))*kgtoGg</f>
        <v>0.56789038673711778</v>
      </c>
      <c r="P58" s="22">
        <f>INDEX('Activity data'!P$24:P$39,MATCH(Emissions!$D58,'Activity data'!$D$24:$D$39,0))*INDEX(EF!$H$84:$H$99,MATCH(Emissions!$D58,EF!$D$84:$D$99,0))*INDEX(EF!$H$100:$H$115,MATCH(Emissions!$D58,EF!$D$100:$D$115,0))*INDEX(EF!$H$116:$H$131,MATCH(Emissions!$D58,EF!$D$116:$D$131,0))*kgtoGg</f>
        <v>0.56789038673711778</v>
      </c>
      <c r="Q58" s="22">
        <f>INDEX('Activity data'!Q$24:Q$39,MATCH(Emissions!$D58,'Activity data'!$D$24:$D$39,0))*INDEX(EF!$H$84:$H$99,MATCH(Emissions!$D58,EF!$D$84:$D$99,0))*INDEX(EF!$H$100:$H$115,MATCH(Emissions!$D58,EF!$D$100:$D$115,0))*INDEX(EF!$H$116:$H$131,MATCH(Emissions!$D58,EF!$D$116:$D$131,0))*kgtoGg</f>
        <v>0.56789038673711778</v>
      </c>
      <c r="R58" s="22">
        <f>INDEX('Activity data'!R$24:R$39,MATCH(Emissions!$D58,'Activity data'!$D$24:$D$39,0))*INDEX(EF!$H$84:$H$99,MATCH(Emissions!$D58,EF!$D$84:$D$99,0))*INDEX(EF!$H$100:$H$115,MATCH(Emissions!$D58,EF!$D$100:$D$115,0))*INDEX(EF!$H$116:$H$131,MATCH(Emissions!$D58,EF!$D$116:$D$131,0))*kgtoGg</f>
        <v>0.57739738292116727</v>
      </c>
      <c r="S58" s="22">
        <f>INDEX('Activity data'!S$24:S$39,MATCH(Emissions!$D58,'Activity data'!$D$24:$D$39,0))*INDEX(EF!$H$84:$H$99,MATCH(Emissions!$D58,EF!$D$84:$D$99,0))*INDEX(EF!$H$100:$H$115,MATCH(Emissions!$D58,EF!$D$100:$D$115,0))*INDEX(EF!$H$116:$H$131,MATCH(Emissions!$D58,EF!$D$116:$D$131,0))*kgtoGg</f>
        <v>0.45049206688637894</v>
      </c>
      <c r="T58" s="22">
        <f>INDEX('Activity data'!T$24:T$39,MATCH(Emissions!$D58,'Activity data'!$D$24:$D$39,0))*INDEX(EF!$H$84:$H$99,MATCH(Emissions!$D58,EF!$D$84:$D$99,0))*INDEX(EF!$H$100:$H$115,MATCH(Emissions!$D58,EF!$D$100:$D$115,0))*INDEX(EF!$H$116:$H$131,MATCH(Emissions!$D58,EF!$D$116:$D$131,0))*kgtoGg</f>
        <v>0.58568329702653155</v>
      </c>
      <c r="U58" s="22">
        <f>INDEX('Activity data'!U$24:U$39,MATCH(Emissions!$D58,'Activity data'!$D$24:$D$39,0))*INDEX(EF!$H$84:$H$99,MATCH(Emissions!$D58,EF!$D$84:$D$99,0))*INDEX(EF!$H$100:$H$115,MATCH(Emissions!$D58,EF!$D$100:$D$115,0))*INDEX(EF!$H$116:$H$131,MATCH(Emissions!$D58,EF!$D$116:$D$131,0))*kgtoGg</f>
        <v>0.54250932353016013</v>
      </c>
      <c r="V58" s="22">
        <f>INDEX('Activity data'!V$24:V$39,MATCH(Emissions!$D58,'Activity data'!$D$24:$D$39,0))*INDEX(EF!$H$84:$H$99,MATCH(Emissions!$D58,EF!$D$84:$D$99,0))*INDEX(EF!$H$100:$H$115,MATCH(Emissions!$D58,EF!$D$100:$D$115,0))*INDEX(EF!$H$116:$H$131,MATCH(Emissions!$D58,EF!$D$116:$D$131,0))*kgtoGg</f>
        <v>0.68336986332135119</v>
      </c>
      <c r="W58" s="22">
        <f>INDEX('Activity data'!W$24:W$39,MATCH(Emissions!$D58,'Activity data'!$D$24:$D$39,0))*INDEX(EF!$H$84:$H$99,MATCH(Emissions!$D58,EF!$D$84:$D$99,0))*INDEX(EF!$H$100:$H$115,MATCH(Emissions!$D58,EF!$D$100:$D$115,0))*INDEX(EF!$H$116:$H$131,MATCH(Emissions!$D58,EF!$D$116:$D$131,0))*kgtoGg</f>
        <v>0.75052937764903993</v>
      </c>
      <c r="X58" s="22">
        <f>INDEX('Activity data'!X$24:X$39,MATCH(Emissions!$D58,'Activity data'!$D$24:$D$39,0))*INDEX(EF!$H$84:$H$99,MATCH(Emissions!$D58,EF!$D$84:$D$99,0))*INDEX(EF!$H$100:$H$115,MATCH(Emissions!$D58,EF!$D$100:$D$115,0))*INDEX(EF!$H$116:$H$131,MATCH(Emissions!$D58,EF!$D$116:$D$131,0))*kgtoGg</f>
        <v>0.5625699576799893</v>
      </c>
      <c r="Y58" s="22">
        <f>INDEX('Activity data'!Y$24:Y$39,MATCH(Emissions!$D58,'Activity data'!$D$24:$D$39,0))*INDEX(EF!$H$84:$H$99,MATCH(Emissions!$D58,EF!$D$84:$D$99,0))*INDEX(EF!$H$100:$H$115,MATCH(Emissions!$D58,EF!$D$100:$D$115,0))*INDEX(EF!$H$116:$H$131,MATCH(Emissions!$D58,EF!$D$116:$D$131,0))*kgtoGg</f>
        <v>0.56431436064953955</v>
      </c>
      <c r="Z58" s="22">
        <f>INDEX('Activity data'!Z$24:Z$39,MATCH(Emissions!$D58,'Activity data'!$D$24:$D$39,0))*INDEX(EF!$H$84:$H$99,MATCH(Emissions!$D58,EF!$D$84:$D$99,0))*INDEX(EF!$H$100:$H$115,MATCH(Emissions!$D58,EF!$D$100:$D$115,0))*INDEX(EF!$H$116:$H$131,MATCH(Emissions!$D58,EF!$D$116:$D$131,0))*kgtoGg</f>
        <v>0.39859607854225587</v>
      </c>
      <c r="AA58" s="22">
        <f>INDEX('Activity data'!AA$24:AA$39,MATCH(Emissions!$D58,'Activity data'!$D$24:$D$39,0))*INDEX(EF!$H$84:$H$99,MATCH(Emissions!$D58,EF!$D$84:$D$99,0))*INDEX(EF!$H$100:$H$115,MATCH(Emissions!$D58,EF!$D$100:$D$115,0))*INDEX(EF!$H$116:$H$131,MATCH(Emissions!$D58,EF!$D$116:$D$131,0))*kgtoGg</f>
        <v>0.41385960452582149</v>
      </c>
      <c r="AB58" s="22">
        <f>INDEX('Activity data'!AB$24:AB$39,MATCH(Emissions!$D58,'Activity data'!$D$24:$D$39,0))*INDEX(EF!$H$84:$H$99,MATCH(Emissions!$D58,EF!$D$84:$D$99,0))*INDEX(EF!$H$100:$H$115,MATCH(Emissions!$D58,EF!$D$100:$D$115,0))*INDEX(EF!$H$116:$H$131,MATCH(Emissions!$D58,EF!$D$116:$D$131,0))*kgtoGg</f>
        <v>0.58478679</v>
      </c>
      <c r="AC58" s="22">
        <f>INDEX('Activity data'!AC$24:AC$39,MATCH(Emissions!$D58,'Activity data'!$D$24:$D$39,0))*INDEX(EF!$H$84:$H$99,MATCH(Emissions!$D58,EF!$D$84:$D$99,0))*INDEX(EF!$H$100:$H$115,MATCH(Emissions!$D58,EF!$D$100:$D$115,0))*INDEX(EF!$H$116:$H$131,MATCH(Emissions!$D58,EF!$D$116:$D$131,0))*kgtoGg</f>
        <v>0.584370045</v>
      </c>
      <c r="AD58" s="22">
        <f>INDEX('Activity data'!AD$24:AD$39,MATCH(Emissions!$D58,'Activity data'!$D$24:$D$39,0))*INDEX(EF!$H$84:$H$99,MATCH(Emissions!$D58,EF!$D$84:$D$99,0))*INDEX(EF!$H$100:$H$115,MATCH(Emissions!$D58,EF!$D$100:$D$115,0))*INDEX(EF!$H$116:$H$131,MATCH(Emissions!$D58,EF!$D$116:$D$131,0))*kgtoGg</f>
        <v>6.2297189589909543</v>
      </c>
      <c r="AE58" s="22">
        <f>INDEX('Activity data'!AE$24:AE$39,MATCH(Emissions!$D58,'Activity data'!$D$24:$D$39,0))*INDEX(EF!$H$84:$H$99,MATCH(Emissions!$D58,EF!$D$84:$D$99,0))*INDEX(EF!$H$100:$H$115,MATCH(Emissions!$D58,EF!$D$100:$D$115,0))*INDEX(EF!$H$116:$H$131,MATCH(Emissions!$D58,EF!$D$116:$D$131,0))*kgtoGg</f>
        <v>6.2126409419483526</v>
      </c>
      <c r="AF58" s="22">
        <f>INDEX('Activity data'!AF$24:AF$39,MATCH(Emissions!$D58,'Activity data'!$D$24:$D$39,0))*INDEX(EF!$H$84:$H$99,MATCH(Emissions!$D58,EF!$D$84:$D$99,0))*INDEX(EF!$H$100:$H$115,MATCH(Emissions!$D58,EF!$D$100:$D$115,0))*INDEX(EF!$H$116:$H$131,MATCH(Emissions!$D58,EF!$D$116:$D$131,0))*kgtoGg</f>
        <v>6.1955629249057527</v>
      </c>
      <c r="AG58" s="22">
        <f>INDEX('Activity data'!AG$24:AG$39,MATCH(Emissions!$D58,'Activity data'!$D$24:$D$39,0))*INDEX(EF!$H$84:$H$99,MATCH(Emissions!$D58,EF!$D$84:$D$99,0))*INDEX(EF!$H$100:$H$115,MATCH(Emissions!$D58,EF!$D$100:$D$115,0))*INDEX(EF!$H$116:$H$131,MATCH(Emissions!$D58,EF!$D$116:$D$131,0))*kgtoGg</f>
        <v>6.1784849078631501</v>
      </c>
      <c r="AH58" s="22">
        <f>INDEX('Activity data'!AH$24:AH$39,MATCH(Emissions!$D58,'Activity data'!$D$24:$D$39,0))*INDEX(EF!$H$84:$H$99,MATCH(Emissions!$D58,EF!$D$84:$D$99,0))*INDEX(EF!$H$100:$H$115,MATCH(Emissions!$D58,EF!$D$100:$D$115,0))*INDEX(EF!$H$116:$H$131,MATCH(Emissions!$D58,EF!$D$116:$D$131,0))*kgtoGg</f>
        <v>6.1614068908205484</v>
      </c>
      <c r="AI58" s="22">
        <f>INDEX('Activity data'!AI$24:AI$39,MATCH(Emissions!$D58,'Activity data'!$D$24:$D$39,0))*INDEX(EF!$H$84:$H$99,MATCH(Emissions!$D58,EF!$D$84:$D$99,0))*INDEX(EF!$H$100:$H$115,MATCH(Emissions!$D58,EF!$D$100:$D$115,0))*INDEX(EF!$H$116:$H$131,MATCH(Emissions!$D58,EF!$D$116:$D$131,0))*kgtoGg</f>
        <v>6.1443288737779493</v>
      </c>
      <c r="AJ58" s="22">
        <f>INDEX('Activity data'!AJ$24:AJ$39,MATCH(Emissions!$D58,'Activity data'!$D$24:$D$39,0))*INDEX(EF!$H$84:$H$99,MATCH(Emissions!$D58,EF!$D$84:$D$99,0))*INDEX(EF!$H$100:$H$115,MATCH(Emissions!$D58,EF!$D$100:$D$115,0))*INDEX(EF!$H$116:$H$131,MATCH(Emissions!$D58,EF!$D$116:$D$131,0))*kgtoGg</f>
        <v>6.1272508567353459</v>
      </c>
      <c r="AK58" s="22">
        <f>INDEX('Activity data'!AK$24:AK$39,MATCH(Emissions!$D58,'Activity data'!$D$24:$D$39,0))*INDEX(EF!$H$84:$H$99,MATCH(Emissions!$D58,EF!$D$84:$D$99,0))*INDEX(EF!$H$100:$H$115,MATCH(Emissions!$D58,EF!$D$100:$D$115,0))*INDEX(EF!$H$116:$H$131,MATCH(Emissions!$D58,EF!$D$116:$D$131,0))*kgtoGg</f>
        <v>6.1101728396927459</v>
      </c>
      <c r="AL58" s="22">
        <f>INDEX('Activity data'!AL$24:AL$39,MATCH(Emissions!$D58,'Activity data'!$D$24:$D$39,0))*INDEX(EF!$H$84:$H$99,MATCH(Emissions!$D58,EF!$D$84:$D$99,0))*INDEX(EF!$H$100:$H$115,MATCH(Emissions!$D58,EF!$D$100:$D$115,0))*INDEX(EF!$H$116:$H$131,MATCH(Emissions!$D58,EF!$D$116:$D$131,0))*kgtoGg</f>
        <v>6.0930948226501442</v>
      </c>
      <c r="AM58" s="22">
        <f>INDEX('Activity data'!AM$24:AM$39,MATCH(Emissions!$D58,'Activity data'!$D$24:$D$39,0))*INDEX(EF!$H$84:$H$99,MATCH(Emissions!$D58,EF!$D$84:$D$99,0))*INDEX(EF!$H$100:$H$115,MATCH(Emissions!$D58,EF!$D$100:$D$115,0))*INDEX(EF!$H$116:$H$131,MATCH(Emissions!$D58,EF!$D$116:$D$131,0))*kgtoGg</f>
        <v>6.0760168056075434</v>
      </c>
      <c r="AN58" s="22">
        <f>INDEX('Activity data'!AN$24:AN$39,MATCH(Emissions!$D58,'Activity data'!$D$24:$D$39,0))*INDEX(EF!$H$84:$H$99,MATCH(Emissions!$D58,EF!$D$84:$D$99,0))*INDEX(EF!$H$100:$H$115,MATCH(Emissions!$D58,EF!$D$100:$D$115,0))*INDEX(EF!$H$116:$H$131,MATCH(Emissions!$D58,EF!$D$116:$D$131,0))*kgtoGg</f>
        <v>6.0589387885649417</v>
      </c>
      <c r="AO58" s="22">
        <f>INDEX('Activity data'!AO$24:AO$39,MATCH(Emissions!$D58,'Activity data'!$D$24:$D$39,0))*INDEX(EF!$H$84:$H$99,MATCH(Emissions!$D58,EF!$D$84:$D$99,0))*INDEX(EF!$H$100:$H$115,MATCH(Emissions!$D58,EF!$D$100:$D$115,0))*INDEX(EF!$H$116:$H$131,MATCH(Emissions!$D58,EF!$D$116:$D$131,0))*kgtoGg</f>
        <v>6.04186077152234</v>
      </c>
      <c r="AP58" s="22">
        <f>INDEX('Activity data'!AP$24:AP$39,MATCH(Emissions!$D58,'Activity data'!$D$24:$D$39,0))*INDEX(EF!$H$84:$H$99,MATCH(Emissions!$D58,EF!$D$84:$D$99,0))*INDEX(EF!$H$100:$H$115,MATCH(Emissions!$D58,EF!$D$100:$D$115,0))*INDEX(EF!$H$116:$H$131,MATCH(Emissions!$D58,EF!$D$116:$D$131,0))*kgtoGg</f>
        <v>6.0247827544797383</v>
      </c>
      <c r="AQ58" s="22">
        <f>INDEX('Activity data'!AQ$24:AQ$39,MATCH(Emissions!$D58,'Activity data'!$D$24:$D$39,0))*INDEX(EF!$H$84:$H$99,MATCH(Emissions!$D58,EF!$D$84:$D$99,0))*INDEX(EF!$H$100:$H$115,MATCH(Emissions!$D58,EF!$D$100:$D$115,0))*INDEX(EF!$H$116:$H$131,MATCH(Emissions!$D58,EF!$D$116:$D$131,0))*kgtoGg</f>
        <v>6.0077047374371375</v>
      </c>
      <c r="AR58" s="22">
        <f>INDEX('Activity data'!AR$24:AR$39,MATCH(Emissions!$D58,'Activity data'!$D$24:$D$39,0))*INDEX(EF!$H$84:$H$99,MATCH(Emissions!$D58,EF!$D$84:$D$99,0))*INDEX(EF!$H$100:$H$115,MATCH(Emissions!$D58,EF!$D$100:$D$115,0))*INDEX(EF!$H$116:$H$131,MATCH(Emissions!$D58,EF!$D$116:$D$131,0))*kgtoGg</f>
        <v>5.9906267203945358</v>
      </c>
      <c r="AS58" s="22">
        <f>INDEX('Activity data'!AS$24:AS$39,MATCH(Emissions!$D58,'Activity data'!$D$24:$D$39,0))*INDEX(EF!$H$84:$H$99,MATCH(Emissions!$D58,EF!$D$84:$D$99,0))*INDEX(EF!$H$100:$H$115,MATCH(Emissions!$D58,EF!$D$100:$D$115,0))*INDEX(EF!$H$116:$H$131,MATCH(Emissions!$D58,EF!$D$116:$D$131,0))*kgtoGg</f>
        <v>5.9735487033519359</v>
      </c>
      <c r="AT58" s="22">
        <f>INDEX('Activity data'!AT$24:AT$39,MATCH(Emissions!$D58,'Activity data'!$D$24:$D$39,0))*INDEX(EF!$H$84:$H$99,MATCH(Emissions!$D58,EF!$D$84:$D$99,0))*INDEX(EF!$H$100:$H$115,MATCH(Emissions!$D58,EF!$D$100:$D$115,0))*INDEX(EF!$H$116:$H$131,MATCH(Emissions!$D58,EF!$D$116:$D$131,0))*kgtoGg</f>
        <v>5.9564706863093333</v>
      </c>
      <c r="AU58" s="22">
        <f>INDEX('Activity data'!AU$24:AU$39,MATCH(Emissions!$D58,'Activity data'!$D$24:$D$39,0))*INDEX(EF!$H$84:$H$99,MATCH(Emissions!$D58,EF!$D$84:$D$99,0))*INDEX(EF!$H$100:$H$115,MATCH(Emissions!$D58,EF!$D$100:$D$115,0))*INDEX(EF!$H$116:$H$131,MATCH(Emissions!$D58,EF!$D$116:$D$131,0))*kgtoGg</f>
        <v>5.9393926692667334</v>
      </c>
      <c r="AV58" s="22">
        <f>INDEX('Activity data'!AV$24:AV$39,MATCH(Emissions!$D58,'Activity data'!$D$24:$D$39,0))*INDEX(EF!$H$84:$H$99,MATCH(Emissions!$D58,EF!$D$84:$D$99,0))*INDEX(EF!$H$100:$H$115,MATCH(Emissions!$D58,EF!$D$100:$D$115,0))*INDEX(EF!$H$116:$H$131,MATCH(Emissions!$D58,EF!$D$116:$D$131,0))*kgtoGg</f>
        <v>5.9223146522241317</v>
      </c>
      <c r="AW58" s="22">
        <f>INDEX('Activity data'!AW$24:AW$39,MATCH(Emissions!$D58,'Activity data'!$D$24:$D$39,0))*INDEX(EF!$H$84:$H$99,MATCH(Emissions!$D58,EF!$D$84:$D$99,0))*INDEX(EF!$H$100:$H$115,MATCH(Emissions!$D58,EF!$D$100:$D$115,0))*INDEX(EF!$H$116:$H$131,MATCH(Emissions!$D58,EF!$D$116:$D$131,0))*kgtoGg</f>
        <v>5.90523663518153</v>
      </c>
      <c r="AX58" s="22">
        <f>INDEX('Activity data'!AX$24:AX$39,MATCH(Emissions!$D58,'Activity data'!$D$24:$D$39,0))*INDEX(EF!$H$84:$H$99,MATCH(Emissions!$D58,EF!$D$84:$D$99,0))*INDEX(EF!$H$100:$H$115,MATCH(Emissions!$D58,EF!$D$100:$D$115,0))*INDEX(EF!$H$116:$H$131,MATCH(Emissions!$D58,EF!$D$116:$D$131,0))*kgtoGg</f>
        <v>5.8881586181389283</v>
      </c>
      <c r="AY58" s="22">
        <f>INDEX('Activity data'!AY$24:AY$39,MATCH(Emissions!$D58,'Activity data'!$D$24:$D$39,0))*INDEX(EF!$H$84:$H$99,MATCH(Emissions!$D58,EF!$D$84:$D$99,0))*INDEX(EF!$H$100:$H$115,MATCH(Emissions!$D58,EF!$D$100:$D$115,0))*INDEX(EF!$H$116:$H$131,MATCH(Emissions!$D58,EF!$D$116:$D$131,0))*kgtoGg</f>
        <v>5.8710806010963275</v>
      </c>
      <c r="AZ58" s="22">
        <f>INDEX('Activity data'!AZ$24:AZ$39,MATCH(Emissions!$D58,'Activity data'!$D$24:$D$39,0))*INDEX(EF!$H$84:$H$99,MATCH(Emissions!$D58,EF!$D$84:$D$99,0))*INDEX(EF!$H$100:$H$115,MATCH(Emissions!$D58,EF!$D$100:$D$115,0))*INDEX(EF!$H$116:$H$131,MATCH(Emissions!$D58,EF!$D$116:$D$131,0))*kgtoGg</f>
        <v>5.8540025840537266</v>
      </c>
      <c r="BA58" s="22">
        <f>INDEX('Activity data'!BA$24:BA$39,MATCH(Emissions!$D58,'Activity data'!$D$24:$D$39,0))*INDEX(EF!$H$84:$H$99,MATCH(Emissions!$D58,EF!$D$84:$D$99,0))*INDEX(EF!$H$100:$H$115,MATCH(Emissions!$D58,EF!$D$100:$D$115,0))*INDEX(EF!$H$116:$H$131,MATCH(Emissions!$D58,EF!$D$116:$D$131,0))*kgtoGg</f>
        <v>5.8369245670111249</v>
      </c>
      <c r="BB58" s="22">
        <f>INDEX('Activity data'!BB$24:BB$39,MATCH(Emissions!$D58,'Activity data'!$D$24:$D$39,0))*INDEX(EF!$H$84:$H$99,MATCH(Emissions!$D58,EF!$D$84:$D$99,0))*INDEX(EF!$H$100:$H$115,MATCH(Emissions!$D58,EF!$D$100:$D$115,0))*INDEX(EF!$H$116:$H$131,MATCH(Emissions!$D58,EF!$D$116:$D$131,0))*kgtoGg</f>
        <v>5.8198465499685241</v>
      </c>
      <c r="BC58" s="22">
        <f>INDEX('Activity data'!BC$24:BC$39,MATCH(Emissions!$D58,'Activity data'!$D$24:$D$39,0))*INDEX(EF!$H$84:$H$99,MATCH(Emissions!$D58,EF!$D$84:$D$99,0))*INDEX(EF!$H$100:$H$115,MATCH(Emissions!$D58,EF!$D$100:$D$115,0))*INDEX(EF!$H$116:$H$131,MATCH(Emissions!$D58,EF!$D$116:$D$131,0))*kgtoGg</f>
        <v>5.8027685329259224</v>
      </c>
      <c r="BD58" s="22">
        <f>INDEX('Activity data'!BD$24:BD$39,MATCH(Emissions!$D58,'Activity data'!$D$24:$D$39,0))*INDEX(EF!$H$84:$H$99,MATCH(Emissions!$D58,EF!$D$84:$D$99,0))*INDEX(EF!$H$100:$H$115,MATCH(Emissions!$D58,EF!$D$100:$D$115,0))*INDEX(EF!$H$116:$H$131,MATCH(Emissions!$D58,EF!$D$116:$D$131,0))*kgtoGg</f>
        <v>5.7856905158833216</v>
      </c>
      <c r="BE58" s="22">
        <f>INDEX('Activity data'!BE$24:BE$39,MATCH(Emissions!$D58,'Activity data'!$D$24:$D$39,0))*INDEX(EF!$H$84:$H$99,MATCH(Emissions!$D58,EF!$D$84:$D$99,0))*INDEX(EF!$H$100:$H$115,MATCH(Emissions!$D58,EF!$D$100:$D$115,0))*INDEX(EF!$H$116:$H$131,MATCH(Emissions!$D58,EF!$D$116:$D$131,0))*kgtoGg</f>
        <v>5.7686124988407199</v>
      </c>
      <c r="BF58" s="22">
        <f>INDEX('Activity data'!BF$24:BF$39,MATCH(Emissions!$D58,'Activity data'!$D$24:$D$39,0))*INDEX(EF!$H$84:$H$99,MATCH(Emissions!$D58,EF!$D$84:$D$99,0))*INDEX(EF!$H$100:$H$115,MATCH(Emissions!$D58,EF!$D$100:$D$115,0))*INDEX(EF!$H$116:$H$131,MATCH(Emissions!$D58,EF!$D$116:$D$131,0))*kgtoGg</f>
        <v>5.7515344817981173</v>
      </c>
      <c r="BG58" s="22">
        <f>INDEX('Activity data'!BG$24:BG$39,MATCH(Emissions!$D58,'Activity data'!$D$24:$D$39,0))*INDEX(EF!$H$84:$H$99,MATCH(Emissions!$D58,EF!$D$84:$D$99,0))*INDEX(EF!$H$100:$H$115,MATCH(Emissions!$D58,EF!$D$100:$D$115,0))*INDEX(EF!$H$116:$H$131,MATCH(Emissions!$D58,EF!$D$116:$D$131,0))*kgtoGg</f>
        <v>5.7344564647555183</v>
      </c>
      <c r="BH58" s="22">
        <f>INDEX('Activity data'!BH$24:BH$39,MATCH(Emissions!$D58,'Activity data'!$D$24:$D$39,0))*INDEX(EF!$H$84:$H$99,MATCH(Emissions!$D58,EF!$D$84:$D$99,0))*INDEX(EF!$H$100:$H$115,MATCH(Emissions!$D58,EF!$D$100:$D$115,0))*INDEX(EF!$H$116:$H$131,MATCH(Emissions!$D58,EF!$D$116:$D$131,0))*kgtoGg</f>
        <v>5.7173784477129166</v>
      </c>
      <c r="BI58" s="22">
        <f>INDEX('Activity data'!BI$24:BI$39,MATCH(Emissions!$D58,'Activity data'!$D$24:$D$39,0))*INDEX(EF!$H$84:$H$99,MATCH(Emissions!$D58,EF!$D$84:$D$99,0))*INDEX(EF!$H$100:$H$115,MATCH(Emissions!$D58,EF!$D$100:$D$115,0))*INDEX(EF!$H$116:$H$131,MATCH(Emissions!$D58,EF!$D$116:$D$131,0))*kgtoGg</f>
        <v>5.7003004306703149</v>
      </c>
      <c r="BJ58" s="22">
        <f>INDEX('Activity data'!BJ$24:BJ$39,MATCH(Emissions!$D58,'Activity data'!$D$24:$D$39,0))*INDEX(EF!$H$84:$H$99,MATCH(Emissions!$D58,EF!$D$84:$D$99,0))*INDEX(EF!$H$100:$H$115,MATCH(Emissions!$D58,EF!$D$100:$D$115,0))*INDEX(EF!$H$116:$H$131,MATCH(Emissions!$D58,EF!$D$116:$D$131,0))*kgtoGg</f>
        <v>5.6832224136277141</v>
      </c>
      <c r="BK58" s="22">
        <f>INDEX('Activity data'!BK$24:BK$39,MATCH(Emissions!$D58,'Activity data'!$D$24:$D$39,0))*INDEX(EF!$H$84:$H$99,MATCH(Emissions!$D58,EF!$D$84:$D$99,0))*INDEX(EF!$H$100:$H$115,MATCH(Emissions!$D58,EF!$D$100:$D$115,0))*INDEX(EF!$H$116:$H$131,MATCH(Emissions!$D58,EF!$D$116:$D$131,0))*kgtoGg</f>
        <v>5.6661443965851124</v>
      </c>
      <c r="BL58" s="22">
        <f>INDEX('Activity data'!BL$24:BL$39,MATCH(Emissions!$D58,'Activity data'!$D$24:$D$39,0))*INDEX(EF!$H$84:$H$99,MATCH(Emissions!$D58,EF!$D$84:$D$99,0))*INDEX(EF!$H$100:$H$115,MATCH(Emissions!$D58,EF!$D$100:$D$115,0))*INDEX(EF!$H$116:$H$131,MATCH(Emissions!$D58,EF!$D$116:$D$131,0))*kgtoGg</f>
        <v>5.6490663795425107</v>
      </c>
      <c r="BM58" s="22">
        <f>INDEX('Activity data'!BM$24:BM$39,MATCH(Emissions!$D58,'Activity data'!$D$24:$D$39,0))*INDEX(EF!$H$84:$H$99,MATCH(Emissions!$D58,EF!$D$84:$D$99,0))*INDEX(EF!$H$100:$H$115,MATCH(Emissions!$D58,EF!$D$100:$D$115,0))*INDEX(EF!$H$116:$H$131,MATCH(Emissions!$D58,EF!$D$116:$D$131,0))*kgtoGg</f>
        <v>5.631988362499909</v>
      </c>
      <c r="BN58" s="22">
        <f>INDEX('Activity data'!BN$24:BN$39,MATCH(Emissions!$D58,'Activity data'!$D$24:$D$39,0))*INDEX(EF!$H$84:$H$99,MATCH(Emissions!$D58,EF!$D$84:$D$99,0))*INDEX(EF!$H$100:$H$115,MATCH(Emissions!$D58,EF!$D$100:$D$115,0))*INDEX(EF!$H$116:$H$131,MATCH(Emissions!$D58,EF!$D$116:$D$131,0))*kgtoGg</f>
        <v>5.614910345457309</v>
      </c>
      <c r="BO58" s="22">
        <f>INDEX('Activity data'!BO$24:BO$39,MATCH(Emissions!$D58,'Activity data'!$D$24:$D$39,0))*INDEX(EF!$H$84:$H$99,MATCH(Emissions!$D58,EF!$D$84:$D$99,0))*INDEX(EF!$H$100:$H$115,MATCH(Emissions!$D58,EF!$D$100:$D$115,0))*INDEX(EF!$H$116:$H$131,MATCH(Emissions!$D58,EF!$D$116:$D$131,0))*kgtoGg</f>
        <v>5.5978323284147082</v>
      </c>
      <c r="BP58" s="22">
        <f>INDEX('Activity data'!BP$24:BP$39,MATCH(Emissions!$D58,'Activity data'!$D$24:$D$39,0))*INDEX(EF!$H$84:$H$99,MATCH(Emissions!$D58,EF!$D$84:$D$99,0))*INDEX(EF!$H$100:$H$115,MATCH(Emissions!$D58,EF!$D$100:$D$115,0))*INDEX(EF!$H$116:$H$131,MATCH(Emissions!$D58,EF!$D$116:$D$131,0))*kgtoGg</f>
        <v>5.5807543113721056</v>
      </c>
    </row>
    <row r="59" spans="1:68" x14ac:dyDescent="0.25">
      <c r="A59" t="str">
        <f t="shared" si="13"/>
        <v>3C Aggregated and non-CO2 emissions on land</v>
      </c>
      <c r="B59" t="str">
        <f t="shared" si="14"/>
        <v>3C1 Biomass burning (CH4)</v>
      </c>
      <c r="C59" t="str">
        <f>C58</f>
        <v>3C1b Biomass burning in Croplands</v>
      </c>
      <c r="D59" t="str">
        <f>EF!D89</f>
        <v>Annual pivot</v>
      </c>
      <c r="E59" t="s">
        <v>646</v>
      </c>
      <c r="F59" t="str">
        <f t="shared" si="16"/>
        <v>CH4</v>
      </c>
      <c r="G59" t="str">
        <f t="shared" si="17"/>
        <v>Gg CH4</v>
      </c>
      <c r="H59" s="22">
        <f>INDEX('Activity data'!H$24:H$39,MATCH(Emissions!$D59,'Activity data'!$D$24:$D$39,0))*INDEX(EF!$H$84:$H$99,MATCH(Emissions!$D59,EF!$D$84:$D$99,0))*INDEX(EF!$H$100:$H$115,MATCH(Emissions!$D59,EF!$D$100:$D$115,0))*INDEX(EF!$H$116:$H$131,MATCH(Emissions!$D59,EF!$D$116:$D$131,0))*kgtoGg</f>
        <v>7.1890335181109197</v>
      </c>
      <c r="I59" s="22">
        <f>INDEX('Activity data'!I$24:I$39,MATCH(Emissions!$D59,'Activity data'!$D$24:$D$39,0))*INDEX(EF!$H$84:$H$99,MATCH(Emissions!$D59,EF!$D$84:$D$99,0))*INDEX(EF!$H$100:$H$115,MATCH(Emissions!$D59,EF!$D$100:$D$115,0))*INDEX(EF!$H$116:$H$131,MATCH(Emissions!$D59,EF!$D$116:$D$131,0))*kgtoGg</f>
        <v>7.1890335181109197</v>
      </c>
      <c r="J59" s="22">
        <f>INDEX('Activity data'!J$24:J$39,MATCH(Emissions!$D59,'Activity data'!$D$24:$D$39,0))*INDEX(EF!$H$84:$H$99,MATCH(Emissions!$D59,EF!$D$84:$D$99,0))*INDEX(EF!$H$100:$H$115,MATCH(Emissions!$D59,EF!$D$100:$D$115,0))*INDEX(EF!$H$116:$H$131,MATCH(Emissions!$D59,EF!$D$116:$D$131,0))*kgtoGg</f>
        <v>7.1890335181109197</v>
      </c>
      <c r="K59" s="22">
        <f>INDEX('Activity data'!K$24:K$39,MATCH(Emissions!$D59,'Activity data'!$D$24:$D$39,0))*INDEX(EF!$H$84:$H$99,MATCH(Emissions!$D59,EF!$D$84:$D$99,0))*INDEX(EF!$H$100:$H$115,MATCH(Emissions!$D59,EF!$D$100:$D$115,0))*INDEX(EF!$H$116:$H$131,MATCH(Emissions!$D59,EF!$D$116:$D$131,0))*kgtoGg</f>
        <v>7.1890335181109197</v>
      </c>
      <c r="L59" s="22">
        <f>INDEX('Activity data'!L$24:L$39,MATCH(Emissions!$D59,'Activity data'!$D$24:$D$39,0))*INDEX(EF!$H$84:$H$99,MATCH(Emissions!$D59,EF!$D$84:$D$99,0))*INDEX(EF!$H$100:$H$115,MATCH(Emissions!$D59,EF!$D$100:$D$115,0))*INDEX(EF!$H$116:$H$131,MATCH(Emissions!$D59,EF!$D$116:$D$131,0))*kgtoGg</f>
        <v>7.1890335181109197</v>
      </c>
      <c r="M59" s="22">
        <f>INDEX('Activity data'!M$24:M$39,MATCH(Emissions!$D59,'Activity data'!$D$24:$D$39,0))*INDEX(EF!$H$84:$H$99,MATCH(Emissions!$D59,EF!$D$84:$D$99,0))*INDEX(EF!$H$100:$H$115,MATCH(Emissions!$D59,EF!$D$100:$D$115,0))*INDEX(EF!$H$116:$H$131,MATCH(Emissions!$D59,EF!$D$116:$D$131,0))*kgtoGg</f>
        <v>7.1890335181109197</v>
      </c>
      <c r="N59" s="22">
        <f>INDEX('Activity data'!N$24:N$39,MATCH(Emissions!$D59,'Activity data'!$D$24:$D$39,0))*INDEX(EF!$H$84:$H$99,MATCH(Emissions!$D59,EF!$D$84:$D$99,0))*INDEX(EF!$H$100:$H$115,MATCH(Emissions!$D59,EF!$D$100:$D$115,0))*INDEX(EF!$H$116:$H$131,MATCH(Emissions!$D59,EF!$D$116:$D$131,0))*kgtoGg</f>
        <v>7.1890335181109197</v>
      </c>
      <c r="O59" s="22">
        <f>INDEX('Activity data'!O$24:O$39,MATCH(Emissions!$D59,'Activity data'!$D$24:$D$39,0))*INDEX(EF!$H$84:$H$99,MATCH(Emissions!$D59,EF!$D$84:$D$99,0))*INDEX(EF!$H$100:$H$115,MATCH(Emissions!$D59,EF!$D$100:$D$115,0))*INDEX(EF!$H$116:$H$131,MATCH(Emissions!$D59,EF!$D$116:$D$131,0))*kgtoGg</f>
        <v>7.1890335181109197</v>
      </c>
      <c r="P59" s="22">
        <f>INDEX('Activity data'!P$24:P$39,MATCH(Emissions!$D59,'Activity data'!$D$24:$D$39,0))*INDEX(EF!$H$84:$H$99,MATCH(Emissions!$D59,EF!$D$84:$D$99,0))*INDEX(EF!$H$100:$H$115,MATCH(Emissions!$D59,EF!$D$100:$D$115,0))*INDEX(EF!$H$116:$H$131,MATCH(Emissions!$D59,EF!$D$116:$D$131,0))*kgtoGg</f>
        <v>7.1890335181109197</v>
      </c>
      <c r="Q59" s="22">
        <f>INDEX('Activity data'!Q$24:Q$39,MATCH(Emissions!$D59,'Activity data'!$D$24:$D$39,0))*INDEX(EF!$H$84:$H$99,MATCH(Emissions!$D59,EF!$D$84:$D$99,0))*INDEX(EF!$H$100:$H$115,MATCH(Emissions!$D59,EF!$D$100:$D$115,0))*INDEX(EF!$H$116:$H$131,MATCH(Emissions!$D59,EF!$D$116:$D$131,0))*kgtoGg</f>
        <v>7.1890335181109197</v>
      </c>
      <c r="R59" s="22">
        <f>INDEX('Activity data'!R$24:R$39,MATCH(Emissions!$D59,'Activity data'!$D$24:$D$39,0))*INDEX(EF!$H$84:$H$99,MATCH(Emissions!$D59,EF!$D$84:$D$99,0))*INDEX(EF!$H$100:$H$115,MATCH(Emissions!$D59,EF!$D$100:$D$115,0))*INDEX(EF!$H$116:$H$131,MATCH(Emissions!$D59,EF!$D$116:$D$131,0))*kgtoGg</f>
        <v>7.7769845389978656</v>
      </c>
      <c r="S59" s="22">
        <f>INDEX('Activity data'!S$24:S$39,MATCH(Emissions!$D59,'Activity data'!$D$24:$D$39,0))*INDEX(EF!$H$84:$H$99,MATCH(Emissions!$D59,EF!$D$84:$D$99,0))*INDEX(EF!$H$100:$H$115,MATCH(Emissions!$D59,EF!$D$100:$D$115,0))*INDEX(EF!$H$116:$H$131,MATCH(Emissions!$D59,EF!$D$116:$D$131,0))*kgtoGg</f>
        <v>7.2043842642429627</v>
      </c>
      <c r="T59" s="22">
        <f>INDEX('Activity data'!T$24:T$39,MATCH(Emissions!$D59,'Activity data'!$D$24:$D$39,0))*INDEX(EF!$H$84:$H$99,MATCH(Emissions!$D59,EF!$D$84:$D$99,0))*INDEX(EF!$H$100:$H$115,MATCH(Emissions!$D59,EF!$D$100:$D$115,0))*INDEX(EF!$H$116:$H$131,MATCH(Emissions!$D59,EF!$D$116:$D$131,0))*kgtoGg</f>
        <v>8.8223180185009138</v>
      </c>
      <c r="U59" s="22">
        <f>INDEX('Activity data'!U$24:U$39,MATCH(Emissions!$D59,'Activity data'!$D$24:$D$39,0))*INDEX(EF!$H$84:$H$99,MATCH(Emissions!$D59,EF!$D$84:$D$99,0))*INDEX(EF!$H$100:$H$115,MATCH(Emissions!$D59,EF!$D$100:$D$115,0))*INDEX(EF!$H$116:$H$131,MATCH(Emissions!$D59,EF!$D$116:$D$131,0))*kgtoGg</f>
        <v>6.58642951227975</v>
      </c>
      <c r="V59" s="22">
        <f>INDEX('Activity data'!V$24:V$39,MATCH(Emissions!$D59,'Activity data'!$D$24:$D$39,0))*INDEX(EF!$H$84:$H$99,MATCH(Emissions!$D59,EF!$D$84:$D$99,0))*INDEX(EF!$H$100:$H$115,MATCH(Emissions!$D59,EF!$D$100:$D$115,0))*INDEX(EF!$H$116:$H$131,MATCH(Emissions!$D59,EF!$D$116:$D$131,0))*kgtoGg</f>
        <v>5.5550512565331021</v>
      </c>
      <c r="W59" s="22">
        <f>INDEX('Activity data'!W$24:W$39,MATCH(Emissions!$D59,'Activity data'!$D$24:$D$39,0))*INDEX(EF!$H$84:$H$99,MATCH(Emissions!$D59,EF!$D$84:$D$99,0))*INDEX(EF!$H$100:$H$115,MATCH(Emissions!$D59,EF!$D$100:$D$115,0))*INDEX(EF!$H$116:$H$131,MATCH(Emissions!$D59,EF!$D$116:$D$131,0))*kgtoGg</f>
        <v>9.4036403081035704</v>
      </c>
      <c r="X59" s="22">
        <f>INDEX('Activity data'!X$24:X$39,MATCH(Emissions!$D59,'Activity data'!$D$24:$D$39,0))*INDEX(EF!$H$84:$H$99,MATCH(Emissions!$D59,EF!$D$84:$D$99,0))*INDEX(EF!$H$100:$H$115,MATCH(Emissions!$D59,EF!$D$100:$D$115,0))*INDEX(EF!$H$116:$H$131,MATCH(Emissions!$D59,EF!$D$116:$D$131,0))*kgtoGg</f>
        <v>9.5850582169368082</v>
      </c>
      <c r="Y59" s="22">
        <f>INDEX('Activity data'!Y$24:Y$39,MATCH(Emissions!$D59,'Activity data'!$D$24:$D$39,0))*INDEX(EF!$H$84:$H$99,MATCH(Emissions!$D59,EF!$D$84:$D$99,0))*INDEX(EF!$H$100:$H$115,MATCH(Emissions!$D59,EF!$D$100:$D$115,0))*INDEX(EF!$H$116:$H$131,MATCH(Emissions!$D59,EF!$D$116:$D$131,0))*kgtoGg</f>
        <v>5.4189878249081751</v>
      </c>
      <c r="Z59" s="22">
        <f>INDEX('Activity data'!Z$24:Z$39,MATCH(Emissions!$D59,'Activity data'!$D$24:$D$39,0))*INDEX(EF!$H$84:$H$99,MATCH(Emissions!$D59,EF!$D$84:$D$99,0))*INDEX(EF!$H$100:$H$115,MATCH(Emissions!$D59,EF!$D$100:$D$115,0))*INDEX(EF!$H$116:$H$131,MATCH(Emissions!$D59,EF!$D$116:$D$131,0))*kgtoGg</f>
        <v>6.2693842725639728</v>
      </c>
      <c r="AA59" s="22">
        <f>INDEX('Activity data'!AA$24:AA$39,MATCH(Emissions!$D59,'Activity data'!$D$24:$D$39,0))*INDEX(EF!$H$84:$H$99,MATCH(Emissions!$D59,EF!$D$84:$D$99,0))*INDEX(EF!$H$100:$H$115,MATCH(Emissions!$D59,EF!$D$100:$D$115,0))*INDEX(EF!$H$116:$H$131,MATCH(Emissions!$D59,EF!$D$116:$D$131,0))*kgtoGg</f>
        <v>6.2022247582362837</v>
      </c>
      <c r="AB59" s="22">
        <f>INDEX('Activity data'!AB$24:AB$39,MATCH(Emissions!$D59,'Activity data'!$D$24:$D$39,0))*INDEX(EF!$H$84:$H$99,MATCH(Emissions!$D59,EF!$D$84:$D$99,0))*INDEX(EF!$H$100:$H$115,MATCH(Emissions!$D59,EF!$D$100:$D$115,0))*INDEX(EF!$H$116:$H$131,MATCH(Emissions!$D59,EF!$D$116:$D$131,0))*kgtoGg</f>
        <v>6.9937244370000009</v>
      </c>
      <c r="AC59" s="22">
        <f>INDEX('Activity data'!AC$24:AC$39,MATCH(Emissions!$D59,'Activity data'!$D$24:$D$39,0))*INDEX(EF!$H$84:$H$99,MATCH(Emissions!$D59,EF!$D$84:$D$99,0))*INDEX(EF!$H$100:$H$115,MATCH(Emissions!$D59,EF!$D$100:$D$115,0))*INDEX(EF!$H$116:$H$131,MATCH(Emissions!$D59,EF!$D$116:$D$131,0))*kgtoGg</f>
        <v>7.3062814859999996</v>
      </c>
      <c r="AD59" s="22">
        <f>INDEX('Activity data'!AD$24:AD$39,MATCH(Emissions!$D59,'Activity data'!$D$24:$D$39,0))*INDEX(EF!$H$84:$H$99,MATCH(Emissions!$D59,EF!$D$84:$D$99,0))*INDEX(EF!$H$100:$H$115,MATCH(Emissions!$D59,EF!$D$100:$D$115,0))*INDEX(EF!$H$116:$H$131,MATCH(Emissions!$D59,EF!$D$116:$D$131,0))*kgtoGg</f>
        <v>0.51545593822160218</v>
      </c>
      <c r="AE59" s="22">
        <f>INDEX('Activity data'!AE$24:AE$39,MATCH(Emissions!$D59,'Activity data'!$D$24:$D$39,0))*INDEX(EF!$H$84:$H$99,MATCH(Emissions!$D59,EF!$D$84:$D$99,0))*INDEX(EF!$H$100:$H$115,MATCH(Emissions!$D59,EF!$D$100:$D$115,0))*INDEX(EF!$H$116:$H$131,MATCH(Emissions!$D59,EF!$D$116:$D$131,0))*kgtoGg</f>
        <v>0.53112945404780765</v>
      </c>
      <c r="AF59" s="22">
        <f>INDEX('Activity data'!AF$24:AF$39,MATCH(Emissions!$D59,'Activity data'!$D$24:$D$39,0))*INDEX(EF!$H$84:$H$99,MATCH(Emissions!$D59,EF!$D$84:$D$99,0))*INDEX(EF!$H$100:$H$115,MATCH(Emissions!$D59,EF!$D$100:$D$115,0))*INDEX(EF!$H$116:$H$131,MATCH(Emissions!$D59,EF!$D$116:$D$131,0))*kgtoGg</f>
        <v>0.54680296987401311</v>
      </c>
      <c r="AG59" s="22">
        <f>INDEX('Activity data'!AG$24:AG$39,MATCH(Emissions!$D59,'Activity data'!$D$24:$D$39,0))*INDEX(EF!$H$84:$H$99,MATCH(Emissions!$D59,EF!$D$84:$D$99,0))*INDEX(EF!$H$100:$H$115,MATCH(Emissions!$D59,EF!$D$100:$D$115,0))*INDEX(EF!$H$116:$H$131,MATCH(Emissions!$D59,EF!$D$116:$D$131,0))*kgtoGg</f>
        <v>0.5624764857002188</v>
      </c>
      <c r="AH59" s="22">
        <f>INDEX('Activity data'!AH$24:AH$39,MATCH(Emissions!$D59,'Activity data'!$D$24:$D$39,0))*INDEX(EF!$H$84:$H$99,MATCH(Emissions!$D59,EF!$D$84:$D$99,0))*INDEX(EF!$H$100:$H$115,MATCH(Emissions!$D59,EF!$D$100:$D$115,0))*INDEX(EF!$H$116:$H$131,MATCH(Emissions!$D59,EF!$D$116:$D$131,0))*kgtoGg</f>
        <v>0.57815000152642426</v>
      </c>
      <c r="AI59" s="22">
        <f>INDEX('Activity data'!AI$24:AI$39,MATCH(Emissions!$D59,'Activity data'!$D$24:$D$39,0))*INDEX(EF!$H$84:$H$99,MATCH(Emissions!$D59,EF!$D$84:$D$99,0))*INDEX(EF!$H$100:$H$115,MATCH(Emissions!$D59,EF!$D$100:$D$115,0))*INDEX(EF!$H$116:$H$131,MATCH(Emissions!$D59,EF!$D$116:$D$131,0))*kgtoGg</f>
        <v>0.59382351735262984</v>
      </c>
      <c r="AJ59" s="22">
        <f>INDEX('Activity data'!AJ$24:AJ$39,MATCH(Emissions!$D59,'Activity data'!$D$24:$D$39,0))*INDEX(EF!$H$84:$H$99,MATCH(Emissions!$D59,EF!$D$84:$D$99,0))*INDEX(EF!$H$100:$H$115,MATCH(Emissions!$D59,EF!$D$100:$D$115,0))*INDEX(EF!$H$116:$H$131,MATCH(Emissions!$D59,EF!$D$116:$D$131,0))*kgtoGg</f>
        <v>0.6094970331788353</v>
      </c>
      <c r="AK59" s="22">
        <f>INDEX('Activity data'!AK$24:AK$39,MATCH(Emissions!$D59,'Activity data'!$D$24:$D$39,0))*INDEX(EF!$H$84:$H$99,MATCH(Emissions!$D59,EF!$D$84:$D$99,0))*INDEX(EF!$H$100:$H$115,MATCH(Emissions!$D59,EF!$D$100:$D$115,0))*INDEX(EF!$H$116:$H$131,MATCH(Emissions!$D59,EF!$D$116:$D$131,0))*kgtoGg</f>
        <v>0.62517054900504077</v>
      </c>
      <c r="AL59" s="22">
        <f>INDEX('Activity data'!AL$24:AL$39,MATCH(Emissions!$D59,'Activity data'!$D$24:$D$39,0))*INDEX(EF!$H$84:$H$99,MATCH(Emissions!$D59,EF!$D$84:$D$99,0))*INDEX(EF!$H$100:$H$115,MATCH(Emissions!$D59,EF!$D$100:$D$115,0))*INDEX(EF!$H$116:$H$131,MATCH(Emissions!$D59,EF!$D$116:$D$131,0))*kgtoGg</f>
        <v>0.64084406483124634</v>
      </c>
      <c r="AM59" s="22">
        <f>INDEX('Activity data'!AM$24:AM$39,MATCH(Emissions!$D59,'Activity data'!$D$24:$D$39,0))*INDEX(EF!$H$84:$H$99,MATCH(Emissions!$D59,EF!$D$84:$D$99,0))*INDEX(EF!$H$100:$H$115,MATCH(Emissions!$D59,EF!$D$100:$D$115,0))*INDEX(EF!$H$116:$H$131,MATCH(Emissions!$D59,EF!$D$116:$D$131,0))*kgtoGg</f>
        <v>0.65651758065745214</v>
      </c>
      <c r="AN59" s="22">
        <f>INDEX('Activity data'!AN$24:AN$39,MATCH(Emissions!$D59,'Activity data'!$D$24:$D$39,0))*INDEX(EF!$H$84:$H$99,MATCH(Emissions!$D59,EF!$D$84:$D$99,0))*INDEX(EF!$H$100:$H$115,MATCH(Emissions!$D59,EF!$D$100:$D$115,0))*INDEX(EF!$H$116:$H$131,MATCH(Emissions!$D59,EF!$D$116:$D$131,0))*kgtoGg</f>
        <v>0.6721910964836576</v>
      </c>
      <c r="AO59" s="22">
        <f>INDEX('Activity data'!AO$24:AO$39,MATCH(Emissions!$D59,'Activity data'!$D$24:$D$39,0))*INDEX(EF!$H$84:$H$99,MATCH(Emissions!$D59,EF!$D$84:$D$99,0))*INDEX(EF!$H$100:$H$115,MATCH(Emissions!$D59,EF!$D$100:$D$115,0))*INDEX(EF!$H$116:$H$131,MATCH(Emissions!$D59,EF!$D$116:$D$131,0))*kgtoGg</f>
        <v>0.68786461230986296</v>
      </c>
      <c r="AP59" s="22">
        <f>INDEX('Activity data'!AP$24:AP$39,MATCH(Emissions!$D59,'Activity data'!$D$24:$D$39,0))*INDEX(EF!$H$84:$H$99,MATCH(Emissions!$D59,EF!$D$84:$D$99,0))*INDEX(EF!$H$100:$H$115,MATCH(Emissions!$D59,EF!$D$100:$D$115,0))*INDEX(EF!$H$116:$H$131,MATCH(Emissions!$D59,EF!$D$116:$D$131,0))*kgtoGg</f>
        <v>0.70353812813606853</v>
      </c>
      <c r="AQ59" s="22">
        <f>INDEX('Activity data'!AQ$24:AQ$39,MATCH(Emissions!$D59,'Activity data'!$D$24:$D$39,0))*INDEX(EF!$H$84:$H$99,MATCH(Emissions!$D59,EF!$D$84:$D$99,0))*INDEX(EF!$H$100:$H$115,MATCH(Emissions!$D59,EF!$D$100:$D$115,0))*INDEX(EF!$H$116:$H$131,MATCH(Emissions!$D59,EF!$D$116:$D$131,0))*kgtoGg</f>
        <v>0.71921164396227399</v>
      </c>
      <c r="AR59" s="22">
        <f>INDEX('Activity data'!AR$24:AR$39,MATCH(Emissions!$D59,'Activity data'!$D$24:$D$39,0))*INDEX(EF!$H$84:$H$99,MATCH(Emissions!$D59,EF!$D$84:$D$99,0))*INDEX(EF!$H$100:$H$115,MATCH(Emissions!$D59,EF!$D$100:$D$115,0))*INDEX(EF!$H$116:$H$131,MATCH(Emissions!$D59,EF!$D$116:$D$131,0))*kgtoGg</f>
        <v>0.73488515978847979</v>
      </c>
      <c r="AS59" s="22">
        <f>INDEX('Activity data'!AS$24:AS$39,MATCH(Emissions!$D59,'Activity data'!$D$24:$D$39,0))*INDEX(EF!$H$84:$H$99,MATCH(Emissions!$D59,EF!$D$84:$D$99,0))*INDEX(EF!$H$100:$H$115,MATCH(Emissions!$D59,EF!$D$100:$D$115,0))*INDEX(EF!$H$116:$H$131,MATCH(Emissions!$D59,EF!$D$116:$D$131,0))*kgtoGg</f>
        <v>0.75055867561468514</v>
      </c>
      <c r="AT59" s="22">
        <f>INDEX('Activity data'!AT$24:AT$39,MATCH(Emissions!$D59,'Activity data'!$D$24:$D$39,0))*INDEX(EF!$H$84:$H$99,MATCH(Emissions!$D59,EF!$D$84:$D$99,0))*INDEX(EF!$H$100:$H$115,MATCH(Emissions!$D59,EF!$D$100:$D$115,0))*INDEX(EF!$H$116:$H$131,MATCH(Emissions!$D59,EF!$D$116:$D$131,0))*kgtoGg</f>
        <v>0.76623219144089083</v>
      </c>
      <c r="AU59" s="22">
        <f>INDEX('Activity data'!AU$24:AU$39,MATCH(Emissions!$D59,'Activity data'!$D$24:$D$39,0))*INDEX(EF!$H$84:$H$99,MATCH(Emissions!$D59,EF!$D$84:$D$99,0))*INDEX(EF!$H$100:$H$115,MATCH(Emissions!$D59,EF!$D$100:$D$115,0))*INDEX(EF!$H$116:$H$131,MATCH(Emissions!$D59,EF!$D$116:$D$131,0))*kgtoGg</f>
        <v>0.78190570726709629</v>
      </c>
      <c r="AV59" s="22">
        <f>INDEX('Activity data'!AV$24:AV$39,MATCH(Emissions!$D59,'Activity data'!$D$24:$D$39,0))*INDEX(EF!$H$84:$H$99,MATCH(Emissions!$D59,EF!$D$84:$D$99,0))*INDEX(EF!$H$100:$H$115,MATCH(Emissions!$D59,EF!$D$100:$D$115,0))*INDEX(EF!$H$116:$H$131,MATCH(Emissions!$D59,EF!$D$116:$D$131,0))*kgtoGg</f>
        <v>0.79757922309330198</v>
      </c>
      <c r="AW59" s="22">
        <f>INDEX('Activity data'!AW$24:AW$39,MATCH(Emissions!$D59,'Activity data'!$D$24:$D$39,0))*INDEX(EF!$H$84:$H$99,MATCH(Emissions!$D59,EF!$D$84:$D$99,0))*INDEX(EF!$H$100:$H$115,MATCH(Emissions!$D59,EF!$D$100:$D$115,0))*INDEX(EF!$H$116:$H$131,MATCH(Emissions!$D59,EF!$D$116:$D$131,0))*kgtoGg</f>
        <v>0.81325273891950733</v>
      </c>
      <c r="AX59" s="22">
        <f>INDEX('Activity data'!AX$24:AX$39,MATCH(Emissions!$D59,'Activity data'!$D$24:$D$39,0))*INDEX(EF!$H$84:$H$99,MATCH(Emissions!$D59,EF!$D$84:$D$99,0))*INDEX(EF!$H$100:$H$115,MATCH(Emissions!$D59,EF!$D$100:$D$115,0))*INDEX(EF!$H$116:$H$131,MATCH(Emissions!$D59,EF!$D$116:$D$131,0))*kgtoGg</f>
        <v>0.82892625474571302</v>
      </c>
      <c r="AY59" s="22">
        <f>INDEX('Activity data'!AY$24:AY$39,MATCH(Emissions!$D59,'Activity data'!$D$24:$D$39,0))*INDEX(EF!$H$84:$H$99,MATCH(Emissions!$D59,EF!$D$84:$D$99,0))*INDEX(EF!$H$100:$H$115,MATCH(Emissions!$D59,EF!$D$100:$D$115,0))*INDEX(EF!$H$116:$H$131,MATCH(Emissions!$D59,EF!$D$116:$D$131,0))*kgtoGg</f>
        <v>0.84459977057191826</v>
      </c>
      <c r="AZ59" s="22">
        <f>INDEX('Activity data'!AZ$24:AZ$39,MATCH(Emissions!$D59,'Activity data'!$D$24:$D$39,0))*INDEX(EF!$H$84:$H$99,MATCH(Emissions!$D59,EF!$D$84:$D$99,0))*INDEX(EF!$H$100:$H$115,MATCH(Emissions!$D59,EF!$D$100:$D$115,0))*INDEX(EF!$H$116:$H$131,MATCH(Emissions!$D59,EF!$D$116:$D$131,0))*kgtoGg</f>
        <v>0.86027328639812406</v>
      </c>
      <c r="BA59" s="22">
        <f>INDEX('Activity data'!BA$24:BA$39,MATCH(Emissions!$D59,'Activity data'!$D$24:$D$39,0))*INDEX(EF!$H$84:$H$99,MATCH(Emissions!$D59,EF!$D$84:$D$99,0))*INDEX(EF!$H$100:$H$115,MATCH(Emissions!$D59,EF!$D$100:$D$115,0))*INDEX(EF!$H$116:$H$131,MATCH(Emissions!$D59,EF!$D$116:$D$131,0))*kgtoGg</f>
        <v>0.87594680222432952</v>
      </c>
      <c r="BB59" s="22">
        <f>INDEX('Activity data'!BB$24:BB$39,MATCH(Emissions!$D59,'Activity data'!$D$24:$D$39,0))*INDEX(EF!$H$84:$H$99,MATCH(Emissions!$D59,EF!$D$84:$D$99,0))*INDEX(EF!$H$100:$H$115,MATCH(Emissions!$D59,EF!$D$100:$D$115,0))*INDEX(EF!$H$116:$H$131,MATCH(Emissions!$D59,EF!$D$116:$D$131,0))*kgtoGg</f>
        <v>0.89162031805053521</v>
      </c>
      <c r="BC59" s="22">
        <f>INDEX('Activity data'!BC$24:BC$39,MATCH(Emissions!$D59,'Activity data'!$D$24:$D$39,0))*INDEX(EF!$H$84:$H$99,MATCH(Emissions!$D59,EF!$D$84:$D$99,0))*INDEX(EF!$H$100:$H$115,MATCH(Emissions!$D59,EF!$D$100:$D$115,0))*INDEX(EF!$H$116:$H$131,MATCH(Emissions!$D59,EF!$D$116:$D$131,0))*kgtoGg</f>
        <v>0.90729383387674067</v>
      </c>
      <c r="BD59" s="22">
        <f>INDEX('Activity data'!BD$24:BD$39,MATCH(Emissions!$D59,'Activity data'!$D$24:$D$39,0))*INDEX(EF!$H$84:$H$99,MATCH(Emissions!$D59,EF!$D$84:$D$99,0))*INDEX(EF!$H$100:$H$115,MATCH(Emissions!$D59,EF!$D$100:$D$115,0))*INDEX(EF!$H$116:$H$131,MATCH(Emissions!$D59,EF!$D$116:$D$131,0))*kgtoGg</f>
        <v>0.92296734970294614</v>
      </c>
      <c r="BE59" s="22">
        <f>INDEX('Activity data'!BE$24:BE$39,MATCH(Emissions!$D59,'Activity data'!$D$24:$D$39,0))*INDEX(EF!$H$84:$H$99,MATCH(Emissions!$D59,EF!$D$84:$D$99,0))*INDEX(EF!$H$100:$H$115,MATCH(Emissions!$D59,EF!$D$100:$D$115,0))*INDEX(EF!$H$116:$H$131,MATCH(Emissions!$D59,EF!$D$116:$D$131,0))*kgtoGg</f>
        <v>0.93864086552915194</v>
      </c>
      <c r="BF59" s="22">
        <f>INDEX('Activity data'!BF$24:BF$39,MATCH(Emissions!$D59,'Activity data'!$D$24:$D$39,0))*INDEX(EF!$H$84:$H$99,MATCH(Emissions!$D59,EF!$D$84:$D$99,0))*INDEX(EF!$H$100:$H$115,MATCH(Emissions!$D59,EF!$D$100:$D$115,0))*INDEX(EF!$H$116:$H$131,MATCH(Emissions!$D59,EF!$D$116:$D$131,0))*kgtoGg</f>
        <v>0.95431438135535729</v>
      </c>
      <c r="BG59" s="22">
        <f>INDEX('Activity data'!BG$24:BG$39,MATCH(Emissions!$D59,'Activity data'!$D$24:$D$39,0))*INDEX(EF!$H$84:$H$99,MATCH(Emissions!$D59,EF!$D$84:$D$99,0))*INDEX(EF!$H$100:$H$115,MATCH(Emissions!$D59,EF!$D$100:$D$115,0))*INDEX(EF!$H$116:$H$131,MATCH(Emissions!$D59,EF!$D$116:$D$131,0))*kgtoGg</f>
        <v>0.96998789718156264</v>
      </c>
      <c r="BH59" s="22">
        <f>INDEX('Activity data'!BH$24:BH$39,MATCH(Emissions!$D59,'Activity data'!$D$24:$D$39,0))*INDEX(EF!$H$84:$H$99,MATCH(Emissions!$D59,EF!$D$84:$D$99,0))*INDEX(EF!$H$100:$H$115,MATCH(Emissions!$D59,EF!$D$100:$D$115,0))*INDEX(EF!$H$116:$H$131,MATCH(Emissions!$D59,EF!$D$116:$D$131,0))*kgtoGg</f>
        <v>0.98566141300776822</v>
      </c>
      <c r="BI59" s="22">
        <f>INDEX('Activity data'!BI$24:BI$39,MATCH(Emissions!$D59,'Activity data'!$D$24:$D$39,0))*INDEX(EF!$H$84:$H$99,MATCH(Emissions!$D59,EF!$D$84:$D$99,0))*INDEX(EF!$H$100:$H$115,MATCH(Emissions!$D59,EF!$D$100:$D$115,0))*INDEX(EF!$H$116:$H$131,MATCH(Emissions!$D59,EF!$D$116:$D$131,0))*kgtoGg</f>
        <v>1.0013349288339739</v>
      </c>
      <c r="BJ59" s="22">
        <f>INDEX('Activity data'!BJ$24:BJ$39,MATCH(Emissions!$D59,'Activity data'!$D$24:$D$39,0))*INDEX(EF!$H$84:$H$99,MATCH(Emissions!$D59,EF!$D$84:$D$99,0))*INDEX(EF!$H$100:$H$115,MATCH(Emissions!$D59,EF!$D$100:$D$115,0))*INDEX(EF!$H$116:$H$131,MATCH(Emissions!$D59,EF!$D$116:$D$131,0))*kgtoGg</f>
        <v>1.0170084446601795</v>
      </c>
      <c r="BK59" s="22">
        <f>INDEX('Activity data'!BK$24:BK$39,MATCH(Emissions!$D59,'Activity data'!$D$24:$D$39,0))*INDEX(EF!$H$84:$H$99,MATCH(Emissions!$D59,EF!$D$84:$D$99,0))*INDEX(EF!$H$100:$H$115,MATCH(Emissions!$D59,EF!$D$100:$D$115,0))*INDEX(EF!$H$116:$H$131,MATCH(Emissions!$D59,EF!$D$116:$D$131,0))*kgtoGg</f>
        <v>1.0326819604863848</v>
      </c>
      <c r="BL59" s="22">
        <f>INDEX('Activity data'!BL$24:BL$39,MATCH(Emissions!$D59,'Activity data'!$D$24:$D$39,0))*INDEX(EF!$H$84:$H$99,MATCH(Emissions!$D59,EF!$D$84:$D$99,0))*INDEX(EF!$H$100:$H$115,MATCH(Emissions!$D59,EF!$D$100:$D$115,0))*INDEX(EF!$H$116:$H$131,MATCH(Emissions!$D59,EF!$D$116:$D$131,0))*kgtoGg</f>
        <v>1.0483554763125904</v>
      </c>
      <c r="BM59" s="22">
        <f>INDEX('Activity data'!BM$24:BM$39,MATCH(Emissions!$D59,'Activity data'!$D$24:$D$39,0))*INDEX(EF!$H$84:$H$99,MATCH(Emissions!$D59,EF!$D$84:$D$99,0))*INDEX(EF!$H$100:$H$115,MATCH(Emissions!$D59,EF!$D$100:$D$115,0))*INDEX(EF!$H$116:$H$131,MATCH(Emissions!$D59,EF!$D$116:$D$131,0))*kgtoGg</f>
        <v>1.0640289921387955</v>
      </c>
      <c r="BN59" s="22">
        <f>INDEX('Activity data'!BN$24:BN$39,MATCH(Emissions!$D59,'Activity data'!$D$24:$D$39,0))*INDEX(EF!$H$84:$H$99,MATCH(Emissions!$D59,EF!$D$84:$D$99,0))*INDEX(EF!$H$100:$H$115,MATCH(Emissions!$D59,EF!$D$100:$D$115,0))*INDEX(EF!$H$116:$H$131,MATCH(Emissions!$D59,EF!$D$116:$D$131,0))*kgtoGg</f>
        <v>1.0797025079650009</v>
      </c>
      <c r="BO59" s="22">
        <f>INDEX('Activity data'!BO$24:BO$39,MATCH(Emissions!$D59,'Activity data'!$D$24:$D$39,0))*INDEX(EF!$H$84:$H$99,MATCH(Emissions!$D59,EF!$D$84:$D$99,0))*INDEX(EF!$H$100:$H$115,MATCH(Emissions!$D59,EF!$D$100:$D$115,0))*INDEX(EF!$H$116:$H$131,MATCH(Emissions!$D59,EF!$D$116:$D$131,0))*kgtoGg</f>
        <v>1.0953760237912065</v>
      </c>
      <c r="BP59" s="22">
        <f>INDEX('Activity data'!BP$24:BP$39,MATCH(Emissions!$D59,'Activity data'!$D$24:$D$39,0))*INDEX(EF!$H$84:$H$99,MATCH(Emissions!$D59,EF!$D$84:$D$99,0))*INDEX(EF!$H$100:$H$115,MATCH(Emissions!$D59,EF!$D$100:$D$115,0))*INDEX(EF!$H$116:$H$131,MATCH(Emissions!$D59,EF!$D$116:$D$131,0))*kgtoGg</f>
        <v>1.111049539617412</v>
      </c>
    </row>
    <row r="60" spans="1:68" x14ac:dyDescent="0.25">
      <c r="A60" t="str">
        <f t="shared" si="13"/>
        <v>3C Aggregated and non-CO2 emissions on land</v>
      </c>
      <c r="B60" t="str">
        <f>B59</f>
        <v>3C1 Biomass burning (CH4)</v>
      </c>
      <c r="C60" t="str">
        <f t="shared" ref="C60:C62" si="18">C59</f>
        <v>3C1b Biomass burning in Croplands</v>
      </c>
      <c r="D60" t="str">
        <f>EF!D90</f>
        <v>Perennial orchards</v>
      </c>
      <c r="E60" t="s">
        <v>647</v>
      </c>
      <c r="F60" t="str">
        <f>F59</f>
        <v>CH4</v>
      </c>
      <c r="G60" t="str">
        <f>G59</f>
        <v>Gg CH4</v>
      </c>
      <c r="H60" s="22">
        <f>INDEX('Activity data'!H$24:H$39,MATCH(Emissions!$D60,'Activity data'!$D$24:$D$39,0))*INDEX(EF!$H$84:$H$99,MATCH(Emissions!$D60,EF!$D$84:$D$99,0))*INDEX(EF!$H$100:$H$115,MATCH(Emissions!$D60,EF!$D$100:$D$115,0))*INDEX(EF!$H$116:$H$131,MATCH(Emissions!$D60,EF!$D$116:$D$131,0))*kgtoGg</f>
        <v>5.1372667453257928E-2</v>
      </c>
      <c r="I60" s="22">
        <f>INDEX('Activity data'!I$24:I$39,MATCH(Emissions!$D60,'Activity data'!$D$24:$D$39,0))*INDEX(EF!$H$84:$H$99,MATCH(Emissions!$D60,EF!$D$84:$D$99,0))*INDEX(EF!$H$100:$H$115,MATCH(Emissions!$D60,EF!$D$100:$D$115,0))*INDEX(EF!$H$116:$H$131,MATCH(Emissions!$D60,EF!$D$116:$D$131,0))*kgtoGg</f>
        <v>5.1372667453257928E-2</v>
      </c>
      <c r="J60" s="22">
        <f>INDEX('Activity data'!J$24:J$39,MATCH(Emissions!$D60,'Activity data'!$D$24:$D$39,0))*INDEX(EF!$H$84:$H$99,MATCH(Emissions!$D60,EF!$D$84:$D$99,0))*INDEX(EF!$H$100:$H$115,MATCH(Emissions!$D60,EF!$D$100:$D$115,0))*INDEX(EF!$H$116:$H$131,MATCH(Emissions!$D60,EF!$D$116:$D$131,0))*kgtoGg</f>
        <v>5.1372667453257928E-2</v>
      </c>
      <c r="K60" s="22">
        <f>INDEX('Activity data'!K$24:K$39,MATCH(Emissions!$D60,'Activity data'!$D$24:$D$39,0))*INDEX(EF!$H$84:$H$99,MATCH(Emissions!$D60,EF!$D$84:$D$99,0))*INDEX(EF!$H$100:$H$115,MATCH(Emissions!$D60,EF!$D$100:$D$115,0))*INDEX(EF!$H$116:$H$131,MATCH(Emissions!$D60,EF!$D$116:$D$131,0))*kgtoGg</f>
        <v>5.1372667453257928E-2</v>
      </c>
      <c r="L60" s="22">
        <f>INDEX('Activity data'!L$24:L$39,MATCH(Emissions!$D60,'Activity data'!$D$24:$D$39,0))*INDEX(EF!$H$84:$H$99,MATCH(Emissions!$D60,EF!$D$84:$D$99,0))*INDEX(EF!$H$100:$H$115,MATCH(Emissions!$D60,EF!$D$100:$D$115,0))*INDEX(EF!$H$116:$H$131,MATCH(Emissions!$D60,EF!$D$116:$D$131,0))*kgtoGg</f>
        <v>5.1372667453257928E-2</v>
      </c>
      <c r="M60" s="22">
        <f>INDEX('Activity data'!M$24:M$39,MATCH(Emissions!$D60,'Activity data'!$D$24:$D$39,0))*INDEX(EF!$H$84:$H$99,MATCH(Emissions!$D60,EF!$D$84:$D$99,0))*INDEX(EF!$H$100:$H$115,MATCH(Emissions!$D60,EF!$D$100:$D$115,0))*INDEX(EF!$H$116:$H$131,MATCH(Emissions!$D60,EF!$D$116:$D$131,0))*kgtoGg</f>
        <v>5.1372667453257928E-2</v>
      </c>
      <c r="N60" s="22">
        <f>INDEX('Activity data'!N$24:N$39,MATCH(Emissions!$D60,'Activity data'!$D$24:$D$39,0))*INDEX(EF!$H$84:$H$99,MATCH(Emissions!$D60,EF!$D$84:$D$99,0))*INDEX(EF!$H$100:$H$115,MATCH(Emissions!$D60,EF!$D$100:$D$115,0))*INDEX(EF!$H$116:$H$131,MATCH(Emissions!$D60,EF!$D$116:$D$131,0))*kgtoGg</f>
        <v>5.1372667453257928E-2</v>
      </c>
      <c r="O60" s="22">
        <f>INDEX('Activity data'!O$24:O$39,MATCH(Emissions!$D60,'Activity data'!$D$24:$D$39,0))*INDEX(EF!$H$84:$H$99,MATCH(Emissions!$D60,EF!$D$84:$D$99,0))*INDEX(EF!$H$100:$H$115,MATCH(Emissions!$D60,EF!$D$100:$D$115,0))*INDEX(EF!$H$116:$H$131,MATCH(Emissions!$D60,EF!$D$116:$D$131,0))*kgtoGg</f>
        <v>5.1372667453257928E-2</v>
      </c>
      <c r="P60" s="22">
        <f>INDEX('Activity data'!P$24:P$39,MATCH(Emissions!$D60,'Activity data'!$D$24:$D$39,0))*INDEX(EF!$H$84:$H$99,MATCH(Emissions!$D60,EF!$D$84:$D$99,0))*INDEX(EF!$H$100:$H$115,MATCH(Emissions!$D60,EF!$D$100:$D$115,0))*INDEX(EF!$H$116:$H$131,MATCH(Emissions!$D60,EF!$D$116:$D$131,0))*kgtoGg</f>
        <v>5.1372667453257928E-2</v>
      </c>
      <c r="Q60" s="22">
        <f>INDEX('Activity data'!Q$24:Q$39,MATCH(Emissions!$D60,'Activity data'!$D$24:$D$39,0))*INDEX(EF!$H$84:$H$99,MATCH(Emissions!$D60,EF!$D$84:$D$99,0))*INDEX(EF!$H$100:$H$115,MATCH(Emissions!$D60,EF!$D$100:$D$115,0))*INDEX(EF!$H$116:$H$131,MATCH(Emissions!$D60,EF!$D$116:$D$131,0))*kgtoGg</f>
        <v>5.1372667453257928E-2</v>
      </c>
      <c r="R60" s="22">
        <f>INDEX('Activity data'!R$24:R$39,MATCH(Emissions!$D60,'Activity data'!$D$24:$D$39,0))*INDEX(EF!$H$84:$H$99,MATCH(Emissions!$D60,EF!$D$84:$D$99,0))*INDEX(EF!$H$100:$H$115,MATCH(Emissions!$D60,EF!$D$100:$D$115,0))*INDEX(EF!$H$116:$H$131,MATCH(Emissions!$D60,EF!$D$116:$D$131,0))*kgtoGg</f>
        <v>3.9249066814882973E-2</v>
      </c>
      <c r="S60" s="22">
        <f>INDEX('Activity data'!S$24:S$39,MATCH(Emissions!$D60,'Activity data'!$D$24:$D$39,0))*INDEX(EF!$H$84:$H$99,MATCH(Emissions!$D60,EF!$D$84:$D$99,0))*INDEX(EF!$H$100:$H$115,MATCH(Emissions!$D60,EF!$D$100:$D$115,0))*INDEX(EF!$H$116:$H$131,MATCH(Emissions!$D60,EF!$D$116:$D$131,0))*kgtoGg</f>
        <v>7.5445428433052811E-2</v>
      </c>
      <c r="T60" s="22">
        <f>INDEX('Activity data'!T$24:T$39,MATCH(Emissions!$D60,'Activity data'!$D$24:$D$39,0))*INDEX(EF!$H$84:$H$99,MATCH(Emissions!$D60,EF!$D$84:$D$99,0))*INDEX(EF!$H$100:$H$115,MATCH(Emissions!$D60,EF!$D$100:$D$115,0))*INDEX(EF!$H$116:$H$131,MATCH(Emissions!$D60,EF!$D$116:$D$131,0))*kgtoGg</f>
        <v>5.494869354083616E-2</v>
      </c>
      <c r="U60" s="22">
        <f>INDEX('Activity data'!U$24:U$39,MATCH(Emissions!$D60,'Activity data'!$D$24:$D$39,0))*INDEX(EF!$H$84:$H$99,MATCH(Emissions!$D60,EF!$D$84:$D$99,0))*INDEX(EF!$H$100:$H$115,MATCH(Emissions!$D60,EF!$D$100:$D$115,0))*INDEX(EF!$H$116:$H$131,MATCH(Emissions!$D60,EF!$D$116:$D$131,0))*kgtoGg</f>
        <v>5.6256995767998919E-2</v>
      </c>
      <c r="V60" s="22">
        <f>INDEX('Activity data'!V$24:V$39,MATCH(Emissions!$D60,'Activity data'!$D$24:$D$39,0))*INDEX(EF!$H$84:$H$99,MATCH(Emissions!$D60,EF!$D$84:$D$99,0))*INDEX(EF!$H$100:$H$115,MATCH(Emissions!$D60,EF!$D$100:$D$115,0))*INDEX(EF!$H$116:$H$131,MATCH(Emissions!$D60,EF!$D$116:$D$131,0))*kgtoGg</f>
        <v>3.0963152709518785E-2</v>
      </c>
      <c r="W60" s="22">
        <f>INDEX('Activity data'!W$24:W$39,MATCH(Emissions!$D60,'Activity data'!$D$24:$D$39,0))*INDEX(EF!$H$84:$H$99,MATCH(Emissions!$D60,EF!$D$84:$D$99,0))*INDEX(EF!$H$100:$H$115,MATCH(Emissions!$D60,EF!$D$100:$D$115,0))*INDEX(EF!$H$116:$H$131,MATCH(Emissions!$D60,EF!$D$116:$D$131,0))*kgtoGg</f>
        <v>6.977611878201416E-2</v>
      </c>
      <c r="X60" s="22">
        <f>INDEX('Activity data'!X$24:X$39,MATCH(Emissions!$D60,'Activity data'!$D$24:$D$39,0))*INDEX(EF!$H$84:$H$99,MATCH(Emissions!$D60,EF!$D$84:$D$99,0))*INDEX(EF!$H$100:$H$115,MATCH(Emissions!$D60,EF!$D$100:$D$115,0))*INDEX(EF!$H$116:$H$131,MATCH(Emissions!$D60,EF!$D$116:$D$131,0))*kgtoGg</f>
        <v>4.8407182405022328E-2</v>
      </c>
      <c r="Y60" s="22">
        <f>INDEX('Activity data'!Y$24:Y$39,MATCH(Emissions!$D60,'Activity data'!$D$24:$D$39,0))*INDEX(EF!$H$84:$H$99,MATCH(Emissions!$D60,EF!$D$84:$D$99,0))*INDEX(EF!$H$100:$H$115,MATCH(Emissions!$D60,EF!$D$100:$D$115,0))*INDEX(EF!$H$116:$H$131,MATCH(Emissions!$D60,EF!$D$116:$D$131,0))*kgtoGg</f>
        <v>8.4167443280804582E-2</v>
      </c>
      <c r="Z60" s="22">
        <f>INDEX('Activity data'!Z$24:Z$39,MATCH(Emissions!$D60,'Activity data'!$D$24:$D$39,0))*INDEX(EF!$H$84:$H$99,MATCH(Emissions!$D60,EF!$D$84:$D$99,0))*INDEX(EF!$H$100:$H$115,MATCH(Emissions!$D60,EF!$D$100:$D$115,0))*INDEX(EF!$H$116:$H$131,MATCH(Emissions!$D60,EF!$D$116:$D$131,0))*kgtoGg</f>
        <v>0.10728078262734679</v>
      </c>
      <c r="AA60" s="22">
        <f>INDEX('Activity data'!AA$24:AA$39,MATCH(Emissions!$D60,'Activity data'!$D$24:$D$39,0))*INDEX(EF!$H$84:$H$99,MATCH(Emissions!$D60,EF!$D$84:$D$99,0))*INDEX(EF!$H$100:$H$115,MATCH(Emissions!$D60,EF!$D$100:$D$115,0))*INDEX(EF!$H$116:$H$131,MATCH(Emissions!$D60,EF!$D$116:$D$131,0))*kgtoGg</f>
        <v>4.5790577950696791E-2</v>
      </c>
      <c r="AB60" s="22">
        <f>INDEX('Activity data'!AB$24:AB$39,MATCH(Emissions!$D60,'Activity data'!$D$24:$D$39,0))*INDEX(EF!$H$84:$H$99,MATCH(Emissions!$D60,EF!$D$84:$D$99,0))*INDEX(EF!$H$100:$H$115,MATCH(Emissions!$D60,EF!$D$100:$D$115,0))*INDEX(EF!$H$116:$H$131,MATCH(Emissions!$D60,EF!$D$116:$D$131,0))*kgtoGg</f>
        <v>7.6968548999999997E-2</v>
      </c>
      <c r="AC60" s="22">
        <f>INDEX('Activity data'!AC$24:AC$39,MATCH(Emissions!$D60,'Activity data'!$D$24:$D$39,0))*INDEX(EF!$H$84:$H$99,MATCH(Emissions!$D60,EF!$D$84:$D$99,0))*INDEX(EF!$H$100:$H$115,MATCH(Emissions!$D60,EF!$D$100:$D$115,0))*INDEX(EF!$H$116:$H$131,MATCH(Emissions!$D60,EF!$D$116:$D$131,0))*kgtoGg</f>
        <v>5.8869908999999998E-2</v>
      </c>
      <c r="AD60" s="22">
        <f>INDEX('Activity data'!AD$24:AD$39,MATCH(Emissions!$D60,'Activity data'!$D$24:$D$39,0))*INDEX(EF!$H$84:$H$99,MATCH(Emissions!$D60,EF!$D$84:$D$99,0))*INDEX(EF!$H$100:$H$115,MATCH(Emissions!$D60,EF!$D$100:$D$115,0))*INDEX(EF!$H$116:$H$131,MATCH(Emissions!$D60,EF!$D$116:$D$131,0))*kgtoGg</f>
        <v>6.1007970305663753E-2</v>
      </c>
      <c r="AE60" s="22">
        <f>INDEX('Activity data'!AE$24:AE$39,MATCH(Emissions!$D60,'Activity data'!$D$24:$D$39,0))*INDEX(EF!$H$84:$H$99,MATCH(Emissions!$D60,EF!$D$84:$D$99,0))*INDEX(EF!$H$100:$H$115,MATCH(Emissions!$D60,EF!$D$100:$D$115,0))*INDEX(EF!$H$116:$H$131,MATCH(Emissions!$D60,EF!$D$116:$D$131,0))*kgtoGg</f>
        <v>6.1529004605947853E-2</v>
      </c>
      <c r="AF60" s="22">
        <f>INDEX('Activity data'!AF$24:AF$39,MATCH(Emissions!$D60,'Activity data'!$D$24:$D$39,0))*INDEX(EF!$H$84:$H$99,MATCH(Emissions!$D60,EF!$D$84:$D$99,0))*INDEX(EF!$H$100:$H$115,MATCH(Emissions!$D60,EF!$D$100:$D$115,0))*INDEX(EF!$H$116:$H$131,MATCH(Emissions!$D60,EF!$D$116:$D$131,0))*kgtoGg</f>
        <v>6.2050038906231952E-2</v>
      </c>
      <c r="AG60" s="22">
        <f>INDEX('Activity data'!AG$24:AG$39,MATCH(Emissions!$D60,'Activity data'!$D$24:$D$39,0))*INDEX(EF!$H$84:$H$99,MATCH(Emissions!$D60,EF!$D$84:$D$99,0))*INDEX(EF!$H$100:$H$115,MATCH(Emissions!$D60,EF!$D$100:$D$115,0))*INDEX(EF!$H$116:$H$131,MATCH(Emissions!$D60,EF!$D$116:$D$131,0))*kgtoGg</f>
        <v>6.2571073206516031E-2</v>
      </c>
      <c r="AH60" s="22">
        <f>INDEX('Activity data'!AH$24:AH$39,MATCH(Emissions!$D60,'Activity data'!$D$24:$D$39,0))*INDEX(EF!$H$84:$H$99,MATCH(Emissions!$D60,EF!$D$84:$D$99,0))*INDEX(EF!$H$100:$H$115,MATCH(Emissions!$D60,EF!$D$100:$D$115,0))*INDEX(EF!$H$116:$H$131,MATCH(Emissions!$D60,EF!$D$116:$D$131,0))*kgtoGg</f>
        <v>6.3092107506800124E-2</v>
      </c>
      <c r="AI60" s="22">
        <f>INDEX('Activity data'!AI$24:AI$39,MATCH(Emissions!$D60,'Activity data'!$D$24:$D$39,0))*INDEX(EF!$H$84:$H$99,MATCH(Emissions!$D60,EF!$D$84:$D$99,0))*INDEX(EF!$H$100:$H$115,MATCH(Emissions!$D60,EF!$D$100:$D$115,0))*INDEX(EF!$H$116:$H$131,MATCH(Emissions!$D60,EF!$D$116:$D$131,0))*kgtoGg</f>
        <v>6.3613141807084217E-2</v>
      </c>
      <c r="AJ60" s="22">
        <f>INDEX('Activity data'!AJ$24:AJ$39,MATCH(Emissions!$D60,'Activity data'!$D$24:$D$39,0))*INDEX(EF!$H$84:$H$99,MATCH(Emissions!$D60,EF!$D$84:$D$99,0))*INDEX(EF!$H$100:$H$115,MATCH(Emissions!$D60,EF!$D$100:$D$115,0))*INDEX(EF!$H$116:$H$131,MATCH(Emissions!$D60,EF!$D$116:$D$131,0))*kgtoGg</f>
        <v>6.413417610736831E-2</v>
      </c>
      <c r="AK60" s="22">
        <f>INDEX('Activity data'!AK$24:AK$39,MATCH(Emissions!$D60,'Activity data'!$D$24:$D$39,0))*INDEX(EF!$H$84:$H$99,MATCH(Emissions!$D60,EF!$D$84:$D$99,0))*INDEX(EF!$H$100:$H$115,MATCH(Emissions!$D60,EF!$D$100:$D$115,0))*INDEX(EF!$H$116:$H$131,MATCH(Emissions!$D60,EF!$D$116:$D$131,0))*kgtoGg</f>
        <v>6.4655210407652403E-2</v>
      </c>
      <c r="AL60" s="22">
        <f>INDEX('Activity data'!AL$24:AL$39,MATCH(Emissions!$D60,'Activity data'!$D$24:$D$39,0))*INDEX(EF!$H$84:$H$99,MATCH(Emissions!$D60,EF!$D$84:$D$99,0))*INDEX(EF!$H$100:$H$115,MATCH(Emissions!$D60,EF!$D$100:$D$115,0))*INDEX(EF!$H$116:$H$131,MATCH(Emissions!$D60,EF!$D$116:$D$131,0))*kgtoGg</f>
        <v>6.5176244707936495E-2</v>
      </c>
      <c r="AM60" s="22">
        <f>INDEX('Activity data'!AM$24:AM$39,MATCH(Emissions!$D60,'Activity data'!$D$24:$D$39,0))*INDEX(EF!$H$84:$H$99,MATCH(Emissions!$D60,EF!$D$84:$D$99,0))*INDEX(EF!$H$100:$H$115,MATCH(Emissions!$D60,EF!$D$100:$D$115,0))*INDEX(EF!$H$116:$H$131,MATCH(Emissions!$D60,EF!$D$116:$D$131,0))*kgtoGg</f>
        <v>6.5697279008220588E-2</v>
      </c>
      <c r="AN60" s="22">
        <f>INDEX('Activity data'!AN$24:AN$39,MATCH(Emissions!$D60,'Activity data'!$D$24:$D$39,0))*INDEX(EF!$H$84:$H$99,MATCH(Emissions!$D60,EF!$D$84:$D$99,0))*INDEX(EF!$H$100:$H$115,MATCH(Emissions!$D60,EF!$D$100:$D$115,0))*INDEX(EF!$H$116:$H$131,MATCH(Emissions!$D60,EF!$D$116:$D$131,0))*kgtoGg</f>
        <v>6.6218313308504667E-2</v>
      </c>
      <c r="AO60" s="22">
        <f>INDEX('Activity data'!AO$24:AO$39,MATCH(Emissions!$D60,'Activity data'!$D$24:$D$39,0))*INDEX(EF!$H$84:$H$99,MATCH(Emissions!$D60,EF!$D$84:$D$99,0))*INDEX(EF!$H$100:$H$115,MATCH(Emissions!$D60,EF!$D$100:$D$115,0))*INDEX(EF!$H$116:$H$131,MATCH(Emissions!$D60,EF!$D$116:$D$131,0))*kgtoGg</f>
        <v>6.673934760878876E-2</v>
      </c>
      <c r="AP60" s="22">
        <f>INDEX('Activity data'!AP$24:AP$39,MATCH(Emissions!$D60,'Activity data'!$D$24:$D$39,0))*INDEX(EF!$H$84:$H$99,MATCH(Emissions!$D60,EF!$D$84:$D$99,0))*INDEX(EF!$H$100:$H$115,MATCH(Emissions!$D60,EF!$D$100:$D$115,0))*INDEX(EF!$H$116:$H$131,MATCH(Emissions!$D60,EF!$D$116:$D$131,0))*kgtoGg</f>
        <v>6.7260381909072867E-2</v>
      </c>
      <c r="AQ60" s="22">
        <f>INDEX('Activity data'!AQ$24:AQ$39,MATCH(Emissions!$D60,'Activity data'!$D$24:$D$39,0))*INDEX(EF!$H$84:$H$99,MATCH(Emissions!$D60,EF!$D$84:$D$99,0))*INDEX(EF!$H$100:$H$115,MATCH(Emissions!$D60,EF!$D$100:$D$115,0))*INDEX(EF!$H$116:$H$131,MATCH(Emissions!$D60,EF!$D$116:$D$131,0))*kgtoGg</f>
        <v>6.7781416209356946E-2</v>
      </c>
      <c r="AR60" s="22">
        <f>INDEX('Activity data'!AR$24:AR$39,MATCH(Emissions!$D60,'Activity data'!$D$24:$D$39,0))*INDEX(EF!$H$84:$H$99,MATCH(Emissions!$D60,EF!$D$84:$D$99,0))*INDEX(EF!$H$100:$H$115,MATCH(Emissions!$D60,EF!$D$100:$D$115,0))*INDEX(EF!$H$116:$H$131,MATCH(Emissions!$D60,EF!$D$116:$D$131,0))*kgtoGg</f>
        <v>6.8302450509641038E-2</v>
      </c>
      <c r="AS60" s="22">
        <f>INDEX('Activity data'!AS$24:AS$39,MATCH(Emissions!$D60,'Activity data'!$D$24:$D$39,0))*INDEX(EF!$H$84:$H$99,MATCH(Emissions!$D60,EF!$D$84:$D$99,0))*INDEX(EF!$H$100:$H$115,MATCH(Emissions!$D60,EF!$D$100:$D$115,0))*INDEX(EF!$H$116:$H$131,MATCH(Emissions!$D60,EF!$D$116:$D$131,0))*kgtoGg</f>
        <v>6.8823484809925117E-2</v>
      </c>
      <c r="AT60" s="22">
        <f>INDEX('Activity data'!AT$24:AT$39,MATCH(Emissions!$D60,'Activity data'!$D$24:$D$39,0))*INDEX(EF!$H$84:$H$99,MATCH(Emissions!$D60,EF!$D$84:$D$99,0))*INDEX(EF!$H$100:$H$115,MATCH(Emissions!$D60,EF!$D$100:$D$115,0))*INDEX(EF!$H$116:$H$131,MATCH(Emissions!$D60,EF!$D$116:$D$131,0))*kgtoGg</f>
        <v>6.9344519110209224E-2</v>
      </c>
      <c r="AU60" s="22">
        <f>INDEX('Activity data'!AU$24:AU$39,MATCH(Emissions!$D60,'Activity data'!$D$24:$D$39,0))*INDEX(EF!$H$84:$H$99,MATCH(Emissions!$D60,EF!$D$84:$D$99,0))*INDEX(EF!$H$100:$H$115,MATCH(Emissions!$D60,EF!$D$100:$D$115,0))*INDEX(EF!$H$116:$H$131,MATCH(Emissions!$D60,EF!$D$116:$D$131,0))*kgtoGg</f>
        <v>6.9865553410493303E-2</v>
      </c>
      <c r="AV60" s="22">
        <f>INDEX('Activity data'!AV$24:AV$39,MATCH(Emissions!$D60,'Activity data'!$D$24:$D$39,0))*INDEX(EF!$H$84:$H$99,MATCH(Emissions!$D60,EF!$D$84:$D$99,0))*INDEX(EF!$H$100:$H$115,MATCH(Emissions!$D60,EF!$D$100:$D$115,0))*INDEX(EF!$H$116:$H$131,MATCH(Emissions!$D60,EF!$D$116:$D$131,0))*kgtoGg</f>
        <v>7.038658771077741E-2</v>
      </c>
      <c r="AW60" s="22">
        <f>INDEX('Activity data'!AW$24:AW$39,MATCH(Emissions!$D60,'Activity data'!$D$24:$D$39,0))*INDEX(EF!$H$84:$H$99,MATCH(Emissions!$D60,EF!$D$84:$D$99,0))*INDEX(EF!$H$100:$H$115,MATCH(Emissions!$D60,EF!$D$100:$D$115,0))*INDEX(EF!$H$116:$H$131,MATCH(Emissions!$D60,EF!$D$116:$D$131,0))*kgtoGg</f>
        <v>7.0907622011061489E-2</v>
      </c>
      <c r="AX60" s="22">
        <f>INDEX('Activity data'!AX$24:AX$39,MATCH(Emissions!$D60,'Activity data'!$D$24:$D$39,0))*INDEX(EF!$H$84:$H$99,MATCH(Emissions!$D60,EF!$D$84:$D$99,0))*INDEX(EF!$H$100:$H$115,MATCH(Emissions!$D60,EF!$D$100:$D$115,0))*INDEX(EF!$H$116:$H$131,MATCH(Emissions!$D60,EF!$D$116:$D$131,0))*kgtoGg</f>
        <v>7.1428656311345595E-2</v>
      </c>
      <c r="AY60" s="22">
        <f>INDEX('Activity data'!AY$24:AY$39,MATCH(Emissions!$D60,'Activity data'!$D$24:$D$39,0))*INDEX(EF!$H$84:$H$99,MATCH(Emissions!$D60,EF!$D$84:$D$99,0))*INDEX(EF!$H$100:$H$115,MATCH(Emissions!$D60,EF!$D$100:$D$115,0))*INDEX(EF!$H$116:$H$131,MATCH(Emissions!$D60,EF!$D$116:$D$131,0))*kgtoGg</f>
        <v>7.1949690611629674E-2</v>
      </c>
      <c r="AZ60" s="22">
        <f>INDEX('Activity data'!AZ$24:AZ$39,MATCH(Emissions!$D60,'Activity data'!$D$24:$D$39,0))*INDEX(EF!$H$84:$H$99,MATCH(Emissions!$D60,EF!$D$84:$D$99,0))*INDEX(EF!$H$100:$H$115,MATCH(Emissions!$D60,EF!$D$100:$D$115,0))*INDEX(EF!$H$116:$H$131,MATCH(Emissions!$D60,EF!$D$116:$D$131,0))*kgtoGg</f>
        <v>7.2470724911913767E-2</v>
      </c>
      <c r="BA60" s="22">
        <f>INDEX('Activity data'!BA$24:BA$39,MATCH(Emissions!$D60,'Activity data'!$D$24:$D$39,0))*INDEX(EF!$H$84:$H$99,MATCH(Emissions!$D60,EF!$D$84:$D$99,0))*INDEX(EF!$H$100:$H$115,MATCH(Emissions!$D60,EF!$D$100:$D$115,0))*INDEX(EF!$H$116:$H$131,MATCH(Emissions!$D60,EF!$D$116:$D$131,0))*kgtoGg</f>
        <v>7.2991759212197846E-2</v>
      </c>
      <c r="BB60" s="22">
        <f>INDEX('Activity data'!BB$24:BB$39,MATCH(Emissions!$D60,'Activity data'!$D$24:$D$39,0))*INDEX(EF!$H$84:$H$99,MATCH(Emissions!$D60,EF!$D$84:$D$99,0))*INDEX(EF!$H$100:$H$115,MATCH(Emissions!$D60,EF!$D$100:$D$115,0))*INDEX(EF!$H$116:$H$131,MATCH(Emissions!$D60,EF!$D$116:$D$131,0))*kgtoGg</f>
        <v>7.3512793512481966E-2</v>
      </c>
      <c r="BC60" s="22">
        <f>INDEX('Activity data'!BC$24:BC$39,MATCH(Emissions!$D60,'Activity data'!$D$24:$D$39,0))*INDEX(EF!$H$84:$H$99,MATCH(Emissions!$D60,EF!$D$84:$D$99,0))*INDEX(EF!$H$100:$H$115,MATCH(Emissions!$D60,EF!$D$100:$D$115,0))*INDEX(EF!$H$116:$H$131,MATCH(Emissions!$D60,EF!$D$116:$D$131,0))*kgtoGg</f>
        <v>7.4033827812766045E-2</v>
      </c>
      <c r="BD60" s="22">
        <f>INDEX('Activity data'!BD$24:BD$39,MATCH(Emissions!$D60,'Activity data'!$D$24:$D$39,0))*INDEX(EF!$H$84:$H$99,MATCH(Emissions!$D60,EF!$D$84:$D$99,0))*INDEX(EF!$H$100:$H$115,MATCH(Emissions!$D60,EF!$D$100:$D$115,0))*INDEX(EF!$H$116:$H$131,MATCH(Emissions!$D60,EF!$D$116:$D$131,0))*kgtoGg</f>
        <v>7.4554862113050138E-2</v>
      </c>
      <c r="BE60" s="22">
        <f>INDEX('Activity data'!BE$24:BE$39,MATCH(Emissions!$D60,'Activity data'!$D$24:$D$39,0))*INDEX(EF!$H$84:$H$99,MATCH(Emissions!$D60,EF!$D$84:$D$99,0))*INDEX(EF!$H$100:$H$115,MATCH(Emissions!$D60,EF!$D$100:$D$115,0))*INDEX(EF!$H$116:$H$131,MATCH(Emissions!$D60,EF!$D$116:$D$131,0))*kgtoGg</f>
        <v>7.5075896413334217E-2</v>
      </c>
      <c r="BF60" s="22">
        <f>INDEX('Activity data'!BF$24:BF$39,MATCH(Emissions!$D60,'Activity data'!$D$24:$D$39,0))*INDEX(EF!$H$84:$H$99,MATCH(Emissions!$D60,EF!$D$84:$D$99,0))*INDEX(EF!$H$100:$H$115,MATCH(Emissions!$D60,EF!$D$100:$D$115,0))*INDEX(EF!$H$116:$H$131,MATCH(Emissions!$D60,EF!$D$116:$D$131,0))*kgtoGg</f>
        <v>7.5596930713618296E-2</v>
      </c>
      <c r="BG60" s="22">
        <f>INDEX('Activity data'!BG$24:BG$39,MATCH(Emissions!$D60,'Activity data'!$D$24:$D$39,0))*INDEX(EF!$H$84:$H$99,MATCH(Emissions!$D60,EF!$D$84:$D$99,0))*INDEX(EF!$H$100:$H$115,MATCH(Emissions!$D60,EF!$D$100:$D$115,0))*INDEX(EF!$H$116:$H$131,MATCH(Emissions!$D60,EF!$D$116:$D$131,0))*kgtoGg</f>
        <v>7.6117965013902403E-2</v>
      </c>
      <c r="BH60" s="22">
        <f>INDEX('Activity data'!BH$24:BH$39,MATCH(Emissions!$D60,'Activity data'!$D$24:$D$39,0))*INDEX(EF!$H$84:$H$99,MATCH(Emissions!$D60,EF!$D$84:$D$99,0))*INDEX(EF!$H$100:$H$115,MATCH(Emissions!$D60,EF!$D$100:$D$115,0))*INDEX(EF!$H$116:$H$131,MATCH(Emissions!$D60,EF!$D$116:$D$131,0))*kgtoGg</f>
        <v>7.6638999314186496E-2</v>
      </c>
      <c r="BI60" s="22">
        <f>INDEX('Activity data'!BI$24:BI$39,MATCH(Emissions!$D60,'Activity data'!$D$24:$D$39,0))*INDEX(EF!$H$84:$H$99,MATCH(Emissions!$D60,EF!$D$84:$D$99,0))*INDEX(EF!$H$100:$H$115,MATCH(Emissions!$D60,EF!$D$100:$D$115,0))*INDEX(EF!$H$116:$H$131,MATCH(Emissions!$D60,EF!$D$116:$D$131,0))*kgtoGg</f>
        <v>7.7160033614470575E-2</v>
      </c>
      <c r="BJ60" s="22">
        <f>INDEX('Activity data'!BJ$24:BJ$39,MATCH(Emissions!$D60,'Activity data'!$D$24:$D$39,0))*INDEX(EF!$H$84:$H$99,MATCH(Emissions!$D60,EF!$D$84:$D$99,0))*INDEX(EF!$H$100:$H$115,MATCH(Emissions!$D60,EF!$D$100:$D$115,0))*INDEX(EF!$H$116:$H$131,MATCH(Emissions!$D60,EF!$D$116:$D$131,0))*kgtoGg</f>
        <v>7.7681067914754681E-2</v>
      </c>
      <c r="BK60" s="22">
        <f>INDEX('Activity data'!BK$24:BK$39,MATCH(Emissions!$D60,'Activity data'!$D$24:$D$39,0))*INDEX(EF!$H$84:$H$99,MATCH(Emissions!$D60,EF!$D$84:$D$99,0))*INDEX(EF!$H$100:$H$115,MATCH(Emissions!$D60,EF!$D$100:$D$115,0))*INDEX(EF!$H$116:$H$131,MATCH(Emissions!$D60,EF!$D$116:$D$131,0))*kgtoGg</f>
        <v>7.8202102215038774E-2</v>
      </c>
      <c r="BL60" s="22">
        <f>INDEX('Activity data'!BL$24:BL$39,MATCH(Emissions!$D60,'Activity data'!$D$24:$D$39,0))*INDEX(EF!$H$84:$H$99,MATCH(Emissions!$D60,EF!$D$84:$D$99,0))*INDEX(EF!$H$100:$H$115,MATCH(Emissions!$D60,EF!$D$100:$D$115,0))*INDEX(EF!$H$116:$H$131,MATCH(Emissions!$D60,EF!$D$116:$D$131,0))*kgtoGg</f>
        <v>7.8723136515322853E-2</v>
      </c>
      <c r="BM60" s="22">
        <f>INDEX('Activity data'!BM$24:BM$39,MATCH(Emissions!$D60,'Activity data'!$D$24:$D$39,0))*INDEX(EF!$H$84:$H$99,MATCH(Emissions!$D60,EF!$D$84:$D$99,0))*INDEX(EF!$H$100:$H$115,MATCH(Emissions!$D60,EF!$D$100:$D$115,0))*INDEX(EF!$H$116:$H$131,MATCH(Emissions!$D60,EF!$D$116:$D$131,0))*kgtoGg</f>
        <v>7.9244170815606946E-2</v>
      </c>
      <c r="BN60" s="22">
        <f>INDEX('Activity data'!BN$24:BN$39,MATCH(Emissions!$D60,'Activity data'!$D$24:$D$39,0))*INDEX(EF!$H$84:$H$99,MATCH(Emissions!$D60,EF!$D$84:$D$99,0))*INDEX(EF!$H$100:$H$115,MATCH(Emissions!$D60,EF!$D$100:$D$115,0))*INDEX(EF!$H$116:$H$131,MATCH(Emissions!$D60,EF!$D$116:$D$131,0))*kgtoGg</f>
        <v>7.9765205115891025E-2</v>
      </c>
      <c r="BO60" s="22">
        <f>INDEX('Activity data'!BO$24:BO$39,MATCH(Emissions!$D60,'Activity data'!$D$24:$D$39,0))*INDEX(EF!$H$84:$H$99,MATCH(Emissions!$D60,EF!$D$84:$D$99,0))*INDEX(EF!$H$100:$H$115,MATCH(Emissions!$D60,EF!$D$100:$D$115,0))*INDEX(EF!$H$116:$H$131,MATCH(Emissions!$D60,EF!$D$116:$D$131,0))*kgtoGg</f>
        <v>8.0286239416175145E-2</v>
      </c>
      <c r="BP60" s="22">
        <f>INDEX('Activity data'!BP$24:BP$39,MATCH(Emissions!$D60,'Activity data'!$D$24:$D$39,0))*INDEX(EF!$H$84:$H$99,MATCH(Emissions!$D60,EF!$D$84:$D$99,0))*INDEX(EF!$H$100:$H$115,MATCH(Emissions!$D60,EF!$D$100:$D$115,0))*INDEX(EF!$H$116:$H$131,MATCH(Emissions!$D60,EF!$D$116:$D$131,0))*kgtoGg</f>
        <v>8.0807273716459224E-2</v>
      </c>
    </row>
    <row r="61" spans="1:68" x14ac:dyDescent="0.25">
      <c r="A61" t="str">
        <f t="shared" ref="A61:A85" si="19">A60</f>
        <v>3C Aggregated and non-CO2 emissions on land</v>
      </c>
      <c r="B61" t="str">
        <f t="shared" ref="B61:B69" si="20">B60</f>
        <v>3C1 Biomass burning (CH4)</v>
      </c>
      <c r="C61" t="str">
        <f t="shared" si="18"/>
        <v>3C1b Biomass burning in Croplands</v>
      </c>
      <c r="D61" t="str">
        <f>EF!D91</f>
        <v>Perennial vineyards</v>
      </c>
      <c r="E61" t="s">
        <v>648</v>
      </c>
      <c r="F61" t="str">
        <f>F60</f>
        <v>CH4</v>
      </c>
      <c r="G61" t="str">
        <f>G60</f>
        <v>Gg CH4</v>
      </c>
      <c r="H61" s="22">
        <f>INDEX('Activity data'!H$24:H$39,MATCH(Emissions!$D61,'Activity data'!$D$24:$D$39,0))*INDEX(EF!$H$84:$H$99,MATCH(Emissions!$D61,EF!$D$84:$D$99,0))*INDEX(EF!$H$100:$H$115,MATCH(Emissions!$D61,EF!$D$100:$D$115,0))*INDEX(EF!$H$116:$H$131,MATCH(Emissions!$D61,EF!$D$116:$D$131,0))*kgtoGg</f>
        <v>1.2298040935329995E-2</v>
      </c>
      <c r="I61" s="22">
        <f>INDEX('Activity data'!I$24:I$39,MATCH(Emissions!$D61,'Activity data'!$D$24:$D$39,0))*INDEX(EF!$H$84:$H$99,MATCH(Emissions!$D61,EF!$D$84:$D$99,0))*INDEX(EF!$H$100:$H$115,MATCH(Emissions!$D61,EF!$D$100:$D$115,0))*INDEX(EF!$H$116:$H$131,MATCH(Emissions!$D61,EF!$D$116:$D$131,0))*kgtoGg</f>
        <v>1.2298040935329995E-2</v>
      </c>
      <c r="J61" s="22">
        <f>INDEX('Activity data'!J$24:J$39,MATCH(Emissions!$D61,'Activity data'!$D$24:$D$39,0))*INDEX(EF!$H$84:$H$99,MATCH(Emissions!$D61,EF!$D$84:$D$99,0))*INDEX(EF!$H$100:$H$115,MATCH(Emissions!$D61,EF!$D$100:$D$115,0))*INDEX(EF!$H$116:$H$131,MATCH(Emissions!$D61,EF!$D$116:$D$131,0))*kgtoGg</f>
        <v>1.2298040935329995E-2</v>
      </c>
      <c r="K61" s="22">
        <f>INDEX('Activity data'!K$24:K$39,MATCH(Emissions!$D61,'Activity data'!$D$24:$D$39,0))*INDEX(EF!$H$84:$H$99,MATCH(Emissions!$D61,EF!$D$84:$D$99,0))*INDEX(EF!$H$100:$H$115,MATCH(Emissions!$D61,EF!$D$100:$D$115,0))*INDEX(EF!$H$116:$H$131,MATCH(Emissions!$D61,EF!$D$116:$D$131,0))*kgtoGg</f>
        <v>1.2298040935329995E-2</v>
      </c>
      <c r="L61" s="22">
        <f>INDEX('Activity data'!L$24:L$39,MATCH(Emissions!$D61,'Activity data'!$D$24:$D$39,0))*INDEX(EF!$H$84:$H$99,MATCH(Emissions!$D61,EF!$D$84:$D$99,0))*INDEX(EF!$H$100:$H$115,MATCH(Emissions!$D61,EF!$D$100:$D$115,0))*INDEX(EF!$H$116:$H$131,MATCH(Emissions!$D61,EF!$D$116:$D$131,0))*kgtoGg</f>
        <v>1.2298040935329995E-2</v>
      </c>
      <c r="M61" s="22">
        <f>INDEX('Activity data'!M$24:M$39,MATCH(Emissions!$D61,'Activity data'!$D$24:$D$39,0))*INDEX(EF!$H$84:$H$99,MATCH(Emissions!$D61,EF!$D$84:$D$99,0))*INDEX(EF!$H$100:$H$115,MATCH(Emissions!$D61,EF!$D$100:$D$115,0))*INDEX(EF!$H$116:$H$131,MATCH(Emissions!$D61,EF!$D$116:$D$131,0))*kgtoGg</f>
        <v>1.2298040935329995E-2</v>
      </c>
      <c r="N61" s="22">
        <f>INDEX('Activity data'!N$24:N$39,MATCH(Emissions!$D61,'Activity data'!$D$24:$D$39,0))*INDEX(EF!$H$84:$H$99,MATCH(Emissions!$D61,EF!$D$84:$D$99,0))*INDEX(EF!$H$100:$H$115,MATCH(Emissions!$D61,EF!$D$100:$D$115,0))*INDEX(EF!$H$116:$H$131,MATCH(Emissions!$D61,EF!$D$116:$D$131,0))*kgtoGg</f>
        <v>1.2298040935329995E-2</v>
      </c>
      <c r="O61" s="22">
        <f>INDEX('Activity data'!O$24:O$39,MATCH(Emissions!$D61,'Activity data'!$D$24:$D$39,0))*INDEX(EF!$H$84:$H$99,MATCH(Emissions!$D61,EF!$D$84:$D$99,0))*INDEX(EF!$H$100:$H$115,MATCH(Emissions!$D61,EF!$D$100:$D$115,0))*INDEX(EF!$H$116:$H$131,MATCH(Emissions!$D61,EF!$D$116:$D$131,0))*kgtoGg</f>
        <v>1.2298040935329995E-2</v>
      </c>
      <c r="P61" s="22">
        <f>INDEX('Activity data'!P$24:P$39,MATCH(Emissions!$D61,'Activity data'!$D$24:$D$39,0))*INDEX(EF!$H$84:$H$99,MATCH(Emissions!$D61,EF!$D$84:$D$99,0))*INDEX(EF!$H$100:$H$115,MATCH(Emissions!$D61,EF!$D$100:$D$115,0))*INDEX(EF!$H$116:$H$131,MATCH(Emissions!$D61,EF!$D$116:$D$131,0))*kgtoGg</f>
        <v>1.2298040935329995E-2</v>
      </c>
      <c r="Q61" s="22">
        <f>INDEX('Activity data'!Q$24:Q$39,MATCH(Emissions!$D61,'Activity data'!$D$24:$D$39,0))*INDEX(EF!$H$84:$H$99,MATCH(Emissions!$D61,EF!$D$84:$D$99,0))*INDEX(EF!$H$100:$H$115,MATCH(Emissions!$D61,EF!$D$100:$D$115,0))*INDEX(EF!$H$116:$H$131,MATCH(Emissions!$D61,EF!$D$116:$D$131,0))*kgtoGg</f>
        <v>1.2298040935329995E-2</v>
      </c>
      <c r="R61" s="22">
        <f>INDEX('Activity data'!R$24:R$39,MATCH(Emissions!$D61,'Activity data'!$D$24:$D$39,0))*INDEX(EF!$H$84:$H$99,MATCH(Emissions!$D61,EF!$D$84:$D$99,0))*INDEX(EF!$H$100:$H$115,MATCH(Emissions!$D61,EF!$D$100:$D$115,0))*INDEX(EF!$H$116:$H$131,MATCH(Emissions!$D61,EF!$D$116:$D$131,0))*kgtoGg</f>
        <v>1.9188432665053896E-2</v>
      </c>
      <c r="S61" s="22">
        <f>INDEX('Activity data'!S$24:S$39,MATCH(Emissions!$D61,'Activity data'!$D$24:$D$39,0))*INDEX(EF!$H$84:$H$99,MATCH(Emissions!$D61,EF!$D$84:$D$99,0))*INDEX(EF!$H$100:$H$115,MATCH(Emissions!$D61,EF!$D$100:$D$115,0))*INDEX(EF!$H$116:$H$131,MATCH(Emissions!$D61,EF!$D$116:$D$131,0))*kgtoGg</f>
        <v>1.2646921529240067E-2</v>
      </c>
      <c r="T61" s="22">
        <f>INDEX('Activity data'!T$24:T$39,MATCH(Emissions!$D61,'Activity data'!$D$24:$D$39,0))*INDEX(EF!$H$84:$H$99,MATCH(Emissions!$D61,EF!$D$84:$D$99,0))*INDEX(EF!$H$100:$H$115,MATCH(Emissions!$D61,EF!$D$100:$D$115,0))*INDEX(EF!$H$116:$H$131,MATCH(Emissions!$D61,EF!$D$116:$D$131,0))*kgtoGg</f>
        <v>1.0030317074914535E-2</v>
      </c>
      <c r="U61" s="22">
        <f>INDEX('Activity data'!U$24:U$39,MATCH(Emissions!$D61,'Activity data'!$D$24:$D$39,0))*INDEX(EF!$H$84:$H$99,MATCH(Emissions!$D61,EF!$D$84:$D$99,0))*INDEX(EF!$H$100:$H$115,MATCH(Emissions!$D61,EF!$D$100:$D$115,0))*INDEX(EF!$H$116:$H$131,MATCH(Emissions!$D61,EF!$D$116:$D$131,0))*kgtoGg</f>
        <v>1.5699626725953191E-2</v>
      </c>
      <c r="V61" s="22">
        <f>INDEX('Activity data'!V$24:V$39,MATCH(Emissions!$D61,'Activity data'!$D$24:$D$39,0))*INDEX(EF!$H$84:$H$99,MATCH(Emissions!$D61,EF!$D$84:$D$99,0))*INDEX(EF!$H$100:$H$115,MATCH(Emissions!$D61,EF!$D$100:$D$115,0))*INDEX(EF!$H$116:$H$131,MATCH(Emissions!$D61,EF!$D$116:$D$131,0))*kgtoGg</f>
        <v>3.9249066814882978E-3</v>
      </c>
      <c r="W61" s="22">
        <f>INDEX('Activity data'!W$24:W$39,MATCH(Emissions!$D61,'Activity data'!$D$24:$D$39,0))*INDEX(EF!$H$84:$H$99,MATCH(Emissions!$D61,EF!$D$84:$D$99,0))*INDEX(EF!$H$100:$H$115,MATCH(Emissions!$D61,EF!$D$100:$D$115,0))*INDEX(EF!$H$116:$H$131,MATCH(Emissions!$D61,EF!$D$116:$D$131,0))*kgtoGg</f>
        <v>1.0902518559689715E-2</v>
      </c>
      <c r="X61" s="22">
        <f>INDEX('Activity data'!X$24:X$39,MATCH(Emissions!$D61,'Activity data'!$D$24:$D$39,0))*INDEX(EF!$H$84:$H$99,MATCH(Emissions!$D61,EF!$D$84:$D$99,0))*INDEX(EF!$H$100:$H$115,MATCH(Emissions!$D61,EF!$D$100:$D$115,0))*INDEX(EF!$H$116:$H$131,MATCH(Emissions!$D61,EF!$D$116:$D$131,0))*kgtoGg</f>
        <v>2.1805037119379429E-2</v>
      </c>
      <c r="Y61" s="22">
        <f>INDEX('Activity data'!Y$24:Y$39,MATCH(Emissions!$D61,'Activity data'!$D$24:$D$39,0))*INDEX(EF!$H$84:$H$99,MATCH(Emissions!$D61,EF!$D$84:$D$99,0))*INDEX(EF!$H$100:$H$115,MATCH(Emissions!$D61,EF!$D$100:$D$115,0))*INDEX(EF!$H$116:$H$131,MATCH(Emissions!$D61,EF!$D$116:$D$131,0))*kgtoGg</f>
        <v>1.0466417817302124E-2</v>
      </c>
      <c r="Z61" s="22">
        <f>INDEX('Activity data'!Z$24:Z$39,MATCH(Emissions!$D61,'Activity data'!$D$24:$D$39,0))*INDEX(EF!$H$84:$H$99,MATCH(Emissions!$D61,EF!$D$84:$D$99,0))*INDEX(EF!$H$100:$H$115,MATCH(Emissions!$D61,EF!$D$100:$D$115,0))*INDEX(EF!$H$116:$H$131,MATCH(Emissions!$D61,EF!$D$116:$D$131,0))*kgtoGg</f>
        <v>7.8498133629765956E-3</v>
      </c>
      <c r="AA61" s="22">
        <f>INDEX('Activity data'!AA$24:AA$39,MATCH(Emissions!$D61,'Activity data'!$D$24:$D$39,0))*INDEX(EF!$H$84:$H$99,MATCH(Emissions!$D61,EF!$D$84:$D$99,0))*INDEX(EF!$H$100:$H$115,MATCH(Emissions!$D61,EF!$D$100:$D$115,0))*INDEX(EF!$H$116:$H$131,MATCH(Emissions!$D61,EF!$D$116:$D$131,0))*kgtoGg</f>
        <v>1.1774720044464891E-2</v>
      </c>
      <c r="AB61" s="22">
        <f>INDEX('Activity data'!AB$24:AB$39,MATCH(Emissions!$D61,'Activity data'!$D$24:$D$39,0))*INDEX(EF!$H$84:$H$99,MATCH(Emissions!$D61,EF!$D$84:$D$99,0))*INDEX(EF!$H$100:$H$115,MATCH(Emissions!$D61,EF!$D$100:$D$115,0))*INDEX(EF!$H$116:$H$131,MATCH(Emissions!$D61,EF!$D$116:$D$131,0))*kgtoGg</f>
        <v>1.9544489999999998E-2</v>
      </c>
      <c r="AC61" s="22">
        <f>INDEX('Activity data'!AC$24:AC$39,MATCH(Emissions!$D61,'Activity data'!$D$24:$D$39,0))*INDEX(EF!$H$84:$H$99,MATCH(Emissions!$D61,EF!$D$84:$D$99,0))*INDEX(EF!$H$100:$H$115,MATCH(Emissions!$D61,EF!$D$100:$D$115,0))*INDEX(EF!$H$116:$H$131,MATCH(Emissions!$D61,EF!$D$116:$D$131,0))*kgtoGg</f>
        <v>5.1569217000000007E-2</v>
      </c>
      <c r="AD61" s="22">
        <f>INDEX('Activity data'!AD$24:AD$39,MATCH(Emissions!$D61,'Activity data'!$D$24:$D$39,0))*INDEX(EF!$H$84:$H$99,MATCH(Emissions!$D61,EF!$D$84:$D$99,0))*INDEX(EF!$H$100:$H$115,MATCH(Emissions!$D61,EF!$D$100:$D$115,0))*INDEX(EF!$H$116:$H$131,MATCH(Emissions!$D61,EF!$D$116:$D$131,0))*kgtoGg</f>
        <v>1.6859607769005278E-2</v>
      </c>
      <c r="AE61" s="22">
        <f>INDEX('Activity data'!AE$24:AE$39,MATCH(Emissions!$D61,'Activity data'!$D$24:$D$39,0))*INDEX(EF!$H$84:$H$99,MATCH(Emissions!$D61,EF!$D$84:$D$99,0))*INDEX(EF!$H$100:$H$115,MATCH(Emissions!$D61,EF!$D$100:$D$115,0))*INDEX(EF!$H$116:$H$131,MATCH(Emissions!$D61,EF!$D$116:$D$131,0))*kgtoGg</f>
        <v>1.6970620595071061E-2</v>
      </c>
      <c r="AF61" s="22">
        <f>INDEX('Activity data'!AF$24:AF$39,MATCH(Emissions!$D61,'Activity data'!$D$24:$D$39,0))*INDEX(EF!$H$84:$H$99,MATCH(Emissions!$D61,EF!$D$84:$D$99,0))*INDEX(EF!$H$100:$H$115,MATCH(Emissions!$D61,EF!$D$100:$D$115,0))*INDEX(EF!$H$116:$H$131,MATCH(Emissions!$D61,EF!$D$116:$D$131,0))*kgtoGg</f>
        <v>1.7081633421136833E-2</v>
      </c>
      <c r="AG61" s="22">
        <f>INDEX('Activity data'!AG$24:AG$39,MATCH(Emissions!$D61,'Activity data'!$D$24:$D$39,0))*INDEX(EF!$H$84:$H$99,MATCH(Emissions!$D61,EF!$D$84:$D$99,0))*INDEX(EF!$H$100:$H$115,MATCH(Emissions!$D61,EF!$D$100:$D$115,0))*INDEX(EF!$H$116:$H$131,MATCH(Emissions!$D61,EF!$D$116:$D$131,0))*kgtoGg</f>
        <v>1.7192646247202611E-2</v>
      </c>
      <c r="AH61" s="22">
        <f>INDEX('Activity data'!AH$24:AH$39,MATCH(Emissions!$D61,'Activity data'!$D$24:$D$39,0))*INDEX(EF!$H$84:$H$99,MATCH(Emissions!$D61,EF!$D$84:$D$99,0))*INDEX(EF!$H$100:$H$115,MATCH(Emissions!$D61,EF!$D$100:$D$115,0))*INDEX(EF!$H$116:$H$131,MATCH(Emissions!$D61,EF!$D$116:$D$131,0))*kgtoGg</f>
        <v>1.7303659073268383E-2</v>
      </c>
      <c r="AI61" s="22">
        <f>INDEX('Activity data'!AI$24:AI$39,MATCH(Emissions!$D61,'Activity data'!$D$24:$D$39,0))*INDEX(EF!$H$84:$H$99,MATCH(Emissions!$D61,EF!$D$84:$D$99,0))*INDEX(EF!$H$100:$H$115,MATCH(Emissions!$D61,EF!$D$100:$D$115,0))*INDEX(EF!$H$116:$H$131,MATCH(Emissions!$D61,EF!$D$116:$D$131,0))*kgtoGg</f>
        <v>1.7414671899334159E-2</v>
      </c>
      <c r="AJ61" s="22">
        <f>INDEX('Activity data'!AJ$24:AJ$39,MATCH(Emissions!$D61,'Activity data'!$D$24:$D$39,0))*INDEX(EF!$H$84:$H$99,MATCH(Emissions!$D61,EF!$D$84:$D$99,0))*INDEX(EF!$H$100:$H$115,MATCH(Emissions!$D61,EF!$D$100:$D$115,0))*INDEX(EF!$H$116:$H$131,MATCH(Emissions!$D61,EF!$D$116:$D$131,0))*kgtoGg</f>
        <v>1.7525684725399934E-2</v>
      </c>
      <c r="AK61" s="22">
        <f>INDEX('Activity data'!AK$24:AK$39,MATCH(Emissions!$D61,'Activity data'!$D$24:$D$39,0))*INDEX(EF!$H$84:$H$99,MATCH(Emissions!$D61,EF!$D$84:$D$99,0))*INDEX(EF!$H$100:$H$115,MATCH(Emissions!$D61,EF!$D$100:$D$115,0))*INDEX(EF!$H$116:$H$131,MATCH(Emissions!$D61,EF!$D$116:$D$131,0))*kgtoGg</f>
        <v>1.7636697551465713E-2</v>
      </c>
      <c r="AL61" s="22">
        <f>INDEX('Activity data'!AL$24:AL$39,MATCH(Emissions!$D61,'Activity data'!$D$24:$D$39,0))*INDEX(EF!$H$84:$H$99,MATCH(Emissions!$D61,EF!$D$84:$D$99,0))*INDEX(EF!$H$100:$H$115,MATCH(Emissions!$D61,EF!$D$100:$D$115,0))*INDEX(EF!$H$116:$H$131,MATCH(Emissions!$D61,EF!$D$116:$D$131,0))*kgtoGg</f>
        <v>1.7747710377531489E-2</v>
      </c>
      <c r="AM61" s="22">
        <f>INDEX('Activity data'!AM$24:AM$39,MATCH(Emissions!$D61,'Activity data'!$D$24:$D$39,0))*INDEX(EF!$H$84:$H$99,MATCH(Emissions!$D61,EF!$D$84:$D$99,0))*INDEX(EF!$H$100:$H$115,MATCH(Emissions!$D61,EF!$D$100:$D$115,0))*INDEX(EF!$H$116:$H$131,MATCH(Emissions!$D61,EF!$D$116:$D$131,0))*kgtoGg</f>
        <v>1.7858723203597264E-2</v>
      </c>
      <c r="AN61" s="22">
        <f>INDEX('Activity data'!AN$24:AN$39,MATCH(Emissions!$D61,'Activity data'!$D$24:$D$39,0))*INDEX(EF!$H$84:$H$99,MATCH(Emissions!$D61,EF!$D$84:$D$99,0))*INDEX(EF!$H$100:$H$115,MATCH(Emissions!$D61,EF!$D$100:$D$115,0))*INDEX(EF!$H$116:$H$131,MATCH(Emissions!$D61,EF!$D$116:$D$131,0))*kgtoGg</f>
        <v>1.7969736029663043E-2</v>
      </c>
      <c r="AO61" s="22">
        <f>INDEX('Activity data'!AO$24:AO$39,MATCH(Emissions!$D61,'Activity data'!$D$24:$D$39,0))*INDEX(EF!$H$84:$H$99,MATCH(Emissions!$D61,EF!$D$84:$D$99,0))*INDEX(EF!$H$100:$H$115,MATCH(Emissions!$D61,EF!$D$100:$D$115,0))*INDEX(EF!$H$116:$H$131,MATCH(Emissions!$D61,EF!$D$116:$D$131,0))*kgtoGg</f>
        <v>1.8080748855728818E-2</v>
      </c>
      <c r="AP61" s="22">
        <f>INDEX('Activity data'!AP$24:AP$39,MATCH(Emissions!$D61,'Activity data'!$D$24:$D$39,0))*INDEX(EF!$H$84:$H$99,MATCH(Emissions!$D61,EF!$D$84:$D$99,0))*INDEX(EF!$H$100:$H$115,MATCH(Emissions!$D61,EF!$D$100:$D$115,0))*INDEX(EF!$H$116:$H$131,MATCH(Emissions!$D61,EF!$D$116:$D$131,0))*kgtoGg</f>
        <v>1.8191761681794601E-2</v>
      </c>
      <c r="AQ61" s="22">
        <f>INDEX('Activity data'!AQ$24:AQ$39,MATCH(Emissions!$D61,'Activity data'!$D$24:$D$39,0))*INDEX(EF!$H$84:$H$99,MATCH(Emissions!$D61,EF!$D$84:$D$99,0))*INDEX(EF!$H$100:$H$115,MATCH(Emissions!$D61,EF!$D$100:$D$115,0))*INDEX(EF!$H$116:$H$131,MATCH(Emissions!$D61,EF!$D$116:$D$131,0))*kgtoGg</f>
        <v>1.8302774507860373E-2</v>
      </c>
      <c r="AR61" s="22">
        <f>INDEX('Activity data'!AR$24:AR$39,MATCH(Emissions!$D61,'Activity data'!$D$24:$D$39,0))*INDEX(EF!$H$84:$H$99,MATCH(Emissions!$D61,EF!$D$84:$D$99,0))*INDEX(EF!$H$100:$H$115,MATCH(Emissions!$D61,EF!$D$100:$D$115,0))*INDEX(EF!$H$116:$H$131,MATCH(Emissions!$D61,EF!$D$116:$D$131,0))*kgtoGg</f>
        <v>1.8413787333926148E-2</v>
      </c>
      <c r="AS61" s="22">
        <f>INDEX('Activity data'!AS$24:AS$39,MATCH(Emissions!$D61,'Activity data'!$D$24:$D$39,0))*INDEX(EF!$H$84:$H$99,MATCH(Emissions!$D61,EF!$D$84:$D$99,0))*INDEX(EF!$H$100:$H$115,MATCH(Emissions!$D61,EF!$D$100:$D$115,0))*INDEX(EF!$H$116:$H$131,MATCH(Emissions!$D61,EF!$D$116:$D$131,0))*kgtoGg</f>
        <v>1.852480015999192E-2</v>
      </c>
      <c r="AT61" s="22">
        <f>INDEX('Activity data'!AT$24:AT$39,MATCH(Emissions!$D61,'Activity data'!$D$24:$D$39,0))*INDEX(EF!$H$84:$H$99,MATCH(Emissions!$D61,EF!$D$84:$D$99,0))*INDEX(EF!$H$100:$H$115,MATCH(Emissions!$D61,EF!$D$100:$D$115,0))*INDEX(EF!$H$116:$H$131,MATCH(Emissions!$D61,EF!$D$116:$D$131,0))*kgtoGg</f>
        <v>1.8635812986057699E-2</v>
      </c>
      <c r="AU61" s="22">
        <f>INDEX('Activity data'!AU$24:AU$39,MATCH(Emissions!$D61,'Activity data'!$D$24:$D$39,0))*INDEX(EF!$H$84:$H$99,MATCH(Emissions!$D61,EF!$D$84:$D$99,0))*INDEX(EF!$H$100:$H$115,MATCH(Emissions!$D61,EF!$D$100:$D$115,0))*INDEX(EF!$H$116:$H$131,MATCH(Emissions!$D61,EF!$D$116:$D$131,0))*kgtoGg</f>
        <v>1.8746825812123474E-2</v>
      </c>
      <c r="AV61" s="22">
        <f>INDEX('Activity data'!AV$24:AV$39,MATCH(Emissions!$D61,'Activity data'!$D$24:$D$39,0))*INDEX(EF!$H$84:$H$99,MATCH(Emissions!$D61,EF!$D$84:$D$99,0))*INDEX(EF!$H$100:$H$115,MATCH(Emissions!$D61,EF!$D$100:$D$115,0))*INDEX(EF!$H$116:$H$131,MATCH(Emissions!$D61,EF!$D$116:$D$131,0))*kgtoGg</f>
        <v>1.8857838638189253E-2</v>
      </c>
      <c r="AW61" s="22">
        <f>INDEX('Activity data'!AW$24:AW$39,MATCH(Emissions!$D61,'Activity data'!$D$24:$D$39,0))*INDEX(EF!$H$84:$H$99,MATCH(Emissions!$D61,EF!$D$84:$D$99,0))*INDEX(EF!$H$100:$H$115,MATCH(Emissions!$D61,EF!$D$100:$D$115,0))*INDEX(EF!$H$116:$H$131,MATCH(Emissions!$D61,EF!$D$116:$D$131,0))*kgtoGg</f>
        <v>1.8968851464255032E-2</v>
      </c>
      <c r="AX61" s="22">
        <f>INDEX('Activity data'!AX$24:AX$39,MATCH(Emissions!$D61,'Activity data'!$D$24:$D$39,0))*INDEX(EF!$H$84:$H$99,MATCH(Emissions!$D61,EF!$D$84:$D$99,0))*INDEX(EF!$H$100:$H$115,MATCH(Emissions!$D61,EF!$D$100:$D$115,0))*INDEX(EF!$H$116:$H$131,MATCH(Emissions!$D61,EF!$D$116:$D$131,0))*kgtoGg</f>
        <v>1.9079864290320804E-2</v>
      </c>
      <c r="AY61" s="22">
        <f>INDEX('Activity data'!AY$24:AY$39,MATCH(Emissions!$D61,'Activity data'!$D$24:$D$39,0))*INDEX(EF!$H$84:$H$99,MATCH(Emissions!$D61,EF!$D$84:$D$99,0))*INDEX(EF!$H$100:$H$115,MATCH(Emissions!$D61,EF!$D$100:$D$115,0))*INDEX(EF!$H$116:$H$131,MATCH(Emissions!$D61,EF!$D$116:$D$131,0))*kgtoGg</f>
        <v>1.9190877116386583E-2</v>
      </c>
      <c r="AZ61" s="22">
        <f>INDEX('Activity data'!AZ$24:AZ$39,MATCH(Emissions!$D61,'Activity data'!$D$24:$D$39,0))*INDEX(EF!$H$84:$H$99,MATCH(Emissions!$D61,EF!$D$84:$D$99,0))*INDEX(EF!$H$100:$H$115,MATCH(Emissions!$D61,EF!$D$100:$D$115,0))*INDEX(EF!$H$116:$H$131,MATCH(Emissions!$D61,EF!$D$116:$D$131,0))*kgtoGg</f>
        <v>1.9301889942452358E-2</v>
      </c>
      <c r="BA61" s="22">
        <f>INDEX('Activity data'!BA$24:BA$39,MATCH(Emissions!$D61,'Activity data'!$D$24:$D$39,0))*INDEX(EF!$H$84:$H$99,MATCH(Emissions!$D61,EF!$D$84:$D$99,0))*INDEX(EF!$H$100:$H$115,MATCH(Emissions!$D61,EF!$D$100:$D$115,0))*INDEX(EF!$H$116:$H$131,MATCH(Emissions!$D61,EF!$D$116:$D$131,0))*kgtoGg</f>
        <v>1.9412902768518137E-2</v>
      </c>
      <c r="BB61" s="22">
        <f>INDEX('Activity data'!BB$24:BB$39,MATCH(Emissions!$D61,'Activity data'!$D$24:$D$39,0))*INDEX(EF!$H$84:$H$99,MATCH(Emissions!$D61,EF!$D$84:$D$99,0))*INDEX(EF!$H$100:$H$115,MATCH(Emissions!$D61,EF!$D$100:$D$115,0))*INDEX(EF!$H$116:$H$131,MATCH(Emissions!$D61,EF!$D$116:$D$131,0))*kgtoGg</f>
        <v>1.9523915594583916E-2</v>
      </c>
      <c r="BC61" s="22">
        <f>INDEX('Activity data'!BC$24:BC$39,MATCH(Emissions!$D61,'Activity data'!$D$24:$D$39,0))*INDEX(EF!$H$84:$H$99,MATCH(Emissions!$D61,EF!$D$84:$D$99,0))*INDEX(EF!$H$100:$H$115,MATCH(Emissions!$D61,EF!$D$100:$D$115,0))*INDEX(EF!$H$116:$H$131,MATCH(Emissions!$D61,EF!$D$116:$D$131,0))*kgtoGg</f>
        <v>1.9634928420649695E-2</v>
      </c>
      <c r="BD61" s="22">
        <f>INDEX('Activity data'!BD$24:BD$39,MATCH(Emissions!$D61,'Activity data'!$D$24:$D$39,0))*INDEX(EF!$H$84:$H$99,MATCH(Emissions!$D61,EF!$D$84:$D$99,0))*INDEX(EF!$H$100:$H$115,MATCH(Emissions!$D61,EF!$D$100:$D$115,0))*INDEX(EF!$H$116:$H$131,MATCH(Emissions!$D61,EF!$D$116:$D$131,0))*kgtoGg</f>
        <v>1.9745941246715467E-2</v>
      </c>
      <c r="BE61" s="22">
        <f>INDEX('Activity data'!BE$24:BE$39,MATCH(Emissions!$D61,'Activity data'!$D$24:$D$39,0))*INDEX(EF!$H$84:$H$99,MATCH(Emissions!$D61,EF!$D$84:$D$99,0))*INDEX(EF!$H$100:$H$115,MATCH(Emissions!$D61,EF!$D$100:$D$115,0))*INDEX(EF!$H$116:$H$131,MATCH(Emissions!$D61,EF!$D$116:$D$131,0))*kgtoGg</f>
        <v>1.9856954072781246E-2</v>
      </c>
      <c r="BF61" s="22">
        <f>INDEX('Activity data'!BF$24:BF$39,MATCH(Emissions!$D61,'Activity data'!$D$24:$D$39,0))*INDEX(EF!$H$84:$H$99,MATCH(Emissions!$D61,EF!$D$84:$D$99,0))*INDEX(EF!$H$100:$H$115,MATCH(Emissions!$D61,EF!$D$100:$D$115,0))*INDEX(EF!$H$116:$H$131,MATCH(Emissions!$D61,EF!$D$116:$D$131,0))*kgtoGg</f>
        <v>1.9967966898847021E-2</v>
      </c>
      <c r="BG61" s="22">
        <f>INDEX('Activity data'!BG$24:BG$39,MATCH(Emissions!$D61,'Activity data'!$D$24:$D$39,0))*INDEX(EF!$H$84:$H$99,MATCH(Emissions!$D61,EF!$D$84:$D$99,0))*INDEX(EF!$H$100:$H$115,MATCH(Emissions!$D61,EF!$D$100:$D$115,0))*INDEX(EF!$H$116:$H$131,MATCH(Emissions!$D61,EF!$D$116:$D$131,0))*kgtoGg</f>
        <v>2.0078979724912797E-2</v>
      </c>
      <c r="BH61" s="22">
        <f>INDEX('Activity data'!BH$24:BH$39,MATCH(Emissions!$D61,'Activity data'!$D$24:$D$39,0))*INDEX(EF!$H$84:$H$99,MATCH(Emissions!$D61,EF!$D$84:$D$99,0))*INDEX(EF!$H$100:$H$115,MATCH(Emissions!$D61,EF!$D$100:$D$115,0))*INDEX(EF!$H$116:$H$131,MATCH(Emissions!$D61,EF!$D$116:$D$131,0))*kgtoGg</f>
        <v>2.0189992550978576E-2</v>
      </c>
      <c r="BI61" s="22">
        <f>INDEX('Activity data'!BI$24:BI$39,MATCH(Emissions!$D61,'Activity data'!$D$24:$D$39,0))*INDEX(EF!$H$84:$H$99,MATCH(Emissions!$D61,EF!$D$84:$D$99,0))*INDEX(EF!$H$100:$H$115,MATCH(Emissions!$D61,EF!$D$100:$D$115,0))*INDEX(EF!$H$116:$H$131,MATCH(Emissions!$D61,EF!$D$116:$D$131,0))*kgtoGg</f>
        <v>2.0301005377044351E-2</v>
      </c>
      <c r="BJ61" s="22">
        <f>INDEX('Activity data'!BJ$24:BJ$39,MATCH(Emissions!$D61,'Activity data'!$D$24:$D$39,0))*INDEX(EF!$H$84:$H$99,MATCH(Emissions!$D61,EF!$D$84:$D$99,0))*INDEX(EF!$H$100:$H$115,MATCH(Emissions!$D61,EF!$D$100:$D$115,0))*INDEX(EF!$H$116:$H$131,MATCH(Emissions!$D61,EF!$D$116:$D$131,0))*kgtoGg</f>
        <v>2.0412018203110126E-2</v>
      </c>
      <c r="BK61" s="22">
        <f>INDEX('Activity data'!BK$24:BK$39,MATCH(Emissions!$D61,'Activity data'!$D$24:$D$39,0))*INDEX(EF!$H$84:$H$99,MATCH(Emissions!$D61,EF!$D$84:$D$99,0))*INDEX(EF!$H$100:$H$115,MATCH(Emissions!$D61,EF!$D$100:$D$115,0))*INDEX(EF!$H$116:$H$131,MATCH(Emissions!$D61,EF!$D$116:$D$131,0))*kgtoGg</f>
        <v>2.0523031029175905E-2</v>
      </c>
      <c r="BL61" s="22">
        <f>INDEX('Activity data'!BL$24:BL$39,MATCH(Emissions!$D61,'Activity data'!$D$24:$D$39,0))*INDEX(EF!$H$84:$H$99,MATCH(Emissions!$D61,EF!$D$84:$D$99,0))*INDEX(EF!$H$100:$H$115,MATCH(Emissions!$D61,EF!$D$100:$D$115,0))*INDEX(EF!$H$116:$H$131,MATCH(Emissions!$D61,EF!$D$116:$D$131,0))*kgtoGg</f>
        <v>2.0634043855241681E-2</v>
      </c>
      <c r="BM61" s="22">
        <f>INDEX('Activity data'!BM$24:BM$39,MATCH(Emissions!$D61,'Activity data'!$D$24:$D$39,0))*INDEX(EF!$H$84:$H$99,MATCH(Emissions!$D61,EF!$D$84:$D$99,0))*INDEX(EF!$H$100:$H$115,MATCH(Emissions!$D61,EF!$D$100:$D$115,0))*INDEX(EF!$H$116:$H$131,MATCH(Emissions!$D61,EF!$D$116:$D$131,0))*kgtoGg</f>
        <v>2.074505668130746E-2</v>
      </c>
      <c r="BN61" s="22">
        <f>INDEX('Activity data'!BN$24:BN$39,MATCH(Emissions!$D61,'Activity data'!$D$24:$D$39,0))*INDEX(EF!$H$84:$H$99,MATCH(Emissions!$D61,EF!$D$84:$D$99,0))*INDEX(EF!$H$100:$H$115,MATCH(Emissions!$D61,EF!$D$100:$D$115,0))*INDEX(EF!$H$116:$H$131,MATCH(Emissions!$D61,EF!$D$116:$D$131,0))*kgtoGg</f>
        <v>2.0856069507373235E-2</v>
      </c>
      <c r="BO61" s="22">
        <f>INDEX('Activity data'!BO$24:BO$39,MATCH(Emissions!$D61,'Activity data'!$D$24:$D$39,0))*INDEX(EF!$H$84:$H$99,MATCH(Emissions!$D61,EF!$D$84:$D$99,0))*INDEX(EF!$H$100:$H$115,MATCH(Emissions!$D61,EF!$D$100:$D$115,0))*INDEX(EF!$H$116:$H$131,MATCH(Emissions!$D61,EF!$D$116:$D$131,0))*kgtoGg</f>
        <v>2.0967082333439007E-2</v>
      </c>
      <c r="BP61" s="22">
        <f>INDEX('Activity data'!BP$24:BP$39,MATCH(Emissions!$D61,'Activity data'!$D$24:$D$39,0))*INDEX(EF!$H$84:$H$99,MATCH(Emissions!$D61,EF!$D$84:$D$99,0))*INDEX(EF!$H$100:$H$115,MATCH(Emissions!$D61,EF!$D$100:$D$115,0))*INDEX(EF!$H$116:$H$131,MATCH(Emissions!$D61,EF!$D$116:$D$131,0))*kgtoGg</f>
        <v>2.1078095159504782E-2</v>
      </c>
    </row>
    <row r="62" spans="1:68" x14ac:dyDescent="0.25">
      <c r="A62" t="str">
        <f t="shared" si="19"/>
        <v>3C Aggregated and non-CO2 emissions on land</v>
      </c>
      <c r="B62" t="str">
        <f t="shared" si="20"/>
        <v>3C1 Biomass burning (CH4)</v>
      </c>
      <c r="C62" t="str">
        <f t="shared" si="18"/>
        <v>3C1b Biomass burning in Croplands</v>
      </c>
      <c r="D62" t="str">
        <f>EF!D92</f>
        <v>Cropland subsistence</v>
      </c>
      <c r="E62" t="s">
        <v>649</v>
      </c>
      <c r="F62" t="str">
        <f t="shared" ref="F62:F65" si="21">F61</f>
        <v>CH4</v>
      </c>
      <c r="G62" t="str">
        <f t="shared" ref="G62:G65" si="22">G61</f>
        <v>Gg CH4</v>
      </c>
      <c r="H62" s="22">
        <f>INDEX('Activity data'!H$24:H$39,MATCH(Emissions!$D62,'Activity data'!$D$24:$D$39,0))*INDEX(EF!$H$84:$H$99,MATCH(Emissions!$D62,EF!$D$84:$D$99,0))*INDEX(EF!$H$100:$H$115,MATCH(Emissions!$D62,EF!$D$100:$D$115,0))*INDEX(EF!$H$116:$H$131,MATCH(Emissions!$D62,EF!$D$116:$D$131,0))*kgtoGg</f>
        <v>2.2958959683736984</v>
      </c>
      <c r="I62" s="22">
        <f>INDEX('Activity data'!I$24:I$39,MATCH(Emissions!$D62,'Activity data'!$D$24:$D$39,0))*INDEX(EF!$H$84:$H$99,MATCH(Emissions!$D62,EF!$D$84:$D$99,0))*INDEX(EF!$H$100:$H$115,MATCH(Emissions!$D62,EF!$D$100:$D$115,0))*INDEX(EF!$H$116:$H$131,MATCH(Emissions!$D62,EF!$D$116:$D$131,0))*kgtoGg</f>
        <v>2.2958959683736984</v>
      </c>
      <c r="J62" s="22">
        <f>INDEX('Activity data'!J$24:J$39,MATCH(Emissions!$D62,'Activity data'!$D$24:$D$39,0))*INDEX(EF!$H$84:$H$99,MATCH(Emissions!$D62,EF!$D$84:$D$99,0))*INDEX(EF!$H$100:$H$115,MATCH(Emissions!$D62,EF!$D$100:$D$115,0))*INDEX(EF!$H$116:$H$131,MATCH(Emissions!$D62,EF!$D$116:$D$131,0))*kgtoGg</f>
        <v>2.2958959683736984</v>
      </c>
      <c r="K62" s="22">
        <f>INDEX('Activity data'!K$24:K$39,MATCH(Emissions!$D62,'Activity data'!$D$24:$D$39,0))*INDEX(EF!$H$84:$H$99,MATCH(Emissions!$D62,EF!$D$84:$D$99,0))*INDEX(EF!$H$100:$H$115,MATCH(Emissions!$D62,EF!$D$100:$D$115,0))*INDEX(EF!$H$116:$H$131,MATCH(Emissions!$D62,EF!$D$116:$D$131,0))*kgtoGg</f>
        <v>2.2958959683736984</v>
      </c>
      <c r="L62" s="22">
        <f>INDEX('Activity data'!L$24:L$39,MATCH(Emissions!$D62,'Activity data'!$D$24:$D$39,0))*INDEX(EF!$H$84:$H$99,MATCH(Emissions!$D62,EF!$D$84:$D$99,0))*INDEX(EF!$H$100:$H$115,MATCH(Emissions!$D62,EF!$D$100:$D$115,0))*INDEX(EF!$H$116:$H$131,MATCH(Emissions!$D62,EF!$D$116:$D$131,0))*kgtoGg</f>
        <v>2.2958959683736984</v>
      </c>
      <c r="M62" s="22">
        <f>INDEX('Activity data'!M$24:M$39,MATCH(Emissions!$D62,'Activity data'!$D$24:$D$39,0))*INDEX(EF!$H$84:$H$99,MATCH(Emissions!$D62,EF!$D$84:$D$99,0))*INDEX(EF!$H$100:$H$115,MATCH(Emissions!$D62,EF!$D$100:$D$115,0))*INDEX(EF!$H$116:$H$131,MATCH(Emissions!$D62,EF!$D$116:$D$131,0))*kgtoGg</f>
        <v>2.2958959683736984</v>
      </c>
      <c r="N62" s="22">
        <f>INDEX('Activity data'!N$24:N$39,MATCH(Emissions!$D62,'Activity data'!$D$24:$D$39,0))*INDEX(EF!$H$84:$H$99,MATCH(Emissions!$D62,EF!$D$84:$D$99,0))*INDEX(EF!$H$100:$H$115,MATCH(Emissions!$D62,EF!$D$100:$D$115,0))*INDEX(EF!$H$116:$H$131,MATCH(Emissions!$D62,EF!$D$116:$D$131,0))*kgtoGg</f>
        <v>2.2958959683736984</v>
      </c>
      <c r="O62" s="22">
        <f>INDEX('Activity data'!O$24:O$39,MATCH(Emissions!$D62,'Activity data'!$D$24:$D$39,0))*INDEX(EF!$H$84:$H$99,MATCH(Emissions!$D62,EF!$D$84:$D$99,0))*INDEX(EF!$H$100:$H$115,MATCH(Emissions!$D62,EF!$D$100:$D$115,0))*INDEX(EF!$H$116:$H$131,MATCH(Emissions!$D62,EF!$D$116:$D$131,0))*kgtoGg</f>
        <v>2.2958959683736984</v>
      </c>
      <c r="P62" s="22">
        <f>INDEX('Activity data'!P$24:P$39,MATCH(Emissions!$D62,'Activity data'!$D$24:$D$39,0))*INDEX(EF!$H$84:$H$99,MATCH(Emissions!$D62,EF!$D$84:$D$99,0))*INDEX(EF!$H$100:$H$115,MATCH(Emissions!$D62,EF!$D$100:$D$115,0))*INDEX(EF!$H$116:$H$131,MATCH(Emissions!$D62,EF!$D$116:$D$131,0))*kgtoGg</f>
        <v>2.2958959683736984</v>
      </c>
      <c r="Q62" s="22">
        <f>INDEX('Activity data'!Q$24:Q$39,MATCH(Emissions!$D62,'Activity data'!$D$24:$D$39,0))*INDEX(EF!$H$84:$H$99,MATCH(Emissions!$D62,EF!$D$84:$D$99,0))*INDEX(EF!$H$100:$H$115,MATCH(Emissions!$D62,EF!$D$100:$D$115,0))*INDEX(EF!$H$116:$H$131,MATCH(Emissions!$D62,EF!$D$116:$D$131,0))*kgtoGg</f>
        <v>2.2958959683736984</v>
      </c>
      <c r="R62" s="22">
        <f>INDEX('Activity data'!R$24:R$39,MATCH(Emissions!$D62,'Activity data'!$D$24:$D$39,0))*INDEX(EF!$H$84:$H$99,MATCH(Emissions!$D62,EF!$D$84:$D$99,0))*INDEX(EF!$H$100:$H$115,MATCH(Emissions!$D62,EF!$D$100:$D$115,0))*INDEX(EF!$H$116:$H$131,MATCH(Emissions!$D62,EF!$D$116:$D$131,0))*kgtoGg</f>
        <v>2.0976445708843015</v>
      </c>
      <c r="S62" s="22">
        <f>INDEX('Activity data'!S$24:S$39,MATCH(Emissions!$D62,'Activity data'!$D$24:$D$39,0))*INDEX(EF!$H$84:$H$99,MATCH(Emissions!$D62,EF!$D$84:$D$99,0))*INDEX(EF!$H$100:$H$115,MATCH(Emissions!$D62,EF!$D$100:$D$115,0))*INDEX(EF!$H$116:$H$131,MATCH(Emissions!$D62,EF!$D$116:$D$131,0))*kgtoGg</f>
        <v>3.1399253451906373</v>
      </c>
      <c r="T62" s="22">
        <f>INDEX('Activity data'!T$24:T$39,MATCH(Emissions!$D62,'Activity data'!$D$24:$D$39,0))*INDEX(EF!$H$84:$H$99,MATCH(Emissions!$D62,EF!$D$84:$D$99,0))*INDEX(EF!$H$100:$H$115,MATCH(Emissions!$D62,EF!$D$100:$D$115,0))*INDEX(EF!$H$116:$H$131,MATCH(Emissions!$D62,EF!$D$116:$D$131,0))*kgtoGg</f>
        <v>2.47225510859524</v>
      </c>
      <c r="U62" s="22">
        <f>INDEX('Activity data'!U$24:U$39,MATCH(Emissions!$D62,'Activity data'!$D$24:$D$39,0))*INDEX(EF!$H$84:$H$99,MATCH(Emissions!$D62,EF!$D$84:$D$99,0))*INDEX(EF!$H$100:$H$115,MATCH(Emissions!$D62,EF!$D$100:$D$115,0))*INDEX(EF!$H$116:$H$131,MATCH(Emissions!$D62,EF!$D$116:$D$131,0))*kgtoGg</f>
        <v>2.0972084701419136</v>
      </c>
      <c r="V62" s="22">
        <f>INDEX('Activity data'!V$24:V$39,MATCH(Emissions!$D62,'Activity data'!$D$24:$D$39,0))*INDEX(EF!$H$84:$H$99,MATCH(Emissions!$D62,EF!$D$84:$D$99,0))*INDEX(EF!$H$100:$H$115,MATCH(Emissions!$D62,EF!$D$100:$D$115,0))*INDEX(EF!$H$116:$H$131,MATCH(Emissions!$D62,EF!$D$116:$D$131,0))*kgtoGg</f>
        <v>1.6724463470564022</v>
      </c>
      <c r="W62" s="22">
        <f>INDEX('Activity data'!W$24:W$39,MATCH(Emissions!$D62,'Activity data'!$D$24:$D$39,0))*INDEX(EF!$H$84:$H$99,MATCH(Emissions!$D62,EF!$D$84:$D$99,0))*INDEX(EF!$H$100:$H$115,MATCH(Emissions!$D62,EF!$D$100:$D$115,0))*INDEX(EF!$H$116:$H$131,MATCH(Emissions!$D62,EF!$D$116:$D$131,0))*kgtoGg</f>
        <v>3.6253054714680237</v>
      </c>
      <c r="X62" s="22">
        <f>INDEX('Activity data'!X$24:X$39,MATCH(Emissions!$D62,'Activity data'!$D$24:$D$39,0))*INDEX(EF!$H$84:$H$99,MATCH(Emissions!$D62,EF!$D$84:$D$99,0))*INDEX(EF!$H$100:$H$115,MATCH(Emissions!$D62,EF!$D$100:$D$115,0))*INDEX(EF!$H$116:$H$131,MATCH(Emissions!$D62,EF!$D$116:$D$131,0))*kgtoGg</f>
        <v>2.840760235912752</v>
      </c>
      <c r="Y62" s="22">
        <f>INDEX('Activity data'!Y$24:Y$39,MATCH(Emissions!$D62,'Activity data'!$D$24:$D$39,0))*INDEX(EF!$H$84:$H$99,MATCH(Emissions!$D62,EF!$D$84:$D$99,0))*INDEX(EF!$H$100:$H$115,MATCH(Emissions!$D62,EF!$D$100:$D$115,0))*INDEX(EF!$H$116:$H$131,MATCH(Emissions!$D62,EF!$D$116:$D$131,0))*kgtoGg</f>
        <v>4.3989481884636055</v>
      </c>
      <c r="Z62" s="22">
        <f>INDEX('Activity data'!Z$24:Z$39,MATCH(Emissions!$D62,'Activity data'!$D$24:$D$39,0))*INDEX(EF!$H$84:$H$99,MATCH(Emissions!$D62,EF!$D$84:$D$99,0))*INDEX(EF!$H$100:$H$115,MATCH(Emissions!$D62,EF!$D$100:$D$115,0))*INDEX(EF!$H$116:$H$131,MATCH(Emissions!$D62,EF!$D$116:$D$131,0))*kgtoGg</f>
        <v>2.6466954055502754</v>
      </c>
      <c r="AA62" s="22">
        <f>INDEX('Activity data'!AA$24:AA$39,MATCH(Emissions!$D62,'Activity data'!$D$24:$D$39,0))*INDEX(EF!$H$84:$H$99,MATCH(Emissions!$D62,EF!$D$84:$D$99,0))*INDEX(EF!$H$100:$H$115,MATCH(Emissions!$D62,EF!$D$100:$D$115,0))*INDEX(EF!$H$116:$H$131,MATCH(Emissions!$D62,EF!$D$116:$D$131,0))*kgtoGg</f>
        <v>3.1307672296004982</v>
      </c>
      <c r="AB62" s="22">
        <f>INDEX('Activity data'!AB$24:AB$39,MATCH(Emissions!$D62,'Activity data'!$D$24:$D$39,0))*INDEX(EF!$H$84:$H$99,MATCH(Emissions!$D62,EF!$D$84:$D$99,0))*INDEX(EF!$H$100:$H$115,MATCH(Emissions!$D62,EF!$D$100:$D$115,0))*INDEX(EF!$H$116:$H$131,MATCH(Emissions!$D62,EF!$D$116:$D$131,0))*kgtoGg</f>
        <v>2.1033375300000001</v>
      </c>
      <c r="AC62" s="22">
        <f>INDEX('Activity data'!AC$24:AC$39,MATCH(Emissions!$D62,'Activity data'!$D$24:$D$39,0))*INDEX(EF!$H$84:$H$99,MATCH(Emissions!$D62,EF!$D$84:$D$99,0))*INDEX(EF!$H$100:$H$115,MATCH(Emissions!$D62,EF!$D$100:$D$115,0))*INDEX(EF!$H$116:$H$131,MATCH(Emissions!$D62,EF!$D$116:$D$131,0))*kgtoGg</f>
        <v>1.4277904830000001</v>
      </c>
      <c r="AD62" s="22">
        <f>INDEX('Activity data'!AD$24:AD$39,MATCH(Emissions!$D62,'Activity data'!$D$24:$D$39,0))*INDEX(EF!$H$84:$H$99,MATCH(Emissions!$D62,EF!$D$84:$D$99,0))*INDEX(EF!$H$100:$H$115,MATCH(Emissions!$D62,EF!$D$100:$D$115,0))*INDEX(EF!$H$116:$H$131,MATCH(Emissions!$D62,EF!$D$116:$D$131,0))*kgtoGg</f>
        <v>2.1063465196390041</v>
      </c>
      <c r="AE62" s="22">
        <f>INDEX('Activity data'!AE$24:AE$39,MATCH(Emissions!$D62,'Activity data'!$D$24:$D$39,0))*INDEX(EF!$H$84:$H$99,MATCH(Emissions!$D62,EF!$D$84:$D$99,0))*INDEX(EF!$H$100:$H$115,MATCH(Emissions!$D62,EF!$D$100:$D$115,0))*INDEX(EF!$H$116:$H$131,MATCH(Emissions!$D62,EF!$D$116:$D$131,0))*kgtoGg</f>
        <v>2.1066609711212716</v>
      </c>
      <c r="AF62" s="22">
        <f>INDEX('Activity data'!AF$24:AF$39,MATCH(Emissions!$D62,'Activity data'!$D$24:$D$39,0))*INDEX(EF!$H$84:$H$99,MATCH(Emissions!$D62,EF!$D$84:$D$99,0))*INDEX(EF!$H$100:$H$115,MATCH(Emissions!$D62,EF!$D$100:$D$115,0))*INDEX(EF!$H$116:$H$131,MATCH(Emissions!$D62,EF!$D$116:$D$131,0))*kgtoGg</f>
        <v>2.1069754226035395</v>
      </c>
      <c r="AG62" s="22">
        <f>INDEX('Activity data'!AG$24:AG$39,MATCH(Emissions!$D62,'Activity data'!$D$24:$D$39,0))*INDEX(EF!$H$84:$H$99,MATCH(Emissions!$D62,EF!$D$84:$D$99,0))*INDEX(EF!$H$100:$H$115,MATCH(Emissions!$D62,EF!$D$100:$D$115,0))*INDEX(EF!$H$116:$H$131,MATCH(Emissions!$D62,EF!$D$116:$D$131,0))*kgtoGg</f>
        <v>2.1072898740858075</v>
      </c>
      <c r="AH62" s="22">
        <f>INDEX('Activity data'!AH$24:AH$39,MATCH(Emissions!$D62,'Activity data'!$D$24:$D$39,0))*INDEX(EF!$H$84:$H$99,MATCH(Emissions!$D62,EF!$D$84:$D$99,0))*INDEX(EF!$H$100:$H$115,MATCH(Emissions!$D62,EF!$D$100:$D$115,0))*INDEX(EF!$H$116:$H$131,MATCH(Emissions!$D62,EF!$D$116:$D$131,0))*kgtoGg</f>
        <v>2.1076043255680759</v>
      </c>
      <c r="AI62" s="22">
        <f>INDEX('Activity data'!AI$24:AI$39,MATCH(Emissions!$D62,'Activity data'!$D$24:$D$39,0))*INDEX(EF!$H$84:$H$99,MATCH(Emissions!$D62,EF!$D$84:$D$99,0))*INDEX(EF!$H$100:$H$115,MATCH(Emissions!$D62,EF!$D$100:$D$115,0))*INDEX(EF!$H$116:$H$131,MATCH(Emissions!$D62,EF!$D$116:$D$131,0))*kgtoGg</f>
        <v>2.1079187770503438</v>
      </c>
      <c r="AJ62" s="22">
        <f>INDEX('Activity data'!AJ$24:AJ$39,MATCH(Emissions!$D62,'Activity data'!$D$24:$D$39,0))*INDEX(EF!$H$84:$H$99,MATCH(Emissions!$D62,EF!$D$84:$D$99,0))*INDEX(EF!$H$100:$H$115,MATCH(Emissions!$D62,EF!$D$100:$D$115,0))*INDEX(EF!$H$116:$H$131,MATCH(Emissions!$D62,EF!$D$116:$D$131,0))*kgtoGg</f>
        <v>2.1082332285326113</v>
      </c>
      <c r="AK62" s="22">
        <f>INDEX('Activity data'!AK$24:AK$39,MATCH(Emissions!$D62,'Activity data'!$D$24:$D$39,0))*INDEX(EF!$H$84:$H$99,MATCH(Emissions!$D62,EF!$D$84:$D$99,0))*INDEX(EF!$H$100:$H$115,MATCH(Emissions!$D62,EF!$D$100:$D$115,0))*INDEX(EF!$H$116:$H$131,MATCH(Emissions!$D62,EF!$D$116:$D$131,0))*kgtoGg</f>
        <v>2.1085476800148797</v>
      </c>
      <c r="AL62" s="22">
        <f>INDEX('Activity data'!AL$24:AL$39,MATCH(Emissions!$D62,'Activity data'!$D$24:$D$39,0))*INDEX(EF!$H$84:$H$99,MATCH(Emissions!$D62,EF!$D$84:$D$99,0))*INDEX(EF!$H$100:$H$115,MATCH(Emissions!$D62,EF!$D$100:$D$115,0))*INDEX(EF!$H$116:$H$131,MATCH(Emissions!$D62,EF!$D$116:$D$131,0))*kgtoGg</f>
        <v>2.1088621314971481</v>
      </c>
      <c r="AM62" s="22">
        <f>INDEX('Activity data'!AM$24:AM$39,MATCH(Emissions!$D62,'Activity data'!$D$24:$D$39,0))*INDEX(EF!$H$84:$H$99,MATCH(Emissions!$D62,EF!$D$84:$D$99,0))*INDEX(EF!$H$100:$H$115,MATCH(Emissions!$D62,EF!$D$100:$D$115,0))*INDEX(EF!$H$116:$H$131,MATCH(Emissions!$D62,EF!$D$116:$D$131,0))*kgtoGg</f>
        <v>2.109176582979416</v>
      </c>
      <c r="AN62" s="22">
        <f>INDEX('Activity data'!AN$24:AN$39,MATCH(Emissions!$D62,'Activity data'!$D$24:$D$39,0))*INDEX(EF!$H$84:$H$99,MATCH(Emissions!$D62,EF!$D$84:$D$99,0))*INDEX(EF!$H$100:$H$115,MATCH(Emissions!$D62,EF!$D$100:$D$115,0))*INDEX(EF!$H$116:$H$131,MATCH(Emissions!$D62,EF!$D$116:$D$131,0))*kgtoGg</f>
        <v>2.1094910344616835</v>
      </c>
      <c r="AO62" s="22">
        <f>INDEX('Activity data'!AO$24:AO$39,MATCH(Emissions!$D62,'Activity data'!$D$24:$D$39,0))*INDEX(EF!$H$84:$H$99,MATCH(Emissions!$D62,EF!$D$84:$D$99,0))*INDEX(EF!$H$100:$H$115,MATCH(Emissions!$D62,EF!$D$100:$D$115,0))*INDEX(EF!$H$116:$H$131,MATCH(Emissions!$D62,EF!$D$116:$D$131,0))*kgtoGg</f>
        <v>2.1098054859439519</v>
      </c>
      <c r="AP62" s="22">
        <f>INDEX('Activity data'!AP$24:AP$39,MATCH(Emissions!$D62,'Activity data'!$D$24:$D$39,0))*INDEX(EF!$H$84:$H$99,MATCH(Emissions!$D62,EF!$D$84:$D$99,0))*INDEX(EF!$H$100:$H$115,MATCH(Emissions!$D62,EF!$D$100:$D$115,0))*INDEX(EF!$H$116:$H$131,MATCH(Emissions!$D62,EF!$D$116:$D$131,0))*kgtoGg</f>
        <v>2.1101199374262194</v>
      </c>
      <c r="AQ62" s="22">
        <f>INDEX('Activity data'!AQ$24:AQ$39,MATCH(Emissions!$D62,'Activity data'!$D$24:$D$39,0))*INDEX(EF!$H$84:$H$99,MATCH(Emissions!$D62,EF!$D$84:$D$99,0))*INDEX(EF!$H$100:$H$115,MATCH(Emissions!$D62,EF!$D$100:$D$115,0))*INDEX(EF!$H$116:$H$131,MATCH(Emissions!$D62,EF!$D$116:$D$131,0))*kgtoGg</f>
        <v>2.1104343889084878</v>
      </c>
      <c r="AR62" s="22">
        <f>INDEX('Activity data'!AR$24:AR$39,MATCH(Emissions!$D62,'Activity data'!$D$24:$D$39,0))*INDEX(EF!$H$84:$H$99,MATCH(Emissions!$D62,EF!$D$84:$D$99,0))*INDEX(EF!$H$100:$H$115,MATCH(Emissions!$D62,EF!$D$100:$D$115,0))*INDEX(EF!$H$116:$H$131,MATCH(Emissions!$D62,EF!$D$116:$D$131,0))*kgtoGg</f>
        <v>2.1107488403907562</v>
      </c>
      <c r="AS62" s="22">
        <f>INDEX('Activity data'!AS$24:AS$39,MATCH(Emissions!$D62,'Activity data'!$D$24:$D$39,0))*INDEX(EF!$H$84:$H$99,MATCH(Emissions!$D62,EF!$D$84:$D$99,0))*INDEX(EF!$H$100:$H$115,MATCH(Emissions!$D62,EF!$D$100:$D$115,0))*INDEX(EF!$H$116:$H$131,MATCH(Emissions!$D62,EF!$D$116:$D$131,0))*kgtoGg</f>
        <v>2.1110632918730237</v>
      </c>
      <c r="AT62" s="22">
        <f>INDEX('Activity data'!AT$24:AT$39,MATCH(Emissions!$D62,'Activity data'!$D$24:$D$39,0))*INDEX(EF!$H$84:$H$99,MATCH(Emissions!$D62,EF!$D$84:$D$99,0))*INDEX(EF!$H$100:$H$115,MATCH(Emissions!$D62,EF!$D$100:$D$115,0))*INDEX(EF!$H$116:$H$131,MATCH(Emissions!$D62,EF!$D$116:$D$131,0))*kgtoGg</f>
        <v>2.111377743355292</v>
      </c>
      <c r="AU62" s="22">
        <f>INDEX('Activity data'!AU$24:AU$39,MATCH(Emissions!$D62,'Activity data'!$D$24:$D$39,0))*INDEX(EF!$H$84:$H$99,MATCH(Emissions!$D62,EF!$D$84:$D$99,0))*INDEX(EF!$H$100:$H$115,MATCH(Emissions!$D62,EF!$D$100:$D$115,0))*INDEX(EF!$H$116:$H$131,MATCH(Emissions!$D62,EF!$D$116:$D$131,0))*kgtoGg</f>
        <v>2.1116921948375604</v>
      </c>
      <c r="AV62" s="22">
        <f>INDEX('Activity data'!AV$24:AV$39,MATCH(Emissions!$D62,'Activity data'!$D$24:$D$39,0))*INDEX(EF!$H$84:$H$99,MATCH(Emissions!$D62,EF!$D$84:$D$99,0))*INDEX(EF!$H$100:$H$115,MATCH(Emissions!$D62,EF!$D$100:$D$115,0))*INDEX(EF!$H$116:$H$131,MATCH(Emissions!$D62,EF!$D$116:$D$131,0))*kgtoGg</f>
        <v>2.1120066463198279</v>
      </c>
      <c r="AW62" s="22">
        <f>INDEX('Activity data'!AW$24:AW$39,MATCH(Emissions!$D62,'Activity data'!$D$24:$D$39,0))*INDEX(EF!$H$84:$H$99,MATCH(Emissions!$D62,EF!$D$84:$D$99,0))*INDEX(EF!$H$100:$H$115,MATCH(Emissions!$D62,EF!$D$100:$D$115,0))*INDEX(EF!$H$116:$H$131,MATCH(Emissions!$D62,EF!$D$116:$D$131,0))*kgtoGg</f>
        <v>2.1123210978020959</v>
      </c>
      <c r="AX62" s="22">
        <f>INDEX('Activity data'!AX$24:AX$39,MATCH(Emissions!$D62,'Activity data'!$D$24:$D$39,0))*INDEX(EF!$H$84:$H$99,MATCH(Emissions!$D62,EF!$D$84:$D$99,0))*INDEX(EF!$H$100:$H$115,MATCH(Emissions!$D62,EF!$D$100:$D$115,0))*INDEX(EF!$H$116:$H$131,MATCH(Emissions!$D62,EF!$D$116:$D$131,0))*kgtoGg</f>
        <v>2.1126355492843643</v>
      </c>
      <c r="AY62" s="22">
        <f>INDEX('Activity data'!AY$24:AY$39,MATCH(Emissions!$D62,'Activity data'!$D$24:$D$39,0))*INDEX(EF!$H$84:$H$99,MATCH(Emissions!$D62,EF!$D$84:$D$99,0))*INDEX(EF!$H$100:$H$115,MATCH(Emissions!$D62,EF!$D$100:$D$115,0))*INDEX(EF!$H$116:$H$131,MATCH(Emissions!$D62,EF!$D$116:$D$131,0))*kgtoGg</f>
        <v>2.1129500007666326</v>
      </c>
      <c r="AZ62" s="22">
        <f>INDEX('Activity data'!AZ$24:AZ$39,MATCH(Emissions!$D62,'Activity data'!$D$24:$D$39,0))*INDEX(EF!$H$84:$H$99,MATCH(Emissions!$D62,EF!$D$84:$D$99,0))*INDEX(EF!$H$100:$H$115,MATCH(Emissions!$D62,EF!$D$100:$D$115,0))*INDEX(EF!$H$116:$H$131,MATCH(Emissions!$D62,EF!$D$116:$D$131,0))*kgtoGg</f>
        <v>2.1132644522489006</v>
      </c>
      <c r="BA62" s="22">
        <f>INDEX('Activity data'!BA$24:BA$39,MATCH(Emissions!$D62,'Activity data'!$D$24:$D$39,0))*INDEX(EF!$H$84:$H$99,MATCH(Emissions!$D62,EF!$D$84:$D$99,0))*INDEX(EF!$H$100:$H$115,MATCH(Emissions!$D62,EF!$D$100:$D$115,0))*INDEX(EF!$H$116:$H$131,MATCH(Emissions!$D62,EF!$D$116:$D$131,0))*kgtoGg</f>
        <v>2.1135789037311681</v>
      </c>
      <c r="BB62" s="22">
        <f>INDEX('Activity data'!BB$24:BB$39,MATCH(Emissions!$D62,'Activity data'!$D$24:$D$39,0))*INDEX(EF!$H$84:$H$99,MATCH(Emissions!$D62,EF!$D$84:$D$99,0))*INDEX(EF!$H$100:$H$115,MATCH(Emissions!$D62,EF!$D$100:$D$115,0))*INDEX(EF!$H$116:$H$131,MATCH(Emissions!$D62,EF!$D$116:$D$131,0))*kgtoGg</f>
        <v>2.113893355213436</v>
      </c>
      <c r="BC62" s="22">
        <f>INDEX('Activity data'!BC$24:BC$39,MATCH(Emissions!$D62,'Activity data'!$D$24:$D$39,0))*INDEX(EF!$H$84:$H$99,MATCH(Emissions!$D62,EF!$D$84:$D$99,0))*INDEX(EF!$H$100:$H$115,MATCH(Emissions!$D62,EF!$D$100:$D$115,0))*INDEX(EF!$H$116:$H$131,MATCH(Emissions!$D62,EF!$D$116:$D$131,0))*kgtoGg</f>
        <v>2.1142078066957044</v>
      </c>
      <c r="BD62" s="22">
        <f>INDEX('Activity data'!BD$24:BD$39,MATCH(Emissions!$D62,'Activity data'!$D$24:$D$39,0))*INDEX(EF!$H$84:$H$99,MATCH(Emissions!$D62,EF!$D$84:$D$99,0))*INDEX(EF!$H$100:$H$115,MATCH(Emissions!$D62,EF!$D$100:$D$115,0))*INDEX(EF!$H$116:$H$131,MATCH(Emissions!$D62,EF!$D$116:$D$131,0))*kgtoGg</f>
        <v>2.1145222581779723</v>
      </c>
      <c r="BE62" s="22">
        <f>INDEX('Activity data'!BE$24:BE$39,MATCH(Emissions!$D62,'Activity data'!$D$24:$D$39,0))*INDEX(EF!$H$84:$H$99,MATCH(Emissions!$D62,EF!$D$84:$D$99,0))*INDEX(EF!$H$100:$H$115,MATCH(Emissions!$D62,EF!$D$100:$D$115,0))*INDEX(EF!$H$116:$H$131,MATCH(Emissions!$D62,EF!$D$116:$D$131,0))*kgtoGg</f>
        <v>2.1148367096602407</v>
      </c>
      <c r="BF62" s="22">
        <f>INDEX('Activity data'!BF$24:BF$39,MATCH(Emissions!$D62,'Activity data'!$D$24:$D$39,0))*INDEX(EF!$H$84:$H$99,MATCH(Emissions!$D62,EF!$D$84:$D$99,0))*INDEX(EF!$H$100:$H$115,MATCH(Emissions!$D62,EF!$D$100:$D$115,0))*INDEX(EF!$H$116:$H$131,MATCH(Emissions!$D62,EF!$D$116:$D$131,0))*kgtoGg</f>
        <v>2.1151511611425082</v>
      </c>
      <c r="BG62" s="22">
        <f>INDEX('Activity data'!BG$24:BG$39,MATCH(Emissions!$D62,'Activity data'!$D$24:$D$39,0))*INDEX(EF!$H$84:$H$99,MATCH(Emissions!$D62,EF!$D$84:$D$99,0))*INDEX(EF!$H$100:$H$115,MATCH(Emissions!$D62,EF!$D$100:$D$115,0))*INDEX(EF!$H$116:$H$131,MATCH(Emissions!$D62,EF!$D$116:$D$131,0))*kgtoGg</f>
        <v>2.1154656126247766</v>
      </c>
      <c r="BH62" s="22">
        <f>INDEX('Activity data'!BH$24:BH$39,MATCH(Emissions!$D62,'Activity data'!$D$24:$D$39,0))*INDEX(EF!$H$84:$H$99,MATCH(Emissions!$D62,EF!$D$84:$D$99,0))*INDEX(EF!$H$100:$H$115,MATCH(Emissions!$D62,EF!$D$100:$D$115,0))*INDEX(EF!$H$116:$H$131,MATCH(Emissions!$D62,EF!$D$116:$D$131,0))*kgtoGg</f>
        <v>2.1157800641070446</v>
      </c>
      <c r="BI62" s="22">
        <f>INDEX('Activity data'!BI$24:BI$39,MATCH(Emissions!$D62,'Activity data'!$D$24:$D$39,0))*INDEX(EF!$H$84:$H$99,MATCH(Emissions!$D62,EF!$D$84:$D$99,0))*INDEX(EF!$H$100:$H$115,MATCH(Emissions!$D62,EF!$D$100:$D$115,0))*INDEX(EF!$H$116:$H$131,MATCH(Emissions!$D62,EF!$D$116:$D$131,0))*kgtoGg</f>
        <v>2.1160945155893125</v>
      </c>
      <c r="BJ62" s="22">
        <f>INDEX('Activity data'!BJ$24:BJ$39,MATCH(Emissions!$D62,'Activity data'!$D$24:$D$39,0))*INDEX(EF!$H$84:$H$99,MATCH(Emissions!$D62,EF!$D$84:$D$99,0))*INDEX(EF!$H$100:$H$115,MATCH(Emissions!$D62,EF!$D$100:$D$115,0))*INDEX(EF!$H$116:$H$131,MATCH(Emissions!$D62,EF!$D$116:$D$131,0))*kgtoGg</f>
        <v>2.11640896707158</v>
      </c>
      <c r="BK62" s="22">
        <f>INDEX('Activity data'!BK$24:BK$39,MATCH(Emissions!$D62,'Activity data'!$D$24:$D$39,0))*INDEX(EF!$H$84:$H$99,MATCH(Emissions!$D62,EF!$D$84:$D$99,0))*INDEX(EF!$H$100:$H$115,MATCH(Emissions!$D62,EF!$D$100:$D$115,0))*INDEX(EF!$H$116:$H$131,MATCH(Emissions!$D62,EF!$D$116:$D$131,0))*kgtoGg</f>
        <v>2.1167234185538484</v>
      </c>
      <c r="BL62" s="22">
        <f>INDEX('Activity data'!BL$24:BL$39,MATCH(Emissions!$D62,'Activity data'!$D$24:$D$39,0))*INDEX(EF!$H$84:$H$99,MATCH(Emissions!$D62,EF!$D$84:$D$99,0))*INDEX(EF!$H$100:$H$115,MATCH(Emissions!$D62,EF!$D$100:$D$115,0))*INDEX(EF!$H$116:$H$131,MATCH(Emissions!$D62,EF!$D$116:$D$131,0))*kgtoGg</f>
        <v>2.1170378700361168</v>
      </c>
      <c r="BM62" s="22">
        <f>INDEX('Activity data'!BM$24:BM$39,MATCH(Emissions!$D62,'Activity data'!$D$24:$D$39,0))*INDEX(EF!$H$84:$H$99,MATCH(Emissions!$D62,EF!$D$84:$D$99,0))*INDEX(EF!$H$100:$H$115,MATCH(Emissions!$D62,EF!$D$100:$D$115,0))*INDEX(EF!$H$116:$H$131,MATCH(Emissions!$D62,EF!$D$116:$D$131,0))*kgtoGg</f>
        <v>2.1173523215183847</v>
      </c>
      <c r="BN62" s="22">
        <f>INDEX('Activity data'!BN$24:BN$39,MATCH(Emissions!$D62,'Activity data'!$D$24:$D$39,0))*INDEX(EF!$H$84:$H$99,MATCH(Emissions!$D62,EF!$D$84:$D$99,0))*INDEX(EF!$H$100:$H$115,MATCH(Emissions!$D62,EF!$D$100:$D$115,0))*INDEX(EF!$H$116:$H$131,MATCH(Emissions!$D62,EF!$D$116:$D$131,0))*kgtoGg</f>
        <v>2.1176667730006526</v>
      </c>
      <c r="BO62" s="22">
        <f>INDEX('Activity data'!BO$24:BO$39,MATCH(Emissions!$D62,'Activity data'!$D$24:$D$39,0))*INDEX(EF!$H$84:$H$99,MATCH(Emissions!$D62,EF!$D$84:$D$99,0))*INDEX(EF!$H$100:$H$115,MATCH(Emissions!$D62,EF!$D$100:$D$115,0))*INDEX(EF!$H$116:$H$131,MATCH(Emissions!$D62,EF!$D$116:$D$131,0))*kgtoGg</f>
        <v>2.117981224482921</v>
      </c>
      <c r="BP62" s="22">
        <f>INDEX('Activity data'!BP$24:BP$39,MATCH(Emissions!$D62,'Activity data'!$D$24:$D$39,0))*INDEX(EF!$H$84:$H$99,MATCH(Emissions!$D62,EF!$D$84:$D$99,0))*INDEX(EF!$H$100:$H$115,MATCH(Emissions!$D62,EF!$D$100:$D$115,0))*INDEX(EF!$H$116:$H$131,MATCH(Emissions!$D62,EF!$D$116:$D$131,0))*kgtoGg</f>
        <v>2.1182956759651885</v>
      </c>
    </row>
    <row r="63" spans="1:68" x14ac:dyDescent="0.25">
      <c r="A63" t="str">
        <f t="shared" si="19"/>
        <v>3C Aggregated and non-CO2 emissions on land</v>
      </c>
      <c r="B63" t="str">
        <f t="shared" si="20"/>
        <v>3C1 Biomass burning (CH4)</v>
      </c>
      <c r="C63" t="str">
        <f>'IPCC Categories'!C61</f>
        <v>3C1c Biomass burning in Grasslands</v>
      </c>
      <c r="D63" t="str">
        <f>EF!D93</f>
        <v>Grasslands</v>
      </c>
      <c r="E63" t="s">
        <v>650</v>
      </c>
      <c r="F63" t="str">
        <f t="shared" si="21"/>
        <v>CH4</v>
      </c>
      <c r="G63" t="str">
        <f t="shared" si="22"/>
        <v>Gg CH4</v>
      </c>
      <c r="H63" s="22">
        <f>INDEX('Activity data'!H$24:H$39,MATCH(Emissions!$D63,'Activity data'!$D$24:$D$39,0))*INDEX(EF!$H$84:$H$99,MATCH(Emissions!$D63,EF!$D$84:$D$99,0))*INDEX(EF!$H$100:$H$115,MATCH(Emissions!$D63,EF!$D$100:$D$115,0))*INDEX(EF!$H$116:$H$131,MATCH(Emissions!$D63,EF!$D$116:$D$131,0))*kgtoGg</f>
        <v>22.517316723914707</v>
      </c>
      <c r="I63" s="22">
        <f>INDEX('Activity data'!I$24:I$39,MATCH(Emissions!$D63,'Activity data'!$D$24:$D$39,0))*INDEX(EF!$H$84:$H$99,MATCH(Emissions!$D63,EF!$D$84:$D$99,0))*INDEX(EF!$H$100:$H$115,MATCH(Emissions!$D63,EF!$D$100:$D$115,0))*INDEX(EF!$H$116:$H$131,MATCH(Emissions!$D63,EF!$D$116:$D$131,0))*kgtoGg</f>
        <v>22.517316723914707</v>
      </c>
      <c r="J63" s="22">
        <f>INDEX('Activity data'!J$24:J$39,MATCH(Emissions!$D63,'Activity data'!$D$24:$D$39,0))*INDEX(EF!$H$84:$H$99,MATCH(Emissions!$D63,EF!$D$84:$D$99,0))*INDEX(EF!$H$100:$H$115,MATCH(Emissions!$D63,EF!$D$100:$D$115,0))*INDEX(EF!$H$116:$H$131,MATCH(Emissions!$D63,EF!$D$116:$D$131,0))*kgtoGg</f>
        <v>22.517316723914707</v>
      </c>
      <c r="K63" s="22">
        <f>INDEX('Activity data'!K$24:K$39,MATCH(Emissions!$D63,'Activity data'!$D$24:$D$39,0))*INDEX(EF!$H$84:$H$99,MATCH(Emissions!$D63,EF!$D$84:$D$99,0))*INDEX(EF!$H$100:$H$115,MATCH(Emissions!$D63,EF!$D$100:$D$115,0))*INDEX(EF!$H$116:$H$131,MATCH(Emissions!$D63,EF!$D$116:$D$131,0))*kgtoGg</f>
        <v>22.517316723914707</v>
      </c>
      <c r="L63" s="22">
        <f>INDEX('Activity data'!L$24:L$39,MATCH(Emissions!$D63,'Activity data'!$D$24:$D$39,0))*INDEX(EF!$H$84:$H$99,MATCH(Emissions!$D63,EF!$D$84:$D$99,0))*INDEX(EF!$H$100:$H$115,MATCH(Emissions!$D63,EF!$D$100:$D$115,0))*INDEX(EF!$H$116:$H$131,MATCH(Emissions!$D63,EF!$D$116:$D$131,0))*kgtoGg</f>
        <v>22.517316723914707</v>
      </c>
      <c r="M63" s="22">
        <f>INDEX('Activity data'!M$24:M$39,MATCH(Emissions!$D63,'Activity data'!$D$24:$D$39,0))*INDEX(EF!$H$84:$H$99,MATCH(Emissions!$D63,EF!$D$84:$D$99,0))*INDEX(EF!$H$100:$H$115,MATCH(Emissions!$D63,EF!$D$100:$D$115,0))*INDEX(EF!$H$116:$H$131,MATCH(Emissions!$D63,EF!$D$116:$D$131,0))*kgtoGg</f>
        <v>22.517316723914707</v>
      </c>
      <c r="N63" s="22">
        <f>INDEX('Activity data'!N$24:N$39,MATCH(Emissions!$D63,'Activity data'!$D$24:$D$39,0))*INDEX(EF!$H$84:$H$99,MATCH(Emissions!$D63,EF!$D$84:$D$99,0))*INDEX(EF!$H$100:$H$115,MATCH(Emissions!$D63,EF!$D$100:$D$115,0))*INDEX(EF!$H$116:$H$131,MATCH(Emissions!$D63,EF!$D$116:$D$131,0))*kgtoGg</f>
        <v>22.517316723914707</v>
      </c>
      <c r="O63" s="22">
        <f>INDEX('Activity data'!O$24:O$39,MATCH(Emissions!$D63,'Activity data'!$D$24:$D$39,0))*INDEX(EF!$H$84:$H$99,MATCH(Emissions!$D63,EF!$D$84:$D$99,0))*INDEX(EF!$H$100:$H$115,MATCH(Emissions!$D63,EF!$D$100:$D$115,0))*INDEX(EF!$H$116:$H$131,MATCH(Emissions!$D63,EF!$D$116:$D$131,0))*kgtoGg</f>
        <v>22.517316723914707</v>
      </c>
      <c r="P63" s="22">
        <f>INDEX('Activity data'!P$24:P$39,MATCH(Emissions!$D63,'Activity data'!$D$24:$D$39,0))*INDEX(EF!$H$84:$H$99,MATCH(Emissions!$D63,EF!$D$84:$D$99,0))*INDEX(EF!$H$100:$H$115,MATCH(Emissions!$D63,EF!$D$100:$D$115,0))*INDEX(EF!$H$116:$H$131,MATCH(Emissions!$D63,EF!$D$116:$D$131,0))*kgtoGg</f>
        <v>22.517316723914707</v>
      </c>
      <c r="Q63" s="22">
        <f>INDEX('Activity data'!Q$24:Q$39,MATCH(Emissions!$D63,'Activity data'!$D$24:$D$39,0))*INDEX(EF!$H$84:$H$99,MATCH(Emissions!$D63,EF!$D$84:$D$99,0))*INDEX(EF!$H$100:$H$115,MATCH(Emissions!$D63,EF!$D$100:$D$115,0))*INDEX(EF!$H$116:$H$131,MATCH(Emissions!$D63,EF!$D$116:$D$131,0))*kgtoGg</f>
        <v>22.517316723914707</v>
      </c>
      <c r="R63" s="22">
        <f>INDEX('Activity data'!R$24:R$39,MATCH(Emissions!$D63,'Activity data'!$D$24:$D$39,0))*INDEX(EF!$H$84:$H$99,MATCH(Emissions!$D63,EF!$D$84:$D$99,0))*INDEX(EF!$H$100:$H$115,MATCH(Emissions!$D63,EF!$D$100:$D$115,0))*INDEX(EF!$H$116:$H$131,MATCH(Emissions!$D63,EF!$D$116:$D$131,0))*kgtoGg</f>
        <v>22.367920192777621</v>
      </c>
      <c r="S63" s="22">
        <f>INDEX('Activity data'!S$24:S$39,MATCH(Emissions!$D63,'Activity data'!$D$24:$D$39,0))*INDEX(EF!$H$84:$H$99,MATCH(Emissions!$D63,EF!$D$84:$D$99,0))*INDEX(EF!$H$100:$H$115,MATCH(Emissions!$D63,EF!$D$100:$D$115,0))*INDEX(EF!$H$116:$H$131,MATCH(Emissions!$D63,EF!$D$116:$D$131,0))*kgtoGg</f>
        <v>25.580620137780603</v>
      </c>
      <c r="T63" s="22">
        <f>INDEX('Activity data'!T$24:T$39,MATCH(Emissions!$D63,'Activity data'!$D$24:$D$39,0))*INDEX(EF!$H$84:$H$99,MATCH(Emissions!$D63,EF!$D$84:$D$99,0))*INDEX(EF!$H$100:$H$115,MATCH(Emissions!$D63,EF!$D$100:$D$115,0))*INDEX(EF!$H$116:$H$131,MATCH(Emissions!$D63,EF!$D$116:$D$131,0))*kgtoGg</f>
        <v>26.023631115635403</v>
      </c>
      <c r="U63" s="22">
        <f>INDEX('Activity data'!U$24:U$39,MATCH(Emissions!$D63,'Activity data'!$D$24:$D$39,0))*INDEX(EF!$H$84:$H$99,MATCH(Emissions!$D63,EF!$D$84:$D$99,0))*INDEX(EF!$H$100:$H$115,MATCH(Emissions!$D63,EF!$D$100:$D$115,0))*INDEX(EF!$H$116:$H$131,MATCH(Emissions!$D63,EF!$D$116:$D$131,0))*kgtoGg</f>
        <v>20.888315748075943</v>
      </c>
      <c r="V63" s="22">
        <f>INDEX('Activity data'!V$24:V$39,MATCH(Emissions!$D63,'Activity data'!$D$24:$D$39,0))*INDEX(EF!$H$84:$H$99,MATCH(Emissions!$D63,EF!$D$84:$D$99,0))*INDEX(EF!$H$100:$H$115,MATCH(Emissions!$D63,EF!$D$100:$D$115,0))*INDEX(EF!$H$116:$H$131,MATCH(Emissions!$D63,EF!$D$116:$D$131,0))*kgtoGg</f>
        <v>17.726096425303961</v>
      </c>
      <c r="W63" s="22">
        <f>INDEX('Activity data'!W$24:W$39,MATCH(Emissions!$D63,'Activity data'!$D$24:$D$39,0))*INDEX(EF!$H$84:$H$99,MATCH(Emissions!$D63,EF!$D$84:$D$99,0))*INDEX(EF!$H$100:$H$115,MATCH(Emissions!$D63,EF!$D$100:$D$115,0))*INDEX(EF!$H$116:$H$131,MATCH(Emissions!$D63,EF!$D$116:$D$131,0))*kgtoGg</f>
        <v>27.538484960343208</v>
      </c>
      <c r="X63" s="22">
        <f>INDEX('Activity data'!X$24:X$39,MATCH(Emissions!$D63,'Activity data'!$D$24:$D$39,0))*INDEX(EF!$H$84:$H$99,MATCH(Emissions!$D63,EF!$D$84:$D$99,0))*INDEX(EF!$H$100:$H$115,MATCH(Emissions!$D63,EF!$D$100:$D$115,0))*INDEX(EF!$H$116:$H$131,MATCH(Emissions!$D63,EF!$D$116:$D$131,0))*kgtoGg</f>
        <v>24.258332459772951</v>
      </c>
      <c r="Y63" s="22">
        <f>INDEX('Activity data'!Y$24:Y$39,MATCH(Emissions!$D63,'Activity data'!$D$24:$D$39,0))*INDEX(EF!$H$84:$H$99,MATCH(Emissions!$D63,EF!$D$84:$D$99,0))*INDEX(EF!$H$100:$H$115,MATCH(Emissions!$D63,EF!$D$100:$D$115,0))*INDEX(EF!$H$116:$H$131,MATCH(Emissions!$D63,EF!$D$116:$D$131,0))*kgtoGg</f>
        <v>22.854448948417762</v>
      </c>
      <c r="Z63" s="22">
        <f>INDEX('Activity data'!Z$24:Z$39,MATCH(Emissions!$D63,'Activity data'!$D$24:$D$39,0))*INDEX(EF!$H$84:$H$99,MATCH(Emissions!$D63,EF!$D$84:$D$99,0))*INDEX(EF!$H$100:$H$115,MATCH(Emissions!$D63,EF!$D$100:$D$115,0))*INDEX(EF!$H$116:$H$131,MATCH(Emissions!$D63,EF!$D$116:$D$131,0))*kgtoGg</f>
        <v>21.238198681470106</v>
      </c>
      <c r="AA63" s="22">
        <f>INDEX('Activity data'!AA$24:AA$39,MATCH(Emissions!$D63,'Activity data'!$D$24:$D$39,0))*INDEX(EF!$H$84:$H$99,MATCH(Emissions!$D63,EF!$D$84:$D$99,0))*INDEX(EF!$H$100:$H$115,MATCH(Emissions!$D63,EF!$D$100:$D$115,0))*INDEX(EF!$H$116:$H$131,MATCH(Emissions!$D63,EF!$D$116:$D$131,0))*kgtoGg</f>
        <v>21.969079759374946</v>
      </c>
      <c r="AB63" s="22">
        <f>INDEX('Activity data'!AB$24:AB$39,MATCH(Emissions!$D63,'Activity data'!$D$24:$D$39,0))*INDEX(EF!$H$84:$H$99,MATCH(Emissions!$D63,EF!$D$84:$D$99,0))*INDEX(EF!$H$100:$H$115,MATCH(Emissions!$D63,EF!$D$100:$D$115,0))*INDEX(EF!$H$116:$H$131,MATCH(Emissions!$D63,EF!$D$116:$D$131,0))*kgtoGg</f>
        <v>18.942062311799994</v>
      </c>
      <c r="AC63" s="22">
        <f>INDEX('Activity data'!AC$24:AC$39,MATCH(Emissions!$D63,'Activity data'!$D$24:$D$39,0))*INDEX(EF!$H$84:$H$99,MATCH(Emissions!$D63,EF!$D$84:$D$99,0))*INDEX(EF!$H$100:$H$115,MATCH(Emissions!$D63,EF!$D$100:$D$115,0))*INDEX(EF!$H$116:$H$131,MATCH(Emissions!$D63,EF!$D$116:$D$131,0))*kgtoGg</f>
        <v>19.242646390799994</v>
      </c>
      <c r="AD63" s="22">
        <f>INDEX('Activity data'!AD$24:AD$39,MATCH(Emissions!$D63,'Activity data'!$D$24:$D$39,0))*INDEX(EF!$H$84:$H$99,MATCH(Emissions!$D63,EF!$D$84:$D$99,0))*INDEX(EF!$H$100:$H$115,MATCH(Emissions!$D63,EF!$D$100:$D$115,0))*INDEX(EF!$H$116:$H$131,MATCH(Emissions!$D63,EF!$D$116:$D$131,0))*kgtoGg</f>
        <v>19.140814819727147</v>
      </c>
      <c r="AE63" s="22">
        <f>INDEX('Activity data'!AE$24:AE$39,MATCH(Emissions!$D63,'Activity data'!$D$24:$D$39,0))*INDEX(EF!$H$84:$H$99,MATCH(Emissions!$D63,EF!$D$84:$D$99,0))*INDEX(EF!$H$100:$H$115,MATCH(Emissions!$D63,EF!$D$100:$D$115,0))*INDEX(EF!$H$116:$H$131,MATCH(Emissions!$D63,EF!$D$116:$D$131,0))*kgtoGg</f>
        <v>19.263613253106172</v>
      </c>
      <c r="AF63" s="22">
        <f>INDEX('Activity data'!AF$24:AF$39,MATCH(Emissions!$D63,'Activity data'!$D$24:$D$39,0))*INDEX(EF!$H$84:$H$99,MATCH(Emissions!$D63,EF!$D$84:$D$99,0))*INDEX(EF!$H$100:$H$115,MATCH(Emissions!$D63,EF!$D$100:$D$115,0))*INDEX(EF!$H$116:$H$131,MATCH(Emissions!$D63,EF!$D$116:$D$131,0))*kgtoGg</f>
        <v>19.386411686485193</v>
      </c>
      <c r="AG63" s="22">
        <f>INDEX('Activity data'!AG$24:AG$39,MATCH(Emissions!$D63,'Activity data'!$D$24:$D$39,0))*INDEX(EF!$H$84:$H$99,MATCH(Emissions!$D63,EF!$D$84:$D$99,0))*INDEX(EF!$H$100:$H$115,MATCH(Emissions!$D63,EF!$D$100:$D$115,0))*INDEX(EF!$H$116:$H$131,MATCH(Emissions!$D63,EF!$D$116:$D$131,0))*kgtoGg</f>
        <v>19.509210119864214</v>
      </c>
      <c r="AH63" s="22">
        <f>INDEX('Activity data'!AH$24:AH$39,MATCH(Emissions!$D63,'Activity data'!$D$24:$D$39,0))*INDEX(EF!$H$84:$H$99,MATCH(Emissions!$D63,EF!$D$84:$D$99,0))*INDEX(EF!$H$100:$H$115,MATCH(Emissions!$D63,EF!$D$100:$D$115,0))*INDEX(EF!$H$116:$H$131,MATCH(Emissions!$D63,EF!$D$116:$D$131,0))*kgtoGg</f>
        <v>19.632008553243242</v>
      </c>
      <c r="AI63" s="22">
        <f>INDEX('Activity data'!AI$24:AI$39,MATCH(Emissions!$D63,'Activity data'!$D$24:$D$39,0))*INDEX(EF!$H$84:$H$99,MATCH(Emissions!$D63,EF!$D$84:$D$99,0))*INDEX(EF!$H$100:$H$115,MATCH(Emissions!$D63,EF!$D$100:$D$115,0))*INDEX(EF!$H$116:$H$131,MATCH(Emissions!$D63,EF!$D$116:$D$131,0))*kgtoGg</f>
        <v>19.754806986622263</v>
      </c>
      <c r="AJ63" s="22">
        <f>INDEX('Activity data'!AJ$24:AJ$39,MATCH(Emissions!$D63,'Activity data'!$D$24:$D$39,0))*INDEX(EF!$H$84:$H$99,MATCH(Emissions!$D63,EF!$D$84:$D$99,0))*INDEX(EF!$H$100:$H$115,MATCH(Emissions!$D63,EF!$D$100:$D$115,0))*INDEX(EF!$H$116:$H$131,MATCH(Emissions!$D63,EF!$D$116:$D$131,0))*kgtoGg</f>
        <v>19.877605420001284</v>
      </c>
      <c r="AK63" s="22">
        <f>INDEX('Activity data'!AK$24:AK$39,MATCH(Emissions!$D63,'Activity data'!$D$24:$D$39,0))*INDEX(EF!$H$84:$H$99,MATCH(Emissions!$D63,EF!$D$84:$D$99,0))*INDEX(EF!$H$100:$H$115,MATCH(Emissions!$D63,EF!$D$100:$D$115,0))*INDEX(EF!$H$116:$H$131,MATCH(Emissions!$D63,EF!$D$116:$D$131,0))*kgtoGg</f>
        <v>20.083827984907678</v>
      </c>
      <c r="AL63" s="22">
        <f>INDEX('Activity data'!AL$24:AL$39,MATCH(Emissions!$D63,'Activity data'!$D$24:$D$39,0))*INDEX(EF!$H$84:$H$99,MATCH(Emissions!$D63,EF!$D$84:$D$99,0))*INDEX(EF!$H$100:$H$115,MATCH(Emissions!$D63,EF!$D$100:$D$115,0))*INDEX(EF!$H$116:$H$131,MATCH(Emissions!$D63,EF!$D$116:$D$131,0))*kgtoGg</f>
        <v>20.290050549814062</v>
      </c>
      <c r="AM63" s="22">
        <f>INDEX('Activity data'!AM$24:AM$39,MATCH(Emissions!$D63,'Activity data'!$D$24:$D$39,0))*INDEX(EF!$H$84:$H$99,MATCH(Emissions!$D63,EF!$D$84:$D$99,0))*INDEX(EF!$H$100:$H$115,MATCH(Emissions!$D63,EF!$D$100:$D$115,0))*INDEX(EF!$H$116:$H$131,MATCH(Emissions!$D63,EF!$D$116:$D$131,0))*kgtoGg</f>
        <v>20.496273114720456</v>
      </c>
      <c r="AN63" s="22">
        <f>INDEX('Activity data'!AN$24:AN$39,MATCH(Emissions!$D63,'Activity data'!$D$24:$D$39,0))*INDEX(EF!$H$84:$H$99,MATCH(Emissions!$D63,EF!$D$84:$D$99,0))*INDEX(EF!$H$100:$H$115,MATCH(Emissions!$D63,EF!$D$100:$D$115,0))*INDEX(EF!$H$116:$H$131,MATCH(Emissions!$D63,EF!$D$116:$D$131,0))*kgtoGg</f>
        <v>20.702495679626839</v>
      </c>
      <c r="AO63" s="22">
        <f>INDEX('Activity data'!AO$24:AO$39,MATCH(Emissions!$D63,'Activity data'!$D$24:$D$39,0))*INDEX(EF!$H$84:$H$99,MATCH(Emissions!$D63,EF!$D$84:$D$99,0))*INDEX(EF!$H$100:$H$115,MATCH(Emissions!$D63,EF!$D$100:$D$115,0))*INDEX(EF!$H$116:$H$131,MATCH(Emissions!$D63,EF!$D$116:$D$131,0))*kgtoGg</f>
        <v>20.908718244533233</v>
      </c>
      <c r="AP63" s="22">
        <f>INDEX('Activity data'!AP$24:AP$39,MATCH(Emissions!$D63,'Activity data'!$D$24:$D$39,0))*INDEX(EF!$H$84:$H$99,MATCH(Emissions!$D63,EF!$D$84:$D$99,0))*INDEX(EF!$H$100:$H$115,MATCH(Emissions!$D63,EF!$D$100:$D$115,0))*INDEX(EF!$H$116:$H$131,MATCH(Emissions!$D63,EF!$D$116:$D$131,0))*kgtoGg</f>
        <v>21.114940809439616</v>
      </c>
      <c r="AQ63" s="22">
        <f>INDEX('Activity data'!AQ$24:AQ$39,MATCH(Emissions!$D63,'Activity data'!$D$24:$D$39,0))*INDEX(EF!$H$84:$H$99,MATCH(Emissions!$D63,EF!$D$84:$D$99,0))*INDEX(EF!$H$100:$H$115,MATCH(Emissions!$D63,EF!$D$100:$D$115,0))*INDEX(EF!$H$116:$H$131,MATCH(Emissions!$D63,EF!$D$116:$D$131,0))*kgtoGg</f>
        <v>21.32116337434601</v>
      </c>
      <c r="AR63" s="22">
        <f>INDEX('Activity data'!AR$24:AR$39,MATCH(Emissions!$D63,'Activity data'!$D$24:$D$39,0))*INDEX(EF!$H$84:$H$99,MATCH(Emissions!$D63,EF!$D$84:$D$99,0))*INDEX(EF!$H$100:$H$115,MATCH(Emissions!$D63,EF!$D$100:$D$115,0))*INDEX(EF!$H$116:$H$131,MATCH(Emissions!$D63,EF!$D$116:$D$131,0))*kgtoGg</f>
        <v>21.527385939252397</v>
      </c>
      <c r="AS63" s="22">
        <f>INDEX('Activity data'!AS$24:AS$39,MATCH(Emissions!$D63,'Activity data'!$D$24:$D$39,0))*INDEX(EF!$H$84:$H$99,MATCH(Emissions!$D63,EF!$D$84:$D$99,0))*INDEX(EF!$H$100:$H$115,MATCH(Emissions!$D63,EF!$D$100:$D$115,0))*INDEX(EF!$H$116:$H$131,MATCH(Emissions!$D63,EF!$D$116:$D$131,0))*kgtoGg</f>
        <v>21.733608504158784</v>
      </c>
      <c r="AT63" s="22">
        <f>INDEX('Activity data'!AT$24:AT$39,MATCH(Emissions!$D63,'Activity data'!$D$24:$D$39,0))*INDEX(EF!$H$84:$H$99,MATCH(Emissions!$D63,EF!$D$84:$D$99,0))*INDEX(EF!$H$100:$H$115,MATCH(Emissions!$D63,EF!$D$100:$D$115,0))*INDEX(EF!$H$116:$H$131,MATCH(Emissions!$D63,EF!$D$116:$D$131,0))*kgtoGg</f>
        <v>21.939831069065175</v>
      </c>
      <c r="AU63" s="22">
        <f>INDEX('Activity data'!AU$24:AU$39,MATCH(Emissions!$D63,'Activity data'!$D$24:$D$39,0))*INDEX(EF!$H$84:$H$99,MATCH(Emissions!$D63,EF!$D$84:$D$99,0))*INDEX(EF!$H$100:$H$115,MATCH(Emissions!$D63,EF!$D$100:$D$115,0))*INDEX(EF!$H$116:$H$131,MATCH(Emissions!$D63,EF!$D$116:$D$131,0))*kgtoGg</f>
        <v>22.146053633971565</v>
      </c>
      <c r="AV63" s="22">
        <f>INDEX('Activity data'!AV$24:AV$39,MATCH(Emissions!$D63,'Activity data'!$D$24:$D$39,0))*INDEX(EF!$H$84:$H$99,MATCH(Emissions!$D63,EF!$D$84:$D$99,0))*INDEX(EF!$H$100:$H$115,MATCH(Emissions!$D63,EF!$D$100:$D$115,0))*INDEX(EF!$H$116:$H$131,MATCH(Emissions!$D63,EF!$D$116:$D$131,0))*kgtoGg</f>
        <v>22.352276198877952</v>
      </c>
      <c r="AW63" s="22">
        <f>INDEX('Activity data'!AW$24:AW$39,MATCH(Emissions!$D63,'Activity data'!$D$24:$D$39,0))*INDEX(EF!$H$84:$H$99,MATCH(Emissions!$D63,EF!$D$84:$D$99,0))*INDEX(EF!$H$100:$H$115,MATCH(Emissions!$D63,EF!$D$100:$D$115,0))*INDEX(EF!$H$116:$H$131,MATCH(Emissions!$D63,EF!$D$116:$D$131,0))*kgtoGg</f>
        <v>22.56201626272437</v>
      </c>
      <c r="AX63" s="22">
        <f>INDEX('Activity data'!AX$24:AX$39,MATCH(Emissions!$D63,'Activity data'!$D$24:$D$39,0))*INDEX(EF!$H$84:$H$99,MATCH(Emissions!$D63,EF!$D$84:$D$99,0))*INDEX(EF!$H$100:$H$115,MATCH(Emissions!$D63,EF!$D$100:$D$115,0))*INDEX(EF!$H$116:$H$131,MATCH(Emissions!$D63,EF!$D$116:$D$131,0))*kgtoGg</f>
        <v>22.771756326570781</v>
      </c>
      <c r="AY63" s="22">
        <f>INDEX('Activity data'!AY$24:AY$39,MATCH(Emissions!$D63,'Activity data'!$D$24:$D$39,0))*INDEX(EF!$H$84:$H$99,MATCH(Emissions!$D63,EF!$D$84:$D$99,0))*INDEX(EF!$H$100:$H$115,MATCH(Emissions!$D63,EF!$D$100:$D$115,0))*INDEX(EF!$H$116:$H$131,MATCH(Emissions!$D63,EF!$D$116:$D$131,0))*kgtoGg</f>
        <v>22.981496390417199</v>
      </c>
      <c r="AZ63" s="22">
        <f>INDEX('Activity data'!AZ$24:AZ$39,MATCH(Emissions!$D63,'Activity data'!$D$24:$D$39,0))*INDEX(EF!$H$84:$H$99,MATCH(Emissions!$D63,EF!$D$84:$D$99,0))*INDEX(EF!$H$100:$H$115,MATCH(Emissions!$D63,EF!$D$100:$D$115,0))*INDEX(EF!$H$116:$H$131,MATCH(Emissions!$D63,EF!$D$116:$D$131,0))*kgtoGg</f>
        <v>23.191236454263613</v>
      </c>
      <c r="BA63" s="22">
        <f>INDEX('Activity data'!BA$24:BA$39,MATCH(Emissions!$D63,'Activity data'!$D$24:$D$39,0))*INDEX(EF!$H$84:$H$99,MATCH(Emissions!$D63,EF!$D$84:$D$99,0))*INDEX(EF!$H$100:$H$115,MATCH(Emissions!$D63,EF!$D$100:$D$115,0))*INDEX(EF!$H$116:$H$131,MATCH(Emissions!$D63,EF!$D$116:$D$131,0))*kgtoGg</f>
        <v>23.400976518110024</v>
      </c>
      <c r="BB63" s="22">
        <f>INDEX('Activity data'!BB$24:BB$39,MATCH(Emissions!$D63,'Activity data'!$D$24:$D$39,0))*INDEX(EF!$H$84:$H$99,MATCH(Emissions!$D63,EF!$D$84:$D$99,0))*INDEX(EF!$H$100:$H$115,MATCH(Emissions!$D63,EF!$D$100:$D$115,0))*INDEX(EF!$H$116:$H$131,MATCH(Emissions!$D63,EF!$D$116:$D$131,0))*kgtoGg</f>
        <v>23.610716581956442</v>
      </c>
      <c r="BC63" s="22">
        <f>INDEX('Activity data'!BC$24:BC$39,MATCH(Emissions!$D63,'Activity data'!$D$24:$D$39,0))*INDEX(EF!$H$84:$H$99,MATCH(Emissions!$D63,EF!$D$84:$D$99,0))*INDEX(EF!$H$100:$H$115,MATCH(Emissions!$D63,EF!$D$100:$D$115,0))*INDEX(EF!$H$116:$H$131,MATCH(Emissions!$D63,EF!$D$116:$D$131,0))*kgtoGg</f>
        <v>23.820456645802853</v>
      </c>
      <c r="BD63" s="22">
        <f>INDEX('Activity data'!BD$24:BD$39,MATCH(Emissions!$D63,'Activity data'!$D$24:$D$39,0))*INDEX(EF!$H$84:$H$99,MATCH(Emissions!$D63,EF!$D$84:$D$99,0))*INDEX(EF!$H$100:$H$115,MATCH(Emissions!$D63,EF!$D$100:$D$115,0))*INDEX(EF!$H$116:$H$131,MATCH(Emissions!$D63,EF!$D$116:$D$131,0))*kgtoGg</f>
        <v>24.030196709649267</v>
      </c>
      <c r="BE63" s="22">
        <f>INDEX('Activity data'!BE$24:BE$39,MATCH(Emissions!$D63,'Activity data'!$D$24:$D$39,0))*INDEX(EF!$H$84:$H$99,MATCH(Emissions!$D63,EF!$D$84:$D$99,0))*INDEX(EF!$H$100:$H$115,MATCH(Emissions!$D63,EF!$D$100:$D$115,0))*INDEX(EF!$H$116:$H$131,MATCH(Emissions!$D63,EF!$D$116:$D$131,0))*kgtoGg</f>
        <v>24.239936773495682</v>
      </c>
      <c r="BF63" s="22">
        <f>INDEX('Activity data'!BF$24:BF$39,MATCH(Emissions!$D63,'Activity data'!$D$24:$D$39,0))*INDEX(EF!$H$84:$H$99,MATCH(Emissions!$D63,EF!$D$84:$D$99,0))*INDEX(EF!$H$100:$H$115,MATCH(Emissions!$D63,EF!$D$100:$D$115,0))*INDEX(EF!$H$116:$H$131,MATCH(Emissions!$D63,EF!$D$116:$D$131,0))*kgtoGg</f>
        <v>24.449676837342093</v>
      </c>
      <c r="BG63" s="22">
        <f>INDEX('Activity data'!BG$24:BG$39,MATCH(Emissions!$D63,'Activity data'!$D$24:$D$39,0))*INDEX(EF!$H$84:$H$99,MATCH(Emissions!$D63,EF!$D$84:$D$99,0))*INDEX(EF!$H$100:$H$115,MATCH(Emissions!$D63,EF!$D$100:$D$115,0))*INDEX(EF!$H$116:$H$131,MATCH(Emissions!$D63,EF!$D$116:$D$131,0))*kgtoGg</f>
        <v>24.659416901188511</v>
      </c>
      <c r="BH63" s="22">
        <f>INDEX('Activity data'!BH$24:BH$39,MATCH(Emissions!$D63,'Activity data'!$D$24:$D$39,0))*INDEX(EF!$H$84:$H$99,MATCH(Emissions!$D63,EF!$D$84:$D$99,0))*INDEX(EF!$H$100:$H$115,MATCH(Emissions!$D63,EF!$D$100:$D$115,0))*INDEX(EF!$H$116:$H$131,MATCH(Emissions!$D63,EF!$D$116:$D$131,0))*kgtoGg</f>
        <v>24.869156965034922</v>
      </c>
      <c r="BI63" s="22">
        <f>INDEX('Activity data'!BI$24:BI$39,MATCH(Emissions!$D63,'Activity data'!$D$24:$D$39,0))*INDEX(EF!$H$84:$H$99,MATCH(Emissions!$D63,EF!$D$84:$D$99,0))*INDEX(EF!$H$100:$H$115,MATCH(Emissions!$D63,EF!$D$100:$D$115,0))*INDEX(EF!$H$116:$H$131,MATCH(Emissions!$D63,EF!$D$116:$D$131,0))*kgtoGg</f>
        <v>25.078897028881336</v>
      </c>
      <c r="BJ63" s="22">
        <f>INDEX('Activity data'!BJ$24:BJ$39,MATCH(Emissions!$D63,'Activity data'!$D$24:$D$39,0))*INDEX(EF!$H$84:$H$99,MATCH(Emissions!$D63,EF!$D$84:$D$99,0))*INDEX(EF!$H$100:$H$115,MATCH(Emissions!$D63,EF!$D$100:$D$115,0))*INDEX(EF!$H$116:$H$131,MATCH(Emissions!$D63,EF!$D$116:$D$131,0))*kgtoGg</f>
        <v>25.28863709272775</v>
      </c>
      <c r="BK63" s="22">
        <f>INDEX('Activity data'!BK$24:BK$39,MATCH(Emissions!$D63,'Activity data'!$D$24:$D$39,0))*INDEX(EF!$H$84:$H$99,MATCH(Emissions!$D63,EF!$D$84:$D$99,0))*INDEX(EF!$H$100:$H$115,MATCH(Emissions!$D63,EF!$D$100:$D$115,0))*INDEX(EF!$H$116:$H$131,MATCH(Emissions!$D63,EF!$D$116:$D$131,0))*kgtoGg</f>
        <v>25.498377156574168</v>
      </c>
      <c r="BL63" s="22">
        <f>INDEX('Activity data'!BL$24:BL$39,MATCH(Emissions!$D63,'Activity data'!$D$24:$D$39,0))*INDEX(EF!$H$84:$H$99,MATCH(Emissions!$D63,EF!$D$84:$D$99,0))*INDEX(EF!$H$100:$H$115,MATCH(Emissions!$D63,EF!$D$100:$D$115,0))*INDEX(EF!$H$116:$H$131,MATCH(Emissions!$D63,EF!$D$116:$D$131,0))*kgtoGg</f>
        <v>25.708117220420583</v>
      </c>
      <c r="BM63" s="22">
        <f>INDEX('Activity data'!BM$24:BM$39,MATCH(Emissions!$D63,'Activity data'!$D$24:$D$39,0))*INDEX(EF!$H$84:$H$99,MATCH(Emissions!$D63,EF!$D$84:$D$99,0))*INDEX(EF!$H$100:$H$115,MATCH(Emissions!$D63,EF!$D$100:$D$115,0))*INDEX(EF!$H$116:$H$131,MATCH(Emissions!$D63,EF!$D$116:$D$131,0))*kgtoGg</f>
        <v>25.917857284266997</v>
      </c>
      <c r="BN63" s="22">
        <f>INDEX('Activity data'!BN$24:BN$39,MATCH(Emissions!$D63,'Activity data'!$D$24:$D$39,0))*INDEX(EF!$H$84:$H$99,MATCH(Emissions!$D63,EF!$D$84:$D$99,0))*INDEX(EF!$H$100:$H$115,MATCH(Emissions!$D63,EF!$D$100:$D$115,0))*INDEX(EF!$H$116:$H$131,MATCH(Emissions!$D63,EF!$D$116:$D$131,0))*kgtoGg</f>
        <v>26.127597348113408</v>
      </c>
      <c r="BO63" s="22">
        <f>INDEX('Activity data'!BO$24:BO$39,MATCH(Emissions!$D63,'Activity data'!$D$24:$D$39,0))*INDEX(EF!$H$84:$H$99,MATCH(Emissions!$D63,EF!$D$84:$D$99,0))*INDEX(EF!$H$100:$H$115,MATCH(Emissions!$D63,EF!$D$100:$D$115,0))*INDEX(EF!$H$116:$H$131,MATCH(Emissions!$D63,EF!$D$116:$D$131,0))*kgtoGg</f>
        <v>26.337337411959826</v>
      </c>
      <c r="BP63" s="22">
        <f>INDEX('Activity data'!BP$24:BP$39,MATCH(Emissions!$D63,'Activity data'!$D$24:$D$39,0))*INDEX(EF!$H$84:$H$99,MATCH(Emissions!$D63,EF!$D$84:$D$99,0))*INDEX(EF!$H$100:$H$115,MATCH(Emissions!$D63,EF!$D$100:$D$115,0))*INDEX(EF!$H$116:$H$131,MATCH(Emissions!$D63,EF!$D$116:$D$131,0))*kgtoGg</f>
        <v>26.54707747580624</v>
      </c>
    </row>
    <row r="64" spans="1:68" x14ac:dyDescent="0.25">
      <c r="A64" t="str">
        <f t="shared" si="19"/>
        <v>3C Aggregated and non-CO2 emissions on land</v>
      </c>
      <c r="B64" t="str">
        <f t="shared" si="20"/>
        <v>3C1 Biomass burning (CH4)</v>
      </c>
      <c r="C64" t="str">
        <f>C63</f>
        <v>3C1c Biomass burning in Grasslands</v>
      </c>
      <c r="D64" t="str">
        <f>EF!D94</f>
        <v>Low shrublands</v>
      </c>
      <c r="E64" t="s">
        <v>651</v>
      </c>
      <c r="F64" t="str">
        <f t="shared" si="21"/>
        <v>CH4</v>
      </c>
      <c r="G64" t="str">
        <f t="shared" si="22"/>
        <v>Gg CH4</v>
      </c>
      <c r="H64" s="22">
        <f>INDEX('Activity data'!H$24:H$39,MATCH(Emissions!$D64,'Activity data'!$D$24:$D$39,0))*INDEX(EF!$H$84:$H$99,MATCH(Emissions!$D64,EF!$D$84:$D$99,0))*INDEX(EF!$H$100:$H$115,MATCH(Emissions!$D64,EF!$D$100:$D$115,0))*INDEX(EF!$H$116:$H$131,MATCH(Emissions!$D64,EF!$D$116:$D$131,0))*kgtoGg</f>
        <v>1.8327068962105979</v>
      </c>
      <c r="I64" s="22">
        <f>INDEX('Activity data'!I$24:I$39,MATCH(Emissions!$D64,'Activity data'!$D$24:$D$39,0))*INDEX(EF!$H$84:$H$99,MATCH(Emissions!$D64,EF!$D$84:$D$99,0))*INDEX(EF!$H$100:$H$115,MATCH(Emissions!$D64,EF!$D$100:$D$115,0))*INDEX(EF!$H$116:$H$131,MATCH(Emissions!$D64,EF!$D$116:$D$131,0))*kgtoGg</f>
        <v>1.8327068962105979</v>
      </c>
      <c r="J64" s="22">
        <f>INDEX('Activity data'!J$24:J$39,MATCH(Emissions!$D64,'Activity data'!$D$24:$D$39,0))*INDEX(EF!$H$84:$H$99,MATCH(Emissions!$D64,EF!$D$84:$D$99,0))*INDEX(EF!$H$100:$H$115,MATCH(Emissions!$D64,EF!$D$100:$D$115,0))*INDEX(EF!$H$116:$H$131,MATCH(Emissions!$D64,EF!$D$116:$D$131,0))*kgtoGg</f>
        <v>1.8327068962105979</v>
      </c>
      <c r="K64" s="22">
        <f>INDEX('Activity data'!K$24:K$39,MATCH(Emissions!$D64,'Activity data'!$D$24:$D$39,0))*INDEX(EF!$H$84:$H$99,MATCH(Emissions!$D64,EF!$D$84:$D$99,0))*INDEX(EF!$H$100:$H$115,MATCH(Emissions!$D64,EF!$D$100:$D$115,0))*INDEX(EF!$H$116:$H$131,MATCH(Emissions!$D64,EF!$D$116:$D$131,0))*kgtoGg</f>
        <v>1.8327068962105979</v>
      </c>
      <c r="L64" s="22">
        <f>INDEX('Activity data'!L$24:L$39,MATCH(Emissions!$D64,'Activity data'!$D$24:$D$39,0))*INDEX(EF!$H$84:$H$99,MATCH(Emissions!$D64,EF!$D$84:$D$99,0))*INDEX(EF!$H$100:$H$115,MATCH(Emissions!$D64,EF!$D$100:$D$115,0))*INDEX(EF!$H$116:$H$131,MATCH(Emissions!$D64,EF!$D$116:$D$131,0))*kgtoGg</f>
        <v>1.8327068962105979</v>
      </c>
      <c r="M64" s="22">
        <f>INDEX('Activity data'!M$24:M$39,MATCH(Emissions!$D64,'Activity data'!$D$24:$D$39,0))*INDEX(EF!$H$84:$H$99,MATCH(Emissions!$D64,EF!$D$84:$D$99,0))*INDEX(EF!$H$100:$H$115,MATCH(Emissions!$D64,EF!$D$100:$D$115,0))*INDEX(EF!$H$116:$H$131,MATCH(Emissions!$D64,EF!$D$116:$D$131,0))*kgtoGg</f>
        <v>1.8327068962105979</v>
      </c>
      <c r="N64" s="22">
        <f>INDEX('Activity data'!N$24:N$39,MATCH(Emissions!$D64,'Activity data'!$D$24:$D$39,0))*INDEX(EF!$H$84:$H$99,MATCH(Emissions!$D64,EF!$D$84:$D$99,0))*INDEX(EF!$H$100:$H$115,MATCH(Emissions!$D64,EF!$D$100:$D$115,0))*INDEX(EF!$H$116:$H$131,MATCH(Emissions!$D64,EF!$D$116:$D$131,0))*kgtoGg</f>
        <v>1.8327068962105979</v>
      </c>
      <c r="O64" s="22">
        <f>INDEX('Activity data'!O$24:O$39,MATCH(Emissions!$D64,'Activity data'!$D$24:$D$39,0))*INDEX(EF!$H$84:$H$99,MATCH(Emissions!$D64,EF!$D$84:$D$99,0))*INDEX(EF!$H$100:$H$115,MATCH(Emissions!$D64,EF!$D$100:$D$115,0))*INDEX(EF!$H$116:$H$131,MATCH(Emissions!$D64,EF!$D$116:$D$131,0))*kgtoGg</f>
        <v>1.8327068962105979</v>
      </c>
      <c r="P64" s="22">
        <f>INDEX('Activity data'!P$24:P$39,MATCH(Emissions!$D64,'Activity data'!$D$24:$D$39,0))*INDEX(EF!$H$84:$H$99,MATCH(Emissions!$D64,EF!$D$84:$D$99,0))*INDEX(EF!$H$100:$H$115,MATCH(Emissions!$D64,EF!$D$100:$D$115,0))*INDEX(EF!$H$116:$H$131,MATCH(Emissions!$D64,EF!$D$116:$D$131,0))*kgtoGg</f>
        <v>1.8327068962105979</v>
      </c>
      <c r="Q64" s="22">
        <f>INDEX('Activity data'!Q$24:Q$39,MATCH(Emissions!$D64,'Activity data'!$D$24:$D$39,0))*INDEX(EF!$H$84:$H$99,MATCH(Emissions!$D64,EF!$D$84:$D$99,0))*INDEX(EF!$H$100:$H$115,MATCH(Emissions!$D64,EF!$D$100:$D$115,0))*INDEX(EF!$H$116:$H$131,MATCH(Emissions!$D64,EF!$D$116:$D$131,0))*kgtoGg</f>
        <v>1.8327068962105979</v>
      </c>
      <c r="R64" s="22">
        <f>INDEX('Activity data'!R$24:R$39,MATCH(Emissions!$D64,'Activity data'!$D$24:$D$39,0))*INDEX(EF!$H$84:$H$99,MATCH(Emissions!$D64,EF!$D$84:$D$99,0))*INDEX(EF!$H$100:$H$115,MATCH(Emissions!$D64,EF!$D$100:$D$115,0))*INDEX(EF!$H$116:$H$131,MATCH(Emissions!$D64,EF!$D$116:$D$131,0))*kgtoGg</f>
        <v>1.5407167876980463</v>
      </c>
      <c r="S64" s="22">
        <f>INDEX('Activity data'!S$24:S$39,MATCH(Emissions!$D64,'Activity data'!$D$24:$D$39,0))*INDEX(EF!$H$84:$H$99,MATCH(Emissions!$D64,EF!$D$84:$D$99,0))*INDEX(EF!$H$100:$H$115,MATCH(Emissions!$D64,EF!$D$100:$D$115,0))*INDEX(EF!$H$116:$H$131,MATCH(Emissions!$D64,EF!$D$116:$D$131,0))*kgtoGg</f>
        <v>1.2962863918633982</v>
      </c>
      <c r="T64" s="22">
        <f>INDEX('Activity data'!T$24:T$39,MATCH(Emissions!$D64,'Activity data'!$D$24:$D$39,0))*INDEX(EF!$H$84:$H$99,MATCH(Emissions!$D64,EF!$D$84:$D$99,0))*INDEX(EF!$H$100:$H$115,MATCH(Emissions!$D64,EF!$D$100:$D$115,0))*INDEX(EF!$H$116:$H$131,MATCH(Emissions!$D64,EF!$D$116:$D$131,0))*kgtoGg</f>
        <v>3.1553311369274972</v>
      </c>
      <c r="U64" s="22">
        <f>INDEX('Activity data'!U$24:U$39,MATCH(Emissions!$D64,'Activity data'!$D$24:$D$39,0))*INDEX(EF!$H$84:$H$99,MATCH(Emissions!$D64,EF!$D$84:$D$99,0))*INDEX(EF!$H$100:$H$115,MATCH(Emissions!$D64,EF!$D$100:$D$115,0))*INDEX(EF!$H$116:$H$131,MATCH(Emissions!$D64,EF!$D$116:$D$131,0))*kgtoGg</f>
        <v>1.9682331292499253</v>
      </c>
      <c r="V64" s="22">
        <f>INDEX('Activity data'!V$24:V$39,MATCH(Emissions!$D64,'Activity data'!$D$24:$D$39,0))*INDEX(EF!$H$84:$H$99,MATCH(Emissions!$D64,EF!$D$84:$D$99,0))*INDEX(EF!$H$100:$H$115,MATCH(Emissions!$D64,EF!$D$100:$D$115,0))*INDEX(EF!$H$116:$H$131,MATCH(Emissions!$D64,EF!$D$116:$D$131,0))*kgtoGg</f>
        <v>1.202967035314124</v>
      </c>
      <c r="W64" s="22">
        <f>INDEX('Activity data'!W$24:W$39,MATCH(Emissions!$D64,'Activity data'!$D$24:$D$39,0))*INDEX(EF!$H$84:$H$99,MATCH(Emissions!$D64,EF!$D$84:$D$99,0))*INDEX(EF!$H$100:$H$115,MATCH(Emissions!$D64,EF!$D$100:$D$115,0))*INDEX(EF!$H$116:$H$131,MATCH(Emissions!$D64,EF!$D$116:$D$131,0))*kgtoGg</f>
        <v>2.0414201373050664</v>
      </c>
      <c r="X64" s="22">
        <f>INDEX('Activity data'!X$24:X$39,MATCH(Emissions!$D64,'Activity data'!$D$24:$D$39,0))*INDEX(EF!$H$84:$H$99,MATCH(Emissions!$D64,EF!$D$84:$D$99,0))*INDEX(EF!$H$100:$H$115,MATCH(Emissions!$D64,EF!$D$100:$D$115,0))*INDEX(EF!$H$116:$H$131,MATCH(Emissions!$D64,EF!$D$116:$D$131,0))*kgtoGg</f>
        <v>1.5845342520676293</v>
      </c>
      <c r="Y64" s="22">
        <f>INDEX('Activity data'!Y$24:Y$39,MATCH(Emissions!$D64,'Activity data'!$D$24:$D$39,0))*INDEX(EF!$H$84:$H$99,MATCH(Emissions!$D64,EF!$D$84:$D$99,0))*INDEX(EF!$H$100:$H$115,MATCH(Emissions!$D64,EF!$D$100:$D$115,0))*INDEX(EF!$H$116:$H$131,MATCH(Emissions!$D64,EF!$D$116:$D$131,0))*kgtoGg</f>
        <v>1.3635521209496773</v>
      </c>
      <c r="Z64" s="22">
        <f>INDEX('Activity data'!Z$24:Z$39,MATCH(Emissions!$D64,'Activity data'!$D$24:$D$39,0))*INDEX(EF!$H$84:$H$99,MATCH(Emissions!$D64,EF!$D$84:$D$99,0))*INDEX(EF!$H$100:$H$115,MATCH(Emissions!$D64,EF!$D$100:$D$115,0))*INDEX(EF!$H$116:$H$131,MATCH(Emissions!$D64,EF!$D$116:$D$131,0))*kgtoGg</f>
        <v>1.6513262788363989</v>
      </c>
      <c r="AA64" s="22">
        <f>INDEX('Activity data'!AA$24:AA$39,MATCH(Emissions!$D64,'Activity data'!$D$24:$D$39,0))*INDEX(EF!$H$84:$H$99,MATCH(Emissions!$D64,EF!$D$84:$D$99,0))*INDEX(EF!$H$100:$H$115,MATCH(Emissions!$D64,EF!$D$100:$D$115,0))*INDEX(EF!$H$116:$H$131,MATCH(Emissions!$D64,EF!$D$116:$D$131,0))*kgtoGg</f>
        <v>2.2091107577032552</v>
      </c>
      <c r="AB64" s="22">
        <f>INDEX('Activity data'!AB$24:AB$39,MATCH(Emissions!$D64,'Activity data'!$D$24:$D$39,0))*INDEX(EF!$H$84:$H$99,MATCH(Emissions!$D64,EF!$D$84:$D$99,0))*INDEX(EF!$H$100:$H$115,MATCH(Emissions!$D64,EF!$D$100:$D$115,0))*INDEX(EF!$H$116:$H$131,MATCH(Emissions!$D64,EF!$D$116:$D$131,0))*kgtoGg</f>
        <v>5.2887257186400003</v>
      </c>
      <c r="AC64" s="22">
        <f>INDEX('Activity data'!AC$24:AC$39,MATCH(Emissions!$D64,'Activity data'!$D$24:$D$39,0))*INDEX(EF!$H$84:$H$99,MATCH(Emissions!$D64,EF!$D$84:$D$99,0))*INDEX(EF!$H$100:$H$115,MATCH(Emissions!$D64,EF!$D$100:$D$115,0))*INDEX(EF!$H$116:$H$131,MATCH(Emissions!$D64,EF!$D$116:$D$131,0))*kgtoGg</f>
        <v>5.3137024405920013</v>
      </c>
      <c r="AD64" s="22">
        <f>INDEX('Activity data'!AD$24:AD$39,MATCH(Emissions!$D64,'Activity data'!$D$24:$D$39,0))*INDEX(EF!$H$84:$H$99,MATCH(Emissions!$D64,EF!$D$84:$D$99,0))*INDEX(EF!$H$100:$H$115,MATCH(Emissions!$D64,EF!$D$100:$D$115,0))*INDEX(EF!$H$116:$H$131,MATCH(Emissions!$D64,EF!$D$116:$D$131,0))*kgtoGg</f>
        <v>2.803719836697308</v>
      </c>
      <c r="AE64" s="22">
        <f>INDEX('Activity data'!AE$24:AE$39,MATCH(Emissions!$D64,'Activity data'!$D$24:$D$39,0))*INDEX(EF!$H$84:$H$99,MATCH(Emissions!$D64,EF!$D$84:$D$99,0))*INDEX(EF!$H$100:$H$115,MATCH(Emissions!$D64,EF!$D$100:$D$115,0))*INDEX(EF!$H$116:$H$131,MATCH(Emissions!$D64,EF!$D$116:$D$131,0))*kgtoGg</f>
        <v>2.7952952347709599</v>
      </c>
      <c r="AF64" s="22">
        <f>INDEX('Activity data'!AF$24:AF$39,MATCH(Emissions!$D64,'Activity data'!$D$24:$D$39,0))*INDEX(EF!$H$84:$H$99,MATCH(Emissions!$D64,EF!$D$84:$D$99,0))*INDEX(EF!$H$100:$H$115,MATCH(Emissions!$D64,EF!$D$100:$D$115,0))*INDEX(EF!$H$116:$H$131,MATCH(Emissions!$D64,EF!$D$116:$D$131,0))*kgtoGg</f>
        <v>2.7868706328446127</v>
      </c>
      <c r="AG64" s="22">
        <f>INDEX('Activity data'!AG$24:AG$39,MATCH(Emissions!$D64,'Activity data'!$D$24:$D$39,0))*INDEX(EF!$H$84:$H$99,MATCH(Emissions!$D64,EF!$D$84:$D$99,0))*INDEX(EF!$H$100:$H$115,MATCH(Emissions!$D64,EF!$D$100:$D$115,0))*INDEX(EF!$H$116:$H$131,MATCH(Emissions!$D64,EF!$D$116:$D$131,0))*kgtoGg</f>
        <v>2.7784460309182646</v>
      </c>
      <c r="AH64" s="22">
        <f>INDEX('Activity data'!AH$24:AH$39,MATCH(Emissions!$D64,'Activity data'!$D$24:$D$39,0))*INDEX(EF!$H$84:$H$99,MATCH(Emissions!$D64,EF!$D$84:$D$99,0))*INDEX(EF!$H$100:$H$115,MATCH(Emissions!$D64,EF!$D$100:$D$115,0))*INDEX(EF!$H$116:$H$131,MATCH(Emissions!$D64,EF!$D$116:$D$131,0))*kgtoGg</f>
        <v>2.7700214289919165</v>
      </c>
      <c r="AI64" s="22">
        <f>INDEX('Activity data'!AI$24:AI$39,MATCH(Emissions!$D64,'Activity data'!$D$24:$D$39,0))*INDEX(EF!$H$84:$H$99,MATCH(Emissions!$D64,EF!$D$84:$D$99,0))*INDEX(EF!$H$100:$H$115,MATCH(Emissions!$D64,EF!$D$100:$D$115,0))*INDEX(EF!$H$116:$H$131,MATCH(Emissions!$D64,EF!$D$116:$D$131,0))*kgtoGg</f>
        <v>2.7615968270655689</v>
      </c>
      <c r="AJ64" s="22">
        <f>INDEX('Activity data'!AJ$24:AJ$39,MATCH(Emissions!$D64,'Activity data'!$D$24:$D$39,0))*INDEX(EF!$H$84:$H$99,MATCH(Emissions!$D64,EF!$D$84:$D$99,0))*INDEX(EF!$H$100:$H$115,MATCH(Emissions!$D64,EF!$D$100:$D$115,0))*INDEX(EF!$H$116:$H$131,MATCH(Emissions!$D64,EF!$D$116:$D$131,0))*kgtoGg</f>
        <v>2.7531722251392212</v>
      </c>
      <c r="AK64" s="22">
        <f>INDEX('Activity data'!AK$24:AK$39,MATCH(Emissions!$D64,'Activity data'!$D$24:$D$39,0))*INDEX(EF!$H$84:$H$99,MATCH(Emissions!$D64,EF!$D$84:$D$99,0))*INDEX(EF!$H$100:$H$115,MATCH(Emissions!$D64,EF!$D$100:$D$115,0))*INDEX(EF!$H$116:$H$131,MATCH(Emissions!$D64,EF!$D$116:$D$131,0))*kgtoGg</f>
        <v>2.7447476232128731</v>
      </c>
      <c r="AL64" s="22">
        <f>INDEX('Activity data'!AL$24:AL$39,MATCH(Emissions!$D64,'Activity data'!$D$24:$D$39,0))*INDEX(EF!$H$84:$H$99,MATCH(Emissions!$D64,EF!$D$84:$D$99,0))*INDEX(EF!$H$100:$H$115,MATCH(Emissions!$D64,EF!$D$100:$D$115,0))*INDEX(EF!$H$116:$H$131,MATCH(Emissions!$D64,EF!$D$116:$D$131,0))*kgtoGg</f>
        <v>2.7363230212865255</v>
      </c>
      <c r="AM64" s="22">
        <f>INDEX('Activity data'!AM$24:AM$39,MATCH(Emissions!$D64,'Activity data'!$D$24:$D$39,0))*INDEX(EF!$H$84:$H$99,MATCH(Emissions!$D64,EF!$D$84:$D$99,0))*INDEX(EF!$H$100:$H$115,MATCH(Emissions!$D64,EF!$D$100:$D$115,0))*INDEX(EF!$H$116:$H$131,MATCH(Emissions!$D64,EF!$D$116:$D$131,0))*kgtoGg</f>
        <v>2.7278984193601779</v>
      </c>
      <c r="AN64" s="22">
        <f>INDEX('Activity data'!AN$24:AN$39,MATCH(Emissions!$D64,'Activity data'!$D$24:$D$39,0))*INDEX(EF!$H$84:$H$99,MATCH(Emissions!$D64,EF!$D$84:$D$99,0))*INDEX(EF!$H$100:$H$115,MATCH(Emissions!$D64,EF!$D$100:$D$115,0))*INDEX(EF!$H$116:$H$131,MATCH(Emissions!$D64,EF!$D$116:$D$131,0))*kgtoGg</f>
        <v>2.7194738174338302</v>
      </c>
      <c r="AO64" s="22">
        <f>INDEX('Activity data'!AO$24:AO$39,MATCH(Emissions!$D64,'Activity data'!$D$24:$D$39,0))*INDEX(EF!$H$84:$H$99,MATCH(Emissions!$D64,EF!$D$84:$D$99,0))*INDEX(EF!$H$100:$H$115,MATCH(Emissions!$D64,EF!$D$100:$D$115,0))*INDEX(EF!$H$116:$H$131,MATCH(Emissions!$D64,EF!$D$116:$D$131,0))*kgtoGg</f>
        <v>2.7110492155074826</v>
      </c>
      <c r="AP64" s="22">
        <f>INDEX('Activity data'!AP$24:AP$39,MATCH(Emissions!$D64,'Activity data'!$D$24:$D$39,0))*INDEX(EF!$H$84:$H$99,MATCH(Emissions!$D64,EF!$D$84:$D$99,0))*INDEX(EF!$H$100:$H$115,MATCH(Emissions!$D64,EF!$D$100:$D$115,0))*INDEX(EF!$H$116:$H$131,MATCH(Emissions!$D64,EF!$D$116:$D$131,0))*kgtoGg</f>
        <v>2.7026246135811345</v>
      </c>
      <c r="AQ64" s="22">
        <f>INDEX('Activity data'!AQ$24:AQ$39,MATCH(Emissions!$D64,'Activity data'!$D$24:$D$39,0))*INDEX(EF!$H$84:$H$99,MATCH(Emissions!$D64,EF!$D$84:$D$99,0))*INDEX(EF!$H$100:$H$115,MATCH(Emissions!$D64,EF!$D$100:$D$115,0))*INDEX(EF!$H$116:$H$131,MATCH(Emissions!$D64,EF!$D$116:$D$131,0))*kgtoGg</f>
        <v>2.6942000116547864</v>
      </c>
      <c r="AR64" s="22">
        <f>INDEX('Activity data'!AR$24:AR$39,MATCH(Emissions!$D64,'Activity data'!$D$24:$D$39,0))*INDEX(EF!$H$84:$H$99,MATCH(Emissions!$D64,EF!$D$84:$D$99,0))*INDEX(EF!$H$100:$H$115,MATCH(Emissions!$D64,EF!$D$100:$D$115,0))*INDEX(EF!$H$116:$H$131,MATCH(Emissions!$D64,EF!$D$116:$D$131,0))*kgtoGg</f>
        <v>2.6857754097284392</v>
      </c>
      <c r="AS64" s="22">
        <f>INDEX('Activity data'!AS$24:AS$39,MATCH(Emissions!$D64,'Activity data'!$D$24:$D$39,0))*INDEX(EF!$H$84:$H$99,MATCH(Emissions!$D64,EF!$D$84:$D$99,0))*INDEX(EF!$H$100:$H$115,MATCH(Emissions!$D64,EF!$D$100:$D$115,0))*INDEX(EF!$H$116:$H$131,MATCH(Emissions!$D64,EF!$D$116:$D$131,0))*kgtoGg</f>
        <v>2.6773508078020911</v>
      </c>
      <c r="AT64" s="22">
        <f>INDEX('Activity data'!AT$24:AT$39,MATCH(Emissions!$D64,'Activity data'!$D$24:$D$39,0))*INDEX(EF!$H$84:$H$99,MATCH(Emissions!$D64,EF!$D$84:$D$99,0))*INDEX(EF!$H$100:$H$115,MATCH(Emissions!$D64,EF!$D$100:$D$115,0))*INDEX(EF!$H$116:$H$131,MATCH(Emissions!$D64,EF!$D$116:$D$131,0))*kgtoGg</f>
        <v>2.668926205875743</v>
      </c>
      <c r="AU64" s="22">
        <f>INDEX('Activity data'!AU$24:AU$39,MATCH(Emissions!$D64,'Activity data'!$D$24:$D$39,0))*INDEX(EF!$H$84:$H$99,MATCH(Emissions!$D64,EF!$D$84:$D$99,0))*INDEX(EF!$H$100:$H$115,MATCH(Emissions!$D64,EF!$D$100:$D$115,0))*INDEX(EF!$H$116:$H$131,MATCH(Emissions!$D64,EF!$D$116:$D$131,0))*kgtoGg</f>
        <v>2.6605016039493949</v>
      </c>
      <c r="AV64" s="22">
        <f>INDEX('Activity data'!AV$24:AV$39,MATCH(Emissions!$D64,'Activity data'!$D$24:$D$39,0))*INDEX(EF!$H$84:$H$99,MATCH(Emissions!$D64,EF!$D$84:$D$99,0))*INDEX(EF!$H$100:$H$115,MATCH(Emissions!$D64,EF!$D$100:$D$115,0))*INDEX(EF!$H$116:$H$131,MATCH(Emissions!$D64,EF!$D$116:$D$131,0))*kgtoGg</f>
        <v>2.6520770020230477</v>
      </c>
      <c r="AW64" s="22">
        <f>INDEX('Activity data'!AW$24:AW$39,MATCH(Emissions!$D64,'Activity data'!$D$24:$D$39,0))*INDEX(EF!$H$84:$H$99,MATCH(Emissions!$D64,EF!$D$84:$D$99,0))*INDEX(EF!$H$100:$H$115,MATCH(Emissions!$D64,EF!$D$100:$D$115,0))*INDEX(EF!$H$116:$H$131,MATCH(Emissions!$D64,EF!$D$116:$D$131,0))*kgtoGg</f>
        <v>2.6436524000967001</v>
      </c>
      <c r="AX64" s="22">
        <f>INDEX('Activity data'!AX$24:AX$39,MATCH(Emissions!$D64,'Activity data'!$D$24:$D$39,0))*INDEX(EF!$H$84:$H$99,MATCH(Emissions!$D64,EF!$D$84:$D$99,0))*INDEX(EF!$H$100:$H$115,MATCH(Emissions!$D64,EF!$D$100:$D$115,0))*INDEX(EF!$H$116:$H$131,MATCH(Emissions!$D64,EF!$D$116:$D$131,0))*kgtoGg</f>
        <v>2.6352277981703516</v>
      </c>
      <c r="AY64" s="22">
        <f>INDEX('Activity data'!AY$24:AY$39,MATCH(Emissions!$D64,'Activity data'!$D$24:$D$39,0))*INDEX(EF!$H$84:$H$99,MATCH(Emissions!$D64,EF!$D$84:$D$99,0))*INDEX(EF!$H$100:$H$115,MATCH(Emissions!$D64,EF!$D$100:$D$115,0))*INDEX(EF!$H$116:$H$131,MATCH(Emissions!$D64,EF!$D$116:$D$131,0))*kgtoGg</f>
        <v>2.6268031962440044</v>
      </c>
      <c r="AZ64" s="22">
        <f>INDEX('Activity data'!AZ$24:AZ$39,MATCH(Emissions!$D64,'Activity data'!$D$24:$D$39,0))*INDEX(EF!$H$84:$H$99,MATCH(Emissions!$D64,EF!$D$84:$D$99,0))*INDEX(EF!$H$100:$H$115,MATCH(Emissions!$D64,EF!$D$100:$D$115,0))*INDEX(EF!$H$116:$H$131,MATCH(Emissions!$D64,EF!$D$116:$D$131,0))*kgtoGg</f>
        <v>2.6183785943176563</v>
      </c>
      <c r="BA64" s="22">
        <f>INDEX('Activity data'!BA$24:BA$39,MATCH(Emissions!$D64,'Activity data'!$D$24:$D$39,0))*INDEX(EF!$H$84:$H$99,MATCH(Emissions!$D64,EF!$D$84:$D$99,0))*INDEX(EF!$H$100:$H$115,MATCH(Emissions!$D64,EF!$D$100:$D$115,0))*INDEX(EF!$H$116:$H$131,MATCH(Emissions!$D64,EF!$D$116:$D$131,0))*kgtoGg</f>
        <v>2.6099539923913087</v>
      </c>
      <c r="BB64" s="22">
        <f>INDEX('Activity data'!BB$24:BB$39,MATCH(Emissions!$D64,'Activity data'!$D$24:$D$39,0))*INDEX(EF!$H$84:$H$99,MATCH(Emissions!$D64,EF!$D$84:$D$99,0))*INDEX(EF!$H$100:$H$115,MATCH(Emissions!$D64,EF!$D$100:$D$115,0))*INDEX(EF!$H$116:$H$131,MATCH(Emissions!$D64,EF!$D$116:$D$131,0))*kgtoGg</f>
        <v>2.601529390464961</v>
      </c>
      <c r="BC64" s="22">
        <f>INDEX('Activity data'!BC$24:BC$39,MATCH(Emissions!$D64,'Activity data'!$D$24:$D$39,0))*INDEX(EF!$H$84:$H$99,MATCH(Emissions!$D64,EF!$D$84:$D$99,0))*INDEX(EF!$H$100:$H$115,MATCH(Emissions!$D64,EF!$D$100:$D$115,0))*INDEX(EF!$H$116:$H$131,MATCH(Emissions!$D64,EF!$D$116:$D$131,0))*kgtoGg</f>
        <v>2.5931047885386134</v>
      </c>
      <c r="BD64" s="22">
        <f>INDEX('Activity data'!BD$24:BD$39,MATCH(Emissions!$D64,'Activity data'!$D$24:$D$39,0))*INDEX(EF!$H$84:$H$99,MATCH(Emissions!$D64,EF!$D$84:$D$99,0))*INDEX(EF!$H$100:$H$115,MATCH(Emissions!$D64,EF!$D$100:$D$115,0))*INDEX(EF!$H$116:$H$131,MATCH(Emissions!$D64,EF!$D$116:$D$131,0))*kgtoGg</f>
        <v>2.5846801866122653</v>
      </c>
      <c r="BE64" s="22">
        <f>INDEX('Activity data'!BE$24:BE$39,MATCH(Emissions!$D64,'Activity data'!$D$24:$D$39,0))*INDEX(EF!$H$84:$H$99,MATCH(Emissions!$D64,EF!$D$84:$D$99,0))*INDEX(EF!$H$100:$H$115,MATCH(Emissions!$D64,EF!$D$100:$D$115,0))*INDEX(EF!$H$116:$H$131,MATCH(Emissions!$D64,EF!$D$116:$D$131,0))*kgtoGg</f>
        <v>2.5762555846859176</v>
      </c>
      <c r="BF64" s="22">
        <f>INDEX('Activity data'!BF$24:BF$39,MATCH(Emissions!$D64,'Activity data'!$D$24:$D$39,0))*INDEX(EF!$H$84:$H$99,MATCH(Emissions!$D64,EF!$D$84:$D$99,0))*INDEX(EF!$H$100:$H$115,MATCH(Emissions!$D64,EF!$D$100:$D$115,0))*INDEX(EF!$H$116:$H$131,MATCH(Emissions!$D64,EF!$D$116:$D$131,0))*kgtoGg</f>
        <v>2.56783098275957</v>
      </c>
      <c r="BG64" s="22">
        <f>INDEX('Activity data'!BG$24:BG$39,MATCH(Emissions!$D64,'Activity data'!$D$24:$D$39,0))*INDEX(EF!$H$84:$H$99,MATCH(Emissions!$D64,EF!$D$84:$D$99,0))*INDEX(EF!$H$100:$H$115,MATCH(Emissions!$D64,EF!$D$100:$D$115,0))*INDEX(EF!$H$116:$H$131,MATCH(Emissions!$D64,EF!$D$116:$D$131,0))*kgtoGg</f>
        <v>2.5594063808332219</v>
      </c>
      <c r="BH64" s="22">
        <f>INDEX('Activity data'!BH$24:BH$39,MATCH(Emissions!$D64,'Activity data'!$D$24:$D$39,0))*INDEX(EF!$H$84:$H$99,MATCH(Emissions!$D64,EF!$D$84:$D$99,0))*INDEX(EF!$H$100:$H$115,MATCH(Emissions!$D64,EF!$D$100:$D$115,0))*INDEX(EF!$H$116:$H$131,MATCH(Emissions!$D64,EF!$D$116:$D$131,0))*kgtoGg</f>
        <v>2.5509817789068738</v>
      </c>
      <c r="BI64" s="22">
        <f>INDEX('Activity data'!BI$24:BI$39,MATCH(Emissions!$D64,'Activity data'!$D$24:$D$39,0))*INDEX(EF!$H$84:$H$99,MATCH(Emissions!$D64,EF!$D$84:$D$99,0))*INDEX(EF!$H$100:$H$115,MATCH(Emissions!$D64,EF!$D$100:$D$115,0))*INDEX(EF!$H$116:$H$131,MATCH(Emissions!$D64,EF!$D$116:$D$131,0))*kgtoGg</f>
        <v>2.5425571769805266</v>
      </c>
      <c r="BJ64" s="22">
        <f>INDEX('Activity data'!BJ$24:BJ$39,MATCH(Emissions!$D64,'Activity data'!$D$24:$D$39,0))*INDEX(EF!$H$84:$H$99,MATCH(Emissions!$D64,EF!$D$84:$D$99,0))*INDEX(EF!$H$100:$H$115,MATCH(Emissions!$D64,EF!$D$100:$D$115,0))*INDEX(EF!$H$116:$H$131,MATCH(Emissions!$D64,EF!$D$116:$D$131,0))*kgtoGg</f>
        <v>2.5341325750541785</v>
      </c>
      <c r="BK64" s="22">
        <f>INDEX('Activity data'!BK$24:BK$39,MATCH(Emissions!$D64,'Activity data'!$D$24:$D$39,0))*INDEX(EF!$H$84:$H$99,MATCH(Emissions!$D64,EF!$D$84:$D$99,0))*INDEX(EF!$H$100:$H$115,MATCH(Emissions!$D64,EF!$D$100:$D$115,0))*INDEX(EF!$H$116:$H$131,MATCH(Emissions!$D64,EF!$D$116:$D$131,0))*kgtoGg</f>
        <v>2.52570797312783</v>
      </c>
      <c r="BL64" s="22">
        <f>INDEX('Activity data'!BL$24:BL$39,MATCH(Emissions!$D64,'Activity data'!$D$24:$D$39,0))*INDEX(EF!$H$84:$H$99,MATCH(Emissions!$D64,EF!$D$84:$D$99,0))*INDEX(EF!$H$100:$H$115,MATCH(Emissions!$D64,EF!$D$100:$D$115,0))*INDEX(EF!$H$116:$H$131,MATCH(Emissions!$D64,EF!$D$116:$D$131,0))*kgtoGg</f>
        <v>2.5172833712014828</v>
      </c>
      <c r="BM64" s="22">
        <f>INDEX('Activity data'!BM$24:BM$39,MATCH(Emissions!$D64,'Activity data'!$D$24:$D$39,0))*INDEX(EF!$H$84:$H$99,MATCH(Emissions!$D64,EF!$D$84:$D$99,0))*INDEX(EF!$H$100:$H$115,MATCH(Emissions!$D64,EF!$D$100:$D$115,0))*INDEX(EF!$H$116:$H$131,MATCH(Emissions!$D64,EF!$D$116:$D$131,0))*kgtoGg</f>
        <v>2.5088587692751347</v>
      </c>
      <c r="BN64" s="22">
        <f>INDEX('Activity data'!BN$24:BN$39,MATCH(Emissions!$D64,'Activity data'!$D$24:$D$39,0))*INDEX(EF!$H$84:$H$99,MATCH(Emissions!$D64,EF!$D$84:$D$99,0))*INDEX(EF!$H$100:$H$115,MATCH(Emissions!$D64,EF!$D$100:$D$115,0))*INDEX(EF!$H$116:$H$131,MATCH(Emissions!$D64,EF!$D$116:$D$131,0))*kgtoGg</f>
        <v>2.5004341673487875</v>
      </c>
      <c r="BO64" s="22">
        <f>INDEX('Activity data'!BO$24:BO$39,MATCH(Emissions!$D64,'Activity data'!$D$24:$D$39,0))*INDEX(EF!$H$84:$H$99,MATCH(Emissions!$D64,EF!$D$84:$D$99,0))*INDEX(EF!$H$100:$H$115,MATCH(Emissions!$D64,EF!$D$100:$D$115,0))*INDEX(EF!$H$116:$H$131,MATCH(Emissions!$D64,EF!$D$116:$D$131,0))*kgtoGg</f>
        <v>2.4920095654224399</v>
      </c>
      <c r="BP64" s="22">
        <f>INDEX('Activity data'!BP$24:BP$39,MATCH(Emissions!$D64,'Activity data'!$D$24:$D$39,0))*INDEX(EF!$H$84:$H$99,MATCH(Emissions!$D64,EF!$D$84:$D$99,0))*INDEX(EF!$H$100:$H$115,MATCH(Emissions!$D64,EF!$D$100:$D$115,0))*INDEX(EF!$H$116:$H$131,MATCH(Emissions!$D64,EF!$D$116:$D$131,0))*kgtoGg</f>
        <v>2.4835849634960923</v>
      </c>
    </row>
    <row r="65" spans="1:68" x14ac:dyDescent="0.25">
      <c r="A65" t="str">
        <f t="shared" si="19"/>
        <v>3C Aggregated and non-CO2 emissions on land</v>
      </c>
      <c r="B65" t="str">
        <f t="shared" si="20"/>
        <v>3C1 Biomass burning (CH4)</v>
      </c>
      <c r="C65" t="str">
        <f>C64</f>
        <v>3C1c Biomass burning in Grasslands</v>
      </c>
      <c r="D65" t="str">
        <f>EF!D95</f>
        <v>Degraded land</v>
      </c>
      <c r="E65" t="s">
        <v>641</v>
      </c>
      <c r="F65" t="str">
        <f t="shared" si="21"/>
        <v>CH4</v>
      </c>
      <c r="G65" t="str">
        <f t="shared" si="22"/>
        <v>Gg CH4</v>
      </c>
      <c r="H65" s="22">
        <f>INDEX('Activity data'!H$24:H$39,MATCH(Emissions!$D65,'Activity data'!$D$24:$D$39,0))*INDEX(EF!$H$84:$H$99,MATCH(Emissions!$D65,EF!$D$84:$D$99,0))*INDEX(EF!$H$100:$H$115,MATCH(Emissions!$D65,EF!$D$100:$D$115,0))*INDEX(EF!$H$116:$H$131,MATCH(Emissions!$D65,EF!$D$116:$D$131,0))*kgtoGg</f>
        <v>0.28388450845043828</v>
      </c>
      <c r="I65" s="22">
        <f>INDEX('Activity data'!I$24:I$39,MATCH(Emissions!$D65,'Activity data'!$D$24:$D$39,0))*INDEX(EF!$H$84:$H$99,MATCH(Emissions!$D65,EF!$D$84:$D$99,0))*INDEX(EF!$H$100:$H$115,MATCH(Emissions!$D65,EF!$D$100:$D$115,0))*INDEX(EF!$H$116:$H$131,MATCH(Emissions!$D65,EF!$D$116:$D$131,0))*kgtoGg</f>
        <v>0.28388450845043828</v>
      </c>
      <c r="J65" s="22">
        <f>INDEX('Activity data'!J$24:J$39,MATCH(Emissions!$D65,'Activity data'!$D$24:$D$39,0))*INDEX(EF!$H$84:$H$99,MATCH(Emissions!$D65,EF!$D$84:$D$99,0))*INDEX(EF!$H$100:$H$115,MATCH(Emissions!$D65,EF!$D$100:$D$115,0))*INDEX(EF!$H$116:$H$131,MATCH(Emissions!$D65,EF!$D$116:$D$131,0))*kgtoGg</f>
        <v>0.28388450845043828</v>
      </c>
      <c r="K65" s="22">
        <f>INDEX('Activity data'!K$24:K$39,MATCH(Emissions!$D65,'Activity data'!$D$24:$D$39,0))*INDEX(EF!$H$84:$H$99,MATCH(Emissions!$D65,EF!$D$84:$D$99,0))*INDEX(EF!$H$100:$H$115,MATCH(Emissions!$D65,EF!$D$100:$D$115,0))*INDEX(EF!$H$116:$H$131,MATCH(Emissions!$D65,EF!$D$116:$D$131,0))*kgtoGg</f>
        <v>0.28388450845043828</v>
      </c>
      <c r="L65" s="22">
        <f>INDEX('Activity data'!L$24:L$39,MATCH(Emissions!$D65,'Activity data'!$D$24:$D$39,0))*INDEX(EF!$H$84:$H$99,MATCH(Emissions!$D65,EF!$D$84:$D$99,0))*INDEX(EF!$H$100:$H$115,MATCH(Emissions!$D65,EF!$D$100:$D$115,0))*INDEX(EF!$H$116:$H$131,MATCH(Emissions!$D65,EF!$D$116:$D$131,0))*kgtoGg</f>
        <v>0.28388450845043828</v>
      </c>
      <c r="M65" s="22">
        <f>INDEX('Activity data'!M$24:M$39,MATCH(Emissions!$D65,'Activity data'!$D$24:$D$39,0))*INDEX(EF!$H$84:$H$99,MATCH(Emissions!$D65,EF!$D$84:$D$99,0))*INDEX(EF!$H$100:$H$115,MATCH(Emissions!$D65,EF!$D$100:$D$115,0))*INDEX(EF!$H$116:$H$131,MATCH(Emissions!$D65,EF!$D$116:$D$131,0))*kgtoGg</f>
        <v>0.28388450845043828</v>
      </c>
      <c r="N65" s="22">
        <f>INDEX('Activity data'!N$24:N$39,MATCH(Emissions!$D65,'Activity data'!$D$24:$D$39,0))*INDEX(EF!$H$84:$H$99,MATCH(Emissions!$D65,EF!$D$84:$D$99,0))*INDEX(EF!$H$100:$H$115,MATCH(Emissions!$D65,EF!$D$100:$D$115,0))*INDEX(EF!$H$116:$H$131,MATCH(Emissions!$D65,EF!$D$116:$D$131,0))*kgtoGg</f>
        <v>0.28388450845043828</v>
      </c>
      <c r="O65" s="22">
        <f>INDEX('Activity data'!O$24:O$39,MATCH(Emissions!$D65,'Activity data'!$D$24:$D$39,0))*INDEX(EF!$H$84:$H$99,MATCH(Emissions!$D65,EF!$D$84:$D$99,0))*INDEX(EF!$H$100:$H$115,MATCH(Emissions!$D65,EF!$D$100:$D$115,0))*INDEX(EF!$H$116:$H$131,MATCH(Emissions!$D65,EF!$D$116:$D$131,0))*kgtoGg</f>
        <v>0.28388450845043828</v>
      </c>
      <c r="P65" s="22">
        <f>INDEX('Activity data'!P$24:P$39,MATCH(Emissions!$D65,'Activity data'!$D$24:$D$39,0))*INDEX(EF!$H$84:$H$99,MATCH(Emissions!$D65,EF!$D$84:$D$99,0))*INDEX(EF!$H$100:$H$115,MATCH(Emissions!$D65,EF!$D$100:$D$115,0))*INDEX(EF!$H$116:$H$131,MATCH(Emissions!$D65,EF!$D$116:$D$131,0))*kgtoGg</f>
        <v>0.28388450845043828</v>
      </c>
      <c r="Q65" s="22">
        <f>INDEX('Activity data'!Q$24:Q$39,MATCH(Emissions!$D65,'Activity data'!$D$24:$D$39,0))*INDEX(EF!$H$84:$H$99,MATCH(Emissions!$D65,EF!$D$84:$D$99,0))*INDEX(EF!$H$100:$H$115,MATCH(Emissions!$D65,EF!$D$100:$D$115,0))*INDEX(EF!$H$116:$H$131,MATCH(Emissions!$D65,EF!$D$116:$D$131,0))*kgtoGg</f>
        <v>0.28388450845043828</v>
      </c>
      <c r="R65" s="22">
        <f>INDEX('Activity data'!R$24:R$39,MATCH(Emissions!$D65,'Activity data'!$D$24:$D$39,0))*INDEX(EF!$H$84:$H$99,MATCH(Emissions!$D65,EF!$D$84:$D$99,0))*INDEX(EF!$H$100:$H$115,MATCH(Emissions!$D65,EF!$D$100:$D$115,0))*INDEX(EF!$H$116:$H$131,MATCH(Emissions!$D65,EF!$D$116:$D$131,0))*kgtoGg</f>
        <v>0.31237273176162411</v>
      </c>
      <c r="S65" s="22">
        <f>INDEX('Activity data'!S$24:S$39,MATCH(Emissions!$D65,'Activity data'!$D$24:$D$39,0))*INDEX(EF!$H$84:$H$99,MATCH(Emissions!$D65,EF!$D$84:$D$99,0))*INDEX(EF!$H$100:$H$115,MATCH(Emissions!$D65,EF!$D$100:$D$115,0))*INDEX(EF!$H$116:$H$131,MATCH(Emissions!$D65,EF!$D$116:$D$131,0))*kgtoGg</f>
        <v>0.28275941468330501</v>
      </c>
      <c r="T65" s="22">
        <f>INDEX('Activity data'!T$24:T$39,MATCH(Emissions!$D65,'Activity data'!$D$24:$D$39,0))*INDEX(EF!$H$84:$H$99,MATCH(Emissions!$D65,EF!$D$84:$D$99,0))*INDEX(EF!$H$100:$H$115,MATCH(Emissions!$D65,EF!$D$100:$D$115,0))*INDEX(EF!$H$116:$H$131,MATCH(Emissions!$D65,EF!$D$116:$D$131,0))*kgtoGg</f>
        <v>0.37849852581106064</v>
      </c>
      <c r="U65" s="22">
        <f>INDEX('Activity data'!U$24:U$39,MATCH(Emissions!$D65,'Activity data'!$D$24:$D$39,0))*INDEX(EF!$H$84:$H$99,MATCH(Emissions!$D65,EF!$D$84:$D$99,0))*INDEX(EF!$H$100:$H$115,MATCH(Emissions!$D65,EF!$D$100:$D$115,0))*INDEX(EF!$H$116:$H$131,MATCH(Emissions!$D65,EF!$D$116:$D$131,0))*kgtoGg</f>
        <v>0.11134182657762272</v>
      </c>
      <c r="V65" s="22">
        <f>INDEX('Activity data'!V$24:V$39,MATCH(Emissions!$D65,'Activity data'!$D$24:$D$39,0))*INDEX(EF!$H$84:$H$99,MATCH(Emissions!$D65,EF!$D$84:$D$99,0))*INDEX(EF!$H$100:$H$115,MATCH(Emissions!$D65,EF!$D$100:$D$115,0))*INDEX(EF!$H$116:$H$131,MATCH(Emissions!$D65,EF!$D$116:$D$131,0))*kgtoGg</f>
        <v>0.33445004341857892</v>
      </c>
      <c r="W65" s="22">
        <f>INDEX('Activity data'!W$24:W$39,MATCH(Emissions!$D65,'Activity data'!$D$24:$D$39,0))*INDEX(EF!$H$84:$H$99,MATCH(Emissions!$D65,EF!$D$84:$D$99,0))*INDEX(EF!$H$100:$H$115,MATCH(Emissions!$D65,EF!$D$100:$D$115,0))*INDEX(EF!$H$116:$H$131,MATCH(Emissions!$D65,EF!$D$116:$D$131,0))*kgtoGg</f>
        <v>0.40970395671079474</v>
      </c>
      <c r="X65" s="22">
        <f>INDEX('Activity data'!X$24:X$39,MATCH(Emissions!$D65,'Activity data'!$D$24:$D$39,0))*INDEX(EF!$H$84:$H$99,MATCH(Emissions!$D65,EF!$D$84:$D$99,0))*INDEX(EF!$H$100:$H$115,MATCH(Emissions!$D65,EF!$D$100:$D$115,0))*INDEX(EF!$H$116:$H$131,MATCH(Emissions!$D65,EF!$D$116:$D$131,0))*kgtoGg</f>
        <v>0.60701992964482765</v>
      </c>
      <c r="Y65" s="22">
        <f>INDEX('Activity data'!Y$24:Y$39,MATCH(Emissions!$D65,'Activity data'!$D$24:$D$39,0))*INDEX(EF!$H$84:$H$99,MATCH(Emissions!$D65,EF!$D$84:$D$99,0))*INDEX(EF!$H$100:$H$115,MATCH(Emissions!$D65,EF!$D$100:$D$115,0))*INDEX(EF!$H$116:$H$131,MATCH(Emissions!$D65,EF!$D$116:$D$131,0))*kgtoGg</f>
        <v>9.2342601642070338E-2</v>
      </c>
      <c r="Z65" s="22">
        <f>INDEX('Activity data'!Z$24:Z$39,MATCH(Emissions!$D65,'Activity data'!$D$24:$D$39,0))*INDEX(EF!$H$84:$H$99,MATCH(Emissions!$D65,EF!$D$84:$D$99,0))*INDEX(EF!$H$100:$H$115,MATCH(Emissions!$D65,EF!$D$100:$D$115,0))*INDEX(EF!$H$116:$H$131,MATCH(Emissions!$D65,EF!$D$116:$D$131,0))*kgtoGg</f>
        <v>0.43199355021060487</v>
      </c>
      <c r="AA65" s="22">
        <f>INDEX('Activity data'!AA$24:AA$39,MATCH(Emissions!$D65,'Activity data'!$D$24:$D$39,0))*INDEX(EF!$H$84:$H$99,MATCH(Emissions!$D65,EF!$D$84:$D$99,0))*INDEX(EF!$H$100:$H$115,MATCH(Emissions!$D65,EF!$D$100:$D$115,0))*INDEX(EF!$H$116:$H$131,MATCH(Emissions!$D65,EF!$D$116:$D$131,0))*kgtoGg</f>
        <v>0.2804243144118963</v>
      </c>
      <c r="AB65" s="22">
        <f>INDEX('Activity data'!AB$24:AB$39,MATCH(Emissions!$D65,'Activity data'!$D$24:$D$39,0))*INDEX(EF!$H$84:$H$99,MATCH(Emissions!$D65,EF!$D$84:$D$99,0))*INDEX(EF!$H$100:$H$115,MATCH(Emissions!$D65,EF!$D$100:$D$115,0))*INDEX(EF!$H$116:$H$131,MATCH(Emissions!$D65,EF!$D$116:$D$131,0))*kgtoGg</f>
        <v>0.37741233600000001</v>
      </c>
      <c r="AC65" s="22">
        <f>INDEX('Activity data'!AC$24:AC$39,MATCH(Emissions!$D65,'Activity data'!$D$24:$D$39,0))*INDEX(EF!$H$84:$H$99,MATCH(Emissions!$D65,EF!$D$84:$D$99,0))*INDEX(EF!$H$100:$H$115,MATCH(Emissions!$D65,EF!$D$100:$D$115,0))*INDEX(EF!$H$116:$H$131,MATCH(Emissions!$D65,EF!$D$116:$D$131,0))*kgtoGg</f>
        <v>0.44425760399999997</v>
      </c>
      <c r="AD65" s="22">
        <f>INDEX('Activity data'!AD$24:AD$39,MATCH(Emissions!$D65,'Activity data'!$D$24:$D$39,0))*INDEX(EF!$H$84:$H$99,MATCH(Emissions!$D65,EF!$D$84:$D$99,0))*INDEX(EF!$H$100:$H$115,MATCH(Emissions!$D65,EF!$D$100:$D$115,0))*INDEX(EF!$H$116:$H$131,MATCH(Emissions!$D65,EF!$D$116:$D$131,0))*kgtoGg</f>
        <v>0.26663358404846588</v>
      </c>
      <c r="AE65" s="22">
        <f>INDEX('Activity data'!AE$24:AE$39,MATCH(Emissions!$D65,'Activity data'!$D$24:$D$39,0))*INDEX(EF!$H$84:$H$99,MATCH(Emissions!$D65,EF!$D$84:$D$99,0))*INDEX(EF!$H$100:$H$115,MATCH(Emissions!$D65,EF!$D$100:$D$115,0))*INDEX(EF!$H$116:$H$131,MATCH(Emissions!$D65,EF!$D$116:$D$131,0))*kgtoGg</f>
        <v>0.26663358404846588</v>
      </c>
      <c r="AF65" s="22">
        <f>INDEX('Activity data'!AF$24:AF$39,MATCH(Emissions!$D65,'Activity data'!$D$24:$D$39,0))*INDEX(EF!$H$84:$H$99,MATCH(Emissions!$D65,EF!$D$84:$D$99,0))*INDEX(EF!$H$100:$H$115,MATCH(Emissions!$D65,EF!$D$100:$D$115,0))*INDEX(EF!$H$116:$H$131,MATCH(Emissions!$D65,EF!$D$116:$D$131,0))*kgtoGg</f>
        <v>0.26663358404846588</v>
      </c>
      <c r="AG65" s="22">
        <f>INDEX('Activity data'!AG$24:AG$39,MATCH(Emissions!$D65,'Activity data'!$D$24:$D$39,0))*INDEX(EF!$H$84:$H$99,MATCH(Emissions!$D65,EF!$D$84:$D$99,0))*INDEX(EF!$H$100:$H$115,MATCH(Emissions!$D65,EF!$D$100:$D$115,0))*INDEX(EF!$H$116:$H$131,MATCH(Emissions!$D65,EF!$D$116:$D$131,0))*kgtoGg</f>
        <v>0.26663358404846588</v>
      </c>
      <c r="AH65" s="22">
        <f>INDEX('Activity data'!AH$24:AH$39,MATCH(Emissions!$D65,'Activity data'!$D$24:$D$39,0))*INDEX(EF!$H$84:$H$99,MATCH(Emissions!$D65,EF!$D$84:$D$99,0))*INDEX(EF!$H$100:$H$115,MATCH(Emissions!$D65,EF!$D$100:$D$115,0))*INDEX(EF!$H$116:$H$131,MATCH(Emissions!$D65,EF!$D$116:$D$131,0))*kgtoGg</f>
        <v>0.26663358404846588</v>
      </c>
      <c r="AI65" s="22">
        <f>INDEX('Activity data'!AI$24:AI$39,MATCH(Emissions!$D65,'Activity data'!$D$24:$D$39,0))*INDEX(EF!$H$84:$H$99,MATCH(Emissions!$D65,EF!$D$84:$D$99,0))*INDEX(EF!$H$100:$H$115,MATCH(Emissions!$D65,EF!$D$100:$D$115,0))*INDEX(EF!$H$116:$H$131,MATCH(Emissions!$D65,EF!$D$116:$D$131,0))*kgtoGg</f>
        <v>0.26663358404846588</v>
      </c>
      <c r="AJ65" s="22">
        <f>INDEX('Activity data'!AJ$24:AJ$39,MATCH(Emissions!$D65,'Activity data'!$D$24:$D$39,0))*INDEX(EF!$H$84:$H$99,MATCH(Emissions!$D65,EF!$D$84:$D$99,0))*INDEX(EF!$H$100:$H$115,MATCH(Emissions!$D65,EF!$D$100:$D$115,0))*INDEX(EF!$H$116:$H$131,MATCH(Emissions!$D65,EF!$D$116:$D$131,0))*kgtoGg</f>
        <v>0.26663358404846588</v>
      </c>
      <c r="AK65" s="22">
        <f>INDEX('Activity data'!AK$24:AK$39,MATCH(Emissions!$D65,'Activity data'!$D$24:$D$39,0))*INDEX(EF!$H$84:$H$99,MATCH(Emissions!$D65,EF!$D$84:$D$99,0))*INDEX(EF!$H$100:$H$115,MATCH(Emissions!$D65,EF!$D$100:$D$115,0))*INDEX(EF!$H$116:$H$131,MATCH(Emissions!$D65,EF!$D$116:$D$131,0))*kgtoGg</f>
        <v>0.26663358404846588</v>
      </c>
      <c r="AL65" s="22">
        <f>INDEX('Activity data'!AL$24:AL$39,MATCH(Emissions!$D65,'Activity data'!$D$24:$D$39,0))*INDEX(EF!$H$84:$H$99,MATCH(Emissions!$D65,EF!$D$84:$D$99,0))*INDEX(EF!$H$100:$H$115,MATCH(Emissions!$D65,EF!$D$100:$D$115,0))*INDEX(EF!$H$116:$H$131,MATCH(Emissions!$D65,EF!$D$116:$D$131,0))*kgtoGg</f>
        <v>0.26663358404846588</v>
      </c>
      <c r="AM65" s="22">
        <f>INDEX('Activity data'!AM$24:AM$39,MATCH(Emissions!$D65,'Activity data'!$D$24:$D$39,0))*INDEX(EF!$H$84:$H$99,MATCH(Emissions!$D65,EF!$D$84:$D$99,0))*INDEX(EF!$H$100:$H$115,MATCH(Emissions!$D65,EF!$D$100:$D$115,0))*INDEX(EF!$H$116:$H$131,MATCH(Emissions!$D65,EF!$D$116:$D$131,0))*kgtoGg</f>
        <v>0.26663358404846588</v>
      </c>
      <c r="AN65" s="22">
        <f>INDEX('Activity data'!AN$24:AN$39,MATCH(Emissions!$D65,'Activity data'!$D$24:$D$39,0))*INDEX(EF!$H$84:$H$99,MATCH(Emissions!$D65,EF!$D$84:$D$99,0))*INDEX(EF!$H$100:$H$115,MATCH(Emissions!$D65,EF!$D$100:$D$115,0))*INDEX(EF!$H$116:$H$131,MATCH(Emissions!$D65,EF!$D$116:$D$131,0))*kgtoGg</f>
        <v>0.26663358404846588</v>
      </c>
      <c r="AO65" s="22">
        <f>INDEX('Activity data'!AO$24:AO$39,MATCH(Emissions!$D65,'Activity data'!$D$24:$D$39,0))*INDEX(EF!$H$84:$H$99,MATCH(Emissions!$D65,EF!$D$84:$D$99,0))*INDEX(EF!$H$100:$H$115,MATCH(Emissions!$D65,EF!$D$100:$D$115,0))*INDEX(EF!$H$116:$H$131,MATCH(Emissions!$D65,EF!$D$116:$D$131,0))*kgtoGg</f>
        <v>0.26663358404846588</v>
      </c>
      <c r="AP65" s="22">
        <f>INDEX('Activity data'!AP$24:AP$39,MATCH(Emissions!$D65,'Activity data'!$D$24:$D$39,0))*INDEX(EF!$H$84:$H$99,MATCH(Emissions!$D65,EF!$D$84:$D$99,0))*INDEX(EF!$H$100:$H$115,MATCH(Emissions!$D65,EF!$D$100:$D$115,0))*INDEX(EF!$H$116:$H$131,MATCH(Emissions!$D65,EF!$D$116:$D$131,0))*kgtoGg</f>
        <v>0.26663358404846588</v>
      </c>
      <c r="AQ65" s="22">
        <f>INDEX('Activity data'!AQ$24:AQ$39,MATCH(Emissions!$D65,'Activity data'!$D$24:$D$39,0))*INDEX(EF!$H$84:$H$99,MATCH(Emissions!$D65,EF!$D$84:$D$99,0))*INDEX(EF!$H$100:$H$115,MATCH(Emissions!$D65,EF!$D$100:$D$115,0))*INDEX(EF!$H$116:$H$131,MATCH(Emissions!$D65,EF!$D$116:$D$131,0))*kgtoGg</f>
        <v>0.26663358404846588</v>
      </c>
      <c r="AR65" s="22">
        <f>INDEX('Activity data'!AR$24:AR$39,MATCH(Emissions!$D65,'Activity data'!$D$24:$D$39,0))*INDEX(EF!$H$84:$H$99,MATCH(Emissions!$D65,EF!$D$84:$D$99,0))*INDEX(EF!$H$100:$H$115,MATCH(Emissions!$D65,EF!$D$100:$D$115,0))*INDEX(EF!$H$116:$H$131,MATCH(Emissions!$D65,EF!$D$116:$D$131,0))*kgtoGg</f>
        <v>0.26663358404846588</v>
      </c>
      <c r="AS65" s="22">
        <f>INDEX('Activity data'!AS$24:AS$39,MATCH(Emissions!$D65,'Activity data'!$D$24:$D$39,0))*INDEX(EF!$H$84:$H$99,MATCH(Emissions!$D65,EF!$D$84:$D$99,0))*INDEX(EF!$H$100:$H$115,MATCH(Emissions!$D65,EF!$D$100:$D$115,0))*INDEX(EF!$H$116:$H$131,MATCH(Emissions!$D65,EF!$D$116:$D$131,0))*kgtoGg</f>
        <v>0.26663358404846588</v>
      </c>
      <c r="AT65" s="22">
        <f>INDEX('Activity data'!AT$24:AT$39,MATCH(Emissions!$D65,'Activity data'!$D$24:$D$39,0))*INDEX(EF!$H$84:$H$99,MATCH(Emissions!$D65,EF!$D$84:$D$99,0))*INDEX(EF!$H$100:$H$115,MATCH(Emissions!$D65,EF!$D$100:$D$115,0))*INDEX(EF!$H$116:$H$131,MATCH(Emissions!$D65,EF!$D$116:$D$131,0))*kgtoGg</f>
        <v>0.26663358404846588</v>
      </c>
      <c r="AU65" s="22">
        <f>INDEX('Activity data'!AU$24:AU$39,MATCH(Emissions!$D65,'Activity data'!$D$24:$D$39,0))*INDEX(EF!$H$84:$H$99,MATCH(Emissions!$D65,EF!$D$84:$D$99,0))*INDEX(EF!$H$100:$H$115,MATCH(Emissions!$D65,EF!$D$100:$D$115,0))*INDEX(EF!$H$116:$H$131,MATCH(Emissions!$D65,EF!$D$116:$D$131,0))*kgtoGg</f>
        <v>0.26663358404846588</v>
      </c>
      <c r="AV65" s="22">
        <f>INDEX('Activity data'!AV$24:AV$39,MATCH(Emissions!$D65,'Activity data'!$D$24:$D$39,0))*INDEX(EF!$H$84:$H$99,MATCH(Emissions!$D65,EF!$D$84:$D$99,0))*INDEX(EF!$H$100:$H$115,MATCH(Emissions!$D65,EF!$D$100:$D$115,0))*INDEX(EF!$H$116:$H$131,MATCH(Emissions!$D65,EF!$D$116:$D$131,0))*kgtoGg</f>
        <v>0.26663358404846588</v>
      </c>
      <c r="AW65" s="22">
        <f>INDEX('Activity data'!AW$24:AW$39,MATCH(Emissions!$D65,'Activity data'!$D$24:$D$39,0))*INDEX(EF!$H$84:$H$99,MATCH(Emissions!$D65,EF!$D$84:$D$99,0))*INDEX(EF!$H$100:$H$115,MATCH(Emissions!$D65,EF!$D$100:$D$115,0))*INDEX(EF!$H$116:$H$131,MATCH(Emissions!$D65,EF!$D$116:$D$131,0))*kgtoGg</f>
        <v>0.26663358404846588</v>
      </c>
      <c r="AX65" s="22">
        <f>INDEX('Activity data'!AX$24:AX$39,MATCH(Emissions!$D65,'Activity data'!$D$24:$D$39,0))*INDEX(EF!$H$84:$H$99,MATCH(Emissions!$D65,EF!$D$84:$D$99,0))*INDEX(EF!$H$100:$H$115,MATCH(Emissions!$D65,EF!$D$100:$D$115,0))*INDEX(EF!$H$116:$H$131,MATCH(Emissions!$D65,EF!$D$116:$D$131,0))*kgtoGg</f>
        <v>0.26663358404846588</v>
      </c>
      <c r="AY65" s="22">
        <f>INDEX('Activity data'!AY$24:AY$39,MATCH(Emissions!$D65,'Activity data'!$D$24:$D$39,0))*INDEX(EF!$H$84:$H$99,MATCH(Emissions!$D65,EF!$D$84:$D$99,0))*INDEX(EF!$H$100:$H$115,MATCH(Emissions!$D65,EF!$D$100:$D$115,0))*INDEX(EF!$H$116:$H$131,MATCH(Emissions!$D65,EF!$D$116:$D$131,0))*kgtoGg</f>
        <v>0.26663358404846588</v>
      </c>
      <c r="AZ65" s="22">
        <f>INDEX('Activity data'!AZ$24:AZ$39,MATCH(Emissions!$D65,'Activity data'!$D$24:$D$39,0))*INDEX(EF!$H$84:$H$99,MATCH(Emissions!$D65,EF!$D$84:$D$99,0))*INDEX(EF!$H$100:$H$115,MATCH(Emissions!$D65,EF!$D$100:$D$115,0))*INDEX(EF!$H$116:$H$131,MATCH(Emissions!$D65,EF!$D$116:$D$131,0))*kgtoGg</f>
        <v>0.26663358404846588</v>
      </c>
      <c r="BA65" s="22">
        <f>INDEX('Activity data'!BA$24:BA$39,MATCH(Emissions!$D65,'Activity data'!$D$24:$D$39,0))*INDEX(EF!$H$84:$H$99,MATCH(Emissions!$D65,EF!$D$84:$D$99,0))*INDEX(EF!$H$100:$H$115,MATCH(Emissions!$D65,EF!$D$100:$D$115,0))*INDEX(EF!$H$116:$H$131,MATCH(Emissions!$D65,EF!$D$116:$D$131,0))*kgtoGg</f>
        <v>0.26663358404846588</v>
      </c>
      <c r="BB65" s="22">
        <f>INDEX('Activity data'!BB$24:BB$39,MATCH(Emissions!$D65,'Activity data'!$D$24:$D$39,0))*INDEX(EF!$H$84:$H$99,MATCH(Emissions!$D65,EF!$D$84:$D$99,0))*INDEX(EF!$H$100:$H$115,MATCH(Emissions!$D65,EF!$D$100:$D$115,0))*INDEX(EF!$H$116:$H$131,MATCH(Emissions!$D65,EF!$D$116:$D$131,0))*kgtoGg</f>
        <v>0.26663358404846588</v>
      </c>
      <c r="BC65" s="22">
        <f>INDEX('Activity data'!BC$24:BC$39,MATCH(Emissions!$D65,'Activity data'!$D$24:$D$39,0))*INDEX(EF!$H$84:$H$99,MATCH(Emissions!$D65,EF!$D$84:$D$99,0))*INDEX(EF!$H$100:$H$115,MATCH(Emissions!$D65,EF!$D$100:$D$115,0))*INDEX(EF!$H$116:$H$131,MATCH(Emissions!$D65,EF!$D$116:$D$131,0))*kgtoGg</f>
        <v>0.26663358404846588</v>
      </c>
      <c r="BD65" s="22">
        <f>INDEX('Activity data'!BD$24:BD$39,MATCH(Emissions!$D65,'Activity data'!$D$24:$D$39,0))*INDEX(EF!$H$84:$H$99,MATCH(Emissions!$D65,EF!$D$84:$D$99,0))*INDEX(EF!$H$100:$H$115,MATCH(Emissions!$D65,EF!$D$100:$D$115,0))*INDEX(EF!$H$116:$H$131,MATCH(Emissions!$D65,EF!$D$116:$D$131,0))*kgtoGg</f>
        <v>0.26663358404846588</v>
      </c>
      <c r="BE65" s="22">
        <f>INDEX('Activity data'!BE$24:BE$39,MATCH(Emissions!$D65,'Activity data'!$D$24:$D$39,0))*INDEX(EF!$H$84:$H$99,MATCH(Emissions!$D65,EF!$D$84:$D$99,0))*INDEX(EF!$H$100:$H$115,MATCH(Emissions!$D65,EF!$D$100:$D$115,0))*INDEX(EF!$H$116:$H$131,MATCH(Emissions!$D65,EF!$D$116:$D$131,0))*kgtoGg</f>
        <v>0.26663358404846588</v>
      </c>
      <c r="BF65" s="22">
        <f>INDEX('Activity data'!BF$24:BF$39,MATCH(Emissions!$D65,'Activity data'!$D$24:$D$39,0))*INDEX(EF!$H$84:$H$99,MATCH(Emissions!$D65,EF!$D$84:$D$99,0))*INDEX(EF!$H$100:$H$115,MATCH(Emissions!$D65,EF!$D$100:$D$115,0))*INDEX(EF!$H$116:$H$131,MATCH(Emissions!$D65,EF!$D$116:$D$131,0))*kgtoGg</f>
        <v>0.26663358404846588</v>
      </c>
      <c r="BG65" s="22">
        <f>INDEX('Activity data'!BG$24:BG$39,MATCH(Emissions!$D65,'Activity data'!$D$24:$D$39,0))*INDEX(EF!$H$84:$H$99,MATCH(Emissions!$D65,EF!$D$84:$D$99,0))*INDEX(EF!$H$100:$H$115,MATCH(Emissions!$D65,EF!$D$100:$D$115,0))*INDEX(EF!$H$116:$H$131,MATCH(Emissions!$D65,EF!$D$116:$D$131,0))*kgtoGg</f>
        <v>0.26663358404846588</v>
      </c>
      <c r="BH65" s="22">
        <f>INDEX('Activity data'!BH$24:BH$39,MATCH(Emissions!$D65,'Activity data'!$D$24:$D$39,0))*INDEX(EF!$H$84:$H$99,MATCH(Emissions!$D65,EF!$D$84:$D$99,0))*INDEX(EF!$H$100:$H$115,MATCH(Emissions!$D65,EF!$D$100:$D$115,0))*INDEX(EF!$H$116:$H$131,MATCH(Emissions!$D65,EF!$D$116:$D$131,0))*kgtoGg</f>
        <v>0.26663358404846588</v>
      </c>
      <c r="BI65" s="22">
        <f>INDEX('Activity data'!BI$24:BI$39,MATCH(Emissions!$D65,'Activity data'!$D$24:$D$39,0))*INDEX(EF!$H$84:$H$99,MATCH(Emissions!$D65,EF!$D$84:$D$99,0))*INDEX(EF!$H$100:$H$115,MATCH(Emissions!$D65,EF!$D$100:$D$115,0))*INDEX(EF!$H$116:$H$131,MATCH(Emissions!$D65,EF!$D$116:$D$131,0))*kgtoGg</f>
        <v>0.26663358404846588</v>
      </c>
      <c r="BJ65" s="22">
        <f>INDEX('Activity data'!BJ$24:BJ$39,MATCH(Emissions!$D65,'Activity data'!$D$24:$D$39,0))*INDEX(EF!$H$84:$H$99,MATCH(Emissions!$D65,EF!$D$84:$D$99,0))*INDEX(EF!$H$100:$H$115,MATCH(Emissions!$D65,EF!$D$100:$D$115,0))*INDEX(EF!$H$116:$H$131,MATCH(Emissions!$D65,EF!$D$116:$D$131,0))*kgtoGg</f>
        <v>0.26663358404846588</v>
      </c>
      <c r="BK65" s="22">
        <f>INDEX('Activity data'!BK$24:BK$39,MATCH(Emissions!$D65,'Activity data'!$D$24:$D$39,0))*INDEX(EF!$H$84:$H$99,MATCH(Emissions!$D65,EF!$D$84:$D$99,0))*INDEX(EF!$H$100:$H$115,MATCH(Emissions!$D65,EF!$D$100:$D$115,0))*INDEX(EF!$H$116:$H$131,MATCH(Emissions!$D65,EF!$D$116:$D$131,0))*kgtoGg</f>
        <v>0.26663358404846588</v>
      </c>
      <c r="BL65" s="22">
        <f>INDEX('Activity data'!BL$24:BL$39,MATCH(Emissions!$D65,'Activity data'!$D$24:$D$39,0))*INDEX(EF!$H$84:$H$99,MATCH(Emissions!$D65,EF!$D$84:$D$99,0))*INDEX(EF!$H$100:$H$115,MATCH(Emissions!$D65,EF!$D$100:$D$115,0))*INDEX(EF!$H$116:$H$131,MATCH(Emissions!$D65,EF!$D$116:$D$131,0))*kgtoGg</f>
        <v>0.26663358404846588</v>
      </c>
      <c r="BM65" s="22">
        <f>INDEX('Activity data'!BM$24:BM$39,MATCH(Emissions!$D65,'Activity data'!$D$24:$D$39,0))*INDEX(EF!$H$84:$H$99,MATCH(Emissions!$D65,EF!$D$84:$D$99,0))*INDEX(EF!$H$100:$H$115,MATCH(Emissions!$D65,EF!$D$100:$D$115,0))*INDEX(EF!$H$116:$H$131,MATCH(Emissions!$D65,EF!$D$116:$D$131,0))*kgtoGg</f>
        <v>0.26663358404846588</v>
      </c>
      <c r="BN65" s="22">
        <f>INDEX('Activity data'!BN$24:BN$39,MATCH(Emissions!$D65,'Activity data'!$D$24:$D$39,0))*INDEX(EF!$H$84:$H$99,MATCH(Emissions!$D65,EF!$D$84:$D$99,0))*INDEX(EF!$H$100:$H$115,MATCH(Emissions!$D65,EF!$D$100:$D$115,0))*INDEX(EF!$H$116:$H$131,MATCH(Emissions!$D65,EF!$D$116:$D$131,0))*kgtoGg</f>
        <v>0.26663358404846588</v>
      </c>
      <c r="BO65" s="22">
        <f>INDEX('Activity data'!BO$24:BO$39,MATCH(Emissions!$D65,'Activity data'!$D$24:$D$39,0))*INDEX(EF!$H$84:$H$99,MATCH(Emissions!$D65,EF!$D$84:$D$99,0))*INDEX(EF!$H$100:$H$115,MATCH(Emissions!$D65,EF!$D$100:$D$115,0))*INDEX(EF!$H$116:$H$131,MATCH(Emissions!$D65,EF!$D$116:$D$131,0))*kgtoGg</f>
        <v>0.26663358404846588</v>
      </c>
      <c r="BP65" s="22">
        <f>INDEX('Activity data'!BP$24:BP$39,MATCH(Emissions!$D65,'Activity data'!$D$24:$D$39,0))*INDEX(EF!$H$84:$H$99,MATCH(Emissions!$D65,EF!$D$84:$D$99,0))*INDEX(EF!$H$100:$H$115,MATCH(Emissions!$D65,EF!$D$100:$D$115,0))*INDEX(EF!$H$116:$H$131,MATCH(Emissions!$D65,EF!$D$116:$D$131,0))*kgtoGg</f>
        <v>0.26663358404846588</v>
      </c>
    </row>
    <row r="66" spans="1:68" x14ac:dyDescent="0.25">
      <c r="A66" t="str">
        <f t="shared" si="19"/>
        <v>3C Aggregated and non-CO2 emissions on land</v>
      </c>
      <c r="B66" t="str">
        <f t="shared" si="20"/>
        <v>3C1 Biomass burning (CH4)</v>
      </c>
      <c r="C66" t="str">
        <f>'IPCC Categories'!C62</f>
        <v>3C1d Biomass burning in Wetlands</v>
      </c>
      <c r="D66" t="str">
        <f>EF!D96</f>
        <v>Wetlands</v>
      </c>
      <c r="E66" t="s">
        <v>652</v>
      </c>
      <c r="F66" t="str">
        <f t="shared" ref="F66:F69" si="23">F65</f>
        <v>CH4</v>
      </c>
      <c r="G66" t="str">
        <f t="shared" ref="G66:G69" si="24">G65</f>
        <v>Gg CH4</v>
      </c>
      <c r="H66" s="22">
        <f>INDEX('Activity data'!H$24:H$39,MATCH(Emissions!$D66,'Activity data'!$D$24:$D$39,0))*INDEX(EF!$H$84:$H$99,MATCH(Emissions!$D66,EF!$D$84:$D$99,0))*INDEX(EF!$H$100:$H$115,MATCH(Emissions!$D66,EF!$D$100:$D$115,0))*INDEX(EF!$H$116:$H$131,MATCH(Emissions!$D66,EF!$D$116:$D$131,0))*kgtoGg</f>
        <v>0.80577517347341965</v>
      </c>
      <c r="I66" s="22">
        <f>INDEX('Activity data'!I$24:I$39,MATCH(Emissions!$D66,'Activity data'!$D$24:$D$39,0))*INDEX(EF!$H$84:$H$99,MATCH(Emissions!$D66,EF!$D$84:$D$99,0))*INDEX(EF!$H$100:$H$115,MATCH(Emissions!$D66,EF!$D$100:$D$115,0))*INDEX(EF!$H$116:$H$131,MATCH(Emissions!$D66,EF!$D$116:$D$131,0))*kgtoGg</f>
        <v>0.80577517347341965</v>
      </c>
      <c r="J66" s="22">
        <f>INDEX('Activity data'!J$24:J$39,MATCH(Emissions!$D66,'Activity data'!$D$24:$D$39,0))*INDEX(EF!$H$84:$H$99,MATCH(Emissions!$D66,EF!$D$84:$D$99,0))*INDEX(EF!$H$100:$H$115,MATCH(Emissions!$D66,EF!$D$100:$D$115,0))*INDEX(EF!$H$116:$H$131,MATCH(Emissions!$D66,EF!$D$116:$D$131,0))*kgtoGg</f>
        <v>0.80577517347341965</v>
      </c>
      <c r="K66" s="22">
        <f>INDEX('Activity data'!K$24:K$39,MATCH(Emissions!$D66,'Activity data'!$D$24:$D$39,0))*INDEX(EF!$H$84:$H$99,MATCH(Emissions!$D66,EF!$D$84:$D$99,0))*INDEX(EF!$H$100:$H$115,MATCH(Emissions!$D66,EF!$D$100:$D$115,0))*INDEX(EF!$H$116:$H$131,MATCH(Emissions!$D66,EF!$D$116:$D$131,0))*kgtoGg</f>
        <v>0.80577517347341965</v>
      </c>
      <c r="L66" s="22">
        <f>INDEX('Activity data'!L$24:L$39,MATCH(Emissions!$D66,'Activity data'!$D$24:$D$39,0))*INDEX(EF!$H$84:$H$99,MATCH(Emissions!$D66,EF!$D$84:$D$99,0))*INDEX(EF!$H$100:$H$115,MATCH(Emissions!$D66,EF!$D$100:$D$115,0))*INDEX(EF!$H$116:$H$131,MATCH(Emissions!$D66,EF!$D$116:$D$131,0))*kgtoGg</f>
        <v>0.80577517347341965</v>
      </c>
      <c r="M66" s="22">
        <f>INDEX('Activity data'!M$24:M$39,MATCH(Emissions!$D66,'Activity data'!$D$24:$D$39,0))*INDEX(EF!$H$84:$H$99,MATCH(Emissions!$D66,EF!$D$84:$D$99,0))*INDEX(EF!$H$100:$H$115,MATCH(Emissions!$D66,EF!$D$100:$D$115,0))*INDEX(EF!$H$116:$H$131,MATCH(Emissions!$D66,EF!$D$116:$D$131,0))*kgtoGg</f>
        <v>0.80577517347341965</v>
      </c>
      <c r="N66" s="22">
        <f>INDEX('Activity data'!N$24:N$39,MATCH(Emissions!$D66,'Activity data'!$D$24:$D$39,0))*INDEX(EF!$H$84:$H$99,MATCH(Emissions!$D66,EF!$D$84:$D$99,0))*INDEX(EF!$H$100:$H$115,MATCH(Emissions!$D66,EF!$D$100:$D$115,0))*INDEX(EF!$H$116:$H$131,MATCH(Emissions!$D66,EF!$D$116:$D$131,0))*kgtoGg</f>
        <v>0.80577517347341965</v>
      </c>
      <c r="O66" s="22">
        <f>INDEX('Activity data'!O$24:O$39,MATCH(Emissions!$D66,'Activity data'!$D$24:$D$39,0))*INDEX(EF!$H$84:$H$99,MATCH(Emissions!$D66,EF!$D$84:$D$99,0))*INDEX(EF!$H$100:$H$115,MATCH(Emissions!$D66,EF!$D$100:$D$115,0))*INDEX(EF!$H$116:$H$131,MATCH(Emissions!$D66,EF!$D$116:$D$131,0))*kgtoGg</f>
        <v>0.80577517347341965</v>
      </c>
      <c r="P66" s="22">
        <f>INDEX('Activity data'!P$24:P$39,MATCH(Emissions!$D66,'Activity data'!$D$24:$D$39,0))*INDEX(EF!$H$84:$H$99,MATCH(Emissions!$D66,EF!$D$84:$D$99,0))*INDEX(EF!$H$100:$H$115,MATCH(Emissions!$D66,EF!$D$100:$D$115,0))*INDEX(EF!$H$116:$H$131,MATCH(Emissions!$D66,EF!$D$116:$D$131,0))*kgtoGg</f>
        <v>0.80577517347341965</v>
      </c>
      <c r="Q66" s="22">
        <f>INDEX('Activity data'!Q$24:Q$39,MATCH(Emissions!$D66,'Activity data'!$D$24:$D$39,0))*INDEX(EF!$H$84:$H$99,MATCH(Emissions!$D66,EF!$D$84:$D$99,0))*INDEX(EF!$H$100:$H$115,MATCH(Emissions!$D66,EF!$D$100:$D$115,0))*INDEX(EF!$H$116:$H$131,MATCH(Emissions!$D66,EF!$D$116:$D$131,0))*kgtoGg</f>
        <v>0.80577517347341965</v>
      </c>
      <c r="R66" s="22">
        <f>INDEX('Activity data'!R$24:R$39,MATCH(Emissions!$D66,'Activity data'!$D$24:$D$39,0))*INDEX(EF!$H$84:$H$99,MATCH(Emissions!$D66,EF!$D$84:$D$99,0))*INDEX(EF!$H$100:$H$115,MATCH(Emissions!$D66,EF!$D$100:$D$115,0))*INDEX(EF!$H$116:$H$131,MATCH(Emissions!$D66,EF!$D$116:$D$131,0))*kgtoGg</f>
        <v>0.71282120012392636</v>
      </c>
      <c r="S66" s="22">
        <f>INDEX('Activity data'!S$24:S$39,MATCH(Emissions!$D66,'Activity data'!$D$24:$D$39,0))*INDEX(EF!$H$84:$H$99,MATCH(Emissions!$D66,EF!$D$84:$D$99,0))*INDEX(EF!$H$100:$H$115,MATCH(Emissions!$D66,EF!$D$100:$D$115,0))*INDEX(EF!$H$116:$H$131,MATCH(Emissions!$D66,EF!$D$116:$D$131,0))*kgtoGg</f>
        <v>0.86099923348302065</v>
      </c>
      <c r="T66" s="22">
        <f>INDEX('Activity data'!T$24:T$39,MATCH(Emissions!$D66,'Activity data'!$D$24:$D$39,0))*INDEX(EF!$H$84:$H$99,MATCH(Emissions!$D66,EF!$D$84:$D$99,0))*INDEX(EF!$H$100:$H$115,MATCH(Emissions!$D66,EF!$D$100:$D$115,0))*INDEX(EF!$H$116:$H$131,MATCH(Emissions!$D66,EF!$D$116:$D$131,0))*kgtoGg</f>
        <v>0.97458063350276725</v>
      </c>
      <c r="U66" s="22">
        <f>INDEX('Activity data'!U$24:U$39,MATCH(Emissions!$D66,'Activity data'!$D$24:$D$39,0))*INDEX(EF!$H$84:$H$99,MATCH(Emissions!$D66,EF!$D$84:$D$99,0))*INDEX(EF!$H$100:$H$115,MATCH(Emissions!$D66,EF!$D$100:$D$115,0))*INDEX(EF!$H$116:$H$131,MATCH(Emissions!$D66,EF!$D$116:$D$131,0))*kgtoGg</f>
        <v>0.79724568902749249</v>
      </c>
      <c r="V66" s="22">
        <f>INDEX('Activity data'!V$24:V$39,MATCH(Emissions!$D66,'Activity data'!$D$24:$D$39,0))*INDEX(EF!$H$84:$H$99,MATCH(Emissions!$D66,EF!$D$84:$D$99,0))*INDEX(EF!$H$100:$H$115,MATCH(Emissions!$D66,EF!$D$100:$D$115,0))*INDEX(EF!$H$116:$H$131,MATCH(Emissions!$D66,EF!$D$116:$D$131,0))*kgtoGg</f>
        <v>0.68322911122989261</v>
      </c>
      <c r="W66" s="22">
        <f>INDEX('Activity data'!W$24:W$39,MATCH(Emissions!$D66,'Activity data'!$D$24:$D$39,0))*INDEX(EF!$H$84:$H$99,MATCH(Emissions!$D66,EF!$D$84:$D$99,0))*INDEX(EF!$H$100:$H$115,MATCH(Emissions!$D66,EF!$D$100:$D$115,0))*INDEX(EF!$H$116:$H$131,MATCH(Emissions!$D66,EF!$D$116:$D$131,0))*kgtoGg</f>
        <v>1.0109179779535291</v>
      </c>
      <c r="X66" s="22">
        <f>INDEX('Activity data'!X$24:X$39,MATCH(Emissions!$D66,'Activity data'!$D$24:$D$39,0))*INDEX(EF!$H$84:$H$99,MATCH(Emissions!$D66,EF!$D$84:$D$99,0))*INDEX(EF!$H$100:$H$115,MATCH(Emissions!$D66,EF!$D$100:$D$115,0))*INDEX(EF!$H$116:$H$131,MATCH(Emissions!$D66,EF!$D$116:$D$131,0))*kgtoGg</f>
        <v>0.89733657793378252</v>
      </c>
      <c r="Y66" s="22">
        <f>INDEX('Activity data'!Y$24:Y$39,MATCH(Emissions!$D66,'Activity data'!$D$24:$D$39,0))*INDEX(EF!$H$84:$H$99,MATCH(Emissions!$D66,EF!$D$84:$D$99,0))*INDEX(EF!$H$100:$H$115,MATCH(Emissions!$D66,EF!$D$100:$D$115,0))*INDEX(EF!$H$116:$H$131,MATCH(Emissions!$D66,EF!$D$116:$D$131,0))*kgtoGg</f>
        <v>0.79050043347076437</v>
      </c>
      <c r="Z66" s="22">
        <f>INDEX('Activity data'!Z$24:Z$39,MATCH(Emissions!$D66,'Activity data'!$D$24:$D$39,0))*INDEX(EF!$H$84:$H$99,MATCH(Emissions!$D66,EF!$D$84:$D$99,0))*INDEX(EF!$H$100:$H$115,MATCH(Emissions!$D66,EF!$D$100:$D$115,0))*INDEX(EF!$H$116:$H$131,MATCH(Emissions!$D66,EF!$D$116:$D$131,0))*kgtoGg</f>
        <v>0.72087198901421468</v>
      </c>
      <c r="AA66" s="22">
        <f>INDEX('Activity data'!AA$24:AA$39,MATCH(Emissions!$D66,'Activity data'!$D$24:$D$39,0))*INDEX(EF!$H$84:$H$99,MATCH(Emissions!$D66,EF!$D$84:$D$99,0))*INDEX(EF!$H$100:$H$115,MATCH(Emissions!$D66,EF!$D$100:$D$115,0))*INDEX(EF!$H$116:$H$131,MATCH(Emissions!$D66,EF!$D$116:$D$131,0))*kgtoGg</f>
        <v>0.80964825569631549</v>
      </c>
      <c r="AB66" s="22">
        <f>INDEX('Activity data'!AB$24:AB$39,MATCH(Emissions!$D66,'Activity data'!$D$24:$D$39,0))*INDEX(EF!$H$84:$H$99,MATCH(Emissions!$D66,EF!$D$84:$D$99,0))*INDEX(EF!$H$100:$H$115,MATCH(Emissions!$D66,EF!$D$100:$D$115,0))*INDEX(EF!$H$116:$H$131,MATCH(Emissions!$D66,EF!$D$116:$D$131,0))*kgtoGg</f>
        <v>1.0836294956999997</v>
      </c>
      <c r="AC66" s="22">
        <f>INDEX('Activity data'!AC$24:AC$39,MATCH(Emissions!$D66,'Activity data'!$D$24:$D$39,0))*INDEX(EF!$H$84:$H$99,MATCH(Emissions!$D66,EF!$D$84:$D$99,0))*INDEX(EF!$H$100:$H$115,MATCH(Emissions!$D66,EF!$D$100:$D$115,0))*INDEX(EF!$H$116:$H$131,MATCH(Emissions!$D66,EF!$D$116:$D$131,0))*kgtoGg</f>
        <v>1.1703623921999995</v>
      </c>
      <c r="AD66" s="22">
        <f>INDEX('Activity data'!AD$24:AD$39,MATCH(Emissions!$D66,'Activity data'!$D$24:$D$39,0))*INDEX(EF!$H$84:$H$99,MATCH(Emissions!$D66,EF!$D$84:$D$99,0))*INDEX(EF!$H$100:$H$115,MATCH(Emissions!$D66,EF!$D$100:$D$115,0))*INDEX(EF!$H$116:$H$131,MATCH(Emissions!$D66,EF!$D$116:$D$131,0))*kgtoGg</f>
        <v>0.86319492850198365</v>
      </c>
      <c r="AE66" s="22">
        <f>INDEX('Activity data'!AE$24:AE$39,MATCH(Emissions!$D66,'Activity data'!$D$24:$D$39,0))*INDEX(EF!$H$84:$H$99,MATCH(Emissions!$D66,EF!$D$84:$D$99,0))*INDEX(EF!$H$100:$H$115,MATCH(Emissions!$D66,EF!$D$100:$D$115,0))*INDEX(EF!$H$116:$H$131,MATCH(Emissions!$D66,EF!$D$116:$D$131,0))*kgtoGg</f>
        <v>0.86319492850198365</v>
      </c>
      <c r="AF66" s="22">
        <f>INDEX('Activity data'!AF$24:AF$39,MATCH(Emissions!$D66,'Activity data'!$D$24:$D$39,0))*INDEX(EF!$H$84:$H$99,MATCH(Emissions!$D66,EF!$D$84:$D$99,0))*INDEX(EF!$H$100:$H$115,MATCH(Emissions!$D66,EF!$D$100:$D$115,0))*INDEX(EF!$H$116:$H$131,MATCH(Emissions!$D66,EF!$D$116:$D$131,0))*kgtoGg</f>
        <v>0.86319492850198365</v>
      </c>
      <c r="AG66" s="22">
        <f>INDEX('Activity data'!AG$24:AG$39,MATCH(Emissions!$D66,'Activity data'!$D$24:$D$39,0))*INDEX(EF!$H$84:$H$99,MATCH(Emissions!$D66,EF!$D$84:$D$99,0))*INDEX(EF!$H$100:$H$115,MATCH(Emissions!$D66,EF!$D$100:$D$115,0))*INDEX(EF!$H$116:$H$131,MATCH(Emissions!$D66,EF!$D$116:$D$131,0))*kgtoGg</f>
        <v>0.86319492850198365</v>
      </c>
      <c r="AH66" s="22">
        <f>INDEX('Activity data'!AH$24:AH$39,MATCH(Emissions!$D66,'Activity data'!$D$24:$D$39,0))*INDEX(EF!$H$84:$H$99,MATCH(Emissions!$D66,EF!$D$84:$D$99,0))*INDEX(EF!$H$100:$H$115,MATCH(Emissions!$D66,EF!$D$100:$D$115,0))*INDEX(EF!$H$116:$H$131,MATCH(Emissions!$D66,EF!$D$116:$D$131,0))*kgtoGg</f>
        <v>0.86319492850198365</v>
      </c>
      <c r="AI66" s="22">
        <f>INDEX('Activity data'!AI$24:AI$39,MATCH(Emissions!$D66,'Activity data'!$D$24:$D$39,0))*INDEX(EF!$H$84:$H$99,MATCH(Emissions!$D66,EF!$D$84:$D$99,0))*INDEX(EF!$H$100:$H$115,MATCH(Emissions!$D66,EF!$D$100:$D$115,0))*INDEX(EF!$H$116:$H$131,MATCH(Emissions!$D66,EF!$D$116:$D$131,0))*kgtoGg</f>
        <v>0.86319492850198365</v>
      </c>
      <c r="AJ66" s="22">
        <f>INDEX('Activity data'!AJ$24:AJ$39,MATCH(Emissions!$D66,'Activity data'!$D$24:$D$39,0))*INDEX(EF!$H$84:$H$99,MATCH(Emissions!$D66,EF!$D$84:$D$99,0))*INDEX(EF!$H$100:$H$115,MATCH(Emissions!$D66,EF!$D$100:$D$115,0))*INDEX(EF!$H$116:$H$131,MATCH(Emissions!$D66,EF!$D$116:$D$131,0))*kgtoGg</f>
        <v>0.86319492850198365</v>
      </c>
      <c r="AK66" s="22">
        <f>INDEX('Activity data'!AK$24:AK$39,MATCH(Emissions!$D66,'Activity data'!$D$24:$D$39,0))*INDEX(EF!$H$84:$H$99,MATCH(Emissions!$D66,EF!$D$84:$D$99,0))*INDEX(EF!$H$100:$H$115,MATCH(Emissions!$D66,EF!$D$100:$D$115,0))*INDEX(EF!$H$116:$H$131,MATCH(Emissions!$D66,EF!$D$116:$D$131,0))*kgtoGg</f>
        <v>0.86319492850198365</v>
      </c>
      <c r="AL66" s="22">
        <f>INDEX('Activity data'!AL$24:AL$39,MATCH(Emissions!$D66,'Activity data'!$D$24:$D$39,0))*INDEX(EF!$H$84:$H$99,MATCH(Emissions!$D66,EF!$D$84:$D$99,0))*INDEX(EF!$H$100:$H$115,MATCH(Emissions!$D66,EF!$D$100:$D$115,0))*INDEX(EF!$H$116:$H$131,MATCH(Emissions!$D66,EF!$D$116:$D$131,0))*kgtoGg</f>
        <v>0.86319492850198365</v>
      </c>
      <c r="AM66" s="22">
        <f>INDEX('Activity data'!AM$24:AM$39,MATCH(Emissions!$D66,'Activity data'!$D$24:$D$39,0))*INDEX(EF!$H$84:$H$99,MATCH(Emissions!$D66,EF!$D$84:$D$99,0))*INDEX(EF!$H$100:$H$115,MATCH(Emissions!$D66,EF!$D$100:$D$115,0))*INDEX(EF!$H$116:$H$131,MATCH(Emissions!$D66,EF!$D$116:$D$131,0))*kgtoGg</f>
        <v>0.86319492850198365</v>
      </c>
      <c r="AN66" s="22">
        <f>INDEX('Activity data'!AN$24:AN$39,MATCH(Emissions!$D66,'Activity data'!$D$24:$D$39,0))*INDEX(EF!$H$84:$H$99,MATCH(Emissions!$D66,EF!$D$84:$D$99,0))*INDEX(EF!$H$100:$H$115,MATCH(Emissions!$D66,EF!$D$100:$D$115,0))*INDEX(EF!$H$116:$H$131,MATCH(Emissions!$D66,EF!$D$116:$D$131,0))*kgtoGg</f>
        <v>0.86319492850198365</v>
      </c>
      <c r="AO66" s="22">
        <f>INDEX('Activity data'!AO$24:AO$39,MATCH(Emissions!$D66,'Activity data'!$D$24:$D$39,0))*INDEX(EF!$H$84:$H$99,MATCH(Emissions!$D66,EF!$D$84:$D$99,0))*INDEX(EF!$H$100:$H$115,MATCH(Emissions!$D66,EF!$D$100:$D$115,0))*INDEX(EF!$H$116:$H$131,MATCH(Emissions!$D66,EF!$D$116:$D$131,0))*kgtoGg</f>
        <v>0.86319492850198365</v>
      </c>
      <c r="AP66" s="22">
        <f>INDEX('Activity data'!AP$24:AP$39,MATCH(Emissions!$D66,'Activity data'!$D$24:$D$39,0))*INDEX(EF!$H$84:$H$99,MATCH(Emissions!$D66,EF!$D$84:$D$99,0))*INDEX(EF!$H$100:$H$115,MATCH(Emissions!$D66,EF!$D$100:$D$115,0))*INDEX(EF!$H$116:$H$131,MATCH(Emissions!$D66,EF!$D$116:$D$131,0))*kgtoGg</f>
        <v>0.86319492850198365</v>
      </c>
      <c r="AQ66" s="22">
        <f>INDEX('Activity data'!AQ$24:AQ$39,MATCH(Emissions!$D66,'Activity data'!$D$24:$D$39,0))*INDEX(EF!$H$84:$H$99,MATCH(Emissions!$D66,EF!$D$84:$D$99,0))*INDEX(EF!$H$100:$H$115,MATCH(Emissions!$D66,EF!$D$100:$D$115,0))*INDEX(EF!$H$116:$H$131,MATCH(Emissions!$D66,EF!$D$116:$D$131,0))*kgtoGg</f>
        <v>0.86319492850198365</v>
      </c>
      <c r="AR66" s="22">
        <f>INDEX('Activity data'!AR$24:AR$39,MATCH(Emissions!$D66,'Activity data'!$D$24:$D$39,0))*INDEX(EF!$H$84:$H$99,MATCH(Emissions!$D66,EF!$D$84:$D$99,0))*INDEX(EF!$H$100:$H$115,MATCH(Emissions!$D66,EF!$D$100:$D$115,0))*INDEX(EF!$H$116:$H$131,MATCH(Emissions!$D66,EF!$D$116:$D$131,0))*kgtoGg</f>
        <v>0.86319492850198365</v>
      </c>
      <c r="AS66" s="22">
        <f>INDEX('Activity data'!AS$24:AS$39,MATCH(Emissions!$D66,'Activity data'!$D$24:$D$39,0))*INDEX(EF!$H$84:$H$99,MATCH(Emissions!$D66,EF!$D$84:$D$99,0))*INDEX(EF!$H$100:$H$115,MATCH(Emissions!$D66,EF!$D$100:$D$115,0))*INDEX(EF!$H$116:$H$131,MATCH(Emissions!$D66,EF!$D$116:$D$131,0))*kgtoGg</f>
        <v>0.86319492850198365</v>
      </c>
      <c r="AT66" s="22">
        <f>INDEX('Activity data'!AT$24:AT$39,MATCH(Emissions!$D66,'Activity data'!$D$24:$D$39,0))*INDEX(EF!$H$84:$H$99,MATCH(Emissions!$D66,EF!$D$84:$D$99,0))*INDEX(EF!$H$100:$H$115,MATCH(Emissions!$D66,EF!$D$100:$D$115,0))*INDEX(EF!$H$116:$H$131,MATCH(Emissions!$D66,EF!$D$116:$D$131,0))*kgtoGg</f>
        <v>0.86319492850198365</v>
      </c>
      <c r="AU66" s="22">
        <f>INDEX('Activity data'!AU$24:AU$39,MATCH(Emissions!$D66,'Activity data'!$D$24:$D$39,0))*INDEX(EF!$H$84:$H$99,MATCH(Emissions!$D66,EF!$D$84:$D$99,0))*INDEX(EF!$H$100:$H$115,MATCH(Emissions!$D66,EF!$D$100:$D$115,0))*INDEX(EF!$H$116:$H$131,MATCH(Emissions!$D66,EF!$D$116:$D$131,0))*kgtoGg</f>
        <v>0.86319492850198365</v>
      </c>
      <c r="AV66" s="22">
        <f>INDEX('Activity data'!AV$24:AV$39,MATCH(Emissions!$D66,'Activity data'!$D$24:$D$39,0))*INDEX(EF!$H$84:$H$99,MATCH(Emissions!$D66,EF!$D$84:$D$99,0))*INDEX(EF!$H$100:$H$115,MATCH(Emissions!$D66,EF!$D$100:$D$115,0))*INDEX(EF!$H$116:$H$131,MATCH(Emissions!$D66,EF!$D$116:$D$131,0))*kgtoGg</f>
        <v>0.86319492850198365</v>
      </c>
      <c r="AW66" s="22">
        <f>INDEX('Activity data'!AW$24:AW$39,MATCH(Emissions!$D66,'Activity data'!$D$24:$D$39,0))*INDEX(EF!$H$84:$H$99,MATCH(Emissions!$D66,EF!$D$84:$D$99,0))*INDEX(EF!$H$100:$H$115,MATCH(Emissions!$D66,EF!$D$100:$D$115,0))*INDEX(EF!$H$116:$H$131,MATCH(Emissions!$D66,EF!$D$116:$D$131,0))*kgtoGg</f>
        <v>0.86319492850198365</v>
      </c>
      <c r="AX66" s="22">
        <f>INDEX('Activity data'!AX$24:AX$39,MATCH(Emissions!$D66,'Activity data'!$D$24:$D$39,0))*INDEX(EF!$H$84:$H$99,MATCH(Emissions!$D66,EF!$D$84:$D$99,0))*INDEX(EF!$H$100:$H$115,MATCH(Emissions!$D66,EF!$D$100:$D$115,0))*INDEX(EF!$H$116:$H$131,MATCH(Emissions!$D66,EF!$D$116:$D$131,0))*kgtoGg</f>
        <v>0.86319492850198365</v>
      </c>
      <c r="AY66" s="22">
        <f>INDEX('Activity data'!AY$24:AY$39,MATCH(Emissions!$D66,'Activity data'!$D$24:$D$39,0))*INDEX(EF!$H$84:$H$99,MATCH(Emissions!$D66,EF!$D$84:$D$99,0))*INDEX(EF!$H$100:$H$115,MATCH(Emissions!$D66,EF!$D$100:$D$115,0))*INDEX(EF!$H$116:$H$131,MATCH(Emissions!$D66,EF!$D$116:$D$131,0))*kgtoGg</f>
        <v>0.86319492850198365</v>
      </c>
      <c r="AZ66" s="22">
        <f>INDEX('Activity data'!AZ$24:AZ$39,MATCH(Emissions!$D66,'Activity data'!$D$24:$D$39,0))*INDEX(EF!$H$84:$H$99,MATCH(Emissions!$D66,EF!$D$84:$D$99,0))*INDEX(EF!$H$100:$H$115,MATCH(Emissions!$D66,EF!$D$100:$D$115,0))*INDEX(EF!$H$116:$H$131,MATCH(Emissions!$D66,EF!$D$116:$D$131,0))*kgtoGg</f>
        <v>0.86319492850198365</v>
      </c>
      <c r="BA66" s="22">
        <f>INDEX('Activity data'!BA$24:BA$39,MATCH(Emissions!$D66,'Activity data'!$D$24:$D$39,0))*INDEX(EF!$H$84:$H$99,MATCH(Emissions!$D66,EF!$D$84:$D$99,0))*INDEX(EF!$H$100:$H$115,MATCH(Emissions!$D66,EF!$D$100:$D$115,0))*INDEX(EF!$H$116:$H$131,MATCH(Emissions!$D66,EF!$D$116:$D$131,0))*kgtoGg</f>
        <v>0.86319492850198365</v>
      </c>
      <c r="BB66" s="22">
        <f>INDEX('Activity data'!BB$24:BB$39,MATCH(Emissions!$D66,'Activity data'!$D$24:$D$39,0))*INDEX(EF!$H$84:$H$99,MATCH(Emissions!$D66,EF!$D$84:$D$99,0))*INDEX(EF!$H$100:$H$115,MATCH(Emissions!$D66,EF!$D$100:$D$115,0))*INDEX(EF!$H$116:$H$131,MATCH(Emissions!$D66,EF!$D$116:$D$131,0))*kgtoGg</f>
        <v>0.86319492850198365</v>
      </c>
      <c r="BC66" s="22">
        <f>INDEX('Activity data'!BC$24:BC$39,MATCH(Emissions!$D66,'Activity data'!$D$24:$D$39,0))*INDEX(EF!$H$84:$H$99,MATCH(Emissions!$D66,EF!$D$84:$D$99,0))*INDEX(EF!$H$100:$H$115,MATCH(Emissions!$D66,EF!$D$100:$D$115,0))*INDEX(EF!$H$116:$H$131,MATCH(Emissions!$D66,EF!$D$116:$D$131,0))*kgtoGg</f>
        <v>0.86319492850198365</v>
      </c>
      <c r="BD66" s="22">
        <f>INDEX('Activity data'!BD$24:BD$39,MATCH(Emissions!$D66,'Activity data'!$D$24:$D$39,0))*INDEX(EF!$H$84:$H$99,MATCH(Emissions!$D66,EF!$D$84:$D$99,0))*INDEX(EF!$H$100:$H$115,MATCH(Emissions!$D66,EF!$D$100:$D$115,0))*INDEX(EF!$H$116:$H$131,MATCH(Emissions!$D66,EF!$D$116:$D$131,0))*kgtoGg</f>
        <v>0.86319492850198365</v>
      </c>
      <c r="BE66" s="22">
        <f>INDEX('Activity data'!BE$24:BE$39,MATCH(Emissions!$D66,'Activity data'!$D$24:$D$39,0))*INDEX(EF!$H$84:$H$99,MATCH(Emissions!$D66,EF!$D$84:$D$99,0))*INDEX(EF!$H$100:$H$115,MATCH(Emissions!$D66,EF!$D$100:$D$115,0))*INDEX(EF!$H$116:$H$131,MATCH(Emissions!$D66,EF!$D$116:$D$131,0))*kgtoGg</f>
        <v>0.86319492850198365</v>
      </c>
      <c r="BF66" s="22">
        <f>INDEX('Activity data'!BF$24:BF$39,MATCH(Emissions!$D66,'Activity data'!$D$24:$D$39,0))*INDEX(EF!$H$84:$H$99,MATCH(Emissions!$D66,EF!$D$84:$D$99,0))*INDEX(EF!$H$100:$H$115,MATCH(Emissions!$D66,EF!$D$100:$D$115,0))*INDEX(EF!$H$116:$H$131,MATCH(Emissions!$D66,EF!$D$116:$D$131,0))*kgtoGg</f>
        <v>0.86319492850198365</v>
      </c>
      <c r="BG66" s="22">
        <f>INDEX('Activity data'!BG$24:BG$39,MATCH(Emissions!$D66,'Activity data'!$D$24:$D$39,0))*INDEX(EF!$H$84:$H$99,MATCH(Emissions!$D66,EF!$D$84:$D$99,0))*INDEX(EF!$H$100:$H$115,MATCH(Emissions!$D66,EF!$D$100:$D$115,0))*INDEX(EF!$H$116:$H$131,MATCH(Emissions!$D66,EF!$D$116:$D$131,0))*kgtoGg</f>
        <v>0.86319492850198365</v>
      </c>
      <c r="BH66" s="22">
        <f>INDEX('Activity data'!BH$24:BH$39,MATCH(Emissions!$D66,'Activity data'!$D$24:$D$39,0))*INDEX(EF!$H$84:$H$99,MATCH(Emissions!$D66,EF!$D$84:$D$99,0))*INDEX(EF!$H$100:$H$115,MATCH(Emissions!$D66,EF!$D$100:$D$115,0))*INDEX(EF!$H$116:$H$131,MATCH(Emissions!$D66,EF!$D$116:$D$131,0))*kgtoGg</f>
        <v>0.86319492850198365</v>
      </c>
      <c r="BI66" s="22">
        <f>INDEX('Activity data'!BI$24:BI$39,MATCH(Emissions!$D66,'Activity data'!$D$24:$D$39,0))*INDEX(EF!$H$84:$H$99,MATCH(Emissions!$D66,EF!$D$84:$D$99,0))*INDEX(EF!$H$100:$H$115,MATCH(Emissions!$D66,EF!$D$100:$D$115,0))*INDEX(EF!$H$116:$H$131,MATCH(Emissions!$D66,EF!$D$116:$D$131,0))*kgtoGg</f>
        <v>0.86319492850198365</v>
      </c>
      <c r="BJ66" s="22">
        <f>INDEX('Activity data'!BJ$24:BJ$39,MATCH(Emissions!$D66,'Activity data'!$D$24:$D$39,0))*INDEX(EF!$H$84:$H$99,MATCH(Emissions!$D66,EF!$D$84:$D$99,0))*INDEX(EF!$H$100:$H$115,MATCH(Emissions!$D66,EF!$D$100:$D$115,0))*INDEX(EF!$H$116:$H$131,MATCH(Emissions!$D66,EF!$D$116:$D$131,0))*kgtoGg</f>
        <v>0.86319492850198365</v>
      </c>
      <c r="BK66" s="22">
        <f>INDEX('Activity data'!BK$24:BK$39,MATCH(Emissions!$D66,'Activity data'!$D$24:$D$39,0))*INDEX(EF!$H$84:$H$99,MATCH(Emissions!$D66,EF!$D$84:$D$99,0))*INDEX(EF!$H$100:$H$115,MATCH(Emissions!$D66,EF!$D$100:$D$115,0))*INDEX(EF!$H$116:$H$131,MATCH(Emissions!$D66,EF!$D$116:$D$131,0))*kgtoGg</f>
        <v>0.86319492850198365</v>
      </c>
      <c r="BL66" s="22">
        <f>INDEX('Activity data'!BL$24:BL$39,MATCH(Emissions!$D66,'Activity data'!$D$24:$D$39,0))*INDEX(EF!$H$84:$H$99,MATCH(Emissions!$D66,EF!$D$84:$D$99,0))*INDEX(EF!$H$100:$H$115,MATCH(Emissions!$D66,EF!$D$100:$D$115,0))*INDEX(EF!$H$116:$H$131,MATCH(Emissions!$D66,EF!$D$116:$D$131,0))*kgtoGg</f>
        <v>0.86319492850198365</v>
      </c>
      <c r="BM66" s="22">
        <f>INDEX('Activity data'!BM$24:BM$39,MATCH(Emissions!$D66,'Activity data'!$D$24:$D$39,0))*INDEX(EF!$H$84:$H$99,MATCH(Emissions!$D66,EF!$D$84:$D$99,0))*INDEX(EF!$H$100:$H$115,MATCH(Emissions!$D66,EF!$D$100:$D$115,0))*INDEX(EF!$H$116:$H$131,MATCH(Emissions!$D66,EF!$D$116:$D$131,0))*kgtoGg</f>
        <v>0.86319492850198365</v>
      </c>
      <c r="BN66" s="22">
        <f>INDEX('Activity data'!BN$24:BN$39,MATCH(Emissions!$D66,'Activity data'!$D$24:$D$39,0))*INDEX(EF!$H$84:$H$99,MATCH(Emissions!$D66,EF!$D$84:$D$99,0))*INDEX(EF!$H$100:$H$115,MATCH(Emissions!$D66,EF!$D$100:$D$115,0))*INDEX(EF!$H$116:$H$131,MATCH(Emissions!$D66,EF!$D$116:$D$131,0))*kgtoGg</f>
        <v>0.86319492850198365</v>
      </c>
      <c r="BO66" s="22">
        <f>INDEX('Activity data'!BO$24:BO$39,MATCH(Emissions!$D66,'Activity data'!$D$24:$D$39,0))*INDEX(EF!$H$84:$H$99,MATCH(Emissions!$D66,EF!$D$84:$D$99,0))*INDEX(EF!$H$100:$H$115,MATCH(Emissions!$D66,EF!$D$100:$D$115,0))*INDEX(EF!$H$116:$H$131,MATCH(Emissions!$D66,EF!$D$116:$D$131,0))*kgtoGg</f>
        <v>0.86319492850198365</v>
      </c>
      <c r="BP66" s="22">
        <f>INDEX('Activity data'!BP$24:BP$39,MATCH(Emissions!$D66,'Activity data'!$D$24:$D$39,0))*INDEX(EF!$H$84:$H$99,MATCH(Emissions!$D66,EF!$D$84:$D$99,0))*INDEX(EF!$H$100:$H$115,MATCH(Emissions!$D66,EF!$D$100:$D$115,0))*INDEX(EF!$H$116:$H$131,MATCH(Emissions!$D66,EF!$D$116:$D$131,0))*kgtoGg</f>
        <v>0.86319492850198365</v>
      </c>
    </row>
    <row r="67" spans="1:68" x14ac:dyDescent="0.25">
      <c r="A67" t="str">
        <f t="shared" si="19"/>
        <v>3C Aggregated and non-CO2 emissions on land</v>
      </c>
      <c r="B67" t="str">
        <f t="shared" si="20"/>
        <v>3C1 Biomass burning (CH4)</v>
      </c>
      <c r="C67" t="str">
        <f>'IPCC Categories'!C63</f>
        <v>3C1e Biomass burning in Settlements</v>
      </c>
      <c r="D67" t="str">
        <f>EF!D97</f>
        <v>Settlements</v>
      </c>
      <c r="E67" t="s">
        <v>653</v>
      </c>
      <c r="F67" t="str">
        <f t="shared" si="23"/>
        <v>CH4</v>
      </c>
      <c r="G67" t="str">
        <f t="shared" si="24"/>
        <v>Gg CH4</v>
      </c>
      <c r="H67" s="22">
        <f>INDEX('Activity data'!H$24:H$39,MATCH(Emissions!$D67,'Activity data'!$D$24:$D$39,0))*INDEX(EF!$H$84:$H$99,MATCH(Emissions!$D67,EF!$D$84:$D$99,0))*INDEX(EF!$H$100:$H$115,MATCH(Emissions!$D67,EF!$D$100:$D$115,0))*INDEX(EF!$H$116:$H$131,MATCH(Emissions!$D67,EF!$D$116:$D$131,0))*kgtoGg</f>
        <v>0.48879168008497798</v>
      </c>
      <c r="I67" s="22">
        <f>INDEX('Activity data'!I$24:I$39,MATCH(Emissions!$D67,'Activity data'!$D$24:$D$39,0))*INDEX(EF!$H$84:$H$99,MATCH(Emissions!$D67,EF!$D$84:$D$99,0))*INDEX(EF!$H$100:$H$115,MATCH(Emissions!$D67,EF!$D$100:$D$115,0))*INDEX(EF!$H$116:$H$131,MATCH(Emissions!$D67,EF!$D$116:$D$131,0))*kgtoGg</f>
        <v>0.48879168008497798</v>
      </c>
      <c r="J67" s="22">
        <f>INDEX('Activity data'!J$24:J$39,MATCH(Emissions!$D67,'Activity data'!$D$24:$D$39,0))*INDEX(EF!$H$84:$H$99,MATCH(Emissions!$D67,EF!$D$84:$D$99,0))*INDEX(EF!$H$100:$H$115,MATCH(Emissions!$D67,EF!$D$100:$D$115,0))*INDEX(EF!$H$116:$H$131,MATCH(Emissions!$D67,EF!$D$116:$D$131,0))*kgtoGg</f>
        <v>0.48879168008497798</v>
      </c>
      <c r="K67" s="22">
        <f>INDEX('Activity data'!K$24:K$39,MATCH(Emissions!$D67,'Activity data'!$D$24:$D$39,0))*INDEX(EF!$H$84:$H$99,MATCH(Emissions!$D67,EF!$D$84:$D$99,0))*INDEX(EF!$H$100:$H$115,MATCH(Emissions!$D67,EF!$D$100:$D$115,0))*INDEX(EF!$H$116:$H$131,MATCH(Emissions!$D67,EF!$D$116:$D$131,0))*kgtoGg</f>
        <v>0.48879168008497798</v>
      </c>
      <c r="L67" s="22">
        <f>INDEX('Activity data'!L$24:L$39,MATCH(Emissions!$D67,'Activity data'!$D$24:$D$39,0))*INDEX(EF!$H$84:$H$99,MATCH(Emissions!$D67,EF!$D$84:$D$99,0))*INDEX(EF!$H$100:$H$115,MATCH(Emissions!$D67,EF!$D$100:$D$115,0))*INDEX(EF!$H$116:$H$131,MATCH(Emissions!$D67,EF!$D$116:$D$131,0))*kgtoGg</f>
        <v>0.48879168008497798</v>
      </c>
      <c r="M67" s="22">
        <f>INDEX('Activity data'!M$24:M$39,MATCH(Emissions!$D67,'Activity data'!$D$24:$D$39,0))*INDEX(EF!$H$84:$H$99,MATCH(Emissions!$D67,EF!$D$84:$D$99,0))*INDEX(EF!$H$100:$H$115,MATCH(Emissions!$D67,EF!$D$100:$D$115,0))*INDEX(EF!$H$116:$H$131,MATCH(Emissions!$D67,EF!$D$116:$D$131,0))*kgtoGg</f>
        <v>0.48879168008497798</v>
      </c>
      <c r="N67" s="22">
        <f>INDEX('Activity data'!N$24:N$39,MATCH(Emissions!$D67,'Activity data'!$D$24:$D$39,0))*INDEX(EF!$H$84:$H$99,MATCH(Emissions!$D67,EF!$D$84:$D$99,0))*INDEX(EF!$H$100:$H$115,MATCH(Emissions!$D67,EF!$D$100:$D$115,0))*INDEX(EF!$H$116:$H$131,MATCH(Emissions!$D67,EF!$D$116:$D$131,0))*kgtoGg</f>
        <v>0.48879168008497798</v>
      </c>
      <c r="O67" s="22">
        <f>INDEX('Activity data'!O$24:O$39,MATCH(Emissions!$D67,'Activity data'!$D$24:$D$39,0))*INDEX(EF!$H$84:$H$99,MATCH(Emissions!$D67,EF!$D$84:$D$99,0))*INDEX(EF!$H$100:$H$115,MATCH(Emissions!$D67,EF!$D$100:$D$115,0))*INDEX(EF!$H$116:$H$131,MATCH(Emissions!$D67,EF!$D$116:$D$131,0))*kgtoGg</f>
        <v>0.48879168008497798</v>
      </c>
      <c r="P67" s="22">
        <f>INDEX('Activity data'!P$24:P$39,MATCH(Emissions!$D67,'Activity data'!$D$24:$D$39,0))*INDEX(EF!$H$84:$H$99,MATCH(Emissions!$D67,EF!$D$84:$D$99,0))*INDEX(EF!$H$100:$H$115,MATCH(Emissions!$D67,EF!$D$100:$D$115,0))*INDEX(EF!$H$116:$H$131,MATCH(Emissions!$D67,EF!$D$116:$D$131,0))*kgtoGg</f>
        <v>0.48879168008497798</v>
      </c>
      <c r="Q67" s="22">
        <f>INDEX('Activity data'!Q$24:Q$39,MATCH(Emissions!$D67,'Activity data'!$D$24:$D$39,0))*INDEX(EF!$H$84:$H$99,MATCH(Emissions!$D67,EF!$D$84:$D$99,0))*INDEX(EF!$H$100:$H$115,MATCH(Emissions!$D67,EF!$D$100:$D$115,0))*INDEX(EF!$H$116:$H$131,MATCH(Emissions!$D67,EF!$D$116:$D$131,0))*kgtoGg</f>
        <v>0.48879168008497798</v>
      </c>
      <c r="R67" s="22">
        <f>INDEX('Activity data'!R$24:R$39,MATCH(Emissions!$D67,'Activity data'!$D$24:$D$39,0))*INDEX(EF!$H$84:$H$99,MATCH(Emissions!$D67,EF!$D$84:$D$99,0))*INDEX(EF!$H$100:$H$115,MATCH(Emissions!$D67,EF!$D$100:$D$115,0))*INDEX(EF!$H$116:$H$131,MATCH(Emissions!$D67,EF!$D$116:$D$131,0))*kgtoGg</f>
        <v>0.53244001120367745</v>
      </c>
      <c r="S67" s="22">
        <f>INDEX('Activity data'!S$24:S$39,MATCH(Emissions!$D67,'Activity data'!$D$24:$D$39,0))*INDEX(EF!$H$84:$H$99,MATCH(Emissions!$D67,EF!$D$84:$D$99,0))*INDEX(EF!$H$100:$H$115,MATCH(Emissions!$D67,EF!$D$100:$D$115,0))*INDEX(EF!$H$116:$H$131,MATCH(Emissions!$D67,EF!$D$116:$D$131,0))*kgtoGg</f>
        <v>0.58966588899140415</v>
      </c>
      <c r="T67" s="22">
        <f>INDEX('Activity data'!T$24:T$39,MATCH(Emissions!$D67,'Activity data'!$D$24:$D$39,0))*INDEX(EF!$H$84:$H$99,MATCH(Emissions!$D67,EF!$D$84:$D$99,0))*INDEX(EF!$H$100:$H$115,MATCH(Emissions!$D67,EF!$D$100:$D$115,0))*INDEX(EF!$H$116:$H$131,MATCH(Emissions!$D67,EF!$D$116:$D$131,0))*kgtoGg</f>
        <v>0.52134297786841477</v>
      </c>
      <c r="U67" s="22">
        <f>INDEX('Activity data'!U$24:U$39,MATCH(Emissions!$D67,'Activity data'!$D$24:$D$39,0))*INDEX(EF!$H$84:$H$99,MATCH(Emissions!$D67,EF!$D$84:$D$99,0))*INDEX(EF!$H$100:$H$115,MATCH(Emissions!$D67,EF!$D$100:$D$115,0))*INDEX(EF!$H$116:$H$131,MATCH(Emissions!$D67,EF!$D$116:$D$131,0))*kgtoGg</f>
        <v>0.44975623341152487</v>
      </c>
      <c r="V67" s="22">
        <f>INDEX('Activity data'!V$24:V$39,MATCH(Emissions!$D67,'Activity data'!$D$24:$D$39,0))*INDEX(EF!$H$84:$H$99,MATCH(Emissions!$D67,EF!$D$84:$D$99,0))*INDEX(EF!$H$100:$H$115,MATCH(Emissions!$D67,EF!$D$100:$D$115,0))*INDEX(EF!$H$116:$H$131,MATCH(Emissions!$D67,EF!$D$116:$D$131,0))*kgtoGg</f>
        <v>0.35075328894986846</v>
      </c>
      <c r="W67" s="22">
        <f>INDEX('Activity data'!W$24:W$39,MATCH(Emissions!$D67,'Activity data'!$D$24:$D$39,0))*INDEX(EF!$H$84:$H$99,MATCH(Emissions!$D67,EF!$D$84:$D$99,0))*INDEX(EF!$H$100:$H$115,MATCH(Emissions!$D67,EF!$D$100:$D$115,0))*INDEX(EF!$H$116:$H$131,MATCH(Emissions!$D67,EF!$D$116:$D$131,0))*kgtoGg</f>
        <v>0.79419944458251857</v>
      </c>
      <c r="X67" s="22">
        <f>INDEX('Activity data'!X$24:X$39,MATCH(Emissions!$D67,'Activity data'!$D$24:$D$39,0))*INDEX(EF!$H$84:$H$99,MATCH(Emissions!$D67,EF!$D$84:$D$99,0))*INDEX(EF!$H$100:$H$115,MATCH(Emissions!$D67,EF!$D$100:$D$115,0))*INDEX(EF!$H$116:$H$131,MATCH(Emissions!$D67,EF!$D$116:$D$131,0))*kgtoGg</f>
        <v>0.69563167789871561</v>
      </c>
      <c r="Y67" s="22">
        <f>INDEX('Activity data'!Y$24:Y$39,MATCH(Emissions!$D67,'Activity data'!$D$24:$D$39,0))*INDEX(EF!$H$84:$H$99,MATCH(Emissions!$D67,EF!$D$84:$D$99,0))*INDEX(EF!$H$100:$H$115,MATCH(Emissions!$D67,EF!$D$100:$D$115,0))*INDEX(EF!$H$116:$H$131,MATCH(Emissions!$D67,EF!$D$116:$D$131,0))*kgtoGg</f>
        <v>0.76939431124487268</v>
      </c>
      <c r="Z67" s="22">
        <f>INDEX('Activity data'!Z$24:Z$39,MATCH(Emissions!$D67,'Activity data'!$D$24:$D$39,0))*INDEX(EF!$H$84:$H$99,MATCH(Emissions!$D67,EF!$D$84:$D$99,0))*INDEX(EF!$H$100:$H$115,MATCH(Emissions!$D67,EF!$D$100:$D$115,0))*INDEX(EF!$H$116:$H$131,MATCH(Emissions!$D67,EF!$D$116:$D$131,0))*kgtoGg</f>
        <v>0.47499654452702411</v>
      </c>
      <c r="AA67" s="22">
        <f>INDEX('Activity data'!AA$24:AA$39,MATCH(Emissions!$D67,'Activity data'!$D$24:$D$39,0))*INDEX(EF!$H$84:$H$99,MATCH(Emissions!$D67,EF!$D$84:$D$99,0))*INDEX(EF!$H$100:$H$115,MATCH(Emissions!$D67,EF!$D$100:$D$115,0))*INDEX(EF!$H$116:$H$131,MATCH(Emissions!$D67,EF!$D$116:$D$131,0))*kgtoGg</f>
        <v>0.5716060112104866</v>
      </c>
      <c r="AB67" s="22">
        <f>INDEX('Activity data'!AB$24:AB$39,MATCH(Emissions!$D67,'Activity data'!$D$24:$D$39,0))*INDEX(EF!$H$84:$H$99,MATCH(Emissions!$D67,EF!$D$84:$D$99,0))*INDEX(EF!$H$100:$H$115,MATCH(Emissions!$D67,EF!$D$100:$D$115,0))*INDEX(EF!$H$116:$H$131,MATCH(Emissions!$D67,EF!$D$116:$D$131,0))*kgtoGg</f>
        <v>0.42745793939999993</v>
      </c>
      <c r="AC67" s="22">
        <f>INDEX('Activity data'!AC$24:AC$39,MATCH(Emissions!$D67,'Activity data'!$D$24:$D$39,0))*INDEX(EF!$H$84:$H$99,MATCH(Emissions!$D67,EF!$D$84:$D$99,0))*INDEX(EF!$H$100:$H$115,MATCH(Emissions!$D67,EF!$D$100:$D$115,0))*INDEX(EF!$H$116:$H$131,MATCH(Emissions!$D67,EF!$D$116:$D$131,0))*kgtoGg</f>
        <v>0.29794462199999994</v>
      </c>
      <c r="AD67" s="22">
        <f>INDEX('Activity data'!AD$24:AD$39,MATCH(Emissions!$D67,'Activity data'!$D$24:$D$39,0))*INDEX(EF!$H$84:$H$99,MATCH(Emissions!$D67,EF!$D$84:$D$99,0))*INDEX(EF!$H$100:$H$115,MATCH(Emissions!$D67,EF!$D$100:$D$115,0))*INDEX(EF!$H$116:$H$131,MATCH(Emissions!$D67,EF!$D$116:$D$131,0))*kgtoGg</f>
        <v>0.42972240374246135</v>
      </c>
      <c r="AE67" s="22">
        <f>INDEX('Activity data'!AE$24:AE$39,MATCH(Emissions!$D67,'Activity data'!$D$24:$D$39,0))*INDEX(EF!$H$84:$H$99,MATCH(Emissions!$D67,EF!$D$84:$D$99,0))*INDEX(EF!$H$100:$H$115,MATCH(Emissions!$D67,EF!$D$100:$D$115,0))*INDEX(EF!$H$116:$H$131,MATCH(Emissions!$D67,EF!$D$116:$D$131,0))*kgtoGg</f>
        <v>0.43063058922924524</v>
      </c>
      <c r="AF67" s="22">
        <f>INDEX('Activity data'!AF$24:AF$39,MATCH(Emissions!$D67,'Activity data'!$D$24:$D$39,0))*INDEX(EF!$H$84:$H$99,MATCH(Emissions!$D67,EF!$D$84:$D$99,0))*INDEX(EF!$H$100:$H$115,MATCH(Emissions!$D67,EF!$D$100:$D$115,0))*INDEX(EF!$H$116:$H$131,MATCH(Emissions!$D67,EF!$D$116:$D$131,0))*kgtoGg</f>
        <v>0.43153877471602919</v>
      </c>
      <c r="AG67" s="22">
        <f>INDEX('Activity data'!AG$24:AG$39,MATCH(Emissions!$D67,'Activity data'!$D$24:$D$39,0))*INDEX(EF!$H$84:$H$99,MATCH(Emissions!$D67,EF!$D$84:$D$99,0))*INDEX(EF!$H$100:$H$115,MATCH(Emissions!$D67,EF!$D$100:$D$115,0))*INDEX(EF!$H$116:$H$131,MATCH(Emissions!$D67,EF!$D$116:$D$131,0))*kgtoGg</f>
        <v>0.43244696020281326</v>
      </c>
      <c r="AH67" s="22">
        <f>INDEX('Activity data'!AH$24:AH$39,MATCH(Emissions!$D67,'Activity data'!$D$24:$D$39,0))*INDEX(EF!$H$84:$H$99,MATCH(Emissions!$D67,EF!$D$84:$D$99,0))*INDEX(EF!$H$100:$H$115,MATCH(Emissions!$D67,EF!$D$100:$D$115,0))*INDEX(EF!$H$116:$H$131,MATCH(Emissions!$D67,EF!$D$116:$D$131,0))*kgtoGg</f>
        <v>0.43335514568959721</v>
      </c>
      <c r="AI67" s="22">
        <f>INDEX('Activity data'!AI$24:AI$39,MATCH(Emissions!$D67,'Activity data'!$D$24:$D$39,0))*INDEX(EF!$H$84:$H$99,MATCH(Emissions!$D67,EF!$D$84:$D$99,0))*INDEX(EF!$H$100:$H$115,MATCH(Emissions!$D67,EF!$D$100:$D$115,0))*INDEX(EF!$H$116:$H$131,MATCH(Emissions!$D67,EF!$D$116:$D$131,0))*kgtoGg</f>
        <v>0.43426333117638116</v>
      </c>
      <c r="AJ67" s="22">
        <f>INDEX('Activity data'!AJ$24:AJ$39,MATCH(Emissions!$D67,'Activity data'!$D$24:$D$39,0))*INDEX(EF!$H$84:$H$99,MATCH(Emissions!$D67,EF!$D$84:$D$99,0))*INDEX(EF!$H$100:$H$115,MATCH(Emissions!$D67,EF!$D$100:$D$115,0))*INDEX(EF!$H$116:$H$131,MATCH(Emissions!$D67,EF!$D$116:$D$131,0))*kgtoGg</f>
        <v>0.43517151666316517</v>
      </c>
      <c r="AK67" s="22">
        <f>INDEX('Activity data'!AK$24:AK$39,MATCH(Emissions!$D67,'Activity data'!$D$24:$D$39,0))*INDEX(EF!$H$84:$H$99,MATCH(Emissions!$D67,EF!$D$84:$D$99,0))*INDEX(EF!$H$100:$H$115,MATCH(Emissions!$D67,EF!$D$100:$D$115,0))*INDEX(EF!$H$116:$H$131,MATCH(Emissions!$D67,EF!$D$116:$D$131,0))*kgtoGg</f>
        <v>0.43607970214994918</v>
      </c>
      <c r="AL67" s="22">
        <f>INDEX('Activity data'!AL$24:AL$39,MATCH(Emissions!$D67,'Activity data'!$D$24:$D$39,0))*INDEX(EF!$H$84:$H$99,MATCH(Emissions!$D67,EF!$D$84:$D$99,0))*INDEX(EF!$H$100:$H$115,MATCH(Emissions!$D67,EF!$D$100:$D$115,0))*INDEX(EF!$H$116:$H$131,MATCH(Emissions!$D67,EF!$D$116:$D$131,0))*kgtoGg</f>
        <v>0.43698788763673319</v>
      </c>
      <c r="AM67" s="22">
        <f>INDEX('Activity data'!AM$24:AM$39,MATCH(Emissions!$D67,'Activity data'!$D$24:$D$39,0))*INDEX(EF!$H$84:$H$99,MATCH(Emissions!$D67,EF!$D$84:$D$99,0))*INDEX(EF!$H$100:$H$115,MATCH(Emissions!$D67,EF!$D$100:$D$115,0))*INDEX(EF!$H$116:$H$131,MATCH(Emissions!$D67,EF!$D$116:$D$131,0))*kgtoGg</f>
        <v>0.43789607312351719</v>
      </c>
      <c r="AN67" s="22">
        <f>INDEX('Activity data'!AN$24:AN$39,MATCH(Emissions!$D67,'Activity data'!$D$24:$D$39,0))*INDEX(EF!$H$84:$H$99,MATCH(Emissions!$D67,EF!$D$84:$D$99,0))*INDEX(EF!$H$100:$H$115,MATCH(Emissions!$D67,EF!$D$100:$D$115,0))*INDEX(EF!$H$116:$H$131,MATCH(Emissions!$D67,EF!$D$116:$D$131,0))*kgtoGg</f>
        <v>0.4388042586103012</v>
      </c>
      <c r="AO67" s="22">
        <f>INDEX('Activity data'!AO$24:AO$39,MATCH(Emissions!$D67,'Activity data'!$D$24:$D$39,0))*INDEX(EF!$H$84:$H$99,MATCH(Emissions!$D67,EF!$D$84:$D$99,0))*INDEX(EF!$H$100:$H$115,MATCH(Emissions!$D67,EF!$D$100:$D$115,0))*INDEX(EF!$H$116:$H$131,MATCH(Emissions!$D67,EF!$D$116:$D$131,0))*kgtoGg</f>
        <v>0.43971244409708521</v>
      </c>
      <c r="AP67" s="22">
        <f>INDEX('Activity data'!AP$24:AP$39,MATCH(Emissions!$D67,'Activity data'!$D$24:$D$39,0))*INDEX(EF!$H$84:$H$99,MATCH(Emissions!$D67,EF!$D$84:$D$99,0))*INDEX(EF!$H$100:$H$115,MATCH(Emissions!$D67,EF!$D$100:$D$115,0))*INDEX(EF!$H$116:$H$131,MATCH(Emissions!$D67,EF!$D$116:$D$131,0))*kgtoGg</f>
        <v>0.44062062958386911</v>
      </c>
      <c r="AQ67" s="22">
        <f>INDEX('Activity data'!AQ$24:AQ$39,MATCH(Emissions!$D67,'Activity data'!$D$24:$D$39,0))*INDEX(EF!$H$84:$H$99,MATCH(Emissions!$D67,EF!$D$84:$D$99,0))*INDEX(EF!$H$100:$H$115,MATCH(Emissions!$D67,EF!$D$100:$D$115,0))*INDEX(EF!$H$116:$H$131,MATCH(Emissions!$D67,EF!$D$116:$D$131,0))*kgtoGg</f>
        <v>0.44152881507065311</v>
      </c>
      <c r="AR67" s="22">
        <f>INDEX('Activity data'!AR$24:AR$39,MATCH(Emissions!$D67,'Activity data'!$D$24:$D$39,0))*INDEX(EF!$H$84:$H$99,MATCH(Emissions!$D67,EF!$D$84:$D$99,0))*INDEX(EF!$H$100:$H$115,MATCH(Emissions!$D67,EF!$D$100:$D$115,0))*INDEX(EF!$H$116:$H$131,MATCH(Emissions!$D67,EF!$D$116:$D$131,0))*kgtoGg</f>
        <v>0.44243700055743712</v>
      </c>
      <c r="AS67" s="22">
        <f>INDEX('Activity data'!AS$24:AS$39,MATCH(Emissions!$D67,'Activity data'!$D$24:$D$39,0))*INDEX(EF!$H$84:$H$99,MATCH(Emissions!$D67,EF!$D$84:$D$99,0))*INDEX(EF!$H$100:$H$115,MATCH(Emissions!$D67,EF!$D$100:$D$115,0))*INDEX(EF!$H$116:$H$131,MATCH(Emissions!$D67,EF!$D$116:$D$131,0))*kgtoGg</f>
        <v>0.44334518604422107</v>
      </c>
      <c r="AT67" s="22">
        <f>INDEX('Activity data'!AT$24:AT$39,MATCH(Emissions!$D67,'Activity data'!$D$24:$D$39,0))*INDEX(EF!$H$84:$H$99,MATCH(Emissions!$D67,EF!$D$84:$D$99,0))*INDEX(EF!$H$100:$H$115,MATCH(Emissions!$D67,EF!$D$100:$D$115,0))*INDEX(EF!$H$116:$H$131,MATCH(Emissions!$D67,EF!$D$116:$D$131,0))*kgtoGg</f>
        <v>0.44425337153100508</v>
      </c>
      <c r="AU67" s="22">
        <f>INDEX('Activity data'!AU$24:AU$39,MATCH(Emissions!$D67,'Activity data'!$D$24:$D$39,0))*INDEX(EF!$H$84:$H$99,MATCH(Emissions!$D67,EF!$D$84:$D$99,0))*INDEX(EF!$H$100:$H$115,MATCH(Emissions!$D67,EF!$D$100:$D$115,0))*INDEX(EF!$H$116:$H$131,MATCH(Emissions!$D67,EF!$D$116:$D$131,0))*kgtoGg</f>
        <v>0.44516155701778909</v>
      </c>
      <c r="AV67" s="22">
        <f>INDEX('Activity data'!AV$24:AV$39,MATCH(Emissions!$D67,'Activity data'!$D$24:$D$39,0))*INDEX(EF!$H$84:$H$99,MATCH(Emissions!$D67,EF!$D$84:$D$99,0))*INDEX(EF!$H$100:$H$115,MATCH(Emissions!$D67,EF!$D$100:$D$115,0))*INDEX(EF!$H$116:$H$131,MATCH(Emissions!$D67,EF!$D$116:$D$131,0))*kgtoGg</f>
        <v>0.44606974250457304</v>
      </c>
      <c r="AW67" s="22">
        <f>INDEX('Activity data'!AW$24:AW$39,MATCH(Emissions!$D67,'Activity data'!$D$24:$D$39,0))*INDEX(EF!$H$84:$H$99,MATCH(Emissions!$D67,EF!$D$84:$D$99,0))*INDEX(EF!$H$100:$H$115,MATCH(Emissions!$D67,EF!$D$100:$D$115,0))*INDEX(EF!$H$116:$H$131,MATCH(Emissions!$D67,EF!$D$116:$D$131,0))*kgtoGg</f>
        <v>0.44697792799135705</v>
      </c>
      <c r="AX67" s="22">
        <f>INDEX('Activity data'!AX$24:AX$39,MATCH(Emissions!$D67,'Activity data'!$D$24:$D$39,0))*INDEX(EF!$H$84:$H$99,MATCH(Emissions!$D67,EF!$D$84:$D$99,0))*INDEX(EF!$H$100:$H$115,MATCH(Emissions!$D67,EF!$D$100:$D$115,0))*INDEX(EF!$H$116:$H$131,MATCH(Emissions!$D67,EF!$D$116:$D$131,0))*kgtoGg</f>
        <v>0.44788611347814106</v>
      </c>
      <c r="AY67" s="22">
        <f>INDEX('Activity data'!AY$24:AY$39,MATCH(Emissions!$D67,'Activity data'!$D$24:$D$39,0))*INDEX(EF!$H$84:$H$99,MATCH(Emissions!$D67,EF!$D$84:$D$99,0))*INDEX(EF!$H$100:$H$115,MATCH(Emissions!$D67,EF!$D$100:$D$115,0))*INDEX(EF!$H$116:$H$131,MATCH(Emissions!$D67,EF!$D$116:$D$131,0))*kgtoGg</f>
        <v>0.44879429896492501</v>
      </c>
      <c r="AZ67" s="22">
        <f>INDEX('Activity data'!AZ$24:AZ$39,MATCH(Emissions!$D67,'Activity data'!$D$24:$D$39,0))*INDEX(EF!$H$84:$H$99,MATCH(Emissions!$D67,EF!$D$84:$D$99,0))*INDEX(EF!$H$100:$H$115,MATCH(Emissions!$D67,EF!$D$100:$D$115,0))*INDEX(EF!$H$116:$H$131,MATCH(Emissions!$D67,EF!$D$116:$D$131,0))*kgtoGg</f>
        <v>0.44970248445170896</v>
      </c>
      <c r="BA67" s="22">
        <f>INDEX('Activity data'!BA$24:BA$39,MATCH(Emissions!$D67,'Activity data'!$D$24:$D$39,0))*INDEX(EF!$H$84:$H$99,MATCH(Emissions!$D67,EF!$D$84:$D$99,0))*INDEX(EF!$H$100:$H$115,MATCH(Emissions!$D67,EF!$D$100:$D$115,0))*INDEX(EF!$H$116:$H$131,MATCH(Emissions!$D67,EF!$D$116:$D$131,0))*kgtoGg</f>
        <v>0.45061066993849297</v>
      </c>
      <c r="BB67" s="22">
        <f>INDEX('Activity data'!BB$24:BB$39,MATCH(Emissions!$D67,'Activity data'!$D$24:$D$39,0))*INDEX(EF!$H$84:$H$99,MATCH(Emissions!$D67,EF!$D$84:$D$99,0))*INDEX(EF!$H$100:$H$115,MATCH(Emissions!$D67,EF!$D$100:$D$115,0))*INDEX(EF!$H$116:$H$131,MATCH(Emissions!$D67,EF!$D$116:$D$131,0))*kgtoGg</f>
        <v>0.45151885542527692</v>
      </c>
      <c r="BC67" s="22">
        <f>INDEX('Activity data'!BC$24:BC$39,MATCH(Emissions!$D67,'Activity data'!$D$24:$D$39,0))*INDEX(EF!$H$84:$H$99,MATCH(Emissions!$D67,EF!$D$84:$D$99,0))*INDEX(EF!$H$100:$H$115,MATCH(Emissions!$D67,EF!$D$100:$D$115,0))*INDEX(EF!$H$116:$H$131,MATCH(Emissions!$D67,EF!$D$116:$D$131,0))*kgtoGg</f>
        <v>0.45242704091206093</v>
      </c>
      <c r="BD67" s="22">
        <f>INDEX('Activity data'!BD$24:BD$39,MATCH(Emissions!$D67,'Activity data'!$D$24:$D$39,0))*INDEX(EF!$H$84:$H$99,MATCH(Emissions!$D67,EF!$D$84:$D$99,0))*INDEX(EF!$H$100:$H$115,MATCH(Emissions!$D67,EF!$D$100:$D$115,0))*INDEX(EF!$H$116:$H$131,MATCH(Emissions!$D67,EF!$D$116:$D$131,0))*kgtoGg</f>
        <v>0.45333522639884494</v>
      </c>
      <c r="BE67" s="22">
        <f>INDEX('Activity data'!BE$24:BE$39,MATCH(Emissions!$D67,'Activity data'!$D$24:$D$39,0))*INDEX(EF!$H$84:$H$99,MATCH(Emissions!$D67,EF!$D$84:$D$99,0))*INDEX(EF!$H$100:$H$115,MATCH(Emissions!$D67,EF!$D$100:$D$115,0))*INDEX(EF!$H$116:$H$131,MATCH(Emissions!$D67,EF!$D$116:$D$131,0))*kgtoGg</f>
        <v>0.454243411885629</v>
      </c>
      <c r="BF67" s="22">
        <f>INDEX('Activity data'!BF$24:BF$39,MATCH(Emissions!$D67,'Activity data'!$D$24:$D$39,0))*INDEX(EF!$H$84:$H$99,MATCH(Emissions!$D67,EF!$D$84:$D$99,0))*INDEX(EF!$H$100:$H$115,MATCH(Emissions!$D67,EF!$D$100:$D$115,0))*INDEX(EF!$H$116:$H$131,MATCH(Emissions!$D67,EF!$D$116:$D$131,0))*kgtoGg</f>
        <v>0.45515159737241295</v>
      </c>
      <c r="BG67" s="22">
        <f>INDEX('Activity data'!BG$24:BG$39,MATCH(Emissions!$D67,'Activity data'!$D$24:$D$39,0))*INDEX(EF!$H$84:$H$99,MATCH(Emissions!$D67,EF!$D$84:$D$99,0))*INDEX(EF!$H$100:$H$115,MATCH(Emissions!$D67,EF!$D$100:$D$115,0))*INDEX(EF!$H$116:$H$131,MATCH(Emissions!$D67,EF!$D$116:$D$131,0))*kgtoGg</f>
        <v>0.4560597828591969</v>
      </c>
      <c r="BH67" s="22">
        <f>INDEX('Activity data'!BH$24:BH$39,MATCH(Emissions!$D67,'Activity data'!$D$24:$D$39,0))*INDEX(EF!$H$84:$H$99,MATCH(Emissions!$D67,EF!$D$84:$D$99,0))*INDEX(EF!$H$100:$H$115,MATCH(Emissions!$D67,EF!$D$100:$D$115,0))*INDEX(EF!$H$116:$H$131,MATCH(Emissions!$D67,EF!$D$116:$D$131,0))*kgtoGg</f>
        <v>0.45696796834598097</v>
      </c>
      <c r="BI67" s="22">
        <f>INDEX('Activity data'!BI$24:BI$39,MATCH(Emissions!$D67,'Activity data'!$D$24:$D$39,0))*INDEX(EF!$H$84:$H$99,MATCH(Emissions!$D67,EF!$D$84:$D$99,0))*INDEX(EF!$H$100:$H$115,MATCH(Emissions!$D67,EF!$D$100:$D$115,0))*INDEX(EF!$H$116:$H$131,MATCH(Emissions!$D67,EF!$D$116:$D$131,0))*kgtoGg</f>
        <v>0.45787615383276492</v>
      </c>
      <c r="BJ67" s="22">
        <f>INDEX('Activity data'!BJ$24:BJ$39,MATCH(Emissions!$D67,'Activity data'!$D$24:$D$39,0))*INDEX(EF!$H$84:$H$99,MATCH(Emissions!$D67,EF!$D$84:$D$99,0))*INDEX(EF!$H$100:$H$115,MATCH(Emissions!$D67,EF!$D$100:$D$115,0))*INDEX(EF!$H$116:$H$131,MATCH(Emissions!$D67,EF!$D$116:$D$131,0))*kgtoGg</f>
        <v>0.45878433931954882</v>
      </c>
      <c r="BK67" s="22">
        <f>INDEX('Activity data'!BK$24:BK$39,MATCH(Emissions!$D67,'Activity data'!$D$24:$D$39,0))*INDEX(EF!$H$84:$H$99,MATCH(Emissions!$D67,EF!$D$84:$D$99,0))*INDEX(EF!$H$100:$H$115,MATCH(Emissions!$D67,EF!$D$100:$D$115,0))*INDEX(EF!$H$116:$H$131,MATCH(Emissions!$D67,EF!$D$116:$D$131,0))*kgtoGg</f>
        <v>0.45969252480633288</v>
      </c>
      <c r="BL67" s="22">
        <f>INDEX('Activity data'!BL$24:BL$39,MATCH(Emissions!$D67,'Activity data'!$D$24:$D$39,0))*INDEX(EF!$H$84:$H$99,MATCH(Emissions!$D67,EF!$D$84:$D$99,0))*INDEX(EF!$H$100:$H$115,MATCH(Emissions!$D67,EF!$D$100:$D$115,0))*INDEX(EF!$H$116:$H$131,MATCH(Emissions!$D67,EF!$D$116:$D$131,0))*kgtoGg</f>
        <v>0.46060071029311683</v>
      </c>
      <c r="BM67" s="22">
        <f>INDEX('Activity data'!BM$24:BM$39,MATCH(Emissions!$D67,'Activity data'!$D$24:$D$39,0))*INDEX(EF!$H$84:$H$99,MATCH(Emissions!$D67,EF!$D$84:$D$99,0))*INDEX(EF!$H$100:$H$115,MATCH(Emissions!$D67,EF!$D$100:$D$115,0))*INDEX(EF!$H$116:$H$131,MATCH(Emissions!$D67,EF!$D$116:$D$131,0))*kgtoGg</f>
        <v>0.46150889577990084</v>
      </c>
      <c r="BN67" s="22">
        <f>INDEX('Activity data'!BN$24:BN$39,MATCH(Emissions!$D67,'Activity data'!$D$24:$D$39,0))*INDEX(EF!$H$84:$H$99,MATCH(Emissions!$D67,EF!$D$84:$D$99,0))*INDEX(EF!$H$100:$H$115,MATCH(Emissions!$D67,EF!$D$100:$D$115,0))*INDEX(EF!$H$116:$H$131,MATCH(Emissions!$D67,EF!$D$116:$D$131,0))*kgtoGg</f>
        <v>0.46241708126668479</v>
      </c>
      <c r="BO67" s="22">
        <f>INDEX('Activity data'!BO$24:BO$39,MATCH(Emissions!$D67,'Activity data'!$D$24:$D$39,0))*INDEX(EF!$H$84:$H$99,MATCH(Emissions!$D67,EF!$D$84:$D$99,0))*INDEX(EF!$H$100:$H$115,MATCH(Emissions!$D67,EF!$D$100:$D$115,0))*INDEX(EF!$H$116:$H$131,MATCH(Emissions!$D67,EF!$D$116:$D$131,0))*kgtoGg</f>
        <v>0.4633252667534688</v>
      </c>
      <c r="BP67" s="22">
        <f>INDEX('Activity data'!BP$24:BP$39,MATCH(Emissions!$D67,'Activity data'!$D$24:$D$39,0))*INDEX(EF!$H$84:$H$99,MATCH(Emissions!$D67,EF!$D$84:$D$99,0))*INDEX(EF!$H$100:$H$115,MATCH(Emissions!$D67,EF!$D$100:$D$115,0))*INDEX(EF!$H$116:$H$131,MATCH(Emissions!$D67,EF!$D$116:$D$131,0))*kgtoGg</f>
        <v>0.46423345224025281</v>
      </c>
    </row>
    <row r="68" spans="1:68" x14ac:dyDescent="0.25">
      <c r="A68" t="str">
        <f t="shared" si="19"/>
        <v>3C Aggregated and non-CO2 emissions on land</v>
      </c>
      <c r="B68" t="str">
        <f t="shared" si="20"/>
        <v>3C1 Biomass burning (CH4)</v>
      </c>
      <c r="C68" t="str">
        <f>C67</f>
        <v>3C1e Biomass burning in Settlements</v>
      </c>
      <c r="D68" t="str">
        <f>EF!D98</f>
        <v>Mines</v>
      </c>
      <c r="E68" t="s">
        <v>654</v>
      </c>
      <c r="F68" t="str">
        <f t="shared" si="23"/>
        <v>CH4</v>
      </c>
      <c r="G68" t="str">
        <f t="shared" si="24"/>
        <v>Gg CH4</v>
      </c>
      <c r="H68" s="22">
        <f>INDEX('Activity data'!H$24:H$39,MATCH(Emissions!$D68,'Activity data'!$D$24:$D$39,0))*INDEX(EF!$H$84:$H$99,MATCH(Emissions!$D68,EF!$D$84:$D$99,0))*INDEX(EF!$H$100:$H$115,MATCH(Emissions!$D68,EF!$D$100:$D$115,0))*INDEX(EF!$H$116:$H$131,MATCH(Emissions!$D68,EF!$D$116:$D$131,0))*kgtoGg</f>
        <v>0</v>
      </c>
      <c r="I68" s="22">
        <f>INDEX('Activity data'!I$24:I$39,MATCH(Emissions!$D68,'Activity data'!$D$24:$D$39,0))*INDEX(EF!$H$84:$H$99,MATCH(Emissions!$D68,EF!$D$84:$D$99,0))*INDEX(EF!$H$100:$H$115,MATCH(Emissions!$D68,EF!$D$100:$D$115,0))*INDEX(EF!$H$116:$H$131,MATCH(Emissions!$D68,EF!$D$116:$D$131,0))*kgtoGg</f>
        <v>0</v>
      </c>
      <c r="J68" s="22">
        <f>INDEX('Activity data'!J$24:J$39,MATCH(Emissions!$D68,'Activity data'!$D$24:$D$39,0))*INDEX(EF!$H$84:$H$99,MATCH(Emissions!$D68,EF!$D$84:$D$99,0))*INDEX(EF!$H$100:$H$115,MATCH(Emissions!$D68,EF!$D$100:$D$115,0))*INDEX(EF!$H$116:$H$131,MATCH(Emissions!$D68,EF!$D$116:$D$131,0))*kgtoGg</f>
        <v>0</v>
      </c>
      <c r="K68" s="22">
        <f>INDEX('Activity data'!K$24:K$39,MATCH(Emissions!$D68,'Activity data'!$D$24:$D$39,0))*INDEX(EF!$H$84:$H$99,MATCH(Emissions!$D68,EF!$D$84:$D$99,0))*INDEX(EF!$H$100:$H$115,MATCH(Emissions!$D68,EF!$D$100:$D$115,0))*INDEX(EF!$H$116:$H$131,MATCH(Emissions!$D68,EF!$D$116:$D$131,0))*kgtoGg</f>
        <v>0</v>
      </c>
      <c r="L68" s="22">
        <f>INDEX('Activity data'!L$24:L$39,MATCH(Emissions!$D68,'Activity data'!$D$24:$D$39,0))*INDEX(EF!$H$84:$H$99,MATCH(Emissions!$D68,EF!$D$84:$D$99,0))*INDEX(EF!$H$100:$H$115,MATCH(Emissions!$D68,EF!$D$100:$D$115,0))*INDEX(EF!$H$116:$H$131,MATCH(Emissions!$D68,EF!$D$116:$D$131,0))*kgtoGg</f>
        <v>0</v>
      </c>
      <c r="M68" s="22">
        <f>INDEX('Activity data'!M$24:M$39,MATCH(Emissions!$D68,'Activity data'!$D$24:$D$39,0))*INDEX(EF!$H$84:$H$99,MATCH(Emissions!$D68,EF!$D$84:$D$99,0))*INDEX(EF!$H$100:$H$115,MATCH(Emissions!$D68,EF!$D$100:$D$115,0))*INDEX(EF!$H$116:$H$131,MATCH(Emissions!$D68,EF!$D$116:$D$131,0))*kgtoGg</f>
        <v>0</v>
      </c>
      <c r="N68" s="22">
        <f>INDEX('Activity data'!N$24:N$39,MATCH(Emissions!$D68,'Activity data'!$D$24:$D$39,0))*INDEX(EF!$H$84:$H$99,MATCH(Emissions!$D68,EF!$D$84:$D$99,0))*INDEX(EF!$H$100:$H$115,MATCH(Emissions!$D68,EF!$D$100:$D$115,0))*INDEX(EF!$H$116:$H$131,MATCH(Emissions!$D68,EF!$D$116:$D$131,0))*kgtoGg</f>
        <v>0</v>
      </c>
      <c r="O68" s="22">
        <f>INDEX('Activity data'!O$24:O$39,MATCH(Emissions!$D68,'Activity data'!$D$24:$D$39,0))*INDEX(EF!$H$84:$H$99,MATCH(Emissions!$D68,EF!$D$84:$D$99,0))*INDEX(EF!$H$100:$H$115,MATCH(Emissions!$D68,EF!$D$100:$D$115,0))*INDEX(EF!$H$116:$H$131,MATCH(Emissions!$D68,EF!$D$116:$D$131,0))*kgtoGg</f>
        <v>0</v>
      </c>
      <c r="P68" s="22">
        <f>INDEX('Activity data'!P$24:P$39,MATCH(Emissions!$D68,'Activity data'!$D$24:$D$39,0))*INDEX(EF!$H$84:$H$99,MATCH(Emissions!$D68,EF!$D$84:$D$99,0))*INDEX(EF!$H$100:$H$115,MATCH(Emissions!$D68,EF!$D$100:$D$115,0))*INDEX(EF!$H$116:$H$131,MATCH(Emissions!$D68,EF!$D$116:$D$131,0))*kgtoGg</f>
        <v>0</v>
      </c>
      <c r="Q68" s="22">
        <f>INDEX('Activity data'!Q$24:Q$39,MATCH(Emissions!$D68,'Activity data'!$D$24:$D$39,0))*INDEX(EF!$H$84:$H$99,MATCH(Emissions!$D68,EF!$D$84:$D$99,0))*INDEX(EF!$H$100:$H$115,MATCH(Emissions!$D68,EF!$D$100:$D$115,0))*INDEX(EF!$H$116:$H$131,MATCH(Emissions!$D68,EF!$D$116:$D$131,0))*kgtoGg</f>
        <v>0</v>
      </c>
      <c r="R68" s="22">
        <f>INDEX('Activity data'!R$24:R$39,MATCH(Emissions!$D68,'Activity data'!$D$24:$D$39,0))*INDEX(EF!$H$84:$H$99,MATCH(Emissions!$D68,EF!$D$84:$D$99,0))*INDEX(EF!$H$100:$H$115,MATCH(Emissions!$D68,EF!$D$100:$D$115,0))*INDEX(EF!$H$116:$H$131,MATCH(Emissions!$D68,EF!$D$116:$D$131,0))*kgtoGg</f>
        <v>0</v>
      </c>
      <c r="S68" s="22">
        <f>INDEX('Activity data'!S$24:S$39,MATCH(Emissions!$D68,'Activity data'!$D$24:$D$39,0))*INDEX(EF!$H$84:$H$99,MATCH(Emissions!$D68,EF!$D$84:$D$99,0))*INDEX(EF!$H$100:$H$115,MATCH(Emissions!$D68,EF!$D$100:$D$115,0))*INDEX(EF!$H$116:$H$131,MATCH(Emissions!$D68,EF!$D$116:$D$131,0))*kgtoGg</f>
        <v>0</v>
      </c>
      <c r="T68" s="22">
        <f>INDEX('Activity data'!T$24:T$39,MATCH(Emissions!$D68,'Activity data'!$D$24:$D$39,0))*INDEX(EF!$H$84:$H$99,MATCH(Emissions!$D68,EF!$D$84:$D$99,0))*INDEX(EF!$H$100:$H$115,MATCH(Emissions!$D68,EF!$D$100:$D$115,0))*INDEX(EF!$H$116:$H$131,MATCH(Emissions!$D68,EF!$D$116:$D$131,0))*kgtoGg</f>
        <v>0</v>
      </c>
      <c r="U68" s="22">
        <f>INDEX('Activity data'!U$24:U$39,MATCH(Emissions!$D68,'Activity data'!$D$24:$D$39,0))*INDEX(EF!$H$84:$H$99,MATCH(Emissions!$D68,EF!$D$84:$D$99,0))*INDEX(EF!$H$100:$H$115,MATCH(Emissions!$D68,EF!$D$100:$D$115,0))*INDEX(EF!$H$116:$H$131,MATCH(Emissions!$D68,EF!$D$116:$D$131,0))*kgtoGg</f>
        <v>0</v>
      </c>
      <c r="V68" s="22">
        <f>INDEX('Activity data'!V$24:V$39,MATCH(Emissions!$D68,'Activity data'!$D$24:$D$39,0))*INDEX(EF!$H$84:$H$99,MATCH(Emissions!$D68,EF!$D$84:$D$99,0))*INDEX(EF!$H$100:$H$115,MATCH(Emissions!$D68,EF!$D$100:$D$115,0))*INDEX(EF!$H$116:$H$131,MATCH(Emissions!$D68,EF!$D$116:$D$131,0))*kgtoGg</f>
        <v>0</v>
      </c>
      <c r="W68" s="22">
        <f>INDEX('Activity data'!W$24:W$39,MATCH(Emissions!$D68,'Activity data'!$D$24:$D$39,0))*INDEX(EF!$H$84:$H$99,MATCH(Emissions!$D68,EF!$D$84:$D$99,0))*INDEX(EF!$H$100:$H$115,MATCH(Emissions!$D68,EF!$D$100:$D$115,0))*INDEX(EF!$H$116:$H$131,MATCH(Emissions!$D68,EF!$D$116:$D$131,0))*kgtoGg</f>
        <v>0</v>
      </c>
      <c r="X68" s="22">
        <f>INDEX('Activity data'!X$24:X$39,MATCH(Emissions!$D68,'Activity data'!$D$24:$D$39,0))*INDEX(EF!$H$84:$H$99,MATCH(Emissions!$D68,EF!$D$84:$D$99,0))*INDEX(EF!$H$100:$H$115,MATCH(Emissions!$D68,EF!$D$100:$D$115,0))*INDEX(EF!$H$116:$H$131,MATCH(Emissions!$D68,EF!$D$116:$D$131,0))*kgtoGg</f>
        <v>0</v>
      </c>
      <c r="Y68" s="22">
        <f>INDEX('Activity data'!Y$24:Y$39,MATCH(Emissions!$D68,'Activity data'!$D$24:$D$39,0))*INDEX(EF!$H$84:$H$99,MATCH(Emissions!$D68,EF!$D$84:$D$99,0))*INDEX(EF!$H$100:$H$115,MATCH(Emissions!$D68,EF!$D$100:$D$115,0))*INDEX(EF!$H$116:$H$131,MATCH(Emissions!$D68,EF!$D$116:$D$131,0))*kgtoGg</f>
        <v>0</v>
      </c>
      <c r="Z68" s="22">
        <f>INDEX('Activity data'!Z$24:Z$39,MATCH(Emissions!$D68,'Activity data'!$D$24:$D$39,0))*INDEX(EF!$H$84:$H$99,MATCH(Emissions!$D68,EF!$D$84:$D$99,0))*INDEX(EF!$H$100:$H$115,MATCH(Emissions!$D68,EF!$D$100:$D$115,0))*INDEX(EF!$H$116:$H$131,MATCH(Emissions!$D68,EF!$D$116:$D$131,0))*kgtoGg</f>
        <v>0</v>
      </c>
      <c r="AA68" s="22">
        <f>INDEX('Activity data'!AA$24:AA$39,MATCH(Emissions!$D68,'Activity data'!$D$24:$D$39,0))*INDEX(EF!$H$84:$H$99,MATCH(Emissions!$D68,EF!$D$84:$D$99,0))*INDEX(EF!$H$100:$H$115,MATCH(Emissions!$D68,EF!$D$100:$D$115,0))*INDEX(EF!$H$116:$H$131,MATCH(Emissions!$D68,EF!$D$116:$D$131,0))*kgtoGg</f>
        <v>0</v>
      </c>
      <c r="AB68" s="22">
        <f>INDEX('Activity data'!AB$24:AB$39,MATCH(Emissions!$D68,'Activity data'!$D$24:$D$39,0))*INDEX(EF!$H$84:$H$99,MATCH(Emissions!$D68,EF!$D$84:$D$99,0))*INDEX(EF!$H$100:$H$115,MATCH(Emissions!$D68,EF!$D$100:$D$115,0))*INDEX(EF!$H$116:$H$131,MATCH(Emissions!$D68,EF!$D$116:$D$131,0))*kgtoGg</f>
        <v>0</v>
      </c>
      <c r="AC68" s="22">
        <f>INDEX('Activity data'!AC$24:AC$39,MATCH(Emissions!$D68,'Activity data'!$D$24:$D$39,0))*INDEX(EF!$H$84:$H$99,MATCH(Emissions!$D68,EF!$D$84:$D$99,0))*INDEX(EF!$H$100:$H$115,MATCH(Emissions!$D68,EF!$D$100:$D$115,0))*INDEX(EF!$H$116:$H$131,MATCH(Emissions!$D68,EF!$D$116:$D$131,0))*kgtoGg</f>
        <v>0</v>
      </c>
      <c r="AD68" s="22">
        <f>INDEX('Activity data'!AD$24:AD$39,MATCH(Emissions!$D68,'Activity data'!$D$24:$D$39,0))*INDEX(EF!$H$84:$H$99,MATCH(Emissions!$D68,EF!$D$84:$D$99,0))*INDEX(EF!$H$100:$H$115,MATCH(Emissions!$D68,EF!$D$100:$D$115,0))*INDEX(EF!$H$116:$H$131,MATCH(Emissions!$D68,EF!$D$116:$D$131,0))*kgtoGg</f>
        <v>0</v>
      </c>
      <c r="AE68" s="22">
        <f>INDEX('Activity data'!AE$24:AE$39,MATCH(Emissions!$D68,'Activity data'!$D$24:$D$39,0))*INDEX(EF!$H$84:$H$99,MATCH(Emissions!$D68,EF!$D$84:$D$99,0))*INDEX(EF!$H$100:$H$115,MATCH(Emissions!$D68,EF!$D$100:$D$115,0))*INDEX(EF!$H$116:$H$131,MATCH(Emissions!$D68,EF!$D$116:$D$131,0))*kgtoGg</f>
        <v>0</v>
      </c>
      <c r="AF68" s="22">
        <f>INDEX('Activity data'!AF$24:AF$39,MATCH(Emissions!$D68,'Activity data'!$D$24:$D$39,0))*INDEX(EF!$H$84:$H$99,MATCH(Emissions!$D68,EF!$D$84:$D$99,0))*INDEX(EF!$H$100:$H$115,MATCH(Emissions!$D68,EF!$D$100:$D$115,0))*INDEX(EF!$H$116:$H$131,MATCH(Emissions!$D68,EF!$D$116:$D$131,0))*kgtoGg</f>
        <v>0</v>
      </c>
      <c r="AG68" s="22">
        <f>INDEX('Activity data'!AG$24:AG$39,MATCH(Emissions!$D68,'Activity data'!$D$24:$D$39,0))*INDEX(EF!$H$84:$H$99,MATCH(Emissions!$D68,EF!$D$84:$D$99,0))*INDEX(EF!$H$100:$H$115,MATCH(Emissions!$D68,EF!$D$100:$D$115,0))*INDEX(EF!$H$116:$H$131,MATCH(Emissions!$D68,EF!$D$116:$D$131,0))*kgtoGg</f>
        <v>0</v>
      </c>
      <c r="AH68" s="22">
        <f>INDEX('Activity data'!AH$24:AH$39,MATCH(Emissions!$D68,'Activity data'!$D$24:$D$39,0))*INDEX(EF!$H$84:$H$99,MATCH(Emissions!$D68,EF!$D$84:$D$99,0))*INDEX(EF!$H$100:$H$115,MATCH(Emissions!$D68,EF!$D$100:$D$115,0))*INDEX(EF!$H$116:$H$131,MATCH(Emissions!$D68,EF!$D$116:$D$131,0))*kgtoGg</f>
        <v>0</v>
      </c>
      <c r="AI68" s="22">
        <f>INDEX('Activity data'!AI$24:AI$39,MATCH(Emissions!$D68,'Activity data'!$D$24:$D$39,0))*INDEX(EF!$H$84:$H$99,MATCH(Emissions!$D68,EF!$D$84:$D$99,0))*INDEX(EF!$H$100:$H$115,MATCH(Emissions!$D68,EF!$D$100:$D$115,0))*INDEX(EF!$H$116:$H$131,MATCH(Emissions!$D68,EF!$D$116:$D$131,0))*kgtoGg</f>
        <v>0</v>
      </c>
      <c r="AJ68" s="22">
        <f>INDEX('Activity data'!AJ$24:AJ$39,MATCH(Emissions!$D68,'Activity data'!$D$24:$D$39,0))*INDEX(EF!$H$84:$H$99,MATCH(Emissions!$D68,EF!$D$84:$D$99,0))*INDEX(EF!$H$100:$H$115,MATCH(Emissions!$D68,EF!$D$100:$D$115,0))*INDEX(EF!$H$116:$H$131,MATCH(Emissions!$D68,EF!$D$116:$D$131,0))*kgtoGg</f>
        <v>0</v>
      </c>
      <c r="AK68" s="22">
        <f>INDEX('Activity data'!AK$24:AK$39,MATCH(Emissions!$D68,'Activity data'!$D$24:$D$39,0))*INDEX(EF!$H$84:$H$99,MATCH(Emissions!$D68,EF!$D$84:$D$99,0))*INDEX(EF!$H$100:$H$115,MATCH(Emissions!$D68,EF!$D$100:$D$115,0))*INDEX(EF!$H$116:$H$131,MATCH(Emissions!$D68,EF!$D$116:$D$131,0))*kgtoGg</f>
        <v>0</v>
      </c>
      <c r="AL68" s="22">
        <f>INDEX('Activity data'!AL$24:AL$39,MATCH(Emissions!$D68,'Activity data'!$D$24:$D$39,0))*INDEX(EF!$H$84:$H$99,MATCH(Emissions!$D68,EF!$D$84:$D$99,0))*INDEX(EF!$H$100:$H$115,MATCH(Emissions!$D68,EF!$D$100:$D$115,0))*INDEX(EF!$H$116:$H$131,MATCH(Emissions!$D68,EF!$D$116:$D$131,0))*kgtoGg</f>
        <v>0</v>
      </c>
      <c r="AM68" s="22">
        <f>INDEX('Activity data'!AM$24:AM$39,MATCH(Emissions!$D68,'Activity data'!$D$24:$D$39,0))*INDEX(EF!$H$84:$H$99,MATCH(Emissions!$D68,EF!$D$84:$D$99,0))*INDEX(EF!$H$100:$H$115,MATCH(Emissions!$D68,EF!$D$100:$D$115,0))*INDEX(EF!$H$116:$H$131,MATCH(Emissions!$D68,EF!$D$116:$D$131,0))*kgtoGg</f>
        <v>0</v>
      </c>
      <c r="AN68" s="22">
        <f>INDEX('Activity data'!AN$24:AN$39,MATCH(Emissions!$D68,'Activity data'!$D$24:$D$39,0))*INDEX(EF!$H$84:$H$99,MATCH(Emissions!$D68,EF!$D$84:$D$99,0))*INDEX(EF!$H$100:$H$115,MATCH(Emissions!$D68,EF!$D$100:$D$115,0))*INDEX(EF!$H$116:$H$131,MATCH(Emissions!$D68,EF!$D$116:$D$131,0))*kgtoGg</f>
        <v>0</v>
      </c>
      <c r="AO68" s="22">
        <f>INDEX('Activity data'!AO$24:AO$39,MATCH(Emissions!$D68,'Activity data'!$D$24:$D$39,0))*INDEX(EF!$H$84:$H$99,MATCH(Emissions!$D68,EF!$D$84:$D$99,0))*INDEX(EF!$H$100:$H$115,MATCH(Emissions!$D68,EF!$D$100:$D$115,0))*INDEX(EF!$H$116:$H$131,MATCH(Emissions!$D68,EF!$D$116:$D$131,0))*kgtoGg</f>
        <v>0</v>
      </c>
      <c r="AP68" s="22">
        <f>INDEX('Activity data'!AP$24:AP$39,MATCH(Emissions!$D68,'Activity data'!$D$24:$D$39,0))*INDEX(EF!$H$84:$H$99,MATCH(Emissions!$D68,EF!$D$84:$D$99,0))*INDEX(EF!$H$100:$H$115,MATCH(Emissions!$D68,EF!$D$100:$D$115,0))*INDEX(EF!$H$116:$H$131,MATCH(Emissions!$D68,EF!$D$116:$D$131,0))*kgtoGg</f>
        <v>0</v>
      </c>
      <c r="AQ68" s="22">
        <f>INDEX('Activity data'!AQ$24:AQ$39,MATCH(Emissions!$D68,'Activity data'!$D$24:$D$39,0))*INDEX(EF!$H$84:$H$99,MATCH(Emissions!$D68,EF!$D$84:$D$99,0))*INDEX(EF!$H$100:$H$115,MATCH(Emissions!$D68,EF!$D$100:$D$115,0))*INDEX(EF!$H$116:$H$131,MATCH(Emissions!$D68,EF!$D$116:$D$131,0))*kgtoGg</f>
        <v>0</v>
      </c>
      <c r="AR68" s="22">
        <f>INDEX('Activity data'!AR$24:AR$39,MATCH(Emissions!$D68,'Activity data'!$D$24:$D$39,0))*INDEX(EF!$H$84:$H$99,MATCH(Emissions!$D68,EF!$D$84:$D$99,0))*INDEX(EF!$H$100:$H$115,MATCH(Emissions!$D68,EF!$D$100:$D$115,0))*INDEX(EF!$H$116:$H$131,MATCH(Emissions!$D68,EF!$D$116:$D$131,0))*kgtoGg</f>
        <v>0</v>
      </c>
      <c r="AS68" s="22">
        <f>INDEX('Activity data'!AS$24:AS$39,MATCH(Emissions!$D68,'Activity data'!$D$24:$D$39,0))*INDEX(EF!$H$84:$H$99,MATCH(Emissions!$D68,EF!$D$84:$D$99,0))*INDEX(EF!$H$100:$H$115,MATCH(Emissions!$D68,EF!$D$100:$D$115,0))*INDEX(EF!$H$116:$H$131,MATCH(Emissions!$D68,EF!$D$116:$D$131,0))*kgtoGg</f>
        <v>0</v>
      </c>
      <c r="AT68" s="22">
        <f>INDEX('Activity data'!AT$24:AT$39,MATCH(Emissions!$D68,'Activity data'!$D$24:$D$39,0))*INDEX(EF!$H$84:$H$99,MATCH(Emissions!$D68,EF!$D$84:$D$99,0))*INDEX(EF!$H$100:$H$115,MATCH(Emissions!$D68,EF!$D$100:$D$115,0))*INDEX(EF!$H$116:$H$131,MATCH(Emissions!$D68,EF!$D$116:$D$131,0))*kgtoGg</f>
        <v>0</v>
      </c>
      <c r="AU68" s="22">
        <f>INDEX('Activity data'!AU$24:AU$39,MATCH(Emissions!$D68,'Activity data'!$D$24:$D$39,0))*INDEX(EF!$H$84:$H$99,MATCH(Emissions!$D68,EF!$D$84:$D$99,0))*INDEX(EF!$H$100:$H$115,MATCH(Emissions!$D68,EF!$D$100:$D$115,0))*INDEX(EF!$H$116:$H$131,MATCH(Emissions!$D68,EF!$D$116:$D$131,0))*kgtoGg</f>
        <v>0</v>
      </c>
      <c r="AV68" s="22">
        <f>INDEX('Activity data'!AV$24:AV$39,MATCH(Emissions!$D68,'Activity data'!$D$24:$D$39,0))*INDEX(EF!$H$84:$H$99,MATCH(Emissions!$D68,EF!$D$84:$D$99,0))*INDEX(EF!$H$100:$H$115,MATCH(Emissions!$D68,EF!$D$100:$D$115,0))*INDEX(EF!$H$116:$H$131,MATCH(Emissions!$D68,EF!$D$116:$D$131,0))*kgtoGg</f>
        <v>0</v>
      </c>
      <c r="AW68" s="22">
        <f>INDEX('Activity data'!AW$24:AW$39,MATCH(Emissions!$D68,'Activity data'!$D$24:$D$39,0))*INDEX(EF!$H$84:$H$99,MATCH(Emissions!$D68,EF!$D$84:$D$99,0))*INDEX(EF!$H$100:$H$115,MATCH(Emissions!$D68,EF!$D$100:$D$115,0))*INDEX(EF!$H$116:$H$131,MATCH(Emissions!$D68,EF!$D$116:$D$131,0))*kgtoGg</f>
        <v>0</v>
      </c>
      <c r="AX68" s="22">
        <f>INDEX('Activity data'!AX$24:AX$39,MATCH(Emissions!$D68,'Activity data'!$D$24:$D$39,0))*INDEX(EF!$H$84:$H$99,MATCH(Emissions!$D68,EF!$D$84:$D$99,0))*INDEX(EF!$H$100:$H$115,MATCH(Emissions!$D68,EF!$D$100:$D$115,0))*INDEX(EF!$H$116:$H$131,MATCH(Emissions!$D68,EF!$D$116:$D$131,0))*kgtoGg</f>
        <v>0</v>
      </c>
      <c r="AY68" s="22">
        <f>INDEX('Activity data'!AY$24:AY$39,MATCH(Emissions!$D68,'Activity data'!$D$24:$D$39,0))*INDEX(EF!$H$84:$H$99,MATCH(Emissions!$D68,EF!$D$84:$D$99,0))*INDEX(EF!$H$100:$H$115,MATCH(Emissions!$D68,EF!$D$100:$D$115,0))*INDEX(EF!$H$116:$H$131,MATCH(Emissions!$D68,EF!$D$116:$D$131,0))*kgtoGg</f>
        <v>0</v>
      </c>
      <c r="AZ68" s="22">
        <f>INDEX('Activity data'!AZ$24:AZ$39,MATCH(Emissions!$D68,'Activity data'!$D$24:$D$39,0))*INDEX(EF!$H$84:$H$99,MATCH(Emissions!$D68,EF!$D$84:$D$99,0))*INDEX(EF!$H$100:$H$115,MATCH(Emissions!$D68,EF!$D$100:$D$115,0))*INDEX(EF!$H$116:$H$131,MATCH(Emissions!$D68,EF!$D$116:$D$131,0))*kgtoGg</f>
        <v>0</v>
      </c>
      <c r="BA68" s="22">
        <f>INDEX('Activity data'!BA$24:BA$39,MATCH(Emissions!$D68,'Activity data'!$D$24:$D$39,0))*INDEX(EF!$H$84:$H$99,MATCH(Emissions!$D68,EF!$D$84:$D$99,0))*INDEX(EF!$H$100:$H$115,MATCH(Emissions!$D68,EF!$D$100:$D$115,0))*INDEX(EF!$H$116:$H$131,MATCH(Emissions!$D68,EF!$D$116:$D$131,0))*kgtoGg</f>
        <v>0</v>
      </c>
      <c r="BB68" s="22">
        <f>INDEX('Activity data'!BB$24:BB$39,MATCH(Emissions!$D68,'Activity data'!$D$24:$D$39,0))*INDEX(EF!$H$84:$H$99,MATCH(Emissions!$D68,EF!$D$84:$D$99,0))*INDEX(EF!$H$100:$H$115,MATCH(Emissions!$D68,EF!$D$100:$D$115,0))*INDEX(EF!$H$116:$H$131,MATCH(Emissions!$D68,EF!$D$116:$D$131,0))*kgtoGg</f>
        <v>0</v>
      </c>
      <c r="BC68" s="22">
        <f>INDEX('Activity data'!BC$24:BC$39,MATCH(Emissions!$D68,'Activity data'!$D$24:$D$39,0))*INDEX(EF!$H$84:$H$99,MATCH(Emissions!$D68,EF!$D$84:$D$99,0))*INDEX(EF!$H$100:$H$115,MATCH(Emissions!$D68,EF!$D$100:$D$115,0))*INDEX(EF!$H$116:$H$131,MATCH(Emissions!$D68,EF!$D$116:$D$131,0))*kgtoGg</f>
        <v>0</v>
      </c>
      <c r="BD68" s="22">
        <f>INDEX('Activity data'!BD$24:BD$39,MATCH(Emissions!$D68,'Activity data'!$D$24:$D$39,0))*INDEX(EF!$H$84:$H$99,MATCH(Emissions!$D68,EF!$D$84:$D$99,0))*INDEX(EF!$H$100:$H$115,MATCH(Emissions!$D68,EF!$D$100:$D$115,0))*INDEX(EF!$H$116:$H$131,MATCH(Emissions!$D68,EF!$D$116:$D$131,0))*kgtoGg</f>
        <v>0</v>
      </c>
      <c r="BE68" s="22">
        <f>INDEX('Activity data'!BE$24:BE$39,MATCH(Emissions!$D68,'Activity data'!$D$24:$D$39,0))*INDEX(EF!$H$84:$H$99,MATCH(Emissions!$D68,EF!$D$84:$D$99,0))*INDEX(EF!$H$100:$H$115,MATCH(Emissions!$D68,EF!$D$100:$D$115,0))*INDEX(EF!$H$116:$H$131,MATCH(Emissions!$D68,EF!$D$116:$D$131,0))*kgtoGg</f>
        <v>0</v>
      </c>
      <c r="BF68" s="22">
        <f>INDEX('Activity data'!BF$24:BF$39,MATCH(Emissions!$D68,'Activity data'!$D$24:$D$39,0))*INDEX(EF!$H$84:$H$99,MATCH(Emissions!$D68,EF!$D$84:$D$99,0))*INDEX(EF!$H$100:$H$115,MATCH(Emissions!$D68,EF!$D$100:$D$115,0))*INDEX(EF!$H$116:$H$131,MATCH(Emissions!$D68,EF!$D$116:$D$131,0))*kgtoGg</f>
        <v>0</v>
      </c>
      <c r="BG68" s="22">
        <f>INDEX('Activity data'!BG$24:BG$39,MATCH(Emissions!$D68,'Activity data'!$D$24:$D$39,0))*INDEX(EF!$H$84:$H$99,MATCH(Emissions!$D68,EF!$D$84:$D$99,0))*INDEX(EF!$H$100:$H$115,MATCH(Emissions!$D68,EF!$D$100:$D$115,0))*INDEX(EF!$H$116:$H$131,MATCH(Emissions!$D68,EF!$D$116:$D$131,0))*kgtoGg</f>
        <v>0</v>
      </c>
      <c r="BH68" s="22">
        <f>INDEX('Activity data'!BH$24:BH$39,MATCH(Emissions!$D68,'Activity data'!$D$24:$D$39,0))*INDEX(EF!$H$84:$H$99,MATCH(Emissions!$D68,EF!$D$84:$D$99,0))*INDEX(EF!$H$100:$H$115,MATCH(Emissions!$D68,EF!$D$100:$D$115,0))*INDEX(EF!$H$116:$H$131,MATCH(Emissions!$D68,EF!$D$116:$D$131,0))*kgtoGg</f>
        <v>0</v>
      </c>
      <c r="BI68" s="22">
        <f>INDEX('Activity data'!BI$24:BI$39,MATCH(Emissions!$D68,'Activity data'!$D$24:$D$39,0))*INDEX(EF!$H$84:$H$99,MATCH(Emissions!$D68,EF!$D$84:$D$99,0))*INDEX(EF!$H$100:$H$115,MATCH(Emissions!$D68,EF!$D$100:$D$115,0))*INDEX(EF!$H$116:$H$131,MATCH(Emissions!$D68,EF!$D$116:$D$131,0))*kgtoGg</f>
        <v>0</v>
      </c>
      <c r="BJ68" s="22">
        <f>INDEX('Activity data'!BJ$24:BJ$39,MATCH(Emissions!$D68,'Activity data'!$D$24:$D$39,0))*INDEX(EF!$H$84:$H$99,MATCH(Emissions!$D68,EF!$D$84:$D$99,0))*INDEX(EF!$H$100:$H$115,MATCH(Emissions!$D68,EF!$D$100:$D$115,0))*INDEX(EF!$H$116:$H$131,MATCH(Emissions!$D68,EF!$D$116:$D$131,0))*kgtoGg</f>
        <v>0</v>
      </c>
      <c r="BK68" s="22">
        <f>INDEX('Activity data'!BK$24:BK$39,MATCH(Emissions!$D68,'Activity data'!$D$24:$D$39,0))*INDEX(EF!$H$84:$H$99,MATCH(Emissions!$D68,EF!$D$84:$D$99,0))*INDEX(EF!$H$100:$H$115,MATCH(Emissions!$D68,EF!$D$100:$D$115,0))*INDEX(EF!$H$116:$H$131,MATCH(Emissions!$D68,EF!$D$116:$D$131,0))*kgtoGg</f>
        <v>0</v>
      </c>
      <c r="BL68" s="22">
        <f>INDEX('Activity data'!BL$24:BL$39,MATCH(Emissions!$D68,'Activity data'!$D$24:$D$39,0))*INDEX(EF!$H$84:$H$99,MATCH(Emissions!$D68,EF!$D$84:$D$99,0))*INDEX(EF!$H$100:$H$115,MATCH(Emissions!$D68,EF!$D$100:$D$115,0))*INDEX(EF!$H$116:$H$131,MATCH(Emissions!$D68,EF!$D$116:$D$131,0))*kgtoGg</f>
        <v>0</v>
      </c>
      <c r="BM68" s="22">
        <f>INDEX('Activity data'!BM$24:BM$39,MATCH(Emissions!$D68,'Activity data'!$D$24:$D$39,0))*INDEX(EF!$H$84:$H$99,MATCH(Emissions!$D68,EF!$D$84:$D$99,0))*INDEX(EF!$H$100:$H$115,MATCH(Emissions!$D68,EF!$D$100:$D$115,0))*INDEX(EF!$H$116:$H$131,MATCH(Emissions!$D68,EF!$D$116:$D$131,0))*kgtoGg</f>
        <v>0</v>
      </c>
      <c r="BN68" s="22">
        <f>INDEX('Activity data'!BN$24:BN$39,MATCH(Emissions!$D68,'Activity data'!$D$24:$D$39,0))*INDEX(EF!$H$84:$H$99,MATCH(Emissions!$D68,EF!$D$84:$D$99,0))*INDEX(EF!$H$100:$H$115,MATCH(Emissions!$D68,EF!$D$100:$D$115,0))*INDEX(EF!$H$116:$H$131,MATCH(Emissions!$D68,EF!$D$116:$D$131,0))*kgtoGg</f>
        <v>0</v>
      </c>
      <c r="BO68" s="22">
        <f>INDEX('Activity data'!BO$24:BO$39,MATCH(Emissions!$D68,'Activity data'!$D$24:$D$39,0))*INDEX(EF!$H$84:$H$99,MATCH(Emissions!$D68,EF!$D$84:$D$99,0))*INDEX(EF!$H$100:$H$115,MATCH(Emissions!$D68,EF!$D$100:$D$115,0))*INDEX(EF!$H$116:$H$131,MATCH(Emissions!$D68,EF!$D$116:$D$131,0))*kgtoGg</f>
        <v>0</v>
      </c>
      <c r="BP68" s="22">
        <f>INDEX('Activity data'!BP$24:BP$39,MATCH(Emissions!$D68,'Activity data'!$D$24:$D$39,0))*INDEX(EF!$H$84:$H$99,MATCH(Emissions!$D68,EF!$D$84:$D$99,0))*INDEX(EF!$H$100:$H$115,MATCH(Emissions!$D68,EF!$D$100:$D$115,0))*INDEX(EF!$H$116:$H$131,MATCH(Emissions!$D68,EF!$D$116:$D$131,0))*kgtoGg</f>
        <v>0</v>
      </c>
    </row>
    <row r="69" spans="1:68" x14ac:dyDescent="0.25">
      <c r="A69" t="str">
        <f t="shared" si="19"/>
        <v>3C Aggregated and non-CO2 emissions on land</v>
      </c>
      <c r="B69" t="str">
        <f t="shared" si="20"/>
        <v>3C1 Biomass burning (CH4)</v>
      </c>
      <c r="C69" t="str">
        <f>'IPCC Categories'!C64</f>
        <v>3C1f Biomass burning in Other lands</v>
      </c>
      <c r="D69" t="str">
        <f>EF!D99</f>
        <v>Bare ground</v>
      </c>
      <c r="E69" t="s">
        <v>655</v>
      </c>
      <c r="F69" t="str">
        <f t="shared" si="23"/>
        <v>CH4</v>
      </c>
      <c r="G69" t="str">
        <f t="shared" si="24"/>
        <v>Gg CH4</v>
      </c>
      <c r="H69" s="22">
        <f>INDEX('Activity data'!H$24:H$39,MATCH(Emissions!$D69,'Activity data'!$D$24:$D$39,0))*INDEX(EF!$H$84:$H$99,MATCH(Emissions!$D69,EF!$D$84:$D$99,0))*INDEX(EF!$H$100:$H$115,MATCH(Emissions!$D69,EF!$D$100:$D$115,0))*INDEX(EF!$H$116:$H$131,MATCH(Emissions!$D69,EF!$D$116:$D$131,0))*kgtoGg</f>
        <v>0</v>
      </c>
      <c r="I69" s="22">
        <f>INDEX('Activity data'!I$24:I$39,MATCH(Emissions!$D69,'Activity data'!$D$24:$D$39,0))*INDEX(EF!$H$84:$H$99,MATCH(Emissions!$D69,EF!$D$84:$D$99,0))*INDEX(EF!$H$100:$H$115,MATCH(Emissions!$D69,EF!$D$100:$D$115,0))*INDEX(EF!$H$116:$H$131,MATCH(Emissions!$D69,EF!$D$116:$D$131,0))*kgtoGg</f>
        <v>0</v>
      </c>
      <c r="J69" s="22">
        <f>INDEX('Activity data'!J$24:J$39,MATCH(Emissions!$D69,'Activity data'!$D$24:$D$39,0))*INDEX(EF!$H$84:$H$99,MATCH(Emissions!$D69,EF!$D$84:$D$99,0))*INDEX(EF!$H$100:$H$115,MATCH(Emissions!$D69,EF!$D$100:$D$115,0))*INDEX(EF!$H$116:$H$131,MATCH(Emissions!$D69,EF!$D$116:$D$131,0))*kgtoGg</f>
        <v>0</v>
      </c>
      <c r="K69" s="22">
        <f>INDEX('Activity data'!K$24:K$39,MATCH(Emissions!$D69,'Activity data'!$D$24:$D$39,0))*INDEX(EF!$H$84:$H$99,MATCH(Emissions!$D69,EF!$D$84:$D$99,0))*INDEX(EF!$H$100:$H$115,MATCH(Emissions!$D69,EF!$D$100:$D$115,0))*INDEX(EF!$H$116:$H$131,MATCH(Emissions!$D69,EF!$D$116:$D$131,0))*kgtoGg</f>
        <v>0</v>
      </c>
      <c r="L69" s="22">
        <f>INDEX('Activity data'!L$24:L$39,MATCH(Emissions!$D69,'Activity data'!$D$24:$D$39,0))*INDEX(EF!$H$84:$H$99,MATCH(Emissions!$D69,EF!$D$84:$D$99,0))*INDEX(EF!$H$100:$H$115,MATCH(Emissions!$D69,EF!$D$100:$D$115,0))*INDEX(EF!$H$116:$H$131,MATCH(Emissions!$D69,EF!$D$116:$D$131,0))*kgtoGg</f>
        <v>0</v>
      </c>
      <c r="M69" s="22">
        <f>INDEX('Activity data'!M$24:M$39,MATCH(Emissions!$D69,'Activity data'!$D$24:$D$39,0))*INDEX(EF!$H$84:$H$99,MATCH(Emissions!$D69,EF!$D$84:$D$99,0))*INDEX(EF!$H$100:$H$115,MATCH(Emissions!$D69,EF!$D$100:$D$115,0))*INDEX(EF!$H$116:$H$131,MATCH(Emissions!$D69,EF!$D$116:$D$131,0))*kgtoGg</f>
        <v>0</v>
      </c>
      <c r="N69" s="22">
        <f>INDEX('Activity data'!N$24:N$39,MATCH(Emissions!$D69,'Activity data'!$D$24:$D$39,0))*INDEX(EF!$H$84:$H$99,MATCH(Emissions!$D69,EF!$D$84:$D$99,0))*INDEX(EF!$H$100:$H$115,MATCH(Emissions!$D69,EF!$D$100:$D$115,0))*INDEX(EF!$H$116:$H$131,MATCH(Emissions!$D69,EF!$D$116:$D$131,0))*kgtoGg</f>
        <v>0</v>
      </c>
      <c r="O69" s="22">
        <f>INDEX('Activity data'!O$24:O$39,MATCH(Emissions!$D69,'Activity data'!$D$24:$D$39,0))*INDEX(EF!$H$84:$H$99,MATCH(Emissions!$D69,EF!$D$84:$D$99,0))*INDEX(EF!$H$100:$H$115,MATCH(Emissions!$D69,EF!$D$100:$D$115,0))*INDEX(EF!$H$116:$H$131,MATCH(Emissions!$D69,EF!$D$116:$D$131,0))*kgtoGg</f>
        <v>0</v>
      </c>
      <c r="P69" s="22">
        <f>INDEX('Activity data'!P$24:P$39,MATCH(Emissions!$D69,'Activity data'!$D$24:$D$39,0))*INDEX(EF!$H$84:$H$99,MATCH(Emissions!$D69,EF!$D$84:$D$99,0))*INDEX(EF!$H$100:$H$115,MATCH(Emissions!$D69,EF!$D$100:$D$115,0))*INDEX(EF!$H$116:$H$131,MATCH(Emissions!$D69,EF!$D$116:$D$131,0))*kgtoGg</f>
        <v>0</v>
      </c>
      <c r="Q69" s="22">
        <f>INDEX('Activity data'!Q$24:Q$39,MATCH(Emissions!$D69,'Activity data'!$D$24:$D$39,0))*INDEX(EF!$H$84:$H$99,MATCH(Emissions!$D69,EF!$D$84:$D$99,0))*INDEX(EF!$H$100:$H$115,MATCH(Emissions!$D69,EF!$D$100:$D$115,0))*INDEX(EF!$H$116:$H$131,MATCH(Emissions!$D69,EF!$D$116:$D$131,0))*kgtoGg</f>
        <v>0</v>
      </c>
      <c r="R69" s="22">
        <f>INDEX('Activity data'!R$24:R$39,MATCH(Emissions!$D69,'Activity data'!$D$24:$D$39,0))*INDEX(EF!$H$84:$H$99,MATCH(Emissions!$D69,EF!$D$84:$D$99,0))*INDEX(EF!$H$100:$H$115,MATCH(Emissions!$D69,EF!$D$100:$D$115,0))*INDEX(EF!$H$116:$H$131,MATCH(Emissions!$D69,EF!$D$116:$D$131,0))*kgtoGg</f>
        <v>0</v>
      </c>
      <c r="S69" s="22">
        <f>INDEX('Activity data'!S$24:S$39,MATCH(Emissions!$D69,'Activity data'!$D$24:$D$39,0))*INDEX(EF!$H$84:$H$99,MATCH(Emissions!$D69,EF!$D$84:$D$99,0))*INDEX(EF!$H$100:$H$115,MATCH(Emissions!$D69,EF!$D$100:$D$115,0))*INDEX(EF!$H$116:$H$131,MATCH(Emissions!$D69,EF!$D$116:$D$131,0))*kgtoGg</f>
        <v>0</v>
      </c>
      <c r="T69" s="22">
        <f>INDEX('Activity data'!T$24:T$39,MATCH(Emissions!$D69,'Activity data'!$D$24:$D$39,0))*INDEX(EF!$H$84:$H$99,MATCH(Emissions!$D69,EF!$D$84:$D$99,0))*INDEX(EF!$H$100:$H$115,MATCH(Emissions!$D69,EF!$D$100:$D$115,0))*INDEX(EF!$H$116:$H$131,MATCH(Emissions!$D69,EF!$D$116:$D$131,0))*kgtoGg</f>
        <v>0</v>
      </c>
      <c r="U69" s="22">
        <f>INDEX('Activity data'!U$24:U$39,MATCH(Emissions!$D69,'Activity data'!$D$24:$D$39,0))*INDEX(EF!$H$84:$H$99,MATCH(Emissions!$D69,EF!$D$84:$D$99,0))*INDEX(EF!$H$100:$H$115,MATCH(Emissions!$D69,EF!$D$100:$D$115,0))*INDEX(EF!$H$116:$H$131,MATCH(Emissions!$D69,EF!$D$116:$D$131,0))*kgtoGg</f>
        <v>0</v>
      </c>
      <c r="V69" s="22">
        <f>INDEX('Activity data'!V$24:V$39,MATCH(Emissions!$D69,'Activity data'!$D$24:$D$39,0))*INDEX(EF!$H$84:$H$99,MATCH(Emissions!$D69,EF!$D$84:$D$99,0))*INDEX(EF!$H$100:$H$115,MATCH(Emissions!$D69,EF!$D$100:$D$115,0))*INDEX(EF!$H$116:$H$131,MATCH(Emissions!$D69,EF!$D$116:$D$131,0))*kgtoGg</f>
        <v>0</v>
      </c>
      <c r="W69" s="22">
        <f>INDEX('Activity data'!W$24:W$39,MATCH(Emissions!$D69,'Activity data'!$D$24:$D$39,0))*INDEX(EF!$H$84:$H$99,MATCH(Emissions!$D69,EF!$D$84:$D$99,0))*INDEX(EF!$H$100:$H$115,MATCH(Emissions!$D69,EF!$D$100:$D$115,0))*INDEX(EF!$H$116:$H$131,MATCH(Emissions!$D69,EF!$D$116:$D$131,0))*kgtoGg</f>
        <v>0</v>
      </c>
      <c r="X69" s="22">
        <f>INDEX('Activity data'!X$24:X$39,MATCH(Emissions!$D69,'Activity data'!$D$24:$D$39,0))*INDEX(EF!$H$84:$H$99,MATCH(Emissions!$D69,EF!$D$84:$D$99,0))*INDEX(EF!$H$100:$H$115,MATCH(Emissions!$D69,EF!$D$100:$D$115,0))*INDEX(EF!$H$116:$H$131,MATCH(Emissions!$D69,EF!$D$116:$D$131,0))*kgtoGg</f>
        <v>0</v>
      </c>
      <c r="Y69" s="22">
        <f>INDEX('Activity data'!Y$24:Y$39,MATCH(Emissions!$D69,'Activity data'!$D$24:$D$39,0))*INDEX(EF!$H$84:$H$99,MATCH(Emissions!$D69,EF!$D$84:$D$99,0))*INDEX(EF!$H$100:$H$115,MATCH(Emissions!$D69,EF!$D$100:$D$115,0))*INDEX(EF!$H$116:$H$131,MATCH(Emissions!$D69,EF!$D$116:$D$131,0))*kgtoGg</f>
        <v>0</v>
      </c>
      <c r="Z69" s="22">
        <f>INDEX('Activity data'!Z$24:Z$39,MATCH(Emissions!$D69,'Activity data'!$D$24:$D$39,0))*INDEX(EF!$H$84:$H$99,MATCH(Emissions!$D69,EF!$D$84:$D$99,0))*INDEX(EF!$H$100:$H$115,MATCH(Emissions!$D69,EF!$D$100:$D$115,0))*INDEX(EF!$H$116:$H$131,MATCH(Emissions!$D69,EF!$D$116:$D$131,0))*kgtoGg</f>
        <v>0</v>
      </c>
      <c r="AA69" s="22">
        <f>INDEX('Activity data'!AA$24:AA$39,MATCH(Emissions!$D69,'Activity data'!$D$24:$D$39,0))*INDEX(EF!$H$84:$H$99,MATCH(Emissions!$D69,EF!$D$84:$D$99,0))*INDEX(EF!$H$100:$H$115,MATCH(Emissions!$D69,EF!$D$100:$D$115,0))*INDEX(EF!$H$116:$H$131,MATCH(Emissions!$D69,EF!$D$116:$D$131,0))*kgtoGg</f>
        <v>0</v>
      </c>
      <c r="AB69" s="22">
        <f>INDEX('Activity data'!AB$24:AB$39,MATCH(Emissions!$D69,'Activity data'!$D$24:$D$39,0))*INDEX(EF!$H$84:$H$99,MATCH(Emissions!$D69,EF!$D$84:$D$99,0))*INDEX(EF!$H$100:$H$115,MATCH(Emissions!$D69,EF!$D$100:$D$115,0))*INDEX(EF!$H$116:$H$131,MATCH(Emissions!$D69,EF!$D$116:$D$131,0))*kgtoGg</f>
        <v>0</v>
      </c>
      <c r="AC69" s="22">
        <f>INDEX('Activity data'!AC$24:AC$39,MATCH(Emissions!$D69,'Activity data'!$D$24:$D$39,0))*INDEX(EF!$H$84:$H$99,MATCH(Emissions!$D69,EF!$D$84:$D$99,0))*INDEX(EF!$H$100:$H$115,MATCH(Emissions!$D69,EF!$D$100:$D$115,0))*INDEX(EF!$H$116:$H$131,MATCH(Emissions!$D69,EF!$D$116:$D$131,0))*kgtoGg</f>
        <v>0</v>
      </c>
      <c r="AD69" s="22">
        <f>INDEX('Activity data'!AD$24:AD$39,MATCH(Emissions!$D69,'Activity data'!$D$24:$D$39,0))*INDEX(EF!$H$84:$H$99,MATCH(Emissions!$D69,EF!$D$84:$D$99,0))*INDEX(EF!$H$100:$H$115,MATCH(Emissions!$D69,EF!$D$100:$D$115,0))*INDEX(EF!$H$116:$H$131,MATCH(Emissions!$D69,EF!$D$116:$D$131,0))*kgtoGg</f>
        <v>0</v>
      </c>
      <c r="AE69" s="22">
        <f>INDEX('Activity data'!AE$24:AE$39,MATCH(Emissions!$D69,'Activity data'!$D$24:$D$39,0))*INDEX(EF!$H$84:$H$99,MATCH(Emissions!$D69,EF!$D$84:$D$99,0))*INDEX(EF!$H$100:$H$115,MATCH(Emissions!$D69,EF!$D$100:$D$115,0))*INDEX(EF!$H$116:$H$131,MATCH(Emissions!$D69,EF!$D$116:$D$131,0))*kgtoGg</f>
        <v>0</v>
      </c>
      <c r="AF69" s="22">
        <f>INDEX('Activity data'!AF$24:AF$39,MATCH(Emissions!$D69,'Activity data'!$D$24:$D$39,0))*INDEX(EF!$H$84:$H$99,MATCH(Emissions!$D69,EF!$D$84:$D$99,0))*INDEX(EF!$H$100:$H$115,MATCH(Emissions!$D69,EF!$D$100:$D$115,0))*INDEX(EF!$H$116:$H$131,MATCH(Emissions!$D69,EF!$D$116:$D$131,0))*kgtoGg</f>
        <v>0</v>
      </c>
      <c r="AG69" s="22">
        <f>INDEX('Activity data'!AG$24:AG$39,MATCH(Emissions!$D69,'Activity data'!$D$24:$D$39,0))*INDEX(EF!$H$84:$H$99,MATCH(Emissions!$D69,EF!$D$84:$D$99,0))*INDEX(EF!$H$100:$H$115,MATCH(Emissions!$D69,EF!$D$100:$D$115,0))*INDEX(EF!$H$116:$H$131,MATCH(Emissions!$D69,EF!$D$116:$D$131,0))*kgtoGg</f>
        <v>0</v>
      </c>
      <c r="AH69" s="22">
        <f>INDEX('Activity data'!AH$24:AH$39,MATCH(Emissions!$D69,'Activity data'!$D$24:$D$39,0))*INDEX(EF!$H$84:$H$99,MATCH(Emissions!$D69,EF!$D$84:$D$99,0))*INDEX(EF!$H$100:$H$115,MATCH(Emissions!$D69,EF!$D$100:$D$115,0))*INDEX(EF!$H$116:$H$131,MATCH(Emissions!$D69,EF!$D$116:$D$131,0))*kgtoGg</f>
        <v>0</v>
      </c>
      <c r="AI69" s="22">
        <f>INDEX('Activity data'!AI$24:AI$39,MATCH(Emissions!$D69,'Activity data'!$D$24:$D$39,0))*INDEX(EF!$H$84:$H$99,MATCH(Emissions!$D69,EF!$D$84:$D$99,0))*INDEX(EF!$H$100:$H$115,MATCH(Emissions!$D69,EF!$D$100:$D$115,0))*INDEX(EF!$H$116:$H$131,MATCH(Emissions!$D69,EF!$D$116:$D$131,0))*kgtoGg</f>
        <v>0</v>
      </c>
      <c r="AJ69" s="22">
        <f>INDEX('Activity data'!AJ$24:AJ$39,MATCH(Emissions!$D69,'Activity data'!$D$24:$D$39,0))*INDEX(EF!$H$84:$H$99,MATCH(Emissions!$D69,EF!$D$84:$D$99,0))*INDEX(EF!$H$100:$H$115,MATCH(Emissions!$D69,EF!$D$100:$D$115,0))*INDEX(EF!$H$116:$H$131,MATCH(Emissions!$D69,EF!$D$116:$D$131,0))*kgtoGg</f>
        <v>0</v>
      </c>
      <c r="AK69" s="22">
        <f>INDEX('Activity data'!AK$24:AK$39,MATCH(Emissions!$D69,'Activity data'!$D$24:$D$39,0))*INDEX(EF!$H$84:$H$99,MATCH(Emissions!$D69,EF!$D$84:$D$99,0))*INDEX(EF!$H$100:$H$115,MATCH(Emissions!$D69,EF!$D$100:$D$115,0))*INDEX(EF!$H$116:$H$131,MATCH(Emissions!$D69,EF!$D$116:$D$131,0))*kgtoGg</f>
        <v>0</v>
      </c>
      <c r="AL69" s="22">
        <f>INDEX('Activity data'!AL$24:AL$39,MATCH(Emissions!$D69,'Activity data'!$D$24:$D$39,0))*INDEX(EF!$H$84:$H$99,MATCH(Emissions!$D69,EF!$D$84:$D$99,0))*INDEX(EF!$H$100:$H$115,MATCH(Emissions!$D69,EF!$D$100:$D$115,0))*INDEX(EF!$H$116:$H$131,MATCH(Emissions!$D69,EF!$D$116:$D$131,0))*kgtoGg</f>
        <v>0</v>
      </c>
      <c r="AM69" s="22">
        <f>INDEX('Activity data'!AM$24:AM$39,MATCH(Emissions!$D69,'Activity data'!$D$24:$D$39,0))*INDEX(EF!$H$84:$H$99,MATCH(Emissions!$D69,EF!$D$84:$D$99,0))*INDEX(EF!$H$100:$H$115,MATCH(Emissions!$D69,EF!$D$100:$D$115,0))*INDEX(EF!$H$116:$H$131,MATCH(Emissions!$D69,EF!$D$116:$D$131,0))*kgtoGg</f>
        <v>0</v>
      </c>
      <c r="AN69" s="22">
        <f>INDEX('Activity data'!AN$24:AN$39,MATCH(Emissions!$D69,'Activity data'!$D$24:$D$39,0))*INDEX(EF!$H$84:$H$99,MATCH(Emissions!$D69,EF!$D$84:$D$99,0))*INDEX(EF!$H$100:$H$115,MATCH(Emissions!$D69,EF!$D$100:$D$115,0))*INDEX(EF!$H$116:$H$131,MATCH(Emissions!$D69,EF!$D$116:$D$131,0))*kgtoGg</f>
        <v>0</v>
      </c>
      <c r="AO69" s="22">
        <f>INDEX('Activity data'!AO$24:AO$39,MATCH(Emissions!$D69,'Activity data'!$D$24:$D$39,0))*INDEX(EF!$H$84:$H$99,MATCH(Emissions!$D69,EF!$D$84:$D$99,0))*INDEX(EF!$H$100:$H$115,MATCH(Emissions!$D69,EF!$D$100:$D$115,0))*INDEX(EF!$H$116:$H$131,MATCH(Emissions!$D69,EF!$D$116:$D$131,0))*kgtoGg</f>
        <v>0</v>
      </c>
      <c r="AP69" s="22">
        <f>INDEX('Activity data'!AP$24:AP$39,MATCH(Emissions!$D69,'Activity data'!$D$24:$D$39,0))*INDEX(EF!$H$84:$H$99,MATCH(Emissions!$D69,EF!$D$84:$D$99,0))*INDEX(EF!$H$100:$H$115,MATCH(Emissions!$D69,EF!$D$100:$D$115,0))*INDEX(EF!$H$116:$H$131,MATCH(Emissions!$D69,EF!$D$116:$D$131,0))*kgtoGg</f>
        <v>0</v>
      </c>
      <c r="AQ69" s="22">
        <f>INDEX('Activity data'!AQ$24:AQ$39,MATCH(Emissions!$D69,'Activity data'!$D$24:$D$39,0))*INDEX(EF!$H$84:$H$99,MATCH(Emissions!$D69,EF!$D$84:$D$99,0))*INDEX(EF!$H$100:$H$115,MATCH(Emissions!$D69,EF!$D$100:$D$115,0))*INDEX(EF!$H$116:$H$131,MATCH(Emissions!$D69,EF!$D$116:$D$131,0))*kgtoGg</f>
        <v>0</v>
      </c>
      <c r="AR69" s="22">
        <f>INDEX('Activity data'!AR$24:AR$39,MATCH(Emissions!$D69,'Activity data'!$D$24:$D$39,0))*INDEX(EF!$H$84:$H$99,MATCH(Emissions!$D69,EF!$D$84:$D$99,0))*INDEX(EF!$H$100:$H$115,MATCH(Emissions!$D69,EF!$D$100:$D$115,0))*INDEX(EF!$H$116:$H$131,MATCH(Emissions!$D69,EF!$D$116:$D$131,0))*kgtoGg</f>
        <v>0</v>
      </c>
      <c r="AS69" s="22">
        <f>INDEX('Activity data'!AS$24:AS$39,MATCH(Emissions!$D69,'Activity data'!$D$24:$D$39,0))*INDEX(EF!$H$84:$H$99,MATCH(Emissions!$D69,EF!$D$84:$D$99,0))*INDEX(EF!$H$100:$H$115,MATCH(Emissions!$D69,EF!$D$100:$D$115,0))*INDEX(EF!$H$116:$H$131,MATCH(Emissions!$D69,EF!$D$116:$D$131,0))*kgtoGg</f>
        <v>0</v>
      </c>
      <c r="AT69" s="22">
        <f>INDEX('Activity data'!AT$24:AT$39,MATCH(Emissions!$D69,'Activity data'!$D$24:$D$39,0))*INDEX(EF!$H$84:$H$99,MATCH(Emissions!$D69,EF!$D$84:$D$99,0))*INDEX(EF!$H$100:$H$115,MATCH(Emissions!$D69,EF!$D$100:$D$115,0))*INDEX(EF!$H$116:$H$131,MATCH(Emissions!$D69,EF!$D$116:$D$131,0))*kgtoGg</f>
        <v>0</v>
      </c>
      <c r="AU69" s="22">
        <f>INDEX('Activity data'!AU$24:AU$39,MATCH(Emissions!$D69,'Activity data'!$D$24:$D$39,0))*INDEX(EF!$H$84:$H$99,MATCH(Emissions!$D69,EF!$D$84:$D$99,0))*INDEX(EF!$H$100:$H$115,MATCH(Emissions!$D69,EF!$D$100:$D$115,0))*INDEX(EF!$H$116:$H$131,MATCH(Emissions!$D69,EF!$D$116:$D$131,0))*kgtoGg</f>
        <v>0</v>
      </c>
      <c r="AV69" s="22">
        <f>INDEX('Activity data'!AV$24:AV$39,MATCH(Emissions!$D69,'Activity data'!$D$24:$D$39,0))*INDEX(EF!$H$84:$H$99,MATCH(Emissions!$D69,EF!$D$84:$D$99,0))*INDEX(EF!$H$100:$H$115,MATCH(Emissions!$D69,EF!$D$100:$D$115,0))*INDEX(EF!$H$116:$H$131,MATCH(Emissions!$D69,EF!$D$116:$D$131,0))*kgtoGg</f>
        <v>0</v>
      </c>
      <c r="AW69" s="22">
        <f>INDEX('Activity data'!AW$24:AW$39,MATCH(Emissions!$D69,'Activity data'!$D$24:$D$39,0))*INDEX(EF!$H$84:$H$99,MATCH(Emissions!$D69,EF!$D$84:$D$99,0))*INDEX(EF!$H$100:$H$115,MATCH(Emissions!$D69,EF!$D$100:$D$115,0))*INDEX(EF!$H$116:$H$131,MATCH(Emissions!$D69,EF!$D$116:$D$131,0))*kgtoGg</f>
        <v>0</v>
      </c>
      <c r="AX69" s="22">
        <f>INDEX('Activity data'!AX$24:AX$39,MATCH(Emissions!$D69,'Activity data'!$D$24:$D$39,0))*INDEX(EF!$H$84:$H$99,MATCH(Emissions!$D69,EF!$D$84:$D$99,0))*INDEX(EF!$H$100:$H$115,MATCH(Emissions!$D69,EF!$D$100:$D$115,0))*INDEX(EF!$H$116:$H$131,MATCH(Emissions!$D69,EF!$D$116:$D$131,0))*kgtoGg</f>
        <v>0</v>
      </c>
      <c r="AY69" s="22">
        <f>INDEX('Activity data'!AY$24:AY$39,MATCH(Emissions!$D69,'Activity data'!$D$24:$D$39,0))*INDEX(EF!$H$84:$H$99,MATCH(Emissions!$D69,EF!$D$84:$D$99,0))*INDEX(EF!$H$100:$H$115,MATCH(Emissions!$D69,EF!$D$100:$D$115,0))*INDEX(EF!$H$116:$H$131,MATCH(Emissions!$D69,EF!$D$116:$D$131,0))*kgtoGg</f>
        <v>0</v>
      </c>
      <c r="AZ69" s="22">
        <f>INDEX('Activity data'!AZ$24:AZ$39,MATCH(Emissions!$D69,'Activity data'!$D$24:$D$39,0))*INDEX(EF!$H$84:$H$99,MATCH(Emissions!$D69,EF!$D$84:$D$99,0))*INDEX(EF!$H$100:$H$115,MATCH(Emissions!$D69,EF!$D$100:$D$115,0))*INDEX(EF!$H$116:$H$131,MATCH(Emissions!$D69,EF!$D$116:$D$131,0))*kgtoGg</f>
        <v>0</v>
      </c>
      <c r="BA69" s="22">
        <f>INDEX('Activity data'!BA$24:BA$39,MATCH(Emissions!$D69,'Activity data'!$D$24:$D$39,0))*INDEX(EF!$H$84:$H$99,MATCH(Emissions!$D69,EF!$D$84:$D$99,0))*INDEX(EF!$H$100:$H$115,MATCH(Emissions!$D69,EF!$D$100:$D$115,0))*INDEX(EF!$H$116:$H$131,MATCH(Emissions!$D69,EF!$D$116:$D$131,0))*kgtoGg</f>
        <v>0</v>
      </c>
      <c r="BB69" s="22">
        <f>INDEX('Activity data'!BB$24:BB$39,MATCH(Emissions!$D69,'Activity data'!$D$24:$D$39,0))*INDEX(EF!$H$84:$H$99,MATCH(Emissions!$D69,EF!$D$84:$D$99,0))*INDEX(EF!$H$100:$H$115,MATCH(Emissions!$D69,EF!$D$100:$D$115,0))*INDEX(EF!$H$116:$H$131,MATCH(Emissions!$D69,EF!$D$116:$D$131,0))*kgtoGg</f>
        <v>0</v>
      </c>
      <c r="BC69" s="22">
        <f>INDEX('Activity data'!BC$24:BC$39,MATCH(Emissions!$D69,'Activity data'!$D$24:$D$39,0))*INDEX(EF!$H$84:$H$99,MATCH(Emissions!$D69,EF!$D$84:$D$99,0))*INDEX(EF!$H$100:$H$115,MATCH(Emissions!$D69,EF!$D$100:$D$115,0))*INDEX(EF!$H$116:$H$131,MATCH(Emissions!$D69,EF!$D$116:$D$131,0))*kgtoGg</f>
        <v>0</v>
      </c>
      <c r="BD69" s="22">
        <f>INDEX('Activity data'!BD$24:BD$39,MATCH(Emissions!$D69,'Activity data'!$D$24:$D$39,0))*INDEX(EF!$H$84:$H$99,MATCH(Emissions!$D69,EF!$D$84:$D$99,0))*INDEX(EF!$H$100:$H$115,MATCH(Emissions!$D69,EF!$D$100:$D$115,0))*INDEX(EF!$H$116:$H$131,MATCH(Emissions!$D69,EF!$D$116:$D$131,0))*kgtoGg</f>
        <v>0</v>
      </c>
      <c r="BE69" s="22">
        <f>INDEX('Activity data'!BE$24:BE$39,MATCH(Emissions!$D69,'Activity data'!$D$24:$D$39,0))*INDEX(EF!$H$84:$H$99,MATCH(Emissions!$D69,EF!$D$84:$D$99,0))*INDEX(EF!$H$100:$H$115,MATCH(Emissions!$D69,EF!$D$100:$D$115,0))*INDEX(EF!$H$116:$H$131,MATCH(Emissions!$D69,EF!$D$116:$D$131,0))*kgtoGg</f>
        <v>0</v>
      </c>
      <c r="BF69" s="22">
        <f>INDEX('Activity data'!BF$24:BF$39,MATCH(Emissions!$D69,'Activity data'!$D$24:$D$39,0))*INDEX(EF!$H$84:$H$99,MATCH(Emissions!$D69,EF!$D$84:$D$99,0))*INDEX(EF!$H$100:$H$115,MATCH(Emissions!$D69,EF!$D$100:$D$115,0))*INDEX(EF!$H$116:$H$131,MATCH(Emissions!$D69,EF!$D$116:$D$131,0))*kgtoGg</f>
        <v>0</v>
      </c>
      <c r="BG69" s="22">
        <f>INDEX('Activity data'!BG$24:BG$39,MATCH(Emissions!$D69,'Activity data'!$D$24:$D$39,0))*INDEX(EF!$H$84:$H$99,MATCH(Emissions!$D69,EF!$D$84:$D$99,0))*INDEX(EF!$H$100:$H$115,MATCH(Emissions!$D69,EF!$D$100:$D$115,0))*INDEX(EF!$H$116:$H$131,MATCH(Emissions!$D69,EF!$D$116:$D$131,0))*kgtoGg</f>
        <v>0</v>
      </c>
      <c r="BH69" s="22">
        <f>INDEX('Activity data'!BH$24:BH$39,MATCH(Emissions!$D69,'Activity data'!$D$24:$D$39,0))*INDEX(EF!$H$84:$H$99,MATCH(Emissions!$D69,EF!$D$84:$D$99,0))*INDEX(EF!$H$100:$H$115,MATCH(Emissions!$D69,EF!$D$100:$D$115,0))*INDEX(EF!$H$116:$H$131,MATCH(Emissions!$D69,EF!$D$116:$D$131,0))*kgtoGg</f>
        <v>0</v>
      </c>
      <c r="BI69" s="22">
        <f>INDEX('Activity data'!BI$24:BI$39,MATCH(Emissions!$D69,'Activity data'!$D$24:$D$39,0))*INDEX(EF!$H$84:$H$99,MATCH(Emissions!$D69,EF!$D$84:$D$99,0))*INDEX(EF!$H$100:$H$115,MATCH(Emissions!$D69,EF!$D$100:$D$115,0))*INDEX(EF!$H$116:$H$131,MATCH(Emissions!$D69,EF!$D$116:$D$131,0))*kgtoGg</f>
        <v>0</v>
      </c>
      <c r="BJ69" s="22">
        <f>INDEX('Activity data'!BJ$24:BJ$39,MATCH(Emissions!$D69,'Activity data'!$D$24:$D$39,0))*INDEX(EF!$H$84:$H$99,MATCH(Emissions!$D69,EF!$D$84:$D$99,0))*INDEX(EF!$H$100:$H$115,MATCH(Emissions!$D69,EF!$D$100:$D$115,0))*INDEX(EF!$H$116:$H$131,MATCH(Emissions!$D69,EF!$D$116:$D$131,0))*kgtoGg</f>
        <v>0</v>
      </c>
      <c r="BK69" s="22">
        <f>INDEX('Activity data'!BK$24:BK$39,MATCH(Emissions!$D69,'Activity data'!$D$24:$D$39,0))*INDEX(EF!$H$84:$H$99,MATCH(Emissions!$D69,EF!$D$84:$D$99,0))*INDEX(EF!$H$100:$H$115,MATCH(Emissions!$D69,EF!$D$100:$D$115,0))*INDEX(EF!$H$116:$H$131,MATCH(Emissions!$D69,EF!$D$116:$D$131,0))*kgtoGg</f>
        <v>0</v>
      </c>
      <c r="BL69" s="22">
        <f>INDEX('Activity data'!BL$24:BL$39,MATCH(Emissions!$D69,'Activity data'!$D$24:$D$39,0))*INDEX(EF!$H$84:$H$99,MATCH(Emissions!$D69,EF!$D$84:$D$99,0))*INDEX(EF!$H$100:$H$115,MATCH(Emissions!$D69,EF!$D$100:$D$115,0))*INDEX(EF!$H$116:$H$131,MATCH(Emissions!$D69,EF!$D$116:$D$131,0))*kgtoGg</f>
        <v>0</v>
      </c>
      <c r="BM69" s="22">
        <f>INDEX('Activity data'!BM$24:BM$39,MATCH(Emissions!$D69,'Activity data'!$D$24:$D$39,0))*INDEX(EF!$H$84:$H$99,MATCH(Emissions!$D69,EF!$D$84:$D$99,0))*INDEX(EF!$H$100:$H$115,MATCH(Emissions!$D69,EF!$D$100:$D$115,0))*INDEX(EF!$H$116:$H$131,MATCH(Emissions!$D69,EF!$D$116:$D$131,0))*kgtoGg</f>
        <v>0</v>
      </c>
      <c r="BN69" s="22">
        <f>INDEX('Activity data'!BN$24:BN$39,MATCH(Emissions!$D69,'Activity data'!$D$24:$D$39,0))*INDEX(EF!$H$84:$H$99,MATCH(Emissions!$D69,EF!$D$84:$D$99,0))*INDEX(EF!$H$100:$H$115,MATCH(Emissions!$D69,EF!$D$100:$D$115,0))*INDEX(EF!$H$116:$H$131,MATCH(Emissions!$D69,EF!$D$116:$D$131,0))*kgtoGg</f>
        <v>0</v>
      </c>
      <c r="BO69" s="22">
        <f>INDEX('Activity data'!BO$24:BO$39,MATCH(Emissions!$D69,'Activity data'!$D$24:$D$39,0))*INDEX(EF!$H$84:$H$99,MATCH(Emissions!$D69,EF!$D$84:$D$99,0))*INDEX(EF!$H$100:$H$115,MATCH(Emissions!$D69,EF!$D$100:$D$115,0))*INDEX(EF!$H$116:$H$131,MATCH(Emissions!$D69,EF!$D$116:$D$131,0))*kgtoGg</f>
        <v>0</v>
      </c>
      <c r="BP69" s="22">
        <f>INDEX('Activity data'!BP$24:BP$39,MATCH(Emissions!$D69,'Activity data'!$D$24:$D$39,0))*INDEX(EF!$H$84:$H$99,MATCH(Emissions!$D69,EF!$D$84:$D$99,0))*INDEX(EF!$H$100:$H$115,MATCH(Emissions!$D69,EF!$D$100:$D$115,0))*INDEX(EF!$H$116:$H$131,MATCH(Emissions!$D69,EF!$D$116:$D$131,0))*kgtoGg</f>
        <v>0</v>
      </c>
    </row>
    <row r="70" spans="1:68" x14ac:dyDescent="0.25">
      <c r="A70" t="str">
        <f t="shared" si="19"/>
        <v>3C Aggregated and non-CO2 emissions on land</v>
      </c>
      <c r="B70" t="str">
        <f>'IPCC Categories'!B65</f>
        <v>3C1 Biomass burning (N2O)</v>
      </c>
      <c r="C70" t="str">
        <f>C54</f>
        <v>3C1a Biomass burning in forest land</v>
      </c>
      <c r="D70" t="str">
        <f>EF!D100</f>
        <v>Indigenous forests</v>
      </c>
      <c r="E70" t="s">
        <v>640</v>
      </c>
      <c r="F70" t="s">
        <v>139</v>
      </c>
      <c r="G70" t="s">
        <v>287</v>
      </c>
      <c r="H70" s="22">
        <f>INDEX('Activity data'!H$24:H$39,MATCH(Emissions!$D70,'Activity data'!$D$24:$D$39,0))*INDEX(EF!$H$84:$H$99,MATCH(Emissions!$D70,EF!$D$84:$D$99,0))*INDEX(EF!$H$100:$H$115,MATCH(Emissions!$D70,EF!$D$100:$D$115,0))*INDEX(EF!$H$132:$H$147,MATCH(Emissions!$D70,EF!$D$132:$D$147,0))*kgtoGg</f>
        <v>7.1698949255307107E-2</v>
      </c>
      <c r="I70" s="22">
        <f>INDEX('Activity data'!I$24:I$39,MATCH(Emissions!$D70,'Activity data'!$D$24:$D$39,0))*INDEX(EF!$H$84:$H$99,MATCH(Emissions!$D70,EF!$D$84:$D$99,0))*INDEX(EF!$H$100:$H$115,MATCH(Emissions!$D70,EF!$D$100:$D$115,0))*INDEX(EF!$H$132:$H$147,MATCH(Emissions!$D70,EF!$D$132:$D$147,0))*kgtoGg</f>
        <v>7.1698949255307107E-2</v>
      </c>
      <c r="J70" s="22">
        <f>INDEX('Activity data'!J$24:J$39,MATCH(Emissions!$D70,'Activity data'!$D$24:$D$39,0))*INDEX(EF!$H$84:$H$99,MATCH(Emissions!$D70,EF!$D$84:$D$99,0))*INDEX(EF!$H$100:$H$115,MATCH(Emissions!$D70,EF!$D$100:$D$115,0))*INDEX(EF!$H$132:$H$147,MATCH(Emissions!$D70,EF!$D$132:$D$147,0))*kgtoGg</f>
        <v>7.1698949255307107E-2</v>
      </c>
      <c r="K70" s="22">
        <f>INDEX('Activity data'!K$24:K$39,MATCH(Emissions!$D70,'Activity data'!$D$24:$D$39,0))*INDEX(EF!$H$84:$H$99,MATCH(Emissions!$D70,EF!$D$84:$D$99,0))*INDEX(EF!$H$100:$H$115,MATCH(Emissions!$D70,EF!$D$100:$D$115,0))*INDEX(EF!$H$132:$H$147,MATCH(Emissions!$D70,EF!$D$132:$D$147,0))*kgtoGg</f>
        <v>7.1698949255307107E-2</v>
      </c>
      <c r="L70" s="22">
        <f>INDEX('Activity data'!L$24:L$39,MATCH(Emissions!$D70,'Activity data'!$D$24:$D$39,0))*INDEX(EF!$H$84:$H$99,MATCH(Emissions!$D70,EF!$D$84:$D$99,0))*INDEX(EF!$H$100:$H$115,MATCH(Emissions!$D70,EF!$D$100:$D$115,0))*INDEX(EF!$H$132:$H$147,MATCH(Emissions!$D70,EF!$D$132:$D$147,0))*kgtoGg</f>
        <v>7.1698949255307107E-2</v>
      </c>
      <c r="M70" s="22">
        <f>INDEX('Activity data'!M$24:M$39,MATCH(Emissions!$D70,'Activity data'!$D$24:$D$39,0))*INDEX(EF!$H$84:$H$99,MATCH(Emissions!$D70,EF!$D$84:$D$99,0))*INDEX(EF!$H$100:$H$115,MATCH(Emissions!$D70,EF!$D$100:$D$115,0))*INDEX(EF!$H$132:$H$147,MATCH(Emissions!$D70,EF!$D$132:$D$147,0))*kgtoGg</f>
        <v>7.1698949255307107E-2</v>
      </c>
      <c r="N70" s="22">
        <f>INDEX('Activity data'!N$24:N$39,MATCH(Emissions!$D70,'Activity data'!$D$24:$D$39,0))*INDEX(EF!$H$84:$H$99,MATCH(Emissions!$D70,EF!$D$84:$D$99,0))*INDEX(EF!$H$100:$H$115,MATCH(Emissions!$D70,EF!$D$100:$D$115,0))*INDEX(EF!$H$132:$H$147,MATCH(Emissions!$D70,EF!$D$132:$D$147,0))*kgtoGg</f>
        <v>7.1698949255307107E-2</v>
      </c>
      <c r="O70" s="22">
        <f>INDEX('Activity data'!O$24:O$39,MATCH(Emissions!$D70,'Activity data'!$D$24:$D$39,0))*INDEX(EF!$H$84:$H$99,MATCH(Emissions!$D70,EF!$D$84:$D$99,0))*INDEX(EF!$H$100:$H$115,MATCH(Emissions!$D70,EF!$D$100:$D$115,0))*INDEX(EF!$H$132:$H$147,MATCH(Emissions!$D70,EF!$D$132:$D$147,0))*kgtoGg</f>
        <v>7.1698949255307107E-2</v>
      </c>
      <c r="P70" s="22">
        <f>INDEX('Activity data'!P$24:P$39,MATCH(Emissions!$D70,'Activity data'!$D$24:$D$39,0))*INDEX(EF!$H$84:$H$99,MATCH(Emissions!$D70,EF!$D$84:$D$99,0))*INDEX(EF!$H$100:$H$115,MATCH(Emissions!$D70,EF!$D$100:$D$115,0))*INDEX(EF!$H$132:$H$147,MATCH(Emissions!$D70,EF!$D$132:$D$147,0))*kgtoGg</f>
        <v>7.1698949255307107E-2</v>
      </c>
      <c r="Q70" s="22">
        <f>INDEX('Activity data'!Q$24:Q$39,MATCH(Emissions!$D70,'Activity data'!$D$24:$D$39,0))*INDEX(EF!$H$84:$H$99,MATCH(Emissions!$D70,EF!$D$84:$D$99,0))*INDEX(EF!$H$100:$H$115,MATCH(Emissions!$D70,EF!$D$100:$D$115,0))*INDEX(EF!$H$132:$H$147,MATCH(Emissions!$D70,EF!$D$132:$D$147,0))*kgtoGg</f>
        <v>7.1698949255307107E-2</v>
      </c>
      <c r="R70" s="22">
        <f>INDEX('Activity data'!R$24:R$39,MATCH(Emissions!$D70,'Activity data'!$D$24:$D$39,0))*INDEX(EF!$H$84:$H$99,MATCH(Emissions!$D70,EF!$D$84:$D$99,0))*INDEX(EF!$H$100:$H$115,MATCH(Emissions!$D70,EF!$D$100:$D$115,0))*INDEX(EF!$H$132:$H$147,MATCH(Emissions!$D70,EF!$D$132:$D$147,0))*kgtoGg</f>
        <v>6.6163543298883465E-2</v>
      </c>
      <c r="S70" s="22">
        <f>INDEX('Activity data'!S$24:S$39,MATCH(Emissions!$D70,'Activity data'!$D$24:$D$39,0))*INDEX(EF!$H$84:$H$99,MATCH(Emissions!$D70,EF!$D$84:$D$99,0))*INDEX(EF!$H$100:$H$115,MATCH(Emissions!$D70,EF!$D$100:$D$115,0))*INDEX(EF!$H$132:$H$147,MATCH(Emissions!$D70,EF!$D$132:$D$147,0))*kgtoGg</f>
        <v>7.3647032038254498E-2</v>
      </c>
      <c r="T70" s="22">
        <f>INDEX('Activity data'!T$24:T$39,MATCH(Emissions!$D70,'Activity data'!$D$24:$D$39,0))*INDEX(EF!$H$84:$H$99,MATCH(Emissions!$D70,EF!$D$84:$D$99,0))*INDEX(EF!$H$100:$H$115,MATCH(Emissions!$D70,EF!$D$100:$D$115,0))*INDEX(EF!$H$132:$H$147,MATCH(Emissions!$D70,EF!$D$132:$D$147,0))*kgtoGg</f>
        <v>6.7351398654339173E-2</v>
      </c>
      <c r="U70" s="22">
        <f>INDEX('Activity data'!U$24:U$39,MATCH(Emissions!$D70,'Activity data'!$D$24:$D$39,0))*INDEX(EF!$H$84:$H$99,MATCH(Emissions!$D70,EF!$D$84:$D$99,0))*INDEX(EF!$H$100:$H$115,MATCH(Emissions!$D70,EF!$D$100:$D$115,0))*INDEX(EF!$H$132:$H$147,MATCH(Emissions!$D70,EF!$D$132:$D$147,0))*kgtoGg</f>
        <v>8.4931657915083808E-2</v>
      </c>
      <c r="V70" s="22">
        <f>INDEX('Activity data'!V$24:V$39,MATCH(Emissions!$D70,'Activity data'!$D$24:$D$39,0))*INDEX(EF!$H$84:$H$99,MATCH(Emissions!$D70,EF!$D$84:$D$99,0))*INDEX(EF!$H$100:$H$115,MATCH(Emissions!$D70,EF!$D$100:$D$115,0))*INDEX(EF!$H$132:$H$147,MATCH(Emissions!$D70,EF!$D$132:$D$147,0))*kgtoGg</f>
        <v>6.6401114369974604E-2</v>
      </c>
      <c r="W70" s="22">
        <f>INDEX('Activity data'!W$24:W$39,MATCH(Emissions!$D70,'Activity data'!$D$24:$D$39,0))*INDEX(EF!$H$84:$H$99,MATCH(Emissions!$D70,EF!$D$84:$D$99,0))*INDEX(EF!$H$100:$H$115,MATCH(Emissions!$D70,EF!$D$100:$D$115,0))*INDEX(EF!$H$132:$H$147,MATCH(Emissions!$D70,EF!$D$132:$D$147,0))*kgtoGg</f>
        <v>8.7307368625995224E-2</v>
      </c>
      <c r="X70" s="22">
        <f>INDEX('Activity data'!X$24:X$39,MATCH(Emissions!$D70,'Activity data'!$D$24:$D$39,0))*INDEX(EF!$H$84:$H$99,MATCH(Emissions!$D70,EF!$D$84:$D$99,0))*INDEX(EF!$H$100:$H$115,MATCH(Emissions!$D70,EF!$D$100:$D$115,0))*INDEX(EF!$H$132:$H$147,MATCH(Emissions!$D70,EF!$D$132:$D$147,0))*kgtoGg</f>
        <v>7.7923311317895039E-2</v>
      </c>
      <c r="Y70" s="22">
        <f>INDEX('Activity data'!Y$24:Y$39,MATCH(Emissions!$D70,'Activity data'!$D$24:$D$39,0))*INDEX(EF!$H$84:$H$99,MATCH(Emissions!$D70,EF!$D$84:$D$99,0))*INDEX(EF!$H$100:$H$115,MATCH(Emissions!$D70,EF!$D$100:$D$115,0))*INDEX(EF!$H$132:$H$147,MATCH(Emissions!$D70,EF!$D$132:$D$147,0))*kgtoGg</f>
        <v>0.10191798949810055</v>
      </c>
      <c r="Z70" s="22">
        <f>INDEX('Activity data'!Z$24:Z$39,MATCH(Emissions!$D70,'Activity data'!$D$24:$D$39,0))*INDEX(EF!$H$84:$H$99,MATCH(Emissions!$D70,EF!$D$84:$D$99,0))*INDEX(EF!$H$100:$H$115,MATCH(Emissions!$D70,EF!$D$100:$D$115,0))*INDEX(EF!$H$132:$H$147,MATCH(Emissions!$D70,EF!$D$132:$D$147,0))*kgtoGg</f>
        <v>8.5288014521720509E-2</v>
      </c>
      <c r="AA70" s="22">
        <f>INDEX('Activity data'!AA$24:AA$39,MATCH(Emissions!$D70,'Activity data'!$D$24:$D$39,0))*INDEX(EF!$H$84:$H$99,MATCH(Emissions!$D70,EF!$D$84:$D$99,0))*INDEX(EF!$H$100:$H$115,MATCH(Emissions!$D70,EF!$D$100:$D$115,0))*INDEX(EF!$H$132:$H$147,MATCH(Emissions!$D70,EF!$D$132:$D$147,0))*kgtoGg</f>
        <v>8.4100159166264801E-2</v>
      </c>
      <c r="AB70" s="22">
        <f>INDEX('Activity data'!AB$24:AB$39,MATCH(Emissions!$D70,'Activity data'!$D$24:$D$39,0))*INDEX(EF!$H$84:$H$99,MATCH(Emissions!$D70,EF!$D$84:$D$99,0))*INDEX(EF!$H$100:$H$115,MATCH(Emissions!$D70,EF!$D$100:$D$115,0))*INDEX(EF!$H$132:$H$147,MATCH(Emissions!$D70,EF!$D$132:$D$147,0))*kgtoGg</f>
        <v>6.8956842239999996E-2</v>
      </c>
      <c r="AC70" s="22">
        <f>INDEX('Activity data'!AC$24:AC$39,MATCH(Emissions!$D70,'Activity data'!$D$24:$D$39,0))*INDEX(EF!$H$84:$H$99,MATCH(Emissions!$D70,EF!$D$84:$D$99,0))*INDEX(EF!$H$100:$H$115,MATCH(Emissions!$D70,EF!$D$100:$D$115,0))*INDEX(EF!$H$132:$H$147,MATCH(Emissions!$D70,EF!$D$132:$D$147,0))*kgtoGg</f>
        <v>5.1697708920000009E-2</v>
      </c>
      <c r="AD70" s="22">
        <f>INDEX('Activity data'!AD$24:AD$39,MATCH(Emissions!$D70,'Activity data'!$D$24:$D$39,0))*INDEX(EF!$H$84:$H$99,MATCH(Emissions!$D70,EF!$D$84:$D$99,0))*INDEX(EF!$H$100:$H$115,MATCH(Emissions!$D70,EF!$D$100:$D$115,0))*INDEX(EF!$H$132:$H$147,MATCH(Emissions!$D70,EF!$D$132:$D$147,0))*kgtoGg</f>
        <v>6.9999126484672408E-2</v>
      </c>
      <c r="AE70" s="22">
        <f>INDEX('Activity data'!AE$24:AE$39,MATCH(Emissions!$D70,'Activity data'!$D$24:$D$39,0))*INDEX(EF!$H$84:$H$99,MATCH(Emissions!$D70,EF!$D$84:$D$99,0))*INDEX(EF!$H$100:$H$115,MATCH(Emissions!$D70,EF!$D$100:$D$115,0))*INDEX(EF!$H$132:$H$147,MATCH(Emissions!$D70,EF!$D$132:$D$147,0))*kgtoGg</f>
        <v>6.9969256669183813E-2</v>
      </c>
      <c r="AF70" s="22">
        <f>INDEX('Activity data'!AF$24:AF$39,MATCH(Emissions!$D70,'Activity data'!$D$24:$D$39,0))*INDEX(EF!$H$84:$H$99,MATCH(Emissions!$D70,EF!$D$84:$D$99,0))*INDEX(EF!$H$100:$H$115,MATCH(Emissions!$D70,EF!$D$100:$D$115,0))*INDEX(EF!$H$132:$H$147,MATCH(Emissions!$D70,EF!$D$132:$D$147,0))*kgtoGg</f>
        <v>6.9939386853695204E-2</v>
      </c>
      <c r="AG70" s="22">
        <f>INDEX('Activity data'!AG$24:AG$39,MATCH(Emissions!$D70,'Activity data'!$D$24:$D$39,0))*INDEX(EF!$H$84:$H$99,MATCH(Emissions!$D70,EF!$D$84:$D$99,0))*INDEX(EF!$H$100:$H$115,MATCH(Emissions!$D70,EF!$D$100:$D$115,0))*INDEX(EF!$H$132:$H$147,MATCH(Emissions!$D70,EF!$D$132:$D$147,0))*kgtoGg</f>
        <v>6.9909517038206595E-2</v>
      </c>
      <c r="AH70" s="22">
        <f>INDEX('Activity data'!AH$24:AH$39,MATCH(Emissions!$D70,'Activity data'!$D$24:$D$39,0))*INDEX(EF!$H$84:$H$99,MATCH(Emissions!$D70,EF!$D$84:$D$99,0))*INDEX(EF!$H$100:$H$115,MATCH(Emissions!$D70,EF!$D$100:$D$115,0))*INDEX(EF!$H$132:$H$147,MATCH(Emissions!$D70,EF!$D$132:$D$147,0))*kgtoGg</f>
        <v>6.9879647222718E-2</v>
      </c>
      <c r="AI70" s="22">
        <f>INDEX('Activity data'!AI$24:AI$39,MATCH(Emissions!$D70,'Activity data'!$D$24:$D$39,0))*INDEX(EF!$H$84:$H$99,MATCH(Emissions!$D70,EF!$D$84:$D$99,0))*INDEX(EF!$H$100:$H$115,MATCH(Emissions!$D70,EF!$D$100:$D$115,0))*INDEX(EF!$H$132:$H$147,MATCH(Emissions!$D70,EF!$D$132:$D$147,0))*kgtoGg</f>
        <v>6.9849777407229377E-2</v>
      </c>
      <c r="AJ70" s="22">
        <f>INDEX('Activity data'!AJ$24:AJ$39,MATCH(Emissions!$D70,'Activity data'!$D$24:$D$39,0))*INDEX(EF!$H$84:$H$99,MATCH(Emissions!$D70,EF!$D$84:$D$99,0))*INDEX(EF!$H$100:$H$115,MATCH(Emissions!$D70,EF!$D$100:$D$115,0))*INDEX(EF!$H$132:$H$147,MATCH(Emissions!$D70,EF!$D$132:$D$147,0))*kgtoGg</f>
        <v>6.9819907591740768E-2</v>
      </c>
      <c r="AK70" s="22">
        <f>INDEX('Activity data'!AK$24:AK$39,MATCH(Emissions!$D70,'Activity data'!$D$24:$D$39,0))*INDEX(EF!$H$84:$H$99,MATCH(Emissions!$D70,EF!$D$84:$D$99,0))*INDEX(EF!$H$100:$H$115,MATCH(Emissions!$D70,EF!$D$100:$D$115,0))*INDEX(EF!$H$132:$H$147,MATCH(Emissions!$D70,EF!$D$132:$D$147,0))*kgtoGg</f>
        <v>6.9790037776252159E-2</v>
      </c>
      <c r="AL70" s="22">
        <f>INDEX('Activity data'!AL$24:AL$39,MATCH(Emissions!$D70,'Activity data'!$D$24:$D$39,0))*INDEX(EF!$H$84:$H$99,MATCH(Emissions!$D70,EF!$D$84:$D$99,0))*INDEX(EF!$H$100:$H$115,MATCH(Emissions!$D70,EF!$D$100:$D$115,0))*INDEX(EF!$H$132:$H$147,MATCH(Emissions!$D70,EF!$D$132:$D$147,0))*kgtoGg</f>
        <v>6.9760167960763578E-2</v>
      </c>
      <c r="AM70" s="22">
        <f>INDEX('Activity data'!AM$24:AM$39,MATCH(Emissions!$D70,'Activity data'!$D$24:$D$39,0))*INDEX(EF!$H$84:$H$99,MATCH(Emissions!$D70,EF!$D$84:$D$99,0))*INDEX(EF!$H$100:$H$115,MATCH(Emissions!$D70,EF!$D$100:$D$115,0))*INDEX(EF!$H$132:$H$147,MATCH(Emissions!$D70,EF!$D$132:$D$147,0))*kgtoGg</f>
        <v>6.9730298145274969E-2</v>
      </c>
      <c r="AN70" s="22">
        <f>INDEX('Activity data'!AN$24:AN$39,MATCH(Emissions!$D70,'Activity data'!$D$24:$D$39,0))*INDEX(EF!$H$84:$H$99,MATCH(Emissions!$D70,EF!$D$84:$D$99,0))*INDEX(EF!$H$100:$H$115,MATCH(Emissions!$D70,EF!$D$100:$D$115,0))*INDEX(EF!$H$132:$H$147,MATCH(Emissions!$D70,EF!$D$132:$D$147,0))*kgtoGg</f>
        <v>6.9700428329786346E-2</v>
      </c>
      <c r="AO70" s="22">
        <f>INDEX('Activity data'!AO$24:AO$39,MATCH(Emissions!$D70,'Activity data'!$D$24:$D$39,0))*INDEX(EF!$H$84:$H$99,MATCH(Emissions!$D70,EF!$D$84:$D$99,0))*INDEX(EF!$H$100:$H$115,MATCH(Emissions!$D70,EF!$D$100:$D$115,0))*INDEX(EF!$H$132:$H$147,MATCH(Emissions!$D70,EF!$D$132:$D$147,0))*kgtoGg</f>
        <v>6.9670558514297751E-2</v>
      </c>
      <c r="AP70" s="22">
        <f>INDEX('Activity data'!AP$24:AP$39,MATCH(Emissions!$D70,'Activity data'!$D$24:$D$39,0))*INDEX(EF!$H$84:$H$99,MATCH(Emissions!$D70,EF!$D$84:$D$99,0))*INDEX(EF!$H$100:$H$115,MATCH(Emissions!$D70,EF!$D$100:$D$115,0))*INDEX(EF!$H$132:$H$147,MATCH(Emissions!$D70,EF!$D$132:$D$147,0))*kgtoGg</f>
        <v>6.9640688698809156E-2</v>
      </c>
      <c r="AQ70" s="22">
        <f>INDEX('Activity data'!AQ$24:AQ$39,MATCH(Emissions!$D70,'Activity data'!$D$24:$D$39,0))*INDEX(EF!$H$84:$H$99,MATCH(Emissions!$D70,EF!$D$84:$D$99,0))*INDEX(EF!$H$100:$H$115,MATCH(Emissions!$D70,EF!$D$100:$D$115,0))*INDEX(EF!$H$132:$H$147,MATCH(Emissions!$D70,EF!$D$132:$D$147,0))*kgtoGg</f>
        <v>6.9610818883320533E-2</v>
      </c>
      <c r="AR70" s="22">
        <f>INDEX('Activity data'!AR$24:AR$39,MATCH(Emissions!$D70,'Activity data'!$D$24:$D$39,0))*INDEX(EF!$H$84:$H$99,MATCH(Emissions!$D70,EF!$D$84:$D$99,0))*INDEX(EF!$H$100:$H$115,MATCH(Emissions!$D70,EF!$D$100:$D$115,0))*INDEX(EF!$H$132:$H$147,MATCH(Emissions!$D70,EF!$D$132:$D$147,0))*kgtoGg</f>
        <v>6.9580949067831938E-2</v>
      </c>
      <c r="AS70" s="22">
        <f>INDEX('Activity data'!AS$24:AS$39,MATCH(Emissions!$D70,'Activity data'!$D$24:$D$39,0))*INDEX(EF!$H$84:$H$99,MATCH(Emissions!$D70,EF!$D$84:$D$99,0))*INDEX(EF!$H$100:$H$115,MATCH(Emissions!$D70,EF!$D$100:$D$115,0))*INDEX(EF!$H$132:$H$147,MATCH(Emissions!$D70,EF!$D$132:$D$147,0))*kgtoGg</f>
        <v>6.9551079252343315E-2</v>
      </c>
      <c r="AT70" s="22">
        <f>INDEX('Activity data'!AT$24:AT$39,MATCH(Emissions!$D70,'Activity data'!$D$24:$D$39,0))*INDEX(EF!$H$84:$H$99,MATCH(Emissions!$D70,EF!$D$84:$D$99,0))*INDEX(EF!$H$100:$H$115,MATCH(Emissions!$D70,EF!$D$100:$D$115,0))*INDEX(EF!$H$132:$H$147,MATCH(Emissions!$D70,EF!$D$132:$D$147,0))*kgtoGg</f>
        <v>6.9521209436854706E-2</v>
      </c>
      <c r="AU70" s="22">
        <f>INDEX('Activity data'!AU$24:AU$39,MATCH(Emissions!$D70,'Activity data'!$D$24:$D$39,0))*INDEX(EF!$H$84:$H$99,MATCH(Emissions!$D70,EF!$D$84:$D$99,0))*INDEX(EF!$H$100:$H$115,MATCH(Emissions!$D70,EF!$D$100:$D$115,0))*INDEX(EF!$H$132:$H$147,MATCH(Emissions!$D70,EF!$D$132:$D$147,0))*kgtoGg</f>
        <v>6.9491339621366111E-2</v>
      </c>
      <c r="AV70" s="22">
        <f>INDEX('Activity data'!AV$24:AV$39,MATCH(Emissions!$D70,'Activity data'!$D$24:$D$39,0))*INDEX(EF!$H$84:$H$99,MATCH(Emissions!$D70,EF!$D$84:$D$99,0))*INDEX(EF!$H$100:$H$115,MATCH(Emissions!$D70,EF!$D$100:$D$115,0))*INDEX(EF!$H$132:$H$147,MATCH(Emissions!$D70,EF!$D$132:$D$147,0))*kgtoGg</f>
        <v>6.9461469805877502E-2</v>
      </c>
      <c r="AW70" s="22">
        <f>INDEX('Activity data'!AW$24:AW$39,MATCH(Emissions!$D70,'Activity data'!$D$24:$D$39,0))*INDEX(EF!$H$84:$H$99,MATCH(Emissions!$D70,EF!$D$84:$D$99,0))*INDEX(EF!$H$100:$H$115,MATCH(Emissions!$D70,EF!$D$100:$D$115,0))*INDEX(EF!$H$132:$H$147,MATCH(Emissions!$D70,EF!$D$132:$D$147,0))*kgtoGg</f>
        <v>6.9431599990388893E-2</v>
      </c>
      <c r="AX70" s="22">
        <f>INDEX('Activity data'!AX$24:AX$39,MATCH(Emissions!$D70,'Activity data'!$D$24:$D$39,0))*INDEX(EF!$H$84:$H$99,MATCH(Emissions!$D70,EF!$D$84:$D$99,0))*INDEX(EF!$H$100:$H$115,MATCH(Emissions!$D70,EF!$D$100:$D$115,0))*INDEX(EF!$H$132:$H$147,MATCH(Emissions!$D70,EF!$D$132:$D$147,0))*kgtoGg</f>
        <v>6.9401730174900297E-2</v>
      </c>
      <c r="AY70" s="22">
        <f>INDEX('Activity data'!AY$24:AY$39,MATCH(Emissions!$D70,'Activity data'!$D$24:$D$39,0))*INDEX(EF!$H$84:$H$99,MATCH(Emissions!$D70,EF!$D$84:$D$99,0))*INDEX(EF!$H$100:$H$115,MATCH(Emissions!$D70,EF!$D$100:$D$115,0))*INDEX(EF!$H$132:$H$147,MATCH(Emissions!$D70,EF!$D$132:$D$147,0))*kgtoGg</f>
        <v>6.9371860359411688E-2</v>
      </c>
      <c r="AZ70" s="22">
        <f>INDEX('Activity data'!AZ$24:AZ$39,MATCH(Emissions!$D70,'Activity data'!$D$24:$D$39,0))*INDEX(EF!$H$84:$H$99,MATCH(Emissions!$D70,EF!$D$84:$D$99,0))*INDEX(EF!$H$100:$H$115,MATCH(Emissions!$D70,EF!$D$100:$D$115,0))*INDEX(EF!$H$132:$H$147,MATCH(Emissions!$D70,EF!$D$132:$D$147,0))*kgtoGg</f>
        <v>6.9341990543923093E-2</v>
      </c>
      <c r="BA70" s="22">
        <f>INDEX('Activity data'!BA$24:BA$39,MATCH(Emissions!$D70,'Activity data'!$D$24:$D$39,0))*INDEX(EF!$H$84:$H$99,MATCH(Emissions!$D70,EF!$D$84:$D$99,0))*INDEX(EF!$H$100:$H$115,MATCH(Emissions!$D70,EF!$D$100:$D$115,0))*INDEX(EF!$H$132:$H$147,MATCH(Emissions!$D70,EF!$D$132:$D$147,0))*kgtoGg</f>
        <v>6.931212072843447E-2</v>
      </c>
      <c r="BB70" s="22">
        <f>INDEX('Activity data'!BB$24:BB$39,MATCH(Emissions!$D70,'Activity data'!$D$24:$D$39,0))*INDEX(EF!$H$84:$H$99,MATCH(Emissions!$D70,EF!$D$84:$D$99,0))*INDEX(EF!$H$100:$H$115,MATCH(Emissions!$D70,EF!$D$100:$D$115,0))*INDEX(EF!$H$132:$H$147,MATCH(Emissions!$D70,EF!$D$132:$D$147,0))*kgtoGg</f>
        <v>6.9282250912945875E-2</v>
      </c>
      <c r="BC70" s="22">
        <f>INDEX('Activity data'!BC$24:BC$39,MATCH(Emissions!$D70,'Activity data'!$D$24:$D$39,0))*INDEX(EF!$H$84:$H$99,MATCH(Emissions!$D70,EF!$D$84:$D$99,0))*INDEX(EF!$H$100:$H$115,MATCH(Emissions!$D70,EF!$D$100:$D$115,0))*INDEX(EF!$H$132:$H$147,MATCH(Emissions!$D70,EF!$D$132:$D$147,0))*kgtoGg</f>
        <v>6.9252381097457266E-2</v>
      </c>
      <c r="BD70" s="22">
        <f>INDEX('Activity data'!BD$24:BD$39,MATCH(Emissions!$D70,'Activity data'!$D$24:$D$39,0))*INDEX(EF!$H$84:$H$99,MATCH(Emissions!$D70,EF!$D$84:$D$99,0))*INDEX(EF!$H$100:$H$115,MATCH(Emissions!$D70,EF!$D$100:$D$115,0))*INDEX(EF!$H$132:$H$147,MATCH(Emissions!$D70,EF!$D$132:$D$147,0))*kgtoGg</f>
        <v>6.9222511281968643E-2</v>
      </c>
      <c r="BE70" s="22">
        <f>INDEX('Activity data'!BE$24:BE$39,MATCH(Emissions!$D70,'Activity data'!$D$24:$D$39,0))*INDEX(EF!$H$84:$H$99,MATCH(Emissions!$D70,EF!$D$84:$D$99,0))*INDEX(EF!$H$100:$H$115,MATCH(Emissions!$D70,EF!$D$100:$D$115,0))*INDEX(EF!$H$132:$H$147,MATCH(Emissions!$D70,EF!$D$132:$D$147,0))*kgtoGg</f>
        <v>6.9192641466480048E-2</v>
      </c>
      <c r="BF70" s="22">
        <f>INDEX('Activity data'!BF$24:BF$39,MATCH(Emissions!$D70,'Activity data'!$D$24:$D$39,0))*INDEX(EF!$H$84:$H$99,MATCH(Emissions!$D70,EF!$D$84:$D$99,0))*INDEX(EF!$H$100:$H$115,MATCH(Emissions!$D70,EF!$D$100:$D$115,0))*INDEX(EF!$H$132:$H$147,MATCH(Emissions!$D70,EF!$D$132:$D$147,0))*kgtoGg</f>
        <v>6.9162771650991453E-2</v>
      </c>
      <c r="BG70" s="22">
        <f>INDEX('Activity data'!BG$24:BG$39,MATCH(Emissions!$D70,'Activity data'!$D$24:$D$39,0))*INDEX(EF!$H$84:$H$99,MATCH(Emissions!$D70,EF!$D$84:$D$99,0))*INDEX(EF!$H$100:$H$115,MATCH(Emissions!$D70,EF!$D$100:$D$115,0))*INDEX(EF!$H$132:$H$147,MATCH(Emissions!$D70,EF!$D$132:$D$147,0))*kgtoGg</f>
        <v>6.913290183550283E-2</v>
      </c>
      <c r="BH70" s="22">
        <f>INDEX('Activity data'!BH$24:BH$39,MATCH(Emissions!$D70,'Activity data'!$D$24:$D$39,0))*INDEX(EF!$H$84:$H$99,MATCH(Emissions!$D70,EF!$D$84:$D$99,0))*INDEX(EF!$H$100:$H$115,MATCH(Emissions!$D70,EF!$D$100:$D$115,0))*INDEX(EF!$H$132:$H$147,MATCH(Emissions!$D70,EF!$D$132:$D$147,0))*kgtoGg</f>
        <v>6.9103032020014235E-2</v>
      </c>
      <c r="BI70" s="22">
        <f>INDEX('Activity data'!BI$24:BI$39,MATCH(Emissions!$D70,'Activity data'!$D$24:$D$39,0))*INDEX(EF!$H$84:$H$99,MATCH(Emissions!$D70,EF!$D$84:$D$99,0))*INDEX(EF!$H$100:$H$115,MATCH(Emissions!$D70,EF!$D$100:$D$115,0))*INDEX(EF!$H$132:$H$147,MATCH(Emissions!$D70,EF!$D$132:$D$147,0))*kgtoGg</f>
        <v>6.9073162204525626E-2</v>
      </c>
      <c r="BJ70" s="22">
        <f>INDEX('Activity data'!BJ$24:BJ$39,MATCH(Emissions!$D70,'Activity data'!$D$24:$D$39,0))*INDEX(EF!$H$84:$H$99,MATCH(Emissions!$D70,EF!$D$84:$D$99,0))*INDEX(EF!$H$100:$H$115,MATCH(Emissions!$D70,EF!$D$100:$D$115,0))*INDEX(EF!$H$132:$H$147,MATCH(Emissions!$D70,EF!$D$132:$D$147,0))*kgtoGg</f>
        <v>6.9043292389037031E-2</v>
      </c>
      <c r="BK70" s="22">
        <f>INDEX('Activity data'!BK$24:BK$39,MATCH(Emissions!$D70,'Activity data'!$D$24:$D$39,0))*INDEX(EF!$H$84:$H$99,MATCH(Emissions!$D70,EF!$D$84:$D$99,0))*INDEX(EF!$H$100:$H$115,MATCH(Emissions!$D70,EF!$D$100:$D$115,0))*INDEX(EF!$H$132:$H$147,MATCH(Emissions!$D70,EF!$D$132:$D$147,0))*kgtoGg</f>
        <v>6.9013422573548422E-2</v>
      </c>
      <c r="BL70" s="22">
        <f>INDEX('Activity data'!BL$24:BL$39,MATCH(Emissions!$D70,'Activity data'!$D$24:$D$39,0))*INDEX(EF!$H$84:$H$99,MATCH(Emissions!$D70,EF!$D$84:$D$99,0))*INDEX(EF!$H$100:$H$115,MATCH(Emissions!$D70,EF!$D$100:$D$115,0))*INDEX(EF!$H$132:$H$147,MATCH(Emissions!$D70,EF!$D$132:$D$147,0))*kgtoGg</f>
        <v>6.8983552758059813E-2</v>
      </c>
      <c r="BM70" s="22">
        <f>INDEX('Activity data'!BM$24:BM$39,MATCH(Emissions!$D70,'Activity data'!$D$24:$D$39,0))*INDEX(EF!$H$84:$H$99,MATCH(Emissions!$D70,EF!$D$84:$D$99,0))*INDEX(EF!$H$100:$H$115,MATCH(Emissions!$D70,EF!$D$100:$D$115,0))*INDEX(EF!$H$132:$H$147,MATCH(Emissions!$D70,EF!$D$132:$D$147,0))*kgtoGg</f>
        <v>6.8953682942571204E-2</v>
      </c>
      <c r="BN70" s="22">
        <f>INDEX('Activity data'!BN$24:BN$39,MATCH(Emissions!$D70,'Activity data'!$D$24:$D$39,0))*INDEX(EF!$H$84:$H$99,MATCH(Emissions!$D70,EF!$D$84:$D$99,0))*INDEX(EF!$H$100:$H$115,MATCH(Emissions!$D70,EF!$D$100:$D$115,0))*INDEX(EF!$H$132:$H$147,MATCH(Emissions!$D70,EF!$D$132:$D$147,0))*kgtoGg</f>
        <v>6.8923813127082581E-2</v>
      </c>
      <c r="BO70" s="22">
        <f>INDEX('Activity data'!BO$24:BO$39,MATCH(Emissions!$D70,'Activity data'!$D$24:$D$39,0))*INDEX(EF!$H$84:$H$99,MATCH(Emissions!$D70,EF!$D$84:$D$99,0))*INDEX(EF!$H$100:$H$115,MATCH(Emissions!$D70,EF!$D$100:$D$115,0))*INDEX(EF!$H$132:$H$147,MATCH(Emissions!$D70,EF!$D$132:$D$147,0))*kgtoGg</f>
        <v>6.8893943311593986E-2</v>
      </c>
      <c r="BP70" s="22">
        <f>INDEX('Activity data'!BP$24:BP$39,MATCH(Emissions!$D70,'Activity data'!$D$24:$D$39,0))*INDEX(EF!$H$84:$H$99,MATCH(Emissions!$D70,EF!$D$84:$D$99,0))*INDEX(EF!$H$100:$H$115,MATCH(Emissions!$D70,EF!$D$100:$D$115,0))*INDEX(EF!$H$132:$H$147,MATCH(Emissions!$D70,EF!$D$132:$D$147,0))*kgtoGg</f>
        <v>6.8864073496105391E-2</v>
      </c>
    </row>
    <row r="71" spans="1:68" x14ac:dyDescent="0.25">
      <c r="A71" t="str">
        <f t="shared" si="19"/>
        <v>3C Aggregated and non-CO2 emissions on land</v>
      </c>
      <c r="B71" t="str">
        <f>B70</f>
        <v>3C1 Biomass burning (N2O)</v>
      </c>
      <c r="C71" t="str">
        <f t="shared" ref="C71:C85" si="25">C55</f>
        <v>3C1a Biomass burning in forest land</v>
      </c>
      <c r="D71" t="str">
        <f>EF!D101</f>
        <v>Thickets</v>
      </c>
      <c r="E71" t="s">
        <v>642</v>
      </c>
      <c r="F71" t="str">
        <f>F70</f>
        <v>N2O</v>
      </c>
      <c r="G71" t="str">
        <f>G70</f>
        <v>Gg N2O</v>
      </c>
      <c r="H71" s="22">
        <f>INDEX('Activity data'!H$24:H$39,MATCH(Emissions!$D71,'Activity data'!$D$24:$D$39,0))*INDEX(EF!$H$84:$H$99,MATCH(Emissions!$D71,EF!$D$84:$D$99,0))*INDEX(EF!$H$100:$H$115,MATCH(Emissions!$D71,EF!$D$100:$D$115,0))*INDEX(EF!$H$132:$H$147,MATCH(Emissions!$D71,EF!$D$132:$D$147,0))*kgtoGg</f>
        <v>0.1386787051643949</v>
      </c>
      <c r="I71" s="22">
        <f>INDEX('Activity data'!I$24:I$39,MATCH(Emissions!$D71,'Activity data'!$D$24:$D$39,0))*INDEX(EF!$H$84:$H$99,MATCH(Emissions!$D71,EF!$D$84:$D$99,0))*INDEX(EF!$H$100:$H$115,MATCH(Emissions!$D71,EF!$D$100:$D$115,0))*INDEX(EF!$H$132:$H$147,MATCH(Emissions!$D71,EF!$D$132:$D$147,0))*kgtoGg</f>
        <v>0.1386787051643949</v>
      </c>
      <c r="J71" s="22">
        <f>INDEX('Activity data'!J$24:J$39,MATCH(Emissions!$D71,'Activity data'!$D$24:$D$39,0))*INDEX(EF!$H$84:$H$99,MATCH(Emissions!$D71,EF!$D$84:$D$99,0))*INDEX(EF!$H$100:$H$115,MATCH(Emissions!$D71,EF!$D$100:$D$115,0))*INDEX(EF!$H$132:$H$147,MATCH(Emissions!$D71,EF!$D$132:$D$147,0))*kgtoGg</f>
        <v>0.1386787051643949</v>
      </c>
      <c r="K71" s="22">
        <f>INDEX('Activity data'!K$24:K$39,MATCH(Emissions!$D71,'Activity data'!$D$24:$D$39,0))*INDEX(EF!$H$84:$H$99,MATCH(Emissions!$D71,EF!$D$84:$D$99,0))*INDEX(EF!$H$100:$H$115,MATCH(Emissions!$D71,EF!$D$100:$D$115,0))*INDEX(EF!$H$132:$H$147,MATCH(Emissions!$D71,EF!$D$132:$D$147,0))*kgtoGg</f>
        <v>0.1386787051643949</v>
      </c>
      <c r="L71" s="22">
        <f>INDEX('Activity data'!L$24:L$39,MATCH(Emissions!$D71,'Activity data'!$D$24:$D$39,0))*INDEX(EF!$H$84:$H$99,MATCH(Emissions!$D71,EF!$D$84:$D$99,0))*INDEX(EF!$H$100:$H$115,MATCH(Emissions!$D71,EF!$D$100:$D$115,0))*INDEX(EF!$H$132:$H$147,MATCH(Emissions!$D71,EF!$D$132:$D$147,0))*kgtoGg</f>
        <v>0.1386787051643949</v>
      </c>
      <c r="M71" s="22">
        <f>INDEX('Activity data'!M$24:M$39,MATCH(Emissions!$D71,'Activity data'!$D$24:$D$39,0))*INDEX(EF!$H$84:$H$99,MATCH(Emissions!$D71,EF!$D$84:$D$99,0))*INDEX(EF!$H$100:$H$115,MATCH(Emissions!$D71,EF!$D$100:$D$115,0))*INDEX(EF!$H$132:$H$147,MATCH(Emissions!$D71,EF!$D$132:$D$147,0))*kgtoGg</f>
        <v>0.1386787051643949</v>
      </c>
      <c r="N71" s="22">
        <f>INDEX('Activity data'!N$24:N$39,MATCH(Emissions!$D71,'Activity data'!$D$24:$D$39,0))*INDEX(EF!$H$84:$H$99,MATCH(Emissions!$D71,EF!$D$84:$D$99,0))*INDEX(EF!$H$100:$H$115,MATCH(Emissions!$D71,EF!$D$100:$D$115,0))*INDEX(EF!$H$132:$H$147,MATCH(Emissions!$D71,EF!$D$132:$D$147,0))*kgtoGg</f>
        <v>0.1386787051643949</v>
      </c>
      <c r="O71" s="22">
        <f>INDEX('Activity data'!O$24:O$39,MATCH(Emissions!$D71,'Activity data'!$D$24:$D$39,0))*INDEX(EF!$H$84:$H$99,MATCH(Emissions!$D71,EF!$D$84:$D$99,0))*INDEX(EF!$H$100:$H$115,MATCH(Emissions!$D71,EF!$D$100:$D$115,0))*INDEX(EF!$H$132:$H$147,MATCH(Emissions!$D71,EF!$D$132:$D$147,0))*kgtoGg</f>
        <v>0.1386787051643949</v>
      </c>
      <c r="P71" s="22">
        <f>INDEX('Activity data'!P$24:P$39,MATCH(Emissions!$D71,'Activity data'!$D$24:$D$39,0))*INDEX(EF!$H$84:$H$99,MATCH(Emissions!$D71,EF!$D$84:$D$99,0))*INDEX(EF!$H$100:$H$115,MATCH(Emissions!$D71,EF!$D$100:$D$115,0))*INDEX(EF!$H$132:$H$147,MATCH(Emissions!$D71,EF!$D$132:$D$147,0))*kgtoGg</f>
        <v>0.1386787051643949</v>
      </c>
      <c r="Q71" s="22">
        <f>INDEX('Activity data'!Q$24:Q$39,MATCH(Emissions!$D71,'Activity data'!$D$24:$D$39,0))*INDEX(EF!$H$84:$H$99,MATCH(Emissions!$D71,EF!$D$84:$D$99,0))*INDEX(EF!$H$100:$H$115,MATCH(Emissions!$D71,EF!$D$100:$D$115,0))*INDEX(EF!$H$132:$H$147,MATCH(Emissions!$D71,EF!$D$132:$D$147,0))*kgtoGg</f>
        <v>0.1386787051643949</v>
      </c>
      <c r="R71" s="22">
        <f>INDEX('Activity data'!R$24:R$39,MATCH(Emissions!$D71,'Activity data'!$D$24:$D$39,0))*INDEX(EF!$H$84:$H$99,MATCH(Emissions!$D71,EF!$D$84:$D$99,0))*INDEX(EF!$H$100:$H$115,MATCH(Emissions!$D71,EF!$D$100:$D$115,0))*INDEX(EF!$H$132:$H$147,MATCH(Emissions!$D71,EF!$D$132:$D$147,0))*kgtoGg</f>
        <v>0.14239374078639105</v>
      </c>
      <c r="S71" s="22">
        <f>INDEX('Activity data'!S$24:S$39,MATCH(Emissions!$D71,'Activity data'!$D$24:$D$39,0))*INDEX(EF!$H$84:$H$99,MATCH(Emissions!$D71,EF!$D$84:$D$99,0))*INDEX(EF!$H$100:$H$115,MATCH(Emissions!$D71,EF!$D$100:$D$115,0))*INDEX(EF!$H$132:$H$147,MATCH(Emissions!$D71,EF!$D$132:$D$147,0))*kgtoGg</f>
        <v>0.18074095126601653</v>
      </c>
      <c r="T71" s="22">
        <f>INDEX('Activity data'!T$24:T$39,MATCH(Emissions!$D71,'Activity data'!$D$24:$D$39,0))*INDEX(EF!$H$84:$H$99,MATCH(Emissions!$D71,EF!$D$84:$D$99,0))*INDEX(EF!$H$100:$H$115,MATCH(Emissions!$D71,EF!$D$100:$D$115,0))*INDEX(EF!$H$132:$H$147,MATCH(Emissions!$D71,EF!$D$132:$D$147,0))*kgtoGg</f>
        <v>0.16683350476872413</v>
      </c>
      <c r="U71" s="22">
        <f>INDEX('Activity data'!U$24:U$39,MATCH(Emissions!$D71,'Activity data'!$D$24:$D$39,0))*INDEX(EF!$H$84:$H$99,MATCH(Emissions!$D71,EF!$D$84:$D$99,0))*INDEX(EF!$H$100:$H$115,MATCH(Emissions!$D71,EF!$D$100:$D$115,0))*INDEX(EF!$H$132:$H$147,MATCH(Emissions!$D71,EF!$D$132:$D$147,0))*kgtoGg</f>
        <v>0.10026447084622828</v>
      </c>
      <c r="V71" s="22">
        <f>INDEX('Activity data'!V$24:V$39,MATCH(Emissions!$D71,'Activity data'!$D$24:$D$39,0))*INDEX(EF!$H$84:$H$99,MATCH(Emissions!$D71,EF!$D$84:$D$99,0))*INDEX(EF!$H$100:$H$115,MATCH(Emissions!$D71,EF!$D$100:$D$115,0))*INDEX(EF!$H$132:$H$147,MATCH(Emissions!$D71,EF!$D$132:$D$147,0))*kgtoGg</f>
        <v>0.10316085815461448</v>
      </c>
      <c r="W71" s="22">
        <f>INDEX('Activity data'!W$24:W$39,MATCH(Emissions!$D71,'Activity data'!$D$24:$D$39,0))*INDEX(EF!$H$84:$H$99,MATCH(Emissions!$D71,EF!$D$84:$D$99,0))*INDEX(EF!$H$100:$H$115,MATCH(Emissions!$D71,EF!$D$100:$D$115,0))*INDEX(EF!$H$132:$H$147,MATCH(Emissions!$D71,EF!$D$132:$D$147,0))*kgtoGg</f>
        <v>0.17717432557221868</v>
      </c>
      <c r="X71" s="22">
        <f>INDEX('Activity data'!X$24:X$39,MATCH(Emissions!$D71,'Activity data'!$D$24:$D$39,0))*INDEX(EF!$H$84:$H$99,MATCH(Emissions!$D71,EF!$D$84:$D$99,0))*INDEX(EF!$H$100:$H$115,MATCH(Emissions!$D71,EF!$D$100:$D$115,0))*INDEX(EF!$H$132:$H$147,MATCH(Emissions!$D71,EF!$D$132:$D$147,0))*kgtoGg</f>
        <v>0.14152402669103542</v>
      </c>
      <c r="Y71" s="22">
        <f>INDEX('Activity data'!Y$24:Y$39,MATCH(Emissions!$D71,'Activity data'!$D$24:$D$39,0))*INDEX(EF!$H$84:$H$99,MATCH(Emissions!$D71,EF!$D$84:$D$99,0))*INDEX(EF!$H$100:$H$115,MATCH(Emissions!$D71,EF!$D$100:$D$115,0))*INDEX(EF!$H$132:$H$147,MATCH(Emissions!$D71,EF!$D$132:$D$147,0))*kgtoGg</f>
        <v>0.16523769908917249</v>
      </c>
      <c r="Z71" s="22">
        <f>INDEX('Activity data'!Z$24:Z$39,MATCH(Emissions!$D71,'Activity data'!$D$24:$D$39,0))*INDEX(EF!$H$84:$H$99,MATCH(Emissions!$D71,EF!$D$84:$D$99,0))*INDEX(EF!$H$100:$H$115,MATCH(Emissions!$D71,EF!$D$100:$D$115,0))*INDEX(EF!$H$132:$H$147,MATCH(Emissions!$D71,EF!$D$132:$D$147,0))*kgtoGg</f>
        <v>0.18179418301452055</v>
      </c>
      <c r="AA71" s="22">
        <f>INDEX('Activity data'!AA$24:AA$39,MATCH(Emissions!$D71,'Activity data'!$D$24:$D$39,0))*INDEX(EF!$H$84:$H$99,MATCH(Emissions!$D71,EF!$D$84:$D$99,0))*INDEX(EF!$H$100:$H$115,MATCH(Emissions!$D71,EF!$D$100:$D$115,0))*INDEX(EF!$H$132:$H$147,MATCH(Emissions!$D71,EF!$D$132:$D$147,0))*kgtoGg</f>
        <v>0.13219654249405621</v>
      </c>
      <c r="AB71" s="22">
        <f>INDEX('Activity data'!AB$24:AB$39,MATCH(Emissions!$D71,'Activity data'!$D$24:$D$39,0))*INDEX(EF!$H$84:$H$99,MATCH(Emissions!$D71,EF!$D$84:$D$99,0))*INDEX(EF!$H$100:$H$115,MATCH(Emissions!$D71,EF!$D$100:$D$115,0))*INDEX(EF!$H$132:$H$147,MATCH(Emissions!$D71,EF!$D$132:$D$147,0))*kgtoGg</f>
        <v>0.16154291134799995</v>
      </c>
      <c r="AC71" s="22">
        <f>INDEX('Activity data'!AC$24:AC$39,MATCH(Emissions!$D71,'Activity data'!$D$24:$D$39,0))*INDEX(EF!$H$84:$H$99,MATCH(Emissions!$D71,EF!$D$84:$D$99,0))*INDEX(EF!$H$100:$H$115,MATCH(Emissions!$D71,EF!$D$100:$D$115,0))*INDEX(EF!$H$132:$H$147,MATCH(Emissions!$D71,EF!$D$132:$D$147,0))*kgtoGg</f>
        <v>0.12862987137000001</v>
      </c>
      <c r="AD71" s="22">
        <f>INDEX('Activity data'!AD$24:AD$39,MATCH(Emissions!$D71,'Activity data'!$D$24:$D$39,0))*INDEX(EF!$H$84:$H$99,MATCH(Emissions!$D71,EF!$D$84:$D$99,0))*INDEX(EF!$H$100:$H$115,MATCH(Emissions!$D71,EF!$D$100:$D$115,0))*INDEX(EF!$H$132:$H$147,MATCH(Emissions!$D71,EF!$D$132:$D$147,0))*kgtoGg</f>
        <v>0.1362211465996048</v>
      </c>
      <c r="AE71" s="22">
        <f>INDEX('Activity data'!AE$24:AE$39,MATCH(Emissions!$D71,'Activity data'!$D$24:$D$39,0))*INDEX(EF!$H$84:$H$99,MATCH(Emissions!$D71,EF!$D$84:$D$99,0))*INDEX(EF!$H$100:$H$115,MATCH(Emissions!$D71,EF!$D$100:$D$115,0))*INDEX(EF!$H$132:$H$147,MATCH(Emissions!$D71,EF!$D$132:$D$147,0))*kgtoGg</f>
        <v>0.13600546655871854</v>
      </c>
      <c r="AF71" s="22">
        <f>INDEX('Activity data'!AF$24:AF$39,MATCH(Emissions!$D71,'Activity data'!$D$24:$D$39,0))*INDEX(EF!$H$84:$H$99,MATCH(Emissions!$D71,EF!$D$84:$D$99,0))*INDEX(EF!$H$100:$H$115,MATCH(Emissions!$D71,EF!$D$100:$D$115,0))*INDEX(EF!$H$132:$H$147,MATCH(Emissions!$D71,EF!$D$132:$D$147,0))*kgtoGg</f>
        <v>0.13578978651783222</v>
      </c>
      <c r="AG71" s="22">
        <f>INDEX('Activity data'!AG$24:AG$39,MATCH(Emissions!$D71,'Activity data'!$D$24:$D$39,0))*INDEX(EF!$H$84:$H$99,MATCH(Emissions!$D71,EF!$D$84:$D$99,0))*INDEX(EF!$H$100:$H$115,MATCH(Emissions!$D71,EF!$D$100:$D$115,0))*INDEX(EF!$H$132:$H$147,MATCH(Emissions!$D71,EF!$D$132:$D$147,0))*kgtoGg</f>
        <v>0.13557410647694595</v>
      </c>
      <c r="AH71" s="22">
        <f>INDEX('Activity data'!AH$24:AH$39,MATCH(Emissions!$D71,'Activity data'!$D$24:$D$39,0))*INDEX(EF!$H$84:$H$99,MATCH(Emissions!$D71,EF!$D$84:$D$99,0))*INDEX(EF!$H$100:$H$115,MATCH(Emissions!$D71,EF!$D$100:$D$115,0))*INDEX(EF!$H$132:$H$147,MATCH(Emissions!$D71,EF!$D$132:$D$147,0))*kgtoGg</f>
        <v>0.13535842643605966</v>
      </c>
      <c r="AI71" s="22">
        <f>INDEX('Activity data'!AI$24:AI$39,MATCH(Emissions!$D71,'Activity data'!$D$24:$D$39,0))*INDEX(EF!$H$84:$H$99,MATCH(Emissions!$D71,EF!$D$84:$D$99,0))*INDEX(EF!$H$100:$H$115,MATCH(Emissions!$D71,EF!$D$100:$D$115,0))*INDEX(EF!$H$132:$H$147,MATCH(Emissions!$D71,EF!$D$132:$D$147,0))*kgtoGg</f>
        <v>0.13514274639517335</v>
      </c>
      <c r="AJ71" s="22">
        <f>INDEX('Activity data'!AJ$24:AJ$39,MATCH(Emissions!$D71,'Activity data'!$D$24:$D$39,0))*INDEX(EF!$H$84:$H$99,MATCH(Emissions!$D71,EF!$D$84:$D$99,0))*INDEX(EF!$H$100:$H$115,MATCH(Emissions!$D71,EF!$D$100:$D$115,0))*INDEX(EF!$H$132:$H$147,MATCH(Emissions!$D71,EF!$D$132:$D$147,0))*kgtoGg</f>
        <v>0.13492706635428708</v>
      </c>
      <c r="AK71" s="22">
        <f>INDEX('Activity data'!AK$24:AK$39,MATCH(Emissions!$D71,'Activity data'!$D$24:$D$39,0))*INDEX(EF!$H$84:$H$99,MATCH(Emissions!$D71,EF!$D$84:$D$99,0))*INDEX(EF!$H$100:$H$115,MATCH(Emissions!$D71,EF!$D$100:$D$115,0))*INDEX(EF!$H$132:$H$147,MATCH(Emissions!$D71,EF!$D$132:$D$147,0))*kgtoGg</f>
        <v>0.13471138631340079</v>
      </c>
      <c r="AL71" s="22">
        <f>INDEX('Activity data'!AL$24:AL$39,MATCH(Emissions!$D71,'Activity data'!$D$24:$D$39,0))*INDEX(EF!$H$84:$H$99,MATCH(Emissions!$D71,EF!$D$84:$D$99,0))*INDEX(EF!$H$100:$H$115,MATCH(Emissions!$D71,EF!$D$100:$D$115,0))*INDEX(EF!$H$132:$H$147,MATCH(Emissions!$D71,EF!$D$132:$D$147,0))*kgtoGg</f>
        <v>0.13449570627251453</v>
      </c>
      <c r="AM71" s="22">
        <f>INDEX('Activity data'!AM$24:AM$39,MATCH(Emissions!$D71,'Activity data'!$D$24:$D$39,0))*INDEX(EF!$H$84:$H$99,MATCH(Emissions!$D71,EF!$D$84:$D$99,0))*INDEX(EF!$H$100:$H$115,MATCH(Emissions!$D71,EF!$D$100:$D$115,0))*INDEX(EF!$H$132:$H$147,MATCH(Emissions!$D71,EF!$D$132:$D$147,0))*kgtoGg</f>
        <v>0.13428002623162824</v>
      </c>
      <c r="AN71" s="22">
        <f>INDEX('Activity data'!AN$24:AN$39,MATCH(Emissions!$D71,'Activity data'!$D$24:$D$39,0))*INDEX(EF!$H$84:$H$99,MATCH(Emissions!$D71,EF!$D$84:$D$99,0))*INDEX(EF!$H$100:$H$115,MATCH(Emissions!$D71,EF!$D$100:$D$115,0))*INDEX(EF!$H$132:$H$147,MATCH(Emissions!$D71,EF!$D$132:$D$147,0))*kgtoGg</f>
        <v>0.13406434619074192</v>
      </c>
      <c r="AO71" s="22">
        <f>INDEX('Activity data'!AO$24:AO$39,MATCH(Emissions!$D71,'Activity data'!$D$24:$D$39,0))*INDEX(EF!$H$84:$H$99,MATCH(Emissions!$D71,EF!$D$84:$D$99,0))*INDEX(EF!$H$100:$H$115,MATCH(Emissions!$D71,EF!$D$100:$D$115,0))*INDEX(EF!$H$132:$H$147,MATCH(Emissions!$D71,EF!$D$132:$D$147,0))*kgtoGg</f>
        <v>0.13384866614985566</v>
      </c>
      <c r="AP71" s="22">
        <f>INDEX('Activity data'!AP$24:AP$39,MATCH(Emissions!$D71,'Activity data'!$D$24:$D$39,0))*INDEX(EF!$H$84:$H$99,MATCH(Emissions!$D71,EF!$D$84:$D$99,0))*INDEX(EF!$H$100:$H$115,MATCH(Emissions!$D71,EF!$D$100:$D$115,0))*INDEX(EF!$H$132:$H$147,MATCH(Emissions!$D71,EF!$D$132:$D$147,0))*kgtoGg</f>
        <v>0.1336329861089694</v>
      </c>
      <c r="AQ71" s="22">
        <f>INDEX('Activity data'!AQ$24:AQ$39,MATCH(Emissions!$D71,'Activity data'!$D$24:$D$39,0))*INDEX(EF!$H$84:$H$99,MATCH(Emissions!$D71,EF!$D$84:$D$99,0))*INDEX(EF!$H$100:$H$115,MATCH(Emissions!$D71,EF!$D$100:$D$115,0))*INDEX(EF!$H$132:$H$147,MATCH(Emissions!$D71,EF!$D$132:$D$147,0))*kgtoGg</f>
        <v>0.13341730606808308</v>
      </c>
      <c r="AR71" s="22">
        <f>INDEX('Activity data'!AR$24:AR$39,MATCH(Emissions!$D71,'Activity data'!$D$24:$D$39,0))*INDEX(EF!$H$84:$H$99,MATCH(Emissions!$D71,EF!$D$84:$D$99,0))*INDEX(EF!$H$100:$H$115,MATCH(Emissions!$D71,EF!$D$100:$D$115,0))*INDEX(EF!$H$132:$H$147,MATCH(Emissions!$D71,EF!$D$132:$D$147,0))*kgtoGg</f>
        <v>0.13320162602719682</v>
      </c>
      <c r="AS71" s="22">
        <f>INDEX('Activity data'!AS$24:AS$39,MATCH(Emissions!$D71,'Activity data'!$D$24:$D$39,0))*INDEX(EF!$H$84:$H$99,MATCH(Emissions!$D71,EF!$D$84:$D$99,0))*INDEX(EF!$H$100:$H$115,MATCH(Emissions!$D71,EF!$D$100:$D$115,0))*INDEX(EF!$H$132:$H$147,MATCH(Emissions!$D71,EF!$D$132:$D$147,0))*kgtoGg</f>
        <v>0.1329859459863105</v>
      </c>
      <c r="AT71" s="22">
        <f>INDEX('Activity data'!AT$24:AT$39,MATCH(Emissions!$D71,'Activity data'!$D$24:$D$39,0))*INDEX(EF!$H$84:$H$99,MATCH(Emissions!$D71,EF!$D$84:$D$99,0))*INDEX(EF!$H$100:$H$115,MATCH(Emissions!$D71,EF!$D$100:$D$115,0))*INDEX(EF!$H$132:$H$147,MATCH(Emissions!$D71,EF!$D$132:$D$147,0))*kgtoGg</f>
        <v>0.13277026594542424</v>
      </c>
      <c r="AU71" s="22">
        <f>INDEX('Activity data'!AU$24:AU$39,MATCH(Emissions!$D71,'Activity data'!$D$24:$D$39,0))*INDEX(EF!$H$84:$H$99,MATCH(Emissions!$D71,EF!$D$84:$D$99,0))*INDEX(EF!$H$100:$H$115,MATCH(Emissions!$D71,EF!$D$100:$D$115,0))*INDEX(EF!$H$132:$H$147,MATCH(Emissions!$D71,EF!$D$132:$D$147,0))*kgtoGg</f>
        <v>0.13255458590453795</v>
      </c>
      <c r="AV71" s="22">
        <f>INDEX('Activity data'!AV$24:AV$39,MATCH(Emissions!$D71,'Activity data'!$D$24:$D$39,0))*INDEX(EF!$H$84:$H$99,MATCH(Emissions!$D71,EF!$D$84:$D$99,0))*INDEX(EF!$H$100:$H$115,MATCH(Emissions!$D71,EF!$D$100:$D$115,0))*INDEX(EF!$H$132:$H$147,MATCH(Emissions!$D71,EF!$D$132:$D$147,0))*kgtoGg</f>
        <v>0.13233890586365168</v>
      </c>
      <c r="AW71" s="22">
        <f>INDEX('Activity data'!AW$24:AW$39,MATCH(Emissions!$D71,'Activity data'!$D$24:$D$39,0))*INDEX(EF!$H$84:$H$99,MATCH(Emissions!$D71,EF!$D$84:$D$99,0))*INDEX(EF!$H$100:$H$115,MATCH(Emissions!$D71,EF!$D$100:$D$115,0))*INDEX(EF!$H$132:$H$147,MATCH(Emissions!$D71,EF!$D$132:$D$147,0))*kgtoGg</f>
        <v>0.13212322582276539</v>
      </c>
      <c r="AX71" s="22">
        <f>INDEX('Activity data'!AX$24:AX$39,MATCH(Emissions!$D71,'Activity data'!$D$24:$D$39,0))*INDEX(EF!$H$84:$H$99,MATCH(Emissions!$D71,EF!$D$84:$D$99,0))*INDEX(EF!$H$100:$H$115,MATCH(Emissions!$D71,EF!$D$100:$D$115,0))*INDEX(EF!$H$132:$H$147,MATCH(Emissions!$D71,EF!$D$132:$D$147,0))*kgtoGg</f>
        <v>0.1319075457818791</v>
      </c>
      <c r="AY71" s="22">
        <f>INDEX('Activity data'!AY$24:AY$39,MATCH(Emissions!$D71,'Activity data'!$D$24:$D$39,0))*INDEX(EF!$H$84:$H$99,MATCH(Emissions!$D71,EF!$D$84:$D$99,0))*INDEX(EF!$H$100:$H$115,MATCH(Emissions!$D71,EF!$D$100:$D$115,0))*INDEX(EF!$H$132:$H$147,MATCH(Emissions!$D71,EF!$D$132:$D$147,0))*kgtoGg</f>
        <v>0.13169186574099281</v>
      </c>
      <c r="AZ71" s="22">
        <f>INDEX('Activity data'!AZ$24:AZ$39,MATCH(Emissions!$D71,'Activity data'!$D$24:$D$39,0))*INDEX(EF!$H$84:$H$99,MATCH(Emissions!$D71,EF!$D$84:$D$99,0))*INDEX(EF!$H$100:$H$115,MATCH(Emissions!$D71,EF!$D$100:$D$115,0))*INDEX(EF!$H$132:$H$147,MATCH(Emissions!$D71,EF!$D$132:$D$147,0))*kgtoGg</f>
        <v>0.13147618570010652</v>
      </c>
      <c r="BA71" s="22">
        <f>INDEX('Activity data'!BA$24:BA$39,MATCH(Emissions!$D71,'Activity data'!$D$24:$D$39,0))*INDEX(EF!$H$84:$H$99,MATCH(Emissions!$D71,EF!$D$84:$D$99,0))*INDEX(EF!$H$100:$H$115,MATCH(Emissions!$D71,EF!$D$100:$D$115,0))*INDEX(EF!$H$132:$H$147,MATCH(Emissions!$D71,EF!$D$132:$D$147,0))*kgtoGg</f>
        <v>0.13126050565922026</v>
      </c>
      <c r="BB71" s="22">
        <f>INDEX('Activity data'!BB$24:BB$39,MATCH(Emissions!$D71,'Activity data'!$D$24:$D$39,0))*INDEX(EF!$H$84:$H$99,MATCH(Emissions!$D71,EF!$D$84:$D$99,0))*INDEX(EF!$H$100:$H$115,MATCH(Emissions!$D71,EF!$D$100:$D$115,0))*INDEX(EF!$H$132:$H$147,MATCH(Emissions!$D71,EF!$D$132:$D$147,0))*kgtoGg</f>
        <v>0.13104482561833397</v>
      </c>
      <c r="BC71" s="22">
        <f>INDEX('Activity data'!BC$24:BC$39,MATCH(Emissions!$D71,'Activity data'!$D$24:$D$39,0))*INDEX(EF!$H$84:$H$99,MATCH(Emissions!$D71,EF!$D$84:$D$99,0))*INDEX(EF!$H$100:$H$115,MATCH(Emissions!$D71,EF!$D$100:$D$115,0))*INDEX(EF!$H$132:$H$147,MATCH(Emissions!$D71,EF!$D$132:$D$147,0))*kgtoGg</f>
        <v>0.13082914557744768</v>
      </c>
      <c r="BD71" s="22">
        <f>INDEX('Activity data'!BD$24:BD$39,MATCH(Emissions!$D71,'Activity data'!$D$24:$D$39,0))*INDEX(EF!$H$84:$H$99,MATCH(Emissions!$D71,EF!$D$84:$D$99,0))*INDEX(EF!$H$100:$H$115,MATCH(Emissions!$D71,EF!$D$100:$D$115,0))*INDEX(EF!$H$132:$H$147,MATCH(Emissions!$D71,EF!$D$132:$D$147,0))*kgtoGg</f>
        <v>0.13061346553656142</v>
      </c>
      <c r="BE71" s="22">
        <f>INDEX('Activity data'!BE$24:BE$39,MATCH(Emissions!$D71,'Activity data'!$D$24:$D$39,0))*INDEX(EF!$H$84:$H$99,MATCH(Emissions!$D71,EF!$D$84:$D$99,0))*INDEX(EF!$H$100:$H$115,MATCH(Emissions!$D71,EF!$D$100:$D$115,0))*INDEX(EF!$H$132:$H$147,MATCH(Emissions!$D71,EF!$D$132:$D$147,0))*kgtoGg</f>
        <v>0.13039778549567513</v>
      </c>
      <c r="BF71" s="22">
        <f>INDEX('Activity data'!BF$24:BF$39,MATCH(Emissions!$D71,'Activity data'!$D$24:$D$39,0))*INDEX(EF!$H$84:$H$99,MATCH(Emissions!$D71,EF!$D$84:$D$99,0))*INDEX(EF!$H$100:$H$115,MATCH(Emissions!$D71,EF!$D$100:$D$115,0))*INDEX(EF!$H$132:$H$147,MATCH(Emissions!$D71,EF!$D$132:$D$147,0))*kgtoGg</f>
        <v>0.13018210545478884</v>
      </c>
      <c r="BG71" s="22">
        <f>INDEX('Activity data'!BG$24:BG$39,MATCH(Emissions!$D71,'Activity data'!$D$24:$D$39,0))*INDEX(EF!$H$84:$H$99,MATCH(Emissions!$D71,EF!$D$84:$D$99,0))*INDEX(EF!$H$100:$H$115,MATCH(Emissions!$D71,EF!$D$100:$D$115,0))*INDEX(EF!$H$132:$H$147,MATCH(Emissions!$D71,EF!$D$132:$D$147,0))*kgtoGg</f>
        <v>0.12996642541390255</v>
      </c>
      <c r="BH71" s="22">
        <f>INDEX('Activity data'!BH$24:BH$39,MATCH(Emissions!$D71,'Activity data'!$D$24:$D$39,0))*INDEX(EF!$H$84:$H$99,MATCH(Emissions!$D71,EF!$D$84:$D$99,0))*INDEX(EF!$H$100:$H$115,MATCH(Emissions!$D71,EF!$D$100:$D$115,0))*INDEX(EF!$H$132:$H$147,MATCH(Emissions!$D71,EF!$D$132:$D$147,0))*kgtoGg</f>
        <v>0.12975074537301626</v>
      </c>
      <c r="BI71" s="22">
        <f>INDEX('Activity data'!BI$24:BI$39,MATCH(Emissions!$D71,'Activity data'!$D$24:$D$39,0))*INDEX(EF!$H$84:$H$99,MATCH(Emissions!$D71,EF!$D$84:$D$99,0))*INDEX(EF!$H$100:$H$115,MATCH(Emissions!$D71,EF!$D$100:$D$115,0))*INDEX(EF!$H$132:$H$147,MATCH(Emissions!$D71,EF!$D$132:$D$147,0))*kgtoGg</f>
        <v>0.12953506533212999</v>
      </c>
      <c r="BJ71" s="22">
        <f>INDEX('Activity data'!BJ$24:BJ$39,MATCH(Emissions!$D71,'Activity data'!$D$24:$D$39,0))*INDEX(EF!$H$84:$H$99,MATCH(Emissions!$D71,EF!$D$84:$D$99,0))*INDEX(EF!$H$100:$H$115,MATCH(Emissions!$D71,EF!$D$100:$D$115,0))*INDEX(EF!$H$132:$H$147,MATCH(Emissions!$D71,EF!$D$132:$D$147,0))*kgtoGg</f>
        <v>0.12931938529124368</v>
      </c>
      <c r="BK71" s="22">
        <f>INDEX('Activity data'!BK$24:BK$39,MATCH(Emissions!$D71,'Activity data'!$D$24:$D$39,0))*INDEX(EF!$H$84:$H$99,MATCH(Emissions!$D71,EF!$D$84:$D$99,0))*INDEX(EF!$H$100:$H$115,MATCH(Emissions!$D71,EF!$D$100:$D$115,0))*INDEX(EF!$H$132:$H$147,MATCH(Emissions!$D71,EF!$D$132:$D$147,0))*kgtoGg</f>
        <v>0.12910370525035741</v>
      </c>
      <c r="BL71" s="22">
        <f>INDEX('Activity data'!BL$24:BL$39,MATCH(Emissions!$D71,'Activity data'!$D$24:$D$39,0))*INDEX(EF!$H$84:$H$99,MATCH(Emissions!$D71,EF!$D$84:$D$99,0))*INDEX(EF!$H$100:$H$115,MATCH(Emissions!$D71,EF!$D$100:$D$115,0))*INDEX(EF!$H$132:$H$147,MATCH(Emissions!$D71,EF!$D$132:$D$147,0))*kgtoGg</f>
        <v>0.12888802520947112</v>
      </c>
      <c r="BM71" s="22">
        <f>INDEX('Activity data'!BM$24:BM$39,MATCH(Emissions!$D71,'Activity data'!$D$24:$D$39,0))*INDEX(EF!$H$84:$H$99,MATCH(Emissions!$D71,EF!$D$84:$D$99,0))*INDEX(EF!$H$100:$H$115,MATCH(Emissions!$D71,EF!$D$100:$D$115,0))*INDEX(EF!$H$132:$H$147,MATCH(Emissions!$D71,EF!$D$132:$D$147,0))*kgtoGg</f>
        <v>0.12867234516858483</v>
      </c>
      <c r="BN71" s="22">
        <f>INDEX('Activity data'!BN$24:BN$39,MATCH(Emissions!$D71,'Activity data'!$D$24:$D$39,0))*INDEX(EF!$H$84:$H$99,MATCH(Emissions!$D71,EF!$D$84:$D$99,0))*INDEX(EF!$H$100:$H$115,MATCH(Emissions!$D71,EF!$D$100:$D$115,0))*INDEX(EF!$H$132:$H$147,MATCH(Emissions!$D71,EF!$D$132:$D$147,0))*kgtoGg</f>
        <v>0.12845666512769857</v>
      </c>
      <c r="BO71" s="22">
        <f>INDEX('Activity data'!BO$24:BO$39,MATCH(Emissions!$D71,'Activity data'!$D$24:$D$39,0))*INDEX(EF!$H$84:$H$99,MATCH(Emissions!$D71,EF!$D$84:$D$99,0))*INDEX(EF!$H$100:$H$115,MATCH(Emissions!$D71,EF!$D$100:$D$115,0))*INDEX(EF!$H$132:$H$147,MATCH(Emissions!$D71,EF!$D$132:$D$147,0))*kgtoGg</f>
        <v>0.12824098508681228</v>
      </c>
      <c r="BP71" s="22">
        <f>INDEX('Activity data'!BP$24:BP$39,MATCH(Emissions!$D71,'Activity data'!$D$24:$D$39,0))*INDEX(EF!$H$84:$H$99,MATCH(Emissions!$D71,EF!$D$84:$D$99,0))*INDEX(EF!$H$100:$H$115,MATCH(Emissions!$D71,EF!$D$100:$D$115,0))*INDEX(EF!$H$132:$H$147,MATCH(Emissions!$D71,EF!$D$132:$D$147,0))*kgtoGg</f>
        <v>0.12802530504592599</v>
      </c>
    </row>
    <row r="72" spans="1:68" x14ac:dyDescent="0.25">
      <c r="A72" t="str">
        <f t="shared" si="19"/>
        <v>3C Aggregated and non-CO2 emissions on land</v>
      </c>
      <c r="B72" t="str">
        <f t="shared" ref="B72:B85" si="26">B71</f>
        <v>3C1 Biomass burning (N2O)</v>
      </c>
      <c r="C72" t="str">
        <f t="shared" si="25"/>
        <v>3C1a Biomass burning in forest land</v>
      </c>
      <c r="D72" t="str">
        <f>EF!D102</f>
        <v>Woodlands</v>
      </c>
      <c r="E72" t="s">
        <v>643</v>
      </c>
      <c r="F72" t="str">
        <f t="shared" ref="F72:F85" si="27">F71</f>
        <v>N2O</v>
      </c>
      <c r="G72" t="str">
        <f t="shared" ref="G72:G85" si="28">G71</f>
        <v>Gg N2O</v>
      </c>
      <c r="H72" s="22">
        <f>INDEX('Activity data'!H$24:H$39,MATCH(Emissions!$D72,'Activity data'!$D$24:$D$39,0))*INDEX(EF!$H$84:$H$99,MATCH(Emissions!$D72,EF!$D$84:$D$99,0))*INDEX(EF!$H$100:$H$115,MATCH(Emissions!$D72,EF!$D$100:$D$115,0))*INDEX(EF!$H$132:$H$147,MATCH(Emissions!$D72,EF!$D$132:$D$147,0))*kgtoGg</f>
        <v>0.51615689922073593</v>
      </c>
      <c r="I72" s="22">
        <f>INDEX('Activity data'!I$24:I$39,MATCH(Emissions!$D72,'Activity data'!$D$24:$D$39,0))*INDEX(EF!$H$84:$H$99,MATCH(Emissions!$D72,EF!$D$84:$D$99,0))*INDEX(EF!$H$100:$H$115,MATCH(Emissions!$D72,EF!$D$100:$D$115,0))*INDEX(EF!$H$132:$H$147,MATCH(Emissions!$D72,EF!$D$132:$D$147,0))*kgtoGg</f>
        <v>0.51615689922073593</v>
      </c>
      <c r="J72" s="22">
        <f>INDEX('Activity data'!J$24:J$39,MATCH(Emissions!$D72,'Activity data'!$D$24:$D$39,0))*INDEX(EF!$H$84:$H$99,MATCH(Emissions!$D72,EF!$D$84:$D$99,0))*INDEX(EF!$H$100:$H$115,MATCH(Emissions!$D72,EF!$D$100:$D$115,0))*INDEX(EF!$H$132:$H$147,MATCH(Emissions!$D72,EF!$D$132:$D$147,0))*kgtoGg</f>
        <v>0.51615689922073593</v>
      </c>
      <c r="K72" s="22">
        <f>INDEX('Activity data'!K$24:K$39,MATCH(Emissions!$D72,'Activity data'!$D$24:$D$39,0))*INDEX(EF!$H$84:$H$99,MATCH(Emissions!$D72,EF!$D$84:$D$99,0))*INDEX(EF!$H$100:$H$115,MATCH(Emissions!$D72,EF!$D$100:$D$115,0))*INDEX(EF!$H$132:$H$147,MATCH(Emissions!$D72,EF!$D$132:$D$147,0))*kgtoGg</f>
        <v>0.51615689922073593</v>
      </c>
      <c r="L72" s="22">
        <f>INDEX('Activity data'!L$24:L$39,MATCH(Emissions!$D72,'Activity data'!$D$24:$D$39,0))*INDEX(EF!$H$84:$H$99,MATCH(Emissions!$D72,EF!$D$84:$D$99,0))*INDEX(EF!$H$100:$H$115,MATCH(Emissions!$D72,EF!$D$100:$D$115,0))*INDEX(EF!$H$132:$H$147,MATCH(Emissions!$D72,EF!$D$132:$D$147,0))*kgtoGg</f>
        <v>0.51615689922073593</v>
      </c>
      <c r="M72" s="22">
        <f>INDEX('Activity data'!M$24:M$39,MATCH(Emissions!$D72,'Activity data'!$D$24:$D$39,0))*INDEX(EF!$H$84:$H$99,MATCH(Emissions!$D72,EF!$D$84:$D$99,0))*INDEX(EF!$H$100:$H$115,MATCH(Emissions!$D72,EF!$D$100:$D$115,0))*INDEX(EF!$H$132:$H$147,MATCH(Emissions!$D72,EF!$D$132:$D$147,0))*kgtoGg</f>
        <v>0.51615689922073593</v>
      </c>
      <c r="N72" s="22">
        <f>INDEX('Activity data'!N$24:N$39,MATCH(Emissions!$D72,'Activity data'!$D$24:$D$39,0))*INDEX(EF!$H$84:$H$99,MATCH(Emissions!$D72,EF!$D$84:$D$99,0))*INDEX(EF!$H$100:$H$115,MATCH(Emissions!$D72,EF!$D$100:$D$115,0))*INDEX(EF!$H$132:$H$147,MATCH(Emissions!$D72,EF!$D$132:$D$147,0))*kgtoGg</f>
        <v>0.51615689922073593</v>
      </c>
      <c r="O72" s="22">
        <f>INDEX('Activity data'!O$24:O$39,MATCH(Emissions!$D72,'Activity data'!$D$24:$D$39,0))*INDEX(EF!$H$84:$H$99,MATCH(Emissions!$D72,EF!$D$84:$D$99,0))*INDEX(EF!$H$100:$H$115,MATCH(Emissions!$D72,EF!$D$100:$D$115,0))*INDEX(EF!$H$132:$H$147,MATCH(Emissions!$D72,EF!$D$132:$D$147,0))*kgtoGg</f>
        <v>0.51615689922073593</v>
      </c>
      <c r="P72" s="22">
        <f>INDEX('Activity data'!P$24:P$39,MATCH(Emissions!$D72,'Activity data'!$D$24:$D$39,0))*INDEX(EF!$H$84:$H$99,MATCH(Emissions!$D72,EF!$D$84:$D$99,0))*INDEX(EF!$H$100:$H$115,MATCH(Emissions!$D72,EF!$D$100:$D$115,0))*INDEX(EF!$H$132:$H$147,MATCH(Emissions!$D72,EF!$D$132:$D$147,0))*kgtoGg</f>
        <v>0.51615689922073593</v>
      </c>
      <c r="Q72" s="22">
        <f>INDEX('Activity data'!Q$24:Q$39,MATCH(Emissions!$D72,'Activity data'!$D$24:$D$39,0))*INDEX(EF!$H$84:$H$99,MATCH(Emissions!$D72,EF!$D$84:$D$99,0))*INDEX(EF!$H$100:$H$115,MATCH(Emissions!$D72,EF!$D$100:$D$115,0))*INDEX(EF!$H$132:$H$147,MATCH(Emissions!$D72,EF!$D$132:$D$147,0))*kgtoGg</f>
        <v>0.51615689922073593</v>
      </c>
      <c r="R72" s="22">
        <f>INDEX('Activity data'!R$24:R$39,MATCH(Emissions!$D72,'Activity data'!$D$24:$D$39,0))*INDEX(EF!$H$84:$H$99,MATCH(Emissions!$D72,EF!$D$84:$D$99,0))*INDEX(EF!$H$100:$H$115,MATCH(Emissions!$D72,EF!$D$100:$D$115,0))*INDEX(EF!$H$132:$H$147,MATCH(Emissions!$D72,EF!$D$132:$D$147,0))*kgtoGg</f>
        <v>0.5405338840784204</v>
      </c>
      <c r="S72" s="22">
        <f>INDEX('Activity data'!S$24:S$39,MATCH(Emissions!$D72,'Activity data'!$D$24:$D$39,0))*INDEX(EF!$H$84:$H$99,MATCH(Emissions!$D72,EF!$D$84:$D$99,0))*INDEX(EF!$H$100:$H$115,MATCH(Emissions!$D72,EF!$D$100:$D$115,0))*INDEX(EF!$H$132:$H$147,MATCH(Emissions!$D72,EF!$D$132:$D$147,0))*kgtoGg</f>
        <v>0.77734472774207219</v>
      </c>
      <c r="T72" s="22">
        <f>INDEX('Activity data'!T$24:T$39,MATCH(Emissions!$D72,'Activity data'!$D$24:$D$39,0))*INDEX(EF!$H$84:$H$99,MATCH(Emissions!$D72,EF!$D$84:$D$99,0))*INDEX(EF!$H$100:$H$115,MATCH(Emissions!$D72,EF!$D$100:$D$115,0))*INDEX(EF!$H$132:$H$147,MATCH(Emissions!$D72,EF!$D$132:$D$147,0))*kgtoGg</f>
        <v>0.60115227491539969</v>
      </c>
      <c r="U72" s="22">
        <f>INDEX('Activity data'!U$24:U$39,MATCH(Emissions!$D72,'Activity data'!$D$24:$D$39,0))*INDEX(EF!$H$84:$H$99,MATCH(Emissions!$D72,EF!$D$84:$D$99,0))*INDEX(EF!$H$100:$H$115,MATCH(Emissions!$D72,EF!$D$100:$D$115,0))*INDEX(EF!$H$132:$H$147,MATCH(Emissions!$D72,EF!$D$132:$D$147,0))*kgtoGg</f>
        <v>0.23051703774951418</v>
      </c>
      <c r="V72" s="22">
        <f>INDEX('Activity data'!V$24:V$39,MATCH(Emissions!$D72,'Activity data'!$D$24:$D$39,0))*INDEX(EF!$H$84:$H$99,MATCH(Emissions!$D72,EF!$D$84:$D$99,0))*INDEX(EF!$H$100:$H$115,MATCH(Emissions!$D72,EF!$D$100:$D$115,0))*INDEX(EF!$H$132:$H$147,MATCH(Emissions!$D72,EF!$D$132:$D$147,0))*kgtoGg</f>
        <v>0.43123657161827345</v>
      </c>
      <c r="W72" s="22">
        <f>INDEX('Activity data'!W$24:W$39,MATCH(Emissions!$D72,'Activity data'!$D$24:$D$39,0))*INDEX(EF!$H$84:$H$99,MATCH(Emissions!$D72,EF!$D$84:$D$99,0))*INDEX(EF!$H$100:$H$115,MATCH(Emissions!$D72,EF!$D$100:$D$115,0))*INDEX(EF!$H$132:$H$147,MATCH(Emissions!$D72,EF!$D$132:$D$147,0))*kgtoGg</f>
        <v>0.72810294542739629</v>
      </c>
      <c r="X72" s="22">
        <f>INDEX('Activity data'!X$24:X$39,MATCH(Emissions!$D72,'Activity data'!$D$24:$D$39,0))*INDEX(EF!$H$84:$H$99,MATCH(Emissions!$D72,EF!$D$84:$D$99,0))*INDEX(EF!$H$100:$H$115,MATCH(Emissions!$D72,EF!$D$100:$D$115,0))*INDEX(EF!$H$132:$H$147,MATCH(Emissions!$D72,EF!$D$132:$D$147,0))*kgtoGg</f>
        <v>0.63168320333357431</v>
      </c>
      <c r="Y72" s="22">
        <f>INDEX('Activity data'!Y$24:Y$39,MATCH(Emissions!$D72,'Activity data'!$D$24:$D$39,0))*INDEX(EF!$H$84:$H$99,MATCH(Emissions!$D72,EF!$D$84:$D$99,0))*INDEX(EF!$H$100:$H$115,MATCH(Emissions!$D72,EF!$D$100:$D$115,0))*INDEX(EF!$H$132:$H$147,MATCH(Emissions!$D72,EF!$D$132:$D$147,0))*kgtoGg</f>
        <v>0.3634715556375987</v>
      </c>
      <c r="Z72" s="22">
        <f>INDEX('Activity data'!Z$24:Z$39,MATCH(Emissions!$D72,'Activity data'!$D$24:$D$39,0))*INDEX(EF!$H$84:$H$99,MATCH(Emissions!$D72,EF!$D$84:$D$99,0))*INDEX(EF!$H$100:$H$115,MATCH(Emissions!$D72,EF!$D$100:$D$115,0))*INDEX(EF!$H$132:$H$147,MATCH(Emissions!$D72,EF!$D$132:$D$147,0))*kgtoGg</f>
        <v>0.65636379183698135</v>
      </c>
      <c r="AA72" s="22">
        <f>INDEX('Activity data'!AA$24:AA$39,MATCH(Emissions!$D72,'Activity data'!$D$24:$D$39,0))*INDEX(EF!$H$84:$H$99,MATCH(Emissions!$D72,EF!$D$84:$D$99,0))*INDEX(EF!$H$100:$H$115,MATCH(Emissions!$D72,EF!$D$100:$D$115,0))*INDEX(EF!$H$132:$H$147,MATCH(Emissions!$D72,EF!$D$132:$D$147,0))*kgtoGg</f>
        <v>0.43249874407801925</v>
      </c>
      <c r="AB72" s="22">
        <f>INDEX('Activity data'!AB$24:AB$39,MATCH(Emissions!$D72,'Activity data'!$D$24:$D$39,0))*INDEX(EF!$H$84:$H$99,MATCH(Emissions!$D72,EF!$D$84:$D$99,0))*INDEX(EF!$H$100:$H$115,MATCH(Emissions!$D72,EF!$D$100:$D$115,0))*INDEX(EF!$H$132:$H$147,MATCH(Emissions!$D72,EF!$D$132:$D$147,0))*kgtoGg</f>
        <v>0.60930467136000011</v>
      </c>
      <c r="AC72" s="22">
        <f>INDEX('Activity data'!AC$24:AC$39,MATCH(Emissions!$D72,'Activity data'!$D$24:$D$39,0))*INDEX(EF!$H$84:$H$99,MATCH(Emissions!$D72,EF!$D$84:$D$99,0))*INDEX(EF!$H$100:$H$115,MATCH(Emissions!$D72,EF!$D$100:$D$115,0))*INDEX(EF!$H$132:$H$147,MATCH(Emissions!$D72,EF!$D$132:$D$147,0))*kgtoGg</f>
        <v>0.55754395804799994</v>
      </c>
      <c r="AD72" s="22">
        <f>INDEX('Activity data'!AD$24:AD$39,MATCH(Emissions!$D72,'Activity data'!$D$24:$D$39,0))*INDEX(EF!$H$84:$H$99,MATCH(Emissions!$D72,EF!$D$84:$D$99,0))*INDEX(EF!$H$100:$H$115,MATCH(Emissions!$D72,EF!$D$100:$D$115,0))*INDEX(EF!$H$132:$H$147,MATCH(Emissions!$D72,EF!$D$132:$D$147,0))*kgtoGg</f>
        <v>0.49109158898115401</v>
      </c>
      <c r="AE72" s="22">
        <f>INDEX('Activity data'!AE$24:AE$39,MATCH(Emissions!$D72,'Activity data'!$D$24:$D$39,0))*INDEX(EF!$H$84:$H$99,MATCH(Emissions!$D72,EF!$D$84:$D$99,0))*INDEX(EF!$H$100:$H$115,MATCH(Emissions!$D72,EF!$D$100:$D$115,0))*INDEX(EF!$H$132:$H$147,MATCH(Emissions!$D72,EF!$D$132:$D$147,0))*kgtoGg</f>
        <v>0.49195173492320404</v>
      </c>
      <c r="AF72" s="22">
        <f>INDEX('Activity data'!AF$24:AF$39,MATCH(Emissions!$D72,'Activity data'!$D$24:$D$39,0))*INDEX(EF!$H$84:$H$99,MATCH(Emissions!$D72,EF!$D$84:$D$99,0))*INDEX(EF!$H$100:$H$115,MATCH(Emissions!$D72,EF!$D$100:$D$115,0))*INDEX(EF!$H$132:$H$147,MATCH(Emissions!$D72,EF!$D$132:$D$147,0))*kgtoGg</f>
        <v>0.49281188086525413</v>
      </c>
      <c r="AG72" s="22">
        <f>INDEX('Activity data'!AG$24:AG$39,MATCH(Emissions!$D72,'Activity data'!$D$24:$D$39,0))*INDEX(EF!$H$84:$H$99,MATCH(Emissions!$D72,EF!$D$84:$D$99,0))*INDEX(EF!$H$100:$H$115,MATCH(Emissions!$D72,EF!$D$100:$D$115,0))*INDEX(EF!$H$132:$H$147,MATCH(Emissions!$D72,EF!$D$132:$D$147,0))*kgtoGg</f>
        <v>0.49367202680730427</v>
      </c>
      <c r="AH72" s="22">
        <f>INDEX('Activity data'!AH$24:AH$39,MATCH(Emissions!$D72,'Activity data'!$D$24:$D$39,0))*INDEX(EF!$H$84:$H$99,MATCH(Emissions!$D72,EF!$D$84:$D$99,0))*INDEX(EF!$H$100:$H$115,MATCH(Emissions!$D72,EF!$D$100:$D$115,0))*INDEX(EF!$H$132:$H$147,MATCH(Emissions!$D72,EF!$D$132:$D$147,0))*kgtoGg</f>
        <v>0.49453217274935435</v>
      </c>
      <c r="AI72" s="22">
        <f>INDEX('Activity data'!AI$24:AI$39,MATCH(Emissions!$D72,'Activity data'!$D$24:$D$39,0))*INDEX(EF!$H$84:$H$99,MATCH(Emissions!$D72,EF!$D$84:$D$99,0))*INDEX(EF!$H$100:$H$115,MATCH(Emissions!$D72,EF!$D$100:$D$115,0))*INDEX(EF!$H$132:$H$147,MATCH(Emissions!$D72,EF!$D$132:$D$147,0))*kgtoGg</f>
        <v>0.49539231869140443</v>
      </c>
      <c r="AJ72" s="22">
        <f>INDEX('Activity data'!AJ$24:AJ$39,MATCH(Emissions!$D72,'Activity data'!$D$24:$D$39,0))*INDEX(EF!$H$84:$H$99,MATCH(Emissions!$D72,EF!$D$84:$D$99,0))*INDEX(EF!$H$100:$H$115,MATCH(Emissions!$D72,EF!$D$100:$D$115,0))*INDEX(EF!$H$132:$H$147,MATCH(Emissions!$D72,EF!$D$132:$D$147,0))*kgtoGg</f>
        <v>0.49625246463345457</v>
      </c>
      <c r="AK72" s="22">
        <f>INDEX('Activity data'!AK$24:AK$39,MATCH(Emissions!$D72,'Activity data'!$D$24:$D$39,0))*INDEX(EF!$H$84:$H$99,MATCH(Emissions!$D72,EF!$D$84:$D$99,0))*INDEX(EF!$H$100:$H$115,MATCH(Emissions!$D72,EF!$D$100:$D$115,0))*INDEX(EF!$H$132:$H$147,MATCH(Emissions!$D72,EF!$D$132:$D$147,0))*kgtoGg</f>
        <v>0.49279385642925139</v>
      </c>
      <c r="AL72" s="22">
        <f>INDEX('Activity data'!AL$24:AL$39,MATCH(Emissions!$D72,'Activity data'!$D$24:$D$39,0))*INDEX(EF!$H$84:$H$99,MATCH(Emissions!$D72,EF!$D$84:$D$99,0))*INDEX(EF!$H$100:$H$115,MATCH(Emissions!$D72,EF!$D$100:$D$115,0))*INDEX(EF!$H$132:$H$147,MATCH(Emissions!$D72,EF!$D$132:$D$147,0))*kgtoGg</f>
        <v>0.48933524822504815</v>
      </c>
      <c r="AM72" s="22">
        <f>INDEX('Activity data'!AM$24:AM$39,MATCH(Emissions!$D72,'Activity data'!$D$24:$D$39,0))*INDEX(EF!$H$84:$H$99,MATCH(Emissions!$D72,EF!$D$84:$D$99,0))*INDEX(EF!$H$100:$H$115,MATCH(Emissions!$D72,EF!$D$100:$D$115,0))*INDEX(EF!$H$132:$H$147,MATCH(Emissions!$D72,EF!$D$132:$D$147,0))*kgtoGg</f>
        <v>0.48587664002084496</v>
      </c>
      <c r="AN72" s="22">
        <f>INDEX('Activity data'!AN$24:AN$39,MATCH(Emissions!$D72,'Activity data'!$D$24:$D$39,0))*INDEX(EF!$H$84:$H$99,MATCH(Emissions!$D72,EF!$D$84:$D$99,0))*INDEX(EF!$H$100:$H$115,MATCH(Emissions!$D72,EF!$D$100:$D$115,0))*INDEX(EF!$H$132:$H$147,MATCH(Emissions!$D72,EF!$D$132:$D$147,0))*kgtoGg</f>
        <v>0.48241803181664178</v>
      </c>
      <c r="AO72" s="22">
        <f>INDEX('Activity data'!AO$24:AO$39,MATCH(Emissions!$D72,'Activity data'!$D$24:$D$39,0))*INDEX(EF!$H$84:$H$99,MATCH(Emissions!$D72,EF!$D$84:$D$99,0))*INDEX(EF!$H$100:$H$115,MATCH(Emissions!$D72,EF!$D$100:$D$115,0))*INDEX(EF!$H$132:$H$147,MATCH(Emissions!$D72,EF!$D$132:$D$147,0))*kgtoGg</f>
        <v>0.47895942361243865</v>
      </c>
      <c r="AP72" s="22">
        <f>INDEX('Activity data'!AP$24:AP$39,MATCH(Emissions!$D72,'Activity data'!$D$24:$D$39,0))*INDEX(EF!$H$84:$H$99,MATCH(Emissions!$D72,EF!$D$84:$D$99,0))*INDEX(EF!$H$100:$H$115,MATCH(Emissions!$D72,EF!$D$100:$D$115,0))*INDEX(EF!$H$132:$H$147,MATCH(Emissions!$D72,EF!$D$132:$D$147,0))*kgtoGg</f>
        <v>0.47550081540823552</v>
      </c>
      <c r="AQ72" s="22">
        <f>INDEX('Activity data'!AQ$24:AQ$39,MATCH(Emissions!$D72,'Activity data'!$D$24:$D$39,0))*INDEX(EF!$H$84:$H$99,MATCH(Emissions!$D72,EF!$D$84:$D$99,0))*INDEX(EF!$H$100:$H$115,MATCH(Emissions!$D72,EF!$D$100:$D$115,0))*INDEX(EF!$H$132:$H$147,MATCH(Emissions!$D72,EF!$D$132:$D$147,0))*kgtoGg</f>
        <v>0.47204220720403234</v>
      </c>
      <c r="AR72" s="22">
        <f>INDEX('Activity data'!AR$24:AR$39,MATCH(Emissions!$D72,'Activity data'!$D$24:$D$39,0))*INDEX(EF!$H$84:$H$99,MATCH(Emissions!$D72,EF!$D$84:$D$99,0))*INDEX(EF!$H$100:$H$115,MATCH(Emissions!$D72,EF!$D$100:$D$115,0))*INDEX(EF!$H$132:$H$147,MATCH(Emissions!$D72,EF!$D$132:$D$147,0))*kgtoGg</f>
        <v>0.46858359899982904</v>
      </c>
      <c r="AS72" s="22">
        <f>INDEX('Activity data'!AS$24:AS$39,MATCH(Emissions!$D72,'Activity data'!$D$24:$D$39,0))*INDEX(EF!$H$84:$H$99,MATCH(Emissions!$D72,EF!$D$84:$D$99,0))*INDEX(EF!$H$100:$H$115,MATCH(Emissions!$D72,EF!$D$100:$D$115,0))*INDEX(EF!$H$132:$H$147,MATCH(Emissions!$D72,EF!$D$132:$D$147,0))*kgtoGg</f>
        <v>0.46512499079562586</v>
      </c>
      <c r="AT72" s="22">
        <f>INDEX('Activity data'!AT$24:AT$39,MATCH(Emissions!$D72,'Activity data'!$D$24:$D$39,0))*INDEX(EF!$H$84:$H$99,MATCH(Emissions!$D72,EF!$D$84:$D$99,0))*INDEX(EF!$H$100:$H$115,MATCH(Emissions!$D72,EF!$D$100:$D$115,0))*INDEX(EF!$H$132:$H$147,MATCH(Emissions!$D72,EF!$D$132:$D$147,0))*kgtoGg</f>
        <v>0.46166638259142267</v>
      </c>
      <c r="AU72" s="22">
        <f>INDEX('Activity data'!AU$24:AU$39,MATCH(Emissions!$D72,'Activity data'!$D$24:$D$39,0))*INDEX(EF!$H$84:$H$99,MATCH(Emissions!$D72,EF!$D$84:$D$99,0))*INDEX(EF!$H$100:$H$115,MATCH(Emissions!$D72,EF!$D$100:$D$115,0))*INDEX(EF!$H$132:$H$147,MATCH(Emissions!$D72,EF!$D$132:$D$147,0))*kgtoGg</f>
        <v>0.45820777438721955</v>
      </c>
      <c r="AV72" s="22">
        <f>INDEX('Activity data'!AV$24:AV$39,MATCH(Emissions!$D72,'Activity data'!$D$24:$D$39,0))*INDEX(EF!$H$84:$H$99,MATCH(Emissions!$D72,EF!$D$84:$D$99,0))*INDEX(EF!$H$100:$H$115,MATCH(Emissions!$D72,EF!$D$100:$D$115,0))*INDEX(EF!$H$132:$H$147,MATCH(Emissions!$D72,EF!$D$132:$D$147,0))*kgtoGg</f>
        <v>0.45474916618301631</v>
      </c>
      <c r="AW72" s="22">
        <f>INDEX('Activity data'!AW$24:AW$39,MATCH(Emissions!$D72,'Activity data'!$D$24:$D$39,0))*INDEX(EF!$H$84:$H$99,MATCH(Emissions!$D72,EF!$D$84:$D$99,0))*INDEX(EF!$H$100:$H$115,MATCH(Emissions!$D72,EF!$D$100:$D$115,0))*INDEX(EF!$H$132:$H$147,MATCH(Emissions!$D72,EF!$D$132:$D$147,0))*kgtoGg</f>
        <v>0.45129055797881312</v>
      </c>
      <c r="AX72" s="22">
        <f>INDEX('Activity data'!AX$24:AX$39,MATCH(Emissions!$D72,'Activity data'!$D$24:$D$39,0))*INDEX(EF!$H$84:$H$99,MATCH(Emissions!$D72,EF!$D$84:$D$99,0))*INDEX(EF!$H$100:$H$115,MATCH(Emissions!$D72,EF!$D$100:$D$115,0))*INDEX(EF!$H$132:$H$147,MATCH(Emissions!$D72,EF!$D$132:$D$147,0))*kgtoGg</f>
        <v>0.44783194977460994</v>
      </c>
      <c r="AY72" s="22">
        <f>INDEX('Activity data'!AY$24:AY$39,MATCH(Emissions!$D72,'Activity data'!$D$24:$D$39,0))*INDEX(EF!$H$84:$H$99,MATCH(Emissions!$D72,EF!$D$84:$D$99,0))*INDEX(EF!$H$100:$H$115,MATCH(Emissions!$D72,EF!$D$100:$D$115,0))*INDEX(EF!$H$132:$H$147,MATCH(Emissions!$D72,EF!$D$132:$D$147,0))*kgtoGg</f>
        <v>0.44437334157040664</v>
      </c>
      <c r="AZ72" s="22">
        <f>INDEX('Activity data'!AZ$24:AZ$39,MATCH(Emissions!$D72,'Activity data'!$D$24:$D$39,0))*INDEX(EF!$H$84:$H$99,MATCH(Emissions!$D72,EF!$D$84:$D$99,0))*INDEX(EF!$H$100:$H$115,MATCH(Emissions!$D72,EF!$D$100:$D$115,0))*INDEX(EF!$H$132:$H$147,MATCH(Emissions!$D72,EF!$D$132:$D$147,0))*kgtoGg</f>
        <v>0.44091473336620357</v>
      </c>
      <c r="BA72" s="22">
        <f>INDEX('Activity data'!BA$24:BA$39,MATCH(Emissions!$D72,'Activity data'!$D$24:$D$39,0))*INDEX(EF!$H$84:$H$99,MATCH(Emissions!$D72,EF!$D$84:$D$99,0))*INDEX(EF!$H$100:$H$115,MATCH(Emissions!$D72,EF!$D$100:$D$115,0))*INDEX(EF!$H$132:$H$147,MATCH(Emissions!$D72,EF!$D$132:$D$147,0))*kgtoGg</f>
        <v>0.43745612516200039</v>
      </c>
      <c r="BB72" s="22">
        <f>INDEX('Activity data'!BB$24:BB$39,MATCH(Emissions!$D72,'Activity data'!$D$24:$D$39,0))*INDEX(EF!$H$84:$H$99,MATCH(Emissions!$D72,EF!$D$84:$D$99,0))*INDEX(EF!$H$100:$H$115,MATCH(Emissions!$D72,EF!$D$100:$D$115,0))*INDEX(EF!$H$132:$H$147,MATCH(Emissions!$D72,EF!$D$132:$D$147,0))*kgtoGg</f>
        <v>0.4339975169577972</v>
      </c>
      <c r="BC72" s="22">
        <f>INDEX('Activity data'!BC$24:BC$39,MATCH(Emissions!$D72,'Activity data'!$D$24:$D$39,0))*INDEX(EF!$H$84:$H$99,MATCH(Emissions!$D72,EF!$D$84:$D$99,0))*INDEX(EF!$H$100:$H$115,MATCH(Emissions!$D72,EF!$D$100:$D$115,0))*INDEX(EF!$H$132:$H$147,MATCH(Emissions!$D72,EF!$D$132:$D$147,0))*kgtoGg</f>
        <v>0.43053890875359402</v>
      </c>
      <c r="BD72" s="22">
        <f>INDEX('Activity data'!BD$24:BD$39,MATCH(Emissions!$D72,'Activity data'!$D$24:$D$39,0))*INDEX(EF!$H$84:$H$99,MATCH(Emissions!$D72,EF!$D$84:$D$99,0))*INDEX(EF!$H$100:$H$115,MATCH(Emissions!$D72,EF!$D$100:$D$115,0))*INDEX(EF!$H$132:$H$147,MATCH(Emissions!$D72,EF!$D$132:$D$147,0))*kgtoGg</f>
        <v>0.42708030054939083</v>
      </c>
      <c r="BE72" s="22">
        <f>INDEX('Activity data'!BE$24:BE$39,MATCH(Emissions!$D72,'Activity data'!$D$24:$D$39,0))*INDEX(EF!$H$84:$H$99,MATCH(Emissions!$D72,EF!$D$84:$D$99,0))*INDEX(EF!$H$100:$H$115,MATCH(Emissions!$D72,EF!$D$100:$D$115,0))*INDEX(EF!$H$132:$H$147,MATCH(Emissions!$D72,EF!$D$132:$D$147,0))*kgtoGg</f>
        <v>0.42362169234518765</v>
      </c>
      <c r="BF72" s="22">
        <f>INDEX('Activity data'!BF$24:BF$39,MATCH(Emissions!$D72,'Activity data'!$D$24:$D$39,0))*INDEX(EF!$H$84:$H$99,MATCH(Emissions!$D72,EF!$D$84:$D$99,0))*INDEX(EF!$H$100:$H$115,MATCH(Emissions!$D72,EF!$D$100:$D$115,0))*INDEX(EF!$H$132:$H$147,MATCH(Emissions!$D72,EF!$D$132:$D$147,0))*kgtoGg</f>
        <v>0.42016308414098436</v>
      </c>
      <c r="BG72" s="22">
        <f>INDEX('Activity data'!BG$24:BG$39,MATCH(Emissions!$D72,'Activity data'!$D$24:$D$39,0))*INDEX(EF!$H$84:$H$99,MATCH(Emissions!$D72,EF!$D$84:$D$99,0))*INDEX(EF!$H$100:$H$115,MATCH(Emissions!$D72,EF!$D$100:$D$115,0))*INDEX(EF!$H$132:$H$147,MATCH(Emissions!$D72,EF!$D$132:$D$147,0))*kgtoGg</f>
        <v>0.41670447593678112</v>
      </c>
      <c r="BH72" s="22">
        <f>INDEX('Activity data'!BH$24:BH$39,MATCH(Emissions!$D72,'Activity data'!$D$24:$D$39,0))*INDEX(EF!$H$84:$H$99,MATCH(Emissions!$D72,EF!$D$84:$D$99,0))*INDEX(EF!$H$100:$H$115,MATCH(Emissions!$D72,EF!$D$100:$D$115,0))*INDEX(EF!$H$132:$H$147,MATCH(Emissions!$D72,EF!$D$132:$D$147,0))*kgtoGg</f>
        <v>0.41324586773257804</v>
      </c>
      <c r="BI72" s="22">
        <f>INDEX('Activity data'!BI$24:BI$39,MATCH(Emissions!$D72,'Activity data'!$D$24:$D$39,0))*INDEX(EF!$H$84:$H$99,MATCH(Emissions!$D72,EF!$D$84:$D$99,0))*INDEX(EF!$H$100:$H$115,MATCH(Emissions!$D72,EF!$D$100:$D$115,0))*INDEX(EF!$H$132:$H$147,MATCH(Emissions!$D72,EF!$D$132:$D$147,0))*kgtoGg</f>
        <v>0.4097872595283748</v>
      </c>
      <c r="BJ72" s="22">
        <f>INDEX('Activity data'!BJ$24:BJ$39,MATCH(Emissions!$D72,'Activity data'!$D$24:$D$39,0))*INDEX(EF!$H$84:$H$99,MATCH(Emissions!$D72,EF!$D$84:$D$99,0))*INDEX(EF!$H$100:$H$115,MATCH(Emissions!$D72,EF!$D$100:$D$115,0))*INDEX(EF!$H$132:$H$147,MATCH(Emissions!$D72,EF!$D$132:$D$147,0))*kgtoGg</f>
        <v>0.40632865132417167</v>
      </c>
      <c r="BK72" s="22">
        <f>INDEX('Activity data'!BK$24:BK$39,MATCH(Emissions!$D72,'Activity data'!$D$24:$D$39,0))*INDEX(EF!$H$84:$H$99,MATCH(Emissions!$D72,EF!$D$84:$D$99,0))*INDEX(EF!$H$100:$H$115,MATCH(Emissions!$D72,EF!$D$100:$D$115,0))*INDEX(EF!$H$132:$H$147,MATCH(Emissions!$D72,EF!$D$132:$D$147,0))*kgtoGg</f>
        <v>0.40287004311996844</v>
      </c>
      <c r="BL72" s="22">
        <f>INDEX('Activity data'!BL$24:BL$39,MATCH(Emissions!$D72,'Activity data'!$D$24:$D$39,0))*INDEX(EF!$H$84:$H$99,MATCH(Emissions!$D72,EF!$D$84:$D$99,0))*INDEX(EF!$H$100:$H$115,MATCH(Emissions!$D72,EF!$D$100:$D$115,0))*INDEX(EF!$H$132:$H$147,MATCH(Emissions!$D72,EF!$D$132:$D$147,0))*kgtoGg</f>
        <v>0.39941143491576536</v>
      </c>
      <c r="BM72" s="22">
        <f>INDEX('Activity data'!BM$24:BM$39,MATCH(Emissions!$D72,'Activity data'!$D$24:$D$39,0))*INDEX(EF!$H$84:$H$99,MATCH(Emissions!$D72,EF!$D$84:$D$99,0))*INDEX(EF!$H$100:$H$115,MATCH(Emissions!$D72,EF!$D$100:$D$115,0))*INDEX(EF!$H$132:$H$147,MATCH(Emissions!$D72,EF!$D$132:$D$147,0))*kgtoGg</f>
        <v>0.39595282671156223</v>
      </c>
      <c r="BN72" s="22">
        <f>INDEX('Activity data'!BN$24:BN$39,MATCH(Emissions!$D72,'Activity data'!$D$24:$D$39,0))*INDEX(EF!$H$84:$H$99,MATCH(Emissions!$D72,EF!$D$84:$D$99,0))*INDEX(EF!$H$100:$H$115,MATCH(Emissions!$D72,EF!$D$100:$D$115,0))*INDEX(EF!$H$132:$H$147,MATCH(Emissions!$D72,EF!$D$132:$D$147,0))*kgtoGg</f>
        <v>0.3924942185073591</v>
      </c>
      <c r="BO72" s="22">
        <f>INDEX('Activity data'!BO$24:BO$39,MATCH(Emissions!$D72,'Activity data'!$D$24:$D$39,0))*INDEX(EF!$H$84:$H$99,MATCH(Emissions!$D72,EF!$D$84:$D$99,0))*INDEX(EF!$H$100:$H$115,MATCH(Emissions!$D72,EF!$D$100:$D$115,0))*INDEX(EF!$H$132:$H$147,MATCH(Emissions!$D72,EF!$D$132:$D$147,0))*kgtoGg</f>
        <v>0.38903561030315592</v>
      </c>
      <c r="BP72" s="22">
        <f>INDEX('Activity data'!BP$24:BP$39,MATCH(Emissions!$D72,'Activity data'!$D$24:$D$39,0))*INDEX(EF!$H$84:$H$99,MATCH(Emissions!$D72,EF!$D$84:$D$99,0))*INDEX(EF!$H$100:$H$115,MATCH(Emissions!$D72,EF!$D$100:$D$115,0))*INDEX(EF!$H$132:$H$147,MATCH(Emissions!$D72,EF!$D$132:$D$147,0))*kgtoGg</f>
        <v>0.38557700209895263</v>
      </c>
    </row>
    <row r="73" spans="1:68" x14ac:dyDescent="0.25">
      <c r="A73" t="str">
        <f t="shared" si="19"/>
        <v>3C Aggregated and non-CO2 emissions on land</v>
      </c>
      <c r="B73" t="str">
        <f t="shared" si="26"/>
        <v>3C1 Biomass burning (N2O)</v>
      </c>
      <c r="C73" t="str">
        <f t="shared" si="25"/>
        <v>3C1a Biomass burning in forest land</v>
      </c>
      <c r="D73" t="str">
        <f>EF!D103</f>
        <v>Plantations</v>
      </c>
      <c r="E73" t="s">
        <v>644</v>
      </c>
      <c r="F73" t="str">
        <f t="shared" si="27"/>
        <v>N2O</v>
      </c>
      <c r="G73" t="str">
        <f t="shared" si="28"/>
        <v>Gg N2O</v>
      </c>
      <c r="H73" s="22">
        <f>INDEX('Activity data'!H$24:H$39,MATCH(Emissions!$D73,'Activity data'!$D$24:$D$39,0))*INDEX(EF!$H$84:$H$99,MATCH(Emissions!$D73,EF!$D$84:$D$99,0))*INDEX(EF!$H$100:$H$115,MATCH(Emissions!$D73,EF!$D$100:$D$115,0))*INDEX(EF!$H$132:$H$147,MATCH(Emissions!$D73,EF!$D$132:$D$147,0))*kgtoGg</f>
        <v>0.41734182049814844</v>
      </c>
      <c r="I73" s="22">
        <f>INDEX('Activity data'!I$24:I$39,MATCH(Emissions!$D73,'Activity data'!$D$24:$D$39,0))*INDEX(EF!$H$84:$H$99,MATCH(Emissions!$D73,EF!$D$84:$D$99,0))*INDEX(EF!$H$100:$H$115,MATCH(Emissions!$D73,EF!$D$100:$D$115,0))*INDEX(EF!$H$132:$H$147,MATCH(Emissions!$D73,EF!$D$132:$D$147,0))*kgtoGg</f>
        <v>0.41734182049814844</v>
      </c>
      <c r="J73" s="22">
        <f>INDEX('Activity data'!J$24:J$39,MATCH(Emissions!$D73,'Activity data'!$D$24:$D$39,0))*INDEX(EF!$H$84:$H$99,MATCH(Emissions!$D73,EF!$D$84:$D$99,0))*INDEX(EF!$H$100:$H$115,MATCH(Emissions!$D73,EF!$D$100:$D$115,0))*INDEX(EF!$H$132:$H$147,MATCH(Emissions!$D73,EF!$D$132:$D$147,0))*kgtoGg</f>
        <v>0.41734182049814844</v>
      </c>
      <c r="K73" s="22">
        <f>INDEX('Activity data'!K$24:K$39,MATCH(Emissions!$D73,'Activity data'!$D$24:$D$39,0))*INDEX(EF!$H$84:$H$99,MATCH(Emissions!$D73,EF!$D$84:$D$99,0))*INDEX(EF!$H$100:$H$115,MATCH(Emissions!$D73,EF!$D$100:$D$115,0))*INDEX(EF!$H$132:$H$147,MATCH(Emissions!$D73,EF!$D$132:$D$147,0))*kgtoGg</f>
        <v>0.41734182049814844</v>
      </c>
      <c r="L73" s="22">
        <f>INDEX('Activity data'!L$24:L$39,MATCH(Emissions!$D73,'Activity data'!$D$24:$D$39,0))*INDEX(EF!$H$84:$H$99,MATCH(Emissions!$D73,EF!$D$84:$D$99,0))*INDEX(EF!$H$100:$H$115,MATCH(Emissions!$D73,EF!$D$100:$D$115,0))*INDEX(EF!$H$132:$H$147,MATCH(Emissions!$D73,EF!$D$132:$D$147,0))*kgtoGg</f>
        <v>0.41734182049814844</v>
      </c>
      <c r="M73" s="22">
        <f>INDEX('Activity data'!M$24:M$39,MATCH(Emissions!$D73,'Activity data'!$D$24:$D$39,0))*INDEX(EF!$H$84:$H$99,MATCH(Emissions!$D73,EF!$D$84:$D$99,0))*INDEX(EF!$H$100:$H$115,MATCH(Emissions!$D73,EF!$D$100:$D$115,0))*INDEX(EF!$H$132:$H$147,MATCH(Emissions!$D73,EF!$D$132:$D$147,0))*kgtoGg</f>
        <v>0.41734182049814844</v>
      </c>
      <c r="N73" s="22">
        <f>INDEX('Activity data'!N$24:N$39,MATCH(Emissions!$D73,'Activity data'!$D$24:$D$39,0))*INDEX(EF!$H$84:$H$99,MATCH(Emissions!$D73,EF!$D$84:$D$99,0))*INDEX(EF!$H$100:$H$115,MATCH(Emissions!$D73,EF!$D$100:$D$115,0))*INDEX(EF!$H$132:$H$147,MATCH(Emissions!$D73,EF!$D$132:$D$147,0))*kgtoGg</f>
        <v>0.41734182049814844</v>
      </c>
      <c r="O73" s="22">
        <f>INDEX('Activity data'!O$24:O$39,MATCH(Emissions!$D73,'Activity data'!$D$24:$D$39,0))*INDEX(EF!$H$84:$H$99,MATCH(Emissions!$D73,EF!$D$84:$D$99,0))*INDEX(EF!$H$100:$H$115,MATCH(Emissions!$D73,EF!$D$100:$D$115,0))*INDEX(EF!$H$132:$H$147,MATCH(Emissions!$D73,EF!$D$132:$D$147,0))*kgtoGg</f>
        <v>0.41734182049814844</v>
      </c>
      <c r="P73" s="22">
        <f>INDEX('Activity data'!P$24:P$39,MATCH(Emissions!$D73,'Activity data'!$D$24:$D$39,0))*INDEX(EF!$H$84:$H$99,MATCH(Emissions!$D73,EF!$D$84:$D$99,0))*INDEX(EF!$H$100:$H$115,MATCH(Emissions!$D73,EF!$D$100:$D$115,0))*INDEX(EF!$H$132:$H$147,MATCH(Emissions!$D73,EF!$D$132:$D$147,0))*kgtoGg</f>
        <v>0.41734182049814844</v>
      </c>
      <c r="Q73" s="22">
        <f>INDEX('Activity data'!Q$24:Q$39,MATCH(Emissions!$D73,'Activity data'!$D$24:$D$39,0))*INDEX(EF!$H$84:$H$99,MATCH(Emissions!$D73,EF!$D$84:$D$99,0))*INDEX(EF!$H$100:$H$115,MATCH(Emissions!$D73,EF!$D$100:$D$115,0))*INDEX(EF!$H$132:$H$147,MATCH(Emissions!$D73,EF!$D$132:$D$147,0))*kgtoGg</f>
        <v>0.41734182049814844</v>
      </c>
      <c r="R73" s="22">
        <f>INDEX('Activity data'!R$24:R$39,MATCH(Emissions!$D73,'Activity data'!$D$24:$D$39,0))*INDEX(EF!$H$84:$H$99,MATCH(Emissions!$D73,EF!$D$84:$D$99,0))*INDEX(EF!$H$100:$H$115,MATCH(Emissions!$D73,EF!$D$100:$D$115,0))*INDEX(EF!$H$132:$H$147,MATCH(Emissions!$D73,EF!$D$132:$D$147,0))*kgtoGg</f>
        <v>0.38057445764127906</v>
      </c>
      <c r="S73" s="22">
        <f>INDEX('Activity data'!S$24:S$39,MATCH(Emissions!$D73,'Activity data'!$D$24:$D$39,0))*INDEX(EF!$H$84:$H$99,MATCH(Emissions!$D73,EF!$D$84:$D$99,0))*INDEX(EF!$H$100:$H$115,MATCH(Emissions!$D73,EF!$D$100:$D$115,0))*INDEX(EF!$H$132:$H$147,MATCH(Emissions!$D73,EF!$D$132:$D$147,0))*kgtoGg</f>
        <v>0.46846135569826935</v>
      </c>
      <c r="T73" s="22">
        <f>INDEX('Activity data'!T$24:T$39,MATCH(Emissions!$D73,'Activity data'!$D$24:$D$39,0))*INDEX(EF!$H$84:$H$99,MATCH(Emissions!$D73,EF!$D$84:$D$99,0))*INDEX(EF!$H$100:$H$115,MATCH(Emissions!$D73,EF!$D$100:$D$115,0))*INDEX(EF!$H$132:$H$147,MATCH(Emissions!$D73,EF!$D$132:$D$147,0))*kgtoGg</f>
        <v>0.41826906758774046</v>
      </c>
      <c r="U73" s="22">
        <f>INDEX('Activity data'!U$24:U$39,MATCH(Emissions!$D73,'Activity data'!$D$24:$D$39,0))*INDEX(EF!$H$84:$H$99,MATCH(Emissions!$D73,EF!$D$84:$D$99,0))*INDEX(EF!$H$100:$H$115,MATCH(Emissions!$D73,EF!$D$100:$D$115,0))*INDEX(EF!$H$132:$H$147,MATCH(Emissions!$D73,EF!$D$132:$D$147,0))*kgtoGg</f>
        <v>0.48559526931029728</v>
      </c>
      <c r="V73" s="22">
        <f>INDEX('Activity data'!V$24:V$39,MATCH(Emissions!$D73,'Activity data'!$D$24:$D$39,0))*INDEX(EF!$H$84:$H$99,MATCH(Emissions!$D73,EF!$D$84:$D$99,0))*INDEX(EF!$H$100:$H$115,MATCH(Emissions!$D73,EF!$D$100:$D$115,0))*INDEX(EF!$H$132:$H$147,MATCH(Emissions!$D73,EF!$D$132:$D$147,0))*kgtoGg</f>
        <v>0.33380895225315582</v>
      </c>
      <c r="W73" s="22">
        <f>INDEX('Activity data'!W$24:W$39,MATCH(Emissions!$D73,'Activity data'!$D$24:$D$39,0))*INDEX(EF!$H$84:$H$99,MATCH(Emissions!$D73,EF!$D$84:$D$99,0))*INDEX(EF!$H$100:$H$115,MATCH(Emissions!$D73,EF!$D$100:$D$115,0))*INDEX(EF!$H$132:$H$147,MATCH(Emissions!$D73,EF!$D$132:$D$147,0))*kgtoGg</f>
        <v>0.48922362748696191</v>
      </c>
      <c r="X73" s="22">
        <f>INDEX('Activity data'!X$24:X$39,MATCH(Emissions!$D73,'Activity data'!$D$24:$D$39,0))*INDEX(EF!$H$84:$H$99,MATCH(Emissions!$D73,EF!$D$84:$D$99,0))*INDEX(EF!$H$100:$H$115,MATCH(Emissions!$D73,EF!$D$100:$D$115,0))*INDEX(EF!$H$132:$H$147,MATCH(Emissions!$D73,EF!$D$132:$D$147,0))*kgtoGg</f>
        <v>0.38238863672961138</v>
      </c>
      <c r="Y73" s="22">
        <f>INDEX('Activity data'!Y$24:Y$39,MATCH(Emissions!$D73,'Activity data'!$D$24:$D$39,0))*INDEX(EF!$H$84:$H$99,MATCH(Emissions!$D73,EF!$D$84:$D$99,0))*INDEX(EF!$H$100:$H$115,MATCH(Emissions!$D73,EF!$D$100:$D$115,0))*INDEX(EF!$H$132:$H$147,MATCH(Emissions!$D73,EF!$D$132:$D$147,0))*kgtoGg</f>
        <v>0.71196450444332493</v>
      </c>
      <c r="Z73" s="22">
        <f>INDEX('Activity data'!Z$24:Z$39,MATCH(Emissions!$D73,'Activity data'!$D$24:$D$39,0))*INDEX(EF!$H$84:$H$99,MATCH(Emissions!$D73,EF!$D$84:$D$99,0))*INDEX(EF!$H$100:$H$115,MATCH(Emissions!$D73,EF!$D$100:$D$115,0))*INDEX(EF!$H$132:$H$147,MATCH(Emissions!$D73,EF!$D$132:$D$147,0))*kgtoGg</f>
        <v>0.45999518661938493</v>
      </c>
      <c r="AA73" s="22">
        <f>INDEX('Activity data'!AA$24:AA$39,MATCH(Emissions!$D73,'Activity data'!$D$24:$D$39,0))*INDEX(EF!$H$84:$H$99,MATCH(Emissions!$D73,EF!$D$84:$D$99,0))*INDEX(EF!$H$100:$H$115,MATCH(Emissions!$D73,EF!$D$100:$D$115,0))*INDEX(EF!$H$132:$H$147,MATCH(Emissions!$D73,EF!$D$132:$D$147,0))*kgtoGg</f>
        <v>0.39186268307979161</v>
      </c>
      <c r="AB73" s="22">
        <f>INDEX('Activity data'!AB$24:AB$39,MATCH(Emissions!$D73,'Activity data'!$D$24:$D$39,0))*INDEX(EF!$H$84:$H$99,MATCH(Emissions!$D73,EF!$D$84:$D$99,0))*INDEX(EF!$H$100:$H$115,MATCH(Emissions!$D73,EF!$D$100:$D$115,0))*INDEX(EF!$H$132:$H$147,MATCH(Emissions!$D73,EF!$D$132:$D$147,0))*kgtoGg</f>
        <v>0.33076409184</v>
      </c>
      <c r="AC73" s="22">
        <f>INDEX('Activity data'!AC$24:AC$39,MATCH(Emissions!$D73,'Activity data'!$D$24:$D$39,0))*INDEX(EF!$H$84:$H$99,MATCH(Emissions!$D73,EF!$D$84:$D$99,0))*INDEX(EF!$H$100:$H$115,MATCH(Emissions!$D73,EF!$D$100:$D$115,0))*INDEX(EF!$H$132:$H$147,MATCH(Emissions!$D73,EF!$D$132:$D$147,0))*kgtoGg</f>
        <v>0.37630311264000005</v>
      </c>
      <c r="AD73" s="22">
        <f>INDEX('Activity data'!AD$24:AD$39,MATCH(Emissions!$D73,'Activity data'!$D$24:$D$39,0))*INDEX(EF!$H$84:$H$99,MATCH(Emissions!$D73,EF!$D$84:$D$99,0))*INDEX(EF!$H$100:$H$115,MATCH(Emissions!$D73,EF!$D$100:$D$115,0))*INDEX(EF!$H$132:$H$147,MATCH(Emissions!$D73,EF!$D$132:$D$147,0))*kgtoGg</f>
        <v>0.11606648834006898</v>
      </c>
      <c r="AE73" s="22">
        <f>INDEX('Activity data'!AE$24:AE$39,MATCH(Emissions!$D73,'Activity data'!$D$24:$D$39,0))*INDEX(EF!$H$84:$H$99,MATCH(Emissions!$D73,EF!$D$84:$D$99,0))*INDEX(EF!$H$100:$H$115,MATCH(Emissions!$D73,EF!$D$100:$D$115,0))*INDEX(EF!$H$132:$H$147,MATCH(Emissions!$D73,EF!$D$132:$D$147,0))*kgtoGg</f>
        <v>0.21826021634006895</v>
      </c>
      <c r="AF73" s="22">
        <f>INDEX('Activity data'!AF$24:AF$39,MATCH(Emissions!$D73,'Activity data'!$D$24:$D$39,0))*INDEX(EF!$H$84:$H$99,MATCH(Emissions!$D73,EF!$D$84:$D$99,0))*INDEX(EF!$H$100:$H$115,MATCH(Emissions!$D73,EF!$D$100:$D$115,0))*INDEX(EF!$H$132:$H$147,MATCH(Emissions!$D73,EF!$D$132:$D$147,0))*kgtoGg</f>
        <v>0.17623132034006897</v>
      </c>
      <c r="AG73" s="22">
        <f>INDEX('Activity data'!AG$24:AG$39,MATCH(Emissions!$D73,'Activity data'!$D$24:$D$39,0))*INDEX(EF!$H$84:$H$99,MATCH(Emissions!$D73,EF!$D$84:$D$99,0))*INDEX(EF!$H$100:$H$115,MATCH(Emissions!$D73,EF!$D$100:$D$115,0))*INDEX(EF!$H$132:$H$147,MATCH(Emissions!$D73,EF!$D$132:$D$147,0))*kgtoGg</f>
        <v>0.13670965634006899</v>
      </c>
      <c r="AH73" s="22">
        <f>INDEX('Activity data'!AH$24:AH$39,MATCH(Emissions!$D73,'Activity data'!$D$24:$D$39,0))*INDEX(EF!$H$84:$H$99,MATCH(Emissions!$D73,EF!$D$84:$D$99,0))*INDEX(EF!$H$100:$H$115,MATCH(Emissions!$D73,EF!$D$100:$D$115,0))*INDEX(EF!$H$132:$H$147,MATCH(Emissions!$D73,EF!$D$132:$D$147,0))*kgtoGg</f>
        <v>0.15645301634006897</v>
      </c>
      <c r="AI73" s="22">
        <f>INDEX('Activity data'!AI$24:AI$39,MATCH(Emissions!$D73,'Activity data'!$D$24:$D$39,0))*INDEX(EF!$H$84:$H$99,MATCH(Emissions!$D73,EF!$D$84:$D$99,0))*INDEX(EF!$H$100:$H$115,MATCH(Emissions!$D73,EF!$D$100:$D$115,0))*INDEX(EF!$H$132:$H$147,MATCH(Emissions!$D73,EF!$D$132:$D$147,0))*kgtoGg</f>
        <v>0.17325234434006898</v>
      </c>
      <c r="AJ73" s="22">
        <f>INDEX('Activity data'!AJ$24:AJ$39,MATCH(Emissions!$D73,'Activity data'!$D$24:$D$39,0))*INDEX(EF!$H$84:$H$99,MATCH(Emissions!$D73,EF!$D$84:$D$99,0))*INDEX(EF!$H$100:$H$115,MATCH(Emissions!$D73,EF!$D$100:$D$115,0))*INDEX(EF!$H$132:$H$147,MATCH(Emissions!$D73,EF!$D$132:$D$147,0))*kgtoGg</f>
        <v>0.17325234434006898</v>
      </c>
      <c r="AK73" s="22">
        <f>INDEX('Activity data'!AK$24:AK$39,MATCH(Emissions!$D73,'Activity data'!$D$24:$D$39,0))*INDEX(EF!$H$84:$H$99,MATCH(Emissions!$D73,EF!$D$84:$D$99,0))*INDEX(EF!$H$100:$H$115,MATCH(Emissions!$D73,EF!$D$100:$D$115,0))*INDEX(EF!$H$132:$H$147,MATCH(Emissions!$D73,EF!$D$132:$D$147,0))*kgtoGg</f>
        <v>0.17400449885772937</v>
      </c>
      <c r="AL73" s="22">
        <f>INDEX('Activity data'!AL$24:AL$39,MATCH(Emissions!$D73,'Activity data'!$D$24:$D$39,0))*INDEX(EF!$H$84:$H$99,MATCH(Emissions!$D73,EF!$D$84:$D$99,0))*INDEX(EF!$H$100:$H$115,MATCH(Emissions!$D73,EF!$D$100:$D$115,0))*INDEX(EF!$H$132:$H$147,MATCH(Emissions!$D73,EF!$D$132:$D$147,0))*kgtoGg</f>
        <v>0.17475665337538968</v>
      </c>
      <c r="AM73" s="22">
        <f>INDEX('Activity data'!AM$24:AM$39,MATCH(Emissions!$D73,'Activity data'!$D$24:$D$39,0))*INDEX(EF!$H$84:$H$99,MATCH(Emissions!$D73,EF!$D$84:$D$99,0))*INDEX(EF!$H$100:$H$115,MATCH(Emissions!$D73,EF!$D$100:$D$115,0))*INDEX(EF!$H$132:$H$147,MATCH(Emissions!$D73,EF!$D$132:$D$147,0))*kgtoGg</f>
        <v>0.17550880789305007</v>
      </c>
      <c r="AN73" s="22">
        <f>INDEX('Activity data'!AN$24:AN$39,MATCH(Emissions!$D73,'Activity data'!$D$24:$D$39,0))*INDEX(EF!$H$84:$H$99,MATCH(Emissions!$D73,EF!$D$84:$D$99,0))*INDEX(EF!$H$100:$H$115,MATCH(Emissions!$D73,EF!$D$100:$D$115,0))*INDEX(EF!$H$132:$H$147,MATCH(Emissions!$D73,EF!$D$132:$D$147,0))*kgtoGg</f>
        <v>0.17626096241071046</v>
      </c>
      <c r="AO73" s="22">
        <f>INDEX('Activity data'!AO$24:AO$39,MATCH(Emissions!$D73,'Activity data'!$D$24:$D$39,0))*INDEX(EF!$H$84:$H$99,MATCH(Emissions!$D73,EF!$D$84:$D$99,0))*INDEX(EF!$H$100:$H$115,MATCH(Emissions!$D73,EF!$D$100:$D$115,0))*INDEX(EF!$H$132:$H$147,MATCH(Emissions!$D73,EF!$D$132:$D$147,0))*kgtoGg</f>
        <v>0.17701311692837082</v>
      </c>
      <c r="AP73" s="22">
        <f>INDEX('Activity data'!AP$24:AP$39,MATCH(Emissions!$D73,'Activity data'!$D$24:$D$39,0))*INDEX(EF!$H$84:$H$99,MATCH(Emissions!$D73,EF!$D$84:$D$99,0))*INDEX(EF!$H$100:$H$115,MATCH(Emissions!$D73,EF!$D$100:$D$115,0))*INDEX(EF!$H$132:$H$147,MATCH(Emissions!$D73,EF!$D$132:$D$147,0))*kgtoGg</f>
        <v>0.17776527144603119</v>
      </c>
      <c r="AQ73" s="22">
        <f>INDEX('Activity data'!AQ$24:AQ$39,MATCH(Emissions!$D73,'Activity data'!$D$24:$D$39,0))*INDEX(EF!$H$84:$H$99,MATCH(Emissions!$D73,EF!$D$84:$D$99,0))*INDEX(EF!$H$100:$H$115,MATCH(Emissions!$D73,EF!$D$100:$D$115,0))*INDEX(EF!$H$132:$H$147,MATCH(Emissions!$D73,EF!$D$132:$D$147,0))*kgtoGg</f>
        <v>0.17851742596369158</v>
      </c>
      <c r="AR73" s="22">
        <f>INDEX('Activity data'!AR$24:AR$39,MATCH(Emissions!$D73,'Activity data'!$D$24:$D$39,0))*INDEX(EF!$H$84:$H$99,MATCH(Emissions!$D73,EF!$D$84:$D$99,0))*INDEX(EF!$H$100:$H$115,MATCH(Emissions!$D73,EF!$D$100:$D$115,0))*INDEX(EF!$H$132:$H$147,MATCH(Emissions!$D73,EF!$D$132:$D$147,0))*kgtoGg</f>
        <v>0.17926958048135197</v>
      </c>
      <c r="AS73" s="22">
        <f>INDEX('Activity data'!AS$24:AS$39,MATCH(Emissions!$D73,'Activity data'!$D$24:$D$39,0))*INDEX(EF!$H$84:$H$99,MATCH(Emissions!$D73,EF!$D$84:$D$99,0))*INDEX(EF!$H$100:$H$115,MATCH(Emissions!$D73,EF!$D$100:$D$115,0))*INDEX(EF!$H$132:$H$147,MATCH(Emissions!$D73,EF!$D$132:$D$147,0))*kgtoGg</f>
        <v>0.18002173499901231</v>
      </c>
      <c r="AT73" s="22">
        <f>INDEX('Activity data'!AT$24:AT$39,MATCH(Emissions!$D73,'Activity data'!$D$24:$D$39,0))*INDEX(EF!$H$84:$H$99,MATCH(Emissions!$D73,EF!$D$84:$D$99,0))*INDEX(EF!$H$100:$H$115,MATCH(Emissions!$D73,EF!$D$100:$D$115,0))*INDEX(EF!$H$132:$H$147,MATCH(Emissions!$D73,EF!$D$132:$D$147,0))*kgtoGg</f>
        <v>0.18077388951667267</v>
      </c>
      <c r="AU73" s="22">
        <f>INDEX('Activity data'!AU$24:AU$39,MATCH(Emissions!$D73,'Activity data'!$D$24:$D$39,0))*INDEX(EF!$H$84:$H$99,MATCH(Emissions!$D73,EF!$D$84:$D$99,0))*INDEX(EF!$H$100:$H$115,MATCH(Emissions!$D73,EF!$D$100:$D$115,0))*INDEX(EF!$H$132:$H$147,MATCH(Emissions!$D73,EF!$D$132:$D$147,0))*kgtoGg</f>
        <v>0.18152604403433303</v>
      </c>
      <c r="AV73" s="22">
        <f>INDEX('Activity data'!AV$24:AV$39,MATCH(Emissions!$D73,'Activity data'!$D$24:$D$39,0))*INDEX(EF!$H$84:$H$99,MATCH(Emissions!$D73,EF!$D$84:$D$99,0))*INDEX(EF!$H$100:$H$115,MATCH(Emissions!$D73,EF!$D$100:$D$115,0))*INDEX(EF!$H$132:$H$147,MATCH(Emissions!$D73,EF!$D$132:$D$147,0))*kgtoGg</f>
        <v>0.18227819855199343</v>
      </c>
      <c r="AW73" s="22">
        <f>INDEX('Activity data'!AW$24:AW$39,MATCH(Emissions!$D73,'Activity data'!$D$24:$D$39,0))*INDEX(EF!$H$84:$H$99,MATCH(Emissions!$D73,EF!$D$84:$D$99,0))*INDEX(EF!$H$100:$H$115,MATCH(Emissions!$D73,EF!$D$100:$D$115,0))*INDEX(EF!$H$132:$H$147,MATCH(Emissions!$D73,EF!$D$132:$D$147,0))*kgtoGg</f>
        <v>0.18227819855199343</v>
      </c>
      <c r="AX73" s="22">
        <f>INDEX('Activity data'!AX$24:AX$39,MATCH(Emissions!$D73,'Activity data'!$D$24:$D$39,0))*INDEX(EF!$H$84:$H$99,MATCH(Emissions!$D73,EF!$D$84:$D$99,0))*INDEX(EF!$H$100:$H$115,MATCH(Emissions!$D73,EF!$D$100:$D$115,0))*INDEX(EF!$H$132:$H$147,MATCH(Emissions!$D73,EF!$D$132:$D$147,0))*kgtoGg</f>
        <v>0.18227819855199343</v>
      </c>
      <c r="AY73" s="22">
        <f>INDEX('Activity data'!AY$24:AY$39,MATCH(Emissions!$D73,'Activity data'!$D$24:$D$39,0))*INDEX(EF!$H$84:$H$99,MATCH(Emissions!$D73,EF!$D$84:$D$99,0))*INDEX(EF!$H$100:$H$115,MATCH(Emissions!$D73,EF!$D$100:$D$115,0))*INDEX(EF!$H$132:$H$147,MATCH(Emissions!$D73,EF!$D$132:$D$147,0))*kgtoGg</f>
        <v>0.18227819855199343</v>
      </c>
      <c r="AZ73" s="22">
        <f>INDEX('Activity data'!AZ$24:AZ$39,MATCH(Emissions!$D73,'Activity data'!$D$24:$D$39,0))*INDEX(EF!$H$84:$H$99,MATCH(Emissions!$D73,EF!$D$84:$D$99,0))*INDEX(EF!$H$100:$H$115,MATCH(Emissions!$D73,EF!$D$100:$D$115,0))*INDEX(EF!$H$132:$H$147,MATCH(Emissions!$D73,EF!$D$132:$D$147,0))*kgtoGg</f>
        <v>0.18227819855199343</v>
      </c>
      <c r="BA73" s="22">
        <f>INDEX('Activity data'!BA$24:BA$39,MATCH(Emissions!$D73,'Activity data'!$D$24:$D$39,0))*INDEX(EF!$H$84:$H$99,MATCH(Emissions!$D73,EF!$D$84:$D$99,0))*INDEX(EF!$H$100:$H$115,MATCH(Emissions!$D73,EF!$D$100:$D$115,0))*INDEX(EF!$H$132:$H$147,MATCH(Emissions!$D73,EF!$D$132:$D$147,0))*kgtoGg</f>
        <v>0.18227819855199343</v>
      </c>
      <c r="BB73" s="22">
        <f>INDEX('Activity data'!BB$24:BB$39,MATCH(Emissions!$D73,'Activity data'!$D$24:$D$39,0))*INDEX(EF!$H$84:$H$99,MATCH(Emissions!$D73,EF!$D$84:$D$99,0))*INDEX(EF!$H$100:$H$115,MATCH(Emissions!$D73,EF!$D$100:$D$115,0))*INDEX(EF!$H$132:$H$147,MATCH(Emissions!$D73,EF!$D$132:$D$147,0))*kgtoGg</f>
        <v>0.18227819855199343</v>
      </c>
      <c r="BC73" s="22">
        <f>INDEX('Activity data'!BC$24:BC$39,MATCH(Emissions!$D73,'Activity data'!$D$24:$D$39,0))*INDEX(EF!$H$84:$H$99,MATCH(Emissions!$D73,EF!$D$84:$D$99,0))*INDEX(EF!$H$100:$H$115,MATCH(Emissions!$D73,EF!$D$100:$D$115,0))*INDEX(EF!$H$132:$H$147,MATCH(Emissions!$D73,EF!$D$132:$D$147,0))*kgtoGg</f>
        <v>0.18227819855199343</v>
      </c>
      <c r="BD73" s="22">
        <f>INDEX('Activity data'!BD$24:BD$39,MATCH(Emissions!$D73,'Activity data'!$D$24:$D$39,0))*INDEX(EF!$H$84:$H$99,MATCH(Emissions!$D73,EF!$D$84:$D$99,0))*INDEX(EF!$H$100:$H$115,MATCH(Emissions!$D73,EF!$D$100:$D$115,0))*INDEX(EF!$H$132:$H$147,MATCH(Emissions!$D73,EF!$D$132:$D$147,0))*kgtoGg</f>
        <v>0.18227819855199343</v>
      </c>
      <c r="BE73" s="22">
        <f>INDEX('Activity data'!BE$24:BE$39,MATCH(Emissions!$D73,'Activity data'!$D$24:$D$39,0))*INDEX(EF!$H$84:$H$99,MATCH(Emissions!$D73,EF!$D$84:$D$99,0))*INDEX(EF!$H$100:$H$115,MATCH(Emissions!$D73,EF!$D$100:$D$115,0))*INDEX(EF!$H$132:$H$147,MATCH(Emissions!$D73,EF!$D$132:$D$147,0))*kgtoGg</f>
        <v>0.18152604403433303</v>
      </c>
      <c r="BF73" s="22">
        <f>INDEX('Activity data'!BF$24:BF$39,MATCH(Emissions!$D73,'Activity data'!$D$24:$D$39,0))*INDEX(EF!$H$84:$H$99,MATCH(Emissions!$D73,EF!$D$84:$D$99,0))*INDEX(EF!$H$100:$H$115,MATCH(Emissions!$D73,EF!$D$100:$D$115,0))*INDEX(EF!$H$132:$H$147,MATCH(Emissions!$D73,EF!$D$132:$D$147,0))*kgtoGg</f>
        <v>0.18077388951667267</v>
      </c>
      <c r="BG73" s="22">
        <f>INDEX('Activity data'!BG$24:BG$39,MATCH(Emissions!$D73,'Activity data'!$D$24:$D$39,0))*INDEX(EF!$H$84:$H$99,MATCH(Emissions!$D73,EF!$D$84:$D$99,0))*INDEX(EF!$H$100:$H$115,MATCH(Emissions!$D73,EF!$D$100:$D$115,0))*INDEX(EF!$H$132:$H$147,MATCH(Emissions!$D73,EF!$D$132:$D$147,0))*kgtoGg</f>
        <v>0.18002173499901231</v>
      </c>
      <c r="BH73" s="22">
        <f>INDEX('Activity data'!BH$24:BH$39,MATCH(Emissions!$D73,'Activity data'!$D$24:$D$39,0))*INDEX(EF!$H$84:$H$99,MATCH(Emissions!$D73,EF!$D$84:$D$99,0))*INDEX(EF!$H$100:$H$115,MATCH(Emissions!$D73,EF!$D$100:$D$115,0))*INDEX(EF!$H$132:$H$147,MATCH(Emissions!$D73,EF!$D$132:$D$147,0))*kgtoGg</f>
        <v>0.17926958048135197</v>
      </c>
      <c r="BI73" s="22">
        <f>INDEX('Activity data'!BI$24:BI$39,MATCH(Emissions!$D73,'Activity data'!$D$24:$D$39,0))*INDEX(EF!$H$84:$H$99,MATCH(Emissions!$D73,EF!$D$84:$D$99,0))*INDEX(EF!$H$100:$H$115,MATCH(Emissions!$D73,EF!$D$100:$D$115,0))*INDEX(EF!$H$132:$H$147,MATCH(Emissions!$D73,EF!$D$132:$D$147,0))*kgtoGg</f>
        <v>0.17851742596369158</v>
      </c>
      <c r="BJ73" s="22">
        <f>INDEX('Activity data'!BJ$24:BJ$39,MATCH(Emissions!$D73,'Activity data'!$D$24:$D$39,0))*INDEX(EF!$H$84:$H$99,MATCH(Emissions!$D73,EF!$D$84:$D$99,0))*INDEX(EF!$H$100:$H$115,MATCH(Emissions!$D73,EF!$D$100:$D$115,0))*INDEX(EF!$H$132:$H$147,MATCH(Emissions!$D73,EF!$D$132:$D$147,0))*kgtoGg</f>
        <v>0.17776527144603119</v>
      </c>
      <c r="BK73" s="22">
        <f>INDEX('Activity data'!BK$24:BK$39,MATCH(Emissions!$D73,'Activity data'!$D$24:$D$39,0))*INDEX(EF!$H$84:$H$99,MATCH(Emissions!$D73,EF!$D$84:$D$99,0))*INDEX(EF!$H$100:$H$115,MATCH(Emissions!$D73,EF!$D$100:$D$115,0))*INDEX(EF!$H$132:$H$147,MATCH(Emissions!$D73,EF!$D$132:$D$147,0))*kgtoGg</f>
        <v>0.17701311692837082</v>
      </c>
      <c r="BL73" s="22">
        <f>INDEX('Activity data'!BL$24:BL$39,MATCH(Emissions!$D73,'Activity data'!$D$24:$D$39,0))*INDEX(EF!$H$84:$H$99,MATCH(Emissions!$D73,EF!$D$84:$D$99,0))*INDEX(EF!$H$100:$H$115,MATCH(Emissions!$D73,EF!$D$100:$D$115,0))*INDEX(EF!$H$132:$H$147,MATCH(Emissions!$D73,EF!$D$132:$D$147,0))*kgtoGg</f>
        <v>0.17626096241071046</v>
      </c>
      <c r="BM73" s="22">
        <f>INDEX('Activity data'!BM$24:BM$39,MATCH(Emissions!$D73,'Activity data'!$D$24:$D$39,0))*INDEX(EF!$H$84:$H$99,MATCH(Emissions!$D73,EF!$D$84:$D$99,0))*INDEX(EF!$H$100:$H$115,MATCH(Emissions!$D73,EF!$D$100:$D$115,0))*INDEX(EF!$H$132:$H$147,MATCH(Emissions!$D73,EF!$D$132:$D$147,0))*kgtoGg</f>
        <v>0.17550880789305007</v>
      </c>
      <c r="BN73" s="22">
        <f>INDEX('Activity data'!BN$24:BN$39,MATCH(Emissions!$D73,'Activity data'!$D$24:$D$39,0))*INDEX(EF!$H$84:$H$99,MATCH(Emissions!$D73,EF!$D$84:$D$99,0))*INDEX(EF!$H$100:$H$115,MATCH(Emissions!$D73,EF!$D$100:$D$115,0))*INDEX(EF!$H$132:$H$147,MATCH(Emissions!$D73,EF!$D$132:$D$147,0))*kgtoGg</f>
        <v>0.17475665337538968</v>
      </c>
      <c r="BO73" s="22">
        <f>INDEX('Activity data'!BO$24:BO$39,MATCH(Emissions!$D73,'Activity data'!$D$24:$D$39,0))*INDEX(EF!$H$84:$H$99,MATCH(Emissions!$D73,EF!$D$84:$D$99,0))*INDEX(EF!$H$100:$H$115,MATCH(Emissions!$D73,EF!$D$100:$D$115,0))*INDEX(EF!$H$132:$H$147,MATCH(Emissions!$D73,EF!$D$132:$D$147,0))*kgtoGg</f>
        <v>0.17400449885772937</v>
      </c>
      <c r="BP73" s="22">
        <f>INDEX('Activity data'!BP$24:BP$39,MATCH(Emissions!$D73,'Activity data'!$D$24:$D$39,0))*INDEX(EF!$H$84:$H$99,MATCH(Emissions!$D73,EF!$D$84:$D$99,0))*INDEX(EF!$H$100:$H$115,MATCH(Emissions!$D73,EF!$D$100:$D$115,0))*INDEX(EF!$H$132:$H$147,MATCH(Emissions!$D73,EF!$D$132:$D$147,0))*kgtoGg</f>
        <v>0.17325234434006898</v>
      </c>
    </row>
    <row r="74" spans="1:68" x14ac:dyDescent="0.25">
      <c r="A74" t="str">
        <f t="shared" si="19"/>
        <v>3C Aggregated and non-CO2 emissions on land</v>
      </c>
      <c r="B74" t="str">
        <f t="shared" si="26"/>
        <v>3C1 Biomass burning (N2O)</v>
      </c>
      <c r="C74" t="str">
        <f t="shared" si="25"/>
        <v>3C1b Biomass burning in Croplands</v>
      </c>
      <c r="D74" t="str">
        <f>EF!D104</f>
        <v>Annual non-pivot</v>
      </c>
      <c r="E74" t="s">
        <v>645</v>
      </c>
      <c r="F74" t="str">
        <f t="shared" si="27"/>
        <v>N2O</v>
      </c>
      <c r="G74" t="str">
        <f t="shared" si="28"/>
        <v>Gg N2O</v>
      </c>
      <c r="H74" s="22">
        <f>INDEX('Activity data'!H$24:H$39,MATCH(Emissions!$D74,'Activity data'!$D$24:$D$39,0))*INDEX(EF!$H$84:$H$99,MATCH(Emissions!$D74,EF!$D$84:$D$99,0))*INDEX(EF!$H$100:$H$115,MATCH(Emissions!$D74,EF!$D$100:$D$115,0))*INDEX(EF!$H$132:$H$147,MATCH(Emissions!$D74,EF!$D$132:$D$147,0))*kgtoGg</f>
        <v>1.4723084100591942E-2</v>
      </c>
      <c r="I74" s="22">
        <f>INDEX('Activity data'!I$24:I$39,MATCH(Emissions!$D74,'Activity data'!$D$24:$D$39,0))*INDEX(EF!$H$84:$H$99,MATCH(Emissions!$D74,EF!$D$84:$D$99,0))*INDEX(EF!$H$100:$H$115,MATCH(Emissions!$D74,EF!$D$100:$D$115,0))*INDEX(EF!$H$132:$H$147,MATCH(Emissions!$D74,EF!$D$132:$D$147,0))*kgtoGg</f>
        <v>1.4723084100591942E-2</v>
      </c>
      <c r="J74" s="22">
        <f>INDEX('Activity data'!J$24:J$39,MATCH(Emissions!$D74,'Activity data'!$D$24:$D$39,0))*INDEX(EF!$H$84:$H$99,MATCH(Emissions!$D74,EF!$D$84:$D$99,0))*INDEX(EF!$H$100:$H$115,MATCH(Emissions!$D74,EF!$D$100:$D$115,0))*INDEX(EF!$H$132:$H$147,MATCH(Emissions!$D74,EF!$D$132:$D$147,0))*kgtoGg</f>
        <v>1.4723084100591942E-2</v>
      </c>
      <c r="K74" s="22">
        <f>INDEX('Activity data'!K$24:K$39,MATCH(Emissions!$D74,'Activity data'!$D$24:$D$39,0))*INDEX(EF!$H$84:$H$99,MATCH(Emissions!$D74,EF!$D$84:$D$99,0))*INDEX(EF!$H$100:$H$115,MATCH(Emissions!$D74,EF!$D$100:$D$115,0))*INDEX(EF!$H$132:$H$147,MATCH(Emissions!$D74,EF!$D$132:$D$147,0))*kgtoGg</f>
        <v>1.4723084100591942E-2</v>
      </c>
      <c r="L74" s="22">
        <f>INDEX('Activity data'!L$24:L$39,MATCH(Emissions!$D74,'Activity data'!$D$24:$D$39,0))*INDEX(EF!$H$84:$H$99,MATCH(Emissions!$D74,EF!$D$84:$D$99,0))*INDEX(EF!$H$100:$H$115,MATCH(Emissions!$D74,EF!$D$100:$D$115,0))*INDEX(EF!$H$132:$H$147,MATCH(Emissions!$D74,EF!$D$132:$D$147,0))*kgtoGg</f>
        <v>1.4723084100591942E-2</v>
      </c>
      <c r="M74" s="22">
        <f>INDEX('Activity data'!M$24:M$39,MATCH(Emissions!$D74,'Activity data'!$D$24:$D$39,0))*INDEX(EF!$H$84:$H$99,MATCH(Emissions!$D74,EF!$D$84:$D$99,0))*INDEX(EF!$H$100:$H$115,MATCH(Emissions!$D74,EF!$D$100:$D$115,0))*INDEX(EF!$H$132:$H$147,MATCH(Emissions!$D74,EF!$D$132:$D$147,0))*kgtoGg</f>
        <v>1.4723084100591942E-2</v>
      </c>
      <c r="N74" s="22">
        <f>INDEX('Activity data'!N$24:N$39,MATCH(Emissions!$D74,'Activity data'!$D$24:$D$39,0))*INDEX(EF!$H$84:$H$99,MATCH(Emissions!$D74,EF!$D$84:$D$99,0))*INDEX(EF!$H$100:$H$115,MATCH(Emissions!$D74,EF!$D$100:$D$115,0))*INDEX(EF!$H$132:$H$147,MATCH(Emissions!$D74,EF!$D$132:$D$147,0))*kgtoGg</f>
        <v>1.4723084100591942E-2</v>
      </c>
      <c r="O74" s="22">
        <f>INDEX('Activity data'!O$24:O$39,MATCH(Emissions!$D74,'Activity data'!$D$24:$D$39,0))*INDEX(EF!$H$84:$H$99,MATCH(Emissions!$D74,EF!$D$84:$D$99,0))*INDEX(EF!$H$100:$H$115,MATCH(Emissions!$D74,EF!$D$100:$D$115,0))*INDEX(EF!$H$132:$H$147,MATCH(Emissions!$D74,EF!$D$132:$D$147,0))*kgtoGg</f>
        <v>1.4723084100591942E-2</v>
      </c>
      <c r="P74" s="22">
        <f>INDEX('Activity data'!P$24:P$39,MATCH(Emissions!$D74,'Activity data'!$D$24:$D$39,0))*INDEX(EF!$H$84:$H$99,MATCH(Emissions!$D74,EF!$D$84:$D$99,0))*INDEX(EF!$H$100:$H$115,MATCH(Emissions!$D74,EF!$D$100:$D$115,0))*INDEX(EF!$H$132:$H$147,MATCH(Emissions!$D74,EF!$D$132:$D$147,0))*kgtoGg</f>
        <v>1.4723084100591942E-2</v>
      </c>
      <c r="Q74" s="22">
        <f>INDEX('Activity data'!Q$24:Q$39,MATCH(Emissions!$D74,'Activity data'!$D$24:$D$39,0))*INDEX(EF!$H$84:$H$99,MATCH(Emissions!$D74,EF!$D$84:$D$99,0))*INDEX(EF!$H$100:$H$115,MATCH(Emissions!$D74,EF!$D$100:$D$115,0))*INDEX(EF!$H$132:$H$147,MATCH(Emissions!$D74,EF!$D$132:$D$147,0))*kgtoGg</f>
        <v>1.4723084100591942E-2</v>
      </c>
      <c r="R74" s="22">
        <f>INDEX('Activity data'!R$24:R$39,MATCH(Emissions!$D74,'Activity data'!$D$24:$D$39,0))*INDEX(EF!$H$84:$H$99,MATCH(Emissions!$D74,EF!$D$84:$D$99,0))*INDEX(EF!$H$100:$H$115,MATCH(Emissions!$D74,EF!$D$100:$D$115,0))*INDEX(EF!$H$132:$H$147,MATCH(Emissions!$D74,EF!$D$132:$D$147,0))*kgtoGg</f>
        <v>1.496956177943767E-2</v>
      </c>
      <c r="S74" s="22">
        <f>INDEX('Activity data'!S$24:S$39,MATCH(Emissions!$D74,'Activity data'!$D$24:$D$39,0))*INDEX(EF!$H$84:$H$99,MATCH(Emissions!$D74,EF!$D$84:$D$99,0))*INDEX(EF!$H$100:$H$115,MATCH(Emissions!$D74,EF!$D$100:$D$115,0))*INDEX(EF!$H$132:$H$147,MATCH(Emissions!$D74,EF!$D$132:$D$147,0))*kgtoGg</f>
        <v>1.1679423956313528E-2</v>
      </c>
      <c r="T74" s="22">
        <f>INDEX('Activity data'!T$24:T$39,MATCH(Emissions!$D74,'Activity data'!$D$24:$D$39,0))*INDEX(EF!$H$84:$H$99,MATCH(Emissions!$D74,EF!$D$84:$D$99,0))*INDEX(EF!$H$100:$H$115,MATCH(Emissions!$D74,EF!$D$100:$D$115,0))*INDEX(EF!$H$132:$H$147,MATCH(Emissions!$D74,EF!$D$132:$D$147,0))*kgtoGg</f>
        <v>1.5184381774761928E-2</v>
      </c>
      <c r="U74" s="22">
        <f>INDEX('Activity data'!U$24:U$39,MATCH(Emissions!$D74,'Activity data'!$D$24:$D$39,0))*INDEX(EF!$H$84:$H$99,MATCH(Emissions!$D74,EF!$D$84:$D$99,0))*INDEX(EF!$H$100:$H$115,MATCH(Emissions!$D74,EF!$D$100:$D$115,0))*INDEX(EF!$H$132:$H$147,MATCH(Emissions!$D74,EF!$D$132:$D$147,0))*kgtoGg</f>
        <v>1.4065056535967114E-2</v>
      </c>
      <c r="V74" s="22">
        <f>INDEX('Activity data'!V$24:V$39,MATCH(Emissions!$D74,'Activity data'!$D$24:$D$39,0))*INDEX(EF!$H$84:$H$99,MATCH(Emissions!$D74,EF!$D$84:$D$99,0))*INDEX(EF!$H$100:$H$115,MATCH(Emissions!$D74,EF!$D$100:$D$115,0))*INDEX(EF!$H$132:$H$147,MATCH(Emissions!$D74,EF!$D$132:$D$147,0))*kgtoGg</f>
        <v>1.7716996456479478E-2</v>
      </c>
      <c r="W74" s="22">
        <f>INDEX('Activity data'!W$24:W$39,MATCH(Emissions!$D74,'Activity data'!$D$24:$D$39,0))*INDEX(EF!$H$84:$H$99,MATCH(Emissions!$D74,EF!$D$84:$D$99,0))*INDEX(EF!$H$100:$H$115,MATCH(Emissions!$D74,EF!$D$100:$D$115,0))*INDEX(EF!$H$132:$H$147,MATCH(Emissions!$D74,EF!$D$132:$D$147,0))*kgtoGg</f>
        <v>1.9458169050160297E-2</v>
      </c>
      <c r="X74" s="22">
        <f>INDEX('Activity data'!X$24:X$39,MATCH(Emissions!$D74,'Activity data'!$D$24:$D$39,0))*INDEX(EF!$H$84:$H$99,MATCH(Emissions!$D74,EF!$D$84:$D$99,0))*INDEX(EF!$H$100:$H$115,MATCH(Emissions!$D74,EF!$D$100:$D$115,0))*INDEX(EF!$H$132:$H$147,MATCH(Emissions!$D74,EF!$D$132:$D$147,0))*kgtoGg</f>
        <v>1.4585147050962685E-2</v>
      </c>
      <c r="Y74" s="22">
        <f>INDEX('Activity data'!Y$24:Y$39,MATCH(Emissions!$D74,'Activity data'!$D$24:$D$39,0))*INDEX(EF!$H$84:$H$99,MATCH(Emissions!$D74,EF!$D$84:$D$99,0))*INDEX(EF!$H$100:$H$115,MATCH(Emissions!$D74,EF!$D$100:$D$115,0))*INDEX(EF!$H$132:$H$147,MATCH(Emissions!$D74,EF!$D$132:$D$147,0))*kgtoGg</f>
        <v>1.4630372313136211E-2</v>
      </c>
      <c r="Z74" s="22">
        <f>INDEX('Activity data'!Z$24:Z$39,MATCH(Emissions!$D74,'Activity data'!$D$24:$D$39,0))*INDEX(EF!$H$84:$H$99,MATCH(Emissions!$D74,EF!$D$84:$D$99,0))*INDEX(EF!$H$100:$H$115,MATCH(Emissions!$D74,EF!$D$100:$D$115,0))*INDEX(EF!$H$132:$H$147,MATCH(Emissions!$D74,EF!$D$132:$D$147,0))*kgtoGg</f>
        <v>1.0333972406651079E-2</v>
      </c>
      <c r="AA74" s="22">
        <f>INDEX('Activity data'!AA$24:AA$39,MATCH(Emissions!$D74,'Activity data'!$D$24:$D$39,0))*INDEX(EF!$H$84:$H$99,MATCH(Emissions!$D74,EF!$D$84:$D$99,0))*INDEX(EF!$H$100:$H$115,MATCH(Emissions!$D74,EF!$D$100:$D$115,0))*INDEX(EF!$H$132:$H$147,MATCH(Emissions!$D74,EF!$D$132:$D$147,0))*kgtoGg</f>
        <v>1.0729693450669446E-2</v>
      </c>
      <c r="AB74" s="22">
        <f>INDEX('Activity data'!AB$24:AB$39,MATCH(Emissions!$D74,'Activity data'!$D$24:$D$39,0))*INDEX(EF!$H$84:$H$99,MATCH(Emissions!$D74,EF!$D$84:$D$99,0))*INDEX(EF!$H$100:$H$115,MATCH(Emissions!$D74,EF!$D$100:$D$115,0))*INDEX(EF!$H$132:$H$147,MATCH(Emissions!$D74,EF!$D$132:$D$147,0))*kgtoGg</f>
        <v>1.5161139000000001E-2</v>
      </c>
      <c r="AC74" s="22">
        <f>INDEX('Activity data'!AC$24:AC$39,MATCH(Emissions!$D74,'Activity data'!$D$24:$D$39,0))*INDEX(EF!$H$84:$H$99,MATCH(Emissions!$D74,EF!$D$84:$D$99,0))*INDEX(EF!$H$100:$H$115,MATCH(Emissions!$D74,EF!$D$100:$D$115,0))*INDEX(EF!$H$132:$H$147,MATCH(Emissions!$D74,EF!$D$132:$D$147,0))*kgtoGg</f>
        <v>1.5150334500000001E-2</v>
      </c>
      <c r="AD74" s="22">
        <f>INDEX('Activity data'!AD$24:AD$39,MATCH(Emissions!$D74,'Activity data'!$D$24:$D$39,0))*INDEX(EF!$H$84:$H$99,MATCH(Emissions!$D74,EF!$D$84:$D$99,0))*INDEX(EF!$H$100:$H$115,MATCH(Emissions!$D74,EF!$D$100:$D$115,0))*INDEX(EF!$H$132:$H$147,MATCH(Emissions!$D74,EF!$D$132:$D$147,0))*kgtoGg</f>
        <v>0.16151123227013586</v>
      </c>
      <c r="AE74" s="22">
        <f>INDEX('Activity data'!AE$24:AE$39,MATCH(Emissions!$D74,'Activity data'!$D$24:$D$39,0))*INDEX(EF!$H$84:$H$99,MATCH(Emissions!$D74,EF!$D$84:$D$99,0))*INDEX(EF!$H$100:$H$115,MATCH(Emissions!$D74,EF!$D$100:$D$115,0))*INDEX(EF!$H$132:$H$147,MATCH(Emissions!$D74,EF!$D$132:$D$147,0))*kgtoGg</f>
        <v>0.16106846886532766</v>
      </c>
      <c r="AF74" s="22">
        <f>INDEX('Activity data'!AF$24:AF$39,MATCH(Emissions!$D74,'Activity data'!$D$24:$D$39,0))*INDEX(EF!$H$84:$H$99,MATCH(Emissions!$D74,EF!$D$84:$D$99,0))*INDEX(EF!$H$100:$H$115,MATCH(Emissions!$D74,EF!$D$100:$D$115,0))*INDEX(EF!$H$132:$H$147,MATCH(Emissions!$D74,EF!$D$132:$D$147,0))*kgtoGg</f>
        <v>0.16062570546051952</v>
      </c>
      <c r="AG74" s="22">
        <f>INDEX('Activity data'!AG$24:AG$39,MATCH(Emissions!$D74,'Activity data'!$D$24:$D$39,0))*INDEX(EF!$H$84:$H$99,MATCH(Emissions!$D74,EF!$D$84:$D$99,0))*INDEX(EF!$H$100:$H$115,MATCH(Emissions!$D74,EF!$D$100:$D$115,0))*INDEX(EF!$H$132:$H$147,MATCH(Emissions!$D74,EF!$D$132:$D$147,0))*kgtoGg</f>
        <v>0.16018294205571132</v>
      </c>
      <c r="AH74" s="22">
        <f>INDEX('Activity data'!AH$24:AH$39,MATCH(Emissions!$D74,'Activity data'!$D$24:$D$39,0))*INDEX(EF!$H$84:$H$99,MATCH(Emissions!$D74,EF!$D$84:$D$99,0))*INDEX(EF!$H$100:$H$115,MATCH(Emissions!$D74,EF!$D$100:$D$115,0))*INDEX(EF!$H$132:$H$147,MATCH(Emissions!$D74,EF!$D$132:$D$147,0))*kgtoGg</f>
        <v>0.15974017865090312</v>
      </c>
      <c r="AI74" s="22">
        <f>INDEX('Activity data'!AI$24:AI$39,MATCH(Emissions!$D74,'Activity data'!$D$24:$D$39,0))*INDEX(EF!$H$84:$H$99,MATCH(Emissions!$D74,EF!$D$84:$D$99,0))*INDEX(EF!$H$100:$H$115,MATCH(Emissions!$D74,EF!$D$100:$D$115,0))*INDEX(EF!$H$132:$H$147,MATCH(Emissions!$D74,EF!$D$132:$D$147,0))*kgtoGg</f>
        <v>0.15929741524609498</v>
      </c>
      <c r="AJ74" s="22">
        <f>INDEX('Activity data'!AJ$24:AJ$39,MATCH(Emissions!$D74,'Activity data'!$D$24:$D$39,0))*INDEX(EF!$H$84:$H$99,MATCH(Emissions!$D74,EF!$D$84:$D$99,0))*INDEX(EF!$H$100:$H$115,MATCH(Emissions!$D74,EF!$D$100:$D$115,0))*INDEX(EF!$H$132:$H$147,MATCH(Emissions!$D74,EF!$D$132:$D$147,0))*kgtoGg</f>
        <v>0.15885465184128675</v>
      </c>
      <c r="AK74" s="22">
        <f>INDEX('Activity data'!AK$24:AK$39,MATCH(Emissions!$D74,'Activity data'!$D$24:$D$39,0))*INDEX(EF!$H$84:$H$99,MATCH(Emissions!$D74,EF!$D$84:$D$99,0))*INDEX(EF!$H$100:$H$115,MATCH(Emissions!$D74,EF!$D$100:$D$115,0))*INDEX(EF!$H$132:$H$147,MATCH(Emissions!$D74,EF!$D$132:$D$147,0))*kgtoGg</f>
        <v>0.15841188843647858</v>
      </c>
      <c r="AL74" s="22">
        <f>INDEX('Activity data'!AL$24:AL$39,MATCH(Emissions!$D74,'Activity data'!$D$24:$D$39,0))*INDEX(EF!$H$84:$H$99,MATCH(Emissions!$D74,EF!$D$84:$D$99,0))*INDEX(EF!$H$100:$H$115,MATCH(Emissions!$D74,EF!$D$100:$D$115,0))*INDEX(EF!$H$132:$H$147,MATCH(Emissions!$D74,EF!$D$132:$D$147,0))*kgtoGg</f>
        <v>0.1579691250316704</v>
      </c>
      <c r="AM74" s="22">
        <f>INDEX('Activity data'!AM$24:AM$39,MATCH(Emissions!$D74,'Activity data'!$D$24:$D$39,0))*INDEX(EF!$H$84:$H$99,MATCH(Emissions!$D74,EF!$D$84:$D$99,0))*INDEX(EF!$H$100:$H$115,MATCH(Emissions!$D74,EF!$D$100:$D$115,0))*INDEX(EF!$H$132:$H$147,MATCH(Emissions!$D74,EF!$D$132:$D$147,0))*kgtoGg</f>
        <v>0.15752636162686223</v>
      </c>
      <c r="AN74" s="22">
        <f>INDEX('Activity data'!AN$24:AN$39,MATCH(Emissions!$D74,'Activity data'!$D$24:$D$39,0))*INDEX(EF!$H$84:$H$99,MATCH(Emissions!$D74,EF!$D$84:$D$99,0))*INDEX(EF!$H$100:$H$115,MATCH(Emissions!$D74,EF!$D$100:$D$115,0))*INDEX(EF!$H$132:$H$147,MATCH(Emissions!$D74,EF!$D$132:$D$147,0))*kgtoGg</f>
        <v>0.15708359822205403</v>
      </c>
      <c r="AO74" s="22">
        <f>INDEX('Activity data'!AO$24:AO$39,MATCH(Emissions!$D74,'Activity data'!$D$24:$D$39,0))*INDEX(EF!$H$84:$H$99,MATCH(Emissions!$D74,EF!$D$84:$D$99,0))*INDEX(EF!$H$100:$H$115,MATCH(Emissions!$D74,EF!$D$100:$D$115,0))*INDEX(EF!$H$132:$H$147,MATCH(Emissions!$D74,EF!$D$132:$D$147,0))*kgtoGg</f>
        <v>0.15664083481724586</v>
      </c>
      <c r="AP74" s="22">
        <f>INDEX('Activity data'!AP$24:AP$39,MATCH(Emissions!$D74,'Activity data'!$D$24:$D$39,0))*INDEX(EF!$H$84:$H$99,MATCH(Emissions!$D74,EF!$D$84:$D$99,0))*INDEX(EF!$H$100:$H$115,MATCH(Emissions!$D74,EF!$D$100:$D$115,0))*INDEX(EF!$H$132:$H$147,MATCH(Emissions!$D74,EF!$D$132:$D$147,0))*kgtoGg</f>
        <v>0.15619807141243769</v>
      </c>
      <c r="AQ74" s="22">
        <f>INDEX('Activity data'!AQ$24:AQ$39,MATCH(Emissions!$D74,'Activity data'!$D$24:$D$39,0))*INDEX(EF!$H$84:$H$99,MATCH(Emissions!$D74,EF!$D$84:$D$99,0))*INDEX(EF!$H$100:$H$115,MATCH(Emissions!$D74,EF!$D$100:$D$115,0))*INDEX(EF!$H$132:$H$147,MATCH(Emissions!$D74,EF!$D$132:$D$147,0))*kgtoGg</f>
        <v>0.15575530800762949</v>
      </c>
      <c r="AR74" s="22">
        <f>INDEX('Activity data'!AR$24:AR$39,MATCH(Emissions!$D74,'Activity data'!$D$24:$D$39,0))*INDEX(EF!$H$84:$H$99,MATCH(Emissions!$D74,EF!$D$84:$D$99,0))*INDEX(EF!$H$100:$H$115,MATCH(Emissions!$D74,EF!$D$100:$D$115,0))*INDEX(EF!$H$132:$H$147,MATCH(Emissions!$D74,EF!$D$132:$D$147,0))*kgtoGg</f>
        <v>0.15531254460282132</v>
      </c>
      <c r="AS74" s="22">
        <f>INDEX('Activity data'!AS$24:AS$39,MATCH(Emissions!$D74,'Activity data'!$D$24:$D$39,0))*INDEX(EF!$H$84:$H$99,MATCH(Emissions!$D74,EF!$D$84:$D$99,0))*INDEX(EF!$H$100:$H$115,MATCH(Emissions!$D74,EF!$D$100:$D$115,0))*INDEX(EF!$H$132:$H$147,MATCH(Emissions!$D74,EF!$D$132:$D$147,0))*kgtoGg</f>
        <v>0.15486978119801315</v>
      </c>
      <c r="AT74" s="22">
        <f>INDEX('Activity data'!AT$24:AT$39,MATCH(Emissions!$D74,'Activity data'!$D$24:$D$39,0))*INDEX(EF!$H$84:$H$99,MATCH(Emissions!$D74,EF!$D$84:$D$99,0))*INDEX(EF!$H$100:$H$115,MATCH(Emissions!$D74,EF!$D$100:$D$115,0))*INDEX(EF!$H$132:$H$147,MATCH(Emissions!$D74,EF!$D$132:$D$147,0))*kgtoGg</f>
        <v>0.15442701779320495</v>
      </c>
      <c r="AU74" s="22">
        <f>INDEX('Activity data'!AU$24:AU$39,MATCH(Emissions!$D74,'Activity data'!$D$24:$D$39,0))*INDEX(EF!$H$84:$H$99,MATCH(Emissions!$D74,EF!$D$84:$D$99,0))*INDEX(EF!$H$100:$H$115,MATCH(Emissions!$D74,EF!$D$100:$D$115,0))*INDEX(EF!$H$132:$H$147,MATCH(Emissions!$D74,EF!$D$132:$D$147,0))*kgtoGg</f>
        <v>0.1539842543883968</v>
      </c>
      <c r="AV74" s="22">
        <f>INDEX('Activity data'!AV$24:AV$39,MATCH(Emissions!$D74,'Activity data'!$D$24:$D$39,0))*INDEX(EF!$H$84:$H$99,MATCH(Emissions!$D74,EF!$D$84:$D$99,0))*INDEX(EF!$H$100:$H$115,MATCH(Emissions!$D74,EF!$D$100:$D$115,0))*INDEX(EF!$H$132:$H$147,MATCH(Emissions!$D74,EF!$D$132:$D$147,0))*kgtoGg</f>
        <v>0.1535414909835886</v>
      </c>
      <c r="AW74" s="22">
        <f>INDEX('Activity data'!AW$24:AW$39,MATCH(Emissions!$D74,'Activity data'!$D$24:$D$39,0))*INDEX(EF!$H$84:$H$99,MATCH(Emissions!$D74,EF!$D$84:$D$99,0))*INDEX(EF!$H$100:$H$115,MATCH(Emissions!$D74,EF!$D$100:$D$115,0))*INDEX(EF!$H$132:$H$147,MATCH(Emissions!$D74,EF!$D$132:$D$147,0))*kgtoGg</f>
        <v>0.15309872757878043</v>
      </c>
      <c r="AX74" s="22">
        <f>INDEX('Activity data'!AX$24:AX$39,MATCH(Emissions!$D74,'Activity data'!$D$24:$D$39,0))*INDEX(EF!$H$84:$H$99,MATCH(Emissions!$D74,EF!$D$84:$D$99,0))*INDEX(EF!$H$100:$H$115,MATCH(Emissions!$D74,EF!$D$100:$D$115,0))*INDEX(EF!$H$132:$H$147,MATCH(Emissions!$D74,EF!$D$132:$D$147,0))*kgtoGg</f>
        <v>0.15265596417397226</v>
      </c>
      <c r="AY74" s="22">
        <f>INDEX('Activity data'!AY$24:AY$39,MATCH(Emissions!$D74,'Activity data'!$D$24:$D$39,0))*INDEX(EF!$H$84:$H$99,MATCH(Emissions!$D74,EF!$D$84:$D$99,0))*INDEX(EF!$H$100:$H$115,MATCH(Emissions!$D74,EF!$D$100:$D$115,0))*INDEX(EF!$H$132:$H$147,MATCH(Emissions!$D74,EF!$D$132:$D$147,0))*kgtoGg</f>
        <v>0.15221320076916403</v>
      </c>
      <c r="AZ74" s="22">
        <f>INDEX('Activity data'!AZ$24:AZ$39,MATCH(Emissions!$D74,'Activity data'!$D$24:$D$39,0))*INDEX(EF!$H$84:$H$99,MATCH(Emissions!$D74,EF!$D$84:$D$99,0))*INDEX(EF!$H$100:$H$115,MATCH(Emissions!$D74,EF!$D$100:$D$115,0))*INDEX(EF!$H$132:$H$147,MATCH(Emissions!$D74,EF!$D$132:$D$147,0))*kgtoGg</f>
        <v>0.15177043736435586</v>
      </c>
      <c r="BA74" s="22">
        <f>INDEX('Activity data'!BA$24:BA$39,MATCH(Emissions!$D74,'Activity data'!$D$24:$D$39,0))*INDEX(EF!$H$84:$H$99,MATCH(Emissions!$D74,EF!$D$84:$D$99,0))*INDEX(EF!$H$100:$H$115,MATCH(Emissions!$D74,EF!$D$100:$D$115,0))*INDEX(EF!$H$132:$H$147,MATCH(Emissions!$D74,EF!$D$132:$D$147,0))*kgtoGg</f>
        <v>0.15132767395954769</v>
      </c>
      <c r="BB74" s="22">
        <f>INDEX('Activity data'!BB$24:BB$39,MATCH(Emissions!$D74,'Activity data'!$D$24:$D$39,0))*INDEX(EF!$H$84:$H$99,MATCH(Emissions!$D74,EF!$D$84:$D$99,0))*INDEX(EF!$H$100:$H$115,MATCH(Emissions!$D74,EF!$D$100:$D$115,0))*INDEX(EF!$H$132:$H$147,MATCH(Emissions!$D74,EF!$D$132:$D$147,0))*kgtoGg</f>
        <v>0.15088491055473952</v>
      </c>
      <c r="BC74" s="22">
        <f>INDEX('Activity data'!BC$24:BC$39,MATCH(Emissions!$D74,'Activity data'!$D$24:$D$39,0))*INDEX(EF!$H$84:$H$99,MATCH(Emissions!$D74,EF!$D$84:$D$99,0))*INDEX(EF!$H$100:$H$115,MATCH(Emissions!$D74,EF!$D$100:$D$115,0))*INDEX(EF!$H$132:$H$147,MATCH(Emissions!$D74,EF!$D$132:$D$147,0))*kgtoGg</f>
        <v>0.15044214714993132</v>
      </c>
      <c r="BD74" s="22">
        <f>INDEX('Activity data'!BD$24:BD$39,MATCH(Emissions!$D74,'Activity data'!$D$24:$D$39,0))*INDEX(EF!$H$84:$H$99,MATCH(Emissions!$D74,EF!$D$84:$D$99,0))*INDEX(EF!$H$100:$H$115,MATCH(Emissions!$D74,EF!$D$100:$D$115,0))*INDEX(EF!$H$132:$H$147,MATCH(Emissions!$D74,EF!$D$132:$D$147,0))*kgtoGg</f>
        <v>0.14999938374512317</v>
      </c>
      <c r="BE74" s="22">
        <f>INDEX('Activity data'!BE$24:BE$39,MATCH(Emissions!$D74,'Activity data'!$D$24:$D$39,0))*INDEX(EF!$H$84:$H$99,MATCH(Emissions!$D74,EF!$D$84:$D$99,0))*INDEX(EF!$H$100:$H$115,MATCH(Emissions!$D74,EF!$D$100:$D$115,0))*INDEX(EF!$H$132:$H$147,MATCH(Emissions!$D74,EF!$D$132:$D$147,0))*kgtoGg</f>
        <v>0.14955662034031497</v>
      </c>
      <c r="BF74" s="22">
        <f>INDEX('Activity data'!BF$24:BF$39,MATCH(Emissions!$D74,'Activity data'!$D$24:$D$39,0))*INDEX(EF!$H$84:$H$99,MATCH(Emissions!$D74,EF!$D$84:$D$99,0))*INDEX(EF!$H$100:$H$115,MATCH(Emissions!$D74,EF!$D$100:$D$115,0))*INDEX(EF!$H$132:$H$147,MATCH(Emissions!$D74,EF!$D$132:$D$147,0))*kgtoGg</f>
        <v>0.14911385693550677</v>
      </c>
      <c r="BG74" s="22">
        <f>INDEX('Activity data'!BG$24:BG$39,MATCH(Emissions!$D74,'Activity data'!$D$24:$D$39,0))*INDEX(EF!$H$84:$H$99,MATCH(Emissions!$D74,EF!$D$84:$D$99,0))*INDEX(EF!$H$100:$H$115,MATCH(Emissions!$D74,EF!$D$100:$D$115,0))*INDEX(EF!$H$132:$H$147,MATCH(Emissions!$D74,EF!$D$132:$D$147,0))*kgtoGg</f>
        <v>0.14867109353069863</v>
      </c>
      <c r="BH74" s="22">
        <f>INDEX('Activity data'!BH$24:BH$39,MATCH(Emissions!$D74,'Activity data'!$D$24:$D$39,0))*INDEX(EF!$H$84:$H$99,MATCH(Emissions!$D74,EF!$D$84:$D$99,0))*INDEX(EF!$H$100:$H$115,MATCH(Emissions!$D74,EF!$D$100:$D$115,0))*INDEX(EF!$H$132:$H$147,MATCH(Emissions!$D74,EF!$D$132:$D$147,0))*kgtoGg</f>
        <v>0.14822833012589043</v>
      </c>
      <c r="BI74" s="22">
        <f>INDEX('Activity data'!BI$24:BI$39,MATCH(Emissions!$D74,'Activity data'!$D$24:$D$39,0))*INDEX(EF!$H$84:$H$99,MATCH(Emissions!$D74,EF!$D$84:$D$99,0))*INDEX(EF!$H$100:$H$115,MATCH(Emissions!$D74,EF!$D$100:$D$115,0))*INDEX(EF!$H$132:$H$147,MATCH(Emissions!$D74,EF!$D$132:$D$147,0))*kgtoGg</f>
        <v>0.14778556672108226</v>
      </c>
      <c r="BJ74" s="22">
        <f>INDEX('Activity data'!BJ$24:BJ$39,MATCH(Emissions!$D74,'Activity data'!$D$24:$D$39,0))*INDEX(EF!$H$84:$H$99,MATCH(Emissions!$D74,EF!$D$84:$D$99,0))*INDEX(EF!$H$100:$H$115,MATCH(Emissions!$D74,EF!$D$100:$D$115,0))*INDEX(EF!$H$132:$H$147,MATCH(Emissions!$D74,EF!$D$132:$D$147,0))*kgtoGg</f>
        <v>0.14734280331627406</v>
      </c>
      <c r="BK74" s="22">
        <f>INDEX('Activity data'!BK$24:BK$39,MATCH(Emissions!$D74,'Activity data'!$D$24:$D$39,0))*INDEX(EF!$H$84:$H$99,MATCH(Emissions!$D74,EF!$D$84:$D$99,0))*INDEX(EF!$H$100:$H$115,MATCH(Emissions!$D74,EF!$D$100:$D$115,0))*INDEX(EF!$H$132:$H$147,MATCH(Emissions!$D74,EF!$D$132:$D$147,0))*kgtoGg</f>
        <v>0.14690003991146589</v>
      </c>
      <c r="BL74" s="22">
        <f>INDEX('Activity data'!BL$24:BL$39,MATCH(Emissions!$D74,'Activity data'!$D$24:$D$39,0))*INDEX(EF!$H$84:$H$99,MATCH(Emissions!$D74,EF!$D$84:$D$99,0))*INDEX(EF!$H$100:$H$115,MATCH(Emissions!$D74,EF!$D$100:$D$115,0))*INDEX(EF!$H$132:$H$147,MATCH(Emissions!$D74,EF!$D$132:$D$147,0))*kgtoGg</f>
        <v>0.14645727650665771</v>
      </c>
      <c r="BM74" s="22">
        <f>INDEX('Activity data'!BM$24:BM$39,MATCH(Emissions!$D74,'Activity data'!$D$24:$D$39,0))*INDEX(EF!$H$84:$H$99,MATCH(Emissions!$D74,EF!$D$84:$D$99,0))*INDEX(EF!$H$100:$H$115,MATCH(Emissions!$D74,EF!$D$100:$D$115,0))*INDEX(EF!$H$132:$H$147,MATCH(Emissions!$D74,EF!$D$132:$D$147,0))*kgtoGg</f>
        <v>0.14601451310184949</v>
      </c>
      <c r="BN74" s="22">
        <f>INDEX('Activity data'!BN$24:BN$39,MATCH(Emissions!$D74,'Activity data'!$D$24:$D$39,0))*INDEX(EF!$H$84:$H$99,MATCH(Emissions!$D74,EF!$D$84:$D$99,0))*INDEX(EF!$H$100:$H$115,MATCH(Emissions!$D74,EF!$D$100:$D$115,0))*INDEX(EF!$H$132:$H$147,MATCH(Emissions!$D74,EF!$D$132:$D$147,0))*kgtoGg</f>
        <v>0.14557174969704134</v>
      </c>
      <c r="BO74" s="22">
        <f>INDEX('Activity data'!BO$24:BO$39,MATCH(Emissions!$D74,'Activity data'!$D$24:$D$39,0))*INDEX(EF!$H$84:$H$99,MATCH(Emissions!$D74,EF!$D$84:$D$99,0))*INDEX(EF!$H$100:$H$115,MATCH(Emissions!$D74,EF!$D$100:$D$115,0))*INDEX(EF!$H$132:$H$147,MATCH(Emissions!$D74,EF!$D$132:$D$147,0))*kgtoGg</f>
        <v>0.14512898629223317</v>
      </c>
      <c r="BP74" s="22">
        <f>INDEX('Activity data'!BP$24:BP$39,MATCH(Emissions!$D74,'Activity data'!$D$24:$D$39,0))*INDEX(EF!$H$84:$H$99,MATCH(Emissions!$D74,EF!$D$84:$D$99,0))*INDEX(EF!$H$100:$H$115,MATCH(Emissions!$D74,EF!$D$100:$D$115,0))*INDEX(EF!$H$132:$H$147,MATCH(Emissions!$D74,EF!$D$132:$D$147,0))*kgtoGg</f>
        <v>0.14468622288742497</v>
      </c>
    </row>
    <row r="75" spans="1:68" x14ac:dyDescent="0.25">
      <c r="A75" t="str">
        <f t="shared" si="19"/>
        <v>3C Aggregated and non-CO2 emissions on land</v>
      </c>
      <c r="B75" t="str">
        <f t="shared" si="26"/>
        <v>3C1 Biomass burning (N2O)</v>
      </c>
      <c r="C75" t="str">
        <f t="shared" si="25"/>
        <v>3C1b Biomass burning in Croplands</v>
      </c>
      <c r="D75" t="str">
        <f>EF!D105</f>
        <v>Annual pivot</v>
      </c>
      <c r="E75" t="s">
        <v>646</v>
      </c>
      <c r="F75" t="str">
        <f t="shared" si="27"/>
        <v>N2O</v>
      </c>
      <c r="G75" t="str">
        <f t="shared" si="28"/>
        <v>Gg N2O</v>
      </c>
      <c r="H75" s="22">
        <f>INDEX('Activity data'!H$24:H$39,MATCH(Emissions!$D75,'Activity data'!$D$24:$D$39,0))*INDEX(EF!$H$84:$H$99,MATCH(Emissions!$D75,EF!$D$84:$D$99,0))*INDEX(EF!$H$100:$H$115,MATCH(Emissions!$D75,EF!$D$100:$D$115,0))*INDEX(EF!$H$132:$H$147,MATCH(Emissions!$D75,EF!$D$132:$D$147,0))*kgtoGg</f>
        <v>0.18638235046954238</v>
      </c>
      <c r="I75" s="22">
        <f>INDEX('Activity data'!I$24:I$39,MATCH(Emissions!$D75,'Activity data'!$D$24:$D$39,0))*INDEX(EF!$H$84:$H$99,MATCH(Emissions!$D75,EF!$D$84:$D$99,0))*INDEX(EF!$H$100:$H$115,MATCH(Emissions!$D75,EF!$D$100:$D$115,0))*INDEX(EF!$H$132:$H$147,MATCH(Emissions!$D75,EF!$D$132:$D$147,0))*kgtoGg</f>
        <v>0.18638235046954238</v>
      </c>
      <c r="J75" s="22">
        <f>INDEX('Activity data'!J$24:J$39,MATCH(Emissions!$D75,'Activity data'!$D$24:$D$39,0))*INDEX(EF!$H$84:$H$99,MATCH(Emissions!$D75,EF!$D$84:$D$99,0))*INDEX(EF!$H$100:$H$115,MATCH(Emissions!$D75,EF!$D$100:$D$115,0))*INDEX(EF!$H$132:$H$147,MATCH(Emissions!$D75,EF!$D$132:$D$147,0))*kgtoGg</f>
        <v>0.18638235046954238</v>
      </c>
      <c r="K75" s="22">
        <f>INDEX('Activity data'!K$24:K$39,MATCH(Emissions!$D75,'Activity data'!$D$24:$D$39,0))*INDEX(EF!$H$84:$H$99,MATCH(Emissions!$D75,EF!$D$84:$D$99,0))*INDEX(EF!$H$100:$H$115,MATCH(Emissions!$D75,EF!$D$100:$D$115,0))*INDEX(EF!$H$132:$H$147,MATCH(Emissions!$D75,EF!$D$132:$D$147,0))*kgtoGg</f>
        <v>0.18638235046954238</v>
      </c>
      <c r="L75" s="22">
        <f>INDEX('Activity data'!L$24:L$39,MATCH(Emissions!$D75,'Activity data'!$D$24:$D$39,0))*INDEX(EF!$H$84:$H$99,MATCH(Emissions!$D75,EF!$D$84:$D$99,0))*INDEX(EF!$H$100:$H$115,MATCH(Emissions!$D75,EF!$D$100:$D$115,0))*INDEX(EF!$H$132:$H$147,MATCH(Emissions!$D75,EF!$D$132:$D$147,0))*kgtoGg</f>
        <v>0.18638235046954238</v>
      </c>
      <c r="M75" s="22">
        <f>INDEX('Activity data'!M$24:M$39,MATCH(Emissions!$D75,'Activity data'!$D$24:$D$39,0))*INDEX(EF!$H$84:$H$99,MATCH(Emissions!$D75,EF!$D$84:$D$99,0))*INDEX(EF!$H$100:$H$115,MATCH(Emissions!$D75,EF!$D$100:$D$115,0))*INDEX(EF!$H$132:$H$147,MATCH(Emissions!$D75,EF!$D$132:$D$147,0))*kgtoGg</f>
        <v>0.18638235046954238</v>
      </c>
      <c r="N75" s="22">
        <f>INDEX('Activity data'!N$24:N$39,MATCH(Emissions!$D75,'Activity data'!$D$24:$D$39,0))*INDEX(EF!$H$84:$H$99,MATCH(Emissions!$D75,EF!$D$84:$D$99,0))*INDEX(EF!$H$100:$H$115,MATCH(Emissions!$D75,EF!$D$100:$D$115,0))*INDEX(EF!$H$132:$H$147,MATCH(Emissions!$D75,EF!$D$132:$D$147,0))*kgtoGg</f>
        <v>0.18638235046954238</v>
      </c>
      <c r="O75" s="22">
        <f>INDEX('Activity data'!O$24:O$39,MATCH(Emissions!$D75,'Activity data'!$D$24:$D$39,0))*INDEX(EF!$H$84:$H$99,MATCH(Emissions!$D75,EF!$D$84:$D$99,0))*INDEX(EF!$H$100:$H$115,MATCH(Emissions!$D75,EF!$D$100:$D$115,0))*INDEX(EF!$H$132:$H$147,MATCH(Emissions!$D75,EF!$D$132:$D$147,0))*kgtoGg</f>
        <v>0.18638235046954238</v>
      </c>
      <c r="P75" s="22">
        <f>INDEX('Activity data'!P$24:P$39,MATCH(Emissions!$D75,'Activity data'!$D$24:$D$39,0))*INDEX(EF!$H$84:$H$99,MATCH(Emissions!$D75,EF!$D$84:$D$99,0))*INDEX(EF!$H$100:$H$115,MATCH(Emissions!$D75,EF!$D$100:$D$115,0))*INDEX(EF!$H$132:$H$147,MATCH(Emissions!$D75,EF!$D$132:$D$147,0))*kgtoGg</f>
        <v>0.18638235046954238</v>
      </c>
      <c r="Q75" s="22">
        <f>INDEX('Activity data'!Q$24:Q$39,MATCH(Emissions!$D75,'Activity data'!$D$24:$D$39,0))*INDEX(EF!$H$84:$H$99,MATCH(Emissions!$D75,EF!$D$84:$D$99,0))*INDEX(EF!$H$100:$H$115,MATCH(Emissions!$D75,EF!$D$100:$D$115,0))*INDEX(EF!$H$132:$H$147,MATCH(Emissions!$D75,EF!$D$132:$D$147,0))*kgtoGg</f>
        <v>0.18638235046954238</v>
      </c>
      <c r="R75" s="22">
        <f>INDEX('Activity data'!R$24:R$39,MATCH(Emissions!$D75,'Activity data'!$D$24:$D$39,0))*INDEX(EF!$H$84:$H$99,MATCH(Emissions!$D75,EF!$D$84:$D$99,0))*INDEX(EF!$H$100:$H$115,MATCH(Emissions!$D75,EF!$D$100:$D$115,0))*INDEX(EF!$H$132:$H$147,MATCH(Emissions!$D75,EF!$D$132:$D$147,0))*kgtoGg</f>
        <v>0.20162552508512988</v>
      </c>
      <c r="S75" s="22">
        <f>INDEX('Activity data'!S$24:S$39,MATCH(Emissions!$D75,'Activity data'!$D$24:$D$39,0))*INDEX(EF!$H$84:$H$99,MATCH(Emissions!$D75,EF!$D$84:$D$99,0))*INDEX(EF!$H$100:$H$115,MATCH(Emissions!$D75,EF!$D$100:$D$115,0))*INDEX(EF!$H$132:$H$147,MATCH(Emissions!$D75,EF!$D$132:$D$147,0))*kgtoGg</f>
        <v>0.18678033277666942</v>
      </c>
      <c r="T75" s="22">
        <f>INDEX('Activity data'!T$24:T$39,MATCH(Emissions!$D75,'Activity data'!$D$24:$D$39,0))*INDEX(EF!$H$84:$H$99,MATCH(Emissions!$D75,EF!$D$84:$D$99,0))*INDEX(EF!$H$100:$H$115,MATCH(Emissions!$D75,EF!$D$100:$D$115,0))*INDEX(EF!$H$132:$H$147,MATCH(Emissions!$D75,EF!$D$132:$D$147,0))*kgtoGg</f>
        <v>0.2287267634426163</v>
      </c>
      <c r="U75" s="22">
        <f>INDEX('Activity data'!U$24:U$39,MATCH(Emissions!$D75,'Activity data'!$D$24:$D$39,0))*INDEX(EF!$H$84:$H$99,MATCH(Emissions!$D75,EF!$D$84:$D$99,0))*INDEX(EF!$H$100:$H$115,MATCH(Emissions!$D75,EF!$D$100:$D$115,0))*INDEX(EF!$H$132:$H$147,MATCH(Emissions!$D75,EF!$D$132:$D$147,0))*kgtoGg</f>
        <v>0.17075928365169724</v>
      </c>
      <c r="V75" s="22">
        <f>INDEX('Activity data'!V$24:V$39,MATCH(Emissions!$D75,'Activity data'!$D$24:$D$39,0))*INDEX(EF!$H$84:$H$99,MATCH(Emissions!$D75,EF!$D$84:$D$99,0))*INDEX(EF!$H$100:$H$115,MATCH(Emissions!$D75,EF!$D$100:$D$115,0))*INDEX(EF!$H$132:$H$147,MATCH(Emissions!$D75,EF!$D$132:$D$147,0))*kgtoGg</f>
        <v>0.14401984739159893</v>
      </c>
      <c r="W75" s="22">
        <f>INDEX('Activity data'!W$24:W$39,MATCH(Emissions!$D75,'Activity data'!$D$24:$D$39,0))*INDEX(EF!$H$84:$H$99,MATCH(Emissions!$D75,EF!$D$84:$D$99,0))*INDEX(EF!$H$100:$H$115,MATCH(Emissions!$D75,EF!$D$100:$D$115,0))*INDEX(EF!$H$132:$H$147,MATCH(Emissions!$D75,EF!$D$132:$D$147,0))*kgtoGg</f>
        <v>0.24379808206194442</v>
      </c>
      <c r="X75" s="22">
        <f>INDEX('Activity data'!X$24:X$39,MATCH(Emissions!$D75,'Activity data'!$D$24:$D$39,0))*INDEX(EF!$H$84:$H$99,MATCH(Emissions!$D75,EF!$D$84:$D$99,0))*INDEX(EF!$H$100:$H$115,MATCH(Emissions!$D75,EF!$D$100:$D$115,0))*INDEX(EF!$H$132:$H$147,MATCH(Emissions!$D75,EF!$D$132:$D$147,0))*kgtoGg</f>
        <v>0.24850150932799131</v>
      </c>
      <c r="Y75" s="22">
        <f>INDEX('Activity data'!Y$24:Y$39,MATCH(Emissions!$D75,'Activity data'!$D$24:$D$39,0))*INDEX(EF!$H$84:$H$99,MATCH(Emissions!$D75,EF!$D$84:$D$99,0))*INDEX(EF!$H$100:$H$115,MATCH(Emissions!$D75,EF!$D$100:$D$115,0))*INDEX(EF!$H$132:$H$147,MATCH(Emissions!$D75,EF!$D$132:$D$147,0))*kgtoGg</f>
        <v>0.14049227694206379</v>
      </c>
      <c r="Z75" s="22">
        <f>INDEX('Activity data'!Z$24:Z$39,MATCH(Emissions!$D75,'Activity data'!$D$24:$D$39,0))*INDEX(EF!$H$84:$H$99,MATCH(Emissions!$D75,EF!$D$84:$D$99,0))*INDEX(EF!$H$100:$H$115,MATCH(Emissions!$D75,EF!$D$100:$D$115,0))*INDEX(EF!$H$132:$H$147,MATCH(Emissions!$D75,EF!$D$132:$D$147,0))*kgtoGg</f>
        <v>0.16253959225165854</v>
      </c>
      <c r="AA75" s="22">
        <f>INDEX('Activity data'!AA$24:AA$39,MATCH(Emissions!$D75,'Activity data'!$D$24:$D$39,0))*INDEX(EF!$H$84:$H$99,MATCH(Emissions!$D75,EF!$D$84:$D$99,0))*INDEX(EF!$H$100:$H$115,MATCH(Emissions!$D75,EF!$D$100:$D$115,0))*INDEX(EF!$H$132:$H$147,MATCH(Emissions!$D75,EF!$D$132:$D$147,0))*kgtoGg</f>
        <v>0.16079841965797775</v>
      </c>
      <c r="AB75" s="22">
        <f>INDEX('Activity data'!AB$24:AB$39,MATCH(Emissions!$D75,'Activity data'!$D$24:$D$39,0))*INDEX(EF!$H$84:$H$99,MATCH(Emissions!$D75,EF!$D$84:$D$99,0))*INDEX(EF!$H$100:$H$115,MATCH(Emissions!$D75,EF!$D$100:$D$115,0))*INDEX(EF!$H$132:$H$147,MATCH(Emissions!$D75,EF!$D$132:$D$147,0))*kgtoGg</f>
        <v>0.18131878170000001</v>
      </c>
      <c r="AC75" s="22">
        <f>INDEX('Activity data'!AC$24:AC$39,MATCH(Emissions!$D75,'Activity data'!$D$24:$D$39,0))*INDEX(EF!$H$84:$H$99,MATCH(Emissions!$D75,EF!$D$84:$D$99,0))*INDEX(EF!$H$100:$H$115,MATCH(Emissions!$D75,EF!$D$100:$D$115,0))*INDEX(EF!$H$132:$H$147,MATCH(Emissions!$D75,EF!$D$132:$D$147,0))*kgtoGg</f>
        <v>0.1894221126</v>
      </c>
      <c r="AD75" s="22">
        <f>INDEX('Activity data'!AD$24:AD$39,MATCH(Emissions!$D75,'Activity data'!$D$24:$D$39,0))*INDEX(EF!$H$84:$H$99,MATCH(Emissions!$D75,EF!$D$84:$D$99,0))*INDEX(EF!$H$100:$H$115,MATCH(Emissions!$D75,EF!$D$100:$D$115,0))*INDEX(EF!$H$132:$H$147,MATCH(Emissions!$D75,EF!$D$132:$D$147,0))*kgtoGg</f>
        <v>1.3363672472411908E-2</v>
      </c>
      <c r="AE75" s="22">
        <f>INDEX('Activity data'!AE$24:AE$39,MATCH(Emissions!$D75,'Activity data'!$D$24:$D$39,0))*INDEX(EF!$H$84:$H$99,MATCH(Emissions!$D75,EF!$D$84:$D$99,0))*INDEX(EF!$H$100:$H$115,MATCH(Emissions!$D75,EF!$D$100:$D$115,0))*INDEX(EF!$H$132:$H$147,MATCH(Emissions!$D75,EF!$D$132:$D$147,0))*kgtoGg</f>
        <v>1.3770022882720941E-2</v>
      </c>
      <c r="AF75" s="22">
        <f>INDEX('Activity data'!AF$24:AF$39,MATCH(Emissions!$D75,'Activity data'!$D$24:$D$39,0))*INDEX(EF!$H$84:$H$99,MATCH(Emissions!$D75,EF!$D$84:$D$99,0))*INDEX(EF!$H$100:$H$115,MATCH(Emissions!$D75,EF!$D$100:$D$115,0))*INDEX(EF!$H$132:$H$147,MATCH(Emissions!$D75,EF!$D$132:$D$147,0))*kgtoGg</f>
        <v>1.4176373293029969E-2</v>
      </c>
      <c r="AG75" s="22">
        <f>INDEX('Activity data'!AG$24:AG$39,MATCH(Emissions!$D75,'Activity data'!$D$24:$D$39,0))*INDEX(EF!$H$84:$H$99,MATCH(Emissions!$D75,EF!$D$84:$D$99,0))*INDEX(EF!$H$100:$H$115,MATCH(Emissions!$D75,EF!$D$100:$D$115,0))*INDEX(EF!$H$132:$H$147,MATCH(Emissions!$D75,EF!$D$132:$D$147,0))*kgtoGg</f>
        <v>1.4582723703339006E-2</v>
      </c>
      <c r="AH75" s="22">
        <f>INDEX('Activity data'!AH$24:AH$39,MATCH(Emissions!$D75,'Activity data'!$D$24:$D$39,0))*INDEX(EF!$H$84:$H$99,MATCH(Emissions!$D75,EF!$D$84:$D$99,0))*INDEX(EF!$H$100:$H$115,MATCH(Emissions!$D75,EF!$D$100:$D$115,0))*INDEX(EF!$H$132:$H$147,MATCH(Emissions!$D75,EF!$D$132:$D$147,0))*kgtoGg</f>
        <v>1.4989074113648037E-2</v>
      </c>
      <c r="AI75" s="22">
        <f>INDEX('Activity data'!AI$24:AI$39,MATCH(Emissions!$D75,'Activity data'!$D$24:$D$39,0))*INDEX(EF!$H$84:$H$99,MATCH(Emissions!$D75,EF!$D$84:$D$99,0))*INDEX(EF!$H$100:$H$115,MATCH(Emissions!$D75,EF!$D$100:$D$115,0))*INDEX(EF!$H$132:$H$147,MATCH(Emissions!$D75,EF!$D$132:$D$147,0))*kgtoGg</f>
        <v>1.5395424523957073E-2</v>
      </c>
      <c r="AJ75" s="22">
        <f>INDEX('Activity data'!AJ$24:AJ$39,MATCH(Emissions!$D75,'Activity data'!$D$24:$D$39,0))*INDEX(EF!$H$84:$H$99,MATCH(Emissions!$D75,EF!$D$84:$D$99,0))*INDEX(EF!$H$100:$H$115,MATCH(Emissions!$D75,EF!$D$100:$D$115,0))*INDEX(EF!$H$132:$H$147,MATCH(Emissions!$D75,EF!$D$132:$D$147,0))*kgtoGg</f>
        <v>1.58017749342661E-2</v>
      </c>
      <c r="AK75" s="22">
        <f>INDEX('Activity data'!AK$24:AK$39,MATCH(Emissions!$D75,'Activity data'!$D$24:$D$39,0))*INDEX(EF!$H$84:$H$99,MATCH(Emissions!$D75,EF!$D$84:$D$99,0))*INDEX(EF!$H$100:$H$115,MATCH(Emissions!$D75,EF!$D$100:$D$115,0))*INDEX(EF!$H$132:$H$147,MATCH(Emissions!$D75,EF!$D$132:$D$147,0))*kgtoGg</f>
        <v>1.6208125344575129E-2</v>
      </c>
      <c r="AL75" s="22">
        <f>INDEX('Activity data'!AL$24:AL$39,MATCH(Emissions!$D75,'Activity data'!$D$24:$D$39,0))*INDEX(EF!$H$84:$H$99,MATCH(Emissions!$D75,EF!$D$84:$D$99,0))*INDEX(EF!$H$100:$H$115,MATCH(Emissions!$D75,EF!$D$100:$D$115,0))*INDEX(EF!$H$132:$H$147,MATCH(Emissions!$D75,EF!$D$132:$D$147,0))*kgtoGg</f>
        <v>1.6614475754884166E-2</v>
      </c>
      <c r="AM75" s="22">
        <f>INDEX('Activity data'!AM$24:AM$39,MATCH(Emissions!$D75,'Activity data'!$D$24:$D$39,0))*INDEX(EF!$H$84:$H$99,MATCH(Emissions!$D75,EF!$D$84:$D$99,0))*INDEX(EF!$H$100:$H$115,MATCH(Emissions!$D75,EF!$D$100:$D$115,0))*INDEX(EF!$H$132:$H$147,MATCH(Emissions!$D75,EF!$D$132:$D$147,0))*kgtoGg</f>
        <v>1.7020826165193202E-2</v>
      </c>
      <c r="AN75" s="22">
        <f>INDEX('Activity data'!AN$24:AN$39,MATCH(Emissions!$D75,'Activity data'!$D$24:$D$39,0))*INDEX(EF!$H$84:$H$99,MATCH(Emissions!$D75,EF!$D$84:$D$99,0))*INDEX(EF!$H$100:$H$115,MATCH(Emissions!$D75,EF!$D$100:$D$115,0))*INDEX(EF!$H$132:$H$147,MATCH(Emissions!$D75,EF!$D$132:$D$147,0))*kgtoGg</f>
        <v>1.7427176575502232E-2</v>
      </c>
      <c r="AO75" s="22">
        <f>INDEX('Activity data'!AO$24:AO$39,MATCH(Emissions!$D75,'Activity data'!$D$24:$D$39,0))*INDEX(EF!$H$84:$H$99,MATCH(Emissions!$D75,EF!$D$84:$D$99,0))*INDEX(EF!$H$100:$H$115,MATCH(Emissions!$D75,EF!$D$100:$D$115,0))*INDEX(EF!$H$132:$H$147,MATCH(Emissions!$D75,EF!$D$132:$D$147,0))*kgtoGg</f>
        <v>1.7833526985811265E-2</v>
      </c>
      <c r="AP75" s="22">
        <f>INDEX('Activity data'!AP$24:AP$39,MATCH(Emissions!$D75,'Activity data'!$D$24:$D$39,0))*INDEX(EF!$H$84:$H$99,MATCH(Emissions!$D75,EF!$D$84:$D$99,0))*INDEX(EF!$H$100:$H$115,MATCH(Emissions!$D75,EF!$D$100:$D$115,0))*INDEX(EF!$H$132:$H$147,MATCH(Emissions!$D75,EF!$D$132:$D$147,0))*kgtoGg</f>
        <v>1.8239877396120294E-2</v>
      </c>
      <c r="AQ75" s="22">
        <f>INDEX('Activity data'!AQ$24:AQ$39,MATCH(Emissions!$D75,'Activity data'!$D$24:$D$39,0))*INDEX(EF!$H$84:$H$99,MATCH(Emissions!$D75,EF!$D$84:$D$99,0))*INDEX(EF!$H$100:$H$115,MATCH(Emissions!$D75,EF!$D$100:$D$115,0))*INDEX(EF!$H$132:$H$147,MATCH(Emissions!$D75,EF!$D$132:$D$147,0))*kgtoGg</f>
        <v>1.8646227806429327E-2</v>
      </c>
      <c r="AR75" s="22">
        <f>INDEX('Activity data'!AR$24:AR$39,MATCH(Emissions!$D75,'Activity data'!$D$24:$D$39,0))*INDEX(EF!$H$84:$H$99,MATCH(Emissions!$D75,EF!$D$84:$D$99,0))*INDEX(EF!$H$100:$H$115,MATCH(Emissions!$D75,EF!$D$100:$D$115,0))*INDEX(EF!$H$132:$H$147,MATCH(Emissions!$D75,EF!$D$132:$D$147,0))*kgtoGg</f>
        <v>1.9052578216738364E-2</v>
      </c>
      <c r="AS75" s="22">
        <f>INDEX('Activity data'!AS$24:AS$39,MATCH(Emissions!$D75,'Activity data'!$D$24:$D$39,0))*INDEX(EF!$H$84:$H$99,MATCH(Emissions!$D75,EF!$D$84:$D$99,0))*INDEX(EF!$H$100:$H$115,MATCH(Emissions!$D75,EF!$D$100:$D$115,0))*INDEX(EF!$H$132:$H$147,MATCH(Emissions!$D75,EF!$D$132:$D$147,0))*kgtoGg</f>
        <v>1.9458928627047394E-2</v>
      </c>
      <c r="AT75" s="22">
        <f>INDEX('Activity data'!AT$24:AT$39,MATCH(Emissions!$D75,'Activity data'!$D$24:$D$39,0))*INDEX(EF!$H$84:$H$99,MATCH(Emissions!$D75,EF!$D$84:$D$99,0))*INDEX(EF!$H$100:$H$115,MATCH(Emissions!$D75,EF!$D$100:$D$115,0))*INDEX(EF!$H$132:$H$147,MATCH(Emissions!$D75,EF!$D$132:$D$147,0))*kgtoGg</f>
        <v>1.986527903735643E-2</v>
      </c>
      <c r="AU75" s="22">
        <f>INDEX('Activity data'!AU$24:AU$39,MATCH(Emissions!$D75,'Activity data'!$D$24:$D$39,0))*INDEX(EF!$H$84:$H$99,MATCH(Emissions!$D75,EF!$D$84:$D$99,0))*INDEX(EF!$H$100:$H$115,MATCH(Emissions!$D75,EF!$D$100:$D$115,0))*INDEX(EF!$H$132:$H$147,MATCH(Emissions!$D75,EF!$D$132:$D$147,0))*kgtoGg</f>
        <v>2.027162944766546E-2</v>
      </c>
      <c r="AV75" s="22">
        <f>INDEX('Activity data'!AV$24:AV$39,MATCH(Emissions!$D75,'Activity data'!$D$24:$D$39,0))*INDEX(EF!$H$84:$H$99,MATCH(Emissions!$D75,EF!$D$84:$D$99,0))*INDEX(EF!$H$100:$H$115,MATCH(Emissions!$D75,EF!$D$100:$D$115,0))*INDEX(EF!$H$132:$H$147,MATCH(Emissions!$D75,EF!$D$132:$D$147,0))*kgtoGg</f>
        <v>2.0677979857974496E-2</v>
      </c>
      <c r="AW75" s="22">
        <f>INDEX('Activity data'!AW$24:AW$39,MATCH(Emissions!$D75,'Activity data'!$D$24:$D$39,0))*INDEX(EF!$H$84:$H$99,MATCH(Emissions!$D75,EF!$D$84:$D$99,0))*INDEX(EF!$H$100:$H$115,MATCH(Emissions!$D75,EF!$D$100:$D$115,0))*INDEX(EF!$H$132:$H$147,MATCH(Emissions!$D75,EF!$D$132:$D$147,0))*kgtoGg</f>
        <v>2.1084330268283526E-2</v>
      </c>
      <c r="AX75" s="22">
        <f>INDEX('Activity data'!AX$24:AX$39,MATCH(Emissions!$D75,'Activity data'!$D$24:$D$39,0))*INDEX(EF!$H$84:$H$99,MATCH(Emissions!$D75,EF!$D$84:$D$99,0))*INDEX(EF!$H$100:$H$115,MATCH(Emissions!$D75,EF!$D$100:$D$115,0))*INDEX(EF!$H$132:$H$147,MATCH(Emissions!$D75,EF!$D$132:$D$147,0))*kgtoGg</f>
        <v>2.1490680678592562E-2</v>
      </c>
      <c r="AY75" s="22">
        <f>INDEX('Activity data'!AY$24:AY$39,MATCH(Emissions!$D75,'Activity data'!$D$24:$D$39,0))*INDEX(EF!$H$84:$H$99,MATCH(Emissions!$D75,EF!$D$84:$D$99,0))*INDEX(EF!$H$100:$H$115,MATCH(Emissions!$D75,EF!$D$100:$D$115,0))*INDEX(EF!$H$132:$H$147,MATCH(Emissions!$D75,EF!$D$132:$D$147,0))*kgtoGg</f>
        <v>2.1897031088901588E-2</v>
      </c>
      <c r="AZ75" s="22">
        <f>INDEX('Activity data'!AZ$24:AZ$39,MATCH(Emissions!$D75,'Activity data'!$D$24:$D$39,0))*INDEX(EF!$H$84:$H$99,MATCH(Emissions!$D75,EF!$D$84:$D$99,0))*INDEX(EF!$H$100:$H$115,MATCH(Emissions!$D75,EF!$D$100:$D$115,0))*INDEX(EF!$H$132:$H$147,MATCH(Emissions!$D75,EF!$D$132:$D$147,0))*kgtoGg</f>
        <v>2.2303381499210621E-2</v>
      </c>
      <c r="BA75" s="22">
        <f>INDEX('Activity data'!BA$24:BA$39,MATCH(Emissions!$D75,'Activity data'!$D$24:$D$39,0))*INDEX(EF!$H$84:$H$99,MATCH(Emissions!$D75,EF!$D$84:$D$99,0))*INDEX(EF!$H$100:$H$115,MATCH(Emissions!$D75,EF!$D$100:$D$115,0))*INDEX(EF!$H$132:$H$147,MATCH(Emissions!$D75,EF!$D$132:$D$147,0))*kgtoGg</f>
        <v>2.2709731909519658E-2</v>
      </c>
      <c r="BB75" s="22">
        <f>INDEX('Activity data'!BB$24:BB$39,MATCH(Emissions!$D75,'Activity data'!$D$24:$D$39,0))*INDEX(EF!$H$84:$H$99,MATCH(Emissions!$D75,EF!$D$84:$D$99,0))*INDEX(EF!$H$100:$H$115,MATCH(Emissions!$D75,EF!$D$100:$D$115,0))*INDEX(EF!$H$132:$H$147,MATCH(Emissions!$D75,EF!$D$132:$D$147,0))*kgtoGg</f>
        <v>2.3116082319828691E-2</v>
      </c>
      <c r="BC75" s="22">
        <f>INDEX('Activity data'!BC$24:BC$39,MATCH(Emissions!$D75,'Activity data'!$D$24:$D$39,0))*INDEX(EF!$H$84:$H$99,MATCH(Emissions!$D75,EF!$D$84:$D$99,0))*INDEX(EF!$H$100:$H$115,MATCH(Emissions!$D75,EF!$D$100:$D$115,0))*INDEX(EF!$H$132:$H$147,MATCH(Emissions!$D75,EF!$D$132:$D$147,0))*kgtoGg</f>
        <v>2.3522432730137724E-2</v>
      </c>
      <c r="BD75" s="22">
        <f>INDEX('Activity data'!BD$24:BD$39,MATCH(Emissions!$D75,'Activity data'!$D$24:$D$39,0))*INDEX(EF!$H$84:$H$99,MATCH(Emissions!$D75,EF!$D$84:$D$99,0))*INDEX(EF!$H$100:$H$115,MATCH(Emissions!$D75,EF!$D$100:$D$115,0))*INDEX(EF!$H$132:$H$147,MATCH(Emissions!$D75,EF!$D$132:$D$147,0))*kgtoGg</f>
        <v>2.392878314044675E-2</v>
      </c>
      <c r="BE75" s="22">
        <f>INDEX('Activity data'!BE$24:BE$39,MATCH(Emissions!$D75,'Activity data'!$D$24:$D$39,0))*INDEX(EF!$H$84:$H$99,MATCH(Emissions!$D75,EF!$D$84:$D$99,0))*INDEX(EF!$H$100:$H$115,MATCH(Emissions!$D75,EF!$D$100:$D$115,0))*INDEX(EF!$H$132:$H$147,MATCH(Emissions!$D75,EF!$D$132:$D$147,0))*kgtoGg</f>
        <v>2.433513355075579E-2</v>
      </c>
      <c r="BF75" s="22">
        <f>INDEX('Activity data'!BF$24:BF$39,MATCH(Emissions!$D75,'Activity data'!$D$24:$D$39,0))*INDEX(EF!$H$84:$H$99,MATCH(Emissions!$D75,EF!$D$84:$D$99,0))*INDEX(EF!$H$100:$H$115,MATCH(Emissions!$D75,EF!$D$100:$D$115,0))*INDEX(EF!$H$132:$H$147,MATCH(Emissions!$D75,EF!$D$132:$D$147,0))*kgtoGg</f>
        <v>2.4741483961064823E-2</v>
      </c>
      <c r="BG75" s="22">
        <f>INDEX('Activity data'!BG$24:BG$39,MATCH(Emissions!$D75,'Activity data'!$D$24:$D$39,0))*INDEX(EF!$H$84:$H$99,MATCH(Emissions!$D75,EF!$D$84:$D$99,0))*INDEX(EF!$H$100:$H$115,MATCH(Emissions!$D75,EF!$D$100:$D$115,0))*INDEX(EF!$H$132:$H$147,MATCH(Emissions!$D75,EF!$D$132:$D$147,0))*kgtoGg</f>
        <v>2.5147834371373849E-2</v>
      </c>
      <c r="BH75" s="22">
        <f>INDEX('Activity data'!BH$24:BH$39,MATCH(Emissions!$D75,'Activity data'!$D$24:$D$39,0))*INDEX(EF!$H$84:$H$99,MATCH(Emissions!$D75,EF!$D$84:$D$99,0))*INDEX(EF!$H$100:$H$115,MATCH(Emissions!$D75,EF!$D$100:$D$115,0))*INDEX(EF!$H$132:$H$147,MATCH(Emissions!$D75,EF!$D$132:$D$147,0))*kgtoGg</f>
        <v>2.5554184781682879E-2</v>
      </c>
      <c r="BI75" s="22">
        <f>INDEX('Activity data'!BI$24:BI$39,MATCH(Emissions!$D75,'Activity data'!$D$24:$D$39,0))*INDEX(EF!$H$84:$H$99,MATCH(Emissions!$D75,EF!$D$84:$D$99,0))*INDEX(EF!$H$100:$H$115,MATCH(Emissions!$D75,EF!$D$100:$D$115,0))*INDEX(EF!$H$132:$H$147,MATCH(Emissions!$D75,EF!$D$132:$D$147,0))*kgtoGg</f>
        <v>2.5960535191991915E-2</v>
      </c>
      <c r="BJ75" s="22">
        <f>INDEX('Activity data'!BJ$24:BJ$39,MATCH(Emissions!$D75,'Activity data'!$D$24:$D$39,0))*INDEX(EF!$H$84:$H$99,MATCH(Emissions!$D75,EF!$D$84:$D$99,0))*INDEX(EF!$H$100:$H$115,MATCH(Emissions!$D75,EF!$D$100:$D$115,0))*INDEX(EF!$H$132:$H$147,MATCH(Emissions!$D75,EF!$D$132:$D$147,0))*kgtoGg</f>
        <v>2.6366885602300948E-2</v>
      </c>
      <c r="BK75" s="22">
        <f>INDEX('Activity data'!BK$24:BK$39,MATCH(Emissions!$D75,'Activity data'!$D$24:$D$39,0))*INDEX(EF!$H$84:$H$99,MATCH(Emissions!$D75,EF!$D$84:$D$99,0))*INDEX(EF!$H$100:$H$115,MATCH(Emissions!$D75,EF!$D$100:$D$115,0))*INDEX(EF!$H$132:$H$147,MATCH(Emissions!$D75,EF!$D$132:$D$147,0))*kgtoGg</f>
        <v>2.6773236012609978E-2</v>
      </c>
      <c r="BL75" s="22">
        <f>INDEX('Activity data'!BL$24:BL$39,MATCH(Emissions!$D75,'Activity data'!$D$24:$D$39,0))*INDEX(EF!$H$84:$H$99,MATCH(Emissions!$D75,EF!$D$84:$D$99,0))*INDEX(EF!$H$100:$H$115,MATCH(Emissions!$D75,EF!$D$100:$D$115,0))*INDEX(EF!$H$132:$H$147,MATCH(Emissions!$D75,EF!$D$132:$D$147,0))*kgtoGg</f>
        <v>2.7179586422919014E-2</v>
      </c>
      <c r="BM75" s="22">
        <f>INDEX('Activity data'!BM$24:BM$39,MATCH(Emissions!$D75,'Activity data'!$D$24:$D$39,0))*INDEX(EF!$H$84:$H$99,MATCH(Emissions!$D75,EF!$D$84:$D$99,0))*INDEX(EF!$H$100:$H$115,MATCH(Emissions!$D75,EF!$D$100:$D$115,0))*INDEX(EF!$H$132:$H$147,MATCH(Emissions!$D75,EF!$D$132:$D$147,0))*kgtoGg</f>
        <v>2.7585936833228034E-2</v>
      </c>
      <c r="BN75" s="22">
        <f>INDEX('Activity data'!BN$24:BN$39,MATCH(Emissions!$D75,'Activity data'!$D$24:$D$39,0))*INDEX(EF!$H$84:$H$99,MATCH(Emissions!$D75,EF!$D$84:$D$99,0))*INDEX(EF!$H$100:$H$115,MATCH(Emissions!$D75,EF!$D$100:$D$115,0))*INDEX(EF!$H$132:$H$147,MATCH(Emissions!$D75,EF!$D$132:$D$147,0))*kgtoGg</f>
        <v>2.7992287243537067E-2</v>
      </c>
      <c r="BO75" s="22">
        <f>INDEX('Activity data'!BO$24:BO$39,MATCH(Emissions!$D75,'Activity data'!$D$24:$D$39,0))*INDEX(EF!$H$84:$H$99,MATCH(Emissions!$D75,EF!$D$84:$D$99,0))*INDEX(EF!$H$100:$H$115,MATCH(Emissions!$D75,EF!$D$100:$D$115,0))*INDEX(EF!$H$132:$H$147,MATCH(Emissions!$D75,EF!$D$132:$D$147,0))*kgtoGg</f>
        <v>2.8398637653846096E-2</v>
      </c>
      <c r="BP75" s="22">
        <f>INDEX('Activity data'!BP$24:BP$39,MATCH(Emissions!$D75,'Activity data'!$D$24:$D$39,0))*INDEX(EF!$H$84:$H$99,MATCH(Emissions!$D75,EF!$D$84:$D$99,0))*INDEX(EF!$H$100:$H$115,MATCH(Emissions!$D75,EF!$D$100:$D$115,0))*INDEX(EF!$H$132:$H$147,MATCH(Emissions!$D75,EF!$D$132:$D$147,0))*kgtoGg</f>
        <v>2.8804988064155126E-2</v>
      </c>
    </row>
    <row r="76" spans="1:68" x14ac:dyDescent="0.25">
      <c r="A76" t="str">
        <f t="shared" si="19"/>
        <v>3C Aggregated and non-CO2 emissions on land</v>
      </c>
      <c r="B76" t="str">
        <f t="shared" si="26"/>
        <v>3C1 Biomass burning (N2O)</v>
      </c>
      <c r="C76" t="str">
        <f t="shared" si="25"/>
        <v>3C1b Biomass burning in Croplands</v>
      </c>
      <c r="D76" t="str">
        <f>EF!D106</f>
        <v>Perennial orchards</v>
      </c>
      <c r="E76" t="s">
        <v>647</v>
      </c>
      <c r="F76" t="str">
        <f t="shared" si="27"/>
        <v>N2O</v>
      </c>
      <c r="G76" t="str">
        <f t="shared" si="28"/>
        <v>Gg N2O</v>
      </c>
      <c r="H76" s="22">
        <f>INDEX('Activity data'!H$24:H$39,MATCH(Emissions!$D76,'Activity data'!$D$24:$D$39,0))*INDEX(EF!$H$84:$H$99,MATCH(Emissions!$D76,EF!$D$84:$D$99,0))*INDEX(EF!$H$100:$H$115,MATCH(Emissions!$D76,EF!$D$100:$D$115,0))*INDEX(EF!$H$132:$H$147,MATCH(Emissions!$D76,EF!$D$132:$D$147,0))*kgtoGg</f>
        <v>1.3318839710103907E-3</v>
      </c>
      <c r="I76" s="22">
        <f>INDEX('Activity data'!I$24:I$39,MATCH(Emissions!$D76,'Activity data'!$D$24:$D$39,0))*INDEX(EF!$H$84:$H$99,MATCH(Emissions!$D76,EF!$D$84:$D$99,0))*INDEX(EF!$H$100:$H$115,MATCH(Emissions!$D76,EF!$D$100:$D$115,0))*INDEX(EF!$H$132:$H$147,MATCH(Emissions!$D76,EF!$D$132:$D$147,0))*kgtoGg</f>
        <v>1.3318839710103907E-3</v>
      </c>
      <c r="J76" s="22">
        <f>INDEX('Activity data'!J$24:J$39,MATCH(Emissions!$D76,'Activity data'!$D$24:$D$39,0))*INDEX(EF!$H$84:$H$99,MATCH(Emissions!$D76,EF!$D$84:$D$99,0))*INDEX(EF!$H$100:$H$115,MATCH(Emissions!$D76,EF!$D$100:$D$115,0))*INDEX(EF!$H$132:$H$147,MATCH(Emissions!$D76,EF!$D$132:$D$147,0))*kgtoGg</f>
        <v>1.3318839710103907E-3</v>
      </c>
      <c r="K76" s="22">
        <f>INDEX('Activity data'!K$24:K$39,MATCH(Emissions!$D76,'Activity data'!$D$24:$D$39,0))*INDEX(EF!$H$84:$H$99,MATCH(Emissions!$D76,EF!$D$84:$D$99,0))*INDEX(EF!$H$100:$H$115,MATCH(Emissions!$D76,EF!$D$100:$D$115,0))*INDEX(EF!$H$132:$H$147,MATCH(Emissions!$D76,EF!$D$132:$D$147,0))*kgtoGg</f>
        <v>1.3318839710103907E-3</v>
      </c>
      <c r="L76" s="22">
        <f>INDEX('Activity data'!L$24:L$39,MATCH(Emissions!$D76,'Activity data'!$D$24:$D$39,0))*INDEX(EF!$H$84:$H$99,MATCH(Emissions!$D76,EF!$D$84:$D$99,0))*INDEX(EF!$H$100:$H$115,MATCH(Emissions!$D76,EF!$D$100:$D$115,0))*INDEX(EF!$H$132:$H$147,MATCH(Emissions!$D76,EF!$D$132:$D$147,0))*kgtoGg</f>
        <v>1.3318839710103907E-3</v>
      </c>
      <c r="M76" s="22">
        <f>INDEX('Activity data'!M$24:M$39,MATCH(Emissions!$D76,'Activity data'!$D$24:$D$39,0))*INDEX(EF!$H$84:$H$99,MATCH(Emissions!$D76,EF!$D$84:$D$99,0))*INDEX(EF!$H$100:$H$115,MATCH(Emissions!$D76,EF!$D$100:$D$115,0))*INDEX(EF!$H$132:$H$147,MATCH(Emissions!$D76,EF!$D$132:$D$147,0))*kgtoGg</f>
        <v>1.3318839710103907E-3</v>
      </c>
      <c r="N76" s="22">
        <f>INDEX('Activity data'!N$24:N$39,MATCH(Emissions!$D76,'Activity data'!$D$24:$D$39,0))*INDEX(EF!$H$84:$H$99,MATCH(Emissions!$D76,EF!$D$84:$D$99,0))*INDEX(EF!$H$100:$H$115,MATCH(Emissions!$D76,EF!$D$100:$D$115,0))*INDEX(EF!$H$132:$H$147,MATCH(Emissions!$D76,EF!$D$132:$D$147,0))*kgtoGg</f>
        <v>1.3318839710103907E-3</v>
      </c>
      <c r="O76" s="22">
        <f>INDEX('Activity data'!O$24:O$39,MATCH(Emissions!$D76,'Activity data'!$D$24:$D$39,0))*INDEX(EF!$H$84:$H$99,MATCH(Emissions!$D76,EF!$D$84:$D$99,0))*INDEX(EF!$H$100:$H$115,MATCH(Emissions!$D76,EF!$D$100:$D$115,0))*INDEX(EF!$H$132:$H$147,MATCH(Emissions!$D76,EF!$D$132:$D$147,0))*kgtoGg</f>
        <v>1.3318839710103907E-3</v>
      </c>
      <c r="P76" s="22">
        <f>INDEX('Activity data'!P$24:P$39,MATCH(Emissions!$D76,'Activity data'!$D$24:$D$39,0))*INDEX(EF!$H$84:$H$99,MATCH(Emissions!$D76,EF!$D$84:$D$99,0))*INDEX(EF!$H$100:$H$115,MATCH(Emissions!$D76,EF!$D$100:$D$115,0))*INDEX(EF!$H$132:$H$147,MATCH(Emissions!$D76,EF!$D$132:$D$147,0))*kgtoGg</f>
        <v>1.3318839710103907E-3</v>
      </c>
      <c r="Q76" s="22">
        <f>INDEX('Activity data'!Q$24:Q$39,MATCH(Emissions!$D76,'Activity data'!$D$24:$D$39,0))*INDEX(EF!$H$84:$H$99,MATCH(Emissions!$D76,EF!$D$84:$D$99,0))*INDEX(EF!$H$100:$H$115,MATCH(Emissions!$D76,EF!$D$100:$D$115,0))*INDEX(EF!$H$132:$H$147,MATCH(Emissions!$D76,EF!$D$132:$D$147,0))*kgtoGg</f>
        <v>1.3318839710103907E-3</v>
      </c>
      <c r="R76" s="22">
        <f>INDEX('Activity data'!R$24:R$39,MATCH(Emissions!$D76,'Activity data'!$D$24:$D$39,0))*INDEX(EF!$H$84:$H$99,MATCH(Emissions!$D76,EF!$D$84:$D$99,0))*INDEX(EF!$H$100:$H$115,MATCH(Emissions!$D76,EF!$D$100:$D$115,0))*INDEX(EF!$H$132:$H$147,MATCH(Emissions!$D76,EF!$D$132:$D$147,0))*kgtoGg</f>
        <v>1.0175683989043735E-3</v>
      </c>
      <c r="S76" s="22">
        <f>INDEX('Activity data'!S$24:S$39,MATCH(Emissions!$D76,'Activity data'!$D$24:$D$39,0))*INDEX(EF!$H$84:$H$99,MATCH(Emissions!$D76,EF!$D$84:$D$99,0))*INDEX(EF!$H$100:$H$115,MATCH(Emissions!$D76,EF!$D$100:$D$115,0))*INDEX(EF!$H$132:$H$147,MATCH(Emissions!$D76,EF!$D$132:$D$147,0))*kgtoGg</f>
        <v>1.9559925890050732E-3</v>
      </c>
      <c r="T76" s="22">
        <f>INDEX('Activity data'!T$24:T$39,MATCH(Emissions!$D76,'Activity data'!$D$24:$D$39,0))*INDEX(EF!$H$84:$H$99,MATCH(Emissions!$D76,EF!$D$84:$D$99,0))*INDEX(EF!$H$100:$H$115,MATCH(Emissions!$D76,EF!$D$100:$D$115,0))*INDEX(EF!$H$132:$H$147,MATCH(Emissions!$D76,EF!$D$132:$D$147,0))*kgtoGg</f>
        <v>1.4245957584661227E-3</v>
      </c>
      <c r="U76" s="22">
        <f>INDEX('Activity data'!U$24:U$39,MATCH(Emissions!$D76,'Activity data'!$D$24:$D$39,0))*INDEX(EF!$H$84:$H$99,MATCH(Emissions!$D76,EF!$D$84:$D$99,0))*INDEX(EF!$H$100:$H$115,MATCH(Emissions!$D76,EF!$D$100:$D$115,0))*INDEX(EF!$H$132:$H$147,MATCH(Emissions!$D76,EF!$D$132:$D$147,0))*kgtoGg</f>
        <v>1.4585147050962684E-3</v>
      </c>
      <c r="V76" s="22">
        <f>INDEX('Activity data'!V$24:V$39,MATCH(Emissions!$D76,'Activity data'!$D$24:$D$39,0))*INDEX(EF!$H$84:$H$99,MATCH(Emissions!$D76,EF!$D$84:$D$99,0))*INDEX(EF!$H$100:$H$115,MATCH(Emissions!$D76,EF!$D$100:$D$115,0))*INDEX(EF!$H$132:$H$147,MATCH(Emissions!$D76,EF!$D$132:$D$147,0))*kgtoGg</f>
        <v>8.0274840358011664E-4</v>
      </c>
      <c r="W76" s="22">
        <f>INDEX('Activity data'!W$24:W$39,MATCH(Emissions!$D76,'Activity data'!$D$24:$D$39,0))*INDEX(EF!$H$84:$H$99,MATCH(Emissions!$D76,EF!$D$84:$D$99,0))*INDEX(EF!$H$100:$H$115,MATCH(Emissions!$D76,EF!$D$100:$D$115,0))*INDEX(EF!$H$132:$H$147,MATCH(Emissions!$D76,EF!$D$132:$D$147,0))*kgtoGg</f>
        <v>1.8090104869411081E-3</v>
      </c>
      <c r="X76" s="22">
        <f>INDEX('Activity data'!X$24:X$39,MATCH(Emissions!$D76,'Activity data'!$D$24:$D$39,0))*INDEX(EF!$H$84:$H$99,MATCH(Emissions!$D76,EF!$D$84:$D$99,0))*INDEX(EF!$H$100:$H$115,MATCH(Emissions!$D76,EF!$D$100:$D$115,0))*INDEX(EF!$H$132:$H$147,MATCH(Emissions!$D76,EF!$D$132:$D$147,0))*kgtoGg</f>
        <v>1.2550010253153938E-3</v>
      </c>
      <c r="Y76" s="22">
        <f>INDEX('Activity data'!Y$24:Y$39,MATCH(Emissions!$D76,'Activity data'!$D$24:$D$39,0))*INDEX(EF!$H$84:$H$99,MATCH(Emissions!$D76,EF!$D$84:$D$99,0))*INDEX(EF!$H$100:$H$115,MATCH(Emissions!$D76,EF!$D$100:$D$115,0))*INDEX(EF!$H$132:$H$147,MATCH(Emissions!$D76,EF!$D$132:$D$147,0))*kgtoGg</f>
        <v>2.1821188998727113E-3</v>
      </c>
      <c r="Z76" s="22">
        <f>INDEX('Activity data'!Z$24:Z$39,MATCH(Emissions!$D76,'Activity data'!$D$24:$D$39,0))*INDEX(EF!$H$84:$H$99,MATCH(Emissions!$D76,EF!$D$84:$D$99,0))*INDEX(EF!$H$100:$H$115,MATCH(Emissions!$D76,EF!$D$100:$D$115,0))*INDEX(EF!$H$132:$H$147,MATCH(Emissions!$D76,EF!$D$132:$D$147,0))*kgtoGg</f>
        <v>2.7813536236719538E-3</v>
      </c>
      <c r="AA76" s="22">
        <f>INDEX('Activity data'!AA$24:AA$39,MATCH(Emissions!$D76,'Activity data'!$D$24:$D$39,0))*INDEX(EF!$H$84:$H$99,MATCH(Emissions!$D76,EF!$D$84:$D$99,0))*INDEX(EF!$H$100:$H$115,MATCH(Emissions!$D76,EF!$D$100:$D$115,0))*INDEX(EF!$H$132:$H$147,MATCH(Emissions!$D76,EF!$D$132:$D$147,0))*kgtoGg</f>
        <v>1.1871631320551021E-3</v>
      </c>
      <c r="AB76" s="22">
        <f>INDEX('Activity data'!AB$24:AB$39,MATCH(Emissions!$D76,'Activity data'!$D$24:$D$39,0))*INDEX(EF!$H$84:$H$99,MATCH(Emissions!$D76,EF!$D$84:$D$99,0))*INDEX(EF!$H$100:$H$115,MATCH(Emissions!$D76,EF!$D$100:$D$115,0))*INDEX(EF!$H$132:$H$147,MATCH(Emissions!$D76,EF!$D$132:$D$147,0))*kgtoGg</f>
        <v>1.9954808999999999E-3</v>
      </c>
      <c r="AC76" s="22">
        <f>INDEX('Activity data'!AC$24:AC$39,MATCH(Emissions!$D76,'Activity data'!$D$24:$D$39,0))*INDEX(EF!$H$84:$H$99,MATCH(Emissions!$D76,EF!$D$84:$D$99,0))*INDEX(EF!$H$100:$H$115,MATCH(Emissions!$D76,EF!$D$100:$D$115,0))*INDEX(EF!$H$132:$H$147,MATCH(Emissions!$D76,EF!$D$132:$D$147,0))*kgtoGg</f>
        <v>1.5262569E-3</v>
      </c>
      <c r="AD76" s="22">
        <f>INDEX('Activity data'!AD$24:AD$39,MATCH(Emissions!$D76,'Activity data'!$D$24:$D$39,0))*INDEX(EF!$H$84:$H$99,MATCH(Emissions!$D76,EF!$D$84:$D$99,0))*INDEX(EF!$H$100:$H$115,MATCH(Emissions!$D76,EF!$D$100:$D$115,0))*INDEX(EF!$H$132:$H$147,MATCH(Emissions!$D76,EF!$D$132:$D$147,0))*kgtoGg</f>
        <v>1.5816881190357272E-3</v>
      </c>
      <c r="AE76" s="22">
        <f>INDEX('Activity data'!AE$24:AE$39,MATCH(Emissions!$D76,'Activity data'!$D$24:$D$39,0))*INDEX(EF!$H$84:$H$99,MATCH(Emissions!$D76,EF!$D$84:$D$99,0))*INDEX(EF!$H$100:$H$115,MATCH(Emissions!$D76,EF!$D$100:$D$115,0))*INDEX(EF!$H$132:$H$147,MATCH(Emissions!$D76,EF!$D$132:$D$147,0))*kgtoGg</f>
        <v>1.5951964157097593E-3</v>
      </c>
      <c r="AF76" s="22">
        <f>INDEX('Activity data'!AF$24:AF$39,MATCH(Emissions!$D76,'Activity data'!$D$24:$D$39,0))*INDEX(EF!$H$84:$H$99,MATCH(Emissions!$D76,EF!$D$84:$D$99,0))*INDEX(EF!$H$100:$H$115,MATCH(Emissions!$D76,EF!$D$100:$D$115,0))*INDEX(EF!$H$132:$H$147,MATCH(Emissions!$D76,EF!$D$132:$D$147,0))*kgtoGg</f>
        <v>1.6087047123837911E-3</v>
      </c>
      <c r="AG76" s="22">
        <f>INDEX('Activity data'!AG$24:AG$39,MATCH(Emissions!$D76,'Activity data'!$D$24:$D$39,0))*INDEX(EF!$H$84:$H$99,MATCH(Emissions!$D76,EF!$D$84:$D$99,0))*INDEX(EF!$H$100:$H$115,MATCH(Emissions!$D76,EF!$D$100:$D$115,0))*INDEX(EF!$H$132:$H$147,MATCH(Emissions!$D76,EF!$D$132:$D$147,0))*kgtoGg</f>
        <v>1.6222130090578235E-3</v>
      </c>
      <c r="AH76" s="22">
        <f>INDEX('Activity data'!AH$24:AH$39,MATCH(Emissions!$D76,'Activity data'!$D$24:$D$39,0))*INDEX(EF!$H$84:$H$99,MATCH(Emissions!$D76,EF!$D$84:$D$99,0))*INDEX(EF!$H$100:$H$115,MATCH(Emissions!$D76,EF!$D$100:$D$115,0))*INDEX(EF!$H$132:$H$147,MATCH(Emissions!$D76,EF!$D$132:$D$147,0))*kgtoGg</f>
        <v>1.6357213057318551E-3</v>
      </c>
      <c r="AI76" s="22">
        <f>INDEX('Activity data'!AI$24:AI$39,MATCH(Emissions!$D76,'Activity data'!$D$24:$D$39,0))*INDEX(EF!$H$84:$H$99,MATCH(Emissions!$D76,EF!$D$84:$D$99,0))*INDEX(EF!$H$100:$H$115,MATCH(Emissions!$D76,EF!$D$100:$D$115,0))*INDEX(EF!$H$132:$H$147,MATCH(Emissions!$D76,EF!$D$132:$D$147,0))*kgtoGg</f>
        <v>1.6492296024058872E-3</v>
      </c>
      <c r="AJ76" s="22">
        <f>INDEX('Activity data'!AJ$24:AJ$39,MATCH(Emissions!$D76,'Activity data'!$D$24:$D$39,0))*INDEX(EF!$H$84:$H$99,MATCH(Emissions!$D76,EF!$D$84:$D$99,0))*INDEX(EF!$H$100:$H$115,MATCH(Emissions!$D76,EF!$D$100:$D$115,0))*INDEX(EF!$H$132:$H$147,MATCH(Emissions!$D76,EF!$D$132:$D$147,0))*kgtoGg</f>
        <v>1.6627378990799191E-3</v>
      </c>
      <c r="AK76" s="22">
        <f>INDEX('Activity data'!AK$24:AK$39,MATCH(Emissions!$D76,'Activity data'!$D$24:$D$39,0))*INDEX(EF!$H$84:$H$99,MATCH(Emissions!$D76,EF!$D$84:$D$99,0))*INDEX(EF!$H$100:$H$115,MATCH(Emissions!$D76,EF!$D$100:$D$115,0))*INDEX(EF!$H$132:$H$147,MATCH(Emissions!$D76,EF!$D$132:$D$147,0))*kgtoGg</f>
        <v>1.6762461957539514E-3</v>
      </c>
      <c r="AL76" s="22">
        <f>INDEX('Activity data'!AL$24:AL$39,MATCH(Emissions!$D76,'Activity data'!$D$24:$D$39,0))*INDEX(EF!$H$84:$H$99,MATCH(Emissions!$D76,EF!$D$84:$D$99,0))*INDEX(EF!$H$100:$H$115,MATCH(Emissions!$D76,EF!$D$100:$D$115,0))*INDEX(EF!$H$132:$H$147,MATCH(Emissions!$D76,EF!$D$132:$D$147,0))*kgtoGg</f>
        <v>1.6897544924279831E-3</v>
      </c>
      <c r="AM76" s="22">
        <f>INDEX('Activity data'!AM$24:AM$39,MATCH(Emissions!$D76,'Activity data'!$D$24:$D$39,0))*INDEX(EF!$H$84:$H$99,MATCH(Emissions!$D76,EF!$D$84:$D$99,0))*INDEX(EF!$H$100:$H$115,MATCH(Emissions!$D76,EF!$D$100:$D$115,0))*INDEX(EF!$H$132:$H$147,MATCH(Emissions!$D76,EF!$D$132:$D$147,0))*kgtoGg</f>
        <v>1.7032627891020152E-3</v>
      </c>
      <c r="AN76" s="22">
        <f>INDEX('Activity data'!AN$24:AN$39,MATCH(Emissions!$D76,'Activity data'!$D$24:$D$39,0))*INDEX(EF!$H$84:$H$99,MATCH(Emissions!$D76,EF!$D$84:$D$99,0))*INDEX(EF!$H$100:$H$115,MATCH(Emissions!$D76,EF!$D$100:$D$115,0))*INDEX(EF!$H$132:$H$147,MATCH(Emissions!$D76,EF!$D$132:$D$147,0))*kgtoGg</f>
        <v>1.716771085776047E-3</v>
      </c>
      <c r="AO76" s="22">
        <f>INDEX('Activity data'!AO$24:AO$39,MATCH(Emissions!$D76,'Activity data'!$D$24:$D$39,0))*INDEX(EF!$H$84:$H$99,MATCH(Emissions!$D76,EF!$D$84:$D$99,0))*INDEX(EF!$H$100:$H$115,MATCH(Emissions!$D76,EF!$D$100:$D$115,0))*INDEX(EF!$H$132:$H$147,MATCH(Emissions!$D76,EF!$D$132:$D$147,0))*kgtoGg</f>
        <v>1.7302793824500789E-3</v>
      </c>
      <c r="AP76" s="22">
        <f>INDEX('Activity data'!AP$24:AP$39,MATCH(Emissions!$D76,'Activity data'!$D$24:$D$39,0))*INDEX(EF!$H$84:$H$99,MATCH(Emissions!$D76,EF!$D$84:$D$99,0))*INDEX(EF!$H$100:$H$115,MATCH(Emissions!$D76,EF!$D$100:$D$115,0))*INDEX(EF!$H$132:$H$147,MATCH(Emissions!$D76,EF!$D$132:$D$147,0))*kgtoGg</f>
        <v>1.7437876791241112E-3</v>
      </c>
      <c r="AQ76" s="22">
        <f>INDEX('Activity data'!AQ$24:AQ$39,MATCH(Emissions!$D76,'Activity data'!$D$24:$D$39,0))*INDEX(EF!$H$84:$H$99,MATCH(Emissions!$D76,EF!$D$84:$D$99,0))*INDEX(EF!$H$100:$H$115,MATCH(Emissions!$D76,EF!$D$100:$D$115,0))*INDEX(EF!$H$132:$H$147,MATCH(Emissions!$D76,EF!$D$132:$D$147,0))*kgtoGg</f>
        <v>1.7572959757981431E-3</v>
      </c>
      <c r="AR76" s="22">
        <f>INDEX('Activity data'!AR$24:AR$39,MATCH(Emissions!$D76,'Activity data'!$D$24:$D$39,0))*INDEX(EF!$H$84:$H$99,MATCH(Emissions!$D76,EF!$D$84:$D$99,0))*INDEX(EF!$H$100:$H$115,MATCH(Emissions!$D76,EF!$D$100:$D$115,0))*INDEX(EF!$H$132:$H$147,MATCH(Emissions!$D76,EF!$D$132:$D$147,0))*kgtoGg</f>
        <v>1.7708042724721754E-3</v>
      </c>
      <c r="AS76" s="22">
        <f>INDEX('Activity data'!AS$24:AS$39,MATCH(Emissions!$D76,'Activity data'!$D$24:$D$39,0))*INDEX(EF!$H$84:$H$99,MATCH(Emissions!$D76,EF!$D$84:$D$99,0))*INDEX(EF!$H$100:$H$115,MATCH(Emissions!$D76,EF!$D$100:$D$115,0))*INDEX(EF!$H$132:$H$147,MATCH(Emissions!$D76,EF!$D$132:$D$147,0))*kgtoGg</f>
        <v>1.7843125691462071E-3</v>
      </c>
      <c r="AT76" s="22">
        <f>INDEX('Activity data'!AT$24:AT$39,MATCH(Emissions!$D76,'Activity data'!$D$24:$D$39,0))*INDEX(EF!$H$84:$H$99,MATCH(Emissions!$D76,EF!$D$84:$D$99,0))*INDEX(EF!$H$100:$H$115,MATCH(Emissions!$D76,EF!$D$100:$D$115,0))*INDEX(EF!$H$132:$H$147,MATCH(Emissions!$D76,EF!$D$132:$D$147,0))*kgtoGg</f>
        <v>1.7978208658202392E-3</v>
      </c>
      <c r="AU76" s="22">
        <f>INDEX('Activity data'!AU$24:AU$39,MATCH(Emissions!$D76,'Activity data'!$D$24:$D$39,0))*INDEX(EF!$H$84:$H$99,MATCH(Emissions!$D76,EF!$D$84:$D$99,0))*INDEX(EF!$H$100:$H$115,MATCH(Emissions!$D76,EF!$D$100:$D$115,0))*INDEX(EF!$H$132:$H$147,MATCH(Emissions!$D76,EF!$D$132:$D$147,0))*kgtoGg</f>
        <v>1.8113291624942711E-3</v>
      </c>
      <c r="AV76" s="22">
        <f>INDEX('Activity data'!AV$24:AV$39,MATCH(Emissions!$D76,'Activity data'!$D$24:$D$39,0))*INDEX(EF!$H$84:$H$99,MATCH(Emissions!$D76,EF!$D$84:$D$99,0))*INDEX(EF!$H$100:$H$115,MATCH(Emissions!$D76,EF!$D$100:$D$115,0))*INDEX(EF!$H$132:$H$147,MATCH(Emissions!$D76,EF!$D$132:$D$147,0))*kgtoGg</f>
        <v>1.8248374591683034E-3</v>
      </c>
      <c r="AW76" s="22">
        <f>INDEX('Activity data'!AW$24:AW$39,MATCH(Emissions!$D76,'Activity data'!$D$24:$D$39,0))*INDEX(EF!$H$84:$H$99,MATCH(Emissions!$D76,EF!$D$84:$D$99,0))*INDEX(EF!$H$100:$H$115,MATCH(Emissions!$D76,EF!$D$100:$D$115,0))*INDEX(EF!$H$132:$H$147,MATCH(Emissions!$D76,EF!$D$132:$D$147,0))*kgtoGg</f>
        <v>1.838345755842335E-3</v>
      </c>
      <c r="AX76" s="22">
        <f>INDEX('Activity data'!AX$24:AX$39,MATCH(Emissions!$D76,'Activity data'!$D$24:$D$39,0))*INDEX(EF!$H$84:$H$99,MATCH(Emissions!$D76,EF!$D$84:$D$99,0))*INDEX(EF!$H$100:$H$115,MATCH(Emissions!$D76,EF!$D$100:$D$115,0))*INDEX(EF!$H$132:$H$147,MATCH(Emissions!$D76,EF!$D$132:$D$147,0))*kgtoGg</f>
        <v>1.8518540525163671E-3</v>
      </c>
      <c r="AY76" s="22">
        <f>INDEX('Activity data'!AY$24:AY$39,MATCH(Emissions!$D76,'Activity data'!$D$24:$D$39,0))*INDEX(EF!$H$84:$H$99,MATCH(Emissions!$D76,EF!$D$84:$D$99,0))*INDEX(EF!$H$100:$H$115,MATCH(Emissions!$D76,EF!$D$100:$D$115,0))*INDEX(EF!$H$132:$H$147,MATCH(Emissions!$D76,EF!$D$132:$D$147,0))*kgtoGg</f>
        <v>1.865362349190399E-3</v>
      </c>
      <c r="AZ76" s="22">
        <f>INDEX('Activity data'!AZ$24:AZ$39,MATCH(Emissions!$D76,'Activity data'!$D$24:$D$39,0))*INDEX(EF!$H$84:$H$99,MATCH(Emissions!$D76,EF!$D$84:$D$99,0))*INDEX(EF!$H$100:$H$115,MATCH(Emissions!$D76,EF!$D$100:$D$115,0))*INDEX(EF!$H$132:$H$147,MATCH(Emissions!$D76,EF!$D$132:$D$147,0))*kgtoGg</f>
        <v>1.8788706458644309E-3</v>
      </c>
      <c r="BA76" s="22">
        <f>INDEX('Activity data'!BA$24:BA$39,MATCH(Emissions!$D76,'Activity data'!$D$24:$D$39,0))*INDEX(EF!$H$84:$H$99,MATCH(Emissions!$D76,EF!$D$84:$D$99,0))*INDEX(EF!$H$100:$H$115,MATCH(Emissions!$D76,EF!$D$100:$D$115,0))*INDEX(EF!$H$132:$H$147,MATCH(Emissions!$D76,EF!$D$132:$D$147,0))*kgtoGg</f>
        <v>1.892378942538463E-3</v>
      </c>
      <c r="BB76" s="22">
        <f>INDEX('Activity data'!BB$24:BB$39,MATCH(Emissions!$D76,'Activity data'!$D$24:$D$39,0))*INDEX(EF!$H$84:$H$99,MATCH(Emissions!$D76,EF!$D$84:$D$99,0))*INDEX(EF!$H$100:$H$115,MATCH(Emissions!$D76,EF!$D$100:$D$115,0))*INDEX(EF!$H$132:$H$147,MATCH(Emissions!$D76,EF!$D$132:$D$147,0))*kgtoGg</f>
        <v>1.9058872392124951E-3</v>
      </c>
      <c r="BC76" s="22">
        <f>INDEX('Activity data'!BC$24:BC$39,MATCH(Emissions!$D76,'Activity data'!$D$24:$D$39,0))*INDEX(EF!$H$84:$H$99,MATCH(Emissions!$D76,EF!$D$84:$D$99,0))*INDEX(EF!$H$100:$H$115,MATCH(Emissions!$D76,EF!$D$100:$D$115,0))*INDEX(EF!$H$132:$H$147,MATCH(Emissions!$D76,EF!$D$132:$D$147,0))*kgtoGg</f>
        <v>1.9193955358865269E-3</v>
      </c>
      <c r="BD76" s="22">
        <f>INDEX('Activity data'!BD$24:BD$39,MATCH(Emissions!$D76,'Activity data'!$D$24:$D$39,0))*INDEX(EF!$H$84:$H$99,MATCH(Emissions!$D76,EF!$D$84:$D$99,0))*INDEX(EF!$H$100:$H$115,MATCH(Emissions!$D76,EF!$D$100:$D$115,0))*INDEX(EF!$H$132:$H$147,MATCH(Emissions!$D76,EF!$D$132:$D$147,0))*kgtoGg</f>
        <v>1.932903832560559E-3</v>
      </c>
      <c r="BE76" s="22">
        <f>INDEX('Activity data'!BE$24:BE$39,MATCH(Emissions!$D76,'Activity data'!$D$24:$D$39,0))*INDEX(EF!$H$84:$H$99,MATCH(Emissions!$D76,EF!$D$84:$D$99,0))*INDEX(EF!$H$100:$H$115,MATCH(Emissions!$D76,EF!$D$100:$D$115,0))*INDEX(EF!$H$132:$H$147,MATCH(Emissions!$D76,EF!$D$132:$D$147,0))*kgtoGg</f>
        <v>1.9464121292345907E-3</v>
      </c>
      <c r="BF76" s="22">
        <f>INDEX('Activity data'!BF$24:BF$39,MATCH(Emissions!$D76,'Activity data'!$D$24:$D$39,0))*INDEX(EF!$H$84:$H$99,MATCH(Emissions!$D76,EF!$D$84:$D$99,0))*INDEX(EF!$H$100:$H$115,MATCH(Emissions!$D76,EF!$D$100:$D$115,0))*INDEX(EF!$H$132:$H$147,MATCH(Emissions!$D76,EF!$D$132:$D$147,0))*kgtoGg</f>
        <v>1.959920425908623E-3</v>
      </c>
      <c r="BG76" s="22">
        <f>INDEX('Activity data'!BG$24:BG$39,MATCH(Emissions!$D76,'Activity data'!$D$24:$D$39,0))*INDEX(EF!$H$84:$H$99,MATCH(Emissions!$D76,EF!$D$84:$D$99,0))*INDEX(EF!$H$100:$H$115,MATCH(Emissions!$D76,EF!$D$100:$D$115,0))*INDEX(EF!$H$132:$H$147,MATCH(Emissions!$D76,EF!$D$132:$D$147,0))*kgtoGg</f>
        <v>1.9734287225826549E-3</v>
      </c>
      <c r="BH76" s="22">
        <f>INDEX('Activity data'!BH$24:BH$39,MATCH(Emissions!$D76,'Activity data'!$D$24:$D$39,0))*INDEX(EF!$H$84:$H$99,MATCH(Emissions!$D76,EF!$D$84:$D$99,0))*INDEX(EF!$H$100:$H$115,MATCH(Emissions!$D76,EF!$D$100:$D$115,0))*INDEX(EF!$H$132:$H$147,MATCH(Emissions!$D76,EF!$D$132:$D$147,0))*kgtoGg</f>
        <v>1.9869370192566872E-3</v>
      </c>
      <c r="BI76" s="22">
        <f>INDEX('Activity data'!BI$24:BI$39,MATCH(Emissions!$D76,'Activity data'!$D$24:$D$39,0))*INDEX(EF!$H$84:$H$99,MATCH(Emissions!$D76,EF!$D$84:$D$99,0))*INDEX(EF!$H$100:$H$115,MATCH(Emissions!$D76,EF!$D$100:$D$115,0))*INDEX(EF!$H$132:$H$147,MATCH(Emissions!$D76,EF!$D$132:$D$147,0))*kgtoGg</f>
        <v>2.0004453159307187E-3</v>
      </c>
      <c r="BJ76" s="22">
        <f>INDEX('Activity data'!BJ$24:BJ$39,MATCH(Emissions!$D76,'Activity data'!$D$24:$D$39,0))*INDEX(EF!$H$84:$H$99,MATCH(Emissions!$D76,EF!$D$84:$D$99,0))*INDEX(EF!$H$100:$H$115,MATCH(Emissions!$D76,EF!$D$100:$D$115,0))*INDEX(EF!$H$132:$H$147,MATCH(Emissions!$D76,EF!$D$132:$D$147,0))*kgtoGg</f>
        <v>2.013953612604751E-3</v>
      </c>
      <c r="BK76" s="22">
        <f>INDEX('Activity data'!BK$24:BK$39,MATCH(Emissions!$D76,'Activity data'!$D$24:$D$39,0))*INDEX(EF!$H$84:$H$99,MATCH(Emissions!$D76,EF!$D$84:$D$99,0))*INDEX(EF!$H$100:$H$115,MATCH(Emissions!$D76,EF!$D$100:$D$115,0))*INDEX(EF!$H$132:$H$147,MATCH(Emissions!$D76,EF!$D$132:$D$147,0))*kgtoGg</f>
        <v>2.0274619092787828E-3</v>
      </c>
      <c r="BL76" s="22">
        <f>INDEX('Activity data'!BL$24:BL$39,MATCH(Emissions!$D76,'Activity data'!$D$24:$D$39,0))*INDEX(EF!$H$84:$H$99,MATCH(Emissions!$D76,EF!$D$84:$D$99,0))*INDEX(EF!$H$100:$H$115,MATCH(Emissions!$D76,EF!$D$100:$D$115,0))*INDEX(EF!$H$132:$H$147,MATCH(Emissions!$D76,EF!$D$132:$D$147,0))*kgtoGg</f>
        <v>2.0409702059528147E-3</v>
      </c>
      <c r="BM76" s="22">
        <f>INDEX('Activity data'!BM$24:BM$39,MATCH(Emissions!$D76,'Activity data'!$D$24:$D$39,0))*INDEX(EF!$H$84:$H$99,MATCH(Emissions!$D76,EF!$D$84:$D$99,0))*INDEX(EF!$H$100:$H$115,MATCH(Emissions!$D76,EF!$D$100:$D$115,0))*INDEX(EF!$H$132:$H$147,MATCH(Emissions!$D76,EF!$D$132:$D$147,0))*kgtoGg</f>
        <v>2.0544785026268466E-3</v>
      </c>
      <c r="BN76" s="22">
        <f>INDEX('Activity data'!BN$24:BN$39,MATCH(Emissions!$D76,'Activity data'!$D$24:$D$39,0))*INDEX(EF!$H$84:$H$99,MATCH(Emissions!$D76,EF!$D$84:$D$99,0))*INDEX(EF!$H$100:$H$115,MATCH(Emissions!$D76,EF!$D$100:$D$115,0))*INDEX(EF!$H$132:$H$147,MATCH(Emissions!$D76,EF!$D$132:$D$147,0))*kgtoGg</f>
        <v>2.0679867993008789E-3</v>
      </c>
      <c r="BO76" s="22">
        <f>INDEX('Activity data'!BO$24:BO$39,MATCH(Emissions!$D76,'Activity data'!$D$24:$D$39,0))*INDEX(EF!$H$84:$H$99,MATCH(Emissions!$D76,EF!$D$84:$D$99,0))*INDEX(EF!$H$100:$H$115,MATCH(Emissions!$D76,EF!$D$100:$D$115,0))*INDEX(EF!$H$132:$H$147,MATCH(Emissions!$D76,EF!$D$132:$D$147,0))*kgtoGg</f>
        <v>2.0814950959749112E-3</v>
      </c>
      <c r="BP76" s="22">
        <f>INDEX('Activity data'!BP$24:BP$39,MATCH(Emissions!$D76,'Activity data'!$D$24:$D$39,0))*INDEX(EF!$H$84:$H$99,MATCH(Emissions!$D76,EF!$D$84:$D$99,0))*INDEX(EF!$H$100:$H$115,MATCH(Emissions!$D76,EF!$D$100:$D$115,0))*INDEX(EF!$H$132:$H$147,MATCH(Emissions!$D76,EF!$D$132:$D$147,0))*kgtoGg</f>
        <v>2.0950033926489427E-3</v>
      </c>
    </row>
    <row r="77" spans="1:68" x14ac:dyDescent="0.25">
      <c r="A77" t="str">
        <f t="shared" si="19"/>
        <v>3C Aggregated and non-CO2 emissions on land</v>
      </c>
      <c r="B77" t="str">
        <f t="shared" si="26"/>
        <v>3C1 Biomass burning (N2O)</v>
      </c>
      <c r="C77" t="str">
        <f t="shared" si="25"/>
        <v>3C1b Biomass burning in Croplands</v>
      </c>
      <c r="D77" t="str">
        <f>EF!D107</f>
        <v>Perennial vineyards</v>
      </c>
      <c r="E77" t="s">
        <v>648</v>
      </c>
      <c r="F77" t="str">
        <f t="shared" si="27"/>
        <v>N2O</v>
      </c>
      <c r="G77" t="str">
        <f t="shared" si="28"/>
        <v>Gg N2O</v>
      </c>
      <c r="H77" s="22">
        <f>INDEX('Activity data'!H$24:H$39,MATCH(Emissions!$D77,'Activity data'!$D$24:$D$39,0))*INDEX(EF!$H$84:$H$99,MATCH(Emissions!$D77,EF!$D$84:$D$99,0))*INDEX(EF!$H$100:$H$115,MATCH(Emissions!$D77,EF!$D$100:$D$115,0))*INDEX(EF!$H$132:$H$147,MATCH(Emissions!$D77,EF!$D$132:$D$147,0))*kgtoGg</f>
        <v>3.1883809832337033E-4</v>
      </c>
      <c r="I77" s="22">
        <f>INDEX('Activity data'!I$24:I$39,MATCH(Emissions!$D77,'Activity data'!$D$24:$D$39,0))*INDEX(EF!$H$84:$H$99,MATCH(Emissions!$D77,EF!$D$84:$D$99,0))*INDEX(EF!$H$100:$H$115,MATCH(Emissions!$D77,EF!$D$100:$D$115,0))*INDEX(EF!$H$132:$H$147,MATCH(Emissions!$D77,EF!$D$132:$D$147,0))*kgtoGg</f>
        <v>3.1883809832337033E-4</v>
      </c>
      <c r="J77" s="22">
        <f>INDEX('Activity data'!J$24:J$39,MATCH(Emissions!$D77,'Activity data'!$D$24:$D$39,0))*INDEX(EF!$H$84:$H$99,MATCH(Emissions!$D77,EF!$D$84:$D$99,0))*INDEX(EF!$H$100:$H$115,MATCH(Emissions!$D77,EF!$D$100:$D$115,0))*INDEX(EF!$H$132:$H$147,MATCH(Emissions!$D77,EF!$D$132:$D$147,0))*kgtoGg</f>
        <v>3.1883809832337033E-4</v>
      </c>
      <c r="K77" s="22">
        <f>INDEX('Activity data'!K$24:K$39,MATCH(Emissions!$D77,'Activity data'!$D$24:$D$39,0))*INDEX(EF!$H$84:$H$99,MATCH(Emissions!$D77,EF!$D$84:$D$99,0))*INDEX(EF!$H$100:$H$115,MATCH(Emissions!$D77,EF!$D$100:$D$115,0))*INDEX(EF!$H$132:$H$147,MATCH(Emissions!$D77,EF!$D$132:$D$147,0))*kgtoGg</f>
        <v>3.1883809832337033E-4</v>
      </c>
      <c r="L77" s="22">
        <f>INDEX('Activity data'!L$24:L$39,MATCH(Emissions!$D77,'Activity data'!$D$24:$D$39,0))*INDEX(EF!$H$84:$H$99,MATCH(Emissions!$D77,EF!$D$84:$D$99,0))*INDEX(EF!$H$100:$H$115,MATCH(Emissions!$D77,EF!$D$100:$D$115,0))*INDEX(EF!$H$132:$H$147,MATCH(Emissions!$D77,EF!$D$132:$D$147,0))*kgtoGg</f>
        <v>3.1883809832337033E-4</v>
      </c>
      <c r="M77" s="22">
        <f>INDEX('Activity data'!M$24:M$39,MATCH(Emissions!$D77,'Activity data'!$D$24:$D$39,0))*INDEX(EF!$H$84:$H$99,MATCH(Emissions!$D77,EF!$D$84:$D$99,0))*INDEX(EF!$H$100:$H$115,MATCH(Emissions!$D77,EF!$D$100:$D$115,0))*INDEX(EF!$H$132:$H$147,MATCH(Emissions!$D77,EF!$D$132:$D$147,0))*kgtoGg</f>
        <v>3.1883809832337033E-4</v>
      </c>
      <c r="N77" s="22">
        <f>INDEX('Activity data'!N$24:N$39,MATCH(Emissions!$D77,'Activity data'!$D$24:$D$39,0))*INDEX(EF!$H$84:$H$99,MATCH(Emissions!$D77,EF!$D$84:$D$99,0))*INDEX(EF!$H$100:$H$115,MATCH(Emissions!$D77,EF!$D$100:$D$115,0))*INDEX(EF!$H$132:$H$147,MATCH(Emissions!$D77,EF!$D$132:$D$147,0))*kgtoGg</f>
        <v>3.1883809832337033E-4</v>
      </c>
      <c r="O77" s="22">
        <f>INDEX('Activity data'!O$24:O$39,MATCH(Emissions!$D77,'Activity data'!$D$24:$D$39,0))*INDEX(EF!$H$84:$H$99,MATCH(Emissions!$D77,EF!$D$84:$D$99,0))*INDEX(EF!$H$100:$H$115,MATCH(Emissions!$D77,EF!$D$100:$D$115,0))*INDEX(EF!$H$132:$H$147,MATCH(Emissions!$D77,EF!$D$132:$D$147,0))*kgtoGg</f>
        <v>3.1883809832337033E-4</v>
      </c>
      <c r="P77" s="22">
        <f>INDEX('Activity data'!P$24:P$39,MATCH(Emissions!$D77,'Activity data'!$D$24:$D$39,0))*INDEX(EF!$H$84:$H$99,MATCH(Emissions!$D77,EF!$D$84:$D$99,0))*INDEX(EF!$H$100:$H$115,MATCH(Emissions!$D77,EF!$D$100:$D$115,0))*INDEX(EF!$H$132:$H$147,MATCH(Emissions!$D77,EF!$D$132:$D$147,0))*kgtoGg</f>
        <v>3.1883809832337033E-4</v>
      </c>
      <c r="Q77" s="22">
        <f>INDEX('Activity data'!Q$24:Q$39,MATCH(Emissions!$D77,'Activity data'!$D$24:$D$39,0))*INDEX(EF!$H$84:$H$99,MATCH(Emissions!$D77,EF!$D$84:$D$99,0))*INDEX(EF!$H$100:$H$115,MATCH(Emissions!$D77,EF!$D$100:$D$115,0))*INDEX(EF!$H$132:$H$147,MATCH(Emissions!$D77,EF!$D$132:$D$147,0))*kgtoGg</f>
        <v>3.1883809832337033E-4</v>
      </c>
      <c r="R77" s="22">
        <f>INDEX('Activity data'!R$24:R$39,MATCH(Emissions!$D77,'Activity data'!$D$24:$D$39,0))*INDEX(EF!$H$84:$H$99,MATCH(Emissions!$D77,EF!$D$84:$D$99,0))*INDEX(EF!$H$100:$H$115,MATCH(Emissions!$D77,EF!$D$100:$D$115,0))*INDEX(EF!$H$132:$H$147,MATCH(Emissions!$D77,EF!$D$132:$D$147,0))*kgtoGg</f>
        <v>4.9747788390880473E-4</v>
      </c>
      <c r="S77" s="22">
        <f>INDEX('Activity data'!S$24:S$39,MATCH(Emissions!$D77,'Activity data'!$D$24:$D$39,0))*INDEX(EF!$H$84:$H$99,MATCH(Emissions!$D77,EF!$D$84:$D$99,0))*INDEX(EF!$H$100:$H$115,MATCH(Emissions!$D77,EF!$D$100:$D$115,0))*INDEX(EF!$H$132:$H$147,MATCH(Emissions!$D77,EF!$D$132:$D$147,0))*kgtoGg</f>
        <v>3.2788315075807579E-4</v>
      </c>
      <c r="T77" s="22">
        <f>INDEX('Activity data'!T$24:T$39,MATCH(Emissions!$D77,'Activity data'!$D$24:$D$39,0))*INDEX(EF!$H$84:$H$99,MATCH(Emissions!$D77,EF!$D$84:$D$99,0))*INDEX(EF!$H$100:$H$115,MATCH(Emissions!$D77,EF!$D$100:$D$115,0))*INDEX(EF!$H$132:$H$147,MATCH(Emissions!$D77,EF!$D$132:$D$147,0))*kgtoGg</f>
        <v>2.600452574977842E-4</v>
      </c>
      <c r="U77" s="22">
        <f>INDEX('Activity data'!U$24:U$39,MATCH(Emissions!$D77,'Activity data'!$D$24:$D$39,0))*INDEX(EF!$H$84:$H$99,MATCH(Emissions!$D77,EF!$D$84:$D$99,0))*INDEX(EF!$H$100:$H$115,MATCH(Emissions!$D77,EF!$D$100:$D$115,0))*INDEX(EF!$H$132:$H$147,MATCH(Emissions!$D77,EF!$D$132:$D$147,0))*kgtoGg</f>
        <v>4.0702735956174937E-4</v>
      </c>
      <c r="V77" s="22">
        <f>INDEX('Activity data'!V$24:V$39,MATCH(Emissions!$D77,'Activity data'!$D$24:$D$39,0))*INDEX(EF!$H$84:$H$99,MATCH(Emissions!$D77,EF!$D$84:$D$99,0))*INDEX(EF!$H$100:$H$115,MATCH(Emissions!$D77,EF!$D$100:$D$115,0))*INDEX(EF!$H$132:$H$147,MATCH(Emissions!$D77,EF!$D$132:$D$147,0))*kgtoGg</f>
        <v>1.0175683989043734E-4</v>
      </c>
      <c r="W77" s="22">
        <f>INDEX('Activity data'!W$24:W$39,MATCH(Emissions!$D77,'Activity data'!$D$24:$D$39,0))*INDEX(EF!$H$84:$H$99,MATCH(Emissions!$D77,EF!$D$84:$D$99,0))*INDEX(EF!$H$100:$H$115,MATCH(Emissions!$D77,EF!$D$100:$D$115,0))*INDEX(EF!$H$132:$H$147,MATCH(Emissions!$D77,EF!$D$132:$D$147,0))*kgtoGg</f>
        <v>2.8265788858454824E-4</v>
      </c>
      <c r="X77" s="22">
        <f>INDEX('Activity data'!X$24:X$39,MATCH(Emissions!$D77,'Activity data'!$D$24:$D$39,0))*INDEX(EF!$H$84:$H$99,MATCH(Emissions!$D77,EF!$D$84:$D$99,0))*INDEX(EF!$H$100:$H$115,MATCH(Emissions!$D77,EF!$D$100:$D$115,0))*INDEX(EF!$H$132:$H$147,MATCH(Emissions!$D77,EF!$D$132:$D$147,0))*kgtoGg</f>
        <v>5.6531577716909648E-4</v>
      </c>
      <c r="Y77" s="22">
        <f>INDEX('Activity data'!Y$24:Y$39,MATCH(Emissions!$D77,'Activity data'!$D$24:$D$39,0))*INDEX(EF!$H$84:$H$99,MATCH(Emissions!$D77,EF!$D$84:$D$99,0))*INDEX(EF!$H$100:$H$115,MATCH(Emissions!$D77,EF!$D$100:$D$115,0))*INDEX(EF!$H$132:$H$147,MATCH(Emissions!$D77,EF!$D$132:$D$147,0))*kgtoGg</f>
        <v>2.7135157304116619E-4</v>
      </c>
      <c r="Z77" s="22">
        <f>INDEX('Activity data'!Z$24:Z$39,MATCH(Emissions!$D77,'Activity data'!$D$24:$D$39,0))*INDEX(EF!$H$84:$H$99,MATCH(Emissions!$D77,EF!$D$84:$D$99,0))*INDEX(EF!$H$100:$H$115,MATCH(Emissions!$D77,EF!$D$100:$D$115,0))*INDEX(EF!$H$132:$H$147,MATCH(Emissions!$D77,EF!$D$132:$D$147,0))*kgtoGg</f>
        <v>2.0351367978087469E-4</v>
      </c>
      <c r="AA77" s="22">
        <f>INDEX('Activity data'!AA$24:AA$39,MATCH(Emissions!$D77,'Activity data'!$D$24:$D$39,0))*INDEX(EF!$H$84:$H$99,MATCH(Emissions!$D77,EF!$D$84:$D$99,0))*INDEX(EF!$H$100:$H$115,MATCH(Emissions!$D77,EF!$D$100:$D$115,0))*INDEX(EF!$H$132:$H$147,MATCH(Emissions!$D77,EF!$D$132:$D$147,0))*kgtoGg</f>
        <v>3.0527051967131201E-4</v>
      </c>
      <c r="AB77" s="22">
        <f>INDEX('Activity data'!AB$24:AB$39,MATCH(Emissions!$D77,'Activity data'!$D$24:$D$39,0))*INDEX(EF!$H$84:$H$99,MATCH(Emissions!$D77,EF!$D$84:$D$99,0))*INDEX(EF!$H$100:$H$115,MATCH(Emissions!$D77,EF!$D$100:$D$115,0))*INDEX(EF!$H$132:$H$147,MATCH(Emissions!$D77,EF!$D$132:$D$147,0))*kgtoGg</f>
        <v>5.0670899999999994E-4</v>
      </c>
      <c r="AC77" s="22">
        <f>INDEX('Activity data'!AC$24:AC$39,MATCH(Emissions!$D77,'Activity data'!$D$24:$D$39,0))*INDEX(EF!$H$84:$H$99,MATCH(Emissions!$D77,EF!$D$84:$D$99,0))*INDEX(EF!$H$100:$H$115,MATCH(Emissions!$D77,EF!$D$100:$D$115,0))*INDEX(EF!$H$132:$H$147,MATCH(Emissions!$D77,EF!$D$132:$D$147,0))*kgtoGg</f>
        <v>1.3369797000000003E-3</v>
      </c>
      <c r="AD77" s="22">
        <f>INDEX('Activity data'!AD$24:AD$39,MATCH(Emissions!$D77,'Activity data'!$D$24:$D$39,0))*INDEX(EF!$H$84:$H$99,MATCH(Emissions!$D77,EF!$D$84:$D$99,0))*INDEX(EF!$H$100:$H$115,MATCH(Emissions!$D77,EF!$D$100:$D$115,0))*INDEX(EF!$H$132:$H$147,MATCH(Emissions!$D77,EF!$D$132:$D$147,0))*kgtoGg</f>
        <v>4.3710094215939618E-4</v>
      </c>
      <c r="AE77" s="22">
        <f>INDEX('Activity data'!AE$24:AE$39,MATCH(Emissions!$D77,'Activity data'!$D$24:$D$39,0))*INDEX(EF!$H$84:$H$99,MATCH(Emissions!$D77,EF!$D$84:$D$99,0))*INDEX(EF!$H$100:$H$115,MATCH(Emissions!$D77,EF!$D$100:$D$115,0))*INDEX(EF!$H$132:$H$147,MATCH(Emissions!$D77,EF!$D$132:$D$147,0))*kgtoGg</f>
        <v>4.3997905246480524E-4</v>
      </c>
      <c r="AF77" s="22">
        <f>INDEX('Activity data'!AF$24:AF$39,MATCH(Emissions!$D77,'Activity data'!$D$24:$D$39,0))*INDEX(EF!$H$84:$H$99,MATCH(Emissions!$D77,EF!$D$84:$D$99,0))*INDEX(EF!$H$100:$H$115,MATCH(Emissions!$D77,EF!$D$100:$D$115,0))*INDEX(EF!$H$132:$H$147,MATCH(Emissions!$D77,EF!$D$132:$D$147,0))*kgtoGg</f>
        <v>4.4285716277021425E-4</v>
      </c>
      <c r="AG77" s="22">
        <f>INDEX('Activity data'!AG$24:AG$39,MATCH(Emissions!$D77,'Activity data'!$D$24:$D$39,0))*INDEX(EF!$H$84:$H$99,MATCH(Emissions!$D77,EF!$D$84:$D$99,0))*INDEX(EF!$H$100:$H$115,MATCH(Emissions!$D77,EF!$D$100:$D$115,0))*INDEX(EF!$H$132:$H$147,MATCH(Emissions!$D77,EF!$D$132:$D$147,0))*kgtoGg</f>
        <v>4.4573527307562326E-4</v>
      </c>
      <c r="AH77" s="22">
        <f>INDEX('Activity data'!AH$24:AH$39,MATCH(Emissions!$D77,'Activity data'!$D$24:$D$39,0))*INDEX(EF!$H$84:$H$99,MATCH(Emissions!$D77,EF!$D$84:$D$99,0))*INDEX(EF!$H$100:$H$115,MATCH(Emissions!$D77,EF!$D$100:$D$115,0))*INDEX(EF!$H$132:$H$147,MATCH(Emissions!$D77,EF!$D$132:$D$147,0))*kgtoGg</f>
        <v>4.4861338338103221E-4</v>
      </c>
      <c r="AI77" s="22">
        <f>INDEX('Activity data'!AI$24:AI$39,MATCH(Emissions!$D77,'Activity data'!$D$24:$D$39,0))*INDEX(EF!$H$84:$H$99,MATCH(Emissions!$D77,EF!$D$84:$D$99,0))*INDEX(EF!$H$100:$H$115,MATCH(Emissions!$D77,EF!$D$100:$D$115,0))*INDEX(EF!$H$132:$H$147,MATCH(Emissions!$D77,EF!$D$132:$D$147,0))*kgtoGg</f>
        <v>4.5149149368644122E-4</v>
      </c>
      <c r="AJ77" s="22">
        <f>INDEX('Activity data'!AJ$24:AJ$39,MATCH(Emissions!$D77,'Activity data'!$D$24:$D$39,0))*INDEX(EF!$H$84:$H$99,MATCH(Emissions!$D77,EF!$D$84:$D$99,0))*INDEX(EF!$H$100:$H$115,MATCH(Emissions!$D77,EF!$D$100:$D$115,0))*INDEX(EF!$H$132:$H$147,MATCH(Emissions!$D77,EF!$D$132:$D$147,0))*kgtoGg</f>
        <v>4.5436960399185023E-4</v>
      </c>
      <c r="AK77" s="22">
        <f>INDEX('Activity data'!AK$24:AK$39,MATCH(Emissions!$D77,'Activity data'!$D$24:$D$39,0))*INDEX(EF!$H$84:$H$99,MATCH(Emissions!$D77,EF!$D$84:$D$99,0))*INDEX(EF!$H$100:$H$115,MATCH(Emissions!$D77,EF!$D$100:$D$115,0))*INDEX(EF!$H$132:$H$147,MATCH(Emissions!$D77,EF!$D$132:$D$147,0))*kgtoGg</f>
        <v>4.5724771429725918E-4</v>
      </c>
      <c r="AL77" s="22">
        <f>INDEX('Activity data'!AL$24:AL$39,MATCH(Emissions!$D77,'Activity data'!$D$24:$D$39,0))*INDEX(EF!$H$84:$H$99,MATCH(Emissions!$D77,EF!$D$84:$D$99,0))*INDEX(EF!$H$100:$H$115,MATCH(Emissions!$D77,EF!$D$100:$D$115,0))*INDEX(EF!$H$132:$H$147,MATCH(Emissions!$D77,EF!$D$132:$D$147,0))*kgtoGg</f>
        <v>4.601258246026683E-4</v>
      </c>
      <c r="AM77" s="22">
        <f>INDEX('Activity data'!AM$24:AM$39,MATCH(Emissions!$D77,'Activity data'!$D$24:$D$39,0))*INDEX(EF!$H$84:$H$99,MATCH(Emissions!$D77,EF!$D$84:$D$99,0))*INDEX(EF!$H$100:$H$115,MATCH(Emissions!$D77,EF!$D$100:$D$115,0))*INDEX(EF!$H$132:$H$147,MATCH(Emissions!$D77,EF!$D$132:$D$147,0))*kgtoGg</f>
        <v>4.630039349080773E-4</v>
      </c>
      <c r="AN77" s="22">
        <f>INDEX('Activity data'!AN$24:AN$39,MATCH(Emissions!$D77,'Activity data'!$D$24:$D$39,0))*INDEX(EF!$H$84:$H$99,MATCH(Emissions!$D77,EF!$D$84:$D$99,0))*INDEX(EF!$H$100:$H$115,MATCH(Emissions!$D77,EF!$D$100:$D$115,0))*INDEX(EF!$H$132:$H$147,MATCH(Emissions!$D77,EF!$D$132:$D$147,0))*kgtoGg</f>
        <v>4.6588204521348631E-4</v>
      </c>
      <c r="AO77" s="22">
        <f>INDEX('Activity data'!AO$24:AO$39,MATCH(Emissions!$D77,'Activity data'!$D$24:$D$39,0))*INDEX(EF!$H$84:$H$99,MATCH(Emissions!$D77,EF!$D$84:$D$99,0))*INDEX(EF!$H$100:$H$115,MATCH(Emissions!$D77,EF!$D$100:$D$115,0))*INDEX(EF!$H$132:$H$147,MATCH(Emissions!$D77,EF!$D$132:$D$147,0))*kgtoGg</f>
        <v>4.6876015551889532E-4</v>
      </c>
      <c r="AP77" s="22">
        <f>INDEX('Activity data'!AP$24:AP$39,MATCH(Emissions!$D77,'Activity data'!$D$24:$D$39,0))*INDEX(EF!$H$84:$H$99,MATCH(Emissions!$D77,EF!$D$84:$D$99,0))*INDEX(EF!$H$100:$H$115,MATCH(Emissions!$D77,EF!$D$100:$D$115,0))*INDEX(EF!$H$132:$H$147,MATCH(Emissions!$D77,EF!$D$132:$D$147,0))*kgtoGg</f>
        <v>4.7163826582430438E-4</v>
      </c>
      <c r="AQ77" s="22">
        <f>INDEX('Activity data'!AQ$24:AQ$39,MATCH(Emissions!$D77,'Activity data'!$D$24:$D$39,0))*INDEX(EF!$H$84:$H$99,MATCH(Emissions!$D77,EF!$D$84:$D$99,0))*INDEX(EF!$H$100:$H$115,MATCH(Emissions!$D77,EF!$D$100:$D$115,0))*INDEX(EF!$H$132:$H$147,MATCH(Emissions!$D77,EF!$D$132:$D$147,0))*kgtoGg</f>
        <v>4.7451637612971339E-4</v>
      </c>
      <c r="AR77" s="22">
        <f>INDEX('Activity data'!AR$24:AR$39,MATCH(Emissions!$D77,'Activity data'!$D$24:$D$39,0))*INDEX(EF!$H$84:$H$99,MATCH(Emissions!$D77,EF!$D$84:$D$99,0))*INDEX(EF!$H$100:$H$115,MATCH(Emissions!$D77,EF!$D$100:$D$115,0))*INDEX(EF!$H$132:$H$147,MATCH(Emissions!$D77,EF!$D$132:$D$147,0))*kgtoGg</f>
        <v>4.773944864351224E-4</v>
      </c>
      <c r="AS77" s="22">
        <f>INDEX('Activity data'!AS$24:AS$39,MATCH(Emissions!$D77,'Activity data'!$D$24:$D$39,0))*INDEX(EF!$H$84:$H$99,MATCH(Emissions!$D77,EF!$D$84:$D$99,0))*INDEX(EF!$H$100:$H$115,MATCH(Emissions!$D77,EF!$D$100:$D$115,0))*INDEX(EF!$H$132:$H$147,MATCH(Emissions!$D77,EF!$D$132:$D$147,0))*kgtoGg</f>
        <v>4.8027259674053135E-4</v>
      </c>
      <c r="AT77" s="22">
        <f>INDEX('Activity data'!AT$24:AT$39,MATCH(Emissions!$D77,'Activity data'!$D$24:$D$39,0))*INDEX(EF!$H$84:$H$99,MATCH(Emissions!$D77,EF!$D$84:$D$99,0))*INDEX(EF!$H$100:$H$115,MATCH(Emissions!$D77,EF!$D$100:$D$115,0))*INDEX(EF!$H$132:$H$147,MATCH(Emissions!$D77,EF!$D$132:$D$147,0))*kgtoGg</f>
        <v>4.8315070704594041E-4</v>
      </c>
      <c r="AU77" s="22">
        <f>INDEX('Activity data'!AU$24:AU$39,MATCH(Emissions!$D77,'Activity data'!$D$24:$D$39,0))*INDEX(EF!$H$84:$H$99,MATCH(Emissions!$D77,EF!$D$84:$D$99,0))*INDEX(EF!$H$100:$H$115,MATCH(Emissions!$D77,EF!$D$100:$D$115,0))*INDEX(EF!$H$132:$H$147,MATCH(Emissions!$D77,EF!$D$132:$D$147,0))*kgtoGg</f>
        <v>4.8602881735134937E-4</v>
      </c>
      <c r="AV77" s="22">
        <f>INDEX('Activity data'!AV$24:AV$39,MATCH(Emissions!$D77,'Activity data'!$D$24:$D$39,0))*INDEX(EF!$H$84:$H$99,MATCH(Emissions!$D77,EF!$D$84:$D$99,0))*INDEX(EF!$H$100:$H$115,MATCH(Emissions!$D77,EF!$D$100:$D$115,0))*INDEX(EF!$H$132:$H$147,MATCH(Emissions!$D77,EF!$D$132:$D$147,0))*kgtoGg</f>
        <v>4.8890692765675837E-4</v>
      </c>
      <c r="AW77" s="22">
        <f>INDEX('Activity data'!AW$24:AW$39,MATCH(Emissions!$D77,'Activity data'!$D$24:$D$39,0))*INDEX(EF!$H$84:$H$99,MATCH(Emissions!$D77,EF!$D$84:$D$99,0))*INDEX(EF!$H$100:$H$115,MATCH(Emissions!$D77,EF!$D$100:$D$115,0))*INDEX(EF!$H$132:$H$147,MATCH(Emissions!$D77,EF!$D$132:$D$147,0))*kgtoGg</f>
        <v>4.9178503796216749E-4</v>
      </c>
      <c r="AX77" s="22">
        <f>INDEX('Activity data'!AX$24:AX$39,MATCH(Emissions!$D77,'Activity data'!$D$24:$D$39,0))*INDEX(EF!$H$84:$H$99,MATCH(Emissions!$D77,EF!$D$84:$D$99,0))*INDEX(EF!$H$100:$H$115,MATCH(Emissions!$D77,EF!$D$100:$D$115,0))*INDEX(EF!$H$132:$H$147,MATCH(Emissions!$D77,EF!$D$132:$D$147,0))*kgtoGg</f>
        <v>4.946631482675765E-4</v>
      </c>
      <c r="AY77" s="22">
        <f>INDEX('Activity data'!AY$24:AY$39,MATCH(Emissions!$D77,'Activity data'!$D$24:$D$39,0))*INDEX(EF!$H$84:$H$99,MATCH(Emissions!$D77,EF!$D$84:$D$99,0))*INDEX(EF!$H$100:$H$115,MATCH(Emissions!$D77,EF!$D$100:$D$115,0))*INDEX(EF!$H$132:$H$147,MATCH(Emissions!$D77,EF!$D$132:$D$147,0))*kgtoGg</f>
        <v>4.975412585729855E-4</v>
      </c>
      <c r="AZ77" s="22">
        <f>INDEX('Activity data'!AZ$24:AZ$39,MATCH(Emissions!$D77,'Activity data'!$D$24:$D$39,0))*INDEX(EF!$H$84:$H$99,MATCH(Emissions!$D77,EF!$D$84:$D$99,0))*INDEX(EF!$H$100:$H$115,MATCH(Emissions!$D77,EF!$D$100:$D$115,0))*INDEX(EF!$H$132:$H$147,MATCH(Emissions!$D77,EF!$D$132:$D$147,0))*kgtoGg</f>
        <v>5.0041936887839451E-4</v>
      </c>
      <c r="BA77" s="22">
        <f>INDEX('Activity data'!BA$24:BA$39,MATCH(Emissions!$D77,'Activity data'!$D$24:$D$39,0))*INDEX(EF!$H$84:$H$99,MATCH(Emissions!$D77,EF!$D$84:$D$99,0))*INDEX(EF!$H$100:$H$115,MATCH(Emissions!$D77,EF!$D$100:$D$115,0))*INDEX(EF!$H$132:$H$147,MATCH(Emissions!$D77,EF!$D$132:$D$147,0))*kgtoGg</f>
        <v>5.0329747918380363E-4</v>
      </c>
      <c r="BB77" s="22">
        <f>INDEX('Activity data'!BB$24:BB$39,MATCH(Emissions!$D77,'Activity data'!$D$24:$D$39,0))*INDEX(EF!$H$84:$H$99,MATCH(Emissions!$D77,EF!$D$84:$D$99,0))*INDEX(EF!$H$100:$H$115,MATCH(Emissions!$D77,EF!$D$100:$D$115,0))*INDEX(EF!$H$132:$H$147,MATCH(Emissions!$D77,EF!$D$132:$D$147,0))*kgtoGg</f>
        <v>5.0617558948921264E-4</v>
      </c>
      <c r="BC77" s="22">
        <f>INDEX('Activity data'!BC$24:BC$39,MATCH(Emissions!$D77,'Activity data'!$D$24:$D$39,0))*INDEX(EF!$H$84:$H$99,MATCH(Emissions!$D77,EF!$D$84:$D$99,0))*INDEX(EF!$H$100:$H$115,MATCH(Emissions!$D77,EF!$D$100:$D$115,0))*INDEX(EF!$H$132:$H$147,MATCH(Emissions!$D77,EF!$D$132:$D$147,0))*kgtoGg</f>
        <v>5.0905369979462175E-4</v>
      </c>
      <c r="BD77" s="22">
        <f>INDEX('Activity data'!BD$24:BD$39,MATCH(Emissions!$D77,'Activity data'!$D$24:$D$39,0))*INDEX(EF!$H$84:$H$99,MATCH(Emissions!$D77,EF!$D$84:$D$99,0))*INDEX(EF!$H$100:$H$115,MATCH(Emissions!$D77,EF!$D$100:$D$115,0))*INDEX(EF!$H$132:$H$147,MATCH(Emissions!$D77,EF!$D$132:$D$147,0))*kgtoGg</f>
        <v>5.1193181010003065E-4</v>
      </c>
      <c r="BE77" s="22">
        <f>INDEX('Activity data'!BE$24:BE$39,MATCH(Emissions!$D77,'Activity data'!$D$24:$D$39,0))*INDEX(EF!$H$84:$H$99,MATCH(Emissions!$D77,EF!$D$84:$D$99,0))*INDEX(EF!$H$100:$H$115,MATCH(Emissions!$D77,EF!$D$100:$D$115,0))*INDEX(EF!$H$132:$H$147,MATCH(Emissions!$D77,EF!$D$132:$D$147,0))*kgtoGg</f>
        <v>5.1480992040543966E-4</v>
      </c>
      <c r="BF77" s="22">
        <f>INDEX('Activity data'!BF$24:BF$39,MATCH(Emissions!$D77,'Activity data'!$D$24:$D$39,0))*INDEX(EF!$H$84:$H$99,MATCH(Emissions!$D77,EF!$D$84:$D$99,0))*INDEX(EF!$H$100:$H$115,MATCH(Emissions!$D77,EF!$D$100:$D$115,0))*INDEX(EF!$H$132:$H$147,MATCH(Emissions!$D77,EF!$D$132:$D$147,0))*kgtoGg</f>
        <v>5.1768803071084878E-4</v>
      </c>
      <c r="BG77" s="22">
        <f>INDEX('Activity data'!BG$24:BG$39,MATCH(Emissions!$D77,'Activity data'!$D$24:$D$39,0))*INDEX(EF!$H$84:$H$99,MATCH(Emissions!$D77,EF!$D$84:$D$99,0))*INDEX(EF!$H$100:$H$115,MATCH(Emissions!$D77,EF!$D$100:$D$115,0))*INDEX(EF!$H$132:$H$147,MATCH(Emissions!$D77,EF!$D$132:$D$147,0))*kgtoGg</f>
        <v>5.2056614101625778E-4</v>
      </c>
      <c r="BH77" s="22">
        <f>INDEX('Activity data'!BH$24:BH$39,MATCH(Emissions!$D77,'Activity data'!$D$24:$D$39,0))*INDEX(EF!$H$84:$H$99,MATCH(Emissions!$D77,EF!$D$84:$D$99,0))*INDEX(EF!$H$100:$H$115,MATCH(Emissions!$D77,EF!$D$100:$D$115,0))*INDEX(EF!$H$132:$H$147,MATCH(Emissions!$D77,EF!$D$132:$D$147,0))*kgtoGg</f>
        <v>5.2344425132166679E-4</v>
      </c>
      <c r="BI77" s="22">
        <f>INDEX('Activity data'!BI$24:BI$39,MATCH(Emissions!$D77,'Activity data'!$D$24:$D$39,0))*INDEX(EF!$H$84:$H$99,MATCH(Emissions!$D77,EF!$D$84:$D$99,0))*INDEX(EF!$H$100:$H$115,MATCH(Emissions!$D77,EF!$D$100:$D$115,0))*INDEX(EF!$H$132:$H$147,MATCH(Emissions!$D77,EF!$D$132:$D$147,0))*kgtoGg</f>
        <v>5.263223616270758E-4</v>
      </c>
      <c r="BJ77" s="22">
        <f>INDEX('Activity data'!BJ$24:BJ$39,MATCH(Emissions!$D77,'Activity data'!$D$24:$D$39,0))*INDEX(EF!$H$84:$H$99,MATCH(Emissions!$D77,EF!$D$84:$D$99,0))*INDEX(EF!$H$100:$H$115,MATCH(Emissions!$D77,EF!$D$100:$D$115,0))*INDEX(EF!$H$132:$H$147,MATCH(Emissions!$D77,EF!$D$132:$D$147,0))*kgtoGg</f>
        <v>5.2920047193248491E-4</v>
      </c>
      <c r="BK77" s="22">
        <f>INDEX('Activity data'!BK$24:BK$39,MATCH(Emissions!$D77,'Activity data'!$D$24:$D$39,0))*INDEX(EF!$H$84:$H$99,MATCH(Emissions!$D77,EF!$D$84:$D$99,0))*INDEX(EF!$H$100:$H$115,MATCH(Emissions!$D77,EF!$D$100:$D$115,0))*INDEX(EF!$H$132:$H$147,MATCH(Emissions!$D77,EF!$D$132:$D$147,0))*kgtoGg</f>
        <v>5.3207858223789392E-4</v>
      </c>
      <c r="BL77" s="22">
        <f>INDEX('Activity data'!BL$24:BL$39,MATCH(Emissions!$D77,'Activity data'!$D$24:$D$39,0))*INDEX(EF!$H$84:$H$99,MATCH(Emissions!$D77,EF!$D$84:$D$99,0))*INDEX(EF!$H$100:$H$115,MATCH(Emissions!$D77,EF!$D$100:$D$115,0))*INDEX(EF!$H$132:$H$147,MATCH(Emissions!$D77,EF!$D$132:$D$147,0))*kgtoGg</f>
        <v>5.3495669254330282E-4</v>
      </c>
      <c r="BM77" s="22">
        <f>INDEX('Activity data'!BM$24:BM$39,MATCH(Emissions!$D77,'Activity data'!$D$24:$D$39,0))*INDEX(EF!$H$84:$H$99,MATCH(Emissions!$D77,EF!$D$84:$D$99,0))*INDEX(EF!$H$100:$H$115,MATCH(Emissions!$D77,EF!$D$100:$D$115,0))*INDEX(EF!$H$132:$H$147,MATCH(Emissions!$D77,EF!$D$132:$D$147,0))*kgtoGg</f>
        <v>5.3783480284871194E-4</v>
      </c>
      <c r="BN77" s="22">
        <f>INDEX('Activity data'!BN$24:BN$39,MATCH(Emissions!$D77,'Activity data'!$D$24:$D$39,0))*INDEX(EF!$H$84:$H$99,MATCH(Emissions!$D77,EF!$D$84:$D$99,0))*INDEX(EF!$H$100:$H$115,MATCH(Emissions!$D77,EF!$D$100:$D$115,0))*INDEX(EF!$H$132:$H$147,MATCH(Emissions!$D77,EF!$D$132:$D$147,0))*kgtoGg</f>
        <v>5.4071291315412095E-4</v>
      </c>
      <c r="BO77" s="22">
        <f>INDEX('Activity data'!BO$24:BO$39,MATCH(Emissions!$D77,'Activity data'!$D$24:$D$39,0))*INDEX(EF!$H$84:$H$99,MATCH(Emissions!$D77,EF!$D$84:$D$99,0))*INDEX(EF!$H$100:$H$115,MATCH(Emissions!$D77,EF!$D$100:$D$115,0))*INDEX(EF!$H$132:$H$147,MATCH(Emissions!$D77,EF!$D$132:$D$147,0))*kgtoGg</f>
        <v>5.4359102345952984E-4</v>
      </c>
      <c r="BP77" s="22">
        <f>INDEX('Activity data'!BP$24:BP$39,MATCH(Emissions!$D77,'Activity data'!$D$24:$D$39,0))*INDEX(EF!$H$84:$H$99,MATCH(Emissions!$D77,EF!$D$84:$D$99,0))*INDEX(EF!$H$100:$H$115,MATCH(Emissions!$D77,EF!$D$100:$D$115,0))*INDEX(EF!$H$132:$H$147,MATCH(Emissions!$D77,EF!$D$132:$D$147,0))*kgtoGg</f>
        <v>5.4646913376493885E-4</v>
      </c>
    </row>
    <row r="78" spans="1:68" x14ac:dyDescent="0.25">
      <c r="A78" t="str">
        <f t="shared" si="19"/>
        <v>3C Aggregated and non-CO2 emissions on land</v>
      </c>
      <c r="B78" t="str">
        <f t="shared" si="26"/>
        <v>3C1 Biomass burning (N2O)</v>
      </c>
      <c r="C78" t="str">
        <f t="shared" si="25"/>
        <v>3C1b Biomass burning in Croplands</v>
      </c>
      <c r="D78" t="str">
        <f>EF!D108</f>
        <v>Cropland subsistence</v>
      </c>
      <c r="E78" t="s">
        <v>649</v>
      </c>
      <c r="F78" t="str">
        <f t="shared" si="27"/>
        <v>N2O</v>
      </c>
      <c r="G78" t="str">
        <f t="shared" si="28"/>
        <v>Gg N2O</v>
      </c>
      <c r="H78" s="22">
        <f>INDEX('Activity data'!H$24:H$39,MATCH(Emissions!$D78,'Activity data'!$D$24:$D$39,0))*INDEX(EF!$H$84:$H$99,MATCH(Emissions!$D78,EF!$D$84:$D$99,0))*INDEX(EF!$H$100:$H$115,MATCH(Emissions!$D78,EF!$D$100:$D$115,0))*INDEX(EF!$H$132:$H$147,MATCH(Emissions!$D78,EF!$D$132:$D$147,0))*kgtoGg</f>
        <v>5.9523228809688487E-2</v>
      </c>
      <c r="I78" s="22">
        <f>INDEX('Activity data'!I$24:I$39,MATCH(Emissions!$D78,'Activity data'!$D$24:$D$39,0))*INDEX(EF!$H$84:$H$99,MATCH(Emissions!$D78,EF!$D$84:$D$99,0))*INDEX(EF!$H$100:$H$115,MATCH(Emissions!$D78,EF!$D$100:$D$115,0))*INDEX(EF!$H$132:$H$147,MATCH(Emissions!$D78,EF!$D$132:$D$147,0))*kgtoGg</f>
        <v>5.9523228809688487E-2</v>
      </c>
      <c r="J78" s="22">
        <f>INDEX('Activity data'!J$24:J$39,MATCH(Emissions!$D78,'Activity data'!$D$24:$D$39,0))*INDEX(EF!$H$84:$H$99,MATCH(Emissions!$D78,EF!$D$84:$D$99,0))*INDEX(EF!$H$100:$H$115,MATCH(Emissions!$D78,EF!$D$100:$D$115,0))*INDEX(EF!$H$132:$H$147,MATCH(Emissions!$D78,EF!$D$132:$D$147,0))*kgtoGg</f>
        <v>5.9523228809688487E-2</v>
      </c>
      <c r="K78" s="22">
        <f>INDEX('Activity data'!K$24:K$39,MATCH(Emissions!$D78,'Activity data'!$D$24:$D$39,0))*INDEX(EF!$H$84:$H$99,MATCH(Emissions!$D78,EF!$D$84:$D$99,0))*INDEX(EF!$H$100:$H$115,MATCH(Emissions!$D78,EF!$D$100:$D$115,0))*INDEX(EF!$H$132:$H$147,MATCH(Emissions!$D78,EF!$D$132:$D$147,0))*kgtoGg</f>
        <v>5.9523228809688487E-2</v>
      </c>
      <c r="L78" s="22">
        <f>INDEX('Activity data'!L$24:L$39,MATCH(Emissions!$D78,'Activity data'!$D$24:$D$39,0))*INDEX(EF!$H$84:$H$99,MATCH(Emissions!$D78,EF!$D$84:$D$99,0))*INDEX(EF!$H$100:$H$115,MATCH(Emissions!$D78,EF!$D$100:$D$115,0))*INDEX(EF!$H$132:$H$147,MATCH(Emissions!$D78,EF!$D$132:$D$147,0))*kgtoGg</f>
        <v>5.9523228809688487E-2</v>
      </c>
      <c r="M78" s="22">
        <f>INDEX('Activity data'!M$24:M$39,MATCH(Emissions!$D78,'Activity data'!$D$24:$D$39,0))*INDEX(EF!$H$84:$H$99,MATCH(Emissions!$D78,EF!$D$84:$D$99,0))*INDEX(EF!$H$100:$H$115,MATCH(Emissions!$D78,EF!$D$100:$D$115,0))*INDEX(EF!$H$132:$H$147,MATCH(Emissions!$D78,EF!$D$132:$D$147,0))*kgtoGg</f>
        <v>5.9523228809688487E-2</v>
      </c>
      <c r="N78" s="22">
        <f>INDEX('Activity data'!N$24:N$39,MATCH(Emissions!$D78,'Activity data'!$D$24:$D$39,0))*INDEX(EF!$H$84:$H$99,MATCH(Emissions!$D78,EF!$D$84:$D$99,0))*INDEX(EF!$H$100:$H$115,MATCH(Emissions!$D78,EF!$D$100:$D$115,0))*INDEX(EF!$H$132:$H$147,MATCH(Emissions!$D78,EF!$D$132:$D$147,0))*kgtoGg</f>
        <v>5.9523228809688487E-2</v>
      </c>
      <c r="O78" s="22">
        <f>INDEX('Activity data'!O$24:O$39,MATCH(Emissions!$D78,'Activity data'!$D$24:$D$39,0))*INDEX(EF!$H$84:$H$99,MATCH(Emissions!$D78,EF!$D$84:$D$99,0))*INDEX(EF!$H$100:$H$115,MATCH(Emissions!$D78,EF!$D$100:$D$115,0))*INDEX(EF!$H$132:$H$147,MATCH(Emissions!$D78,EF!$D$132:$D$147,0))*kgtoGg</f>
        <v>5.9523228809688487E-2</v>
      </c>
      <c r="P78" s="22">
        <f>INDEX('Activity data'!P$24:P$39,MATCH(Emissions!$D78,'Activity data'!$D$24:$D$39,0))*INDEX(EF!$H$84:$H$99,MATCH(Emissions!$D78,EF!$D$84:$D$99,0))*INDEX(EF!$H$100:$H$115,MATCH(Emissions!$D78,EF!$D$100:$D$115,0))*INDEX(EF!$H$132:$H$147,MATCH(Emissions!$D78,EF!$D$132:$D$147,0))*kgtoGg</f>
        <v>5.9523228809688487E-2</v>
      </c>
      <c r="Q78" s="22">
        <f>INDEX('Activity data'!Q$24:Q$39,MATCH(Emissions!$D78,'Activity data'!$D$24:$D$39,0))*INDEX(EF!$H$84:$H$99,MATCH(Emissions!$D78,EF!$D$84:$D$99,0))*INDEX(EF!$H$100:$H$115,MATCH(Emissions!$D78,EF!$D$100:$D$115,0))*INDEX(EF!$H$132:$H$147,MATCH(Emissions!$D78,EF!$D$132:$D$147,0))*kgtoGg</f>
        <v>5.9523228809688487E-2</v>
      </c>
      <c r="R78" s="22">
        <f>INDEX('Activity data'!R$24:R$39,MATCH(Emissions!$D78,'Activity data'!$D$24:$D$39,0))*INDEX(EF!$H$84:$H$99,MATCH(Emissions!$D78,EF!$D$84:$D$99,0))*INDEX(EF!$H$100:$H$115,MATCH(Emissions!$D78,EF!$D$100:$D$115,0))*INDEX(EF!$H$132:$H$147,MATCH(Emissions!$D78,EF!$D$132:$D$147,0))*kgtoGg</f>
        <v>5.4383377763667071E-2</v>
      </c>
      <c r="S78" s="22">
        <f>INDEX('Activity data'!S$24:S$39,MATCH(Emissions!$D78,'Activity data'!$D$24:$D$39,0))*INDEX(EF!$H$84:$H$99,MATCH(Emissions!$D78,EF!$D$84:$D$99,0))*INDEX(EF!$H$100:$H$115,MATCH(Emissions!$D78,EF!$D$100:$D$115,0))*INDEX(EF!$H$132:$H$147,MATCH(Emissions!$D78,EF!$D$132:$D$147,0))*kgtoGg</f>
        <v>8.1405471912349855E-2</v>
      </c>
      <c r="T78" s="22">
        <f>INDEX('Activity data'!T$24:T$39,MATCH(Emissions!$D78,'Activity data'!$D$24:$D$39,0))*INDEX(EF!$H$84:$H$99,MATCH(Emissions!$D78,EF!$D$84:$D$99,0))*INDEX(EF!$H$100:$H$115,MATCH(Emissions!$D78,EF!$D$100:$D$115,0))*INDEX(EF!$H$132:$H$147,MATCH(Emissions!$D78,EF!$D$132:$D$147,0))*kgtoGg</f>
        <v>6.4095502815432151E-2</v>
      </c>
      <c r="U78" s="22">
        <f>INDEX('Activity data'!U$24:U$39,MATCH(Emissions!$D78,'Activity data'!$D$24:$D$39,0))*INDEX(EF!$H$84:$H$99,MATCH(Emissions!$D78,EF!$D$84:$D$99,0))*INDEX(EF!$H$100:$H$115,MATCH(Emissions!$D78,EF!$D$100:$D$115,0))*INDEX(EF!$H$132:$H$147,MATCH(Emissions!$D78,EF!$D$132:$D$147,0))*kgtoGg</f>
        <v>5.4372071448123685E-2</v>
      </c>
      <c r="V78" s="22">
        <f>INDEX('Activity data'!V$24:V$39,MATCH(Emissions!$D78,'Activity data'!$D$24:$D$39,0))*INDEX(EF!$H$84:$H$99,MATCH(Emissions!$D78,EF!$D$84:$D$99,0))*INDEX(EF!$H$100:$H$115,MATCH(Emissions!$D78,EF!$D$100:$D$115,0))*INDEX(EF!$H$132:$H$147,MATCH(Emissions!$D78,EF!$D$132:$D$147,0))*kgtoGg</f>
        <v>4.3359720108869682E-2</v>
      </c>
      <c r="W78" s="22">
        <f>INDEX('Activity data'!W$24:W$39,MATCH(Emissions!$D78,'Activity data'!$D$24:$D$39,0))*INDEX(EF!$H$84:$H$99,MATCH(Emissions!$D78,EF!$D$84:$D$99,0))*INDEX(EF!$H$100:$H$115,MATCH(Emissions!$D78,EF!$D$100:$D$115,0))*INDEX(EF!$H$132:$H$147,MATCH(Emissions!$D78,EF!$D$132:$D$147,0))*kgtoGg</f>
        <v>9.3989401112133955E-2</v>
      </c>
      <c r="X78" s="22">
        <f>INDEX('Activity data'!X$24:X$39,MATCH(Emissions!$D78,'Activity data'!$D$24:$D$39,0))*INDEX(EF!$H$84:$H$99,MATCH(Emissions!$D78,EF!$D$84:$D$99,0))*INDEX(EF!$H$100:$H$115,MATCH(Emissions!$D78,EF!$D$100:$D$115,0))*INDEX(EF!$H$132:$H$147,MATCH(Emissions!$D78,EF!$D$132:$D$147,0))*kgtoGg</f>
        <v>7.364933944958986E-2</v>
      </c>
      <c r="Y78" s="22">
        <f>INDEX('Activity data'!Y$24:Y$39,MATCH(Emissions!$D78,'Activity data'!$D$24:$D$39,0))*INDEX(EF!$H$84:$H$99,MATCH(Emissions!$D78,EF!$D$84:$D$99,0))*INDEX(EF!$H$100:$H$115,MATCH(Emissions!$D78,EF!$D$100:$D$115,0))*INDEX(EF!$H$132:$H$147,MATCH(Emissions!$D78,EF!$D$132:$D$147,0))*kgtoGg</f>
        <v>0.11404680488609349</v>
      </c>
      <c r="Z78" s="22">
        <f>INDEX('Activity data'!Z$24:Z$39,MATCH(Emissions!$D78,'Activity data'!$D$24:$D$39,0))*INDEX(EF!$H$84:$H$99,MATCH(Emissions!$D78,EF!$D$84:$D$99,0))*INDEX(EF!$H$100:$H$115,MATCH(Emissions!$D78,EF!$D$100:$D$115,0))*INDEX(EF!$H$132:$H$147,MATCH(Emissions!$D78,EF!$D$132:$D$147,0))*kgtoGg</f>
        <v>6.8618029032784925E-2</v>
      </c>
      <c r="AA78" s="22">
        <f>INDEX('Activity data'!AA$24:AA$39,MATCH(Emissions!$D78,'Activity data'!$D$24:$D$39,0))*INDEX(EF!$H$84:$H$99,MATCH(Emissions!$D78,EF!$D$84:$D$99,0))*INDEX(EF!$H$100:$H$115,MATCH(Emissions!$D78,EF!$D$100:$D$115,0))*INDEX(EF!$H$132:$H$147,MATCH(Emissions!$D78,EF!$D$132:$D$147,0))*kgtoGg</f>
        <v>8.1168039285938853E-2</v>
      </c>
      <c r="AB78" s="22">
        <f>INDEX('Activity data'!AB$24:AB$39,MATCH(Emissions!$D78,'Activity data'!$D$24:$D$39,0))*INDEX(EF!$H$84:$H$99,MATCH(Emissions!$D78,EF!$D$84:$D$99,0))*INDEX(EF!$H$100:$H$115,MATCH(Emissions!$D78,EF!$D$100:$D$115,0))*INDEX(EF!$H$132:$H$147,MATCH(Emissions!$D78,EF!$D$132:$D$147,0))*kgtoGg</f>
        <v>5.4530973000000003E-2</v>
      </c>
      <c r="AC78" s="22">
        <f>INDEX('Activity data'!AC$24:AC$39,MATCH(Emissions!$D78,'Activity data'!$D$24:$D$39,0))*INDEX(EF!$H$84:$H$99,MATCH(Emissions!$D78,EF!$D$84:$D$99,0))*INDEX(EF!$H$100:$H$115,MATCH(Emissions!$D78,EF!$D$100:$D$115,0))*INDEX(EF!$H$132:$H$147,MATCH(Emissions!$D78,EF!$D$132:$D$147,0))*kgtoGg</f>
        <v>3.7016790300000005E-2</v>
      </c>
      <c r="AD78" s="22">
        <f>INDEX('Activity data'!AD$24:AD$39,MATCH(Emissions!$D78,'Activity data'!$D$24:$D$39,0))*INDEX(EF!$H$84:$H$99,MATCH(Emissions!$D78,EF!$D$84:$D$99,0))*INDEX(EF!$H$100:$H$115,MATCH(Emissions!$D78,EF!$D$100:$D$115,0))*INDEX(EF!$H$132:$H$147,MATCH(Emissions!$D78,EF!$D$132:$D$147,0))*kgtoGg</f>
        <v>5.46089838424927E-2</v>
      </c>
      <c r="AE78" s="22">
        <f>INDEX('Activity data'!AE$24:AE$39,MATCH(Emissions!$D78,'Activity data'!$D$24:$D$39,0))*INDEX(EF!$H$84:$H$99,MATCH(Emissions!$D78,EF!$D$84:$D$99,0))*INDEX(EF!$H$100:$H$115,MATCH(Emissions!$D78,EF!$D$100:$D$115,0))*INDEX(EF!$H$132:$H$147,MATCH(Emissions!$D78,EF!$D$132:$D$147,0))*kgtoGg</f>
        <v>5.4617136288329267E-2</v>
      </c>
      <c r="AF78" s="22">
        <f>INDEX('Activity data'!AF$24:AF$39,MATCH(Emissions!$D78,'Activity data'!$D$24:$D$39,0))*INDEX(EF!$H$84:$H$99,MATCH(Emissions!$D78,EF!$D$84:$D$99,0))*INDEX(EF!$H$100:$H$115,MATCH(Emissions!$D78,EF!$D$100:$D$115,0))*INDEX(EF!$H$132:$H$147,MATCH(Emissions!$D78,EF!$D$132:$D$147,0))*kgtoGg</f>
        <v>5.462528873416584E-2</v>
      </c>
      <c r="AG78" s="22">
        <f>INDEX('Activity data'!AG$24:AG$39,MATCH(Emissions!$D78,'Activity data'!$D$24:$D$39,0))*INDEX(EF!$H$84:$H$99,MATCH(Emissions!$D78,EF!$D$84:$D$99,0))*INDEX(EF!$H$100:$H$115,MATCH(Emissions!$D78,EF!$D$100:$D$115,0))*INDEX(EF!$H$132:$H$147,MATCH(Emissions!$D78,EF!$D$132:$D$147,0))*kgtoGg</f>
        <v>5.4633441180002421E-2</v>
      </c>
      <c r="AH78" s="22">
        <f>INDEX('Activity data'!AH$24:AH$39,MATCH(Emissions!$D78,'Activity data'!$D$24:$D$39,0))*INDEX(EF!$H$84:$H$99,MATCH(Emissions!$D78,EF!$D$84:$D$99,0))*INDEX(EF!$H$100:$H$115,MATCH(Emissions!$D78,EF!$D$100:$D$115,0))*INDEX(EF!$H$132:$H$147,MATCH(Emissions!$D78,EF!$D$132:$D$147,0))*kgtoGg</f>
        <v>5.4641593625839001E-2</v>
      </c>
      <c r="AI78" s="22">
        <f>INDEX('Activity data'!AI$24:AI$39,MATCH(Emissions!$D78,'Activity data'!$D$24:$D$39,0))*INDEX(EF!$H$84:$H$99,MATCH(Emissions!$D78,EF!$D$84:$D$99,0))*INDEX(EF!$H$100:$H$115,MATCH(Emissions!$D78,EF!$D$100:$D$115,0))*INDEX(EF!$H$132:$H$147,MATCH(Emissions!$D78,EF!$D$132:$D$147,0))*kgtoGg</f>
        <v>5.4649746071675574E-2</v>
      </c>
      <c r="AJ78" s="22">
        <f>INDEX('Activity data'!AJ$24:AJ$39,MATCH(Emissions!$D78,'Activity data'!$D$24:$D$39,0))*INDEX(EF!$H$84:$H$99,MATCH(Emissions!$D78,EF!$D$84:$D$99,0))*INDEX(EF!$H$100:$H$115,MATCH(Emissions!$D78,EF!$D$100:$D$115,0))*INDEX(EF!$H$132:$H$147,MATCH(Emissions!$D78,EF!$D$132:$D$147,0))*kgtoGg</f>
        <v>5.4657898517512148E-2</v>
      </c>
      <c r="AK78" s="22">
        <f>INDEX('Activity data'!AK$24:AK$39,MATCH(Emissions!$D78,'Activity data'!$D$24:$D$39,0))*INDEX(EF!$H$84:$H$99,MATCH(Emissions!$D78,EF!$D$84:$D$99,0))*INDEX(EF!$H$100:$H$115,MATCH(Emissions!$D78,EF!$D$100:$D$115,0))*INDEX(EF!$H$132:$H$147,MATCH(Emissions!$D78,EF!$D$132:$D$147,0))*kgtoGg</f>
        <v>5.4666050963348742E-2</v>
      </c>
      <c r="AL78" s="22">
        <f>INDEX('Activity data'!AL$24:AL$39,MATCH(Emissions!$D78,'Activity data'!$D$24:$D$39,0))*INDEX(EF!$H$84:$H$99,MATCH(Emissions!$D78,EF!$D$84:$D$99,0))*INDEX(EF!$H$100:$H$115,MATCH(Emissions!$D78,EF!$D$100:$D$115,0))*INDEX(EF!$H$132:$H$147,MATCH(Emissions!$D78,EF!$D$132:$D$147,0))*kgtoGg</f>
        <v>5.4674203409185315E-2</v>
      </c>
      <c r="AM78" s="22">
        <f>INDEX('Activity data'!AM$24:AM$39,MATCH(Emissions!$D78,'Activity data'!$D$24:$D$39,0))*INDEX(EF!$H$84:$H$99,MATCH(Emissions!$D78,EF!$D$84:$D$99,0))*INDEX(EF!$H$100:$H$115,MATCH(Emissions!$D78,EF!$D$100:$D$115,0))*INDEX(EF!$H$132:$H$147,MATCH(Emissions!$D78,EF!$D$132:$D$147,0))*kgtoGg</f>
        <v>5.4682355855021902E-2</v>
      </c>
      <c r="AN78" s="22">
        <f>INDEX('Activity data'!AN$24:AN$39,MATCH(Emissions!$D78,'Activity data'!$D$24:$D$39,0))*INDEX(EF!$H$84:$H$99,MATCH(Emissions!$D78,EF!$D$84:$D$99,0))*INDEX(EF!$H$100:$H$115,MATCH(Emissions!$D78,EF!$D$100:$D$115,0))*INDEX(EF!$H$132:$H$147,MATCH(Emissions!$D78,EF!$D$132:$D$147,0))*kgtoGg</f>
        <v>5.4690508300858469E-2</v>
      </c>
      <c r="AO78" s="22">
        <f>INDEX('Activity data'!AO$24:AO$39,MATCH(Emissions!$D78,'Activity data'!$D$24:$D$39,0))*INDEX(EF!$H$84:$H$99,MATCH(Emissions!$D78,EF!$D$84:$D$99,0))*INDEX(EF!$H$100:$H$115,MATCH(Emissions!$D78,EF!$D$100:$D$115,0))*INDEX(EF!$H$132:$H$147,MATCH(Emissions!$D78,EF!$D$132:$D$147,0))*kgtoGg</f>
        <v>5.4698660746695049E-2</v>
      </c>
      <c r="AP78" s="22">
        <f>INDEX('Activity data'!AP$24:AP$39,MATCH(Emissions!$D78,'Activity data'!$D$24:$D$39,0))*INDEX(EF!$H$84:$H$99,MATCH(Emissions!$D78,EF!$D$84:$D$99,0))*INDEX(EF!$H$100:$H$115,MATCH(Emissions!$D78,EF!$D$100:$D$115,0))*INDEX(EF!$H$132:$H$147,MATCH(Emissions!$D78,EF!$D$132:$D$147,0))*kgtoGg</f>
        <v>5.4706813192531623E-2</v>
      </c>
      <c r="AQ78" s="22">
        <f>INDEX('Activity data'!AQ$24:AQ$39,MATCH(Emissions!$D78,'Activity data'!$D$24:$D$39,0))*INDEX(EF!$H$84:$H$99,MATCH(Emissions!$D78,EF!$D$84:$D$99,0))*INDEX(EF!$H$100:$H$115,MATCH(Emissions!$D78,EF!$D$100:$D$115,0))*INDEX(EF!$H$132:$H$147,MATCH(Emissions!$D78,EF!$D$132:$D$147,0))*kgtoGg</f>
        <v>5.4714965638368196E-2</v>
      </c>
      <c r="AR78" s="22">
        <f>INDEX('Activity data'!AR$24:AR$39,MATCH(Emissions!$D78,'Activity data'!$D$24:$D$39,0))*INDEX(EF!$H$84:$H$99,MATCH(Emissions!$D78,EF!$D$84:$D$99,0))*INDEX(EF!$H$100:$H$115,MATCH(Emissions!$D78,EF!$D$100:$D$115,0))*INDEX(EF!$H$132:$H$147,MATCH(Emissions!$D78,EF!$D$132:$D$147,0))*kgtoGg</f>
        <v>5.472311808420479E-2</v>
      </c>
      <c r="AS78" s="22">
        <f>INDEX('Activity data'!AS$24:AS$39,MATCH(Emissions!$D78,'Activity data'!$D$24:$D$39,0))*INDEX(EF!$H$84:$H$99,MATCH(Emissions!$D78,EF!$D$84:$D$99,0))*INDEX(EF!$H$100:$H$115,MATCH(Emissions!$D78,EF!$D$100:$D$115,0))*INDEX(EF!$H$132:$H$147,MATCH(Emissions!$D78,EF!$D$132:$D$147,0))*kgtoGg</f>
        <v>5.4731270530041363E-2</v>
      </c>
      <c r="AT78" s="22">
        <f>INDEX('Activity data'!AT$24:AT$39,MATCH(Emissions!$D78,'Activity data'!$D$24:$D$39,0))*INDEX(EF!$H$84:$H$99,MATCH(Emissions!$D78,EF!$D$84:$D$99,0))*INDEX(EF!$H$100:$H$115,MATCH(Emissions!$D78,EF!$D$100:$D$115,0))*INDEX(EF!$H$132:$H$147,MATCH(Emissions!$D78,EF!$D$132:$D$147,0))*kgtoGg</f>
        <v>5.4739422975877944E-2</v>
      </c>
      <c r="AU78" s="22">
        <f>INDEX('Activity data'!AU$24:AU$39,MATCH(Emissions!$D78,'Activity data'!$D$24:$D$39,0))*INDEX(EF!$H$84:$H$99,MATCH(Emissions!$D78,EF!$D$84:$D$99,0))*INDEX(EF!$H$100:$H$115,MATCH(Emissions!$D78,EF!$D$100:$D$115,0))*INDEX(EF!$H$132:$H$147,MATCH(Emissions!$D78,EF!$D$132:$D$147,0))*kgtoGg</f>
        <v>5.4747575421714524E-2</v>
      </c>
      <c r="AV78" s="22">
        <f>INDEX('Activity data'!AV$24:AV$39,MATCH(Emissions!$D78,'Activity data'!$D$24:$D$39,0))*INDEX(EF!$H$84:$H$99,MATCH(Emissions!$D78,EF!$D$84:$D$99,0))*INDEX(EF!$H$100:$H$115,MATCH(Emissions!$D78,EF!$D$100:$D$115,0))*INDEX(EF!$H$132:$H$147,MATCH(Emissions!$D78,EF!$D$132:$D$147,0))*kgtoGg</f>
        <v>5.4755727867551097E-2</v>
      </c>
      <c r="AW78" s="22">
        <f>INDEX('Activity data'!AW$24:AW$39,MATCH(Emissions!$D78,'Activity data'!$D$24:$D$39,0))*INDEX(EF!$H$84:$H$99,MATCH(Emissions!$D78,EF!$D$84:$D$99,0))*INDEX(EF!$H$100:$H$115,MATCH(Emissions!$D78,EF!$D$100:$D$115,0))*INDEX(EF!$H$132:$H$147,MATCH(Emissions!$D78,EF!$D$132:$D$147,0))*kgtoGg</f>
        <v>5.4763880313387671E-2</v>
      </c>
      <c r="AX78" s="22">
        <f>INDEX('Activity data'!AX$24:AX$39,MATCH(Emissions!$D78,'Activity data'!$D$24:$D$39,0))*INDEX(EF!$H$84:$H$99,MATCH(Emissions!$D78,EF!$D$84:$D$99,0))*INDEX(EF!$H$100:$H$115,MATCH(Emissions!$D78,EF!$D$100:$D$115,0))*INDEX(EF!$H$132:$H$147,MATCH(Emissions!$D78,EF!$D$132:$D$147,0))*kgtoGg</f>
        <v>5.4772032759224265E-2</v>
      </c>
      <c r="AY78" s="22">
        <f>INDEX('Activity data'!AY$24:AY$39,MATCH(Emissions!$D78,'Activity data'!$D$24:$D$39,0))*INDEX(EF!$H$84:$H$99,MATCH(Emissions!$D78,EF!$D$84:$D$99,0))*INDEX(EF!$H$100:$H$115,MATCH(Emissions!$D78,EF!$D$100:$D$115,0))*INDEX(EF!$H$132:$H$147,MATCH(Emissions!$D78,EF!$D$132:$D$147,0))*kgtoGg</f>
        <v>5.4780185205060838E-2</v>
      </c>
      <c r="AZ78" s="22">
        <f>INDEX('Activity data'!AZ$24:AZ$39,MATCH(Emissions!$D78,'Activity data'!$D$24:$D$39,0))*INDEX(EF!$H$84:$H$99,MATCH(Emissions!$D78,EF!$D$84:$D$99,0))*INDEX(EF!$H$100:$H$115,MATCH(Emissions!$D78,EF!$D$100:$D$115,0))*INDEX(EF!$H$132:$H$147,MATCH(Emissions!$D78,EF!$D$132:$D$147,0))*kgtoGg</f>
        <v>5.4788337650897426E-2</v>
      </c>
      <c r="BA78" s="22">
        <f>INDEX('Activity data'!BA$24:BA$39,MATCH(Emissions!$D78,'Activity data'!$D$24:$D$39,0))*INDEX(EF!$H$84:$H$99,MATCH(Emissions!$D78,EF!$D$84:$D$99,0))*INDEX(EF!$H$100:$H$115,MATCH(Emissions!$D78,EF!$D$100:$D$115,0))*INDEX(EF!$H$132:$H$147,MATCH(Emissions!$D78,EF!$D$132:$D$147,0))*kgtoGg</f>
        <v>5.4796490096733992E-2</v>
      </c>
      <c r="BB78" s="22">
        <f>INDEX('Activity data'!BB$24:BB$39,MATCH(Emissions!$D78,'Activity data'!$D$24:$D$39,0))*INDEX(EF!$H$84:$H$99,MATCH(Emissions!$D78,EF!$D$84:$D$99,0))*INDEX(EF!$H$100:$H$115,MATCH(Emissions!$D78,EF!$D$100:$D$115,0))*INDEX(EF!$H$132:$H$147,MATCH(Emissions!$D78,EF!$D$132:$D$147,0))*kgtoGg</f>
        <v>5.4804642542570572E-2</v>
      </c>
      <c r="BC78" s="22">
        <f>INDEX('Activity data'!BC$24:BC$39,MATCH(Emissions!$D78,'Activity data'!$D$24:$D$39,0))*INDEX(EF!$H$84:$H$99,MATCH(Emissions!$D78,EF!$D$84:$D$99,0))*INDEX(EF!$H$100:$H$115,MATCH(Emissions!$D78,EF!$D$100:$D$115,0))*INDEX(EF!$H$132:$H$147,MATCH(Emissions!$D78,EF!$D$132:$D$147,0))*kgtoGg</f>
        <v>5.4812794988407146E-2</v>
      </c>
      <c r="BD78" s="22">
        <f>INDEX('Activity data'!BD$24:BD$39,MATCH(Emissions!$D78,'Activity data'!$D$24:$D$39,0))*INDEX(EF!$H$84:$H$99,MATCH(Emissions!$D78,EF!$D$84:$D$99,0))*INDEX(EF!$H$100:$H$115,MATCH(Emissions!$D78,EF!$D$100:$D$115,0))*INDEX(EF!$H$132:$H$147,MATCH(Emissions!$D78,EF!$D$132:$D$147,0))*kgtoGg</f>
        <v>5.4820947434243726E-2</v>
      </c>
      <c r="BE78" s="22">
        <f>INDEX('Activity data'!BE$24:BE$39,MATCH(Emissions!$D78,'Activity data'!$D$24:$D$39,0))*INDEX(EF!$H$84:$H$99,MATCH(Emissions!$D78,EF!$D$84:$D$99,0))*INDEX(EF!$H$100:$H$115,MATCH(Emissions!$D78,EF!$D$100:$D$115,0))*INDEX(EF!$H$132:$H$147,MATCH(Emissions!$D78,EF!$D$132:$D$147,0))*kgtoGg</f>
        <v>5.4829099880080313E-2</v>
      </c>
      <c r="BF78" s="22">
        <f>INDEX('Activity data'!BF$24:BF$39,MATCH(Emissions!$D78,'Activity data'!$D$24:$D$39,0))*INDEX(EF!$H$84:$H$99,MATCH(Emissions!$D78,EF!$D$84:$D$99,0))*INDEX(EF!$H$100:$H$115,MATCH(Emissions!$D78,EF!$D$100:$D$115,0))*INDEX(EF!$H$132:$H$147,MATCH(Emissions!$D78,EF!$D$132:$D$147,0))*kgtoGg</f>
        <v>5.4837252325916887E-2</v>
      </c>
      <c r="BG78" s="22">
        <f>INDEX('Activity data'!BG$24:BG$39,MATCH(Emissions!$D78,'Activity data'!$D$24:$D$39,0))*INDEX(EF!$H$84:$H$99,MATCH(Emissions!$D78,EF!$D$84:$D$99,0))*INDEX(EF!$H$100:$H$115,MATCH(Emissions!$D78,EF!$D$100:$D$115,0))*INDEX(EF!$H$132:$H$147,MATCH(Emissions!$D78,EF!$D$132:$D$147,0))*kgtoGg</f>
        <v>5.4845404771753467E-2</v>
      </c>
      <c r="BH78" s="22">
        <f>INDEX('Activity data'!BH$24:BH$39,MATCH(Emissions!$D78,'Activity data'!$D$24:$D$39,0))*INDEX(EF!$H$84:$H$99,MATCH(Emissions!$D78,EF!$D$84:$D$99,0))*INDEX(EF!$H$100:$H$115,MATCH(Emissions!$D78,EF!$D$100:$D$115,0))*INDEX(EF!$H$132:$H$147,MATCH(Emissions!$D78,EF!$D$132:$D$147,0))*kgtoGg</f>
        <v>5.4853557217590047E-2</v>
      </c>
      <c r="BI78" s="22">
        <f>INDEX('Activity data'!BI$24:BI$39,MATCH(Emissions!$D78,'Activity data'!$D$24:$D$39,0))*INDEX(EF!$H$84:$H$99,MATCH(Emissions!$D78,EF!$D$84:$D$99,0))*INDEX(EF!$H$100:$H$115,MATCH(Emissions!$D78,EF!$D$100:$D$115,0))*INDEX(EF!$H$132:$H$147,MATCH(Emissions!$D78,EF!$D$132:$D$147,0))*kgtoGg</f>
        <v>5.4861709663426621E-2</v>
      </c>
      <c r="BJ78" s="22">
        <f>INDEX('Activity data'!BJ$24:BJ$39,MATCH(Emissions!$D78,'Activity data'!$D$24:$D$39,0))*INDEX(EF!$H$84:$H$99,MATCH(Emissions!$D78,EF!$D$84:$D$99,0))*INDEX(EF!$H$100:$H$115,MATCH(Emissions!$D78,EF!$D$100:$D$115,0))*INDEX(EF!$H$132:$H$147,MATCH(Emissions!$D78,EF!$D$132:$D$147,0))*kgtoGg</f>
        <v>5.4869862109263194E-2</v>
      </c>
      <c r="BK78" s="22">
        <f>INDEX('Activity data'!BK$24:BK$39,MATCH(Emissions!$D78,'Activity data'!$D$24:$D$39,0))*INDEX(EF!$H$84:$H$99,MATCH(Emissions!$D78,EF!$D$84:$D$99,0))*INDEX(EF!$H$100:$H$115,MATCH(Emissions!$D78,EF!$D$100:$D$115,0))*INDEX(EF!$H$132:$H$147,MATCH(Emissions!$D78,EF!$D$132:$D$147,0))*kgtoGg</f>
        <v>5.4878014555099774E-2</v>
      </c>
      <c r="BL78" s="22">
        <f>INDEX('Activity data'!BL$24:BL$39,MATCH(Emissions!$D78,'Activity data'!$D$24:$D$39,0))*INDEX(EF!$H$84:$H$99,MATCH(Emissions!$D78,EF!$D$84:$D$99,0))*INDEX(EF!$H$100:$H$115,MATCH(Emissions!$D78,EF!$D$100:$D$115,0))*INDEX(EF!$H$132:$H$147,MATCH(Emissions!$D78,EF!$D$132:$D$147,0))*kgtoGg</f>
        <v>5.4886167000936362E-2</v>
      </c>
      <c r="BM78" s="22">
        <f>INDEX('Activity data'!BM$24:BM$39,MATCH(Emissions!$D78,'Activity data'!$D$24:$D$39,0))*INDEX(EF!$H$84:$H$99,MATCH(Emissions!$D78,EF!$D$84:$D$99,0))*INDEX(EF!$H$100:$H$115,MATCH(Emissions!$D78,EF!$D$100:$D$115,0))*INDEX(EF!$H$132:$H$147,MATCH(Emissions!$D78,EF!$D$132:$D$147,0))*kgtoGg</f>
        <v>5.4894319446772949E-2</v>
      </c>
      <c r="BN78" s="22">
        <f>INDEX('Activity data'!BN$24:BN$39,MATCH(Emissions!$D78,'Activity data'!$D$24:$D$39,0))*INDEX(EF!$H$84:$H$99,MATCH(Emissions!$D78,EF!$D$84:$D$99,0))*INDEX(EF!$H$100:$H$115,MATCH(Emissions!$D78,EF!$D$100:$D$115,0))*INDEX(EF!$H$132:$H$147,MATCH(Emissions!$D78,EF!$D$132:$D$147,0))*kgtoGg</f>
        <v>5.4902471892609515E-2</v>
      </c>
      <c r="BO78" s="22">
        <f>INDEX('Activity data'!BO$24:BO$39,MATCH(Emissions!$D78,'Activity data'!$D$24:$D$39,0))*INDEX(EF!$H$84:$H$99,MATCH(Emissions!$D78,EF!$D$84:$D$99,0))*INDEX(EF!$H$100:$H$115,MATCH(Emissions!$D78,EF!$D$100:$D$115,0))*INDEX(EF!$H$132:$H$147,MATCH(Emissions!$D78,EF!$D$132:$D$147,0))*kgtoGg</f>
        <v>5.4910624338446096E-2</v>
      </c>
      <c r="BP78" s="22">
        <f>INDEX('Activity data'!BP$24:BP$39,MATCH(Emissions!$D78,'Activity data'!$D$24:$D$39,0))*INDEX(EF!$H$84:$H$99,MATCH(Emissions!$D78,EF!$D$84:$D$99,0))*INDEX(EF!$H$100:$H$115,MATCH(Emissions!$D78,EF!$D$100:$D$115,0))*INDEX(EF!$H$132:$H$147,MATCH(Emissions!$D78,EF!$D$132:$D$147,0))*kgtoGg</f>
        <v>5.4918776784282669E-2</v>
      </c>
    </row>
    <row r="79" spans="1:68" x14ac:dyDescent="0.25">
      <c r="A79" t="str">
        <f t="shared" si="19"/>
        <v>3C Aggregated and non-CO2 emissions on land</v>
      </c>
      <c r="B79" t="str">
        <f t="shared" si="26"/>
        <v>3C1 Biomass burning (N2O)</v>
      </c>
      <c r="C79" t="str">
        <f t="shared" si="25"/>
        <v>3C1c Biomass burning in Grasslands</v>
      </c>
      <c r="D79" t="str">
        <f>EF!D109</f>
        <v>Grasslands</v>
      </c>
      <c r="E79" t="s">
        <v>650</v>
      </c>
      <c r="F79" t="str">
        <f t="shared" si="27"/>
        <v>N2O</v>
      </c>
      <c r="G79" t="str">
        <f t="shared" si="28"/>
        <v>Gg N2O</v>
      </c>
      <c r="H79" s="22">
        <f>INDEX('Activity data'!H$24:H$39,MATCH(Emissions!$D79,'Activity data'!$D$24:$D$39,0))*INDEX(EF!$H$84:$H$99,MATCH(Emissions!$D79,EF!$D$84:$D$99,0))*INDEX(EF!$H$100:$H$115,MATCH(Emissions!$D79,EF!$D$100:$D$115,0))*INDEX(EF!$H$132:$H$147,MATCH(Emissions!$D79,EF!$D$132:$D$147,0))*kgtoGg</f>
        <v>2.0559289182704736</v>
      </c>
      <c r="I79" s="22">
        <f>INDEX('Activity data'!I$24:I$39,MATCH(Emissions!$D79,'Activity data'!$D$24:$D$39,0))*INDEX(EF!$H$84:$H$99,MATCH(Emissions!$D79,EF!$D$84:$D$99,0))*INDEX(EF!$H$100:$H$115,MATCH(Emissions!$D79,EF!$D$100:$D$115,0))*INDEX(EF!$H$132:$H$147,MATCH(Emissions!$D79,EF!$D$132:$D$147,0))*kgtoGg</f>
        <v>2.0559289182704736</v>
      </c>
      <c r="J79" s="22">
        <f>INDEX('Activity data'!J$24:J$39,MATCH(Emissions!$D79,'Activity data'!$D$24:$D$39,0))*INDEX(EF!$H$84:$H$99,MATCH(Emissions!$D79,EF!$D$84:$D$99,0))*INDEX(EF!$H$100:$H$115,MATCH(Emissions!$D79,EF!$D$100:$D$115,0))*INDEX(EF!$H$132:$H$147,MATCH(Emissions!$D79,EF!$D$132:$D$147,0))*kgtoGg</f>
        <v>2.0559289182704736</v>
      </c>
      <c r="K79" s="22">
        <f>INDEX('Activity data'!K$24:K$39,MATCH(Emissions!$D79,'Activity data'!$D$24:$D$39,0))*INDEX(EF!$H$84:$H$99,MATCH(Emissions!$D79,EF!$D$84:$D$99,0))*INDEX(EF!$H$100:$H$115,MATCH(Emissions!$D79,EF!$D$100:$D$115,0))*INDEX(EF!$H$132:$H$147,MATCH(Emissions!$D79,EF!$D$132:$D$147,0))*kgtoGg</f>
        <v>2.0559289182704736</v>
      </c>
      <c r="L79" s="22">
        <f>INDEX('Activity data'!L$24:L$39,MATCH(Emissions!$D79,'Activity data'!$D$24:$D$39,0))*INDEX(EF!$H$84:$H$99,MATCH(Emissions!$D79,EF!$D$84:$D$99,0))*INDEX(EF!$H$100:$H$115,MATCH(Emissions!$D79,EF!$D$100:$D$115,0))*INDEX(EF!$H$132:$H$147,MATCH(Emissions!$D79,EF!$D$132:$D$147,0))*kgtoGg</f>
        <v>2.0559289182704736</v>
      </c>
      <c r="M79" s="22">
        <f>INDEX('Activity data'!M$24:M$39,MATCH(Emissions!$D79,'Activity data'!$D$24:$D$39,0))*INDEX(EF!$H$84:$H$99,MATCH(Emissions!$D79,EF!$D$84:$D$99,0))*INDEX(EF!$H$100:$H$115,MATCH(Emissions!$D79,EF!$D$100:$D$115,0))*INDEX(EF!$H$132:$H$147,MATCH(Emissions!$D79,EF!$D$132:$D$147,0))*kgtoGg</f>
        <v>2.0559289182704736</v>
      </c>
      <c r="N79" s="22">
        <f>INDEX('Activity data'!N$24:N$39,MATCH(Emissions!$D79,'Activity data'!$D$24:$D$39,0))*INDEX(EF!$H$84:$H$99,MATCH(Emissions!$D79,EF!$D$84:$D$99,0))*INDEX(EF!$H$100:$H$115,MATCH(Emissions!$D79,EF!$D$100:$D$115,0))*INDEX(EF!$H$132:$H$147,MATCH(Emissions!$D79,EF!$D$132:$D$147,0))*kgtoGg</f>
        <v>2.0559289182704736</v>
      </c>
      <c r="O79" s="22">
        <f>INDEX('Activity data'!O$24:O$39,MATCH(Emissions!$D79,'Activity data'!$D$24:$D$39,0))*INDEX(EF!$H$84:$H$99,MATCH(Emissions!$D79,EF!$D$84:$D$99,0))*INDEX(EF!$H$100:$H$115,MATCH(Emissions!$D79,EF!$D$100:$D$115,0))*INDEX(EF!$H$132:$H$147,MATCH(Emissions!$D79,EF!$D$132:$D$147,0))*kgtoGg</f>
        <v>2.0559289182704736</v>
      </c>
      <c r="P79" s="22">
        <f>INDEX('Activity data'!P$24:P$39,MATCH(Emissions!$D79,'Activity data'!$D$24:$D$39,0))*INDEX(EF!$H$84:$H$99,MATCH(Emissions!$D79,EF!$D$84:$D$99,0))*INDEX(EF!$H$100:$H$115,MATCH(Emissions!$D79,EF!$D$100:$D$115,0))*INDEX(EF!$H$132:$H$147,MATCH(Emissions!$D79,EF!$D$132:$D$147,0))*kgtoGg</f>
        <v>2.0559289182704736</v>
      </c>
      <c r="Q79" s="22">
        <f>INDEX('Activity data'!Q$24:Q$39,MATCH(Emissions!$D79,'Activity data'!$D$24:$D$39,0))*INDEX(EF!$H$84:$H$99,MATCH(Emissions!$D79,EF!$D$84:$D$99,0))*INDEX(EF!$H$100:$H$115,MATCH(Emissions!$D79,EF!$D$100:$D$115,0))*INDEX(EF!$H$132:$H$147,MATCH(Emissions!$D79,EF!$D$132:$D$147,0))*kgtoGg</f>
        <v>2.0559289182704736</v>
      </c>
      <c r="R79" s="22">
        <f>INDEX('Activity data'!R$24:R$39,MATCH(Emissions!$D79,'Activity data'!$D$24:$D$39,0))*INDEX(EF!$H$84:$H$99,MATCH(Emissions!$D79,EF!$D$84:$D$99,0))*INDEX(EF!$H$100:$H$115,MATCH(Emissions!$D79,EF!$D$100:$D$115,0))*INDEX(EF!$H$132:$H$147,MATCH(Emissions!$D79,EF!$D$132:$D$147,0))*kgtoGg</f>
        <v>2.0422883654275221</v>
      </c>
      <c r="S79" s="22">
        <f>INDEX('Activity data'!S$24:S$39,MATCH(Emissions!$D79,'Activity data'!$D$24:$D$39,0))*INDEX(EF!$H$84:$H$99,MATCH(Emissions!$D79,EF!$D$84:$D$99,0))*INDEX(EF!$H$100:$H$115,MATCH(Emissions!$D79,EF!$D$100:$D$115,0))*INDEX(EF!$H$132:$H$147,MATCH(Emissions!$D79,EF!$D$132:$D$147,0))*kgtoGg</f>
        <v>2.3356218386669245</v>
      </c>
      <c r="T79" s="22">
        <f>INDEX('Activity data'!T$24:T$39,MATCH(Emissions!$D79,'Activity data'!$D$24:$D$39,0))*INDEX(EF!$H$84:$H$99,MATCH(Emissions!$D79,EF!$D$84:$D$99,0))*INDEX(EF!$H$100:$H$115,MATCH(Emissions!$D79,EF!$D$100:$D$115,0))*INDEX(EF!$H$132:$H$147,MATCH(Emissions!$D79,EF!$D$132:$D$147,0))*kgtoGg</f>
        <v>2.3760706670797545</v>
      </c>
      <c r="U79" s="22">
        <f>INDEX('Activity data'!U$24:U$39,MATCH(Emissions!$D79,'Activity data'!$D$24:$D$39,0))*INDEX(EF!$H$84:$H$99,MATCH(Emissions!$D79,EF!$D$84:$D$99,0))*INDEX(EF!$H$100:$H$115,MATCH(Emissions!$D79,EF!$D$100:$D$115,0))*INDEX(EF!$H$132:$H$147,MATCH(Emissions!$D79,EF!$D$132:$D$147,0))*kgtoGg</f>
        <v>1.9071940465634558</v>
      </c>
      <c r="V79" s="22">
        <f>INDEX('Activity data'!V$24:V$39,MATCH(Emissions!$D79,'Activity data'!$D$24:$D$39,0))*INDEX(EF!$H$84:$H$99,MATCH(Emissions!$D79,EF!$D$84:$D$99,0))*INDEX(EF!$H$100:$H$115,MATCH(Emissions!$D79,EF!$D$100:$D$115,0))*INDEX(EF!$H$132:$H$147,MATCH(Emissions!$D79,EF!$D$132:$D$147,0))*kgtoGg</f>
        <v>1.6184696736147095</v>
      </c>
      <c r="W79" s="22">
        <f>INDEX('Activity data'!W$24:W$39,MATCH(Emissions!$D79,'Activity data'!$D$24:$D$39,0))*INDEX(EF!$H$84:$H$99,MATCH(Emissions!$D79,EF!$D$84:$D$99,0))*INDEX(EF!$H$100:$H$115,MATCH(Emissions!$D79,EF!$D$100:$D$115,0))*INDEX(EF!$H$132:$H$147,MATCH(Emissions!$D79,EF!$D$132:$D$147,0))*kgtoGg</f>
        <v>2.5143834094226407</v>
      </c>
      <c r="X79" s="22">
        <f>INDEX('Activity data'!X$24:X$39,MATCH(Emissions!$D79,'Activity data'!$D$24:$D$39,0))*INDEX(EF!$H$84:$H$99,MATCH(Emissions!$D79,EF!$D$84:$D$99,0))*INDEX(EF!$H$100:$H$115,MATCH(Emissions!$D79,EF!$D$100:$D$115,0))*INDEX(EF!$H$132:$H$147,MATCH(Emissions!$D79,EF!$D$132:$D$147,0))*kgtoGg</f>
        <v>2.2148912245879653</v>
      </c>
      <c r="Y79" s="22">
        <f>INDEX('Activity data'!Y$24:Y$39,MATCH(Emissions!$D79,'Activity data'!$D$24:$D$39,0))*INDEX(EF!$H$84:$H$99,MATCH(Emissions!$D79,EF!$D$84:$D$99,0))*INDEX(EF!$H$100:$H$115,MATCH(Emissions!$D79,EF!$D$100:$D$115,0))*INDEX(EF!$H$132:$H$147,MATCH(Emissions!$D79,EF!$D$132:$D$147,0))*kgtoGg</f>
        <v>2.0867105561598827</v>
      </c>
      <c r="Z79" s="22">
        <f>INDEX('Activity data'!Z$24:Z$39,MATCH(Emissions!$D79,'Activity data'!$D$24:$D$39,0))*INDEX(EF!$H$84:$H$99,MATCH(Emissions!$D79,EF!$D$84:$D$99,0))*INDEX(EF!$H$100:$H$115,MATCH(Emissions!$D79,EF!$D$100:$D$115,0))*INDEX(EF!$H$132:$H$147,MATCH(Emissions!$D79,EF!$D$132:$D$147,0))*kgtoGg</f>
        <v>1.9391398796124881</v>
      </c>
      <c r="AA79" s="22">
        <f>INDEX('Activity data'!AA$24:AA$39,MATCH(Emissions!$D79,'Activity data'!$D$24:$D$39,0))*INDEX(EF!$H$84:$H$99,MATCH(Emissions!$D79,EF!$D$84:$D$99,0))*INDEX(EF!$H$100:$H$115,MATCH(Emissions!$D79,EF!$D$100:$D$115,0))*INDEX(EF!$H$132:$H$147,MATCH(Emissions!$D79,EF!$D$132:$D$147,0))*kgtoGg</f>
        <v>2.0058724997690169</v>
      </c>
      <c r="AB79" s="22">
        <f>INDEX('Activity data'!AB$24:AB$39,MATCH(Emissions!$D79,'Activity data'!$D$24:$D$39,0))*INDEX(EF!$H$84:$H$99,MATCH(Emissions!$D79,EF!$D$84:$D$99,0))*INDEX(EF!$H$100:$H$115,MATCH(Emissions!$D79,EF!$D$100:$D$115,0))*INDEX(EF!$H$132:$H$147,MATCH(Emissions!$D79,EF!$D$132:$D$147,0))*kgtoGg</f>
        <v>1.7294926458599997</v>
      </c>
      <c r="AC79" s="22">
        <f>INDEX('Activity data'!AC$24:AC$39,MATCH(Emissions!$D79,'Activity data'!$D$24:$D$39,0))*INDEX(EF!$H$84:$H$99,MATCH(Emissions!$D79,EF!$D$84:$D$99,0))*INDEX(EF!$H$100:$H$115,MATCH(Emissions!$D79,EF!$D$100:$D$115,0))*INDEX(EF!$H$132:$H$147,MATCH(Emissions!$D79,EF!$D$132:$D$147,0))*kgtoGg</f>
        <v>1.7569372791599995</v>
      </c>
      <c r="AD79" s="22">
        <f>INDEX('Activity data'!AD$24:AD$39,MATCH(Emissions!$D79,'Activity data'!$D$24:$D$39,0))*INDEX(EF!$H$84:$H$99,MATCH(Emissions!$D79,EF!$D$84:$D$99,0))*INDEX(EF!$H$100:$H$115,MATCH(Emissions!$D79,EF!$D$100:$D$115,0))*INDEX(EF!$H$132:$H$147,MATCH(Emissions!$D79,EF!$D$132:$D$147,0))*kgtoGg</f>
        <v>1.7476396139750874</v>
      </c>
      <c r="AE79" s="22">
        <f>INDEX('Activity data'!AE$24:AE$39,MATCH(Emissions!$D79,'Activity data'!$D$24:$D$39,0))*INDEX(EF!$H$84:$H$99,MATCH(Emissions!$D79,EF!$D$84:$D$99,0))*INDEX(EF!$H$100:$H$115,MATCH(Emissions!$D79,EF!$D$100:$D$115,0))*INDEX(EF!$H$132:$H$147,MATCH(Emissions!$D79,EF!$D$132:$D$147,0))*kgtoGg</f>
        <v>1.7588516448488245</v>
      </c>
      <c r="AF79" s="22">
        <f>INDEX('Activity data'!AF$24:AF$39,MATCH(Emissions!$D79,'Activity data'!$D$24:$D$39,0))*INDEX(EF!$H$84:$H$99,MATCH(Emissions!$D79,EF!$D$84:$D$99,0))*INDEX(EF!$H$100:$H$115,MATCH(Emissions!$D79,EF!$D$100:$D$115,0))*INDEX(EF!$H$132:$H$147,MATCH(Emissions!$D79,EF!$D$132:$D$147,0))*kgtoGg</f>
        <v>1.7700636757225612</v>
      </c>
      <c r="AG79" s="22">
        <f>INDEX('Activity data'!AG$24:AG$39,MATCH(Emissions!$D79,'Activity data'!$D$24:$D$39,0))*INDEX(EF!$H$84:$H$99,MATCH(Emissions!$D79,EF!$D$84:$D$99,0))*INDEX(EF!$H$100:$H$115,MATCH(Emissions!$D79,EF!$D$100:$D$115,0))*INDEX(EF!$H$132:$H$147,MATCH(Emissions!$D79,EF!$D$132:$D$147,0))*kgtoGg</f>
        <v>1.7812757065962979</v>
      </c>
      <c r="AH79" s="22">
        <f>INDEX('Activity data'!AH$24:AH$39,MATCH(Emissions!$D79,'Activity data'!$D$24:$D$39,0))*INDEX(EF!$H$84:$H$99,MATCH(Emissions!$D79,EF!$D$84:$D$99,0))*INDEX(EF!$H$100:$H$115,MATCH(Emissions!$D79,EF!$D$100:$D$115,0))*INDEX(EF!$H$132:$H$147,MATCH(Emissions!$D79,EF!$D$132:$D$147,0))*kgtoGg</f>
        <v>1.7924877374700352</v>
      </c>
      <c r="AI79" s="22">
        <f>INDEX('Activity data'!AI$24:AI$39,MATCH(Emissions!$D79,'Activity data'!$D$24:$D$39,0))*INDEX(EF!$H$84:$H$99,MATCH(Emissions!$D79,EF!$D$84:$D$99,0))*INDEX(EF!$H$100:$H$115,MATCH(Emissions!$D79,EF!$D$100:$D$115,0))*INDEX(EF!$H$132:$H$147,MATCH(Emissions!$D79,EF!$D$132:$D$147,0))*kgtoGg</f>
        <v>1.8036997683437717</v>
      </c>
      <c r="AJ79" s="22">
        <f>INDEX('Activity data'!AJ$24:AJ$39,MATCH(Emissions!$D79,'Activity data'!$D$24:$D$39,0))*INDEX(EF!$H$84:$H$99,MATCH(Emissions!$D79,EF!$D$84:$D$99,0))*INDEX(EF!$H$100:$H$115,MATCH(Emissions!$D79,EF!$D$100:$D$115,0))*INDEX(EF!$H$132:$H$147,MATCH(Emissions!$D79,EF!$D$132:$D$147,0))*kgtoGg</f>
        <v>1.8149117992175088</v>
      </c>
      <c r="AK79" s="22">
        <f>INDEX('Activity data'!AK$24:AK$39,MATCH(Emissions!$D79,'Activity data'!$D$24:$D$39,0))*INDEX(EF!$H$84:$H$99,MATCH(Emissions!$D79,EF!$D$84:$D$99,0))*INDEX(EF!$H$100:$H$115,MATCH(Emissions!$D79,EF!$D$100:$D$115,0))*INDEX(EF!$H$132:$H$147,MATCH(Emissions!$D79,EF!$D$132:$D$147,0))*kgtoGg</f>
        <v>1.8337408160133097</v>
      </c>
      <c r="AL79" s="22">
        <f>INDEX('Activity data'!AL$24:AL$39,MATCH(Emissions!$D79,'Activity data'!$D$24:$D$39,0))*INDEX(EF!$H$84:$H$99,MATCH(Emissions!$D79,EF!$D$84:$D$99,0))*INDEX(EF!$H$100:$H$115,MATCH(Emissions!$D79,EF!$D$100:$D$115,0))*INDEX(EF!$H$132:$H$147,MATCH(Emissions!$D79,EF!$D$132:$D$147,0))*kgtoGg</f>
        <v>1.8525698328091103</v>
      </c>
      <c r="AM79" s="22">
        <f>INDEX('Activity data'!AM$24:AM$39,MATCH(Emissions!$D79,'Activity data'!$D$24:$D$39,0))*INDEX(EF!$H$84:$H$99,MATCH(Emissions!$D79,EF!$D$84:$D$99,0))*INDEX(EF!$H$100:$H$115,MATCH(Emissions!$D79,EF!$D$100:$D$115,0))*INDEX(EF!$H$132:$H$147,MATCH(Emissions!$D79,EF!$D$132:$D$147,0))*kgtoGg</f>
        <v>1.8713988496049114</v>
      </c>
      <c r="AN79" s="22">
        <f>INDEX('Activity data'!AN$24:AN$39,MATCH(Emissions!$D79,'Activity data'!$D$24:$D$39,0))*INDEX(EF!$H$84:$H$99,MATCH(Emissions!$D79,EF!$D$84:$D$99,0))*INDEX(EF!$H$100:$H$115,MATCH(Emissions!$D79,EF!$D$100:$D$115,0))*INDEX(EF!$H$132:$H$147,MATCH(Emissions!$D79,EF!$D$132:$D$147,0))*kgtoGg</f>
        <v>1.8902278664007113</v>
      </c>
      <c r="AO79" s="22">
        <f>INDEX('Activity data'!AO$24:AO$39,MATCH(Emissions!$D79,'Activity data'!$D$24:$D$39,0))*INDEX(EF!$H$84:$H$99,MATCH(Emissions!$D79,EF!$D$84:$D$99,0))*INDEX(EF!$H$100:$H$115,MATCH(Emissions!$D79,EF!$D$100:$D$115,0))*INDEX(EF!$H$132:$H$147,MATCH(Emissions!$D79,EF!$D$132:$D$147,0))*kgtoGg</f>
        <v>1.9090568831965125</v>
      </c>
      <c r="AP79" s="22">
        <f>INDEX('Activity data'!AP$24:AP$39,MATCH(Emissions!$D79,'Activity data'!$D$24:$D$39,0))*INDEX(EF!$H$84:$H$99,MATCH(Emissions!$D79,EF!$D$84:$D$99,0))*INDEX(EF!$H$100:$H$115,MATCH(Emissions!$D79,EF!$D$100:$D$115,0))*INDEX(EF!$H$132:$H$147,MATCH(Emissions!$D79,EF!$D$132:$D$147,0))*kgtoGg</f>
        <v>1.9278858999923132</v>
      </c>
      <c r="AQ79" s="22">
        <f>INDEX('Activity data'!AQ$24:AQ$39,MATCH(Emissions!$D79,'Activity data'!$D$24:$D$39,0))*INDEX(EF!$H$84:$H$99,MATCH(Emissions!$D79,EF!$D$84:$D$99,0))*INDEX(EF!$H$100:$H$115,MATCH(Emissions!$D79,EF!$D$100:$D$115,0))*INDEX(EF!$H$132:$H$147,MATCH(Emissions!$D79,EF!$D$132:$D$147,0))*kgtoGg</f>
        <v>1.9467149167881139</v>
      </c>
      <c r="AR79" s="22">
        <f>INDEX('Activity data'!AR$24:AR$39,MATCH(Emissions!$D79,'Activity data'!$D$24:$D$39,0))*INDEX(EF!$H$84:$H$99,MATCH(Emissions!$D79,EF!$D$84:$D$99,0))*INDEX(EF!$H$100:$H$115,MATCH(Emissions!$D79,EF!$D$100:$D$115,0))*INDEX(EF!$H$132:$H$147,MATCH(Emissions!$D79,EF!$D$132:$D$147,0))*kgtoGg</f>
        <v>1.9655439335839147</v>
      </c>
      <c r="AS79" s="22">
        <f>INDEX('Activity data'!AS$24:AS$39,MATCH(Emissions!$D79,'Activity data'!$D$24:$D$39,0))*INDEX(EF!$H$84:$H$99,MATCH(Emissions!$D79,EF!$D$84:$D$99,0))*INDEX(EF!$H$100:$H$115,MATCH(Emissions!$D79,EF!$D$100:$D$115,0))*INDEX(EF!$H$132:$H$147,MATCH(Emissions!$D79,EF!$D$132:$D$147,0))*kgtoGg</f>
        <v>1.9843729503797152</v>
      </c>
      <c r="AT79" s="22">
        <f>INDEX('Activity data'!AT$24:AT$39,MATCH(Emissions!$D79,'Activity data'!$D$24:$D$39,0))*INDEX(EF!$H$84:$H$99,MATCH(Emissions!$D79,EF!$D$84:$D$99,0))*INDEX(EF!$H$100:$H$115,MATCH(Emissions!$D79,EF!$D$100:$D$115,0))*INDEX(EF!$H$132:$H$147,MATCH(Emissions!$D79,EF!$D$132:$D$147,0))*kgtoGg</f>
        <v>2.0032019671755164</v>
      </c>
      <c r="AU79" s="22">
        <f>INDEX('Activity data'!AU$24:AU$39,MATCH(Emissions!$D79,'Activity data'!$D$24:$D$39,0))*INDEX(EF!$H$84:$H$99,MATCH(Emissions!$D79,EF!$D$84:$D$99,0))*INDEX(EF!$H$100:$H$115,MATCH(Emissions!$D79,EF!$D$100:$D$115,0))*INDEX(EF!$H$132:$H$147,MATCH(Emissions!$D79,EF!$D$132:$D$147,0))*kgtoGg</f>
        <v>2.0220309839713169</v>
      </c>
      <c r="AV79" s="22">
        <f>INDEX('Activity data'!AV$24:AV$39,MATCH(Emissions!$D79,'Activity data'!$D$24:$D$39,0))*INDEX(EF!$H$84:$H$99,MATCH(Emissions!$D79,EF!$D$84:$D$99,0))*INDEX(EF!$H$100:$H$115,MATCH(Emissions!$D79,EF!$D$100:$D$115,0))*INDEX(EF!$H$132:$H$147,MATCH(Emissions!$D79,EF!$D$132:$D$147,0))*kgtoGg</f>
        <v>2.0408600007671174</v>
      </c>
      <c r="AW79" s="22">
        <f>INDEX('Activity data'!AW$24:AW$39,MATCH(Emissions!$D79,'Activity data'!$D$24:$D$39,0))*INDEX(EF!$H$84:$H$99,MATCH(Emissions!$D79,EF!$D$84:$D$99,0))*INDEX(EF!$H$100:$H$115,MATCH(Emissions!$D79,EF!$D$100:$D$115,0))*INDEX(EF!$H$132:$H$147,MATCH(Emissions!$D79,EF!$D$132:$D$147,0))*kgtoGg</f>
        <v>2.0600101805096163</v>
      </c>
      <c r="AX79" s="22">
        <f>INDEX('Activity data'!AX$24:AX$39,MATCH(Emissions!$D79,'Activity data'!$D$24:$D$39,0))*INDEX(EF!$H$84:$H$99,MATCH(Emissions!$D79,EF!$D$84:$D$99,0))*INDEX(EF!$H$100:$H$115,MATCH(Emissions!$D79,EF!$D$100:$D$115,0))*INDEX(EF!$H$132:$H$147,MATCH(Emissions!$D79,EF!$D$132:$D$147,0))*kgtoGg</f>
        <v>2.0791603602521147</v>
      </c>
      <c r="AY79" s="22">
        <f>INDEX('Activity data'!AY$24:AY$39,MATCH(Emissions!$D79,'Activity data'!$D$24:$D$39,0))*INDEX(EF!$H$84:$H$99,MATCH(Emissions!$D79,EF!$D$84:$D$99,0))*INDEX(EF!$H$100:$H$115,MATCH(Emissions!$D79,EF!$D$100:$D$115,0))*INDEX(EF!$H$132:$H$147,MATCH(Emissions!$D79,EF!$D$132:$D$147,0))*kgtoGg</f>
        <v>2.0983105399946136</v>
      </c>
      <c r="AZ79" s="22">
        <f>INDEX('Activity data'!AZ$24:AZ$39,MATCH(Emissions!$D79,'Activity data'!$D$24:$D$39,0))*INDEX(EF!$H$84:$H$99,MATCH(Emissions!$D79,EF!$D$84:$D$99,0))*INDEX(EF!$H$100:$H$115,MATCH(Emissions!$D79,EF!$D$100:$D$115,0))*INDEX(EF!$H$132:$H$147,MATCH(Emissions!$D79,EF!$D$132:$D$147,0))*kgtoGg</f>
        <v>2.1174607197371125</v>
      </c>
      <c r="BA79" s="22">
        <f>INDEX('Activity data'!BA$24:BA$39,MATCH(Emissions!$D79,'Activity data'!$D$24:$D$39,0))*INDEX(EF!$H$84:$H$99,MATCH(Emissions!$D79,EF!$D$84:$D$99,0))*INDEX(EF!$H$100:$H$115,MATCH(Emissions!$D79,EF!$D$100:$D$115,0))*INDEX(EF!$H$132:$H$147,MATCH(Emissions!$D79,EF!$D$132:$D$147,0))*kgtoGg</f>
        <v>2.1366108994796109</v>
      </c>
      <c r="BB79" s="22">
        <f>INDEX('Activity data'!BB$24:BB$39,MATCH(Emissions!$D79,'Activity data'!$D$24:$D$39,0))*INDEX(EF!$H$84:$H$99,MATCH(Emissions!$D79,EF!$D$84:$D$99,0))*INDEX(EF!$H$100:$H$115,MATCH(Emissions!$D79,EF!$D$100:$D$115,0))*INDEX(EF!$H$132:$H$147,MATCH(Emissions!$D79,EF!$D$132:$D$147,0))*kgtoGg</f>
        <v>2.1557610792221098</v>
      </c>
      <c r="BC79" s="22">
        <f>INDEX('Activity data'!BC$24:BC$39,MATCH(Emissions!$D79,'Activity data'!$D$24:$D$39,0))*INDEX(EF!$H$84:$H$99,MATCH(Emissions!$D79,EF!$D$84:$D$99,0))*INDEX(EF!$H$100:$H$115,MATCH(Emissions!$D79,EF!$D$100:$D$115,0))*INDEX(EF!$H$132:$H$147,MATCH(Emissions!$D79,EF!$D$132:$D$147,0))*kgtoGg</f>
        <v>2.1749112589646082</v>
      </c>
      <c r="BD79" s="22">
        <f>INDEX('Activity data'!BD$24:BD$39,MATCH(Emissions!$D79,'Activity data'!$D$24:$D$39,0))*INDEX(EF!$H$84:$H$99,MATCH(Emissions!$D79,EF!$D$84:$D$99,0))*INDEX(EF!$H$100:$H$115,MATCH(Emissions!$D79,EF!$D$100:$D$115,0))*INDEX(EF!$H$132:$H$147,MATCH(Emissions!$D79,EF!$D$132:$D$147,0))*kgtoGg</f>
        <v>2.1940614387071071</v>
      </c>
      <c r="BE79" s="22">
        <f>INDEX('Activity data'!BE$24:BE$39,MATCH(Emissions!$D79,'Activity data'!$D$24:$D$39,0))*INDEX(EF!$H$84:$H$99,MATCH(Emissions!$D79,EF!$D$84:$D$99,0))*INDEX(EF!$H$100:$H$115,MATCH(Emissions!$D79,EF!$D$100:$D$115,0))*INDEX(EF!$H$132:$H$147,MATCH(Emissions!$D79,EF!$D$132:$D$147,0))*kgtoGg</f>
        <v>2.2132116184496056</v>
      </c>
      <c r="BF79" s="22">
        <f>INDEX('Activity data'!BF$24:BF$39,MATCH(Emissions!$D79,'Activity data'!$D$24:$D$39,0))*INDEX(EF!$H$84:$H$99,MATCH(Emissions!$D79,EF!$D$84:$D$99,0))*INDEX(EF!$H$100:$H$115,MATCH(Emissions!$D79,EF!$D$100:$D$115,0))*INDEX(EF!$H$132:$H$147,MATCH(Emissions!$D79,EF!$D$132:$D$147,0))*kgtoGg</f>
        <v>2.232361798192104</v>
      </c>
      <c r="BG79" s="22">
        <f>INDEX('Activity data'!BG$24:BG$39,MATCH(Emissions!$D79,'Activity data'!$D$24:$D$39,0))*INDEX(EF!$H$84:$H$99,MATCH(Emissions!$D79,EF!$D$84:$D$99,0))*INDEX(EF!$H$100:$H$115,MATCH(Emissions!$D79,EF!$D$100:$D$115,0))*INDEX(EF!$H$132:$H$147,MATCH(Emissions!$D79,EF!$D$132:$D$147,0))*kgtoGg</f>
        <v>2.2515119779346029</v>
      </c>
      <c r="BH79" s="22">
        <f>INDEX('Activity data'!BH$24:BH$39,MATCH(Emissions!$D79,'Activity data'!$D$24:$D$39,0))*INDEX(EF!$H$84:$H$99,MATCH(Emissions!$D79,EF!$D$84:$D$99,0))*INDEX(EF!$H$100:$H$115,MATCH(Emissions!$D79,EF!$D$100:$D$115,0))*INDEX(EF!$H$132:$H$147,MATCH(Emissions!$D79,EF!$D$132:$D$147,0))*kgtoGg</f>
        <v>2.2706621576771018</v>
      </c>
      <c r="BI79" s="22">
        <f>INDEX('Activity data'!BI$24:BI$39,MATCH(Emissions!$D79,'Activity data'!$D$24:$D$39,0))*INDEX(EF!$H$84:$H$99,MATCH(Emissions!$D79,EF!$D$84:$D$99,0))*INDEX(EF!$H$100:$H$115,MATCH(Emissions!$D79,EF!$D$100:$D$115,0))*INDEX(EF!$H$132:$H$147,MATCH(Emissions!$D79,EF!$D$132:$D$147,0))*kgtoGg</f>
        <v>2.2898123374196002</v>
      </c>
      <c r="BJ79" s="22">
        <f>INDEX('Activity data'!BJ$24:BJ$39,MATCH(Emissions!$D79,'Activity data'!$D$24:$D$39,0))*INDEX(EF!$H$84:$H$99,MATCH(Emissions!$D79,EF!$D$84:$D$99,0))*INDEX(EF!$H$100:$H$115,MATCH(Emissions!$D79,EF!$D$100:$D$115,0))*INDEX(EF!$H$132:$H$147,MATCH(Emissions!$D79,EF!$D$132:$D$147,0))*kgtoGg</f>
        <v>2.3089625171620991</v>
      </c>
      <c r="BK79" s="22">
        <f>INDEX('Activity data'!BK$24:BK$39,MATCH(Emissions!$D79,'Activity data'!$D$24:$D$39,0))*INDEX(EF!$H$84:$H$99,MATCH(Emissions!$D79,EF!$D$84:$D$99,0))*INDEX(EF!$H$100:$H$115,MATCH(Emissions!$D79,EF!$D$100:$D$115,0))*INDEX(EF!$H$132:$H$147,MATCH(Emissions!$D79,EF!$D$132:$D$147,0))*kgtoGg</f>
        <v>2.328112696904598</v>
      </c>
      <c r="BL79" s="22">
        <f>INDEX('Activity data'!BL$24:BL$39,MATCH(Emissions!$D79,'Activity data'!$D$24:$D$39,0))*INDEX(EF!$H$84:$H$99,MATCH(Emissions!$D79,EF!$D$84:$D$99,0))*INDEX(EF!$H$100:$H$115,MATCH(Emissions!$D79,EF!$D$100:$D$115,0))*INDEX(EF!$H$132:$H$147,MATCH(Emissions!$D79,EF!$D$132:$D$147,0))*kgtoGg</f>
        <v>2.3472628766470964</v>
      </c>
      <c r="BM79" s="22">
        <f>INDEX('Activity data'!BM$24:BM$39,MATCH(Emissions!$D79,'Activity data'!$D$24:$D$39,0))*INDEX(EF!$H$84:$H$99,MATCH(Emissions!$D79,EF!$D$84:$D$99,0))*INDEX(EF!$H$100:$H$115,MATCH(Emissions!$D79,EF!$D$100:$D$115,0))*INDEX(EF!$H$132:$H$147,MATCH(Emissions!$D79,EF!$D$132:$D$147,0))*kgtoGg</f>
        <v>2.3664130563895953</v>
      </c>
      <c r="BN79" s="22">
        <f>INDEX('Activity data'!BN$24:BN$39,MATCH(Emissions!$D79,'Activity data'!$D$24:$D$39,0))*INDEX(EF!$H$84:$H$99,MATCH(Emissions!$D79,EF!$D$84:$D$99,0))*INDEX(EF!$H$100:$H$115,MATCH(Emissions!$D79,EF!$D$100:$D$115,0))*INDEX(EF!$H$132:$H$147,MATCH(Emissions!$D79,EF!$D$132:$D$147,0))*kgtoGg</f>
        <v>2.3855632361320942</v>
      </c>
      <c r="BO79" s="22">
        <f>INDEX('Activity data'!BO$24:BO$39,MATCH(Emissions!$D79,'Activity data'!$D$24:$D$39,0))*INDEX(EF!$H$84:$H$99,MATCH(Emissions!$D79,EF!$D$84:$D$99,0))*INDEX(EF!$H$100:$H$115,MATCH(Emissions!$D79,EF!$D$100:$D$115,0))*INDEX(EF!$H$132:$H$147,MATCH(Emissions!$D79,EF!$D$132:$D$147,0))*kgtoGg</f>
        <v>2.4047134158745926</v>
      </c>
      <c r="BP79" s="22">
        <f>INDEX('Activity data'!BP$24:BP$39,MATCH(Emissions!$D79,'Activity data'!$D$24:$D$39,0))*INDEX(EF!$H$84:$H$99,MATCH(Emissions!$D79,EF!$D$84:$D$99,0))*INDEX(EF!$H$100:$H$115,MATCH(Emissions!$D79,EF!$D$100:$D$115,0))*INDEX(EF!$H$132:$H$147,MATCH(Emissions!$D79,EF!$D$132:$D$147,0))*kgtoGg</f>
        <v>2.4238635956170911</v>
      </c>
    </row>
    <row r="80" spans="1:68" x14ac:dyDescent="0.25">
      <c r="A80" t="str">
        <f t="shared" si="19"/>
        <v>3C Aggregated and non-CO2 emissions on land</v>
      </c>
      <c r="B80" t="str">
        <f t="shared" si="26"/>
        <v>3C1 Biomass burning (N2O)</v>
      </c>
      <c r="C80" t="str">
        <f t="shared" si="25"/>
        <v>3C1c Biomass burning in Grasslands</v>
      </c>
      <c r="D80" t="str">
        <f>EF!D110</f>
        <v>Low shrublands</v>
      </c>
      <c r="E80" t="s">
        <v>651</v>
      </c>
      <c r="F80" t="str">
        <f t="shared" si="27"/>
        <v>N2O</v>
      </c>
      <c r="G80" t="str">
        <f t="shared" si="28"/>
        <v>Gg N2O</v>
      </c>
      <c r="H80" s="22">
        <f>INDEX('Activity data'!H$24:H$39,MATCH(Emissions!$D80,'Activity data'!$D$24:$D$39,0))*INDEX(EF!$H$84:$H$99,MATCH(Emissions!$D80,EF!$D$84:$D$99,0))*INDEX(EF!$H$100:$H$115,MATCH(Emissions!$D80,EF!$D$100:$D$115,0))*INDEX(EF!$H$132:$H$147,MATCH(Emissions!$D80,EF!$D$132:$D$147,0))*kgtoGg</f>
        <v>0.10138378574782032</v>
      </c>
      <c r="I80" s="22">
        <f>INDEX('Activity data'!I$24:I$39,MATCH(Emissions!$D80,'Activity data'!$D$24:$D$39,0))*INDEX(EF!$H$84:$H$99,MATCH(Emissions!$D80,EF!$D$84:$D$99,0))*INDEX(EF!$H$100:$H$115,MATCH(Emissions!$D80,EF!$D$100:$D$115,0))*INDEX(EF!$H$132:$H$147,MATCH(Emissions!$D80,EF!$D$132:$D$147,0))*kgtoGg</f>
        <v>0.10138378574782032</v>
      </c>
      <c r="J80" s="22">
        <f>INDEX('Activity data'!J$24:J$39,MATCH(Emissions!$D80,'Activity data'!$D$24:$D$39,0))*INDEX(EF!$H$84:$H$99,MATCH(Emissions!$D80,EF!$D$84:$D$99,0))*INDEX(EF!$H$100:$H$115,MATCH(Emissions!$D80,EF!$D$100:$D$115,0))*INDEX(EF!$H$132:$H$147,MATCH(Emissions!$D80,EF!$D$132:$D$147,0))*kgtoGg</f>
        <v>0.10138378574782032</v>
      </c>
      <c r="K80" s="22">
        <f>INDEX('Activity data'!K$24:K$39,MATCH(Emissions!$D80,'Activity data'!$D$24:$D$39,0))*INDEX(EF!$H$84:$H$99,MATCH(Emissions!$D80,EF!$D$84:$D$99,0))*INDEX(EF!$H$100:$H$115,MATCH(Emissions!$D80,EF!$D$100:$D$115,0))*INDEX(EF!$H$132:$H$147,MATCH(Emissions!$D80,EF!$D$132:$D$147,0))*kgtoGg</f>
        <v>0.10138378574782032</v>
      </c>
      <c r="L80" s="22">
        <f>INDEX('Activity data'!L$24:L$39,MATCH(Emissions!$D80,'Activity data'!$D$24:$D$39,0))*INDEX(EF!$H$84:$H$99,MATCH(Emissions!$D80,EF!$D$84:$D$99,0))*INDEX(EF!$H$100:$H$115,MATCH(Emissions!$D80,EF!$D$100:$D$115,0))*INDEX(EF!$H$132:$H$147,MATCH(Emissions!$D80,EF!$D$132:$D$147,0))*kgtoGg</f>
        <v>0.10138378574782032</v>
      </c>
      <c r="M80" s="22">
        <f>INDEX('Activity data'!M$24:M$39,MATCH(Emissions!$D80,'Activity data'!$D$24:$D$39,0))*INDEX(EF!$H$84:$H$99,MATCH(Emissions!$D80,EF!$D$84:$D$99,0))*INDEX(EF!$H$100:$H$115,MATCH(Emissions!$D80,EF!$D$100:$D$115,0))*INDEX(EF!$H$132:$H$147,MATCH(Emissions!$D80,EF!$D$132:$D$147,0))*kgtoGg</f>
        <v>0.10138378574782032</v>
      </c>
      <c r="N80" s="22">
        <f>INDEX('Activity data'!N$24:N$39,MATCH(Emissions!$D80,'Activity data'!$D$24:$D$39,0))*INDEX(EF!$H$84:$H$99,MATCH(Emissions!$D80,EF!$D$84:$D$99,0))*INDEX(EF!$H$100:$H$115,MATCH(Emissions!$D80,EF!$D$100:$D$115,0))*INDEX(EF!$H$132:$H$147,MATCH(Emissions!$D80,EF!$D$132:$D$147,0))*kgtoGg</f>
        <v>0.10138378574782032</v>
      </c>
      <c r="O80" s="22">
        <f>INDEX('Activity data'!O$24:O$39,MATCH(Emissions!$D80,'Activity data'!$D$24:$D$39,0))*INDEX(EF!$H$84:$H$99,MATCH(Emissions!$D80,EF!$D$84:$D$99,0))*INDEX(EF!$H$100:$H$115,MATCH(Emissions!$D80,EF!$D$100:$D$115,0))*INDEX(EF!$H$132:$H$147,MATCH(Emissions!$D80,EF!$D$132:$D$147,0))*kgtoGg</f>
        <v>0.10138378574782032</v>
      </c>
      <c r="P80" s="22">
        <f>INDEX('Activity data'!P$24:P$39,MATCH(Emissions!$D80,'Activity data'!$D$24:$D$39,0))*INDEX(EF!$H$84:$H$99,MATCH(Emissions!$D80,EF!$D$84:$D$99,0))*INDEX(EF!$H$100:$H$115,MATCH(Emissions!$D80,EF!$D$100:$D$115,0))*INDEX(EF!$H$132:$H$147,MATCH(Emissions!$D80,EF!$D$132:$D$147,0))*kgtoGg</f>
        <v>0.10138378574782032</v>
      </c>
      <c r="Q80" s="22">
        <f>INDEX('Activity data'!Q$24:Q$39,MATCH(Emissions!$D80,'Activity data'!$D$24:$D$39,0))*INDEX(EF!$H$84:$H$99,MATCH(Emissions!$D80,EF!$D$84:$D$99,0))*INDEX(EF!$H$100:$H$115,MATCH(Emissions!$D80,EF!$D$100:$D$115,0))*INDEX(EF!$H$132:$H$147,MATCH(Emissions!$D80,EF!$D$132:$D$147,0))*kgtoGg</f>
        <v>0.10138378574782032</v>
      </c>
      <c r="R80" s="22">
        <f>INDEX('Activity data'!R$24:R$39,MATCH(Emissions!$D80,'Activity data'!$D$24:$D$39,0))*INDEX(EF!$H$84:$H$99,MATCH(Emissions!$D80,EF!$D$84:$D$99,0))*INDEX(EF!$H$100:$H$115,MATCH(Emissions!$D80,EF!$D$100:$D$115,0))*INDEX(EF!$H$132:$H$147,MATCH(Emissions!$D80,EF!$D$132:$D$147,0))*kgtoGg</f>
        <v>8.5231141447125972E-2</v>
      </c>
      <c r="S80" s="22">
        <f>INDEX('Activity data'!S$24:S$39,MATCH(Emissions!$D80,'Activity data'!$D$24:$D$39,0))*INDEX(EF!$H$84:$H$99,MATCH(Emissions!$D80,EF!$D$84:$D$99,0))*INDEX(EF!$H$100:$H$115,MATCH(Emissions!$D80,EF!$D$100:$D$115,0))*INDEX(EF!$H$132:$H$147,MATCH(Emissions!$D80,EF!$D$132:$D$147,0))*kgtoGg</f>
        <v>7.1709459975422038E-2</v>
      </c>
      <c r="T80" s="22">
        <f>INDEX('Activity data'!T$24:T$39,MATCH(Emissions!$D80,'Activity data'!$D$24:$D$39,0))*INDEX(EF!$H$84:$H$99,MATCH(Emissions!$D80,EF!$D$84:$D$99,0))*INDEX(EF!$H$100:$H$115,MATCH(Emissions!$D80,EF!$D$100:$D$115,0))*INDEX(EF!$H$132:$H$147,MATCH(Emissions!$D80,EF!$D$132:$D$147,0))*kgtoGg</f>
        <v>0.17455023310662754</v>
      </c>
      <c r="U80" s="22">
        <f>INDEX('Activity data'!U$24:U$39,MATCH(Emissions!$D80,'Activity data'!$D$24:$D$39,0))*INDEX(EF!$H$84:$H$99,MATCH(Emissions!$D80,EF!$D$84:$D$99,0))*INDEX(EF!$H$100:$H$115,MATCH(Emissions!$D80,EF!$D$100:$D$115,0))*INDEX(EF!$H$132:$H$147,MATCH(Emissions!$D80,EF!$D$132:$D$147,0))*kgtoGg</f>
        <v>0.10888098161808096</v>
      </c>
      <c r="V80" s="22">
        <f>INDEX('Activity data'!V$24:V$39,MATCH(Emissions!$D80,'Activity data'!$D$24:$D$39,0))*INDEX(EF!$H$84:$H$99,MATCH(Emissions!$D80,EF!$D$84:$D$99,0))*INDEX(EF!$H$100:$H$115,MATCH(Emissions!$D80,EF!$D$100:$D$115,0))*INDEX(EF!$H$132:$H$147,MATCH(Emissions!$D80,EF!$D$132:$D$147,0))*kgtoGg</f>
        <v>6.6547112591845162E-2</v>
      </c>
      <c r="W80" s="22">
        <f>INDEX('Activity data'!W$24:W$39,MATCH(Emissions!$D80,'Activity data'!$D$24:$D$39,0))*INDEX(EF!$H$84:$H$99,MATCH(Emissions!$D80,EF!$D$84:$D$99,0))*INDEX(EF!$H$100:$H$115,MATCH(Emissions!$D80,EF!$D$100:$D$115,0))*INDEX(EF!$H$132:$H$147,MATCH(Emissions!$D80,EF!$D$132:$D$147,0))*kgtoGg</f>
        <v>0.112929624616876</v>
      </c>
      <c r="X80" s="22">
        <f>INDEX('Activity data'!X$24:X$39,MATCH(Emissions!$D80,'Activity data'!$D$24:$D$39,0))*INDEX(EF!$H$84:$H$99,MATCH(Emissions!$D80,EF!$D$84:$D$99,0))*INDEX(EF!$H$100:$H$115,MATCH(Emissions!$D80,EF!$D$100:$D$115,0))*INDEX(EF!$H$132:$H$147,MATCH(Emissions!$D80,EF!$D$132:$D$147,0))*kgtoGg</f>
        <v>8.765508628459226E-2</v>
      </c>
      <c r="Y80" s="22">
        <f>INDEX('Activity data'!Y$24:Y$39,MATCH(Emissions!$D80,'Activity data'!$D$24:$D$39,0))*INDEX(EF!$H$84:$H$99,MATCH(Emissions!$D80,EF!$D$84:$D$99,0))*INDEX(EF!$H$100:$H$115,MATCH(Emissions!$D80,EF!$D$100:$D$115,0))*INDEX(EF!$H$132:$H$147,MATCH(Emissions!$D80,EF!$D$132:$D$147,0))*kgtoGg</f>
        <v>7.5430542861045974E-2</v>
      </c>
      <c r="Z80" s="22">
        <f>INDEX('Activity data'!Z$24:Z$39,MATCH(Emissions!$D80,'Activity data'!$D$24:$D$39,0))*INDEX(EF!$H$84:$H$99,MATCH(Emissions!$D80,EF!$D$84:$D$99,0))*INDEX(EF!$H$100:$H$115,MATCH(Emissions!$D80,EF!$D$100:$D$115,0))*INDEX(EF!$H$132:$H$147,MATCH(Emissions!$D80,EF!$D$132:$D$147,0))*kgtoGg</f>
        <v>9.1349964361162508E-2</v>
      </c>
      <c r="AA80" s="22">
        <f>INDEX('Activity data'!AA$24:AA$39,MATCH(Emissions!$D80,'Activity data'!$D$24:$D$39,0))*INDEX(EF!$H$84:$H$99,MATCH(Emissions!$D80,EF!$D$84:$D$99,0))*INDEX(EF!$H$100:$H$115,MATCH(Emissions!$D80,EF!$D$100:$D$115,0))*INDEX(EF!$H$132:$H$147,MATCH(Emissions!$D80,EF!$D$132:$D$147,0))*kgtoGg</f>
        <v>0.12220612702188222</v>
      </c>
      <c r="AB80" s="22">
        <f>INDEX('Activity data'!AB$24:AB$39,MATCH(Emissions!$D80,'Activity data'!$D$24:$D$39,0))*INDEX(EF!$H$84:$H$99,MATCH(Emissions!$D80,EF!$D$84:$D$99,0))*INDEX(EF!$H$100:$H$115,MATCH(Emissions!$D80,EF!$D$100:$D$115,0))*INDEX(EF!$H$132:$H$147,MATCH(Emissions!$D80,EF!$D$132:$D$147,0))*kgtoGg</f>
        <v>0.29256780571200003</v>
      </c>
      <c r="AC80" s="22">
        <f>INDEX('Activity data'!AC$24:AC$39,MATCH(Emissions!$D80,'Activity data'!$D$24:$D$39,0))*INDEX(EF!$H$84:$H$99,MATCH(Emissions!$D80,EF!$D$84:$D$99,0))*INDEX(EF!$H$100:$H$115,MATCH(Emissions!$D80,EF!$D$100:$D$115,0))*INDEX(EF!$H$132:$H$147,MATCH(Emissions!$D80,EF!$D$132:$D$147,0))*kgtoGg</f>
        <v>0.29394949671360004</v>
      </c>
      <c r="AD80" s="22">
        <f>INDEX('Activity data'!AD$24:AD$39,MATCH(Emissions!$D80,'Activity data'!$D$24:$D$39,0))*INDEX(EF!$H$84:$H$99,MATCH(Emissions!$D80,EF!$D$84:$D$99,0))*INDEX(EF!$H$100:$H$115,MATCH(Emissions!$D80,EF!$D$100:$D$115,0))*INDEX(EF!$H$132:$H$147,MATCH(Emissions!$D80,EF!$D$132:$D$147,0))*kgtoGg</f>
        <v>0.15509939522155319</v>
      </c>
      <c r="AE80" s="22">
        <f>INDEX('Activity data'!AE$24:AE$39,MATCH(Emissions!$D80,'Activity data'!$D$24:$D$39,0))*INDEX(EF!$H$84:$H$99,MATCH(Emissions!$D80,EF!$D$84:$D$99,0))*INDEX(EF!$H$100:$H$115,MATCH(Emissions!$D80,EF!$D$100:$D$115,0))*INDEX(EF!$H$132:$H$147,MATCH(Emissions!$D80,EF!$D$132:$D$147,0))*kgtoGg</f>
        <v>0.15463335341286163</v>
      </c>
      <c r="AF80" s="22">
        <f>INDEX('Activity data'!AF$24:AF$39,MATCH(Emissions!$D80,'Activity data'!$D$24:$D$39,0))*INDEX(EF!$H$84:$H$99,MATCH(Emissions!$D80,EF!$D$84:$D$99,0))*INDEX(EF!$H$100:$H$115,MATCH(Emissions!$D80,EF!$D$100:$D$115,0))*INDEX(EF!$H$132:$H$147,MATCH(Emissions!$D80,EF!$D$132:$D$147,0))*kgtoGg</f>
        <v>0.15416731160417008</v>
      </c>
      <c r="AG80" s="22">
        <f>INDEX('Activity data'!AG$24:AG$39,MATCH(Emissions!$D80,'Activity data'!$D$24:$D$39,0))*INDEX(EF!$H$84:$H$99,MATCH(Emissions!$D80,EF!$D$84:$D$99,0))*INDEX(EF!$H$100:$H$115,MATCH(Emissions!$D80,EF!$D$100:$D$115,0))*INDEX(EF!$H$132:$H$147,MATCH(Emissions!$D80,EF!$D$132:$D$147,0))*kgtoGg</f>
        <v>0.15370126979547846</v>
      </c>
      <c r="AH80" s="22">
        <f>INDEX('Activity data'!AH$24:AH$39,MATCH(Emissions!$D80,'Activity data'!$D$24:$D$39,0))*INDEX(EF!$H$84:$H$99,MATCH(Emissions!$D80,EF!$D$84:$D$99,0))*INDEX(EF!$H$100:$H$115,MATCH(Emissions!$D80,EF!$D$100:$D$115,0))*INDEX(EF!$H$132:$H$147,MATCH(Emissions!$D80,EF!$D$132:$D$147,0))*kgtoGg</f>
        <v>0.15323522798678688</v>
      </c>
      <c r="AI80" s="22">
        <f>INDEX('Activity data'!AI$24:AI$39,MATCH(Emissions!$D80,'Activity data'!$D$24:$D$39,0))*INDEX(EF!$H$84:$H$99,MATCH(Emissions!$D80,EF!$D$84:$D$99,0))*INDEX(EF!$H$100:$H$115,MATCH(Emissions!$D80,EF!$D$100:$D$115,0))*INDEX(EF!$H$132:$H$147,MATCH(Emissions!$D80,EF!$D$132:$D$147,0))*kgtoGg</f>
        <v>0.15276918617809529</v>
      </c>
      <c r="AJ80" s="22">
        <f>INDEX('Activity data'!AJ$24:AJ$39,MATCH(Emissions!$D80,'Activity data'!$D$24:$D$39,0))*INDEX(EF!$H$84:$H$99,MATCH(Emissions!$D80,EF!$D$84:$D$99,0))*INDEX(EF!$H$100:$H$115,MATCH(Emissions!$D80,EF!$D$100:$D$115,0))*INDEX(EF!$H$132:$H$147,MATCH(Emissions!$D80,EF!$D$132:$D$147,0))*kgtoGg</f>
        <v>0.1523031443694037</v>
      </c>
      <c r="AK80" s="22">
        <f>INDEX('Activity data'!AK$24:AK$39,MATCH(Emissions!$D80,'Activity data'!$D$24:$D$39,0))*INDEX(EF!$H$84:$H$99,MATCH(Emissions!$D80,EF!$D$84:$D$99,0))*INDEX(EF!$H$100:$H$115,MATCH(Emissions!$D80,EF!$D$100:$D$115,0))*INDEX(EF!$H$132:$H$147,MATCH(Emissions!$D80,EF!$D$132:$D$147,0))*kgtoGg</f>
        <v>0.15183710256071217</v>
      </c>
      <c r="AL80" s="22">
        <f>INDEX('Activity data'!AL$24:AL$39,MATCH(Emissions!$D80,'Activity data'!$D$24:$D$39,0))*INDEX(EF!$H$84:$H$99,MATCH(Emissions!$D80,EF!$D$84:$D$99,0))*INDEX(EF!$H$100:$H$115,MATCH(Emissions!$D80,EF!$D$100:$D$115,0))*INDEX(EF!$H$132:$H$147,MATCH(Emissions!$D80,EF!$D$132:$D$147,0))*kgtoGg</f>
        <v>0.15137106075202056</v>
      </c>
      <c r="AM80" s="22">
        <f>INDEX('Activity data'!AM$24:AM$39,MATCH(Emissions!$D80,'Activity data'!$D$24:$D$39,0))*INDEX(EF!$H$84:$H$99,MATCH(Emissions!$D80,EF!$D$84:$D$99,0))*INDEX(EF!$H$100:$H$115,MATCH(Emissions!$D80,EF!$D$100:$D$115,0))*INDEX(EF!$H$132:$H$147,MATCH(Emissions!$D80,EF!$D$132:$D$147,0))*kgtoGg</f>
        <v>0.15090501894332897</v>
      </c>
      <c r="AN80" s="22">
        <f>INDEX('Activity data'!AN$24:AN$39,MATCH(Emissions!$D80,'Activity data'!$D$24:$D$39,0))*INDEX(EF!$H$84:$H$99,MATCH(Emissions!$D80,EF!$D$84:$D$99,0))*INDEX(EF!$H$100:$H$115,MATCH(Emissions!$D80,EF!$D$100:$D$115,0))*INDEX(EF!$H$132:$H$147,MATCH(Emissions!$D80,EF!$D$132:$D$147,0))*kgtoGg</f>
        <v>0.15043897713463741</v>
      </c>
      <c r="AO80" s="22">
        <f>INDEX('Activity data'!AO$24:AO$39,MATCH(Emissions!$D80,'Activity data'!$D$24:$D$39,0))*INDEX(EF!$H$84:$H$99,MATCH(Emissions!$D80,EF!$D$84:$D$99,0))*INDEX(EF!$H$100:$H$115,MATCH(Emissions!$D80,EF!$D$100:$D$115,0))*INDEX(EF!$H$132:$H$147,MATCH(Emissions!$D80,EF!$D$132:$D$147,0))*kgtoGg</f>
        <v>0.14997293532594583</v>
      </c>
      <c r="AP80" s="22">
        <f>INDEX('Activity data'!AP$24:AP$39,MATCH(Emissions!$D80,'Activity data'!$D$24:$D$39,0))*INDEX(EF!$H$84:$H$99,MATCH(Emissions!$D80,EF!$D$84:$D$99,0))*INDEX(EF!$H$100:$H$115,MATCH(Emissions!$D80,EF!$D$100:$D$115,0))*INDEX(EF!$H$132:$H$147,MATCH(Emissions!$D80,EF!$D$132:$D$147,0))*kgtoGg</f>
        <v>0.14950689351725424</v>
      </c>
      <c r="AQ80" s="22">
        <f>INDEX('Activity data'!AQ$24:AQ$39,MATCH(Emissions!$D80,'Activity data'!$D$24:$D$39,0))*INDEX(EF!$H$84:$H$99,MATCH(Emissions!$D80,EF!$D$84:$D$99,0))*INDEX(EF!$H$100:$H$115,MATCH(Emissions!$D80,EF!$D$100:$D$115,0))*INDEX(EF!$H$132:$H$147,MATCH(Emissions!$D80,EF!$D$132:$D$147,0))*kgtoGg</f>
        <v>0.14904085170856263</v>
      </c>
      <c r="AR80" s="22">
        <f>INDEX('Activity data'!AR$24:AR$39,MATCH(Emissions!$D80,'Activity data'!$D$24:$D$39,0))*INDEX(EF!$H$84:$H$99,MATCH(Emissions!$D80,EF!$D$84:$D$99,0))*INDEX(EF!$H$100:$H$115,MATCH(Emissions!$D80,EF!$D$100:$D$115,0))*INDEX(EF!$H$132:$H$147,MATCH(Emissions!$D80,EF!$D$132:$D$147,0))*kgtoGg</f>
        <v>0.14857480989987112</v>
      </c>
      <c r="AS80" s="22">
        <f>INDEX('Activity data'!AS$24:AS$39,MATCH(Emissions!$D80,'Activity data'!$D$24:$D$39,0))*INDEX(EF!$H$84:$H$99,MATCH(Emissions!$D80,EF!$D$84:$D$99,0))*INDEX(EF!$H$100:$H$115,MATCH(Emissions!$D80,EF!$D$100:$D$115,0))*INDEX(EF!$H$132:$H$147,MATCH(Emissions!$D80,EF!$D$132:$D$147,0))*kgtoGg</f>
        <v>0.14810876809117951</v>
      </c>
      <c r="AT80" s="22">
        <f>INDEX('Activity data'!AT$24:AT$39,MATCH(Emissions!$D80,'Activity data'!$D$24:$D$39,0))*INDEX(EF!$H$84:$H$99,MATCH(Emissions!$D80,EF!$D$84:$D$99,0))*INDEX(EF!$H$100:$H$115,MATCH(Emissions!$D80,EF!$D$100:$D$115,0))*INDEX(EF!$H$132:$H$147,MATCH(Emissions!$D80,EF!$D$132:$D$147,0))*kgtoGg</f>
        <v>0.1476427262824879</v>
      </c>
      <c r="AU80" s="22">
        <f>INDEX('Activity data'!AU$24:AU$39,MATCH(Emissions!$D80,'Activity data'!$D$24:$D$39,0))*INDEX(EF!$H$84:$H$99,MATCH(Emissions!$D80,EF!$D$84:$D$99,0))*INDEX(EF!$H$100:$H$115,MATCH(Emissions!$D80,EF!$D$100:$D$115,0))*INDEX(EF!$H$132:$H$147,MATCH(Emissions!$D80,EF!$D$132:$D$147,0))*kgtoGg</f>
        <v>0.14717668447379634</v>
      </c>
      <c r="AV80" s="22">
        <f>INDEX('Activity data'!AV$24:AV$39,MATCH(Emissions!$D80,'Activity data'!$D$24:$D$39,0))*INDEX(EF!$H$84:$H$99,MATCH(Emissions!$D80,EF!$D$84:$D$99,0))*INDEX(EF!$H$100:$H$115,MATCH(Emissions!$D80,EF!$D$100:$D$115,0))*INDEX(EF!$H$132:$H$147,MATCH(Emissions!$D80,EF!$D$132:$D$147,0))*kgtoGg</f>
        <v>0.14671064266510475</v>
      </c>
      <c r="AW80" s="22">
        <f>INDEX('Activity data'!AW$24:AW$39,MATCH(Emissions!$D80,'Activity data'!$D$24:$D$39,0))*INDEX(EF!$H$84:$H$99,MATCH(Emissions!$D80,EF!$D$84:$D$99,0))*INDEX(EF!$H$100:$H$115,MATCH(Emissions!$D80,EF!$D$100:$D$115,0))*INDEX(EF!$H$132:$H$147,MATCH(Emissions!$D80,EF!$D$132:$D$147,0))*kgtoGg</f>
        <v>0.14624460085641319</v>
      </c>
      <c r="AX80" s="22">
        <f>INDEX('Activity data'!AX$24:AX$39,MATCH(Emissions!$D80,'Activity data'!$D$24:$D$39,0))*INDEX(EF!$H$84:$H$99,MATCH(Emissions!$D80,EF!$D$84:$D$99,0))*INDEX(EF!$H$100:$H$115,MATCH(Emissions!$D80,EF!$D$100:$D$115,0))*INDEX(EF!$H$132:$H$147,MATCH(Emissions!$D80,EF!$D$132:$D$147,0))*kgtoGg</f>
        <v>0.14577855904772158</v>
      </c>
      <c r="AY80" s="22">
        <f>INDEX('Activity data'!AY$24:AY$39,MATCH(Emissions!$D80,'Activity data'!$D$24:$D$39,0))*INDEX(EF!$H$84:$H$99,MATCH(Emissions!$D80,EF!$D$84:$D$99,0))*INDEX(EF!$H$100:$H$115,MATCH(Emissions!$D80,EF!$D$100:$D$115,0))*INDEX(EF!$H$132:$H$147,MATCH(Emissions!$D80,EF!$D$132:$D$147,0))*kgtoGg</f>
        <v>0.14531251723903005</v>
      </c>
      <c r="AZ80" s="22">
        <f>INDEX('Activity data'!AZ$24:AZ$39,MATCH(Emissions!$D80,'Activity data'!$D$24:$D$39,0))*INDEX(EF!$H$84:$H$99,MATCH(Emissions!$D80,EF!$D$84:$D$99,0))*INDEX(EF!$H$100:$H$115,MATCH(Emissions!$D80,EF!$D$100:$D$115,0))*INDEX(EF!$H$132:$H$147,MATCH(Emissions!$D80,EF!$D$132:$D$147,0))*kgtoGg</f>
        <v>0.14484647543033843</v>
      </c>
      <c r="BA80" s="22">
        <f>INDEX('Activity data'!BA$24:BA$39,MATCH(Emissions!$D80,'Activity data'!$D$24:$D$39,0))*INDEX(EF!$H$84:$H$99,MATCH(Emissions!$D80,EF!$D$84:$D$99,0))*INDEX(EF!$H$100:$H$115,MATCH(Emissions!$D80,EF!$D$100:$D$115,0))*INDEX(EF!$H$132:$H$147,MATCH(Emissions!$D80,EF!$D$132:$D$147,0))*kgtoGg</f>
        <v>0.14438043362164685</v>
      </c>
      <c r="BB80" s="22">
        <f>INDEX('Activity data'!BB$24:BB$39,MATCH(Emissions!$D80,'Activity data'!$D$24:$D$39,0))*INDEX(EF!$H$84:$H$99,MATCH(Emissions!$D80,EF!$D$84:$D$99,0))*INDEX(EF!$H$100:$H$115,MATCH(Emissions!$D80,EF!$D$100:$D$115,0))*INDEX(EF!$H$132:$H$147,MATCH(Emissions!$D80,EF!$D$132:$D$147,0))*kgtoGg</f>
        <v>0.14391439181295529</v>
      </c>
      <c r="BC80" s="22">
        <f>INDEX('Activity data'!BC$24:BC$39,MATCH(Emissions!$D80,'Activity data'!$D$24:$D$39,0))*INDEX(EF!$H$84:$H$99,MATCH(Emissions!$D80,EF!$D$84:$D$99,0))*INDEX(EF!$H$100:$H$115,MATCH(Emissions!$D80,EF!$D$100:$D$115,0))*INDEX(EF!$H$132:$H$147,MATCH(Emissions!$D80,EF!$D$132:$D$147,0))*kgtoGg</f>
        <v>0.1434483500042637</v>
      </c>
      <c r="BD80" s="22">
        <f>INDEX('Activity data'!BD$24:BD$39,MATCH(Emissions!$D80,'Activity data'!$D$24:$D$39,0))*INDEX(EF!$H$84:$H$99,MATCH(Emissions!$D80,EF!$D$84:$D$99,0))*INDEX(EF!$H$100:$H$115,MATCH(Emissions!$D80,EF!$D$100:$D$115,0))*INDEX(EF!$H$132:$H$147,MATCH(Emissions!$D80,EF!$D$132:$D$147,0))*kgtoGg</f>
        <v>0.14298230819557212</v>
      </c>
      <c r="BE80" s="22">
        <f>INDEX('Activity data'!BE$24:BE$39,MATCH(Emissions!$D80,'Activity data'!$D$24:$D$39,0))*INDEX(EF!$H$84:$H$99,MATCH(Emissions!$D80,EF!$D$84:$D$99,0))*INDEX(EF!$H$100:$H$115,MATCH(Emissions!$D80,EF!$D$100:$D$115,0))*INDEX(EF!$H$132:$H$147,MATCH(Emissions!$D80,EF!$D$132:$D$147,0))*kgtoGg</f>
        <v>0.14251626638688056</v>
      </c>
      <c r="BF80" s="22">
        <f>INDEX('Activity data'!BF$24:BF$39,MATCH(Emissions!$D80,'Activity data'!$D$24:$D$39,0))*INDEX(EF!$H$84:$H$99,MATCH(Emissions!$D80,EF!$D$84:$D$99,0))*INDEX(EF!$H$100:$H$115,MATCH(Emissions!$D80,EF!$D$100:$D$115,0))*INDEX(EF!$H$132:$H$147,MATCH(Emissions!$D80,EF!$D$132:$D$147,0))*kgtoGg</f>
        <v>0.142050224578189</v>
      </c>
      <c r="BG80" s="22">
        <f>INDEX('Activity data'!BG$24:BG$39,MATCH(Emissions!$D80,'Activity data'!$D$24:$D$39,0))*INDEX(EF!$H$84:$H$99,MATCH(Emissions!$D80,EF!$D$84:$D$99,0))*INDEX(EF!$H$100:$H$115,MATCH(Emissions!$D80,EF!$D$100:$D$115,0))*INDEX(EF!$H$132:$H$147,MATCH(Emissions!$D80,EF!$D$132:$D$147,0))*kgtoGg</f>
        <v>0.14158418276949739</v>
      </c>
      <c r="BH80" s="22">
        <f>INDEX('Activity data'!BH$24:BH$39,MATCH(Emissions!$D80,'Activity data'!$D$24:$D$39,0))*INDEX(EF!$H$84:$H$99,MATCH(Emissions!$D80,EF!$D$84:$D$99,0))*INDEX(EF!$H$100:$H$115,MATCH(Emissions!$D80,EF!$D$100:$D$115,0))*INDEX(EF!$H$132:$H$147,MATCH(Emissions!$D80,EF!$D$132:$D$147,0))*kgtoGg</f>
        <v>0.14111814096080577</v>
      </c>
      <c r="BI80" s="22">
        <f>INDEX('Activity data'!BI$24:BI$39,MATCH(Emissions!$D80,'Activity data'!$D$24:$D$39,0))*INDEX(EF!$H$84:$H$99,MATCH(Emissions!$D80,EF!$D$84:$D$99,0))*INDEX(EF!$H$100:$H$115,MATCH(Emissions!$D80,EF!$D$100:$D$115,0))*INDEX(EF!$H$132:$H$147,MATCH(Emissions!$D80,EF!$D$132:$D$147,0))*kgtoGg</f>
        <v>0.14065209915211424</v>
      </c>
      <c r="BJ80" s="22">
        <f>INDEX('Activity data'!BJ$24:BJ$39,MATCH(Emissions!$D80,'Activity data'!$D$24:$D$39,0))*INDEX(EF!$H$84:$H$99,MATCH(Emissions!$D80,EF!$D$84:$D$99,0))*INDEX(EF!$H$100:$H$115,MATCH(Emissions!$D80,EF!$D$100:$D$115,0))*INDEX(EF!$H$132:$H$147,MATCH(Emissions!$D80,EF!$D$132:$D$147,0))*kgtoGg</f>
        <v>0.14018605734342263</v>
      </c>
      <c r="BK80" s="22">
        <f>INDEX('Activity data'!BK$24:BK$39,MATCH(Emissions!$D80,'Activity data'!$D$24:$D$39,0))*INDEX(EF!$H$84:$H$99,MATCH(Emissions!$D80,EF!$D$84:$D$99,0))*INDEX(EF!$H$100:$H$115,MATCH(Emissions!$D80,EF!$D$100:$D$115,0))*INDEX(EF!$H$132:$H$147,MATCH(Emissions!$D80,EF!$D$132:$D$147,0))*kgtoGg</f>
        <v>0.13972001553473104</v>
      </c>
      <c r="BL80" s="22">
        <f>INDEX('Activity data'!BL$24:BL$39,MATCH(Emissions!$D80,'Activity data'!$D$24:$D$39,0))*INDEX(EF!$H$84:$H$99,MATCH(Emissions!$D80,EF!$D$84:$D$99,0))*INDEX(EF!$H$100:$H$115,MATCH(Emissions!$D80,EF!$D$100:$D$115,0))*INDEX(EF!$H$132:$H$147,MATCH(Emissions!$D80,EF!$D$132:$D$147,0))*kgtoGg</f>
        <v>0.13925397372603948</v>
      </c>
      <c r="BM80" s="22">
        <f>INDEX('Activity data'!BM$24:BM$39,MATCH(Emissions!$D80,'Activity data'!$D$24:$D$39,0))*INDEX(EF!$H$84:$H$99,MATCH(Emissions!$D80,EF!$D$84:$D$99,0))*INDEX(EF!$H$100:$H$115,MATCH(Emissions!$D80,EF!$D$100:$D$115,0))*INDEX(EF!$H$132:$H$147,MATCH(Emissions!$D80,EF!$D$132:$D$147,0))*kgtoGg</f>
        <v>0.13878793191734787</v>
      </c>
      <c r="BN80" s="22">
        <f>INDEX('Activity data'!BN$24:BN$39,MATCH(Emissions!$D80,'Activity data'!$D$24:$D$39,0))*INDEX(EF!$H$84:$H$99,MATCH(Emissions!$D80,EF!$D$84:$D$99,0))*INDEX(EF!$H$100:$H$115,MATCH(Emissions!$D80,EF!$D$100:$D$115,0))*INDEX(EF!$H$132:$H$147,MATCH(Emissions!$D80,EF!$D$132:$D$147,0))*kgtoGg</f>
        <v>0.13832189010865634</v>
      </c>
      <c r="BO80" s="22">
        <f>INDEX('Activity data'!BO$24:BO$39,MATCH(Emissions!$D80,'Activity data'!$D$24:$D$39,0))*INDEX(EF!$H$84:$H$99,MATCH(Emissions!$D80,EF!$D$84:$D$99,0))*INDEX(EF!$H$100:$H$115,MATCH(Emissions!$D80,EF!$D$100:$D$115,0))*INDEX(EF!$H$132:$H$147,MATCH(Emissions!$D80,EF!$D$132:$D$147,0))*kgtoGg</f>
        <v>0.13785584829996475</v>
      </c>
      <c r="BP80" s="22">
        <f>INDEX('Activity data'!BP$24:BP$39,MATCH(Emissions!$D80,'Activity data'!$D$24:$D$39,0))*INDEX(EF!$H$84:$H$99,MATCH(Emissions!$D80,EF!$D$84:$D$99,0))*INDEX(EF!$H$100:$H$115,MATCH(Emissions!$D80,EF!$D$100:$D$115,0))*INDEX(EF!$H$132:$H$147,MATCH(Emissions!$D80,EF!$D$132:$D$147,0))*kgtoGg</f>
        <v>0.13738980649127319</v>
      </c>
    </row>
    <row r="81" spans="1:68" x14ac:dyDescent="0.25">
      <c r="A81" t="str">
        <f t="shared" si="19"/>
        <v>3C Aggregated and non-CO2 emissions on land</v>
      </c>
      <c r="B81" t="str">
        <f t="shared" si="26"/>
        <v>3C1 Biomass burning (N2O)</v>
      </c>
      <c r="C81" t="str">
        <f t="shared" si="25"/>
        <v>3C1c Biomass burning in Grasslands</v>
      </c>
      <c r="D81" t="str">
        <f>EF!D111</f>
        <v>Degraded land</v>
      </c>
      <c r="E81" t="s">
        <v>641</v>
      </c>
      <c r="F81" t="str">
        <f t="shared" si="27"/>
        <v>N2O</v>
      </c>
      <c r="G81" t="str">
        <f t="shared" si="28"/>
        <v>Gg N2O</v>
      </c>
      <c r="H81" s="22">
        <f>INDEX('Activity data'!H$24:H$39,MATCH(Emissions!$D81,'Activity data'!$D$24:$D$39,0))*INDEX(EF!$H$84:$H$99,MATCH(Emissions!$D81,EF!$D$84:$D$99,0))*INDEX(EF!$H$100:$H$115,MATCH(Emissions!$D81,EF!$D$100:$D$115,0))*INDEX(EF!$H$132:$H$147,MATCH(Emissions!$D81,EF!$D$132:$D$147,0))*kgtoGg</f>
        <v>2.5919889901996538E-2</v>
      </c>
      <c r="I81" s="22">
        <f>INDEX('Activity data'!I$24:I$39,MATCH(Emissions!$D81,'Activity data'!$D$24:$D$39,0))*INDEX(EF!$H$84:$H$99,MATCH(Emissions!$D81,EF!$D$84:$D$99,0))*INDEX(EF!$H$100:$H$115,MATCH(Emissions!$D81,EF!$D$100:$D$115,0))*INDEX(EF!$H$132:$H$147,MATCH(Emissions!$D81,EF!$D$132:$D$147,0))*kgtoGg</f>
        <v>2.5919889901996538E-2</v>
      </c>
      <c r="J81" s="22">
        <f>INDEX('Activity data'!J$24:J$39,MATCH(Emissions!$D81,'Activity data'!$D$24:$D$39,0))*INDEX(EF!$H$84:$H$99,MATCH(Emissions!$D81,EF!$D$84:$D$99,0))*INDEX(EF!$H$100:$H$115,MATCH(Emissions!$D81,EF!$D$100:$D$115,0))*INDEX(EF!$H$132:$H$147,MATCH(Emissions!$D81,EF!$D$132:$D$147,0))*kgtoGg</f>
        <v>2.5919889901996538E-2</v>
      </c>
      <c r="K81" s="22">
        <f>INDEX('Activity data'!K$24:K$39,MATCH(Emissions!$D81,'Activity data'!$D$24:$D$39,0))*INDEX(EF!$H$84:$H$99,MATCH(Emissions!$D81,EF!$D$84:$D$99,0))*INDEX(EF!$H$100:$H$115,MATCH(Emissions!$D81,EF!$D$100:$D$115,0))*INDEX(EF!$H$132:$H$147,MATCH(Emissions!$D81,EF!$D$132:$D$147,0))*kgtoGg</f>
        <v>2.5919889901996538E-2</v>
      </c>
      <c r="L81" s="22">
        <f>INDEX('Activity data'!L$24:L$39,MATCH(Emissions!$D81,'Activity data'!$D$24:$D$39,0))*INDEX(EF!$H$84:$H$99,MATCH(Emissions!$D81,EF!$D$84:$D$99,0))*INDEX(EF!$H$100:$H$115,MATCH(Emissions!$D81,EF!$D$100:$D$115,0))*INDEX(EF!$H$132:$H$147,MATCH(Emissions!$D81,EF!$D$132:$D$147,0))*kgtoGg</f>
        <v>2.5919889901996538E-2</v>
      </c>
      <c r="M81" s="22">
        <f>INDEX('Activity data'!M$24:M$39,MATCH(Emissions!$D81,'Activity data'!$D$24:$D$39,0))*INDEX(EF!$H$84:$H$99,MATCH(Emissions!$D81,EF!$D$84:$D$99,0))*INDEX(EF!$H$100:$H$115,MATCH(Emissions!$D81,EF!$D$100:$D$115,0))*INDEX(EF!$H$132:$H$147,MATCH(Emissions!$D81,EF!$D$132:$D$147,0))*kgtoGg</f>
        <v>2.5919889901996538E-2</v>
      </c>
      <c r="N81" s="22">
        <f>INDEX('Activity data'!N$24:N$39,MATCH(Emissions!$D81,'Activity data'!$D$24:$D$39,0))*INDEX(EF!$H$84:$H$99,MATCH(Emissions!$D81,EF!$D$84:$D$99,0))*INDEX(EF!$H$100:$H$115,MATCH(Emissions!$D81,EF!$D$100:$D$115,0))*INDEX(EF!$H$132:$H$147,MATCH(Emissions!$D81,EF!$D$132:$D$147,0))*kgtoGg</f>
        <v>2.5919889901996538E-2</v>
      </c>
      <c r="O81" s="22">
        <f>INDEX('Activity data'!O$24:O$39,MATCH(Emissions!$D81,'Activity data'!$D$24:$D$39,0))*INDEX(EF!$H$84:$H$99,MATCH(Emissions!$D81,EF!$D$84:$D$99,0))*INDEX(EF!$H$100:$H$115,MATCH(Emissions!$D81,EF!$D$100:$D$115,0))*INDEX(EF!$H$132:$H$147,MATCH(Emissions!$D81,EF!$D$132:$D$147,0))*kgtoGg</f>
        <v>2.5919889901996538E-2</v>
      </c>
      <c r="P81" s="22">
        <f>INDEX('Activity data'!P$24:P$39,MATCH(Emissions!$D81,'Activity data'!$D$24:$D$39,0))*INDEX(EF!$H$84:$H$99,MATCH(Emissions!$D81,EF!$D$84:$D$99,0))*INDEX(EF!$H$100:$H$115,MATCH(Emissions!$D81,EF!$D$100:$D$115,0))*INDEX(EF!$H$132:$H$147,MATCH(Emissions!$D81,EF!$D$132:$D$147,0))*kgtoGg</f>
        <v>2.5919889901996538E-2</v>
      </c>
      <c r="Q81" s="22">
        <f>INDEX('Activity data'!Q$24:Q$39,MATCH(Emissions!$D81,'Activity data'!$D$24:$D$39,0))*INDEX(EF!$H$84:$H$99,MATCH(Emissions!$D81,EF!$D$84:$D$99,0))*INDEX(EF!$H$100:$H$115,MATCH(Emissions!$D81,EF!$D$100:$D$115,0))*INDEX(EF!$H$132:$H$147,MATCH(Emissions!$D81,EF!$D$132:$D$147,0))*kgtoGg</f>
        <v>2.5919889901996538E-2</v>
      </c>
      <c r="R81" s="22">
        <f>INDEX('Activity data'!R$24:R$39,MATCH(Emissions!$D81,'Activity data'!$D$24:$D$39,0))*INDEX(EF!$H$84:$H$99,MATCH(Emissions!$D81,EF!$D$84:$D$99,0))*INDEX(EF!$H$100:$H$115,MATCH(Emissions!$D81,EF!$D$100:$D$115,0))*INDEX(EF!$H$132:$H$147,MATCH(Emissions!$D81,EF!$D$132:$D$147,0))*kgtoGg</f>
        <v>2.8520988552148289E-2</v>
      </c>
      <c r="S81" s="22">
        <f>INDEX('Activity data'!S$24:S$39,MATCH(Emissions!$D81,'Activity data'!$D$24:$D$39,0))*INDEX(EF!$H$84:$H$99,MATCH(Emissions!$D81,EF!$D$84:$D$99,0))*INDEX(EF!$H$100:$H$115,MATCH(Emissions!$D81,EF!$D$100:$D$115,0))*INDEX(EF!$H$132:$H$147,MATCH(Emissions!$D81,EF!$D$132:$D$147,0))*kgtoGg</f>
        <v>2.5817163949345238E-2</v>
      </c>
      <c r="T81" s="22">
        <f>INDEX('Activity data'!T$24:T$39,MATCH(Emissions!$D81,'Activity data'!$D$24:$D$39,0))*INDEX(EF!$H$84:$H$99,MATCH(Emissions!$D81,EF!$D$84:$D$99,0))*INDEX(EF!$H$100:$H$115,MATCH(Emissions!$D81,EF!$D$100:$D$115,0))*INDEX(EF!$H$132:$H$147,MATCH(Emissions!$D81,EF!$D$132:$D$147,0))*kgtoGg</f>
        <v>3.4558561052314238E-2</v>
      </c>
      <c r="U81" s="22">
        <f>INDEX('Activity data'!U$24:U$39,MATCH(Emissions!$D81,'Activity data'!$D$24:$D$39,0))*INDEX(EF!$H$84:$H$99,MATCH(Emissions!$D81,EF!$D$84:$D$99,0))*INDEX(EF!$H$100:$H$115,MATCH(Emissions!$D81,EF!$D$100:$D$115,0))*INDEX(EF!$H$132:$H$147,MATCH(Emissions!$D81,EF!$D$132:$D$147,0))*kgtoGg</f>
        <v>1.0165992861435118E-2</v>
      </c>
      <c r="V81" s="22">
        <f>INDEX('Activity data'!V$24:V$39,MATCH(Emissions!$D81,'Activity data'!$D$24:$D$39,0))*INDEX(EF!$H$84:$H$99,MATCH(Emissions!$D81,EF!$D$84:$D$99,0))*INDEX(EF!$H$100:$H$115,MATCH(Emissions!$D81,EF!$D$100:$D$115,0))*INDEX(EF!$H$132:$H$147,MATCH(Emissions!$D81,EF!$D$132:$D$147,0))*kgtoGg</f>
        <v>3.0536743094739811E-2</v>
      </c>
      <c r="W81" s="22">
        <f>INDEX('Activity data'!W$24:W$39,MATCH(Emissions!$D81,'Activity data'!$D$24:$D$39,0))*INDEX(EF!$H$84:$H$99,MATCH(Emissions!$D81,EF!$D$84:$D$99,0))*INDEX(EF!$H$100:$H$115,MATCH(Emissions!$D81,EF!$D$100:$D$115,0))*INDEX(EF!$H$132:$H$147,MATCH(Emissions!$D81,EF!$D$132:$D$147,0))*kgtoGg</f>
        <v>3.7407752569246472E-2</v>
      </c>
      <c r="X81" s="22">
        <f>INDEX('Activity data'!X$24:X$39,MATCH(Emissions!$D81,'Activity data'!$D$24:$D$39,0))*INDEX(EF!$H$84:$H$99,MATCH(Emissions!$D81,EF!$D$84:$D$99,0))*INDEX(EF!$H$100:$H$115,MATCH(Emissions!$D81,EF!$D$100:$D$115,0))*INDEX(EF!$H$132:$H$147,MATCH(Emissions!$D81,EF!$D$132:$D$147,0))*kgtoGg</f>
        <v>5.5423558793658186E-2</v>
      </c>
      <c r="Y81" s="22">
        <f>INDEX('Activity data'!Y$24:Y$39,MATCH(Emissions!$D81,'Activity data'!$D$24:$D$39,0))*INDEX(EF!$H$84:$H$99,MATCH(Emissions!$D81,EF!$D$84:$D$99,0))*INDEX(EF!$H$100:$H$115,MATCH(Emissions!$D81,EF!$D$100:$D$115,0))*INDEX(EF!$H$132:$H$147,MATCH(Emissions!$D81,EF!$D$132:$D$147,0))*kgtoGg</f>
        <v>8.4312810194933779E-3</v>
      </c>
      <c r="Z81" s="22">
        <f>INDEX('Activity data'!Z$24:Z$39,MATCH(Emissions!$D81,'Activity data'!$D$24:$D$39,0))*INDEX(EF!$H$84:$H$99,MATCH(Emissions!$D81,EF!$D$84:$D$99,0))*INDEX(EF!$H$100:$H$115,MATCH(Emissions!$D81,EF!$D$100:$D$115,0))*INDEX(EF!$H$132:$H$147,MATCH(Emissions!$D81,EF!$D$132:$D$147,0))*kgtoGg</f>
        <v>3.9442889367055235E-2</v>
      </c>
      <c r="AA81" s="22">
        <f>INDEX('Activity data'!AA$24:AA$39,MATCH(Emissions!$D81,'Activity data'!$D$24:$D$39,0))*INDEX(EF!$H$84:$H$99,MATCH(Emissions!$D81,EF!$D$84:$D$99,0))*INDEX(EF!$H$100:$H$115,MATCH(Emissions!$D81,EF!$D$100:$D$115,0))*INDEX(EF!$H$132:$H$147,MATCH(Emissions!$D81,EF!$D$132:$D$147,0))*kgtoGg</f>
        <v>2.5603959141955752E-2</v>
      </c>
      <c r="AB81" s="22">
        <f>INDEX('Activity data'!AB$24:AB$39,MATCH(Emissions!$D81,'Activity data'!$D$24:$D$39,0))*INDEX(EF!$H$84:$H$99,MATCH(Emissions!$D81,EF!$D$84:$D$99,0))*INDEX(EF!$H$100:$H$115,MATCH(Emissions!$D81,EF!$D$100:$D$115,0))*INDEX(EF!$H$132:$H$147,MATCH(Emissions!$D81,EF!$D$132:$D$147,0))*kgtoGg</f>
        <v>3.4459387199999997E-2</v>
      </c>
      <c r="AC81" s="22">
        <f>INDEX('Activity data'!AC$24:AC$39,MATCH(Emissions!$D81,'Activity data'!$D$24:$D$39,0))*INDEX(EF!$H$84:$H$99,MATCH(Emissions!$D81,EF!$D$84:$D$99,0))*INDEX(EF!$H$100:$H$115,MATCH(Emissions!$D81,EF!$D$100:$D$115,0))*INDEX(EF!$H$132:$H$147,MATCH(Emissions!$D81,EF!$D$132:$D$147,0))*kgtoGg</f>
        <v>4.0562650800000002E-2</v>
      </c>
      <c r="AD81" s="22">
        <f>INDEX('Activity data'!AD$24:AD$39,MATCH(Emissions!$D81,'Activity data'!$D$24:$D$39,0))*INDEX(EF!$H$84:$H$99,MATCH(Emissions!$D81,EF!$D$84:$D$99,0))*INDEX(EF!$H$100:$H$115,MATCH(Emissions!$D81,EF!$D$100:$D$115,0))*INDEX(EF!$H$132:$H$147,MATCH(Emissions!$D81,EF!$D$132:$D$147,0))*kgtoGg</f>
        <v>2.434480550007732E-2</v>
      </c>
      <c r="AE81" s="22">
        <f>INDEX('Activity data'!AE$24:AE$39,MATCH(Emissions!$D81,'Activity data'!$D$24:$D$39,0))*INDEX(EF!$H$84:$H$99,MATCH(Emissions!$D81,EF!$D$84:$D$99,0))*INDEX(EF!$H$100:$H$115,MATCH(Emissions!$D81,EF!$D$100:$D$115,0))*INDEX(EF!$H$132:$H$147,MATCH(Emissions!$D81,EF!$D$132:$D$147,0))*kgtoGg</f>
        <v>2.434480550007732E-2</v>
      </c>
      <c r="AF81" s="22">
        <f>INDEX('Activity data'!AF$24:AF$39,MATCH(Emissions!$D81,'Activity data'!$D$24:$D$39,0))*INDEX(EF!$H$84:$H$99,MATCH(Emissions!$D81,EF!$D$84:$D$99,0))*INDEX(EF!$H$100:$H$115,MATCH(Emissions!$D81,EF!$D$100:$D$115,0))*INDEX(EF!$H$132:$H$147,MATCH(Emissions!$D81,EF!$D$132:$D$147,0))*kgtoGg</f>
        <v>2.434480550007732E-2</v>
      </c>
      <c r="AG81" s="22">
        <f>INDEX('Activity data'!AG$24:AG$39,MATCH(Emissions!$D81,'Activity data'!$D$24:$D$39,0))*INDEX(EF!$H$84:$H$99,MATCH(Emissions!$D81,EF!$D$84:$D$99,0))*INDEX(EF!$H$100:$H$115,MATCH(Emissions!$D81,EF!$D$100:$D$115,0))*INDEX(EF!$H$132:$H$147,MATCH(Emissions!$D81,EF!$D$132:$D$147,0))*kgtoGg</f>
        <v>2.434480550007732E-2</v>
      </c>
      <c r="AH81" s="22">
        <f>INDEX('Activity data'!AH$24:AH$39,MATCH(Emissions!$D81,'Activity data'!$D$24:$D$39,0))*INDEX(EF!$H$84:$H$99,MATCH(Emissions!$D81,EF!$D$84:$D$99,0))*INDEX(EF!$H$100:$H$115,MATCH(Emissions!$D81,EF!$D$100:$D$115,0))*INDEX(EF!$H$132:$H$147,MATCH(Emissions!$D81,EF!$D$132:$D$147,0))*kgtoGg</f>
        <v>2.434480550007732E-2</v>
      </c>
      <c r="AI81" s="22">
        <f>INDEX('Activity data'!AI$24:AI$39,MATCH(Emissions!$D81,'Activity data'!$D$24:$D$39,0))*INDEX(EF!$H$84:$H$99,MATCH(Emissions!$D81,EF!$D$84:$D$99,0))*INDEX(EF!$H$100:$H$115,MATCH(Emissions!$D81,EF!$D$100:$D$115,0))*INDEX(EF!$H$132:$H$147,MATCH(Emissions!$D81,EF!$D$132:$D$147,0))*kgtoGg</f>
        <v>2.434480550007732E-2</v>
      </c>
      <c r="AJ81" s="22">
        <f>INDEX('Activity data'!AJ$24:AJ$39,MATCH(Emissions!$D81,'Activity data'!$D$24:$D$39,0))*INDEX(EF!$H$84:$H$99,MATCH(Emissions!$D81,EF!$D$84:$D$99,0))*INDEX(EF!$H$100:$H$115,MATCH(Emissions!$D81,EF!$D$100:$D$115,0))*INDEX(EF!$H$132:$H$147,MATCH(Emissions!$D81,EF!$D$132:$D$147,0))*kgtoGg</f>
        <v>2.434480550007732E-2</v>
      </c>
      <c r="AK81" s="22">
        <f>INDEX('Activity data'!AK$24:AK$39,MATCH(Emissions!$D81,'Activity data'!$D$24:$D$39,0))*INDEX(EF!$H$84:$H$99,MATCH(Emissions!$D81,EF!$D$84:$D$99,0))*INDEX(EF!$H$100:$H$115,MATCH(Emissions!$D81,EF!$D$100:$D$115,0))*INDEX(EF!$H$132:$H$147,MATCH(Emissions!$D81,EF!$D$132:$D$147,0))*kgtoGg</f>
        <v>2.434480550007732E-2</v>
      </c>
      <c r="AL81" s="22">
        <f>INDEX('Activity data'!AL$24:AL$39,MATCH(Emissions!$D81,'Activity data'!$D$24:$D$39,0))*INDEX(EF!$H$84:$H$99,MATCH(Emissions!$D81,EF!$D$84:$D$99,0))*INDEX(EF!$H$100:$H$115,MATCH(Emissions!$D81,EF!$D$100:$D$115,0))*INDEX(EF!$H$132:$H$147,MATCH(Emissions!$D81,EF!$D$132:$D$147,0))*kgtoGg</f>
        <v>2.434480550007732E-2</v>
      </c>
      <c r="AM81" s="22">
        <f>INDEX('Activity data'!AM$24:AM$39,MATCH(Emissions!$D81,'Activity data'!$D$24:$D$39,0))*INDEX(EF!$H$84:$H$99,MATCH(Emissions!$D81,EF!$D$84:$D$99,0))*INDEX(EF!$H$100:$H$115,MATCH(Emissions!$D81,EF!$D$100:$D$115,0))*INDEX(EF!$H$132:$H$147,MATCH(Emissions!$D81,EF!$D$132:$D$147,0))*kgtoGg</f>
        <v>2.434480550007732E-2</v>
      </c>
      <c r="AN81" s="22">
        <f>INDEX('Activity data'!AN$24:AN$39,MATCH(Emissions!$D81,'Activity data'!$D$24:$D$39,0))*INDEX(EF!$H$84:$H$99,MATCH(Emissions!$D81,EF!$D$84:$D$99,0))*INDEX(EF!$H$100:$H$115,MATCH(Emissions!$D81,EF!$D$100:$D$115,0))*INDEX(EF!$H$132:$H$147,MATCH(Emissions!$D81,EF!$D$132:$D$147,0))*kgtoGg</f>
        <v>2.434480550007732E-2</v>
      </c>
      <c r="AO81" s="22">
        <f>INDEX('Activity data'!AO$24:AO$39,MATCH(Emissions!$D81,'Activity data'!$D$24:$D$39,0))*INDEX(EF!$H$84:$H$99,MATCH(Emissions!$D81,EF!$D$84:$D$99,0))*INDEX(EF!$H$100:$H$115,MATCH(Emissions!$D81,EF!$D$100:$D$115,0))*INDEX(EF!$H$132:$H$147,MATCH(Emissions!$D81,EF!$D$132:$D$147,0))*kgtoGg</f>
        <v>2.434480550007732E-2</v>
      </c>
      <c r="AP81" s="22">
        <f>INDEX('Activity data'!AP$24:AP$39,MATCH(Emissions!$D81,'Activity data'!$D$24:$D$39,0))*INDEX(EF!$H$84:$H$99,MATCH(Emissions!$D81,EF!$D$84:$D$99,0))*INDEX(EF!$H$100:$H$115,MATCH(Emissions!$D81,EF!$D$100:$D$115,0))*INDEX(EF!$H$132:$H$147,MATCH(Emissions!$D81,EF!$D$132:$D$147,0))*kgtoGg</f>
        <v>2.434480550007732E-2</v>
      </c>
      <c r="AQ81" s="22">
        <f>INDEX('Activity data'!AQ$24:AQ$39,MATCH(Emissions!$D81,'Activity data'!$D$24:$D$39,0))*INDEX(EF!$H$84:$H$99,MATCH(Emissions!$D81,EF!$D$84:$D$99,0))*INDEX(EF!$H$100:$H$115,MATCH(Emissions!$D81,EF!$D$100:$D$115,0))*INDEX(EF!$H$132:$H$147,MATCH(Emissions!$D81,EF!$D$132:$D$147,0))*kgtoGg</f>
        <v>2.434480550007732E-2</v>
      </c>
      <c r="AR81" s="22">
        <f>INDEX('Activity data'!AR$24:AR$39,MATCH(Emissions!$D81,'Activity data'!$D$24:$D$39,0))*INDEX(EF!$H$84:$H$99,MATCH(Emissions!$D81,EF!$D$84:$D$99,0))*INDEX(EF!$H$100:$H$115,MATCH(Emissions!$D81,EF!$D$100:$D$115,0))*INDEX(EF!$H$132:$H$147,MATCH(Emissions!$D81,EF!$D$132:$D$147,0))*kgtoGg</f>
        <v>2.434480550007732E-2</v>
      </c>
      <c r="AS81" s="22">
        <f>INDEX('Activity data'!AS$24:AS$39,MATCH(Emissions!$D81,'Activity data'!$D$24:$D$39,0))*INDEX(EF!$H$84:$H$99,MATCH(Emissions!$D81,EF!$D$84:$D$99,0))*INDEX(EF!$H$100:$H$115,MATCH(Emissions!$D81,EF!$D$100:$D$115,0))*INDEX(EF!$H$132:$H$147,MATCH(Emissions!$D81,EF!$D$132:$D$147,0))*kgtoGg</f>
        <v>2.434480550007732E-2</v>
      </c>
      <c r="AT81" s="22">
        <f>INDEX('Activity data'!AT$24:AT$39,MATCH(Emissions!$D81,'Activity data'!$D$24:$D$39,0))*INDEX(EF!$H$84:$H$99,MATCH(Emissions!$D81,EF!$D$84:$D$99,0))*INDEX(EF!$H$100:$H$115,MATCH(Emissions!$D81,EF!$D$100:$D$115,0))*INDEX(EF!$H$132:$H$147,MATCH(Emissions!$D81,EF!$D$132:$D$147,0))*kgtoGg</f>
        <v>2.434480550007732E-2</v>
      </c>
      <c r="AU81" s="22">
        <f>INDEX('Activity data'!AU$24:AU$39,MATCH(Emissions!$D81,'Activity data'!$D$24:$D$39,0))*INDEX(EF!$H$84:$H$99,MATCH(Emissions!$D81,EF!$D$84:$D$99,0))*INDEX(EF!$H$100:$H$115,MATCH(Emissions!$D81,EF!$D$100:$D$115,0))*INDEX(EF!$H$132:$H$147,MATCH(Emissions!$D81,EF!$D$132:$D$147,0))*kgtoGg</f>
        <v>2.434480550007732E-2</v>
      </c>
      <c r="AV81" s="22">
        <f>INDEX('Activity data'!AV$24:AV$39,MATCH(Emissions!$D81,'Activity data'!$D$24:$D$39,0))*INDEX(EF!$H$84:$H$99,MATCH(Emissions!$D81,EF!$D$84:$D$99,0))*INDEX(EF!$H$100:$H$115,MATCH(Emissions!$D81,EF!$D$100:$D$115,0))*INDEX(EF!$H$132:$H$147,MATCH(Emissions!$D81,EF!$D$132:$D$147,0))*kgtoGg</f>
        <v>2.434480550007732E-2</v>
      </c>
      <c r="AW81" s="22">
        <f>INDEX('Activity data'!AW$24:AW$39,MATCH(Emissions!$D81,'Activity data'!$D$24:$D$39,0))*INDEX(EF!$H$84:$H$99,MATCH(Emissions!$D81,EF!$D$84:$D$99,0))*INDEX(EF!$H$100:$H$115,MATCH(Emissions!$D81,EF!$D$100:$D$115,0))*INDEX(EF!$H$132:$H$147,MATCH(Emissions!$D81,EF!$D$132:$D$147,0))*kgtoGg</f>
        <v>2.434480550007732E-2</v>
      </c>
      <c r="AX81" s="22">
        <f>INDEX('Activity data'!AX$24:AX$39,MATCH(Emissions!$D81,'Activity data'!$D$24:$D$39,0))*INDEX(EF!$H$84:$H$99,MATCH(Emissions!$D81,EF!$D$84:$D$99,0))*INDEX(EF!$H$100:$H$115,MATCH(Emissions!$D81,EF!$D$100:$D$115,0))*INDEX(EF!$H$132:$H$147,MATCH(Emissions!$D81,EF!$D$132:$D$147,0))*kgtoGg</f>
        <v>2.434480550007732E-2</v>
      </c>
      <c r="AY81" s="22">
        <f>INDEX('Activity data'!AY$24:AY$39,MATCH(Emissions!$D81,'Activity data'!$D$24:$D$39,0))*INDEX(EF!$H$84:$H$99,MATCH(Emissions!$D81,EF!$D$84:$D$99,0))*INDEX(EF!$H$100:$H$115,MATCH(Emissions!$D81,EF!$D$100:$D$115,0))*INDEX(EF!$H$132:$H$147,MATCH(Emissions!$D81,EF!$D$132:$D$147,0))*kgtoGg</f>
        <v>2.434480550007732E-2</v>
      </c>
      <c r="AZ81" s="22">
        <f>INDEX('Activity data'!AZ$24:AZ$39,MATCH(Emissions!$D81,'Activity data'!$D$24:$D$39,0))*INDEX(EF!$H$84:$H$99,MATCH(Emissions!$D81,EF!$D$84:$D$99,0))*INDEX(EF!$H$100:$H$115,MATCH(Emissions!$D81,EF!$D$100:$D$115,0))*INDEX(EF!$H$132:$H$147,MATCH(Emissions!$D81,EF!$D$132:$D$147,0))*kgtoGg</f>
        <v>2.434480550007732E-2</v>
      </c>
      <c r="BA81" s="22">
        <f>INDEX('Activity data'!BA$24:BA$39,MATCH(Emissions!$D81,'Activity data'!$D$24:$D$39,0))*INDEX(EF!$H$84:$H$99,MATCH(Emissions!$D81,EF!$D$84:$D$99,0))*INDEX(EF!$H$100:$H$115,MATCH(Emissions!$D81,EF!$D$100:$D$115,0))*INDEX(EF!$H$132:$H$147,MATCH(Emissions!$D81,EF!$D$132:$D$147,0))*kgtoGg</f>
        <v>2.434480550007732E-2</v>
      </c>
      <c r="BB81" s="22">
        <f>INDEX('Activity data'!BB$24:BB$39,MATCH(Emissions!$D81,'Activity data'!$D$24:$D$39,0))*INDEX(EF!$H$84:$H$99,MATCH(Emissions!$D81,EF!$D$84:$D$99,0))*INDEX(EF!$H$100:$H$115,MATCH(Emissions!$D81,EF!$D$100:$D$115,0))*INDEX(EF!$H$132:$H$147,MATCH(Emissions!$D81,EF!$D$132:$D$147,0))*kgtoGg</f>
        <v>2.434480550007732E-2</v>
      </c>
      <c r="BC81" s="22">
        <f>INDEX('Activity data'!BC$24:BC$39,MATCH(Emissions!$D81,'Activity data'!$D$24:$D$39,0))*INDEX(EF!$H$84:$H$99,MATCH(Emissions!$D81,EF!$D$84:$D$99,0))*INDEX(EF!$H$100:$H$115,MATCH(Emissions!$D81,EF!$D$100:$D$115,0))*INDEX(EF!$H$132:$H$147,MATCH(Emissions!$D81,EF!$D$132:$D$147,0))*kgtoGg</f>
        <v>2.434480550007732E-2</v>
      </c>
      <c r="BD81" s="22">
        <f>INDEX('Activity data'!BD$24:BD$39,MATCH(Emissions!$D81,'Activity data'!$D$24:$D$39,0))*INDEX(EF!$H$84:$H$99,MATCH(Emissions!$D81,EF!$D$84:$D$99,0))*INDEX(EF!$H$100:$H$115,MATCH(Emissions!$D81,EF!$D$100:$D$115,0))*INDEX(EF!$H$132:$H$147,MATCH(Emissions!$D81,EF!$D$132:$D$147,0))*kgtoGg</f>
        <v>2.434480550007732E-2</v>
      </c>
      <c r="BE81" s="22">
        <f>INDEX('Activity data'!BE$24:BE$39,MATCH(Emissions!$D81,'Activity data'!$D$24:$D$39,0))*INDEX(EF!$H$84:$H$99,MATCH(Emissions!$D81,EF!$D$84:$D$99,0))*INDEX(EF!$H$100:$H$115,MATCH(Emissions!$D81,EF!$D$100:$D$115,0))*INDEX(EF!$H$132:$H$147,MATCH(Emissions!$D81,EF!$D$132:$D$147,0))*kgtoGg</f>
        <v>2.434480550007732E-2</v>
      </c>
      <c r="BF81" s="22">
        <f>INDEX('Activity data'!BF$24:BF$39,MATCH(Emissions!$D81,'Activity data'!$D$24:$D$39,0))*INDEX(EF!$H$84:$H$99,MATCH(Emissions!$D81,EF!$D$84:$D$99,0))*INDEX(EF!$H$100:$H$115,MATCH(Emissions!$D81,EF!$D$100:$D$115,0))*INDEX(EF!$H$132:$H$147,MATCH(Emissions!$D81,EF!$D$132:$D$147,0))*kgtoGg</f>
        <v>2.434480550007732E-2</v>
      </c>
      <c r="BG81" s="22">
        <f>INDEX('Activity data'!BG$24:BG$39,MATCH(Emissions!$D81,'Activity data'!$D$24:$D$39,0))*INDEX(EF!$H$84:$H$99,MATCH(Emissions!$D81,EF!$D$84:$D$99,0))*INDEX(EF!$H$100:$H$115,MATCH(Emissions!$D81,EF!$D$100:$D$115,0))*INDEX(EF!$H$132:$H$147,MATCH(Emissions!$D81,EF!$D$132:$D$147,0))*kgtoGg</f>
        <v>2.434480550007732E-2</v>
      </c>
      <c r="BH81" s="22">
        <f>INDEX('Activity data'!BH$24:BH$39,MATCH(Emissions!$D81,'Activity data'!$D$24:$D$39,0))*INDEX(EF!$H$84:$H$99,MATCH(Emissions!$D81,EF!$D$84:$D$99,0))*INDEX(EF!$H$100:$H$115,MATCH(Emissions!$D81,EF!$D$100:$D$115,0))*INDEX(EF!$H$132:$H$147,MATCH(Emissions!$D81,EF!$D$132:$D$147,0))*kgtoGg</f>
        <v>2.434480550007732E-2</v>
      </c>
      <c r="BI81" s="22">
        <f>INDEX('Activity data'!BI$24:BI$39,MATCH(Emissions!$D81,'Activity data'!$D$24:$D$39,0))*INDEX(EF!$H$84:$H$99,MATCH(Emissions!$D81,EF!$D$84:$D$99,0))*INDEX(EF!$H$100:$H$115,MATCH(Emissions!$D81,EF!$D$100:$D$115,0))*INDEX(EF!$H$132:$H$147,MATCH(Emissions!$D81,EF!$D$132:$D$147,0))*kgtoGg</f>
        <v>2.434480550007732E-2</v>
      </c>
      <c r="BJ81" s="22">
        <f>INDEX('Activity data'!BJ$24:BJ$39,MATCH(Emissions!$D81,'Activity data'!$D$24:$D$39,0))*INDEX(EF!$H$84:$H$99,MATCH(Emissions!$D81,EF!$D$84:$D$99,0))*INDEX(EF!$H$100:$H$115,MATCH(Emissions!$D81,EF!$D$100:$D$115,0))*INDEX(EF!$H$132:$H$147,MATCH(Emissions!$D81,EF!$D$132:$D$147,0))*kgtoGg</f>
        <v>2.434480550007732E-2</v>
      </c>
      <c r="BK81" s="22">
        <f>INDEX('Activity data'!BK$24:BK$39,MATCH(Emissions!$D81,'Activity data'!$D$24:$D$39,0))*INDEX(EF!$H$84:$H$99,MATCH(Emissions!$D81,EF!$D$84:$D$99,0))*INDEX(EF!$H$100:$H$115,MATCH(Emissions!$D81,EF!$D$100:$D$115,0))*INDEX(EF!$H$132:$H$147,MATCH(Emissions!$D81,EF!$D$132:$D$147,0))*kgtoGg</f>
        <v>2.434480550007732E-2</v>
      </c>
      <c r="BL81" s="22">
        <f>INDEX('Activity data'!BL$24:BL$39,MATCH(Emissions!$D81,'Activity data'!$D$24:$D$39,0))*INDEX(EF!$H$84:$H$99,MATCH(Emissions!$D81,EF!$D$84:$D$99,0))*INDEX(EF!$H$100:$H$115,MATCH(Emissions!$D81,EF!$D$100:$D$115,0))*INDEX(EF!$H$132:$H$147,MATCH(Emissions!$D81,EF!$D$132:$D$147,0))*kgtoGg</f>
        <v>2.434480550007732E-2</v>
      </c>
      <c r="BM81" s="22">
        <f>INDEX('Activity data'!BM$24:BM$39,MATCH(Emissions!$D81,'Activity data'!$D$24:$D$39,0))*INDEX(EF!$H$84:$H$99,MATCH(Emissions!$D81,EF!$D$84:$D$99,0))*INDEX(EF!$H$100:$H$115,MATCH(Emissions!$D81,EF!$D$100:$D$115,0))*INDEX(EF!$H$132:$H$147,MATCH(Emissions!$D81,EF!$D$132:$D$147,0))*kgtoGg</f>
        <v>2.434480550007732E-2</v>
      </c>
      <c r="BN81" s="22">
        <f>INDEX('Activity data'!BN$24:BN$39,MATCH(Emissions!$D81,'Activity data'!$D$24:$D$39,0))*INDEX(EF!$H$84:$H$99,MATCH(Emissions!$D81,EF!$D$84:$D$99,0))*INDEX(EF!$H$100:$H$115,MATCH(Emissions!$D81,EF!$D$100:$D$115,0))*INDEX(EF!$H$132:$H$147,MATCH(Emissions!$D81,EF!$D$132:$D$147,0))*kgtoGg</f>
        <v>2.434480550007732E-2</v>
      </c>
      <c r="BO81" s="22">
        <f>INDEX('Activity data'!BO$24:BO$39,MATCH(Emissions!$D81,'Activity data'!$D$24:$D$39,0))*INDEX(EF!$H$84:$H$99,MATCH(Emissions!$D81,EF!$D$84:$D$99,0))*INDEX(EF!$H$100:$H$115,MATCH(Emissions!$D81,EF!$D$100:$D$115,0))*INDEX(EF!$H$132:$H$147,MATCH(Emissions!$D81,EF!$D$132:$D$147,0))*kgtoGg</f>
        <v>2.434480550007732E-2</v>
      </c>
      <c r="BP81" s="22">
        <f>INDEX('Activity data'!BP$24:BP$39,MATCH(Emissions!$D81,'Activity data'!$D$24:$D$39,0))*INDEX(EF!$H$84:$H$99,MATCH(Emissions!$D81,EF!$D$84:$D$99,0))*INDEX(EF!$H$100:$H$115,MATCH(Emissions!$D81,EF!$D$100:$D$115,0))*INDEX(EF!$H$132:$H$147,MATCH(Emissions!$D81,EF!$D$132:$D$147,0))*kgtoGg</f>
        <v>2.434480550007732E-2</v>
      </c>
    </row>
    <row r="82" spans="1:68" x14ac:dyDescent="0.25">
      <c r="A82" t="str">
        <f t="shared" si="19"/>
        <v>3C Aggregated and non-CO2 emissions on land</v>
      </c>
      <c r="B82" t="str">
        <f t="shared" si="26"/>
        <v>3C1 Biomass burning (N2O)</v>
      </c>
      <c r="C82" t="str">
        <f t="shared" si="25"/>
        <v>3C1d Biomass burning in Wetlands</v>
      </c>
      <c r="D82" t="str">
        <f>EF!D112</f>
        <v>Wetlands</v>
      </c>
      <c r="E82" t="s">
        <v>652</v>
      </c>
      <c r="F82" t="str">
        <f t="shared" si="27"/>
        <v>N2O</v>
      </c>
      <c r="G82" t="str">
        <f t="shared" si="28"/>
        <v>Gg N2O</v>
      </c>
      <c r="H82" s="22">
        <f>INDEX('Activity data'!H$24:H$39,MATCH(Emissions!$D82,'Activity data'!$D$24:$D$39,0))*INDEX(EF!$H$84:$H$99,MATCH(Emissions!$D82,EF!$D$84:$D$99,0))*INDEX(EF!$H$100:$H$115,MATCH(Emissions!$D82,EF!$D$100:$D$115,0))*INDEX(EF!$H$132:$H$147,MATCH(Emissions!$D82,EF!$D$132:$D$147,0))*kgtoGg</f>
        <v>7.357077670844267E-2</v>
      </c>
      <c r="I82" s="22">
        <f>INDEX('Activity data'!I$24:I$39,MATCH(Emissions!$D82,'Activity data'!$D$24:$D$39,0))*INDEX(EF!$H$84:$H$99,MATCH(Emissions!$D82,EF!$D$84:$D$99,0))*INDEX(EF!$H$100:$H$115,MATCH(Emissions!$D82,EF!$D$100:$D$115,0))*INDEX(EF!$H$132:$H$147,MATCH(Emissions!$D82,EF!$D$132:$D$147,0))*kgtoGg</f>
        <v>7.357077670844267E-2</v>
      </c>
      <c r="J82" s="22">
        <f>INDEX('Activity data'!J$24:J$39,MATCH(Emissions!$D82,'Activity data'!$D$24:$D$39,0))*INDEX(EF!$H$84:$H$99,MATCH(Emissions!$D82,EF!$D$84:$D$99,0))*INDEX(EF!$H$100:$H$115,MATCH(Emissions!$D82,EF!$D$100:$D$115,0))*INDEX(EF!$H$132:$H$147,MATCH(Emissions!$D82,EF!$D$132:$D$147,0))*kgtoGg</f>
        <v>7.357077670844267E-2</v>
      </c>
      <c r="K82" s="22">
        <f>INDEX('Activity data'!K$24:K$39,MATCH(Emissions!$D82,'Activity data'!$D$24:$D$39,0))*INDEX(EF!$H$84:$H$99,MATCH(Emissions!$D82,EF!$D$84:$D$99,0))*INDEX(EF!$H$100:$H$115,MATCH(Emissions!$D82,EF!$D$100:$D$115,0))*INDEX(EF!$H$132:$H$147,MATCH(Emissions!$D82,EF!$D$132:$D$147,0))*kgtoGg</f>
        <v>7.357077670844267E-2</v>
      </c>
      <c r="L82" s="22">
        <f>INDEX('Activity data'!L$24:L$39,MATCH(Emissions!$D82,'Activity data'!$D$24:$D$39,0))*INDEX(EF!$H$84:$H$99,MATCH(Emissions!$D82,EF!$D$84:$D$99,0))*INDEX(EF!$H$100:$H$115,MATCH(Emissions!$D82,EF!$D$100:$D$115,0))*INDEX(EF!$H$132:$H$147,MATCH(Emissions!$D82,EF!$D$132:$D$147,0))*kgtoGg</f>
        <v>7.357077670844267E-2</v>
      </c>
      <c r="M82" s="22">
        <f>INDEX('Activity data'!M$24:M$39,MATCH(Emissions!$D82,'Activity data'!$D$24:$D$39,0))*INDEX(EF!$H$84:$H$99,MATCH(Emissions!$D82,EF!$D$84:$D$99,0))*INDEX(EF!$H$100:$H$115,MATCH(Emissions!$D82,EF!$D$100:$D$115,0))*INDEX(EF!$H$132:$H$147,MATCH(Emissions!$D82,EF!$D$132:$D$147,0))*kgtoGg</f>
        <v>7.357077670844267E-2</v>
      </c>
      <c r="N82" s="22">
        <f>INDEX('Activity data'!N$24:N$39,MATCH(Emissions!$D82,'Activity data'!$D$24:$D$39,0))*INDEX(EF!$H$84:$H$99,MATCH(Emissions!$D82,EF!$D$84:$D$99,0))*INDEX(EF!$H$100:$H$115,MATCH(Emissions!$D82,EF!$D$100:$D$115,0))*INDEX(EF!$H$132:$H$147,MATCH(Emissions!$D82,EF!$D$132:$D$147,0))*kgtoGg</f>
        <v>7.357077670844267E-2</v>
      </c>
      <c r="O82" s="22">
        <f>INDEX('Activity data'!O$24:O$39,MATCH(Emissions!$D82,'Activity data'!$D$24:$D$39,0))*INDEX(EF!$H$84:$H$99,MATCH(Emissions!$D82,EF!$D$84:$D$99,0))*INDEX(EF!$H$100:$H$115,MATCH(Emissions!$D82,EF!$D$100:$D$115,0))*INDEX(EF!$H$132:$H$147,MATCH(Emissions!$D82,EF!$D$132:$D$147,0))*kgtoGg</f>
        <v>7.357077670844267E-2</v>
      </c>
      <c r="P82" s="22">
        <f>INDEX('Activity data'!P$24:P$39,MATCH(Emissions!$D82,'Activity data'!$D$24:$D$39,0))*INDEX(EF!$H$84:$H$99,MATCH(Emissions!$D82,EF!$D$84:$D$99,0))*INDEX(EF!$H$100:$H$115,MATCH(Emissions!$D82,EF!$D$100:$D$115,0))*INDEX(EF!$H$132:$H$147,MATCH(Emissions!$D82,EF!$D$132:$D$147,0))*kgtoGg</f>
        <v>7.357077670844267E-2</v>
      </c>
      <c r="Q82" s="22">
        <f>INDEX('Activity data'!Q$24:Q$39,MATCH(Emissions!$D82,'Activity data'!$D$24:$D$39,0))*INDEX(EF!$H$84:$H$99,MATCH(Emissions!$D82,EF!$D$84:$D$99,0))*INDEX(EF!$H$100:$H$115,MATCH(Emissions!$D82,EF!$D$100:$D$115,0))*INDEX(EF!$H$132:$H$147,MATCH(Emissions!$D82,EF!$D$132:$D$147,0))*kgtoGg</f>
        <v>7.357077670844267E-2</v>
      </c>
      <c r="R82" s="22">
        <f>INDEX('Activity data'!R$24:R$39,MATCH(Emissions!$D82,'Activity data'!$D$24:$D$39,0))*INDEX(EF!$H$84:$H$99,MATCH(Emissions!$D82,EF!$D$84:$D$99,0))*INDEX(EF!$H$100:$H$115,MATCH(Emissions!$D82,EF!$D$100:$D$115,0))*INDEX(EF!$H$132:$H$147,MATCH(Emissions!$D82,EF!$D$132:$D$147,0))*kgtoGg</f>
        <v>6.5083674793923713E-2</v>
      </c>
      <c r="S82" s="22">
        <f>INDEX('Activity data'!S$24:S$39,MATCH(Emissions!$D82,'Activity data'!$D$24:$D$39,0))*INDEX(EF!$H$84:$H$99,MATCH(Emissions!$D82,EF!$D$84:$D$99,0))*INDEX(EF!$H$100:$H$115,MATCH(Emissions!$D82,EF!$D$100:$D$115,0))*INDEX(EF!$H$132:$H$147,MATCH(Emissions!$D82,EF!$D$132:$D$147,0))*kgtoGg</f>
        <v>7.8612973491927987E-2</v>
      </c>
      <c r="T82" s="22">
        <f>INDEX('Activity data'!T$24:T$39,MATCH(Emissions!$D82,'Activity data'!$D$24:$D$39,0))*INDEX(EF!$H$84:$H$99,MATCH(Emissions!$D82,EF!$D$84:$D$99,0))*INDEX(EF!$H$100:$H$115,MATCH(Emissions!$D82,EF!$D$100:$D$115,0))*INDEX(EF!$H$132:$H$147,MATCH(Emissions!$D82,EF!$D$132:$D$147,0))*kgtoGg</f>
        <v>8.8983449145904836E-2</v>
      </c>
      <c r="U82" s="22">
        <f>INDEX('Activity data'!U$24:U$39,MATCH(Emissions!$D82,'Activity data'!$D$24:$D$39,0))*INDEX(EF!$H$84:$H$99,MATCH(Emissions!$D82,EF!$D$84:$D$99,0))*INDEX(EF!$H$100:$H$115,MATCH(Emissions!$D82,EF!$D$100:$D$115,0))*INDEX(EF!$H$132:$H$147,MATCH(Emissions!$D82,EF!$D$132:$D$147,0))*kgtoGg</f>
        <v>7.2791997693814531E-2</v>
      </c>
      <c r="V82" s="22">
        <f>INDEX('Activity data'!V$24:V$39,MATCH(Emissions!$D82,'Activity data'!$D$24:$D$39,0))*INDEX(EF!$H$84:$H$99,MATCH(Emissions!$D82,EF!$D$84:$D$99,0))*INDEX(EF!$H$100:$H$115,MATCH(Emissions!$D82,EF!$D$100:$D$115,0))*INDEX(EF!$H$132:$H$147,MATCH(Emissions!$D82,EF!$D$132:$D$147,0))*kgtoGg</f>
        <v>6.2381788416642367E-2</v>
      </c>
      <c r="W82" s="22">
        <f>INDEX('Activity data'!W$24:W$39,MATCH(Emissions!$D82,'Activity data'!$D$24:$D$39,0))*INDEX(EF!$H$84:$H$99,MATCH(Emissions!$D82,EF!$D$84:$D$99,0))*INDEX(EF!$H$100:$H$115,MATCH(Emissions!$D82,EF!$D$100:$D$115,0))*INDEX(EF!$H$132:$H$147,MATCH(Emissions!$D82,EF!$D$132:$D$147,0))*kgtoGg</f>
        <v>9.2301206682713535E-2</v>
      </c>
      <c r="X82" s="22">
        <f>INDEX('Activity data'!X$24:X$39,MATCH(Emissions!$D82,'Activity data'!$D$24:$D$39,0))*INDEX(EF!$H$84:$H$99,MATCH(Emissions!$D82,EF!$D$84:$D$99,0))*INDEX(EF!$H$100:$H$115,MATCH(Emissions!$D82,EF!$D$100:$D$115,0))*INDEX(EF!$H$132:$H$147,MATCH(Emissions!$D82,EF!$D$132:$D$147,0))*kgtoGg</f>
        <v>8.1930731028736672E-2</v>
      </c>
      <c r="Y82" s="22">
        <f>INDEX('Activity data'!Y$24:Y$39,MATCH(Emissions!$D82,'Activity data'!$D$24:$D$39,0))*INDEX(EF!$H$84:$H$99,MATCH(Emissions!$D82,EF!$D$84:$D$99,0))*INDEX(EF!$H$100:$H$115,MATCH(Emissions!$D82,EF!$D$100:$D$115,0))*INDEX(EF!$H$132:$H$147,MATCH(Emissions!$D82,EF!$D$132:$D$147,0))*kgtoGg</f>
        <v>7.2176126534287191E-2</v>
      </c>
      <c r="Z82" s="22">
        <f>INDEX('Activity data'!Z$24:Z$39,MATCH(Emissions!$D82,'Activity data'!$D$24:$D$39,0))*INDEX(EF!$H$84:$H$99,MATCH(Emissions!$D82,EF!$D$84:$D$99,0))*INDEX(EF!$H$100:$H$115,MATCH(Emissions!$D82,EF!$D$100:$D$115,0))*INDEX(EF!$H$132:$H$147,MATCH(Emissions!$D82,EF!$D$132:$D$147,0))*kgtoGg</f>
        <v>6.5818746823036997E-2</v>
      </c>
      <c r="AA82" s="22">
        <f>INDEX('Activity data'!AA$24:AA$39,MATCH(Emissions!$D82,'Activity data'!$D$24:$D$39,0))*INDEX(EF!$H$84:$H$99,MATCH(Emissions!$D82,EF!$D$84:$D$99,0))*INDEX(EF!$H$100:$H$115,MATCH(Emissions!$D82,EF!$D$100:$D$115,0))*INDEX(EF!$H$132:$H$147,MATCH(Emissions!$D82,EF!$D$132:$D$147,0))*kgtoGg</f>
        <v>7.3924405954880992E-2</v>
      </c>
      <c r="AB82" s="22">
        <f>INDEX('Activity data'!AB$24:AB$39,MATCH(Emissions!$D82,'Activity data'!$D$24:$D$39,0))*INDEX(EF!$H$84:$H$99,MATCH(Emissions!$D82,EF!$D$84:$D$99,0))*INDEX(EF!$H$100:$H$115,MATCH(Emissions!$D82,EF!$D$100:$D$115,0))*INDEX(EF!$H$132:$H$147,MATCH(Emissions!$D82,EF!$D$132:$D$147,0))*kgtoGg</f>
        <v>9.8940084389999974E-2</v>
      </c>
      <c r="AC82" s="22">
        <f>INDEX('Activity data'!AC$24:AC$39,MATCH(Emissions!$D82,'Activity data'!$D$24:$D$39,0))*INDEX(EF!$H$84:$H$99,MATCH(Emissions!$D82,EF!$D$84:$D$99,0))*INDEX(EF!$H$100:$H$115,MATCH(Emissions!$D82,EF!$D$100:$D$115,0))*INDEX(EF!$H$132:$H$147,MATCH(Emissions!$D82,EF!$D$132:$D$147,0))*kgtoGg</f>
        <v>0.10685917493999998</v>
      </c>
      <c r="AD82" s="22">
        <f>INDEX('Activity data'!AD$24:AD$39,MATCH(Emissions!$D82,'Activity data'!$D$24:$D$39,0))*INDEX(EF!$H$84:$H$99,MATCH(Emissions!$D82,EF!$D$84:$D$99,0))*INDEX(EF!$H$100:$H$115,MATCH(Emissions!$D82,EF!$D$100:$D$115,0))*INDEX(EF!$H$132:$H$147,MATCH(Emissions!$D82,EF!$D$132:$D$147,0))*kgtoGg</f>
        <v>7.8813449993659371E-2</v>
      </c>
      <c r="AE82" s="22">
        <f>INDEX('Activity data'!AE$24:AE$39,MATCH(Emissions!$D82,'Activity data'!$D$24:$D$39,0))*INDEX(EF!$H$84:$H$99,MATCH(Emissions!$D82,EF!$D$84:$D$99,0))*INDEX(EF!$H$100:$H$115,MATCH(Emissions!$D82,EF!$D$100:$D$115,0))*INDEX(EF!$H$132:$H$147,MATCH(Emissions!$D82,EF!$D$132:$D$147,0))*kgtoGg</f>
        <v>7.8813449993659371E-2</v>
      </c>
      <c r="AF82" s="22">
        <f>INDEX('Activity data'!AF$24:AF$39,MATCH(Emissions!$D82,'Activity data'!$D$24:$D$39,0))*INDEX(EF!$H$84:$H$99,MATCH(Emissions!$D82,EF!$D$84:$D$99,0))*INDEX(EF!$H$100:$H$115,MATCH(Emissions!$D82,EF!$D$100:$D$115,0))*INDEX(EF!$H$132:$H$147,MATCH(Emissions!$D82,EF!$D$132:$D$147,0))*kgtoGg</f>
        <v>7.8813449993659371E-2</v>
      </c>
      <c r="AG82" s="22">
        <f>INDEX('Activity data'!AG$24:AG$39,MATCH(Emissions!$D82,'Activity data'!$D$24:$D$39,0))*INDEX(EF!$H$84:$H$99,MATCH(Emissions!$D82,EF!$D$84:$D$99,0))*INDEX(EF!$H$100:$H$115,MATCH(Emissions!$D82,EF!$D$100:$D$115,0))*INDEX(EF!$H$132:$H$147,MATCH(Emissions!$D82,EF!$D$132:$D$147,0))*kgtoGg</f>
        <v>7.8813449993659371E-2</v>
      </c>
      <c r="AH82" s="22">
        <f>INDEX('Activity data'!AH$24:AH$39,MATCH(Emissions!$D82,'Activity data'!$D$24:$D$39,0))*INDEX(EF!$H$84:$H$99,MATCH(Emissions!$D82,EF!$D$84:$D$99,0))*INDEX(EF!$H$100:$H$115,MATCH(Emissions!$D82,EF!$D$100:$D$115,0))*INDEX(EF!$H$132:$H$147,MATCH(Emissions!$D82,EF!$D$132:$D$147,0))*kgtoGg</f>
        <v>7.8813449993659371E-2</v>
      </c>
      <c r="AI82" s="22">
        <f>INDEX('Activity data'!AI$24:AI$39,MATCH(Emissions!$D82,'Activity data'!$D$24:$D$39,0))*INDEX(EF!$H$84:$H$99,MATCH(Emissions!$D82,EF!$D$84:$D$99,0))*INDEX(EF!$H$100:$H$115,MATCH(Emissions!$D82,EF!$D$100:$D$115,0))*INDEX(EF!$H$132:$H$147,MATCH(Emissions!$D82,EF!$D$132:$D$147,0))*kgtoGg</f>
        <v>7.8813449993659371E-2</v>
      </c>
      <c r="AJ82" s="22">
        <f>INDEX('Activity data'!AJ$24:AJ$39,MATCH(Emissions!$D82,'Activity data'!$D$24:$D$39,0))*INDEX(EF!$H$84:$H$99,MATCH(Emissions!$D82,EF!$D$84:$D$99,0))*INDEX(EF!$H$100:$H$115,MATCH(Emissions!$D82,EF!$D$100:$D$115,0))*INDEX(EF!$H$132:$H$147,MATCH(Emissions!$D82,EF!$D$132:$D$147,0))*kgtoGg</f>
        <v>7.8813449993659371E-2</v>
      </c>
      <c r="AK82" s="22">
        <f>INDEX('Activity data'!AK$24:AK$39,MATCH(Emissions!$D82,'Activity data'!$D$24:$D$39,0))*INDEX(EF!$H$84:$H$99,MATCH(Emissions!$D82,EF!$D$84:$D$99,0))*INDEX(EF!$H$100:$H$115,MATCH(Emissions!$D82,EF!$D$100:$D$115,0))*INDEX(EF!$H$132:$H$147,MATCH(Emissions!$D82,EF!$D$132:$D$147,0))*kgtoGg</f>
        <v>7.8813449993659371E-2</v>
      </c>
      <c r="AL82" s="22">
        <f>INDEX('Activity data'!AL$24:AL$39,MATCH(Emissions!$D82,'Activity data'!$D$24:$D$39,0))*INDEX(EF!$H$84:$H$99,MATCH(Emissions!$D82,EF!$D$84:$D$99,0))*INDEX(EF!$H$100:$H$115,MATCH(Emissions!$D82,EF!$D$100:$D$115,0))*INDEX(EF!$H$132:$H$147,MATCH(Emissions!$D82,EF!$D$132:$D$147,0))*kgtoGg</f>
        <v>7.8813449993659371E-2</v>
      </c>
      <c r="AM82" s="22">
        <f>INDEX('Activity data'!AM$24:AM$39,MATCH(Emissions!$D82,'Activity data'!$D$24:$D$39,0))*INDEX(EF!$H$84:$H$99,MATCH(Emissions!$D82,EF!$D$84:$D$99,0))*INDEX(EF!$H$100:$H$115,MATCH(Emissions!$D82,EF!$D$100:$D$115,0))*INDEX(EF!$H$132:$H$147,MATCH(Emissions!$D82,EF!$D$132:$D$147,0))*kgtoGg</f>
        <v>7.8813449993659371E-2</v>
      </c>
      <c r="AN82" s="22">
        <f>INDEX('Activity data'!AN$24:AN$39,MATCH(Emissions!$D82,'Activity data'!$D$24:$D$39,0))*INDEX(EF!$H$84:$H$99,MATCH(Emissions!$D82,EF!$D$84:$D$99,0))*INDEX(EF!$H$100:$H$115,MATCH(Emissions!$D82,EF!$D$100:$D$115,0))*INDEX(EF!$H$132:$H$147,MATCH(Emissions!$D82,EF!$D$132:$D$147,0))*kgtoGg</f>
        <v>7.8813449993659371E-2</v>
      </c>
      <c r="AO82" s="22">
        <f>INDEX('Activity data'!AO$24:AO$39,MATCH(Emissions!$D82,'Activity data'!$D$24:$D$39,0))*INDEX(EF!$H$84:$H$99,MATCH(Emissions!$D82,EF!$D$84:$D$99,0))*INDEX(EF!$H$100:$H$115,MATCH(Emissions!$D82,EF!$D$100:$D$115,0))*INDEX(EF!$H$132:$H$147,MATCH(Emissions!$D82,EF!$D$132:$D$147,0))*kgtoGg</f>
        <v>7.8813449993659371E-2</v>
      </c>
      <c r="AP82" s="22">
        <f>INDEX('Activity data'!AP$24:AP$39,MATCH(Emissions!$D82,'Activity data'!$D$24:$D$39,0))*INDEX(EF!$H$84:$H$99,MATCH(Emissions!$D82,EF!$D$84:$D$99,0))*INDEX(EF!$H$100:$H$115,MATCH(Emissions!$D82,EF!$D$100:$D$115,0))*INDEX(EF!$H$132:$H$147,MATCH(Emissions!$D82,EF!$D$132:$D$147,0))*kgtoGg</f>
        <v>7.8813449993659371E-2</v>
      </c>
      <c r="AQ82" s="22">
        <f>INDEX('Activity data'!AQ$24:AQ$39,MATCH(Emissions!$D82,'Activity data'!$D$24:$D$39,0))*INDEX(EF!$H$84:$H$99,MATCH(Emissions!$D82,EF!$D$84:$D$99,0))*INDEX(EF!$H$100:$H$115,MATCH(Emissions!$D82,EF!$D$100:$D$115,0))*INDEX(EF!$H$132:$H$147,MATCH(Emissions!$D82,EF!$D$132:$D$147,0))*kgtoGg</f>
        <v>7.8813449993659371E-2</v>
      </c>
      <c r="AR82" s="22">
        <f>INDEX('Activity data'!AR$24:AR$39,MATCH(Emissions!$D82,'Activity data'!$D$24:$D$39,0))*INDEX(EF!$H$84:$H$99,MATCH(Emissions!$D82,EF!$D$84:$D$99,0))*INDEX(EF!$H$100:$H$115,MATCH(Emissions!$D82,EF!$D$100:$D$115,0))*INDEX(EF!$H$132:$H$147,MATCH(Emissions!$D82,EF!$D$132:$D$147,0))*kgtoGg</f>
        <v>7.8813449993659371E-2</v>
      </c>
      <c r="AS82" s="22">
        <f>INDEX('Activity data'!AS$24:AS$39,MATCH(Emissions!$D82,'Activity data'!$D$24:$D$39,0))*INDEX(EF!$H$84:$H$99,MATCH(Emissions!$D82,EF!$D$84:$D$99,0))*INDEX(EF!$H$100:$H$115,MATCH(Emissions!$D82,EF!$D$100:$D$115,0))*INDEX(EF!$H$132:$H$147,MATCH(Emissions!$D82,EF!$D$132:$D$147,0))*kgtoGg</f>
        <v>7.8813449993659371E-2</v>
      </c>
      <c r="AT82" s="22">
        <f>INDEX('Activity data'!AT$24:AT$39,MATCH(Emissions!$D82,'Activity data'!$D$24:$D$39,0))*INDEX(EF!$H$84:$H$99,MATCH(Emissions!$D82,EF!$D$84:$D$99,0))*INDEX(EF!$H$100:$H$115,MATCH(Emissions!$D82,EF!$D$100:$D$115,0))*INDEX(EF!$H$132:$H$147,MATCH(Emissions!$D82,EF!$D$132:$D$147,0))*kgtoGg</f>
        <v>7.8813449993659371E-2</v>
      </c>
      <c r="AU82" s="22">
        <f>INDEX('Activity data'!AU$24:AU$39,MATCH(Emissions!$D82,'Activity data'!$D$24:$D$39,0))*INDEX(EF!$H$84:$H$99,MATCH(Emissions!$D82,EF!$D$84:$D$99,0))*INDEX(EF!$H$100:$H$115,MATCH(Emissions!$D82,EF!$D$100:$D$115,0))*INDEX(EF!$H$132:$H$147,MATCH(Emissions!$D82,EF!$D$132:$D$147,0))*kgtoGg</f>
        <v>7.8813449993659371E-2</v>
      </c>
      <c r="AV82" s="22">
        <f>INDEX('Activity data'!AV$24:AV$39,MATCH(Emissions!$D82,'Activity data'!$D$24:$D$39,0))*INDEX(EF!$H$84:$H$99,MATCH(Emissions!$D82,EF!$D$84:$D$99,0))*INDEX(EF!$H$100:$H$115,MATCH(Emissions!$D82,EF!$D$100:$D$115,0))*INDEX(EF!$H$132:$H$147,MATCH(Emissions!$D82,EF!$D$132:$D$147,0))*kgtoGg</f>
        <v>7.8813449993659371E-2</v>
      </c>
      <c r="AW82" s="22">
        <f>INDEX('Activity data'!AW$24:AW$39,MATCH(Emissions!$D82,'Activity data'!$D$24:$D$39,0))*INDEX(EF!$H$84:$H$99,MATCH(Emissions!$D82,EF!$D$84:$D$99,0))*INDEX(EF!$H$100:$H$115,MATCH(Emissions!$D82,EF!$D$100:$D$115,0))*INDEX(EF!$H$132:$H$147,MATCH(Emissions!$D82,EF!$D$132:$D$147,0))*kgtoGg</f>
        <v>7.8813449993659371E-2</v>
      </c>
      <c r="AX82" s="22">
        <f>INDEX('Activity data'!AX$24:AX$39,MATCH(Emissions!$D82,'Activity data'!$D$24:$D$39,0))*INDEX(EF!$H$84:$H$99,MATCH(Emissions!$D82,EF!$D$84:$D$99,0))*INDEX(EF!$H$100:$H$115,MATCH(Emissions!$D82,EF!$D$100:$D$115,0))*INDEX(EF!$H$132:$H$147,MATCH(Emissions!$D82,EF!$D$132:$D$147,0))*kgtoGg</f>
        <v>7.8813449993659371E-2</v>
      </c>
      <c r="AY82" s="22">
        <f>INDEX('Activity data'!AY$24:AY$39,MATCH(Emissions!$D82,'Activity data'!$D$24:$D$39,0))*INDEX(EF!$H$84:$H$99,MATCH(Emissions!$D82,EF!$D$84:$D$99,0))*INDEX(EF!$H$100:$H$115,MATCH(Emissions!$D82,EF!$D$100:$D$115,0))*INDEX(EF!$H$132:$H$147,MATCH(Emissions!$D82,EF!$D$132:$D$147,0))*kgtoGg</f>
        <v>7.8813449993659371E-2</v>
      </c>
      <c r="AZ82" s="22">
        <f>INDEX('Activity data'!AZ$24:AZ$39,MATCH(Emissions!$D82,'Activity data'!$D$24:$D$39,0))*INDEX(EF!$H$84:$H$99,MATCH(Emissions!$D82,EF!$D$84:$D$99,0))*INDEX(EF!$H$100:$H$115,MATCH(Emissions!$D82,EF!$D$100:$D$115,0))*INDEX(EF!$H$132:$H$147,MATCH(Emissions!$D82,EF!$D$132:$D$147,0))*kgtoGg</f>
        <v>7.8813449993659371E-2</v>
      </c>
      <c r="BA82" s="22">
        <f>INDEX('Activity data'!BA$24:BA$39,MATCH(Emissions!$D82,'Activity data'!$D$24:$D$39,0))*INDEX(EF!$H$84:$H$99,MATCH(Emissions!$D82,EF!$D$84:$D$99,0))*INDEX(EF!$H$100:$H$115,MATCH(Emissions!$D82,EF!$D$100:$D$115,0))*INDEX(EF!$H$132:$H$147,MATCH(Emissions!$D82,EF!$D$132:$D$147,0))*kgtoGg</f>
        <v>7.8813449993659371E-2</v>
      </c>
      <c r="BB82" s="22">
        <f>INDEX('Activity data'!BB$24:BB$39,MATCH(Emissions!$D82,'Activity data'!$D$24:$D$39,0))*INDEX(EF!$H$84:$H$99,MATCH(Emissions!$D82,EF!$D$84:$D$99,0))*INDEX(EF!$H$100:$H$115,MATCH(Emissions!$D82,EF!$D$100:$D$115,0))*INDEX(EF!$H$132:$H$147,MATCH(Emissions!$D82,EF!$D$132:$D$147,0))*kgtoGg</f>
        <v>7.8813449993659371E-2</v>
      </c>
      <c r="BC82" s="22">
        <f>INDEX('Activity data'!BC$24:BC$39,MATCH(Emissions!$D82,'Activity data'!$D$24:$D$39,0))*INDEX(EF!$H$84:$H$99,MATCH(Emissions!$D82,EF!$D$84:$D$99,0))*INDEX(EF!$H$100:$H$115,MATCH(Emissions!$D82,EF!$D$100:$D$115,0))*INDEX(EF!$H$132:$H$147,MATCH(Emissions!$D82,EF!$D$132:$D$147,0))*kgtoGg</f>
        <v>7.8813449993659371E-2</v>
      </c>
      <c r="BD82" s="22">
        <f>INDEX('Activity data'!BD$24:BD$39,MATCH(Emissions!$D82,'Activity data'!$D$24:$D$39,0))*INDEX(EF!$H$84:$H$99,MATCH(Emissions!$D82,EF!$D$84:$D$99,0))*INDEX(EF!$H$100:$H$115,MATCH(Emissions!$D82,EF!$D$100:$D$115,0))*INDEX(EF!$H$132:$H$147,MATCH(Emissions!$D82,EF!$D$132:$D$147,0))*kgtoGg</f>
        <v>7.8813449993659371E-2</v>
      </c>
      <c r="BE82" s="22">
        <f>INDEX('Activity data'!BE$24:BE$39,MATCH(Emissions!$D82,'Activity data'!$D$24:$D$39,0))*INDEX(EF!$H$84:$H$99,MATCH(Emissions!$D82,EF!$D$84:$D$99,0))*INDEX(EF!$H$100:$H$115,MATCH(Emissions!$D82,EF!$D$100:$D$115,0))*INDEX(EF!$H$132:$H$147,MATCH(Emissions!$D82,EF!$D$132:$D$147,0))*kgtoGg</f>
        <v>7.8813449993659371E-2</v>
      </c>
      <c r="BF82" s="22">
        <f>INDEX('Activity data'!BF$24:BF$39,MATCH(Emissions!$D82,'Activity data'!$D$24:$D$39,0))*INDEX(EF!$H$84:$H$99,MATCH(Emissions!$D82,EF!$D$84:$D$99,0))*INDEX(EF!$H$100:$H$115,MATCH(Emissions!$D82,EF!$D$100:$D$115,0))*INDEX(EF!$H$132:$H$147,MATCH(Emissions!$D82,EF!$D$132:$D$147,0))*kgtoGg</f>
        <v>7.8813449993659371E-2</v>
      </c>
      <c r="BG82" s="22">
        <f>INDEX('Activity data'!BG$24:BG$39,MATCH(Emissions!$D82,'Activity data'!$D$24:$D$39,0))*INDEX(EF!$H$84:$H$99,MATCH(Emissions!$D82,EF!$D$84:$D$99,0))*INDEX(EF!$H$100:$H$115,MATCH(Emissions!$D82,EF!$D$100:$D$115,0))*INDEX(EF!$H$132:$H$147,MATCH(Emissions!$D82,EF!$D$132:$D$147,0))*kgtoGg</f>
        <v>7.8813449993659371E-2</v>
      </c>
      <c r="BH82" s="22">
        <f>INDEX('Activity data'!BH$24:BH$39,MATCH(Emissions!$D82,'Activity data'!$D$24:$D$39,0))*INDEX(EF!$H$84:$H$99,MATCH(Emissions!$D82,EF!$D$84:$D$99,0))*INDEX(EF!$H$100:$H$115,MATCH(Emissions!$D82,EF!$D$100:$D$115,0))*INDEX(EF!$H$132:$H$147,MATCH(Emissions!$D82,EF!$D$132:$D$147,0))*kgtoGg</f>
        <v>7.8813449993659371E-2</v>
      </c>
      <c r="BI82" s="22">
        <f>INDEX('Activity data'!BI$24:BI$39,MATCH(Emissions!$D82,'Activity data'!$D$24:$D$39,0))*INDEX(EF!$H$84:$H$99,MATCH(Emissions!$D82,EF!$D$84:$D$99,0))*INDEX(EF!$H$100:$H$115,MATCH(Emissions!$D82,EF!$D$100:$D$115,0))*INDEX(EF!$H$132:$H$147,MATCH(Emissions!$D82,EF!$D$132:$D$147,0))*kgtoGg</f>
        <v>7.8813449993659371E-2</v>
      </c>
      <c r="BJ82" s="22">
        <f>INDEX('Activity data'!BJ$24:BJ$39,MATCH(Emissions!$D82,'Activity data'!$D$24:$D$39,0))*INDEX(EF!$H$84:$H$99,MATCH(Emissions!$D82,EF!$D$84:$D$99,0))*INDEX(EF!$H$100:$H$115,MATCH(Emissions!$D82,EF!$D$100:$D$115,0))*INDEX(EF!$H$132:$H$147,MATCH(Emissions!$D82,EF!$D$132:$D$147,0))*kgtoGg</f>
        <v>7.8813449993659371E-2</v>
      </c>
      <c r="BK82" s="22">
        <f>INDEX('Activity data'!BK$24:BK$39,MATCH(Emissions!$D82,'Activity data'!$D$24:$D$39,0))*INDEX(EF!$H$84:$H$99,MATCH(Emissions!$D82,EF!$D$84:$D$99,0))*INDEX(EF!$H$100:$H$115,MATCH(Emissions!$D82,EF!$D$100:$D$115,0))*INDEX(EF!$H$132:$H$147,MATCH(Emissions!$D82,EF!$D$132:$D$147,0))*kgtoGg</f>
        <v>7.8813449993659371E-2</v>
      </c>
      <c r="BL82" s="22">
        <f>INDEX('Activity data'!BL$24:BL$39,MATCH(Emissions!$D82,'Activity data'!$D$24:$D$39,0))*INDEX(EF!$H$84:$H$99,MATCH(Emissions!$D82,EF!$D$84:$D$99,0))*INDEX(EF!$H$100:$H$115,MATCH(Emissions!$D82,EF!$D$100:$D$115,0))*INDEX(EF!$H$132:$H$147,MATCH(Emissions!$D82,EF!$D$132:$D$147,0))*kgtoGg</f>
        <v>7.8813449993659371E-2</v>
      </c>
      <c r="BM82" s="22">
        <f>INDEX('Activity data'!BM$24:BM$39,MATCH(Emissions!$D82,'Activity data'!$D$24:$D$39,0))*INDEX(EF!$H$84:$H$99,MATCH(Emissions!$D82,EF!$D$84:$D$99,0))*INDEX(EF!$H$100:$H$115,MATCH(Emissions!$D82,EF!$D$100:$D$115,0))*INDEX(EF!$H$132:$H$147,MATCH(Emissions!$D82,EF!$D$132:$D$147,0))*kgtoGg</f>
        <v>7.8813449993659371E-2</v>
      </c>
      <c r="BN82" s="22">
        <f>INDEX('Activity data'!BN$24:BN$39,MATCH(Emissions!$D82,'Activity data'!$D$24:$D$39,0))*INDEX(EF!$H$84:$H$99,MATCH(Emissions!$D82,EF!$D$84:$D$99,0))*INDEX(EF!$H$100:$H$115,MATCH(Emissions!$D82,EF!$D$100:$D$115,0))*INDEX(EF!$H$132:$H$147,MATCH(Emissions!$D82,EF!$D$132:$D$147,0))*kgtoGg</f>
        <v>7.8813449993659371E-2</v>
      </c>
      <c r="BO82" s="22">
        <f>INDEX('Activity data'!BO$24:BO$39,MATCH(Emissions!$D82,'Activity data'!$D$24:$D$39,0))*INDEX(EF!$H$84:$H$99,MATCH(Emissions!$D82,EF!$D$84:$D$99,0))*INDEX(EF!$H$100:$H$115,MATCH(Emissions!$D82,EF!$D$100:$D$115,0))*INDEX(EF!$H$132:$H$147,MATCH(Emissions!$D82,EF!$D$132:$D$147,0))*kgtoGg</f>
        <v>7.8813449993659371E-2</v>
      </c>
      <c r="BP82" s="22">
        <f>INDEX('Activity data'!BP$24:BP$39,MATCH(Emissions!$D82,'Activity data'!$D$24:$D$39,0))*INDEX(EF!$H$84:$H$99,MATCH(Emissions!$D82,EF!$D$84:$D$99,0))*INDEX(EF!$H$100:$H$115,MATCH(Emissions!$D82,EF!$D$100:$D$115,0))*INDEX(EF!$H$132:$H$147,MATCH(Emissions!$D82,EF!$D$132:$D$147,0))*kgtoGg</f>
        <v>7.8813449993659371E-2</v>
      </c>
    </row>
    <row r="83" spans="1:68" x14ac:dyDescent="0.25">
      <c r="A83" t="str">
        <f t="shared" si="19"/>
        <v>3C Aggregated and non-CO2 emissions on land</v>
      </c>
      <c r="B83" t="str">
        <f t="shared" si="26"/>
        <v>3C1 Biomass burning (N2O)</v>
      </c>
      <c r="C83" t="str">
        <f t="shared" si="25"/>
        <v>3C1e Biomass burning in Settlements</v>
      </c>
      <c r="D83" t="str">
        <f>EF!D113</f>
        <v>Settlements</v>
      </c>
      <c r="E83" t="s">
        <v>653</v>
      </c>
      <c r="F83" t="str">
        <f t="shared" si="27"/>
        <v>N2O</v>
      </c>
      <c r="G83" t="str">
        <f t="shared" si="28"/>
        <v>Gg N2O</v>
      </c>
      <c r="H83" s="22">
        <f>INDEX('Activity data'!H$24:H$39,MATCH(Emissions!$D83,'Activity data'!$D$24:$D$39,0))*INDEX(EF!$H$84:$H$99,MATCH(Emissions!$D83,EF!$D$84:$D$99,0))*INDEX(EF!$H$100:$H$115,MATCH(Emissions!$D83,EF!$D$100:$D$115,0))*INDEX(EF!$H$132:$H$147,MATCH(Emissions!$D83,EF!$D$132:$D$147,0))*kgtoGg</f>
        <v>4.462880557297625E-2</v>
      </c>
      <c r="I83" s="22">
        <f>INDEX('Activity data'!I$24:I$39,MATCH(Emissions!$D83,'Activity data'!$D$24:$D$39,0))*INDEX(EF!$H$84:$H$99,MATCH(Emissions!$D83,EF!$D$84:$D$99,0))*INDEX(EF!$H$100:$H$115,MATCH(Emissions!$D83,EF!$D$100:$D$115,0))*INDEX(EF!$H$132:$H$147,MATCH(Emissions!$D83,EF!$D$132:$D$147,0))*kgtoGg</f>
        <v>4.462880557297625E-2</v>
      </c>
      <c r="J83" s="22">
        <f>INDEX('Activity data'!J$24:J$39,MATCH(Emissions!$D83,'Activity data'!$D$24:$D$39,0))*INDEX(EF!$H$84:$H$99,MATCH(Emissions!$D83,EF!$D$84:$D$99,0))*INDEX(EF!$H$100:$H$115,MATCH(Emissions!$D83,EF!$D$100:$D$115,0))*INDEX(EF!$H$132:$H$147,MATCH(Emissions!$D83,EF!$D$132:$D$147,0))*kgtoGg</f>
        <v>4.462880557297625E-2</v>
      </c>
      <c r="K83" s="22">
        <f>INDEX('Activity data'!K$24:K$39,MATCH(Emissions!$D83,'Activity data'!$D$24:$D$39,0))*INDEX(EF!$H$84:$H$99,MATCH(Emissions!$D83,EF!$D$84:$D$99,0))*INDEX(EF!$H$100:$H$115,MATCH(Emissions!$D83,EF!$D$100:$D$115,0))*INDEX(EF!$H$132:$H$147,MATCH(Emissions!$D83,EF!$D$132:$D$147,0))*kgtoGg</f>
        <v>4.462880557297625E-2</v>
      </c>
      <c r="L83" s="22">
        <f>INDEX('Activity data'!L$24:L$39,MATCH(Emissions!$D83,'Activity data'!$D$24:$D$39,0))*INDEX(EF!$H$84:$H$99,MATCH(Emissions!$D83,EF!$D$84:$D$99,0))*INDEX(EF!$H$100:$H$115,MATCH(Emissions!$D83,EF!$D$100:$D$115,0))*INDEX(EF!$H$132:$H$147,MATCH(Emissions!$D83,EF!$D$132:$D$147,0))*kgtoGg</f>
        <v>4.462880557297625E-2</v>
      </c>
      <c r="M83" s="22">
        <f>INDEX('Activity data'!M$24:M$39,MATCH(Emissions!$D83,'Activity data'!$D$24:$D$39,0))*INDEX(EF!$H$84:$H$99,MATCH(Emissions!$D83,EF!$D$84:$D$99,0))*INDEX(EF!$H$100:$H$115,MATCH(Emissions!$D83,EF!$D$100:$D$115,0))*INDEX(EF!$H$132:$H$147,MATCH(Emissions!$D83,EF!$D$132:$D$147,0))*kgtoGg</f>
        <v>4.462880557297625E-2</v>
      </c>
      <c r="N83" s="22">
        <f>INDEX('Activity data'!N$24:N$39,MATCH(Emissions!$D83,'Activity data'!$D$24:$D$39,0))*INDEX(EF!$H$84:$H$99,MATCH(Emissions!$D83,EF!$D$84:$D$99,0))*INDEX(EF!$H$100:$H$115,MATCH(Emissions!$D83,EF!$D$100:$D$115,0))*INDEX(EF!$H$132:$H$147,MATCH(Emissions!$D83,EF!$D$132:$D$147,0))*kgtoGg</f>
        <v>4.462880557297625E-2</v>
      </c>
      <c r="O83" s="22">
        <f>INDEX('Activity data'!O$24:O$39,MATCH(Emissions!$D83,'Activity data'!$D$24:$D$39,0))*INDEX(EF!$H$84:$H$99,MATCH(Emissions!$D83,EF!$D$84:$D$99,0))*INDEX(EF!$H$100:$H$115,MATCH(Emissions!$D83,EF!$D$100:$D$115,0))*INDEX(EF!$H$132:$H$147,MATCH(Emissions!$D83,EF!$D$132:$D$147,0))*kgtoGg</f>
        <v>4.462880557297625E-2</v>
      </c>
      <c r="P83" s="22">
        <f>INDEX('Activity data'!P$24:P$39,MATCH(Emissions!$D83,'Activity data'!$D$24:$D$39,0))*INDEX(EF!$H$84:$H$99,MATCH(Emissions!$D83,EF!$D$84:$D$99,0))*INDEX(EF!$H$100:$H$115,MATCH(Emissions!$D83,EF!$D$100:$D$115,0))*INDEX(EF!$H$132:$H$147,MATCH(Emissions!$D83,EF!$D$132:$D$147,0))*kgtoGg</f>
        <v>4.462880557297625E-2</v>
      </c>
      <c r="Q83" s="22">
        <f>INDEX('Activity data'!Q$24:Q$39,MATCH(Emissions!$D83,'Activity data'!$D$24:$D$39,0))*INDEX(EF!$H$84:$H$99,MATCH(Emissions!$D83,EF!$D$84:$D$99,0))*INDEX(EF!$H$100:$H$115,MATCH(Emissions!$D83,EF!$D$100:$D$115,0))*INDEX(EF!$H$132:$H$147,MATCH(Emissions!$D83,EF!$D$132:$D$147,0))*kgtoGg</f>
        <v>4.462880557297625E-2</v>
      </c>
      <c r="R83" s="22">
        <f>INDEX('Activity data'!R$24:R$39,MATCH(Emissions!$D83,'Activity data'!$D$24:$D$39,0))*INDEX(EF!$H$84:$H$99,MATCH(Emissions!$D83,EF!$D$84:$D$99,0))*INDEX(EF!$H$100:$H$115,MATCH(Emissions!$D83,EF!$D$100:$D$115,0))*INDEX(EF!$H$132:$H$147,MATCH(Emissions!$D83,EF!$D$132:$D$147,0))*kgtoGg</f>
        <v>4.8614087979466203E-2</v>
      </c>
      <c r="S83" s="22">
        <f>INDEX('Activity data'!S$24:S$39,MATCH(Emissions!$D83,'Activity data'!$D$24:$D$39,0))*INDEX(EF!$H$84:$H$99,MATCH(Emissions!$D83,EF!$D$84:$D$99,0))*INDEX(EF!$H$100:$H$115,MATCH(Emissions!$D83,EF!$D$100:$D$115,0))*INDEX(EF!$H$132:$H$147,MATCH(Emissions!$D83,EF!$D$132:$D$147,0))*kgtoGg</f>
        <v>5.3839059429649942E-2</v>
      </c>
      <c r="T83" s="22">
        <f>INDEX('Activity data'!T$24:T$39,MATCH(Emissions!$D83,'Activity data'!$D$24:$D$39,0))*INDEX(EF!$H$84:$H$99,MATCH(Emissions!$D83,EF!$D$84:$D$99,0))*INDEX(EF!$H$100:$H$115,MATCH(Emissions!$D83,EF!$D$100:$D$115,0))*INDEX(EF!$H$132:$H$147,MATCH(Emissions!$D83,EF!$D$132:$D$147,0))*kgtoGg</f>
        <v>4.76008805879857E-2</v>
      </c>
      <c r="U83" s="22">
        <f>INDEX('Activity data'!U$24:U$39,MATCH(Emissions!$D83,'Activity data'!$D$24:$D$39,0))*INDEX(EF!$H$84:$H$99,MATCH(Emissions!$D83,EF!$D$84:$D$99,0))*INDEX(EF!$H$100:$H$115,MATCH(Emissions!$D83,EF!$D$100:$D$115,0))*INDEX(EF!$H$132:$H$147,MATCH(Emissions!$D83,EF!$D$132:$D$147,0))*kgtoGg</f>
        <v>4.1064699572356617E-2</v>
      </c>
      <c r="V83" s="22">
        <f>INDEX('Activity data'!V$24:V$39,MATCH(Emissions!$D83,'Activity data'!$D$24:$D$39,0))*INDEX(EF!$H$84:$H$99,MATCH(Emissions!$D83,EF!$D$84:$D$99,0))*INDEX(EF!$H$100:$H$115,MATCH(Emissions!$D83,EF!$D$100:$D$115,0))*INDEX(EF!$H$132:$H$147,MATCH(Emissions!$D83,EF!$D$132:$D$147,0))*kgtoGg</f>
        <v>3.2025300295422769E-2</v>
      </c>
      <c r="W83" s="22">
        <f>INDEX('Activity data'!W$24:W$39,MATCH(Emissions!$D83,'Activity data'!$D$24:$D$39,0))*INDEX(EF!$H$84:$H$99,MATCH(Emissions!$D83,EF!$D$84:$D$99,0))*INDEX(EF!$H$100:$H$115,MATCH(Emissions!$D83,EF!$D$100:$D$115,0))*INDEX(EF!$H$132:$H$147,MATCH(Emissions!$D83,EF!$D$132:$D$147,0))*kgtoGg</f>
        <v>7.2513862331447368E-2</v>
      </c>
      <c r="X83" s="22">
        <f>INDEX('Activity data'!X$24:X$39,MATCH(Emissions!$D83,'Activity data'!$D$24:$D$39,0))*INDEX(EF!$H$84:$H$99,MATCH(Emissions!$D83,EF!$D$84:$D$99,0))*INDEX(EF!$H$100:$H$115,MATCH(Emissions!$D83,EF!$D$100:$D$115,0))*INDEX(EF!$H$132:$H$147,MATCH(Emissions!$D83,EF!$D$132:$D$147,0))*kgtoGg</f>
        <v>6.3514196677708815E-2</v>
      </c>
      <c r="Y83" s="22">
        <f>INDEX('Activity data'!Y$24:Y$39,MATCH(Emissions!$D83,'Activity data'!$D$24:$D$39,0))*INDEX(EF!$H$84:$H$99,MATCH(Emissions!$D83,EF!$D$84:$D$99,0))*INDEX(EF!$H$100:$H$115,MATCH(Emissions!$D83,EF!$D$100:$D$115,0))*INDEX(EF!$H$132:$H$147,MATCH(Emissions!$D83,EF!$D$132:$D$147,0))*kgtoGg</f>
        <v>7.0249045809314473E-2</v>
      </c>
      <c r="Z83" s="22">
        <f>INDEX('Activity data'!Z$24:Z$39,MATCH(Emissions!$D83,'Activity data'!$D$24:$D$39,0))*INDEX(EF!$H$84:$H$99,MATCH(Emissions!$D83,EF!$D$84:$D$99,0))*INDEX(EF!$H$100:$H$115,MATCH(Emissions!$D83,EF!$D$100:$D$115,0))*INDEX(EF!$H$132:$H$147,MATCH(Emissions!$D83,EF!$D$132:$D$147,0))*kgtoGg</f>
        <v>4.3369249717684813E-2</v>
      </c>
      <c r="AA83" s="22">
        <f>INDEX('Activity data'!AA$24:AA$39,MATCH(Emissions!$D83,'Activity data'!$D$24:$D$39,0))*INDEX(EF!$H$84:$H$99,MATCH(Emissions!$D83,EF!$D$84:$D$99,0))*INDEX(EF!$H$100:$H$115,MATCH(Emissions!$D83,EF!$D$100:$D$115,0))*INDEX(EF!$H$132:$H$147,MATCH(Emissions!$D83,EF!$D$132:$D$147,0))*kgtoGg</f>
        <v>5.2190114067044435E-2</v>
      </c>
      <c r="AB83" s="22">
        <f>INDEX('Activity data'!AB$24:AB$39,MATCH(Emissions!$D83,'Activity data'!$D$24:$D$39,0))*INDEX(EF!$H$84:$H$99,MATCH(Emissions!$D83,EF!$D$84:$D$99,0))*INDEX(EF!$H$100:$H$115,MATCH(Emissions!$D83,EF!$D$100:$D$115,0))*INDEX(EF!$H$132:$H$147,MATCH(Emissions!$D83,EF!$D$132:$D$147,0))*kgtoGg</f>
        <v>3.9028768379999995E-2</v>
      </c>
      <c r="AC83" s="22">
        <f>INDEX('Activity data'!AC$24:AC$39,MATCH(Emissions!$D83,'Activity data'!$D$24:$D$39,0))*INDEX(EF!$H$84:$H$99,MATCH(Emissions!$D83,EF!$D$84:$D$99,0))*INDEX(EF!$H$100:$H$115,MATCH(Emissions!$D83,EF!$D$100:$D$115,0))*INDEX(EF!$H$132:$H$147,MATCH(Emissions!$D83,EF!$D$132:$D$147,0))*kgtoGg</f>
        <v>2.72036394E-2</v>
      </c>
      <c r="AD83" s="22">
        <f>INDEX('Activity data'!AD$24:AD$39,MATCH(Emissions!$D83,'Activity data'!$D$24:$D$39,0))*INDEX(EF!$H$84:$H$99,MATCH(Emissions!$D83,EF!$D$84:$D$99,0))*INDEX(EF!$H$100:$H$115,MATCH(Emissions!$D83,EF!$D$100:$D$115,0))*INDEX(EF!$H$132:$H$147,MATCH(Emissions!$D83,EF!$D$132:$D$147,0))*kgtoGg</f>
        <v>3.9235523819963862E-2</v>
      </c>
      <c r="AE83" s="22">
        <f>INDEX('Activity data'!AE$24:AE$39,MATCH(Emissions!$D83,'Activity data'!$D$24:$D$39,0))*INDEX(EF!$H$84:$H$99,MATCH(Emissions!$D83,EF!$D$84:$D$99,0))*INDEX(EF!$H$100:$H$115,MATCH(Emissions!$D83,EF!$D$100:$D$115,0))*INDEX(EF!$H$132:$H$147,MATCH(Emissions!$D83,EF!$D$132:$D$147,0))*kgtoGg</f>
        <v>3.9318445103539788E-2</v>
      </c>
      <c r="AF83" s="22">
        <f>INDEX('Activity data'!AF$24:AF$39,MATCH(Emissions!$D83,'Activity data'!$D$24:$D$39,0))*INDEX(EF!$H$84:$H$99,MATCH(Emissions!$D83,EF!$D$84:$D$99,0))*INDEX(EF!$H$100:$H$115,MATCH(Emissions!$D83,EF!$D$100:$D$115,0))*INDEX(EF!$H$132:$H$147,MATCH(Emissions!$D83,EF!$D$132:$D$147,0))*kgtoGg</f>
        <v>3.9401366387115715E-2</v>
      </c>
      <c r="AG83" s="22">
        <f>INDEX('Activity data'!AG$24:AG$39,MATCH(Emissions!$D83,'Activity data'!$D$24:$D$39,0))*INDEX(EF!$H$84:$H$99,MATCH(Emissions!$D83,EF!$D$84:$D$99,0))*INDEX(EF!$H$100:$H$115,MATCH(Emissions!$D83,EF!$D$100:$D$115,0))*INDEX(EF!$H$132:$H$147,MATCH(Emissions!$D83,EF!$D$132:$D$147,0))*kgtoGg</f>
        <v>3.9484287670691648E-2</v>
      </c>
      <c r="AH83" s="22">
        <f>INDEX('Activity data'!AH$24:AH$39,MATCH(Emissions!$D83,'Activity data'!$D$24:$D$39,0))*INDEX(EF!$H$84:$H$99,MATCH(Emissions!$D83,EF!$D$84:$D$99,0))*INDEX(EF!$H$100:$H$115,MATCH(Emissions!$D83,EF!$D$100:$D$115,0))*INDEX(EF!$H$132:$H$147,MATCH(Emissions!$D83,EF!$D$132:$D$147,0))*kgtoGg</f>
        <v>3.9567208954267574E-2</v>
      </c>
      <c r="AI83" s="22">
        <f>INDEX('Activity data'!AI$24:AI$39,MATCH(Emissions!$D83,'Activity data'!$D$24:$D$39,0))*INDEX(EF!$H$84:$H$99,MATCH(Emissions!$D83,EF!$D$84:$D$99,0))*INDEX(EF!$H$100:$H$115,MATCH(Emissions!$D83,EF!$D$100:$D$115,0))*INDEX(EF!$H$132:$H$147,MATCH(Emissions!$D83,EF!$D$132:$D$147,0))*kgtoGg</f>
        <v>3.9650130237843507E-2</v>
      </c>
      <c r="AJ83" s="22">
        <f>INDEX('Activity data'!AJ$24:AJ$39,MATCH(Emissions!$D83,'Activity data'!$D$24:$D$39,0))*INDEX(EF!$H$84:$H$99,MATCH(Emissions!$D83,EF!$D$84:$D$99,0))*INDEX(EF!$H$100:$H$115,MATCH(Emissions!$D83,EF!$D$100:$D$115,0))*INDEX(EF!$H$132:$H$147,MATCH(Emissions!$D83,EF!$D$132:$D$147,0))*kgtoGg</f>
        <v>3.9733051521419427E-2</v>
      </c>
      <c r="AK83" s="22">
        <f>INDEX('Activity data'!AK$24:AK$39,MATCH(Emissions!$D83,'Activity data'!$D$24:$D$39,0))*INDEX(EF!$H$84:$H$99,MATCH(Emissions!$D83,EF!$D$84:$D$99,0))*INDEX(EF!$H$100:$H$115,MATCH(Emissions!$D83,EF!$D$100:$D$115,0))*INDEX(EF!$H$132:$H$147,MATCH(Emissions!$D83,EF!$D$132:$D$147,0))*kgtoGg</f>
        <v>3.981597280499536E-2</v>
      </c>
      <c r="AL83" s="22">
        <f>INDEX('Activity data'!AL$24:AL$39,MATCH(Emissions!$D83,'Activity data'!$D$24:$D$39,0))*INDEX(EF!$H$84:$H$99,MATCH(Emissions!$D83,EF!$D$84:$D$99,0))*INDEX(EF!$H$100:$H$115,MATCH(Emissions!$D83,EF!$D$100:$D$115,0))*INDEX(EF!$H$132:$H$147,MATCH(Emissions!$D83,EF!$D$132:$D$147,0))*kgtoGg</f>
        <v>3.9898894088571286E-2</v>
      </c>
      <c r="AM83" s="22">
        <f>INDEX('Activity data'!AM$24:AM$39,MATCH(Emissions!$D83,'Activity data'!$D$24:$D$39,0))*INDEX(EF!$H$84:$H$99,MATCH(Emissions!$D83,EF!$D$84:$D$99,0))*INDEX(EF!$H$100:$H$115,MATCH(Emissions!$D83,EF!$D$100:$D$115,0))*INDEX(EF!$H$132:$H$147,MATCH(Emissions!$D83,EF!$D$132:$D$147,0))*kgtoGg</f>
        <v>3.9981815372147227E-2</v>
      </c>
      <c r="AN83" s="22">
        <f>INDEX('Activity data'!AN$24:AN$39,MATCH(Emissions!$D83,'Activity data'!$D$24:$D$39,0))*INDEX(EF!$H$84:$H$99,MATCH(Emissions!$D83,EF!$D$84:$D$99,0))*INDEX(EF!$H$100:$H$115,MATCH(Emissions!$D83,EF!$D$100:$D$115,0))*INDEX(EF!$H$132:$H$147,MATCH(Emissions!$D83,EF!$D$132:$D$147,0))*kgtoGg</f>
        <v>4.0064736655723153E-2</v>
      </c>
      <c r="AO83" s="22">
        <f>INDEX('Activity data'!AO$24:AO$39,MATCH(Emissions!$D83,'Activity data'!$D$24:$D$39,0))*INDEX(EF!$H$84:$H$99,MATCH(Emissions!$D83,EF!$D$84:$D$99,0))*INDEX(EF!$H$100:$H$115,MATCH(Emissions!$D83,EF!$D$100:$D$115,0))*INDEX(EF!$H$132:$H$147,MATCH(Emissions!$D83,EF!$D$132:$D$147,0))*kgtoGg</f>
        <v>4.0147657939299079E-2</v>
      </c>
      <c r="AP83" s="22">
        <f>INDEX('Activity data'!AP$24:AP$39,MATCH(Emissions!$D83,'Activity data'!$D$24:$D$39,0))*INDEX(EF!$H$84:$H$99,MATCH(Emissions!$D83,EF!$D$84:$D$99,0))*INDEX(EF!$H$100:$H$115,MATCH(Emissions!$D83,EF!$D$100:$D$115,0))*INDEX(EF!$H$132:$H$147,MATCH(Emissions!$D83,EF!$D$132:$D$147,0))*kgtoGg</f>
        <v>4.0230579222875013E-2</v>
      </c>
      <c r="AQ83" s="22">
        <f>INDEX('Activity data'!AQ$24:AQ$39,MATCH(Emissions!$D83,'Activity data'!$D$24:$D$39,0))*INDEX(EF!$H$84:$H$99,MATCH(Emissions!$D83,EF!$D$84:$D$99,0))*INDEX(EF!$H$100:$H$115,MATCH(Emissions!$D83,EF!$D$100:$D$115,0))*INDEX(EF!$H$132:$H$147,MATCH(Emissions!$D83,EF!$D$132:$D$147,0))*kgtoGg</f>
        <v>4.0313500506450946E-2</v>
      </c>
      <c r="AR83" s="22">
        <f>INDEX('Activity data'!AR$24:AR$39,MATCH(Emissions!$D83,'Activity data'!$D$24:$D$39,0))*INDEX(EF!$H$84:$H$99,MATCH(Emissions!$D83,EF!$D$84:$D$99,0))*INDEX(EF!$H$100:$H$115,MATCH(Emissions!$D83,EF!$D$100:$D$115,0))*INDEX(EF!$H$132:$H$147,MATCH(Emissions!$D83,EF!$D$132:$D$147,0))*kgtoGg</f>
        <v>4.0396421790026865E-2</v>
      </c>
      <c r="AS83" s="22">
        <f>INDEX('Activity data'!AS$24:AS$39,MATCH(Emissions!$D83,'Activity data'!$D$24:$D$39,0))*INDEX(EF!$H$84:$H$99,MATCH(Emissions!$D83,EF!$D$84:$D$99,0))*INDEX(EF!$H$100:$H$115,MATCH(Emissions!$D83,EF!$D$100:$D$115,0))*INDEX(EF!$H$132:$H$147,MATCH(Emissions!$D83,EF!$D$132:$D$147,0))*kgtoGg</f>
        <v>4.0479343073602798E-2</v>
      </c>
      <c r="AT83" s="22">
        <f>INDEX('Activity data'!AT$24:AT$39,MATCH(Emissions!$D83,'Activity data'!$D$24:$D$39,0))*INDEX(EF!$H$84:$H$99,MATCH(Emissions!$D83,EF!$D$84:$D$99,0))*INDEX(EF!$H$100:$H$115,MATCH(Emissions!$D83,EF!$D$100:$D$115,0))*INDEX(EF!$H$132:$H$147,MATCH(Emissions!$D83,EF!$D$132:$D$147,0))*kgtoGg</f>
        <v>4.0562264357178725E-2</v>
      </c>
      <c r="AU83" s="22">
        <f>INDEX('Activity data'!AU$24:AU$39,MATCH(Emissions!$D83,'Activity data'!$D$24:$D$39,0))*INDEX(EF!$H$84:$H$99,MATCH(Emissions!$D83,EF!$D$84:$D$99,0))*INDEX(EF!$H$100:$H$115,MATCH(Emissions!$D83,EF!$D$100:$D$115,0))*INDEX(EF!$H$132:$H$147,MATCH(Emissions!$D83,EF!$D$132:$D$147,0))*kgtoGg</f>
        <v>4.0645185640754658E-2</v>
      </c>
      <c r="AV83" s="22">
        <f>INDEX('Activity data'!AV$24:AV$39,MATCH(Emissions!$D83,'Activity data'!$D$24:$D$39,0))*INDEX(EF!$H$84:$H$99,MATCH(Emissions!$D83,EF!$D$84:$D$99,0))*INDEX(EF!$H$100:$H$115,MATCH(Emissions!$D83,EF!$D$100:$D$115,0))*INDEX(EF!$H$132:$H$147,MATCH(Emissions!$D83,EF!$D$132:$D$147,0))*kgtoGg</f>
        <v>4.0728106924330584E-2</v>
      </c>
      <c r="AW83" s="22">
        <f>INDEX('Activity data'!AW$24:AW$39,MATCH(Emissions!$D83,'Activity data'!$D$24:$D$39,0))*INDEX(EF!$H$84:$H$99,MATCH(Emissions!$D83,EF!$D$84:$D$99,0))*INDEX(EF!$H$100:$H$115,MATCH(Emissions!$D83,EF!$D$100:$D$115,0))*INDEX(EF!$H$132:$H$147,MATCH(Emissions!$D83,EF!$D$132:$D$147,0))*kgtoGg</f>
        <v>4.0811028207906511E-2</v>
      </c>
      <c r="AX83" s="22">
        <f>INDEX('Activity data'!AX$24:AX$39,MATCH(Emissions!$D83,'Activity data'!$D$24:$D$39,0))*INDEX(EF!$H$84:$H$99,MATCH(Emissions!$D83,EF!$D$84:$D$99,0))*INDEX(EF!$H$100:$H$115,MATCH(Emissions!$D83,EF!$D$100:$D$115,0))*INDEX(EF!$H$132:$H$147,MATCH(Emissions!$D83,EF!$D$132:$D$147,0))*kgtoGg</f>
        <v>4.0893949491482444E-2</v>
      </c>
      <c r="AY83" s="22">
        <f>INDEX('Activity data'!AY$24:AY$39,MATCH(Emissions!$D83,'Activity data'!$D$24:$D$39,0))*INDEX(EF!$H$84:$H$99,MATCH(Emissions!$D83,EF!$D$84:$D$99,0))*INDEX(EF!$H$100:$H$115,MATCH(Emissions!$D83,EF!$D$100:$D$115,0))*INDEX(EF!$H$132:$H$147,MATCH(Emissions!$D83,EF!$D$132:$D$147,0))*kgtoGg</f>
        <v>4.097687077505837E-2</v>
      </c>
      <c r="AZ83" s="22">
        <f>INDEX('Activity data'!AZ$24:AZ$39,MATCH(Emissions!$D83,'Activity data'!$D$24:$D$39,0))*INDEX(EF!$H$84:$H$99,MATCH(Emissions!$D83,EF!$D$84:$D$99,0))*INDEX(EF!$H$100:$H$115,MATCH(Emissions!$D83,EF!$D$100:$D$115,0))*INDEX(EF!$H$132:$H$147,MATCH(Emissions!$D83,EF!$D$132:$D$147,0))*kgtoGg</f>
        <v>4.1059792058634303E-2</v>
      </c>
      <c r="BA83" s="22">
        <f>INDEX('Activity data'!BA$24:BA$39,MATCH(Emissions!$D83,'Activity data'!$D$24:$D$39,0))*INDEX(EF!$H$84:$H$99,MATCH(Emissions!$D83,EF!$D$84:$D$99,0))*INDEX(EF!$H$100:$H$115,MATCH(Emissions!$D83,EF!$D$100:$D$115,0))*INDEX(EF!$H$132:$H$147,MATCH(Emissions!$D83,EF!$D$132:$D$147,0))*kgtoGg</f>
        <v>4.114271334221023E-2</v>
      </c>
      <c r="BB83" s="22">
        <f>INDEX('Activity data'!BB$24:BB$39,MATCH(Emissions!$D83,'Activity data'!$D$24:$D$39,0))*INDEX(EF!$H$84:$H$99,MATCH(Emissions!$D83,EF!$D$84:$D$99,0))*INDEX(EF!$H$100:$H$115,MATCH(Emissions!$D83,EF!$D$100:$D$115,0))*INDEX(EF!$H$132:$H$147,MATCH(Emissions!$D83,EF!$D$132:$D$147,0))*kgtoGg</f>
        <v>4.1225634625786156E-2</v>
      </c>
      <c r="BC83" s="22">
        <f>INDEX('Activity data'!BC$24:BC$39,MATCH(Emissions!$D83,'Activity data'!$D$24:$D$39,0))*INDEX(EF!$H$84:$H$99,MATCH(Emissions!$D83,EF!$D$84:$D$99,0))*INDEX(EF!$H$100:$H$115,MATCH(Emissions!$D83,EF!$D$100:$D$115,0))*INDEX(EF!$H$132:$H$147,MATCH(Emissions!$D83,EF!$D$132:$D$147,0))*kgtoGg</f>
        <v>4.1308555909362089E-2</v>
      </c>
      <c r="BD83" s="22">
        <f>INDEX('Activity data'!BD$24:BD$39,MATCH(Emissions!$D83,'Activity data'!$D$24:$D$39,0))*INDEX(EF!$H$84:$H$99,MATCH(Emissions!$D83,EF!$D$84:$D$99,0))*INDEX(EF!$H$100:$H$115,MATCH(Emissions!$D83,EF!$D$100:$D$115,0))*INDEX(EF!$H$132:$H$147,MATCH(Emissions!$D83,EF!$D$132:$D$147,0))*kgtoGg</f>
        <v>4.1391477192938023E-2</v>
      </c>
      <c r="BE83" s="22">
        <f>INDEX('Activity data'!BE$24:BE$39,MATCH(Emissions!$D83,'Activity data'!$D$24:$D$39,0))*INDEX(EF!$H$84:$H$99,MATCH(Emissions!$D83,EF!$D$84:$D$99,0))*INDEX(EF!$H$100:$H$115,MATCH(Emissions!$D83,EF!$D$100:$D$115,0))*INDEX(EF!$H$132:$H$147,MATCH(Emissions!$D83,EF!$D$132:$D$147,0))*kgtoGg</f>
        <v>4.1474398476513949E-2</v>
      </c>
      <c r="BF83" s="22">
        <f>INDEX('Activity data'!BF$24:BF$39,MATCH(Emissions!$D83,'Activity data'!$D$24:$D$39,0))*INDEX(EF!$H$84:$H$99,MATCH(Emissions!$D83,EF!$D$84:$D$99,0))*INDEX(EF!$H$100:$H$115,MATCH(Emissions!$D83,EF!$D$100:$D$115,0))*INDEX(EF!$H$132:$H$147,MATCH(Emissions!$D83,EF!$D$132:$D$147,0))*kgtoGg</f>
        <v>4.1557319760089875E-2</v>
      </c>
      <c r="BG83" s="22">
        <f>INDEX('Activity data'!BG$24:BG$39,MATCH(Emissions!$D83,'Activity data'!$D$24:$D$39,0))*INDEX(EF!$H$84:$H$99,MATCH(Emissions!$D83,EF!$D$84:$D$99,0))*INDEX(EF!$H$100:$H$115,MATCH(Emissions!$D83,EF!$D$100:$D$115,0))*INDEX(EF!$H$132:$H$147,MATCH(Emissions!$D83,EF!$D$132:$D$147,0))*kgtoGg</f>
        <v>4.1640241043665809E-2</v>
      </c>
      <c r="BH83" s="22">
        <f>INDEX('Activity data'!BH$24:BH$39,MATCH(Emissions!$D83,'Activity data'!$D$24:$D$39,0))*INDEX(EF!$H$84:$H$99,MATCH(Emissions!$D83,EF!$D$84:$D$99,0))*INDEX(EF!$H$100:$H$115,MATCH(Emissions!$D83,EF!$D$100:$D$115,0))*INDEX(EF!$H$132:$H$147,MATCH(Emissions!$D83,EF!$D$132:$D$147,0))*kgtoGg</f>
        <v>4.1723162327241742E-2</v>
      </c>
      <c r="BI83" s="22">
        <f>INDEX('Activity data'!BI$24:BI$39,MATCH(Emissions!$D83,'Activity data'!$D$24:$D$39,0))*INDEX(EF!$H$84:$H$99,MATCH(Emissions!$D83,EF!$D$84:$D$99,0))*INDEX(EF!$H$100:$H$115,MATCH(Emissions!$D83,EF!$D$100:$D$115,0))*INDEX(EF!$H$132:$H$147,MATCH(Emissions!$D83,EF!$D$132:$D$147,0))*kgtoGg</f>
        <v>4.1806083610817661E-2</v>
      </c>
      <c r="BJ83" s="22">
        <f>INDEX('Activity data'!BJ$24:BJ$39,MATCH(Emissions!$D83,'Activity data'!$D$24:$D$39,0))*INDEX(EF!$H$84:$H$99,MATCH(Emissions!$D83,EF!$D$84:$D$99,0))*INDEX(EF!$H$100:$H$115,MATCH(Emissions!$D83,EF!$D$100:$D$115,0))*INDEX(EF!$H$132:$H$147,MATCH(Emissions!$D83,EF!$D$132:$D$147,0))*kgtoGg</f>
        <v>4.1889004894393594E-2</v>
      </c>
      <c r="BK83" s="22">
        <f>INDEX('Activity data'!BK$24:BK$39,MATCH(Emissions!$D83,'Activity data'!$D$24:$D$39,0))*INDEX(EF!$H$84:$H$99,MATCH(Emissions!$D83,EF!$D$84:$D$99,0))*INDEX(EF!$H$100:$H$115,MATCH(Emissions!$D83,EF!$D$100:$D$115,0))*INDEX(EF!$H$132:$H$147,MATCH(Emissions!$D83,EF!$D$132:$D$147,0))*kgtoGg</f>
        <v>4.1971926177969528E-2</v>
      </c>
      <c r="BL83" s="22">
        <f>INDEX('Activity data'!BL$24:BL$39,MATCH(Emissions!$D83,'Activity data'!$D$24:$D$39,0))*INDEX(EF!$H$84:$H$99,MATCH(Emissions!$D83,EF!$D$84:$D$99,0))*INDEX(EF!$H$100:$H$115,MATCH(Emissions!$D83,EF!$D$100:$D$115,0))*INDEX(EF!$H$132:$H$147,MATCH(Emissions!$D83,EF!$D$132:$D$147,0))*kgtoGg</f>
        <v>4.2054847461545454E-2</v>
      </c>
      <c r="BM83" s="22">
        <f>INDEX('Activity data'!BM$24:BM$39,MATCH(Emissions!$D83,'Activity data'!$D$24:$D$39,0))*INDEX(EF!$H$84:$H$99,MATCH(Emissions!$D83,EF!$D$84:$D$99,0))*INDEX(EF!$H$100:$H$115,MATCH(Emissions!$D83,EF!$D$100:$D$115,0))*INDEX(EF!$H$132:$H$147,MATCH(Emissions!$D83,EF!$D$132:$D$147,0))*kgtoGg</f>
        <v>4.2137768745121387E-2</v>
      </c>
      <c r="BN83" s="22">
        <f>INDEX('Activity data'!BN$24:BN$39,MATCH(Emissions!$D83,'Activity data'!$D$24:$D$39,0))*INDEX(EF!$H$84:$H$99,MATCH(Emissions!$D83,EF!$D$84:$D$99,0))*INDEX(EF!$H$100:$H$115,MATCH(Emissions!$D83,EF!$D$100:$D$115,0))*INDEX(EF!$H$132:$H$147,MATCH(Emissions!$D83,EF!$D$132:$D$147,0))*kgtoGg</f>
        <v>4.2220690028697307E-2</v>
      </c>
      <c r="BO83" s="22">
        <f>INDEX('Activity data'!BO$24:BO$39,MATCH(Emissions!$D83,'Activity data'!$D$24:$D$39,0))*INDEX(EF!$H$84:$H$99,MATCH(Emissions!$D83,EF!$D$84:$D$99,0))*INDEX(EF!$H$100:$H$115,MATCH(Emissions!$D83,EF!$D$100:$D$115,0))*INDEX(EF!$H$132:$H$147,MATCH(Emissions!$D83,EF!$D$132:$D$147,0))*kgtoGg</f>
        <v>4.230361131227324E-2</v>
      </c>
      <c r="BP83" s="22">
        <f>INDEX('Activity data'!BP$24:BP$39,MATCH(Emissions!$D83,'Activity data'!$D$24:$D$39,0))*INDEX(EF!$H$84:$H$99,MATCH(Emissions!$D83,EF!$D$84:$D$99,0))*INDEX(EF!$H$100:$H$115,MATCH(Emissions!$D83,EF!$D$100:$D$115,0))*INDEX(EF!$H$132:$H$147,MATCH(Emissions!$D83,EF!$D$132:$D$147,0))*kgtoGg</f>
        <v>4.2386532595849173E-2</v>
      </c>
    </row>
    <row r="84" spans="1:68" x14ac:dyDescent="0.25">
      <c r="A84" t="str">
        <f t="shared" si="19"/>
        <v>3C Aggregated and non-CO2 emissions on land</v>
      </c>
      <c r="B84" t="str">
        <f t="shared" si="26"/>
        <v>3C1 Biomass burning (N2O)</v>
      </c>
      <c r="C84" t="str">
        <f t="shared" si="25"/>
        <v>3C1e Biomass burning in Settlements</v>
      </c>
      <c r="D84" t="str">
        <f>EF!D114</f>
        <v>Mines</v>
      </c>
      <c r="E84" t="s">
        <v>654</v>
      </c>
      <c r="F84" t="str">
        <f t="shared" si="27"/>
        <v>N2O</v>
      </c>
      <c r="G84" t="str">
        <f t="shared" si="28"/>
        <v>Gg N2O</v>
      </c>
      <c r="H84" s="22">
        <f>INDEX('Activity data'!H$24:H$39,MATCH(Emissions!$D84,'Activity data'!$D$24:$D$39,0))*INDEX(EF!$H$84:$H$99,MATCH(Emissions!$D84,EF!$D$84:$D$99,0))*INDEX(EF!$H$100:$H$115,MATCH(Emissions!$D84,EF!$D$100:$D$115,0))*INDEX(EF!$H$132:$H$147,MATCH(Emissions!$D84,EF!$D$132:$D$147,0))*kgtoGg</f>
        <v>0</v>
      </c>
      <c r="I84" s="22">
        <f>INDEX('Activity data'!I$24:I$39,MATCH(Emissions!$D84,'Activity data'!$D$24:$D$39,0))*INDEX(EF!$H$84:$H$99,MATCH(Emissions!$D84,EF!$D$84:$D$99,0))*INDEX(EF!$H$100:$H$115,MATCH(Emissions!$D84,EF!$D$100:$D$115,0))*INDEX(EF!$H$132:$H$147,MATCH(Emissions!$D84,EF!$D$132:$D$147,0))*kgtoGg</f>
        <v>0</v>
      </c>
      <c r="J84" s="22">
        <f>INDEX('Activity data'!J$24:J$39,MATCH(Emissions!$D84,'Activity data'!$D$24:$D$39,0))*INDEX(EF!$H$84:$H$99,MATCH(Emissions!$D84,EF!$D$84:$D$99,0))*INDEX(EF!$H$100:$H$115,MATCH(Emissions!$D84,EF!$D$100:$D$115,0))*INDEX(EF!$H$132:$H$147,MATCH(Emissions!$D84,EF!$D$132:$D$147,0))*kgtoGg</f>
        <v>0</v>
      </c>
      <c r="K84" s="22">
        <f>INDEX('Activity data'!K$24:K$39,MATCH(Emissions!$D84,'Activity data'!$D$24:$D$39,0))*INDEX(EF!$H$84:$H$99,MATCH(Emissions!$D84,EF!$D$84:$D$99,0))*INDEX(EF!$H$100:$H$115,MATCH(Emissions!$D84,EF!$D$100:$D$115,0))*INDEX(EF!$H$132:$H$147,MATCH(Emissions!$D84,EF!$D$132:$D$147,0))*kgtoGg</f>
        <v>0</v>
      </c>
      <c r="L84" s="22">
        <f>INDEX('Activity data'!L$24:L$39,MATCH(Emissions!$D84,'Activity data'!$D$24:$D$39,0))*INDEX(EF!$H$84:$H$99,MATCH(Emissions!$D84,EF!$D$84:$D$99,0))*INDEX(EF!$H$100:$H$115,MATCH(Emissions!$D84,EF!$D$100:$D$115,0))*INDEX(EF!$H$132:$H$147,MATCH(Emissions!$D84,EF!$D$132:$D$147,0))*kgtoGg</f>
        <v>0</v>
      </c>
      <c r="M84" s="22">
        <f>INDEX('Activity data'!M$24:M$39,MATCH(Emissions!$D84,'Activity data'!$D$24:$D$39,0))*INDEX(EF!$H$84:$H$99,MATCH(Emissions!$D84,EF!$D$84:$D$99,0))*INDEX(EF!$H$100:$H$115,MATCH(Emissions!$D84,EF!$D$100:$D$115,0))*INDEX(EF!$H$132:$H$147,MATCH(Emissions!$D84,EF!$D$132:$D$147,0))*kgtoGg</f>
        <v>0</v>
      </c>
      <c r="N84" s="22">
        <f>INDEX('Activity data'!N$24:N$39,MATCH(Emissions!$D84,'Activity data'!$D$24:$D$39,0))*INDEX(EF!$H$84:$H$99,MATCH(Emissions!$D84,EF!$D$84:$D$99,0))*INDEX(EF!$H$100:$H$115,MATCH(Emissions!$D84,EF!$D$100:$D$115,0))*INDEX(EF!$H$132:$H$147,MATCH(Emissions!$D84,EF!$D$132:$D$147,0))*kgtoGg</f>
        <v>0</v>
      </c>
      <c r="O84" s="22">
        <f>INDEX('Activity data'!O$24:O$39,MATCH(Emissions!$D84,'Activity data'!$D$24:$D$39,0))*INDEX(EF!$H$84:$H$99,MATCH(Emissions!$D84,EF!$D$84:$D$99,0))*INDEX(EF!$H$100:$H$115,MATCH(Emissions!$D84,EF!$D$100:$D$115,0))*INDEX(EF!$H$132:$H$147,MATCH(Emissions!$D84,EF!$D$132:$D$147,0))*kgtoGg</f>
        <v>0</v>
      </c>
      <c r="P84" s="22">
        <f>INDEX('Activity data'!P$24:P$39,MATCH(Emissions!$D84,'Activity data'!$D$24:$D$39,0))*INDEX(EF!$H$84:$H$99,MATCH(Emissions!$D84,EF!$D$84:$D$99,0))*INDEX(EF!$H$100:$H$115,MATCH(Emissions!$D84,EF!$D$100:$D$115,0))*INDEX(EF!$H$132:$H$147,MATCH(Emissions!$D84,EF!$D$132:$D$147,0))*kgtoGg</f>
        <v>0</v>
      </c>
      <c r="Q84" s="22">
        <f>INDEX('Activity data'!Q$24:Q$39,MATCH(Emissions!$D84,'Activity data'!$D$24:$D$39,0))*INDEX(EF!$H$84:$H$99,MATCH(Emissions!$D84,EF!$D$84:$D$99,0))*INDEX(EF!$H$100:$H$115,MATCH(Emissions!$D84,EF!$D$100:$D$115,0))*INDEX(EF!$H$132:$H$147,MATCH(Emissions!$D84,EF!$D$132:$D$147,0))*kgtoGg</f>
        <v>0</v>
      </c>
      <c r="R84" s="22">
        <f>INDEX('Activity data'!R$24:R$39,MATCH(Emissions!$D84,'Activity data'!$D$24:$D$39,0))*INDEX(EF!$H$84:$H$99,MATCH(Emissions!$D84,EF!$D$84:$D$99,0))*INDEX(EF!$H$100:$H$115,MATCH(Emissions!$D84,EF!$D$100:$D$115,0))*INDEX(EF!$H$132:$H$147,MATCH(Emissions!$D84,EF!$D$132:$D$147,0))*kgtoGg</f>
        <v>0</v>
      </c>
      <c r="S84" s="22">
        <f>INDEX('Activity data'!S$24:S$39,MATCH(Emissions!$D84,'Activity data'!$D$24:$D$39,0))*INDEX(EF!$H$84:$H$99,MATCH(Emissions!$D84,EF!$D$84:$D$99,0))*INDEX(EF!$H$100:$H$115,MATCH(Emissions!$D84,EF!$D$100:$D$115,0))*INDEX(EF!$H$132:$H$147,MATCH(Emissions!$D84,EF!$D$132:$D$147,0))*kgtoGg</f>
        <v>0</v>
      </c>
      <c r="T84" s="22">
        <f>INDEX('Activity data'!T$24:T$39,MATCH(Emissions!$D84,'Activity data'!$D$24:$D$39,0))*INDEX(EF!$H$84:$H$99,MATCH(Emissions!$D84,EF!$D$84:$D$99,0))*INDEX(EF!$H$100:$H$115,MATCH(Emissions!$D84,EF!$D$100:$D$115,0))*INDEX(EF!$H$132:$H$147,MATCH(Emissions!$D84,EF!$D$132:$D$147,0))*kgtoGg</f>
        <v>0</v>
      </c>
      <c r="U84" s="22">
        <f>INDEX('Activity data'!U$24:U$39,MATCH(Emissions!$D84,'Activity data'!$D$24:$D$39,0))*INDEX(EF!$H$84:$H$99,MATCH(Emissions!$D84,EF!$D$84:$D$99,0))*INDEX(EF!$H$100:$H$115,MATCH(Emissions!$D84,EF!$D$100:$D$115,0))*INDEX(EF!$H$132:$H$147,MATCH(Emissions!$D84,EF!$D$132:$D$147,0))*kgtoGg</f>
        <v>0</v>
      </c>
      <c r="V84" s="22">
        <f>INDEX('Activity data'!V$24:V$39,MATCH(Emissions!$D84,'Activity data'!$D$24:$D$39,0))*INDEX(EF!$H$84:$H$99,MATCH(Emissions!$D84,EF!$D$84:$D$99,0))*INDEX(EF!$H$100:$H$115,MATCH(Emissions!$D84,EF!$D$100:$D$115,0))*INDEX(EF!$H$132:$H$147,MATCH(Emissions!$D84,EF!$D$132:$D$147,0))*kgtoGg</f>
        <v>0</v>
      </c>
      <c r="W84" s="22">
        <f>INDEX('Activity data'!W$24:W$39,MATCH(Emissions!$D84,'Activity data'!$D$24:$D$39,0))*INDEX(EF!$H$84:$H$99,MATCH(Emissions!$D84,EF!$D$84:$D$99,0))*INDEX(EF!$H$100:$H$115,MATCH(Emissions!$D84,EF!$D$100:$D$115,0))*INDEX(EF!$H$132:$H$147,MATCH(Emissions!$D84,EF!$D$132:$D$147,0))*kgtoGg</f>
        <v>0</v>
      </c>
      <c r="X84" s="22">
        <f>INDEX('Activity data'!X$24:X$39,MATCH(Emissions!$D84,'Activity data'!$D$24:$D$39,0))*INDEX(EF!$H$84:$H$99,MATCH(Emissions!$D84,EF!$D$84:$D$99,0))*INDEX(EF!$H$100:$H$115,MATCH(Emissions!$D84,EF!$D$100:$D$115,0))*INDEX(EF!$H$132:$H$147,MATCH(Emissions!$D84,EF!$D$132:$D$147,0))*kgtoGg</f>
        <v>0</v>
      </c>
      <c r="Y84" s="22">
        <f>INDEX('Activity data'!Y$24:Y$39,MATCH(Emissions!$D84,'Activity data'!$D$24:$D$39,0))*INDEX(EF!$H$84:$H$99,MATCH(Emissions!$D84,EF!$D$84:$D$99,0))*INDEX(EF!$H$100:$H$115,MATCH(Emissions!$D84,EF!$D$100:$D$115,0))*INDEX(EF!$H$132:$H$147,MATCH(Emissions!$D84,EF!$D$132:$D$147,0))*kgtoGg</f>
        <v>0</v>
      </c>
      <c r="Z84" s="22">
        <f>INDEX('Activity data'!Z$24:Z$39,MATCH(Emissions!$D84,'Activity data'!$D$24:$D$39,0))*INDEX(EF!$H$84:$H$99,MATCH(Emissions!$D84,EF!$D$84:$D$99,0))*INDEX(EF!$H$100:$H$115,MATCH(Emissions!$D84,EF!$D$100:$D$115,0))*INDEX(EF!$H$132:$H$147,MATCH(Emissions!$D84,EF!$D$132:$D$147,0))*kgtoGg</f>
        <v>0</v>
      </c>
      <c r="AA84" s="22">
        <f>INDEX('Activity data'!AA$24:AA$39,MATCH(Emissions!$D84,'Activity data'!$D$24:$D$39,0))*INDEX(EF!$H$84:$H$99,MATCH(Emissions!$D84,EF!$D$84:$D$99,0))*INDEX(EF!$H$100:$H$115,MATCH(Emissions!$D84,EF!$D$100:$D$115,0))*INDEX(EF!$H$132:$H$147,MATCH(Emissions!$D84,EF!$D$132:$D$147,0))*kgtoGg</f>
        <v>0</v>
      </c>
      <c r="AB84" s="22">
        <f>INDEX('Activity data'!AB$24:AB$39,MATCH(Emissions!$D84,'Activity data'!$D$24:$D$39,0))*INDEX(EF!$H$84:$H$99,MATCH(Emissions!$D84,EF!$D$84:$D$99,0))*INDEX(EF!$H$100:$H$115,MATCH(Emissions!$D84,EF!$D$100:$D$115,0))*INDEX(EF!$H$132:$H$147,MATCH(Emissions!$D84,EF!$D$132:$D$147,0))*kgtoGg</f>
        <v>0</v>
      </c>
      <c r="AC84" s="22">
        <f>INDEX('Activity data'!AC$24:AC$39,MATCH(Emissions!$D84,'Activity data'!$D$24:$D$39,0))*INDEX(EF!$H$84:$H$99,MATCH(Emissions!$D84,EF!$D$84:$D$99,0))*INDEX(EF!$H$100:$H$115,MATCH(Emissions!$D84,EF!$D$100:$D$115,0))*INDEX(EF!$H$132:$H$147,MATCH(Emissions!$D84,EF!$D$132:$D$147,0))*kgtoGg</f>
        <v>0</v>
      </c>
      <c r="AD84" s="22">
        <f>INDEX('Activity data'!AD$24:AD$39,MATCH(Emissions!$D84,'Activity data'!$D$24:$D$39,0))*INDEX(EF!$H$84:$H$99,MATCH(Emissions!$D84,EF!$D$84:$D$99,0))*INDEX(EF!$H$100:$H$115,MATCH(Emissions!$D84,EF!$D$100:$D$115,0))*INDEX(EF!$H$132:$H$147,MATCH(Emissions!$D84,EF!$D$132:$D$147,0))*kgtoGg</f>
        <v>0</v>
      </c>
      <c r="AE84" s="22">
        <f>INDEX('Activity data'!AE$24:AE$39,MATCH(Emissions!$D84,'Activity data'!$D$24:$D$39,0))*INDEX(EF!$H$84:$H$99,MATCH(Emissions!$D84,EF!$D$84:$D$99,0))*INDEX(EF!$H$100:$H$115,MATCH(Emissions!$D84,EF!$D$100:$D$115,0))*INDEX(EF!$H$132:$H$147,MATCH(Emissions!$D84,EF!$D$132:$D$147,0))*kgtoGg</f>
        <v>0</v>
      </c>
      <c r="AF84" s="22">
        <f>INDEX('Activity data'!AF$24:AF$39,MATCH(Emissions!$D84,'Activity data'!$D$24:$D$39,0))*INDEX(EF!$H$84:$H$99,MATCH(Emissions!$D84,EF!$D$84:$D$99,0))*INDEX(EF!$H$100:$H$115,MATCH(Emissions!$D84,EF!$D$100:$D$115,0))*INDEX(EF!$H$132:$H$147,MATCH(Emissions!$D84,EF!$D$132:$D$147,0))*kgtoGg</f>
        <v>0</v>
      </c>
      <c r="AG84" s="22">
        <f>INDEX('Activity data'!AG$24:AG$39,MATCH(Emissions!$D84,'Activity data'!$D$24:$D$39,0))*INDEX(EF!$H$84:$H$99,MATCH(Emissions!$D84,EF!$D$84:$D$99,0))*INDEX(EF!$H$100:$H$115,MATCH(Emissions!$D84,EF!$D$100:$D$115,0))*INDEX(EF!$H$132:$H$147,MATCH(Emissions!$D84,EF!$D$132:$D$147,0))*kgtoGg</f>
        <v>0</v>
      </c>
      <c r="AH84" s="22">
        <f>INDEX('Activity data'!AH$24:AH$39,MATCH(Emissions!$D84,'Activity data'!$D$24:$D$39,0))*INDEX(EF!$H$84:$H$99,MATCH(Emissions!$D84,EF!$D$84:$D$99,0))*INDEX(EF!$H$100:$H$115,MATCH(Emissions!$D84,EF!$D$100:$D$115,0))*INDEX(EF!$H$132:$H$147,MATCH(Emissions!$D84,EF!$D$132:$D$147,0))*kgtoGg</f>
        <v>0</v>
      </c>
      <c r="AI84" s="22">
        <f>INDEX('Activity data'!AI$24:AI$39,MATCH(Emissions!$D84,'Activity data'!$D$24:$D$39,0))*INDEX(EF!$H$84:$H$99,MATCH(Emissions!$D84,EF!$D$84:$D$99,0))*INDEX(EF!$H$100:$H$115,MATCH(Emissions!$D84,EF!$D$100:$D$115,0))*INDEX(EF!$H$132:$H$147,MATCH(Emissions!$D84,EF!$D$132:$D$147,0))*kgtoGg</f>
        <v>0</v>
      </c>
      <c r="AJ84" s="22">
        <f>INDEX('Activity data'!AJ$24:AJ$39,MATCH(Emissions!$D84,'Activity data'!$D$24:$D$39,0))*INDEX(EF!$H$84:$H$99,MATCH(Emissions!$D84,EF!$D$84:$D$99,0))*INDEX(EF!$H$100:$H$115,MATCH(Emissions!$D84,EF!$D$100:$D$115,0))*INDEX(EF!$H$132:$H$147,MATCH(Emissions!$D84,EF!$D$132:$D$147,0))*kgtoGg</f>
        <v>0</v>
      </c>
      <c r="AK84" s="22">
        <f>INDEX('Activity data'!AK$24:AK$39,MATCH(Emissions!$D84,'Activity data'!$D$24:$D$39,0))*INDEX(EF!$H$84:$H$99,MATCH(Emissions!$D84,EF!$D$84:$D$99,0))*INDEX(EF!$H$100:$H$115,MATCH(Emissions!$D84,EF!$D$100:$D$115,0))*INDEX(EF!$H$132:$H$147,MATCH(Emissions!$D84,EF!$D$132:$D$147,0))*kgtoGg</f>
        <v>0</v>
      </c>
      <c r="AL84" s="22">
        <f>INDEX('Activity data'!AL$24:AL$39,MATCH(Emissions!$D84,'Activity data'!$D$24:$D$39,0))*INDEX(EF!$H$84:$H$99,MATCH(Emissions!$D84,EF!$D$84:$D$99,0))*INDEX(EF!$H$100:$H$115,MATCH(Emissions!$D84,EF!$D$100:$D$115,0))*INDEX(EF!$H$132:$H$147,MATCH(Emissions!$D84,EF!$D$132:$D$147,0))*kgtoGg</f>
        <v>0</v>
      </c>
      <c r="AM84" s="22">
        <f>INDEX('Activity data'!AM$24:AM$39,MATCH(Emissions!$D84,'Activity data'!$D$24:$D$39,0))*INDEX(EF!$H$84:$H$99,MATCH(Emissions!$D84,EF!$D$84:$D$99,0))*INDEX(EF!$H$100:$H$115,MATCH(Emissions!$D84,EF!$D$100:$D$115,0))*INDEX(EF!$H$132:$H$147,MATCH(Emissions!$D84,EF!$D$132:$D$147,0))*kgtoGg</f>
        <v>0</v>
      </c>
      <c r="AN84" s="22">
        <f>INDEX('Activity data'!AN$24:AN$39,MATCH(Emissions!$D84,'Activity data'!$D$24:$D$39,0))*INDEX(EF!$H$84:$H$99,MATCH(Emissions!$D84,EF!$D$84:$D$99,0))*INDEX(EF!$H$100:$H$115,MATCH(Emissions!$D84,EF!$D$100:$D$115,0))*INDEX(EF!$H$132:$H$147,MATCH(Emissions!$D84,EF!$D$132:$D$147,0))*kgtoGg</f>
        <v>0</v>
      </c>
      <c r="AO84" s="22">
        <f>INDEX('Activity data'!AO$24:AO$39,MATCH(Emissions!$D84,'Activity data'!$D$24:$D$39,0))*INDEX(EF!$H$84:$H$99,MATCH(Emissions!$D84,EF!$D$84:$D$99,0))*INDEX(EF!$H$100:$H$115,MATCH(Emissions!$D84,EF!$D$100:$D$115,0))*INDEX(EF!$H$132:$H$147,MATCH(Emissions!$D84,EF!$D$132:$D$147,0))*kgtoGg</f>
        <v>0</v>
      </c>
      <c r="AP84" s="22">
        <f>INDEX('Activity data'!AP$24:AP$39,MATCH(Emissions!$D84,'Activity data'!$D$24:$D$39,0))*INDEX(EF!$H$84:$H$99,MATCH(Emissions!$D84,EF!$D$84:$D$99,0))*INDEX(EF!$H$100:$H$115,MATCH(Emissions!$D84,EF!$D$100:$D$115,0))*INDEX(EF!$H$132:$H$147,MATCH(Emissions!$D84,EF!$D$132:$D$147,0))*kgtoGg</f>
        <v>0</v>
      </c>
      <c r="AQ84" s="22">
        <f>INDEX('Activity data'!AQ$24:AQ$39,MATCH(Emissions!$D84,'Activity data'!$D$24:$D$39,0))*INDEX(EF!$H$84:$H$99,MATCH(Emissions!$D84,EF!$D$84:$D$99,0))*INDEX(EF!$H$100:$H$115,MATCH(Emissions!$D84,EF!$D$100:$D$115,0))*INDEX(EF!$H$132:$H$147,MATCH(Emissions!$D84,EF!$D$132:$D$147,0))*kgtoGg</f>
        <v>0</v>
      </c>
      <c r="AR84" s="22">
        <f>INDEX('Activity data'!AR$24:AR$39,MATCH(Emissions!$D84,'Activity data'!$D$24:$D$39,0))*INDEX(EF!$H$84:$H$99,MATCH(Emissions!$D84,EF!$D$84:$D$99,0))*INDEX(EF!$H$100:$H$115,MATCH(Emissions!$D84,EF!$D$100:$D$115,0))*INDEX(EF!$H$132:$H$147,MATCH(Emissions!$D84,EF!$D$132:$D$147,0))*kgtoGg</f>
        <v>0</v>
      </c>
      <c r="AS84" s="22">
        <f>INDEX('Activity data'!AS$24:AS$39,MATCH(Emissions!$D84,'Activity data'!$D$24:$D$39,0))*INDEX(EF!$H$84:$H$99,MATCH(Emissions!$D84,EF!$D$84:$D$99,0))*INDEX(EF!$H$100:$H$115,MATCH(Emissions!$D84,EF!$D$100:$D$115,0))*INDEX(EF!$H$132:$H$147,MATCH(Emissions!$D84,EF!$D$132:$D$147,0))*kgtoGg</f>
        <v>0</v>
      </c>
      <c r="AT84" s="22">
        <f>INDEX('Activity data'!AT$24:AT$39,MATCH(Emissions!$D84,'Activity data'!$D$24:$D$39,0))*INDEX(EF!$H$84:$H$99,MATCH(Emissions!$D84,EF!$D$84:$D$99,0))*INDEX(EF!$H$100:$H$115,MATCH(Emissions!$D84,EF!$D$100:$D$115,0))*INDEX(EF!$H$132:$H$147,MATCH(Emissions!$D84,EF!$D$132:$D$147,0))*kgtoGg</f>
        <v>0</v>
      </c>
      <c r="AU84" s="22">
        <f>INDEX('Activity data'!AU$24:AU$39,MATCH(Emissions!$D84,'Activity data'!$D$24:$D$39,0))*INDEX(EF!$H$84:$H$99,MATCH(Emissions!$D84,EF!$D$84:$D$99,0))*INDEX(EF!$H$100:$H$115,MATCH(Emissions!$D84,EF!$D$100:$D$115,0))*INDEX(EF!$H$132:$H$147,MATCH(Emissions!$D84,EF!$D$132:$D$147,0))*kgtoGg</f>
        <v>0</v>
      </c>
      <c r="AV84" s="22">
        <f>INDEX('Activity data'!AV$24:AV$39,MATCH(Emissions!$D84,'Activity data'!$D$24:$D$39,0))*INDEX(EF!$H$84:$H$99,MATCH(Emissions!$D84,EF!$D$84:$D$99,0))*INDEX(EF!$H$100:$H$115,MATCH(Emissions!$D84,EF!$D$100:$D$115,0))*INDEX(EF!$H$132:$H$147,MATCH(Emissions!$D84,EF!$D$132:$D$147,0))*kgtoGg</f>
        <v>0</v>
      </c>
      <c r="AW84" s="22">
        <f>INDEX('Activity data'!AW$24:AW$39,MATCH(Emissions!$D84,'Activity data'!$D$24:$D$39,0))*INDEX(EF!$H$84:$H$99,MATCH(Emissions!$D84,EF!$D$84:$D$99,0))*INDEX(EF!$H$100:$H$115,MATCH(Emissions!$D84,EF!$D$100:$D$115,0))*INDEX(EF!$H$132:$H$147,MATCH(Emissions!$D84,EF!$D$132:$D$147,0))*kgtoGg</f>
        <v>0</v>
      </c>
      <c r="AX84" s="22">
        <f>INDEX('Activity data'!AX$24:AX$39,MATCH(Emissions!$D84,'Activity data'!$D$24:$D$39,0))*INDEX(EF!$H$84:$H$99,MATCH(Emissions!$D84,EF!$D$84:$D$99,0))*INDEX(EF!$H$100:$H$115,MATCH(Emissions!$D84,EF!$D$100:$D$115,0))*INDEX(EF!$H$132:$H$147,MATCH(Emissions!$D84,EF!$D$132:$D$147,0))*kgtoGg</f>
        <v>0</v>
      </c>
      <c r="AY84" s="22">
        <f>INDEX('Activity data'!AY$24:AY$39,MATCH(Emissions!$D84,'Activity data'!$D$24:$D$39,0))*INDEX(EF!$H$84:$H$99,MATCH(Emissions!$D84,EF!$D$84:$D$99,0))*INDEX(EF!$H$100:$H$115,MATCH(Emissions!$D84,EF!$D$100:$D$115,0))*INDEX(EF!$H$132:$H$147,MATCH(Emissions!$D84,EF!$D$132:$D$147,0))*kgtoGg</f>
        <v>0</v>
      </c>
      <c r="AZ84" s="22">
        <f>INDEX('Activity data'!AZ$24:AZ$39,MATCH(Emissions!$D84,'Activity data'!$D$24:$D$39,0))*INDEX(EF!$H$84:$H$99,MATCH(Emissions!$D84,EF!$D$84:$D$99,0))*INDEX(EF!$H$100:$H$115,MATCH(Emissions!$D84,EF!$D$100:$D$115,0))*INDEX(EF!$H$132:$H$147,MATCH(Emissions!$D84,EF!$D$132:$D$147,0))*kgtoGg</f>
        <v>0</v>
      </c>
      <c r="BA84" s="22">
        <f>INDEX('Activity data'!BA$24:BA$39,MATCH(Emissions!$D84,'Activity data'!$D$24:$D$39,0))*INDEX(EF!$H$84:$H$99,MATCH(Emissions!$D84,EF!$D$84:$D$99,0))*INDEX(EF!$H$100:$H$115,MATCH(Emissions!$D84,EF!$D$100:$D$115,0))*INDEX(EF!$H$132:$H$147,MATCH(Emissions!$D84,EF!$D$132:$D$147,0))*kgtoGg</f>
        <v>0</v>
      </c>
      <c r="BB84" s="22">
        <f>INDEX('Activity data'!BB$24:BB$39,MATCH(Emissions!$D84,'Activity data'!$D$24:$D$39,0))*INDEX(EF!$H$84:$H$99,MATCH(Emissions!$D84,EF!$D$84:$D$99,0))*INDEX(EF!$H$100:$H$115,MATCH(Emissions!$D84,EF!$D$100:$D$115,0))*INDEX(EF!$H$132:$H$147,MATCH(Emissions!$D84,EF!$D$132:$D$147,0))*kgtoGg</f>
        <v>0</v>
      </c>
      <c r="BC84" s="22">
        <f>INDEX('Activity data'!BC$24:BC$39,MATCH(Emissions!$D84,'Activity data'!$D$24:$D$39,0))*INDEX(EF!$H$84:$H$99,MATCH(Emissions!$D84,EF!$D$84:$D$99,0))*INDEX(EF!$H$100:$H$115,MATCH(Emissions!$D84,EF!$D$100:$D$115,0))*INDEX(EF!$H$132:$H$147,MATCH(Emissions!$D84,EF!$D$132:$D$147,0))*kgtoGg</f>
        <v>0</v>
      </c>
      <c r="BD84" s="22">
        <f>INDEX('Activity data'!BD$24:BD$39,MATCH(Emissions!$D84,'Activity data'!$D$24:$D$39,0))*INDEX(EF!$H$84:$H$99,MATCH(Emissions!$D84,EF!$D$84:$D$99,0))*INDEX(EF!$H$100:$H$115,MATCH(Emissions!$D84,EF!$D$100:$D$115,0))*INDEX(EF!$H$132:$H$147,MATCH(Emissions!$D84,EF!$D$132:$D$147,0))*kgtoGg</f>
        <v>0</v>
      </c>
      <c r="BE84" s="22">
        <f>INDEX('Activity data'!BE$24:BE$39,MATCH(Emissions!$D84,'Activity data'!$D$24:$D$39,0))*INDEX(EF!$H$84:$H$99,MATCH(Emissions!$D84,EF!$D$84:$D$99,0))*INDEX(EF!$H$100:$H$115,MATCH(Emissions!$D84,EF!$D$100:$D$115,0))*INDEX(EF!$H$132:$H$147,MATCH(Emissions!$D84,EF!$D$132:$D$147,0))*kgtoGg</f>
        <v>0</v>
      </c>
      <c r="BF84" s="22">
        <f>INDEX('Activity data'!BF$24:BF$39,MATCH(Emissions!$D84,'Activity data'!$D$24:$D$39,0))*INDEX(EF!$H$84:$H$99,MATCH(Emissions!$D84,EF!$D$84:$D$99,0))*INDEX(EF!$H$100:$H$115,MATCH(Emissions!$D84,EF!$D$100:$D$115,0))*INDEX(EF!$H$132:$H$147,MATCH(Emissions!$D84,EF!$D$132:$D$147,0))*kgtoGg</f>
        <v>0</v>
      </c>
      <c r="BG84" s="22">
        <f>INDEX('Activity data'!BG$24:BG$39,MATCH(Emissions!$D84,'Activity data'!$D$24:$D$39,0))*INDEX(EF!$H$84:$H$99,MATCH(Emissions!$D84,EF!$D$84:$D$99,0))*INDEX(EF!$H$100:$H$115,MATCH(Emissions!$D84,EF!$D$100:$D$115,0))*INDEX(EF!$H$132:$H$147,MATCH(Emissions!$D84,EF!$D$132:$D$147,0))*kgtoGg</f>
        <v>0</v>
      </c>
      <c r="BH84" s="22">
        <f>INDEX('Activity data'!BH$24:BH$39,MATCH(Emissions!$D84,'Activity data'!$D$24:$D$39,0))*INDEX(EF!$H$84:$H$99,MATCH(Emissions!$D84,EF!$D$84:$D$99,0))*INDEX(EF!$H$100:$H$115,MATCH(Emissions!$D84,EF!$D$100:$D$115,0))*INDEX(EF!$H$132:$H$147,MATCH(Emissions!$D84,EF!$D$132:$D$147,0))*kgtoGg</f>
        <v>0</v>
      </c>
      <c r="BI84" s="22">
        <f>INDEX('Activity data'!BI$24:BI$39,MATCH(Emissions!$D84,'Activity data'!$D$24:$D$39,0))*INDEX(EF!$H$84:$H$99,MATCH(Emissions!$D84,EF!$D$84:$D$99,0))*INDEX(EF!$H$100:$H$115,MATCH(Emissions!$D84,EF!$D$100:$D$115,0))*INDEX(EF!$H$132:$H$147,MATCH(Emissions!$D84,EF!$D$132:$D$147,0))*kgtoGg</f>
        <v>0</v>
      </c>
      <c r="BJ84" s="22">
        <f>INDEX('Activity data'!BJ$24:BJ$39,MATCH(Emissions!$D84,'Activity data'!$D$24:$D$39,0))*INDEX(EF!$H$84:$H$99,MATCH(Emissions!$D84,EF!$D$84:$D$99,0))*INDEX(EF!$H$100:$H$115,MATCH(Emissions!$D84,EF!$D$100:$D$115,0))*INDEX(EF!$H$132:$H$147,MATCH(Emissions!$D84,EF!$D$132:$D$147,0))*kgtoGg</f>
        <v>0</v>
      </c>
      <c r="BK84" s="22">
        <f>INDEX('Activity data'!BK$24:BK$39,MATCH(Emissions!$D84,'Activity data'!$D$24:$D$39,0))*INDEX(EF!$H$84:$H$99,MATCH(Emissions!$D84,EF!$D$84:$D$99,0))*INDEX(EF!$H$100:$H$115,MATCH(Emissions!$D84,EF!$D$100:$D$115,0))*INDEX(EF!$H$132:$H$147,MATCH(Emissions!$D84,EF!$D$132:$D$147,0))*kgtoGg</f>
        <v>0</v>
      </c>
      <c r="BL84" s="22">
        <f>INDEX('Activity data'!BL$24:BL$39,MATCH(Emissions!$D84,'Activity data'!$D$24:$D$39,0))*INDEX(EF!$H$84:$H$99,MATCH(Emissions!$D84,EF!$D$84:$D$99,0))*INDEX(EF!$H$100:$H$115,MATCH(Emissions!$D84,EF!$D$100:$D$115,0))*INDEX(EF!$H$132:$H$147,MATCH(Emissions!$D84,EF!$D$132:$D$147,0))*kgtoGg</f>
        <v>0</v>
      </c>
      <c r="BM84" s="22">
        <f>INDEX('Activity data'!BM$24:BM$39,MATCH(Emissions!$D84,'Activity data'!$D$24:$D$39,0))*INDEX(EF!$H$84:$H$99,MATCH(Emissions!$D84,EF!$D$84:$D$99,0))*INDEX(EF!$H$100:$H$115,MATCH(Emissions!$D84,EF!$D$100:$D$115,0))*INDEX(EF!$H$132:$H$147,MATCH(Emissions!$D84,EF!$D$132:$D$147,0))*kgtoGg</f>
        <v>0</v>
      </c>
      <c r="BN84" s="22">
        <f>INDEX('Activity data'!BN$24:BN$39,MATCH(Emissions!$D84,'Activity data'!$D$24:$D$39,0))*INDEX(EF!$H$84:$H$99,MATCH(Emissions!$D84,EF!$D$84:$D$99,0))*INDEX(EF!$H$100:$H$115,MATCH(Emissions!$D84,EF!$D$100:$D$115,0))*INDEX(EF!$H$132:$H$147,MATCH(Emissions!$D84,EF!$D$132:$D$147,0))*kgtoGg</f>
        <v>0</v>
      </c>
      <c r="BO84" s="22">
        <f>INDEX('Activity data'!BO$24:BO$39,MATCH(Emissions!$D84,'Activity data'!$D$24:$D$39,0))*INDEX(EF!$H$84:$H$99,MATCH(Emissions!$D84,EF!$D$84:$D$99,0))*INDEX(EF!$H$100:$H$115,MATCH(Emissions!$D84,EF!$D$100:$D$115,0))*INDEX(EF!$H$132:$H$147,MATCH(Emissions!$D84,EF!$D$132:$D$147,0))*kgtoGg</f>
        <v>0</v>
      </c>
      <c r="BP84" s="22">
        <f>INDEX('Activity data'!BP$24:BP$39,MATCH(Emissions!$D84,'Activity data'!$D$24:$D$39,0))*INDEX(EF!$H$84:$H$99,MATCH(Emissions!$D84,EF!$D$84:$D$99,0))*INDEX(EF!$H$100:$H$115,MATCH(Emissions!$D84,EF!$D$100:$D$115,0))*INDEX(EF!$H$132:$H$147,MATCH(Emissions!$D84,EF!$D$132:$D$147,0))*kgtoGg</f>
        <v>0</v>
      </c>
    </row>
    <row r="85" spans="1:68" x14ac:dyDescent="0.25">
      <c r="A85" t="str">
        <f t="shared" si="19"/>
        <v>3C Aggregated and non-CO2 emissions on land</v>
      </c>
      <c r="B85" t="str">
        <f t="shared" si="26"/>
        <v>3C1 Biomass burning (N2O)</v>
      </c>
      <c r="C85" t="str">
        <f t="shared" si="25"/>
        <v>3C1f Biomass burning in Other lands</v>
      </c>
      <c r="D85" t="str">
        <f>EF!D115</f>
        <v>Bare ground</v>
      </c>
      <c r="E85" t="s">
        <v>655</v>
      </c>
      <c r="F85" t="str">
        <f t="shared" si="27"/>
        <v>N2O</v>
      </c>
      <c r="G85" t="str">
        <f t="shared" si="28"/>
        <v>Gg N2O</v>
      </c>
      <c r="H85" s="22">
        <f>INDEX('Activity data'!H$24:H$39,MATCH(Emissions!$D85,'Activity data'!$D$24:$D$39,0))*INDEX(EF!$H$84:$H$99,MATCH(Emissions!$D85,EF!$D$84:$D$99,0))*INDEX(EF!$H$100:$H$115,MATCH(Emissions!$D85,EF!$D$100:$D$115,0))*INDEX(EF!$H$132:$H$147,MATCH(Emissions!$D85,EF!$D$132:$D$147,0))*kgtoGg</f>
        <v>0</v>
      </c>
      <c r="I85" s="22">
        <f>INDEX('Activity data'!I$24:I$39,MATCH(Emissions!$D85,'Activity data'!$D$24:$D$39,0))*INDEX(EF!$H$84:$H$99,MATCH(Emissions!$D85,EF!$D$84:$D$99,0))*INDEX(EF!$H$100:$H$115,MATCH(Emissions!$D85,EF!$D$100:$D$115,0))*INDEX(EF!$H$132:$H$147,MATCH(Emissions!$D85,EF!$D$132:$D$147,0))*kgtoGg</f>
        <v>0</v>
      </c>
      <c r="J85" s="22">
        <f>INDEX('Activity data'!J$24:J$39,MATCH(Emissions!$D85,'Activity data'!$D$24:$D$39,0))*INDEX(EF!$H$84:$H$99,MATCH(Emissions!$D85,EF!$D$84:$D$99,0))*INDEX(EF!$H$100:$H$115,MATCH(Emissions!$D85,EF!$D$100:$D$115,0))*INDEX(EF!$H$132:$H$147,MATCH(Emissions!$D85,EF!$D$132:$D$147,0))*kgtoGg</f>
        <v>0</v>
      </c>
      <c r="K85" s="22">
        <f>INDEX('Activity data'!K$24:K$39,MATCH(Emissions!$D85,'Activity data'!$D$24:$D$39,0))*INDEX(EF!$H$84:$H$99,MATCH(Emissions!$D85,EF!$D$84:$D$99,0))*INDEX(EF!$H$100:$H$115,MATCH(Emissions!$D85,EF!$D$100:$D$115,0))*INDEX(EF!$H$132:$H$147,MATCH(Emissions!$D85,EF!$D$132:$D$147,0))*kgtoGg</f>
        <v>0</v>
      </c>
      <c r="L85" s="22">
        <f>INDEX('Activity data'!L$24:L$39,MATCH(Emissions!$D85,'Activity data'!$D$24:$D$39,0))*INDEX(EF!$H$84:$H$99,MATCH(Emissions!$D85,EF!$D$84:$D$99,0))*INDEX(EF!$H$100:$H$115,MATCH(Emissions!$D85,EF!$D$100:$D$115,0))*INDEX(EF!$H$132:$H$147,MATCH(Emissions!$D85,EF!$D$132:$D$147,0))*kgtoGg</f>
        <v>0</v>
      </c>
      <c r="M85" s="22">
        <f>INDEX('Activity data'!M$24:M$39,MATCH(Emissions!$D85,'Activity data'!$D$24:$D$39,0))*INDEX(EF!$H$84:$H$99,MATCH(Emissions!$D85,EF!$D$84:$D$99,0))*INDEX(EF!$H$100:$H$115,MATCH(Emissions!$D85,EF!$D$100:$D$115,0))*INDEX(EF!$H$132:$H$147,MATCH(Emissions!$D85,EF!$D$132:$D$147,0))*kgtoGg</f>
        <v>0</v>
      </c>
      <c r="N85" s="22">
        <f>INDEX('Activity data'!N$24:N$39,MATCH(Emissions!$D85,'Activity data'!$D$24:$D$39,0))*INDEX(EF!$H$84:$H$99,MATCH(Emissions!$D85,EF!$D$84:$D$99,0))*INDEX(EF!$H$100:$H$115,MATCH(Emissions!$D85,EF!$D$100:$D$115,0))*INDEX(EF!$H$132:$H$147,MATCH(Emissions!$D85,EF!$D$132:$D$147,0))*kgtoGg</f>
        <v>0</v>
      </c>
      <c r="O85" s="22">
        <f>INDEX('Activity data'!O$24:O$39,MATCH(Emissions!$D85,'Activity data'!$D$24:$D$39,0))*INDEX(EF!$H$84:$H$99,MATCH(Emissions!$D85,EF!$D$84:$D$99,0))*INDEX(EF!$H$100:$H$115,MATCH(Emissions!$D85,EF!$D$100:$D$115,0))*INDEX(EF!$H$132:$H$147,MATCH(Emissions!$D85,EF!$D$132:$D$147,0))*kgtoGg</f>
        <v>0</v>
      </c>
      <c r="P85" s="22">
        <f>INDEX('Activity data'!P$24:P$39,MATCH(Emissions!$D85,'Activity data'!$D$24:$D$39,0))*INDEX(EF!$H$84:$H$99,MATCH(Emissions!$D85,EF!$D$84:$D$99,0))*INDEX(EF!$H$100:$H$115,MATCH(Emissions!$D85,EF!$D$100:$D$115,0))*INDEX(EF!$H$132:$H$147,MATCH(Emissions!$D85,EF!$D$132:$D$147,0))*kgtoGg</f>
        <v>0</v>
      </c>
      <c r="Q85" s="22">
        <f>INDEX('Activity data'!Q$24:Q$39,MATCH(Emissions!$D85,'Activity data'!$D$24:$D$39,0))*INDEX(EF!$H$84:$H$99,MATCH(Emissions!$D85,EF!$D$84:$D$99,0))*INDEX(EF!$H$100:$H$115,MATCH(Emissions!$D85,EF!$D$100:$D$115,0))*INDEX(EF!$H$132:$H$147,MATCH(Emissions!$D85,EF!$D$132:$D$147,0))*kgtoGg</f>
        <v>0</v>
      </c>
      <c r="R85" s="22">
        <f>INDEX('Activity data'!R$24:R$39,MATCH(Emissions!$D85,'Activity data'!$D$24:$D$39,0))*INDEX(EF!$H$84:$H$99,MATCH(Emissions!$D85,EF!$D$84:$D$99,0))*INDEX(EF!$H$100:$H$115,MATCH(Emissions!$D85,EF!$D$100:$D$115,0))*INDEX(EF!$H$132:$H$147,MATCH(Emissions!$D85,EF!$D$132:$D$147,0))*kgtoGg</f>
        <v>0</v>
      </c>
      <c r="S85" s="22">
        <f>INDEX('Activity data'!S$24:S$39,MATCH(Emissions!$D85,'Activity data'!$D$24:$D$39,0))*INDEX(EF!$H$84:$H$99,MATCH(Emissions!$D85,EF!$D$84:$D$99,0))*INDEX(EF!$H$100:$H$115,MATCH(Emissions!$D85,EF!$D$100:$D$115,0))*INDEX(EF!$H$132:$H$147,MATCH(Emissions!$D85,EF!$D$132:$D$147,0))*kgtoGg</f>
        <v>0</v>
      </c>
      <c r="T85" s="22">
        <f>INDEX('Activity data'!T$24:T$39,MATCH(Emissions!$D85,'Activity data'!$D$24:$D$39,0))*INDEX(EF!$H$84:$H$99,MATCH(Emissions!$D85,EF!$D$84:$D$99,0))*INDEX(EF!$H$100:$H$115,MATCH(Emissions!$D85,EF!$D$100:$D$115,0))*INDEX(EF!$H$132:$H$147,MATCH(Emissions!$D85,EF!$D$132:$D$147,0))*kgtoGg</f>
        <v>0</v>
      </c>
      <c r="U85" s="22">
        <f>INDEX('Activity data'!U$24:U$39,MATCH(Emissions!$D85,'Activity data'!$D$24:$D$39,0))*INDEX(EF!$H$84:$H$99,MATCH(Emissions!$D85,EF!$D$84:$D$99,0))*INDEX(EF!$H$100:$H$115,MATCH(Emissions!$D85,EF!$D$100:$D$115,0))*INDEX(EF!$H$132:$H$147,MATCH(Emissions!$D85,EF!$D$132:$D$147,0))*kgtoGg</f>
        <v>0</v>
      </c>
      <c r="V85" s="22">
        <f>INDEX('Activity data'!V$24:V$39,MATCH(Emissions!$D85,'Activity data'!$D$24:$D$39,0))*INDEX(EF!$H$84:$H$99,MATCH(Emissions!$D85,EF!$D$84:$D$99,0))*INDEX(EF!$H$100:$H$115,MATCH(Emissions!$D85,EF!$D$100:$D$115,0))*INDEX(EF!$H$132:$H$147,MATCH(Emissions!$D85,EF!$D$132:$D$147,0))*kgtoGg</f>
        <v>0</v>
      </c>
      <c r="W85" s="22">
        <f>INDEX('Activity data'!W$24:W$39,MATCH(Emissions!$D85,'Activity data'!$D$24:$D$39,0))*INDEX(EF!$H$84:$H$99,MATCH(Emissions!$D85,EF!$D$84:$D$99,0))*INDEX(EF!$H$100:$H$115,MATCH(Emissions!$D85,EF!$D$100:$D$115,0))*INDEX(EF!$H$132:$H$147,MATCH(Emissions!$D85,EF!$D$132:$D$147,0))*kgtoGg</f>
        <v>0</v>
      </c>
      <c r="X85" s="22">
        <f>INDEX('Activity data'!X$24:X$39,MATCH(Emissions!$D85,'Activity data'!$D$24:$D$39,0))*INDEX(EF!$H$84:$H$99,MATCH(Emissions!$D85,EF!$D$84:$D$99,0))*INDEX(EF!$H$100:$H$115,MATCH(Emissions!$D85,EF!$D$100:$D$115,0))*INDEX(EF!$H$132:$H$147,MATCH(Emissions!$D85,EF!$D$132:$D$147,0))*kgtoGg</f>
        <v>0</v>
      </c>
      <c r="Y85" s="22">
        <f>INDEX('Activity data'!Y$24:Y$39,MATCH(Emissions!$D85,'Activity data'!$D$24:$D$39,0))*INDEX(EF!$H$84:$H$99,MATCH(Emissions!$D85,EF!$D$84:$D$99,0))*INDEX(EF!$H$100:$H$115,MATCH(Emissions!$D85,EF!$D$100:$D$115,0))*INDEX(EF!$H$132:$H$147,MATCH(Emissions!$D85,EF!$D$132:$D$147,0))*kgtoGg</f>
        <v>0</v>
      </c>
      <c r="Z85" s="22">
        <f>INDEX('Activity data'!Z$24:Z$39,MATCH(Emissions!$D85,'Activity data'!$D$24:$D$39,0))*INDEX(EF!$H$84:$H$99,MATCH(Emissions!$D85,EF!$D$84:$D$99,0))*INDEX(EF!$H$100:$H$115,MATCH(Emissions!$D85,EF!$D$100:$D$115,0))*INDEX(EF!$H$132:$H$147,MATCH(Emissions!$D85,EF!$D$132:$D$147,0))*kgtoGg</f>
        <v>0</v>
      </c>
      <c r="AA85" s="22">
        <f>INDEX('Activity data'!AA$24:AA$39,MATCH(Emissions!$D85,'Activity data'!$D$24:$D$39,0))*INDEX(EF!$H$84:$H$99,MATCH(Emissions!$D85,EF!$D$84:$D$99,0))*INDEX(EF!$H$100:$H$115,MATCH(Emissions!$D85,EF!$D$100:$D$115,0))*INDEX(EF!$H$132:$H$147,MATCH(Emissions!$D85,EF!$D$132:$D$147,0))*kgtoGg</f>
        <v>0</v>
      </c>
      <c r="AB85" s="22">
        <f>INDEX('Activity data'!AB$24:AB$39,MATCH(Emissions!$D85,'Activity data'!$D$24:$D$39,0))*INDEX(EF!$H$84:$H$99,MATCH(Emissions!$D85,EF!$D$84:$D$99,0))*INDEX(EF!$H$100:$H$115,MATCH(Emissions!$D85,EF!$D$100:$D$115,0))*INDEX(EF!$H$132:$H$147,MATCH(Emissions!$D85,EF!$D$132:$D$147,0))*kgtoGg</f>
        <v>0</v>
      </c>
      <c r="AC85" s="22">
        <f>INDEX('Activity data'!AC$24:AC$39,MATCH(Emissions!$D85,'Activity data'!$D$24:$D$39,0))*INDEX(EF!$H$84:$H$99,MATCH(Emissions!$D85,EF!$D$84:$D$99,0))*INDEX(EF!$H$100:$H$115,MATCH(Emissions!$D85,EF!$D$100:$D$115,0))*INDEX(EF!$H$132:$H$147,MATCH(Emissions!$D85,EF!$D$132:$D$147,0))*kgtoGg</f>
        <v>0</v>
      </c>
      <c r="AD85" s="22">
        <f>INDEX('Activity data'!AD$24:AD$39,MATCH(Emissions!$D85,'Activity data'!$D$24:$D$39,0))*INDEX(EF!$H$84:$H$99,MATCH(Emissions!$D85,EF!$D$84:$D$99,0))*INDEX(EF!$H$100:$H$115,MATCH(Emissions!$D85,EF!$D$100:$D$115,0))*INDEX(EF!$H$132:$H$147,MATCH(Emissions!$D85,EF!$D$132:$D$147,0))*kgtoGg</f>
        <v>0</v>
      </c>
      <c r="AE85" s="22">
        <f>INDEX('Activity data'!AE$24:AE$39,MATCH(Emissions!$D85,'Activity data'!$D$24:$D$39,0))*INDEX(EF!$H$84:$H$99,MATCH(Emissions!$D85,EF!$D$84:$D$99,0))*INDEX(EF!$H$100:$H$115,MATCH(Emissions!$D85,EF!$D$100:$D$115,0))*INDEX(EF!$H$132:$H$147,MATCH(Emissions!$D85,EF!$D$132:$D$147,0))*kgtoGg</f>
        <v>0</v>
      </c>
      <c r="AF85" s="22">
        <f>INDEX('Activity data'!AF$24:AF$39,MATCH(Emissions!$D85,'Activity data'!$D$24:$D$39,0))*INDEX(EF!$H$84:$H$99,MATCH(Emissions!$D85,EF!$D$84:$D$99,0))*INDEX(EF!$H$100:$H$115,MATCH(Emissions!$D85,EF!$D$100:$D$115,0))*INDEX(EF!$H$132:$H$147,MATCH(Emissions!$D85,EF!$D$132:$D$147,0))*kgtoGg</f>
        <v>0</v>
      </c>
      <c r="AG85" s="22">
        <f>INDEX('Activity data'!AG$24:AG$39,MATCH(Emissions!$D85,'Activity data'!$D$24:$D$39,0))*INDEX(EF!$H$84:$H$99,MATCH(Emissions!$D85,EF!$D$84:$D$99,0))*INDEX(EF!$H$100:$H$115,MATCH(Emissions!$D85,EF!$D$100:$D$115,0))*INDEX(EF!$H$132:$H$147,MATCH(Emissions!$D85,EF!$D$132:$D$147,0))*kgtoGg</f>
        <v>0</v>
      </c>
      <c r="AH85" s="22">
        <f>INDEX('Activity data'!AH$24:AH$39,MATCH(Emissions!$D85,'Activity data'!$D$24:$D$39,0))*INDEX(EF!$H$84:$H$99,MATCH(Emissions!$D85,EF!$D$84:$D$99,0))*INDEX(EF!$H$100:$H$115,MATCH(Emissions!$D85,EF!$D$100:$D$115,0))*INDEX(EF!$H$132:$H$147,MATCH(Emissions!$D85,EF!$D$132:$D$147,0))*kgtoGg</f>
        <v>0</v>
      </c>
      <c r="AI85" s="22">
        <f>INDEX('Activity data'!AI$24:AI$39,MATCH(Emissions!$D85,'Activity data'!$D$24:$D$39,0))*INDEX(EF!$H$84:$H$99,MATCH(Emissions!$D85,EF!$D$84:$D$99,0))*INDEX(EF!$H$100:$H$115,MATCH(Emissions!$D85,EF!$D$100:$D$115,0))*INDEX(EF!$H$132:$H$147,MATCH(Emissions!$D85,EF!$D$132:$D$147,0))*kgtoGg</f>
        <v>0</v>
      </c>
      <c r="AJ85" s="22">
        <f>INDEX('Activity data'!AJ$24:AJ$39,MATCH(Emissions!$D85,'Activity data'!$D$24:$D$39,0))*INDEX(EF!$H$84:$H$99,MATCH(Emissions!$D85,EF!$D$84:$D$99,0))*INDEX(EF!$H$100:$H$115,MATCH(Emissions!$D85,EF!$D$100:$D$115,0))*INDEX(EF!$H$132:$H$147,MATCH(Emissions!$D85,EF!$D$132:$D$147,0))*kgtoGg</f>
        <v>0</v>
      </c>
      <c r="AK85" s="22">
        <f>INDEX('Activity data'!AK$24:AK$39,MATCH(Emissions!$D85,'Activity data'!$D$24:$D$39,0))*INDEX(EF!$H$84:$H$99,MATCH(Emissions!$D85,EF!$D$84:$D$99,0))*INDEX(EF!$H$100:$H$115,MATCH(Emissions!$D85,EF!$D$100:$D$115,0))*INDEX(EF!$H$132:$H$147,MATCH(Emissions!$D85,EF!$D$132:$D$147,0))*kgtoGg</f>
        <v>0</v>
      </c>
      <c r="AL85" s="22">
        <f>INDEX('Activity data'!AL$24:AL$39,MATCH(Emissions!$D85,'Activity data'!$D$24:$D$39,0))*INDEX(EF!$H$84:$H$99,MATCH(Emissions!$D85,EF!$D$84:$D$99,0))*INDEX(EF!$H$100:$H$115,MATCH(Emissions!$D85,EF!$D$100:$D$115,0))*INDEX(EF!$H$132:$H$147,MATCH(Emissions!$D85,EF!$D$132:$D$147,0))*kgtoGg</f>
        <v>0</v>
      </c>
      <c r="AM85" s="22">
        <f>INDEX('Activity data'!AM$24:AM$39,MATCH(Emissions!$D85,'Activity data'!$D$24:$D$39,0))*INDEX(EF!$H$84:$H$99,MATCH(Emissions!$D85,EF!$D$84:$D$99,0))*INDEX(EF!$H$100:$H$115,MATCH(Emissions!$D85,EF!$D$100:$D$115,0))*INDEX(EF!$H$132:$H$147,MATCH(Emissions!$D85,EF!$D$132:$D$147,0))*kgtoGg</f>
        <v>0</v>
      </c>
      <c r="AN85" s="22">
        <f>INDEX('Activity data'!AN$24:AN$39,MATCH(Emissions!$D85,'Activity data'!$D$24:$D$39,0))*INDEX(EF!$H$84:$H$99,MATCH(Emissions!$D85,EF!$D$84:$D$99,0))*INDEX(EF!$H$100:$H$115,MATCH(Emissions!$D85,EF!$D$100:$D$115,0))*INDEX(EF!$H$132:$H$147,MATCH(Emissions!$D85,EF!$D$132:$D$147,0))*kgtoGg</f>
        <v>0</v>
      </c>
      <c r="AO85" s="22">
        <f>INDEX('Activity data'!AO$24:AO$39,MATCH(Emissions!$D85,'Activity data'!$D$24:$D$39,0))*INDEX(EF!$H$84:$H$99,MATCH(Emissions!$D85,EF!$D$84:$D$99,0))*INDEX(EF!$H$100:$H$115,MATCH(Emissions!$D85,EF!$D$100:$D$115,0))*INDEX(EF!$H$132:$H$147,MATCH(Emissions!$D85,EF!$D$132:$D$147,0))*kgtoGg</f>
        <v>0</v>
      </c>
      <c r="AP85" s="22">
        <f>INDEX('Activity data'!AP$24:AP$39,MATCH(Emissions!$D85,'Activity data'!$D$24:$D$39,0))*INDEX(EF!$H$84:$H$99,MATCH(Emissions!$D85,EF!$D$84:$D$99,0))*INDEX(EF!$H$100:$H$115,MATCH(Emissions!$D85,EF!$D$100:$D$115,0))*INDEX(EF!$H$132:$H$147,MATCH(Emissions!$D85,EF!$D$132:$D$147,0))*kgtoGg</f>
        <v>0</v>
      </c>
      <c r="AQ85" s="22">
        <f>INDEX('Activity data'!AQ$24:AQ$39,MATCH(Emissions!$D85,'Activity data'!$D$24:$D$39,0))*INDEX(EF!$H$84:$H$99,MATCH(Emissions!$D85,EF!$D$84:$D$99,0))*INDEX(EF!$H$100:$H$115,MATCH(Emissions!$D85,EF!$D$100:$D$115,0))*INDEX(EF!$H$132:$H$147,MATCH(Emissions!$D85,EF!$D$132:$D$147,0))*kgtoGg</f>
        <v>0</v>
      </c>
      <c r="AR85" s="22">
        <f>INDEX('Activity data'!AR$24:AR$39,MATCH(Emissions!$D85,'Activity data'!$D$24:$D$39,0))*INDEX(EF!$H$84:$H$99,MATCH(Emissions!$D85,EF!$D$84:$D$99,0))*INDEX(EF!$H$100:$H$115,MATCH(Emissions!$D85,EF!$D$100:$D$115,0))*INDEX(EF!$H$132:$H$147,MATCH(Emissions!$D85,EF!$D$132:$D$147,0))*kgtoGg</f>
        <v>0</v>
      </c>
      <c r="AS85" s="22">
        <f>INDEX('Activity data'!AS$24:AS$39,MATCH(Emissions!$D85,'Activity data'!$D$24:$D$39,0))*INDEX(EF!$H$84:$H$99,MATCH(Emissions!$D85,EF!$D$84:$D$99,0))*INDEX(EF!$H$100:$H$115,MATCH(Emissions!$D85,EF!$D$100:$D$115,0))*INDEX(EF!$H$132:$H$147,MATCH(Emissions!$D85,EF!$D$132:$D$147,0))*kgtoGg</f>
        <v>0</v>
      </c>
      <c r="AT85" s="22">
        <f>INDEX('Activity data'!AT$24:AT$39,MATCH(Emissions!$D85,'Activity data'!$D$24:$D$39,0))*INDEX(EF!$H$84:$H$99,MATCH(Emissions!$D85,EF!$D$84:$D$99,0))*INDEX(EF!$H$100:$H$115,MATCH(Emissions!$D85,EF!$D$100:$D$115,0))*INDEX(EF!$H$132:$H$147,MATCH(Emissions!$D85,EF!$D$132:$D$147,0))*kgtoGg</f>
        <v>0</v>
      </c>
      <c r="AU85" s="22">
        <f>INDEX('Activity data'!AU$24:AU$39,MATCH(Emissions!$D85,'Activity data'!$D$24:$D$39,0))*INDEX(EF!$H$84:$H$99,MATCH(Emissions!$D85,EF!$D$84:$D$99,0))*INDEX(EF!$H$100:$H$115,MATCH(Emissions!$D85,EF!$D$100:$D$115,0))*INDEX(EF!$H$132:$H$147,MATCH(Emissions!$D85,EF!$D$132:$D$147,0))*kgtoGg</f>
        <v>0</v>
      </c>
      <c r="AV85" s="22">
        <f>INDEX('Activity data'!AV$24:AV$39,MATCH(Emissions!$D85,'Activity data'!$D$24:$D$39,0))*INDEX(EF!$H$84:$H$99,MATCH(Emissions!$D85,EF!$D$84:$D$99,0))*INDEX(EF!$H$100:$H$115,MATCH(Emissions!$D85,EF!$D$100:$D$115,0))*INDEX(EF!$H$132:$H$147,MATCH(Emissions!$D85,EF!$D$132:$D$147,0))*kgtoGg</f>
        <v>0</v>
      </c>
      <c r="AW85" s="22">
        <f>INDEX('Activity data'!AW$24:AW$39,MATCH(Emissions!$D85,'Activity data'!$D$24:$D$39,0))*INDEX(EF!$H$84:$H$99,MATCH(Emissions!$D85,EF!$D$84:$D$99,0))*INDEX(EF!$H$100:$H$115,MATCH(Emissions!$D85,EF!$D$100:$D$115,0))*INDEX(EF!$H$132:$H$147,MATCH(Emissions!$D85,EF!$D$132:$D$147,0))*kgtoGg</f>
        <v>0</v>
      </c>
      <c r="AX85" s="22">
        <f>INDEX('Activity data'!AX$24:AX$39,MATCH(Emissions!$D85,'Activity data'!$D$24:$D$39,0))*INDEX(EF!$H$84:$H$99,MATCH(Emissions!$D85,EF!$D$84:$D$99,0))*INDEX(EF!$H$100:$H$115,MATCH(Emissions!$D85,EF!$D$100:$D$115,0))*INDEX(EF!$H$132:$H$147,MATCH(Emissions!$D85,EF!$D$132:$D$147,0))*kgtoGg</f>
        <v>0</v>
      </c>
      <c r="AY85" s="22">
        <f>INDEX('Activity data'!AY$24:AY$39,MATCH(Emissions!$D85,'Activity data'!$D$24:$D$39,0))*INDEX(EF!$H$84:$H$99,MATCH(Emissions!$D85,EF!$D$84:$D$99,0))*INDEX(EF!$H$100:$H$115,MATCH(Emissions!$D85,EF!$D$100:$D$115,0))*INDEX(EF!$H$132:$H$147,MATCH(Emissions!$D85,EF!$D$132:$D$147,0))*kgtoGg</f>
        <v>0</v>
      </c>
      <c r="AZ85" s="22">
        <f>INDEX('Activity data'!AZ$24:AZ$39,MATCH(Emissions!$D85,'Activity data'!$D$24:$D$39,0))*INDEX(EF!$H$84:$H$99,MATCH(Emissions!$D85,EF!$D$84:$D$99,0))*INDEX(EF!$H$100:$H$115,MATCH(Emissions!$D85,EF!$D$100:$D$115,0))*INDEX(EF!$H$132:$H$147,MATCH(Emissions!$D85,EF!$D$132:$D$147,0))*kgtoGg</f>
        <v>0</v>
      </c>
      <c r="BA85" s="22">
        <f>INDEX('Activity data'!BA$24:BA$39,MATCH(Emissions!$D85,'Activity data'!$D$24:$D$39,0))*INDEX(EF!$H$84:$H$99,MATCH(Emissions!$D85,EF!$D$84:$D$99,0))*INDEX(EF!$H$100:$H$115,MATCH(Emissions!$D85,EF!$D$100:$D$115,0))*INDEX(EF!$H$132:$H$147,MATCH(Emissions!$D85,EF!$D$132:$D$147,0))*kgtoGg</f>
        <v>0</v>
      </c>
      <c r="BB85" s="22">
        <f>INDEX('Activity data'!BB$24:BB$39,MATCH(Emissions!$D85,'Activity data'!$D$24:$D$39,0))*INDEX(EF!$H$84:$H$99,MATCH(Emissions!$D85,EF!$D$84:$D$99,0))*INDEX(EF!$H$100:$H$115,MATCH(Emissions!$D85,EF!$D$100:$D$115,0))*INDEX(EF!$H$132:$H$147,MATCH(Emissions!$D85,EF!$D$132:$D$147,0))*kgtoGg</f>
        <v>0</v>
      </c>
      <c r="BC85" s="22">
        <f>INDEX('Activity data'!BC$24:BC$39,MATCH(Emissions!$D85,'Activity data'!$D$24:$D$39,0))*INDEX(EF!$H$84:$H$99,MATCH(Emissions!$D85,EF!$D$84:$D$99,0))*INDEX(EF!$H$100:$H$115,MATCH(Emissions!$D85,EF!$D$100:$D$115,0))*INDEX(EF!$H$132:$H$147,MATCH(Emissions!$D85,EF!$D$132:$D$147,0))*kgtoGg</f>
        <v>0</v>
      </c>
      <c r="BD85" s="22">
        <f>INDEX('Activity data'!BD$24:BD$39,MATCH(Emissions!$D85,'Activity data'!$D$24:$D$39,0))*INDEX(EF!$H$84:$H$99,MATCH(Emissions!$D85,EF!$D$84:$D$99,0))*INDEX(EF!$H$100:$H$115,MATCH(Emissions!$D85,EF!$D$100:$D$115,0))*INDEX(EF!$H$132:$H$147,MATCH(Emissions!$D85,EF!$D$132:$D$147,0))*kgtoGg</f>
        <v>0</v>
      </c>
      <c r="BE85" s="22">
        <f>INDEX('Activity data'!BE$24:BE$39,MATCH(Emissions!$D85,'Activity data'!$D$24:$D$39,0))*INDEX(EF!$H$84:$H$99,MATCH(Emissions!$D85,EF!$D$84:$D$99,0))*INDEX(EF!$H$100:$H$115,MATCH(Emissions!$D85,EF!$D$100:$D$115,0))*INDEX(EF!$H$132:$H$147,MATCH(Emissions!$D85,EF!$D$132:$D$147,0))*kgtoGg</f>
        <v>0</v>
      </c>
      <c r="BF85" s="22">
        <f>INDEX('Activity data'!BF$24:BF$39,MATCH(Emissions!$D85,'Activity data'!$D$24:$D$39,0))*INDEX(EF!$H$84:$H$99,MATCH(Emissions!$D85,EF!$D$84:$D$99,0))*INDEX(EF!$H$100:$H$115,MATCH(Emissions!$D85,EF!$D$100:$D$115,0))*INDEX(EF!$H$132:$H$147,MATCH(Emissions!$D85,EF!$D$132:$D$147,0))*kgtoGg</f>
        <v>0</v>
      </c>
      <c r="BG85" s="22">
        <f>INDEX('Activity data'!BG$24:BG$39,MATCH(Emissions!$D85,'Activity data'!$D$24:$D$39,0))*INDEX(EF!$H$84:$H$99,MATCH(Emissions!$D85,EF!$D$84:$D$99,0))*INDEX(EF!$H$100:$H$115,MATCH(Emissions!$D85,EF!$D$100:$D$115,0))*INDEX(EF!$H$132:$H$147,MATCH(Emissions!$D85,EF!$D$132:$D$147,0))*kgtoGg</f>
        <v>0</v>
      </c>
      <c r="BH85" s="22">
        <f>INDEX('Activity data'!BH$24:BH$39,MATCH(Emissions!$D85,'Activity data'!$D$24:$D$39,0))*INDEX(EF!$H$84:$H$99,MATCH(Emissions!$D85,EF!$D$84:$D$99,0))*INDEX(EF!$H$100:$H$115,MATCH(Emissions!$D85,EF!$D$100:$D$115,0))*INDEX(EF!$H$132:$H$147,MATCH(Emissions!$D85,EF!$D$132:$D$147,0))*kgtoGg</f>
        <v>0</v>
      </c>
      <c r="BI85" s="22">
        <f>INDEX('Activity data'!BI$24:BI$39,MATCH(Emissions!$D85,'Activity data'!$D$24:$D$39,0))*INDEX(EF!$H$84:$H$99,MATCH(Emissions!$D85,EF!$D$84:$D$99,0))*INDEX(EF!$H$100:$H$115,MATCH(Emissions!$D85,EF!$D$100:$D$115,0))*INDEX(EF!$H$132:$H$147,MATCH(Emissions!$D85,EF!$D$132:$D$147,0))*kgtoGg</f>
        <v>0</v>
      </c>
      <c r="BJ85" s="22">
        <f>INDEX('Activity data'!BJ$24:BJ$39,MATCH(Emissions!$D85,'Activity data'!$D$24:$D$39,0))*INDEX(EF!$H$84:$H$99,MATCH(Emissions!$D85,EF!$D$84:$D$99,0))*INDEX(EF!$H$100:$H$115,MATCH(Emissions!$D85,EF!$D$100:$D$115,0))*INDEX(EF!$H$132:$H$147,MATCH(Emissions!$D85,EF!$D$132:$D$147,0))*kgtoGg</f>
        <v>0</v>
      </c>
      <c r="BK85" s="22">
        <f>INDEX('Activity data'!BK$24:BK$39,MATCH(Emissions!$D85,'Activity data'!$D$24:$D$39,0))*INDEX(EF!$H$84:$H$99,MATCH(Emissions!$D85,EF!$D$84:$D$99,0))*INDEX(EF!$H$100:$H$115,MATCH(Emissions!$D85,EF!$D$100:$D$115,0))*INDEX(EF!$H$132:$H$147,MATCH(Emissions!$D85,EF!$D$132:$D$147,0))*kgtoGg</f>
        <v>0</v>
      </c>
      <c r="BL85" s="22">
        <f>INDEX('Activity data'!BL$24:BL$39,MATCH(Emissions!$D85,'Activity data'!$D$24:$D$39,0))*INDEX(EF!$H$84:$H$99,MATCH(Emissions!$D85,EF!$D$84:$D$99,0))*INDEX(EF!$H$100:$H$115,MATCH(Emissions!$D85,EF!$D$100:$D$115,0))*INDEX(EF!$H$132:$H$147,MATCH(Emissions!$D85,EF!$D$132:$D$147,0))*kgtoGg</f>
        <v>0</v>
      </c>
      <c r="BM85" s="22">
        <f>INDEX('Activity data'!BM$24:BM$39,MATCH(Emissions!$D85,'Activity data'!$D$24:$D$39,0))*INDEX(EF!$H$84:$H$99,MATCH(Emissions!$D85,EF!$D$84:$D$99,0))*INDEX(EF!$H$100:$H$115,MATCH(Emissions!$D85,EF!$D$100:$D$115,0))*INDEX(EF!$H$132:$H$147,MATCH(Emissions!$D85,EF!$D$132:$D$147,0))*kgtoGg</f>
        <v>0</v>
      </c>
      <c r="BN85" s="22">
        <f>INDEX('Activity data'!BN$24:BN$39,MATCH(Emissions!$D85,'Activity data'!$D$24:$D$39,0))*INDEX(EF!$H$84:$H$99,MATCH(Emissions!$D85,EF!$D$84:$D$99,0))*INDEX(EF!$H$100:$H$115,MATCH(Emissions!$D85,EF!$D$100:$D$115,0))*INDEX(EF!$H$132:$H$147,MATCH(Emissions!$D85,EF!$D$132:$D$147,0))*kgtoGg</f>
        <v>0</v>
      </c>
      <c r="BO85" s="22">
        <f>INDEX('Activity data'!BO$24:BO$39,MATCH(Emissions!$D85,'Activity data'!$D$24:$D$39,0))*INDEX(EF!$H$84:$H$99,MATCH(Emissions!$D85,EF!$D$84:$D$99,0))*INDEX(EF!$H$100:$H$115,MATCH(Emissions!$D85,EF!$D$100:$D$115,0))*INDEX(EF!$H$132:$H$147,MATCH(Emissions!$D85,EF!$D$132:$D$147,0))*kgtoGg</f>
        <v>0</v>
      </c>
      <c r="BP85" s="22">
        <f>INDEX('Activity data'!BP$24:BP$39,MATCH(Emissions!$D85,'Activity data'!$D$24:$D$39,0))*INDEX(EF!$H$84:$H$99,MATCH(Emissions!$D85,EF!$D$84:$D$99,0))*INDEX(EF!$H$100:$H$115,MATCH(Emissions!$D85,EF!$D$100:$D$115,0))*INDEX(EF!$H$132:$H$147,MATCH(Emissions!$D85,EF!$D$132:$D$147,0))*kgtoGg</f>
        <v>0</v>
      </c>
    </row>
    <row r="86" spans="1:68" x14ac:dyDescent="0.25">
      <c r="A86" t="str">
        <f>A85</f>
        <v>3C Aggregated and non-CO2 emissions on land</v>
      </c>
      <c r="B86" t="str">
        <f>'IPCC Categories'!B71</f>
        <v>3C2 Liming (CO2)</v>
      </c>
      <c r="E86" t="s">
        <v>381</v>
      </c>
      <c r="F86" t="s">
        <v>380</v>
      </c>
      <c r="G86" t="s">
        <v>382</v>
      </c>
      <c r="H86" s="22">
        <f>'Activity data'!H45*EF!$H$149*CtoCO2*ttoGg</f>
        <v>357.5</v>
      </c>
      <c r="I86" s="22">
        <f>'Activity data'!I45*EF!$H$149*CtoCO2*ttoGg</f>
        <v>378.125</v>
      </c>
      <c r="J86" s="22">
        <f>'Activity data'!J45*EF!$H$149*CtoCO2*ttoGg</f>
        <v>261.25</v>
      </c>
      <c r="K86" s="22">
        <f>'Activity data'!K45*EF!$H$149*CtoCO2*ttoGg</f>
        <v>412.5</v>
      </c>
      <c r="L86" s="22">
        <f>'Activity data'!L45*EF!$H$149*CtoCO2*ttoGg</f>
        <v>595.58170833333327</v>
      </c>
      <c r="M86" s="22">
        <f>'Activity data'!M45*EF!$H$149*CtoCO2*ttoGg</f>
        <v>473.34145833333332</v>
      </c>
      <c r="N86" s="22">
        <f>'Activity data'!N45*EF!$H$149*CtoCO2*ttoGg</f>
        <v>579.13625000000002</v>
      </c>
      <c r="O86" s="22">
        <f>'Activity data'!O45*EF!$H$149*CtoCO2*ttoGg</f>
        <v>547.24312499999996</v>
      </c>
      <c r="P86" s="22">
        <f>'Activity data'!P45*EF!$H$149*CtoCO2*ttoGg</f>
        <v>570.31379166666659</v>
      </c>
      <c r="Q86" s="22">
        <f>'Activity data'!Q45*EF!$H$149*CtoCO2*ttoGg</f>
        <v>567.03808333333325</v>
      </c>
      <c r="R86" s="22">
        <f>'Activity data'!R45*EF!$H$149*CtoCO2*ttoGg</f>
        <v>378.2405</v>
      </c>
      <c r="S86" s="22">
        <f>'Activity data'!S45*EF!$H$149*CtoCO2*ttoGg</f>
        <v>489.66362500000002</v>
      </c>
      <c r="T86" s="22">
        <f>'Activity data'!T45*EF!$H$149*CtoCO2*ttoGg</f>
        <v>672.79437500000006</v>
      </c>
      <c r="U86" s="22">
        <f>'Activity data'!U45*EF!$H$149*CtoCO2*ttoGg</f>
        <v>580.13175000000001</v>
      </c>
      <c r="V86" s="22">
        <f>'Activity data'!V45*EF!$H$149*CtoCO2*ttoGg</f>
        <v>579.7403333333333</v>
      </c>
      <c r="W86" s="22">
        <f>'Activity data'!W45*EF!$H$149*CtoCO2*ttoGg</f>
        <v>266.03683333333333</v>
      </c>
      <c r="X86" s="22">
        <f>'Activity data'!X45*EF!$H$149*CtoCO2*ttoGg</f>
        <v>441.42908333333332</v>
      </c>
      <c r="Y86" s="22">
        <f>'Activity data'!Y45*EF!$H$149*CtoCO2*ttoGg</f>
        <v>521.42108333333329</v>
      </c>
      <c r="Z86" s="22">
        <f>'Activity data'!Z45*EF!$H$149*CtoCO2*ttoGg</f>
        <v>655.32637499999998</v>
      </c>
      <c r="AA86" s="22">
        <f>'Activity data'!AA45*EF!$H$149*CtoCO2*ttoGg</f>
        <v>695.56775237855516</v>
      </c>
      <c r="AB86" s="22">
        <f>'Activity data'!AB45*EF!$H$149*CtoCO2*ttoGg</f>
        <v>653.23730656422072</v>
      </c>
      <c r="AC86" s="22">
        <f>'Activity data'!AC45*EF!$H$149*CtoCO2*ttoGg</f>
        <v>722.61220387104663</v>
      </c>
      <c r="AD86" s="22">
        <f>'Activity data'!AD45*EF!$H$149*CtoCO2*ttoGg</f>
        <v>886.46691832724639</v>
      </c>
      <c r="AE86" s="22">
        <f>'Activity data'!AE45*EF!$H$149*CtoCO2*ttoGg</f>
        <v>888.8539802377943</v>
      </c>
      <c r="AF86" s="22">
        <f>'Activity data'!AF45*EF!$H$149*CtoCO2*ttoGg</f>
        <v>892.11591690555679</v>
      </c>
      <c r="AG86" s="22">
        <f>'Activity data'!AG45*EF!$H$149*CtoCO2*ttoGg</f>
        <v>894.48365036682526</v>
      </c>
      <c r="AH86" s="22">
        <f>'Activity data'!AH45*EF!$H$149*CtoCO2*ttoGg</f>
        <v>895.63671892685147</v>
      </c>
      <c r="AI86" s="22">
        <f>'Activity data'!AI45*EF!$H$149*CtoCO2*ttoGg</f>
        <v>896.77480880606822</v>
      </c>
      <c r="AJ86" s="22">
        <f>'Activity data'!AJ45*EF!$H$149*CtoCO2*ttoGg</f>
        <v>898.49646270469111</v>
      </c>
      <c r="AK86" s="22">
        <f>'Activity data'!AK45*EF!$H$149*CtoCO2*ttoGg</f>
        <v>900.38142148545217</v>
      </c>
      <c r="AL86" s="22">
        <f>'Activity data'!AL45*EF!$H$149*CtoCO2*ttoGg</f>
        <v>900.99830242057169</v>
      </c>
      <c r="AM86" s="22">
        <f>'Activity data'!AM45*EF!$H$149*CtoCO2*ttoGg</f>
        <v>889.66719901995361</v>
      </c>
      <c r="AN86" s="22">
        <f>'Activity data'!AN45*EF!$H$149*CtoCO2*ttoGg</f>
        <v>893.20175352101023</v>
      </c>
      <c r="AO86" s="22">
        <f>'Activity data'!AO45*EF!$H$149*CtoCO2*ttoGg</f>
        <v>896.37958965851215</v>
      </c>
      <c r="AP86" s="22">
        <f>'Activity data'!AP45*EF!$H$149*CtoCO2*ttoGg</f>
        <v>899.52796651639687</v>
      </c>
      <c r="AQ86" s="22">
        <f>'Activity data'!AQ45*EF!$H$149*CtoCO2*ttoGg</f>
        <v>903.14197529554713</v>
      </c>
      <c r="AR86" s="22">
        <f>'Activity data'!AR45*EF!$H$149*CtoCO2*ttoGg</f>
        <v>906.71675954110367</v>
      </c>
      <c r="AS86" s="22">
        <f>'Activity data'!AS45*EF!$H$149*CtoCO2*ttoGg</f>
        <v>910.34114366574249</v>
      </c>
      <c r="AT86" s="22">
        <f>'Activity data'!AT45*EF!$H$149*CtoCO2*ttoGg</f>
        <v>913.8112544636009</v>
      </c>
      <c r="AU86" s="22">
        <f>'Activity data'!AU45*EF!$H$149*CtoCO2*ttoGg</f>
        <v>917.42968502221754</v>
      </c>
      <c r="AV86" s="22">
        <f>'Activity data'!AV45*EF!$H$149*CtoCO2*ttoGg</f>
        <v>920.79096517926757</v>
      </c>
      <c r="AW86" s="22">
        <f>'Activity data'!AW45*EF!$H$149*CtoCO2*ttoGg</f>
        <v>924.18223016555146</v>
      </c>
      <c r="AX86" s="22">
        <f>'Activity data'!AX45*EF!$H$149*CtoCO2*ttoGg</f>
        <v>928.12851356454928</v>
      </c>
      <c r="AY86" s="22">
        <f>'Activity data'!AY45*EF!$H$149*CtoCO2*ttoGg</f>
        <v>932.29458147366915</v>
      </c>
      <c r="AZ86" s="22">
        <f>'Activity data'!AZ45*EF!$H$149*CtoCO2*ttoGg</f>
        <v>936.51320053616291</v>
      </c>
      <c r="BA86" s="22">
        <f>'Activity data'!BA45*EF!$H$149*CtoCO2*ttoGg</f>
        <v>937.35041504811659</v>
      </c>
      <c r="BB86" s="22">
        <f>'Activity data'!BB45*EF!$H$149*CtoCO2*ttoGg</f>
        <v>589.44115069085547</v>
      </c>
      <c r="BC86" s="22">
        <f>'Activity data'!BC45*EF!$H$149*CtoCO2*ttoGg</f>
        <v>588.82564419868595</v>
      </c>
      <c r="BD86" s="22">
        <f>'Activity data'!BD45*EF!$H$149*CtoCO2*ttoGg</f>
        <v>588.20365849957375</v>
      </c>
      <c r="BE86" s="22">
        <f>'Activity data'!BE45*EF!$H$149*CtoCO2*ttoGg</f>
        <v>587.5751043341877</v>
      </c>
      <c r="BF86" s="22">
        <f>'Activity data'!BF45*EF!$H$149*CtoCO2*ttoGg</f>
        <v>586.93989076430898</v>
      </c>
      <c r="BG86" s="22">
        <f>'Activity data'!BG45*EF!$H$149*CtoCO2*ttoGg</f>
        <v>586.29792513092821</v>
      </c>
      <c r="BH86" s="22">
        <f>'Activity data'!BH45*EF!$H$149*CtoCO2*ttoGg</f>
        <v>585.74764217221855</v>
      </c>
      <c r="BI86" s="22">
        <f>'Activity data'!BI45*EF!$H$149*CtoCO2*ttoGg</f>
        <v>585.19236759087596</v>
      </c>
      <c r="BJ86" s="22">
        <f>'Activity data'!BJ45*EF!$H$149*CtoCO2*ttoGg</f>
        <v>584.6320416605073</v>
      </c>
      <c r="BK86" s="22">
        <f>'Activity data'!BK45*EF!$H$149*CtoCO2*ttoGg</f>
        <v>584.06660367487802</v>
      </c>
      <c r="BL86" s="22">
        <f>'Activity data'!BL45*EF!$H$149*CtoCO2*ttoGg</f>
        <v>583.49599192657536</v>
      </c>
      <c r="BM86" s="22">
        <f>'Activity data'!BM45*EF!$H$149*CtoCO2*ttoGg</f>
        <v>583.02281981030717</v>
      </c>
      <c r="BN86" s="22">
        <f>'Activity data'!BN45*EF!$H$149*CtoCO2*ttoGg</f>
        <v>582.54607093944685</v>
      </c>
      <c r="BO86" s="22">
        <f>'Activity data'!BO45*EF!$H$149*CtoCO2*ttoGg</f>
        <v>582.06570941053144</v>
      </c>
      <c r="BP86" s="22">
        <f>'Activity data'!BP45*EF!$H$149*CtoCO2*ttoGg</f>
        <v>581.58169882431378</v>
      </c>
    </row>
    <row r="87" spans="1:68" x14ac:dyDescent="0.25">
      <c r="A87" t="str">
        <f>A86</f>
        <v>3C Aggregated and non-CO2 emissions on land</v>
      </c>
      <c r="B87" t="str">
        <f>'IPCC Categories'!B72</f>
        <v>3C3 Urea application (CO2)</v>
      </c>
      <c r="E87" t="s">
        <v>387</v>
      </c>
      <c r="F87" t="s">
        <v>380</v>
      </c>
      <c r="G87" t="s">
        <v>382</v>
      </c>
      <c r="H87" s="22">
        <f>'Activity data'!H46*EF!$H$150*CtoCO2*ttoGg</f>
        <v>90.994567483487728</v>
      </c>
      <c r="I87" s="22">
        <f>'Activity data'!I46*EF!$H$150*CtoCO2*ttoGg</f>
        <v>111.62690198838213</v>
      </c>
      <c r="J87" s="22">
        <f>'Activity data'!J46*EF!$H$150*CtoCO2*ttoGg</f>
        <v>132.25923649327655</v>
      </c>
      <c r="K87" s="22">
        <f>'Activity data'!K46*EF!$H$150*CtoCO2*ttoGg</f>
        <v>152.89157099816552</v>
      </c>
      <c r="L87" s="22">
        <f>'Activity data'!L46*EF!$H$150*CtoCO2*ttoGg</f>
        <v>173.52390550305992</v>
      </c>
      <c r="M87" s="22">
        <f>'Activity data'!M46*EF!$H$150*CtoCO2*ttoGg</f>
        <v>194.15624000795432</v>
      </c>
      <c r="N87" s="22">
        <f>'Activity data'!N46*EF!$H$150*CtoCO2*ttoGg</f>
        <v>214.78857451284878</v>
      </c>
      <c r="O87" s="22">
        <f>'Activity data'!O46*EF!$H$150*CtoCO2*ttoGg</f>
        <v>235.42090901774316</v>
      </c>
      <c r="P87" s="22">
        <f>'Activity data'!P46*EF!$H$150*CtoCO2*ttoGg</f>
        <v>256.05324352263762</v>
      </c>
      <c r="Q87" s="22">
        <f>'Activity data'!Q46*EF!$H$150*CtoCO2*ttoGg</f>
        <v>276.68557802753202</v>
      </c>
      <c r="R87" s="22">
        <f>'Activity data'!R46*EF!$H$150*CtoCO2*ttoGg</f>
        <v>297.31791253242642</v>
      </c>
      <c r="S87" s="22">
        <f>'Activity data'!S46*EF!$H$150*CtoCO2*ttoGg</f>
        <v>317.95024703732088</v>
      </c>
      <c r="T87" s="22">
        <f>'Activity data'!T46*EF!$H$150*CtoCO2*ttoGg</f>
        <v>338.58258154220977</v>
      </c>
      <c r="U87" s="22">
        <f>'Activity data'!U46*EF!$H$150*CtoCO2*ttoGg</f>
        <v>359.21491604710423</v>
      </c>
      <c r="V87" s="22">
        <f>'Activity data'!V46*EF!$H$150*CtoCO2*ttoGg</f>
        <v>435.89846666666671</v>
      </c>
      <c r="W87" s="22">
        <f>'Activity data'!W46*EF!$H$150*CtoCO2*ttoGg</f>
        <v>355.08659999999998</v>
      </c>
      <c r="X87" s="22">
        <f>'Activity data'!X46*EF!$H$150*CtoCO2*ttoGg</f>
        <v>393.08573333333334</v>
      </c>
      <c r="Y87" s="22">
        <f>'Activity data'!Y46*EF!$H$150*CtoCO2*ttoGg</f>
        <v>484.55366666666663</v>
      </c>
      <c r="Z87" s="22">
        <f>'Activity data'!Z46*EF!$H$150*CtoCO2*ttoGg</f>
        <v>480.19253333333336</v>
      </c>
      <c r="AA87" s="22">
        <f>'Activity data'!AA46*EF!$H$150*CtoCO2*ttoGg</f>
        <v>380.54426666666666</v>
      </c>
      <c r="AB87" s="22">
        <f>'Activity data'!AB46*EF!$H$150*CtoCO2*ttoGg</f>
        <v>501.48046666666664</v>
      </c>
      <c r="AC87" s="22">
        <f>'Activity data'!AC46*EF!$H$150*CtoCO2*ttoGg</f>
        <v>571.19113333333337</v>
      </c>
      <c r="AD87" s="22">
        <f>'Activity data'!AD46*EF!$H$150*CtoCO2*ttoGg</f>
        <v>470.0955092083982</v>
      </c>
      <c r="AE87" s="22">
        <f>'Activity data'!AE46*EF!$H$150*CtoCO2*ttoGg</f>
        <v>470.03536519379952</v>
      </c>
      <c r="AF87" s="22">
        <f>'Activity data'!AF46*EF!$H$150*CtoCO2*ttoGg</f>
        <v>469.95317798043089</v>
      </c>
      <c r="AG87" s="22">
        <f>'Activity data'!AG46*EF!$H$150*CtoCO2*ttoGg</f>
        <v>469.89352096222319</v>
      </c>
      <c r="AH87" s="22">
        <f>'Activity data'!AH46*EF!$H$150*CtoCO2*ttoGg</f>
        <v>469.86446843869999</v>
      </c>
      <c r="AI87" s="22">
        <f>'Activity data'!AI46*EF!$H$150*CtoCO2*ttoGg</f>
        <v>469.83579331552539</v>
      </c>
      <c r="AJ87" s="22">
        <f>'Activity data'!AJ46*EF!$H$150*CtoCO2*ttoGg</f>
        <v>469.79241481044551</v>
      </c>
      <c r="AK87" s="22">
        <f>'Activity data'!AK46*EF!$H$150*CtoCO2*ttoGg</f>
        <v>469.7449217027355</v>
      </c>
      <c r="AL87" s="22">
        <f>'Activity data'!AL46*EF!$H$150*CtoCO2*ttoGg</f>
        <v>469.72937887336718</v>
      </c>
      <c r="AM87" s="22">
        <f>'Activity data'!AM46*EF!$H$150*CtoCO2*ttoGg</f>
        <v>470.01487546871522</v>
      </c>
      <c r="AN87" s="22">
        <f>'Activity data'!AN46*EF!$H$150*CtoCO2*ttoGg</f>
        <v>469.92581942179322</v>
      </c>
      <c r="AO87" s="22">
        <f>'Activity data'!AO46*EF!$H$150*CtoCO2*ttoGg</f>
        <v>469.84575119138754</v>
      </c>
      <c r="AP87" s="22">
        <f>'Activity data'!AP46*EF!$H$150*CtoCO2*ttoGg</f>
        <v>469.76642521208788</v>
      </c>
      <c r="AQ87" s="22">
        <f>'Activity data'!AQ46*EF!$H$150*CtoCO2*ttoGg</f>
        <v>469.67536724839931</v>
      </c>
      <c r="AR87" s="22">
        <f>'Activity data'!AR46*EF!$H$150*CtoCO2*ttoGg</f>
        <v>469.58529757953056</v>
      </c>
      <c r="AS87" s="22">
        <f>'Activity data'!AS46*EF!$H$150*CtoCO2*ttoGg</f>
        <v>469.49397820036393</v>
      </c>
      <c r="AT87" s="22">
        <f>'Activity data'!AT46*EF!$H$150*CtoCO2*ttoGg</f>
        <v>469.40654586626169</v>
      </c>
      <c r="AU87" s="22">
        <f>'Activity data'!AU46*EF!$H$150*CtoCO2*ttoGg</f>
        <v>469.31537649215352</v>
      </c>
      <c r="AV87" s="22">
        <f>'Activity data'!AV46*EF!$H$150*CtoCO2*ttoGg</f>
        <v>469.23068623676357</v>
      </c>
      <c r="AW87" s="22">
        <f>'Activity data'!AW46*EF!$H$150*CtoCO2*ttoGg</f>
        <v>469.14524048860676</v>
      </c>
      <c r="AX87" s="22">
        <f>'Activity data'!AX46*EF!$H$150*CtoCO2*ttoGg</f>
        <v>469.04581058889983</v>
      </c>
      <c r="AY87" s="22">
        <f>'Activity data'!AY46*EF!$H$150*CtoCO2*ttoGg</f>
        <v>468.94084303525642</v>
      </c>
      <c r="AZ87" s="22">
        <f>'Activity data'!AZ46*EF!$H$150*CtoCO2*ttoGg</f>
        <v>468.83455141149926</v>
      </c>
      <c r="BA87" s="22">
        <f>'Activity data'!BA46*EF!$H$150*CtoCO2*ttoGg</f>
        <v>468.81345709400091</v>
      </c>
      <c r="BB87" s="22">
        <f>'Activity data'!BB46*EF!$H$150*CtoCO2*ttoGg</f>
        <v>477.57932101318937</v>
      </c>
      <c r="BC87" s="22">
        <f>'Activity data'!BC46*EF!$H$150*CtoCO2*ttoGg</f>
        <v>477.59482921232205</v>
      </c>
      <c r="BD87" s="22">
        <f>'Activity data'!BD46*EF!$H$150*CtoCO2*ttoGg</f>
        <v>477.61050066047437</v>
      </c>
      <c r="BE87" s="22">
        <f>'Activity data'!BE46*EF!$H$150*CtoCO2*ttoGg</f>
        <v>477.6263376066097</v>
      </c>
      <c r="BF87" s="22">
        <f>'Activity data'!BF46*EF!$H$150*CtoCO2*ttoGg</f>
        <v>477.64234234199222</v>
      </c>
      <c r="BG87" s="22">
        <f>'Activity data'!BG46*EF!$H$150*CtoCO2*ttoGg</f>
        <v>477.658517201243</v>
      </c>
      <c r="BH87" s="22">
        <f>'Activity data'!BH46*EF!$H$150*CtoCO2*ttoGg</f>
        <v>477.67238203908232</v>
      </c>
      <c r="BI87" s="22">
        <f>'Activity data'!BI46*EF!$H$150*CtoCO2*ttoGg</f>
        <v>477.68637264501467</v>
      </c>
      <c r="BJ87" s="22">
        <f>'Activity data'!BJ46*EF!$H$150*CtoCO2*ttoGg</f>
        <v>477.70049052389624</v>
      </c>
      <c r="BK87" s="22">
        <f>'Activity data'!BK46*EF!$H$150*CtoCO2*ttoGg</f>
        <v>477.71473720527149</v>
      </c>
      <c r="BL87" s="22">
        <f>'Activity data'!BL46*EF!$H$150*CtoCO2*ttoGg</f>
        <v>477.72911424390975</v>
      </c>
      <c r="BM87" s="22">
        <f>'Activity data'!BM46*EF!$H$150*CtoCO2*ttoGg</f>
        <v>477.74103620979719</v>
      </c>
      <c r="BN87" s="22">
        <f>'Activity data'!BN46*EF!$H$150*CtoCO2*ttoGg</f>
        <v>477.75304829499794</v>
      </c>
      <c r="BO87" s="22">
        <f>'Activity data'!BO46*EF!$H$150*CtoCO2*ttoGg</f>
        <v>477.76515140412982</v>
      </c>
      <c r="BP87" s="22">
        <f>'Activity data'!BP46*EF!$H$150*CtoCO2*ttoGg</f>
        <v>477.77734645430195</v>
      </c>
    </row>
    <row r="88" spans="1:68" x14ac:dyDescent="0.25">
      <c r="A88" t="str">
        <f>A87</f>
        <v>3C Aggregated and non-CO2 emissions on land</v>
      </c>
      <c r="B88" t="str">
        <f>'IPCC Categories'!B73</f>
        <v>3C4 Direct N2O from managed soils (N2O)</v>
      </c>
      <c r="E88" t="s">
        <v>419</v>
      </c>
      <c r="F88" t="s">
        <v>139</v>
      </c>
      <c r="G88" t="s">
        <v>287</v>
      </c>
      <c r="H88" s="22">
        <f>'Activity data'!H47*ttokg*SNEF*NtoN2O*kgtoGg</f>
        <v>5.4008271428571426</v>
      </c>
      <c r="I88" s="22">
        <f>'Activity data'!I47*ttokg*SNEF*NtoN2O*kgtoGg</f>
        <v>5.7362642857142854</v>
      </c>
      <c r="J88" s="22">
        <f>'Activity data'!J47*ttokg*SNEF*NtoN2O*kgtoGg</f>
        <v>5.4611071428571423</v>
      </c>
      <c r="K88" s="22">
        <f>'Activity data'!K47*ttokg*SNEF*NtoN2O*kgtoGg</f>
        <v>6.4186414285714282</v>
      </c>
      <c r="L88" s="22">
        <f>'Activity data'!L47*ttokg*SNEF*NtoN2O*kgtoGg</f>
        <v>5.8938942857142855</v>
      </c>
      <c r="M88" s="22">
        <f>'Activity data'!M47*ttokg*SNEF*NtoN2O*kgtoGg</f>
        <v>5.8377157142857143</v>
      </c>
      <c r="N88" s="22">
        <f>'Activity data'!N47*ttokg*SNEF*NtoN2O*kgtoGg</f>
        <v>6.5227485714285702</v>
      </c>
      <c r="O88" s="22">
        <f>'Activity data'!O47*ttokg*SNEF*NtoN2O*kgtoGg</f>
        <v>6.3943628571428572</v>
      </c>
      <c r="P88" s="22">
        <f>'Activity data'!P47*ttokg*SNEF*NtoN2O*kgtoGg</f>
        <v>6.5296157142857139</v>
      </c>
      <c r="Q88" s="22">
        <f>'Activity data'!Q47*ttokg*SNEF*NtoN2O*kgtoGg</f>
        <v>6.4907071428571426</v>
      </c>
      <c r="R88" s="22">
        <f>'Activity data'!R47*ttokg*SNEF*NtoN2O*kgtoGg</f>
        <v>6.5360899999999997</v>
      </c>
      <c r="S88" s="22">
        <f>'Activity data'!S47*ttokg*SNEF*NtoN2O*kgtoGg</f>
        <v>6.219918571428571</v>
      </c>
      <c r="T88" s="22">
        <f>'Activity data'!T47*ttokg*SNEF*NtoN2O*kgtoGg</f>
        <v>7.4968457142857146</v>
      </c>
      <c r="U88" s="22">
        <f>'Activity data'!U47*ttokg*SNEF*NtoN2O*kgtoGg</f>
        <v>6.6129957142857139</v>
      </c>
      <c r="V88" s="22">
        <f>'Activity data'!V47*ttokg*SNEF*NtoN2O*kgtoGg</f>
        <v>6.7189728571428571</v>
      </c>
      <c r="W88" s="22">
        <f>'Activity data'!W47*ttokg*SNEF*NtoN2O*kgtoGg</f>
        <v>5.4569428571428569</v>
      </c>
      <c r="X88" s="22">
        <f>'Activity data'!X47*ttokg*SNEF*NtoN2O*kgtoGg</f>
        <v>6.7370128571428571</v>
      </c>
      <c r="Y88" s="22">
        <f>'Activity data'!Y47*ttokg*SNEF*NtoN2O*kgtoGg</f>
        <v>6.9061142857142848</v>
      </c>
      <c r="Z88" s="22">
        <f>'Activity data'!Z47*ttokg*SNEF*NtoN2O*kgtoGg</f>
        <v>6.66479</v>
      </c>
      <c r="AA88" s="22">
        <f>'Activity data'!AA47*ttokg*SNEF*NtoN2O*kgtoGg</f>
        <v>7.1307814285714279</v>
      </c>
      <c r="AB88" s="22">
        <f>'Activity data'!AB47*ttokg*SNEF*NtoN2O*kgtoGg</f>
        <v>6.2071428571428573</v>
      </c>
      <c r="AC88" s="22">
        <f>'Activity data'!AC47*ttokg*SNEF*NtoN2O*kgtoGg</f>
        <v>6.5842857142857145</v>
      </c>
      <c r="AD88" s="22">
        <f>'Activity data'!AD47*ttokg*SNEF*NtoN2O*kgtoGg</f>
        <v>6.6064812063358538</v>
      </c>
      <c r="AE88" s="22">
        <f>'Activity data'!AE47*ttokg*SNEF*NtoN2O*kgtoGg</f>
        <v>6.6055332632324646</v>
      </c>
      <c r="AF88" s="22">
        <f>'Activity data'!AF47*ttokg*SNEF*NtoN2O*kgtoGg</f>
        <v>6.6042378924026437</v>
      </c>
      <c r="AG88" s="22">
        <f>'Activity data'!AG47*ttokg*SNEF*NtoN2O*kgtoGg</f>
        <v>6.6032976249569808</v>
      </c>
      <c r="AH88" s="22">
        <f>'Activity data'!AH47*ttokg*SNEF*NtoN2O*kgtoGg</f>
        <v>6.6028397217143464</v>
      </c>
      <c r="AI88" s="22">
        <f>'Activity data'!AI47*ttokg*SNEF*NtoN2O*kgtoGg</f>
        <v>6.6023877667619955</v>
      </c>
      <c r="AJ88" s="22">
        <f>'Activity data'!AJ47*ttokg*SNEF*NtoN2O*kgtoGg</f>
        <v>6.6017040685586048</v>
      </c>
      <c r="AK88" s="22">
        <f>'Activity data'!AK47*ttokg*SNEF*NtoN2O*kgtoGg</f>
        <v>6.6009555191940086</v>
      </c>
      <c r="AL88" s="22">
        <f>'Activity data'!AL47*ttokg*SNEF*NtoN2O*kgtoGg</f>
        <v>6.6007105452260202</v>
      </c>
      <c r="AM88" s="22">
        <f>'Activity data'!AM47*ttokg*SNEF*NtoN2O*kgtoGg</f>
        <v>6.6052103201480445</v>
      </c>
      <c r="AN88" s="22">
        <f>'Activity data'!AN47*ttokg*SNEF*NtoN2O*kgtoGg</f>
        <v>6.6038066881148643</v>
      </c>
      <c r="AO88" s="22">
        <f>'Activity data'!AO47*ttokg*SNEF*NtoN2O*kgtoGg</f>
        <v>6.60254471504373</v>
      </c>
      <c r="AP88" s="22">
        <f>'Activity data'!AP47*ttokg*SNEF*NtoN2O*kgtoGg</f>
        <v>6.6012944407562824</v>
      </c>
      <c r="AQ88" s="22">
        <f>'Activity data'!AQ47*ttokg*SNEF*NtoN2O*kgtoGg</f>
        <v>6.5998592560706051</v>
      </c>
      <c r="AR88" s="22">
        <f>'Activity data'!AR47*ttokg*SNEF*NtoN2O*kgtoGg</f>
        <v>6.5984396481179575</v>
      </c>
      <c r="AS88" s="22">
        <f>'Activity data'!AS47*ttokg*SNEF*NtoN2O*kgtoGg</f>
        <v>6.5970003432051669</v>
      </c>
      <c r="AT88" s="22">
        <f>'Activity data'!AT47*ttokg*SNEF*NtoN2O*kgtoGg</f>
        <v>6.595622302868513</v>
      </c>
      <c r="AU88" s="22">
        <f>'Activity data'!AU47*ttokg*SNEF*NtoN2O*kgtoGg</f>
        <v>6.5941853622185969</v>
      </c>
      <c r="AV88" s="22">
        <f>'Activity data'!AV47*ttokg*SNEF*NtoN2O*kgtoGg</f>
        <v>6.592850540390411</v>
      </c>
      <c r="AW88" s="22">
        <f>'Activity data'!AW47*ttokg*SNEF*NtoN2O*kgtoGg</f>
        <v>6.5915038110737925</v>
      </c>
      <c r="AX88" s="22">
        <f>'Activity data'!AX47*ttokg*SNEF*NtoN2O*kgtoGg</f>
        <v>6.5899366744546857</v>
      </c>
      <c r="AY88" s="22">
        <f>'Activity data'!AY47*ttokg*SNEF*NtoN2O*kgtoGg</f>
        <v>6.5882822576482969</v>
      </c>
      <c r="AZ88" s="22">
        <f>'Activity data'!AZ47*ttokg*SNEF*NtoN2O*kgtoGg</f>
        <v>6.5866069718802809</v>
      </c>
      <c r="BA88" s="22">
        <f>'Activity data'!BA47*ttokg*SNEF*NtoN2O*kgtoGg</f>
        <v>6.5862744996812319</v>
      </c>
      <c r="BB88" s="22">
        <f>'Activity data'!BB47*ttokg*SNEF*NtoN2O*kgtoGg</f>
        <v>6.7244352177988764</v>
      </c>
      <c r="BC88" s="22">
        <f>'Activity data'!BC47*ttokg*SNEF*NtoN2O*kgtoGg</f>
        <v>6.7246796459520661</v>
      </c>
      <c r="BD88" s="22">
        <f>'Activity data'!BD47*ttokg*SNEF*NtoN2O*kgtoGg</f>
        <v>6.7249266471091245</v>
      </c>
      <c r="BE88" s="22">
        <f>'Activity data'!BE47*ttokg*SNEF*NtoN2O*kgtoGg</f>
        <v>6.7251762567164626</v>
      </c>
      <c r="BF88" s="22">
        <f>'Activity data'!BF47*ttokg*SNEF*NtoN2O*kgtoGg</f>
        <v>6.725428510887201</v>
      </c>
      <c r="BG88" s="22">
        <f>'Activity data'!BG47*ttokg*SNEF*NtoN2O*kgtoGg</f>
        <v>6.7256834464178157</v>
      </c>
      <c r="BH88" s="22">
        <f>'Activity data'!BH47*ttokg*SNEF*NtoN2O*kgtoGg</f>
        <v>6.7259019731905472</v>
      </c>
      <c r="BI88" s="22">
        <f>'Activity data'!BI47*ttokg*SNEF*NtoN2O*kgtoGg</f>
        <v>6.7261224822219834</v>
      </c>
      <c r="BJ88" s="22">
        <f>'Activity data'!BJ47*ttokg*SNEF*NtoN2O*kgtoGg</f>
        <v>6.7263449972304938</v>
      </c>
      <c r="BK88" s="22">
        <f>'Activity data'!BK47*ttokg*SNEF*NtoN2O*kgtoGg</f>
        <v>6.7265695423235661</v>
      </c>
      <c r="BL88" s="22">
        <f>'Activity data'!BL47*ttokg*SNEF*NtoN2O*kgtoGg</f>
        <v>6.7267961420062665</v>
      </c>
      <c r="BM88" s="22">
        <f>'Activity data'!BM47*ttokg*SNEF*NtoN2O*kgtoGg</f>
        <v>6.72698404674487</v>
      </c>
      <c r="BN88" s="22">
        <f>'Activity data'!BN47*ttokg*SNEF*NtoN2O*kgtoGg</f>
        <v>6.7271733718738833</v>
      </c>
      <c r="BO88" s="22">
        <f>'Activity data'!BO47*ttokg*SNEF*NtoN2O*kgtoGg</f>
        <v>6.7273641316511892</v>
      </c>
      <c r="BP88" s="22">
        <f>'Activity data'!BP47*ttokg*SNEF*NtoN2O*kgtoGg</f>
        <v>6.7275563405315459</v>
      </c>
    </row>
    <row r="89" spans="1:68" x14ac:dyDescent="0.25">
      <c r="A89" t="str">
        <f t="shared" ref="A89:A138" si="29">A88</f>
        <v>3C Aggregated and non-CO2 emissions on land</v>
      </c>
      <c r="B89" t="str">
        <f>B88</f>
        <v>3C4 Direct N2O from managed soils (N2O)</v>
      </c>
      <c r="E89" t="s">
        <v>420</v>
      </c>
      <c r="F89" t="str">
        <f>F88</f>
        <v>N2O</v>
      </c>
      <c r="G89" t="str">
        <f>G88</f>
        <v>Gg N2O</v>
      </c>
      <c r="H89" s="22">
        <f>'Activity data'!H48*ttokg*ONEF*NtoN2O*kgtoGg</f>
        <v>3.5645459142857133E-2</v>
      </c>
      <c r="I89" s="22">
        <f>'Activity data'!I48*ttokg*ONEF*NtoN2O*kgtoGg</f>
        <v>3.7859344285714289E-2</v>
      </c>
      <c r="J89" s="22">
        <f>'Activity data'!J48*ttokg*ONEF*NtoN2O*kgtoGg</f>
        <v>3.6043307142857146E-2</v>
      </c>
      <c r="K89" s="22">
        <f>'Activity data'!K48*ttokg*ONEF*NtoN2O*kgtoGg</f>
        <v>4.236303342857143E-2</v>
      </c>
      <c r="L89" s="22">
        <f>'Activity data'!L48*ttokg*ONEF*NtoN2O*kgtoGg</f>
        <v>3.8899702285714287E-2</v>
      </c>
      <c r="M89" s="22">
        <f>'Activity data'!M48*ttokg*ONEF*NtoN2O*kgtoGg</f>
        <v>3.8528923714285714E-2</v>
      </c>
      <c r="N89" s="22">
        <f>'Activity data'!N48*ttokg*ONEF*NtoN2O*kgtoGg</f>
        <v>4.3050140571428579E-2</v>
      </c>
      <c r="O89" s="22">
        <f>'Activity data'!O48*ttokg*ONEF*NtoN2O*kgtoGg</f>
        <v>4.2202794857142865E-2</v>
      </c>
      <c r="P89" s="22">
        <f>'Activity data'!P48*ttokg*ONEF*NtoN2O*kgtoGg</f>
        <v>4.3095463714285728E-2</v>
      </c>
      <c r="Q89" s="22">
        <f>'Activity data'!Q48*ttokg*ONEF*NtoN2O*kgtoGg</f>
        <v>4.283866714285714E-2</v>
      </c>
      <c r="R89" s="22">
        <f>'Activity data'!R48*ttokg*ONEF*NtoN2O*kgtoGg</f>
        <v>4.3138194000000012E-2</v>
      </c>
      <c r="S89" s="22">
        <f>'Activity data'!S48*ttokg*ONEF*NtoN2O*kgtoGg</f>
        <v>4.1051462571428568E-2</v>
      </c>
      <c r="T89" s="22">
        <f>'Activity data'!T48*ttokg*ONEF*NtoN2O*kgtoGg</f>
        <v>4.9479181714285725E-2</v>
      </c>
      <c r="U89" s="22">
        <f>'Activity data'!U48*ttokg*ONEF*NtoN2O*kgtoGg</f>
        <v>4.3645771714285735E-2</v>
      </c>
      <c r="V89" s="22">
        <f>'Activity data'!V48*ttokg*ONEF*NtoN2O*kgtoGg</f>
        <v>4.4345220857142861E-2</v>
      </c>
      <c r="W89" s="22">
        <f>'Activity data'!W48*ttokg*ONEF*NtoN2O*kgtoGg</f>
        <v>3.6015822857142853E-2</v>
      </c>
      <c r="X89" s="22">
        <f>'Activity data'!X48*ttokg*ONEF*NtoN2O*kgtoGg</f>
        <v>4.4464284857142863E-2</v>
      </c>
      <c r="Y89" s="22">
        <f>'Activity data'!Y48*ttokg*ONEF*NtoN2O*kgtoGg</f>
        <v>4.5580354285714282E-2</v>
      </c>
      <c r="Z89" s="22">
        <f>'Activity data'!Z48*ttokg*ONEF*NtoN2O*kgtoGg</f>
        <v>4.3987614000000001E-2</v>
      </c>
      <c r="AA89" s="22">
        <f>'Activity data'!AA48*ttokg*ONEF*NtoN2O*kgtoGg</f>
        <v>4.706315742857143E-2</v>
      </c>
      <c r="AB89" s="22">
        <f>'Activity data'!AB48*ttokg*ONEF*NtoN2O*kgtoGg</f>
        <v>4.0967142857142855E-2</v>
      </c>
      <c r="AC89" s="22">
        <f>'Activity data'!AC48*ttokg*ONEF*NtoN2O*kgtoGg</f>
        <v>4.3456285714285711E-2</v>
      </c>
      <c r="AD89" s="22">
        <f>'Activity data'!AD48*ttokg*ONEF*NtoN2O*kgtoGg</f>
        <v>4.3602775961816637E-2</v>
      </c>
      <c r="AE89" s="22">
        <f>'Activity data'!AE48*ttokg*ONEF*NtoN2O*kgtoGg</f>
        <v>4.3596519537334268E-2</v>
      </c>
      <c r="AF89" s="22">
        <f>'Activity data'!AF48*ttokg*ONEF*NtoN2O*kgtoGg</f>
        <v>4.3587970089857465E-2</v>
      </c>
      <c r="AG89" s="22">
        <f>'Activity data'!AG48*ttokg*ONEF*NtoN2O*kgtoGg</f>
        <v>4.3581764324716096E-2</v>
      </c>
      <c r="AH89" s="22">
        <f>'Activity data'!AH48*ttokg*ONEF*NtoN2O*kgtoGg</f>
        <v>4.3578742163314678E-2</v>
      </c>
      <c r="AI89" s="22">
        <f>'Activity data'!AI48*ttokg*ONEF*NtoN2O*kgtoGg</f>
        <v>4.3575759260629177E-2</v>
      </c>
      <c r="AJ89" s="22">
        <f>'Activity data'!AJ48*ttokg*ONEF*NtoN2O*kgtoGg</f>
        <v>4.3571246852486797E-2</v>
      </c>
      <c r="AK89" s="22">
        <f>'Activity data'!AK48*ttokg*ONEF*NtoN2O*kgtoGg</f>
        <v>4.3566306426680468E-2</v>
      </c>
      <c r="AL89" s="22">
        <f>'Activity data'!AL48*ttokg*ONEF*NtoN2O*kgtoGg</f>
        <v>4.3564689598491746E-2</v>
      </c>
      <c r="AM89" s="22">
        <f>'Activity data'!AM48*ttokg*ONEF*NtoN2O*kgtoGg</f>
        <v>4.3594388112977112E-2</v>
      </c>
      <c r="AN89" s="22">
        <f>'Activity data'!AN48*ttokg*ONEF*NtoN2O*kgtoGg</f>
        <v>4.3585124141558115E-2</v>
      </c>
      <c r="AO89" s="22">
        <f>'Activity data'!AO48*ttokg*ONEF*NtoN2O*kgtoGg</f>
        <v>4.3576795119288615E-2</v>
      </c>
      <c r="AP89" s="22">
        <f>'Activity data'!AP48*ttokg*ONEF*NtoN2O*kgtoGg</f>
        <v>4.3568543308991473E-2</v>
      </c>
      <c r="AQ89" s="22">
        <f>'Activity data'!AQ48*ttokg*ONEF*NtoN2O*kgtoGg</f>
        <v>4.3559071090065994E-2</v>
      </c>
      <c r="AR89" s="22">
        <f>'Activity data'!AR48*ttokg*ONEF*NtoN2O*kgtoGg</f>
        <v>4.3549701677578524E-2</v>
      </c>
      <c r="AS89" s="22">
        <f>'Activity data'!AS48*ttokg*ONEF*NtoN2O*kgtoGg</f>
        <v>4.3540202265154107E-2</v>
      </c>
      <c r="AT89" s="22">
        <f>'Activity data'!AT48*ttokg*ONEF*NtoN2O*kgtoGg</f>
        <v>4.3531107198932197E-2</v>
      </c>
      <c r="AU89" s="22">
        <f>'Activity data'!AU48*ttokg*ONEF*NtoN2O*kgtoGg</f>
        <v>4.352162339064275E-2</v>
      </c>
      <c r="AV89" s="22">
        <f>'Activity data'!AV48*ttokg*ONEF*NtoN2O*kgtoGg</f>
        <v>4.351281356657672E-2</v>
      </c>
      <c r="AW89" s="22">
        <f>'Activity data'!AW48*ttokg*ONEF*NtoN2O*kgtoGg</f>
        <v>4.3503925153087042E-2</v>
      </c>
      <c r="AX89" s="22">
        <f>'Activity data'!AX48*ttokg*ONEF*NtoN2O*kgtoGg</f>
        <v>4.3493582051400928E-2</v>
      </c>
      <c r="AY89" s="22">
        <f>'Activity data'!AY48*ttokg*ONEF*NtoN2O*kgtoGg</f>
        <v>4.3482662900478766E-2</v>
      </c>
      <c r="AZ89" s="22">
        <f>'Activity data'!AZ48*ttokg*ONEF*NtoN2O*kgtoGg</f>
        <v>4.3471606014409865E-2</v>
      </c>
      <c r="BA89" s="22">
        <f>'Activity data'!BA48*ttokg*ONEF*NtoN2O*kgtoGg</f>
        <v>4.3469411697896136E-2</v>
      </c>
      <c r="BB89" s="22">
        <f>'Activity data'!BB48*ttokg*ONEF*NtoN2O*kgtoGg</f>
        <v>4.4381272437472585E-2</v>
      </c>
      <c r="BC89" s="22">
        <f>'Activity data'!BC48*ttokg*ONEF*NtoN2O*kgtoGg</f>
        <v>4.4382885663283633E-2</v>
      </c>
      <c r="BD89" s="22">
        <f>'Activity data'!BD48*ttokg*ONEF*NtoN2O*kgtoGg</f>
        <v>4.4384515870920224E-2</v>
      </c>
      <c r="BE89" s="22">
        <f>'Activity data'!BE48*ttokg*ONEF*NtoN2O*kgtoGg</f>
        <v>4.4386163294328665E-2</v>
      </c>
      <c r="BF89" s="22">
        <f>'Activity data'!BF48*ttokg*ONEF*NtoN2O*kgtoGg</f>
        <v>4.4387828171855534E-2</v>
      </c>
      <c r="BG89" s="22">
        <f>'Activity data'!BG48*ttokg*ONEF*NtoN2O*kgtoGg</f>
        <v>4.4389510746357594E-2</v>
      </c>
      <c r="BH89" s="22">
        <f>'Activity data'!BH48*ttokg*ONEF*NtoN2O*kgtoGg</f>
        <v>4.4390953023057615E-2</v>
      </c>
      <c r="BI89" s="22">
        <f>'Activity data'!BI48*ttokg*ONEF*NtoN2O*kgtoGg</f>
        <v>4.4392408382665088E-2</v>
      </c>
      <c r="BJ89" s="22">
        <f>'Activity data'!BJ48*ttokg*ONEF*NtoN2O*kgtoGg</f>
        <v>4.4393876981721259E-2</v>
      </c>
      <c r="BK89" s="22">
        <f>'Activity data'!BK48*ttokg*ONEF*NtoN2O*kgtoGg</f>
        <v>4.4395358979335532E-2</v>
      </c>
      <c r="BL89" s="22">
        <f>'Activity data'!BL48*ttokg*ONEF*NtoN2O*kgtoGg</f>
        <v>4.4396854537241355E-2</v>
      </c>
      <c r="BM89" s="22">
        <f>'Activity data'!BM48*ttokg*ONEF*NtoN2O*kgtoGg</f>
        <v>4.4398094708516155E-2</v>
      </c>
      <c r="BN89" s="22">
        <f>'Activity data'!BN48*ttokg*ONEF*NtoN2O*kgtoGg</f>
        <v>4.4399344254367645E-2</v>
      </c>
      <c r="BO89" s="22">
        <f>'Activity data'!BO48*ttokg*ONEF*NtoN2O*kgtoGg</f>
        <v>4.4400603268897852E-2</v>
      </c>
      <c r="BP89" s="22">
        <f>'Activity data'!BP48*ttokg*ONEF*NtoN2O*kgtoGg</f>
        <v>4.4401871847508219E-2</v>
      </c>
    </row>
    <row r="90" spans="1:68" x14ac:dyDescent="0.25">
      <c r="A90" t="str">
        <f t="shared" ref="A90" si="30">A89</f>
        <v>3C Aggregated and non-CO2 emissions on land</v>
      </c>
      <c r="B90" t="str">
        <f>B89</f>
        <v>3C4 Direct N2O from managed soils (N2O)</v>
      </c>
      <c r="E90" t="s">
        <v>58</v>
      </c>
      <c r="F90" t="str">
        <f>F89</f>
        <v>N2O</v>
      </c>
      <c r="G90" t="str">
        <f>G89</f>
        <v>Gg N2O</v>
      </c>
      <c r="H90" s="22">
        <f>'Activity data'!H85*CREF*NtoN2O*kgtoGg</f>
        <v>4.7572664246993837</v>
      </c>
      <c r="I90" s="22">
        <f>'Activity data'!I85*CREF*NtoN2O*kgtoGg</f>
        <v>4.2403582737669279</v>
      </c>
      <c r="J90" s="22">
        <f>'Activity data'!J85*CREF*NtoN2O*kgtoGg</f>
        <v>4.4153625132445411</v>
      </c>
      <c r="K90" s="22">
        <f>'Activity data'!K85*CREF*NtoN2O*kgtoGg</f>
        <v>4.7418888374800598</v>
      </c>
      <c r="L90" s="22">
        <f>'Activity data'!L85*CREF*NtoN2O*kgtoGg</f>
        <v>5.0009128268356475</v>
      </c>
      <c r="M90" s="22">
        <f>'Activity data'!M85*CREF*NtoN2O*kgtoGg</f>
        <v>3.8892379277011866</v>
      </c>
      <c r="N90" s="22">
        <f>'Activity data'!N85*CREF*NtoN2O*kgtoGg</f>
        <v>4.2839264832658595</v>
      </c>
      <c r="O90" s="22">
        <f>'Activity data'!O85*CREF*NtoN2O*kgtoGg</f>
        <v>4.5049773321420563</v>
      </c>
      <c r="P90" s="22">
        <f>'Activity data'!P85*CREF*NtoN2O*kgtoGg</f>
        <v>3.9255738498283432</v>
      </c>
      <c r="Q90" s="22">
        <f>'Activity data'!Q85*CREF*NtoN2O*kgtoGg</f>
        <v>3.8953932469931241</v>
      </c>
      <c r="R90" s="22">
        <f>'Activity data'!R85*CREF*NtoN2O*kgtoGg</f>
        <v>4.4710787977237265</v>
      </c>
      <c r="S90" s="22">
        <f>'Activity data'!S85*CREF*NtoN2O*kgtoGg</f>
        <v>3.6519029734228816</v>
      </c>
      <c r="T90" s="22">
        <f>'Activity data'!T85*CREF*NtoN2O*kgtoGg</f>
        <v>3.982993252892217</v>
      </c>
      <c r="U90" s="22">
        <f>'Activity data'!U85*CREF*NtoN2O*kgtoGg</f>
        <v>3.9301610630705248</v>
      </c>
      <c r="V90" s="22">
        <f>'Activity data'!V85*CREF*NtoN2O*kgtoGg</f>
        <v>3.5144884547415667</v>
      </c>
      <c r="W90" s="22">
        <f>'Activity data'!W85*CREF*NtoN2O*kgtoGg</f>
        <v>3.5698504074879742</v>
      </c>
      <c r="X90" s="22">
        <f>'Activity data'!X85*CREF*NtoN2O*kgtoGg</f>
        <v>2.4003352875845994</v>
      </c>
      <c r="Y90" s="22">
        <f>'Activity data'!Y85*CREF*NtoN2O*kgtoGg</f>
        <v>3.2539877539471691</v>
      </c>
      <c r="Z90" s="22">
        <f>'Activity data'!Z85*CREF*NtoN2O*kgtoGg</f>
        <v>3.7163492663367288</v>
      </c>
      <c r="AA90" s="22">
        <f>'Activity data'!AA85*CREF*NtoN2O*kgtoGg</f>
        <v>3.3020035495326421</v>
      </c>
      <c r="AB90" s="22">
        <f>'Activity data'!AB85*CREF*NtoN2O*kgtoGg</f>
        <v>3.605306989206821</v>
      </c>
      <c r="AC90" s="22">
        <f>'Activity data'!AC85*CREF*NtoN2O*kgtoGg</f>
        <v>3.3383236984964055</v>
      </c>
      <c r="AD90" s="22">
        <f>'Activity data'!AD85*CREF*NtoN2O*kgtoGg</f>
        <v>2.94930909510781</v>
      </c>
      <c r="AE90" s="22">
        <f>'Activity data'!AE85*CREF*NtoN2O*kgtoGg</f>
        <v>2.9563860470471841</v>
      </c>
      <c r="AF90" s="22">
        <f>'Activity data'!AF85*CREF*NtoN2O*kgtoGg</f>
        <v>2.9660567509887259</v>
      </c>
      <c r="AG90" s="22">
        <f>'Activity data'!AG85*CREF*NtoN2O*kgtoGg</f>
        <v>2.9730763996357101</v>
      </c>
      <c r="AH90" s="22">
        <f>'Activity data'!AH85*CREF*NtoN2O*kgtoGg</f>
        <v>2.9764949162422756</v>
      </c>
      <c r="AI90" s="22">
        <f>'Activity data'!AI85*CREF*NtoN2O*kgtoGg</f>
        <v>2.9798690253687776</v>
      </c>
      <c r="AJ90" s="22">
        <f>'Activity data'!AJ85*CREF*NtoN2O*kgtoGg</f>
        <v>2.9849732339537955</v>
      </c>
      <c r="AK90" s="22">
        <f>'Activity data'!AK85*CREF*NtoN2O*kgtoGg</f>
        <v>2.9905615945405919</v>
      </c>
      <c r="AL90" s="22">
        <f>'Activity data'!AL85*CREF*NtoN2O*kgtoGg</f>
        <v>2.9923904690707688</v>
      </c>
      <c r="AM90" s="22">
        <f>'Activity data'!AM85*CREF*NtoN2O*kgtoGg</f>
        <v>2.9587970068183171</v>
      </c>
      <c r="AN90" s="22">
        <f>'Activity data'!AN85*CREF*NtoN2O*kgtoGg</f>
        <v>2.9692759442185355</v>
      </c>
      <c r="AO90" s="22">
        <f>'Activity data'!AO85*CREF*NtoN2O*kgtoGg</f>
        <v>2.9786973142789162</v>
      </c>
      <c r="AP90" s="22">
        <f>'Activity data'!AP85*CREF*NtoN2O*kgtoGg</f>
        <v>2.9880313460490315</v>
      </c>
      <c r="AQ90" s="22">
        <f>'Activity data'!AQ85*CREF*NtoN2O*kgtoGg</f>
        <v>2.9987458425292064</v>
      </c>
      <c r="AR90" s="22">
        <f>'Activity data'!AR85*CREF*NtoN2O*kgtoGg</f>
        <v>3.0093440495500001</v>
      </c>
      <c r="AS90" s="22">
        <f>'Activity data'!AS85*CREF*NtoN2O*kgtoGg</f>
        <v>3.0200893059451359</v>
      </c>
      <c r="AT90" s="22">
        <f>'Activity data'!AT85*CREF*NtoN2O*kgtoGg</f>
        <v>3.0303771863022528</v>
      </c>
      <c r="AU90" s="22">
        <f>'Activity data'!AU85*CREF*NtoN2O*kgtoGg</f>
        <v>3.0411047920866441</v>
      </c>
      <c r="AV90" s="22">
        <f>'Activity data'!AV85*CREF*NtoN2O*kgtoGg</f>
        <v>3.0510700208983077</v>
      </c>
      <c r="AW90" s="22">
        <f>'Activity data'!AW85*CREF*NtoN2O*kgtoGg</f>
        <v>3.0611241461036762</v>
      </c>
      <c r="AX90" s="22">
        <f>'Activity data'!AX85*CREF*NtoN2O*kgtoGg</f>
        <v>3.0728237412547079</v>
      </c>
      <c r="AY90" s="22">
        <f>'Activity data'!AY85*CREF*NtoN2O*kgtoGg</f>
        <v>3.0851749342584296</v>
      </c>
      <c r="AZ90" s="22">
        <f>'Activity data'!AZ85*CREF*NtoN2O*kgtoGg</f>
        <v>3.0976819263158513</v>
      </c>
      <c r="BA90" s="22">
        <f>'Activity data'!BA85*CREF*NtoN2O*kgtoGg</f>
        <v>3.100164026523585</v>
      </c>
      <c r="BB90" s="22">
        <f>'Activity data'!BB85*CREF*NtoN2O*kgtoGg</f>
        <v>2.0687131319155303</v>
      </c>
      <c r="BC90" s="22">
        <f>'Activity data'!BC85*CREF*NtoN2O*kgtoGg</f>
        <v>2.0668883322133484</v>
      </c>
      <c r="BD90" s="22">
        <f>'Activity data'!BD85*CREF*NtoN2O*kgtoGg</f>
        <v>2.0650443235262905</v>
      </c>
      <c r="BE90" s="22">
        <f>'Activity data'!BE85*CREF*NtoN2O*kgtoGg</f>
        <v>2.0631808412261146</v>
      </c>
      <c r="BF90" s="22">
        <f>'Activity data'!BF85*CREF*NtoN2O*kgtoGg</f>
        <v>2.0612976157071592</v>
      </c>
      <c r="BG90" s="22">
        <f>'Activity data'!BG85*CREF*NtoN2O*kgtoGg</f>
        <v>2.0593943722621146</v>
      </c>
      <c r="BH90" s="22">
        <f>'Activity data'!BH85*CREF*NtoN2O*kgtoGg</f>
        <v>2.0577629415754459</v>
      </c>
      <c r="BI90" s="22">
        <f>'Activity data'!BI85*CREF*NtoN2O*kgtoGg</f>
        <v>2.056116712163484</v>
      </c>
      <c r="BJ90" s="22">
        <f>'Activity data'!BJ85*CREF*NtoN2O*kgtoGg</f>
        <v>2.0544555069546533</v>
      </c>
      <c r="BK90" s="22">
        <f>'Activity data'!BK85*CREF*NtoN2O*kgtoGg</f>
        <v>2.0527791459724298</v>
      </c>
      <c r="BL90" s="22">
        <f>'Activity data'!BL85*CREF*NtoN2O*kgtoGg</f>
        <v>2.0510874462720836</v>
      </c>
      <c r="BM90" s="22">
        <f>'Activity data'!BM85*CREF*NtoN2O*kgtoGg</f>
        <v>2.0496846270527396</v>
      </c>
      <c r="BN90" s="22">
        <f>'Activity data'!BN85*CREF*NtoN2O*kgtoGg</f>
        <v>2.0482712037848629</v>
      </c>
      <c r="BO90" s="22">
        <f>'Activity data'!BO85*CREF*NtoN2O*kgtoGg</f>
        <v>2.0468470700250148</v>
      </c>
      <c r="BP90" s="22">
        <f>'Activity data'!BP85*CREF*NtoN2O*kgtoGg</f>
        <v>2.0454121178598972</v>
      </c>
    </row>
    <row r="91" spans="1:68" x14ac:dyDescent="0.25">
      <c r="A91" t="str">
        <f>A89</f>
        <v>3C Aggregated and non-CO2 emissions on land</v>
      </c>
      <c r="B91" t="str">
        <f>B89</f>
        <v>3C4 Direct N2O from managed soils (N2O)</v>
      </c>
      <c r="C91" t="s">
        <v>421</v>
      </c>
      <c r="D91" t="str">
        <f>'Activity data'!D50</f>
        <v xml:space="preserve"> - TMR</v>
      </c>
      <c r="E91" t="str">
        <f>C91&amp;D91</f>
        <v>MM emissions - TMR</v>
      </c>
      <c r="F91" t="str">
        <f>F89</f>
        <v>N2O</v>
      </c>
      <c r="G91" t="str">
        <f>G89</f>
        <v>Gg N2O</v>
      </c>
      <c r="H91" s="22">
        <f>'Activity data'!H50*ManureNEF*NtoN2O*kgtoGg</f>
        <v>0.26350583749371725</v>
      </c>
      <c r="I91" s="22">
        <f>'Activity data'!I50*ManureNEF*NtoN2O*kgtoGg</f>
        <v>0.30336366372659757</v>
      </c>
      <c r="J91" s="22">
        <f>'Activity data'!J50*ManureNEF*NtoN2O*kgtoGg</f>
        <v>0.26244882124379881</v>
      </c>
      <c r="K91" s="22">
        <f>'Activity data'!K50*ManureNEF*NtoN2O*kgtoGg</f>
        <v>0.27835157134088651</v>
      </c>
      <c r="L91" s="22">
        <f>'Activity data'!L50*ManureNEF*NtoN2O*kgtoGg</f>
        <v>0.25822075624412494</v>
      </c>
      <c r="M91" s="22">
        <f>'Activity data'!M50*ManureNEF*NtoN2O*kgtoGg</f>
        <v>0.27623753884104962</v>
      </c>
      <c r="N91" s="22">
        <f>'Activity data'!N50*ManureNEF*NtoN2O*kgtoGg</f>
        <v>0.27729455509096812</v>
      </c>
      <c r="O91" s="22">
        <f>'Activity data'!O50*ManureNEF*NtoN2O*kgtoGg</f>
        <v>0.26733009853274803</v>
      </c>
      <c r="P91" s="22">
        <f>'Activity data'!P50*ManureNEF*NtoN2O*kgtoGg</f>
        <v>0.26415904978299276</v>
      </c>
      <c r="Q91" s="22">
        <f>'Activity data'!Q50*ManureNEF*NtoN2O*kgtoGg</f>
        <v>0.25947967447436493</v>
      </c>
      <c r="R91" s="22">
        <f>'Activity data'!R50*ManureNEF*NtoN2O*kgtoGg</f>
        <v>0.33411214767085473</v>
      </c>
      <c r="S91" s="22">
        <f>'Activity data'!S50*ManureNEF*NtoN2O*kgtoGg</f>
        <v>0.33305513142093623</v>
      </c>
      <c r="T91" s="22">
        <f>'Activity data'!T50*ManureNEF*NtoN2O*kgtoGg</f>
        <v>0.29043006039894359</v>
      </c>
      <c r="U91" s="22">
        <f>'Activity data'!U50*ManureNEF*NtoN2O*kgtoGg</f>
        <v>0.26415904978299276</v>
      </c>
      <c r="V91" s="22">
        <f>'Activity data'!V50*ManureNEF*NtoN2O*kgtoGg</f>
        <v>0.25504970749436956</v>
      </c>
      <c r="W91" s="22">
        <f>'Activity data'!W50*ManureNEF*NtoN2O*kgtoGg</f>
        <v>0.27306649009129436</v>
      </c>
      <c r="X91" s="22">
        <f>'Activity data'!X50*ManureNEF*NtoN2O*kgtoGg</f>
        <v>0.26712819655242653</v>
      </c>
      <c r="Y91" s="22">
        <f>'Activity data'!Y50*ManureNEF*NtoN2O*kgtoGg</f>
        <v>0.26521606603291115</v>
      </c>
      <c r="Z91" s="22">
        <f>'Activity data'!Z50*ManureNEF*NtoN2O*kgtoGg</f>
        <v>0.32480090340191009</v>
      </c>
      <c r="AA91" s="22">
        <f>'Activity data'!AA50*ManureNEF*NtoN2O*kgtoGg</f>
        <v>0.33285322944061474</v>
      </c>
      <c r="AB91" s="22">
        <f>'Activity data'!AB50*ManureNEF*NtoN2O*kgtoGg</f>
        <v>0.33285322944061474</v>
      </c>
      <c r="AC91" s="22">
        <f>'Activity data'!AC50*ManureNEF*NtoN2O*kgtoGg</f>
        <v>0.32077474038255771</v>
      </c>
      <c r="AD91" s="22">
        <f>'Activity data'!AD50*ManureNEF*NtoN2O*kgtoGg</f>
        <v>0.31935878855248062</v>
      </c>
      <c r="AE91" s="22">
        <f>'Activity data'!AE50*ManureNEF*NtoN2O*kgtoGg</f>
        <v>0.3213452540874065</v>
      </c>
      <c r="AF91" s="22">
        <f>'Activity data'!AF50*ManureNEF*NtoN2O*kgtoGg</f>
        <v>0.32271097650720204</v>
      </c>
      <c r="AG91" s="22">
        <f>'Activity data'!AG50*ManureNEF*NtoN2O*kgtoGg</f>
        <v>0.32313928716206192</v>
      </c>
      <c r="AH91" s="22">
        <f>'Activity data'!AH50*ManureNEF*NtoN2O*kgtoGg</f>
        <v>0.32371872756630715</v>
      </c>
      <c r="AI91" s="22">
        <f>'Activity data'!AI50*ManureNEF*NtoN2O*kgtoGg</f>
        <v>0.32498792219339984</v>
      </c>
      <c r="AJ91" s="22">
        <f>'Activity data'!AJ50*ManureNEF*NtoN2O*kgtoGg</f>
        <v>0.32650955781340663</v>
      </c>
      <c r="AK91" s="22">
        <f>'Activity data'!AK50*ManureNEF*NtoN2O*kgtoGg</f>
        <v>0.32696667302614263</v>
      </c>
      <c r="AL91" s="22">
        <f>'Activity data'!AL50*ManureNEF*NtoN2O*kgtoGg</f>
        <v>0.31692886960594807</v>
      </c>
      <c r="AM91" s="22">
        <f>'Activity data'!AM50*ManureNEF*NtoN2O*kgtoGg</f>
        <v>0.319539305941619</v>
      </c>
      <c r="AN91" s="22">
        <f>'Activity data'!AN50*ManureNEF*NtoN2O*kgtoGg</f>
        <v>0.32193300192732111</v>
      </c>
      <c r="AO91" s="22">
        <f>'Activity data'!AO50*ManureNEF*NtoN2O*kgtoGg</f>
        <v>0.32438733794310681</v>
      </c>
      <c r="AP91" s="22">
        <f>'Activity data'!AP50*ManureNEF*NtoN2O*kgtoGg</f>
        <v>0.32734391954355124</v>
      </c>
      <c r="AQ91" s="22">
        <f>'Activity data'!AQ50*ManureNEF*NtoN2O*kgtoGg</f>
        <v>0.33035597962068947</v>
      </c>
      <c r="AR91" s="22">
        <f>'Activity data'!AR50*ManureNEF*NtoN2O*kgtoGg</f>
        <v>0.33328887796807738</v>
      </c>
      <c r="AS91" s="22">
        <f>'Activity data'!AS50*ManureNEF*NtoN2O*kgtoGg</f>
        <v>0.33616310143447364</v>
      </c>
      <c r="AT91" s="22">
        <f>'Activity data'!AT50*ManureNEF*NtoN2O*kgtoGg</f>
        <v>0.33925895533631584</v>
      </c>
      <c r="AU91" s="22">
        <f>'Activity data'!AU50*ManureNEF*NtoN2O*kgtoGg</f>
        <v>0.34219066812704535</v>
      </c>
      <c r="AV91" s="22">
        <f>'Activity data'!AV50*ManureNEF*NtoN2O*kgtoGg</f>
        <v>0.34522753941235912</v>
      </c>
      <c r="AW91" s="22">
        <f>'Activity data'!AW50*ManureNEF*NtoN2O*kgtoGg</f>
        <v>0.34871662740286707</v>
      </c>
      <c r="AX91" s="22">
        <f>'Activity data'!AX50*ManureNEF*NtoN2O*kgtoGg</f>
        <v>0.3525166109950878</v>
      </c>
      <c r="AY91" s="22">
        <f>'Activity data'!AY50*ManureNEF*NtoN2O*kgtoGg</f>
        <v>0.3564674247563781</v>
      </c>
      <c r="AZ91" s="22">
        <f>'Activity data'!AZ50*ManureNEF*NtoN2O*kgtoGg</f>
        <v>0.35701929306188401</v>
      </c>
      <c r="BA91" s="22">
        <f>'Activity data'!BA50*ManureNEF*NtoN2O*kgtoGg</f>
        <v>0.19114464625483749</v>
      </c>
      <c r="BB91" s="22">
        <f>'Activity data'!BB50*ManureNEF*NtoN2O*kgtoGg</f>
        <v>0.19128523197534555</v>
      </c>
      <c r="BC91" s="22">
        <f>'Activity data'!BC50*ManureNEF*NtoN2O*kgtoGg</f>
        <v>0.19144428532787389</v>
      </c>
      <c r="BD91" s="22">
        <f>'Activity data'!BD50*ManureNEF*NtoN2O*kgtoGg</f>
        <v>0.19162110436440311</v>
      </c>
      <c r="BE91" s="22">
        <f>'Activity data'!BE50*ManureNEF*NtoN2O*kgtoGg</f>
        <v>0.19181504119818318</v>
      </c>
      <c r="BF91" s="22">
        <f>'Activity data'!BF50*ManureNEF*NtoN2O*kgtoGg</f>
        <v>0.19202549687963794</v>
      </c>
      <c r="BG91" s="22">
        <f>'Activity data'!BG50*ManureNEF*NtoN2O*kgtoGg</f>
        <v>0.19211610433852847</v>
      </c>
      <c r="BH91" s="22">
        <f>'Activity data'!BH50*ManureNEF*NtoN2O*kgtoGg</f>
        <v>0.19222125892017863</v>
      </c>
      <c r="BI91" s="22">
        <f>'Activity data'!BI50*ManureNEF*NtoN2O*kgtoGg</f>
        <v>0.1923404525383117</v>
      </c>
      <c r="BJ91" s="22">
        <f>'Activity data'!BJ50*ManureNEF*NtoN2O*kgtoGg</f>
        <v>0.19247321177682317</v>
      </c>
      <c r="BK91" s="22">
        <f>'Activity data'!BK50*ManureNEF*NtoN2O*kgtoGg</f>
        <v>0.19261909494773871</v>
      </c>
      <c r="BL91" s="22">
        <f>'Activity data'!BL50*ManureNEF*NtoN2O*kgtoGg</f>
        <v>0.19264041350385425</v>
      </c>
      <c r="BM91" s="22">
        <f>'Activity data'!BM50*ManureNEF*NtoN2O*kgtoGg</f>
        <v>0.19267336675119676</v>
      </c>
      <c r="BN91" s="22">
        <f>'Activity data'!BN50*ManureNEF*NtoN2O*kgtoGg</f>
        <v>0.19271756905587112</v>
      </c>
      <c r="BO91" s="22">
        <f>'Activity data'!BO50*ManureNEF*NtoN2O*kgtoGg</f>
        <v>0.19277265827645768</v>
      </c>
      <c r="BP91" s="22">
        <f>'Activity data'!BP50*ManureNEF*NtoN2O*kgtoGg</f>
        <v>0.19283829395934973</v>
      </c>
    </row>
    <row r="92" spans="1:68" x14ac:dyDescent="0.25">
      <c r="A92" t="str">
        <f t="shared" si="29"/>
        <v>3C Aggregated and non-CO2 emissions on land</v>
      </c>
      <c r="B92" t="str">
        <f t="shared" ref="B92:B134" si="31">B91</f>
        <v>3C4 Direct N2O from managed soils (N2O)</v>
      </c>
      <c r="C92" t="str">
        <f>C91</f>
        <v>MM emissions</v>
      </c>
      <c r="D92" t="str">
        <f>'Activity data'!D51</f>
        <v xml:space="preserve"> - Pasture</v>
      </c>
      <c r="E92" t="str">
        <f t="shared" ref="E92:E138" si="32">C92&amp;D92</f>
        <v>MM emissions - Pasture</v>
      </c>
      <c r="F92" t="str">
        <f t="shared" ref="F92:F106" si="33">F91</f>
        <v>N2O</v>
      </c>
      <c r="G92" t="str">
        <f t="shared" ref="G92:G106" si="34">G91</f>
        <v>Gg N2O</v>
      </c>
      <c r="H92" s="22">
        <f>'Activity data'!H51*ManureNEF*NtoN2O*kgtoGg</f>
        <v>0.76209725247791893</v>
      </c>
      <c r="I92" s="22">
        <f>'Activity data'!I51*ManureNEF*NtoN2O*kgtoGg</f>
        <v>0.87737188984736481</v>
      </c>
      <c r="J92" s="22">
        <f>'Activity data'!J51*ManureNEF*NtoN2O*kgtoGg</f>
        <v>0.75904020756555868</v>
      </c>
      <c r="K92" s="22">
        <f>'Activity data'!K51*ManureNEF*NtoN2O*kgtoGg</f>
        <v>0.80503327652792112</v>
      </c>
      <c r="L92" s="22">
        <f>'Activity data'!L51*ManureNEF*NtoN2O*kgtoGg</f>
        <v>0.74681202791611823</v>
      </c>
      <c r="M92" s="22">
        <f>'Activity data'!M51*ManureNEF*NtoN2O*kgtoGg</f>
        <v>0.79891918670320072</v>
      </c>
      <c r="N92" s="22">
        <f>'Activity data'!N51*ManureNEF*NtoN2O*kgtoGg</f>
        <v>0.80197623161556097</v>
      </c>
      <c r="O92" s="22">
        <f>'Activity data'!O51*ManureNEF*NtoN2O*kgtoGg</f>
        <v>0.77315757227319948</v>
      </c>
      <c r="P92" s="22">
        <f>'Activity data'!P51*ManureNEF*NtoN2O*kgtoGg</f>
        <v>0.76398643753611906</v>
      </c>
      <c r="Q92" s="22">
        <f>'Activity data'!Q51*ManureNEF*NtoN2O*kgtoGg</f>
        <v>0.75045300275555815</v>
      </c>
      <c r="R92" s="22">
        <f>'Activity data'!R51*ManureNEF*NtoN2O*kgtoGg</f>
        <v>0.96630098285972954</v>
      </c>
      <c r="S92" s="22">
        <f>'Activity data'!S51*ManureNEF*NtoN2O*kgtoGg</f>
        <v>0.9632439379473694</v>
      </c>
      <c r="T92" s="22">
        <f>'Activity data'!T51*ManureNEF*NtoN2O*kgtoGg</f>
        <v>0.83996602569500267</v>
      </c>
      <c r="U92" s="22">
        <f>'Activity data'!U51*ManureNEF*NtoN2O*kgtoGg</f>
        <v>0.76398643753611906</v>
      </c>
      <c r="V92" s="22">
        <f>'Activity data'!V51*ManureNEF*NtoN2O*kgtoGg</f>
        <v>0.73764089317903758</v>
      </c>
      <c r="W92" s="22">
        <f>'Activity data'!W51*ManureNEF*NtoN2O*kgtoGg</f>
        <v>0.78974805196612041</v>
      </c>
      <c r="X92" s="22">
        <f>'Activity data'!X51*ManureNEF*NtoN2O*kgtoGg</f>
        <v>0.77257364234611936</v>
      </c>
      <c r="Y92" s="22">
        <f>'Activity data'!Y51*ManureNEF*NtoN2O*kgtoGg</f>
        <v>0.7670434824484792</v>
      </c>
      <c r="Z92" s="22">
        <f>'Activity data'!Z51*ManureNEF*NtoN2O*kgtoGg</f>
        <v>0.93937150857556795</v>
      </c>
      <c r="AA92" s="22">
        <f>'Activity data'!AA51*ManureNEF*NtoN2O*kgtoGg</f>
        <v>0.96266000802028917</v>
      </c>
      <c r="AB92" s="22">
        <f>'Activity data'!AB51*ManureNEF*NtoN2O*kgtoGg</f>
        <v>0.96266000802028917</v>
      </c>
      <c r="AC92" s="22">
        <f>'Activity data'!AC51*ManureNEF*NtoN2O*kgtoGg</f>
        <v>0.92772725885320717</v>
      </c>
      <c r="AD92" s="22">
        <f>'Activity data'!AD51*ManureNEF*NtoN2O*kgtoGg</f>
        <v>0.93379576098906358</v>
      </c>
      <c r="AE92" s="22">
        <f>'Activity data'!AE51*ManureNEF*NtoN2O*kgtoGg</f>
        <v>0.93960412813709904</v>
      </c>
      <c r="AF92" s="22">
        <f>'Activity data'!AF51*ManureNEF*NtoN2O*kgtoGg</f>
        <v>0.94359746056447114</v>
      </c>
      <c r="AG92" s="22">
        <f>'Activity data'!AG51*ManureNEF*NtoN2O*kgtoGg</f>
        <v>0.94484982839723786</v>
      </c>
      <c r="AH92" s="22">
        <f>'Activity data'!AH51*ManureNEF*NtoN2O*kgtoGg</f>
        <v>0.94654409519879523</v>
      </c>
      <c r="AI92" s="22">
        <f>'Activity data'!AI51*ManureNEF*NtoN2O*kgtoGg</f>
        <v>0.95025518318237956</v>
      </c>
      <c r="AJ92" s="22">
        <f>'Activity data'!AJ51*ManureNEF*NtoN2O*kgtoGg</f>
        <v>0.95470440124890821</v>
      </c>
      <c r="AK92" s="22">
        <f>'Activity data'!AK51*ManureNEF*NtoN2O*kgtoGg</f>
        <v>0.95604099276677834</v>
      </c>
      <c r="AL92" s="22">
        <f>'Activity data'!AL51*ManureNEF*NtoN2O*kgtoGg</f>
        <v>0.9266907490302454</v>
      </c>
      <c r="AM92" s="22">
        <f>'Activity data'!AM51*ManureNEF*NtoN2O*kgtoGg</f>
        <v>0.93432358855731779</v>
      </c>
      <c r="AN92" s="22">
        <f>'Activity data'!AN51*ManureNEF*NtoN2O*kgtoGg</f>
        <v>0.94132268563767829</v>
      </c>
      <c r="AO92" s="22">
        <f>'Activity data'!AO51*ManureNEF*NtoN2O*kgtoGg</f>
        <v>0.94849909239313801</v>
      </c>
      <c r="AP92" s="22">
        <f>'Activity data'!AP51*ManureNEF*NtoN2O*kgtoGg</f>
        <v>0.95714405055454344</v>
      </c>
      <c r="AQ92" s="22">
        <f>'Activity data'!AQ51*ManureNEF*NtoN2O*kgtoGg</f>
        <v>0.96595122615983853</v>
      </c>
      <c r="AR92" s="22">
        <f>'Activity data'!AR51*ManureNEF*NtoN2O*kgtoGg</f>
        <v>0.97452693518170752</v>
      </c>
      <c r="AS92" s="22">
        <f>'Activity data'!AS51*ManureNEF*NtoN2O*kgtoGg</f>
        <v>0.98293108056696943</v>
      </c>
      <c r="AT92" s="22">
        <f>'Activity data'!AT51*ManureNEF*NtoN2O*kgtoGg</f>
        <v>0.99198326686591187</v>
      </c>
      <c r="AU92" s="22">
        <f>'Activity data'!AU51*ManureNEF*NtoN2O*kgtoGg</f>
        <v>1.0005555093547731</v>
      </c>
      <c r="AV92" s="22">
        <f>'Activity data'!AV51*ManureNEF*NtoN2O*kgtoGg</f>
        <v>1.0094352322073954</v>
      </c>
      <c r="AW92" s="22">
        <f>'Activity data'!AW51*ManureNEF*NtoN2O*kgtoGg</f>
        <v>1.0196372234850481</v>
      </c>
      <c r="AX92" s="22">
        <f>'Activity data'!AX51*ManureNEF*NtoN2O*kgtoGg</f>
        <v>1.0307482644127997</v>
      </c>
      <c r="AY92" s="22">
        <f>'Activity data'!AY51*ManureNEF*NtoN2O*kgtoGg</f>
        <v>1.0423003283452565</v>
      </c>
      <c r="AZ92" s="22">
        <f>'Activity data'!AZ51*ManureNEF*NtoN2O*kgtoGg</f>
        <v>1.0439139751361945</v>
      </c>
      <c r="BA92" s="22">
        <f>'Activity data'!BA51*ManureNEF*NtoN2O*kgtoGg</f>
        <v>0.55890135736530644</v>
      </c>
      <c r="BB92" s="22">
        <f>'Activity data'!BB51*ManureNEF*NtoN2O*kgtoGg</f>
        <v>0.55931242590192343</v>
      </c>
      <c r="BC92" s="22">
        <f>'Activity data'!BC51*ManureNEF*NtoN2O*kgtoGg</f>
        <v>0.55977749325464987</v>
      </c>
      <c r="BD92" s="22">
        <f>'Activity data'!BD51*ManureNEF*NtoN2O*kgtoGg</f>
        <v>0.56029450694799943</v>
      </c>
      <c r="BE92" s="22">
        <f>'Activity data'!BE51*ManureNEF*NtoN2O*kgtoGg</f>
        <v>0.56086157258005664</v>
      </c>
      <c r="BF92" s="22">
        <f>'Activity data'!BF51*ManureNEF*NtoN2O*kgtoGg</f>
        <v>0.5614769388397709</v>
      </c>
      <c r="BG92" s="22">
        <f>'Activity data'!BG51*ManureNEF*NtoN2O*kgtoGg</f>
        <v>0.56174187240057738</v>
      </c>
      <c r="BH92" s="22">
        <f>'Activity data'!BH51*ManureNEF*NtoN2O*kgtoGg</f>
        <v>0.56204934132303475</v>
      </c>
      <c r="BI92" s="22">
        <f>'Activity data'!BI51*ManureNEF*NtoN2O*kgtoGg</f>
        <v>0.56239785997772429</v>
      </c>
      <c r="BJ92" s="22">
        <f>'Activity data'!BJ51*ManureNEF*NtoN2O*kgtoGg</f>
        <v>0.56278604410979705</v>
      </c>
      <c r="BK92" s="22">
        <f>'Activity data'!BK51*ManureNEF*NtoN2O*kgtoGg</f>
        <v>0.56321260223652991</v>
      </c>
      <c r="BL92" s="22">
        <f>'Activity data'!BL51*ManureNEF*NtoN2O*kgtoGg</f>
        <v>0.56327493707134479</v>
      </c>
      <c r="BM92" s="22">
        <f>'Activity data'!BM51*ManureNEF*NtoN2O*kgtoGg</f>
        <v>0.56337129140315678</v>
      </c>
      <c r="BN92" s="22">
        <f>'Activity data'!BN51*ManureNEF*NtoN2O*kgtoGg</f>
        <v>0.56350053764973096</v>
      </c>
      <c r="BO92" s="22">
        <f>'Activity data'!BO51*ManureNEF*NtoN2O*kgtoGg</f>
        <v>0.5636616169201436</v>
      </c>
      <c r="BP92" s="22">
        <f>'Activity data'!BP51*ManureNEF*NtoN2O*kgtoGg</f>
        <v>0.56385353373800251</v>
      </c>
    </row>
    <row r="93" spans="1:68" x14ac:dyDescent="0.25">
      <c r="A93" t="str">
        <f t="shared" si="29"/>
        <v>3C Aggregated and non-CO2 emissions on land</v>
      </c>
      <c r="B93" t="str">
        <f t="shared" si="31"/>
        <v>3C4 Direct N2O from managed soils (N2O)</v>
      </c>
      <c r="C93" t="str">
        <f t="shared" ref="C93:C106" si="35">C92</f>
        <v>MM emissions</v>
      </c>
      <c r="D93" t="str">
        <f>'Activity data'!D52</f>
        <v xml:space="preserve"> - Non-lactating</v>
      </c>
      <c r="E93" t="str">
        <f t="shared" si="32"/>
        <v>MM emissions - Non-lactating</v>
      </c>
      <c r="F93" t="str">
        <f t="shared" si="33"/>
        <v>N2O</v>
      </c>
      <c r="G93" t="str">
        <f t="shared" si="34"/>
        <v>Gg N2O</v>
      </c>
      <c r="H93" s="22">
        <f>'Activity data'!H52*ManureNEF*NtoN2O*kgtoGg</f>
        <v>4.8126809955822768E-2</v>
      </c>
      <c r="I93" s="22">
        <f>'Activity data'!I52*ManureNEF*NtoN2O*kgtoGg</f>
        <v>5.4703801917722318E-2</v>
      </c>
      <c r="J93" s="22">
        <f>'Activity data'!J52*ManureNEF*NtoN2O*kgtoGg</f>
        <v>4.73189311103272E-2</v>
      </c>
      <c r="K93" s="22">
        <f>'Activity data'!K52*ManureNEF*NtoN2O*kgtoGg</f>
        <v>4.9520758530788335E-2</v>
      </c>
      <c r="L93" s="22">
        <f>'Activity data'!L52*ManureNEF*NtoN2O*kgtoGg</f>
        <v>4.4087415728345042E-2</v>
      </c>
      <c r="M93" s="22">
        <f>'Activity data'!M52*ManureNEF*NtoN2O*kgtoGg</f>
        <v>4.7905000839797235E-2</v>
      </c>
      <c r="N93" s="22">
        <f>'Activity data'!N52*ManureNEF*NtoN2O*kgtoGg</f>
        <v>4.8712879685292768E-2</v>
      </c>
      <c r="O93" s="22">
        <f>'Activity data'!O52*ManureNEF*NtoN2O*kgtoGg</f>
        <v>4.7068631694817883E-2</v>
      </c>
      <c r="P93" s="22">
        <f>'Activity data'!P52*ManureNEF*NtoN2O*kgtoGg</f>
        <v>4.4644995158331258E-2</v>
      </c>
      <c r="Q93" s="22">
        <f>'Activity data'!Q52*ManureNEF*NtoN2O*kgtoGg</f>
        <v>4.7040141395334092E-2</v>
      </c>
      <c r="R93" s="22">
        <f>'Activity data'!R52*ManureNEF*NtoN2O*kgtoGg</f>
        <v>5.8299577913148978E-2</v>
      </c>
      <c r="S93" s="22">
        <f>'Activity data'!S52*ManureNEF*NtoN2O*kgtoGg</f>
        <v>5.7491699067653446E-2</v>
      </c>
      <c r="T93" s="22">
        <f>'Activity data'!T52*ManureNEF*NtoN2O*kgtoGg</f>
        <v>5.2780764212254298E-2</v>
      </c>
      <c r="U93" s="22">
        <f>'Activity data'!U52*ManureNEF*NtoN2O*kgtoGg</f>
        <v>4.4644995158331258E-2</v>
      </c>
      <c r="V93" s="22">
        <f>'Activity data'!V52*ManureNEF*NtoN2O*kgtoGg</f>
        <v>4.1663779191858388E-2</v>
      </c>
      <c r="W93" s="22">
        <f>'Activity data'!W52*ManureNEF*NtoN2O*kgtoGg</f>
        <v>4.5481364303310602E-2</v>
      </c>
      <c r="X93" s="22">
        <f>'Activity data'!X52*ManureNEF*NtoN2O*kgtoGg</f>
        <v>4.4923784873324366E-2</v>
      </c>
      <c r="Y93" s="22">
        <f>'Activity data'!Y52*ManureNEF*NtoN2O*kgtoGg</f>
        <v>4.5452874003826804E-2</v>
      </c>
      <c r="Z93" s="22">
        <f>'Activity data'!Z52*ManureNEF*NtoN2O*kgtoGg</f>
        <v>5.3173515125182619E-2</v>
      </c>
      <c r="AA93" s="22">
        <f>'Activity data'!AA52*ManureNEF*NtoN2O*kgtoGg</f>
        <v>5.5346852246159921E-2</v>
      </c>
      <c r="AB93" s="22">
        <f>'Activity data'!AB52*ManureNEF*NtoN2O*kgtoGg</f>
        <v>5.5346852246159921E-2</v>
      </c>
      <c r="AC93" s="22">
        <f>'Activity data'!AC52*ManureNEF*NtoN2O*kgtoGg</f>
        <v>5.2086846564693957E-2</v>
      </c>
      <c r="AD93" s="22">
        <f>'Activity data'!AD52*ManureNEF*NtoN2O*kgtoGg</f>
        <v>4.9952808112492433E-2</v>
      </c>
      <c r="AE93" s="22">
        <f>'Activity data'!AE52*ManureNEF*NtoN2O*kgtoGg</f>
        <v>5.0263523005099557E-2</v>
      </c>
      <c r="AF93" s="22">
        <f>'Activity data'!AF52*ManureNEF*NtoN2O*kgtoGg</f>
        <v>5.0477143774016554E-2</v>
      </c>
      <c r="AG93" s="22">
        <f>'Activity data'!AG52*ManureNEF*NtoN2O*kgtoGg</f>
        <v>5.0544138391737034E-2</v>
      </c>
      <c r="AH93" s="22">
        <f>'Activity data'!AH52*ManureNEF*NtoN2O*kgtoGg</f>
        <v>5.063477211269108E-2</v>
      </c>
      <c r="AI93" s="22">
        <f>'Activity data'!AI52*ManureNEF*NtoN2O*kgtoGg</f>
        <v>5.0833294395268382E-2</v>
      </c>
      <c r="AJ93" s="22">
        <f>'Activity data'!AJ52*ManureNEF*NtoN2O*kgtoGg</f>
        <v>5.1071302475421292E-2</v>
      </c>
      <c r="AK93" s="22">
        <f>'Activity data'!AK52*ManureNEF*NtoN2O*kgtoGg</f>
        <v>5.1142802585409194E-2</v>
      </c>
      <c r="AL93" s="22">
        <f>'Activity data'!AL52*ManureNEF*NtoN2O*kgtoGg</f>
        <v>4.9572730033491622E-2</v>
      </c>
      <c r="AM93" s="22">
        <f>'Activity data'!AM52*ManureNEF*NtoN2O*kgtoGg</f>
        <v>4.9981043911298741E-2</v>
      </c>
      <c r="AN93" s="22">
        <f>'Activity data'!AN52*ManureNEF*NtoN2O*kgtoGg</f>
        <v>5.0355456141490972E-2</v>
      </c>
      <c r="AO93" s="22">
        <f>'Activity data'!AO52*ManureNEF*NtoN2O*kgtoGg</f>
        <v>5.0739353439560694E-2</v>
      </c>
      <c r="AP93" s="22">
        <f>'Activity data'!AP52*ManureNEF*NtoN2O*kgtoGg</f>
        <v>5.1201809957589661E-2</v>
      </c>
      <c r="AQ93" s="22">
        <f>'Activity data'!AQ52*ManureNEF*NtoN2O*kgtoGg</f>
        <v>5.1672944194222255E-2</v>
      </c>
      <c r="AR93" s="22">
        <f>'Activity data'!AR52*ManureNEF*NtoN2O*kgtoGg</f>
        <v>5.2131696273739363E-2</v>
      </c>
      <c r="AS93" s="22">
        <f>'Activity data'!AS52*ManureNEF*NtoN2O*kgtoGg</f>
        <v>5.2581270666039896E-2</v>
      </c>
      <c r="AT93" s="22">
        <f>'Activity data'!AT52*ManureNEF*NtoN2O*kgtoGg</f>
        <v>5.3065511593317877E-2</v>
      </c>
      <c r="AU93" s="22">
        <f>'Activity data'!AU52*ManureNEF*NtoN2O*kgtoGg</f>
        <v>5.3524078232864716E-2</v>
      </c>
      <c r="AV93" s="22">
        <f>'Activity data'!AV52*ManureNEF*NtoN2O*kgtoGg</f>
        <v>5.3999093338179975E-2</v>
      </c>
      <c r="AW93" s="22">
        <f>'Activity data'!AW52*ManureNEF*NtoN2O*kgtoGg</f>
        <v>5.4544842348775345E-2</v>
      </c>
      <c r="AX93" s="22">
        <f>'Activity data'!AX52*ManureNEF*NtoN2O*kgtoGg</f>
        <v>5.5139220390078653E-2</v>
      </c>
      <c r="AY93" s="22">
        <f>'Activity data'!AY52*ManureNEF*NtoN2O*kgtoGg</f>
        <v>5.5757190675476007E-2</v>
      </c>
      <c r="AZ93" s="22">
        <f>'Activity data'!AZ52*ManureNEF*NtoN2O*kgtoGg</f>
        <v>5.5843511680428629E-2</v>
      </c>
      <c r="BA93" s="22">
        <f>'Activity data'!BA52*ManureNEF*NtoN2O*kgtoGg</f>
        <v>2.9898071317768258E-2</v>
      </c>
      <c r="BB93" s="22">
        <f>'Activity data'!BB52*ManureNEF*NtoN2O*kgtoGg</f>
        <v>2.9920061166714414E-2</v>
      </c>
      <c r="BC93" s="22">
        <f>'Activity data'!BC52*ManureNEF*NtoN2O*kgtoGg</f>
        <v>2.994493964785629E-2</v>
      </c>
      <c r="BD93" s="22">
        <f>'Activity data'!BD52*ManureNEF*NtoN2O*kgtoGg</f>
        <v>2.9972596965328013E-2</v>
      </c>
      <c r="BE93" s="22">
        <f>'Activity data'!BE52*ManureNEF*NtoN2O*kgtoGg</f>
        <v>3.0002931779308462E-2</v>
      </c>
      <c r="BF93" s="22">
        <f>'Activity data'!BF52*ManureNEF*NtoN2O*kgtoGg</f>
        <v>3.0035850404531023E-2</v>
      </c>
      <c r="BG93" s="22">
        <f>'Activity data'!BG52*ManureNEF*NtoN2O*kgtoGg</f>
        <v>3.0050022856236633E-2</v>
      </c>
      <c r="BH93" s="22">
        <f>'Activity data'!BH52*ManureNEF*NtoN2O*kgtoGg</f>
        <v>3.0066470709959804E-2</v>
      </c>
      <c r="BI93" s="22">
        <f>'Activity data'!BI52*ManureNEF*NtoN2O*kgtoGg</f>
        <v>3.0085114492903187E-2</v>
      </c>
      <c r="BJ93" s="22">
        <f>'Activity data'!BJ52*ManureNEF*NtoN2O*kgtoGg</f>
        <v>3.0105880155237338E-2</v>
      </c>
      <c r="BK93" s="22">
        <f>'Activity data'!BK52*ManureNEF*NtoN2O*kgtoGg</f>
        <v>3.0128698609918406E-2</v>
      </c>
      <c r="BL93" s="22">
        <f>'Activity data'!BL52*ManureNEF*NtoN2O*kgtoGg</f>
        <v>3.0132033172113177E-2</v>
      </c>
      <c r="BM93" s="22">
        <f>'Activity data'!BM52*ManureNEF*NtoN2O*kgtoGg</f>
        <v>3.0137187585582245E-2</v>
      </c>
      <c r="BN93" s="22">
        <f>'Activity data'!BN52*ManureNEF*NtoN2O*kgtoGg</f>
        <v>3.0144101531033828E-2</v>
      </c>
      <c r="BO93" s="22">
        <f>'Activity data'!BO52*ManureNEF*NtoN2O*kgtoGg</f>
        <v>3.0152718363773888E-2</v>
      </c>
      <c r="BP93" s="22">
        <f>'Activity data'!BP52*ManureNEF*NtoN2O*kgtoGg</f>
        <v>3.0162984831428343E-2</v>
      </c>
    </row>
    <row r="94" spans="1:68" x14ac:dyDescent="0.25">
      <c r="A94" t="str">
        <f t="shared" si="29"/>
        <v>3C Aggregated and non-CO2 emissions on land</v>
      </c>
      <c r="B94" t="str">
        <f t="shared" si="31"/>
        <v>3C4 Direct N2O from managed soils (N2O)</v>
      </c>
      <c r="C94" t="str">
        <f t="shared" si="35"/>
        <v>MM emissions</v>
      </c>
      <c r="D94" t="str">
        <f>'Activity data'!D53</f>
        <v xml:space="preserve"> - Commercial cattle</v>
      </c>
      <c r="E94" t="str">
        <f t="shared" si="32"/>
        <v>MM emissions - Commercial cattle</v>
      </c>
      <c r="F94" t="str">
        <f t="shared" si="33"/>
        <v>N2O</v>
      </c>
      <c r="G94" t="str">
        <f t="shared" si="34"/>
        <v>Gg N2O</v>
      </c>
      <c r="H94" s="22">
        <f>'Activity data'!H53*ManureNEF*NtoN2O*kgtoGg</f>
        <v>0.45791661524455107</v>
      </c>
      <c r="I94" s="22">
        <f>'Activity data'!I53*ManureNEF*NtoN2O*kgtoGg</f>
        <v>0.43815199614411882</v>
      </c>
      <c r="J94" s="22">
        <f>'Activity data'!J53*ManureNEF*NtoN2O*kgtoGg</f>
        <v>0.43799279906939059</v>
      </c>
      <c r="K94" s="22">
        <f>'Activity data'!K53*ManureNEF*NtoN2O*kgtoGg</f>
        <v>0.40975782084523449</v>
      </c>
      <c r="L94" s="22">
        <f>'Activity data'!L53*ManureNEF*NtoN2O*kgtoGg</f>
        <v>0.42211070778300469</v>
      </c>
      <c r="M94" s="22">
        <f>'Activity data'!M53*ManureNEF*NtoN2O*kgtoGg</f>
        <v>0.43170820906450869</v>
      </c>
      <c r="N94" s="22">
        <f>'Activity data'!N53*ManureNEF*NtoN2O*kgtoGg</f>
        <v>0.44961687239500847</v>
      </c>
      <c r="O94" s="22">
        <f>'Activity data'!O53*ManureNEF*NtoN2O*kgtoGg</f>
        <v>0.46664894423808073</v>
      </c>
      <c r="P94" s="22">
        <f>'Activity data'!P53*ManureNEF*NtoN2O*kgtoGg</f>
        <v>0.47069066912685531</v>
      </c>
      <c r="Q94" s="22">
        <f>'Activity data'!Q53*ManureNEF*NtoN2O*kgtoGg</f>
        <v>0.46307406309165272</v>
      </c>
      <c r="R94" s="22">
        <f>'Activity data'!R53*ManureNEF*NtoN2O*kgtoGg</f>
        <v>0.43161685546888418</v>
      </c>
      <c r="S94" s="22">
        <f>'Activity data'!S53*ManureNEF*NtoN2O*kgtoGg</f>
        <v>0.43385972058499156</v>
      </c>
      <c r="T94" s="22">
        <f>'Activity data'!T53*ManureNEF*NtoN2O*kgtoGg</f>
        <v>0.40436124152723313</v>
      </c>
      <c r="U94" s="22">
        <f>'Activity data'!U53*ManureNEF*NtoN2O*kgtoGg</f>
        <v>0.41493810709124229</v>
      </c>
      <c r="V94" s="22">
        <f>'Activity data'!V53*ManureNEF*NtoN2O*kgtoGg</f>
        <v>0.41876353890802326</v>
      </c>
      <c r="W94" s="22">
        <f>'Activity data'!W53*ManureNEF*NtoN2O*kgtoGg</f>
        <v>0.42231558165554511</v>
      </c>
      <c r="X94" s="22">
        <f>'Activity data'!X53*ManureNEF*NtoN2O*kgtoGg</f>
        <v>0.41269524197513491</v>
      </c>
      <c r="Y94" s="22">
        <f>'Activity data'!Y53*ManureNEF*NtoN2O*kgtoGg</f>
        <v>0.42478615904309913</v>
      </c>
      <c r="Z94" s="22">
        <f>'Activity data'!Z53*ManureNEF*NtoN2O*kgtoGg</f>
        <v>0.41298221653315503</v>
      </c>
      <c r="AA94" s="22">
        <f>'Activity data'!AA53*ManureNEF*NtoN2O*kgtoGg</f>
        <v>0.40604796364174167</v>
      </c>
      <c r="AB94" s="22">
        <f>'Activity data'!AB53*ManureNEF*NtoN2O*kgtoGg</f>
        <v>0.40477150425581887</v>
      </c>
      <c r="AC94" s="22">
        <f>'Activity data'!AC53*ManureNEF*NtoN2O*kgtoGg</f>
        <v>0.40331805287602013</v>
      </c>
      <c r="AD94" s="22">
        <f>'Activity data'!AD53*ManureNEF*NtoN2O*kgtoGg</f>
        <v>0.40352425177353124</v>
      </c>
      <c r="AE94" s="22">
        <f>'Activity data'!AE53*ManureNEF*NtoN2O*kgtoGg</f>
        <v>0.40084951633384258</v>
      </c>
      <c r="AF94" s="22">
        <f>'Activity data'!AF53*ManureNEF*NtoN2O*kgtoGg</f>
        <v>0.39521001590024774</v>
      </c>
      <c r="AG94" s="22">
        <f>'Activity data'!AG53*ManureNEF*NtoN2O*kgtoGg</f>
        <v>0.3857038563965185</v>
      </c>
      <c r="AH94" s="22">
        <f>'Activity data'!AH53*ManureNEF*NtoN2O*kgtoGg</f>
        <v>0.37648074986973956</v>
      </c>
      <c r="AI94" s="22">
        <f>'Activity data'!AI53*ManureNEF*NtoN2O*kgtoGg</f>
        <v>0.36938688643597767</v>
      </c>
      <c r="AJ94" s="22">
        <f>'Activity data'!AJ53*ManureNEF*NtoN2O*kgtoGg</f>
        <v>0.36297043234615178</v>
      </c>
      <c r="AK94" s="22">
        <f>'Activity data'!AK53*ManureNEF*NtoN2O*kgtoGg</f>
        <v>0.35288211799047686</v>
      </c>
      <c r="AL94" s="22">
        <f>'Activity data'!AL53*ManureNEF*NtoN2O*kgtoGg</f>
        <v>0.30949900697043298</v>
      </c>
      <c r="AM94" s="22">
        <f>'Activity data'!AM53*ManureNEF*NtoN2O*kgtoGg</f>
        <v>0.31244902874448233</v>
      </c>
      <c r="AN94" s="22">
        <f>'Activity data'!AN53*ManureNEF*NtoN2O*kgtoGg</f>
        <v>0.31444522818952964</v>
      </c>
      <c r="AO94" s="22">
        <f>'Activity data'!AO53*ManureNEF*NtoN2O*kgtoGg</f>
        <v>0.31637649984131477</v>
      </c>
      <c r="AP94" s="22">
        <f>'Activity data'!AP53*ManureNEF*NtoN2O*kgtoGg</f>
        <v>0.31957035863343569</v>
      </c>
      <c r="AQ94" s="22">
        <f>'Activity data'!AQ53*ManureNEF*NtoN2O*kgtoGg</f>
        <v>0.32265895567955921</v>
      </c>
      <c r="AR94" s="22">
        <f>'Activity data'!AR53*ManureNEF*NtoN2O*kgtoGg</f>
        <v>0.32590151896633945</v>
      </c>
      <c r="AS94" s="22">
        <f>'Activity data'!AS53*ManureNEF*NtoN2O*kgtoGg</f>
        <v>0.32872445709091741</v>
      </c>
      <c r="AT94" s="22">
        <f>'Activity data'!AT53*ManureNEF*NtoN2O*kgtoGg</f>
        <v>0.33193734347454801</v>
      </c>
      <c r="AU94" s="22">
        <f>'Activity data'!AU53*ManureNEF*NtoN2O*kgtoGg</f>
        <v>0.33445153592828769</v>
      </c>
      <c r="AV94" s="22">
        <f>'Activity data'!AV53*ManureNEF*NtoN2O*kgtoGg</f>
        <v>0.33703471359982889</v>
      </c>
      <c r="AW94" s="22">
        <f>'Activity data'!AW53*ManureNEF*NtoN2O*kgtoGg</f>
        <v>0.3382378632765542</v>
      </c>
      <c r="AX94" s="22">
        <f>'Activity data'!AX53*ManureNEF*NtoN2O*kgtoGg</f>
        <v>0.33988762558713326</v>
      </c>
      <c r="AY94" s="22">
        <f>'Activity data'!AY53*ManureNEF*NtoN2O*kgtoGg</f>
        <v>0.34153102086249887</v>
      </c>
      <c r="AZ94" s="22">
        <f>'Activity data'!AZ53*ManureNEF*NtoN2O*kgtoGg</f>
        <v>0.33428783362296566</v>
      </c>
      <c r="BA94" s="22">
        <f>'Activity data'!BA53*ManureNEF*NtoN2O*kgtoGg</f>
        <v>-7.8853876190349073E-2</v>
      </c>
      <c r="BB94" s="22">
        <f>'Activity data'!BB53*ManureNEF*NtoN2O*kgtoGg</f>
        <v>-7.7024740515349702E-2</v>
      </c>
      <c r="BC94" s="22">
        <f>'Activity data'!BC53*ManureNEF*NtoN2O*kgtoGg</f>
        <v>-7.5224693837810969E-2</v>
      </c>
      <c r="BD94" s="22">
        <f>'Activity data'!BD53*ManureNEF*NtoN2O*kgtoGg</f>
        <v>-7.3452212631802502E-2</v>
      </c>
      <c r="BE94" s="22">
        <f>'Activity data'!BE53*ManureNEF*NtoN2O*kgtoGg</f>
        <v>-7.1705878701856365E-2</v>
      </c>
      <c r="BF94" s="22">
        <f>'Activity data'!BF53*ManureNEF*NtoN2O*kgtoGg</f>
        <v>-6.9984369422605414E-2</v>
      </c>
      <c r="BG94" s="22">
        <f>'Activity data'!BG53*ManureNEF*NtoN2O*kgtoGg</f>
        <v>-6.8588614819976648E-2</v>
      </c>
      <c r="BH94" s="22">
        <f>'Activity data'!BH53*ManureNEF*NtoN2O*kgtoGg</f>
        <v>-6.7213941404815583E-2</v>
      </c>
      <c r="BI94" s="22">
        <f>'Activity data'!BI53*ManureNEF*NtoN2O*kgtoGg</f>
        <v>-6.5859393882214817E-2</v>
      </c>
      <c r="BJ94" s="22">
        <f>'Activity data'!BJ53*ManureNEF*NtoN2O*kgtoGg</f>
        <v>-6.45240763716773E-2</v>
      </c>
      <c r="BK94" s="22">
        <f>'Activity data'!BK53*ManureNEF*NtoN2O*kgtoGg</f>
        <v>-6.3207147480680487E-2</v>
      </c>
      <c r="BL94" s="22">
        <f>'Activity data'!BL53*ManureNEF*NtoN2O*kgtoGg</f>
        <v>-6.1865741273458848E-2</v>
      </c>
      <c r="BM94" s="22">
        <f>'Activity data'!BM53*ManureNEF*NtoN2O*kgtoGg</f>
        <v>-6.054278111227946E-2</v>
      </c>
      <c r="BN94" s="22">
        <f>'Activity data'!BN53*ManureNEF*NtoN2O*kgtoGg</f>
        <v>-5.9237541358355558E-2</v>
      </c>
      <c r="BO94" s="22">
        <f>'Activity data'!BO53*ManureNEF*NtoN2O*kgtoGg</f>
        <v>-5.7949337141593796E-2</v>
      </c>
      <c r="BP94" s="22">
        <f>'Activity data'!BP53*ManureNEF*NtoN2O*kgtoGg</f>
        <v>-5.667752131406488E-2</v>
      </c>
    </row>
    <row r="95" spans="1:68" x14ac:dyDescent="0.25">
      <c r="A95" t="str">
        <f t="shared" si="29"/>
        <v>3C Aggregated and non-CO2 emissions on land</v>
      </c>
      <c r="B95" t="str">
        <f t="shared" si="31"/>
        <v>3C4 Direct N2O from managed soils (N2O)</v>
      </c>
      <c r="C95" t="str">
        <f t="shared" si="35"/>
        <v>MM emissions</v>
      </c>
      <c r="D95" t="str">
        <f>'Activity data'!D54</f>
        <v xml:space="preserve"> - Subsistence cattle</v>
      </c>
      <c r="E95" t="str">
        <f t="shared" si="32"/>
        <v>MM emissions - Subsistence cattle</v>
      </c>
      <c r="F95" t="str">
        <f t="shared" si="33"/>
        <v>N2O</v>
      </c>
      <c r="G95" t="str">
        <f t="shared" si="34"/>
        <v>Gg N2O</v>
      </c>
      <c r="H95" s="22">
        <f>'Activity data'!H54*ManureNEF*NtoN2O*kgtoGg</f>
        <v>2.3123208692915074</v>
      </c>
      <c r="I95" s="22">
        <f>'Activity data'!I54*ManureNEF*NtoN2O*kgtoGg</f>
        <v>2.4533774800543875</v>
      </c>
      <c r="J95" s="22">
        <f>'Activity data'!J54*ManureNEF*NtoN2O*kgtoGg</f>
        <v>2.5692454103238966</v>
      </c>
      <c r="K95" s="22">
        <f>'Activity data'!K54*ManureNEF*NtoN2O*kgtoGg</f>
        <v>2.5390189937318506</v>
      </c>
      <c r="L95" s="22">
        <f>'Activity data'!L54*ManureNEF*NtoN2O*kgtoGg</f>
        <v>2.2115661473180213</v>
      </c>
      <c r="M95" s="22">
        <f>'Activity data'!M54*ManureNEF*NtoN2O*kgtoGg</f>
        <v>2.1360001058379061</v>
      </c>
      <c r="N95" s="22">
        <f>'Activity data'!N54*ManureNEF*NtoN2O*kgtoGg</f>
        <v>2.1964529390219978</v>
      </c>
      <c r="O95" s="22">
        <f>'Activity data'!O54*ManureNEF*NtoN2O*kgtoGg</f>
        <v>2.2972076609954839</v>
      </c>
      <c r="P95" s="22">
        <f>'Activity data'!P54*ManureNEF*NtoN2O*kgtoGg</f>
        <v>2.4382642717583649</v>
      </c>
      <c r="Q95" s="22">
        <f>'Activity data'!Q54*ManureNEF*NtoN2O*kgtoGg</f>
        <v>2.5390189937318506</v>
      </c>
      <c r="R95" s="22">
        <f>'Activity data'!R54*ManureNEF*NtoN2O*kgtoGg</f>
        <v>2.4785661605477589</v>
      </c>
      <c r="S95" s="22">
        <f>'Activity data'!S54*ManureNEF*NtoN2O*kgtoGg</f>
        <v>2.4181133273636677</v>
      </c>
      <c r="T95" s="22">
        <f>'Activity data'!T54*ManureNEF*NtoN2O*kgtoGg</f>
        <v>2.7405284376788228</v>
      </c>
      <c r="U95" s="22">
        <f>'Activity data'!U54*ManureNEF*NtoN2O*kgtoGg</f>
        <v>2.8060190069615891</v>
      </c>
      <c r="V95" s="22">
        <f>'Activity data'!V54*ManureNEF*NtoN2O*kgtoGg</f>
        <v>2.7606793820735205</v>
      </c>
      <c r="W95" s="22">
        <f>'Activity data'!W54*ManureNEF*NtoN2O*kgtoGg</f>
        <v>2.6800756044947311</v>
      </c>
      <c r="X95" s="22">
        <f>'Activity data'!X54*ManureNEF*NtoN2O*kgtoGg</f>
        <v>2.7657171181721947</v>
      </c>
      <c r="Y95" s="22">
        <f>'Activity data'!Y54*ManureNEF*NtoN2O*kgtoGg</f>
        <v>2.8765473123430296</v>
      </c>
      <c r="Z95" s="22">
        <f>'Activity data'!Z54*ManureNEF*NtoN2O*kgtoGg</f>
        <v>2.8312076874549605</v>
      </c>
      <c r="AA95" s="22">
        <f>'Activity data'!AA54*ManureNEF*NtoN2O*kgtoGg</f>
        <v>2.8009812708629149</v>
      </c>
      <c r="AB95" s="22">
        <f>'Activity data'!AB54*ManureNEF*NtoN2O*kgtoGg</f>
        <v>2.7606793820735205</v>
      </c>
      <c r="AC95" s="22">
        <f>'Activity data'!AC54*ManureNEF*NtoN2O*kgtoGg</f>
        <v>2.7808303264682173</v>
      </c>
      <c r="AD95" s="22">
        <f>'Activity data'!AD54*ManureNEF*NtoN2O*kgtoGg</f>
        <v>2.6837391724620612</v>
      </c>
      <c r="AE95" s="22">
        <f>'Activity data'!AE54*ManureNEF*NtoN2O*kgtoGg</f>
        <v>2.6659501740464377</v>
      </c>
      <c r="AF95" s="22">
        <f>'Activity data'!AF54*ManureNEF*NtoN2O*kgtoGg</f>
        <v>2.6284432629742147</v>
      </c>
      <c r="AG95" s="22">
        <f>'Activity data'!AG54*ManureNEF*NtoN2O*kgtoGg</f>
        <v>2.5652201666480274</v>
      </c>
      <c r="AH95" s="22">
        <f>'Activity data'!AH54*ManureNEF*NtoN2O*kgtoGg</f>
        <v>2.5038795850871476</v>
      </c>
      <c r="AI95" s="22">
        <f>'Activity data'!AI54*ManureNEF*NtoN2O*kgtoGg</f>
        <v>2.4567000683725801</v>
      </c>
      <c r="AJ95" s="22">
        <f>'Activity data'!AJ54*ManureNEF*NtoN2O*kgtoGg</f>
        <v>2.414025832280235</v>
      </c>
      <c r="AK95" s="22">
        <f>'Activity data'!AK54*ManureNEF*NtoN2O*kgtoGg</f>
        <v>2.3469309692046179</v>
      </c>
      <c r="AL95" s="22">
        <f>'Activity data'!AL54*ManureNEF*NtoN2O*kgtoGg</f>
        <v>2.0584007161751039</v>
      </c>
      <c r="AM95" s="22">
        <f>'Activity data'!AM54*ManureNEF*NtoN2O*kgtoGg</f>
        <v>2.0780205753529248</v>
      </c>
      <c r="AN95" s="22">
        <f>'Activity data'!AN54*ManureNEF*NtoN2O*kgtoGg</f>
        <v>2.0912968000734335</v>
      </c>
      <c r="AO95" s="22">
        <f>'Activity data'!AO54*ManureNEF*NtoN2O*kgtoGg</f>
        <v>2.1041412062318772</v>
      </c>
      <c r="AP95" s="22">
        <f>'Activity data'!AP54*ManureNEF*NtoN2O*kgtoGg</f>
        <v>2.125382764611714</v>
      </c>
      <c r="AQ95" s="22">
        <f>'Activity data'!AQ54*ManureNEF*NtoN2O*kgtoGg</f>
        <v>2.1459242533678449</v>
      </c>
      <c r="AR95" s="22">
        <f>'Activity data'!AR54*ManureNEF*NtoN2O*kgtoGg</f>
        <v>2.1674897331963128</v>
      </c>
      <c r="AS95" s="22">
        <f>'Activity data'!AS54*ManureNEF*NtoN2O*kgtoGg</f>
        <v>2.1862643907121093</v>
      </c>
      <c r="AT95" s="22">
        <f>'Activity data'!AT54*ManureNEF*NtoN2O*kgtoGg</f>
        <v>2.2076324968582024</v>
      </c>
      <c r="AU95" s="22">
        <f>'Activity data'!AU54*ManureNEF*NtoN2O*kgtoGg</f>
        <v>2.2243537639085806</v>
      </c>
      <c r="AV95" s="22">
        <f>'Activity data'!AV54*ManureNEF*NtoN2O*kgtoGg</f>
        <v>2.2415338344398443</v>
      </c>
      <c r="AW95" s="22">
        <f>'Activity data'!AW54*ManureNEF*NtoN2O*kgtoGg</f>
        <v>2.2495356829125717</v>
      </c>
      <c r="AX95" s="22">
        <f>'Activity data'!AX54*ManureNEF*NtoN2O*kgtoGg</f>
        <v>2.2605078406421084</v>
      </c>
      <c r="AY95" s="22">
        <f>'Activity data'!AY54*ManureNEF*NtoN2O*kgtoGg</f>
        <v>2.2714376528081774</v>
      </c>
      <c r="AZ95" s="22">
        <f>'Activity data'!AZ54*ManureNEF*NtoN2O*kgtoGg</f>
        <v>2.2232650206980202</v>
      </c>
      <c r="BA95" s="22">
        <f>'Activity data'!BA54*ManureNEF*NtoN2O*kgtoGg</f>
        <v>-0.52443746689921866</v>
      </c>
      <c r="BB95" s="22">
        <f>'Activity data'!BB54*ManureNEF*NtoN2O*kgtoGg</f>
        <v>-0.51227234165292079</v>
      </c>
      <c r="BC95" s="22">
        <f>'Activity data'!BC54*ManureNEF*NtoN2O*kgtoGg</f>
        <v>-0.50030068007486495</v>
      </c>
      <c r="BD95" s="22">
        <f>'Activity data'!BD54*ManureNEF*NtoN2O*kgtoGg</f>
        <v>-0.48851234957400724</v>
      </c>
      <c r="BE95" s="22">
        <f>'Activity data'!BE54*ManureNEF*NtoN2O*kgtoGg</f>
        <v>-0.47689791808594317</v>
      </c>
      <c r="BF95" s="22">
        <f>'Activity data'!BF54*ManureNEF*NtoN2O*kgtoGg</f>
        <v>-0.46544858915917614</v>
      </c>
      <c r="BG95" s="22">
        <f>'Activity data'!BG54*ManureNEF*NtoN2O*kgtoGg</f>
        <v>-0.45616577335379221</v>
      </c>
      <c r="BH95" s="22">
        <f>'Activity data'!BH54*ManureNEF*NtoN2O*kgtoGg</f>
        <v>-0.44702316326928004</v>
      </c>
      <c r="BI95" s="22">
        <f>'Activity data'!BI54*ManureNEF*NtoN2O*kgtoGg</f>
        <v>-0.4380144054774302</v>
      </c>
      <c r="BJ95" s="22">
        <f>'Activity data'!BJ54*ManureNEF*NtoN2O*kgtoGg</f>
        <v>-0.4291335417004612</v>
      </c>
      <c r="BK95" s="22">
        <f>'Activity data'!BK54*ManureNEF*NtoN2O*kgtoGg</f>
        <v>-0.42037497604652191</v>
      </c>
      <c r="BL95" s="22">
        <f>'Activity data'!BL54*ManureNEF*NtoN2O*kgtoGg</f>
        <v>-0.41145361786623369</v>
      </c>
      <c r="BM95" s="22">
        <f>'Activity data'!BM54*ManureNEF*NtoN2O*kgtoGg</f>
        <v>-0.40265493973831684</v>
      </c>
      <c r="BN95" s="22">
        <f>'Activity data'!BN54*ManureNEF*NtoN2O*kgtoGg</f>
        <v>-0.3939741156201515</v>
      </c>
      <c r="BO95" s="22">
        <f>'Activity data'!BO54*ManureNEF*NtoN2O*kgtoGg</f>
        <v>-0.38540659061153143</v>
      </c>
      <c r="BP95" s="22">
        <f>'Activity data'!BP54*ManureNEF*NtoN2O*kgtoGg</f>
        <v>-0.37694806069295739</v>
      </c>
    </row>
    <row r="96" spans="1:68" x14ac:dyDescent="0.25">
      <c r="A96" t="str">
        <f t="shared" si="29"/>
        <v>3C Aggregated and non-CO2 emissions on land</v>
      </c>
      <c r="B96" t="str">
        <f t="shared" si="31"/>
        <v>3C4 Direct N2O from managed soils (N2O)</v>
      </c>
      <c r="C96" t="str">
        <f t="shared" si="35"/>
        <v>MM emissions</v>
      </c>
      <c r="D96" t="str">
        <f>'Activity data'!D55</f>
        <v xml:space="preserve"> - Feedlot</v>
      </c>
      <c r="E96" t="str">
        <f t="shared" si="32"/>
        <v>MM emissions - Feedlot</v>
      </c>
      <c r="F96" t="str">
        <f t="shared" si="33"/>
        <v>N2O</v>
      </c>
      <c r="G96" t="str">
        <f t="shared" si="34"/>
        <v>Gg N2O</v>
      </c>
      <c r="H96" s="22">
        <f>'Activity data'!H55*ManureNEF*NtoN2O*kgtoGg</f>
        <v>0.26650892267999993</v>
      </c>
      <c r="I96" s="22">
        <f>'Activity data'!I55*ManureNEF*NtoN2O*kgtoGg</f>
        <v>0.26650892267999993</v>
      </c>
      <c r="J96" s="22">
        <f>'Activity data'!J55*ManureNEF*NtoN2O*kgtoGg</f>
        <v>0.26650892267999993</v>
      </c>
      <c r="K96" s="22">
        <f>'Activity data'!K55*ManureNEF*NtoN2O*kgtoGg</f>
        <v>0.26650892267999993</v>
      </c>
      <c r="L96" s="22">
        <f>'Activity data'!L55*ManureNEF*NtoN2O*kgtoGg</f>
        <v>0.26650892267999993</v>
      </c>
      <c r="M96" s="22">
        <f>'Activity data'!M55*ManureNEF*NtoN2O*kgtoGg</f>
        <v>0.26650892267999993</v>
      </c>
      <c r="N96" s="22">
        <f>'Activity data'!N55*ManureNEF*NtoN2O*kgtoGg</f>
        <v>0.26650892267999993</v>
      </c>
      <c r="O96" s="22">
        <f>'Activity data'!O55*ManureNEF*NtoN2O*kgtoGg</f>
        <v>0.26650892267999993</v>
      </c>
      <c r="P96" s="22">
        <f>'Activity data'!P55*ManureNEF*NtoN2O*kgtoGg</f>
        <v>0.26650892267999993</v>
      </c>
      <c r="Q96" s="22">
        <f>'Activity data'!Q55*ManureNEF*NtoN2O*kgtoGg</f>
        <v>0.26650892267999993</v>
      </c>
      <c r="R96" s="22">
        <f>'Activity data'!R55*ManureNEF*NtoN2O*kgtoGg</f>
        <v>0.26650892267999993</v>
      </c>
      <c r="S96" s="22">
        <f>'Activity data'!S55*ManureNEF*NtoN2O*kgtoGg</f>
        <v>0.26650892267999993</v>
      </c>
      <c r="T96" s="22">
        <f>'Activity data'!T55*ManureNEF*NtoN2O*kgtoGg</f>
        <v>0.26650892267999993</v>
      </c>
      <c r="U96" s="22">
        <f>'Activity data'!U55*ManureNEF*NtoN2O*kgtoGg</f>
        <v>0.26650892267999993</v>
      </c>
      <c r="V96" s="22">
        <f>'Activity data'!V55*ManureNEF*NtoN2O*kgtoGg</f>
        <v>0.26650892267999993</v>
      </c>
      <c r="W96" s="22">
        <f>'Activity data'!W55*ManureNEF*NtoN2O*kgtoGg</f>
        <v>0.26650892267999993</v>
      </c>
      <c r="X96" s="22">
        <f>'Activity data'!X55*ManureNEF*NtoN2O*kgtoGg</f>
        <v>0.26650892267999993</v>
      </c>
      <c r="Y96" s="22">
        <f>'Activity data'!Y55*ManureNEF*NtoN2O*kgtoGg</f>
        <v>0.26650892267999993</v>
      </c>
      <c r="Z96" s="22">
        <f>'Activity data'!Z55*ManureNEF*NtoN2O*kgtoGg</f>
        <v>0.24820087014572845</v>
      </c>
      <c r="AA96" s="22">
        <f>'Activity data'!AA55*ManureNEF*NtoN2O*kgtoGg</f>
        <v>0.25433797839299843</v>
      </c>
      <c r="AB96" s="22">
        <f>'Activity data'!AB55*ManureNEF*NtoN2O*kgtoGg</f>
        <v>0.25370528409540599</v>
      </c>
      <c r="AC96" s="22">
        <f>'Activity data'!AC55*ManureNEF*NtoN2O*kgtoGg</f>
        <v>0.29303301169470902</v>
      </c>
      <c r="AD96" s="22">
        <f>'Activity data'!AD55*ManureNEF*NtoN2O*kgtoGg</f>
        <v>0.34546247453096907</v>
      </c>
      <c r="AE96" s="22">
        <f>'Activity data'!AE55*ManureNEF*NtoN2O*kgtoGg</f>
        <v>0.35776618085714956</v>
      </c>
      <c r="AF96" s="22">
        <f>'Activity data'!AF55*ManureNEF*NtoN2O*kgtoGg</f>
        <v>0.36753197290523232</v>
      </c>
      <c r="AG96" s="22">
        <f>'Activity data'!AG55*ManureNEF*NtoN2O*kgtoGg</f>
        <v>0.37357124020109944</v>
      </c>
      <c r="AH96" s="22">
        <f>'Activity data'!AH55*ManureNEF*NtoN2O*kgtoGg</f>
        <v>0.37962311486925576</v>
      </c>
      <c r="AI96" s="22">
        <f>'Activity data'!AI55*ManureNEF*NtoN2O*kgtoGg</f>
        <v>0.38765990463300043</v>
      </c>
      <c r="AJ96" s="22">
        <f>'Activity data'!AJ55*ManureNEF*NtoN2O*kgtoGg</f>
        <v>0.39636651112291715</v>
      </c>
      <c r="AK96" s="22">
        <f>'Activity data'!AK55*ManureNEF*NtoN2O*kgtoGg</f>
        <v>0.40089753199851358</v>
      </c>
      <c r="AL96" s="22">
        <f>'Activity data'!AL55*ManureNEF*NtoN2O*kgtoGg</f>
        <v>0.36575105397715829</v>
      </c>
      <c r="AM96" s="22">
        <f>'Activity data'!AM55*ManureNEF*NtoN2O*kgtoGg</f>
        <v>0.37806101801948427</v>
      </c>
      <c r="AN96" s="22">
        <f>'Activity data'!AN55*ManureNEF*NtoN2O*kgtoGg</f>
        <v>0.38944404902970864</v>
      </c>
      <c r="AO96" s="22">
        <f>'Activity data'!AO55*ManureNEF*NtoN2O*kgtoGg</f>
        <v>0.40095410706426832</v>
      </c>
      <c r="AP96" s="22">
        <f>'Activity data'!AP55*ManureNEF*NtoN2O*kgtoGg</f>
        <v>0.41431554176005497</v>
      </c>
      <c r="AQ96" s="22">
        <f>'Activity data'!AQ55*ManureNEF*NtoN2O*kgtoGg</f>
        <v>0.42783512426761167</v>
      </c>
      <c r="AR96" s="22">
        <f>'Activity data'!AR55*ManureNEF*NtoN2O*kgtoGg</f>
        <v>0.44186503984012609</v>
      </c>
      <c r="AS96" s="22">
        <f>'Activity data'!AS55*ManureNEF*NtoN2O*kgtoGg</f>
        <v>0.45563435576355671</v>
      </c>
      <c r="AT96" s="22">
        <f>'Activity data'!AT55*ManureNEF*NtoN2O*kgtoGg</f>
        <v>0.47026188205754332</v>
      </c>
      <c r="AU96" s="22">
        <f>'Activity data'!AU55*ManureNEF*NtoN2O*kgtoGg</f>
        <v>0.48421794201830248</v>
      </c>
      <c r="AV96" s="22">
        <f>'Activity data'!AV55*ManureNEF*NtoN2O*kgtoGg</f>
        <v>0.49858289829777308</v>
      </c>
      <c r="AW96" s="22">
        <f>'Activity data'!AW55*ManureNEF*NtoN2O*kgtoGg</f>
        <v>0.51686863289566187</v>
      </c>
      <c r="AX96" s="22">
        <f>'Activity data'!AX55*ManureNEF*NtoN2O*kgtoGg</f>
        <v>0.53655701311036041</v>
      </c>
      <c r="AY96" s="22">
        <f>'Activity data'!AY55*ManureNEF*NtoN2O*kgtoGg</f>
        <v>0.55701835701835767</v>
      </c>
      <c r="AZ96" s="22">
        <f>'Activity data'!AZ55*ManureNEF*NtoN2O*kgtoGg</f>
        <v>0.56333119928831021</v>
      </c>
      <c r="BA96" s="22">
        <f>'Activity data'!BA55*ManureNEF*NtoN2O*kgtoGg</f>
        <v>-0.13731688522656813</v>
      </c>
      <c r="BB96" s="22">
        <f>'Activity data'!BB55*ManureNEF*NtoN2O*kgtoGg</f>
        <v>-0.13862810897609068</v>
      </c>
      <c r="BC96" s="22">
        <f>'Activity data'!BC55*ManureNEF*NtoN2O*kgtoGg</f>
        <v>-0.13994999382586637</v>
      </c>
      <c r="BD96" s="22">
        <f>'Activity data'!BD55*ManureNEF*NtoN2O*kgtoGg</f>
        <v>-0.14128264066794663</v>
      </c>
      <c r="BE96" s="22">
        <f>'Activity data'!BE55*ManureNEF*NtoN2O*kgtoGg</f>
        <v>-0.14262615130024825</v>
      </c>
      <c r="BF96" s="22">
        <f>'Activity data'!BF55*ManureNEF*NtoN2O*kgtoGg</f>
        <v>-0.14398062843440931</v>
      </c>
      <c r="BG96" s="22">
        <f>'Activity data'!BG55*ManureNEF*NtoN2O*kgtoGg</f>
        <v>-0.14506760905723812</v>
      </c>
      <c r="BH96" s="22">
        <f>'Activity data'!BH55*ManureNEF*NtoN2O*kgtoGg</f>
        <v>-0.14616208765425914</v>
      </c>
      <c r="BI96" s="22">
        <f>'Activity data'!BI55*ManureNEF*NtoN2O*kgtoGg</f>
        <v>-0.14726412356751001</v>
      </c>
      <c r="BJ96" s="22">
        <f>'Activity data'!BJ55*ManureNEF*NtoN2O*kgtoGg</f>
        <v>-0.14837377658692755</v>
      </c>
      <c r="BK96" s="22">
        <f>'Activity data'!BK55*ManureNEF*NtoN2O*kgtoGg</f>
        <v>-0.1494911069536225</v>
      </c>
      <c r="BL96" s="22">
        <f>'Activity data'!BL55*ManureNEF*NtoN2O*kgtoGg</f>
        <v>-0.15051381160807262</v>
      </c>
      <c r="BM96" s="22">
        <f>'Activity data'!BM55*ManureNEF*NtoN2O*kgtoGg</f>
        <v>-0.15154240205157654</v>
      </c>
      <c r="BN96" s="22">
        <f>'Activity data'!BN55*ManureNEF*NtoN2O*kgtoGg</f>
        <v>-0.15257691722009936</v>
      </c>
      <c r="BO96" s="22">
        <f>'Activity data'!BO55*ManureNEF*NtoN2O*kgtoGg</f>
        <v>-0.15361739629374987</v>
      </c>
      <c r="BP96" s="22">
        <f>'Activity data'!BP55*ManureNEF*NtoN2O*kgtoGg</f>
        <v>-0.15466387869825843</v>
      </c>
    </row>
    <row r="97" spans="1:68" x14ac:dyDescent="0.25">
      <c r="A97" t="str">
        <f t="shared" si="29"/>
        <v>3C Aggregated and non-CO2 emissions on land</v>
      </c>
      <c r="B97" t="str">
        <f t="shared" si="31"/>
        <v>3C4 Direct N2O from managed soils (N2O)</v>
      </c>
      <c r="C97" t="str">
        <f t="shared" si="35"/>
        <v>MM emissions</v>
      </c>
      <c r="D97" t="str">
        <f>'Activity data'!D56</f>
        <v xml:space="preserve"> - Commercial sheep</v>
      </c>
      <c r="E97" t="str">
        <f t="shared" si="32"/>
        <v>MM emissions - Commercial sheep</v>
      </c>
      <c r="F97" t="str">
        <f t="shared" si="33"/>
        <v>N2O</v>
      </c>
      <c r="G97" t="str">
        <f t="shared" si="34"/>
        <v>Gg N2O</v>
      </c>
      <c r="H97" s="22">
        <f>'Activity data'!H56*ManureNEF*NtoN2O*kgtoGg</f>
        <v>9.1991860386242574E-2</v>
      </c>
      <c r="I97" s="22">
        <f>'Activity data'!I56*ManureNEF*NtoN2O*kgtoGg</f>
        <v>8.7855463982071155E-2</v>
      </c>
      <c r="J97" s="22">
        <f>'Activity data'!J56*ManureNEF*NtoN2O*kgtoGg</f>
        <v>8.4225377226778267E-2</v>
      </c>
      <c r="K97" s="22">
        <f>'Activity data'!K56*ManureNEF*NtoN2O*kgtoGg</f>
        <v>7.8769507192196109E-2</v>
      </c>
      <c r="L97" s="22">
        <f>'Activity data'!L56*ManureNEF*NtoN2O*kgtoGg</f>
        <v>7.9324913534299213E-2</v>
      </c>
      <c r="M97" s="22">
        <f>'Activity data'!M56*ManureNEF*NtoN2O*kgtoGg</f>
        <v>7.8189552503480655E-2</v>
      </c>
      <c r="N97" s="22">
        <f>'Activity data'!N56*ManureNEF*NtoN2O*kgtoGg</f>
        <v>7.8450378686236291E-2</v>
      </c>
      <c r="O97" s="22">
        <f>'Activity data'!O56*ManureNEF*NtoN2O*kgtoGg</f>
        <v>7.6744268596681903E-2</v>
      </c>
      <c r="P97" s="22">
        <f>'Activity data'!P56*ManureNEF*NtoN2O*kgtoGg</f>
        <v>7.6955998086212937E-2</v>
      </c>
      <c r="Q97" s="22">
        <f>'Activity data'!Q56*ManureNEF*NtoN2O*kgtoGg</f>
        <v>7.5065775397066339E-2</v>
      </c>
      <c r="R97" s="22">
        <f>'Activity data'!R56*ManureNEF*NtoN2O*kgtoGg</f>
        <v>7.2374662899693701E-2</v>
      </c>
      <c r="S97" s="22">
        <f>'Activity data'!S56*ManureNEF*NtoN2O*kgtoGg</f>
        <v>7.0570359423690138E-2</v>
      </c>
      <c r="T97" s="22">
        <f>'Activity data'!T56*ManureNEF*NtoN2O*kgtoGg</f>
        <v>6.9392038786300056E-2</v>
      </c>
      <c r="U97" s="22">
        <f>'Activity data'!U56*ManureNEF*NtoN2O*kgtoGg</f>
        <v>6.9634453709096461E-2</v>
      </c>
      <c r="V97" s="22">
        <f>'Activity data'!V56*ManureNEF*NtoN2O*kgtoGg</f>
        <v>6.8394762205175638E-2</v>
      </c>
      <c r="W97" s="22">
        <f>'Activity data'!W56*ManureNEF*NtoN2O*kgtoGg</f>
        <v>6.8232129408869205E-2</v>
      </c>
      <c r="X97" s="22">
        <f>'Activity data'!X56*ManureNEF*NtoN2O*kgtoGg</f>
        <v>6.7339183300847025E-2</v>
      </c>
      <c r="Y97" s="22">
        <f>'Activity data'!Y56*ManureNEF*NtoN2O*kgtoGg</f>
        <v>6.7274743890989752E-2</v>
      </c>
      <c r="Z97" s="22">
        <f>'Activity data'!Z56*ManureNEF*NtoN2O*kgtoGg</f>
        <v>6.7492610467173877E-2</v>
      </c>
      <c r="AA97" s="22">
        <f>'Activity data'!AA56*ManureNEF*NtoN2O*kgtoGg</f>
        <v>6.7253264087704004E-2</v>
      </c>
      <c r="AB97" s="22">
        <f>'Activity data'!AB56*ManureNEF*NtoN2O*kgtoGg</f>
        <v>6.5952201717252468E-2</v>
      </c>
      <c r="AC97" s="22">
        <f>'Activity data'!AC56*ManureNEF*NtoN2O*kgtoGg</f>
        <v>6.5436686438394301E-2</v>
      </c>
      <c r="AD97" s="22">
        <f>'Activity data'!AD56*ManureNEF*NtoN2O*kgtoGg</f>
        <v>5.8358562487318792E-2</v>
      </c>
      <c r="AE97" s="22">
        <f>'Activity data'!AE56*ManureNEF*NtoN2O*kgtoGg</f>
        <v>5.839043159926547E-2</v>
      </c>
      <c r="AF97" s="22">
        <f>'Activity data'!AF56*ManureNEF*NtoN2O*kgtoGg</f>
        <v>5.8461792662766042E-2</v>
      </c>
      <c r="AG97" s="22">
        <f>'Activity data'!AG56*ManureNEF*NtoN2O*kgtoGg</f>
        <v>5.8569206044707944E-2</v>
      </c>
      <c r="AH97" s="22">
        <f>'Activity data'!AH56*ManureNEF*NtoN2O*kgtoGg</f>
        <v>5.87141088514554E-2</v>
      </c>
      <c r="AI97" s="22">
        <f>'Activity data'!AI56*ManureNEF*NtoN2O*kgtoGg</f>
        <v>5.8896654838927982E-2</v>
      </c>
      <c r="AJ97" s="22">
        <f>'Activity data'!AJ56*ManureNEF*NtoN2O*kgtoGg</f>
        <v>5.9100003668857495E-2</v>
      </c>
      <c r="AK97" s="22">
        <f>'Activity data'!AK56*ManureNEF*NtoN2O*kgtoGg</f>
        <v>5.9320387521670827E-2</v>
      </c>
      <c r="AL97" s="22">
        <f>'Activity data'!AL56*ManureNEF*NtoN2O*kgtoGg</f>
        <v>5.9527484870119066E-2</v>
      </c>
      <c r="AM97" s="22">
        <f>'Activity data'!AM56*ManureNEF*NtoN2O*kgtoGg</f>
        <v>5.9613993442869086E-2</v>
      </c>
      <c r="AN97" s="22">
        <f>'Activity data'!AN56*ManureNEF*NtoN2O*kgtoGg</f>
        <v>5.9714376068116658E-2</v>
      </c>
      <c r="AO97" s="22">
        <f>'Activity data'!AO56*ManureNEF*NtoN2O*kgtoGg</f>
        <v>5.9828612163064419E-2</v>
      </c>
      <c r="AP97" s="22">
        <f>'Activity data'!AP56*ManureNEF*NtoN2O*kgtoGg</f>
        <v>5.9957293598347332E-2</v>
      </c>
      <c r="AQ97" s="22">
        <f>'Activity data'!AQ56*ManureNEF*NtoN2O*kgtoGg</f>
        <v>6.0098357419229781E-2</v>
      </c>
      <c r="AR97" s="22">
        <f>'Activity data'!AR56*ManureNEF*NtoN2O*kgtoGg</f>
        <v>6.0185192959010252E-2</v>
      </c>
      <c r="AS97" s="22">
        <f>'Activity data'!AS56*ManureNEF*NtoN2O*kgtoGg</f>
        <v>6.0282190049865431E-2</v>
      </c>
      <c r="AT97" s="22">
        <f>'Activity data'!AT56*ManureNEF*NtoN2O*kgtoGg</f>
        <v>6.0389700688940708E-2</v>
      </c>
      <c r="AU97" s="22">
        <f>'Activity data'!AU56*ManureNEF*NtoN2O*kgtoGg</f>
        <v>6.0506073039024895E-2</v>
      </c>
      <c r="AV97" s="22">
        <f>'Activity data'!AV56*ManureNEF*NtoN2O*kgtoGg</f>
        <v>6.0631723200139168E-2</v>
      </c>
      <c r="AW97" s="22">
        <f>'Activity data'!AW56*ManureNEF*NtoN2O*kgtoGg</f>
        <v>6.0714441042505521E-2</v>
      </c>
      <c r="AX97" s="22">
        <f>'Activity data'!AX56*ManureNEF*NtoN2O*kgtoGg</f>
        <v>6.0805859526171006E-2</v>
      </c>
      <c r="AY97" s="22">
        <f>'Activity data'!AY56*ManureNEF*NtoN2O*kgtoGg</f>
        <v>6.0905156479066316E-2</v>
      </c>
      <c r="AZ97" s="22">
        <f>'Activity data'!AZ56*ManureNEF*NtoN2O*kgtoGg</f>
        <v>6.1001089999952796E-2</v>
      </c>
      <c r="BA97" s="22">
        <f>'Activity data'!BA56*ManureNEF*NtoN2O*kgtoGg</f>
        <v>6.0590945473242341E-2</v>
      </c>
      <c r="BB97" s="22">
        <f>'Activity data'!BB56*ManureNEF*NtoN2O*kgtoGg</f>
        <v>6.0649192481063346E-2</v>
      </c>
      <c r="BC97" s="22">
        <f>'Activity data'!BC56*ManureNEF*NtoN2O*kgtoGg</f>
        <v>6.0713468342713614E-2</v>
      </c>
      <c r="BD97" s="22">
        <f>'Activity data'!BD56*ManureNEF*NtoN2O*kgtoGg</f>
        <v>6.0783545293153662E-2</v>
      </c>
      <c r="BE97" s="22">
        <f>'Activity data'!BE56*ManureNEF*NtoN2O*kgtoGg</f>
        <v>6.0859213172163779E-2</v>
      </c>
      <c r="BF97" s="22">
        <f>'Activity data'!BF56*ManureNEF*NtoN2O*kgtoGg</f>
        <v>6.0940277753779866E-2</v>
      </c>
      <c r="BG97" s="22">
        <f>'Activity data'!BG56*ManureNEF*NtoN2O*kgtoGg</f>
        <v>6.0979618468756831E-2</v>
      </c>
      <c r="BH97" s="22">
        <f>'Activity data'!BH56*ManureNEF*NtoN2O*kgtoGg</f>
        <v>6.1023714022373471E-2</v>
      </c>
      <c r="BI97" s="22">
        <f>'Activity data'!BI56*ManureNEF*NtoN2O*kgtoGg</f>
        <v>6.1072398935034244E-2</v>
      </c>
      <c r="BJ97" s="22">
        <f>'Activity data'!BJ56*ManureNEF*NtoN2O*kgtoGg</f>
        <v>6.112551905317741E-2</v>
      </c>
      <c r="BK97" s="22">
        <f>'Activity data'!BK56*ManureNEF*NtoN2O*kgtoGg</f>
        <v>6.1182930587073178E-2</v>
      </c>
      <c r="BL97" s="22">
        <f>'Activity data'!BL56*ManureNEF*NtoN2O*kgtoGg</f>
        <v>6.1197093314118836E-2</v>
      </c>
      <c r="BM97" s="22">
        <f>'Activity data'!BM56*ManureNEF*NtoN2O*kgtoGg</f>
        <v>6.1215064670682988E-2</v>
      </c>
      <c r="BN97" s="22">
        <f>'Activity data'!BN56*ManureNEF*NtoN2O*kgtoGg</f>
        <v>6.1236718515027384E-2</v>
      </c>
      <c r="BO97" s="22">
        <f>'Activity data'!BO56*ManureNEF*NtoN2O*kgtoGg</f>
        <v>6.1261936408176808E-2</v>
      </c>
      <c r="BP97" s="22">
        <f>'Activity data'!BP56*ManureNEF*NtoN2O*kgtoGg</f>
        <v>6.1290607021564164E-2</v>
      </c>
    </row>
    <row r="98" spans="1:68" x14ac:dyDescent="0.25">
      <c r="A98" t="str">
        <f t="shared" si="29"/>
        <v>3C Aggregated and non-CO2 emissions on land</v>
      </c>
      <c r="B98" t="str">
        <f t="shared" si="31"/>
        <v>3C4 Direct N2O from managed soils (N2O)</v>
      </c>
      <c r="C98" t="str">
        <f t="shared" si="35"/>
        <v>MM emissions</v>
      </c>
      <c r="D98" t="str">
        <f>'Activity data'!D57</f>
        <v xml:space="preserve"> - Subsistence sheep</v>
      </c>
      <c r="E98" t="str">
        <f t="shared" si="32"/>
        <v>MM emissions - Subsistence sheep</v>
      </c>
      <c r="F98" t="str">
        <f t="shared" si="33"/>
        <v>N2O</v>
      </c>
      <c r="G98" t="str">
        <f t="shared" si="34"/>
        <v>Gg N2O</v>
      </c>
      <c r="H98" s="22">
        <f>'Activity data'!H57*ManureNEF*NtoN2O*kgtoGg</f>
        <v>6.9925803620037946E-2</v>
      </c>
      <c r="I98" s="22">
        <f>'Activity data'!I57*ManureNEF*NtoN2O*kgtoGg</f>
        <v>6.6781603237109521E-2</v>
      </c>
      <c r="J98" s="22">
        <f>'Activity data'!J57*ManureNEF*NtoN2O*kgtoGg</f>
        <v>6.4022264177017271E-2</v>
      </c>
      <c r="K98" s="22">
        <f>'Activity data'!K57*ManureNEF*NtoN2O*kgtoGg</f>
        <v>5.9875091861849083E-2</v>
      </c>
      <c r="L98" s="22">
        <f>'Activity data'!L57*ManureNEF*NtoN2O*kgtoGg</f>
        <v>6.0297273070536055E-2</v>
      </c>
      <c r="M98" s="22">
        <f>'Activity data'!M57*ManureNEF*NtoN2O*kgtoGg</f>
        <v>5.9434250710236718E-2</v>
      </c>
      <c r="N98" s="22">
        <f>'Activity data'!N57*ManureNEF*NtoN2O*kgtoGg</f>
        <v>5.9632512603818993E-2</v>
      </c>
      <c r="O98" s="22">
        <f>'Activity data'!O57*ManureNEF*NtoN2O*kgtoGg</f>
        <v>5.8335646570504315E-2</v>
      </c>
      <c r="P98" s="22">
        <f>'Activity data'!P57*ManureNEF*NtoN2O*kgtoGg</f>
        <v>5.8496588578235996E-2</v>
      </c>
      <c r="Q98" s="22">
        <f>'Activity data'!Q57*ManureNEF*NtoN2O*kgtoGg</f>
        <v>5.7059772972980871E-2</v>
      </c>
      <c r="R98" s="22">
        <f>'Activity data'!R57*ManureNEF*NtoN2O*kgtoGg</f>
        <v>5.5014176729784849E-2</v>
      </c>
      <c r="S98" s="22">
        <f>'Activity data'!S57*ManureNEF*NtoN2O*kgtoGg</f>
        <v>5.3642670924768585E-2</v>
      </c>
      <c r="T98" s="22">
        <f>'Activity data'!T57*ManureNEF*NtoN2O*kgtoGg</f>
        <v>5.2746993664349803E-2</v>
      </c>
      <c r="U98" s="22">
        <f>'Activity data'!U57*ManureNEF*NtoN2O*kgtoGg</f>
        <v>5.2931260600738043E-2</v>
      </c>
      <c r="V98" s="22">
        <f>'Activity data'!V57*ManureNEF*NtoN2O*kgtoGg</f>
        <v>5.1988933483005775E-2</v>
      </c>
      <c r="W98" s="22">
        <f>'Activity data'!W57*ManureNEF*NtoN2O*kgtoGg</f>
        <v>5.1865311361125072E-2</v>
      </c>
      <c r="X98" s="22">
        <f>'Activity data'!X57*ManureNEF*NtoN2O*kgtoGg</f>
        <v>5.1186555937213961E-2</v>
      </c>
      <c r="Y98" s="22">
        <f>'Activity data'!Y57*ManureNEF*NtoN2O*kgtoGg</f>
        <v>5.1137573587034801E-2</v>
      </c>
      <c r="Z98" s="22">
        <f>'Activity data'!Z57*ManureNEF*NtoN2O*kgtoGg</f>
        <v>5.1303180580497661E-2</v>
      </c>
      <c r="AA98" s="22">
        <f>'Activity data'!AA57*ManureNEF*NtoN2O*kgtoGg</f>
        <v>5.1121246136975086E-2</v>
      </c>
      <c r="AB98" s="22">
        <f>'Activity data'!AB57*ManureNEF*NtoN2O*kgtoGg</f>
        <v>5.0132269161929359E-2</v>
      </c>
      <c r="AC98" s="22">
        <f>'Activity data'!AC57*ManureNEF*NtoN2O*kgtoGg</f>
        <v>4.9740410360496132E-2</v>
      </c>
      <c r="AD98" s="22">
        <f>'Activity data'!AD57*ManureNEF*NtoN2O*kgtoGg</f>
        <v>4.7495937116525173E-2</v>
      </c>
      <c r="AE98" s="22">
        <f>'Activity data'!AE57*ManureNEF*NtoN2O*kgtoGg</f>
        <v>4.7521874241643836E-2</v>
      </c>
      <c r="AF98" s="22">
        <f>'Activity data'!AF57*ManureNEF*NtoN2O*kgtoGg</f>
        <v>4.7579952447139875E-2</v>
      </c>
      <c r="AG98" s="22">
        <f>'Activity data'!AG57*ManureNEF*NtoN2O*kgtoGg</f>
        <v>4.7667372339213025E-2</v>
      </c>
      <c r="AH98" s="22">
        <f>'Activity data'!AH57*ManureNEF*NtoN2O*kgtoGg</f>
        <v>4.7785303527096222E-2</v>
      </c>
      <c r="AI98" s="22">
        <f>'Activity data'!AI57*ManureNEF*NtoN2O*kgtoGg</f>
        <v>4.7933871147207763E-2</v>
      </c>
      <c r="AJ98" s="22">
        <f>'Activity data'!AJ57*ManureNEF*NtoN2O*kgtoGg</f>
        <v>4.8099369453324381E-2</v>
      </c>
      <c r="AK98" s="22">
        <f>'Activity data'!AK57*ManureNEF*NtoN2O*kgtoGg</f>
        <v>4.8278731952477678E-2</v>
      </c>
      <c r="AL98" s="22">
        <f>'Activity data'!AL57*ManureNEF*NtoN2O*kgtoGg</f>
        <v>4.8447281043127996E-2</v>
      </c>
      <c r="AM98" s="22">
        <f>'Activity data'!AM57*ManureNEF*NtoN2O*kgtoGg</f>
        <v>4.8517687262134283E-2</v>
      </c>
      <c r="AN98" s="22">
        <f>'Activity data'!AN57*ManureNEF*NtoN2O*kgtoGg</f>
        <v>4.8599385073957294E-2</v>
      </c>
      <c r="AO98" s="22">
        <f>'Activity data'!AO57*ManureNEF*NtoN2O*kgtoGg</f>
        <v>4.8692357726997801E-2</v>
      </c>
      <c r="AP98" s="22">
        <f>'Activity data'!AP57*ManureNEF*NtoN2O*kgtoGg</f>
        <v>4.8797086923498996E-2</v>
      </c>
      <c r="AQ98" s="22">
        <f>'Activity data'!AQ57*ManureNEF*NtoN2O*kgtoGg</f>
        <v>4.8911893698725943E-2</v>
      </c>
      <c r="AR98" s="22">
        <f>'Activity data'!AR57*ManureNEF*NtoN2O*kgtoGg</f>
        <v>4.8982566024450037E-2</v>
      </c>
      <c r="AS98" s="22">
        <f>'Activity data'!AS57*ManureNEF*NtoN2O*kgtoGg</f>
        <v>4.9061508471477298E-2</v>
      </c>
      <c r="AT98" s="22">
        <f>'Activity data'!AT57*ManureNEF*NtoN2O*kgtoGg</f>
        <v>4.9149007517636747E-2</v>
      </c>
      <c r="AU98" s="22">
        <f>'Activity data'!AU57*ManureNEF*NtoN2O*kgtoGg</f>
        <v>4.9243718791974624E-2</v>
      </c>
      <c r="AV98" s="22">
        <f>'Activity data'!AV57*ManureNEF*NtoN2O*kgtoGg</f>
        <v>4.9345980943347217E-2</v>
      </c>
      <c r="AW98" s="22">
        <f>'Activity data'!AW57*ManureNEF*NtoN2O*kgtoGg</f>
        <v>4.941330202309966E-2</v>
      </c>
      <c r="AX98" s="22">
        <f>'Activity data'!AX57*ManureNEF*NtoN2O*kgtoGg</f>
        <v>4.9487704242181185E-2</v>
      </c>
      <c r="AY98" s="22">
        <f>'Activity data'!AY57*ManureNEF*NtoN2O*kgtoGg</f>
        <v>4.9568518464286178E-2</v>
      </c>
      <c r="AZ98" s="22">
        <f>'Activity data'!AZ57*ManureNEF*NtoN2O*kgtoGg</f>
        <v>4.9646595309931256E-2</v>
      </c>
      <c r="BA98" s="22">
        <f>'Activity data'!BA57*ManureNEF*NtoN2O*kgtoGg</f>
        <v>4.9312793416617665E-2</v>
      </c>
      <c r="BB98" s="22">
        <f>'Activity data'!BB57*ManureNEF*NtoN2O*kgtoGg</f>
        <v>4.9360198563399564E-2</v>
      </c>
      <c r="BC98" s="22">
        <f>'Activity data'!BC57*ManureNEF*NtoN2O*kgtoGg</f>
        <v>4.9412510377689269E-2</v>
      </c>
      <c r="BD98" s="22">
        <f>'Activity data'!BD57*ManureNEF*NtoN2O*kgtoGg</f>
        <v>4.9469543489705052E-2</v>
      </c>
      <c r="BE98" s="22">
        <f>'Activity data'!BE57*ManureNEF*NtoN2O*kgtoGg</f>
        <v>4.9531126857595344E-2</v>
      </c>
      <c r="BF98" s="22">
        <f>'Activity data'!BF57*ManureNEF*NtoN2O*kgtoGg</f>
        <v>4.9597102407826756E-2</v>
      </c>
      <c r="BG98" s="22">
        <f>'Activity data'!BG57*ManureNEF*NtoN2O*kgtoGg</f>
        <v>4.9629120402188261E-2</v>
      </c>
      <c r="BH98" s="22">
        <f>'Activity data'!BH57*ManureNEF*NtoN2O*kgtoGg</f>
        <v>4.9665008188871658E-2</v>
      </c>
      <c r="BI98" s="22">
        <f>'Activity data'!BI57*ManureNEF*NtoN2O*kgtoGg</f>
        <v>4.9704631089979995E-2</v>
      </c>
      <c r="BJ98" s="22">
        <f>'Activity data'!BJ57*ManureNEF*NtoN2O*kgtoGg</f>
        <v>4.9747863645468307E-2</v>
      </c>
      <c r="BK98" s="22">
        <f>'Activity data'!BK57*ManureNEF*NtoN2O*kgtoGg</f>
        <v>4.9794588830042001E-2</v>
      </c>
      <c r="BL98" s="22">
        <f>'Activity data'!BL57*ManureNEF*NtoN2O*kgtoGg</f>
        <v>4.9806115364700997E-2</v>
      </c>
      <c r="BM98" s="22">
        <f>'Activity data'!BM57*ManureNEF*NtoN2O*kgtoGg</f>
        <v>4.9820741606076545E-2</v>
      </c>
      <c r="BN98" s="22">
        <f>'Activity data'!BN57*ManureNEF*NtoN2O*kgtoGg</f>
        <v>4.9838364891940323E-2</v>
      </c>
      <c r="BO98" s="22">
        <f>'Activity data'!BO57*ManureNEF*NtoN2O*kgtoGg</f>
        <v>4.9858888829066014E-2</v>
      </c>
      <c r="BP98" s="22">
        <f>'Activity data'!BP57*ManureNEF*NtoN2O*kgtoGg</f>
        <v>4.988222281113306E-2</v>
      </c>
    </row>
    <row r="99" spans="1:68" x14ac:dyDescent="0.25">
      <c r="A99" t="str">
        <f t="shared" si="29"/>
        <v>3C Aggregated and non-CO2 emissions on land</v>
      </c>
      <c r="B99" t="str">
        <f t="shared" si="31"/>
        <v>3C4 Direct N2O from managed soils (N2O)</v>
      </c>
      <c r="C99" t="str">
        <f t="shared" si="35"/>
        <v>MM emissions</v>
      </c>
      <c r="D99" t="str">
        <f>'Activity data'!D58</f>
        <v xml:space="preserve"> - Commercial goats</v>
      </c>
      <c r="E99" t="str">
        <f t="shared" si="32"/>
        <v>MM emissions - Commercial goats</v>
      </c>
      <c r="F99" t="str">
        <f t="shared" si="33"/>
        <v>N2O</v>
      </c>
      <c r="G99" t="str">
        <f t="shared" si="34"/>
        <v>Gg N2O</v>
      </c>
      <c r="H99" s="22">
        <f>'Activity data'!H58*ManureNEF*NtoN2O*kgtoGg</f>
        <v>9.6765143377954225E-3</v>
      </c>
      <c r="I99" s="22">
        <f>'Activity data'!I58*ManureNEF*NtoN2O*kgtoGg</f>
        <v>8.5567734933713682E-3</v>
      </c>
      <c r="J99" s="22">
        <f>'Activity data'!J58*ManureNEF*NtoN2O*kgtoGg</f>
        <v>7.9707409018970922E-3</v>
      </c>
      <c r="K99" s="22">
        <f>'Activity data'!K58*ManureNEF*NtoN2O*kgtoGg</f>
        <v>7.5312164582913869E-3</v>
      </c>
      <c r="L99" s="22">
        <f>'Activity data'!L58*ManureNEF*NtoN2O*kgtoGg</f>
        <v>8.152131942115318E-3</v>
      </c>
      <c r="M99" s="22">
        <f>'Activity data'!M58*ManureNEF*NtoN2O*kgtoGg</f>
        <v>8.2637571976342285E-3</v>
      </c>
      <c r="N99" s="22">
        <f>'Activity data'!N58*ManureNEF*NtoN2O*kgtoGg</f>
        <v>8.3928238993279686E-3</v>
      </c>
      <c r="O99" s="22">
        <f>'Activity data'!O58*ManureNEF*NtoN2O*kgtoGg</f>
        <v>8.350964428508377E-3</v>
      </c>
      <c r="P99" s="22">
        <f>'Activity data'!P58*ManureNEF*NtoN2O*kgtoGg</f>
        <v>8.232362594519536E-3</v>
      </c>
      <c r="Q99" s="22">
        <f>'Activity data'!Q58*ManureNEF*NtoN2O*kgtoGg</f>
        <v>8.1102724712957298E-3</v>
      </c>
      <c r="R99" s="22">
        <f>'Activity data'!R58*ManureNEF*NtoN2O*kgtoGg</f>
        <v>8.2149211483447063E-3</v>
      </c>
      <c r="S99" s="22">
        <f>'Activity data'!S58*ManureNEF*NtoN2O*kgtoGg</f>
        <v>8.4660779732622544E-3</v>
      </c>
      <c r="T99" s="22">
        <f>'Activity data'!T58*ManureNEF*NtoN2O*kgtoGg</f>
        <v>7.7300489446844476E-3</v>
      </c>
      <c r="U99" s="22">
        <f>'Activity data'!U58*ManureNEF*NtoN2O*kgtoGg</f>
        <v>7.5347047475263548E-3</v>
      </c>
      <c r="V99" s="22">
        <f>'Activity data'!V58*ManureNEF*NtoN2O*kgtoGg</f>
        <v>7.548657904466221E-3</v>
      </c>
      <c r="W99" s="22">
        <f>'Activity data'!W58*ManureNEF*NtoN2O*kgtoGg</f>
        <v>7.4509858058871732E-3</v>
      </c>
      <c r="X99" s="22">
        <f>'Activity data'!X58*ManureNEF*NtoN2O*kgtoGg</f>
        <v>7.6079588214606388E-3</v>
      </c>
      <c r="Y99" s="22">
        <f>'Activity data'!Y58*ManureNEF*NtoN2O*kgtoGg</f>
        <v>7.3812200211878561E-3</v>
      </c>
      <c r="Z99" s="22">
        <f>'Activity data'!Z58*ManureNEF*NtoN2O*kgtoGg</f>
        <v>7.3742434427179256E-3</v>
      </c>
      <c r="AA99" s="22">
        <f>'Activity data'!AA58*ManureNEF*NtoN2O*kgtoGg</f>
        <v>7.2451767410241855E-3</v>
      </c>
      <c r="AB99" s="22">
        <f>'Activity data'!AB58*ManureNEF*NtoN2O*kgtoGg</f>
        <v>7.1579695101500369E-3</v>
      </c>
      <c r="AC99" s="22">
        <f>'Activity data'!AC58*ManureNEF*NtoN2O*kgtoGg</f>
        <v>7.0916920146856851E-3</v>
      </c>
      <c r="AD99" s="22">
        <f>'Activity data'!AD58*ManureNEF*NtoN2O*kgtoGg</f>
        <v>7.2138531984991348E-3</v>
      </c>
      <c r="AE99" s="22">
        <f>'Activity data'!AE58*ManureNEF*NtoN2O*kgtoGg</f>
        <v>7.2326686364155846E-3</v>
      </c>
      <c r="AF99" s="22">
        <f>'Activity data'!AF58*ManureNEF*NtoN2O*kgtoGg</f>
        <v>7.2577418741351651E-3</v>
      </c>
      <c r="AG99" s="22">
        <f>'Activity data'!AG58*ManureNEF*NtoN2O*kgtoGg</f>
        <v>7.2885154843188495E-3</v>
      </c>
      <c r="AH99" s="22">
        <f>'Activity data'!AH58*ManureNEF*NtoN2O*kgtoGg</f>
        <v>7.3253592647283981E-3</v>
      </c>
      <c r="AI99" s="22">
        <f>'Activity data'!AI58*ManureNEF*NtoN2O*kgtoGg</f>
        <v>7.3683712611583496E-3</v>
      </c>
      <c r="AJ99" s="22">
        <f>'Activity data'!AJ58*ManureNEF*NtoN2O*kgtoGg</f>
        <v>7.4143590148475543E-3</v>
      </c>
      <c r="AK99" s="22">
        <f>'Activity data'!AK58*ManureNEF*NtoN2O*kgtoGg</f>
        <v>7.4626649386195258E-3</v>
      </c>
      <c r="AL99" s="22">
        <f>'Activity data'!AL58*ManureNEF*NtoN2O*kgtoGg</f>
        <v>7.5075390200834997E-3</v>
      </c>
      <c r="AM99" s="22">
        <f>'Activity data'!AM58*ManureNEF*NtoN2O*kgtoGg</f>
        <v>7.5285683818169559E-3</v>
      </c>
      <c r="AN99" s="22">
        <f>'Activity data'!AN58*ManureNEF*NtoN2O*kgtoGg</f>
        <v>7.551628242645091E-3</v>
      </c>
      <c r="AO99" s="22">
        <f>'Activity data'!AO58*ManureNEF*NtoN2O*kgtoGg</f>
        <v>7.5767478661135802E-3</v>
      </c>
      <c r="AP99" s="22">
        <f>'Activity data'!AP58*ManureNEF*NtoN2O*kgtoGg</f>
        <v>7.6040674331418288E-3</v>
      </c>
      <c r="AQ99" s="22">
        <f>'Activity data'!AQ58*ManureNEF*NtoN2O*kgtoGg</f>
        <v>7.6332191171963838E-3</v>
      </c>
      <c r="AR99" s="22">
        <f>'Activity data'!AR58*ManureNEF*NtoN2O*kgtoGg</f>
        <v>7.6516457516964944E-3</v>
      </c>
      <c r="AS99" s="22">
        <f>'Activity data'!AS58*ManureNEF*NtoN2O*kgtoGg</f>
        <v>7.671582433208788E-3</v>
      </c>
      <c r="AT99" s="22">
        <f>'Activity data'!AT58*ManureNEF*NtoN2O*kgtoGg</f>
        <v>7.6931116410769856E-3</v>
      </c>
      <c r="AU99" s="22">
        <f>'Activity data'!AU58*ManureNEF*NtoN2O*kgtoGg</f>
        <v>7.715936982347839E-3</v>
      </c>
      <c r="AV99" s="22">
        <f>'Activity data'!AV58*ManureNEF*NtoN2O*kgtoGg</f>
        <v>7.7401497609019794E-3</v>
      </c>
      <c r="AW99" s="22">
        <f>'Activity data'!AW58*ManureNEF*NtoN2O*kgtoGg</f>
        <v>7.7560075231361287E-3</v>
      </c>
      <c r="AX99" s="22">
        <f>'Activity data'!AX58*ManureNEF*NtoN2O*kgtoGg</f>
        <v>7.7732053799270803E-3</v>
      </c>
      <c r="AY99" s="22">
        <f>'Activity data'!AY58*ManureNEF*NtoN2O*kgtoGg</f>
        <v>7.791597942347143E-3</v>
      </c>
      <c r="AZ99" s="22">
        <f>'Activity data'!AZ58*ManureNEF*NtoN2O*kgtoGg</f>
        <v>7.8091049737688241E-3</v>
      </c>
      <c r="BA99" s="22">
        <f>'Activity data'!BA58*ManureNEF*NtoN2O*kgtoGg</f>
        <v>7.7325738697111325E-3</v>
      </c>
      <c r="BB99" s="22">
        <f>'Activity data'!BB58*ManureNEF*NtoN2O*kgtoGg</f>
        <v>7.7428137523622292E-3</v>
      </c>
      <c r="BC99" s="22">
        <f>'Activity data'!BC58*ManureNEF*NtoN2O*kgtoGg</f>
        <v>7.7539717945612581E-3</v>
      </c>
      <c r="BD99" s="22">
        <f>'Activity data'!BD58*ManureNEF*NtoN2O*kgtoGg</f>
        <v>7.7660107090851711E-3</v>
      </c>
      <c r="BE99" s="22">
        <f>'Activity data'!BE58*ManureNEF*NtoN2O*kgtoGg</f>
        <v>7.7788961009166192E-3</v>
      </c>
      <c r="BF99" s="22">
        <f>'Activity data'!BF58*ManureNEF*NtoN2O*kgtoGg</f>
        <v>7.7925961903206999E-3</v>
      </c>
      <c r="BG99" s="22">
        <f>'Activity data'!BG58*ManureNEF*NtoN2O*kgtoGg</f>
        <v>7.7984769319172685E-3</v>
      </c>
      <c r="BH99" s="22">
        <f>'Activity data'!BH58*ManureNEF*NtoN2O*kgtoGg</f>
        <v>7.8050916075083259E-3</v>
      </c>
      <c r="BI99" s="22">
        <f>'Activity data'!BI58*ManureNEF*NtoN2O*kgtoGg</f>
        <v>7.8124125478177013E-3</v>
      </c>
      <c r="BJ99" s="22">
        <f>'Activity data'!BJ58*ManureNEF*NtoN2O*kgtoGg</f>
        <v>7.8204139817466406E-3</v>
      </c>
      <c r="BK99" s="22">
        <f>'Activity data'!BK58*ManureNEF*NtoN2O*kgtoGg</f>
        <v>7.8290718737514843E-3</v>
      </c>
      <c r="BL99" s="22">
        <f>'Activity data'!BL58*ManureNEF*NtoN2O*kgtoGg</f>
        <v>7.8297473619786898E-3</v>
      </c>
      <c r="BM99" s="22">
        <f>'Activity data'!BM58*ManureNEF*NtoN2O*kgtoGg</f>
        <v>7.8310235836071794E-3</v>
      </c>
      <c r="BN99" s="22">
        <f>'Activity data'!BN58*ManureNEF*NtoN2O*kgtoGg</f>
        <v>7.8328789644581572E-3</v>
      </c>
      <c r="BO99" s="22">
        <f>'Activity data'!BO58*ManureNEF*NtoN2O*kgtoGg</f>
        <v>7.835293250883028E-3</v>
      </c>
      <c r="BP99" s="22">
        <f>'Activity data'!BP58*ManureNEF*NtoN2O*kgtoGg</f>
        <v>7.8382474074589117E-3</v>
      </c>
    </row>
    <row r="100" spans="1:68" x14ac:dyDescent="0.25">
      <c r="A100" t="str">
        <f t="shared" si="29"/>
        <v>3C Aggregated and non-CO2 emissions on land</v>
      </c>
      <c r="B100" t="str">
        <f t="shared" si="31"/>
        <v>3C4 Direct N2O from managed soils (N2O)</v>
      </c>
      <c r="C100" t="str">
        <f t="shared" si="35"/>
        <v>MM emissions</v>
      </c>
      <c r="D100" t="str">
        <f>'Activity data'!D59</f>
        <v xml:space="preserve"> - Subsistence goats</v>
      </c>
      <c r="E100" t="str">
        <f t="shared" si="32"/>
        <v>MM emissions - Subsistence goats</v>
      </c>
      <c r="F100" t="str">
        <f t="shared" si="33"/>
        <v>N2O</v>
      </c>
      <c r="G100" t="str">
        <f t="shared" si="34"/>
        <v>Gg N2O</v>
      </c>
      <c r="H100" s="22">
        <f>'Activity data'!H59*ManureNEF*NtoN2O*kgtoGg</f>
        <v>0.11880557253341303</v>
      </c>
      <c r="I100" s="22">
        <f>'Activity data'!I59*ManureNEF*NtoN2O*kgtoGg</f>
        <v>0.10505770346952495</v>
      </c>
      <c r="J100" s="22">
        <f>'Activity data'!J59*ManureNEF*NtoN2O*kgtoGg</f>
        <v>9.7862557043564835E-2</v>
      </c>
      <c r="K100" s="22">
        <f>'Activity data'!K59*ManureNEF*NtoN2O*kgtoGg</f>
        <v>9.2466197224094729E-2</v>
      </c>
      <c r="L100" s="22">
        <f>'Activity data'!L59*ManureNEF*NtoN2O*kgtoGg</f>
        <v>0.10008962617540962</v>
      </c>
      <c r="M100" s="22">
        <f>'Activity data'!M59*ManureNEF*NtoN2O*kgtoGg</f>
        <v>0.10146013025654488</v>
      </c>
      <c r="N100" s="22">
        <f>'Activity data'!N59*ManureNEF*NtoN2O*kgtoGg</f>
        <v>0.10304477560035755</v>
      </c>
      <c r="O100" s="22">
        <f>'Activity data'!O59*ManureNEF*NtoN2O*kgtoGg</f>
        <v>0.10253083656993182</v>
      </c>
      <c r="P100" s="22">
        <f>'Activity data'!P59*ManureNEF*NtoN2O*kgtoGg</f>
        <v>0.1010746759837256</v>
      </c>
      <c r="Q100" s="22">
        <f>'Activity data'!Q59*ManureNEF*NtoN2O*kgtoGg</f>
        <v>9.9575687144983924E-2</v>
      </c>
      <c r="R100" s="22">
        <f>'Activity data'!R59*ManureNEF*NtoN2O*kgtoGg</f>
        <v>0.10086053472104822</v>
      </c>
      <c r="S100" s="22">
        <f>'Activity data'!S59*ManureNEF*NtoN2O*kgtoGg</f>
        <v>0.10394416890360253</v>
      </c>
      <c r="T100" s="22">
        <f>'Activity data'!T59*ManureNEF*NtoN2O*kgtoGg</f>
        <v>9.4907407618616907E-2</v>
      </c>
      <c r="U100" s="22">
        <f>'Activity data'!U59*ManureNEF*NtoN2O*kgtoGg</f>
        <v>9.2509025476630202E-2</v>
      </c>
      <c r="V100" s="22">
        <f>'Activity data'!V59*ManureNEF*NtoN2O*kgtoGg</f>
        <v>9.268033848677211E-2</v>
      </c>
      <c r="W100" s="22">
        <f>'Activity data'!W59*ManureNEF*NtoN2O*kgtoGg</f>
        <v>9.1481147415778757E-2</v>
      </c>
      <c r="X100" s="22">
        <f>'Activity data'!X59*ManureNEF*NtoN2O*kgtoGg</f>
        <v>9.3408418779875241E-2</v>
      </c>
      <c r="Y100" s="22">
        <f>'Activity data'!Y59*ManureNEF*NtoN2O*kgtoGg</f>
        <v>9.0624582365069234E-2</v>
      </c>
      <c r="Z100" s="22">
        <f>'Activity data'!Z59*ManureNEF*NtoN2O*kgtoGg</f>
        <v>9.0538925859998259E-2</v>
      </c>
      <c r="AA100" s="22">
        <f>'Activity data'!AA59*ManureNEF*NtoN2O*kgtoGg</f>
        <v>8.8954280516185633E-2</v>
      </c>
      <c r="AB100" s="22">
        <f>'Activity data'!AB59*ManureNEF*NtoN2O*kgtoGg</f>
        <v>8.7883574202798714E-2</v>
      </c>
      <c r="AC100" s="22">
        <f>'Activity data'!AC59*ManureNEF*NtoN2O*kgtoGg</f>
        <v>8.7069837404624637E-2</v>
      </c>
      <c r="AD100" s="22">
        <f>'Activity data'!AD59*ManureNEF*NtoN2O*kgtoGg</f>
        <v>8.7042781172852426E-2</v>
      </c>
      <c r="AE100" s="22">
        <f>'Activity data'!AE59*ManureNEF*NtoN2O*kgtoGg</f>
        <v>8.7269809364329015E-2</v>
      </c>
      <c r="AF100" s="22">
        <f>'Activity data'!AF59*ManureNEF*NtoN2O*kgtoGg</f>
        <v>8.7572344539923463E-2</v>
      </c>
      <c r="AG100" s="22">
        <f>'Activity data'!AG59*ManureNEF*NtoN2O*kgtoGg</f>
        <v>8.7943660748253619E-2</v>
      </c>
      <c r="AH100" s="22">
        <f>'Activity data'!AH59*ManureNEF*NtoN2O*kgtoGg</f>
        <v>8.8388219991077738E-2</v>
      </c>
      <c r="AI100" s="22">
        <f>'Activity data'!AI59*ManureNEF*NtoN2O*kgtoGg</f>
        <v>8.8907205294776276E-2</v>
      </c>
      <c r="AJ100" s="22">
        <f>'Activity data'!AJ59*ManureNEF*NtoN2O*kgtoGg</f>
        <v>8.9462096262315383E-2</v>
      </c>
      <c r="AK100" s="22">
        <f>'Activity data'!AK59*ManureNEF*NtoN2O*kgtoGg</f>
        <v>9.0044958407765094E-2</v>
      </c>
      <c r="AL100" s="22">
        <f>'Activity data'!AL59*ManureNEF*NtoN2O*kgtoGg</f>
        <v>9.058641174008604E-2</v>
      </c>
      <c r="AM100" s="22">
        <f>'Activity data'!AM59*ManureNEF*NtoN2O*kgtoGg</f>
        <v>9.0840153267838591E-2</v>
      </c>
      <c r="AN100" s="22">
        <f>'Activity data'!AN59*ManureNEF*NtoN2O*kgtoGg</f>
        <v>9.1118394918272713E-2</v>
      </c>
      <c r="AO100" s="22">
        <f>'Activity data'!AO59*ManureNEF*NtoN2O*kgtoGg</f>
        <v>9.1421489787068641E-2</v>
      </c>
      <c r="AP100" s="22">
        <f>'Activity data'!AP59*ManureNEF*NtoN2O*kgtoGg</f>
        <v>9.1751129305526188E-2</v>
      </c>
      <c r="AQ100" s="22">
        <f>'Activity data'!AQ59*ManureNEF*NtoN2O*kgtoGg</f>
        <v>9.2102875256845074E-2</v>
      </c>
      <c r="AR100" s="22">
        <f>'Activity data'!AR59*ManureNEF*NtoN2O*kgtoGg</f>
        <v>9.232521212320649E-2</v>
      </c>
      <c r="AS100" s="22">
        <f>'Activity data'!AS59*ManureNEF*NtoN2O*kgtoGg</f>
        <v>9.2565769306508783E-2</v>
      </c>
      <c r="AT100" s="22">
        <f>'Activity data'!AT59*ManureNEF*NtoN2O*kgtoGg</f>
        <v>9.2825542007412429E-2</v>
      </c>
      <c r="AU100" s="22">
        <f>'Activity data'!AU59*ManureNEF*NtoN2O*kgtoGg</f>
        <v>9.3100953930938646E-2</v>
      </c>
      <c r="AV100" s="22">
        <f>'Activity data'!AV59*ManureNEF*NtoN2O*kgtoGg</f>
        <v>9.339310675513432E-2</v>
      </c>
      <c r="AW100" s="22">
        <f>'Activity data'!AW59*ManureNEF*NtoN2O*kgtoGg</f>
        <v>9.3584447456151826E-2</v>
      </c>
      <c r="AX100" s="22">
        <f>'Activity data'!AX59*ManureNEF*NtoN2O*kgtoGg</f>
        <v>9.3791957817689064E-2</v>
      </c>
      <c r="AY100" s="22">
        <f>'Activity data'!AY59*ManureNEF*NtoN2O*kgtoGg</f>
        <v>9.4013883568308809E-2</v>
      </c>
      <c r="AZ100" s="22">
        <f>'Activity data'!AZ59*ManureNEF*NtoN2O*kgtoGg</f>
        <v>9.4225124449304393E-2</v>
      </c>
      <c r="BA100" s="22">
        <f>'Activity data'!BA59*ManureNEF*NtoN2O*kgtoGg</f>
        <v>9.3301695602041948E-2</v>
      </c>
      <c r="BB100" s="22">
        <f>'Activity data'!BB59*ManureNEF*NtoN2O*kgtoGg</f>
        <v>9.342525063432626E-2</v>
      </c>
      <c r="BC100" s="22">
        <f>'Activity data'!BC59*ManureNEF*NtoN2O*kgtoGg</f>
        <v>9.3559884234251725E-2</v>
      </c>
      <c r="BD100" s="22">
        <f>'Activity data'!BD59*ManureNEF*NtoN2O*kgtoGg</f>
        <v>9.370514649197019E-2</v>
      </c>
      <c r="BE100" s="22">
        <f>'Activity data'!BE59*ManureNEF*NtoN2O*kgtoGg</f>
        <v>9.3860622395159451E-2</v>
      </c>
      <c r="BF100" s="22">
        <f>'Activity data'!BF59*ManureNEF*NtoN2O*kgtoGg</f>
        <v>9.4025928487650484E-2</v>
      </c>
      <c r="BG100" s="22">
        <f>'Activity data'!BG59*ManureNEF*NtoN2O*kgtoGg</f>
        <v>9.4096885865051882E-2</v>
      </c>
      <c r="BH100" s="22">
        <f>'Activity data'!BH59*ManureNEF*NtoN2O*kgtoGg</f>
        <v>9.4176698933624112E-2</v>
      </c>
      <c r="BI100" s="22">
        <f>'Activity data'!BI59*ManureNEF*NtoN2O*kgtoGg</f>
        <v>9.4265033834237441E-2</v>
      </c>
      <c r="BJ100" s="22">
        <f>'Activity data'!BJ59*ManureNEF*NtoN2O*kgtoGg</f>
        <v>9.4361579611283539E-2</v>
      </c>
      <c r="BK100" s="22">
        <f>'Activity data'!BK59*ManureNEF*NtoN2O*kgtoGg</f>
        <v>9.4466046250465022E-2</v>
      </c>
      <c r="BL100" s="22">
        <f>'Activity data'!BL59*ManureNEF*NtoN2O*kgtoGg</f>
        <v>9.4474196731536342E-2</v>
      </c>
      <c r="BM100" s="22">
        <f>'Activity data'!BM59*ManureNEF*NtoN2O*kgtoGg</f>
        <v>9.4489595697509143E-2</v>
      </c>
      <c r="BN100" s="22">
        <f>'Activity data'!BN59*ManureNEF*NtoN2O*kgtoGg</f>
        <v>9.4511982833060726E-2</v>
      </c>
      <c r="BO100" s="22">
        <f>'Activity data'!BO59*ManureNEF*NtoN2O*kgtoGg</f>
        <v>9.4541113756464096E-2</v>
      </c>
      <c r="BP100" s="22">
        <f>'Activity data'!BP59*ManureNEF*NtoN2O*kgtoGg</f>
        <v>9.4576758785176129E-2</v>
      </c>
    </row>
    <row r="101" spans="1:68" x14ac:dyDescent="0.25">
      <c r="A101" t="str">
        <f t="shared" si="29"/>
        <v>3C Aggregated and non-CO2 emissions on land</v>
      </c>
      <c r="B101" t="str">
        <f t="shared" si="31"/>
        <v>3C4 Direct N2O from managed soils (N2O)</v>
      </c>
      <c r="C101" t="str">
        <f t="shared" si="35"/>
        <v>MM emissions</v>
      </c>
      <c r="D101" t="str">
        <f>'Activity data'!D60</f>
        <v xml:space="preserve"> - Horses</v>
      </c>
      <c r="E101" t="str">
        <f t="shared" si="32"/>
        <v>MM emissions - Horses</v>
      </c>
      <c r="F101" t="str">
        <f t="shared" si="33"/>
        <v>N2O</v>
      </c>
      <c r="G101" t="str">
        <f t="shared" si="34"/>
        <v>Gg N2O</v>
      </c>
      <c r="H101" s="22">
        <f>'Activity data'!H60*ManureNEF*NtoN2O*kgtoGg</f>
        <v>0</v>
      </c>
      <c r="I101" s="22">
        <f>'Activity data'!I60*ManureNEF*NtoN2O*kgtoGg</f>
        <v>0</v>
      </c>
      <c r="J101" s="22">
        <f>'Activity data'!J60*ManureNEF*NtoN2O*kgtoGg</f>
        <v>0</v>
      </c>
      <c r="K101" s="22">
        <f>'Activity data'!K60*ManureNEF*NtoN2O*kgtoGg</f>
        <v>0</v>
      </c>
      <c r="L101" s="22">
        <f>'Activity data'!L60*ManureNEF*NtoN2O*kgtoGg</f>
        <v>0</v>
      </c>
      <c r="M101" s="22">
        <f>'Activity data'!M60*ManureNEF*NtoN2O*kgtoGg</f>
        <v>0</v>
      </c>
      <c r="N101" s="22">
        <f>'Activity data'!N60*ManureNEF*NtoN2O*kgtoGg</f>
        <v>0</v>
      </c>
      <c r="O101" s="22">
        <f>'Activity data'!O60*ManureNEF*NtoN2O*kgtoGg</f>
        <v>0</v>
      </c>
      <c r="P101" s="22">
        <f>'Activity data'!P60*ManureNEF*NtoN2O*kgtoGg</f>
        <v>0</v>
      </c>
      <c r="Q101" s="22">
        <f>'Activity data'!Q60*ManureNEF*NtoN2O*kgtoGg</f>
        <v>0</v>
      </c>
      <c r="R101" s="22">
        <f>'Activity data'!R60*ManureNEF*NtoN2O*kgtoGg</f>
        <v>0</v>
      </c>
      <c r="S101" s="22">
        <f>'Activity data'!S60*ManureNEF*NtoN2O*kgtoGg</f>
        <v>0</v>
      </c>
      <c r="T101" s="22">
        <f>'Activity data'!T60*ManureNEF*NtoN2O*kgtoGg</f>
        <v>0</v>
      </c>
      <c r="U101" s="22">
        <f>'Activity data'!U60*ManureNEF*NtoN2O*kgtoGg</f>
        <v>0</v>
      </c>
      <c r="V101" s="22">
        <f>'Activity data'!V60*ManureNEF*NtoN2O*kgtoGg</f>
        <v>0</v>
      </c>
      <c r="W101" s="22">
        <f>'Activity data'!W60*ManureNEF*NtoN2O*kgtoGg</f>
        <v>0</v>
      </c>
      <c r="X101" s="22">
        <f>'Activity data'!X60*ManureNEF*NtoN2O*kgtoGg</f>
        <v>0</v>
      </c>
      <c r="Y101" s="22">
        <f>'Activity data'!Y60*ManureNEF*NtoN2O*kgtoGg</f>
        <v>0</v>
      </c>
      <c r="Z101" s="22">
        <f>'Activity data'!Z60*ManureNEF*NtoN2O*kgtoGg</f>
        <v>0</v>
      </c>
      <c r="AA101" s="22">
        <f>'Activity data'!AA60*ManureNEF*NtoN2O*kgtoGg</f>
        <v>0</v>
      </c>
      <c r="AB101" s="22">
        <f>'Activity data'!AB60*ManureNEF*NtoN2O*kgtoGg</f>
        <v>0</v>
      </c>
      <c r="AC101" s="22">
        <f>'Activity data'!AC60*ManureNEF*NtoN2O*kgtoGg</f>
        <v>0</v>
      </c>
      <c r="AD101" s="22">
        <f>'Activity data'!AD60*ManureNEF*NtoN2O*kgtoGg</f>
        <v>0</v>
      </c>
      <c r="AE101" s="22">
        <f>'Activity data'!AE60*ManureNEF*NtoN2O*kgtoGg</f>
        <v>0</v>
      </c>
      <c r="AF101" s="22">
        <f>'Activity data'!AF60*ManureNEF*NtoN2O*kgtoGg</f>
        <v>0</v>
      </c>
      <c r="AG101" s="22">
        <f>'Activity data'!AG60*ManureNEF*NtoN2O*kgtoGg</f>
        <v>0</v>
      </c>
      <c r="AH101" s="22">
        <f>'Activity data'!AH60*ManureNEF*NtoN2O*kgtoGg</f>
        <v>0</v>
      </c>
      <c r="AI101" s="22">
        <f>'Activity data'!AI60*ManureNEF*NtoN2O*kgtoGg</f>
        <v>0</v>
      </c>
      <c r="AJ101" s="22">
        <f>'Activity data'!AJ60*ManureNEF*NtoN2O*kgtoGg</f>
        <v>0</v>
      </c>
      <c r="AK101" s="22">
        <f>'Activity data'!AK60*ManureNEF*NtoN2O*kgtoGg</f>
        <v>0</v>
      </c>
      <c r="AL101" s="22">
        <f>'Activity data'!AL60*ManureNEF*NtoN2O*kgtoGg</f>
        <v>0</v>
      </c>
      <c r="AM101" s="22">
        <f>'Activity data'!AM60*ManureNEF*NtoN2O*kgtoGg</f>
        <v>0</v>
      </c>
      <c r="AN101" s="22">
        <f>'Activity data'!AN60*ManureNEF*NtoN2O*kgtoGg</f>
        <v>0</v>
      </c>
      <c r="AO101" s="22">
        <f>'Activity data'!AO60*ManureNEF*NtoN2O*kgtoGg</f>
        <v>0</v>
      </c>
      <c r="AP101" s="22">
        <f>'Activity data'!AP60*ManureNEF*NtoN2O*kgtoGg</f>
        <v>0</v>
      </c>
      <c r="AQ101" s="22">
        <f>'Activity data'!AQ60*ManureNEF*NtoN2O*kgtoGg</f>
        <v>0</v>
      </c>
      <c r="AR101" s="22">
        <f>'Activity data'!AR60*ManureNEF*NtoN2O*kgtoGg</f>
        <v>0</v>
      </c>
      <c r="AS101" s="22">
        <f>'Activity data'!AS60*ManureNEF*NtoN2O*kgtoGg</f>
        <v>0</v>
      </c>
      <c r="AT101" s="22">
        <f>'Activity data'!AT60*ManureNEF*NtoN2O*kgtoGg</f>
        <v>0</v>
      </c>
      <c r="AU101" s="22">
        <f>'Activity data'!AU60*ManureNEF*NtoN2O*kgtoGg</f>
        <v>0</v>
      </c>
      <c r="AV101" s="22">
        <f>'Activity data'!AV60*ManureNEF*NtoN2O*kgtoGg</f>
        <v>0</v>
      </c>
      <c r="AW101" s="22">
        <f>'Activity data'!AW60*ManureNEF*NtoN2O*kgtoGg</f>
        <v>0</v>
      </c>
      <c r="AX101" s="22">
        <f>'Activity data'!AX60*ManureNEF*NtoN2O*kgtoGg</f>
        <v>0</v>
      </c>
      <c r="AY101" s="22">
        <f>'Activity data'!AY60*ManureNEF*NtoN2O*kgtoGg</f>
        <v>0</v>
      </c>
      <c r="AZ101" s="22">
        <f>'Activity data'!AZ60*ManureNEF*NtoN2O*kgtoGg</f>
        <v>0</v>
      </c>
      <c r="BA101" s="22">
        <f>'Activity data'!BA60*ManureNEF*NtoN2O*kgtoGg</f>
        <v>0</v>
      </c>
      <c r="BB101" s="22">
        <f>'Activity data'!BB60*ManureNEF*NtoN2O*kgtoGg</f>
        <v>0</v>
      </c>
      <c r="BC101" s="22">
        <f>'Activity data'!BC60*ManureNEF*NtoN2O*kgtoGg</f>
        <v>0</v>
      </c>
      <c r="BD101" s="22">
        <f>'Activity data'!BD60*ManureNEF*NtoN2O*kgtoGg</f>
        <v>0</v>
      </c>
      <c r="BE101" s="22">
        <f>'Activity data'!BE60*ManureNEF*NtoN2O*kgtoGg</f>
        <v>0</v>
      </c>
      <c r="BF101" s="22">
        <f>'Activity data'!BF60*ManureNEF*NtoN2O*kgtoGg</f>
        <v>0</v>
      </c>
      <c r="BG101" s="22">
        <f>'Activity data'!BG60*ManureNEF*NtoN2O*kgtoGg</f>
        <v>0</v>
      </c>
      <c r="BH101" s="22">
        <f>'Activity data'!BH60*ManureNEF*NtoN2O*kgtoGg</f>
        <v>0</v>
      </c>
      <c r="BI101" s="22">
        <f>'Activity data'!BI60*ManureNEF*NtoN2O*kgtoGg</f>
        <v>0</v>
      </c>
      <c r="BJ101" s="22">
        <f>'Activity data'!BJ60*ManureNEF*NtoN2O*kgtoGg</f>
        <v>0</v>
      </c>
      <c r="BK101" s="22">
        <f>'Activity data'!BK60*ManureNEF*NtoN2O*kgtoGg</f>
        <v>0</v>
      </c>
      <c r="BL101" s="22">
        <f>'Activity data'!BL60*ManureNEF*NtoN2O*kgtoGg</f>
        <v>0</v>
      </c>
      <c r="BM101" s="22">
        <f>'Activity data'!BM60*ManureNEF*NtoN2O*kgtoGg</f>
        <v>0</v>
      </c>
      <c r="BN101" s="22">
        <f>'Activity data'!BN60*ManureNEF*NtoN2O*kgtoGg</f>
        <v>0</v>
      </c>
      <c r="BO101" s="22">
        <f>'Activity data'!BO60*ManureNEF*NtoN2O*kgtoGg</f>
        <v>0</v>
      </c>
      <c r="BP101" s="22">
        <f>'Activity data'!BP60*ManureNEF*NtoN2O*kgtoGg</f>
        <v>0</v>
      </c>
    </row>
    <row r="102" spans="1:68" x14ac:dyDescent="0.25">
      <c r="A102" t="str">
        <f t="shared" si="29"/>
        <v>3C Aggregated and non-CO2 emissions on land</v>
      </c>
      <c r="B102" t="str">
        <f t="shared" si="31"/>
        <v>3C4 Direct N2O from managed soils (N2O)</v>
      </c>
      <c r="C102" t="str">
        <f t="shared" si="35"/>
        <v>MM emissions</v>
      </c>
      <c r="D102" t="str">
        <f>'Activity data'!D61</f>
        <v xml:space="preserve"> - Mules &amp; Asses</v>
      </c>
      <c r="E102" t="str">
        <f t="shared" si="32"/>
        <v>MM emissions - Mules &amp; Asses</v>
      </c>
      <c r="F102" t="str">
        <f t="shared" si="33"/>
        <v>N2O</v>
      </c>
      <c r="G102" t="str">
        <f t="shared" si="34"/>
        <v>Gg N2O</v>
      </c>
      <c r="H102" s="22">
        <f>'Activity data'!H61*ManureNEF*NtoN2O*kgtoGg</f>
        <v>0</v>
      </c>
      <c r="I102" s="22">
        <f>'Activity data'!I61*ManureNEF*NtoN2O*kgtoGg</f>
        <v>0</v>
      </c>
      <c r="J102" s="22">
        <f>'Activity data'!J61*ManureNEF*NtoN2O*kgtoGg</f>
        <v>0</v>
      </c>
      <c r="K102" s="22">
        <f>'Activity data'!K61*ManureNEF*NtoN2O*kgtoGg</f>
        <v>0</v>
      </c>
      <c r="L102" s="22">
        <f>'Activity data'!L61*ManureNEF*NtoN2O*kgtoGg</f>
        <v>0</v>
      </c>
      <c r="M102" s="22">
        <f>'Activity data'!M61*ManureNEF*NtoN2O*kgtoGg</f>
        <v>0</v>
      </c>
      <c r="N102" s="22">
        <f>'Activity data'!N61*ManureNEF*NtoN2O*kgtoGg</f>
        <v>0</v>
      </c>
      <c r="O102" s="22">
        <f>'Activity data'!O61*ManureNEF*NtoN2O*kgtoGg</f>
        <v>0</v>
      </c>
      <c r="P102" s="22">
        <f>'Activity data'!P61*ManureNEF*NtoN2O*kgtoGg</f>
        <v>0</v>
      </c>
      <c r="Q102" s="22">
        <f>'Activity data'!Q61*ManureNEF*NtoN2O*kgtoGg</f>
        <v>0</v>
      </c>
      <c r="R102" s="22">
        <f>'Activity data'!R61*ManureNEF*NtoN2O*kgtoGg</f>
        <v>0</v>
      </c>
      <c r="S102" s="22">
        <f>'Activity data'!S61*ManureNEF*NtoN2O*kgtoGg</f>
        <v>0</v>
      </c>
      <c r="T102" s="22">
        <f>'Activity data'!T61*ManureNEF*NtoN2O*kgtoGg</f>
        <v>0</v>
      </c>
      <c r="U102" s="22">
        <f>'Activity data'!U61*ManureNEF*NtoN2O*kgtoGg</f>
        <v>0</v>
      </c>
      <c r="V102" s="22">
        <f>'Activity data'!V61*ManureNEF*NtoN2O*kgtoGg</f>
        <v>0</v>
      </c>
      <c r="W102" s="22">
        <f>'Activity data'!W61*ManureNEF*NtoN2O*kgtoGg</f>
        <v>0</v>
      </c>
      <c r="X102" s="22">
        <f>'Activity data'!X61*ManureNEF*NtoN2O*kgtoGg</f>
        <v>0</v>
      </c>
      <c r="Y102" s="22">
        <f>'Activity data'!Y61*ManureNEF*NtoN2O*kgtoGg</f>
        <v>0</v>
      </c>
      <c r="Z102" s="22">
        <f>'Activity data'!Z61*ManureNEF*NtoN2O*kgtoGg</f>
        <v>0</v>
      </c>
      <c r="AA102" s="22">
        <f>'Activity data'!AA61*ManureNEF*NtoN2O*kgtoGg</f>
        <v>0</v>
      </c>
      <c r="AB102" s="22">
        <f>'Activity data'!AB61*ManureNEF*NtoN2O*kgtoGg</f>
        <v>0</v>
      </c>
      <c r="AC102" s="22">
        <f>'Activity data'!AC61*ManureNEF*NtoN2O*kgtoGg</f>
        <v>0</v>
      </c>
      <c r="AD102" s="22">
        <f>'Activity data'!AD61*ManureNEF*NtoN2O*kgtoGg</f>
        <v>0</v>
      </c>
      <c r="AE102" s="22">
        <f>'Activity data'!AE61*ManureNEF*NtoN2O*kgtoGg</f>
        <v>0</v>
      </c>
      <c r="AF102" s="22">
        <f>'Activity data'!AF61*ManureNEF*NtoN2O*kgtoGg</f>
        <v>0</v>
      </c>
      <c r="AG102" s="22">
        <f>'Activity data'!AG61*ManureNEF*NtoN2O*kgtoGg</f>
        <v>0</v>
      </c>
      <c r="AH102" s="22">
        <f>'Activity data'!AH61*ManureNEF*NtoN2O*kgtoGg</f>
        <v>0</v>
      </c>
      <c r="AI102" s="22">
        <f>'Activity data'!AI61*ManureNEF*NtoN2O*kgtoGg</f>
        <v>0</v>
      </c>
      <c r="AJ102" s="22">
        <f>'Activity data'!AJ61*ManureNEF*NtoN2O*kgtoGg</f>
        <v>0</v>
      </c>
      <c r="AK102" s="22">
        <f>'Activity data'!AK61*ManureNEF*NtoN2O*kgtoGg</f>
        <v>0</v>
      </c>
      <c r="AL102" s="22">
        <f>'Activity data'!AL61*ManureNEF*NtoN2O*kgtoGg</f>
        <v>0</v>
      </c>
      <c r="AM102" s="22">
        <f>'Activity data'!AM61*ManureNEF*NtoN2O*kgtoGg</f>
        <v>0</v>
      </c>
      <c r="AN102" s="22">
        <f>'Activity data'!AN61*ManureNEF*NtoN2O*kgtoGg</f>
        <v>0</v>
      </c>
      <c r="AO102" s="22">
        <f>'Activity data'!AO61*ManureNEF*NtoN2O*kgtoGg</f>
        <v>0</v>
      </c>
      <c r="AP102" s="22">
        <f>'Activity data'!AP61*ManureNEF*NtoN2O*kgtoGg</f>
        <v>0</v>
      </c>
      <c r="AQ102" s="22">
        <f>'Activity data'!AQ61*ManureNEF*NtoN2O*kgtoGg</f>
        <v>0</v>
      </c>
      <c r="AR102" s="22">
        <f>'Activity data'!AR61*ManureNEF*NtoN2O*kgtoGg</f>
        <v>0</v>
      </c>
      <c r="AS102" s="22">
        <f>'Activity data'!AS61*ManureNEF*NtoN2O*kgtoGg</f>
        <v>0</v>
      </c>
      <c r="AT102" s="22">
        <f>'Activity data'!AT61*ManureNEF*NtoN2O*kgtoGg</f>
        <v>0</v>
      </c>
      <c r="AU102" s="22">
        <f>'Activity data'!AU61*ManureNEF*NtoN2O*kgtoGg</f>
        <v>0</v>
      </c>
      <c r="AV102" s="22">
        <f>'Activity data'!AV61*ManureNEF*NtoN2O*kgtoGg</f>
        <v>0</v>
      </c>
      <c r="AW102" s="22">
        <f>'Activity data'!AW61*ManureNEF*NtoN2O*kgtoGg</f>
        <v>0</v>
      </c>
      <c r="AX102" s="22">
        <f>'Activity data'!AX61*ManureNEF*NtoN2O*kgtoGg</f>
        <v>0</v>
      </c>
      <c r="AY102" s="22">
        <f>'Activity data'!AY61*ManureNEF*NtoN2O*kgtoGg</f>
        <v>0</v>
      </c>
      <c r="AZ102" s="22">
        <f>'Activity data'!AZ61*ManureNEF*NtoN2O*kgtoGg</f>
        <v>0</v>
      </c>
      <c r="BA102" s="22">
        <f>'Activity data'!BA61*ManureNEF*NtoN2O*kgtoGg</f>
        <v>0</v>
      </c>
      <c r="BB102" s="22">
        <f>'Activity data'!BB61*ManureNEF*NtoN2O*kgtoGg</f>
        <v>0</v>
      </c>
      <c r="BC102" s="22">
        <f>'Activity data'!BC61*ManureNEF*NtoN2O*kgtoGg</f>
        <v>0</v>
      </c>
      <c r="BD102" s="22">
        <f>'Activity data'!BD61*ManureNEF*NtoN2O*kgtoGg</f>
        <v>0</v>
      </c>
      <c r="BE102" s="22">
        <f>'Activity data'!BE61*ManureNEF*NtoN2O*kgtoGg</f>
        <v>0</v>
      </c>
      <c r="BF102" s="22">
        <f>'Activity data'!BF61*ManureNEF*NtoN2O*kgtoGg</f>
        <v>0</v>
      </c>
      <c r="BG102" s="22">
        <f>'Activity data'!BG61*ManureNEF*NtoN2O*kgtoGg</f>
        <v>0</v>
      </c>
      <c r="BH102" s="22">
        <f>'Activity data'!BH61*ManureNEF*NtoN2O*kgtoGg</f>
        <v>0</v>
      </c>
      <c r="BI102" s="22">
        <f>'Activity data'!BI61*ManureNEF*NtoN2O*kgtoGg</f>
        <v>0</v>
      </c>
      <c r="BJ102" s="22">
        <f>'Activity data'!BJ61*ManureNEF*NtoN2O*kgtoGg</f>
        <v>0</v>
      </c>
      <c r="BK102" s="22">
        <f>'Activity data'!BK61*ManureNEF*NtoN2O*kgtoGg</f>
        <v>0</v>
      </c>
      <c r="BL102" s="22">
        <f>'Activity data'!BL61*ManureNEF*NtoN2O*kgtoGg</f>
        <v>0</v>
      </c>
      <c r="BM102" s="22">
        <f>'Activity data'!BM61*ManureNEF*NtoN2O*kgtoGg</f>
        <v>0</v>
      </c>
      <c r="BN102" s="22">
        <f>'Activity data'!BN61*ManureNEF*NtoN2O*kgtoGg</f>
        <v>0</v>
      </c>
      <c r="BO102" s="22">
        <f>'Activity data'!BO61*ManureNEF*NtoN2O*kgtoGg</f>
        <v>0</v>
      </c>
      <c r="BP102" s="22">
        <f>'Activity data'!BP61*ManureNEF*NtoN2O*kgtoGg</f>
        <v>0</v>
      </c>
    </row>
    <row r="103" spans="1:68" x14ac:dyDescent="0.25">
      <c r="A103" t="str">
        <f t="shared" si="29"/>
        <v>3C Aggregated and non-CO2 emissions on land</v>
      </c>
      <c r="B103" t="str">
        <f t="shared" si="31"/>
        <v>3C4 Direct N2O from managed soils (N2O)</v>
      </c>
      <c r="C103" t="str">
        <f t="shared" si="35"/>
        <v>MM emissions</v>
      </c>
      <c r="D103" t="str">
        <f>'Activity data'!D62</f>
        <v xml:space="preserve"> - Commercial swine</v>
      </c>
      <c r="E103" t="str">
        <f t="shared" si="32"/>
        <v>MM emissions - Commercial swine</v>
      </c>
      <c r="F103" t="str">
        <f t="shared" si="33"/>
        <v>N2O</v>
      </c>
      <c r="G103" t="str">
        <f t="shared" si="34"/>
        <v>Gg N2O</v>
      </c>
      <c r="H103" s="22">
        <f>'Activity data'!H62*ManureNEF*NtoN2O*kgtoGg</f>
        <v>0.11469131025188571</v>
      </c>
      <c r="I103" s="22">
        <f>'Activity data'!I62*ManureNEF*NtoN2O*kgtoGg</f>
        <v>0.12530251415314284</v>
      </c>
      <c r="J103" s="22">
        <f>'Activity data'!J62*ManureNEF*NtoN2O*kgtoGg</f>
        <v>0.1244746897353143</v>
      </c>
      <c r="K103" s="22">
        <f>'Activity data'!K62*ManureNEF*NtoN2O*kgtoGg</f>
        <v>0.12439943297005714</v>
      </c>
      <c r="L103" s="22">
        <f>'Activity data'!L62*ManureNEF*NtoN2O*kgtoGg</f>
        <v>0.11815312145371427</v>
      </c>
      <c r="M103" s="22">
        <f>'Activity data'!M62*ManureNEF*NtoN2O*kgtoGg</f>
        <v>0.11928197293257144</v>
      </c>
      <c r="N103" s="22">
        <f>'Activity data'!N62*ManureNEF*NtoN2O*kgtoGg</f>
        <v>0.12846329829394287</v>
      </c>
      <c r="O103" s="22">
        <f>'Activity data'!O62*ManureNEF*NtoN2O*kgtoGg</f>
        <v>0.12786124417188571</v>
      </c>
      <c r="P103" s="22">
        <f>'Activity data'!P62*ManureNEF*NtoN2O*kgtoGg</f>
        <v>0.13064574448639998</v>
      </c>
      <c r="Q103" s="22">
        <f>'Activity data'!Q62*ManureNEF*NtoN2O*kgtoGg</f>
        <v>0.13395704215771428</v>
      </c>
      <c r="R103" s="22">
        <f>'Activity data'!R62*ManureNEF*NtoN2O*kgtoGg</f>
        <v>0.12394789237851427</v>
      </c>
      <c r="S103" s="22">
        <f>'Activity data'!S62*ManureNEF*NtoN2O*kgtoGg</f>
        <v>0.12628085210148574</v>
      </c>
      <c r="T103" s="22">
        <f>'Activity data'!T62*ManureNEF*NtoN2O*kgtoGg</f>
        <v>0.12868906858971427</v>
      </c>
      <c r="U103" s="22">
        <f>'Activity data'!U62*ManureNEF*NtoN2O*kgtoGg</f>
        <v>0.12515200062262857</v>
      </c>
      <c r="V103" s="22">
        <f>'Activity data'!V62*ManureNEF*NtoN2O*kgtoGg</f>
        <v>0.12515200062262857</v>
      </c>
      <c r="W103" s="22">
        <f>'Activity data'!W62*ManureNEF*NtoN2O*kgtoGg</f>
        <v>0.12424891943954286</v>
      </c>
      <c r="X103" s="22">
        <f>'Activity data'!X62*ManureNEF*NtoN2O*kgtoGg</f>
        <v>0.12206647324708569</v>
      </c>
      <c r="Y103" s="22">
        <f>'Activity data'!Y62*ManureNEF*NtoN2O*kgtoGg</f>
        <v>0.12424891943954286</v>
      </c>
      <c r="Z103" s="22">
        <f>'Activity data'!Z62*ManureNEF*NtoN2O*kgtoGg</f>
        <v>0.12153967589028571</v>
      </c>
      <c r="AA103" s="22">
        <f>'Activity data'!AA62*ManureNEF*NtoN2O*kgtoGg</f>
        <v>0.12138916235977143</v>
      </c>
      <c r="AB103" s="22">
        <f>'Activity data'!AB62*ManureNEF*NtoN2O*kgtoGg</f>
        <v>0.11995928381988573</v>
      </c>
      <c r="AC103" s="22">
        <f>'Activity data'!AC62*ManureNEF*NtoN2O*kgtoGg</f>
        <v>0.11920671616731429</v>
      </c>
      <c r="AD103" s="22">
        <f>'Activity data'!AD62*ManureNEF*NtoN2O*kgtoGg</f>
        <v>0.125581463448449</v>
      </c>
      <c r="AE103" s="22">
        <f>'Activity data'!AE62*ManureNEF*NtoN2O*kgtoGg</f>
        <v>0.125185082671006</v>
      </c>
      <c r="AF103" s="22">
        <f>'Activity data'!AF62*ManureNEF*NtoN2O*kgtoGg</f>
        <v>0.12387425442661908</v>
      </c>
      <c r="AG103" s="22">
        <f>'Activity data'!AG62*ManureNEF*NtoN2O*kgtoGg</f>
        <v>0.12132911183874903</v>
      </c>
      <c r="AH103" s="22">
        <f>'Activity data'!AH62*ManureNEF*NtoN2O*kgtoGg</f>
        <v>0.1188953282361286</v>
      </c>
      <c r="AI103" s="22">
        <f>'Activity data'!AI62*ManureNEF*NtoN2O*kgtoGg</f>
        <v>0.11718799777455163</v>
      </c>
      <c r="AJ103" s="22">
        <f>'Activity data'!AJ62*ManureNEF*NtoN2O*kgtoGg</f>
        <v>0.11574203128248971</v>
      </c>
      <c r="AK103" s="22">
        <f>'Activity data'!AK62*ManureNEF*NtoN2O*kgtoGg</f>
        <v>0.11307943655863528</v>
      </c>
      <c r="AL103" s="22">
        <f>'Activity data'!AL62*ManureNEF*NtoN2O*kgtoGg</f>
        <v>9.8992483819013391E-2</v>
      </c>
      <c r="AM103" s="22">
        <f>'Activity data'!AM62*ManureNEF*NtoN2O*kgtoGg</f>
        <v>9.9621540773874098E-2</v>
      </c>
      <c r="AN103" s="22">
        <f>'Activity data'!AN62*ManureNEF*NtoN2O*kgtoGg</f>
        <v>9.9937301593485559E-2</v>
      </c>
      <c r="AO103" s="22">
        <f>'Activity data'!AO62*ManureNEF*NtoN2O*kgtoGg</f>
        <v>0.10024428291849223</v>
      </c>
      <c r="AP103" s="22">
        <f>'Activity data'!AP62*ManureNEF*NtoN2O*kgtoGg</f>
        <v>0.10099411627265523</v>
      </c>
      <c r="AQ103" s="22">
        <f>'Activity data'!AQ62*ManureNEF*NtoN2O*kgtoGg</f>
        <v>0.10171874148627991</v>
      </c>
      <c r="AR103" s="22">
        <f>'Activity data'!AR62*ManureNEF*NtoN2O*kgtoGg</f>
        <v>0.1025500722540789</v>
      </c>
      <c r="AS103" s="22">
        <f>'Activity data'!AS62*ManureNEF*NtoN2O*kgtoGg</f>
        <v>0.10324784841270714</v>
      </c>
      <c r="AT103" s="22">
        <f>'Activity data'!AT62*ManureNEF*NtoN2O*kgtoGg</f>
        <v>0.10408641302096616</v>
      </c>
      <c r="AU103" s="22">
        <f>'Activity data'!AU62*ManureNEF*NtoN2O*kgtoGg</f>
        <v>0.10469683987160423</v>
      </c>
      <c r="AV103" s="22">
        <f>'Activity data'!AV62*ManureNEF*NtoN2O*kgtoGg</f>
        <v>0.10533895546772398</v>
      </c>
      <c r="AW103" s="22">
        <f>'Activity data'!AW62*ManureNEF*NtoN2O*kgtoGg</f>
        <v>0.10652330160399656</v>
      </c>
      <c r="AX103" s="22">
        <f>'Activity data'!AX62*ManureNEF*NtoN2O*kgtoGg</f>
        <v>0.10790681124778287</v>
      </c>
      <c r="AY103" s="22">
        <f>'Activity data'!AY62*ManureNEF*NtoN2O*kgtoGg</f>
        <v>0.10933849435388519</v>
      </c>
      <c r="AZ103" s="22">
        <f>'Activity data'!AZ62*ManureNEF*NtoN2O*kgtoGg</f>
        <v>0.10772941024216406</v>
      </c>
      <c r="BA103" s="22">
        <f>'Activity data'!BA62*ManureNEF*NtoN2O*kgtoGg</f>
        <v>-3.634870651063056E-2</v>
      </c>
      <c r="BB103" s="22">
        <f>'Activity data'!BB62*ManureNEF*NtoN2O*kgtoGg</f>
        <v>-3.5951110371359889E-2</v>
      </c>
      <c r="BC103" s="22">
        <f>'Activity data'!BC62*ManureNEF*NtoN2O*kgtoGg</f>
        <v>-3.5562030175799973E-2</v>
      </c>
      <c r="BD103" s="22">
        <f>'Activity data'!BD62*ManureNEF*NtoN2O*kgtoGg</f>
        <v>-3.5180908821616855E-2</v>
      </c>
      <c r="BE103" s="22">
        <f>'Activity data'!BE62*ManureNEF*NtoN2O*kgtoGg</f>
        <v>-3.4807229997572818E-2</v>
      </c>
      <c r="BF103" s="22">
        <f>'Activity data'!BF62*ManureNEF*NtoN2O*kgtoGg</f>
        <v>-3.4440514238790632E-2</v>
      </c>
      <c r="BG103" s="22">
        <f>'Activity data'!BG62*ManureNEF*NtoN2O*kgtoGg</f>
        <v>-3.4038300116717851E-2</v>
      </c>
      <c r="BH103" s="22">
        <f>'Activity data'!BH62*ManureNEF*NtoN2O*kgtoGg</f>
        <v>-3.3643177597525331E-2</v>
      </c>
      <c r="BI103" s="22">
        <f>'Activity data'!BI62*ManureNEF*NtoN2O*kgtoGg</f>
        <v>-3.325473249917061E-2</v>
      </c>
      <c r="BJ103" s="22">
        <f>'Activity data'!BJ62*ManureNEF*NtoN2O*kgtoGg</f>
        <v>-3.2872577693066611E-2</v>
      </c>
      <c r="BK103" s="22">
        <f>'Activity data'!BK62*ManureNEF*NtoN2O*kgtoGg</f>
        <v>-3.2496350766594746E-2</v>
      </c>
      <c r="BL103" s="22">
        <f>'Activity data'!BL62*ManureNEF*NtoN2O*kgtoGg</f>
        <v>-3.2086347643088084E-2</v>
      </c>
      <c r="BM103" s="22">
        <f>'Activity data'!BM62*ManureNEF*NtoN2O*kgtoGg</f>
        <v>-3.1682606758135223E-2</v>
      </c>
      <c r="BN103" s="22">
        <f>'Activity data'!BN62*ManureNEF*NtoN2O*kgtoGg</f>
        <v>-3.1284805771392483E-2</v>
      </c>
      <c r="BO103" s="22">
        <f>'Activity data'!BO62*ManureNEF*NtoN2O*kgtoGg</f>
        <v>-3.0892641387511636E-2</v>
      </c>
      <c r="BP103" s="22">
        <f>'Activity data'!BP62*ManureNEF*NtoN2O*kgtoGg</f>
        <v>-3.0505827871256618E-2</v>
      </c>
    </row>
    <row r="104" spans="1:68" x14ac:dyDescent="0.25">
      <c r="A104" t="str">
        <f t="shared" si="29"/>
        <v>3C Aggregated and non-CO2 emissions on land</v>
      </c>
      <c r="B104" t="str">
        <f t="shared" si="31"/>
        <v>3C4 Direct N2O from managed soils (N2O)</v>
      </c>
      <c r="C104" t="str">
        <f t="shared" si="35"/>
        <v>MM emissions</v>
      </c>
      <c r="D104" t="str">
        <f>'Activity data'!D63</f>
        <v xml:space="preserve"> - Subsistence swine</v>
      </c>
      <c r="E104" t="str">
        <f t="shared" si="32"/>
        <v>MM emissions - Subsistence swine</v>
      </c>
      <c r="F104" t="str">
        <f t="shared" si="33"/>
        <v>N2O</v>
      </c>
      <c r="G104" t="str">
        <f t="shared" si="34"/>
        <v>Gg N2O</v>
      </c>
      <c r="H104" s="22">
        <f>'Activity data'!H63*ManureNEF*NtoN2O*kgtoGg</f>
        <v>2.7864346310359195E-2</v>
      </c>
      <c r="I104" s="22">
        <f>'Activity data'!I63*ManureNEF*NtoN2O*kgtoGg</f>
        <v>3.0442346854821566E-2</v>
      </c>
      <c r="J104" s="22">
        <f>'Activity data'!J63*ManureNEF*NtoN2O*kgtoGg</f>
        <v>3.0241226244969888E-2</v>
      </c>
      <c r="K104" s="22">
        <f>'Activity data'!K63*ManureNEF*NtoN2O*kgtoGg</f>
        <v>3.0222942553165193E-2</v>
      </c>
      <c r="L104" s="22">
        <f>'Activity data'!L63*ManureNEF*NtoN2O*kgtoGg</f>
        <v>2.8705396133375288E-2</v>
      </c>
      <c r="M104" s="22">
        <f>'Activity data'!M63*ManureNEF*NtoN2O*kgtoGg</f>
        <v>2.8979651510445754E-2</v>
      </c>
      <c r="N104" s="22">
        <f>'Activity data'!N63*ManureNEF*NtoN2O*kgtoGg</f>
        <v>3.1210261910618868E-2</v>
      </c>
      <c r="O104" s="22">
        <f>'Activity data'!O63*ManureNEF*NtoN2O*kgtoGg</f>
        <v>3.1063992376181286E-2</v>
      </c>
      <c r="P104" s="22">
        <f>'Activity data'!P63*ManureNEF*NtoN2O*kgtoGg</f>
        <v>3.1740488972955096E-2</v>
      </c>
      <c r="Q104" s="22">
        <f>'Activity data'!Q63*ManureNEF*NtoN2O*kgtoGg</f>
        <v>3.2544971412361789E-2</v>
      </c>
      <c r="R104" s="22">
        <f>'Activity data'!R63*ManureNEF*NtoN2O*kgtoGg</f>
        <v>3.011324040233701E-2</v>
      </c>
      <c r="S104" s="22">
        <f>'Activity data'!S63*ManureNEF*NtoN2O*kgtoGg</f>
        <v>3.0680034848282637E-2</v>
      </c>
      <c r="T104" s="22">
        <f>'Activity data'!T63*ManureNEF*NtoN2O*kgtoGg</f>
        <v>3.1265112986032961E-2</v>
      </c>
      <c r="U104" s="22">
        <f>'Activity data'!U63*ManureNEF*NtoN2O*kgtoGg</f>
        <v>3.0405779471212167E-2</v>
      </c>
      <c r="V104" s="22">
        <f>'Activity data'!V63*ManureNEF*NtoN2O*kgtoGg</f>
        <v>3.0405779471212167E-2</v>
      </c>
      <c r="W104" s="22">
        <f>'Activity data'!W63*ManureNEF*NtoN2O*kgtoGg</f>
        <v>3.0186375169555798E-2</v>
      </c>
      <c r="X104" s="22">
        <f>'Activity data'!X63*ManureNEF*NtoN2O*kgtoGg</f>
        <v>2.9656148107219563E-2</v>
      </c>
      <c r="Y104" s="22">
        <f>'Activity data'!Y63*ManureNEF*NtoN2O*kgtoGg</f>
        <v>3.0186375169555798E-2</v>
      </c>
      <c r="Z104" s="22">
        <f>'Activity data'!Z63*ManureNEF*NtoN2O*kgtoGg</f>
        <v>2.9528162264586686E-2</v>
      </c>
      <c r="AA104" s="22">
        <f>'Activity data'!AA63*ManureNEF*NtoN2O*kgtoGg</f>
        <v>2.9491594880977284E-2</v>
      </c>
      <c r="AB104" s="22">
        <f>'Activity data'!AB63*ManureNEF*NtoN2O*kgtoGg</f>
        <v>2.9144204736688033E-2</v>
      </c>
      <c r="AC104" s="22">
        <f>'Activity data'!AC63*ManureNEF*NtoN2O*kgtoGg</f>
        <v>2.8961367818641053E-2</v>
      </c>
      <c r="AD104" s="22">
        <f>'Activity data'!AD63*ManureNEF*NtoN2O*kgtoGg</f>
        <v>3.1860496839281362E-2</v>
      </c>
      <c r="AE104" s="22">
        <f>'Activity data'!AE63*ManureNEF*NtoN2O*kgtoGg</f>
        <v>3.1759933522370665E-2</v>
      </c>
      <c r="AF104" s="22">
        <f>'Activity data'!AF63*ManureNEF*NtoN2O*kgtoGg</f>
        <v>3.1427371391063171E-2</v>
      </c>
      <c r="AG104" s="22">
        <f>'Activity data'!AG63*ManureNEF*NtoN2O*kgtoGg</f>
        <v>3.0781658997293845E-2</v>
      </c>
      <c r="AH104" s="22">
        <f>'Activity data'!AH63*ManureNEF*NtoN2O*kgtoGg</f>
        <v>3.0164198803332858E-2</v>
      </c>
      <c r="AI104" s="22">
        <f>'Activity data'!AI63*ManureNEF*NtoN2O*kgtoGg</f>
        <v>2.973104254538711E-2</v>
      </c>
      <c r="AJ104" s="22">
        <f>'Activity data'!AJ63*ManureNEF*NtoN2O*kgtoGg</f>
        <v>2.9364195324587221E-2</v>
      </c>
      <c r="AK104" s="22">
        <f>'Activity data'!AK63*ManureNEF*NtoN2O*kgtoGg</f>
        <v>2.8688684875400002E-2</v>
      </c>
      <c r="AL104" s="22">
        <f>'Activity data'!AL63*ManureNEF*NtoN2O*kgtoGg</f>
        <v>2.5114771171009475E-2</v>
      </c>
      <c r="AM104" s="22">
        <f>'Activity data'!AM63*ManureNEF*NtoN2O*kgtoGg</f>
        <v>2.5274365322659843E-2</v>
      </c>
      <c r="AN104" s="22">
        <f>'Activity data'!AN63*ManureNEF*NtoN2O*kgtoGg</f>
        <v>2.535447504840236E-2</v>
      </c>
      <c r="AO104" s="22">
        <f>'Activity data'!AO63*ManureNEF*NtoN2O*kgtoGg</f>
        <v>2.5432357382837084E-2</v>
      </c>
      <c r="AP104" s="22">
        <f>'Activity data'!AP63*ManureNEF*NtoN2O*kgtoGg</f>
        <v>2.562259296820359E-2</v>
      </c>
      <c r="AQ104" s="22">
        <f>'Activity data'!AQ63*ManureNEF*NtoN2O*kgtoGg</f>
        <v>2.5806433152052291E-2</v>
      </c>
      <c r="AR104" s="22">
        <f>'Activity data'!AR63*ManureNEF*NtoN2O*kgtoGg</f>
        <v>2.6017344942475328E-2</v>
      </c>
      <c r="AS104" s="22">
        <f>'Activity data'!AS63*ManureNEF*NtoN2O*kgtoGg</f>
        <v>2.6194373418542003E-2</v>
      </c>
      <c r="AT104" s="22">
        <f>'Activity data'!AT63*ManureNEF*NtoN2O*kgtoGg</f>
        <v>2.6407120461913867E-2</v>
      </c>
      <c r="AU104" s="22">
        <f>'Activity data'!AU63*ManureNEF*NtoN2O*kgtoGg</f>
        <v>2.6561988084979515E-2</v>
      </c>
      <c r="AV104" s="22">
        <f>'Activity data'!AV63*ManureNEF*NtoN2O*kgtoGg</f>
        <v>2.6724895263784808E-2</v>
      </c>
      <c r="AW104" s="22">
        <f>'Activity data'!AW63*ManureNEF*NtoN2O*kgtoGg</f>
        <v>2.7025368401261952E-2</v>
      </c>
      <c r="AX104" s="22">
        <f>'Activity data'!AX63*ManureNEF*NtoN2O*kgtoGg</f>
        <v>2.7376370081148127E-2</v>
      </c>
      <c r="AY104" s="22">
        <f>'Activity data'!AY63*ManureNEF*NtoN2O*kgtoGg</f>
        <v>2.7739593552385582E-2</v>
      </c>
      <c r="AZ104" s="22">
        <f>'Activity data'!AZ63*ManureNEF*NtoN2O*kgtoGg</f>
        <v>2.7331362768575094E-2</v>
      </c>
      <c r="BA104" s="22">
        <f>'Activity data'!BA63*ManureNEF*NtoN2O*kgtoGg</f>
        <v>-9.2218056478478912E-3</v>
      </c>
      <c r="BB104" s="22">
        <f>'Activity data'!BB63*ManureNEF*NtoN2O*kgtoGg</f>
        <v>-9.1209339890003793E-3</v>
      </c>
      <c r="BC104" s="22">
        <f>'Activity data'!BC63*ManureNEF*NtoN2O*kgtoGg</f>
        <v>-9.0222228575924188E-3</v>
      </c>
      <c r="BD104" s="22">
        <f>'Activity data'!BD63*ManureNEF*NtoN2O*kgtoGg</f>
        <v>-8.9255309146344646E-3</v>
      </c>
      <c r="BE104" s="22">
        <f>'Activity data'!BE63*ManureNEF*NtoN2O*kgtoGg</f>
        <v>-8.8307271699938471E-3</v>
      </c>
      <c r="BF104" s="22">
        <f>'Activity data'!BF63*ManureNEF*NtoN2O*kgtoGg</f>
        <v>-8.7376899816002714E-3</v>
      </c>
      <c r="BG104" s="22">
        <f>'Activity data'!BG63*ManureNEF*NtoN2O*kgtoGg</f>
        <v>-8.6356467228810053E-3</v>
      </c>
      <c r="BH104" s="22">
        <f>'Activity data'!BH63*ManureNEF*NtoN2O*kgtoGg</f>
        <v>-8.5354026308934166E-3</v>
      </c>
      <c r="BI104" s="22">
        <f>'Activity data'!BI63*ManureNEF*NtoN2O*kgtoGg</f>
        <v>-8.436852626071684E-3</v>
      </c>
      <c r="BJ104" s="22">
        <f>'Activity data'!BJ63*ManureNEF*NtoN2O*kgtoGg</f>
        <v>-8.3398984924149214E-3</v>
      </c>
      <c r="BK104" s="22">
        <f>'Activity data'!BK63*ManureNEF*NtoN2O*kgtoGg</f>
        <v>-8.2444482844578407E-3</v>
      </c>
      <c r="BL104" s="22">
        <f>'Activity data'!BL63*ManureNEF*NtoN2O*kgtoGg</f>
        <v>-8.1404289263306579E-3</v>
      </c>
      <c r="BM104" s="22">
        <f>'Activity data'!BM63*ManureNEF*NtoN2O*kgtoGg</f>
        <v>-8.0379983220384144E-3</v>
      </c>
      <c r="BN104" s="22">
        <f>'Activity data'!BN63*ManureNEF*NtoN2O*kgtoGg</f>
        <v>-7.9370746926049739E-3</v>
      </c>
      <c r="BO104" s="22">
        <f>'Activity data'!BO63*ManureNEF*NtoN2O*kgtoGg</f>
        <v>-7.8375810908422969E-3</v>
      </c>
      <c r="BP104" s="22">
        <f>'Activity data'!BP63*ManureNEF*NtoN2O*kgtoGg</f>
        <v>-7.7394450246298409E-3</v>
      </c>
    </row>
    <row r="105" spans="1:68" x14ac:dyDescent="0.25">
      <c r="A105" t="str">
        <f t="shared" si="29"/>
        <v>3C Aggregated and non-CO2 emissions on land</v>
      </c>
      <c r="B105" t="str">
        <f t="shared" si="31"/>
        <v>3C4 Direct N2O from managed soils (N2O)</v>
      </c>
      <c r="C105" t="str">
        <f t="shared" si="35"/>
        <v>MM emissions</v>
      </c>
      <c r="D105" t="str">
        <f>'Activity data'!D64</f>
        <v xml:space="preserve"> - Commercial layers</v>
      </c>
      <c r="E105" t="str">
        <f t="shared" si="32"/>
        <v>MM emissions - Commercial layers</v>
      </c>
      <c r="F105" t="str">
        <f t="shared" si="33"/>
        <v>N2O</v>
      </c>
      <c r="G105" t="str">
        <f t="shared" si="34"/>
        <v>Gg N2O</v>
      </c>
      <c r="H105" s="22">
        <f>'Activity data'!H64*ManureNEF*NtoN2O*kgtoGg</f>
        <v>9.7200530286632988E-2</v>
      </c>
      <c r="I105" s="22">
        <f>'Activity data'!I64*ManureNEF*NtoN2O*kgtoGg</f>
        <v>9.4428858969144991E-2</v>
      </c>
      <c r="J105" s="22">
        <f>'Activity data'!J64*ManureNEF*NtoN2O*kgtoGg</f>
        <v>8.9559204193753711E-2</v>
      </c>
      <c r="K105" s="22">
        <f>'Activity data'!K64*ManureNEF*NtoN2O*kgtoGg</f>
        <v>8.8151043346442318E-2</v>
      </c>
      <c r="L105" s="22">
        <f>'Activity data'!L64*ManureNEF*NtoN2O*kgtoGg</f>
        <v>8.4316790348484383E-2</v>
      </c>
      <c r="M105" s="22">
        <f>'Activity data'!M64*ManureNEF*NtoN2O*kgtoGg</f>
        <v>9.2000112653199614E-2</v>
      </c>
      <c r="N105" s="22">
        <f>'Activity data'!N64*ManureNEF*NtoN2O*kgtoGg</f>
        <v>9.7180196522010265E-2</v>
      </c>
      <c r="O105" s="22">
        <f>'Activity data'!O64*ManureNEF*NtoN2O*kgtoGg</f>
        <v>9.7499760881509301E-2</v>
      </c>
      <c r="P105" s="22">
        <f>'Activity data'!P64*ManureNEF*NtoN2O*kgtoGg</f>
        <v>0.10977650358290812</v>
      </c>
      <c r="Q105" s="22">
        <f>'Activity data'!Q64*ManureNEF*NtoN2O*kgtoGg</f>
        <v>0.11769142781513957</v>
      </c>
      <c r="R105" s="22">
        <f>'Activity data'!R64*ManureNEF*NtoN2O*kgtoGg</f>
        <v>0.11519773530237168</v>
      </c>
      <c r="S105" s="22">
        <f>'Activity data'!S64*ManureNEF*NtoN2O*kgtoGg</f>
        <v>0.11827079994576317</v>
      </c>
      <c r="T105" s="22">
        <f>'Activity data'!T64*ManureNEF*NtoN2O*kgtoGg</f>
        <v>0.11734254390212158</v>
      </c>
      <c r="U105" s="22">
        <f>'Activity data'!U64*ManureNEF*NtoN2O*kgtoGg</f>
        <v>0.11265793599714678</v>
      </c>
      <c r="V105" s="22">
        <f>'Activity data'!V64*ManureNEF*NtoN2O*kgtoGg</f>
        <v>0.11674302954549233</v>
      </c>
      <c r="W105" s="22">
        <f>'Activity data'!W64*ManureNEF*NtoN2O*kgtoGg</f>
        <v>0.12378269546779383</v>
      </c>
      <c r="X105" s="22">
        <f>'Activity data'!X64*ManureNEF*NtoN2O*kgtoGg</f>
        <v>0.136608752009132</v>
      </c>
      <c r="Y105" s="22">
        <f>'Activity data'!Y64*ManureNEF*NtoN2O*kgtoGg</f>
        <v>0.15118112258886537</v>
      </c>
      <c r="Z105" s="22">
        <f>'Activity data'!Z64*ManureNEF*NtoN2O*kgtoGg</f>
        <v>0.15317215945854146</v>
      </c>
      <c r="AA105" s="22">
        <f>'Activity data'!AA64*ManureNEF*NtoN2O*kgtoGg</f>
        <v>0.14752524872712022</v>
      </c>
      <c r="AB105" s="22">
        <f>'Activity data'!AB64*ManureNEF*NtoN2O*kgtoGg</f>
        <v>0.1532718669032935</v>
      </c>
      <c r="AC105" s="22">
        <f>'Activity data'!AC64*ManureNEF*NtoN2O*kgtoGg</f>
        <v>0.16034648531014095</v>
      </c>
      <c r="AD105" s="22">
        <f>'Activity data'!AD64*ManureNEF*NtoN2O*kgtoGg</f>
        <v>0.1578659423422277</v>
      </c>
      <c r="AE105" s="22">
        <f>'Activity data'!AE64*ManureNEF*NtoN2O*kgtoGg</f>
        <v>0.16128463868664497</v>
      </c>
      <c r="AF105" s="22">
        <f>'Activity data'!AF64*ManureNEF*NtoN2O*kgtoGg</f>
        <v>0.16403927917478689</v>
      </c>
      <c r="AG105" s="22">
        <f>'Activity data'!AG64*ManureNEF*NtoN2O*kgtoGg</f>
        <v>0.16583912134746412</v>
      </c>
      <c r="AH105" s="22">
        <f>'Activity data'!AH64*ManureNEF*NtoN2O*kgtoGg</f>
        <v>0.16766339315982179</v>
      </c>
      <c r="AI105" s="22">
        <f>'Activity data'!AI64*ManureNEF*NtoN2O*kgtoGg</f>
        <v>0.17001522372192687</v>
      </c>
      <c r="AJ105" s="22">
        <f>'Activity data'!AJ64*ManureNEF*NtoN2O*kgtoGg</f>
        <v>0.17253027929477446</v>
      </c>
      <c r="AK105" s="22">
        <f>'Activity data'!AK64*ManureNEF*NtoN2O*kgtoGg</f>
        <v>0.17399291850067305</v>
      </c>
      <c r="AL105" s="22">
        <f>'Activity data'!AL64*ManureNEF*NtoN2O*kgtoGg</f>
        <v>0.16557860027053409</v>
      </c>
      <c r="AM105" s="22">
        <f>'Activity data'!AM64*ManureNEF*NtoN2O*kgtoGg</f>
        <v>0.1691333492046497</v>
      </c>
      <c r="AN105" s="22">
        <f>'Activity data'!AN64*ManureNEF*NtoN2O*kgtoGg</f>
        <v>0.17245170747417515</v>
      </c>
      <c r="AO105" s="22">
        <f>'Activity data'!AO64*ManureNEF*NtoN2O*kgtoGg</f>
        <v>0.17579626240036808</v>
      </c>
      <c r="AP105" s="22">
        <f>'Activity data'!AP64*ManureNEF*NtoN2O*kgtoGg</f>
        <v>0.17959210165256231</v>
      </c>
      <c r="AQ105" s="22">
        <f>'Activity data'!AQ64*ManureNEF*NtoN2O*kgtoGg</f>
        <v>0.18341947191943975</v>
      </c>
      <c r="AR105" s="22">
        <f>'Activity data'!AR64*ManureNEF*NtoN2O*kgtoGg</f>
        <v>0.18725170622309825</v>
      </c>
      <c r="AS105" s="22">
        <f>'Activity data'!AS64*ManureNEF*NtoN2O*kgtoGg</f>
        <v>0.19101002435789147</v>
      </c>
      <c r="AT105" s="22">
        <f>'Activity data'!AT64*ManureNEF*NtoN2O*kgtoGg</f>
        <v>0.19496806630989533</v>
      </c>
      <c r="AU105" s="22">
        <f>'Activity data'!AU64*ManureNEF*NtoN2O*kgtoGg</f>
        <v>0.1987521861165934</v>
      </c>
      <c r="AV105" s="22">
        <f>'Activity data'!AV64*ManureNEF*NtoN2O*kgtoGg</f>
        <v>0.20262605023407515</v>
      </c>
      <c r="AW105" s="22">
        <f>'Activity data'!AW64*ManureNEF*NtoN2O*kgtoGg</f>
        <v>0.20701826985045815</v>
      </c>
      <c r="AX105" s="22">
        <f>'Activity data'!AX64*ManureNEF*NtoN2O*kgtoGg</f>
        <v>0.21171320346850861</v>
      </c>
      <c r="AY105" s="22">
        <f>'Activity data'!AY64*ManureNEF*NtoN2O*kgtoGg</f>
        <v>0.21655584185518156</v>
      </c>
      <c r="AZ105" s="22">
        <f>'Activity data'!AZ64*ManureNEF*NtoN2O*kgtoGg</f>
        <v>0.21799724995986033</v>
      </c>
      <c r="BA105" s="22">
        <f>'Activity data'!BA64*ManureNEF*NtoN2O*kgtoGg</f>
        <v>5.2251952852615427E-2</v>
      </c>
      <c r="BB105" s="22">
        <f>'Activity data'!BB64*ManureNEF*NtoN2O*kgtoGg</f>
        <v>5.2653553300749806E-2</v>
      </c>
      <c r="BC105" s="22">
        <f>'Activity data'!BC64*ManureNEF*NtoN2O*kgtoGg</f>
        <v>5.3058077706100888E-2</v>
      </c>
      <c r="BD105" s="22">
        <f>'Activity data'!BD64*ManureNEF*NtoN2O*kgtoGg</f>
        <v>5.3465548333796561E-2</v>
      </c>
      <c r="BE105" s="22">
        <f>'Activity data'!BE64*ManureNEF*NtoN2O*kgtoGg</f>
        <v>5.3875987550074486E-2</v>
      </c>
      <c r="BF105" s="22">
        <f>'Activity data'!BF64*ManureNEF*NtoN2O*kgtoGg</f>
        <v>5.4289417828860521E-2</v>
      </c>
      <c r="BG105" s="22">
        <f>'Activity data'!BG64*ManureNEF*NtoN2O*kgtoGg</f>
        <v>5.4642837788304699E-2</v>
      </c>
      <c r="BH105" s="22">
        <f>'Activity data'!BH64*ManureNEF*NtoN2O*kgtoGg</f>
        <v>5.4998439326322222E-2</v>
      </c>
      <c r="BI105" s="22">
        <f>'Activity data'!BI64*ManureNEF*NtoN2O*kgtoGg</f>
        <v>5.5356236623464276E-2</v>
      </c>
      <c r="BJ105" s="22">
        <f>'Activity data'!BJ64*ManureNEF*NtoN2O*kgtoGg</f>
        <v>5.5716243907733665E-2</v>
      </c>
      <c r="BK105" s="22">
        <f>'Activity data'!BK64*ManureNEF*NtoN2O*kgtoGg</f>
        <v>5.6078475458306978E-2</v>
      </c>
      <c r="BL105" s="22">
        <f>'Activity data'!BL64*ManureNEF*NtoN2O*kgtoGg</f>
        <v>5.6378177516484766E-2</v>
      </c>
      <c r="BM105" s="22">
        <f>'Activity data'!BM64*ManureNEF*NtoN2O*kgtoGg</f>
        <v>5.6679397882174076E-2</v>
      </c>
      <c r="BN105" s="22">
        <f>'Activity data'!BN64*ManureNEF*NtoN2O*kgtoGg</f>
        <v>5.6982144790486855E-2</v>
      </c>
      <c r="BO105" s="22">
        <f>'Activity data'!BO64*ManureNEF*NtoN2O*kgtoGg</f>
        <v>5.7286426490389369E-2</v>
      </c>
      <c r="BP105" s="22">
        <f>'Activity data'!BP64*ManureNEF*NtoN2O*kgtoGg</f>
        <v>5.7592251246923687E-2</v>
      </c>
    </row>
    <row r="106" spans="1:68" x14ac:dyDescent="0.25">
      <c r="A106" t="str">
        <f t="shared" si="29"/>
        <v>3C Aggregated and non-CO2 emissions on land</v>
      </c>
      <c r="B106" t="str">
        <f t="shared" si="31"/>
        <v>3C4 Direct N2O from managed soils (N2O)</v>
      </c>
      <c r="C106" t="str">
        <f t="shared" si="35"/>
        <v>MM emissions</v>
      </c>
      <c r="D106" t="str">
        <f>'Activity data'!D65</f>
        <v xml:space="preserve"> - Commercial broilers</v>
      </c>
      <c r="E106" t="str">
        <f t="shared" si="32"/>
        <v>MM emissions - Commercial broilers</v>
      </c>
      <c r="F106" t="str">
        <f t="shared" si="33"/>
        <v>N2O</v>
      </c>
      <c r="G106" t="str">
        <f t="shared" si="34"/>
        <v>Gg N2O</v>
      </c>
      <c r="H106" s="22">
        <f>'Activity data'!H65*ManureNEF*NtoN2O*kgtoGg</f>
        <v>0.33694552073148476</v>
      </c>
      <c r="I106" s="22">
        <f>'Activity data'!I65*ManureNEF*NtoN2O*kgtoGg</f>
        <v>0.31672878989639686</v>
      </c>
      <c r="J106" s="22">
        <f>'Activity data'!J65*ManureNEF*NtoN2O*kgtoGg</f>
        <v>0.29933136362353469</v>
      </c>
      <c r="K106" s="22">
        <f>'Activity data'!K65*ManureNEF*NtoN2O*kgtoGg</f>
        <v>0.33664137760432367</v>
      </c>
      <c r="L106" s="22">
        <f>'Activity data'!L65*ManureNEF*NtoN2O*kgtoGg</f>
        <v>0.33348410598324085</v>
      </c>
      <c r="M106" s="22">
        <f>'Activity data'!M65*ManureNEF*NtoN2O*kgtoGg</f>
        <v>0.3817213101364974</v>
      </c>
      <c r="N106" s="22">
        <f>'Activity data'!N65*ManureNEF*NtoN2O*kgtoGg</f>
        <v>0.44384349237162696</v>
      </c>
      <c r="O106" s="22">
        <f>'Activity data'!O65*ManureNEF*NtoN2O*kgtoGg</f>
        <v>0.45178194059776339</v>
      </c>
      <c r="P106" s="22">
        <f>'Activity data'!P65*ManureNEF*NtoN2O*kgtoGg</f>
        <v>0.49503233967174015</v>
      </c>
      <c r="Q106" s="22">
        <f>'Activity data'!Q65*ManureNEF*NtoN2O*kgtoGg</f>
        <v>0.51680820971951225</v>
      </c>
      <c r="R106" s="22">
        <f>'Activity data'!R65*ManureNEF*NtoN2O*kgtoGg</f>
        <v>0.55604755062988331</v>
      </c>
      <c r="S106" s="22">
        <f>'Activity data'!S65*ManureNEF*NtoN2O*kgtoGg</f>
        <v>0.53692233734035788</v>
      </c>
      <c r="T106" s="22">
        <f>'Activity data'!T65*ManureNEF*NtoN2O*kgtoGg</f>
        <v>0.59508410809033618</v>
      </c>
      <c r="U106" s="22">
        <f>'Activity data'!U65*ManureNEF*NtoN2O*kgtoGg</f>
        <v>0.56601482196260933</v>
      </c>
      <c r="V106" s="22">
        <f>'Activity data'!V65*ManureNEF*NtoN2O*kgtoGg</f>
        <v>0.57967891352922574</v>
      </c>
      <c r="W106" s="22">
        <f>'Activity data'!W65*ManureNEF*NtoN2O*kgtoGg</f>
        <v>0.64140005161544356</v>
      </c>
      <c r="X106" s="22">
        <f>'Activity data'!X65*ManureNEF*NtoN2O*kgtoGg</f>
        <v>0.68603730264816176</v>
      </c>
      <c r="Y106" s="22">
        <f>'Activity data'!Y65*ManureNEF*NtoN2O*kgtoGg</f>
        <v>0.71778306696636274</v>
      </c>
      <c r="Z106" s="22">
        <f>'Activity data'!Z65*ManureNEF*NtoN2O*kgtoGg</f>
        <v>0.76424406737632311</v>
      </c>
      <c r="AA106" s="22">
        <f>'Activity data'!AA65*ManureNEF*NtoN2O*kgtoGg</f>
        <v>0.7211479440293127</v>
      </c>
      <c r="AB106" s="22">
        <f>'Activity data'!AB65*ManureNEF*NtoN2O*kgtoGg</f>
        <v>0.73928538984856018</v>
      </c>
      <c r="AC106" s="22">
        <f>'Activity data'!AC65*ManureNEF*NtoN2O*kgtoGg</f>
        <v>0.76461491186701336</v>
      </c>
      <c r="AD106" s="22">
        <f>'Activity data'!AD65*ManureNEF*NtoN2O*kgtoGg</f>
        <v>0.795414165570277</v>
      </c>
      <c r="AE106" s="22">
        <f>'Activity data'!AE65*ManureNEF*NtoN2O*kgtoGg</f>
        <v>0.8083218557846692</v>
      </c>
      <c r="AF106" s="22">
        <f>'Activity data'!AF65*ManureNEF*NtoN2O*kgtoGg</f>
        <v>0.81215441853464132</v>
      </c>
      <c r="AG106" s="22">
        <f>'Activity data'!AG65*ManureNEF*NtoN2O*kgtoGg</f>
        <v>0.80356343008777875</v>
      </c>
      <c r="AH106" s="22">
        <f>'Activity data'!AH65*ManureNEF*NtoN2O*kgtoGg</f>
        <v>0.79499088780116223</v>
      </c>
      <c r="AI106" s="22">
        <f>'Activity data'!AI65*ManureNEF*NtoN2O*kgtoGg</f>
        <v>0.79250347923266529</v>
      </c>
      <c r="AJ106" s="22">
        <f>'Activity data'!AJ65*ManureNEF*NtoN2O*kgtoGg</f>
        <v>0.79198531109847847</v>
      </c>
      <c r="AK106" s="22">
        <f>'Activity data'!AK65*ManureNEF*NtoN2O*kgtoGg</f>
        <v>0.77877476502438481</v>
      </c>
      <c r="AL106" s="22">
        <f>'Activity data'!AL65*ManureNEF*NtoN2O*kgtoGg</f>
        <v>0.64890920680176789</v>
      </c>
      <c r="AM106" s="22">
        <f>'Activity data'!AM65*ManureNEF*NtoN2O*kgtoGg</f>
        <v>0.66805040989248243</v>
      </c>
      <c r="AN106" s="22">
        <f>'Activity data'!AN65*ManureNEF*NtoN2O*kgtoGg</f>
        <v>0.68404988485251483</v>
      </c>
      <c r="AO106" s="22">
        <f>'Activity data'!AO65*ManureNEF*NtoN2O*kgtoGg</f>
        <v>0.70001053899583365</v>
      </c>
      <c r="AP106" s="22">
        <f>'Activity data'!AP65*ManureNEF*NtoN2O*kgtoGg</f>
        <v>0.72077585420537182</v>
      </c>
      <c r="AQ106" s="22">
        <f>'Activity data'!AQ65*ManureNEF*NtoN2O*kgtoGg</f>
        <v>0.74147883845948881</v>
      </c>
      <c r="AR106" s="22">
        <f>'Activity data'!AR65*ManureNEF*NtoN2O*kgtoGg</f>
        <v>0.76420933570691552</v>
      </c>
      <c r="AS106" s="22">
        <f>'Activity data'!AS65*ManureNEF*NtoN2O*kgtoGg</f>
        <v>0.78572613438626693</v>
      </c>
      <c r="AT106" s="22">
        <f>'Activity data'!AT65*ManureNEF*NtoN2O*kgtoGg</f>
        <v>0.80907791428846942</v>
      </c>
      <c r="AU106" s="22">
        <f>'Activity data'!AU65*ManureNEF*NtoN2O*kgtoGg</f>
        <v>0.8301336909980378</v>
      </c>
      <c r="AV106" s="22">
        <f>'Activity data'!AV65*ManureNEF*NtoN2O*kgtoGg</f>
        <v>0.85181121057445375</v>
      </c>
      <c r="AW106" s="22">
        <f>'Activity data'!AW65*ManureNEF*NtoN2O*kgtoGg</f>
        <v>0.88061906068467799</v>
      </c>
      <c r="AX106" s="22">
        <f>'Activity data'!AX65*ManureNEF*NtoN2O*kgtoGg</f>
        <v>0.91224642242202703</v>
      </c>
      <c r="AY106" s="22">
        <f>'Activity data'!AY65*ManureNEF*NtoN2O*kgtoGg</f>
        <v>0.9449892623330276</v>
      </c>
      <c r="AZ106" s="22">
        <f>'Activity data'!AZ65*ManureNEF*NtoN2O*kgtoGg</f>
        <v>0.94134312985108715</v>
      </c>
      <c r="BA106" s="22">
        <f>'Activity data'!BA65*ManureNEF*NtoN2O*kgtoGg</f>
        <v>-0.81638140263432868</v>
      </c>
      <c r="BB106" s="22">
        <f>'Activity data'!BB65*ManureNEF*NtoN2O*kgtoGg</f>
        <v>-0.81755111000616232</v>
      </c>
      <c r="BC106" s="22">
        <f>'Activity data'!BC65*ManureNEF*NtoN2O*kgtoGg</f>
        <v>-0.81881979999269761</v>
      </c>
      <c r="BD106" s="22">
        <f>'Activity data'!BD65*ManureNEF*NtoN2O*kgtoGg</f>
        <v>-0.82018334185066777</v>
      </c>
      <c r="BE106" s="22">
        <f>'Activity data'!BE65*ManureNEF*NtoN2O*kgtoGg</f>
        <v>-0.82163792568162108</v>
      </c>
      <c r="BF106" s="22">
        <f>'Activity data'!BF65*ManureNEF*NtoN2O*kgtoGg</f>
        <v>-0.82318003161190867</v>
      </c>
      <c r="BG106" s="22">
        <f>'Activity data'!BG65*ManureNEF*NtoN2O*kgtoGg</f>
        <v>-0.82381473491699941</v>
      </c>
      <c r="BH106" s="22">
        <f>'Activity data'!BH65*ManureNEF*NtoN2O*kgtoGg</f>
        <v>-0.82452898483774906</v>
      </c>
      <c r="BI106" s="22">
        <f>'Activity data'!BI65*ManureNEF*NtoN2O*kgtoGg</f>
        <v>-0.82531969261957272</v>
      </c>
      <c r="BJ106" s="22">
        <f>'Activity data'!BJ65*ManureNEF*NtoN2O*kgtoGg</f>
        <v>-0.82618398159490103</v>
      </c>
      <c r="BK106" s="22">
        <f>'Activity data'!BK65*ManureNEF*NtoN2O*kgtoGg</f>
        <v>-0.82711916895922855</v>
      </c>
      <c r="BL106" s="22">
        <f>'Activity data'!BL65*ManureNEF*NtoN2O*kgtoGg</f>
        <v>-0.82713235750266001</v>
      </c>
      <c r="BM106" s="22">
        <f>'Activity data'!BM65*ManureNEF*NtoN2O*kgtoGg</f>
        <v>-0.82721120407880289</v>
      </c>
      <c r="BN106" s="22">
        <f>'Activity data'!BN65*ManureNEF*NtoN2O*kgtoGg</f>
        <v>-0.82735328113760953</v>
      </c>
      <c r="BO106" s="22">
        <f>'Activity data'!BO65*ManureNEF*NtoN2O*kgtoGg</f>
        <v>-0.82755630984608064</v>
      </c>
      <c r="BP106" s="22">
        <f>'Activity data'!BP65*ManureNEF*NtoN2O*kgtoGg</f>
        <v>-0.82781814853769387</v>
      </c>
    </row>
    <row r="107" spans="1:68" x14ac:dyDescent="0.25">
      <c r="A107" t="str">
        <f t="shared" si="29"/>
        <v>3C Aggregated and non-CO2 emissions on land</v>
      </c>
      <c r="B107" t="str">
        <f t="shared" si="31"/>
        <v>3C4 Direct N2O from managed soils (N2O)</v>
      </c>
      <c r="C107" t="s">
        <v>422</v>
      </c>
      <c r="D107" t="str">
        <f>D91</f>
        <v xml:space="preserve"> - TMR</v>
      </c>
      <c r="E107" t="str">
        <f t="shared" si="32"/>
        <v>U&amp;D emissions - TMR</v>
      </c>
      <c r="F107" t="str">
        <f t="shared" ref="F107:F138" si="36">F106</f>
        <v>N2O</v>
      </c>
      <c r="G107" t="str">
        <f t="shared" ref="G107:G138" si="37">G106</f>
        <v>Gg N2O</v>
      </c>
      <c r="H107" s="22">
        <f>'Activity data'!H66*UDCPPEF*NtoN2O*kgtoGg</f>
        <v>0</v>
      </c>
      <c r="I107" s="22">
        <f>'Activity data'!I66*UDCPPEF*NtoN2O*kgtoGg</f>
        <v>0</v>
      </c>
      <c r="J107" s="22">
        <f>'Activity data'!J66*UDCPPEF*NtoN2O*kgtoGg</f>
        <v>0</v>
      </c>
      <c r="K107" s="22">
        <f>'Activity data'!K66*UDCPPEF*NtoN2O*kgtoGg</f>
        <v>0</v>
      </c>
      <c r="L107" s="22">
        <f>'Activity data'!L66*UDCPPEF*NtoN2O*kgtoGg</f>
        <v>0</v>
      </c>
      <c r="M107" s="22">
        <f>'Activity data'!M66*UDCPPEF*NtoN2O*kgtoGg</f>
        <v>0</v>
      </c>
      <c r="N107" s="22">
        <f>'Activity data'!N66*UDCPPEF*NtoN2O*kgtoGg</f>
        <v>0</v>
      </c>
      <c r="O107" s="22">
        <f>'Activity data'!O66*UDCPPEF*NtoN2O*kgtoGg</f>
        <v>0</v>
      </c>
      <c r="P107" s="22">
        <f>'Activity data'!P66*UDCPPEF*NtoN2O*kgtoGg</f>
        <v>0</v>
      </c>
      <c r="Q107" s="22">
        <f>'Activity data'!Q66*UDCPPEF*NtoN2O*kgtoGg</f>
        <v>0</v>
      </c>
      <c r="R107" s="22">
        <f>'Activity data'!R66*UDCPPEF*NtoN2O*kgtoGg</f>
        <v>0</v>
      </c>
      <c r="S107" s="22">
        <f>'Activity data'!S66*UDCPPEF*NtoN2O*kgtoGg</f>
        <v>0</v>
      </c>
      <c r="T107" s="22">
        <f>'Activity data'!T66*UDCPPEF*NtoN2O*kgtoGg</f>
        <v>0</v>
      </c>
      <c r="U107" s="22">
        <f>'Activity data'!U66*UDCPPEF*NtoN2O*kgtoGg</f>
        <v>0</v>
      </c>
      <c r="V107" s="22">
        <f>'Activity data'!V66*UDCPPEF*NtoN2O*kgtoGg</f>
        <v>0</v>
      </c>
      <c r="W107" s="22">
        <f>'Activity data'!W66*UDCPPEF*NtoN2O*kgtoGg</f>
        <v>0</v>
      </c>
      <c r="X107" s="22">
        <f>'Activity data'!X66*UDCPPEF*NtoN2O*kgtoGg</f>
        <v>0</v>
      </c>
      <c r="Y107" s="22">
        <f>'Activity data'!Y66*UDCPPEF*NtoN2O*kgtoGg</f>
        <v>0</v>
      </c>
      <c r="Z107" s="22">
        <f>'Activity data'!Z66*UDCPPEF*NtoN2O*kgtoGg</f>
        <v>0</v>
      </c>
      <c r="AA107" s="22">
        <f>'Activity data'!AA66*UDCPPEF*NtoN2O*kgtoGg</f>
        <v>0</v>
      </c>
      <c r="AB107" s="22">
        <f>'Activity data'!AB66*UDCPPEF*NtoN2O*kgtoGg</f>
        <v>0</v>
      </c>
      <c r="AC107" s="22">
        <f>'Activity data'!AC66*UDCPPEF*NtoN2O*kgtoGg</f>
        <v>0</v>
      </c>
      <c r="AD107" s="22">
        <f>'Activity data'!AD66*UDCPPEF*NtoN2O*kgtoGg</f>
        <v>0</v>
      </c>
      <c r="AE107" s="22">
        <f>'Activity data'!AE66*UDCPPEF*NtoN2O*kgtoGg</f>
        <v>0</v>
      </c>
      <c r="AF107" s="22">
        <f>'Activity data'!AF66*UDCPPEF*NtoN2O*kgtoGg</f>
        <v>0</v>
      </c>
      <c r="AG107" s="22">
        <f>'Activity data'!AG66*UDCPPEF*NtoN2O*kgtoGg</f>
        <v>0</v>
      </c>
      <c r="AH107" s="22">
        <f>'Activity data'!AH66*UDCPPEF*NtoN2O*kgtoGg</f>
        <v>0</v>
      </c>
      <c r="AI107" s="22">
        <f>'Activity data'!AI66*UDCPPEF*NtoN2O*kgtoGg</f>
        <v>0</v>
      </c>
      <c r="AJ107" s="22">
        <f>'Activity data'!AJ66*UDCPPEF*NtoN2O*kgtoGg</f>
        <v>0</v>
      </c>
      <c r="AK107" s="22">
        <f>'Activity data'!AK66*UDCPPEF*NtoN2O*kgtoGg</f>
        <v>0</v>
      </c>
      <c r="AL107" s="22">
        <f>'Activity data'!AL66*UDCPPEF*NtoN2O*kgtoGg</f>
        <v>0</v>
      </c>
      <c r="AM107" s="22">
        <f>'Activity data'!AM66*UDCPPEF*NtoN2O*kgtoGg</f>
        <v>0</v>
      </c>
      <c r="AN107" s="22">
        <f>'Activity data'!AN66*UDCPPEF*NtoN2O*kgtoGg</f>
        <v>0</v>
      </c>
      <c r="AO107" s="22">
        <f>'Activity data'!AO66*UDCPPEF*NtoN2O*kgtoGg</f>
        <v>0</v>
      </c>
      <c r="AP107" s="22">
        <f>'Activity data'!AP66*UDCPPEF*NtoN2O*kgtoGg</f>
        <v>0</v>
      </c>
      <c r="AQ107" s="22">
        <f>'Activity data'!AQ66*UDCPPEF*NtoN2O*kgtoGg</f>
        <v>0</v>
      </c>
      <c r="AR107" s="22">
        <f>'Activity data'!AR66*UDCPPEF*NtoN2O*kgtoGg</f>
        <v>0</v>
      </c>
      <c r="AS107" s="22">
        <f>'Activity data'!AS66*UDCPPEF*NtoN2O*kgtoGg</f>
        <v>0</v>
      </c>
      <c r="AT107" s="22">
        <f>'Activity data'!AT66*UDCPPEF*NtoN2O*kgtoGg</f>
        <v>0</v>
      </c>
      <c r="AU107" s="22">
        <f>'Activity data'!AU66*UDCPPEF*NtoN2O*kgtoGg</f>
        <v>0</v>
      </c>
      <c r="AV107" s="22">
        <f>'Activity data'!AV66*UDCPPEF*NtoN2O*kgtoGg</f>
        <v>0</v>
      </c>
      <c r="AW107" s="22">
        <f>'Activity data'!AW66*UDCPPEF*NtoN2O*kgtoGg</f>
        <v>0</v>
      </c>
      <c r="AX107" s="22">
        <f>'Activity data'!AX66*UDCPPEF*NtoN2O*kgtoGg</f>
        <v>0</v>
      </c>
      <c r="AY107" s="22">
        <f>'Activity data'!AY66*UDCPPEF*NtoN2O*kgtoGg</f>
        <v>0</v>
      </c>
      <c r="AZ107" s="22">
        <f>'Activity data'!AZ66*UDCPPEF*NtoN2O*kgtoGg</f>
        <v>0</v>
      </c>
      <c r="BA107" s="22">
        <f>'Activity data'!BA66*UDCPPEF*NtoN2O*kgtoGg</f>
        <v>0</v>
      </c>
      <c r="BB107" s="22">
        <f>'Activity data'!BB66*UDCPPEF*NtoN2O*kgtoGg</f>
        <v>0</v>
      </c>
      <c r="BC107" s="22">
        <f>'Activity data'!BC66*UDCPPEF*NtoN2O*kgtoGg</f>
        <v>0</v>
      </c>
      <c r="BD107" s="22">
        <f>'Activity data'!BD66*UDCPPEF*NtoN2O*kgtoGg</f>
        <v>0</v>
      </c>
      <c r="BE107" s="22">
        <f>'Activity data'!BE66*UDCPPEF*NtoN2O*kgtoGg</f>
        <v>0</v>
      </c>
      <c r="BF107" s="22">
        <f>'Activity data'!BF66*UDCPPEF*NtoN2O*kgtoGg</f>
        <v>0</v>
      </c>
      <c r="BG107" s="22">
        <f>'Activity data'!BG66*UDCPPEF*NtoN2O*kgtoGg</f>
        <v>0</v>
      </c>
      <c r="BH107" s="22">
        <f>'Activity data'!BH66*UDCPPEF*NtoN2O*kgtoGg</f>
        <v>0</v>
      </c>
      <c r="BI107" s="22">
        <f>'Activity data'!BI66*UDCPPEF*NtoN2O*kgtoGg</f>
        <v>0</v>
      </c>
      <c r="BJ107" s="22">
        <f>'Activity data'!BJ66*UDCPPEF*NtoN2O*kgtoGg</f>
        <v>0</v>
      </c>
      <c r="BK107" s="22">
        <f>'Activity data'!BK66*UDCPPEF*NtoN2O*kgtoGg</f>
        <v>0</v>
      </c>
      <c r="BL107" s="22">
        <f>'Activity data'!BL66*UDCPPEF*NtoN2O*kgtoGg</f>
        <v>0</v>
      </c>
      <c r="BM107" s="22">
        <f>'Activity data'!BM66*UDCPPEF*NtoN2O*kgtoGg</f>
        <v>0</v>
      </c>
      <c r="BN107" s="22">
        <f>'Activity data'!BN66*UDCPPEF*NtoN2O*kgtoGg</f>
        <v>0</v>
      </c>
      <c r="BO107" s="22">
        <f>'Activity data'!BO66*UDCPPEF*NtoN2O*kgtoGg</f>
        <v>0</v>
      </c>
      <c r="BP107" s="22">
        <f>'Activity data'!BP66*UDCPPEF*NtoN2O*kgtoGg</f>
        <v>0</v>
      </c>
    </row>
    <row r="108" spans="1:68" x14ac:dyDescent="0.25">
      <c r="A108" t="str">
        <f t="shared" si="29"/>
        <v>3C Aggregated and non-CO2 emissions on land</v>
      </c>
      <c r="B108" t="str">
        <f t="shared" si="31"/>
        <v>3C4 Direct N2O from managed soils (N2O)</v>
      </c>
      <c r="C108" t="s">
        <v>422</v>
      </c>
      <c r="D108" t="str">
        <f t="shared" ref="D108:D122" si="38">D92</f>
        <v xml:space="preserve"> - Pasture</v>
      </c>
      <c r="E108" t="str">
        <f t="shared" si="32"/>
        <v>U&amp;D emissions - Pasture</v>
      </c>
      <c r="F108" t="str">
        <f t="shared" si="36"/>
        <v>N2O</v>
      </c>
      <c r="G108" t="str">
        <f t="shared" si="37"/>
        <v>Gg N2O</v>
      </c>
      <c r="H108" s="22">
        <f>'Activity data'!H67*UDCPPEF*NtoN2O*kgtoGg</f>
        <v>0.88103728610164056</v>
      </c>
      <c r="I108" s="22">
        <f>'Activity data'!I67*UDCPPEF*NtoN2O*kgtoGg</f>
        <v>1.0143027628293235</v>
      </c>
      <c r="J108" s="22">
        <f>'Activity data'!J67*UDCPPEF*NtoN2O*kgtoGg</f>
        <v>0.87750313013359393</v>
      </c>
      <c r="K108" s="22">
        <f>'Activity data'!K67*UDCPPEF*NtoN2O*kgtoGg</f>
        <v>0.93067430812476426</v>
      </c>
      <c r="L108" s="22">
        <f>'Activity data'!L67*UDCPPEF*NtoN2O*kgtoGg</f>
        <v>0.86336650626140843</v>
      </c>
      <c r="M108" s="22">
        <f>'Activity data'!M67*UDCPPEF*NtoN2O*kgtoGg</f>
        <v>0.92360599618867145</v>
      </c>
      <c r="N108" s="22">
        <f>'Activity data'!N67*UDCPPEF*NtoN2O*kgtoGg</f>
        <v>0.92714015215671775</v>
      </c>
      <c r="O108" s="22">
        <f>'Activity data'!O67*UDCPPEF*NtoN2O*kgtoGg</f>
        <v>0.89382378297479725</v>
      </c>
      <c r="P108" s="22">
        <f>'Activity data'!P67*UDCPPEF*NtoN2O*kgtoGg</f>
        <v>0.88322131507065782</v>
      </c>
      <c r="Q108" s="22">
        <f>'Activity data'!Q67*UDCPPEF*NtoN2O*kgtoGg</f>
        <v>0.86757572572896902</v>
      </c>
      <c r="R108" s="22">
        <f>'Activity data'!R67*UDCPPEF*NtoN2O*kgtoGg</f>
        <v>1.1171109628436178</v>
      </c>
      <c r="S108" s="22">
        <f>'Activity data'!S67*UDCPPEF*NtoN2O*kgtoGg</f>
        <v>1.1135768068755714</v>
      </c>
      <c r="T108" s="22">
        <f>'Activity data'!T67*UDCPPEF*NtoN2O*kgtoGg</f>
        <v>0.97105898924277778</v>
      </c>
      <c r="U108" s="22">
        <f>'Activity data'!U67*UDCPPEF*NtoN2O*kgtoGg</f>
        <v>0.88322131507065782</v>
      </c>
      <c r="V108" s="22">
        <f>'Activity data'!V67*UDCPPEF*NtoN2O*kgtoGg</f>
        <v>0.85276403835726899</v>
      </c>
      <c r="W108" s="22">
        <f>'Activity data'!W67*UDCPPEF*NtoN2O*kgtoGg</f>
        <v>0.91300352828453224</v>
      </c>
      <c r="X108" s="22">
        <f>'Activity data'!X67*UDCPPEF*NtoN2O*kgtoGg</f>
        <v>0.89314871947528263</v>
      </c>
      <c r="Y108" s="22">
        <f>'Activity data'!Y67*UDCPPEF*NtoN2O*kgtoGg</f>
        <v>0.88675547103870456</v>
      </c>
      <c r="Z108" s="22">
        <f>'Activity data'!Z67*UDCPPEF*NtoN2O*kgtoGg</f>
        <v>1.0859786226307144</v>
      </c>
      <c r="AA108" s="22">
        <f>'Activity data'!AA67*UDCPPEF*NtoN2O*kgtoGg</f>
        <v>1.1129017433760566</v>
      </c>
      <c r="AB108" s="22">
        <f>'Activity data'!AB67*UDCPPEF*NtoN2O*kgtoGg</f>
        <v>1.1129017433760566</v>
      </c>
      <c r="AC108" s="22">
        <f>'Activity data'!AC67*UDCPPEF*NtoN2O*kgtoGg</f>
        <v>1.0725170622580433</v>
      </c>
      <c r="AD108" s="22">
        <f>'Activity data'!AD67*UDCPPEF*NtoN2O*kgtoGg</f>
        <v>1.0795326716636573</v>
      </c>
      <c r="AE108" s="22">
        <f>'Activity data'!AE67*UDCPPEF*NtoN2O*kgtoGg</f>
        <v>1.0862475469793051</v>
      </c>
      <c r="AF108" s="22">
        <f>'Activity data'!AF67*UDCPPEF*NtoN2O*kgtoGg</f>
        <v>1.0908641162595043</v>
      </c>
      <c r="AG108" s="22">
        <f>'Activity data'!AG67*UDCPPEF*NtoN2O*kgtoGg</f>
        <v>1.0923119403436279</v>
      </c>
      <c r="AH108" s="22">
        <f>'Activity data'!AH67*UDCPPEF*NtoN2O*kgtoGg</f>
        <v>1.0942706302876248</v>
      </c>
      <c r="AI108" s="22">
        <f>'Activity data'!AI67*UDCPPEF*NtoN2O*kgtoGg</f>
        <v>1.0985609054131558</v>
      </c>
      <c r="AJ108" s="22">
        <f>'Activity data'!AJ67*UDCPPEF*NtoN2O*kgtoGg</f>
        <v>1.1037045101143446</v>
      </c>
      <c r="AK108" s="22">
        <f>'Activity data'!AK67*UDCPPEF*NtoN2O*kgtoGg</f>
        <v>1.105249702620553</v>
      </c>
      <c r="AL108" s="22">
        <f>'Activity data'!AL67*UDCPPEF*NtoN2O*kgtoGg</f>
        <v>1.0713187850060639</v>
      </c>
      <c r="AM108" s="22">
        <f>'Activity data'!AM67*UDCPPEF*NtoN2O*kgtoGg</f>
        <v>1.0801428769448762</v>
      </c>
      <c r="AN108" s="22">
        <f>'Activity data'!AN67*UDCPPEF*NtoN2O*kgtoGg</f>
        <v>1.0882343186562755</v>
      </c>
      <c r="AO108" s="22">
        <f>'Activity data'!AO67*UDCPPEF*NtoN2O*kgtoGg</f>
        <v>1.0965307426510265</v>
      </c>
      <c r="AP108" s="22">
        <f>'Activity data'!AP67*UDCPPEF*NtoN2O*kgtoGg</f>
        <v>1.1065249139358884</v>
      </c>
      <c r="AQ108" s="22">
        <f>'Activity data'!AQ67*UDCPPEF*NtoN2O*kgtoGg</f>
        <v>1.1167066198379636</v>
      </c>
      <c r="AR108" s="22">
        <f>'Activity data'!AR67*UDCPPEF*NtoN2O*kgtoGg</f>
        <v>1.1266207343141128</v>
      </c>
      <c r="AS108" s="22">
        <f>'Activity data'!AS67*UDCPPEF*NtoN2O*kgtoGg</f>
        <v>1.1363365093259761</v>
      </c>
      <c r="AT108" s="22">
        <f>'Activity data'!AT67*UDCPPEF*NtoN2O*kgtoGg</f>
        <v>1.146801464584869</v>
      </c>
      <c r="AU108" s="22">
        <f>'Activity data'!AU67*UDCPPEF*NtoN2O*kgtoGg</f>
        <v>1.156711571508408</v>
      </c>
      <c r="AV108" s="22">
        <f>'Activity data'!AV67*UDCPPEF*NtoN2O*kgtoGg</f>
        <v>1.1669771470605725</v>
      </c>
      <c r="AW108" s="22">
        <f>'Activity data'!AW67*UDCPPEF*NtoN2O*kgtoGg</f>
        <v>1.1787713566301137</v>
      </c>
      <c r="AX108" s="22">
        <f>'Activity data'!AX67*UDCPPEF*NtoN2O*kgtoGg</f>
        <v>1.1916164906506355</v>
      </c>
      <c r="AY108" s="22">
        <f>'Activity data'!AY67*UDCPPEF*NtoN2O*kgtoGg</f>
        <v>1.2049714778557878</v>
      </c>
      <c r="AZ108" s="22">
        <f>'Activity data'!AZ67*UDCPPEF*NtoN2O*kgtoGg</f>
        <v>1.2068369654753692</v>
      </c>
      <c r="BA108" s="22">
        <f>'Activity data'!BA67*UDCPPEF*NtoN2O*kgtoGg</f>
        <v>0.64612873683850436</v>
      </c>
      <c r="BB108" s="22">
        <f>'Activity data'!BB67*UDCPPEF*NtoN2O*kgtoGg</f>
        <v>0.64660396058025826</v>
      </c>
      <c r="BC108" s="22">
        <f>'Activity data'!BC67*UDCPPEF*NtoN2O*kgtoGg</f>
        <v>0.64714161069901732</v>
      </c>
      <c r="BD108" s="22">
        <f>'Activity data'!BD67*UDCPPEF*NtoN2O*kgtoGg</f>
        <v>0.64773931439075094</v>
      </c>
      <c r="BE108" s="22">
        <f>'Activity data'!BE67*UDCPPEF*NtoN2O*kgtoGg</f>
        <v>0.64839488159544112</v>
      </c>
      <c r="BF108" s="22">
        <f>'Activity data'!BF67*UDCPPEF*NtoN2O*kgtoGg</f>
        <v>0.64910628767603584</v>
      </c>
      <c r="BG108" s="22">
        <f>'Activity data'!BG67*UDCPPEF*NtoN2O*kgtoGg</f>
        <v>0.64941256924922242</v>
      </c>
      <c r="BH108" s="22">
        <f>'Activity data'!BH67*UDCPPEF*NtoN2O*kgtoGg</f>
        <v>0.64976802465090699</v>
      </c>
      <c r="BI108" s="22">
        <f>'Activity data'!BI67*UDCPPEF*NtoN2O*kgtoGg</f>
        <v>0.65017093639043266</v>
      </c>
      <c r="BJ108" s="22">
        <f>'Activity data'!BJ67*UDCPPEF*NtoN2O*kgtoGg</f>
        <v>0.65061970417317594</v>
      </c>
      <c r="BK108" s="22">
        <f>'Activity data'!BK67*UDCPPEF*NtoN2O*kgtoGg</f>
        <v>0.65111283495552585</v>
      </c>
      <c r="BL108" s="22">
        <f>'Activity data'!BL67*UDCPPEF*NtoN2O*kgtoGg</f>
        <v>0.65118489834837545</v>
      </c>
      <c r="BM108" s="22">
        <f>'Activity data'!BM67*UDCPPEF*NtoN2O*kgtoGg</f>
        <v>0.65129629063948757</v>
      </c>
      <c r="BN108" s="22">
        <f>'Activity data'!BN67*UDCPPEF*NtoN2O*kgtoGg</f>
        <v>0.65144570826558501</v>
      </c>
      <c r="BO108" s="22">
        <f>'Activity data'!BO67*UDCPPEF*NtoN2O*kgtoGg</f>
        <v>0.65163192707531048</v>
      </c>
      <c r="BP108" s="22">
        <f>'Activity data'!BP67*UDCPPEF*NtoN2O*kgtoGg</f>
        <v>0.6518537962289046</v>
      </c>
    </row>
    <row r="109" spans="1:68" x14ac:dyDescent="0.25">
      <c r="A109" t="str">
        <f t="shared" si="29"/>
        <v>3C Aggregated and non-CO2 emissions on land</v>
      </c>
      <c r="B109" t="str">
        <f t="shared" si="31"/>
        <v>3C4 Direct N2O from managed soils (N2O)</v>
      </c>
      <c r="C109" t="s">
        <v>422</v>
      </c>
      <c r="D109" t="str">
        <f t="shared" si="38"/>
        <v xml:space="preserve"> - Non-lactating</v>
      </c>
      <c r="E109" t="str">
        <f t="shared" si="32"/>
        <v>U&amp;D emissions - Non-lactating</v>
      </c>
      <c r="F109" t="str">
        <f t="shared" si="36"/>
        <v>N2O</v>
      </c>
      <c r="G109" t="str">
        <f t="shared" si="37"/>
        <v>Gg N2O</v>
      </c>
      <c r="H109" s="22">
        <f>'Activity data'!H68*UDCPPEF*NtoN2O*kgtoGg</f>
        <v>0.70829542150320102</v>
      </c>
      <c r="I109" s="22">
        <f>'Activity data'!I68*UDCPPEF*NtoN2O*kgtoGg</f>
        <v>0.80509081056291543</v>
      </c>
      <c r="J109" s="22">
        <f>'Activity data'!J68*UDCPPEF*NtoN2O*kgtoGg</f>
        <v>0.69640564763455981</v>
      </c>
      <c r="K109" s="22">
        <f>'Activity data'!K68*UDCPPEF*NtoN2O*kgtoGg</f>
        <v>0.72881054383034738</v>
      </c>
      <c r="L109" s="22">
        <f>'Activity data'!L68*UDCPPEF*NtoN2O*kgtoGg</f>
        <v>0.64884655215999665</v>
      </c>
      <c r="M109" s="22">
        <f>'Activity data'!M68*UDCPPEF*NtoN2O*kgtoGg</f>
        <v>0.7050309960930653</v>
      </c>
      <c r="N109" s="22">
        <f>'Activity data'!N68*UDCPPEF*NtoN2O*kgtoGg</f>
        <v>0.71692076996170606</v>
      </c>
      <c r="O109" s="22">
        <f>'Activity data'!O68*UDCPPEF*NtoN2O*kgtoGg</f>
        <v>0.69272192269677746</v>
      </c>
      <c r="P109" s="22">
        <f>'Activity data'!P68*UDCPPEF*NtoN2O*kgtoGg</f>
        <v>0.65705260109085506</v>
      </c>
      <c r="Q109" s="22">
        <f>'Activity data'!Q68*UDCPPEF*NtoN2O*kgtoGg</f>
        <v>0.69230262316913072</v>
      </c>
      <c r="R109" s="22">
        <f>'Activity data'!R68*UDCPPEF*NtoN2O*kgtoGg</f>
        <v>0.85801082908584869</v>
      </c>
      <c r="S109" s="22">
        <f>'Activity data'!S68*UDCPPEF*NtoN2O*kgtoGg</f>
        <v>0.84612105521720782</v>
      </c>
      <c r="T109" s="22">
        <f>'Activity data'!T68*UDCPPEF*NtoN2O*kgtoGg</f>
        <v>0.77678893883255762</v>
      </c>
      <c r="U109" s="22">
        <f>'Activity data'!U68*UDCPPEF*NtoN2O*kgtoGg</f>
        <v>0.65705260109085506</v>
      </c>
      <c r="V109" s="22">
        <f>'Activity data'!V68*UDCPPEF*NtoN2O*kgtoGg</f>
        <v>0.6131772305540738</v>
      </c>
      <c r="W109" s="22">
        <f>'Activity data'!W68*UDCPPEF*NtoN2O*kgtoGg</f>
        <v>0.66936167448714268</v>
      </c>
      <c r="X109" s="22">
        <f>'Activity data'!X68*UDCPPEF*NtoN2O*kgtoGg</f>
        <v>0.66115562555628415</v>
      </c>
      <c r="Y109" s="22">
        <f>'Activity data'!Y68*UDCPPEF*NtoN2O*kgtoGg</f>
        <v>0.66894237495949582</v>
      </c>
      <c r="Z109" s="22">
        <f>'Activity data'!Z68*UDCPPEF*NtoN2O*kgtoGg</f>
        <v>0.78256916140857435</v>
      </c>
      <c r="AA109" s="22">
        <f>'Activity data'!AA68*UDCPPEF*NtoN2O*kgtoGg</f>
        <v>0.8145547580767144</v>
      </c>
      <c r="AB109" s="22">
        <f>'Activity data'!AB68*UDCPPEF*NtoN2O*kgtoGg</f>
        <v>0.8145547580767144</v>
      </c>
      <c r="AC109" s="22">
        <f>'Activity data'!AC68*UDCPPEF*NtoN2O*kgtoGg</f>
        <v>0.76657636307450427</v>
      </c>
      <c r="AD109" s="22">
        <f>'Activity data'!AD68*UDCPPEF*NtoN2O*kgtoGg</f>
        <v>0.73516913566022923</v>
      </c>
      <c r="AE109" s="22">
        <f>'Activity data'!AE68*UDCPPEF*NtoN2O*kgtoGg</f>
        <v>0.7397420116939516</v>
      </c>
      <c r="AF109" s="22">
        <f>'Activity data'!AF68*UDCPPEF*NtoN2O*kgtoGg</f>
        <v>0.74288592696073941</v>
      </c>
      <c r="AG109" s="22">
        <f>'Activity data'!AG68*UDCPPEF*NtoN2O*kgtoGg</f>
        <v>0.74387190506816692</v>
      </c>
      <c r="AH109" s="22">
        <f>'Activity data'!AH68*UDCPPEF*NtoN2O*kgtoGg</f>
        <v>0.74520578632155732</v>
      </c>
      <c r="AI109" s="22">
        <f>'Activity data'!AI68*UDCPPEF*NtoN2O*kgtoGg</f>
        <v>0.74812749303648285</v>
      </c>
      <c r="AJ109" s="22">
        <f>'Activity data'!AJ68*UDCPPEF*NtoN2O*kgtoGg</f>
        <v>0.7516303230309872</v>
      </c>
      <c r="AK109" s="22">
        <f>'Activity data'!AK68*UDCPPEF*NtoN2O*kgtoGg</f>
        <v>0.75268260970005785</v>
      </c>
      <c r="AL109" s="22">
        <f>'Activity data'!AL68*UDCPPEF*NtoN2O*kgtoGg</f>
        <v>0.72957542264627473</v>
      </c>
      <c r="AM109" s="22">
        <f>'Activity data'!AM68*UDCPPEF*NtoN2O*kgtoGg</f>
        <v>0.73558468963181722</v>
      </c>
      <c r="AN109" s="22">
        <f>'Activity data'!AN68*UDCPPEF*NtoN2O*kgtoGg</f>
        <v>0.74109501679963463</v>
      </c>
      <c r="AO109" s="22">
        <f>'Activity data'!AO68*UDCPPEF*NtoN2O*kgtoGg</f>
        <v>0.74674493830492128</v>
      </c>
      <c r="AP109" s="22">
        <f>'Activity data'!AP68*UDCPPEF*NtoN2O*kgtoGg</f>
        <v>0.753551037330909</v>
      </c>
      <c r="AQ109" s="22">
        <f>'Activity data'!AQ68*UDCPPEF*NtoN2O*kgtoGg</f>
        <v>0.76048484871434763</v>
      </c>
      <c r="AR109" s="22">
        <f>'Activity data'!AR68*UDCPPEF*NtoN2O*kgtoGg</f>
        <v>0.7672364285058465</v>
      </c>
      <c r="AS109" s="22">
        <f>'Activity data'!AS68*UDCPPEF*NtoN2O*kgtoGg</f>
        <v>0.77385293776511066</v>
      </c>
      <c r="AT109" s="22">
        <f>'Activity data'!AT68*UDCPPEF*NtoN2O*kgtoGg</f>
        <v>0.78097964389855901</v>
      </c>
      <c r="AU109" s="22">
        <f>'Activity data'!AU68*UDCPPEF*NtoN2O*kgtoGg</f>
        <v>0.78772849451931037</v>
      </c>
      <c r="AV109" s="22">
        <f>'Activity data'!AV68*UDCPPEF*NtoN2O*kgtoGg</f>
        <v>0.79471942170830334</v>
      </c>
      <c r="AW109" s="22">
        <f>'Activity data'!AW68*UDCPPEF*NtoN2O*kgtoGg</f>
        <v>0.80275135912217765</v>
      </c>
      <c r="AX109" s="22">
        <f>'Activity data'!AX68*UDCPPEF*NtoN2O*kgtoGg</f>
        <v>0.81149898327768732</v>
      </c>
      <c r="AY109" s="22">
        <f>'Activity data'!AY68*UDCPPEF*NtoN2O*kgtoGg</f>
        <v>0.82059382094039046</v>
      </c>
      <c r="AZ109" s="22">
        <f>'Activity data'!AZ68*UDCPPEF*NtoN2O*kgtoGg</f>
        <v>0.8218642307731554</v>
      </c>
      <c r="BA109" s="22">
        <f>'Activity data'!BA68*UDCPPEF*NtoN2O*kgtoGg</f>
        <v>0.4400180906565429</v>
      </c>
      <c r="BB109" s="22">
        <f>'Activity data'!BB68*UDCPPEF*NtoN2O*kgtoGg</f>
        <v>0.44034172127619964</v>
      </c>
      <c r="BC109" s="22">
        <f>'Activity data'!BC68*UDCPPEF*NtoN2O*kgtoGg</f>
        <v>0.44070786468572382</v>
      </c>
      <c r="BD109" s="22">
        <f>'Activity data'!BD68*UDCPPEF*NtoN2O*kgtoGg</f>
        <v>0.44111490498933553</v>
      </c>
      <c r="BE109" s="22">
        <f>'Activity data'!BE68*UDCPPEF*NtoN2O*kgtoGg</f>
        <v>0.44156135074117797</v>
      </c>
      <c r="BF109" s="22">
        <f>'Activity data'!BF68*UDCPPEF*NtoN2O*kgtoGg</f>
        <v>0.44204582314956586</v>
      </c>
      <c r="BG109" s="22">
        <f>'Activity data'!BG68*UDCPPEF*NtoN2O*kgtoGg</f>
        <v>0.44225440299651131</v>
      </c>
      <c r="BH109" s="22">
        <f>'Activity data'!BH68*UDCPPEF*NtoN2O*kgtoGg</f>
        <v>0.44249647055711561</v>
      </c>
      <c r="BI109" s="22">
        <f>'Activity data'!BI68*UDCPPEF*NtoN2O*kgtoGg</f>
        <v>0.44277085620848994</v>
      </c>
      <c r="BJ109" s="22">
        <f>'Activity data'!BJ68*UDCPPEF*NtoN2O*kgtoGg</f>
        <v>0.44307647013904683</v>
      </c>
      <c r="BK109" s="22">
        <f>'Activity data'!BK68*UDCPPEF*NtoN2O*kgtoGg</f>
        <v>0.4434122955758712</v>
      </c>
      <c r="BL109" s="22">
        <f>'Activity data'!BL68*UDCPPEF*NtoN2O*kgtoGg</f>
        <v>0.44346137123946583</v>
      </c>
      <c r="BM109" s="22">
        <f>'Activity data'!BM68*UDCPPEF*NtoN2O*kgtoGg</f>
        <v>0.4435372301518688</v>
      </c>
      <c r="BN109" s="22">
        <f>'Activity data'!BN68*UDCPPEF*NtoN2O*kgtoGg</f>
        <v>0.44363898457756984</v>
      </c>
      <c r="BO109" s="22">
        <f>'Activity data'!BO68*UDCPPEF*NtoN2O*kgtoGg</f>
        <v>0.44376580086111833</v>
      </c>
      <c r="BP109" s="22">
        <f>'Activity data'!BP68*UDCPPEF*NtoN2O*kgtoGg</f>
        <v>0.44391689527276407</v>
      </c>
    </row>
    <row r="110" spans="1:68" x14ac:dyDescent="0.25">
      <c r="A110" t="str">
        <f t="shared" si="29"/>
        <v>3C Aggregated and non-CO2 emissions on land</v>
      </c>
      <c r="B110" t="str">
        <f t="shared" si="31"/>
        <v>3C4 Direct N2O from managed soils (N2O)</v>
      </c>
      <c r="C110" t="s">
        <v>422</v>
      </c>
      <c r="D110" t="str">
        <f t="shared" si="38"/>
        <v xml:space="preserve"> - Commercial cattle</v>
      </c>
      <c r="E110" t="str">
        <f t="shared" si="32"/>
        <v>U&amp;D emissions - Commercial cattle</v>
      </c>
      <c r="F110" t="str">
        <f t="shared" si="36"/>
        <v>N2O</v>
      </c>
      <c r="G110" t="str">
        <f t="shared" si="37"/>
        <v>Gg N2O</v>
      </c>
      <c r="H110" s="22">
        <f>'Activity data'!H69*UDCPPEF*NtoN2O*kgtoGg</f>
        <v>17.576597352821153</v>
      </c>
      <c r="I110" s="22">
        <f>'Activity data'!I69*UDCPPEF*NtoN2O*kgtoGg</f>
        <v>16.817955407552034</v>
      </c>
      <c r="J110" s="22">
        <f>'Activity data'!J69*UDCPPEF*NtoN2O*kgtoGg</f>
        <v>16.811844812764484</v>
      </c>
      <c r="K110" s="22">
        <f>'Activity data'!K69*UDCPPEF*NtoN2O*kgtoGg</f>
        <v>15.728077971837282</v>
      </c>
      <c r="L110" s="22">
        <f>'Activity data'!L69*UDCPPEF*NtoN2O*kgtoGg</f>
        <v>16.202229187630483</v>
      </c>
      <c r="M110" s="22">
        <f>'Activity data'!M69*UDCPPEF*NtoN2O*kgtoGg</f>
        <v>16.570618125708414</v>
      </c>
      <c r="N110" s="22">
        <f>'Activity data'!N69*UDCPPEF*NtoN2O*kgtoGg</f>
        <v>17.258021364656891</v>
      </c>
      <c r="O110" s="22">
        <f>'Activity data'!O69*UDCPPEF*NtoN2O*kgtoGg</f>
        <v>17.911777657623301</v>
      </c>
      <c r="P110" s="22">
        <f>'Activity data'!P69*UDCPPEF*NtoN2O*kgtoGg</f>
        <v>18.066914572545961</v>
      </c>
      <c r="Q110" s="22">
        <f>'Activity data'!Q69*UDCPPEF*NtoN2O*kgtoGg</f>
        <v>17.774559997457377</v>
      </c>
      <c r="R110" s="22">
        <f>'Activity data'!R69*UDCPPEF*NtoN2O*kgtoGg</f>
        <v>16.567111624058178</v>
      </c>
      <c r="S110" s="22">
        <f>'Activity data'!S69*UDCPPEF*NtoN2O*kgtoGg</f>
        <v>16.653201396191591</v>
      </c>
      <c r="T110" s="22">
        <f>'Activity data'!T69*UDCPPEF*NtoN2O*kgtoGg</f>
        <v>15.520936543469553</v>
      </c>
      <c r="U110" s="22">
        <f>'Activity data'!U69*UDCPPEF*NtoN2O*kgtoGg</f>
        <v>15.926917241886068</v>
      </c>
      <c r="V110" s="22">
        <f>'Activity data'!V69*UDCPPEF*NtoN2O*kgtoGg</f>
        <v>16.073751998489783</v>
      </c>
      <c r="W110" s="22">
        <f>'Activity data'!W69*UDCPPEF*NtoN2O*kgtoGg</f>
        <v>16.210093033243147</v>
      </c>
      <c r="X110" s="22">
        <f>'Activity data'!X69*UDCPPEF*NtoN2O*kgtoGg</f>
        <v>15.840827469752652</v>
      </c>
      <c r="Y110" s="22">
        <f>'Activity data'!Y69*UDCPPEF*NtoN2O*kgtoGg</f>
        <v>16.304923276401787</v>
      </c>
      <c r="Z110" s="22">
        <f>'Activity data'!Z69*UDCPPEF*NtoN2O*kgtoGg</f>
        <v>15.851842654807969</v>
      </c>
      <c r="AA110" s="22">
        <f>'Activity data'!AA69*UDCPPEF*NtoN2O*kgtoGg</f>
        <v>15.585679412511292</v>
      </c>
      <c r="AB110" s="22">
        <f>'Activity data'!AB69*UDCPPEF*NtoN2O*kgtoGg</f>
        <v>15.5366840017385</v>
      </c>
      <c r="AC110" s="22">
        <f>'Activity data'!AC69*UDCPPEF*NtoN2O*kgtoGg</f>
        <v>15.48089495887754</v>
      </c>
      <c r="AD110" s="22">
        <f>'Activity data'!AD69*UDCPPEF*NtoN2O*kgtoGg</f>
        <v>15.48880966403453</v>
      </c>
      <c r="AE110" s="22">
        <f>'Activity data'!AE69*UDCPPEF*NtoN2O*kgtoGg</f>
        <v>15.386143051197998</v>
      </c>
      <c r="AF110" s="22">
        <f>'Activity data'!AF69*UDCPPEF*NtoN2O*kgtoGg</f>
        <v>15.169677377989304</v>
      </c>
      <c r="AG110" s="22">
        <f>'Activity data'!AG69*UDCPPEF*NtoN2O*kgtoGg</f>
        <v>14.804794487947174</v>
      </c>
      <c r="AH110" s="22">
        <f>'Activity data'!AH69*UDCPPEF*NtoN2O*kgtoGg</f>
        <v>14.450776257626368</v>
      </c>
      <c r="AI110" s="22">
        <f>'Activity data'!AI69*UDCPPEF*NtoN2O*kgtoGg</f>
        <v>14.178486550067829</v>
      </c>
      <c r="AJ110" s="22">
        <f>'Activity data'!AJ69*UDCPPEF*NtoN2O*kgtoGg</f>
        <v>13.932198413286633</v>
      </c>
      <c r="AK110" s="22">
        <f>'Activity data'!AK69*UDCPPEF*NtoN2O*kgtoGg</f>
        <v>13.544970185493053</v>
      </c>
      <c r="AL110" s="22">
        <f>'Activity data'!AL69*UDCPPEF*NtoN2O*kgtoGg</f>
        <v>11.879759863511568</v>
      </c>
      <c r="AM110" s="22">
        <f>'Activity data'!AM69*UDCPPEF*NtoN2O*kgtoGg</f>
        <v>11.992993022515481</v>
      </c>
      <c r="AN110" s="22">
        <f>'Activity data'!AN69*UDCPPEF*NtoN2O*kgtoGg</f>
        <v>12.069614819396085</v>
      </c>
      <c r="AO110" s="22">
        <f>'Activity data'!AO69*UDCPPEF*NtoN2O*kgtoGg</f>
        <v>12.143744438353496</v>
      </c>
      <c r="AP110" s="22">
        <f>'Activity data'!AP69*UDCPPEF*NtoN2O*kgtoGg</f>
        <v>12.266336998051067</v>
      </c>
      <c r="AQ110" s="22">
        <f>'Activity data'!AQ69*UDCPPEF*NtoN2O*kgtoGg</f>
        <v>12.384889207902271</v>
      </c>
      <c r="AR110" s="22">
        <f>'Activity data'!AR69*UDCPPEF*NtoN2O*kgtoGg</f>
        <v>12.509351233051413</v>
      </c>
      <c r="AS110" s="22">
        <f>'Activity data'!AS69*UDCPPEF*NtoN2O*kgtoGg</f>
        <v>12.61770643379279</v>
      </c>
      <c r="AT110" s="22">
        <f>'Activity data'!AT69*UDCPPEF*NtoN2O*kgtoGg</f>
        <v>12.7410293454877</v>
      </c>
      <c r="AU110" s="22">
        <f>'Activity data'!AU69*UDCPPEF*NtoN2O*kgtoGg</f>
        <v>12.837533702297911</v>
      </c>
      <c r="AV110" s="22">
        <f>'Activity data'!AV69*UDCPPEF*NtoN2O*kgtoGg</f>
        <v>12.936685976559087</v>
      </c>
      <c r="AW110" s="22">
        <f>'Activity data'!AW69*UDCPPEF*NtoN2O*kgtoGg</f>
        <v>12.98286747930208</v>
      </c>
      <c r="AX110" s="22">
        <f>'Activity data'!AX69*UDCPPEF*NtoN2O*kgtoGg</f>
        <v>13.046191689203091</v>
      </c>
      <c r="AY110" s="22">
        <f>'Activity data'!AY69*UDCPPEF*NtoN2O*kgtoGg</f>
        <v>13.10927150785349</v>
      </c>
      <c r="AZ110" s="22">
        <f>'Activity data'!AZ69*UDCPPEF*NtoN2O*kgtoGg</f>
        <v>12.831250179467366</v>
      </c>
      <c r="BA110" s="22">
        <f>'Activity data'!BA69*UDCPPEF*NtoN2O*kgtoGg</f>
        <v>-3.0267144396295609</v>
      </c>
      <c r="BB110" s="22">
        <f>'Activity data'!BB69*UDCPPEF*NtoN2O*kgtoGg</f>
        <v>-2.956505191498271</v>
      </c>
      <c r="BC110" s="22">
        <f>'Activity data'!BC69*UDCPPEF*NtoN2O*kgtoGg</f>
        <v>-2.8874124907442584</v>
      </c>
      <c r="BD110" s="22">
        <f>'Activity data'!BD69*UDCPPEF*NtoN2O*kgtoGg</f>
        <v>-2.8193778585944393</v>
      </c>
      <c r="BE110" s="22">
        <f>'Activity data'!BE69*UDCPPEF*NtoN2O*kgtoGg</f>
        <v>-2.7523468592631737</v>
      </c>
      <c r="BF110" s="22">
        <f>'Activity data'!BF69*UDCPPEF*NtoN2O*kgtoGg</f>
        <v>-2.6862687253121265</v>
      </c>
      <c r="BG110" s="22">
        <f>'Activity data'!BG69*UDCPPEF*NtoN2O*kgtoGg</f>
        <v>-2.6326943062213264</v>
      </c>
      <c r="BH110" s="22">
        <f>'Activity data'!BH69*UDCPPEF*NtoN2O*kgtoGg</f>
        <v>-2.5799290640232249</v>
      </c>
      <c r="BI110" s="22">
        <f>'Activity data'!BI69*UDCPPEF*NtoN2O*kgtoGg</f>
        <v>-2.5279363308324876</v>
      </c>
      <c r="BJ110" s="22">
        <f>'Activity data'!BJ69*UDCPPEF*NtoN2O*kgtoGg</f>
        <v>-2.4766817193169062</v>
      </c>
      <c r="BK110" s="22">
        <f>'Activity data'!BK69*UDCPPEF*NtoN2O*kgtoGg</f>
        <v>-2.4261329336018767</v>
      </c>
      <c r="BL110" s="22">
        <f>'Activity data'!BL69*UDCPPEF*NtoN2O*kgtoGg</f>
        <v>-2.3746446145368036</v>
      </c>
      <c r="BM110" s="22">
        <f>'Activity data'!BM69*UDCPPEF*NtoN2O*kgtoGg</f>
        <v>-2.3238643255218379</v>
      </c>
      <c r="BN110" s="22">
        <f>'Activity data'!BN69*UDCPPEF*NtoN2O*kgtoGg</f>
        <v>-2.2737642137550615</v>
      </c>
      <c r="BO110" s="22">
        <f>'Activity data'!BO69*UDCPPEF*NtoN2O*kgtoGg</f>
        <v>-2.2243179912934989</v>
      </c>
      <c r="BP110" s="22">
        <f>'Activity data'!BP69*UDCPPEF*NtoN2O*kgtoGg</f>
        <v>-2.1755008181156215</v>
      </c>
    </row>
    <row r="111" spans="1:68" x14ac:dyDescent="0.25">
      <c r="A111" t="str">
        <f t="shared" si="29"/>
        <v>3C Aggregated and non-CO2 emissions on land</v>
      </c>
      <c r="B111" t="str">
        <f t="shared" si="31"/>
        <v>3C4 Direct N2O from managed soils (N2O)</v>
      </c>
      <c r="C111" t="s">
        <v>422</v>
      </c>
      <c r="D111" t="str">
        <f t="shared" si="38"/>
        <v xml:space="preserve"> - Subsistence cattle</v>
      </c>
      <c r="E111" t="str">
        <f t="shared" si="32"/>
        <v>U&amp;D emissions - Subsistence cattle</v>
      </c>
      <c r="F111" t="str">
        <f t="shared" si="36"/>
        <v>N2O</v>
      </c>
      <c r="G111" t="str">
        <f t="shared" si="37"/>
        <v>Gg N2O</v>
      </c>
      <c r="H111" s="22">
        <f>'Activity data'!H70*UDCPPEF*NtoN2O*kgtoGg</f>
        <v>8.3914870256546639</v>
      </c>
      <c r="I111" s="22">
        <f>'Activity data'!I70*UDCPPEF*NtoN2O*kgtoGg</f>
        <v>8.9033860163264062</v>
      </c>
      <c r="J111" s="22">
        <f>'Activity data'!J70*UDCPPEF*NtoN2O*kgtoGg</f>
        <v>9.3238744729496261</v>
      </c>
      <c r="K111" s="22">
        <f>'Activity data'!K70*UDCPPEF*NtoN2O*kgtoGg</f>
        <v>9.2141818320913931</v>
      </c>
      <c r="L111" s="22">
        <f>'Activity data'!L70*UDCPPEF*NtoN2O*kgtoGg</f>
        <v>8.0258448894605596</v>
      </c>
      <c r="M111" s="22">
        <f>'Activity data'!M70*UDCPPEF*NtoN2O*kgtoGg</f>
        <v>7.7516132873149823</v>
      </c>
      <c r="N111" s="22">
        <f>'Activity data'!N70*UDCPPEF*NtoN2O*kgtoGg</f>
        <v>7.970998569031444</v>
      </c>
      <c r="O111" s="22">
        <f>'Activity data'!O70*UDCPPEF*NtoN2O*kgtoGg</f>
        <v>8.3366407052255465</v>
      </c>
      <c r="P111" s="22">
        <f>'Activity data'!P70*UDCPPEF*NtoN2O*kgtoGg</f>
        <v>8.8485396958972924</v>
      </c>
      <c r="Q111" s="22">
        <f>'Activity data'!Q70*UDCPPEF*NtoN2O*kgtoGg</f>
        <v>9.2141818320913931</v>
      </c>
      <c r="R111" s="22">
        <f>'Activity data'!R70*UDCPPEF*NtoN2O*kgtoGg</f>
        <v>8.9947965503749323</v>
      </c>
      <c r="S111" s="22">
        <f>'Activity data'!S70*UDCPPEF*NtoN2O*kgtoGg</f>
        <v>8.7754112686584715</v>
      </c>
      <c r="T111" s="22">
        <f>'Activity data'!T70*UDCPPEF*NtoN2O*kgtoGg</f>
        <v>9.9454661044795998</v>
      </c>
      <c r="U111" s="22">
        <f>'Activity data'!U70*UDCPPEF*NtoN2O*kgtoGg</f>
        <v>10.183133493005768</v>
      </c>
      <c r="V111" s="22">
        <f>'Activity data'!V70*UDCPPEF*NtoN2O*kgtoGg</f>
        <v>10.018594531718419</v>
      </c>
      <c r="W111" s="22">
        <f>'Activity data'!W70*UDCPPEF*NtoN2O*kgtoGg</f>
        <v>9.726080822763139</v>
      </c>
      <c r="X111" s="22">
        <f>'Activity data'!X70*UDCPPEF*NtoN2O*kgtoGg</f>
        <v>10.036876638528124</v>
      </c>
      <c r="Y111" s="22">
        <f>'Activity data'!Y70*UDCPPEF*NtoN2O*kgtoGg</f>
        <v>10.439082988341639</v>
      </c>
      <c r="Z111" s="22">
        <f>'Activity data'!Z70*UDCPPEF*NtoN2O*kgtoGg</f>
        <v>10.274544027054292</v>
      </c>
      <c r="AA111" s="22">
        <f>'Activity data'!AA70*UDCPPEF*NtoN2O*kgtoGg</f>
        <v>10.164851386196062</v>
      </c>
      <c r="AB111" s="22">
        <f>'Activity data'!AB70*UDCPPEF*NtoN2O*kgtoGg</f>
        <v>10.018594531718419</v>
      </c>
      <c r="AC111" s="22">
        <f>'Activity data'!AC70*UDCPPEF*NtoN2O*kgtoGg</f>
        <v>10.091722958957241</v>
      </c>
      <c r="AD111" s="22">
        <f>'Activity data'!AD70*UDCPPEF*NtoN2O*kgtoGg</f>
        <v>9.7393760290961886</v>
      </c>
      <c r="AE111" s="22">
        <f>'Activity data'!AE70*UDCPPEF*NtoN2O*kgtoGg</f>
        <v>9.6748191800072334</v>
      </c>
      <c r="AF111" s="22">
        <f>'Activity data'!AF70*UDCPPEF*NtoN2O*kgtoGg</f>
        <v>9.538705389825779</v>
      </c>
      <c r="AG111" s="22">
        <f>'Activity data'!AG70*UDCPPEF*NtoN2O*kgtoGg</f>
        <v>9.3092667338033213</v>
      </c>
      <c r="AH111" s="22">
        <f>'Activity data'!AH70*UDCPPEF*NtoN2O*kgtoGg</f>
        <v>9.086659784590454</v>
      </c>
      <c r="AI111" s="22">
        <f>'Activity data'!AI70*UDCPPEF*NtoN2O*kgtoGg</f>
        <v>8.9154437965133955</v>
      </c>
      <c r="AJ111" s="22">
        <f>'Activity data'!AJ70*UDCPPEF*NtoN2O*kgtoGg</f>
        <v>8.7605776171460139</v>
      </c>
      <c r="AK111" s="22">
        <f>'Activity data'!AK70*UDCPPEF*NtoN2O*kgtoGg</f>
        <v>8.5170881946941783</v>
      </c>
      <c r="AL111" s="22">
        <f>'Activity data'!AL70*UDCPPEF*NtoN2O*kgtoGg</f>
        <v>7.4700025990225534</v>
      </c>
      <c r="AM111" s="22">
        <f>'Activity data'!AM70*UDCPPEF*NtoN2O*kgtoGg</f>
        <v>7.5412037008775474</v>
      </c>
      <c r="AN111" s="22">
        <f>'Activity data'!AN70*UDCPPEF*NtoN2O*kgtoGg</f>
        <v>7.5893835486535881</v>
      </c>
      <c r="AO111" s="22">
        <f>'Activity data'!AO70*UDCPPEF*NtoN2O*kgtoGg</f>
        <v>7.6359963129382633</v>
      </c>
      <c r="AP111" s="22">
        <f>'Activity data'!AP70*UDCPPEF*NtoN2O*kgtoGg</f>
        <v>7.7130826135102524</v>
      </c>
      <c r="AQ111" s="22">
        <f>'Activity data'!AQ70*UDCPPEF*NtoN2O*kgtoGg</f>
        <v>7.7876283388349208</v>
      </c>
      <c r="AR111" s="22">
        <f>'Activity data'!AR70*UDCPPEF*NtoN2O*kgtoGg</f>
        <v>7.8658901607930707</v>
      </c>
      <c r="AS111" s="22">
        <f>'Activity data'!AS70*UDCPPEF*NtoN2O*kgtoGg</f>
        <v>7.9340239985520107</v>
      </c>
      <c r="AT111" s="22">
        <f>'Activity data'!AT70*UDCPPEF*NtoN2O*kgtoGg</f>
        <v>8.0115695450499249</v>
      </c>
      <c r="AU111" s="22">
        <f>'Activity data'!AU70*UDCPPEF*NtoN2O*kgtoGg</f>
        <v>8.072251562571461</v>
      </c>
      <c r="AV111" s="22">
        <f>'Activity data'!AV70*UDCPPEF*NtoN2O*kgtoGg</f>
        <v>8.1345985927252418</v>
      </c>
      <c r="AW111" s="22">
        <f>'Activity data'!AW70*UDCPPEF*NtoN2O*kgtoGg</f>
        <v>8.1636375589569159</v>
      </c>
      <c r="AX111" s="22">
        <f>'Activity data'!AX70*UDCPPEF*NtoN2O*kgtoGg</f>
        <v>8.2034558732979743</v>
      </c>
      <c r="AY111" s="22">
        <f>'Activity data'!AY70*UDCPPEF*NtoN2O*kgtoGg</f>
        <v>8.2431205142232233</v>
      </c>
      <c r="AZ111" s="22">
        <f>'Activity data'!AZ70*UDCPPEF*NtoN2O*kgtoGg</f>
        <v>8.0683004783395891</v>
      </c>
      <c r="BA111" s="22">
        <f>'Activity data'!BA70*UDCPPEF*NtoN2O*kgtoGg</f>
        <v>-1.9032004847149069</v>
      </c>
      <c r="BB111" s="22">
        <f>'Activity data'!BB70*UDCPPEF*NtoN2O*kgtoGg</f>
        <v>-1.8590528527726964</v>
      </c>
      <c r="BC111" s="22">
        <f>'Activity data'!BC70*UDCPPEF*NtoN2O*kgtoGg</f>
        <v>-1.8156073067233001</v>
      </c>
      <c r="BD111" s="22">
        <f>'Activity data'!BD70*UDCPPEF*NtoN2O*kgtoGg</f>
        <v>-1.7728270750669619</v>
      </c>
      <c r="BE111" s="22">
        <f>'Activity data'!BE70*UDCPPEF*NtoN2O*kgtoGg</f>
        <v>-1.7306779285376968</v>
      </c>
      <c r="BF111" s="22">
        <f>'Activity data'!BF70*UDCPPEF*NtoN2O*kgtoGg</f>
        <v>-1.689127944529268</v>
      </c>
      <c r="BG111" s="22">
        <f>'Activity data'!BG70*UDCPPEF*NtoN2O*kgtoGg</f>
        <v>-1.6554403065258587</v>
      </c>
      <c r="BH111" s="22">
        <f>'Activity data'!BH70*UDCPPEF*NtoN2O*kgtoGg</f>
        <v>-1.6222614796062582</v>
      </c>
      <c r="BI111" s="22">
        <f>'Activity data'!BI70*UDCPPEF*NtoN2O*kgtoGg</f>
        <v>-1.589568406974545</v>
      </c>
      <c r="BJ111" s="22">
        <f>'Activity data'!BJ70*UDCPPEF*NtoN2O*kgtoGg</f>
        <v>-1.5573394658484478</v>
      </c>
      <c r="BK111" s="22">
        <f>'Activity data'!BK70*UDCPPEF*NtoN2O*kgtoGg</f>
        <v>-1.5255543485559264</v>
      </c>
      <c r="BL111" s="22">
        <f>'Activity data'!BL70*UDCPPEF*NtoN2O*kgtoGg</f>
        <v>-1.4931784519339129</v>
      </c>
      <c r="BM111" s="22">
        <f>'Activity data'!BM70*UDCPPEF*NtoN2O*kgtoGg</f>
        <v>-1.4612477651793758</v>
      </c>
      <c r="BN111" s="22">
        <f>'Activity data'!BN70*UDCPPEF*NtoN2O*kgtoGg</f>
        <v>-1.429744774427969</v>
      </c>
      <c r="BO111" s="22">
        <f>'Activity data'!BO70*UDCPPEF*NtoN2O*kgtoGg</f>
        <v>-1.3986529497999127</v>
      </c>
      <c r="BP111" s="22">
        <f>'Activity data'!BP70*UDCPPEF*NtoN2O*kgtoGg</f>
        <v>-1.3679566718696037</v>
      </c>
    </row>
    <row r="112" spans="1:68" x14ac:dyDescent="0.25">
      <c r="A112" t="str">
        <f t="shared" si="29"/>
        <v>3C Aggregated and non-CO2 emissions on land</v>
      </c>
      <c r="B112" t="str">
        <f t="shared" si="31"/>
        <v>3C4 Direct N2O from managed soils (N2O)</v>
      </c>
      <c r="C112" t="s">
        <v>422</v>
      </c>
      <c r="D112" t="str">
        <f t="shared" si="38"/>
        <v xml:space="preserve"> - Feedlot</v>
      </c>
      <c r="E112" t="str">
        <f t="shared" si="32"/>
        <v>U&amp;D emissions - Feedlot</v>
      </c>
      <c r="F112" t="str">
        <f t="shared" si="36"/>
        <v>N2O</v>
      </c>
      <c r="G112" t="str">
        <f t="shared" si="37"/>
        <v>Gg N2O</v>
      </c>
      <c r="H112" s="22">
        <f>'Activity data'!H71*UDCPPEF*NtoN2O*kgtoGg</f>
        <v>0</v>
      </c>
      <c r="I112" s="22">
        <f>'Activity data'!I71*UDCPPEF*NtoN2O*kgtoGg</f>
        <v>0</v>
      </c>
      <c r="J112" s="22">
        <f>'Activity data'!J71*UDCPPEF*NtoN2O*kgtoGg</f>
        <v>0</v>
      </c>
      <c r="K112" s="22">
        <f>'Activity data'!K71*UDCPPEF*NtoN2O*kgtoGg</f>
        <v>0</v>
      </c>
      <c r="L112" s="22">
        <f>'Activity data'!L71*UDCPPEF*NtoN2O*kgtoGg</f>
        <v>0</v>
      </c>
      <c r="M112" s="22">
        <f>'Activity data'!M71*UDCPPEF*NtoN2O*kgtoGg</f>
        <v>0</v>
      </c>
      <c r="N112" s="22">
        <f>'Activity data'!N71*UDCPPEF*NtoN2O*kgtoGg</f>
        <v>0</v>
      </c>
      <c r="O112" s="22">
        <f>'Activity data'!O71*UDCPPEF*NtoN2O*kgtoGg</f>
        <v>0</v>
      </c>
      <c r="P112" s="22">
        <f>'Activity data'!P71*UDCPPEF*NtoN2O*kgtoGg</f>
        <v>0</v>
      </c>
      <c r="Q112" s="22">
        <f>'Activity data'!Q71*UDCPPEF*NtoN2O*kgtoGg</f>
        <v>0</v>
      </c>
      <c r="R112" s="22">
        <f>'Activity data'!R71*UDCPPEF*NtoN2O*kgtoGg</f>
        <v>0</v>
      </c>
      <c r="S112" s="22">
        <f>'Activity data'!S71*UDCPPEF*NtoN2O*kgtoGg</f>
        <v>0</v>
      </c>
      <c r="T112" s="22">
        <f>'Activity data'!T71*UDCPPEF*NtoN2O*kgtoGg</f>
        <v>0</v>
      </c>
      <c r="U112" s="22">
        <f>'Activity data'!U71*UDCPPEF*NtoN2O*kgtoGg</f>
        <v>0</v>
      </c>
      <c r="V112" s="22">
        <f>'Activity data'!V71*UDCPPEF*NtoN2O*kgtoGg</f>
        <v>0</v>
      </c>
      <c r="W112" s="22">
        <f>'Activity data'!W71*UDCPPEF*NtoN2O*kgtoGg</f>
        <v>0</v>
      </c>
      <c r="X112" s="22">
        <f>'Activity data'!X71*UDCPPEF*NtoN2O*kgtoGg</f>
        <v>0</v>
      </c>
      <c r="Y112" s="22">
        <f>'Activity data'!Y71*UDCPPEF*NtoN2O*kgtoGg</f>
        <v>0</v>
      </c>
      <c r="Z112" s="22">
        <f>'Activity data'!Z71*UDCPPEF*NtoN2O*kgtoGg</f>
        <v>0</v>
      </c>
      <c r="AA112" s="22">
        <f>'Activity data'!AA71*UDCPPEF*NtoN2O*kgtoGg</f>
        <v>0</v>
      </c>
      <c r="AB112" s="22">
        <f>'Activity data'!AB71*UDCPPEF*NtoN2O*kgtoGg</f>
        <v>0</v>
      </c>
      <c r="AC112" s="22">
        <f>'Activity data'!AC71*UDCPPEF*NtoN2O*kgtoGg</f>
        <v>0</v>
      </c>
      <c r="AD112" s="22">
        <f>'Activity data'!AD71*UDCPPEF*NtoN2O*kgtoGg</f>
        <v>0</v>
      </c>
      <c r="AE112" s="22">
        <f>'Activity data'!AE71*UDCPPEF*NtoN2O*kgtoGg</f>
        <v>0</v>
      </c>
      <c r="AF112" s="22">
        <f>'Activity data'!AF71*UDCPPEF*NtoN2O*kgtoGg</f>
        <v>0</v>
      </c>
      <c r="AG112" s="22">
        <f>'Activity data'!AG71*UDCPPEF*NtoN2O*kgtoGg</f>
        <v>0</v>
      </c>
      <c r="AH112" s="22">
        <f>'Activity data'!AH71*UDCPPEF*NtoN2O*kgtoGg</f>
        <v>0</v>
      </c>
      <c r="AI112" s="22">
        <f>'Activity data'!AI71*UDCPPEF*NtoN2O*kgtoGg</f>
        <v>0</v>
      </c>
      <c r="AJ112" s="22">
        <f>'Activity data'!AJ71*UDCPPEF*NtoN2O*kgtoGg</f>
        <v>0</v>
      </c>
      <c r="AK112" s="22">
        <f>'Activity data'!AK71*UDCPPEF*NtoN2O*kgtoGg</f>
        <v>0</v>
      </c>
      <c r="AL112" s="22">
        <f>'Activity data'!AL71*UDCPPEF*NtoN2O*kgtoGg</f>
        <v>0</v>
      </c>
      <c r="AM112" s="22">
        <f>'Activity data'!AM71*UDCPPEF*NtoN2O*kgtoGg</f>
        <v>0</v>
      </c>
      <c r="AN112" s="22">
        <f>'Activity data'!AN71*UDCPPEF*NtoN2O*kgtoGg</f>
        <v>0</v>
      </c>
      <c r="AO112" s="22">
        <f>'Activity data'!AO71*UDCPPEF*NtoN2O*kgtoGg</f>
        <v>0</v>
      </c>
      <c r="AP112" s="22">
        <f>'Activity data'!AP71*UDCPPEF*NtoN2O*kgtoGg</f>
        <v>0</v>
      </c>
      <c r="AQ112" s="22">
        <f>'Activity data'!AQ71*UDCPPEF*NtoN2O*kgtoGg</f>
        <v>0</v>
      </c>
      <c r="AR112" s="22">
        <f>'Activity data'!AR71*UDCPPEF*NtoN2O*kgtoGg</f>
        <v>0</v>
      </c>
      <c r="AS112" s="22">
        <f>'Activity data'!AS71*UDCPPEF*NtoN2O*kgtoGg</f>
        <v>0</v>
      </c>
      <c r="AT112" s="22">
        <f>'Activity data'!AT71*UDCPPEF*NtoN2O*kgtoGg</f>
        <v>0</v>
      </c>
      <c r="AU112" s="22">
        <f>'Activity data'!AU71*UDCPPEF*NtoN2O*kgtoGg</f>
        <v>0</v>
      </c>
      <c r="AV112" s="22">
        <f>'Activity data'!AV71*UDCPPEF*NtoN2O*kgtoGg</f>
        <v>0</v>
      </c>
      <c r="AW112" s="22">
        <f>'Activity data'!AW71*UDCPPEF*NtoN2O*kgtoGg</f>
        <v>0</v>
      </c>
      <c r="AX112" s="22">
        <f>'Activity data'!AX71*UDCPPEF*NtoN2O*kgtoGg</f>
        <v>0</v>
      </c>
      <c r="AY112" s="22">
        <f>'Activity data'!AY71*UDCPPEF*NtoN2O*kgtoGg</f>
        <v>0</v>
      </c>
      <c r="AZ112" s="22">
        <f>'Activity data'!AZ71*UDCPPEF*NtoN2O*kgtoGg</f>
        <v>0</v>
      </c>
      <c r="BA112" s="22">
        <f>'Activity data'!BA71*UDCPPEF*NtoN2O*kgtoGg</f>
        <v>0</v>
      </c>
      <c r="BB112" s="22">
        <f>'Activity data'!BB71*UDCPPEF*NtoN2O*kgtoGg</f>
        <v>0</v>
      </c>
      <c r="BC112" s="22">
        <f>'Activity data'!BC71*UDCPPEF*NtoN2O*kgtoGg</f>
        <v>0</v>
      </c>
      <c r="BD112" s="22">
        <f>'Activity data'!BD71*UDCPPEF*NtoN2O*kgtoGg</f>
        <v>0</v>
      </c>
      <c r="BE112" s="22">
        <f>'Activity data'!BE71*UDCPPEF*NtoN2O*kgtoGg</f>
        <v>0</v>
      </c>
      <c r="BF112" s="22">
        <f>'Activity data'!BF71*UDCPPEF*NtoN2O*kgtoGg</f>
        <v>0</v>
      </c>
      <c r="BG112" s="22">
        <f>'Activity data'!BG71*UDCPPEF*NtoN2O*kgtoGg</f>
        <v>0</v>
      </c>
      <c r="BH112" s="22">
        <f>'Activity data'!BH71*UDCPPEF*NtoN2O*kgtoGg</f>
        <v>0</v>
      </c>
      <c r="BI112" s="22">
        <f>'Activity data'!BI71*UDCPPEF*NtoN2O*kgtoGg</f>
        <v>0</v>
      </c>
      <c r="BJ112" s="22">
        <f>'Activity data'!BJ71*UDCPPEF*NtoN2O*kgtoGg</f>
        <v>0</v>
      </c>
      <c r="BK112" s="22">
        <f>'Activity data'!BK71*UDCPPEF*NtoN2O*kgtoGg</f>
        <v>0</v>
      </c>
      <c r="BL112" s="22">
        <f>'Activity data'!BL71*UDCPPEF*NtoN2O*kgtoGg</f>
        <v>0</v>
      </c>
      <c r="BM112" s="22">
        <f>'Activity data'!BM71*UDCPPEF*NtoN2O*kgtoGg</f>
        <v>0</v>
      </c>
      <c r="BN112" s="22">
        <f>'Activity data'!BN71*UDCPPEF*NtoN2O*kgtoGg</f>
        <v>0</v>
      </c>
      <c r="BO112" s="22">
        <f>'Activity data'!BO71*UDCPPEF*NtoN2O*kgtoGg</f>
        <v>0</v>
      </c>
      <c r="BP112" s="22">
        <f>'Activity data'!BP71*UDCPPEF*NtoN2O*kgtoGg</f>
        <v>0</v>
      </c>
    </row>
    <row r="113" spans="1:68" x14ac:dyDescent="0.25">
      <c r="A113" t="str">
        <f t="shared" si="29"/>
        <v>3C Aggregated and non-CO2 emissions on land</v>
      </c>
      <c r="B113" t="str">
        <f t="shared" si="31"/>
        <v>3C4 Direct N2O from managed soils (N2O)</v>
      </c>
      <c r="C113" t="s">
        <v>422</v>
      </c>
      <c r="D113" t="str">
        <f t="shared" si="38"/>
        <v xml:space="preserve"> - Commercial sheep</v>
      </c>
      <c r="E113" t="str">
        <f t="shared" si="32"/>
        <v>U&amp;D emissions - Commercial sheep</v>
      </c>
      <c r="F113" t="str">
        <f t="shared" si="36"/>
        <v>N2O</v>
      </c>
      <c r="G113" t="str">
        <f t="shared" si="37"/>
        <v>Gg N2O</v>
      </c>
      <c r="H113" s="22">
        <f>'Activity data'!H72*UDSOEF*NtoN2O*kgtoGg</f>
        <v>9.1437692552590502</v>
      </c>
      <c r="I113" s="22">
        <f>'Activity data'!I72*UDSOEF*NtoN2O*kgtoGg</f>
        <v>8.7326214199046639</v>
      </c>
      <c r="J113" s="22">
        <f>'Activity data'!J72*UDSOEF*NtoN2O*kgtoGg</f>
        <v>8.371799543625551</v>
      </c>
      <c r="K113" s="22">
        <f>'Activity data'!K72*UDSOEF*NtoN2O*kgtoGg</f>
        <v>7.8294992088628641</v>
      </c>
      <c r="L113" s="22">
        <f>'Activity data'!L72*UDSOEF*NtoN2O*kgtoGg</f>
        <v>7.8847052609393824</v>
      </c>
      <c r="M113" s="22">
        <f>'Activity data'!M72*UDSOEF*NtoN2O*kgtoGg</f>
        <v>7.7718531102857282</v>
      </c>
      <c r="N113" s="22">
        <f>'Activity data'!N72*UDSOEF*NtoN2O*kgtoGg</f>
        <v>7.7977786043548116</v>
      </c>
      <c r="O113" s="22">
        <f>'Activity data'!O72*UDSOEF*NtoN2O*kgtoGg</f>
        <v>7.6281953725617546</v>
      </c>
      <c r="P113" s="22">
        <f>'Activity data'!P72*UDSOEF*NtoN2O*kgtoGg</f>
        <v>7.6492407736295975</v>
      </c>
      <c r="Q113" s="22">
        <f>'Activity data'!Q72*UDSOEF*NtoN2O*kgtoGg</f>
        <v>7.4613571930818949</v>
      </c>
      <c r="R113" s="22">
        <f>'Activity data'!R72*UDSOEF*NtoN2O*kgtoGg</f>
        <v>7.1938670954514805</v>
      </c>
      <c r="S113" s="22">
        <f>'Activity data'!S72*UDSOEF*NtoN2O*kgtoGg</f>
        <v>7.0145236776559479</v>
      </c>
      <c r="T113" s="22">
        <f>'Activity data'!T72*UDSOEF*NtoN2O*kgtoGg</f>
        <v>6.89740144562621</v>
      </c>
      <c r="U113" s="22">
        <f>'Activity data'!U72*UDSOEF*NtoN2O*kgtoGg</f>
        <v>6.9214969048198283</v>
      </c>
      <c r="V113" s="22">
        <f>'Activity data'!V72*UDSOEF*NtoN2O*kgtoGg</f>
        <v>6.7982745565385434</v>
      </c>
      <c r="W113" s="22">
        <f>'Activity data'!W72*UDSOEF*NtoN2O*kgtoGg</f>
        <v>6.7821092484719374</v>
      </c>
      <c r="X113" s="22">
        <f>'Activity data'!X72*UDSOEF*NtoN2O*kgtoGg</f>
        <v>6.6933525570119041</v>
      </c>
      <c r="Y113" s="22">
        <f>'Activity data'!Y72*UDSOEF*NtoN2O*kgtoGg</f>
        <v>6.6869474349477782</v>
      </c>
      <c r="Z113" s="22">
        <f>'Activity data'!Z72*UDSOEF*NtoN2O*kgtoGg</f>
        <v>6.7086028476407771</v>
      </c>
      <c r="AA113" s="22">
        <f>'Activity data'!AA72*UDSOEF*NtoN2O*kgtoGg</f>
        <v>6.6848123942597351</v>
      </c>
      <c r="AB113" s="22">
        <f>'Activity data'!AB72*UDSOEF*NtoN2O*kgtoGg</f>
        <v>6.5554899297269005</v>
      </c>
      <c r="AC113" s="22">
        <f>'Activity data'!AC72*UDSOEF*NtoN2O*kgtoGg</f>
        <v>6.5042489532138905</v>
      </c>
      <c r="AD113" s="22">
        <f>'Activity data'!AD72*UDSOEF*NtoN2O*kgtoGg</f>
        <v>5.8007004881973501</v>
      </c>
      <c r="AE113" s="22">
        <f>'Activity data'!AE72*UDSOEF*NtoN2O*kgtoGg</f>
        <v>5.8038682011318086</v>
      </c>
      <c r="AF113" s="22">
        <f>'Activity data'!AF72*UDSOEF*NtoN2O*kgtoGg</f>
        <v>5.8109613188893956</v>
      </c>
      <c r="AG113" s="22">
        <f>'Activity data'!AG72*UDSOEF*NtoN2O*kgtoGg</f>
        <v>5.8216379502269948</v>
      </c>
      <c r="AH113" s="22">
        <f>'Activity data'!AH72*UDSOEF*NtoN2O*kgtoGg</f>
        <v>5.8360409400543007</v>
      </c>
      <c r="AI113" s="22">
        <f>'Activity data'!AI72*UDSOEF*NtoN2O*kgtoGg</f>
        <v>5.8541855713392259</v>
      </c>
      <c r="AJ113" s="22">
        <f>'Activity data'!AJ72*UDSOEF*NtoN2O*kgtoGg</f>
        <v>5.8743979550370415</v>
      </c>
      <c r="AK113" s="22">
        <f>'Activity data'!AK72*UDSOEF*NtoN2O*kgtoGg</f>
        <v>5.8963035789612563</v>
      </c>
      <c r="AL113" s="22">
        <f>'Activity data'!AL72*UDSOEF*NtoN2O*kgtoGg</f>
        <v>5.9168885563672573</v>
      </c>
      <c r="AM113" s="22">
        <f>'Activity data'!AM72*UDSOEF*NtoN2O*kgtoGg</f>
        <v>5.9254873000442174</v>
      </c>
      <c r="AN113" s="22">
        <f>'Activity data'!AN72*UDSOEF*NtoN2O*kgtoGg</f>
        <v>5.9354650911079814</v>
      </c>
      <c r="AO113" s="22">
        <f>'Activity data'!AO72*UDSOEF*NtoN2O*kgtoGg</f>
        <v>5.9468198836780894</v>
      </c>
      <c r="AP113" s="22">
        <f>'Activity data'!AP72*UDSOEF*NtoN2O*kgtoGg</f>
        <v>5.9596105082694644</v>
      </c>
      <c r="AQ113" s="22">
        <f>'Activity data'!AQ72*UDSOEF*NtoN2O*kgtoGg</f>
        <v>5.9736319121523582</v>
      </c>
      <c r="AR113" s="22">
        <f>'Activity data'!AR72*UDSOEF*NtoN2O*kgtoGg</f>
        <v>5.9822631555642722</v>
      </c>
      <c r="AS113" s="22">
        <f>'Activity data'!AS72*UDSOEF*NtoN2O*kgtoGg</f>
        <v>5.9919044326673472</v>
      </c>
      <c r="AT113" s="22">
        <f>'Activity data'!AT72*UDSOEF*NtoN2O*kgtoGg</f>
        <v>6.0025907311296489</v>
      </c>
      <c r="AU113" s="22">
        <f>'Activity data'!AU72*UDSOEF*NtoN2O*kgtoGg</f>
        <v>6.0141578623127154</v>
      </c>
      <c r="AV113" s="22">
        <f>'Activity data'!AV72*UDSOEF*NtoN2O*kgtoGg</f>
        <v>6.0266471855560004</v>
      </c>
      <c r="AW113" s="22">
        <f>'Activity data'!AW72*UDSOEF*NtoN2O*kgtoGg</f>
        <v>6.0348691397671148</v>
      </c>
      <c r="AX113" s="22">
        <f>'Activity data'!AX72*UDSOEF*NtoN2O*kgtoGg</f>
        <v>6.0439559167579606</v>
      </c>
      <c r="AY113" s="22">
        <f>'Activity data'!AY72*UDSOEF*NtoN2O*kgtoGg</f>
        <v>6.0538257946059888</v>
      </c>
      <c r="AZ113" s="22">
        <f>'Activity data'!AZ72*UDSOEF*NtoN2O*kgtoGg</f>
        <v>6.0633613554169949</v>
      </c>
      <c r="BA113" s="22">
        <f>'Activity data'!BA72*UDSOEF*NtoN2O*kgtoGg</f>
        <v>6.0225939777620399</v>
      </c>
      <c r="BB113" s="22">
        <f>'Activity data'!BB72*UDSOEF*NtoN2O*kgtoGg</f>
        <v>6.0283835899852134</v>
      </c>
      <c r="BC113" s="22">
        <f>'Activity data'!BC72*UDSOEF*NtoN2O*kgtoGg</f>
        <v>6.0347724557516536</v>
      </c>
      <c r="BD113" s="22">
        <f>'Activity data'!BD72*UDSOEF*NtoN2O*kgtoGg</f>
        <v>6.0417379357652736</v>
      </c>
      <c r="BE113" s="22">
        <f>'Activity data'!BE72*UDSOEF*NtoN2O*kgtoGg</f>
        <v>6.0492591406066394</v>
      </c>
      <c r="BF113" s="22">
        <f>'Activity data'!BF72*UDSOEF*NtoN2O*kgtoGg</f>
        <v>6.0573167646829393</v>
      </c>
      <c r="BG113" s="22">
        <f>'Activity data'!BG72*UDSOEF*NtoN2O*kgtoGg</f>
        <v>6.061227136954745</v>
      </c>
      <c r="BH113" s="22">
        <f>'Activity data'!BH72*UDSOEF*NtoN2O*kgtoGg</f>
        <v>6.0656101287298938</v>
      </c>
      <c r="BI113" s="22">
        <f>'Activity data'!BI72*UDSOEF*NtoN2O*kgtoGg</f>
        <v>6.0704492917353319</v>
      </c>
      <c r="BJ113" s="22">
        <f>'Activity data'!BJ72*UDSOEF*NtoN2O*kgtoGg</f>
        <v>6.0757293034784778</v>
      </c>
      <c r="BK113" s="22">
        <f>'Activity data'!BK72*UDSOEF*NtoN2O*kgtoGg</f>
        <v>6.0814358716066721</v>
      </c>
      <c r="BL113" s="22">
        <f>'Activity data'!BL72*UDSOEF*NtoN2O*kgtoGg</f>
        <v>6.082843612547955</v>
      </c>
      <c r="BM113" s="22">
        <f>'Activity data'!BM72*UDSOEF*NtoN2O*kgtoGg</f>
        <v>6.0846299220859592</v>
      </c>
      <c r="BN113" s="22">
        <f>'Activity data'!BN72*UDSOEF*NtoN2O*kgtoGg</f>
        <v>6.0867822620358538</v>
      </c>
      <c r="BO113" s="22">
        <f>'Activity data'!BO72*UDSOEF*NtoN2O*kgtoGg</f>
        <v>6.0892888598488994</v>
      </c>
      <c r="BP113" s="22">
        <f>'Activity data'!BP72*UDSOEF*NtoN2O*kgtoGg</f>
        <v>6.092138649733787</v>
      </c>
    </row>
    <row r="114" spans="1:68" x14ac:dyDescent="0.25">
      <c r="A114" t="str">
        <f t="shared" si="29"/>
        <v>3C Aggregated and non-CO2 emissions on land</v>
      </c>
      <c r="B114" t="str">
        <f t="shared" si="31"/>
        <v>3C4 Direct N2O from managed soils (N2O)</v>
      </c>
      <c r="C114" t="s">
        <v>422</v>
      </c>
      <c r="D114" t="str">
        <f t="shared" si="38"/>
        <v xml:space="preserve"> - Subsistence sheep</v>
      </c>
      <c r="E114" t="str">
        <f t="shared" si="32"/>
        <v>U&amp;D emissions - Subsistence sheep</v>
      </c>
      <c r="F114" t="str">
        <f t="shared" si="36"/>
        <v>N2O</v>
      </c>
      <c r="G114" t="str">
        <f t="shared" si="37"/>
        <v>Gg N2O</v>
      </c>
      <c r="H114" s="22">
        <f>'Activity data'!H73*UDSOEF*NtoN2O*kgtoGg</f>
        <v>0.95332401035894265</v>
      </c>
      <c r="I114" s="22">
        <f>'Activity data'!I73*UDSOEF*NtoN2O*kgtoGg</f>
        <v>0.9104579786045861</v>
      </c>
      <c r="J114" s="22">
        <f>'Activity data'!J73*UDSOEF*NtoN2O*kgtoGg</f>
        <v>0.87283890177565138</v>
      </c>
      <c r="K114" s="22">
        <f>'Activity data'!K73*UDSOEF*NtoN2O*kgtoGg</f>
        <v>0.81629898748837704</v>
      </c>
      <c r="L114" s="22">
        <f>'Activity data'!L73*UDSOEF*NtoN2O*kgtoGg</f>
        <v>0.82205473804293083</v>
      </c>
      <c r="M114" s="22">
        <f>'Activity data'!M73*UDSOEF*NtoN2O*kgtoGg</f>
        <v>0.8102888391192572</v>
      </c>
      <c r="N114" s="22">
        <f>'Activity data'!N73*UDSOEF*NtoN2O*kgtoGg</f>
        <v>0.81299181589902014</v>
      </c>
      <c r="O114" s="22">
        <f>'Activity data'!O73*UDSOEF*NtoN2O*kgtoGg</f>
        <v>0.79531116778668909</v>
      </c>
      <c r="P114" s="22">
        <f>'Activity data'!P73*UDSOEF*NtoN2O*kgtoGg</f>
        <v>0.79750534893732261</v>
      </c>
      <c r="Q114" s="22">
        <f>'Activity data'!Q73*UDSOEF*NtoN2O*kgtoGg</f>
        <v>0.77791671721574718</v>
      </c>
      <c r="R114" s="22">
        <f>'Activity data'!R73*UDSOEF*NtoN2O*kgtoGg</f>
        <v>0.75002835679395885</v>
      </c>
      <c r="S114" s="22">
        <f>'Activity data'!S73*UDSOEF*NtoN2O*kgtoGg</f>
        <v>0.73133011742336396</v>
      </c>
      <c r="T114" s="22">
        <f>'Activity data'!T73*UDSOEF*NtoN2O*kgtoGg</f>
        <v>0.71911902232420011</v>
      </c>
      <c r="U114" s="22">
        <f>'Activity data'!U73*UDSOEF*NtoN2O*kgtoGg</f>
        <v>0.72163120074303855</v>
      </c>
      <c r="V114" s="22">
        <f>'Activity data'!V73*UDSOEF*NtoN2O*kgtoGg</f>
        <v>0.70878411110745976</v>
      </c>
      <c r="W114" s="22">
        <f>'Activity data'!W73*UDSOEF*NtoN2O*kgtoGg</f>
        <v>0.70709872558596065</v>
      </c>
      <c r="X114" s="22">
        <f>'Activity data'!X73*UDSOEF*NtoN2O*kgtoGg</f>
        <v>0.69784500508112535</v>
      </c>
      <c r="Y114" s="22">
        <f>'Activity data'!Y73*UDSOEF*NtoN2O*kgtoGg</f>
        <v>0.69717721081788997</v>
      </c>
      <c r="Z114" s="22">
        <f>'Activity data'!Z73*UDSOEF*NtoN2O*kgtoGg</f>
        <v>0.69943499142216237</v>
      </c>
      <c r="AA114" s="22">
        <f>'Activity data'!AA73*UDSOEF*NtoN2O*kgtoGg</f>
        <v>0.6969546127301447</v>
      </c>
      <c r="AB114" s="22">
        <f>'Activity data'!AB73*UDSOEF*NtoN2O*kgtoGg</f>
        <v>0.68347152855815141</v>
      </c>
      <c r="AC114" s="22">
        <f>'Activity data'!AC73*UDSOEF*NtoN2O*kgtoGg</f>
        <v>0.67812917445226706</v>
      </c>
      <c r="AD114" s="22">
        <f>'Activity data'!AD73*UDSOEF*NtoN2O*kgtoGg</f>
        <v>0.64752945126978523</v>
      </c>
      <c r="AE114" s="22">
        <f>'Activity data'!AE73*UDSOEF*NtoN2O*kgtoGg</f>
        <v>0.64788306156605957</v>
      </c>
      <c r="AF114" s="22">
        <f>'Activity data'!AF73*UDSOEF*NtoN2O*kgtoGg</f>
        <v>0.64867486294568755</v>
      </c>
      <c r="AG114" s="22">
        <f>'Activity data'!AG73*UDSOEF*NtoN2O*kgtoGg</f>
        <v>0.64986669025094335</v>
      </c>
      <c r="AH114" s="22">
        <f>'Activity data'!AH73*UDSOEF*NtoN2O*kgtoGg</f>
        <v>0.65147448919151907</v>
      </c>
      <c r="AI114" s="22">
        <f>'Activity data'!AI73*UDSOEF*NtoN2O*kgtoGg</f>
        <v>0.65349996579789205</v>
      </c>
      <c r="AJ114" s="22">
        <f>'Activity data'!AJ73*UDSOEF*NtoN2O*kgtoGg</f>
        <v>0.65575626462789216</v>
      </c>
      <c r="AK114" s="22">
        <f>'Activity data'!AK73*UDSOEF*NtoN2O*kgtoGg</f>
        <v>0.65820157906331789</v>
      </c>
      <c r="AL114" s="22">
        <f>'Activity data'!AL73*UDSOEF*NtoN2O*kgtoGg</f>
        <v>0.66049947035269418</v>
      </c>
      <c r="AM114" s="22">
        <f>'Activity data'!AM73*UDSOEF*NtoN2O*kgtoGg</f>
        <v>0.66145934404141127</v>
      </c>
      <c r="AN114" s="22">
        <f>'Activity data'!AN73*UDSOEF*NtoN2O*kgtoGg</f>
        <v>0.66257316013751044</v>
      </c>
      <c r="AO114" s="22">
        <f>'Activity data'!AO73*UDSOEF*NtoN2O*kgtoGg</f>
        <v>0.66384069026032311</v>
      </c>
      <c r="AP114" s="22">
        <f>'Activity data'!AP73*UDSOEF*NtoN2O*kgtoGg</f>
        <v>0.66526850163239837</v>
      </c>
      <c r="AQ114" s="22">
        <f>'Activity data'!AQ73*UDSOEF*NtoN2O*kgtoGg</f>
        <v>0.66683370431452194</v>
      </c>
      <c r="AR114" s="22">
        <f>'Activity data'!AR73*UDSOEF*NtoN2O*kgtoGg</f>
        <v>0.66779720593327729</v>
      </c>
      <c r="AS114" s="22">
        <f>'Activity data'!AS73*UDSOEF*NtoN2O*kgtoGg</f>
        <v>0.66887345713514434</v>
      </c>
      <c r="AT114" s="22">
        <f>'Activity data'!AT73*UDSOEF*NtoN2O*kgtoGg</f>
        <v>0.6700663635769577</v>
      </c>
      <c r="AU114" s="22">
        <f>'Activity data'!AU73*UDSOEF*NtoN2O*kgtoGg</f>
        <v>0.67135759695868036</v>
      </c>
      <c r="AV114" s="22">
        <f>'Activity data'!AV73*UDSOEF*NtoN2O*kgtoGg</f>
        <v>0.67275177420381005</v>
      </c>
      <c r="AW114" s="22">
        <f>'Activity data'!AW73*UDSOEF*NtoN2O*kgtoGg</f>
        <v>0.67366958706270863</v>
      </c>
      <c r="AX114" s="22">
        <f>'Activity data'!AX73*UDSOEF*NtoN2O*kgtoGg</f>
        <v>0.67468393967937379</v>
      </c>
      <c r="AY114" s="22">
        <f>'Activity data'!AY73*UDSOEF*NtoN2O*kgtoGg</f>
        <v>0.67578570947425243</v>
      </c>
      <c r="AZ114" s="22">
        <f>'Activity data'!AZ73*UDSOEF*NtoN2O*kgtoGg</f>
        <v>0.6768501596164489</v>
      </c>
      <c r="BA114" s="22">
        <f>'Activity data'!BA73*UDSOEF*NtoN2O*kgtoGg</f>
        <v>0.6722993165352843</v>
      </c>
      <c r="BB114" s="22">
        <f>'Activity data'!BB73*UDSOEF*NtoN2O*kgtoGg</f>
        <v>0.67294560820877491</v>
      </c>
      <c r="BC114" s="22">
        <f>'Activity data'!BC73*UDSOEF*NtoN2O*kgtoGg</f>
        <v>0.67365879427180253</v>
      </c>
      <c r="BD114" s="22">
        <f>'Activity data'!BD73*UDSOEF*NtoN2O*kgtoGg</f>
        <v>0.674436347510455</v>
      </c>
      <c r="BE114" s="22">
        <f>'Activity data'!BE73*UDSOEF*NtoN2O*kgtoGg</f>
        <v>0.67527593604872327</v>
      </c>
      <c r="BF114" s="22">
        <f>'Activity data'!BF73*UDSOEF*NtoN2O*kgtoGg</f>
        <v>0.67617540481241489</v>
      </c>
      <c r="BG114" s="22">
        <f>'Activity data'!BG73*UDSOEF*NtoN2O*kgtoGg</f>
        <v>0.67661191781917585</v>
      </c>
      <c r="BH114" s="22">
        <f>'Activity data'!BH73*UDSOEF*NtoN2O*kgtoGg</f>
        <v>0.67710118911750539</v>
      </c>
      <c r="BI114" s="22">
        <f>'Activity data'!BI73*UDSOEF*NtoN2O*kgtoGg</f>
        <v>0.67764138259446438</v>
      </c>
      <c r="BJ114" s="22">
        <f>'Activity data'!BJ73*UDSOEF*NtoN2O*kgtoGg</f>
        <v>0.6782307878074546</v>
      </c>
      <c r="BK114" s="22">
        <f>'Activity data'!BK73*UDSOEF*NtoN2O*kgtoGg</f>
        <v>0.67886780930790958</v>
      </c>
      <c r="BL114" s="22">
        <f>'Activity data'!BL73*UDSOEF*NtoN2O*kgtoGg</f>
        <v>0.67902495476320335</v>
      </c>
      <c r="BM114" s="22">
        <f>'Activity data'!BM73*UDSOEF*NtoN2O*kgtoGg</f>
        <v>0.67922435965185335</v>
      </c>
      <c r="BN114" s="22">
        <f>'Activity data'!BN73*UDSOEF*NtoN2O*kgtoGg</f>
        <v>0.67946462434221933</v>
      </c>
      <c r="BO114" s="22">
        <f>'Activity data'!BO73*UDSOEF*NtoN2O*kgtoGg</f>
        <v>0.67974443467025414</v>
      </c>
      <c r="BP114" s="22">
        <f>'Activity data'!BP73*UDSOEF*NtoN2O*kgtoGg</f>
        <v>0.68006255536690974</v>
      </c>
    </row>
    <row r="115" spans="1:68" x14ac:dyDescent="0.25">
      <c r="A115" t="str">
        <f t="shared" si="29"/>
        <v>3C Aggregated and non-CO2 emissions on land</v>
      </c>
      <c r="B115" t="str">
        <f t="shared" si="31"/>
        <v>3C4 Direct N2O from managed soils (N2O)</v>
      </c>
      <c r="C115" t="s">
        <v>422</v>
      </c>
      <c r="D115" t="str">
        <f t="shared" si="38"/>
        <v xml:space="preserve"> - Commercial goats</v>
      </c>
      <c r="E115" t="str">
        <f t="shared" si="32"/>
        <v>U&amp;D emissions - Commercial goats</v>
      </c>
      <c r="F115" t="str">
        <f t="shared" si="36"/>
        <v>N2O</v>
      </c>
      <c r="G115" t="str">
        <f t="shared" si="37"/>
        <v>Gg N2O</v>
      </c>
      <c r="H115" s="22">
        <f>'Activity data'!H74*UDSOEF*NtoN2O*kgtoGg</f>
        <v>0.9618222082748461</v>
      </c>
      <c r="I115" s="22">
        <f>'Activity data'!I74*UDSOEF*NtoN2O*kgtoGg</f>
        <v>0.85052266650980479</v>
      </c>
      <c r="J115" s="22">
        <f>'Activity data'!J74*UDSOEF*NtoN2O*kgtoGg</f>
        <v>0.79227243904398814</v>
      </c>
      <c r="K115" s="22">
        <f>'Activity data'!K74*UDSOEF*NtoN2O*kgtoGg</f>
        <v>0.74858476844462585</v>
      </c>
      <c r="L115" s="22">
        <f>'Activity data'!L74*UDSOEF*NtoN2O*kgtoGg</f>
        <v>0.81030227135483579</v>
      </c>
      <c r="M115" s="22">
        <f>'Activity data'!M74*UDSOEF*NtoN2O*kgtoGg</f>
        <v>0.82139755277689641</v>
      </c>
      <c r="N115" s="22">
        <f>'Activity data'!N74*UDSOEF*NtoN2O*kgtoGg</f>
        <v>0.83422647192115318</v>
      </c>
      <c r="O115" s="22">
        <f>'Activity data'!O74*UDSOEF*NtoN2O*kgtoGg</f>
        <v>0.83006574138788081</v>
      </c>
      <c r="P115" s="22">
        <f>'Activity data'!P74*UDSOEF*NtoN2O*kgtoGg</f>
        <v>0.81827700487694188</v>
      </c>
      <c r="Q115" s="22">
        <f>'Activity data'!Q74*UDSOEF*NtoN2O*kgtoGg</f>
        <v>0.80614154082156364</v>
      </c>
      <c r="R115" s="22">
        <f>'Activity data'!R74*UDSOEF*NtoN2O*kgtoGg</f>
        <v>0.81654336715474485</v>
      </c>
      <c r="S115" s="22">
        <f>'Activity data'!S74*UDSOEF*NtoN2O*kgtoGg</f>
        <v>0.84150775035438052</v>
      </c>
      <c r="T115" s="22">
        <f>'Activity data'!T74*UDSOEF*NtoN2O*kgtoGg</f>
        <v>0.76834823847767098</v>
      </c>
      <c r="U115" s="22">
        <f>'Activity data'!U74*UDSOEF*NtoN2O*kgtoGg</f>
        <v>0.7489314959890655</v>
      </c>
      <c r="V115" s="22">
        <f>'Activity data'!V74*UDSOEF*NtoN2O*kgtoGg</f>
        <v>0.75031840616682322</v>
      </c>
      <c r="W115" s="22">
        <f>'Activity data'!W74*UDSOEF*NtoN2O*kgtoGg</f>
        <v>0.74061003492252009</v>
      </c>
      <c r="X115" s="22">
        <f>'Activity data'!X74*UDSOEF*NtoN2O*kgtoGg</f>
        <v>0.75621277442229229</v>
      </c>
      <c r="Y115" s="22">
        <f>'Activity data'!Y74*UDSOEF*NtoN2O*kgtoGg</f>
        <v>0.73367548403373262</v>
      </c>
      <c r="Z115" s="22">
        <f>'Activity data'!Z74*UDSOEF*NtoN2O*kgtoGg</f>
        <v>0.73298202894485398</v>
      </c>
      <c r="AA115" s="22">
        <f>'Activity data'!AA74*UDSOEF*NtoN2O*kgtoGg</f>
        <v>0.72015310980059655</v>
      </c>
      <c r="AB115" s="22">
        <f>'Activity data'!AB74*UDSOEF*NtoN2O*kgtoGg</f>
        <v>0.71148492118961226</v>
      </c>
      <c r="AC115" s="22">
        <f>'Activity data'!AC74*UDSOEF*NtoN2O*kgtoGg</f>
        <v>0.704897097845264</v>
      </c>
      <c r="AD115" s="22">
        <f>'Activity data'!AD74*UDSOEF*NtoN2O*kgtoGg</f>
        <v>0.71703962515202246</v>
      </c>
      <c r="AE115" s="22">
        <f>'Activity data'!AE74*UDSOEF*NtoN2O*kgtoGg</f>
        <v>0.71890983434251277</v>
      </c>
      <c r="AF115" s="22">
        <f>'Activity data'!AF74*UDSOEF*NtoN2O*kgtoGg</f>
        <v>0.72140205375439892</v>
      </c>
      <c r="AG115" s="22">
        <f>'Activity data'!AG74*UDSOEF*NtoN2O*kgtoGg</f>
        <v>0.72446087645337953</v>
      </c>
      <c r="AH115" s="22">
        <f>'Activity data'!AH74*UDSOEF*NtoN2O*kgtoGg</f>
        <v>0.72812305944589495</v>
      </c>
      <c r="AI115" s="22">
        <f>'Activity data'!AI74*UDSOEF*NtoN2O*kgtoGg</f>
        <v>0.73239834824766725</v>
      </c>
      <c r="AJ115" s="22">
        <f>'Activity data'!AJ74*UDSOEF*NtoN2O*kgtoGg</f>
        <v>0.73696942015050981</v>
      </c>
      <c r="AK115" s="22">
        <f>'Activity data'!AK74*UDSOEF*NtoN2O*kgtoGg</f>
        <v>0.74177091257362759</v>
      </c>
      <c r="AL115" s="22">
        <f>'Activity data'!AL74*UDSOEF*NtoN2O*kgtoGg</f>
        <v>0.74623128814082973</v>
      </c>
      <c r="AM115" s="22">
        <f>'Activity data'!AM74*UDSOEF*NtoN2O*kgtoGg</f>
        <v>0.74832155602397465</v>
      </c>
      <c r="AN115" s="22">
        <f>'Activity data'!AN74*UDSOEF*NtoN2O*kgtoGg</f>
        <v>0.75061365062436147</v>
      </c>
      <c r="AO115" s="22">
        <f>'Activity data'!AO74*UDSOEF*NtoN2O*kgtoGg</f>
        <v>0.75311048066791608</v>
      </c>
      <c r="AP115" s="22">
        <f>'Activity data'!AP74*UDSOEF*NtoN2O*kgtoGg</f>
        <v>0.75582597980024202</v>
      </c>
      <c r="AQ115" s="22">
        <f>'Activity data'!AQ74*UDSOEF*NtoN2O*kgtoGg</f>
        <v>0.758723586950243</v>
      </c>
      <c r="AR115" s="22">
        <f>'Activity data'!AR74*UDSOEF*NtoN2O*kgtoGg</f>
        <v>0.76055515001802498</v>
      </c>
      <c r="AS115" s="22">
        <f>'Activity data'!AS74*UDSOEF*NtoN2O*kgtoGg</f>
        <v>0.76253680812015046</v>
      </c>
      <c r="AT115" s="22">
        <f>'Activity data'!AT74*UDSOEF*NtoN2O*kgtoGg</f>
        <v>0.7646767595046402</v>
      </c>
      <c r="AU115" s="22">
        <f>'Activity data'!AU74*UDSOEF*NtoN2O*kgtoGg</f>
        <v>0.76694554342614063</v>
      </c>
      <c r="AV115" s="22">
        <f>'Activity data'!AV74*UDSOEF*NtoN2O*kgtoGg</f>
        <v>0.76935223527037744</v>
      </c>
      <c r="AW115" s="22">
        <f>'Activity data'!AW74*UDSOEF*NtoN2O*kgtoGg</f>
        <v>0.7709284586249765</v>
      </c>
      <c r="AX115" s="22">
        <f>'Activity data'!AX74*UDSOEF*NtoN2O*kgtoGg</f>
        <v>0.77263788414937862</v>
      </c>
      <c r="AY115" s="22">
        <f>'Activity data'!AY74*UDSOEF*NtoN2O*kgtoGg</f>
        <v>0.77446606053450517</v>
      </c>
      <c r="AZ115" s="22">
        <f>'Activity data'!AZ74*UDSOEF*NtoN2O*kgtoGg</f>
        <v>0.7762062172722024</v>
      </c>
      <c r="BA115" s="22">
        <f>'Activity data'!BA74*UDSOEF*NtoN2O*kgtoGg</f>
        <v>0.76859920994116682</v>
      </c>
      <c r="BB115" s="22">
        <f>'Activity data'!BB74*UDSOEF*NtoN2O*kgtoGg</f>
        <v>0.76961702960226952</v>
      </c>
      <c r="BC115" s="22">
        <f>'Activity data'!BC74*UDSOEF*NtoN2O*kgtoGg</f>
        <v>0.77072611211000452</v>
      </c>
      <c r="BD115" s="22">
        <f>'Activity data'!BD74*UDSOEF*NtoN2O*kgtoGg</f>
        <v>0.7719227512042488</v>
      </c>
      <c r="BE115" s="22">
        <f>'Activity data'!BE74*UDSOEF*NtoN2O*kgtoGg</f>
        <v>0.77320352810315807</v>
      </c>
      <c r="BF115" s="22">
        <f>'Activity data'!BF74*UDSOEF*NtoN2O*kgtoGg</f>
        <v>0.77456528397766</v>
      </c>
      <c r="BG115" s="22">
        <f>'Activity data'!BG74*UDSOEF*NtoN2O*kgtoGg</f>
        <v>0.7751498155218971</v>
      </c>
      <c r="BH115" s="22">
        <f>'Activity data'!BH74*UDSOEF*NtoN2O*kgtoGg</f>
        <v>0.77580729833667095</v>
      </c>
      <c r="BI115" s="22">
        <f>'Activity data'!BI74*UDSOEF*NtoN2O*kgtoGg</f>
        <v>0.77653498216260275</v>
      </c>
      <c r="BJ115" s="22">
        <f>'Activity data'!BJ74*UDSOEF*NtoN2O*kgtoGg</f>
        <v>0.77733030541457571</v>
      </c>
      <c r="BK115" s="22">
        <f>'Activity data'!BK74*UDSOEF*NtoN2O*kgtoGg</f>
        <v>0.77819087901746686</v>
      </c>
      <c r="BL115" s="22">
        <f>'Activity data'!BL74*UDSOEF*NtoN2O*kgtoGg</f>
        <v>0.77825802091956864</v>
      </c>
      <c r="BM115" s="22">
        <f>'Activity data'!BM74*UDSOEF*NtoN2O*kgtoGg</f>
        <v>0.77838487427420744</v>
      </c>
      <c r="BN115" s="22">
        <f>'Activity data'!BN74*UDSOEF*NtoN2O*kgtoGg</f>
        <v>0.77856929465999758</v>
      </c>
      <c r="BO115" s="22">
        <f>'Activity data'!BO74*UDSOEF*NtoN2O*kgtoGg</f>
        <v>0.77880926891307201</v>
      </c>
      <c r="BP115" s="22">
        <f>'Activity data'!BP74*UDSOEF*NtoN2O*kgtoGg</f>
        <v>0.77910290495826517</v>
      </c>
    </row>
    <row r="116" spans="1:68" x14ac:dyDescent="0.25">
      <c r="A116" t="str">
        <f t="shared" si="29"/>
        <v>3C Aggregated and non-CO2 emissions on land</v>
      </c>
      <c r="B116" t="str">
        <f t="shared" si="31"/>
        <v>3C4 Direct N2O from managed soils (N2O)</v>
      </c>
      <c r="C116" t="s">
        <v>422</v>
      </c>
      <c r="D116" t="str">
        <f t="shared" si="38"/>
        <v xml:space="preserve"> - Subsistence goats</v>
      </c>
      <c r="E116" t="str">
        <f t="shared" si="32"/>
        <v>U&amp;D emissions - Subsistence goats</v>
      </c>
      <c r="F116" t="str">
        <f t="shared" si="36"/>
        <v>N2O</v>
      </c>
      <c r="G116" t="str">
        <f t="shared" si="37"/>
        <v>Gg N2O</v>
      </c>
      <c r="H116" s="22">
        <f>'Activity data'!H75*UDSOEF*NtoN2O*kgtoGg</f>
        <v>1.619719745746157</v>
      </c>
      <c r="I116" s="22">
        <f>'Activity data'!I75*UDSOEF*NtoN2O*kgtoGg</f>
        <v>1.4322900275109314</v>
      </c>
      <c r="J116" s="22">
        <f>'Activity data'!J75*UDSOEF*NtoN2O*kgtoGg</f>
        <v>1.334195969369131</v>
      </c>
      <c r="K116" s="22">
        <f>'Activity data'!K75*UDSOEF*NtoN2O*kgtoGg</f>
        <v>1.2606254257627807</v>
      </c>
      <c r="L116" s="22">
        <f>'Activity data'!L75*UDSOEF*NtoN2O*kgtoGg</f>
        <v>1.3645584159368309</v>
      </c>
      <c r="M116" s="22">
        <f>'Activity data'!M75*UDSOEF*NtoN2O*kgtoGg</f>
        <v>1.3832429984400314</v>
      </c>
      <c r="N116" s="22">
        <f>'Activity data'!N75*UDSOEF*NtoN2O*kgtoGg</f>
        <v>1.4048470469593564</v>
      </c>
      <c r="O116" s="22">
        <f>'Activity data'!O75*UDSOEF*NtoN2O*kgtoGg</f>
        <v>1.3978403285206562</v>
      </c>
      <c r="P116" s="22">
        <f>'Activity data'!P75*UDSOEF*NtoN2O*kgtoGg</f>
        <v>1.3779879596110063</v>
      </c>
      <c r="Q116" s="22">
        <f>'Activity data'!Q75*UDSOEF*NtoN2O*kgtoGg</f>
        <v>1.3575516974981312</v>
      </c>
      <c r="R116" s="22">
        <f>'Activity data'!R75*UDSOEF*NtoN2O*kgtoGg</f>
        <v>1.3750684935948814</v>
      </c>
      <c r="S116" s="22">
        <f>'Activity data'!S75*UDSOEF*NtoN2O*kgtoGg</f>
        <v>1.4171088042270812</v>
      </c>
      <c r="T116" s="22">
        <f>'Activity data'!T75*UDSOEF*NtoN2O*kgtoGg</f>
        <v>1.2939073383466055</v>
      </c>
      <c r="U116" s="22">
        <f>'Activity data'!U75*UDSOEF*NtoN2O*kgtoGg</f>
        <v>1.2612093189660056</v>
      </c>
      <c r="V116" s="22">
        <f>'Activity data'!V75*UDSOEF*NtoN2O*kgtoGg</f>
        <v>1.2635448917789056</v>
      </c>
      <c r="W116" s="22">
        <f>'Activity data'!W75*UDSOEF*NtoN2O*kgtoGg</f>
        <v>1.2471958820886055</v>
      </c>
      <c r="X116" s="22">
        <f>'Activity data'!X75*UDSOEF*NtoN2O*kgtoGg</f>
        <v>1.2734710762337309</v>
      </c>
      <c r="Y116" s="22">
        <f>'Activity data'!Y75*UDSOEF*NtoN2O*kgtoGg</f>
        <v>1.2355180180241057</v>
      </c>
      <c r="Z116" s="22">
        <f>'Activity data'!Z75*UDSOEF*NtoN2O*kgtoGg</f>
        <v>1.2343502316176553</v>
      </c>
      <c r="AA116" s="22">
        <f>'Activity data'!AA75*UDSOEF*NtoN2O*kgtoGg</f>
        <v>1.2127461830983304</v>
      </c>
      <c r="AB116" s="22">
        <f>'Activity data'!AB75*UDSOEF*NtoN2O*kgtoGg</f>
        <v>1.1981488530177054</v>
      </c>
      <c r="AC116" s="22">
        <f>'Activity data'!AC75*UDSOEF*NtoN2O*kgtoGg</f>
        <v>1.1870548821564302</v>
      </c>
      <c r="AD116" s="22">
        <f>'Activity data'!AD75*UDSOEF*NtoN2O*kgtoGg</f>
        <v>1.1866860146705673</v>
      </c>
      <c r="AE116" s="22">
        <f>'Activity data'!AE75*UDSOEF*NtoN2O*kgtoGg</f>
        <v>1.1897811728919734</v>
      </c>
      <c r="AF116" s="22">
        <f>'Activity data'!AF75*UDSOEF*NtoN2O*kgtoGg</f>
        <v>1.1939057453951301</v>
      </c>
      <c r="AG116" s="22">
        <f>'Activity data'!AG75*UDSOEF*NtoN2O*kgtoGg</f>
        <v>1.1989680348292291</v>
      </c>
      <c r="AH116" s="22">
        <f>'Activity data'!AH75*UDSOEF*NtoN2O*kgtoGg</f>
        <v>1.2050288732932972</v>
      </c>
      <c r="AI116" s="22">
        <f>'Activity data'!AI75*UDSOEF*NtoN2O*kgtoGg</f>
        <v>1.2121043894178982</v>
      </c>
      <c r="AJ116" s="22">
        <f>'Activity data'!AJ75*UDSOEF*NtoN2O*kgtoGg</f>
        <v>1.2196694205666394</v>
      </c>
      <c r="AK116" s="22">
        <f>'Activity data'!AK75*UDSOEF*NtoN2O*kgtoGg</f>
        <v>1.2276157929959912</v>
      </c>
      <c r="AL116" s="22">
        <f>'Activity data'!AL75*UDSOEF*NtoN2O*kgtoGg</f>
        <v>1.2349976239577805</v>
      </c>
      <c r="AM116" s="22">
        <f>'Activity data'!AM75*UDSOEF*NtoN2O*kgtoGg</f>
        <v>1.2384569748455603</v>
      </c>
      <c r="AN116" s="22">
        <f>'Activity data'!AN75*UDSOEF*NtoN2O*kgtoGg</f>
        <v>1.2422503448507454</v>
      </c>
      <c r="AO116" s="22">
        <f>'Activity data'!AO75*UDSOEF*NtoN2O*kgtoGg</f>
        <v>1.2463825478556594</v>
      </c>
      <c r="AP116" s="22">
        <f>'Activity data'!AP75*UDSOEF*NtoN2O*kgtoGg</f>
        <v>1.2508766437607468</v>
      </c>
      <c r="AQ116" s="22">
        <f>'Activity data'!AQ75*UDSOEF*NtoN2O*kgtoGg</f>
        <v>1.2556721247359952</v>
      </c>
      <c r="AR116" s="22">
        <f>'Activity data'!AR75*UDSOEF*NtoN2O*kgtoGg</f>
        <v>1.2587033244093235</v>
      </c>
      <c r="AS116" s="22">
        <f>'Activity data'!AS75*UDSOEF*NtoN2O*kgtoGg</f>
        <v>1.2619829283156658</v>
      </c>
      <c r="AT116" s="22">
        <f>'Activity data'!AT75*UDSOEF*NtoN2O*kgtoGg</f>
        <v>1.2655245043889694</v>
      </c>
      <c r="AU116" s="22">
        <f>'Activity data'!AU75*UDSOEF*NtoN2O*kgtoGg</f>
        <v>1.2692792956940984</v>
      </c>
      <c r="AV116" s="22">
        <f>'Activity data'!AV75*UDSOEF*NtoN2O*kgtoGg</f>
        <v>1.2732623218100843</v>
      </c>
      <c r="AW116" s="22">
        <f>'Activity data'!AW75*UDSOEF*NtoN2O*kgtoGg</f>
        <v>1.2758709394447143</v>
      </c>
      <c r="AX116" s="22">
        <f>'Activity data'!AX75*UDSOEF*NtoN2O*kgtoGg</f>
        <v>1.2787000039646823</v>
      </c>
      <c r="AY116" s="22">
        <f>'Activity data'!AY75*UDSOEF*NtoN2O*kgtoGg</f>
        <v>1.2817255987470082</v>
      </c>
      <c r="AZ116" s="22">
        <f>'Activity data'!AZ75*UDSOEF*NtoN2O*kgtoGg</f>
        <v>1.2846055228007487</v>
      </c>
      <c r="BA116" s="22">
        <f>'Activity data'!BA75*UDSOEF*NtoN2O*kgtoGg</f>
        <v>1.2720160801861611</v>
      </c>
      <c r="BB116" s="22">
        <f>'Activity data'!BB75*UDSOEF*NtoN2O*kgtoGg</f>
        <v>1.2737005510506982</v>
      </c>
      <c r="BC116" s="22">
        <f>'Activity data'!BC75*UDSOEF*NtoN2O*kgtoGg</f>
        <v>1.2755360600726242</v>
      </c>
      <c r="BD116" s="22">
        <f>'Activity data'!BD75*UDSOEF*NtoN2O*kgtoGg</f>
        <v>1.2775164734667195</v>
      </c>
      <c r="BE116" s="22">
        <f>'Activity data'!BE75*UDSOEF*NtoN2O*kgtoGg</f>
        <v>1.2796361332184747</v>
      </c>
      <c r="BF116" s="22">
        <f>'Activity data'!BF75*UDSOEF*NtoN2O*kgtoGg</f>
        <v>1.2818898115299409</v>
      </c>
      <c r="BG116" s="22">
        <f>'Activity data'!BG75*UDSOEF*NtoN2O*kgtoGg</f>
        <v>1.2828571993622844</v>
      </c>
      <c r="BH116" s="22">
        <f>'Activity data'!BH75*UDSOEF*NtoN2O*kgtoGg</f>
        <v>1.283945320065534</v>
      </c>
      <c r="BI116" s="22">
        <f>'Activity data'!BI75*UDSOEF*NtoN2O*kgtoGg</f>
        <v>1.2851496220162837</v>
      </c>
      <c r="BJ116" s="22">
        <f>'Activity data'!BJ75*UDSOEF*NtoN2O*kgtoGg</f>
        <v>1.2864658658431971</v>
      </c>
      <c r="BK116" s="22">
        <f>'Activity data'!BK75*UDSOEF*NtoN2O*kgtoGg</f>
        <v>1.2878900976754739</v>
      </c>
      <c r="BL116" s="22">
        <f>'Activity data'!BL75*UDSOEF*NtoN2O*kgtoGg</f>
        <v>1.2880012161596242</v>
      </c>
      <c r="BM116" s="22">
        <f>'Activity data'!BM75*UDSOEF*NtoN2O*kgtoGg</f>
        <v>1.288211155884827</v>
      </c>
      <c r="BN116" s="22">
        <f>'Activity data'!BN75*UDSOEF*NtoN2O*kgtoGg</f>
        <v>1.2885163678772478</v>
      </c>
      <c r="BO116" s="22">
        <f>'Activity data'!BO75*UDSOEF*NtoN2O*kgtoGg</f>
        <v>1.2889135203915794</v>
      </c>
      <c r="BP116" s="22">
        <f>'Activity data'!BP75*UDSOEF*NtoN2O*kgtoGg</f>
        <v>1.2893994820818555</v>
      </c>
    </row>
    <row r="117" spans="1:68" x14ac:dyDescent="0.25">
      <c r="A117" t="str">
        <f t="shared" si="29"/>
        <v>3C Aggregated and non-CO2 emissions on land</v>
      </c>
      <c r="B117" t="str">
        <f t="shared" si="31"/>
        <v>3C4 Direct N2O from managed soils (N2O)</v>
      </c>
      <c r="C117" t="s">
        <v>422</v>
      </c>
      <c r="D117" t="str">
        <f t="shared" si="38"/>
        <v xml:space="preserve"> - Horses</v>
      </c>
      <c r="E117" t="str">
        <f t="shared" si="32"/>
        <v>U&amp;D emissions - Horses</v>
      </c>
      <c r="F117" t="str">
        <f t="shared" si="36"/>
        <v>N2O</v>
      </c>
      <c r="G117" t="str">
        <f t="shared" si="37"/>
        <v>Gg N2O</v>
      </c>
      <c r="H117" s="22">
        <f>'Activity data'!H76*UDSOEF*NtoN2O*kgtoGg</f>
        <v>0.1427642857142857</v>
      </c>
      <c r="I117" s="22">
        <f>'Activity data'!I76*UDSOEF*NtoN2O*kgtoGg</f>
        <v>0.1427642857142857</v>
      </c>
      <c r="J117" s="22">
        <f>'Activity data'!J76*UDSOEF*NtoN2O*kgtoGg</f>
        <v>0.1427642857142857</v>
      </c>
      <c r="K117" s="22">
        <f>'Activity data'!K76*UDSOEF*NtoN2O*kgtoGg</f>
        <v>0.14586785714285713</v>
      </c>
      <c r="L117" s="22">
        <f>'Activity data'!L76*UDSOEF*NtoN2O*kgtoGg</f>
        <v>0.14897142857142856</v>
      </c>
      <c r="M117" s="22">
        <f>'Activity data'!M76*UDSOEF*NtoN2O*kgtoGg</f>
        <v>0.15207499999999999</v>
      </c>
      <c r="N117" s="22">
        <f>'Activity data'!N76*UDSOEF*NtoN2O*kgtoGg</f>
        <v>0.15517857142857142</v>
      </c>
      <c r="O117" s="22">
        <f>'Activity data'!O76*UDSOEF*NtoN2O*kgtoGg</f>
        <v>0.15828214285714284</v>
      </c>
      <c r="P117" s="22">
        <f>'Activity data'!P76*UDSOEF*NtoN2O*kgtoGg</f>
        <v>0.16138571428571427</v>
      </c>
      <c r="Q117" s="22">
        <f>'Activity data'!Q76*UDSOEF*NtoN2O*kgtoGg</f>
        <v>0.16014428571428571</v>
      </c>
      <c r="R117" s="22">
        <f>'Activity data'!R76*UDSOEF*NtoN2O*kgtoGg</f>
        <v>0.16759285714285713</v>
      </c>
      <c r="S117" s="22">
        <f>'Activity data'!S76*UDSOEF*NtoN2O*kgtoGg</f>
        <v>0.16759285714285713</v>
      </c>
      <c r="T117" s="22">
        <f>'Activity data'!T76*UDSOEF*NtoN2O*kgtoGg</f>
        <v>0.16759285714285713</v>
      </c>
      <c r="U117" s="22">
        <f>'Activity data'!U76*UDSOEF*NtoN2O*kgtoGg</f>
        <v>0.16759285714285713</v>
      </c>
      <c r="V117" s="22">
        <f>'Activity data'!V76*UDSOEF*NtoN2O*kgtoGg</f>
        <v>0.16759285714285713</v>
      </c>
      <c r="W117" s="22">
        <f>'Activity data'!W76*UDSOEF*NtoN2O*kgtoGg</f>
        <v>0.16759285714285713</v>
      </c>
      <c r="X117" s="22">
        <f>'Activity data'!X76*UDSOEF*NtoN2O*kgtoGg</f>
        <v>0.17379999999999998</v>
      </c>
      <c r="Y117" s="22">
        <f>'Activity data'!Y76*UDSOEF*NtoN2O*kgtoGg</f>
        <v>0.18000714285714284</v>
      </c>
      <c r="Z117" s="22">
        <f>'Activity data'!Z76*UDSOEF*NtoN2O*kgtoGg</f>
        <v>0.18497285714285713</v>
      </c>
      <c r="AA117" s="22">
        <f>'Activity data'!AA76*UDSOEF*NtoN2O*kgtoGg</f>
        <v>0.18621428571428569</v>
      </c>
      <c r="AB117" s="22">
        <f>'Activity data'!AB76*UDSOEF*NtoN2O*kgtoGg</f>
        <v>0.18621428571428569</v>
      </c>
      <c r="AC117" s="22">
        <f>'Activity data'!AC76*UDSOEF*NtoN2O*kgtoGg</f>
        <v>0.18931785714285712</v>
      </c>
      <c r="AD117" s="22">
        <f>'Activity data'!AD76*UDSOEF*NtoN2O*kgtoGg</f>
        <v>0.19206426868977441</v>
      </c>
      <c r="AE117" s="22">
        <f>'Activity data'!AE76*UDSOEF*NtoN2O*kgtoGg</f>
        <v>0.19318987586932423</v>
      </c>
      <c r="AF117" s="22">
        <f>'Activity data'!AF76*UDSOEF*NtoN2O*kgtoGg</f>
        <v>0.19346719628053802</v>
      </c>
      <c r="AG117" s="22">
        <f>'Activity data'!AG76*UDSOEF*NtoN2O*kgtoGg</f>
        <v>0.19261999020243609</v>
      </c>
      <c r="AH117" s="22">
        <f>'Activity data'!AH76*UDSOEF*NtoN2O*kgtoGg</f>
        <v>0.19172365370541722</v>
      </c>
      <c r="AI117" s="22">
        <f>'Activity data'!AI76*UDSOEF*NtoN2O*kgtoGg</f>
        <v>0.19129719629214276</v>
      </c>
      <c r="AJ117" s="22">
        <f>'Activity data'!AJ76*UDSOEF*NtoN2O*kgtoGg</f>
        <v>0.19101276819466945</v>
      </c>
      <c r="AK117" s="22">
        <f>'Activity data'!AK76*UDSOEF*NtoN2O*kgtoGg</f>
        <v>0.18964082845337171</v>
      </c>
      <c r="AL117" s="22">
        <f>'Activity data'!AL76*UDSOEF*NtoN2O*kgtoGg</f>
        <v>0.17855585025741377</v>
      </c>
      <c r="AM117" s="22">
        <f>'Activity data'!AM76*UDSOEF*NtoN2O*kgtoGg</f>
        <v>0.1801256476686891</v>
      </c>
      <c r="AN117" s="22">
        <f>'Activity data'!AN76*UDSOEF*NtoN2O*kgtoGg</f>
        <v>0.18141112915440744</v>
      </c>
      <c r="AO117" s="22">
        <f>'Activity data'!AO76*UDSOEF*NtoN2O*kgtoGg</f>
        <v>0.18267062412414889</v>
      </c>
      <c r="AP117" s="22">
        <f>'Activity data'!AP76*UDSOEF*NtoN2O*kgtoGg</f>
        <v>0.18430349788289624</v>
      </c>
      <c r="AQ117" s="22">
        <f>'Activity data'!AQ76*UDSOEF*NtoN2O*kgtoGg</f>
        <v>0.18590650598729025</v>
      </c>
      <c r="AR117" s="22">
        <f>'Activity data'!AR76*UDSOEF*NtoN2O*kgtoGg</f>
        <v>0.18774289622011922</v>
      </c>
      <c r="AS117" s="22">
        <f>'Activity data'!AS76*UDSOEF*NtoN2O*kgtoGg</f>
        <v>0.18945974795510873</v>
      </c>
      <c r="AT117" s="22">
        <f>'Activity data'!AT76*UDSOEF*NtoN2O*kgtoGg</f>
        <v>0.19130656367707333</v>
      </c>
      <c r="AU117" s="22">
        <f>'Activity data'!AU76*UDSOEF*NtoN2O*kgtoGg</f>
        <v>0.1929453281809925</v>
      </c>
      <c r="AV117" s="22">
        <f>'Activity data'!AV76*UDSOEF*NtoN2O*kgtoGg</f>
        <v>0.19461451886655767</v>
      </c>
      <c r="AW117" s="22">
        <f>'Activity data'!AW76*UDSOEF*NtoN2O*kgtoGg</f>
        <v>0.19692637066734073</v>
      </c>
      <c r="AX117" s="22">
        <f>'Activity data'!AX76*UDSOEF*NtoN2O*kgtoGg</f>
        <v>0.19944913652878843</v>
      </c>
      <c r="AY117" s="22">
        <f>'Activity data'!AY76*UDSOEF*NtoN2O*kgtoGg</f>
        <v>0.20204327521693932</v>
      </c>
      <c r="AZ117" s="22">
        <f>'Activity data'!AZ76*UDSOEF*NtoN2O*kgtoGg</f>
        <v>0.20167425591994353</v>
      </c>
      <c r="BA117" s="22">
        <f>'Activity data'!BA76*UDSOEF*NtoN2O*kgtoGg</f>
        <v>5.9672038121461136E-2</v>
      </c>
      <c r="BB117" s="22">
        <f>'Activity data'!BB76*UDSOEF*NtoN2O*kgtoGg</f>
        <v>5.9672038121461136E-2</v>
      </c>
      <c r="BC117" s="22">
        <f>'Activity data'!BC76*UDSOEF*NtoN2O*kgtoGg</f>
        <v>5.9672038121461136E-2</v>
      </c>
      <c r="BD117" s="22">
        <f>'Activity data'!BD76*UDSOEF*NtoN2O*kgtoGg</f>
        <v>5.9672038121461136E-2</v>
      </c>
      <c r="BE117" s="22">
        <f>'Activity data'!BE76*UDSOEF*NtoN2O*kgtoGg</f>
        <v>5.9672038121461136E-2</v>
      </c>
      <c r="BF117" s="22">
        <f>'Activity data'!BF76*UDSOEF*NtoN2O*kgtoGg</f>
        <v>5.9672038121461136E-2</v>
      </c>
      <c r="BG117" s="22">
        <f>'Activity data'!BG76*UDSOEF*NtoN2O*kgtoGg</f>
        <v>5.9672038121461136E-2</v>
      </c>
      <c r="BH117" s="22">
        <f>'Activity data'!BH76*UDSOEF*NtoN2O*kgtoGg</f>
        <v>5.9672038121461136E-2</v>
      </c>
      <c r="BI117" s="22">
        <f>'Activity data'!BI76*UDSOEF*NtoN2O*kgtoGg</f>
        <v>5.9672038121461136E-2</v>
      </c>
      <c r="BJ117" s="22">
        <f>'Activity data'!BJ76*UDSOEF*NtoN2O*kgtoGg</f>
        <v>5.9672038121461136E-2</v>
      </c>
      <c r="BK117" s="22">
        <f>'Activity data'!BK76*UDSOEF*NtoN2O*kgtoGg</f>
        <v>5.9672038121461136E-2</v>
      </c>
      <c r="BL117" s="22">
        <f>'Activity data'!BL76*UDSOEF*NtoN2O*kgtoGg</f>
        <v>5.9672038121461136E-2</v>
      </c>
      <c r="BM117" s="22">
        <f>'Activity data'!BM76*UDSOEF*NtoN2O*kgtoGg</f>
        <v>5.9672038121461136E-2</v>
      </c>
      <c r="BN117" s="22">
        <f>'Activity data'!BN76*UDSOEF*NtoN2O*kgtoGg</f>
        <v>5.9672038121461136E-2</v>
      </c>
      <c r="BO117" s="22">
        <f>'Activity data'!BO76*UDSOEF*NtoN2O*kgtoGg</f>
        <v>5.9672038121461136E-2</v>
      </c>
      <c r="BP117" s="22">
        <f>'Activity data'!BP76*UDSOEF*NtoN2O*kgtoGg</f>
        <v>5.9672038121461136E-2</v>
      </c>
    </row>
    <row r="118" spans="1:68" x14ac:dyDescent="0.25">
      <c r="A118" t="str">
        <f t="shared" si="29"/>
        <v>3C Aggregated and non-CO2 emissions on land</v>
      </c>
      <c r="B118" t="str">
        <f t="shared" si="31"/>
        <v>3C4 Direct N2O from managed soils (N2O)</v>
      </c>
      <c r="C118" t="s">
        <v>422</v>
      </c>
      <c r="D118" t="str">
        <f t="shared" si="38"/>
        <v xml:space="preserve"> - Mules &amp; Asses</v>
      </c>
      <c r="E118" t="str">
        <f t="shared" si="32"/>
        <v>U&amp;D emissions - Mules &amp; Asses</v>
      </c>
      <c r="F118" t="str">
        <f t="shared" si="36"/>
        <v>N2O</v>
      </c>
      <c r="G118" t="str">
        <f t="shared" si="37"/>
        <v>Gg N2O</v>
      </c>
      <c r="H118" s="22">
        <f>'Activity data'!H77*UDSOEF*NtoN2O*kgtoGg</f>
        <v>4.6463999999999998E-2</v>
      </c>
      <c r="I118" s="22">
        <f>'Activity data'!I77*UDSOEF*NtoN2O*kgtoGg</f>
        <v>4.6463999999999998E-2</v>
      </c>
      <c r="J118" s="22">
        <f>'Activity data'!J77*UDSOEF*NtoN2O*kgtoGg</f>
        <v>4.6463999999999998E-2</v>
      </c>
      <c r="K118" s="22">
        <f>'Activity data'!K77*UDSOEF*NtoN2O*kgtoGg</f>
        <v>4.6463999999999998E-2</v>
      </c>
      <c r="L118" s="22">
        <f>'Activity data'!L77*UDSOEF*NtoN2O*kgtoGg</f>
        <v>4.6463999999999998E-2</v>
      </c>
      <c r="M118" s="22">
        <f>'Activity data'!M77*UDSOEF*NtoN2O*kgtoGg</f>
        <v>4.6463999999999998E-2</v>
      </c>
      <c r="N118" s="22">
        <f>'Activity data'!N77*UDSOEF*NtoN2O*kgtoGg</f>
        <v>4.6463999999999998E-2</v>
      </c>
      <c r="O118" s="22">
        <f>'Activity data'!O77*UDSOEF*NtoN2O*kgtoGg</f>
        <v>4.6463999999999998E-2</v>
      </c>
      <c r="P118" s="22">
        <f>'Activity data'!P77*UDSOEF*NtoN2O*kgtoGg</f>
        <v>4.6463999999999998E-2</v>
      </c>
      <c r="Q118" s="22">
        <f>'Activity data'!Q77*UDSOEF*NtoN2O*kgtoGg</f>
        <v>4.6463999999999998E-2</v>
      </c>
      <c r="R118" s="22">
        <f>'Activity data'!R77*UDSOEF*NtoN2O*kgtoGg</f>
        <v>3.4018285714285709E-2</v>
      </c>
      <c r="S118" s="22">
        <f>'Activity data'!S77*UDSOEF*NtoN2O*kgtoGg</f>
        <v>3.4018285714285709E-2</v>
      </c>
      <c r="T118" s="22">
        <f>'Activity data'!T77*UDSOEF*NtoN2O*kgtoGg</f>
        <v>3.4018285714285709E-2</v>
      </c>
      <c r="U118" s="22">
        <f>'Activity data'!U77*UDSOEF*NtoN2O*kgtoGg</f>
        <v>3.4018285714285709E-2</v>
      </c>
      <c r="V118" s="22">
        <f>'Activity data'!V77*UDSOEF*NtoN2O*kgtoGg</f>
        <v>3.4018285714285709E-2</v>
      </c>
      <c r="W118" s="22">
        <f>'Activity data'!W77*UDSOEF*NtoN2O*kgtoGg</f>
        <v>3.4018285714285709E-2</v>
      </c>
      <c r="X118" s="22">
        <f>'Activity data'!X77*UDSOEF*NtoN2O*kgtoGg</f>
        <v>3.4028657142857147E-2</v>
      </c>
      <c r="Y118" s="22">
        <f>'Activity data'!Y77*UDSOEF*NtoN2O*kgtoGg</f>
        <v>3.414274285714286E-2</v>
      </c>
      <c r="Z118" s="22">
        <f>'Activity data'!Z77*UDSOEF*NtoN2O*kgtoGg</f>
        <v>3.4163485714285714E-2</v>
      </c>
      <c r="AA118" s="22">
        <f>'Activity data'!AA77*UDSOEF*NtoN2O*kgtoGg</f>
        <v>3.4184228571428575E-2</v>
      </c>
      <c r="AB118" s="22">
        <f>'Activity data'!AB77*UDSOEF*NtoN2O*kgtoGg</f>
        <v>3.4495371428571432E-2</v>
      </c>
      <c r="AC118" s="22">
        <f>'Activity data'!AC77*UDSOEF*NtoN2O*kgtoGg</f>
        <v>3.4640571428571423E-2</v>
      </c>
      <c r="AD118" s="22">
        <f>'Activity data'!AD77*UDSOEF*NtoN2O*kgtoGg</f>
        <v>3.4640571428571423E-2</v>
      </c>
      <c r="AE118" s="22">
        <f>'Activity data'!AE77*UDSOEF*NtoN2O*kgtoGg</f>
        <v>3.4640571428571423E-2</v>
      </c>
      <c r="AF118" s="22">
        <f>'Activity data'!AF77*UDSOEF*NtoN2O*kgtoGg</f>
        <v>3.4640571428571423E-2</v>
      </c>
      <c r="AG118" s="22">
        <f>'Activity data'!AG77*UDSOEF*NtoN2O*kgtoGg</f>
        <v>3.4640571428571423E-2</v>
      </c>
      <c r="AH118" s="22">
        <f>'Activity data'!AH77*UDSOEF*NtoN2O*kgtoGg</f>
        <v>3.4640571428571423E-2</v>
      </c>
      <c r="AI118" s="22">
        <f>'Activity data'!AI77*UDSOEF*NtoN2O*kgtoGg</f>
        <v>3.4640571428571423E-2</v>
      </c>
      <c r="AJ118" s="22">
        <f>'Activity data'!AJ77*UDSOEF*NtoN2O*kgtoGg</f>
        <v>3.4640571428571423E-2</v>
      </c>
      <c r="AK118" s="22">
        <f>'Activity data'!AK77*UDSOEF*NtoN2O*kgtoGg</f>
        <v>3.4640571428571423E-2</v>
      </c>
      <c r="AL118" s="22">
        <f>'Activity data'!AL77*UDSOEF*NtoN2O*kgtoGg</f>
        <v>3.4640571428571423E-2</v>
      </c>
      <c r="AM118" s="22">
        <f>'Activity data'!AM77*UDSOEF*NtoN2O*kgtoGg</f>
        <v>3.4640571428571423E-2</v>
      </c>
      <c r="AN118" s="22">
        <f>'Activity data'!AN77*UDSOEF*NtoN2O*kgtoGg</f>
        <v>3.4640571428571423E-2</v>
      </c>
      <c r="AO118" s="22">
        <f>'Activity data'!AO77*UDSOEF*NtoN2O*kgtoGg</f>
        <v>3.4640571428571423E-2</v>
      </c>
      <c r="AP118" s="22">
        <f>'Activity data'!AP77*UDSOEF*NtoN2O*kgtoGg</f>
        <v>3.4640571428571423E-2</v>
      </c>
      <c r="AQ118" s="22">
        <f>'Activity data'!AQ77*UDSOEF*NtoN2O*kgtoGg</f>
        <v>3.4640571428571423E-2</v>
      </c>
      <c r="AR118" s="22">
        <f>'Activity data'!AR77*UDSOEF*NtoN2O*kgtoGg</f>
        <v>3.4640571428571423E-2</v>
      </c>
      <c r="AS118" s="22">
        <f>'Activity data'!AS77*UDSOEF*NtoN2O*kgtoGg</f>
        <v>3.4640571428571423E-2</v>
      </c>
      <c r="AT118" s="22">
        <f>'Activity data'!AT77*UDSOEF*NtoN2O*kgtoGg</f>
        <v>3.4640571428571423E-2</v>
      </c>
      <c r="AU118" s="22">
        <f>'Activity data'!AU77*UDSOEF*NtoN2O*kgtoGg</f>
        <v>3.4640571428571423E-2</v>
      </c>
      <c r="AV118" s="22">
        <f>'Activity data'!AV77*UDSOEF*NtoN2O*kgtoGg</f>
        <v>3.4640571428571423E-2</v>
      </c>
      <c r="AW118" s="22">
        <f>'Activity data'!AW77*UDSOEF*NtoN2O*kgtoGg</f>
        <v>3.4640571428571423E-2</v>
      </c>
      <c r="AX118" s="22">
        <f>'Activity data'!AX77*UDSOEF*NtoN2O*kgtoGg</f>
        <v>3.4640571428571423E-2</v>
      </c>
      <c r="AY118" s="22">
        <f>'Activity data'!AY77*UDSOEF*NtoN2O*kgtoGg</f>
        <v>3.4640571428571423E-2</v>
      </c>
      <c r="AZ118" s="22">
        <f>'Activity data'!AZ77*UDSOEF*NtoN2O*kgtoGg</f>
        <v>3.4640571428571423E-2</v>
      </c>
      <c r="BA118" s="22">
        <f>'Activity data'!BA77*UDSOEF*NtoN2O*kgtoGg</f>
        <v>3.4640571428571423E-2</v>
      </c>
      <c r="BB118" s="22">
        <f>'Activity data'!BB77*UDSOEF*NtoN2O*kgtoGg</f>
        <v>3.4640571428571423E-2</v>
      </c>
      <c r="BC118" s="22">
        <f>'Activity data'!BC77*UDSOEF*NtoN2O*kgtoGg</f>
        <v>3.4640571428571423E-2</v>
      </c>
      <c r="BD118" s="22">
        <f>'Activity data'!BD77*UDSOEF*NtoN2O*kgtoGg</f>
        <v>3.4640571428571423E-2</v>
      </c>
      <c r="BE118" s="22">
        <f>'Activity data'!BE77*UDSOEF*NtoN2O*kgtoGg</f>
        <v>3.4640571428571423E-2</v>
      </c>
      <c r="BF118" s="22">
        <f>'Activity data'!BF77*UDSOEF*NtoN2O*kgtoGg</f>
        <v>3.4640571428571423E-2</v>
      </c>
      <c r="BG118" s="22">
        <f>'Activity data'!BG77*UDSOEF*NtoN2O*kgtoGg</f>
        <v>3.4640571428571423E-2</v>
      </c>
      <c r="BH118" s="22">
        <f>'Activity data'!BH77*UDSOEF*NtoN2O*kgtoGg</f>
        <v>3.4640571428571423E-2</v>
      </c>
      <c r="BI118" s="22">
        <f>'Activity data'!BI77*UDSOEF*NtoN2O*kgtoGg</f>
        <v>3.4640571428571423E-2</v>
      </c>
      <c r="BJ118" s="22">
        <f>'Activity data'!BJ77*UDSOEF*NtoN2O*kgtoGg</f>
        <v>3.4640571428571423E-2</v>
      </c>
      <c r="BK118" s="22">
        <f>'Activity data'!BK77*UDSOEF*NtoN2O*kgtoGg</f>
        <v>3.4640571428571423E-2</v>
      </c>
      <c r="BL118" s="22">
        <f>'Activity data'!BL77*UDSOEF*NtoN2O*kgtoGg</f>
        <v>3.4640571428571423E-2</v>
      </c>
      <c r="BM118" s="22">
        <f>'Activity data'!BM77*UDSOEF*NtoN2O*kgtoGg</f>
        <v>3.4640571428571423E-2</v>
      </c>
      <c r="BN118" s="22">
        <f>'Activity data'!BN77*UDSOEF*NtoN2O*kgtoGg</f>
        <v>3.4640571428571423E-2</v>
      </c>
      <c r="BO118" s="22">
        <f>'Activity data'!BO77*UDSOEF*NtoN2O*kgtoGg</f>
        <v>3.4640571428571423E-2</v>
      </c>
      <c r="BP118" s="22">
        <f>'Activity data'!BP77*UDSOEF*NtoN2O*kgtoGg</f>
        <v>3.4640571428571423E-2</v>
      </c>
    </row>
    <row r="119" spans="1:68" x14ac:dyDescent="0.25">
      <c r="A119" t="str">
        <f t="shared" si="29"/>
        <v>3C Aggregated and non-CO2 emissions on land</v>
      </c>
      <c r="B119" t="str">
        <f t="shared" si="31"/>
        <v>3C4 Direct N2O from managed soils (N2O)</v>
      </c>
      <c r="C119" t="s">
        <v>422</v>
      </c>
      <c r="D119" t="str">
        <f t="shared" si="38"/>
        <v xml:space="preserve"> - Commercial swine</v>
      </c>
      <c r="E119" t="str">
        <f t="shared" si="32"/>
        <v>U&amp;D emissions - Commercial swine</v>
      </c>
      <c r="F119" t="str">
        <f t="shared" si="36"/>
        <v>N2O</v>
      </c>
      <c r="G119" t="str">
        <f t="shared" si="37"/>
        <v>Gg N2O</v>
      </c>
      <c r="H119" s="22">
        <f>'Activity data'!H78*UDCPPEF*NtoN2O*kgtoGg</f>
        <v>0</v>
      </c>
      <c r="I119" s="22">
        <f>'Activity data'!I78*UDCPPEF*NtoN2O*kgtoGg</f>
        <v>0</v>
      </c>
      <c r="J119" s="22">
        <f>'Activity data'!J78*UDCPPEF*NtoN2O*kgtoGg</f>
        <v>0</v>
      </c>
      <c r="K119" s="22">
        <f>'Activity data'!K78*UDCPPEF*NtoN2O*kgtoGg</f>
        <v>0</v>
      </c>
      <c r="L119" s="22">
        <f>'Activity data'!L78*UDCPPEF*NtoN2O*kgtoGg</f>
        <v>0</v>
      </c>
      <c r="M119" s="22">
        <f>'Activity data'!M78*UDCPPEF*NtoN2O*kgtoGg</f>
        <v>0</v>
      </c>
      <c r="N119" s="22">
        <f>'Activity data'!N78*UDCPPEF*NtoN2O*kgtoGg</f>
        <v>0</v>
      </c>
      <c r="O119" s="22">
        <f>'Activity data'!O78*UDCPPEF*NtoN2O*kgtoGg</f>
        <v>0</v>
      </c>
      <c r="P119" s="22">
        <f>'Activity data'!P78*UDCPPEF*NtoN2O*kgtoGg</f>
        <v>0</v>
      </c>
      <c r="Q119" s="22">
        <f>'Activity data'!Q78*UDCPPEF*NtoN2O*kgtoGg</f>
        <v>0</v>
      </c>
      <c r="R119" s="22">
        <f>'Activity data'!R78*UDCPPEF*NtoN2O*kgtoGg</f>
        <v>0</v>
      </c>
      <c r="S119" s="22">
        <f>'Activity data'!S78*UDCPPEF*NtoN2O*kgtoGg</f>
        <v>0</v>
      </c>
      <c r="T119" s="22">
        <f>'Activity data'!T78*UDCPPEF*NtoN2O*kgtoGg</f>
        <v>0</v>
      </c>
      <c r="U119" s="22">
        <f>'Activity data'!U78*UDCPPEF*NtoN2O*kgtoGg</f>
        <v>0</v>
      </c>
      <c r="V119" s="22">
        <f>'Activity data'!V78*UDCPPEF*NtoN2O*kgtoGg</f>
        <v>0</v>
      </c>
      <c r="W119" s="22">
        <f>'Activity data'!W78*UDCPPEF*NtoN2O*kgtoGg</f>
        <v>0</v>
      </c>
      <c r="X119" s="22">
        <f>'Activity data'!X78*UDCPPEF*NtoN2O*kgtoGg</f>
        <v>0</v>
      </c>
      <c r="Y119" s="22">
        <f>'Activity data'!Y78*UDCPPEF*NtoN2O*kgtoGg</f>
        <v>0</v>
      </c>
      <c r="Z119" s="22">
        <f>'Activity data'!Z78*UDCPPEF*NtoN2O*kgtoGg</f>
        <v>0</v>
      </c>
      <c r="AA119" s="22">
        <f>'Activity data'!AA78*UDCPPEF*NtoN2O*kgtoGg</f>
        <v>0</v>
      </c>
      <c r="AB119" s="22">
        <f>'Activity data'!AB78*UDCPPEF*NtoN2O*kgtoGg</f>
        <v>0</v>
      </c>
      <c r="AC119" s="22">
        <f>'Activity data'!AC78*UDCPPEF*NtoN2O*kgtoGg</f>
        <v>0</v>
      </c>
      <c r="AD119" s="22">
        <f>'Activity data'!AD78*UDCPPEF*NtoN2O*kgtoGg</f>
        <v>0</v>
      </c>
      <c r="AE119" s="22">
        <f>'Activity data'!AE78*UDCPPEF*NtoN2O*kgtoGg</f>
        <v>0</v>
      </c>
      <c r="AF119" s="22">
        <f>'Activity data'!AF78*UDCPPEF*NtoN2O*kgtoGg</f>
        <v>0</v>
      </c>
      <c r="AG119" s="22">
        <f>'Activity data'!AG78*UDCPPEF*NtoN2O*kgtoGg</f>
        <v>0</v>
      </c>
      <c r="AH119" s="22">
        <f>'Activity data'!AH78*UDCPPEF*NtoN2O*kgtoGg</f>
        <v>0</v>
      </c>
      <c r="AI119" s="22">
        <f>'Activity data'!AI78*UDCPPEF*NtoN2O*kgtoGg</f>
        <v>0</v>
      </c>
      <c r="AJ119" s="22">
        <f>'Activity data'!AJ78*UDCPPEF*NtoN2O*kgtoGg</f>
        <v>0</v>
      </c>
      <c r="AK119" s="22">
        <f>'Activity data'!AK78*UDCPPEF*NtoN2O*kgtoGg</f>
        <v>0</v>
      </c>
      <c r="AL119" s="22">
        <f>'Activity data'!AL78*UDCPPEF*NtoN2O*kgtoGg</f>
        <v>0</v>
      </c>
      <c r="AM119" s="22">
        <f>'Activity data'!AM78*UDCPPEF*NtoN2O*kgtoGg</f>
        <v>0</v>
      </c>
      <c r="AN119" s="22">
        <f>'Activity data'!AN78*UDCPPEF*NtoN2O*kgtoGg</f>
        <v>0</v>
      </c>
      <c r="AO119" s="22">
        <f>'Activity data'!AO78*UDCPPEF*NtoN2O*kgtoGg</f>
        <v>0</v>
      </c>
      <c r="AP119" s="22">
        <f>'Activity data'!AP78*UDCPPEF*NtoN2O*kgtoGg</f>
        <v>0</v>
      </c>
      <c r="AQ119" s="22">
        <f>'Activity data'!AQ78*UDCPPEF*NtoN2O*kgtoGg</f>
        <v>0</v>
      </c>
      <c r="AR119" s="22">
        <f>'Activity data'!AR78*UDCPPEF*NtoN2O*kgtoGg</f>
        <v>0</v>
      </c>
      <c r="AS119" s="22">
        <f>'Activity data'!AS78*UDCPPEF*NtoN2O*kgtoGg</f>
        <v>0</v>
      </c>
      <c r="AT119" s="22">
        <f>'Activity data'!AT78*UDCPPEF*NtoN2O*kgtoGg</f>
        <v>0</v>
      </c>
      <c r="AU119" s="22">
        <f>'Activity data'!AU78*UDCPPEF*NtoN2O*kgtoGg</f>
        <v>0</v>
      </c>
      <c r="AV119" s="22">
        <f>'Activity data'!AV78*UDCPPEF*NtoN2O*kgtoGg</f>
        <v>0</v>
      </c>
      <c r="AW119" s="22">
        <f>'Activity data'!AW78*UDCPPEF*NtoN2O*kgtoGg</f>
        <v>0</v>
      </c>
      <c r="AX119" s="22">
        <f>'Activity data'!AX78*UDCPPEF*NtoN2O*kgtoGg</f>
        <v>0</v>
      </c>
      <c r="AY119" s="22">
        <f>'Activity data'!AY78*UDCPPEF*NtoN2O*kgtoGg</f>
        <v>0</v>
      </c>
      <c r="AZ119" s="22">
        <f>'Activity data'!AZ78*UDCPPEF*NtoN2O*kgtoGg</f>
        <v>0</v>
      </c>
      <c r="BA119" s="22">
        <f>'Activity data'!BA78*UDCPPEF*NtoN2O*kgtoGg</f>
        <v>0</v>
      </c>
      <c r="BB119" s="22">
        <f>'Activity data'!BB78*UDCPPEF*NtoN2O*kgtoGg</f>
        <v>0</v>
      </c>
      <c r="BC119" s="22">
        <f>'Activity data'!BC78*UDCPPEF*NtoN2O*kgtoGg</f>
        <v>0</v>
      </c>
      <c r="BD119" s="22">
        <f>'Activity data'!BD78*UDCPPEF*NtoN2O*kgtoGg</f>
        <v>0</v>
      </c>
      <c r="BE119" s="22">
        <f>'Activity data'!BE78*UDCPPEF*NtoN2O*kgtoGg</f>
        <v>0</v>
      </c>
      <c r="BF119" s="22">
        <f>'Activity data'!BF78*UDCPPEF*NtoN2O*kgtoGg</f>
        <v>0</v>
      </c>
      <c r="BG119" s="22">
        <f>'Activity data'!BG78*UDCPPEF*NtoN2O*kgtoGg</f>
        <v>0</v>
      </c>
      <c r="BH119" s="22">
        <f>'Activity data'!BH78*UDCPPEF*NtoN2O*kgtoGg</f>
        <v>0</v>
      </c>
      <c r="BI119" s="22">
        <f>'Activity data'!BI78*UDCPPEF*NtoN2O*kgtoGg</f>
        <v>0</v>
      </c>
      <c r="BJ119" s="22">
        <f>'Activity data'!BJ78*UDCPPEF*NtoN2O*kgtoGg</f>
        <v>0</v>
      </c>
      <c r="BK119" s="22">
        <f>'Activity data'!BK78*UDCPPEF*NtoN2O*kgtoGg</f>
        <v>0</v>
      </c>
      <c r="BL119" s="22">
        <f>'Activity data'!BL78*UDCPPEF*NtoN2O*kgtoGg</f>
        <v>0</v>
      </c>
      <c r="BM119" s="22">
        <f>'Activity data'!BM78*UDCPPEF*NtoN2O*kgtoGg</f>
        <v>0</v>
      </c>
      <c r="BN119" s="22">
        <f>'Activity data'!BN78*UDCPPEF*NtoN2O*kgtoGg</f>
        <v>0</v>
      </c>
      <c r="BO119" s="22">
        <f>'Activity data'!BO78*UDCPPEF*NtoN2O*kgtoGg</f>
        <v>0</v>
      </c>
      <c r="BP119" s="22">
        <f>'Activity data'!BP78*UDCPPEF*NtoN2O*kgtoGg</f>
        <v>0</v>
      </c>
    </row>
    <row r="120" spans="1:68" x14ac:dyDescent="0.25">
      <c r="A120" t="str">
        <f t="shared" si="29"/>
        <v>3C Aggregated and non-CO2 emissions on land</v>
      </c>
      <c r="B120" t="str">
        <f t="shared" si="31"/>
        <v>3C4 Direct N2O from managed soils (N2O)</v>
      </c>
      <c r="C120" t="s">
        <v>422</v>
      </c>
      <c r="D120" t="str">
        <f t="shared" si="38"/>
        <v xml:space="preserve"> - Subsistence swine</v>
      </c>
      <c r="E120" t="str">
        <f t="shared" si="32"/>
        <v>U&amp;D emissions - Subsistence swine</v>
      </c>
      <c r="F120" t="str">
        <f t="shared" si="36"/>
        <v>N2O</v>
      </c>
      <c r="G120" t="str">
        <f t="shared" si="37"/>
        <v>Gg N2O</v>
      </c>
      <c r="H120" s="22">
        <f>'Activity data'!H79*UDCPPEF*NtoN2O*kgtoGg</f>
        <v>0</v>
      </c>
      <c r="I120" s="22">
        <f>'Activity data'!I79*UDCPPEF*NtoN2O*kgtoGg</f>
        <v>0</v>
      </c>
      <c r="J120" s="22">
        <f>'Activity data'!J79*UDCPPEF*NtoN2O*kgtoGg</f>
        <v>0</v>
      </c>
      <c r="K120" s="22">
        <f>'Activity data'!K79*UDCPPEF*NtoN2O*kgtoGg</f>
        <v>0</v>
      </c>
      <c r="L120" s="22">
        <f>'Activity data'!L79*UDCPPEF*NtoN2O*kgtoGg</f>
        <v>0</v>
      </c>
      <c r="M120" s="22">
        <f>'Activity data'!M79*UDCPPEF*NtoN2O*kgtoGg</f>
        <v>0</v>
      </c>
      <c r="N120" s="22">
        <f>'Activity data'!N79*UDCPPEF*NtoN2O*kgtoGg</f>
        <v>0</v>
      </c>
      <c r="O120" s="22">
        <f>'Activity data'!O79*UDCPPEF*NtoN2O*kgtoGg</f>
        <v>0</v>
      </c>
      <c r="P120" s="22">
        <f>'Activity data'!P79*UDCPPEF*NtoN2O*kgtoGg</f>
        <v>0</v>
      </c>
      <c r="Q120" s="22">
        <f>'Activity data'!Q79*UDCPPEF*NtoN2O*kgtoGg</f>
        <v>0</v>
      </c>
      <c r="R120" s="22">
        <f>'Activity data'!R79*UDCPPEF*NtoN2O*kgtoGg</f>
        <v>0</v>
      </c>
      <c r="S120" s="22">
        <f>'Activity data'!S79*UDCPPEF*NtoN2O*kgtoGg</f>
        <v>0</v>
      </c>
      <c r="T120" s="22">
        <f>'Activity data'!T79*UDCPPEF*NtoN2O*kgtoGg</f>
        <v>0</v>
      </c>
      <c r="U120" s="22">
        <f>'Activity data'!U79*UDCPPEF*NtoN2O*kgtoGg</f>
        <v>0</v>
      </c>
      <c r="V120" s="22">
        <f>'Activity data'!V79*UDCPPEF*NtoN2O*kgtoGg</f>
        <v>0</v>
      </c>
      <c r="W120" s="22">
        <f>'Activity data'!W79*UDCPPEF*NtoN2O*kgtoGg</f>
        <v>0</v>
      </c>
      <c r="X120" s="22">
        <f>'Activity data'!X79*UDCPPEF*NtoN2O*kgtoGg</f>
        <v>0</v>
      </c>
      <c r="Y120" s="22">
        <f>'Activity data'!Y79*UDCPPEF*NtoN2O*kgtoGg</f>
        <v>0</v>
      </c>
      <c r="Z120" s="22">
        <f>'Activity data'!Z79*UDCPPEF*NtoN2O*kgtoGg</f>
        <v>0</v>
      </c>
      <c r="AA120" s="22">
        <f>'Activity data'!AA79*UDCPPEF*NtoN2O*kgtoGg</f>
        <v>0</v>
      </c>
      <c r="AB120" s="22">
        <f>'Activity data'!AB79*UDCPPEF*NtoN2O*kgtoGg</f>
        <v>0</v>
      </c>
      <c r="AC120" s="22">
        <f>'Activity data'!AC79*UDCPPEF*NtoN2O*kgtoGg</f>
        <v>0</v>
      </c>
      <c r="AD120" s="22">
        <f>'Activity data'!AD79*UDCPPEF*NtoN2O*kgtoGg</f>
        <v>0</v>
      </c>
      <c r="AE120" s="22">
        <f>'Activity data'!AE79*UDCPPEF*NtoN2O*kgtoGg</f>
        <v>0</v>
      </c>
      <c r="AF120" s="22">
        <f>'Activity data'!AF79*UDCPPEF*NtoN2O*kgtoGg</f>
        <v>0</v>
      </c>
      <c r="AG120" s="22">
        <f>'Activity data'!AG79*UDCPPEF*NtoN2O*kgtoGg</f>
        <v>0</v>
      </c>
      <c r="AH120" s="22">
        <f>'Activity data'!AH79*UDCPPEF*NtoN2O*kgtoGg</f>
        <v>0</v>
      </c>
      <c r="AI120" s="22">
        <f>'Activity data'!AI79*UDCPPEF*NtoN2O*kgtoGg</f>
        <v>0</v>
      </c>
      <c r="AJ120" s="22">
        <f>'Activity data'!AJ79*UDCPPEF*NtoN2O*kgtoGg</f>
        <v>0</v>
      </c>
      <c r="AK120" s="22">
        <f>'Activity data'!AK79*UDCPPEF*NtoN2O*kgtoGg</f>
        <v>0</v>
      </c>
      <c r="AL120" s="22">
        <f>'Activity data'!AL79*UDCPPEF*NtoN2O*kgtoGg</f>
        <v>0</v>
      </c>
      <c r="AM120" s="22">
        <f>'Activity data'!AM79*UDCPPEF*NtoN2O*kgtoGg</f>
        <v>0</v>
      </c>
      <c r="AN120" s="22">
        <f>'Activity data'!AN79*UDCPPEF*NtoN2O*kgtoGg</f>
        <v>0</v>
      </c>
      <c r="AO120" s="22">
        <f>'Activity data'!AO79*UDCPPEF*NtoN2O*kgtoGg</f>
        <v>0</v>
      </c>
      <c r="AP120" s="22">
        <f>'Activity data'!AP79*UDCPPEF*NtoN2O*kgtoGg</f>
        <v>0</v>
      </c>
      <c r="AQ120" s="22">
        <f>'Activity data'!AQ79*UDCPPEF*NtoN2O*kgtoGg</f>
        <v>0</v>
      </c>
      <c r="AR120" s="22">
        <f>'Activity data'!AR79*UDCPPEF*NtoN2O*kgtoGg</f>
        <v>0</v>
      </c>
      <c r="AS120" s="22">
        <f>'Activity data'!AS79*UDCPPEF*NtoN2O*kgtoGg</f>
        <v>0</v>
      </c>
      <c r="AT120" s="22">
        <f>'Activity data'!AT79*UDCPPEF*NtoN2O*kgtoGg</f>
        <v>0</v>
      </c>
      <c r="AU120" s="22">
        <f>'Activity data'!AU79*UDCPPEF*NtoN2O*kgtoGg</f>
        <v>0</v>
      </c>
      <c r="AV120" s="22">
        <f>'Activity data'!AV79*UDCPPEF*NtoN2O*kgtoGg</f>
        <v>0</v>
      </c>
      <c r="AW120" s="22">
        <f>'Activity data'!AW79*UDCPPEF*NtoN2O*kgtoGg</f>
        <v>0</v>
      </c>
      <c r="AX120" s="22">
        <f>'Activity data'!AX79*UDCPPEF*NtoN2O*kgtoGg</f>
        <v>0</v>
      </c>
      <c r="AY120" s="22">
        <f>'Activity data'!AY79*UDCPPEF*NtoN2O*kgtoGg</f>
        <v>0</v>
      </c>
      <c r="AZ120" s="22">
        <f>'Activity data'!AZ79*UDCPPEF*NtoN2O*kgtoGg</f>
        <v>0</v>
      </c>
      <c r="BA120" s="22">
        <f>'Activity data'!BA79*UDCPPEF*NtoN2O*kgtoGg</f>
        <v>0</v>
      </c>
      <c r="BB120" s="22">
        <f>'Activity data'!BB79*UDCPPEF*NtoN2O*kgtoGg</f>
        <v>0</v>
      </c>
      <c r="BC120" s="22">
        <f>'Activity data'!BC79*UDCPPEF*NtoN2O*kgtoGg</f>
        <v>0</v>
      </c>
      <c r="BD120" s="22">
        <f>'Activity data'!BD79*UDCPPEF*NtoN2O*kgtoGg</f>
        <v>0</v>
      </c>
      <c r="BE120" s="22">
        <f>'Activity data'!BE79*UDCPPEF*NtoN2O*kgtoGg</f>
        <v>0</v>
      </c>
      <c r="BF120" s="22">
        <f>'Activity data'!BF79*UDCPPEF*NtoN2O*kgtoGg</f>
        <v>0</v>
      </c>
      <c r="BG120" s="22">
        <f>'Activity data'!BG79*UDCPPEF*NtoN2O*kgtoGg</f>
        <v>0</v>
      </c>
      <c r="BH120" s="22">
        <f>'Activity data'!BH79*UDCPPEF*NtoN2O*kgtoGg</f>
        <v>0</v>
      </c>
      <c r="BI120" s="22">
        <f>'Activity data'!BI79*UDCPPEF*NtoN2O*kgtoGg</f>
        <v>0</v>
      </c>
      <c r="BJ120" s="22">
        <f>'Activity data'!BJ79*UDCPPEF*NtoN2O*kgtoGg</f>
        <v>0</v>
      </c>
      <c r="BK120" s="22">
        <f>'Activity data'!BK79*UDCPPEF*NtoN2O*kgtoGg</f>
        <v>0</v>
      </c>
      <c r="BL120" s="22">
        <f>'Activity data'!BL79*UDCPPEF*NtoN2O*kgtoGg</f>
        <v>0</v>
      </c>
      <c r="BM120" s="22">
        <f>'Activity data'!BM79*UDCPPEF*NtoN2O*kgtoGg</f>
        <v>0</v>
      </c>
      <c r="BN120" s="22">
        <f>'Activity data'!BN79*UDCPPEF*NtoN2O*kgtoGg</f>
        <v>0</v>
      </c>
      <c r="BO120" s="22">
        <f>'Activity data'!BO79*UDCPPEF*NtoN2O*kgtoGg</f>
        <v>0</v>
      </c>
      <c r="BP120" s="22">
        <f>'Activity data'!BP79*UDCPPEF*NtoN2O*kgtoGg</f>
        <v>0</v>
      </c>
    </row>
    <row r="121" spans="1:68" x14ac:dyDescent="0.25">
      <c r="A121" t="str">
        <f t="shared" si="29"/>
        <v>3C Aggregated and non-CO2 emissions on land</v>
      </c>
      <c r="B121" t="str">
        <f t="shared" si="31"/>
        <v>3C4 Direct N2O from managed soils (N2O)</v>
      </c>
      <c r="C121" t="s">
        <v>422</v>
      </c>
      <c r="D121" t="str">
        <f t="shared" si="38"/>
        <v xml:space="preserve"> - Commercial layers</v>
      </c>
      <c r="E121" t="str">
        <f t="shared" si="32"/>
        <v>U&amp;D emissions - Commercial layers</v>
      </c>
      <c r="F121" t="str">
        <f t="shared" si="36"/>
        <v>N2O</v>
      </c>
      <c r="G121" t="str">
        <f t="shared" si="37"/>
        <v>Gg N2O</v>
      </c>
      <c r="H121" s="22">
        <f>'Activity data'!H80*UDCPPEF*NtoN2O*kgtoGg</f>
        <v>0</v>
      </c>
      <c r="I121" s="22">
        <f>'Activity data'!I80*UDCPPEF*NtoN2O*kgtoGg</f>
        <v>0</v>
      </c>
      <c r="J121" s="22">
        <f>'Activity data'!J80*UDCPPEF*NtoN2O*kgtoGg</f>
        <v>0</v>
      </c>
      <c r="K121" s="22">
        <f>'Activity data'!K80*UDCPPEF*NtoN2O*kgtoGg</f>
        <v>0</v>
      </c>
      <c r="L121" s="22">
        <f>'Activity data'!L80*UDCPPEF*NtoN2O*kgtoGg</f>
        <v>0</v>
      </c>
      <c r="M121" s="22">
        <f>'Activity data'!M80*UDCPPEF*NtoN2O*kgtoGg</f>
        <v>0</v>
      </c>
      <c r="N121" s="22">
        <f>'Activity data'!N80*UDCPPEF*NtoN2O*kgtoGg</f>
        <v>0</v>
      </c>
      <c r="O121" s="22">
        <f>'Activity data'!O80*UDCPPEF*NtoN2O*kgtoGg</f>
        <v>0</v>
      </c>
      <c r="P121" s="22">
        <f>'Activity data'!P80*UDCPPEF*NtoN2O*kgtoGg</f>
        <v>0</v>
      </c>
      <c r="Q121" s="22">
        <f>'Activity data'!Q80*UDCPPEF*NtoN2O*kgtoGg</f>
        <v>0</v>
      </c>
      <c r="R121" s="22">
        <f>'Activity data'!R80*UDCPPEF*NtoN2O*kgtoGg</f>
        <v>0</v>
      </c>
      <c r="S121" s="22">
        <f>'Activity data'!S80*UDCPPEF*NtoN2O*kgtoGg</f>
        <v>0</v>
      </c>
      <c r="T121" s="22">
        <f>'Activity data'!T80*UDCPPEF*NtoN2O*kgtoGg</f>
        <v>0</v>
      </c>
      <c r="U121" s="22">
        <f>'Activity data'!U80*UDCPPEF*NtoN2O*kgtoGg</f>
        <v>0</v>
      </c>
      <c r="V121" s="22">
        <f>'Activity data'!V80*UDCPPEF*NtoN2O*kgtoGg</f>
        <v>0</v>
      </c>
      <c r="W121" s="22">
        <f>'Activity data'!W80*UDCPPEF*NtoN2O*kgtoGg</f>
        <v>0</v>
      </c>
      <c r="X121" s="22">
        <f>'Activity data'!X80*UDCPPEF*NtoN2O*kgtoGg</f>
        <v>0</v>
      </c>
      <c r="Y121" s="22">
        <f>'Activity data'!Y80*UDCPPEF*NtoN2O*kgtoGg</f>
        <v>0</v>
      </c>
      <c r="Z121" s="22">
        <f>'Activity data'!Z80*UDCPPEF*NtoN2O*kgtoGg</f>
        <v>0</v>
      </c>
      <c r="AA121" s="22">
        <f>'Activity data'!AA80*UDCPPEF*NtoN2O*kgtoGg</f>
        <v>0</v>
      </c>
      <c r="AB121" s="22">
        <f>'Activity data'!AB80*UDCPPEF*NtoN2O*kgtoGg</f>
        <v>0</v>
      </c>
      <c r="AC121" s="22">
        <f>'Activity data'!AC80*UDCPPEF*NtoN2O*kgtoGg</f>
        <v>0</v>
      </c>
      <c r="AD121" s="22">
        <f>'Activity data'!AD80*UDCPPEF*NtoN2O*kgtoGg</f>
        <v>0</v>
      </c>
      <c r="AE121" s="22">
        <f>'Activity data'!AE80*UDCPPEF*NtoN2O*kgtoGg</f>
        <v>0</v>
      </c>
      <c r="AF121" s="22">
        <f>'Activity data'!AF80*UDCPPEF*NtoN2O*kgtoGg</f>
        <v>0</v>
      </c>
      <c r="AG121" s="22">
        <f>'Activity data'!AG80*UDCPPEF*NtoN2O*kgtoGg</f>
        <v>0</v>
      </c>
      <c r="AH121" s="22">
        <f>'Activity data'!AH80*UDCPPEF*NtoN2O*kgtoGg</f>
        <v>0</v>
      </c>
      <c r="AI121" s="22">
        <f>'Activity data'!AI80*UDCPPEF*NtoN2O*kgtoGg</f>
        <v>0</v>
      </c>
      <c r="AJ121" s="22">
        <f>'Activity data'!AJ80*UDCPPEF*NtoN2O*kgtoGg</f>
        <v>0</v>
      </c>
      <c r="AK121" s="22">
        <f>'Activity data'!AK80*UDCPPEF*NtoN2O*kgtoGg</f>
        <v>0</v>
      </c>
      <c r="AL121" s="22">
        <f>'Activity data'!AL80*UDCPPEF*NtoN2O*kgtoGg</f>
        <v>0</v>
      </c>
      <c r="AM121" s="22">
        <f>'Activity data'!AM80*UDCPPEF*NtoN2O*kgtoGg</f>
        <v>0</v>
      </c>
      <c r="AN121" s="22">
        <f>'Activity data'!AN80*UDCPPEF*NtoN2O*kgtoGg</f>
        <v>0</v>
      </c>
      <c r="AO121" s="22">
        <f>'Activity data'!AO80*UDCPPEF*NtoN2O*kgtoGg</f>
        <v>0</v>
      </c>
      <c r="AP121" s="22">
        <f>'Activity data'!AP80*UDCPPEF*NtoN2O*kgtoGg</f>
        <v>0</v>
      </c>
      <c r="AQ121" s="22">
        <f>'Activity data'!AQ80*UDCPPEF*NtoN2O*kgtoGg</f>
        <v>0</v>
      </c>
      <c r="AR121" s="22">
        <f>'Activity data'!AR80*UDCPPEF*NtoN2O*kgtoGg</f>
        <v>0</v>
      </c>
      <c r="AS121" s="22">
        <f>'Activity data'!AS80*UDCPPEF*NtoN2O*kgtoGg</f>
        <v>0</v>
      </c>
      <c r="AT121" s="22">
        <f>'Activity data'!AT80*UDCPPEF*NtoN2O*kgtoGg</f>
        <v>0</v>
      </c>
      <c r="AU121" s="22">
        <f>'Activity data'!AU80*UDCPPEF*NtoN2O*kgtoGg</f>
        <v>0</v>
      </c>
      <c r="AV121" s="22">
        <f>'Activity data'!AV80*UDCPPEF*NtoN2O*kgtoGg</f>
        <v>0</v>
      </c>
      <c r="AW121" s="22">
        <f>'Activity data'!AW80*UDCPPEF*NtoN2O*kgtoGg</f>
        <v>0</v>
      </c>
      <c r="AX121" s="22">
        <f>'Activity data'!AX80*UDCPPEF*NtoN2O*kgtoGg</f>
        <v>0</v>
      </c>
      <c r="AY121" s="22">
        <f>'Activity data'!AY80*UDCPPEF*NtoN2O*kgtoGg</f>
        <v>0</v>
      </c>
      <c r="AZ121" s="22">
        <f>'Activity data'!AZ80*UDCPPEF*NtoN2O*kgtoGg</f>
        <v>0</v>
      </c>
      <c r="BA121" s="22">
        <f>'Activity data'!BA80*UDCPPEF*NtoN2O*kgtoGg</f>
        <v>0</v>
      </c>
      <c r="BB121" s="22">
        <f>'Activity data'!BB80*UDCPPEF*NtoN2O*kgtoGg</f>
        <v>0</v>
      </c>
      <c r="BC121" s="22">
        <f>'Activity data'!BC80*UDCPPEF*NtoN2O*kgtoGg</f>
        <v>0</v>
      </c>
      <c r="BD121" s="22">
        <f>'Activity data'!BD80*UDCPPEF*NtoN2O*kgtoGg</f>
        <v>0</v>
      </c>
      <c r="BE121" s="22">
        <f>'Activity data'!BE80*UDCPPEF*NtoN2O*kgtoGg</f>
        <v>0</v>
      </c>
      <c r="BF121" s="22">
        <f>'Activity data'!BF80*UDCPPEF*NtoN2O*kgtoGg</f>
        <v>0</v>
      </c>
      <c r="BG121" s="22">
        <f>'Activity data'!BG80*UDCPPEF*NtoN2O*kgtoGg</f>
        <v>0</v>
      </c>
      <c r="BH121" s="22">
        <f>'Activity data'!BH80*UDCPPEF*NtoN2O*kgtoGg</f>
        <v>0</v>
      </c>
      <c r="BI121" s="22">
        <f>'Activity data'!BI80*UDCPPEF*NtoN2O*kgtoGg</f>
        <v>0</v>
      </c>
      <c r="BJ121" s="22">
        <f>'Activity data'!BJ80*UDCPPEF*NtoN2O*kgtoGg</f>
        <v>0</v>
      </c>
      <c r="BK121" s="22">
        <f>'Activity data'!BK80*UDCPPEF*NtoN2O*kgtoGg</f>
        <v>0</v>
      </c>
      <c r="BL121" s="22">
        <f>'Activity data'!BL80*UDCPPEF*NtoN2O*kgtoGg</f>
        <v>0</v>
      </c>
      <c r="BM121" s="22">
        <f>'Activity data'!BM80*UDCPPEF*NtoN2O*kgtoGg</f>
        <v>0</v>
      </c>
      <c r="BN121" s="22">
        <f>'Activity data'!BN80*UDCPPEF*NtoN2O*kgtoGg</f>
        <v>0</v>
      </c>
      <c r="BO121" s="22">
        <f>'Activity data'!BO80*UDCPPEF*NtoN2O*kgtoGg</f>
        <v>0</v>
      </c>
      <c r="BP121" s="22">
        <f>'Activity data'!BP80*UDCPPEF*NtoN2O*kgtoGg</f>
        <v>0</v>
      </c>
    </row>
    <row r="122" spans="1:68" x14ac:dyDescent="0.25">
      <c r="A122" t="str">
        <f t="shared" si="29"/>
        <v>3C Aggregated and non-CO2 emissions on land</v>
      </c>
      <c r="B122" t="str">
        <f t="shared" si="31"/>
        <v>3C4 Direct N2O from managed soils (N2O)</v>
      </c>
      <c r="C122" t="s">
        <v>422</v>
      </c>
      <c r="D122" t="str">
        <f t="shared" si="38"/>
        <v xml:space="preserve"> - Commercial broilers</v>
      </c>
      <c r="E122" t="str">
        <f t="shared" si="32"/>
        <v>U&amp;D emissions - Commercial broilers</v>
      </c>
      <c r="F122" t="str">
        <f t="shared" si="36"/>
        <v>N2O</v>
      </c>
      <c r="G122" t="str">
        <f t="shared" si="37"/>
        <v>Gg N2O</v>
      </c>
      <c r="H122" s="22">
        <f>'Activity data'!H81*UDCPPEF*NtoN2O*kgtoGg</f>
        <v>0</v>
      </c>
      <c r="I122" s="22">
        <f>'Activity data'!I81*UDCPPEF*NtoN2O*kgtoGg</f>
        <v>0</v>
      </c>
      <c r="J122" s="22">
        <f>'Activity data'!J81*UDCPPEF*NtoN2O*kgtoGg</f>
        <v>0</v>
      </c>
      <c r="K122" s="22">
        <f>'Activity data'!K81*UDCPPEF*NtoN2O*kgtoGg</f>
        <v>0</v>
      </c>
      <c r="L122" s="22">
        <f>'Activity data'!L81*UDCPPEF*NtoN2O*kgtoGg</f>
        <v>0</v>
      </c>
      <c r="M122" s="22">
        <f>'Activity data'!M81*UDCPPEF*NtoN2O*kgtoGg</f>
        <v>0</v>
      </c>
      <c r="N122" s="22">
        <f>'Activity data'!N81*UDCPPEF*NtoN2O*kgtoGg</f>
        <v>0</v>
      </c>
      <c r="O122" s="22">
        <f>'Activity data'!O81*UDCPPEF*NtoN2O*kgtoGg</f>
        <v>0</v>
      </c>
      <c r="P122" s="22">
        <f>'Activity data'!P81*UDCPPEF*NtoN2O*kgtoGg</f>
        <v>0</v>
      </c>
      <c r="Q122" s="22">
        <f>'Activity data'!Q81*UDCPPEF*NtoN2O*kgtoGg</f>
        <v>0</v>
      </c>
      <c r="R122" s="22">
        <f>'Activity data'!R81*UDCPPEF*NtoN2O*kgtoGg</f>
        <v>0</v>
      </c>
      <c r="S122" s="22">
        <f>'Activity data'!S81*UDCPPEF*NtoN2O*kgtoGg</f>
        <v>0</v>
      </c>
      <c r="T122" s="22">
        <f>'Activity data'!T81*UDCPPEF*NtoN2O*kgtoGg</f>
        <v>0</v>
      </c>
      <c r="U122" s="22">
        <f>'Activity data'!U81*UDCPPEF*NtoN2O*kgtoGg</f>
        <v>0</v>
      </c>
      <c r="V122" s="22">
        <f>'Activity data'!V81*UDCPPEF*NtoN2O*kgtoGg</f>
        <v>0</v>
      </c>
      <c r="W122" s="22">
        <f>'Activity data'!W81*UDCPPEF*NtoN2O*kgtoGg</f>
        <v>0</v>
      </c>
      <c r="X122" s="22">
        <f>'Activity data'!X81*UDCPPEF*NtoN2O*kgtoGg</f>
        <v>0</v>
      </c>
      <c r="Y122" s="22">
        <f>'Activity data'!Y81*UDCPPEF*NtoN2O*kgtoGg</f>
        <v>0</v>
      </c>
      <c r="Z122" s="22">
        <f>'Activity data'!Z81*UDCPPEF*NtoN2O*kgtoGg</f>
        <v>0</v>
      </c>
      <c r="AA122" s="22">
        <f>'Activity data'!AA81*UDCPPEF*NtoN2O*kgtoGg</f>
        <v>0</v>
      </c>
      <c r="AB122" s="22">
        <f>'Activity data'!AB81*UDCPPEF*NtoN2O*kgtoGg</f>
        <v>0</v>
      </c>
      <c r="AC122" s="22">
        <f>'Activity data'!AC81*UDCPPEF*NtoN2O*kgtoGg</f>
        <v>0</v>
      </c>
      <c r="AD122" s="22">
        <f>'Activity data'!AD81*UDCPPEF*NtoN2O*kgtoGg</f>
        <v>0</v>
      </c>
      <c r="AE122" s="22">
        <f>'Activity data'!AE81*UDCPPEF*NtoN2O*kgtoGg</f>
        <v>0</v>
      </c>
      <c r="AF122" s="22">
        <f>'Activity data'!AF81*UDCPPEF*NtoN2O*kgtoGg</f>
        <v>0</v>
      </c>
      <c r="AG122" s="22">
        <f>'Activity data'!AG81*UDCPPEF*NtoN2O*kgtoGg</f>
        <v>0</v>
      </c>
      <c r="AH122" s="22">
        <f>'Activity data'!AH81*UDCPPEF*NtoN2O*kgtoGg</f>
        <v>0</v>
      </c>
      <c r="AI122" s="22">
        <f>'Activity data'!AI81*UDCPPEF*NtoN2O*kgtoGg</f>
        <v>0</v>
      </c>
      <c r="AJ122" s="22">
        <f>'Activity data'!AJ81*UDCPPEF*NtoN2O*kgtoGg</f>
        <v>0</v>
      </c>
      <c r="AK122" s="22">
        <f>'Activity data'!AK81*UDCPPEF*NtoN2O*kgtoGg</f>
        <v>0</v>
      </c>
      <c r="AL122" s="22">
        <f>'Activity data'!AL81*UDCPPEF*NtoN2O*kgtoGg</f>
        <v>0</v>
      </c>
      <c r="AM122" s="22">
        <f>'Activity data'!AM81*UDCPPEF*NtoN2O*kgtoGg</f>
        <v>0</v>
      </c>
      <c r="AN122" s="22">
        <f>'Activity data'!AN81*UDCPPEF*NtoN2O*kgtoGg</f>
        <v>0</v>
      </c>
      <c r="AO122" s="22">
        <f>'Activity data'!AO81*UDCPPEF*NtoN2O*kgtoGg</f>
        <v>0</v>
      </c>
      <c r="AP122" s="22">
        <f>'Activity data'!AP81*UDCPPEF*NtoN2O*kgtoGg</f>
        <v>0</v>
      </c>
      <c r="AQ122" s="22">
        <f>'Activity data'!AQ81*UDCPPEF*NtoN2O*kgtoGg</f>
        <v>0</v>
      </c>
      <c r="AR122" s="22">
        <f>'Activity data'!AR81*UDCPPEF*NtoN2O*kgtoGg</f>
        <v>0</v>
      </c>
      <c r="AS122" s="22">
        <f>'Activity data'!AS81*UDCPPEF*NtoN2O*kgtoGg</f>
        <v>0</v>
      </c>
      <c r="AT122" s="22">
        <f>'Activity data'!AT81*UDCPPEF*NtoN2O*kgtoGg</f>
        <v>0</v>
      </c>
      <c r="AU122" s="22">
        <f>'Activity data'!AU81*UDCPPEF*NtoN2O*kgtoGg</f>
        <v>0</v>
      </c>
      <c r="AV122" s="22">
        <f>'Activity data'!AV81*UDCPPEF*NtoN2O*kgtoGg</f>
        <v>0</v>
      </c>
      <c r="AW122" s="22">
        <f>'Activity data'!AW81*UDCPPEF*NtoN2O*kgtoGg</f>
        <v>0</v>
      </c>
      <c r="AX122" s="22">
        <f>'Activity data'!AX81*UDCPPEF*NtoN2O*kgtoGg</f>
        <v>0</v>
      </c>
      <c r="AY122" s="22">
        <f>'Activity data'!AY81*UDCPPEF*NtoN2O*kgtoGg</f>
        <v>0</v>
      </c>
      <c r="AZ122" s="22">
        <f>'Activity data'!AZ81*UDCPPEF*NtoN2O*kgtoGg</f>
        <v>0</v>
      </c>
      <c r="BA122" s="22">
        <f>'Activity data'!BA81*UDCPPEF*NtoN2O*kgtoGg</f>
        <v>0</v>
      </c>
      <c r="BB122" s="22">
        <f>'Activity data'!BB81*UDCPPEF*NtoN2O*kgtoGg</f>
        <v>0</v>
      </c>
      <c r="BC122" s="22">
        <f>'Activity data'!BC81*UDCPPEF*NtoN2O*kgtoGg</f>
        <v>0</v>
      </c>
      <c r="BD122" s="22">
        <f>'Activity data'!BD81*UDCPPEF*NtoN2O*kgtoGg</f>
        <v>0</v>
      </c>
      <c r="BE122" s="22">
        <f>'Activity data'!BE81*UDCPPEF*NtoN2O*kgtoGg</f>
        <v>0</v>
      </c>
      <c r="BF122" s="22">
        <f>'Activity data'!BF81*UDCPPEF*NtoN2O*kgtoGg</f>
        <v>0</v>
      </c>
      <c r="BG122" s="22">
        <f>'Activity data'!BG81*UDCPPEF*NtoN2O*kgtoGg</f>
        <v>0</v>
      </c>
      <c r="BH122" s="22">
        <f>'Activity data'!BH81*UDCPPEF*NtoN2O*kgtoGg</f>
        <v>0</v>
      </c>
      <c r="BI122" s="22">
        <f>'Activity data'!BI81*UDCPPEF*NtoN2O*kgtoGg</f>
        <v>0</v>
      </c>
      <c r="BJ122" s="22">
        <f>'Activity data'!BJ81*UDCPPEF*NtoN2O*kgtoGg</f>
        <v>0</v>
      </c>
      <c r="BK122" s="22">
        <f>'Activity data'!BK81*UDCPPEF*NtoN2O*kgtoGg</f>
        <v>0</v>
      </c>
      <c r="BL122" s="22">
        <f>'Activity data'!BL81*UDCPPEF*NtoN2O*kgtoGg</f>
        <v>0</v>
      </c>
      <c r="BM122" s="22">
        <f>'Activity data'!BM81*UDCPPEF*NtoN2O*kgtoGg</f>
        <v>0</v>
      </c>
      <c r="BN122" s="22">
        <f>'Activity data'!BN81*UDCPPEF*NtoN2O*kgtoGg</f>
        <v>0</v>
      </c>
      <c r="BO122" s="22">
        <f>'Activity data'!BO81*UDCPPEF*NtoN2O*kgtoGg</f>
        <v>0</v>
      </c>
      <c r="BP122" s="22">
        <f>'Activity data'!BP81*UDCPPEF*NtoN2O*kgtoGg</f>
        <v>0</v>
      </c>
    </row>
    <row r="123" spans="1:68" x14ac:dyDescent="0.25">
      <c r="A123" t="str">
        <f>A122</f>
        <v>3C Aggregated and non-CO2 emissions on land</v>
      </c>
      <c r="B123" t="str">
        <f t="shared" si="31"/>
        <v>3C4 Direct N2O from managed soils (N2O)</v>
      </c>
      <c r="C123" t="s">
        <v>60</v>
      </c>
      <c r="D123" t="str">
        <f>" - "&amp;'Activity data'!D87</f>
        <v xml:space="preserve"> - Forest remaining forest land</v>
      </c>
      <c r="E123" t="str">
        <f t="shared" si="32"/>
        <v>FSOM - Forest remaining forest land</v>
      </c>
      <c r="G123" t="str">
        <f t="shared" si="37"/>
        <v>Gg N2O</v>
      </c>
      <c r="H123" s="22" t="str">
        <f>IFERROR((('Activity data'!H87*(1/Constants!$H$135))*ttokg)*FSOMEF*NtoN2O*kgtoGg,"NO")</f>
        <v>NO</v>
      </c>
      <c r="I123" s="22" t="str">
        <f>IFERROR((('Activity data'!I87*(1/Constants!$H$135))*ttokg)*FSOMEF*NtoN2O*kgtoGg,"NO")</f>
        <v>NO</v>
      </c>
      <c r="J123" s="22" t="str">
        <f>IFERROR((('Activity data'!J87*(1/Constants!$H$135))*ttokg)*FSOMEF*NtoN2O*kgtoGg,"NO")</f>
        <v>NO</v>
      </c>
      <c r="K123" s="22" t="str">
        <f>IFERROR((('Activity data'!K87*(1/Constants!$H$135))*ttokg)*FSOMEF*NtoN2O*kgtoGg,"NO")</f>
        <v>NO</v>
      </c>
      <c r="L123" s="22" t="str">
        <f>IFERROR((('Activity data'!L87*(1/Constants!$H$135))*ttokg)*FSOMEF*NtoN2O*kgtoGg,"NO")</f>
        <v>NO</v>
      </c>
      <c r="M123" s="22" t="str">
        <f>IFERROR((('Activity data'!M87*(1/Constants!$H$135))*ttokg)*FSOMEF*NtoN2O*kgtoGg,"NO")</f>
        <v>NO</v>
      </c>
      <c r="N123" s="22" t="str">
        <f>IFERROR((('Activity data'!N87*(1/Constants!$H$135))*ttokg)*FSOMEF*NtoN2O*kgtoGg,"NO")</f>
        <v>NO</v>
      </c>
      <c r="O123" s="22" t="str">
        <f>IFERROR((('Activity data'!O87*(1/Constants!$H$135))*ttokg)*FSOMEF*NtoN2O*kgtoGg,"NO")</f>
        <v>NO</v>
      </c>
      <c r="P123" s="22" t="str">
        <f>IFERROR((('Activity data'!P87*(1/Constants!$H$135))*ttokg)*FSOMEF*NtoN2O*kgtoGg,"NO")</f>
        <v>NO</v>
      </c>
      <c r="Q123" s="22" t="str">
        <f>IFERROR((('Activity data'!Q87*(1/Constants!$H$135))*ttokg)*FSOMEF*NtoN2O*kgtoGg,"NO")</f>
        <v>NO</v>
      </c>
      <c r="R123" s="22" t="str">
        <f>IFERROR((('Activity data'!R87*(1/Constants!$H$135))*ttokg)*FSOMEF*NtoN2O*kgtoGg,"NO")</f>
        <v>NO</v>
      </c>
      <c r="S123" s="22" t="str">
        <f>IFERROR((('Activity data'!S87*(1/Constants!$H$135))*ttokg)*FSOMEF*NtoN2O*kgtoGg,"NO")</f>
        <v>NO</v>
      </c>
      <c r="T123" s="22" t="str">
        <f>IFERROR((('Activity data'!T87*(1/Constants!$H$135))*ttokg)*FSOMEF*NtoN2O*kgtoGg,"NO")</f>
        <v>NO</v>
      </c>
      <c r="U123" s="22" t="str">
        <f>IFERROR((('Activity data'!U87*(1/Constants!$H$135))*ttokg)*FSOMEF*NtoN2O*kgtoGg,"NO")</f>
        <v>NO</v>
      </c>
      <c r="V123" s="22" t="str">
        <f>IFERROR((('Activity data'!V87*(1/Constants!$H$135))*ttokg)*FSOMEF*NtoN2O*kgtoGg,"NO")</f>
        <v>NO</v>
      </c>
      <c r="W123" s="22" t="str">
        <f>IFERROR((('Activity data'!W87*(1/Constants!$H$135))*ttokg)*FSOMEF*NtoN2O*kgtoGg,"NO")</f>
        <v>NO</v>
      </c>
      <c r="X123" s="22" t="str">
        <f>IFERROR((('Activity data'!X87*(1/Constants!$H$135))*ttokg)*FSOMEF*NtoN2O*kgtoGg,"NO")</f>
        <v>NO</v>
      </c>
      <c r="Y123" s="22" t="str">
        <f>IFERROR((('Activity data'!Y87*(1/Constants!$H$135))*ttokg)*FSOMEF*NtoN2O*kgtoGg,"NO")</f>
        <v>NO</v>
      </c>
      <c r="Z123" s="22" t="str">
        <f>IFERROR((('Activity data'!Z87*(1/Constants!$H$135))*ttokg)*FSOMEF*NtoN2O*kgtoGg,"NO")</f>
        <v>NO</v>
      </c>
      <c r="AA123" s="22" t="str">
        <f>IFERROR((('Activity data'!AA87*(1/Constants!$H$135))*ttokg)*FSOMEF*NtoN2O*kgtoGg,"NO")</f>
        <v>NO</v>
      </c>
      <c r="AB123" s="22" t="str">
        <f>IFERROR((('Activity data'!AB87*(1/Constants!$H$135))*ttokg)*FSOMEF*NtoN2O*kgtoGg,"NO")</f>
        <v>NO</v>
      </c>
      <c r="AC123" s="22" t="str">
        <f>IFERROR((('Activity data'!AC87*(1/Constants!$H$135))*ttokg)*FSOMEF*NtoN2O*kgtoGg,"NO")</f>
        <v>NO</v>
      </c>
      <c r="AD123" s="22" t="str">
        <f>IFERROR((('Activity data'!AD87*(1/Constants!$H$135))*ttokg)*FSOMEF*NtoN2O*kgtoGg,"NO")</f>
        <v>NO</v>
      </c>
      <c r="AE123" s="22" t="str">
        <f>IFERROR((('Activity data'!AE87*(1/Constants!$H$135))*ttokg)*FSOMEF*NtoN2O*kgtoGg,"NO")</f>
        <v>NO</v>
      </c>
      <c r="AF123" s="22" t="str">
        <f>IFERROR((('Activity data'!AF87*(1/Constants!$H$135))*ttokg)*FSOMEF*NtoN2O*kgtoGg,"NO")</f>
        <v>NO</v>
      </c>
      <c r="AG123" s="22" t="str">
        <f>IFERROR((('Activity data'!AG87*(1/Constants!$H$135))*ttokg)*FSOMEF*NtoN2O*kgtoGg,"NO")</f>
        <v>NO</v>
      </c>
      <c r="AH123" s="22" t="str">
        <f>IFERROR((('Activity data'!AH87*(1/Constants!$H$135))*ttokg)*FSOMEF*NtoN2O*kgtoGg,"NO")</f>
        <v>NO</v>
      </c>
      <c r="AI123" s="22" t="str">
        <f>IFERROR((('Activity data'!AI87*(1/Constants!$H$135))*ttokg)*FSOMEF*NtoN2O*kgtoGg,"NO")</f>
        <v>NO</v>
      </c>
      <c r="AJ123" s="22" t="str">
        <f>IFERROR((('Activity data'!AJ87*(1/Constants!$H$135))*ttokg)*FSOMEF*NtoN2O*kgtoGg,"NO")</f>
        <v>NO</v>
      </c>
      <c r="AK123" s="22" t="str">
        <f>IFERROR((('Activity data'!AK87*(1/Constants!$H$135))*ttokg)*FSOMEF*NtoN2O*kgtoGg,"NO")</f>
        <v>NO</v>
      </c>
      <c r="AL123" s="22" t="str">
        <f>IFERROR((('Activity data'!AL87*(1/Constants!$H$135))*ttokg)*FSOMEF*NtoN2O*kgtoGg,"NO")</f>
        <v>NO</v>
      </c>
      <c r="AM123" s="22" t="str">
        <f>IFERROR((('Activity data'!AM87*(1/Constants!$H$135))*ttokg)*FSOMEF*NtoN2O*kgtoGg,"NO")</f>
        <v>NO</v>
      </c>
      <c r="AN123" s="22" t="str">
        <f>IFERROR((('Activity data'!AN87*(1/Constants!$H$135))*ttokg)*FSOMEF*NtoN2O*kgtoGg,"NO")</f>
        <v>NO</v>
      </c>
      <c r="AO123" s="22" t="str">
        <f>IFERROR((('Activity data'!AO87*(1/Constants!$H$135))*ttokg)*FSOMEF*NtoN2O*kgtoGg,"NO")</f>
        <v>NO</v>
      </c>
      <c r="AP123" s="22" t="str">
        <f>IFERROR((('Activity data'!AP87*(1/Constants!$H$135))*ttokg)*FSOMEF*NtoN2O*kgtoGg,"NO")</f>
        <v>NO</v>
      </c>
      <c r="AQ123" s="22" t="str">
        <f>IFERROR((('Activity data'!AQ87*(1/Constants!$H$135))*ttokg)*FSOMEF*NtoN2O*kgtoGg,"NO")</f>
        <v>NO</v>
      </c>
      <c r="AR123" s="22" t="str">
        <f>IFERROR((('Activity data'!AR87*(1/Constants!$H$135))*ttokg)*FSOMEF*NtoN2O*kgtoGg,"NO")</f>
        <v>NO</v>
      </c>
      <c r="AS123" s="22" t="str">
        <f>IFERROR((('Activity data'!AS87*(1/Constants!$H$135))*ttokg)*FSOMEF*NtoN2O*kgtoGg,"NO")</f>
        <v>NO</v>
      </c>
      <c r="AT123" s="22" t="str">
        <f>IFERROR((('Activity data'!AT87*(1/Constants!$H$135))*ttokg)*FSOMEF*NtoN2O*kgtoGg,"NO")</f>
        <v>NO</v>
      </c>
      <c r="AU123" s="22" t="str">
        <f>IFERROR((('Activity data'!AU87*(1/Constants!$H$135))*ttokg)*FSOMEF*NtoN2O*kgtoGg,"NO")</f>
        <v>NO</v>
      </c>
      <c r="AV123" s="22" t="str">
        <f>IFERROR((('Activity data'!AV87*(1/Constants!$H$135))*ttokg)*FSOMEF*NtoN2O*kgtoGg,"NO")</f>
        <v>NO</v>
      </c>
      <c r="AW123" s="22" t="str">
        <f>IFERROR((('Activity data'!AW87*(1/Constants!$H$135))*ttokg)*FSOMEF*NtoN2O*kgtoGg,"NO")</f>
        <v>NO</v>
      </c>
      <c r="AX123" s="22" t="str">
        <f>IFERROR((('Activity data'!AX87*(1/Constants!$H$135))*ttokg)*FSOMEF*NtoN2O*kgtoGg,"NO")</f>
        <v>NO</v>
      </c>
      <c r="AY123" s="22" t="str">
        <f>IFERROR((('Activity data'!AY87*(1/Constants!$H$135))*ttokg)*FSOMEF*NtoN2O*kgtoGg,"NO")</f>
        <v>NO</v>
      </c>
      <c r="AZ123" s="22" t="str">
        <f>IFERROR((('Activity data'!AZ87*(1/Constants!$H$135))*ttokg)*FSOMEF*NtoN2O*kgtoGg,"NO")</f>
        <v>NO</v>
      </c>
      <c r="BA123" s="22" t="str">
        <f>IFERROR((('Activity data'!BA87*(1/Constants!$H$135))*ttokg)*FSOMEF*NtoN2O*kgtoGg,"NO")</f>
        <v>NO</v>
      </c>
      <c r="BB123" s="22" t="str">
        <f>IFERROR((('Activity data'!BB87*(1/Constants!$H$135))*ttokg)*FSOMEF*NtoN2O*kgtoGg,"NO")</f>
        <v>NO</v>
      </c>
      <c r="BC123" s="22" t="str">
        <f>IFERROR((('Activity data'!BC87*(1/Constants!$H$135))*ttokg)*FSOMEF*NtoN2O*kgtoGg,"NO")</f>
        <v>NO</v>
      </c>
      <c r="BD123" s="22" t="str">
        <f>IFERROR((('Activity data'!BD87*(1/Constants!$H$135))*ttokg)*FSOMEF*NtoN2O*kgtoGg,"NO")</f>
        <v>NO</v>
      </c>
      <c r="BE123" s="22" t="str">
        <f>IFERROR((('Activity data'!BE87*(1/Constants!$H$135))*ttokg)*FSOMEF*NtoN2O*kgtoGg,"NO")</f>
        <v>NO</v>
      </c>
      <c r="BF123" s="22" t="str">
        <f>IFERROR((('Activity data'!BF87*(1/Constants!$H$135))*ttokg)*FSOMEF*NtoN2O*kgtoGg,"NO")</f>
        <v>NO</v>
      </c>
      <c r="BG123" s="22" t="str">
        <f>IFERROR((('Activity data'!BG87*(1/Constants!$H$135))*ttokg)*FSOMEF*NtoN2O*kgtoGg,"NO")</f>
        <v>NO</v>
      </c>
      <c r="BH123" s="22" t="str">
        <f>IFERROR((('Activity data'!BH87*(1/Constants!$H$135))*ttokg)*FSOMEF*NtoN2O*kgtoGg,"NO")</f>
        <v>NO</v>
      </c>
      <c r="BI123" s="22" t="str">
        <f>IFERROR((('Activity data'!BI87*(1/Constants!$H$135))*ttokg)*FSOMEF*NtoN2O*kgtoGg,"NO")</f>
        <v>NO</v>
      </c>
      <c r="BJ123" s="22" t="str">
        <f>IFERROR((('Activity data'!BJ87*(1/Constants!$H$135))*ttokg)*FSOMEF*NtoN2O*kgtoGg,"NO")</f>
        <v>NO</v>
      </c>
      <c r="BK123" s="22" t="str">
        <f>IFERROR((('Activity data'!BK87*(1/Constants!$H$135))*ttokg)*FSOMEF*NtoN2O*kgtoGg,"NO")</f>
        <v>NO</v>
      </c>
      <c r="BL123" s="22" t="str">
        <f>IFERROR((('Activity data'!BL87*(1/Constants!$H$135))*ttokg)*FSOMEF*NtoN2O*kgtoGg,"NO")</f>
        <v>NO</v>
      </c>
      <c r="BM123" s="22" t="str">
        <f>IFERROR((('Activity data'!BM87*(1/Constants!$H$135))*ttokg)*FSOMEF*NtoN2O*kgtoGg,"NO")</f>
        <v>NO</v>
      </c>
      <c r="BN123" s="22" t="str">
        <f>IFERROR((('Activity data'!BN87*(1/Constants!$H$135))*ttokg)*FSOMEF*NtoN2O*kgtoGg,"NO")</f>
        <v>NO</v>
      </c>
      <c r="BO123" s="22" t="str">
        <f>IFERROR((('Activity data'!BO87*(1/Constants!$H$135))*ttokg)*FSOMEF*NtoN2O*kgtoGg,"NO")</f>
        <v>NO</v>
      </c>
      <c r="BP123" s="22" t="str">
        <f>IFERROR((('Activity data'!BP87*(1/Constants!$H$135))*ttokg)*FSOMEF*NtoN2O*kgtoGg,"NO")</f>
        <v>NO</v>
      </c>
    </row>
    <row r="124" spans="1:68" x14ac:dyDescent="0.25">
      <c r="A124" t="str">
        <f t="shared" ref="A124:A134" si="39">A123</f>
        <v>3C Aggregated and non-CO2 emissions on land</v>
      </c>
      <c r="B124" t="str">
        <f t="shared" si="31"/>
        <v>3C4 Direct N2O from managed soils (N2O)</v>
      </c>
      <c r="C124" t="s">
        <v>60</v>
      </c>
      <c r="D124" t="str">
        <f>" - "&amp;'Activity data'!D88</f>
        <v xml:space="preserve"> - Land converted to forest land</v>
      </c>
      <c r="E124" t="str">
        <f t="shared" ref="E124:E128" si="40">C124&amp;D124</f>
        <v>FSOM - Land converted to forest land</v>
      </c>
      <c r="G124" t="str">
        <f t="shared" si="37"/>
        <v>Gg N2O</v>
      </c>
      <c r="H124" s="22" t="str">
        <f>IFERROR(('Activity data'!H88*(1/Constants!$H$135))*ttokg*FSOMEF*NtoN2O*kgtoGg,"NO")</f>
        <v>NO</v>
      </c>
      <c r="I124" s="22" t="str">
        <f>IFERROR(('Activity data'!I88*(1/Constants!$H$135))*ttokg*FSOMEF*NtoN2O*kgtoGg,"NO")</f>
        <v>NO</v>
      </c>
      <c r="J124" s="22" t="str">
        <f>IFERROR(('Activity data'!J88*(1/Constants!$H$135))*ttokg*FSOMEF*NtoN2O*kgtoGg,"NO")</f>
        <v>NO</v>
      </c>
      <c r="K124" s="22" t="str">
        <f>IFERROR(('Activity data'!K88*(1/Constants!$H$135))*ttokg*FSOMEF*NtoN2O*kgtoGg,"NO")</f>
        <v>NO</v>
      </c>
      <c r="L124" s="22" t="str">
        <f>IFERROR(('Activity data'!L88*(1/Constants!$H$135))*ttokg*FSOMEF*NtoN2O*kgtoGg,"NO")</f>
        <v>NO</v>
      </c>
      <c r="M124" s="22" t="str">
        <f>IFERROR(('Activity data'!M88*(1/Constants!$H$135))*ttokg*FSOMEF*NtoN2O*kgtoGg,"NO")</f>
        <v>NO</v>
      </c>
      <c r="N124" s="22" t="str">
        <f>IFERROR(('Activity data'!N88*(1/Constants!$H$135))*ttokg*FSOMEF*NtoN2O*kgtoGg,"NO")</f>
        <v>NO</v>
      </c>
      <c r="O124" s="22" t="str">
        <f>IFERROR(('Activity data'!O88*(1/Constants!$H$135))*ttokg*FSOMEF*NtoN2O*kgtoGg,"NO")</f>
        <v>NO</v>
      </c>
      <c r="P124" s="22" t="str">
        <f>IFERROR(('Activity data'!P88*(1/Constants!$H$135))*ttokg*FSOMEF*NtoN2O*kgtoGg,"NO")</f>
        <v>NO</v>
      </c>
      <c r="Q124" s="22" t="str">
        <f>IFERROR(('Activity data'!Q88*(1/Constants!$H$135))*ttokg*FSOMEF*NtoN2O*kgtoGg,"NO")</f>
        <v>NO</v>
      </c>
      <c r="R124" s="22" t="str">
        <f>IFERROR(('Activity data'!R88*(1/Constants!$H$135))*ttokg*FSOMEF*NtoN2O*kgtoGg,"NO")</f>
        <v>NO</v>
      </c>
      <c r="S124" s="22" t="str">
        <f>IFERROR(('Activity data'!S88*(1/Constants!$H$135))*ttokg*FSOMEF*NtoN2O*kgtoGg,"NO")</f>
        <v>NO</v>
      </c>
      <c r="T124" s="22" t="str">
        <f>IFERROR(('Activity data'!T88*(1/Constants!$H$135))*ttokg*FSOMEF*NtoN2O*kgtoGg,"NO")</f>
        <v>NO</v>
      </c>
      <c r="U124" s="22" t="str">
        <f>IFERROR(('Activity data'!U88*(1/Constants!$H$135))*ttokg*FSOMEF*NtoN2O*kgtoGg,"NO")</f>
        <v>NO</v>
      </c>
      <c r="V124" s="22" t="str">
        <f>IFERROR(('Activity data'!V88*(1/Constants!$H$135))*ttokg*FSOMEF*NtoN2O*kgtoGg,"NO")</f>
        <v>NO</v>
      </c>
      <c r="W124" s="22" t="str">
        <f>IFERROR(('Activity data'!W88*(1/Constants!$H$135))*ttokg*FSOMEF*NtoN2O*kgtoGg,"NO")</f>
        <v>NO</v>
      </c>
      <c r="X124" s="22" t="str">
        <f>IFERROR(('Activity data'!X88*(1/Constants!$H$135))*ttokg*FSOMEF*NtoN2O*kgtoGg,"NO")</f>
        <v>NO</v>
      </c>
      <c r="Y124" s="22" t="str">
        <f>IFERROR(('Activity data'!Y88*(1/Constants!$H$135))*ttokg*FSOMEF*NtoN2O*kgtoGg,"NO")</f>
        <v>NO</v>
      </c>
      <c r="Z124" s="22" t="str">
        <f>IFERROR(('Activity data'!Z88*(1/Constants!$H$135))*ttokg*FSOMEF*NtoN2O*kgtoGg,"NO")</f>
        <v>NO</v>
      </c>
      <c r="AA124" s="22" t="str">
        <f>IFERROR(('Activity data'!AA88*(1/Constants!$H$135))*ttokg*FSOMEF*NtoN2O*kgtoGg,"NO")</f>
        <v>NO</v>
      </c>
      <c r="AB124" s="22" t="str">
        <f>IFERROR(('Activity data'!AB88*(1/Constants!$H$135))*ttokg*FSOMEF*NtoN2O*kgtoGg,"NO")</f>
        <v>NO</v>
      </c>
      <c r="AC124" s="22" t="str">
        <f>IFERROR(('Activity data'!AC88*(1/Constants!$H$135))*ttokg*FSOMEF*NtoN2O*kgtoGg,"NO")</f>
        <v>NO</v>
      </c>
      <c r="AD124" s="22" t="str">
        <f>IFERROR(('Activity data'!AD88*(1/Constants!$H$135))*ttokg*FSOMEF*NtoN2O*kgtoGg,"NO")</f>
        <v>NO</v>
      </c>
      <c r="AE124" s="22" t="str">
        <f>IFERROR(('Activity data'!AE88*(1/Constants!$H$135))*ttokg*FSOMEF*NtoN2O*kgtoGg,"NO")</f>
        <v>NO</v>
      </c>
      <c r="AF124" s="22" t="str">
        <f>IFERROR(('Activity data'!AF88*(1/Constants!$H$135))*ttokg*FSOMEF*NtoN2O*kgtoGg,"NO")</f>
        <v>NO</v>
      </c>
      <c r="AG124" s="22" t="str">
        <f>IFERROR(('Activity data'!AG88*(1/Constants!$H$135))*ttokg*FSOMEF*NtoN2O*kgtoGg,"NO")</f>
        <v>NO</v>
      </c>
      <c r="AH124" s="22" t="str">
        <f>IFERROR(('Activity data'!AH88*(1/Constants!$H$135))*ttokg*FSOMEF*NtoN2O*kgtoGg,"NO")</f>
        <v>NO</v>
      </c>
      <c r="AI124" s="22" t="str">
        <f>IFERROR(('Activity data'!AI88*(1/Constants!$H$135))*ttokg*FSOMEF*NtoN2O*kgtoGg,"NO")</f>
        <v>NO</v>
      </c>
      <c r="AJ124" s="22" t="str">
        <f>IFERROR(('Activity data'!AJ88*(1/Constants!$H$135))*ttokg*FSOMEF*NtoN2O*kgtoGg,"NO")</f>
        <v>NO</v>
      </c>
      <c r="AK124" s="22" t="str">
        <f>IFERROR(('Activity data'!AK88*(1/Constants!$H$135))*ttokg*FSOMEF*NtoN2O*kgtoGg,"NO")</f>
        <v>NO</v>
      </c>
      <c r="AL124" s="22" t="str">
        <f>IFERROR(('Activity data'!AL88*(1/Constants!$H$135))*ttokg*FSOMEF*NtoN2O*kgtoGg,"NO")</f>
        <v>NO</v>
      </c>
      <c r="AM124" s="22" t="str">
        <f>IFERROR(('Activity data'!AM88*(1/Constants!$H$135))*ttokg*FSOMEF*NtoN2O*kgtoGg,"NO")</f>
        <v>NO</v>
      </c>
      <c r="AN124" s="22" t="str">
        <f>IFERROR(('Activity data'!AN88*(1/Constants!$H$135))*ttokg*FSOMEF*NtoN2O*kgtoGg,"NO")</f>
        <v>NO</v>
      </c>
      <c r="AO124" s="22" t="str">
        <f>IFERROR(('Activity data'!AO88*(1/Constants!$H$135))*ttokg*FSOMEF*NtoN2O*kgtoGg,"NO")</f>
        <v>NO</v>
      </c>
      <c r="AP124" s="22" t="str">
        <f>IFERROR(('Activity data'!AP88*(1/Constants!$H$135))*ttokg*FSOMEF*NtoN2O*kgtoGg,"NO")</f>
        <v>NO</v>
      </c>
      <c r="AQ124" s="22" t="str">
        <f>IFERROR(('Activity data'!AQ88*(1/Constants!$H$135))*ttokg*FSOMEF*NtoN2O*kgtoGg,"NO")</f>
        <v>NO</v>
      </c>
      <c r="AR124" s="22" t="str">
        <f>IFERROR(('Activity data'!AR88*(1/Constants!$H$135))*ttokg*FSOMEF*NtoN2O*kgtoGg,"NO")</f>
        <v>NO</v>
      </c>
      <c r="AS124" s="22" t="str">
        <f>IFERROR(('Activity data'!AS88*(1/Constants!$H$135))*ttokg*FSOMEF*NtoN2O*kgtoGg,"NO")</f>
        <v>NO</v>
      </c>
      <c r="AT124" s="22" t="str">
        <f>IFERROR(('Activity data'!AT88*(1/Constants!$H$135))*ttokg*FSOMEF*NtoN2O*kgtoGg,"NO")</f>
        <v>NO</v>
      </c>
      <c r="AU124" s="22" t="str">
        <f>IFERROR(('Activity data'!AU88*(1/Constants!$H$135))*ttokg*FSOMEF*NtoN2O*kgtoGg,"NO")</f>
        <v>NO</v>
      </c>
      <c r="AV124" s="22" t="str">
        <f>IFERROR(('Activity data'!AV88*(1/Constants!$H$135))*ttokg*FSOMEF*NtoN2O*kgtoGg,"NO")</f>
        <v>NO</v>
      </c>
      <c r="AW124" s="22" t="str">
        <f>IFERROR(('Activity data'!AW88*(1/Constants!$H$135))*ttokg*FSOMEF*NtoN2O*kgtoGg,"NO")</f>
        <v>NO</v>
      </c>
      <c r="AX124" s="22" t="str">
        <f>IFERROR(('Activity data'!AX88*(1/Constants!$H$135))*ttokg*FSOMEF*NtoN2O*kgtoGg,"NO")</f>
        <v>NO</v>
      </c>
      <c r="AY124" s="22" t="str">
        <f>IFERROR(('Activity data'!AY88*(1/Constants!$H$135))*ttokg*FSOMEF*NtoN2O*kgtoGg,"NO")</f>
        <v>NO</v>
      </c>
      <c r="AZ124" s="22" t="str">
        <f>IFERROR(('Activity data'!AZ88*(1/Constants!$H$135))*ttokg*FSOMEF*NtoN2O*kgtoGg,"NO")</f>
        <v>NO</v>
      </c>
      <c r="BA124" s="22" t="str">
        <f>IFERROR(('Activity data'!BA88*(1/Constants!$H$135))*ttokg*FSOMEF*NtoN2O*kgtoGg,"NO")</f>
        <v>NO</v>
      </c>
      <c r="BB124" s="22" t="str">
        <f>IFERROR(('Activity data'!BB88*(1/Constants!$H$135))*ttokg*FSOMEF*NtoN2O*kgtoGg,"NO")</f>
        <v>NO</v>
      </c>
      <c r="BC124" s="22" t="str">
        <f>IFERROR(('Activity data'!BC88*(1/Constants!$H$135))*ttokg*FSOMEF*NtoN2O*kgtoGg,"NO")</f>
        <v>NO</v>
      </c>
      <c r="BD124" s="22" t="str">
        <f>IFERROR(('Activity data'!BD88*(1/Constants!$H$135))*ttokg*FSOMEF*NtoN2O*kgtoGg,"NO")</f>
        <v>NO</v>
      </c>
      <c r="BE124" s="22" t="str">
        <f>IFERROR(('Activity data'!BE88*(1/Constants!$H$135))*ttokg*FSOMEF*NtoN2O*kgtoGg,"NO")</f>
        <v>NO</v>
      </c>
      <c r="BF124" s="22" t="str">
        <f>IFERROR(('Activity data'!BF88*(1/Constants!$H$135))*ttokg*FSOMEF*NtoN2O*kgtoGg,"NO")</f>
        <v>NO</v>
      </c>
      <c r="BG124" s="22" t="str">
        <f>IFERROR(('Activity data'!BG88*(1/Constants!$H$135))*ttokg*FSOMEF*NtoN2O*kgtoGg,"NO")</f>
        <v>NO</v>
      </c>
      <c r="BH124" s="22" t="str">
        <f>IFERROR(('Activity data'!BH88*(1/Constants!$H$135))*ttokg*FSOMEF*NtoN2O*kgtoGg,"NO")</f>
        <v>NO</v>
      </c>
      <c r="BI124" s="22" t="str">
        <f>IFERROR(('Activity data'!BI88*(1/Constants!$H$135))*ttokg*FSOMEF*NtoN2O*kgtoGg,"NO")</f>
        <v>NO</v>
      </c>
      <c r="BJ124" s="22" t="str">
        <f>IFERROR(('Activity data'!BJ88*(1/Constants!$H$135))*ttokg*FSOMEF*NtoN2O*kgtoGg,"NO")</f>
        <v>NO</v>
      </c>
      <c r="BK124" s="22" t="str">
        <f>IFERROR(('Activity data'!BK88*(1/Constants!$H$135))*ttokg*FSOMEF*NtoN2O*kgtoGg,"NO")</f>
        <v>NO</v>
      </c>
      <c r="BL124" s="22" t="str">
        <f>IFERROR(('Activity data'!BL88*(1/Constants!$H$135))*ttokg*FSOMEF*NtoN2O*kgtoGg,"NO")</f>
        <v>NO</v>
      </c>
      <c r="BM124" s="22" t="str">
        <f>IFERROR(('Activity data'!BM88*(1/Constants!$H$135))*ttokg*FSOMEF*NtoN2O*kgtoGg,"NO")</f>
        <v>NO</v>
      </c>
      <c r="BN124" s="22" t="str">
        <f>IFERROR(('Activity data'!BN88*(1/Constants!$H$135))*ttokg*FSOMEF*NtoN2O*kgtoGg,"NO")</f>
        <v>NO</v>
      </c>
      <c r="BO124" s="22" t="str">
        <f>IFERROR(('Activity data'!BO88*(1/Constants!$H$135))*ttokg*FSOMEF*NtoN2O*kgtoGg,"NO")</f>
        <v>NO</v>
      </c>
      <c r="BP124" s="22" t="str">
        <f>IFERROR(('Activity data'!BP88*(1/Constants!$H$135))*ttokg*FSOMEF*NtoN2O*kgtoGg,"NO")</f>
        <v>NO</v>
      </c>
    </row>
    <row r="125" spans="1:68" x14ac:dyDescent="0.25">
      <c r="A125" t="str">
        <f t="shared" si="39"/>
        <v>3C Aggregated and non-CO2 emissions on land</v>
      </c>
      <c r="B125" t="str">
        <f t="shared" si="31"/>
        <v>3C4 Direct N2O from managed soils (N2O)</v>
      </c>
      <c r="C125" t="s">
        <v>60</v>
      </c>
      <c r="D125" t="str">
        <f>" - "&amp;'Activity data'!D89</f>
        <v xml:space="preserve"> - Cropland remaining cropland</v>
      </c>
      <c r="E125" t="str">
        <f t="shared" si="40"/>
        <v>FSOM - Cropland remaining cropland</v>
      </c>
      <c r="G125" t="str">
        <f t="shared" si="37"/>
        <v>Gg N2O</v>
      </c>
      <c r="H125" s="22" t="str">
        <f>IFERROR(('Activity data'!H89*(1/Constants!$H$135))*ttokg*FSOMEF*NtoN2O*kgtoGg,"NO")</f>
        <v>NO</v>
      </c>
      <c r="I125" s="22">
        <f>IFERROR(('Activity data'!I89*(1/Constants!$H$135))*ttokg*FSOMEF*NtoN2O*kgtoGg,"NO")</f>
        <v>4.4409793738676062E-4</v>
      </c>
      <c r="J125" s="22">
        <f>IFERROR(('Activity data'!J89*(1/Constants!$H$135))*ttokg*FSOMEF*NtoN2O*kgtoGg,"NO")</f>
        <v>4.4409793738676062E-4</v>
      </c>
      <c r="K125" s="22">
        <f>IFERROR(('Activity data'!K89*(1/Constants!$H$135))*ttokg*FSOMEF*NtoN2O*kgtoGg,"NO")</f>
        <v>4.4409793738676062E-4</v>
      </c>
      <c r="L125" s="22">
        <f>IFERROR(('Activity data'!L89*(1/Constants!$H$135))*ttokg*FSOMEF*NtoN2O*kgtoGg,"NO")</f>
        <v>4.4409793738676062E-4</v>
      </c>
      <c r="M125" s="22">
        <f>IFERROR(('Activity data'!M89*(1/Constants!$H$135))*ttokg*FSOMEF*NtoN2O*kgtoGg,"NO")</f>
        <v>4.4409793738676062E-4</v>
      </c>
      <c r="N125" s="22">
        <f>IFERROR(('Activity data'!N89*(1/Constants!$H$135))*ttokg*FSOMEF*NtoN2O*kgtoGg,"NO")</f>
        <v>4.4409793738676062E-4</v>
      </c>
      <c r="O125" s="22">
        <f>IFERROR(('Activity data'!O89*(1/Constants!$H$135))*ttokg*FSOMEF*NtoN2O*kgtoGg,"NO")</f>
        <v>4.4409793738676062E-4</v>
      </c>
      <c r="P125" s="22">
        <f>IFERROR(('Activity data'!P89*(1/Constants!$H$135))*ttokg*FSOMEF*NtoN2O*kgtoGg,"NO")</f>
        <v>4.4409793738676062E-4</v>
      </c>
      <c r="Q125" s="22">
        <f>IFERROR(('Activity data'!Q89*(1/Constants!$H$135))*ttokg*FSOMEF*NtoN2O*kgtoGg,"NO")</f>
        <v>4.4409793738676062E-4</v>
      </c>
      <c r="R125" s="22">
        <f>IFERROR(('Activity data'!R89*(1/Constants!$H$135))*ttokg*FSOMEF*NtoN2O*kgtoGg,"NO")</f>
        <v>4.4409793738676062E-4</v>
      </c>
      <c r="S125" s="22">
        <f>IFERROR(('Activity data'!S89*(1/Constants!$H$135))*ttokg*FSOMEF*NtoN2O*kgtoGg,"NO")</f>
        <v>4.4409793738676062E-4</v>
      </c>
      <c r="T125" s="22">
        <f>IFERROR(('Activity data'!T89*(1/Constants!$H$135))*ttokg*FSOMEF*NtoN2O*kgtoGg,"NO")</f>
        <v>4.4409793738676062E-4</v>
      </c>
      <c r="U125" s="22">
        <f>IFERROR(('Activity data'!U89*(1/Constants!$H$135))*ttokg*FSOMEF*NtoN2O*kgtoGg,"NO")</f>
        <v>4.4409793738676062E-4</v>
      </c>
      <c r="V125" s="22">
        <f>IFERROR(('Activity data'!V89*(1/Constants!$H$135))*ttokg*FSOMEF*NtoN2O*kgtoGg,"NO")</f>
        <v>4.4409793738676062E-4</v>
      </c>
      <c r="W125" s="22">
        <f>IFERROR(('Activity data'!W89*(1/Constants!$H$135))*ttokg*FSOMEF*NtoN2O*kgtoGg,"NO")</f>
        <v>4.4409793738676062E-4</v>
      </c>
      <c r="X125" s="22">
        <f>IFERROR(('Activity data'!X89*(1/Constants!$H$135))*ttokg*FSOMEF*NtoN2O*kgtoGg,"NO")</f>
        <v>4.4409793738676062E-4</v>
      </c>
      <c r="Y125" s="22">
        <f>IFERROR(('Activity data'!Y89*(1/Constants!$H$135))*ttokg*FSOMEF*NtoN2O*kgtoGg,"NO")</f>
        <v>4.4409793738676062E-4</v>
      </c>
      <c r="Z125" s="22">
        <f>IFERROR(('Activity data'!Z89*(1/Constants!$H$135))*ttokg*FSOMEF*NtoN2O*kgtoGg,"NO")</f>
        <v>4.4409793738676062E-4</v>
      </c>
      <c r="AA125" s="22">
        <f>IFERROR(('Activity data'!AA89*(1/Constants!$H$135))*ttokg*FSOMEF*NtoN2O*kgtoGg,"NO")</f>
        <v>4.4409793738676062E-4</v>
      </c>
      <c r="AB125" s="22">
        <f>IFERROR(('Activity data'!AB89*(1/Constants!$H$135))*ttokg*FSOMEF*NtoN2O*kgtoGg,"NO")</f>
        <v>4.4409793738676062E-4</v>
      </c>
      <c r="AC125" s="22">
        <f>IFERROR(('Activity data'!AC89*(1/Constants!$H$135))*ttokg*FSOMEF*NtoN2O*kgtoGg,"NO")</f>
        <v>4.4409793738676062E-4</v>
      </c>
      <c r="AD125" s="22">
        <f>IFERROR(('Activity data'!AD89*(1/Constants!$H$135))*ttokg*FSOMEF*NtoN2O*kgtoGg,"NO")</f>
        <v>3.4398813895090996E-3</v>
      </c>
      <c r="AE125" s="22">
        <f>IFERROR(('Activity data'!AE89*(1/Constants!$H$135))*ttokg*FSOMEF*NtoN2O*kgtoGg,"NO")</f>
        <v>3.4358310252377683E-3</v>
      </c>
      <c r="AF125" s="22">
        <f>IFERROR(('Activity data'!AF89*(1/Constants!$H$135))*ttokg*FSOMEF*NtoN2O*kgtoGg,"NO")</f>
        <v>3.4317806609664363E-3</v>
      </c>
      <c r="AG125" s="22">
        <f>IFERROR(('Activity data'!AG89*(1/Constants!$H$135))*ttokg*FSOMEF*NtoN2O*kgtoGg,"NO")</f>
        <v>3.4277302966951037E-3</v>
      </c>
      <c r="AH125" s="22">
        <f>IFERROR(('Activity data'!AH89*(1/Constants!$H$135))*ttokg*FSOMEF*NtoN2O*kgtoGg,"NO")</f>
        <v>3.4236799324237725E-3</v>
      </c>
      <c r="AI125" s="22">
        <f>IFERROR(('Activity data'!AI89*(1/Constants!$H$135))*ttokg*FSOMEF*NtoN2O*kgtoGg,"NO")</f>
        <v>3.4196295681524396E-3</v>
      </c>
      <c r="AJ125" s="22">
        <f>IFERROR(('Activity data'!AJ89*(1/Constants!$H$135))*ttokg*FSOMEF*NtoN2O*kgtoGg,"NO")</f>
        <v>3.4155792038811079E-3</v>
      </c>
      <c r="AK125" s="22">
        <f>IFERROR(('Activity data'!AK89*(1/Constants!$H$135))*ttokg*FSOMEF*NtoN2O*kgtoGg,"NO")</f>
        <v>3.4115288396097763E-3</v>
      </c>
      <c r="AL125" s="22">
        <f>IFERROR(('Activity data'!AL89*(1/Constants!$H$135))*ttokg*FSOMEF*NtoN2O*kgtoGg,"NO")</f>
        <v>3.4074784753384451E-3</v>
      </c>
      <c r="AM125" s="22">
        <f>IFERROR(('Activity data'!AM89*(1/Constants!$H$135))*ttokg*FSOMEF*NtoN2O*kgtoGg,"NO")</f>
        <v>3.4034281110671134E-3</v>
      </c>
      <c r="AN125" s="22">
        <f>IFERROR(('Activity data'!AN89*(1/Constants!$H$135))*ttokg*FSOMEF*NtoN2O*kgtoGg,"NO")</f>
        <v>3.39937774679578E-3</v>
      </c>
      <c r="AO125" s="22">
        <f>IFERROR(('Activity data'!AO89*(1/Constants!$H$135))*ttokg*FSOMEF*NtoN2O*kgtoGg,"NO")</f>
        <v>3.3953273825244488E-3</v>
      </c>
      <c r="AP125" s="22">
        <f>IFERROR(('Activity data'!AP89*(1/Constants!$H$135))*ttokg*FSOMEF*NtoN2O*kgtoGg,"NO")</f>
        <v>3.3912770182531172E-3</v>
      </c>
      <c r="AQ125" s="22">
        <f>IFERROR(('Activity data'!AQ89*(1/Constants!$H$135))*ttokg*FSOMEF*NtoN2O*kgtoGg,"NO")</f>
        <v>3.387226653981786E-3</v>
      </c>
      <c r="AR125" s="22">
        <f>IFERROR(('Activity data'!AR89*(1/Constants!$H$135))*ttokg*FSOMEF*NtoN2O*kgtoGg,"NO")</f>
        <v>3.3831762897104547E-3</v>
      </c>
      <c r="AS125" s="22">
        <f>IFERROR(('Activity data'!AS89*(1/Constants!$H$135))*ttokg*FSOMEF*NtoN2O*kgtoGg,"NO")</f>
        <v>3.3791259254391218E-3</v>
      </c>
      <c r="AT125" s="22">
        <f>IFERROR(('Activity data'!AT89*(1/Constants!$H$135))*ttokg*FSOMEF*NtoN2O*kgtoGg,"NO")</f>
        <v>3.375075561167791E-3</v>
      </c>
      <c r="AU125" s="22">
        <f>IFERROR(('Activity data'!AU89*(1/Constants!$H$135))*ttokg*FSOMEF*NtoN2O*kgtoGg,"NO")</f>
        <v>3.3710251968964585E-3</v>
      </c>
      <c r="AV125" s="22">
        <f>IFERROR(('Activity data'!AV89*(1/Constants!$H$135))*ttokg*FSOMEF*NtoN2O*kgtoGg,"NO")</f>
        <v>3.3669748326251273E-3</v>
      </c>
      <c r="AW125" s="22">
        <f>IFERROR(('Activity data'!AW89*(1/Constants!$H$135))*ttokg*FSOMEF*NtoN2O*kgtoGg,"NO")</f>
        <v>3.3629244683537943E-3</v>
      </c>
      <c r="AX125" s="22">
        <f>IFERROR(('Activity data'!AX89*(1/Constants!$H$135))*ttokg*FSOMEF*NtoN2O*kgtoGg,"NO")</f>
        <v>3.358874104082464E-3</v>
      </c>
      <c r="AY125" s="22">
        <f>IFERROR(('Activity data'!AY89*(1/Constants!$H$135))*ttokg*FSOMEF*NtoN2O*kgtoGg,"NO")</f>
        <v>3.3548237398111319E-3</v>
      </c>
      <c r="AZ125" s="22">
        <f>IFERROR(('Activity data'!AZ89*(1/Constants!$H$135))*ttokg*FSOMEF*NtoN2O*kgtoGg,"NO")</f>
        <v>3.3507733755397998E-3</v>
      </c>
      <c r="BA125" s="22">
        <f>IFERROR(('Activity data'!BA89*(1/Constants!$H$135))*ttokg*FSOMEF*NtoN2O*kgtoGg,"NO")</f>
        <v>3.3467230112684673E-3</v>
      </c>
      <c r="BB125" s="22">
        <f>IFERROR(('Activity data'!BB89*(1/Constants!$H$135))*ttokg*FSOMEF*NtoN2O*kgtoGg,"NO")</f>
        <v>3.3426726469971361E-3</v>
      </c>
      <c r="BC125" s="22">
        <f>IFERROR(('Activity data'!BC89*(1/Constants!$H$135))*ttokg*FSOMEF*NtoN2O*kgtoGg,"NO")</f>
        <v>3.3386222827258044E-3</v>
      </c>
      <c r="BD125" s="22">
        <f>IFERROR(('Activity data'!BD89*(1/Constants!$H$135))*ttokg*FSOMEF*NtoN2O*kgtoGg,"NO")</f>
        <v>3.3345719184544728E-3</v>
      </c>
      <c r="BE125" s="22">
        <f>IFERROR(('Activity data'!BE89*(1/Constants!$H$135))*ttokg*FSOMEF*NtoN2O*kgtoGg,"NO")</f>
        <v>3.3305215541831416E-3</v>
      </c>
      <c r="BF125" s="22">
        <f>IFERROR(('Activity data'!BF89*(1/Constants!$H$135))*ttokg*FSOMEF*NtoN2O*kgtoGg,"NO")</f>
        <v>3.3264711899118095E-3</v>
      </c>
      <c r="BG125" s="22">
        <f>IFERROR(('Activity data'!BG89*(1/Constants!$H$135))*ttokg*FSOMEF*NtoN2O*kgtoGg,"NO")</f>
        <v>3.3224208256404765E-3</v>
      </c>
      <c r="BH125" s="22">
        <f>IFERROR(('Activity data'!BH89*(1/Constants!$H$135))*ttokg*FSOMEF*NtoN2O*kgtoGg,"NO")</f>
        <v>3.3183704613691458E-3</v>
      </c>
      <c r="BI125" s="22">
        <f>IFERROR(('Activity data'!BI89*(1/Constants!$H$135))*ttokg*FSOMEF*NtoN2O*kgtoGg,"NO")</f>
        <v>3.3143200970978137E-3</v>
      </c>
      <c r="BJ125" s="22">
        <f>IFERROR(('Activity data'!BJ89*(1/Constants!$H$135))*ttokg*FSOMEF*NtoN2O*kgtoGg,"NO")</f>
        <v>3.3102697328264833E-3</v>
      </c>
      <c r="BK125" s="22">
        <f>IFERROR(('Activity data'!BK89*(1/Constants!$H$135))*ttokg*FSOMEF*NtoN2O*kgtoGg,"NO")</f>
        <v>3.3062193685551499E-3</v>
      </c>
      <c r="BL125" s="22">
        <f>IFERROR(('Activity data'!BL89*(1/Constants!$H$135))*ttokg*FSOMEF*NtoN2O*kgtoGg,"NO")</f>
        <v>3.3021690042838187E-3</v>
      </c>
      <c r="BM125" s="22">
        <f>IFERROR(('Activity data'!BM89*(1/Constants!$H$135))*ttokg*FSOMEF*NtoN2O*kgtoGg,"NO")</f>
        <v>3.2981186400124866E-3</v>
      </c>
      <c r="BN125" s="22">
        <f>IFERROR(('Activity data'!BN89*(1/Constants!$H$135))*ttokg*FSOMEF*NtoN2O*kgtoGg,"NO")</f>
        <v>3.2940682757411541E-3</v>
      </c>
      <c r="BO125" s="22">
        <f>IFERROR(('Activity data'!BO89*(1/Constants!$H$135))*ttokg*FSOMEF*NtoN2O*kgtoGg,"NO")</f>
        <v>3.2900179114698229E-3</v>
      </c>
      <c r="BP125" s="22">
        <f>IFERROR(('Activity data'!BP89*(1/Constants!$H$135))*ttokg*FSOMEF*NtoN2O*kgtoGg,"NO")</f>
        <v>3.2859675471984908E-3</v>
      </c>
    </row>
    <row r="126" spans="1:68" x14ac:dyDescent="0.25">
      <c r="A126" t="str">
        <f t="shared" si="39"/>
        <v>3C Aggregated and non-CO2 emissions on land</v>
      </c>
      <c r="B126" t="str">
        <f t="shared" si="31"/>
        <v>3C4 Direct N2O from managed soils (N2O)</v>
      </c>
      <c r="C126" t="s">
        <v>60</v>
      </c>
      <c r="D126" t="str">
        <f>" - "&amp;'Activity data'!D90</f>
        <v xml:space="preserve"> - Land converted to cropland</v>
      </c>
      <c r="E126" t="str">
        <f t="shared" si="40"/>
        <v>FSOM - Land converted to cropland</v>
      </c>
      <c r="G126" t="str">
        <f t="shared" si="37"/>
        <v>Gg N2O</v>
      </c>
      <c r="H126" s="22" t="str">
        <f>IFERROR(('Activity data'!H90*(1/Constants!$H$135))*ttokg*FSOMEF*NtoN2O*kgtoGg,"NO")</f>
        <v>NO</v>
      </c>
      <c r="I126" s="22">
        <f>IFERROR(('Activity data'!I90*(1/Constants!$H$135))*ttokg*FSOMEF*NtoN2O*kgtoGg,"NO")</f>
        <v>4.6331887587896581E-2</v>
      </c>
      <c r="J126" s="22">
        <f>IFERROR(('Activity data'!J90*(1/Constants!$H$135))*ttokg*FSOMEF*NtoN2O*kgtoGg,"NO")</f>
        <v>4.6331887587896581E-2</v>
      </c>
      <c r="K126" s="22">
        <f>IFERROR(('Activity data'!K90*(1/Constants!$H$135))*ttokg*FSOMEF*NtoN2O*kgtoGg,"NO")</f>
        <v>4.6331887587896581E-2</v>
      </c>
      <c r="L126" s="22">
        <f>IFERROR(('Activity data'!L90*(1/Constants!$H$135))*ttokg*FSOMEF*NtoN2O*kgtoGg,"NO")</f>
        <v>4.6331887587896581E-2</v>
      </c>
      <c r="M126" s="22">
        <f>IFERROR(('Activity data'!M90*(1/Constants!$H$135))*ttokg*FSOMEF*NtoN2O*kgtoGg,"NO")</f>
        <v>4.6331887587896581E-2</v>
      </c>
      <c r="N126" s="22">
        <f>IFERROR(('Activity data'!N90*(1/Constants!$H$135))*ttokg*FSOMEF*NtoN2O*kgtoGg,"NO")</f>
        <v>4.6331887587896581E-2</v>
      </c>
      <c r="O126" s="22">
        <f>IFERROR(('Activity data'!O90*(1/Constants!$H$135))*ttokg*FSOMEF*NtoN2O*kgtoGg,"NO")</f>
        <v>4.6331887587896581E-2</v>
      </c>
      <c r="P126" s="22">
        <f>IFERROR(('Activity data'!P90*(1/Constants!$H$135))*ttokg*FSOMEF*NtoN2O*kgtoGg,"NO")</f>
        <v>4.6331887587896581E-2</v>
      </c>
      <c r="Q126" s="22">
        <f>IFERROR(('Activity data'!Q90*(1/Constants!$H$135))*ttokg*FSOMEF*NtoN2O*kgtoGg,"NO")</f>
        <v>4.6331887587896581E-2</v>
      </c>
      <c r="R126" s="22">
        <f>IFERROR(('Activity data'!R90*(1/Constants!$H$135))*ttokg*FSOMEF*NtoN2O*kgtoGg,"NO")</f>
        <v>4.6331887587896581E-2</v>
      </c>
      <c r="S126" s="22">
        <f>IFERROR(('Activity data'!S90*(1/Constants!$H$135))*ttokg*FSOMEF*NtoN2O*kgtoGg,"NO")</f>
        <v>4.6331887587896581E-2</v>
      </c>
      <c r="T126" s="22">
        <f>IFERROR(('Activity data'!T90*(1/Constants!$H$135))*ttokg*FSOMEF*NtoN2O*kgtoGg,"NO")</f>
        <v>4.6331887587896581E-2</v>
      </c>
      <c r="U126" s="22">
        <f>IFERROR(('Activity data'!U90*(1/Constants!$H$135))*ttokg*FSOMEF*NtoN2O*kgtoGg,"NO")</f>
        <v>4.6331887587896581E-2</v>
      </c>
      <c r="V126" s="22">
        <f>IFERROR(('Activity data'!V90*(1/Constants!$H$135))*ttokg*FSOMEF*NtoN2O*kgtoGg,"NO")</f>
        <v>4.6331887587896581E-2</v>
      </c>
      <c r="W126" s="22">
        <f>IFERROR(('Activity data'!W90*(1/Constants!$H$135))*ttokg*FSOMEF*NtoN2O*kgtoGg,"NO")</f>
        <v>4.6331887587896581E-2</v>
      </c>
      <c r="X126" s="22">
        <f>IFERROR(('Activity data'!X90*(1/Constants!$H$135))*ttokg*FSOMEF*NtoN2O*kgtoGg,"NO")</f>
        <v>4.6331887587896581E-2</v>
      </c>
      <c r="Y126" s="22">
        <f>IFERROR(('Activity data'!Y90*(1/Constants!$H$135))*ttokg*FSOMEF*NtoN2O*kgtoGg,"NO")</f>
        <v>4.6331887587896581E-2</v>
      </c>
      <c r="Z126" s="22">
        <f>IFERROR(('Activity data'!Z90*(1/Constants!$H$135))*ttokg*FSOMEF*NtoN2O*kgtoGg,"NO")</f>
        <v>4.6331887587896581E-2</v>
      </c>
      <c r="AA126" s="22">
        <f>IFERROR(('Activity data'!AA90*(1/Constants!$H$135))*ttokg*FSOMEF*NtoN2O*kgtoGg,"NO")</f>
        <v>4.6331887587896581E-2</v>
      </c>
      <c r="AB126" s="22">
        <f>IFERROR(('Activity data'!AB90*(1/Constants!$H$135))*ttokg*FSOMEF*NtoN2O*kgtoGg,"NO")</f>
        <v>4.6331887587896581E-2</v>
      </c>
      <c r="AC126" s="22">
        <f>IFERROR(('Activity data'!AC90*(1/Constants!$H$135))*ttokg*FSOMEF*NtoN2O*kgtoGg,"NO")</f>
        <v>4.6331887587896581E-2</v>
      </c>
      <c r="AD126" s="22">
        <f>IFERROR(('Activity data'!AD90*(1/Constants!$H$135))*ttokg*FSOMEF*NtoN2O*kgtoGg,"NO")</f>
        <v>0.49020960547040615</v>
      </c>
      <c r="AE126" s="22">
        <f>IFERROR(('Activity data'!AE90*(1/Constants!$H$135))*ttokg*FSOMEF*NtoN2O*kgtoGg,"NO")</f>
        <v>0.49134551154341793</v>
      </c>
      <c r="AF126" s="22">
        <f>IFERROR(('Activity data'!AF90*(1/Constants!$H$135))*ttokg*FSOMEF*NtoN2O*kgtoGg,"NO")</f>
        <v>0.49248141761642988</v>
      </c>
      <c r="AG126" s="22">
        <f>IFERROR(('Activity data'!AG90*(1/Constants!$H$135))*ttokg*FSOMEF*NtoN2O*kgtoGg,"NO")</f>
        <v>0.49361732368944172</v>
      </c>
      <c r="AH126" s="22">
        <f>IFERROR(('Activity data'!AH90*(1/Constants!$H$135))*ttokg*FSOMEF*NtoN2O*kgtoGg,"NO")</f>
        <v>0.49475322976245356</v>
      </c>
      <c r="AI126" s="22">
        <f>IFERROR(('Activity data'!AI90*(1/Constants!$H$135))*ttokg*FSOMEF*NtoN2O*kgtoGg,"NO")</f>
        <v>0.49588913583546534</v>
      </c>
      <c r="AJ126" s="22">
        <f>IFERROR(('Activity data'!AJ90*(1/Constants!$H$135))*ttokg*FSOMEF*NtoN2O*kgtoGg,"NO")</f>
        <v>0.49702504190847724</v>
      </c>
      <c r="AK126" s="22">
        <f>IFERROR(('Activity data'!AK90*(1/Constants!$H$135))*ttokg*FSOMEF*NtoN2O*kgtoGg,"NO")</f>
        <v>0.49816094798148913</v>
      </c>
      <c r="AL126" s="22">
        <f>IFERROR(('Activity data'!AL90*(1/Constants!$H$135))*ttokg*FSOMEF*NtoN2O*kgtoGg,"NO")</f>
        <v>0.49929685405450086</v>
      </c>
      <c r="AM126" s="22">
        <f>IFERROR(('Activity data'!AM90*(1/Constants!$H$135))*ttokg*FSOMEF*NtoN2O*kgtoGg,"NO")</f>
        <v>0.50043276012751292</v>
      </c>
      <c r="AN126" s="22">
        <f>IFERROR(('Activity data'!AN90*(1/Constants!$H$135))*ttokg*FSOMEF*NtoN2O*kgtoGg,"NO")</f>
        <v>0.50156866620052454</v>
      </c>
      <c r="AO126" s="22">
        <f>IFERROR(('Activity data'!AO90*(1/Constants!$H$135))*ttokg*FSOMEF*NtoN2O*kgtoGg,"NO")</f>
        <v>0.50270457227353649</v>
      </c>
      <c r="AP126" s="22">
        <f>IFERROR(('Activity data'!AP90*(1/Constants!$H$135))*ttokg*FSOMEF*NtoN2O*kgtoGg,"NO")</f>
        <v>0.50384047834654833</v>
      </c>
      <c r="AQ126" s="22">
        <f>IFERROR(('Activity data'!AQ90*(1/Constants!$H$135))*ttokg*FSOMEF*NtoN2O*kgtoGg,"NO")</f>
        <v>0.50497638441956039</v>
      </c>
      <c r="AR126" s="22">
        <f>IFERROR(('Activity data'!AR90*(1/Constants!$H$135))*ttokg*FSOMEF*NtoN2O*kgtoGg,"NO")</f>
        <v>0.506112290492572</v>
      </c>
      <c r="AS126" s="22">
        <f>IFERROR(('Activity data'!AS90*(1/Constants!$H$135))*ttokg*FSOMEF*NtoN2O*kgtoGg,"NO")</f>
        <v>0.50724819656558406</v>
      </c>
      <c r="AT126" s="22">
        <f>IFERROR(('Activity data'!AT90*(1/Constants!$H$135))*ttokg*FSOMEF*NtoN2O*kgtoGg,"NO")</f>
        <v>0.50838410263859568</v>
      </c>
      <c r="AU126" s="22">
        <f>IFERROR(('Activity data'!AU90*(1/Constants!$H$135))*ttokg*FSOMEF*NtoN2O*kgtoGg,"NO")</f>
        <v>0.50952000871160763</v>
      </c>
      <c r="AV126" s="22">
        <f>IFERROR(('Activity data'!AV90*(1/Constants!$H$135))*ttokg*FSOMEF*NtoN2O*kgtoGg,"NO")</f>
        <v>0.51065591478461958</v>
      </c>
      <c r="AW126" s="22">
        <f>IFERROR(('Activity data'!AW90*(1/Constants!$H$135))*ttokg*FSOMEF*NtoN2O*kgtoGg,"NO")</f>
        <v>0.51179182085763142</v>
      </c>
      <c r="AX126" s="22">
        <f>IFERROR(('Activity data'!AX90*(1/Constants!$H$135))*ttokg*FSOMEF*NtoN2O*kgtoGg,"NO")</f>
        <v>0.51292772693064326</v>
      </c>
      <c r="AY126" s="22">
        <f>IFERROR(('Activity data'!AY90*(1/Constants!$H$135))*ttokg*FSOMEF*NtoN2O*kgtoGg,"NO")</f>
        <v>0.5140636330036551</v>
      </c>
      <c r="AZ126" s="22">
        <f>IFERROR(('Activity data'!AZ90*(1/Constants!$H$135))*ttokg*FSOMEF*NtoN2O*kgtoGg,"NO")</f>
        <v>0.51519953907666705</v>
      </c>
      <c r="BA126" s="22">
        <f>IFERROR(('Activity data'!BA90*(1/Constants!$H$135))*ttokg*FSOMEF*NtoN2O*kgtoGg,"NO")</f>
        <v>0.51633544514967877</v>
      </c>
      <c r="BB126" s="22">
        <f>IFERROR(('Activity data'!BB90*(1/Constants!$H$135))*ttokg*FSOMEF*NtoN2O*kgtoGg,"NO")</f>
        <v>0.51747135122269072</v>
      </c>
      <c r="BC126" s="22">
        <f>IFERROR(('Activity data'!BC90*(1/Constants!$H$135))*ttokg*FSOMEF*NtoN2O*kgtoGg,"NO")</f>
        <v>0.51860725729570256</v>
      </c>
      <c r="BD126" s="22">
        <f>IFERROR(('Activity data'!BD90*(1/Constants!$H$135))*ttokg*FSOMEF*NtoN2O*kgtoGg,"NO")</f>
        <v>0.5197431633687144</v>
      </c>
      <c r="BE126" s="22">
        <f>IFERROR(('Activity data'!BE90*(1/Constants!$H$135))*ttokg*FSOMEF*NtoN2O*kgtoGg,"NO")</f>
        <v>0.52087906944172624</v>
      </c>
      <c r="BF126" s="22">
        <f>IFERROR(('Activity data'!BF90*(1/Constants!$H$135))*ttokg*FSOMEF*NtoN2O*kgtoGg,"NO")</f>
        <v>0.52201497551473808</v>
      </c>
      <c r="BG126" s="22">
        <f>IFERROR(('Activity data'!BG90*(1/Constants!$H$135))*ttokg*FSOMEF*NtoN2O*kgtoGg,"NO")</f>
        <v>0.52315088158774992</v>
      </c>
      <c r="BH126" s="22">
        <f>IFERROR(('Activity data'!BH90*(1/Constants!$H$135))*ttokg*FSOMEF*NtoN2O*kgtoGg,"NO")</f>
        <v>0.52428678766076187</v>
      </c>
      <c r="BI126" s="22">
        <f>IFERROR(('Activity data'!BI90*(1/Constants!$H$135))*ttokg*FSOMEF*NtoN2O*kgtoGg,"NO")</f>
        <v>0.52542269373377359</v>
      </c>
      <c r="BJ126" s="22">
        <f>IFERROR(('Activity data'!BJ90*(1/Constants!$H$135))*ttokg*FSOMEF*NtoN2O*kgtoGg,"NO")</f>
        <v>0.52655859980678543</v>
      </c>
      <c r="BK126" s="22">
        <f>IFERROR(('Activity data'!BK90*(1/Constants!$H$135))*ttokg*FSOMEF*NtoN2O*kgtoGg,"NO")</f>
        <v>0.52769450587979749</v>
      </c>
      <c r="BL126" s="22">
        <f>IFERROR(('Activity data'!BL90*(1/Constants!$H$135))*ttokg*FSOMEF*NtoN2O*kgtoGg,"NO")</f>
        <v>0.52883041195280922</v>
      </c>
      <c r="BM126" s="22">
        <f>IFERROR(('Activity data'!BM90*(1/Constants!$H$135))*ttokg*FSOMEF*NtoN2O*kgtoGg,"NO")</f>
        <v>0.52996631802582106</v>
      </c>
      <c r="BN126" s="22">
        <f>IFERROR(('Activity data'!BN90*(1/Constants!$H$135))*ttokg*FSOMEF*NtoN2O*kgtoGg,"NO")</f>
        <v>0.53110222409883301</v>
      </c>
      <c r="BO126" s="22">
        <f>IFERROR(('Activity data'!BO90*(1/Constants!$H$135))*ttokg*FSOMEF*NtoN2O*kgtoGg,"NO")</f>
        <v>0.53223813017184474</v>
      </c>
      <c r="BP126" s="22">
        <f>IFERROR(('Activity data'!BP90*(1/Constants!$H$135))*ttokg*FSOMEF*NtoN2O*kgtoGg,"NO")</f>
        <v>0.5333740362448568</v>
      </c>
    </row>
    <row r="127" spans="1:68" x14ac:dyDescent="0.25">
      <c r="A127" t="str">
        <f t="shared" si="39"/>
        <v>3C Aggregated and non-CO2 emissions on land</v>
      </c>
      <c r="B127" t="str">
        <f t="shared" si="31"/>
        <v>3C4 Direct N2O from managed soils (N2O)</v>
      </c>
      <c r="C127" t="s">
        <v>60</v>
      </c>
      <c r="D127" t="str">
        <f>" - "&amp;'Activity data'!D91</f>
        <v xml:space="preserve"> - Grassland remaining grassland</v>
      </c>
      <c r="E127" t="str">
        <f t="shared" si="40"/>
        <v>FSOM - Grassland remaining grassland</v>
      </c>
      <c r="G127" t="str">
        <f t="shared" si="37"/>
        <v>Gg N2O</v>
      </c>
      <c r="H127" s="22" t="str">
        <f>IFERROR(('Activity data'!H91*(1/Constants!$H$135))*ttokg*FSOMEF*NtoN2O*kgtoGg,"NO")</f>
        <v>NO</v>
      </c>
      <c r="I127" s="22">
        <f>IFERROR(('Activity data'!I91*(1/Constants!$H$135))*ttokg*FSOMEF*NtoN2O*kgtoGg,"NO")</f>
        <v>5.1014681376878313E-2</v>
      </c>
      <c r="J127" s="22">
        <f>IFERROR(('Activity data'!J91*(1/Constants!$H$135))*ttokg*FSOMEF*NtoN2O*kgtoGg,"NO")</f>
        <v>5.1014681376878313E-2</v>
      </c>
      <c r="K127" s="22">
        <f>IFERROR(('Activity data'!K91*(1/Constants!$H$135))*ttokg*FSOMEF*NtoN2O*kgtoGg,"NO")</f>
        <v>5.1014681376878313E-2</v>
      </c>
      <c r="L127" s="22">
        <f>IFERROR(('Activity data'!L91*(1/Constants!$H$135))*ttokg*FSOMEF*NtoN2O*kgtoGg,"NO")</f>
        <v>5.1014681376878313E-2</v>
      </c>
      <c r="M127" s="22">
        <f>IFERROR(('Activity data'!M91*(1/Constants!$H$135))*ttokg*FSOMEF*NtoN2O*kgtoGg,"NO")</f>
        <v>5.1014681376878313E-2</v>
      </c>
      <c r="N127" s="22">
        <f>IFERROR(('Activity data'!N91*(1/Constants!$H$135))*ttokg*FSOMEF*NtoN2O*kgtoGg,"NO")</f>
        <v>5.1014681376878313E-2</v>
      </c>
      <c r="O127" s="22">
        <f>IFERROR(('Activity data'!O91*(1/Constants!$H$135))*ttokg*FSOMEF*NtoN2O*kgtoGg,"NO")</f>
        <v>5.1014681376878313E-2</v>
      </c>
      <c r="P127" s="22">
        <f>IFERROR(('Activity data'!P91*(1/Constants!$H$135))*ttokg*FSOMEF*NtoN2O*kgtoGg,"NO")</f>
        <v>5.1014681376878313E-2</v>
      </c>
      <c r="Q127" s="22">
        <f>IFERROR(('Activity data'!Q91*(1/Constants!$H$135))*ttokg*FSOMEF*NtoN2O*kgtoGg,"NO")</f>
        <v>5.1014681376878313E-2</v>
      </c>
      <c r="R127" s="22">
        <f>IFERROR(('Activity data'!R91*(1/Constants!$H$135))*ttokg*FSOMEF*NtoN2O*kgtoGg,"NO")</f>
        <v>5.1014681376878313E-2</v>
      </c>
      <c r="S127" s="22">
        <f>IFERROR(('Activity data'!S91*(1/Constants!$H$135))*ttokg*FSOMEF*NtoN2O*kgtoGg,"NO")</f>
        <v>5.1014681376878313E-2</v>
      </c>
      <c r="T127" s="22">
        <f>IFERROR(('Activity data'!T91*(1/Constants!$H$135))*ttokg*FSOMEF*NtoN2O*kgtoGg,"NO")</f>
        <v>5.1014681376878313E-2</v>
      </c>
      <c r="U127" s="22">
        <f>IFERROR(('Activity data'!U91*(1/Constants!$H$135))*ttokg*FSOMEF*NtoN2O*kgtoGg,"NO")</f>
        <v>5.1014681376878313E-2</v>
      </c>
      <c r="V127" s="22">
        <f>IFERROR(('Activity data'!V91*(1/Constants!$H$135))*ttokg*FSOMEF*NtoN2O*kgtoGg,"NO")</f>
        <v>5.1014681376878313E-2</v>
      </c>
      <c r="W127" s="22">
        <f>IFERROR(('Activity data'!W91*(1/Constants!$H$135))*ttokg*FSOMEF*NtoN2O*kgtoGg,"NO")</f>
        <v>5.1014681376878313E-2</v>
      </c>
      <c r="X127" s="22">
        <f>IFERROR(('Activity data'!X91*(1/Constants!$H$135))*ttokg*FSOMEF*NtoN2O*kgtoGg,"NO")</f>
        <v>5.1014681376878313E-2</v>
      </c>
      <c r="Y127" s="22">
        <f>IFERROR(('Activity data'!Y91*(1/Constants!$H$135))*ttokg*FSOMEF*NtoN2O*kgtoGg,"NO")</f>
        <v>5.1014681376878313E-2</v>
      </c>
      <c r="Z127" s="22">
        <f>IFERROR(('Activity data'!Z91*(1/Constants!$H$135))*ttokg*FSOMEF*NtoN2O*kgtoGg,"NO")</f>
        <v>5.1014681376878313E-2</v>
      </c>
      <c r="AA127" s="22">
        <f>IFERROR(('Activity data'!AA91*(1/Constants!$H$135))*ttokg*FSOMEF*NtoN2O*kgtoGg,"NO")</f>
        <v>5.1014681376878313E-2</v>
      </c>
      <c r="AB127" s="22">
        <f>IFERROR(('Activity data'!AB91*(1/Constants!$H$135))*ttokg*FSOMEF*NtoN2O*kgtoGg,"NO")</f>
        <v>5.1014681376878313E-2</v>
      </c>
      <c r="AC127" s="22">
        <f>IFERROR(('Activity data'!AC91*(1/Constants!$H$135))*ttokg*FSOMEF*NtoN2O*kgtoGg,"NO")</f>
        <v>5.1014681376878313E-2</v>
      </c>
      <c r="AD127" s="22">
        <f>IFERROR(('Activity data'!AD91*(1/Constants!$H$135))*ttokg*FSOMEF*NtoN2O*kgtoGg,"NO")</f>
        <v>0.57597220909378744</v>
      </c>
      <c r="AE127" s="22">
        <f>IFERROR(('Activity data'!AE91*(1/Constants!$H$135))*ttokg*FSOMEF*NtoN2O*kgtoGg,"NO")</f>
        <v>0.57597220909378744</v>
      </c>
      <c r="AF127" s="22">
        <f>IFERROR(('Activity data'!AF91*(1/Constants!$H$135))*ttokg*FSOMEF*NtoN2O*kgtoGg,"NO")</f>
        <v>0.57597220909378744</v>
      </c>
      <c r="AG127" s="22">
        <f>IFERROR(('Activity data'!AG91*(1/Constants!$H$135))*ttokg*FSOMEF*NtoN2O*kgtoGg,"NO")</f>
        <v>0.57597220909378744</v>
      </c>
      <c r="AH127" s="22">
        <f>IFERROR(('Activity data'!AH91*(1/Constants!$H$135))*ttokg*FSOMEF*NtoN2O*kgtoGg,"NO")</f>
        <v>0.57597220909378744</v>
      </c>
      <c r="AI127" s="22">
        <f>IFERROR(('Activity data'!AI91*(1/Constants!$H$135))*ttokg*FSOMEF*NtoN2O*kgtoGg,"NO")</f>
        <v>0.57597220909378744</v>
      </c>
      <c r="AJ127" s="22">
        <f>IFERROR(('Activity data'!AJ91*(1/Constants!$H$135))*ttokg*FSOMEF*NtoN2O*kgtoGg,"NO")</f>
        <v>0.57597220909378744</v>
      </c>
      <c r="AK127" s="22">
        <f>IFERROR(('Activity data'!AK91*(1/Constants!$H$135))*ttokg*FSOMEF*NtoN2O*kgtoGg,"NO")</f>
        <v>0.57597220909378744</v>
      </c>
      <c r="AL127" s="22">
        <f>IFERROR(('Activity data'!AL91*(1/Constants!$H$135))*ttokg*FSOMEF*NtoN2O*kgtoGg,"NO")</f>
        <v>0.57597220909378744</v>
      </c>
      <c r="AM127" s="22">
        <f>IFERROR(('Activity data'!AM91*(1/Constants!$H$135))*ttokg*FSOMEF*NtoN2O*kgtoGg,"NO")</f>
        <v>0.57597220909378744</v>
      </c>
      <c r="AN127" s="22">
        <f>IFERROR(('Activity data'!AN91*(1/Constants!$H$135))*ttokg*FSOMEF*NtoN2O*kgtoGg,"NO")</f>
        <v>0.57597220909378744</v>
      </c>
      <c r="AO127" s="22">
        <f>IFERROR(('Activity data'!AO91*(1/Constants!$H$135))*ttokg*FSOMEF*NtoN2O*kgtoGg,"NO")</f>
        <v>0.57597220909378744</v>
      </c>
      <c r="AP127" s="22">
        <f>IFERROR(('Activity data'!AP91*(1/Constants!$H$135))*ttokg*FSOMEF*NtoN2O*kgtoGg,"NO")</f>
        <v>0.57597220909378744</v>
      </c>
      <c r="AQ127" s="22">
        <f>IFERROR(('Activity data'!AQ91*(1/Constants!$H$135))*ttokg*FSOMEF*NtoN2O*kgtoGg,"NO")</f>
        <v>0.57597220909378744</v>
      </c>
      <c r="AR127" s="22">
        <f>IFERROR(('Activity data'!AR91*(1/Constants!$H$135))*ttokg*FSOMEF*NtoN2O*kgtoGg,"NO")</f>
        <v>0.57597220909378744</v>
      </c>
      <c r="AS127" s="22">
        <f>IFERROR(('Activity data'!AS91*(1/Constants!$H$135))*ttokg*FSOMEF*NtoN2O*kgtoGg,"NO")</f>
        <v>0.57597220909378744</v>
      </c>
      <c r="AT127" s="22">
        <f>IFERROR(('Activity data'!AT91*(1/Constants!$H$135))*ttokg*FSOMEF*NtoN2O*kgtoGg,"NO")</f>
        <v>0.57597220909378744</v>
      </c>
      <c r="AU127" s="22">
        <f>IFERROR(('Activity data'!AU91*(1/Constants!$H$135))*ttokg*FSOMEF*NtoN2O*kgtoGg,"NO")</f>
        <v>0.57597220909378744</v>
      </c>
      <c r="AV127" s="22">
        <f>IFERROR(('Activity data'!AV91*(1/Constants!$H$135))*ttokg*FSOMEF*NtoN2O*kgtoGg,"NO")</f>
        <v>0.57597220909378744</v>
      </c>
      <c r="AW127" s="22">
        <f>IFERROR(('Activity data'!AW91*(1/Constants!$H$135))*ttokg*FSOMEF*NtoN2O*kgtoGg,"NO")</f>
        <v>0.57597220909378744</v>
      </c>
      <c r="AX127" s="22">
        <f>IFERROR(('Activity data'!AX91*(1/Constants!$H$135))*ttokg*FSOMEF*NtoN2O*kgtoGg,"NO")</f>
        <v>0.57597220909378744</v>
      </c>
      <c r="AY127" s="22">
        <f>IFERROR(('Activity data'!AY91*(1/Constants!$H$135))*ttokg*FSOMEF*NtoN2O*kgtoGg,"NO")</f>
        <v>0.57597220909378744</v>
      </c>
      <c r="AZ127" s="22">
        <f>IFERROR(('Activity data'!AZ91*(1/Constants!$H$135))*ttokg*FSOMEF*NtoN2O*kgtoGg,"NO")</f>
        <v>0.57597220909378744</v>
      </c>
      <c r="BA127" s="22">
        <f>IFERROR(('Activity data'!BA91*(1/Constants!$H$135))*ttokg*FSOMEF*NtoN2O*kgtoGg,"NO")</f>
        <v>0.57597220909378744</v>
      </c>
      <c r="BB127" s="22">
        <f>IFERROR(('Activity data'!BB91*(1/Constants!$H$135))*ttokg*FSOMEF*NtoN2O*kgtoGg,"NO")</f>
        <v>0.57597220909378744</v>
      </c>
      <c r="BC127" s="22">
        <f>IFERROR(('Activity data'!BC91*(1/Constants!$H$135))*ttokg*FSOMEF*NtoN2O*kgtoGg,"NO")</f>
        <v>0.57597220909378744</v>
      </c>
      <c r="BD127" s="22">
        <f>IFERROR(('Activity data'!BD91*(1/Constants!$H$135))*ttokg*FSOMEF*NtoN2O*kgtoGg,"NO")</f>
        <v>0.57597220909378744</v>
      </c>
      <c r="BE127" s="22">
        <f>IFERROR(('Activity data'!BE91*(1/Constants!$H$135))*ttokg*FSOMEF*NtoN2O*kgtoGg,"NO")</f>
        <v>0.57597220909378744</v>
      </c>
      <c r="BF127" s="22">
        <f>IFERROR(('Activity data'!BF91*(1/Constants!$H$135))*ttokg*FSOMEF*NtoN2O*kgtoGg,"NO")</f>
        <v>0.57597220909378744</v>
      </c>
      <c r="BG127" s="22">
        <f>IFERROR(('Activity data'!BG91*(1/Constants!$H$135))*ttokg*FSOMEF*NtoN2O*kgtoGg,"NO")</f>
        <v>0.57597220909378744</v>
      </c>
      <c r="BH127" s="22">
        <f>IFERROR(('Activity data'!BH91*(1/Constants!$H$135))*ttokg*FSOMEF*NtoN2O*kgtoGg,"NO")</f>
        <v>0.57597220909378744</v>
      </c>
      <c r="BI127" s="22">
        <f>IFERROR(('Activity data'!BI91*(1/Constants!$H$135))*ttokg*FSOMEF*NtoN2O*kgtoGg,"NO")</f>
        <v>0.57597220909378744</v>
      </c>
      <c r="BJ127" s="22">
        <f>IFERROR(('Activity data'!BJ91*(1/Constants!$H$135))*ttokg*FSOMEF*NtoN2O*kgtoGg,"NO")</f>
        <v>0.57597220909378744</v>
      </c>
      <c r="BK127" s="22">
        <f>IFERROR(('Activity data'!BK91*(1/Constants!$H$135))*ttokg*FSOMEF*NtoN2O*kgtoGg,"NO")</f>
        <v>0.57597220909378744</v>
      </c>
      <c r="BL127" s="22">
        <f>IFERROR(('Activity data'!BL91*(1/Constants!$H$135))*ttokg*FSOMEF*NtoN2O*kgtoGg,"NO")</f>
        <v>0.57597220909378744</v>
      </c>
      <c r="BM127" s="22">
        <f>IFERROR(('Activity data'!BM91*(1/Constants!$H$135))*ttokg*FSOMEF*NtoN2O*kgtoGg,"NO")</f>
        <v>0.57597220909378744</v>
      </c>
      <c r="BN127" s="22">
        <f>IFERROR(('Activity data'!BN91*(1/Constants!$H$135))*ttokg*FSOMEF*NtoN2O*kgtoGg,"NO")</f>
        <v>0.57597220909378744</v>
      </c>
      <c r="BO127" s="22">
        <f>IFERROR(('Activity data'!BO91*(1/Constants!$H$135))*ttokg*FSOMEF*NtoN2O*kgtoGg,"NO")</f>
        <v>0.57597220909378744</v>
      </c>
      <c r="BP127" s="22">
        <f>IFERROR(('Activity data'!BP91*(1/Constants!$H$135))*ttokg*FSOMEF*NtoN2O*kgtoGg,"NO")</f>
        <v>0.57597220909378744</v>
      </c>
    </row>
    <row r="128" spans="1:68" x14ac:dyDescent="0.25">
      <c r="A128" t="str">
        <f t="shared" si="39"/>
        <v>3C Aggregated and non-CO2 emissions on land</v>
      </c>
      <c r="B128" t="str">
        <f t="shared" si="31"/>
        <v>3C4 Direct N2O from managed soils (N2O)</v>
      </c>
      <c r="C128" t="s">
        <v>60</v>
      </c>
      <c r="D128" t="str">
        <f>" - "&amp;'Activity data'!D92</f>
        <v xml:space="preserve"> - Land converted to grassland</v>
      </c>
      <c r="E128" t="str">
        <f t="shared" si="40"/>
        <v>FSOM - Land converted to grassland</v>
      </c>
      <c r="G128" t="str">
        <f t="shared" si="37"/>
        <v>Gg N2O</v>
      </c>
      <c r="H128" s="22">
        <f>IFERROR(('Activity data'!H92*(1/Constants!$H$135))*ttokg*FSOMEF*NtoN2O*kgtoGg,"NO")</f>
        <v>0</v>
      </c>
      <c r="I128" s="22">
        <f>IFERROR(('Activity data'!I92*(1/Constants!$H$135))*ttokg*FSOMEF*NtoN2O*kgtoGg,"NO")</f>
        <v>5.6957876987639012E-4</v>
      </c>
      <c r="J128" s="22">
        <f>IFERROR(('Activity data'!J92*(1/Constants!$H$135))*ttokg*FSOMEF*NtoN2O*kgtoGg,"NO")</f>
        <v>5.6957876987639012E-4</v>
      </c>
      <c r="K128" s="22">
        <f>IFERROR(('Activity data'!K92*(1/Constants!$H$135))*ttokg*FSOMEF*NtoN2O*kgtoGg,"NO")</f>
        <v>5.6957876987639012E-4</v>
      </c>
      <c r="L128" s="22">
        <f>IFERROR(('Activity data'!L92*(1/Constants!$H$135))*ttokg*FSOMEF*NtoN2O*kgtoGg,"NO")</f>
        <v>5.6957876987639012E-4</v>
      </c>
      <c r="M128" s="22">
        <f>IFERROR(('Activity data'!M92*(1/Constants!$H$135))*ttokg*FSOMEF*NtoN2O*kgtoGg,"NO")</f>
        <v>5.6957876987639012E-4</v>
      </c>
      <c r="N128" s="22">
        <f>IFERROR(('Activity data'!N92*(1/Constants!$H$135))*ttokg*FSOMEF*NtoN2O*kgtoGg,"NO")</f>
        <v>5.6957876987639012E-4</v>
      </c>
      <c r="O128" s="22">
        <f>IFERROR(('Activity data'!O92*(1/Constants!$H$135))*ttokg*FSOMEF*NtoN2O*kgtoGg,"NO")</f>
        <v>5.6957876987639012E-4</v>
      </c>
      <c r="P128" s="22">
        <f>IFERROR(('Activity data'!P92*(1/Constants!$H$135))*ttokg*FSOMEF*NtoN2O*kgtoGg,"NO")</f>
        <v>5.6957876987639012E-4</v>
      </c>
      <c r="Q128" s="22">
        <f>IFERROR(('Activity data'!Q92*(1/Constants!$H$135))*ttokg*FSOMEF*NtoN2O*kgtoGg,"NO")</f>
        <v>5.6957876987639012E-4</v>
      </c>
      <c r="R128" s="22">
        <f>IFERROR(('Activity data'!R92*(1/Constants!$H$135))*ttokg*FSOMEF*NtoN2O*kgtoGg,"NO")</f>
        <v>5.6957876987639012E-4</v>
      </c>
      <c r="S128" s="22">
        <f>IFERROR(('Activity data'!S92*(1/Constants!$H$135))*ttokg*FSOMEF*NtoN2O*kgtoGg,"NO")</f>
        <v>5.6957876987639012E-4</v>
      </c>
      <c r="T128" s="22">
        <f>IFERROR(('Activity data'!T92*(1/Constants!$H$135))*ttokg*FSOMEF*NtoN2O*kgtoGg,"NO")</f>
        <v>5.6957876987639012E-4</v>
      </c>
      <c r="U128" s="22">
        <f>IFERROR(('Activity data'!U92*(1/Constants!$H$135))*ttokg*FSOMEF*NtoN2O*kgtoGg,"NO")</f>
        <v>5.6957876987639012E-4</v>
      </c>
      <c r="V128" s="22">
        <f>IFERROR(('Activity data'!V92*(1/Constants!$H$135))*ttokg*FSOMEF*NtoN2O*kgtoGg,"NO")</f>
        <v>5.6957876987639012E-4</v>
      </c>
      <c r="W128" s="22">
        <f>IFERROR(('Activity data'!W92*(1/Constants!$H$135))*ttokg*FSOMEF*NtoN2O*kgtoGg,"NO")</f>
        <v>5.6957876987639012E-4</v>
      </c>
      <c r="X128" s="22">
        <f>IFERROR(('Activity data'!X92*(1/Constants!$H$135))*ttokg*FSOMEF*NtoN2O*kgtoGg,"NO")</f>
        <v>5.6957876987639012E-4</v>
      </c>
      <c r="Y128" s="22">
        <f>IFERROR(('Activity data'!Y92*(1/Constants!$H$135))*ttokg*FSOMEF*NtoN2O*kgtoGg,"NO")</f>
        <v>5.6957876987639012E-4</v>
      </c>
      <c r="Z128" s="22">
        <f>IFERROR(('Activity data'!Z92*(1/Constants!$H$135))*ttokg*FSOMEF*NtoN2O*kgtoGg,"NO")</f>
        <v>5.6957876987639012E-4</v>
      </c>
      <c r="AA128" s="22">
        <f>IFERROR(('Activity data'!AA92*(1/Constants!$H$135))*ttokg*FSOMEF*NtoN2O*kgtoGg,"NO")</f>
        <v>5.6957876987639012E-4</v>
      </c>
      <c r="AB128" s="22">
        <f>IFERROR(('Activity data'!AB92*(1/Constants!$H$135))*ttokg*FSOMEF*NtoN2O*kgtoGg,"NO")</f>
        <v>5.6957876987639012E-4</v>
      </c>
      <c r="AC128" s="22">
        <f>IFERROR(('Activity data'!AC92*(1/Constants!$H$135))*ttokg*FSOMEF*NtoN2O*kgtoGg,"NO")</f>
        <v>5.6957876987639012E-4</v>
      </c>
      <c r="AD128" s="22" t="str">
        <f>IFERROR(('Activity data'!AD92*(1/Constants!$H$135))*ttokg*FSOMEF*NtoN2O*kgtoGg,"NO")</f>
        <v>NO</v>
      </c>
      <c r="AE128" s="22" t="str">
        <f>IFERROR(('Activity data'!AE92*(1/Constants!$H$135))*ttokg*FSOMEF*NtoN2O*kgtoGg,"NO")</f>
        <v>NO</v>
      </c>
      <c r="AF128" s="22" t="str">
        <f>IFERROR(('Activity data'!AF92*(1/Constants!$H$135))*ttokg*FSOMEF*NtoN2O*kgtoGg,"NO")</f>
        <v>NO</v>
      </c>
      <c r="AG128" s="22" t="str">
        <f>IFERROR(('Activity data'!AG92*(1/Constants!$H$135))*ttokg*FSOMEF*NtoN2O*kgtoGg,"NO")</f>
        <v>NO</v>
      </c>
      <c r="AH128" s="22" t="str">
        <f>IFERROR(('Activity data'!AH92*(1/Constants!$H$135))*ttokg*FSOMEF*NtoN2O*kgtoGg,"NO")</f>
        <v>NO</v>
      </c>
      <c r="AI128" s="22" t="str">
        <f>IFERROR(('Activity data'!AI92*(1/Constants!$H$135))*ttokg*FSOMEF*NtoN2O*kgtoGg,"NO")</f>
        <v>NO</v>
      </c>
      <c r="AJ128" s="22" t="str">
        <f>IFERROR(('Activity data'!AJ92*(1/Constants!$H$135))*ttokg*FSOMEF*NtoN2O*kgtoGg,"NO")</f>
        <v>NO</v>
      </c>
      <c r="AK128" s="22" t="str">
        <f>IFERROR(('Activity data'!AK92*(1/Constants!$H$135))*ttokg*FSOMEF*NtoN2O*kgtoGg,"NO")</f>
        <v>NO</v>
      </c>
      <c r="AL128" s="22" t="str">
        <f>IFERROR(('Activity data'!AL92*(1/Constants!$H$135))*ttokg*FSOMEF*NtoN2O*kgtoGg,"NO")</f>
        <v>NO</v>
      </c>
      <c r="AM128" s="22" t="str">
        <f>IFERROR(('Activity data'!AM92*(1/Constants!$H$135))*ttokg*FSOMEF*NtoN2O*kgtoGg,"NO")</f>
        <v>NO</v>
      </c>
      <c r="AN128" s="22" t="str">
        <f>IFERROR(('Activity data'!AN92*(1/Constants!$H$135))*ttokg*FSOMEF*NtoN2O*kgtoGg,"NO")</f>
        <v>NO</v>
      </c>
      <c r="AO128" s="22" t="str">
        <f>IFERROR(('Activity data'!AO92*(1/Constants!$H$135))*ttokg*FSOMEF*NtoN2O*kgtoGg,"NO")</f>
        <v>NO</v>
      </c>
      <c r="AP128" s="22" t="str">
        <f>IFERROR(('Activity data'!AP92*(1/Constants!$H$135))*ttokg*FSOMEF*NtoN2O*kgtoGg,"NO")</f>
        <v>NO</v>
      </c>
      <c r="AQ128" s="22" t="str">
        <f>IFERROR(('Activity data'!AQ92*(1/Constants!$H$135))*ttokg*FSOMEF*NtoN2O*kgtoGg,"NO")</f>
        <v>NO</v>
      </c>
      <c r="AR128" s="22" t="str">
        <f>IFERROR(('Activity data'!AR92*(1/Constants!$H$135))*ttokg*FSOMEF*NtoN2O*kgtoGg,"NO")</f>
        <v>NO</v>
      </c>
      <c r="AS128" s="22" t="str">
        <f>IFERROR(('Activity data'!AS92*(1/Constants!$H$135))*ttokg*FSOMEF*NtoN2O*kgtoGg,"NO")</f>
        <v>NO</v>
      </c>
      <c r="AT128" s="22" t="str">
        <f>IFERROR(('Activity data'!AT92*(1/Constants!$H$135))*ttokg*FSOMEF*NtoN2O*kgtoGg,"NO")</f>
        <v>NO</v>
      </c>
      <c r="AU128" s="22" t="str">
        <f>IFERROR(('Activity data'!AU92*(1/Constants!$H$135))*ttokg*FSOMEF*NtoN2O*kgtoGg,"NO")</f>
        <v>NO</v>
      </c>
      <c r="AV128" s="22" t="str">
        <f>IFERROR(('Activity data'!AV92*(1/Constants!$H$135))*ttokg*FSOMEF*NtoN2O*kgtoGg,"NO")</f>
        <v>NO</v>
      </c>
      <c r="AW128" s="22" t="str">
        <f>IFERROR(('Activity data'!AW92*(1/Constants!$H$135))*ttokg*FSOMEF*NtoN2O*kgtoGg,"NO")</f>
        <v>NO</v>
      </c>
      <c r="AX128" s="22" t="str">
        <f>IFERROR(('Activity data'!AX92*(1/Constants!$H$135))*ttokg*FSOMEF*NtoN2O*kgtoGg,"NO")</f>
        <v>NO</v>
      </c>
      <c r="AY128" s="22" t="str">
        <f>IFERROR(('Activity data'!AY92*(1/Constants!$H$135))*ttokg*FSOMEF*NtoN2O*kgtoGg,"NO")</f>
        <v>NO</v>
      </c>
      <c r="AZ128" s="22" t="str">
        <f>IFERROR(('Activity data'!AZ92*(1/Constants!$H$135))*ttokg*FSOMEF*NtoN2O*kgtoGg,"NO")</f>
        <v>NO</v>
      </c>
      <c r="BA128" s="22" t="str">
        <f>IFERROR(('Activity data'!BA92*(1/Constants!$H$135))*ttokg*FSOMEF*NtoN2O*kgtoGg,"NO")</f>
        <v>NO</v>
      </c>
      <c r="BB128" s="22" t="str">
        <f>IFERROR(('Activity data'!BB92*(1/Constants!$H$135))*ttokg*FSOMEF*NtoN2O*kgtoGg,"NO")</f>
        <v>NO</v>
      </c>
      <c r="BC128" s="22" t="str">
        <f>IFERROR(('Activity data'!BC92*(1/Constants!$H$135))*ttokg*FSOMEF*NtoN2O*kgtoGg,"NO")</f>
        <v>NO</v>
      </c>
      <c r="BD128" s="22" t="str">
        <f>IFERROR(('Activity data'!BD92*(1/Constants!$H$135))*ttokg*FSOMEF*NtoN2O*kgtoGg,"NO")</f>
        <v>NO</v>
      </c>
      <c r="BE128" s="22" t="str">
        <f>IFERROR(('Activity data'!BE92*(1/Constants!$H$135))*ttokg*FSOMEF*NtoN2O*kgtoGg,"NO")</f>
        <v>NO</v>
      </c>
      <c r="BF128" s="22" t="str">
        <f>IFERROR(('Activity data'!BF92*(1/Constants!$H$135))*ttokg*FSOMEF*NtoN2O*kgtoGg,"NO")</f>
        <v>NO</v>
      </c>
      <c r="BG128" s="22" t="str">
        <f>IFERROR(('Activity data'!BG92*(1/Constants!$H$135))*ttokg*FSOMEF*NtoN2O*kgtoGg,"NO")</f>
        <v>NO</v>
      </c>
      <c r="BH128" s="22" t="str">
        <f>IFERROR(('Activity data'!BH92*(1/Constants!$H$135))*ttokg*FSOMEF*NtoN2O*kgtoGg,"NO")</f>
        <v>NO</v>
      </c>
      <c r="BI128" s="22" t="str">
        <f>IFERROR(('Activity data'!BI92*(1/Constants!$H$135))*ttokg*FSOMEF*NtoN2O*kgtoGg,"NO")</f>
        <v>NO</v>
      </c>
      <c r="BJ128" s="22" t="str">
        <f>IFERROR(('Activity data'!BJ92*(1/Constants!$H$135))*ttokg*FSOMEF*NtoN2O*kgtoGg,"NO")</f>
        <v>NO</v>
      </c>
      <c r="BK128" s="22" t="str">
        <f>IFERROR(('Activity data'!BK92*(1/Constants!$H$135))*ttokg*FSOMEF*NtoN2O*kgtoGg,"NO")</f>
        <v>NO</v>
      </c>
      <c r="BL128" s="22" t="str">
        <f>IFERROR(('Activity data'!BL92*(1/Constants!$H$135))*ttokg*FSOMEF*NtoN2O*kgtoGg,"NO")</f>
        <v>NO</v>
      </c>
      <c r="BM128" s="22" t="str">
        <f>IFERROR(('Activity data'!BM92*(1/Constants!$H$135))*ttokg*FSOMEF*NtoN2O*kgtoGg,"NO")</f>
        <v>NO</v>
      </c>
      <c r="BN128" s="22" t="str">
        <f>IFERROR(('Activity data'!BN92*(1/Constants!$H$135))*ttokg*FSOMEF*NtoN2O*kgtoGg,"NO")</f>
        <v>NO</v>
      </c>
      <c r="BO128" s="22" t="str">
        <f>IFERROR(('Activity data'!BO92*(1/Constants!$H$135))*ttokg*FSOMEF*NtoN2O*kgtoGg,"NO")</f>
        <v>NO</v>
      </c>
      <c r="BP128" s="22" t="str">
        <f>IFERROR(('Activity data'!BP92*(1/Constants!$H$135))*ttokg*FSOMEF*NtoN2O*kgtoGg,"NO")</f>
        <v>NO</v>
      </c>
    </row>
    <row r="129" spans="1:68" x14ac:dyDescent="0.25">
      <c r="A129" t="str">
        <f t="shared" si="39"/>
        <v>3C Aggregated and non-CO2 emissions on land</v>
      </c>
      <c r="B129" t="str">
        <f t="shared" si="31"/>
        <v>3C4 Direct N2O from managed soils (N2O)</v>
      </c>
      <c r="C129" t="s">
        <v>60</v>
      </c>
      <c r="D129" t="str">
        <f>" - "&amp;'Activity data'!D93</f>
        <v xml:space="preserve"> - Wetland remaining wetland</v>
      </c>
      <c r="E129" t="str">
        <f t="shared" si="32"/>
        <v>FSOM - Wetland remaining wetland</v>
      </c>
      <c r="G129" t="str">
        <f t="shared" si="37"/>
        <v>Gg N2O</v>
      </c>
      <c r="H129" s="22" t="str">
        <f>IFERROR(('Activity data'!H93*(1/Constants!$H$134))*ttokg*FSOMEF*NtoN2O*kgtoGg,"NO")</f>
        <v>NO</v>
      </c>
      <c r="I129" s="22" t="str">
        <f>IFERROR(('Activity data'!I93*(1/Constants!$H$134))*ttokg*FSOMEF*NtoN2O*kgtoGg,"NO")</f>
        <v>NO</v>
      </c>
      <c r="J129" s="22" t="str">
        <f>IFERROR(('Activity data'!J93*(1/Constants!$H$134))*ttokg*FSOMEF*NtoN2O*kgtoGg,"NO")</f>
        <v>NO</v>
      </c>
      <c r="K129" s="22" t="str">
        <f>IFERROR(('Activity data'!K93*(1/Constants!$H$134))*ttokg*FSOMEF*NtoN2O*kgtoGg,"NO")</f>
        <v>NO</v>
      </c>
      <c r="L129" s="22" t="str">
        <f>IFERROR(('Activity data'!L93*(1/Constants!$H$134))*ttokg*FSOMEF*NtoN2O*kgtoGg,"NO")</f>
        <v>NO</v>
      </c>
      <c r="M129" s="22" t="str">
        <f>IFERROR(('Activity data'!M93*(1/Constants!$H$134))*ttokg*FSOMEF*NtoN2O*kgtoGg,"NO")</f>
        <v>NO</v>
      </c>
      <c r="N129" s="22" t="str">
        <f>IFERROR(('Activity data'!N93*(1/Constants!$H$134))*ttokg*FSOMEF*NtoN2O*kgtoGg,"NO")</f>
        <v>NO</v>
      </c>
      <c r="O129" s="22" t="str">
        <f>IFERROR(('Activity data'!O93*(1/Constants!$H$134))*ttokg*FSOMEF*NtoN2O*kgtoGg,"NO")</f>
        <v>NO</v>
      </c>
      <c r="P129" s="22" t="str">
        <f>IFERROR(('Activity data'!P93*(1/Constants!$H$134))*ttokg*FSOMEF*NtoN2O*kgtoGg,"NO")</f>
        <v>NO</v>
      </c>
      <c r="Q129" s="22" t="str">
        <f>IFERROR(('Activity data'!Q93*(1/Constants!$H$134))*ttokg*FSOMEF*NtoN2O*kgtoGg,"NO")</f>
        <v>NO</v>
      </c>
      <c r="R129" s="22" t="str">
        <f>IFERROR(('Activity data'!R93*(1/Constants!$H$134))*ttokg*FSOMEF*NtoN2O*kgtoGg,"NO")</f>
        <v>NO</v>
      </c>
      <c r="S129" s="22" t="str">
        <f>IFERROR(('Activity data'!S93*(1/Constants!$H$134))*ttokg*FSOMEF*NtoN2O*kgtoGg,"NO")</f>
        <v>NO</v>
      </c>
      <c r="T129" s="22" t="str">
        <f>IFERROR(('Activity data'!T93*(1/Constants!$H$134))*ttokg*FSOMEF*NtoN2O*kgtoGg,"NO")</f>
        <v>NO</v>
      </c>
      <c r="U129" s="22" t="str">
        <f>IFERROR(('Activity data'!U93*(1/Constants!$H$134))*ttokg*FSOMEF*NtoN2O*kgtoGg,"NO")</f>
        <v>NO</v>
      </c>
      <c r="V129" s="22" t="str">
        <f>IFERROR(('Activity data'!V93*(1/Constants!$H$134))*ttokg*FSOMEF*NtoN2O*kgtoGg,"NO")</f>
        <v>NO</v>
      </c>
      <c r="W129" s="22" t="str">
        <f>IFERROR(('Activity data'!W93*(1/Constants!$H$134))*ttokg*FSOMEF*NtoN2O*kgtoGg,"NO")</f>
        <v>NO</v>
      </c>
      <c r="X129" s="22" t="str">
        <f>IFERROR(('Activity data'!X93*(1/Constants!$H$134))*ttokg*FSOMEF*NtoN2O*kgtoGg,"NO")</f>
        <v>NO</v>
      </c>
      <c r="Y129" s="22" t="str">
        <f>IFERROR(('Activity data'!Y93*(1/Constants!$H$134))*ttokg*FSOMEF*NtoN2O*kgtoGg,"NO")</f>
        <v>NO</v>
      </c>
      <c r="Z129" s="22" t="str">
        <f>IFERROR(('Activity data'!Z93*(1/Constants!$H$134))*ttokg*FSOMEF*NtoN2O*kgtoGg,"NO")</f>
        <v>NO</v>
      </c>
      <c r="AA129" s="22" t="str">
        <f>IFERROR(('Activity data'!AA93*(1/Constants!$H$134))*ttokg*FSOMEF*NtoN2O*kgtoGg,"NO")</f>
        <v>NO</v>
      </c>
      <c r="AB129" s="22" t="str">
        <f>IFERROR(('Activity data'!AB93*(1/Constants!$H$134))*ttokg*FSOMEF*NtoN2O*kgtoGg,"NO")</f>
        <v>NO</v>
      </c>
      <c r="AC129" s="22" t="str">
        <f>IFERROR(('Activity data'!AC93*(1/Constants!$H$134))*ttokg*FSOMEF*NtoN2O*kgtoGg,"NO")</f>
        <v>NO</v>
      </c>
      <c r="AD129" s="22" t="str">
        <f>IFERROR(('Activity data'!AD93*(1/Constants!$H$134))*ttokg*FSOMEF*NtoN2O*kgtoGg,"NO")</f>
        <v>NO</v>
      </c>
      <c r="AE129" s="22" t="str">
        <f>IFERROR(('Activity data'!AE93*(1/Constants!$H$134))*ttokg*FSOMEF*NtoN2O*kgtoGg,"NO")</f>
        <v>NO</v>
      </c>
      <c r="AF129" s="22" t="str">
        <f>IFERROR(('Activity data'!AF93*(1/Constants!$H$134))*ttokg*FSOMEF*NtoN2O*kgtoGg,"NO")</f>
        <v>NO</v>
      </c>
      <c r="AG129" s="22" t="str">
        <f>IFERROR(('Activity data'!AG93*(1/Constants!$H$134))*ttokg*FSOMEF*NtoN2O*kgtoGg,"NO")</f>
        <v>NO</v>
      </c>
      <c r="AH129" s="22" t="str">
        <f>IFERROR(('Activity data'!AH93*(1/Constants!$H$134))*ttokg*FSOMEF*NtoN2O*kgtoGg,"NO")</f>
        <v>NO</v>
      </c>
      <c r="AI129" s="22" t="str">
        <f>IFERROR(('Activity data'!AI93*(1/Constants!$H$134))*ttokg*FSOMEF*NtoN2O*kgtoGg,"NO")</f>
        <v>NO</v>
      </c>
      <c r="AJ129" s="22" t="str">
        <f>IFERROR(('Activity data'!AJ93*(1/Constants!$H$134))*ttokg*FSOMEF*NtoN2O*kgtoGg,"NO")</f>
        <v>NO</v>
      </c>
      <c r="AK129" s="22" t="str">
        <f>IFERROR(('Activity data'!AK93*(1/Constants!$H$134))*ttokg*FSOMEF*NtoN2O*kgtoGg,"NO")</f>
        <v>NO</v>
      </c>
      <c r="AL129" s="22" t="str">
        <f>IFERROR(('Activity data'!AL93*(1/Constants!$H$134))*ttokg*FSOMEF*NtoN2O*kgtoGg,"NO")</f>
        <v>NO</v>
      </c>
      <c r="AM129" s="22" t="str">
        <f>IFERROR(('Activity data'!AM93*(1/Constants!$H$134))*ttokg*FSOMEF*NtoN2O*kgtoGg,"NO")</f>
        <v>NO</v>
      </c>
      <c r="AN129" s="22" t="str">
        <f>IFERROR(('Activity data'!AN93*(1/Constants!$H$134))*ttokg*FSOMEF*NtoN2O*kgtoGg,"NO")</f>
        <v>NO</v>
      </c>
      <c r="AO129" s="22" t="str">
        <f>IFERROR(('Activity data'!AO93*(1/Constants!$H$134))*ttokg*FSOMEF*NtoN2O*kgtoGg,"NO")</f>
        <v>NO</v>
      </c>
      <c r="AP129" s="22" t="str">
        <f>IFERROR(('Activity data'!AP93*(1/Constants!$H$134))*ttokg*FSOMEF*NtoN2O*kgtoGg,"NO")</f>
        <v>NO</v>
      </c>
      <c r="AQ129" s="22" t="str">
        <f>IFERROR(('Activity data'!AQ93*(1/Constants!$H$134))*ttokg*FSOMEF*NtoN2O*kgtoGg,"NO")</f>
        <v>NO</v>
      </c>
      <c r="AR129" s="22" t="str">
        <f>IFERROR(('Activity data'!AR93*(1/Constants!$H$134))*ttokg*FSOMEF*NtoN2O*kgtoGg,"NO")</f>
        <v>NO</v>
      </c>
      <c r="AS129" s="22" t="str">
        <f>IFERROR(('Activity data'!AS93*(1/Constants!$H$134))*ttokg*FSOMEF*NtoN2O*kgtoGg,"NO")</f>
        <v>NO</v>
      </c>
      <c r="AT129" s="22" t="str">
        <f>IFERROR(('Activity data'!AT93*(1/Constants!$H$134))*ttokg*FSOMEF*NtoN2O*kgtoGg,"NO")</f>
        <v>NO</v>
      </c>
      <c r="AU129" s="22" t="str">
        <f>IFERROR(('Activity data'!AU93*(1/Constants!$H$134))*ttokg*FSOMEF*NtoN2O*kgtoGg,"NO")</f>
        <v>NO</v>
      </c>
      <c r="AV129" s="22" t="str">
        <f>IFERROR(('Activity data'!AV93*(1/Constants!$H$134))*ttokg*FSOMEF*NtoN2O*kgtoGg,"NO")</f>
        <v>NO</v>
      </c>
      <c r="AW129" s="22" t="str">
        <f>IFERROR(('Activity data'!AW93*(1/Constants!$H$134))*ttokg*FSOMEF*NtoN2O*kgtoGg,"NO")</f>
        <v>NO</v>
      </c>
      <c r="AX129" s="22" t="str">
        <f>IFERROR(('Activity data'!AX93*(1/Constants!$H$134))*ttokg*FSOMEF*NtoN2O*kgtoGg,"NO")</f>
        <v>NO</v>
      </c>
      <c r="AY129" s="22" t="str">
        <f>IFERROR(('Activity data'!AY93*(1/Constants!$H$134))*ttokg*FSOMEF*NtoN2O*kgtoGg,"NO")</f>
        <v>NO</v>
      </c>
      <c r="AZ129" s="22" t="str">
        <f>IFERROR(('Activity data'!AZ93*(1/Constants!$H$134))*ttokg*FSOMEF*NtoN2O*kgtoGg,"NO")</f>
        <v>NO</v>
      </c>
      <c r="BA129" s="22" t="str">
        <f>IFERROR(('Activity data'!BA93*(1/Constants!$H$134))*ttokg*FSOMEF*NtoN2O*kgtoGg,"NO")</f>
        <v>NO</v>
      </c>
      <c r="BB129" s="22" t="str">
        <f>IFERROR(('Activity data'!BB93*(1/Constants!$H$134))*ttokg*FSOMEF*NtoN2O*kgtoGg,"NO")</f>
        <v>NO</v>
      </c>
      <c r="BC129" s="22" t="str">
        <f>IFERROR(('Activity data'!BC93*(1/Constants!$H$134))*ttokg*FSOMEF*NtoN2O*kgtoGg,"NO")</f>
        <v>NO</v>
      </c>
      <c r="BD129" s="22" t="str">
        <f>IFERROR(('Activity data'!BD93*(1/Constants!$H$134))*ttokg*FSOMEF*NtoN2O*kgtoGg,"NO")</f>
        <v>NO</v>
      </c>
      <c r="BE129" s="22" t="str">
        <f>IFERROR(('Activity data'!BE93*(1/Constants!$H$134))*ttokg*FSOMEF*NtoN2O*kgtoGg,"NO")</f>
        <v>NO</v>
      </c>
      <c r="BF129" s="22" t="str">
        <f>IFERROR(('Activity data'!BF93*(1/Constants!$H$134))*ttokg*FSOMEF*NtoN2O*kgtoGg,"NO")</f>
        <v>NO</v>
      </c>
      <c r="BG129" s="22" t="str">
        <f>IFERROR(('Activity data'!BG93*(1/Constants!$H$134))*ttokg*FSOMEF*NtoN2O*kgtoGg,"NO")</f>
        <v>NO</v>
      </c>
      <c r="BH129" s="22" t="str">
        <f>IFERROR(('Activity data'!BH93*(1/Constants!$H$134))*ttokg*FSOMEF*NtoN2O*kgtoGg,"NO")</f>
        <v>NO</v>
      </c>
      <c r="BI129" s="22" t="str">
        <f>IFERROR(('Activity data'!BI93*(1/Constants!$H$134))*ttokg*FSOMEF*NtoN2O*kgtoGg,"NO")</f>
        <v>NO</v>
      </c>
      <c r="BJ129" s="22" t="str">
        <f>IFERROR(('Activity data'!BJ93*(1/Constants!$H$134))*ttokg*FSOMEF*NtoN2O*kgtoGg,"NO")</f>
        <v>NO</v>
      </c>
      <c r="BK129" s="22" t="str">
        <f>IFERROR(('Activity data'!BK93*(1/Constants!$H$134))*ttokg*FSOMEF*NtoN2O*kgtoGg,"NO")</f>
        <v>NO</v>
      </c>
      <c r="BL129" s="22" t="str">
        <f>IFERROR(('Activity data'!BL93*(1/Constants!$H$134))*ttokg*FSOMEF*NtoN2O*kgtoGg,"NO")</f>
        <v>NO</v>
      </c>
      <c r="BM129" s="22" t="str">
        <f>IFERROR(('Activity data'!BM93*(1/Constants!$H$134))*ttokg*FSOMEF*NtoN2O*kgtoGg,"NO")</f>
        <v>NO</v>
      </c>
      <c r="BN129" s="22" t="str">
        <f>IFERROR(('Activity data'!BN93*(1/Constants!$H$134))*ttokg*FSOMEF*NtoN2O*kgtoGg,"NO")</f>
        <v>NO</v>
      </c>
      <c r="BO129" s="22" t="str">
        <f>IFERROR(('Activity data'!BO93*(1/Constants!$H$134))*ttokg*FSOMEF*NtoN2O*kgtoGg,"NO")</f>
        <v>NO</v>
      </c>
      <c r="BP129" s="22" t="str">
        <f>IFERROR(('Activity data'!BP93*(1/Constants!$H$134))*ttokg*FSOMEF*NtoN2O*kgtoGg,"NO")</f>
        <v>NO</v>
      </c>
    </row>
    <row r="130" spans="1:68" x14ac:dyDescent="0.25">
      <c r="A130" t="str">
        <f t="shared" si="39"/>
        <v>3C Aggregated and non-CO2 emissions on land</v>
      </c>
      <c r="B130" t="str">
        <f t="shared" si="31"/>
        <v>3C4 Direct N2O from managed soils (N2O)</v>
      </c>
      <c r="C130" t="s">
        <v>60</v>
      </c>
      <c r="D130" t="str">
        <f>" - "&amp;'Activity data'!D94</f>
        <v xml:space="preserve"> - Land converted to wetland</v>
      </c>
      <c r="E130" t="str">
        <f t="shared" ref="E130:E134" si="41">C130&amp;D130</f>
        <v>FSOM - Land converted to wetland</v>
      </c>
      <c r="G130" t="str">
        <f t="shared" si="37"/>
        <v>Gg N2O</v>
      </c>
      <c r="H130" s="22" t="str">
        <f>IFERROR(('Activity data'!H94*(1/Constants!$H$132))*ttokg*FSOMEF*NtoN2O*kgtoGg,"NO")</f>
        <v>NO</v>
      </c>
      <c r="I130" s="22" t="str">
        <f>IFERROR(('Activity data'!I94*(1/Constants!$H$132))*ttokg*FSOMEF*NtoN2O*kgtoGg,"NO")</f>
        <v>NO</v>
      </c>
      <c r="J130" s="22" t="str">
        <f>IFERROR(('Activity data'!J94*(1/Constants!$H$132))*ttokg*FSOMEF*NtoN2O*kgtoGg,"NO")</f>
        <v>NO</v>
      </c>
      <c r="K130" s="22" t="str">
        <f>IFERROR(('Activity data'!K94*(1/Constants!$H$132))*ttokg*FSOMEF*NtoN2O*kgtoGg,"NO")</f>
        <v>NO</v>
      </c>
      <c r="L130" s="22" t="str">
        <f>IFERROR(('Activity data'!L94*(1/Constants!$H$132))*ttokg*FSOMEF*NtoN2O*kgtoGg,"NO")</f>
        <v>NO</v>
      </c>
      <c r="M130" s="22" t="str">
        <f>IFERROR(('Activity data'!M94*(1/Constants!$H$132))*ttokg*FSOMEF*NtoN2O*kgtoGg,"NO")</f>
        <v>NO</v>
      </c>
      <c r="N130" s="22" t="str">
        <f>IFERROR(('Activity data'!N94*(1/Constants!$H$132))*ttokg*FSOMEF*NtoN2O*kgtoGg,"NO")</f>
        <v>NO</v>
      </c>
      <c r="O130" s="22" t="str">
        <f>IFERROR(('Activity data'!O94*(1/Constants!$H$132))*ttokg*FSOMEF*NtoN2O*kgtoGg,"NO")</f>
        <v>NO</v>
      </c>
      <c r="P130" s="22" t="str">
        <f>IFERROR(('Activity data'!P94*(1/Constants!$H$132))*ttokg*FSOMEF*NtoN2O*kgtoGg,"NO")</f>
        <v>NO</v>
      </c>
      <c r="Q130" s="22" t="str">
        <f>IFERROR(('Activity data'!Q94*(1/Constants!$H$132))*ttokg*FSOMEF*NtoN2O*kgtoGg,"NO")</f>
        <v>NO</v>
      </c>
      <c r="R130" s="22" t="str">
        <f>IFERROR(('Activity data'!R94*(1/Constants!$H$132))*ttokg*FSOMEF*NtoN2O*kgtoGg,"NO")</f>
        <v>NO</v>
      </c>
      <c r="S130" s="22" t="str">
        <f>IFERROR(('Activity data'!S94*(1/Constants!$H$132))*ttokg*FSOMEF*NtoN2O*kgtoGg,"NO")</f>
        <v>NO</v>
      </c>
      <c r="T130" s="22" t="str">
        <f>IFERROR(('Activity data'!T94*(1/Constants!$H$132))*ttokg*FSOMEF*NtoN2O*kgtoGg,"NO")</f>
        <v>NO</v>
      </c>
      <c r="U130" s="22" t="str">
        <f>IFERROR(('Activity data'!U94*(1/Constants!$H$132))*ttokg*FSOMEF*NtoN2O*kgtoGg,"NO")</f>
        <v>NO</v>
      </c>
      <c r="V130" s="22" t="str">
        <f>IFERROR(('Activity data'!V94*(1/Constants!$H$132))*ttokg*FSOMEF*NtoN2O*kgtoGg,"NO")</f>
        <v>NO</v>
      </c>
      <c r="W130" s="22" t="str">
        <f>IFERROR(('Activity data'!W94*(1/Constants!$H$132))*ttokg*FSOMEF*NtoN2O*kgtoGg,"NO")</f>
        <v>NO</v>
      </c>
      <c r="X130" s="22" t="str">
        <f>IFERROR(('Activity data'!X94*(1/Constants!$H$132))*ttokg*FSOMEF*NtoN2O*kgtoGg,"NO")</f>
        <v>NO</v>
      </c>
      <c r="Y130" s="22" t="str">
        <f>IFERROR(('Activity data'!Y94*(1/Constants!$H$132))*ttokg*FSOMEF*NtoN2O*kgtoGg,"NO")</f>
        <v>NO</v>
      </c>
      <c r="Z130" s="22" t="str">
        <f>IFERROR(('Activity data'!Z94*(1/Constants!$H$132))*ttokg*FSOMEF*NtoN2O*kgtoGg,"NO")</f>
        <v>NO</v>
      </c>
      <c r="AA130" s="22" t="str">
        <f>IFERROR(('Activity data'!AA94*(1/Constants!$H$132))*ttokg*FSOMEF*NtoN2O*kgtoGg,"NO")</f>
        <v>NO</v>
      </c>
      <c r="AB130" s="22" t="str">
        <f>IFERROR(('Activity data'!AB94*(1/Constants!$H$132))*ttokg*FSOMEF*NtoN2O*kgtoGg,"NO")</f>
        <v>NO</v>
      </c>
      <c r="AC130" s="22" t="str">
        <f>IFERROR(('Activity data'!AC94*(1/Constants!$H$132))*ttokg*FSOMEF*NtoN2O*kgtoGg,"NO")</f>
        <v>NO</v>
      </c>
      <c r="AD130" s="22" t="str">
        <f>IFERROR(('Activity data'!AD94*(1/Constants!$H$132))*ttokg*FSOMEF*NtoN2O*kgtoGg,"NO")</f>
        <v>NO</v>
      </c>
      <c r="AE130" s="22" t="str">
        <f>IFERROR(('Activity data'!AE94*(1/Constants!$H$132))*ttokg*FSOMEF*NtoN2O*kgtoGg,"NO")</f>
        <v>NO</v>
      </c>
      <c r="AF130" s="22" t="str">
        <f>IFERROR(('Activity data'!AF94*(1/Constants!$H$132))*ttokg*FSOMEF*NtoN2O*kgtoGg,"NO")</f>
        <v>NO</v>
      </c>
      <c r="AG130" s="22" t="str">
        <f>IFERROR(('Activity data'!AG94*(1/Constants!$H$132))*ttokg*FSOMEF*NtoN2O*kgtoGg,"NO")</f>
        <v>NO</v>
      </c>
      <c r="AH130" s="22" t="str">
        <f>IFERROR(('Activity data'!AH94*(1/Constants!$H$132))*ttokg*FSOMEF*NtoN2O*kgtoGg,"NO")</f>
        <v>NO</v>
      </c>
      <c r="AI130" s="22" t="str">
        <f>IFERROR(('Activity data'!AI94*(1/Constants!$H$132))*ttokg*FSOMEF*NtoN2O*kgtoGg,"NO")</f>
        <v>NO</v>
      </c>
      <c r="AJ130" s="22" t="str">
        <f>IFERROR(('Activity data'!AJ94*(1/Constants!$H$132))*ttokg*FSOMEF*NtoN2O*kgtoGg,"NO")</f>
        <v>NO</v>
      </c>
      <c r="AK130" s="22" t="str">
        <f>IFERROR(('Activity data'!AK94*(1/Constants!$H$132))*ttokg*FSOMEF*NtoN2O*kgtoGg,"NO")</f>
        <v>NO</v>
      </c>
      <c r="AL130" s="22" t="str">
        <f>IFERROR(('Activity data'!AL94*(1/Constants!$H$132))*ttokg*FSOMEF*NtoN2O*kgtoGg,"NO")</f>
        <v>NO</v>
      </c>
      <c r="AM130" s="22" t="str">
        <f>IFERROR(('Activity data'!AM94*(1/Constants!$H$132))*ttokg*FSOMEF*NtoN2O*kgtoGg,"NO")</f>
        <v>NO</v>
      </c>
      <c r="AN130" s="22" t="str">
        <f>IFERROR(('Activity data'!AN94*(1/Constants!$H$132))*ttokg*FSOMEF*NtoN2O*kgtoGg,"NO")</f>
        <v>NO</v>
      </c>
      <c r="AO130" s="22" t="str">
        <f>IFERROR(('Activity data'!AO94*(1/Constants!$H$132))*ttokg*FSOMEF*NtoN2O*kgtoGg,"NO")</f>
        <v>NO</v>
      </c>
      <c r="AP130" s="22" t="str">
        <f>IFERROR(('Activity data'!AP94*(1/Constants!$H$132))*ttokg*FSOMEF*NtoN2O*kgtoGg,"NO")</f>
        <v>NO</v>
      </c>
      <c r="AQ130" s="22" t="str">
        <f>IFERROR(('Activity data'!AQ94*(1/Constants!$H$132))*ttokg*FSOMEF*NtoN2O*kgtoGg,"NO")</f>
        <v>NO</v>
      </c>
      <c r="AR130" s="22" t="str">
        <f>IFERROR(('Activity data'!AR94*(1/Constants!$H$132))*ttokg*FSOMEF*NtoN2O*kgtoGg,"NO")</f>
        <v>NO</v>
      </c>
      <c r="AS130" s="22" t="str">
        <f>IFERROR(('Activity data'!AS94*(1/Constants!$H$132))*ttokg*FSOMEF*NtoN2O*kgtoGg,"NO")</f>
        <v>NO</v>
      </c>
      <c r="AT130" s="22" t="str">
        <f>IFERROR(('Activity data'!AT94*(1/Constants!$H$132))*ttokg*FSOMEF*NtoN2O*kgtoGg,"NO")</f>
        <v>NO</v>
      </c>
      <c r="AU130" s="22" t="str">
        <f>IFERROR(('Activity data'!AU94*(1/Constants!$H$132))*ttokg*FSOMEF*NtoN2O*kgtoGg,"NO")</f>
        <v>NO</v>
      </c>
      <c r="AV130" s="22" t="str">
        <f>IFERROR(('Activity data'!AV94*(1/Constants!$H$132))*ttokg*FSOMEF*NtoN2O*kgtoGg,"NO")</f>
        <v>NO</v>
      </c>
      <c r="AW130" s="22" t="str">
        <f>IFERROR(('Activity data'!AW94*(1/Constants!$H$132))*ttokg*FSOMEF*NtoN2O*kgtoGg,"NO")</f>
        <v>NO</v>
      </c>
      <c r="AX130" s="22" t="str">
        <f>IFERROR(('Activity data'!AX94*(1/Constants!$H$132))*ttokg*FSOMEF*NtoN2O*kgtoGg,"NO")</f>
        <v>NO</v>
      </c>
      <c r="AY130" s="22" t="str">
        <f>IFERROR(('Activity data'!AY94*(1/Constants!$H$132))*ttokg*FSOMEF*NtoN2O*kgtoGg,"NO")</f>
        <v>NO</v>
      </c>
      <c r="AZ130" s="22" t="str">
        <f>IFERROR(('Activity data'!AZ94*(1/Constants!$H$132))*ttokg*FSOMEF*NtoN2O*kgtoGg,"NO")</f>
        <v>NO</v>
      </c>
      <c r="BA130" s="22" t="str">
        <f>IFERROR(('Activity data'!BA94*(1/Constants!$H$132))*ttokg*FSOMEF*NtoN2O*kgtoGg,"NO")</f>
        <v>NO</v>
      </c>
      <c r="BB130" s="22" t="str">
        <f>IFERROR(('Activity data'!BB94*(1/Constants!$H$132))*ttokg*FSOMEF*NtoN2O*kgtoGg,"NO")</f>
        <v>NO</v>
      </c>
      <c r="BC130" s="22" t="str">
        <f>IFERROR(('Activity data'!BC94*(1/Constants!$H$132))*ttokg*FSOMEF*NtoN2O*kgtoGg,"NO")</f>
        <v>NO</v>
      </c>
      <c r="BD130" s="22" t="str">
        <f>IFERROR(('Activity data'!BD94*(1/Constants!$H$132))*ttokg*FSOMEF*NtoN2O*kgtoGg,"NO")</f>
        <v>NO</v>
      </c>
      <c r="BE130" s="22" t="str">
        <f>IFERROR(('Activity data'!BE94*(1/Constants!$H$132))*ttokg*FSOMEF*NtoN2O*kgtoGg,"NO")</f>
        <v>NO</v>
      </c>
      <c r="BF130" s="22" t="str">
        <f>IFERROR(('Activity data'!BF94*(1/Constants!$H$132))*ttokg*FSOMEF*NtoN2O*kgtoGg,"NO")</f>
        <v>NO</v>
      </c>
      <c r="BG130" s="22" t="str">
        <f>IFERROR(('Activity data'!BG94*(1/Constants!$H$132))*ttokg*FSOMEF*NtoN2O*kgtoGg,"NO")</f>
        <v>NO</v>
      </c>
      <c r="BH130" s="22" t="str">
        <f>IFERROR(('Activity data'!BH94*(1/Constants!$H$132))*ttokg*FSOMEF*NtoN2O*kgtoGg,"NO")</f>
        <v>NO</v>
      </c>
      <c r="BI130" s="22" t="str">
        <f>IFERROR(('Activity data'!BI94*(1/Constants!$H$132))*ttokg*FSOMEF*NtoN2O*kgtoGg,"NO")</f>
        <v>NO</v>
      </c>
      <c r="BJ130" s="22" t="str">
        <f>IFERROR(('Activity data'!BJ94*(1/Constants!$H$132))*ttokg*FSOMEF*NtoN2O*kgtoGg,"NO")</f>
        <v>NO</v>
      </c>
      <c r="BK130" s="22" t="str">
        <f>IFERROR(('Activity data'!BK94*(1/Constants!$H$132))*ttokg*FSOMEF*NtoN2O*kgtoGg,"NO")</f>
        <v>NO</v>
      </c>
      <c r="BL130" s="22" t="str">
        <f>IFERROR(('Activity data'!BL94*(1/Constants!$H$132))*ttokg*FSOMEF*NtoN2O*kgtoGg,"NO")</f>
        <v>NO</v>
      </c>
      <c r="BM130" s="22" t="str">
        <f>IFERROR(('Activity data'!BM94*(1/Constants!$H$132))*ttokg*FSOMEF*NtoN2O*kgtoGg,"NO")</f>
        <v>NO</v>
      </c>
      <c r="BN130" s="22" t="str">
        <f>IFERROR(('Activity data'!BN94*(1/Constants!$H$132))*ttokg*FSOMEF*NtoN2O*kgtoGg,"NO")</f>
        <v>NO</v>
      </c>
      <c r="BO130" s="22" t="str">
        <f>IFERROR(('Activity data'!BO94*(1/Constants!$H$132))*ttokg*FSOMEF*NtoN2O*kgtoGg,"NO")</f>
        <v>NO</v>
      </c>
      <c r="BP130" s="22" t="str">
        <f>IFERROR(('Activity data'!BP94*(1/Constants!$H$132))*ttokg*FSOMEF*NtoN2O*kgtoGg,"NO")</f>
        <v>NO</v>
      </c>
    </row>
    <row r="131" spans="1:68" x14ac:dyDescent="0.25">
      <c r="A131" t="str">
        <f t="shared" si="39"/>
        <v>3C Aggregated and non-CO2 emissions on land</v>
      </c>
      <c r="B131" t="str">
        <f t="shared" si="31"/>
        <v>3C4 Direct N2O from managed soils (N2O)</v>
      </c>
      <c r="C131" t="s">
        <v>60</v>
      </c>
      <c r="D131" t="str">
        <f>" - "&amp;'Activity data'!D95</f>
        <v xml:space="preserve"> - Settlements remaining settlements</v>
      </c>
      <c r="E131" t="str">
        <f t="shared" si="41"/>
        <v>FSOM - Settlements remaining settlements</v>
      </c>
      <c r="G131" t="str">
        <f t="shared" si="37"/>
        <v>Gg N2O</v>
      </c>
      <c r="H131" s="22" t="str">
        <f>IFERROR(('Activity data'!H95*(1/Constants!$H$133))*ttokg*FSOMEF*NtoN2O*kgtoGg,"NO")</f>
        <v>NO</v>
      </c>
      <c r="I131" s="22">
        <f>IFERROR(('Activity data'!I95*(1/Constants!$H$133))*ttokg*FSOMEF*NtoN2O*kgtoGg,"NO")</f>
        <v>4.963559447138258E-6</v>
      </c>
      <c r="J131" s="22">
        <f>IFERROR(('Activity data'!J95*(1/Constants!$H$133))*ttokg*FSOMEF*NtoN2O*kgtoGg,"NO")</f>
        <v>4.963559447138258E-6</v>
      </c>
      <c r="K131" s="22">
        <f>IFERROR(('Activity data'!K95*(1/Constants!$H$133))*ttokg*FSOMEF*NtoN2O*kgtoGg,"NO")</f>
        <v>4.963559447138258E-6</v>
      </c>
      <c r="L131" s="22">
        <f>IFERROR(('Activity data'!L95*(1/Constants!$H$133))*ttokg*FSOMEF*NtoN2O*kgtoGg,"NO")</f>
        <v>4.963559447138258E-6</v>
      </c>
      <c r="M131" s="22">
        <f>IFERROR(('Activity data'!M95*(1/Constants!$H$133))*ttokg*FSOMEF*NtoN2O*kgtoGg,"NO")</f>
        <v>4.963559447138258E-6</v>
      </c>
      <c r="N131" s="22">
        <f>IFERROR(('Activity data'!N95*(1/Constants!$H$133))*ttokg*FSOMEF*NtoN2O*kgtoGg,"NO")</f>
        <v>4.963559447138258E-6</v>
      </c>
      <c r="O131" s="22">
        <f>IFERROR(('Activity data'!O95*(1/Constants!$H$133))*ttokg*FSOMEF*NtoN2O*kgtoGg,"NO")</f>
        <v>4.963559447138258E-6</v>
      </c>
      <c r="P131" s="22">
        <f>IFERROR(('Activity data'!P95*(1/Constants!$H$133))*ttokg*FSOMEF*NtoN2O*kgtoGg,"NO")</f>
        <v>4.963559447138258E-6</v>
      </c>
      <c r="Q131" s="22">
        <f>IFERROR(('Activity data'!Q95*(1/Constants!$H$133))*ttokg*FSOMEF*NtoN2O*kgtoGg,"NO")</f>
        <v>4.963559447138258E-6</v>
      </c>
      <c r="R131" s="22">
        <f>IFERROR(('Activity data'!R95*(1/Constants!$H$133))*ttokg*FSOMEF*NtoN2O*kgtoGg,"NO")</f>
        <v>4.963559447138258E-6</v>
      </c>
      <c r="S131" s="22">
        <f>IFERROR(('Activity data'!S95*(1/Constants!$H$133))*ttokg*FSOMEF*NtoN2O*kgtoGg,"NO")</f>
        <v>4.963559447138258E-6</v>
      </c>
      <c r="T131" s="22">
        <f>IFERROR(('Activity data'!T95*(1/Constants!$H$133))*ttokg*FSOMEF*NtoN2O*kgtoGg,"NO")</f>
        <v>4.963559447138258E-6</v>
      </c>
      <c r="U131" s="22">
        <f>IFERROR(('Activity data'!U95*(1/Constants!$H$133))*ttokg*FSOMEF*NtoN2O*kgtoGg,"NO")</f>
        <v>4.963559447138258E-6</v>
      </c>
      <c r="V131" s="22">
        <f>IFERROR(('Activity data'!V95*(1/Constants!$H$133))*ttokg*FSOMEF*NtoN2O*kgtoGg,"NO")</f>
        <v>4.963559447138258E-6</v>
      </c>
      <c r="W131" s="22">
        <f>IFERROR(('Activity data'!W95*(1/Constants!$H$133))*ttokg*FSOMEF*NtoN2O*kgtoGg,"NO")</f>
        <v>4.963559447138258E-6</v>
      </c>
      <c r="X131" s="22">
        <f>IFERROR(('Activity data'!X95*(1/Constants!$H$133))*ttokg*FSOMEF*NtoN2O*kgtoGg,"NO")</f>
        <v>4.963559447138258E-6</v>
      </c>
      <c r="Y131" s="22">
        <f>IFERROR(('Activity data'!Y95*(1/Constants!$H$133))*ttokg*FSOMEF*NtoN2O*kgtoGg,"NO")</f>
        <v>4.963559447138258E-6</v>
      </c>
      <c r="Z131" s="22">
        <f>IFERROR(('Activity data'!Z95*(1/Constants!$H$133))*ttokg*FSOMEF*NtoN2O*kgtoGg,"NO")</f>
        <v>4.963559447138258E-6</v>
      </c>
      <c r="AA131" s="22">
        <f>IFERROR(('Activity data'!AA95*(1/Constants!$H$133))*ttokg*FSOMEF*NtoN2O*kgtoGg,"NO")</f>
        <v>4.963559447138258E-6</v>
      </c>
      <c r="AB131" s="22">
        <f>IFERROR(('Activity data'!AB95*(1/Constants!$H$133))*ttokg*FSOMEF*NtoN2O*kgtoGg,"NO")</f>
        <v>4.963559447138258E-6</v>
      </c>
      <c r="AC131" s="22">
        <f>IFERROR(('Activity data'!AC95*(1/Constants!$H$133))*ttokg*FSOMEF*NtoN2O*kgtoGg,"NO")</f>
        <v>4.963559447138258E-6</v>
      </c>
      <c r="AD131" s="22">
        <f>IFERROR(('Activity data'!AD95*(1/Constants!$H$133))*ttokg*FSOMEF*NtoN2O*kgtoGg,"NO")</f>
        <v>5.604018730639919E-5</v>
      </c>
      <c r="AE131" s="22">
        <f>IFERROR(('Activity data'!AE95*(1/Constants!$H$133))*ttokg*FSOMEF*NtoN2O*kgtoGg,"NO")</f>
        <v>5.604018730639919E-5</v>
      </c>
      <c r="AF131" s="22">
        <f>IFERROR(('Activity data'!AF95*(1/Constants!$H$133))*ttokg*FSOMEF*NtoN2O*kgtoGg,"NO")</f>
        <v>5.604018730639919E-5</v>
      </c>
      <c r="AG131" s="22">
        <f>IFERROR(('Activity data'!AG95*(1/Constants!$H$133))*ttokg*FSOMEF*NtoN2O*kgtoGg,"NO")</f>
        <v>5.604018730639919E-5</v>
      </c>
      <c r="AH131" s="22">
        <f>IFERROR(('Activity data'!AH95*(1/Constants!$H$133))*ttokg*FSOMEF*NtoN2O*kgtoGg,"NO")</f>
        <v>5.604018730639919E-5</v>
      </c>
      <c r="AI131" s="22">
        <f>IFERROR(('Activity data'!AI95*(1/Constants!$H$133))*ttokg*FSOMEF*NtoN2O*kgtoGg,"NO")</f>
        <v>5.604018730639919E-5</v>
      </c>
      <c r="AJ131" s="22">
        <f>IFERROR(('Activity data'!AJ95*(1/Constants!$H$133))*ttokg*FSOMEF*NtoN2O*kgtoGg,"NO")</f>
        <v>5.604018730639919E-5</v>
      </c>
      <c r="AK131" s="22">
        <f>IFERROR(('Activity data'!AK95*(1/Constants!$H$133))*ttokg*FSOMEF*NtoN2O*kgtoGg,"NO")</f>
        <v>5.604018730639919E-5</v>
      </c>
      <c r="AL131" s="22">
        <f>IFERROR(('Activity data'!AL95*(1/Constants!$H$133))*ttokg*FSOMEF*NtoN2O*kgtoGg,"NO")</f>
        <v>5.604018730639919E-5</v>
      </c>
      <c r="AM131" s="22">
        <f>IFERROR(('Activity data'!AM95*(1/Constants!$H$133))*ttokg*FSOMEF*NtoN2O*kgtoGg,"NO")</f>
        <v>5.604018730639919E-5</v>
      </c>
      <c r="AN131" s="22">
        <f>IFERROR(('Activity data'!AN95*(1/Constants!$H$133))*ttokg*FSOMEF*NtoN2O*kgtoGg,"NO")</f>
        <v>5.604018730639919E-5</v>
      </c>
      <c r="AO131" s="22">
        <f>IFERROR(('Activity data'!AO95*(1/Constants!$H$133))*ttokg*FSOMEF*NtoN2O*kgtoGg,"NO")</f>
        <v>5.604018730639919E-5</v>
      </c>
      <c r="AP131" s="22">
        <f>IFERROR(('Activity data'!AP95*(1/Constants!$H$133))*ttokg*FSOMEF*NtoN2O*kgtoGg,"NO")</f>
        <v>5.604018730639919E-5</v>
      </c>
      <c r="AQ131" s="22">
        <f>IFERROR(('Activity data'!AQ95*(1/Constants!$H$133))*ttokg*FSOMEF*NtoN2O*kgtoGg,"NO")</f>
        <v>5.604018730639919E-5</v>
      </c>
      <c r="AR131" s="22">
        <f>IFERROR(('Activity data'!AR95*(1/Constants!$H$133))*ttokg*FSOMEF*NtoN2O*kgtoGg,"NO")</f>
        <v>5.604018730639919E-5</v>
      </c>
      <c r="AS131" s="22">
        <f>IFERROR(('Activity data'!AS95*(1/Constants!$H$133))*ttokg*FSOMEF*NtoN2O*kgtoGg,"NO")</f>
        <v>5.604018730639919E-5</v>
      </c>
      <c r="AT131" s="22">
        <f>IFERROR(('Activity data'!AT95*(1/Constants!$H$133))*ttokg*FSOMEF*NtoN2O*kgtoGg,"NO")</f>
        <v>5.604018730639919E-5</v>
      </c>
      <c r="AU131" s="22">
        <f>IFERROR(('Activity data'!AU95*(1/Constants!$H$133))*ttokg*FSOMEF*NtoN2O*kgtoGg,"NO")</f>
        <v>5.604018730639919E-5</v>
      </c>
      <c r="AV131" s="22">
        <f>IFERROR(('Activity data'!AV95*(1/Constants!$H$133))*ttokg*FSOMEF*NtoN2O*kgtoGg,"NO")</f>
        <v>5.604018730639919E-5</v>
      </c>
      <c r="AW131" s="22">
        <f>IFERROR(('Activity data'!AW95*(1/Constants!$H$133))*ttokg*FSOMEF*NtoN2O*kgtoGg,"NO")</f>
        <v>5.604018730639919E-5</v>
      </c>
      <c r="AX131" s="22">
        <f>IFERROR(('Activity data'!AX95*(1/Constants!$H$133))*ttokg*FSOMEF*NtoN2O*kgtoGg,"NO")</f>
        <v>5.604018730639919E-5</v>
      </c>
      <c r="AY131" s="22">
        <f>IFERROR(('Activity data'!AY95*(1/Constants!$H$133))*ttokg*FSOMEF*NtoN2O*kgtoGg,"NO")</f>
        <v>5.604018730639919E-5</v>
      </c>
      <c r="AZ131" s="22">
        <f>IFERROR(('Activity data'!AZ95*(1/Constants!$H$133))*ttokg*FSOMEF*NtoN2O*kgtoGg,"NO")</f>
        <v>5.604018730639919E-5</v>
      </c>
      <c r="BA131" s="22">
        <f>IFERROR(('Activity data'!BA95*(1/Constants!$H$133))*ttokg*FSOMEF*NtoN2O*kgtoGg,"NO")</f>
        <v>5.604018730639919E-5</v>
      </c>
      <c r="BB131" s="22">
        <f>IFERROR(('Activity data'!BB95*(1/Constants!$H$133))*ttokg*FSOMEF*NtoN2O*kgtoGg,"NO")</f>
        <v>5.604018730639919E-5</v>
      </c>
      <c r="BC131" s="22">
        <f>IFERROR(('Activity data'!BC95*(1/Constants!$H$133))*ttokg*FSOMEF*NtoN2O*kgtoGg,"NO")</f>
        <v>5.604018730639919E-5</v>
      </c>
      <c r="BD131" s="22">
        <f>IFERROR(('Activity data'!BD95*(1/Constants!$H$133))*ttokg*FSOMEF*NtoN2O*kgtoGg,"NO")</f>
        <v>5.604018730639919E-5</v>
      </c>
      <c r="BE131" s="22">
        <f>IFERROR(('Activity data'!BE95*(1/Constants!$H$133))*ttokg*FSOMEF*NtoN2O*kgtoGg,"NO")</f>
        <v>5.604018730639919E-5</v>
      </c>
      <c r="BF131" s="22">
        <f>IFERROR(('Activity data'!BF95*(1/Constants!$H$133))*ttokg*FSOMEF*NtoN2O*kgtoGg,"NO")</f>
        <v>5.604018730639919E-5</v>
      </c>
      <c r="BG131" s="22">
        <f>IFERROR(('Activity data'!BG95*(1/Constants!$H$133))*ttokg*FSOMEF*NtoN2O*kgtoGg,"NO")</f>
        <v>5.604018730639919E-5</v>
      </c>
      <c r="BH131" s="22">
        <f>IFERROR(('Activity data'!BH95*(1/Constants!$H$133))*ttokg*FSOMEF*NtoN2O*kgtoGg,"NO")</f>
        <v>5.604018730639919E-5</v>
      </c>
      <c r="BI131" s="22">
        <f>IFERROR(('Activity data'!BI95*(1/Constants!$H$133))*ttokg*FSOMEF*NtoN2O*kgtoGg,"NO")</f>
        <v>5.604018730639919E-5</v>
      </c>
      <c r="BJ131" s="22">
        <f>IFERROR(('Activity data'!BJ95*(1/Constants!$H$133))*ttokg*FSOMEF*NtoN2O*kgtoGg,"NO")</f>
        <v>5.604018730639919E-5</v>
      </c>
      <c r="BK131" s="22">
        <f>IFERROR(('Activity data'!BK95*(1/Constants!$H$133))*ttokg*FSOMEF*NtoN2O*kgtoGg,"NO")</f>
        <v>5.604018730639919E-5</v>
      </c>
      <c r="BL131" s="22">
        <f>IFERROR(('Activity data'!BL95*(1/Constants!$H$133))*ttokg*FSOMEF*NtoN2O*kgtoGg,"NO")</f>
        <v>5.604018730639919E-5</v>
      </c>
      <c r="BM131" s="22">
        <f>IFERROR(('Activity data'!BM95*(1/Constants!$H$133))*ttokg*FSOMEF*NtoN2O*kgtoGg,"NO")</f>
        <v>5.604018730639919E-5</v>
      </c>
      <c r="BN131" s="22">
        <f>IFERROR(('Activity data'!BN95*(1/Constants!$H$133))*ttokg*FSOMEF*NtoN2O*kgtoGg,"NO")</f>
        <v>5.604018730639919E-5</v>
      </c>
      <c r="BO131" s="22">
        <f>IFERROR(('Activity data'!BO95*(1/Constants!$H$133))*ttokg*FSOMEF*NtoN2O*kgtoGg,"NO")</f>
        <v>5.604018730639919E-5</v>
      </c>
      <c r="BP131" s="22">
        <f>IFERROR(('Activity data'!BP95*(1/Constants!$H$133))*ttokg*FSOMEF*NtoN2O*kgtoGg,"NO")</f>
        <v>5.604018730639919E-5</v>
      </c>
    </row>
    <row r="132" spans="1:68" x14ac:dyDescent="0.25">
      <c r="A132" t="str">
        <f t="shared" si="39"/>
        <v>3C Aggregated and non-CO2 emissions on land</v>
      </c>
      <c r="B132" t="str">
        <f t="shared" si="31"/>
        <v>3C4 Direct N2O from managed soils (N2O)</v>
      </c>
      <c r="C132" t="s">
        <v>60</v>
      </c>
      <c r="D132" t="str">
        <f>" - "&amp;'Activity data'!D96</f>
        <v xml:space="preserve"> - Land converted to settlements</v>
      </c>
      <c r="E132" t="str">
        <f t="shared" si="41"/>
        <v>FSOM - Land converted to settlements</v>
      </c>
      <c r="G132" t="str">
        <f t="shared" si="37"/>
        <v>Gg N2O</v>
      </c>
      <c r="H132" s="22">
        <f>IFERROR(('Activity data'!H96*(1/Constants!$H$135))*ttokg*FSOMEF*NtoN2O*kgtoGg,"NO")</f>
        <v>0</v>
      </c>
      <c r="I132" s="22">
        <f>IFERROR(('Activity data'!I96*(1/Constants!$H$135))*ttokg*FSOMEF*NtoN2O*kgtoGg,"NO")</f>
        <v>6.2257171325729504E-3</v>
      </c>
      <c r="J132" s="22">
        <f>IFERROR(('Activity data'!J96*(1/Constants!$H$135))*ttokg*FSOMEF*NtoN2O*kgtoGg,"NO")</f>
        <v>6.2257171325729504E-3</v>
      </c>
      <c r="K132" s="22">
        <f>IFERROR(('Activity data'!K96*(1/Constants!$H$135))*ttokg*FSOMEF*NtoN2O*kgtoGg,"NO")</f>
        <v>6.2257171325729504E-3</v>
      </c>
      <c r="L132" s="22">
        <f>IFERROR(('Activity data'!L96*(1/Constants!$H$135))*ttokg*FSOMEF*NtoN2O*kgtoGg,"NO")</f>
        <v>6.2257171325729504E-3</v>
      </c>
      <c r="M132" s="22">
        <f>IFERROR(('Activity data'!M96*(1/Constants!$H$135))*ttokg*FSOMEF*NtoN2O*kgtoGg,"NO")</f>
        <v>6.2257171325729504E-3</v>
      </c>
      <c r="N132" s="22">
        <f>IFERROR(('Activity data'!N96*(1/Constants!$H$135))*ttokg*FSOMEF*NtoN2O*kgtoGg,"NO")</f>
        <v>6.2257171325729504E-3</v>
      </c>
      <c r="O132" s="22">
        <f>IFERROR(('Activity data'!O96*(1/Constants!$H$135))*ttokg*FSOMEF*NtoN2O*kgtoGg,"NO")</f>
        <v>6.2257171325729504E-3</v>
      </c>
      <c r="P132" s="22">
        <f>IFERROR(('Activity data'!P96*(1/Constants!$H$135))*ttokg*FSOMEF*NtoN2O*kgtoGg,"NO")</f>
        <v>6.2257171325729504E-3</v>
      </c>
      <c r="Q132" s="22">
        <f>IFERROR(('Activity data'!Q96*(1/Constants!$H$135))*ttokg*FSOMEF*NtoN2O*kgtoGg,"NO")</f>
        <v>6.2257171325729504E-3</v>
      </c>
      <c r="R132" s="22">
        <f>IFERROR(('Activity data'!R96*(1/Constants!$H$135))*ttokg*FSOMEF*NtoN2O*kgtoGg,"NO")</f>
        <v>6.2257171325729504E-3</v>
      </c>
      <c r="S132" s="22">
        <f>IFERROR(('Activity data'!S96*(1/Constants!$H$135))*ttokg*FSOMEF*NtoN2O*kgtoGg,"NO")</f>
        <v>6.2257171325729504E-3</v>
      </c>
      <c r="T132" s="22">
        <f>IFERROR(('Activity data'!T96*(1/Constants!$H$135))*ttokg*FSOMEF*NtoN2O*kgtoGg,"NO")</f>
        <v>6.2257171325729504E-3</v>
      </c>
      <c r="U132" s="22">
        <f>IFERROR(('Activity data'!U96*(1/Constants!$H$135))*ttokg*FSOMEF*NtoN2O*kgtoGg,"NO")</f>
        <v>6.2257171325729504E-3</v>
      </c>
      <c r="V132" s="22">
        <f>IFERROR(('Activity data'!V96*(1/Constants!$H$135))*ttokg*FSOMEF*NtoN2O*kgtoGg,"NO")</f>
        <v>6.2257171325729504E-3</v>
      </c>
      <c r="W132" s="22">
        <f>IFERROR(('Activity data'!W96*(1/Constants!$H$135))*ttokg*FSOMEF*NtoN2O*kgtoGg,"NO")</f>
        <v>6.2257171325729504E-3</v>
      </c>
      <c r="X132" s="22">
        <f>IFERROR(('Activity data'!X96*(1/Constants!$H$135))*ttokg*FSOMEF*NtoN2O*kgtoGg,"NO")</f>
        <v>6.2257171325729504E-3</v>
      </c>
      <c r="Y132" s="22">
        <f>IFERROR(('Activity data'!Y96*(1/Constants!$H$135))*ttokg*FSOMEF*NtoN2O*kgtoGg,"NO")</f>
        <v>6.2257171325729504E-3</v>
      </c>
      <c r="Z132" s="22">
        <f>IFERROR(('Activity data'!Z96*(1/Constants!$H$135))*ttokg*FSOMEF*NtoN2O*kgtoGg,"NO")</f>
        <v>6.2257171325729504E-3</v>
      </c>
      <c r="AA132" s="22">
        <f>IFERROR(('Activity data'!AA96*(1/Constants!$H$135))*ttokg*FSOMEF*NtoN2O*kgtoGg,"NO")</f>
        <v>6.2257171325729504E-3</v>
      </c>
      <c r="AB132" s="22">
        <f>IFERROR(('Activity data'!AB96*(1/Constants!$H$135))*ttokg*FSOMEF*NtoN2O*kgtoGg,"NO")</f>
        <v>6.2257171325729504E-3</v>
      </c>
      <c r="AC132" s="22">
        <f>IFERROR(('Activity data'!AC96*(1/Constants!$H$135))*ttokg*FSOMEF*NtoN2O*kgtoGg,"NO")</f>
        <v>6.2257171325729504E-3</v>
      </c>
      <c r="AD132" s="22">
        <f>IFERROR(('Activity data'!AD96*(1/Constants!$H$135))*ttokg*FSOMEF*NtoN2O*kgtoGg,"NO")</f>
        <v>6.110857899094551E-2</v>
      </c>
      <c r="AE132" s="22">
        <f>IFERROR(('Activity data'!AE96*(1/Constants!$H$135))*ttokg*FSOMEF*NtoN2O*kgtoGg,"NO")</f>
        <v>6.110857899094551E-2</v>
      </c>
      <c r="AF132" s="22">
        <f>IFERROR(('Activity data'!AF96*(1/Constants!$H$135))*ttokg*FSOMEF*NtoN2O*kgtoGg,"NO")</f>
        <v>6.110857899094551E-2</v>
      </c>
      <c r="AG132" s="22">
        <f>IFERROR(('Activity data'!AG96*(1/Constants!$H$135))*ttokg*FSOMEF*NtoN2O*kgtoGg,"NO")</f>
        <v>6.110857899094551E-2</v>
      </c>
      <c r="AH132" s="22">
        <f>IFERROR(('Activity data'!AH96*(1/Constants!$H$135))*ttokg*FSOMEF*NtoN2O*kgtoGg,"NO")</f>
        <v>6.110857899094551E-2</v>
      </c>
      <c r="AI132" s="22">
        <f>IFERROR(('Activity data'!AI96*(1/Constants!$H$135))*ttokg*FSOMEF*NtoN2O*kgtoGg,"NO")</f>
        <v>6.110857899094551E-2</v>
      </c>
      <c r="AJ132" s="22">
        <f>IFERROR(('Activity data'!AJ96*(1/Constants!$H$135))*ttokg*FSOMEF*NtoN2O*kgtoGg,"NO")</f>
        <v>6.110857899094551E-2</v>
      </c>
      <c r="AK132" s="22">
        <f>IFERROR(('Activity data'!AK96*(1/Constants!$H$135))*ttokg*FSOMEF*NtoN2O*kgtoGg,"NO")</f>
        <v>6.110857899094551E-2</v>
      </c>
      <c r="AL132" s="22">
        <f>IFERROR(('Activity data'!AL96*(1/Constants!$H$135))*ttokg*FSOMEF*NtoN2O*kgtoGg,"NO")</f>
        <v>6.110857899094551E-2</v>
      </c>
      <c r="AM132" s="22">
        <f>IFERROR(('Activity data'!AM96*(1/Constants!$H$135))*ttokg*FSOMEF*NtoN2O*kgtoGg,"NO")</f>
        <v>6.110857899094551E-2</v>
      </c>
      <c r="AN132" s="22">
        <f>IFERROR(('Activity data'!AN96*(1/Constants!$H$135))*ttokg*FSOMEF*NtoN2O*kgtoGg,"NO")</f>
        <v>6.110857899094551E-2</v>
      </c>
      <c r="AO132" s="22">
        <f>IFERROR(('Activity data'!AO96*(1/Constants!$H$135))*ttokg*FSOMEF*NtoN2O*kgtoGg,"NO")</f>
        <v>6.110857899094551E-2</v>
      </c>
      <c r="AP132" s="22">
        <f>IFERROR(('Activity data'!AP96*(1/Constants!$H$135))*ttokg*FSOMEF*NtoN2O*kgtoGg,"NO")</f>
        <v>6.110857899094551E-2</v>
      </c>
      <c r="AQ132" s="22">
        <f>IFERROR(('Activity data'!AQ96*(1/Constants!$H$135))*ttokg*FSOMEF*NtoN2O*kgtoGg,"NO")</f>
        <v>6.110857899094551E-2</v>
      </c>
      <c r="AR132" s="22">
        <f>IFERROR(('Activity data'!AR96*(1/Constants!$H$135))*ttokg*FSOMEF*NtoN2O*kgtoGg,"NO")</f>
        <v>6.110857899094551E-2</v>
      </c>
      <c r="AS132" s="22">
        <f>IFERROR(('Activity data'!AS96*(1/Constants!$H$135))*ttokg*FSOMEF*NtoN2O*kgtoGg,"NO")</f>
        <v>6.110857899094551E-2</v>
      </c>
      <c r="AT132" s="22">
        <f>IFERROR(('Activity data'!AT96*(1/Constants!$H$135))*ttokg*FSOMEF*NtoN2O*kgtoGg,"NO")</f>
        <v>6.110857899094551E-2</v>
      </c>
      <c r="AU132" s="22">
        <f>IFERROR(('Activity data'!AU96*(1/Constants!$H$135))*ttokg*FSOMEF*NtoN2O*kgtoGg,"NO")</f>
        <v>6.110857899094551E-2</v>
      </c>
      <c r="AV132" s="22">
        <f>IFERROR(('Activity data'!AV96*(1/Constants!$H$135))*ttokg*FSOMEF*NtoN2O*kgtoGg,"NO")</f>
        <v>6.110857899094551E-2</v>
      </c>
      <c r="AW132" s="22">
        <f>IFERROR(('Activity data'!AW96*(1/Constants!$H$135))*ttokg*FSOMEF*NtoN2O*kgtoGg,"NO")</f>
        <v>6.110857899094551E-2</v>
      </c>
      <c r="AX132" s="22">
        <f>IFERROR(('Activity data'!AX96*(1/Constants!$H$135))*ttokg*FSOMEF*NtoN2O*kgtoGg,"NO")</f>
        <v>6.110857899094551E-2</v>
      </c>
      <c r="AY132" s="22">
        <f>IFERROR(('Activity data'!AY96*(1/Constants!$H$135))*ttokg*FSOMEF*NtoN2O*kgtoGg,"NO")</f>
        <v>6.110857899094551E-2</v>
      </c>
      <c r="AZ132" s="22">
        <f>IFERROR(('Activity data'!AZ96*(1/Constants!$H$135))*ttokg*FSOMEF*NtoN2O*kgtoGg,"NO")</f>
        <v>6.110857899094551E-2</v>
      </c>
      <c r="BA132" s="22">
        <f>IFERROR(('Activity data'!BA96*(1/Constants!$H$135))*ttokg*FSOMEF*NtoN2O*kgtoGg,"NO")</f>
        <v>6.110857899094551E-2</v>
      </c>
      <c r="BB132" s="22">
        <f>IFERROR(('Activity data'!BB96*(1/Constants!$H$135))*ttokg*FSOMEF*NtoN2O*kgtoGg,"NO")</f>
        <v>6.110857899094551E-2</v>
      </c>
      <c r="BC132" s="22">
        <f>IFERROR(('Activity data'!BC96*(1/Constants!$H$135))*ttokg*FSOMEF*NtoN2O*kgtoGg,"NO")</f>
        <v>6.110857899094551E-2</v>
      </c>
      <c r="BD132" s="22">
        <f>IFERROR(('Activity data'!BD96*(1/Constants!$H$135))*ttokg*FSOMEF*NtoN2O*kgtoGg,"NO")</f>
        <v>6.110857899094551E-2</v>
      </c>
      <c r="BE132" s="22">
        <f>IFERROR(('Activity data'!BE96*(1/Constants!$H$135))*ttokg*FSOMEF*NtoN2O*kgtoGg,"NO")</f>
        <v>6.110857899094551E-2</v>
      </c>
      <c r="BF132" s="22">
        <f>IFERROR(('Activity data'!BF96*(1/Constants!$H$135))*ttokg*FSOMEF*NtoN2O*kgtoGg,"NO")</f>
        <v>6.110857899094551E-2</v>
      </c>
      <c r="BG132" s="22">
        <f>IFERROR(('Activity data'!BG96*(1/Constants!$H$135))*ttokg*FSOMEF*NtoN2O*kgtoGg,"NO")</f>
        <v>6.110857899094551E-2</v>
      </c>
      <c r="BH132" s="22">
        <f>IFERROR(('Activity data'!BH96*(1/Constants!$H$135))*ttokg*FSOMEF*NtoN2O*kgtoGg,"NO")</f>
        <v>6.110857899094551E-2</v>
      </c>
      <c r="BI132" s="22">
        <f>IFERROR(('Activity data'!BI96*(1/Constants!$H$135))*ttokg*FSOMEF*NtoN2O*kgtoGg,"NO")</f>
        <v>6.110857899094551E-2</v>
      </c>
      <c r="BJ132" s="22">
        <f>IFERROR(('Activity data'!BJ96*(1/Constants!$H$135))*ttokg*FSOMEF*NtoN2O*kgtoGg,"NO")</f>
        <v>6.110857899094551E-2</v>
      </c>
      <c r="BK132" s="22">
        <f>IFERROR(('Activity data'!BK96*(1/Constants!$H$135))*ttokg*FSOMEF*NtoN2O*kgtoGg,"NO")</f>
        <v>6.110857899094551E-2</v>
      </c>
      <c r="BL132" s="22">
        <f>IFERROR(('Activity data'!BL96*(1/Constants!$H$135))*ttokg*FSOMEF*NtoN2O*kgtoGg,"NO")</f>
        <v>6.110857899094551E-2</v>
      </c>
      <c r="BM132" s="22">
        <f>IFERROR(('Activity data'!BM96*(1/Constants!$H$135))*ttokg*FSOMEF*NtoN2O*kgtoGg,"NO")</f>
        <v>6.110857899094551E-2</v>
      </c>
      <c r="BN132" s="22">
        <f>IFERROR(('Activity data'!BN96*(1/Constants!$H$135))*ttokg*FSOMEF*NtoN2O*kgtoGg,"NO")</f>
        <v>6.110857899094551E-2</v>
      </c>
      <c r="BO132" s="22">
        <f>IFERROR(('Activity data'!BO96*(1/Constants!$H$135))*ttokg*FSOMEF*NtoN2O*kgtoGg,"NO")</f>
        <v>6.110857899094551E-2</v>
      </c>
      <c r="BP132" s="22">
        <f>IFERROR(('Activity data'!BP96*(1/Constants!$H$135))*ttokg*FSOMEF*NtoN2O*kgtoGg,"NO")</f>
        <v>6.110857899094551E-2</v>
      </c>
    </row>
    <row r="133" spans="1:68" x14ac:dyDescent="0.25">
      <c r="A133" t="str">
        <f t="shared" si="39"/>
        <v>3C Aggregated and non-CO2 emissions on land</v>
      </c>
      <c r="B133" t="str">
        <f t="shared" si="31"/>
        <v>3C4 Direct N2O from managed soils (N2O)</v>
      </c>
      <c r="C133" t="s">
        <v>60</v>
      </c>
      <c r="D133" t="str">
        <f>" - "&amp;'Activity data'!D97</f>
        <v xml:space="preserve"> - Other land remaining other land</v>
      </c>
      <c r="E133" t="str">
        <f t="shared" si="41"/>
        <v>FSOM - Other land remaining other land</v>
      </c>
      <c r="G133" t="str">
        <f t="shared" si="37"/>
        <v>Gg N2O</v>
      </c>
      <c r="H133" s="22" t="str">
        <f>IFERROR(('Activity data'!H97*(1/Constants!$H$135))*ttokg*FSOMEF*NtoN2O*kgtoGg,"NO")</f>
        <v>NO</v>
      </c>
      <c r="I133" s="22" t="str">
        <f>IFERROR(('Activity data'!I97*(1/Constants!$H$135))*ttokg*FSOMEF*NtoN2O*kgtoGg,"NO")</f>
        <v>NO</v>
      </c>
      <c r="J133" s="22" t="str">
        <f>IFERROR(('Activity data'!J97*(1/Constants!$H$135))*ttokg*FSOMEF*NtoN2O*kgtoGg,"NO")</f>
        <v>NO</v>
      </c>
      <c r="K133" s="22" t="str">
        <f>IFERROR(('Activity data'!K97*(1/Constants!$H$135))*ttokg*FSOMEF*NtoN2O*kgtoGg,"NO")</f>
        <v>NO</v>
      </c>
      <c r="L133" s="22" t="str">
        <f>IFERROR(('Activity data'!L97*(1/Constants!$H$135))*ttokg*FSOMEF*NtoN2O*kgtoGg,"NO")</f>
        <v>NO</v>
      </c>
      <c r="M133" s="22" t="str">
        <f>IFERROR(('Activity data'!M97*(1/Constants!$H$135))*ttokg*FSOMEF*NtoN2O*kgtoGg,"NO")</f>
        <v>NO</v>
      </c>
      <c r="N133" s="22" t="str">
        <f>IFERROR(('Activity data'!N97*(1/Constants!$H$135))*ttokg*FSOMEF*NtoN2O*kgtoGg,"NO")</f>
        <v>NO</v>
      </c>
      <c r="O133" s="22" t="str">
        <f>IFERROR(('Activity data'!O97*(1/Constants!$H$135))*ttokg*FSOMEF*NtoN2O*kgtoGg,"NO")</f>
        <v>NO</v>
      </c>
      <c r="P133" s="22" t="str">
        <f>IFERROR(('Activity data'!P97*(1/Constants!$H$135))*ttokg*FSOMEF*NtoN2O*kgtoGg,"NO")</f>
        <v>NO</v>
      </c>
      <c r="Q133" s="22" t="str">
        <f>IFERROR(('Activity data'!Q97*(1/Constants!$H$135))*ttokg*FSOMEF*NtoN2O*kgtoGg,"NO")</f>
        <v>NO</v>
      </c>
      <c r="R133" s="22" t="str">
        <f>IFERROR(('Activity data'!R97*(1/Constants!$H$135))*ttokg*FSOMEF*NtoN2O*kgtoGg,"NO")</f>
        <v>NO</v>
      </c>
      <c r="S133" s="22" t="str">
        <f>IFERROR(('Activity data'!S97*(1/Constants!$H$135))*ttokg*FSOMEF*NtoN2O*kgtoGg,"NO")</f>
        <v>NO</v>
      </c>
      <c r="T133" s="22" t="str">
        <f>IFERROR(('Activity data'!T97*(1/Constants!$H$135))*ttokg*FSOMEF*NtoN2O*kgtoGg,"NO")</f>
        <v>NO</v>
      </c>
      <c r="U133" s="22" t="str">
        <f>IFERROR(('Activity data'!U97*(1/Constants!$H$135))*ttokg*FSOMEF*NtoN2O*kgtoGg,"NO")</f>
        <v>NO</v>
      </c>
      <c r="V133" s="22" t="str">
        <f>IFERROR(('Activity data'!V97*(1/Constants!$H$135))*ttokg*FSOMEF*NtoN2O*kgtoGg,"NO")</f>
        <v>NO</v>
      </c>
      <c r="W133" s="22" t="str">
        <f>IFERROR(('Activity data'!W97*(1/Constants!$H$135))*ttokg*FSOMEF*NtoN2O*kgtoGg,"NO")</f>
        <v>NO</v>
      </c>
      <c r="X133" s="22" t="str">
        <f>IFERROR(('Activity data'!X97*(1/Constants!$H$135))*ttokg*FSOMEF*NtoN2O*kgtoGg,"NO")</f>
        <v>NO</v>
      </c>
      <c r="Y133" s="22" t="str">
        <f>IFERROR(('Activity data'!Y97*(1/Constants!$H$135))*ttokg*FSOMEF*NtoN2O*kgtoGg,"NO")</f>
        <v>NO</v>
      </c>
      <c r="Z133" s="22" t="str">
        <f>IFERROR(('Activity data'!Z97*(1/Constants!$H$135))*ttokg*FSOMEF*NtoN2O*kgtoGg,"NO")</f>
        <v>NO</v>
      </c>
      <c r="AA133" s="22" t="str">
        <f>IFERROR(('Activity data'!AA97*(1/Constants!$H$135))*ttokg*FSOMEF*NtoN2O*kgtoGg,"NO")</f>
        <v>NO</v>
      </c>
      <c r="AB133" s="22" t="str">
        <f>IFERROR(('Activity data'!AB97*(1/Constants!$H$135))*ttokg*FSOMEF*NtoN2O*kgtoGg,"NO")</f>
        <v>NO</v>
      </c>
      <c r="AC133" s="22" t="str">
        <f>IFERROR(('Activity data'!AC97*(1/Constants!$H$135))*ttokg*FSOMEF*NtoN2O*kgtoGg,"NO")</f>
        <v>NO</v>
      </c>
      <c r="AD133" s="22" t="str">
        <f>IFERROR(('Activity data'!AD97*(1/Constants!$H$135))*ttokg*FSOMEF*NtoN2O*kgtoGg,"NO")</f>
        <v>NO</v>
      </c>
      <c r="AE133" s="22" t="str">
        <f>IFERROR(('Activity data'!AE97*(1/Constants!$H$135))*ttokg*FSOMEF*NtoN2O*kgtoGg,"NO")</f>
        <v>NO</v>
      </c>
      <c r="AF133" s="22" t="str">
        <f>IFERROR(('Activity data'!AF97*(1/Constants!$H$135))*ttokg*FSOMEF*NtoN2O*kgtoGg,"NO")</f>
        <v>NO</v>
      </c>
      <c r="AG133" s="22" t="str">
        <f>IFERROR(('Activity data'!AG97*(1/Constants!$H$135))*ttokg*FSOMEF*NtoN2O*kgtoGg,"NO")</f>
        <v>NO</v>
      </c>
      <c r="AH133" s="22" t="str">
        <f>IFERROR(('Activity data'!AH97*(1/Constants!$H$135))*ttokg*FSOMEF*NtoN2O*kgtoGg,"NO")</f>
        <v>NO</v>
      </c>
      <c r="AI133" s="22" t="str">
        <f>IFERROR(('Activity data'!AI97*(1/Constants!$H$135))*ttokg*FSOMEF*NtoN2O*kgtoGg,"NO")</f>
        <v>NO</v>
      </c>
      <c r="AJ133" s="22" t="str">
        <f>IFERROR(('Activity data'!AJ97*(1/Constants!$H$135))*ttokg*FSOMEF*NtoN2O*kgtoGg,"NO")</f>
        <v>NO</v>
      </c>
      <c r="AK133" s="22" t="str">
        <f>IFERROR(('Activity data'!AK97*(1/Constants!$H$135))*ttokg*FSOMEF*NtoN2O*kgtoGg,"NO")</f>
        <v>NO</v>
      </c>
      <c r="AL133" s="22" t="str">
        <f>IFERROR(('Activity data'!AL97*(1/Constants!$H$135))*ttokg*FSOMEF*NtoN2O*kgtoGg,"NO")</f>
        <v>NO</v>
      </c>
      <c r="AM133" s="22" t="str">
        <f>IFERROR(('Activity data'!AM97*(1/Constants!$H$135))*ttokg*FSOMEF*NtoN2O*kgtoGg,"NO")</f>
        <v>NO</v>
      </c>
      <c r="AN133" s="22" t="str">
        <f>IFERROR(('Activity data'!AN97*(1/Constants!$H$135))*ttokg*FSOMEF*NtoN2O*kgtoGg,"NO")</f>
        <v>NO</v>
      </c>
      <c r="AO133" s="22" t="str">
        <f>IFERROR(('Activity data'!AO97*(1/Constants!$H$135))*ttokg*FSOMEF*NtoN2O*kgtoGg,"NO")</f>
        <v>NO</v>
      </c>
      <c r="AP133" s="22" t="str">
        <f>IFERROR(('Activity data'!AP97*(1/Constants!$H$135))*ttokg*FSOMEF*NtoN2O*kgtoGg,"NO")</f>
        <v>NO</v>
      </c>
      <c r="AQ133" s="22" t="str">
        <f>IFERROR(('Activity data'!AQ97*(1/Constants!$H$135))*ttokg*FSOMEF*NtoN2O*kgtoGg,"NO")</f>
        <v>NO</v>
      </c>
      <c r="AR133" s="22" t="str">
        <f>IFERROR(('Activity data'!AR97*(1/Constants!$H$135))*ttokg*FSOMEF*NtoN2O*kgtoGg,"NO")</f>
        <v>NO</v>
      </c>
      <c r="AS133" s="22" t="str">
        <f>IFERROR(('Activity data'!AS97*(1/Constants!$H$135))*ttokg*FSOMEF*NtoN2O*kgtoGg,"NO")</f>
        <v>NO</v>
      </c>
      <c r="AT133" s="22" t="str">
        <f>IFERROR(('Activity data'!AT97*(1/Constants!$H$135))*ttokg*FSOMEF*NtoN2O*kgtoGg,"NO")</f>
        <v>NO</v>
      </c>
      <c r="AU133" s="22" t="str">
        <f>IFERROR(('Activity data'!AU97*(1/Constants!$H$135))*ttokg*FSOMEF*NtoN2O*kgtoGg,"NO")</f>
        <v>NO</v>
      </c>
      <c r="AV133" s="22" t="str">
        <f>IFERROR(('Activity data'!AV97*(1/Constants!$H$135))*ttokg*FSOMEF*NtoN2O*kgtoGg,"NO")</f>
        <v>NO</v>
      </c>
      <c r="AW133" s="22" t="str">
        <f>IFERROR(('Activity data'!AW97*(1/Constants!$H$135))*ttokg*FSOMEF*NtoN2O*kgtoGg,"NO")</f>
        <v>NO</v>
      </c>
      <c r="AX133" s="22" t="str">
        <f>IFERROR(('Activity data'!AX97*(1/Constants!$H$135))*ttokg*FSOMEF*NtoN2O*kgtoGg,"NO")</f>
        <v>NO</v>
      </c>
      <c r="AY133" s="22" t="str">
        <f>IFERROR(('Activity data'!AY97*(1/Constants!$H$135))*ttokg*FSOMEF*NtoN2O*kgtoGg,"NO")</f>
        <v>NO</v>
      </c>
      <c r="AZ133" s="22" t="str">
        <f>IFERROR(('Activity data'!AZ97*(1/Constants!$H$135))*ttokg*FSOMEF*NtoN2O*kgtoGg,"NO")</f>
        <v>NO</v>
      </c>
      <c r="BA133" s="22" t="str">
        <f>IFERROR(('Activity data'!BA97*(1/Constants!$H$135))*ttokg*FSOMEF*NtoN2O*kgtoGg,"NO")</f>
        <v>NO</v>
      </c>
      <c r="BB133" s="22" t="str">
        <f>IFERROR(('Activity data'!BB97*(1/Constants!$H$135))*ttokg*FSOMEF*NtoN2O*kgtoGg,"NO")</f>
        <v>NO</v>
      </c>
      <c r="BC133" s="22" t="str">
        <f>IFERROR(('Activity data'!BC97*(1/Constants!$H$135))*ttokg*FSOMEF*NtoN2O*kgtoGg,"NO")</f>
        <v>NO</v>
      </c>
      <c r="BD133" s="22" t="str">
        <f>IFERROR(('Activity data'!BD97*(1/Constants!$H$135))*ttokg*FSOMEF*NtoN2O*kgtoGg,"NO")</f>
        <v>NO</v>
      </c>
      <c r="BE133" s="22" t="str">
        <f>IFERROR(('Activity data'!BE97*(1/Constants!$H$135))*ttokg*FSOMEF*NtoN2O*kgtoGg,"NO")</f>
        <v>NO</v>
      </c>
      <c r="BF133" s="22" t="str">
        <f>IFERROR(('Activity data'!BF97*(1/Constants!$H$135))*ttokg*FSOMEF*NtoN2O*kgtoGg,"NO")</f>
        <v>NO</v>
      </c>
      <c r="BG133" s="22" t="str">
        <f>IFERROR(('Activity data'!BG97*(1/Constants!$H$135))*ttokg*FSOMEF*NtoN2O*kgtoGg,"NO")</f>
        <v>NO</v>
      </c>
      <c r="BH133" s="22" t="str">
        <f>IFERROR(('Activity data'!BH97*(1/Constants!$H$135))*ttokg*FSOMEF*NtoN2O*kgtoGg,"NO")</f>
        <v>NO</v>
      </c>
      <c r="BI133" s="22" t="str">
        <f>IFERROR(('Activity data'!BI97*(1/Constants!$H$135))*ttokg*FSOMEF*NtoN2O*kgtoGg,"NO")</f>
        <v>NO</v>
      </c>
      <c r="BJ133" s="22" t="str">
        <f>IFERROR(('Activity data'!BJ97*(1/Constants!$H$135))*ttokg*FSOMEF*NtoN2O*kgtoGg,"NO")</f>
        <v>NO</v>
      </c>
      <c r="BK133" s="22" t="str">
        <f>IFERROR(('Activity data'!BK97*(1/Constants!$H$135))*ttokg*FSOMEF*NtoN2O*kgtoGg,"NO")</f>
        <v>NO</v>
      </c>
      <c r="BL133" s="22" t="str">
        <f>IFERROR(('Activity data'!BL97*(1/Constants!$H$135))*ttokg*FSOMEF*NtoN2O*kgtoGg,"NO")</f>
        <v>NO</v>
      </c>
      <c r="BM133" s="22" t="str">
        <f>IFERROR(('Activity data'!BM97*(1/Constants!$H$135))*ttokg*FSOMEF*NtoN2O*kgtoGg,"NO")</f>
        <v>NO</v>
      </c>
      <c r="BN133" s="22" t="str">
        <f>IFERROR(('Activity data'!BN97*(1/Constants!$H$135))*ttokg*FSOMEF*NtoN2O*kgtoGg,"NO")</f>
        <v>NO</v>
      </c>
      <c r="BO133" s="22" t="str">
        <f>IFERROR(('Activity data'!BO97*(1/Constants!$H$135))*ttokg*FSOMEF*NtoN2O*kgtoGg,"NO")</f>
        <v>NO</v>
      </c>
      <c r="BP133" s="22" t="str">
        <f>IFERROR(('Activity data'!BP97*(1/Constants!$H$135))*ttokg*FSOMEF*NtoN2O*kgtoGg,"NO")</f>
        <v>NO</v>
      </c>
    </row>
    <row r="134" spans="1:68" x14ac:dyDescent="0.25">
      <c r="A134" t="str">
        <f t="shared" si="39"/>
        <v>3C Aggregated and non-CO2 emissions on land</v>
      </c>
      <c r="B134" t="str">
        <f t="shared" si="31"/>
        <v>3C4 Direct N2O from managed soils (N2O)</v>
      </c>
      <c r="C134" t="s">
        <v>60</v>
      </c>
      <c r="D134" t="str">
        <f>" - "&amp;'Activity data'!D98</f>
        <v xml:space="preserve"> - Land converted to other lands</v>
      </c>
      <c r="E134" t="str">
        <f t="shared" si="41"/>
        <v>FSOM - Land converted to other lands</v>
      </c>
      <c r="G134" t="str">
        <f t="shared" si="37"/>
        <v>Gg N2O</v>
      </c>
      <c r="H134" s="22">
        <f>IFERROR(('Activity data'!H98*(1/Constants!$H$135))*ttokg*FSOMEF*NtoN2O*kgtoGg,"NO")</f>
        <v>0</v>
      </c>
      <c r="I134" s="22">
        <f>IFERROR(('Activity data'!I98*(1/Constants!$H$135))*ttokg*FSOMEF*NtoN2O*kgtoGg,"NO")</f>
        <v>0.28277997448453884</v>
      </c>
      <c r="J134" s="22">
        <f>IFERROR(('Activity data'!J98*(1/Constants!$H$135))*ttokg*FSOMEF*NtoN2O*kgtoGg,"NO")</f>
        <v>0.28277997448453884</v>
      </c>
      <c r="K134" s="22">
        <f>IFERROR(('Activity data'!K98*(1/Constants!$H$135))*ttokg*FSOMEF*NtoN2O*kgtoGg,"NO")</f>
        <v>0.28277997448453884</v>
      </c>
      <c r="L134" s="22">
        <f>IFERROR(('Activity data'!L98*(1/Constants!$H$135))*ttokg*FSOMEF*NtoN2O*kgtoGg,"NO")</f>
        <v>0.28277997448453884</v>
      </c>
      <c r="M134" s="22">
        <f>IFERROR(('Activity data'!M98*(1/Constants!$H$135))*ttokg*FSOMEF*NtoN2O*kgtoGg,"NO")</f>
        <v>0.28277997448453884</v>
      </c>
      <c r="N134" s="22">
        <f>IFERROR(('Activity data'!N98*(1/Constants!$H$135))*ttokg*FSOMEF*NtoN2O*kgtoGg,"NO")</f>
        <v>0.28277997448453884</v>
      </c>
      <c r="O134" s="22">
        <f>IFERROR(('Activity data'!O98*(1/Constants!$H$135))*ttokg*FSOMEF*NtoN2O*kgtoGg,"NO")</f>
        <v>0.28277997448453884</v>
      </c>
      <c r="P134" s="22">
        <f>IFERROR(('Activity data'!P98*(1/Constants!$H$135))*ttokg*FSOMEF*NtoN2O*kgtoGg,"NO")</f>
        <v>0.28277997448453884</v>
      </c>
      <c r="Q134" s="22">
        <f>IFERROR(('Activity data'!Q98*(1/Constants!$H$135))*ttokg*FSOMEF*NtoN2O*kgtoGg,"NO")</f>
        <v>0.28277997448453884</v>
      </c>
      <c r="R134" s="22">
        <f>IFERROR(('Activity data'!R98*(1/Constants!$H$135))*ttokg*FSOMEF*NtoN2O*kgtoGg,"NO")</f>
        <v>0.28277997448453884</v>
      </c>
      <c r="S134" s="22">
        <f>IFERROR(('Activity data'!S98*(1/Constants!$H$135))*ttokg*FSOMEF*NtoN2O*kgtoGg,"NO")</f>
        <v>0.28277997448453884</v>
      </c>
      <c r="T134" s="22">
        <f>IFERROR(('Activity data'!T98*(1/Constants!$H$135))*ttokg*FSOMEF*NtoN2O*kgtoGg,"NO")</f>
        <v>0.28277997448453884</v>
      </c>
      <c r="U134" s="22">
        <f>IFERROR(('Activity data'!U98*(1/Constants!$H$135))*ttokg*FSOMEF*NtoN2O*kgtoGg,"NO")</f>
        <v>0.28277997448453884</v>
      </c>
      <c r="V134" s="22">
        <f>IFERROR(('Activity data'!V98*(1/Constants!$H$135))*ttokg*FSOMEF*NtoN2O*kgtoGg,"NO")</f>
        <v>0.28277997448453884</v>
      </c>
      <c r="W134" s="22">
        <f>IFERROR(('Activity data'!W98*(1/Constants!$H$135))*ttokg*FSOMEF*NtoN2O*kgtoGg,"NO")</f>
        <v>0.28277997448453884</v>
      </c>
      <c r="X134" s="22">
        <f>IFERROR(('Activity data'!X98*(1/Constants!$H$135))*ttokg*FSOMEF*NtoN2O*kgtoGg,"NO")</f>
        <v>0.28277997448453884</v>
      </c>
      <c r="Y134" s="22">
        <f>IFERROR(('Activity data'!Y98*(1/Constants!$H$135))*ttokg*FSOMEF*NtoN2O*kgtoGg,"NO")</f>
        <v>0.28277997448453884</v>
      </c>
      <c r="Z134" s="22">
        <f>IFERROR(('Activity data'!Z98*(1/Constants!$H$135))*ttokg*FSOMEF*NtoN2O*kgtoGg,"NO")</f>
        <v>0.28277997448453884</v>
      </c>
      <c r="AA134" s="22">
        <f>IFERROR(('Activity data'!AA98*(1/Constants!$H$135))*ttokg*FSOMEF*NtoN2O*kgtoGg,"NO")</f>
        <v>0.28277997448453884</v>
      </c>
      <c r="AB134" s="22">
        <f>IFERROR(('Activity data'!AB98*(1/Constants!$H$135))*ttokg*FSOMEF*NtoN2O*kgtoGg,"NO")</f>
        <v>0.28277997448453884</v>
      </c>
      <c r="AC134" s="22">
        <f>IFERROR(('Activity data'!AC98*(1/Constants!$H$135))*ttokg*FSOMEF*NtoN2O*kgtoGg,"NO")</f>
        <v>0.28277997448453884</v>
      </c>
      <c r="AD134" s="22">
        <f>IFERROR(('Activity data'!AD98*(1/Constants!$H$135))*ttokg*FSOMEF*NtoN2O*kgtoGg,"NO")</f>
        <v>3.1961717215001131</v>
      </c>
      <c r="AE134" s="22">
        <f>IFERROR(('Activity data'!AE98*(1/Constants!$H$135))*ttokg*FSOMEF*NtoN2O*kgtoGg,"NO")</f>
        <v>3.1961717215001131</v>
      </c>
      <c r="AF134" s="22">
        <f>IFERROR(('Activity data'!AF98*(1/Constants!$H$135))*ttokg*FSOMEF*NtoN2O*kgtoGg,"NO")</f>
        <v>3.1961717215001131</v>
      </c>
      <c r="AG134" s="22">
        <f>IFERROR(('Activity data'!AG98*(1/Constants!$H$135))*ttokg*FSOMEF*NtoN2O*kgtoGg,"NO")</f>
        <v>3.1961717215001131</v>
      </c>
      <c r="AH134" s="22">
        <f>IFERROR(('Activity data'!AH98*(1/Constants!$H$135))*ttokg*FSOMEF*NtoN2O*kgtoGg,"NO")</f>
        <v>3.1961717215001131</v>
      </c>
      <c r="AI134" s="22">
        <f>IFERROR(('Activity data'!AI98*(1/Constants!$H$135))*ttokg*FSOMEF*NtoN2O*kgtoGg,"NO")</f>
        <v>3.1961717215001131</v>
      </c>
      <c r="AJ134" s="22">
        <f>IFERROR(('Activity data'!AJ98*(1/Constants!$H$135))*ttokg*FSOMEF*NtoN2O*kgtoGg,"NO")</f>
        <v>3.1961717215001131</v>
      </c>
      <c r="AK134" s="22">
        <f>IFERROR(('Activity data'!AK98*(1/Constants!$H$135))*ttokg*FSOMEF*NtoN2O*kgtoGg,"NO")</f>
        <v>3.1961717215001131</v>
      </c>
      <c r="AL134" s="22">
        <f>IFERROR(('Activity data'!AL98*(1/Constants!$H$135))*ttokg*FSOMEF*NtoN2O*kgtoGg,"NO")</f>
        <v>3.1961717215001131</v>
      </c>
      <c r="AM134" s="22">
        <f>IFERROR(('Activity data'!AM98*(1/Constants!$H$135))*ttokg*FSOMEF*NtoN2O*kgtoGg,"NO")</f>
        <v>3.1961717215001131</v>
      </c>
      <c r="AN134" s="22">
        <f>IFERROR(('Activity data'!AN98*(1/Constants!$H$135))*ttokg*FSOMEF*NtoN2O*kgtoGg,"NO")</f>
        <v>3.1961717215001131</v>
      </c>
      <c r="AO134" s="22">
        <f>IFERROR(('Activity data'!AO98*(1/Constants!$H$135))*ttokg*FSOMEF*NtoN2O*kgtoGg,"NO")</f>
        <v>3.1961717215001131</v>
      </c>
      <c r="AP134" s="22">
        <f>IFERROR(('Activity data'!AP98*(1/Constants!$H$135))*ttokg*FSOMEF*NtoN2O*kgtoGg,"NO")</f>
        <v>3.1961717215001131</v>
      </c>
      <c r="AQ134" s="22">
        <f>IFERROR(('Activity data'!AQ98*(1/Constants!$H$135))*ttokg*FSOMEF*NtoN2O*kgtoGg,"NO")</f>
        <v>3.1961717215001131</v>
      </c>
      <c r="AR134" s="22">
        <f>IFERROR(('Activity data'!AR98*(1/Constants!$H$135))*ttokg*FSOMEF*NtoN2O*kgtoGg,"NO")</f>
        <v>3.1961717215001131</v>
      </c>
      <c r="AS134" s="22">
        <f>IFERROR(('Activity data'!AS98*(1/Constants!$H$135))*ttokg*FSOMEF*NtoN2O*kgtoGg,"NO")</f>
        <v>3.1961717215001131</v>
      </c>
      <c r="AT134" s="22">
        <f>IFERROR(('Activity data'!AT98*(1/Constants!$H$135))*ttokg*FSOMEF*NtoN2O*kgtoGg,"NO")</f>
        <v>3.1961717215001131</v>
      </c>
      <c r="AU134" s="22">
        <f>IFERROR(('Activity data'!AU98*(1/Constants!$H$135))*ttokg*FSOMEF*NtoN2O*kgtoGg,"NO")</f>
        <v>3.1961717215001131</v>
      </c>
      <c r="AV134" s="22">
        <f>IFERROR(('Activity data'!AV98*(1/Constants!$H$135))*ttokg*FSOMEF*NtoN2O*kgtoGg,"NO")</f>
        <v>3.1961717215001131</v>
      </c>
      <c r="AW134" s="22">
        <f>IFERROR(('Activity data'!AW98*(1/Constants!$H$135))*ttokg*FSOMEF*NtoN2O*kgtoGg,"NO")</f>
        <v>3.1961717215001131</v>
      </c>
      <c r="AX134" s="22">
        <f>IFERROR(('Activity data'!AX98*(1/Constants!$H$135))*ttokg*FSOMEF*NtoN2O*kgtoGg,"NO")</f>
        <v>3.1961717215001131</v>
      </c>
      <c r="AY134" s="22">
        <f>IFERROR(('Activity data'!AY98*(1/Constants!$H$135))*ttokg*FSOMEF*NtoN2O*kgtoGg,"NO")</f>
        <v>3.1961717215001131</v>
      </c>
      <c r="AZ134" s="22">
        <f>IFERROR(('Activity data'!AZ98*(1/Constants!$H$135))*ttokg*FSOMEF*NtoN2O*kgtoGg,"NO")</f>
        <v>3.1961717215001131</v>
      </c>
      <c r="BA134" s="22">
        <f>IFERROR(('Activity data'!BA98*(1/Constants!$H$135))*ttokg*FSOMEF*NtoN2O*kgtoGg,"NO")</f>
        <v>3.1961717215001131</v>
      </c>
      <c r="BB134" s="22">
        <f>IFERROR(('Activity data'!BB98*(1/Constants!$H$135))*ttokg*FSOMEF*NtoN2O*kgtoGg,"NO")</f>
        <v>3.1961717215001131</v>
      </c>
      <c r="BC134" s="22">
        <f>IFERROR(('Activity data'!BC98*(1/Constants!$H$135))*ttokg*FSOMEF*NtoN2O*kgtoGg,"NO")</f>
        <v>3.1961717215001131</v>
      </c>
      <c r="BD134" s="22">
        <f>IFERROR(('Activity data'!BD98*(1/Constants!$H$135))*ttokg*FSOMEF*NtoN2O*kgtoGg,"NO")</f>
        <v>3.1961717215001131</v>
      </c>
      <c r="BE134" s="22">
        <f>IFERROR(('Activity data'!BE98*(1/Constants!$H$135))*ttokg*FSOMEF*NtoN2O*kgtoGg,"NO")</f>
        <v>3.1961717215001131</v>
      </c>
      <c r="BF134" s="22">
        <f>IFERROR(('Activity data'!BF98*(1/Constants!$H$135))*ttokg*FSOMEF*NtoN2O*kgtoGg,"NO")</f>
        <v>3.1961717215001131</v>
      </c>
      <c r="BG134" s="22">
        <f>IFERROR(('Activity data'!BG98*(1/Constants!$H$135))*ttokg*FSOMEF*NtoN2O*kgtoGg,"NO")</f>
        <v>3.1961717215001131</v>
      </c>
      <c r="BH134" s="22">
        <f>IFERROR(('Activity data'!BH98*(1/Constants!$H$135))*ttokg*FSOMEF*NtoN2O*kgtoGg,"NO")</f>
        <v>3.1961717215001131</v>
      </c>
      <c r="BI134" s="22">
        <f>IFERROR(('Activity data'!BI98*(1/Constants!$H$135))*ttokg*FSOMEF*NtoN2O*kgtoGg,"NO")</f>
        <v>3.1961717215001131</v>
      </c>
      <c r="BJ134" s="22">
        <f>IFERROR(('Activity data'!BJ98*(1/Constants!$H$135))*ttokg*FSOMEF*NtoN2O*kgtoGg,"NO")</f>
        <v>3.1961717215001131</v>
      </c>
      <c r="BK134" s="22">
        <f>IFERROR(('Activity data'!BK98*(1/Constants!$H$135))*ttokg*FSOMEF*NtoN2O*kgtoGg,"NO")</f>
        <v>3.1961717215001131</v>
      </c>
      <c r="BL134" s="22">
        <f>IFERROR(('Activity data'!BL98*(1/Constants!$H$135))*ttokg*FSOMEF*NtoN2O*kgtoGg,"NO")</f>
        <v>3.1961717215001131</v>
      </c>
      <c r="BM134" s="22">
        <f>IFERROR(('Activity data'!BM98*(1/Constants!$H$135))*ttokg*FSOMEF*NtoN2O*kgtoGg,"NO")</f>
        <v>3.1961717215001131</v>
      </c>
      <c r="BN134" s="22">
        <f>IFERROR(('Activity data'!BN98*(1/Constants!$H$135))*ttokg*FSOMEF*NtoN2O*kgtoGg,"NO")</f>
        <v>3.1961717215001131</v>
      </c>
      <c r="BO134" s="22">
        <f>IFERROR(('Activity data'!BO98*(1/Constants!$H$135))*ttokg*FSOMEF*NtoN2O*kgtoGg,"NO")</f>
        <v>3.1961717215001131</v>
      </c>
      <c r="BP134" s="22">
        <f>IFERROR(('Activity data'!BP98*(1/Constants!$H$135))*ttokg*FSOMEF*NtoN2O*kgtoGg,"NO")</f>
        <v>3.1961717215001131</v>
      </c>
    </row>
    <row r="135" spans="1:68" x14ac:dyDescent="0.25">
      <c r="A135" t="str">
        <f>A122</f>
        <v>3C Aggregated and non-CO2 emissions on land</v>
      </c>
      <c r="B135" t="str">
        <f>'IPCC Categories'!B78</f>
        <v>3C5 Indirect N2O from managed soils (N2O)</v>
      </c>
      <c r="C135" t="str">
        <f>'IPCC Categories'!C78</f>
        <v>Volatilisation</v>
      </c>
      <c r="D135" t="s">
        <v>435</v>
      </c>
      <c r="E135" t="str">
        <f t="shared" si="32"/>
        <v>Volatilisation - Synthetic fertlisers</v>
      </c>
      <c r="F135" t="str">
        <f>F122</f>
        <v>N2O</v>
      </c>
      <c r="G135" t="str">
        <f>G122</f>
        <v>Gg N2O</v>
      </c>
      <c r="H135" s="22">
        <f>'Activity data'!H47*ttokg*FracGASF*MSVolatEF*NtoN2O*kgtoGg</f>
        <v>0.5400827142857143</v>
      </c>
      <c r="I135" s="22">
        <f>'Activity data'!I47*ttokg*FracGASF*MSVolatEF*NtoN2O*kgtoGg</f>
        <v>0.57362642857142854</v>
      </c>
      <c r="J135" s="22">
        <f>'Activity data'!J47*ttokg*FracGASF*MSVolatEF*NtoN2O*kgtoGg</f>
        <v>0.54611071428571434</v>
      </c>
      <c r="K135" s="22">
        <f>'Activity data'!K47*ttokg*FracGASF*MSVolatEF*NtoN2O*kgtoGg</f>
        <v>0.64186414285714277</v>
      </c>
      <c r="L135" s="22">
        <f>'Activity data'!L47*ttokg*FracGASF*MSVolatEF*NtoN2O*kgtoGg</f>
        <v>0.58938942857142851</v>
      </c>
      <c r="M135" s="22">
        <f>'Activity data'!M47*ttokg*FracGASF*MSVolatEF*NtoN2O*kgtoGg</f>
        <v>0.58377157142857139</v>
      </c>
      <c r="N135" s="22">
        <f>'Activity data'!N47*ttokg*FracGASF*MSVolatEF*NtoN2O*kgtoGg</f>
        <v>0.65227485714285716</v>
      </c>
      <c r="O135" s="22">
        <f>'Activity data'!O47*ttokg*FracGASF*MSVolatEF*NtoN2O*kgtoGg</f>
        <v>0.63943628571428568</v>
      </c>
      <c r="P135" s="22">
        <f>'Activity data'!P47*ttokg*FracGASF*MSVolatEF*NtoN2O*kgtoGg</f>
        <v>0.65296157142857136</v>
      </c>
      <c r="Q135" s="22">
        <f>'Activity data'!Q47*ttokg*FracGASF*MSVolatEF*NtoN2O*kgtoGg</f>
        <v>0.64907071428571428</v>
      </c>
      <c r="R135" s="22">
        <f>'Activity data'!R47*ttokg*FracGASF*MSVolatEF*NtoN2O*kgtoGg</f>
        <v>0.653609</v>
      </c>
      <c r="S135" s="22">
        <f>'Activity data'!S47*ttokg*FracGASF*MSVolatEF*NtoN2O*kgtoGg</f>
        <v>0.6219918571428571</v>
      </c>
      <c r="T135" s="22">
        <f>'Activity data'!T47*ttokg*FracGASF*MSVolatEF*NtoN2O*kgtoGg</f>
        <v>0.74968457142857137</v>
      </c>
      <c r="U135" s="22">
        <f>'Activity data'!U47*ttokg*FracGASF*MSVolatEF*NtoN2O*kgtoGg</f>
        <v>0.66129957142857132</v>
      </c>
      <c r="V135" s="22">
        <f>'Activity data'!V47*ttokg*FracGASF*MSVolatEF*NtoN2O*kgtoGg</f>
        <v>0.67189728571428564</v>
      </c>
      <c r="W135" s="22">
        <f>'Activity data'!W47*ttokg*FracGASF*MSVolatEF*NtoN2O*kgtoGg</f>
        <v>0.54569428571428569</v>
      </c>
      <c r="X135" s="22">
        <f>'Activity data'!X47*ttokg*FracGASF*MSVolatEF*NtoN2O*kgtoGg</f>
        <v>0.67370128571428567</v>
      </c>
      <c r="Y135" s="22">
        <f>'Activity data'!Y47*ttokg*FracGASF*MSVolatEF*NtoN2O*kgtoGg</f>
        <v>0.69061142857142854</v>
      </c>
      <c r="Z135" s="22">
        <f>'Activity data'!Z47*ttokg*FracGASF*MSVolatEF*NtoN2O*kgtoGg</f>
        <v>0.66647899999999993</v>
      </c>
      <c r="AA135" s="22">
        <f>'Activity data'!AA47*ttokg*FracGASF*MSVolatEF*NtoN2O*kgtoGg</f>
        <v>0.71307814285714277</v>
      </c>
      <c r="AB135" s="22">
        <f>'Activity data'!AB47*ttokg*FracGASF*MSVolatEF*NtoN2O*kgtoGg</f>
        <v>0.62071428571428566</v>
      </c>
      <c r="AC135" s="22">
        <f>'Activity data'!AC47*ttokg*FracGASF*MSVolatEF*NtoN2O*kgtoGg</f>
        <v>0.65842857142857136</v>
      </c>
      <c r="AD135" s="22">
        <f>'Activity data'!AD47*ttokg*FracGASF*MSVolatEF*NtoN2O*kgtoGg</f>
        <v>0.66064812063358536</v>
      </c>
      <c r="AE135" s="22">
        <f>'Activity data'!AE47*ttokg*FracGASF*MSVolatEF*NtoN2O*kgtoGg</f>
        <v>0.66055332632324659</v>
      </c>
      <c r="AF135" s="22">
        <f>'Activity data'!AF47*ttokg*FracGASF*MSVolatEF*NtoN2O*kgtoGg</f>
        <v>0.66042378924026446</v>
      </c>
      <c r="AG135" s="22">
        <f>'Activity data'!AG47*ttokg*FracGASF*MSVolatEF*NtoN2O*kgtoGg</f>
        <v>0.66032976249569819</v>
      </c>
      <c r="AH135" s="22">
        <f>'Activity data'!AH47*ttokg*FracGASF*MSVolatEF*NtoN2O*kgtoGg</f>
        <v>0.66028397217143464</v>
      </c>
      <c r="AI135" s="22">
        <f>'Activity data'!AI47*ttokg*FracGASF*MSVolatEF*NtoN2O*kgtoGg</f>
        <v>0.66023877667619957</v>
      </c>
      <c r="AJ135" s="22">
        <f>'Activity data'!AJ47*ttokg*FracGASF*MSVolatEF*NtoN2O*kgtoGg</f>
        <v>0.66017040685586048</v>
      </c>
      <c r="AK135" s="22">
        <f>'Activity data'!AK47*ttokg*FracGASF*MSVolatEF*NtoN2O*kgtoGg</f>
        <v>0.66009555191940106</v>
      </c>
      <c r="AL135" s="22">
        <f>'Activity data'!AL47*ttokg*FracGASF*MSVolatEF*NtoN2O*kgtoGg</f>
        <v>0.66007105452260206</v>
      </c>
      <c r="AM135" s="22">
        <f>'Activity data'!AM47*ttokg*FracGASF*MSVolatEF*NtoN2O*kgtoGg</f>
        <v>0.6605210320148045</v>
      </c>
      <c r="AN135" s="22">
        <f>'Activity data'!AN47*ttokg*FracGASF*MSVolatEF*NtoN2O*kgtoGg</f>
        <v>0.66038066881148649</v>
      </c>
      <c r="AO135" s="22">
        <f>'Activity data'!AO47*ttokg*FracGASF*MSVolatEF*NtoN2O*kgtoGg</f>
        <v>0.660254471504373</v>
      </c>
      <c r="AP135" s="22">
        <f>'Activity data'!AP47*ttokg*FracGASF*MSVolatEF*NtoN2O*kgtoGg</f>
        <v>0.66012944407562835</v>
      </c>
      <c r="AQ135" s="22">
        <f>'Activity data'!AQ47*ttokg*FracGASF*MSVolatEF*NtoN2O*kgtoGg</f>
        <v>0.65998592560706049</v>
      </c>
      <c r="AR135" s="22">
        <f>'Activity data'!AR47*ttokg*FracGASF*MSVolatEF*NtoN2O*kgtoGg</f>
        <v>0.65984396481179586</v>
      </c>
      <c r="AS135" s="22">
        <f>'Activity data'!AS47*ttokg*FracGASF*MSVolatEF*NtoN2O*kgtoGg</f>
        <v>0.65970003432051683</v>
      </c>
      <c r="AT135" s="22">
        <f>'Activity data'!AT47*ttokg*FracGASF*MSVolatEF*NtoN2O*kgtoGg</f>
        <v>0.65956223028685135</v>
      </c>
      <c r="AU135" s="22">
        <f>'Activity data'!AU47*ttokg*FracGASF*MSVolatEF*NtoN2O*kgtoGg</f>
        <v>0.65941853622185975</v>
      </c>
      <c r="AV135" s="22">
        <f>'Activity data'!AV47*ttokg*FracGASF*MSVolatEF*NtoN2O*kgtoGg</f>
        <v>0.65928505403904103</v>
      </c>
      <c r="AW135" s="22">
        <f>'Activity data'!AW47*ttokg*FracGASF*MSVolatEF*NtoN2O*kgtoGg</f>
        <v>0.65915038110737934</v>
      </c>
      <c r="AX135" s="22">
        <f>'Activity data'!AX47*ttokg*FracGASF*MSVolatEF*NtoN2O*kgtoGg</f>
        <v>0.65899366744546872</v>
      </c>
      <c r="AY135" s="22">
        <f>'Activity data'!AY47*ttokg*FracGASF*MSVolatEF*NtoN2O*kgtoGg</f>
        <v>0.65882822576482969</v>
      </c>
      <c r="AZ135" s="22">
        <f>'Activity data'!AZ47*ttokg*FracGASF*MSVolatEF*NtoN2O*kgtoGg</f>
        <v>0.65866069718802811</v>
      </c>
      <c r="BA135" s="22">
        <f>'Activity data'!BA47*ttokg*FracGASF*MSVolatEF*NtoN2O*kgtoGg</f>
        <v>0.65862744996812317</v>
      </c>
      <c r="BB135" s="22">
        <f>'Activity data'!BB47*ttokg*FracGASF*MSVolatEF*NtoN2O*kgtoGg</f>
        <v>0.67244352177988753</v>
      </c>
      <c r="BC135" s="22">
        <f>'Activity data'!BC47*ttokg*FracGASF*MSVolatEF*NtoN2O*kgtoGg</f>
        <v>0.67246796459520652</v>
      </c>
      <c r="BD135" s="22">
        <f>'Activity data'!BD47*ttokg*FracGASF*MSVolatEF*NtoN2O*kgtoGg</f>
        <v>0.67249266471091262</v>
      </c>
      <c r="BE135" s="22">
        <f>'Activity data'!BE47*ttokg*FracGASF*MSVolatEF*NtoN2O*kgtoGg</f>
        <v>0.6725176256716463</v>
      </c>
      <c r="BF135" s="22">
        <f>'Activity data'!BF47*ttokg*FracGASF*MSVolatEF*NtoN2O*kgtoGg</f>
        <v>0.67254285108872014</v>
      </c>
      <c r="BG135" s="22">
        <f>'Activity data'!BG47*ttokg*FracGASF*MSVolatEF*NtoN2O*kgtoGg</f>
        <v>0.67256834464178161</v>
      </c>
      <c r="BH135" s="22">
        <f>'Activity data'!BH47*ttokg*FracGASF*MSVolatEF*NtoN2O*kgtoGg</f>
        <v>0.67259019731905478</v>
      </c>
      <c r="BI135" s="22">
        <f>'Activity data'!BI47*ttokg*FracGASF*MSVolatEF*NtoN2O*kgtoGg</f>
        <v>0.67261224822219834</v>
      </c>
      <c r="BJ135" s="22">
        <f>'Activity data'!BJ47*ttokg*FracGASF*MSVolatEF*NtoN2O*kgtoGg</f>
        <v>0.67263449972304945</v>
      </c>
      <c r="BK135" s="22">
        <f>'Activity data'!BK47*ttokg*FracGASF*MSVolatEF*NtoN2O*kgtoGg</f>
        <v>0.67265695423235672</v>
      </c>
      <c r="BL135" s="22">
        <f>'Activity data'!BL47*ttokg*FracGASF*MSVolatEF*NtoN2O*kgtoGg</f>
        <v>0.67267961420062661</v>
      </c>
      <c r="BM135" s="22">
        <f>'Activity data'!BM47*ttokg*FracGASF*MSVolatEF*NtoN2O*kgtoGg</f>
        <v>0.67269840467448694</v>
      </c>
      <c r="BN135" s="22">
        <f>'Activity data'!BN47*ttokg*FracGASF*MSVolatEF*NtoN2O*kgtoGg</f>
        <v>0.67271733718738858</v>
      </c>
      <c r="BO135" s="22">
        <f>'Activity data'!BO47*ttokg*FracGASF*MSVolatEF*NtoN2O*kgtoGg</f>
        <v>0.67273641316511901</v>
      </c>
      <c r="BP135" s="22">
        <f>'Activity data'!BP47*ttokg*FracGASF*MSVolatEF*NtoN2O*kgtoGg</f>
        <v>0.67275563405315475</v>
      </c>
    </row>
    <row r="136" spans="1:68" x14ac:dyDescent="0.25">
      <c r="A136" t="str">
        <f t="shared" si="29"/>
        <v>3C Aggregated and non-CO2 emissions on land</v>
      </c>
      <c r="B136" t="str">
        <f>B135</f>
        <v>3C5 Indirect N2O from managed soils (N2O)</v>
      </c>
      <c r="C136" t="str">
        <f>C135</f>
        <v>Volatilisation</v>
      </c>
      <c r="D136" t="s">
        <v>436</v>
      </c>
      <c r="E136" t="str">
        <f t="shared" si="32"/>
        <v>Volatilisation - Organic fertilisers</v>
      </c>
      <c r="F136" t="str">
        <f t="shared" si="36"/>
        <v>N2O</v>
      </c>
      <c r="G136" t="str">
        <f t="shared" si="37"/>
        <v>Gg N2O</v>
      </c>
      <c r="H136" s="22">
        <f>'Activity data'!H48*ttokg*FracGASM*MSVolatEF*NtoN2O*kgtoGg</f>
        <v>7.1290918285714282E-3</v>
      </c>
      <c r="I136" s="22">
        <f>'Activity data'!I48*ttokg*FracGASM*MSVolatEF*NtoN2O*kgtoGg</f>
        <v>7.5718688571428574E-3</v>
      </c>
      <c r="J136" s="22">
        <f>'Activity data'!J48*ttokg*FracGASM*MSVolatEF*NtoN2O*kgtoGg</f>
        <v>7.2086614285714291E-3</v>
      </c>
      <c r="K136" s="22">
        <f>'Activity data'!K48*ttokg*FracGASM*MSVolatEF*NtoN2O*kgtoGg</f>
        <v>8.4726066857142863E-3</v>
      </c>
      <c r="L136" s="22">
        <f>'Activity data'!L48*ttokg*FracGASM*MSVolatEF*NtoN2O*kgtoGg</f>
        <v>7.7799404571428574E-3</v>
      </c>
      <c r="M136" s="22">
        <f>'Activity data'!M48*ttokg*FracGASM*MSVolatEF*NtoN2O*kgtoGg</f>
        <v>7.7057847428571432E-3</v>
      </c>
      <c r="N136" s="22">
        <f>'Activity data'!N48*ttokg*FracGASM*MSVolatEF*NtoN2O*kgtoGg</f>
        <v>8.610028114285715E-3</v>
      </c>
      <c r="O136" s="22">
        <f>'Activity data'!O48*ttokg*FracGASM*MSVolatEF*NtoN2O*kgtoGg</f>
        <v>8.440558971428572E-3</v>
      </c>
      <c r="P136" s="22">
        <f>'Activity data'!P48*ttokg*FracGASM*MSVolatEF*NtoN2O*kgtoGg</f>
        <v>8.6190927428571439E-3</v>
      </c>
      <c r="Q136" s="22">
        <f>'Activity data'!Q48*ttokg*FracGASM*MSVolatEF*NtoN2O*kgtoGg</f>
        <v>8.5677334285714293E-3</v>
      </c>
      <c r="R136" s="22">
        <f>'Activity data'!R48*ttokg*FracGASM*MSVolatEF*NtoN2O*kgtoGg</f>
        <v>8.627638800000002E-3</v>
      </c>
      <c r="S136" s="22">
        <f>'Activity data'!S48*ttokg*FracGASM*MSVolatEF*NtoN2O*kgtoGg</f>
        <v>8.210292514285714E-3</v>
      </c>
      <c r="T136" s="22">
        <f>'Activity data'!T48*ttokg*FracGASM*MSVolatEF*NtoN2O*kgtoGg</f>
        <v>9.8958363428571453E-3</v>
      </c>
      <c r="U136" s="22">
        <f>'Activity data'!U48*ttokg*FracGASM*MSVolatEF*NtoN2O*kgtoGg</f>
        <v>8.7291543428571466E-3</v>
      </c>
      <c r="V136" s="22">
        <f>'Activity data'!V48*ttokg*FracGASM*MSVolatEF*NtoN2O*kgtoGg</f>
        <v>8.8690441714285723E-3</v>
      </c>
      <c r="W136" s="22">
        <f>'Activity data'!W48*ttokg*FracGASM*MSVolatEF*NtoN2O*kgtoGg</f>
        <v>7.2031645714285709E-3</v>
      </c>
      <c r="X136" s="22">
        <f>'Activity data'!X48*ttokg*FracGASM*MSVolatEF*NtoN2O*kgtoGg</f>
        <v>8.8928569714285723E-3</v>
      </c>
      <c r="Y136" s="22">
        <f>'Activity data'!Y48*ttokg*FracGASM*MSVolatEF*NtoN2O*kgtoGg</f>
        <v>9.1160708571428571E-3</v>
      </c>
      <c r="Z136" s="22">
        <f>'Activity data'!Z48*ttokg*FracGASM*MSVolatEF*NtoN2O*kgtoGg</f>
        <v>8.7975228000000006E-3</v>
      </c>
      <c r="AA136" s="22">
        <f>'Activity data'!AA48*ttokg*FracGASM*MSVolatEF*NtoN2O*kgtoGg</f>
        <v>9.4126314857142859E-3</v>
      </c>
      <c r="AB136" s="22">
        <f>'Activity data'!AB48*ttokg*FracGASM*MSVolatEF*NtoN2O*kgtoGg</f>
        <v>8.1934285714285703E-3</v>
      </c>
      <c r="AC136" s="22">
        <f>'Activity data'!AC48*ttokg*FracGASM*MSVolatEF*NtoN2O*kgtoGg</f>
        <v>8.6912571428571419E-3</v>
      </c>
      <c r="AD136" s="22">
        <f>'Activity data'!AD48*ttokg*FracGASM*MSVolatEF*NtoN2O*kgtoGg</f>
        <v>8.720555192363328E-3</v>
      </c>
      <c r="AE136" s="22">
        <f>'Activity data'!AE48*ttokg*FracGASM*MSVolatEF*NtoN2O*kgtoGg</f>
        <v>8.7193039074668528E-3</v>
      </c>
      <c r="AF136" s="22">
        <f>'Activity data'!AF48*ttokg*FracGASM*MSVolatEF*NtoN2O*kgtoGg</f>
        <v>8.7175940179714945E-3</v>
      </c>
      <c r="AG136" s="22">
        <f>'Activity data'!AG48*ttokg*FracGASM*MSVolatEF*NtoN2O*kgtoGg</f>
        <v>8.7163528649432196E-3</v>
      </c>
      <c r="AH136" s="22">
        <f>'Activity data'!AH48*ttokg*FracGASM*MSVolatEF*NtoN2O*kgtoGg</f>
        <v>8.7157484326629356E-3</v>
      </c>
      <c r="AI136" s="22">
        <f>'Activity data'!AI48*ttokg*FracGASM*MSVolatEF*NtoN2O*kgtoGg</f>
        <v>8.715151852125836E-3</v>
      </c>
      <c r="AJ136" s="22">
        <f>'Activity data'!AJ48*ttokg*FracGASM*MSVolatEF*NtoN2O*kgtoGg</f>
        <v>8.7142493704973605E-3</v>
      </c>
      <c r="AK136" s="22">
        <f>'Activity data'!AK48*ttokg*FracGASM*MSVolatEF*NtoN2O*kgtoGg</f>
        <v>8.713261285336095E-3</v>
      </c>
      <c r="AL136" s="22">
        <f>'Activity data'!AL48*ttokg*FracGASM*MSVolatEF*NtoN2O*kgtoGg</f>
        <v>8.7129379196983492E-3</v>
      </c>
      <c r="AM136" s="22">
        <f>'Activity data'!AM48*ttokg*FracGASM*MSVolatEF*NtoN2O*kgtoGg</f>
        <v>8.7188776225954213E-3</v>
      </c>
      <c r="AN136" s="22">
        <f>'Activity data'!AN48*ttokg*FracGASM*MSVolatEF*NtoN2O*kgtoGg</f>
        <v>8.7170248283116227E-3</v>
      </c>
      <c r="AO136" s="22">
        <f>'Activity data'!AO48*ttokg*FracGASM*MSVolatEF*NtoN2O*kgtoGg</f>
        <v>8.7153590238577237E-3</v>
      </c>
      <c r="AP136" s="22">
        <f>'Activity data'!AP48*ttokg*FracGASM*MSVolatEF*NtoN2O*kgtoGg</f>
        <v>8.7137086617982938E-3</v>
      </c>
      <c r="AQ136" s="22">
        <f>'Activity data'!AQ48*ttokg*FracGASM*MSVolatEF*NtoN2O*kgtoGg</f>
        <v>8.7118142180131995E-3</v>
      </c>
      <c r="AR136" s="22">
        <f>'Activity data'!AR48*ttokg*FracGASM*MSVolatEF*NtoN2O*kgtoGg</f>
        <v>8.7099403355157048E-3</v>
      </c>
      <c r="AS136" s="22">
        <f>'Activity data'!AS48*ttokg*FracGASM*MSVolatEF*NtoN2O*kgtoGg</f>
        <v>8.7080404530308231E-3</v>
      </c>
      <c r="AT136" s="22">
        <f>'Activity data'!AT48*ttokg*FracGASM*MSVolatEF*NtoN2O*kgtoGg</f>
        <v>8.7062214397864383E-3</v>
      </c>
      <c r="AU136" s="22">
        <f>'Activity data'!AU48*ttokg*FracGASM*MSVolatEF*NtoN2O*kgtoGg</f>
        <v>8.704324678128551E-3</v>
      </c>
      <c r="AV136" s="22">
        <f>'Activity data'!AV48*ttokg*FracGASM*MSVolatEF*NtoN2O*kgtoGg</f>
        <v>8.7025627133153448E-3</v>
      </c>
      <c r="AW136" s="22">
        <f>'Activity data'!AW48*ttokg*FracGASM*MSVolatEF*NtoN2O*kgtoGg</f>
        <v>8.7007850306174105E-3</v>
      </c>
      <c r="AX136" s="22">
        <f>'Activity data'!AX48*ttokg*FracGASM*MSVolatEF*NtoN2O*kgtoGg</f>
        <v>8.698716410280187E-3</v>
      </c>
      <c r="AY136" s="22">
        <f>'Activity data'!AY48*ttokg*FracGASM*MSVolatEF*NtoN2O*kgtoGg</f>
        <v>8.6965325800957543E-3</v>
      </c>
      <c r="AZ136" s="22">
        <f>'Activity data'!AZ48*ttokg*FracGASM*MSVolatEF*NtoN2O*kgtoGg</f>
        <v>8.694321202881973E-3</v>
      </c>
      <c r="BA136" s="22">
        <f>'Activity data'!BA48*ttokg*FracGASM*MSVolatEF*NtoN2O*kgtoGg</f>
        <v>8.6938823395792293E-3</v>
      </c>
      <c r="BB136" s="22">
        <f>'Activity data'!BB48*ttokg*FracGASM*MSVolatEF*NtoN2O*kgtoGg</f>
        <v>8.8762544874945153E-3</v>
      </c>
      <c r="BC136" s="22">
        <f>'Activity data'!BC48*ttokg*FracGASM*MSVolatEF*NtoN2O*kgtoGg</f>
        <v>8.876577132656726E-3</v>
      </c>
      <c r="BD136" s="22">
        <f>'Activity data'!BD48*ttokg*FracGASM*MSVolatEF*NtoN2O*kgtoGg</f>
        <v>8.8769031741840459E-3</v>
      </c>
      <c r="BE136" s="22">
        <f>'Activity data'!BE48*ttokg*FracGASM*MSVolatEF*NtoN2O*kgtoGg</f>
        <v>8.8772326588657333E-3</v>
      </c>
      <c r="BF136" s="22">
        <f>'Activity data'!BF48*ttokg*FracGASM*MSVolatEF*NtoN2O*kgtoGg</f>
        <v>8.8775656343711064E-3</v>
      </c>
      <c r="BG136" s="22">
        <f>'Activity data'!BG48*ttokg*FracGASM*MSVolatEF*NtoN2O*kgtoGg</f>
        <v>8.877902149271517E-3</v>
      </c>
      <c r="BH136" s="22">
        <f>'Activity data'!BH48*ttokg*FracGASM*MSVolatEF*NtoN2O*kgtoGg</f>
        <v>8.8781906046115251E-3</v>
      </c>
      <c r="BI136" s="22">
        <f>'Activity data'!BI48*ttokg*FracGASM*MSVolatEF*NtoN2O*kgtoGg</f>
        <v>8.8784816765330177E-3</v>
      </c>
      <c r="BJ136" s="22">
        <f>'Activity data'!BJ48*ttokg*FracGASM*MSVolatEF*NtoN2O*kgtoGg</f>
        <v>8.8787753963442528E-3</v>
      </c>
      <c r="BK136" s="22">
        <f>'Activity data'!BK48*ttokg*FracGASM*MSVolatEF*NtoN2O*kgtoGg</f>
        <v>8.8790717958671054E-3</v>
      </c>
      <c r="BL136" s="22">
        <f>'Activity data'!BL48*ttokg*FracGASM*MSVolatEF*NtoN2O*kgtoGg</f>
        <v>8.8793709074482721E-3</v>
      </c>
      <c r="BM136" s="22">
        <f>'Activity data'!BM48*ttokg*FracGASM*MSVolatEF*NtoN2O*kgtoGg</f>
        <v>8.8796189417032281E-3</v>
      </c>
      <c r="BN136" s="22">
        <f>'Activity data'!BN48*ttokg*FracGASM*MSVolatEF*NtoN2O*kgtoGg</f>
        <v>8.8798688508735287E-3</v>
      </c>
      <c r="BO136" s="22">
        <f>'Activity data'!BO48*ttokg*FracGASM*MSVolatEF*NtoN2O*kgtoGg</f>
        <v>8.8801206537795687E-3</v>
      </c>
      <c r="BP136" s="22">
        <f>'Activity data'!BP48*ttokg*FracGASM*MSVolatEF*NtoN2O*kgtoGg</f>
        <v>8.8803743695016445E-3</v>
      </c>
    </row>
    <row r="137" spans="1:68" x14ac:dyDescent="0.25">
      <c r="A137" t="str">
        <f t="shared" si="29"/>
        <v>3C Aggregated and non-CO2 emissions on land</v>
      </c>
      <c r="B137" t="str">
        <f t="shared" ref="B137:B138" si="42">B136</f>
        <v>3C5 Indirect N2O from managed soils (N2O)</v>
      </c>
      <c r="C137" t="str">
        <f t="shared" ref="C137:C138" si="43">C136</f>
        <v>Volatilisation</v>
      </c>
      <c r="D137" t="s">
        <v>437</v>
      </c>
      <c r="E137" t="str">
        <f t="shared" si="32"/>
        <v>Volatilisation - Managed manure</v>
      </c>
      <c r="F137" t="str">
        <f t="shared" si="36"/>
        <v>N2O</v>
      </c>
      <c r="G137" t="str">
        <f t="shared" si="37"/>
        <v>Gg N2O</v>
      </c>
      <c r="H137" s="22">
        <f>SUM('Activity data'!H50:H65)*FracGASM*MSVolatEF*NtoN2O*kgtoGg</f>
        <v>0.99551555312027373</v>
      </c>
      <c r="I137" s="22">
        <f>SUM('Activity data'!I50:I65)*FracGASM*MSVolatEF*NtoN2O*kgtoGg</f>
        <v>1.0457263616851549</v>
      </c>
      <c r="J137" s="22">
        <f>SUM('Activity data'!J50:J65)*FracGASM*MSVolatEF*NtoN2O*kgtoGg</f>
        <v>1.0280485030279605</v>
      </c>
      <c r="K137" s="22">
        <f>SUM('Activity data'!K50:K65)*FracGASM*MSVolatEF*NtoN2O*kgtoGg</f>
        <v>1.03324963057342</v>
      </c>
      <c r="L137" s="22">
        <f>SUM('Activity data'!L50:L65)*FracGASM*MSVolatEF*NtoN2O*kgtoGg</f>
        <v>0.95236586726215788</v>
      </c>
      <c r="M137" s="22">
        <f>SUM('Activity data'!M50:M65)*FracGASM*MSVolatEF*NtoN2O*kgtoGg</f>
        <v>0.9653219403734149</v>
      </c>
      <c r="N137" s="22">
        <f>SUM('Activity data'!N50:N65)*FracGASM*MSVolatEF*NtoN2O*kgtoGg</f>
        <v>0.99815602807535353</v>
      </c>
      <c r="O137" s="22">
        <f>SUM('Activity data'!O50:O65)*FracGASM*MSVolatEF*NtoN2O*kgtoGg</f>
        <v>1.0144180969214591</v>
      </c>
      <c r="P137" s="22">
        <f>SUM('Activity data'!P50:P65)*FracGASM*MSVolatEF*NtoN2O*kgtoGg</f>
        <v>1.0520418095998723</v>
      </c>
      <c r="Q137" s="22">
        <f>SUM('Activity data'!Q50:Q65)*FracGASM*MSVolatEF*NtoN2O*kgtoGg</f>
        <v>1.0732775914439636</v>
      </c>
      <c r="R137" s="22">
        <f>SUM('Activity data'!R50:R65)*FracGASM*MSVolatEF*NtoN2O*kgtoGg</f>
        <v>1.1194350722704709</v>
      </c>
      <c r="S137" s="22">
        <f>SUM('Activity data'!S50:S65)*FracGASM*MSVolatEF*NtoN2O*kgtoGg</f>
        <v>1.1042100081051662</v>
      </c>
      <c r="T137" s="22">
        <f>SUM('Activity data'!T50:T65)*FracGASM*MSVolatEF*NtoN2O*kgtoGg</f>
        <v>1.1383465549548826</v>
      </c>
      <c r="U137" s="22">
        <f>SUM('Activity data'!U50:U65)*FracGASM*MSVolatEF*NtoN2O*kgtoGg</f>
        <v>1.1234193003595725</v>
      </c>
      <c r="V137" s="22">
        <f>SUM('Activity data'!V50:V65)*FracGASM*MSVolatEF*NtoN2O*kgtoGg</f>
        <v>1.1105797277549578</v>
      </c>
      <c r="W137" s="22">
        <f>SUM('Activity data'!W50:W65)*FracGASM*MSVolatEF*NtoN2O*kgtoGg</f>
        <v>1.1231687261749999</v>
      </c>
      <c r="X137" s="22">
        <f>SUM('Activity data'!X50:X65)*FracGASM*MSVolatEF*NtoN2O*kgtoGg</f>
        <v>1.1446915398900395</v>
      </c>
      <c r="Y137" s="22">
        <f>SUM('Activity data'!Y50:Y65)*FracGASM*MSVolatEF*NtoN2O*kgtoGg</f>
        <v>1.1770744841159908</v>
      </c>
      <c r="Z137" s="22">
        <f>SUM('Activity data'!Z50:Z65)*FracGASM*MSVolatEF*NtoN2O*kgtoGg</f>
        <v>1.218985945315326</v>
      </c>
      <c r="AA137" s="22">
        <f>SUM('Activity data'!AA50:AA65)*FracGASM*MSVolatEF*NtoN2O*kgtoGg</f>
        <v>1.2092710440167578</v>
      </c>
      <c r="AB137" s="22">
        <f>SUM('Activity data'!AB50:AB65)*FracGASM*MSVolatEF*NtoN2O*kgtoGg</f>
        <v>1.2045606040064729</v>
      </c>
      <c r="AC137" s="22">
        <f>SUM('Activity data'!AC50:AC65)*FracGASM*MSVolatEF*NtoN2O*kgtoGg</f>
        <v>1.2120476688441433</v>
      </c>
      <c r="AD137" s="22">
        <f>SUM('Activity data'!AD50:AD65)*FracGASM*MSVolatEF*NtoN2O*kgtoGg</f>
        <v>1.2093332917192059</v>
      </c>
      <c r="AE137" s="22">
        <f>SUM('Activity data'!AE50:AE65)*FracGASM*MSVolatEF*NtoN2O*kgtoGg</f>
        <v>1.212549014194676</v>
      </c>
      <c r="AF137" s="22">
        <f>SUM('Activity data'!AF50:AF65)*FracGASM*MSVolatEF*NtoN2O*kgtoGg</f>
        <v>1.2080675975352919</v>
      </c>
      <c r="AG137" s="22">
        <f>SUM('Activity data'!AG50:AG65)*FracGASM*MSVolatEF*NtoN2O*kgtoGg</f>
        <v>1.1932021188168924</v>
      </c>
      <c r="AH137" s="22">
        <f>SUM('Activity data'!AH50:AH65)*FracGASM*MSVolatEF*NtoN2O*kgtoGg</f>
        <v>1.1789615688677482</v>
      </c>
      <c r="AI137" s="22">
        <f>SUM('Activity data'!AI50:AI65)*FracGASM*MSVolatEF*NtoN2O*kgtoGg</f>
        <v>1.1704734210058418</v>
      </c>
      <c r="AJ137" s="22">
        <f>SUM('Activity data'!AJ50:AJ65)*FracGASM*MSVolatEF*NtoN2O*kgtoGg</f>
        <v>1.1638691365373428</v>
      </c>
      <c r="AK137" s="22">
        <f>SUM('Activity data'!AK50:AK65)*FracGASM*MSVolatEF*NtoN2O*kgtoGg</f>
        <v>1.1469007270703131</v>
      </c>
      <c r="AL137" s="22">
        <f>SUM('Activity data'!AL50:AL65)*FracGASM*MSVolatEF*NtoN2O*kgtoGg</f>
        <v>1.0343013809056243</v>
      </c>
      <c r="AM137" s="22">
        <f>SUM('Activity data'!AM50:AM65)*FracGASM*MSVolatEF*NtoN2O*kgtoGg</f>
        <v>1.0481909256150905</v>
      </c>
      <c r="AN137" s="22">
        <f>SUM('Activity data'!AN50:AN65)*FracGASM*MSVolatEF*NtoN2O*kgtoGg</f>
        <v>1.0595148748541463</v>
      </c>
      <c r="AO137" s="22">
        <f>SUM('Activity data'!AO50:AO65)*FracGASM*MSVolatEF*NtoN2O*kgtoGg</f>
        <v>1.0708200492308082</v>
      </c>
      <c r="AP137" s="22">
        <f>SUM('Activity data'!AP50:AP65)*FracGASM*MSVolatEF*NtoN2O*kgtoGg</f>
        <v>1.0860105374840394</v>
      </c>
      <c r="AQ137" s="22">
        <f>SUM('Activity data'!AQ50:AQ65)*FracGASM*MSVolatEF*NtoN2O*kgtoGg</f>
        <v>1.1011136627598048</v>
      </c>
      <c r="AR137" s="22">
        <f>SUM('Activity data'!AR50:AR65)*FracGASM*MSVolatEF*NtoN2O*kgtoGg</f>
        <v>1.1168753754822469</v>
      </c>
      <c r="AS137" s="22">
        <f>SUM('Activity data'!AS50:AS65)*FracGASM*MSVolatEF*NtoN2O*kgtoGg</f>
        <v>1.1316116174141071</v>
      </c>
      <c r="AT137" s="22">
        <f>SUM('Activity data'!AT50:AT65)*FracGASM*MSVolatEF*NtoN2O*kgtoGg</f>
        <v>1.1477472664244306</v>
      </c>
      <c r="AU137" s="22">
        <f>SUM('Activity data'!AU50:AU65)*FracGASM*MSVolatEF*NtoN2O*kgtoGg</f>
        <v>1.162000977077071</v>
      </c>
      <c r="AV137" s="22">
        <f>SUM('Activity data'!AV50:AV65)*FracGASM*MSVolatEF*NtoN2O*kgtoGg</f>
        <v>1.1766850766989885</v>
      </c>
      <c r="AW137" s="22">
        <f>SUM('Activity data'!AW50:AW65)*FracGASM*MSVolatEF*NtoN2O*kgtoGg</f>
        <v>1.1920390141813535</v>
      </c>
      <c r="AX137" s="22">
        <f>SUM('Activity data'!AX50:AX65)*FracGASM*MSVolatEF*NtoN2O*kgtoGg</f>
        <v>1.209291621864601</v>
      </c>
      <c r="AY137" s="22">
        <f>SUM('Activity data'!AY50:AY65)*FracGASM*MSVolatEF*NtoN2O*kgtoGg</f>
        <v>1.2270828646029268</v>
      </c>
      <c r="AZ137" s="22">
        <f>SUM('Activity data'!AZ50:AZ65)*FracGASM*MSVolatEF*NtoN2O*kgtoGg</f>
        <v>1.2169487802084893</v>
      </c>
      <c r="BA137" s="22">
        <f>SUM('Activity data'!BA50:BA65)*FracGASM*MSVolatEF*NtoN2O*kgtoGg</f>
        <v>-0.11188522139136049</v>
      </c>
      <c r="BB137" s="22">
        <f>SUM('Activity data'!BB50:BB65)*FracGASM*MSVolatEF*NtoN2O*kgtoGg</f>
        <v>-0.10923992354699982</v>
      </c>
      <c r="BC137" s="22">
        <f>SUM('Activity data'!BC50:BC65)*FracGASM*MSVolatEF*NtoN2O*kgtoGg</f>
        <v>-0.10664295801578709</v>
      </c>
      <c r="BD137" s="22">
        <f>SUM('Activity data'!BD50:BD65)*FracGASM*MSVolatEF*NtoN2O*kgtoGg</f>
        <v>-0.10409179637304686</v>
      </c>
      <c r="BE137" s="22">
        <f>SUM('Activity data'!BE50:BE65)*FracGASM*MSVolatEF*NtoN2O*kgtoGg</f>
        <v>-0.10158408786075553</v>
      </c>
      <c r="BF137" s="22">
        <f>SUM('Activity data'!BF50:BF65)*FracGASM*MSVolatEF*NtoN2O*kgtoGg</f>
        <v>-9.911764281122247E-2</v>
      </c>
      <c r="BG137" s="22">
        <f>SUM('Activity data'!BG50:BG65)*FracGASM*MSVolatEF*NtoN2O*kgtoGg</f>
        <v>-9.7051147987208763E-2</v>
      </c>
      <c r="BH137" s="22">
        <f>SUM('Activity data'!BH50:BH65)*FracGASM*MSVolatEF*NtoN2O*kgtoGg</f>
        <v>-9.5020146872529937E-2</v>
      </c>
      <c r="BI137" s="22">
        <f>SUM('Activity data'!BI50:BI65)*FracGASM*MSVolatEF*NtoN2O*kgtoGg</f>
        <v>-9.3023012126499452E-2</v>
      </c>
      <c r="BJ137" s="22">
        <f>SUM('Activity data'!BJ50:BJ65)*FracGASM*MSVolatEF*NtoN2O*kgtoGg</f>
        <v>-9.1058219239636279E-2</v>
      </c>
      <c r="BK137" s="22">
        <f>SUM('Activity data'!BK50:BK65)*FracGASM*MSVolatEF*NtoN2O*kgtoGg</f>
        <v>-8.9124337939456066E-2</v>
      </c>
      <c r="BL137" s="22">
        <f>SUM('Activity data'!BL50:BL65)*FracGASM*MSVolatEF*NtoN2O*kgtoGg</f>
        <v>-8.7091918156742387E-2</v>
      </c>
      <c r="BM137" s="22">
        <f>SUM('Activity data'!BM50:BM65)*FracGASM*MSVolatEF*NtoN2O*kgtoGg</f>
        <v>-8.5090852576232723E-2</v>
      </c>
      <c r="BN137" s="22">
        <f>SUM('Activity data'!BN50:BN65)*FracGASM*MSVolatEF*NtoN2O*kgtoGg</f>
        <v>-8.3119887513720792E-2</v>
      </c>
      <c r="BO137" s="22">
        <f>SUM('Activity data'!BO50:BO65)*FracGASM*MSVolatEF*NtoN2O*kgtoGg</f>
        <v>-8.1177840815191041E-2</v>
      </c>
      <c r="BP137" s="22">
        <f>SUM('Activity data'!BP50:BP65)*FracGASM*MSVolatEF*NtoN2O*kgtoGg</f>
        <v>-7.9263596467564895E-2</v>
      </c>
    </row>
    <row r="138" spans="1:68" x14ac:dyDescent="0.25">
      <c r="A138" t="str">
        <f t="shared" si="29"/>
        <v>3C Aggregated and non-CO2 emissions on land</v>
      </c>
      <c r="B138" t="str">
        <f t="shared" si="42"/>
        <v>3C5 Indirect N2O from managed soils (N2O)</v>
      </c>
      <c r="C138" t="str">
        <f t="shared" si="43"/>
        <v>Volatilisation</v>
      </c>
      <c r="D138" t="s">
        <v>438</v>
      </c>
      <c r="E138" t="str">
        <f t="shared" si="32"/>
        <v>Volatilisation - Urine &amp; dung</v>
      </c>
      <c r="F138" t="str">
        <f t="shared" si="36"/>
        <v>N2O</v>
      </c>
      <c r="G138" t="str">
        <f t="shared" si="37"/>
        <v>Gg N2O</v>
      </c>
      <c r="H138" s="22">
        <f>SUM('Activity data'!H66:H81)*FracGASM*MSVolatEF*NtoN2O*kgtoGg</f>
        <v>5.3293144096787222</v>
      </c>
      <c r="I138" s="22">
        <f>SUM('Activity data'!I66:I81)*FracGASM*MSVolatEF*NtoN2O*kgtoGg</f>
        <v>5.1770975753759236</v>
      </c>
      <c r="J138" s="22">
        <f>SUM('Activity data'!J66:J81)*FracGASM*MSVolatEF*NtoN2O*kgtoGg</f>
        <v>5.0830298342539484</v>
      </c>
      <c r="K138" s="22">
        <f>SUM('Activity data'!K66:K81)*FracGASM*MSVolatEF*NtoN2O*kgtoGg</f>
        <v>4.829642515128679</v>
      </c>
      <c r="L138" s="22">
        <f>SUM('Activity data'!L66:L81)*FracGASM*MSVolatEF*NtoN2O*kgtoGg</f>
        <v>4.7894399365203268</v>
      </c>
      <c r="M138" s="22">
        <f>SUM('Activity data'!M66:M81)*FracGASM*MSVolatEF*NtoN2O*kgtoGg</f>
        <v>4.7921511406548962</v>
      </c>
      <c r="N138" s="22">
        <f>SUM('Activity data'!N66:N81)*FracGASM*MSVolatEF*NtoN2O*kgtoGg</f>
        <v>4.8976053876932584</v>
      </c>
      <c r="O138" s="22">
        <f>SUM('Activity data'!O66:O81)*FracGASM*MSVolatEF*NtoN2O*kgtoGg</f>
        <v>4.9547281574748672</v>
      </c>
      <c r="P138" s="22">
        <f>SUM('Activity data'!P66:P81)*FracGASM*MSVolatEF*NtoN2O*kgtoGg</f>
        <v>5.0157449787285939</v>
      </c>
      <c r="Q138" s="22">
        <f>SUM('Activity data'!Q66:Q81)*FracGASM*MSVolatEF*NtoN2O*kgtoGg</f>
        <v>4.9767771047110116</v>
      </c>
      <c r="R138" s="22">
        <f>SUM('Activity data'!R66:R81)*FracGASM*MSVolatEF*NtoN2O*kgtoGg</f>
        <v>4.8211266878067001</v>
      </c>
      <c r="S138" s="22">
        <f>SUM('Activity data'!S66:S81)*FracGASM*MSVolatEF*NtoN2O*kgtoGg</f>
        <v>4.7800473511978687</v>
      </c>
      <c r="T138" s="22">
        <f>SUM('Activity data'!T66:T81)*FracGASM*MSVolatEF*NtoN2O*kgtoGg</f>
        <v>4.6975024951288153</v>
      </c>
      <c r="U138" s="22">
        <f>SUM('Activity data'!U66:U81)*FracGASM*MSVolatEF*NtoN2O*kgtoGg</f>
        <v>4.7360084777803504</v>
      </c>
      <c r="V138" s="22">
        <f>SUM('Activity data'!V66:V81)*FracGASM*MSVolatEF*NtoN2O*kgtoGg</f>
        <v>4.7003354016017305</v>
      </c>
      <c r="W138" s="22">
        <f>SUM('Activity data'!W66:W81)*FracGASM*MSVolatEF*NtoN2O*kgtoGg</f>
        <v>4.687578912663029</v>
      </c>
      <c r="X138" s="22">
        <f>SUM('Activity data'!X66:X81)*FracGASM*MSVolatEF*NtoN2O*kgtoGg</f>
        <v>4.6689428593096167</v>
      </c>
      <c r="Y138" s="22">
        <f>SUM('Activity data'!Y66:Y81)*FracGASM*MSVolatEF*NtoN2O*kgtoGg</f>
        <v>4.7434640177817213</v>
      </c>
      <c r="Z138" s="22">
        <f>SUM('Activity data'!Z66:Z81)*FracGASM*MSVolatEF*NtoN2O*kgtoGg</f>
        <v>4.7183947350866733</v>
      </c>
      <c r="AA138" s="22">
        <f>SUM('Activity data'!AA66:AA81)*FracGASM*MSVolatEF*NtoN2O*kgtoGg</f>
        <v>4.674811692850918</v>
      </c>
      <c r="AB138" s="22">
        <f>SUM('Activity data'!AB66:AB81)*FracGASM*MSVolatEF*NtoN2O*kgtoGg</f>
        <v>4.622134481418013</v>
      </c>
      <c r="AC138" s="22">
        <f>SUM('Activity data'!AC66:AC81)*FracGASM*MSVolatEF*NtoN2O*kgtoGg</f>
        <v>4.6008288415645895</v>
      </c>
      <c r="AD138" s="22">
        <f>SUM('Activity data'!AD66:AD81)*FracGASM*MSVolatEF*NtoN2O*kgtoGg</f>
        <v>4.4200208339270741</v>
      </c>
      <c r="AE138" s="22">
        <f>SUM('Activity data'!AE66:AE81)*FracGASM*MSVolatEF*NtoN2O*kgtoGg</f>
        <v>4.4063497224338981</v>
      </c>
      <c r="AF138" s="22">
        <f>SUM('Activity data'!AF66:AF81)*FracGASM*MSVolatEF*NtoN2O*kgtoGg</f>
        <v>4.3748236308422763</v>
      </c>
      <c r="AG138" s="22">
        <f>SUM('Activity data'!AG66:AG81)*FracGASM*MSVolatEF*NtoN2O*kgtoGg</f>
        <v>4.3194633293945399</v>
      </c>
      <c r="AH138" s="22">
        <f>SUM('Activity data'!AH66:AH81)*FracGASM*MSVolatEF*NtoN2O*kgtoGg</f>
        <v>4.2670975633063994</v>
      </c>
      <c r="AI138" s="22">
        <f>SUM('Activity data'!AI66:AI81)*FracGASM*MSVolatEF*NtoN2O*kgtoGg</f>
        <v>4.2296870830077653</v>
      </c>
      <c r="AJ138" s="22">
        <f>SUM('Activity data'!AJ66:AJ81)*FracGASM*MSVolatEF*NtoN2O*kgtoGg</f>
        <v>4.1973003663588617</v>
      </c>
      <c r="AK138" s="22">
        <f>SUM('Activity data'!AK66:AK81)*FracGASM*MSVolatEF*NtoN2O*kgtoGg</f>
        <v>4.1416337219460111</v>
      </c>
      <c r="AL138" s="22">
        <f>SUM('Activity data'!AL66:AL81)*FracGASM*MSVolatEF*NtoN2O*kgtoGg</f>
        <v>3.8694283391195556</v>
      </c>
      <c r="AM138" s="22">
        <f>SUM('Activity data'!AM66:AM81)*FracGASM*MSVolatEF*NtoN2O*kgtoGg</f>
        <v>3.892690707807458</v>
      </c>
      <c r="AN138" s="22">
        <f>SUM('Activity data'!AN66:AN81)*FracGASM*MSVolatEF*NtoN2O*kgtoGg</f>
        <v>3.910223559811274</v>
      </c>
      <c r="AO138" s="22">
        <f>SUM('Activity data'!AO66:AO81)*FracGASM*MSVolatEF*NtoN2O*kgtoGg</f>
        <v>3.9277946028277135</v>
      </c>
      <c r="AP138" s="22">
        <f>SUM('Activity data'!AP66:AP81)*FracGASM*MSVolatEF*NtoN2O*kgtoGg</f>
        <v>3.9540546968376762</v>
      </c>
      <c r="AQ138" s="22">
        <f>SUM('Activity data'!AQ66:AQ81)*FracGASM*MSVolatEF*NtoN2O*kgtoGg</f>
        <v>3.9800525826427466</v>
      </c>
      <c r="AR138" s="22">
        <f>SUM('Activity data'!AR66:AR81)*FracGASM*MSVolatEF*NtoN2O*kgtoGg</f>
        <v>4.0052503163811615</v>
      </c>
      <c r="AS138" s="22">
        <f>SUM('Activity data'!AS66:AS81)*FracGASM*MSVolatEF*NtoN2O*kgtoGg</f>
        <v>4.0280715770679869</v>
      </c>
      <c r="AT138" s="22">
        <f>SUM('Activity data'!AT66:AT81)*FracGASM*MSVolatEF*NtoN2O*kgtoGg</f>
        <v>4.0537990986432781</v>
      </c>
      <c r="AU138" s="22">
        <f>SUM('Activity data'!AU66:AU81)*FracGASM*MSVolatEF*NtoN2O*kgtoGg</f>
        <v>4.0752877726899488</v>
      </c>
      <c r="AV138" s="22">
        <f>SUM('Activity data'!AV66:AV81)*FracGASM*MSVolatEF*NtoN2O*kgtoGg</f>
        <v>4.0975518352324007</v>
      </c>
      <c r="AW138" s="22">
        <f>SUM('Activity data'!AW66:AW81)*FracGASM*MSVolatEF*NtoN2O*kgtoGg</f>
        <v>4.1101837888002137</v>
      </c>
      <c r="AX138" s="22">
        <f>SUM('Activity data'!AX66:AX81)*FracGASM*MSVolatEF*NtoN2O*kgtoGg</f>
        <v>4.1260897941446899</v>
      </c>
      <c r="AY138" s="22">
        <f>SUM('Activity data'!AY66:AY81)*FracGASM*MSVolatEF*NtoN2O*kgtoGg</f>
        <v>4.1422931340887423</v>
      </c>
      <c r="AZ138" s="22">
        <f>SUM('Activity data'!AZ66:AZ81)*FracGASM*MSVolatEF*NtoN2O*kgtoGg</f>
        <v>4.1002928018965292</v>
      </c>
      <c r="BA138" s="22">
        <f>SUM('Activity data'!BA66:BA81)*FracGASM*MSVolatEF*NtoN2O*kgtoGg</f>
        <v>1.3815874291099948</v>
      </c>
      <c r="BB138" s="22">
        <f>SUM('Activity data'!BB66:BB81)*FracGASM*MSVolatEF*NtoN2O*kgtoGg</f>
        <v>1.3949306414379468</v>
      </c>
      <c r="BC138" s="22">
        <f>SUM('Activity data'!BC66:BC81)*FracGASM*MSVolatEF*NtoN2O*kgtoGg</f>
        <v>1.4082841741429419</v>
      </c>
      <c r="BD138" s="22">
        <f>SUM('Activity data'!BD66:BD81)*FracGASM*MSVolatEF*NtoN2O*kgtoGg</f>
        <v>1.4216501520712144</v>
      </c>
      <c r="BE138" s="22">
        <f>SUM('Activity data'!BE66:BE81)*FracGASM*MSVolatEF*NtoN2O*kgtoGg</f>
        <v>1.4350306139589808</v>
      </c>
      <c r="BF138" s="22">
        <f>SUM('Activity data'!BF66:BF81)*FracGASM*MSVolatEF*NtoN2O*kgtoGg</f>
        <v>1.4484275190090183</v>
      </c>
      <c r="BG138" s="22">
        <f>SUM('Activity data'!BG66:BG81)*FracGASM*MSVolatEF*NtoN2O*kgtoGg</f>
        <v>1.4583849717914823</v>
      </c>
      <c r="BH138" s="22">
        <f>SUM('Activity data'!BH66:BH81)*FracGASM*MSVolatEF*NtoN2O*kgtoGg</f>
        <v>1.4683627043177812</v>
      </c>
      <c r="BI138" s="22">
        <f>SUM('Activity data'!BI66:BI81)*FracGASM*MSVolatEF*NtoN2O*kgtoGg</f>
        <v>1.4783612830909323</v>
      </c>
      <c r="BJ138" s="22">
        <f>SUM('Activity data'!BJ66:BJ81)*FracGASM*MSVolatEF*NtoN2O*kgtoGg</f>
        <v>1.4883812733334345</v>
      </c>
      <c r="BK138" s="22">
        <f>SUM('Activity data'!BK66:BK81)*FracGASM*MSVolatEF*NtoN2O*kgtoGg</f>
        <v>1.4984232382688703</v>
      </c>
      <c r="BL138" s="22">
        <f>SUM('Activity data'!BL66:BL81)*FracGASM*MSVolatEF*NtoN2O*kgtoGg</f>
        <v>1.5071704030997894</v>
      </c>
      <c r="BM138" s="22">
        <f>SUM('Activity data'!BM66:BM81)*FracGASM*MSVolatEF*NtoN2O*kgtoGg</f>
        <v>1.5159247272983905</v>
      </c>
      <c r="BN138" s="22">
        <f>SUM('Activity data'!BN66:BN81)*FracGASM*MSVolatEF*NtoN2O*kgtoGg</f>
        <v>1.5246866021590828</v>
      </c>
      <c r="BO138" s="22">
        <f>SUM('Activity data'!BO66:BO81)*FracGASM*MSVolatEF*NtoN2O*kgtoGg</f>
        <v>1.5334564173590695</v>
      </c>
      <c r="BP138" s="22">
        <f>SUM('Activity data'!BP66:BP81)*FracGASM*MSVolatEF*NtoN2O*kgtoGg</f>
        <v>1.5422345604898144</v>
      </c>
    </row>
    <row r="139" spans="1:68" x14ac:dyDescent="0.25">
      <c r="A139" t="str">
        <f t="shared" ref="A139" si="44">A138</f>
        <v>3C Aggregated and non-CO2 emissions on land</v>
      </c>
      <c r="B139" t="str">
        <f t="shared" ref="B139" si="45">B138</f>
        <v>3C5 Indirect N2O from managed soils (N2O)</v>
      </c>
      <c r="C139" t="str">
        <f>'IPCC Categories'!C79</f>
        <v>Leaching/runoff</v>
      </c>
      <c r="D139" t="str">
        <f>D135</f>
        <v xml:space="preserve"> - Synthetic fertlisers</v>
      </c>
      <c r="E139" t="str">
        <f t="shared" ref="E139:E143" si="46">C139&amp;D139</f>
        <v>Leaching/runoff - Synthetic fertlisers</v>
      </c>
      <c r="F139" t="str">
        <f t="shared" ref="F139:F187" si="47">F138</f>
        <v>N2O</v>
      </c>
      <c r="G139" t="str">
        <f t="shared" ref="G139:G187" si="48">G138</f>
        <v>Gg N2O</v>
      </c>
      <c r="H139" s="22">
        <f>'Activity data'!H47*FracLEACH*MSLeachEF*NtoN2O*kgtoGg</f>
        <v>1.8632853642857139E-4</v>
      </c>
      <c r="I139" s="22">
        <f>'Activity data'!I47*FracLEACH*MSLeachEF*NtoN2O*kgtoGg</f>
        <v>1.9790111785714283E-4</v>
      </c>
      <c r="J139" s="22">
        <f>'Activity data'!J47*FracLEACH*MSLeachEF*NtoN2O*kgtoGg</f>
        <v>1.884081964285714E-4</v>
      </c>
      <c r="K139" s="22">
        <f>'Activity data'!K47*FracLEACH*MSLeachEF*NtoN2O*kgtoGg</f>
        <v>2.2144312928571426E-4</v>
      </c>
      <c r="L139" s="22">
        <f>'Activity data'!L47*FracLEACH*MSLeachEF*NtoN2O*kgtoGg</f>
        <v>2.0333935285714286E-4</v>
      </c>
      <c r="M139" s="22">
        <f>'Activity data'!M47*FracLEACH*MSLeachEF*NtoN2O*kgtoGg</f>
        <v>2.0140119214285713E-4</v>
      </c>
      <c r="N139" s="22">
        <f>'Activity data'!N47*FracLEACH*MSLeachEF*NtoN2O*kgtoGg</f>
        <v>2.250348257142857E-4</v>
      </c>
      <c r="O139" s="22">
        <f>'Activity data'!O47*FracLEACH*MSLeachEF*NtoN2O*kgtoGg</f>
        <v>2.2060551857142855E-4</v>
      </c>
      <c r="P139" s="22">
        <f>'Activity data'!P47*FracLEACH*MSLeachEF*NtoN2O*kgtoGg</f>
        <v>2.2527174214285716E-4</v>
      </c>
      <c r="Q139" s="22">
        <f>'Activity data'!Q47*FracLEACH*MSLeachEF*NtoN2O*kgtoGg</f>
        <v>2.2392939642857141E-4</v>
      </c>
      <c r="R139" s="22">
        <f>'Activity data'!R47*FracLEACH*MSLeachEF*NtoN2O*kgtoGg</f>
        <v>2.25495105E-4</v>
      </c>
      <c r="S139" s="22">
        <f>'Activity data'!S47*FracLEACH*MSLeachEF*NtoN2O*kgtoGg</f>
        <v>2.1458719071428572E-4</v>
      </c>
      <c r="T139" s="22">
        <f>'Activity data'!T47*FracLEACH*MSLeachEF*NtoN2O*kgtoGg</f>
        <v>2.5864117714285707E-4</v>
      </c>
      <c r="U139" s="22">
        <f>'Activity data'!U47*FracLEACH*MSLeachEF*NtoN2O*kgtoGg</f>
        <v>2.2814835214285712E-4</v>
      </c>
      <c r="V139" s="22">
        <f>'Activity data'!V47*FracLEACH*MSLeachEF*NtoN2O*kgtoGg</f>
        <v>2.3180456357142852E-4</v>
      </c>
      <c r="W139" s="22">
        <f>'Activity data'!W47*FracLEACH*MSLeachEF*NtoN2O*kgtoGg</f>
        <v>1.8826452857142854E-4</v>
      </c>
      <c r="X139" s="22">
        <f>'Activity data'!X47*FracLEACH*MSLeachEF*NtoN2O*kgtoGg</f>
        <v>2.3242694357142855E-4</v>
      </c>
      <c r="Y139" s="22">
        <f>'Activity data'!Y47*FracLEACH*MSLeachEF*NtoN2O*kgtoGg</f>
        <v>2.382609428571428E-4</v>
      </c>
      <c r="Z139" s="22">
        <f>'Activity data'!Z47*FracLEACH*MSLeachEF*NtoN2O*kgtoGg</f>
        <v>2.2993525499999997E-4</v>
      </c>
      <c r="AA139" s="22">
        <f>'Activity data'!AA47*FracLEACH*MSLeachEF*NtoN2O*kgtoGg</f>
        <v>2.4601195928571426E-4</v>
      </c>
      <c r="AB139" s="22">
        <f>'Activity data'!AB47*FracLEACH*MSLeachEF*NtoN2O*kgtoGg</f>
        <v>2.1414642857142856E-4</v>
      </c>
      <c r="AC139" s="22">
        <f>'Activity data'!AC47*FracLEACH*MSLeachEF*NtoN2O*kgtoGg</f>
        <v>2.2715785714285715E-4</v>
      </c>
      <c r="AD139" s="22">
        <f>'Activity data'!AD47*FracLEACH*MSLeachEF*NtoN2O*kgtoGg</f>
        <v>2.2792360161858692E-4</v>
      </c>
      <c r="AE139" s="22">
        <f>'Activity data'!AE47*FracLEACH*MSLeachEF*NtoN2O*kgtoGg</f>
        <v>2.2789089758152E-4</v>
      </c>
      <c r="AF139" s="22">
        <f>'Activity data'!AF47*FracLEACH*MSLeachEF*NtoN2O*kgtoGg</f>
        <v>2.2784620728789122E-4</v>
      </c>
      <c r="AG139" s="22">
        <f>'Activity data'!AG47*FracLEACH*MSLeachEF*NtoN2O*kgtoGg</f>
        <v>2.2781376806101585E-4</v>
      </c>
      <c r="AH139" s="22">
        <f>'Activity data'!AH47*FracLEACH*MSLeachEF*NtoN2O*kgtoGg</f>
        <v>2.277979703991449E-4</v>
      </c>
      <c r="AI139" s="22">
        <f>'Activity data'!AI47*FracLEACH*MSLeachEF*NtoN2O*kgtoGg</f>
        <v>2.2778237795328883E-4</v>
      </c>
      <c r="AJ139" s="22">
        <f>'Activity data'!AJ47*FracLEACH*MSLeachEF*NtoN2O*kgtoGg</f>
        <v>2.2775879036527182E-4</v>
      </c>
      <c r="AK139" s="22">
        <f>'Activity data'!AK47*FracLEACH*MSLeachEF*NtoN2O*kgtoGg</f>
        <v>2.2773296541219322E-4</v>
      </c>
      <c r="AL139" s="22">
        <f>'Activity data'!AL47*FracLEACH*MSLeachEF*NtoN2O*kgtoGg</f>
        <v>2.2772451381029767E-4</v>
      </c>
      <c r="AM139" s="22">
        <f>'Activity data'!AM47*FracLEACH*MSLeachEF*NtoN2O*kgtoGg</f>
        <v>2.2787975604510752E-4</v>
      </c>
      <c r="AN139" s="22">
        <f>'Activity data'!AN47*FracLEACH*MSLeachEF*NtoN2O*kgtoGg</f>
        <v>2.2783133073996282E-4</v>
      </c>
      <c r="AO139" s="22">
        <f>'Activity data'!AO47*FracLEACH*MSLeachEF*NtoN2O*kgtoGg</f>
        <v>2.2778779266900863E-4</v>
      </c>
      <c r="AP139" s="22">
        <f>'Activity data'!AP47*FracLEACH*MSLeachEF*NtoN2O*kgtoGg</f>
        <v>2.2774465820609167E-4</v>
      </c>
      <c r="AQ139" s="22">
        <f>'Activity data'!AQ47*FracLEACH*MSLeachEF*NtoN2O*kgtoGg</f>
        <v>2.2769514433443585E-4</v>
      </c>
      <c r="AR139" s="22">
        <f>'Activity data'!AR47*FracLEACH*MSLeachEF*NtoN2O*kgtoGg</f>
        <v>2.2764616786006951E-4</v>
      </c>
      <c r="AS139" s="22">
        <f>'Activity data'!AS47*FracLEACH*MSLeachEF*NtoN2O*kgtoGg</f>
        <v>2.2759651184057824E-4</v>
      </c>
      <c r="AT139" s="22">
        <f>'Activity data'!AT47*FracLEACH*MSLeachEF*NtoN2O*kgtoGg</f>
        <v>2.2754896944896373E-4</v>
      </c>
      <c r="AU139" s="22">
        <f>'Activity data'!AU47*FracLEACH*MSLeachEF*NtoN2O*kgtoGg</f>
        <v>2.2749939499654159E-4</v>
      </c>
      <c r="AV139" s="22">
        <f>'Activity data'!AV47*FracLEACH*MSLeachEF*NtoN2O*kgtoGg</f>
        <v>2.2745334364346914E-4</v>
      </c>
      <c r="AW139" s="22">
        <f>'Activity data'!AW47*FracLEACH*MSLeachEF*NtoN2O*kgtoGg</f>
        <v>2.2740688148204587E-4</v>
      </c>
      <c r="AX139" s="22">
        <f>'Activity data'!AX47*FracLEACH*MSLeachEF*NtoN2O*kgtoGg</f>
        <v>2.2735281526868665E-4</v>
      </c>
      <c r="AY139" s="22">
        <f>'Activity data'!AY47*FracLEACH*MSLeachEF*NtoN2O*kgtoGg</f>
        <v>2.2729573788886622E-4</v>
      </c>
      <c r="AZ139" s="22">
        <f>'Activity data'!AZ47*FracLEACH*MSLeachEF*NtoN2O*kgtoGg</f>
        <v>2.2723794052986968E-4</v>
      </c>
      <c r="BA139" s="22">
        <f>'Activity data'!BA47*FracLEACH*MSLeachEF*NtoN2O*kgtoGg</f>
        <v>2.2722647023900249E-4</v>
      </c>
      <c r="BB139" s="22">
        <f>'Activity data'!BB47*FracLEACH*MSLeachEF*NtoN2O*kgtoGg</f>
        <v>2.3199301501406117E-4</v>
      </c>
      <c r="BC139" s="22">
        <f>'Activity data'!BC47*FracLEACH*MSLeachEF*NtoN2O*kgtoGg</f>
        <v>2.3200144778534623E-4</v>
      </c>
      <c r="BD139" s="22">
        <f>'Activity data'!BD47*FracLEACH*MSLeachEF*NtoN2O*kgtoGg</f>
        <v>2.3200996932526481E-4</v>
      </c>
      <c r="BE139" s="22">
        <f>'Activity data'!BE47*FracLEACH*MSLeachEF*NtoN2O*kgtoGg</f>
        <v>2.3201858085671791E-4</v>
      </c>
      <c r="BF139" s="22">
        <f>'Activity data'!BF47*FracLEACH*MSLeachEF*NtoN2O*kgtoGg</f>
        <v>2.3202728362560843E-4</v>
      </c>
      <c r="BG139" s="22">
        <f>'Activity data'!BG47*FracLEACH*MSLeachEF*NtoN2O*kgtoGg</f>
        <v>2.3203607890141459E-4</v>
      </c>
      <c r="BH139" s="22">
        <f>'Activity data'!BH47*FracLEACH*MSLeachEF*NtoN2O*kgtoGg</f>
        <v>2.3204361807507387E-4</v>
      </c>
      <c r="BI139" s="22">
        <f>'Activity data'!BI47*FracLEACH*MSLeachEF*NtoN2O*kgtoGg</f>
        <v>2.3205122563665836E-4</v>
      </c>
      <c r="BJ139" s="22">
        <f>'Activity data'!BJ47*FracLEACH*MSLeachEF*NtoN2O*kgtoGg</f>
        <v>2.3205890240445205E-4</v>
      </c>
      <c r="BK139" s="22">
        <f>'Activity data'!BK47*FracLEACH*MSLeachEF*NtoN2O*kgtoGg</f>
        <v>2.3206664921016296E-4</v>
      </c>
      <c r="BL139" s="22">
        <f>'Activity data'!BL47*FracLEACH*MSLeachEF*NtoN2O*kgtoGg</f>
        <v>2.3207446689921618E-4</v>
      </c>
      <c r="BM139" s="22">
        <f>'Activity data'!BM47*FracLEACH*MSLeachEF*NtoN2O*kgtoGg</f>
        <v>2.3208094961269798E-4</v>
      </c>
      <c r="BN139" s="22">
        <f>'Activity data'!BN47*FracLEACH*MSLeachEF*NtoN2O*kgtoGg</f>
        <v>2.3208748132964898E-4</v>
      </c>
      <c r="BO139" s="22">
        <f>'Activity data'!BO47*FracLEACH*MSLeachEF*NtoN2O*kgtoGg</f>
        <v>2.3209406254196601E-4</v>
      </c>
      <c r="BP139" s="22">
        <f>'Activity data'!BP47*FracLEACH*MSLeachEF*NtoN2O*kgtoGg</f>
        <v>2.3210069374833838E-4</v>
      </c>
    </row>
    <row r="140" spans="1:68" x14ac:dyDescent="0.25">
      <c r="A140" t="str">
        <f t="shared" ref="A140" si="49">A139</f>
        <v>3C Aggregated and non-CO2 emissions on land</v>
      </c>
      <c r="B140" t="str">
        <f t="shared" ref="B140:C140" si="50">B139</f>
        <v>3C5 Indirect N2O from managed soils (N2O)</v>
      </c>
      <c r="C140" t="str">
        <f t="shared" si="50"/>
        <v>Leaching/runoff</v>
      </c>
      <c r="D140" t="str">
        <f t="shared" ref="D140:D142" si="51">D136</f>
        <v xml:space="preserve"> - Organic fertilisers</v>
      </c>
      <c r="E140" t="str">
        <f t="shared" si="46"/>
        <v>Leaching/runoff - Organic fertilisers</v>
      </c>
      <c r="F140" t="str">
        <f t="shared" si="47"/>
        <v>N2O</v>
      </c>
      <c r="G140" t="str">
        <f t="shared" si="48"/>
        <v>Gg N2O</v>
      </c>
      <c r="H140" s="22">
        <f>'Activity data'!H48*FracLEACH*MSLeachEF*NtoN2O*kgtoGg</f>
        <v>1.2297683404285713E-6</v>
      </c>
      <c r="I140" s="22">
        <f>'Activity data'!I48*FracLEACH*MSLeachEF*NtoN2O*kgtoGg</f>
        <v>1.3061473778571428E-6</v>
      </c>
      <c r="J140" s="22">
        <f>'Activity data'!J48*FracLEACH*MSLeachEF*NtoN2O*kgtoGg</f>
        <v>1.2434940964285714E-6</v>
      </c>
      <c r="K140" s="22">
        <f>'Activity data'!K48*FracLEACH*MSLeachEF*NtoN2O*kgtoGg</f>
        <v>1.4615246532857147E-6</v>
      </c>
      <c r="L140" s="22">
        <f>'Activity data'!L48*FracLEACH*MSLeachEF*NtoN2O*kgtoGg</f>
        <v>1.3420397288571429E-6</v>
      </c>
      <c r="M140" s="22">
        <f>'Activity data'!M48*FracLEACH*MSLeachEF*NtoN2O*kgtoGg</f>
        <v>1.3292478681428569E-6</v>
      </c>
      <c r="N140" s="22">
        <f>'Activity data'!N48*FracLEACH*MSLeachEF*NtoN2O*kgtoGg</f>
        <v>1.4852298497142859E-6</v>
      </c>
      <c r="O140" s="22">
        <f>'Activity data'!O48*FracLEACH*MSLeachEF*NtoN2O*kgtoGg</f>
        <v>1.4559964225714286E-6</v>
      </c>
      <c r="P140" s="22">
        <f>'Activity data'!P48*FracLEACH*MSLeachEF*NtoN2O*kgtoGg</f>
        <v>1.4867934981428574E-6</v>
      </c>
      <c r="Q140" s="22">
        <f>'Activity data'!Q48*FracLEACH*MSLeachEF*NtoN2O*kgtoGg</f>
        <v>1.4779340164285714E-6</v>
      </c>
      <c r="R140" s="22">
        <f>'Activity data'!R48*FracLEACH*MSLeachEF*NtoN2O*kgtoGg</f>
        <v>1.4882676930000004E-6</v>
      </c>
      <c r="S140" s="22">
        <f>'Activity data'!S48*FracLEACH*MSLeachEF*NtoN2O*kgtoGg</f>
        <v>1.4162754587142857E-6</v>
      </c>
      <c r="T140" s="22">
        <f>'Activity data'!T48*FracLEACH*MSLeachEF*NtoN2O*kgtoGg</f>
        <v>1.7070317691428573E-6</v>
      </c>
      <c r="U140" s="22">
        <f>'Activity data'!U48*FracLEACH*MSLeachEF*NtoN2O*kgtoGg</f>
        <v>1.5057791241428575E-6</v>
      </c>
      <c r="V140" s="22">
        <f>'Activity data'!V48*FracLEACH*MSLeachEF*NtoN2O*kgtoGg</f>
        <v>1.5299101195714285E-6</v>
      </c>
      <c r="W140" s="22">
        <f>'Activity data'!W48*FracLEACH*MSLeachEF*NtoN2O*kgtoGg</f>
        <v>1.2425458885714285E-6</v>
      </c>
      <c r="X140" s="22">
        <f>'Activity data'!X48*FracLEACH*MSLeachEF*NtoN2O*kgtoGg</f>
        <v>1.5340178275714286E-6</v>
      </c>
      <c r="Y140" s="22">
        <f>'Activity data'!Y48*FracLEACH*MSLeachEF*NtoN2O*kgtoGg</f>
        <v>1.5725222228571428E-6</v>
      </c>
      <c r="Z140" s="22">
        <f>'Activity data'!Z48*FracLEACH*MSLeachEF*NtoN2O*kgtoGg</f>
        <v>1.5175726830000002E-6</v>
      </c>
      <c r="AA140" s="22">
        <f>'Activity data'!AA48*FracLEACH*MSLeachEF*NtoN2O*kgtoGg</f>
        <v>1.6236789312857143E-6</v>
      </c>
      <c r="AB140" s="22">
        <f>'Activity data'!AB48*FracLEACH*MSLeachEF*NtoN2O*kgtoGg</f>
        <v>1.4133664285714284E-6</v>
      </c>
      <c r="AC140" s="22">
        <f>'Activity data'!AC48*FracLEACH*MSLeachEF*NtoN2O*kgtoGg</f>
        <v>1.4992418571428571E-6</v>
      </c>
      <c r="AD140" s="22">
        <f>'Activity data'!AD48*FracLEACH*MSLeachEF*NtoN2O*kgtoGg</f>
        <v>1.5042957706826741E-6</v>
      </c>
      <c r="AE140" s="22">
        <f>'Activity data'!AE48*FracLEACH*MSLeachEF*NtoN2O*kgtoGg</f>
        <v>1.5040799240380321E-6</v>
      </c>
      <c r="AF140" s="22">
        <f>'Activity data'!AF48*FracLEACH*MSLeachEF*NtoN2O*kgtoGg</f>
        <v>1.5037849681000825E-6</v>
      </c>
      <c r="AG140" s="22">
        <f>'Activity data'!AG48*FracLEACH*MSLeachEF*NtoN2O*kgtoGg</f>
        <v>1.5035708692027049E-6</v>
      </c>
      <c r="AH140" s="22">
        <f>'Activity data'!AH48*FracLEACH*MSLeachEF*NtoN2O*kgtoGg</f>
        <v>1.5034666046343562E-6</v>
      </c>
      <c r="AI140" s="22">
        <f>'Activity data'!AI48*FracLEACH*MSLeachEF*NtoN2O*kgtoGg</f>
        <v>1.5033636944917065E-6</v>
      </c>
      <c r="AJ140" s="22">
        <f>'Activity data'!AJ48*FracLEACH*MSLeachEF*NtoN2O*kgtoGg</f>
        <v>1.5032080164107946E-6</v>
      </c>
      <c r="AK140" s="22">
        <f>'Activity data'!AK48*FracLEACH*MSLeachEF*NtoN2O*kgtoGg</f>
        <v>1.5030375717204757E-6</v>
      </c>
      <c r="AL140" s="22">
        <f>'Activity data'!AL48*FracLEACH*MSLeachEF*NtoN2O*kgtoGg</f>
        <v>1.5029817911479652E-6</v>
      </c>
      <c r="AM140" s="22">
        <f>'Activity data'!AM48*FracLEACH*MSLeachEF*NtoN2O*kgtoGg</f>
        <v>1.5040063898977102E-6</v>
      </c>
      <c r="AN140" s="22">
        <f>'Activity data'!AN48*FracLEACH*MSLeachEF*NtoN2O*kgtoGg</f>
        <v>1.503686782883755E-6</v>
      </c>
      <c r="AO140" s="22">
        <f>'Activity data'!AO48*FracLEACH*MSLeachEF*NtoN2O*kgtoGg</f>
        <v>1.5033994316154569E-6</v>
      </c>
      <c r="AP140" s="22">
        <f>'Activity data'!AP48*FracLEACH*MSLeachEF*NtoN2O*kgtoGg</f>
        <v>1.5031147441602057E-6</v>
      </c>
      <c r="AQ140" s="22">
        <f>'Activity data'!AQ48*FracLEACH*MSLeachEF*NtoN2O*kgtoGg</f>
        <v>1.5027879526072768E-6</v>
      </c>
      <c r="AR140" s="22">
        <f>'Activity data'!AR48*FracLEACH*MSLeachEF*NtoN2O*kgtoGg</f>
        <v>1.5024647078764589E-6</v>
      </c>
      <c r="AS140" s="22">
        <f>'Activity data'!AS48*FracLEACH*MSLeachEF*NtoN2O*kgtoGg</f>
        <v>1.5021369781478169E-6</v>
      </c>
      <c r="AT140" s="22">
        <f>'Activity data'!AT48*FracLEACH*MSLeachEF*NtoN2O*kgtoGg</f>
        <v>1.5018231983631605E-6</v>
      </c>
      <c r="AU140" s="22">
        <f>'Activity data'!AU48*FracLEACH*MSLeachEF*NtoN2O*kgtoGg</f>
        <v>1.5014960069771748E-6</v>
      </c>
      <c r="AV140" s="22">
        <f>'Activity data'!AV48*FracLEACH*MSLeachEF*NtoN2O*kgtoGg</f>
        <v>1.5011920680468966E-6</v>
      </c>
      <c r="AW140" s="22">
        <f>'Activity data'!AW48*FracLEACH*MSLeachEF*NtoN2O*kgtoGg</f>
        <v>1.5008854177815029E-6</v>
      </c>
      <c r="AX140" s="22">
        <f>'Activity data'!AX48*FracLEACH*MSLeachEF*NtoN2O*kgtoGg</f>
        <v>1.5005285807733322E-6</v>
      </c>
      <c r="AY140" s="22">
        <f>'Activity data'!AY48*FracLEACH*MSLeachEF*NtoN2O*kgtoGg</f>
        <v>1.5001518700665174E-6</v>
      </c>
      <c r="AZ140" s="22">
        <f>'Activity data'!AZ48*FracLEACH*MSLeachEF*NtoN2O*kgtoGg</f>
        <v>1.4997704074971401E-6</v>
      </c>
      <c r="BA140" s="22">
        <f>'Activity data'!BA48*FracLEACH*MSLeachEF*NtoN2O*kgtoGg</f>
        <v>1.4996947035774166E-6</v>
      </c>
      <c r="BB140" s="22">
        <f>'Activity data'!BB48*FracLEACH*MSLeachEF*NtoN2O*kgtoGg</f>
        <v>1.5311538990928041E-6</v>
      </c>
      <c r="BC140" s="22">
        <f>'Activity data'!BC48*FracLEACH*MSLeachEF*NtoN2O*kgtoGg</f>
        <v>1.531209555383285E-6</v>
      </c>
      <c r="BD140" s="22">
        <f>'Activity data'!BD48*FracLEACH*MSLeachEF*NtoN2O*kgtoGg</f>
        <v>1.5312657975467479E-6</v>
      </c>
      <c r="BE140" s="22">
        <f>'Activity data'!BE48*FracLEACH*MSLeachEF*NtoN2O*kgtoGg</f>
        <v>1.5313226336543386E-6</v>
      </c>
      <c r="BF140" s="22">
        <f>'Activity data'!BF48*FracLEACH*MSLeachEF*NtoN2O*kgtoGg</f>
        <v>1.5313800719290159E-6</v>
      </c>
      <c r="BG140" s="22">
        <f>'Activity data'!BG48*FracLEACH*MSLeachEF*NtoN2O*kgtoGg</f>
        <v>1.5314381207493371E-6</v>
      </c>
      <c r="BH140" s="22">
        <f>'Activity data'!BH48*FracLEACH*MSLeachEF*NtoN2O*kgtoGg</f>
        <v>1.5314878792954879E-6</v>
      </c>
      <c r="BI140" s="22">
        <f>'Activity data'!BI48*FracLEACH*MSLeachEF*NtoN2O*kgtoGg</f>
        <v>1.5315380892019456E-6</v>
      </c>
      <c r="BJ140" s="22">
        <f>'Activity data'!BJ48*FracLEACH*MSLeachEF*NtoN2O*kgtoGg</f>
        <v>1.5315887558693837E-6</v>
      </c>
      <c r="BK140" s="22">
        <f>'Activity data'!BK48*FracLEACH*MSLeachEF*NtoN2O*kgtoGg</f>
        <v>1.5316398847870756E-6</v>
      </c>
      <c r="BL140" s="22">
        <f>'Activity data'!BL48*FracLEACH*MSLeachEF*NtoN2O*kgtoGg</f>
        <v>1.5316914815348266E-6</v>
      </c>
      <c r="BM140" s="22">
        <f>'Activity data'!BM48*FracLEACH*MSLeachEF*NtoN2O*kgtoGg</f>
        <v>1.5317342674438069E-6</v>
      </c>
      <c r="BN140" s="22">
        <f>'Activity data'!BN48*FracLEACH*MSLeachEF*NtoN2O*kgtoGg</f>
        <v>1.531777376775684E-6</v>
      </c>
      <c r="BO140" s="22">
        <f>'Activity data'!BO48*FracLEACH*MSLeachEF*NtoN2O*kgtoGg</f>
        <v>1.5318208127769759E-6</v>
      </c>
      <c r="BP140" s="22">
        <f>'Activity data'!BP48*FracLEACH*MSLeachEF*NtoN2O*kgtoGg</f>
        <v>1.5318645787390334E-6</v>
      </c>
    </row>
    <row r="141" spans="1:68" x14ac:dyDescent="0.25">
      <c r="A141" t="str">
        <f t="shared" ref="A141:A144" si="52">A140</f>
        <v>3C Aggregated and non-CO2 emissions on land</v>
      </c>
      <c r="B141" t="str">
        <f t="shared" ref="B141:B143" si="53">B140</f>
        <v>3C5 Indirect N2O from managed soils (N2O)</v>
      </c>
      <c r="C141" t="str">
        <f t="shared" ref="C141:C155" si="54">C140</f>
        <v>Leaching/runoff</v>
      </c>
      <c r="D141" t="str">
        <f t="shared" si="51"/>
        <v xml:space="preserve"> - Managed manure</v>
      </c>
      <c r="E141" t="str">
        <f t="shared" si="46"/>
        <v>Leaching/runoff - Managed manure</v>
      </c>
      <c r="F141" t="str">
        <f t="shared" si="47"/>
        <v>N2O</v>
      </c>
      <c r="G141" t="str">
        <f t="shared" si="48"/>
        <v>Gg N2O</v>
      </c>
      <c r="H141" s="22">
        <f>SUM('Activity data'!H50:H65)*FracLEACH*MSLeachEF*NtoN2O*kgtoGg</f>
        <v>0.17172643291324718</v>
      </c>
      <c r="I141" s="22">
        <f>SUM('Activity data'!I50:I65)*FracLEACH*MSLeachEF*NtoN2O*kgtoGg</f>
        <v>0.18038779739068919</v>
      </c>
      <c r="J141" s="22">
        <f>SUM('Activity data'!J50:J65)*FracLEACH*MSLeachEF*NtoN2O*kgtoGg</f>
        <v>0.17733836677232317</v>
      </c>
      <c r="K141" s="22">
        <f>SUM('Activity data'!K50:K65)*FracLEACH*MSLeachEF*NtoN2O*kgtoGg</f>
        <v>0.17823556127391493</v>
      </c>
      <c r="L141" s="22">
        <f>SUM('Activity data'!L50:L65)*FracLEACH*MSLeachEF*NtoN2O*kgtoGg</f>
        <v>0.16428311210272223</v>
      </c>
      <c r="M141" s="22">
        <f>SUM('Activity data'!M50:M65)*FracLEACH*MSLeachEF*NtoN2O*kgtoGg</f>
        <v>0.16651803471441404</v>
      </c>
      <c r="N141" s="22">
        <f>SUM('Activity data'!N50:N65)*FracLEACH*MSLeachEF*NtoN2O*kgtoGg</f>
        <v>0.17218191484299847</v>
      </c>
      <c r="O141" s="22">
        <f>SUM('Activity data'!O50:O65)*FracLEACH*MSLeachEF*NtoN2O*kgtoGg</f>
        <v>0.1749871217189517</v>
      </c>
      <c r="P141" s="22">
        <f>SUM('Activity data'!P50:P65)*FracLEACH*MSLeachEF*NtoN2O*kgtoGg</f>
        <v>0.18147721215597795</v>
      </c>
      <c r="Q141" s="22">
        <f>SUM('Activity data'!Q50:Q65)*FracLEACH*MSLeachEF*NtoN2O*kgtoGg</f>
        <v>0.18514038452408368</v>
      </c>
      <c r="R141" s="22">
        <f>SUM('Activity data'!R50:R65)*FracLEACH*MSLeachEF*NtoN2O*kgtoGg</f>
        <v>0.19310254996665621</v>
      </c>
      <c r="S141" s="22">
        <f>SUM('Activity data'!S50:S65)*FracLEACH*MSLeachEF*NtoN2O*kgtoGg</f>
        <v>0.1904762263981411</v>
      </c>
      <c r="T141" s="22">
        <f>SUM('Activity data'!T50:T65)*FracLEACH*MSLeachEF*NtoN2O*kgtoGg</f>
        <v>0.19636478072971722</v>
      </c>
      <c r="U141" s="22">
        <f>SUM('Activity data'!U50:U65)*FracLEACH*MSLeachEF*NtoN2O*kgtoGg</f>
        <v>0.19378982931202623</v>
      </c>
      <c r="V141" s="22">
        <f>SUM('Activity data'!V50:V65)*FracLEACH*MSLeachEF*NtoN2O*kgtoGg</f>
        <v>0.1915750030377302</v>
      </c>
      <c r="W141" s="22">
        <f>SUM('Activity data'!W50:W65)*FracLEACH*MSLeachEF*NtoN2O*kgtoGg</f>
        <v>0.19374660526518744</v>
      </c>
      <c r="X141" s="22">
        <f>SUM('Activity data'!X50:X65)*FracLEACH*MSLeachEF*NtoN2O*kgtoGg</f>
        <v>0.19745929063103176</v>
      </c>
      <c r="Y141" s="22">
        <f>SUM('Activity data'!Y50:Y65)*FracLEACH*MSLeachEF*NtoN2O*kgtoGg</f>
        <v>0.20304534851000838</v>
      </c>
      <c r="Z141" s="22">
        <f>SUM('Activity data'!Z50:Z65)*FracLEACH*MSLeachEF*NtoN2O*kgtoGg</f>
        <v>0.2102750755668937</v>
      </c>
      <c r="AA141" s="22">
        <f>SUM('Activity data'!AA50:AA65)*FracLEACH*MSLeachEF*NtoN2O*kgtoGg</f>
        <v>0.20859925509289065</v>
      </c>
      <c r="AB141" s="22">
        <f>SUM('Activity data'!AB50:AB65)*FracLEACH*MSLeachEF*NtoN2O*kgtoGg</f>
        <v>0.20778670419111658</v>
      </c>
      <c r="AC141" s="22">
        <f>SUM('Activity data'!AC50:AC65)*FracLEACH*MSLeachEF*NtoN2O*kgtoGg</f>
        <v>0.2090782228756147</v>
      </c>
      <c r="AD141" s="22">
        <f>SUM('Activity data'!AD50:AD65)*FracLEACH*MSLeachEF*NtoN2O*kgtoGg</f>
        <v>0.20860999282156298</v>
      </c>
      <c r="AE141" s="22">
        <f>SUM('Activity data'!AE50:AE65)*FracLEACH*MSLeachEF*NtoN2O*kgtoGg</f>
        <v>0.20916470494858161</v>
      </c>
      <c r="AF141" s="22">
        <f>SUM('Activity data'!AF50:AF65)*FracLEACH*MSLeachEF*NtoN2O*kgtoGg</f>
        <v>0.20839166057483782</v>
      </c>
      <c r="AG141" s="22">
        <f>SUM('Activity data'!AG50:AG65)*FracLEACH*MSLeachEF*NtoN2O*kgtoGg</f>
        <v>0.20582736549591388</v>
      </c>
      <c r="AH141" s="22">
        <f>SUM('Activity data'!AH50:AH65)*FracLEACH*MSLeachEF*NtoN2O*kgtoGg</f>
        <v>0.20337087062968656</v>
      </c>
      <c r="AI141" s="22">
        <f>SUM('Activity data'!AI50:AI65)*FracLEACH*MSLeachEF*NtoN2O*kgtoGg</f>
        <v>0.20190666512350769</v>
      </c>
      <c r="AJ141" s="22">
        <f>SUM('Activity data'!AJ50:AJ65)*FracLEACH*MSLeachEF*NtoN2O*kgtoGg</f>
        <v>0.2007674260526916</v>
      </c>
      <c r="AK141" s="22">
        <f>SUM('Activity data'!AK50:AK65)*FracLEACH*MSLeachEF*NtoN2O*kgtoGg</f>
        <v>0.19784037541962898</v>
      </c>
      <c r="AL141" s="22">
        <f>SUM('Activity data'!AL50:AL65)*FracLEACH*MSLeachEF*NtoN2O*kgtoGg</f>
        <v>0.17841698820622015</v>
      </c>
      <c r="AM141" s="22">
        <f>SUM('Activity data'!AM50:AM65)*FracLEACH*MSLeachEF*NtoN2O*kgtoGg</f>
        <v>0.18081293466860307</v>
      </c>
      <c r="AN141" s="22">
        <f>SUM('Activity data'!AN50:AN65)*FracLEACH*MSLeachEF*NtoN2O*kgtoGg</f>
        <v>0.18276631591234022</v>
      </c>
      <c r="AO141" s="22">
        <f>SUM('Activity data'!AO50:AO65)*FracLEACH*MSLeachEF*NtoN2O*kgtoGg</f>
        <v>0.18471645849231438</v>
      </c>
      <c r="AP141" s="22">
        <f>SUM('Activity data'!AP50:AP65)*FracLEACH*MSLeachEF*NtoN2O*kgtoGg</f>
        <v>0.18733681771599675</v>
      </c>
      <c r="AQ141" s="22">
        <f>SUM('Activity data'!AQ50:AQ65)*FracLEACH*MSLeachEF*NtoN2O*kgtoGg</f>
        <v>0.18994210682606633</v>
      </c>
      <c r="AR141" s="22">
        <f>SUM('Activity data'!AR50:AR65)*FracLEACH*MSLeachEF*NtoN2O*kgtoGg</f>
        <v>0.19266100227068755</v>
      </c>
      <c r="AS141" s="22">
        <f>SUM('Activity data'!AS50:AS65)*FracLEACH*MSLeachEF*NtoN2O*kgtoGg</f>
        <v>0.19520300400393342</v>
      </c>
      <c r="AT141" s="22">
        <f>SUM('Activity data'!AT50:AT65)*FracLEACH*MSLeachEF*NtoN2O*kgtoGg</f>
        <v>0.19798640345821425</v>
      </c>
      <c r="AU141" s="22">
        <f>SUM('Activity data'!AU50:AU65)*FracLEACH*MSLeachEF*NtoN2O*kgtoGg</f>
        <v>0.20044516854579475</v>
      </c>
      <c r="AV141" s="22">
        <f>SUM('Activity data'!AV50:AV65)*FracLEACH*MSLeachEF*NtoN2O*kgtoGg</f>
        <v>0.20297817573057544</v>
      </c>
      <c r="AW141" s="22">
        <f>SUM('Activity data'!AW50:AW65)*FracLEACH*MSLeachEF*NtoN2O*kgtoGg</f>
        <v>0.2056267299462835</v>
      </c>
      <c r="AX141" s="22">
        <f>SUM('Activity data'!AX50:AX65)*FracLEACH*MSLeachEF*NtoN2O*kgtoGg</f>
        <v>0.20860280477164364</v>
      </c>
      <c r="AY141" s="22">
        <f>SUM('Activity data'!AY50:AY65)*FracLEACH*MSLeachEF*NtoN2O*kgtoGg</f>
        <v>0.21167179414400486</v>
      </c>
      <c r="AZ141" s="22">
        <f>SUM('Activity data'!AZ50:AZ65)*FracLEACH*MSLeachEF*NtoN2O*kgtoGg</f>
        <v>0.20992366458596434</v>
      </c>
      <c r="BA141" s="22">
        <f>SUM('Activity data'!BA50:BA65)*FracLEACH*MSLeachEF*NtoN2O*kgtoGg</f>
        <v>-1.9300200690009681E-2</v>
      </c>
      <c r="BB141" s="22">
        <f>SUM('Activity data'!BB50:BB65)*FracLEACH*MSLeachEF*NtoN2O*kgtoGg</f>
        <v>-1.8843886811857471E-2</v>
      </c>
      <c r="BC141" s="22">
        <f>SUM('Activity data'!BC50:BC65)*FracLEACH*MSLeachEF*NtoN2O*kgtoGg</f>
        <v>-1.8395910257723268E-2</v>
      </c>
      <c r="BD141" s="22">
        <f>SUM('Activity data'!BD50:BD65)*FracLEACH*MSLeachEF*NtoN2O*kgtoGg</f>
        <v>-1.7955834874350582E-2</v>
      </c>
      <c r="BE141" s="22">
        <f>SUM('Activity data'!BE50:BE65)*FracLEACH*MSLeachEF*NtoN2O*kgtoGg</f>
        <v>-1.7523255155980324E-2</v>
      </c>
      <c r="BF141" s="22">
        <f>SUM('Activity data'!BF50:BF65)*FracLEACH*MSLeachEF*NtoN2O*kgtoGg</f>
        <v>-1.7097793384935875E-2</v>
      </c>
      <c r="BG141" s="22">
        <f>SUM('Activity data'!BG50:BG65)*FracLEACH*MSLeachEF*NtoN2O*kgtoGg</f>
        <v>-1.6741323027793506E-2</v>
      </c>
      <c r="BH141" s="22">
        <f>SUM('Activity data'!BH50:BH65)*FracLEACH*MSLeachEF*NtoN2O*kgtoGg</f>
        <v>-1.6390975335511412E-2</v>
      </c>
      <c r="BI141" s="22">
        <f>SUM('Activity data'!BI50:BI65)*FracLEACH*MSLeachEF*NtoN2O*kgtoGg</f>
        <v>-1.6046469591821155E-2</v>
      </c>
      <c r="BJ141" s="22">
        <f>SUM('Activity data'!BJ50:BJ65)*FracLEACH*MSLeachEF*NtoN2O*kgtoGg</f>
        <v>-1.5707542818837256E-2</v>
      </c>
      <c r="BK141" s="22">
        <f>SUM('Activity data'!BK50:BK65)*FracLEACH*MSLeachEF*NtoN2O*kgtoGg</f>
        <v>-1.5373948294556171E-2</v>
      </c>
      <c r="BL141" s="22">
        <f>SUM('Activity data'!BL50:BL65)*FracLEACH*MSLeachEF*NtoN2O*kgtoGg</f>
        <v>-1.5023355882038061E-2</v>
      </c>
      <c r="BM141" s="22">
        <f>SUM('Activity data'!BM50:BM65)*FracLEACH*MSLeachEF*NtoN2O*kgtoGg</f>
        <v>-1.4678172069400145E-2</v>
      </c>
      <c r="BN141" s="22">
        <f>SUM('Activity data'!BN50:BN65)*FracLEACH*MSLeachEF*NtoN2O*kgtoGg</f>
        <v>-1.4338180596116832E-2</v>
      </c>
      <c r="BO141" s="22">
        <f>SUM('Activity data'!BO50:BO65)*FracLEACH*MSLeachEF*NtoN2O*kgtoGg</f>
        <v>-1.4003177540620452E-2</v>
      </c>
      <c r="BP141" s="22">
        <f>SUM('Activity data'!BP50:BP65)*FracLEACH*MSLeachEF*NtoN2O*kgtoGg</f>
        <v>-1.367297039065494E-2</v>
      </c>
    </row>
    <row r="142" spans="1:68" x14ac:dyDescent="0.25">
      <c r="A142" t="str">
        <f t="shared" si="52"/>
        <v>3C Aggregated and non-CO2 emissions on land</v>
      </c>
      <c r="B142" t="str">
        <f t="shared" si="53"/>
        <v>3C5 Indirect N2O from managed soils (N2O)</v>
      </c>
      <c r="C142" t="str">
        <f t="shared" si="54"/>
        <v>Leaching/runoff</v>
      </c>
      <c r="D142" t="str">
        <f t="shared" si="51"/>
        <v xml:space="preserve"> - Urine &amp; dung</v>
      </c>
      <c r="E142" t="str">
        <f t="shared" si="46"/>
        <v>Leaching/runoff - Urine &amp; dung</v>
      </c>
      <c r="F142" t="str">
        <f t="shared" si="47"/>
        <v>N2O</v>
      </c>
      <c r="G142" t="str">
        <f t="shared" si="48"/>
        <v>Gg N2O</v>
      </c>
      <c r="H142" s="22">
        <f>SUM('Activity data'!H66:H81)*FracLEACHUD*MSLeachEF*NtoN2O*kgtoGg</f>
        <v>0</v>
      </c>
      <c r="I142" s="22">
        <f>SUM('Activity data'!I66:I81)*FracLEACHUD*MSLeachEF*NtoN2O*kgtoGg</f>
        <v>0</v>
      </c>
      <c r="J142" s="22">
        <f>SUM('Activity data'!J66:J81)*FracLEACHUD*MSLeachEF*NtoN2O*kgtoGg</f>
        <v>0</v>
      </c>
      <c r="K142" s="22">
        <f>SUM('Activity data'!K66:K81)*FracLEACHUD*MSLeachEF*NtoN2O*kgtoGg</f>
        <v>0</v>
      </c>
      <c r="L142" s="22">
        <f>SUM('Activity data'!L66:L81)*FracLEACHUD*MSLeachEF*NtoN2O*kgtoGg</f>
        <v>0</v>
      </c>
      <c r="M142" s="22">
        <f>SUM('Activity data'!M66:M81)*FracLEACHUD*MSLeachEF*NtoN2O*kgtoGg</f>
        <v>0</v>
      </c>
      <c r="N142" s="22">
        <f>SUM('Activity data'!N66:N81)*FracLEACHUD*MSLeachEF*NtoN2O*kgtoGg</f>
        <v>0</v>
      </c>
      <c r="O142" s="22">
        <f>SUM('Activity data'!O66:O81)*FracLEACHUD*MSLeachEF*NtoN2O*kgtoGg</f>
        <v>0</v>
      </c>
      <c r="P142" s="22">
        <f>SUM('Activity data'!P66:P81)*FracLEACHUD*MSLeachEF*NtoN2O*kgtoGg</f>
        <v>0</v>
      </c>
      <c r="Q142" s="22">
        <f>SUM('Activity data'!Q66:Q81)*FracLEACHUD*MSLeachEF*NtoN2O*kgtoGg</f>
        <v>0</v>
      </c>
      <c r="R142" s="22">
        <f>SUM('Activity data'!R66:R81)*FracLEACHUD*MSLeachEF*NtoN2O*kgtoGg</f>
        <v>0</v>
      </c>
      <c r="S142" s="22">
        <f>SUM('Activity data'!S66:S81)*FracLEACHUD*MSLeachEF*NtoN2O*kgtoGg</f>
        <v>0</v>
      </c>
      <c r="T142" s="22">
        <f>SUM('Activity data'!T66:T81)*FracLEACHUD*MSLeachEF*NtoN2O*kgtoGg</f>
        <v>0</v>
      </c>
      <c r="U142" s="22">
        <f>SUM('Activity data'!U66:U81)*FracLEACHUD*MSLeachEF*NtoN2O*kgtoGg</f>
        <v>0</v>
      </c>
      <c r="V142" s="22">
        <f>SUM('Activity data'!V66:V81)*FracLEACHUD*MSLeachEF*NtoN2O*kgtoGg</f>
        <v>0</v>
      </c>
      <c r="W142" s="22">
        <f>SUM('Activity data'!W66:W81)*FracLEACHUD*MSLeachEF*NtoN2O*kgtoGg</f>
        <v>0</v>
      </c>
      <c r="X142" s="22">
        <f>SUM('Activity data'!X66:X81)*FracLEACHUD*MSLeachEF*NtoN2O*kgtoGg</f>
        <v>0</v>
      </c>
      <c r="Y142" s="22">
        <f>SUM('Activity data'!Y66:Y81)*FracLEACHUD*MSLeachEF*NtoN2O*kgtoGg</f>
        <v>0</v>
      </c>
      <c r="Z142" s="22">
        <f>SUM('Activity data'!Z66:Z81)*FracLEACHUD*MSLeachEF*NtoN2O*kgtoGg</f>
        <v>0</v>
      </c>
      <c r="AA142" s="22">
        <f>SUM('Activity data'!AA66:AA81)*FracLEACHUD*MSLeachEF*NtoN2O*kgtoGg</f>
        <v>0</v>
      </c>
      <c r="AB142" s="22">
        <f>SUM('Activity data'!AB66:AB81)*FracLEACHUD*MSLeachEF*NtoN2O*kgtoGg</f>
        <v>0</v>
      </c>
      <c r="AC142" s="22">
        <f>SUM('Activity data'!AC66:AC81)*FracLEACHUD*MSLeachEF*NtoN2O*kgtoGg</f>
        <v>0</v>
      </c>
      <c r="AD142" s="22">
        <f>SUM('Activity data'!AD66:AD81)*FracLEACHUD*MSLeachEF*NtoN2O*kgtoGg</f>
        <v>0</v>
      </c>
      <c r="AE142" s="22">
        <f>SUM('Activity data'!AE66:AE81)*FracLEACHUD*MSLeachEF*NtoN2O*kgtoGg</f>
        <v>0</v>
      </c>
      <c r="AF142" s="22">
        <f>SUM('Activity data'!AF66:AF81)*FracLEACHUD*MSLeachEF*NtoN2O*kgtoGg</f>
        <v>0</v>
      </c>
      <c r="AG142" s="22">
        <f>SUM('Activity data'!AG66:AG81)*FracLEACHUD*MSLeachEF*NtoN2O*kgtoGg</f>
        <v>0</v>
      </c>
      <c r="AH142" s="22">
        <f>SUM('Activity data'!AH66:AH81)*FracLEACHUD*MSLeachEF*NtoN2O*kgtoGg</f>
        <v>0</v>
      </c>
      <c r="AI142" s="22">
        <f>SUM('Activity data'!AI66:AI81)*FracLEACHUD*MSLeachEF*NtoN2O*kgtoGg</f>
        <v>0</v>
      </c>
      <c r="AJ142" s="22">
        <f>SUM('Activity data'!AJ66:AJ81)*FracLEACHUD*MSLeachEF*NtoN2O*kgtoGg</f>
        <v>0</v>
      </c>
      <c r="AK142" s="22">
        <f>SUM('Activity data'!AK66:AK81)*FracLEACHUD*MSLeachEF*NtoN2O*kgtoGg</f>
        <v>0</v>
      </c>
      <c r="AL142" s="22">
        <f>SUM('Activity data'!AL66:AL81)*FracLEACHUD*MSLeachEF*NtoN2O*kgtoGg</f>
        <v>0</v>
      </c>
      <c r="AM142" s="22">
        <f>SUM('Activity data'!AM66:AM81)*FracLEACHUD*MSLeachEF*NtoN2O*kgtoGg</f>
        <v>0</v>
      </c>
      <c r="AN142" s="22">
        <f>SUM('Activity data'!AN66:AN81)*FracLEACHUD*MSLeachEF*NtoN2O*kgtoGg</f>
        <v>0</v>
      </c>
      <c r="AO142" s="22">
        <f>SUM('Activity data'!AO66:AO81)*FracLEACHUD*MSLeachEF*NtoN2O*kgtoGg</f>
        <v>0</v>
      </c>
      <c r="AP142" s="22">
        <f>SUM('Activity data'!AP66:AP81)*FracLEACHUD*MSLeachEF*NtoN2O*kgtoGg</f>
        <v>0</v>
      </c>
      <c r="AQ142" s="22">
        <f>SUM('Activity data'!AQ66:AQ81)*FracLEACHUD*MSLeachEF*NtoN2O*kgtoGg</f>
        <v>0</v>
      </c>
      <c r="AR142" s="22">
        <f>SUM('Activity data'!AR66:AR81)*FracLEACHUD*MSLeachEF*NtoN2O*kgtoGg</f>
        <v>0</v>
      </c>
      <c r="AS142" s="22">
        <f>SUM('Activity data'!AS66:AS81)*FracLEACHUD*MSLeachEF*NtoN2O*kgtoGg</f>
        <v>0</v>
      </c>
      <c r="AT142" s="22">
        <f>SUM('Activity data'!AT66:AT81)*FracLEACHUD*MSLeachEF*NtoN2O*kgtoGg</f>
        <v>0</v>
      </c>
      <c r="AU142" s="22">
        <f>SUM('Activity data'!AU66:AU81)*FracLEACHUD*MSLeachEF*NtoN2O*kgtoGg</f>
        <v>0</v>
      </c>
      <c r="AV142" s="22">
        <f>SUM('Activity data'!AV66:AV81)*FracLEACHUD*MSLeachEF*NtoN2O*kgtoGg</f>
        <v>0</v>
      </c>
      <c r="AW142" s="22">
        <f>SUM('Activity data'!AW66:AW81)*FracLEACHUD*MSLeachEF*NtoN2O*kgtoGg</f>
        <v>0</v>
      </c>
      <c r="AX142" s="22">
        <f>SUM('Activity data'!AX66:AX81)*FracLEACHUD*MSLeachEF*NtoN2O*kgtoGg</f>
        <v>0</v>
      </c>
      <c r="AY142" s="22">
        <f>SUM('Activity data'!AY66:AY81)*FracLEACHUD*MSLeachEF*NtoN2O*kgtoGg</f>
        <v>0</v>
      </c>
      <c r="AZ142" s="22">
        <f>SUM('Activity data'!AZ66:AZ81)*FracLEACHUD*MSLeachEF*NtoN2O*kgtoGg</f>
        <v>0</v>
      </c>
      <c r="BA142" s="22">
        <f>SUM('Activity data'!BA66:BA81)*FracLEACHUD*MSLeachEF*NtoN2O*kgtoGg</f>
        <v>0</v>
      </c>
      <c r="BB142" s="22">
        <f>SUM('Activity data'!BB66:BB81)*FracLEACHUD*MSLeachEF*NtoN2O*kgtoGg</f>
        <v>0</v>
      </c>
      <c r="BC142" s="22">
        <f>SUM('Activity data'!BC66:BC81)*FracLEACHUD*MSLeachEF*NtoN2O*kgtoGg</f>
        <v>0</v>
      </c>
      <c r="BD142" s="22">
        <f>SUM('Activity data'!BD66:BD81)*FracLEACHUD*MSLeachEF*NtoN2O*kgtoGg</f>
        <v>0</v>
      </c>
      <c r="BE142" s="22">
        <f>SUM('Activity data'!BE66:BE81)*FracLEACHUD*MSLeachEF*NtoN2O*kgtoGg</f>
        <v>0</v>
      </c>
      <c r="BF142" s="22">
        <f>SUM('Activity data'!BF66:BF81)*FracLEACHUD*MSLeachEF*NtoN2O*kgtoGg</f>
        <v>0</v>
      </c>
      <c r="BG142" s="22">
        <f>SUM('Activity data'!BG66:BG81)*FracLEACHUD*MSLeachEF*NtoN2O*kgtoGg</f>
        <v>0</v>
      </c>
      <c r="BH142" s="22">
        <f>SUM('Activity data'!BH66:BH81)*FracLEACHUD*MSLeachEF*NtoN2O*kgtoGg</f>
        <v>0</v>
      </c>
      <c r="BI142" s="22">
        <f>SUM('Activity data'!BI66:BI81)*FracLEACHUD*MSLeachEF*NtoN2O*kgtoGg</f>
        <v>0</v>
      </c>
      <c r="BJ142" s="22">
        <f>SUM('Activity data'!BJ66:BJ81)*FracLEACHUD*MSLeachEF*NtoN2O*kgtoGg</f>
        <v>0</v>
      </c>
      <c r="BK142" s="22">
        <f>SUM('Activity data'!BK66:BK81)*FracLEACHUD*MSLeachEF*NtoN2O*kgtoGg</f>
        <v>0</v>
      </c>
      <c r="BL142" s="22">
        <f>SUM('Activity data'!BL66:BL81)*FracLEACHUD*MSLeachEF*NtoN2O*kgtoGg</f>
        <v>0</v>
      </c>
      <c r="BM142" s="22">
        <f>SUM('Activity data'!BM66:BM81)*FracLEACHUD*MSLeachEF*NtoN2O*kgtoGg</f>
        <v>0</v>
      </c>
      <c r="BN142" s="22">
        <f>SUM('Activity data'!BN66:BN81)*FracLEACHUD*MSLeachEF*NtoN2O*kgtoGg</f>
        <v>0</v>
      </c>
      <c r="BO142" s="22">
        <f>SUM('Activity data'!BO66:BO81)*FracLEACHUD*MSLeachEF*NtoN2O*kgtoGg</f>
        <v>0</v>
      </c>
      <c r="BP142" s="22">
        <f>SUM('Activity data'!BP66:BP81)*FracLEACHUD*MSLeachEF*NtoN2O*kgtoGg</f>
        <v>0</v>
      </c>
    </row>
    <row r="143" spans="1:68" x14ac:dyDescent="0.25">
      <c r="A143" t="str">
        <f t="shared" si="52"/>
        <v>3C Aggregated and non-CO2 emissions on land</v>
      </c>
      <c r="B143" t="str">
        <f t="shared" si="53"/>
        <v>3C5 Indirect N2O from managed soils (N2O)</v>
      </c>
      <c r="C143" t="str">
        <f t="shared" si="54"/>
        <v>Leaching/runoff</v>
      </c>
      <c r="D143" t="s">
        <v>439</v>
      </c>
      <c r="E143" t="str">
        <f t="shared" si="46"/>
        <v>Leaching/runoff - crop residues</v>
      </c>
      <c r="F143" t="str">
        <f t="shared" si="47"/>
        <v>N2O</v>
      </c>
      <c r="G143" t="str">
        <f t="shared" si="48"/>
        <v>Gg N2O</v>
      </c>
      <c r="H143" s="22">
        <f>'Activity data'!H85*FracLEACH*MSLeachEF*NtoN2O*kgtoGg</f>
        <v>0.16412569165212873</v>
      </c>
      <c r="I143" s="22">
        <f>'Activity data'!I85*FracLEACH*MSLeachEF*NtoN2O*kgtoGg</f>
        <v>0.14629236044495902</v>
      </c>
      <c r="J143" s="22">
        <f>'Activity data'!J85*FracLEACH*MSLeachEF*NtoN2O*kgtoGg</f>
        <v>0.15233000670693667</v>
      </c>
      <c r="K143" s="22">
        <f>'Activity data'!K85*FracLEACH*MSLeachEF*NtoN2O*kgtoGg</f>
        <v>0.16359516489306206</v>
      </c>
      <c r="L143" s="22">
        <f>'Activity data'!L85*FracLEACH*MSLeachEF*NtoN2O*kgtoGg</f>
        <v>0.17253149252582983</v>
      </c>
      <c r="M143" s="22">
        <f>'Activity data'!M85*FracLEACH*MSLeachEF*NtoN2O*kgtoGg</f>
        <v>0.13417870850569094</v>
      </c>
      <c r="N143" s="22">
        <f>'Activity data'!N85*FracLEACH*MSLeachEF*NtoN2O*kgtoGg</f>
        <v>0.14779546367267218</v>
      </c>
      <c r="O143" s="22">
        <f>'Activity data'!O85*FracLEACH*MSLeachEF*NtoN2O*kgtoGg</f>
        <v>0.15542171795890092</v>
      </c>
      <c r="P143" s="22">
        <f>'Activity data'!P85*FracLEACH*MSLeachEF*NtoN2O*kgtoGg</f>
        <v>0.13543229781907784</v>
      </c>
      <c r="Q143" s="22">
        <f>'Activity data'!Q85*FracLEACH*MSLeachEF*NtoN2O*kgtoGg</f>
        <v>0.13439106702126277</v>
      </c>
      <c r="R143" s="22">
        <f>'Activity data'!R85*FracLEACH*MSLeachEF*NtoN2O*kgtoGg</f>
        <v>0.15425221852146853</v>
      </c>
      <c r="S143" s="22">
        <f>'Activity data'!S85*FracLEACH*MSLeachEF*NtoN2O*kgtoGg</f>
        <v>0.12599065258308942</v>
      </c>
      <c r="T143" s="22">
        <f>'Activity data'!T85*FracLEACH*MSLeachEF*NtoN2O*kgtoGg</f>
        <v>0.13741326722478148</v>
      </c>
      <c r="U143" s="22">
        <f>'Activity data'!U85*FracLEACH*MSLeachEF*NtoN2O*kgtoGg</f>
        <v>0.13559055667593309</v>
      </c>
      <c r="V143" s="22">
        <f>'Activity data'!V85*FracLEACH*MSLeachEF*NtoN2O*kgtoGg</f>
        <v>0.12124985168858403</v>
      </c>
      <c r="W143" s="22">
        <f>'Activity data'!W85*FracLEACH*MSLeachEF*NtoN2O*kgtoGg</f>
        <v>0.12315983905833512</v>
      </c>
      <c r="X143" s="22">
        <f>'Activity data'!X85*FracLEACH*MSLeachEF*NtoN2O*kgtoGg</f>
        <v>8.2811567421668675E-2</v>
      </c>
      <c r="Y143" s="22">
        <f>'Activity data'!Y85*FracLEACH*MSLeachEF*NtoN2O*kgtoGg</f>
        <v>0.11226257751117734</v>
      </c>
      <c r="Z143" s="22">
        <f>'Activity data'!Z85*FracLEACH*MSLeachEF*NtoN2O*kgtoGg</f>
        <v>0.12821404968861716</v>
      </c>
      <c r="AA143" s="22">
        <f>'Activity data'!AA85*FracLEACH*MSLeachEF*NtoN2O*kgtoGg</f>
        <v>0.11391912245887616</v>
      </c>
      <c r="AB143" s="22">
        <f>'Activity data'!AB85*FracLEACH*MSLeachEF*NtoN2O*kgtoGg</f>
        <v>0.12438309112763533</v>
      </c>
      <c r="AC143" s="22">
        <f>'Activity data'!AC85*FracLEACH*MSLeachEF*NtoN2O*kgtoGg</f>
        <v>0.11517216759812599</v>
      </c>
      <c r="AD143" s="22">
        <f>'Activity data'!AD85*FracLEACH*MSLeachEF*NtoN2O*kgtoGg</f>
        <v>0.10175116378121943</v>
      </c>
      <c r="AE143" s="22">
        <f>'Activity data'!AE85*FracLEACH*MSLeachEF*NtoN2O*kgtoGg</f>
        <v>0.10199531862312783</v>
      </c>
      <c r="AF143" s="22">
        <f>'Activity data'!AF85*FracLEACH*MSLeachEF*NtoN2O*kgtoGg</f>
        <v>0.10232895790911103</v>
      </c>
      <c r="AG143" s="22">
        <f>'Activity data'!AG85*FracLEACH*MSLeachEF*NtoN2O*kgtoGg</f>
        <v>0.102571135787432</v>
      </c>
      <c r="AH143" s="22">
        <f>'Activity data'!AH85*FracLEACH*MSLeachEF*NtoN2O*kgtoGg</f>
        <v>0.10268907461035851</v>
      </c>
      <c r="AI143" s="22">
        <f>'Activity data'!AI85*FracLEACH*MSLeachEF*NtoN2O*kgtoGg</f>
        <v>0.10280548137522282</v>
      </c>
      <c r="AJ143" s="22">
        <f>'Activity data'!AJ85*FracLEACH*MSLeachEF*NtoN2O*kgtoGg</f>
        <v>0.10298157657140594</v>
      </c>
      <c r="AK143" s="22">
        <f>'Activity data'!AK85*FracLEACH*MSLeachEF*NtoN2O*kgtoGg</f>
        <v>0.10317437501165042</v>
      </c>
      <c r="AL143" s="22">
        <f>'Activity data'!AL85*FracLEACH*MSLeachEF*NtoN2O*kgtoGg</f>
        <v>0.10323747118294155</v>
      </c>
      <c r="AM143" s="22">
        <f>'Activity data'!AM85*FracLEACH*MSLeachEF*NtoN2O*kgtoGg</f>
        <v>0.10207849673523195</v>
      </c>
      <c r="AN143" s="22">
        <f>'Activity data'!AN85*FracLEACH*MSLeachEF*NtoN2O*kgtoGg</f>
        <v>0.10244002007553947</v>
      </c>
      <c r="AO143" s="22">
        <f>'Activity data'!AO85*FracLEACH*MSLeachEF*NtoN2O*kgtoGg</f>
        <v>0.10276505734262262</v>
      </c>
      <c r="AP143" s="22">
        <f>'Activity data'!AP85*FracLEACH*MSLeachEF*NtoN2O*kgtoGg</f>
        <v>0.10308708143869158</v>
      </c>
      <c r="AQ143" s="22">
        <f>'Activity data'!AQ85*FracLEACH*MSLeachEF*NtoN2O*kgtoGg</f>
        <v>0.10345673156725761</v>
      </c>
      <c r="AR143" s="22">
        <f>'Activity data'!AR85*FracLEACH*MSLeachEF*NtoN2O*kgtoGg</f>
        <v>0.10382236970947499</v>
      </c>
      <c r="AS143" s="22">
        <f>'Activity data'!AS85*FracLEACH*MSLeachEF*NtoN2O*kgtoGg</f>
        <v>0.10419308105510718</v>
      </c>
      <c r="AT143" s="22">
        <f>'Activity data'!AT85*FracLEACH*MSLeachEF*NtoN2O*kgtoGg</f>
        <v>0.1045480129274277</v>
      </c>
      <c r="AU143" s="22">
        <f>'Activity data'!AU85*FracLEACH*MSLeachEF*NtoN2O*kgtoGg</f>
        <v>0.10491811532698922</v>
      </c>
      <c r="AV143" s="22">
        <f>'Activity data'!AV85*FracLEACH*MSLeachEF*NtoN2O*kgtoGg</f>
        <v>0.10526191572099161</v>
      </c>
      <c r="AW143" s="22">
        <f>'Activity data'!AW85*FracLEACH*MSLeachEF*NtoN2O*kgtoGg</f>
        <v>0.10560878304057683</v>
      </c>
      <c r="AX143" s="22">
        <f>'Activity data'!AX85*FracLEACH*MSLeachEF*NtoN2O*kgtoGg</f>
        <v>0.10601241907328743</v>
      </c>
      <c r="AY143" s="22">
        <f>'Activity data'!AY85*FracLEACH*MSLeachEF*NtoN2O*kgtoGg</f>
        <v>0.10643853523191582</v>
      </c>
      <c r="AZ143" s="22">
        <f>'Activity data'!AZ85*FracLEACH*MSLeachEF*NtoN2O*kgtoGg</f>
        <v>0.10687002645789688</v>
      </c>
      <c r="BA143" s="22">
        <f>'Activity data'!BA85*FracLEACH*MSLeachEF*NtoN2O*kgtoGg</f>
        <v>0.10695565891506367</v>
      </c>
      <c r="BB143" s="22">
        <f>'Activity data'!BB85*FracLEACH*MSLeachEF*NtoN2O*kgtoGg</f>
        <v>7.1370603051085779E-2</v>
      </c>
      <c r="BC143" s="22">
        <f>'Activity data'!BC85*FracLEACH*MSLeachEF*NtoN2O*kgtoGg</f>
        <v>7.1307647461360521E-2</v>
      </c>
      <c r="BD143" s="22">
        <f>'Activity data'!BD85*FracLEACH*MSLeachEF*NtoN2O*kgtoGg</f>
        <v>7.1244029161657008E-2</v>
      </c>
      <c r="BE143" s="22">
        <f>'Activity data'!BE85*FracLEACH*MSLeachEF*NtoN2O*kgtoGg</f>
        <v>7.1179739022300959E-2</v>
      </c>
      <c r="BF143" s="22">
        <f>'Activity data'!BF85*FracLEACH*MSLeachEF*NtoN2O*kgtoGg</f>
        <v>7.1114767741896984E-2</v>
      </c>
      <c r="BG143" s="22">
        <f>'Activity data'!BG85*FracLEACH*MSLeachEF*NtoN2O*kgtoGg</f>
        <v>7.1049105843042956E-2</v>
      </c>
      <c r="BH143" s="22">
        <f>'Activity data'!BH85*FracLEACH*MSLeachEF*NtoN2O*kgtoGg</f>
        <v>7.0992821484352875E-2</v>
      </c>
      <c r="BI143" s="22">
        <f>'Activity data'!BI85*FracLEACH*MSLeachEF*NtoN2O*kgtoGg</f>
        <v>7.0936026569640209E-2</v>
      </c>
      <c r="BJ143" s="22">
        <f>'Activity data'!BJ85*FracLEACH*MSLeachEF*NtoN2O*kgtoGg</f>
        <v>7.0878714989935504E-2</v>
      </c>
      <c r="BK143" s="22">
        <f>'Activity data'!BK85*FracLEACH*MSLeachEF*NtoN2O*kgtoGg</f>
        <v>7.0820880536048819E-2</v>
      </c>
      <c r="BL143" s="22">
        <f>'Activity data'!BL85*FracLEACH*MSLeachEF*NtoN2O*kgtoGg</f>
        <v>7.0762516896386879E-2</v>
      </c>
      <c r="BM143" s="22">
        <f>'Activity data'!BM85*FracLEACH*MSLeachEF*NtoN2O*kgtoGg</f>
        <v>7.0714119633319514E-2</v>
      </c>
      <c r="BN143" s="22">
        <f>'Activity data'!BN85*FracLEACH*MSLeachEF*NtoN2O*kgtoGg</f>
        <v>7.0665356530577775E-2</v>
      </c>
      <c r="BO143" s="22">
        <f>'Activity data'!BO85*FracLEACH*MSLeachEF*NtoN2O*kgtoGg</f>
        <v>7.0616223915862988E-2</v>
      </c>
      <c r="BP143" s="22">
        <f>'Activity data'!BP85*FracLEACH*MSLeachEF*NtoN2O*kgtoGg</f>
        <v>7.0566718066166448E-2</v>
      </c>
    </row>
    <row r="144" spans="1:68" x14ac:dyDescent="0.25">
      <c r="A144" t="str">
        <f t="shared" si="52"/>
        <v>3C Aggregated and non-CO2 emissions on land</v>
      </c>
      <c r="B144" t="str">
        <f>'IPCC Categories'!B78</f>
        <v>3C5 Indirect N2O from managed soils (N2O)</v>
      </c>
      <c r="C144" t="str">
        <f t="shared" si="54"/>
        <v>Leaching/runoff</v>
      </c>
      <c r="D144" t="str">
        <f>" - FSOM - "&amp;'Activity data'!D87</f>
        <v xml:space="preserve"> - FSOM - Forest remaining forest land</v>
      </c>
      <c r="E144" t="str">
        <f t="shared" ref="E144" si="55">C144&amp;D144</f>
        <v>Leaching/runoff - FSOM - Forest remaining forest land</v>
      </c>
      <c r="F144" t="str">
        <f t="shared" si="47"/>
        <v>N2O</v>
      </c>
      <c r="G144" t="str">
        <f t="shared" si="48"/>
        <v>Gg N2O</v>
      </c>
      <c r="H144" s="22" t="str">
        <f>IFERROR(('Activity data'!H87*(1/Constants!$H$135))*ttokg*FracLEACH*MSLeachEF*NtoN2O*kgtoGg,"NO")</f>
        <v>NO</v>
      </c>
      <c r="I144" s="22" t="str">
        <f>IFERROR(('Activity data'!I87*(1/Constants!$H$135))*ttokg*FracLEACH*MSLeachEF*NtoN2O*kgtoGg,"NO")</f>
        <v>NO</v>
      </c>
      <c r="J144" s="22" t="str">
        <f>IFERROR(('Activity data'!J87*(1/Constants!$H$135))*ttokg*FracLEACH*MSLeachEF*NtoN2O*kgtoGg,"NO")</f>
        <v>NO</v>
      </c>
      <c r="K144" s="22" t="str">
        <f>IFERROR(('Activity data'!K87*(1/Constants!$H$135))*ttokg*FracLEACH*MSLeachEF*NtoN2O*kgtoGg,"NO")</f>
        <v>NO</v>
      </c>
      <c r="L144" s="22" t="str">
        <f>IFERROR(('Activity data'!L87*(1/Constants!$H$135))*ttokg*FracLEACH*MSLeachEF*NtoN2O*kgtoGg,"NO")</f>
        <v>NO</v>
      </c>
      <c r="M144" s="22" t="str">
        <f>IFERROR(('Activity data'!M87*(1/Constants!$H$135))*ttokg*FracLEACH*MSLeachEF*NtoN2O*kgtoGg,"NO")</f>
        <v>NO</v>
      </c>
      <c r="N144" s="22" t="str">
        <f>IFERROR(('Activity data'!N87*(1/Constants!$H$135))*ttokg*FracLEACH*MSLeachEF*NtoN2O*kgtoGg,"NO")</f>
        <v>NO</v>
      </c>
      <c r="O144" s="22" t="str">
        <f>IFERROR(('Activity data'!O87*(1/Constants!$H$135))*ttokg*FracLEACH*MSLeachEF*NtoN2O*kgtoGg,"NO")</f>
        <v>NO</v>
      </c>
      <c r="P144" s="22" t="str">
        <f>IFERROR(('Activity data'!P87*(1/Constants!$H$135))*ttokg*FracLEACH*MSLeachEF*NtoN2O*kgtoGg,"NO")</f>
        <v>NO</v>
      </c>
      <c r="Q144" s="22" t="str">
        <f>IFERROR(('Activity data'!Q87*(1/Constants!$H$135))*ttokg*FracLEACH*MSLeachEF*NtoN2O*kgtoGg,"NO")</f>
        <v>NO</v>
      </c>
      <c r="R144" s="22" t="str">
        <f>IFERROR(('Activity data'!R87*(1/Constants!$H$135))*ttokg*FracLEACH*MSLeachEF*NtoN2O*kgtoGg,"NO")</f>
        <v>NO</v>
      </c>
      <c r="S144" s="22" t="str">
        <f>IFERROR(('Activity data'!S87*(1/Constants!$H$135))*ttokg*FracLEACH*MSLeachEF*NtoN2O*kgtoGg,"NO")</f>
        <v>NO</v>
      </c>
      <c r="T144" s="22" t="str">
        <f>IFERROR(('Activity data'!T87*(1/Constants!$H$135))*ttokg*FracLEACH*MSLeachEF*NtoN2O*kgtoGg,"NO")</f>
        <v>NO</v>
      </c>
      <c r="U144" s="22" t="str">
        <f>IFERROR(('Activity data'!U87*(1/Constants!$H$135))*ttokg*FracLEACH*MSLeachEF*NtoN2O*kgtoGg,"NO")</f>
        <v>NO</v>
      </c>
      <c r="V144" s="22" t="str">
        <f>IFERROR(('Activity data'!V87*(1/Constants!$H$135))*ttokg*FracLEACH*MSLeachEF*NtoN2O*kgtoGg,"NO")</f>
        <v>NO</v>
      </c>
      <c r="W144" s="22" t="str">
        <f>IFERROR(('Activity data'!W87*(1/Constants!$H$135))*ttokg*FracLEACH*MSLeachEF*NtoN2O*kgtoGg,"NO")</f>
        <v>NO</v>
      </c>
      <c r="X144" s="22" t="str">
        <f>IFERROR(('Activity data'!X87*(1/Constants!$H$135))*ttokg*FracLEACH*MSLeachEF*NtoN2O*kgtoGg,"NO")</f>
        <v>NO</v>
      </c>
      <c r="Y144" s="22" t="str">
        <f>IFERROR(('Activity data'!Y87*(1/Constants!$H$135))*ttokg*FracLEACH*MSLeachEF*NtoN2O*kgtoGg,"NO")</f>
        <v>NO</v>
      </c>
      <c r="Z144" s="22" t="str">
        <f>IFERROR(('Activity data'!Z87*(1/Constants!$H$135))*ttokg*FracLEACH*MSLeachEF*NtoN2O*kgtoGg,"NO")</f>
        <v>NO</v>
      </c>
      <c r="AA144" s="22" t="str">
        <f>IFERROR(('Activity data'!AA87*(1/Constants!$H$135))*ttokg*FracLEACH*MSLeachEF*NtoN2O*kgtoGg,"NO")</f>
        <v>NO</v>
      </c>
      <c r="AB144" s="22" t="str">
        <f>IFERROR(('Activity data'!AB87*(1/Constants!$H$135))*ttokg*FracLEACH*MSLeachEF*NtoN2O*kgtoGg,"NO")</f>
        <v>NO</v>
      </c>
      <c r="AC144" s="22" t="str">
        <f>IFERROR(('Activity data'!AC87*(1/Constants!$H$135))*ttokg*FracLEACH*MSLeachEF*NtoN2O*kgtoGg,"NO")</f>
        <v>NO</v>
      </c>
      <c r="AD144" s="22" t="str">
        <f>IFERROR(('Activity data'!AD87*(1/Constants!$H$135))*ttokg*FracLEACH*MSLeachEF*NtoN2O*kgtoGg,"NO")</f>
        <v>NO</v>
      </c>
      <c r="AE144" s="22" t="str">
        <f>IFERROR(('Activity data'!AE87*(1/Constants!$H$135))*ttokg*FracLEACH*MSLeachEF*NtoN2O*kgtoGg,"NO")</f>
        <v>NO</v>
      </c>
      <c r="AF144" s="22" t="str">
        <f>IFERROR(('Activity data'!AF87*(1/Constants!$H$135))*ttokg*FracLEACH*MSLeachEF*NtoN2O*kgtoGg,"NO")</f>
        <v>NO</v>
      </c>
      <c r="AG144" s="22" t="str">
        <f>IFERROR(('Activity data'!AG87*(1/Constants!$H$135))*ttokg*FracLEACH*MSLeachEF*NtoN2O*kgtoGg,"NO")</f>
        <v>NO</v>
      </c>
      <c r="AH144" s="22" t="str">
        <f>IFERROR(('Activity data'!AH87*(1/Constants!$H$135))*ttokg*FracLEACH*MSLeachEF*NtoN2O*kgtoGg,"NO")</f>
        <v>NO</v>
      </c>
      <c r="AI144" s="22" t="str">
        <f>IFERROR(('Activity data'!AI87*(1/Constants!$H$135))*ttokg*FracLEACH*MSLeachEF*NtoN2O*kgtoGg,"NO")</f>
        <v>NO</v>
      </c>
      <c r="AJ144" s="22" t="str">
        <f>IFERROR(('Activity data'!AJ87*(1/Constants!$H$135))*ttokg*FracLEACH*MSLeachEF*NtoN2O*kgtoGg,"NO")</f>
        <v>NO</v>
      </c>
      <c r="AK144" s="22" t="str">
        <f>IFERROR(('Activity data'!AK87*(1/Constants!$H$135))*ttokg*FracLEACH*MSLeachEF*NtoN2O*kgtoGg,"NO")</f>
        <v>NO</v>
      </c>
      <c r="AL144" s="22" t="str">
        <f>IFERROR(('Activity data'!AL87*(1/Constants!$H$135))*ttokg*FracLEACH*MSLeachEF*NtoN2O*kgtoGg,"NO")</f>
        <v>NO</v>
      </c>
      <c r="AM144" s="22" t="str">
        <f>IFERROR(('Activity data'!AM87*(1/Constants!$H$135))*ttokg*FracLEACH*MSLeachEF*NtoN2O*kgtoGg,"NO")</f>
        <v>NO</v>
      </c>
      <c r="AN144" s="22" t="str">
        <f>IFERROR(('Activity data'!AN87*(1/Constants!$H$135))*ttokg*FracLEACH*MSLeachEF*NtoN2O*kgtoGg,"NO")</f>
        <v>NO</v>
      </c>
      <c r="AO144" s="22" t="str">
        <f>IFERROR(('Activity data'!AO87*(1/Constants!$H$135))*ttokg*FracLEACH*MSLeachEF*NtoN2O*kgtoGg,"NO")</f>
        <v>NO</v>
      </c>
      <c r="AP144" s="22" t="str">
        <f>IFERROR(('Activity data'!AP87*(1/Constants!$H$135))*ttokg*FracLEACH*MSLeachEF*NtoN2O*kgtoGg,"NO")</f>
        <v>NO</v>
      </c>
      <c r="AQ144" s="22" t="str">
        <f>IFERROR(('Activity data'!AQ87*(1/Constants!$H$135))*ttokg*FracLEACH*MSLeachEF*NtoN2O*kgtoGg,"NO")</f>
        <v>NO</v>
      </c>
      <c r="AR144" s="22" t="str">
        <f>IFERROR(('Activity data'!AR87*(1/Constants!$H$135))*ttokg*FracLEACH*MSLeachEF*NtoN2O*kgtoGg,"NO")</f>
        <v>NO</v>
      </c>
      <c r="AS144" s="22" t="str">
        <f>IFERROR(('Activity data'!AS87*(1/Constants!$H$135))*ttokg*FracLEACH*MSLeachEF*NtoN2O*kgtoGg,"NO")</f>
        <v>NO</v>
      </c>
      <c r="AT144" s="22" t="str">
        <f>IFERROR(('Activity data'!AT87*(1/Constants!$H$135))*ttokg*FracLEACH*MSLeachEF*NtoN2O*kgtoGg,"NO")</f>
        <v>NO</v>
      </c>
      <c r="AU144" s="22" t="str">
        <f>IFERROR(('Activity data'!AU87*(1/Constants!$H$135))*ttokg*FracLEACH*MSLeachEF*NtoN2O*kgtoGg,"NO")</f>
        <v>NO</v>
      </c>
      <c r="AV144" s="22" t="str">
        <f>IFERROR(('Activity data'!AV87*(1/Constants!$H$135))*ttokg*FracLEACH*MSLeachEF*NtoN2O*kgtoGg,"NO")</f>
        <v>NO</v>
      </c>
      <c r="AW144" s="22" t="str">
        <f>IFERROR(('Activity data'!AW87*(1/Constants!$H$135))*ttokg*FracLEACH*MSLeachEF*NtoN2O*kgtoGg,"NO")</f>
        <v>NO</v>
      </c>
      <c r="AX144" s="22" t="str">
        <f>IFERROR(('Activity data'!AX87*(1/Constants!$H$135))*ttokg*FracLEACH*MSLeachEF*NtoN2O*kgtoGg,"NO")</f>
        <v>NO</v>
      </c>
      <c r="AY144" s="22" t="str">
        <f>IFERROR(('Activity data'!AY87*(1/Constants!$H$135))*ttokg*FracLEACH*MSLeachEF*NtoN2O*kgtoGg,"NO")</f>
        <v>NO</v>
      </c>
      <c r="AZ144" s="22" t="str">
        <f>IFERROR(('Activity data'!AZ87*(1/Constants!$H$135))*ttokg*FracLEACH*MSLeachEF*NtoN2O*kgtoGg,"NO")</f>
        <v>NO</v>
      </c>
      <c r="BA144" s="22" t="str">
        <f>IFERROR(('Activity data'!BA87*(1/Constants!$H$135))*ttokg*FracLEACH*MSLeachEF*NtoN2O*kgtoGg,"NO")</f>
        <v>NO</v>
      </c>
      <c r="BB144" s="22" t="str">
        <f>IFERROR(('Activity data'!BB87*(1/Constants!$H$135))*ttokg*FracLEACH*MSLeachEF*NtoN2O*kgtoGg,"NO")</f>
        <v>NO</v>
      </c>
      <c r="BC144" s="22" t="str">
        <f>IFERROR(('Activity data'!BC87*(1/Constants!$H$135))*ttokg*FracLEACH*MSLeachEF*NtoN2O*kgtoGg,"NO")</f>
        <v>NO</v>
      </c>
      <c r="BD144" s="22" t="str">
        <f>IFERROR(('Activity data'!BD87*(1/Constants!$H$135))*ttokg*FracLEACH*MSLeachEF*NtoN2O*kgtoGg,"NO")</f>
        <v>NO</v>
      </c>
      <c r="BE144" s="22" t="str">
        <f>IFERROR(('Activity data'!BE87*(1/Constants!$H$135))*ttokg*FracLEACH*MSLeachEF*NtoN2O*kgtoGg,"NO")</f>
        <v>NO</v>
      </c>
      <c r="BF144" s="22" t="str">
        <f>IFERROR(('Activity data'!BF87*(1/Constants!$H$135))*ttokg*FracLEACH*MSLeachEF*NtoN2O*kgtoGg,"NO")</f>
        <v>NO</v>
      </c>
      <c r="BG144" s="22" t="str">
        <f>IFERROR(('Activity data'!BG87*(1/Constants!$H$135))*ttokg*FracLEACH*MSLeachEF*NtoN2O*kgtoGg,"NO")</f>
        <v>NO</v>
      </c>
      <c r="BH144" s="22" t="str">
        <f>IFERROR(('Activity data'!BH87*(1/Constants!$H$135))*ttokg*FracLEACH*MSLeachEF*NtoN2O*kgtoGg,"NO")</f>
        <v>NO</v>
      </c>
      <c r="BI144" s="22" t="str">
        <f>IFERROR(('Activity data'!BI87*(1/Constants!$H$135))*ttokg*FracLEACH*MSLeachEF*NtoN2O*kgtoGg,"NO")</f>
        <v>NO</v>
      </c>
      <c r="BJ144" s="22" t="str">
        <f>IFERROR(('Activity data'!BJ87*(1/Constants!$H$135))*ttokg*FracLEACH*MSLeachEF*NtoN2O*kgtoGg,"NO")</f>
        <v>NO</v>
      </c>
      <c r="BK144" s="22" t="str">
        <f>IFERROR(('Activity data'!BK87*(1/Constants!$H$135))*ttokg*FracLEACH*MSLeachEF*NtoN2O*kgtoGg,"NO")</f>
        <v>NO</v>
      </c>
      <c r="BL144" s="22" t="str">
        <f>IFERROR(('Activity data'!BL87*(1/Constants!$H$135))*ttokg*FracLEACH*MSLeachEF*NtoN2O*kgtoGg,"NO")</f>
        <v>NO</v>
      </c>
      <c r="BM144" s="22" t="str">
        <f>IFERROR(('Activity data'!BM87*(1/Constants!$H$135))*ttokg*FracLEACH*MSLeachEF*NtoN2O*kgtoGg,"NO")</f>
        <v>NO</v>
      </c>
      <c r="BN144" s="22" t="str">
        <f>IFERROR(('Activity data'!BN87*(1/Constants!$H$135))*ttokg*FracLEACH*MSLeachEF*NtoN2O*kgtoGg,"NO")</f>
        <v>NO</v>
      </c>
      <c r="BO144" s="22" t="str">
        <f>IFERROR(('Activity data'!BO87*(1/Constants!$H$135))*ttokg*FracLEACH*MSLeachEF*NtoN2O*kgtoGg,"NO")</f>
        <v>NO</v>
      </c>
      <c r="BP144" s="22" t="str">
        <f>IFERROR(('Activity data'!BP87*(1/Constants!$H$135))*ttokg*FracLEACH*MSLeachEF*NtoN2O*kgtoGg,"NO")</f>
        <v>NO</v>
      </c>
    </row>
    <row r="145" spans="1:68" x14ac:dyDescent="0.25">
      <c r="A145" t="str">
        <f>A144</f>
        <v>3C Aggregated and non-CO2 emissions on land</v>
      </c>
      <c r="B145" t="str">
        <f t="shared" ref="B145" si="56">B144</f>
        <v>3C5 Indirect N2O from managed soils (N2O)</v>
      </c>
      <c r="C145" t="str">
        <f t="shared" si="54"/>
        <v>Leaching/runoff</v>
      </c>
      <c r="D145" t="str">
        <f>" - FSOM - "&amp;'Activity data'!D88</f>
        <v xml:space="preserve"> - FSOM - Land converted to forest land</v>
      </c>
      <c r="E145" t="str">
        <f t="shared" ref="E145" si="57">C145&amp;D145</f>
        <v>Leaching/runoff - FSOM - Land converted to forest land</v>
      </c>
      <c r="F145" t="str">
        <f t="shared" si="47"/>
        <v>N2O</v>
      </c>
      <c r="G145" t="str">
        <f t="shared" si="48"/>
        <v>Gg N2O</v>
      </c>
      <c r="H145" s="22" t="str">
        <f>IFERROR(('Activity data'!H88*(1/Constants!$H$135))*ttokg*FracLEACH*MSLeachEF*NtoN2O*kgtoGg,"NO")</f>
        <v>NO</v>
      </c>
      <c r="I145" s="22" t="str">
        <f>IFERROR(('Activity data'!I88*(1/Constants!$H$135))*ttokg*FracLEACH*MSLeachEF*NtoN2O*kgtoGg,"NO")</f>
        <v>NO</v>
      </c>
      <c r="J145" s="22" t="str">
        <f>IFERROR(('Activity data'!J88*(1/Constants!$H$135))*ttokg*FracLEACH*MSLeachEF*NtoN2O*kgtoGg,"NO")</f>
        <v>NO</v>
      </c>
      <c r="K145" s="22" t="str">
        <f>IFERROR(('Activity data'!K88*(1/Constants!$H$135))*ttokg*FracLEACH*MSLeachEF*NtoN2O*kgtoGg,"NO")</f>
        <v>NO</v>
      </c>
      <c r="L145" s="22" t="str">
        <f>IFERROR(('Activity data'!L88*(1/Constants!$H$135))*ttokg*FracLEACH*MSLeachEF*NtoN2O*kgtoGg,"NO")</f>
        <v>NO</v>
      </c>
      <c r="M145" s="22" t="str">
        <f>IFERROR(('Activity data'!M88*(1/Constants!$H$135))*ttokg*FracLEACH*MSLeachEF*NtoN2O*kgtoGg,"NO")</f>
        <v>NO</v>
      </c>
      <c r="N145" s="22" t="str">
        <f>IFERROR(('Activity data'!N88*(1/Constants!$H$135))*ttokg*FracLEACH*MSLeachEF*NtoN2O*kgtoGg,"NO")</f>
        <v>NO</v>
      </c>
      <c r="O145" s="22" t="str">
        <f>IFERROR(('Activity data'!O88*(1/Constants!$H$135))*ttokg*FracLEACH*MSLeachEF*NtoN2O*kgtoGg,"NO")</f>
        <v>NO</v>
      </c>
      <c r="P145" s="22" t="str">
        <f>IFERROR(('Activity data'!P88*(1/Constants!$H$135))*ttokg*FracLEACH*MSLeachEF*NtoN2O*kgtoGg,"NO")</f>
        <v>NO</v>
      </c>
      <c r="Q145" s="22" t="str">
        <f>IFERROR(('Activity data'!Q88*(1/Constants!$H$135))*ttokg*FracLEACH*MSLeachEF*NtoN2O*kgtoGg,"NO")</f>
        <v>NO</v>
      </c>
      <c r="R145" s="22" t="str">
        <f>IFERROR(('Activity data'!R88*(1/Constants!$H$135))*ttokg*FracLEACH*MSLeachEF*NtoN2O*kgtoGg,"NO")</f>
        <v>NO</v>
      </c>
      <c r="S145" s="22" t="str">
        <f>IFERROR(('Activity data'!S88*(1/Constants!$H$135))*ttokg*FracLEACH*MSLeachEF*NtoN2O*kgtoGg,"NO")</f>
        <v>NO</v>
      </c>
      <c r="T145" s="22" t="str">
        <f>IFERROR(('Activity data'!T88*(1/Constants!$H$135))*ttokg*FracLEACH*MSLeachEF*NtoN2O*kgtoGg,"NO")</f>
        <v>NO</v>
      </c>
      <c r="U145" s="22" t="str">
        <f>IFERROR(('Activity data'!U88*(1/Constants!$H$135))*ttokg*FracLEACH*MSLeachEF*NtoN2O*kgtoGg,"NO")</f>
        <v>NO</v>
      </c>
      <c r="V145" s="22" t="str">
        <f>IFERROR(('Activity data'!V88*(1/Constants!$H$135))*ttokg*FracLEACH*MSLeachEF*NtoN2O*kgtoGg,"NO")</f>
        <v>NO</v>
      </c>
      <c r="W145" s="22" t="str">
        <f>IFERROR(('Activity data'!W88*(1/Constants!$H$135))*ttokg*FracLEACH*MSLeachEF*NtoN2O*kgtoGg,"NO")</f>
        <v>NO</v>
      </c>
      <c r="X145" s="22" t="str">
        <f>IFERROR(('Activity data'!X88*(1/Constants!$H$135))*ttokg*FracLEACH*MSLeachEF*NtoN2O*kgtoGg,"NO")</f>
        <v>NO</v>
      </c>
      <c r="Y145" s="22" t="str">
        <f>IFERROR(('Activity data'!Y88*(1/Constants!$H$135))*ttokg*FracLEACH*MSLeachEF*NtoN2O*kgtoGg,"NO")</f>
        <v>NO</v>
      </c>
      <c r="Z145" s="22" t="str">
        <f>IFERROR(('Activity data'!Z88*(1/Constants!$H$135))*ttokg*FracLEACH*MSLeachEF*NtoN2O*kgtoGg,"NO")</f>
        <v>NO</v>
      </c>
      <c r="AA145" s="22" t="str">
        <f>IFERROR(('Activity data'!AA88*(1/Constants!$H$135))*ttokg*FracLEACH*MSLeachEF*NtoN2O*kgtoGg,"NO")</f>
        <v>NO</v>
      </c>
      <c r="AB145" s="22" t="str">
        <f>IFERROR(('Activity data'!AB88*(1/Constants!$H$135))*ttokg*FracLEACH*MSLeachEF*NtoN2O*kgtoGg,"NO")</f>
        <v>NO</v>
      </c>
      <c r="AC145" s="22" t="str">
        <f>IFERROR(('Activity data'!AC88*(1/Constants!$H$135))*ttokg*FracLEACH*MSLeachEF*NtoN2O*kgtoGg,"NO")</f>
        <v>NO</v>
      </c>
      <c r="AD145" s="22" t="str">
        <f>IFERROR(('Activity data'!AD88*(1/Constants!$H$135))*ttokg*FracLEACH*MSLeachEF*NtoN2O*kgtoGg,"NO")</f>
        <v>NO</v>
      </c>
      <c r="AE145" s="22" t="str">
        <f>IFERROR(('Activity data'!AE88*(1/Constants!$H$135))*ttokg*FracLEACH*MSLeachEF*NtoN2O*kgtoGg,"NO")</f>
        <v>NO</v>
      </c>
      <c r="AF145" s="22" t="str">
        <f>IFERROR(('Activity data'!AF88*(1/Constants!$H$135))*ttokg*FracLEACH*MSLeachEF*NtoN2O*kgtoGg,"NO")</f>
        <v>NO</v>
      </c>
      <c r="AG145" s="22" t="str">
        <f>IFERROR(('Activity data'!AG88*(1/Constants!$H$135))*ttokg*FracLEACH*MSLeachEF*NtoN2O*kgtoGg,"NO")</f>
        <v>NO</v>
      </c>
      <c r="AH145" s="22" t="str">
        <f>IFERROR(('Activity data'!AH88*(1/Constants!$H$135))*ttokg*FracLEACH*MSLeachEF*NtoN2O*kgtoGg,"NO")</f>
        <v>NO</v>
      </c>
      <c r="AI145" s="22" t="str">
        <f>IFERROR(('Activity data'!AI88*(1/Constants!$H$135))*ttokg*FracLEACH*MSLeachEF*NtoN2O*kgtoGg,"NO")</f>
        <v>NO</v>
      </c>
      <c r="AJ145" s="22" t="str">
        <f>IFERROR(('Activity data'!AJ88*(1/Constants!$H$135))*ttokg*FracLEACH*MSLeachEF*NtoN2O*kgtoGg,"NO")</f>
        <v>NO</v>
      </c>
      <c r="AK145" s="22" t="str">
        <f>IFERROR(('Activity data'!AK88*(1/Constants!$H$135))*ttokg*FracLEACH*MSLeachEF*NtoN2O*kgtoGg,"NO")</f>
        <v>NO</v>
      </c>
      <c r="AL145" s="22" t="str">
        <f>IFERROR(('Activity data'!AL88*(1/Constants!$H$135))*ttokg*FracLEACH*MSLeachEF*NtoN2O*kgtoGg,"NO")</f>
        <v>NO</v>
      </c>
      <c r="AM145" s="22" t="str">
        <f>IFERROR(('Activity data'!AM88*(1/Constants!$H$135))*ttokg*FracLEACH*MSLeachEF*NtoN2O*kgtoGg,"NO")</f>
        <v>NO</v>
      </c>
      <c r="AN145" s="22" t="str">
        <f>IFERROR(('Activity data'!AN88*(1/Constants!$H$135))*ttokg*FracLEACH*MSLeachEF*NtoN2O*kgtoGg,"NO")</f>
        <v>NO</v>
      </c>
      <c r="AO145" s="22" t="str">
        <f>IFERROR(('Activity data'!AO88*(1/Constants!$H$135))*ttokg*FracLEACH*MSLeachEF*NtoN2O*kgtoGg,"NO")</f>
        <v>NO</v>
      </c>
      <c r="AP145" s="22" t="str">
        <f>IFERROR(('Activity data'!AP88*(1/Constants!$H$135))*ttokg*FracLEACH*MSLeachEF*NtoN2O*kgtoGg,"NO")</f>
        <v>NO</v>
      </c>
      <c r="AQ145" s="22" t="str">
        <f>IFERROR(('Activity data'!AQ88*(1/Constants!$H$135))*ttokg*FracLEACH*MSLeachEF*NtoN2O*kgtoGg,"NO")</f>
        <v>NO</v>
      </c>
      <c r="AR145" s="22" t="str">
        <f>IFERROR(('Activity data'!AR88*(1/Constants!$H$135))*ttokg*FracLEACH*MSLeachEF*NtoN2O*kgtoGg,"NO")</f>
        <v>NO</v>
      </c>
      <c r="AS145" s="22" t="str">
        <f>IFERROR(('Activity data'!AS88*(1/Constants!$H$135))*ttokg*FracLEACH*MSLeachEF*NtoN2O*kgtoGg,"NO")</f>
        <v>NO</v>
      </c>
      <c r="AT145" s="22" t="str">
        <f>IFERROR(('Activity data'!AT88*(1/Constants!$H$135))*ttokg*FracLEACH*MSLeachEF*NtoN2O*kgtoGg,"NO")</f>
        <v>NO</v>
      </c>
      <c r="AU145" s="22" t="str">
        <f>IFERROR(('Activity data'!AU88*(1/Constants!$H$135))*ttokg*FracLEACH*MSLeachEF*NtoN2O*kgtoGg,"NO")</f>
        <v>NO</v>
      </c>
      <c r="AV145" s="22" t="str">
        <f>IFERROR(('Activity data'!AV88*(1/Constants!$H$135))*ttokg*FracLEACH*MSLeachEF*NtoN2O*kgtoGg,"NO")</f>
        <v>NO</v>
      </c>
      <c r="AW145" s="22" t="str">
        <f>IFERROR(('Activity data'!AW88*(1/Constants!$H$135))*ttokg*FracLEACH*MSLeachEF*NtoN2O*kgtoGg,"NO")</f>
        <v>NO</v>
      </c>
      <c r="AX145" s="22" t="str">
        <f>IFERROR(('Activity data'!AX88*(1/Constants!$H$135))*ttokg*FracLEACH*MSLeachEF*NtoN2O*kgtoGg,"NO")</f>
        <v>NO</v>
      </c>
      <c r="AY145" s="22" t="str">
        <f>IFERROR(('Activity data'!AY88*(1/Constants!$H$135))*ttokg*FracLEACH*MSLeachEF*NtoN2O*kgtoGg,"NO")</f>
        <v>NO</v>
      </c>
      <c r="AZ145" s="22" t="str">
        <f>IFERROR(('Activity data'!AZ88*(1/Constants!$H$135))*ttokg*FracLEACH*MSLeachEF*NtoN2O*kgtoGg,"NO")</f>
        <v>NO</v>
      </c>
      <c r="BA145" s="22" t="str">
        <f>IFERROR(('Activity data'!BA88*(1/Constants!$H$135))*ttokg*FracLEACH*MSLeachEF*NtoN2O*kgtoGg,"NO")</f>
        <v>NO</v>
      </c>
      <c r="BB145" s="22" t="str">
        <f>IFERROR(('Activity data'!BB88*(1/Constants!$H$135))*ttokg*FracLEACH*MSLeachEF*NtoN2O*kgtoGg,"NO")</f>
        <v>NO</v>
      </c>
      <c r="BC145" s="22" t="str">
        <f>IFERROR(('Activity data'!BC88*(1/Constants!$H$135))*ttokg*FracLEACH*MSLeachEF*NtoN2O*kgtoGg,"NO")</f>
        <v>NO</v>
      </c>
      <c r="BD145" s="22" t="str">
        <f>IFERROR(('Activity data'!BD88*(1/Constants!$H$135))*ttokg*FracLEACH*MSLeachEF*NtoN2O*kgtoGg,"NO")</f>
        <v>NO</v>
      </c>
      <c r="BE145" s="22" t="str">
        <f>IFERROR(('Activity data'!BE88*(1/Constants!$H$135))*ttokg*FracLEACH*MSLeachEF*NtoN2O*kgtoGg,"NO")</f>
        <v>NO</v>
      </c>
      <c r="BF145" s="22" t="str">
        <f>IFERROR(('Activity data'!BF88*(1/Constants!$H$135))*ttokg*FracLEACH*MSLeachEF*NtoN2O*kgtoGg,"NO")</f>
        <v>NO</v>
      </c>
      <c r="BG145" s="22" t="str">
        <f>IFERROR(('Activity data'!BG88*(1/Constants!$H$135))*ttokg*FracLEACH*MSLeachEF*NtoN2O*kgtoGg,"NO")</f>
        <v>NO</v>
      </c>
      <c r="BH145" s="22" t="str">
        <f>IFERROR(('Activity data'!BH88*(1/Constants!$H$135))*ttokg*FracLEACH*MSLeachEF*NtoN2O*kgtoGg,"NO")</f>
        <v>NO</v>
      </c>
      <c r="BI145" s="22" t="str">
        <f>IFERROR(('Activity data'!BI88*(1/Constants!$H$135))*ttokg*FracLEACH*MSLeachEF*NtoN2O*kgtoGg,"NO")</f>
        <v>NO</v>
      </c>
      <c r="BJ145" s="22" t="str">
        <f>IFERROR(('Activity data'!BJ88*(1/Constants!$H$135))*ttokg*FracLEACH*MSLeachEF*NtoN2O*kgtoGg,"NO")</f>
        <v>NO</v>
      </c>
      <c r="BK145" s="22" t="str">
        <f>IFERROR(('Activity data'!BK88*(1/Constants!$H$135))*ttokg*FracLEACH*MSLeachEF*NtoN2O*kgtoGg,"NO")</f>
        <v>NO</v>
      </c>
      <c r="BL145" s="22" t="str">
        <f>IFERROR(('Activity data'!BL88*(1/Constants!$H$135))*ttokg*FracLEACH*MSLeachEF*NtoN2O*kgtoGg,"NO")</f>
        <v>NO</v>
      </c>
      <c r="BM145" s="22" t="str">
        <f>IFERROR(('Activity data'!BM88*(1/Constants!$H$135))*ttokg*FracLEACH*MSLeachEF*NtoN2O*kgtoGg,"NO")</f>
        <v>NO</v>
      </c>
      <c r="BN145" s="22" t="str">
        <f>IFERROR(('Activity data'!BN88*(1/Constants!$H$135))*ttokg*FracLEACH*MSLeachEF*NtoN2O*kgtoGg,"NO")</f>
        <v>NO</v>
      </c>
      <c r="BO145" s="22" t="str">
        <f>IFERROR(('Activity data'!BO88*(1/Constants!$H$135))*ttokg*FracLEACH*MSLeachEF*NtoN2O*kgtoGg,"NO")</f>
        <v>NO</v>
      </c>
      <c r="BP145" s="22" t="str">
        <f>IFERROR(('Activity data'!BP88*(1/Constants!$H$135))*ttokg*FracLEACH*MSLeachEF*NtoN2O*kgtoGg,"NO")</f>
        <v>NO</v>
      </c>
    </row>
    <row r="146" spans="1:68" x14ac:dyDescent="0.25">
      <c r="A146" t="str">
        <f t="shared" ref="A146:A187" si="58">A145</f>
        <v>3C Aggregated and non-CO2 emissions on land</v>
      </c>
      <c r="B146" t="str">
        <f t="shared" ref="B146:B155" si="59">B145</f>
        <v>3C5 Indirect N2O from managed soils (N2O)</v>
      </c>
      <c r="C146" t="str">
        <f t="shared" si="54"/>
        <v>Leaching/runoff</v>
      </c>
      <c r="D146" t="str">
        <f>" - FSOM - "&amp;'Activity data'!D89</f>
        <v xml:space="preserve"> - FSOM - Cropland remaining cropland</v>
      </c>
      <c r="E146" t="str">
        <f t="shared" ref="E146:E155" si="60">C146&amp;D146</f>
        <v>Leaching/runoff - FSOM - Cropland remaining cropland</v>
      </c>
      <c r="F146" t="str">
        <f t="shared" si="47"/>
        <v>N2O</v>
      </c>
      <c r="G146" t="str">
        <f t="shared" si="48"/>
        <v>Gg N2O</v>
      </c>
      <c r="H146" s="22" t="str">
        <f>IFERROR(('Activity data'!H89*(1/Constants!$H$135))*ttokg*FracLEACH*MSLeachEF*NtoN2O*kgtoGg,"NO")</f>
        <v>NO</v>
      </c>
      <c r="I146" s="22">
        <f>IFERROR(('Activity data'!I89*(1/Constants!$H$135))*ttokg*FracLEACH*MSLeachEF*NtoN2O*kgtoGg,"NO")</f>
        <v>1.5321378839843239E-5</v>
      </c>
      <c r="J146" s="22">
        <f>IFERROR(('Activity data'!J89*(1/Constants!$H$135))*ttokg*FracLEACH*MSLeachEF*NtoN2O*kgtoGg,"NO")</f>
        <v>1.5321378839843239E-5</v>
      </c>
      <c r="K146" s="22">
        <f>IFERROR(('Activity data'!K89*(1/Constants!$H$135))*ttokg*FracLEACH*MSLeachEF*NtoN2O*kgtoGg,"NO")</f>
        <v>1.5321378839843239E-5</v>
      </c>
      <c r="L146" s="22">
        <f>IFERROR(('Activity data'!L89*(1/Constants!$H$135))*ttokg*FracLEACH*MSLeachEF*NtoN2O*kgtoGg,"NO")</f>
        <v>1.5321378839843239E-5</v>
      </c>
      <c r="M146" s="22">
        <f>IFERROR(('Activity data'!M89*(1/Constants!$H$135))*ttokg*FracLEACH*MSLeachEF*NtoN2O*kgtoGg,"NO")</f>
        <v>1.5321378839843239E-5</v>
      </c>
      <c r="N146" s="22">
        <f>IFERROR(('Activity data'!N89*(1/Constants!$H$135))*ttokg*FracLEACH*MSLeachEF*NtoN2O*kgtoGg,"NO")</f>
        <v>1.5321378839843239E-5</v>
      </c>
      <c r="O146" s="22">
        <f>IFERROR(('Activity data'!O89*(1/Constants!$H$135))*ttokg*FracLEACH*MSLeachEF*NtoN2O*kgtoGg,"NO")</f>
        <v>1.5321378839843239E-5</v>
      </c>
      <c r="P146" s="22">
        <f>IFERROR(('Activity data'!P89*(1/Constants!$H$135))*ttokg*FracLEACH*MSLeachEF*NtoN2O*kgtoGg,"NO")</f>
        <v>1.5321378839843239E-5</v>
      </c>
      <c r="Q146" s="22">
        <f>IFERROR(('Activity data'!Q89*(1/Constants!$H$135))*ttokg*FracLEACH*MSLeachEF*NtoN2O*kgtoGg,"NO")</f>
        <v>1.5321378839843239E-5</v>
      </c>
      <c r="R146" s="22">
        <f>IFERROR(('Activity data'!R89*(1/Constants!$H$135))*ttokg*FracLEACH*MSLeachEF*NtoN2O*kgtoGg,"NO")</f>
        <v>1.5321378839843239E-5</v>
      </c>
      <c r="S146" s="22">
        <f>IFERROR(('Activity data'!S89*(1/Constants!$H$135))*ttokg*FracLEACH*MSLeachEF*NtoN2O*kgtoGg,"NO")</f>
        <v>1.5321378839843239E-5</v>
      </c>
      <c r="T146" s="22">
        <f>IFERROR(('Activity data'!T89*(1/Constants!$H$135))*ttokg*FracLEACH*MSLeachEF*NtoN2O*kgtoGg,"NO")</f>
        <v>1.5321378839843239E-5</v>
      </c>
      <c r="U146" s="22">
        <f>IFERROR(('Activity data'!U89*(1/Constants!$H$135))*ttokg*FracLEACH*MSLeachEF*NtoN2O*kgtoGg,"NO")</f>
        <v>1.5321378839843239E-5</v>
      </c>
      <c r="V146" s="22">
        <f>IFERROR(('Activity data'!V89*(1/Constants!$H$135))*ttokg*FracLEACH*MSLeachEF*NtoN2O*kgtoGg,"NO")</f>
        <v>1.5321378839843239E-5</v>
      </c>
      <c r="W146" s="22">
        <f>IFERROR(('Activity data'!W89*(1/Constants!$H$135))*ttokg*FracLEACH*MSLeachEF*NtoN2O*kgtoGg,"NO")</f>
        <v>1.5321378839843239E-5</v>
      </c>
      <c r="X146" s="22">
        <f>IFERROR(('Activity data'!X89*(1/Constants!$H$135))*ttokg*FracLEACH*MSLeachEF*NtoN2O*kgtoGg,"NO")</f>
        <v>1.5321378839843239E-5</v>
      </c>
      <c r="Y146" s="22">
        <f>IFERROR(('Activity data'!Y89*(1/Constants!$H$135))*ttokg*FracLEACH*MSLeachEF*NtoN2O*kgtoGg,"NO")</f>
        <v>1.5321378839843239E-5</v>
      </c>
      <c r="Z146" s="22">
        <f>IFERROR(('Activity data'!Z89*(1/Constants!$H$135))*ttokg*FracLEACH*MSLeachEF*NtoN2O*kgtoGg,"NO")</f>
        <v>1.5321378839843239E-5</v>
      </c>
      <c r="AA146" s="22">
        <f>IFERROR(('Activity data'!AA89*(1/Constants!$H$135))*ttokg*FracLEACH*MSLeachEF*NtoN2O*kgtoGg,"NO")</f>
        <v>1.5321378839843239E-5</v>
      </c>
      <c r="AB146" s="22">
        <f>IFERROR(('Activity data'!AB89*(1/Constants!$H$135))*ttokg*FracLEACH*MSLeachEF*NtoN2O*kgtoGg,"NO")</f>
        <v>1.5321378839843239E-5</v>
      </c>
      <c r="AC146" s="22">
        <f>IFERROR(('Activity data'!AC89*(1/Constants!$H$135))*ttokg*FracLEACH*MSLeachEF*NtoN2O*kgtoGg,"NO")</f>
        <v>1.5321378839843239E-5</v>
      </c>
      <c r="AD146" s="22">
        <f>IFERROR(('Activity data'!AD89*(1/Constants!$H$135))*ttokg*FracLEACH*MSLeachEF*NtoN2O*kgtoGg,"NO")</f>
        <v>1.1867590793806392E-4</v>
      </c>
      <c r="AE146" s="22">
        <f>IFERROR(('Activity data'!AE89*(1/Constants!$H$135))*ttokg*FracLEACH*MSLeachEF*NtoN2O*kgtoGg,"NO")</f>
        <v>1.1853617037070301E-4</v>
      </c>
      <c r="AF146" s="22">
        <f>IFERROR(('Activity data'!AF89*(1/Constants!$H$135))*ttokg*FracLEACH*MSLeachEF*NtoN2O*kgtoGg,"NO")</f>
        <v>1.1839643280334203E-4</v>
      </c>
      <c r="AG146" s="22">
        <f>IFERROR(('Activity data'!AG89*(1/Constants!$H$135))*ttokg*FracLEACH*MSLeachEF*NtoN2O*kgtoGg,"NO")</f>
        <v>1.1825669523598106E-4</v>
      </c>
      <c r="AH146" s="22">
        <f>IFERROR(('Activity data'!AH89*(1/Constants!$H$135))*ttokg*FracLEACH*MSLeachEF*NtoN2O*kgtoGg,"NO")</f>
        <v>1.1811695766862012E-4</v>
      </c>
      <c r="AI146" s="22">
        <f>IFERROR(('Activity data'!AI89*(1/Constants!$H$135))*ttokg*FracLEACH*MSLeachEF*NtoN2O*kgtoGg,"NO")</f>
        <v>1.1797722010125916E-4</v>
      </c>
      <c r="AJ146" s="22">
        <f>IFERROR(('Activity data'!AJ89*(1/Constants!$H$135))*ttokg*FracLEACH*MSLeachEF*NtoN2O*kgtoGg,"NO")</f>
        <v>1.178374825338982E-4</v>
      </c>
      <c r="AK146" s="22">
        <f>IFERROR(('Activity data'!AK89*(1/Constants!$H$135))*ttokg*FracLEACH*MSLeachEF*NtoN2O*kgtoGg,"NO")</f>
        <v>1.1769774496653728E-4</v>
      </c>
      <c r="AL146" s="22">
        <f>IFERROR(('Activity data'!AL89*(1/Constants!$H$135))*ttokg*FracLEACH*MSLeachEF*NtoN2O*kgtoGg,"NO")</f>
        <v>1.1755800739917633E-4</v>
      </c>
      <c r="AM146" s="22">
        <f>IFERROR(('Activity data'!AM89*(1/Constants!$H$135))*ttokg*FracLEACH*MSLeachEF*NtoN2O*kgtoGg,"NO")</f>
        <v>1.174182698318154E-4</v>
      </c>
      <c r="AN146" s="22">
        <f>IFERROR(('Activity data'!AN89*(1/Constants!$H$135))*ttokg*FracLEACH*MSLeachEF*NtoN2O*kgtoGg,"NO")</f>
        <v>1.1727853226445441E-4</v>
      </c>
      <c r="AO146" s="22">
        <f>IFERROR(('Activity data'!AO89*(1/Constants!$H$135))*ttokg*FracLEACH*MSLeachEF*NtoN2O*kgtoGg,"NO")</f>
        <v>1.1713879469709348E-4</v>
      </c>
      <c r="AP146" s="22">
        <f>IFERROR(('Activity data'!AP89*(1/Constants!$H$135))*ttokg*FracLEACH*MSLeachEF*NtoN2O*kgtoGg,"NO")</f>
        <v>1.1699905712973254E-4</v>
      </c>
      <c r="AQ146" s="22">
        <f>IFERROR(('Activity data'!AQ89*(1/Constants!$H$135))*ttokg*FracLEACH*MSLeachEF*NtoN2O*kgtoGg,"NO")</f>
        <v>1.168593195623716E-4</v>
      </c>
      <c r="AR146" s="22">
        <f>IFERROR(('Activity data'!AR89*(1/Constants!$H$135))*ttokg*FracLEACH*MSLeachEF*NtoN2O*kgtoGg,"NO")</f>
        <v>1.1671958199501069E-4</v>
      </c>
      <c r="AS146" s="22">
        <f>IFERROR(('Activity data'!AS89*(1/Constants!$H$135))*ttokg*FracLEACH*MSLeachEF*NtoN2O*kgtoGg,"NO")</f>
        <v>1.1657984442764968E-4</v>
      </c>
      <c r="AT146" s="22">
        <f>IFERROR(('Activity data'!AT89*(1/Constants!$H$135))*ttokg*FracLEACH*MSLeachEF*NtoN2O*kgtoGg,"NO")</f>
        <v>1.1644010686028878E-4</v>
      </c>
      <c r="AU146" s="22">
        <f>IFERROR(('Activity data'!AU89*(1/Constants!$H$135))*ttokg*FracLEACH*MSLeachEF*NtoN2O*kgtoGg,"NO")</f>
        <v>1.1630036929292779E-4</v>
      </c>
      <c r="AV146" s="22">
        <f>IFERROR(('Activity data'!AV89*(1/Constants!$H$135))*ttokg*FracLEACH*MSLeachEF*NtoN2O*kgtoGg,"NO")</f>
        <v>1.1616063172556689E-4</v>
      </c>
      <c r="AW146" s="22">
        <f>IFERROR(('Activity data'!AW89*(1/Constants!$H$135))*ttokg*FracLEACH*MSLeachEF*NtoN2O*kgtoGg,"NO")</f>
        <v>1.1602089415820588E-4</v>
      </c>
      <c r="AX146" s="22">
        <f>IFERROR(('Activity data'!AX89*(1/Constants!$H$135))*ttokg*FracLEACH*MSLeachEF*NtoN2O*kgtoGg,"NO")</f>
        <v>1.1588115659084502E-4</v>
      </c>
      <c r="AY146" s="22">
        <f>IFERROR(('Activity data'!AY89*(1/Constants!$H$135))*ttokg*FracLEACH*MSLeachEF*NtoN2O*kgtoGg,"NO")</f>
        <v>1.1574141902348403E-4</v>
      </c>
      <c r="AZ146" s="22">
        <f>IFERROR(('Activity data'!AZ89*(1/Constants!$H$135))*ttokg*FracLEACH*MSLeachEF*NtoN2O*kgtoGg,"NO")</f>
        <v>1.1560168145612309E-4</v>
      </c>
      <c r="BA146" s="22">
        <f>IFERROR(('Activity data'!BA89*(1/Constants!$H$135))*ttokg*FracLEACH*MSLeachEF*NtoN2O*kgtoGg,"NO")</f>
        <v>1.154619438887621E-4</v>
      </c>
      <c r="BB146" s="22">
        <f>IFERROR(('Activity data'!BB89*(1/Constants!$H$135))*ttokg*FracLEACH*MSLeachEF*NtoN2O*kgtoGg,"NO")</f>
        <v>1.1532220632140118E-4</v>
      </c>
      <c r="BC146" s="22">
        <f>IFERROR(('Activity data'!BC89*(1/Constants!$H$135))*ttokg*FracLEACH*MSLeachEF*NtoN2O*kgtoGg,"NO")</f>
        <v>1.1518246875404022E-4</v>
      </c>
      <c r="BD146" s="22">
        <f>IFERROR(('Activity data'!BD89*(1/Constants!$H$135))*ttokg*FracLEACH*MSLeachEF*NtoN2O*kgtoGg,"NO")</f>
        <v>1.1504273118667928E-4</v>
      </c>
      <c r="BE146" s="22">
        <f>IFERROR(('Activity data'!BE89*(1/Constants!$H$135))*ttokg*FracLEACH*MSLeachEF*NtoN2O*kgtoGg,"NO")</f>
        <v>1.1490299361931835E-4</v>
      </c>
      <c r="BF146" s="22">
        <f>IFERROR(('Activity data'!BF89*(1/Constants!$H$135))*ttokg*FracLEACH*MSLeachEF*NtoN2O*kgtoGg,"NO")</f>
        <v>1.1476325605195744E-4</v>
      </c>
      <c r="BG146" s="22">
        <f>IFERROR(('Activity data'!BG89*(1/Constants!$H$135))*ttokg*FracLEACH*MSLeachEF*NtoN2O*kgtoGg,"NO")</f>
        <v>1.1462351848459642E-4</v>
      </c>
      <c r="BH146" s="22">
        <f>IFERROR(('Activity data'!BH89*(1/Constants!$H$135))*ttokg*FracLEACH*MSLeachEF*NtoN2O*kgtoGg,"NO")</f>
        <v>1.1448378091723552E-4</v>
      </c>
      <c r="BI146" s="22">
        <f>IFERROR(('Activity data'!BI89*(1/Constants!$H$135))*ttokg*FracLEACH*MSLeachEF*NtoN2O*kgtoGg,"NO")</f>
        <v>1.1434404334987458E-4</v>
      </c>
      <c r="BJ146" s="22">
        <f>IFERROR(('Activity data'!BJ89*(1/Constants!$H$135))*ttokg*FracLEACH*MSLeachEF*NtoN2O*kgtoGg,"NO")</f>
        <v>1.1420430578251366E-4</v>
      </c>
      <c r="BK146" s="22">
        <f>IFERROR(('Activity data'!BK89*(1/Constants!$H$135))*ttokg*FracLEACH*MSLeachEF*NtoN2O*kgtoGg,"NO")</f>
        <v>1.1406456821515268E-4</v>
      </c>
      <c r="BL146" s="22">
        <f>IFERROR(('Activity data'!BL89*(1/Constants!$H$135))*ttokg*FracLEACH*MSLeachEF*NtoN2O*kgtoGg,"NO")</f>
        <v>1.1392483064779174E-4</v>
      </c>
      <c r="BM146" s="22">
        <f>IFERROR(('Activity data'!BM89*(1/Constants!$H$135))*ttokg*FracLEACH*MSLeachEF*NtoN2O*kgtoGg,"NO")</f>
        <v>1.1378509308043078E-4</v>
      </c>
      <c r="BN146" s="22">
        <f>IFERROR(('Activity data'!BN89*(1/Constants!$H$135))*ttokg*FracLEACH*MSLeachEF*NtoN2O*kgtoGg,"NO")</f>
        <v>1.136453555130698E-4</v>
      </c>
      <c r="BO146" s="22">
        <f>IFERROR(('Activity data'!BO89*(1/Constants!$H$135))*ttokg*FracLEACH*MSLeachEF*NtoN2O*kgtoGg,"NO")</f>
        <v>1.1350561794570888E-4</v>
      </c>
      <c r="BP146" s="22">
        <f>IFERROR(('Activity data'!BP89*(1/Constants!$H$135))*ttokg*FracLEACH*MSLeachEF*NtoN2O*kgtoGg,"NO")</f>
        <v>1.1336588037834792E-4</v>
      </c>
    </row>
    <row r="147" spans="1:68" x14ac:dyDescent="0.25">
      <c r="A147" t="str">
        <f t="shared" si="58"/>
        <v>3C Aggregated and non-CO2 emissions on land</v>
      </c>
      <c r="B147" t="str">
        <f t="shared" si="59"/>
        <v>3C5 Indirect N2O from managed soils (N2O)</v>
      </c>
      <c r="C147" t="str">
        <f t="shared" si="54"/>
        <v>Leaching/runoff</v>
      </c>
      <c r="D147" t="str">
        <f>" - FSOM - "&amp;'Activity data'!D90</f>
        <v xml:space="preserve"> - FSOM - Land converted to cropland</v>
      </c>
      <c r="E147" t="str">
        <f t="shared" si="60"/>
        <v>Leaching/runoff - FSOM - Land converted to cropland</v>
      </c>
      <c r="F147" t="str">
        <f t="shared" si="47"/>
        <v>N2O</v>
      </c>
      <c r="G147" t="str">
        <f t="shared" si="48"/>
        <v>Gg N2O</v>
      </c>
      <c r="H147" s="22" t="str">
        <f>IFERROR(('Activity data'!H90*(1/Constants!$H$135))*ttokg*FracLEACH*MSLeachEF*NtoN2O*kgtoGg,"NO")</f>
        <v>NO</v>
      </c>
      <c r="I147" s="22">
        <f>IFERROR(('Activity data'!I90*(1/Constants!$H$135))*ttokg*FracLEACH*MSLeachEF*NtoN2O*kgtoGg,"NO")</f>
        <v>1.598450121782432E-3</v>
      </c>
      <c r="J147" s="22">
        <f>IFERROR(('Activity data'!J90*(1/Constants!$H$135))*ttokg*FracLEACH*MSLeachEF*NtoN2O*kgtoGg,"NO")</f>
        <v>1.598450121782432E-3</v>
      </c>
      <c r="K147" s="22">
        <f>IFERROR(('Activity data'!K90*(1/Constants!$H$135))*ttokg*FracLEACH*MSLeachEF*NtoN2O*kgtoGg,"NO")</f>
        <v>1.598450121782432E-3</v>
      </c>
      <c r="L147" s="22">
        <f>IFERROR(('Activity data'!L90*(1/Constants!$H$135))*ttokg*FracLEACH*MSLeachEF*NtoN2O*kgtoGg,"NO")</f>
        <v>1.598450121782432E-3</v>
      </c>
      <c r="M147" s="22">
        <f>IFERROR(('Activity data'!M90*(1/Constants!$H$135))*ttokg*FracLEACH*MSLeachEF*NtoN2O*kgtoGg,"NO")</f>
        <v>1.598450121782432E-3</v>
      </c>
      <c r="N147" s="22">
        <f>IFERROR(('Activity data'!N90*(1/Constants!$H$135))*ttokg*FracLEACH*MSLeachEF*NtoN2O*kgtoGg,"NO")</f>
        <v>1.598450121782432E-3</v>
      </c>
      <c r="O147" s="22">
        <f>IFERROR(('Activity data'!O90*(1/Constants!$H$135))*ttokg*FracLEACH*MSLeachEF*NtoN2O*kgtoGg,"NO")</f>
        <v>1.598450121782432E-3</v>
      </c>
      <c r="P147" s="22">
        <f>IFERROR(('Activity data'!P90*(1/Constants!$H$135))*ttokg*FracLEACH*MSLeachEF*NtoN2O*kgtoGg,"NO")</f>
        <v>1.598450121782432E-3</v>
      </c>
      <c r="Q147" s="22">
        <f>IFERROR(('Activity data'!Q90*(1/Constants!$H$135))*ttokg*FracLEACH*MSLeachEF*NtoN2O*kgtoGg,"NO")</f>
        <v>1.598450121782432E-3</v>
      </c>
      <c r="R147" s="22">
        <f>IFERROR(('Activity data'!R90*(1/Constants!$H$135))*ttokg*FracLEACH*MSLeachEF*NtoN2O*kgtoGg,"NO")</f>
        <v>1.598450121782432E-3</v>
      </c>
      <c r="S147" s="22">
        <f>IFERROR(('Activity data'!S90*(1/Constants!$H$135))*ttokg*FracLEACH*MSLeachEF*NtoN2O*kgtoGg,"NO")</f>
        <v>1.598450121782432E-3</v>
      </c>
      <c r="T147" s="22">
        <f>IFERROR(('Activity data'!T90*(1/Constants!$H$135))*ttokg*FracLEACH*MSLeachEF*NtoN2O*kgtoGg,"NO")</f>
        <v>1.598450121782432E-3</v>
      </c>
      <c r="U147" s="22">
        <f>IFERROR(('Activity data'!U90*(1/Constants!$H$135))*ttokg*FracLEACH*MSLeachEF*NtoN2O*kgtoGg,"NO")</f>
        <v>1.598450121782432E-3</v>
      </c>
      <c r="V147" s="22">
        <f>IFERROR(('Activity data'!V90*(1/Constants!$H$135))*ttokg*FracLEACH*MSLeachEF*NtoN2O*kgtoGg,"NO")</f>
        <v>1.598450121782432E-3</v>
      </c>
      <c r="W147" s="22">
        <f>IFERROR(('Activity data'!W90*(1/Constants!$H$135))*ttokg*FracLEACH*MSLeachEF*NtoN2O*kgtoGg,"NO")</f>
        <v>1.598450121782432E-3</v>
      </c>
      <c r="X147" s="22">
        <f>IFERROR(('Activity data'!X90*(1/Constants!$H$135))*ttokg*FracLEACH*MSLeachEF*NtoN2O*kgtoGg,"NO")</f>
        <v>1.598450121782432E-3</v>
      </c>
      <c r="Y147" s="22">
        <f>IFERROR(('Activity data'!Y90*(1/Constants!$H$135))*ttokg*FracLEACH*MSLeachEF*NtoN2O*kgtoGg,"NO")</f>
        <v>1.598450121782432E-3</v>
      </c>
      <c r="Z147" s="22">
        <f>IFERROR(('Activity data'!Z90*(1/Constants!$H$135))*ttokg*FracLEACH*MSLeachEF*NtoN2O*kgtoGg,"NO")</f>
        <v>1.598450121782432E-3</v>
      </c>
      <c r="AA147" s="22">
        <f>IFERROR(('Activity data'!AA90*(1/Constants!$H$135))*ttokg*FracLEACH*MSLeachEF*NtoN2O*kgtoGg,"NO")</f>
        <v>1.598450121782432E-3</v>
      </c>
      <c r="AB147" s="22">
        <f>IFERROR(('Activity data'!AB90*(1/Constants!$H$135))*ttokg*FracLEACH*MSLeachEF*NtoN2O*kgtoGg,"NO")</f>
        <v>1.598450121782432E-3</v>
      </c>
      <c r="AC147" s="22">
        <f>IFERROR(('Activity data'!AC90*(1/Constants!$H$135))*ttokg*FracLEACH*MSLeachEF*NtoN2O*kgtoGg,"NO")</f>
        <v>1.598450121782432E-3</v>
      </c>
      <c r="AD147" s="22">
        <f>IFERROR(('Activity data'!AD90*(1/Constants!$H$135))*ttokg*FracLEACH*MSLeachEF*NtoN2O*kgtoGg,"NO")</f>
        <v>1.6912231388729011E-2</v>
      </c>
      <c r="AE147" s="22">
        <f>IFERROR(('Activity data'!AE90*(1/Constants!$H$135))*ttokg*FracLEACH*MSLeachEF*NtoN2O*kgtoGg,"NO")</f>
        <v>1.6951420148247919E-2</v>
      </c>
      <c r="AF147" s="22">
        <f>IFERROR(('Activity data'!AF90*(1/Constants!$H$135))*ttokg*FracLEACH*MSLeachEF*NtoN2O*kgtoGg,"NO")</f>
        <v>1.6990608907766828E-2</v>
      </c>
      <c r="AG147" s="22">
        <f>IFERROR(('Activity data'!AG90*(1/Constants!$H$135))*ttokg*FracLEACH*MSLeachEF*NtoN2O*kgtoGg,"NO")</f>
        <v>1.702979766728574E-2</v>
      </c>
      <c r="AH147" s="22">
        <f>IFERROR(('Activity data'!AH90*(1/Constants!$H$135))*ttokg*FracLEACH*MSLeachEF*NtoN2O*kgtoGg,"NO")</f>
        <v>1.7068986426804648E-2</v>
      </c>
      <c r="AI147" s="22">
        <f>IFERROR(('Activity data'!AI90*(1/Constants!$H$135))*ttokg*FracLEACH*MSLeachEF*NtoN2O*kgtoGg,"NO")</f>
        <v>1.7108175186323554E-2</v>
      </c>
      <c r="AJ147" s="22">
        <f>IFERROR(('Activity data'!AJ90*(1/Constants!$H$135))*ttokg*FracLEACH*MSLeachEF*NtoN2O*kgtoGg,"NO")</f>
        <v>1.7147363945842466E-2</v>
      </c>
      <c r="AK147" s="22">
        <f>IFERROR(('Activity data'!AK90*(1/Constants!$H$135))*ttokg*FracLEACH*MSLeachEF*NtoN2O*kgtoGg,"NO")</f>
        <v>1.7186552705361371E-2</v>
      </c>
      <c r="AL147" s="22">
        <f>IFERROR(('Activity data'!AL90*(1/Constants!$H$135))*ttokg*FracLEACH*MSLeachEF*NtoN2O*kgtoGg,"NO")</f>
        <v>1.7225741464880276E-2</v>
      </c>
      <c r="AM147" s="22">
        <f>IFERROR(('Activity data'!AM90*(1/Constants!$H$135))*ttokg*FracLEACH*MSLeachEF*NtoN2O*kgtoGg,"NO")</f>
        <v>1.7264930224399191E-2</v>
      </c>
      <c r="AN147" s="22">
        <f>IFERROR(('Activity data'!AN90*(1/Constants!$H$135))*ttokg*FracLEACH*MSLeachEF*NtoN2O*kgtoGg,"NO")</f>
        <v>1.7304118983918097E-2</v>
      </c>
      <c r="AO147" s="22">
        <f>IFERROR(('Activity data'!AO90*(1/Constants!$H$135))*ttokg*FracLEACH*MSLeachEF*NtoN2O*kgtoGg,"NO")</f>
        <v>1.7343307743437009E-2</v>
      </c>
      <c r="AP147" s="22">
        <f>IFERROR(('Activity data'!AP90*(1/Constants!$H$135))*ttokg*FracLEACH*MSLeachEF*NtoN2O*kgtoGg,"NO")</f>
        <v>1.7382496502955917E-2</v>
      </c>
      <c r="AQ147" s="22">
        <f>IFERROR(('Activity data'!AQ90*(1/Constants!$H$135))*ttokg*FracLEACH*MSLeachEF*NtoN2O*kgtoGg,"NO")</f>
        <v>1.7421685262474829E-2</v>
      </c>
      <c r="AR147" s="22">
        <f>IFERROR(('Activity data'!AR90*(1/Constants!$H$135))*ttokg*FracLEACH*MSLeachEF*NtoN2O*kgtoGg,"NO")</f>
        <v>1.7460874021993734E-2</v>
      </c>
      <c r="AS147" s="22">
        <f>IFERROR(('Activity data'!AS90*(1/Constants!$H$135))*ttokg*FracLEACH*MSLeachEF*NtoN2O*kgtoGg,"NO")</f>
        <v>1.750006278151265E-2</v>
      </c>
      <c r="AT147" s="22">
        <f>IFERROR(('Activity data'!AT90*(1/Constants!$H$135))*ttokg*FracLEACH*MSLeachEF*NtoN2O*kgtoGg,"NO")</f>
        <v>1.7539251541031548E-2</v>
      </c>
      <c r="AU147" s="22">
        <f>IFERROR(('Activity data'!AU90*(1/Constants!$H$135))*ttokg*FracLEACH*MSLeachEF*NtoN2O*kgtoGg,"NO")</f>
        <v>1.7578440300550464E-2</v>
      </c>
      <c r="AV147" s="22">
        <f>IFERROR(('Activity data'!AV90*(1/Constants!$H$135))*ttokg*FracLEACH*MSLeachEF*NtoN2O*kgtoGg,"NO")</f>
        <v>1.7617629060069376E-2</v>
      </c>
      <c r="AW147" s="22">
        <f>IFERROR(('Activity data'!AW90*(1/Constants!$H$135))*ttokg*FracLEACH*MSLeachEF*NtoN2O*kgtoGg,"NO")</f>
        <v>1.7656817819588281E-2</v>
      </c>
      <c r="AX147" s="22">
        <f>IFERROR(('Activity data'!AX90*(1/Constants!$H$135))*ttokg*FracLEACH*MSLeachEF*NtoN2O*kgtoGg,"NO")</f>
        <v>1.769600657910719E-2</v>
      </c>
      <c r="AY147" s="22">
        <f>IFERROR(('Activity data'!AY90*(1/Constants!$H$135))*ttokg*FracLEACH*MSLeachEF*NtoN2O*kgtoGg,"NO")</f>
        <v>1.7735195338626102E-2</v>
      </c>
      <c r="AZ147" s="22">
        <f>IFERROR(('Activity data'!AZ90*(1/Constants!$H$135))*ttokg*FracLEACH*MSLeachEF*NtoN2O*kgtoGg,"NO")</f>
        <v>1.777438409814501E-2</v>
      </c>
      <c r="BA147" s="22">
        <f>IFERROR(('Activity data'!BA90*(1/Constants!$H$135))*ttokg*FracLEACH*MSLeachEF*NtoN2O*kgtoGg,"NO")</f>
        <v>1.7813572857663919E-2</v>
      </c>
      <c r="BB147" s="22">
        <f>IFERROR(('Activity data'!BB90*(1/Constants!$H$135))*ttokg*FracLEACH*MSLeachEF*NtoN2O*kgtoGg,"NO")</f>
        <v>1.7852761617182831E-2</v>
      </c>
      <c r="BC147" s="22">
        <f>IFERROR(('Activity data'!BC90*(1/Constants!$H$135))*ttokg*FracLEACH*MSLeachEF*NtoN2O*kgtoGg,"NO")</f>
        <v>1.7891950376701736E-2</v>
      </c>
      <c r="BD147" s="22">
        <f>IFERROR(('Activity data'!BD90*(1/Constants!$H$135))*ttokg*FracLEACH*MSLeachEF*NtoN2O*kgtoGg,"NO")</f>
        <v>1.7931139136220645E-2</v>
      </c>
      <c r="BE147" s="22">
        <f>IFERROR(('Activity data'!BE90*(1/Constants!$H$135))*ttokg*FracLEACH*MSLeachEF*NtoN2O*kgtoGg,"NO")</f>
        <v>1.7970327895739557E-2</v>
      </c>
      <c r="BF147" s="22">
        <f>IFERROR(('Activity data'!BF90*(1/Constants!$H$135))*ttokg*FracLEACH*MSLeachEF*NtoN2O*kgtoGg,"NO")</f>
        <v>1.8009516655258465E-2</v>
      </c>
      <c r="BG147" s="22">
        <f>IFERROR(('Activity data'!BG90*(1/Constants!$H$135))*ttokg*FracLEACH*MSLeachEF*NtoN2O*kgtoGg,"NO")</f>
        <v>1.8048705414777374E-2</v>
      </c>
      <c r="BH147" s="22">
        <f>IFERROR(('Activity data'!BH90*(1/Constants!$H$135))*ttokg*FracLEACH*MSLeachEF*NtoN2O*kgtoGg,"NO")</f>
        <v>1.8087894174296286E-2</v>
      </c>
      <c r="BI147" s="22">
        <f>IFERROR(('Activity data'!BI90*(1/Constants!$H$135))*ttokg*FracLEACH*MSLeachEF*NtoN2O*kgtoGg,"NO")</f>
        <v>1.8127082933815188E-2</v>
      </c>
      <c r="BJ147" s="22">
        <f>IFERROR(('Activity data'!BJ90*(1/Constants!$H$135))*ttokg*FracLEACH*MSLeachEF*NtoN2O*kgtoGg,"NO")</f>
        <v>1.8166271693334096E-2</v>
      </c>
      <c r="BK147" s="22">
        <f>IFERROR(('Activity data'!BK90*(1/Constants!$H$135))*ttokg*FracLEACH*MSLeachEF*NtoN2O*kgtoGg,"NO")</f>
        <v>1.8205460452853015E-2</v>
      </c>
      <c r="BL147" s="22">
        <f>IFERROR(('Activity data'!BL90*(1/Constants!$H$135))*ttokg*FracLEACH*MSLeachEF*NtoN2O*kgtoGg,"NO")</f>
        <v>1.8244649212371917E-2</v>
      </c>
      <c r="BM147" s="22">
        <f>IFERROR(('Activity data'!BM90*(1/Constants!$H$135))*ttokg*FracLEACH*MSLeachEF*NtoN2O*kgtoGg,"NO")</f>
        <v>1.8283837971890825E-2</v>
      </c>
      <c r="BN147" s="22">
        <f>IFERROR(('Activity data'!BN90*(1/Constants!$H$135))*ttokg*FracLEACH*MSLeachEF*NtoN2O*kgtoGg,"NO")</f>
        <v>1.8323026731409734E-2</v>
      </c>
      <c r="BO147" s="22">
        <f>IFERROR(('Activity data'!BO90*(1/Constants!$H$135))*ttokg*FracLEACH*MSLeachEF*NtoN2O*kgtoGg,"NO")</f>
        <v>1.8362215490928643E-2</v>
      </c>
      <c r="BP147" s="22">
        <f>IFERROR(('Activity data'!BP90*(1/Constants!$H$135))*ttokg*FracLEACH*MSLeachEF*NtoN2O*kgtoGg,"NO")</f>
        <v>1.8401404250447555E-2</v>
      </c>
    </row>
    <row r="148" spans="1:68" x14ac:dyDescent="0.25">
      <c r="A148" t="str">
        <f t="shared" si="58"/>
        <v>3C Aggregated and non-CO2 emissions on land</v>
      </c>
      <c r="B148" t="str">
        <f t="shared" si="59"/>
        <v>3C5 Indirect N2O from managed soils (N2O)</v>
      </c>
      <c r="C148" t="str">
        <f t="shared" si="54"/>
        <v>Leaching/runoff</v>
      </c>
      <c r="D148" t="str">
        <f>" - FSOM - "&amp;'Activity data'!D91</f>
        <v xml:space="preserve"> - FSOM - Grassland remaining grassland</v>
      </c>
      <c r="E148" t="str">
        <f t="shared" si="60"/>
        <v>Leaching/runoff - FSOM - Grassland remaining grassland</v>
      </c>
      <c r="F148" t="str">
        <f t="shared" si="47"/>
        <v>N2O</v>
      </c>
      <c r="G148" t="str">
        <f t="shared" si="48"/>
        <v>Gg N2O</v>
      </c>
      <c r="H148" s="22" t="str">
        <f>IFERROR(('Activity data'!H91*(1/Constants!$H$135))*ttokg*FracLEACH*MSLeachEF*NtoN2O*kgtoGg,"NO")</f>
        <v>NO</v>
      </c>
      <c r="I148" s="22">
        <f>IFERROR(('Activity data'!I91*(1/Constants!$H$135))*ttokg*FracLEACH*MSLeachEF*NtoN2O*kgtoGg,"NO")</f>
        <v>1.7600065075023016E-3</v>
      </c>
      <c r="J148" s="22">
        <f>IFERROR(('Activity data'!J91*(1/Constants!$H$135))*ttokg*FracLEACH*MSLeachEF*NtoN2O*kgtoGg,"NO")</f>
        <v>1.7600065075023016E-3</v>
      </c>
      <c r="K148" s="22">
        <f>IFERROR(('Activity data'!K91*(1/Constants!$H$135))*ttokg*FracLEACH*MSLeachEF*NtoN2O*kgtoGg,"NO")</f>
        <v>1.7600065075023016E-3</v>
      </c>
      <c r="L148" s="22">
        <f>IFERROR(('Activity data'!L91*(1/Constants!$H$135))*ttokg*FracLEACH*MSLeachEF*NtoN2O*kgtoGg,"NO")</f>
        <v>1.7600065075023016E-3</v>
      </c>
      <c r="M148" s="22">
        <f>IFERROR(('Activity data'!M91*(1/Constants!$H$135))*ttokg*FracLEACH*MSLeachEF*NtoN2O*kgtoGg,"NO")</f>
        <v>1.7600065075023016E-3</v>
      </c>
      <c r="N148" s="22">
        <f>IFERROR(('Activity data'!N91*(1/Constants!$H$135))*ttokg*FracLEACH*MSLeachEF*NtoN2O*kgtoGg,"NO")</f>
        <v>1.7600065075023016E-3</v>
      </c>
      <c r="O148" s="22">
        <f>IFERROR(('Activity data'!O91*(1/Constants!$H$135))*ttokg*FracLEACH*MSLeachEF*NtoN2O*kgtoGg,"NO")</f>
        <v>1.7600065075023016E-3</v>
      </c>
      <c r="P148" s="22">
        <f>IFERROR(('Activity data'!P91*(1/Constants!$H$135))*ttokg*FracLEACH*MSLeachEF*NtoN2O*kgtoGg,"NO")</f>
        <v>1.7600065075023016E-3</v>
      </c>
      <c r="Q148" s="22">
        <f>IFERROR(('Activity data'!Q91*(1/Constants!$H$135))*ttokg*FracLEACH*MSLeachEF*NtoN2O*kgtoGg,"NO")</f>
        <v>1.7600065075023016E-3</v>
      </c>
      <c r="R148" s="22">
        <f>IFERROR(('Activity data'!R91*(1/Constants!$H$135))*ttokg*FracLEACH*MSLeachEF*NtoN2O*kgtoGg,"NO")</f>
        <v>1.7600065075023016E-3</v>
      </c>
      <c r="S148" s="22">
        <f>IFERROR(('Activity data'!S91*(1/Constants!$H$135))*ttokg*FracLEACH*MSLeachEF*NtoN2O*kgtoGg,"NO")</f>
        <v>1.7600065075023016E-3</v>
      </c>
      <c r="T148" s="22">
        <f>IFERROR(('Activity data'!T91*(1/Constants!$H$135))*ttokg*FracLEACH*MSLeachEF*NtoN2O*kgtoGg,"NO")</f>
        <v>1.7600065075023016E-3</v>
      </c>
      <c r="U148" s="22">
        <f>IFERROR(('Activity data'!U91*(1/Constants!$H$135))*ttokg*FracLEACH*MSLeachEF*NtoN2O*kgtoGg,"NO")</f>
        <v>1.7600065075023016E-3</v>
      </c>
      <c r="V148" s="22">
        <f>IFERROR(('Activity data'!V91*(1/Constants!$H$135))*ttokg*FracLEACH*MSLeachEF*NtoN2O*kgtoGg,"NO")</f>
        <v>1.7600065075023016E-3</v>
      </c>
      <c r="W148" s="22">
        <f>IFERROR(('Activity data'!W91*(1/Constants!$H$135))*ttokg*FracLEACH*MSLeachEF*NtoN2O*kgtoGg,"NO")</f>
        <v>1.7600065075023016E-3</v>
      </c>
      <c r="X148" s="22">
        <f>IFERROR(('Activity data'!X91*(1/Constants!$H$135))*ttokg*FracLEACH*MSLeachEF*NtoN2O*kgtoGg,"NO")</f>
        <v>1.7600065075023016E-3</v>
      </c>
      <c r="Y148" s="22">
        <f>IFERROR(('Activity data'!Y91*(1/Constants!$H$135))*ttokg*FracLEACH*MSLeachEF*NtoN2O*kgtoGg,"NO")</f>
        <v>1.7600065075023016E-3</v>
      </c>
      <c r="Z148" s="22">
        <f>IFERROR(('Activity data'!Z91*(1/Constants!$H$135))*ttokg*FracLEACH*MSLeachEF*NtoN2O*kgtoGg,"NO")</f>
        <v>1.7600065075023016E-3</v>
      </c>
      <c r="AA148" s="22">
        <f>IFERROR(('Activity data'!AA91*(1/Constants!$H$135))*ttokg*FracLEACH*MSLeachEF*NtoN2O*kgtoGg,"NO")</f>
        <v>1.7600065075023016E-3</v>
      </c>
      <c r="AB148" s="22">
        <f>IFERROR(('Activity data'!AB91*(1/Constants!$H$135))*ttokg*FracLEACH*MSLeachEF*NtoN2O*kgtoGg,"NO")</f>
        <v>1.7600065075023016E-3</v>
      </c>
      <c r="AC148" s="22">
        <f>IFERROR(('Activity data'!AC91*(1/Constants!$H$135))*ttokg*FracLEACH*MSLeachEF*NtoN2O*kgtoGg,"NO")</f>
        <v>1.7600065075023016E-3</v>
      </c>
      <c r="AD148" s="22">
        <f>IFERROR(('Activity data'!AD91*(1/Constants!$H$135))*ttokg*FracLEACH*MSLeachEF*NtoN2O*kgtoGg,"NO")</f>
        <v>1.9871041213735664E-2</v>
      </c>
      <c r="AE148" s="22">
        <f>IFERROR(('Activity data'!AE91*(1/Constants!$H$135))*ttokg*FracLEACH*MSLeachEF*NtoN2O*kgtoGg,"NO")</f>
        <v>1.9871041213735664E-2</v>
      </c>
      <c r="AF148" s="22">
        <f>IFERROR(('Activity data'!AF91*(1/Constants!$H$135))*ttokg*FracLEACH*MSLeachEF*NtoN2O*kgtoGg,"NO")</f>
        <v>1.9871041213735664E-2</v>
      </c>
      <c r="AG148" s="22">
        <f>IFERROR(('Activity data'!AG91*(1/Constants!$H$135))*ttokg*FracLEACH*MSLeachEF*NtoN2O*kgtoGg,"NO")</f>
        <v>1.9871041213735664E-2</v>
      </c>
      <c r="AH148" s="22">
        <f>IFERROR(('Activity data'!AH91*(1/Constants!$H$135))*ttokg*FracLEACH*MSLeachEF*NtoN2O*kgtoGg,"NO")</f>
        <v>1.9871041213735664E-2</v>
      </c>
      <c r="AI148" s="22">
        <f>IFERROR(('Activity data'!AI91*(1/Constants!$H$135))*ttokg*FracLEACH*MSLeachEF*NtoN2O*kgtoGg,"NO")</f>
        <v>1.9871041213735664E-2</v>
      </c>
      <c r="AJ148" s="22">
        <f>IFERROR(('Activity data'!AJ91*(1/Constants!$H$135))*ttokg*FracLEACH*MSLeachEF*NtoN2O*kgtoGg,"NO")</f>
        <v>1.9871041213735664E-2</v>
      </c>
      <c r="AK148" s="22">
        <f>IFERROR(('Activity data'!AK91*(1/Constants!$H$135))*ttokg*FracLEACH*MSLeachEF*NtoN2O*kgtoGg,"NO")</f>
        <v>1.9871041213735664E-2</v>
      </c>
      <c r="AL148" s="22">
        <f>IFERROR(('Activity data'!AL91*(1/Constants!$H$135))*ttokg*FracLEACH*MSLeachEF*NtoN2O*kgtoGg,"NO")</f>
        <v>1.9871041213735664E-2</v>
      </c>
      <c r="AM148" s="22">
        <f>IFERROR(('Activity data'!AM91*(1/Constants!$H$135))*ttokg*FracLEACH*MSLeachEF*NtoN2O*kgtoGg,"NO")</f>
        <v>1.9871041213735664E-2</v>
      </c>
      <c r="AN148" s="22">
        <f>IFERROR(('Activity data'!AN91*(1/Constants!$H$135))*ttokg*FracLEACH*MSLeachEF*NtoN2O*kgtoGg,"NO")</f>
        <v>1.9871041213735664E-2</v>
      </c>
      <c r="AO148" s="22">
        <f>IFERROR(('Activity data'!AO91*(1/Constants!$H$135))*ttokg*FracLEACH*MSLeachEF*NtoN2O*kgtoGg,"NO")</f>
        <v>1.9871041213735664E-2</v>
      </c>
      <c r="AP148" s="22">
        <f>IFERROR(('Activity data'!AP91*(1/Constants!$H$135))*ttokg*FracLEACH*MSLeachEF*NtoN2O*kgtoGg,"NO")</f>
        <v>1.9871041213735664E-2</v>
      </c>
      <c r="AQ148" s="22">
        <f>IFERROR(('Activity data'!AQ91*(1/Constants!$H$135))*ttokg*FracLEACH*MSLeachEF*NtoN2O*kgtoGg,"NO")</f>
        <v>1.9871041213735664E-2</v>
      </c>
      <c r="AR148" s="22">
        <f>IFERROR(('Activity data'!AR91*(1/Constants!$H$135))*ttokg*FracLEACH*MSLeachEF*NtoN2O*kgtoGg,"NO")</f>
        <v>1.9871041213735664E-2</v>
      </c>
      <c r="AS148" s="22">
        <f>IFERROR(('Activity data'!AS91*(1/Constants!$H$135))*ttokg*FracLEACH*MSLeachEF*NtoN2O*kgtoGg,"NO")</f>
        <v>1.9871041213735664E-2</v>
      </c>
      <c r="AT148" s="22">
        <f>IFERROR(('Activity data'!AT91*(1/Constants!$H$135))*ttokg*FracLEACH*MSLeachEF*NtoN2O*kgtoGg,"NO")</f>
        <v>1.9871041213735664E-2</v>
      </c>
      <c r="AU148" s="22">
        <f>IFERROR(('Activity data'!AU91*(1/Constants!$H$135))*ttokg*FracLEACH*MSLeachEF*NtoN2O*kgtoGg,"NO")</f>
        <v>1.9871041213735664E-2</v>
      </c>
      <c r="AV148" s="22">
        <f>IFERROR(('Activity data'!AV91*(1/Constants!$H$135))*ttokg*FracLEACH*MSLeachEF*NtoN2O*kgtoGg,"NO")</f>
        <v>1.9871041213735664E-2</v>
      </c>
      <c r="AW148" s="22">
        <f>IFERROR(('Activity data'!AW91*(1/Constants!$H$135))*ttokg*FracLEACH*MSLeachEF*NtoN2O*kgtoGg,"NO")</f>
        <v>1.9871041213735664E-2</v>
      </c>
      <c r="AX148" s="22">
        <f>IFERROR(('Activity data'!AX91*(1/Constants!$H$135))*ttokg*FracLEACH*MSLeachEF*NtoN2O*kgtoGg,"NO")</f>
        <v>1.9871041213735664E-2</v>
      </c>
      <c r="AY148" s="22">
        <f>IFERROR(('Activity data'!AY91*(1/Constants!$H$135))*ttokg*FracLEACH*MSLeachEF*NtoN2O*kgtoGg,"NO")</f>
        <v>1.9871041213735664E-2</v>
      </c>
      <c r="AZ148" s="22">
        <f>IFERROR(('Activity data'!AZ91*(1/Constants!$H$135))*ttokg*FracLEACH*MSLeachEF*NtoN2O*kgtoGg,"NO")</f>
        <v>1.9871041213735664E-2</v>
      </c>
      <c r="BA148" s="22">
        <f>IFERROR(('Activity data'!BA91*(1/Constants!$H$135))*ttokg*FracLEACH*MSLeachEF*NtoN2O*kgtoGg,"NO")</f>
        <v>1.9871041213735664E-2</v>
      </c>
      <c r="BB148" s="22">
        <f>IFERROR(('Activity data'!BB91*(1/Constants!$H$135))*ttokg*FracLEACH*MSLeachEF*NtoN2O*kgtoGg,"NO")</f>
        <v>1.9871041213735664E-2</v>
      </c>
      <c r="BC148" s="22">
        <f>IFERROR(('Activity data'!BC91*(1/Constants!$H$135))*ttokg*FracLEACH*MSLeachEF*NtoN2O*kgtoGg,"NO")</f>
        <v>1.9871041213735664E-2</v>
      </c>
      <c r="BD148" s="22">
        <f>IFERROR(('Activity data'!BD91*(1/Constants!$H$135))*ttokg*FracLEACH*MSLeachEF*NtoN2O*kgtoGg,"NO")</f>
        <v>1.9871041213735664E-2</v>
      </c>
      <c r="BE148" s="22">
        <f>IFERROR(('Activity data'!BE91*(1/Constants!$H$135))*ttokg*FracLEACH*MSLeachEF*NtoN2O*kgtoGg,"NO")</f>
        <v>1.9871041213735664E-2</v>
      </c>
      <c r="BF148" s="22">
        <f>IFERROR(('Activity data'!BF91*(1/Constants!$H$135))*ttokg*FracLEACH*MSLeachEF*NtoN2O*kgtoGg,"NO")</f>
        <v>1.9871041213735664E-2</v>
      </c>
      <c r="BG148" s="22">
        <f>IFERROR(('Activity data'!BG91*(1/Constants!$H$135))*ttokg*FracLEACH*MSLeachEF*NtoN2O*kgtoGg,"NO")</f>
        <v>1.9871041213735664E-2</v>
      </c>
      <c r="BH148" s="22">
        <f>IFERROR(('Activity data'!BH91*(1/Constants!$H$135))*ttokg*FracLEACH*MSLeachEF*NtoN2O*kgtoGg,"NO")</f>
        <v>1.9871041213735664E-2</v>
      </c>
      <c r="BI148" s="22">
        <f>IFERROR(('Activity data'!BI91*(1/Constants!$H$135))*ttokg*FracLEACH*MSLeachEF*NtoN2O*kgtoGg,"NO")</f>
        <v>1.9871041213735664E-2</v>
      </c>
      <c r="BJ148" s="22">
        <f>IFERROR(('Activity data'!BJ91*(1/Constants!$H$135))*ttokg*FracLEACH*MSLeachEF*NtoN2O*kgtoGg,"NO")</f>
        <v>1.9871041213735664E-2</v>
      </c>
      <c r="BK148" s="22">
        <f>IFERROR(('Activity data'!BK91*(1/Constants!$H$135))*ttokg*FracLEACH*MSLeachEF*NtoN2O*kgtoGg,"NO")</f>
        <v>1.9871041213735664E-2</v>
      </c>
      <c r="BL148" s="22">
        <f>IFERROR(('Activity data'!BL91*(1/Constants!$H$135))*ttokg*FracLEACH*MSLeachEF*NtoN2O*kgtoGg,"NO")</f>
        <v>1.9871041213735664E-2</v>
      </c>
      <c r="BM148" s="22">
        <f>IFERROR(('Activity data'!BM91*(1/Constants!$H$135))*ttokg*FracLEACH*MSLeachEF*NtoN2O*kgtoGg,"NO")</f>
        <v>1.9871041213735664E-2</v>
      </c>
      <c r="BN148" s="22">
        <f>IFERROR(('Activity data'!BN91*(1/Constants!$H$135))*ttokg*FracLEACH*MSLeachEF*NtoN2O*kgtoGg,"NO")</f>
        <v>1.9871041213735664E-2</v>
      </c>
      <c r="BO148" s="22">
        <f>IFERROR(('Activity data'!BO91*(1/Constants!$H$135))*ttokg*FracLEACH*MSLeachEF*NtoN2O*kgtoGg,"NO")</f>
        <v>1.9871041213735664E-2</v>
      </c>
      <c r="BP148" s="22">
        <f>IFERROR(('Activity data'!BP91*(1/Constants!$H$135))*ttokg*FracLEACH*MSLeachEF*NtoN2O*kgtoGg,"NO")</f>
        <v>1.9871041213735664E-2</v>
      </c>
    </row>
    <row r="149" spans="1:68" x14ac:dyDescent="0.25">
      <c r="A149" t="str">
        <f t="shared" si="58"/>
        <v>3C Aggregated and non-CO2 emissions on land</v>
      </c>
      <c r="B149" t="str">
        <f t="shared" si="59"/>
        <v>3C5 Indirect N2O from managed soils (N2O)</v>
      </c>
      <c r="C149" t="str">
        <f t="shared" si="54"/>
        <v>Leaching/runoff</v>
      </c>
      <c r="D149" t="str">
        <f>" - FSOM - "&amp;'Activity data'!D92</f>
        <v xml:space="preserve"> - FSOM - Land converted to grassland</v>
      </c>
      <c r="E149" t="str">
        <f t="shared" si="60"/>
        <v>Leaching/runoff - FSOM - Land converted to grassland</v>
      </c>
      <c r="F149" t="str">
        <f t="shared" si="47"/>
        <v>N2O</v>
      </c>
      <c r="G149" t="str">
        <f t="shared" si="48"/>
        <v>Gg N2O</v>
      </c>
      <c r="H149" s="22">
        <f>IFERROR(('Activity data'!H92*(1/Constants!$H$135))*ttokg*FracLEACH*MSLeachEF*NtoN2O*kgtoGg,"NO")</f>
        <v>0</v>
      </c>
      <c r="I149" s="22">
        <f>IFERROR(('Activity data'!I92*(1/Constants!$H$135))*ttokg*FracLEACH*MSLeachEF*NtoN2O*kgtoGg,"NO")</f>
        <v>1.9650467560735459E-5</v>
      </c>
      <c r="J149" s="22">
        <f>IFERROR(('Activity data'!J92*(1/Constants!$H$135))*ttokg*FracLEACH*MSLeachEF*NtoN2O*kgtoGg,"NO")</f>
        <v>1.9650467560735459E-5</v>
      </c>
      <c r="K149" s="22">
        <f>IFERROR(('Activity data'!K92*(1/Constants!$H$135))*ttokg*FracLEACH*MSLeachEF*NtoN2O*kgtoGg,"NO")</f>
        <v>1.9650467560735459E-5</v>
      </c>
      <c r="L149" s="22">
        <f>IFERROR(('Activity data'!L92*(1/Constants!$H$135))*ttokg*FracLEACH*MSLeachEF*NtoN2O*kgtoGg,"NO")</f>
        <v>1.9650467560735459E-5</v>
      </c>
      <c r="M149" s="22">
        <f>IFERROR(('Activity data'!M92*(1/Constants!$H$135))*ttokg*FracLEACH*MSLeachEF*NtoN2O*kgtoGg,"NO")</f>
        <v>1.9650467560735459E-5</v>
      </c>
      <c r="N149" s="22">
        <f>IFERROR(('Activity data'!N92*(1/Constants!$H$135))*ttokg*FracLEACH*MSLeachEF*NtoN2O*kgtoGg,"NO")</f>
        <v>1.9650467560735459E-5</v>
      </c>
      <c r="O149" s="22">
        <f>IFERROR(('Activity data'!O92*(1/Constants!$H$135))*ttokg*FracLEACH*MSLeachEF*NtoN2O*kgtoGg,"NO")</f>
        <v>1.9650467560735459E-5</v>
      </c>
      <c r="P149" s="22">
        <f>IFERROR(('Activity data'!P92*(1/Constants!$H$135))*ttokg*FracLEACH*MSLeachEF*NtoN2O*kgtoGg,"NO")</f>
        <v>1.9650467560735459E-5</v>
      </c>
      <c r="Q149" s="22">
        <f>IFERROR(('Activity data'!Q92*(1/Constants!$H$135))*ttokg*FracLEACH*MSLeachEF*NtoN2O*kgtoGg,"NO")</f>
        <v>1.9650467560735459E-5</v>
      </c>
      <c r="R149" s="22">
        <f>IFERROR(('Activity data'!R92*(1/Constants!$H$135))*ttokg*FracLEACH*MSLeachEF*NtoN2O*kgtoGg,"NO")</f>
        <v>1.9650467560735459E-5</v>
      </c>
      <c r="S149" s="22">
        <f>IFERROR(('Activity data'!S92*(1/Constants!$H$135))*ttokg*FracLEACH*MSLeachEF*NtoN2O*kgtoGg,"NO")</f>
        <v>1.9650467560735459E-5</v>
      </c>
      <c r="T149" s="22">
        <f>IFERROR(('Activity data'!T92*(1/Constants!$H$135))*ttokg*FracLEACH*MSLeachEF*NtoN2O*kgtoGg,"NO")</f>
        <v>1.9650467560735459E-5</v>
      </c>
      <c r="U149" s="22">
        <f>IFERROR(('Activity data'!U92*(1/Constants!$H$135))*ttokg*FracLEACH*MSLeachEF*NtoN2O*kgtoGg,"NO")</f>
        <v>1.9650467560735459E-5</v>
      </c>
      <c r="V149" s="22">
        <f>IFERROR(('Activity data'!V92*(1/Constants!$H$135))*ttokg*FracLEACH*MSLeachEF*NtoN2O*kgtoGg,"NO")</f>
        <v>1.9650467560735459E-5</v>
      </c>
      <c r="W149" s="22">
        <f>IFERROR(('Activity data'!W92*(1/Constants!$H$135))*ttokg*FracLEACH*MSLeachEF*NtoN2O*kgtoGg,"NO")</f>
        <v>1.9650467560735459E-5</v>
      </c>
      <c r="X149" s="22">
        <f>IFERROR(('Activity data'!X92*(1/Constants!$H$135))*ttokg*FracLEACH*MSLeachEF*NtoN2O*kgtoGg,"NO")</f>
        <v>1.9650467560735459E-5</v>
      </c>
      <c r="Y149" s="22">
        <f>IFERROR(('Activity data'!Y92*(1/Constants!$H$135))*ttokg*FracLEACH*MSLeachEF*NtoN2O*kgtoGg,"NO")</f>
        <v>1.9650467560735459E-5</v>
      </c>
      <c r="Z149" s="22">
        <f>IFERROR(('Activity data'!Z92*(1/Constants!$H$135))*ttokg*FracLEACH*MSLeachEF*NtoN2O*kgtoGg,"NO")</f>
        <v>1.9650467560735459E-5</v>
      </c>
      <c r="AA149" s="22">
        <f>IFERROR(('Activity data'!AA92*(1/Constants!$H$135))*ttokg*FracLEACH*MSLeachEF*NtoN2O*kgtoGg,"NO")</f>
        <v>1.9650467560735459E-5</v>
      </c>
      <c r="AB149" s="22">
        <f>IFERROR(('Activity data'!AB92*(1/Constants!$H$135))*ttokg*FracLEACH*MSLeachEF*NtoN2O*kgtoGg,"NO")</f>
        <v>1.9650467560735459E-5</v>
      </c>
      <c r="AC149" s="22">
        <f>IFERROR(('Activity data'!AC92*(1/Constants!$H$135))*ttokg*FracLEACH*MSLeachEF*NtoN2O*kgtoGg,"NO")</f>
        <v>1.9650467560735459E-5</v>
      </c>
      <c r="AD149" s="22" t="str">
        <f>IFERROR(('Activity data'!AD92*(1/Constants!$H$135))*ttokg*FracLEACH*MSLeachEF*NtoN2O*kgtoGg,"NO")</f>
        <v>NO</v>
      </c>
      <c r="AE149" s="22" t="str">
        <f>IFERROR(('Activity data'!AE92*(1/Constants!$H$135))*ttokg*FracLEACH*MSLeachEF*NtoN2O*kgtoGg,"NO")</f>
        <v>NO</v>
      </c>
      <c r="AF149" s="22" t="str">
        <f>IFERROR(('Activity data'!AF92*(1/Constants!$H$135))*ttokg*FracLEACH*MSLeachEF*NtoN2O*kgtoGg,"NO")</f>
        <v>NO</v>
      </c>
      <c r="AG149" s="22" t="str">
        <f>IFERROR(('Activity data'!AG92*(1/Constants!$H$135))*ttokg*FracLEACH*MSLeachEF*NtoN2O*kgtoGg,"NO")</f>
        <v>NO</v>
      </c>
      <c r="AH149" s="22" t="str">
        <f>IFERROR(('Activity data'!AH92*(1/Constants!$H$135))*ttokg*FracLEACH*MSLeachEF*NtoN2O*kgtoGg,"NO")</f>
        <v>NO</v>
      </c>
      <c r="AI149" s="22" t="str">
        <f>IFERROR(('Activity data'!AI92*(1/Constants!$H$135))*ttokg*FracLEACH*MSLeachEF*NtoN2O*kgtoGg,"NO")</f>
        <v>NO</v>
      </c>
      <c r="AJ149" s="22" t="str">
        <f>IFERROR(('Activity data'!AJ92*(1/Constants!$H$135))*ttokg*FracLEACH*MSLeachEF*NtoN2O*kgtoGg,"NO")</f>
        <v>NO</v>
      </c>
      <c r="AK149" s="22" t="str">
        <f>IFERROR(('Activity data'!AK92*(1/Constants!$H$135))*ttokg*FracLEACH*MSLeachEF*NtoN2O*kgtoGg,"NO")</f>
        <v>NO</v>
      </c>
      <c r="AL149" s="22" t="str">
        <f>IFERROR(('Activity data'!AL92*(1/Constants!$H$135))*ttokg*FracLEACH*MSLeachEF*NtoN2O*kgtoGg,"NO")</f>
        <v>NO</v>
      </c>
      <c r="AM149" s="22" t="str">
        <f>IFERROR(('Activity data'!AM92*(1/Constants!$H$135))*ttokg*FracLEACH*MSLeachEF*NtoN2O*kgtoGg,"NO")</f>
        <v>NO</v>
      </c>
      <c r="AN149" s="22" t="str">
        <f>IFERROR(('Activity data'!AN92*(1/Constants!$H$135))*ttokg*FracLEACH*MSLeachEF*NtoN2O*kgtoGg,"NO")</f>
        <v>NO</v>
      </c>
      <c r="AO149" s="22" t="str">
        <f>IFERROR(('Activity data'!AO92*(1/Constants!$H$135))*ttokg*FracLEACH*MSLeachEF*NtoN2O*kgtoGg,"NO")</f>
        <v>NO</v>
      </c>
      <c r="AP149" s="22" t="str">
        <f>IFERROR(('Activity data'!AP92*(1/Constants!$H$135))*ttokg*FracLEACH*MSLeachEF*NtoN2O*kgtoGg,"NO")</f>
        <v>NO</v>
      </c>
      <c r="AQ149" s="22" t="str">
        <f>IFERROR(('Activity data'!AQ92*(1/Constants!$H$135))*ttokg*FracLEACH*MSLeachEF*NtoN2O*kgtoGg,"NO")</f>
        <v>NO</v>
      </c>
      <c r="AR149" s="22" t="str">
        <f>IFERROR(('Activity data'!AR92*(1/Constants!$H$135))*ttokg*FracLEACH*MSLeachEF*NtoN2O*kgtoGg,"NO")</f>
        <v>NO</v>
      </c>
      <c r="AS149" s="22" t="str">
        <f>IFERROR(('Activity data'!AS92*(1/Constants!$H$135))*ttokg*FracLEACH*MSLeachEF*NtoN2O*kgtoGg,"NO")</f>
        <v>NO</v>
      </c>
      <c r="AT149" s="22" t="str">
        <f>IFERROR(('Activity data'!AT92*(1/Constants!$H$135))*ttokg*FracLEACH*MSLeachEF*NtoN2O*kgtoGg,"NO")</f>
        <v>NO</v>
      </c>
      <c r="AU149" s="22" t="str">
        <f>IFERROR(('Activity data'!AU92*(1/Constants!$H$135))*ttokg*FracLEACH*MSLeachEF*NtoN2O*kgtoGg,"NO")</f>
        <v>NO</v>
      </c>
      <c r="AV149" s="22" t="str">
        <f>IFERROR(('Activity data'!AV92*(1/Constants!$H$135))*ttokg*FracLEACH*MSLeachEF*NtoN2O*kgtoGg,"NO")</f>
        <v>NO</v>
      </c>
      <c r="AW149" s="22" t="str">
        <f>IFERROR(('Activity data'!AW92*(1/Constants!$H$135))*ttokg*FracLEACH*MSLeachEF*NtoN2O*kgtoGg,"NO")</f>
        <v>NO</v>
      </c>
      <c r="AX149" s="22" t="str">
        <f>IFERROR(('Activity data'!AX92*(1/Constants!$H$135))*ttokg*FracLEACH*MSLeachEF*NtoN2O*kgtoGg,"NO")</f>
        <v>NO</v>
      </c>
      <c r="AY149" s="22" t="str">
        <f>IFERROR(('Activity data'!AY92*(1/Constants!$H$135))*ttokg*FracLEACH*MSLeachEF*NtoN2O*kgtoGg,"NO")</f>
        <v>NO</v>
      </c>
      <c r="AZ149" s="22" t="str">
        <f>IFERROR(('Activity data'!AZ92*(1/Constants!$H$135))*ttokg*FracLEACH*MSLeachEF*NtoN2O*kgtoGg,"NO")</f>
        <v>NO</v>
      </c>
      <c r="BA149" s="22" t="str">
        <f>IFERROR(('Activity data'!BA92*(1/Constants!$H$135))*ttokg*FracLEACH*MSLeachEF*NtoN2O*kgtoGg,"NO")</f>
        <v>NO</v>
      </c>
      <c r="BB149" s="22" t="str">
        <f>IFERROR(('Activity data'!BB92*(1/Constants!$H$135))*ttokg*FracLEACH*MSLeachEF*NtoN2O*kgtoGg,"NO")</f>
        <v>NO</v>
      </c>
      <c r="BC149" s="22" t="str">
        <f>IFERROR(('Activity data'!BC92*(1/Constants!$H$135))*ttokg*FracLEACH*MSLeachEF*NtoN2O*kgtoGg,"NO")</f>
        <v>NO</v>
      </c>
      <c r="BD149" s="22" t="str">
        <f>IFERROR(('Activity data'!BD92*(1/Constants!$H$135))*ttokg*FracLEACH*MSLeachEF*NtoN2O*kgtoGg,"NO")</f>
        <v>NO</v>
      </c>
      <c r="BE149" s="22" t="str">
        <f>IFERROR(('Activity data'!BE92*(1/Constants!$H$135))*ttokg*FracLEACH*MSLeachEF*NtoN2O*kgtoGg,"NO")</f>
        <v>NO</v>
      </c>
      <c r="BF149" s="22" t="str">
        <f>IFERROR(('Activity data'!BF92*(1/Constants!$H$135))*ttokg*FracLEACH*MSLeachEF*NtoN2O*kgtoGg,"NO")</f>
        <v>NO</v>
      </c>
      <c r="BG149" s="22" t="str">
        <f>IFERROR(('Activity data'!BG92*(1/Constants!$H$135))*ttokg*FracLEACH*MSLeachEF*NtoN2O*kgtoGg,"NO")</f>
        <v>NO</v>
      </c>
      <c r="BH149" s="22" t="str">
        <f>IFERROR(('Activity data'!BH92*(1/Constants!$H$135))*ttokg*FracLEACH*MSLeachEF*NtoN2O*kgtoGg,"NO")</f>
        <v>NO</v>
      </c>
      <c r="BI149" s="22" t="str">
        <f>IFERROR(('Activity data'!BI92*(1/Constants!$H$135))*ttokg*FracLEACH*MSLeachEF*NtoN2O*kgtoGg,"NO")</f>
        <v>NO</v>
      </c>
      <c r="BJ149" s="22" t="str">
        <f>IFERROR(('Activity data'!BJ92*(1/Constants!$H$135))*ttokg*FracLEACH*MSLeachEF*NtoN2O*kgtoGg,"NO")</f>
        <v>NO</v>
      </c>
      <c r="BK149" s="22" t="str">
        <f>IFERROR(('Activity data'!BK92*(1/Constants!$H$135))*ttokg*FracLEACH*MSLeachEF*NtoN2O*kgtoGg,"NO")</f>
        <v>NO</v>
      </c>
      <c r="BL149" s="22" t="str">
        <f>IFERROR(('Activity data'!BL92*(1/Constants!$H$135))*ttokg*FracLEACH*MSLeachEF*NtoN2O*kgtoGg,"NO")</f>
        <v>NO</v>
      </c>
      <c r="BM149" s="22" t="str">
        <f>IFERROR(('Activity data'!BM92*(1/Constants!$H$135))*ttokg*FracLEACH*MSLeachEF*NtoN2O*kgtoGg,"NO")</f>
        <v>NO</v>
      </c>
      <c r="BN149" s="22" t="str">
        <f>IFERROR(('Activity data'!BN92*(1/Constants!$H$135))*ttokg*FracLEACH*MSLeachEF*NtoN2O*kgtoGg,"NO")</f>
        <v>NO</v>
      </c>
      <c r="BO149" s="22" t="str">
        <f>IFERROR(('Activity data'!BO92*(1/Constants!$H$135))*ttokg*FracLEACH*MSLeachEF*NtoN2O*kgtoGg,"NO")</f>
        <v>NO</v>
      </c>
      <c r="BP149" s="22" t="str">
        <f>IFERROR(('Activity data'!BP92*(1/Constants!$H$135))*ttokg*FracLEACH*MSLeachEF*NtoN2O*kgtoGg,"NO")</f>
        <v>NO</v>
      </c>
    </row>
    <row r="150" spans="1:68" x14ac:dyDescent="0.25">
      <c r="A150" t="str">
        <f t="shared" si="58"/>
        <v>3C Aggregated and non-CO2 emissions on land</v>
      </c>
      <c r="B150" t="str">
        <f t="shared" si="59"/>
        <v>3C5 Indirect N2O from managed soils (N2O)</v>
      </c>
      <c r="C150" t="str">
        <f t="shared" si="54"/>
        <v>Leaching/runoff</v>
      </c>
      <c r="D150" t="str">
        <f>" - FSOM - "&amp;'Activity data'!D93</f>
        <v xml:space="preserve"> - FSOM - Wetland remaining wetland</v>
      </c>
      <c r="E150" t="str">
        <f t="shared" si="60"/>
        <v>Leaching/runoff - FSOM - Wetland remaining wetland</v>
      </c>
      <c r="F150" t="str">
        <f t="shared" si="47"/>
        <v>N2O</v>
      </c>
      <c r="G150" t="str">
        <f t="shared" si="48"/>
        <v>Gg N2O</v>
      </c>
      <c r="H150" s="22" t="str">
        <f>IFERROR(('Activity data'!H93*(1/Constants!$H$135))*ttokg*FracLEACH*MSLeachEF*NtoN2O*kgtoGg,"NO")</f>
        <v>NO</v>
      </c>
      <c r="I150" s="22" t="str">
        <f>IFERROR(('Activity data'!I93*(1/Constants!$H$135))*ttokg*FracLEACH*MSLeachEF*NtoN2O*kgtoGg,"NO")</f>
        <v>NO</v>
      </c>
      <c r="J150" s="22" t="str">
        <f>IFERROR(('Activity data'!J93*(1/Constants!$H$135))*ttokg*FracLEACH*MSLeachEF*NtoN2O*kgtoGg,"NO")</f>
        <v>NO</v>
      </c>
      <c r="K150" s="22" t="str">
        <f>IFERROR(('Activity data'!K93*(1/Constants!$H$135))*ttokg*FracLEACH*MSLeachEF*NtoN2O*kgtoGg,"NO")</f>
        <v>NO</v>
      </c>
      <c r="L150" s="22" t="str">
        <f>IFERROR(('Activity data'!L93*(1/Constants!$H$135))*ttokg*FracLEACH*MSLeachEF*NtoN2O*kgtoGg,"NO")</f>
        <v>NO</v>
      </c>
      <c r="M150" s="22" t="str">
        <f>IFERROR(('Activity data'!M93*(1/Constants!$H$135))*ttokg*FracLEACH*MSLeachEF*NtoN2O*kgtoGg,"NO")</f>
        <v>NO</v>
      </c>
      <c r="N150" s="22" t="str">
        <f>IFERROR(('Activity data'!N93*(1/Constants!$H$135))*ttokg*FracLEACH*MSLeachEF*NtoN2O*kgtoGg,"NO")</f>
        <v>NO</v>
      </c>
      <c r="O150" s="22" t="str">
        <f>IFERROR(('Activity data'!O93*(1/Constants!$H$135))*ttokg*FracLEACH*MSLeachEF*NtoN2O*kgtoGg,"NO")</f>
        <v>NO</v>
      </c>
      <c r="P150" s="22" t="str">
        <f>IFERROR(('Activity data'!P93*(1/Constants!$H$135))*ttokg*FracLEACH*MSLeachEF*NtoN2O*kgtoGg,"NO")</f>
        <v>NO</v>
      </c>
      <c r="Q150" s="22" t="str">
        <f>IFERROR(('Activity data'!Q93*(1/Constants!$H$135))*ttokg*FracLEACH*MSLeachEF*NtoN2O*kgtoGg,"NO")</f>
        <v>NO</v>
      </c>
      <c r="R150" s="22" t="str">
        <f>IFERROR(('Activity data'!R93*(1/Constants!$H$135))*ttokg*FracLEACH*MSLeachEF*NtoN2O*kgtoGg,"NO")</f>
        <v>NO</v>
      </c>
      <c r="S150" s="22" t="str">
        <f>IFERROR(('Activity data'!S93*(1/Constants!$H$135))*ttokg*FracLEACH*MSLeachEF*NtoN2O*kgtoGg,"NO")</f>
        <v>NO</v>
      </c>
      <c r="T150" s="22" t="str">
        <f>IFERROR(('Activity data'!T93*(1/Constants!$H$135))*ttokg*FracLEACH*MSLeachEF*NtoN2O*kgtoGg,"NO")</f>
        <v>NO</v>
      </c>
      <c r="U150" s="22" t="str">
        <f>IFERROR(('Activity data'!U93*(1/Constants!$H$135))*ttokg*FracLEACH*MSLeachEF*NtoN2O*kgtoGg,"NO")</f>
        <v>NO</v>
      </c>
      <c r="V150" s="22" t="str">
        <f>IFERROR(('Activity data'!V93*(1/Constants!$H$135))*ttokg*FracLEACH*MSLeachEF*NtoN2O*kgtoGg,"NO")</f>
        <v>NO</v>
      </c>
      <c r="W150" s="22" t="str">
        <f>IFERROR(('Activity data'!W93*(1/Constants!$H$135))*ttokg*FracLEACH*MSLeachEF*NtoN2O*kgtoGg,"NO")</f>
        <v>NO</v>
      </c>
      <c r="X150" s="22" t="str">
        <f>IFERROR(('Activity data'!X93*(1/Constants!$H$135))*ttokg*FracLEACH*MSLeachEF*NtoN2O*kgtoGg,"NO")</f>
        <v>NO</v>
      </c>
      <c r="Y150" s="22" t="str">
        <f>IFERROR(('Activity data'!Y93*(1/Constants!$H$135))*ttokg*FracLEACH*MSLeachEF*NtoN2O*kgtoGg,"NO")</f>
        <v>NO</v>
      </c>
      <c r="Z150" s="22" t="str">
        <f>IFERROR(('Activity data'!Z93*(1/Constants!$H$135))*ttokg*FracLEACH*MSLeachEF*NtoN2O*kgtoGg,"NO")</f>
        <v>NO</v>
      </c>
      <c r="AA150" s="22" t="str">
        <f>IFERROR(('Activity data'!AA93*(1/Constants!$H$135))*ttokg*FracLEACH*MSLeachEF*NtoN2O*kgtoGg,"NO")</f>
        <v>NO</v>
      </c>
      <c r="AB150" s="22" t="str">
        <f>IFERROR(('Activity data'!AB93*(1/Constants!$H$135))*ttokg*FracLEACH*MSLeachEF*NtoN2O*kgtoGg,"NO")</f>
        <v>NO</v>
      </c>
      <c r="AC150" s="22" t="str">
        <f>IFERROR(('Activity data'!AC93*(1/Constants!$H$135))*ttokg*FracLEACH*MSLeachEF*NtoN2O*kgtoGg,"NO")</f>
        <v>NO</v>
      </c>
      <c r="AD150" s="22" t="str">
        <f>IFERROR(('Activity data'!AD93*(1/Constants!$H$135))*ttokg*FracLEACH*MSLeachEF*NtoN2O*kgtoGg,"NO")</f>
        <v>NO</v>
      </c>
      <c r="AE150" s="22" t="str">
        <f>IFERROR(('Activity data'!AE93*(1/Constants!$H$135))*ttokg*FracLEACH*MSLeachEF*NtoN2O*kgtoGg,"NO")</f>
        <v>NO</v>
      </c>
      <c r="AF150" s="22" t="str">
        <f>IFERROR(('Activity data'!AF93*(1/Constants!$H$135))*ttokg*FracLEACH*MSLeachEF*NtoN2O*kgtoGg,"NO")</f>
        <v>NO</v>
      </c>
      <c r="AG150" s="22" t="str">
        <f>IFERROR(('Activity data'!AG93*(1/Constants!$H$135))*ttokg*FracLEACH*MSLeachEF*NtoN2O*kgtoGg,"NO")</f>
        <v>NO</v>
      </c>
      <c r="AH150" s="22" t="str">
        <f>IFERROR(('Activity data'!AH93*(1/Constants!$H$135))*ttokg*FracLEACH*MSLeachEF*NtoN2O*kgtoGg,"NO")</f>
        <v>NO</v>
      </c>
      <c r="AI150" s="22" t="str">
        <f>IFERROR(('Activity data'!AI93*(1/Constants!$H$135))*ttokg*FracLEACH*MSLeachEF*NtoN2O*kgtoGg,"NO")</f>
        <v>NO</v>
      </c>
      <c r="AJ150" s="22" t="str">
        <f>IFERROR(('Activity data'!AJ93*(1/Constants!$H$135))*ttokg*FracLEACH*MSLeachEF*NtoN2O*kgtoGg,"NO")</f>
        <v>NO</v>
      </c>
      <c r="AK150" s="22" t="str">
        <f>IFERROR(('Activity data'!AK93*(1/Constants!$H$135))*ttokg*FracLEACH*MSLeachEF*NtoN2O*kgtoGg,"NO")</f>
        <v>NO</v>
      </c>
      <c r="AL150" s="22" t="str">
        <f>IFERROR(('Activity data'!AL93*(1/Constants!$H$135))*ttokg*FracLEACH*MSLeachEF*NtoN2O*kgtoGg,"NO")</f>
        <v>NO</v>
      </c>
      <c r="AM150" s="22" t="str">
        <f>IFERROR(('Activity data'!AM93*(1/Constants!$H$135))*ttokg*FracLEACH*MSLeachEF*NtoN2O*kgtoGg,"NO")</f>
        <v>NO</v>
      </c>
      <c r="AN150" s="22" t="str">
        <f>IFERROR(('Activity data'!AN93*(1/Constants!$H$135))*ttokg*FracLEACH*MSLeachEF*NtoN2O*kgtoGg,"NO")</f>
        <v>NO</v>
      </c>
      <c r="AO150" s="22" t="str">
        <f>IFERROR(('Activity data'!AO93*(1/Constants!$H$135))*ttokg*FracLEACH*MSLeachEF*NtoN2O*kgtoGg,"NO")</f>
        <v>NO</v>
      </c>
      <c r="AP150" s="22" t="str">
        <f>IFERROR(('Activity data'!AP93*(1/Constants!$H$135))*ttokg*FracLEACH*MSLeachEF*NtoN2O*kgtoGg,"NO")</f>
        <v>NO</v>
      </c>
      <c r="AQ150" s="22" t="str">
        <f>IFERROR(('Activity data'!AQ93*(1/Constants!$H$135))*ttokg*FracLEACH*MSLeachEF*NtoN2O*kgtoGg,"NO")</f>
        <v>NO</v>
      </c>
      <c r="AR150" s="22" t="str">
        <f>IFERROR(('Activity data'!AR93*(1/Constants!$H$135))*ttokg*FracLEACH*MSLeachEF*NtoN2O*kgtoGg,"NO")</f>
        <v>NO</v>
      </c>
      <c r="AS150" s="22" t="str">
        <f>IFERROR(('Activity data'!AS93*(1/Constants!$H$135))*ttokg*FracLEACH*MSLeachEF*NtoN2O*kgtoGg,"NO")</f>
        <v>NO</v>
      </c>
      <c r="AT150" s="22" t="str">
        <f>IFERROR(('Activity data'!AT93*(1/Constants!$H$135))*ttokg*FracLEACH*MSLeachEF*NtoN2O*kgtoGg,"NO")</f>
        <v>NO</v>
      </c>
      <c r="AU150" s="22" t="str">
        <f>IFERROR(('Activity data'!AU93*(1/Constants!$H$135))*ttokg*FracLEACH*MSLeachEF*NtoN2O*kgtoGg,"NO")</f>
        <v>NO</v>
      </c>
      <c r="AV150" s="22" t="str">
        <f>IFERROR(('Activity data'!AV93*(1/Constants!$H$135))*ttokg*FracLEACH*MSLeachEF*NtoN2O*kgtoGg,"NO")</f>
        <v>NO</v>
      </c>
      <c r="AW150" s="22" t="str">
        <f>IFERROR(('Activity data'!AW93*(1/Constants!$H$135))*ttokg*FracLEACH*MSLeachEF*NtoN2O*kgtoGg,"NO")</f>
        <v>NO</v>
      </c>
      <c r="AX150" s="22" t="str">
        <f>IFERROR(('Activity data'!AX93*(1/Constants!$H$135))*ttokg*FracLEACH*MSLeachEF*NtoN2O*kgtoGg,"NO")</f>
        <v>NO</v>
      </c>
      <c r="AY150" s="22" t="str">
        <f>IFERROR(('Activity data'!AY93*(1/Constants!$H$135))*ttokg*FracLEACH*MSLeachEF*NtoN2O*kgtoGg,"NO")</f>
        <v>NO</v>
      </c>
      <c r="AZ150" s="22" t="str">
        <f>IFERROR(('Activity data'!AZ93*(1/Constants!$H$135))*ttokg*FracLEACH*MSLeachEF*NtoN2O*kgtoGg,"NO")</f>
        <v>NO</v>
      </c>
      <c r="BA150" s="22" t="str">
        <f>IFERROR(('Activity data'!BA93*(1/Constants!$H$135))*ttokg*FracLEACH*MSLeachEF*NtoN2O*kgtoGg,"NO")</f>
        <v>NO</v>
      </c>
      <c r="BB150" s="22" t="str">
        <f>IFERROR(('Activity data'!BB93*(1/Constants!$H$135))*ttokg*FracLEACH*MSLeachEF*NtoN2O*kgtoGg,"NO")</f>
        <v>NO</v>
      </c>
      <c r="BC150" s="22" t="str">
        <f>IFERROR(('Activity data'!BC93*(1/Constants!$H$135))*ttokg*FracLEACH*MSLeachEF*NtoN2O*kgtoGg,"NO")</f>
        <v>NO</v>
      </c>
      <c r="BD150" s="22" t="str">
        <f>IFERROR(('Activity data'!BD93*(1/Constants!$H$135))*ttokg*FracLEACH*MSLeachEF*NtoN2O*kgtoGg,"NO")</f>
        <v>NO</v>
      </c>
      <c r="BE150" s="22" t="str">
        <f>IFERROR(('Activity data'!BE93*(1/Constants!$H$135))*ttokg*FracLEACH*MSLeachEF*NtoN2O*kgtoGg,"NO")</f>
        <v>NO</v>
      </c>
      <c r="BF150" s="22" t="str">
        <f>IFERROR(('Activity data'!BF93*(1/Constants!$H$135))*ttokg*FracLEACH*MSLeachEF*NtoN2O*kgtoGg,"NO")</f>
        <v>NO</v>
      </c>
      <c r="BG150" s="22" t="str">
        <f>IFERROR(('Activity data'!BG93*(1/Constants!$H$135))*ttokg*FracLEACH*MSLeachEF*NtoN2O*kgtoGg,"NO")</f>
        <v>NO</v>
      </c>
      <c r="BH150" s="22" t="str">
        <f>IFERROR(('Activity data'!BH93*(1/Constants!$H$135))*ttokg*FracLEACH*MSLeachEF*NtoN2O*kgtoGg,"NO")</f>
        <v>NO</v>
      </c>
      <c r="BI150" s="22" t="str">
        <f>IFERROR(('Activity data'!BI93*(1/Constants!$H$135))*ttokg*FracLEACH*MSLeachEF*NtoN2O*kgtoGg,"NO")</f>
        <v>NO</v>
      </c>
      <c r="BJ150" s="22" t="str">
        <f>IFERROR(('Activity data'!BJ93*(1/Constants!$H$135))*ttokg*FracLEACH*MSLeachEF*NtoN2O*kgtoGg,"NO")</f>
        <v>NO</v>
      </c>
      <c r="BK150" s="22" t="str">
        <f>IFERROR(('Activity data'!BK93*(1/Constants!$H$135))*ttokg*FracLEACH*MSLeachEF*NtoN2O*kgtoGg,"NO")</f>
        <v>NO</v>
      </c>
      <c r="BL150" s="22" t="str">
        <f>IFERROR(('Activity data'!BL93*(1/Constants!$H$135))*ttokg*FracLEACH*MSLeachEF*NtoN2O*kgtoGg,"NO")</f>
        <v>NO</v>
      </c>
      <c r="BM150" s="22" t="str">
        <f>IFERROR(('Activity data'!BM93*(1/Constants!$H$135))*ttokg*FracLEACH*MSLeachEF*NtoN2O*kgtoGg,"NO")</f>
        <v>NO</v>
      </c>
      <c r="BN150" s="22" t="str">
        <f>IFERROR(('Activity data'!BN93*(1/Constants!$H$135))*ttokg*FracLEACH*MSLeachEF*NtoN2O*kgtoGg,"NO")</f>
        <v>NO</v>
      </c>
      <c r="BO150" s="22" t="str">
        <f>IFERROR(('Activity data'!BO93*(1/Constants!$H$135))*ttokg*FracLEACH*MSLeachEF*NtoN2O*kgtoGg,"NO")</f>
        <v>NO</v>
      </c>
      <c r="BP150" s="22" t="str">
        <f>IFERROR(('Activity data'!BP93*(1/Constants!$H$135))*ttokg*FracLEACH*MSLeachEF*NtoN2O*kgtoGg,"NO")</f>
        <v>NO</v>
      </c>
    </row>
    <row r="151" spans="1:68" x14ac:dyDescent="0.25">
      <c r="A151" t="str">
        <f t="shared" si="58"/>
        <v>3C Aggregated and non-CO2 emissions on land</v>
      </c>
      <c r="B151" t="str">
        <f t="shared" si="59"/>
        <v>3C5 Indirect N2O from managed soils (N2O)</v>
      </c>
      <c r="C151" t="str">
        <f t="shared" si="54"/>
        <v>Leaching/runoff</v>
      </c>
      <c r="D151" t="str">
        <f>" - FSOM - "&amp;'Activity data'!D94</f>
        <v xml:space="preserve"> - FSOM - Land converted to wetland</v>
      </c>
      <c r="E151" t="str">
        <f t="shared" si="60"/>
        <v>Leaching/runoff - FSOM - Land converted to wetland</v>
      </c>
      <c r="F151" t="str">
        <f t="shared" si="47"/>
        <v>N2O</v>
      </c>
      <c r="G151" t="str">
        <f t="shared" si="48"/>
        <v>Gg N2O</v>
      </c>
      <c r="H151" s="22" t="str">
        <f>IFERROR(('Activity data'!H94*(1/Constants!$H$135))*ttokg*FracLEACH*MSLeachEF*NtoN2O*kgtoGg,"NO")</f>
        <v>NO</v>
      </c>
      <c r="I151" s="22" t="str">
        <f>IFERROR(('Activity data'!I94*(1/Constants!$H$135))*ttokg*FracLEACH*MSLeachEF*NtoN2O*kgtoGg,"NO")</f>
        <v>NO</v>
      </c>
      <c r="J151" s="22" t="str">
        <f>IFERROR(('Activity data'!J94*(1/Constants!$H$135))*ttokg*FracLEACH*MSLeachEF*NtoN2O*kgtoGg,"NO")</f>
        <v>NO</v>
      </c>
      <c r="K151" s="22" t="str">
        <f>IFERROR(('Activity data'!K94*(1/Constants!$H$135))*ttokg*FracLEACH*MSLeachEF*NtoN2O*kgtoGg,"NO")</f>
        <v>NO</v>
      </c>
      <c r="L151" s="22" t="str">
        <f>IFERROR(('Activity data'!L94*(1/Constants!$H$135))*ttokg*FracLEACH*MSLeachEF*NtoN2O*kgtoGg,"NO")</f>
        <v>NO</v>
      </c>
      <c r="M151" s="22" t="str">
        <f>IFERROR(('Activity data'!M94*(1/Constants!$H$135))*ttokg*FracLEACH*MSLeachEF*NtoN2O*kgtoGg,"NO")</f>
        <v>NO</v>
      </c>
      <c r="N151" s="22" t="str">
        <f>IFERROR(('Activity data'!N94*(1/Constants!$H$135))*ttokg*FracLEACH*MSLeachEF*NtoN2O*kgtoGg,"NO")</f>
        <v>NO</v>
      </c>
      <c r="O151" s="22" t="str">
        <f>IFERROR(('Activity data'!O94*(1/Constants!$H$135))*ttokg*FracLEACH*MSLeachEF*NtoN2O*kgtoGg,"NO")</f>
        <v>NO</v>
      </c>
      <c r="P151" s="22" t="str">
        <f>IFERROR(('Activity data'!P94*(1/Constants!$H$135))*ttokg*FracLEACH*MSLeachEF*NtoN2O*kgtoGg,"NO")</f>
        <v>NO</v>
      </c>
      <c r="Q151" s="22" t="str">
        <f>IFERROR(('Activity data'!Q94*(1/Constants!$H$135))*ttokg*FracLEACH*MSLeachEF*NtoN2O*kgtoGg,"NO")</f>
        <v>NO</v>
      </c>
      <c r="R151" s="22" t="str">
        <f>IFERROR(('Activity data'!R94*(1/Constants!$H$135))*ttokg*FracLEACH*MSLeachEF*NtoN2O*kgtoGg,"NO")</f>
        <v>NO</v>
      </c>
      <c r="S151" s="22" t="str">
        <f>IFERROR(('Activity data'!S94*(1/Constants!$H$135))*ttokg*FracLEACH*MSLeachEF*NtoN2O*kgtoGg,"NO")</f>
        <v>NO</v>
      </c>
      <c r="T151" s="22" t="str">
        <f>IFERROR(('Activity data'!T94*(1/Constants!$H$135))*ttokg*FracLEACH*MSLeachEF*NtoN2O*kgtoGg,"NO")</f>
        <v>NO</v>
      </c>
      <c r="U151" s="22" t="str">
        <f>IFERROR(('Activity data'!U94*(1/Constants!$H$135))*ttokg*FracLEACH*MSLeachEF*NtoN2O*kgtoGg,"NO")</f>
        <v>NO</v>
      </c>
      <c r="V151" s="22" t="str">
        <f>IFERROR(('Activity data'!V94*(1/Constants!$H$135))*ttokg*FracLEACH*MSLeachEF*NtoN2O*kgtoGg,"NO")</f>
        <v>NO</v>
      </c>
      <c r="W151" s="22" t="str">
        <f>IFERROR(('Activity data'!W94*(1/Constants!$H$135))*ttokg*FracLEACH*MSLeachEF*NtoN2O*kgtoGg,"NO")</f>
        <v>NO</v>
      </c>
      <c r="X151" s="22" t="str">
        <f>IFERROR(('Activity data'!X94*(1/Constants!$H$135))*ttokg*FracLEACH*MSLeachEF*NtoN2O*kgtoGg,"NO")</f>
        <v>NO</v>
      </c>
      <c r="Y151" s="22" t="str">
        <f>IFERROR(('Activity data'!Y94*(1/Constants!$H$135))*ttokg*FracLEACH*MSLeachEF*NtoN2O*kgtoGg,"NO")</f>
        <v>NO</v>
      </c>
      <c r="Z151" s="22" t="str">
        <f>IFERROR(('Activity data'!Z94*(1/Constants!$H$135))*ttokg*FracLEACH*MSLeachEF*NtoN2O*kgtoGg,"NO")</f>
        <v>NO</v>
      </c>
      <c r="AA151" s="22" t="str">
        <f>IFERROR(('Activity data'!AA94*(1/Constants!$H$135))*ttokg*FracLEACH*MSLeachEF*NtoN2O*kgtoGg,"NO")</f>
        <v>NO</v>
      </c>
      <c r="AB151" s="22" t="str">
        <f>IFERROR(('Activity data'!AB94*(1/Constants!$H$135))*ttokg*FracLEACH*MSLeachEF*NtoN2O*kgtoGg,"NO")</f>
        <v>NO</v>
      </c>
      <c r="AC151" s="22" t="str">
        <f>IFERROR(('Activity data'!AC94*(1/Constants!$H$135))*ttokg*FracLEACH*MSLeachEF*NtoN2O*kgtoGg,"NO")</f>
        <v>NO</v>
      </c>
      <c r="AD151" s="22" t="str">
        <f>IFERROR(('Activity data'!AD94*(1/Constants!$H$135))*ttokg*FracLEACH*MSLeachEF*NtoN2O*kgtoGg,"NO")</f>
        <v>NO</v>
      </c>
      <c r="AE151" s="22" t="str">
        <f>IFERROR(('Activity data'!AE94*(1/Constants!$H$135))*ttokg*FracLEACH*MSLeachEF*NtoN2O*kgtoGg,"NO")</f>
        <v>NO</v>
      </c>
      <c r="AF151" s="22" t="str">
        <f>IFERROR(('Activity data'!AF94*(1/Constants!$H$135))*ttokg*FracLEACH*MSLeachEF*NtoN2O*kgtoGg,"NO")</f>
        <v>NO</v>
      </c>
      <c r="AG151" s="22" t="str">
        <f>IFERROR(('Activity data'!AG94*(1/Constants!$H$135))*ttokg*FracLEACH*MSLeachEF*NtoN2O*kgtoGg,"NO")</f>
        <v>NO</v>
      </c>
      <c r="AH151" s="22" t="str">
        <f>IFERROR(('Activity data'!AH94*(1/Constants!$H$135))*ttokg*FracLEACH*MSLeachEF*NtoN2O*kgtoGg,"NO")</f>
        <v>NO</v>
      </c>
      <c r="AI151" s="22" t="str">
        <f>IFERROR(('Activity data'!AI94*(1/Constants!$H$135))*ttokg*FracLEACH*MSLeachEF*NtoN2O*kgtoGg,"NO")</f>
        <v>NO</v>
      </c>
      <c r="AJ151" s="22" t="str">
        <f>IFERROR(('Activity data'!AJ94*(1/Constants!$H$135))*ttokg*FracLEACH*MSLeachEF*NtoN2O*kgtoGg,"NO")</f>
        <v>NO</v>
      </c>
      <c r="AK151" s="22" t="str">
        <f>IFERROR(('Activity data'!AK94*(1/Constants!$H$135))*ttokg*FracLEACH*MSLeachEF*NtoN2O*kgtoGg,"NO")</f>
        <v>NO</v>
      </c>
      <c r="AL151" s="22" t="str">
        <f>IFERROR(('Activity data'!AL94*(1/Constants!$H$135))*ttokg*FracLEACH*MSLeachEF*NtoN2O*kgtoGg,"NO")</f>
        <v>NO</v>
      </c>
      <c r="AM151" s="22" t="str">
        <f>IFERROR(('Activity data'!AM94*(1/Constants!$H$135))*ttokg*FracLEACH*MSLeachEF*NtoN2O*kgtoGg,"NO")</f>
        <v>NO</v>
      </c>
      <c r="AN151" s="22" t="str">
        <f>IFERROR(('Activity data'!AN94*(1/Constants!$H$135))*ttokg*FracLEACH*MSLeachEF*NtoN2O*kgtoGg,"NO")</f>
        <v>NO</v>
      </c>
      <c r="AO151" s="22" t="str">
        <f>IFERROR(('Activity data'!AO94*(1/Constants!$H$135))*ttokg*FracLEACH*MSLeachEF*NtoN2O*kgtoGg,"NO")</f>
        <v>NO</v>
      </c>
      <c r="AP151" s="22" t="str">
        <f>IFERROR(('Activity data'!AP94*(1/Constants!$H$135))*ttokg*FracLEACH*MSLeachEF*NtoN2O*kgtoGg,"NO")</f>
        <v>NO</v>
      </c>
      <c r="AQ151" s="22" t="str">
        <f>IFERROR(('Activity data'!AQ94*(1/Constants!$H$135))*ttokg*FracLEACH*MSLeachEF*NtoN2O*kgtoGg,"NO")</f>
        <v>NO</v>
      </c>
      <c r="AR151" s="22" t="str">
        <f>IFERROR(('Activity data'!AR94*(1/Constants!$H$135))*ttokg*FracLEACH*MSLeachEF*NtoN2O*kgtoGg,"NO")</f>
        <v>NO</v>
      </c>
      <c r="AS151" s="22" t="str">
        <f>IFERROR(('Activity data'!AS94*(1/Constants!$H$135))*ttokg*FracLEACH*MSLeachEF*NtoN2O*kgtoGg,"NO")</f>
        <v>NO</v>
      </c>
      <c r="AT151" s="22" t="str">
        <f>IFERROR(('Activity data'!AT94*(1/Constants!$H$135))*ttokg*FracLEACH*MSLeachEF*NtoN2O*kgtoGg,"NO")</f>
        <v>NO</v>
      </c>
      <c r="AU151" s="22" t="str">
        <f>IFERROR(('Activity data'!AU94*(1/Constants!$H$135))*ttokg*FracLEACH*MSLeachEF*NtoN2O*kgtoGg,"NO")</f>
        <v>NO</v>
      </c>
      <c r="AV151" s="22" t="str">
        <f>IFERROR(('Activity data'!AV94*(1/Constants!$H$135))*ttokg*FracLEACH*MSLeachEF*NtoN2O*kgtoGg,"NO")</f>
        <v>NO</v>
      </c>
      <c r="AW151" s="22" t="str">
        <f>IFERROR(('Activity data'!AW94*(1/Constants!$H$135))*ttokg*FracLEACH*MSLeachEF*NtoN2O*kgtoGg,"NO")</f>
        <v>NO</v>
      </c>
      <c r="AX151" s="22" t="str">
        <f>IFERROR(('Activity data'!AX94*(1/Constants!$H$135))*ttokg*FracLEACH*MSLeachEF*NtoN2O*kgtoGg,"NO")</f>
        <v>NO</v>
      </c>
      <c r="AY151" s="22" t="str">
        <f>IFERROR(('Activity data'!AY94*(1/Constants!$H$135))*ttokg*FracLEACH*MSLeachEF*NtoN2O*kgtoGg,"NO")</f>
        <v>NO</v>
      </c>
      <c r="AZ151" s="22" t="str">
        <f>IFERROR(('Activity data'!AZ94*(1/Constants!$H$135))*ttokg*FracLEACH*MSLeachEF*NtoN2O*kgtoGg,"NO")</f>
        <v>NO</v>
      </c>
      <c r="BA151" s="22" t="str">
        <f>IFERROR(('Activity data'!BA94*(1/Constants!$H$135))*ttokg*FracLEACH*MSLeachEF*NtoN2O*kgtoGg,"NO")</f>
        <v>NO</v>
      </c>
      <c r="BB151" s="22" t="str">
        <f>IFERROR(('Activity data'!BB94*(1/Constants!$H$135))*ttokg*FracLEACH*MSLeachEF*NtoN2O*kgtoGg,"NO")</f>
        <v>NO</v>
      </c>
      <c r="BC151" s="22" t="str">
        <f>IFERROR(('Activity data'!BC94*(1/Constants!$H$135))*ttokg*FracLEACH*MSLeachEF*NtoN2O*kgtoGg,"NO")</f>
        <v>NO</v>
      </c>
      <c r="BD151" s="22" t="str">
        <f>IFERROR(('Activity data'!BD94*(1/Constants!$H$135))*ttokg*FracLEACH*MSLeachEF*NtoN2O*kgtoGg,"NO")</f>
        <v>NO</v>
      </c>
      <c r="BE151" s="22" t="str">
        <f>IFERROR(('Activity data'!BE94*(1/Constants!$H$135))*ttokg*FracLEACH*MSLeachEF*NtoN2O*kgtoGg,"NO")</f>
        <v>NO</v>
      </c>
      <c r="BF151" s="22" t="str">
        <f>IFERROR(('Activity data'!BF94*(1/Constants!$H$135))*ttokg*FracLEACH*MSLeachEF*NtoN2O*kgtoGg,"NO")</f>
        <v>NO</v>
      </c>
      <c r="BG151" s="22" t="str">
        <f>IFERROR(('Activity data'!BG94*(1/Constants!$H$135))*ttokg*FracLEACH*MSLeachEF*NtoN2O*kgtoGg,"NO")</f>
        <v>NO</v>
      </c>
      <c r="BH151" s="22" t="str">
        <f>IFERROR(('Activity data'!BH94*(1/Constants!$H$135))*ttokg*FracLEACH*MSLeachEF*NtoN2O*kgtoGg,"NO")</f>
        <v>NO</v>
      </c>
      <c r="BI151" s="22" t="str">
        <f>IFERROR(('Activity data'!BI94*(1/Constants!$H$135))*ttokg*FracLEACH*MSLeachEF*NtoN2O*kgtoGg,"NO")</f>
        <v>NO</v>
      </c>
      <c r="BJ151" s="22" t="str">
        <f>IFERROR(('Activity data'!BJ94*(1/Constants!$H$135))*ttokg*FracLEACH*MSLeachEF*NtoN2O*kgtoGg,"NO")</f>
        <v>NO</v>
      </c>
      <c r="BK151" s="22" t="str">
        <f>IFERROR(('Activity data'!BK94*(1/Constants!$H$135))*ttokg*FracLEACH*MSLeachEF*NtoN2O*kgtoGg,"NO")</f>
        <v>NO</v>
      </c>
      <c r="BL151" s="22" t="str">
        <f>IFERROR(('Activity data'!BL94*(1/Constants!$H$135))*ttokg*FracLEACH*MSLeachEF*NtoN2O*kgtoGg,"NO")</f>
        <v>NO</v>
      </c>
      <c r="BM151" s="22" t="str">
        <f>IFERROR(('Activity data'!BM94*(1/Constants!$H$135))*ttokg*FracLEACH*MSLeachEF*NtoN2O*kgtoGg,"NO")</f>
        <v>NO</v>
      </c>
      <c r="BN151" s="22" t="str">
        <f>IFERROR(('Activity data'!BN94*(1/Constants!$H$135))*ttokg*FracLEACH*MSLeachEF*NtoN2O*kgtoGg,"NO")</f>
        <v>NO</v>
      </c>
      <c r="BO151" s="22" t="str">
        <f>IFERROR(('Activity data'!BO94*(1/Constants!$H$135))*ttokg*FracLEACH*MSLeachEF*NtoN2O*kgtoGg,"NO")</f>
        <v>NO</v>
      </c>
      <c r="BP151" s="22" t="str">
        <f>IFERROR(('Activity data'!BP94*(1/Constants!$H$135))*ttokg*FracLEACH*MSLeachEF*NtoN2O*kgtoGg,"NO")</f>
        <v>NO</v>
      </c>
    </row>
    <row r="152" spans="1:68" x14ac:dyDescent="0.25">
      <c r="A152" t="str">
        <f t="shared" si="58"/>
        <v>3C Aggregated and non-CO2 emissions on land</v>
      </c>
      <c r="B152" t="str">
        <f t="shared" si="59"/>
        <v>3C5 Indirect N2O from managed soils (N2O)</v>
      </c>
      <c r="C152" t="str">
        <f t="shared" si="54"/>
        <v>Leaching/runoff</v>
      </c>
      <c r="D152" t="str">
        <f>" - FSOM - "&amp;'Activity data'!D95</f>
        <v xml:space="preserve"> - FSOM - Settlements remaining settlements</v>
      </c>
      <c r="E152" t="str">
        <f t="shared" si="60"/>
        <v>Leaching/runoff - FSOM - Settlements remaining settlements</v>
      </c>
      <c r="F152" t="str">
        <f t="shared" si="47"/>
        <v>N2O</v>
      </c>
      <c r="G152" t="str">
        <f t="shared" si="48"/>
        <v>Gg N2O</v>
      </c>
      <c r="H152" s="22" t="str">
        <f>IFERROR(('Activity data'!H95*(1/Constants!$H$135))*ttokg*FracLEACH*MSLeachEF*NtoN2O*kgtoGg,"NO")</f>
        <v>NO</v>
      </c>
      <c r="I152" s="22">
        <f>IFERROR(('Activity data'!I95*(1/Constants!$H$135))*ttokg*FracLEACH*MSLeachEF*NtoN2O*kgtoGg,"NO")</f>
        <v>1.712428009262699E-7</v>
      </c>
      <c r="J152" s="22">
        <f>IFERROR(('Activity data'!J95*(1/Constants!$H$135))*ttokg*FracLEACH*MSLeachEF*NtoN2O*kgtoGg,"NO")</f>
        <v>1.712428009262699E-7</v>
      </c>
      <c r="K152" s="22">
        <f>IFERROR(('Activity data'!K95*(1/Constants!$H$135))*ttokg*FracLEACH*MSLeachEF*NtoN2O*kgtoGg,"NO")</f>
        <v>1.712428009262699E-7</v>
      </c>
      <c r="L152" s="22">
        <f>IFERROR(('Activity data'!L95*(1/Constants!$H$135))*ttokg*FracLEACH*MSLeachEF*NtoN2O*kgtoGg,"NO")</f>
        <v>1.712428009262699E-7</v>
      </c>
      <c r="M152" s="22">
        <f>IFERROR(('Activity data'!M95*(1/Constants!$H$135))*ttokg*FracLEACH*MSLeachEF*NtoN2O*kgtoGg,"NO")</f>
        <v>1.712428009262699E-7</v>
      </c>
      <c r="N152" s="22">
        <f>IFERROR(('Activity data'!N95*(1/Constants!$H$135))*ttokg*FracLEACH*MSLeachEF*NtoN2O*kgtoGg,"NO")</f>
        <v>1.712428009262699E-7</v>
      </c>
      <c r="O152" s="22">
        <f>IFERROR(('Activity data'!O95*(1/Constants!$H$135))*ttokg*FracLEACH*MSLeachEF*NtoN2O*kgtoGg,"NO")</f>
        <v>1.712428009262699E-7</v>
      </c>
      <c r="P152" s="22">
        <f>IFERROR(('Activity data'!P95*(1/Constants!$H$135))*ttokg*FracLEACH*MSLeachEF*NtoN2O*kgtoGg,"NO")</f>
        <v>1.712428009262699E-7</v>
      </c>
      <c r="Q152" s="22">
        <f>IFERROR(('Activity data'!Q95*(1/Constants!$H$135))*ttokg*FracLEACH*MSLeachEF*NtoN2O*kgtoGg,"NO")</f>
        <v>1.712428009262699E-7</v>
      </c>
      <c r="R152" s="22">
        <f>IFERROR(('Activity data'!R95*(1/Constants!$H$135))*ttokg*FracLEACH*MSLeachEF*NtoN2O*kgtoGg,"NO")</f>
        <v>1.712428009262699E-7</v>
      </c>
      <c r="S152" s="22">
        <f>IFERROR(('Activity data'!S95*(1/Constants!$H$135))*ttokg*FracLEACH*MSLeachEF*NtoN2O*kgtoGg,"NO")</f>
        <v>1.712428009262699E-7</v>
      </c>
      <c r="T152" s="22">
        <f>IFERROR(('Activity data'!T95*(1/Constants!$H$135))*ttokg*FracLEACH*MSLeachEF*NtoN2O*kgtoGg,"NO")</f>
        <v>1.712428009262699E-7</v>
      </c>
      <c r="U152" s="22">
        <f>IFERROR(('Activity data'!U95*(1/Constants!$H$135))*ttokg*FracLEACH*MSLeachEF*NtoN2O*kgtoGg,"NO")</f>
        <v>1.712428009262699E-7</v>
      </c>
      <c r="V152" s="22">
        <f>IFERROR(('Activity data'!V95*(1/Constants!$H$135))*ttokg*FracLEACH*MSLeachEF*NtoN2O*kgtoGg,"NO")</f>
        <v>1.712428009262699E-7</v>
      </c>
      <c r="W152" s="22">
        <f>IFERROR(('Activity data'!W95*(1/Constants!$H$135))*ttokg*FracLEACH*MSLeachEF*NtoN2O*kgtoGg,"NO")</f>
        <v>1.712428009262699E-7</v>
      </c>
      <c r="X152" s="22">
        <f>IFERROR(('Activity data'!X95*(1/Constants!$H$135))*ttokg*FracLEACH*MSLeachEF*NtoN2O*kgtoGg,"NO")</f>
        <v>1.712428009262699E-7</v>
      </c>
      <c r="Y152" s="22">
        <f>IFERROR(('Activity data'!Y95*(1/Constants!$H$135))*ttokg*FracLEACH*MSLeachEF*NtoN2O*kgtoGg,"NO")</f>
        <v>1.712428009262699E-7</v>
      </c>
      <c r="Z152" s="22">
        <f>IFERROR(('Activity data'!Z95*(1/Constants!$H$135))*ttokg*FracLEACH*MSLeachEF*NtoN2O*kgtoGg,"NO")</f>
        <v>1.712428009262699E-7</v>
      </c>
      <c r="AA152" s="22">
        <f>IFERROR(('Activity data'!AA95*(1/Constants!$H$135))*ttokg*FracLEACH*MSLeachEF*NtoN2O*kgtoGg,"NO")</f>
        <v>1.712428009262699E-7</v>
      </c>
      <c r="AB152" s="22">
        <f>IFERROR(('Activity data'!AB95*(1/Constants!$H$135))*ttokg*FracLEACH*MSLeachEF*NtoN2O*kgtoGg,"NO")</f>
        <v>1.712428009262699E-7</v>
      </c>
      <c r="AC152" s="22">
        <f>IFERROR(('Activity data'!AC95*(1/Constants!$H$135))*ttokg*FracLEACH*MSLeachEF*NtoN2O*kgtoGg,"NO")</f>
        <v>1.712428009262699E-7</v>
      </c>
      <c r="AD152" s="22">
        <f>IFERROR(('Activity data'!AD95*(1/Constants!$H$135))*ttokg*FracLEACH*MSLeachEF*NtoN2O*kgtoGg,"NO")</f>
        <v>1.9333864620707719E-6</v>
      </c>
      <c r="AE152" s="22">
        <f>IFERROR(('Activity data'!AE95*(1/Constants!$H$135))*ttokg*FracLEACH*MSLeachEF*NtoN2O*kgtoGg,"NO")</f>
        <v>1.9333864620707719E-6</v>
      </c>
      <c r="AF152" s="22">
        <f>IFERROR(('Activity data'!AF95*(1/Constants!$H$135))*ttokg*FracLEACH*MSLeachEF*NtoN2O*kgtoGg,"NO")</f>
        <v>1.9333864620707719E-6</v>
      </c>
      <c r="AG152" s="22">
        <f>IFERROR(('Activity data'!AG95*(1/Constants!$H$135))*ttokg*FracLEACH*MSLeachEF*NtoN2O*kgtoGg,"NO")</f>
        <v>1.9333864620707719E-6</v>
      </c>
      <c r="AH152" s="22">
        <f>IFERROR(('Activity data'!AH95*(1/Constants!$H$135))*ttokg*FracLEACH*MSLeachEF*NtoN2O*kgtoGg,"NO")</f>
        <v>1.9333864620707719E-6</v>
      </c>
      <c r="AI152" s="22">
        <f>IFERROR(('Activity data'!AI95*(1/Constants!$H$135))*ttokg*FracLEACH*MSLeachEF*NtoN2O*kgtoGg,"NO")</f>
        <v>1.9333864620707719E-6</v>
      </c>
      <c r="AJ152" s="22">
        <f>IFERROR(('Activity data'!AJ95*(1/Constants!$H$135))*ttokg*FracLEACH*MSLeachEF*NtoN2O*kgtoGg,"NO")</f>
        <v>1.9333864620707719E-6</v>
      </c>
      <c r="AK152" s="22">
        <f>IFERROR(('Activity data'!AK95*(1/Constants!$H$135))*ttokg*FracLEACH*MSLeachEF*NtoN2O*kgtoGg,"NO")</f>
        <v>1.9333864620707719E-6</v>
      </c>
      <c r="AL152" s="22">
        <f>IFERROR(('Activity data'!AL95*(1/Constants!$H$135))*ttokg*FracLEACH*MSLeachEF*NtoN2O*kgtoGg,"NO")</f>
        <v>1.9333864620707719E-6</v>
      </c>
      <c r="AM152" s="22">
        <f>IFERROR(('Activity data'!AM95*(1/Constants!$H$135))*ttokg*FracLEACH*MSLeachEF*NtoN2O*kgtoGg,"NO")</f>
        <v>1.9333864620707719E-6</v>
      </c>
      <c r="AN152" s="22">
        <f>IFERROR(('Activity data'!AN95*(1/Constants!$H$135))*ttokg*FracLEACH*MSLeachEF*NtoN2O*kgtoGg,"NO")</f>
        <v>1.9333864620707719E-6</v>
      </c>
      <c r="AO152" s="22">
        <f>IFERROR(('Activity data'!AO95*(1/Constants!$H$135))*ttokg*FracLEACH*MSLeachEF*NtoN2O*kgtoGg,"NO")</f>
        <v>1.9333864620707719E-6</v>
      </c>
      <c r="AP152" s="22">
        <f>IFERROR(('Activity data'!AP95*(1/Constants!$H$135))*ttokg*FracLEACH*MSLeachEF*NtoN2O*kgtoGg,"NO")</f>
        <v>1.9333864620707719E-6</v>
      </c>
      <c r="AQ152" s="22">
        <f>IFERROR(('Activity data'!AQ95*(1/Constants!$H$135))*ttokg*FracLEACH*MSLeachEF*NtoN2O*kgtoGg,"NO")</f>
        <v>1.9333864620707719E-6</v>
      </c>
      <c r="AR152" s="22">
        <f>IFERROR(('Activity data'!AR95*(1/Constants!$H$135))*ttokg*FracLEACH*MSLeachEF*NtoN2O*kgtoGg,"NO")</f>
        <v>1.9333864620707719E-6</v>
      </c>
      <c r="AS152" s="22">
        <f>IFERROR(('Activity data'!AS95*(1/Constants!$H$135))*ttokg*FracLEACH*MSLeachEF*NtoN2O*kgtoGg,"NO")</f>
        <v>1.9333864620707719E-6</v>
      </c>
      <c r="AT152" s="22">
        <f>IFERROR(('Activity data'!AT95*(1/Constants!$H$135))*ttokg*FracLEACH*MSLeachEF*NtoN2O*kgtoGg,"NO")</f>
        <v>1.9333864620707719E-6</v>
      </c>
      <c r="AU152" s="22">
        <f>IFERROR(('Activity data'!AU95*(1/Constants!$H$135))*ttokg*FracLEACH*MSLeachEF*NtoN2O*kgtoGg,"NO")</f>
        <v>1.9333864620707719E-6</v>
      </c>
      <c r="AV152" s="22">
        <f>IFERROR(('Activity data'!AV95*(1/Constants!$H$135))*ttokg*FracLEACH*MSLeachEF*NtoN2O*kgtoGg,"NO")</f>
        <v>1.9333864620707719E-6</v>
      </c>
      <c r="AW152" s="22">
        <f>IFERROR(('Activity data'!AW95*(1/Constants!$H$135))*ttokg*FracLEACH*MSLeachEF*NtoN2O*kgtoGg,"NO")</f>
        <v>1.9333864620707719E-6</v>
      </c>
      <c r="AX152" s="22">
        <f>IFERROR(('Activity data'!AX95*(1/Constants!$H$135))*ttokg*FracLEACH*MSLeachEF*NtoN2O*kgtoGg,"NO")</f>
        <v>1.9333864620707719E-6</v>
      </c>
      <c r="AY152" s="22">
        <f>IFERROR(('Activity data'!AY95*(1/Constants!$H$135))*ttokg*FracLEACH*MSLeachEF*NtoN2O*kgtoGg,"NO")</f>
        <v>1.9333864620707719E-6</v>
      </c>
      <c r="AZ152" s="22">
        <f>IFERROR(('Activity data'!AZ95*(1/Constants!$H$135))*ttokg*FracLEACH*MSLeachEF*NtoN2O*kgtoGg,"NO")</f>
        <v>1.9333864620707719E-6</v>
      </c>
      <c r="BA152" s="22">
        <f>IFERROR(('Activity data'!BA95*(1/Constants!$H$135))*ttokg*FracLEACH*MSLeachEF*NtoN2O*kgtoGg,"NO")</f>
        <v>1.9333864620707719E-6</v>
      </c>
      <c r="BB152" s="22">
        <f>IFERROR(('Activity data'!BB95*(1/Constants!$H$135))*ttokg*FracLEACH*MSLeachEF*NtoN2O*kgtoGg,"NO")</f>
        <v>1.9333864620707719E-6</v>
      </c>
      <c r="BC152" s="22">
        <f>IFERROR(('Activity data'!BC95*(1/Constants!$H$135))*ttokg*FracLEACH*MSLeachEF*NtoN2O*kgtoGg,"NO")</f>
        <v>1.9333864620707719E-6</v>
      </c>
      <c r="BD152" s="22">
        <f>IFERROR(('Activity data'!BD95*(1/Constants!$H$135))*ttokg*FracLEACH*MSLeachEF*NtoN2O*kgtoGg,"NO")</f>
        <v>1.9333864620707719E-6</v>
      </c>
      <c r="BE152" s="22">
        <f>IFERROR(('Activity data'!BE95*(1/Constants!$H$135))*ttokg*FracLEACH*MSLeachEF*NtoN2O*kgtoGg,"NO")</f>
        <v>1.9333864620707719E-6</v>
      </c>
      <c r="BF152" s="22">
        <f>IFERROR(('Activity data'!BF95*(1/Constants!$H$135))*ttokg*FracLEACH*MSLeachEF*NtoN2O*kgtoGg,"NO")</f>
        <v>1.9333864620707719E-6</v>
      </c>
      <c r="BG152" s="22">
        <f>IFERROR(('Activity data'!BG95*(1/Constants!$H$135))*ttokg*FracLEACH*MSLeachEF*NtoN2O*kgtoGg,"NO")</f>
        <v>1.9333864620707719E-6</v>
      </c>
      <c r="BH152" s="22">
        <f>IFERROR(('Activity data'!BH95*(1/Constants!$H$135))*ttokg*FracLEACH*MSLeachEF*NtoN2O*kgtoGg,"NO")</f>
        <v>1.9333864620707719E-6</v>
      </c>
      <c r="BI152" s="22">
        <f>IFERROR(('Activity data'!BI95*(1/Constants!$H$135))*ttokg*FracLEACH*MSLeachEF*NtoN2O*kgtoGg,"NO")</f>
        <v>1.9333864620707719E-6</v>
      </c>
      <c r="BJ152" s="22">
        <f>IFERROR(('Activity data'!BJ95*(1/Constants!$H$135))*ttokg*FracLEACH*MSLeachEF*NtoN2O*kgtoGg,"NO")</f>
        <v>1.9333864620707719E-6</v>
      </c>
      <c r="BK152" s="22">
        <f>IFERROR(('Activity data'!BK95*(1/Constants!$H$135))*ttokg*FracLEACH*MSLeachEF*NtoN2O*kgtoGg,"NO")</f>
        <v>1.9333864620707719E-6</v>
      </c>
      <c r="BL152" s="22">
        <f>IFERROR(('Activity data'!BL95*(1/Constants!$H$135))*ttokg*FracLEACH*MSLeachEF*NtoN2O*kgtoGg,"NO")</f>
        <v>1.9333864620707719E-6</v>
      </c>
      <c r="BM152" s="22">
        <f>IFERROR(('Activity data'!BM95*(1/Constants!$H$135))*ttokg*FracLEACH*MSLeachEF*NtoN2O*kgtoGg,"NO")</f>
        <v>1.9333864620707719E-6</v>
      </c>
      <c r="BN152" s="22">
        <f>IFERROR(('Activity data'!BN95*(1/Constants!$H$135))*ttokg*FracLEACH*MSLeachEF*NtoN2O*kgtoGg,"NO")</f>
        <v>1.9333864620707719E-6</v>
      </c>
      <c r="BO152" s="22">
        <f>IFERROR(('Activity data'!BO95*(1/Constants!$H$135))*ttokg*FracLEACH*MSLeachEF*NtoN2O*kgtoGg,"NO")</f>
        <v>1.9333864620707719E-6</v>
      </c>
      <c r="BP152" s="22">
        <f>IFERROR(('Activity data'!BP95*(1/Constants!$H$135))*ttokg*FracLEACH*MSLeachEF*NtoN2O*kgtoGg,"NO")</f>
        <v>1.9333864620707719E-6</v>
      </c>
    </row>
    <row r="153" spans="1:68" x14ac:dyDescent="0.25">
      <c r="A153" t="str">
        <f t="shared" si="58"/>
        <v>3C Aggregated and non-CO2 emissions on land</v>
      </c>
      <c r="B153" t="str">
        <f t="shared" si="59"/>
        <v>3C5 Indirect N2O from managed soils (N2O)</v>
      </c>
      <c r="C153" t="str">
        <f t="shared" si="54"/>
        <v>Leaching/runoff</v>
      </c>
      <c r="D153" t="str">
        <f>" - FSOM - "&amp;'Activity data'!D96</f>
        <v xml:space="preserve"> - FSOM - Land converted to settlements</v>
      </c>
      <c r="E153" t="str">
        <f t="shared" si="60"/>
        <v>Leaching/runoff - FSOM - Land converted to settlements</v>
      </c>
      <c r="F153" t="str">
        <f t="shared" si="47"/>
        <v>N2O</v>
      </c>
      <c r="G153" t="str">
        <f t="shared" si="48"/>
        <v>Gg N2O</v>
      </c>
      <c r="H153" s="22">
        <f>IFERROR(('Activity data'!H96*(1/Constants!$H$135))*ttokg*FracLEACH*MSLeachEF*NtoN2O*kgtoGg,"NO")</f>
        <v>0</v>
      </c>
      <c r="I153" s="22">
        <f>IFERROR(('Activity data'!I96*(1/Constants!$H$135))*ttokg*FracLEACH*MSLeachEF*NtoN2O*kgtoGg,"NO")</f>
        <v>2.1478724107376677E-4</v>
      </c>
      <c r="J153" s="22">
        <f>IFERROR(('Activity data'!J96*(1/Constants!$H$135))*ttokg*FracLEACH*MSLeachEF*NtoN2O*kgtoGg,"NO")</f>
        <v>2.1478724107376677E-4</v>
      </c>
      <c r="K153" s="22">
        <f>IFERROR(('Activity data'!K96*(1/Constants!$H$135))*ttokg*FracLEACH*MSLeachEF*NtoN2O*kgtoGg,"NO")</f>
        <v>2.1478724107376677E-4</v>
      </c>
      <c r="L153" s="22">
        <f>IFERROR(('Activity data'!L96*(1/Constants!$H$135))*ttokg*FracLEACH*MSLeachEF*NtoN2O*kgtoGg,"NO")</f>
        <v>2.1478724107376677E-4</v>
      </c>
      <c r="M153" s="22">
        <f>IFERROR(('Activity data'!M96*(1/Constants!$H$135))*ttokg*FracLEACH*MSLeachEF*NtoN2O*kgtoGg,"NO")</f>
        <v>2.1478724107376677E-4</v>
      </c>
      <c r="N153" s="22">
        <f>IFERROR(('Activity data'!N96*(1/Constants!$H$135))*ttokg*FracLEACH*MSLeachEF*NtoN2O*kgtoGg,"NO")</f>
        <v>2.1478724107376677E-4</v>
      </c>
      <c r="O153" s="22">
        <f>IFERROR(('Activity data'!O96*(1/Constants!$H$135))*ttokg*FracLEACH*MSLeachEF*NtoN2O*kgtoGg,"NO")</f>
        <v>2.1478724107376677E-4</v>
      </c>
      <c r="P153" s="22">
        <f>IFERROR(('Activity data'!P96*(1/Constants!$H$135))*ttokg*FracLEACH*MSLeachEF*NtoN2O*kgtoGg,"NO")</f>
        <v>2.1478724107376677E-4</v>
      </c>
      <c r="Q153" s="22">
        <f>IFERROR(('Activity data'!Q96*(1/Constants!$H$135))*ttokg*FracLEACH*MSLeachEF*NtoN2O*kgtoGg,"NO")</f>
        <v>2.1478724107376677E-4</v>
      </c>
      <c r="R153" s="22">
        <f>IFERROR(('Activity data'!R96*(1/Constants!$H$135))*ttokg*FracLEACH*MSLeachEF*NtoN2O*kgtoGg,"NO")</f>
        <v>2.1478724107376677E-4</v>
      </c>
      <c r="S153" s="22">
        <f>IFERROR(('Activity data'!S96*(1/Constants!$H$135))*ttokg*FracLEACH*MSLeachEF*NtoN2O*kgtoGg,"NO")</f>
        <v>2.1478724107376677E-4</v>
      </c>
      <c r="T153" s="22">
        <f>IFERROR(('Activity data'!T96*(1/Constants!$H$135))*ttokg*FracLEACH*MSLeachEF*NtoN2O*kgtoGg,"NO")</f>
        <v>2.1478724107376677E-4</v>
      </c>
      <c r="U153" s="22">
        <f>IFERROR(('Activity data'!U96*(1/Constants!$H$135))*ttokg*FracLEACH*MSLeachEF*NtoN2O*kgtoGg,"NO")</f>
        <v>2.1478724107376677E-4</v>
      </c>
      <c r="V153" s="22">
        <f>IFERROR(('Activity data'!V96*(1/Constants!$H$135))*ttokg*FracLEACH*MSLeachEF*NtoN2O*kgtoGg,"NO")</f>
        <v>2.1478724107376677E-4</v>
      </c>
      <c r="W153" s="22">
        <f>IFERROR(('Activity data'!W96*(1/Constants!$H$135))*ttokg*FracLEACH*MSLeachEF*NtoN2O*kgtoGg,"NO")</f>
        <v>2.1478724107376677E-4</v>
      </c>
      <c r="X153" s="22">
        <f>IFERROR(('Activity data'!X96*(1/Constants!$H$135))*ttokg*FracLEACH*MSLeachEF*NtoN2O*kgtoGg,"NO")</f>
        <v>2.1478724107376677E-4</v>
      </c>
      <c r="Y153" s="22">
        <f>IFERROR(('Activity data'!Y96*(1/Constants!$H$135))*ttokg*FracLEACH*MSLeachEF*NtoN2O*kgtoGg,"NO")</f>
        <v>2.1478724107376677E-4</v>
      </c>
      <c r="Z153" s="22">
        <f>IFERROR(('Activity data'!Z96*(1/Constants!$H$135))*ttokg*FracLEACH*MSLeachEF*NtoN2O*kgtoGg,"NO")</f>
        <v>2.1478724107376677E-4</v>
      </c>
      <c r="AA153" s="22">
        <f>IFERROR(('Activity data'!AA96*(1/Constants!$H$135))*ttokg*FracLEACH*MSLeachEF*NtoN2O*kgtoGg,"NO")</f>
        <v>2.1478724107376677E-4</v>
      </c>
      <c r="AB153" s="22">
        <f>IFERROR(('Activity data'!AB96*(1/Constants!$H$135))*ttokg*FracLEACH*MSLeachEF*NtoN2O*kgtoGg,"NO")</f>
        <v>2.1478724107376677E-4</v>
      </c>
      <c r="AC153" s="22">
        <f>IFERROR(('Activity data'!AC96*(1/Constants!$H$135))*ttokg*FracLEACH*MSLeachEF*NtoN2O*kgtoGg,"NO")</f>
        <v>2.1478724107376677E-4</v>
      </c>
      <c r="AD153" s="22">
        <f>IFERROR(('Activity data'!AD96*(1/Constants!$H$135))*ttokg*FracLEACH*MSLeachEF*NtoN2O*kgtoGg,"NO")</f>
        <v>2.1082459751876198E-3</v>
      </c>
      <c r="AE153" s="22">
        <f>IFERROR(('Activity data'!AE96*(1/Constants!$H$135))*ttokg*FracLEACH*MSLeachEF*NtoN2O*kgtoGg,"NO")</f>
        <v>2.1082459751876198E-3</v>
      </c>
      <c r="AF153" s="22">
        <f>IFERROR(('Activity data'!AF96*(1/Constants!$H$135))*ttokg*FracLEACH*MSLeachEF*NtoN2O*kgtoGg,"NO")</f>
        <v>2.1082459751876198E-3</v>
      </c>
      <c r="AG153" s="22">
        <f>IFERROR(('Activity data'!AG96*(1/Constants!$H$135))*ttokg*FracLEACH*MSLeachEF*NtoN2O*kgtoGg,"NO")</f>
        <v>2.1082459751876198E-3</v>
      </c>
      <c r="AH153" s="22">
        <f>IFERROR(('Activity data'!AH96*(1/Constants!$H$135))*ttokg*FracLEACH*MSLeachEF*NtoN2O*kgtoGg,"NO")</f>
        <v>2.1082459751876198E-3</v>
      </c>
      <c r="AI153" s="22">
        <f>IFERROR(('Activity data'!AI96*(1/Constants!$H$135))*ttokg*FracLEACH*MSLeachEF*NtoN2O*kgtoGg,"NO")</f>
        <v>2.1082459751876198E-3</v>
      </c>
      <c r="AJ153" s="22">
        <f>IFERROR(('Activity data'!AJ96*(1/Constants!$H$135))*ttokg*FracLEACH*MSLeachEF*NtoN2O*kgtoGg,"NO")</f>
        <v>2.1082459751876198E-3</v>
      </c>
      <c r="AK153" s="22">
        <f>IFERROR(('Activity data'!AK96*(1/Constants!$H$135))*ttokg*FracLEACH*MSLeachEF*NtoN2O*kgtoGg,"NO")</f>
        <v>2.1082459751876198E-3</v>
      </c>
      <c r="AL153" s="22">
        <f>IFERROR(('Activity data'!AL96*(1/Constants!$H$135))*ttokg*FracLEACH*MSLeachEF*NtoN2O*kgtoGg,"NO")</f>
        <v>2.1082459751876198E-3</v>
      </c>
      <c r="AM153" s="22">
        <f>IFERROR(('Activity data'!AM96*(1/Constants!$H$135))*ttokg*FracLEACH*MSLeachEF*NtoN2O*kgtoGg,"NO")</f>
        <v>2.1082459751876198E-3</v>
      </c>
      <c r="AN153" s="22">
        <f>IFERROR(('Activity data'!AN96*(1/Constants!$H$135))*ttokg*FracLEACH*MSLeachEF*NtoN2O*kgtoGg,"NO")</f>
        <v>2.1082459751876198E-3</v>
      </c>
      <c r="AO153" s="22">
        <f>IFERROR(('Activity data'!AO96*(1/Constants!$H$135))*ttokg*FracLEACH*MSLeachEF*NtoN2O*kgtoGg,"NO")</f>
        <v>2.1082459751876198E-3</v>
      </c>
      <c r="AP153" s="22">
        <f>IFERROR(('Activity data'!AP96*(1/Constants!$H$135))*ttokg*FracLEACH*MSLeachEF*NtoN2O*kgtoGg,"NO")</f>
        <v>2.1082459751876198E-3</v>
      </c>
      <c r="AQ153" s="22">
        <f>IFERROR(('Activity data'!AQ96*(1/Constants!$H$135))*ttokg*FracLEACH*MSLeachEF*NtoN2O*kgtoGg,"NO")</f>
        <v>2.1082459751876198E-3</v>
      </c>
      <c r="AR153" s="22">
        <f>IFERROR(('Activity data'!AR96*(1/Constants!$H$135))*ttokg*FracLEACH*MSLeachEF*NtoN2O*kgtoGg,"NO")</f>
        <v>2.1082459751876198E-3</v>
      </c>
      <c r="AS153" s="22">
        <f>IFERROR(('Activity data'!AS96*(1/Constants!$H$135))*ttokg*FracLEACH*MSLeachEF*NtoN2O*kgtoGg,"NO")</f>
        <v>2.1082459751876198E-3</v>
      </c>
      <c r="AT153" s="22">
        <f>IFERROR(('Activity data'!AT96*(1/Constants!$H$135))*ttokg*FracLEACH*MSLeachEF*NtoN2O*kgtoGg,"NO")</f>
        <v>2.1082459751876198E-3</v>
      </c>
      <c r="AU153" s="22">
        <f>IFERROR(('Activity data'!AU96*(1/Constants!$H$135))*ttokg*FracLEACH*MSLeachEF*NtoN2O*kgtoGg,"NO")</f>
        <v>2.1082459751876198E-3</v>
      </c>
      <c r="AV153" s="22">
        <f>IFERROR(('Activity data'!AV96*(1/Constants!$H$135))*ttokg*FracLEACH*MSLeachEF*NtoN2O*kgtoGg,"NO")</f>
        <v>2.1082459751876198E-3</v>
      </c>
      <c r="AW153" s="22">
        <f>IFERROR(('Activity data'!AW96*(1/Constants!$H$135))*ttokg*FracLEACH*MSLeachEF*NtoN2O*kgtoGg,"NO")</f>
        <v>2.1082459751876198E-3</v>
      </c>
      <c r="AX153" s="22">
        <f>IFERROR(('Activity data'!AX96*(1/Constants!$H$135))*ttokg*FracLEACH*MSLeachEF*NtoN2O*kgtoGg,"NO")</f>
        <v>2.1082459751876198E-3</v>
      </c>
      <c r="AY153" s="22">
        <f>IFERROR(('Activity data'!AY96*(1/Constants!$H$135))*ttokg*FracLEACH*MSLeachEF*NtoN2O*kgtoGg,"NO")</f>
        <v>2.1082459751876198E-3</v>
      </c>
      <c r="AZ153" s="22">
        <f>IFERROR(('Activity data'!AZ96*(1/Constants!$H$135))*ttokg*FracLEACH*MSLeachEF*NtoN2O*kgtoGg,"NO")</f>
        <v>2.1082459751876198E-3</v>
      </c>
      <c r="BA153" s="22">
        <f>IFERROR(('Activity data'!BA96*(1/Constants!$H$135))*ttokg*FracLEACH*MSLeachEF*NtoN2O*kgtoGg,"NO")</f>
        <v>2.1082459751876198E-3</v>
      </c>
      <c r="BB153" s="22">
        <f>IFERROR(('Activity data'!BB96*(1/Constants!$H$135))*ttokg*FracLEACH*MSLeachEF*NtoN2O*kgtoGg,"NO")</f>
        <v>2.1082459751876198E-3</v>
      </c>
      <c r="BC153" s="22">
        <f>IFERROR(('Activity data'!BC96*(1/Constants!$H$135))*ttokg*FracLEACH*MSLeachEF*NtoN2O*kgtoGg,"NO")</f>
        <v>2.1082459751876198E-3</v>
      </c>
      <c r="BD153" s="22">
        <f>IFERROR(('Activity data'!BD96*(1/Constants!$H$135))*ttokg*FracLEACH*MSLeachEF*NtoN2O*kgtoGg,"NO")</f>
        <v>2.1082459751876198E-3</v>
      </c>
      <c r="BE153" s="22">
        <f>IFERROR(('Activity data'!BE96*(1/Constants!$H$135))*ttokg*FracLEACH*MSLeachEF*NtoN2O*kgtoGg,"NO")</f>
        <v>2.1082459751876198E-3</v>
      </c>
      <c r="BF153" s="22">
        <f>IFERROR(('Activity data'!BF96*(1/Constants!$H$135))*ttokg*FracLEACH*MSLeachEF*NtoN2O*kgtoGg,"NO")</f>
        <v>2.1082459751876198E-3</v>
      </c>
      <c r="BG153" s="22">
        <f>IFERROR(('Activity data'!BG96*(1/Constants!$H$135))*ttokg*FracLEACH*MSLeachEF*NtoN2O*kgtoGg,"NO")</f>
        <v>2.1082459751876198E-3</v>
      </c>
      <c r="BH153" s="22">
        <f>IFERROR(('Activity data'!BH96*(1/Constants!$H$135))*ttokg*FracLEACH*MSLeachEF*NtoN2O*kgtoGg,"NO")</f>
        <v>2.1082459751876198E-3</v>
      </c>
      <c r="BI153" s="22">
        <f>IFERROR(('Activity data'!BI96*(1/Constants!$H$135))*ttokg*FracLEACH*MSLeachEF*NtoN2O*kgtoGg,"NO")</f>
        <v>2.1082459751876198E-3</v>
      </c>
      <c r="BJ153" s="22">
        <f>IFERROR(('Activity data'!BJ96*(1/Constants!$H$135))*ttokg*FracLEACH*MSLeachEF*NtoN2O*kgtoGg,"NO")</f>
        <v>2.1082459751876198E-3</v>
      </c>
      <c r="BK153" s="22">
        <f>IFERROR(('Activity data'!BK96*(1/Constants!$H$135))*ttokg*FracLEACH*MSLeachEF*NtoN2O*kgtoGg,"NO")</f>
        <v>2.1082459751876198E-3</v>
      </c>
      <c r="BL153" s="22">
        <f>IFERROR(('Activity data'!BL96*(1/Constants!$H$135))*ttokg*FracLEACH*MSLeachEF*NtoN2O*kgtoGg,"NO")</f>
        <v>2.1082459751876198E-3</v>
      </c>
      <c r="BM153" s="22">
        <f>IFERROR(('Activity data'!BM96*(1/Constants!$H$135))*ttokg*FracLEACH*MSLeachEF*NtoN2O*kgtoGg,"NO")</f>
        <v>2.1082459751876198E-3</v>
      </c>
      <c r="BN153" s="22">
        <f>IFERROR(('Activity data'!BN96*(1/Constants!$H$135))*ttokg*FracLEACH*MSLeachEF*NtoN2O*kgtoGg,"NO")</f>
        <v>2.1082459751876198E-3</v>
      </c>
      <c r="BO153" s="22">
        <f>IFERROR(('Activity data'!BO96*(1/Constants!$H$135))*ttokg*FracLEACH*MSLeachEF*NtoN2O*kgtoGg,"NO")</f>
        <v>2.1082459751876198E-3</v>
      </c>
      <c r="BP153" s="22">
        <f>IFERROR(('Activity data'!BP96*(1/Constants!$H$135))*ttokg*FracLEACH*MSLeachEF*NtoN2O*kgtoGg,"NO")</f>
        <v>2.1082459751876198E-3</v>
      </c>
    </row>
    <row r="154" spans="1:68" x14ac:dyDescent="0.25">
      <c r="A154" t="str">
        <f t="shared" si="58"/>
        <v>3C Aggregated and non-CO2 emissions on land</v>
      </c>
      <c r="B154" t="str">
        <f t="shared" si="59"/>
        <v>3C5 Indirect N2O from managed soils (N2O)</v>
      </c>
      <c r="C154" t="str">
        <f t="shared" si="54"/>
        <v>Leaching/runoff</v>
      </c>
      <c r="D154" t="str">
        <f>" - FSOM - "&amp;'Activity data'!D97</f>
        <v xml:space="preserve"> - FSOM - Other land remaining other land</v>
      </c>
      <c r="E154" t="str">
        <f t="shared" si="60"/>
        <v>Leaching/runoff - FSOM - Other land remaining other land</v>
      </c>
      <c r="F154" t="str">
        <f t="shared" si="47"/>
        <v>N2O</v>
      </c>
      <c r="G154" t="str">
        <f t="shared" si="48"/>
        <v>Gg N2O</v>
      </c>
      <c r="H154" s="22" t="str">
        <f>IFERROR(('Activity data'!H97*(1/Constants!$H$135))*ttokg*FracLEACH*MSLeachEF*NtoN2O*kgtoGg,"NO")</f>
        <v>NO</v>
      </c>
      <c r="I154" s="22" t="str">
        <f>IFERROR(('Activity data'!I97*(1/Constants!$H$135))*ttokg*FracLEACH*MSLeachEF*NtoN2O*kgtoGg,"NO")</f>
        <v>NO</v>
      </c>
      <c r="J154" s="22" t="str">
        <f>IFERROR(('Activity data'!J97*(1/Constants!$H$135))*ttokg*FracLEACH*MSLeachEF*NtoN2O*kgtoGg,"NO")</f>
        <v>NO</v>
      </c>
      <c r="K154" s="22" t="str">
        <f>IFERROR(('Activity data'!K97*(1/Constants!$H$135))*ttokg*FracLEACH*MSLeachEF*NtoN2O*kgtoGg,"NO")</f>
        <v>NO</v>
      </c>
      <c r="L154" s="22" t="str">
        <f>IFERROR(('Activity data'!L97*(1/Constants!$H$135))*ttokg*FracLEACH*MSLeachEF*NtoN2O*kgtoGg,"NO")</f>
        <v>NO</v>
      </c>
      <c r="M154" s="22" t="str">
        <f>IFERROR(('Activity data'!M97*(1/Constants!$H$135))*ttokg*FracLEACH*MSLeachEF*NtoN2O*kgtoGg,"NO")</f>
        <v>NO</v>
      </c>
      <c r="N154" s="22" t="str">
        <f>IFERROR(('Activity data'!N97*(1/Constants!$H$135))*ttokg*FracLEACH*MSLeachEF*NtoN2O*kgtoGg,"NO")</f>
        <v>NO</v>
      </c>
      <c r="O154" s="22" t="str">
        <f>IFERROR(('Activity data'!O97*(1/Constants!$H$135))*ttokg*FracLEACH*MSLeachEF*NtoN2O*kgtoGg,"NO")</f>
        <v>NO</v>
      </c>
      <c r="P154" s="22" t="str">
        <f>IFERROR(('Activity data'!P97*(1/Constants!$H$135))*ttokg*FracLEACH*MSLeachEF*NtoN2O*kgtoGg,"NO")</f>
        <v>NO</v>
      </c>
      <c r="Q154" s="22" t="str">
        <f>IFERROR(('Activity data'!Q97*(1/Constants!$H$135))*ttokg*FracLEACH*MSLeachEF*NtoN2O*kgtoGg,"NO")</f>
        <v>NO</v>
      </c>
      <c r="R154" s="22" t="str">
        <f>IFERROR(('Activity data'!R97*(1/Constants!$H$135))*ttokg*FracLEACH*MSLeachEF*NtoN2O*kgtoGg,"NO")</f>
        <v>NO</v>
      </c>
      <c r="S154" s="22" t="str">
        <f>IFERROR(('Activity data'!S97*(1/Constants!$H$135))*ttokg*FracLEACH*MSLeachEF*NtoN2O*kgtoGg,"NO")</f>
        <v>NO</v>
      </c>
      <c r="T154" s="22" t="str">
        <f>IFERROR(('Activity data'!T97*(1/Constants!$H$135))*ttokg*FracLEACH*MSLeachEF*NtoN2O*kgtoGg,"NO")</f>
        <v>NO</v>
      </c>
      <c r="U154" s="22" t="str">
        <f>IFERROR(('Activity data'!U97*(1/Constants!$H$135))*ttokg*FracLEACH*MSLeachEF*NtoN2O*kgtoGg,"NO")</f>
        <v>NO</v>
      </c>
      <c r="V154" s="22" t="str">
        <f>IFERROR(('Activity data'!V97*(1/Constants!$H$135))*ttokg*FracLEACH*MSLeachEF*NtoN2O*kgtoGg,"NO")</f>
        <v>NO</v>
      </c>
      <c r="W154" s="22" t="str">
        <f>IFERROR(('Activity data'!W97*(1/Constants!$H$135))*ttokg*FracLEACH*MSLeachEF*NtoN2O*kgtoGg,"NO")</f>
        <v>NO</v>
      </c>
      <c r="X154" s="22" t="str">
        <f>IFERROR(('Activity data'!X97*(1/Constants!$H$135))*ttokg*FracLEACH*MSLeachEF*NtoN2O*kgtoGg,"NO")</f>
        <v>NO</v>
      </c>
      <c r="Y154" s="22" t="str">
        <f>IFERROR(('Activity data'!Y97*(1/Constants!$H$135))*ttokg*FracLEACH*MSLeachEF*NtoN2O*kgtoGg,"NO")</f>
        <v>NO</v>
      </c>
      <c r="Z154" s="22" t="str">
        <f>IFERROR(('Activity data'!Z97*(1/Constants!$H$135))*ttokg*FracLEACH*MSLeachEF*NtoN2O*kgtoGg,"NO")</f>
        <v>NO</v>
      </c>
      <c r="AA154" s="22" t="str">
        <f>IFERROR(('Activity data'!AA97*(1/Constants!$H$135))*ttokg*FracLEACH*MSLeachEF*NtoN2O*kgtoGg,"NO")</f>
        <v>NO</v>
      </c>
      <c r="AB154" s="22" t="str">
        <f>IFERROR(('Activity data'!AB97*(1/Constants!$H$135))*ttokg*FracLEACH*MSLeachEF*NtoN2O*kgtoGg,"NO")</f>
        <v>NO</v>
      </c>
      <c r="AC154" s="22" t="str">
        <f>IFERROR(('Activity data'!AC97*(1/Constants!$H$135))*ttokg*FracLEACH*MSLeachEF*NtoN2O*kgtoGg,"NO")</f>
        <v>NO</v>
      </c>
      <c r="AD154" s="22" t="str">
        <f>IFERROR(('Activity data'!AD97*(1/Constants!$H$135))*ttokg*FracLEACH*MSLeachEF*NtoN2O*kgtoGg,"NO")</f>
        <v>NO</v>
      </c>
      <c r="AE154" s="22" t="str">
        <f>IFERROR(('Activity data'!AE97*(1/Constants!$H$135))*ttokg*FracLEACH*MSLeachEF*NtoN2O*kgtoGg,"NO")</f>
        <v>NO</v>
      </c>
      <c r="AF154" s="22" t="str">
        <f>IFERROR(('Activity data'!AF97*(1/Constants!$H$135))*ttokg*FracLEACH*MSLeachEF*NtoN2O*kgtoGg,"NO")</f>
        <v>NO</v>
      </c>
      <c r="AG154" s="22" t="str">
        <f>IFERROR(('Activity data'!AG97*(1/Constants!$H$135))*ttokg*FracLEACH*MSLeachEF*NtoN2O*kgtoGg,"NO")</f>
        <v>NO</v>
      </c>
      <c r="AH154" s="22" t="str">
        <f>IFERROR(('Activity data'!AH97*(1/Constants!$H$135))*ttokg*FracLEACH*MSLeachEF*NtoN2O*kgtoGg,"NO")</f>
        <v>NO</v>
      </c>
      <c r="AI154" s="22" t="str">
        <f>IFERROR(('Activity data'!AI97*(1/Constants!$H$135))*ttokg*FracLEACH*MSLeachEF*NtoN2O*kgtoGg,"NO")</f>
        <v>NO</v>
      </c>
      <c r="AJ154" s="22" t="str">
        <f>IFERROR(('Activity data'!AJ97*(1/Constants!$H$135))*ttokg*FracLEACH*MSLeachEF*NtoN2O*kgtoGg,"NO")</f>
        <v>NO</v>
      </c>
      <c r="AK154" s="22" t="str">
        <f>IFERROR(('Activity data'!AK97*(1/Constants!$H$135))*ttokg*FracLEACH*MSLeachEF*NtoN2O*kgtoGg,"NO")</f>
        <v>NO</v>
      </c>
      <c r="AL154" s="22" t="str">
        <f>IFERROR(('Activity data'!AL97*(1/Constants!$H$135))*ttokg*FracLEACH*MSLeachEF*NtoN2O*kgtoGg,"NO")</f>
        <v>NO</v>
      </c>
      <c r="AM154" s="22" t="str">
        <f>IFERROR(('Activity data'!AM97*(1/Constants!$H$135))*ttokg*FracLEACH*MSLeachEF*NtoN2O*kgtoGg,"NO")</f>
        <v>NO</v>
      </c>
      <c r="AN154" s="22" t="str">
        <f>IFERROR(('Activity data'!AN97*(1/Constants!$H$135))*ttokg*FracLEACH*MSLeachEF*NtoN2O*kgtoGg,"NO")</f>
        <v>NO</v>
      </c>
      <c r="AO154" s="22" t="str">
        <f>IFERROR(('Activity data'!AO97*(1/Constants!$H$135))*ttokg*FracLEACH*MSLeachEF*NtoN2O*kgtoGg,"NO")</f>
        <v>NO</v>
      </c>
      <c r="AP154" s="22" t="str">
        <f>IFERROR(('Activity data'!AP97*(1/Constants!$H$135))*ttokg*FracLEACH*MSLeachEF*NtoN2O*kgtoGg,"NO")</f>
        <v>NO</v>
      </c>
      <c r="AQ154" s="22" t="str">
        <f>IFERROR(('Activity data'!AQ97*(1/Constants!$H$135))*ttokg*FracLEACH*MSLeachEF*NtoN2O*kgtoGg,"NO")</f>
        <v>NO</v>
      </c>
      <c r="AR154" s="22" t="str">
        <f>IFERROR(('Activity data'!AR97*(1/Constants!$H$135))*ttokg*FracLEACH*MSLeachEF*NtoN2O*kgtoGg,"NO")</f>
        <v>NO</v>
      </c>
      <c r="AS154" s="22" t="str">
        <f>IFERROR(('Activity data'!AS97*(1/Constants!$H$135))*ttokg*FracLEACH*MSLeachEF*NtoN2O*kgtoGg,"NO")</f>
        <v>NO</v>
      </c>
      <c r="AT154" s="22" t="str">
        <f>IFERROR(('Activity data'!AT97*(1/Constants!$H$135))*ttokg*FracLEACH*MSLeachEF*NtoN2O*kgtoGg,"NO")</f>
        <v>NO</v>
      </c>
      <c r="AU154" s="22" t="str">
        <f>IFERROR(('Activity data'!AU97*(1/Constants!$H$135))*ttokg*FracLEACH*MSLeachEF*NtoN2O*kgtoGg,"NO")</f>
        <v>NO</v>
      </c>
      <c r="AV154" s="22" t="str">
        <f>IFERROR(('Activity data'!AV97*(1/Constants!$H$135))*ttokg*FracLEACH*MSLeachEF*NtoN2O*kgtoGg,"NO")</f>
        <v>NO</v>
      </c>
      <c r="AW154" s="22" t="str">
        <f>IFERROR(('Activity data'!AW97*(1/Constants!$H$135))*ttokg*FracLEACH*MSLeachEF*NtoN2O*kgtoGg,"NO")</f>
        <v>NO</v>
      </c>
      <c r="AX154" s="22" t="str">
        <f>IFERROR(('Activity data'!AX97*(1/Constants!$H$135))*ttokg*FracLEACH*MSLeachEF*NtoN2O*kgtoGg,"NO")</f>
        <v>NO</v>
      </c>
      <c r="AY154" s="22" t="str">
        <f>IFERROR(('Activity data'!AY97*(1/Constants!$H$135))*ttokg*FracLEACH*MSLeachEF*NtoN2O*kgtoGg,"NO")</f>
        <v>NO</v>
      </c>
      <c r="AZ154" s="22" t="str">
        <f>IFERROR(('Activity data'!AZ97*(1/Constants!$H$135))*ttokg*FracLEACH*MSLeachEF*NtoN2O*kgtoGg,"NO")</f>
        <v>NO</v>
      </c>
      <c r="BA154" s="22" t="str">
        <f>IFERROR(('Activity data'!BA97*(1/Constants!$H$135))*ttokg*FracLEACH*MSLeachEF*NtoN2O*kgtoGg,"NO")</f>
        <v>NO</v>
      </c>
      <c r="BB154" s="22" t="str">
        <f>IFERROR(('Activity data'!BB97*(1/Constants!$H$135))*ttokg*FracLEACH*MSLeachEF*NtoN2O*kgtoGg,"NO")</f>
        <v>NO</v>
      </c>
      <c r="BC154" s="22" t="str">
        <f>IFERROR(('Activity data'!BC97*(1/Constants!$H$135))*ttokg*FracLEACH*MSLeachEF*NtoN2O*kgtoGg,"NO")</f>
        <v>NO</v>
      </c>
      <c r="BD154" s="22" t="str">
        <f>IFERROR(('Activity data'!BD97*(1/Constants!$H$135))*ttokg*FracLEACH*MSLeachEF*NtoN2O*kgtoGg,"NO")</f>
        <v>NO</v>
      </c>
      <c r="BE154" s="22" t="str">
        <f>IFERROR(('Activity data'!BE97*(1/Constants!$H$135))*ttokg*FracLEACH*MSLeachEF*NtoN2O*kgtoGg,"NO")</f>
        <v>NO</v>
      </c>
      <c r="BF154" s="22" t="str">
        <f>IFERROR(('Activity data'!BF97*(1/Constants!$H$135))*ttokg*FracLEACH*MSLeachEF*NtoN2O*kgtoGg,"NO")</f>
        <v>NO</v>
      </c>
      <c r="BG154" s="22" t="str">
        <f>IFERROR(('Activity data'!BG97*(1/Constants!$H$135))*ttokg*FracLEACH*MSLeachEF*NtoN2O*kgtoGg,"NO")</f>
        <v>NO</v>
      </c>
      <c r="BH154" s="22" t="str">
        <f>IFERROR(('Activity data'!BH97*(1/Constants!$H$135))*ttokg*FracLEACH*MSLeachEF*NtoN2O*kgtoGg,"NO")</f>
        <v>NO</v>
      </c>
      <c r="BI154" s="22" t="str">
        <f>IFERROR(('Activity data'!BI97*(1/Constants!$H$135))*ttokg*FracLEACH*MSLeachEF*NtoN2O*kgtoGg,"NO")</f>
        <v>NO</v>
      </c>
      <c r="BJ154" s="22" t="str">
        <f>IFERROR(('Activity data'!BJ97*(1/Constants!$H$135))*ttokg*FracLEACH*MSLeachEF*NtoN2O*kgtoGg,"NO")</f>
        <v>NO</v>
      </c>
      <c r="BK154" s="22" t="str">
        <f>IFERROR(('Activity data'!BK97*(1/Constants!$H$135))*ttokg*FracLEACH*MSLeachEF*NtoN2O*kgtoGg,"NO")</f>
        <v>NO</v>
      </c>
      <c r="BL154" s="22" t="str">
        <f>IFERROR(('Activity data'!BL97*(1/Constants!$H$135))*ttokg*FracLEACH*MSLeachEF*NtoN2O*kgtoGg,"NO")</f>
        <v>NO</v>
      </c>
      <c r="BM154" s="22" t="str">
        <f>IFERROR(('Activity data'!BM97*(1/Constants!$H$135))*ttokg*FracLEACH*MSLeachEF*NtoN2O*kgtoGg,"NO")</f>
        <v>NO</v>
      </c>
      <c r="BN154" s="22" t="str">
        <f>IFERROR(('Activity data'!BN97*(1/Constants!$H$135))*ttokg*FracLEACH*MSLeachEF*NtoN2O*kgtoGg,"NO")</f>
        <v>NO</v>
      </c>
      <c r="BO154" s="22" t="str">
        <f>IFERROR(('Activity data'!BO97*(1/Constants!$H$135))*ttokg*FracLEACH*MSLeachEF*NtoN2O*kgtoGg,"NO")</f>
        <v>NO</v>
      </c>
      <c r="BP154" s="22" t="str">
        <f>IFERROR(('Activity data'!BP97*(1/Constants!$H$135))*ttokg*FracLEACH*MSLeachEF*NtoN2O*kgtoGg,"NO")</f>
        <v>NO</v>
      </c>
    </row>
    <row r="155" spans="1:68" x14ac:dyDescent="0.25">
      <c r="A155" t="str">
        <f t="shared" si="58"/>
        <v>3C Aggregated and non-CO2 emissions on land</v>
      </c>
      <c r="B155" t="str">
        <f t="shared" si="59"/>
        <v>3C5 Indirect N2O from managed soils (N2O)</v>
      </c>
      <c r="C155" t="str">
        <f t="shared" si="54"/>
        <v>Leaching/runoff</v>
      </c>
      <c r="D155" t="str">
        <f>" - FSOM - "&amp;'Activity data'!D98</f>
        <v xml:space="preserve"> - FSOM - Land converted to other lands</v>
      </c>
      <c r="E155" t="str">
        <f t="shared" si="60"/>
        <v>Leaching/runoff - FSOM - Land converted to other lands</v>
      </c>
      <c r="F155" t="str">
        <f t="shared" si="47"/>
        <v>N2O</v>
      </c>
      <c r="G155" t="str">
        <f t="shared" si="48"/>
        <v>Gg N2O</v>
      </c>
      <c r="H155" s="22">
        <f>IFERROR(('Activity data'!H98*(1/Constants!$H$135))*ttokg*FracLEACH*MSLeachEF*NtoN2O*kgtoGg,"NO")</f>
        <v>0</v>
      </c>
      <c r="I155" s="22">
        <f>IFERROR(('Activity data'!I98*(1/Constants!$H$135))*ttokg*FracLEACH*MSLeachEF*NtoN2O*kgtoGg,"NO")</f>
        <v>9.7559091197165892E-3</v>
      </c>
      <c r="J155" s="22">
        <f>IFERROR(('Activity data'!J98*(1/Constants!$H$135))*ttokg*FracLEACH*MSLeachEF*NtoN2O*kgtoGg,"NO")</f>
        <v>9.7559091197165892E-3</v>
      </c>
      <c r="K155" s="22">
        <f>IFERROR(('Activity data'!K98*(1/Constants!$H$135))*ttokg*FracLEACH*MSLeachEF*NtoN2O*kgtoGg,"NO")</f>
        <v>9.7559091197165892E-3</v>
      </c>
      <c r="L155" s="22">
        <f>IFERROR(('Activity data'!L98*(1/Constants!$H$135))*ttokg*FracLEACH*MSLeachEF*NtoN2O*kgtoGg,"NO")</f>
        <v>9.7559091197165892E-3</v>
      </c>
      <c r="M155" s="22">
        <f>IFERROR(('Activity data'!M98*(1/Constants!$H$135))*ttokg*FracLEACH*MSLeachEF*NtoN2O*kgtoGg,"NO")</f>
        <v>9.7559091197165892E-3</v>
      </c>
      <c r="N155" s="22">
        <f>IFERROR(('Activity data'!N98*(1/Constants!$H$135))*ttokg*FracLEACH*MSLeachEF*NtoN2O*kgtoGg,"NO")</f>
        <v>9.7559091197165892E-3</v>
      </c>
      <c r="O155" s="22">
        <f>IFERROR(('Activity data'!O98*(1/Constants!$H$135))*ttokg*FracLEACH*MSLeachEF*NtoN2O*kgtoGg,"NO")</f>
        <v>9.7559091197165892E-3</v>
      </c>
      <c r="P155" s="22">
        <f>IFERROR(('Activity data'!P98*(1/Constants!$H$135))*ttokg*FracLEACH*MSLeachEF*NtoN2O*kgtoGg,"NO")</f>
        <v>9.7559091197165892E-3</v>
      </c>
      <c r="Q155" s="22">
        <f>IFERROR(('Activity data'!Q98*(1/Constants!$H$135))*ttokg*FracLEACH*MSLeachEF*NtoN2O*kgtoGg,"NO")</f>
        <v>9.7559091197165892E-3</v>
      </c>
      <c r="R155" s="22">
        <f>IFERROR(('Activity data'!R98*(1/Constants!$H$135))*ttokg*FracLEACH*MSLeachEF*NtoN2O*kgtoGg,"NO")</f>
        <v>9.7559091197165892E-3</v>
      </c>
      <c r="S155" s="22">
        <f>IFERROR(('Activity data'!S98*(1/Constants!$H$135))*ttokg*FracLEACH*MSLeachEF*NtoN2O*kgtoGg,"NO")</f>
        <v>9.7559091197165892E-3</v>
      </c>
      <c r="T155" s="22">
        <f>IFERROR(('Activity data'!T98*(1/Constants!$H$135))*ttokg*FracLEACH*MSLeachEF*NtoN2O*kgtoGg,"NO")</f>
        <v>9.7559091197165892E-3</v>
      </c>
      <c r="U155" s="22">
        <f>IFERROR(('Activity data'!U98*(1/Constants!$H$135))*ttokg*FracLEACH*MSLeachEF*NtoN2O*kgtoGg,"NO")</f>
        <v>9.7559091197165892E-3</v>
      </c>
      <c r="V155" s="22">
        <f>IFERROR(('Activity data'!V98*(1/Constants!$H$135))*ttokg*FracLEACH*MSLeachEF*NtoN2O*kgtoGg,"NO")</f>
        <v>9.7559091197165892E-3</v>
      </c>
      <c r="W155" s="22">
        <f>IFERROR(('Activity data'!W98*(1/Constants!$H$135))*ttokg*FracLEACH*MSLeachEF*NtoN2O*kgtoGg,"NO")</f>
        <v>9.7559091197165892E-3</v>
      </c>
      <c r="X155" s="22">
        <f>IFERROR(('Activity data'!X98*(1/Constants!$H$135))*ttokg*FracLEACH*MSLeachEF*NtoN2O*kgtoGg,"NO")</f>
        <v>9.7559091197165892E-3</v>
      </c>
      <c r="Y155" s="22">
        <f>IFERROR(('Activity data'!Y98*(1/Constants!$H$135))*ttokg*FracLEACH*MSLeachEF*NtoN2O*kgtoGg,"NO")</f>
        <v>9.7559091197165892E-3</v>
      </c>
      <c r="Z155" s="22">
        <f>IFERROR(('Activity data'!Z98*(1/Constants!$H$135))*ttokg*FracLEACH*MSLeachEF*NtoN2O*kgtoGg,"NO")</f>
        <v>9.7559091197165892E-3</v>
      </c>
      <c r="AA155" s="22">
        <f>IFERROR(('Activity data'!AA98*(1/Constants!$H$135))*ttokg*FracLEACH*MSLeachEF*NtoN2O*kgtoGg,"NO")</f>
        <v>9.7559091197165892E-3</v>
      </c>
      <c r="AB155" s="22">
        <f>IFERROR(('Activity data'!AB98*(1/Constants!$H$135))*ttokg*FracLEACH*MSLeachEF*NtoN2O*kgtoGg,"NO")</f>
        <v>9.7559091197165892E-3</v>
      </c>
      <c r="AC155" s="22">
        <f>IFERROR(('Activity data'!AC98*(1/Constants!$H$135))*ttokg*FracLEACH*MSLeachEF*NtoN2O*kgtoGg,"NO")</f>
        <v>9.7559091197165892E-3</v>
      </c>
      <c r="AD155" s="22">
        <f>IFERROR(('Activity data'!AD98*(1/Constants!$H$135))*ttokg*FracLEACH*MSLeachEF*NtoN2O*kgtoGg,"NO")</f>
        <v>0.11026792439175388</v>
      </c>
      <c r="AE155" s="22">
        <f>IFERROR(('Activity data'!AE98*(1/Constants!$H$135))*ttokg*FracLEACH*MSLeachEF*NtoN2O*kgtoGg,"NO")</f>
        <v>0.11026792439175388</v>
      </c>
      <c r="AF155" s="22">
        <f>IFERROR(('Activity data'!AF98*(1/Constants!$H$135))*ttokg*FracLEACH*MSLeachEF*NtoN2O*kgtoGg,"NO")</f>
        <v>0.11026792439175388</v>
      </c>
      <c r="AG155" s="22">
        <f>IFERROR(('Activity data'!AG98*(1/Constants!$H$135))*ttokg*FracLEACH*MSLeachEF*NtoN2O*kgtoGg,"NO")</f>
        <v>0.11026792439175388</v>
      </c>
      <c r="AH155" s="22">
        <f>IFERROR(('Activity data'!AH98*(1/Constants!$H$135))*ttokg*FracLEACH*MSLeachEF*NtoN2O*kgtoGg,"NO")</f>
        <v>0.11026792439175388</v>
      </c>
      <c r="AI155" s="22">
        <f>IFERROR(('Activity data'!AI98*(1/Constants!$H$135))*ttokg*FracLEACH*MSLeachEF*NtoN2O*kgtoGg,"NO")</f>
        <v>0.11026792439175388</v>
      </c>
      <c r="AJ155" s="22">
        <f>IFERROR(('Activity data'!AJ98*(1/Constants!$H$135))*ttokg*FracLEACH*MSLeachEF*NtoN2O*kgtoGg,"NO")</f>
        <v>0.11026792439175388</v>
      </c>
      <c r="AK155" s="22">
        <f>IFERROR(('Activity data'!AK98*(1/Constants!$H$135))*ttokg*FracLEACH*MSLeachEF*NtoN2O*kgtoGg,"NO")</f>
        <v>0.11026792439175388</v>
      </c>
      <c r="AL155" s="22">
        <f>IFERROR(('Activity data'!AL98*(1/Constants!$H$135))*ttokg*FracLEACH*MSLeachEF*NtoN2O*kgtoGg,"NO")</f>
        <v>0.11026792439175388</v>
      </c>
      <c r="AM155" s="22">
        <f>IFERROR(('Activity data'!AM98*(1/Constants!$H$135))*ttokg*FracLEACH*MSLeachEF*NtoN2O*kgtoGg,"NO")</f>
        <v>0.11026792439175388</v>
      </c>
      <c r="AN155" s="22">
        <f>IFERROR(('Activity data'!AN98*(1/Constants!$H$135))*ttokg*FracLEACH*MSLeachEF*NtoN2O*kgtoGg,"NO")</f>
        <v>0.11026792439175388</v>
      </c>
      <c r="AO155" s="22">
        <f>IFERROR(('Activity data'!AO98*(1/Constants!$H$135))*ttokg*FracLEACH*MSLeachEF*NtoN2O*kgtoGg,"NO")</f>
        <v>0.11026792439175388</v>
      </c>
      <c r="AP155" s="22">
        <f>IFERROR(('Activity data'!AP98*(1/Constants!$H$135))*ttokg*FracLEACH*MSLeachEF*NtoN2O*kgtoGg,"NO")</f>
        <v>0.11026792439175388</v>
      </c>
      <c r="AQ155" s="22">
        <f>IFERROR(('Activity data'!AQ98*(1/Constants!$H$135))*ttokg*FracLEACH*MSLeachEF*NtoN2O*kgtoGg,"NO")</f>
        <v>0.11026792439175388</v>
      </c>
      <c r="AR155" s="22">
        <f>IFERROR(('Activity data'!AR98*(1/Constants!$H$135))*ttokg*FracLEACH*MSLeachEF*NtoN2O*kgtoGg,"NO")</f>
        <v>0.11026792439175388</v>
      </c>
      <c r="AS155" s="22">
        <f>IFERROR(('Activity data'!AS98*(1/Constants!$H$135))*ttokg*FracLEACH*MSLeachEF*NtoN2O*kgtoGg,"NO")</f>
        <v>0.11026792439175388</v>
      </c>
      <c r="AT155" s="22">
        <f>IFERROR(('Activity data'!AT98*(1/Constants!$H$135))*ttokg*FracLEACH*MSLeachEF*NtoN2O*kgtoGg,"NO")</f>
        <v>0.11026792439175388</v>
      </c>
      <c r="AU155" s="22">
        <f>IFERROR(('Activity data'!AU98*(1/Constants!$H$135))*ttokg*FracLEACH*MSLeachEF*NtoN2O*kgtoGg,"NO")</f>
        <v>0.11026792439175388</v>
      </c>
      <c r="AV155" s="22">
        <f>IFERROR(('Activity data'!AV98*(1/Constants!$H$135))*ttokg*FracLEACH*MSLeachEF*NtoN2O*kgtoGg,"NO")</f>
        <v>0.11026792439175388</v>
      </c>
      <c r="AW155" s="22">
        <f>IFERROR(('Activity data'!AW98*(1/Constants!$H$135))*ttokg*FracLEACH*MSLeachEF*NtoN2O*kgtoGg,"NO")</f>
        <v>0.11026792439175388</v>
      </c>
      <c r="AX155" s="22">
        <f>IFERROR(('Activity data'!AX98*(1/Constants!$H$135))*ttokg*FracLEACH*MSLeachEF*NtoN2O*kgtoGg,"NO")</f>
        <v>0.11026792439175388</v>
      </c>
      <c r="AY155" s="22">
        <f>IFERROR(('Activity data'!AY98*(1/Constants!$H$135))*ttokg*FracLEACH*MSLeachEF*NtoN2O*kgtoGg,"NO")</f>
        <v>0.11026792439175388</v>
      </c>
      <c r="AZ155" s="22">
        <f>IFERROR(('Activity data'!AZ98*(1/Constants!$H$135))*ttokg*FracLEACH*MSLeachEF*NtoN2O*kgtoGg,"NO")</f>
        <v>0.11026792439175388</v>
      </c>
      <c r="BA155" s="22">
        <f>IFERROR(('Activity data'!BA98*(1/Constants!$H$135))*ttokg*FracLEACH*MSLeachEF*NtoN2O*kgtoGg,"NO")</f>
        <v>0.11026792439175388</v>
      </c>
      <c r="BB155" s="22">
        <f>IFERROR(('Activity data'!BB98*(1/Constants!$H$135))*ttokg*FracLEACH*MSLeachEF*NtoN2O*kgtoGg,"NO")</f>
        <v>0.11026792439175388</v>
      </c>
      <c r="BC155" s="22">
        <f>IFERROR(('Activity data'!BC98*(1/Constants!$H$135))*ttokg*FracLEACH*MSLeachEF*NtoN2O*kgtoGg,"NO")</f>
        <v>0.11026792439175388</v>
      </c>
      <c r="BD155" s="22">
        <f>IFERROR(('Activity data'!BD98*(1/Constants!$H$135))*ttokg*FracLEACH*MSLeachEF*NtoN2O*kgtoGg,"NO")</f>
        <v>0.11026792439175388</v>
      </c>
      <c r="BE155" s="22">
        <f>IFERROR(('Activity data'!BE98*(1/Constants!$H$135))*ttokg*FracLEACH*MSLeachEF*NtoN2O*kgtoGg,"NO")</f>
        <v>0.11026792439175388</v>
      </c>
      <c r="BF155" s="22">
        <f>IFERROR(('Activity data'!BF98*(1/Constants!$H$135))*ttokg*FracLEACH*MSLeachEF*NtoN2O*kgtoGg,"NO")</f>
        <v>0.11026792439175388</v>
      </c>
      <c r="BG155" s="22">
        <f>IFERROR(('Activity data'!BG98*(1/Constants!$H$135))*ttokg*FracLEACH*MSLeachEF*NtoN2O*kgtoGg,"NO")</f>
        <v>0.11026792439175388</v>
      </c>
      <c r="BH155" s="22">
        <f>IFERROR(('Activity data'!BH98*(1/Constants!$H$135))*ttokg*FracLEACH*MSLeachEF*NtoN2O*kgtoGg,"NO")</f>
        <v>0.11026792439175388</v>
      </c>
      <c r="BI155" s="22">
        <f>IFERROR(('Activity data'!BI98*(1/Constants!$H$135))*ttokg*FracLEACH*MSLeachEF*NtoN2O*kgtoGg,"NO")</f>
        <v>0.11026792439175388</v>
      </c>
      <c r="BJ155" s="22">
        <f>IFERROR(('Activity data'!BJ98*(1/Constants!$H$135))*ttokg*FracLEACH*MSLeachEF*NtoN2O*kgtoGg,"NO")</f>
        <v>0.11026792439175388</v>
      </c>
      <c r="BK155" s="22">
        <f>IFERROR(('Activity data'!BK98*(1/Constants!$H$135))*ttokg*FracLEACH*MSLeachEF*NtoN2O*kgtoGg,"NO")</f>
        <v>0.11026792439175388</v>
      </c>
      <c r="BL155" s="22">
        <f>IFERROR(('Activity data'!BL98*(1/Constants!$H$135))*ttokg*FracLEACH*MSLeachEF*NtoN2O*kgtoGg,"NO")</f>
        <v>0.11026792439175388</v>
      </c>
      <c r="BM155" s="22">
        <f>IFERROR(('Activity data'!BM98*(1/Constants!$H$135))*ttokg*FracLEACH*MSLeachEF*NtoN2O*kgtoGg,"NO")</f>
        <v>0.11026792439175388</v>
      </c>
      <c r="BN155" s="22">
        <f>IFERROR(('Activity data'!BN98*(1/Constants!$H$135))*ttokg*FracLEACH*MSLeachEF*NtoN2O*kgtoGg,"NO")</f>
        <v>0.11026792439175388</v>
      </c>
      <c r="BO155" s="22">
        <f>IFERROR(('Activity data'!BO98*(1/Constants!$H$135))*ttokg*FracLEACH*MSLeachEF*NtoN2O*kgtoGg,"NO")</f>
        <v>0.11026792439175388</v>
      </c>
      <c r="BP155" s="22">
        <f>IFERROR(('Activity data'!BP98*(1/Constants!$H$135))*ttokg*FracLEACH*MSLeachEF*NtoN2O*kgtoGg,"NO")</f>
        <v>0.11026792439175388</v>
      </c>
    </row>
    <row r="156" spans="1:68" x14ac:dyDescent="0.25">
      <c r="A156" t="str">
        <f t="shared" si="58"/>
        <v>3C Aggregated and non-CO2 emissions on land</v>
      </c>
      <c r="B156" t="str">
        <f>'IPCC Categories'!B80</f>
        <v>3C6 Indirect N2O from manure management (N2O)</v>
      </c>
      <c r="C156" t="str">
        <f>'IPCC Categories'!C80</f>
        <v>Volatilisation</v>
      </c>
      <c r="D156" t="str">
        <f>'Activity data'!D66</f>
        <v xml:space="preserve"> - TMR</v>
      </c>
      <c r="E156" t="str">
        <f t="shared" ref="E156:E171" si="61">C156&amp;D156</f>
        <v>Volatilisation - TMR</v>
      </c>
      <c r="F156" t="str">
        <f t="shared" si="47"/>
        <v>N2O</v>
      </c>
      <c r="G156" t="str">
        <f t="shared" si="48"/>
        <v>Gg N2O</v>
      </c>
      <c r="H156" s="22">
        <f>Constants!$H63*'Activity data'!H5*Constants!$H81*EF!$H206*MMVolatEF*NtoN2O*kgtoGg</f>
        <v>0.32741583539331282</v>
      </c>
      <c r="I156" s="22">
        <f>Constants!$H63*'Activity data'!I5*Constants!$H81*EF!$H206*MMVolatEF*NtoN2O*kgtoGg</f>
        <v>0.3769406717199888</v>
      </c>
      <c r="J156" s="22">
        <f>Constants!$H63*'Activity data'!J5*Constants!$H81*EF!$H206*MMVolatEF*NtoN2O*kgtoGg</f>
        <v>0.32610245326188425</v>
      </c>
      <c r="K156" s="22">
        <f>Constants!$H63*'Activity data'!K5*Constants!$H81*EF!$H206*MMVolatEF*NtoN2O*kgtoGg</f>
        <v>0.3458622136437135</v>
      </c>
      <c r="L156" s="22">
        <f>Constants!$H63*'Activity data'!L5*Constants!$H81*EF!$H206*MMVolatEF*NtoN2O*kgtoGg</f>
        <v>0.32084892473617016</v>
      </c>
      <c r="M156" s="22">
        <f>Constants!$H63*'Activity data'!M5*Constants!$H81*EF!$H206*MMVolatEF*NtoN2O*kgtoGg</f>
        <v>0.34323544938085654</v>
      </c>
      <c r="N156" s="22">
        <f>Constants!$H63*'Activity data'!N5*Constants!$H81*EF!$H206*MMVolatEF*NtoN2O*kgtoGg</f>
        <v>0.34454883151228505</v>
      </c>
      <c r="O156" s="22">
        <f>Constants!$H63*'Activity data'!O5*Constants!$H81*EF!$H206*MMVolatEF*NtoN2O*kgtoGg</f>
        <v>0.33216762243061609</v>
      </c>
      <c r="P156" s="22">
        <f>Constants!$H63*'Activity data'!P5*Constants!$H81*EF!$H206*MMVolatEF*NtoN2O*kgtoGg</f>
        <v>0.32822747603633051</v>
      </c>
      <c r="Q156" s="22">
        <f>Constants!$H63*'Activity data'!Q5*Constants!$H81*EF!$H206*MMVolatEF*NtoN2O*kgtoGg</f>
        <v>0.32241317761180416</v>
      </c>
      <c r="R156" s="22">
        <f>Constants!$H63*'Activity data'!R5*Constants!$H81*EF!$H206*MMVolatEF*NtoN2O*kgtoGg</f>
        <v>0.41514681035221879</v>
      </c>
      <c r="S156" s="22">
        <f>Constants!$H63*'Activity data'!S5*Constants!$H81*EF!$H206*MMVolatEF*NtoN2O*kgtoGg</f>
        <v>0.41383342822079017</v>
      </c>
      <c r="T156" s="22">
        <f>Constants!$H63*'Activity data'!T5*Constants!$H81*EF!$H206*MMVolatEF*NtoN2O*kgtoGg</f>
        <v>0.36087018698823964</v>
      </c>
      <c r="U156" s="22">
        <f>Constants!$H63*'Activity data'!U5*Constants!$H81*EF!$H206*MMVolatEF*NtoN2O*kgtoGg</f>
        <v>0.32822747603633051</v>
      </c>
      <c r="V156" s="22">
        <f>Constants!$H63*'Activity data'!V5*Constants!$H81*EF!$H206*MMVolatEF*NtoN2O*kgtoGg</f>
        <v>0.31690877834188452</v>
      </c>
      <c r="W156" s="22">
        <f>Constants!$H63*'Activity data'!W5*Constants!$H81*EF!$H206*MMVolatEF*NtoN2O*kgtoGg</f>
        <v>0.33929530298657085</v>
      </c>
      <c r="X156" s="22">
        <f>Constants!$H63*'Activity data'!X5*Constants!$H81*EF!$H206*MMVolatEF*NtoN2O*kgtoGg</f>
        <v>0.33191675168641066</v>
      </c>
      <c r="Y156" s="22">
        <f>Constants!$H63*'Activity data'!Y5*Constants!$H81*EF!$H206*MMVolatEF*NtoN2O*kgtoGg</f>
        <v>0.32954085816775908</v>
      </c>
      <c r="Z156" s="22">
        <f>Constants!$H63*'Activity data'!Z5*Constants!$H81*EF!$H206*MMVolatEF*NtoN2O*kgtoGg</f>
        <v>0.40357724191356736</v>
      </c>
      <c r="AA156" s="22">
        <f>Constants!$H63*'Activity data'!AA5*Constants!$H81*EF!$H206*MMVolatEF*NtoN2O*kgtoGg</f>
        <v>0.41358255747658468</v>
      </c>
      <c r="AB156" s="22">
        <f>Constants!$H63*'Activity data'!AB5*Constants!$H81*EF!$H206*MMVolatEF*NtoN2O*kgtoGg</f>
        <v>0.41358255747658468</v>
      </c>
      <c r="AC156" s="22">
        <f>Constants!$H63*'Activity data'!AC5*Constants!$H81*EF!$H206*MMVolatEF*NtoN2O*kgtoGg</f>
        <v>0.39857458413205865</v>
      </c>
      <c r="AD156" s="22">
        <f>Constants!$H63*'Activity data'!AD5*Constants!$H81*EF!$H206*MMVolatEF*NtoN2O*kgtoGg</f>
        <v>0.39681521114916435</v>
      </c>
      <c r="AE156" s="22">
        <f>Constants!$H63*'Activity data'!AE5*Constants!$H81*EF!$H206*MMVolatEF*NtoN2O*kgtoGg</f>
        <v>0.39928346869815806</v>
      </c>
      <c r="AF156" s="22">
        <f>Constants!$H63*'Activity data'!AF5*Constants!$H81*EF!$H206*MMVolatEF*NtoN2O*kgtoGg</f>
        <v>0.4009804297645459</v>
      </c>
      <c r="AG156" s="22">
        <f>Constants!$H63*'Activity data'!AG5*Constants!$H81*EF!$H206*MMVolatEF*NtoN2O*kgtoGg</f>
        <v>0.40151262173495006</v>
      </c>
      <c r="AH156" s="22">
        <f>Constants!$H63*'Activity data'!AH5*Constants!$H81*EF!$H206*MMVolatEF*NtoN2O*kgtoGg</f>
        <v>0.40223259805813538</v>
      </c>
      <c r="AI156" s="22">
        <f>Constants!$H63*'Activity data'!AI5*Constants!$H81*EF!$H206*MMVolatEF*NtoN2O*kgtoGg</f>
        <v>0.40380961974030649</v>
      </c>
      <c r="AJ156" s="22">
        <f>Constants!$H63*'Activity data'!AJ5*Constants!$H81*EF!$H206*MMVolatEF*NtoN2O*kgtoGg</f>
        <v>0.40570030877561336</v>
      </c>
      <c r="AK156" s="22">
        <f>Constants!$H63*'Activity data'!AK5*Constants!$H81*EF!$H206*MMVolatEF*NtoN2O*kgtoGg</f>
        <v>0.4062682914839757</v>
      </c>
      <c r="AL156" s="22">
        <f>Constants!$H63*'Activity data'!AL5*Constants!$H81*EF!$H206*MMVolatEF*NtoN2O*kgtoGg</f>
        <v>0.39379594618948027</v>
      </c>
      <c r="AM156" s="22">
        <f>Constants!$H63*'Activity data'!AM5*Constants!$H81*EF!$H206*MMVolatEF*NtoN2O*kgtoGg</f>
        <v>0.39703951074089222</v>
      </c>
      <c r="AN156" s="22">
        <f>Constants!$H63*'Activity data'!AN5*Constants!$H81*EF!$H206*MMVolatEF*NtoN2O*kgtoGg</f>
        <v>0.40001376732014149</v>
      </c>
      <c r="AO156" s="22">
        <f>Constants!$H63*'Activity data'!AO5*Constants!$H81*EF!$H206*MMVolatEF*NtoN2O*kgtoGg</f>
        <v>0.4030633713994573</v>
      </c>
      <c r="AP156" s="22">
        <f>Constants!$H63*'Activity data'!AP5*Constants!$H81*EF!$H206*MMVolatEF*NtoN2O*kgtoGg</f>
        <v>0.40673703435821862</v>
      </c>
      <c r="AQ156" s="22">
        <f>Constants!$H63*'Activity data'!AQ5*Constants!$H81*EF!$H206*MMVolatEF*NtoN2O*kgtoGg</f>
        <v>0.41047963139436411</v>
      </c>
      <c r="AR156" s="22">
        <f>Constants!$H63*'Activity data'!AR5*Constants!$H81*EF!$H206*MMVolatEF*NtoN2O*kgtoGg</f>
        <v>0.41412386702749909</v>
      </c>
      <c r="AS156" s="22">
        <f>Constants!$H63*'Activity data'!AS5*Constants!$H81*EF!$H206*MMVolatEF*NtoN2O*kgtoGg</f>
        <v>0.41769519693164076</v>
      </c>
      <c r="AT156" s="22">
        <f>Constants!$H63*'Activity data'!AT5*Constants!$H81*EF!$H206*MMVolatEF*NtoN2O*kgtoGg</f>
        <v>0.42154191092161625</v>
      </c>
      <c r="AU156" s="22">
        <f>Constants!$H63*'Activity data'!AU5*Constants!$H81*EF!$H206*MMVolatEF*NtoN2O*kgtoGg</f>
        <v>0.42518467345636607</v>
      </c>
      <c r="AV156" s="22">
        <f>Constants!$H63*'Activity data'!AV5*Constants!$H81*EF!$H206*MMVolatEF*NtoN2O*kgtoGg</f>
        <v>0.42895809934446105</v>
      </c>
      <c r="AW156" s="22">
        <f>Constants!$H63*'Activity data'!AW5*Constants!$H81*EF!$H206*MMVolatEF*NtoN2O*kgtoGg</f>
        <v>0.43329342136251764</v>
      </c>
      <c r="AX156" s="22">
        <f>Constants!$H63*'Activity data'!AX5*Constants!$H81*EF!$H206*MMVolatEF*NtoN2O*kgtoGg</f>
        <v>0.43801504276628445</v>
      </c>
      <c r="AY156" s="22">
        <f>Constants!$H63*'Activity data'!AY5*Constants!$H81*EF!$H206*MMVolatEF*NtoN2O*kgtoGg</f>
        <v>0.44292407628311159</v>
      </c>
      <c r="AZ156" s="22">
        <f>Constants!$H63*'Activity data'!AZ5*Constants!$H81*EF!$H206*MMVolatEF*NtoN2O*kgtoGg</f>
        <v>0.44360979324480354</v>
      </c>
      <c r="BA156" s="22">
        <f>Constants!$H63*'Activity data'!BA5*Constants!$H81*EF!$H206*MMVolatEF*NtoN2O*kgtoGg</f>
        <v>0.23750435523455551</v>
      </c>
      <c r="BB156" s="22">
        <f>Constants!$H63*'Activity data'!BB5*Constants!$H81*EF!$H206*MMVolatEF*NtoN2O*kgtoGg</f>
        <v>0.23767903823802267</v>
      </c>
      <c r="BC156" s="22">
        <f>Constants!$H63*'Activity data'!BC5*Constants!$H81*EF!$H206*MMVolatEF*NtoN2O*kgtoGg</f>
        <v>0.23787666796336571</v>
      </c>
      <c r="BD156" s="22">
        <f>Constants!$H63*'Activity data'!BD5*Constants!$H81*EF!$H206*MMVolatEF*NtoN2O*kgtoGg</f>
        <v>0.23809637221397845</v>
      </c>
      <c r="BE156" s="22">
        <f>Constants!$H63*'Activity data'!BE5*Constants!$H81*EF!$H206*MMVolatEF*NtoN2O*kgtoGg</f>
        <v>0.2383373459663993</v>
      </c>
      <c r="BF156" s="22">
        <f>Constants!$H63*'Activity data'!BF5*Constants!$H81*EF!$H206*MMVolatEF*NtoN2O*kgtoGg</f>
        <v>0.23859884500343068</v>
      </c>
      <c r="BG156" s="22">
        <f>Constants!$H63*'Activity data'!BG5*Constants!$H81*EF!$H206*MMVolatEF*NtoN2O*kgtoGg</f>
        <v>0.23871142815197754</v>
      </c>
      <c r="BH156" s="22">
        <f>Constants!$H63*'Activity data'!BH5*Constants!$H81*EF!$H206*MMVolatEF*NtoN2O*kgtoGg</f>
        <v>0.23884208664335624</v>
      </c>
      <c r="BI156" s="22">
        <f>Constants!$H63*'Activity data'!BI5*Constants!$H81*EF!$H206*MMVolatEF*NtoN2O*kgtoGg</f>
        <v>0.23899018916140971</v>
      </c>
      <c r="BJ156" s="22">
        <f>Constants!$H63*'Activity data'!BJ5*Constants!$H81*EF!$H206*MMVolatEF*NtoN2O*kgtoGg</f>
        <v>0.2391551474689631</v>
      </c>
      <c r="BK156" s="22">
        <f>Constants!$H63*'Activity data'!BK5*Constants!$H81*EF!$H206*MMVolatEF*NtoN2O*kgtoGg</f>
        <v>0.23933641275222764</v>
      </c>
      <c r="BL156" s="22">
        <f>Constants!$H63*'Activity data'!BL5*Constants!$H81*EF!$H206*MMVolatEF*NtoN2O*kgtoGg</f>
        <v>0.23936290185366965</v>
      </c>
      <c r="BM156" s="22">
        <f>Constants!$H63*'Activity data'!BM5*Constants!$H81*EF!$H206*MMVolatEF*NtoN2O*kgtoGg</f>
        <v>0.23940384749309143</v>
      </c>
      <c r="BN156" s="22">
        <f>Constants!$H63*'Activity data'!BN5*Constants!$H81*EF!$H206*MMVolatEF*NtoN2O*kgtoGg</f>
        <v>0.23945877050598915</v>
      </c>
      <c r="BO156" s="22">
        <f>Constants!$H63*'Activity data'!BO5*Constants!$H81*EF!$H206*MMVolatEF*NtoN2O*kgtoGg</f>
        <v>0.23952722091813589</v>
      </c>
      <c r="BP156" s="22">
        <f>Constants!$H63*'Activity data'!BP5*Constants!$H81*EF!$H206*MMVolatEF*NtoN2O*kgtoGg</f>
        <v>0.23960877570322184</v>
      </c>
    </row>
    <row r="157" spans="1:68" x14ac:dyDescent="0.25">
      <c r="A157" t="str">
        <f t="shared" si="58"/>
        <v>3C Aggregated and non-CO2 emissions on land</v>
      </c>
      <c r="B157" t="str">
        <f>B156</f>
        <v>3C6 Indirect N2O from manure management (N2O)</v>
      </c>
      <c r="C157" t="str">
        <f>C156</f>
        <v>Volatilisation</v>
      </c>
      <c r="D157" t="str">
        <f>'Activity data'!D67</f>
        <v xml:space="preserve"> - Pasture</v>
      </c>
      <c r="E157" t="str">
        <f t="shared" si="61"/>
        <v>Volatilisation - Pasture</v>
      </c>
      <c r="F157" t="str">
        <f t="shared" si="47"/>
        <v>N2O</v>
      </c>
      <c r="G157" t="str">
        <f t="shared" si="48"/>
        <v>Gg N2O</v>
      </c>
      <c r="H157" s="22">
        <f>Constants!$H64*'Activity data'!H6*Constants!$H82*EF!$H207*MMVolatEF*NtoN2O*kgtoGg</f>
        <v>2.5550081296947576E-2</v>
      </c>
      <c r="I157" s="22">
        <f>Constants!$H64*'Activity data'!I6*Constants!$H82*EF!$H207*MMVolatEF*NtoN2O*kgtoGg</f>
        <v>2.9414780122050389E-2</v>
      </c>
      <c r="J157" s="22">
        <f>Constants!$H64*'Activity data'!J6*Constants!$H82*EF!$H207*MMVolatEF*NtoN2O*kgtoGg</f>
        <v>2.5447590773874224E-2</v>
      </c>
      <c r="K157" s="22">
        <f>Constants!$H64*'Activity data'!K6*Constants!$H82*EF!$H207*MMVolatEF*NtoN2O*kgtoGg</f>
        <v>2.6989554935618165E-2</v>
      </c>
      <c r="L157" s="22">
        <f>Constants!$H64*'Activity data'!L6*Constants!$H82*EF!$H207*MMVolatEF*NtoN2O*kgtoGg</f>
        <v>2.5037628681580843E-2</v>
      </c>
      <c r="M157" s="22">
        <f>Constants!$H64*'Activity data'!M6*Constants!$H82*EF!$H207*MMVolatEF*NtoN2O*kgtoGg</f>
        <v>2.6784573889471471E-2</v>
      </c>
      <c r="N157" s="22">
        <f>Constants!$H64*'Activity data'!N6*Constants!$H82*EF!$H207*MMVolatEF*NtoN2O*kgtoGg</f>
        <v>2.6887064412544823E-2</v>
      </c>
      <c r="O157" s="22">
        <f>Constants!$H64*'Activity data'!O6*Constants!$H82*EF!$H207*MMVolatEF*NtoN2O*kgtoGg</f>
        <v>2.5920889706269115E-2</v>
      </c>
      <c r="P157" s="22">
        <f>Constants!$H64*'Activity data'!P6*Constants!$H82*EF!$H207*MMVolatEF*NtoN2O*kgtoGg</f>
        <v>2.5613418137049079E-2</v>
      </c>
      <c r="Q157" s="22">
        <f>Constants!$H64*'Activity data'!Q6*Constants!$H82*EF!$H207*MMVolatEF*NtoN2O*kgtoGg</f>
        <v>2.5159696046140104E-2</v>
      </c>
      <c r="R157" s="22">
        <f>Constants!$H64*'Activity data'!R6*Constants!$H82*EF!$H207*MMVolatEF*NtoN2O*kgtoGg</f>
        <v>3.2396217922464922E-2</v>
      </c>
      <c r="S157" s="22">
        <f>Constants!$H64*'Activity data'!S6*Constants!$H82*EF!$H207*MMVolatEF*NtoN2O*kgtoGg</f>
        <v>3.2293727399391577E-2</v>
      </c>
      <c r="T157" s="22">
        <f>Constants!$H64*'Activity data'!T6*Constants!$H82*EF!$H207*MMVolatEF*NtoN2O*kgtoGg</f>
        <v>2.8160710688040554E-2</v>
      </c>
      <c r="U157" s="22">
        <f>Constants!$H64*'Activity data'!U6*Constants!$H82*EF!$H207*MMVolatEF*NtoN2O*kgtoGg</f>
        <v>2.5613418137049079E-2</v>
      </c>
      <c r="V157" s="22">
        <f>Constants!$H64*'Activity data'!V6*Constants!$H82*EF!$H207*MMVolatEF*NtoN2O*kgtoGg</f>
        <v>2.47301571123608E-2</v>
      </c>
      <c r="W157" s="22">
        <f>Constants!$H64*'Activity data'!W6*Constants!$H82*EF!$H207*MMVolatEF*NtoN2O*kgtoGg</f>
        <v>2.6477102320251435E-2</v>
      </c>
      <c r="X157" s="22">
        <f>Constants!$H64*'Activity data'!X6*Constants!$H82*EF!$H207*MMVolatEF*NtoN2O*kgtoGg</f>
        <v>2.5901312864783189E-2</v>
      </c>
      <c r="Y157" s="22">
        <f>Constants!$H64*'Activity data'!Y6*Constants!$H82*EF!$H207*MMVolatEF*NtoN2O*kgtoGg</f>
        <v>2.5715908660122428E-2</v>
      </c>
      <c r="Z157" s="22">
        <f>Constants!$H64*'Activity data'!Z6*Constants!$H82*EF!$H207*MMVolatEF*NtoN2O*kgtoGg</f>
        <v>3.1493380056290717E-2</v>
      </c>
      <c r="AA157" s="22">
        <f>Constants!$H64*'Activity data'!AA6*Constants!$H82*EF!$H207*MMVolatEF*NtoN2O*kgtoGg</f>
        <v>3.2274150557905647E-2</v>
      </c>
      <c r="AB157" s="22">
        <f>Constants!$H64*'Activity data'!AB6*Constants!$H82*EF!$H207*MMVolatEF*NtoN2O*kgtoGg</f>
        <v>3.2274150557905647E-2</v>
      </c>
      <c r="AC157" s="22">
        <f>Constants!$H64*'Activity data'!AC6*Constants!$H82*EF!$H207*MMVolatEF*NtoN2O*kgtoGg</f>
        <v>3.1102994805483251E-2</v>
      </c>
      <c r="AD157" s="22">
        <f>Constants!$H64*'Activity data'!AD6*Constants!$H82*EF!$H207*MMVolatEF*NtoN2O*kgtoGg</f>
        <v>3.1306447478246062E-2</v>
      </c>
      <c r="AE157" s="22">
        <f>Constants!$H64*'Activity data'!AE6*Constants!$H82*EF!$H207*MMVolatEF*NtoN2O*kgtoGg</f>
        <v>3.1501178862399851E-2</v>
      </c>
      <c r="AF157" s="22">
        <f>Constants!$H64*'Activity data'!AF6*Constants!$H82*EF!$H207*MMVolatEF*NtoN2O*kgtoGg</f>
        <v>3.163505937152563E-2</v>
      </c>
      <c r="AG157" s="22">
        <f>Constants!$H64*'Activity data'!AG6*Constants!$H82*EF!$H207*MMVolatEF*NtoN2O*kgtoGg</f>
        <v>3.167704626996521E-2</v>
      </c>
      <c r="AH157" s="22">
        <f>Constants!$H64*'Activity data'!AH6*Constants!$H82*EF!$H207*MMVolatEF*NtoN2O*kgtoGg</f>
        <v>3.1733848278341123E-2</v>
      </c>
      <c r="AI157" s="22">
        <f>Constants!$H64*'Activity data'!AI6*Constants!$H82*EF!$H207*MMVolatEF*NtoN2O*kgtoGg</f>
        <v>3.1858266256981516E-2</v>
      </c>
      <c r="AJ157" s="22">
        <f>Constants!$H64*'Activity data'!AJ6*Constants!$H82*EF!$H207*MMVolatEF*NtoN2O*kgtoGg</f>
        <v>3.2007430793315993E-2</v>
      </c>
      <c r="AK157" s="22">
        <f>Constants!$H64*'Activity data'!AK6*Constants!$H82*EF!$H207*MMVolatEF*NtoN2O*kgtoGg</f>
        <v>3.2052241375996028E-2</v>
      </c>
      <c r="AL157" s="22">
        <f>Constants!$H64*'Activity data'!AL6*Constants!$H82*EF!$H207*MMVolatEF*NtoN2O*kgtoGg</f>
        <v>3.1068244765175855E-2</v>
      </c>
      <c r="AM157" s="22">
        <f>Constants!$H64*'Activity data'!AM6*Constants!$H82*EF!$H207*MMVolatEF*NtoN2O*kgtoGg</f>
        <v>3.1324143431401406E-2</v>
      </c>
      <c r="AN157" s="22">
        <f>Constants!$H64*'Activity data'!AN6*Constants!$H82*EF!$H207*MMVolatEF*NtoN2O*kgtoGg</f>
        <v>3.1558795241031987E-2</v>
      </c>
      <c r="AO157" s="22">
        <f>Constants!$H64*'Activity data'!AO6*Constants!$H82*EF!$H207*MMVolatEF*NtoN2O*kgtoGg</f>
        <v>3.1799391536879773E-2</v>
      </c>
      <c r="AP157" s="22">
        <f>Constants!$H64*'Activity data'!AP6*Constants!$H82*EF!$H207*MMVolatEF*NtoN2O*kgtoGg</f>
        <v>3.2089222504140757E-2</v>
      </c>
      <c r="AQ157" s="22">
        <f>Constants!$H64*'Activity data'!AQ6*Constants!$H82*EF!$H207*MMVolatEF*NtoN2O*kgtoGg</f>
        <v>3.2384491975300946E-2</v>
      </c>
      <c r="AR157" s="22">
        <f>Constants!$H64*'Activity data'!AR6*Constants!$H82*EF!$H207*MMVolatEF*NtoN2O*kgtoGg</f>
        <v>3.2672001295109276E-2</v>
      </c>
      <c r="AS157" s="22">
        <f>Constants!$H64*'Activity data'!AS6*Constants!$H82*EF!$H207*MMVolatEF*NtoN2O*kgtoGg</f>
        <v>3.2953758770453305E-2</v>
      </c>
      <c r="AT157" s="22">
        <f>Constants!$H64*'Activity data'!AT6*Constants!$H82*EF!$H207*MMVolatEF*NtoN2O*kgtoGg</f>
        <v>3.3257242472961211E-2</v>
      </c>
      <c r="AU157" s="22">
        <f>Constants!$H64*'Activity data'!AU6*Constants!$H82*EF!$H207*MMVolatEF*NtoN2O*kgtoGg</f>
        <v>3.3544635573743833E-2</v>
      </c>
      <c r="AV157" s="22">
        <f>Constants!$H64*'Activity data'!AV6*Constants!$H82*EF!$H207*MMVolatEF*NtoN2O*kgtoGg</f>
        <v>3.3842337264756606E-2</v>
      </c>
      <c r="AW157" s="22">
        <f>Constants!$H64*'Activity data'!AW6*Constants!$H82*EF!$H207*MMVolatEF*NtoN2O*kgtoGg</f>
        <v>3.4184369342273299E-2</v>
      </c>
      <c r="AX157" s="22">
        <f>Constants!$H64*'Activity data'!AX6*Constants!$H82*EF!$H207*MMVolatEF*NtoN2O*kgtoGg</f>
        <v>3.4556878228868437E-2</v>
      </c>
      <c r="AY157" s="22">
        <f>Constants!$H64*'Activity data'!AY6*Constants!$H82*EF!$H207*MMVolatEF*NtoN2O*kgtoGg</f>
        <v>3.494417285781784E-2</v>
      </c>
      <c r="AZ157" s="22">
        <f>Constants!$H64*'Activity data'!AZ6*Constants!$H82*EF!$H207*MMVolatEF*NtoN2O*kgtoGg</f>
        <v>3.4998271998785704E-2</v>
      </c>
      <c r="BA157" s="22">
        <f>Constants!$H64*'Activity data'!BA6*Constants!$H82*EF!$H207*MMVolatEF*NtoN2O*kgtoGg</f>
        <v>1.873773336831663E-2</v>
      </c>
      <c r="BB157" s="22">
        <f>Constants!$H64*'Activity data'!BB6*Constants!$H82*EF!$H207*MMVolatEF*NtoN2O*kgtoGg</f>
        <v>1.8751514856827491E-2</v>
      </c>
      <c r="BC157" s="22">
        <f>Constants!$H64*'Activity data'!BC6*Constants!$H82*EF!$H207*MMVolatEF*NtoN2O*kgtoGg</f>
        <v>1.8767106710271497E-2</v>
      </c>
      <c r="BD157" s="22">
        <f>Constants!$H64*'Activity data'!BD6*Constants!$H82*EF!$H207*MMVolatEF*NtoN2O*kgtoGg</f>
        <v>1.8784440117331772E-2</v>
      </c>
      <c r="BE157" s="22">
        <f>Constants!$H64*'Activity data'!BE6*Constants!$H82*EF!$H207*MMVolatEF*NtoN2O*kgtoGg</f>
        <v>1.8803451566267792E-2</v>
      </c>
      <c r="BF157" s="22">
        <f>Constants!$H64*'Activity data'!BF6*Constants!$H82*EF!$H207*MMVolatEF*NtoN2O*kgtoGg</f>
        <v>1.882408234260504E-2</v>
      </c>
      <c r="BG157" s="22">
        <f>Constants!$H64*'Activity data'!BG6*Constants!$H82*EF!$H207*MMVolatEF*NtoN2O*kgtoGg</f>
        <v>1.883296450822745E-2</v>
      </c>
      <c r="BH157" s="22">
        <f>Constants!$H64*'Activity data'!BH6*Constants!$H82*EF!$H207*MMVolatEF*NtoN2O*kgtoGg</f>
        <v>1.8843272714876302E-2</v>
      </c>
      <c r="BI157" s="22">
        <f>Constants!$H64*'Activity data'!BI6*Constants!$H82*EF!$H207*MMVolatEF*NtoN2O*kgtoGg</f>
        <v>1.8854957155322545E-2</v>
      </c>
      <c r="BJ157" s="22">
        <f>Constants!$H64*'Activity data'!BJ6*Constants!$H82*EF!$H207*MMVolatEF*NtoN2O*kgtoGg</f>
        <v>1.8867971421022103E-2</v>
      </c>
      <c r="BK157" s="22">
        <f>Constants!$H64*'Activity data'!BK6*Constants!$H82*EF!$H207*MMVolatEF*NtoN2O*kgtoGg</f>
        <v>1.8882272213710256E-2</v>
      </c>
      <c r="BL157" s="22">
        <f>Constants!$H64*'Activity data'!BL6*Constants!$H82*EF!$H207*MMVolatEF*NtoN2O*kgtoGg</f>
        <v>1.888436205210289E-2</v>
      </c>
      <c r="BM157" s="22">
        <f>Constants!$H64*'Activity data'!BM6*Constants!$H82*EF!$H207*MMVolatEF*NtoN2O*kgtoGg</f>
        <v>1.8887592428545139E-2</v>
      </c>
      <c r="BN157" s="22">
        <f>Constants!$H64*'Activity data'!BN6*Constants!$H82*EF!$H207*MMVolatEF*NtoN2O*kgtoGg</f>
        <v>1.8891925539701964E-2</v>
      </c>
      <c r="BO157" s="22">
        <f>Constants!$H64*'Activity data'!BO6*Constants!$H82*EF!$H207*MMVolatEF*NtoN2O*kgtoGg</f>
        <v>1.8897325885184005E-2</v>
      </c>
      <c r="BP157" s="22">
        <f>Constants!$H64*'Activity data'!BP6*Constants!$H82*EF!$H207*MMVolatEF*NtoN2O*kgtoGg</f>
        <v>1.8903760090638235E-2</v>
      </c>
    </row>
    <row r="158" spans="1:68" x14ac:dyDescent="0.25">
      <c r="A158" t="str">
        <f t="shared" si="58"/>
        <v>3C Aggregated and non-CO2 emissions on land</v>
      </c>
      <c r="B158" t="str">
        <f t="shared" ref="B158:B171" si="62">B157</f>
        <v>3C6 Indirect N2O from manure management (N2O)</v>
      </c>
      <c r="C158" t="str">
        <f t="shared" ref="C158:C171" si="63">C157</f>
        <v>Volatilisation</v>
      </c>
      <c r="D158" t="str">
        <f>'Activity data'!D68</f>
        <v xml:space="preserve"> - Non-lactating</v>
      </c>
      <c r="E158" t="str">
        <f t="shared" si="61"/>
        <v>Volatilisation - Non-lactating</v>
      </c>
      <c r="F158" t="str">
        <f t="shared" si="47"/>
        <v>N2O</v>
      </c>
      <c r="G158" t="str">
        <f t="shared" si="48"/>
        <v>Gg N2O</v>
      </c>
      <c r="H158" s="22">
        <f>Constants!$H65*'Activity data'!H7*Constants!$H83*EF!$H208*MMVolatEF*NtoN2O*kgtoGg</f>
        <v>2.7959029796178987E-4</v>
      </c>
      <c r="I158" s="22">
        <f>Constants!$H65*'Activity data'!I7*Constants!$H83*EF!$H208*MMVolatEF*NtoN2O*kgtoGg</f>
        <v>3.1779900416957193E-4</v>
      </c>
      <c r="J158" s="22">
        <f>Constants!$H65*'Activity data'!J7*Constants!$H83*EF!$H208*MMVolatEF*NtoN2O*kgtoGg</f>
        <v>2.7489696617153677E-4</v>
      </c>
      <c r="K158" s="22">
        <f>Constants!$H65*'Activity data'!K7*Constants!$H83*EF!$H208*MMVolatEF*NtoN2O*kgtoGg</f>
        <v>2.8768837256461081E-4</v>
      </c>
      <c r="L158" s="22">
        <f>Constants!$H65*'Activity data'!L7*Constants!$H83*EF!$H208*MMVolatEF*NtoN2O*kgtoGg</f>
        <v>2.5612363901052502E-4</v>
      </c>
      <c r="M158" s="22">
        <f>Constants!$H65*'Activity data'!M7*Constants!$H83*EF!$H208*MMVolatEF*NtoN2O*kgtoGg</f>
        <v>2.7830170898410472E-4</v>
      </c>
      <c r="N158" s="22">
        <f>Constants!$H65*'Activity data'!N7*Constants!$H83*EF!$H208*MMVolatEF*NtoN2O*kgtoGg</f>
        <v>2.8299504077435766E-4</v>
      </c>
      <c r="O158" s="22">
        <f>Constants!$H65*'Activity data'!O7*Constants!$H83*EF!$H208*MMVolatEF*NtoN2O*kgtoGg</f>
        <v>2.7344286422241221E-4</v>
      </c>
      <c r="P158" s="22">
        <f>Constants!$H65*'Activity data'!P7*Constants!$H83*EF!$H208*MMVolatEF*NtoN2O*kgtoGg</f>
        <v>2.5936286885165324E-4</v>
      </c>
      <c r="Q158" s="22">
        <f>Constants!$H65*'Activity data'!Q7*Constants!$H83*EF!$H208*MMVolatEF*NtoN2O*kgtoGg</f>
        <v>2.7327735125097269E-4</v>
      </c>
      <c r="R158" s="22">
        <f>Constants!$H65*'Activity data'!R7*Constants!$H83*EF!$H208*MMVolatEF*NtoN2O*kgtoGg</f>
        <v>3.3868848516546658E-4</v>
      </c>
      <c r="S158" s="22">
        <f>Constants!$H65*'Activity data'!S7*Constants!$H83*EF!$H208*MMVolatEF*NtoN2O*kgtoGg</f>
        <v>3.3399515337521364E-4</v>
      </c>
      <c r="T158" s="22">
        <f>Constants!$H65*'Activity data'!T7*Constants!$H83*EF!$H208*MMVolatEF*NtoN2O*kgtoGg</f>
        <v>3.0662721269706218E-4</v>
      </c>
      <c r="U158" s="22">
        <f>Constants!$H65*'Activity data'!U7*Constants!$H83*EF!$H208*MMVolatEF*NtoN2O*kgtoGg</f>
        <v>2.5936286885165324E-4</v>
      </c>
      <c r="V158" s="22">
        <f>Constants!$H65*'Activity data'!V7*Constants!$H83*EF!$H208*MMVolatEF*NtoN2O*kgtoGg</f>
        <v>2.4204364363976597E-4</v>
      </c>
      <c r="W158" s="22">
        <f>Constants!$H65*'Activity data'!W7*Constants!$H83*EF!$H208*MMVolatEF*NtoN2O*kgtoGg</f>
        <v>2.6422171361334585E-4</v>
      </c>
      <c r="X158" s="22">
        <f>Constants!$H65*'Activity data'!X7*Constants!$H83*EF!$H208*MMVolatEF*NtoN2O*kgtoGg</f>
        <v>2.6098248377221742E-4</v>
      </c>
      <c r="Y158" s="22">
        <f>Constants!$H65*'Activity data'!Y7*Constants!$H83*EF!$H208*MMVolatEF*NtoN2O*kgtoGg</f>
        <v>2.6405620064190628E-4</v>
      </c>
      <c r="Z158" s="22">
        <f>Constants!$H65*'Activity data'!Z7*Constants!$H83*EF!$H208*MMVolatEF*NtoN2O*kgtoGg</f>
        <v>3.0890887950338466E-4</v>
      </c>
      <c r="AA158" s="22">
        <f>Constants!$H65*'Activity data'!AA7*Constants!$H83*EF!$H208*MMVolatEF*NtoN2O*kgtoGg</f>
        <v>3.2153477292501886E-4</v>
      </c>
      <c r="AB158" s="22">
        <f>Constants!$H65*'Activity data'!AB7*Constants!$H83*EF!$H208*MMVolatEF*NtoN2O*kgtoGg</f>
        <v>3.2153477292501886E-4</v>
      </c>
      <c r="AC158" s="22">
        <f>Constants!$H65*'Activity data'!AC7*Constants!$H83*EF!$H208*MMVolatEF*NtoN2O*kgtoGg</f>
        <v>3.0259593279256748E-4</v>
      </c>
      <c r="AD158" s="22">
        <f>Constants!$H65*'Activity data'!AD7*Constants!$H83*EF!$H208*MMVolatEF*NtoN2O*kgtoGg</f>
        <v>2.9019834302377478E-4</v>
      </c>
      <c r="AE158" s="22">
        <f>Constants!$H65*'Activity data'!AE7*Constants!$H83*EF!$H208*MMVolatEF*NtoN2O*kgtoGg</f>
        <v>2.9200342566866507E-4</v>
      </c>
      <c r="AF158" s="22">
        <f>Constants!$H65*'Activity data'!AF7*Constants!$H83*EF!$H208*MMVolatEF*NtoN2O*kgtoGg</f>
        <v>2.9324444485292345E-4</v>
      </c>
      <c r="AG158" s="22">
        <f>Constants!$H65*'Activity data'!AG7*Constants!$H83*EF!$H208*MMVolatEF*NtoN2O*kgtoGg</f>
        <v>2.9363364673743434E-4</v>
      </c>
      <c r="AH158" s="22">
        <f>Constants!$H65*'Activity data'!AH7*Constants!$H83*EF!$H208*MMVolatEF*NtoN2O*kgtoGg</f>
        <v>2.9416017881114109E-4</v>
      </c>
      <c r="AI158" s="22">
        <f>Constants!$H65*'Activity data'!AI7*Constants!$H83*EF!$H208*MMVolatEF*NtoN2O*kgtoGg</f>
        <v>2.9531348409334853E-4</v>
      </c>
      <c r="AJ158" s="22">
        <f>Constants!$H65*'Activity data'!AJ7*Constants!$H83*EF!$H208*MMVolatEF*NtoN2O*kgtoGg</f>
        <v>2.9669618014381078E-4</v>
      </c>
      <c r="AK158" s="22">
        <f>Constants!$H65*'Activity data'!AK7*Constants!$H83*EF!$H208*MMVolatEF*NtoN2O*kgtoGg</f>
        <v>2.971115564605491E-4</v>
      </c>
      <c r="AL158" s="22">
        <f>Constants!$H65*'Activity data'!AL7*Constants!$H83*EF!$H208*MMVolatEF*NtoN2O*kgtoGg</f>
        <v>2.879902984130032E-4</v>
      </c>
      <c r="AM158" s="22">
        <f>Constants!$H65*'Activity data'!AM7*Constants!$H83*EF!$H208*MMVolatEF*NtoN2O*kgtoGg</f>
        <v>2.9036237748624366E-4</v>
      </c>
      <c r="AN158" s="22">
        <f>Constants!$H65*'Activity data'!AN7*Constants!$H83*EF!$H208*MMVolatEF*NtoN2O*kgtoGg</f>
        <v>2.9253750663143477E-4</v>
      </c>
      <c r="AO158" s="22">
        <f>Constants!$H65*'Activity data'!AO7*Constants!$H83*EF!$H208*MMVolatEF*NtoN2O*kgtoGg</f>
        <v>2.9476773880457414E-4</v>
      </c>
      <c r="AP158" s="22">
        <f>Constants!$H65*'Activity data'!AP7*Constants!$H83*EF!$H208*MMVolatEF*NtoN2O*kgtoGg</f>
        <v>2.9745435684114832E-4</v>
      </c>
      <c r="AQ158" s="22">
        <f>Constants!$H65*'Activity data'!AQ7*Constants!$H83*EF!$H208*MMVolatEF*NtoN2O*kgtoGg</f>
        <v>3.0019138765040044E-4</v>
      </c>
      <c r="AR158" s="22">
        <f>Constants!$H65*'Activity data'!AR7*Constants!$H83*EF!$H208*MMVolatEF*NtoN2O*kgtoGg</f>
        <v>3.0285648493651841E-4</v>
      </c>
      <c r="AS158" s="22">
        <f>Constants!$H65*'Activity data'!AS7*Constants!$H83*EF!$H208*MMVolatEF*NtoN2O*kgtoGg</f>
        <v>3.0546826490728061E-4</v>
      </c>
      <c r="AT158" s="22">
        <f>Constants!$H65*'Activity data'!AT7*Constants!$H83*EF!$H208*MMVolatEF*NtoN2O*kgtoGg</f>
        <v>3.0828143838101019E-4</v>
      </c>
      <c r="AU158" s="22">
        <f>Constants!$H65*'Activity data'!AU7*Constants!$H83*EF!$H208*MMVolatEF*NtoN2O*kgtoGg</f>
        <v>3.1094545836288565E-4</v>
      </c>
      <c r="AV158" s="22">
        <f>Constants!$H65*'Activity data'!AV7*Constants!$H83*EF!$H208*MMVolatEF*NtoN2O*kgtoGg</f>
        <v>3.1370503488485662E-4</v>
      </c>
      <c r="AW158" s="22">
        <f>Constants!$H65*'Activity data'!AW7*Constants!$H83*EF!$H208*MMVolatEF*NtoN2O*kgtoGg</f>
        <v>3.1687553649559658E-4</v>
      </c>
      <c r="AX158" s="22">
        <f>Constants!$H65*'Activity data'!AX7*Constants!$H83*EF!$H208*MMVolatEF*NtoN2O*kgtoGg</f>
        <v>3.2032854603066614E-4</v>
      </c>
      <c r="AY158" s="22">
        <f>Constants!$H65*'Activity data'!AY7*Constants!$H83*EF!$H208*MMVolatEF*NtoN2O*kgtoGg</f>
        <v>3.2391861352910146E-4</v>
      </c>
      <c r="AZ158" s="22">
        <f>Constants!$H65*'Activity data'!AZ7*Constants!$H83*EF!$H208*MMVolatEF*NtoN2O*kgtoGg</f>
        <v>3.2442009109466666E-4</v>
      </c>
      <c r="BA158" s="22">
        <f>Constants!$H65*'Activity data'!BA7*Constants!$H83*EF!$H208*MMVolatEF*NtoN2O*kgtoGg</f>
        <v>1.7369135157495116E-4</v>
      </c>
      <c r="BB158" s="22">
        <f>Constants!$H65*'Activity data'!BB7*Constants!$H83*EF!$H208*MMVolatEF*NtoN2O*kgtoGg</f>
        <v>1.7381910050376308E-4</v>
      </c>
      <c r="BC158" s="22">
        <f>Constants!$H65*'Activity data'!BC7*Constants!$H83*EF!$H208*MMVolatEF*NtoN2O*kgtoGg</f>
        <v>1.7396363079699625E-4</v>
      </c>
      <c r="BD158" s="22">
        <f>Constants!$H65*'Activity data'!BD7*Constants!$H83*EF!$H208*MMVolatEF*NtoN2O*kgtoGg</f>
        <v>1.7412430460105353E-4</v>
      </c>
      <c r="BE158" s="22">
        <f>Constants!$H65*'Activity data'!BE7*Constants!$H83*EF!$H208*MMVolatEF*NtoN2O*kgtoGg</f>
        <v>1.7430053318730711E-4</v>
      </c>
      <c r="BF158" s="22">
        <f>Constants!$H65*'Activity data'!BF7*Constants!$H83*EF!$H208*MMVolatEF*NtoN2O*kgtoGg</f>
        <v>1.7449177229588125E-4</v>
      </c>
      <c r="BG158" s="22">
        <f>Constants!$H65*'Activity data'!BG7*Constants!$H83*EF!$H208*MMVolatEF*NtoN2O*kgtoGg</f>
        <v>1.7457410644599133E-4</v>
      </c>
      <c r="BH158" s="22">
        <f>Constants!$H65*'Activity data'!BH7*Constants!$H83*EF!$H208*MMVolatEF*NtoN2O*kgtoGg</f>
        <v>1.7466965943044039E-4</v>
      </c>
      <c r="BI158" s="22">
        <f>Constants!$H65*'Activity data'!BI7*Constants!$H83*EF!$H208*MMVolatEF*NtoN2O*kgtoGg</f>
        <v>1.7477796955598287E-4</v>
      </c>
      <c r="BJ158" s="22">
        <f>Constants!$H65*'Activity data'!BJ7*Constants!$H83*EF!$H208*MMVolatEF*NtoN2O*kgtoGg</f>
        <v>1.7489860663383425E-4</v>
      </c>
      <c r="BK158" s="22">
        <f>Constants!$H65*'Activity data'!BK7*Constants!$H83*EF!$H208*MMVolatEF*NtoN2O*kgtoGg</f>
        <v>1.7503116930626492E-4</v>
      </c>
      <c r="BL158" s="22">
        <f>Constants!$H65*'Activity data'!BL7*Constants!$H83*EF!$H208*MMVolatEF*NtoN2O*kgtoGg</f>
        <v>1.7505054127873651E-4</v>
      </c>
      <c r="BM158" s="22">
        <f>Constants!$H65*'Activity data'!BM7*Constants!$H83*EF!$H208*MMVolatEF*NtoN2O*kgtoGg</f>
        <v>1.7508048558626403E-4</v>
      </c>
      <c r="BN158" s="22">
        <f>Constants!$H65*'Activity data'!BN7*Constants!$H83*EF!$H208*MMVolatEF*NtoN2O*kgtoGg</f>
        <v>1.7512065180693548E-4</v>
      </c>
      <c r="BO158" s="22">
        <f>Constants!$H65*'Activity data'!BO7*Constants!$H83*EF!$H208*MMVolatEF*NtoN2O*kgtoGg</f>
        <v>1.7517071086623097E-4</v>
      </c>
      <c r="BP158" s="22">
        <f>Constants!$H65*'Activity data'!BP7*Constants!$H83*EF!$H208*MMVolatEF*NtoN2O*kgtoGg</f>
        <v>1.752303533971437E-4</v>
      </c>
    </row>
    <row r="159" spans="1:68" x14ac:dyDescent="0.25">
      <c r="A159" t="str">
        <f t="shared" si="58"/>
        <v>3C Aggregated and non-CO2 emissions on land</v>
      </c>
      <c r="B159" t="str">
        <f t="shared" si="62"/>
        <v>3C6 Indirect N2O from manure management (N2O)</v>
      </c>
      <c r="C159" t="str">
        <f t="shared" si="63"/>
        <v>Volatilisation</v>
      </c>
      <c r="D159" t="str">
        <f>'Activity data'!D69</f>
        <v xml:space="preserve"> - Commercial cattle</v>
      </c>
      <c r="E159" t="str">
        <f t="shared" si="61"/>
        <v>Volatilisation - Commercial cattle</v>
      </c>
      <c r="F159" t="str">
        <f t="shared" si="47"/>
        <v>N2O</v>
      </c>
      <c r="G159" t="str">
        <f t="shared" si="48"/>
        <v>Gg N2O</v>
      </c>
      <c r="H159" s="22">
        <f>Constants!$H66*'Activity data'!H8*Constants!$H84*EF!$H209*MMVolatEF*NtoN2O*kgtoGg</f>
        <v>3.7003362848044533E-3</v>
      </c>
      <c r="I159" s="22">
        <f>Constants!$H66*'Activity data'!I8*Constants!$H84*EF!$H209*MMVolatEF*NtoN2O*kgtoGg</f>
        <v>3.5406221910635866E-3</v>
      </c>
      <c r="J159" s="22">
        <f>Constants!$H66*'Activity data'!J8*Constants!$H84*EF!$H209*MMVolatEF*NtoN2O*kgtoGg</f>
        <v>3.5393357500556814E-3</v>
      </c>
      <c r="K159" s="22">
        <f>Constants!$H66*'Activity data'!K8*Constants!$H84*EF!$H209*MMVolatEF*NtoN2O*kgtoGg</f>
        <v>3.3111743098604807E-3</v>
      </c>
      <c r="L159" s="22">
        <f>Constants!$H66*'Activity data'!L8*Constants!$H84*EF!$H209*MMVolatEF*NtoN2O*kgtoGg</f>
        <v>3.4109956184485233E-3</v>
      </c>
      <c r="M159" s="22">
        <f>Constants!$H66*'Activity data'!M8*Constants!$H84*EF!$H209*MMVolatEF*NtoN2O*kgtoGg</f>
        <v>3.4885511843596667E-3</v>
      </c>
      <c r="N159" s="22">
        <f>Constants!$H66*'Activity data'!N8*Constants!$H84*EF!$H209*MMVolatEF*NtoN2O*kgtoGg</f>
        <v>3.6332676557172408E-3</v>
      </c>
      <c r="O159" s="22">
        <f>Constants!$H66*'Activity data'!O8*Constants!$H84*EF!$H209*MMVolatEF*NtoN2O*kgtoGg</f>
        <v>3.7709005594996426E-3</v>
      </c>
      <c r="P159" s="22">
        <f>Constants!$H66*'Activity data'!P8*Constants!$H84*EF!$H209*MMVolatEF*NtoN2O*kgtoGg</f>
        <v>3.8035609626412554E-3</v>
      </c>
      <c r="Q159" s="22">
        <f>Constants!$H66*'Activity data'!Q8*Constants!$H84*EF!$H209*MMVolatEF*NtoN2O*kgtoGg</f>
        <v>3.742012631043659E-3</v>
      </c>
      <c r="R159" s="22">
        <f>Constants!$H66*'Activity data'!R8*Constants!$H84*EF!$H209*MMVolatEF*NtoN2O*kgtoGg</f>
        <v>3.4878129734859328E-3</v>
      </c>
      <c r="S159" s="22">
        <f>Constants!$H66*'Activity data'!S8*Constants!$H84*EF!$H209*MMVolatEF*NtoN2O*kgtoGg</f>
        <v>3.5059371360403354E-3</v>
      </c>
      <c r="T159" s="22">
        <f>Constants!$H66*'Activity data'!T8*Constants!$H84*EF!$H209*MMVolatEF*NtoN2O*kgtoGg</f>
        <v>3.267565588098854E-3</v>
      </c>
      <c r="U159" s="22">
        <f>Constants!$H66*'Activity data'!U8*Constants!$H84*EF!$H209*MMVolatEF*NtoN2O*kgtoGg</f>
        <v>3.3530352088181202E-3</v>
      </c>
      <c r="V159" s="22">
        <f>Constants!$H66*'Activity data'!V8*Constants!$H84*EF!$H209*MMVolatEF*NtoN2O*kgtoGg</f>
        <v>3.3839477891557434E-3</v>
      </c>
      <c r="W159" s="22">
        <f>Constants!$H66*'Activity data'!W8*Constants!$H84*EF!$H209*MMVolatEF*NtoN2O*kgtoGg</f>
        <v>3.4126511648932944E-3</v>
      </c>
      <c r="X159" s="22">
        <f>Constants!$H66*'Activity data'!X8*Constants!$H84*EF!$H209*MMVolatEF*NtoN2O*kgtoGg</f>
        <v>3.3349110462637175E-3</v>
      </c>
      <c r="Y159" s="22">
        <f>Constants!$H66*'Activity data'!Y8*Constants!$H84*EF!$H209*MMVolatEF*NtoN2O*kgtoGg</f>
        <v>3.4326154266109024E-3</v>
      </c>
      <c r="Z159" s="22">
        <f>Constants!$H66*'Activity data'!Z8*Constants!$H84*EF!$H209*MMVolatEF*NtoN2O*kgtoGg</f>
        <v>3.3372300325911516E-3</v>
      </c>
      <c r="AA159" s="22">
        <f>Constants!$H66*'Activity data'!AA8*Constants!$H84*EF!$H209*MMVolatEF*NtoN2O*kgtoGg</f>
        <v>3.281195665791852E-3</v>
      </c>
      <c r="AB159" s="22">
        <f>Constants!$H66*'Activity data'!AB8*Constants!$H84*EF!$H209*MMVolatEF*NtoN2O*kgtoGg</f>
        <v>3.2708808424712636E-3</v>
      </c>
      <c r="AC159" s="22">
        <f>Constants!$H66*'Activity data'!AC8*Constants!$H84*EF!$H209*MMVolatEF*NtoN2O*kgtoGg</f>
        <v>3.2591357808163246E-3</v>
      </c>
      <c r="AD159" s="22">
        <f>Constants!$H66*'Activity data'!AD8*Constants!$H84*EF!$H209*MMVolatEF*NtoN2O*kgtoGg</f>
        <v>3.2608020345335862E-3</v>
      </c>
      <c r="AE159" s="22">
        <f>Constants!$H66*'Activity data'!AE8*Constants!$H84*EF!$H209*MMVolatEF*NtoN2O*kgtoGg</f>
        <v>3.2391880107785257E-3</v>
      </c>
      <c r="AF159" s="22">
        <f>Constants!$H66*'Activity data'!AF8*Constants!$H84*EF!$H209*MMVolatEF*NtoN2O*kgtoGg</f>
        <v>3.1936162901030117E-3</v>
      </c>
      <c r="AG159" s="22">
        <f>Constants!$H66*'Activity data'!AG8*Constants!$H84*EF!$H209*MMVolatEF*NtoN2O*kgtoGg</f>
        <v>3.1167988395678259E-3</v>
      </c>
      <c r="AH159" s="22">
        <f>Constants!$H66*'Activity data'!AH8*Constants!$H84*EF!$H209*MMVolatEF*NtoN2O*kgtoGg</f>
        <v>3.0422686858160779E-3</v>
      </c>
      <c r="AI159" s="22">
        <f>Constants!$H66*'Activity data'!AI8*Constants!$H84*EF!$H209*MMVolatEF*NtoN2O*kgtoGg</f>
        <v>2.9849445368563851E-3</v>
      </c>
      <c r="AJ159" s="22">
        <f>Constants!$H66*'Activity data'!AJ8*Constants!$H84*EF!$H209*MMVolatEF*NtoN2O*kgtoGg</f>
        <v>2.9330944027971869E-3</v>
      </c>
      <c r="AK159" s="22">
        <f>Constants!$H66*'Activity data'!AK8*Constants!$H84*EF!$H209*MMVolatEF*NtoN2O*kgtoGg</f>
        <v>2.8515726706301167E-3</v>
      </c>
      <c r="AL159" s="22">
        <f>Constants!$H66*'Activity data'!AL8*Constants!$H84*EF!$H209*MMVolatEF*NtoN2O*kgtoGg</f>
        <v>2.5010020765287512E-3</v>
      </c>
      <c r="AM159" s="22">
        <f>Constants!$H66*'Activity data'!AM8*Constants!$H84*EF!$H209*MMVolatEF*NtoN2O*kgtoGg</f>
        <v>2.5248406363190491E-3</v>
      </c>
      <c r="AN159" s="22">
        <f>Constants!$H66*'Activity data'!AN8*Constants!$H84*EF!$H209*MMVolatEF*NtoN2O*kgtoGg</f>
        <v>2.5409715409254918E-3</v>
      </c>
      <c r="AO159" s="22">
        <f>Constants!$H66*'Activity data'!AO8*Constants!$H84*EF!$H209*MMVolatEF*NtoN2O*kgtoGg</f>
        <v>2.5565777764954734E-3</v>
      </c>
      <c r="AP159" s="22">
        <f>Constants!$H66*'Activity data'!AP8*Constants!$H84*EF!$H209*MMVolatEF*NtoN2O*kgtoGg</f>
        <v>2.5823867364318034E-3</v>
      </c>
      <c r="AQ159" s="22">
        <f>Constants!$H66*'Activity data'!AQ8*Constants!$H84*EF!$H209*MMVolatEF*NtoN2O*kgtoGg</f>
        <v>2.6073450964004788E-3</v>
      </c>
      <c r="AR159" s="22">
        <f>Constants!$H66*'Activity data'!AR8*Constants!$H84*EF!$H209*MMVolatEF*NtoN2O*kgtoGg</f>
        <v>2.6335476280108239E-3</v>
      </c>
      <c r="AS159" s="22">
        <f>Constants!$H66*'Activity data'!AS8*Constants!$H84*EF!$H209*MMVolatEF*NtoN2O*kgtoGg</f>
        <v>2.6563592492195348E-3</v>
      </c>
      <c r="AT159" s="22">
        <f>Constants!$H66*'Activity data'!AT8*Constants!$H84*EF!$H209*MMVolatEF*NtoN2O*kgtoGg</f>
        <v>2.6823219674710947E-3</v>
      </c>
      <c r="AU159" s="22">
        <f>Constants!$H66*'Activity data'!AU8*Constants!$H84*EF!$H209*MMVolatEF*NtoN2O*kgtoGg</f>
        <v>2.7026386741679817E-3</v>
      </c>
      <c r="AV159" s="22">
        <f>Constants!$H66*'Activity data'!AV8*Constants!$H84*EF!$H209*MMVolatEF*NtoN2O*kgtoGg</f>
        <v>2.7235128371703343E-3</v>
      </c>
      <c r="AW159" s="22">
        <f>Constants!$H66*'Activity data'!AW8*Constants!$H84*EF!$H209*MMVolatEF*NtoN2O*kgtoGg</f>
        <v>2.7332352588004378E-3</v>
      </c>
      <c r="AX159" s="22">
        <f>Constants!$H66*'Activity data'!AX8*Constants!$H84*EF!$H209*MMVolatEF*NtoN2O*kgtoGg</f>
        <v>2.7465666714111786E-3</v>
      </c>
      <c r="AY159" s="22">
        <f>Constants!$H66*'Activity data'!AY8*Constants!$H84*EF!$H209*MMVolatEF*NtoN2O*kgtoGg</f>
        <v>2.7598466332323141E-3</v>
      </c>
      <c r="AZ159" s="22">
        <f>Constants!$H66*'Activity data'!AZ8*Constants!$H84*EF!$H209*MMVolatEF*NtoN2O*kgtoGg</f>
        <v>2.7013158272562879E-3</v>
      </c>
      <c r="BA159" s="22">
        <f>Constants!$H66*'Activity data'!BA8*Constants!$H84*EF!$H209*MMVolatEF*NtoN2O*kgtoGg</f>
        <v>-6.3720303992201288E-4</v>
      </c>
      <c r="BB159" s="22">
        <f>Constants!$H66*'Activity data'!BB8*Constants!$H84*EF!$H209*MMVolatEF*NtoN2O*kgtoGg</f>
        <v>-6.2242214557858356E-4</v>
      </c>
      <c r="BC159" s="22">
        <f>Constants!$H66*'Activity data'!BC8*Constants!$H84*EF!$H209*MMVolatEF*NtoN2O*kgtoGg</f>
        <v>-6.0787631384089666E-4</v>
      </c>
      <c r="BD159" s="22">
        <f>Constants!$H66*'Activity data'!BD8*Constants!$H84*EF!$H209*MMVolatEF*NtoN2O*kgtoGg</f>
        <v>-5.9355323338830307E-4</v>
      </c>
      <c r="BE159" s="22">
        <f>Constants!$H66*'Activity data'!BE8*Constants!$H84*EF!$H209*MMVolatEF*NtoN2O*kgtoGg</f>
        <v>-5.7944144405540506E-4</v>
      </c>
      <c r="BF159" s="22">
        <f>Constants!$H66*'Activity data'!BF8*Constants!$H84*EF!$H209*MMVolatEF*NtoN2O*kgtoGg</f>
        <v>-5.6553025796044789E-4</v>
      </c>
      <c r="BG159" s="22">
        <f>Constants!$H66*'Activity data'!BG8*Constants!$H84*EF!$H209*MMVolatEF*NtoN2O*kgtoGg</f>
        <v>-5.5425143288870022E-4</v>
      </c>
      <c r="BH159" s="22">
        <f>Constants!$H66*'Activity data'!BH8*Constants!$H84*EF!$H209*MMVolatEF*NtoN2O*kgtoGg</f>
        <v>-5.4314296084699478E-4</v>
      </c>
      <c r="BI159" s="22">
        <f>Constants!$H66*'Activity data'!BI8*Constants!$H84*EF!$H209*MMVolatEF*NtoN2O*kgtoGg</f>
        <v>-5.3219712228052369E-4</v>
      </c>
      <c r="BJ159" s="22">
        <f>Constants!$H66*'Activity data'!BJ8*Constants!$H84*EF!$H209*MMVolatEF*NtoN2O*kgtoGg</f>
        <v>-5.2140667775092773E-4</v>
      </c>
      <c r="BK159" s="22">
        <f>Constants!$H66*'Activity data'!BK8*Constants!$H84*EF!$H209*MMVolatEF*NtoN2O*kgtoGg</f>
        <v>-5.107648281267109E-4</v>
      </c>
      <c r="BL159" s="22">
        <f>Constants!$H66*'Activity data'!BL8*Constants!$H84*EF!$H209*MMVolatEF*NtoN2O*kgtoGg</f>
        <v>-4.999251820077483E-4</v>
      </c>
      <c r="BM159" s="22">
        <f>Constants!$H66*'Activity data'!BM8*Constants!$H84*EF!$H209*MMVolatEF*NtoN2O*kgtoGg</f>
        <v>-4.8923459484670278E-4</v>
      </c>
      <c r="BN159" s="22">
        <f>Constants!$H66*'Activity data'!BN8*Constants!$H84*EF!$H209*MMVolatEF*NtoN2O*kgtoGg</f>
        <v>-4.7868720289580258E-4</v>
      </c>
      <c r="BO159" s="22">
        <f>Constants!$H66*'Activity data'!BO8*Constants!$H84*EF!$H209*MMVolatEF*NtoN2O*kgtoGg</f>
        <v>-4.6827747185126305E-4</v>
      </c>
      <c r="BP159" s="22">
        <f>Constants!$H66*'Activity data'!BP8*Constants!$H84*EF!$H209*MMVolatEF*NtoN2O*kgtoGg</f>
        <v>-4.5800017223486766E-4</v>
      </c>
    </row>
    <row r="160" spans="1:68" x14ac:dyDescent="0.25">
      <c r="A160" t="str">
        <f t="shared" si="58"/>
        <v>3C Aggregated and non-CO2 emissions on land</v>
      </c>
      <c r="B160" t="str">
        <f t="shared" si="62"/>
        <v>3C6 Indirect N2O from manure management (N2O)</v>
      </c>
      <c r="C160" t="str">
        <f t="shared" si="63"/>
        <v>Volatilisation</v>
      </c>
      <c r="D160" t="str">
        <f>'Activity data'!D70</f>
        <v xml:space="preserve"> - Subsistence cattle</v>
      </c>
      <c r="E160" t="str">
        <f t="shared" si="61"/>
        <v>Volatilisation - Subsistence cattle</v>
      </c>
      <c r="F160" t="str">
        <f t="shared" si="47"/>
        <v>N2O</v>
      </c>
      <c r="G160" t="str">
        <f t="shared" si="48"/>
        <v>Gg N2O</v>
      </c>
      <c r="H160" s="22">
        <f>Constants!$H67*'Activity data'!H9*Constants!$H85*EF!$H210*MMVolatEF*NtoN2O*kgtoGg</f>
        <v>1.3985811709424438E-2</v>
      </c>
      <c r="I160" s="22">
        <f>Constants!$H67*'Activity data'!I9*Constants!$H85*EF!$H210*MMVolatEF*NtoN2O*kgtoGg</f>
        <v>1.4838976693877345E-2</v>
      </c>
      <c r="J160" s="22">
        <f>Constants!$H67*'Activity data'!J9*Constants!$H85*EF!$H210*MMVolatEF*NtoN2O*kgtoGg</f>
        <v>1.5539790788249377E-2</v>
      </c>
      <c r="K160" s="22">
        <f>Constants!$H67*'Activity data'!K9*Constants!$H85*EF!$H210*MMVolatEF*NtoN2O*kgtoGg</f>
        <v>1.5356969720152323E-2</v>
      </c>
      <c r="L160" s="22">
        <f>Constants!$H67*'Activity data'!L9*Constants!$H85*EF!$H210*MMVolatEF*NtoN2O*kgtoGg</f>
        <v>1.3376408149100934E-2</v>
      </c>
      <c r="M160" s="22">
        <f>Constants!$H67*'Activity data'!M9*Constants!$H85*EF!$H210*MMVolatEF*NtoN2O*kgtoGg</f>
        <v>1.2919355478858304E-2</v>
      </c>
      <c r="N160" s="22">
        <f>Constants!$H67*'Activity data'!N9*Constants!$H85*EF!$H210*MMVolatEF*NtoN2O*kgtoGg</f>
        <v>1.3284997615052406E-2</v>
      </c>
      <c r="O160" s="22">
        <f>Constants!$H67*'Activity data'!O9*Constants!$H85*EF!$H210*MMVolatEF*NtoN2O*kgtoGg</f>
        <v>1.3894401175375911E-2</v>
      </c>
      <c r="P160" s="22">
        <f>Constants!$H67*'Activity data'!P9*Constants!$H85*EF!$H210*MMVolatEF*NtoN2O*kgtoGg</f>
        <v>1.4747566159828822E-2</v>
      </c>
      <c r="Q160" s="22">
        <f>Constants!$H67*'Activity data'!Q9*Constants!$H85*EF!$H210*MMVolatEF*NtoN2O*kgtoGg</f>
        <v>1.5356969720152323E-2</v>
      </c>
      <c r="R160" s="22">
        <f>Constants!$H67*'Activity data'!R9*Constants!$H85*EF!$H210*MMVolatEF*NtoN2O*kgtoGg</f>
        <v>1.4991327583958221E-2</v>
      </c>
      <c r="S160" s="22">
        <f>Constants!$H67*'Activity data'!S9*Constants!$H85*EF!$H210*MMVolatEF*NtoN2O*kgtoGg</f>
        <v>1.4625685447764119E-2</v>
      </c>
      <c r="T160" s="22">
        <f>Constants!$H67*'Activity data'!T9*Constants!$H85*EF!$H210*MMVolatEF*NtoN2O*kgtoGg</f>
        <v>1.657577684079933E-2</v>
      </c>
      <c r="U160" s="22">
        <f>Constants!$H67*'Activity data'!U9*Constants!$H85*EF!$H210*MMVolatEF*NtoN2O*kgtoGg</f>
        <v>1.6971889155009613E-2</v>
      </c>
      <c r="V160" s="22">
        <f>Constants!$H67*'Activity data'!V9*Constants!$H85*EF!$H210*MMVolatEF*NtoN2O*kgtoGg</f>
        <v>1.6697657552864033E-2</v>
      </c>
      <c r="W160" s="22">
        <f>Constants!$H67*'Activity data'!W9*Constants!$H85*EF!$H210*MMVolatEF*NtoN2O*kgtoGg</f>
        <v>1.6210134704605229E-2</v>
      </c>
      <c r="X160" s="22">
        <f>Constants!$H67*'Activity data'!X9*Constants!$H85*EF!$H210*MMVolatEF*NtoN2O*kgtoGg</f>
        <v>1.6728127730880213E-2</v>
      </c>
      <c r="Y160" s="22">
        <f>Constants!$H67*'Activity data'!Y9*Constants!$H85*EF!$H210*MMVolatEF*NtoN2O*kgtoGg</f>
        <v>1.7398471647236066E-2</v>
      </c>
      <c r="Z160" s="22">
        <f>Constants!$H67*'Activity data'!Z9*Constants!$H85*EF!$H210*MMVolatEF*NtoN2O*kgtoGg</f>
        <v>1.7124240045090489E-2</v>
      </c>
      <c r="AA160" s="22">
        <f>Constants!$H67*'Activity data'!AA9*Constants!$H85*EF!$H210*MMVolatEF*NtoN2O*kgtoGg</f>
        <v>1.6941418976993437E-2</v>
      </c>
      <c r="AB160" s="22">
        <f>Constants!$H67*'Activity data'!AB9*Constants!$H85*EF!$H210*MMVolatEF*NtoN2O*kgtoGg</f>
        <v>1.6697657552864033E-2</v>
      </c>
      <c r="AC160" s="22">
        <f>Constants!$H67*'Activity data'!AC9*Constants!$H85*EF!$H210*MMVolatEF*NtoN2O*kgtoGg</f>
        <v>1.6819538264928734E-2</v>
      </c>
      <c r="AD160" s="22">
        <f>Constants!$H67*'Activity data'!AD9*Constants!$H85*EF!$H210*MMVolatEF*NtoN2O*kgtoGg</f>
        <v>1.6232293381826982E-2</v>
      </c>
      <c r="AE160" s="22">
        <f>Constants!$H67*'Activity data'!AE9*Constants!$H85*EF!$H210*MMVolatEF*NtoN2O*kgtoGg</f>
        <v>1.612469863334539E-2</v>
      </c>
      <c r="AF160" s="22">
        <f>Constants!$H67*'Activity data'!AF9*Constants!$H85*EF!$H210*MMVolatEF*NtoN2O*kgtoGg</f>
        <v>1.5897842316376299E-2</v>
      </c>
      <c r="AG160" s="22">
        <f>Constants!$H67*'Activity data'!AG9*Constants!$H85*EF!$H210*MMVolatEF*NtoN2O*kgtoGg</f>
        <v>1.5515444556338871E-2</v>
      </c>
      <c r="AH160" s="22">
        <f>Constants!$H67*'Activity data'!AH9*Constants!$H85*EF!$H210*MMVolatEF*NtoN2O*kgtoGg</f>
        <v>1.5144432974317425E-2</v>
      </c>
      <c r="AI160" s="22">
        <f>Constants!$H67*'Activity data'!AI9*Constants!$H85*EF!$H210*MMVolatEF*NtoN2O*kgtoGg</f>
        <v>1.4859072994188992E-2</v>
      </c>
      <c r="AJ160" s="22">
        <f>Constants!$H67*'Activity data'!AJ9*Constants!$H85*EF!$H210*MMVolatEF*NtoN2O*kgtoGg</f>
        <v>1.4600962695243356E-2</v>
      </c>
      <c r="AK160" s="22">
        <f>Constants!$H67*'Activity data'!AK9*Constants!$H85*EF!$H210*MMVolatEF*NtoN2O*kgtoGg</f>
        <v>1.4195146991156963E-2</v>
      </c>
      <c r="AL160" s="22">
        <f>Constants!$H67*'Activity data'!AL9*Constants!$H85*EF!$H210*MMVolatEF*NtoN2O*kgtoGg</f>
        <v>1.2450004331704253E-2</v>
      </c>
      <c r="AM160" s="22">
        <f>Constants!$H67*'Activity data'!AM9*Constants!$H85*EF!$H210*MMVolatEF*NtoN2O*kgtoGg</f>
        <v>1.2568672834795916E-2</v>
      </c>
      <c r="AN160" s="22">
        <f>Constants!$H67*'Activity data'!AN9*Constants!$H85*EF!$H210*MMVolatEF*NtoN2O*kgtoGg</f>
        <v>1.2648972581089315E-2</v>
      </c>
      <c r="AO160" s="22">
        <f>Constants!$H67*'Activity data'!AO9*Constants!$H85*EF!$H210*MMVolatEF*NtoN2O*kgtoGg</f>
        <v>1.2726660521563772E-2</v>
      </c>
      <c r="AP160" s="22">
        <f>Constants!$H67*'Activity data'!AP9*Constants!$H85*EF!$H210*MMVolatEF*NtoN2O*kgtoGg</f>
        <v>1.2855137689183753E-2</v>
      </c>
      <c r="AQ160" s="22">
        <f>Constants!$H67*'Activity data'!AQ9*Constants!$H85*EF!$H210*MMVolatEF*NtoN2O*kgtoGg</f>
        <v>1.297938056472487E-2</v>
      </c>
      <c r="AR160" s="22">
        <f>Constants!$H67*'Activity data'!AR9*Constants!$H85*EF!$H210*MMVolatEF*NtoN2O*kgtoGg</f>
        <v>1.3109816934655115E-2</v>
      </c>
      <c r="AS160" s="22">
        <f>Constants!$H67*'Activity data'!AS9*Constants!$H85*EF!$H210*MMVolatEF*NtoN2O*kgtoGg</f>
        <v>1.3223373330920015E-2</v>
      </c>
      <c r="AT160" s="22">
        <f>Constants!$H67*'Activity data'!AT9*Constants!$H85*EF!$H210*MMVolatEF*NtoN2O*kgtoGg</f>
        <v>1.3352615908416542E-2</v>
      </c>
      <c r="AU160" s="22">
        <f>Constants!$H67*'Activity data'!AU9*Constants!$H85*EF!$H210*MMVolatEF*NtoN2O*kgtoGg</f>
        <v>1.345375260428577E-2</v>
      </c>
      <c r="AV160" s="22">
        <f>Constants!$H67*'Activity data'!AV9*Constants!$H85*EF!$H210*MMVolatEF*NtoN2O*kgtoGg</f>
        <v>1.3557664321208735E-2</v>
      </c>
      <c r="AW160" s="22">
        <f>Constants!$H67*'Activity data'!AW9*Constants!$H85*EF!$H210*MMVolatEF*NtoN2O*kgtoGg</f>
        <v>1.3606062598261524E-2</v>
      </c>
      <c r="AX160" s="22">
        <f>Constants!$H67*'Activity data'!AX9*Constants!$H85*EF!$H210*MMVolatEF*NtoN2O*kgtoGg</f>
        <v>1.3672426455496624E-2</v>
      </c>
      <c r="AY160" s="22">
        <f>Constants!$H67*'Activity data'!AY9*Constants!$H85*EF!$H210*MMVolatEF*NtoN2O*kgtoGg</f>
        <v>1.3738534190372041E-2</v>
      </c>
      <c r="AZ160" s="22">
        <f>Constants!$H67*'Activity data'!AZ9*Constants!$H85*EF!$H210*MMVolatEF*NtoN2O*kgtoGg</f>
        <v>1.3447167463899316E-2</v>
      </c>
      <c r="BA160" s="22">
        <f>Constants!$H67*'Activity data'!BA9*Constants!$H85*EF!$H210*MMVolatEF*NtoN2O*kgtoGg</f>
        <v>-3.1720008078581774E-3</v>
      </c>
      <c r="BB160" s="22">
        <f>Constants!$H67*'Activity data'!BB9*Constants!$H85*EF!$H210*MMVolatEF*NtoN2O*kgtoGg</f>
        <v>-3.098421421287828E-3</v>
      </c>
      <c r="BC160" s="22">
        <f>Constants!$H67*'Activity data'!BC9*Constants!$H85*EF!$H210*MMVolatEF*NtoN2O*kgtoGg</f>
        <v>-3.0260121778721673E-3</v>
      </c>
      <c r="BD160" s="22">
        <f>Constants!$H67*'Activity data'!BD9*Constants!$H85*EF!$H210*MMVolatEF*NtoN2O*kgtoGg</f>
        <v>-2.9547117917782697E-3</v>
      </c>
      <c r="BE160" s="22">
        <f>Constants!$H67*'Activity data'!BE9*Constants!$H85*EF!$H210*MMVolatEF*NtoN2O*kgtoGg</f>
        <v>-2.8844632142294947E-3</v>
      </c>
      <c r="BF160" s="22">
        <f>Constants!$H67*'Activity data'!BF9*Constants!$H85*EF!$H210*MMVolatEF*NtoN2O*kgtoGg</f>
        <v>-2.8152132408821133E-3</v>
      </c>
      <c r="BG160" s="22">
        <f>Constants!$H67*'Activity data'!BG9*Constants!$H85*EF!$H210*MMVolatEF*NtoN2O*kgtoGg</f>
        <v>-2.7590671775430979E-3</v>
      </c>
      <c r="BH160" s="22">
        <f>Constants!$H67*'Activity data'!BH9*Constants!$H85*EF!$H210*MMVolatEF*NtoN2O*kgtoGg</f>
        <v>-2.7037691326770971E-3</v>
      </c>
      <c r="BI160" s="22">
        <f>Constants!$H67*'Activity data'!BI9*Constants!$H85*EF!$H210*MMVolatEF*NtoN2O*kgtoGg</f>
        <v>-2.6492806782909082E-3</v>
      </c>
      <c r="BJ160" s="22">
        <f>Constants!$H67*'Activity data'!BJ9*Constants!$H85*EF!$H210*MMVolatEF*NtoN2O*kgtoGg</f>
        <v>-2.5955657764140799E-3</v>
      </c>
      <c r="BK160" s="22">
        <f>Constants!$H67*'Activity data'!BK9*Constants!$H85*EF!$H210*MMVolatEF*NtoN2O*kgtoGg</f>
        <v>-2.5425905809265438E-3</v>
      </c>
      <c r="BL160" s="22">
        <f>Constants!$H67*'Activity data'!BL9*Constants!$H85*EF!$H210*MMVolatEF*NtoN2O*kgtoGg</f>
        <v>-2.4886307532231877E-3</v>
      </c>
      <c r="BM160" s="22">
        <f>Constants!$H67*'Activity data'!BM9*Constants!$H85*EF!$H210*MMVolatEF*NtoN2O*kgtoGg</f>
        <v>-2.4354129419656258E-3</v>
      </c>
      <c r="BN160" s="22">
        <f>Constants!$H67*'Activity data'!BN9*Constants!$H85*EF!$H210*MMVolatEF*NtoN2O*kgtoGg</f>
        <v>-2.3829079573799484E-3</v>
      </c>
      <c r="BO160" s="22">
        <f>Constants!$H67*'Activity data'!BO9*Constants!$H85*EF!$H210*MMVolatEF*NtoN2O*kgtoGg</f>
        <v>-2.3310882496665208E-3</v>
      </c>
      <c r="BP160" s="22">
        <f>Constants!$H67*'Activity data'!BP9*Constants!$H85*EF!$H210*MMVolatEF*NtoN2O*kgtoGg</f>
        <v>-2.279927786449339E-3</v>
      </c>
    </row>
    <row r="161" spans="1:68" x14ac:dyDescent="0.25">
      <c r="A161" t="str">
        <f t="shared" si="58"/>
        <v>3C Aggregated and non-CO2 emissions on land</v>
      </c>
      <c r="B161" t="str">
        <f t="shared" si="62"/>
        <v>3C6 Indirect N2O from manure management (N2O)</v>
      </c>
      <c r="C161" t="str">
        <f t="shared" si="63"/>
        <v>Volatilisation</v>
      </c>
      <c r="D161" t="str">
        <f>'Activity data'!D71</f>
        <v xml:space="preserve"> - Feedlot</v>
      </c>
      <c r="E161" t="str">
        <f t="shared" si="61"/>
        <v>Volatilisation - Feedlot</v>
      </c>
      <c r="F161" t="str">
        <f t="shared" si="47"/>
        <v>N2O</v>
      </c>
      <c r="G161" t="str">
        <f t="shared" si="48"/>
        <v>Gg N2O</v>
      </c>
      <c r="H161" s="22">
        <f>Constants!$H68*'Activity data'!H10*Constants!$H86*EF!$H211*MMVolatEF*NtoN2O*kgtoGg</f>
        <v>0.12283717445999996</v>
      </c>
      <c r="I161" s="22">
        <f>Constants!$H68*'Activity data'!I10*Constants!$H86*EF!$H211*MMVolatEF*NtoN2O*kgtoGg</f>
        <v>0.12283717445999996</v>
      </c>
      <c r="J161" s="22">
        <f>Constants!$H68*'Activity data'!J10*Constants!$H86*EF!$H211*MMVolatEF*NtoN2O*kgtoGg</f>
        <v>0.12283717445999996</v>
      </c>
      <c r="K161" s="22">
        <f>Constants!$H68*'Activity data'!K10*Constants!$H86*EF!$H211*MMVolatEF*NtoN2O*kgtoGg</f>
        <v>0.12283717445999996</v>
      </c>
      <c r="L161" s="22">
        <f>Constants!$H68*'Activity data'!L10*Constants!$H86*EF!$H211*MMVolatEF*NtoN2O*kgtoGg</f>
        <v>0.12283717445999996</v>
      </c>
      <c r="M161" s="22">
        <f>Constants!$H68*'Activity data'!M10*Constants!$H86*EF!$H211*MMVolatEF*NtoN2O*kgtoGg</f>
        <v>0.12283717445999996</v>
      </c>
      <c r="N161" s="22">
        <f>Constants!$H68*'Activity data'!N10*Constants!$H86*EF!$H211*MMVolatEF*NtoN2O*kgtoGg</f>
        <v>0.12283717445999996</v>
      </c>
      <c r="O161" s="22">
        <f>Constants!$H68*'Activity data'!O10*Constants!$H86*EF!$H211*MMVolatEF*NtoN2O*kgtoGg</f>
        <v>0.12283717445999996</v>
      </c>
      <c r="P161" s="22">
        <f>Constants!$H68*'Activity data'!P10*Constants!$H86*EF!$H211*MMVolatEF*NtoN2O*kgtoGg</f>
        <v>0.12283717445999996</v>
      </c>
      <c r="Q161" s="22">
        <f>Constants!$H68*'Activity data'!Q10*Constants!$H86*EF!$H211*MMVolatEF*NtoN2O*kgtoGg</f>
        <v>0.12283717445999996</v>
      </c>
      <c r="R161" s="22">
        <f>Constants!$H68*'Activity data'!R10*Constants!$H86*EF!$H211*MMVolatEF*NtoN2O*kgtoGg</f>
        <v>0.12283717445999996</v>
      </c>
      <c r="S161" s="22">
        <f>Constants!$H68*'Activity data'!S10*Constants!$H86*EF!$H211*MMVolatEF*NtoN2O*kgtoGg</f>
        <v>0.12283717445999996</v>
      </c>
      <c r="T161" s="22">
        <f>Constants!$H68*'Activity data'!T10*Constants!$H86*EF!$H211*MMVolatEF*NtoN2O*kgtoGg</f>
        <v>0.12283717445999996</v>
      </c>
      <c r="U161" s="22">
        <f>Constants!$H68*'Activity data'!U10*Constants!$H86*EF!$H211*MMVolatEF*NtoN2O*kgtoGg</f>
        <v>0.12283717445999996</v>
      </c>
      <c r="V161" s="22">
        <f>Constants!$H68*'Activity data'!V10*Constants!$H86*EF!$H211*MMVolatEF*NtoN2O*kgtoGg</f>
        <v>0.12283717445999996</v>
      </c>
      <c r="W161" s="22">
        <f>Constants!$H68*'Activity data'!W10*Constants!$H86*EF!$H211*MMVolatEF*NtoN2O*kgtoGg</f>
        <v>0.12283717445999996</v>
      </c>
      <c r="X161" s="22">
        <f>Constants!$H68*'Activity data'!X10*Constants!$H86*EF!$H211*MMVolatEF*NtoN2O*kgtoGg</f>
        <v>0.12283717445999996</v>
      </c>
      <c r="Y161" s="22">
        <f>Constants!$H68*'Activity data'!Y10*Constants!$H86*EF!$H211*MMVolatEF*NtoN2O*kgtoGg</f>
        <v>0.12283717445999996</v>
      </c>
      <c r="Z161" s="22">
        <f>Constants!$H68*'Activity data'!Z10*Constants!$H86*EF!$H211*MMVolatEF*NtoN2O*kgtoGg</f>
        <v>0.11439877239615821</v>
      </c>
      <c r="AA161" s="22">
        <f>Constants!$H68*'Activity data'!AA10*Constants!$H86*EF!$H211*MMVolatEF*NtoN2O*kgtoGg</f>
        <v>0.11722743955247324</v>
      </c>
      <c r="AB161" s="22">
        <f>Constants!$H68*'Activity data'!AB10*Constants!$H86*EF!$H211*MMVolatEF*NtoN2O*kgtoGg</f>
        <v>0.116935823125407</v>
      </c>
      <c r="AC161" s="22">
        <f>Constants!$H68*'Activity data'!AC10*Constants!$H86*EF!$H211*MMVolatEF*NtoN2O*kgtoGg</f>
        <v>0.13506244675831047</v>
      </c>
      <c r="AD161" s="22">
        <f>Constants!$H68*'Activity data'!AD10*Constants!$H86*EF!$H211*MMVolatEF*NtoN2O*kgtoGg</f>
        <v>0.15922781806557695</v>
      </c>
      <c r="AE161" s="22">
        <f>Constants!$H68*'Activity data'!AE10*Constants!$H86*EF!$H211*MMVolatEF*NtoN2O*kgtoGg</f>
        <v>0.16489874459702494</v>
      </c>
      <c r="AF161" s="22">
        <f>Constants!$H68*'Activity data'!AF10*Constants!$H86*EF!$H211*MMVolatEF*NtoN2O*kgtoGg</f>
        <v>0.16939991585045727</v>
      </c>
      <c r="AG161" s="22">
        <f>Constants!$H68*'Activity data'!AG10*Constants!$H86*EF!$H211*MMVolatEF*NtoN2O*kgtoGg</f>
        <v>0.17218348693308003</v>
      </c>
      <c r="AH161" s="22">
        <f>Constants!$H68*'Activity data'!AH10*Constants!$H86*EF!$H211*MMVolatEF*NtoN2O*kgtoGg</f>
        <v>0.17497286890553645</v>
      </c>
      <c r="AI161" s="22">
        <f>Constants!$H68*'Activity data'!AI10*Constants!$H86*EF!$H211*MMVolatEF*NtoN2O*kgtoGg</f>
        <v>0.17867712216797899</v>
      </c>
      <c r="AJ161" s="22">
        <f>Constants!$H68*'Activity data'!AJ10*Constants!$H86*EF!$H211*MMVolatEF*NtoN2O*kgtoGg</f>
        <v>0.18269010203222399</v>
      </c>
      <c r="AK161" s="22">
        <f>Constants!$H68*'Activity data'!AK10*Constants!$H86*EF!$H211*MMVolatEF*NtoN2O*kgtoGg</f>
        <v>0.18477850416218133</v>
      </c>
      <c r="AL161" s="22">
        <f>Constants!$H68*'Activity data'!AL10*Constants!$H86*EF!$H211*MMVolatEF*NtoN2O*kgtoGg</f>
        <v>0.16857906885266413</v>
      </c>
      <c r="AM161" s="22">
        <f>Constants!$H68*'Activity data'!AM10*Constants!$H86*EF!$H211*MMVolatEF*NtoN2O*kgtoGg</f>
        <v>0.17425287964090236</v>
      </c>
      <c r="AN161" s="22">
        <f>Constants!$H68*'Activity data'!AN10*Constants!$H86*EF!$H211*MMVolatEF*NtoN2O*kgtoGg</f>
        <v>0.17949945582313931</v>
      </c>
      <c r="AO161" s="22">
        <f>Constants!$H68*'Activity data'!AO10*Constants!$H86*EF!$H211*MMVolatEF*NtoN2O*kgtoGg</f>
        <v>0.18480458029183697</v>
      </c>
      <c r="AP161" s="22">
        <f>Constants!$H68*'Activity data'!AP10*Constants!$H86*EF!$H211*MMVolatEF*NtoN2O*kgtoGg</f>
        <v>0.19096302657670283</v>
      </c>
      <c r="AQ161" s="22">
        <f>Constants!$H68*'Activity data'!AQ10*Constants!$H86*EF!$H211*MMVolatEF*NtoN2O*kgtoGg</f>
        <v>0.19719436509402946</v>
      </c>
      <c r="AR161" s="22">
        <f>Constants!$H68*'Activity data'!AR10*Constants!$H86*EF!$H211*MMVolatEF*NtoN2O*kgtoGg</f>
        <v>0.20366092227158905</v>
      </c>
      <c r="AS161" s="22">
        <f>Constants!$H68*'Activity data'!AS10*Constants!$H86*EF!$H211*MMVolatEF*NtoN2O*kgtoGg</f>
        <v>0.21000736593010838</v>
      </c>
      <c r="AT161" s="22">
        <f>Constants!$H68*'Activity data'!AT10*Constants!$H86*EF!$H211*MMVolatEF*NtoN2O*kgtoGg</f>
        <v>0.21674936909166895</v>
      </c>
      <c r="AU161" s="22">
        <f>Constants!$H68*'Activity data'!AU10*Constants!$H86*EF!$H211*MMVolatEF*NtoN2O*kgtoGg</f>
        <v>0.22318188532765407</v>
      </c>
      <c r="AV161" s="22">
        <f>Constants!$H68*'Activity data'!AV10*Constants!$H86*EF!$H211*MMVolatEF*NtoN2O*kgtoGg</f>
        <v>0.22980286680499964</v>
      </c>
      <c r="AW161" s="22">
        <f>Constants!$H68*'Activity data'!AW10*Constants!$H86*EF!$H211*MMVolatEF*NtoN2O*kgtoGg</f>
        <v>0.2382309822629842</v>
      </c>
      <c r="AX161" s="22">
        <f>Constants!$H68*'Activity data'!AX10*Constants!$H86*EF!$H211*MMVolatEF*NtoN2O*kgtoGg</f>
        <v>0.24730559399060587</v>
      </c>
      <c r="AY161" s="22">
        <f>Constants!$H68*'Activity data'!AY10*Constants!$H86*EF!$H211*MMVolatEF*NtoN2O*kgtoGg</f>
        <v>0.25673647400031802</v>
      </c>
      <c r="AZ161" s="22">
        <f>Constants!$H68*'Activity data'!AZ10*Constants!$H86*EF!$H211*MMVolatEF*NtoN2O*kgtoGg</f>
        <v>0.25964613908565431</v>
      </c>
      <c r="BA161" s="22">
        <f>Constants!$H68*'Activity data'!BA10*Constants!$H86*EF!$H211*MMVolatEF*NtoN2O*kgtoGg</f>
        <v>-6.3291007360128299E-2</v>
      </c>
      <c r="BB161" s="22">
        <f>Constants!$H68*'Activity data'!BB10*Constants!$H86*EF!$H211*MMVolatEF*NtoN2O*kgtoGg</f>
        <v>-6.3895366189305636E-2</v>
      </c>
      <c r="BC161" s="22">
        <f>Constants!$H68*'Activity data'!BC10*Constants!$H86*EF!$H211*MMVolatEF*NtoN2O*kgtoGg</f>
        <v>-6.4504638848078458E-2</v>
      </c>
      <c r="BD161" s="22">
        <f>Constants!$H68*'Activity data'!BD10*Constants!$H86*EF!$H211*MMVolatEF*NtoN2O*kgtoGg</f>
        <v>-6.5118871838809281E-2</v>
      </c>
      <c r="BE161" s="22">
        <f>Constants!$H68*'Activity data'!BE10*Constants!$H86*EF!$H211*MMVolatEF*NtoN2O*kgtoGg</f>
        <v>-6.5738112081384775E-2</v>
      </c>
      <c r="BF161" s="22">
        <f>Constants!$H68*'Activity data'!BF10*Constants!$H86*EF!$H211*MMVolatEF*NtoN2O*kgtoGg</f>
        <v>-6.6362406916836855E-2</v>
      </c>
      <c r="BG161" s="22">
        <f>Constants!$H68*'Activity data'!BG10*Constants!$H86*EF!$H211*MMVolatEF*NtoN2O*kgtoGg</f>
        <v>-6.6863409386316588E-2</v>
      </c>
      <c r="BH161" s="22">
        <f>Constants!$H68*'Activity data'!BH10*Constants!$H86*EF!$H211*MMVolatEF*NtoN2O*kgtoGg</f>
        <v>-6.7367867762467962E-2</v>
      </c>
      <c r="BI161" s="22">
        <f>Constants!$H68*'Activity data'!BI10*Constants!$H86*EF!$H211*MMVolatEF*NtoN2O*kgtoGg</f>
        <v>-6.7875809396751335E-2</v>
      </c>
      <c r="BJ161" s="22">
        <f>Constants!$H68*'Activity data'!BJ10*Constants!$H86*EF!$H211*MMVolatEF*NtoN2O*kgtoGg</f>
        <v>-6.8387261847069211E-2</v>
      </c>
      <c r="BK161" s="22">
        <f>Constants!$H68*'Activity data'!BK10*Constants!$H86*EF!$H211*MMVolatEF*NtoN2O*kgtoGg</f>
        <v>-6.8902252879275511E-2</v>
      </c>
      <c r="BL161" s="22">
        <f>Constants!$H68*'Activity data'!BL10*Constants!$H86*EF!$H211*MMVolatEF*NtoN2O*kgtoGg</f>
        <v>-6.9373629780267981E-2</v>
      </c>
      <c r="BM161" s="22">
        <f>Constants!$H68*'Activity data'!BM10*Constants!$H86*EF!$H211*MMVolatEF*NtoN2O*kgtoGg</f>
        <v>-6.9847719512371606E-2</v>
      </c>
      <c r="BN161" s="22">
        <f>Constants!$H68*'Activity data'!BN10*Constants!$H86*EF!$H211*MMVolatEF*NtoN2O*kgtoGg</f>
        <v>-7.0324540021641888E-2</v>
      </c>
      <c r="BO161" s="22">
        <f>Constants!$H68*'Activity data'!BO10*Constants!$H86*EF!$H211*MMVolatEF*NtoN2O*kgtoGg</f>
        <v>-7.0804109366663218E-2</v>
      </c>
      <c r="BP161" s="22">
        <f>Constants!$H68*'Activity data'!BP10*Constants!$H86*EF!$H211*MMVolatEF*NtoN2O*kgtoGg</f>
        <v>-7.1286445719229846E-2</v>
      </c>
    </row>
    <row r="162" spans="1:68" x14ac:dyDescent="0.25">
      <c r="A162" t="str">
        <f t="shared" si="58"/>
        <v>3C Aggregated and non-CO2 emissions on land</v>
      </c>
      <c r="B162" t="str">
        <f t="shared" si="62"/>
        <v>3C6 Indirect N2O from manure management (N2O)</v>
      </c>
      <c r="C162" t="str">
        <f t="shared" si="63"/>
        <v>Volatilisation</v>
      </c>
      <c r="D162" t="str">
        <f>'Activity data'!D72</f>
        <v xml:space="preserve"> - Commercial sheep</v>
      </c>
      <c r="E162" t="str">
        <f t="shared" si="61"/>
        <v>Volatilisation - Commercial sheep</v>
      </c>
      <c r="F162" t="str">
        <f t="shared" si="47"/>
        <v>N2O</v>
      </c>
      <c r="G162" t="str">
        <f t="shared" si="48"/>
        <v>Gg N2O</v>
      </c>
      <c r="H162" s="22">
        <f>Constants!$H69*'Activity data'!H11*Constants!$H87*EF!$H212*MMVolatEF*NtoN2O*kgtoGg</f>
        <v>1.8472261121735457E-4</v>
      </c>
      <c r="I162" s="22">
        <f>Constants!$H69*'Activity data'!I11*Constants!$H87*EF!$H212*MMVolatEF*NtoN2O*kgtoGg</f>
        <v>1.7641659434150834E-4</v>
      </c>
      <c r="J162" s="22">
        <f>Constants!$H69*'Activity data'!J11*Constants!$H87*EF!$H212*MMVolatEF*NtoN2O*kgtoGg</f>
        <v>1.6912726350758691E-4</v>
      </c>
      <c r="K162" s="22">
        <f>Constants!$H69*'Activity data'!K11*Constants!$H87*EF!$H212*MMVolatEF*NtoN2O*kgtoGg</f>
        <v>1.5817170118914879E-4</v>
      </c>
      <c r="L162" s="22">
        <f>Constants!$H69*'Activity data'!L11*Constants!$H87*EF!$H212*MMVolatEF*NtoN2O*kgtoGg</f>
        <v>1.5928697496847238E-4</v>
      </c>
      <c r="M162" s="22">
        <f>Constants!$H69*'Activity data'!M11*Constants!$H87*EF!$H212*MMVolatEF*NtoN2O*kgtoGg</f>
        <v>1.5700713354112583E-4</v>
      </c>
      <c r="N162" s="22">
        <f>Constants!$H69*'Activity data'!N11*Constants!$H87*EF!$H212*MMVolatEF*NtoN2O*kgtoGg</f>
        <v>1.575308808960568E-4</v>
      </c>
      <c r="O162" s="22">
        <f>Constants!$H69*'Activity data'!O11*Constants!$H87*EF!$H212*MMVolatEF*NtoN2O*kgtoGg</f>
        <v>1.541049570214496E-4</v>
      </c>
      <c r="P162" s="22">
        <f>Constants!$H69*'Activity data'!P11*Constants!$H87*EF!$H212*MMVolatEF*NtoN2O*kgtoGg</f>
        <v>1.5453011663898181E-4</v>
      </c>
      <c r="Q162" s="22">
        <f>Constants!$H69*'Activity data'!Q11*Constants!$H87*EF!$H212*MMVolatEF*NtoN2O*kgtoGg</f>
        <v>1.5073448874912916E-4</v>
      </c>
      <c r="R162" s="22">
        <f>Constants!$H69*'Activity data'!R11*Constants!$H87*EF!$H212*MMVolatEF*NtoN2O*kgtoGg</f>
        <v>1.4533064839295922E-4</v>
      </c>
      <c r="S162" s="22">
        <f>Constants!$H69*'Activity data'!S11*Constants!$H87*EF!$H212*MMVolatEF*NtoN2O*kgtoGg</f>
        <v>1.4170754904355447E-4</v>
      </c>
      <c r="T162" s="22">
        <f>Constants!$H69*'Activity data'!T11*Constants!$H87*EF!$H212*MMVolatEF*NtoN2O*kgtoGg</f>
        <v>1.3934144334598408E-4</v>
      </c>
      <c r="U162" s="22">
        <f>Constants!$H69*'Activity data'!U11*Constants!$H87*EF!$H212*MMVolatEF*NtoN2O*kgtoGg</f>
        <v>1.3982822029939045E-4</v>
      </c>
      <c r="V162" s="22">
        <f>Constants!$H69*'Activity data'!V11*Constants!$H87*EF!$H212*MMVolatEF*NtoN2O*kgtoGg</f>
        <v>1.3733887993007157E-4</v>
      </c>
      <c r="W162" s="22">
        <f>Constants!$H69*'Activity data'!W11*Constants!$H87*EF!$H212*MMVolatEF*NtoN2O*kgtoGg</f>
        <v>1.3701230804993817E-4</v>
      </c>
      <c r="X162" s="22">
        <f>Constants!$H69*'Activity data'!X11*Constants!$H87*EF!$H212*MMVolatEF*NtoN2O*kgtoGg</f>
        <v>1.3521924357599806E-4</v>
      </c>
      <c r="Y162" s="22">
        <f>Constants!$H69*'Activity data'!Y11*Constants!$H87*EF!$H212*MMVolatEF*NtoN2O*kgtoGg</f>
        <v>1.3508984717066217E-4</v>
      </c>
      <c r="Z162" s="22">
        <f>Constants!$H69*'Activity data'!Z11*Constants!$H87*EF!$H212*MMVolatEF*NtoN2O*kgtoGg</f>
        <v>1.3552733025536923E-4</v>
      </c>
      <c r="AA162" s="22">
        <f>Constants!$H69*'Activity data'!AA11*Constants!$H87*EF!$H212*MMVolatEF*NtoN2O*kgtoGg</f>
        <v>1.3504671503555021E-4</v>
      </c>
      <c r="AB162" s="22">
        <f>Constants!$H69*'Activity data'!AB11*Constants!$H87*EF!$H212*MMVolatEF*NtoN2O*kgtoGg</f>
        <v>1.3243413999448287E-4</v>
      </c>
      <c r="AC162" s="22">
        <f>Constants!$H69*'Activity data'!AC11*Constants!$H87*EF!$H212*MMVolatEF*NtoN2O*kgtoGg</f>
        <v>1.3139896875179576E-4</v>
      </c>
      <c r="AD162" s="22">
        <f>Constants!$H69*'Activity data'!AD11*Constants!$H87*EF!$H212*MMVolatEF*NtoN2O*kgtoGg</f>
        <v>1.171858684484313E-4</v>
      </c>
      <c r="AE162" s="22">
        <f>Constants!$H69*'Activity data'!AE11*Constants!$H87*EF!$H212*MMVolatEF*NtoN2O*kgtoGg</f>
        <v>1.1724986264912743E-4</v>
      </c>
      <c r="AF162" s="22">
        <f>Constants!$H69*'Activity data'!AF11*Constants!$H87*EF!$H212*MMVolatEF*NtoN2O*kgtoGg</f>
        <v>1.1739315795736154E-4</v>
      </c>
      <c r="AG162" s="22">
        <f>Constants!$H69*'Activity data'!AG11*Constants!$H87*EF!$H212*MMVolatEF*NtoN2O*kgtoGg</f>
        <v>1.1760884747933323E-4</v>
      </c>
      <c r="AH162" s="22">
        <f>Constants!$H69*'Activity data'!AH11*Constants!$H87*EF!$H212*MMVolatEF*NtoN2O*kgtoGg</f>
        <v>1.1789981697079396E-4</v>
      </c>
      <c r="AI162" s="22">
        <f>Constants!$H69*'Activity data'!AI11*Constants!$H87*EF!$H212*MMVolatEF*NtoN2O*kgtoGg</f>
        <v>1.1826637517857024E-4</v>
      </c>
      <c r="AJ162" s="22">
        <f>Constants!$H69*'Activity data'!AJ11*Constants!$H87*EF!$H212*MMVolatEF*NtoN2O*kgtoGg</f>
        <v>1.1867470616236446E-4</v>
      </c>
      <c r="AK162" s="22">
        <f>Constants!$H69*'Activity data'!AK11*Constants!$H87*EF!$H212*MMVolatEF*NtoN2O*kgtoGg</f>
        <v>1.1911724401941935E-4</v>
      </c>
      <c r="AL162" s="22">
        <f>Constants!$H69*'Activity data'!AL11*Constants!$H87*EF!$H212*MMVolatEF*NtoN2O*kgtoGg</f>
        <v>1.1953310214883348E-4</v>
      </c>
      <c r="AM162" s="22">
        <f>Constants!$H69*'Activity data'!AM11*Constants!$H87*EF!$H212*MMVolatEF*NtoN2O*kgtoGg</f>
        <v>1.197068141423074E-4</v>
      </c>
      <c r="AN162" s="22">
        <f>Constants!$H69*'Activity data'!AN11*Constants!$H87*EF!$H212*MMVolatEF*NtoN2O*kgtoGg</f>
        <v>1.199083856789491E-4</v>
      </c>
      <c r="AO162" s="22">
        <f>Constants!$H69*'Activity data'!AO11*Constants!$H87*EF!$H212*MMVolatEF*NtoN2O*kgtoGg</f>
        <v>1.201377754278402E-4</v>
      </c>
      <c r="AP162" s="22">
        <f>Constants!$H69*'Activity data'!AP11*Constants!$H87*EF!$H212*MMVolatEF*NtoN2O*kgtoGg</f>
        <v>1.2039617188423161E-4</v>
      </c>
      <c r="AQ162" s="22">
        <f>Constants!$H69*'Activity data'!AQ11*Constants!$H87*EF!$H212*MMVolatEF*NtoN2O*kgtoGg</f>
        <v>1.2067943256873451E-4</v>
      </c>
      <c r="AR162" s="22">
        <f>Constants!$H69*'Activity data'!AR11*Constants!$H87*EF!$H212*MMVolatEF*NtoN2O*kgtoGg</f>
        <v>1.2085380112251055E-4</v>
      </c>
      <c r="AS162" s="22">
        <f>Constants!$H69*'Activity data'!AS11*Constants!$H87*EF!$H212*MMVolatEF*NtoN2O*kgtoGg</f>
        <v>1.2104857439732012E-4</v>
      </c>
      <c r="AT162" s="22">
        <f>Constants!$H69*'Activity data'!AT11*Constants!$H87*EF!$H212*MMVolatEF*NtoN2O*kgtoGg</f>
        <v>1.2126445921474039E-4</v>
      </c>
      <c r="AU162" s="22">
        <f>Constants!$H69*'Activity data'!AU11*Constants!$H87*EF!$H212*MMVolatEF*NtoN2O*kgtoGg</f>
        <v>1.2149813863258011E-4</v>
      </c>
      <c r="AV162" s="22">
        <f>Constants!$H69*'Activity data'!AV11*Constants!$H87*EF!$H212*MMVolatEF*NtoN2O*kgtoGg</f>
        <v>1.2175044819305052E-4</v>
      </c>
      <c r="AW162" s="22">
        <f>Constants!$H69*'Activity data'!AW11*Constants!$H87*EF!$H212*MMVolatEF*NtoN2O*kgtoGg</f>
        <v>1.2191654827812353E-4</v>
      </c>
      <c r="AX162" s="22">
        <f>Constants!$H69*'Activity data'!AX11*Constants!$H87*EF!$H212*MMVolatEF*NtoN2O*kgtoGg</f>
        <v>1.2210011953046386E-4</v>
      </c>
      <c r="AY162" s="22">
        <f>Constants!$H69*'Activity data'!AY11*Constants!$H87*EF!$H212*MMVolatEF*NtoN2O*kgtoGg</f>
        <v>1.2229951100214118E-4</v>
      </c>
      <c r="AZ162" s="22">
        <f>Constants!$H69*'Activity data'!AZ11*Constants!$H87*EF!$H212*MMVolatEF*NtoN2O*kgtoGg</f>
        <v>1.2249214859428272E-4</v>
      </c>
      <c r="BA162" s="22">
        <f>Constants!$H69*'Activity data'!BA11*Constants!$H87*EF!$H212*MMVolatEF*NtoN2O*kgtoGg</f>
        <v>1.2166856520731395E-4</v>
      </c>
      <c r="BB162" s="22">
        <f>Constants!$H69*'Activity data'!BB11*Constants!$H87*EF!$H212*MMVolatEF*NtoN2O*kgtoGg</f>
        <v>1.2178552707040833E-4</v>
      </c>
      <c r="BC162" s="22">
        <f>Constants!$H69*'Activity data'!BC11*Constants!$H87*EF!$H212*MMVolatEF*NtoN2O*kgtoGg</f>
        <v>1.2191459506568997E-4</v>
      </c>
      <c r="BD162" s="22">
        <f>Constants!$H69*'Activity data'!BD11*Constants!$H87*EF!$H212*MMVolatEF*NtoN2O*kgtoGg</f>
        <v>1.220553118336419E-4</v>
      </c>
      <c r="BE162" s="22">
        <f>Constants!$H69*'Activity data'!BE11*Constants!$H87*EF!$H212*MMVolatEF*NtoN2O*kgtoGg</f>
        <v>1.2220725536579073E-4</v>
      </c>
      <c r="BF162" s="22">
        <f>Constants!$H69*'Activity data'!BF11*Constants!$H87*EF!$H212*MMVolatEF*NtoN2O*kgtoGg</f>
        <v>1.2237003565016038E-4</v>
      </c>
      <c r="BG162" s="22">
        <f>Constants!$H69*'Activity data'!BG11*Constants!$H87*EF!$H212*MMVolatEF*NtoN2O*kgtoGg</f>
        <v>1.2244903306979284E-4</v>
      </c>
      <c r="BH162" s="22">
        <f>Constants!$H69*'Activity data'!BH11*Constants!$H87*EF!$H212*MMVolatEF*NtoN2O*kgtoGg</f>
        <v>1.2253757835817969E-4</v>
      </c>
      <c r="BI162" s="22">
        <f>Constants!$H69*'Activity data'!BI11*Constants!$H87*EF!$H212*MMVolatEF*NtoN2O*kgtoGg</f>
        <v>1.226353392269764E-4</v>
      </c>
      <c r="BJ162" s="22">
        <f>Constants!$H69*'Activity data'!BJ11*Constants!$H87*EF!$H212*MMVolatEF*NtoN2O*kgtoGg</f>
        <v>1.2274200613087834E-4</v>
      </c>
      <c r="BK162" s="22">
        <f>Constants!$H69*'Activity data'!BK11*Constants!$H87*EF!$H212*MMVolatEF*NtoN2O*kgtoGg</f>
        <v>1.228572903354883E-4</v>
      </c>
      <c r="BL162" s="22">
        <f>Constants!$H69*'Activity data'!BL11*Constants!$H87*EF!$H212*MMVolatEF*NtoN2O*kgtoGg</f>
        <v>1.2288572954642337E-4</v>
      </c>
      <c r="BM162" s="22">
        <f>Constants!$H69*'Activity data'!BM11*Constants!$H87*EF!$H212*MMVolatEF*NtoN2O*kgtoGg</f>
        <v>1.2292181660779718E-4</v>
      </c>
      <c r="BN162" s="22">
        <f>Constants!$H69*'Activity data'!BN11*Constants!$H87*EF!$H212*MMVolatEF*NtoN2O*kgtoGg</f>
        <v>1.2296529822294655E-4</v>
      </c>
      <c r="BO162" s="22">
        <f>Constants!$H69*'Activity data'!BO11*Constants!$H87*EF!$H212*MMVolatEF*NtoN2O*kgtoGg</f>
        <v>1.2301593656260403E-4</v>
      </c>
      <c r="BP162" s="22">
        <f>Constants!$H69*'Activity data'!BP11*Constants!$H87*EF!$H212*MMVolatEF*NtoN2O*kgtoGg</f>
        <v>1.2307350807543003E-4</v>
      </c>
    </row>
    <row r="163" spans="1:68" x14ac:dyDescent="0.25">
      <c r="A163" t="str">
        <f t="shared" si="58"/>
        <v>3C Aggregated and non-CO2 emissions on land</v>
      </c>
      <c r="B163" t="str">
        <f t="shared" si="62"/>
        <v>3C6 Indirect N2O from manure management (N2O)</v>
      </c>
      <c r="C163" t="str">
        <f t="shared" si="63"/>
        <v>Volatilisation</v>
      </c>
      <c r="D163" t="str">
        <f>'Activity data'!D73</f>
        <v xml:space="preserve"> - Subsistence sheep</v>
      </c>
      <c r="E163" t="str">
        <f t="shared" si="61"/>
        <v>Volatilisation - Subsistence sheep</v>
      </c>
      <c r="F163" t="str">
        <f t="shared" si="47"/>
        <v>N2O</v>
      </c>
      <c r="G163" t="str">
        <f t="shared" si="48"/>
        <v>Gg N2O</v>
      </c>
      <c r="H163" s="22">
        <f>Constants!$H70*'Activity data'!H12*Constants!$H88*EF!$H213*MMVolatEF*NtoN2O*kgtoGg</f>
        <v>1.1839669160909449E-3</v>
      </c>
      <c r="I163" s="22">
        <f>Constants!$H70*'Activity data'!I12*Constants!$H88*EF!$H213*MMVolatEF*NtoN2O*kgtoGg</f>
        <v>1.1307300702024701E-3</v>
      </c>
      <c r="J163" s="22">
        <f>Constants!$H70*'Activity data'!J12*Constants!$H88*EF!$H213*MMVolatEF*NtoN2O*kgtoGg</f>
        <v>1.0840096038181478E-3</v>
      </c>
      <c r="K163" s="22">
        <f>Constants!$H70*'Activity data'!K12*Constants!$H88*EF!$H213*MMVolatEF*NtoN2O*kgtoGg</f>
        <v>1.0137906780097589E-3</v>
      </c>
      <c r="L163" s="22">
        <f>Constants!$H70*'Activity data'!L12*Constants!$H88*EF!$H213*MMVolatEF*NtoN2O*kgtoGg</f>
        <v>1.0209389488597691E-3</v>
      </c>
      <c r="M163" s="22">
        <f>Constants!$H70*'Activity data'!M12*Constants!$H88*EF!$H213*MMVolatEF*NtoN2O*kgtoGg</f>
        <v>1.0063264614868198E-3</v>
      </c>
      <c r="N163" s="22">
        <f>Constants!$H70*'Activity data'!N12*Constants!$H88*EF!$H213*MMVolatEF*NtoN2O*kgtoGg</f>
        <v>1.0096833842616864E-3</v>
      </c>
      <c r="O163" s="22">
        <f>Constants!$H70*'Activity data'!O12*Constants!$H88*EF!$H213*MMVolatEF*NtoN2O*kgtoGg</f>
        <v>9.877251599931464E-4</v>
      </c>
      <c r="P163" s="22">
        <f>Constants!$H70*'Activity data'!P12*Constants!$H88*EF!$H213*MMVolatEF*NtoN2O*kgtoGg</f>
        <v>9.9045019142215908E-4</v>
      </c>
      <c r="Q163" s="22">
        <f>Constants!$H70*'Activity data'!Q12*Constants!$H88*EF!$H213*MMVolatEF*NtoN2O*kgtoGg</f>
        <v>9.66122374606654E-4</v>
      </c>
      <c r="R163" s="22">
        <f>Constants!$H70*'Activity data'!R12*Constants!$H88*EF!$H213*MMVolatEF*NtoN2O*kgtoGg</f>
        <v>9.3148683021185221E-4</v>
      </c>
      <c r="S163" s="22">
        <f>Constants!$H70*'Activity data'!S12*Constants!$H88*EF!$H213*MMVolatEF*NtoN2O*kgtoGg</f>
        <v>9.0826482325159742E-4</v>
      </c>
      <c r="T163" s="22">
        <f>Constants!$H70*'Activity data'!T12*Constants!$H88*EF!$H213*MMVolatEF*NtoN2O*kgtoGg</f>
        <v>8.9309943095102287E-4</v>
      </c>
      <c r="U163" s="22">
        <f>Constants!$H70*'Activity data'!U12*Constants!$H88*EF!$H213*MMVolatEF*NtoN2O*kgtoGg</f>
        <v>8.962193944711932E-4</v>
      </c>
      <c r="V163" s="22">
        <f>Constants!$H70*'Activity data'!V12*Constants!$H88*EF!$H213*MMVolatEF*NtoN2O*kgtoGg</f>
        <v>8.8026413798829686E-4</v>
      </c>
      <c r="W163" s="22">
        <f>Constants!$H70*'Activity data'!W12*Constants!$H88*EF!$H213*MMVolatEF*NtoN2O*kgtoGg</f>
        <v>8.7817099790514486E-4</v>
      </c>
      <c r="X163" s="22">
        <f>Constants!$H70*'Activity data'!X12*Constants!$H88*EF!$H213*MMVolatEF*NtoN2O*kgtoGg</f>
        <v>8.6667847405236557E-4</v>
      </c>
      <c r="Y163" s="22">
        <f>Constants!$H70*'Activity data'!Y12*Constants!$H88*EF!$H213*MMVolatEF*NtoN2O*kgtoGg</f>
        <v>8.658491166609279E-4</v>
      </c>
      <c r="Z163" s="22">
        <f>Constants!$H70*'Activity data'!Z12*Constants!$H88*EF!$H213*MMVolatEF*NtoN2O*kgtoGg</f>
        <v>8.6865313450816973E-4</v>
      </c>
      <c r="AA163" s="22">
        <f>Constants!$H70*'Activity data'!AA12*Constants!$H88*EF!$H213*MMVolatEF*NtoN2O*kgtoGg</f>
        <v>8.6557266419711528E-4</v>
      </c>
      <c r="AB163" s="22">
        <f>Constants!$H70*'Activity data'!AB12*Constants!$H88*EF!$H213*MMVolatEF*NtoN2O*kgtoGg</f>
        <v>8.4882754353189779E-4</v>
      </c>
      <c r="AC163" s="22">
        <f>Constants!$H70*'Activity data'!AC12*Constants!$H88*EF!$H213*MMVolatEF*NtoN2O*kgtoGg</f>
        <v>8.4219268440039634E-4</v>
      </c>
      <c r="AD163" s="22">
        <f>Constants!$H70*'Activity data'!AD12*Constants!$H88*EF!$H213*MMVolatEF*NtoN2O*kgtoGg</f>
        <v>8.0418980238344318E-4</v>
      </c>
      <c r="AE163" s="22">
        <f>Constants!$H70*'Activity data'!AE12*Constants!$H88*EF!$H213*MMVolatEF*NtoN2O*kgtoGg</f>
        <v>8.0462896355784847E-4</v>
      </c>
      <c r="AF163" s="22">
        <f>Constants!$H70*'Activity data'!AF12*Constants!$H88*EF!$H213*MMVolatEF*NtoN2O*kgtoGg</f>
        <v>8.0561232978738613E-4</v>
      </c>
      <c r="AG163" s="22">
        <f>Constants!$H70*'Activity data'!AG12*Constants!$H88*EF!$H213*MMVolatEF*NtoN2O*kgtoGg</f>
        <v>8.0709250240842989E-4</v>
      </c>
      <c r="AH163" s="22">
        <f>Constants!$H70*'Activity data'!AH12*Constants!$H88*EF!$H213*MMVolatEF*NtoN2O*kgtoGg</f>
        <v>8.090892849636611E-4</v>
      </c>
      <c r="AI163" s="22">
        <f>Constants!$H70*'Activity data'!AI12*Constants!$H88*EF!$H213*MMVolatEF*NtoN2O*kgtoGg</f>
        <v>8.1160479623286605E-4</v>
      </c>
      <c r="AJ163" s="22">
        <f>Constants!$H70*'Activity data'!AJ12*Constants!$H88*EF!$H213*MMVolatEF*NtoN2O*kgtoGg</f>
        <v>8.1440697381205979E-4</v>
      </c>
      <c r="AK163" s="22">
        <f>Constants!$H70*'Activity data'!AK12*Constants!$H88*EF!$H213*MMVolatEF*NtoN2O*kgtoGg</f>
        <v>8.1744389657863702E-4</v>
      </c>
      <c r="AL163" s="22">
        <f>Constants!$H70*'Activity data'!AL12*Constants!$H88*EF!$H213*MMVolatEF*NtoN2O*kgtoGg</f>
        <v>8.2029772930899112E-4</v>
      </c>
      <c r="AM163" s="22">
        <f>Constants!$H70*'Activity data'!AM12*Constants!$H88*EF!$H213*MMVolatEF*NtoN2O*kgtoGg</f>
        <v>8.214898305030433E-4</v>
      </c>
      <c r="AN163" s="22">
        <f>Constants!$H70*'Activity data'!AN12*Constants!$H88*EF!$H213*MMVolatEF*NtoN2O*kgtoGg</f>
        <v>8.2287311823529526E-4</v>
      </c>
      <c r="AO163" s="22">
        <f>Constants!$H70*'Activity data'!AO12*Constants!$H88*EF!$H213*MMVolatEF*NtoN2O*kgtoGg</f>
        <v>8.2444730887169186E-4</v>
      </c>
      <c r="AP163" s="22">
        <f>Constants!$H70*'Activity data'!AP12*Constants!$H88*EF!$H213*MMVolatEF*NtoN2O*kgtoGg</f>
        <v>8.2622055847894659E-4</v>
      </c>
      <c r="AQ163" s="22">
        <f>Constants!$H70*'Activity data'!AQ12*Constants!$H88*EF!$H213*MMVolatEF*NtoN2O*kgtoGg</f>
        <v>8.2816443922932592E-4</v>
      </c>
      <c r="AR163" s="22">
        <f>Constants!$H70*'Activity data'!AR12*Constants!$H88*EF!$H213*MMVolatEF*NtoN2O*kgtoGg</f>
        <v>8.2936104607842529E-4</v>
      </c>
      <c r="AS163" s="22">
        <f>Constants!$H70*'Activity data'!AS12*Constants!$H88*EF!$H213*MMVolatEF*NtoN2O*kgtoGg</f>
        <v>8.3069768063558287E-4</v>
      </c>
      <c r="AT163" s="22">
        <f>Constants!$H70*'Activity data'!AT12*Constants!$H88*EF!$H213*MMVolatEF*NtoN2O*kgtoGg</f>
        <v>8.3217919347460879E-4</v>
      </c>
      <c r="AU163" s="22">
        <f>Constants!$H70*'Activity data'!AU12*Constants!$H88*EF!$H213*MMVolatEF*NtoN2O*kgtoGg</f>
        <v>8.337828220293293E-4</v>
      </c>
      <c r="AV163" s="22">
        <f>Constants!$H70*'Activity data'!AV12*Constants!$H88*EF!$H213*MMVolatEF*NtoN2O*kgtoGg</f>
        <v>8.3551430022086096E-4</v>
      </c>
      <c r="AW163" s="22">
        <f>Constants!$H70*'Activity data'!AW12*Constants!$H88*EF!$H213*MMVolatEF*NtoN2O*kgtoGg</f>
        <v>8.3665416457788034E-4</v>
      </c>
      <c r="AX163" s="22">
        <f>Constants!$H70*'Activity data'!AX12*Constants!$H88*EF!$H213*MMVolatEF*NtoN2O*kgtoGg</f>
        <v>8.3791392508567411E-4</v>
      </c>
      <c r="AY163" s="22">
        <f>Constants!$H70*'Activity data'!AY12*Constants!$H88*EF!$H213*MMVolatEF*NtoN2O*kgtoGg</f>
        <v>8.3928225208899118E-4</v>
      </c>
      <c r="AZ163" s="22">
        <f>Constants!$H70*'Activity data'!AZ12*Constants!$H88*EF!$H213*MMVolatEF*NtoN2O*kgtoGg</f>
        <v>8.4060423049139648E-4</v>
      </c>
      <c r="BA163" s="22">
        <f>Constants!$H70*'Activity data'!BA12*Constants!$H88*EF!$H213*MMVolatEF*NtoN2O*kgtoGg</f>
        <v>8.349523769873693E-4</v>
      </c>
      <c r="BB163" s="22">
        <f>Constants!$H70*'Activity data'!BB12*Constants!$H88*EF!$H213*MMVolatEF*NtoN2O*kgtoGg</f>
        <v>8.3575502954960786E-4</v>
      </c>
      <c r="BC163" s="22">
        <f>Constants!$H70*'Activity data'!BC12*Constants!$H88*EF!$H213*MMVolatEF*NtoN2O*kgtoGg</f>
        <v>8.3664076062788407E-4</v>
      </c>
      <c r="BD163" s="22">
        <f>Constants!$H70*'Activity data'!BD12*Constants!$H88*EF!$H213*MMVolatEF*NtoN2O*kgtoGg</f>
        <v>8.3760643158556521E-4</v>
      </c>
      <c r="BE163" s="22">
        <f>Constants!$H70*'Activity data'!BE12*Constants!$H88*EF!$H213*MMVolatEF*NtoN2O*kgtoGg</f>
        <v>8.3864914638309197E-4</v>
      </c>
      <c r="BF163" s="22">
        <f>Constants!$H70*'Activity data'!BF12*Constants!$H88*EF!$H213*MMVolatEF*NtoN2O*kgtoGg</f>
        <v>8.3976622855735407E-4</v>
      </c>
      <c r="BG163" s="22">
        <f>Constants!$H70*'Activity data'!BG12*Constants!$H88*EF!$H213*MMVolatEF*NtoN2O*kgtoGg</f>
        <v>8.4030834954962157E-4</v>
      </c>
      <c r="BH163" s="22">
        <f>Constants!$H70*'Activity data'!BH12*Constants!$H88*EF!$H213*MMVolatEF*NtoN2O*kgtoGg</f>
        <v>8.40915992936257E-4</v>
      </c>
      <c r="BI163" s="22">
        <f>Constants!$H70*'Activity data'!BI12*Constants!$H88*EF!$H213*MMVolatEF*NtoN2O*kgtoGg</f>
        <v>8.4158687838344786E-4</v>
      </c>
      <c r="BJ163" s="22">
        <f>Constants!$H70*'Activity data'!BJ12*Constants!$H88*EF!$H213*MMVolatEF*NtoN2O*kgtoGg</f>
        <v>8.4231888163183893E-4</v>
      </c>
      <c r="BK163" s="22">
        <f>Constants!$H70*'Activity data'!BK12*Constants!$H88*EF!$H213*MMVolatEF*NtoN2O*kgtoGg</f>
        <v>8.4311002123724286E-4</v>
      </c>
      <c r="BL163" s="22">
        <f>Constants!$H70*'Activity data'!BL12*Constants!$H88*EF!$H213*MMVolatEF*NtoN2O*kgtoGg</f>
        <v>8.4330518575430119E-4</v>
      </c>
      <c r="BM163" s="22">
        <f>Constants!$H70*'Activity data'!BM12*Constants!$H88*EF!$H213*MMVolatEF*NtoN2O*kgtoGg</f>
        <v>8.4355283376117286E-4</v>
      </c>
      <c r="BN163" s="22">
        <f>Constants!$H70*'Activity data'!BN12*Constants!$H88*EF!$H213*MMVolatEF*NtoN2O*kgtoGg</f>
        <v>8.4385122700565967E-4</v>
      </c>
      <c r="BO163" s="22">
        <f>Constants!$H70*'Activity data'!BO12*Constants!$H88*EF!$H213*MMVolatEF*NtoN2O*kgtoGg</f>
        <v>8.4419873338079966E-4</v>
      </c>
      <c r="BP163" s="22">
        <f>Constants!$H70*'Activity data'!BP12*Constants!$H88*EF!$H213*MMVolatEF*NtoN2O*kgtoGg</f>
        <v>8.4459381876212985E-4</v>
      </c>
    </row>
    <row r="164" spans="1:68" x14ac:dyDescent="0.25">
      <c r="A164" t="str">
        <f t="shared" si="58"/>
        <v>3C Aggregated and non-CO2 emissions on land</v>
      </c>
      <c r="B164" t="str">
        <f t="shared" si="62"/>
        <v>3C6 Indirect N2O from manure management (N2O)</v>
      </c>
      <c r="C164" t="str">
        <f t="shared" si="63"/>
        <v>Volatilisation</v>
      </c>
      <c r="D164" t="str">
        <f>'Activity data'!D74</f>
        <v xml:space="preserve"> - Commercial goats</v>
      </c>
      <c r="E164" t="str">
        <f t="shared" si="61"/>
        <v>Volatilisation - Commercial goats</v>
      </c>
      <c r="F164" t="str">
        <f t="shared" si="47"/>
        <v>N2O</v>
      </c>
      <c r="G164" t="str">
        <f t="shared" si="48"/>
        <v>Gg N2O</v>
      </c>
      <c r="H164" s="22">
        <f>Constants!$H71*'Activity data'!H13*Constants!$H89*EF!$H214*MMVolatEF*NtoN2O*kgtoGg</f>
        <v>1.9430751682320126E-5</v>
      </c>
      <c r="I164" s="22">
        <f>Constants!$H71*'Activity data'!I13*Constants!$H89*EF!$H214*MMVolatEF*NtoN2O*kgtoGg</f>
        <v>1.7182276091107166E-5</v>
      </c>
      <c r="J164" s="22">
        <f>Constants!$H71*'Activity data'!J13*Constants!$H89*EF!$H214*MMVolatEF*NtoN2O*kgtoGg</f>
        <v>1.6005503819070468E-5</v>
      </c>
      <c r="K164" s="22">
        <f>Constants!$H71*'Activity data'!K13*Constants!$H89*EF!$H214*MMVolatEF*NtoN2O*kgtoGg</f>
        <v>1.5122924615042945E-5</v>
      </c>
      <c r="L164" s="22">
        <f>Constants!$H71*'Activity data'!L13*Constants!$H89*EF!$H214*MMVolatEF*NtoN2O*kgtoGg</f>
        <v>1.6369742855653251E-5</v>
      </c>
      <c r="M164" s="22">
        <f>Constants!$H71*'Activity data'!M13*Constants!$H89*EF!$H214*MMVolatEF*NtoN2O*kgtoGg</f>
        <v>1.6593889955088815E-5</v>
      </c>
      <c r="N164" s="22">
        <f>Constants!$H71*'Activity data'!N13*Constants!$H89*EF!$H214*MMVolatEF*NtoN2O*kgtoGg</f>
        <v>1.6853060038811182E-5</v>
      </c>
      <c r="O164" s="22">
        <f>Constants!$H71*'Activity data'!O13*Constants!$H89*EF!$H214*MMVolatEF*NtoN2O*kgtoGg</f>
        <v>1.6769004876522849E-5</v>
      </c>
      <c r="P164" s="22">
        <f>Constants!$H71*'Activity data'!P13*Constants!$H89*EF!$H214*MMVolatEF*NtoN2O*kgtoGg</f>
        <v>1.6530848583372566E-5</v>
      </c>
      <c r="Q164" s="22">
        <f>Constants!$H71*'Activity data'!Q13*Constants!$H89*EF!$H214*MMVolatEF*NtoN2O*kgtoGg</f>
        <v>1.6285687693364925E-5</v>
      </c>
      <c r="R164" s="22">
        <f>Constants!$H71*'Activity data'!R13*Constants!$H89*EF!$H214*MMVolatEF*NtoN2O*kgtoGg</f>
        <v>1.6495825599085754E-5</v>
      </c>
      <c r="S164" s="22">
        <f>Constants!$H71*'Activity data'!S13*Constants!$H89*EF!$H214*MMVolatEF*NtoN2O*kgtoGg</f>
        <v>1.7000156572815771E-5</v>
      </c>
      <c r="T164" s="22">
        <f>Constants!$H71*'Activity data'!T13*Constants!$H89*EF!$H214*MMVolatEF*NtoN2O*kgtoGg</f>
        <v>1.5522186635912543E-5</v>
      </c>
      <c r="U164" s="22">
        <f>Constants!$H71*'Activity data'!U13*Constants!$H89*EF!$H214*MMVolatEF*NtoN2O*kgtoGg</f>
        <v>1.5129929211900313E-5</v>
      </c>
      <c r="V164" s="22">
        <f>Constants!$H71*'Activity data'!V13*Constants!$H89*EF!$H214*MMVolatEF*NtoN2O*kgtoGg</f>
        <v>1.5157947599329762E-5</v>
      </c>
      <c r="W164" s="22">
        <f>Constants!$H71*'Activity data'!W13*Constants!$H89*EF!$H214*MMVolatEF*NtoN2O*kgtoGg</f>
        <v>1.496181888732364E-5</v>
      </c>
      <c r="X164" s="22">
        <f>Constants!$H71*'Activity data'!X13*Constants!$H89*EF!$H214*MMVolatEF*NtoN2O*kgtoGg</f>
        <v>1.5277025745904899E-5</v>
      </c>
      <c r="Y164" s="22">
        <f>Constants!$H71*'Activity data'!Y13*Constants!$H89*EF!$H214*MMVolatEF*NtoN2O*kgtoGg</f>
        <v>1.4821726950176417E-5</v>
      </c>
      <c r="Z164" s="22">
        <f>Constants!$H71*'Activity data'!Z13*Constants!$H89*EF!$H214*MMVolatEF*NtoN2O*kgtoGg</f>
        <v>1.4807717756461697E-5</v>
      </c>
      <c r="AA164" s="22">
        <f>Constants!$H71*'Activity data'!AA13*Constants!$H89*EF!$H214*MMVolatEF*NtoN2O*kgtoGg</f>
        <v>1.454854767273933E-5</v>
      </c>
      <c r="AB164" s="22">
        <f>Constants!$H71*'Activity data'!AB13*Constants!$H89*EF!$H214*MMVolatEF*NtoN2O*kgtoGg</f>
        <v>1.4373432751305298E-5</v>
      </c>
      <c r="AC164" s="22">
        <f>Constants!$H71*'Activity data'!AC13*Constants!$H89*EF!$H214*MMVolatEF*NtoN2O*kgtoGg</f>
        <v>1.4240345411015434E-5</v>
      </c>
      <c r="AD164" s="22">
        <f>Constants!$H71*'Activity data'!AD13*Constants!$H89*EF!$H214*MMVolatEF*NtoN2O*kgtoGg</f>
        <v>1.448564899297015E-5</v>
      </c>
      <c r="AE164" s="22">
        <f>Constants!$H71*'Activity data'!AE13*Constants!$H89*EF!$H214*MMVolatEF*NtoN2O*kgtoGg</f>
        <v>1.4523430996818443E-5</v>
      </c>
      <c r="AF164" s="22">
        <f>Constants!$H71*'Activity data'!AF13*Constants!$H89*EF!$H214*MMVolatEF*NtoN2O*kgtoGg</f>
        <v>1.4573778863725232E-5</v>
      </c>
      <c r="AG164" s="22">
        <f>Constants!$H71*'Activity data'!AG13*Constants!$H89*EF!$H214*MMVolatEF*NtoN2O*kgtoGg</f>
        <v>1.4635573261684436E-5</v>
      </c>
      <c r="AH164" s="22">
        <f>Constants!$H71*'Activity data'!AH13*Constants!$H89*EF!$H214*MMVolatEF*NtoN2O*kgtoGg</f>
        <v>1.4709556756482727E-5</v>
      </c>
      <c r="AI164" s="22">
        <f>Constants!$H71*'Activity data'!AI13*Constants!$H89*EF!$H214*MMVolatEF*NtoN2O*kgtoGg</f>
        <v>1.4795926227225603E-5</v>
      </c>
      <c r="AJ164" s="22">
        <f>Constants!$H71*'Activity data'!AJ13*Constants!$H89*EF!$H214*MMVolatEF*NtoN2O*kgtoGg</f>
        <v>1.4888271114151717E-5</v>
      </c>
      <c r="AK164" s="22">
        <f>Constants!$H71*'Activity data'!AK13*Constants!$H89*EF!$H214*MMVolatEF*NtoN2O*kgtoGg</f>
        <v>1.4985270961083386E-5</v>
      </c>
      <c r="AL164" s="22">
        <f>Constants!$H71*'Activity data'!AL13*Constants!$H89*EF!$H214*MMVolatEF*NtoN2O*kgtoGg</f>
        <v>1.5075379558400601E-5</v>
      </c>
      <c r="AM164" s="22">
        <f>Constants!$H71*'Activity data'!AM13*Constants!$H89*EF!$H214*MMVolatEF*NtoN2O*kgtoGg</f>
        <v>1.5117607192403529E-5</v>
      </c>
      <c r="AN164" s="22">
        <f>Constants!$H71*'Activity data'!AN13*Constants!$H89*EF!$H214*MMVolatEF*NtoN2O*kgtoGg</f>
        <v>1.5163912133825485E-5</v>
      </c>
      <c r="AO164" s="22">
        <f>Constants!$H71*'Activity data'!AO13*Constants!$H89*EF!$H214*MMVolatEF*NtoN2O*kgtoGg</f>
        <v>1.5214353144806387E-5</v>
      </c>
      <c r="AP164" s="22">
        <f>Constants!$H71*'Activity data'!AP13*Constants!$H89*EF!$H214*MMVolatEF*NtoN2O*kgtoGg</f>
        <v>1.5269211713136201E-5</v>
      </c>
      <c r="AQ164" s="22">
        <f>Constants!$H71*'Activity data'!AQ13*Constants!$H89*EF!$H214*MMVolatEF*NtoN2O*kgtoGg</f>
        <v>1.532774923131804E-5</v>
      </c>
      <c r="AR164" s="22">
        <f>Constants!$H71*'Activity data'!AR13*Constants!$H89*EF!$H214*MMVolatEF*NtoN2O*kgtoGg</f>
        <v>1.5364750505414648E-5</v>
      </c>
      <c r="AS164" s="22">
        <f>Constants!$H71*'Activity data'!AS13*Constants!$H89*EF!$H214*MMVolatEF*NtoN2O*kgtoGg</f>
        <v>1.5404784002427286E-5</v>
      </c>
      <c r="AT164" s="22">
        <f>Constants!$H71*'Activity data'!AT13*Constants!$H89*EF!$H214*MMVolatEF*NtoN2O*kgtoGg</f>
        <v>1.5448015343528086E-5</v>
      </c>
      <c r="AU164" s="22">
        <f>Constants!$H71*'Activity data'!AU13*Constants!$H89*EF!$H214*MMVolatEF*NtoN2O*kgtoGg</f>
        <v>1.5493849362144256E-5</v>
      </c>
      <c r="AV164" s="22">
        <f>Constants!$H71*'Activity data'!AV13*Constants!$H89*EF!$H214*MMVolatEF*NtoN2O*kgtoGg</f>
        <v>1.5542469399401565E-5</v>
      </c>
      <c r="AW164" s="22">
        <f>Constants!$H71*'Activity data'!AW13*Constants!$H89*EF!$H214*MMVolatEF*NtoN2O*kgtoGg</f>
        <v>1.5574312295454071E-5</v>
      </c>
      <c r="AX164" s="22">
        <f>Constants!$H71*'Activity data'!AX13*Constants!$H89*EF!$H214*MMVolatEF*NtoN2O*kgtoGg</f>
        <v>1.5608846144431889E-5</v>
      </c>
      <c r="AY164" s="22">
        <f>Constants!$H71*'Activity data'!AY13*Constants!$H89*EF!$H214*MMVolatEF*NtoN2O*kgtoGg</f>
        <v>1.5645779000697075E-5</v>
      </c>
      <c r="AZ164" s="22">
        <f>Constants!$H71*'Activity data'!AZ13*Constants!$H89*EF!$H214*MMVolatEF*NtoN2O*kgtoGg</f>
        <v>1.5680933682266714E-5</v>
      </c>
      <c r="BA164" s="22">
        <f>Constants!$H71*'Activity data'!BA13*Constants!$H89*EF!$H214*MMVolatEF*NtoN2O*kgtoGg</f>
        <v>1.5527256766488218E-5</v>
      </c>
      <c r="BB164" s="22">
        <f>Constants!$H71*'Activity data'!BB13*Constants!$H89*EF!$H214*MMVolatEF*NtoN2O*kgtoGg</f>
        <v>1.554781877984383E-5</v>
      </c>
      <c r="BC164" s="22">
        <f>Constants!$H71*'Activity data'!BC13*Constants!$H89*EF!$H214*MMVolatEF*NtoN2O*kgtoGg</f>
        <v>1.55702244870708E-5</v>
      </c>
      <c r="BD164" s="22">
        <f>Constants!$H71*'Activity data'!BD13*Constants!$H89*EF!$H214*MMVolatEF*NtoN2O*kgtoGg</f>
        <v>1.5594399014227251E-5</v>
      </c>
      <c r="BE164" s="22">
        <f>Constants!$H71*'Activity data'!BE13*Constants!$H89*EF!$H214*MMVolatEF*NtoN2O*kgtoGg</f>
        <v>1.5620273295013295E-5</v>
      </c>
      <c r="BF164" s="22">
        <f>Constants!$H71*'Activity data'!BF13*Constants!$H89*EF!$H214*MMVolatEF*NtoN2O*kgtoGg</f>
        <v>1.5647783514700204E-5</v>
      </c>
      <c r="BG164" s="22">
        <f>Constants!$H71*'Activity data'!BG13*Constants!$H89*EF!$H214*MMVolatEF*NtoN2O*kgtoGg</f>
        <v>1.5659592232765599E-5</v>
      </c>
      <c r="BH164" s="22">
        <f>Constants!$H71*'Activity data'!BH13*Constants!$H89*EF!$H214*MMVolatEF*NtoN2O*kgtoGg</f>
        <v>1.567287471387214E-5</v>
      </c>
      <c r="BI164" s="22">
        <f>Constants!$H71*'Activity data'!BI13*Constants!$H89*EF!$H214*MMVolatEF*NtoN2O*kgtoGg</f>
        <v>1.5687575397224304E-5</v>
      </c>
      <c r="BJ164" s="22">
        <f>Constants!$H71*'Activity data'!BJ13*Constants!$H89*EF!$H214*MMVolatEF*NtoN2O*kgtoGg</f>
        <v>1.5703642533627797E-5</v>
      </c>
      <c r="BK164" s="22">
        <f>Constants!$H71*'Activity data'!BK13*Constants!$H89*EF!$H214*MMVolatEF*NtoN2O*kgtoGg</f>
        <v>1.5721027858938722E-5</v>
      </c>
      <c r="BL164" s="22">
        <f>Constants!$H71*'Activity data'!BL13*Constants!$H89*EF!$H214*MMVolatEF*NtoN2O*kgtoGg</f>
        <v>1.5722384261001388E-5</v>
      </c>
      <c r="BM164" s="22">
        <f>Constants!$H71*'Activity data'!BM13*Constants!$H89*EF!$H214*MMVolatEF*NtoN2O*kgtoGg</f>
        <v>1.5724946955034498E-5</v>
      </c>
      <c r="BN164" s="22">
        <f>Constants!$H71*'Activity data'!BN13*Constants!$H89*EF!$H214*MMVolatEF*NtoN2O*kgtoGg</f>
        <v>1.572867261939389E-5</v>
      </c>
      <c r="BO164" s="22">
        <f>Constants!$H71*'Activity data'!BO13*Constants!$H89*EF!$H214*MMVolatEF*NtoN2O*kgtoGg</f>
        <v>1.5733520584102464E-5</v>
      </c>
      <c r="BP164" s="22">
        <f>Constants!$H71*'Activity data'!BP13*Constants!$H89*EF!$H214*MMVolatEF*NtoN2O*kgtoGg</f>
        <v>1.5739452625419502E-5</v>
      </c>
    </row>
    <row r="165" spans="1:68" x14ac:dyDescent="0.25">
      <c r="A165" t="str">
        <f t="shared" si="58"/>
        <v>3C Aggregated and non-CO2 emissions on land</v>
      </c>
      <c r="B165" t="str">
        <f t="shared" si="62"/>
        <v>3C6 Indirect N2O from manure management (N2O)</v>
      </c>
      <c r="C165" t="str">
        <f t="shared" si="63"/>
        <v>Volatilisation</v>
      </c>
      <c r="D165" t="str">
        <f>'Activity data'!D75</f>
        <v xml:space="preserve"> - Subsistence goats</v>
      </c>
      <c r="E165" t="str">
        <f t="shared" si="61"/>
        <v>Volatilisation - Subsistence goats</v>
      </c>
      <c r="F165" t="str">
        <f t="shared" si="47"/>
        <v>N2O</v>
      </c>
      <c r="G165" t="str">
        <f t="shared" si="48"/>
        <v>Gg N2O</v>
      </c>
      <c r="H165" s="22">
        <f>Constants!$H72*'Activity data'!H14*Constants!$H90*EF!$H215*MMVolatEF*NtoN2O*kgtoGg</f>
        <v>2.0115874261686147E-3</v>
      </c>
      <c r="I165" s="22">
        <f>Constants!$H72*'Activity data'!I14*Constants!$H90*EF!$H215*MMVolatEF*NtoN2O*kgtoGg</f>
        <v>1.7788118083603506E-3</v>
      </c>
      <c r="J165" s="22">
        <f>Constants!$H72*'Activity data'!J14*Constants!$H90*EF!$H215*MMVolatEF*NtoN2O*kgtoGg</f>
        <v>1.6569853167971468E-3</v>
      </c>
      <c r="K165" s="22">
        <f>Constants!$H72*'Activity data'!K14*Constants!$H90*EF!$H215*MMVolatEF*NtoN2O*kgtoGg</f>
        <v>1.5656154481247439E-3</v>
      </c>
      <c r="L165" s="22">
        <f>Constants!$H72*'Activity data'!L14*Constants!$H90*EF!$H215*MMVolatEF*NtoN2O*kgtoGg</f>
        <v>1.6946935165667099E-3</v>
      </c>
      <c r="M165" s="22">
        <f>Constants!$H72*'Activity data'!M14*Constants!$H90*EF!$H215*MMVolatEF*NtoN2O*kgtoGg</f>
        <v>1.7178985625787488E-3</v>
      </c>
      <c r="N165" s="22">
        <f>Constants!$H72*'Activity data'!N14*Constants!$H90*EF!$H215*MMVolatEF*NtoN2O*kgtoGg</f>
        <v>1.7447293970301691E-3</v>
      </c>
      <c r="O165" s="22">
        <f>Constants!$H72*'Activity data'!O14*Constants!$H90*EF!$H215*MMVolatEF*NtoN2O*kgtoGg</f>
        <v>1.736027504775654E-3</v>
      </c>
      <c r="P165" s="22">
        <f>Constants!$H72*'Activity data'!P14*Constants!$H90*EF!$H215*MMVolatEF*NtoN2O*kgtoGg</f>
        <v>1.7113721433878628E-3</v>
      </c>
      <c r="Q165" s="22">
        <f>Constants!$H72*'Activity data'!Q14*Constants!$H90*EF!$H215*MMVolatEF*NtoN2O*kgtoGg</f>
        <v>1.6859916243121954E-3</v>
      </c>
      <c r="R165" s="22">
        <f>Constants!$H72*'Activity data'!R14*Constants!$H90*EF!$H215*MMVolatEF*NtoN2O*kgtoGg</f>
        <v>1.7077463549484819E-3</v>
      </c>
      <c r="S165" s="22">
        <f>Constants!$H72*'Activity data'!S14*Constants!$H90*EF!$H215*MMVolatEF*NtoN2O*kgtoGg</f>
        <v>1.7599577084755692E-3</v>
      </c>
      <c r="T165" s="22">
        <f>Constants!$H72*'Activity data'!T14*Constants!$H90*EF!$H215*MMVolatEF*NtoN2O*kgtoGg</f>
        <v>1.6069494363336882E-3</v>
      </c>
      <c r="U165" s="22">
        <f>Constants!$H72*'Activity data'!U14*Constants!$H90*EF!$H215*MMVolatEF*NtoN2O*kgtoGg</f>
        <v>1.5663406058126202E-3</v>
      </c>
      <c r="V165" s="22">
        <f>Constants!$H72*'Activity data'!V14*Constants!$H90*EF!$H215*MMVolatEF*NtoN2O*kgtoGg</f>
        <v>1.5692412365641251E-3</v>
      </c>
      <c r="W165" s="22">
        <f>Constants!$H72*'Activity data'!W14*Constants!$H90*EF!$H215*MMVolatEF*NtoN2O*kgtoGg</f>
        <v>1.5489368213035912E-3</v>
      </c>
      <c r="X165" s="22">
        <f>Constants!$H72*'Activity data'!X14*Constants!$H90*EF!$H215*MMVolatEF*NtoN2O*kgtoGg</f>
        <v>1.5815689172580208E-3</v>
      </c>
      <c r="Y165" s="22">
        <f>Constants!$H72*'Activity data'!Y14*Constants!$H90*EF!$H215*MMVolatEF*NtoN2O*kgtoGg</f>
        <v>1.534433667546067E-3</v>
      </c>
      <c r="Z165" s="22">
        <f>Constants!$H72*'Activity data'!Z14*Constants!$H90*EF!$H215*MMVolatEF*NtoN2O*kgtoGg</f>
        <v>1.5329833521703141E-3</v>
      </c>
      <c r="AA165" s="22">
        <f>Constants!$H72*'Activity data'!AA14*Constants!$H90*EF!$H215*MMVolatEF*NtoN2O*kgtoGg</f>
        <v>1.5061525177188946E-3</v>
      </c>
      <c r="AB165" s="22">
        <f>Constants!$H72*'Activity data'!AB14*Constants!$H90*EF!$H215*MMVolatEF*NtoN2O*kgtoGg</f>
        <v>1.4880235755219894E-3</v>
      </c>
      <c r="AC165" s="22">
        <f>Constants!$H72*'Activity data'!AC14*Constants!$H90*EF!$H215*MMVolatEF*NtoN2O*kgtoGg</f>
        <v>1.4742455794523413E-3</v>
      </c>
      <c r="AD165" s="22">
        <f>Constants!$H72*'Activity data'!AD14*Constants!$H90*EF!$H215*MMVolatEF*NtoN2O*kgtoGg</f>
        <v>1.4737874698328016E-3</v>
      </c>
      <c r="AE165" s="22">
        <f>Constants!$H72*'Activity data'!AE14*Constants!$H90*EF!$H215*MMVolatEF*NtoN2O*kgtoGg</f>
        <v>1.4776314566561611E-3</v>
      </c>
      <c r="AF165" s="22">
        <f>Constants!$H72*'Activity data'!AF14*Constants!$H90*EF!$H215*MMVolatEF*NtoN2O*kgtoGg</f>
        <v>1.4827539096036295E-3</v>
      </c>
      <c r="AG165" s="22">
        <f>Constants!$H72*'Activity data'!AG14*Constants!$H90*EF!$H215*MMVolatEF*NtoN2O*kgtoGg</f>
        <v>1.4890409464814621E-3</v>
      </c>
      <c r="AH165" s="22">
        <f>Constants!$H72*'Activity data'!AH14*Constants!$H90*EF!$H215*MMVolatEF*NtoN2O*kgtoGg</f>
        <v>1.4965681168319985E-3</v>
      </c>
      <c r="AI165" s="22">
        <f>Constants!$H72*'Activity data'!AI14*Constants!$H90*EF!$H215*MMVolatEF*NtoN2O*kgtoGg</f>
        <v>1.5053554513738414E-3</v>
      </c>
      <c r="AJ165" s="22">
        <f>Constants!$H72*'Activity data'!AJ14*Constants!$H90*EF!$H215*MMVolatEF*NtoN2O*kgtoGg</f>
        <v>1.5147507319940522E-3</v>
      </c>
      <c r="AK165" s="22">
        <f>Constants!$H72*'Activity data'!AK14*Constants!$H90*EF!$H215*MMVolatEF*NtoN2O*kgtoGg</f>
        <v>1.5246196138821182E-3</v>
      </c>
      <c r="AL165" s="22">
        <f>Constants!$H72*'Activity data'!AL14*Constants!$H90*EF!$H215*MMVolatEF*NtoN2O*kgtoGg</f>
        <v>1.5337873716895019E-3</v>
      </c>
      <c r="AM165" s="22">
        <f>Constants!$H72*'Activity data'!AM14*Constants!$H90*EF!$H215*MMVolatEF*NtoN2O*kgtoGg</f>
        <v>1.5380836623081961E-3</v>
      </c>
      <c r="AN165" s="22">
        <f>Constants!$H72*'Activity data'!AN14*Constants!$H90*EF!$H215*MMVolatEF*NtoN2O*kgtoGg</f>
        <v>1.5427947831210876E-3</v>
      </c>
      <c r="AO165" s="22">
        <f>Constants!$H72*'Activity data'!AO14*Constants!$H90*EF!$H215*MMVolatEF*NtoN2O*kgtoGg</f>
        <v>1.5479267126594486E-3</v>
      </c>
      <c r="AP165" s="22">
        <f>Constants!$H72*'Activity data'!AP14*Constants!$H90*EF!$H215*MMVolatEF*NtoN2O*kgtoGg</f>
        <v>1.5535080898318955E-3</v>
      </c>
      <c r="AQ165" s="22">
        <f>Constants!$H72*'Activity data'!AQ14*Constants!$H90*EF!$H215*MMVolatEF*NtoN2O*kgtoGg</f>
        <v>1.5594637678172844E-3</v>
      </c>
      <c r="AR165" s="22">
        <f>Constants!$H72*'Activity data'!AR14*Constants!$H90*EF!$H215*MMVolatEF*NtoN2O*kgtoGg</f>
        <v>1.5632283222502894E-3</v>
      </c>
      <c r="AS165" s="22">
        <f>Constants!$H72*'Activity data'!AS14*Constants!$H90*EF!$H215*MMVolatEF*NtoN2O*kgtoGg</f>
        <v>1.5673013787146175E-3</v>
      </c>
      <c r="AT165" s="22">
        <f>Constants!$H72*'Activity data'!AT14*Constants!$H90*EF!$H215*MMVolatEF*NtoN2O*kgtoGg</f>
        <v>1.5716997877088814E-3</v>
      </c>
      <c r="AU165" s="22">
        <f>Constants!$H72*'Activity data'!AU14*Constants!$H90*EF!$H215*MMVolatEF*NtoN2O*kgtoGg</f>
        <v>1.5763629962652517E-3</v>
      </c>
      <c r="AV165" s="22">
        <f>Constants!$H72*'Activity data'!AV14*Constants!$H90*EF!$H215*MMVolatEF*NtoN2O*kgtoGg</f>
        <v>1.5813096577318795E-3</v>
      </c>
      <c r="AW165" s="22">
        <f>Constants!$H72*'Activity data'!AW14*Constants!$H90*EF!$H215*MMVolatEF*NtoN2O*kgtoGg</f>
        <v>1.5845493925361778E-3</v>
      </c>
      <c r="AX165" s="22">
        <f>Constants!$H72*'Activity data'!AX14*Constants!$H90*EF!$H215*MMVolatEF*NtoN2O*kgtoGg</f>
        <v>1.5880629081496864E-3</v>
      </c>
      <c r="AY165" s="22">
        <f>Constants!$H72*'Activity data'!AY14*Constants!$H90*EF!$H215*MMVolatEF*NtoN2O*kgtoGg</f>
        <v>1.591820501669672E-3</v>
      </c>
      <c r="AZ165" s="22">
        <f>Constants!$H72*'Activity data'!AZ14*Constants!$H90*EF!$H215*MMVolatEF*NtoN2O*kgtoGg</f>
        <v>1.5953971815428655E-3</v>
      </c>
      <c r="BA165" s="22">
        <f>Constants!$H72*'Activity data'!BA14*Constants!$H90*EF!$H215*MMVolatEF*NtoN2O*kgtoGg</f>
        <v>1.5797619060376521E-3</v>
      </c>
      <c r="BB165" s="22">
        <f>Constants!$H72*'Activity data'!BB14*Constants!$H90*EF!$H215*MMVolatEF*NtoN2O*kgtoGg</f>
        <v>1.5818539101758679E-3</v>
      </c>
      <c r="BC165" s="22">
        <f>Constants!$H72*'Activity data'!BC14*Constants!$H90*EF!$H215*MMVolatEF*NtoN2O*kgtoGg</f>
        <v>1.5841334939611631E-3</v>
      </c>
      <c r="BD165" s="22">
        <f>Constants!$H72*'Activity data'!BD14*Constants!$H90*EF!$H215*MMVolatEF*NtoN2O*kgtoGg</f>
        <v>1.5865930396280227E-3</v>
      </c>
      <c r="BE165" s="22">
        <f>Constants!$H72*'Activity data'!BE14*Constants!$H90*EF!$H215*MMVolatEF*NtoN2O*kgtoGg</f>
        <v>1.5892255202874612E-3</v>
      </c>
      <c r="BF165" s="22">
        <f>Constants!$H72*'Activity data'!BF14*Constants!$H90*EF!$H215*MMVolatEF*NtoN2O*kgtoGg</f>
        <v>1.5920244433517013E-3</v>
      </c>
      <c r="BG165" s="22">
        <f>Constants!$H72*'Activity data'!BG14*Constants!$H90*EF!$H215*MMVolatEF*NtoN2O*kgtoGg</f>
        <v>1.5932258766273534E-3</v>
      </c>
      <c r="BH165" s="22">
        <f>Constants!$H72*'Activity data'!BH14*Constants!$H90*EF!$H215*MMVolatEF*NtoN2O*kgtoGg</f>
        <v>1.5945772523394538E-3</v>
      </c>
      <c r="BI165" s="22">
        <f>Constants!$H72*'Activity data'!BI14*Constants!$H90*EF!$H215*MMVolatEF*NtoN2O*kgtoGg</f>
        <v>1.5960729176653851E-3</v>
      </c>
      <c r="BJ165" s="22">
        <f>Constants!$H72*'Activity data'!BJ14*Constants!$H90*EF!$H215*MMVolatEF*NtoN2O*kgtoGg</f>
        <v>1.5977076075794545E-3</v>
      </c>
      <c r="BK165" s="22">
        <f>Constants!$H72*'Activity data'!BK14*Constants!$H90*EF!$H215*MMVolatEF*NtoN2O*kgtoGg</f>
        <v>1.599476411629218E-3</v>
      </c>
      <c r="BL165" s="22">
        <f>Constants!$H72*'Activity data'!BL14*Constants!$H90*EF!$H215*MMVolatEF*NtoN2O*kgtoGg</f>
        <v>1.5996144136175981E-3</v>
      </c>
      <c r="BM165" s="22">
        <f>Constants!$H72*'Activity data'!BM14*Constants!$H90*EF!$H215*MMVolatEF*NtoN2O*kgtoGg</f>
        <v>1.599875145211802E-3</v>
      </c>
      <c r="BN165" s="22">
        <f>Constants!$H72*'Activity data'!BN14*Constants!$H90*EF!$H215*MMVolatEF*NtoN2O*kgtoGg</f>
        <v>1.6002541988152919E-3</v>
      </c>
      <c r="BO165" s="22">
        <f>Constants!$H72*'Activity data'!BO14*Constants!$H90*EF!$H215*MMVolatEF*NtoN2O*kgtoGg</f>
        <v>1.6007474366153491E-3</v>
      </c>
      <c r="BP165" s="22">
        <f>Constants!$H72*'Activity data'!BP14*Constants!$H90*EF!$H215*MMVolatEF*NtoN2O*kgtoGg</f>
        <v>1.601350969682305E-3</v>
      </c>
    </row>
    <row r="166" spans="1:68" x14ac:dyDescent="0.25">
      <c r="A166" t="str">
        <f t="shared" si="58"/>
        <v>3C Aggregated and non-CO2 emissions on land</v>
      </c>
      <c r="B166" t="str">
        <f t="shared" si="62"/>
        <v>3C6 Indirect N2O from manure management (N2O)</v>
      </c>
      <c r="C166" t="str">
        <f t="shared" si="63"/>
        <v>Volatilisation</v>
      </c>
      <c r="D166" t="str">
        <f>'Activity data'!D76</f>
        <v xml:space="preserve"> - Horses</v>
      </c>
      <c r="E166" t="str">
        <f t="shared" si="61"/>
        <v>Volatilisation - Horses</v>
      </c>
      <c r="F166" t="str">
        <f t="shared" si="47"/>
        <v>N2O</v>
      </c>
      <c r="G166" t="str">
        <f t="shared" si="48"/>
        <v>Gg N2O</v>
      </c>
      <c r="H166" s="22">
        <f>Constants!$H73*'Activity data'!H15*Constants!$H91*EF!$H216*MMVolatEF*NtoN2O*kgtoGg</f>
        <v>0</v>
      </c>
      <c r="I166" s="22">
        <f>Constants!$H73*'Activity data'!I15*Constants!$H91*EF!$H216*MMVolatEF*NtoN2O*kgtoGg</f>
        <v>0</v>
      </c>
      <c r="J166" s="22">
        <f>Constants!$H73*'Activity data'!J15*Constants!$H91*EF!$H216*MMVolatEF*NtoN2O*kgtoGg</f>
        <v>0</v>
      </c>
      <c r="K166" s="22">
        <f>Constants!$H73*'Activity data'!K15*Constants!$H91*EF!$H216*MMVolatEF*NtoN2O*kgtoGg</f>
        <v>0</v>
      </c>
      <c r="L166" s="22">
        <f>Constants!$H73*'Activity data'!L15*Constants!$H91*EF!$H216*MMVolatEF*NtoN2O*kgtoGg</f>
        <v>0</v>
      </c>
      <c r="M166" s="22">
        <f>Constants!$H73*'Activity data'!M15*Constants!$H91*EF!$H216*MMVolatEF*NtoN2O*kgtoGg</f>
        <v>0</v>
      </c>
      <c r="N166" s="22">
        <f>Constants!$H73*'Activity data'!N15*Constants!$H91*EF!$H216*MMVolatEF*NtoN2O*kgtoGg</f>
        <v>0</v>
      </c>
      <c r="O166" s="22">
        <f>Constants!$H73*'Activity data'!O15*Constants!$H91*EF!$H216*MMVolatEF*NtoN2O*kgtoGg</f>
        <v>0</v>
      </c>
      <c r="P166" s="22">
        <f>Constants!$H73*'Activity data'!P15*Constants!$H91*EF!$H216*MMVolatEF*NtoN2O*kgtoGg</f>
        <v>0</v>
      </c>
      <c r="Q166" s="22">
        <f>Constants!$H73*'Activity data'!Q15*Constants!$H91*EF!$H216*MMVolatEF*NtoN2O*kgtoGg</f>
        <v>0</v>
      </c>
      <c r="R166" s="22">
        <f>Constants!$H73*'Activity data'!R15*Constants!$H91*EF!$H216*MMVolatEF*NtoN2O*kgtoGg</f>
        <v>0</v>
      </c>
      <c r="S166" s="22">
        <f>Constants!$H73*'Activity data'!S15*Constants!$H91*EF!$H216*MMVolatEF*NtoN2O*kgtoGg</f>
        <v>0</v>
      </c>
      <c r="T166" s="22">
        <f>Constants!$H73*'Activity data'!T15*Constants!$H91*EF!$H216*MMVolatEF*NtoN2O*kgtoGg</f>
        <v>0</v>
      </c>
      <c r="U166" s="22">
        <f>Constants!$H73*'Activity data'!U15*Constants!$H91*EF!$H216*MMVolatEF*NtoN2O*kgtoGg</f>
        <v>0</v>
      </c>
      <c r="V166" s="22">
        <f>Constants!$H73*'Activity data'!V15*Constants!$H91*EF!$H216*MMVolatEF*NtoN2O*kgtoGg</f>
        <v>0</v>
      </c>
      <c r="W166" s="22">
        <f>Constants!$H73*'Activity data'!W15*Constants!$H91*EF!$H216*MMVolatEF*NtoN2O*kgtoGg</f>
        <v>0</v>
      </c>
      <c r="X166" s="22">
        <f>Constants!$H73*'Activity data'!X15*Constants!$H91*EF!$H216*MMVolatEF*NtoN2O*kgtoGg</f>
        <v>0</v>
      </c>
      <c r="Y166" s="22">
        <f>Constants!$H73*'Activity data'!Y15*Constants!$H91*EF!$H216*MMVolatEF*NtoN2O*kgtoGg</f>
        <v>0</v>
      </c>
      <c r="Z166" s="22">
        <f>Constants!$H73*'Activity data'!Z15*Constants!$H91*EF!$H216*MMVolatEF*NtoN2O*kgtoGg</f>
        <v>0</v>
      </c>
      <c r="AA166" s="22">
        <f>Constants!$H73*'Activity data'!AA15*Constants!$H91*EF!$H216*MMVolatEF*NtoN2O*kgtoGg</f>
        <v>0</v>
      </c>
      <c r="AB166" s="22">
        <f>Constants!$H73*'Activity data'!AB15*Constants!$H91*EF!$H216*MMVolatEF*NtoN2O*kgtoGg</f>
        <v>0</v>
      </c>
      <c r="AC166" s="22">
        <f>Constants!$H73*'Activity data'!AC15*Constants!$H91*EF!$H216*MMVolatEF*NtoN2O*kgtoGg</f>
        <v>0</v>
      </c>
      <c r="AD166" s="22">
        <f>Constants!$H73*'Activity data'!AD15*Constants!$H91*EF!$H216*MMVolatEF*NtoN2O*kgtoGg</f>
        <v>0</v>
      </c>
      <c r="AE166" s="22">
        <f>Constants!$H73*'Activity data'!AE15*Constants!$H91*EF!$H216*MMVolatEF*NtoN2O*kgtoGg</f>
        <v>0</v>
      </c>
      <c r="AF166" s="22">
        <f>Constants!$H73*'Activity data'!AF15*Constants!$H91*EF!$H216*MMVolatEF*NtoN2O*kgtoGg</f>
        <v>0</v>
      </c>
      <c r="AG166" s="22">
        <f>Constants!$H73*'Activity data'!AG15*Constants!$H91*EF!$H216*MMVolatEF*NtoN2O*kgtoGg</f>
        <v>0</v>
      </c>
      <c r="AH166" s="22">
        <f>Constants!$H73*'Activity data'!AH15*Constants!$H91*EF!$H216*MMVolatEF*NtoN2O*kgtoGg</f>
        <v>0</v>
      </c>
      <c r="AI166" s="22">
        <f>Constants!$H73*'Activity data'!AI15*Constants!$H91*EF!$H216*MMVolatEF*NtoN2O*kgtoGg</f>
        <v>0</v>
      </c>
      <c r="AJ166" s="22">
        <f>Constants!$H73*'Activity data'!AJ15*Constants!$H91*EF!$H216*MMVolatEF*NtoN2O*kgtoGg</f>
        <v>0</v>
      </c>
      <c r="AK166" s="22">
        <f>Constants!$H73*'Activity data'!AK15*Constants!$H91*EF!$H216*MMVolatEF*NtoN2O*kgtoGg</f>
        <v>0</v>
      </c>
      <c r="AL166" s="22">
        <f>Constants!$H73*'Activity data'!AL15*Constants!$H91*EF!$H216*MMVolatEF*NtoN2O*kgtoGg</f>
        <v>0</v>
      </c>
      <c r="AM166" s="22">
        <f>Constants!$H73*'Activity data'!AM15*Constants!$H91*EF!$H216*MMVolatEF*NtoN2O*kgtoGg</f>
        <v>0</v>
      </c>
      <c r="AN166" s="22">
        <f>Constants!$H73*'Activity data'!AN15*Constants!$H91*EF!$H216*MMVolatEF*NtoN2O*kgtoGg</f>
        <v>0</v>
      </c>
      <c r="AO166" s="22">
        <f>Constants!$H73*'Activity data'!AO15*Constants!$H91*EF!$H216*MMVolatEF*NtoN2O*kgtoGg</f>
        <v>0</v>
      </c>
      <c r="AP166" s="22">
        <f>Constants!$H73*'Activity data'!AP15*Constants!$H91*EF!$H216*MMVolatEF*NtoN2O*kgtoGg</f>
        <v>0</v>
      </c>
      <c r="AQ166" s="22">
        <f>Constants!$H73*'Activity data'!AQ15*Constants!$H91*EF!$H216*MMVolatEF*NtoN2O*kgtoGg</f>
        <v>0</v>
      </c>
      <c r="AR166" s="22">
        <f>Constants!$H73*'Activity data'!AR15*Constants!$H91*EF!$H216*MMVolatEF*NtoN2O*kgtoGg</f>
        <v>0</v>
      </c>
      <c r="AS166" s="22">
        <f>Constants!$H73*'Activity data'!AS15*Constants!$H91*EF!$H216*MMVolatEF*NtoN2O*kgtoGg</f>
        <v>0</v>
      </c>
      <c r="AT166" s="22">
        <f>Constants!$H73*'Activity data'!AT15*Constants!$H91*EF!$H216*MMVolatEF*NtoN2O*kgtoGg</f>
        <v>0</v>
      </c>
      <c r="AU166" s="22">
        <f>Constants!$H73*'Activity data'!AU15*Constants!$H91*EF!$H216*MMVolatEF*NtoN2O*kgtoGg</f>
        <v>0</v>
      </c>
      <c r="AV166" s="22">
        <f>Constants!$H73*'Activity data'!AV15*Constants!$H91*EF!$H216*MMVolatEF*NtoN2O*kgtoGg</f>
        <v>0</v>
      </c>
      <c r="AW166" s="22">
        <f>Constants!$H73*'Activity data'!AW15*Constants!$H91*EF!$H216*MMVolatEF*NtoN2O*kgtoGg</f>
        <v>0</v>
      </c>
      <c r="AX166" s="22">
        <f>Constants!$H73*'Activity data'!AX15*Constants!$H91*EF!$H216*MMVolatEF*NtoN2O*kgtoGg</f>
        <v>0</v>
      </c>
      <c r="AY166" s="22">
        <f>Constants!$H73*'Activity data'!AY15*Constants!$H91*EF!$H216*MMVolatEF*NtoN2O*kgtoGg</f>
        <v>0</v>
      </c>
      <c r="AZ166" s="22">
        <f>Constants!$H73*'Activity data'!AZ15*Constants!$H91*EF!$H216*MMVolatEF*NtoN2O*kgtoGg</f>
        <v>0</v>
      </c>
      <c r="BA166" s="22">
        <f>Constants!$H73*'Activity data'!BA15*Constants!$H91*EF!$H216*MMVolatEF*NtoN2O*kgtoGg</f>
        <v>0</v>
      </c>
      <c r="BB166" s="22">
        <f>Constants!$H73*'Activity data'!BB15*Constants!$H91*EF!$H216*MMVolatEF*NtoN2O*kgtoGg</f>
        <v>0</v>
      </c>
      <c r="BC166" s="22">
        <f>Constants!$H73*'Activity data'!BC15*Constants!$H91*EF!$H216*MMVolatEF*NtoN2O*kgtoGg</f>
        <v>0</v>
      </c>
      <c r="BD166" s="22">
        <f>Constants!$H73*'Activity data'!BD15*Constants!$H91*EF!$H216*MMVolatEF*NtoN2O*kgtoGg</f>
        <v>0</v>
      </c>
      <c r="BE166" s="22">
        <f>Constants!$H73*'Activity data'!BE15*Constants!$H91*EF!$H216*MMVolatEF*NtoN2O*kgtoGg</f>
        <v>0</v>
      </c>
      <c r="BF166" s="22">
        <f>Constants!$H73*'Activity data'!BF15*Constants!$H91*EF!$H216*MMVolatEF*NtoN2O*kgtoGg</f>
        <v>0</v>
      </c>
      <c r="BG166" s="22">
        <f>Constants!$H73*'Activity data'!BG15*Constants!$H91*EF!$H216*MMVolatEF*NtoN2O*kgtoGg</f>
        <v>0</v>
      </c>
      <c r="BH166" s="22">
        <f>Constants!$H73*'Activity data'!BH15*Constants!$H91*EF!$H216*MMVolatEF*NtoN2O*kgtoGg</f>
        <v>0</v>
      </c>
      <c r="BI166" s="22">
        <f>Constants!$H73*'Activity data'!BI15*Constants!$H91*EF!$H216*MMVolatEF*NtoN2O*kgtoGg</f>
        <v>0</v>
      </c>
      <c r="BJ166" s="22">
        <f>Constants!$H73*'Activity data'!BJ15*Constants!$H91*EF!$H216*MMVolatEF*NtoN2O*kgtoGg</f>
        <v>0</v>
      </c>
      <c r="BK166" s="22">
        <f>Constants!$H73*'Activity data'!BK15*Constants!$H91*EF!$H216*MMVolatEF*NtoN2O*kgtoGg</f>
        <v>0</v>
      </c>
      <c r="BL166" s="22">
        <f>Constants!$H73*'Activity data'!BL15*Constants!$H91*EF!$H216*MMVolatEF*NtoN2O*kgtoGg</f>
        <v>0</v>
      </c>
      <c r="BM166" s="22">
        <f>Constants!$H73*'Activity data'!BM15*Constants!$H91*EF!$H216*MMVolatEF*NtoN2O*kgtoGg</f>
        <v>0</v>
      </c>
      <c r="BN166" s="22">
        <f>Constants!$H73*'Activity data'!BN15*Constants!$H91*EF!$H216*MMVolatEF*NtoN2O*kgtoGg</f>
        <v>0</v>
      </c>
      <c r="BO166" s="22">
        <f>Constants!$H73*'Activity data'!BO15*Constants!$H91*EF!$H216*MMVolatEF*NtoN2O*kgtoGg</f>
        <v>0</v>
      </c>
      <c r="BP166" s="22">
        <f>Constants!$H73*'Activity data'!BP15*Constants!$H91*EF!$H216*MMVolatEF*NtoN2O*kgtoGg</f>
        <v>0</v>
      </c>
    </row>
    <row r="167" spans="1:68" x14ac:dyDescent="0.25">
      <c r="A167" t="str">
        <f t="shared" si="58"/>
        <v>3C Aggregated and non-CO2 emissions on land</v>
      </c>
      <c r="B167" t="str">
        <f t="shared" si="62"/>
        <v>3C6 Indirect N2O from manure management (N2O)</v>
      </c>
      <c r="C167" t="str">
        <f t="shared" si="63"/>
        <v>Volatilisation</v>
      </c>
      <c r="D167" t="str">
        <f>'Activity data'!D77</f>
        <v xml:space="preserve"> - Mules &amp; Asses</v>
      </c>
      <c r="E167" t="str">
        <f t="shared" si="61"/>
        <v>Volatilisation - Mules &amp; Asses</v>
      </c>
      <c r="F167" t="str">
        <f t="shared" si="47"/>
        <v>N2O</v>
      </c>
      <c r="G167" t="str">
        <f t="shared" si="48"/>
        <v>Gg N2O</v>
      </c>
      <c r="H167" s="22">
        <f>Constants!$H74*'Activity data'!H16*Constants!$H92*EF!$H217*MMVolatEF*NtoN2O*kgtoGg</f>
        <v>0</v>
      </c>
      <c r="I167" s="22">
        <f>Constants!$H74*'Activity data'!I16*Constants!$H92*EF!$H217*MMVolatEF*NtoN2O*kgtoGg</f>
        <v>0</v>
      </c>
      <c r="J167" s="22">
        <f>Constants!$H74*'Activity data'!J16*Constants!$H92*EF!$H217*MMVolatEF*NtoN2O*kgtoGg</f>
        <v>0</v>
      </c>
      <c r="K167" s="22">
        <f>Constants!$H74*'Activity data'!K16*Constants!$H92*EF!$H217*MMVolatEF*NtoN2O*kgtoGg</f>
        <v>0</v>
      </c>
      <c r="L167" s="22">
        <f>Constants!$H74*'Activity data'!L16*Constants!$H92*EF!$H217*MMVolatEF*NtoN2O*kgtoGg</f>
        <v>0</v>
      </c>
      <c r="M167" s="22">
        <f>Constants!$H74*'Activity data'!M16*Constants!$H92*EF!$H217*MMVolatEF*NtoN2O*kgtoGg</f>
        <v>0</v>
      </c>
      <c r="N167" s="22">
        <f>Constants!$H74*'Activity data'!N16*Constants!$H92*EF!$H217*MMVolatEF*NtoN2O*kgtoGg</f>
        <v>0</v>
      </c>
      <c r="O167" s="22">
        <f>Constants!$H74*'Activity data'!O16*Constants!$H92*EF!$H217*MMVolatEF*NtoN2O*kgtoGg</f>
        <v>0</v>
      </c>
      <c r="P167" s="22">
        <f>Constants!$H74*'Activity data'!P16*Constants!$H92*EF!$H217*MMVolatEF*NtoN2O*kgtoGg</f>
        <v>0</v>
      </c>
      <c r="Q167" s="22">
        <f>Constants!$H74*'Activity data'!Q16*Constants!$H92*EF!$H217*MMVolatEF*NtoN2O*kgtoGg</f>
        <v>0</v>
      </c>
      <c r="R167" s="22">
        <f>Constants!$H74*'Activity data'!R16*Constants!$H92*EF!$H217*MMVolatEF*NtoN2O*kgtoGg</f>
        <v>0</v>
      </c>
      <c r="S167" s="22">
        <f>Constants!$H74*'Activity data'!S16*Constants!$H92*EF!$H217*MMVolatEF*NtoN2O*kgtoGg</f>
        <v>0</v>
      </c>
      <c r="T167" s="22">
        <f>Constants!$H74*'Activity data'!T16*Constants!$H92*EF!$H217*MMVolatEF*NtoN2O*kgtoGg</f>
        <v>0</v>
      </c>
      <c r="U167" s="22">
        <f>Constants!$H74*'Activity data'!U16*Constants!$H92*EF!$H217*MMVolatEF*NtoN2O*kgtoGg</f>
        <v>0</v>
      </c>
      <c r="V167" s="22">
        <f>Constants!$H74*'Activity data'!V16*Constants!$H92*EF!$H217*MMVolatEF*NtoN2O*kgtoGg</f>
        <v>0</v>
      </c>
      <c r="W167" s="22">
        <f>Constants!$H74*'Activity data'!W16*Constants!$H92*EF!$H217*MMVolatEF*NtoN2O*kgtoGg</f>
        <v>0</v>
      </c>
      <c r="X167" s="22">
        <f>Constants!$H74*'Activity data'!X16*Constants!$H92*EF!$H217*MMVolatEF*NtoN2O*kgtoGg</f>
        <v>0</v>
      </c>
      <c r="Y167" s="22">
        <f>Constants!$H74*'Activity data'!Y16*Constants!$H92*EF!$H217*MMVolatEF*NtoN2O*kgtoGg</f>
        <v>0</v>
      </c>
      <c r="Z167" s="22">
        <f>Constants!$H74*'Activity data'!Z16*Constants!$H92*EF!$H217*MMVolatEF*NtoN2O*kgtoGg</f>
        <v>0</v>
      </c>
      <c r="AA167" s="22">
        <f>Constants!$H74*'Activity data'!AA16*Constants!$H92*EF!$H217*MMVolatEF*NtoN2O*kgtoGg</f>
        <v>0</v>
      </c>
      <c r="AB167" s="22">
        <f>Constants!$H74*'Activity data'!AB16*Constants!$H92*EF!$H217*MMVolatEF*NtoN2O*kgtoGg</f>
        <v>0</v>
      </c>
      <c r="AC167" s="22">
        <f>Constants!$H74*'Activity data'!AC16*Constants!$H92*EF!$H217*MMVolatEF*NtoN2O*kgtoGg</f>
        <v>0</v>
      </c>
      <c r="AD167" s="22">
        <f>Constants!$H74*'Activity data'!AD16*Constants!$H92*EF!$H217*MMVolatEF*NtoN2O*kgtoGg</f>
        <v>0</v>
      </c>
      <c r="AE167" s="22">
        <f>Constants!$H74*'Activity data'!AE16*Constants!$H92*EF!$H217*MMVolatEF*NtoN2O*kgtoGg</f>
        <v>0</v>
      </c>
      <c r="AF167" s="22">
        <f>Constants!$H74*'Activity data'!AF16*Constants!$H92*EF!$H217*MMVolatEF*NtoN2O*kgtoGg</f>
        <v>0</v>
      </c>
      <c r="AG167" s="22">
        <f>Constants!$H74*'Activity data'!AG16*Constants!$H92*EF!$H217*MMVolatEF*NtoN2O*kgtoGg</f>
        <v>0</v>
      </c>
      <c r="AH167" s="22">
        <f>Constants!$H74*'Activity data'!AH16*Constants!$H92*EF!$H217*MMVolatEF*NtoN2O*kgtoGg</f>
        <v>0</v>
      </c>
      <c r="AI167" s="22">
        <f>Constants!$H74*'Activity data'!AI16*Constants!$H92*EF!$H217*MMVolatEF*NtoN2O*kgtoGg</f>
        <v>0</v>
      </c>
      <c r="AJ167" s="22">
        <f>Constants!$H74*'Activity data'!AJ16*Constants!$H92*EF!$H217*MMVolatEF*NtoN2O*kgtoGg</f>
        <v>0</v>
      </c>
      <c r="AK167" s="22">
        <f>Constants!$H74*'Activity data'!AK16*Constants!$H92*EF!$H217*MMVolatEF*NtoN2O*kgtoGg</f>
        <v>0</v>
      </c>
      <c r="AL167" s="22">
        <f>Constants!$H74*'Activity data'!AL16*Constants!$H92*EF!$H217*MMVolatEF*NtoN2O*kgtoGg</f>
        <v>0</v>
      </c>
      <c r="AM167" s="22">
        <f>Constants!$H74*'Activity data'!AM16*Constants!$H92*EF!$H217*MMVolatEF*NtoN2O*kgtoGg</f>
        <v>0</v>
      </c>
      <c r="AN167" s="22">
        <f>Constants!$H74*'Activity data'!AN16*Constants!$H92*EF!$H217*MMVolatEF*NtoN2O*kgtoGg</f>
        <v>0</v>
      </c>
      <c r="AO167" s="22">
        <f>Constants!$H74*'Activity data'!AO16*Constants!$H92*EF!$H217*MMVolatEF*NtoN2O*kgtoGg</f>
        <v>0</v>
      </c>
      <c r="AP167" s="22">
        <f>Constants!$H74*'Activity data'!AP16*Constants!$H92*EF!$H217*MMVolatEF*NtoN2O*kgtoGg</f>
        <v>0</v>
      </c>
      <c r="AQ167" s="22">
        <f>Constants!$H74*'Activity data'!AQ16*Constants!$H92*EF!$H217*MMVolatEF*NtoN2O*kgtoGg</f>
        <v>0</v>
      </c>
      <c r="AR167" s="22">
        <f>Constants!$H74*'Activity data'!AR16*Constants!$H92*EF!$H217*MMVolatEF*NtoN2O*kgtoGg</f>
        <v>0</v>
      </c>
      <c r="AS167" s="22">
        <f>Constants!$H74*'Activity data'!AS16*Constants!$H92*EF!$H217*MMVolatEF*NtoN2O*kgtoGg</f>
        <v>0</v>
      </c>
      <c r="AT167" s="22">
        <f>Constants!$H74*'Activity data'!AT16*Constants!$H92*EF!$H217*MMVolatEF*NtoN2O*kgtoGg</f>
        <v>0</v>
      </c>
      <c r="AU167" s="22">
        <f>Constants!$H74*'Activity data'!AU16*Constants!$H92*EF!$H217*MMVolatEF*NtoN2O*kgtoGg</f>
        <v>0</v>
      </c>
      <c r="AV167" s="22">
        <f>Constants!$H74*'Activity data'!AV16*Constants!$H92*EF!$H217*MMVolatEF*NtoN2O*kgtoGg</f>
        <v>0</v>
      </c>
      <c r="AW167" s="22">
        <f>Constants!$H74*'Activity data'!AW16*Constants!$H92*EF!$H217*MMVolatEF*NtoN2O*kgtoGg</f>
        <v>0</v>
      </c>
      <c r="AX167" s="22">
        <f>Constants!$H74*'Activity data'!AX16*Constants!$H92*EF!$H217*MMVolatEF*NtoN2O*kgtoGg</f>
        <v>0</v>
      </c>
      <c r="AY167" s="22">
        <f>Constants!$H74*'Activity data'!AY16*Constants!$H92*EF!$H217*MMVolatEF*NtoN2O*kgtoGg</f>
        <v>0</v>
      </c>
      <c r="AZ167" s="22">
        <f>Constants!$H74*'Activity data'!AZ16*Constants!$H92*EF!$H217*MMVolatEF*NtoN2O*kgtoGg</f>
        <v>0</v>
      </c>
      <c r="BA167" s="22">
        <f>Constants!$H74*'Activity data'!BA16*Constants!$H92*EF!$H217*MMVolatEF*NtoN2O*kgtoGg</f>
        <v>0</v>
      </c>
      <c r="BB167" s="22">
        <f>Constants!$H74*'Activity data'!BB16*Constants!$H92*EF!$H217*MMVolatEF*NtoN2O*kgtoGg</f>
        <v>0</v>
      </c>
      <c r="BC167" s="22">
        <f>Constants!$H74*'Activity data'!BC16*Constants!$H92*EF!$H217*MMVolatEF*NtoN2O*kgtoGg</f>
        <v>0</v>
      </c>
      <c r="BD167" s="22">
        <f>Constants!$H74*'Activity data'!BD16*Constants!$H92*EF!$H217*MMVolatEF*NtoN2O*kgtoGg</f>
        <v>0</v>
      </c>
      <c r="BE167" s="22">
        <f>Constants!$H74*'Activity data'!BE16*Constants!$H92*EF!$H217*MMVolatEF*NtoN2O*kgtoGg</f>
        <v>0</v>
      </c>
      <c r="BF167" s="22">
        <f>Constants!$H74*'Activity data'!BF16*Constants!$H92*EF!$H217*MMVolatEF*NtoN2O*kgtoGg</f>
        <v>0</v>
      </c>
      <c r="BG167" s="22">
        <f>Constants!$H74*'Activity data'!BG16*Constants!$H92*EF!$H217*MMVolatEF*NtoN2O*kgtoGg</f>
        <v>0</v>
      </c>
      <c r="BH167" s="22">
        <f>Constants!$H74*'Activity data'!BH16*Constants!$H92*EF!$H217*MMVolatEF*NtoN2O*kgtoGg</f>
        <v>0</v>
      </c>
      <c r="BI167" s="22">
        <f>Constants!$H74*'Activity data'!BI16*Constants!$H92*EF!$H217*MMVolatEF*NtoN2O*kgtoGg</f>
        <v>0</v>
      </c>
      <c r="BJ167" s="22">
        <f>Constants!$H74*'Activity data'!BJ16*Constants!$H92*EF!$H217*MMVolatEF*NtoN2O*kgtoGg</f>
        <v>0</v>
      </c>
      <c r="BK167" s="22">
        <f>Constants!$H74*'Activity data'!BK16*Constants!$H92*EF!$H217*MMVolatEF*NtoN2O*kgtoGg</f>
        <v>0</v>
      </c>
      <c r="BL167" s="22">
        <f>Constants!$H74*'Activity data'!BL16*Constants!$H92*EF!$H217*MMVolatEF*NtoN2O*kgtoGg</f>
        <v>0</v>
      </c>
      <c r="BM167" s="22">
        <f>Constants!$H74*'Activity data'!BM16*Constants!$H92*EF!$H217*MMVolatEF*NtoN2O*kgtoGg</f>
        <v>0</v>
      </c>
      <c r="BN167" s="22">
        <f>Constants!$H74*'Activity data'!BN16*Constants!$H92*EF!$H217*MMVolatEF*NtoN2O*kgtoGg</f>
        <v>0</v>
      </c>
      <c r="BO167" s="22">
        <f>Constants!$H74*'Activity data'!BO16*Constants!$H92*EF!$H217*MMVolatEF*NtoN2O*kgtoGg</f>
        <v>0</v>
      </c>
      <c r="BP167" s="22">
        <f>Constants!$H74*'Activity data'!BP16*Constants!$H92*EF!$H217*MMVolatEF*NtoN2O*kgtoGg</f>
        <v>0</v>
      </c>
    </row>
    <row r="168" spans="1:68" x14ac:dyDescent="0.25">
      <c r="A168" t="str">
        <f t="shared" si="58"/>
        <v>3C Aggregated and non-CO2 emissions on land</v>
      </c>
      <c r="B168" t="str">
        <f t="shared" si="62"/>
        <v>3C6 Indirect N2O from manure management (N2O)</v>
      </c>
      <c r="C168" t="str">
        <f t="shared" si="63"/>
        <v>Volatilisation</v>
      </c>
      <c r="D168" t="str">
        <f>'Activity data'!D78</f>
        <v xml:space="preserve"> - Commercial swine</v>
      </c>
      <c r="E168" t="str">
        <f t="shared" si="61"/>
        <v>Volatilisation - Commercial swine</v>
      </c>
      <c r="F168" t="str">
        <f t="shared" si="47"/>
        <v>N2O</v>
      </c>
      <c r="G168" t="str">
        <f t="shared" si="48"/>
        <v>Gg N2O</v>
      </c>
      <c r="H168" s="22">
        <f>Constants!$H75*'Activity data'!H17*Constants!$H93*EF!$H218*MMVolatEF*NtoN2O*kgtoGg</f>
        <v>0.12033024471222856</v>
      </c>
      <c r="I168" s="22">
        <f>Constants!$H75*'Activity data'!I17*Constants!$H93*EF!$H218*MMVolatEF*NtoN2O*kgtoGg</f>
        <v>0.13146316105371428</v>
      </c>
      <c r="J168" s="22">
        <f>Constants!$H75*'Activity data'!J17*Constants!$H93*EF!$H218*MMVolatEF*NtoN2O*kgtoGg</f>
        <v>0.13059463566537144</v>
      </c>
      <c r="K168" s="22">
        <f>Constants!$H75*'Activity data'!K17*Constants!$H93*EF!$H218*MMVolatEF*NtoN2O*kgtoGg</f>
        <v>0.13051567881188572</v>
      </c>
      <c r="L168" s="22">
        <f>Constants!$H75*'Activity data'!L17*Constants!$H93*EF!$H218*MMVolatEF*NtoN2O*kgtoGg</f>
        <v>0.12396225997257142</v>
      </c>
      <c r="M168" s="22">
        <f>Constants!$H75*'Activity data'!M17*Constants!$H93*EF!$H218*MMVolatEF*NtoN2O*kgtoGg</f>
        <v>0.12514661277485714</v>
      </c>
      <c r="N168" s="22">
        <f>Constants!$H75*'Activity data'!N17*Constants!$H93*EF!$H218*MMVolatEF*NtoN2O*kgtoGg</f>
        <v>0.13477934890011425</v>
      </c>
      <c r="O168" s="22">
        <f>Constants!$H75*'Activity data'!O17*Constants!$H93*EF!$H218*MMVolatEF*NtoN2O*kgtoGg</f>
        <v>0.1341476940722286</v>
      </c>
      <c r="P168" s="22">
        <f>Constants!$H75*'Activity data'!P17*Constants!$H93*EF!$H218*MMVolatEF*NtoN2O*kgtoGg</f>
        <v>0.13706909765120001</v>
      </c>
      <c r="Q168" s="22">
        <f>Constants!$H75*'Activity data'!Q17*Constants!$H93*EF!$H218*MMVolatEF*NtoN2O*kgtoGg</f>
        <v>0.14054319920457142</v>
      </c>
      <c r="R168" s="22">
        <f>Constants!$H75*'Activity data'!R17*Constants!$H93*EF!$H218*MMVolatEF*NtoN2O*kgtoGg</f>
        <v>0.13004193769097142</v>
      </c>
      <c r="S168" s="22">
        <f>Constants!$H75*'Activity data'!S17*Constants!$H93*EF!$H218*MMVolatEF*NtoN2O*kgtoGg</f>
        <v>0.13248960014902858</v>
      </c>
      <c r="T168" s="22">
        <f>Constants!$H75*'Activity data'!T17*Constants!$H93*EF!$H218*MMVolatEF*NtoN2O*kgtoGg</f>
        <v>0.13501621946057141</v>
      </c>
      <c r="U168" s="22">
        <f>Constants!$H75*'Activity data'!U17*Constants!$H93*EF!$H218*MMVolatEF*NtoN2O*kgtoGg</f>
        <v>0.13130524734674287</v>
      </c>
      <c r="V168" s="22">
        <f>Constants!$H75*'Activity data'!V17*Constants!$H93*EF!$H218*MMVolatEF*NtoN2O*kgtoGg</f>
        <v>0.13130524734674287</v>
      </c>
      <c r="W168" s="22">
        <f>Constants!$H75*'Activity data'!W17*Constants!$H93*EF!$H218*MMVolatEF*NtoN2O*kgtoGg</f>
        <v>0.13035776510491429</v>
      </c>
      <c r="X168" s="22">
        <f>Constants!$H75*'Activity data'!X17*Constants!$H93*EF!$H218*MMVolatEF*NtoN2O*kgtoGg</f>
        <v>0.12806801635382858</v>
      </c>
      <c r="Y168" s="22">
        <f>Constants!$H75*'Activity data'!Y17*Constants!$H93*EF!$H218*MMVolatEF*NtoN2O*kgtoGg</f>
        <v>0.13035776510491429</v>
      </c>
      <c r="Z168" s="22">
        <f>Constants!$H75*'Activity data'!Z17*Constants!$H93*EF!$H218*MMVolatEF*NtoN2O*kgtoGg</f>
        <v>0.12751531837942856</v>
      </c>
      <c r="AA168" s="22">
        <f>Constants!$H75*'Activity data'!AA17*Constants!$H93*EF!$H218*MMVolatEF*NtoN2O*kgtoGg</f>
        <v>0.12735740467245713</v>
      </c>
      <c r="AB168" s="22">
        <f>Constants!$H75*'Activity data'!AB17*Constants!$H93*EF!$H218*MMVolatEF*NtoN2O*kgtoGg</f>
        <v>0.1258572244562286</v>
      </c>
      <c r="AC168" s="22">
        <f>Constants!$H75*'Activity data'!AC17*Constants!$H93*EF!$H218*MMVolatEF*NtoN2O*kgtoGg</f>
        <v>0.12506765592137145</v>
      </c>
      <c r="AD168" s="22">
        <f>Constants!$H75*'Activity data'!AD17*Constants!$H93*EF!$H218*MMVolatEF*NtoN2O*kgtoGg</f>
        <v>0.13175582522236642</v>
      </c>
      <c r="AE168" s="22">
        <f>Constants!$H75*'Activity data'!AE17*Constants!$H93*EF!$H218*MMVolatEF*NtoN2O*kgtoGg</f>
        <v>0.13133995591331252</v>
      </c>
      <c r="AF168" s="22">
        <f>Constants!$H75*'Activity data'!AF17*Constants!$H93*EF!$H218*MMVolatEF*NtoN2O*kgtoGg</f>
        <v>0.12996467924172889</v>
      </c>
      <c r="AG168" s="22">
        <f>Constants!$H75*'Activity data'!AG17*Constants!$H93*EF!$H218*MMVolatEF*NtoN2O*kgtoGg</f>
        <v>0.12729440169626086</v>
      </c>
      <c r="AH168" s="22">
        <f>Constants!$H75*'Activity data'!AH17*Constants!$H93*EF!$H218*MMVolatEF*NtoN2O*kgtoGg</f>
        <v>0.124740958232787</v>
      </c>
      <c r="AI168" s="22">
        <f>Constants!$H75*'Activity data'!AI17*Constants!$H93*EF!$H218*MMVolatEF*NtoN2O*kgtoGg</f>
        <v>0.12294968484167307</v>
      </c>
      <c r="AJ168" s="22">
        <f>Constants!$H75*'Activity data'!AJ17*Constants!$H93*EF!$H218*MMVolatEF*NtoN2O*kgtoGg</f>
        <v>0.12143262568999565</v>
      </c>
      <c r="AK168" s="22">
        <f>Constants!$H75*'Activity data'!AK17*Constants!$H93*EF!$H218*MMVolatEF*NtoN2O*kgtoGg</f>
        <v>0.11863912133480742</v>
      </c>
      <c r="AL168" s="22">
        <f>Constants!$H75*'Activity data'!AL17*Constants!$H93*EF!$H218*MMVolatEF*NtoN2O*kgtoGg</f>
        <v>0.10385956683599189</v>
      </c>
      <c r="AM168" s="22">
        <f>Constants!$H75*'Activity data'!AM17*Constants!$H93*EF!$H218*MMVolatEF*NtoN2O*kgtoGg</f>
        <v>0.10451955212302086</v>
      </c>
      <c r="AN168" s="22">
        <f>Constants!$H75*'Activity data'!AN17*Constants!$H93*EF!$H218*MMVolatEF*NtoN2O*kgtoGg</f>
        <v>0.10485083769828313</v>
      </c>
      <c r="AO168" s="22">
        <f>Constants!$H75*'Activity data'!AO17*Constants!$H93*EF!$H218*MMVolatEF*NtoN2O*kgtoGg</f>
        <v>0.10517291212466306</v>
      </c>
      <c r="AP168" s="22">
        <f>Constants!$H75*'Activity data'!AP17*Constants!$H93*EF!$H218*MMVolatEF*NtoN2O*kgtoGg</f>
        <v>0.10595961192608362</v>
      </c>
      <c r="AQ168" s="22">
        <f>Constants!$H75*'Activity data'!AQ17*Constants!$H93*EF!$H218*MMVolatEF*NtoN2O*kgtoGg</f>
        <v>0.10671986419880256</v>
      </c>
      <c r="AR168" s="22">
        <f>Constants!$H75*'Activity data'!AR17*Constants!$H93*EF!$H218*MMVolatEF*NtoN2O*kgtoGg</f>
        <v>0.10759206833097582</v>
      </c>
      <c r="AS168" s="22">
        <f>Constants!$H75*'Activity data'!AS17*Constants!$H93*EF!$H218*MMVolatEF*NtoN2O*kgtoGg</f>
        <v>0.10832415148302713</v>
      </c>
      <c r="AT168" s="22">
        <f>Constants!$H75*'Activity data'!AT17*Constants!$H93*EF!$H218*MMVolatEF*NtoN2O*kgtoGg</f>
        <v>0.10920394511601654</v>
      </c>
      <c r="AU168" s="22">
        <f>Constants!$H75*'Activity data'!AU17*Constants!$H93*EF!$H218*MMVolatEF*NtoN2O*kgtoGg</f>
        <v>0.10984438432762617</v>
      </c>
      <c r="AV168" s="22">
        <f>Constants!$H75*'Activity data'!AV17*Constants!$H93*EF!$H218*MMVolatEF*NtoN2O*kgtoGg</f>
        <v>0.11051807029951835</v>
      </c>
      <c r="AW168" s="22">
        <f>Constants!$H75*'Activity data'!AW17*Constants!$H93*EF!$H218*MMVolatEF*NtoN2O*kgtoGg</f>
        <v>0.11176064621994924</v>
      </c>
      <c r="AX168" s="22">
        <f>Constants!$H75*'Activity data'!AX17*Constants!$H93*EF!$H218*MMVolatEF*NtoN2O*kgtoGg</f>
        <v>0.11321217775824029</v>
      </c>
      <c r="AY168" s="22">
        <f>Constants!$H75*'Activity data'!AY17*Constants!$H93*EF!$H218*MMVolatEF*NtoN2O*kgtoGg</f>
        <v>0.11471425126432638</v>
      </c>
      <c r="AZ168" s="22">
        <f>Constants!$H75*'Activity data'!AZ17*Constants!$H93*EF!$H218*MMVolatEF*NtoN2O*kgtoGg</f>
        <v>0.11302605462152289</v>
      </c>
      <c r="BA168" s="22">
        <f>Constants!$H75*'Activity data'!BA17*Constants!$H93*EF!$H218*MMVolatEF*NtoN2O*kgtoGg</f>
        <v>-3.8135833829008307E-2</v>
      </c>
      <c r="BB168" s="22">
        <f>Constants!$H75*'Activity data'!BB17*Constants!$H93*EF!$H218*MMVolatEF*NtoN2O*kgtoGg</f>
        <v>-3.7718689403419284E-2</v>
      </c>
      <c r="BC168" s="22">
        <f>Constants!$H75*'Activity data'!BC17*Constants!$H93*EF!$H218*MMVolatEF*NtoN2O*kgtoGg</f>
        <v>-3.7310479618025916E-2</v>
      </c>
      <c r="BD168" s="22">
        <f>Constants!$H75*'Activity data'!BD17*Constants!$H93*EF!$H218*MMVolatEF*NtoN2O*kgtoGg</f>
        <v>-3.6910619979896454E-2</v>
      </c>
      <c r="BE168" s="22">
        <f>Constants!$H75*'Activity data'!BE17*Constants!$H93*EF!$H218*MMVolatEF*NtoN2O*kgtoGg</f>
        <v>-3.6518568792738119E-2</v>
      </c>
      <c r="BF168" s="22">
        <f>Constants!$H75*'Activity data'!BF17*Constants!$H93*EF!$H218*MMVolatEF*NtoN2O*kgtoGg</f>
        <v>-3.6133823018213627E-2</v>
      </c>
      <c r="BG168" s="22">
        <f>Constants!$H75*'Activity data'!BG17*Constants!$H93*EF!$H218*MMVolatEF*NtoN2O*kgtoGg</f>
        <v>-3.5711833561214323E-2</v>
      </c>
      <c r="BH168" s="22">
        <f>Constants!$H75*'Activity data'!BH17*Constants!$H93*EF!$H218*MMVolatEF*NtoN2O*kgtoGg</f>
        <v>-3.5297284374171914E-2</v>
      </c>
      <c r="BI168" s="22">
        <f>Constants!$H75*'Activity data'!BI17*Constants!$H93*EF!$H218*MMVolatEF*NtoN2O*kgtoGg</f>
        <v>-3.4889740911291982E-2</v>
      </c>
      <c r="BJ168" s="22">
        <f>Constants!$H75*'Activity data'!BJ17*Constants!$H93*EF!$H218*MMVolatEF*NtoN2O*kgtoGg</f>
        <v>-3.4488797010350791E-2</v>
      </c>
      <c r="BK168" s="22">
        <f>Constants!$H75*'Activity data'!BK17*Constants!$H93*EF!$H218*MMVolatEF*NtoN2O*kgtoGg</f>
        <v>-3.4094072440282994E-2</v>
      </c>
      <c r="BL168" s="22">
        <f>Constants!$H75*'Activity data'!BL17*Constants!$H93*EF!$H218*MMVolatEF*NtoN2O*kgtoGg</f>
        <v>-3.3663911026345139E-2</v>
      </c>
      <c r="BM168" s="22">
        <f>Constants!$H75*'Activity data'!BM17*Constants!$H93*EF!$H218*MMVolatEF*NtoN2O*kgtoGg</f>
        <v>-3.3240319741355787E-2</v>
      </c>
      <c r="BN168" s="22">
        <f>Constants!$H75*'Activity data'!BN17*Constants!$H93*EF!$H218*MMVolatEF*NtoN2O*kgtoGg</f>
        <v>-3.2822960396725463E-2</v>
      </c>
      <c r="BO168" s="22">
        <f>Constants!$H75*'Activity data'!BO17*Constants!$H93*EF!$H218*MMVolatEF*NtoN2O*kgtoGg</f>
        <v>-3.2411514785230008E-2</v>
      </c>
      <c r="BP168" s="22">
        <f>Constants!$H75*'Activity data'!BP17*Constants!$H93*EF!$H218*MMVolatEF*NtoN2O*kgtoGg</f>
        <v>-3.2005683123121166E-2</v>
      </c>
    </row>
    <row r="169" spans="1:68" x14ac:dyDescent="0.25">
      <c r="A169" t="str">
        <f t="shared" si="58"/>
        <v>3C Aggregated and non-CO2 emissions on land</v>
      </c>
      <c r="B169" t="str">
        <f t="shared" si="62"/>
        <v>3C6 Indirect N2O from manure management (N2O)</v>
      </c>
      <c r="C169" t="str">
        <f t="shared" si="63"/>
        <v>Volatilisation</v>
      </c>
      <c r="D169" t="str">
        <f>'Activity data'!D79</f>
        <v xml:space="preserve"> - Subsistence swine</v>
      </c>
      <c r="E169" t="str">
        <f t="shared" si="61"/>
        <v>Volatilisation - Subsistence swine</v>
      </c>
      <c r="F169" t="str">
        <f t="shared" si="47"/>
        <v>N2O</v>
      </c>
      <c r="G169" t="str">
        <f t="shared" si="48"/>
        <v>Gg N2O</v>
      </c>
      <c r="H169" s="22">
        <f>Constants!$H76*'Activity data'!H18*Constants!$H94*EF!$H219*MMVolatEF*NtoN2O*kgtoGg</f>
        <v>1.1213700344412847E-2</v>
      </c>
      <c r="I169" s="22">
        <f>Constants!$H76*'Activity data'!I18*Constants!$H94*EF!$H219*MMVolatEF*NtoN2O*kgtoGg</f>
        <v>1.2251188368403802E-2</v>
      </c>
      <c r="J169" s="22">
        <f>Constants!$H76*'Activity data'!J18*Constants!$H94*EF!$H219*MMVolatEF*NtoN2O*kgtoGg</f>
        <v>1.2170249586390321E-2</v>
      </c>
      <c r="K169" s="22">
        <f>Constants!$H76*'Activity data'!K18*Constants!$H94*EF!$H219*MMVolatEF*NtoN2O*kgtoGg</f>
        <v>1.2162891515298188E-2</v>
      </c>
      <c r="L169" s="22">
        <f>Constants!$H76*'Activity data'!L18*Constants!$H94*EF!$H219*MMVolatEF*NtoN2O*kgtoGg</f>
        <v>1.1552171614651031E-2</v>
      </c>
      <c r="M169" s="22">
        <f>Constants!$H76*'Activity data'!M18*Constants!$H94*EF!$H219*MMVolatEF*NtoN2O*kgtoGg</f>
        <v>1.1662542681033047E-2</v>
      </c>
      <c r="N169" s="22">
        <f>Constants!$H76*'Activity data'!N18*Constants!$H94*EF!$H219*MMVolatEF*NtoN2O*kgtoGg</f>
        <v>1.2560227354273448E-2</v>
      </c>
      <c r="O169" s="22">
        <f>Constants!$H76*'Activity data'!O18*Constants!$H94*EF!$H219*MMVolatEF*NtoN2O*kgtoGg</f>
        <v>1.2501362785536372E-2</v>
      </c>
      <c r="P169" s="22">
        <f>Constants!$H76*'Activity data'!P18*Constants!$H94*EF!$H219*MMVolatEF*NtoN2O*kgtoGg</f>
        <v>1.2773611415945345E-2</v>
      </c>
      <c r="Q169" s="22">
        <f>Constants!$H76*'Activity data'!Q18*Constants!$H94*EF!$H219*MMVolatEF*NtoN2O*kgtoGg</f>
        <v>1.3097366543999258E-2</v>
      </c>
      <c r="R169" s="22">
        <f>Constants!$H76*'Activity data'!R18*Constants!$H94*EF!$H219*MMVolatEF*NtoN2O*kgtoGg</f>
        <v>1.2118743088745379E-2</v>
      </c>
      <c r="S169" s="22">
        <f>Constants!$H76*'Activity data'!S18*Constants!$H94*EF!$H219*MMVolatEF*NtoN2O*kgtoGg</f>
        <v>1.2346843292601547E-2</v>
      </c>
      <c r="T169" s="22">
        <f>Constants!$H76*'Activity data'!T18*Constants!$H94*EF!$H219*MMVolatEF*NtoN2O*kgtoGg</f>
        <v>1.2582301567549848E-2</v>
      </c>
      <c r="U169" s="22">
        <f>Constants!$H76*'Activity data'!U18*Constants!$H94*EF!$H219*MMVolatEF*NtoN2O*kgtoGg</f>
        <v>1.2236472226219531E-2</v>
      </c>
      <c r="V169" s="22">
        <f>Constants!$H76*'Activity data'!V18*Constants!$H94*EF!$H219*MMVolatEF*NtoN2O*kgtoGg</f>
        <v>1.2236472226219531E-2</v>
      </c>
      <c r="W169" s="22">
        <f>Constants!$H76*'Activity data'!W18*Constants!$H94*EF!$H219*MMVolatEF*NtoN2O*kgtoGg</f>
        <v>1.2148175373113919E-2</v>
      </c>
      <c r="X169" s="22">
        <f>Constants!$H76*'Activity data'!X18*Constants!$H94*EF!$H219*MMVolatEF*NtoN2O*kgtoGg</f>
        <v>1.1934791311442018E-2</v>
      </c>
      <c r="Y169" s="22">
        <f>Constants!$H76*'Activity data'!Y18*Constants!$H94*EF!$H219*MMVolatEF*NtoN2O*kgtoGg</f>
        <v>1.2148175373113919E-2</v>
      </c>
      <c r="Z169" s="22">
        <f>Constants!$H76*'Activity data'!Z18*Constants!$H94*EF!$H219*MMVolatEF*NtoN2O*kgtoGg</f>
        <v>1.1883284813797081E-2</v>
      </c>
      <c r="AA169" s="22">
        <f>Constants!$H76*'Activity data'!AA18*Constants!$H94*EF!$H219*MMVolatEF*NtoN2O*kgtoGg</f>
        <v>1.186856867161281E-2</v>
      </c>
      <c r="AB169" s="22">
        <f>Constants!$H76*'Activity data'!AB18*Constants!$H94*EF!$H219*MMVolatEF*NtoN2O*kgtoGg</f>
        <v>1.1728765320862257E-2</v>
      </c>
      <c r="AC169" s="22">
        <f>Constants!$H76*'Activity data'!AC18*Constants!$H94*EF!$H219*MMVolatEF*NtoN2O*kgtoGg</f>
        <v>1.1655184609940911E-2</v>
      </c>
      <c r="AD169" s="22">
        <f>Constants!$H76*'Activity data'!AD18*Constants!$H94*EF!$H219*MMVolatEF*NtoN2O*kgtoGg</f>
        <v>1.2821907264588839E-2</v>
      </c>
      <c r="AE169" s="22">
        <f>Constants!$H76*'Activity data'!AE18*Constants!$H94*EF!$H219*MMVolatEF*NtoN2O*kgtoGg</f>
        <v>1.2781436661441853E-2</v>
      </c>
      <c r="AF169" s="22">
        <f>Constants!$H76*'Activity data'!AF18*Constants!$H94*EF!$H219*MMVolatEF*NtoN2O*kgtoGg</f>
        <v>1.2647600681769325E-2</v>
      </c>
      <c r="AG169" s="22">
        <f>Constants!$H76*'Activity data'!AG18*Constants!$H94*EF!$H219*MMVolatEF*NtoN2O*kgtoGg</f>
        <v>1.2387740815984108E-2</v>
      </c>
      <c r="AH169" s="22">
        <f>Constants!$H76*'Activity data'!AH18*Constants!$H94*EF!$H219*MMVolatEF*NtoN2O*kgtoGg</f>
        <v>1.2139250737926637E-2</v>
      </c>
      <c r="AI169" s="22">
        <f>Constants!$H76*'Activity data'!AI18*Constants!$H94*EF!$H219*MMVolatEF*NtoN2O*kgtoGg</f>
        <v>1.196493175607042E-2</v>
      </c>
      <c r="AJ169" s="22">
        <f>Constants!$H76*'Activity data'!AJ18*Constants!$H94*EF!$H219*MMVolatEF*NtoN2O*kgtoGg</f>
        <v>1.1817298118431442E-2</v>
      </c>
      <c r="AK169" s="22">
        <f>Constants!$H76*'Activity data'!AK18*Constants!$H94*EF!$H219*MMVolatEF*NtoN2O*kgtoGg</f>
        <v>1.1545446352295121E-2</v>
      </c>
      <c r="AL169" s="22">
        <f>Constants!$H76*'Activity data'!AL18*Constants!$H94*EF!$H219*MMVolatEF*NtoN2O*kgtoGg</f>
        <v>1.0107164007845277E-2</v>
      </c>
      <c r="AM169" s="22">
        <f>Constants!$H76*'Activity data'!AM18*Constants!$H94*EF!$H219*MMVolatEF*NtoN2O*kgtoGg</f>
        <v>1.0171390922533838E-2</v>
      </c>
      <c r="AN169" s="22">
        <f>Constants!$H76*'Activity data'!AN18*Constants!$H94*EF!$H219*MMVolatEF*NtoN2O*kgtoGg</f>
        <v>1.020363020240583E-2</v>
      </c>
      <c r="AO169" s="22">
        <f>Constants!$H76*'Activity data'!AO18*Constants!$H94*EF!$H219*MMVolatEF*NtoN2O*kgtoGg</f>
        <v>1.0234973093092974E-2</v>
      </c>
      <c r="AP169" s="22">
        <f>Constants!$H76*'Activity data'!AP18*Constants!$H94*EF!$H219*MMVolatEF*NtoN2O*kgtoGg</f>
        <v>1.0311531316472175E-2</v>
      </c>
      <c r="AQ169" s="22">
        <f>Constants!$H76*'Activity data'!AQ18*Constants!$H94*EF!$H219*MMVolatEF*NtoN2O*kgtoGg</f>
        <v>1.0385515780703972E-2</v>
      </c>
      <c r="AR169" s="22">
        <f>Constants!$H76*'Activity data'!AR18*Constants!$H94*EF!$H219*MMVolatEF*NtoN2O*kgtoGg</f>
        <v>1.0470394915874219E-2</v>
      </c>
      <c r="AS169" s="22">
        <f>Constants!$H76*'Activity data'!AS18*Constants!$H94*EF!$H219*MMVolatEF*NtoN2O*kgtoGg</f>
        <v>1.0541638083071781E-2</v>
      </c>
      <c r="AT169" s="22">
        <f>Constants!$H76*'Activity data'!AT18*Constants!$H94*EF!$H219*MMVolatEF*NtoN2O*kgtoGg</f>
        <v>1.0627255795648265E-2</v>
      </c>
      <c r="AU169" s="22">
        <f>Constants!$H76*'Activity data'!AU18*Constants!$H94*EF!$H219*MMVolatEF*NtoN2O*kgtoGg</f>
        <v>1.0689580570784438E-2</v>
      </c>
      <c r="AV169" s="22">
        <f>Constants!$H76*'Activity data'!AV18*Constants!$H94*EF!$H219*MMVolatEF*NtoN2O*kgtoGg</f>
        <v>1.0755140776889006E-2</v>
      </c>
      <c r="AW169" s="22">
        <f>Constants!$H76*'Activity data'!AW18*Constants!$H94*EF!$H219*MMVolatEF*NtoN2O*kgtoGg</f>
        <v>1.0876062893190786E-2</v>
      </c>
      <c r="AX169" s="22">
        <f>Constants!$H76*'Activity data'!AX18*Constants!$H94*EF!$H219*MMVolatEF*NtoN2O*kgtoGg</f>
        <v>1.1017319666803515E-2</v>
      </c>
      <c r="AY169" s="22">
        <f>Constants!$H76*'Activity data'!AY18*Constants!$H94*EF!$H219*MMVolatEF*NtoN2O*kgtoGg</f>
        <v>1.1163494966203955E-2</v>
      </c>
      <c r="AZ169" s="22">
        <f>Constants!$H76*'Activity data'!AZ18*Constants!$H94*EF!$H219*MMVolatEF*NtoN2O*kgtoGg</f>
        <v>1.0999206967841195E-2</v>
      </c>
      <c r="BA169" s="22">
        <f>Constants!$H76*'Activity data'!BA18*Constants!$H94*EF!$H219*MMVolatEF*NtoN2O*kgtoGg</f>
        <v>-3.7112144680363467E-3</v>
      </c>
      <c r="BB169" s="22">
        <f>Constants!$H76*'Activity data'!BB18*Constants!$H94*EF!$H219*MMVolatEF*NtoN2O*kgtoGg</f>
        <v>-3.6706197760611272E-3</v>
      </c>
      <c r="BC169" s="22">
        <f>Constants!$H76*'Activity data'!BC18*Constants!$H94*EF!$H219*MMVolatEF*NtoN2O*kgtoGg</f>
        <v>-3.6308945646408518E-3</v>
      </c>
      <c r="BD169" s="22">
        <f>Constants!$H76*'Activity data'!BD18*Constants!$H94*EF!$H219*MMVolatEF*NtoN2O*kgtoGg</f>
        <v>-3.5919819534504542E-3</v>
      </c>
      <c r="BE169" s="22">
        <f>Constants!$H76*'Activity data'!BE18*Constants!$H94*EF!$H219*MMVolatEF*NtoN2O*kgtoGg</f>
        <v>-3.5538292269487438E-3</v>
      </c>
      <c r="BF169" s="22">
        <f>Constants!$H76*'Activity data'!BF18*Constants!$H94*EF!$H219*MMVolatEF*NtoN2O*kgtoGg</f>
        <v>-3.5163874316196208E-3</v>
      </c>
      <c r="BG169" s="22">
        <f>Constants!$H76*'Activity data'!BG18*Constants!$H94*EF!$H219*MMVolatEF*NtoN2O*kgtoGg</f>
        <v>-3.4753212421350377E-3</v>
      </c>
      <c r="BH169" s="22">
        <f>Constants!$H76*'Activity data'!BH18*Constants!$H94*EF!$H219*MMVolatEF*NtoN2O*kgtoGg</f>
        <v>-3.4349791075546665E-3</v>
      </c>
      <c r="BI169" s="22">
        <f>Constants!$H76*'Activity data'!BI18*Constants!$H94*EF!$H219*MMVolatEF*NtoN2O*kgtoGg</f>
        <v>-3.3953187397605549E-3</v>
      </c>
      <c r="BJ169" s="22">
        <f>Constants!$H76*'Activity data'!BJ18*Constants!$H94*EF!$H219*MMVolatEF*NtoN2O*kgtoGg</f>
        <v>-3.3563006128011267E-3</v>
      </c>
      <c r="BK169" s="22">
        <f>Constants!$H76*'Activity data'!BK18*Constants!$H94*EF!$H219*MMVolatEF*NtoN2O*kgtoGg</f>
        <v>-3.3178877242330336E-3</v>
      </c>
      <c r="BL169" s="22">
        <f>Constants!$H76*'Activity data'!BL18*Constants!$H94*EF!$H219*MMVolatEF*NtoN2O*kgtoGg</f>
        <v>-3.2760262752306304E-3</v>
      </c>
      <c r="BM169" s="22">
        <f>Constants!$H76*'Activity data'!BM18*Constants!$H94*EF!$H219*MMVolatEF*NtoN2O*kgtoGg</f>
        <v>-3.2348042027715565E-3</v>
      </c>
      <c r="BN169" s="22">
        <f>Constants!$H76*'Activity data'!BN18*Constants!$H94*EF!$H219*MMVolatEF*NtoN2O*kgtoGg</f>
        <v>-3.1941885958044411E-3</v>
      </c>
      <c r="BO169" s="22">
        <f>Constants!$H76*'Activity data'!BO18*Constants!$H94*EF!$H219*MMVolatEF*NtoN2O*kgtoGg</f>
        <v>-3.1541484877779971E-3</v>
      </c>
      <c r="BP169" s="22">
        <f>Constants!$H76*'Activity data'!BP18*Constants!$H94*EF!$H219*MMVolatEF*NtoN2O*kgtoGg</f>
        <v>-3.1146547050339602E-3</v>
      </c>
    </row>
    <row r="170" spans="1:68" x14ac:dyDescent="0.25">
      <c r="A170" t="str">
        <f t="shared" si="58"/>
        <v>3C Aggregated and non-CO2 emissions on land</v>
      </c>
      <c r="B170" t="str">
        <f t="shared" si="62"/>
        <v>3C6 Indirect N2O from manure management (N2O)</v>
      </c>
      <c r="C170" t="str">
        <f t="shared" si="63"/>
        <v>Volatilisation</v>
      </c>
      <c r="D170" t="str">
        <f>'Activity data'!D80</f>
        <v xml:space="preserve"> - Commercial layers</v>
      </c>
      <c r="E170" t="str">
        <f t="shared" si="61"/>
        <v>Volatilisation - Commercial layers</v>
      </c>
      <c r="F170" t="str">
        <f t="shared" si="47"/>
        <v>N2O</v>
      </c>
      <c r="G170" t="str">
        <f t="shared" si="48"/>
        <v>Gg N2O</v>
      </c>
      <c r="H170" s="22">
        <f>Constants!$H77*'Activity data'!H19*Constants!$H95*EF!$H220*MMVolatEF*NtoN2O*kgtoGg</f>
        <v>3.9901922234143378E-2</v>
      </c>
      <c r="I170" s="22">
        <f>Constants!$H77*'Activity data'!I19*Constants!$H95*EF!$H220*MMVolatEF*NtoN2O*kgtoGg</f>
        <v>3.8764119662049575E-2</v>
      </c>
      <c r="J170" s="22">
        <f>Constants!$H77*'Activity data'!J19*Constants!$H95*EF!$H220*MMVolatEF*NtoN2O*kgtoGg</f>
        <v>3.6765071039765375E-2</v>
      </c>
      <c r="K170" s="22">
        <f>Constants!$H77*'Activity data'!K19*Constants!$H95*EF!$H220*MMVolatEF*NtoN2O*kgtoGg</f>
        <v>3.6187005010116235E-2</v>
      </c>
      <c r="L170" s="22">
        <f>Constants!$H77*'Activity data'!L19*Constants!$H95*EF!$H220*MMVolatEF*NtoN2O*kgtoGg</f>
        <v>3.4613000583397703E-2</v>
      </c>
      <c r="M170" s="22">
        <f>Constants!$H77*'Activity data'!M19*Constants!$H95*EF!$H220*MMVolatEF*NtoN2O*kgtoGg</f>
        <v>3.7767091699964048E-2</v>
      </c>
      <c r="N170" s="22">
        <f>Constants!$H77*'Activity data'!N19*Constants!$H95*EF!$H220*MMVolatEF*NtoN2O*kgtoGg</f>
        <v>3.9893574992700236E-2</v>
      </c>
      <c r="O170" s="22">
        <f>Constants!$H77*'Activity data'!O19*Constants!$H95*EF!$H220*MMVolatEF*NtoN2O*kgtoGg</f>
        <v>4.0024759793687768E-2</v>
      </c>
      <c r="P170" s="22">
        <f>Constants!$H77*'Activity data'!P19*Constants!$H95*EF!$H220*MMVolatEF*NtoN2O*kgtoGg</f>
        <v>4.5064502181051763E-2</v>
      </c>
      <c r="Q170" s="22">
        <f>Constants!$H77*'Activity data'!Q19*Constants!$H95*EF!$H220*MMVolatEF*NtoN2O*kgtoGg</f>
        <v>4.8313668520703602E-2</v>
      </c>
      <c r="R170" s="22">
        <f>Constants!$H77*'Activity data'!R19*Constants!$H95*EF!$H220*MMVolatEF*NtoN2O*kgtoGg</f>
        <v>4.7289979406797474E-2</v>
      </c>
      <c r="S170" s="22">
        <f>Constants!$H77*'Activity data'!S19*Constants!$H95*EF!$H220*MMVolatEF*NtoN2O*kgtoGg</f>
        <v>4.8551507364098793E-2</v>
      </c>
      <c r="T170" s="22">
        <f>Constants!$H77*'Activity data'!T19*Constants!$H95*EF!$H220*MMVolatEF*NtoN2O*kgtoGg</f>
        <v>4.8170447709819791E-2</v>
      </c>
      <c r="U170" s="22">
        <f>Constants!$H77*'Activity data'!U19*Constants!$H95*EF!$H220*MMVolatEF*NtoN2O*kgtoGg</f>
        <v>4.6247362930646907E-2</v>
      </c>
      <c r="V170" s="22">
        <f>Constants!$H77*'Activity data'!V19*Constants!$H95*EF!$H220*MMVolatEF*NtoN2O*kgtoGg</f>
        <v>4.7924340253760342E-2</v>
      </c>
      <c r="W170" s="22">
        <f>Constants!$H77*'Activity data'!W19*Constants!$H95*EF!$H220*MMVolatEF*NtoN2O*kgtoGg</f>
        <v>5.0814203111068781E-2</v>
      </c>
      <c r="X170" s="22">
        <f>Constants!$H77*'Activity data'!X19*Constants!$H95*EF!$H220*MMVolatEF*NtoN2O*kgtoGg</f>
        <v>5.6079445071930599E-2</v>
      </c>
      <c r="Y170" s="22">
        <f>Constants!$H77*'Activity data'!Y19*Constants!$H95*EF!$H220*MMVolatEF*NtoN2O*kgtoGg</f>
        <v>6.2061568790031385E-2</v>
      </c>
      <c r="Z170" s="22">
        <f>Constants!$H77*'Activity data'!Z19*Constants!$H95*EF!$H220*MMVolatEF*NtoN2O*kgtoGg</f>
        <v>6.2878912050452387E-2</v>
      </c>
      <c r="AA170" s="22">
        <f>Constants!$H77*'Activity data'!AA19*Constants!$H95*EF!$H220*MMVolatEF*NtoN2O*kgtoGg</f>
        <v>6.0560791025763831E-2</v>
      </c>
      <c r="AB170" s="22">
        <f>Constants!$H77*'Activity data'!AB19*Constants!$H95*EF!$H220*MMVolatEF*NtoN2O*kgtoGg</f>
        <v>6.291984308956225E-2</v>
      </c>
      <c r="AC170" s="22">
        <f>Constants!$H77*'Activity data'!AC19*Constants!$H95*EF!$H220*MMVolatEF*NtoN2O*kgtoGg</f>
        <v>6.5824054338964127E-2</v>
      </c>
      <c r="AD170" s="22">
        <f>Constants!$H77*'Activity data'!AD19*Constants!$H95*EF!$H220*MMVolatEF*NtoN2O*kgtoGg</f>
        <v>6.4805763262647462E-2</v>
      </c>
      <c r="AE170" s="22">
        <f>Constants!$H77*'Activity data'!AE19*Constants!$H95*EF!$H220*MMVolatEF*NtoN2O*kgtoGg</f>
        <v>6.620917696085285E-2</v>
      </c>
      <c r="AF170" s="22">
        <f>Constants!$H77*'Activity data'!AF19*Constants!$H95*EF!$H220*MMVolatEF*NtoN2O*kgtoGg</f>
        <v>6.7339988183967914E-2</v>
      </c>
      <c r="AG170" s="22">
        <f>Constants!$H77*'Activity data'!AG19*Constants!$H95*EF!$H220*MMVolatEF*NtoN2O*kgtoGg</f>
        <v>6.8078843848603895E-2</v>
      </c>
      <c r="AH170" s="22">
        <f>Constants!$H77*'Activity data'!AH19*Constants!$H95*EF!$H220*MMVolatEF*NtoN2O*kgtoGg</f>
        <v>6.8827728157938209E-2</v>
      </c>
      <c r="AI170" s="22">
        <f>Constants!$H77*'Activity data'!AI19*Constants!$H95*EF!$H220*MMVolatEF*NtoN2O*kgtoGg</f>
        <v>6.9793181329029633E-2</v>
      </c>
      <c r="AJ170" s="22">
        <f>Constants!$H77*'Activity data'!AJ19*Constants!$H95*EF!$H220*MMVolatEF*NtoN2O*kgtoGg</f>
        <v>7.0825640221860539E-2</v>
      </c>
      <c r="AK170" s="22">
        <f>Constants!$H77*'Activity data'!AK19*Constants!$H95*EF!$H220*MMVolatEF*NtoN2O*kgtoGg</f>
        <v>7.1426070236781977E-2</v>
      </c>
      <c r="AL170" s="22">
        <f>Constants!$H77*'Activity data'!AL19*Constants!$H95*EF!$H220*MMVolatEF*NtoN2O*kgtoGg</f>
        <v>6.7971896986057309E-2</v>
      </c>
      <c r="AM170" s="22">
        <f>Constants!$H77*'Activity data'!AM19*Constants!$H95*EF!$H220*MMVolatEF*NtoN2O*kgtoGg</f>
        <v>6.9431161818386017E-2</v>
      </c>
      <c r="AN170" s="22">
        <f>Constants!$H77*'Activity data'!AN19*Constants!$H95*EF!$H220*MMVolatEF*NtoN2O*kgtoGg</f>
        <v>7.0793385596642902E-2</v>
      </c>
      <c r="AO170" s="22">
        <f>Constants!$H77*'Activity data'!AO19*Constants!$H95*EF!$H220*MMVolatEF*NtoN2O*kgtoGg</f>
        <v>7.216636340015109E-2</v>
      </c>
      <c r="AP170" s="22">
        <f>Constants!$H77*'Activity data'!AP19*Constants!$H95*EF!$H220*MMVolatEF*NtoN2O*kgtoGg</f>
        <v>7.3724598547713793E-2</v>
      </c>
      <c r="AQ170" s="22">
        <f>Constants!$H77*'Activity data'!AQ19*Constants!$H95*EF!$H220*MMVolatEF*NtoN2O*kgtoGg</f>
        <v>7.5295777535110922E-2</v>
      </c>
      <c r="AR170" s="22">
        <f>Constants!$H77*'Activity data'!AR19*Constants!$H95*EF!$H220*MMVolatEF*NtoN2O*kgtoGg</f>
        <v>7.6868953264879816E-2</v>
      </c>
      <c r="AS170" s="22">
        <f>Constants!$H77*'Activity data'!AS19*Constants!$H95*EF!$H220*MMVolatEF*NtoN2O*kgtoGg</f>
        <v>7.8411785567373049E-2</v>
      </c>
      <c r="AT170" s="22">
        <f>Constants!$H77*'Activity data'!AT19*Constants!$H95*EF!$H220*MMVolatEF*NtoN2O*kgtoGg</f>
        <v>8.0036606766420104E-2</v>
      </c>
      <c r="AU170" s="22">
        <f>Constants!$H77*'Activity data'!AU19*Constants!$H95*EF!$H220*MMVolatEF*NtoN2O*kgtoGg</f>
        <v>8.1590030948431091E-2</v>
      </c>
      <c r="AV170" s="22">
        <f>Constants!$H77*'Activity data'!AV19*Constants!$H95*EF!$H220*MMVolatEF*NtoN2O*kgtoGg</f>
        <v>8.3180296189840519E-2</v>
      </c>
      <c r="AW170" s="22">
        <f>Constants!$H77*'Activity data'!AW19*Constants!$H95*EF!$H220*MMVolatEF*NtoN2O*kgtoGg</f>
        <v>8.498335225395226E-2</v>
      </c>
      <c r="AX170" s="22">
        <f>Constants!$H77*'Activity data'!AX19*Constants!$H95*EF!$H220*MMVolatEF*NtoN2O*kgtoGg</f>
        <v>8.691067585568038E-2</v>
      </c>
      <c r="AY170" s="22">
        <f>Constants!$H77*'Activity data'!AY19*Constants!$H95*EF!$H220*MMVolatEF*NtoN2O*kgtoGg</f>
        <v>8.8898633943391286E-2</v>
      </c>
      <c r="AZ170" s="22">
        <f>Constants!$H77*'Activity data'!AZ19*Constants!$H95*EF!$H220*MMVolatEF*NtoN2O*kgtoGg</f>
        <v>8.9490348349999485E-2</v>
      </c>
      <c r="BA170" s="22">
        <f>Constants!$H77*'Activity data'!BA19*Constants!$H95*EF!$H220*MMVolatEF*NtoN2O*kgtoGg</f>
        <v>2.1450020418190146E-2</v>
      </c>
      <c r="BB170" s="22">
        <f>Constants!$H77*'Activity data'!BB19*Constants!$H95*EF!$H220*MMVolatEF*NtoN2O*kgtoGg</f>
        <v>2.1614881965790762E-2</v>
      </c>
      <c r="BC170" s="22">
        <f>Constants!$H77*'Activity data'!BC19*Constants!$H95*EF!$H220*MMVolatEF*NtoN2O*kgtoGg</f>
        <v>2.1780943831055617E-2</v>
      </c>
      <c r="BD170" s="22">
        <f>Constants!$H77*'Activity data'!BD19*Constants!$H95*EF!$H220*MMVolatEF*NtoN2O*kgtoGg</f>
        <v>2.1948215154072734E-2</v>
      </c>
      <c r="BE170" s="22">
        <f>Constants!$H77*'Activity data'!BE19*Constants!$H95*EF!$H220*MMVolatEF*NtoN2O*kgtoGg</f>
        <v>2.2116705116436826E-2</v>
      </c>
      <c r="BF170" s="22">
        <f>Constants!$H77*'Activity data'!BF19*Constants!$H95*EF!$H220*MMVolatEF*NtoN2O*kgtoGg</f>
        <v>2.2286422943949849E-2</v>
      </c>
      <c r="BG170" s="22">
        <f>Constants!$H77*'Activity data'!BG19*Constants!$H95*EF!$H220*MMVolatEF*NtoN2O*kgtoGg</f>
        <v>2.2431505853437582E-2</v>
      </c>
      <c r="BH170" s="22">
        <f>Constants!$H77*'Activity data'!BH19*Constants!$H95*EF!$H220*MMVolatEF*NtoN2O*kgtoGg</f>
        <v>2.2577484325720341E-2</v>
      </c>
      <c r="BI170" s="22">
        <f>Constants!$H77*'Activity data'!BI19*Constants!$H95*EF!$H220*MMVolatEF*NtoN2O*kgtoGg</f>
        <v>2.2724364182075539E-2</v>
      </c>
      <c r="BJ170" s="22">
        <f>Constants!$H77*'Activity data'!BJ19*Constants!$H95*EF!$H220*MMVolatEF*NtoN2O*kgtoGg</f>
        <v>2.2872151263259987E-2</v>
      </c>
      <c r="BK170" s="22">
        <f>Constants!$H77*'Activity data'!BK19*Constants!$H95*EF!$H220*MMVolatEF*NtoN2O*kgtoGg</f>
        <v>2.3020851431037954E-2</v>
      </c>
      <c r="BL170" s="22">
        <f>Constants!$H77*'Activity data'!BL19*Constants!$H95*EF!$H220*MMVolatEF*NtoN2O*kgtoGg</f>
        <v>2.3143882531625137E-2</v>
      </c>
      <c r="BM170" s="22">
        <f>Constants!$H77*'Activity data'!BM19*Constants!$H95*EF!$H220*MMVolatEF*NtoN2O*kgtoGg</f>
        <v>2.3267536914699297E-2</v>
      </c>
      <c r="BN170" s="22">
        <f>Constants!$H77*'Activity data'!BN19*Constants!$H95*EF!$H220*MMVolatEF*NtoN2O*kgtoGg</f>
        <v>2.3391817960867468E-2</v>
      </c>
      <c r="BO170" s="22">
        <f>Constants!$H77*'Activity data'!BO19*Constants!$H95*EF!$H220*MMVolatEF*NtoN2O*kgtoGg</f>
        <v>2.3516729056424043E-2</v>
      </c>
      <c r="BP170" s="22">
        <f>Constants!$H77*'Activity data'!BP19*Constants!$H95*EF!$H220*MMVolatEF*NtoN2O*kgtoGg</f>
        <v>2.3642273594262703E-2</v>
      </c>
    </row>
    <row r="171" spans="1:68" x14ac:dyDescent="0.25">
      <c r="A171" t="str">
        <f t="shared" si="58"/>
        <v>3C Aggregated and non-CO2 emissions on land</v>
      </c>
      <c r="B171" t="str">
        <f t="shared" si="62"/>
        <v>3C6 Indirect N2O from manure management (N2O)</v>
      </c>
      <c r="C171" t="str">
        <f t="shared" si="63"/>
        <v>Volatilisation</v>
      </c>
      <c r="D171" t="str">
        <f>'Activity data'!D81</f>
        <v xml:space="preserve"> - Commercial broilers</v>
      </c>
      <c r="E171" t="str">
        <f t="shared" si="61"/>
        <v>Volatilisation - Commercial broilers</v>
      </c>
      <c r="F171" t="str">
        <f t="shared" si="47"/>
        <v>N2O</v>
      </c>
      <c r="G171" t="str">
        <f t="shared" si="48"/>
        <v>Gg N2O</v>
      </c>
      <c r="H171" s="22">
        <f>Constants!$H78*'Activity data'!H20*Constants!$H96*EF!$H221*MMVolatEF*NtoN2O*kgtoGg</f>
        <v>0.13300481081505974</v>
      </c>
      <c r="I171" s="22">
        <f>Constants!$H78*'Activity data'!I20*Constants!$H96*EF!$H221*MMVolatEF*NtoN2O*kgtoGg</f>
        <v>0.12502452232752509</v>
      </c>
      <c r="J171" s="22">
        <f>Constants!$H78*'Activity data'!J20*Constants!$H96*EF!$H221*MMVolatEF*NtoN2O*kgtoGg</f>
        <v>0.11815711721981632</v>
      </c>
      <c r="K171" s="22">
        <f>Constants!$H78*'Activity data'!K20*Constants!$H96*EF!$H221*MMVolatEF*NtoN2O*kgtoGg</f>
        <v>0.13288475431749616</v>
      </c>
      <c r="L171" s="22">
        <f>Constants!$H78*'Activity data'!L20*Constants!$H96*EF!$H221*MMVolatEF*NtoN2O*kgtoGg</f>
        <v>0.13163846288812139</v>
      </c>
      <c r="M171" s="22">
        <f>Constants!$H78*'Activity data'!M20*Constants!$H96*EF!$H221*MMVolatEF*NtoN2O*kgtoGg</f>
        <v>0.15067946452756478</v>
      </c>
      <c r="N171" s="22">
        <f>Constants!$H78*'Activity data'!N20*Constants!$H96*EF!$H221*MMVolatEF*NtoN2O*kgtoGg</f>
        <v>0.17520137856774748</v>
      </c>
      <c r="O171" s="22">
        <f>Constants!$H78*'Activity data'!O20*Constants!$H96*EF!$H221*MMVolatEF*NtoN2O*kgtoGg</f>
        <v>0.17833497655174868</v>
      </c>
      <c r="P171" s="22">
        <f>Constants!$H78*'Activity data'!P20*Constants!$H96*EF!$H221*MMVolatEF*NtoN2O*kgtoGg</f>
        <v>0.19540750250200264</v>
      </c>
      <c r="Q171" s="22">
        <f>Constants!$H78*'Activity data'!Q20*Constants!$H96*EF!$H221*MMVolatEF*NtoN2O*kgtoGg</f>
        <v>0.20400324067875486</v>
      </c>
      <c r="R171" s="22">
        <f>Constants!$H78*'Activity data'!R20*Constants!$H96*EF!$H221*MMVolatEF*NtoN2O*kgtoGg</f>
        <v>0.2194924541960066</v>
      </c>
      <c r="S171" s="22">
        <f>Constants!$H78*'Activity data'!S20*Constants!$H96*EF!$H221*MMVolatEF*NtoN2O*kgtoGg</f>
        <v>0.21194302789750966</v>
      </c>
      <c r="T171" s="22">
        <f>Constants!$H78*'Activity data'!T20*Constants!$H96*EF!$H221*MMVolatEF*NtoN2O*kgtoGg</f>
        <v>0.23490162161460634</v>
      </c>
      <c r="U171" s="22">
        <f>Constants!$H78*'Activity data'!U20*Constants!$H96*EF!$H221*MMVolatEF*NtoN2O*kgtoGg</f>
        <v>0.22342690340629309</v>
      </c>
      <c r="V171" s="22">
        <f>Constants!$H78*'Activity data'!V20*Constants!$H96*EF!$H221*MMVolatEF*NtoN2O*kgtoGg</f>
        <v>0.22882062376153647</v>
      </c>
      <c r="W171" s="22">
        <f>Constants!$H78*'Activity data'!W20*Constants!$H96*EF!$H221*MMVolatEF*NtoN2O*kgtoGg</f>
        <v>0.25318423090083292</v>
      </c>
      <c r="X171" s="22">
        <f>Constants!$H78*'Activity data'!X20*Constants!$H96*EF!$H221*MMVolatEF*NtoN2O*kgtoGg</f>
        <v>0.27080419841374809</v>
      </c>
      <c r="Y171" s="22">
        <f>Constants!$H78*'Activity data'!Y20*Constants!$H96*EF!$H221*MMVolatEF*NtoN2O*kgtoGg</f>
        <v>0.28333542117093263</v>
      </c>
      <c r="Z171" s="22">
        <f>Constants!$H78*'Activity data'!Z20*Constants!$H96*EF!$H221*MMVolatEF*NtoN2O*kgtoGg</f>
        <v>0.30167528975381169</v>
      </c>
      <c r="AA171" s="22">
        <f>Constants!$H78*'Activity data'!AA20*Constants!$H96*EF!$H221*MMVolatEF*NtoN2O*kgtoGg</f>
        <v>0.28466366211683397</v>
      </c>
      <c r="AB171" s="22">
        <f>Constants!$H78*'Activity data'!AB20*Constants!$H96*EF!$H221*MMVolatEF*NtoN2O*kgtoGg</f>
        <v>0.29182318020337894</v>
      </c>
      <c r="AC171" s="22">
        <f>Constants!$H78*'Activity data'!AC20*Constants!$H96*EF!$H221*MMVolatEF*NtoN2O*kgtoGg</f>
        <v>0.30182167573697893</v>
      </c>
      <c r="AD171" s="22">
        <f>Constants!$H78*'Activity data'!AD20*Constants!$H96*EF!$H221*MMVolatEF*NtoN2O*kgtoGg</f>
        <v>0.31397927588300406</v>
      </c>
      <c r="AE171" s="22">
        <f>Constants!$H78*'Activity data'!AE20*Constants!$H96*EF!$H221*MMVolatEF*NtoN2O*kgtoGg</f>
        <v>0.31907441675710629</v>
      </c>
      <c r="AF171" s="22">
        <f>Constants!$H78*'Activity data'!AF20*Constants!$H96*EF!$H221*MMVolatEF*NtoN2O*kgtoGg</f>
        <v>0.3205872704742006</v>
      </c>
      <c r="AG171" s="22">
        <f>Constants!$H78*'Activity data'!AG20*Constants!$H96*EF!$H221*MMVolatEF*NtoN2O*kgtoGg</f>
        <v>0.31719609082412314</v>
      </c>
      <c r="AH171" s="22">
        <f>Constants!$H78*'Activity data'!AH20*Constants!$H96*EF!$H221*MMVolatEF*NtoN2O*kgtoGg</f>
        <v>0.3138121925530904</v>
      </c>
      <c r="AI171" s="22">
        <f>Constants!$H78*'Activity data'!AI20*Constants!$H96*EF!$H221*MMVolatEF*NtoN2O*kgtoGg</f>
        <v>0.31283032074973627</v>
      </c>
      <c r="AJ171" s="22">
        <f>Constants!$H78*'Activity data'!AJ20*Constants!$H96*EF!$H221*MMVolatEF*NtoN2O*kgtoGg</f>
        <v>0.31262578069676783</v>
      </c>
      <c r="AK171" s="22">
        <f>Constants!$H78*'Activity data'!AK20*Constants!$H96*EF!$H221*MMVolatEF*NtoN2O*kgtoGg</f>
        <v>0.30741109145699391</v>
      </c>
      <c r="AL171" s="22">
        <f>Constants!$H78*'Activity data'!AL20*Constants!$H96*EF!$H221*MMVolatEF*NtoN2O*kgtoGg</f>
        <v>0.256148371105961</v>
      </c>
      <c r="AM171" s="22">
        <f>Constants!$H78*'Activity data'!AM20*Constants!$H96*EF!$H221*MMVolatEF*NtoN2O*kgtoGg</f>
        <v>0.26370410916808512</v>
      </c>
      <c r="AN171" s="22">
        <f>Constants!$H78*'Activity data'!AN20*Constants!$H96*EF!$H221*MMVolatEF*NtoN2O*kgtoGg</f>
        <v>0.27001969138915061</v>
      </c>
      <c r="AO171" s="22">
        <f>Constants!$H78*'Activity data'!AO20*Constants!$H96*EF!$H221*MMVolatEF*NtoN2O*kgtoGg</f>
        <v>0.2763199496036185</v>
      </c>
      <c r="AP171" s="22">
        <f>Constants!$H78*'Activity data'!AP20*Constants!$H96*EF!$H221*MMVolatEF*NtoN2O*kgtoGg</f>
        <v>0.28451678455475204</v>
      </c>
      <c r="AQ171" s="22">
        <f>Constants!$H78*'Activity data'!AQ20*Constants!$H96*EF!$H221*MMVolatEF*NtoN2O*kgtoGg</f>
        <v>0.29268901518137719</v>
      </c>
      <c r="AR171" s="22">
        <f>Constants!$H78*'Activity data'!AR20*Constants!$H96*EF!$H221*MMVolatEF*NtoN2O*kgtoGg</f>
        <v>0.30166157988430881</v>
      </c>
      <c r="AS171" s="22">
        <f>Constants!$H78*'Activity data'!AS20*Constants!$H96*EF!$H221*MMVolatEF*NtoN2O*kgtoGg</f>
        <v>0.31015505304721058</v>
      </c>
      <c r="AT171" s="22">
        <f>Constants!$H78*'Activity data'!AT20*Constants!$H96*EF!$H221*MMVolatEF*NtoN2O*kgtoGg</f>
        <v>0.31937286090334316</v>
      </c>
      <c r="AU171" s="22">
        <f>Constants!$H78*'Activity data'!AU20*Constants!$H96*EF!$H221*MMVolatEF*NtoN2O*kgtoGg</f>
        <v>0.32768435170975169</v>
      </c>
      <c r="AV171" s="22">
        <f>Constants!$H78*'Activity data'!AV20*Constants!$H96*EF!$H221*MMVolatEF*NtoN2O*kgtoGg</f>
        <v>0.3362412673320212</v>
      </c>
      <c r="AW171" s="22">
        <f>Constants!$H78*'Activity data'!AW20*Constants!$H96*EF!$H221*MMVolatEF*NtoN2O*kgtoGg</f>
        <v>0.34761278711237292</v>
      </c>
      <c r="AX171" s="22">
        <f>Constants!$H78*'Activity data'!AX20*Constants!$H96*EF!$H221*MMVolatEF*NtoN2O*kgtoGg</f>
        <v>0.36009727200869485</v>
      </c>
      <c r="AY171" s="22">
        <f>Constants!$H78*'Activity data'!AY20*Constants!$H96*EF!$H221*MMVolatEF*NtoN2O*kgtoGg</f>
        <v>0.37302207723672137</v>
      </c>
      <c r="AZ171" s="22">
        <f>Constants!$H78*'Activity data'!AZ20*Constants!$H96*EF!$H221*MMVolatEF*NtoN2O*kgtoGg</f>
        <v>0.37158281441490282</v>
      </c>
      <c r="BA171" s="22">
        <f>Constants!$H78*'Activity data'!BA20*Constants!$H96*EF!$H221*MMVolatEF*NtoN2O*kgtoGg</f>
        <v>-0.32225581682934024</v>
      </c>
      <c r="BB171" s="22">
        <f>Constants!$H78*'Activity data'!BB20*Constants!$H96*EF!$H221*MMVolatEF*NtoN2O*kgtoGg</f>
        <v>-0.32271754342348513</v>
      </c>
      <c r="BC171" s="22">
        <f>Constants!$H78*'Activity data'!BC20*Constants!$H96*EF!$H221*MMVolatEF*NtoN2O*kgtoGg</f>
        <v>-0.32321834210238065</v>
      </c>
      <c r="BD171" s="22">
        <f>Constants!$H78*'Activity data'!BD20*Constants!$H96*EF!$H221*MMVolatEF*NtoN2O*kgtoGg</f>
        <v>-0.32375658230947413</v>
      </c>
      <c r="BE171" s="22">
        <f>Constants!$H78*'Activity data'!BE20*Constants!$H96*EF!$H221*MMVolatEF*NtoN2O*kgtoGg</f>
        <v>-0.32433076013748197</v>
      </c>
      <c r="BF171" s="22">
        <f>Constants!$H78*'Activity data'!BF20*Constants!$H96*EF!$H221*MMVolatEF*NtoN2O*kgtoGg</f>
        <v>-0.32493948616259549</v>
      </c>
      <c r="BG171" s="22">
        <f>Constants!$H78*'Activity data'!BG20*Constants!$H96*EF!$H221*MMVolatEF*NtoN2O*kgtoGg</f>
        <v>-0.32519002694092081</v>
      </c>
      <c r="BH171" s="22">
        <f>Constants!$H78*'Activity data'!BH20*Constants!$H96*EF!$H221*MMVolatEF*NtoN2O*kgtoGg</f>
        <v>-0.32547196769911135</v>
      </c>
      <c r="BI171" s="22">
        <f>Constants!$H78*'Activity data'!BI20*Constants!$H96*EF!$H221*MMVolatEF*NtoN2O*kgtoGg</f>
        <v>-0.32578408919193652</v>
      </c>
      <c r="BJ171" s="22">
        <f>Constants!$H78*'Activity data'!BJ20*Constants!$H96*EF!$H221*MMVolatEF*NtoN2O*kgtoGg</f>
        <v>-0.32612525589272406</v>
      </c>
      <c r="BK171" s="22">
        <f>Constants!$H78*'Activity data'!BK20*Constants!$H96*EF!$H221*MMVolatEF*NtoN2O*kgtoGg</f>
        <v>-0.32649440879969549</v>
      </c>
      <c r="BL171" s="22">
        <f>Constants!$H78*'Activity data'!BL20*Constants!$H96*EF!$H221*MMVolatEF*NtoN2O*kgtoGg</f>
        <v>-0.32649961480368156</v>
      </c>
      <c r="BM171" s="22">
        <f>Constants!$H78*'Activity data'!BM20*Constants!$H96*EF!$H221*MMVolatEF*NtoN2O*kgtoGg</f>
        <v>-0.32653073845215902</v>
      </c>
      <c r="BN171" s="22">
        <f>Constants!$H78*'Activity data'!BN20*Constants!$H96*EF!$H221*MMVolatEF*NtoN2O*kgtoGg</f>
        <v>-0.326586821501688</v>
      </c>
      <c r="BO171" s="22">
        <f>Constants!$H78*'Activity data'!BO20*Constants!$H96*EF!$H221*MMVolatEF*NtoN2O*kgtoGg</f>
        <v>-0.32666696441292659</v>
      </c>
      <c r="BP171" s="22">
        <f>Constants!$H78*'Activity data'!BP20*Constants!$H96*EF!$H221*MMVolatEF*NtoN2O*kgtoGg</f>
        <v>-0.32677032179119497</v>
      </c>
    </row>
    <row r="172" spans="1:68" x14ac:dyDescent="0.25">
      <c r="A172" t="str">
        <f t="shared" si="58"/>
        <v>3C Aggregated and non-CO2 emissions on land</v>
      </c>
      <c r="B172" t="str">
        <f>B171</f>
        <v>3C6 Indirect N2O from manure management (N2O)</v>
      </c>
      <c r="C172" t="str">
        <f>'IPCC Categories'!C81</f>
        <v>Leaching/runoff</v>
      </c>
      <c r="D172" t="str">
        <f>D156</f>
        <v xml:space="preserve"> - TMR</v>
      </c>
      <c r="E172" t="str">
        <f t="shared" ref="E172:E187" si="64">C172&amp;D172</f>
        <v>Leaching/runoff - TMR</v>
      </c>
      <c r="F172" t="str">
        <f t="shared" si="47"/>
        <v>N2O</v>
      </c>
      <c r="G172" t="str">
        <f t="shared" si="48"/>
        <v>Gg N2O</v>
      </c>
      <c r="H172" s="22">
        <f>Constants!$H63*'Activity data'!H5*Constants!$H81*FracLEACHMM*MMLeachEF*NtoN2O*kgtoGg</f>
        <v>7.3742305268764158E-2</v>
      </c>
      <c r="I172" s="22">
        <f>Constants!$H63*'Activity data'!I5*Constants!$H81*FracLEACHMM*MMLeachEF*NtoN2O*kgtoGg</f>
        <v>8.4896547684682147E-2</v>
      </c>
      <c r="J172" s="22">
        <f>Constants!$H63*'Activity data'!J5*Constants!$H81*FracLEACHMM*MMLeachEF*NtoN2O*kgtoGg</f>
        <v>7.3446498482406364E-2</v>
      </c>
      <c r="K172" s="22">
        <f>Constants!$H63*'Activity data'!K5*Constants!$H81*FracLEACHMM*MMLeachEF*NtoN2O*kgtoGg</f>
        <v>7.7896894964800331E-2</v>
      </c>
      <c r="L172" s="22">
        <f>Constants!$H63*'Activity data'!L5*Constants!$H81*FracLEACHMM*MMLeachEF*NtoN2O*kgtoGg</f>
        <v>7.2263271336975257E-2</v>
      </c>
      <c r="M172" s="22">
        <f>Constants!$H63*'Activity data'!M5*Constants!$H81*FracLEACHMM*MMLeachEF*NtoN2O*kgtoGg</f>
        <v>7.7305281392084785E-2</v>
      </c>
      <c r="N172" s="22">
        <f>Constants!$H63*'Activity data'!N5*Constants!$H81*FracLEACHMM*MMLeachEF*NtoN2O*kgtoGg</f>
        <v>7.7601088178442565E-2</v>
      </c>
      <c r="O172" s="22">
        <f>Constants!$H63*'Activity data'!O5*Constants!$H81*FracLEACHMM*MMLeachEF*NtoN2O*kgtoGg</f>
        <v>7.4812527574463092E-2</v>
      </c>
      <c r="P172" s="22">
        <f>Constants!$H63*'Activity data'!P5*Constants!$H81*FracLEACHMM*MMLeachEF*NtoN2O*kgtoGg</f>
        <v>7.3925107215389751E-2</v>
      </c>
      <c r="Q172" s="22">
        <f>Constants!$H63*'Activity data'!Q5*Constants!$H81*FracLEACHMM*MMLeachEF*NtoN2O*kgtoGg</f>
        <v>7.2615580543199124E-2</v>
      </c>
      <c r="R172" s="22">
        <f>Constants!$H63*'Activity data'!R5*Constants!$H81*FracLEACHMM*MMLeachEF*NtoN2O*kgtoGg</f>
        <v>9.3501533863112316E-2</v>
      </c>
      <c r="S172" s="22">
        <f>Constants!$H63*'Activity data'!S5*Constants!$H81*FracLEACHMM*MMLeachEF*NtoN2O*kgtoGg</f>
        <v>9.3205727076754535E-2</v>
      </c>
      <c r="T172" s="22">
        <f>Constants!$H63*'Activity data'!T5*Constants!$H81*FracLEACHMM*MMLeachEF*NtoN2O*kgtoGg</f>
        <v>8.127706914149542E-2</v>
      </c>
      <c r="U172" s="22">
        <f>Constants!$H63*'Activity data'!U5*Constants!$H81*FracLEACHMM*MMLeachEF*NtoN2O*kgtoGg</f>
        <v>7.3925107215389751E-2</v>
      </c>
      <c r="V172" s="22">
        <f>Constants!$H63*'Activity data'!V5*Constants!$H81*FracLEACHMM*MMLeachEF*NtoN2O*kgtoGg</f>
        <v>7.1375850977901931E-2</v>
      </c>
      <c r="W172" s="22">
        <f>Constants!$H63*'Activity data'!W5*Constants!$H81*FracLEACHMM*MMLeachEF*NtoN2O*kgtoGg</f>
        <v>7.6417861033011458E-2</v>
      </c>
      <c r="X172" s="22">
        <f>Constants!$H63*'Activity data'!X5*Constants!$H81*FracLEACHMM*MMLeachEF*NtoN2O*kgtoGg</f>
        <v>7.4756025154596978E-2</v>
      </c>
      <c r="Y172" s="22">
        <f>Constants!$H63*'Activity data'!Y5*Constants!$H81*FracLEACHMM*MMLeachEF*NtoN2O*kgtoGg</f>
        <v>7.4220914001747532E-2</v>
      </c>
      <c r="Z172" s="22">
        <f>Constants!$H63*'Activity data'!Z5*Constants!$H81*FracLEACHMM*MMLeachEF*NtoN2O*kgtoGg</f>
        <v>9.0895775205758408E-2</v>
      </c>
      <c r="AA172" s="22">
        <f>Constants!$H63*'Activity data'!AA5*Constants!$H81*FracLEACHMM*MMLeachEF*NtoN2O*kgtoGg</f>
        <v>9.3149224656888435E-2</v>
      </c>
      <c r="AB172" s="22">
        <f>Constants!$H63*'Activity data'!AB5*Constants!$H81*FracLEACHMM*MMLeachEF*NtoN2O*kgtoGg</f>
        <v>9.3149224656888435E-2</v>
      </c>
      <c r="AC172" s="22">
        <f>Constants!$H63*'Activity data'!AC5*Constants!$H81*FracLEACHMM*MMLeachEF*NtoN2O*kgtoGg</f>
        <v>8.9769050480193388E-2</v>
      </c>
      <c r="AD172" s="22">
        <f>Constants!$H63*'Activity data'!AD5*Constants!$H81*FracLEACHMM*MMLeachEF*NtoN2O*kgtoGg</f>
        <v>8.937279530386584E-2</v>
      </c>
      <c r="AE172" s="22">
        <f>Constants!$H63*'Activity data'!AE5*Constants!$H81*FracLEACHMM*MMLeachEF*NtoN2O*kgtoGg</f>
        <v>8.99287091662518E-2</v>
      </c>
      <c r="AF172" s="22">
        <f>Constants!$H63*'Activity data'!AF5*Constants!$H81*FracLEACHMM*MMLeachEF*NtoN2O*kgtoGg</f>
        <v>9.0310907604627441E-2</v>
      </c>
      <c r="AG172" s="22">
        <f>Constants!$H63*'Activity data'!AG5*Constants!$H81*FracLEACHMM*MMLeachEF*NtoN2O*kgtoGg</f>
        <v>9.0430770661024784E-2</v>
      </c>
      <c r="AH172" s="22">
        <f>Constants!$H63*'Activity data'!AH5*Constants!$H81*FracLEACHMM*MMLeachEF*NtoN2O*kgtoGg</f>
        <v>9.0592927490571046E-2</v>
      </c>
      <c r="AI172" s="22">
        <f>Constants!$H63*'Activity data'!AI5*Constants!$H81*FracLEACHMM*MMLeachEF*NtoN2O*kgtoGg</f>
        <v>9.0948112554123092E-2</v>
      </c>
      <c r="AJ172" s="22">
        <f>Constants!$H63*'Activity data'!AJ5*Constants!$H81*FracLEACHMM*MMLeachEF*NtoN2O*kgtoGg</f>
        <v>9.1373943417930939E-2</v>
      </c>
      <c r="AK172" s="22">
        <f>Constants!$H63*'Activity data'!AK5*Constants!$H81*FracLEACHMM*MMLeachEF*NtoN2O*kgtoGg</f>
        <v>9.1501867451345892E-2</v>
      </c>
      <c r="AL172" s="22">
        <f>Constants!$H63*'Activity data'!AL5*Constants!$H81*FracLEACHMM*MMLeachEF*NtoN2O*kgtoGg</f>
        <v>8.8692780673306368E-2</v>
      </c>
      <c r="AM172" s="22">
        <f>Constants!$H63*'Activity data'!AM5*Constants!$H81*FracLEACHMM*MMLeachEF*NtoN2O*kgtoGg</f>
        <v>8.942331322993069E-2</v>
      </c>
      <c r="AN172" s="22">
        <f>Constants!$H63*'Activity data'!AN5*Constants!$H81*FracLEACHMM*MMLeachEF*NtoN2O*kgtoGg</f>
        <v>9.0093190837869708E-2</v>
      </c>
      <c r="AO172" s="22">
        <f>Constants!$H63*'Activity data'!AO5*Constants!$H81*FracLEACHMM*MMLeachEF*NtoN2O*kgtoGg</f>
        <v>9.0780038603481383E-2</v>
      </c>
      <c r="AP172" s="22">
        <f>Constants!$H63*'Activity data'!AP5*Constants!$H81*FracLEACHMM*MMLeachEF*NtoN2O*kgtoGg</f>
        <v>9.1607440170769952E-2</v>
      </c>
      <c r="AQ172" s="22">
        <f>Constants!$H63*'Activity data'!AQ5*Constants!$H81*FracLEACHMM*MMLeachEF*NtoN2O*kgtoGg</f>
        <v>9.2450367431163069E-2</v>
      </c>
      <c r="AR172" s="22">
        <f>Constants!$H63*'Activity data'!AR5*Constants!$H81*FracLEACHMM*MMLeachEF*NtoN2O*kgtoGg</f>
        <v>9.3271141222409717E-2</v>
      </c>
      <c r="AS172" s="22">
        <f>Constants!$H63*'Activity data'!AS5*Constants!$H81*FracLEACHMM*MMLeachEF*NtoN2O*kgtoGg</f>
        <v>9.4075494804423593E-2</v>
      </c>
      <c r="AT172" s="22">
        <f>Constants!$H63*'Activity data'!AT5*Constants!$H81*FracLEACHMM*MMLeachEF*NtoN2O*kgtoGg</f>
        <v>9.494187182919285E-2</v>
      </c>
      <c r="AU172" s="22">
        <f>Constants!$H63*'Activity data'!AU5*Constants!$H81*FracLEACHMM*MMLeachEF*NtoN2O*kgtoGg</f>
        <v>9.5762313841523894E-2</v>
      </c>
      <c r="AV172" s="22">
        <f>Constants!$H63*'Activity data'!AV5*Constants!$H81*FracLEACHMM*MMLeachEF*NtoN2O*kgtoGg</f>
        <v>9.6612184537040763E-2</v>
      </c>
      <c r="AW172" s="22">
        <f>Constants!$H63*'Activity data'!AW5*Constants!$H81*FracLEACHMM*MMLeachEF*NtoN2O*kgtoGg</f>
        <v>9.7588608414981418E-2</v>
      </c>
      <c r="AX172" s="22">
        <f>Constants!$H63*'Activity data'!AX5*Constants!$H81*FracLEACHMM*MMLeachEF*NtoN2O*kgtoGg</f>
        <v>9.8652036659073086E-2</v>
      </c>
      <c r="AY172" s="22">
        <f>Constants!$H63*'Activity data'!AY5*Constants!$H81*FracLEACHMM*MMLeachEF*NtoN2O*kgtoGg</f>
        <v>9.9757674838538646E-2</v>
      </c>
      <c r="AZ172" s="22">
        <f>Constants!$H63*'Activity data'!AZ5*Constants!$H81*FracLEACHMM*MMLeachEF*NtoN2O*kgtoGg</f>
        <v>9.9912115595676476E-2</v>
      </c>
      <c r="BA172" s="22">
        <f>Constants!$H63*'Activity data'!BA5*Constants!$H81*FracLEACHMM*MMLeachEF*NtoN2O*kgtoGg</f>
        <v>5.3491971899674674E-2</v>
      </c>
      <c r="BB172" s="22">
        <f>Constants!$H63*'Activity data'!BB5*Constants!$H81*FracLEACHMM*MMLeachEF*NtoN2O*kgtoGg</f>
        <v>5.3531314918473571E-2</v>
      </c>
      <c r="BC172" s="22">
        <f>Constants!$H63*'Activity data'!BC5*Constants!$H81*FracLEACHMM*MMLeachEF*NtoN2O*kgtoGg</f>
        <v>5.357582611787514E-2</v>
      </c>
      <c r="BD172" s="22">
        <f>Constants!$H63*'Activity data'!BD5*Constants!$H81*FracLEACHMM*MMLeachEF*NtoN2O*kgtoGg</f>
        <v>5.3625309057202357E-2</v>
      </c>
      <c r="BE172" s="22">
        <f>Constants!$H63*'Activity data'!BE5*Constants!$H81*FracLEACHMM*MMLeachEF*NtoN2O*kgtoGg</f>
        <v>5.3679582424864689E-2</v>
      </c>
      <c r="BF172" s="22">
        <f>Constants!$H63*'Activity data'!BF5*Constants!$H81*FracLEACHMM*MMLeachEF*NtoN2O*kgtoGg</f>
        <v>5.3738478604376284E-2</v>
      </c>
      <c r="BG172" s="22">
        <f>Constants!$H63*'Activity data'!BG5*Constants!$H81*FracLEACHMM*MMLeachEF*NtoN2O*kgtoGg</f>
        <v>5.3763835169364317E-2</v>
      </c>
      <c r="BH172" s="22">
        <f>Constants!$H63*'Activity data'!BH5*Constants!$H81*FracLEACHMM*MMLeachEF*NtoN2O*kgtoGg</f>
        <v>5.3793262757512665E-2</v>
      </c>
      <c r="BI172" s="22">
        <f>Constants!$H63*'Activity data'!BI5*Constants!$H81*FracLEACHMM*MMLeachEF*NtoN2O*kgtoGg</f>
        <v>5.3826619180497665E-2</v>
      </c>
      <c r="BJ172" s="22">
        <f>Constants!$H63*'Activity data'!BJ5*Constants!$H81*FracLEACHMM*MMLeachEF*NtoN2O*kgtoGg</f>
        <v>5.3863771952469164E-2</v>
      </c>
      <c r="BK172" s="22">
        <f>Constants!$H63*'Activity data'!BK5*Constants!$H81*FracLEACHMM*MMLeachEF*NtoN2O*kgtoGg</f>
        <v>5.3904597466717913E-2</v>
      </c>
      <c r="BL172" s="22">
        <f>Constants!$H63*'Activity data'!BL5*Constants!$H81*FracLEACHMM*MMLeachEF*NtoN2O*kgtoGg</f>
        <v>5.3910563480556228E-2</v>
      </c>
      <c r="BM172" s="22">
        <f>Constants!$H63*'Activity data'!BM5*Constants!$H81*FracLEACHMM*MMLeachEF*NtoN2O*kgtoGg</f>
        <v>5.3919785471416987E-2</v>
      </c>
      <c r="BN172" s="22">
        <f>Constants!$H63*'Activity data'!BN5*Constants!$H81*FracLEACHMM*MMLeachEF*NtoN2O*kgtoGg</f>
        <v>5.3932155519366927E-2</v>
      </c>
      <c r="BO172" s="22">
        <f>Constants!$H63*'Activity data'!BO5*Constants!$H81*FracLEACHMM*MMLeachEF*NtoN2O*kgtoGg</f>
        <v>5.3947572278859428E-2</v>
      </c>
      <c r="BP172" s="22">
        <f>Constants!$H63*'Activity data'!BP5*Constants!$H81*FracLEACHMM*MMLeachEF*NtoN2O*kgtoGg</f>
        <v>5.3965940473698626E-2</v>
      </c>
    </row>
    <row r="173" spans="1:68" x14ac:dyDescent="0.25">
      <c r="A173" t="str">
        <f t="shared" si="58"/>
        <v>3C Aggregated and non-CO2 emissions on land</v>
      </c>
      <c r="B173" t="str">
        <f t="shared" ref="B173:B184" si="65">B172</f>
        <v>3C6 Indirect N2O from manure management (N2O)</v>
      </c>
      <c r="C173" t="str">
        <f>C172</f>
        <v>Leaching/runoff</v>
      </c>
      <c r="D173" t="str">
        <f t="shared" ref="D173:D186" si="66">D157</f>
        <v xml:space="preserve"> - Pasture</v>
      </c>
      <c r="E173" t="str">
        <f t="shared" si="64"/>
        <v>Leaching/runoff - Pasture</v>
      </c>
      <c r="F173" t="str">
        <f t="shared" si="47"/>
        <v>N2O</v>
      </c>
      <c r="G173" t="str">
        <f t="shared" si="48"/>
        <v>Gg N2O</v>
      </c>
      <c r="H173" s="22">
        <f>Constants!$H64*'Activity data'!H6*Constants!$H82*FracLEACHMM*MMLeachEF*NtoN2O*kgtoGg</f>
        <v>2.2025932152541016E-2</v>
      </c>
      <c r="I173" s="22">
        <f>Constants!$H64*'Activity data'!I6*Constants!$H82*FracLEACHMM*MMLeachEF*NtoN2O*kgtoGg</f>
        <v>2.5357569070733093E-2</v>
      </c>
      <c r="J173" s="22">
        <f>Constants!$H64*'Activity data'!J6*Constants!$H82*FracLEACHMM*MMLeachEF*NtoN2O*kgtoGg</f>
        <v>2.1937578253339852E-2</v>
      </c>
      <c r="K173" s="22">
        <f>Constants!$H64*'Activity data'!K6*Constants!$H82*FracLEACHMM*MMLeachEF*NtoN2O*kgtoGg</f>
        <v>2.3266857703119107E-2</v>
      </c>
      <c r="L173" s="22">
        <f>Constants!$H64*'Activity data'!L6*Constants!$H82*FracLEACHMM*MMLeachEF*NtoN2O*kgtoGg</f>
        <v>2.1584162656535212E-2</v>
      </c>
      <c r="M173" s="22">
        <f>Constants!$H64*'Activity data'!M6*Constants!$H82*FracLEACHMM*MMLeachEF*NtoN2O*kgtoGg</f>
        <v>2.3090149904716788E-2</v>
      </c>
      <c r="N173" s="22">
        <f>Constants!$H64*'Activity data'!N6*Constants!$H82*FracLEACHMM*MMLeachEF*NtoN2O*kgtoGg</f>
        <v>2.3178503803917949E-2</v>
      </c>
      <c r="O173" s="22">
        <f>Constants!$H64*'Activity data'!O6*Constants!$H82*FracLEACHMM*MMLeachEF*NtoN2O*kgtoGg</f>
        <v>2.234559457436993E-2</v>
      </c>
      <c r="P173" s="22">
        <f>Constants!$H64*'Activity data'!P6*Constants!$H82*FracLEACHMM*MMLeachEF*NtoN2O*kgtoGg</f>
        <v>2.2080532876766451E-2</v>
      </c>
      <c r="Q173" s="22">
        <f>Constants!$H64*'Activity data'!Q6*Constants!$H82*FracLEACHMM*MMLeachEF*NtoN2O*kgtoGg</f>
        <v>2.1689393143224225E-2</v>
      </c>
      <c r="R173" s="22">
        <f>Constants!$H64*'Activity data'!R6*Constants!$H82*FracLEACHMM*MMLeachEF*NtoN2O*kgtoGg</f>
        <v>2.7927774071090448E-2</v>
      </c>
      <c r="S173" s="22">
        <f>Constants!$H64*'Activity data'!S6*Constants!$H82*FracLEACHMM*MMLeachEF*NtoN2O*kgtoGg</f>
        <v>2.7839420171889291E-2</v>
      </c>
      <c r="T173" s="22">
        <f>Constants!$H64*'Activity data'!T6*Constants!$H82*FracLEACHMM*MMLeachEF*NtoN2O*kgtoGg</f>
        <v>2.4276474731069451E-2</v>
      </c>
      <c r="U173" s="22">
        <f>Constants!$H64*'Activity data'!U6*Constants!$H82*FracLEACHMM*MMLeachEF*NtoN2O*kgtoGg</f>
        <v>2.2080532876766451E-2</v>
      </c>
      <c r="V173" s="22">
        <f>Constants!$H64*'Activity data'!V6*Constants!$H82*FracLEACHMM*MMLeachEF*NtoN2O*kgtoGg</f>
        <v>2.1319100958931726E-2</v>
      </c>
      <c r="W173" s="22">
        <f>Constants!$H64*'Activity data'!W6*Constants!$H82*FracLEACHMM*MMLeachEF*NtoN2O*kgtoGg</f>
        <v>2.2825088207113309E-2</v>
      </c>
      <c r="X173" s="22">
        <f>Constants!$H64*'Activity data'!X6*Constants!$H82*FracLEACHMM*MMLeachEF*NtoN2O*kgtoGg</f>
        <v>2.2328717986882064E-2</v>
      </c>
      <c r="Y173" s="22">
        <f>Constants!$H64*'Activity data'!Y6*Constants!$H82*FracLEACHMM*MMLeachEF*NtoN2O*kgtoGg</f>
        <v>2.2168886775967608E-2</v>
      </c>
      <c r="Z173" s="22">
        <f>Constants!$H64*'Activity data'!Z6*Constants!$H82*FracLEACHMM*MMLeachEF*NtoN2O*kgtoGg</f>
        <v>2.7149465565767861E-2</v>
      </c>
      <c r="AA173" s="22">
        <f>Constants!$H64*'Activity data'!AA6*Constants!$H82*FracLEACHMM*MMLeachEF*NtoN2O*kgtoGg</f>
        <v>2.7822543584401425E-2</v>
      </c>
      <c r="AB173" s="22">
        <f>Constants!$H64*'Activity data'!AB6*Constants!$H82*FracLEACHMM*MMLeachEF*NtoN2O*kgtoGg</f>
        <v>2.7822543584401425E-2</v>
      </c>
      <c r="AC173" s="22">
        <f>Constants!$H64*'Activity data'!AC6*Constants!$H82*FracLEACHMM*MMLeachEF*NtoN2O*kgtoGg</f>
        <v>2.681292655645108E-2</v>
      </c>
      <c r="AD173" s="22">
        <f>Constants!$H64*'Activity data'!AD6*Constants!$H82*FracLEACHMM*MMLeachEF*NtoN2O*kgtoGg</f>
        <v>2.6988316791591433E-2</v>
      </c>
      <c r="AE173" s="22">
        <f>Constants!$H64*'Activity data'!AE6*Constants!$H82*FracLEACHMM*MMLeachEF*NtoN2O*kgtoGg</f>
        <v>2.7156188674482627E-2</v>
      </c>
      <c r="AF173" s="22">
        <f>Constants!$H64*'Activity data'!AF6*Constants!$H82*FracLEACHMM*MMLeachEF*NtoN2O*kgtoGg</f>
        <v>2.7271602906487613E-2</v>
      </c>
      <c r="AG173" s="22">
        <f>Constants!$H64*'Activity data'!AG6*Constants!$H82*FracLEACHMM*MMLeachEF*NtoN2O*kgtoGg</f>
        <v>2.7307798508590695E-2</v>
      </c>
      <c r="AH173" s="22">
        <f>Constants!$H64*'Activity data'!AH6*Constants!$H82*FracLEACHMM*MMLeachEF*NtoN2O*kgtoGg</f>
        <v>2.7356765757190617E-2</v>
      </c>
      <c r="AI173" s="22">
        <f>Constants!$H64*'Activity data'!AI6*Constants!$H82*FracLEACHMM*MMLeachEF*NtoN2O*kgtoGg</f>
        <v>2.7464022635328895E-2</v>
      </c>
      <c r="AJ173" s="22">
        <f>Constants!$H64*'Activity data'!AJ6*Constants!$H82*FracLEACHMM*MMLeachEF*NtoN2O*kgtoGg</f>
        <v>2.7592612752858615E-2</v>
      </c>
      <c r="AK173" s="22">
        <f>Constants!$H64*'Activity data'!AK6*Constants!$H82*FracLEACHMM*MMLeachEF*NtoN2O*kgtoGg</f>
        <v>2.7631242565513824E-2</v>
      </c>
      <c r="AL173" s="22">
        <f>Constants!$H64*'Activity data'!AL6*Constants!$H82*FracLEACHMM*MMLeachEF*NtoN2O*kgtoGg</f>
        <v>2.6782969625151597E-2</v>
      </c>
      <c r="AM173" s="22">
        <f>Constants!$H64*'Activity data'!AM6*Constants!$H82*FracLEACHMM*MMLeachEF*NtoN2O*kgtoGg</f>
        <v>2.7003571923621898E-2</v>
      </c>
      <c r="AN173" s="22">
        <f>Constants!$H64*'Activity data'!AN6*Constants!$H82*FracLEACHMM*MMLeachEF*NtoN2O*kgtoGg</f>
        <v>2.7205857966406888E-2</v>
      </c>
      <c r="AO173" s="22">
        <f>Constants!$H64*'Activity data'!AO6*Constants!$H82*FracLEACHMM*MMLeachEF*NtoN2O*kgtoGg</f>
        <v>2.7413268566275666E-2</v>
      </c>
      <c r="AP173" s="22">
        <f>Constants!$H64*'Activity data'!AP6*Constants!$H82*FracLEACHMM*MMLeachEF*NtoN2O*kgtoGg</f>
        <v>2.7663122848397212E-2</v>
      </c>
      <c r="AQ173" s="22">
        <f>Constants!$H64*'Activity data'!AQ6*Constants!$H82*FracLEACHMM*MMLeachEF*NtoN2O*kgtoGg</f>
        <v>2.7917665495949085E-2</v>
      </c>
      <c r="AR173" s="22">
        <f>Constants!$H64*'Activity data'!AR6*Constants!$H82*FracLEACHMM*MMLeachEF*NtoN2O*kgtoGg</f>
        <v>2.8165518357852821E-2</v>
      </c>
      <c r="AS173" s="22">
        <f>Constants!$H64*'Activity data'!AS6*Constants!$H82*FracLEACHMM*MMLeachEF*NtoN2O*kgtoGg</f>
        <v>2.8408412733149407E-2</v>
      </c>
      <c r="AT173" s="22">
        <f>Constants!$H64*'Activity data'!AT6*Constants!$H82*FracLEACHMM*MMLeachEF*NtoN2O*kgtoGg</f>
        <v>2.8670036614621735E-2</v>
      </c>
      <c r="AU173" s="22">
        <f>Constants!$H64*'Activity data'!AU6*Constants!$H82*FracLEACHMM*MMLeachEF*NtoN2O*kgtoGg</f>
        <v>2.8917789287710199E-2</v>
      </c>
      <c r="AV173" s="22">
        <f>Constants!$H64*'Activity data'!AV6*Constants!$H82*FracLEACHMM*MMLeachEF*NtoN2O*kgtoGg</f>
        <v>2.9174428676514319E-2</v>
      </c>
      <c r="AW173" s="22">
        <f>Constants!$H64*'Activity data'!AW6*Constants!$H82*FracLEACHMM*MMLeachEF*NtoN2O*kgtoGg</f>
        <v>2.9469283915752844E-2</v>
      </c>
      <c r="AX173" s="22">
        <f>Constants!$H64*'Activity data'!AX6*Constants!$H82*FracLEACHMM*MMLeachEF*NtoN2O*kgtoGg</f>
        <v>2.979041226626589E-2</v>
      </c>
      <c r="AY173" s="22">
        <f>Constants!$H64*'Activity data'!AY6*Constants!$H82*FracLEACHMM*MMLeachEF*NtoN2O*kgtoGg</f>
        <v>3.0124286946394699E-2</v>
      </c>
      <c r="AZ173" s="22">
        <f>Constants!$H64*'Activity data'!AZ6*Constants!$H82*FracLEACHMM*MMLeachEF*NtoN2O*kgtoGg</f>
        <v>3.0170924136884231E-2</v>
      </c>
      <c r="BA173" s="22">
        <f>Constants!$H64*'Activity data'!BA6*Constants!$H82*FracLEACHMM*MMLeachEF*NtoN2O*kgtoGg</f>
        <v>1.6153218420962612E-2</v>
      </c>
      <c r="BB173" s="22">
        <f>Constants!$H64*'Activity data'!BB6*Constants!$H82*FracLEACHMM*MMLeachEF*NtoN2O*kgtoGg</f>
        <v>1.6165099014506461E-2</v>
      </c>
      <c r="BC173" s="22">
        <f>Constants!$H64*'Activity data'!BC6*Constants!$H82*FracLEACHMM*MMLeachEF*NtoN2O*kgtoGg</f>
        <v>1.6178540267475436E-2</v>
      </c>
      <c r="BD173" s="22">
        <f>Constants!$H64*'Activity data'!BD6*Constants!$H82*FracLEACHMM*MMLeachEF*NtoN2O*kgtoGg</f>
        <v>1.6193482859768772E-2</v>
      </c>
      <c r="BE173" s="22">
        <f>Constants!$H64*'Activity data'!BE6*Constants!$H82*FracLEACHMM*MMLeachEF*NtoN2O*kgtoGg</f>
        <v>1.6209872039886029E-2</v>
      </c>
      <c r="BF173" s="22">
        <f>Constants!$H64*'Activity data'!BF6*Constants!$H82*FracLEACHMM*MMLeachEF*NtoN2O*kgtoGg</f>
        <v>1.6227657191900897E-2</v>
      </c>
      <c r="BG173" s="22">
        <f>Constants!$H64*'Activity data'!BG6*Constants!$H82*FracLEACHMM*MMLeachEF*NtoN2O*kgtoGg</f>
        <v>1.6235314231230563E-2</v>
      </c>
      <c r="BH173" s="22">
        <f>Constants!$H64*'Activity data'!BH6*Constants!$H82*FracLEACHMM*MMLeachEF*NtoN2O*kgtoGg</f>
        <v>1.6244200616272676E-2</v>
      </c>
      <c r="BI173" s="22">
        <f>Constants!$H64*'Activity data'!BI6*Constants!$H82*FracLEACHMM*MMLeachEF*NtoN2O*kgtoGg</f>
        <v>1.6254273409760815E-2</v>
      </c>
      <c r="BJ173" s="22">
        <f>Constants!$H64*'Activity data'!BJ6*Constants!$H82*FracLEACHMM*MMLeachEF*NtoN2O*kgtoGg</f>
        <v>1.6265492604329402E-2</v>
      </c>
      <c r="BK173" s="22">
        <f>Constants!$H64*'Activity data'!BK6*Constants!$H82*FracLEACHMM*MMLeachEF*NtoN2O*kgtoGg</f>
        <v>1.6277820873888151E-2</v>
      </c>
      <c r="BL173" s="22">
        <f>Constants!$H64*'Activity data'!BL6*Constants!$H82*FracLEACHMM*MMLeachEF*NtoN2O*kgtoGg</f>
        <v>1.6279622458709387E-2</v>
      </c>
      <c r="BM173" s="22">
        <f>Constants!$H64*'Activity data'!BM6*Constants!$H82*FracLEACHMM*MMLeachEF*NtoN2O*kgtoGg</f>
        <v>1.6282407265987193E-2</v>
      </c>
      <c r="BN173" s="22">
        <f>Constants!$H64*'Activity data'!BN6*Constants!$H82*FracLEACHMM*MMLeachEF*NtoN2O*kgtoGg</f>
        <v>1.6286142706639629E-2</v>
      </c>
      <c r="BO173" s="22">
        <f>Constants!$H64*'Activity data'!BO6*Constants!$H82*FracLEACHMM*MMLeachEF*NtoN2O*kgtoGg</f>
        <v>1.6290798176882768E-2</v>
      </c>
      <c r="BP173" s="22">
        <f>Constants!$H64*'Activity data'!BP6*Constants!$H82*FracLEACHMM*MMLeachEF*NtoN2O*kgtoGg</f>
        <v>1.6296344905722616E-2</v>
      </c>
    </row>
    <row r="174" spans="1:68" x14ac:dyDescent="0.25">
      <c r="A174" t="str">
        <f t="shared" si="58"/>
        <v>3C Aggregated and non-CO2 emissions on land</v>
      </c>
      <c r="B174" t="str">
        <f t="shared" si="65"/>
        <v>3C6 Indirect N2O from manure management (N2O)</v>
      </c>
      <c r="C174" t="str">
        <f t="shared" ref="C174:C187" si="67">C173</f>
        <v>Leaching/runoff</v>
      </c>
      <c r="D174" t="str">
        <f t="shared" si="66"/>
        <v xml:space="preserve"> - Non-lactating</v>
      </c>
      <c r="E174" t="str">
        <f t="shared" si="64"/>
        <v>Leaching/runoff - Non-lactating</v>
      </c>
      <c r="F174" t="str">
        <f t="shared" si="47"/>
        <v>N2O</v>
      </c>
      <c r="G174" t="str">
        <f t="shared" si="48"/>
        <v>Gg N2O</v>
      </c>
      <c r="H174" s="22">
        <f>Constants!$H65*'Activity data'!H7*Constants!$H83*FracLEACHMM*MMLeachEF*NtoN2O*kgtoGg</f>
        <v>1.3979514898089494E-3</v>
      </c>
      <c r="I174" s="22">
        <f>Constants!$H65*'Activity data'!I7*Constants!$H83*FracLEACHMM*MMLeachEF*NtoN2O*kgtoGg</f>
        <v>1.5889950208478596E-3</v>
      </c>
      <c r="J174" s="22">
        <f>Constants!$H65*'Activity data'!J7*Constants!$H83*FracLEACHMM*MMLeachEF*NtoN2O*kgtoGg</f>
        <v>1.3744848308576839E-3</v>
      </c>
      <c r="K174" s="22">
        <f>Constants!$H65*'Activity data'!K7*Constants!$H83*FracLEACHMM*MMLeachEF*NtoN2O*kgtoGg</f>
        <v>1.4384418628230538E-3</v>
      </c>
      <c r="L174" s="22">
        <f>Constants!$H65*'Activity data'!L7*Constants!$H83*FracLEACHMM*MMLeachEF*NtoN2O*kgtoGg</f>
        <v>1.280618195052625E-3</v>
      </c>
      <c r="M174" s="22">
        <f>Constants!$H65*'Activity data'!M7*Constants!$H83*FracLEACHMM*MMLeachEF*NtoN2O*kgtoGg</f>
        <v>1.3915085449205237E-3</v>
      </c>
      <c r="N174" s="22">
        <f>Constants!$H65*'Activity data'!N7*Constants!$H83*FracLEACHMM*MMLeachEF*NtoN2O*kgtoGg</f>
        <v>1.4149752038717883E-3</v>
      </c>
      <c r="O174" s="22">
        <f>Constants!$H65*'Activity data'!O7*Constants!$H83*FracLEACHMM*MMLeachEF*NtoN2O*kgtoGg</f>
        <v>1.367214321112061E-3</v>
      </c>
      <c r="P174" s="22">
        <f>Constants!$H65*'Activity data'!P7*Constants!$H83*FracLEACHMM*MMLeachEF*NtoN2O*kgtoGg</f>
        <v>1.2968143442582665E-3</v>
      </c>
      <c r="Q174" s="22">
        <f>Constants!$H65*'Activity data'!Q7*Constants!$H83*FracLEACHMM*MMLeachEF*NtoN2O*kgtoGg</f>
        <v>1.3663867562548632E-3</v>
      </c>
      <c r="R174" s="22">
        <f>Constants!$H65*'Activity data'!R7*Constants!$H83*FracLEACHMM*MMLeachEF*NtoN2O*kgtoGg</f>
        <v>1.6934424258273329E-3</v>
      </c>
      <c r="S174" s="22">
        <f>Constants!$H65*'Activity data'!S7*Constants!$H83*FracLEACHMM*MMLeachEF*NtoN2O*kgtoGg</f>
        <v>1.669975766876068E-3</v>
      </c>
      <c r="T174" s="22">
        <f>Constants!$H65*'Activity data'!T7*Constants!$H83*FracLEACHMM*MMLeachEF*NtoN2O*kgtoGg</f>
        <v>1.5331360634853108E-3</v>
      </c>
      <c r="U174" s="22">
        <f>Constants!$H65*'Activity data'!U7*Constants!$H83*FracLEACHMM*MMLeachEF*NtoN2O*kgtoGg</f>
        <v>1.2968143442582665E-3</v>
      </c>
      <c r="V174" s="22">
        <f>Constants!$H65*'Activity data'!V7*Constants!$H83*FracLEACHMM*MMLeachEF*NtoN2O*kgtoGg</f>
        <v>1.21021821819883E-3</v>
      </c>
      <c r="W174" s="22">
        <f>Constants!$H65*'Activity data'!W7*Constants!$H83*FracLEACHMM*MMLeachEF*NtoN2O*kgtoGg</f>
        <v>1.3211085680667292E-3</v>
      </c>
      <c r="X174" s="22">
        <f>Constants!$H65*'Activity data'!X7*Constants!$H83*FracLEACHMM*MMLeachEF*NtoN2O*kgtoGg</f>
        <v>1.3049124188610874E-3</v>
      </c>
      <c r="Y174" s="22">
        <f>Constants!$H65*'Activity data'!Y7*Constants!$H83*FracLEACHMM*MMLeachEF*NtoN2O*kgtoGg</f>
        <v>1.3202810032095314E-3</v>
      </c>
      <c r="Z174" s="22">
        <f>Constants!$H65*'Activity data'!Z7*Constants!$H83*FracLEACHMM*MMLeachEF*NtoN2O*kgtoGg</f>
        <v>1.5445443975169234E-3</v>
      </c>
      <c r="AA174" s="22">
        <f>Constants!$H65*'Activity data'!AA7*Constants!$H83*FracLEACHMM*MMLeachEF*NtoN2O*kgtoGg</f>
        <v>1.6076738646250944E-3</v>
      </c>
      <c r="AB174" s="22">
        <f>Constants!$H65*'Activity data'!AB7*Constants!$H83*FracLEACHMM*MMLeachEF*NtoN2O*kgtoGg</f>
        <v>1.6076738646250944E-3</v>
      </c>
      <c r="AC174" s="22">
        <f>Constants!$H65*'Activity data'!AC7*Constants!$H83*FracLEACHMM*MMLeachEF*NtoN2O*kgtoGg</f>
        <v>1.5129796639628376E-3</v>
      </c>
      <c r="AD174" s="22">
        <f>Constants!$H65*'Activity data'!AD7*Constants!$H83*FracLEACHMM*MMLeachEF*NtoN2O*kgtoGg</f>
        <v>1.4509917151188738E-3</v>
      </c>
      <c r="AE174" s="22">
        <f>Constants!$H65*'Activity data'!AE7*Constants!$H83*FracLEACHMM*MMLeachEF*NtoN2O*kgtoGg</f>
        <v>1.4600171283433256E-3</v>
      </c>
      <c r="AF174" s="22">
        <f>Constants!$H65*'Activity data'!AF7*Constants!$H83*FracLEACHMM*MMLeachEF*NtoN2O*kgtoGg</f>
        <v>1.4662222242646174E-3</v>
      </c>
      <c r="AG174" s="22">
        <f>Constants!$H65*'Activity data'!AG7*Constants!$H83*FracLEACHMM*MMLeachEF*NtoN2O*kgtoGg</f>
        <v>1.4681682336871716E-3</v>
      </c>
      <c r="AH174" s="22">
        <f>Constants!$H65*'Activity data'!AH7*Constants!$H83*FracLEACHMM*MMLeachEF*NtoN2O*kgtoGg</f>
        <v>1.4708008940557055E-3</v>
      </c>
      <c r="AI174" s="22">
        <f>Constants!$H65*'Activity data'!AI7*Constants!$H83*FracLEACHMM*MMLeachEF*NtoN2O*kgtoGg</f>
        <v>1.4765674204667426E-3</v>
      </c>
      <c r="AJ174" s="22">
        <f>Constants!$H65*'Activity data'!AJ7*Constants!$H83*FracLEACHMM*MMLeachEF*NtoN2O*kgtoGg</f>
        <v>1.4834809007190539E-3</v>
      </c>
      <c r="AK174" s="22">
        <f>Constants!$H65*'Activity data'!AK7*Constants!$H83*FracLEACHMM*MMLeachEF*NtoN2O*kgtoGg</f>
        <v>1.485557782302746E-3</v>
      </c>
      <c r="AL174" s="22">
        <f>Constants!$H65*'Activity data'!AL7*Constants!$H83*FracLEACHMM*MMLeachEF*NtoN2O*kgtoGg</f>
        <v>1.439951492065016E-3</v>
      </c>
      <c r="AM174" s="22">
        <f>Constants!$H65*'Activity data'!AM7*Constants!$H83*FracLEACHMM*MMLeachEF*NtoN2O*kgtoGg</f>
        <v>1.4518118874312183E-3</v>
      </c>
      <c r="AN174" s="22">
        <f>Constants!$H65*'Activity data'!AN7*Constants!$H83*FracLEACHMM*MMLeachEF*NtoN2O*kgtoGg</f>
        <v>1.4626875331571739E-3</v>
      </c>
      <c r="AO174" s="22">
        <f>Constants!$H65*'Activity data'!AO7*Constants!$H83*FracLEACHMM*MMLeachEF*NtoN2O*kgtoGg</f>
        <v>1.4738386940228707E-3</v>
      </c>
      <c r="AP174" s="22">
        <f>Constants!$H65*'Activity data'!AP7*Constants!$H83*FracLEACHMM*MMLeachEF*NtoN2O*kgtoGg</f>
        <v>1.4872717842057417E-3</v>
      </c>
      <c r="AQ174" s="22">
        <f>Constants!$H65*'Activity data'!AQ7*Constants!$H83*FracLEACHMM*MMLeachEF*NtoN2O*kgtoGg</f>
        <v>1.5009569382520018E-3</v>
      </c>
      <c r="AR174" s="22">
        <f>Constants!$H65*'Activity data'!AR7*Constants!$H83*FracLEACHMM*MMLeachEF*NtoN2O*kgtoGg</f>
        <v>1.5142824246825921E-3</v>
      </c>
      <c r="AS174" s="22">
        <f>Constants!$H65*'Activity data'!AS7*Constants!$H83*FracLEACHMM*MMLeachEF*NtoN2O*kgtoGg</f>
        <v>1.5273413245364029E-3</v>
      </c>
      <c r="AT174" s="22">
        <f>Constants!$H65*'Activity data'!AT7*Constants!$H83*FracLEACHMM*MMLeachEF*NtoN2O*kgtoGg</f>
        <v>1.5414071919050509E-3</v>
      </c>
      <c r="AU174" s="22">
        <f>Constants!$H65*'Activity data'!AU7*Constants!$H83*FracLEACHMM*MMLeachEF*NtoN2O*kgtoGg</f>
        <v>1.5547272918144282E-3</v>
      </c>
      <c r="AV174" s="22">
        <f>Constants!$H65*'Activity data'!AV7*Constants!$H83*FracLEACHMM*MMLeachEF*NtoN2O*kgtoGg</f>
        <v>1.568525174424283E-3</v>
      </c>
      <c r="AW174" s="22">
        <f>Constants!$H65*'Activity data'!AW7*Constants!$H83*FracLEACHMM*MMLeachEF*NtoN2O*kgtoGg</f>
        <v>1.5843776824779826E-3</v>
      </c>
      <c r="AX174" s="22">
        <f>Constants!$H65*'Activity data'!AX7*Constants!$H83*FracLEACHMM*MMLeachEF*NtoN2O*kgtoGg</f>
        <v>1.6016427301533305E-3</v>
      </c>
      <c r="AY174" s="22">
        <f>Constants!$H65*'Activity data'!AY7*Constants!$H83*FracLEACHMM*MMLeachEF*NtoN2O*kgtoGg</f>
        <v>1.6195930676455074E-3</v>
      </c>
      <c r="AZ174" s="22">
        <f>Constants!$H65*'Activity data'!AZ7*Constants!$H83*FracLEACHMM*MMLeachEF*NtoN2O*kgtoGg</f>
        <v>1.6221004554733333E-3</v>
      </c>
      <c r="BA174" s="22">
        <f>Constants!$H65*'Activity data'!BA7*Constants!$H83*FracLEACHMM*MMLeachEF*NtoN2O*kgtoGg</f>
        <v>8.6845675787475588E-4</v>
      </c>
      <c r="BB174" s="22">
        <f>Constants!$H65*'Activity data'!BB7*Constants!$H83*FracLEACHMM*MMLeachEF*NtoN2O*kgtoGg</f>
        <v>8.6909550251881536E-4</v>
      </c>
      <c r="BC174" s="22">
        <f>Constants!$H65*'Activity data'!BC7*Constants!$H83*FracLEACHMM*MMLeachEF*NtoN2O*kgtoGg</f>
        <v>8.6981815398498119E-4</v>
      </c>
      <c r="BD174" s="22">
        <f>Constants!$H65*'Activity data'!BD7*Constants!$H83*FracLEACHMM*MMLeachEF*NtoN2O*kgtoGg</f>
        <v>8.7062152300526781E-4</v>
      </c>
      <c r="BE174" s="22">
        <f>Constants!$H65*'Activity data'!BE7*Constants!$H83*FracLEACHMM*MMLeachEF*NtoN2O*kgtoGg</f>
        <v>8.7150266593653532E-4</v>
      </c>
      <c r="BF174" s="22">
        <f>Constants!$H65*'Activity data'!BF7*Constants!$H83*FracLEACHMM*MMLeachEF*NtoN2O*kgtoGg</f>
        <v>8.7245886147940626E-4</v>
      </c>
      <c r="BG174" s="22">
        <f>Constants!$H65*'Activity data'!BG7*Constants!$H83*FracLEACHMM*MMLeachEF*NtoN2O*kgtoGg</f>
        <v>8.728705322299566E-4</v>
      </c>
      <c r="BH174" s="22">
        <f>Constants!$H65*'Activity data'!BH7*Constants!$H83*FracLEACHMM*MMLeachEF*NtoN2O*kgtoGg</f>
        <v>8.7334829715220207E-4</v>
      </c>
      <c r="BI174" s="22">
        <f>Constants!$H65*'Activity data'!BI7*Constants!$H83*FracLEACHMM*MMLeachEF*NtoN2O*kgtoGg</f>
        <v>8.7388984777991429E-4</v>
      </c>
      <c r="BJ174" s="22">
        <f>Constants!$H65*'Activity data'!BJ7*Constants!$H83*FracLEACHMM*MMLeachEF*NtoN2O*kgtoGg</f>
        <v>8.7449303316917135E-4</v>
      </c>
      <c r="BK174" s="22">
        <f>Constants!$H65*'Activity data'!BK7*Constants!$H83*FracLEACHMM*MMLeachEF*NtoN2O*kgtoGg</f>
        <v>8.7515584653132471E-4</v>
      </c>
      <c r="BL174" s="22">
        <f>Constants!$H65*'Activity data'!BL7*Constants!$H83*FracLEACHMM*MMLeachEF*NtoN2O*kgtoGg</f>
        <v>8.7525270639368256E-4</v>
      </c>
      <c r="BM174" s="22">
        <f>Constants!$H65*'Activity data'!BM7*Constants!$H83*FracLEACHMM*MMLeachEF*NtoN2O*kgtoGg</f>
        <v>8.7540242793132E-4</v>
      </c>
      <c r="BN174" s="22">
        <f>Constants!$H65*'Activity data'!BN7*Constants!$H83*FracLEACHMM*MMLeachEF*NtoN2O*kgtoGg</f>
        <v>8.7560325903467736E-4</v>
      </c>
      <c r="BO174" s="22">
        <f>Constants!$H65*'Activity data'!BO7*Constants!$H83*FracLEACHMM*MMLeachEF*NtoN2O*kgtoGg</f>
        <v>8.7585355433115466E-4</v>
      </c>
      <c r="BP174" s="22">
        <f>Constants!$H65*'Activity data'!BP7*Constants!$H83*FracLEACHMM*MMLeachEF*NtoN2O*kgtoGg</f>
        <v>8.7615176698571857E-4</v>
      </c>
    </row>
    <row r="175" spans="1:68" x14ac:dyDescent="0.25">
      <c r="A175" t="str">
        <f t="shared" si="58"/>
        <v>3C Aggregated and non-CO2 emissions on land</v>
      </c>
      <c r="B175" t="str">
        <f t="shared" si="65"/>
        <v>3C6 Indirect N2O from manure management (N2O)</v>
      </c>
      <c r="C175" t="str">
        <f t="shared" si="67"/>
        <v>Leaching/runoff</v>
      </c>
      <c r="D175" t="str">
        <f t="shared" si="66"/>
        <v xml:space="preserve"> - Commercial cattle</v>
      </c>
      <c r="E175" t="str">
        <f t="shared" si="64"/>
        <v>Leaching/runoff - Commercial cattle</v>
      </c>
      <c r="F175" t="str">
        <f t="shared" si="47"/>
        <v>N2O</v>
      </c>
      <c r="G175" t="str">
        <f t="shared" si="48"/>
        <v>Gg N2O</v>
      </c>
      <c r="H175" s="22">
        <f>Constants!$H66*'Activity data'!H8*Constants!$H84*FracLEACHMM*MMLeachEF*NtoN2O*kgtoGg</f>
        <v>3.4690652670041754E-2</v>
      </c>
      <c r="I175" s="22">
        <f>Constants!$H66*'Activity data'!I8*Constants!$H84*FracLEACHMM*MMLeachEF*NtoN2O*kgtoGg</f>
        <v>3.3193333041221122E-2</v>
      </c>
      <c r="J175" s="22">
        <f>Constants!$H66*'Activity data'!J8*Constants!$H84*FracLEACHMM*MMLeachEF*NtoN2O*kgtoGg</f>
        <v>3.3181272656772016E-2</v>
      </c>
      <c r="K175" s="22">
        <f>Constants!$H66*'Activity data'!K8*Constants!$H84*FracLEACHMM*MMLeachEF*NtoN2O*kgtoGg</f>
        <v>3.104225915494201E-2</v>
      </c>
      <c r="L175" s="22">
        <f>Constants!$H66*'Activity data'!L8*Constants!$H84*FracLEACHMM*MMLeachEF*NtoN2O*kgtoGg</f>
        <v>3.1978083922954904E-2</v>
      </c>
      <c r="M175" s="22">
        <f>Constants!$H66*'Activity data'!M8*Constants!$H84*FracLEACHMM*MMLeachEF*NtoN2O*kgtoGg</f>
        <v>3.2705167353371874E-2</v>
      </c>
      <c r="N175" s="22">
        <f>Constants!$H66*'Activity data'!N8*Constants!$H84*FracLEACHMM*MMLeachEF*NtoN2O*kgtoGg</f>
        <v>3.4061884272349123E-2</v>
      </c>
      <c r="O175" s="22">
        <f>Constants!$H66*'Activity data'!O8*Constants!$H84*FracLEACHMM*MMLeachEF*NtoN2O*kgtoGg</f>
        <v>3.5352192745309145E-2</v>
      </c>
      <c r="P175" s="22">
        <f>Constants!$H66*'Activity data'!P8*Constants!$H84*FracLEACHMM*MMLeachEF*NtoN2O*kgtoGg</f>
        <v>3.565838402476177E-2</v>
      </c>
      <c r="Q175" s="22">
        <f>Constants!$H66*'Activity data'!Q8*Constants!$H84*FracLEACHMM*MMLeachEF*NtoN2O*kgtoGg</f>
        <v>3.5081368416034292E-2</v>
      </c>
      <c r="R175" s="22">
        <f>Constants!$H66*'Activity data'!R8*Constants!$H84*FracLEACHMM*MMLeachEF*NtoN2O*kgtoGg</f>
        <v>3.2698246626430616E-2</v>
      </c>
      <c r="S175" s="22">
        <f>Constants!$H66*'Activity data'!S8*Constants!$H84*FracLEACHMM*MMLeachEF*NtoN2O*kgtoGg</f>
        <v>3.2868160650378141E-2</v>
      </c>
      <c r="T175" s="22">
        <f>Constants!$H66*'Activity data'!T8*Constants!$H84*FracLEACHMM*MMLeachEF*NtoN2O*kgtoGg</f>
        <v>3.0633427388426761E-2</v>
      </c>
      <c r="U175" s="22">
        <f>Constants!$H66*'Activity data'!U8*Constants!$H84*FracLEACHMM*MMLeachEF*NtoN2O*kgtoGg</f>
        <v>3.1434705082669871E-2</v>
      </c>
      <c r="V175" s="22">
        <f>Constants!$H66*'Activity data'!V8*Constants!$H84*FracLEACHMM*MMLeachEF*NtoN2O*kgtoGg</f>
        <v>3.1724510523335088E-2</v>
      </c>
      <c r="W175" s="22">
        <f>Constants!$H66*'Activity data'!W8*Constants!$H84*FracLEACHMM*MMLeachEF*NtoN2O*kgtoGg</f>
        <v>3.1993604670874635E-2</v>
      </c>
      <c r="X175" s="22">
        <f>Constants!$H66*'Activity data'!X8*Constants!$H84*FracLEACHMM*MMLeachEF*NtoN2O*kgtoGg</f>
        <v>3.1264791058722347E-2</v>
      </c>
      <c r="Y175" s="22">
        <f>Constants!$H66*'Activity data'!Y8*Constants!$H84*FracLEACHMM*MMLeachEF*NtoN2O*kgtoGg</f>
        <v>3.2180769624477204E-2</v>
      </c>
      <c r="Z175" s="22">
        <f>Constants!$H66*'Activity data'!Z8*Constants!$H84*FracLEACHMM*MMLeachEF*NtoN2O*kgtoGg</f>
        <v>3.1286531555542049E-2</v>
      </c>
      <c r="AA175" s="22">
        <f>Constants!$H66*'Activity data'!AA8*Constants!$H84*FracLEACHMM*MMLeachEF*NtoN2O*kgtoGg</f>
        <v>3.0761209366798613E-2</v>
      </c>
      <c r="AB175" s="22">
        <f>Constants!$H66*'Activity data'!AB8*Constants!$H84*FracLEACHMM*MMLeachEF*NtoN2O*kgtoGg</f>
        <v>3.0664507898168103E-2</v>
      </c>
      <c r="AC175" s="22">
        <f>Constants!$H66*'Activity data'!AC8*Constants!$H84*FracLEACHMM*MMLeachEF*NtoN2O*kgtoGg</f>
        <v>3.0554397945153043E-2</v>
      </c>
      <c r="AD175" s="22">
        <f>Constants!$H66*'Activity data'!AD8*Constants!$H84*FracLEACHMM*MMLeachEF*NtoN2O*kgtoGg</f>
        <v>3.0570019073752373E-2</v>
      </c>
      <c r="AE175" s="22">
        <f>Constants!$H66*'Activity data'!AE8*Constants!$H84*FracLEACHMM*MMLeachEF*NtoN2O*kgtoGg</f>
        <v>3.0367387601048686E-2</v>
      </c>
      <c r="AF175" s="22">
        <f>Constants!$H66*'Activity data'!AF8*Constants!$H84*FracLEACHMM*MMLeachEF*NtoN2O*kgtoGg</f>
        <v>2.9940152719715736E-2</v>
      </c>
      <c r="AG175" s="22">
        <f>Constants!$H66*'Activity data'!AG8*Constants!$H84*FracLEACHMM*MMLeachEF*NtoN2O*kgtoGg</f>
        <v>2.9219989120948371E-2</v>
      </c>
      <c r="AH175" s="22">
        <f>Constants!$H66*'Activity data'!AH8*Constants!$H84*FracLEACHMM*MMLeachEF*NtoN2O*kgtoGg</f>
        <v>2.852126892952573E-2</v>
      </c>
      <c r="AI175" s="22">
        <f>Constants!$H66*'Activity data'!AI8*Constants!$H84*FracLEACHMM*MMLeachEF*NtoN2O*kgtoGg</f>
        <v>2.7983855033028606E-2</v>
      </c>
      <c r="AJ175" s="22">
        <f>Constants!$H66*'Activity data'!AJ8*Constants!$H84*FracLEACHMM*MMLeachEF*NtoN2O*kgtoGg</f>
        <v>2.749776002622362E-2</v>
      </c>
      <c r="AK175" s="22">
        <f>Constants!$H66*'Activity data'!AK8*Constants!$H84*FracLEACHMM*MMLeachEF*NtoN2O*kgtoGg</f>
        <v>2.6733493787157343E-2</v>
      </c>
      <c r="AL175" s="22">
        <f>Constants!$H66*'Activity data'!AL8*Constants!$H84*FracLEACHMM*MMLeachEF*NtoN2O*kgtoGg</f>
        <v>2.3446894467457041E-2</v>
      </c>
      <c r="AM175" s="22">
        <f>Constants!$H66*'Activity data'!AM8*Constants!$H84*FracLEACHMM*MMLeachEF*NtoN2O*kgtoGg</f>
        <v>2.3670380965491088E-2</v>
      </c>
      <c r="AN175" s="22">
        <f>Constants!$H66*'Activity data'!AN8*Constants!$H84*FracLEACHMM*MMLeachEF*NtoN2O*kgtoGg</f>
        <v>2.3821608196176489E-2</v>
      </c>
      <c r="AO175" s="22">
        <f>Constants!$H66*'Activity data'!AO8*Constants!$H84*FracLEACHMM*MMLeachEF*NtoN2O*kgtoGg</f>
        <v>2.3967916654645059E-2</v>
      </c>
      <c r="AP175" s="22">
        <f>Constants!$H66*'Activity data'!AP8*Constants!$H84*FracLEACHMM*MMLeachEF*NtoN2O*kgtoGg</f>
        <v>2.4209875654048162E-2</v>
      </c>
      <c r="AQ175" s="22">
        <f>Constants!$H66*'Activity data'!AQ8*Constants!$H84*FracLEACHMM*MMLeachEF*NtoN2O*kgtoGg</f>
        <v>2.4443860278754486E-2</v>
      </c>
      <c r="AR175" s="22">
        <f>Constants!$H66*'Activity data'!AR8*Constants!$H84*FracLEACHMM*MMLeachEF*NtoN2O*kgtoGg</f>
        <v>2.4689509012601481E-2</v>
      </c>
      <c r="AS175" s="22">
        <f>Constants!$H66*'Activity data'!AS8*Constants!$H84*FracLEACHMM*MMLeachEF*NtoN2O*kgtoGg</f>
        <v>2.4903367961433137E-2</v>
      </c>
      <c r="AT175" s="22">
        <f>Constants!$H66*'Activity data'!AT8*Constants!$H84*FracLEACHMM*MMLeachEF*NtoN2O*kgtoGg</f>
        <v>2.5146768445041517E-2</v>
      </c>
      <c r="AU175" s="22">
        <f>Constants!$H66*'Activity data'!AU8*Constants!$H84*FracLEACHMM*MMLeachEF*NtoN2O*kgtoGg</f>
        <v>2.5337237570324824E-2</v>
      </c>
      <c r="AV175" s="22">
        <f>Constants!$H66*'Activity data'!AV8*Constants!$H84*FracLEACHMM*MMLeachEF*NtoN2O*kgtoGg</f>
        <v>2.5532932848471888E-2</v>
      </c>
      <c r="AW175" s="22">
        <f>Constants!$H66*'Activity data'!AW8*Constants!$H84*FracLEACHMM*MMLeachEF*NtoN2O*kgtoGg</f>
        <v>2.5624080551254102E-2</v>
      </c>
      <c r="AX175" s="22">
        <f>Constants!$H66*'Activity data'!AX8*Constants!$H84*FracLEACHMM*MMLeachEF*NtoN2O*kgtoGg</f>
        <v>2.5749062544479791E-2</v>
      </c>
      <c r="AY175" s="22">
        <f>Constants!$H66*'Activity data'!AY8*Constants!$H84*FracLEACHMM*MMLeachEF*NtoN2O*kgtoGg</f>
        <v>2.5873562186552946E-2</v>
      </c>
      <c r="AZ175" s="22">
        <f>Constants!$H66*'Activity data'!AZ8*Constants!$H84*FracLEACHMM*MMLeachEF*NtoN2O*kgtoGg</f>
        <v>2.53248358805277E-2</v>
      </c>
      <c r="BA175" s="22">
        <f>Constants!$H66*'Activity data'!BA8*Constants!$H84*FracLEACHMM*MMLeachEF*NtoN2O*kgtoGg</f>
        <v>-5.9737784992688692E-3</v>
      </c>
      <c r="BB175" s="22">
        <f>Constants!$H66*'Activity data'!BB8*Constants!$H84*FracLEACHMM*MMLeachEF*NtoN2O*kgtoGg</f>
        <v>-5.8352076147992196E-3</v>
      </c>
      <c r="BC175" s="22">
        <f>Constants!$H66*'Activity data'!BC8*Constants!$H84*FracLEACHMM*MMLeachEF*NtoN2O*kgtoGg</f>
        <v>-5.6988404422584063E-3</v>
      </c>
      <c r="BD175" s="22">
        <f>Constants!$H66*'Activity data'!BD8*Constants!$H84*FracLEACHMM*MMLeachEF*NtoN2O*kgtoGg</f>
        <v>-5.5645615630153409E-3</v>
      </c>
      <c r="BE175" s="22">
        <f>Constants!$H66*'Activity data'!BE8*Constants!$H84*FracLEACHMM*MMLeachEF*NtoN2O*kgtoGg</f>
        <v>-5.4322635380194221E-3</v>
      </c>
      <c r="BF175" s="22">
        <f>Constants!$H66*'Activity data'!BF8*Constants!$H84*FracLEACHMM*MMLeachEF*NtoN2O*kgtoGg</f>
        <v>-5.3018461683791993E-3</v>
      </c>
      <c r="BG175" s="22">
        <f>Constants!$H66*'Activity data'!BG8*Constants!$H84*FracLEACHMM*MMLeachEF*NtoN2O*kgtoGg</f>
        <v>-5.1961071833315654E-3</v>
      </c>
      <c r="BH175" s="22">
        <f>Constants!$H66*'Activity data'!BH8*Constants!$H84*FracLEACHMM*MMLeachEF*NtoN2O*kgtoGg</f>
        <v>-5.0919652579405755E-3</v>
      </c>
      <c r="BI175" s="22">
        <f>Constants!$H66*'Activity data'!BI8*Constants!$H84*FracLEACHMM*MMLeachEF*NtoN2O*kgtoGg</f>
        <v>-4.9893480213799102E-3</v>
      </c>
      <c r="BJ175" s="22">
        <f>Constants!$H66*'Activity data'!BJ8*Constants!$H84*FracLEACHMM*MMLeachEF*NtoN2O*kgtoGg</f>
        <v>-4.8881876039149471E-3</v>
      </c>
      <c r="BK175" s="22">
        <f>Constants!$H66*'Activity data'!BK8*Constants!$H84*FracLEACHMM*MMLeachEF*NtoN2O*kgtoGg</f>
        <v>-4.7884202636879142E-3</v>
      </c>
      <c r="BL175" s="22">
        <f>Constants!$H66*'Activity data'!BL8*Constants!$H84*FracLEACHMM*MMLeachEF*NtoN2O*kgtoGg</f>
        <v>-4.6867985813226392E-3</v>
      </c>
      <c r="BM175" s="22">
        <f>Constants!$H66*'Activity data'!BM8*Constants!$H84*FracLEACHMM*MMLeachEF*NtoN2O*kgtoGg</f>
        <v>-4.5865743266878378E-3</v>
      </c>
      <c r="BN175" s="22">
        <f>Constants!$H66*'Activity data'!BN8*Constants!$H84*FracLEACHMM*MMLeachEF*NtoN2O*kgtoGg</f>
        <v>-4.4876925271481486E-3</v>
      </c>
      <c r="BO175" s="22">
        <f>Constants!$H66*'Activity data'!BO8*Constants!$H84*FracLEACHMM*MMLeachEF*NtoN2O*kgtoGg</f>
        <v>-4.3901012986055903E-3</v>
      </c>
      <c r="BP175" s="22">
        <f>Constants!$H66*'Activity data'!BP8*Constants!$H84*FracLEACHMM*MMLeachEF*NtoN2O*kgtoGg</f>
        <v>-4.2937516147018842E-3</v>
      </c>
    </row>
    <row r="176" spans="1:68" x14ac:dyDescent="0.25">
      <c r="A176" t="str">
        <f t="shared" si="58"/>
        <v>3C Aggregated and non-CO2 emissions on land</v>
      </c>
      <c r="B176" t="str">
        <f t="shared" si="65"/>
        <v>3C6 Indirect N2O from manure management (N2O)</v>
      </c>
      <c r="C176" t="str">
        <f t="shared" si="67"/>
        <v>Leaching/runoff</v>
      </c>
      <c r="D176" t="str">
        <f t="shared" si="66"/>
        <v xml:space="preserve"> - Subsistence cattle</v>
      </c>
      <c r="E176" t="str">
        <f t="shared" si="64"/>
        <v>Leaching/runoff - Subsistence cattle</v>
      </c>
      <c r="F176" t="str">
        <f t="shared" si="47"/>
        <v>N2O</v>
      </c>
      <c r="G176" t="str">
        <f t="shared" si="48"/>
        <v>Gg N2O</v>
      </c>
      <c r="H176" s="22">
        <f>Constants!$H67*'Activity data'!H9*Constants!$H85*FracLEACHMM*MMLeachEF*NtoN2O*kgtoGg</f>
        <v>3.4964529273561099E-2</v>
      </c>
      <c r="I176" s="22">
        <f>Constants!$H67*'Activity data'!I9*Constants!$H85*FracLEACHMM*MMLeachEF*NtoN2O*kgtoGg</f>
        <v>3.7097441734693364E-2</v>
      </c>
      <c r="J176" s="22">
        <f>Constants!$H67*'Activity data'!J9*Constants!$H85*FracLEACHMM*MMLeachEF*NtoN2O*kgtoGg</f>
        <v>3.8849476970623444E-2</v>
      </c>
      <c r="K176" s="22">
        <f>Constants!$H67*'Activity data'!K9*Constants!$H85*FracLEACHMM*MMLeachEF*NtoN2O*kgtoGg</f>
        <v>3.8392424300380798E-2</v>
      </c>
      <c r="L176" s="22">
        <f>Constants!$H67*'Activity data'!L9*Constants!$H85*FracLEACHMM*MMLeachEF*NtoN2O*kgtoGg</f>
        <v>3.3441020372752331E-2</v>
      </c>
      <c r="M176" s="22">
        <f>Constants!$H67*'Activity data'!M9*Constants!$H85*FracLEACHMM*MMLeachEF*NtoN2O*kgtoGg</f>
        <v>3.2298388697145762E-2</v>
      </c>
      <c r="N176" s="22">
        <f>Constants!$H67*'Activity data'!N9*Constants!$H85*FracLEACHMM*MMLeachEF*NtoN2O*kgtoGg</f>
        <v>3.3212494037631018E-2</v>
      </c>
      <c r="O176" s="22">
        <f>Constants!$H67*'Activity data'!O9*Constants!$H85*FracLEACHMM*MMLeachEF*NtoN2O*kgtoGg</f>
        <v>3.4736002938439779E-2</v>
      </c>
      <c r="P176" s="22">
        <f>Constants!$H67*'Activity data'!P9*Constants!$H85*FracLEACHMM*MMLeachEF*NtoN2O*kgtoGg</f>
        <v>3.6868915399572051E-2</v>
      </c>
      <c r="Q176" s="22">
        <f>Constants!$H67*'Activity data'!Q9*Constants!$H85*FracLEACHMM*MMLeachEF*NtoN2O*kgtoGg</f>
        <v>3.8392424300380798E-2</v>
      </c>
      <c r="R176" s="22">
        <f>Constants!$H67*'Activity data'!R9*Constants!$H85*FracLEACHMM*MMLeachEF*NtoN2O*kgtoGg</f>
        <v>3.7478318959895555E-2</v>
      </c>
      <c r="S176" s="22">
        <f>Constants!$H67*'Activity data'!S9*Constants!$H85*FracLEACHMM*MMLeachEF*NtoN2O*kgtoGg</f>
        <v>3.6564213619410299E-2</v>
      </c>
      <c r="T176" s="22">
        <f>Constants!$H67*'Activity data'!T9*Constants!$H85*FracLEACHMM*MMLeachEF*NtoN2O*kgtoGg</f>
        <v>4.1439442101998333E-2</v>
      </c>
      <c r="U176" s="22">
        <f>Constants!$H67*'Activity data'!U9*Constants!$H85*FracLEACHMM*MMLeachEF*NtoN2O*kgtoGg</f>
        <v>4.242972288752403E-2</v>
      </c>
      <c r="V176" s="22">
        <f>Constants!$H67*'Activity data'!V9*Constants!$H85*FracLEACHMM*MMLeachEF*NtoN2O*kgtoGg</f>
        <v>4.1744143882160085E-2</v>
      </c>
      <c r="W176" s="22">
        <f>Constants!$H67*'Activity data'!W9*Constants!$H85*FracLEACHMM*MMLeachEF*NtoN2O*kgtoGg</f>
        <v>4.0525336761513077E-2</v>
      </c>
      <c r="X176" s="22">
        <f>Constants!$H67*'Activity data'!X9*Constants!$H85*FracLEACHMM*MMLeachEF*NtoN2O*kgtoGg</f>
        <v>4.1820319327200518E-2</v>
      </c>
      <c r="Y176" s="22">
        <f>Constants!$H67*'Activity data'!Y9*Constants!$H85*FracLEACHMM*MMLeachEF*NtoN2O*kgtoGg</f>
        <v>4.3496179118090159E-2</v>
      </c>
      <c r="Z176" s="22">
        <f>Constants!$H67*'Activity data'!Z9*Constants!$H85*FracLEACHMM*MMLeachEF*NtoN2O*kgtoGg</f>
        <v>4.2810600112726221E-2</v>
      </c>
      <c r="AA176" s="22">
        <f>Constants!$H67*'Activity data'!AA9*Constants!$H85*FracLEACHMM*MMLeachEF*NtoN2O*kgtoGg</f>
        <v>4.235354744248359E-2</v>
      </c>
      <c r="AB176" s="22">
        <f>Constants!$H67*'Activity data'!AB9*Constants!$H85*FracLEACHMM*MMLeachEF*NtoN2O*kgtoGg</f>
        <v>4.1744143882160085E-2</v>
      </c>
      <c r="AC176" s="22">
        <f>Constants!$H67*'Activity data'!AC9*Constants!$H85*FracLEACHMM*MMLeachEF*NtoN2O*kgtoGg</f>
        <v>4.2048845662321838E-2</v>
      </c>
      <c r="AD176" s="22">
        <f>Constants!$H67*'Activity data'!AD9*Constants!$H85*FracLEACHMM*MMLeachEF*NtoN2O*kgtoGg</f>
        <v>4.0580733454567468E-2</v>
      </c>
      <c r="AE176" s="22">
        <f>Constants!$H67*'Activity data'!AE9*Constants!$H85*FracLEACHMM*MMLeachEF*NtoN2O*kgtoGg</f>
        <v>4.0311746583363478E-2</v>
      </c>
      <c r="AF176" s="22">
        <f>Constants!$H67*'Activity data'!AF9*Constants!$H85*FracLEACHMM*MMLeachEF*NtoN2O*kgtoGg</f>
        <v>3.9744605790940746E-2</v>
      </c>
      <c r="AG176" s="22">
        <f>Constants!$H67*'Activity data'!AG9*Constants!$H85*FracLEACHMM*MMLeachEF*NtoN2O*kgtoGg</f>
        <v>3.8788611390847182E-2</v>
      </c>
      <c r="AH176" s="22">
        <f>Constants!$H67*'Activity data'!AH9*Constants!$H85*FracLEACHMM*MMLeachEF*NtoN2O*kgtoGg</f>
        <v>3.7861082435793565E-2</v>
      </c>
      <c r="AI176" s="22">
        <f>Constants!$H67*'Activity data'!AI9*Constants!$H85*FracLEACHMM*MMLeachEF*NtoN2O*kgtoGg</f>
        <v>3.7147682485472483E-2</v>
      </c>
      <c r="AJ176" s="22">
        <f>Constants!$H67*'Activity data'!AJ9*Constants!$H85*FracLEACHMM*MMLeachEF*NtoN2O*kgtoGg</f>
        <v>3.6502406738108395E-2</v>
      </c>
      <c r="AK176" s="22">
        <f>Constants!$H67*'Activity data'!AK9*Constants!$H85*FracLEACHMM*MMLeachEF*NtoN2O*kgtoGg</f>
        <v>3.5487867477892406E-2</v>
      </c>
      <c r="AL176" s="22">
        <f>Constants!$H67*'Activity data'!AL9*Constants!$H85*FracLEACHMM*MMLeachEF*NtoN2O*kgtoGg</f>
        <v>3.1125010829260641E-2</v>
      </c>
      <c r="AM176" s="22">
        <f>Constants!$H67*'Activity data'!AM9*Constants!$H85*FracLEACHMM*MMLeachEF*NtoN2O*kgtoGg</f>
        <v>3.142168208698979E-2</v>
      </c>
      <c r="AN176" s="22">
        <f>Constants!$H67*'Activity data'!AN9*Constants!$H85*FracLEACHMM*MMLeachEF*NtoN2O*kgtoGg</f>
        <v>3.1622431452723296E-2</v>
      </c>
      <c r="AO176" s="22">
        <f>Constants!$H67*'Activity data'!AO9*Constants!$H85*FracLEACHMM*MMLeachEF*NtoN2O*kgtoGg</f>
        <v>3.1816651303909434E-2</v>
      </c>
      <c r="AP176" s="22">
        <f>Constants!$H67*'Activity data'!AP9*Constants!$H85*FracLEACHMM*MMLeachEF*NtoN2O*kgtoGg</f>
        <v>3.2137844222959386E-2</v>
      </c>
      <c r="AQ176" s="22">
        <f>Constants!$H67*'Activity data'!AQ9*Constants!$H85*FracLEACHMM*MMLeachEF*NtoN2O*kgtoGg</f>
        <v>3.2448451411812178E-2</v>
      </c>
      <c r="AR176" s="22">
        <f>Constants!$H67*'Activity data'!AR9*Constants!$H85*FracLEACHMM*MMLeachEF*NtoN2O*kgtoGg</f>
        <v>3.2774542336637791E-2</v>
      </c>
      <c r="AS176" s="22">
        <f>Constants!$H67*'Activity data'!AS9*Constants!$H85*FracLEACHMM*MMLeachEF*NtoN2O*kgtoGg</f>
        <v>3.3058433327300053E-2</v>
      </c>
      <c r="AT176" s="22">
        <f>Constants!$H67*'Activity data'!AT9*Constants!$H85*FracLEACHMM*MMLeachEF*NtoN2O*kgtoGg</f>
        <v>3.3381539771041358E-2</v>
      </c>
      <c r="AU176" s="22">
        <f>Constants!$H67*'Activity data'!AU9*Constants!$H85*FracLEACHMM*MMLeachEF*NtoN2O*kgtoGg</f>
        <v>3.3634381510714434E-2</v>
      </c>
      <c r="AV176" s="22">
        <f>Constants!$H67*'Activity data'!AV9*Constants!$H85*FracLEACHMM*MMLeachEF*NtoN2O*kgtoGg</f>
        <v>3.3894160803021843E-2</v>
      </c>
      <c r="AW176" s="22">
        <f>Constants!$H67*'Activity data'!AW9*Constants!$H85*FracLEACHMM*MMLeachEF*NtoN2O*kgtoGg</f>
        <v>3.4015156495653814E-2</v>
      </c>
      <c r="AX176" s="22">
        <f>Constants!$H67*'Activity data'!AX9*Constants!$H85*FracLEACHMM*MMLeachEF*NtoN2O*kgtoGg</f>
        <v>3.4181066138741563E-2</v>
      </c>
      <c r="AY176" s="22">
        <f>Constants!$H67*'Activity data'!AY9*Constants!$H85*FracLEACHMM*MMLeachEF*NtoN2O*kgtoGg</f>
        <v>3.4346335475930106E-2</v>
      </c>
      <c r="AZ176" s="22">
        <f>Constants!$H67*'Activity data'!AZ9*Constants!$H85*FracLEACHMM*MMLeachEF*NtoN2O*kgtoGg</f>
        <v>3.3617918659748287E-2</v>
      </c>
      <c r="BA176" s="22">
        <f>Constants!$H67*'Activity data'!BA9*Constants!$H85*FracLEACHMM*MMLeachEF*NtoN2O*kgtoGg</f>
        <v>-7.9300020196454452E-3</v>
      </c>
      <c r="BB176" s="22">
        <f>Constants!$H67*'Activity data'!BB9*Constants!$H85*FracLEACHMM*MMLeachEF*NtoN2O*kgtoGg</f>
        <v>-7.7460535532195693E-3</v>
      </c>
      <c r="BC176" s="22">
        <f>Constants!$H67*'Activity data'!BC9*Constants!$H85*FracLEACHMM*MMLeachEF*NtoN2O*kgtoGg</f>
        <v>-7.565030444680417E-3</v>
      </c>
      <c r="BD176" s="22">
        <f>Constants!$H67*'Activity data'!BD9*Constants!$H85*FracLEACHMM*MMLeachEF*NtoN2O*kgtoGg</f>
        <v>-7.3867794794456746E-3</v>
      </c>
      <c r="BE176" s="22">
        <f>Constants!$H67*'Activity data'!BE9*Constants!$H85*FracLEACHMM*MMLeachEF*NtoN2O*kgtoGg</f>
        <v>-7.211158035573738E-3</v>
      </c>
      <c r="BF176" s="22">
        <f>Constants!$H67*'Activity data'!BF9*Constants!$H85*FracLEACHMM*MMLeachEF*NtoN2O*kgtoGg</f>
        <v>-7.038033102205285E-3</v>
      </c>
      <c r="BG176" s="22">
        <f>Constants!$H67*'Activity data'!BG9*Constants!$H85*FracLEACHMM*MMLeachEF*NtoN2O*kgtoGg</f>
        <v>-6.8976679438577443E-3</v>
      </c>
      <c r="BH176" s="22">
        <f>Constants!$H67*'Activity data'!BH9*Constants!$H85*FracLEACHMM*MMLeachEF*NtoN2O*kgtoGg</f>
        <v>-6.7594228316927426E-3</v>
      </c>
      <c r="BI176" s="22">
        <f>Constants!$H67*'Activity data'!BI9*Constants!$H85*FracLEACHMM*MMLeachEF*NtoN2O*kgtoGg</f>
        <v>-6.6232016957272714E-3</v>
      </c>
      <c r="BJ176" s="22">
        <f>Constants!$H67*'Activity data'!BJ9*Constants!$H85*FracLEACHMM*MMLeachEF*NtoN2O*kgtoGg</f>
        <v>-6.4889144410352007E-3</v>
      </c>
      <c r="BK176" s="22">
        <f>Constants!$H67*'Activity data'!BK9*Constants!$H85*FracLEACHMM*MMLeachEF*NtoN2O*kgtoGg</f>
        <v>-6.3564764523163604E-3</v>
      </c>
      <c r="BL176" s="22">
        <f>Constants!$H67*'Activity data'!BL9*Constants!$H85*FracLEACHMM*MMLeachEF*NtoN2O*kgtoGg</f>
        <v>-6.2215768830579691E-3</v>
      </c>
      <c r="BM176" s="22">
        <f>Constants!$H67*'Activity data'!BM9*Constants!$H85*FracLEACHMM*MMLeachEF*NtoN2O*kgtoGg</f>
        <v>-6.0885323549140658E-3</v>
      </c>
      <c r="BN176" s="22">
        <f>Constants!$H67*'Activity data'!BN9*Constants!$H85*FracLEACHMM*MMLeachEF*NtoN2O*kgtoGg</f>
        <v>-5.9572698934498708E-3</v>
      </c>
      <c r="BO176" s="22">
        <f>Constants!$H67*'Activity data'!BO9*Constants!$H85*FracLEACHMM*MMLeachEF*NtoN2O*kgtoGg</f>
        <v>-5.8277206241663026E-3</v>
      </c>
      <c r="BP176" s="22">
        <f>Constants!$H67*'Activity data'!BP9*Constants!$H85*FracLEACHMM*MMLeachEF*NtoN2O*kgtoGg</f>
        <v>-5.6998194661233492E-3</v>
      </c>
    </row>
    <row r="177" spans="1:68" x14ac:dyDescent="0.25">
      <c r="A177" t="str">
        <f t="shared" si="58"/>
        <v>3C Aggregated and non-CO2 emissions on land</v>
      </c>
      <c r="B177" t="str">
        <f t="shared" si="65"/>
        <v>3C6 Indirect N2O from manure management (N2O)</v>
      </c>
      <c r="C177" t="str">
        <f t="shared" si="67"/>
        <v>Leaching/runoff</v>
      </c>
      <c r="D177" t="str">
        <f t="shared" si="66"/>
        <v xml:space="preserve"> - Feedlot</v>
      </c>
      <c r="E177" t="str">
        <f t="shared" si="64"/>
        <v>Leaching/runoff - Feedlot</v>
      </c>
      <c r="F177" t="str">
        <f t="shared" si="47"/>
        <v>N2O</v>
      </c>
      <c r="G177" t="str">
        <f t="shared" si="48"/>
        <v>Gg N2O</v>
      </c>
      <c r="H177" s="22">
        <f>Constants!$H68*'Activity data'!H10*Constants!$H86*FracLEACHMM*MMLeachEF*NtoN2O*kgtoGg</f>
        <v>3.2554021499999995E-2</v>
      </c>
      <c r="I177" s="22">
        <f>Constants!$H68*'Activity data'!I10*Constants!$H86*FracLEACHMM*MMLeachEF*NtoN2O*kgtoGg</f>
        <v>3.2554021499999995E-2</v>
      </c>
      <c r="J177" s="22">
        <f>Constants!$H68*'Activity data'!J10*Constants!$H86*FracLEACHMM*MMLeachEF*NtoN2O*kgtoGg</f>
        <v>3.2554021499999995E-2</v>
      </c>
      <c r="K177" s="22">
        <f>Constants!$H68*'Activity data'!K10*Constants!$H86*FracLEACHMM*MMLeachEF*NtoN2O*kgtoGg</f>
        <v>3.2554021499999995E-2</v>
      </c>
      <c r="L177" s="22">
        <f>Constants!$H68*'Activity data'!L10*Constants!$H86*FracLEACHMM*MMLeachEF*NtoN2O*kgtoGg</f>
        <v>3.2554021499999995E-2</v>
      </c>
      <c r="M177" s="22">
        <f>Constants!$H68*'Activity data'!M10*Constants!$H86*FracLEACHMM*MMLeachEF*NtoN2O*kgtoGg</f>
        <v>3.2554021499999995E-2</v>
      </c>
      <c r="N177" s="22">
        <f>Constants!$H68*'Activity data'!N10*Constants!$H86*FracLEACHMM*MMLeachEF*NtoN2O*kgtoGg</f>
        <v>3.2554021499999995E-2</v>
      </c>
      <c r="O177" s="22">
        <f>Constants!$H68*'Activity data'!O10*Constants!$H86*FracLEACHMM*MMLeachEF*NtoN2O*kgtoGg</f>
        <v>3.2554021499999995E-2</v>
      </c>
      <c r="P177" s="22">
        <f>Constants!$H68*'Activity data'!P10*Constants!$H86*FracLEACHMM*MMLeachEF*NtoN2O*kgtoGg</f>
        <v>3.2554021499999995E-2</v>
      </c>
      <c r="Q177" s="22">
        <f>Constants!$H68*'Activity data'!Q10*Constants!$H86*FracLEACHMM*MMLeachEF*NtoN2O*kgtoGg</f>
        <v>3.2554021499999995E-2</v>
      </c>
      <c r="R177" s="22">
        <f>Constants!$H68*'Activity data'!R10*Constants!$H86*FracLEACHMM*MMLeachEF*NtoN2O*kgtoGg</f>
        <v>3.2554021499999995E-2</v>
      </c>
      <c r="S177" s="22">
        <f>Constants!$H68*'Activity data'!S10*Constants!$H86*FracLEACHMM*MMLeachEF*NtoN2O*kgtoGg</f>
        <v>3.2554021499999995E-2</v>
      </c>
      <c r="T177" s="22">
        <f>Constants!$H68*'Activity data'!T10*Constants!$H86*FracLEACHMM*MMLeachEF*NtoN2O*kgtoGg</f>
        <v>3.2554021499999995E-2</v>
      </c>
      <c r="U177" s="22">
        <f>Constants!$H68*'Activity data'!U10*Constants!$H86*FracLEACHMM*MMLeachEF*NtoN2O*kgtoGg</f>
        <v>3.2554021499999995E-2</v>
      </c>
      <c r="V177" s="22">
        <f>Constants!$H68*'Activity data'!V10*Constants!$H86*FracLEACHMM*MMLeachEF*NtoN2O*kgtoGg</f>
        <v>3.2554021499999995E-2</v>
      </c>
      <c r="W177" s="22">
        <f>Constants!$H68*'Activity data'!W10*Constants!$H86*FracLEACHMM*MMLeachEF*NtoN2O*kgtoGg</f>
        <v>3.2554021499999995E-2</v>
      </c>
      <c r="X177" s="22">
        <f>Constants!$H68*'Activity data'!X10*Constants!$H86*FracLEACHMM*MMLeachEF*NtoN2O*kgtoGg</f>
        <v>3.2554021499999995E-2</v>
      </c>
      <c r="Y177" s="22">
        <f>Constants!$H68*'Activity data'!Y10*Constants!$H86*FracLEACHMM*MMLeachEF*NtoN2O*kgtoGg</f>
        <v>3.2554021499999995E-2</v>
      </c>
      <c r="Z177" s="22">
        <f>Constants!$H68*'Activity data'!Z10*Constants!$H86*FracLEACHMM*MMLeachEF*NtoN2O*kgtoGg</f>
        <v>3.0317695864706243E-2</v>
      </c>
      <c r="AA177" s="22">
        <f>Constants!$H68*'Activity data'!AA10*Constants!$H86*FracLEACHMM*MMLeachEF*NtoN2O*kgtoGg</f>
        <v>3.1067342637581243E-2</v>
      </c>
      <c r="AB177" s="22">
        <f>Constants!$H68*'Activity data'!AB10*Constants!$H86*FracLEACHMM*MMLeachEF*NtoN2O*kgtoGg</f>
        <v>3.0990059132174997E-2</v>
      </c>
      <c r="AC177" s="22">
        <f>Constants!$H68*'Activity data'!AC10*Constants!$H86*FracLEACHMM*MMLeachEF*NtoN2O*kgtoGg</f>
        <v>3.5793934653262499E-2</v>
      </c>
      <c r="AD177" s="22">
        <f>Constants!$H68*'Activity data'!AD10*Constants!$H86*FracLEACHMM*MMLeachEF*NtoN2O*kgtoGg</f>
        <v>4.2198184999711216E-2</v>
      </c>
      <c r="AE177" s="22">
        <f>Constants!$H68*'Activity data'!AE10*Constants!$H86*FracLEACHMM*MMLeachEF*NtoN2O*kgtoGg</f>
        <v>4.3701080723593189E-2</v>
      </c>
      <c r="AF177" s="22">
        <f>Constants!$H68*'Activity data'!AF10*Constants!$H86*FracLEACHMM*MMLeachEF*NtoN2O*kgtoGg</f>
        <v>4.4893970631746632E-2</v>
      </c>
      <c r="AG177" s="22">
        <f>Constants!$H68*'Activity data'!AG10*Constants!$H86*FracLEACHMM*MMLeachEF*NtoN2O*kgtoGg</f>
        <v>4.5631666148342777E-2</v>
      </c>
      <c r="AH177" s="22">
        <f>Constants!$H68*'Activity data'!AH10*Constants!$H86*FracLEACHMM*MMLeachEF*NtoN2O*kgtoGg</f>
        <v>4.6370901653410727E-2</v>
      </c>
      <c r="AI177" s="22">
        <f>Constants!$H68*'Activity data'!AI10*Constants!$H86*FracLEACHMM*MMLeachEF*NtoN2O*kgtoGg</f>
        <v>4.7352594214128713E-2</v>
      </c>
      <c r="AJ177" s="22">
        <f>Constants!$H68*'Activity data'!AJ10*Constants!$H86*FracLEACHMM*MMLeachEF*NtoN2O*kgtoGg</f>
        <v>4.8416104778857959E-2</v>
      </c>
      <c r="AK177" s="22">
        <f>Constants!$H68*'Activity data'!AK10*Constants!$H86*FracLEACHMM*MMLeachEF*NtoN2O*kgtoGg</f>
        <v>4.8969568240860781E-2</v>
      </c>
      <c r="AL177" s="22">
        <f>Constants!$H68*'Activity data'!AL10*Constants!$H86*FracLEACHMM*MMLeachEF*NtoN2O*kgtoGg</f>
        <v>4.467643167473432E-2</v>
      </c>
      <c r="AM177" s="22">
        <f>Constants!$H68*'Activity data'!AM10*Constants!$H86*FracLEACHMM*MMLeachEF*NtoN2O*kgtoGg</f>
        <v>4.6180091777624298E-2</v>
      </c>
      <c r="AN177" s="22">
        <f>Constants!$H68*'Activity data'!AN10*Constants!$H86*FracLEACHMM*MMLeachEF*NtoN2O*kgtoGg</f>
        <v>4.7570527161609366E-2</v>
      </c>
      <c r="AO177" s="22">
        <f>Constants!$H68*'Activity data'!AO10*Constants!$H86*FracLEACHMM*MMLeachEF*NtoN2O*kgtoGg</f>
        <v>4.8976478875928542E-2</v>
      </c>
      <c r="AP177" s="22">
        <f>Constants!$H68*'Activity data'!AP10*Constants!$H86*FracLEACHMM*MMLeachEF*NtoN2O*kgtoGg</f>
        <v>5.0608575947889443E-2</v>
      </c>
      <c r="AQ177" s="22">
        <f>Constants!$H68*'Activity data'!AQ10*Constants!$H86*FracLEACHMM*MMLeachEF*NtoN2O*kgtoGg</f>
        <v>5.2259990749301093E-2</v>
      </c>
      <c r="AR177" s="22">
        <f>Constants!$H68*'Activity data'!AR10*Constants!$H86*FracLEACHMM*MMLeachEF*NtoN2O*kgtoGg</f>
        <v>5.3973742651481194E-2</v>
      </c>
      <c r="AS177" s="22">
        <f>Constants!$H68*'Activity data'!AS10*Constants!$H86*FracLEACHMM*MMLeachEF*NtoN2O*kgtoGg</f>
        <v>5.5655662348968654E-2</v>
      </c>
      <c r="AT177" s="22">
        <f>Constants!$H68*'Activity data'!AT10*Constants!$H86*FracLEACHMM*MMLeachEF*NtoN2O*kgtoGg</f>
        <v>5.7442412303445836E-2</v>
      </c>
      <c r="AU177" s="22">
        <f>Constants!$H68*'Activity data'!AU10*Constants!$H86*FracLEACHMM*MMLeachEF*NtoN2O*kgtoGg</f>
        <v>5.9147142754678653E-2</v>
      </c>
      <c r="AV177" s="22">
        <f>Constants!$H68*'Activity data'!AV10*Constants!$H86*FracLEACHMM*MMLeachEF*NtoN2O*kgtoGg</f>
        <v>6.0901819824646548E-2</v>
      </c>
      <c r="AW177" s="22">
        <f>Constants!$H68*'Activity data'!AW10*Constants!$H86*FracLEACHMM*MMLeachEF*NtoN2O*kgtoGg</f>
        <v>6.3135419327645992E-2</v>
      </c>
      <c r="AX177" s="22">
        <f>Constants!$H68*'Activity data'!AX10*Constants!$H86*FracLEACHMM*MMLeachEF*NtoN2O*kgtoGg</f>
        <v>6.5540351764294846E-2</v>
      </c>
      <c r="AY177" s="22">
        <f>Constants!$H68*'Activity data'!AY10*Constants!$H86*FracLEACHMM*MMLeachEF*NtoN2O*kgtoGg</f>
        <v>6.8039701590190294E-2</v>
      </c>
      <c r="AZ177" s="22">
        <f>Constants!$H68*'Activity data'!AZ10*Constants!$H86*FracLEACHMM*MMLeachEF*NtoN2O*kgtoGg</f>
        <v>6.8810814245314753E-2</v>
      </c>
      <c r="BA177" s="22">
        <f>Constants!$H68*'Activity data'!BA10*Constants!$H86*FracLEACHMM*MMLeachEF*NtoN2O*kgtoGg</f>
        <v>-1.6773235166111743E-2</v>
      </c>
      <c r="BB177" s="22">
        <f>Constants!$H68*'Activity data'!BB10*Constants!$H86*FracLEACHMM*MMLeachEF*NtoN2O*kgtoGg</f>
        <v>-1.6933400933561566E-2</v>
      </c>
      <c r="BC177" s="22">
        <f>Constants!$H68*'Activity data'!BC10*Constants!$H86*FracLEACHMM*MMLeachEF*NtoN2O*kgtoGg</f>
        <v>-1.7094868952670969E-2</v>
      </c>
      <c r="BD177" s="22">
        <f>Constants!$H68*'Activity data'!BD10*Constants!$H86*FracLEACHMM*MMLeachEF*NtoN2O*kgtoGg</f>
        <v>-1.7257651547387617E-2</v>
      </c>
      <c r="BE177" s="22">
        <f>Constants!$H68*'Activity data'!BE10*Constants!$H86*FracLEACHMM*MMLeachEF*NtoN2O*kgtoGg</f>
        <v>-1.7421761152310457E-2</v>
      </c>
      <c r="BF177" s="22">
        <f>Constants!$H68*'Activity data'!BF10*Constants!$H86*FracLEACHMM*MMLeachEF*NtoN2O*kgtoGg</f>
        <v>-1.7587210313649345E-2</v>
      </c>
      <c r="BG177" s="22">
        <f>Constants!$H68*'Activity data'!BG10*Constants!$H86*FracLEACHMM*MMLeachEF*NtoN2O*kgtoGg</f>
        <v>-1.7719984819695212E-2</v>
      </c>
      <c r="BH177" s="22">
        <f>Constants!$H68*'Activity data'!BH10*Constants!$H86*FracLEACHMM*MMLeachEF*NtoN2O*kgtoGg</f>
        <v>-1.7853675202067487E-2</v>
      </c>
      <c r="BI177" s="22">
        <f>Constants!$H68*'Activity data'!BI10*Constants!$H86*FracLEACHMM*MMLeachEF*NtoN2O*kgtoGg</f>
        <v>-1.7988288709386402E-2</v>
      </c>
      <c r="BJ177" s="22">
        <f>Constants!$H68*'Activity data'!BJ10*Constants!$H86*FracLEACHMM*MMLeachEF*NtoN2O*kgtoGg</f>
        <v>-1.8123832644983004E-2</v>
      </c>
      <c r="BK177" s="22">
        <f>Constants!$H68*'Activity data'!BK10*Constants!$H86*FracLEACHMM*MMLeachEF*NtoN2O*kgtoGg</f>
        <v>-1.8260314367299166E-2</v>
      </c>
      <c r="BL177" s="22">
        <f>Constants!$H68*'Activity data'!BL10*Constants!$H86*FracLEACHMM*MMLeachEF*NtoN2O*kgtoGg</f>
        <v>-1.8385237574275969E-2</v>
      </c>
      <c r="BM177" s="22">
        <f>Constants!$H68*'Activity data'!BM10*Constants!$H86*FracLEACHMM*MMLeachEF*NtoN2O*kgtoGg</f>
        <v>-1.8510879729427106E-2</v>
      </c>
      <c r="BN177" s="22">
        <f>Constants!$H68*'Activity data'!BN10*Constants!$H86*FracLEACHMM*MMLeachEF*NtoN2O*kgtoGg</f>
        <v>-1.8637245588774352E-2</v>
      </c>
      <c r="BO177" s="22">
        <f>Constants!$H68*'Activity data'!BO10*Constants!$H86*FracLEACHMM*MMLeachEF*NtoN2O*kgtoGg</f>
        <v>-1.8764339938161633E-2</v>
      </c>
      <c r="BP177" s="22">
        <f>Constants!$H68*'Activity data'!BP10*Constants!$H86*FracLEACHMM*MMLeachEF*NtoN2O*kgtoGg</f>
        <v>-1.8892167593435472E-2</v>
      </c>
    </row>
    <row r="178" spans="1:68" x14ac:dyDescent="0.25">
      <c r="A178" t="str">
        <f t="shared" si="58"/>
        <v>3C Aggregated and non-CO2 emissions on land</v>
      </c>
      <c r="B178" t="str">
        <f t="shared" si="65"/>
        <v>3C6 Indirect N2O from manure management (N2O)</v>
      </c>
      <c r="C178" t="str">
        <f t="shared" si="67"/>
        <v>Leaching/runoff</v>
      </c>
      <c r="D178" t="str">
        <f t="shared" si="66"/>
        <v xml:space="preserve"> - Commercial sheep</v>
      </c>
      <c r="E178" t="str">
        <f t="shared" si="64"/>
        <v>Leaching/runoff - Commercial sheep</v>
      </c>
      <c r="F178" t="str">
        <f t="shared" si="47"/>
        <v>N2O</v>
      </c>
      <c r="G178" t="str">
        <f t="shared" si="48"/>
        <v>Gg N2O</v>
      </c>
      <c r="H178" s="22">
        <f>Constants!$H69*'Activity data'!H11*Constants!$H87*FracLEACHMM*MMLeachEF*NtoN2O*kgtoGg</f>
        <v>6.9270979206507962E-3</v>
      </c>
      <c r="I178" s="22">
        <f>Constants!$H69*'Activity data'!I11*Constants!$H87*FracLEACHMM*MMLeachEF*NtoN2O*kgtoGg</f>
        <v>6.6156222878065631E-3</v>
      </c>
      <c r="J178" s="22">
        <f>Constants!$H69*'Activity data'!J11*Constants!$H87*FracLEACHMM*MMLeachEF*NtoN2O*kgtoGg</f>
        <v>6.3422723815345083E-3</v>
      </c>
      <c r="K178" s="22">
        <f>Constants!$H69*'Activity data'!K11*Constants!$H87*FracLEACHMM*MMLeachEF*NtoN2O*kgtoGg</f>
        <v>5.9314387945930795E-3</v>
      </c>
      <c r="L178" s="22">
        <f>Constants!$H69*'Activity data'!L11*Constants!$H87*FracLEACHMM*MMLeachEF*NtoN2O*kgtoGg</f>
        <v>5.9732615613177133E-3</v>
      </c>
      <c r="M178" s="22">
        <f>Constants!$H69*'Activity data'!M11*Constants!$H87*FracLEACHMM*MMLeachEF*NtoN2O*kgtoGg</f>
        <v>5.8877675077922183E-3</v>
      </c>
      <c r="N178" s="22">
        <f>Constants!$H69*'Activity data'!N11*Constants!$H87*FracLEACHMM*MMLeachEF*NtoN2O*kgtoGg</f>
        <v>5.90740803360213E-3</v>
      </c>
      <c r="O178" s="22">
        <f>Constants!$H69*'Activity data'!O11*Constants!$H87*FracLEACHMM*MMLeachEF*NtoN2O*kgtoGg</f>
        <v>5.7789358883043596E-3</v>
      </c>
      <c r="P178" s="22">
        <f>Constants!$H69*'Activity data'!P11*Constants!$H87*FracLEACHMM*MMLeachEF*NtoN2O*kgtoGg</f>
        <v>5.7948793739618174E-3</v>
      </c>
      <c r="Q178" s="22">
        <f>Constants!$H69*'Activity data'!Q11*Constants!$H87*FracLEACHMM*MMLeachEF*NtoN2O*kgtoGg</f>
        <v>5.6525433280923453E-3</v>
      </c>
      <c r="R178" s="22">
        <f>Constants!$H69*'Activity data'!R11*Constants!$H87*FracLEACHMM*MMLeachEF*NtoN2O*kgtoGg</f>
        <v>5.449899314735971E-3</v>
      </c>
      <c r="S178" s="22">
        <f>Constants!$H69*'Activity data'!S11*Constants!$H87*FracLEACHMM*MMLeachEF*NtoN2O*kgtoGg</f>
        <v>5.3140330891332929E-3</v>
      </c>
      <c r="T178" s="22">
        <f>Constants!$H69*'Activity data'!T11*Constants!$H87*FracLEACHMM*MMLeachEF*NtoN2O*kgtoGg</f>
        <v>5.2253041254744018E-3</v>
      </c>
      <c r="U178" s="22">
        <f>Constants!$H69*'Activity data'!U11*Constants!$H87*FracLEACHMM*MMLeachEF*NtoN2O*kgtoGg</f>
        <v>5.2435582612271421E-3</v>
      </c>
      <c r="V178" s="22">
        <f>Constants!$H69*'Activity data'!V11*Constants!$H87*FracLEACHMM*MMLeachEF*NtoN2O*kgtoGg</f>
        <v>5.1502079973776843E-3</v>
      </c>
      <c r="W178" s="22">
        <f>Constants!$H69*'Activity data'!W11*Constants!$H87*FracLEACHMM*MMLeachEF*NtoN2O*kgtoGg</f>
        <v>5.1379615518726812E-3</v>
      </c>
      <c r="X178" s="22">
        <f>Constants!$H69*'Activity data'!X11*Constants!$H87*FracLEACHMM*MMLeachEF*NtoN2O*kgtoGg</f>
        <v>5.0707216340999273E-3</v>
      </c>
      <c r="Y178" s="22">
        <f>Constants!$H69*'Activity data'!Y11*Constants!$H87*FracLEACHMM*MMLeachEF*NtoN2O*kgtoGg</f>
        <v>5.0658692688998318E-3</v>
      </c>
      <c r="Z178" s="22">
        <f>Constants!$H69*'Activity data'!Z11*Constants!$H87*FracLEACHMM*MMLeachEF*NtoN2O*kgtoGg</f>
        <v>5.0822748845763448E-3</v>
      </c>
      <c r="AA178" s="22">
        <f>Constants!$H69*'Activity data'!AA11*Constants!$H87*FracLEACHMM*MMLeachEF*NtoN2O*kgtoGg</f>
        <v>5.0642518138331325E-3</v>
      </c>
      <c r="AB178" s="22">
        <f>Constants!$H69*'Activity data'!AB11*Constants!$H87*FracLEACHMM*MMLeachEF*NtoN2O*kgtoGg</f>
        <v>4.9662802497931072E-3</v>
      </c>
      <c r="AC178" s="22">
        <f>Constants!$H69*'Activity data'!AC11*Constants!$H87*FracLEACHMM*MMLeachEF*NtoN2O*kgtoGg</f>
        <v>4.9274613281923407E-3</v>
      </c>
      <c r="AD178" s="22">
        <f>Constants!$H69*'Activity data'!AD11*Constants!$H87*FracLEACHMM*MMLeachEF*NtoN2O*kgtoGg</f>
        <v>4.3944700668161743E-3</v>
      </c>
      <c r="AE178" s="22">
        <f>Constants!$H69*'Activity data'!AE11*Constants!$H87*FracLEACHMM*MMLeachEF*NtoN2O*kgtoGg</f>
        <v>4.3968698493422791E-3</v>
      </c>
      <c r="AF178" s="22">
        <f>Constants!$H69*'Activity data'!AF11*Constants!$H87*FracLEACHMM*MMLeachEF*NtoN2O*kgtoGg</f>
        <v>4.4022434234010565E-3</v>
      </c>
      <c r="AG178" s="22">
        <f>Constants!$H69*'Activity data'!AG11*Constants!$H87*FracLEACHMM*MMLeachEF*NtoN2O*kgtoGg</f>
        <v>4.4103317804749962E-3</v>
      </c>
      <c r="AH178" s="22">
        <f>Constants!$H69*'Activity data'!AH11*Constants!$H87*FracLEACHMM*MMLeachEF*NtoN2O*kgtoGg</f>
        <v>4.4212431364047738E-3</v>
      </c>
      <c r="AI178" s="22">
        <f>Constants!$H69*'Activity data'!AI11*Constants!$H87*FracLEACHMM*MMLeachEF*NtoN2O*kgtoGg</f>
        <v>4.4349890691963833E-3</v>
      </c>
      <c r="AJ178" s="22">
        <f>Constants!$H69*'Activity data'!AJ11*Constants!$H87*FracLEACHMM*MMLeachEF*NtoN2O*kgtoGg</f>
        <v>4.4503014810886657E-3</v>
      </c>
      <c r="AK178" s="22">
        <f>Constants!$H69*'Activity data'!AK11*Constants!$H87*FracLEACHMM*MMLeachEF*NtoN2O*kgtoGg</f>
        <v>4.4668966507282254E-3</v>
      </c>
      <c r="AL178" s="22">
        <f>Constants!$H69*'Activity data'!AL11*Constants!$H87*FracLEACHMM*MMLeachEF*NtoN2O*kgtoGg</f>
        <v>4.4824913305812559E-3</v>
      </c>
      <c r="AM178" s="22">
        <f>Constants!$H69*'Activity data'!AM11*Constants!$H87*FracLEACHMM*MMLeachEF*NtoN2O*kgtoGg</f>
        <v>4.4890055303365281E-3</v>
      </c>
      <c r="AN178" s="22">
        <f>Constants!$H69*'Activity data'!AN11*Constants!$H87*FracLEACHMM*MMLeachEF*NtoN2O*kgtoGg</f>
        <v>4.4965644629605924E-3</v>
      </c>
      <c r="AO178" s="22">
        <f>Constants!$H69*'Activity data'!AO11*Constants!$H87*FracLEACHMM*MMLeachEF*NtoN2O*kgtoGg</f>
        <v>4.5051665785440084E-3</v>
      </c>
      <c r="AP178" s="22">
        <f>Constants!$H69*'Activity data'!AP11*Constants!$H87*FracLEACHMM*MMLeachEF*NtoN2O*kgtoGg</f>
        <v>4.5148564456586847E-3</v>
      </c>
      <c r="AQ178" s="22">
        <f>Constants!$H69*'Activity data'!AQ11*Constants!$H87*FracLEACHMM*MMLeachEF*NtoN2O*kgtoGg</f>
        <v>4.525478721327544E-3</v>
      </c>
      <c r="AR178" s="22">
        <f>Constants!$H69*'Activity data'!AR11*Constants!$H87*FracLEACHMM*MMLeachEF*NtoN2O*kgtoGg</f>
        <v>4.5320175420941466E-3</v>
      </c>
      <c r="AS178" s="22">
        <f>Constants!$H69*'Activity data'!AS11*Constants!$H87*FracLEACHMM*MMLeachEF*NtoN2O*kgtoGg</f>
        <v>4.5393215398995043E-3</v>
      </c>
      <c r="AT178" s="22">
        <f>Constants!$H69*'Activity data'!AT11*Constants!$H87*FracLEACHMM*MMLeachEF*NtoN2O*kgtoGg</f>
        <v>4.5474172205527642E-3</v>
      </c>
      <c r="AU178" s="22">
        <f>Constants!$H69*'Activity data'!AU11*Constants!$H87*FracLEACHMM*MMLeachEF*NtoN2O*kgtoGg</f>
        <v>4.5561801987217551E-3</v>
      </c>
      <c r="AV178" s="22">
        <f>Constants!$H69*'Activity data'!AV11*Constants!$H87*FracLEACHMM*MMLeachEF*NtoN2O*kgtoGg</f>
        <v>4.5656418072393947E-3</v>
      </c>
      <c r="AW178" s="22">
        <f>Constants!$H69*'Activity data'!AW11*Constants!$H87*FracLEACHMM*MMLeachEF*NtoN2O*kgtoGg</f>
        <v>4.5718705604296328E-3</v>
      </c>
      <c r="AX178" s="22">
        <f>Constants!$H69*'Activity data'!AX11*Constants!$H87*FracLEACHMM*MMLeachEF*NtoN2O*kgtoGg</f>
        <v>4.5787544823923942E-3</v>
      </c>
      <c r="AY178" s="22">
        <f>Constants!$H69*'Activity data'!AY11*Constants!$H87*FracLEACHMM*MMLeachEF*NtoN2O*kgtoGg</f>
        <v>4.586231662580295E-3</v>
      </c>
      <c r="AZ178" s="22">
        <f>Constants!$H69*'Activity data'!AZ11*Constants!$H87*FracLEACHMM*MMLeachEF*NtoN2O*kgtoGg</f>
        <v>4.5934555722856032E-3</v>
      </c>
      <c r="BA178" s="22">
        <f>Constants!$H69*'Activity data'!BA11*Constants!$H87*FracLEACHMM*MMLeachEF*NtoN2O*kgtoGg</f>
        <v>4.562571195274273E-3</v>
      </c>
      <c r="BB178" s="22">
        <f>Constants!$H69*'Activity data'!BB11*Constants!$H87*FracLEACHMM*MMLeachEF*NtoN2O*kgtoGg</f>
        <v>4.5669572651403133E-3</v>
      </c>
      <c r="BC178" s="22">
        <f>Constants!$H69*'Activity data'!BC11*Constants!$H87*FracLEACHMM*MMLeachEF*NtoN2O*kgtoGg</f>
        <v>4.5717973149633755E-3</v>
      </c>
      <c r="BD178" s="22">
        <f>Constants!$H69*'Activity data'!BD11*Constants!$H87*FracLEACHMM*MMLeachEF*NtoN2O*kgtoGg</f>
        <v>4.5770741937615714E-3</v>
      </c>
      <c r="BE178" s="22">
        <f>Constants!$H69*'Activity data'!BE11*Constants!$H87*FracLEACHMM*MMLeachEF*NtoN2O*kgtoGg</f>
        <v>4.5827720762171521E-3</v>
      </c>
      <c r="BF178" s="22">
        <f>Constants!$H69*'Activity data'!BF11*Constants!$H87*FracLEACHMM*MMLeachEF*NtoN2O*kgtoGg</f>
        <v>4.5888763368810139E-3</v>
      </c>
      <c r="BG178" s="22">
        <f>Constants!$H69*'Activity data'!BG11*Constants!$H87*FracLEACHMM*MMLeachEF*NtoN2O*kgtoGg</f>
        <v>4.5918387401172314E-3</v>
      </c>
      <c r="BH178" s="22">
        <f>Constants!$H69*'Activity data'!BH11*Constants!$H87*FracLEACHMM*MMLeachEF*NtoN2O*kgtoGg</f>
        <v>4.5951591884317378E-3</v>
      </c>
      <c r="BI178" s="22">
        <f>Constants!$H69*'Activity data'!BI11*Constants!$H87*FracLEACHMM*MMLeachEF*NtoN2O*kgtoGg</f>
        <v>4.5988252210116161E-3</v>
      </c>
      <c r="BJ178" s="22">
        <f>Constants!$H69*'Activity data'!BJ11*Constants!$H87*FracLEACHMM*MMLeachEF*NtoN2O*kgtoGg</f>
        <v>4.6028252299079387E-3</v>
      </c>
      <c r="BK178" s="22">
        <f>Constants!$H69*'Activity data'!BK11*Constants!$H87*FracLEACHMM*MMLeachEF*NtoN2O*kgtoGg</f>
        <v>4.6071483875808113E-3</v>
      </c>
      <c r="BL178" s="22">
        <f>Constants!$H69*'Activity data'!BL11*Constants!$H87*FracLEACHMM*MMLeachEF*NtoN2O*kgtoGg</f>
        <v>4.6082148579908756E-3</v>
      </c>
      <c r="BM178" s="22">
        <f>Constants!$H69*'Activity data'!BM11*Constants!$H87*FracLEACHMM*MMLeachEF*NtoN2O*kgtoGg</f>
        <v>4.609568122792394E-3</v>
      </c>
      <c r="BN178" s="22">
        <f>Constants!$H69*'Activity data'!BN11*Constants!$H87*FracLEACHMM*MMLeachEF*NtoN2O*kgtoGg</f>
        <v>4.6111986833604953E-3</v>
      </c>
      <c r="BO178" s="22">
        <f>Constants!$H69*'Activity data'!BO11*Constants!$H87*FracLEACHMM*MMLeachEF*NtoN2O*kgtoGg</f>
        <v>4.6130976210976499E-3</v>
      </c>
      <c r="BP178" s="22">
        <f>Constants!$H69*'Activity data'!BP11*Constants!$H87*FracLEACHMM*MMLeachEF*NtoN2O*kgtoGg</f>
        <v>4.6152565528286265E-3</v>
      </c>
    </row>
    <row r="179" spans="1:68" x14ac:dyDescent="0.25">
      <c r="A179" t="str">
        <f t="shared" si="58"/>
        <v>3C Aggregated and non-CO2 emissions on land</v>
      </c>
      <c r="B179" t="str">
        <f t="shared" si="65"/>
        <v>3C6 Indirect N2O from manure management (N2O)</v>
      </c>
      <c r="C179" t="str">
        <f t="shared" si="67"/>
        <v>Leaching/runoff</v>
      </c>
      <c r="D179" t="str">
        <f t="shared" si="66"/>
        <v xml:space="preserve"> - Subsistence sheep</v>
      </c>
      <c r="E179" t="str">
        <f t="shared" si="64"/>
        <v>Leaching/runoff - Subsistence sheep</v>
      </c>
      <c r="F179" t="str">
        <f t="shared" si="47"/>
        <v>N2O</v>
      </c>
      <c r="G179" t="str">
        <f t="shared" si="48"/>
        <v>Gg N2O</v>
      </c>
      <c r="H179" s="22">
        <f>Constants!$H70*'Activity data'!H12*Constants!$H88*FracLEACHMM*MMLeachEF*NtoN2O*kgtoGg</f>
        <v>5.3816678004133863E-3</v>
      </c>
      <c r="I179" s="22">
        <f>Constants!$H70*'Activity data'!I12*Constants!$H88*FracLEACHMM*MMLeachEF*NtoN2O*kgtoGg</f>
        <v>5.1396821372839546E-3</v>
      </c>
      <c r="J179" s="22">
        <f>Constants!$H70*'Activity data'!J12*Constants!$H88*FracLEACHMM*MMLeachEF*NtoN2O*kgtoGg</f>
        <v>4.9273163809915805E-3</v>
      </c>
      <c r="K179" s="22">
        <f>Constants!$H70*'Activity data'!K12*Constants!$H88*FracLEACHMM*MMLeachEF*NtoN2O*kgtoGg</f>
        <v>4.6081394454989032E-3</v>
      </c>
      <c r="L179" s="22">
        <f>Constants!$H70*'Activity data'!L12*Constants!$H88*FracLEACHMM*MMLeachEF*NtoN2O*kgtoGg</f>
        <v>4.640631585726222E-3</v>
      </c>
      <c r="M179" s="22">
        <f>Constants!$H70*'Activity data'!M12*Constants!$H88*FracLEACHMM*MMLeachEF*NtoN2O*kgtoGg</f>
        <v>4.574211188576453E-3</v>
      </c>
      <c r="N179" s="22">
        <f>Constants!$H70*'Activity data'!N12*Constants!$H88*FracLEACHMM*MMLeachEF*NtoN2O*kgtoGg</f>
        <v>4.5894699284622113E-3</v>
      </c>
      <c r="O179" s="22">
        <f>Constants!$H70*'Activity data'!O12*Constants!$H88*FracLEACHMM*MMLeachEF*NtoN2O*kgtoGg</f>
        <v>4.4896598181506653E-3</v>
      </c>
      <c r="P179" s="22">
        <f>Constants!$H70*'Activity data'!P12*Constants!$H88*FracLEACHMM*MMLeachEF*NtoN2O*kgtoGg</f>
        <v>4.5020463246461771E-3</v>
      </c>
      <c r="Q179" s="22">
        <f>Constants!$H70*'Activity data'!Q12*Constants!$H88*FracLEACHMM*MMLeachEF*NtoN2O*kgtoGg</f>
        <v>4.3914653391211545E-3</v>
      </c>
      <c r="R179" s="22">
        <f>Constants!$H70*'Activity data'!R12*Constants!$H88*FracLEACHMM*MMLeachEF*NtoN2O*kgtoGg</f>
        <v>4.2340310464175105E-3</v>
      </c>
      <c r="S179" s="22">
        <f>Constants!$H70*'Activity data'!S12*Constants!$H88*FracLEACHMM*MMLeachEF*NtoN2O*kgtoGg</f>
        <v>4.1284764693254421E-3</v>
      </c>
      <c r="T179" s="22">
        <f>Constants!$H70*'Activity data'!T12*Constants!$H88*FracLEACHMM*MMLeachEF*NtoN2O*kgtoGg</f>
        <v>4.0595428679591952E-3</v>
      </c>
      <c r="U179" s="22">
        <f>Constants!$H70*'Activity data'!U12*Constants!$H88*FracLEACHMM*MMLeachEF*NtoN2O*kgtoGg</f>
        <v>4.0737245203236053E-3</v>
      </c>
      <c r="V179" s="22">
        <f>Constants!$H70*'Activity data'!V12*Constants!$H88*FracLEACHMM*MMLeachEF*NtoN2O*kgtoGg</f>
        <v>4.0012006272195314E-3</v>
      </c>
      <c r="W179" s="22">
        <f>Constants!$H70*'Activity data'!W12*Constants!$H88*FracLEACHMM*MMLeachEF*NtoN2O*kgtoGg</f>
        <v>3.9916863541142947E-3</v>
      </c>
      <c r="X179" s="22">
        <f>Constants!$H70*'Activity data'!X12*Constants!$H88*FracLEACHMM*MMLeachEF*NtoN2O*kgtoGg</f>
        <v>3.939447609328935E-3</v>
      </c>
      <c r="Y179" s="22">
        <f>Constants!$H70*'Activity data'!Y12*Constants!$H88*FracLEACHMM*MMLeachEF*NtoN2O*kgtoGg</f>
        <v>3.9356778030042172E-3</v>
      </c>
      <c r="Z179" s="22">
        <f>Constants!$H70*'Activity data'!Z12*Constants!$H88*FracLEACHMM*MMLeachEF*NtoN2O*kgtoGg</f>
        <v>3.9484233386734985E-3</v>
      </c>
      <c r="AA179" s="22">
        <f>Constants!$H70*'Activity data'!AA12*Constants!$H88*FracLEACHMM*MMLeachEF*NtoN2O*kgtoGg</f>
        <v>3.9344212008959783E-3</v>
      </c>
      <c r="AB179" s="22">
        <f>Constants!$H70*'Activity data'!AB12*Constants!$H88*FracLEACHMM*MMLeachEF*NtoN2O*kgtoGg</f>
        <v>3.8583070160540809E-3</v>
      </c>
      <c r="AC179" s="22">
        <f>Constants!$H70*'Activity data'!AC12*Constants!$H88*FracLEACHMM*MMLeachEF*NtoN2O*kgtoGg</f>
        <v>3.8281485654563466E-3</v>
      </c>
      <c r="AD179" s="22">
        <f>Constants!$H70*'Activity data'!AD12*Constants!$H88*FracLEACHMM*MMLeachEF*NtoN2O*kgtoGg</f>
        <v>3.6554081926520139E-3</v>
      </c>
      <c r="AE179" s="22">
        <f>Constants!$H70*'Activity data'!AE12*Constants!$H88*FracLEACHMM*MMLeachEF*NtoN2O*kgtoGg</f>
        <v>3.6574043798084017E-3</v>
      </c>
      <c r="AF179" s="22">
        <f>Constants!$H70*'Activity data'!AF12*Constants!$H88*FracLEACHMM*MMLeachEF*NtoN2O*kgtoGg</f>
        <v>3.6618742263063008E-3</v>
      </c>
      <c r="AG179" s="22">
        <f>Constants!$H70*'Activity data'!AG12*Constants!$H88*FracLEACHMM*MMLeachEF*NtoN2O*kgtoGg</f>
        <v>3.6686022836746814E-3</v>
      </c>
      <c r="AH179" s="22">
        <f>Constants!$H70*'Activity data'!AH12*Constants!$H88*FracLEACHMM*MMLeachEF*NtoN2O*kgtoGg</f>
        <v>3.6776785680166413E-3</v>
      </c>
      <c r="AI179" s="22">
        <f>Constants!$H70*'Activity data'!AI12*Constants!$H88*FracLEACHMM*MMLeachEF*NtoN2O*kgtoGg</f>
        <v>3.6891127101493907E-3</v>
      </c>
      <c r="AJ179" s="22">
        <f>Constants!$H70*'Activity data'!AJ12*Constants!$H88*FracLEACHMM*MMLeachEF*NtoN2O*kgtoGg</f>
        <v>3.7018498809639078E-3</v>
      </c>
      <c r="AK179" s="22">
        <f>Constants!$H70*'Activity data'!AK12*Constants!$H88*FracLEACHMM*MMLeachEF*NtoN2O*kgtoGg</f>
        <v>3.7156540753574409E-3</v>
      </c>
      <c r="AL179" s="22">
        <f>Constants!$H70*'Activity data'!AL12*Constants!$H88*FracLEACHMM*MMLeachEF*NtoN2O*kgtoGg</f>
        <v>3.7286260423135963E-3</v>
      </c>
      <c r="AM179" s="22">
        <f>Constants!$H70*'Activity data'!AM12*Constants!$H88*FracLEACHMM*MMLeachEF*NtoN2O*kgtoGg</f>
        <v>3.7340446841047422E-3</v>
      </c>
      <c r="AN179" s="22">
        <f>Constants!$H70*'Activity data'!AN12*Constants!$H88*FracLEACHMM*MMLeachEF*NtoN2O*kgtoGg</f>
        <v>3.7403323556149792E-3</v>
      </c>
      <c r="AO179" s="22">
        <f>Constants!$H70*'Activity data'!AO12*Constants!$H88*FracLEACHMM*MMLeachEF*NtoN2O*kgtoGg</f>
        <v>3.7474877675985991E-3</v>
      </c>
      <c r="AP179" s="22">
        <f>Constants!$H70*'Activity data'!AP12*Constants!$H88*FracLEACHMM*MMLeachEF*NtoN2O*kgtoGg</f>
        <v>3.7555479930861213E-3</v>
      </c>
      <c r="AQ179" s="22">
        <f>Constants!$H70*'Activity data'!AQ12*Constants!$H88*FracLEACHMM*MMLeachEF*NtoN2O*kgtoGg</f>
        <v>3.7643838146787538E-3</v>
      </c>
      <c r="AR179" s="22">
        <f>Constants!$H70*'Activity data'!AR12*Constants!$H88*FracLEACHMM*MMLeachEF*NtoN2O*kgtoGg</f>
        <v>3.769822936720115E-3</v>
      </c>
      <c r="AS179" s="22">
        <f>Constants!$H70*'Activity data'!AS12*Constants!$H88*FracLEACHMM*MMLeachEF*NtoN2O*kgtoGg</f>
        <v>3.7758985483435582E-3</v>
      </c>
      <c r="AT179" s="22">
        <f>Constants!$H70*'Activity data'!AT12*Constants!$H88*FracLEACHMM*MMLeachEF*NtoN2O*kgtoGg</f>
        <v>3.7826326976118578E-3</v>
      </c>
      <c r="AU179" s="22">
        <f>Constants!$H70*'Activity data'!AU12*Constants!$H88*FracLEACHMM*MMLeachEF*NtoN2O*kgtoGg</f>
        <v>3.7899219183151331E-3</v>
      </c>
      <c r="AV179" s="22">
        <f>Constants!$H70*'Activity data'!AV12*Constants!$H88*FracLEACHMM*MMLeachEF*NtoN2O*kgtoGg</f>
        <v>3.7977922737311865E-3</v>
      </c>
      <c r="AW179" s="22">
        <f>Constants!$H70*'Activity data'!AW12*Constants!$H88*FracLEACHMM*MMLeachEF*NtoN2O*kgtoGg</f>
        <v>3.8029734753540017E-3</v>
      </c>
      <c r="AX179" s="22">
        <f>Constants!$H70*'Activity data'!AX12*Constants!$H88*FracLEACHMM*MMLeachEF*NtoN2O*kgtoGg</f>
        <v>3.8086996594803367E-3</v>
      </c>
      <c r="AY179" s="22">
        <f>Constants!$H70*'Activity data'!AY12*Constants!$H88*FracLEACHMM*MMLeachEF*NtoN2O*kgtoGg</f>
        <v>3.8149193276772325E-3</v>
      </c>
      <c r="AZ179" s="22">
        <f>Constants!$H70*'Activity data'!AZ12*Constants!$H88*FracLEACHMM*MMLeachEF*NtoN2O*kgtoGg</f>
        <v>3.8209283204154385E-3</v>
      </c>
      <c r="BA179" s="22">
        <f>Constants!$H70*'Activity data'!BA12*Constants!$H88*FracLEACHMM*MMLeachEF*NtoN2O*kgtoGg</f>
        <v>3.7952380772153156E-3</v>
      </c>
      <c r="BB179" s="22">
        <f>Constants!$H70*'Activity data'!BB12*Constants!$H88*FracLEACHMM*MMLeachEF*NtoN2O*kgtoGg</f>
        <v>3.7988864979527624E-3</v>
      </c>
      <c r="BC179" s="22">
        <f>Constants!$H70*'Activity data'!BC12*Constants!$H88*FracLEACHMM*MMLeachEF*NtoN2O*kgtoGg</f>
        <v>3.8029125483085634E-3</v>
      </c>
      <c r="BD179" s="22">
        <f>Constants!$H70*'Activity data'!BD12*Constants!$H88*FracLEACHMM*MMLeachEF*NtoN2O*kgtoGg</f>
        <v>3.8073019617525694E-3</v>
      </c>
      <c r="BE179" s="22">
        <f>Constants!$H70*'Activity data'!BE12*Constants!$H88*FracLEACHMM*MMLeachEF*NtoN2O*kgtoGg</f>
        <v>3.8120415744685989E-3</v>
      </c>
      <c r="BF179" s="22">
        <f>Constants!$H70*'Activity data'!BF12*Constants!$H88*FracLEACHMM*MMLeachEF*NtoN2O*kgtoGg</f>
        <v>3.8171192207152455E-3</v>
      </c>
      <c r="BG179" s="22">
        <f>Constants!$H70*'Activity data'!BG12*Constants!$H88*FracLEACHMM*MMLeachEF*NtoN2O*kgtoGg</f>
        <v>3.8195834070437343E-3</v>
      </c>
      <c r="BH179" s="22">
        <f>Constants!$H70*'Activity data'!BH12*Constants!$H88*FracLEACHMM*MMLeachEF*NtoN2O*kgtoGg</f>
        <v>3.8223454224375316E-3</v>
      </c>
      <c r="BI179" s="22">
        <f>Constants!$H70*'Activity data'!BI12*Constants!$H88*FracLEACHMM*MMLeachEF*NtoN2O*kgtoGg</f>
        <v>3.8253949017429448E-3</v>
      </c>
      <c r="BJ179" s="22">
        <f>Constants!$H70*'Activity data'!BJ12*Constants!$H88*FracLEACHMM*MMLeachEF*NtoN2O*kgtoGg</f>
        <v>3.8287221892356308E-3</v>
      </c>
      <c r="BK179" s="22">
        <f>Constants!$H70*'Activity data'!BK12*Constants!$H88*FracLEACHMM*MMLeachEF*NtoN2O*kgtoGg</f>
        <v>3.8323182783511038E-3</v>
      </c>
      <c r="BL179" s="22">
        <f>Constants!$H70*'Activity data'!BL12*Constants!$H88*FracLEACHMM*MMLeachEF*NtoN2O*kgtoGg</f>
        <v>3.833205389792278E-3</v>
      </c>
      <c r="BM179" s="22">
        <f>Constants!$H70*'Activity data'!BM12*Constants!$H88*FracLEACHMM*MMLeachEF*NtoN2O*kgtoGg</f>
        <v>3.8343310625507851E-3</v>
      </c>
      <c r="BN179" s="22">
        <f>Constants!$H70*'Activity data'!BN12*Constants!$H88*FracLEACHMM*MMLeachEF*NtoN2O*kgtoGg</f>
        <v>3.8356873954802709E-3</v>
      </c>
      <c r="BO179" s="22">
        <f>Constants!$H70*'Activity data'!BO12*Constants!$H88*FracLEACHMM*MMLeachEF*NtoN2O*kgtoGg</f>
        <v>3.8372669699127259E-3</v>
      </c>
      <c r="BP179" s="22">
        <f>Constants!$H70*'Activity data'!BP12*Constants!$H88*FracLEACHMM*MMLeachEF*NtoN2O*kgtoGg</f>
        <v>3.8390628125551359E-3</v>
      </c>
    </row>
    <row r="180" spans="1:68" x14ac:dyDescent="0.25">
      <c r="A180" t="str">
        <f t="shared" si="58"/>
        <v>3C Aggregated and non-CO2 emissions on land</v>
      </c>
      <c r="B180" t="str">
        <f t="shared" si="65"/>
        <v>3C6 Indirect N2O from manure management (N2O)</v>
      </c>
      <c r="C180" t="str">
        <f t="shared" si="67"/>
        <v>Leaching/runoff</v>
      </c>
      <c r="D180" t="str">
        <f t="shared" si="66"/>
        <v xml:space="preserve"> - Commercial goats</v>
      </c>
      <c r="E180" t="str">
        <f t="shared" si="64"/>
        <v>Leaching/runoff - Commercial goats</v>
      </c>
      <c r="F180" t="str">
        <f t="shared" si="47"/>
        <v>N2O</v>
      </c>
      <c r="G180" t="str">
        <f t="shared" si="48"/>
        <v>Gg N2O</v>
      </c>
      <c r="H180" s="22">
        <f>Constants!$H71*'Activity data'!H13*Constants!$H89*FracLEACHMM*MMLeachEF*NtoN2O*kgtoGg</f>
        <v>7.2865318808700474E-4</v>
      </c>
      <c r="I180" s="22">
        <f>Constants!$H71*'Activity data'!I13*Constants!$H89*FracLEACHMM*MMLeachEF*NtoN2O*kgtoGg</f>
        <v>6.4433535341651871E-4</v>
      </c>
      <c r="J180" s="22">
        <f>Constants!$H71*'Activity data'!J13*Constants!$H89*FracLEACHMM*MMLeachEF*NtoN2O*kgtoGg</f>
        <v>6.0020639321514246E-4</v>
      </c>
      <c r="K180" s="22">
        <f>Constants!$H71*'Activity data'!K13*Constants!$H89*FracLEACHMM*MMLeachEF*NtoN2O*kgtoGg</f>
        <v>5.6710967306411041E-4</v>
      </c>
      <c r="L180" s="22">
        <f>Constants!$H71*'Activity data'!L13*Constants!$H89*FracLEACHMM*MMLeachEF*NtoN2O*kgtoGg</f>
        <v>6.138653570869968E-4</v>
      </c>
      <c r="M180" s="22">
        <f>Constants!$H71*'Activity data'!M13*Constants!$H89*FracLEACHMM*MMLeachEF*NtoN2O*kgtoGg</f>
        <v>6.2227087331583042E-4</v>
      </c>
      <c r="N180" s="22">
        <f>Constants!$H71*'Activity data'!N13*Constants!$H89*FracLEACHMM*MMLeachEF*NtoN2O*kgtoGg</f>
        <v>6.3198975145541928E-4</v>
      </c>
      <c r="O180" s="22">
        <f>Constants!$H71*'Activity data'!O13*Constants!$H89*FracLEACHMM*MMLeachEF*NtoN2O*kgtoGg</f>
        <v>6.2883768286960682E-4</v>
      </c>
      <c r="P180" s="22">
        <f>Constants!$H71*'Activity data'!P13*Constants!$H89*FracLEACHMM*MMLeachEF*NtoN2O*kgtoGg</f>
        <v>6.1990682187647121E-4</v>
      </c>
      <c r="Q180" s="22">
        <f>Constants!$H71*'Activity data'!Q13*Constants!$H89*FracLEACHMM*MMLeachEF*NtoN2O*kgtoGg</f>
        <v>6.1071328850118467E-4</v>
      </c>
      <c r="R180" s="22">
        <f>Constants!$H71*'Activity data'!R13*Constants!$H89*FracLEACHMM*MMLeachEF*NtoN2O*kgtoGg</f>
        <v>6.1859345996571587E-4</v>
      </c>
      <c r="S180" s="22">
        <f>Constants!$H71*'Activity data'!S13*Constants!$H89*FracLEACHMM*MMLeachEF*NtoN2O*kgtoGg</f>
        <v>6.3750587148059137E-4</v>
      </c>
      <c r="T180" s="22">
        <f>Constants!$H71*'Activity data'!T13*Constants!$H89*FracLEACHMM*MMLeachEF*NtoN2O*kgtoGg</f>
        <v>5.8208199884672053E-4</v>
      </c>
      <c r="U180" s="22">
        <f>Constants!$H71*'Activity data'!U13*Constants!$H89*FracLEACHMM*MMLeachEF*NtoN2O*kgtoGg</f>
        <v>5.6737234544626167E-4</v>
      </c>
      <c r="V180" s="22">
        <f>Constants!$H71*'Activity data'!V13*Constants!$H89*FracLEACHMM*MMLeachEF*NtoN2O*kgtoGg</f>
        <v>5.6842303497486597E-4</v>
      </c>
      <c r="W180" s="22">
        <f>Constants!$H71*'Activity data'!W13*Constants!$H89*FracLEACHMM*MMLeachEF*NtoN2O*kgtoGg</f>
        <v>5.6106820827463643E-4</v>
      </c>
      <c r="X180" s="22">
        <f>Constants!$H71*'Activity data'!X13*Constants!$H89*FracLEACHMM*MMLeachEF*NtoN2O*kgtoGg</f>
        <v>5.7288846547143355E-4</v>
      </c>
      <c r="Y180" s="22">
        <f>Constants!$H71*'Activity data'!Y13*Constants!$H89*FracLEACHMM*MMLeachEF*NtoN2O*kgtoGg</f>
        <v>5.558147606316157E-4</v>
      </c>
      <c r="Z180" s="22">
        <f>Constants!$H71*'Activity data'!Z13*Constants!$H89*FracLEACHMM*MMLeachEF*NtoN2O*kgtoGg</f>
        <v>5.5528941586731361E-4</v>
      </c>
      <c r="AA180" s="22">
        <f>Constants!$H71*'Activity data'!AA13*Constants!$H89*FracLEACHMM*MMLeachEF*NtoN2O*kgtoGg</f>
        <v>5.4557053772772487E-4</v>
      </c>
      <c r="AB180" s="22">
        <f>Constants!$H71*'Activity data'!AB13*Constants!$H89*FracLEACHMM*MMLeachEF*NtoN2O*kgtoGg</f>
        <v>5.3900372817394858E-4</v>
      </c>
      <c r="AC180" s="22">
        <f>Constants!$H71*'Activity data'!AC13*Constants!$H89*FracLEACHMM*MMLeachEF*NtoN2O*kgtoGg</f>
        <v>5.3401295291307879E-4</v>
      </c>
      <c r="AD180" s="22">
        <f>Constants!$H71*'Activity data'!AD13*Constants!$H89*FracLEACHMM*MMLeachEF*NtoN2O*kgtoGg</f>
        <v>5.4321183723638063E-4</v>
      </c>
      <c r="AE180" s="22">
        <f>Constants!$H71*'Activity data'!AE13*Constants!$H89*FracLEACHMM*MMLeachEF*NtoN2O*kgtoGg</f>
        <v>5.4462866238069155E-4</v>
      </c>
      <c r="AF180" s="22">
        <f>Constants!$H71*'Activity data'!AF13*Constants!$H89*FracLEACHMM*MMLeachEF*NtoN2O*kgtoGg</f>
        <v>5.4651670738969612E-4</v>
      </c>
      <c r="AG180" s="22">
        <f>Constants!$H71*'Activity data'!AG13*Constants!$H89*FracLEACHMM*MMLeachEF*NtoN2O*kgtoGg</f>
        <v>5.4883399731316639E-4</v>
      </c>
      <c r="AH180" s="22">
        <f>Constants!$H71*'Activity data'!AH13*Constants!$H89*FracLEACHMM*MMLeachEF*NtoN2O*kgtoGg</f>
        <v>5.5160837836810213E-4</v>
      </c>
      <c r="AI180" s="22">
        <f>Constants!$H71*'Activity data'!AI13*Constants!$H89*FracLEACHMM*MMLeachEF*NtoN2O*kgtoGg</f>
        <v>5.5484723352096008E-4</v>
      </c>
      <c r="AJ180" s="22">
        <f>Constants!$H71*'Activity data'!AJ13*Constants!$H89*FracLEACHMM*MMLeachEF*NtoN2O*kgtoGg</f>
        <v>5.5831016678068942E-4</v>
      </c>
      <c r="AK180" s="22">
        <f>Constants!$H71*'Activity data'!AK13*Constants!$H89*FracLEACHMM*MMLeachEF*NtoN2O*kgtoGg</f>
        <v>5.61947661040627E-4</v>
      </c>
      <c r="AL180" s="22">
        <f>Constants!$H71*'Activity data'!AL13*Constants!$H89*FracLEACHMM*MMLeachEF*NtoN2O*kgtoGg</f>
        <v>5.6532673344002258E-4</v>
      </c>
      <c r="AM180" s="22">
        <f>Constants!$H71*'Activity data'!AM13*Constants!$H89*FracLEACHMM*MMLeachEF*NtoN2O*kgtoGg</f>
        <v>5.6691026971513229E-4</v>
      </c>
      <c r="AN180" s="22">
        <f>Constants!$H71*'Activity data'!AN13*Constants!$H89*FracLEACHMM*MMLeachEF*NtoN2O*kgtoGg</f>
        <v>5.6864670501845574E-4</v>
      </c>
      <c r="AO180" s="22">
        <f>Constants!$H71*'Activity data'!AO13*Constants!$H89*FracLEACHMM*MMLeachEF*NtoN2O*kgtoGg</f>
        <v>5.7053824293023939E-4</v>
      </c>
      <c r="AP180" s="22">
        <f>Constants!$H71*'Activity data'!AP13*Constants!$H89*FracLEACHMM*MMLeachEF*NtoN2O*kgtoGg</f>
        <v>5.7259543924260763E-4</v>
      </c>
      <c r="AQ180" s="22">
        <f>Constants!$H71*'Activity data'!AQ13*Constants!$H89*FracLEACHMM*MMLeachEF*NtoN2O*kgtoGg</f>
        <v>5.7479059617442649E-4</v>
      </c>
      <c r="AR180" s="22">
        <f>Constants!$H71*'Activity data'!AR13*Constants!$H89*FracLEACHMM*MMLeachEF*NtoN2O*kgtoGg</f>
        <v>5.7617814395304924E-4</v>
      </c>
      <c r="AS180" s="22">
        <f>Constants!$H71*'Activity data'!AS13*Constants!$H89*FracLEACHMM*MMLeachEF*NtoN2O*kgtoGg</f>
        <v>5.7767940009102313E-4</v>
      </c>
      <c r="AT180" s="22">
        <f>Constants!$H71*'Activity data'!AT13*Constants!$H89*FracLEACHMM*MMLeachEF*NtoN2O*kgtoGg</f>
        <v>5.7930057538230326E-4</v>
      </c>
      <c r="AU180" s="22">
        <f>Constants!$H71*'Activity data'!AU13*Constants!$H89*FracLEACHMM*MMLeachEF*NtoN2O*kgtoGg</f>
        <v>5.8101935108040965E-4</v>
      </c>
      <c r="AV180" s="22">
        <f>Constants!$H71*'Activity data'!AV13*Constants!$H89*FracLEACHMM*MMLeachEF*NtoN2O*kgtoGg</f>
        <v>5.8284260247755859E-4</v>
      </c>
      <c r="AW180" s="22">
        <f>Constants!$H71*'Activity data'!AW13*Constants!$H89*FracLEACHMM*MMLeachEF*NtoN2O*kgtoGg</f>
        <v>5.8403671107952763E-4</v>
      </c>
      <c r="AX180" s="22">
        <f>Constants!$H71*'Activity data'!AX13*Constants!$H89*FracLEACHMM*MMLeachEF*NtoN2O*kgtoGg</f>
        <v>5.8533173041619576E-4</v>
      </c>
      <c r="AY180" s="22">
        <f>Constants!$H71*'Activity data'!AY13*Constants!$H89*FracLEACHMM*MMLeachEF*NtoN2O*kgtoGg</f>
        <v>5.8671671252614034E-4</v>
      </c>
      <c r="AZ180" s="22">
        <f>Constants!$H71*'Activity data'!AZ13*Constants!$H89*FracLEACHMM*MMLeachEF*NtoN2O*kgtoGg</f>
        <v>5.8803501308500182E-4</v>
      </c>
      <c r="BA180" s="22">
        <f>Constants!$H71*'Activity data'!BA13*Constants!$H89*FracLEACHMM*MMLeachEF*NtoN2O*kgtoGg</f>
        <v>5.8227212874330822E-4</v>
      </c>
      <c r="BB180" s="22">
        <f>Constants!$H71*'Activity data'!BB13*Constants!$H89*FracLEACHMM*MMLeachEF*NtoN2O*kgtoGg</f>
        <v>5.8304320424414362E-4</v>
      </c>
      <c r="BC180" s="22">
        <f>Constants!$H71*'Activity data'!BC13*Constants!$H89*FracLEACHMM*MMLeachEF*NtoN2O*kgtoGg</f>
        <v>5.8388341826515493E-4</v>
      </c>
      <c r="BD180" s="22">
        <f>Constants!$H71*'Activity data'!BD13*Constants!$H89*FracLEACHMM*MMLeachEF*NtoN2O*kgtoGg</f>
        <v>5.847899630335218E-4</v>
      </c>
      <c r="BE180" s="22">
        <f>Constants!$H71*'Activity data'!BE13*Constants!$H89*FracLEACHMM*MMLeachEF*NtoN2O*kgtoGg</f>
        <v>5.8576024856299858E-4</v>
      </c>
      <c r="BF180" s="22">
        <f>Constants!$H71*'Activity data'!BF13*Constants!$H89*FracLEACHMM*MMLeachEF*NtoN2O*kgtoGg</f>
        <v>5.8679188180125747E-4</v>
      </c>
      <c r="BG180" s="22">
        <f>Constants!$H71*'Activity data'!BG13*Constants!$H89*FracLEACHMM*MMLeachEF*NtoN2O*kgtoGg</f>
        <v>5.8723470872871001E-4</v>
      </c>
      <c r="BH180" s="22">
        <f>Constants!$H71*'Activity data'!BH13*Constants!$H89*FracLEACHMM*MMLeachEF*NtoN2O*kgtoGg</f>
        <v>5.8773280177020523E-4</v>
      </c>
      <c r="BI180" s="22">
        <f>Constants!$H71*'Activity data'!BI13*Constants!$H89*FracLEACHMM*MMLeachEF*NtoN2O*kgtoGg</f>
        <v>5.8828407739591119E-4</v>
      </c>
      <c r="BJ180" s="22">
        <f>Constants!$H71*'Activity data'!BJ13*Constants!$H89*FracLEACHMM*MMLeachEF*NtoN2O*kgtoGg</f>
        <v>5.8888659501104234E-4</v>
      </c>
      <c r="BK180" s="22">
        <f>Constants!$H71*'Activity data'!BK13*Constants!$H89*FracLEACHMM*MMLeachEF*NtoN2O*kgtoGg</f>
        <v>5.895385447102022E-4</v>
      </c>
      <c r="BL180" s="22">
        <f>Constants!$H71*'Activity data'!BL13*Constants!$H89*FracLEACHMM*MMLeachEF*NtoN2O*kgtoGg</f>
        <v>5.8958940978755205E-4</v>
      </c>
      <c r="BM180" s="22">
        <f>Constants!$H71*'Activity data'!BM13*Constants!$H89*FracLEACHMM*MMLeachEF*NtoN2O*kgtoGg</f>
        <v>5.8968551081379366E-4</v>
      </c>
      <c r="BN180" s="22">
        <f>Constants!$H71*'Activity data'!BN13*Constants!$H89*FracLEACHMM*MMLeachEF*NtoN2O*kgtoGg</f>
        <v>5.8982522322727085E-4</v>
      </c>
      <c r="BO180" s="22">
        <f>Constants!$H71*'Activity data'!BO13*Constants!$H89*FracLEACHMM*MMLeachEF*NtoN2O*kgtoGg</f>
        <v>5.9000702190384238E-4</v>
      </c>
      <c r="BP180" s="22">
        <f>Constants!$H71*'Activity data'!BP13*Constants!$H89*FracLEACHMM*MMLeachEF*NtoN2O*kgtoGg</f>
        <v>5.9022947345323132E-4</v>
      </c>
    </row>
    <row r="181" spans="1:68" x14ac:dyDescent="0.25">
      <c r="A181" t="str">
        <f t="shared" si="58"/>
        <v>3C Aggregated and non-CO2 emissions on land</v>
      </c>
      <c r="B181" t="str">
        <f t="shared" si="65"/>
        <v>3C6 Indirect N2O from manure management (N2O)</v>
      </c>
      <c r="C181" t="str">
        <f t="shared" si="67"/>
        <v>Leaching/runoff</v>
      </c>
      <c r="D181" t="str">
        <f t="shared" si="66"/>
        <v xml:space="preserve"> - Subsistence goats</v>
      </c>
      <c r="E181" t="str">
        <f t="shared" si="64"/>
        <v>Leaching/runoff - Subsistence goats</v>
      </c>
      <c r="F181" t="str">
        <f t="shared" si="47"/>
        <v>N2O</v>
      </c>
      <c r="G181" t="str">
        <f t="shared" si="48"/>
        <v>Gg N2O</v>
      </c>
      <c r="H181" s="22">
        <f>Constants!$H72*'Activity data'!H14*Constants!$H90*FracLEACHMM*MMLeachEF*NtoN2O*kgtoGg</f>
        <v>9.1435792098573387E-3</v>
      </c>
      <c r="I181" s="22">
        <f>Constants!$H72*'Activity data'!I14*Constants!$H90*FracLEACHMM*MMLeachEF*NtoN2O*kgtoGg</f>
        <v>8.0855082198197752E-3</v>
      </c>
      <c r="J181" s="22">
        <f>Constants!$H72*'Activity data'!J14*Constants!$H90*FracLEACHMM*MMLeachEF*NtoN2O*kgtoGg</f>
        <v>7.5317514399870309E-3</v>
      </c>
      <c r="K181" s="22">
        <f>Constants!$H72*'Activity data'!K14*Constants!$H90*FracLEACHMM*MMLeachEF*NtoN2O*kgtoGg</f>
        <v>7.1164338551124723E-3</v>
      </c>
      <c r="L181" s="22">
        <f>Constants!$H72*'Activity data'!L14*Constants!$H90*FracLEACHMM*MMLeachEF*NtoN2O*kgtoGg</f>
        <v>7.7031523480304998E-3</v>
      </c>
      <c r="M181" s="22">
        <f>Constants!$H72*'Activity data'!M14*Constants!$H90*FracLEACHMM*MMLeachEF*NtoN2O*kgtoGg</f>
        <v>7.808629829903403E-3</v>
      </c>
      <c r="N181" s="22">
        <f>Constants!$H72*'Activity data'!N14*Constants!$H90*FracLEACHMM*MMLeachEF*NtoN2O*kgtoGg</f>
        <v>7.9305881683189496E-3</v>
      </c>
      <c r="O181" s="22">
        <f>Constants!$H72*'Activity data'!O14*Constants!$H90*FracLEACHMM*MMLeachEF*NtoN2O*kgtoGg</f>
        <v>7.8910341126166086E-3</v>
      </c>
      <c r="P181" s="22">
        <f>Constants!$H72*'Activity data'!P14*Constants!$H90*FracLEACHMM*MMLeachEF*NtoN2O*kgtoGg</f>
        <v>7.7789642881266486E-3</v>
      </c>
      <c r="Q181" s="22">
        <f>Constants!$H72*'Activity data'!Q14*Constants!$H90*FracLEACHMM*MMLeachEF*NtoN2O*kgtoGg</f>
        <v>7.6635982923281606E-3</v>
      </c>
      <c r="R181" s="22">
        <f>Constants!$H72*'Activity data'!R14*Constants!$H90*FracLEACHMM*MMLeachEF*NtoN2O*kgtoGg</f>
        <v>7.7624834315840096E-3</v>
      </c>
      <c r="S181" s="22">
        <f>Constants!$H72*'Activity data'!S14*Constants!$H90*FracLEACHMM*MMLeachEF*NtoN2O*kgtoGg</f>
        <v>7.9998077657980407E-3</v>
      </c>
      <c r="T181" s="22">
        <f>Constants!$H72*'Activity data'!T14*Constants!$H90*FracLEACHMM*MMLeachEF*NtoN2O*kgtoGg</f>
        <v>7.3043156196985837E-3</v>
      </c>
      <c r="U181" s="22">
        <f>Constants!$H72*'Activity data'!U14*Constants!$H90*FracLEACHMM*MMLeachEF*NtoN2O*kgtoGg</f>
        <v>7.1197300264210003E-3</v>
      </c>
      <c r="V181" s="22">
        <f>Constants!$H72*'Activity data'!V14*Constants!$H90*FracLEACHMM*MMLeachEF*NtoN2O*kgtoGg</f>
        <v>7.1329147116551139E-3</v>
      </c>
      <c r="W181" s="22">
        <f>Constants!$H72*'Activity data'!W14*Constants!$H90*FracLEACHMM*MMLeachEF*NtoN2O*kgtoGg</f>
        <v>7.0406219150163226E-3</v>
      </c>
      <c r="X181" s="22">
        <f>Constants!$H72*'Activity data'!X14*Constants!$H90*FracLEACHMM*MMLeachEF*NtoN2O*kgtoGg</f>
        <v>7.1889496239000948E-3</v>
      </c>
      <c r="Y181" s="22">
        <f>Constants!$H72*'Activity data'!Y14*Constants!$H90*FracLEACHMM*MMLeachEF*NtoN2O*kgtoGg</f>
        <v>6.9746984888457595E-3</v>
      </c>
      <c r="Z181" s="22">
        <f>Constants!$H72*'Activity data'!Z14*Constants!$H90*FracLEACHMM*MMLeachEF*NtoN2O*kgtoGg</f>
        <v>6.9681061462287001E-3</v>
      </c>
      <c r="AA181" s="22">
        <f>Constants!$H72*'Activity data'!AA14*Constants!$H90*FracLEACHMM*MMLeachEF*NtoN2O*kgtoGg</f>
        <v>6.846147807813157E-3</v>
      </c>
      <c r="AB181" s="22">
        <f>Constants!$H72*'Activity data'!AB14*Constants!$H90*FracLEACHMM*MMLeachEF*NtoN2O*kgtoGg</f>
        <v>6.7637435250999514E-3</v>
      </c>
      <c r="AC181" s="22">
        <f>Constants!$H72*'Activity data'!AC14*Constants!$H90*FracLEACHMM*MMLeachEF*NtoN2O*kgtoGg</f>
        <v>6.7011162702379145E-3</v>
      </c>
      <c r="AD181" s="22">
        <f>Constants!$H72*'Activity data'!AD14*Constants!$H90*FracLEACHMM*MMLeachEF*NtoN2O*kgtoGg</f>
        <v>6.6990339537854613E-3</v>
      </c>
      <c r="AE181" s="22">
        <f>Constants!$H72*'Activity data'!AE14*Constants!$H90*FracLEACHMM*MMLeachEF*NtoN2O*kgtoGg</f>
        <v>6.7165066211643688E-3</v>
      </c>
      <c r="AF181" s="22">
        <f>Constants!$H72*'Activity data'!AF14*Constants!$H90*FracLEACHMM*MMLeachEF*NtoN2O*kgtoGg</f>
        <v>6.7397904981983149E-3</v>
      </c>
      <c r="AG181" s="22">
        <f>Constants!$H72*'Activity data'!AG14*Constants!$H90*FracLEACHMM*MMLeachEF*NtoN2O*kgtoGg</f>
        <v>6.7683679385521006E-3</v>
      </c>
      <c r="AH181" s="22">
        <f>Constants!$H72*'Activity data'!AH14*Constants!$H90*FracLEACHMM*MMLeachEF*NtoN2O*kgtoGg</f>
        <v>6.8025823492363574E-3</v>
      </c>
      <c r="AI181" s="22">
        <f>Constants!$H72*'Activity data'!AI14*Constants!$H90*FracLEACHMM*MMLeachEF*NtoN2O*kgtoGg</f>
        <v>6.8425247789720067E-3</v>
      </c>
      <c r="AJ181" s="22">
        <f>Constants!$H72*'Activity data'!AJ14*Constants!$H90*FracLEACHMM*MMLeachEF*NtoN2O*kgtoGg</f>
        <v>6.8852305999729637E-3</v>
      </c>
      <c r="AK181" s="22">
        <f>Constants!$H72*'Activity data'!AK14*Constants!$H90*FracLEACHMM*MMLeachEF*NtoN2O*kgtoGg</f>
        <v>6.9300891540096266E-3</v>
      </c>
      <c r="AL181" s="22">
        <f>Constants!$H72*'Activity data'!AL14*Constants!$H90*FracLEACHMM*MMLeachEF*NtoN2O*kgtoGg</f>
        <v>6.9717607804068256E-3</v>
      </c>
      <c r="AM181" s="22">
        <f>Constants!$H72*'Activity data'!AM14*Constants!$H90*FracLEACHMM*MMLeachEF*NtoN2O*kgtoGg</f>
        <v>6.9912893741281628E-3</v>
      </c>
      <c r="AN181" s="22">
        <f>Constants!$H72*'Activity data'!AN14*Constants!$H90*FracLEACHMM*MMLeachEF*NtoN2O*kgtoGg</f>
        <v>7.0127035596413059E-3</v>
      </c>
      <c r="AO181" s="22">
        <f>Constants!$H72*'Activity data'!AO14*Constants!$H90*FracLEACHMM*MMLeachEF*NtoN2O*kgtoGg</f>
        <v>7.0360305120884007E-3</v>
      </c>
      <c r="AP181" s="22">
        <f>Constants!$H72*'Activity data'!AP14*Constants!$H90*FracLEACHMM*MMLeachEF*NtoN2O*kgtoGg</f>
        <v>7.0614004083267975E-3</v>
      </c>
      <c r="AQ181" s="22">
        <f>Constants!$H72*'Activity data'!AQ14*Constants!$H90*FracLEACHMM*MMLeachEF*NtoN2O*kgtoGg</f>
        <v>7.0884716718967464E-3</v>
      </c>
      <c r="AR181" s="22">
        <f>Constants!$H72*'Activity data'!AR14*Constants!$H90*FracLEACHMM*MMLeachEF*NtoN2O*kgtoGg</f>
        <v>7.1055832829558596E-3</v>
      </c>
      <c r="AS181" s="22">
        <f>Constants!$H72*'Activity data'!AS14*Constants!$H90*FracLEACHMM*MMLeachEF*NtoN2O*kgtoGg</f>
        <v>7.1240971759755339E-3</v>
      </c>
      <c r="AT181" s="22">
        <f>Constants!$H72*'Activity data'!AT14*Constants!$H90*FracLEACHMM*MMLeachEF*NtoN2O*kgtoGg</f>
        <v>7.1440899441312785E-3</v>
      </c>
      <c r="AU181" s="22">
        <f>Constants!$H72*'Activity data'!AU14*Constants!$H90*FracLEACHMM*MMLeachEF*NtoN2O*kgtoGg</f>
        <v>7.1652863466602334E-3</v>
      </c>
      <c r="AV181" s="22">
        <f>Constants!$H72*'Activity data'!AV14*Constants!$H90*FracLEACHMM*MMLeachEF*NtoN2O*kgtoGg</f>
        <v>7.1877711715085417E-3</v>
      </c>
      <c r="AW181" s="22">
        <f>Constants!$H72*'Activity data'!AW14*Constants!$H90*FracLEACHMM*MMLeachEF*NtoN2O*kgtoGg</f>
        <v>7.2024972388008085E-3</v>
      </c>
      <c r="AX181" s="22">
        <f>Constants!$H72*'Activity data'!AX14*Constants!$H90*FracLEACHMM*MMLeachEF*NtoN2O*kgtoGg</f>
        <v>7.2184677643167576E-3</v>
      </c>
      <c r="AY181" s="22">
        <f>Constants!$H72*'Activity data'!AY14*Constants!$H90*FracLEACHMM*MMLeachEF*NtoN2O*kgtoGg</f>
        <v>7.2355477348621461E-3</v>
      </c>
      <c r="AZ181" s="22">
        <f>Constants!$H72*'Activity data'!AZ14*Constants!$H90*FracLEACHMM*MMLeachEF*NtoN2O*kgtoGg</f>
        <v>7.251805370649388E-3</v>
      </c>
      <c r="BA181" s="22">
        <f>Constants!$H72*'Activity data'!BA14*Constants!$H90*FracLEACHMM*MMLeachEF*NtoN2O*kgtoGg</f>
        <v>7.1807359365347809E-3</v>
      </c>
      <c r="BB181" s="22">
        <f>Constants!$H72*'Activity data'!BB14*Constants!$H90*FracLEACHMM*MMLeachEF*NtoN2O*kgtoGg</f>
        <v>7.190245046253943E-3</v>
      </c>
      <c r="BC181" s="22">
        <f>Constants!$H72*'Activity data'!BC14*Constants!$H90*FracLEACHMM*MMLeachEF*NtoN2O*kgtoGg</f>
        <v>7.2006067907325584E-3</v>
      </c>
      <c r="BD181" s="22">
        <f>Constants!$H72*'Activity data'!BD14*Constants!$H90*FracLEACHMM*MMLeachEF*NtoN2O*kgtoGg</f>
        <v>7.2117865437637393E-3</v>
      </c>
      <c r="BE181" s="22">
        <f>Constants!$H72*'Activity data'!BE14*Constants!$H90*FracLEACHMM*MMLeachEF*NtoN2O*kgtoGg</f>
        <v>7.2237523649430046E-3</v>
      </c>
      <c r="BF181" s="22">
        <f>Constants!$H72*'Activity data'!BF14*Constants!$H90*FracLEACHMM*MMLeachEF*NtoN2O*kgtoGg</f>
        <v>7.2364747425077329E-3</v>
      </c>
      <c r="BG181" s="22">
        <f>Constants!$H72*'Activity data'!BG14*Constants!$H90*FracLEACHMM*MMLeachEF*NtoN2O*kgtoGg</f>
        <v>7.2419358028516061E-3</v>
      </c>
      <c r="BH181" s="22">
        <f>Constants!$H72*'Activity data'!BH14*Constants!$H90*FracLEACHMM*MMLeachEF*NtoN2O*kgtoGg</f>
        <v>7.2480784197247895E-3</v>
      </c>
      <c r="BI181" s="22">
        <f>Constants!$H72*'Activity data'!BI14*Constants!$H90*FracLEACHMM*MMLeachEF*NtoN2O*kgtoGg</f>
        <v>7.2548768984790225E-3</v>
      </c>
      <c r="BJ181" s="22">
        <f>Constants!$H72*'Activity data'!BJ14*Constants!$H90*FracLEACHMM*MMLeachEF*NtoN2O*kgtoGg</f>
        <v>7.2623073071793384E-3</v>
      </c>
      <c r="BK181" s="22">
        <f>Constants!$H72*'Activity data'!BK14*Constants!$H90*FracLEACHMM*MMLeachEF*NtoN2O*kgtoGg</f>
        <v>7.2703473255873539E-3</v>
      </c>
      <c r="BL181" s="22">
        <f>Constants!$H72*'Activity data'!BL14*Constants!$H90*FracLEACHMM*MMLeachEF*NtoN2O*kgtoGg</f>
        <v>7.2709746073527197E-3</v>
      </c>
      <c r="BM181" s="22">
        <f>Constants!$H72*'Activity data'!BM14*Constants!$H90*FracLEACHMM*MMLeachEF*NtoN2O*kgtoGg</f>
        <v>7.272159750962735E-3</v>
      </c>
      <c r="BN181" s="22">
        <f>Constants!$H72*'Activity data'!BN14*Constants!$H90*FracLEACHMM*MMLeachEF*NtoN2O*kgtoGg</f>
        <v>7.2738827218876909E-3</v>
      </c>
      <c r="BO181" s="22">
        <f>Constants!$H72*'Activity data'!BO14*Constants!$H90*FracLEACHMM*MMLeachEF*NtoN2O*kgtoGg</f>
        <v>7.2761247118879498E-3</v>
      </c>
      <c r="BP181" s="22">
        <f>Constants!$H72*'Activity data'!BP14*Constants!$H90*FracLEACHMM*MMLeachEF*NtoN2O*kgtoGg</f>
        <v>7.2788680440104758E-3</v>
      </c>
    </row>
    <row r="182" spans="1:68" x14ac:dyDescent="0.25">
      <c r="A182" t="str">
        <f t="shared" si="58"/>
        <v>3C Aggregated and non-CO2 emissions on land</v>
      </c>
      <c r="B182" t="str">
        <f t="shared" si="65"/>
        <v>3C6 Indirect N2O from manure management (N2O)</v>
      </c>
      <c r="C182" t="str">
        <f t="shared" si="67"/>
        <v>Leaching/runoff</v>
      </c>
      <c r="D182" t="str">
        <f t="shared" si="66"/>
        <v xml:space="preserve"> - Horses</v>
      </c>
      <c r="E182" t="str">
        <f t="shared" si="64"/>
        <v>Leaching/runoff - Horses</v>
      </c>
      <c r="F182" t="str">
        <f t="shared" si="47"/>
        <v>N2O</v>
      </c>
      <c r="G182" t="str">
        <f t="shared" si="48"/>
        <v>Gg N2O</v>
      </c>
      <c r="H182" s="22">
        <f>Constants!$H73*'Activity data'!H15*Constants!$H91*FracLEACHMM*MMLeachEF*NtoN2O*kgtoGg</f>
        <v>0</v>
      </c>
      <c r="I182" s="22">
        <f>Constants!$H73*'Activity data'!I15*Constants!$H91*FracLEACHMM*MMLeachEF*NtoN2O*kgtoGg</f>
        <v>0</v>
      </c>
      <c r="J182" s="22">
        <f>Constants!$H73*'Activity data'!J15*Constants!$H91*FracLEACHMM*MMLeachEF*NtoN2O*kgtoGg</f>
        <v>0</v>
      </c>
      <c r="K182" s="22">
        <f>Constants!$H73*'Activity data'!K15*Constants!$H91*FracLEACHMM*MMLeachEF*NtoN2O*kgtoGg</f>
        <v>0</v>
      </c>
      <c r="L182" s="22">
        <f>Constants!$H73*'Activity data'!L15*Constants!$H91*FracLEACHMM*MMLeachEF*NtoN2O*kgtoGg</f>
        <v>0</v>
      </c>
      <c r="M182" s="22">
        <f>Constants!$H73*'Activity data'!M15*Constants!$H91*FracLEACHMM*MMLeachEF*NtoN2O*kgtoGg</f>
        <v>0</v>
      </c>
      <c r="N182" s="22">
        <f>Constants!$H73*'Activity data'!N15*Constants!$H91*FracLEACHMM*MMLeachEF*NtoN2O*kgtoGg</f>
        <v>0</v>
      </c>
      <c r="O182" s="22">
        <f>Constants!$H73*'Activity data'!O15*Constants!$H91*FracLEACHMM*MMLeachEF*NtoN2O*kgtoGg</f>
        <v>0</v>
      </c>
      <c r="P182" s="22">
        <f>Constants!$H73*'Activity data'!P15*Constants!$H91*FracLEACHMM*MMLeachEF*NtoN2O*kgtoGg</f>
        <v>0</v>
      </c>
      <c r="Q182" s="22">
        <f>Constants!$H73*'Activity data'!Q15*Constants!$H91*FracLEACHMM*MMLeachEF*NtoN2O*kgtoGg</f>
        <v>0</v>
      </c>
      <c r="R182" s="22">
        <f>Constants!$H73*'Activity data'!R15*Constants!$H91*FracLEACHMM*MMLeachEF*NtoN2O*kgtoGg</f>
        <v>0</v>
      </c>
      <c r="S182" s="22">
        <f>Constants!$H73*'Activity data'!S15*Constants!$H91*FracLEACHMM*MMLeachEF*NtoN2O*kgtoGg</f>
        <v>0</v>
      </c>
      <c r="T182" s="22">
        <f>Constants!$H73*'Activity data'!T15*Constants!$H91*FracLEACHMM*MMLeachEF*NtoN2O*kgtoGg</f>
        <v>0</v>
      </c>
      <c r="U182" s="22">
        <f>Constants!$H73*'Activity data'!U15*Constants!$H91*FracLEACHMM*MMLeachEF*NtoN2O*kgtoGg</f>
        <v>0</v>
      </c>
      <c r="V182" s="22">
        <f>Constants!$H73*'Activity data'!V15*Constants!$H91*FracLEACHMM*MMLeachEF*NtoN2O*kgtoGg</f>
        <v>0</v>
      </c>
      <c r="W182" s="22">
        <f>Constants!$H73*'Activity data'!W15*Constants!$H91*FracLEACHMM*MMLeachEF*NtoN2O*kgtoGg</f>
        <v>0</v>
      </c>
      <c r="X182" s="22">
        <f>Constants!$H73*'Activity data'!X15*Constants!$H91*FracLEACHMM*MMLeachEF*NtoN2O*kgtoGg</f>
        <v>0</v>
      </c>
      <c r="Y182" s="22">
        <f>Constants!$H73*'Activity data'!Y15*Constants!$H91*FracLEACHMM*MMLeachEF*NtoN2O*kgtoGg</f>
        <v>0</v>
      </c>
      <c r="Z182" s="22">
        <f>Constants!$H73*'Activity data'!Z15*Constants!$H91*FracLEACHMM*MMLeachEF*NtoN2O*kgtoGg</f>
        <v>0</v>
      </c>
      <c r="AA182" s="22">
        <f>Constants!$H73*'Activity data'!AA15*Constants!$H91*FracLEACHMM*MMLeachEF*NtoN2O*kgtoGg</f>
        <v>0</v>
      </c>
      <c r="AB182" s="22">
        <f>Constants!$H73*'Activity data'!AB15*Constants!$H91*FracLEACHMM*MMLeachEF*NtoN2O*kgtoGg</f>
        <v>0</v>
      </c>
      <c r="AC182" s="22">
        <f>Constants!$H73*'Activity data'!AC15*Constants!$H91*FracLEACHMM*MMLeachEF*NtoN2O*kgtoGg</f>
        <v>0</v>
      </c>
      <c r="AD182" s="22">
        <f>Constants!$H73*'Activity data'!AD15*Constants!$H91*FracLEACHMM*MMLeachEF*NtoN2O*kgtoGg</f>
        <v>0</v>
      </c>
      <c r="AE182" s="22">
        <f>Constants!$H73*'Activity data'!AE15*Constants!$H91*FracLEACHMM*MMLeachEF*NtoN2O*kgtoGg</f>
        <v>0</v>
      </c>
      <c r="AF182" s="22">
        <f>Constants!$H73*'Activity data'!AF15*Constants!$H91*FracLEACHMM*MMLeachEF*NtoN2O*kgtoGg</f>
        <v>0</v>
      </c>
      <c r="AG182" s="22">
        <f>Constants!$H73*'Activity data'!AG15*Constants!$H91*FracLEACHMM*MMLeachEF*NtoN2O*kgtoGg</f>
        <v>0</v>
      </c>
      <c r="AH182" s="22">
        <f>Constants!$H73*'Activity data'!AH15*Constants!$H91*FracLEACHMM*MMLeachEF*NtoN2O*kgtoGg</f>
        <v>0</v>
      </c>
      <c r="AI182" s="22">
        <f>Constants!$H73*'Activity data'!AI15*Constants!$H91*FracLEACHMM*MMLeachEF*NtoN2O*kgtoGg</f>
        <v>0</v>
      </c>
      <c r="AJ182" s="22">
        <f>Constants!$H73*'Activity data'!AJ15*Constants!$H91*FracLEACHMM*MMLeachEF*NtoN2O*kgtoGg</f>
        <v>0</v>
      </c>
      <c r="AK182" s="22">
        <f>Constants!$H73*'Activity data'!AK15*Constants!$H91*FracLEACHMM*MMLeachEF*NtoN2O*kgtoGg</f>
        <v>0</v>
      </c>
      <c r="AL182" s="22">
        <f>Constants!$H73*'Activity data'!AL15*Constants!$H91*FracLEACHMM*MMLeachEF*NtoN2O*kgtoGg</f>
        <v>0</v>
      </c>
      <c r="AM182" s="22">
        <f>Constants!$H73*'Activity data'!AM15*Constants!$H91*FracLEACHMM*MMLeachEF*NtoN2O*kgtoGg</f>
        <v>0</v>
      </c>
      <c r="AN182" s="22">
        <f>Constants!$H73*'Activity data'!AN15*Constants!$H91*FracLEACHMM*MMLeachEF*NtoN2O*kgtoGg</f>
        <v>0</v>
      </c>
      <c r="AO182" s="22">
        <f>Constants!$H73*'Activity data'!AO15*Constants!$H91*FracLEACHMM*MMLeachEF*NtoN2O*kgtoGg</f>
        <v>0</v>
      </c>
      <c r="AP182" s="22">
        <f>Constants!$H73*'Activity data'!AP15*Constants!$H91*FracLEACHMM*MMLeachEF*NtoN2O*kgtoGg</f>
        <v>0</v>
      </c>
      <c r="AQ182" s="22">
        <f>Constants!$H73*'Activity data'!AQ15*Constants!$H91*FracLEACHMM*MMLeachEF*NtoN2O*kgtoGg</f>
        <v>0</v>
      </c>
      <c r="AR182" s="22">
        <f>Constants!$H73*'Activity data'!AR15*Constants!$H91*FracLEACHMM*MMLeachEF*NtoN2O*kgtoGg</f>
        <v>0</v>
      </c>
      <c r="AS182" s="22">
        <f>Constants!$H73*'Activity data'!AS15*Constants!$H91*FracLEACHMM*MMLeachEF*NtoN2O*kgtoGg</f>
        <v>0</v>
      </c>
      <c r="AT182" s="22">
        <f>Constants!$H73*'Activity data'!AT15*Constants!$H91*FracLEACHMM*MMLeachEF*NtoN2O*kgtoGg</f>
        <v>0</v>
      </c>
      <c r="AU182" s="22">
        <f>Constants!$H73*'Activity data'!AU15*Constants!$H91*FracLEACHMM*MMLeachEF*NtoN2O*kgtoGg</f>
        <v>0</v>
      </c>
      <c r="AV182" s="22">
        <f>Constants!$H73*'Activity data'!AV15*Constants!$H91*FracLEACHMM*MMLeachEF*NtoN2O*kgtoGg</f>
        <v>0</v>
      </c>
      <c r="AW182" s="22">
        <f>Constants!$H73*'Activity data'!AW15*Constants!$H91*FracLEACHMM*MMLeachEF*NtoN2O*kgtoGg</f>
        <v>0</v>
      </c>
      <c r="AX182" s="22">
        <f>Constants!$H73*'Activity data'!AX15*Constants!$H91*FracLEACHMM*MMLeachEF*NtoN2O*kgtoGg</f>
        <v>0</v>
      </c>
      <c r="AY182" s="22">
        <f>Constants!$H73*'Activity data'!AY15*Constants!$H91*FracLEACHMM*MMLeachEF*NtoN2O*kgtoGg</f>
        <v>0</v>
      </c>
      <c r="AZ182" s="22">
        <f>Constants!$H73*'Activity data'!AZ15*Constants!$H91*FracLEACHMM*MMLeachEF*NtoN2O*kgtoGg</f>
        <v>0</v>
      </c>
      <c r="BA182" s="22">
        <f>Constants!$H73*'Activity data'!BA15*Constants!$H91*FracLEACHMM*MMLeachEF*NtoN2O*kgtoGg</f>
        <v>0</v>
      </c>
      <c r="BB182" s="22">
        <f>Constants!$H73*'Activity data'!BB15*Constants!$H91*FracLEACHMM*MMLeachEF*NtoN2O*kgtoGg</f>
        <v>0</v>
      </c>
      <c r="BC182" s="22">
        <f>Constants!$H73*'Activity data'!BC15*Constants!$H91*FracLEACHMM*MMLeachEF*NtoN2O*kgtoGg</f>
        <v>0</v>
      </c>
      <c r="BD182" s="22">
        <f>Constants!$H73*'Activity data'!BD15*Constants!$H91*FracLEACHMM*MMLeachEF*NtoN2O*kgtoGg</f>
        <v>0</v>
      </c>
      <c r="BE182" s="22">
        <f>Constants!$H73*'Activity data'!BE15*Constants!$H91*FracLEACHMM*MMLeachEF*NtoN2O*kgtoGg</f>
        <v>0</v>
      </c>
      <c r="BF182" s="22">
        <f>Constants!$H73*'Activity data'!BF15*Constants!$H91*FracLEACHMM*MMLeachEF*NtoN2O*kgtoGg</f>
        <v>0</v>
      </c>
      <c r="BG182" s="22">
        <f>Constants!$H73*'Activity data'!BG15*Constants!$H91*FracLEACHMM*MMLeachEF*NtoN2O*kgtoGg</f>
        <v>0</v>
      </c>
      <c r="BH182" s="22">
        <f>Constants!$H73*'Activity data'!BH15*Constants!$H91*FracLEACHMM*MMLeachEF*NtoN2O*kgtoGg</f>
        <v>0</v>
      </c>
      <c r="BI182" s="22">
        <f>Constants!$H73*'Activity data'!BI15*Constants!$H91*FracLEACHMM*MMLeachEF*NtoN2O*kgtoGg</f>
        <v>0</v>
      </c>
      <c r="BJ182" s="22">
        <f>Constants!$H73*'Activity data'!BJ15*Constants!$H91*FracLEACHMM*MMLeachEF*NtoN2O*kgtoGg</f>
        <v>0</v>
      </c>
      <c r="BK182" s="22">
        <f>Constants!$H73*'Activity data'!BK15*Constants!$H91*FracLEACHMM*MMLeachEF*NtoN2O*kgtoGg</f>
        <v>0</v>
      </c>
      <c r="BL182" s="22">
        <f>Constants!$H73*'Activity data'!BL15*Constants!$H91*FracLEACHMM*MMLeachEF*NtoN2O*kgtoGg</f>
        <v>0</v>
      </c>
      <c r="BM182" s="22">
        <f>Constants!$H73*'Activity data'!BM15*Constants!$H91*FracLEACHMM*MMLeachEF*NtoN2O*kgtoGg</f>
        <v>0</v>
      </c>
      <c r="BN182" s="22">
        <f>Constants!$H73*'Activity data'!BN15*Constants!$H91*FracLEACHMM*MMLeachEF*NtoN2O*kgtoGg</f>
        <v>0</v>
      </c>
      <c r="BO182" s="22">
        <f>Constants!$H73*'Activity data'!BO15*Constants!$H91*FracLEACHMM*MMLeachEF*NtoN2O*kgtoGg</f>
        <v>0</v>
      </c>
      <c r="BP182" s="22">
        <f>Constants!$H73*'Activity data'!BP15*Constants!$H91*FracLEACHMM*MMLeachEF*NtoN2O*kgtoGg</f>
        <v>0</v>
      </c>
    </row>
    <row r="183" spans="1:68" x14ac:dyDescent="0.25">
      <c r="A183" t="str">
        <f t="shared" si="58"/>
        <v>3C Aggregated and non-CO2 emissions on land</v>
      </c>
      <c r="B183" t="str">
        <f t="shared" si="65"/>
        <v>3C6 Indirect N2O from manure management (N2O)</v>
      </c>
      <c r="C183" t="str">
        <f t="shared" si="67"/>
        <v>Leaching/runoff</v>
      </c>
      <c r="D183" t="str">
        <f t="shared" si="66"/>
        <v xml:space="preserve"> - Mules &amp; Asses</v>
      </c>
      <c r="E183" t="str">
        <f t="shared" si="64"/>
        <v>Leaching/runoff - Mules &amp; Asses</v>
      </c>
      <c r="F183" t="str">
        <f t="shared" si="47"/>
        <v>N2O</v>
      </c>
      <c r="G183" t="str">
        <f t="shared" si="48"/>
        <v>Gg N2O</v>
      </c>
      <c r="H183" s="22">
        <f>Constants!$H74*'Activity data'!H16*Constants!$H92*FracLEACHMM*MMLeachEF*NtoN2O*kgtoGg</f>
        <v>0</v>
      </c>
      <c r="I183" s="22">
        <f>Constants!$H74*'Activity data'!I16*Constants!$H92*FracLEACHMM*MMLeachEF*NtoN2O*kgtoGg</f>
        <v>0</v>
      </c>
      <c r="J183" s="22">
        <f>Constants!$H74*'Activity data'!J16*Constants!$H92*FracLEACHMM*MMLeachEF*NtoN2O*kgtoGg</f>
        <v>0</v>
      </c>
      <c r="K183" s="22">
        <f>Constants!$H74*'Activity data'!K16*Constants!$H92*FracLEACHMM*MMLeachEF*NtoN2O*kgtoGg</f>
        <v>0</v>
      </c>
      <c r="L183" s="22">
        <f>Constants!$H74*'Activity data'!L16*Constants!$H92*FracLEACHMM*MMLeachEF*NtoN2O*kgtoGg</f>
        <v>0</v>
      </c>
      <c r="M183" s="22">
        <f>Constants!$H74*'Activity data'!M16*Constants!$H92*FracLEACHMM*MMLeachEF*NtoN2O*kgtoGg</f>
        <v>0</v>
      </c>
      <c r="N183" s="22">
        <f>Constants!$H74*'Activity data'!N16*Constants!$H92*FracLEACHMM*MMLeachEF*NtoN2O*kgtoGg</f>
        <v>0</v>
      </c>
      <c r="O183" s="22">
        <f>Constants!$H74*'Activity data'!O16*Constants!$H92*FracLEACHMM*MMLeachEF*NtoN2O*kgtoGg</f>
        <v>0</v>
      </c>
      <c r="P183" s="22">
        <f>Constants!$H74*'Activity data'!P16*Constants!$H92*FracLEACHMM*MMLeachEF*NtoN2O*kgtoGg</f>
        <v>0</v>
      </c>
      <c r="Q183" s="22">
        <f>Constants!$H74*'Activity data'!Q16*Constants!$H92*FracLEACHMM*MMLeachEF*NtoN2O*kgtoGg</f>
        <v>0</v>
      </c>
      <c r="R183" s="22">
        <f>Constants!$H74*'Activity data'!R16*Constants!$H92*FracLEACHMM*MMLeachEF*NtoN2O*kgtoGg</f>
        <v>0</v>
      </c>
      <c r="S183" s="22">
        <f>Constants!$H74*'Activity data'!S16*Constants!$H92*FracLEACHMM*MMLeachEF*NtoN2O*kgtoGg</f>
        <v>0</v>
      </c>
      <c r="T183" s="22">
        <f>Constants!$H74*'Activity data'!T16*Constants!$H92*FracLEACHMM*MMLeachEF*NtoN2O*kgtoGg</f>
        <v>0</v>
      </c>
      <c r="U183" s="22">
        <f>Constants!$H74*'Activity data'!U16*Constants!$H92*FracLEACHMM*MMLeachEF*NtoN2O*kgtoGg</f>
        <v>0</v>
      </c>
      <c r="V183" s="22">
        <f>Constants!$H74*'Activity data'!V16*Constants!$H92*FracLEACHMM*MMLeachEF*NtoN2O*kgtoGg</f>
        <v>0</v>
      </c>
      <c r="W183" s="22">
        <f>Constants!$H74*'Activity data'!W16*Constants!$H92*FracLEACHMM*MMLeachEF*NtoN2O*kgtoGg</f>
        <v>0</v>
      </c>
      <c r="X183" s="22">
        <f>Constants!$H74*'Activity data'!X16*Constants!$H92*FracLEACHMM*MMLeachEF*NtoN2O*kgtoGg</f>
        <v>0</v>
      </c>
      <c r="Y183" s="22">
        <f>Constants!$H74*'Activity data'!Y16*Constants!$H92*FracLEACHMM*MMLeachEF*NtoN2O*kgtoGg</f>
        <v>0</v>
      </c>
      <c r="Z183" s="22">
        <f>Constants!$H74*'Activity data'!Z16*Constants!$H92*FracLEACHMM*MMLeachEF*NtoN2O*kgtoGg</f>
        <v>0</v>
      </c>
      <c r="AA183" s="22">
        <f>Constants!$H74*'Activity data'!AA16*Constants!$H92*FracLEACHMM*MMLeachEF*NtoN2O*kgtoGg</f>
        <v>0</v>
      </c>
      <c r="AB183" s="22">
        <f>Constants!$H74*'Activity data'!AB16*Constants!$H92*FracLEACHMM*MMLeachEF*NtoN2O*kgtoGg</f>
        <v>0</v>
      </c>
      <c r="AC183" s="22">
        <f>Constants!$H74*'Activity data'!AC16*Constants!$H92*FracLEACHMM*MMLeachEF*NtoN2O*kgtoGg</f>
        <v>0</v>
      </c>
      <c r="AD183" s="22">
        <f>Constants!$H74*'Activity data'!AD16*Constants!$H92*FracLEACHMM*MMLeachEF*NtoN2O*kgtoGg</f>
        <v>0</v>
      </c>
      <c r="AE183" s="22">
        <f>Constants!$H74*'Activity data'!AE16*Constants!$H92*FracLEACHMM*MMLeachEF*NtoN2O*kgtoGg</f>
        <v>0</v>
      </c>
      <c r="AF183" s="22">
        <f>Constants!$H74*'Activity data'!AF16*Constants!$H92*FracLEACHMM*MMLeachEF*NtoN2O*kgtoGg</f>
        <v>0</v>
      </c>
      <c r="AG183" s="22">
        <f>Constants!$H74*'Activity data'!AG16*Constants!$H92*FracLEACHMM*MMLeachEF*NtoN2O*kgtoGg</f>
        <v>0</v>
      </c>
      <c r="AH183" s="22">
        <f>Constants!$H74*'Activity data'!AH16*Constants!$H92*FracLEACHMM*MMLeachEF*NtoN2O*kgtoGg</f>
        <v>0</v>
      </c>
      <c r="AI183" s="22">
        <f>Constants!$H74*'Activity data'!AI16*Constants!$H92*FracLEACHMM*MMLeachEF*NtoN2O*kgtoGg</f>
        <v>0</v>
      </c>
      <c r="AJ183" s="22">
        <f>Constants!$H74*'Activity data'!AJ16*Constants!$H92*FracLEACHMM*MMLeachEF*NtoN2O*kgtoGg</f>
        <v>0</v>
      </c>
      <c r="AK183" s="22">
        <f>Constants!$H74*'Activity data'!AK16*Constants!$H92*FracLEACHMM*MMLeachEF*NtoN2O*kgtoGg</f>
        <v>0</v>
      </c>
      <c r="AL183" s="22">
        <f>Constants!$H74*'Activity data'!AL16*Constants!$H92*FracLEACHMM*MMLeachEF*NtoN2O*kgtoGg</f>
        <v>0</v>
      </c>
      <c r="AM183" s="22">
        <f>Constants!$H74*'Activity data'!AM16*Constants!$H92*FracLEACHMM*MMLeachEF*NtoN2O*kgtoGg</f>
        <v>0</v>
      </c>
      <c r="AN183" s="22">
        <f>Constants!$H74*'Activity data'!AN16*Constants!$H92*FracLEACHMM*MMLeachEF*NtoN2O*kgtoGg</f>
        <v>0</v>
      </c>
      <c r="AO183" s="22">
        <f>Constants!$H74*'Activity data'!AO16*Constants!$H92*FracLEACHMM*MMLeachEF*NtoN2O*kgtoGg</f>
        <v>0</v>
      </c>
      <c r="AP183" s="22">
        <f>Constants!$H74*'Activity data'!AP16*Constants!$H92*FracLEACHMM*MMLeachEF*NtoN2O*kgtoGg</f>
        <v>0</v>
      </c>
      <c r="AQ183" s="22">
        <f>Constants!$H74*'Activity data'!AQ16*Constants!$H92*FracLEACHMM*MMLeachEF*NtoN2O*kgtoGg</f>
        <v>0</v>
      </c>
      <c r="AR183" s="22">
        <f>Constants!$H74*'Activity data'!AR16*Constants!$H92*FracLEACHMM*MMLeachEF*NtoN2O*kgtoGg</f>
        <v>0</v>
      </c>
      <c r="AS183" s="22">
        <f>Constants!$H74*'Activity data'!AS16*Constants!$H92*FracLEACHMM*MMLeachEF*NtoN2O*kgtoGg</f>
        <v>0</v>
      </c>
      <c r="AT183" s="22">
        <f>Constants!$H74*'Activity data'!AT16*Constants!$H92*FracLEACHMM*MMLeachEF*NtoN2O*kgtoGg</f>
        <v>0</v>
      </c>
      <c r="AU183" s="22">
        <f>Constants!$H74*'Activity data'!AU16*Constants!$H92*FracLEACHMM*MMLeachEF*NtoN2O*kgtoGg</f>
        <v>0</v>
      </c>
      <c r="AV183" s="22">
        <f>Constants!$H74*'Activity data'!AV16*Constants!$H92*FracLEACHMM*MMLeachEF*NtoN2O*kgtoGg</f>
        <v>0</v>
      </c>
      <c r="AW183" s="22">
        <f>Constants!$H74*'Activity data'!AW16*Constants!$H92*FracLEACHMM*MMLeachEF*NtoN2O*kgtoGg</f>
        <v>0</v>
      </c>
      <c r="AX183" s="22">
        <f>Constants!$H74*'Activity data'!AX16*Constants!$H92*FracLEACHMM*MMLeachEF*NtoN2O*kgtoGg</f>
        <v>0</v>
      </c>
      <c r="AY183" s="22">
        <f>Constants!$H74*'Activity data'!AY16*Constants!$H92*FracLEACHMM*MMLeachEF*NtoN2O*kgtoGg</f>
        <v>0</v>
      </c>
      <c r="AZ183" s="22">
        <f>Constants!$H74*'Activity data'!AZ16*Constants!$H92*FracLEACHMM*MMLeachEF*NtoN2O*kgtoGg</f>
        <v>0</v>
      </c>
      <c r="BA183" s="22">
        <f>Constants!$H74*'Activity data'!BA16*Constants!$H92*FracLEACHMM*MMLeachEF*NtoN2O*kgtoGg</f>
        <v>0</v>
      </c>
      <c r="BB183" s="22">
        <f>Constants!$H74*'Activity data'!BB16*Constants!$H92*FracLEACHMM*MMLeachEF*NtoN2O*kgtoGg</f>
        <v>0</v>
      </c>
      <c r="BC183" s="22">
        <f>Constants!$H74*'Activity data'!BC16*Constants!$H92*FracLEACHMM*MMLeachEF*NtoN2O*kgtoGg</f>
        <v>0</v>
      </c>
      <c r="BD183" s="22">
        <f>Constants!$H74*'Activity data'!BD16*Constants!$H92*FracLEACHMM*MMLeachEF*NtoN2O*kgtoGg</f>
        <v>0</v>
      </c>
      <c r="BE183" s="22">
        <f>Constants!$H74*'Activity data'!BE16*Constants!$H92*FracLEACHMM*MMLeachEF*NtoN2O*kgtoGg</f>
        <v>0</v>
      </c>
      <c r="BF183" s="22">
        <f>Constants!$H74*'Activity data'!BF16*Constants!$H92*FracLEACHMM*MMLeachEF*NtoN2O*kgtoGg</f>
        <v>0</v>
      </c>
      <c r="BG183" s="22">
        <f>Constants!$H74*'Activity data'!BG16*Constants!$H92*FracLEACHMM*MMLeachEF*NtoN2O*kgtoGg</f>
        <v>0</v>
      </c>
      <c r="BH183" s="22">
        <f>Constants!$H74*'Activity data'!BH16*Constants!$H92*FracLEACHMM*MMLeachEF*NtoN2O*kgtoGg</f>
        <v>0</v>
      </c>
      <c r="BI183" s="22">
        <f>Constants!$H74*'Activity data'!BI16*Constants!$H92*FracLEACHMM*MMLeachEF*NtoN2O*kgtoGg</f>
        <v>0</v>
      </c>
      <c r="BJ183" s="22">
        <f>Constants!$H74*'Activity data'!BJ16*Constants!$H92*FracLEACHMM*MMLeachEF*NtoN2O*kgtoGg</f>
        <v>0</v>
      </c>
      <c r="BK183" s="22">
        <f>Constants!$H74*'Activity data'!BK16*Constants!$H92*FracLEACHMM*MMLeachEF*NtoN2O*kgtoGg</f>
        <v>0</v>
      </c>
      <c r="BL183" s="22">
        <f>Constants!$H74*'Activity data'!BL16*Constants!$H92*FracLEACHMM*MMLeachEF*NtoN2O*kgtoGg</f>
        <v>0</v>
      </c>
      <c r="BM183" s="22">
        <f>Constants!$H74*'Activity data'!BM16*Constants!$H92*FracLEACHMM*MMLeachEF*NtoN2O*kgtoGg</f>
        <v>0</v>
      </c>
      <c r="BN183" s="22">
        <f>Constants!$H74*'Activity data'!BN16*Constants!$H92*FracLEACHMM*MMLeachEF*NtoN2O*kgtoGg</f>
        <v>0</v>
      </c>
      <c r="BO183" s="22">
        <f>Constants!$H74*'Activity data'!BO16*Constants!$H92*FracLEACHMM*MMLeachEF*NtoN2O*kgtoGg</f>
        <v>0</v>
      </c>
      <c r="BP183" s="22">
        <f>Constants!$H74*'Activity data'!BP16*Constants!$H92*FracLEACHMM*MMLeachEF*NtoN2O*kgtoGg</f>
        <v>0</v>
      </c>
    </row>
    <row r="184" spans="1:68" x14ac:dyDescent="0.25">
      <c r="A184" t="str">
        <f t="shared" si="58"/>
        <v>3C Aggregated and non-CO2 emissions on land</v>
      </c>
      <c r="B184" t="str">
        <f t="shared" si="65"/>
        <v>3C6 Indirect N2O from manure management (N2O)</v>
      </c>
      <c r="C184" t="str">
        <f t="shared" si="67"/>
        <v>Leaching/runoff</v>
      </c>
      <c r="D184" t="str">
        <f t="shared" si="66"/>
        <v xml:space="preserve"> - Commercial swine</v>
      </c>
      <c r="E184" t="str">
        <f t="shared" si="64"/>
        <v>Leaching/runoff - Commercial swine</v>
      </c>
      <c r="F184" t="str">
        <f t="shared" si="47"/>
        <v>N2O</v>
      </c>
      <c r="G184" t="str">
        <f t="shared" si="48"/>
        <v>Gg N2O</v>
      </c>
      <c r="H184" s="22">
        <f>Constants!$H75*'Activity data'!H17*Constants!$H93*FracLEACHMM*MMLeachEF*NtoN2O*kgtoGg</f>
        <v>2.473216868571429E-2</v>
      </c>
      <c r="I184" s="22">
        <f>Constants!$H75*'Activity data'!I17*Constants!$H93*FracLEACHMM*MMLeachEF*NtoN2O*kgtoGg</f>
        <v>2.7020381142857142E-2</v>
      </c>
      <c r="J184" s="22">
        <f>Constants!$H75*'Activity data'!J17*Constants!$H93*FracLEACHMM*MMLeachEF*NtoN2O*kgtoGg</f>
        <v>2.6841868114285718E-2</v>
      </c>
      <c r="K184" s="22">
        <f>Constants!$H75*'Activity data'!K17*Constants!$H93*FracLEACHMM*MMLeachEF*NtoN2O*kgtoGg</f>
        <v>2.6825639657142863E-2</v>
      </c>
      <c r="L184" s="22">
        <f>Constants!$H75*'Activity data'!L17*Constants!$H93*FracLEACHMM*MMLeachEF*NtoN2O*kgtoGg</f>
        <v>2.5478677714285716E-2</v>
      </c>
      <c r="M184" s="22">
        <f>Constants!$H75*'Activity data'!M17*Constants!$H93*FracLEACHMM*MMLeachEF*NtoN2O*kgtoGg</f>
        <v>2.572210457142857E-2</v>
      </c>
      <c r="N184" s="22">
        <f>Constants!$H75*'Activity data'!N17*Constants!$H93*FracLEACHMM*MMLeachEF*NtoN2O*kgtoGg</f>
        <v>2.7701976342857142E-2</v>
      </c>
      <c r="O184" s="22">
        <f>Constants!$H75*'Activity data'!O17*Constants!$H93*FracLEACHMM*MMLeachEF*NtoN2O*kgtoGg</f>
        <v>2.7572148685714289E-2</v>
      </c>
      <c r="P184" s="22">
        <f>Constants!$H75*'Activity data'!P17*Constants!$H93*FracLEACHMM*MMLeachEF*NtoN2O*kgtoGg</f>
        <v>2.8172601599999996E-2</v>
      </c>
      <c r="Q184" s="22">
        <f>Constants!$H75*'Activity data'!Q17*Constants!$H93*FracLEACHMM*MMLeachEF*NtoN2O*kgtoGg</f>
        <v>2.8886653714285716E-2</v>
      </c>
      <c r="R184" s="22">
        <f>Constants!$H75*'Activity data'!R17*Constants!$H93*FracLEACHMM*MMLeachEF*NtoN2O*kgtoGg</f>
        <v>2.6728268914285716E-2</v>
      </c>
      <c r="S184" s="22">
        <f>Constants!$H75*'Activity data'!S17*Constants!$H93*FracLEACHMM*MMLeachEF*NtoN2O*kgtoGg</f>
        <v>2.7231351085714284E-2</v>
      </c>
      <c r="T184" s="22">
        <f>Constants!$H75*'Activity data'!T17*Constants!$H93*FracLEACHMM*MMLeachEF*NtoN2O*kgtoGg</f>
        <v>2.775066171428571E-2</v>
      </c>
      <c r="U184" s="22">
        <f>Constants!$H75*'Activity data'!U17*Constants!$H93*FracLEACHMM*MMLeachEF*NtoN2O*kgtoGg</f>
        <v>2.6987924228571426E-2</v>
      </c>
      <c r="V184" s="22">
        <f>Constants!$H75*'Activity data'!V17*Constants!$H93*FracLEACHMM*MMLeachEF*NtoN2O*kgtoGg</f>
        <v>2.6987924228571426E-2</v>
      </c>
      <c r="W184" s="22">
        <f>Constants!$H75*'Activity data'!W17*Constants!$H93*FracLEACHMM*MMLeachEF*NtoN2O*kgtoGg</f>
        <v>2.6793182742857146E-2</v>
      </c>
      <c r="X184" s="22">
        <f>Constants!$H75*'Activity data'!X17*Constants!$H93*FracLEACHMM*MMLeachEF*NtoN2O*kgtoGg</f>
        <v>2.6322557485714288E-2</v>
      </c>
      <c r="Y184" s="22">
        <f>Constants!$H75*'Activity data'!Y17*Constants!$H93*FracLEACHMM*MMLeachEF*NtoN2O*kgtoGg</f>
        <v>2.6793182742857146E-2</v>
      </c>
      <c r="Z184" s="22">
        <f>Constants!$H75*'Activity data'!Z17*Constants!$H93*FracLEACHMM*MMLeachEF*NtoN2O*kgtoGg</f>
        <v>2.6208958285714283E-2</v>
      </c>
      <c r="AA184" s="22">
        <f>Constants!$H75*'Activity data'!AA17*Constants!$H93*FracLEACHMM*MMLeachEF*NtoN2O*kgtoGg</f>
        <v>2.617650137142857E-2</v>
      </c>
      <c r="AB184" s="22">
        <f>Constants!$H75*'Activity data'!AB17*Constants!$H93*FracLEACHMM*MMLeachEF*NtoN2O*kgtoGg</f>
        <v>2.5868160685714285E-2</v>
      </c>
      <c r="AC184" s="22">
        <f>Constants!$H75*'Activity data'!AC17*Constants!$H93*FracLEACHMM*MMLeachEF*NtoN2O*kgtoGg</f>
        <v>2.5705876114285712E-2</v>
      </c>
      <c r="AD184" s="22">
        <f>Constants!$H75*'Activity data'!AD17*Constants!$H93*FracLEACHMM*MMLeachEF*NtoN2O*kgtoGg</f>
        <v>2.7080534096129025E-2</v>
      </c>
      <c r="AE184" s="22">
        <f>Constants!$H75*'Activity data'!AE17*Constants!$H93*FracLEACHMM*MMLeachEF*NtoN2O*kgtoGg</f>
        <v>2.6995058080291692E-2</v>
      </c>
      <c r="AF184" s="22">
        <f>Constants!$H75*'Activity data'!AF17*Constants!$H93*FracLEACHMM*MMLeachEF*NtoN2O*kgtoGg</f>
        <v>2.6712389539955236E-2</v>
      </c>
      <c r="AG184" s="22">
        <f>Constants!$H75*'Activity data'!AG17*Constants!$H93*FracLEACHMM*MMLeachEF*NtoN2O*kgtoGg</f>
        <v>2.6163552006630762E-2</v>
      </c>
      <c r="AH184" s="22">
        <f>Constants!$H75*'Activity data'!AH17*Constants!$H93*FracLEACHMM*MMLeachEF*NtoN2O*kgtoGg</f>
        <v>2.5638728055519384E-2</v>
      </c>
      <c r="AI184" s="22">
        <f>Constants!$H75*'Activity data'!AI17*Constants!$H93*FracLEACHMM*MMLeachEF*NtoN2O*kgtoGg</f>
        <v>2.5270557311936091E-2</v>
      </c>
      <c r="AJ184" s="22">
        <f>Constants!$H75*'Activity data'!AJ17*Constants!$H93*FracLEACHMM*MMLeachEF*NtoN2O*kgtoGg</f>
        <v>2.4958747401341939E-2</v>
      </c>
      <c r="AK184" s="22">
        <f>Constants!$H75*'Activity data'!AK17*Constants!$H93*FracLEACHMM*MMLeachEF*NtoN2O*kgtoGg</f>
        <v>2.4384582351632111E-2</v>
      </c>
      <c r="AL184" s="22">
        <f>Constants!$H75*'Activity data'!AL17*Constants!$H93*FracLEACHMM*MMLeachEF*NtoN2O*kgtoGg</f>
        <v>2.1346855337625082E-2</v>
      </c>
      <c r="AM184" s="22">
        <f>Constants!$H75*'Activity data'!AM17*Constants!$H93*FracLEACHMM*MMLeachEF*NtoN2O*kgtoGg</f>
        <v>2.1482505917310397E-2</v>
      </c>
      <c r="AN184" s="22">
        <f>Constants!$H75*'Activity data'!AN17*Constants!$H93*FracLEACHMM*MMLeachEF*NtoN2O*kgtoGg</f>
        <v>2.1550596950866634E-2</v>
      </c>
      <c r="AO184" s="22">
        <f>Constants!$H75*'Activity data'!AO17*Constants!$H93*FracLEACHMM*MMLeachEF*NtoN2O*kgtoGg</f>
        <v>2.1616794763907179E-2</v>
      </c>
      <c r="AP184" s="22">
        <f>Constants!$H75*'Activity data'!AP17*Constants!$H93*FracLEACHMM*MMLeachEF*NtoN2O*kgtoGg</f>
        <v>2.1778489708019384E-2</v>
      </c>
      <c r="AQ184" s="22">
        <f>Constants!$H75*'Activity data'!AQ17*Constants!$H93*FracLEACHMM*MMLeachEF*NtoN2O*kgtoGg</f>
        <v>2.1934748739134539E-2</v>
      </c>
      <c r="AR184" s="22">
        <f>Constants!$H75*'Activity data'!AR17*Constants!$H93*FracLEACHMM*MMLeachEF*NtoN2O*kgtoGg</f>
        <v>2.2114017881126848E-2</v>
      </c>
      <c r="AS184" s="22">
        <f>Constants!$H75*'Activity data'!AS17*Constants!$H93*FracLEACHMM*MMLeachEF*NtoN2O*kgtoGg</f>
        <v>2.2264487150526265E-2</v>
      </c>
      <c r="AT184" s="22">
        <f>Constants!$H75*'Activity data'!AT17*Constants!$H93*FracLEACHMM*MMLeachEF*NtoN2O*kgtoGg</f>
        <v>2.2445316206361306E-2</v>
      </c>
      <c r="AU184" s="22">
        <f>Constants!$H75*'Activity data'!AU17*Constants!$H93*FracLEACHMM*MMLeachEF*NtoN2O*kgtoGg</f>
        <v>2.2576949368517302E-2</v>
      </c>
      <c r="AV184" s="22">
        <f>Constants!$H75*'Activity data'!AV17*Constants!$H93*FracLEACHMM*MMLeachEF*NtoN2O*kgtoGg</f>
        <v>2.271541592892265E-2</v>
      </c>
      <c r="AW184" s="22">
        <f>Constants!$H75*'Activity data'!AW17*Constants!$H93*FracLEACHMM*MMLeachEF*NtoN2O*kgtoGg</f>
        <v>2.2970809719090692E-2</v>
      </c>
      <c r="AX184" s="22">
        <f>Constants!$H75*'Activity data'!AX17*Constants!$H93*FracLEACHMM*MMLeachEF*NtoN2O*kgtoGg</f>
        <v>2.3269151361655305E-2</v>
      </c>
      <c r="AY184" s="22">
        <f>Constants!$H75*'Activity data'!AY17*Constants!$H93*FracLEACHMM*MMLeachEF*NtoN2O*kgtoGg</f>
        <v>2.3577881186145462E-2</v>
      </c>
      <c r="AZ184" s="22">
        <f>Constants!$H75*'Activity data'!AZ17*Constants!$H93*FracLEACHMM*MMLeachEF*NtoN2O*kgtoGg</f>
        <v>2.3230896400696678E-2</v>
      </c>
      <c r="BA184" s="22">
        <f>Constants!$H75*'Activity data'!BA17*Constants!$H93*FracLEACHMM*MMLeachEF*NtoN2O*kgtoGg</f>
        <v>-7.8382777121831278E-3</v>
      </c>
      <c r="BB184" s="22">
        <f>Constants!$H75*'Activity data'!BB17*Constants!$H93*FracLEACHMM*MMLeachEF*NtoN2O*kgtoGg</f>
        <v>-7.7525396142955495E-3</v>
      </c>
      <c r="BC184" s="22">
        <f>Constants!$H75*'Activity data'!BC17*Constants!$H93*FracLEACHMM*MMLeachEF*NtoN2O*kgtoGg</f>
        <v>-7.6686379044997068E-3</v>
      </c>
      <c r="BD184" s="22">
        <f>Constants!$H75*'Activity data'!BD17*Constants!$H93*FracLEACHMM*MMLeachEF*NtoN2O*kgtoGg</f>
        <v>-7.586452448594779E-3</v>
      </c>
      <c r="BE184" s="22">
        <f>Constants!$H75*'Activity data'!BE17*Constants!$H93*FracLEACHMM*MMLeachEF*NtoN2O*kgtoGg</f>
        <v>-7.5058719086197852E-3</v>
      </c>
      <c r="BF184" s="22">
        <f>Constants!$H75*'Activity data'!BF17*Constants!$H93*FracLEACHMM*MMLeachEF*NtoN2O*kgtoGg</f>
        <v>-7.4267928922061455E-3</v>
      </c>
      <c r="BG184" s="22">
        <f>Constants!$H75*'Activity data'!BG17*Constants!$H93*FracLEACHMM*MMLeachEF*NtoN2O*kgtoGg</f>
        <v>-7.3400589670898171E-3</v>
      </c>
      <c r="BH184" s="22">
        <f>Constants!$H75*'Activity data'!BH17*Constants!$H93*FracLEACHMM*MMLeachEF*NtoN2O*kgtoGg</f>
        <v>-7.2548542835376628E-3</v>
      </c>
      <c r="BI184" s="22">
        <f>Constants!$H75*'Activity data'!BI17*Constants!$H93*FracLEACHMM*MMLeachEF*NtoN2O*kgtoGg</f>
        <v>-7.1710895268481756E-3</v>
      </c>
      <c r="BJ184" s="22">
        <f>Constants!$H75*'Activity data'!BJ17*Constants!$H93*FracLEACHMM*MMLeachEF*NtoN2O*kgtoGg</f>
        <v>-7.0886812161586998E-3</v>
      </c>
      <c r="BK184" s="22">
        <f>Constants!$H75*'Activity data'!BK17*Constants!$H93*FracLEACHMM*MMLeachEF*NtoN2O*kgtoGg</f>
        <v>-7.0075512003870211E-3</v>
      </c>
      <c r="BL184" s="22">
        <f>Constants!$H75*'Activity data'!BL17*Constants!$H93*FracLEACHMM*MMLeachEF*NtoN2O*kgtoGg</f>
        <v>-6.9191376458643079E-3</v>
      </c>
      <c r="BM184" s="22">
        <f>Constants!$H75*'Activity data'!BM17*Constants!$H93*FracLEACHMM*MMLeachEF*NtoN2O*kgtoGg</f>
        <v>-6.8320744878094938E-3</v>
      </c>
      <c r="BN184" s="22">
        <f>Constants!$H75*'Activity data'!BN17*Constants!$H93*FracLEACHMM*MMLeachEF*NtoN2O*kgtoGg</f>
        <v>-6.7462922163727323E-3</v>
      </c>
      <c r="BO184" s="22">
        <f>Constants!$H75*'Activity data'!BO17*Constants!$H93*FracLEACHMM*MMLeachEF*NtoN2O*kgtoGg</f>
        <v>-6.6617254285893414E-3</v>
      </c>
      <c r="BP184" s="22">
        <f>Constants!$H75*'Activity data'!BP17*Constants!$H93*FracLEACHMM*MMLeachEF*NtoN2O*kgtoGg</f>
        <v>-6.5783125081778221E-3</v>
      </c>
    </row>
    <row r="185" spans="1:68" x14ac:dyDescent="0.25">
      <c r="A185" t="str">
        <f t="shared" si="58"/>
        <v>3C Aggregated and non-CO2 emissions on land</v>
      </c>
      <c r="B185" t="str">
        <f>B184</f>
        <v>3C6 Indirect N2O from manure management (N2O)</v>
      </c>
      <c r="C185" t="str">
        <f t="shared" si="67"/>
        <v>Leaching/runoff</v>
      </c>
      <c r="D185" t="str">
        <f>D169</f>
        <v xml:space="preserve"> - Subsistence swine</v>
      </c>
      <c r="E185" t="str">
        <f t="shared" si="64"/>
        <v>Leaching/runoff - Subsistence swine</v>
      </c>
      <c r="F185" t="str">
        <f t="shared" si="47"/>
        <v>N2O</v>
      </c>
      <c r="G185" t="str">
        <f t="shared" si="48"/>
        <v>Gg N2O</v>
      </c>
      <c r="H185" s="22">
        <f>Constants!$H76*'Activity data'!H18*Constants!$H94*FracLEACHMM*MMLeachEF*NtoN2O*kgtoGg</f>
        <v>3.5396781390192064E-3</v>
      </c>
      <c r="I185" s="22">
        <f>Constants!$H76*'Activity data'!I18*Constants!$H94*FracLEACHMM*MMLeachEF*NtoN2O*kgtoGg</f>
        <v>3.867168045582008E-3</v>
      </c>
      <c r="J185" s="22">
        <f>Constants!$H76*'Activity data'!J18*Constants!$H94*FracLEACHMM*MMLeachEF*NtoN2O*kgtoGg</f>
        <v>3.8416191876232074E-3</v>
      </c>
      <c r="K185" s="22">
        <f>Constants!$H76*'Activity data'!K18*Constants!$H94*FracLEACHMM*MMLeachEF*NtoN2O*kgtoGg</f>
        <v>3.8392965641724079E-3</v>
      </c>
      <c r="L185" s="22">
        <f>Constants!$H76*'Activity data'!L18*Constants!$H94*FracLEACHMM*MMLeachEF*NtoN2O*kgtoGg</f>
        <v>3.6465188177560062E-3</v>
      </c>
      <c r="M185" s="22">
        <f>Constants!$H76*'Activity data'!M18*Constants!$H94*FracLEACHMM*MMLeachEF*NtoN2O*kgtoGg</f>
        <v>3.6813581695180077E-3</v>
      </c>
      <c r="N185" s="22">
        <f>Constants!$H76*'Activity data'!N18*Constants!$H94*FracLEACHMM*MMLeachEF*NtoN2O*kgtoGg</f>
        <v>3.9647182305156074E-3</v>
      </c>
      <c r="O185" s="22">
        <f>Constants!$H76*'Activity data'!O18*Constants!$H94*FracLEACHMM*MMLeachEF*NtoN2O*kgtoGg</f>
        <v>3.9461372429092081E-3</v>
      </c>
      <c r="P185" s="22">
        <f>Constants!$H76*'Activity data'!P18*Constants!$H94*FracLEACHMM*MMLeachEF*NtoN2O*kgtoGg</f>
        <v>4.0320743105888082E-3</v>
      </c>
      <c r="Q185" s="22">
        <f>Constants!$H76*'Activity data'!Q18*Constants!$H94*FracLEACHMM*MMLeachEF*NtoN2O*kgtoGg</f>
        <v>4.1342697424240071E-3</v>
      </c>
      <c r="R185" s="22">
        <f>Constants!$H76*'Activity data'!R18*Constants!$H94*FracLEACHMM*MMLeachEF*NtoN2O*kgtoGg</f>
        <v>3.8253608234676073E-3</v>
      </c>
      <c r="S185" s="22">
        <f>Constants!$H76*'Activity data'!S18*Constants!$H94*FracLEACHMM*MMLeachEF*NtoN2O*kgtoGg</f>
        <v>3.8973621504424074E-3</v>
      </c>
      <c r="T185" s="22">
        <f>Constants!$H76*'Activity data'!T18*Constants!$H94*FracLEACHMM*MMLeachEF*NtoN2O*kgtoGg</f>
        <v>3.9716861008680087E-3</v>
      </c>
      <c r="U185" s="22">
        <f>Constants!$H76*'Activity data'!U18*Constants!$H94*FracLEACHMM*MMLeachEF*NtoN2O*kgtoGg</f>
        <v>3.8625227986804071E-3</v>
      </c>
      <c r="V185" s="22">
        <f>Constants!$H76*'Activity data'!V18*Constants!$H94*FracLEACHMM*MMLeachEF*NtoN2O*kgtoGg</f>
        <v>3.8625227986804071E-3</v>
      </c>
      <c r="W185" s="22">
        <f>Constants!$H76*'Activity data'!W18*Constants!$H94*FracLEACHMM*MMLeachEF*NtoN2O*kgtoGg</f>
        <v>3.8346513172708078E-3</v>
      </c>
      <c r="X185" s="22">
        <f>Constants!$H76*'Activity data'!X18*Constants!$H94*FracLEACHMM*MMLeachEF*NtoN2O*kgtoGg</f>
        <v>3.7672952371976065E-3</v>
      </c>
      <c r="Y185" s="22">
        <f>Constants!$H76*'Activity data'!Y18*Constants!$H94*FracLEACHMM*MMLeachEF*NtoN2O*kgtoGg</f>
        <v>3.8346513172708078E-3</v>
      </c>
      <c r="Z185" s="22">
        <f>Constants!$H76*'Activity data'!Z18*Constants!$H94*FracLEACHMM*MMLeachEF*NtoN2O*kgtoGg</f>
        <v>3.7510368730420082E-3</v>
      </c>
      <c r="AA185" s="22">
        <f>Constants!$H76*'Activity data'!AA18*Constants!$H94*FracLEACHMM*MMLeachEF*NtoN2O*kgtoGg</f>
        <v>3.7463916261404073E-3</v>
      </c>
      <c r="AB185" s="22">
        <f>Constants!$H76*'Activity data'!AB18*Constants!$H94*FracLEACHMM*MMLeachEF*NtoN2O*kgtoGg</f>
        <v>3.7022617805752074E-3</v>
      </c>
      <c r="AC185" s="22">
        <f>Constants!$H76*'Activity data'!AC18*Constants!$H94*FracLEACHMM*MMLeachEF*NtoN2O*kgtoGg</f>
        <v>3.6790355460672068E-3</v>
      </c>
      <c r="AD185" s="22">
        <f>Constants!$H76*'Activity data'!AD18*Constants!$H94*FracLEACHMM*MMLeachEF*NtoN2O*kgtoGg</f>
        <v>4.0473192123070822E-3</v>
      </c>
      <c r="AE185" s="22">
        <f>Constants!$H76*'Activity data'!AE18*Constants!$H94*FracLEACHMM*MMLeachEF*NtoN2O*kgtoGg</f>
        <v>4.0345444007076556E-3</v>
      </c>
      <c r="AF185" s="22">
        <f>Constants!$H76*'Activity data'!AF18*Constants!$H94*FracLEACHMM*MMLeachEF*NtoN2O*kgtoGg</f>
        <v>3.9922981950029426E-3</v>
      </c>
      <c r="AG185" s="22">
        <f>Constants!$H76*'Activity data'!AG18*Constants!$H94*FracLEACHMM*MMLeachEF*NtoN2O*kgtoGg</f>
        <v>3.9102717222172061E-3</v>
      </c>
      <c r="AH185" s="22">
        <f>Constants!$H76*'Activity data'!AH18*Constants!$H94*FracLEACHMM*MMLeachEF*NtoN2O*kgtoGg</f>
        <v>3.8318341975778526E-3</v>
      </c>
      <c r="AI185" s="22">
        <f>Constants!$H76*'Activity data'!AI18*Constants!$H94*FracLEACHMM*MMLeachEF*NtoN2O*kgtoGg</f>
        <v>3.7768092664363703E-3</v>
      </c>
      <c r="AJ185" s="22">
        <f>Constants!$H76*'Activity data'!AJ18*Constants!$H94*FracLEACHMM*MMLeachEF*NtoN2O*kgtoGg</f>
        <v>3.7302077394038642E-3</v>
      </c>
      <c r="AK185" s="22">
        <f>Constants!$H76*'Activity data'!AK18*Constants!$H94*FracLEACHMM*MMLeachEF*NtoN2O*kgtoGg</f>
        <v>3.6443959445376013E-3</v>
      </c>
      <c r="AL185" s="22">
        <f>Constants!$H76*'Activity data'!AL18*Constants!$H94*FracLEACHMM*MMLeachEF*NtoN2O*kgtoGg</f>
        <v>3.1903926792440892E-3</v>
      </c>
      <c r="AM185" s="22">
        <f>Constants!$H76*'Activity data'!AM18*Constants!$H94*FracLEACHMM*MMLeachEF*NtoN2O*kgtoGg</f>
        <v>3.2106663265573984E-3</v>
      </c>
      <c r="AN185" s="22">
        <f>Constants!$H76*'Activity data'!AN18*Constants!$H94*FracLEACHMM*MMLeachEF*NtoN2O*kgtoGg</f>
        <v>3.2208428669210313E-3</v>
      </c>
      <c r="AO185" s="22">
        <f>Constants!$H76*'Activity data'!AO18*Constants!$H94*FracLEACHMM*MMLeachEF*NtoN2O*kgtoGg</f>
        <v>3.2307364561530842E-3</v>
      </c>
      <c r="AP185" s="22">
        <f>Constants!$H76*'Activity data'!AP18*Constants!$H94*FracLEACHMM*MMLeachEF*NtoN2O*kgtoGg</f>
        <v>3.254902562017731E-3</v>
      </c>
      <c r="AQ185" s="22">
        <f>Constants!$H76*'Activity data'!AQ18*Constants!$H94*FracLEACHMM*MMLeachEF*NtoN2O*kgtoGg</f>
        <v>3.2782562439090815E-3</v>
      </c>
      <c r="AR185" s="22">
        <f>Constants!$H76*'Activity data'!AR18*Constants!$H94*FracLEACHMM*MMLeachEF*NtoN2O*kgtoGg</f>
        <v>3.3050489002128215E-3</v>
      </c>
      <c r="AS185" s="22">
        <f>Constants!$H76*'Activity data'!AS18*Constants!$H94*FracLEACHMM*MMLeachEF*NtoN2O*kgtoGg</f>
        <v>3.3275372736969E-3</v>
      </c>
      <c r="AT185" s="22">
        <f>Constants!$H76*'Activity data'!AT18*Constants!$H94*FracLEACHMM*MMLeachEF*NtoN2O*kgtoGg</f>
        <v>3.3545630668081641E-3</v>
      </c>
      <c r="AU185" s="22">
        <f>Constants!$H76*'Activity data'!AU18*Constants!$H94*FracLEACHMM*MMLeachEF*NtoN2O*kgtoGg</f>
        <v>3.374236291282967E-3</v>
      </c>
      <c r="AV185" s="22">
        <f>Constants!$H76*'Activity data'!AV18*Constants!$H94*FracLEACHMM*MMLeachEF*NtoN2O*kgtoGg</f>
        <v>3.3949308007856708E-3</v>
      </c>
      <c r="AW185" s="22">
        <f>Constants!$H76*'Activity data'!AW18*Constants!$H94*FracLEACHMM*MMLeachEF*NtoN2O*kgtoGg</f>
        <v>3.4331006607294153E-3</v>
      </c>
      <c r="AX185" s="22">
        <f>Constants!$H76*'Activity data'!AX18*Constants!$H94*FracLEACHMM*MMLeachEF*NtoN2O*kgtoGg</f>
        <v>3.4776892887637355E-3</v>
      </c>
      <c r="AY185" s="22">
        <f>Constants!$H76*'Activity data'!AY18*Constants!$H94*FracLEACHMM*MMLeachEF*NtoN2O*kgtoGg</f>
        <v>3.5238304817562988E-3</v>
      </c>
      <c r="AZ185" s="22">
        <f>Constants!$H76*'Activity data'!AZ18*Constants!$H94*FracLEACHMM*MMLeachEF*NtoN2O*kgtoGg</f>
        <v>3.4719718964145189E-3</v>
      </c>
      <c r="BA185" s="22">
        <f>Constants!$H76*'Activity data'!BA18*Constants!$H94*FracLEACHMM*MMLeachEF*NtoN2O*kgtoGg</f>
        <v>-1.1714692133953115E-3</v>
      </c>
      <c r="BB185" s="22">
        <f>Constants!$H76*'Activity data'!BB18*Constants!$H94*FracLEACHMM*MMLeachEF*NtoN2O*kgtoGg</f>
        <v>-1.1586552323425276E-3</v>
      </c>
      <c r="BC185" s="22">
        <f>Constants!$H76*'Activity data'!BC18*Constants!$H94*FracLEACHMM*MMLeachEF*NtoN2O*kgtoGg</f>
        <v>-1.1461157085356224E-3</v>
      </c>
      <c r="BD185" s="22">
        <f>Constants!$H76*'Activity data'!BD18*Constants!$H94*FracLEACHMM*MMLeachEF*NtoN2O*kgtoGg</f>
        <v>-1.133832687326532E-3</v>
      </c>
      <c r="BE185" s="22">
        <f>Constants!$H76*'Activity data'!BE18*Constants!$H94*FracLEACHMM*MMLeachEF*NtoN2O*kgtoGg</f>
        <v>-1.1217895287085682E-3</v>
      </c>
      <c r="BF185" s="22">
        <f>Constants!$H76*'Activity data'!BF18*Constants!$H94*FracLEACHMM*MMLeachEF*NtoN2O*kgtoGg</f>
        <v>-1.109970780182961E-3</v>
      </c>
      <c r="BG185" s="22">
        <f>Constants!$H76*'Activity data'!BG18*Constants!$H94*FracLEACHMM*MMLeachEF*NtoN2O*kgtoGg</f>
        <v>-1.0970079678456562E-3</v>
      </c>
      <c r="BH185" s="22">
        <f>Constants!$H76*'Activity data'!BH18*Constants!$H94*FracLEACHMM*MMLeachEF*NtoN2O*kgtoGg</f>
        <v>-1.0842737081927609E-3</v>
      </c>
      <c r="BI185" s="22">
        <f>Constants!$H76*'Activity data'!BI18*Constants!$H94*FracLEACHMM*MMLeachEF*NtoN2O*kgtoGg</f>
        <v>-1.0717546527021955E-3</v>
      </c>
      <c r="BJ185" s="22">
        <f>Constants!$H76*'Activity data'!BJ18*Constants!$H94*FracLEACHMM*MMLeachEF*NtoN2O*kgtoGg</f>
        <v>-1.0594383247478308E-3</v>
      </c>
      <c r="BK185" s="22">
        <f>Constants!$H76*'Activity data'!BK18*Constants!$H94*FracLEACHMM*MMLeachEF*NtoN2O*kgtoGg</f>
        <v>-1.0473130442654776E-3</v>
      </c>
      <c r="BL185" s="22">
        <f>Constants!$H76*'Activity data'!BL18*Constants!$H94*FracLEACHMM*MMLeachEF*NtoN2O*kgtoGg</f>
        <v>-1.0340992030399717E-3</v>
      </c>
      <c r="BM185" s="22">
        <f>Constants!$H76*'Activity data'!BM18*Constants!$H94*FracLEACHMM*MMLeachEF*NtoN2O*kgtoGg</f>
        <v>-1.0210871852182944E-3</v>
      </c>
      <c r="BN185" s="22">
        <f>Constants!$H76*'Activity data'!BN18*Constants!$H94*FracLEACHMM*MMLeachEF*NtoN2O*kgtoGg</f>
        <v>-1.0082666022109977E-3</v>
      </c>
      <c r="BO185" s="22">
        <f>Constants!$H76*'Activity data'!BO18*Constants!$H94*FracLEACHMM*MMLeachEF*NtoN2O*kgtoGg</f>
        <v>-9.9562767922285289E-4</v>
      </c>
      <c r="BP185" s="22">
        <f>Constants!$H76*'Activity data'!BP18*Constants!$H94*FracLEACHMM*MMLeachEF*NtoN2O*kgtoGg</f>
        <v>-9.8316120739708342E-4</v>
      </c>
    </row>
    <row r="186" spans="1:68" x14ac:dyDescent="0.25">
      <c r="A186" t="str">
        <f t="shared" si="58"/>
        <v>3C Aggregated and non-CO2 emissions on land</v>
      </c>
      <c r="B186" t="str">
        <f t="shared" ref="B186" si="68">B185</f>
        <v>3C6 Indirect N2O from manure management (N2O)</v>
      </c>
      <c r="C186" t="str">
        <f t="shared" si="67"/>
        <v>Leaching/runoff</v>
      </c>
      <c r="D186" t="str">
        <f t="shared" si="66"/>
        <v xml:space="preserve"> - Commercial layers</v>
      </c>
      <c r="E186" t="str">
        <f t="shared" si="64"/>
        <v>Leaching/runoff - Commercial layers</v>
      </c>
      <c r="F186" t="str">
        <f t="shared" si="47"/>
        <v>N2O</v>
      </c>
      <c r="G186" t="str">
        <f t="shared" si="48"/>
        <v>Gg N2O</v>
      </c>
      <c r="H186" s="22">
        <f>Constants!$H77*'Activity data'!H19*Constants!$H95*FracLEACHMM*MMLeachEF*NtoN2O*kgtoGg</f>
        <v>1.0355170129968004E-2</v>
      </c>
      <c r="I186" s="22">
        <f>Constants!$H77*'Activity data'!I19*Constants!$H95*FracLEACHMM*MMLeachEF*NtoN2O*kgtoGg</f>
        <v>1.0059892645860616E-2</v>
      </c>
      <c r="J186" s="22">
        <f>Constants!$H77*'Activity data'!J19*Constants!$H95*FracLEACHMM*MMLeachEF*NtoN2O*kgtoGg</f>
        <v>9.5411084013231947E-3</v>
      </c>
      <c r="K186" s="22">
        <f>Constants!$H77*'Activity data'!K19*Constants!$H95*FracLEACHMM*MMLeachEF*NtoN2O*kgtoGg</f>
        <v>9.3910912656011026E-3</v>
      </c>
      <c r="L186" s="22">
        <f>Constants!$H77*'Activity data'!L19*Constants!$H95*FracLEACHMM*MMLeachEF*NtoN2O*kgtoGg</f>
        <v>8.9826126081481942E-3</v>
      </c>
      <c r="M186" s="22">
        <f>Constants!$H77*'Activity data'!M19*Constants!$H95*FracLEACHMM*MMLeachEF*NtoN2O*kgtoGg</f>
        <v>9.8011483650425734E-3</v>
      </c>
      <c r="N186" s="22">
        <f>Constants!$H77*'Activity data'!N19*Constants!$H95*FracLEACHMM*MMLeachEF*NtoN2O*kgtoGg</f>
        <v>1.0353003890839162E-2</v>
      </c>
      <c r="O186" s="22">
        <f>Constants!$H77*'Activity data'!O19*Constants!$H95*FracLEACHMM*MMLeachEF*NtoN2O*kgtoGg</f>
        <v>1.038704838936534E-2</v>
      </c>
      <c r="P186" s="22">
        <f>Constants!$H77*'Activity data'!P19*Constants!$H95*FracLEACHMM*MMLeachEF*NtoN2O*kgtoGg</f>
        <v>1.1694940012383678E-2</v>
      </c>
      <c r="Q186" s="22">
        <f>Constants!$H77*'Activity data'!Q19*Constants!$H95*FracLEACHMM*MMLeachEF*NtoN2O*kgtoGg</f>
        <v>1.2538149270078789E-2</v>
      </c>
      <c r="R186" s="22">
        <f>Constants!$H77*'Activity data'!R19*Constants!$H95*FracLEACHMM*MMLeachEF*NtoN2O*kgtoGg</f>
        <v>1.2272486005224258E-2</v>
      </c>
      <c r="S186" s="22">
        <f>Constants!$H77*'Activity data'!S19*Constants!$H95*FracLEACHMM*MMLeachEF*NtoN2O*kgtoGg</f>
        <v>1.2599872153312836E-2</v>
      </c>
      <c r="T186" s="22">
        <f>Constants!$H77*'Activity data'!T19*Constants!$H95*FracLEACHMM*MMLeachEF*NtoN2O*kgtoGg</f>
        <v>1.2500981239572611E-2</v>
      </c>
      <c r="U186" s="22">
        <f>Constants!$H77*'Activity data'!U19*Constants!$H95*FracLEACHMM*MMLeachEF*NtoN2O*kgtoGg</f>
        <v>1.2001910795150582E-2</v>
      </c>
      <c r="V186" s="22">
        <f>Constants!$H77*'Activity data'!V19*Constants!$H95*FracLEACHMM*MMLeachEF*NtoN2O*kgtoGg</f>
        <v>1.2437112522602165E-2</v>
      </c>
      <c r="W186" s="22">
        <f>Constants!$H77*'Activity data'!W19*Constants!$H95*FracLEACHMM*MMLeachEF*NtoN2O*kgtoGg</f>
        <v>1.3187076931938265E-2</v>
      </c>
      <c r="X186" s="22">
        <f>Constants!$H77*'Activity data'!X19*Constants!$H95*FracLEACHMM*MMLeachEF*NtoN2O*kgtoGg</f>
        <v>1.4553489205518322E-2</v>
      </c>
      <c r="Y186" s="22">
        <f>Constants!$H77*'Activity data'!Y19*Constants!$H95*FracLEACHMM*MMLeachEF*NtoN2O*kgtoGg</f>
        <v>1.6105943457620602E-2</v>
      </c>
      <c r="Z186" s="22">
        <f>Constants!$H77*'Activity data'!Z19*Constants!$H95*FracLEACHMM*MMLeachEF*NtoN2O*kgtoGg</f>
        <v>1.6318056760498027E-2</v>
      </c>
      <c r="AA186" s="22">
        <f>Constants!$H77*'Activity data'!AA19*Constants!$H95*FracLEACHMM*MMLeachEF*NtoN2O*kgtoGg</f>
        <v>1.5716468259281271E-2</v>
      </c>
      <c r="AB186" s="22">
        <f>Constants!$H77*'Activity data'!AB19*Constants!$H95*FracLEACHMM*MMLeachEF*NtoN2O*kgtoGg</f>
        <v>1.6328679002481555E-2</v>
      </c>
      <c r="AC186" s="22">
        <f>Constants!$H77*'Activity data'!AC19*Constants!$H95*FracLEACHMM*MMLeachEF*NtoN2O*kgtoGg</f>
        <v>1.7082367042983767E-2</v>
      </c>
      <c r="AD186" s="22">
        <f>Constants!$H77*'Activity data'!AD19*Constants!$H95*FracLEACHMM*MMLeachEF*NtoN2O*kgtoGg</f>
        <v>1.6818104652936192E-2</v>
      </c>
      <c r="AE186" s="22">
        <f>Constants!$H77*'Activity data'!AE19*Constants!$H95*FracLEACHMM*MMLeachEF*NtoN2O*kgtoGg</f>
        <v>1.718231236008292E-2</v>
      </c>
      <c r="AF186" s="22">
        <f>Constants!$H77*'Activity data'!AF19*Constants!$H95*FracLEACHMM*MMLeachEF*NtoN2O*kgtoGg</f>
        <v>1.7475775480268494E-2</v>
      </c>
      <c r="AG186" s="22">
        <f>Constants!$H77*'Activity data'!AG19*Constants!$H95*FracLEACHMM*MMLeachEF*NtoN2O*kgtoGg</f>
        <v>1.7667520029914504E-2</v>
      </c>
      <c r="AH186" s="22">
        <f>Constants!$H77*'Activity data'!AH19*Constants!$H95*FracLEACHMM*MMLeachEF*NtoN2O*kgtoGg</f>
        <v>1.7861867169015104E-2</v>
      </c>
      <c r="AI186" s="22">
        <f>Constants!$H77*'Activity data'!AI19*Constants!$H95*FracLEACHMM*MMLeachEF*NtoN2O*kgtoGg</f>
        <v>1.8112417299921187E-2</v>
      </c>
      <c r="AJ186" s="22">
        <f>Constants!$H77*'Activity data'!AJ19*Constants!$H95*FracLEACHMM*MMLeachEF*NtoN2O*kgtoGg</f>
        <v>1.8380356458960346E-2</v>
      </c>
      <c r="AK186" s="22">
        <f>Constants!$H77*'Activity data'!AK19*Constants!$H95*FracLEACHMM*MMLeachEF*NtoN2O*kgtoGg</f>
        <v>1.8536177397088752E-2</v>
      </c>
      <c r="AL186" s="22">
        <f>Constants!$H77*'Activity data'!AL19*Constants!$H95*FracLEACHMM*MMLeachEF*NtoN2O*kgtoGg</f>
        <v>1.76397656538211E-2</v>
      </c>
      <c r="AM186" s="22">
        <f>Constants!$H77*'Activity data'!AM19*Constants!$H95*FracLEACHMM*MMLeachEF*NtoN2O*kgtoGg</f>
        <v>1.801846759992717E-2</v>
      </c>
      <c r="AN186" s="22">
        <f>Constants!$H77*'Activity data'!AN19*Constants!$H95*FracLEACHMM*MMLeachEF*NtoN2O*kgtoGg</f>
        <v>1.8371985881481728E-2</v>
      </c>
      <c r="AO186" s="22">
        <f>Constants!$H77*'Activity data'!AO19*Constants!$H95*FracLEACHMM*MMLeachEF*NtoN2O*kgtoGg</f>
        <v>1.8728295000039214E-2</v>
      </c>
      <c r="AP186" s="22">
        <f>Constants!$H77*'Activity data'!AP19*Constants!$H95*FracLEACHMM*MMLeachEF*NtoN2O*kgtoGg</f>
        <v>1.9132681284008777E-2</v>
      </c>
      <c r="AQ186" s="22">
        <f>Constants!$H77*'Activity data'!AQ19*Constants!$H95*FracLEACHMM*MMLeachEF*NtoN2O*kgtoGg</f>
        <v>1.9540426695963047E-2</v>
      </c>
      <c r="AR186" s="22">
        <f>Constants!$H77*'Activity data'!AR19*Constants!$H95*FracLEACHMM*MMLeachEF*NtoN2O*kgtoGg</f>
        <v>1.9948690293653936E-2</v>
      </c>
      <c r="AS186" s="22">
        <f>Constants!$H77*'Activity data'!AS19*Constants!$H95*FracLEACHMM*MMLeachEF*NtoN2O*kgtoGg</f>
        <v>2.0349079299491275E-2</v>
      </c>
      <c r="AT186" s="22">
        <f>Constants!$H77*'Activity data'!AT19*Constants!$H95*FracLEACHMM*MMLeachEF*NtoN2O*kgtoGg</f>
        <v>2.0770745700628056E-2</v>
      </c>
      <c r="AU186" s="22">
        <f>Constants!$H77*'Activity data'!AU19*Constants!$H95*FracLEACHMM*MMLeachEF*NtoN2O*kgtoGg</f>
        <v>2.1173883464125715E-2</v>
      </c>
      <c r="AV186" s="22">
        <f>Constants!$H77*'Activity data'!AV19*Constants!$H95*FracLEACHMM*MMLeachEF*NtoN2O*kgtoGg</f>
        <v>2.1586582056186982E-2</v>
      </c>
      <c r="AW186" s="22">
        <f>Constants!$H77*'Activity data'!AW19*Constants!$H95*FracLEACHMM*MMLeachEF*NtoN2O*kgtoGg</f>
        <v>2.2054503180091424E-2</v>
      </c>
      <c r="AX186" s="22">
        <f>Constants!$H77*'Activity data'!AX19*Constants!$H95*FracLEACHMM*MMLeachEF*NtoN2O*kgtoGg</f>
        <v>2.2554673664968956E-2</v>
      </c>
      <c r="AY186" s="22">
        <f>Constants!$H77*'Activity data'!AY19*Constants!$H95*FracLEACHMM*MMLeachEF*NtoN2O*kgtoGg</f>
        <v>2.3070579743094625E-2</v>
      </c>
      <c r="AZ186" s="22">
        <f>Constants!$H77*'Activity data'!AZ19*Constants!$H95*FracLEACHMM*MMLeachEF*NtoN2O*kgtoGg</f>
        <v>2.3224138845155579E-2</v>
      </c>
      <c r="BA186" s="22">
        <f>Constants!$H77*'Activity data'!BA19*Constants!$H95*FracLEACHMM*MMLeachEF*NtoN2O*kgtoGg</f>
        <v>5.566614295378065E-3</v>
      </c>
      <c r="BB186" s="22">
        <f>Constants!$H77*'Activity data'!BB19*Constants!$H95*FracLEACHMM*MMLeachEF*NtoN2O*kgtoGg</f>
        <v>5.6093984340287433E-3</v>
      </c>
      <c r="BC186" s="22">
        <f>Constants!$H77*'Activity data'!BC19*Constants!$H95*FracLEACHMM*MMLeachEF*NtoN2O*kgtoGg</f>
        <v>5.652494073803362E-3</v>
      </c>
      <c r="BD186" s="22">
        <f>Constants!$H77*'Activity data'!BD19*Constants!$H95*FracLEACHMM*MMLeachEF*NtoN2O*kgtoGg</f>
        <v>5.6959035866970768E-3</v>
      </c>
      <c r="BE186" s="22">
        <f>Constants!$H77*'Activity data'!BE19*Constants!$H95*FracLEACHMM*MMLeachEF*NtoN2O*kgtoGg</f>
        <v>5.7396293554766858E-3</v>
      </c>
      <c r="BF186" s="22">
        <f>Constants!$H77*'Activity data'!BF19*Constants!$H95*FracLEACHMM*MMLeachEF*NtoN2O*kgtoGg</f>
        <v>5.7836737743814492E-3</v>
      </c>
      <c r="BG186" s="22">
        <f>Constants!$H77*'Activity data'!BG19*Constants!$H95*FracLEACHMM*MMLeachEF*NtoN2O*kgtoGg</f>
        <v>5.821325048469962E-3</v>
      </c>
      <c r="BH186" s="22">
        <f>Constants!$H77*'Activity data'!BH19*Constants!$H95*FracLEACHMM*MMLeachEF*NtoN2O*kgtoGg</f>
        <v>5.8592087350485328E-3</v>
      </c>
      <c r="BI186" s="22">
        <f>Constants!$H77*'Activity data'!BI19*Constants!$H95*FracLEACHMM*MMLeachEF*NtoN2O*kgtoGg</f>
        <v>5.8973263448292906E-3</v>
      </c>
      <c r="BJ186" s="22">
        <f>Constants!$H77*'Activity data'!BJ19*Constants!$H95*FracLEACHMM*MMLeachEF*NtoN2O*kgtoGg</f>
        <v>5.9356793935795814E-3</v>
      </c>
      <c r="BK186" s="22">
        <f>Constants!$H77*'Activity data'!BK19*Constants!$H95*FracLEACHMM*MMLeachEF*NtoN2O*kgtoGg</f>
        <v>5.9742694025184985E-3</v>
      </c>
      <c r="BL186" s="22">
        <f>Constants!$H77*'Activity data'!BL19*Constants!$H95*FracLEACHMM*MMLeachEF*NtoN2O*kgtoGg</f>
        <v>6.0061978888300534E-3</v>
      </c>
      <c r="BM186" s="22">
        <f>Constants!$H77*'Activity data'!BM19*Constants!$H95*FracLEACHMM*MMLeachEF*NtoN2O*kgtoGg</f>
        <v>6.0382881266520675E-3</v>
      </c>
      <c r="BN186" s="22">
        <f>Constants!$H77*'Activity data'!BN19*Constants!$H95*FracLEACHMM*MMLeachEF*NtoN2O*kgtoGg</f>
        <v>6.0705409933047069E-3</v>
      </c>
      <c r="BO186" s="22">
        <f>Constants!$H77*'Activity data'!BO19*Constants!$H95*FracLEACHMM*MMLeachEF*NtoN2O*kgtoGg</f>
        <v>6.1029573675840942E-3</v>
      </c>
      <c r="BP186" s="22">
        <f>Constants!$H77*'Activity data'!BP19*Constants!$H95*FracLEACHMM*MMLeachEF*NtoN2O*kgtoGg</f>
        <v>6.1355381299989719E-3</v>
      </c>
    </row>
    <row r="187" spans="1:68" x14ac:dyDescent="0.25">
      <c r="A187" t="str">
        <f t="shared" si="58"/>
        <v>3C Aggregated and non-CO2 emissions on land</v>
      </c>
      <c r="B187" t="str">
        <f>B186</f>
        <v>3C6 Indirect N2O from manure management (N2O)</v>
      </c>
      <c r="C187" t="str">
        <f t="shared" si="67"/>
        <v>Leaching/runoff</v>
      </c>
      <c r="D187" t="str">
        <f>D171</f>
        <v xml:space="preserve"> - Commercial broilers</v>
      </c>
      <c r="E187" t="str">
        <f t="shared" si="64"/>
        <v>Leaching/runoff - Commercial broilers</v>
      </c>
      <c r="F187" t="str">
        <f t="shared" si="47"/>
        <v>N2O</v>
      </c>
      <c r="G187" t="str">
        <f t="shared" si="48"/>
        <v>Gg N2O</v>
      </c>
      <c r="H187" s="22">
        <f>Constants!$H78*'Activity data'!H20*Constants!$H96*FracLEACHMM*MMLeachEF*NtoN2O*kgtoGg</f>
        <v>3.3251202703764936E-2</v>
      </c>
      <c r="I187" s="22">
        <f>Constants!$H78*'Activity data'!I20*Constants!$H96*FracLEACHMM*MMLeachEF*NtoN2O*kgtoGg</f>
        <v>3.1256130581881272E-2</v>
      </c>
      <c r="J187" s="22">
        <f>Constants!$H78*'Activity data'!J20*Constants!$H96*FracLEACHMM*MMLeachEF*NtoN2O*kgtoGg</f>
        <v>2.9539279304954081E-2</v>
      </c>
      <c r="K187" s="22">
        <f>Constants!$H78*'Activity data'!K20*Constants!$H96*FracLEACHMM*MMLeachEF*NtoN2O*kgtoGg</f>
        <v>3.3221188579374041E-2</v>
      </c>
      <c r="L187" s="22">
        <f>Constants!$H78*'Activity data'!L20*Constants!$H96*FracLEACHMM*MMLeachEF*NtoN2O*kgtoGg</f>
        <v>3.2909615722030355E-2</v>
      </c>
      <c r="M187" s="22">
        <f>Constants!$H78*'Activity data'!M20*Constants!$H96*FracLEACHMM*MMLeachEF*NtoN2O*kgtoGg</f>
        <v>3.7669866131891196E-2</v>
      </c>
      <c r="N187" s="22">
        <f>Constants!$H78*'Activity data'!N20*Constants!$H96*FracLEACHMM*MMLeachEF*NtoN2O*kgtoGg</f>
        <v>4.380034464193687E-2</v>
      </c>
      <c r="O187" s="22">
        <f>Constants!$H78*'Activity data'!O20*Constants!$H96*FracLEACHMM*MMLeachEF*NtoN2O*kgtoGg</f>
        <v>4.458374413793717E-2</v>
      </c>
      <c r="P187" s="22">
        <f>Constants!$H78*'Activity data'!P20*Constants!$H96*FracLEACHMM*MMLeachEF*NtoN2O*kgtoGg</f>
        <v>4.8851875625500675E-2</v>
      </c>
      <c r="Q187" s="22">
        <f>Constants!$H78*'Activity data'!Q20*Constants!$H96*FracLEACHMM*MMLeachEF*NtoN2O*kgtoGg</f>
        <v>5.1000810169688715E-2</v>
      </c>
      <c r="R187" s="22">
        <f>Constants!$H78*'Activity data'!R20*Constants!$H96*FracLEACHMM*MMLeachEF*NtoN2O*kgtoGg</f>
        <v>5.4873113549001651E-2</v>
      </c>
      <c r="S187" s="22">
        <f>Constants!$H78*'Activity data'!S20*Constants!$H96*FracLEACHMM*MMLeachEF*NtoN2O*kgtoGg</f>
        <v>5.2985756974377428E-2</v>
      </c>
      <c r="T187" s="22">
        <f>Constants!$H78*'Activity data'!T20*Constants!$H96*FracLEACHMM*MMLeachEF*NtoN2O*kgtoGg</f>
        <v>5.8725405403651593E-2</v>
      </c>
      <c r="U187" s="22">
        <f>Constants!$H78*'Activity data'!U20*Constants!$H96*FracLEACHMM*MMLeachEF*NtoN2O*kgtoGg</f>
        <v>5.5856725851573273E-2</v>
      </c>
      <c r="V187" s="22">
        <f>Constants!$H78*'Activity data'!V20*Constants!$H96*FracLEACHMM*MMLeachEF*NtoN2O*kgtoGg</f>
        <v>5.7205155940384118E-2</v>
      </c>
      <c r="W187" s="22">
        <f>Constants!$H78*'Activity data'!W20*Constants!$H96*FracLEACHMM*MMLeachEF*NtoN2O*kgtoGg</f>
        <v>6.329605772520823E-2</v>
      </c>
      <c r="X187" s="22">
        <f>Constants!$H78*'Activity data'!X20*Constants!$H96*FracLEACHMM*MMLeachEF*NtoN2O*kgtoGg</f>
        <v>6.7701049603437022E-2</v>
      </c>
      <c r="Y187" s="22">
        <f>Constants!$H78*'Activity data'!Y20*Constants!$H96*FracLEACHMM*MMLeachEF*NtoN2O*kgtoGg</f>
        <v>7.0833855292733158E-2</v>
      </c>
      <c r="Z187" s="22">
        <f>Constants!$H78*'Activity data'!Z20*Constants!$H96*FracLEACHMM*MMLeachEF*NtoN2O*kgtoGg</f>
        <v>7.5418822438452923E-2</v>
      </c>
      <c r="AA187" s="22">
        <f>Constants!$H78*'Activity data'!AA20*Constants!$H96*FracLEACHMM*MMLeachEF*NtoN2O*kgtoGg</f>
        <v>7.1165915529208493E-2</v>
      </c>
      <c r="AB187" s="22">
        <f>Constants!$H78*'Activity data'!AB20*Constants!$H96*FracLEACHMM*MMLeachEF*NtoN2O*kgtoGg</f>
        <v>7.2955795050844749E-2</v>
      </c>
      <c r="AC187" s="22">
        <f>Constants!$H78*'Activity data'!AC20*Constants!$H96*FracLEACHMM*MMLeachEF*NtoN2O*kgtoGg</f>
        <v>7.5455418934244733E-2</v>
      </c>
      <c r="AD187" s="22">
        <f>Constants!$H78*'Activity data'!AD20*Constants!$H96*FracLEACHMM*MMLeachEF*NtoN2O*kgtoGg</f>
        <v>7.8494818970751015E-2</v>
      </c>
      <c r="AE187" s="22">
        <f>Constants!$H78*'Activity data'!AE20*Constants!$H96*FracLEACHMM*MMLeachEF*NtoN2O*kgtoGg</f>
        <v>7.9768604189276573E-2</v>
      </c>
      <c r="AF187" s="22">
        <f>Constants!$H78*'Activity data'!AF20*Constants!$H96*FracLEACHMM*MMLeachEF*NtoN2O*kgtoGg</f>
        <v>8.0146817618550151E-2</v>
      </c>
      <c r="AG187" s="22">
        <f>Constants!$H78*'Activity data'!AG20*Constants!$H96*FracLEACHMM*MMLeachEF*NtoN2O*kgtoGg</f>
        <v>7.92990227060308E-2</v>
      </c>
      <c r="AH187" s="22">
        <f>Constants!$H78*'Activity data'!AH20*Constants!$H96*FracLEACHMM*MMLeachEF*NtoN2O*kgtoGg</f>
        <v>7.8453048138272599E-2</v>
      </c>
      <c r="AI187" s="22">
        <f>Constants!$H78*'Activity data'!AI20*Constants!$H96*FracLEACHMM*MMLeachEF*NtoN2O*kgtoGg</f>
        <v>7.8207580187434067E-2</v>
      </c>
      <c r="AJ187" s="22">
        <f>Constants!$H78*'Activity data'!AJ20*Constants!$H96*FracLEACHMM*MMLeachEF*NtoN2O*kgtoGg</f>
        <v>7.8156445174191957E-2</v>
      </c>
      <c r="AK187" s="22">
        <f>Constants!$H78*'Activity data'!AK20*Constants!$H96*FracLEACHMM*MMLeachEF*NtoN2O*kgtoGg</f>
        <v>7.6852772864248492E-2</v>
      </c>
      <c r="AL187" s="22">
        <f>Constants!$H78*'Activity data'!AL20*Constants!$H96*FracLEACHMM*MMLeachEF*NtoN2O*kgtoGg</f>
        <v>6.4037092776490251E-2</v>
      </c>
      <c r="AM187" s="22">
        <f>Constants!$H78*'Activity data'!AM20*Constants!$H96*FracLEACHMM*MMLeachEF*NtoN2O*kgtoGg</f>
        <v>6.592602729202128E-2</v>
      </c>
      <c r="AN187" s="22">
        <f>Constants!$H78*'Activity data'!AN20*Constants!$H96*FracLEACHMM*MMLeachEF*NtoN2O*kgtoGg</f>
        <v>6.7504922847287652E-2</v>
      </c>
      <c r="AO187" s="22">
        <f>Constants!$H78*'Activity data'!AO20*Constants!$H96*FracLEACHMM*MMLeachEF*NtoN2O*kgtoGg</f>
        <v>6.9079987400904638E-2</v>
      </c>
      <c r="AP187" s="22">
        <f>Constants!$H78*'Activity data'!AP20*Constants!$H96*FracLEACHMM*MMLeachEF*NtoN2O*kgtoGg</f>
        <v>7.1129196138688011E-2</v>
      </c>
      <c r="AQ187" s="22">
        <f>Constants!$H78*'Activity data'!AQ20*Constants!$H96*FracLEACHMM*MMLeachEF*NtoN2O*kgtoGg</f>
        <v>7.3172253795344297E-2</v>
      </c>
      <c r="AR187" s="22">
        <f>Constants!$H78*'Activity data'!AR20*Constants!$H96*FracLEACHMM*MMLeachEF*NtoN2O*kgtoGg</f>
        <v>7.5415394971077201E-2</v>
      </c>
      <c r="AS187" s="22">
        <f>Constants!$H78*'Activity data'!AS20*Constants!$H96*FracLEACHMM*MMLeachEF*NtoN2O*kgtoGg</f>
        <v>7.7538763261802646E-2</v>
      </c>
      <c r="AT187" s="22">
        <f>Constants!$H78*'Activity data'!AT20*Constants!$H96*FracLEACHMM*MMLeachEF*NtoN2O*kgtoGg</f>
        <v>7.984321522583579E-2</v>
      </c>
      <c r="AU187" s="22">
        <f>Constants!$H78*'Activity data'!AU20*Constants!$H96*FracLEACHMM*MMLeachEF*NtoN2O*kgtoGg</f>
        <v>8.1921087927437922E-2</v>
      </c>
      <c r="AV187" s="22">
        <f>Constants!$H78*'Activity data'!AV20*Constants!$H96*FracLEACHMM*MMLeachEF*NtoN2O*kgtoGg</f>
        <v>8.4060316833005314E-2</v>
      </c>
      <c r="AW187" s="22">
        <f>Constants!$H78*'Activity data'!AW20*Constants!$H96*FracLEACHMM*MMLeachEF*NtoN2O*kgtoGg</f>
        <v>8.6903196778093231E-2</v>
      </c>
      <c r="AX187" s="22">
        <f>Constants!$H78*'Activity data'!AX20*Constants!$H96*FracLEACHMM*MMLeachEF*NtoN2O*kgtoGg</f>
        <v>9.0024318002173712E-2</v>
      </c>
      <c r="AY187" s="22">
        <f>Constants!$H78*'Activity data'!AY20*Constants!$H96*FracLEACHMM*MMLeachEF*NtoN2O*kgtoGg</f>
        <v>9.3255519309180357E-2</v>
      </c>
      <c r="AZ187" s="22">
        <f>Constants!$H78*'Activity data'!AZ20*Constants!$H96*FracLEACHMM*MMLeachEF*NtoN2O*kgtoGg</f>
        <v>9.2895703603725718E-2</v>
      </c>
      <c r="BA187" s="22">
        <f>Constants!$H78*'Activity data'!BA20*Constants!$H96*FracLEACHMM*MMLeachEF*NtoN2O*kgtoGg</f>
        <v>-8.0563954207335059E-2</v>
      </c>
      <c r="BB187" s="22">
        <f>Constants!$H78*'Activity data'!BB20*Constants!$H96*FracLEACHMM*MMLeachEF*NtoN2O*kgtoGg</f>
        <v>-8.0679385855871269E-2</v>
      </c>
      <c r="BC187" s="22">
        <f>Constants!$H78*'Activity data'!BC20*Constants!$H96*FracLEACHMM*MMLeachEF*NtoN2O*kgtoGg</f>
        <v>-8.0804585525595149E-2</v>
      </c>
      <c r="BD187" s="22">
        <f>Constants!$H78*'Activity data'!BD20*Constants!$H96*FracLEACHMM*MMLeachEF*NtoN2O*kgtoGg</f>
        <v>-8.0939145577368532E-2</v>
      </c>
      <c r="BE187" s="22">
        <f>Constants!$H78*'Activity data'!BE20*Constants!$H96*FracLEACHMM*MMLeachEF*NtoN2O*kgtoGg</f>
        <v>-8.1082690034370505E-2</v>
      </c>
      <c r="BF187" s="22">
        <f>Constants!$H78*'Activity data'!BF20*Constants!$H96*FracLEACHMM*MMLeachEF*NtoN2O*kgtoGg</f>
        <v>-8.1234871540648887E-2</v>
      </c>
      <c r="BG187" s="22">
        <f>Constants!$H78*'Activity data'!BG20*Constants!$H96*FracLEACHMM*MMLeachEF*NtoN2O*kgtoGg</f>
        <v>-8.1297506735230202E-2</v>
      </c>
      <c r="BH187" s="22">
        <f>Constants!$H78*'Activity data'!BH20*Constants!$H96*FracLEACHMM*MMLeachEF*NtoN2O*kgtoGg</f>
        <v>-8.1367991924777852E-2</v>
      </c>
      <c r="BI187" s="22">
        <f>Constants!$H78*'Activity data'!BI20*Constants!$H96*FracLEACHMM*MMLeachEF*NtoN2O*kgtoGg</f>
        <v>-8.144602229798413E-2</v>
      </c>
      <c r="BJ187" s="22">
        <f>Constants!$H78*'Activity data'!BJ20*Constants!$H96*FracLEACHMM*MMLeachEF*NtoN2O*kgtoGg</f>
        <v>-8.1531313973181002E-2</v>
      </c>
      <c r="BK187" s="22">
        <f>Constants!$H78*'Activity data'!BK20*Constants!$H96*FracLEACHMM*MMLeachEF*NtoN2O*kgtoGg</f>
        <v>-8.1623602199923873E-2</v>
      </c>
      <c r="BL187" s="22">
        <f>Constants!$H78*'Activity data'!BL20*Constants!$H96*FracLEACHMM*MMLeachEF*NtoN2O*kgtoGg</f>
        <v>-8.1624903700920404E-2</v>
      </c>
      <c r="BM187" s="22">
        <f>Constants!$H78*'Activity data'!BM20*Constants!$H96*FracLEACHMM*MMLeachEF*NtoN2O*kgtoGg</f>
        <v>-8.1632684613039755E-2</v>
      </c>
      <c r="BN187" s="22">
        <f>Constants!$H78*'Activity data'!BN20*Constants!$H96*FracLEACHMM*MMLeachEF*NtoN2O*kgtoGg</f>
        <v>-8.1646705375421999E-2</v>
      </c>
      <c r="BO187" s="22">
        <f>Constants!$H78*'Activity data'!BO20*Constants!$H96*FracLEACHMM*MMLeachEF*NtoN2O*kgtoGg</f>
        <v>-8.1666741103231646E-2</v>
      </c>
      <c r="BP187" s="22">
        <f>Constants!$H78*'Activity data'!BP20*Constants!$H96*FracLEACHMM*MMLeachEF*NtoN2O*kgtoGg</f>
        <v>-8.1692580447798743E-2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009900"/>
  </sheetPr>
  <dimension ref="A1:BT127"/>
  <sheetViews>
    <sheetView workbookViewId="0">
      <pane xSplit="5" ySplit="3" topLeftCell="BD14" activePane="bottomRight" state="frozen"/>
      <selection pane="topRight" activeCell="F1" sqref="F1"/>
      <selection pane="bottomLeft" activeCell="A4" sqref="A4"/>
      <selection pane="bottomRight" activeCell="BN28" sqref="BN28"/>
    </sheetView>
  </sheetViews>
  <sheetFormatPr defaultRowHeight="15" x14ac:dyDescent="0.25"/>
  <cols>
    <col min="1" max="1" width="34.42578125" customWidth="1"/>
    <col min="2" max="2" width="33.28515625" customWidth="1"/>
    <col min="3" max="3" width="27.5703125" customWidth="1"/>
    <col min="4" max="4" width="7.5703125" customWidth="1"/>
    <col min="5" max="5" width="26.140625" customWidth="1"/>
    <col min="6" max="33" width="9.7109375" customWidth="1"/>
    <col min="34" max="34" width="9.5703125" customWidth="1"/>
    <col min="49" max="50" width="9.42578125" customWidth="1"/>
    <col min="51" max="51" width="9.7109375" customWidth="1"/>
  </cols>
  <sheetData>
    <row r="1" spans="1:72" ht="18.75" x14ac:dyDescent="0.3">
      <c r="A1" s="1" t="s">
        <v>312</v>
      </c>
    </row>
    <row r="3" spans="1:72" s="19" customFormat="1" ht="15.75" x14ac:dyDescent="0.25">
      <c r="A3" s="17" t="s">
        <v>4</v>
      </c>
      <c r="B3" s="17" t="s">
        <v>313</v>
      </c>
      <c r="C3" s="17" t="s">
        <v>314</v>
      </c>
      <c r="D3" s="17" t="s">
        <v>5</v>
      </c>
      <c r="E3" s="17" t="s">
        <v>0</v>
      </c>
      <c r="F3" s="17">
        <v>1990</v>
      </c>
      <c r="G3" s="17">
        <v>1991</v>
      </c>
      <c r="H3" s="17">
        <v>1992</v>
      </c>
      <c r="I3" s="17">
        <v>1993</v>
      </c>
      <c r="J3" s="17">
        <v>1994</v>
      </c>
      <c r="K3" s="17">
        <v>1995</v>
      </c>
      <c r="L3" s="17">
        <v>1996</v>
      </c>
      <c r="M3" s="17">
        <v>1997</v>
      </c>
      <c r="N3" s="17">
        <v>1998</v>
      </c>
      <c r="O3" s="17">
        <v>1999</v>
      </c>
      <c r="P3" s="17">
        <v>2000</v>
      </c>
      <c r="Q3" s="17">
        <v>2001</v>
      </c>
      <c r="R3" s="17">
        <v>2002</v>
      </c>
      <c r="S3" s="17">
        <v>2003</v>
      </c>
      <c r="T3" s="17">
        <v>2004</v>
      </c>
      <c r="U3" s="17">
        <v>2005</v>
      </c>
      <c r="V3" s="17">
        <v>2006</v>
      </c>
      <c r="W3" s="17">
        <v>2007</v>
      </c>
      <c r="X3" s="17">
        <v>2008</v>
      </c>
      <c r="Y3" s="17">
        <v>2009</v>
      </c>
      <c r="Z3" s="17">
        <v>2010</v>
      </c>
      <c r="AA3" s="17">
        <v>2011</v>
      </c>
      <c r="AB3" s="17">
        <v>2012</v>
      </c>
      <c r="AC3" s="17">
        <v>2013</v>
      </c>
      <c r="AD3" s="17">
        <v>2014</v>
      </c>
      <c r="AE3" s="17">
        <v>2015</v>
      </c>
      <c r="AF3" s="17">
        <v>2016</v>
      </c>
      <c r="AG3" s="17">
        <v>2017</v>
      </c>
      <c r="AH3" s="17">
        <v>2018</v>
      </c>
      <c r="AI3" s="17">
        <v>2019</v>
      </c>
      <c r="AJ3" s="17">
        <v>2020</v>
      </c>
      <c r="AK3" s="17">
        <v>2021</v>
      </c>
      <c r="AL3" s="17">
        <v>2022</v>
      </c>
      <c r="AM3" s="17">
        <v>2023</v>
      </c>
      <c r="AN3" s="17">
        <v>2024</v>
      </c>
      <c r="AO3" s="17">
        <v>2025</v>
      </c>
      <c r="AP3" s="17">
        <v>2026</v>
      </c>
      <c r="AQ3" s="17">
        <v>2027</v>
      </c>
      <c r="AR3" s="17">
        <v>2028</v>
      </c>
      <c r="AS3" s="17">
        <v>2029</v>
      </c>
      <c r="AT3" s="17">
        <v>2030</v>
      </c>
      <c r="AU3" s="17">
        <v>2031</v>
      </c>
      <c r="AV3" s="17">
        <v>2032</v>
      </c>
      <c r="AW3" s="17">
        <v>2033</v>
      </c>
      <c r="AX3" s="17">
        <v>2034</v>
      </c>
      <c r="AY3" s="17">
        <v>2035</v>
      </c>
      <c r="AZ3" s="17">
        <v>2036</v>
      </c>
      <c r="BA3" s="17">
        <v>2037</v>
      </c>
      <c r="BB3" s="17">
        <v>2038</v>
      </c>
      <c r="BC3" s="17">
        <v>2039</v>
      </c>
      <c r="BD3" s="17">
        <v>2040</v>
      </c>
      <c r="BE3" s="17">
        <v>2041</v>
      </c>
      <c r="BF3" s="17">
        <v>2042</v>
      </c>
      <c r="BG3" s="17">
        <v>2043</v>
      </c>
      <c r="BH3" s="17">
        <v>2044</v>
      </c>
      <c r="BI3" s="17">
        <v>2045</v>
      </c>
      <c r="BJ3" s="17">
        <v>2046</v>
      </c>
      <c r="BK3" s="17">
        <v>2047</v>
      </c>
      <c r="BL3" s="17">
        <v>2048</v>
      </c>
      <c r="BM3" s="17">
        <v>2049</v>
      </c>
      <c r="BN3" s="17">
        <v>2050</v>
      </c>
      <c r="BO3" s="17"/>
      <c r="BP3" s="17"/>
      <c r="BQ3" s="17"/>
      <c r="BR3" s="17"/>
      <c r="BS3" s="17"/>
      <c r="BT3" s="17"/>
    </row>
    <row r="4" spans="1:72" s="19" customFormat="1" ht="15.75" x14ac:dyDescent="0.25">
      <c r="A4" s="19" t="str">
        <f>A10</f>
        <v>3A Livestock</v>
      </c>
      <c r="B4" s="19" t="str">
        <f>B10</f>
        <v>3A1 Enteric fermentation (CH4)</v>
      </c>
      <c r="C4" s="19" t="s">
        <v>148</v>
      </c>
      <c r="D4" s="19" t="str">
        <f>D10</f>
        <v>CH4</v>
      </c>
      <c r="E4" s="19" t="str">
        <f>E10</f>
        <v>Gg CH4</v>
      </c>
      <c r="F4" s="46">
        <f t="shared" ref="F4:AK4" si="0">SUM(F5:F10)</f>
        <v>1260.0440510636847</v>
      </c>
      <c r="G4" s="46">
        <f t="shared" si="0"/>
        <v>1258.0226339156723</v>
      </c>
      <c r="H4" s="46">
        <f t="shared" si="0"/>
        <v>1239.3934970469879</v>
      </c>
      <c r="I4" s="46">
        <f t="shared" si="0"/>
        <v>1194.7273149041114</v>
      </c>
      <c r="J4" s="46">
        <f t="shared" si="0"/>
        <v>1162.4999055437097</v>
      </c>
      <c r="K4" s="46">
        <f t="shared" si="0"/>
        <v>1171.5173194915196</v>
      </c>
      <c r="L4" s="46">
        <f t="shared" si="0"/>
        <v>1202.0962242987941</v>
      </c>
      <c r="M4" s="46">
        <f t="shared" si="0"/>
        <v>1224.8603653192843</v>
      </c>
      <c r="N4" s="46">
        <f t="shared" si="0"/>
        <v>1244.3232626994372</v>
      </c>
      <c r="O4" s="46">
        <f t="shared" si="0"/>
        <v>1241.8612496504879</v>
      </c>
      <c r="P4" s="46">
        <f t="shared" si="0"/>
        <v>1227.4784890178826</v>
      </c>
      <c r="Q4" s="46">
        <f t="shared" si="0"/>
        <v>1218.6551420734072</v>
      </c>
      <c r="R4" s="46">
        <f t="shared" si="0"/>
        <v>1197.4820095010721</v>
      </c>
      <c r="S4" s="46">
        <f t="shared" si="0"/>
        <v>1202.3555525159982</v>
      </c>
      <c r="T4" s="46">
        <f t="shared" si="0"/>
        <v>1192.9382386371974</v>
      </c>
      <c r="U4" s="46">
        <f t="shared" si="0"/>
        <v>1195.5469772851111</v>
      </c>
      <c r="V4" s="46">
        <f t="shared" si="0"/>
        <v>1190.9388605207587</v>
      </c>
      <c r="W4" s="46">
        <f t="shared" si="0"/>
        <v>1216.9016959048554</v>
      </c>
      <c r="X4" s="46">
        <f t="shared" si="0"/>
        <v>1224.8132015696788</v>
      </c>
      <c r="Y4" s="46">
        <f t="shared" si="0"/>
        <v>1216.8111130588925</v>
      </c>
      <c r="Z4" s="46">
        <f t="shared" si="0"/>
        <v>1206.6102248317582</v>
      </c>
      <c r="AA4" s="46">
        <f t="shared" si="0"/>
        <v>1202.8837608805554</v>
      </c>
      <c r="AB4" s="46">
        <f t="shared" si="0"/>
        <v>1178.7073389477105</v>
      </c>
      <c r="AC4" s="46">
        <f t="shared" si="0"/>
        <v>1175.7476919448593</v>
      </c>
      <c r="AD4" s="46">
        <f t="shared" si="0"/>
        <v>1166.4891762693856</v>
      </c>
      <c r="AE4" s="46">
        <f t="shared" si="0"/>
        <v>1148.8614251901035</v>
      </c>
      <c r="AF4" s="46">
        <f t="shared" si="0"/>
        <v>1131.9939155093768</v>
      </c>
      <c r="AG4" s="46">
        <f t="shared" si="0"/>
        <v>1120.0034774596061</v>
      </c>
      <c r="AH4" s="46">
        <f t="shared" si="0"/>
        <v>1109.6121680553103</v>
      </c>
      <c r="AI4" s="46">
        <f t="shared" si="0"/>
        <v>1091.0680273041155</v>
      </c>
      <c r="AJ4" s="46">
        <f t="shared" si="0"/>
        <v>997.46468164200951</v>
      </c>
      <c r="AK4" s="46">
        <f t="shared" si="0"/>
        <v>1006.0914514491485</v>
      </c>
      <c r="AL4" s="46">
        <f t="shared" ref="AL4:BN4" si="1">SUM(AL5:AL10)</f>
        <v>1012.6755382524259</v>
      </c>
      <c r="AM4" s="46">
        <f t="shared" si="1"/>
        <v>1019.2176723402156</v>
      </c>
      <c r="AN4" s="46">
        <f t="shared" si="1"/>
        <v>1028.73559583458</v>
      </c>
      <c r="AO4" s="46">
        <f t="shared" si="1"/>
        <v>1038.1270476715649</v>
      </c>
      <c r="AP4" s="46">
        <f t="shared" si="1"/>
        <v>1047.6472069067249</v>
      </c>
      <c r="AQ4" s="46">
        <f t="shared" si="1"/>
        <v>1056.313994060268</v>
      </c>
      <c r="AR4" s="46">
        <f t="shared" si="1"/>
        <v>1065.9794960917759</v>
      </c>
      <c r="AS4" s="46">
        <f t="shared" si="1"/>
        <v>1074.1425162036317</v>
      </c>
      <c r="AT4" s="46">
        <f t="shared" si="1"/>
        <v>1082.5631428521972</v>
      </c>
      <c r="AU4" s="46">
        <f t="shared" si="1"/>
        <v>1088.721821407014</v>
      </c>
      <c r="AV4" s="46">
        <f t="shared" si="1"/>
        <v>1096.0827608855811</v>
      </c>
      <c r="AW4" s="46">
        <f t="shared" si="1"/>
        <v>1103.605697275189</v>
      </c>
      <c r="AX4" s="46">
        <f t="shared" si="1"/>
        <v>1090.4617676761995</v>
      </c>
      <c r="AY4" s="46">
        <f t="shared" si="1"/>
        <v>120.8289812725062</v>
      </c>
      <c r="AZ4" s="46">
        <f t="shared" si="1"/>
        <v>124.59269406995301</v>
      </c>
      <c r="BA4" s="46">
        <f t="shared" si="1"/>
        <v>128.32686577860284</v>
      </c>
      <c r="BB4" s="46">
        <f t="shared" si="1"/>
        <v>132.03339196344771</v>
      </c>
      <c r="BC4" s="46">
        <f t="shared" si="1"/>
        <v>135.71404539048149</v>
      </c>
      <c r="BD4" s="46">
        <f t="shared" si="1"/>
        <v>139.37048719875412</v>
      </c>
      <c r="BE4" s="46">
        <f t="shared" si="1"/>
        <v>142.20502263412786</v>
      </c>
      <c r="BF4" s="46">
        <f t="shared" si="1"/>
        <v>145.02005225856621</v>
      </c>
      <c r="BG4" s="46">
        <f t="shared" si="1"/>
        <v>147.8166534470063</v>
      </c>
      <c r="BH4" s="46">
        <f t="shared" si="1"/>
        <v>150.59584119071553</v>
      </c>
      <c r="BI4" s="46">
        <f t="shared" si="1"/>
        <v>153.35857314945375</v>
      </c>
      <c r="BJ4" s="46">
        <f t="shared" si="1"/>
        <v>155.96753960775126</v>
      </c>
      <c r="BK4" s="46">
        <f t="shared" si="1"/>
        <v>158.55786267468349</v>
      </c>
      <c r="BL4" s="46">
        <f t="shared" si="1"/>
        <v>161.13035755856114</v>
      </c>
      <c r="BM4" s="46">
        <f t="shared" si="1"/>
        <v>163.68579643406449</v>
      </c>
      <c r="BN4" s="46">
        <f t="shared" si="1"/>
        <v>166.22491157213972</v>
      </c>
    </row>
    <row r="5" spans="1:72" x14ac:dyDescent="0.25">
      <c r="A5" t="str">
        <f>'IPCC Categories'!A5</f>
        <v>3A Livestock</v>
      </c>
      <c r="B5" t="str">
        <f>'IPCC Categories'!B5</f>
        <v>3A1 Enteric fermentation (CH4)</v>
      </c>
      <c r="C5" t="str">
        <f>'IPCC Categories'!C5</f>
        <v>3A1a Cattle</v>
      </c>
      <c r="D5" t="s">
        <v>121</v>
      </c>
      <c r="E5" t="s">
        <v>286</v>
      </c>
      <c r="F5" s="28">
        <f>SUM(Emissions!H4:H9)</f>
        <v>970.75783010383884</v>
      </c>
      <c r="G5" s="28">
        <f>SUM(Emissions!I4:I9)</f>
        <v>984.79007914328508</v>
      </c>
      <c r="H5" s="28">
        <f>SUM(Emissions!J4:J9)</f>
        <v>978.33549013594484</v>
      </c>
      <c r="I5" s="28">
        <f>SUM(Emissions!K4:K9)</f>
        <v>949.53957888011155</v>
      </c>
      <c r="J5" s="28">
        <f>SUM(Emissions!L4:L9)</f>
        <v>912.67525621411551</v>
      </c>
      <c r="K5" s="28">
        <f>SUM(Emissions!M4:M9)</f>
        <v>923.83797265176531</v>
      </c>
      <c r="L5" s="28">
        <f>SUM(Emissions!N4:N9)</f>
        <v>952.84275320570532</v>
      </c>
      <c r="M5" s="28">
        <f>SUM(Emissions!O4:O9)</f>
        <v>980.01539424682801</v>
      </c>
      <c r="N5" s="28">
        <f>SUM(Emissions!P4:P9)</f>
        <v>999.43503615113787</v>
      </c>
      <c r="O5" s="28">
        <f>SUM(Emissions!Q4:Q9)</f>
        <v>1002.3241787350501</v>
      </c>
      <c r="P5" s="28">
        <f>SUM(Emissions!R4:R9)</f>
        <v>994.67599031563441</v>
      </c>
      <c r="Q5" s="28">
        <f>SUM(Emissions!S4:S9)</f>
        <v>989.00845450586121</v>
      </c>
      <c r="R5" s="28">
        <f>SUM(Emissions!T4:T9)</f>
        <v>974.60961385984729</v>
      </c>
      <c r="S5" s="28">
        <f>SUM(Emissions!U4:U9)</f>
        <v>979.96199314328828</v>
      </c>
      <c r="T5" s="28">
        <f>SUM(Emissions!V4:V9)</f>
        <v>973.57297774234985</v>
      </c>
      <c r="U5" s="28">
        <f>SUM(Emissions!W4:W9)</f>
        <v>977.1168038510275</v>
      </c>
      <c r="V5" s="28">
        <f>SUM(Emissions!X4:X9)</f>
        <v>973.77414524080291</v>
      </c>
      <c r="W5" s="28">
        <f>SUM(Emissions!Y4:Y9)</f>
        <v>1000.8673096110051</v>
      </c>
      <c r="X5" s="28">
        <f>SUM(Emissions!Z4:Z9)</f>
        <v>1008.1706907272458</v>
      </c>
      <c r="Y5" s="28">
        <f>SUM(Emissions!AA4:AA9)</f>
        <v>1001.4109568206607</v>
      </c>
      <c r="Z5" s="28">
        <f>SUM(Emissions!AB4:AB9)</f>
        <v>994.93224097621089</v>
      </c>
      <c r="AA5" s="28">
        <f>SUM(Emissions!AC4:AC9)</f>
        <v>992.75930538162731</v>
      </c>
      <c r="AB5" s="28">
        <f>SUM(Emissions!AD4:AD9)</f>
        <v>984.89675098205998</v>
      </c>
      <c r="AC5" s="28">
        <f>SUM(Emissions!AE4:AE9)</f>
        <v>981.73305686101355</v>
      </c>
      <c r="AD5" s="28">
        <f>SUM(Emissions!AF4:AF9)</f>
        <v>972.17848542242052</v>
      </c>
      <c r="AE5" s="28">
        <f>SUM(Emissions!AG4:AG9)</f>
        <v>954.1876171951991</v>
      </c>
      <c r="AF5" s="28">
        <f>SUM(Emissions!AH4:AH9)</f>
        <v>936.83058096373406</v>
      </c>
      <c r="AG5" s="28">
        <f>SUM(Emissions!AI4:AI9)</f>
        <v>924.19791936009926</v>
      </c>
      <c r="AH5" s="28">
        <f>SUM(Emissions!AJ4:AJ9)</f>
        <v>913.08801871699677</v>
      </c>
      <c r="AI5" s="28">
        <f>SUM(Emissions!AK4:AK9)</f>
        <v>893.82232670621613</v>
      </c>
      <c r="AJ5" s="28">
        <f>SUM(Emissions!AL4:AL9)</f>
        <v>800.0224445583068</v>
      </c>
      <c r="AK5" s="28">
        <f>SUM(Emissions!AM4:AM9)</f>
        <v>808.26594716765533</v>
      </c>
      <c r="AL5" s="28">
        <f>SUM(Emissions!AN4:AN9)</f>
        <v>814.43478495656348</v>
      </c>
      <c r="AM5" s="28">
        <f>SUM(Emissions!AO4:AO9)</f>
        <v>820.51697758692092</v>
      </c>
      <c r="AN5" s="28">
        <f>SUM(Emissions!AP4:AP9)</f>
        <v>829.50887471032956</v>
      </c>
      <c r="AO5" s="28">
        <f>SUM(Emissions!AQ4:AQ9)</f>
        <v>838.33488431268643</v>
      </c>
      <c r="AP5" s="28">
        <f>SUM(Emissions!AR4:AR9)</f>
        <v>847.47335280912068</v>
      </c>
      <c r="AQ5" s="28">
        <f>SUM(Emissions!AS4:AS9)</f>
        <v>855.73072192862287</v>
      </c>
      <c r="AR5" s="28">
        <f>SUM(Emissions!AT4:AT9)</f>
        <v>864.94591633104369</v>
      </c>
      <c r="AS5" s="28">
        <f>SUM(Emissions!AU4:AU9)</f>
        <v>872.6394435772778</v>
      </c>
      <c r="AT5" s="28">
        <f>SUM(Emissions!AV4:AV9)</f>
        <v>880.5585862702178</v>
      </c>
      <c r="AU5" s="28">
        <f>SUM(Emissions!AW4:AW9)</f>
        <v>886.33957595767367</v>
      </c>
      <c r="AV5" s="28">
        <f>SUM(Emissions!AX4:AX9)</f>
        <v>893.28448574340518</v>
      </c>
      <c r="AW5" s="28">
        <f>SUM(Emissions!AY4:AY9)</f>
        <v>900.36246257519099</v>
      </c>
      <c r="AX5" s="28">
        <f>SUM(Emissions!AZ4:AZ9)</f>
        <v>886.92369167462641</v>
      </c>
      <c r="AY5" s="28">
        <f>SUM(Emissions!BA4:BA9)</f>
        <v>-74.73849235236537</v>
      </c>
      <c r="AZ5" s="28">
        <f>SUM(Emissions!BB4:BB9)</f>
        <v>-71.181373956582775</v>
      </c>
      <c r="BA5" s="28">
        <f>SUM(Emissions!BC4:BC9)</f>
        <v>-67.673608465784071</v>
      </c>
      <c r="BB5" s="28">
        <f>SUM(Emissions!BD4:BD9)</f>
        <v>-64.212542281529082</v>
      </c>
      <c r="BC5" s="28">
        <f>SUM(Emissions!BE4:BE9)</f>
        <v>-60.7957032864852</v>
      </c>
      <c r="BD5" s="28">
        <f>SUM(Emissions!BF4:BF9)</f>
        <v>-57.420784092262657</v>
      </c>
      <c r="BE5" s="28">
        <f>SUM(Emissions!BG4:BG9)</f>
        <v>-54.722649254627228</v>
      </c>
      <c r="BF5" s="28">
        <f>SUM(Emissions!BH4:BH9)</f>
        <v>-52.059690056247739</v>
      </c>
      <c r="BG5" s="28">
        <f>SUM(Emissions!BI4:BI9)</f>
        <v>-49.430275532952351</v>
      </c>
      <c r="BH5" s="28">
        <f>SUM(Emissions!BJ4:BJ9)</f>
        <v>-46.832875038515198</v>
      </c>
      <c r="BI5" s="28">
        <f>SUM(Emissions!BK4:BK9)</f>
        <v>-44.266049963365582</v>
      </c>
      <c r="BJ5" s="28">
        <f>SUM(Emissions!BL4:BL9)</f>
        <v>-41.703151675288424</v>
      </c>
      <c r="BK5" s="28">
        <f>SUM(Emissions!BM4:BM9)</f>
        <v>-39.171505355328783</v>
      </c>
      <c r="BL5" s="28">
        <f>SUM(Emissions!BN4:BN9)</f>
        <v>-36.66987140842334</v>
      </c>
      <c r="BM5" s="28">
        <f>SUM(Emissions!BO4:BO9)</f>
        <v>-34.197079214977983</v>
      </c>
      <c r="BN5" s="28">
        <f>SUM(Emissions!BP4:BP9)</f>
        <v>-31.752022002425583</v>
      </c>
    </row>
    <row r="6" spans="1:72" x14ac:dyDescent="0.25">
      <c r="A6" t="str">
        <f>A5</f>
        <v>3A Livestock</v>
      </c>
      <c r="B6" t="str">
        <f>B5</f>
        <v>3A1 Enteric fermentation (CH4)</v>
      </c>
      <c r="C6" t="str">
        <f>'IPCC Categories'!C7</f>
        <v>3A1c Sheep</v>
      </c>
      <c r="D6" t="str">
        <f>D5</f>
        <v>CH4</v>
      </c>
      <c r="E6" t="str">
        <f>E5</f>
        <v>Gg CH4</v>
      </c>
      <c r="F6" s="28">
        <f>SUM(Emissions!H10:H11)</f>
        <v>230.15541038431331</v>
      </c>
      <c r="G6" s="28">
        <f>SUM(Emissions!I10:I11)</f>
        <v>219.80651638524552</v>
      </c>
      <c r="H6" s="28">
        <f>SUM(Emissions!J10:J11)</f>
        <v>210.72436386232471</v>
      </c>
      <c r="I6" s="28">
        <f>SUM(Emissions!K10:K11)</f>
        <v>197.07426480420705</v>
      </c>
      <c r="J6" s="28">
        <f>SUM(Emissions!L10:L11)</f>
        <v>198.463841817435</v>
      </c>
      <c r="K6" s="28">
        <f>SUM(Emissions!M10:M11)</f>
        <v>195.62327002243862</v>
      </c>
      <c r="L6" s="28">
        <f>SUM(Emissions!N10:N11)</f>
        <v>196.27583381318104</v>
      </c>
      <c r="M6" s="28">
        <f>SUM(Emissions!O10:O11)</f>
        <v>192.00729889961895</v>
      </c>
      <c r="N6" s="28">
        <f>SUM(Emissions!P10:P11)</f>
        <v>192.53702715328046</v>
      </c>
      <c r="O6" s="28">
        <f>SUM(Emissions!Q10:Q11)</f>
        <v>187.80785897566491</v>
      </c>
      <c r="P6" s="28">
        <f>SUM(Emissions!R10:R11)</f>
        <v>181.07493609941679</v>
      </c>
      <c r="Q6" s="28">
        <f>SUM(Emissions!S10:S11)</f>
        <v>176.56073011169283</v>
      </c>
      <c r="R6" s="28">
        <f>SUM(Emissions!T10:T11)</f>
        <v>173.61267722175066</v>
      </c>
      <c r="S6" s="28">
        <f>SUM(Emissions!U10:U11)</f>
        <v>174.21917768608773</v>
      </c>
      <c r="T6" s="28">
        <f>SUM(Emissions!V10:V11)</f>
        <v>171.11758037479439</v>
      </c>
      <c r="U6" s="28">
        <f>SUM(Emissions!W10:W11)</f>
        <v>170.71068765821383</v>
      </c>
      <c r="V6" s="28">
        <f>SUM(Emissions!X10:X11)</f>
        <v>168.47661632755455</v>
      </c>
      <c r="W6" s="28">
        <f>SUM(Emissions!Y10:Y11)</f>
        <v>168.31539468513583</v>
      </c>
      <c r="X6" s="28">
        <f>SUM(Emissions!Z10:Z11)</f>
        <v>168.86047738093242</v>
      </c>
      <c r="Y6" s="28">
        <f>SUM(Emissions!AA10:AA11)</f>
        <v>168.26165413766293</v>
      </c>
      <c r="Z6" s="28">
        <f>SUM(Emissions!AB10:AB11)</f>
        <v>165.00651240501841</v>
      </c>
      <c r="AA6" s="28">
        <f>SUM(Emissions!AC10:AC11)</f>
        <v>163.71673926566876</v>
      </c>
      <c r="AB6" s="28">
        <f>SUM(Emissions!AD10:AD11)</f>
        <v>146.95659158179748</v>
      </c>
      <c r="AC6" s="28">
        <f>SUM(Emissions!AE10:AE11)</f>
        <v>147.03684331982549</v>
      </c>
      <c r="AD6" s="28">
        <f>SUM(Emissions!AF10:AF11)</f>
        <v>147.21654237711419</v>
      </c>
      <c r="AE6" s="28">
        <f>SUM(Emissions!AG10:AG11)</f>
        <v>147.48702718393048</v>
      </c>
      <c r="AF6" s="28">
        <f>SUM(Emissions!AH10:AH11)</f>
        <v>147.85191661373551</v>
      </c>
      <c r="AG6" s="28">
        <f>SUM(Emissions!AI10:AI11)</f>
        <v>148.31159784957359</v>
      </c>
      <c r="AH6" s="28">
        <f>SUM(Emissions!AJ10:AJ11)</f>
        <v>148.82366411157386</v>
      </c>
      <c r="AI6" s="28">
        <f>SUM(Emissions!AK10:AK11)</f>
        <v>149.37862740177056</v>
      </c>
      <c r="AJ6" s="28">
        <f>SUM(Emissions!AL10:AL11)</f>
        <v>149.9001330584631</v>
      </c>
      <c r="AK6" s="28">
        <f>SUM(Emissions!AM10:AM11)</f>
        <v>150.11797606987565</v>
      </c>
      <c r="AL6" s="28">
        <f>SUM(Emissions!AN10:AN11)</f>
        <v>150.3707562589631</v>
      </c>
      <c r="AM6" s="28">
        <f>SUM(Emissions!AO10:AO11)</f>
        <v>150.65842179480947</v>
      </c>
      <c r="AN6" s="28">
        <f>SUM(Emissions!AP10:AP11)</f>
        <v>150.9824631063675</v>
      </c>
      <c r="AO6" s="28">
        <f>SUM(Emissions!AQ10:AQ11)</f>
        <v>151.33768532961699</v>
      </c>
      <c r="AP6" s="28">
        <f>SUM(Emissions!AR10:AR11)</f>
        <v>151.55635169853375</v>
      </c>
      <c r="AQ6" s="28">
        <f>SUM(Emissions!AS10:AS11)</f>
        <v>151.80060654748624</v>
      </c>
      <c r="AR6" s="28">
        <f>SUM(Emissions!AT10:AT11)</f>
        <v>152.07133626398189</v>
      </c>
      <c r="AS6" s="28">
        <f>SUM(Emissions!AU10:AU11)</f>
        <v>152.36438124648043</v>
      </c>
      <c r="AT6" s="28">
        <f>SUM(Emissions!AV10:AV11)</f>
        <v>152.68078930421947</v>
      </c>
      <c r="AU6" s="28">
        <f>SUM(Emissions!AW10:AW11)</f>
        <v>152.88908662442506</v>
      </c>
      <c r="AV6" s="28">
        <f>SUM(Emissions!AX10:AX11)</f>
        <v>153.11929361024616</v>
      </c>
      <c r="AW6" s="28">
        <f>SUM(Emissions!AY10:AY11)</f>
        <v>153.3693398953157</v>
      </c>
      <c r="AX6" s="28">
        <f>SUM(Emissions!AZ10:AZ11)</f>
        <v>153.61091649773769</v>
      </c>
      <c r="AY6" s="28">
        <f>SUM(Emissions!BA10:BA11)</f>
        <v>152.57810418824337</v>
      </c>
      <c r="AZ6" s="28">
        <f>SUM(Emissions!BB10:BB11)</f>
        <v>152.72477986657373</v>
      </c>
      <c r="BA6" s="28">
        <f>SUM(Emissions!BC10:BC11)</f>
        <v>152.88663720415221</v>
      </c>
      <c r="BB6" s="28">
        <f>SUM(Emissions!BD10:BD11)</f>
        <v>153.06310265062984</v>
      </c>
      <c r="BC6" s="28">
        <f>SUM(Emissions!BE10:BE11)</f>
        <v>153.25364698752927</v>
      </c>
      <c r="BD6" s="28">
        <f>SUM(Emissions!BF10:BF11)</f>
        <v>153.45778112148594</v>
      </c>
      <c r="BE6" s="28">
        <f>SUM(Emissions!BG10:BG11)</f>
        <v>153.5568476018274</v>
      </c>
      <c r="BF6" s="28">
        <f>SUM(Emissions!BH10:BH11)</f>
        <v>153.66788755872869</v>
      </c>
      <c r="BG6" s="28">
        <f>SUM(Emissions!BI10:BI11)</f>
        <v>153.79048428697473</v>
      </c>
      <c r="BH6" s="28">
        <f>SUM(Emissions!BJ10:BJ11)</f>
        <v>153.92424960219202</v>
      </c>
      <c r="BI6" s="28">
        <f>SUM(Emissions!BK10:BK11)</f>
        <v>154.06882141786409</v>
      </c>
      <c r="BJ6" s="28">
        <f>SUM(Emissions!BL10:BL11)</f>
        <v>154.10448552618726</v>
      </c>
      <c r="BK6" s="28">
        <f>SUM(Emissions!BM10:BM11)</f>
        <v>154.14974039872359</v>
      </c>
      <c r="BL6" s="28">
        <f>SUM(Emissions!BN10:BN11)</f>
        <v>154.20426838954219</v>
      </c>
      <c r="BM6" s="28">
        <f>SUM(Emissions!BO10:BO11)</f>
        <v>154.26777124955385</v>
      </c>
      <c r="BN6" s="28">
        <f>SUM(Emissions!BP10:BP11)</f>
        <v>154.33996863486263</v>
      </c>
    </row>
    <row r="7" spans="1:72" x14ac:dyDescent="0.25">
      <c r="A7" t="str">
        <f t="shared" ref="A7:A26" si="2">A6</f>
        <v>3A Livestock</v>
      </c>
      <c r="B7" t="str">
        <f t="shared" ref="B7:B10" si="3">B6</f>
        <v>3A1 Enteric fermentation (CH4)</v>
      </c>
      <c r="C7" t="str">
        <f>'IPCC Categories'!C8</f>
        <v>3A1d Goats</v>
      </c>
      <c r="D7" t="str">
        <f t="shared" ref="D7:D10" si="4">D6</f>
        <v>CH4</v>
      </c>
      <c r="E7" t="str">
        <f t="shared" ref="E7:E10" si="5">E6</f>
        <v>Gg CH4</v>
      </c>
      <c r="F7" s="28">
        <f>SUM(Emissions!H12:H13)</f>
        <v>50.832740984438615</v>
      </c>
      <c r="G7" s="28">
        <f>SUM(Emissions!I12:I13)</f>
        <v>44.950509601596238</v>
      </c>
      <c r="H7" s="28">
        <f>SUM(Emissions!J12:J13)</f>
        <v>41.871958597491798</v>
      </c>
      <c r="I7" s="28">
        <f>SUM(Emissions!K12:K13)</f>
        <v>39.563045344413474</v>
      </c>
      <c r="J7" s="28">
        <f>SUM(Emissions!L12:L13)</f>
        <v>42.824843432095548</v>
      </c>
      <c r="K7" s="28">
        <f>SUM(Emissions!M12:M13)</f>
        <v>43.411234099544018</v>
      </c>
      <c r="L7" s="28">
        <f>SUM(Emissions!N12:N13)</f>
        <v>44.089248308781293</v>
      </c>
      <c r="M7" s="28">
        <f>SUM(Emissions!O12:O13)</f>
        <v>43.869351808488119</v>
      </c>
      <c r="N7" s="28">
        <f>SUM(Emissions!P12:P13)</f>
        <v>43.24631172432413</v>
      </c>
      <c r="O7" s="28">
        <f>SUM(Emissions!Q12:Q13)</f>
        <v>42.604946931802381</v>
      </c>
      <c r="P7" s="28">
        <f>SUM(Emissions!R12:R13)</f>
        <v>43.15468818253531</v>
      </c>
      <c r="Q7" s="28">
        <f>SUM(Emissions!S12:S13)</f>
        <v>44.474067184294356</v>
      </c>
      <c r="R7" s="28">
        <f>SUM(Emissions!T12:T13)</f>
        <v>40.607553720806052</v>
      </c>
      <c r="S7" s="28">
        <f>SUM(Emissions!U12:U13)</f>
        <v>39.581370052771241</v>
      </c>
      <c r="T7" s="28">
        <f>SUM(Emissions!V12:V13)</f>
        <v>39.654668886202302</v>
      </c>
      <c r="U7" s="28">
        <f>SUM(Emissions!W12:W13)</f>
        <v>39.1415770521849</v>
      </c>
      <c r="V7" s="28">
        <f>SUM(Emissions!X12:X13)</f>
        <v>39.966188928284296</v>
      </c>
      <c r="W7" s="28">
        <f>SUM(Emissions!Y12:Y13)</f>
        <v>38.775082885029605</v>
      </c>
      <c r="X7" s="28">
        <f>SUM(Emissions!Z12:Z13)</f>
        <v>38.738433468314078</v>
      </c>
      <c r="Y7" s="28">
        <f>SUM(Emissions!AA12:AA13)</f>
        <v>38.060419259076795</v>
      </c>
      <c r="Z7" s="28">
        <f>SUM(Emissions!AB12:AB13)</f>
        <v>37.60230155013268</v>
      </c>
      <c r="AA7" s="28">
        <f>SUM(Emissions!AC12:AC13)</f>
        <v>37.254132091335151</v>
      </c>
      <c r="AB7" s="28">
        <f>SUM(Emissions!AD12:AD13)</f>
        <v>37.503270571061222</v>
      </c>
      <c r="AC7" s="28">
        <f>SUM(Emissions!AE12:AE13)</f>
        <v>37.601087984262868</v>
      </c>
      <c r="AD7" s="28">
        <f>SUM(Emissions!AF12:AF13)</f>
        <v>37.731438352147492</v>
      </c>
      <c r="AE7" s="28">
        <f>SUM(Emissions!AG12:AG13)</f>
        <v>37.89142372992135</v>
      </c>
      <c r="AF7" s="28">
        <f>SUM(Emissions!AH12:AH13)</f>
        <v>38.082966616578311</v>
      </c>
      <c r="AG7" s="28">
        <f>SUM(Emissions!AI12:AI13)</f>
        <v>38.306576731107619</v>
      </c>
      <c r="AH7" s="28">
        <f>SUM(Emissions!AJ12:AJ13)</f>
        <v>38.545657167332791</v>
      </c>
      <c r="AI7" s="28">
        <f>SUM(Emissions!AK12:AK13)</f>
        <v>38.796789271016614</v>
      </c>
      <c r="AJ7" s="28">
        <f>SUM(Emissions!AL12:AL13)</f>
        <v>39.030079964972153</v>
      </c>
      <c r="AK7" s="28">
        <f>SUM(Emissions!AM12:AM13)</f>
        <v>39.139407091727463</v>
      </c>
      <c r="AL7" s="28">
        <f>SUM(Emissions!AN12:AN13)</f>
        <v>39.259290346372637</v>
      </c>
      <c r="AM7" s="28">
        <f>SUM(Emissions!AO12:AO13)</f>
        <v>39.389881863784986</v>
      </c>
      <c r="AN7" s="28">
        <f>SUM(Emissions!AP12:AP13)</f>
        <v>39.531910414401707</v>
      </c>
      <c r="AO7" s="28">
        <f>SUM(Emissions!AQ12:AQ13)</f>
        <v>39.683463747220777</v>
      </c>
      <c r="AP7" s="28">
        <f>SUM(Emissions!AR12:AR13)</f>
        <v>39.779259855119889</v>
      </c>
      <c r="AQ7" s="28">
        <f>SUM(Emissions!AS12:AS13)</f>
        <v>39.882906372517851</v>
      </c>
      <c r="AR7" s="28">
        <f>SUM(Emissions!AT12:AT13)</f>
        <v>39.994832091775571</v>
      </c>
      <c r="AS7" s="28">
        <f>SUM(Emissions!AU12:AU13)</f>
        <v>40.113496129704103</v>
      </c>
      <c r="AT7" s="28">
        <f>SUM(Emissions!AV12:AV13)</f>
        <v>40.239373155532974</v>
      </c>
      <c r="AU7" s="28">
        <f>SUM(Emissions!AW12:AW13)</f>
        <v>40.321814249266694</v>
      </c>
      <c r="AV7" s="28">
        <f>SUM(Emissions!AX12:AX13)</f>
        <v>40.411222206252532</v>
      </c>
      <c r="AW7" s="28">
        <f>SUM(Emissions!AY12:AY13)</f>
        <v>40.50684118073876</v>
      </c>
      <c r="AX7" s="28">
        <f>SUM(Emissions!AZ12:AZ13)</f>
        <v>40.597856470104503</v>
      </c>
      <c r="AY7" s="28">
        <f>SUM(Emissions!BA12:BA13)</f>
        <v>40.199987727339568</v>
      </c>
      <c r="AZ7" s="28">
        <f>SUM(Emissions!BB12:BB13)</f>
        <v>40.2532226739226</v>
      </c>
      <c r="BA7" s="28">
        <f>SUM(Emissions!BC12:BC13)</f>
        <v>40.311230934434562</v>
      </c>
      <c r="BB7" s="28">
        <f>SUM(Emissions!BD12:BD13)</f>
        <v>40.373818660625901</v>
      </c>
      <c r="BC7" s="28">
        <f>SUM(Emissions!BE12:BE13)</f>
        <v>40.44080704020223</v>
      </c>
      <c r="BD7" s="28">
        <f>SUM(Emissions!BF12:BF13)</f>
        <v>40.512030857159836</v>
      </c>
      <c r="BE7" s="28">
        <f>SUM(Emissions!BG12:BG13)</f>
        <v>40.542603567358668</v>
      </c>
      <c r="BF7" s="28">
        <f>SUM(Emissions!BH12:BH13)</f>
        <v>40.576991842473944</v>
      </c>
      <c r="BG7" s="28">
        <f>SUM(Emissions!BI12:BI13)</f>
        <v>40.615051835892473</v>
      </c>
      <c r="BH7" s="28">
        <f>SUM(Emissions!BJ12:BJ13)</f>
        <v>40.656649569217002</v>
      </c>
      <c r="BI7" s="28">
        <f>SUM(Emissions!BK12:BK13)</f>
        <v>40.701660086827793</v>
      </c>
      <c r="BJ7" s="28">
        <f>SUM(Emissions!BL12:BL13)</f>
        <v>40.705171804775944</v>
      </c>
      <c r="BK7" s="28">
        <f>SUM(Emissions!BM12:BM13)</f>
        <v>40.711806606417284</v>
      </c>
      <c r="BL7" s="28">
        <f>SUM(Emissions!BN12:BN13)</f>
        <v>40.721452332238414</v>
      </c>
      <c r="BM7" s="28">
        <f>SUM(Emissions!BO12:BO13)</f>
        <v>40.734003687878257</v>
      </c>
      <c r="BN7" s="28">
        <f>SUM(Emissions!BP12:BP13)</f>
        <v>40.749361712269113</v>
      </c>
    </row>
    <row r="8" spans="1:72" x14ac:dyDescent="0.25">
      <c r="A8" t="str">
        <f t="shared" si="2"/>
        <v>3A Livestock</v>
      </c>
      <c r="B8" t="str">
        <f t="shared" si="3"/>
        <v>3A1 Enteric fermentation (CH4)</v>
      </c>
      <c r="C8" t="str">
        <f>'IPCC Categories'!C9</f>
        <v>3A1f Horses</v>
      </c>
      <c r="D8" t="str">
        <f t="shared" si="4"/>
        <v>CH4</v>
      </c>
      <c r="E8" t="str">
        <f t="shared" si="5"/>
        <v>Gg CH4</v>
      </c>
      <c r="F8" s="28">
        <f>Emissions!H14</f>
        <v>4.1399999999999997</v>
      </c>
      <c r="G8" s="28">
        <f>Emissions!I14</f>
        <v>4.1399999999999997</v>
      </c>
      <c r="H8" s="28">
        <f>Emissions!J14</f>
        <v>4.1399999999999997</v>
      </c>
      <c r="I8" s="28">
        <f>Emissions!K14</f>
        <v>4.2299999999999995</v>
      </c>
      <c r="J8" s="28">
        <f>Emissions!L14</f>
        <v>4.3199999999999994</v>
      </c>
      <c r="K8" s="28">
        <f>Emissions!M14</f>
        <v>4.41</v>
      </c>
      <c r="L8" s="28">
        <f>Emissions!N14</f>
        <v>4.5</v>
      </c>
      <c r="M8" s="28">
        <f>Emissions!O14</f>
        <v>4.59</v>
      </c>
      <c r="N8" s="28">
        <f>Emissions!P14</f>
        <v>4.68</v>
      </c>
      <c r="O8" s="28">
        <f>Emissions!Q14</f>
        <v>4.6440000000000001</v>
      </c>
      <c r="P8" s="28">
        <f>Emissions!R14</f>
        <v>4.8599999999999994</v>
      </c>
      <c r="Q8" s="28">
        <f>Emissions!S14</f>
        <v>4.8599999999999994</v>
      </c>
      <c r="R8" s="28">
        <f>Emissions!T14</f>
        <v>4.8599999999999994</v>
      </c>
      <c r="S8" s="28">
        <f>Emissions!U14</f>
        <v>4.8599999999999994</v>
      </c>
      <c r="T8" s="28">
        <f>Emissions!V14</f>
        <v>4.8599999999999994</v>
      </c>
      <c r="U8" s="28">
        <f>Emissions!W14</f>
        <v>4.8599999999999994</v>
      </c>
      <c r="V8" s="28">
        <f>Emissions!X14</f>
        <v>5.04</v>
      </c>
      <c r="W8" s="28">
        <f>Emissions!Y14</f>
        <v>5.22</v>
      </c>
      <c r="X8" s="28">
        <f>Emissions!Z14</f>
        <v>5.3639999999999999</v>
      </c>
      <c r="Y8" s="28">
        <f>Emissions!AA14</f>
        <v>5.3999999999999995</v>
      </c>
      <c r="Z8" s="28">
        <f>Emissions!AB14</f>
        <v>5.3999999999999995</v>
      </c>
      <c r="AA8" s="28">
        <f>Emissions!AC14</f>
        <v>5.4899999999999993</v>
      </c>
      <c r="AB8" s="28">
        <f>Emissions!AD14</f>
        <v>5.5696427744330439</v>
      </c>
      <c r="AC8" s="28">
        <f>Emissions!AE14</f>
        <v>5.6022840873497932</v>
      </c>
      <c r="AD8" s="28">
        <f>Emissions!AF14</f>
        <v>5.6103260601490881</v>
      </c>
      <c r="AE8" s="28">
        <f>Emissions!AG14</f>
        <v>5.5857580588048208</v>
      </c>
      <c r="AF8" s="28">
        <f>Emissions!AH14</f>
        <v>5.559765331848693</v>
      </c>
      <c r="AG8" s="28">
        <f>Emissions!AI14</f>
        <v>5.5473985576087426</v>
      </c>
      <c r="AH8" s="28">
        <f>Emissions!AJ14</f>
        <v>5.5391504700870771</v>
      </c>
      <c r="AI8" s="28">
        <f>Emissions!AK14</f>
        <v>5.4993657963463365</v>
      </c>
      <c r="AJ8" s="28">
        <f>Emissions!AL14</f>
        <v>5.1779141846798922</v>
      </c>
      <c r="AK8" s="28">
        <f>Emissions!AM14</f>
        <v>5.2234365031656678</v>
      </c>
      <c r="AL8" s="28">
        <f>Emissions!AN14</f>
        <v>5.2607139869862687</v>
      </c>
      <c r="AM8" s="28">
        <f>Emissions!AO14</f>
        <v>5.2972378917474705</v>
      </c>
      <c r="AN8" s="28">
        <f>Emissions!AP14</f>
        <v>5.3445893517249541</v>
      </c>
      <c r="AO8" s="28">
        <f>Emissions!AQ14</f>
        <v>5.391074742094033</v>
      </c>
      <c r="AP8" s="28">
        <f>Emissions!AR14</f>
        <v>5.4443279456237095</v>
      </c>
      <c r="AQ8" s="28">
        <f>Emissions!AS14</f>
        <v>5.4941146702747297</v>
      </c>
      <c r="AR8" s="28">
        <f>Emissions!AT14</f>
        <v>5.5476702009922301</v>
      </c>
      <c r="AS8" s="28">
        <f>Emissions!AU14</f>
        <v>5.5951924858009336</v>
      </c>
      <c r="AT8" s="28">
        <f>Emissions!AV14</f>
        <v>5.6435970948645044</v>
      </c>
      <c r="AU8" s="28">
        <f>Emissions!AW14</f>
        <v>5.7106381367284076</v>
      </c>
      <c r="AV8" s="28">
        <f>Emissions!AX14</f>
        <v>5.7837954436426573</v>
      </c>
      <c r="AW8" s="28">
        <f>Emissions!AY14</f>
        <v>5.8590224803991617</v>
      </c>
      <c r="AX8" s="28">
        <f>Emissions!AZ14</f>
        <v>5.8483213454344947</v>
      </c>
      <c r="AY8" s="28">
        <f>Emissions!BA14</f>
        <v>1.7304204380446728</v>
      </c>
      <c r="AZ8" s="28">
        <f>Emissions!BB14</f>
        <v>1.7304204380446728</v>
      </c>
      <c r="BA8" s="28">
        <f>Emissions!BC14</f>
        <v>1.7304204380446728</v>
      </c>
      <c r="BB8" s="28">
        <f>Emissions!BD14</f>
        <v>1.7304204380446728</v>
      </c>
      <c r="BC8" s="28">
        <f>Emissions!BE14</f>
        <v>1.7304204380446728</v>
      </c>
      <c r="BD8" s="28">
        <f>Emissions!BF14</f>
        <v>1.7304204380446728</v>
      </c>
      <c r="BE8" s="28">
        <f>Emissions!BG14</f>
        <v>1.7304204380446728</v>
      </c>
      <c r="BF8" s="28">
        <f>Emissions!BH14</f>
        <v>1.7304204380446728</v>
      </c>
      <c r="BG8" s="28">
        <f>Emissions!BI14</f>
        <v>1.7304204380446728</v>
      </c>
      <c r="BH8" s="28">
        <f>Emissions!BJ14</f>
        <v>1.7304204380446728</v>
      </c>
      <c r="BI8" s="28">
        <f>Emissions!BK14</f>
        <v>1.7304204380446728</v>
      </c>
      <c r="BJ8" s="28">
        <f>Emissions!BL14</f>
        <v>1.7304204380446728</v>
      </c>
      <c r="BK8" s="28">
        <f>Emissions!BM14</f>
        <v>1.7304204380446728</v>
      </c>
      <c r="BL8" s="28">
        <f>Emissions!BN14</f>
        <v>1.7304204380446728</v>
      </c>
      <c r="BM8" s="28">
        <f>Emissions!BO14</f>
        <v>1.7304204380446728</v>
      </c>
      <c r="BN8" s="28">
        <f>Emissions!BP14</f>
        <v>1.7304204380446728</v>
      </c>
    </row>
    <row r="9" spans="1:72" x14ac:dyDescent="0.25">
      <c r="A9" t="str">
        <f t="shared" si="2"/>
        <v>3A Livestock</v>
      </c>
      <c r="B9" t="str">
        <f t="shared" si="3"/>
        <v>3A1 Enteric fermentation (CH4)</v>
      </c>
      <c r="C9" t="str">
        <f>'IPCC Categories'!C10</f>
        <v>3A1g Mules &amp; asses</v>
      </c>
      <c r="D9" t="str">
        <f t="shared" si="4"/>
        <v>CH4</v>
      </c>
      <c r="E9" t="str">
        <f t="shared" si="5"/>
        <v>Gg CH4</v>
      </c>
      <c r="F9" s="28">
        <f>Emissions!H15</f>
        <v>2.2399999999999998</v>
      </c>
      <c r="G9" s="28">
        <f>Emissions!I15</f>
        <v>2.2399999999999998</v>
      </c>
      <c r="H9" s="28">
        <f>Emissions!J15</f>
        <v>2.2399999999999998</v>
      </c>
      <c r="I9" s="28">
        <f>Emissions!K15</f>
        <v>2.2399999999999998</v>
      </c>
      <c r="J9" s="28">
        <f>Emissions!L15</f>
        <v>2.2399999999999998</v>
      </c>
      <c r="K9" s="28">
        <f>Emissions!M15</f>
        <v>2.2399999999999998</v>
      </c>
      <c r="L9" s="28">
        <f>Emissions!N15</f>
        <v>2.2399999999999998</v>
      </c>
      <c r="M9" s="28">
        <f>Emissions!O15</f>
        <v>2.2399999999999998</v>
      </c>
      <c r="N9" s="28">
        <f>Emissions!P15</f>
        <v>2.2399999999999998</v>
      </c>
      <c r="O9" s="28">
        <f>Emissions!Q15</f>
        <v>2.2399999999999998</v>
      </c>
      <c r="P9" s="28">
        <f>Emissions!R15</f>
        <v>1.64</v>
      </c>
      <c r="Q9" s="28">
        <f>Emissions!S15</f>
        <v>1.64</v>
      </c>
      <c r="R9" s="28">
        <f>Emissions!T15</f>
        <v>1.64</v>
      </c>
      <c r="S9" s="28">
        <f>Emissions!U15</f>
        <v>1.64</v>
      </c>
      <c r="T9" s="28">
        <f>Emissions!V15</f>
        <v>1.64</v>
      </c>
      <c r="U9" s="28">
        <f>Emissions!W15</f>
        <v>1.64</v>
      </c>
      <c r="V9" s="28">
        <f>Emissions!X15</f>
        <v>1.6404999999999998</v>
      </c>
      <c r="W9" s="28">
        <f>Emissions!Y15</f>
        <v>1.6459999999999999</v>
      </c>
      <c r="X9" s="28">
        <f>Emissions!Z15</f>
        <v>1.647</v>
      </c>
      <c r="Y9" s="28">
        <f>Emissions!AA15</f>
        <v>1.6479999999999999</v>
      </c>
      <c r="Z9" s="28">
        <f>Emissions!AB15</f>
        <v>1.663</v>
      </c>
      <c r="AA9" s="28">
        <f>Emissions!AC15</f>
        <v>1.67</v>
      </c>
      <c r="AB9" s="28">
        <f>Emissions!AD15</f>
        <v>1.67</v>
      </c>
      <c r="AC9" s="28">
        <f>Emissions!AE15</f>
        <v>1.67</v>
      </c>
      <c r="AD9" s="28">
        <f>Emissions!AF15</f>
        <v>1.67</v>
      </c>
      <c r="AE9" s="28">
        <f>Emissions!AG15</f>
        <v>1.67</v>
      </c>
      <c r="AF9" s="28">
        <f>Emissions!AH15</f>
        <v>1.67</v>
      </c>
      <c r="AG9" s="28">
        <f>Emissions!AI15</f>
        <v>1.67</v>
      </c>
      <c r="AH9" s="28">
        <f>Emissions!AJ15</f>
        <v>1.67</v>
      </c>
      <c r="AI9" s="28">
        <f>Emissions!AK15</f>
        <v>1.67</v>
      </c>
      <c r="AJ9" s="28">
        <f>Emissions!AL15</f>
        <v>1.67</v>
      </c>
      <c r="AK9" s="28">
        <f>Emissions!AM15</f>
        <v>1.67</v>
      </c>
      <c r="AL9" s="28">
        <f>Emissions!AN15</f>
        <v>1.67</v>
      </c>
      <c r="AM9" s="28">
        <f>Emissions!AO15</f>
        <v>1.67</v>
      </c>
      <c r="AN9" s="28">
        <f>Emissions!AP15</f>
        <v>1.67</v>
      </c>
      <c r="AO9" s="28">
        <f>Emissions!AQ15</f>
        <v>1.67</v>
      </c>
      <c r="AP9" s="28">
        <f>Emissions!AR15</f>
        <v>1.67</v>
      </c>
      <c r="AQ9" s="28">
        <f>Emissions!AS15</f>
        <v>1.67</v>
      </c>
      <c r="AR9" s="28">
        <f>Emissions!AT15</f>
        <v>1.67</v>
      </c>
      <c r="AS9" s="28">
        <f>Emissions!AU15</f>
        <v>1.67</v>
      </c>
      <c r="AT9" s="28">
        <f>Emissions!AV15</f>
        <v>1.67</v>
      </c>
      <c r="AU9" s="28">
        <f>Emissions!AW15</f>
        <v>1.67</v>
      </c>
      <c r="AV9" s="28">
        <f>Emissions!AX15</f>
        <v>1.67</v>
      </c>
      <c r="AW9" s="28">
        <f>Emissions!AY15</f>
        <v>1.67</v>
      </c>
      <c r="AX9" s="28">
        <f>Emissions!AZ15</f>
        <v>1.67</v>
      </c>
      <c r="AY9" s="28">
        <f>Emissions!BA15</f>
        <v>1.67</v>
      </c>
      <c r="AZ9" s="28">
        <f>Emissions!BB15</f>
        <v>1.67</v>
      </c>
      <c r="BA9" s="28">
        <f>Emissions!BC15</f>
        <v>1.67</v>
      </c>
      <c r="BB9" s="28">
        <f>Emissions!BD15</f>
        <v>1.67</v>
      </c>
      <c r="BC9" s="28">
        <f>Emissions!BE15</f>
        <v>1.67</v>
      </c>
      <c r="BD9" s="28">
        <f>Emissions!BF15</f>
        <v>1.67</v>
      </c>
      <c r="BE9" s="28">
        <f>Emissions!BG15</f>
        <v>1.67</v>
      </c>
      <c r="BF9" s="28">
        <f>Emissions!BH15</f>
        <v>1.67</v>
      </c>
      <c r="BG9" s="28">
        <f>Emissions!BI15</f>
        <v>1.67</v>
      </c>
      <c r="BH9" s="28">
        <f>Emissions!BJ15</f>
        <v>1.67</v>
      </c>
      <c r="BI9" s="28">
        <f>Emissions!BK15</f>
        <v>1.67</v>
      </c>
      <c r="BJ9" s="28">
        <f>Emissions!BL15</f>
        <v>1.67</v>
      </c>
      <c r="BK9" s="28">
        <f>Emissions!BM15</f>
        <v>1.67</v>
      </c>
      <c r="BL9" s="28">
        <f>Emissions!BN15</f>
        <v>1.67</v>
      </c>
      <c r="BM9" s="28">
        <f>Emissions!BO15</f>
        <v>1.67</v>
      </c>
      <c r="BN9" s="28">
        <f>Emissions!BP15</f>
        <v>1.67</v>
      </c>
    </row>
    <row r="10" spans="1:72" x14ac:dyDescent="0.25">
      <c r="A10" t="str">
        <f t="shared" si="2"/>
        <v>3A Livestock</v>
      </c>
      <c r="B10" t="str">
        <f t="shared" si="3"/>
        <v>3A1 Enteric fermentation (CH4)</v>
      </c>
      <c r="C10" t="str">
        <f>'IPCC Categories'!C11</f>
        <v>3A1h Swine</v>
      </c>
      <c r="D10" t="str">
        <f t="shared" si="4"/>
        <v>CH4</v>
      </c>
      <c r="E10" t="str">
        <f t="shared" si="5"/>
        <v>Gg CH4</v>
      </c>
      <c r="F10" s="28">
        <f>SUM(Emissions!H16:H17)</f>
        <v>1.9180695910937571</v>
      </c>
      <c r="G10" s="28">
        <f>SUM(Emissions!I16:I17)</f>
        <v>2.0955287855453451</v>
      </c>
      <c r="H10" s="28">
        <f>SUM(Emissions!J16:J17)</f>
        <v>2.0816844512264265</v>
      </c>
      <c r="I10" s="28">
        <f>SUM(Emissions!K16:K17)</f>
        <v>2.0804258753792526</v>
      </c>
      <c r="J10" s="28">
        <f>SUM(Emissions!L16:L17)</f>
        <v>1.9759640800637785</v>
      </c>
      <c r="K10" s="28">
        <f>SUM(Emissions!M16:M17)</f>
        <v>1.9948427177713943</v>
      </c>
      <c r="L10" s="28">
        <f>SUM(Emissions!N16:N17)</f>
        <v>2.148388971126669</v>
      </c>
      <c r="M10" s="28">
        <f>SUM(Emissions!O16:O17)</f>
        <v>2.1383203643492741</v>
      </c>
      <c r="N10" s="28">
        <f>SUM(Emissions!P16:P17)</f>
        <v>2.1848876706947262</v>
      </c>
      <c r="O10" s="28">
        <f>SUM(Emissions!Q16:Q17)</f>
        <v>2.240265007970399</v>
      </c>
      <c r="P10" s="28">
        <f>SUM(Emissions!R16:R17)</f>
        <v>2.0728744202962059</v>
      </c>
      <c r="Q10" s="28">
        <f>SUM(Emissions!S16:S17)</f>
        <v>2.1118902715586119</v>
      </c>
      <c r="R10" s="28">
        <f>SUM(Emissions!T16:T17)</f>
        <v>2.1521646986681922</v>
      </c>
      <c r="S10" s="28">
        <f>SUM(Emissions!U16:U17)</f>
        <v>2.0930116338509963</v>
      </c>
      <c r="T10" s="28">
        <f>SUM(Emissions!V16:V17)</f>
        <v>2.0930116338509963</v>
      </c>
      <c r="U10" s="28">
        <f>SUM(Emissions!W16:W17)</f>
        <v>2.0779087236849034</v>
      </c>
      <c r="V10" s="28">
        <f>SUM(Emissions!X16:X17)</f>
        <v>2.0414100241168467</v>
      </c>
      <c r="W10" s="28">
        <f>SUM(Emissions!Y16:Y17)</f>
        <v>2.0779087236849034</v>
      </c>
      <c r="X10" s="28">
        <f>SUM(Emissions!Z16:Z17)</f>
        <v>2.0325999931866261</v>
      </c>
      <c r="Y10" s="28">
        <f>SUM(Emissions!AA16:AA17)</f>
        <v>2.0300828414922774</v>
      </c>
      <c r="Z10" s="28">
        <f>SUM(Emissions!AB16:AB17)</f>
        <v>2.0061699003959639</v>
      </c>
      <c r="AA10" s="28">
        <f>SUM(Emissions!AC16:AC17)</f>
        <v>1.9935841419242202</v>
      </c>
      <c r="AB10" s="28">
        <f>SUM(Emissions!AD16:AD17)</f>
        <v>2.1110830383585197</v>
      </c>
      <c r="AC10" s="28">
        <f>SUM(Emissions!AE16:AE17)</f>
        <v>2.1044196924075083</v>
      </c>
      <c r="AD10" s="28">
        <f>SUM(Emissions!AF16:AF17)</f>
        <v>2.0823840575539418</v>
      </c>
      <c r="AE10" s="28">
        <f>SUM(Emissions!AG16:AG17)</f>
        <v>2.039599022247661</v>
      </c>
      <c r="AF10" s="28">
        <f>SUM(Emissions!AH16:AH17)</f>
        <v>1.9986859834803092</v>
      </c>
      <c r="AG10" s="28">
        <f>SUM(Emissions!AI16:AI17)</f>
        <v>1.9699849612168805</v>
      </c>
      <c r="AH10" s="28">
        <f>SUM(Emissions!AJ16:AJ17)</f>
        <v>1.9456775893197551</v>
      </c>
      <c r="AI10" s="28">
        <f>SUM(Emissions!AK16:AK17)</f>
        <v>1.9009181287656161</v>
      </c>
      <c r="AJ10" s="28">
        <f>SUM(Emissions!AL16:AL17)</f>
        <v>1.6641098755875374</v>
      </c>
      <c r="AK10" s="28">
        <f>SUM(Emissions!AM16:AM17)</f>
        <v>1.6746846167244969</v>
      </c>
      <c r="AL10" s="28">
        <f>SUM(Emissions!AN16:AN17)</f>
        <v>1.6799927035404589</v>
      </c>
      <c r="AM10" s="28">
        <f>SUM(Emissions!AO16:AO17)</f>
        <v>1.6851532029527025</v>
      </c>
      <c r="AN10" s="28">
        <f>SUM(Emissions!AP16:AP17)</f>
        <v>1.6977582517560941</v>
      </c>
      <c r="AO10" s="28">
        <f>SUM(Emissions!AQ16:AQ17)</f>
        <v>1.7099395399465906</v>
      </c>
      <c r="AP10" s="28">
        <f>SUM(Emissions!AR16:AR17)</f>
        <v>1.7239145983268152</v>
      </c>
      <c r="AQ10" s="28">
        <f>SUM(Emissions!AS16:AS17)</f>
        <v>1.7356445413661854</v>
      </c>
      <c r="AR10" s="28">
        <f>SUM(Emissions!AT16:AT17)</f>
        <v>1.7497412039822415</v>
      </c>
      <c r="AS10" s="28">
        <f>SUM(Emissions!AU16:AU17)</f>
        <v>1.7600027643682585</v>
      </c>
      <c r="AT10" s="28">
        <f>SUM(Emissions!AV16:AV17)</f>
        <v>1.770797027362258</v>
      </c>
      <c r="AU10" s="28">
        <f>SUM(Emissions!AW16:AW17)</f>
        <v>1.7907064389200935</v>
      </c>
      <c r="AV10" s="28">
        <f>SUM(Emissions!AX16:AX17)</f>
        <v>1.813963882034711</v>
      </c>
      <c r="AW10" s="28">
        <f>SUM(Emissions!AY16:AY17)</f>
        <v>1.83803114354451</v>
      </c>
      <c r="AX10" s="28">
        <f>SUM(Emissions!AZ16:AZ17)</f>
        <v>1.8109816882963548</v>
      </c>
      <c r="AY10" s="28">
        <f>SUM(Emissions!BA16:BA17)</f>
        <v>-0.61103872875604537</v>
      </c>
      <c r="AZ10" s="28">
        <f>SUM(Emissions!BB16:BB17)</f>
        <v>-0.60435495200522193</v>
      </c>
      <c r="BA10" s="28">
        <f>SUM(Emissions!BC16:BC17)</f>
        <v>-0.59781433224452829</v>
      </c>
      <c r="BB10" s="28">
        <f>SUM(Emissions!BD16:BD17)</f>
        <v>-0.59140750432360256</v>
      </c>
      <c r="BC10" s="28">
        <f>SUM(Emissions!BE16:BE17)</f>
        <v>-0.58512578880945787</v>
      </c>
      <c r="BD10" s="28">
        <f>SUM(Emissions!BF16:BF17)</f>
        <v>-0.57896112567363101</v>
      </c>
      <c r="BE10" s="28">
        <f>SUM(Emissions!BG16:BG17)</f>
        <v>-0.57219971847562778</v>
      </c>
      <c r="BF10" s="28">
        <f>SUM(Emissions!BH16:BH17)</f>
        <v>-0.56555752443332608</v>
      </c>
      <c r="BG10" s="28">
        <f>SUM(Emissions!BI16:BI17)</f>
        <v>-0.55902758095319793</v>
      </c>
      <c r="BH10" s="28">
        <f>SUM(Emissions!BJ16:BJ17)</f>
        <v>-0.55260338022293243</v>
      </c>
      <c r="BI10" s="28">
        <f>SUM(Emissions!BK16:BK17)</f>
        <v>-0.54627882991718979</v>
      </c>
      <c r="BJ10" s="28">
        <f>SUM(Emissions!BL16:BL17)</f>
        <v>-0.53938648596816219</v>
      </c>
      <c r="BK10" s="28">
        <f>SUM(Emissions!BM16:BM17)</f>
        <v>-0.5325994131732531</v>
      </c>
      <c r="BL10" s="28">
        <f>SUM(Emissions!BN16:BN17)</f>
        <v>-0.52591219284077451</v>
      </c>
      <c r="BM10" s="28">
        <f>SUM(Emissions!BO16:BO17)</f>
        <v>-0.51931972643430502</v>
      </c>
      <c r="BN10" s="28">
        <f>SUM(Emissions!BP16:BP17)</f>
        <v>-0.51281721061110808</v>
      </c>
    </row>
    <row r="11" spans="1:72" s="19" customFormat="1" ht="15.75" x14ac:dyDescent="0.25">
      <c r="A11" s="19" t="str">
        <f>A18</f>
        <v>3A Livestock</v>
      </c>
      <c r="B11" s="19" t="str">
        <f>B18</f>
        <v>3A2 Manure management (CH4)</v>
      </c>
      <c r="C11" s="19" t="s">
        <v>148</v>
      </c>
      <c r="D11" s="19" t="str">
        <f>D18</f>
        <v>CH4</v>
      </c>
      <c r="E11" s="19" t="str">
        <f>E18</f>
        <v>Gg CH4</v>
      </c>
      <c r="F11" s="46">
        <f t="shared" ref="F11:AK11" si="6">SUM(F12:F18)</f>
        <v>31.702723851583059</v>
      </c>
      <c r="G11" s="46">
        <f t="shared" si="6"/>
        <v>34.846437093745571</v>
      </c>
      <c r="H11" s="46">
        <f t="shared" si="6"/>
        <v>33.34593965991499</v>
      </c>
      <c r="I11" s="46">
        <f t="shared" si="6"/>
        <v>33.911342124246517</v>
      </c>
      <c r="J11" s="46">
        <f t="shared" si="6"/>
        <v>32.073771373963574</v>
      </c>
      <c r="K11" s="46">
        <f t="shared" si="6"/>
        <v>33.020872632281872</v>
      </c>
      <c r="L11" s="46">
        <f t="shared" si="6"/>
        <v>34.987492144761205</v>
      </c>
      <c r="M11" s="46">
        <f t="shared" si="6"/>
        <v>34.595629337012369</v>
      </c>
      <c r="N11" s="46">
        <f t="shared" si="6"/>
        <v>35.178779527916078</v>
      </c>
      <c r="O11" s="46">
        <f t="shared" si="6"/>
        <v>35.773500663635126</v>
      </c>
      <c r="P11" s="46">
        <f t="shared" si="6"/>
        <v>36.297062166313644</v>
      </c>
      <c r="Q11" s="46">
        <f t="shared" si="6"/>
        <v>36.650497115596643</v>
      </c>
      <c r="R11" s="46">
        <f t="shared" si="6"/>
        <v>35.964128838575938</v>
      </c>
      <c r="S11" s="46">
        <f t="shared" si="6"/>
        <v>34.354995245344796</v>
      </c>
      <c r="T11" s="46">
        <f t="shared" si="6"/>
        <v>34.113912838047241</v>
      </c>
      <c r="U11" s="46">
        <f t="shared" si="6"/>
        <v>34.7151680316408</v>
      </c>
      <c r="V11" s="46">
        <f t="shared" si="6"/>
        <v>34.304317583202156</v>
      </c>
      <c r="W11" s="46">
        <f t="shared" si="6"/>
        <v>34.81260712013389</v>
      </c>
      <c r="X11" s="46">
        <f t="shared" si="6"/>
        <v>36.247765210834089</v>
      </c>
      <c r="Y11" s="46">
        <f t="shared" si="6"/>
        <v>36.334449628150963</v>
      </c>
      <c r="Z11" s="46">
        <f t="shared" si="6"/>
        <v>36.137208970848143</v>
      </c>
      <c r="AA11" s="46">
        <f t="shared" si="6"/>
        <v>35.764591312652556</v>
      </c>
      <c r="AB11" s="46">
        <f t="shared" si="6"/>
        <v>37.070199039986242</v>
      </c>
      <c r="AC11" s="46">
        <f t="shared" si="6"/>
        <v>37.123797403494947</v>
      </c>
      <c r="AD11" s="46">
        <f t="shared" si="6"/>
        <v>36.95310538052707</v>
      </c>
      <c r="AE11" s="46">
        <f t="shared" si="6"/>
        <v>36.475473819181275</v>
      </c>
      <c r="AF11" s="46">
        <f t="shared" si="6"/>
        <v>36.023733784379836</v>
      </c>
      <c r="AG11" s="46">
        <f t="shared" si="6"/>
        <v>35.752947654070013</v>
      </c>
      <c r="AH11" s="46">
        <f t="shared" si="6"/>
        <v>35.546567121726056</v>
      </c>
      <c r="AI11" s="46">
        <f t="shared" si="6"/>
        <v>35.030907943861465</v>
      </c>
      <c r="AJ11" s="46">
        <f t="shared" si="6"/>
        <v>31.602620895278122</v>
      </c>
      <c r="AK11" s="46">
        <f t="shared" si="6"/>
        <v>31.888871923369116</v>
      </c>
      <c r="AL11" s="46">
        <f t="shared" ref="AL11:BN11" si="7">SUM(AL12:AL18)</f>
        <v>32.097971844897337</v>
      </c>
      <c r="AM11" s="46">
        <f t="shared" si="7"/>
        <v>32.307456951129318</v>
      </c>
      <c r="AN11" s="46">
        <f t="shared" si="7"/>
        <v>32.634323344130344</v>
      </c>
      <c r="AO11" s="46">
        <f t="shared" si="7"/>
        <v>32.958310513114625</v>
      </c>
      <c r="AP11" s="46">
        <f t="shared" si="7"/>
        <v>33.306465095222514</v>
      </c>
      <c r="AQ11" s="46">
        <f t="shared" si="7"/>
        <v>33.623428533108715</v>
      </c>
      <c r="AR11" s="46">
        <f t="shared" si="7"/>
        <v>33.98111147975461</v>
      </c>
      <c r="AS11" s="46">
        <f t="shared" si="7"/>
        <v>34.282388889958014</v>
      </c>
      <c r="AT11" s="46">
        <f t="shared" si="7"/>
        <v>34.595619523101064</v>
      </c>
      <c r="AU11" s="46">
        <f t="shared" si="7"/>
        <v>35.052017559037139</v>
      </c>
      <c r="AV11" s="46">
        <f t="shared" si="7"/>
        <v>35.566872901730221</v>
      </c>
      <c r="AW11" s="46">
        <f t="shared" si="7"/>
        <v>36.100312601967872</v>
      </c>
      <c r="AX11" s="46">
        <f t="shared" si="7"/>
        <v>35.816326904480974</v>
      </c>
      <c r="AY11" s="46">
        <f t="shared" si="7"/>
        <v>-3.2183373891008213</v>
      </c>
      <c r="AZ11" s="46">
        <f t="shared" si="7"/>
        <v>-3.1423553869918539</v>
      </c>
      <c r="BA11" s="46">
        <f t="shared" si="7"/>
        <v>-3.0676931977708133</v>
      </c>
      <c r="BB11" s="46">
        <f t="shared" si="7"/>
        <v>-2.9942558752531268</v>
      </c>
      <c r="BC11" s="46">
        <f t="shared" si="7"/>
        <v>-2.9219553973427188</v>
      </c>
      <c r="BD11" s="46">
        <f t="shared" si="7"/>
        <v>-2.8507099940266625</v>
      </c>
      <c r="BE11" s="46">
        <f t="shared" si="7"/>
        <v>-2.7739318359944778</v>
      </c>
      <c r="BF11" s="46">
        <f t="shared" si="7"/>
        <v>-2.6982681945011255</v>
      </c>
      <c r="BG11" s="46">
        <f t="shared" si="7"/>
        <v>-2.6236480593770688</v>
      </c>
      <c r="BH11" s="46">
        <f t="shared" si="7"/>
        <v>-2.5500050432084413</v>
      </c>
      <c r="BI11" s="46">
        <f t="shared" si="7"/>
        <v>-2.4772769806498287</v>
      </c>
      <c r="BJ11" s="46">
        <f t="shared" si="7"/>
        <v>-2.3995465587665441</v>
      </c>
      <c r="BK11" s="46">
        <f t="shared" si="7"/>
        <v>-2.3228253881233001</v>
      </c>
      <c r="BL11" s="46">
        <f t="shared" si="7"/>
        <v>-2.2470578379365054</v>
      </c>
      <c r="BM11" s="46">
        <f t="shared" si="7"/>
        <v>-2.17219155817109</v>
      </c>
      <c r="BN11" s="46">
        <f t="shared" si="7"/>
        <v>-2.0981772231049796</v>
      </c>
    </row>
    <row r="12" spans="1:72" x14ac:dyDescent="0.25">
      <c r="A12" t="str">
        <f>A10</f>
        <v>3A Livestock</v>
      </c>
      <c r="B12" t="str">
        <f>'IPCC Categories'!B12</f>
        <v>3A2 Manure management (CH4)</v>
      </c>
      <c r="C12" t="str">
        <f>'IPCC Categories'!C20</f>
        <v>3A2a Cattle</v>
      </c>
      <c r="D12" t="str">
        <f>D10</f>
        <v>CH4</v>
      </c>
      <c r="E12" t="str">
        <f>E10</f>
        <v>Gg CH4</v>
      </c>
      <c r="F12" s="28">
        <f>SUM(Emissions!H18:H23)</f>
        <v>8.7411879732159203</v>
      </c>
      <c r="G12" s="28">
        <f>SUM(Emissions!I18:I23)</f>
        <v>9.975428544318282</v>
      </c>
      <c r="H12" s="28">
        <f>SUM(Emissions!J18:J23)</f>
        <v>8.7049393037396534</v>
      </c>
      <c r="I12" s="28">
        <f>SUM(Emissions!K18:K23)</f>
        <v>9.1866288543050949</v>
      </c>
      <c r="J12" s="28">
        <f>SUM(Emissions!L18:L23)</f>
        <v>8.5387883014234216</v>
      </c>
      <c r="K12" s="28">
        <f>SUM(Emissions!M18:M23)</f>
        <v>9.1047703582547079</v>
      </c>
      <c r="L12" s="28">
        <f>SUM(Emissions!N18:N23)</f>
        <v>9.1488551241771336</v>
      </c>
      <c r="M12" s="28">
        <f>SUM(Emissions!O18:O23)</f>
        <v>8.8467258594312526</v>
      </c>
      <c r="N12" s="28">
        <f>SUM(Emissions!P18:P23)</f>
        <v>8.7366188809270806</v>
      </c>
      <c r="O12" s="28">
        <f>SUM(Emissions!Q18:Q23)</f>
        <v>8.6199113361492632</v>
      </c>
      <c r="P12" s="28">
        <f>SUM(Emissions!R18:R23)</f>
        <v>10.914641044652543</v>
      </c>
      <c r="Q12" s="28">
        <f>SUM(Emissions!S18:S23)</f>
        <v>10.875335802478894</v>
      </c>
      <c r="R12" s="28">
        <f>SUM(Emissions!T18:T23)</f>
        <v>9.5759431074378831</v>
      </c>
      <c r="S12" s="28">
        <f>SUM(Emissions!U18:U23)</f>
        <v>8.7330292709988893</v>
      </c>
      <c r="T12" s="28">
        <f>SUM(Emissions!V18:V23)</f>
        <v>8.4376183222193628</v>
      </c>
      <c r="U12" s="28">
        <f>SUM(Emissions!W18:W23)</f>
        <v>9.0020345528971131</v>
      </c>
      <c r="V12" s="28">
        <f>SUM(Emissions!X18:X23)</f>
        <v>8.8216264657665526</v>
      </c>
      <c r="W12" s="28">
        <f>SUM(Emissions!Y18:Y23)</f>
        <v>8.775466165479612</v>
      </c>
      <c r="X12" s="28">
        <f>SUM(Emissions!Z18:Z23)</f>
        <v>10.574651313182118</v>
      </c>
      <c r="Y12" s="28">
        <f>SUM(Emissions!AA18:AA23)</f>
        <v>10.837506153958151</v>
      </c>
      <c r="Z12" s="28">
        <f>SUM(Emissions!AB18:AB23)</f>
        <v>10.835280189588559</v>
      </c>
      <c r="AA12" s="28">
        <f>SUM(Emissions!AC18:AC23)</f>
        <v>10.50406860380672</v>
      </c>
      <c r="AB12" s="28">
        <f>SUM(Emissions!AD18:AD23)</f>
        <v>10.535927201202625</v>
      </c>
      <c r="AC12" s="28">
        <f>SUM(Emissions!AE18:AE23)</f>
        <v>10.613252383409771</v>
      </c>
      <c r="AD12" s="28">
        <f>SUM(Emissions!AF18:AF23)</f>
        <v>10.666642676484708</v>
      </c>
      <c r="AE12" s="28">
        <f>SUM(Emissions!AG18:AG23)</f>
        <v>10.684284476863748</v>
      </c>
      <c r="AF12" s="28">
        <f>SUM(Emissions!AH18:AH23)</f>
        <v>10.706743208795885</v>
      </c>
      <c r="AG12" s="28">
        <f>SUM(Emissions!AI18:AI23)</f>
        <v>10.75417340905639</v>
      </c>
      <c r="AH12" s="28">
        <f>SUM(Emissions!AJ18:AJ23)</f>
        <v>10.810623279531731</v>
      </c>
      <c r="AI12" s="28">
        <f>SUM(Emissions!AK18:AK23)</f>
        <v>10.826850275257778</v>
      </c>
      <c r="AJ12" s="28">
        <f>SUM(Emissions!AL18:AL23)</f>
        <v>10.449763675810891</v>
      </c>
      <c r="AK12" s="28">
        <f>SUM(Emissions!AM18:AM23)</f>
        <v>10.548747039357883</v>
      </c>
      <c r="AL12" s="28">
        <f>SUM(Emissions!AN18:AN23)</f>
        <v>10.63935078225327</v>
      </c>
      <c r="AM12" s="28">
        <f>SUM(Emissions!AO18:AO23)</f>
        <v>10.731981084136702</v>
      </c>
      <c r="AN12" s="28">
        <f>SUM(Emissions!AP18:AP23)</f>
        <v>10.84323271669528</v>
      </c>
      <c r="AO12" s="28">
        <f>SUM(Emissions!AQ18:AQ23)</f>
        <v>10.956377037408211</v>
      </c>
      <c r="AP12" s="28">
        <f>SUM(Emissions!AR18:AR23)</f>
        <v>11.067831340367398</v>
      </c>
      <c r="AQ12" s="28">
        <f>SUM(Emissions!AS18:AS23)</f>
        <v>11.176937497501379</v>
      </c>
      <c r="AR12" s="28">
        <f>SUM(Emissions!AT18:AT23)</f>
        <v>11.294248606476089</v>
      </c>
      <c r="AS12" s="28">
        <f>SUM(Emissions!AU18:AU23)</f>
        <v>11.405265257046219</v>
      </c>
      <c r="AT12" s="28">
        <f>SUM(Emissions!AV18:AV23)</f>
        <v>11.520129553630227</v>
      </c>
      <c r="AU12" s="28">
        <f>SUM(Emissions!AW18:AW23)</f>
        <v>11.653814986118446</v>
      </c>
      <c r="AV12" s="28">
        <f>SUM(Emissions!AX18:AX23)</f>
        <v>11.799241278516284</v>
      </c>
      <c r="AW12" s="28">
        <f>SUM(Emissions!AY18:AY23)</f>
        <v>11.950398645779311</v>
      </c>
      <c r="AX12" s="28">
        <f>SUM(Emissions!AZ18:AZ23)</f>
        <v>11.973175322713049</v>
      </c>
      <c r="AY12" s="28">
        <f>SUM(Emissions!BA18:BA23)</f>
        <v>5.7024653038293396</v>
      </c>
      <c r="AZ12" s="28">
        <f>SUM(Emissions!BB18:BB23)</f>
        <v>5.7057765074984834</v>
      </c>
      <c r="BA12" s="28">
        <f>SUM(Emissions!BC18:BC23)</f>
        <v>5.7096334004347833</v>
      </c>
      <c r="BB12" s="28">
        <f>SUM(Emissions!BD18:BD23)</f>
        <v>5.7140147191799437</v>
      </c>
      <c r="BC12" s="28">
        <f>SUM(Emissions!BE18:BE23)</f>
        <v>5.718900830946942</v>
      </c>
      <c r="BD12" s="28">
        <f>SUM(Emissions!BF18:BF23)</f>
        <v>5.7242735788396111</v>
      </c>
      <c r="BE12" s="28">
        <f>SUM(Emissions!BG18:BG23)</f>
        <v>5.726165216684735</v>
      </c>
      <c r="BF12" s="28">
        <f>SUM(Emissions!BH18:BH23)</f>
        <v>5.7284886866277835</v>
      </c>
      <c r="BG12" s="28">
        <f>SUM(Emissions!BI18:BI23)</f>
        <v>5.7312285557791931</v>
      </c>
      <c r="BH12" s="28">
        <f>SUM(Emissions!BJ18:BJ23)</f>
        <v>5.7343704405487053</v>
      </c>
      <c r="BI12" s="28">
        <f>SUM(Emissions!BK18:BK23)</f>
        <v>5.7379009174998723</v>
      </c>
      <c r="BJ12" s="28">
        <f>SUM(Emissions!BL18:BL23)</f>
        <v>5.7377112032494413</v>
      </c>
      <c r="BK12" s="28">
        <f>SUM(Emissions!BM18:BM23)</f>
        <v>5.7378663653978705</v>
      </c>
      <c r="BL12" s="28">
        <f>SUM(Emissions!BN18:BN23)</f>
        <v>5.7383546990975143</v>
      </c>
      <c r="BM12" s="28">
        <f>SUM(Emissions!BO18:BO23)</f>
        <v>5.739165210376667</v>
      </c>
      <c r="BN12" s="28">
        <f>SUM(Emissions!BP18:BP23)</f>
        <v>5.740287561468179</v>
      </c>
    </row>
    <row r="13" spans="1:72" x14ac:dyDescent="0.25">
      <c r="A13" t="str">
        <f t="shared" si="2"/>
        <v>3A Livestock</v>
      </c>
      <c r="B13" t="str">
        <f>B12</f>
        <v>3A2 Manure management (CH4)</v>
      </c>
      <c r="C13" t="str">
        <f>'IPCC Categories'!C22</f>
        <v>3A2c Sheep</v>
      </c>
      <c r="D13" t="str">
        <f t="shared" ref="D13:D18" si="8">D12</f>
        <v>CH4</v>
      </c>
      <c r="E13" t="str">
        <f t="shared" ref="E13:E18" si="9">E12</f>
        <v>Gg CH4</v>
      </c>
      <c r="F13" s="28">
        <f>SUM(Emissions!H24:H25)</f>
        <v>6.2894599121782607E-2</v>
      </c>
      <c r="G13" s="28">
        <f>SUM(Emissions!I24:I25)</f>
        <v>6.0066555504044758E-2</v>
      </c>
      <c r="H13" s="28">
        <f>SUM(Emissions!J24:J25)</f>
        <v>5.7584674495303009E-2</v>
      </c>
      <c r="I13" s="28">
        <f>SUM(Emissions!K24:K25)</f>
        <v>5.3854510138969261E-2</v>
      </c>
      <c r="J13" s="28">
        <f>SUM(Emissions!L24:L25)</f>
        <v>5.4234240031261954E-2</v>
      </c>
      <c r="K13" s="28">
        <f>SUM(Emissions!M24:M25)</f>
        <v>5.3457996605028271E-2</v>
      </c>
      <c r="L13" s="28">
        <f>SUM(Emissions!N24:N25)</f>
        <v>5.3636322797541415E-2</v>
      </c>
      <c r="M13" s="28">
        <f>SUM(Emissions!O24:O25)</f>
        <v>5.2469859702984858E-2</v>
      </c>
      <c r="N13" s="28">
        <f>SUM(Emissions!P24:P25)</f>
        <v>5.2614618612201423E-2</v>
      </c>
      <c r="O13" s="28">
        <f>SUM(Emissions!Q24:Q25)</f>
        <v>5.1322278205282637E-2</v>
      </c>
      <c r="P13" s="28">
        <f>SUM(Emissions!R24:R25)</f>
        <v>4.9482371489588214E-2</v>
      </c>
      <c r="Q13" s="28">
        <f>SUM(Emissions!S24:S25)</f>
        <v>4.8248773828438465E-2</v>
      </c>
      <c r="R13" s="28">
        <f>SUM(Emissions!T24:T25)</f>
        <v>4.7443159029320267E-2</v>
      </c>
      <c r="S13" s="28">
        <f>SUM(Emissions!U24:U25)</f>
        <v>4.7608897490597185E-2</v>
      </c>
      <c r="T13" s="28">
        <f>SUM(Emissions!V24:V25)</f>
        <v>4.6761323587358246E-2</v>
      </c>
      <c r="U13" s="28">
        <f>SUM(Emissions!W24:W25)</f>
        <v>4.6650131961438294E-2</v>
      </c>
      <c r="V13" s="28">
        <f>SUM(Emissions!X24:X25)</f>
        <v>4.6039626996481529E-2</v>
      </c>
      <c r="W13" s="28">
        <f>SUM(Emissions!Y24:Y25)</f>
        <v>4.5995569937154757E-2</v>
      </c>
      <c r="X13" s="28">
        <f>SUM(Emissions!Z24:Z25)</f>
        <v>4.6144524756783378E-2</v>
      </c>
      <c r="Y13" s="28">
        <f>SUM(Emissions!AA24:AA25)</f>
        <v>4.5980884250712492E-2</v>
      </c>
      <c r="Z13" s="28">
        <f>SUM(Emissions!AB24:AB25)</f>
        <v>4.5091351243352819E-2</v>
      </c>
      <c r="AA13" s="28">
        <f>SUM(Emissions!AC24:AC25)</f>
        <v>4.4738894768738595E-2</v>
      </c>
      <c r="AB13" s="28">
        <f>SUM(Emissions!AD24:AD25)</f>
        <v>4.0171451163807756E-2</v>
      </c>
      <c r="AC13" s="28">
        <f>SUM(Emissions!AE24:AE25)</f>
        <v>4.0193388449779766E-2</v>
      </c>
      <c r="AD13" s="28">
        <f>SUM(Emissions!AF24:AF25)</f>
        <v>4.0242510247083002E-2</v>
      </c>
      <c r="AE13" s="28">
        <f>SUM(Emissions!AG24:AG25)</f>
        <v>4.0316448864538786E-2</v>
      </c>
      <c r="AF13" s="28">
        <f>SUM(Emissions!AH24:AH25)</f>
        <v>4.0416193542554428E-2</v>
      </c>
      <c r="AG13" s="28">
        <f>SUM(Emissions!AI24:AI25)</f>
        <v>4.054185011989897E-2</v>
      </c>
      <c r="AH13" s="28">
        <f>SUM(Emissions!AJ24:AJ25)</f>
        <v>4.0681826453149238E-2</v>
      </c>
      <c r="AI13" s="28">
        <f>SUM(Emissions!AK24:AK25)</f>
        <v>4.0833528942094306E-2</v>
      </c>
      <c r="AJ13" s="28">
        <f>SUM(Emissions!AL24:AL25)</f>
        <v>4.097608558956399E-2</v>
      </c>
      <c r="AK13" s="28">
        <f>SUM(Emissions!AM24:AM25)</f>
        <v>4.103563426172728E-2</v>
      </c>
      <c r="AL13" s="28">
        <f>SUM(Emissions!AN24:AN25)</f>
        <v>4.1104733217492397E-2</v>
      </c>
      <c r="AM13" s="28">
        <f>SUM(Emissions!AO24:AO25)</f>
        <v>4.1183368288572768E-2</v>
      </c>
      <c r="AN13" s="28">
        <f>SUM(Emissions!AP24:AP25)</f>
        <v>4.1271946892514212E-2</v>
      </c>
      <c r="AO13" s="28">
        <f>SUM(Emissions!AQ24:AQ25)</f>
        <v>4.136904898259381E-2</v>
      </c>
      <c r="AP13" s="28">
        <f>SUM(Emissions!AR24:AR25)</f>
        <v>4.1428822724387609E-2</v>
      </c>
      <c r="AQ13" s="28">
        <f>SUM(Emissions!AS24:AS25)</f>
        <v>4.1495591228138305E-2</v>
      </c>
      <c r="AR13" s="28">
        <f>SUM(Emissions!AT24:AT25)</f>
        <v>4.1569596793099593E-2</v>
      </c>
      <c r="AS13" s="28">
        <f>SUM(Emissions!AU24:AU25)</f>
        <v>4.1649702367654133E-2</v>
      </c>
      <c r="AT13" s="28">
        <f>SUM(Emissions!AV24:AV25)</f>
        <v>4.1736194376637802E-2</v>
      </c>
      <c r="AU13" s="28">
        <f>SUM(Emissions!AW24:AW25)</f>
        <v>4.1793133677802338E-2</v>
      </c>
      <c r="AV13" s="28">
        <f>SUM(Emissions!AX24:AX25)</f>
        <v>4.1856062115301733E-2</v>
      </c>
      <c r="AW13" s="28">
        <f>SUM(Emissions!AY24:AY25)</f>
        <v>4.1924413742277053E-2</v>
      </c>
      <c r="AX13" s="28">
        <f>SUM(Emissions!AZ24:AZ25)</f>
        <v>4.1990450131540423E-2</v>
      </c>
      <c r="AY13" s="28">
        <f>SUM(Emissions!BA24:BA25)</f>
        <v>4.1708124794475582E-2</v>
      </c>
      <c r="AZ13" s="28">
        <f>SUM(Emissions!BB24:BB25)</f>
        <v>4.174821945634509E-2</v>
      </c>
      <c r="BA13" s="28">
        <f>SUM(Emissions!BC24:BC25)</f>
        <v>4.1792464114322331E-2</v>
      </c>
      <c r="BB13" s="28">
        <f>SUM(Emissions!BD24:BD25)</f>
        <v>4.1840701985036206E-2</v>
      </c>
      <c r="BC13" s="28">
        <f>SUM(Emissions!BE24:BE25)</f>
        <v>4.1892788403494238E-2</v>
      </c>
      <c r="BD13" s="28">
        <f>SUM(Emissions!BF24:BF25)</f>
        <v>4.1948589673140198E-2</v>
      </c>
      <c r="BE13" s="28">
        <f>SUM(Emissions!BG24:BG25)</f>
        <v>4.197567007990638E-2</v>
      </c>
      <c r="BF13" s="28">
        <f>SUM(Emissions!BH24:BH25)</f>
        <v>4.2006023507118316E-2</v>
      </c>
      <c r="BG13" s="28">
        <f>SUM(Emissions!BI24:BI25)</f>
        <v>4.2039536045947422E-2</v>
      </c>
      <c r="BH13" s="28">
        <f>SUM(Emissions!BJ24:BJ25)</f>
        <v>4.2076101583905408E-2</v>
      </c>
      <c r="BI13" s="28">
        <f>SUM(Emissions!BK24:BK25)</f>
        <v>4.2115621142507186E-2</v>
      </c>
      <c r="BJ13" s="28">
        <f>SUM(Emissions!BL24:BL25)</f>
        <v>4.212537013688971E-2</v>
      </c>
      <c r="BK13" s="28">
        <f>SUM(Emissions!BM24:BM25)</f>
        <v>4.2137740823243071E-2</v>
      </c>
      <c r="BL13" s="28">
        <f>SUM(Emissions!BN24:BN25)</f>
        <v>4.2152646371178375E-2</v>
      </c>
      <c r="BM13" s="28">
        <f>SUM(Emissions!BO24:BO25)</f>
        <v>4.2170005252547764E-2</v>
      </c>
      <c r="BN13" s="28">
        <f>SUM(Emissions!BP24:BP25)</f>
        <v>4.2189740833693673E-2</v>
      </c>
    </row>
    <row r="14" spans="1:72" x14ac:dyDescent="0.25">
      <c r="A14" t="str">
        <f t="shared" si="2"/>
        <v>3A Livestock</v>
      </c>
      <c r="B14" t="str">
        <f t="shared" ref="B14:B18" si="10">B13</f>
        <v>3A2 Manure management (CH4)</v>
      </c>
      <c r="C14" t="str">
        <f>'IPCC Categories'!C23</f>
        <v>3A2d Goats</v>
      </c>
      <c r="D14" t="str">
        <f t="shared" si="8"/>
        <v>CH4</v>
      </c>
      <c r="E14" t="str">
        <f t="shared" si="9"/>
        <v>Gg CH4</v>
      </c>
      <c r="F14" s="28">
        <f>SUM(Emissions!H26:H27)</f>
        <v>5.7474022342600642E-2</v>
      </c>
      <c r="G14" s="28">
        <f>SUM(Emissions!I26:I27)</f>
        <v>5.0823279310165601E-2</v>
      </c>
      <c r="H14" s="28">
        <f>SUM(Emissions!J26:J27)</f>
        <v>4.7342516601601464E-2</v>
      </c>
      <c r="I14" s="28">
        <f>SUM(Emissions!K26:K27)</f>
        <v>4.4731944570178372E-2</v>
      </c>
      <c r="J14" s="28">
        <f>SUM(Emissions!L26:L27)</f>
        <v>4.8419895535204649E-2</v>
      </c>
      <c r="K14" s="28">
        <f>SUM(Emissions!M26:M27)</f>
        <v>4.9082897955883539E-2</v>
      </c>
      <c r="L14" s="28">
        <f>SUM(Emissions!N26:N27)</f>
        <v>4.9849494504793493E-2</v>
      </c>
      <c r="M14" s="28">
        <f>SUM(Emissions!O26:O27)</f>
        <v>4.9600868597038911E-2</v>
      </c>
      <c r="N14" s="28">
        <f>SUM(Emissions!P26:P27)</f>
        <v>4.8896428525067599E-2</v>
      </c>
      <c r="O14" s="28">
        <f>SUM(Emissions!Q26:Q27)</f>
        <v>4.8171269627450081E-2</v>
      </c>
      <c r="P14" s="28">
        <f>SUM(Emissions!R26:R27)</f>
        <v>4.8792834396836522E-2</v>
      </c>
      <c r="Q14" s="28">
        <f>SUM(Emissions!S26:S27)</f>
        <v>5.0284589843364008E-2</v>
      </c>
      <c r="R14" s="28">
        <f>SUM(Emissions!T26:T27)</f>
        <v>4.5912917632012634E-2</v>
      </c>
      <c r="S14" s="28">
        <f>SUM(Emissions!U26:U27)</f>
        <v>4.475266339582458E-2</v>
      </c>
      <c r="T14" s="28">
        <f>SUM(Emissions!V26:V27)</f>
        <v>4.4835538698409449E-2</v>
      </c>
      <c r="U14" s="28">
        <f>SUM(Emissions!W26:W27)</f>
        <v>4.4255411580315415E-2</v>
      </c>
      <c r="V14" s="28">
        <f>SUM(Emissions!X26:X27)</f>
        <v>4.5187758734395102E-2</v>
      </c>
      <c r="W14" s="28">
        <f>SUM(Emissions!Y26:Y27)</f>
        <v>4.3841035067391121E-2</v>
      </c>
      <c r="X14" s="28">
        <f>SUM(Emissions!Z26:Z27)</f>
        <v>4.3799597416098693E-2</v>
      </c>
      <c r="Y14" s="28">
        <f>SUM(Emissions!AA26:AA27)</f>
        <v>4.3033000867188732E-2</v>
      </c>
      <c r="Z14" s="28">
        <f>SUM(Emissions!AB26:AB27)</f>
        <v>4.2515030226033354E-2</v>
      </c>
      <c r="AA14" s="28">
        <f>SUM(Emissions!AC26:AC27)</f>
        <v>4.2121372538755267E-2</v>
      </c>
      <c r="AB14" s="28">
        <f>SUM(Emissions!AD26:AD27)</f>
        <v>4.2380484298963031E-2</v>
      </c>
      <c r="AC14" s="28">
        <f>SUM(Emissions!AE26:AE27)</f>
        <v>4.2491022640852506E-2</v>
      </c>
      <c r="AD14" s="28">
        <f>SUM(Emissions!AF26:AF27)</f>
        <v>4.2638324773050039E-2</v>
      </c>
      <c r="AE14" s="28">
        <f>SUM(Emissions!AG26:AG27)</f>
        <v>4.2819115879733964E-2</v>
      </c>
      <c r="AF14" s="28">
        <f>SUM(Emissions!AH26:AH27)</f>
        <v>4.3035568476452485E-2</v>
      </c>
      <c r="AG14" s="28">
        <f>SUM(Emissions!AI26:AI27)</f>
        <v>4.328825856997226E-2</v>
      </c>
      <c r="AH14" s="28">
        <f>SUM(Emissions!AJ26:AJ27)</f>
        <v>4.3558430864797347E-2</v>
      </c>
      <c r="AI14" s="28">
        <f>SUM(Emissions!AK26:AK27)</f>
        <v>4.3842222118602031E-2</v>
      </c>
      <c r="AJ14" s="28">
        <f>SUM(Emissions!AL26:AL27)</f>
        <v>4.4105851728546128E-2</v>
      </c>
      <c r="AK14" s="28">
        <f>SUM(Emissions!AM26:AM27)</f>
        <v>4.4229396595656459E-2</v>
      </c>
      <c r="AL14" s="28">
        <f>SUM(Emissions!AN26:AN27)</f>
        <v>4.4364870390710444E-2</v>
      </c>
      <c r="AM14" s="28">
        <f>SUM(Emissions!AO26:AO27)</f>
        <v>4.451244503337487E-2</v>
      </c>
      <c r="AN14" s="28">
        <f>SUM(Emissions!AP26:AP27)</f>
        <v>4.4672944068999285E-2</v>
      </c>
      <c r="AO14" s="28">
        <f>SUM(Emissions!AQ26:AQ27)</f>
        <v>4.4844206562754965E-2</v>
      </c>
      <c r="AP14" s="28">
        <f>SUM(Emissions!AR26:AR27)</f>
        <v>4.4952460733255303E-2</v>
      </c>
      <c r="AQ14" s="28">
        <f>SUM(Emissions!AS26:AS27)</f>
        <v>4.5069586240880116E-2</v>
      </c>
      <c r="AR14" s="28">
        <f>SUM(Emissions!AT26:AT27)</f>
        <v>4.5196067641446624E-2</v>
      </c>
      <c r="AS14" s="28">
        <f>SUM(Emissions!AU26:AU27)</f>
        <v>4.5330163663465622E-2</v>
      </c>
      <c r="AT14" s="28">
        <f>SUM(Emissions!AV26:AV27)</f>
        <v>4.5472410705803767E-2</v>
      </c>
      <c r="AU14" s="28">
        <f>SUM(Emissions!AW26:AW27)</f>
        <v>4.5565573073388516E-2</v>
      </c>
      <c r="AV14" s="28">
        <f>SUM(Emissions!AX26:AX27)</f>
        <v>4.566660832870207E-2</v>
      </c>
      <c r="AW14" s="28">
        <f>SUM(Emissions!AY26:AY27)</f>
        <v>4.5774662329998259E-2</v>
      </c>
      <c r="AX14" s="28">
        <f>SUM(Emissions!AZ26:AZ27)</f>
        <v>4.5877513947555765E-2</v>
      </c>
      <c r="AY14" s="28">
        <f>SUM(Emissions!BA26:BA27)</f>
        <v>4.542790329363032E-2</v>
      </c>
      <c r="AZ14" s="28">
        <f>SUM(Emissions!BB26:BB27)</f>
        <v>4.5488061322075959E-2</v>
      </c>
      <c r="BA14" s="28">
        <f>SUM(Emissions!BC26:BC27)</f>
        <v>4.5553613422903511E-2</v>
      </c>
      <c r="BB14" s="28">
        <f>SUM(Emissions!BD26:BD27)</f>
        <v>4.5624340538346256E-2</v>
      </c>
      <c r="BC14" s="28">
        <f>SUM(Emissions!BE26:BE27)</f>
        <v>4.5700040601983863E-2</v>
      </c>
      <c r="BD14" s="28">
        <f>SUM(Emissions!BF26:BF27)</f>
        <v>4.5780526911852873E-2</v>
      </c>
      <c r="BE14" s="28">
        <f>SUM(Emissions!BG26:BG27)</f>
        <v>4.58150755324086E-2</v>
      </c>
      <c r="BF14" s="28">
        <f>SUM(Emissions!BH26:BH27)</f>
        <v>4.5853935923286515E-2</v>
      </c>
      <c r="BG14" s="28">
        <f>SUM(Emissions!BI26:BI27)</f>
        <v>4.589694553095356E-2</v>
      </c>
      <c r="BH14" s="28">
        <f>SUM(Emissions!BJ26:BJ27)</f>
        <v>4.5943952953431351E-2</v>
      </c>
      <c r="BI14" s="28">
        <f>SUM(Emissions!BK26:BK27)</f>
        <v>4.5994816984910356E-2</v>
      </c>
      <c r="BJ14" s="28">
        <f>SUM(Emissions!BL26:BL27)</f>
        <v>4.5998785393667724E-2</v>
      </c>
      <c r="BK14" s="28">
        <f>SUM(Emissions!BM26:BM27)</f>
        <v>4.6006283035940149E-2</v>
      </c>
      <c r="BL14" s="28">
        <f>SUM(Emissions!BN26:BN27)</f>
        <v>4.6017183166128517E-2</v>
      </c>
      <c r="BM14" s="28">
        <f>SUM(Emissions!BO26:BO27)</f>
        <v>4.603136679658329E-2</v>
      </c>
      <c r="BN14" s="28">
        <f>SUM(Emissions!BP26:BP27)</f>
        <v>4.6048722096578426E-2</v>
      </c>
    </row>
    <row r="15" spans="1:72" x14ac:dyDescent="0.25">
      <c r="A15" t="str">
        <f t="shared" si="2"/>
        <v>3A Livestock</v>
      </c>
      <c r="B15" t="str">
        <f t="shared" si="10"/>
        <v>3A2 Manure management (CH4)</v>
      </c>
      <c r="C15" t="str">
        <f>'IPCC Categories'!C24</f>
        <v>3A2f Horses</v>
      </c>
      <c r="D15" t="str">
        <f t="shared" si="8"/>
        <v>CH4</v>
      </c>
      <c r="E15" t="str">
        <f t="shared" si="9"/>
        <v>Gg CH4</v>
      </c>
      <c r="F15" s="28">
        <f>Emissions!H28</f>
        <v>3.0819999999999997E-3</v>
      </c>
      <c r="G15" s="28">
        <f>Emissions!I28</f>
        <v>3.0819999999999997E-3</v>
      </c>
      <c r="H15" s="28">
        <f>Emissions!J28</f>
        <v>3.0819999999999997E-3</v>
      </c>
      <c r="I15" s="28">
        <f>Emissions!K28</f>
        <v>3.1489999999999999E-3</v>
      </c>
      <c r="J15" s="28">
        <f>Emissions!L28</f>
        <v>3.2159999999999997E-3</v>
      </c>
      <c r="K15" s="28">
        <f>Emissions!M28</f>
        <v>3.2829999999999999E-3</v>
      </c>
      <c r="L15" s="28">
        <f>Emissions!N28</f>
        <v>3.3499999999999997E-3</v>
      </c>
      <c r="M15" s="28">
        <f>Emissions!O28</f>
        <v>3.4169999999999999E-3</v>
      </c>
      <c r="N15" s="28">
        <f>Emissions!P28</f>
        <v>3.4839999999999997E-3</v>
      </c>
      <c r="O15" s="28">
        <f>Emissions!Q28</f>
        <v>3.4572000000000001E-3</v>
      </c>
      <c r="P15" s="28">
        <f>Emissions!R28</f>
        <v>3.6179999999999997E-3</v>
      </c>
      <c r="Q15" s="28">
        <f>Emissions!S28</f>
        <v>3.6179999999999997E-3</v>
      </c>
      <c r="R15" s="28">
        <f>Emissions!T28</f>
        <v>3.6179999999999997E-3</v>
      </c>
      <c r="S15" s="28">
        <f>Emissions!U28</f>
        <v>3.6179999999999997E-3</v>
      </c>
      <c r="T15" s="28">
        <f>Emissions!V28</f>
        <v>3.6179999999999997E-3</v>
      </c>
      <c r="U15" s="28">
        <f>Emissions!W28</f>
        <v>3.6179999999999997E-3</v>
      </c>
      <c r="V15" s="28">
        <f>Emissions!X28</f>
        <v>3.7519999999999997E-3</v>
      </c>
      <c r="W15" s="28">
        <f>Emissions!Y28</f>
        <v>3.8859999999999997E-3</v>
      </c>
      <c r="X15" s="28">
        <f>Emissions!Z28</f>
        <v>3.9931999999999997E-3</v>
      </c>
      <c r="Y15" s="28">
        <f>Emissions!AA28</f>
        <v>4.0200000000000001E-3</v>
      </c>
      <c r="Z15" s="28">
        <f>Emissions!AB28</f>
        <v>4.0200000000000001E-3</v>
      </c>
      <c r="AA15" s="28">
        <f>Emissions!AC28</f>
        <v>4.0869999999999995E-3</v>
      </c>
      <c r="AB15" s="28">
        <f>Emissions!AD28</f>
        <v>4.1462896209668214E-3</v>
      </c>
      <c r="AC15" s="28">
        <f>Emissions!AE28</f>
        <v>4.1705892650270686E-3</v>
      </c>
      <c r="AD15" s="28">
        <f>Emissions!AF28</f>
        <v>4.1765760669998774E-3</v>
      </c>
      <c r="AE15" s="28">
        <f>Emissions!AG28</f>
        <v>4.1582865548880337E-3</v>
      </c>
      <c r="AF15" s="28">
        <f>Emissions!AH28</f>
        <v>4.1389364137095824E-3</v>
      </c>
      <c r="AG15" s="28">
        <f>Emissions!AI28</f>
        <v>4.1297300373309533E-3</v>
      </c>
      <c r="AH15" s="28">
        <f>Emissions!AJ28</f>
        <v>4.1235897943981579E-3</v>
      </c>
      <c r="AI15" s="28">
        <f>Emissions!AK28</f>
        <v>4.0939723150578283E-3</v>
      </c>
      <c r="AJ15" s="28">
        <f>Emissions!AL28</f>
        <v>3.8546694485950316E-3</v>
      </c>
      <c r="AK15" s="28">
        <f>Emissions!AM28</f>
        <v>3.8885582856899971E-3</v>
      </c>
      <c r="AL15" s="28">
        <f>Emissions!AN28</f>
        <v>3.9163093014231119E-3</v>
      </c>
      <c r="AM15" s="28">
        <f>Emissions!AO28</f>
        <v>3.943499319412006E-3</v>
      </c>
      <c r="AN15" s="28">
        <f>Emissions!AP28</f>
        <v>3.9787498507285772E-3</v>
      </c>
      <c r="AO15" s="28">
        <f>Emissions!AQ28</f>
        <v>4.0133556413366692E-3</v>
      </c>
      <c r="AP15" s="28">
        <f>Emissions!AR28</f>
        <v>4.0529996928532061E-3</v>
      </c>
      <c r="AQ15" s="28">
        <f>Emissions!AS28</f>
        <v>4.0900631434267433E-3</v>
      </c>
      <c r="AR15" s="28">
        <f>Emissions!AT28</f>
        <v>4.1299322607386601E-3</v>
      </c>
      <c r="AS15" s="28">
        <f>Emissions!AU28</f>
        <v>4.1653099616518066E-3</v>
      </c>
      <c r="AT15" s="28">
        <f>Emissions!AV28</f>
        <v>4.2013445039546862E-3</v>
      </c>
      <c r="AU15" s="28">
        <f>Emissions!AW28</f>
        <v>4.251252835120037E-3</v>
      </c>
      <c r="AV15" s="28">
        <f>Emissions!AX28</f>
        <v>4.3057143858228663E-3</v>
      </c>
      <c r="AW15" s="28">
        <f>Emissions!AY28</f>
        <v>4.3617167354082645E-3</v>
      </c>
      <c r="AX15" s="28">
        <f>Emissions!AZ28</f>
        <v>4.3537503349345688E-3</v>
      </c>
      <c r="AY15" s="28">
        <f>Emissions!BA28</f>
        <v>1.2882018816554785E-3</v>
      </c>
      <c r="AZ15" s="28">
        <f>Emissions!BB28</f>
        <v>1.2882018816554785E-3</v>
      </c>
      <c r="BA15" s="28">
        <f>Emissions!BC28</f>
        <v>1.2882018816554785E-3</v>
      </c>
      <c r="BB15" s="28">
        <f>Emissions!BD28</f>
        <v>1.2882018816554785E-3</v>
      </c>
      <c r="BC15" s="28">
        <f>Emissions!BE28</f>
        <v>1.2882018816554785E-3</v>
      </c>
      <c r="BD15" s="28">
        <f>Emissions!BF28</f>
        <v>1.2882018816554785E-3</v>
      </c>
      <c r="BE15" s="28">
        <f>Emissions!BG28</f>
        <v>1.2882018816554785E-3</v>
      </c>
      <c r="BF15" s="28">
        <f>Emissions!BH28</f>
        <v>1.2882018816554785E-3</v>
      </c>
      <c r="BG15" s="28">
        <f>Emissions!BI28</f>
        <v>1.2882018816554785E-3</v>
      </c>
      <c r="BH15" s="28">
        <f>Emissions!BJ28</f>
        <v>1.2882018816554785E-3</v>
      </c>
      <c r="BI15" s="28">
        <f>Emissions!BK28</f>
        <v>1.2882018816554785E-3</v>
      </c>
      <c r="BJ15" s="28">
        <f>Emissions!BL28</f>
        <v>1.2882018816554785E-3</v>
      </c>
      <c r="BK15" s="28">
        <f>Emissions!BM28</f>
        <v>1.2882018816554785E-3</v>
      </c>
      <c r="BL15" s="28">
        <f>Emissions!BN28</f>
        <v>1.2882018816554785E-3</v>
      </c>
      <c r="BM15" s="28">
        <f>Emissions!BO28</f>
        <v>1.2882018816554785E-3</v>
      </c>
      <c r="BN15" s="28">
        <f>Emissions!BP28</f>
        <v>1.2882018816554785E-3</v>
      </c>
    </row>
    <row r="16" spans="1:72" x14ac:dyDescent="0.25">
      <c r="A16" t="str">
        <f t="shared" si="2"/>
        <v>3A Livestock</v>
      </c>
      <c r="B16" t="str">
        <f t="shared" si="10"/>
        <v>3A2 Manure management (CH4)</v>
      </c>
      <c r="C16" t="str">
        <f>'IPCC Categories'!C25</f>
        <v>3A2g Mules &amp; asses</v>
      </c>
      <c r="D16" t="str">
        <f t="shared" si="8"/>
        <v>CH4</v>
      </c>
      <c r="E16" t="str">
        <f t="shared" si="9"/>
        <v>Gg CH4</v>
      </c>
      <c r="F16" s="28">
        <f>Emissions!H29</f>
        <v>1.0079999999999998E-3</v>
      </c>
      <c r="G16" s="28">
        <f>Emissions!I29</f>
        <v>1.0079999999999998E-3</v>
      </c>
      <c r="H16" s="28">
        <f>Emissions!J29</f>
        <v>1.0079999999999998E-3</v>
      </c>
      <c r="I16" s="28">
        <f>Emissions!K29</f>
        <v>1.0079999999999998E-3</v>
      </c>
      <c r="J16" s="28">
        <f>Emissions!L29</f>
        <v>1.0079999999999998E-3</v>
      </c>
      <c r="K16" s="28">
        <f>Emissions!M29</f>
        <v>1.0079999999999998E-3</v>
      </c>
      <c r="L16" s="28">
        <f>Emissions!N29</f>
        <v>1.0079999999999998E-3</v>
      </c>
      <c r="M16" s="28">
        <f>Emissions!O29</f>
        <v>1.0079999999999998E-3</v>
      </c>
      <c r="N16" s="28">
        <f>Emissions!P29</f>
        <v>1.0079999999999998E-3</v>
      </c>
      <c r="O16" s="28">
        <f>Emissions!Q29</f>
        <v>1.0079999999999998E-3</v>
      </c>
      <c r="P16" s="28">
        <f>Emissions!R29</f>
        <v>7.3799999999999994E-4</v>
      </c>
      <c r="Q16" s="28">
        <f>Emissions!S29</f>
        <v>7.3799999999999994E-4</v>
      </c>
      <c r="R16" s="28">
        <f>Emissions!T29</f>
        <v>7.3799999999999994E-4</v>
      </c>
      <c r="S16" s="28">
        <f>Emissions!U29</f>
        <v>7.3799999999999994E-4</v>
      </c>
      <c r="T16" s="28">
        <f>Emissions!V29</f>
        <v>7.3799999999999994E-4</v>
      </c>
      <c r="U16" s="28">
        <f>Emissions!W29</f>
        <v>7.3799999999999994E-4</v>
      </c>
      <c r="V16" s="28">
        <f>Emissions!X29</f>
        <v>7.3822499999999991E-4</v>
      </c>
      <c r="W16" s="28">
        <f>Emissions!Y29</f>
        <v>7.4069999999999995E-4</v>
      </c>
      <c r="X16" s="28">
        <f>Emissions!Z29</f>
        <v>7.4114999999999999E-4</v>
      </c>
      <c r="Y16" s="28">
        <f>Emissions!AA29</f>
        <v>7.4159999999999992E-4</v>
      </c>
      <c r="Z16" s="28">
        <f>Emissions!AB29</f>
        <v>7.4834999999999984E-4</v>
      </c>
      <c r="AA16" s="28">
        <f>Emissions!AC29</f>
        <v>7.515E-4</v>
      </c>
      <c r="AB16" s="28">
        <f>Emissions!AD29</f>
        <v>7.515E-4</v>
      </c>
      <c r="AC16" s="28">
        <f>Emissions!AE29</f>
        <v>7.515E-4</v>
      </c>
      <c r="AD16" s="28">
        <f>Emissions!AF29</f>
        <v>7.515E-4</v>
      </c>
      <c r="AE16" s="28">
        <f>Emissions!AG29</f>
        <v>7.515E-4</v>
      </c>
      <c r="AF16" s="28">
        <f>Emissions!AH29</f>
        <v>7.515E-4</v>
      </c>
      <c r="AG16" s="28">
        <f>Emissions!AI29</f>
        <v>7.515E-4</v>
      </c>
      <c r="AH16" s="28">
        <f>Emissions!AJ29</f>
        <v>7.515E-4</v>
      </c>
      <c r="AI16" s="28">
        <f>Emissions!AK29</f>
        <v>7.515E-4</v>
      </c>
      <c r="AJ16" s="28">
        <f>Emissions!AL29</f>
        <v>7.515E-4</v>
      </c>
      <c r="AK16" s="28">
        <f>Emissions!AM29</f>
        <v>7.515E-4</v>
      </c>
      <c r="AL16" s="28">
        <f>Emissions!AN29</f>
        <v>7.515E-4</v>
      </c>
      <c r="AM16" s="28">
        <f>Emissions!AO29</f>
        <v>7.515E-4</v>
      </c>
      <c r="AN16" s="28">
        <f>Emissions!AP29</f>
        <v>7.515E-4</v>
      </c>
      <c r="AO16" s="28">
        <f>Emissions!AQ29</f>
        <v>7.515E-4</v>
      </c>
      <c r="AP16" s="28">
        <f>Emissions!AR29</f>
        <v>7.515E-4</v>
      </c>
      <c r="AQ16" s="28">
        <f>Emissions!AS29</f>
        <v>7.515E-4</v>
      </c>
      <c r="AR16" s="28">
        <f>Emissions!AT29</f>
        <v>7.515E-4</v>
      </c>
      <c r="AS16" s="28">
        <f>Emissions!AU29</f>
        <v>7.515E-4</v>
      </c>
      <c r="AT16" s="28">
        <f>Emissions!AV29</f>
        <v>7.515E-4</v>
      </c>
      <c r="AU16" s="28">
        <f>Emissions!AW29</f>
        <v>7.515E-4</v>
      </c>
      <c r="AV16" s="28">
        <f>Emissions!AX29</f>
        <v>7.515E-4</v>
      </c>
      <c r="AW16" s="28">
        <f>Emissions!AY29</f>
        <v>7.515E-4</v>
      </c>
      <c r="AX16" s="28">
        <f>Emissions!AZ29</f>
        <v>7.515E-4</v>
      </c>
      <c r="AY16" s="28">
        <f>Emissions!BA29</f>
        <v>7.515E-4</v>
      </c>
      <c r="AZ16" s="28">
        <f>Emissions!BB29</f>
        <v>7.515E-4</v>
      </c>
      <c r="BA16" s="28">
        <f>Emissions!BC29</f>
        <v>7.515E-4</v>
      </c>
      <c r="BB16" s="28">
        <f>Emissions!BD29</f>
        <v>7.515E-4</v>
      </c>
      <c r="BC16" s="28">
        <f>Emissions!BE29</f>
        <v>7.515E-4</v>
      </c>
      <c r="BD16" s="28">
        <f>Emissions!BF29</f>
        <v>7.515E-4</v>
      </c>
      <c r="BE16" s="28">
        <f>Emissions!BG29</f>
        <v>7.515E-4</v>
      </c>
      <c r="BF16" s="28">
        <f>Emissions!BH29</f>
        <v>7.515E-4</v>
      </c>
      <c r="BG16" s="28">
        <f>Emissions!BI29</f>
        <v>7.515E-4</v>
      </c>
      <c r="BH16" s="28">
        <f>Emissions!BJ29</f>
        <v>7.515E-4</v>
      </c>
      <c r="BI16" s="28">
        <f>Emissions!BK29</f>
        <v>7.515E-4</v>
      </c>
      <c r="BJ16" s="28">
        <f>Emissions!BL29</f>
        <v>7.515E-4</v>
      </c>
      <c r="BK16" s="28">
        <f>Emissions!BM29</f>
        <v>7.515E-4</v>
      </c>
      <c r="BL16" s="28">
        <f>Emissions!BN29</f>
        <v>7.515E-4</v>
      </c>
      <c r="BM16" s="28">
        <f>Emissions!BO29</f>
        <v>7.515E-4</v>
      </c>
      <c r="BN16" s="28">
        <f>Emissions!BP29</f>
        <v>7.515E-4</v>
      </c>
    </row>
    <row r="17" spans="1:66" x14ac:dyDescent="0.25">
      <c r="A17" t="str">
        <f t="shared" si="2"/>
        <v>3A Livestock</v>
      </c>
      <c r="B17" t="str">
        <f t="shared" si="10"/>
        <v>3A2 Manure management (CH4)</v>
      </c>
      <c r="C17" t="str">
        <f>'IPCC Categories'!C26</f>
        <v>3A2h Swine</v>
      </c>
      <c r="D17" t="str">
        <f t="shared" si="8"/>
        <v>CH4</v>
      </c>
      <c r="E17" t="str">
        <f t="shared" si="9"/>
        <v>Gg CH4</v>
      </c>
      <c r="F17" s="28">
        <f>SUM(Emissions!H30:H31)</f>
        <v>21.491561588124931</v>
      </c>
      <c r="G17" s="28">
        <f>SUM(Emissions!I30:I31)</f>
        <v>23.479954097262475</v>
      </c>
      <c r="H17" s="28">
        <f>SUM(Emissions!J30:J31)</f>
        <v>23.324831277400676</v>
      </c>
      <c r="I17" s="28">
        <f>SUM(Emissions!K30:K31)</f>
        <v>23.310729202867787</v>
      </c>
      <c r="J17" s="28">
        <f>SUM(Emissions!L30:L31)</f>
        <v>22.140257016637882</v>
      </c>
      <c r="K17" s="28">
        <f>SUM(Emissions!M30:M31)</f>
        <v>22.351788134631242</v>
      </c>
      <c r="L17" s="28">
        <f>SUM(Emissions!N30:N31)</f>
        <v>24.072241227643865</v>
      </c>
      <c r="M17" s="28">
        <f>SUM(Emissions!O30:O31)</f>
        <v>23.959424631380745</v>
      </c>
      <c r="N17" s="28">
        <f>SUM(Emissions!P30:P31)</f>
        <v>24.481201389097684</v>
      </c>
      <c r="O17" s="28">
        <f>SUM(Emissions!Q30:Q31)</f>
        <v>25.101692668544864</v>
      </c>
      <c r="P17" s="28">
        <f>SUM(Emissions!R30:R31)</f>
        <v>23.22611675567045</v>
      </c>
      <c r="Q17" s="28">
        <f>SUM(Emissions!S30:S31)</f>
        <v>23.663281066190045</v>
      </c>
      <c r="R17" s="28">
        <f>SUM(Emissions!T30:T31)</f>
        <v>24.11454745124254</v>
      </c>
      <c r="S17" s="28">
        <f>SUM(Emissions!U30:U31)</f>
        <v>23.451749948196689</v>
      </c>
      <c r="T17" s="28">
        <f>SUM(Emissions!V30:V31)</f>
        <v>23.451749948196689</v>
      </c>
      <c r="U17" s="28">
        <f>SUM(Emissions!W30:W31)</f>
        <v>23.282525053802008</v>
      </c>
      <c r="V17" s="28">
        <f>SUM(Emissions!X30:X31)</f>
        <v>22.873564892348188</v>
      </c>
      <c r="W17" s="28">
        <f>SUM(Emissions!Y30:Y31)</f>
        <v>23.282525053802008</v>
      </c>
      <c r="X17" s="28">
        <f>SUM(Emissions!Z30:Z31)</f>
        <v>22.774850370617955</v>
      </c>
      <c r="Y17" s="28">
        <f>SUM(Emissions!AA30:AA31)</f>
        <v>22.746646221552176</v>
      </c>
      <c r="Z17" s="28">
        <f>SUM(Emissions!AB30:AB31)</f>
        <v>22.478706805427255</v>
      </c>
      <c r="AA17" s="28">
        <f>SUM(Emissions!AC30:AC31)</f>
        <v>22.337686060098353</v>
      </c>
      <c r="AB17" s="28">
        <f>SUM(Emissions!AD30:AD31)</f>
        <v>23.535553660357305</v>
      </c>
      <c r="AC17" s="28">
        <f>SUM(Emissions!AE30:AE31)</f>
        <v>23.461266892220753</v>
      </c>
      <c r="AD17" s="28">
        <f>SUM(Emissions!AF30:AF31)</f>
        <v>23.215601109722964</v>
      </c>
      <c r="AE17" s="28">
        <f>SUM(Emissions!AG30:AG31)</f>
        <v>22.738609216929291</v>
      </c>
      <c r="AF17" s="28">
        <f>SUM(Emissions!AH30:AH31)</f>
        <v>22.282487405602531</v>
      </c>
      <c r="AG17" s="28">
        <f>SUM(Emissions!AI30:AI31)</f>
        <v>21.962512095624543</v>
      </c>
      <c r="AH17" s="28">
        <f>SUM(Emissions!AJ30:AJ31)</f>
        <v>21.691519697299988</v>
      </c>
      <c r="AI17" s="28">
        <f>SUM(Emissions!AK30:AK31)</f>
        <v>21.192515789571335</v>
      </c>
      <c r="AJ17" s="28">
        <f>SUM(Emissions!AL30:AL31)</f>
        <v>18.55244278030602</v>
      </c>
      <c r="AK17" s="28">
        <f>SUM(Emissions!AM30:AM31)</f>
        <v>18.670336005229473</v>
      </c>
      <c r="AL17" s="28">
        <f>SUM(Emissions!AN30:AN31)</f>
        <v>18.729513574193341</v>
      </c>
      <c r="AM17" s="28">
        <f>SUM(Emissions!AO30:AO31)</f>
        <v>18.787045754891235</v>
      </c>
      <c r="AN17" s="28">
        <f>SUM(Emissions!AP30:AP31)</f>
        <v>18.927574003715741</v>
      </c>
      <c r="AO17" s="28">
        <f>SUM(Emissions!AQ30:AQ31)</f>
        <v>19.063377928360332</v>
      </c>
      <c r="AP17" s="28">
        <f>SUM(Emissions!AR30:AR31)</f>
        <v>19.219179822666749</v>
      </c>
      <c r="AQ17" s="28">
        <f>SUM(Emissions!AS30:AS31)</f>
        <v>19.349951895020041</v>
      </c>
      <c r="AR17" s="28">
        <f>SUM(Emissions!AT30:AT31)</f>
        <v>19.507109502467884</v>
      </c>
      <c r="AS17" s="28">
        <f>SUM(Emissions!AU30:AU31)</f>
        <v>19.621511210366535</v>
      </c>
      <c r="AT17" s="28">
        <f>SUM(Emissions!AV30:AV31)</f>
        <v>19.741851789729452</v>
      </c>
      <c r="AU17" s="28">
        <f>SUM(Emissions!AW30:AW31)</f>
        <v>19.963813226371908</v>
      </c>
      <c r="AV17" s="28">
        <f>SUM(Emissions!AX30:AX31)</f>
        <v>20.223100421844997</v>
      </c>
      <c r="AW17" s="28">
        <f>SUM(Emissions!AY30:AY31)</f>
        <v>20.491415933091847</v>
      </c>
      <c r="AX17" s="28">
        <f>SUM(Emissions!AZ30:AZ31)</f>
        <v>20.189853230957972</v>
      </c>
      <c r="AY17" s="28">
        <f>SUM(Emissions!BA30:BA31)</f>
        <v>-6.8122070652306137</v>
      </c>
      <c r="AZ17" s="28">
        <f>SUM(Emissions!BB30:BB31)</f>
        <v>-6.7376925229247986</v>
      </c>
      <c r="BA17" s="28">
        <f>SUM(Emissions!BC30:BC31)</f>
        <v>-6.6647739761160043</v>
      </c>
      <c r="BB17" s="28">
        <f>SUM(Emissions!BD30:BD31)</f>
        <v>-6.5933470167848043</v>
      </c>
      <c r="BC17" s="28">
        <f>SUM(Emissions!BE30:BE31)</f>
        <v>-6.5233148816788296</v>
      </c>
      <c r="BD17" s="28">
        <f>SUM(Emissions!BF30:BF31)</f>
        <v>-6.4545877130194231</v>
      </c>
      <c r="BE17" s="28">
        <f>SUM(Emissions!BG30:BG31)</f>
        <v>-6.3792077023629661</v>
      </c>
      <c r="BF17" s="28">
        <f>SUM(Emissions!BH30:BH31)</f>
        <v>-6.3051567477275441</v>
      </c>
      <c r="BG17" s="28">
        <f>SUM(Emissions!BI30:BI31)</f>
        <v>-6.2323572261629359</v>
      </c>
      <c r="BH17" s="28">
        <f>SUM(Emissions!BJ30:BJ31)</f>
        <v>-6.1607365848784346</v>
      </c>
      <c r="BI17" s="28">
        <f>SUM(Emissions!BK30:BK31)</f>
        <v>-6.0902269031682481</v>
      </c>
      <c r="BJ17" s="28">
        <f>SUM(Emissions!BL30:BL31)</f>
        <v>-6.0133871351863553</v>
      </c>
      <c r="BK17" s="28">
        <f>SUM(Emissions!BM30:BM31)</f>
        <v>-5.937720989867155</v>
      </c>
      <c r="BL17" s="28">
        <f>SUM(Emissions!BN30:BN31)</f>
        <v>-5.8631680565557014</v>
      </c>
      <c r="BM17" s="28">
        <f>SUM(Emissions!BO30:BO31)</f>
        <v>-5.7896714938699407</v>
      </c>
      <c r="BN17" s="28">
        <f>SUM(Emissions!BP30:BP31)</f>
        <v>-5.717177751414801</v>
      </c>
    </row>
    <row r="18" spans="1:66" x14ac:dyDescent="0.25">
      <c r="A18" t="str">
        <f t="shared" si="2"/>
        <v>3A Livestock</v>
      </c>
      <c r="B18" t="str">
        <f t="shared" si="10"/>
        <v>3A2 Manure management (CH4)</v>
      </c>
      <c r="C18" t="str">
        <f>'IPCC Categories'!C27</f>
        <v>3A2i Poultry</v>
      </c>
      <c r="D18" t="str">
        <f t="shared" si="8"/>
        <v>CH4</v>
      </c>
      <c r="E18" t="str">
        <f t="shared" si="9"/>
        <v>Gg CH4</v>
      </c>
      <c r="F18" s="28">
        <f>SUM(Emissions!H32:H35)</f>
        <v>1.3455156687778258</v>
      </c>
      <c r="G18" s="28">
        <f>SUM(Emissions!I32:I35)</f>
        <v>1.2760746173506023</v>
      </c>
      <c r="H18" s="28">
        <f>SUM(Emissions!J32:J35)</f>
        <v>1.2071518876777516</v>
      </c>
      <c r="I18" s="28">
        <f>SUM(Emissions!K32:K35)</f>
        <v>1.3112406123644875</v>
      </c>
      <c r="J18" s="28">
        <f>SUM(Emissions!L32:L35)</f>
        <v>1.2878479203358015</v>
      </c>
      <c r="K18" s="28">
        <f>SUM(Emissions!M32:M35)</f>
        <v>1.4574822448350102</v>
      </c>
      <c r="L18" s="28">
        <f>SUM(Emissions!N32:N35)</f>
        <v>1.6585519756378786</v>
      </c>
      <c r="M18" s="28">
        <f>SUM(Emissions!O32:O35)</f>
        <v>1.6829831179003492</v>
      </c>
      <c r="N18" s="28">
        <f>SUM(Emissions!P32:P35)</f>
        <v>1.8549562107540372</v>
      </c>
      <c r="O18" s="28">
        <f>SUM(Emissions!Q32:Q35)</f>
        <v>1.9479379111082711</v>
      </c>
      <c r="P18" s="28">
        <f>SUM(Emissions!R32:R35)</f>
        <v>2.0536731601042231</v>
      </c>
      <c r="Q18" s="28">
        <f>SUM(Emissions!S32:S35)</f>
        <v>2.0089908832558949</v>
      </c>
      <c r="R18" s="28">
        <f>SUM(Emissions!T32:T35)</f>
        <v>2.1759262032341824</v>
      </c>
      <c r="S18" s="28">
        <f>SUM(Emissions!U32:U35)</f>
        <v>2.0734984652627912</v>
      </c>
      <c r="T18" s="28">
        <f>SUM(Emissions!V32:V35)</f>
        <v>2.1285917053454204</v>
      </c>
      <c r="U18" s="28">
        <f>SUM(Emissions!W32:W35)</f>
        <v>2.3353468813999299</v>
      </c>
      <c r="V18" s="28">
        <f>SUM(Emissions!X32:X35)</f>
        <v>2.5134086143565382</v>
      </c>
      <c r="W18" s="28">
        <f>SUM(Emissions!Y32:Y35)</f>
        <v>2.6601525958477232</v>
      </c>
      <c r="X18" s="28">
        <f>SUM(Emissions!Z32:Z35)</f>
        <v>2.8035850548611285</v>
      </c>
      <c r="Y18" s="28">
        <f>SUM(Emissions!AA32:AA35)</f>
        <v>2.6565217675227304</v>
      </c>
      <c r="Z18" s="28">
        <f>SUM(Emissions!AB32:AB35)</f>
        <v>2.7308472443629443</v>
      </c>
      <c r="AA18" s="28">
        <f>SUM(Emissions!AC32:AC35)</f>
        <v>2.8311378814399824</v>
      </c>
      <c r="AB18" s="28">
        <f>SUM(Emissions!AD32:AD35)</f>
        <v>2.9112684533425712</v>
      </c>
      <c r="AC18" s="28">
        <f>SUM(Emissions!AE32:AE35)</f>
        <v>2.9616716275087618</v>
      </c>
      <c r="AD18" s="28">
        <f>SUM(Emissions!AF32:AF35)</f>
        <v>2.9830526832322679</v>
      </c>
      <c r="AE18" s="28">
        <f>SUM(Emissions!AG32:AG35)</f>
        <v>2.9645347740890746</v>
      </c>
      <c r="AF18" s="28">
        <f>SUM(Emissions!AH32:AH35)</f>
        <v>2.9461609715487</v>
      </c>
      <c r="AG18" s="28">
        <f>SUM(Emissions!AI32:AI35)</f>
        <v>2.9475508106618773</v>
      </c>
      <c r="AH18" s="28">
        <f>SUM(Emissions!AJ32:AJ35)</f>
        <v>2.9553087977819956</v>
      </c>
      <c r="AI18" s="28">
        <f>SUM(Emissions!AK32:AK35)</f>
        <v>2.9220206556565946</v>
      </c>
      <c r="AJ18" s="28">
        <f>SUM(Emissions!AL32:AL35)</f>
        <v>2.5107263323945066</v>
      </c>
      <c r="AK18" s="28">
        <f>SUM(Emissions!AM32:AM35)</f>
        <v>2.5798837896386839</v>
      </c>
      <c r="AL18" s="28">
        <f>SUM(Emissions!AN32:AN35)</f>
        <v>2.6389700755410987</v>
      </c>
      <c r="AM18" s="28">
        <f>SUM(Emissions!AO32:AO35)</f>
        <v>2.6980392994600182</v>
      </c>
      <c r="AN18" s="28">
        <f>SUM(Emissions!AP32:AP35)</f>
        <v>2.7728414829070824</v>
      </c>
      <c r="AO18" s="28">
        <f>SUM(Emissions!AQ32:AQ35)</f>
        <v>2.8475774361593995</v>
      </c>
      <c r="AP18" s="28">
        <f>SUM(Emissions!AR32:AR35)</f>
        <v>2.9282681490378697</v>
      </c>
      <c r="AQ18" s="28">
        <f>SUM(Emissions!AS32:AS35)</f>
        <v>3.0051323999748507</v>
      </c>
      <c r="AR18" s="28">
        <f>SUM(Emissions!AT32:AT35)</f>
        <v>3.0881062741153547</v>
      </c>
      <c r="AS18" s="28">
        <f>SUM(Emissions!AU32:AU35)</f>
        <v>3.1637157465524899</v>
      </c>
      <c r="AT18" s="28">
        <f>SUM(Emissions!AV32:AV35)</f>
        <v>3.2414767301549898</v>
      </c>
      <c r="AU18" s="28">
        <f>SUM(Emissions!AW32:AW35)</f>
        <v>3.3420278869604765</v>
      </c>
      <c r="AV18" s="28">
        <f>SUM(Emissions!AX32:AX35)</f>
        <v>3.4519513165391178</v>
      </c>
      <c r="AW18" s="28">
        <f>SUM(Emissions!AY32:AY35)</f>
        <v>3.5656857302890361</v>
      </c>
      <c r="AX18" s="28">
        <f>SUM(Emissions!AZ32:AZ35)</f>
        <v>3.5603251363959214</v>
      </c>
      <c r="AY18" s="28">
        <f>SUM(Emissions!BA32:BA35)</f>
        <v>-2.1977713576693083</v>
      </c>
      <c r="AZ18" s="28">
        <f>SUM(Emissions!BB32:BB35)</f>
        <v>-2.1997153542256145</v>
      </c>
      <c r="BA18" s="28">
        <f>SUM(Emissions!BC32:BC35)</f>
        <v>-2.2019384015084729</v>
      </c>
      <c r="BB18" s="28">
        <f>SUM(Emissions!BD32:BD35)</f>
        <v>-2.2044283220533032</v>
      </c>
      <c r="BC18" s="28">
        <f>SUM(Emissions!BE32:BE35)</f>
        <v>-2.2071738774979646</v>
      </c>
      <c r="BD18" s="28">
        <f>SUM(Emissions!BF32:BF35)</f>
        <v>-2.2101646783134981</v>
      </c>
      <c r="BE18" s="28">
        <f>SUM(Emissions!BG32:BG35)</f>
        <v>-2.2107197978102167</v>
      </c>
      <c r="BF18" s="28">
        <f>SUM(Emissions!BH32:BH35)</f>
        <v>-2.2114997947134252</v>
      </c>
      <c r="BG18" s="28">
        <f>SUM(Emissions!BI32:BI35)</f>
        <v>-2.212495572451882</v>
      </c>
      <c r="BH18" s="28">
        <f>SUM(Emissions!BJ32:BJ35)</f>
        <v>-2.2136986552977036</v>
      </c>
      <c r="BI18" s="28">
        <f>SUM(Emissions!BK32:BK35)</f>
        <v>-2.2151011349905252</v>
      </c>
      <c r="BJ18" s="28">
        <f>SUM(Emissions!BL32:BL35)</f>
        <v>-2.214034484241842</v>
      </c>
      <c r="BK18" s="28">
        <f>SUM(Emissions!BM32:BM35)</f>
        <v>-2.2131544893948534</v>
      </c>
      <c r="BL18" s="28">
        <f>SUM(Emissions!BN32:BN35)</f>
        <v>-2.2124540118972802</v>
      </c>
      <c r="BM18" s="28">
        <f>SUM(Emissions!BO32:BO35)</f>
        <v>-2.211926348608602</v>
      </c>
      <c r="BN18" s="28">
        <f>SUM(Emissions!BP32:BP35)</f>
        <v>-2.2115651979702848</v>
      </c>
    </row>
    <row r="19" spans="1:66" s="19" customFormat="1" ht="15.75" x14ac:dyDescent="0.25">
      <c r="A19" s="19" t="str">
        <f>A26</f>
        <v>3A Livestock</v>
      </c>
      <c r="B19" s="19" t="str">
        <f>B26</f>
        <v>3A2 Manure management (N2O)</v>
      </c>
      <c r="C19" s="19" t="s">
        <v>148</v>
      </c>
      <c r="D19" s="19" t="str">
        <f>D26</f>
        <v>N2O</v>
      </c>
      <c r="E19" s="19" t="str">
        <f>E26</f>
        <v>Gg N2O</v>
      </c>
      <c r="F19" s="46">
        <f t="shared" ref="F19:AK19" si="11">SUM(F20:F26)</f>
        <v>3.8813342644172093</v>
      </c>
      <c r="G19" s="46">
        <f t="shared" si="11"/>
        <v>3.8661487301239461</v>
      </c>
      <c r="H19" s="46">
        <f t="shared" si="11"/>
        <v>3.7862483767973956</v>
      </c>
      <c r="I19" s="46">
        <f t="shared" si="11"/>
        <v>3.8129334854284056</v>
      </c>
      <c r="J19" s="46">
        <f t="shared" si="11"/>
        <v>3.6996407314660944</v>
      </c>
      <c r="K19" s="46">
        <f t="shared" si="11"/>
        <v>3.8335350634638918</v>
      </c>
      <c r="L19" s="46">
        <f t="shared" si="11"/>
        <v>4.0409580802685516</v>
      </c>
      <c r="M19" s="46">
        <f t="shared" si="11"/>
        <v>4.0955542331246733</v>
      </c>
      <c r="N19" s="46">
        <f t="shared" si="11"/>
        <v>4.2655318251850405</v>
      </c>
      <c r="O19" s="46">
        <f t="shared" si="11"/>
        <v>4.3438825095880835</v>
      </c>
      <c r="P19" s="46">
        <f t="shared" si="11"/>
        <v>4.4272539945305205</v>
      </c>
      <c r="Q19" s="46">
        <f t="shared" si="11"/>
        <v>4.3758778433663306</v>
      </c>
      <c r="R19" s="46">
        <f t="shared" si="11"/>
        <v>4.5059558233007309</v>
      </c>
      <c r="S19" s="46">
        <f t="shared" si="11"/>
        <v>4.4292467756859457</v>
      </c>
      <c r="T19" s="46">
        <f t="shared" si="11"/>
        <v>4.4470330949647732</v>
      </c>
      <c r="U19" s="46">
        <f t="shared" si="11"/>
        <v>4.5974101613100977</v>
      </c>
      <c r="V19" s="46">
        <f t="shared" si="11"/>
        <v>4.7310450300813258</v>
      </c>
      <c r="W19" s="46">
        <f t="shared" si="11"/>
        <v>4.8799892939067844</v>
      </c>
      <c r="X19" s="46">
        <f t="shared" si="11"/>
        <v>4.9663886389564027</v>
      </c>
      <c r="Y19" s="46">
        <f t="shared" si="11"/>
        <v>4.8614306045888265</v>
      </c>
      <c r="Z19" s="46">
        <f t="shared" si="11"/>
        <v>4.8921309188133044</v>
      </c>
      <c r="AA19" s="46">
        <f t="shared" si="11"/>
        <v>5.064588718240568</v>
      </c>
      <c r="AB19" s="46">
        <f t="shared" si="11"/>
        <v>5.240765245583086</v>
      </c>
      <c r="AC19" s="46">
        <f t="shared" si="11"/>
        <v>5.3055489910110278</v>
      </c>
      <c r="AD19" s="46">
        <f t="shared" si="11"/>
        <v>5.329930863422268</v>
      </c>
      <c r="AE19" s="46">
        <f t="shared" si="11"/>
        <v>5.2986449940736247</v>
      </c>
      <c r="AF19" s="46">
        <f t="shared" si="11"/>
        <v>5.2689334452480754</v>
      </c>
      <c r="AG19" s="46">
        <f t="shared" si="11"/>
        <v>5.2685593745470589</v>
      </c>
      <c r="AH19" s="46">
        <f t="shared" si="11"/>
        <v>5.2778057164189569</v>
      </c>
      <c r="AI19" s="46">
        <f t="shared" si="11"/>
        <v>5.2297014092317742</v>
      </c>
      <c r="AJ19" s="46">
        <f t="shared" si="11"/>
        <v>4.6498772773303596</v>
      </c>
      <c r="AK19" s="46">
        <f t="shared" si="11"/>
        <v>4.7497010330928822</v>
      </c>
      <c r="AL19" s="46">
        <f t="shared" ref="AL19:BN19" si="12">SUM(AL20:AL26)</f>
        <v>4.8356271674428513</v>
      </c>
      <c r="AM19" s="46">
        <f t="shared" si="12"/>
        <v>4.9218020751726783</v>
      </c>
      <c r="AN19" s="46">
        <f t="shared" si="12"/>
        <v>5.0303535991468751</v>
      </c>
      <c r="AO19" s="46">
        <f t="shared" si="12"/>
        <v>5.1390352465128952</v>
      </c>
      <c r="AP19" s="46">
        <f t="shared" si="12"/>
        <v>5.2539395997642941</v>
      </c>
      <c r="AQ19" s="46">
        <f t="shared" si="12"/>
        <v>5.3636609955601351</v>
      </c>
      <c r="AR19" s="46">
        <f t="shared" si="12"/>
        <v>5.4821410528351358</v>
      </c>
      <c r="AS19" s="46">
        <f t="shared" si="12"/>
        <v>5.5904612021626132</v>
      </c>
      <c r="AT19" s="46">
        <f t="shared" si="12"/>
        <v>5.7019704192423353</v>
      </c>
      <c r="AU19" s="46">
        <f t="shared" si="12"/>
        <v>5.8380486822427695</v>
      </c>
      <c r="AV19" s="46">
        <f t="shared" si="12"/>
        <v>5.98721572645767</v>
      </c>
      <c r="AW19" s="46">
        <f t="shared" si="12"/>
        <v>6.1416559169920859</v>
      </c>
      <c r="AX19" s="46">
        <f t="shared" si="12"/>
        <v>6.1299159716313767</v>
      </c>
      <c r="AY19" s="46">
        <f t="shared" si="12"/>
        <v>-1.8959677229428249</v>
      </c>
      <c r="AZ19" s="46">
        <f t="shared" si="12"/>
        <v>-1.8944459857416327</v>
      </c>
      <c r="BA19" s="46">
        <f t="shared" si="12"/>
        <v>-1.8932231739061078</v>
      </c>
      <c r="BB19" s="46">
        <f t="shared" si="12"/>
        <v>-1.8922866424243059</v>
      </c>
      <c r="BC19" s="46">
        <f t="shared" si="12"/>
        <v>-1.8916247042702539</v>
      </c>
      <c r="BD19" s="46">
        <f t="shared" si="12"/>
        <v>-1.8912265396246921</v>
      </c>
      <c r="BE19" s="46">
        <f t="shared" si="12"/>
        <v>-1.8895883272559257</v>
      </c>
      <c r="BF19" s="46">
        <f t="shared" si="12"/>
        <v>-1.8881809523499657</v>
      </c>
      <c r="BG19" s="46">
        <f t="shared" si="12"/>
        <v>-1.8869954969793203</v>
      </c>
      <c r="BH19" s="46">
        <f t="shared" si="12"/>
        <v>-1.8860236445435508</v>
      </c>
      <c r="BI19" s="46">
        <f t="shared" si="12"/>
        <v>-1.8852576287007308</v>
      </c>
      <c r="BJ19" s="46">
        <f t="shared" si="12"/>
        <v>-1.8825669179997582</v>
      </c>
      <c r="BK19" s="46">
        <f t="shared" si="12"/>
        <v>-1.8800712480535646</v>
      </c>
      <c r="BL19" s="46">
        <f t="shared" si="12"/>
        <v>-1.8777636520716301</v>
      </c>
      <c r="BM19" s="46">
        <f t="shared" si="12"/>
        <v>-1.875637583649894</v>
      </c>
      <c r="BN19" s="46">
        <f t="shared" si="12"/>
        <v>-1.8736868845200325</v>
      </c>
    </row>
    <row r="20" spans="1:66" x14ac:dyDescent="0.25">
      <c r="A20" t="str">
        <f>A18</f>
        <v>3A Livestock</v>
      </c>
      <c r="B20" t="str">
        <f>'IPCC Categories'!B20</f>
        <v>3A2 Manure management (N2O)</v>
      </c>
      <c r="C20" t="str">
        <f t="shared" ref="C20:C26" si="13">C12</f>
        <v>3A2a Cattle</v>
      </c>
      <c r="D20" t="s">
        <v>139</v>
      </c>
      <c r="E20" t="s">
        <v>287</v>
      </c>
      <c r="F20" s="28">
        <f>SUM(Emissions!H36:H41)</f>
        <v>2.3334515596574898</v>
      </c>
      <c r="G20" s="28">
        <f>SUM(Emissions!I36:I41)</f>
        <v>2.3913266020486907</v>
      </c>
      <c r="H20" s="28">
        <f>SUM(Emissions!J36:J41)</f>
        <v>2.3837489012139343</v>
      </c>
      <c r="I20" s="28">
        <f>SUM(Emissions!K36:K41)</f>
        <v>2.3538599023692135</v>
      </c>
      <c r="J20" s="28">
        <f>SUM(Emissions!L36:L41)</f>
        <v>2.2497683959178429</v>
      </c>
      <c r="K20" s="28">
        <f>SUM(Emissions!M36:M41)</f>
        <v>2.2583248814343775</v>
      </c>
      <c r="L20" s="28">
        <f>SUM(Emissions!N36:N41)</f>
        <v>2.3013624403278148</v>
      </c>
      <c r="M20" s="28">
        <f>SUM(Emissions!O36:O41)</f>
        <v>2.3439053818582685</v>
      </c>
      <c r="N20" s="28">
        <f>SUM(Emissions!P36:P41)</f>
        <v>2.3881538701270464</v>
      </c>
      <c r="O20" s="28">
        <f>SUM(Emissions!Q36:Q41)</f>
        <v>2.4045249883488831</v>
      </c>
      <c r="P20" s="28">
        <f>SUM(Emissions!R36:R41)</f>
        <v>2.4217802003919431</v>
      </c>
      <c r="Q20" s="28">
        <f>SUM(Emissions!S36:S41)</f>
        <v>2.4052042445092017</v>
      </c>
      <c r="R20" s="28">
        <f>SUM(Emissions!T36:T41)</f>
        <v>2.4204844754419144</v>
      </c>
      <c r="S20" s="28">
        <f>SUM(Emissions!U36:U41)</f>
        <v>2.4261595848898265</v>
      </c>
      <c r="T20" s="28">
        <f>SUM(Emissions!V36:V41)</f>
        <v>2.4077185173815416</v>
      </c>
      <c r="U20" s="28">
        <f>SUM(Emissions!W36:W41)</f>
        <v>2.4068130130940584</v>
      </c>
      <c r="V20" s="28">
        <f>SUM(Emissions!X36:X41)</f>
        <v>2.4140441898890113</v>
      </c>
      <c r="W20" s="28">
        <f>SUM(Emissions!Y36:Y41)</f>
        <v>2.4616595203806031</v>
      </c>
      <c r="X20" s="28">
        <f>SUM(Emissions!Z36:Z41)</f>
        <v>2.4413231585134629</v>
      </c>
      <c r="Y20" s="28">
        <f>SUM(Emissions!AA36:AA41)</f>
        <v>2.4490820347552171</v>
      </c>
      <c r="Z20" s="28">
        <f>SUM(Emissions!AB36:AB41)</f>
        <v>2.4334145229663386</v>
      </c>
      <c r="AA20" s="28">
        <f>SUM(Emissions!AC36:AC41)</f>
        <v>2.5369197805494066</v>
      </c>
      <c r="AB20" s="28">
        <f>SUM(Emissions!AD36:AD41)</f>
        <v>2.6581961759385639</v>
      </c>
      <c r="AC20" s="28">
        <f>SUM(Emissions!AE36:AE41)</f>
        <v>2.686437300626868</v>
      </c>
      <c r="AD20" s="28">
        <f>SUM(Emissions!AF36:AF41)</f>
        <v>2.6969432886612248</v>
      </c>
      <c r="AE20" s="28">
        <f>SUM(Emissions!AG36:AG41)</f>
        <v>2.682998827934604</v>
      </c>
      <c r="AF20" s="28">
        <f>SUM(Emissions!AH36:AH41)</f>
        <v>2.6701884432062362</v>
      </c>
      <c r="AG20" s="28">
        <f>SUM(Emissions!AI36:AI41)</f>
        <v>2.6708311684862776</v>
      </c>
      <c r="AH20" s="28">
        <f>SUM(Emissions!AJ36:AJ41)</f>
        <v>2.6758974861520692</v>
      </c>
      <c r="AI20" s="28">
        <f>SUM(Emissions!AK36:AK41)</f>
        <v>2.6557488861812795</v>
      </c>
      <c r="AJ20" s="28">
        <f>SUM(Emissions!AL36:AL41)</f>
        <v>2.4009132985267922</v>
      </c>
      <c r="AK20" s="28">
        <f>SUM(Emissions!AM36:AM41)</f>
        <v>2.4485202858006234</v>
      </c>
      <c r="AL20" s="28">
        <f>SUM(Emissions!AN36:AN41)</f>
        <v>2.4900890593915137</v>
      </c>
      <c r="AM20" s="28">
        <f>SUM(Emissions!AO36:AO41)</f>
        <v>2.5318670866255379</v>
      </c>
      <c r="AN20" s="28">
        <f>SUM(Emissions!AP36:AP41)</f>
        <v>2.5836414898354421</v>
      </c>
      <c r="AO20" s="28">
        <f>SUM(Emissions!AQ36:AQ41)</f>
        <v>2.6355743908059797</v>
      </c>
      <c r="AP20" s="28">
        <f>SUM(Emissions!AR36:AR41)</f>
        <v>2.6893913624907206</v>
      </c>
      <c r="AQ20" s="28">
        <f>SUM(Emissions!AS36:AS41)</f>
        <v>2.7410095495731284</v>
      </c>
      <c r="AR20" s="28">
        <f>SUM(Emissions!AT36:AT41)</f>
        <v>2.7966005949113288</v>
      </c>
      <c r="AS20" s="28">
        <f>SUM(Emissions!AU36:AU41)</f>
        <v>2.8477844030524846</v>
      </c>
      <c r="AT20" s="28">
        <f>SUM(Emissions!AV36:AV41)</f>
        <v>2.9004723163020958</v>
      </c>
      <c r="AU20" s="28">
        <f>SUM(Emissions!AW36:AW41)</f>
        <v>2.9602174820353095</v>
      </c>
      <c r="AV20" s="28">
        <f>SUM(Emissions!AX36:AX41)</f>
        <v>3.0257684329005401</v>
      </c>
      <c r="AW20" s="28">
        <f>SUM(Emissions!AY36:AY41)</f>
        <v>3.0936581261052982</v>
      </c>
      <c r="AX20" s="28">
        <f>SUM(Emissions!AZ36:AZ41)</f>
        <v>3.0881450082122424</v>
      </c>
      <c r="AY20" s="28">
        <f>SUM(Emissions!BA36:BA41)</f>
        <v>-0.45476427485742343</v>
      </c>
      <c r="AZ20" s="28">
        <f>SUM(Emissions!BB36:BB41)</f>
        <v>-0.45227442706465237</v>
      </c>
      <c r="BA20" s="28">
        <f>SUM(Emissions!BC36:BC41)</f>
        <v>-0.44989246689235096</v>
      </c>
      <c r="BB20" s="28">
        <f>SUM(Emissions!BD36:BD41)</f>
        <v>-0.44761434692028201</v>
      </c>
      <c r="BC20" s="28">
        <f>SUM(Emissions!BE36:BE41)</f>
        <v>-0.44543631626142172</v>
      </c>
      <c r="BD20" s="28">
        <f>SUM(Emissions!BF36:BF41)</f>
        <v>-0.44335489346470186</v>
      </c>
      <c r="BE20" s="28">
        <f>SUM(Emissions!BG36:BG41)</f>
        <v>-0.44171863724181221</v>
      </c>
      <c r="BF20" s="28">
        <f>SUM(Emissions!BH36:BH41)</f>
        <v>-0.44015870831353743</v>
      </c>
      <c r="BG20" s="28">
        <f>SUM(Emissions!BI36:BI41)</f>
        <v>-0.43867262830722087</v>
      </c>
      <c r="BH20" s="28">
        <f>SUM(Emissions!BJ36:BJ41)</f>
        <v>-0.43725808159598301</v>
      </c>
      <c r="BI20" s="28">
        <f>SUM(Emissions!BK36:BK41)</f>
        <v>-0.43591290198958366</v>
      </c>
      <c r="BJ20" s="28">
        <f>SUM(Emissions!BL36:BL41)</f>
        <v>-0.43434617539814679</v>
      </c>
      <c r="BK20" s="28">
        <f>SUM(Emissions!BM36:BM41)</f>
        <v>-0.43284544913856493</v>
      </c>
      <c r="BL20" s="28">
        <f>SUM(Emissions!BN36:BN41)</f>
        <v>-0.43140882282826176</v>
      </c>
      <c r="BM20" s="28">
        <f>SUM(Emissions!BO36:BO41)</f>
        <v>-0.43003450788583886</v>
      </c>
      <c r="BN20" s="28">
        <f>SUM(Emissions!BP36:BP41)</f>
        <v>-0.42872081928379063</v>
      </c>
    </row>
    <row r="21" spans="1:66" x14ac:dyDescent="0.25">
      <c r="A21" t="str">
        <f t="shared" si="2"/>
        <v>3A Livestock</v>
      </c>
      <c r="B21" t="str">
        <f>B20</f>
        <v>3A2 Manure management (N2O)</v>
      </c>
      <c r="C21" t="str">
        <f t="shared" si="13"/>
        <v>3A2c Sheep</v>
      </c>
      <c r="D21" t="str">
        <f>D20</f>
        <v>N2O</v>
      </c>
      <c r="E21" t="str">
        <f>E20</f>
        <v>Gg N2O</v>
      </c>
      <c r="F21" s="28">
        <f>SUM(Emissions!H42:H43)</f>
        <v>0.27697977351015546</v>
      </c>
      <c r="G21" s="28">
        <f>SUM(Emissions!I42:I43)</f>
        <v>0.26452543098066184</v>
      </c>
      <c r="H21" s="28">
        <f>SUM(Emissions!J42:J43)</f>
        <v>0.25359554432458542</v>
      </c>
      <c r="I21" s="28">
        <f>SUM(Emissions!K42:K43)</f>
        <v>0.23716837739770139</v>
      </c>
      <c r="J21" s="28">
        <f>SUM(Emissions!L42:L43)</f>
        <v>0.23884065929520765</v>
      </c>
      <c r="K21" s="28">
        <f>SUM(Emissions!M42:M43)</f>
        <v>0.23542218248815072</v>
      </c>
      <c r="L21" s="28">
        <f>SUM(Emissions!N42:N43)</f>
        <v>0.23620750824112324</v>
      </c>
      <c r="M21" s="28">
        <f>SUM(Emissions!O42:O43)</f>
        <v>0.23107055390403242</v>
      </c>
      <c r="N21" s="28">
        <f>SUM(Emissions!P42:P43)</f>
        <v>0.23170805363291622</v>
      </c>
      <c r="O21" s="28">
        <f>SUM(Emissions!Q42:Q43)</f>
        <v>0.22601675170549185</v>
      </c>
      <c r="P21" s="28">
        <f>SUM(Emissions!R42:R43)</f>
        <v>0.21791403776011653</v>
      </c>
      <c r="Q21" s="28">
        <f>SUM(Emissions!S42:S43)</f>
        <v>0.21248143137484779</v>
      </c>
      <c r="R21" s="28">
        <f>SUM(Emissions!T42:T43)</f>
        <v>0.20893360679671308</v>
      </c>
      <c r="S21" s="28">
        <f>SUM(Emissions!U42:U43)</f>
        <v>0.20966349779065224</v>
      </c>
      <c r="T21" s="28">
        <f>SUM(Emissions!V42:V43)</f>
        <v>0.20593089068240639</v>
      </c>
      <c r="U21" s="28">
        <f>SUM(Emissions!W42:W43)</f>
        <v>0.20544121697761175</v>
      </c>
      <c r="V21" s="28">
        <f>SUM(Emissions!X42:X43)</f>
        <v>0.20275263116449405</v>
      </c>
      <c r="W21" s="28">
        <f>SUM(Emissions!Y42:Y43)</f>
        <v>0.20255860950787735</v>
      </c>
      <c r="X21" s="28">
        <f>SUM(Emissions!Z42:Z43)</f>
        <v>0.203214587489772</v>
      </c>
      <c r="Y21" s="28">
        <f>SUM(Emissions!AA42:AA43)</f>
        <v>0.20249393562233842</v>
      </c>
      <c r="Z21" s="28">
        <f>SUM(Emissions!AB42:AB43)</f>
        <v>0.19857654598398133</v>
      </c>
      <c r="AA21" s="28">
        <f>SUM(Emissions!AC42:AC43)</f>
        <v>0.19702437273104745</v>
      </c>
      <c r="AB21" s="28">
        <f>SUM(Emissions!AD42:AD43)</f>
        <v>0.17985000889389441</v>
      </c>
      <c r="AC21" s="28">
        <f>SUM(Emissions!AE42:AE43)</f>
        <v>0.17994822344584291</v>
      </c>
      <c r="AD21" s="28">
        <f>SUM(Emissions!AF42:AF43)</f>
        <v>0.18016814469404097</v>
      </c>
      <c r="AE21" s="28">
        <f>SUM(Emissions!AG42:AG43)</f>
        <v>0.18049917234232776</v>
      </c>
      <c r="AF21" s="28">
        <f>SUM(Emissions!AH42:AH43)</f>
        <v>0.18094573527965066</v>
      </c>
      <c r="AG21" s="28">
        <f>SUM(Emissions!AI42:AI43)</f>
        <v>0.18150830735255979</v>
      </c>
      <c r="AH21" s="28">
        <f>SUM(Emissions!AJ42:AJ43)</f>
        <v>0.18213498983603144</v>
      </c>
      <c r="AI21" s="28">
        <f>SUM(Emissions!AK42:AK43)</f>
        <v>0.18281417102554687</v>
      </c>
      <c r="AJ21" s="28">
        <f>SUM(Emissions!AL42:AL43)</f>
        <v>0.18345240573135227</v>
      </c>
      <c r="AK21" s="28">
        <f>SUM(Emissions!AM42:AM43)</f>
        <v>0.18371900872696012</v>
      </c>
      <c r="AL21" s="28">
        <f>SUM(Emissions!AN42:AN43)</f>
        <v>0.18402836891806301</v>
      </c>
      <c r="AM21" s="28">
        <f>SUM(Emissions!AO42:AO43)</f>
        <v>0.18438042287238762</v>
      </c>
      <c r="AN21" s="28">
        <f>SUM(Emissions!AP42:AP43)</f>
        <v>0.1847769946228508</v>
      </c>
      <c r="AO21" s="28">
        <f>SUM(Emissions!AQ42:AQ43)</f>
        <v>0.18521172653465601</v>
      </c>
      <c r="AP21" s="28">
        <f>SUM(Emissions!AR42:AR43)</f>
        <v>0.18547933718056969</v>
      </c>
      <c r="AQ21" s="28">
        <f>SUM(Emissions!AS42:AS43)</f>
        <v>0.1857782637974954</v>
      </c>
      <c r="AR21" s="28">
        <f>SUM(Emissions!AT42:AT43)</f>
        <v>0.18610959117380083</v>
      </c>
      <c r="AS21" s="28">
        <f>SUM(Emissions!AU42:AU43)</f>
        <v>0.18646822866083951</v>
      </c>
      <c r="AT21" s="28">
        <f>SUM(Emissions!AV42:AV43)</f>
        <v>0.18685545859987085</v>
      </c>
      <c r="AU21" s="28">
        <f>SUM(Emissions!AW42:AW43)</f>
        <v>0.18711037928419211</v>
      </c>
      <c r="AV21" s="28">
        <f>SUM(Emissions!AX42:AX43)</f>
        <v>0.18739211369298392</v>
      </c>
      <c r="AW21" s="28">
        <f>SUM(Emissions!AY42:AY43)</f>
        <v>0.18769812804803659</v>
      </c>
      <c r="AX21" s="28">
        <f>SUM(Emissions!AZ42:AZ43)</f>
        <v>0.18799377694426164</v>
      </c>
      <c r="AY21" s="28">
        <f>SUM(Emissions!BA42:BA43)</f>
        <v>0.18672978938814794</v>
      </c>
      <c r="AZ21" s="28">
        <f>SUM(Emissions!BB42:BB43)</f>
        <v>0.18690929560674141</v>
      </c>
      <c r="BA21" s="28">
        <f>SUM(Emissions!BC42:BC43)</f>
        <v>0.18710738160812246</v>
      </c>
      <c r="BB21" s="28">
        <f>SUM(Emissions!BD42:BD43)</f>
        <v>0.18732334546368595</v>
      </c>
      <c r="BC21" s="28">
        <f>SUM(Emissions!BE42:BE43)</f>
        <v>0.1875565394995381</v>
      </c>
      <c r="BD21" s="28">
        <f>SUM(Emissions!BF42:BF43)</f>
        <v>0.18780636514813601</v>
      </c>
      <c r="BE21" s="28">
        <f>SUM(Emissions!BG42:BG43)</f>
        <v>0.18792760576197112</v>
      </c>
      <c r="BF21" s="28">
        <f>SUM(Emissions!BH42:BH43)</f>
        <v>0.18806349988568019</v>
      </c>
      <c r="BG21" s="28">
        <f>SUM(Emissions!BI42:BI43)</f>
        <v>0.18821353754256973</v>
      </c>
      <c r="BH21" s="28">
        <f>SUM(Emissions!BJ42:BJ43)</f>
        <v>0.18837724366063202</v>
      </c>
      <c r="BI21" s="28">
        <f>SUM(Emissions!BK42:BK43)</f>
        <v>0.1885541751072215</v>
      </c>
      <c r="BJ21" s="28">
        <f>SUM(Emissions!BL42:BL43)</f>
        <v>0.1885978219428624</v>
      </c>
      <c r="BK21" s="28">
        <f>SUM(Emissions!BM42:BM43)</f>
        <v>0.1886532062515249</v>
      </c>
      <c r="BL21" s="28">
        <f>SUM(Emissions!BN42:BN43)</f>
        <v>0.18871993928832259</v>
      </c>
      <c r="BM21" s="28">
        <f>SUM(Emissions!BO42:BO43)</f>
        <v>0.18879765604682219</v>
      </c>
      <c r="BN21" s="28">
        <f>SUM(Emissions!BP42:BP43)</f>
        <v>0.18888601343351807</v>
      </c>
    </row>
    <row r="22" spans="1:66" x14ac:dyDescent="0.25">
      <c r="A22" t="str">
        <f t="shared" si="2"/>
        <v>3A Livestock</v>
      </c>
      <c r="B22" t="str">
        <f t="shared" ref="B22:B26" si="14">B21</f>
        <v>3A2 Manure management (N2O)</v>
      </c>
      <c r="C22" t="str">
        <f t="shared" si="13"/>
        <v>3A2d Goats</v>
      </c>
      <c r="D22" t="str">
        <f t="shared" ref="D22:D26" si="15">D21</f>
        <v>N2O</v>
      </c>
      <c r="E22" t="str">
        <f t="shared" ref="E22:E26" si="16">E21</f>
        <v>Gg N2O</v>
      </c>
      <c r="F22" s="28">
        <f>SUM(Emissions!H44:H45)</f>
        <v>0.17617782385130304</v>
      </c>
      <c r="G22" s="28">
        <f>SUM(Emissions!I44:I45)</f>
        <v>0.15579098843087474</v>
      </c>
      <c r="H22" s="28">
        <f>SUM(Emissions!J44:J45)</f>
        <v>0.14512124279027669</v>
      </c>
      <c r="I22" s="28">
        <f>SUM(Emissions!K44:K45)</f>
        <v>0.13711893355982818</v>
      </c>
      <c r="J22" s="28">
        <f>SUM(Emissions!L44:L45)</f>
        <v>0.14842378310760462</v>
      </c>
      <c r="K22" s="28">
        <f>SUM(Emissions!M44:M45)</f>
        <v>0.1504561156105757</v>
      </c>
      <c r="L22" s="28">
        <f>SUM(Emissions!N44:N45)</f>
        <v>0.15280600006713599</v>
      </c>
      <c r="M22" s="28">
        <f>SUM(Emissions!O44:O45)</f>
        <v>0.15204387537852188</v>
      </c>
      <c r="N22" s="28">
        <f>SUM(Emissions!P44:P45)</f>
        <v>0.1498845220941151</v>
      </c>
      <c r="O22" s="28">
        <f>SUM(Emissions!Q44:Q45)</f>
        <v>0.14766165841899051</v>
      </c>
      <c r="P22" s="28">
        <f>SUM(Emissions!R44:R45)</f>
        <v>0.14956697014052586</v>
      </c>
      <c r="Q22" s="28">
        <f>SUM(Emissions!S44:S45)</f>
        <v>0.15413971827221074</v>
      </c>
      <c r="R22" s="28">
        <f>SUM(Emissions!T44:T45)</f>
        <v>0.14073902583074538</v>
      </c>
      <c r="S22" s="28">
        <f>SUM(Emissions!U44:U45)</f>
        <v>0.13718244395054602</v>
      </c>
      <c r="T22" s="28">
        <f>SUM(Emissions!V44:V45)</f>
        <v>0.13743648551341742</v>
      </c>
      <c r="U22" s="28">
        <f>SUM(Emissions!W44:W45)</f>
        <v>0.13565819457331774</v>
      </c>
      <c r="V22" s="28">
        <f>SUM(Emissions!X44:X45)</f>
        <v>0.13851616215562079</v>
      </c>
      <c r="W22" s="28">
        <f>SUM(Emissions!Y44:Y45)</f>
        <v>0.13438798675896085</v>
      </c>
      <c r="X22" s="28">
        <f>SUM(Emissions!Z44:Z45)</f>
        <v>0.13426096597752513</v>
      </c>
      <c r="Y22" s="28">
        <f>SUM(Emissions!AA44:AA45)</f>
        <v>0.13191108152096487</v>
      </c>
      <c r="Z22" s="28">
        <f>SUM(Emissions!AB44:AB45)</f>
        <v>0.13032332175301872</v>
      </c>
      <c r="AA22" s="28">
        <f>SUM(Emissions!AC44:AC45)</f>
        <v>0.12911662432937968</v>
      </c>
      <c r="AB22" s="28">
        <f>SUM(Emissions!AD44:AD45)</f>
        <v>0.12932623105786376</v>
      </c>
      <c r="AC22" s="28">
        <f>SUM(Emissions!AE44:AE45)</f>
        <v>0.12966354450249329</v>
      </c>
      <c r="AD22" s="28">
        <f>SUM(Emissions!AF44:AF45)</f>
        <v>0.13011304454712494</v>
      </c>
      <c r="AE22" s="28">
        <f>SUM(Emissions!AG44:AG45)</f>
        <v>0.13066473792257757</v>
      </c>
      <c r="AF22" s="28">
        <f>SUM(Emissions!AH44:AH45)</f>
        <v>0.13132525417196311</v>
      </c>
      <c r="AG22" s="28">
        <f>SUM(Emissions!AI44:AI45)</f>
        <v>0.13209635100960287</v>
      </c>
      <c r="AH22" s="28">
        <f>SUM(Emissions!AJ44:AJ45)</f>
        <v>0.1329207956851168</v>
      </c>
      <c r="AI22" s="28">
        <f>SUM(Emissions!AK44:AK45)</f>
        <v>0.13378679931553411</v>
      </c>
      <c r="AJ22" s="28">
        <f>SUM(Emissions!AL44:AL45)</f>
        <v>0.13459127865108902</v>
      </c>
      <c r="AK22" s="28">
        <f>SUM(Emissions!AM44:AM45)</f>
        <v>0.13496828217745774</v>
      </c>
      <c r="AL22" s="28">
        <f>SUM(Emissions!AN44:AN45)</f>
        <v>0.13538168744196216</v>
      </c>
      <c r="AM22" s="28">
        <f>SUM(Emissions!AO44:AO45)</f>
        <v>0.13583201906632181</v>
      </c>
      <c r="AN22" s="28">
        <f>SUM(Emissions!AP44:AP45)</f>
        <v>0.13632179014159557</v>
      </c>
      <c r="AO22" s="28">
        <f>SUM(Emissions!AQ44:AQ45)</f>
        <v>0.1368444064638337</v>
      </c>
      <c r="AP22" s="28">
        <f>SUM(Emissions!AR44:AR45)</f>
        <v>0.13717474964180079</v>
      </c>
      <c r="AQ22" s="28">
        <f>SUM(Emissions!AS44:AS45)</f>
        <v>0.13753216416200786</v>
      </c>
      <c r="AR22" s="28">
        <f>SUM(Emissions!AT44:AT45)</f>
        <v>0.13791812867149283</v>
      </c>
      <c r="AS22" s="28">
        <f>SUM(Emissions!AU44:AU45)</f>
        <v>0.1383273295906054</v>
      </c>
      <c r="AT22" s="28">
        <f>SUM(Emissions!AV44:AV45)</f>
        <v>0.13876140376811943</v>
      </c>
      <c r="AU22" s="28">
        <f>SUM(Emissions!AW44:AW45)</f>
        <v>0.13904569353203933</v>
      </c>
      <c r="AV22" s="28">
        <f>SUM(Emissions!AX44:AX45)</f>
        <v>0.13935400781843343</v>
      </c>
      <c r="AW22" s="28">
        <f>SUM(Emissions!AY44:AY45)</f>
        <v>0.1396837401697624</v>
      </c>
      <c r="AX22" s="28">
        <f>SUM(Emissions!AZ44:AZ45)</f>
        <v>0.13999759717911334</v>
      </c>
      <c r="AY22" s="28">
        <f>SUM(Emissions!BA44:BA45)</f>
        <v>0.13862558710708447</v>
      </c>
      <c r="AZ22" s="28">
        <f>SUM(Emissions!BB44:BB45)</f>
        <v>0.13880916242991143</v>
      </c>
      <c r="BA22" s="28">
        <f>SUM(Emissions!BC44:BC45)</f>
        <v>0.13900919804248607</v>
      </c>
      <c r="BB22" s="28">
        <f>SUM(Emissions!BD44:BD45)</f>
        <v>0.13922502547874849</v>
      </c>
      <c r="BC22" s="28">
        <f>SUM(Emissions!BE44:BE45)</f>
        <v>0.13945602812260766</v>
      </c>
      <c r="BD22" s="28">
        <f>SUM(Emissions!BF44:BF45)</f>
        <v>0.13970163624340415</v>
      </c>
      <c r="BE22" s="28">
        <f>SUM(Emissions!BG44:BG45)</f>
        <v>0.13980706313879313</v>
      </c>
      <c r="BF22" s="28">
        <f>SUM(Emissions!BH44:BH45)</f>
        <v>0.13992564762343995</v>
      </c>
      <c r="BG22" s="28">
        <f>SUM(Emissions!BI44:BI45)</f>
        <v>0.14005689365686466</v>
      </c>
      <c r="BH22" s="28">
        <f>SUM(Emissions!BJ44:BJ45)</f>
        <v>0.14020033922813072</v>
      </c>
      <c r="BI22" s="28">
        <f>SUM(Emissions!BK44:BK45)</f>
        <v>0.14035555344043621</v>
      </c>
      <c r="BJ22" s="28">
        <f>SUM(Emissions!BL44:BL45)</f>
        <v>0.14036766324419084</v>
      </c>
      <c r="BK22" s="28">
        <f>SUM(Emissions!BM44:BM45)</f>
        <v>0.14039054268582421</v>
      </c>
      <c r="BL22" s="28">
        <f>SUM(Emissions!BN44:BN45)</f>
        <v>0.14042380499461143</v>
      </c>
      <c r="BM22" s="28">
        <f>SUM(Emissions!BO44:BO45)</f>
        <v>0.14046708707361016</v>
      </c>
      <c r="BN22" s="28">
        <f>SUM(Emissions!BP44:BP45)</f>
        <v>0.14052004766559908</v>
      </c>
    </row>
    <row r="23" spans="1:66" x14ac:dyDescent="0.25">
      <c r="A23" t="str">
        <f t="shared" si="2"/>
        <v>3A Livestock</v>
      </c>
      <c r="B23" t="str">
        <f t="shared" si="14"/>
        <v>3A2 Manure management (N2O)</v>
      </c>
      <c r="C23" t="str">
        <f t="shared" si="13"/>
        <v>3A2f Horses</v>
      </c>
      <c r="D23" t="str">
        <f t="shared" si="15"/>
        <v>N2O</v>
      </c>
      <c r="E23" t="str">
        <f t="shared" si="16"/>
        <v>Gg N2O</v>
      </c>
      <c r="F23" s="28" t="str">
        <f>Emissions!H46</f>
        <v>NO</v>
      </c>
      <c r="G23" s="28" t="str">
        <f>Emissions!I46</f>
        <v>NO</v>
      </c>
      <c r="H23" s="28" t="str">
        <f>Emissions!J46</f>
        <v>NO</v>
      </c>
      <c r="I23" s="28" t="str">
        <f>Emissions!K46</f>
        <v>NO</v>
      </c>
      <c r="J23" s="28" t="str">
        <f>Emissions!L46</f>
        <v>NO</v>
      </c>
      <c r="K23" s="28" t="str">
        <f>Emissions!M46</f>
        <v>NO</v>
      </c>
      <c r="L23" s="28" t="str">
        <f>Emissions!N46</f>
        <v>NO</v>
      </c>
      <c r="M23" s="28" t="str">
        <f>Emissions!O46</f>
        <v>NO</v>
      </c>
      <c r="N23" s="28" t="str">
        <f>Emissions!P46</f>
        <v>NO</v>
      </c>
      <c r="O23" s="28" t="str">
        <f>Emissions!Q46</f>
        <v>NO</v>
      </c>
      <c r="P23" s="28" t="str">
        <f>Emissions!R46</f>
        <v>NO</v>
      </c>
      <c r="Q23" s="28" t="str">
        <f>Emissions!S46</f>
        <v>NO</v>
      </c>
      <c r="R23" s="28" t="str">
        <f>Emissions!T46</f>
        <v>NO</v>
      </c>
      <c r="S23" s="28" t="str">
        <f>Emissions!U46</f>
        <v>NO</v>
      </c>
      <c r="T23" s="28" t="str">
        <f>Emissions!V46</f>
        <v>NO</v>
      </c>
      <c r="U23" s="28" t="str">
        <f>Emissions!W46</f>
        <v>NO</v>
      </c>
      <c r="V23" s="28" t="str">
        <f>Emissions!X46</f>
        <v>NO</v>
      </c>
      <c r="W23" s="28" t="str">
        <f>Emissions!Y46</f>
        <v>NO</v>
      </c>
      <c r="X23" s="28" t="str">
        <f>Emissions!Z46</f>
        <v>NO</v>
      </c>
      <c r="Y23" s="28" t="str">
        <f>Emissions!AA46</f>
        <v>NO</v>
      </c>
      <c r="Z23" s="28" t="str">
        <f>Emissions!AB46</f>
        <v>NO</v>
      </c>
      <c r="AA23" s="28" t="str">
        <f>Emissions!AC46</f>
        <v>NO</v>
      </c>
      <c r="AB23" s="28" t="str">
        <f>Emissions!AD46</f>
        <v>NO</v>
      </c>
      <c r="AC23" s="28" t="str">
        <f>Emissions!AE46</f>
        <v>NO</v>
      </c>
      <c r="AD23" s="28" t="str">
        <f>Emissions!AF46</f>
        <v>NO</v>
      </c>
      <c r="AE23" s="28" t="str">
        <f>Emissions!AG46</f>
        <v>NO</v>
      </c>
      <c r="AF23" s="28" t="str">
        <f>Emissions!AH46</f>
        <v>NO</v>
      </c>
      <c r="AG23" s="28" t="str">
        <f>Emissions!AI46</f>
        <v>NO</v>
      </c>
      <c r="AH23" s="28" t="str">
        <f>Emissions!AJ46</f>
        <v>NO</v>
      </c>
      <c r="AI23" s="28" t="str">
        <f>Emissions!AK46</f>
        <v>NO</v>
      </c>
      <c r="AJ23" s="28" t="str">
        <f>Emissions!AL46</f>
        <v>NO</v>
      </c>
      <c r="AK23" s="28" t="str">
        <f>Emissions!AM46</f>
        <v>NO</v>
      </c>
      <c r="AL23" s="28" t="str">
        <f>Emissions!AN46</f>
        <v>NO</v>
      </c>
      <c r="AM23" s="28" t="str">
        <f>Emissions!AO46</f>
        <v>NO</v>
      </c>
      <c r="AN23" s="28" t="str">
        <f>Emissions!AP46</f>
        <v>NO</v>
      </c>
      <c r="AO23" s="28" t="str">
        <f>Emissions!AQ46</f>
        <v>NO</v>
      </c>
      <c r="AP23" s="28" t="str">
        <f>Emissions!AR46</f>
        <v>NO</v>
      </c>
      <c r="AQ23" s="28" t="str">
        <f>Emissions!AS46</f>
        <v>NO</v>
      </c>
      <c r="AR23" s="28" t="str">
        <f>Emissions!AT46</f>
        <v>NO</v>
      </c>
      <c r="AS23" s="28" t="str">
        <f>Emissions!AU46</f>
        <v>NO</v>
      </c>
      <c r="AT23" s="28" t="str">
        <f>Emissions!AV46</f>
        <v>NO</v>
      </c>
      <c r="AU23" s="28" t="str">
        <f>Emissions!AW46</f>
        <v>NO</v>
      </c>
      <c r="AV23" s="28" t="str">
        <f>Emissions!AX46</f>
        <v>NO</v>
      </c>
      <c r="AW23" s="28" t="str">
        <f>Emissions!AY46</f>
        <v>NO</v>
      </c>
      <c r="AX23" s="28" t="str">
        <f>Emissions!AZ46</f>
        <v>NO</v>
      </c>
      <c r="AY23" s="28" t="str">
        <f>Emissions!BA46</f>
        <v>NO</v>
      </c>
      <c r="AZ23" s="28" t="str">
        <f>Emissions!BB46</f>
        <v>NO</v>
      </c>
      <c r="BA23" s="28" t="str">
        <f>Emissions!BC46</f>
        <v>NO</v>
      </c>
      <c r="BB23" s="28" t="str">
        <f>Emissions!BD46</f>
        <v>NO</v>
      </c>
      <c r="BC23" s="28" t="str">
        <f>Emissions!BE46</f>
        <v>NO</v>
      </c>
      <c r="BD23" s="28" t="str">
        <f>Emissions!BF46</f>
        <v>NO</v>
      </c>
      <c r="BE23" s="28" t="str">
        <f>Emissions!BG46</f>
        <v>NO</v>
      </c>
      <c r="BF23" s="28" t="str">
        <f>Emissions!BH46</f>
        <v>NO</v>
      </c>
      <c r="BG23" s="28" t="str">
        <f>Emissions!BI46</f>
        <v>NO</v>
      </c>
      <c r="BH23" s="28" t="str">
        <f>Emissions!BJ46</f>
        <v>NO</v>
      </c>
      <c r="BI23" s="28" t="str">
        <f>Emissions!BK46</f>
        <v>NO</v>
      </c>
      <c r="BJ23" s="28" t="str">
        <f>Emissions!BL46</f>
        <v>NO</v>
      </c>
      <c r="BK23" s="28" t="str">
        <f>Emissions!BM46</f>
        <v>NO</v>
      </c>
      <c r="BL23" s="28" t="str">
        <f>Emissions!BN46</f>
        <v>NO</v>
      </c>
      <c r="BM23" s="28" t="str">
        <f>Emissions!BO46</f>
        <v>NO</v>
      </c>
      <c r="BN23" s="28" t="str">
        <f>Emissions!BP46</f>
        <v>NO</v>
      </c>
    </row>
    <row r="24" spans="1:66" x14ac:dyDescent="0.25">
      <c r="A24" t="str">
        <f t="shared" si="2"/>
        <v>3A Livestock</v>
      </c>
      <c r="B24" t="str">
        <f t="shared" si="14"/>
        <v>3A2 Manure management (N2O)</v>
      </c>
      <c r="C24" t="str">
        <f t="shared" si="13"/>
        <v>3A2g Mules &amp; asses</v>
      </c>
      <c r="D24" t="str">
        <f t="shared" si="15"/>
        <v>N2O</v>
      </c>
      <c r="E24" t="str">
        <f t="shared" si="16"/>
        <v>Gg N2O</v>
      </c>
      <c r="F24" s="28" t="str">
        <f>Emissions!H47</f>
        <v>NO</v>
      </c>
      <c r="G24" s="28" t="str">
        <f>Emissions!I47</f>
        <v>NO</v>
      </c>
      <c r="H24" s="28" t="str">
        <f>Emissions!J47</f>
        <v>NO</v>
      </c>
      <c r="I24" s="28" t="str">
        <f>Emissions!K47</f>
        <v>NO</v>
      </c>
      <c r="J24" s="28" t="str">
        <f>Emissions!L47</f>
        <v>NO</v>
      </c>
      <c r="K24" s="28" t="str">
        <f>Emissions!M47</f>
        <v>NO</v>
      </c>
      <c r="L24" s="28" t="str">
        <f>Emissions!N47</f>
        <v>NO</v>
      </c>
      <c r="M24" s="28" t="str">
        <f>Emissions!O47</f>
        <v>NO</v>
      </c>
      <c r="N24" s="28" t="str">
        <f>Emissions!P47</f>
        <v>NO</v>
      </c>
      <c r="O24" s="28" t="str">
        <f>Emissions!Q47</f>
        <v>NO</v>
      </c>
      <c r="P24" s="28" t="str">
        <f>Emissions!R47</f>
        <v>NO</v>
      </c>
      <c r="Q24" s="28" t="str">
        <f>Emissions!S47</f>
        <v>NO</v>
      </c>
      <c r="R24" s="28" t="str">
        <f>Emissions!T47</f>
        <v>NO</v>
      </c>
      <c r="S24" s="28" t="str">
        <f>Emissions!U47</f>
        <v>NO</v>
      </c>
      <c r="T24" s="28" t="str">
        <f>Emissions!V47</f>
        <v>NO</v>
      </c>
      <c r="U24" s="28" t="str">
        <f>Emissions!W47</f>
        <v>NO</v>
      </c>
      <c r="V24" s="28" t="str">
        <f>Emissions!X47</f>
        <v>NO</v>
      </c>
      <c r="W24" s="28" t="str">
        <f>Emissions!Y47</f>
        <v>NO</v>
      </c>
      <c r="X24" s="28" t="str">
        <f>Emissions!Z47</f>
        <v>NO</v>
      </c>
      <c r="Y24" s="28" t="str">
        <f>Emissions!AA47</f>
        <v>NO</v>
      </c>
      <c r="Z24" s="28" t="str">
        <f>Emissions!AB47</f>
        <v>NO</v>
      </c>
      <c r="AA24" s="28" t="str">
        <f>Emissions!AC47</f>
        <v>NO</v>
      </c>
      <c r="AB24" s="28" t="str">
        <f>Emissions!AD47</f>
        <v>NO</v>
      </c>
      <c r="AC24" s="28" t="str">
        <f>Emissions!AE47</f>
        <v>NO</v>
      </c>
      <c r="AD24" s="28" t="str">
        <f>Emissions!AF47</f>
        <v>NO</v>
      </c>
      <c r="AE24" s="28" t="str">
        <f>Emissions!AG47</f>
        <v>NO</v>
      </c>
      <c r="AF24" s="28" t="str">
        <f>Emissions!AH47</f>
        <v>NO</v>
      </c>
      <c r="AG24" s="28" t="str">
        <f>Emissions!AI47</f>
        <v>NO</v>
      </c>
      <c r="AH24" s="28" t="str">
        <f>Emissions!AJ47</f>
        <v>NO</v>
      </c>
      <c r="AI24" s="28" t="str">
        <f>Emissions!AK47</f>
        <v>NO</v>
      </c>
      <c r="AJ24" s="28" t="str">
        <f>Emissions!AL47</f>
        <v>NO</v>
      </c>
      <c r="AK24" s="28" t="str">
        <f>Emissions!AM47</f>
        <v>NO</v>
      </c>
      <c r="AL24" s="28" t="str">
        <f>Emissions!AN47</f>
        <v>NO</v>
      </c>
      <c r="AM24" s="28" t="str">
        <f>Emissions!AO47</f>
        <v>NO</v>
      </c>
      <c r="AN24" s="28" t="str">
        <f>Emissions!AP47</f>
        <v>NO</v>
      </c>
      <c r="AO24" s="28" t="str">
        <f>Emissions!AQ47</f>
        <v>NO</v>
      </c>
      <c r="AP24" s="28" t="str">
        <f>Emissions!AR47</f>
        <v>NO</v>
      </c>
      <c r="AQ24" s="28" t="str">
        <f>Emissions!AS47</f>
        <v>NO</v>
      </c>
      <c r="AR24" s="28" t="str">
        <f>Emissions!AT47</f>
        <v>NO</v>
      </c>
      <c r="AS24" s="28" t="str">
        <f>Emissions!AU47</f>
        <v>NO</v>
      </c>
      <c r="AT24" s="28" t="str">
        <f>Emissions!AV47</f>
        <v>NO</v>
      </c>
      <c r="AU24" s="28" t="str">
        <f>Emissions!AW47</f>
        <v>NO</v>
      </c>
      <c r="AV24" s="28" t="str">
        <f>Emissions!AX47</f>
        <v>NO</v>
      </c>
      <c r="AW24" s="28" t="str">
        <f>Emissions!AY47</f>
        <v>NO</v>
      </c>
      <c r="AX24" s="28" t="str">
        <f>Emissions!AZ47</f>
        <v>NO</v>
      </c>
      <c r="AY24" s="28" t="str">
        <f>Emissions!BA47</f>
        <v>NO</v>
      </c>
      <c r="AZ24" s="28" t="str">
        <f>Emissions!BB47</f>
        <v>NO</v>
      </c>
      <c r="BA24" s="28" t="str">
        <f>Emissions!BC47</f>
        <v>NO</v>
      </c>
      <c r="BB24" s="28" t="str">
        <f>Emissions!BD47</f>
        <v>NO</v>
      </c>
      <c r="BC24" s="28" t="str">
        <f>Emissions!BE47</f>
        <v>NO</v>
      </c>
      <c r="BD24" s="28" t="str">
        <f>Emissions!BF47</f>
        <v>NO</v>
      </c>
      <c r="BE24" s="28" t="str">
        <f>Emissions!BG47</f>
        <v>NO</v>
      </c>
      <c r="BF24" s="28" t="str">
        <f>Emissions!BH47</f>
        <v>NO</v>
      </c>
      <c r="BG24" s="28" t="str">
        <f>Emissions!BI47</f>
        <v>NO</v>
      </c>
      <c r="BH24" s="28" t="str">
        <f>Emissions!BJ47</f>
        <v>NO</v>
      </c>
      <c r="BI24" s="28" t="str">
        <f>Emissions!BK47</f>
        <v>NO</v>
      </c>
      <c r="BJ24" s="28" t="str">
        <f>Emissions!BL47</f>
        <v>NO</v>
      </c>
      <c r="BK24" s="28" t="str">
        <f>Emissions!BM47</f>
        <v>NO</v>
      </c>
      <c r="BL24" s="28" t="str">
        <f>Emissions!BN47</f>
        <v>NO</v>
      </c>
      <c r="BM24" s="28" t="str">
        <f>Emissions!BO47</f>
        <v>NO</v>
      </c>
      <c r="BN24" s="28" t="str">
        <f>Emissions!BP47</f>
        <v>NO</v>
      </c>
    </row>
    <row r="25" spans="1:66" x14ac:dyDescent="0.25">
      <c r="A25" t="str">
        <f t="shared" si="2"/>
        <v>3A Livestock</v>
      </c>
      <c r="B25" t="str">
        <f t="shared" si="14"/>
        <v>3A2 Manure management (N2O)</v>
      </c>
      <c r="C25" t="str">
        <f t="shared" si="13"/>
        <v>3A2h Swine</v>
      </c>
      <c r="D25" t="str">
        <f t="shared" si="15"/>
        <v>N2O</v>
      </c>
      <c r="E25" t="str">
        <f t="shared" si="16"/>
        <v>Gg N2O</v>
      </c>
      <c r="F25" s="28">
        <f>SUM(Emissions!H48:H49)</f>
        <v>0.12329867623327949</v>
      </c>
      <c r="G25" s="28">
        <f>SUM(Emissions!I48:I49)</f>
        <v>0.13470623092415376</v>
      </c>
      <c r="H25" s="28">
        <f>SUM(Emissions!J48:J49)</f>
        <v>0.13381627984897917</v>
      </c>
      <c r="I25" s="28">
        <f>SUM(Emissions!K48:K49)</f>
        <v>0.13373537520578149</v>
      </c>
      <c r="J25" s="28">
        <f>SUM(Emissions!L48:L49)</f>
        <v>0.12702028982037319</v>
      </c>
      <c r="K25" s="28">
        <f>SUM(Emissions!M48:M49)</f>
        <v>0.12823385946833857</v>
      </c>
      <c r="L25" s="28">
        <f>SUM(Emissions!N48:N49)</f>
        <v>0.13810422593845673</v>
      </c>
      <c r="M25" s="28">
        <f>SUM(Emissions!O48:O49)</f>
        <v>0.13745698879287524</v>
      </c>
      <c r="N25" s="28">
        <f>SUM(Emissions!P48:P49)</f>
        <v>0.14045046059118976</v>
      </c>
      <c r="O25" s="28">
        <f>SUM(Emissions!Q48:Q49)</f>
        <v>0.14401026489188812</v>
      </c>
      <c r="P25" s="28">
        <f>SUM(Emissions!R48:R49)</f>
        <v>0.13324994734659534</v>
      </c>
      <c r="Q25" s="28">
        <f>SUM(Emissions!S48:S49)</f>
        <v>0.13575799128572374</v>
      </c>
      <c r="R25" s="28">
        <f>SUM(Emissions!T48:T49)</f>
        <v>0.1383469398680498</v>
      </c>
      <c r="S25" s="28">
        <f>SUM(Emissions!U48:U49)</f>
        <v>0.1345444216377584</v>
      </c>
      <c r="T25" s="28">
        <f>SUM(Emissions!V48:V49)</f>
        <v>0.1345444216377584</v>
      </c>
      <c r="U25" s="28">
        <f>SUM(Emissions!W48:W49)</f>
        <v>0.1335735659193861</v>
      </c>
      <c r="V25" s="28">
        <f>SUM(Emissions!X48:X49)</f>
        <v>0.13122733126665309</v>
      </c>
      <c r="W25" s="28">
        <f>SUM(Emissions!Y48:Y49)</f>
        <v>0.1335735659193861</v>
      </c>
      <c r="X25" s="28">
        <f>SUM(Emissions!Z48:Z49)</f>
        <v>0.13066099876426929</v>
      </c>
      <c r="Y25" s="28">
        <f>SUM(Emissions!AA48:AA49)</f>
        <v>0.13049918947787389</v>
      </c>
      <c r="Z25" s="28">
        <f>SUM(Emissions!AB48:AB49)</f>
        <v>0.12896200125711779</v>
      </c>
      <c r="AA25" s="28">
        <f>SUM(Emissions!AC48:AC49)</f>
        <v>0.12815295482514089</v>
      </c>
      <c r="AB25" s="28">
        <f>SUM(Emissions!AD48:AD49)</f>
        <v>0.13663462071079652</v>
      </c>
      <c r="AC25" s="28">
        <f>SUM(Emissions!AE48:AE49)</f>
        <v>0.13620335214857587</v>
      </c>
      <c r="AD25" s="28">
        <f>SUM(Emissions!AF48:AF49)</f>
        <v>0.13477715026279893</v>
      </c>
      <c r="AE25" s="28">
        <f>SUM(Emissions!AG48:AG49)</f>
        <v>0.1320079948269629</v>
      </c>
      <c r="AF25" s="28">
        <f>SUM(Emissions!AH48:AH49)</f>
        <v>0.12935999973035606</v>
      </c>
      <c r="AG25" s="28">
        <f>SUM(Emissions!AI48:AI49)</f>
        <v>0.12750239715399084</v>
      </c>
      <c r="AH25" s="28">
        <f>SUM(Emissions!AJ48:AJ49)</f>
        <v>0.12592916271494078</v>
      </c>
      <c r="AI25" s="28">
        <f>SUM(Emissions!AK48:AK49)</f>
        <v>0.12303221749539608</v>
      </c>
      <c r="AJ25" s="28">
        <f>SUM(Emissions!AL48:AL49)</f>
        <v>0.10770538985941086</v>
      </c>
      <c r="AK25" s="28">
        <f>SUM(Emissions!AM48:AM49)</f>
        <v>0.10838981378689727</v>
      </c>
      <c r="AL25" s="28">
        <f>SUM(Emissions!AN48:AN49)</f>
        <v>0.10873336655844666</v>
      </c>
      <c r="AM25" s="28">
        <f>SUM(Emissions!AO48:AO49)</f>
        <v>0.10906736710084999</v>
      </c>
      <c r="AN25" s="28">
        <f>SUM(Emissions!AP48:AP49)</f>
        <v>0.10988319766317196</v>
      </c>
      <c r="AO25" s="28">
        <f>SUM(Emissions!AQ48:AQ49)</f>
        <v>0.11067160136943814</v>
      </c>
      <c r="AP25" s="28">
        <f>SUM(Emissions!AR48:AR49)</f>
        <v>0.11157610240824042</v>
      </c>
      <c r="AQ25" s="28">
        <f>SUM(Emissions!AS48:AS49)</f>
        <v>0.11233529391753783</v>
      </c>
      <c r="AR25" s="28">
        <f>SUM(Emissions!AT48:AT49)</f>
        <v>0.11324766548930251</v>
      </c>
      <c r="AS25" s="28">
        <f>SUM(Emissions!AU48:AU49)</f>
        <v>0.11391181956840238</v>
      </c>
      <c r="AT25" s="28">
        <f>SUM(Emissions!AV48:AV49)</f>
        <v>0.11461045150435145</v>
      </c>
      <c r="AU25" s="28">
        <f>SUM(Emissions!AW48:AW49)</f>
        <v>0.11589903885376016</v>
      </c>
      <c r="AV25" s="28">
        <f>SUM(Emissions!AX48:AX49)</f>
        <v>0.11740431925293365</v>
      </c>
      <c r="AW25" s="28">
        <f>SUM(Emissions!AY48:AY49)</f>
        <v>0.118962013141894</v>
      </c>
      <c r="AX25" s="28">
        <f>SUM(Emissions!AZ48:AZ49)</f>
        <v>0.11721130414982178</v>
      </c>
      <c r="AY25" s="28">
        <f>SUM(Emissions!BA48:BA49)</f>
        <v>-3.9547968235350298E-2</v>
      </c>
      <c r="AZ25" s="28">
        <f>SUM(Emissions!BB48:BB49)</f>
        <v>-3.9115377340216924E-2</v>
      </c>
      <c r="BA25" s="28">
        <f>SUM(Emissions!BC48:BC49)</f>
        <v>-3.8692051926683776E-2</v>
      </c>
      <c r="BB25" s="28">
        <f>SUM(Emissions!BD48:BD49)</f>
        <v>-3.8277385858590272E-2</v>
      </c>
      <c r="BC25" s="28">
        <f>SUM(Emissions!BE48:BE49)</f>
        <v>-3.7870817381134417E-2</v>
      </c>
      <c r="BD25" s="28">
        <f>SUM(Emissions!BF48:BF49)</f>
        <v>-3.7471824828937864E-2</v>
      </c>
      <c r="BE25" s="28">
        <f>SUM(Emissions!BG48:BG49)</f>
        <v>-3.7034209495393836E-2</v>
      </c>
      <c r="BF25" s="28">
        <f>SUM(Emissions!BH48:BH49)</f>
        <v>-3.6604309938073204E-2</v>
      </c>
      <c r="BG25" s="28">
        <f>SUM(Emissions!BI48:BI49)</f>
        <v>-3.6181675520355561E-2</v>
      </c>
      <c r="BH25" s="28">
        <f>SUM(Emissions!BJ48:BJ49)</f>
        <v>-3.5765885040208292E-2</v>
      </c>
      <c r="BI25" s="28">
        <f>SUM(Emissions!BK48:BK49)</f>
        <v>-3.5356544186963872E-2</v>
      </c>
      <c r="BJ25" s="28">
        <f>SUM(Emissions!BL48:BL49)</f>
        <v>-3.4910454296527359E-2</v>
      </c>
      <c r="BK25" s="28">
        <f>SUM(Emissions!BM48:BM49)</f>
        <v>-3.4471177820794771E-2</v>
      </c>
      <c r="BL25" s="28">
        <f>SUM(Emissions!BN48:BN49)</f>
        <v>-3.4038364048368186E-2</v>
      </c>
      <c r="BM25" s="28">
        <f>SUM(Emissions!BO48:BO49)</f>
        <v>-3.3611682989106294E-2</v>
      </c>
      <c r="BN25" s="28">
        <f>SUM(Emissions!BP48:BP49)</f>
        <v>-3.3190823758547885E-2</v>
      </c>
    </row>
    <row r="26" spans="1:66" x14ac:dyDescent="0.25">
      <c r="A26" t="str">
        <f t="shared" si="2"/>
        <v>3A Livestock</v>
      </c>
      <c r="B26" t="str">
        <f t="shared" si="14"/>
        <v>3A2 Manure management (N2O)</v>
      </c>
      <c r="C26" t="str">
        <f t="shared" si="13"/>
        <v>3A2i Poultry</v>
      </c>
      <c r="D26" t="str">
        <f t="shared" si="15"/>
        <v>N2O</v>
      </c>
      <c r="E26" t="str">
        <f t="shared" si="16"/>
        <v>Gg N2O</v>
      </c>
      <c r="F26" s="28">
        <f>SUM(Emissions!H50:H53)</f>
        <v>0.97142643116498173</v>
      </c>
      <c r="G26" s="28">
        <f>SUM(Emissions!I50:I53)</f>
        <v>0.91979947773956539</v>
      </c>
      <c r="H26" s="28">
        <f>SUM(Emissions!J50:J53)</f>
        <v>0.86996640861962027</v>
      </c>
      <c r="I26" s="28">
        <f>SUM(Emissions!K50:K53)</f>
        <v>0.95105089689588118</v>
      </c>
      <c r="J26" s="28">
        <f>SUM(Emissions!L50:L53)</f>
        <v>0.93558760332506563</v>
      </c>
      <c r="K26" s="28">
        <f>SUM(Emissions!M50:M53)</f>
        <v>1.0610980244624493</v>
      </c>
      <c r="L26" s="28">
        <f>SUM(Emissions!N50:N53)</f>
        <v>1.2124779056940209</v>
      </c>
      <c r="M26" s="28">
        <f>SUM(Emissions!O50:O53)</f>
        <v>1.2310774331909755</v>
      </c>
      <c r="N26" s="28">
        <f>SUM(Emissions!P50:P53)</f>
        <v>1.3553349187397734</v>
      </c>
      <c r="O26" s="28">
        <f>SUM(Emissions!Q50:Q53)</f>
        <v>1.4216688462228295</v>
      </c>
      <c r="P26" s="28">
        <f>SUM(Emissions!R50:R53)</f>
        <v>1.5047428388913393</v>
      </c>
      <c r="Q26" s="28">
        <f>SUM(Emissions!S50:S53)</f>
        <v>1.4682944579243469</v>
      </c>
      <c r="R26" s="28">
        <f>SUM(Emissions!T50:T53)</f>
        <v>1.5974517753633082</v>
      </c>
      <c r="S26" s="28">
        <f>SUM(Emissions!U50:U53)</f>
        <v>1.5216968274171625</v>
      </c>
      <c r="T26" s="28">
        <f>SUM(Emissions!V50:V53)</f>
        <v>1.561402779749649</v>
      </c>
      <c r="U26" s="28">
        <f>SUM(Emissions!W50:W53)</f>
        <v>1.715924170745724</v>
      </c>
      <c r="V26" s="28">
        <f>SUM(Emissions!X50:X53)</f>
        <v>1.8445047156055465</v>
      </c>
      <c r="W26" s="28">
        <f>SUM(Emissions!Y50:Y53)</f>
        <v>1.9478096113399568</v>
      </c>
      <c r="X26" s="28">
        <f>SUM(Emissions!Z50:Z53)</f>
        <v>2.0569289282113736</v>
      </c>
      <c r="Y26" s="28">
        <f>SUM(Emissions!AA50:AA53)</f>
        <v>1.9474443632124327</v>
      </c>
      <c r="Z26" s="28">
        <f>SUM(Emissions!AB50:AB53)</f>
        <v>2.0008545268528479</v>
      </c>
      <c r="AA26" s="28">
        <f>SUM(Emissions!AC50:AC53)</f>
        <v>2.0733749858055939</v>
      </c>
      <c r="AB26" s="28">
        <f>SUM(Emissions!AD50:AD53)</f>
        <v>2.1367582089819672</v>
      </c>
      <c r="AC26" s="28">
        <f>SUM(Emissions!AE50:AE53)</f>
        <v>2.1732965702872482</v>
      </c>
      <c r="AD26" s="28">
        <f>SUM(Emissions!AF50:AF53)</f>
        <v>2.1879292352570783</v>
      </c>
      <c r="AE26" s="28">
        <f>SUM(Emissions!AG50:AG53)</f>
        <v>2.1724742610471526</v>
      </c>
      <c r="AF26" s="28">
        <f>SUM(Emissions!AH50:AH53)</f>
        <v>2.1571140128598696</v>
      </c>
      <c r="AG26" s="28">
        <f>SUM(Emissions!AI50:AI53)</f>
        <v>2.1566211505446278</v>
      </c>
      <c r="AH26" s="28">
        <f>SUM(Emissions!AJ50:AJ53)</f>
        <v>2.1609232820307986</v>
      </c>
      <c r="AI26" s="28">
        <f>SUM(Emissions!AK50:AK53)</f>
        <v>2.1343193352140171</v>
      </c>
      <c r="AJ26" s="28">
        <f>SUM(Emissions!AL50:AL53)</f>
        <v>1.823214904561715</v>
      </c>
      <c r="AK26" s="28">
        <f>SUM(Emissions!AM50:AM53)</f>
        <v>1.8741036426009441</v>
      </c>
      <c r="AL26" s="28">
        <f>SUM(Emissions!AN50:AN53)</f>
        <v>1.9173946851328654</v>
      </c>
      <c r="AM26" s="28">
        <f>SUM(Emissions!AO50:AO53)</f>
        <v>1.9606551795075804</v>
      </c>
      <c r="AN26" s="28">
        <f>SUM(Emissions!AP50:AP53)</f>
        <v>2.015730126883815</v>
      </c>
      <c r="AO26" s="28">
        <f>SUM(Emissions!AQ50:AQ53)</f>
        <v>2.070733121338987</v>
      </c>
      <c r="AP26" s="28">
        <f>SUM(Emissions!AR50:AR53)</f>
        <v>2.130318048042962</v>
      </c>
      <c r="AQ26" s="28">
        <f>SUM(Emissions!AS50:AS53)</f>
        <v>2.1870057241099659</v>
      </c>
      <c r="AR26" s="28">
        <f>SUM(Emissions!AT50:AT53)</f>
        <v>2.2482650725892106</v>
      </c>
      <c r="AS26" s="28">
        <f>SUM(Emissions!AU50:AU53)</f>
        <v>2.3039694212902808</v>
      </c>
      <c r="AT26" s="28">
        <f>SUM(Emissions!AV50:AV53)</f>
        <v>2.3612707890678974</v>
      </c>
      <c r="AU26" s="28">
        <f>SUM(Emissions!AW50:AW53)</f>
        <v>2.4357760885374691</v>
      </c>
      <c r="AV26" s="28">
        <f>SUM(Emissions!AX50:AX53)</f>
        <v>2.517296852792779</v>
      </c>
      <c r="AW26" s="28">
        <f>SUM(Emissions!AY50:AY53)</f>
        <v>2.6016539095270943</v>
      </c>
      <c r="AX26" s="28">
        <f>SUM(Emissions!AZ50:AZ53)</f>
        <v>2.5965682851459375</v>
      </c>
      <c r="AY26" s="28">
        <f>SUM(Emissions!BA50:BA53)</f>
        <v>-1.7270108563452835</v>
      </c>
      <c r="AZ26" s="28">
        <f>SUM(Emissions!BB50:BB53)</f>
        <v>-1.7287746393734162</v>
      </c>
      <c r="BA26" s="28">
        <f>SUM(Emissions!BC50:BC53)</f>
        <v>-1.7307552347376816</v>
      </c>
      <c r="BB26" s="28">
        <f>SUM(Emissions!BD50:BD53)</f>
        <v>-1.732943280587868</v>
      </c>
      <c r="BC26" s="28">
        <f>SUM(Emissions!BE50:BE53)</f>
        <v>-1.7353301382498436</v>
      </c>
      <c r="BD26" s="28">
        <f>SUM(Emissions!BF50:BF53)</f>
        <v>-1.7379078227225926</v>
      </c>
      <c r="BE26" s="28">
        <f>SUM(Emissions!BG50:BG53)</f>
        <v>-1.7385701494194841</v>
      </c>
      <c r="BF26" s="28">
        <f>SUM(Emissions!BH50:BH53)</f>
        <v>-1.7394070816074751</v>
      </c>
      <c r="BG26" s="28">
        <f>SUM(Emissions!BI50:BI53)</f>
        <v>-1.7404116243511782</v>
      </c>
      <c r="BH26" s="28">
        <f>SUM(Emissions!BJ50:BJ53)</f>
        <v>-1.7415772607961222</v>
      </c>
      <c r="BI26" s="28">
        <f>SUM(Emissions!BK50:BK53)</f>
        <v>-1.742897911071841</v>
      </c>
      <c r="BJ26" s="28">
        <f>SUM(Emissions!BL50:BL53)</f>
        <v>-1.7422757734921372</v>
      </c>
      <c r="BK26" s="28">
        <f>SUM(Emissions!BM50:BM53)</f>
        <v>-1.741798370031554</v>
      </c>
      <c r="BL26" s="28">
        <f>SUM(Emissions!BN50:BN53)</f>
        <v>-1.7414602094779341</v>
      </c>
      <c r="BM26" s="28">
        <f>SUM(Emissions!BO50:BO53)</f>
        <v>-1.7412561358953811</v>
      </c>
      <c r="BN26" s="28">
        <f>SUM(Emissions!BP50:BP53)</f>
        <v>-1.7411813025768113</v>
      </c>
    </row>
    <row r="27" spans="1:66" s="19" customFormat="1" ht="15.75" x14ac:dyDescent="0.25">
      <c r="A27" s="19" t="str">
        <f>'IPCC Categories'!A59</f>
        <v>3C Aggregated and non-CO2 emissions on land</v>
      </c>
      <c r="B27" s="19" t="str">
        <f>'IPCC Categories'!B59</f>
        <v>3C1 Biomass burning (CH4)</v>
      </c>
      <c r="C27" s="19" t="s">
        <v>148</v>
      </c>
      <c r="D27" s="19" t="s">
        <v>121</v>
      </c>
      <c r="E27" s="19" t="s">
        <v>286</v>
      </c>
      <c r="F27" s="47">
        <f>SUM(F28:F33)</f>
        <v>53.0453492171862</v>
      </c>
      <c r="G27" s="47">
        <f t="shared" ref="G27:BN27" si="17">SUM(G28:G33)</f>
        <v>53.0453492171862</v>
      </c>
      <c r="H27" s="47">
        <f t="shared" si="17"/>
        <v>53.0453492171862</v>
      </c>
      <c r="I27" s="47">
        <f t="shared" si="17"/>
        <v>53.0453492171862</v>
      </c>
      <c r="J27" s="47">
        <f t="shared" si="17"/>
        <v>53.0453492171862</v>
      </c>
      <c r="K27" s="47">
        <f t="shared" si="17"/>
        <v>53.0453492171862</v>
      </c>
      <c r="L27" s="47">
        <f t="shared" si="17"/>
        <v>53.0453492171862</v>
      </c>
      <c r="M27" s="47">
        <f t="shared" si="17"/>
        <v>53.0453492171862</v>
      </c>
      <c r="N27" s="47">
        <f t="shared" si="17"/>
        <v>53.0453492171862</v>
      </c>
      <c r="O27" s="47">
        <f t="shared" si="17"/>
        <v>53.0453492171862</v>
      </c>
      <c r="P27" s="47">
        <f t="shared" si="17"/>
        <v>52.546557109309774</v>
      </c>
      <c r="Q27" s="47">
        <f t="shared" si="17"/>
        <v>61.073892579993647</v>
      </c>
      <c r="R27" s="47">
        <f t="shared" si="17"/>
        <v>61.377028794942774</v>
      </c>
      <c r="S27" s="47">
        <f t="shared" si="17"/>
        <v>48.163551471837515</v>
      </c>
      <c r="T27" s="47">
        <f t="shared" si="17"/>
        <v>42.065716129847253</v>
      </c>
      <c r="U27" s="47">
        <f t="shared" si="17"/>
        <v>67.254014225099425</v>
      </c>
      <c r="V27" s="47">
        <f t="shared" si="17"/>
        <v>58.899233231775128</v>
      </c>
      <c r="W27" s="47">
        <f t="shared" si="17"/>
        <v>58.027482006018275</v>
      </c>
      <c r="X27" s="47">
        <f t="shared" si="17"/>
        <v>54.279261632604765</v>
      </c>
      <c r="Y27" s="47">
        <f t="shared" si="17"/>
        <v>51.374827411779322</v>
      </c>
      <c r="Z27" s="47">
        <f t="shared" si="17"/>
        <v>52.716909833999999</v>
      </c>
      <c r="AA27" s="47">
        <f t="shared" si="17"/>
        <v>52.066398634182001</v>
      </c>
      <c r="AB27" s="47">
        <f t="shared" si="17"/>
        <v>43.638049727653843</v>
      </c>
      <c r="AC27" s="47">
        <f t="shared" si="17"/>
        <v>45.605203762152264</v>
      </c>
      <c r="AD27" s="47">
        <f t="shared" si="17"/>
        <v>44.965256516650697</v>
      </c>
      <c r="AE27" s="47">
        <f t="shared" si="17"/>
        <v>44.370632311149102</v>
      </c>
      <c r="AF27" s="47">
        <f t="shared" si="17"/>
        <v>44.847337385647528</v>
      </c>
      <c r="AG27" s="47">
        <f t="shared" si="17"/>
        <v>45.270823420145945</v>
      </c>
      <c r="AH27" s="47">
        <f t="shared" si="17"/>
        <v>45.390629294644363</v>
      </c>
      <c r="AI27" s="47">
        <f t="shared" si="17"/>
        <v>45.56015529937843</v>
      </c>
      <c r="AJ27" s="47">
        <f t="shared" si="17"/>
        <v>45.729681304112475</v>
      </c>
      <c r="AK27" s="47">
        <f t="shared" si="17"/>
        <v>45.899207308846528</v>
      </c>
      <c r="AL27" s="47">
        <f t="shared" si="17"/>
        <v>46.068733313580573</v>
      </c>
      <c r="AM27" s="47">
        <f t="shared" si="17"/>
        <v>46.238259318314633</v>
      </c>
      <c r="AN27" s="47">
        <f t="shared" si="17"/>
        <v>46.407785323048678</v>
      </c>
      <c r="AO27" s="47">
        <f t="shared" si="17"/>
        <v>46.577311327782738</v>
      </c>
      <c r="AP27" s="47">
        <f t="shared" si="17"/>
        <v>46.74683733251679</v>
      </c>
      <c r="AQ27" s="47">
        <f t="shared" si="17"/>
        <v>46.916363337250836</v>
      </c>
      <c r="AR27" s="47">
        <f t="shared" si="17"/>
        <v>47.085889341984888</v>
      </c>
      <c r="AS27" s="47">
        <f t="shared" si="17"/>
        <v>47.255415346718941</v>
      </c>
      <c r="AT27" s="47">
        <f t="shared" si="17"/>
        <v>47.424941351453</v>
      </c>
      <c r="AU27" s="47">
        <f t="shared" si="17"/>
        <v>47.584388215769366</v>
      </c>
      <c r="AV27" s="47">
        <f t="shared" si="17"/>
        <v>47.743835080085738</v>
      </c>
      <c r="AW27" s="47">
        <f t="shared" si="17"/>
        <v>47.90328194440211</v>
      </c>
      <c r="AX27" s="47">
        <f t="shared" si="17"/>
        <v>48.062728808718475</v>
      </c>
      <c r="AY27" s="47">
        <f t="shared" si="17"/>
        <v>48.222175673034847</v>
      </c>
      <c r="AZ27" s="47">
        <f t="shared" si="17"/>
        <v>48.38162253735122</v>
      </c>
      <c r="BA27" s="47">
        <f t="shared" si="17"/>
        <v>48.541069401667592</v>
      </c>
      <c r="BB27" s="47">
        <f t="shared" si="17"/>
        <v>48.700516265983957</v>
      </c>
      <c r="BC27" s="47">
        <f t="shared" si="17"/>
        <v>48.846366490942629</v>
      </c>
      <c r="BD27" s="47">
        <f t="shared" si="17"/>
        <v>48.992216715901286</v>
      </c>
      <c r="BE27" s="47">
        <f t="shared" si="17"/>
        <v>49.138066940859957</v>
      </c>
      <c r="BF27" s="47">
        <f t="shared" si="17"/>
        <v>49.283917165818607</v>
      </c>
      <c r="BG27" s="47">
        <f t="shared" si="17"/>
        <v>49.429767390777279</v>
      </c>
      <c r="BH27" s="47">
        <f t="shared" si="17"/>
        <v>49.575617615735943</v>
      </c>
      <c r="BI27" s="47">
        <f t="shared" si="17"/>
        <v>49.721467840694608</v>
      </c>
      <c r="BJ27" s="47">
        <f t="shared" si="17"/>
        <v>49.867318065653272</v>
      </c>
      <c r="BK27" s="47">
        <f t="shared" si="17"/>
        <v>50.013168290611944</v>
      </c>
      <c r="BL27" s="47">
        <f t="shared" si="17"/>
        <v>50.159018515570601</v>
      </c>
      <c r="BM27" s="47">
        <f t="shared" si="17"/>
        <v>50.304868740529272</v>
      </c>
      <c r="BN27" s="47">
        <f t="shared" si="17"/>
        <v>50.45071896548793</v>
      </c>
    </row>
    <row r="28" spans="1:66" x14ac:dyDescent="0.25">
      <c r="A28" t="str">
        <f>'IPCC Categories'!A59</f>
        <v>3C Aggregated and non-CO2 emissions on land</v>
      </c>
      <c r="B28" t="str">
        <f>'IPCC Categories'!B59</f>
        <v>3C1 Biomass burning (CH4)</v>
      </c>
      <c r="C28" t="str">
        <f>'IPCC Categories'!C59</f>
        <v>3C1a Biomass burning in forest land</v>
      </c>
      <c r="D28" t="s">
        <v>121</v>
      </c>
      <c r="E28" t="s">
        <v>286</v>
      </c>
      <c r="F28" s="22">
        <f>SUMIF(Emissions!$C$54:$C$69,'Emissions summary'!$C28,Emissions!H$54:H$69)</f>
        <v>17.00038365344173</v>
      </c>
      <c r="G28" s="22">
        <f>SUMIF(Emissions!$C$54:$C$69,'Emissions summary'!$C28,Emissions!I$54:I$69)</f>
        <v>17.00038365344173</v>
      </c>
      <c r="H28" s="22">
        <f>SUMIF(Emissions!$C$54:$C$69,'Emissions summary'!$C28,Emissions!J$54:J$69)</f>
        <v>17.00038365344173</v>
      </c>
      <c r="I28" s="22">
        <f>SUMIF(Emissions!$C$54:$C$69,'Emissions summary'!$C28,Emissions!K$54:K$69)</f>
        <v>17.00038365344173</v>
      </c>
      <c r="J28" s="22">
        <f>SUMIF(Emissions!$C$54:$C$69,'Emissions summary'!$C28,Emissions!L$54:L$69)</f>
        <v>17.00038365344173</v>
      </c>
      <c r="K28" s="22">
        <f>SUMIF(Emissions!$C$54:$C$69,'Emissions summary'!$C28,Emissions!M$54:M$69)</f>
        <v>17.00038365344173</v>
      </c>
      <c r="L28" s="22">
        <f>SUMIF(Emissions!$C$54:$C$69,'Emissions summary'!$C28,Emissions!N$54:N$69)</f>
        <v>17.00038365344173</v>
      </c>
      <c r="M28" s="22">
        <f>SUMIF(Emissions!$C$54:$C$69,'Emissions summary'!$C28,Emissions!O$54:O$69)</f>
        <v>17.00038365344173</v>
      </c>
      <c r="N28" s="22">
        <f>SUMIF(Emissions!$C$54:$C$69,'Emissions summary'!$C28,Emissions!P$54:P$69)</f>
        <v>17.00038365344173</v>
      </c>
      <c r="O28" s="22">
        <f>SUMIF(Emissions!$C$54:$C$69,'Emissions summary'!$C28,Emissions!Q$54:Q$69)</f>
        <v>17.00038365344173</v>
      </c>
      <c r="P28" s="22">
        <f>SUMIF(Emissions!$C$54:$C$69,'Emissions summary'!$C28,Emissions!R$54:R$69)</f>
        <v>16.569822193461611</v>
      </c>
      <c r="Q28" s="22">
        <f>SUMIF(Emissions!$C$54:$C$69,'Emissions summary'!$C28,Emissions!S$54:S$69)</f>
        <v>21.58066748690964</v>
      </c>
      <c r="R28" s="22">
        <f>SUMIF(Emissions!$C$54:$C$69,'Emissions summary'!$C28,Emissions!T$54:T$69)</f>
        <v>18.378408970459198</v>
      </c>
      <c r="S28" s="22">
        <f>SUMIF(Emissions!$C$54:$C$69,'Emissions summary'!$C28,Emissions!U$54:U$69)</f>
        <v>14.650554917049229</v>
      </c>
      <c r="T28" s="22">
        <f>SUMIF(Emissions!$C$54:$C$69,'Emissions summary'!$C28,Emissions!V$54:V$69)</f>
        <v>13.82246469932897</v>
      </c>
      <c r="U28" s="22">
        <f>SUMIF(Emissions!$C$54:$C$69,'Emissions summary'!$C28,Emissions!W$54:W$69)</f>
        <v>21.599133953641967</v>
      </c>
      <c r="V28" s="22">
        <f>SUMIF(Emissions!$C$54:$C$69,'Emissions summary'!$C28,Emissions!X$54:X$69)</f>
        <v>17.797777704403263</v>
      </c>
      <c r="W28" s="22">
        <f>SUMIF(Emissions!$C$54:$C$69,'Emissions summary'!$C28,Emissions!Y$54:Y$69)</f>
        <v>21.680359355173707</v>
      </c>
      <c r="X28" s="22">
        <f>SUMIF(Emissions!$C$54:$C$69,'Emissions summary'!$C28,Emissions!Z$54:Z$69)</f>
        <v>20.332068235899591</v>
      </c>
      <c r="Y28" s="22">
        <f>SUMIF(Emissions!$C$54:$C$69,'Emissions summary'!$C28,Emissions!AA$54:AA$69)</f>
        <v>15.730541423024663</v>
      </c>
      <c r="Z28" s="22">
        <f>SUMIF(Emissions!$C$54:$C$69,'Emissions summary'!$C28,Emissions!AB$54:AB$69)</f>
        <v>16.81926023646</v>
      </c>
      <c r="AA28" s="22">
        <f>SUMIF(Emissions!$C$54:$C$69,'Emissions summary'!$C28,Emissions!AC$54:AC$69)</f>
        <v>16.168604044590001</v>
      </c>
      <c r="AB28" s="22">
        <f>SUMIF(Emissions!$C$54:$C$69,'Emissions summary'!$C28,Emissions!AD$54:AD$69)</f>
        <v>11.204575160010251</v>
      </c>
      <c r="AC28" s="22">
        <f>SUMIF(Emissions!$C$54:$C$69,'Emissions summary'!$C28,Emissions!AE$54:AE$69)</f>
        <v>13.05690518017699</v>
      </c>
      <c r="AD28" s="22">
        <f>SUMIF(Emissions!$C$54:$C$69,'Emissions summary'!$C28,Emissions!AF$54:AF$69)</f>
        <v>12.302133920343731</v>
      </c>
      <c r="AE28" s="22">
        <f>SUMIF(Emissions!$C$54:$C$69,'Emissions summary'!$C28,Emissions!AG$54:AG$69)</f>
        <v>11.592685700510469</v>
      </c>
      <c r="AF28" s="22">
        <f>SUMIF(Emissions!$C$54:$C$69,'Emissions summary'!$C28,Emissions!AH$54:AH$69)</f>
        <v>11.954566760677208</v>
      </c>
      <c r="AG28" s="22">
        <f>SUMIF(Emissions!$C$54:$C$69,'Emissions summary'!$C28,Emissions!AI$54:AI$69)</f>
        <v>12.263228780843946</v>
      </c>
      <c r="AH28" s="22">
        <f>SUMIF(Emissions!$C$54:$C$69,'Emissions summary'!$C28,Emissions!AJ$54:AJ$69)</f>
        <v>12.268210641010684</v>
      </c>
      <c r="AI28" s="22">
        <f>SUMIF(Emissions!$C$54:$C$69,'Emissions summary'!$C28,Emissions!AK$54:AK$69)</f>
        <v>12.23948849988569</v>
      </c>
      <c r="AJ28" s="22">
        <f>SUMIF(Emissions!$C$54:$C$69,'Emissions summary'!$C28,Emissions!AL$54:AL$69)</f>
        <v>12.210766358760694</v>
      </c>
      <c r="AK28" s="22">
        <f>SUMIF(Emissions!$C$54:$C$69,'Emissions summary'!$C28,Emissions!AM$54:AM$69)</f>
        <v>12.182044217635699</v>
      </c>
      <c r="AL28" s="22">
        <f>SUMIF(Emissions!$C$54:$C$69,'Emissions summary'!$C28,Emissions!AN$54:AN$69)</f>
        <v>12.153322076510703</v>
      </c>
      <c r="AM28" s="22">
        <f>SUMIF(Emissions!$C$54:$C$69,'Emissions summary'!$C28,Emissions!AO$54:AO$69)</f>
        <v>12.124599935385708</v>
      </c>
      <c r="AN28" s="22">
        <f>SUMIF(Emissions!$C$54:$C$69,'Emissions summary'!$C28,Emissions!AP$54:AP$69)</f>
        <v>12.095877794260716</v>
      </c>
      <c r="AO28" s="22">
        <f>SUMIF(Emissions!$C$54:$C$69,'Emissions summary'!$C28,Emissions!AQ$54:AQ$69)</f>
        <v>12.067155653135719</v>
      </c>
      <c r="AP28" s="22">
        <f>SUMIF(Emissions!$C$54:$C$69,'Emissions summary'!$C28,Emissions!AR$54:AR$69)</f>
        <v>12.038433512010723</v>
      </c>
      <c r="AQ28" s="22">
        <f>SUMIF(Emissions!$C$54:$C$69,'Emissions summary'!$C28,Emissions!AS$54:AS$69)</f>
        <v>12.009711370885729</v>
      </c>
      <c r="AR28" s="22">
        <f>SUMIF(Emissions!$C$54:$C$69,'Emissions summary'!$C28,Emissions!AT$54:AT$69)</f>
        <v>11.980989229760732</v>
      </c>
      <c r="AS28" s="22">
        <f>SUMIF(Emissions!$C$54:$C$69,'Emissions summary'!$C28,Emissions!AU$54:AU$69)</f>
        <v>11.952267088635738</v>
      </c>
      <c r="AT28" s="22">
        <f>SUMIF(Emissions!$C$54:$C$69,'Emissions summary'!$C28,Emissions!AV$54:AV$69)</f>
        <v>11.923544947510743</v>
      </c>
      <c r="AU28" s="22">
        <f>SUMIF(Emissions!$C$54:$C$69,'Emissions summary'!$C28,Emissions!AW$54:AW$69)</f>
        <v>11.881226167028043</v>
      </c>
      <c r="AV28" s="22">
        <f>SUMIF(Emissions!$C$54:$C$69,'Emissions summary'!$C28,Emissions!AX$54:AX$69)</f>
        <v>11.838907386545339</v>
      </c>
      <c r="AW28" s="22">
        <f>SUMIF(Emissions!$C$54:$C$69,'Emissions summary'!$C28,Emissions!AY$54:AY$69)</f>
        <v>11.796588606062636</v>
      </c>
      <c r="AX28" s="22">
        <f>SUMIF(Emissions!$C$54:$C$69,'Emissions summary'!$C28,Emissions!AZ$54:AZ$69)</f>
        <v>11.754269825579936</v>
      </c>
      <c r="AY28" s="22">
        <f>SUMIF(Emissions!$C$54:$C$69,'Emissions summary'!$C28,Emissions!BA$54:BA$69)</f>
        <v>11.711951045097234</v>
      </c>
      <c r="AZ28" s="22">
        <f>SUMIF(Emissions!$C$54:$C$69,'Emissions summary'!$C28,Emissions!BB$54:BB$69)</f>
        <v>11.669632264614533</v>
      </c>
      <c r="BA28" s="22">
        <f>SUMIF(Emissions!$C$54:$C$69,'Emissions summary'!$C28,Emissions!BC$54:BC$69)</f>
        <v>11.627313484131829</v>
      </c>
      <c r="BB28" s="22">
        <f>SUMIF(Emissions!$C$54:$C$69,'Emissions summary'!$C28,Emissions!BD$54:BD$69)</f>
        <v>11.584994703649127</v>
      </c>
      <c r="BC28" s="22">
        <f>SUMIF(Emissions!$C$54:$C$69,'Emissions summary'!$C28,Emissions!BE$54:BE$69)</f>
        <v>11.52907928380872</v>
      </c>
      <c r="BD28" s="22">
        <f>SUMIF(Emissions!$C$54:$C$69,'Emissions summary'!$C28,Emissions!BF$54:BF$69)</f>
        <v>11.473163863968312</v>
      </c>
      <c r="BE28" s="22">
        <f>SUMIF(Emissions!$C$54:$C$69,'Emissions summary'!$C28,Emissions!BG$54:BG$69)</f>
        <v>11.4172484441279</v>
      </c>
      <c r="BF28" s="22">
        <f>SUMIF(Emissions!$C$54:$C$69,'Emissions summary'!$C28,Emissions!BH$54:BH$69)</f>
        <v>11.361333024287493</v>
      </c>
      <c r="BG28" s="22">
        <f>SUMIF(Emissions!$C$54:$C$69,'Emissions summary'!$C28,Emissions!BI$54:BI$69)</f>
        <v>11.305417604447085</v>
      </c>
      <c r="BH28" s="22">
        <f>SUMIF(Emissions!$C$54:$C$69,'Emissions summary'!$C28,Emissions!BJ$54:BJ$69)</f>
        <v>11.249502184606676</v>
      </c>
      <c r="BI28" s="22">
        <f>SUMIF(Emissions!$C$54:$C$69,'Emissions summary'!$C28,Emissions!BK$54:BK$69)</f>
        <v>11.193586764766268</v>
      </c>
      <c r="BJ28" s="22">
        <f>SUMIF(Emissions!$C$54:$C$69,'Emissions summary'!$C28,Emissions!BL$54:BL$69)</f>
        <v>11.13767134492586</v>
      </c>
      <c r="BK28" s="22">
        <f>SUMIF(Emissions!$C$54:$C$69,'Emissions summary'!$C28,Emissions!BM$54:BM$69)</f>
        <v>11.081755925085453</v>
      </c>
      <c r="BL28" s="22">
        <f>SUMIF(Emissions!$C$54:$C$69,'Emissions summary'!$C28,Emissions!BN$54:BN$69)</f>
        <v>11.025840505245043</v>
      </c>
      <c r="BM28" s="22">
        <f>SUMIF(Emissions!$C$54:$C$69,'Emissions summary'!$C28,Emissions!BO$54:BO$69)</f>
        <v>10.969925085404636</v>
      </c>
      <c r="BN28" s="22">
        <f>SUMIF(Emissions!$C$54:$C$69,'Emissions summary'!$C28,Emissions!BP$54:BP$69)</f>
        <v>10.914009665564226</v>
      </c>
    </row>
    <row r="29" spans="1:66" x14ac:dyDescent="0.25">
      <c r="A29" t="str">
        <f>A28</f>
        <v>3C Aggregated and non-CO2 emissions on land</v>
      </c>
      <c r="B29" t="str">
        <f>B28</f>
        <v>3C1 Biomass burning (CH4)</v>
      </c>
      <c r="C29" t="str">
        <f>'IPCC Categories'!C60</f>
        <v>3C1b Biomass burning in Croplands</v>
      </c>
      <c r="D29" t="str">
        <f>D28</f>
        <v>CH4</v>
      </c>
      <c r="E29" t="str">
        <f>E28</f>
        <v>Gg CH4</v>
      </c>
      <c r="F29" s="22">
        <f>SUMIF(Emissions!$C$54:$C$69,'Emissions summary'!$C29,Emissions!H$54:H$69)</f>
        <v>10.116490581610325</v>
      </c>
      <c r="G29" s="22">
        <f>SUMIF(Emissions!$C$54:$C$69,'Emissions summary'!$C29,Emissions!I$54:I$69)</f>
        <v>10.116490581610325</v>
      </c>
      <c r="H29" s="22">
        <f>SUMIF(Emissions!$C$54:$C$69,'Emissions summary'!$C29,Emissions!J$54:J$69)</f>
        <v>10.116490581610325</v>
      </c>
      <c r="I29" s="22">
        <f>SUMIF(Emissions!$C$54:$C$69,'Emissions summary'!$C29,Emissions!K$54:K$69)</f>
        <v>10.116490581610325</v>
      </c>
      <c r="J29" s="22">
        <f>SUMIF(Emissions!$C$54:$C$69,'Emissions summary'!$C29,Emissions!L$54:L$69)</f>
        <v>10.116490581610325</v>
      </c>
      <c r="K29" s="22">
        <f>SUMIF(Emissions!$C$54:$C$69,'Emissions summary'!$C29,Emissions!M$54:M$69)</f>
        <v>10.116490581610325</v>
      </c>
      <c r="L29" s="22">
        <f>SUMIF(Emissions!$C$54:$C$69,'Emissions summary'!$C29,Emissions!N$54:N$69)</f>
        <v>10.116490581610325</v>
      </c>
      <c r="M29" s="22">
        <f>SUMIF(Emissions!$C$54:$C$69,'Emissions summary'!$C29,Emissions!O$54:O$69)</f>
        <v>10.116490581610325</v>
      </c>
      <c r="N29" s="22">
        <f>SUMIF(Emissions!$C$54:$C$69,'Emissions summary'!$C29,Emissions!P$54:P$69)</f>
        <v>10.116490581610325</v>
      </c>
      <c r="O29" s="22">
        <f>SUMIF(Emissions!$C$54:$C$69,'Emissions summary'!$C29,Emissions!Q$54:Q$69)</f>
        <v>10.116490581610325</v>
      </c>
      <c r="P29" s="22">
        <f>SUMIF(Emissions!$C$54:$C$69,'Emissions summary'!$C29,Emissions!R$54:R$69)</f>
        <v>10.51046399228327</v>
      </c>
      <c r="Q29" s="22">
        <f>SUMIF(Emissions!$C$54:$C$69,'Emissions summary'!$C29,Emissions!S$54:S$69)</f>
        <v>10.882894026282271</v>
      </c>
      <c r="R29" s="22">
        <f>SUMIF(Emissions!$C$54:$C$69,'Emissions summary'!$C29,Emissions!T$54:T$69)</f>
        <v>11.945235434738436</v>
      </c>
      <c r="S29" s="22">
        <f>SUMIF(Emissions!$C$54:$C$69,'Emissions summary'!$C29,Emissions!U$54:U$69)</f>
        <v>9.2981039284457765</v>
      </c>
      <c r="T29" s="22">
        <f>SUMIF(Emissions!$C$54:$C$69,'Emissions summary'!$C29,Emissions!V$54:V$69)</f>
        <v>7.9457555263018627</v>
      </c>
      <c r="U29" s="22">
        <f>SUMIF(Emissions!$C$54:$C$69,'Emissions summary'!$C29,Emissions!W$54:W$69)</f>
        <v>13.860153794562336</v>
      </c>
      <c r="V29" s="22">
        <f>SUMIF(Emissions!$C$54:$C$69,'Emissions summary'!$C29,Emissions!X$54:X$69)</f>
        <v>13.058600630053951</v>
      </c>
      <c r="W29" s="22">
        <f>SUMIF(Emissions!$C$54:$C$69,'Emissions summary'!$C29,Emissions!Y$54:Y$69)</f>
        <v>10.476884235119428</v>
      </c>
      <c r="X29" s="22">
        <f>SUMIF(Emissions!$C$54:$C$69,'Emissions summary'!$C29,Emissions!Z$54:Z$69)</f>
        <v>9.4298063526468283</v>
      </c>
      <c r="Y29" s="22">
        <f>SUMIF(Emissions!$C$54:$C$69,'Emissions summary'!$C29,Emissions!AA$54:AA$69)</f>
        <v>9.8044168903577642</v>
      </c>
      <c r="Z29" s="22">
        <f>SUMIF(Emissions!$C$54:$C$69,'Emissions summary'!$C29,Emissions!AB$54:AB$69)</f>
        <v>9.7783617960000022</v>
      </c>
      <c r="AA29" s="22">
        <f>SUMIF(Emissions!$C$54:$C$69,'Emissions summary'!$C29,Emissions!AC$54:AC$69)</f>
        <v>9.4288811400000014</v>
      </c>
      <c r="AB29" s="22">
        <f>SUMIF(Emissions!$C$54:$C$69,'Emissions summary'!$C29,Emissions!AD$54:AD$69)</f>
        <v>8.929388994926228</v>
      </c>
      <c r="AC29" s="22">
        <f>SUMIF(Emissions!$C$54:$C$69,'Emissions summary'!$C29,Emissions!AE$54:AE$69)</f>
        <v>8.9289309923184508</v>
      </c>
      <c r="AD29" s="22">
        <f>SUMIF(Emissions!$C$54:$C$69,'Emissions summary'!$C29,Emissions!AF$54:AF$69)</f>
        <v>8.9284729897106754</v>
      </c>
      <c r="AE29" s="22">
        <f>SUMIF(Emissions!$C$54:$C$69,'Emissions summary'!$C29,Emissions!AG$54:AG$69)</f>
        <v>8.9280149871028947</v>
      </c>
      <c r="AF29" s="22">
        <f>SUMIF(Emissions!$C$54:$C$69,'Emissions summary'!$C29,Emissions!AH$54:AH$69)</f>
        <v>8.9275569844951157</v>
      </c>
      <c r="AG29" s="22">
        <f>SUMIF(Emissions!$C$54:$C$69,'Emissions summary'!$C29,Emissions!AI$54:AI$69)</f>
        <v>8.9270989818873403</v>
      </c>
      <c r="AH29" s="22">
        <f>SUMIF(Emissions!$C$54:$C$69,'Emissions summary'!$C29,Emissions!AJ$54:AJ$69)</f>
        <v>8.9266409792795596</v>
      </c>
      <c r="AI29" s="22">
        <f>SUMIF(Emissions!$C$54:$C$69,'Emissions summary'!$C29,Emissions!AK$54:AK$69)</f>
        <v>8.926182976671786</v>
      </c>
      <c r="AJ29" s="22">
        <f>SUMIF(Emissions!$C$54:$C$69,'Emissions summary'!$C29,Emissions!AL$54:AL$69)</f>
        <v>8.925724974064007</v>
      </c>
      <c r="AK29" s="22">
        <f>SUMIF(Emissions!$C$54:$C$69,'Emissions summary'!$C29,Emissions!AM$54:AM$69)</f>
        <v>8.925266971456228</v>
      </c>
      <c r="AL29" s="22">
        <f>SUMIF(Emissions!$C$54:$C$69,'Emissions summary'!$C29,Emissions!AN$54:AN$69)</f>
        <v>8.9248089688484491</v>
      </c>
      <c r="AM29" s="22">
        <f>SUMIF(Emissions!$C$54:$C$69,'Emissions summary'!$C29,Emissions!AO$54:AO$69)</f>
        <v>8.9243509662406719</v>
      </c>
      <c r="AN29" s="22">
        <f>SUMIF(Emissions!$C$54:$C$69,'Emissions summary'!$C29,Emissions!AP$54:AP$69)</f>
        <v>8.9238929636328947</v>
      </c>
      <c r="AO29" s="22">
        <f>SUMIF(Emissions!$C$54:$C$69,'Emissions summary'!$C29,Emissions!AQ$54:AQ$69)</f>
        <v>8.9234349610251176</v>
      </c>
      <c r="AP29" s="22">
        <f>SUMIF(Emissions!$C$54:$C$69,'Emissions summary'!$C29,Emissions!AR$54:AR$69)</f>
        <v>8.9229769584173386</v>
      </c>
      <c r="AQ29" s="22">
        <f>SUMIF(Emissions!$C$54:$C$69,'Emissions summary'!$C29,Emissions!AS$54:AS$69)</f>
        <v>8.9225189558095614</v>
      </c>
      <c r="AR29" s="22">
        <f>SUMIF(Emissions!$C$54:$C$69,'Emissions summary'!$C29,Emissions!AT$54:AT$69)</f>
        <v>8.9220609532017825</v>
      </c>
      <c r="AS29" s="22">
        <f>SUMIF(Emissions!$C$54:$C$69,'Emissions summary'!$C29,Emissions!AU$54:AU$69)</f>
        <v>8.9216029505940071</v>
      </c>
      <c r="AT29" s="22">
        <f>SUMIF(Emissions!$C$54:$C$69,'Emissions summary'!$C29,Emissions!AV$54:AV$69)</f>
        <v>8.9211449479862281</v>
      </c>
      <c r="AU29" s="22">
        <f>SUMIF(Emissions!$C$54:$C$69,'Emissions summary'!$C29,Emissions!AW$54:AW$69)</f>
        <v>8.9206869453784492</v>
      </c>
      <c r="AV29" s="22">
        <f>SUMIF(Emissions!$C$54:$C$69,'Emissions summary'!$C29,Emissions!AX$54:AX$69)</f>
        <v>8.920228942770672</v>
      </c>
      <c r="AW29" s="22">
        <f>SUMIF(Emissions!$C$54:$C$69,'Emissions summary'!$C29,Emissions!AY$54:AY$69)</f>
        <v>8.9197709401628948</v>
      </c>
      <c r="AX29" s="22">
        <f>SUMIF(Emissions!$C$54:$C$69,'Emissions summary'!$C29,Emissions!AZ$54:AZ$69)</f>
        <v>8.9193129375551177</v>
      </c>
      <c r="AY29" s="22">
        <f>SUMIF(Emissions!$C$54:$C$69,'Emissions summary'!$C29,Emissions!BA$54:BA$69)</f>
        <v>8.9188549349473387</v>
      </c>
      <c r="AZ29" s="22">
        <f>SUMIF(Emissions!$C$54:$C$69,'Emissions summary'!$C29,Emissions!BB$54:BB$69)</f>
        <v>8.9183969323395598</v>
      </c>
      <c r="BA29" s="22">
        <f>SUMIF(Emissions!$C$54:$C$69,'Emissions summary'!$C29,Emissions!BC$54:BC$69)</f>
        <v>8.9179389297317826</v>
      </c>
      <c r="BB29" s="22">
        <f>SUMIF(Emissions!$C$54:$C$69,'Emissions summary'!$C29,Emissions!BD$54:BD$69)</f>
        <v>8.9174809271240072</v>
      </c>
      <c r="BC29" s="22">
        <f>SUMIF(Emissions!$C$54:$C$69,'Emissions summary'!$C29,Emissions!BE$54:BE$69)</f>
        <v>8.9170229245162282</v>
      </c>
      <c r="BD29" s="22">
        <f>SUMIF(Emissions!$C$54:$C$69,'Emissions summary'!$C29,Emissions!BF$54:BF$69)</f>
        <v>8.9165649219084475</v>
      </c>
      <c r="BE29" s="22">
        <f>SUMIF(Emissions!$C$54:$C$69,'Emissions summary'!$C29,Emissions!BG$54:BG$69)</f>
        <v>8.9161069193006721</v>
      </c>
      <c r="BF29" s="22">
        <f>SUMIF(Emissions!$C$54:$C$69,'Emissions summary'!$C29,Emissions!BH$54:BH$69)</f>
        <v>8.9156489166928932</v>
      </c>
      <c r="BG29" s="22">
        <f>SUMIF(Emissions!$C$54:$C$69,'Emissions summary'!$C29,Emissions!BI$54:BI$69)</f>
        <v>8.915190914085116</v>
      </c>
      <c r="BH29" s="22">
        <f>SUMIF(Emissions!$C$54:$C$69,'Emissions summary'!$C29,Emissions!BJ$54:BJ$69)</f>
        <v>8.9147329114773388</v>
      </c>
      <c r="BI29" s="22">
        <f>SUMIF(Emissions!$C$54:$C$69,'Emissions summary'!$C29,Emissions!BK$54:BK$69)</f>
        <v>8.9142749088695599</v>
      </c>
      <c r="BJ29" s="22">
        <f>SUMIF(Emissions!$C$54:$C$69,'Emissions summary'!$C29,Emissions!BL$54:BL$69)</f>
        <v>8.9138169062617827</v>
      </c>
      <c r="BK29" s="22">
        <f>SUMIF(Emissions!$C$54:$C$69,'Emissions summary'!$C29,Emissions!BM$54:BM$69)</f>
        <v>8.9133589036540037</v>
      </c>
      <c r="BL29" s="22">
        <f>SUMIF(Emissions!$C$54:$C$69,'Emissions summary'!$C29,Emissions!BN$54:BN$69)</f>
        <v>8.9129009010462266</v>
      </c>
      <c r="BM29" s="22">
        <f>SUMIF(Emissions!$C$54:$C$69,'Emissions summary'!$C29,Emissions!BO$54:BO$69)</f>
        <v>8.9124428984384494</v>
      </c>
      <c r="BN29" s="22">
        <f>SUMIF(Emissions!$C$54:$C$69,'Emissions summary'!$C29,Emissions!BP$54:BP$69)</f>
        <v>8.9119848958306704</v>
      </c>
    </row>
    <row r="30" spans="1:66" x14ac:dyDescent="0.25">
      <c r="A30" t="str">
        <f t="shared" ref="A30:B46" si="18">A29</f>
        <v>3C Aggregated and non-CO2 emissions on land</v>
      </c>
      <c r="B30" t="str">
        <f t="shared" ref="B30:B33" si="19">B29</f>
        <v>3C1 Biomass burning (CH4)</v>
      </c>
      <c r="C30" t="str">
        <f>'IPCC Categories'!C61</f>
        <v>3C1c Biomass burning in Grasslands</v>
      </c>
      <c r="D30" t="str">
        <f t="shared" ref="D30:E33" si="20">D29</f>
        <v>CH4</v>
      </c>
      <c r="E30" t="str">
        <f t="shared" si="20"/>
        <v>Gg CH4</v>
      </c>
      <c r="F30" s="22">
        <f>SUMIF(Emissions!$C$54:$C$69,'Emissions summary'!$C30,Emissions!H$54:H$69)</f>
        <v>24.633908128575744</v>
      </c>
      <c r="G30" s="22">
        <f>SUMIF(Emissions!$C$54:$C$69,'Emissions summary'!$C30,Emissions!I$54:I$69)</f>
        <v>24.633908128575744</v>
      </c>
      <c r="H30" s="22">
        <f>SUMIF(Emissions!$C$54:$C$69,'Emissions summary'!$C30,Emissions!J$54:J$69)</f>
        <v>24.633908128575744</v>
      </c>
      <c r="I30" s="22">
        <f>SUMIF(Emissions!$C$54:$C$69,'Emissions summary'!$C30,Emissions!K$54:K$69)</f>
        <v>24.633908128575744</v>
      </c>
      <c r="J30" s="22">
        <f>SUMIF(Emissions!$C$54:$C$69,'Emissions summary'!$C30,Emissions!L$54:L$69)</f>
        <v>24.633908128575744</v>
      </c>
      <c r="K30" s="22">
        <f>SUMIF(Emissions!$C$54:$C$69,'Emissions summary'!$C30,Emissions!M$54:M$69)</f>
        <v>24.633908128575744</v>
      </c>
      <c r="L30" s="22">
        <f>SUMIF(Emissions!$C$54:$C$69,'Emissions summary'!$C30,Emissions!N$54:N$69)</f>
        <v>24.633908128575744</v>
      </c>
      <c r="M30" s="22">
        <f>SUMIF(Emissions!$C$54:$C$69,'Emissions summary'!$C30,Emissions!O$54:O$69)</f>
        <v>24.633908128575744</v>
      </c>
      <c r="N30" s="22">
        <f>SUMIF(Emissions!$C$54:$C$69,'Emissions summary'!$C30,Emissions!P$54:P$69)</f>
        <v>24.633908128575744</v>
      </c>
      <c r="O30" s="22">
        <f>SUMIF(Emissions!$C$54:$C$69,'Emissions summary'!$C30,Emissions!Q$54:Q$69)</f>
        <v>24.633908128575744</v>
      </c>
      <c r="P30" s="22">
        <f>SUMIF(Emissions!$C$54:$C$69,'Emissions summary'!$C30,Emissions!R$54:R$69)</f>
        <v>24.22100971223729</v>
      </c>
      <c r="Q30" s="22">
        <f>SUMIF(Emissions!$C$54:$C$69,'Emissions summary'!$C30,Emissions!S$54:S$69)</f>
        <v>27.159665944327305</v>
      </c>
      <c r="R30" s="22">
        <f>SUMIF(Emissions!$C$54:$C$69,'Emissions summary'!$C30,Emissions!T$54:T$69)</f>
        <v>29.557460778373962</v>
      </c>
      <c r="S30" s="22">
        <f>SUMIF(Emissions!$C$54:$C$69,'Emissions summary'!$C30,Emissions!U$54:U$69)</f>
        <v>22.967890703903489</v>
      </c>
      <c r="T30" s="22">
        <f>SUMIF(Emissions!$C$54:$C$69,'Emissions summary'!$C30,Emissions!V$54:V$69)</f>
        <v>19.263513504036663</v>
      </c>
      <c r="U30" s="22">
        <f>SUMIF(Emissions!$C$54:$C$69,'Emissions summary'!$C30,Emissions!W$54:W$69)</f>
        <v>29.989609054359072</v>
      </c>
      <c r="V30" s="22">
        <f>SUMIF(Emissions!$C$54:$C$69,'Emissions summary'!$C30,Emissions!X$54:X$69)</f>
        <v>26.44988664148541</v>
      </c>
      <c r="W30" s="22">
        <f>SUMIF(Emissions!$C$54:$C$69,'Emissions summary'!$C30,Emissions!Y$54:Y$69)</f>
        <v>24.310343671009509</v>
      </c>
      <c r="X30" s="22">
        <f>SUMIF(Emissions!$C$54:$C$69,'Emissions summary'!$C30,Emissions!Z$54:Z$69)</f>
        <v>23.321518510517112</v>
      </c>
      <c r="Y30" s="22">
        <f>SUMIF(Emissions!$C$54:$C$69,'Emissions summary'!$C30,Emissions!AA$54:AA$69)</f>
        <v>24.458614831490095</v>
      </c>
      <c r="Z30" s="22">
        <f>SUMIF(Emissions!$C$54:$C$69,'Emissions summary'!$C30,Emissions!AB$54:AB$69)</f>
        <v>24.608200366439995</v>
      </c>
      <c r="AA30" s="22">
        <f>SUMIF(Emissions!$C$54:$C$69,'Emissions summary'!$C30,Emissions!AC$54:AC$69)</f>
        <v>25.000606435391994</v>
      </c>
      <c r="AB30" s="22">
        <f>SUMIF(Emissions!$C$54:$C$69,'Emissions summary'!$C30,Emissions!AD$54:AD$69)</f>
        <v>22.211168240472922</v>
      </c>
      <c r="AC30" s="22">
        <f>SUMIF(Emissions!$C$54:$C$69,'Emissions summary'!$C30,Emissions!AE$54:AE$69)</f>
        <v>22.3255420719256</v>
      </c>
      <c r="AD30" s="22">
        <f>SUMIF(Emissions!$C$54:$C$69,'Emissions summary'!$C30,Emissions!AF$54:AF$69)</f>
        <v>22.439915903378274</v>
      </c>
      <c r="AE30" s="22">
        <f>SUMIF(Emissions!$C$54:$C$69,'Emissions summary'!$C30,Emissions!AG$54:AG$69)</f>
        <v>22.554289734830945</v>
      </c>
      <c r="AF30" s="22">
        <f>SUMIF(Emissions!$C$54:$C$69,'Emissions summary'!$C30,Emissions!AH$54:AH$69)</f>
        <v>22.668663566283627</v>
      </c>
      <c r="AG30" s="22">
        <f>SUMIF(Emissions!$C$54:$C$69,'Emissions summary'!$C30,Emissions!AI$54:AI$69)</f>
        <v>22.783037397736297</v>
      </c>
      <c r="AH30" s="22">
        <f>SUMIF(Emissions!$C$54:$C$69,'Emissions summary'!$C30,Emissions!AJ$54:AJ$69)</f>
        <v>22.897411229188972</v>
      </c>
      <c r="AI30" s="22">
        <f>SUMIF(Emissions!$C$54:$C$69,'Emissions summary'!$C30,Emissions!AK$54:AK$69)</f>
        <v>23.095209192169019</v>
      </c>
      <c r="AJ30" s="22">
        <f>SUMIF(Emissions!$C$54:$C$69,'Emissions summary'!$C30,Emissions!AL$54:AL$69)</f>
        <v>23.293007155149056</v>
      </c>
      <c r="AK30" s="22">
        <f>SUMIF(Emissions!$C$54:$C$69,'Emissions summary'!$C30,Emissions!AM$54:AM$69)</f>
        <v>23.490805118129099</v>
      </c>
      <c r="AL30" s="22">
        <f>SUMIF(Emissions!$C$54:$C$69,'Emissions summary'!$C30,Emissions!AN$54:AN$69)</f>
        <v>23.688603081109136</v>
      </c>
      <c r="AM30" s="22">
        <f>SUMIF(Emissions!$C$54:$C$69,'Emissions summary'!$C30,Emissions!AO$54:AO$69)</f>
        <v>23.886401044089183</v>
      </c>
      <c r="AN30" s="22">
        <f>SUMIF(Emissions!$C$54:$C$69,'Emissions summary'!$C30,Emissions!AP$54:AP$69)</f>
        <v>24.08419900706922</v>
      </c>
      <c r="AO30" s="22">
        <f>SUMIF(Emissions!$C$54:$C$69,'Emissions summary'!$C30,Emissions!AQ$54:AQ$69)</f>
        <v>24.281996970049263</v>
      </c>
      <c r="AP30" s="22">
        <f>SUMIF(Emissions!$C$54:$C$69,'Emissions summary'!$C30,Emissions!AR$54:AR$69)</f>
        <v>24.479794933029304</v>
      </c>
      <c r="AQ30" s="22">
        <f>SUMIF(Emissions!$C$54:$C$69,'Emissions summary'!$C30,Emissions!AS$54:AS$69)</f>
        <v>24.677592896009344</v>
      </c>
      <c r="AR30" s="22">
        <f>SUMIF(Emissions!$C$54:$C$69,'Emissions summary'!$C30,Emissions!AT$54:AT$69)</f>
        <v>24.875390858989384</v>
      </c>
      <c r="AS30" s="22">
        <f>SUMIF(Emissions!$C$54:$C$69,'Emissions summary'!$C30,Emissions!AU$54:AU$69)</f>
        <v>25.073188821969428</v>
      </c>
      <c r="AT30" s="22">
        <f>SUMIF(Emissions!$C$54:$C$69,'Emissions summary'!$C30,Emissions!AV$54:AV$69)</f>
        <v>25.270986784949468</v>
      </c>
      <c r="AU30" s="22">
        <f>SUMIF(Emissions!$C$54:$C$69,'Emissions summary'!$C30,Emissions!AW$54:AW$69)</f>
        <v>25.472302246869535</v>
      </c>
      <c r="AV30" s="22">
        <f>SUMIF(Emissions!$C$54:$C$69,'Emissions summary'!$C30,Emissions!AX$54:AX$69)</f>
        <v>25.6736177087896</v>
      </c>
      <c r="AW30" s="22">
        <f>SUMIF(Emissions!$C$54:$C$69,'Emissions summary'!$C30,Emissions!AY$54:AY$69)</f>
        <v>25.874933170709671</v>
      </c>
      <c r="AX30" s="22">
        <f>SUMIF(Emissions!$C$54:$C$69,'Emissions summary'!$C30,Emissions!AZ$54:AZ$69)</f>
        <v>26.076248632629738</v>
      </c>
      <c r="AY30" s="22">
        <f>SUMIF(Emissions!$C$54:$C$69,'Emissions summary'!$C30,Emissions!BA$54:BA$69)</f>
        <v>26.277564094549799</v>
      </c>
      <c r="AZ30" s="22">
        <f>SUMIF(Emissions!$C$54:$C$69,'Emissions summary'!$C30,Emissions!BB$54:BB$69)</f>
        <v>26.47887955646987</v>
      </c>
      <c r="BA30" s="22">
        <f>SUMIF(Emissions!$C$54:$C$69,'Emissions summary'!$C30,Emissions!BC$54:BC$69)</f>
        <v>26.680195018389934</v>
      </c>
      <c r="BB30" s="22">
        <f>SUMIF(Emissions!$C$54:$C$69,'Emissions summary'!$C30,Emissions!BD$54:BD$69)</f>
        <v>26.881510480309998</v>
      </c>
      <c r="BC30" s="22">
        <f>SUMIF(Emissions!$C$54:$C$69,'Emissions summary'!$C30,Emissions!BE$54:BE$69)</f>
        <v>27.082825942230066</v>
      </c>
      <c r="BD30" s="22">
        <f>SUMIF(Emissions!$C$54:$C$69,'Emissions summary'!$C30,Emissions!BF$54:BF$69)</f>
        <v>27.28414140415013</v>
      </c>
      <c r="BE30" s="22">
        <f>SUMIF(Emissions!$C$54:$C$69,'Emissions summary'!$C30,Emissions!BG$54:BG$69)</f>
        <v>27.485456866070198</v>
      </c>
      <c r="BF30" s="22">
        <f>SUMIF(Emissions!$C$54:$C$69,'Emissions summary'!$C30,Emissions!BH$54:BH$69)</f>
        <v>27.686772327990262</v>
      </c>
      <c r="BG30" s="22">
        <f>SUMIF(Emissions!$C$54:$C$69,'Emissions summary'!$C30,Emissions!BI$54:BI$69)</f>
        <v>27.88808778991033</v>
      </c>
      <c r="BH30" s="22">
        <f>SUMIF(Emissions!$C$54:$C$69,'Emissions summary'!$C30,Emissions!BJ$54:BJ$69)</f>
        <v>28.089403251830397</v>
      </c>
      <c r="BI30" s="22">
        <f>SUMIF(Emissions!$C$54:$C$69,'Emissions summary'!$C30,Emissions!BK$54:BK$69)</f>
        <v>28.290718713750465</v>
      </c>
      <c r="BJ30" s="22">
        <f>SUMIF(Emissions!$C$54:$C$69,'Emissions summary'!$C30,Emissions!BL$54:BL$69)</f>
        <v>28.492034175670533</v>
      </c>
      <c r="BK30" s="22">
        <f>SUMIF(Emissions!$C$54:$C$69,'Emissions summary'!$C30,Emissions!BM$54:BM$69)</f>
        <v>28.6933496375906</v>
      </c>
      <c r="BL30" s="22">
        <f>SUMIF(Emissions!$C$54:$C$69,'Emissions summary'!$C30,Emissions!BN$54:BN$69)</f>
        <v>28.894665099510664</v>
      </c>
      <c r="BM30" s="22">
        <f>SUMIF(Emissions!$C$54:$C$69,'Emissions summary'!$C30,Emissions!BO$54:BO$69)</f>
        <v>29.095980561430732</v>
      </c>
      <c r="BN30" s="22">
        <f>SUMIF(Emissions!$C$54:$C$69,'Emissions summary'!$C30,Emissions!BP$54:BP$69)</f>
        <v>29.2972960233508</v>
      </c>
    </row>
    <row r="31" spans="1:66" x14ac:dyDescent="0.25">
      <c r="A31" t="str">
        <f t="shared" si="18"/>
        <v>3C Aggregated and non-CO2 emissions on land</v>
      </c>
      <c r="B31" t="str">
        <f t="shared" si="19"/>
        <v>3C1 Biomass burning (CH4)</v>
      </c>
      <c r="C31" t="str">
        <f>'IPCC Categories'!C62</f>
        <v>3C1d Biomass burning in Wetlands</v>
      </c>
      <c r="D31" t="str">
        <f t="shared" si="20"/>
        <v>CH4</v>
      </c>
      <c r="E31" t="str">
        <f t="shared" si="20"/>
        <v>Gg CH4</v>
      </c>
      <c r="F31" s="22">
        <f>SUMIF(Emissions!$C$54:$C$69,'Emissions summary'!$C31,Emissions!H$54:H$69)</f>
        <v>0.80577517347341965</v>
      </c>
      <c r="G31" s="22">
        <f>SUMIF(Emissions!$C$54:$C$69,'Emissions summary'!$C31,Emissions!I$54:I$69)</f>
        <v>0.80577517347341965</v>
      </c>
      <c r="H31" s="22">
        <f>SUMIF(Emissions!$C$54:$C$69,'Emissions summary'!$C31,Emissions!J$54:J$69)</f>
        <v>0.80577517347341965</v>
      </c>
      <c r="I31" s="22">
        <f>SUMIF(Emissions!$C$54:$C$69,'Emissions summary'!$C31,Emissions!K$54:K$69)</f>
        <v>0.80577517347341965</v>
      </c>
      <c r="J31" s="22">
        <f>SUMIF(Emissions!$C$54:$C$69,'Emissions summary'!$C31,Emissions!L$54:L$69)</f>
        <v>0.80577517347341965</v>
      </c>
      <c r="K31" s="22">
        <f>SUMIF(Emissions!$C$54:$C$69,'Emissions summary'!$C31,Emissions!M$54:M$69)</f>
        <v>0.80577517347341965</v>
      </c>
      <c r="L31" s="22">
        <f>SUMIF(Emissions!$C$54:$C$69,'Emissions summary'!$C31,Emissions!N$54:N$69)</f>
        <v>0.80577517347341965</v>
      </c>
      <c r="M31" s="22">
        <f>SUMIF(Emissions!$C$54:$C$69,'Emissions summary'!$C31,Emissions!O$54:O$69)</f>
        <v>0.80577517347341965</v>
      </c>
      <c r="N31" s="22">
        <f>SUMIF(Emissions!$C$54:$C$69,'Emissions summary'!$C31,Emissions!P$54:P$69)</f>
        <v>0.80577517347341965</v>
      </c>
      <c r="O31" s="22">
        <f>SUMIF(Emissions!$C$54:$C$69,'Emissions summary'!$C31,Emissions!Q$54:Q$69)</f>
        <v>0.80577517347341965</v>
      </c>
      <c r="P31" s="22">
        <f>SUMIF(Emissions!$C$54:$C$69,'Emissions summary'!$C31,Emissions!R$54:R$69)</f>
        <v>0.71282120012392636</v>
      </c>
      <c r="Q31" s="22">
        <f>SUMIF(Emissions!$C$54:$C$69,'Emissions summary'!$C31,Emissions!S$54:S$69)</f>
        <v>0.86099923348302065</v>
      </c>
      <c r="R31" s="22">
        <f>SUMIF(Emissions!$C$54:$C$69,'Emissions summary'!$C31,Emissions!T$54:T$69)</f>
        <v>0.97458063350276725</v>
      </c>
      <c r="S31" s="22">
        <f>SUMIF(Emissions!$C$54:$C$69,'Emissions summary'!$C31,Emissions!U$54:U$69)</f>
        <v>0.79724568902749249</v>
      </c>
      <c r="T31" s="22">
        <f>SUMIF(Emissions!$C$54:$C$69,'Emissions summary'!$C31,Emissions!V$54:V$69)</f>
        <v>0.68322911122989261</v>
      </c>
      <c r="U31" s="22">
        <f>SUMIF(Emissions!$C$54:$C$69,'Emissions summary'!$C31,Emissions!W$54:W$69)</f>
        <v>1.0109179779535291</v>
      </c>
      <c r="V31" s="22">
        <f>SUMIF(Emissions!$C$54:$C$69,'Emissions summary'!$C31,Emissions!X$54:X$69)</f>
        <v>0.89733657793378252</v>
      </c>
      <c r="W31" s="22">
        <f>SUMIF(Emissions!$C$54:$C$69,'Emissions summary'!$C31,Emissions!Y$54:Y$69)</f>
        <v>0.79050043347076437</v>
      </c>
      <c r="X31" s="22">
        <f>SUMIF(Emissions!$C$54:$C$69,'Emissions summary'!$C31,Emissions!Z$54:Z$69)</f>
        <v>0.72087198901421468</v>
      </c>
      <c r="Y31" s="22">
        <f>SUMIF(Emissions!$C$54:$C$69,'Emissions summary'!$C31,Emissions!AA$54:AA$69)</f>
        <v>0.80964825569631549</v>
      </c>
      <c r="Z31" s="22">
        <f>SUMIF(Emissions!$C$54:$C$69,'Emissions summary'!$C31,Emissions!AB$54:AB$69)</f>
        <v>1.0836294956999997</v>
      </c>
      <c r="AA31" s="22">
        <f>SUMIF(Emissions!$C$54:$C$69,'Emissions summary'!$C31,Emissions!AC$54:AC$69)</f>
        <v>1.1703623921999995</v>
      </c>
      <c r="AB31" s="22">
        <f>SUMIF(Emissions!$C$54:$C$69,'Emissions summary'!$C31,Emissions!AD$54:AD$69)</f>
        <v>0.86319492850198365</v>
      </c>
      <c r="AC31" s="22">
        <f>SUMIF(Emissions!$C$54:$C$69,'Emissions summary'!$C31,Emissions!AE$54:AE$69)</f>
        <v>0.86319492850198365</v>
      </c>
      <c r="AD31" s="22">
        <f>SUMIF(Emissions!$C$54:$C$69,'Emissions summary'!$C31,Emissions!AF$54:AF$69)</f>
        <v>0.86319492850198365</v>
      </c>
      <c r="AE31" s="22">
        <f>SUMIF(Emissions!$C$54:$C$69,'Emissions summary'!$C31,Emissions!AG$54:AG$69)</f>
        <v>0.86319492850198365</v>
      </c>
      <c r="AF31" s="22">
        <f>SUMIF(Emissions!$C$54:$C$69,'Emissions summary'!$C31,Emissions!AH$54:AH$69)</f>
        <v>0.86319492850198365</v>
      </c>
      <c r="AG31" s="22">
        <f>SUMIF(Emissions!$C$54:$C$69,'Emissions summary'!$C31,Emissions!AI$54:AI$69)</f>
        <v>0.86319492850198365</v>
      </c>
      <c r="AH31" s="22">
        <f>SUMIF(Emissions!$C$54:$C$69,'Emissions summary'!$C31,Emissions!AJ$54:AJ$69)</f>
        <v>0.86319492850198365</v>
      </c>
      <c r="AI31" s="22">
        <f>SUMIF(Emissions!$C$54:$C$69,'Emissions summary'!$C31,Emissions!AK$54:AK$69)</f>
        <v>0.86319492850198365</v>
      </c>
      <c r="AJ31" s="22">
        <f>SUMIF(Emissions!$C$54:$C$69,'Emissions summary'!$C31,Emissions!AL$54:AL$69)</f>
        <v>0.86319492850198365</v>
      </c>
      <c r="AK31" s="22">
        <f>SUMIF(Emissions!$C$54:$C$69,'Emissions summary'!$C31,Emissions!AM$54:AM$69)</f>
        <v>0.86319492850198365</v>
      </c>
      <c r="AL31" s="22">
        <f>SUMIF(Emissions!$C$54:$C$69,'Emissions summary'!$C31,Emissions!AN$54:AN$69)</f>
        <v>0.86319492850198365</v>
      </c>
      <c r="AM31" s="22">
        <f>SUMIF(Emissions!$C$54:$C$69,'Emissions summary'!$C31,Emissions!AO$54:AO$69)</f>
        <v>0.86319492850198365</v>
      </c>
      <c r="AN31" s="22">
        <f>SUMIF(Emissions!$C$54:$C$69,'Emissions summary'!$C31,Emissions!AP$54:AP$69)</f>
        <v>0.86319492850198365</v>
      </c>
      <c r="AO31" s="22">
        <f>SUMIF(Emissions!$C$54:$C$69,'Emissions summary'!$C31,Emissions!AQ$54:AQ$69)</f>
        <v>0.86319492850198365</v>
      </c>
      <c r="AP31" s="22">
        <f>SUMIF(Emissions!$C$54:$C$69,'Emissions summary'!$C31,Emissions!AR$54:AR$69)</f>
        <v>0.86319492850198365</v>
      </c>
      <c r="AQ31" s="22">
        <f>SUMIF(Emissions!$C$54:$C$69,'Emissions summary'!$C31,Emissions!AS$54:AS$69)</f>
        <v>0.86319492850198365</v>
      </c>
      <c r="AR31" s="22">
        <f>SUMIF(Emissions!$C$54:$C$69,'Emissions summary'!$C31,Emissions!AT$54:AT$69)</f>
        <v>0.86319492850198365</v>
      </c>
      <c r="AS31" s="22">
        <f>SUMIF(Emissions!$C$54:$C$69,'Emissions summary'!$C31,Emissions!AU$54:AU$69)</f>
        <v>0.86319492850198365</v>
      </c>
      <c r="AT31" s="22">
        <f>SUMIF(Emissions!$C$54:$C$69,'Emissions summary'!$C31,Emissions!AV$54:AV$69)</f>
        <v>0.86319492850198365</v>
      </c>
      <c r="AU31" s="22">
        <f>SUMIF(Emissions!$C$54:$C$69,'Emissions summary'!$C31,Emissions!AW$54:AW$69)</f>
        <v>0.86319492850198365</v>
      </c>
      <c r="AV31" s="22">
        <f>SUMIF(Emissions!$C$54:$C$69,'Emissions summary'!$C31,Emissions!AX$54:AX$69)</f>
        <v>0.86319492850198365</v>
      </c>
      <c r="AW31" s="22">
        <f>SUMIF(Emissions!$C$54:$C$69,'Emissions summary'!$C31,Emissions!AY$54:AY$69)</f>
        <v>0.86319492850198365</v>
      </c>
      <c r="AX31" s="22">
        <f>SUMIF(Emissions!$C$54:$C$69,'Emissions summary'!$C31,Emissions!AZ$54:AZ$69)</f>
        <v>0.86319492850198365</v>
      </c>
      <c r="AY31" s="22">
        <f>SUMIF(Emissions!$C$54:$C$69,'Emissions summary'!$C31,Emissions!BA$54:BA$69)</f>
        <v>0.86319492850198365</v>
      </c>
      <c r="AZ31" s="22">
        <f>SUMIF(Emissions!$C$54:$C$69,'Emissions summary'!$C31,Emissions!BB$54:BB$69)</f>
        <v>0.86319492850198365</v>
      </c>
      <c r="BA31" s="22">
        <f>SUMIF(Emissions!$C$54:$C$69,'Emissions summary'!$C31,Emissions!BC$54:BC$69)</f>
        <v>0.86319492850198365</v>
      </c>
      <c r="BB31" s="22">
        <f>SUMIF(Emissions!$C$54:$C$69,'Emissions summary'!$C31,Emissions!BD$54:BD$69)</f>
        <v>0.86319492850198365</v>
      </c>
      <c r="BC31" s="22">
        <f>SUMIF(Emissions!$C$54:$C$69,'Emissions summary'!$C31,Emissions!BE$54:BE$69)</f>
        <v>0.86319492850198365</v>
      </c>
      <c r="BD31" s="22">
        <f>SUMIF(Emissions!$C$54:$C$69,'Emissions summary'!$C31,Emissions!BF$54:BF$69)</f>
        <v>0.86319492850198365</v>
      </c>
      <c r="BE31" s="22">
        <f>SUMIF(Emissions!$C$54:$C$69,'Emissions summary'!$C31,Emissions!BG$54:BG$69)</f>
        <v>0.86319492850198365</v>
      </c>
      <c r="BF31" s="22">
        <f>SUMIF(Emissions!$C$54:$C$69,'Emissions summary'!$C31,Emissions!BH$54:BH$69)</f>
        <v>0.86319492850198365</v>
      </c>
      <c r="BG31" s="22">
        <f>SUMIF(Emissions!$C$54:$C$69,'Emissions summary'!$C31,Emissions!BI$54:BI$69)</f>
        <v>0.86319492850198365</v>
      </c>
      <c r="BH31" s="22">
        <f>SUMIF(Emissions!$C$54:$C$69,'Emissions summary'!$C31,Emissions!BJ$54:BJ$69)</f>
        <v>0.86319492850198365</v>
      </c>
      <c r="BI31" s="22">
        <f>SUMIF(Emissions!$C$54:$C$69,'Emissions summary'!$C31,Emissions!BK$54:BK$69)</f>
        <v>0.86319492850198365</v>
      </c>
      <c r="BJ31" s="22">
        <f>SUMIF(Emissions!$C$54:$C$69,'Emissions summary'!$C31,Emissions!BL$54:BL$69)</f>
        <v>0.86319492850198365</v>
      </c>
      <c r="BK31" s="22">
        <f>SUMIF(Emissions!$C$54:$C$69,'Emissions summary'!$C31,Emissions!BM$54:BM$69)</f>
        <v>0.86319492850198365</v>
      </c>
      <c r="BL31" s="22">
        <f>SUMIF(Emissions!$C$54:$C$69,'Emissions summary'!$C31,Emissions!BN$54:BN$69)</f>
        <v>0.86319492850198365</v>
      </c>
      <c r="BM31" s="22">
        <f>SUMIF(Emissions!$C$54:$C$69,'Emissions summary'!$C31,Emissions!BO$54:BO$69)</f>
        <v>0.86319492850198365</v>
      </c>
      <c r="BN31" s="22">
        <f>SUMIF(Emissions!$C$54:$C$69,'Emissions summary'!$C31,Emissions!BP$54:BP$69)</f>
        <v>0.86319492850198365</v>
      </c>
    </row>
    <row r="32" spans="1:66" x14ac:dyDescent="0.25">
      <c r="A32" t="str">
        <f t="shared" si="18"/>
        <v>3C Aggregated and non-CO2 emissions on land</v>
      </c>
      <c r="B32" t="str">
        <f t="shared" si="19"/>
        <v>3C1 Biomass burning (CH4)</v>
      </c>
      <c r="C32" t="str">
        <f>'IPCC Categories'!C63</f>
        <v>3C1e Biomass burning in Settlements</v>
      </c>
      <c r="D32" t="str">
        <f t="shared" si="20"/>
        <v>CH4</v>
      </c>
      <c r="E32" t="str">
        <f t="shared" si="20"/>
        <v>Gg CH4</v>
      </c>
      <c r="F32" s="22">
        <f>SUMIF(Emissions!$C$54:$C$69,'Emissions summary'!$C32,Emissions!H$54:H$69)</f>
        <v>0.48879168008497798</v>
      </c>
      <c r="G32" s="22">
        <f>SUMIF(Emissions!$C$54:$C$69,'Emissions summary'!$C32,Emissions!I$54:I$69)</f>
        <v>0.48879168008497798</v>
      </c>
      <c r="H32" s="22">
        <f>SUMIF(Emissions!$C$54:$C$69,'Emissions summary'!$C32,Emissions!J$54:J$69)</f>
        <v>0.48879168008497798</v>
      </c>
      <c r="I32" s="22">
        <f>SUMIF(Emissions!$C$54:$C$69,'Emissions summary'!$C32,Emissions!K$54:K$69)</f>
        <v>0.48879168008497798</v>
      </c>
      <c r="J32" s="22">
        <f>SUMIF(Emissions!$C$54:$C$69,'Emissions summary'!$C32,Emissions!L$54:L$69)</f>
        <v>0.48879168008497798</v>
      </c>
      <c r="K32" s="22">
        <f>SUMIF(Emissions!$C$54:$C$69,'Emissions summary'!$C32,Emissions!M$54:M$69)</f>
        <v>0.48879168008497798</v>
      </c>
      <c r="L32" s="22">
        <f>SUMIF(Emissions!$C$54:$C$69,'Emissions summary'!$C32,Emissions!N$54:N$69)</f>
        <v>0.48879168008497798</v>
      </c>
      <c r="M32" s="22">
        <f>SUMIF(Emissions!$C$54:$C$69,'Emissions summary'!$C32,Emissions!O$54:O$69)</f>
        <v>0.48879168008497798</v>
      </c>
      <c r="N32" s="22">
        <f>SUMIF(Emissions!$C$54:$C$69,'Emissions summary'!$C32,Emissions!P$54:P$69)</f>
        <v>0.48879168008497798</v>
      </c>
      <c r="O32" s="22">
        <f>SUMIF(Emissions!$C$54:$C$69,'Emissions summary'!$C32,Emissions!Q$54:Q$69)</f>
        <v>0.48879168008497798</v>
      </c>
      <c r="P32" s="22">
        <f>SUMIF(Emissions!$C$54:$C$69,'Emissions summary'!$C32,Emissions!R$54:R$69)</f>
        <v>0.53244001120367745</v>
      </c>
      <c r="Q32" s="22">
        <f>SUMIF(Emissions!$C$54:$C$69,'Emissions summary'!$C32,Emissions!S$54:S$69)</f>
        <v>0.58966588899140415</v>
      </c>
      <c r="R32" s="22">
        <f>SUMIF(Emissions!$C$54:$C$69,'Emissions summary'!$C32,Emissions!T$54:T$69)</f>
        <v>0.52134297786841477</v>
      </c>
      <c r="S32" s="22">
        <f>SUMIF(Emissions!$C$54:$C$69,'Emissions summary'!$C32,Emissions!U$54:U$69)</f>
        <v>0.44975623341152487</v>
      </c>
      <c r="T32" s="22">
        <f>SUMIF(Emissions!$C$54:$C$69,'Emissions summary'!$C32,Emissions!V$54:V$69)</f>
        <v>0.35075328894986846</v>
      </c>
      <c r="U32" s="22">
        <f>SUMIF(Emissions!$C$54:$C$69,'Emissions summary'!$C32,Emissions!W$54:W$69)</f>
        <v>0.79419944458251857</v>
      </c>
      <c r="V32" s="22">
        <f>SUMIF(Emissions!$C$54:$C$69,'Emissions summary'!$C32,Emissions!X$54:X$69)</f>
        <v>0.69563167789871561</v>
      </c>
      <c r="W32" s="22">
        <f>SUMIF(Emissions!$C$54:$C$69,'Emissions summary'!$C32,Emissions!Y$54:Y$69)</f>
        <v>0.76939431124487268</v>
      </c>
      <c r="X32" s="22">
        <f>SUMIF(Emissions!$C$54:$C$69,'Emissions summary'!$C32,Emissions!Z$54:Z$69)</f>
        <v>0.47499654452702411</v>
      </c>
      <c r="Y32" s="22">
        <f>SUMIF(Emissions!$C$54:$C$69,'Emissions summary'!$C32,Emissions!AA$54:AA$69)</f>
        <v>0.5716060112104866</v>
      </c>
      <c r="Z32" s="22">
        <f>SUMIF(Emissions!$C$54:$C$69,'Emissions summary'!$C32,Emissions!AB$54:AB$69)</f>
        <v>0.42745793939999993</v>
      </c>
      <c r="AA32" s="22">
        <f>SUMIF(Emissions!$C$54:$C$69,'Emissions summary'!$C32,Emissions!AC$54:AC$69)</f>
        <v>0.29794462199999994</v>
      </c>
      <c r="AB32" s="22">
        <f>SUMIF(Emissions!$C$54:$C$69,'Emissions summary'!$C32,Emissions!AD$54:AD$69)</f>
        <v>0.42972240374246135</v>
      </c>
      <c r="AC32" s="22">
        <f>SUMIF(Emissions!$C$54:$C$69,'Emissions summary'!$C32,Emissions!AE$54:AE$69)</f>
        <v>0.43063058922924524</v>
      </c>
      <c r="AD32" s="22">
        <f>SUMIF(Emissions!$C$54:$C$69,'Emissions summary'!$C32,Emissions!AF$54:AF$69)</f>
        <v>0.43153877471602919</v>
      </c>
      <c r="AE32" s="22">
        <f>SUMIF(Emissions!$C$54:$C$69,'Emissions summary'!$C32,Emissions!AG$54:AG$69)</f>
        <v>0.43244696020281326</v>
      </c>
      <c r="AF32" s="22">
        <f>SUMIF(Emissions!$C$54:$C$69,'Emissions summary'!$C32,Emissions!AH$54:AH$69)</f>
        <v>0.43335514568959721</v>
      </c>
      <c r="AG32" s="22">
        <f>SUMIF(Emissions!$C$54:$C$69,'Emissions summary'!$C32,Emissions!AI$54:AI$69)</f>
        <v>0.43426333117638116</v>
      </c>
      <c r="AH32" s="22">
        <f>SUMIF(Emissions!$C$54:$C$69,'Emissions summary'!$C32,Emissions!AJ$54:AJ$69)</f>
        <v>0.43517151666316517</v>
      </c>
      <c r="AI32" s="22">
        <f>SUMIF(Emissions!$C$54:$C$69,'Emissions summary'!$C32,Emissions!AK$54:AK$69)</f>
        <v>0.43607970214994918</v>
      </c>
      <c r="AJ32" s="22">
        <f>SUMIF(Emissions!$C$54:$C$69,'Emissions summary'!$C32,Emissions!AL$54:AL$69)</f>
        <v>0.43698788763673319</v>
      </c>
      <c r="AK32" s="22">
        <f>SUMIF(Emissions!$C$54:$C$69,'Emissions summary'!$C32,Emissions!AM$54:AM$69)</f>
        <v>0.43789607312351719</v>
      </c>
      <c r="AL32" s="22">
        <f>SUMIF(Emissions!$C$54:$C$69,'Emissions summary'!$C32,Emissions!AN$54:AN$69)</f>
        <v>0.4388042586103012</v>
      </c>
      <c r="AM32" s="22">
        <f>SUMIF(Emissions!$C$54:$C$69,'Emissions summary'!$C32,Emissions!AO$54:AO$69)</f>
        <v>0.43971244409708521</v>
      </c>
      <c r="AN32" s="22">
        <f>SUMIF(Emissions!$C$54:$C$69,'Emissions summary'!$C32,Emissions!AP$54:AP$69)</f>
        <v>0.44062062958386911</v>
      </c>
      <c r="AO32" s="22">
        <f>SUMIF(Emissions!$C$54:$C$69,'Emissions summary'!$C32,Emissions!AQ$54:AQ$69)</f>
        <v>0.44152881507065311</v>
      </c>
      <c r="AP32" s="22">
        <f>SUMIF(Emissions!$C$54:$C$69,'Emissions summary'!$C32,Emissions!AR$54:AR$69)</f>
        <v>0.44243700055743712</v>
      </c>
      <c r="AQ32" s="22">
        <f>SUMIF(Emissions!$C$54:$C$69,'Emissions summary'!$C32,Emissions!AS$54:AS$69)</f>
        <v>0.44334518604422107</v>
      </c>
      <c r="AR32" s="22">
        <f>SUMIF(Emissions!$C$54:$C$69,'Emissions summary'!$C32,Emissions!AT$54:AT$69)</f>
        <v>0.44425337153100508</v>
      </c>
      <c r="AS32" s="22">
        <f>SUMIF(Emissions!$C$54:$C$69,'Emissions summary'!$C32,Emissions!AU$54:AU$69)</f>
        <v>0.44516155701778909</v>
      </c>
      <c r="AT32" s="22">
        <f>SUMIF(Emissions!$C$54:$C$69,'Emissions summary'!$C32,Emissions!AV$54:AV$69)</f>
        <v>0.44606974250457304</v>
      </c>
      <c r="AU32" s="22">
        <f>SUMIF(Emissions!$C$54:$C$69,'Emissions summary'!$C32,Emissions!AW$54:AW$69)</f>
        <v>0.44697792799135705</v>
      </c>
      <c r="AV32" s="22">
        <f>SUMIF(Emissions!$C$54:$C$69,'Emissions summary'!$C32,Emissions!AX$54:AX$69)</f>
        <v>0.44788611347814106</v>
      </c>
      <c r="AW32" s="22">
        <f>SUMIF(Emissions!$C$54:$C$69,'Emissions summary'!$C32,Emissions!AY$54:AY$69)</f>
        <v>0.44879429896492501</v>
      </c>
      <c r="AX32" s="22">
        <f>SUMIF(Emissions!$C$54:$C$69,'Emissions summary'!$C32,Emissions!AZ$54:AZ$69)</f>
        <v>0.44970248445170896</v>
      </c>
      <c r="AY32" s="22">
        <f>SUMIF(Emissions!$C$54:$C$69,'Emissions summary'!$C32,Emissions!BA$54:BA$69)</f>
        <v>0.45061066993849297</v>
      </c>
      <c r="AZ32" s="22">
        <f>SUMIF(Emissions!$C$54:$C$69,'Emissions summary'!$C32,Emissions!BB$54:BB$69)</f>
        <v>0.45151885542527692</v>
      </c>
      <c r="BA32" s="22">
        <f>SUMIF(Emissions!$C$54:$C$69,'Emissions summary'!$C32,Emissions!BC$54:BC$69)</f>
        <v>0.45242704091206093</v>
      </c>
      <c r="BB32" s="22">
        <f>SUMIF(Emissions!$C$54:$C$69,'Emissions summary'!$C32,Emissions!BD$54:BD$69)</f>
        <v>0.45333522639884494</v>
      </c>
      <c r="BC32" s="22">
        <f>SUMIF(Emissions!$C$54:$C$69,'Emissions summary'!$C32,Emissions!BE$54:BE$69)</f>
        <v>0.454243411885629</v>
      </c>
      <c r="BD32" s="22">
        <f>SUMIF(Emissions!$C$54:$C$69,'Emissions summary'!$C32,Emissions!BF$54:BF$69)</f>
        <v>0.45515159737241295</v>
      </c>
      <c r="BE32" s="22">
        <f>SUMIF(Emissions!$C$54:$C$69,'Emissions summary'!$C32,Emissions!BG$54:BG$69)</f>
        <v>0.4560597828591969</v>
      </c>
      <c r="BF32" s="22">
        <f>SUMIF(Emissions!$C$54:$C$69,'Emissions summary'!$C32,Emissions!BH$54:BH$69)</f>
        <v>0.45696796834598097</v>
      </c>
      <c r="BG32" s="22">
        <f>SUMIF(Emissions!$C$54:$C$69,'Emissions summary'!$C32,Emissions!BI$54:BI$69)</f>
        <v>0.45787615383276492</v>
      </c>
      <c r="BH32" s="22">
        <f>SUMIF(Emissions!$C$54:$C$69,'Emissions summary'!$C32,Emissions!BJ$54:BJ$69)</f>
        <v>0.45878433931954882</v>
      </c>
      <c r="BI32" s="22">
        <f>SUMIF(Emissions!$C$54:$C$69,'Emissions summary'!$C32,Emissions!BK$54:BK$69)</f>
        <v>0.45969252480633288</v>
      </c>
      <c r="BJ32" s="22">
        <f>SUMIF(Emissions!$C$54:$C$69,'Emissions summary'!$C32,Emissions!BL$54:BL$69)</f>
        <v>0.46060071029311683</v>
      </c>
      <c r="BK32" s="22">
        <f>SUMIF(Emissions!$C$54:$C$69,'Emissions summary'!$C32,Emissions!BM$54:BM$69)</f>
        <v>0.46150889577990084</v>
      </c>
      <c r="BL32" s="22">
        <f>SUMIF(Emissions!$C$54:$C$69,'Emissions summary'!$C32,Emissions!BN$54:BN$69)</f>
        <v>0.46241708126668479</v>
      </c>
      <c r="BM32" s="22">
        <f>SUMIF(Emissions!$C$54:$C$69,'Emissions summary'!$C32,Emissions!BO$54:BO$69)</f>
        <v>0.4633252667534688</v>
      </c>
      <c r="BN32" s="22">
        <f>SUMIF(Emissions!$C$54:$C$69,'Emissions summary'!$C32,Emissions!BP$54:BP$69)</f>
        <v>0.46423345224025281</v>
      </c>
    </row>
    <row r="33" spans="1:66" x14ac:dyDescent="0.25">
      <c r="A33" t="str">
        <f t="shared" si="18"/>
        <v>3C Aggregated and non-CO2 emissions on land</v>
      </c>
      <c r="B33" t="str">
        <f t="shared" si="19"/>
        <v>3C1 Biomass burning (CH4)</v>
      </c>
      <c r="C33" t="str">
        <f>'IPCC Categories'!C64</f>
        <v>3C1f Biomass burning in Other lands</v>
      </c>
      <c r="D33" t="str">
        <f t="shared" si="20"/>
        <v>CH4</v>
      </c>
      <c r="E33" t="str">
        <f t="shared" si="20"/>
        <v>Gg CH4</v>
      </c>
      <c r="F33" s="22">
        <f>SUMIF(Emissions!$C$54:$C$69,'Emissions summary'!$C33,Emissions!H$54:H$69)</f>
        <v>0</v>
      </c>
      <c r="G33" s="22">
        <f>SUMIF(Emissions!$C$54:$C$69,'Emissions summary'!$C33,Emissions!I$54:I$69)</f>
        <v>0</v>
      </c>
      <c r="H33" s="22">
        <f>SUMIF(Emissions!$C$54:$C$69,'Emissions summary'!$C33,Emissions!J$54:J$69)</f>
        <v>0</v>
      </c>
      <c r="I33" s="22">
        <f>SUMIF(Emissions!$C$54:$C$69,'Emissions summary'!$C33,Emissions!K$54:K$69)</f>
        <v>0</v>
      </c>
      <c r="J33" s="22">
        <f>SUMIF(Emissions!$C$54:$C$69,'Emissions summary'!$C33,Emissions!L$54:L$69)</f>
        <v>0</v>
      </c>
      <c r="K33" s="22">
        <f>SUMIF(Emissions!$C$54:$C$69,'Emissions summary'!$C33,Emissions!M$54:M$69)</f>
        <v>0</v>
      </c>
      <c r="L33" s="22">
        <f>SUMIF(Emissions!$C$54:$C$69,'Emissions summary'!$C33,Emissions!N$54:N$69)</f>
        <v>0</v>
      </c>
      <c r="M33" s="22">
        <f>SUMIF(Emissions!$C$54:$C$69,'Emissions summary'!$C33,Emissions!O$54:O$69)</f>
        <v>0</v>
      </c>
      <c r="N33" s="22">
        <f>SUMIF(Emissions!$C$54:$C$69,'Emissions summary'!$C33,Emissions!P$54:P$69)</f>
        <v>0</v>
      </c>
      <c r="O33" s="22">
        <f>SUMIF(Emissions!$C$54:$C$69,'Emissions summary'!$C33,Emissions!Q$54:Q$69)</f>
        <v>0</v>
      </c>
      <c r="P33" s="22">
        <f>SUMIF(Emissions!$C$54:$C$69,'Emissions summary'!$C33,Emissions!R$54:R$69)</f>
        <v>0</v>
      </c>
      <c r="Q33" s="22">
        <f>SUMIF(Emissions!$C$54:$C$69,'Emissions summary'!$C33,Emissions!S$54:S$69)</f>
        <v>0</v>
      </c>
      <c r="R33" s="22">
        <f>SUMIF(Emissions!$C$54:$C$69,'Emissions summary'!$C33,Emissions!T$54:T$69)</f>
        <v>0</v>
      </c>
      <c r="S33" s="22">
        <f>SUMIF(Emissions!$C$54:$C$69,'Emissions summary'!$C33,Emissions!U$54:U$69)</f>
        <v>0</v>
      </c>
      <c r="T33" s="22">
        <f>SUMIF(Emissions!$C$54:$C$69,'Emissions summary'!$C33,Emissions!V$54:V$69)</f>
        <v>0</v>
      </c>
      <c r="U33" s="22">
        <f>SUMIF(Emissions!$C$54:$C$69,'Emissions summary'!$C33,Emissions!W$54:W$69)</f>
        <v>0</v>
      </c>
      <c r="V33" s="22">
        <f>SUMIF(Emissions!$C$54:$C$69,'Emissions summary'!$C33,Emissions!X$54:X$69)</f>
        <v>0</v>
      </c>
      <c r="W33" s="22">
        <f>SUMIF(Emissions!$C$54:$C$69,'Emissions summary'!$C33,Emissions!Y$54:Y$69)</f>
        <v>0</v>
      </c>
      <c r="X33" s="22">
        <f>SUMIF(Emissions!$C$54:$C$69,'Emissions summary'!$C33,Emissions!Z$54:Z$69)</f>
        <v>0</v>
      </c>
      <c r="Y33" s="22">
        <f>SUMIF(Emissions!$C$54:$C$69,'Emissions summary'!$C33,Emissions!AA$54:AA$69)</f>
        <v>0</v>
      </c>
      <c r="Z33" s="22">
        <f>SUMIF(Emissions!$C$54:$C$69,'Emissions summary'!$C33,Emissions!AB$54:AB$69)</f>
        <v>0</v>
      </c>
      <c r="AA33" s="22">
        <f>SUMIF(Emissions!$C$54:$C$69,'Emissions summary'!$C33,Emissions!AC$54:AC$69)</f>
        <v>0</v>
      </c>
      <c r="AB33" s="22">
        <f>SUMIF(Emissions!$C$54:$C$69,'Emissions summary'!$C33,Emissions!AD$54:AD$69)</f>
        <v>0</v>
      </c>
      <c r="AC33" s="22">
        <f>SUMIF(Emissions!$C$54:$C$69,'Emissions summary'!$C33,Emissions!AE$54:AE$69)</f>
        <v>0</v>
      </c>
      <c r="AD33" s="22">
        <f>SUMIF(Emissions!$C$54:$C$69,'Emissions summary'!$C33,Emissions!AF$54:AF$69)</f>
        <v>0</v>
      </c>
      <c r="AE33" s="22">
        <f>SUMIF(Emissions!$C$54:$C$69,'Emissions summary'!$C33,Emissions!AG$54:AG$69)</f>
        <v>0</v>
      </c>
      <c r="AF33" s="22">
        <f>SUMIF(Emissions!$C$54:$C$69,'Emissions summary'!$C33,Emissions!AH$54:AH$69)</f>
        <v>0</v>
      </c>
      <c r="AG33" s="22">
        <f>SUMIF(Emissions!$C$54:$C$69,'Emissions summary'!$C33,Emissions!AI$54:AI$69)</f>
        <v>0</v>
      </c>
      <c r="AH33" s="22">
        <f>SUMIF(Emissions!$C$54:$C$69,'Emissions summary'!$C33,Emissions!AJ$54:AJ$69)</f>
        <v>0</v>
      </c>
      <c r="AI33" s="22">
        <f>SUMIF(Emissions!$C$54:$C$69,'Emissions summary'!$C33,Emissions!AK$54:AK$69)</f>
        <v>0</v>
      </c>
      <c r="AJ33" s="22">
        <f>SUMIF(Emissions!$C$54:$C$69,'Emissions summary'!$C33,Emissions!AL$54:AL$69)</f>
        <v>0</v>
      </c>
      <c r="AK33" s="22">
        <f>SUMIF(Emissions!$C$54:$C$69,'Emissions summary'!$C33,Emissions!AM$54:AM$69)</f>
        <v>0</v>
      </c>
      <c r="AL33" s="22">
        <f>SUMIF(Emissions!$C$54:$C$69,'Emissions summary'!$C33,Emissions!AN$54:AN$69)</f>
        <v>0</v>
      </c>
      <c r="AM33" s="22">
        <f>SUMIF(Emissions!$C$54:$C$69,'Emissions summary'!$C33,Emissions!AO$54:AO$69)</f>
        <v>0</v>
      </c>
      <c r="AN33" s="22">
        <f>SUMIF(Emissions!$C$54:$C$69,'Emissions summary'!$C33,Emissions!AP$54:AP$69)</f>
        <v>0</v>
      </c>
      <c r="AO33" s="22">
        <f>SUMIF(Emissions!$C$54:$C$69,'Emissions summary'!$C33,Emissions!AQ$54:AQ$69)</f>
        <v>0</v>
      </c>
      <c r="AP33" s="22">
        <f>SUMIF(Emissions!$C$54:$C$69,'Emissions summary'!$C33,Emissions!AR$54:AR$69)</f>
        <v>0</v>
      </c>
      <c r="AQ33" s="22">
        <f>SUMIF(Emissions!$C$54:$C$69,'Emissions summary'!$C33,Emissions!AS$54:AS$69)</f>
        <v>0</v>
      </c>
      <c r="AR33" s="22">
        <f>SUMIF(Emissions!$C$54:$C$69,'Emissions summary'!$C33,Emissions!AT$54:AT$69)</f>
        <v>0</v>
      </c>
      <c r="AS33" s="22">
        <f>SUMIF(Emissions!$C$54:$C$69,'Emissions summary'!$C33,Emissions!AU$54:AU$69)</f>
        <v>0</v>
      </c>
      <c r="AT33" s="22">
        <f>SUMIF(Emissions!$C$54:$C$69,'Emissions summary'!$C33,Emissions!AV$54:AV$69)</f>
        <v>0</v>
      </c>
      <c r="AU33" s="22">
        <f>SUMIF(Emissions!$C$54:$C$69,'Emissions summary'!$C33,Emissions!AW$54:AW$69)</f>
        <v>0</v>
      </c>
      <c r="AV33" s="22">
        <f>SUMIF(Emissions!$C$54:$C$69,'Emissions summary'!$C33,Emissions!AX$54:AX$69)</f>
        <v>0</v>
      </c>
      <c r="AW33" s="22">
        <f>SUMIF(Emissions!$C$54:$C$69,'Emissions summary'!$C33,Emissions!AY$54:AY$69)</f>
        <v>0</v>
      </c>
      <c r="AX33" s="22">
        <f>SUMIF(Emissions!$C$54:$C$69,'Emissions summary'!$C33,Emissions!AZ$54:AZ$69)</f>
        <v>0</v>
      </c>
      <c r="AY33" s="22">
        <f>SUMIF(Emissions!$C$54:$C$69,'Emissions summary'!$C33,Emissions!BA$54:BA$69)</f>
        <v>0</v>
      </c>
      <c r="AZ33" s="22">
        <f>SUMIF(Emissions!$C$54:$C$69,'Emissions summary'!$C33,Emissions!BB$54:BB$69)</f>
        <v>0</v>
      </c>
      <c r="BA33" s="22">
        <f>SUMIF(Emissions!$C$54:$C$69,'Emissions summary'!$C33,Emissions!BC$54:BC$69)</f>
        <v>0</v>
      </c>
      <c r="BB33" s="22">
        <f>SUMIF(Emissions!$C$54:$C$69,'Emissions summary'!$C33,Emissions!BD$54:BD$69)</f>
        <v>0</v>
      </c>
      <c r="BC33" s="22">
        <f>SUMIF(Emissions!$C$54:$C$69,'Emissions summary'!$C33,Emissions!BE$54:BE$69)</f>
        <v>0</v>
      </c>
      <c r="BD33" s="22">
        <f>SUMIF(Emissions!$C$54:$C$69,'Emissions summary'!$C33,Emissions!BF$54:BF$69)</f>
        <v>0</v>
      </c>
      <c r="BE33" s="22">
        <f>SUMIF(Emissions!$C$54:$C$69,'Emissions summary'!$C33,Emissions!BG$54:BG$69)</f>
        <v>0</v>
      </c>
      <c r="BF33" s="22">
        <f>SUMIF(Emissions!$C$54:$C$69,'Emissions summary'!$C33,Emissions!BH$54:BH$69)</f>
        <v>0</v>
      </c>
      <c r="BG33" s="22">
        <f>SUMIF(Emissions!$C$54:$C$69,'Emissions summary'!$C33,Emissions!BI$54:BI$69)</f>
        <v>0</v>
      </c>
      <c r="BH33" s="22">
        <f>SUMIF(Emissions!$C$54:$C$69,'Emissions summary'!$C33,Emissions!BJ$54:BJ$69)</f>
        <v>0</v>
      </c>
      <c r="BI33" s="22">
        <f>SUMIF(Emissions!$C$54:$C$69,'Emissions summary'!$C33,Emissions!BK$54:BK$69)</f>
        <v>0</v>
      </c>
      <c r="BJ33" s="22">
        <f>SUMIF(Emissions!$C$54:$C$69,'Emissions summary'!$C33,Emissions!BL$54:BL$69)</f>
        <v>0</v>
      </c>
      <c r="BK33" s="22">
        <f>SUMIF(Emissions!$C$54:$C$69,'Emissions summary'!$C33,Emissions!BM$54:BM$69)</f>
        <v>0</v>
      </c>
      <c r="BL33" s="22">
        <f>SUMIF(Emissions!$C$54:$C$69,'Emissions summary'!$C33,Emissions!BN$54:BN$69)</f>
        <v>0</v>
      </c>
      <c r="BM33" s="22">
        <f>SUMIF(Emissions!$C$54:$C$69,'Emissions summary'!$C33,Emissions!BO$54:BO$69)</f>
        <v>0</v>
      </c>
      <c r="BN33" s="22">
        <f>SUMIF(Emissions!$C$54:$C$69,'Emissions summary'!$C33,Emissions!BP$54:BP$69)</f>
        <v>0</v>
      </c>
    </row>
    <row r="34" spans="1:66" s="19" customFormat="1" ht="15.75" x14ac:dyDescent="0.25">
      <c r="A34" s="19" t="str">
        <f t="shared" si="18"/>
        <v>3C Aggregated and non-CO2 emissions on land</v>
      </c>
      <c r="B34" s="19" t="str">
        <f>'IPCC Categories'!B65</f>
        <v>3C1 Biomass burning (N2O)</v>
      </c>
      <c r="C34" s="19" t="s">
        <v>148</v>
      </c>
      <c r="D34" s="19" t="s">
        <v>139</v>
      </c>
      <c r="E34" s="19" t="s">
        <v>287</v>
      </c>
      <c r="F34" s="47">
        <f>SUM(F35:F40)</f>
        <v>3.7075879357894523</v>
      </c>
      <c r="G34" s="47">
        <f t="shared" ref="G34:BN34" si="21">SUM(G35:G40)</f>
        <v>3.7075879357894523</v>
      </c>
      <c r="H34" s="47">
        <f t="shared" si="21"/>
        <v>3.7075879357894523</v>
      </c>
      <c r="I34" s="47">
        <f t="shared" si="21"/>
        <v>3.7075879357894523</v>
      </c>
      <c r="J34" s="47">
        <f t="shared" si="21"/>
        <v>3.7075879357894523</v>
      </c>
      <c r="K34" s="47">
        <f t="shared" si="21"/>
        <v>3.7075879357894523</v>
      </c>
      <c r="L34" s="47">
        <f t="shared" si="21"/>
        <v>3.7075879357894523</v>
      </c>
      <c r="M34" s="47">
        <f t="shared" si="21"/>
        <v>3.7075879357894523</v>
      </c>
      <c r="N34" s="47">
        <f t="shared" si="21"/>
        <v>3.7075879357894523</v>
      </c>
      <c r="O34" s="47">
        <f t="shared" si="21"/>
        <v>3.7075879357894523</v>
      </c>
      <c r="P34" s="47">
        <f t="shared" si="21"/>
        <v>3.6718973949162081</v>
      </c>
      <c r="Q34" s="47">
        <f t="shared" si="21"/>
        <v>4.3479436666429772</v>
      </c>
      <c r="R34" s="47">
        <f t="shared" si="21"/>
        <v>4.2850613259475647</v>
      </c>
      <c r="S34" s="47">
        <f t="shared" si="21"/>
        <v>3.282468107830713</v>
      </c>
      <c r="T34" s="47">
        <f t="shared" si="21"/>
        <v>2.9505691836097965</v>
      </c>
      <c r="U34" s="47">
        <f t="shared" si="21"/>
        <v>4.6706814433352601</v>
      </c>
      <c r="V34" s="47">
        <f t="shared" si="21"/>
        <v>4.0754902880758053</v>
      </c>
      <c r="W34" s="47">
        <f t="shared" si="21"/>
        <v>3.9272122256664277</v>
      </c>
      <c r="X34" s="47">
        <f t="shared" si="21"/>
        <v>3.8070383668685825</v>
      </c>
      <c r="Y34" s="47">
        <f t="shared" si="21"/>
        <v>3.574643820819225</v>
      </c>
      <c r="Z34" s="47">
        <f t="shared" si="21"/>
        <v>3.6185702919300007</v>
      </c>
      <c r="AA34" s="47">
        <f t="shared" si="21"/>
        <v>3.5841393659915992</v>
      </c>
      <c r="AB34" s="47">
        <f t="shared" si="21"/>
        <v>3.090013816562077</v>
      </c>
      <c r="AC34" s="47">
        <f t="shared" si="21"/>
        <v>3.2036391768546908</v>
      </c>
      <c r="AD34" s="47">
        <f t="shared" si="21"/>
        <v>3.1730419131473035</v>
      </c>
      <c r="AE34" s="47">
        <f t="shared" si="21"/>
        <v>3.1449518814399164</v>
      </c>
      <c r="AF34" s="47">
        <f t="shared" si="21"/>
        <v>3.1761268737325303</v>
      </c>
      <c r="AG34" s="47">
        <f t="shared" si="21"/>
        <v>3.2043578340251431</v>
      </c>
      <c r="AH34" s="47">
        <f t="shared" si="21"/>
        <v>3.2157894663177569</v>
      </c>
      <c r="AI34" s="47">
        <f t="shared" si="21"/>
        <v>3.2312714849038415</v>
      </c>
      <c r="AJ34" s="47">
        <f t="shared" si="21"/>
        <v>3.2467535034899253</v>
      </c>
      <c r="AK34" s="47">
        <f t="shared" si="21"/>
        <v>3.26223552207601</v>
      </c>
      <c r="AL34" s="47">
        <f t="shared" si="21"/>
        <v>3.2777175406620933</v>
      </c>
      <c r="AM34" s="47">
        <f t="shared" si="21"/>
        <v>3.2931995592481784</v>
      </c>
      <c r="AN34" s="47">
        <f t="shared" si="21"/>
        <v>3.3086815778342631</v>
      </c>
      <c r="AO34" s="47">
        <f t="shared" si="21"/>
        <v>3.3241635964203464</v>
      </c>
      <c r="AP34" s="47">
        <f t="shared" si="21"/>
        <v>3.3396456150064311</v>
      </c>
      <c r="AQ34" s="47">
        <f t="shared" si="21"/>
        <v>3.3551276335925149</v>
      </c>
      <c r="AR34" s="47">
        <f t="shared" si="21"/>
        <v>3.3706096521785995</v>
      </c>
      <c r="AS34" s="47">
        <f t="shared" si="21"/>
        <v>3.3860916707646842</v>
      </c>
      <c r="AT34" s="47">
        <f t="shared" si="21"/>
        <v>3.4015736893507675</v>
      </c>
      <c r="AU34" s="47">
        <f t="shared" si="21"/>
        <v>3.4166247163658898</v>
      </c>
      <c r="AV34" s="47">
        <f t="shared" si="21"/>
        <v>3.4316757433810112</v>
      </c>
      <c r="AW34" s="47">
        <f t="shared" si="21"/>
        <v>3.4467267703961331</v>
      </c>
      <c r="AX34" s="47">
        <f t="shared" si="21"/>
        <v>3.4617777974112558</v>
      </c>
      <c r="AY34" s="47">
        <f t="shared" si="21"/>
        <v>3.4768288244263776</v>
      </c>
      <c r="AZ34" s="47">
        <f t="shared" si="21"/>
        <v>3.491879851441499</v>
      </c>
      <c r="BA34" s="47">
        <f t="shared" si="21"/>
        <v>3.5069308784566204</v>
      </c>
      <c r="BB34" s="47">
        <f t="shared" si="21"/>
        <v>3.5219819054717427</v>
      </c>
      <c r="BC34" s="47">
        <f t="shared" si="21"/>
        <v>3.5362807779692043</v>
      </c>
      <c r="BD34" s="47">
        <f t="shared" si="21"/>
        <v>3.5505796504666653</v>
      </c>
      <c r="BE34" s="47">
        <f t="shared" si="21"/>
        <v>3.5648785229641264</v>
      </c>
      <c r="BF34" s="47">
        <f t="shared" si="21"/>
        <v>3.5791773954615884</v>
      </c>
      <c r="BG34" s="47">
        <f t="shared" si="21"/>
        <v>3.59347626795905</v>
      </c>
      <c r="BH34" s="47">
        <f t="shared" si="21"/>
        <v>3.6077751404565115</v>
      </c>
      <c r="BI34" s="47">
        <f t="shared" si="21"/>
        <v>3.622074012953973</v>
      </c>
      <c r="BJ34" s="47">
        <f t="shared" si="21"/>
        <v>3.6363728854514346</v>
      </c>
      <c r="BK34" s="47">
        <f t="shared" si="21"/>
        <v>3.6506717579488956</v>
      </c>
      <c r="BL34" s="47">
        <f t="shared" si="21"/>
        <v>3.6649706304463576</v>
      </c>
      <c r="BM34" s="47">
        <f t="shared" si="21"/>
        <v>3.6792695029438187</v>
      </c>
      <c r="BN34" s="47">
        <f t="shared" si="21"/>
        <v>3.6935683754412798</v>
      </c>
    </row>
    <row r="35" spans="1:66" x14ac:dyDescent="0.25">
      <c r="A35" t="str">
        <f>A33</f>
        <v>3C Aggregated and non-CO2 emissions on land</v>
      </c>
      <c r="B35" t="str">
        <f>'IPCC Categories'!B65</f>
        <v>3C1 Biomass burning (N2O)</v>
      </c>
      <c r="C35" t="str">
        <f>'IPCC Categories'!C65</f>
        <v>3C1a Biomass burning in forest land</v>
      </c>
      <c r="D35" t="s">
        <v>139</v>
      </c>
      <c r="E35" t="s">
        <v>287</v>
      </c>
      <c r="F35" s="22">
        <f>SUMIF(Emissions!$C$70:$C$85,'Emissions summary'!$C35,Emissions!H$70:H$85)</f>
        <v>1.1438763741385864</v>
      </c>
      <c r="G35" s="22">
        <f>SUMIF(Emissions!$C$70:$C$85,'Emissions summary'!$C35,Emissions!I$70:I$85)</f>
        <v>1.1438763741385864</v>
      </c>
      <c r="H35" s="22">
        <f>SUMIF(Emissions!$C$70:$C$85,'Emissions summary'!$C35,Emissions!J$70:J$85)</f>
        <v>1.1438763741385864</v>
      </c>
      <c r="I35" s="22">
        <f>SUMIF(Emissions!$C$70:$C$85,'Emissions summary'!$C35,Emissions!K$70:K$85)</f>
        <v>1.1438763741385864</v>
      </c>
      <c r="J35" s="22">
        <f>SUMIF(Emissions!$C$70:$C$85,'Emissions summary'!$C35,Emissions!L$70:L$85)</f>
        <v>1.1438763741385864</v>
      </c>
      <c r="K35" s="22">
        <f>SUMIF(Emissions!$C$70:$C$85,'Emissions summary'!$C35,Emissions!M$70:M$85)</f>
        <v>1.1438763741385864</v>
      </c>
      <c r="L35" s="22">
        <f>SUMIF(Emissions!$C$70:$C$85,'Emissions summary'!$C35,Emissions!N$70:N$85)</f>
        <v>1.1438763741385864</v>
      </c>
      <c r="M35" s="22">
        <f>SUMIF(Emissions!$C$70:$C$85,'Emissions summary'!$C35,Emissions!O$70:O$85)</f>
        <v>1.1438763741385864</v>
      </c>
      <c r="N35" s="22">
        <f>SUMIF(Emissions!$C$70:$C$85,'Emissions summary'!$C35,Emissions!P$70:P$85)</f>
        <v>1.1438763741385864</v>
      </c>
      <c r="O35" s="22">
        <f>SUMIF(Emissions!$C$70:$C$85,'Emissions summary'!$C35,Emissions!Q$70:Q$85)</f>
        <v>1.1438763741385864</v>
      </c>
      <c r="P35" s="22">
        <f>SUMIF(Emissions!$C$70:$C$85,'Emissions summary'!$C35,Emissions!R$70:R$85)</f>
        <v>1.129665625804974</v>
      </c>
      <c r="Q35" s="22">
        <f>SUMIF(Emissions!$C$70:$C$85,'Emissions summary'!$C35,Emissions!S$70:S$85)</f>
        <v>1.5001940667446125</v>
      </c>
      <c r="R35" s="22">
        <f>SUMIF(Emissions!$C$70:$C$85,'Emissions summary'!$C35,Emissions!T$70:T$85)</f>
        <v>1.2536062459262034</v>
      </c>
      <c r="S35" s="22">
        <f>SUMIF(Emissions!$C$70:$C$85,'Emissions summary'!$C35,Emissions!U$70:U$85)</f>
        <v>0.90130843582112352</v>
      </c>
      <c r="T35" s="22">
        <f>SUMIF(Emissions!$C$70:$C$85,'Emissions summary'!$C35,Emissions!V$70:V$85)</f>
        <v>0.93460749639601826</v>
      </c>
      <c r="U35" s="22">
        <f>SUMIF(Emissions!$C$70:$C$85,'Emissions summary'!$C35,Emissions!W$70:W$85)</f>
        <v>1.4818082671125721</v>
      </c>
      <c r="V35" s="22">
        <f>SUMIF(Emissions!$C$70:$C$85,'Emissions summary'!$C35,Emissions!X$70:X$85)</f>
        <v>1.2335191780721162</v>
      </c>
      <c r="W35" s="22">
        <f>SUMIF(Emissions!$C$70:$C$85,'Emissions summary'!$C35,Emissions!Y$70:Y$85)</f>
        <v>1.3425917486681966</v>
      </c>
      <c r="X35" s="22">
        <f>SUMIF(Emissions!$C$70:$C$85,'Emissions summary'!$C35,Emissions!Z$70:Z$85)</f>
        <v>1.3834411759926073</v>
      </c>
      <c r="Y35" s="22">
        <f>SUMIF(Emissions!$C$70:$C$85,'Emissions summary'!$C35,Emissions!AA$70:AA$85)</f>
        <v>1.0406581288181318</v>
      </c>
      <c r="Z35" s="22">
        <f>SUMIF(Emissions!$C$70:$C$85,'Emissions summary'!$C35,Emissions!AB$70:AB$85)</f>
        <v>1.1705685167880002</v>
      </c>
      <c r="AA35" s="22">
        <f>SUMIF(Emissions!$C$70:$C$85,'Emissions summary'!$C35,Emissions!AC$70:AC$85)</f>
        <v>1.1141746509779999</v>
      </c>
      <c r="AB35" s="22">
        <f>SUMIF(Emissions!$C$70:$C$85,'Emissions summary'!$C35,Emissions!AD$70:AD$85)</f>
        <v>0.81337835040550022</v>
      </c>
      <c r="AC35" s="22">
        <f>SUMIF(Emissions!$C$70:$C$85,'Emissions summary'!$C35,Emissions!AE$70:AE$85)</f>
        <v>0.91618667449117541</v>
      </c>
      <c r="AD35" s="22">
        <f>SUMIF(Emissions!$C$70:$C$85,'Emissions summary'!$C35,Emissions!AF$70:AF$85)</f>
        <v>0.87477237457685053</v>
      </c>
      <c r="AE35" s="22">
        <f>SUMIF(Emissions!$C$70:$C$85,'Emissions summary'!$C35,Emissions!AG$70:AG$85)</f>
        <v>0.83586530666252568</v>
      </c>
      <c r="AF35" s="22">
        <f>SUMIF(Emissions!$C$70:$C$85,'Emissions summary'!$C35,Emissions!AH$70:AH$85)</f>
        <v>0.85622326274820093</v>
      </c>
      <c r="AG35" s="22">
        <f>SUMIF(Emissions!$C$70:$C$85,'Emissions summary'!$C35,Emissions!AI$70:AI$85)</f>
        <v>0.87363718683387614</v>
      </c>
      <c r="AH35" s="22">
        <f>SUMIF(Emissions!$C$70:$C$85,'Emissions summary'!$C35,Emissions!AJ$70:AJ$85)</f>
        <v>0.87425178291955141</v>
      </c>
      <c r="AI35" s="22">
        <f>SUMIF(Emissions!$C$70:$C$85,'Emissions summary'!$C35,Emissions!AK$70:AK$85)</f>
        <v>0.87129977937663372</v>
      </c>
      <c r="AJ35" s="22">
        <f>SUMIF(Emissions!$C$70:$C$85,'Emissions summary'!$C35,Emissions!AL$70:AL$85)</f>
        <v>0.86834777583371592</v>
      </c>
      <c r="AK35" s="22">
        <f>SUMIF(Emissions!$C$70:$C$85,'Emissions summary'!$C35,Emissions!AM$70:AM$85)</f>
        <v>0.86539577229079812</v>
      </c>
      <c r="AL35" s="22">
        <f>SUMIF(Emissions!$C$70:$C$85,'Emissions summary'!$C35,Emissions!AN$70:AN$85)</f>
        <v>0.86244376874788042</v>
      </c>
      <c r="AM35" s="22">
        <f>SUMIF(Emissions!$C$70:$C$85,'Emissions summary'!$C35,Emissions!AO$70:AO$85)</f>
        <v>0.85949176520496295</v>
      </c>
      <c r="AN35" s="22">
        <f>SUMIF(Emissions!$C$70:$C$85,'Emissions summary'!$C35,Emissions!AP$70:AP$85)</f>
        <v>0.85653976166204526</v>
      </c>
      <c r="AO35" s="22">
        <f>SUMIF(Emissions!$C$70:$C$85,'Emissions summary'!$C35,Emissions!AQ$70:AQ$85)</f>
        <v>0.85358775811912746</v>
      </c>
      <c r="AP35" s="22">
        <f>SUMIF(Emissions!$C$70:$C$85,'Emissions summary'!$C35,Emissions!AR$70:AR$85)</f>
        <v>0.85063575457620977</v>
      </c>
      <c r="AQ35" s="22">
        <f>SUMIF(Emissions!$C$70:$C$85,'Emissions summary'!$C35,Emissions!AS$70:AS$85)</f>
        <v>0.84768375103329197</v>
      </c>
      <c r="AR35" s="22">
        <f>SUMIF(Emissions!$C$70:$C$85,'Emissions summary'!$C35,Emissions!AT$70:AT$85)</f>
        <v>0.84473174749037416</v>
      </c>
      <c r="AS35" s="22">
        <f>SUMIF(Emissions!$C$70:$C$85,'Emissions summary'!$C35,Emissions!AU$70:AU$85)</f>
        <v>0.84177974394745669</v>
      </c>
      <c r="AT35" s="22">
        <f>SUMIF(Emissions!$C$70:$C$85,'Emissions summary'!$C35,Emissions!AV$70:AV$85)</f>
        <v>0.838827740404539</v>
      </c>
      <c r="AU35" s="22">
        <f>SUMIF(Emissions!$C$70:$C$85,'Emissions summary'!$C35,Emissions!AW$70:AW$85)</f>
        <v>0.83512358234396089</v>
      </c>
      <c r="AV35" s="22">
        <f>SUMIF(Emissions!$C$70:$C$85,'Emissions summary'!$C35,Emissions!AX$70:AX$85)</f>
        <v>0.83141942428338278</v>
      </c>
      <c r="AW35" s="22">
        <f>SUMIF(Emissions!$C$70:$C$85,'Emissions summary'!$C35,Emissions!AY$70:AY$85)</f>
        <v>0.82771526622280467</v>
      </c>
      <c r="AX35" s="22">
        <f>SUMIF(Emissions!$C$70:$C$85,'Emissions summary'!$C35,Emissions!AZ$70:AZ$85)</f>
        <v>0.82401110816222667</v>
      </c>
      <c r="AY35" s="22">
        <f>SUMIF(Emissions!$C$70:$C$85,'Emissions summary'!$C35,Emissions!BA$70:BA$85)</f>
        <v>0.82030695010164856</v>
      </c>
      <c r="AZ35" s="22">
        <f>SUMIF(Emissions!$C$70:$C$85,'Emissions summary'!$C35,Emissions!BB$70:BB$85)</f>
        <v>0.81660279204107056</v>
      </c>
      <c r="BA35" s="22">
        <f>SUMIF(Emissions!$C$70:$C$85,'Emissions summary'!$C35,Emissions!BC$70:BC$85)</f>
        <v>0.81289863398049245</v>
      </c>
      <c r="BB35" s="22">
        <f>SUMIF(Emissions!$C$70:$C$85,'Emissions summary'!$C35,Emissions!BD$70:BD$85)</f>
        <v>0.80919447591991434</v>
      </c>
      <c r="BC35" s="22">
        <f>SUMIF(Emissions!$C$70:$C$85,'Emissions summary'!$C35,Emissions!BE$70:BE$85)</f>
        <v>0.80473816334167581</v>
      </c>
      <c r="BD35" s="22">
        <f>SUMIF(Emissions!$C$70:$C$85,'Emissions summary'!$C35,Emissions!BF$70:BF$85)</f>
        <v>0.80028185076343727</v>
      </c>
      <c r="BE35" s="22">
        <f>SUMIF(Emissions!$C$70:$C$85,'Emissions summary'!$C35,Emissions!BG$70:BG$85)</f>
        <v>0.79582553818519886</v>
      </c>
      <c r="BF35" s="22">
        <f>SUMIF(Emissions!$C$70:$C$85,'Emissions summary'!$C35,Emissions!BH$70:BH$85)</f>
        <v>0.79136922560696055</v>
      </c>
      <c r="BG35" s="22">
        <f>SUMIF(Emissions!$C$70:$C$85,'Emissions summary'!$C35,Emissions!BI$70:BI$85)</f>
        <v>0.78691291302872202</v>
      </c>
      <c r="BH35" s="22">
        <f>SUMIF(Emissions!$C$70:$C$85,'Emissions summary'!$C35,Emissions!BJ$70:BJ$85)</f>
        <v>0.7824566004504836</v>
      </c>
      <c r="BI35" s="22">
        <f>SUMIF(Emissions!$C$70:$C$85,'Emissions summary'!$C35,Emissions!BK$70:BK$85)</f>
        <v>0.77800028787224518</v>
      </c>
      <c r="BJ35" s="22">
        <f>SUMIF(Emissions!$C$70:$C$85,'Emissions summary'!$C35,Emissions!BL$70:BL$85)</f>
        <v>0.77354397529400676</v>
      </c>
      <c r="BK35" s="22">
        <f>SUMIF(Emissions!$C$70:$C$85,'Emissions summary'!$C35,Emissions!BM$70:BM$85)</f>
        <v>0.76908766271576834</v>
      </c>
      <c r="BL35" s="22">
        <f>SUMIF(Emissions!$C$70:$C$85,'Emissions summary'!$C35,Emissions!BN$70:BN$85)</f>
        <v>0.76463135013752992</v>
      </c>
      <c r="BM35" s="22">
        <f>SUMIF(Emissions!$C$70:$C$85,'Emissions summary'!$C35,Emissions!BO$70:BO$85)</f>
        <v>0.76017503755929161</v>
      </c>
      <c r="BN35" s="22">
        <f>SUMIF(Emissions!$C$70:$C$85,'Emissions summary'!$C35,Emissions!BP$70:BP$85)</f>
        <v>0.75571872498105297</v>
      </c>
    </row>
    <row r="36" spans="1:66" x14ac:dyDescent="0.25">
      <c r="A36" t="str">
        <f t="shared" si="18"/>
        <v>3C Aggregated and non-CO2 emissions on land</v>
      </c>
      <c r="B36" t="str">
        <f>B35</f>
        <v>3C1 Biomass burning (N2O)</v>
      </c>
      <c r="C36" t="str">
        <f>'IPCC Categories'!C66</f>
        <v>3C1b Biomass burning in Croplands</v>
      </c>
      <c r="D36" t="str">
        <f>D35</f>
        <v>N2O</v>
      </c>
      <c r="E36" t="str">
        <f>E35</f>
        <v>Gg N2O</v>
      </c>
      <c r="F36" s="22">
        <f>SUMIF(Emissions!$C$70:$C$85,'Emissions summary'!$C36,Emissions!H$70:H$85)</f>
        <v>0.26227938544915658</v>
      </c>
      <c r="G36" s="22">
        <f>SUMIF(Emissions!$C$70:$C$85,'Emissions summary'!$C36,Emissions!I$70:I$85)</f>
        <v>0.26227938544915658</v>
      </c>
      <c r="H36" s="22">
        <f>SUMIF(Emissions!$C$70:$C$85,'Emissions summary'!$C36,Emissions!J$70:J$85)</f>
        <v>0.26227938544915658</v>
      </c>
      <c r="I36" s="22">
        <f>SUMIF(Emissions!$C$70:$C$85,'Emissions summary'!$C36,Emissions!K$70:K$85)</f>
        <v>0.26227938544915658</v>
      </c>
      <c r="J36" s="22">
        <f>SUMIF(Emissions!$C$70:$C$85,'Emissions summary'!$C36,Emissions!L$70:L$85)</f>
        <v>0.26227938544915658</v>
      </c>
      <c r="K36" s="22">
        <f>SUMIF(Emissions!$C$70:$C$85,'Emissions summary'!$C36,Emissions!M$70:M$85)</f>
        <v>0.26227938544915658</v>
      </c>
      <c r="L36" s="22">
        <f>SUMIF(Emissions!$C$70:$C$85,'Emissions summary'!$C36,Emissions!N$70:N$85)</f>
        <v>0.26227938544915658</v>
      </c>
      <c r="M36" s="22">
        <f>SUMIF(Emissions!$C$70:$C$85,'Emissions summary'!$C36,Emissions!O$70:O$85)</f>
        <v>0.26227938544915658</v>
      </c>
      <c r="N36" s="22">
        <f>SUMIF(Emissions!$C$70:$C$85,'Emissions summary'!$C36,Emissions!P$70:P$85)</f>
        <v>0.26227938544915658</v>
      </c>
      <c r="O36" s="22">
        <f>SUMIF(Emissions!$C$70:$C$85,'Emissions summary'!$C36,Emissions!Q$70:Q$85)</f>
        <v>0.26227938544915658</v>
      </c>
      <c r="P36" s="22">
        <f>SUMIF(Emissions!$C$70:$C$85,'Emissions summary'!$C36,Emissions!R$70:R$85)</f>
        <v>0.27249351091104779</v>
      </c>
      <c r="Q36" s="22">
        <f>SUMIF(Emissions!$C$70:$C$85,'Emissions summary'!$C36,Emissions!S$70:S$85)</f>
        <v>0.28214910438509594</v>
      </c>
      <c r="R36" s="22">
        <f>SUMIF(Emissions!$C$70:$C$85,'Emissions summary'!$C36,Emissions!T$70:T$85)</f>
        <v>0.3096912890487743</v>
      </c>
      <c r="S36" s="22">
        <f>SUMIF(Emissions!$C$70:$C$85,'Emissions summary'!$C36,Emissions!U$70:U$85)</f>
        <v>0.24106195370044609</v>
      </c>
      <c r="T36" s="22">
        <f>SUMIF(Emissions!$C$70:$C$85,'Emissions summary'!$C36,Emissions!V$70:V$85)</f>
        <v>0.20600106920041864</v>
      </c>
      <c r="U36" s="22">
        <f>SUMIF(Emissions!$C$70:$C$85,'Emissions summary'!$C36,Emissions!W$70:W$85)</f>
        <v>0.35933732059976431</v>
      </c>
      <c r="V36" s="22">
        <f>SUMIF(Emissions!$C$70:$C$85,'Emissions summary'!$C36,Emissions!X$70:X$85)</f>
        <v>0.33855631263102837</v>
      </c>
      <c r="W36" s="22">
        <f>SUMIF(Emissions!$C$70:$C$85,'Emissions summary'!$C36,Emissions!Y$70:Y$85)</f>
        <v>0.27162292461420739</v>
      </c>
      <c r="X36" s="22">
        <f>SUMIF(Emissions!$C$70:$C$85,'Emissions summary'!$C36,Emissions!Z$70:Z$85)</f>
        <v>0.2444764609945474</v>
      </c>
      <c r="Y36" s="22">
        <f>SUMIF(Emissions!$C$70:$C$85,'Emissions summary'!$C36,Emissions!AA$70:AA$85)</f>
        <v>0.25418858604631245</v>
      </c>
      <c r="Z36" s="22">
        <f>SUMIF(Emissions!$C$70:$C$85,'Emissions summary'!$C36,Emissions!AB$70:AB$85)</f>
        <v>0.25351308360000002</v>
      </c>
      <c r="AA36" s="22">
        <f>SUMIF(Emissions!$C$70:$C$85,'Emissions summary'!$C36,Emissions!AC$70:AC$85)</f>
        <v>0.24445247399999998</v>
      </c>
      <c r="AB36" s="22">
        <f>SUMIF(Emissions!$C$70:$C$85,'Emissions summary'!$C36,Emissions!AD$70:AD$85)</f>
        <v>0.23150267764623561</v>
      </c>
      <c r="AC36" s="22">
        <f>SUMIF(Emissions!$C$70:$C$85,'Emissions summary'!$C36,Emissions!AE$70:AE$85)</f>
        <v>0.23149080350455245</v>
      </c>
      <c r="AD36" s="22">
        <f>SUMIF(Emissions!$C$70:$C$85,'Emissions summary'!$C36,Emissions!AF$70:AF$85)</f>
        <v>0.23147892936286932</v>
      </c>
      <c r="AE36" s="22">
        <f>SUMIF(Emissions!$C$70:$C$85,'Emissions summary'!$C36,Emissions!AG$70:AG$85)</f>
        <v>0.23146705522118621</v>
      </c>
      <c r="AF36" s="22">
        <f>SUMIF(Emissions!$C$70:$C$85,'Emissions summary'!$C36,Emissions!AH$70:AH$85)</f>
        <v>0.23145518107950305</v>
      </c>
      <c r="AG36" s="22">
        <f>SUMIF(Emissions!$C$70:$C$85,'Emissions summary'!$C36,Emissions!AI$70:AI$85)</f>
        <v>0.23144330693781995</v>
      </c>
      <c r="AH36" s="22">
        <f>SUMIF(Emissions!$C$70:$C$85,'Emissions summary'!$C36,Emissions!AJ$70:AJ$85)</f>
        <v>0.23143143279613676</v>
      </c>
      <c r="AI36" s="22">
        <f>SUMIF(Emissions!$C$70:$C$85,'Emissions summary'!$C36,Emissions!AK$70:AK$85)</f>
        <v>0.23141955865445368</v>
      </c>
      <c r="AJ36" s="22">
        <f>SUMIF(Emissions!$C$70:$C$85,'Emissions summary'!$C36,Emissions!AL$70:AL$85)</f>
        <v>0.23140768451277055</v>
      </c>
      <c r="AK36" s="22">
        <f>SUMIF(Emissions!$C$70:$C$85,'Emissions summary'!$C36,Emissions!AM$70:AM$85)</f>
        <v>0.23139581037108745</v>
      </c>
      <c r="AL36" s="22">
        <f>SUMIF(Emissions!$C$70:$C$85,'Emissions summary'!$C36,Emissions!AN$70:AN$85)</f>
        <v>0.23138393622940429</v>
      </c>
      <c r="AM36" s="22">
        <f>SUMIF(Emissions!$C$70:$C$85,'Emissions summary'!$C36,Emissions!AO$70:AO$85)</f>
        <v>0.23137206208772113</v>
      </c>
      <c r="AN36" s="22">
        <f>SUMIF(Emissions!$C$70:$C$85,'Emissions summary'!$C36,Emissions!AP$70:AP$85)</f>
        <v>0.23136018794603802</v>
      </c>
      <c r="AO36" s="22">
        <f>SUMIF(Emissions!$C$70:$C$85,'Emissions summary'!$C36,Emissions!AQ$70:AQ$85)</f>
        <v>0.23134831380435489</v>
      </c>
      <c r="AP36" s="22">
        <f>SUMIF(Emissions!$C$70:$C$85,'Emissions summary'!$C36,Emissions!AR$70:AR$85)</f>
        <v>0.23133643966267178</v>
      </c>
      <c r="AQ36" s="22">
        <f>SUMIF(Emissions!$C$70:$C$85,'Emissions summary'!$C36,Emissions!AS$70:AS$85)</f>
        <v>0.23132456552098865</v>
      </c>
      <c r="AR36" s="22">
        <f>SUMIF(Emissions!$C$70:$C$85,'Emissions summary'!$C36,Emissions!AT$70:AT$85)</f>
        <v>0.23131269137930549</v>
      </c>
      <c r="AS36" s="22">
        <f>SUMIF(Emissions!$C$70:$C$85,'Emissions summary'!$C36,Emissions!AU$70:AU$85)</f>
        <v>0.23130081723762241</v>
      </c>
      <c r="AT36" s="22">
        <f>SUMIF(Emissions!$C$70:$C$85,'Emissions summary'!$C36,Emissions!AV$70:AV$85)</f>
        <v>0.23128894309593925</v>
      </c>
      <c r="AU36" s="22">
        <f>SUMIF(Emissions!$C$70:$C$85,'Emissions summary'!$C36,Emissions!AW$70:AW$85)</f>
        <v>0.23127706895425609</v>
      </c>
      <c r="AV36" s="22">
        <f>SUMIF(Emissions!$C$70:$C$85,'Emissions summary'!$C36,Emissions!AX$70:AX$85)</f>
        <v>0.23126519481257302</v>
      </c>
      <c r="AW36" s="22">
        <f>SUMIF(Emissions!$C$70:$C$85,'Emissions summary'!$C36,Emissions!AY$70:AY$85)</f>
        <v>0.23125332067088986</v>
      </c>
      <c r="AX36" s="22">
        <f>SUMIF(Emissions!$C$70:$C$85,'Emissions summary'!$C36,Emissions!AZ$70:AZ$85)</f>
        <v>0.23124144652920675</v>
      </c>
      <c r="AY36" s="22">
        <f>SUMIF(Emissions!$C$70:$C$85,'Emissions summary'!$C36,Emissions!BA$70:BA$85)</f>
        <v>0.23122957238752362</v>
      </c>
      <c r="AZ36" s="22">
        <f>SUMIF(Emissions!$C$70:$C$85,'Emissions summary'!$C36,Emissions!BB$70:BB$85)</f>
        <v>0.23121769824584049</v>
      </c>
      <c r="BA36" s="22">
        <f>SUMIF(Emissions!$C$70:$C$85,'Emissions summary'!$C36,Emissions!BC$70:BC$85)</f>
        <v>0.2312058241041573</v>
      </c>
      <c r="BB36" s="22">
        <f>SUMIF(Emissions!$C$70:$C$85,'Emissions summary'!$C36,Emissions!BD$70:BD$85)</f>
        <v>0.23119394996247425</v>
      </c>
      <c r="BC36" s="22">
        <f>SUMIF(Emissions!$C$70:$C$85,'Emissions summary'!$C36,Emissions!BE$70:BE$85)</f>
        <v>0.23118207582079112</v>
      </c>
      <c r="BD36" s="22">
        <f>SUMIF(Emissions!$C$70:$C$85,'Emissions summary'!$C36,Emissions!BF$70:BF$85)</f>
        <v>0.23117020167910793</v>
      </c>
      <c r="BE36" s="22">
        <f>SUMIF(Emissions!$C$70:$C$85,'Emissions summary'!$C36,Emissions!BG$70:BG$85)</f>
        <v>0.23115832753742488</v>
      </c>
      <c r="BF36" s="22">
        <f>SUMIF(Emissions!$C$70:$C$85,'Emissions summary'!$C36,Emissions!BH$70:BH$85)</f>
        <v>0.23114645339574169</v>
      </c>
      <c r="BG36" s="22">
        <f>SUMIF(Emissions!$C$70:$C$85,'Emissions summary'!$C36,Emissions!BI$70:BI$85)</f>
        <v>0.23113457925405859</v>
      </c>
      <c r="BH36" s="22">
        <f>SUMIF(Emissions!$C$70:$C$85,'Emissions summary'!$C36,Emissions!BJ$70:BJ$85)</f>
        <v>0.23112270511237543</v>
      </c>
      <c r="BI36" s="22">
        <f>SUMIF(Emissions!$C$70:$C$85,'Emissions summary'!$C36,Emissions!BK$70:BK$85)</f>
        <v>0.23111083097069229</v>
      </c>
      <c r="BJ36" s="22">
        <f>SUMIF(Emissions!$C$70:$C$85,'Emissions summary'!$C36,Emissions!BL$70:BL$85)</f>
        <v>0.23109895682900922</v>
      </c>
      <c r="BK36" s="22">
        <f>SUMIF(Emissions!$C$70:$C$85,'Emissions summary'!$C36,Emissions!BM$70:BM$85)</f>
        <v>0.23108708268732603</v>
      </c>
      <c r="BL36" s="22">
        <f>SUMIF(Emissions!$C$70:$C$85,'Emissions summary'!$C36,Emissions!BN$70:BN$85)</f>
        <v>0.23107520854564292</v>
      </c>
      <c r="BM36" s="22">
        <f>SUMIF(Emissions!$C$70:$C$85,'Emissions summary'!$C36,Emissions!BO$70:BO$85)</f>
        <v>0.23106333440395979</v>
      </c>
      <c r="BN36" s="22">
        <f>SUMIF(Emissions!$C$70:$C$85,'Emissions summary'!$C36,Emissions!BP$70:BP$85)</f>
        <v>0.23105146026227666</v>
      </c>
    </row>
    <row r="37" spans="1:66" x14ac:dyDescent="0.25">
      <c r="A37" t="str">
        <f t="shared" si="18"/>
        <v>3C Aggregated and non-CO2 emissions on land</v>
      </c>
      <c r="B37" t="str">
        <f t="shared" ref="B37:B40" si="22">B36</f>
        <v>3C1 Biomass burning (N2O)</v>
      </c>
      <c r="C37" t="str">
        <f>'IPCC Categories'!C67</f>
        <v>3C1c Biomass burning in Grasslands</v>
      </c>
      <c r="D37" t="str">
        <f t="shared" ref="D37:E40" si="23">D36</f>
        <v>N2O</v>
      </c>
      <c r="E37" t="str">
        <f t="shared" si="23"/>
        <v>Gg N2O</v>
      </c>
      <c r="F37" s="22">
        <f>SUMIF(Emissions!$C$70:$C$85,'Emissions summary'!$C37,Emissions!H$70:H$85)</f>
        <v>2.1832325939202906</v>
      </c>
      <c r="G37" s="22">
        <f>SUMIF(Emissions!$C$70:$C$85,'Emissions summary'!$C37,Emissions!I$70:I$85)</f>
        <v>2.1832325939202906</v>
      </c>
      <c r="H37" s="22">
        <f>SUMIF(Emissions!$C$70:$C$85,'Emissions summary'!$C37,Emissions!J$70:J$85)</f>
        <v>2.1832325939202906</v>
      </c>
      <c r="I37" s="22">
        <f>SUMIF(Emissions!$C$70:$C$85,'Emissions summary'!$C37,Emissions!K$70:K$85)</f>
        <v>2.1832325939202906</v>
      </c>
      <c r="J37" s="22">
        <f>SUMIF(Emissions!$C$70:$C$85,'Emissions summary'!$C37,Emissions!L$70:L$85)</f>
        <v>2.1832325939202906</v>
      </c>
      <c r="K37" s="22">
        <f>SUMIF(Emissions!$C$70:$C$85,'Emissions summary'!$C37,Emissions!M$70:M$85)</f>
        <v>2.1832325939202906</v>
      </c>
      <c r="L37" s="22">
        <f>SUMIF(Emissions!$C$70:$C$85,'Emissions summary'!$C37,Emissions!N$70:N$85)</f>
        <v>2.1832325939202906</v>
      </c>
      <c r="M37" s="22">
        <f>SUMIF(Emissions!$C$70:$C$85,'Emissions summary'!$C37,Emissions!O$70:O$85)</f>
        <v>2.1832325939202906</v>
      </c>
      <c r="N37" s="22">
        <f>SUMIF(Emissions!$C$70:$C$85,'Emissions summary'!$C37,Emissions!P$70:P$85)</f>
        <v>2.1832325939202906</v>
      </c>
      <c r="O37" s="22">
        <f>SUMIF(Emissions!$C$70:$C$85,'Emissions summary'!$C37,Emissions!Q$70:Q$85)</f>
        <v>2.1832325939202906</v>
      </c>
      <c r="P37" s="22">
        <f>SUMIF(Emissions!$C$70:$C$85,'Emissions summary'!$C37,Emissions!R$70:R$85)</f>
        <v>2.1560404954267964</v>
      </c>
      <c r="Q37" s="22">
        <f>SUMIF(Emissions!$C$70:$C$85,'Emissions summary'!$C37,Emissions!S$70:S$85)</f>
        <v>2.4331484625916917</v>
      </c>
      <c r="R37" s="22">
        <f>SUMIF(Emissions!$C$70:$C$85,'Emissions summary'!$C37,Emissions!T$70:T$85)</f>
        <v>2.5851794612386958</v>
      </c>
      <c r="S37" s="22">
        <f>SUMIF(Emissions!$C$70:$C$85,'Emissions summary'!$C37,Emissions!U$70:U$85)</f>
        <v>2.026241021042972</v>
      </c>
      <c r="T37" s="22">
        <f>SUMIF(Emissions!$C$70:$C$85,'Emissions summary'!$C37,Emissions!V$70:V$85)</f>
        <v>1.7155535293012945</v>
      </c>
      <c r="U37" s="22">
        <f>SUMIF(Emissions!$C$70:$C$85,'Emissions summary'!$C37,Emissions!W$70:W$85)</f>
        <v>2.664720786608763</v>
      </c>
      <c r="V37" s="22">
        <f>SUMIF(Emissions!$C$70:$C$85,'Emissions summary'!$C37,Emissions!X$70:X$85)</f>
        <v>2.3579698696662157</v>
      </c>
      <c r="W37" s="22">
        <f>SUMIF(Emissions!$C$70:$C$85,'Emissions summary'!$C37,Emissions!Y$70:Y$85)</f>
        <v>2.1705723800404217</v>
      </c>
      <c r="X37" s="22">
        <f>SUMIF(Emissions!$C$70:$C$85,'Emissions summary'!$C37,Emissions!Z$70:Z$85)</f>
        <v>2.069932733340706</v>
      </c>
      <c r="Y37" s="22">
        <f>SUMIF(Emissions!$C$70:$C$85,'Emissions summary'!$C37,Emissions!AA$70:AA$85)</f>
        <v>2.153682585932855</v>
      </c>
      <c r="Z37" s="22">
        <f>SUMIF(Emissions!$C$70:$C$85,'Emissions summary'!$C37,Emissions!AB$70:AB$85)</f>
        <v>2.0565198387720001</v>
      </c>
      <c r="AA37" s="22">
        <f>SUMIF(Emissions!$C$70:$C$85,'Emissions summary'!$C37,Emissions!AC$70:AC$85)</f>
        <v>2.0914494266735995</v>
      </c>
      <c r="AB37" s="22">
        <f>SUMIF(Emissions!$C$70:$C$85,'Emissions summary'!$C37,Emissions!AD$70:AD$85)</f>
        <v>1.9270838146967177</v>
      </c>
      <c r="AC37" s="22">
        <f>SUMIF(Emissions!$C$70:$C$85,'Emissions summary'!$C37,Emissions!AE$70:AE$85)</f>
        <v>1.9378298037617634</v>
      </c>
      <c r="AD37" s="22">
        <f>SUMIF(Emissions!$C$70:$C$85,'Emissions summary'!$C37,Emissions!AF$70:AF$85)</f>
        <v>1.9485757928268084</v>
      </c>
      <c r="AE37" s="22">
        <f>SUMIF(Emissions!$C$70:$C$85,'Emissions summary'!$C37,Emissions!AG$70:AG$85)</f>
        <v>1.9593217818918536</v>
      </c>
      <c r="AF37" s="22">
        <f>SUMIF(Emissions!$C$70:$C$85,'Emissions summary'!$C37,Emissions!AH$70:AH$85)</f>
        <v>1.9700677709568992</v>
      </c>
      <c r="AG37" s="22">
        <f>SUMIF(Emissions!$C$70:$C$85,'Emissions summary'!$C37,Emissions!AI$70:AI$85)</f>
        <v>1.9808137600219442</v>
      </c>
      <c r="AH37" s="22">
        <f>SUMIF(Emissions!$C$70:$C$85,'Emissions summary'!$C37,Emissions!AJ$70:AJ$85)</f>
        <v>1.9915597490869896</v>
      </c>
      <c r="AI37" s="22">
        <f>SUMIF(Emissions!$C$70:$C$85,'Emissions summary'!$C37,Emissions!AK$70:AK$85)</f>
        <v>2.0099227240740993</v>
      </c>
      <c r="AJ37" s="22">
        <f>SUMIF(Emissions!$C$70:$C$85,'Emissions summary'!$C37,Emissions!AL$70:AL$85)</f>
        <v>2.0282856990612084</v>
      </c>
      <c r="AK37" s="22">
        <f>SUMIF(Emissions!$C$70:$C$85,'Emissions summary'!$C37,Emissions!AM$70:AM$85)</f>
        <v>2.0466486740483179</v>
      </c>
      <c r="AL37" s="22">
        <f>SUMIF(Emissions!$C$70:$C$85,'Emissions summary'!$C37,Emissions!AN$70:AN$85)</f>
        <v>2.065011649035426</v>
      </c>
      <c r="AM37" s="22">
        <f>SUMIF(Emissions!$C$70:$C$85,'Emissions summary'!$C37,Emissions!AO$70:AO$85)</f>
        <v>2.0833746240225359</v>
      </c>
      <c r="AN37" s="22">
        <f>SUMIF(Emissions!$C$70:$C$85,'Emissions summary'!$C37,Emissions!AP$70:AP$85)</f>
        <v>2.101737599009645</v>
      </c>
      <c r="AO37" s="22">
        <f>SUMIF(Emissions!$C$70:$C$85,'Emissions summary'!$C37,Emissions!AQ$70:AQ$85)</f>
        <v>2.120100573996754</v>
      </c>
      <c r="AP37" s="22">
        <f>SUMIF(Emissions!$C$70:$C$85,'Emissions summary'!$C37,Emissions!AR$70:AR$85)</f>
        <v>2.138463548983863</v>
      </c>
      <c r="AQ37" s="22">
        <f>SUMIF(Emissions!$C$70:$C$85,'Emissions summary'!$C37,Emissions!AS$70:AS$85)</f>
        <v>2.1568265239709721</v>
      </c>
      <c r="AR37" s="22">
        <f>SUMIF(Emissions!$C$70:$C$85,'Emissions summary'!$C37,Emissions!AT$70:AT$85)</f>
        <v>2.1751894989580816</v>
      </c>
      <c r="AS37" s="22">
        <f>SUMIF(Emissions!$C$70:$C$85,'Emissions summary'!$C37,Emissions!AU$70:AU$85)</f>
        <v>2.1935524739451906</v>
      </c>
      <c r="AT37" s="22">
        <f>SUMIF(Emissions!$C$70:$C$85,'Emissions summary'!$C37,Emissions!AV$70:AV$85)</f>
        <v>2.2119154489322996</v>
      </c>
      <c r="AU37" s="22">
        <f>SUMIF(Emissions!$C$70:$C$85,'Emissions summary'!$C37,Emissions!AW$70:AW$85)</f>
        <v>2.230599586866107</v>
      </c>
      <c r="AV37" s="22">
        <f>SUMIF(Emissions!$C$70:$C$85,'Emissions summary'!$C37,Emissions!AX$70:AX$85)</f>
        <v>2.2492837247999136</v>
      </c>
      <c r="AW37" s="22">
        <f>SUMIF(Emissions!$C$70:$C$85,'Emissions summary'!$C37,Emissions!AY$70:AY$85)</f>
        <v>2.267967862733721</v>
      </c>
      <c r="AX37" s="22">
        <f>SUMIF(Emissions!$C$70:$C$85,'Emissions summary'!$C37,Emissions!AZ$70:AZ$85)</f>
        <v>2.2866520006675284</v>
      </c>
      <c r="AY37" s="22">
        <f>SUMIF(Emissions!$C$70:$C$85,'Emissions summary'!$C37,Emissions!BA$70:BA$85)</f>
        <v>2.3053361386013353</v>
      </c>
      <c r="AZ37" s="22">
        <f>SUMIF(Emissions!$C$70:$C$85,'Emissions summary'!$C37,Emissions!BB$70:BB$85)</f>
        <v>2.3240202765351423</v>
      </c>
      <c r="BA37" s="22">
        <f>SUMIF(Emissions!$C$70:$C$85,'Emissions summary'!$C37,Emissions!BC$70:BC$85)</f>
        <v>2.3427044144689493</v>
      </c>
      <c r="BB37" s="22">
        <f>SUMIF(Emissions!$C$70:$C$85,'Emissions summary'!$C37,Emissions!BD$70:BD$85)</f>
        <v>2.3613885524027567</v>
      </c>
      <c r="BC37" s="22">
        <f>SUMIF(Emissions!$C$70:$C$85,'Emissions summary'!$C37,Emissions!BE$70:BE$85)</f>
        <v>2.3800726903365637</v>
      </c>
      <c r="BD37" s="22">
        <f>SUMIF(Emissions!$C$70:$C$85,'Emissions summary'!$C37,Emissions!BF$70:BF$85)</f>
        <v>2.3987568282703706</v>
      </c>
      <c r="BE37" s="22">
        <f>SUMIF(Emissions!$C$70:$C$85,'Emissions summary'!$C37,Emissions!BG$70:BG$85)</f>
        <v>2.4174409662041776</v>
      </c>
      <c r="BF37" s="22">
        <f>SUMIF(Emissions!$C$70:$C$85,'Emissions summary'!$C37,Emissions!BH$70:BH$85)</f>
        <v>2.436125104137985</v>
      </c>
      <c r="BG37" s="22">
        <f>SUMIF(Emissions!$C$70:$C$85,'Emissions summary'!$C37,Emissions!BI$70:BI$85)</f>
        <v>2.454809242071792</v>
      </c>
      <c r="BH37" s="22">
        <f>SUMIF(Emissions!$C$70:$C$85,'Emissions summary'!$C37,Emissions!BJ$70:BJ$85)</f>
        <v>2.4734933800055994</v>
      </c>
      <c r="BI37" s="22">
        <f>SUMIF(Emissions!$C$70:$C$85,'Emissions summary'!$C37,Emissions!BK$70:BK$85)</f>
        <v>2.4921775179394063</v>
      </c>
      <c r="BJ37" s="22">
        <f>SUMIF(Emissions!$C$70:$C$85,'Emissions summary'!$C37,Emissions!BL$70:BL$85)</f>
        <v>2.5108616558732133</v>
      </c>
      <c r="BK37" s="22">
        <f>SUMIF(Emissions!$C$70:$C$85,'Emissions summary'!$C37,Emissions!BM$70:BM$85)</f>
        <v>2.5295457938070207</v>
      </c>
      <c r="BL37" s="22">
        <f>SUMIF(Emissions!$C$70:$C$85,'Emissions summary'!$C37,Emissions!BN$70:BN$85)</f>
        <v>2.5482299317408281</v>
      </c>
      <c r="BM37" s="22">
        <f>SUMIF(Emissions!$C$70:$C$85,'Emissions summary'!$C37,Emissions!BO$70:BO$85)</f>
        <v>2.5669140696746346</v>
      </c>
      <c r="BN37" s="22">
        <f>SUMIF(Emissions!$C$70:$C$85,'Emissions summary'!$C37,Emissions!BP$70:BP$85)</f>
        <v>2.5855982076084416</v>
      </c>
    </row>
    <row r="38" spans="1:66" x14ac:dyDescent="0.25">
      <c r="A38" t="str">
        <f t="shared" si="18"/>
        <v>3C Aggregated and non-CO2 emissions on land</v>
      </c>
      <c r="B38" t="str">
        <f t="shared" si="22"/>
        <v>3C1 Biomass burning (N2O)</v>
      </c>
      <c r="C38" t="str">
        <f>'IPCC Categories'!C68</f>
        <v>3C1d Biomass burning in Wetlands</v>
      </c>
      <c r="D38" t="str">
        <f t="shared" si="23"/>
        <v>N2O</v>
      </c>
      <c r="E38" t="str">
        <f t="shared" si="23"/>
        <v>Gg N2O</v>
      </c>
      <c r="F38" s="22">
        <f>SUMIF(Emissions!$C$70:$C$85,'Emissions summary'!$C38,Emissions!H$70:H$85)</f>
        <v>7.357077670844267E-2</v>
      </c>
      <c r="G38" s="22">
        <f>SUMIF(Emissions!$C$70:$C$85,'Emissions summary'!$C38,Emissions!I$70:I$85)</f>
        <v>7.357077670844267E-2</v>
      </c>
      <c r="H38" s="22">
        <f>SUMIF(Emissions!$C$70:$C$85,'Emissions summary'!$C38,Emissions!J$70:J$85)</f>
        <v>7.357077670844267E-2</v>
      </c>
      <c r="I38" s="22">
        <f>SUMIF(Emissions!$C$70:$C$85,'Emissions summary'!$C38,Emissions!K$70:K$85)</f>
        <v>7.357077670844267E-2</v>
      </c>
      <c r="J38" s="22">
        <f>SUMIF(Emissions!$C$70:$C$85,'Emissions summary'!$C38,Emissions!L$70:L$85)</f>
        <v>7.357077670844267E-2</v>
      </c>
      <c r="K38" s="22">
        <f>SUMIF(Emissions!$C$70:$C$85,'Emissions summary'!$C38,Emissions!M$70:M$85)</f>
        <v>7.357077670844267E-2</v>
      </c>
      <c r="L38" s="22">
        <f>SUMIF(Emissions!$C$70:$C$85,'Emissions summary'!$C38,Emissions!N$70:N$85)</f>
        <v>7.357077670844267E-2</v>
      </c>
      <c r="M38" s="22">
        <f>SUMIF(Emissions!$C$70:$C$85,'Emissions summary'!$C38,Emissions!O$70:O$85)</f>
        <v>7.357077670844267E-2</v>
      </c>
      <c r="N38" s="22">
        <f>SUMIF(Emissions!$C$70:$C$85,'Emissions summary'!$C38,Emissions!P$70:P$85)</f>
        <v>7.357077670844267E-2</v>
      </c>
      <c r="O38" s="22">
        <f>SUMIF(Emissions!$C$70:$C$85,'Emissions summary'!$C38,Emissions!Q$70:Q$85)</f>
        <v>7.357077670844267E-2</v>
      </c>
      <c r="P38" s="22">
        <f>SUMIF(Emissions!$C$70:$C$85,'Emissions summary'!$C38,Emissions!R$70:R$85)</f>
        <v>6.5083674793923713E-2</v>
      </c>
      <c r="Q38" s="22">
        <f>SUMIF(Emissions!$C$70:$C$85,'Emissions summary'!$C38,Emissions!S$70:S$85)</f>
        <v>7.8612973491927987E-2</v>
      </c>
      <c r="R38" s="22">
        <f>SUMIF(Emissions!$C$70:$C$85,'Emissions summary'!$C38,Emissions!T$70:T$85)</f>
        <v>8.8983449145904836E-2</v>
      </c>
      <c r="S38" s="22">
        <f>SUMIF(Emissions!$C$70:$C$85,'Emissions summary'!$C38,Emissions!U$70:U$85)</f>
        <v>7.2791997693814531E-2</v>
      </c>
      <c r="T38" s="22">
        <f>SUMIF(Emissions!$C$70:$C$85,'Emissions summary'!$C38,Emissions!V$70:V$85)</f>
        <v>6.2381788416642367E-2</v>
      </c>
      <c r="U38" s="22">
        <f>SUMIF(Emissions!$C$70:$C$85,'Emissions summary'!$C38,Emissions!W$70:W$85)</f>
        <v>9.2301206682713535E-2</v>
      </c>
      <c r="V38" s="22">
        <f>SUMIF(Emissions!$C$70:$C$85,'Emissions summary'!$C38,Emissions!X$70:X$85)</f>
        <v>8.1930731028736672E-2</v>
      </c>
      <c r="W38" s="22">
        <f>SUMIF(Emissions!$C$70:$C$85,'Emissions summary'!$C38,Emissions!Y$70:Y$85)</f>
        <v>7.2176126534287191E-2</v>
      </c>
      <c r="X38" s="22">
        <f>SUMIF(Emissions!$C$70:$C$85,'Emissions summary'!$C38,Emissions!Z$70:Z$85)</f>
        <v>6.5818746823036997E-2</v>
      </c>
      <c r="Y38" s="22">
        <f>SUMIF(Emissions!$C$70:$C$85,'Emissions summary'!$C38,Emissions!AA$70:AA$85)</f>
        <v>7.3924405954880992E-2</v>
      </c>
      <c r="Z38" s="22">
        <f>SUMIF(Emissions!$C$70:$C$85,'Emissions summary'!$C38,Emissions!AB$70:AB$85)</f>
        <v>9.8940084389999974E-2</v>
      </c>
      <c r="AA38" s="22">
        <f>SUMIF(Emissions!$C$70:$C$85,'Emissions summary'!$C38,Emissions!AC$70:AC$85)</f>
        <v>0.10685917493999998</v>
      </c>
      <c r="AB38" s="22">
        <f>SUMIF(Emissions!$C$70:$C$85,'Emissions summary'!$C38,Emissions!AD$70:AD$85)</f>
        <v>7.8813449993659371E-2</v>
      </c>
      <c r="AC38" s="22">
        <f>SUMIF(Emissions!$C$70:$C$85,'Emissions summary'!$C38,Emissions!AE$70:AE$85)</f>
        <v>7.8813449993659371E-2</v>
      </c>
      <c r="AD38" s="22">
        <f>SUMIF(Emissions!$C$70:$C$85,'Emissions summary'!$C38,Emissions!AF$70:AF$85)</f>
        <v>7.8813449993659371E-2</v>
      </c>
      <c r="AE38" s="22">
        <f>SUMIF(Emissions!$C$70:$C$85,'Emissions summary'!$C38,Emissions!AG$70:AG$85)</f>
        <v>7.8813449993659371E-2</v>
      </c>
      <c r="AF38" s="22">
        <f>SUMIF(Emissions!$C$70:$C$85,'Emissions summary'!$C38,Emissions!AH$70:AH$85)</f>
        <v>7.8813449993659371E-2</v>
      </c>
      <c r="AG38" s="22">
        <f>SUMIF(Emissions!$C$70:$C$85,'Emissions summary'!$C38,Emissions!AI$70:AI$85)</f>
        <v>7.8813449993659371E-2</v>
      </c>
      <c r="AH38" s="22">
        <f>SUMIF(Emissions!$C$70:$C$85,'Emissions summary'!$C38,Emissions!AJ$70:AJ$85)</f>
        <v>7.8813449993659371E-2</v>
      </c>
      <c r="AI38" s="22">
        <f>SUMIF(Emissions!$C$70:$C$85,'Emissions summary'!$C38,Emissions!AK$70:AK$85)</f>
        <v>7.8813449993659371E-2</v>
      </c>
      <c r="AJ38" s="22">
        <f>SUMIF(Emissions!$C$70:$C$85,'Emissions summary'!$C38,Emissions!AL$70:AL$85)</f>
        <v>7.8813449993659371E-2</v>
      </c>
      <c r="AK38" s="22">
        <f>SUMIF(Emissions!$C$70:$C$85,'Emissions summary'!$C38,Emissions!AM$70:AM$85)</f>
        <v>7.8813449993659371E-2</v>
      </c>
      <c r="AL38" s="22">
        <f>SUMIF(Emissions!$C$70:$C$85,'Emissions summary'!$C38,Emissions!AN$70:AN$85)</f>
        <v>7.8813449993659371E-2</v>
      </c>
      <c r="AM38" s="22">
        <f>SUMIF(Emissions!$C$70:$C$85,'Emissions summary'!$C38,Emissions!AO$70:AO$85)</f>
        <v>7.8813449993659371E-2</v>
      </c>
      <c r="AN38" s="22">
        <f>SUMIF(Emissions!$C$70:$C$85,'Emissions summary'!$C38,Emissions!AP$70:AP$85)</f>
        <v>7.8813449993659371E-2</v>
      </c>
      <c r="AO38" s="22">
        <f>SUMIF(Emissions!$C$70:$C$85,'Emissions summary'!$C38,Emissions!AQ$70:AQ$85)</f>
        <v>7.8813449993659371E-2</v>
      </c>
      <c r="AP38" s="22">
        <f>SUMIF(Emissions!$C$70:$C$85,'Emissions summary'!$C38,Emissions!AR$70:AR$85)</f>
        <v>7.8813449993659371E-2</v>
      </c>
      <c r="AQ38" s="22">
        <f>SUMIF(Emissions!$C$70:$C$85,'Emissions summary'!$C38,Emissions!AS$70:AS$85)</f>
        <v>7.8813449993659371E-2</v>
      </c>
      <c r="AR38" s="22">
        <f>SUMIF(Emissions!$C$70:$C$85,'Emissions summary'!$C38,Emissions!AT$70:AT$85)</f>
        <v>7.8813449993659371E-2</v>
      </c>
      <c r="AS38" s="22">
        <f>SUMIF(Emissions!$C$70:$C$85,'Emissions summary'!$C38,Emissions!AU$70:AU$85)</f>
        <v>7.8813449993659371E-2</v>
      </c>
      <c r="AT38" s="22">
        <f>SUMIF(Emissions!$C$70:$C$85,'Emissions summary'!$C38,Emissions!AV$70:AV$85)</f>
        <v>7.8813449993659371E-2</v>
      </c>
      <c r="AU38" s="22">
        <f>SUMIF(Emissions!$C$70:$C$85,'Emissions summary'!$C38,Emissions!AW$70:AW$85)</f>
        <v>7.8813449993659371E-2</v>
      </c>
      <c r="AV38" s="22">
        <f>SUMIF(Emissions!$C$70:$C$85,'Emissions summary'!$C38,Emissions!AX$70:AX$85)</f>
        <v>7.8813449993659371E-2</v>
      </c>
      <c r="AW38" s="22">
        <f>SUMIF(Emissions!$C$70:$C$85,'Emissions summary'!$C38,Emissions!AY$70:AY$85)</f>
        <v>7.8813449993659371E-2</v>
      </c>
      <c r="AX38" s="22">
        <f>SUMIF(Emissions!$C$70:$C$85,'Emissions summary'!$C38,Emissions!AZ$70:AZ$85)</f>
        <v>7.8813449993659371E-2</v>
      </c>
      <c r="AY38" s="22">
        <f>SUMIF(Emissions!$C$70:$C$85,'Emissions summary'!$C38,Emissions!BA$70:BA$85)</f>
        <v>7.8813449993659371E-2</v>
      </c>
      <c r="AZ38" s="22">
        <f>SUMIF(Emissions!$C$70:$C$85,'Emissions summary'!$C38,Emissions!BB$70:BB$85)</f>
        <v>7.8813449993659371E-2</v>
      </c>
      <c r="BA38" s="22">
        <f>SUMIF(Emissions!$C$70:$C$85,'Emissions summary'!$C38,Emissions!BC$70:BC$85)</f>
        <v>7.8813449993659371E-2</v>
      </c>
      <c r="BB38" s="22">
        <f>SUMIF(Emissions!$C$70:$C$85,'Emissions summary'!$C38,Emissions!BD$70:BD$85)</f>
        <v>7.8813449993659371E-2</v>
      </c>
      <c r="BC38" s="22">
        <f>SUMIF(Emissions!$C$70:$C$85,'Emissions summary'!$C38,Emissions!BE$70:BE$85)</f>
        <v>7.8813449993659371E-2</v>
      </c>
      <c r="BD38" s="22">
        <f>SUMIF(Emissions!$C$70:$C$85,'Emissions summary'!$C38,Emissions!BF$70:BF$85)</f>
        <v>7.8813449993659371E-2</v>
      </c>
      <c r="BE38" s="22">
        <f>SUMIF(Emissions!$C$70:$C$85,'Emissions summary'!$C38,Emissions!BG$70:BG$85)</f>
        <v>7.8813449993659371E-2</v>
      </c>
      <c r="BF38" s="22">
        <f>SUMIF(Emissions!$C$70:$C$85,'Emissions summary'!$C38,Emissions!BH$70:BH$85)</f>
        <v>7.8813449993659371E-2</v>
      </c>
      <c r="BG38" s="22">
        <f>SUMIF(Emissions!$C$70:$C$85,'Emissions summary'!$C38,Emissions!BI$70:BI$85)</f>
        <v>7.8813449993659371E-2</v>
      </c>
      <c r="BH38" s="22">
        <f>SUMIF(Emissions!$C$70:$C$85,'Emissions summary'!$C38,Emissions!BJ$70:BJ$85)</f>
        <v>7.8813449993659371E-2</v>
      </c>
      <c r="BI38" s="22">
        <f>SUMIF(Emissions!$C$70:$C$85,'Emissions summary'!$C38,Emissions!BK$70:BK$85)</f>
        <v>7.8813449993659371E-2</v>
      </c>
      <c r="BJ38" s="22">
        <f>SUMIF(Emissions!$C$70:$C$85,'Emissions summary'!$C38,Emissions!BL$70:BL$85)</f>
        <v>7.8813449993659371E-2</v>
      </c>
      <c r="BK38" s="22">
        <f>SUMIF(Emissions!$C$70:$C$85,'Emissions summary'!$C38,Emissions!BM$70:BM$85)</f>
        <v>7.8813449993659371E-2</v>
      </c>
      <c r="BL38" s="22">
        <f>SUMIF(Emissions!$C$70:$C$85,'Emissions summary'!$C38,Emissions!BN$70:BN$85)</f>
        <v>7.8813449993659371E-2</v>
      </c>
      <c r="BM38" s="22">
        <f>SUMIF(Emissions!$C$70:$C$85,'Emissions summary'!$C38,Emissions!BO$70:BO$85)</f>
        <v>7.8813449993659371E-2</v>
      </c>
      <c r="BN38" s="22">
        <f>SUMIF(Emissions!$C$70:$C$85,'Emissions summary'!$C38,Emissions!BP$70:BP$85)</f>
        <v>7.8813449993659371E-2</v>
      </c>
    </row>
    <row r="39" spans="1:66" x14ac:dyDescent="0.25">
      <c r="A39" t="str">
        <f t="shared" si="18"/>
        <v>3C Aggregated and non-CO2 emissions on land</v>
      </c>
      <c r="B39" t="str">
        <f t="shared" si="22"/>
        <v>3C1 Biomass burning (N2O)</v>
      </c>
      <c r="C39" t="str">
        <f>'IPCC Categories'!C69</f>
        <v>3C1e Biomass burning in Settlements</v>
      </c>
      <c r="D39" t="str">
        <f t="shared" si="23"/>
        <v>N2O</v>
      </c>
      <c r="E39" t="str">
        <f t="shared" si="23"/>
        <v>Gg N2O</v>
      </c>
      <c r="F39" s="22">
        <f>SUMIF(Emissions!$C$70:$C$85,'Emissions summary'!$C39,Emissions!H$70:H$85)</f>
        <v>4.462880557297625E-2</v>
      </c>
      <c r="G39" s="22">
        <f>SUMIF(Emissions!$C$70:$C$85,'Emissions summary'!$C39,Emissions!I$70:I$85)</f>
        <v>4.462880557297625E-2</v>
      </c>
      <c r="H39" s="22">
        <f>SUMIF(Emissions!$C$70:$C$85,'Emissions summary'!$C39,Emissions!J$70:J$85)</f>
        <v>4.462880557297625E-2</v>
      </c>
      <c r="I39" s="22">
        <f>SUMIF(Emissions!$C$70:$C$85,'Emissions summary'!$C39,Emissions!K$70:K$85)</f>
        <v>4.462880557297625E-2</v>
      </c>
      <c r="J39" s="22">
        <f>SUMIF(Emissions!$C$70:$C$85,'Emissions summary'!$C39,Emissions!L$70:L$85)</f>
        <v>4.462880557297625E-2</v>
      </c>
      <c r="K39" s="22">
        <f>SUMIF(Emissions!$C$70:$C$85,'Emissions summary'!$C39,Emissions!M$70:M$85)</f>
        <v>4.462880557297625E-2</v>
      </c>
      <c r="L39" s="22">
        <f>SUMIF(Emissions!$C$70:$C$85,'Emissions summary'!$C39,Emissions!N$70:N$85)</f>
        <v>4.462880557297625E-2</v>
      </c>
      <c r="M39" s="22">
        <f>SUMIF(Emissions!$C$70:$C$85,'Emissions summary'!$C39,Emissions!O$70:O$85)</f>
        <v>4.462880557297625E-2</v>
      </c>
      <c r="N39" s="22">
        <f>SUMIF(Emissions!$C$70:$C$85,'Emissions summary'!$C39,Emissions!P$70:P$85)</f>
        <v>4.462880557297625E-2</v>
      </c>
      <c r="O39" s="22">
        <f>SUMIF(Emissions!$C$70:$C$85,'Emissions summary'!$C39,Emissions!Q$70:Q$85)</f>
        <v>4.462880557297625E-2</v>
      </c>
      <c r="P39" s="22">
        <f>SUMIF(Emissions!$C$70:$C$85,'Emissions summary'!$C39,Emissions!R$70:R$85)</f>
        <v>4.8614087979466203E-2</v>
      </c>
      <c r="Q39" s="22">
        <f>SUMIF(Emissions!$C$70:$C$85,'Emissions summary'!$C39,Emissions!S$70:S$85)</f>
        <v>5.3839059429649942E-2</v>
      </c>
      <c r="R39" s="22">
        <f>SUMIF(Emissions!$C$70:$C$85,'Emissions summary'!$C39,Emissions!T$70:T$85)</f>
        <v>4.76008805879857E-2</v>
      </c>
      <c r="S39" s="22">
        <f>SUMIF(Emissions!$C$70:$C$85,'Emissions summary'!$C39,Emissions!U$70:U$85)</f>
        <v>4.1064699572356617E-2</v>
      </c>
      <c r="T39" s="22">
        <f>SUMIF(Emissions!$C$70:$C$85,'Emissions summary'!$C39,Emissions!V$70:V$85)</f>
        <v>3.2025300295422769E-2</v>
      </c>
      <c r="U39" s="22">
        <f>SUMIF(Emissions!$C$70:$C$85,'Emissions summary'!$C39,Emissions!W$70:W$85)</f>
        <v>7.2513862331447368E-2</v>
      </c>
      <c r="V39" s="22">
        <f>SUMIF(Emissions!$C$70:$C$85,'Emissions summary'!$C39,Emissions!X$70:X$85)</f>
        <v>6.3514196677708815E-2</v>
      </c>
      <c r="W39" s="22">
        <f>SUMIF(Emissions!$C$70:$C$85,'Emissions summary'!$C39,Emissions!Y$70:Y$85)</f>
        <v>7.0249045809314473E-2</v>
      </c>
      <c r="X39" s="22">
        <f>SUMIF(Emissions!$C$70:$C$85,'Emissions summary'!$C39,Emissions!Z$70:Z$85)</f>
        <v>4.3369249717684813E-2</v>
      </c>
      <c r="Y39" s="22">
        <f>SUMIF(Emissions!$C$70:$C$85,'Emissions summary'!$C39,Emissions!AA$70:AA$85)</f>
        <v>5.2190114067044435E-2</v>
      </c>
      <c r="Z39" s="22">
        <f>SUMIF(Emissions!$C$70:$C$85,'Emissions summary'!$C39,Emissions!AB$70:AB$85)</f>
        <v>3.9028768379999995E-2</v>
      </c>
      <c r="AA39" s="22">
        <f>SUMIF(Emissions!$C$70:$C$85,'Emissions summary'!$C39,Emissions!AC$70:AC$85)</f>
        <v>2.72036394E-2</v>
      </c>
      <c r="AB39" s="22">
        <f>SUMIF(Emissions!$C$70:$C$85,'Emissions summary'!$C39,Emissions!AD$70:AD$85)</f>
        <v>3.9235523819963862E-2</v>
      </c>
      <c r="AC39" s="22">
        <f>SUMIF(Emissions!$C$70:$C$85,'Emissions summary'!$C39,Emissions!AE$70:AE$85)</f>
        <v>3.9318445103539788E-2</v>
      </c>
      <c r="AD39" s="22">
        <f>SUMIF(Emissions!$C$70:$C$85,'Emissions summary'!$C39,Emissions!AF$70:AF$85)</f>
        <v>3.9401366387115715E-2</v>
      </c>
      <c r="AE39" s="22">
        <f>SUMIF(Emissions!$C$70:$C$85,'Emissions summary'!$C39,Emissions!AG$70:AG$85)</f>
        <v>3.9484287670691648E-2</v>
      </c>
      <c r="AF39" s="22">
        <f>SUMIF(Emissions!$C$70:$C$85,'Emissions summary'!$C39,Emissions!AH$70:AH$85)</f>
        <v>3.9567208954267574E-2</v>
      </c>
      <c r="AG39" s="22">
        <f>SUMIF(Emissions!$C$70:$C$85,'Emissions summary'!$C39,Emissions!AI$70:AI$85)</f>
        <v>3.9650130237843507E-2</v>
      </c>
      <c r="AH39" s="22">
        <f>SUMIF(Emissions!$C$70:$C$85,'Emissions summary'!$C39,Emissions!AJ$70:AJ$85)</f>
        <v>3.9733051521419427E-2</v>
      </c>
      <c r="AI39" s="22">
        <f>SUMIF(Emissions!$C$70:$C$85,'Emissions summary'!$C39,Emissions!AK$70:AK$85)</f>
        <v>3.981597280499536E-2</v>
      </c>
      <c r="AJ39" s="22">
        <f>SUMIF(Emissions!$C$70:$C$85,'Emissions summary'!$C39,Emissions!AL$70:AL$85)</f>
        <v>3.9898894088571286E-2</v>
      </c>
      <c r="AK39" s="22">
        <f>SUMIF(Emissions!$C$70:$C$85,'Emissions summary'!$C39,Emissions!AM$70:AM$85)</f>
        <v>3.9981815372147227E-2</v>
      </c>
      <c r="AL39" s="22">
        <f>SUMIF(Emissions!$C$70:$C$85,'Emissions summary'!$C39,Emissions!AN$70:AN$85)</f>
        <v>4.0064736655723153E-2</v>
      </c>
      <c r="AM39" s="22">
        <f>SUMIF(Emissions!$C$70:$C$85,'Emissions summary'!$C39,Emissions!AO$70:AO$85)</f>
        <v>4.0147657939299079E-2</v>
      </c>
      <c r="AN39" s="22">
        <f>SUMIF(Emissions!$C$70:$C$85,'Emissions summary'!$C39,Emissions!AP$70:AP$85)</f>
        <v>4.0230579222875013E-2</v>
      </c>
      <c r="AO39" s="22">
        <f>SUMIF(Emissions!$C$70:$C$85,'Emissions summary'!$C39,Emissions!AQ$70:AQ$85)</f>
        <v>4.0313500506450946E-2</v>
      </c>
      <c r="AP39" s="22">
        <f>SUMIF(Emissions!$C$70:$C$85,'Emissions summary'!$C39,Emissions!AR$70:AR$85)</f>
        <v>4.0396421790026865E-2</v>
      </c>
      <c r="AQ39" s="22">
        <f>SUMIF(Emissions!$C$70:$C$85,'Emissions summary'!$C39,Emissions!AS$70:AS$85)</f>
        <v>4.0479343073602798E-2</v>
      </c>
      <c r="AR39" s="22">
        <f>SUMIF(Emissions!$C$70:$C$85,'Emissions summary'!$C39,Emissions!AT$70:AT$85)</f>
        <v>4.0562264357178725E-2</v>
      </c>
      <c r="AS39" s="22">
        <f>SUMIF(Emissions!$C$70:$C$85,'Emissions summary'!$C39,Emissions!AU$70:AU$85)</f>
        <v>4.0645185640754658E-2</v>
      </c>
      <c r="AT39" s="22">
        <f>SUMIF(Emissions!$C$70:$C$85,'Emissions summary'!$C39,Emissions!AV$70:AV$85)</f>
        <v>4.0728106924330584E-2</v>
      </c>
      <c r="AU39" s="22">
        <f>SUMIF(Emissions!$C$70:$C$85,'Emissions summary'!$C39,Emissions!AW$70:AW$85)</f>
        <v>4.0811028207906511E-2</v>
      </c>
      <c r="AV39" s="22">
        <f>SUMIF(Emissions!$C$70:$C$85,'Emissions summary'!$C39,Emissions!AX$70:AX$85)</f>
        <v>4.0893949491482444E-2</v>
      </c>
      <c r="AW39" s="22">
        <f>SUMIF(Emissions!$C$70:$C$85,'Emissions summary'!$C39,Emissions!AY$70:AY$85)</f>
        <v>4.097687077505837E-2</v>
      </c>
      <c r="AX39" s="22">
        <f>SUMIF(Emissions!$C$70:$C$85,'Emissions summary'!$C39,Emissions!AZ$70:AZ$85)</f>
        <v>4.1059792058634303E-2</v>
      </c>
      <c r="AY39" s="22">
        <f>SUMIF(Emissions!$C$70:$C$85,'Emissions summary'!$C39,Emissions!BA$70:BA$85)</f>
        <v>4.114271334221023E-2</v>
      </c>
      <c r="AZ39" s="22">
        <f>SUMIF(Emissions!$C$70:$C$85,'Emissions summary'!$C39,Emissions!BB$70:BB$85)</f>
        <v>4.1225634625786156E-2</v>
      </c>
      <c r="BA39" s="22">
        <f>SUMIF(Emissions!$C$70:$C$85,'Emissions summary'!$C39,Emissions!BC$70:BC$85)</f>
        <v>4.1308555909362089E-2</v>
      </c>
      <c r="BB39" s="22">
        <f>SUMIF(Emissions!$C$70:$C$85,'Emissions summary'!$C39,Emissions!BD$70:BD$85)</f>
        <v>4.1391477192938023E-2</v>
      </c>
      <c r="BC39" s="22">
        <f>SUMIF(Emissions!$C$70:$C$85,'Emissions summary'!$C39,Emissions!BE$70:BE$85)</f>
        <v>4.1474398476513949E-2</v>
      </c>
      <c r="BD39" s="22">
        <f>SUMIF(Emissions!$C$70:$C$85,'Emissions summary'!$C39,Emissions!BF$70:BF$85)</f>
        <v>4.1557319760089875E-2</v>
      </c>
      <c r="BE39" s="22">
        <f>SUMIF(Emissions!$C$70:$C$85,'Emissions summary'!$C39,Emissions!BG$70:BG$85)</f>
        <v>4.1640241043665809E-2</v>
      </c>
      <c r="BF39" s="22">
        <f>SUMIF(Emissions!$C$70:$C$85,'Emissions summary'!$C39,Emissions!BH$70:BH$85)</f>
        <v>4.1723162327241742E-2</v>
      </c>
      <c r="BG39" s="22">
        <f>SUMIF(Emissions!$C$70:$C$85,'Emissions summary'!$C39,Emissions!BI$70:BI$85)</f>
        <v>4.1806083610817661E-2</v>
      </c>
      <c r="BH39" s="22">
        <f>SUMIF(Emissions!$C$70:$C$85,'Emissions summary'!$C39,Emissions!BJ$70:BJ$85)</f>
        <v>4.1889004894393594E-2</v>
      </c>
      <c r="BI39" s="22">
        <f>SUMIF(Emissions!$C$70:$C$85,'Emissions summary'!$C39,Emissions!BK$70:BK$85)</f>
        <v>4.1971926177969528E-2</v>
      </c>
      <c r="BJ39" s="22">
        <f>SUMIF(Emissions!$C$70:$C$85,'Emissions summary'!$C39,Emissions!BL$70:BL$85)</f>
        <v>4.2054847461545454E-2</v>
      </c>
      <c r="BK39" s="22">
        <f>SUMIF(Emissions!$C$70:$C$85,'Emissions summary'!$C39,Emissions!BM$70:BM$85)</f>
        <v>4.2137768745121387E-2</v>
      </c>
      <c r="BL39" s="22">
        <f>SUMIF(Emissions!$C$70:$C$85,'Emissions summary'!$C39,Emissions!BN$70:BN$85)</f>
        <v>4.2220690028697307E-2</v>
      </c>
      <c r="BM39" s="22">
        <f>SUMIF(Emissions!$C$70:$C$85,'Emissions summary'!$C39,Emissions!BO$70:BO$85)</f>
        <v>4.230361131227324E-2</v>
      </c>
      <c r="BN39" s="22">
        <f>SUMIF(Emissions!$C$70:$C$85,'Emissions summary'!$C39,Emissions!BP$70:BP$85)</f>
        <v>4.2386532595849173E-2</v>
      </c>
    </row>
    <row r="40" spans="1:66" x14ac:dyDescent="0.25">
      <c r="A40" t="str">
        <f t="shared" si="18"/>
        <v>3C Aggregated and non-CO2 emissions on land</v>
      </c>
      <c r="B40" t="str">
        <f t="shared" si="22"/>
        <v>3C1 Biomass burning (N2O)</v>
      </c>
      <c r="C40" t="str">
        <f>'IPCC Categories'!C70</f>
        <v>3C1f Biomass burning in Other lands</v>
      </c>
      <c r="D40" t="str">
        <f t="shared" si="23"/>
        <v>N2O</v>
      </c>
      <c r="E40" t="str">
        <f t="shared" si="23"/>
        <v>Gg N2O</v>
      </c>
      <c r="F40" s="22">
        <f>SUMIF(Emissions!$C$70:$C$85,'Emissions summary'!$C40,Emissions!H$70:H$85)</f>
        <v>0</v>
      </c>
      <c r="G40" s="22">
        <f>SUMIF(Emissions!$C$70:$C$85,'Emissions summary'!$C40,Emissions!I$70:I$85)</f>
        <v>0</v>
      </c>
      <c r="H40" s="22">
        <f>SUMIF(Emissions!$C$70:$C$85,'Emissions summary'!$C40,Emissions!J$70:J$85)</f>
        <v>0</v>
      </c>
      <c r="I40" s="22">
        <f>SUMIF(Emissions!$C$70:$C$85,'Emissions summary'!$C40,Emissions!K$70:K$85)</f>
        <v>0</v>
      </c>
      <c r="J40" s="22">
        <f>SUMIF(Emissions!$C$70:$C$85,'Emissions summary'!$C40,Emissions!L$70:L$85)</f>
        <v>0</v>
      </c>
      <c r="K40" s="22">
        <f>SUMIF(Emissions!$C$70:$C$85,'Emissions summary'!$C40,Emissions!M$70:M$85)</f>
        <v>0</v>
      </c>
      <c r="L40" s="22">
        <f>SUMIF(Emissions!$C$70:$C$85,'Emissions summary'!$C40,Emissions!N$70:N$85)</f>
        <v>0</v>
      </c>
      <c r="M40" s="22">
        <f>SUMIF(Emissions!$C$70:$C$85,'Emissions summary'!$C40,Emissions!O$70:O$85)</f>
        <v>0</v>
      </c>
      <c r="N40" s="22">
        <f>SUMIF(Emissions!$C$70:$C$85,'Emissions summary'!$C40,Emissions!P$70:P$85)</f>
        <v>0</v>
      </c>
      <c r="O40" s="22">
        <f>SUMIF(Emissions!$C$70:$C$85,'Emissions summary'!$C40,Emissions!Q$70:Q$85)</f>
        <v>0</v>
      </c>
      <c r="P40" s="22">
        <f>SUMIF(Emissions!$C$70:$C$85,'Emissions summary'!$C40,Emissions!R$70:R$85)</f>
        <v>0</v>
      </c>
      <c r="Q40" s="22">
        <f>SUMIF(Emissions!$C$70:$C$85,'Emissions summary'!$C40,Emissions!S$70:S$85)</f>
        <v>0</v>
      </c>
      <c r="R40" s="22">
        <f>SUMIF(Emissions!$C$70:$C$85,'Emissions summary'!$C40,Emissions!T$70:T$85)</f>
        <v>0</v>
      </c>
      <c r="S40" s="22">
        <f>SUMIF(Emissions!$C$70:$C$85,'Emissions summary'!$C40,Emissions!U$70:U$85)</f>
        <v>0</v>
      </c>
      <c r="T40" s="22">
        <f>SUMIF(Emissions!$C$70:$C$85,'Emissions summary'!$C40,Emissions!V$70:V$85)</f>
        <v>0</v>
      </c>
      <c r="U40" s="22">
        <f>SUMIF(Emissions!$C$70:$C$85,'Emissions summary'!$C40,Emissions!W$70:W$85)</f>
        <v>0</v>
      </c>
      <c r="V40" s="22">
        <f>SUMIF(Emissions!$C$70:$C$85,'Emissions summary'!$C40,Emissions!X$70:X$85)</f>
        <v>0</v>
      </c>
      <c r="W40" s="22">
        <f>SUMIF(Emissions!$C$70:$C$85,'Emissions summary'!$C40,Emissions!Y$70:Y$85)</f>
        <v>0</v>
      </c>
      <c r="X40" s="22">
        <f>SUMIF(Emissions!$C$70:$C$85,'Emissions summary'!$C40,Emissions!Z$70:Z$85)</f>
        <v>0</v>
      </c>
      <c r="Y40" s="22">
        <f>SUMIF(Emissions!$C$70:$C$85,'Emissions summary'!$C40,Emissions!AA$70:AA$85)</f>
        <v>0</v>
      </c>
      <c r="Z40" s="22">
        <f>SUMIF(Emissions!$C$70:$C$85,'Emissions summary'!$C40,Emissions!AB$70:AB$85)</f>
        <v>0</v>
      </c>
      <c r="AA40" s="22">
        <f>SUMIF(Emissions!$C$70:$C$85,'Emissions summary'!$C40,Emissions!AC$70:AC$85)</f>
        <v>0</v>
      </c>
      <c r="AB40" s="22">
        <f>SUMIF(Emissions!$C$70:$C$85,'Emissions summary'!$C40,Emissions!AD$70:AD$85)</f>
        <v>0</v>
      </c>
      <c r="AC40" s="22">
        <f>SUMIF(Emissions!$C$70:$C$85,'Emissions summary'!$C40,Emissions!AE$70:AE$85)</f>
        <v>0</v>
      </c>
      <c r="AD40" s="22">
        <f>SUMIF(Emissions!$C$70:$C$85,'Emissions summary'!$C40,Emissions!AF$70:AF$85)</f>
        <v>0</v>
      </c>
      <c r="AE40" s="22">
        <f>SUMIF(Emissions!$C$70:$C$85,'Emissions summary'!$C40,Emissions!AG$70:AG$85)</f>
        <v>0</v>
      </c>
      <c r="AF40" s="22">
        <f>SUMIF(Emissions!$C$70:$C$85,'Emissions summary'!$C40,Emissions!AH$70:AH$85)</f>
        <v>0</v>
      </c>
      <c r="AG40" s="22">
        <f>SUMIF(Emissions!$C$70:$C$85,'Emissions summary'!$C40,Emissions!AI$70:AI$85)</f>
        <v>0</v>
      </c>
      <c r="AH40" s="22">
        <f>SUMIF(Emissions!$C$70:$C$85,'Emissions summary'!$C40,Emissions!AJ$70:AJ$85)</f>
        <v>0</v>
      </c>
      <c r="AI40" s="22">
        <f>SUMIF(Emissions!$C$70:$C$85,'Emissions summary'!$C40,Emissions!AK$70:AK$85)</f>
        <v>0</v>
      </c>
      <c r="AJ40" s="22">
        <f>SUMIF(Emissions!$C$70:$C$85,'Emissions summary'!$C40,Emissions!AL$70:AL$85)</f>
        <v>0</v>
      </c>
      <c r="AK40" s="22">
        <f>SUMIF(Emissions!$C$70:$C$85,'Emissions summary'!$C40,Emissions!AM$70:AM$85)</f>
        <v>0</v>
      </c>
      <c r="AL40" s="22">
        <f>SUMIF(Emissions!$C$70:$C$85,'Emissions summary'!$C40,Emissions!AN$70:AN$85)</f>
        <v>0</v>
      </c>
      <c r="AM40" s="22">
        <f>SUMIF(Emissions!$C$70:$C$85,'Emissions summary'!$C40,Emissions!AO$70:AO$85)</f>
        <v>0</v>
      </c>
      <c r="AN40" s="22">
        <f>SUMIF(Emissions!$C$70:$C$85,'Emissions summary'!$C40,Emissions!AP$70:AP$85)</f>
        <v>0</v>
      </c>
      <c r="AO40" s="22">
        <f>SUMIF(Emissions!$C$70:$C$85,'Emissions summary'!$C40,Emissions!AQ$70:AQ$85)</f>
        <v>0</v>
      </c>
      <c r="AP40" s="22">
        <f>SUMIF(Emissions!$C$70:$C$85,'Emissions summary'!$C40,Emissions!AR$70:AR$85)</f>
        <v>0</v>
      </c>
      <c r="AQ40" s="22">
        <f>SUMIF(Emissions!$C$70:$C$85,'Emissions summary'!$C40,Emissions!AS$70:AS$85)</f>
        <v>0</v>
      </c>
      <c r="AR40" s="22">
        <f>SUMIF(Emissions!$C$70:$C$85,'Emissions summary'!$C40,Emissions!AT$70:AT$85)</f>
        <v>0</v>
      </c>
      <c r="AS40" s="22">
        <f>SUMIF(Emissions!$C$70:$C$85,'Emissions summary'!$C40,Emissions!AU$70:AU$85)</f>
        <v>0</v>
      </c>
      <c r="AT40" s="22">
        <f>SUMIF(Emissions!$C$70:$C$85,'Emissions summary'!$C40,Emissions!AV$70:AV$85)</f>
        <v>0</v>
      </c>
      <c r="AU40" s="22">
        <f>SUMIF(Emissions!$C$70:$C$85,'Emissions summary'!$C40,Emissions!AW$70:AW$85)</f>
        <v>0</v>
      </c>
      <c r="AV40" s="22">
        <f>SUMIF(Emissions!$C$70:$C$85,'Emissions summary'!$C40,Emissions!AX$70:AX$85)</f>
        <v>0</v>
      </c>
      <c r="AW40" s="22">
        <f>SUMIF(Emissions!$C$70:$C$85,'Emissions summary'!$C40,Emissions!AY$70:AY$85)</f>
        <v>0</v>
      </c>
      <c r="AX40" s="22">
        <f>SUMIF(Emissions!$C$70:$C$85,'Emissions summary'!$C40,Emissions!AZ$70:AZ$85)</f>
        <v>0</v>
      </c>
      <c r="AY40" s="22">
        <f>SUMIF(Emissions!$C$70:$C$85,'Emissions summary'!$C40,Emissions!BA$70:BA$85)</f>
        <v>0</v>
      </c>
      <c r="AZ40" s="22">
        <f>SUMIF(Emissions!$C$70:$C$85,'Emissions summary'!$C40,Emissions!BB$70:BB$85)</f>
        <v>0</v>
      </c>
      <c r="BA40" s="22">
        <f>SUMIF(Emissions!$C$70:$C$85,'Emissions summary'!$C40,Emissions!BC$70:BC$85)</f>
        <v>0</v>
      </c>
      <c r="BB40" s="22">
        <f>SUMIF(Emissions!$C$70:$C$85,'Emissions summary'!$C40,Emissions!BD$70:BD$85)</f>
        <v>0</v>
      </c>
      <c r="BC40" s="22">
        <f>SUMIF(Emissions!$C$70:$C$85,'Emissions summary'!$C40,Emissions!BE$70:BE$85)</f>
        <v>0</v>
      </c>
      <c r="BD40" s="22">
        <f>SUMIF(Emissions!$C$70:$C$85,'Emissions summary'!$C40,Emissions!BF$70:BF$85)</f>
        <v>0</v>
      </c>
      <c r="BE40" s="22">
        <f>SUMIF(Emissions!$C$70:$C$85,'Emissions summary'!$C40,Emissions!BG$70:BG$85)</f>
        <v>0</v>
      </c>
      <c r="BF40" s="22">
        <f>SUMIF(Emissions!$C$70:$C$85,'Emissions summary'!$C40,Emissions!BH$70:BH$85)</f>
        <v>0</v>
      </c>
      <c r="BG40" s="22">
        <f>SUMIF(Emissions!$C$70:$C$85,'Emissions summary'!$C40,Emissions!BI$70:BI$85)</f>
        <v>0</v>
      </c>
      <c r="BH40" s="22">
        <f>SUMIF(Emissions!$C$70:$C$85,'Emissions summary'!$C40,Emissions!BJ$70:BJ$85)</f>
        <v>0</v>
      </c>
      <c r="BI40" s="22">
        <f>SUMIF(Emissions!$C$70:$C$85,'Emissions summary'!$C40,Emissions!BK$70:BK$85)</f>
        <v>0</v>
      </c>
      <c r="BJ40" s="22">
        <f>SUMIF(Emissions!$C$70:$C$85,'Emissions summary'!$C40,Emissions!BL$70:BL$85)</f>
        <v>0</v>
      </c>
      <c r="BK40" s="22">
        <f>SUMIF(Emissions!$C$70:$C$85,'Emissions summary'!$C40,Emissions!BM$70:BM$85)</f>
        <v>0</v>
      </c>
      <c r="BL40" s="22">
        <f>SUMIF(Emissions!$C$70:$C$85,'Emissions summary'!$C40,Emissions!BN$70:BN$85)</f>
        <v>0</v>
      </c>
      <c r="BM40" s="22">
        <f>SUMIF(Emissions!$C$70:$C$85,'Emissions summary'!$C40,Emissions!BO$70:BO$85)</f>
        <v>0</v>
      </c>
      <c r="BN40" s="22">
        <f>SUMIF(Emissions!$C$70:$C$85,'Emissions summary'!$C40,Emissions!BP$70:BP$85)</f>
        <v>0</v>
      </c>
    </row>
    <row r="41" spans="1:66" s="19" customFormat="1" ht="15.75" x14ac:dyDescent="0.25">
      <c r="A41" s="19" t="str">
        <f t="shared" si="18"/>
        <v>3C Aggregated and non-CO2 emissions on land</v>
      </c>
      <c r="B41" s="19" t="str">
        <f>'IPCC Categories'!B71</f>
        <v>3C2 Liming (CO2)</v>
      </c>
      <c r="C41" s="19" t="s">
        <v>148</v>
      </c>
      <c r="D41" s="19" t="s">
        <v>380</v>
      </c>
      <c r="E41" s="19" t="s">
        <v>382</v>
      </c>
      <c r="F41" s="47">
        <f>Emissions!H86</f>
        <v>357.5</v>
      </c>
      <c r="G41" s="47">
        <f>Emissions!I86</f>
        <v>378.125</v>
      </c>
      <c r="H41" s="47">
        <f>Emissions!J86</f>
        <v>261.25</v>
      </c>
      <c r="I41" s="47">
        <f>Emissions!K86</f>
        <v>412.5</v>
      </c>
      <c r="J41" s="47">
        <f>Emissions!L86</f>
        <v>595.58170833333327</v>
      </c>
      <c r="K41" s="47">
        <f>Emissions!M86</f>
        <v>473.34145833333332</v>
      </c>
      <c r="L41" s="47">
        <f>Emissions!N86</f>
        <v>579.13625000000002</v>
      </c>
      <c r="M41" s="47">
        <f>Emissions!O86</f>
        <v>547.24312499999996</v>
      </c>
      <c r="N41" s="47">
        <f>Emissions!P86</f>
        <v>570.31379166666659</v>
      </c>
      <c r="O41" s="47">
        <f>Emissions!Q86</f>
        <v>567.03808333333325</v>
      </c>
      <c r="P41" s="47">
        <f>Emissions!R86</f>
        <v>378.2405</v>
      </c>
      <c r="Q41" s="47">
        <f>Emissions!S86</f>
        <v>489.66362500000002</v>
      </c>
      <c r="R41" s="47">
        <f>Emissions!T86</f>
        <v>672.79437500000006</v>
      </c>
      <c r="S41" s="47">
        <f>Emissions!U86</f>
        <v>580.13175000000001</v>
      </c>
      <c r="T41" s="47">
        <f>Emissions!V86</f>
        <v>579.7403333333333</v>
      </c>
      <c r="U41" s="47">
        <f>Emissions!W86</f>
        <v>266.03683333333333</v>
      </c>
      <c r="V41" s="47">
        <f>Emissions!X86</f>
        <v>441.42908333333332</v>
      </c>
      <c r="W41" s="47">
        <f>Emissions!Y86</f>
        <v>521.42108333333329</v>
      </c>
      <c r="X41" s="47">
        <f>Emissions!Z86</f>
        <v>655.32637499999998</v>
      </c>
      <c r="Y41" s="47">
        <f>Emissions!AA86</f>
        <v>695.56775237855516</v>
      </c>
      <c r="Z41" s="47">
        <f>Emissions!AB86</f>
        <v>653.23730656422072</v>
      </c>
      <c r="AA41" s="47">
        <f>Emissions!AC86</f>
        <v>722.61220387104663</v>
      </c>
      <c r="AB41" s="47">
        <f>Emissions!AD86</f>
        <v>886.46691832724639</v>
      </c>
      <c r="AC41" s="47">
        <f>Emissions!AE86</f>
        <v>888.8539802377943</v>
      </c>
      <c r="AD41" s="47">
        <f>Emissions!AF86</f>
        <v>892.11591690555679</v>
      </c>
      <c r="AE41" s="47">
        <f>Emissions!AG86</f>
        <v>894.48365036682526</v>
      </c>
      <c r="AF41" s="47">
        <f>Emissions!AH86</f>
        <v>895.63671892685147</v>
      </c>
      <c r="AG41" s="47">
        <f>Emissions!AI86</f>
        <v>896.77480880606822</v>
      </c>
      <c r="AH41" s="47">
        <f>Emissions!AJ86</f>
        <v>898.49646270469111</v>
      </c>
      <c r="AI41" s="47">
        <f>Emissions!AK86</f>
        <v>900.38142148545217</v>
      </c>
      <c r="AJ41" s="47">
        <f>Emissions!AL86</f>
        <v>900.99830242057169</v>
      </c>
      <c r="AK41" s="47">
        <f>Emissions!AM86</f>
        <v>889.66719901995361</v>
      </c>
      <c r="AL41" s="47">
        <f>Emissions!AN86</f>
        <v>893.20175352101023</v>
      </c>
      <c r="AM41" s="47">
        <f>Emissions!AO86</f>
        <v>896.37958965851215</v>
      </c>
      <c r="AN41" s="47">
        <f>Emissions!AP86</f>
        <v>899.52796651639687</v>
      </c>
      <c r="AO41" s="47">
        <f>Emissions!AQ86</f>
        <v>903.14197529554713</v>
      </c>
      <c r="AP41" s="47">
        <f>Emissions!AR86</f>
        <v>906.71675954110367</v>
      </c>
      <c r="AQ41" s="47">
        <f>Emissions!AS86</f>
        <v>910.34114366574249</v>
      </c>
      <c r="AR41" s="47">
        <f>Emissions!AT86</f>
        <v>913.8112544636009</v>
      </c>
      <c r="AS41" s="47">
        <f>Emissions!AU86</f>
        <v>917.42968502221754</v>
      </c>
      <c r="AT41" s="47">
        <f>Emissions!AV86</f>
        <v>920.79096517926757</v>
      </c>
      <c r="AU41" s="47">
        <f>Emissions!AW86</f>
        <v>924.18223016555146</v>
      </c>
      <c r="AV41" s="47">
        <f>Emissions!AX86</f>
        <v>928.12851356454928</v>
      </c>
      <c r="AW41" s="47">
        <f>Emissions!AY86</f>
        <v>932.29458147366915</v>
      </c>
      <c r="AX41" s="47">
        <f>Emissions!AZ86</f>
        <v>936.51320053616291</v>
      </c>
      <c r="AY41" s="47">
        <f>Emissions!BA86</f>
        <v>937.35041504811659</v>
      </c>
      <c r="AZ41" s="47">
        <f>Emissions!BB86</f>
        <v>589.44115069085547</v>
      </c>
      <c r="BA41" s="47">
        <f>Emissions!BC86</f>
        <v>588.82564419868595</v>
      </c>
      <c r="BB41" s="47">
        <f>Emissions!BD86</f>
        <v>588.20365849957375</v>
      </c>
      <c r="BC41" s="47">
        <f>Emissions!BE86</f>
        <v>587.5751043341877</v>
      </c>
      <c r="BD41" s="47">
        <f>Emissions!BF86</f>
        <v>586.93989076430898</v>
      </c>
      <c r="BE41" s="47">
        <f>Emissions!BG86</f>
        <v>586.29792513092821</v>
      </c>
      <c r="BF41" s="47">
        <f>Emissions!BH86</f>
        <v>585.74764217221855</v>
      </c>
      <c r="BG41" s="47">
        <f>Emissions!BI86</f>
        <v>585.19236759087596</v>
      </c>
      <c r="BH41" s="47">
        <f>Emissions!BJ86</f>
        <v>584.6320416605073</v>
      </c>
      <c r="BI41" s="47">
        <f>Emissions!BK86</f>
        <v>584.06660367487802</v>
      </c>
      <c r="BJ41" s="47">
        <f>Emissions!BL86</f>
        <v>583.49599192657536</v>
      </c>
      <c r="BK41" s="47">
        <f>Emissions!BM86</f>
        <v>583.02281981030717</v>
      </c>
      <c r="BL41" s="47">
        <f>Emissions!BN86</f>
        <v>582.54607093944685</v>
      </c>
      <c r="BM41" s="47">
        <f>Emissions!BO86</f>
        <v>582.06570941053144</v>
      </c>
      <c r="BN41" s="47">
        <f>Emissions!BP86</f>
        <v>581.58169882431378</v>
      </c>
    </row>
    <row r="42" spans="1:66" s="19" customFormat="1" ht="15.75" x14ac:dyDescent="0.25">
      <c r="A42" s="19" t="str">
        <f t="shared" si="18"/>
        <v>3C Aggregated and non-CO2 emissions on land</v>
      </c>
      <c r="B42" s="19" t="str">
        <f>'IPCC Categories'!B72</f>
        <v>3C3 Urea application (CO2)</v>
      </c>
      <c r="C42" s="19" t="s">
        <v>148</v>
      </c>
      <c r="D42" s="19" t="str">
        <f>D41</f>
        <v>CO2</v>
      </c>
      <c r="E42" s="19" t="str">
        <f>E41</f>
        <v>Gg CO2</v>
      </c>
      <c r="F42" s="47">
        <f>Emissions!H87</f>
        <v>90.994567483487728</v>
      </c>
      <c r="G42" s="47">
        <f>Emissions!I87</f>
        <v>111.62690198838213</v>
      </c>
      <c r="H42" s="47">
        <f>Emissions!J87</f>
        <v>132.25923649327655</v>
      </c>
      <c r="I42" s="47">
        <f>Emissions!K87</f>
        <v>152.89157099816552</v>
      </c>
      <c r="J42" s="47">
        <f>Emissions!L87</f>
        <v>173.52390550305992</v>
      </c>
      <c r="K42" s="47">
        <f>Emissions!M87</f>
        <v>194.15624000795432</v>
      </c>
      <c r="L42" s="47">
        <f>Emissions!N87</f>
        <v>214.78857451284878</v>
      </c>
      <c r="M42" s="47">
        <f>Emissions!O87</f>
        <v>235.42090901774316</v>
      </c>
      <c r="N42" s="47">
        <f>Emissions!P87</f>
        <v>256.05324352263762</v>
      </c>
      <c r="O42" s="47">
        <f>Emissions!Q87</f>
        <v>276.68557802753202</v>
      </c>
      <c r="P42" s="47">
        <f>Emissions!R87</f>
        <v>297.31791253242642</v>
      </c>
      <c r="Q42" s="47">
        <f>Emissions!S87</f>
        <v>317.95024703732088</v>
      </c>
      <c r="R42" s="47">
        <f>Emissions!T87</f>
        <v>338.58258154220977</v>
      </c>
      <c r="S42" s="47">
        <f>Emissions!U87</f>
        <v>359.21491604710423</v>
      </c>
      <c r="T42" s="47">
        <f>Emissions!V87</f>
        <v>435.89846666666671</v>
      </c>
      <c r="U42" s="47">
        <f>Emissions!W87</f>
        <v>355.08659999999998</v>
      </c>
      <c r="V42" s="47">
        <f>Emissions!X87</f>
        <v>393.08573333333334</v>
      </c>
      <c r="W42" s="47">
        <f>Emissions!Y87</f>
        <v>484.55366666666663</v>
      </c>
      <c r="X42" s="47">
        <f>Emissions!Z87</f>
        <v>480.19253333333336</v>
      </c>
      <c r="Y42" s="47">
        <f>Emissions!AA87</f>
        <v>380.54426666666666</v>
      </c>
      <c r="Z42" s="47">
        <f>Emissions!AB87</f>
        <v>501.48046666666664</v>
      </c>
      <c r="AA42" s="47">
        <f>Emissions!AC87</f>
        <v>571.19113333333337</v>
      </c>
      <c r="AB42" s="47">
        <f>Emissions!AD87</f>
        <v>470.0955092083982</v>
      </c>
      <c r="AC42" s="47">
        <f>Emissions!AE87</f>
        <v>470.03536519379952</v>
      </c>
      <c r="AD42" s="47">
        <f>Emissions!AF87</f>
        <v>469.95317798043089</v>
      </c>
      <c r="AE42" s="47">
        <f>Emissions!AG87</f>
        <v>469.89352096222319</v>
      </c>
      <c r="AF42" s="47">
        <f>Emissions!AH87</f>
        <v>469.86446843869999</v>
      </c>
      <c r="AG42" s="47">
        <f>Emissions!AI87</f>
        <v>469.83579331552539</v>
      </c>
      <c r="AH42" s="47">
        <f>Emissions!AJ87</f>
        <v>469.79241481044551</v>
      </c>
      <c r="AI42" s="47">
        <f>Emissions!AK87</f>
        <v>469.7449217027355</v>
      </c>
      <c r="AJ42" s="47">
        <f>Emissions!AL87</f>
        <v>469.72937887336718</v>
      </c>
      <c r="AK42" s="47">
        <f>Emissions!AM87</f>
        <v>470.01487546871522</v>
      </c>
      <c r="AL42" s="47">
        <f>Emissions!AN87</f>
        <v>469.92581942179322</v>
      </c>
      <c r="AM42" s="47">
        <f>Emissions!AO87</f>
        <v>469.84575119138754</v>
      </c>
      <c r="AN42" s="47">
        <f>Emissions!AP87</f>
        <v>469.76642521208788</v>
      </c>
      <c r="AO42" s="47">
        <f>Emissions!AQ87</f>
        <v>469.67536724839931</v>
      </c>
      <c r="AP42" s="47">
        <f>Emissions!AR87</f>
        <v>469.58529757953056</v>
      </c>
      <c r="AQ42" s="47">
        <f>Emissions!AS87</f>
        <v>469.49397820036393</v>
      </c>
      <c r="AR42" s="47">
        <f>Emissions!AT87</f>
        <v>469.40654586626169</v>
      </c>
      <c r="AS42" s="47">
        <f>Emissions!AU87</f>
        <v>469.31537649215352</v>
      </c>
      <c r="AT42" s="47">
        <f>Emissions!AV87</f>
        <v>469.23068623676357</v>
      </c>
      <c r="AU42" s="47">
        <f>Emissions!AW87</f>
        <v>469.14524048860676</v>
      </c>
      <c r="AV42" s="47">
        <f>Emissions!AX87</f>
        <v>469.04581058889983</v>
      </c>
      <c r="AW42" s="47">
        <f>Emissions!AY87</f>
        <v>468.94084303525642</v>
      </c>
      <c r="AX42" s="47">
        <f>Emissions!AZ87</f>
        <v>468.83455141149926</v>
      </c>
      <c r="AY42" s="47">
        <f>Emissions!BA87</f>
        <v>468.81345709400091</v>
      </c>
      <c r="AZ42" s="47">
        <f>Emissions!BB87</f>
        <v>477.57932101318937</v>
      </c>
      <c r="BA42" s="47">
        <f>Emissions!BC87</f>
        <v>477.59482921232205</v>
      </c>
      <c r="BB42" s="47">
        <f>Emissions!BD87</f>
        <v>477.61050066047437</v>
      </c>
      <c r="BC42" s="47">
        <f>Emissions!BE87</f>
        <v>477.6263376066097</v>
      </c>
      <c r="BD42" s="47">
        <f>Emissions!BF87</f>
        <v>477.64234234199222</v>
      </c>
      <c r="BE42" s="47">
        <f>Emissions!BG87</f>
        <v>477.658517201243</v>
      </c>
      <c r="BF42" s="47">
        <f>Emissions!BH87</f>
        <v>477.67238203908232</v>
      </c>
      <c r="BG42" s="47">
        <f>Emissions!BI87</f>
        <v>477.68637264501467</v>
      </c>
      <c r="BH42" s="47">
        <f>Emissions!BJ87</f>
        <v>477.70049052389624</v>
      </c>
      <c r="BI42" s="47">
        <f>Emissions!BK87</f>
        <v>477.71473720527149</v>
      </c>
      <c r="BJ42" s="47">
        <f>Emissions!BL87</f>
        <v>477.72911424390975</v>
      </c>
      <c r="BK42" s="47">
        <f>Emissions!BM87</f>
        <v>477.74103620979719</v>
      </c>
      <c r="BL42" s="47">
        <f>Emissions!BN87</f>
        <v>477.75304829499794</v>
      </c>
      <c r="BM42" s="47">
        <f>Emissions!BO87</f>
        <v>477.76515140412982</v>
      </c>
      <c r="BN42" s="47">
        <f>Emissions!BP87</f>
        <v>477.77734645430195</v>
      </c>
    </row>
    <row r="43" spans="1:66" s="19" customFormat="1" ht="15.75" x14ac:dyDescent="0.25">
      <c r="A43" s="19" t="str">
        <f t="shared" si="18"/>
        <v>3C Aggregated and non-CO2 emissions on land</v>
      </c>
      <c r="B43" s="19" t="str">
        <f>'IPCC Categories'!B73</f>
        <v>3C4 Direct N2O from managed soils (N2O)</v>
      </c>
      <c r="C43" s="19" t="s">
        <v>148</v>
      </c>
      <c r="D43" s="19" t="s">
        <v>139</v>
      </c>
      <c r="E43" s="19" t="s">
        <v>287</v>
      </c>
      <c r="F43" s="47">
        <f>SUM(F44:F48)</f>
        <v>55.596597383734697</v>
      </c>
      <c r="G43" s="47">
        <f t="shared" ref="G43:BN43" si="24">SUM(G44:G48)</f>
        <v>55.28633998855625</v>
      </c>
      <c r="H43" s="47">
        <f t="shared" si="24"/>
        <v>54.71008958224381</v>
      </c>
      <c r="I43" s="47">
        <f t="shared" si="24"/>
        <v>54.205597256781054</v>
      </c>
      <c r="J43" s="47">
        <f t="shared" si="24"/>
        <v>52.900250302352887</v>
      </c>
      <c r="K43" s="47">
        <f t="shared" si="24"/>
        <v>51.915653074343908</v>
      </c>
      <c r="L43" s="47">
        <f t="shared" si="24"/>
        <v>54.152443602860892</v>
      </c>
      <c r="M43" s="47">
        <f t="shared" si="24"/>
        <v>55.0921271912325</v>
      </c>
      <c r="N43" s="47">
        <f t="shared" si="24"/>
        <v>55.452453962621647</v>
      </c>
      <c r="O43" s="47">
        <f t="shared" si="24"/>
        <v>55.340893527840024</v>
      </c>
      <c r="P43" s="47">
        <f t="shared" si="24"/>
        <v>54.909001676139468</v>
      </c>
      <c r="Q43" s="47">
        <f t="shared" si="24"/>
        <v>53.415685968258067</v>
      </c>
      <c r="R43" s="47">
        <f t="shared" si="24"/>
        <v>54.703059588171548</v>
      </c>
      <c r="S43" s="47">
        <f t="shared" si="24"/>
        <v>54.096474666145404</v>
      </c>
      <c r="T43" s="47">
        <f t="shared" si="24"/>
        <v>53.498896979933384</v>
      </c>
      <c r="U43" s="47">
        <f t="shared" si="24"/>
        <v>52.263187711915691</v>
      </c>
      <c r="V43" s="47">
        <f t="shared" si="24"/>
        <v>52.35335955308765</v>
      </c>
      <c r="W43" s="47">
        <f t="shared" si="24"/>
        <v>54.345597859655129</v>
      </c>
      <c r="X43" s="47">
        <f t="shared" si="24"/>
        <v>54.4968684161461</v>
      </c>
      <c r="Y43" s="47">
        <f t="shared" si="24"/>
        <v>54.126626370799677</v>
      </c>
      <c r="Z43" s="47">
        <f t="shared" si="24"/>
        <v>53.115630834632697</v>
      </c>
      <c r="AA43" s="47">
        <f t="shared" si="24"/>
        <v>53.123674822972326</v>
      </c>
      <c r="AB43" s="47">
        <f t="shared" si="24"/>
        <v>55.594565492496258</v>
      </c>
      <c r="AC43" s="47">
        <f t="shared" si="24"/>
        <v>55.471575300239905</v>
      </c>
      <c r="AD43" s="47">
        <f t="shared" si="24"/>
        <v>55.128626908936276</v>
      </c>
      <c r="AE43" s="47">
        <f t="shared" si="24"/>
        <v>54.488759167314001</v>
      </c>
      <c r="AF43" s="47">
        <f t="shared" si="24"/>
        <v>53.873150729870702</v>
      </c>
      <c r="AG43" s="47">
        <f t="shared" si="24"/>
        <v>53.42956175915063</v>
      </c>
      <c r="AH43" s="47">
        <f t="shared" si="24"/>
        <v>53.043900666519413</v>
      </c>
      <c r="AI43" s="47">
        <f t="shared" si="24"/>
        <v>52.372632038090067</v>
      </c>
      <c r="AJ43" s="47">
        <f t="shared" si="24"/>
        <v>49.066655521416401</v>
      </c>
      <c r="AK43" s="47">
        <f t="shared" si="24"/>
        <v>49.324116765187668</v>
      </c>
      <c r="AL43" s="47">
        <f t="shared" si="24"/>
        <v>49.547800375274321</v>
      </c>
      <c r="AM43" s="47">
        <f t="shared" si="24"/>
        <v>49.768808750286603</v>
      </c>
      <c r="AN43" s="47">
        <f t="shared" si="24"/>
        <v>50.093508588273892</v>
      </c>
      <c r="AO43" s="47">
        <f t="shared" si="24"/>
        <v>50.414522065193076</v>
      </c>
      <c r="AP43" s="47">
        <f t="shared" si="24"/>
        <v>50.739315153549242</v>
      </c>
      <c r="AQ43" s="47">
        <f t="shared" si="24"/>
        <v>51.033941635807039</v>
      </c>
      <c r="AR43" s="47">
        <f t="shared" si="24"/>
        <v>51.362520149190679</v>
      </c>
      <c r="AS43" s="47">
        <f t="shared" si="24"/>
        <v>51.638567775660185</v>
      </c>
      <c r="AT43" s="47">
        <f t="shared" si="24"/>
        <v>51.922439942928243</v>
      </c>
      <c r="AU43" s="47">
        <f t="shared" si="24"/>
        <v>52.119723069342164</v>
      </c>
      <c r="AV43" s="47">
        <f t="shared" si="24"/>
        <v>52.359137746828807</v>
      </c>
      <c r="AW43" s="47">
        <f t="shared" si="24"/>
        <v>52.603525515217605</v>
      </c>
      <c r="AX43" s="47">
        <f t="shared" si="24"/>
        <v>52.129953203987739</v>
      </c>
      <c r="AY43" s="47">
        <f t="shared" si="24"/>
        <v>18.509525646004274</v>
      </c>
      <c r="AZ43" s="47">
        <f t="shared" si="24"/>
        <v>17.755799604041201</v>
      </c>
      <c r="BA43" s="47">
        <f t="shared" si="24"/>
        <v>17.891826212773644</v>
      </c>
      <c r="BB43" s="47">
        <f t="shared" si="24"/>
        <v>18.026858192915839</v>
      </c>
      <c r="BC43" s="47">
        <f t="shared" si="24"/>
        <v>18.160959754763969</v>
      </c>
      <c r="BD43" s="47">
        <f t="shared" si="24"/>
        <v>18.294191052724102</v>
      </c>
      <c r="BE43" s="47">
        <f t="shared" si="24"/>
        <v>18.397684480382473</v>
      </c>
      <c r="BF43" s="47">
        <f t="shared" si="24"/>
        <v>18.500719338698861</v>
      </c>
      <c r="BG43" s="47">
        <f t="shared" si="24"/>
        <v>18.603087048589266</v>
      </c>
      <c r="BH43" s="47">
        <f t="shared" si="24"/>
        <v>18.704824565521058</v>
      </c>
      <c r="BI43" s="47">
        <f t="shared" si="24"/>
        <v>18.805966748129705</v>
      </c>
      <c r="BJ43" s="47">
        <f t="shared" si="24"/>
        <v>18.901525599818633</v>
      </c>
      <c r="BK43" s="47">
        <f t="shared" si="24"/>
        <v>18.996669843599971</v>
      </c>
      <c r="BL43" s="47">
        <f t="shared" si="24"/>
        <v>19.091170187616711</v>
      </c>
      <c r="BM43" s="47">
        <f t="shared" si="24"/>
        <v>19.18505477894147</v>
      </c>
      <c r="BN43" s="47">
        <f t="shared" si="24"/>
        <v>19.278350304672628</v>
      </c>
    </row>
    <row r="44" spans="1:66" x14ac:dyDescent="0.25">
      <c r="A44" t="str">
        <f>A42</f>
        <v>3C Aggregated and non-CO2 emissions on land</v>
      </c>
      <c r="B44" t="str">
        <f>'IPCC Categories'!B73</f>
        <v>3C4 Direct N2O from managed soils (N2O)</v>
      </c>
      <c r="C44" t="str">
        <f>'IPCC Categories'!C73</f>
        <v>Inorganic inputs</v>
      </c>
      <c r="D44" t="s">
        <v>139</v>
      </c>
      <c r="E44" t="s">
        <v>287</v>
      </c>
      <c r="F44" s="22">
        <f>Emissions!H88</f>
        <v>5.4008271428571426</v>
      </c>
      <c r="G44" s="22">
        <f>Emissions!I88</f>
        <v>5.7362642857142854</v>
      </c>
      <c r="H44" s="22">
        <f>Emissions!J88</f>
        <v>5.4611071428571423</v>
      </c>
      <c r="I44" s="22">
        <f>Emissions!K88</f>
        <v>6.4186414285714282</v>
      </c>
      <c r="J44" s="22">
        <f>Emissions!L88</f>
        <v>5.8938942857142855</v>
      </c>
      <c r="K44" s="22">
        <f>Emissions!M88</f>
        <v>5.8377157142857143</v>
      </c>
      <c r="L44" s="22">
        <f>Emissions!N88</f>
        <v>6.5227485714285702</v>
      </c>
      <c r="M44" s="22">
        <f>Emissions!O88</f>
        <v>6.3943628571428572</v>
      </c>
      <c r="N44" s="22">
        <f>Emissions!P88</f>
        <v>6.5296157142857139</v>
      </c>
      <c r="O44" s="22">
        <f>Emissions!Q88</f>
        <v>6.4907071428571426</v>
      </c>
      <c r="P44" s="22">
        <f>Emissions!R88</f>
        <v>6.5360899999999997</v>
      </c>
      <c r="Q44" s="22">
        <f>Emissions!S88</f>
        <v>6.219918571428571</v>
      </c>
      <c r="R44" s="22">
        <f>Emissions!T88</f>
        <v>7.4968457142857146</v>
      </c>
      <c r="S44" s="22">
        <f>Emissions!U88</f>
        <v>6.6129957142857139</v>
      </c>
      <c r="T44" s="22">
        <f>Emissions!V88</f>
        <v>6.7189728571428571</v>
      </c>
      <c r="U44" s="22">
        <f>Emissions!W88</f>
        <v>5.4569428571428569</v>
      </c>
      <c r="V44" s="22">
        <f>Emissions!X88</f>
        <v>6.7370128571428571</v>
      </c>
      <c r="W44" s="22">
        <f>Emissions!Y88</f>
        <v>6.9061142857142848</v>
      </c>
      <c r="X44" s="22">
        <f>Emissions!Z88</f>
        <v>6.66479</v>
      </c>
      <c r="Y44" s="22">
        <f>Emissions!AA88</f>
        <v>7.1307814285714279</v>
      </c>
      <c r="Z44" s="22">
        <f>Emissions!AB88</f>
        <v>6.2071428571428573</v>
      </c>
      <c r="AA44" s="22">
        <f>Emissions!AC88</f>
        <v>6.5842857142857145</v>
      </c>
      <c r="AB44" s="22">
        <f>Emissions!AD88</f>
        <v>6.6064812063358538</v>
      </c>
      <c r="AC44" s="22">
        <f>Emissions!AE88</f>
        <v>6.6055332632324646</v>
      </c>
      <c r="AD44" s="22">
        <f>Emissions!AF88</f>
        <v>6.6042378924026437</v>
      </c>
      <c r="AE44" s="22">
        <f>Emissions!AG88</f>
        <v>6.6032976249569808</v>
      </c>
      <c r="AF44" s="22">
        <f>Emissions!AH88</f>
        <v>6.6028397217143464</v>
      </c>
      <c r="AG44" s="22">
        <f>Emissions!AI88</f>
        <v>6.6023877667619955</v>
      </c>
      <c r="AH44" s="22">
        <f>Emissions!AJ88</f>
        <v>6.6017040685586048</v>
      </c>
      <c r="AI44" s="22">
        <f>Emissions!AK88</f>
        <v>6.6009555191940086</v>
      </c>
      <c r="AJ44" s="22">
        <f>Emissions!AL88</f>
        <v>6.6007105452260202</v>
      </c>
      <c r="AK44" s="22">
        <f>Emissions!AM88</f>
        <v>6.6052103201480445</v>
      </c>
      <c r="AL44" s="22">
        <f>Emissions!AN88</f>
        <v>6.6038066881148643</v>
      </c>
      <c r="AM44" s="22">
        <f>Emissions!AO88</f>
        <v>6.60254471504373</v>
      </c>
      <c r="AN44" s="22">
        <f>Emissions!AP88</f>
        <v>6.6012944407562824</v>
      </c>
      <c r="AO44" s="22">
        <f>Emissions!AQ88</f>
        <v>6.5998592560706051</v>
      </c>
      <c r="AP44" s="22">
        <f>Emissions!AR88</f>
        <v>6.5984396481179575</v>
      </c>
      <c r="AQ44" s="22">
        <f>Emissions!AS88</f>
        <v>6.5970003432051669</v>
      </c>
      <c r="AR44" s="22">
        <f>Emissions!AT88</f>
        <v>6.595622302868513</v>
      </c>
      <c r="AS44" s="22">
        <f>Emissions!AU88</f>
        <v>6.5941853622185969</v>
      </c>
      <c r="AT44" s="22">
        <f>Emissions!AV88</f>
        <v>6.592850540390411</v>
      </c>
      <c r="AU44" s="22">
        <f>Emissions!AW88</f>
        <v>6.5915038110737925</v>
      </c>
      <c r="AV44" s="22">
        <f>Emissions!AX88</f>
        <v>6.5899366744546857</v>
      </c>
      <c r="AW44" s="22">
        <f>Emissions!AY88</f>
        <v>6.5882822576482969</v>
      </c>
      <c r="AX44" s="22">
        <f>Emissions!AZ88</f>
        <v>6.5866069718802809</v>
      </c>
      <c r="AY44" s="22">
        <f>Emissions!BA88</f>
        <v>6.5862744996812319</v>
      </c>
      <c r="AZ44" s="22">
        <f>Emissions!BB88</f>
        <v>6.7244352177988764</v>
      </c>
      <c r="BA44" s="22">
        <f>Emissions!BC88</f>
        <v>6.7246796459520661</v>
      </c>
      <c r="BB44" s="22">
        <f>Emissions!BD88</f>
        <v>6.7249266471091245</v>
      </c>
      <c r="BC44" s="22">
        <f>Emissions!BE88</f>
        <v>6.7251762567164626</v>
      </c>
      <c r="BD44" s="22">
        <f>Emissions!BF88</f>
        <v>6.725428510887201</v>
      </c>
      <c r="BE44" s="22">
        <f>Emissions!BG88</f>
        <v>6.7256834464178157</v>
      </c>
      <c r="BF44" s="22">
        <f>Emissions!BH88</f>
        <v>6.7259019731905472</v>
      </c>
      <c r="BG44" s="22">
        <f>Emissions!BI88</f>
        <v>6.7261224822219834</v>
      </c>
      <c r="BH44" s="22">
        <f>Emissions!BJ88</f>
        <v>6.7263449972304938</v>
      </c>
      <c r="BI44" s="22">
        <f>Emissions!BK88</f>
        <v>6.7265695423235661</v>
      </c>
      <c r="BJ44" s="22">
        <f>Emissions!BL88</f>
        <v>6.7267961420062665</v>
      </c>
      <c r="BK44" s="22">
        <f>Emissions!BM88</f>
        <v>6.72698404674487</v>
      </c>
      <c r="BL44" s="22">
        <f>Emissions!BN88</f>
        <v>6.7271733718738833</v>
      </c>
      <c r="BM44" s="22">
        <f>Emissions!BO88</f>
        <v>6.7273641316511892</v>
      </c>
      <c r="BN44" s="22">
        <f>Emissions!BP88</f>
        <v>6.7275563405315459</v>
      </c>
    </row>
    <row r="45" spans="1:66" x14ac:dyDescent="0.25">
      <c r="A45" t="str">
        <f t="shared" si="18"/>
        <v>3C Aggregated and non-CO2 emissions on land</v>
      </c>
      <c r="B45" t="str">
        <f>B44</f>
        <v>3C4 Direct N2O from managed soils (N2O)</v>
      </c>
      <c r="C45" t="str">
        <f>'IPCC Categories'!C74</f>
        <v>Organic inputs</v>
      </c>
      <c r="D45" t="str">
        <f>D44</f>
        <v>N2O</v>
      </c>
      <c r="E45" t="str">
        <f>E44</f>
        <v>Gg N2O</v>
      </c>
      <c r="F45" s="22">
        <f>Emissions!H89+SUM(Emissions!H91:H106)</f>
        <v>5.013223224744225</v>
      </c>
      <c r="G45" s="22">
        <f>Emissions!I89+SUM(Emissions!I91:I106)</f>
        <v>5.2664911527114882</v>
      </c>
      <c r="H45" s="22">
        <f>Emissions!J89+SUM(Emissions!J91:J106)</f>
        <v>5.1762858222826607</v>
      </c>
      <c r="I45" s="22">
        <f>Emissions!K89+SUM(Emissions!K91:K106)</f>
        <v>5.2086111862956743</v>
      </c>
      <c r="J45" s="22">
        <f>Emissions!L89+SUM(Emissions!L91:L106)</f>
        <v>4.8007290385965042</v>
      </c>
      <c r="K45" s="22">
        <f>Emissions!M89+SUM(Emissions!M91:M106)</f>
        <v>4.8651386255813591</v>
      </c>
      <c r="L45" s="22">
        <f>Emissions!N89+SUM(Emissions!N91:N106)</f>
        <v>5.0338302809481963</v>
      </c>
      <c r="M45" s="22">
        <f>Emissions!O89+SUM(Emissions!O91:O106)</f>
        <v>5.1142932794644391</v>
      </c>
      <c r="N45" s="22">
        <f>Emissions!P89+SUM(Emissions!P91:P106)</f>
        <v>5.3033045117136446</v>
      </c>
      <c r="O45" s="22">
        <f>Emissions!Q89+SUM(Emissions!Q91:Q106)</f>
        <v>5.4092266243626721</v>
      </c>
      <c r="P45" s="22">
        <f>Emissions!R89+SUM(Emissions!R91:R106)</f>
        <v>5.6403135553523542</v>
      </c>
      <c r="Q45" s="22">
        <f>Emissions!S89+SUM(Emissions!S91:S106)</f>
        <v>5.5621015030972583</v>
      </c>
      <c r="R45" s="22">
        <f>Emissions!T89+SUM(Emissions!T91:T106)</f>
        <v>5.7412119564886979</v>
      </c>
      <c r="S45" s="22">
        <f>Emissions!U89+SUM(Emissions!U91:U106)</f>
        <v>5.6607422735121498</v>
      </c>
      <c r="T45" s="22">
        <f>Emissions!V89+SUM(Emissions!V91:V106)</f>
        <v>5.5972438596319325</v>
      </c>
      <c r="U45" s="22">
        <f>Emissions!W89+SUM(Emissions!W91:W106)</f>
        <v>5.6518594537321407</v>
      </c>
      <c r="V45" s="22">
        <f>Emissions!X89+SUM(Emissions!X91:X106)</f>
        <v>5.7679219843073382</v>
      </c>
      <c r="W45" s="22">
        <f>Emissions!Y89+SUM(Emissions!Y91:Y106)</f>
        <v>5.930952774865669</v>
      </c>
      <c r="X45" s="22">
        <f>Emissions!Z89+SUM(Emissions!Z91:Z106)</f>
        <v>6.1389173405766284</v>
      </c>
      <c r="Y45" s="22">
        <f>Emissions!AA89+SUM(Emissions!AA91:AA106)</f>
        <v>6.0934183775123598</v>
      </c>
      <c r="Z45" s="22">
        <f>Emissions!AB89+SUM(Emissions!AB91:AB106)</f>
        <v>6.0637701628895098</v>
      </c>
      <c r="AA45" s="22">
        <f>Emissions!AC89+SUM(Emissions!AC91:AC106)</f>
        <v>6.1036946299350001</v>
      </c>
      <c r="AB45" s="22">
        <f>Emissions!AD89+SUM(Emissions!AD91:AD106)</f>
        <v>6.0902692345578453</v>
      </c>
      <c r="AC45" s="22">
        <f>Emissions!AE89+SUM(Emissions!AE91:AE106)</f>
        <v>6.1063415905107146</v>
      </c>
      <c r="AD45" s="22">
        <f>Emissions!AF89+SUM(Emissions!AF91:AF106)</f>
        <v>6.0839259577663176</v>
      </c>
      <c r="AE45" s="22">
        <f>Emissions!AG89+SUM(Emissions!AG91:AG106)</f>
        <v>6.0095923584091784</v>
      </c>
      <c r="AF45" s="22">
        <f>Emissions!AH89+SUM(Emissions!AH91:AH106)</f>
        <v>5.9383865865020544</v>
      </c>
      <c r="AG45" s="22">
        <f>Emissions!AI89+SUM(Emissions!AI91:AI106)</f>
        <v>5.8959428642898359</v>
      </c>
      <c r="AH45" s="22">
        <f>Emissions!AJ89+SUM(Emissions!AJ91:AJ106)</f>
        <v>5.8629169295392014</v>
      </c>
      <c r="AI45" s="22">
        <f>Emissions!AK89+SUM(Emissions!AK91:AK106)</f>
        <v>5.778069941778246</v>
      </c>
      <c r="AJ45" s="22">
        <f>Emissions!AL89+SUM(Emissions!AL91:AL106)</f>
        <v>5.2150715941266128</v>
      </c>
      <c r="AK45" s="22">
        <f>Emissions!AM89+SUM(Emissions!AM91:AM106)</f>
        <v>5.2845490161884294</v>
      </c>
      <c r="AL45" s="22">
        <f>Emissions!AN89+SUM(Emissions!AN91:AN106)</f>
        <v>5.3411594984122894</v>
      </c>
      <c r="AM45" s="22">
        <f>Emissions!AO89+SUM(Emissions!AO91:AO106)</f>
        <v>5.3976770412733295</v>
      </c>
      <c r="AN45" s="22">
        <f>Emissions!AP89+SUM(Emissions!AP91:AP106)</f>
        <v>5.4736212307291874</v>
      </c>
      <c r="AO45" s="22">
        <f>Emissions!AQ89+SUM(Emissions!AQ91:AQ106)</f>
        <v>5.5491273848890907</v>
      </c>
      <c r="AP45" s="22">
        <f>Emissions!AR89+SUM(Emissions!AR91:AR106)</f>
        <v>5.6279265790888129</v>
      </c>
      <c r="AQ45" s="22">
        <f>Emissions!AS89+SUM(Emissions!AS91:AS106)</f>
        <v>5.7015982893356867</v>
      </c>
      <c r="AR45" s="22">
        <f>Emissions!AT89+SUM(Emissions!AT91:AT106)</f>
        <v>5.7822674393210836</v>
      </c>
      <c r="AS45" s="22">
        <f>Emissions!AU89+SUM(Emissions!AU91:AU106)</f>
        <v>5.853526508775996</v>
      </c>
      <c r="AT45" s="22">
        <f>Emissions!AV89+SUM(Emissions!AV91:AV106)</f>
        <v>5.9269381970615171</v>
      </c>
      <c r="AU45" s="22">
        <f>Emissions!AW89+SUM(Emissions!AW91:AW106)</f>
        <v>6.0036989960598524</v>
      </c>
      <c r="AV45" s="22">
        <f>Emissions!AX89+SUM(Emissions!AX91:AX106)</f>
        <v>6.0899516913744023</v>
      </c>
      <c r="AW45" s="22">
        <f>Emissions!AY89+SUM(Emissions!AY91:AY106)</f>
        <v>6.1788969859151113</v>
      </c>
      <c r="AX45" s="22">
        <f>Emissions!AZ89+SUM(Emissions!AZ91:AZ106)</f>
        <v>6.128215507056856</v>
      </c>
      <c r="AY45" s="22">
        <f>Emissions!BA89+SUM(Emissions!BA91:BA106)</f>
        <v>-0.5159566952589062</v>
      </c>
      <c r="AZ45" s="22">
        <f>Emissions!BB89+SUM(Emissions!BB91:BB106)</f>
        <v>-0.50181834529752656</v>
      </c>
      <c r="BA45" s="22">
        <f>Emissions!BC89+SUM(Emissions!BC91:BC106)</f>
        <v>-0.48883190441565183</v>
      </c>
      <c r="BB45" s="22">
        <f>Emissions!BD89+SUM(Emissions!BD91:BD106)</f>
        <v>-0.47607446599431386</v>
      </c>
      <c r="BC45" s="22">
        <f>Emissions!BE89+SUM(Emissions!BE91:BE106)</f>
        <v>-0.46353427600944896</v>
      </c>
      <c r="BD45" s="22">
        <f>Emissions!BF89+SUM(Emissions!BF91:BF106)</f>
        <v>-0.45120038588425671</v>
      </c>
      <c r="BE45" s="22">
        <f>Emissions!BG89+SUM(Emissions!BG91:BG106)</f>
        <v>-0.44086622918968632</v>
      </c>
      <c r="BF45" s="22">
        <f>Emissions!BH89+SUM(Emissions!BH91:BH106)</f>
        <v>-0.43070978133959203</v>
      </c>
      <c r="BG45" s="22">
        <f>Emissions!BI89+SUM(Emissions!BI91:BI106)</f>
        <v>-0.42072265224983219</v>
      </c>
      <c r="BH45" s="22">
        <f>Emissions!BJ89+SUM(Emissions!BJ91:BJ106)</f>
        <v>-0.41089721921646027</v>
      </c>
      <c r="BI45" s="22">
        <f>Emissions!BK89+SUM(Emissions!BK91:BK106)</f>
        <v>-0.40122633071794472</v>
      </c>
      <c r="BJ45" s="22">
        <f>Emissions!BL89+SUM(Emissions!BL91:BL106)</f>
        <v>-0.39106273624647081</v>
      </c>
      <c r="BK45" s="22">
        <f>Emissions!BM89+SUM(Emissions!BM91:BM106)</f>
        <v>-0.38105616817264765</v>
      </c>
      <c r="BL45" s="22">
        <f>Emissions!BN89+SUM(Emissions!BN91:BN106)</f>
        <v>-0.37120009331423637</v>
      </c>
      <c r="BM45" s="22">
        <f>Emissions!BO89+SUM(Emissions!BO91:BO106)</f>
        <v>-0.36148860080705736</v>
      </c>
      <c r="BN45" s="22">
        <f>Emissions!BP89+SUM(Emissions!BP91:BP106)</f>
        <v>-0.35191611049031635</v>
      </c>
    </row>
    <row r="46" spans="1:66" x14ac:dyDescent="0.25">
      <c r="A46" t="str">
        <f t="shared" si="18"/>
        <v>3C Aggregated and non-CO2 emissions on land</v>
      </c>
      <c r="B46" t="str">
        <f t="shared" si="18"/>
        <v>3C4 Direct N2O from managed soils (N2O)</v>
      </c>
      <c r="C46" t="str">
        <f>'IPCC Categories'!C75</f>
        <v>Crop residues</v>
      </c>
      <c r="D46" t="str">
        <f t="shared" ref="D46" si="25">D45</f>
        <v>N2O</v>
      </c>
      <c r="E46" t="str">
        <f t="shared" ref="E46" si="26">E45</f>
        <v>Gg N2O</v>
      </c>
      <c r="F46" s="22">
        <f>Emissions!H90</f>
        <v>4.7572664246993837</v>
      </c>
      <c r="G46" s="22">
        <f>Emissions!I90</f>
        <v>4.2403582737669279</v>
      </c>
      <c r="H46" s="22">
        <f>Emissions!J90</f>
        <v>4.4153625132445411</v>
      </c>
      <c r="I46" s="22">
        <f>Emissions!K90</f>
        <v>4.7418888374800598</v>
      </c>
      <c r="J46" s="22">
        <f>Emissions!L90</f>
        <v>5.0009128268356475</v>
      </c>
      <c r="K46" s="22">
        <f>Emissions!M90</f>
        <v>3.8892379277011866</v>
      </c>
      <c r="L46" s="22">
        <f>Emissions!N90</f>
        <v>4.2839264832658595</v>
      </c>
      <c r="M46" s="22">
        <f>Emissions!O90</f>
        <v>4.5049773321420563</v>
      </c>
      <c r="N46" s="22">
        <f>Emissions!P90</f>
        <v>3.9255738498283432</v>
      </c>
      <c r="O46" s="22">
        <f>Emissions!Q90</f>
        <v>3.8953932469931241</v>
      </c>
      <c r="P46" s="22">
        <f>Emissions!R90</f>
        <v>4.4710787977237265</v>
      </c>
      <c r="Q46" s="22">
        <f>Emissions!S90</f>
        <v>3.6519029734228816</v>
      </c>
      <c r="R46" s="22">
        <f>Emissions!T90</f>
        <v>3.982993252892217</v>
      </c>
      <c r="S46" s="22">
        <f>Emissions!U90</f>
        <v>3.9301610630705248</v>
      </c>
      <c r="T46" s="22">
        <f>Emissions!V90</f>
        <v>3.5144884547415667</v>
      </c>
      <c r="U46" s="22">
        <f>Emissions!W90</f>
        <v>3.5698504074879742</v>
      </c>
      <c r="V46" s="22">
        <f>Emissions!X90</f>
        <v>2.4003352875845994</v>
      </c>
      <c r="W46" s="22">
        <f>Emissions!Y90</f>
        <v>3.2539877539471691</v>
      </c>
      <c r="X46" s="22">
        <f>Emissions!Z90</f>
        <v>3.7163492663367288</v>
      </c>
      <c r="Y46" s="22">
        <f>Emissions!AA90</f>
        <v>3.3020035495326421</v>
      </c>
      <c r="Z46" s="22">
        <f>Emissions!AB90</f>
        <v>3.605306989206821</v>
      </c>
      <c r="AA46" s="22">
        <f>Emissions!AC90</f>
        <v>3.3383236984964055</v>
      </c>
      <c r="AB46" s="22">
        <f>Emissions!AD90</f>
        <v>2.94930909510781</v>
      </c>
      <c r="AC46" s="22">
        <f>Emissions!AE90</f>
        <v>2.9563860470471841</v>
      </c>
      <c r="AD46" s="22">
        <f>Emissions!AF90</f>
        <v>2.9660567509887259</v>
      </c>
      <c r="AE46" s="22">
        <f>Emissions!AG90</f>
        <v>2.9730763996357101</v>
      </c>
      <c r="AF46" s="22">
        <f>Emissions!AH90</f>
        <v>2.9764949162422756</v>
      </c>
      <c r="AG46" s="22">
        <f>Emissions!AI90</f>
        <v>2.9798690253687776</v>
      </c>
      <c r="AH46" s="22">
        <f>Emissions!AJ90</f>
        <v>2.9849732339537955</v>
      </c>
      <c r="AI46" s="22">
        <f>Emissions!AK90</f>
        <v>2.9905615945405919</v>
      </c>
      <c r="AJ46" s="22">
        <f>Emissions!AL90</f>
        <v>2.9923904690707688</v>
      </c>
      <c r="AK46" s="22">
        <f>Emissions!AM90</f>
        <v>2.9587970068183171</v>
      </c>
      <c r="AL46" s="22">
        <f>Emissions!AN90</f>
        <v>2.9692759442185355</v>
      </c>
      <c r="AM46" s="22">
        <f>Emissions!AO90</f>
        <v>2.9786973142789162</v>
      </c>
      <c r="AN46" s="22">
        <f>Emissions!AP90</f>
        <v>2.9880313460490315</v>
      </c>
      <c r="AO46" s="22">
        <f>Emissions!AQ90</f>
        <v>2.9987458425292064</v>
      </c>
      <c r="AP46" s="22">
        <f>Emissions!AR90</f>
        <v>3.0093440495500001</v>
      </c>
      <c r="AQ46" s="22">
        <f>Emissions!AS90</f>
        <v>3.0200893059451359</v>
      </c>
      <c r="AR46" s="22">
        <f>Emissions!AT90</f>
        <v>3.0303771863022528</v>
      </c>
      <c r="AS46" s="22">
        <f>Emissions!AU90</f>
        <v>3.0411047920866441</v>
      </c>
      <c r="AT46" s="22">
        <f>Emissions!AV90</f>
        <v>3.0510700208983077</v>
      </c>
      <c r="AU46" s="22">
        <f>Emissions!AW90</f>
        <v>3.0611241461036762</v>
      </c>
      <c r="AV46" s="22">
        <f>Emissions!AX90</f>
        <v>3.0728237412547079</v>
      </c>
      <c r="AW46" s="22">
        <f>Emissions!AY90</f>
        <v>3.0851749342584296</v>
      </c>
      <c r="AX46" s="22">
        <f>Emissions!AZ90</f>
        <v>3.0976819263158513</v>
      </c>
      <c r="AY46" s="22">
        <f>Emissions!BA90</f>
        <v>3.100164026523585</v>
      </c>
      <c r="AZ46" s="22">
        <f>Emissions!BB90</f>
        <v>2.0687131319155303</v>
      </c>
      <c r="BA46" s="22">
        <f>Emissions!BC90</f>
        <v>2.0668883322133484</v>
      </c>
      <c r="BB46" s="22">
        <f>Emissions!BD90</f>
        <v>2.0650443235262905</v>
      </c>
      <c r="BC46" s="22">
        <f>Emissions!BE90</f>
        <v>2.0631808412261146</v>
      </c>
      <c r="BD46" s="22">
        <f>Emissions!BF90</f>
        <v>2.0612976157071592</v>
      </c>
      <c r="BE46" s="22">
        <f>Emissions!BG90</f>
        <v>2.0593943722621146</v>
      </c>
      <c r="BF46" s="22">
        <f>Emissions!BH90</f>
        <v>2.0577629415754459</v>
      </c>
      <c r="BG46" s="22">
        <f>Emissions!BI90</f>
        <v>2.056116712163484</v>
      </c>
      <c r="BH46" s="22">
        <f>Emissions!BJ90</f>
        <v>2.0544555069546533</v>
      </c>
      <c r="BI46" s="22">
        <f>Emissions!BK90</f>
        <v>2.0527791459724298</v>
      </c>
      <c r="BJ46" s="22">
        <f>Emissions!BL90</f>
        <v>2.0510874462720836</v>
      </c>
      <c r="BK46" s="22">
        <f>Emissions!BM90</f>
        <v>2.0496846270527396</v>
      </c>
      <c r="BL46" s="22">
        <f>Emissions!BN90</f>
        <v>2.0482712037848629</v>
      </c>
      <c r="BM46" s="22">
        <f>Emissions!BO90</f>
        <v>2.0468470700250148</v>
      </c>
      <c r="BN46" s="22">
        <f>Emissions!BP90</f>
        <v>2.0454121178598972</v>
      </c>
    </row>
    <row r="47" spans="1:66" x14ac:dyDescent="0.25">
      <c r="A47" t="str">
        <f t="shared" ref="A47:B47" si="27">A46</f>
        <v>3C Aggregated and non-CO2 emissions on land</v>
      </c>
      <c r="B47" t="str">
        <f t="shared" si="27"/>
        <v>3C4 Direct N2O from managed soils (N2O)</v>
      </c>
      <c r="C47" t="str">
        <f>'IPCC Categories'!C76</f>
        <v>Urine and dung</v>
      </c>
      <c r="D47" t="str">
        <f t="shared" ref="D47:D54" si="28">D46</f>
        <v>N2O</v>
      </c>
      <c r="E47" t="str">
        <f t="shared" ref="E47:E54" si="29">E46</f>
        <v>Gg N2O</v>
      </c>
      <c r="F47" s="22">
        <f>SUM(Emissions!H107:H122)</f>
        <v>40.425280591433946</v>
      </c>
      <c r="G47" s="22">
        <f>SUM(Emissions!I107:I122)</f>
        <v>39.655855375514953</v>
      </c>
      <c r="H47" s="22">
        <f>SUM(Emissions!J107:J122)</f>
        <v>39.269963203010875</v>
      </c>
      <c r="I47" s="22">
        <f>SUM(Emissions!K107:K122)</f>
        <v>37.449084903585295</v>
      </c>
      <c r="J47" s="22">
        <f>SUM(Emissions!L107:L122)</f>
        <v>36.817343250357858</v>
      </c>
      <c r="K47" s="22">
        <f>SUM(Emissions!M107:M122)</f>
        <v>36.936189905927051</v>
      </c>
      <c r="L47" s="22">
        <f>SUM(Emissions!N107:N122)</f>
        <v>37.924567366369672</v>
      </c>
      <c r="M47" s="22">
        <f>SUM(Emissions!O107:O122)</f>
        <v>38.691122821634551</v>
      </c>
      <c r="N47" s="22">
        <f>SUM(Emissions!P107:P122)</f>
        <v>39.306588985945346</v>
      </c>
      <c r="O47" s="22">
        <f>SUM(Emissions!Q107:Q122)</f>
        <v>39.158195612778492</v>
      </c>
      <c r="P47" s="22">
        <f>SUM(Emissions!R107:R122)</f>
        <v>37.874148422214795</v>
      </c>
      <c r="Q47" s="22">
        <f>SUM(Emissions!S107:S122)</f>
        <v>37.594392019460763</v>
      </c>
      <c r="R47" s="22">
        <f>SUM(Emissions!T107:T122)</f>
        <v>37.094637763656323</v>
      </c>
      <c r="S47" s="22">
        <f>SUM(Emissions!U107:U122)</f>
        <v>37.505204714428423</v>
      </c>
      <c r="T47" s="22">
        <f>SUM(Emissions!V107:V122)</f>
        <v>37.280820907568433</v>
      </c>
      <c r="U47" s="22">
        <f>SUM(Emissions!W107:W122)</f>
        <v>37.197164092704128</v>
      </c>
      <c r="V47" s="22">
        <f>SUM(Emissions!X107:X122)</f>
        <v>37.060718523204258</v>
      </c>
      <c r="W47" s="22">
        <f>SUM(Emissions!Y107:Y122)</f>
        <v>37.867172144279415</v>
      </c>
      <c r="X47" s="22">
        <f>SUM(Emissions!Z107:Z122)</f>
        <v>37.589440908384148</v>
      </c>
      <c r="Y47" s="22">
        <f>SUM(Emissions!AA107:AA122)</f>
        <v>37.213052114334651</v>
      </c>
      <c r="Z47" s="22">
        <f>SUM(Emissions!AB107:AB122)</f>
        <v>36.852039924544918</v>
      </c>
      <c r="AA47" s="22">
        <f>SUM(Emissions!AC107:AC122)</f>
        <v>36.70999987940661</v>
      </c>
      <c r="AB47" s="22">
        <f>SUM(Emissions!AD107:AD122)</f>
        <v>35.621547919862678</v>
      </c>
      <c r="AC47" s="22">
        <f>SUM(Emissions!AE107:AE122)</f>
        <v>35.475224507108734</v>
      </c>
      <c r="AD47" s="22">
        <f>SUM(Emissions!AF107:AF122)</f>
        <v>35.145184559729039</v>
      </c>
      <c r="AE47" s="22">
        <f>SUM(Emissions!AG107:AG122)</f>
        <v>34.572439180553843</v>
      </c>
      <c r="AF47" s="22">
        <f>SUM(Emissions!AH107:AH122)</f>
        <v>34.023944045944994</v>
      </c>
      <c r="AG47" s="22">
        <f>SUM(Emissions!AI107:AI122)</f>
        <v>33.618744787554249</v>
      </c>
      <c r="AH47" s="22">
        <f>SUM(Emissions!AJ107:AJ122)</f>
        <v>33.260557263583301</v>
      </c>
      <c r="AI47" s="22">
        <f>SUM(Emissions!AK107:AK122)</f>
        <v>32.668163955983971</v>
      </c>
      <c r="AJ47" s="22">
        <f>SUM(Emissions!AL107:AL122)</f>
        <v>29.922470030691009</v>
      </c>
      <c r="AK47" s="22">
        <f>SUM(Emissions!AM107:AM122)</f>
        <v>30.138415684022146</v>
      </c>
      <c r="AL47" s="22">
        <f>SUM(Emissions!AN107:AN122)</f>
        <v>30.295281650809162</v>
      </c>
      <c r="AM47" s="22">
        <f>SUM(Emissions!AO107:AO122)</f>
        <v>30.450481230262415</v>
      </c>
      <c r="AN47" s="22">
        <f>SUM(Emissions!AP107:AP122)</f>
        <v>30.690021265602436</v>
      </c>
      <c r="AO47" s="22">
        <f>SUM(Emissions!AQ107:AQ122)</f>
        <v>30.925117420858481</v>
      </c>
      <c r="AP47" s="22">
        <f>SUM(Emissions!AR107:AR122)</f>
        <v>31.16080086023803</v>
      </c>
      <c r="AQ47" s="22">
        <f>SUM(Emissions!AS107:AS122)</f>
        <v>31.371317825057879</v>
      </c>
      <c r="AR47" s="22">
        <f>SUM(Emissions!AT107:AT122)</f>
        <v>31.609185492726912</v>
      </c>
      <c r="AS47" s="22">
        <f>SUM(Emissions!AU107:AU122)</f>
        <v>31.803551528898289</v>
      </c>
      <c r="AT47" s="22">
        <f>SUM(Emissions!AV107:AV122)</f>
        <v>32.004249745188602</v>
      </c>
      <c r="AU47" s="22">
        <f>SUM(Emissions!AW107:AW122)</f>
        <v>32.114932821006704</v>
      </c>
      <c r="AV47" s="22">
        <f>SUM(Emissions!AX107:AX122)</f>
        <v>32.256830488938135</v>
      </c>
      <c r="AW47" s="22">
        <f>SUM(Emissions!AY107:AY122)</f>
        <v>32.400444330880148</v>
      </c>
      <c r="AX47" s="22">
        <f>SUM(Emissions!AZ107:AZ122)</f>
        <v>31.965589936510394</v>
      </c>
      <c r="AY47" s="22">
        <f>SUM(Emissions!BA107:BA122)</f>
        <v>4.9860530971252643</v>
      </c>
      <c r="AZ47" s="22">
        <f>SUM(Emissions!BB107:BB122)</f>
        <v>5.1103470259824801</v>
      </c>
      <c r="BA47" s="22">
        <f>SUM(Emissions!BC107:BC122)</f>
        <v>5.2338357096733006</v>
      </c>
      <c r="BB47" s="22">
        <f>SUM(Emissions!BD107:BD122)</f>
        <v>5.3565754032154151</v>
      </c>
      <c r="BC47" s="22">
        <f>SUM(Emissions!BE107:BE122)</f>
        <v>5.4786187920627771</v>
      </c>
      <c r="BD47" s="22">
        <f>SUM(Emissions!BF107:BF122)</f>
        <v>5.6000153155371954</v>
      </c>
      <c r="BE47" s="22">
        <f>SUM(Emissions!BG107:BG122)</f>
        <v>5.6936910387066844</v>
      </c>
      <c r="BF47" s="22">
        <f>SUM(Emissions!BH107:BH122)</f>
        <v>5.7868504973781771</v>
      </c>
      <c r="BG47" s="22">
        <f>SUM(Emissions!BI107:BI122)</f>
        <v>5.8795249428506056</v>
      </c>
      <c r="BH47" s="22">
        <f>SUM(Emissions!BJ107:BJ122)</f>
        <v>5.9717438612406069</v>
      </c>
      <c r="BI47" s="22">
        <f>SUM(Emissions!BK107:BK122)</f>
        <v>6.063535115531149</v>
      </c>
      <c r="BJ47" s="22">
        <f>SUM(Emissions!BL107:BL122)</f>
        <v>6.1492636170575086</v>
      </c>
      <c r="BK47" s="22">
        <f>SUM(Emissions!BM107:BM122)</f>
        <v>6.2344843515370236</v>
      </c>
      <c r="BL47" s="22">
        <f>SUM(Emissions!BN107:BN122)</f>
        <v>6.3192208631254756</v>
      </c>
      <c r="BM47" s="22">
        <f>SUM(Emissions!BO107:BO122)</f>
        <v>6.4034954802168551</v>
      </c>
      <c r="BN47" s="22">
        <f>SUM(Emissions!BP107:BP122)</f>
        <v>6.4873294032072941</v>
      </c>
    </row>
    <row r="48" spans="1:66" x14ac:dyDescent="0.25">
      <c r="A48" t="str">
        <f t="shared" ref="A48:B49" si="30">A47</f>
        <v>3C Aggregated and non-CO2 emissions on land</v>
      </c>
      <c r="B48" t="str">
        <f t="shared" si="30"/>
        <v>3C4 Direct N2O from managed soils (N2O)</v>
      </c>
      <c r="C48" t="str">
        <f>'IPCC Categories'!C77</f>
        <v>FSOM</v>
      </c>
      <c r="D48" t="str">
        <f t="shared" si="28"/>
        <v>N2O</v>
      </c>
      <c r="E48" t="str">
        <f t="shared" si="29"/>
        <v>Gg N2O</v>
      </c>
      <c r="F48" s="22">
        <f>SUM(Emissions!H123:H134)</f>
        <v>0</v>
      </c>
      <c r="G48" s="22">
        <f>SUM(Emissions!I123:I134)</f>
        <v>0.38737090084859693</v>
      </c>
      <c r="H48" s="22">
        <f>SUM(Emissions!J123:J134)</f>
        <v>0.38737090084859693</v>
      </c>
      <c r="I48" s="22">
        <f>SUM(Emissions!K123:K134)</f>
        <v>0.38737090084859693</v>
      </c>
      <c r="J48" s="22">
        <f>SUM(Emissions!L123:L134)</f>
        <v>0.38737090084859693</v>
      </c>
      <c r="K48" s="22">
        <f>SUM(Emissions!M123:M134)</f>
        <v>0.38737090084859693</v>
      </c>
      <c r="L48" s="22">
        <f>SUM(Emissions!N123:N134)</f>
        <v>0.38737090084859693</v>
      </c>
      <c r="M48" s="22">
        <f>SUM(Emissions!O123:O134)</f>
        <v>0.38737090084859693</v>
      </c>
      <c r="N48" s="22">
        <f>SUM(Emissions!P123:P134)</f>
        <v>0.38737090084859693</v>
      </c>
      <c r="O48" s="22">
        <f>SUM(Emissions!Q123:Q134)</f>
        <v>0.38737090084859693</v>
      </c>
      <c r="P48" s="22">
        <f>SUM(Emissions!R123:R134)</f>
        <v>0.38737090084859693</v>
      </c>
      <c r="Q48" s="22">
        <f>SUM(Emissions!S123:S134)</f>
        <v>0.38737090084859693</v>
      </c>
      <c r="R48" s="22">
        <f>SUM(Emissions!T123:T134)</f>
        <v>0.38737090084859693</v>
      </c>
      <c r="S48" s="22">
        <f>SUM(Emissions!U123:U134)</f>
        <v>0.38737090084859693</v>
      </c>
      <c r="T48" s="22">
        <f>SUM(Emissions!V123:V134)</f>
        <v>0.38737090084859693</v>
      </c>
      <c r="U48" s="22">
        <f>SUM(Emissions!W123:W134)</f>
        <v>0.38737090084859693</v>
      </c>
      <c r="V48" s="22">
        <f>SUM(Emissions!X123:X134)</f>
        <v>0.38737090084859693</v>
      </c>
      <c r="W48" s="22">
        <f>SUM(Emissions!Y123:Y134)</f>
        <v>0.38737090084859693</v>
      </c>
      <c r="X48" s="22">
        <f>SUM(Emissions!Z123:Z134)</f>
        <v>0.38737090084859693</v>
      </c>
      <c r="Y48" s="22">
        <f>SUM(Emissions!AA123:AA134)</f>
        <v>0.38737090084859693</v>
      </c>
      <c r="Z48" s="22">
        <f>SUM(Emissions!AB123:AB134)</f>
        <v>0.38737090084859693</v>
      </c>
      <c r="AA48" s="22">
        <f>SUM(Emissions!AC123:AC134)</f>
        <v>0.38737090084859693</v>
      </c>
      <c r="AB48" s="22">
        <f>SUM(Emissions!AD123:AD134)</f>
        <v>4.3269580366320675</v>
      </c>
      <c r="AC48" s="22">
        <f>SUM(Emissions!AE123:AE134)</f>
        <v>4.3280898923408078</v>
      </c>
      <c r="AD48" s="22">
        <f>SUM(Emissions!AF123:AF134)</f>
        <v>4.329221748049549</v>
      </c>
      <c r="AE48" s="22">
        <f>SUM(Emissions!AG123:AG134)</f>
        <v>4.3303536037582893</v>
      </c>
      <c r="AF48" s="22">
        <f>SUM(Emissions!AH123:AH134)</f>
        <v>4.3314854594670296</v>
      </c>
      <c r="AG48" s="22">
        <f>SUM(Emissions!AI123:AI134)</f>
        <v>4.3326173151757708</v>
      </c>
      <c r="AH48" s="22">
        <f>SUM(Emissions!AJ123:AJ134)</f>
        <v>4.3337491708845111</v>
      </c>
      <c r="AI48" s="22">
        <f>SUM(Emissions!AK123:AK134)</f>
        <v>4.3348810265932514</v>
      </c>
      <c r="AJ48" s="22">
        <f>SUM(Emissions!AL123:AL134)</f>
        <v>4.3360128823019917</v>
      </c>
      <c r="AK48" s="22">
        <f>SUM(Emissions!AM123:AM134)</f>
        <v>4.337144738010732</v>
      </c>
      <c r="AL48" s="22">
        <f>SUM(Emissions!AN123:AN134)</f>
        <v>4.3382765937194723</v>
      </c>
      <c r="AM48" s="22">
        <f>SUM(Emissions!AO123:AO134)</f>
        <v>4.3394084494282135</v>
      </c>
      <c r="AN48" s="22">
        <f>SUM(Emissions!AP123:AP134)</f>
        <v>4.3405403051369538</v>
      </c>
      <c r="AO48" s="22">
        <f>SUM(Emissions!AQ123:AQ134)</f>
        <v>4.341672160845695</v>
      </c>
      <c r="AP48" s="22">
        <f>SUM(Emissions!AR123:AR134)</f>
        <v>4.3428040165544353</v>
      </c>
      <c r="AQ48" s="22">
        <f>SUM(Emissions!AS123:AS134)</f>
        <v>4.3439358722631756</v>
      </c>
      <c r="AR48" s="22">
        <f>SUM(Emissions!AT123:AT134)</f>
        <v>4.3450677279719159</v>
      </c>
      <c r="AS48" s="22">
        <f>SUM(Emissions!AU123:AU134)</f>
        <v>4.3461995836806562</v>
      </c>
      <c r="AT48" s="22">
        <f>SUM(Emissions!AV123:AV134)</f>
        <v>4.3473314393893974</v>
      </c>
      <c r="AU48" s="22">
        <f>SUM(Emissions!AW123:AW134)</f>
        <v>4.3484632950981377</v>
      </c>
      <c r="AV48" s="22">
        <f>SUM(Emissions!AX123:AX134)</f>
        <v>4.349595150806878</v>
      </c>
      <c r="AW48" s="22">
        <f>SUM(Emissions!AY123:AY134)</f>
        <v>4.3507270065156192</v>
      </c>
      <c r="AX48" s="22">
        <f>SUM(Emissions!AZ123:AZ134)</f>
        <v>4.3518588622243595</v>
      </c>
      <c r="AY48" s="22">
        <f>SUM(Emissions!BA123:BA134)</f>
        <v>4.3529907179330998</v>
      </c>
      <c r="AZ48" s="22">
        <f>SUM(Emissions!BB123:BB134)</f>
        <v>4.3541225736418401</v>
      </c>
      <c r="BA48" s="22">
        <f>SUM(Emissions!BC123:BC134)</f>
        <v>4.3552544293505804</v>
      </c>
      <c r="BB48" s="22">
        <f>SUM(Emissions!BD123:BD134)</f>
        <v>4.3563862850593216</v>
      </c>
      <c r="BC48" s="22">
        <f>SUM(Emissions!BE123:BE134)</f>
        <v>4.3575181407680619</v>
      </c>
      <c r="BD48" s="22">
        <f>SUM(Emissions!BF123:BF134)</f>
        <v>4.3586499964768022</v>
      </c>
      <c r="BE48" s="22">
        <f>SUM(Emissions!BG123:BG134)</f>
        <v>4.3597818521855434</v>
      </c>
      <c r="BF48" s="22">
        <f>SUM(Emissions!BH123:BH134)</f>
        <v>4.3609137078942837</v>
      </c>
      <c r="BG48" s="22">
        <f>SUM(Emissions!BI123:BI134)</f>
        <v>4.362045563603024</v>
      </c>
      <c r="BH48" s="22">
        <f>SUM(Emissions!BJ123:BJ134)</f>
        <v>4.3631774193117643</v>
      </c>
      <c r="BI48" s="22">
        <f>SUM(Emissions!BK123:BK134)</f>
        <v>4.3643092750205046</v>
      </c>
      <c r="BJ48" s="22">
        <f>SUM(Emissions!BL123:BL134)</f>
        <v>4.3654411307292458</v>
      </c>
      <c r="BK48" s="22">
        <f>SUM(Emissions!BM123:BM134)</f>
        <v>4.3665729864379861</v>
      </c>
      <c r="BL48" s="22">
        <f>SUM(Emissions!BN123:BN134)</f>
        <v>4.3677048421467273</v>
      </c>
      <c r="BM48" s="22">
        <f>SUM(Emissions!BO123:BO134)</f>
        <v>4.3688366978554676</v>
      </c>
      <c r="BN48" s="22">
        <f>SUM(Emissions!BP123:BP134)</f>
        <v>4.3699685535642079</v>
      </c>
    </row>
    <row r="49" spans="1:72" s="19" customFormat="1" ht="15.75" x14ac:dyDescent="0.25">
      <c r="A49" s="19" t="str">
        <f t="shared" si="30"/>
        <v>3C Aggregated and non-CO2 emissions on land</v>
      </c>
      <c r="B49" s="19" t="str">
        <f>'IPCC Categories'!B78</f>
        <v>3C5 Indirect N2O from managed soils (N2O)</v>
      </c>
      <c r="C49" s="19" t="s">
        <v>148</v>
      </c>
      <c r="D49" s="19" t="str">
        <f t="shared" ref="D49" si="31">D48</f>
        <v>N2O</v>
      </c>
      <c r="E49" s="19" t="str">
        <f t="shared" ref="E49" si="32">E48</f>
        <v>Gg N2O</v>
      </c>
      <c r="F49" s="47">
        <f>SUM(F50:F51)</f>
        <v>7.2080814517834266</v>
      </c>
      <c r="G49" s="47">
        <f t="shared" ref="G49:BN49" si="33">SUM(G50:G51)</f>
        <v>7.1345099865500927</v>
      </c>
      <c r="H49" s="47">
        <f t="shared" si="33"/>
        <v>6.99786412512554</v>
      </c>
      <c r="I49" s="47">
        <f t="shared" si="33"/>
        <v>6.8588909130254319</v>
      </c>
      <c r="J49" s="47">
        <f t="shared" si="33"/>
        <v>6.679602845791754</v>
      </c>
      <c r="K49" s="47">
        <f t="shared" si="33"/>
        <v>6.6534582978194159</v>
      </c>
      <c r="L49" s="47">
        <f t="shared" si="33"/>
        <v>6.8804585865565491</v>
      </c>
      <c r="M49" s="47">
        <f t="shared" si="33"/>
        <v>6.951262387234447</v>
      </c>
      <c r="N49" s="47">
        <f t="shared" si="33"/>
        <v>7.0501121079701523</v>
      </c>
      <c r="O49" s="47">
        <f t="shared" si="33"/>
        <v>7.0310583897046115</v>
      </c>
      <c r="P49" s="47">
        <f t="shared" si="33"/>
        <v>6.9539885376975494</v>
      </c>
      <c r="Q49" s="47">
        <f t="shared" si="33"/>
        <v>6.8347507783671411</v>
      </c>
      <c r="R49" s="47">
        <f t="shared" si="33"/>
        <v>6.9330762409780968</v>
      </c>
      <c r="S49" s="47">
        <f t="shared" si="33"/>
        <v>6.8626749309901376</v>
      </c>
      <c r="T49" s="47">
        <f t="shared" si="33"/>
        <v>6.8083480354019672</v>
      </c>
      <c r="U49" s="47">
        <f t="shared" si="33"/>
        <v>6.684349427481286</v>
      </c>
      <c r="V49" s="47">
        <f t="shared" si="33"/>
        <v>6.7803417478590298</v>
      </c>
      <c r="W49" s="47">
        <f t="shared" si="33"/>
        <v>6.9394221477721096</v>
      </c>
      <c r="X49" s="47">
        <f t="shared" si="33"/>
        <v>6.954986168244754</v>
      </c>
      <c r="Y49" s="47">
        <f t="shared" si="33"/>
        <v>6.9329479113600767</v>
      </c>
      <c r="Z49" s="47">
        <f t="shared" si="33"/>
        <v>6.7915965417835125</v>
      </c>
      <c r="AA49" s="47">
        <f t="shared" si="33"/>
        <v>6.808083773512462</v>
      </c>
      <c r="AB49" s="47">
        <f t="shared" si="33"/>
        <v>6.648325513844453</v>
      </c>
      <c r="AC49" s="47">
        <f t="shared" si="33"/>
        <v>6.6386119623025071</v>
      </c>
      <c r="AD49" s="47">
        <f t="shared" si="33"/>
        <v>6.6020728060279641</v>
      </c>
      <c r="AE49" s="47">
        <f t="shared" si="33"/>
        <v>6.5294686571322575</v>
      </c>
      <c r="AF49" s="47">
        <f t="shared" si="33"/>
        <v>6.4605164234151529</v>
      </c>
      <c r="AG49" s="47">
        <f t="shared" si="33"/>
        <v>6.4132632377641201</v>
      </c>
      <c r="AH49" s="47">
        <f t="shared" si="33"/>
        <v>6.3732788457488034</v>
      </c>
      <c r="AI49" s="47">
        <f t="shared" si="33"/>
        <v>6.2978727196810382</v>
      </c>
      <c r="AJ49" s="47">
        <f t="shared" si="33"/>
        <v>5.8937219193999084</v>
      </c>
      <c r="AK49" s="47">
        <f t="shared" si="33"/>
        <v>5.9326059272958345</v>
      </c>
      <c r="AL49" s="47">
        <f t="shared" si="33"/>
        <v>5.9636744174021885</v>
      </c>
      <c r="AM49" s="47">
        <f t="shared" si="33"/>
        <v>5.9947369567273094</v>
      </c>
      <c r="AN49" s="47">
        <f t="shared" si="33"/>
        <v>6.039042250122252</v>
      </c>
      <c r="AO49" s="47">
        <f t="shared" si="33"/>
        <v>6.0830117867106583</v>
      </c>
      <c r="AP49" s="47">
        <f t="shared" si="33"/>
        <v>6.1269509318028241</v>
      </c>
      <c r="AQ49" s="47">
        <f t="shared" si="33"/>
        <v>6.1673143161648269</v>
      </c>
      <c r="AR49" s="47">
        <f t="shared" si="33"/>
        <v>6.2122151961959133</v>
      </c>
      <c r="AS49" s="47">
        <f t="shared" si="33"/>
        <v>6.2506798566760242</v>
      </c>
      <c r="AT49" s="47">
        <f t="shared" si="33"/>
        <v>6.2904085849382039</v>
      </c>
      <c r="AU49" s="47">
        <f t="shared" si="33"/>
        <v>6.3212924491624563</v>
      </c>
      <c r="AV49" s="47">
        <f t="shared" si="33"/>
        <v>6.3577109853649034</v>
      </c>
      <c r="AW49" s="47">
        <f t="shared" si="33"/>
        <v>6.3950720396353091</v>
      </c>
      <c r="AX49" s="47">
        <f t="shared" si="33"/>
        <v>6.341490235605713</v>
      </c>
      <c r="AY49" s="47">
        <f t="shared" si="33"/>
        <v>2.0648179797932711</v>
      </c>
      <c r="AZ49" s="47">
        <f t="shared" si="33"/>
        <v>2.0597200389653603</v>
      </c>
      <c r="BA49" s="47">
        <f t="shared" si="33"/>
        <v>2.076119381136837</v>
      </c>
      <c r="BB49" s="47">
        <f t="shared" si="33"/>
        <v>2.092477061548486</v>
      </c>
      <c r="BC49" s="47">
        <f t="shared" si="33"/>
        <v>2.1087978696632925</v>
      </c>
      <c r="BD49" s="47">
        <f t="shared" si="33"/>
        <v>2.1250863264282418</v>
      </c>
      <c r="BE49" s="47">
        <f t="shared" si="33"/>
        <v>2.1374659704362453</v>
      </c>
      <c r="BF49" s="47">
        <f t="shared" si="33"/>
        <v>2.1498299651543125</v>
      </c>
      <c r="BG49" s="47">
        <f t="shared" si="33"/>
        <v>2.1621747881572593</v>
      </c>
      <c r="BH49" s="47">
        <f t="shared" si="33"/>
        <v>2.1745027884499524</v>
      </c>
      <c r="BI49" s="47">
        <f t="shared" si="33"/>
        <v>2.1868162024846791</v>
      </c>
      <c r="BJ49" s="47">
        <f t="shared" si="33"/>
        <v>2.1979500318422565</v>
      </c>
      <c r="BK49" s="47">
        <f t="shared" si="33"/>
        <v>2.2090603022265043</v>
      </c>
      <c r="BL49" s="47">
        <f t="shared" si="33"/>
        <v>2.2201426085391001</v>
      </c>
      <c r="BM49" s="47">
        <f t="shared" si="33"/>
        <v>2.2311987243056342</v>
      </c>
      <c r="BN49" s="47">
        <f t="shared" si="33"/>
        <v>2.2422303433849557</v>
      </c>
    </row>
    <row r="50" spans="1:72" x14ac:dyDescent="0.25">
      <c r="A50" t="str">
        <f t="shared" ref="A50" si="34">A48</f>
        <v>3C Aggregated and non-CO2 emissions on land</v>
      </c>
      <c r="B50" t="str">
        <f>'IPCC Categories'!B78</f>
        <v>3C5 Indirect N2O from managed soils (N2O)</v>
      </c>
      <c r="C50" t="str">
        <f>'IPCC Categories'!C78</f>
        <v>Volatilisation</v>
      </c>
      <c r="D50" t="str">
        <f>D48</f>
        <v>N2O</v>
      </c>
      <c r="E50" t="str">
        <f>E48</f>
        <v>Gg N2O</v>
      </c>
      <c r="F50" s="22">
        <f>SUM(Emissions!H135:H138)</f>
        <v>6.8720417689132818</v>
      </c>
      <c r="G50" s="22">
        <f>SUM(Emissions!I135:I138)</f>
        <v>6.8040222344896497</v>
      </c>
      <c r="H50" s="22">
        <f>SUM(Emissions!J135:J138)</f>
        <v>6.6643977129961947</v>
      </c>
      <c r="I50" s="22">
        <f>SUM(Emissions!K135:K138)</f>
        <v>6.5132288952449562</v>
      </c>
      <c r="J50" s="22">
        <f>SUM(Emissions!L135:L138)</f>
        <v>6.3389751728110557</v>
      </c>
      <c r="K50" s="22">
        <f>SUM(Emissions!M135:M138)</f>
        <v>6.3489504371997398</v>
      </c>
      <c r="L50" s="22">
        <f>SUM(Emissions!N135:N138)</f>
        <v>6.5566463010257543</v>
      </c>
      <c r="M50" s="22">
        <f>SUM(Emissions!O135:O138)</f>
        <v>6.61702309908204</v>
      </c>
      <c r="N50" s="22">
        <f>SUM(Emissions!P135:P138)</f>
        <v>6.7293674524998952</v>
      </c>
      <c r="O50" s="22">
        <f>SUM(Emissions!Q135:Q138)</f>
        <v>6.7076931438692604</v>
      </c>
      <c r="P50" s="22">
        <f>SUM(Emissions!R135:R138)</f>
        <v>6.6027983988771712</v>
      </c>
      <c r="Q50" s="22">
        <f>SUM(Emissions!S135:S138)</f>
        <v>6.5144595089601776</v>
      </c>
      <c r="R50" s="22">
        <f>SUM(Emissions!T135:T138)</f>
        <v>6.5954294578551265</v>
      </c>
      <c r="S50" s="22">
        <f>SUM(Emissions!U135:U138)</f>
        <v>6.5294565039113515</v>
      </c>
      <c r="T50" s="22">
        <f>SUM(Emissions!V135:V138)</f>
        <v>6.4916814592424021</v>
      </c>
      <c r="U50" s="22">
        <f>SUM(Emissions!W135:W138)</f>
        <v>6.363645089123743</v>
      </c>
      <c r="V50" s="22">
        <f>SUM(Emissions!X135:X138)</f>
        <v>6.4962285418853707</v>
      </c>
      <c r="W50" s="22">
        <f>SUM(Emissions!Y135:Y138)</f>
        <v>6.620266001326284</v>
      </c>
      <c r="X50" s="22">
        <f>SUM(Emissions!Z135:Z138)</f>
        <v>6.6126572032019997</v>
      </c>
      <c r="Y50" s="22">
        <f>SUM(Emissions!AA135:AA138)</f>
        <v>6.6065735112105326</v>
      </c>
      <c r="Z50" s="22">
        <f>SUM(Emissions!AB135:AB138)</f>
        <v>6.4556027997102001</v>
      </c>
      <c r="AA50" s="22">
        <f>SUM(Emissions!AC135:AC138)</f>
        <v>6.4799963389801611</v>
      </c>
      <c r="AB50" s="22">
        <f>SUM(Emissions!AD135:AD138)</f>
        <v>6.2987228014722287</v>
      </c>
      <c r="AC50" s="22">
        <f>SUM(Emissions!AE135:AE138)</f>
        <v>6.288171366859288</v>
      </c>
      <c r="AD50" s="22">
        <f>SUM(Emissions!AF135:AF138)</f>
        <v>6.252032611635804</v>
      </c>
      <c r="AE50" s="22">
        <f>SUM(Emissions!AG135:AG138)</f>
        <v>6.1817115635720743</v>
      </c>
      <c r="AF50" s="22">
        <f>SUM(Emissions!AH135:AH138)</f>
        <v>6.1150588527782457</v>
      </c>
      <c r="AG50" s="22">
        <f>SUM(Emissions!AI135:AI138)</f>
        <v>6.0691144325419319</v>
      </c>
      <c r="AH50" s="22">
        <f>SUM(Emissions!AJ135:AJ138)</f>
        <v>6.030054159122562</v>
      </c>
      <c r="AI50" s="22">
        <f>SUM(Emissions!AK135:AK138)</f>
        <v>5.9573432622210616</v>
      </c>
      <c r="AJ50" s="22">
        <f>SUM(Emissions!AL135:AL138)</f>
        <v>5.5725137124674804</v>
      </c>
      <c r="AK50" s="22">
        <f>SUM(Emissions!AM135:AM138)</f>
        <v>5.6101215430599485</v>
      </c>
      <c r="AL50" s="22">
        <f>SUM(Emissions!AN135:AN138)</f>
        <v>5.6388361283052184</v>
      </c>
      <c r="AM50" s="22">
        <f>SUM(Emissions!AO135:AO138)</f>
        <v>5.6675844825867525</v>
      </c>
      <c r="AN50" s="22">
        <f>SUM(Emissions!AP135:AP138)</f>
        <v>5.7089083870591422</v>
      </c>
      <c r="AO50" s="22">
        <f>SUM(Emissions!AQ135:AQ138)</f>
        <v>5.7498639852276252</v>
      </c>
      <c r="AP50" s="22">
        <f>SUM(Emissions!AR135:AR138)</f>
        <v>5.7906795970107199</v>
      </c>
      <c r="AQ50" s="22">
        <f>SUM(Emissions!AS135:AS138)</f>
        <v>5.8280912692556415</v>
      </c>
      <c r="AR50" s="22">
        <f>SUM(Emissions!AT135:AT138)</f>
        <v>5.8698148167943467</v>
      </c>
      <c r="AS50" s="22">
        <f>SUM(Emissions!AU135:AU138)</f>
        <v>5.9054116106670076</v>
      </c>
      <c r="AT50" s="22">
        <f>SUM(Emissions!AV135:AV138)</f>
        <v>5.9422245286837452</v>
      </c>
      <c r="AU50" s="22">
        <f>SUM(Emissions!AW135:AW138)</f>
        <v>5.9700739691195643</v>
      </c>
      <c r="AV50" s="22">
        <f>SUM(Emissions!AX135:AX138)</f>
        <v>6.0030737998650396</v>
      </c>
      <c r="AW50" s="22">
        <f>SUM(Emissions!AY135:AY138)</f>
        <v>6.0369007570365945</v>
      </c>
      <c r="AX50" s="22">
        <f>SUM(Emissions!AZ135:AZ138)</f>
        <v>5.9845966004959283</v>
      </c>
      <c r="AY50" s="22">
        <f>SUM(Emissions!BA135:BA138)</f>
        <v>1.9370235400263367</v>
      </c>
      <c r="AZ50" s="22">
        <f>SUM(Emissions!BB135:BB138)</f>
        <v>1.9670104941583291</v>
      </c>
      <c r="BA50" s="22">
        <f>SUM(Emissions!BC135:BC138)</f>
        <v>1.9829857578550181</v>
      </c>
      <c r="BB50" s="22">
        <f>SUM(Emissions!BD135:BD138)</f>
        <v>1.9989279235832642</v>
      </c>
      <c r="BC50" s="22">
        <f>SUM(Emissions!BE135:BE138)</f>
        <v>2.0148413844287374</v>
      </c>
      <c r="BD50" s="22">
        <f>SUM(Emissions!BF135:BF138)</f>
        <v>2.0307302929208872</v>
      </c>
      <c r="BE50" s="22">
        <f>SUM(Emissions!BG135:BG138)</f>
        <v>2.0427800705953265</v>
      </c>
      <c r="BF50" s="22">
        <f>SUM(Emissions!BH135:BH138)</f>
        <v>2.0548109453689176</v>
      </c>
      <c r="BG50" s="22">
        <f>SUM(Emissions!BI135:BI138)</f>
        <v>2.066829000863164</v>
      </c>
      <c r="BH50" s="22">
        <f>SUM(Emissions!BJ135:BJ138)</f>
        <v>2.0788363292131917</v>
      </c>
      <c r="BI50" s="22">
        <f>SUM(Emissions!BK135:BK138)</f>
        <v>2.0908349263576378</v>
      </c>
      <c r="BJ50" s="22">
        <f>SUM(Emissions!BL135:BL138)</f>
        <v>2.1016374700511218</v>
      </c>
      <c r="BK50" s="22">
        <f>SUM(Emissions!BM135:BM138)</f>
        <v>2.112411898338348</v>
      </c>
      <c r="BL50" s="22">
        <f>SUM(Emissions!BN135:BN138)</f>
        <v>2.1231639206836244</v>
      </c>
      <c r="BM50" s="22">
        <f>SUM(Emissions!BO135:BO138)</f>
        <v>2.133895110362777</v>
      </c>
      <c r="BN50" s="22">
        <f>SUM(Emissions!BP135:BP138)</f>
        <v>2.1446069724449059</v>
      </c>
    </row>
    <row r="51" spans="1:72" x14ac:dyDescent="0.25">
      <c r="A51" t="str">
        <f t="shared" ref="A51:A52" si="35">A50</f>
        <v>3C Aggregated and non-CO2 emissions on land</v>
      </c>
      <c r="B51" t="str">
        <f>B50</f>
        <v>3C5 Indirect N2O from managed soils (N2O)</v>
      </c>
      <c r="C51" t="str">
        <f>'IPCC Categories'!C79</f>
        <v>Leaching/runoff</v>
      </c>
      <c r="D51" t="str">
        <f t="shared" si="28"/>
        <v>N2O</v>
      </c>
      <c r="E51" t="str">
        <f t="shared" si="29"/>
        <v>Gg N2O</v>
      </c>
      <c r="F51" s="22">
        <f>SUM(Emissions!H139:H154)</f>
        <v>0.33603968287014491</v>
      </c>
      <c r="G51" s="22">
        <f>SUM(Emissions!I139:I154)</f>
        <v>0.33048775206044329</v>
      </c>
      <c r="H51" s="22">
        <f>SUM(Emissions!J139:J154)</f>
        <v>0.33346641212934491</v>
      </c>
      <c r="I51" s="22">
        <f>SUM(Emissions!K139:K154)</f>
        <v>0.34566201778047606</v>
      </c>
      <c r="J51" s="22">
        <f>SUM(Emissions!L139:L154)</f>
        <v>0.34062767298069813</v>
      </c>
      <c r="K51" s="22">
        <f>SUM(Emissions!M139:M154)</f>
        <v>0.30450786061967605</v>
      </c>
      <c r="L51" s="22">
        <f>SUM(Emissions!N139:N154)</f>
        <v>0.32381228553079472</v>
      </c>
      <c r="M51" s="22">
        <f>SUM(Emissions!O139:O154)</f>
        <v>0.33423928815240667</v>
      </c>
      <c r="N51" s="22">
        <f>SUM(Emissions!P139:P154)</f>
        <v>0.32074465547025682</v>
      </c>
      <c r="O51" s="22">
        <f>SUM(Emissions!Q139:Q154)</f>
        <v>0.32336524583535148</v>
      </c>
      <c r="P51" s="22">
        <f>SUM(Emissions!R139:R154)</f>
        <v>0.35119013882037781</v>
      </c>
      <c r="Q51" s="22">
        <f>SUM(Emissions!S139:S154)</f>
        <v>0.32029126940696356</v>
      </c>
      <c r="R51" s="22">
        <f>SUM(Emissions!T139:T154)</f>
        <v>0.33764678312297075</v>
      </c>
      <c r="S51" s="22">
        <f>SUM(Emissions!U139:U154)</f>
        <v>0.33321842707878641</v>
      </c>
      <c r="T51" s="22">
        <f>SUM(Emissions!V139:V154)</f>
        <v>0.31666657615956528</v>
      </c>
      <c r="U51" s="22">
        <f>SUM(Emissions!W139:W154)</f>
        <v>0.32070433835754264</v>
      </c>
      <c r="V51" s="22">
        <f>SUM(Emissions!X139:X154)</f>
        <v>0.28411320597365947</v>
      </c>
      <c r="W51" s="22">
        <f>SUM(Emissions!Y139:Y154)</f>
        <v>0.31915614644582579</v>
      </c>
      <c r="X51" s="22">
        <f>SUM(Emissions!Z139:Z154)</f>
        <v>0.34232896504275395</v>
      </c>
      <c r="Y51" s="22">
        <f>SUM(Emissions!AA139:AA154)</f>
        <v>0.32637440014954389</v>
      </c>
      <c r="Z51" s="22">
        <f>SUM(Emissions!AB139:AB154)</f>
        <v>0.33599374207331195</v>
      </c>
      <c r="AA51" s="22">
        <f>SUM(Emissions!AC139:AC154)</f>
        <v>0.32808743453230077</v>
      </c>
      <c r="AB51" s="22">
        <f>SUM(Emissions!AD139:AD154)</f>
        <v>0.34960271237222412</v>
      </c>
      <c r="AC51" s="22">
        <f>SUM(Emissions!AE139:AE154)</f>
        <v>0.35044059544321898</v>
      </c>
      <c r="AD51" s="22">
        <f>SUM(Emissions!AF139:AF154)</f>
        <v>0.35004019439216039</v>
      </c>
      <c r="AE51" s="22">
        <f>SUM(Emissions!AG139:AG154)</f>
        <v>0.34775709356018319</v>
      </c>
      <c r="AF51" s="22">
        <f>SUM(Emissions!AH139:AH154)</f>
        <v>0.34545757063690746</v>
      </c>
      <c r="AG51" s="22">
        <f>SUM(Emissions!AI139:AI154)</f>
        <v>0.34414880522218849</v>
      </c>
      <c r="AH51" s="22">
        <f>SUM(Emissions!AJ139:AJ154)</f>
        <v>0.343224686626241</v>
      </c>
      <c r="AI51" s="22">
        <f>SUM(Emissions!AK139:AK154)</f>
        <v>0.34052945745997659</v>
      </c>
      <c r="AJ51" s="22">
        <f>SUM(Emissions!AL139:AL154)</f>
        <v>0.32120820693242796</v>
      </c>
      <c r="AK51" s="22">
        <f>SUM(Emissions!AM139:AM154)</f>
        <v>0.32248438423588638</v>
      </c>
      <c r="AL51" s="22">
        <f>SUM(Emissions!AN139:AN154)</f>
        <v>0.32483828909697043</v>
      </c>
      <c r="AM51" s="22">
        <f>SUM(Emissions!AO139:AO154)</f>
        <v>0.32715247414055715</v>
      </c>
      <c r="AN51" s="22">
        <f>SUM(Emissions!AP139:AP154)</f>
        <v>0.3301338630631096</v>
      </c>
      <c r="AO51" s="22">
        <f>SUM(Emissions!AQ139:AQ154)</f>
        <v>0.33314780148303352</v>
      </c>
      <c r="AP51" s="22">
        <f>SUM(Emissions!AR139:AR154)</f>
        <v>0.33627133479210464</v>
      </c>
      <c r="AQ51" s="22">
        <f>SUM(Emissions!AS139:AS154)</f>
        <v>0.33922304690918503</v>
      </c>
      <c r="AR51" s="22">
        <f>SUM(Emissions!AT139:AT154)</f>
        <v>0.34240037940156648</v>
      </c>
      <c r="AS51" s="22">
        <f>SUM(Emissions!AU139:AU154)</f>
        <v>0.34526824600901629</v>
      </c>
      <c r="AT51" s="22">
        <f>SUM(Emissions!AV139:AV154)</f>
        <v>0.34818405625445886</v>
      </c>
      <c r="AU51" s="22">
        <f>SUM(Emissions!AW139:AW154)</f>
        <v>0.35121848004289197</v>
      </c>
      <c r="AV51" s="22">
        <f>SUM(Emissions!AX139:AX154)</f>
        <v>0.35463718549986389</v>
      </c>
      <c r="AW51" s="22">
        <f>SUM(Emissions!AY139:AY154)</f>
        <v>0.35817128259871461</v>
      </c>
      <c r="AX51" s="22">
        <f>SUM(Emissions!AZ139:AZ154)</f>
        <v>0.35689363510978511</v>
      </c>
      <c r="AY51" s="22">
        <f>SUM(Emissions!BA139:BA154)</f>
        <v>0.12779443976693461</v>
      </c>
      <c r="AZ51" s="22">
        <f>SUM(Emissions!BB139:BB154)</f>
        <v>9.2709544807031044E-2</v>
      </c>
      <c r="BA51" s="22">
        <f>SUM(Emissions!BC139:BC154)</f>
        <v>9.3133623281819095E-2</v>
      </c>
      <c r="BB51" s="22">
        <f>SUM(Emissions!BD139:BD154)</f>
        <v>9.3549137965221907E-2</v>
      </c>
      <c r="BC51" s="22">
        <f>SUM(Emissions!BE139:BE154)</f>
        <v>9.3956485234555229E-2</v>
      </c>
      <c r="BD51" s="22">
        <f>SUM(Emissions!BF139:BF154)</f>
        <v>9.4356033507354414E-2</v>
      </c>
      <c r="BE51" s="22">
        <f>SUM(Emissions!BG139:BG154)</f>
        <v>9.4685899840918936E-2</v>
      </c>
      <c r="BF51" s="22">
        <f>SUM(Emissions!BH139:BH154)</f>
        <v>9.5019019785394704E-2</v>
      </c>
      <c r="BG51" s="22">
        <f>SUM(Emissions!BI139:BI154)</f>
        <v>9.5345787294095319E-2</v>
      </c>
      <c r="BH51" s="22">
        <f>SUM(Emissions!BJ139:BJ154)</f>
        <v>9.5666459236760537E-2</v>
      </c>
      <c r="BI51" s="22">
        <f>SUM(Emissions!BK139:BK154)</f>
        <v>9.5981276127041104E-2</v>
      </c>
      <c r="BJ51" s="22">
        <f>SUM(Emissions!BL139:BL154)</f>
        <v>9.6312561791134621E-2</v>
      </c>
      <c r="BK51" s="22">
        <f>SUM(Emissions!BM139:BM154)</f>
        <v>9.6648403888156112E-2</v>
      </c>
      <c r="BL51" s="22">
        <f>SUM(Emissions!BN139:BN154)</f>
        <v>9.6978687855475518E-2</v>
      </c>
      <c r="BM51" s="22">
        <f>SUM(Emissions!BO139:BO154)</f>
        <v>9.7303613942856984E-2</v>
      </c>
      <c r="BN51" s="22">
        <f>SUM(Emissions!BP139:BP154)</f>
        <v>9.7623370940049831E-2</v>
      </c>
    </row>
    <row r="52" spans="1:72" s="19" customFormat="1" ht="15.75" x14ac:dyDescent="0.25">
      <c r="A52" s="19" t="str">
        <f t="shared" si="35"/>
        <v>3C Aggregated and non-CO2 emissions on land</v>
      </c>
      <c r="B52" s="19" t="str">
        <f>'IPCC Categories'!B80</f>
        <v>3C6 Indirect N2O from manure management (N2O)</v>
      </c>
      <c r="C52" s="19" t="s">
        <v>148</v>
      </c>
      <c r="D52" s="19" t="str">
        <f t="shared" ref="D52" si="36">D51</f>
        <v>N2O</v>
      </c>
      <c r="E52" s="19" t="str">
        <f t="shared" ref="E52" si="37">E51</f>
        <v>Gg N2O</v>
      </c>
      <c r="F52" s="47">
        <f>SUM(F53:F54)</f>
        <v>1.0950538253856468</v>
      </c>
      <c r="G52" s="47">
        <f t="shared" ref="G52:BN52" si="38">SUM(G53:G54)</f>
        <v>1.1658727848185233</v>
      </c>
      <c r="H52" s="47">
        <f t="shared" si="38"/>
        <v>1.0848631974974343</v>
      </c>
      <c r="I52" s="47">
        <f t="shared" si="38"/>
        <v>1.1252390431692683</v>
      </c>
      <c r="J52" s="47">
        <f t="shared" si="38"/>
        <v>1.0734739532249553</v>
      </c>
      <c r="K52" s="47">
        <f t="shared" si="38"/>
        <v>1.132808817863219</v>
      </c>
      <c r="L52" s="47">
        <f t="shared" si="38"/>
        <v>1.1837401232176359</v>
      </c>
      <c r="M52" s="47">
        <f t="shared" si="38"/>
        <v>1.1732129506374127</v>
      </c>
      <c r="N52" s="47">
        <f t="shared" si="38"/>
        <v>1.2025072193927659</v>
      </c>
      <c r="O52" s="47">
        <f t="shared" si="38"/>
        <v>1.2151362947473952</v>
      </c>
      <c r="P52" s="47">
        <f t="shared" si="38"/>
        <v>1.3425597798100053</v>
      </c>
      <c r="Q52" s="47">
        <f t="shared" si="38"/>
        <v>1.3350835411028359</v>
      </c>
      <c r="R52" s="47">
        <f t="shared" si="38"/>
        <v>1.2971770946245216</v>
      </c>
      <c r="S52" s="47">
        <f t="shared" si="38"/>
        <v>1.2325302326597585</v>
      </c>
      <c r="T52" s="47">
        <f t="shared" si="38"/>
        <v>1.2249617526122387</v>
      </c>
      <c r="U52" s="47">
        <f t="shared" si="38"/>
        <v>1.2870593712731417</v>
      </c>
      <c r="V52" s="47">
        <f t="shared" si="38"/>
        <v>1.3036096413946223</v>
      </c>
      <c r="W52" s="47">
        <f t="shared" si="38"/>
        <v>1.3296829545150457</v>
      </c>
      <c r="X52" s="47">
        <f t="shared" si="38"/>
        <v>1.4390001307004523</v>
      </c>
      <c r="Y52" s="47">
        <f t="shared" si="38"/>
        <v>1.4305572536330728</v>
      </c>
      <c r="Z52" s="47">
        <f t="shared" si="38"/>
        <v>1.4388556601471445</v>
      </c>
      <c r="AA52" s="47">
        <f t="shared" si="38"/>
        <v>1.4563575155753867</v>
      </c>
      <c r="AB52" s="47">
        <f t="shared" si="38"/>
        <v>1.5057991331958567</v>
      </c>
      <c r="AC52" s="47">
        <f t="shared" si="38"/>
        <v>1.5233793606540866</v>
      </c>
      <c r="AD52" s="47">
        <f t="shared" si="38"/>
        <v>1.5316651473625948</v>
      </c>
      <c r="AE52" s="47">
        <f t="shared" si="38"/>
        <v>1.5269679935634914</v>
      </c>
      <c r="AF52" s="47">
        <f t="shared" si="38"/>
        <v>1.5227909106911812</v>
      </c>
      <c r="AG52" s="47">
        <f t="shared" si="38"/>
        <v>1.5257341526060424</v>
      </c>
      <c r="AH52" s="47">
        <f t="shared" si="38"/>
        <v>1.5310804178068786</v>
      </c>
      <c r="AI52" s="47">
        <f t="shared" si="38"/>
        <v>1.5228428770504365</v>
      </c>
      <c r="AJ52" s="47">
        <f t="shared" si="38"/>
        <v>1.3873842991284246</v>
      </c>
      <c r="AK52" s="47">
        <f t="shared" si="38"/>
        <v>1.4118907904731588</v>
      </c>
      <c r="AL52" s="47">
        <f t="shared" si="38"/>
        <v>1.433165683876346</v>
      </c>
      <c r="AM52" s="47">
        <f t="shared" si="38"/>
        <v>1.4545905030570956</v>
      </c>
      <c r="AN52" s="47">
        <f t="shared" si="38"/>
        <v>1.4814659832057668</v>
      </c>
      <c r="AO52" s="47">
        <f t="shared" si="38"/>
        <v>1.5084593161809721</v>
      </c>
      <c r="AP52" s="47">
        <f t="shared" si="38"/>
        <v>1.5367803059152547</v>
      </c>
      <c r="AQ52" s="47">
        <f t="shared" si="38"/>
        <v>1.5639341792253196</v>
      </c>
      <c r="AR52" s="47">
        <f t="shared" si="38"/>
        <v>1.5932643186302444</v>
      </c>
      <c r="AS52" s="47">
        <f t="shared" si="38"/>
        <v>1.6202261735803711</v>
      </c>
      <c r="AT52" s="47">
        <f t="shared" si="38"/>
        <v>1.6480224224192723</v>
      </c>
      <c r="AU52" s="47">
        <f t="shared" si="38"/>
        <v>1.6830964039699206</v>
      </c>
      <c r="AV52" s="47">
        <f t="shared" si="38"/>
        <v>1.7214496258042025</v>
      </c>
      <c r="AW52" s="47">
        <f t="shared" si="38"/>
        <v>1.7612069082958599</v>
      </c>
      <c r="AX52" s="47">
        <f t="shared" si="38"/>
        <v>1.760935350556124</v>
      </c>
      <c r="AY52" s="47">
        <f t="shared" si="38"/>
        <v>-0.17883500396293911</v>
      </c>
      <c r="AZ52" s="47">
        <f t="shared" si="38"/>
        <v>-0.17874006883338808</v>
      </c>
      <c r="BA52" s="47">
        <f t="shared" si="38"/>
        <v>-0.17868350270803907</v>
      </c>
      <c r="BB52" s="47">
        <f t="shared" si="38"/>
        <v>-0.17866347374890496</v>
      </c>
      <c r="BC52" s="47">
        <f t="shared" si="38"/>
        <v>-0.17867829096646271</v>
      </c>
      <c r="BD52" s="47">
        <f t="shared" si="38"/>
        <v>-0.17872639065798132</v>
      </c>
      <c r="BE52" s="47">
        <f t="shared" si="38"/>
        <v>-0.17844619024646449</v>
      </c>
      <c r="BF52" s="47">
        <f t="shared" si="38"/>
        <v>-0.17819664096495766</v>
      </c>
      <c r="BG52" s="47">
        <f t="shared" si="38"/>
        <v>-0.17797637988380585</v>
      </c>
      <c r="BH52" s="47">
        <f t="shared" si="38"/>
        <v>-0.17778413681849481</v>
      </c>
      <c r="BI52" s="47">
        <f t="shared" si="38"/>
        <v>-0.17761872633719172</v>
      </c>
      <c r="BJ52" s="47">
        <f t="shared" si="38"/>
        <v>-0.17715214591796902</v>
      </c>
      <c r="BK52" s="47">
        <f t="shared" si="38"/>
        <v>-0.17671230233900162</v>
      </c>
      <c r="BL52" s="47">
        <f t="shared" si="38"/>
        <v>-0.17629810732218315</v>
      </c>
      <c r="BM52" s="47">
        <f t="shared" si="38"/>
        <v>-0.17590853894588032</v>
      </c>
      <c r="BN52" s="47">
        <f t="shared" si="38"/>
        <v>-0.17554263648497989</v>
      </c>
    </row>
    <row r="53" spans="1:72" x14ac:dyDescent="0.25">
      <c r="A53" t="str">
        <f t="shared" ref="A53" si="39">A51</f>
        <v>3C Aggregated and non-CO2 emissions on land</v>
      </c>
      <c r="B53" t="str">
        <f>'IPCC Categories'!B80</f>
        <v>3C6 Indirect N2O from manure management (N2O)</v>
      </c>
      <c r="C53" t="str">
        <f>'IPCC Categories'!C80</f>
        <v>Volatilisation</v>
      </c>
      <c r="D53" t="str">
        <f>D51</f>
        <v>N2O</v>
      </c>
      <c r="E53" t="str">
        <f>E51</f>
        <v>Gg N2O</v>
      </c>
      <c r="F53" s="22">
        <f>SUM(Emissions!H156:H171)</f>
        <v>0.80161921525345481</v>
      </c>
      <c r="G53" s="22">
        <f>SUM(Emissions!I156:I171)</f>
        <v>0.85849615635183785</v>
      </c>
      <c r="H53" s="22">
        <f>SUM(Emissions!J156:J171)</f>
        <v>0.79435444319952053</v>
      </c>
      <c r="I53" s="22">
        <f>SUM(Emissions!K156:K171)</f>
        <v>0.829147805848644</v>
      </c>
      <c r="J53" s="22">
        <f>SUM(Emissions!L156:L171)</f>
        <v>0.79042443952630315</v>
      </c>
      <c r="K53" s="22">
        <f>SUM(Emissions!M156:M171)</f>
        <v>0.8376969438335109</v>
      </c>
      <c r="L53" s="22">
        <f>SUM(Emissions!N156:N171)</f>
        <v>0.87683765723343599</v>
      </c>
      <c r="M53" s="22">
        <f>SUM(Emissions!O156:O171)</f>
        <v>0.86676785102585141</v>
      </c>
      <c r="N53" s="22">
        <f>SUM(Emissions!P156:P171)</f>
        <v>0.88867615567493341</v>
      </c>
      <c r="O53" s="22">
        <f>SUM(Emissions!Q156:Q171)</f>
        <v>0.89855891694378176</v>
      </c>
      <c r="P53" s="22">
        <f>SUM(Emissions!R156:R171)</f>
        <v>1.0009422058189665</v>
      </c>
      <c r="Q53" s="22">
        <f>SUM(Emissions!S156:S171)</f>
        <v>0.99558785675794326</v>
      </c>
      <c r="R53" s="22">
        <f>SUM(Emissions!T156:T171)</f>
        <v>0.96534354462768934</v>
      </c>
      <c r="S53" s="22">
        <f>SUM(Emissions!U156:U171)</f>
        <v>0.91309585992575648</v>
      </c>
      <c r="T53" s="22">
        <f>SUM(Emissions!V156:V171)</f>
        <v>0.90768844469024579</v>
      </c>
      <c r="U53" s="22">
        <f>SUM(Emissions!W156:W171)</f>
        <v>0.95758004378601003</v>
      </c>
      <c r="V53" s="22">
        <f>SUM(Emissions!X156:X171)</f>
        <v>0.97046445508369161</v>
      </c>
      <c r="W53" s="22">
        <f>SUM(Emissions!Y156:Y171)</f>
        <v>0.98964220935969038</v>
      </c>
      <c r="X53" s="22">
        <f>SUM(Emissions!Z156:Z171)</f>
        <v>1.0767445498553814</v>
      </c>
      <c r="Y53" s="22">
        <f>SUM(Emissions!AA156:AA171)</f>
        <v>1.0706000439339658</v>
      </c>
      <c r="Z53" s="22">
        <f>SUM(Emissions!AB156:AB171)</f>
        <v>1.0778952760899894</v>
      </c>
      <c r="AA53" s="22">
        <f>SUM(Emissions!AC156:AC171)</f>
        <v>1.091951943859661</v>
      </c>
      <c r="AB53" s="22">
        <f>SUM(Emissions!AD156:AD171)</f>
        <v>1.1329051908746361</v>
      </c>
      <c r="AC53" s="22">
        <f>SUM(Emissions!AE156:AE171)</f>
        <v>1.1471583022339489</v>
      </c>
      <c r="AD53" s="22">
        <f>SUM(Emissions!AF156:AF171)</f>
        <v>1.1543599797957398</v>
      </c>
      <c r="AE53" s="22">
        <f>SUM(Emissions!AG156:AG171)</f>
        <v>1.1516844870352423</v>
      </c>
      <c r="AF53" s="22">
        <f>SUM(Emissions!AH156:AH171)</f>
        <v>1.1493785735382229</v>
      </c>
      <c r="AG53" s="22">
        <f>SUM(Emissions!AI156:AI171)</f>
        <v>1.1524724804059274</v>
      </c>
      <c r="AH53" s="22">
        <f>SUM(Emissions!AJ156:AJ171)</f>
        <v>1.1573926602894757</v>
      </c>
      <c r="AI53" s="22">
        <f>SUM(Emissions!AK156:AK171)</f>
        <v>1.1519407636467207</v>
      </c>
      <c r="AJ53" s="22">
        <f>SUM(Emissions!AL156:AL171)</f>
        <v>1.0492579490325276</v>
      </c>
      <c r="AK53" s="22">
        <f>SUM(Emissions!AM156:AM171)</f>
        <v>1.068321021607969</v>
      </c>
      <c r="AL53" s="22">
        <f>SUM(Emissions!AN156:AN171)</f>
        <v>1.0849227850986107</v>
      </c>
      <c r="AM53" s="22">
        <f>SUM(Emissions!AO156:AO171)</f>
        <v>1.1016472736366674</v>
      </c>
      <c r="AN53" s="22">
        <f>SUM(Emissions!AP156:AP171)</f>
        <v>1.1225521825984488</v>
      </c>
      <c r="AO53" s="22">
        <f>SUM(Emissions!AQ156:AQ171)</f>
        <v>1.1435592135973116</v>
      </c>
      <c r="AP53" s="22">
        <f>SUM(Emissions!AR156:AR171)</f>
        <v>1.1656248159577951</v>
      </c>
      <c r="AQ53" s="22">
        <f>SUM(Emissions!AS156:AS171)</f>
        <v>1.1868086030756817</v>
      </c>
      <c r="AR53" s="22">
        <f>SUM(Emissions!AT156:AT171)</f>
        <v>1.2096730018376847</v>
      </c>
      <c r="AS53" s="22">
        <f>SUM(Emissions!AU156:AU171)</f>
        <v>1.2307340164574632</v>
      </c>
      <c r="AT53" s="22">
        <f>SUM(Emissions!AV156:AV171)</f>
        <v>1.2524470770812954</v>
      </c>
      <c r="AU53" s="22">
        <f>SUM(Emissions!AW156:AW171)</f>
        <v>1.2801564892584856</v>
      </c>
      <c r="AV53" s="22">
        <f>SUM(Emissions!AX156:AX171)</f>
        <v>1.3104179677470265</v>
      </c>
      <c r="AW53" s="22">
        <f>SUM(Emissions!AY156:AY171)</f>
        <v>1.3417945280327852</v>
      </c>
      <c r="AX53" s="22">
        <f>SUM(Emissions!AZ156:AZ171)</f>
        <v>1.3423997065600712</v>
      </c>
      <c r="AY53" s="22">
        <f>SUM(Emissions!BA156:BA171)</f>
        <v>-0.15078536585665733</v>
      </c>
      <c r="AZ53" s="22">
        <f>SUM(Emissions!BB156:BB171)</f>
        <v>-0.15094886591241716</v>
      </c>
      <c r="BA53" s="22">
        <f>SUM(Emissions!BC156:BC171)</f>
        <v>-0.15114130241520737</v>
      </c>
      <c r="BB53" s="22">
        <f>SUM(Emissions!BD156:BD171)</f>
        <v>-0.15136132013475134</v>
      </c>
      <c r="BC53" s="22">
        <f>SUM(Emissions!BE156:BE171)</f>
        <v>-0.15160766951921592</v>
      </c>
      <c r="BD53" s="22">
        <f>SUM(Emissions!BF156:BF171)</f>
        <v>-0.15187919647475279</v>
      </c>
      <c r="BE53" s="22">
        <f>SUM(Emissions!BG156:BG171)</f>
        <v>-0.15183179426945037</v>
      </c>
      <c r="BF53" s="22">
        <f>SUM(Emissions!BH156:BH171)</f>
        <v>-0.15180779399509892</v>
      </c>
      <c r="BG53" s="22">
        <f>SUM(Emissions!BI156:BI171)</f>
        <v>-0.15180616486127496</v>
      </c>
      <c r="BH53" s="22">
        <f>SUM(Emissions!BJ156:BJ171)</f>
        <v>-0.15182594691935539</v>
      </c>
      <c r="BI53" s="22">
        <f>SUM(Emissions!BK156:BK171)</f>
        <v>-0.15186624493519726</v>
      </c>
      <c r="BJ53" s="22">
        <f>SUM(Emissions!BL156:BL171)</f>
        <v>-0.15165401312890053</v>
      </c>
      <c r="BK53" s="22">
        <f>SUM(Emissions!BM156:BM171)</f>
        <v>-0.15146209738101235</v>
      </c>
      <c r="BL53" s="22">
        <f>SUM(Emissions!BN156:BN171)</f>
        <v>-0.15128967162110674</v>
      </c>
      <c r="BM53" s="22">
        <f>SUM(Emissions!BO156:BO171)</f>
        <v>-0.15113596057636258</v>
      </c>
      <c r="BN53" s="22">
        <f>SUM(Emissions!BP156:BP171)</f>
        <v>-0.15100023580659894</v>
      </c>
    </row>
    <row r="54" spans="1:72" x14ac:dyDescent="0.25">
      <c r="A54" t="str">
        <f t="shared" ref="A54" si="40">A53</f>
        <v>3C Aggregated and non-CO2 emissions on land</v>
      </c>
      <c r="B54" t="str">
        <f>B53</f>
        <v>3C6 Indirect N2O from manure management (N2O)</v>
      </c>
      <c r="C54" t="str">
        <f>'IPCC Categories'!C81</f>
        <v>Leaching/runoff</v>
      </c>
      <c r="D54" t="str">
        <f t="shared" si="28"/>
        <v>N2O</v>
      </c>
      <c r="E54" t="str">
        <f t="shared" si="29"/>
        <v>Gg N2O</v>
      </c>
      <c r="F54" s="22">
        <f>SUM(Emissions!H172:H187)</f>
        <v>0.29343461013219191</v>
      </c>
      <c r="G54" s="22">
        <f>SUM(Emissions!I172:I187)</f>
        <v>0.3073766284666854</v>
      </c>
      <c r="H54" s="22">
        <f>SUM(Emissions!J172:J187)</f>
        <v>0.29050875429791384</v>
      </c>
      <c r="I54" s="22">
        <f>SUM(Emissions!K172:K187)</f>
        <v>0.29609123732062431</v>
      </c>
      <c r="J54" s="22">
        <f>SUM(Emissions!L172:L187)</f>
        <v>0.28304951369865206</v>
      </c>
      <c r="K54" s="22">
        <f>SUM(Emissions!M172:M187)</f>
        <v>0.29511187402970801</v>
      </c>
      <c r="L54" s="22">
        <f>SUM(Emissions!N172:N187)</f>
        <v>0.30690246598419996</v>
      </c>
      <c r="M54" s="22">
        <f>SUM(Emissions!O172:O187)</f>
        <v>0.30644509961156119</v>
      </c>
      <c r="N54" s="22">
        <f>SUM(Emissions!P172:P187)</f>
        <v>0.31383106371783259</v>
      </c>
      <c r="O54" s="22">
        <f>SUM(Emissions!Q172:Q187)</f>
        <v>0.31657737780361339</v>
      </c>
      <c r="P54" s="22">
        <f>SUM(Emissions!R172:R187)</f>
        <v>0.3416175739910387</v>
      </c>
      <c r="Q54" s="22">
        <f>SUM(Emissions!S172:S187)</f>
        <v>0.33949568434489258</v>
      </c>
      <c r="R54" s="22">
        <f>SUM(Emissions!T172:T187)</f>
        <v>0.33183354999683212</v>
      </c>
      <c r="S54" s="22">
        <f>SUM(Emissions!U172:U187)</f>
        <v>0.31943437273400205</v>
      </c>
      <c r="T54" s="22">
        <f>SUM(Emissions!V172:V187)</f>
        <v>0.31727330792199299</v>
      </c>
      <c r="U54" s="22">
        <f>SUM(Emissions!W172:W187)</f>
        <v>0.3294793274871316</v>
      </c>
      <c r="V54" s="22">
        <f>SUM(Emissions!X172:X187)</f>
        <v>0.33314518631093065</v>
      </c>
      <c r="W54" s="22">
        <f>SUM(Emissions!Y172:Y187)</f>
        <v>0.34004074515535521</v>
      </c>
      <c r="X54" s="22">
        <f>SUM(Emissions!Z172:Z187)</f>
        <v>0.36225558084507087</v>
      </c>
      <c r="Y54" s="22">
        <f>SUM(Emissions!AA172:AA187)</f>
        <v>0.35995720969910711</v>
      </c>
      <c r="Z54" s="22">
        <f>SUM(Emissions!AB172:AB187)</f>
        <v>0.36096038405715508</v>
      </c>
      <c r="AA54" s="22">
        <f>SUM(Emissions!AC172:AC187)</f>
        <v>0.3644055717157258</v>
      </c>
      <c r="AB54" s="22">
        <f>SUM(Emissions!AD172:AD187)</f>
        <v>0.37289394232122058</v>
      </c>
      <c r="AC54" s="22">
        <f>SUM(Emissions!AE172:AE187)</f>
        <v>0.37622105842013776</v>
      </c>
      <c r="AD54" s="22">
        <f>SUM(Emissions!AF172:AF187)</f>
        <v>0.377305167566855</v>
      </c>
      <c r="AE54" s="22">
        <f>SUM(Emissions!AG172:AG187)</f>
        <v>0.37528350652824921</v>
      </c>
      <c r="AF54" s="22">
        <f>SUM(Emissions!AH172:AH187)</f>
        <v>0.37341233715295824</v>
      </c>
      <c r="AG54" s="22">
        <f>SUM(Emissions!AI172:AI187)</f>
        <v>0.37326167220011497</v>
      </c>
      <c r="AH54" s="22">
        <f>SUM(Emissions!AJ172:AJ187)</f>
        <v>0.37368775751740291</v>
      </c>
      <c r="AI54" s="22">
        <f>SUM(Emissions!AK172:AK187)</f>
        <v>0.37090211340371582</v>
      </c>
      <c r="AJ54" s="22">
        <f>SUM(Emissions!AL172:AL187)</f>
        <v>0.3381263500958972</v>
      </c>
      <c r="AK54" s="22">
        <f>SUM(Emissions!AM172:AM187)</f>
        <v>0.34356976886518981</v>
      </c>
      <c r="AL54" s="22">
        <f>SUM(Emissions!AN172:AN187)</f>
        <v>0.34824289877773534</v>
      </c>
      <c r="AM54" s="22">
        <f>SUM(Emissions!AO172:AO187)</f>
        <v>0.35294322942042827</v>
      </c>
      <c r="AN54" s="22">
        <f>SUM(Emissions!AP172:AP187)</f>
        <v>0.35891380060731803</v>
      </c>
      <c r="AO54" s="22">
        <f>SUM(Emissions!AQ172:AQ187)</f>
        <v>0.3649001025836604</v>
      </c>
      <c r="AP54" s="22">
        <f>SUM(Emissions!AR172:AR187)</f>
        <v>0.37115548995745956</v>
      </c>
      <c r="AQ54" s="22">
        <f>SUM(Emissions!AS172:AS187)</f>
        <v>0.37712557614963788</v>
      </c>
      <c r="AR54" s="22">
        <f>SUM(Emissions!AT172:AT187)</f>
        <v>0.38359131679255987</v>
      </c>
      <c r="AS54" s="22">
        <f>SUM(Emissions!AU172:AU187)</f>
        <v>0.38949215712290786</v>
      </c>
      <c r="AT54" s="22">
        <f>SUM(Emissions!AV172:AV187)</f>
        <v>0.39557534533797684</v>
      </c>
      <c r="AU54" s="22">
        <f>SUM(Emissions!AW172:AW187)</f>
        <v>0.40293991471143492</v>
      </c>
      <c r="AV54" s="22">
        <f>SUM(Emissions!AX172:AX187)</f>
        <v>0.41103165805717595</v>
      </c>
      <c r="AW54" s="22">
        <f>SUM(Emissions!AY172:AY187)</f>
        <v>0.41941238026307476</v>
      </c>
      <c r="AX54" s="22">
        <f>SUM(Emissions!AZ172:AZ187)</f>
        <v>0.4185356439960527</v>
      </c>
      <c r="AY54" s="22">
        <f>SUM(Emissions!BA172:BA187)</f>
        <v>-2.8049638106281777E-2</v>
      </c>
      <c r="AZ54" s="22">
        <f>SUM(Emissions!BB172:BB187)</f>
        <v>-2.7791202920970932E-2</v>
      </c>
      <c r="BA54" s="22">
        <f>SUM(Emissions!BC172:BC187)</f>
        <v>-2.7542200292831706E-2</v>
      </c>
      <c r="BB54" s="22">
        <f>SUM(Emissions!BD172:BD187)</f>
        <v>-2.7302153614153599E-2</v>
      </c>
      <c r="BC54" s="22">
        <f>SUM(Emissions!BE172:BE187)</f>
        <v>-2.7070621447246791E-2</v>
      </c>
      <c r="BD54" s="22">
        <f>SUM(Emissions!BF172:BF187)</f>
        <v>-2.6847194183228527E-2</v>
      </c>
      <c r="BE54" s="22">
        <f>SUM(Emissions!BG172:BG187)</f>
        <v>-2.6614395977014128E-2</v>
      </c>
      <c r="BF54" s="22">
        <f>SUM(Emissions!BH172:BH187)</f>
        <v>-2.6388846969858736E-2</v>
      </c>
      <c r="BG54" s="22">
        <f>SUM(Emissions!BI172:BI187)</f>
        <v>-2.6170215022530897E-2</v>
      </c>
      <c r="BH54" s="22">
        <f>SUM(Emissions!BJ172:BJ187)</f>
        <v>-2.5958189899139422E-2</v>
      </c>
      <c r="BI54" s="22">
        <f>SUM(Emissions!BK172:BK187)</f>
        <v>-2.5752481401994459E-2</v>
      </c>
      <c r="BJ54" s="22">
        <f>SUM(Emissions!BL172:BL187)</f>
        <v>-2.5498132789068477E-2</v>
      </c>
      <c r="BK54" s="22">
        <f>SUM(Emissions!BM172:BM187)</f>
        <v>-2.5250204957989276E-2</v>
      </c>
      <c r="BL54" s="22">
        <f>SUM(Emissions!BN172:BN187)</f>
        <v>-2.5008435701076429E-2</v>
      </c>
      <c r="BM54" s="22">
        <f>SUM(Emissions!BO172:BO187)</f>
        <v>-2.4772578369517746E-2</v>
      </c>
      <c r="BN54" s="22">
        <f>SUM(Emissions!BP172:BP187)</f>
        <v>-2.4542400678380955E-2</v>
      </c>
    </row>
    <row r="57" spans="1:72" s="19" customFormat="1" ht="15.75" x14ac:dyDescent="0.25">
      <c r="A57" s="17" t="s">
        <v>4</v>
      </c>
      <c r="B57" s="17" t="s">
        <v>313</v>
      </c>
      <c r="C57" s="17"/>
      <c r="D57" s="17"/>
      <c r="E57" s="17"/>
      <c r="F57" s="17">
        <v>1990</v>
      </c>
      <c r="G57" s="17">
        <v>1991</v>
      </c>
      <c r="H57" s="17">
        <v>1992</v>
      </c>
      <c r="I57" s="17">
        <v>1993</v>
      </c>
      <c r="J57" s="17">
        <v>1994</v>
      </c>
      <c r="K57" s="17">
        <v>1995</v>
      </c>
      <c r="L57" s="17">
        <v>1996</v>
      </c>
      <c r="M57" s="17">
        <v>1997</v>
      </c>
      <c r="N57" s="17">
        <v>1998</v>
      </c>
      <c r="O57" s="17">
        <v>1999</v>
      </c>
      <c r="P57" s="17">
        <v>2000</v>
      </c>
      <c r="Q57" s="17">
        <v>2001</v>
      </c>
      <c r="R57" s="17">
        <v>2002</v>
      </c>
      <c r="S57" s="17">
        <v>2003</v>
      </c>
      <c r="T57" s="17">
        <v>2004</v>
      </c>
      <c r="U57" s="17">
        <v>2005</v>
      </c>
      <c r="V57" s="17">
        <v>2006</v>
      </c>
      <c r="W57" s="17">
        <v>2007</v>
      </c>
      <c r="X57" s="17">
        <v>2008</v>
      </c>
      <c r="Y57" s="17">
        <v>2009</v>
      </c>
      <c r="Z57" s="17">
        <v>2010</v>
      </c>
      <c r="AA57" s="17">
        <v>2011</v>
      </c>
      <c r="AB57" s="17">
        <v>2012</v>
      </c>
      <c r="AC57" s="17">
        <v>2013</v>
      </c>
      <c r="AD57" s="17">
        <v>2014</v>
      </c>
      <c r="AE57" s="17">
        <v>2015</v>
      </c>
      <c r="AF57" s="17">
        <v>2016</v>
      </c>
      <c r="AG57" s="17">
        <v>2017</v>
      </c>
      <c r="AH57" s="17">
        <v>2018</v>
      </c>
      <c r="AI57" s="17">
        <v>2019</v>
      </c>
      <c r="AJ57" s="17">
        <v>2020</v>
      </c>
      <c r="AK57" s="17">
        <v>2021</v>
      </c>
      <c r="AL57" s="17">
        <v>2022</v>
      </c>
      <c r="AM57" s="17">
        <v>2023</v>
      </c>
      <c r="AN57" s="17">
        <v>2024</v>
      </c>
      <c r="AO57" s="17">
        <v>2025</v>
      </c>
      <c r="AP57" s="17">
        <v>2026</v>
      </c>
      <c r="AQ57" s="17">
        <v>2027</v>
      </c>
      <c r="AR57" s="17">
        <v>2028</v>
      </c>
      <c r="AS57" s="17">
        <v>2029</v>
      </c>
      <c r="AT57" s="17">
        <v>2030</v>
      </c>
      <c r="AU57" s="17">
        <v>2031</v>
      </c>
      <c r="AV57" s="17">
        <v>2032</v>
      </c>
      <c r="AW57" s="17">
        <v>2033</v>
      </c>
      <c r="AX57" s="17">
        <v>2034</v>
      </c>
      <c r="AY57" s="17">
        <v>2035</v>
      </c>
      <c r="AZ57" s="17">
        <v>2036</v>
      </c>
      <c r="BA57" s="17">
        <v>2037</v>
      </c>
      <c r="BB57" s="17">
        <v>2038</v>
      </c>
      <c r="BC57" s="17">
        <v>2039</v>
      </c>
      <c r="BD57" s="17">
        <v>2040</v>
      </c>
      <c r="BE57" s="17">
        <v>2041</v>
      </c>
      <c r="BF57" s="17">
        <v>2042</v>
      </c>
      <c r="BG57" s="17">
        <v>2043</v>
      </c>
      <c r="BH57" s="17">
        <v>2044</v>
      </c>
      <c r="BI57" s="17">
        <v>2045</v>
      </c>
      <c r="BJ57" s="17">
        <v>2046</v>
      </c>
      <c r="BK57" s="17">
        <v>2047</v>
      </c>
      <c r="BL57" s="17">
        <v>2048</v>
      </c>
      <c r="BM57" s="17">
        <v>2049</v>
      </c>
      <c r="BN57" s="17">
        <v>2050</v>
      </c>
      <c r="BO57" s="17"/>
      <c r="BP57" s="17"/>
      <c r="BQ57" s="17"/>
      <c r="BR57" s="17"/>
      <c r="BS57" s="17"/>
      <c r="BT57" s="17"/>
    </row>
    <row r="58" spans="1:72" x14ac:dyDescent="0.25">
      <c r="A58" t="str">
        <f>A4</f>
        <v>3A Livestock</v>
      </c>
      <c r="B58" t="str">
        <f t="shared" ref="B58:D58" si="41">B4</f>
        <v>3A1 Enteric fermentation (CH4)</v>
      </c>
      <c r="C58" t="s">
        <v>631</v>
      </c>
      <c r="D58" t="str">
        <f t="shared" si="41"/>
        <v>CH4</v>
      </c>
      <c r="E58" t="s">
        <v>630</v>
      </c>
      <c r="F58" s="22">
        <f t="shared" ref="F58:AK58" si="42">F4*CH4GWP</f>
        <v>26460.925072337381</v>
      </c>
      <c r="G58" s="22">
        <f t="shared" si="42"/>
        <v>26418.475312229119</v>
      </c>
      <c r="H58" s="22">
        <f t="shared" si="42"/>
        <v>26027.263437986745</v>
      </c>
      <c r="I58" s="22">
        <f t="shared" si="42"/>
        <v>25089.273612986341</v>
      </c>
      <c r="J58" s="22">
        <f t="shared" si="42"/>
        <v>24412.498016417903</v>
      </c>
      <c r="K58" s="22">
        <f t="shared" si="42"/>
        <v>24601.863709321911</v>
      </c>
      <c r="L58" s="22">
        <f t="shared" si="42"/>
        <v>25244.020710274675</v>
      </c>
      <c r="M58" s="22">
        <f t="shared" si="42"/>
        <v>25722.067671704968</v>
      </c>
      <c r="N58" s="22">
        <f t="shared" si="42"/>
        <v>26130.788516688182</v>
      </c>
      <c r="O58" s="22">
        <f t="shared" si="42"/>
        <v>26079.086242660247</v>
      </c>
      <c r="P58" s="22">
        <f t="shared" si="42"/>
        <v>25777.048269375533</v>
      </c>
      <c r="Q58" s="22">
        <f t="shared" si="42"/>
        <v>25591.757983541553</v>
      </c>
      <c r="R58" s="22">
        <f t="shared" si="42"/>
        <v>25147.122199522513</v>
      </c>
      <c r="S58" s="22">
        <f t="shared" si="42"/>
        <v>25249.466602835961</v>
      </c>
      <c r="T58" s="22">
        <f t="shared" si="42"/>
        <v>25051.703011381145</v>
      </c>
      <c r="U58" s="22">
        <f t="shared" si="42"/>
        <v>25106.486522987332</v>
      </c>
      <c r="V58" s="22">
        <f t="shared" si="42"/>
        <v>25009.71607093593</v>
      </c>
      <c r="W58" s="22">
        <f t="shared" si="42"/>
        <v>25554.935614001963</v>
      </c>
      <c r="X58" s="22">
        <f t="shared" si="42"/>
        <v>25721.077232963253</v>
      </c>
      <c r="Y58" s="22">
        <f t="shared" si="42"/>
        <v>25553.033374236744</v>
      </c>
      <c r="Z58" s="22">
        <f t="shared" si="42"/>
        <v>25338.814721466922</v>
      </c>
      <c r="AA58" s="22">
        <f t="shared" si="42"/>
        <v>25260.558978491663</v>
      </c>
      <c r="AB58" s="22">
        <f t="shared" si="42"/>
        <v>24752.854117901919</v>
      </c>
      <c r="AC58" s="22">
        <f t="shared" si="42"/>
        <v>24690.701530842045</v>
      </c>
      <c r="AD58" s="22">
        <f t="shared" si="42"/>
        <v>24496.272701657097</v>
      </c>
      <c r="AE58" s="22">
        <f t="shared" si="42"/>
        <v>24126.089928992173</v>
      </c>
      <c r="AF58" s="22">
        <f t="shared" si="42"/>
        <v>23771.872225696912</v>
      </c>
      <c r="AG58" s="22">
        <f t="shared" si="42"/>
        <v>23520.073026651728</v>
      </c>
      <c r="AH58" s="22">
        <f t="shared" si="42"/>
        <v>23301.855529161516</v>
      </c>
      <c r="AI58" s="22">
        <f t="shared" si="42"/>
        <v>22912.428573386427</v>
      </c>
      <c r="AJ58" s="22">
        <f t="shared" si="42"/>
        <v>20946.758314482198</v>
      </c>
      <c r="AK58" s="22">
        <f t="shared" si="42"/>
        <v>21127.92048043212</v>
      </c>
      <c r="AL58" s="22">
        <f t="shared" ref="AL58:BN58" si="43">AL4*CH4GWP</f>
        <v>21266.186303300943</v>
      </c>
      <c r="AM58" s="22">
        <f t="shared" si="43"/>
        <v>21403.571119144526</v>
      </c>
      <c r="AN58" s="22">
        <f t="shared" si="43"/>
        <v>21603.447512526178</v>
      </c>
      <c r="AO58" s="22">
        <f t="shared" si="43"/>
        <v>21800.668001102862</v>
      </c>
      <c r="AP58" s="22">
        <f t="shared" si="43"/>
        <v>22000.591345041223</v>
      </c>
      <c r="AQ58" s="22">
        <f t="shared" si="43"/>
        <v>22182.593875265629</v>
      </c>
      <c r="AR58" s="22">
        <f t="shared" si="43"/>
        <v>22385.569417927294</v>
      </c>
      <c r="AS58" s="22">
        <f t="shared" si="43"/>
        <v>22556.992840276263</v>
      </c>
      <c r="AT58" s="22">
        <f t="shared" si="43"/>
        <v>22733.82599989614</v>
      </c>
      <c r="AU58" s="22">
        <f t="shared" si="43"/>
        <v>22863.158249547294</v>
      </c>
      <c r="AV58" s="22">
        <f t="shared" si="43"/>
        <v>23017.737978597204</v>
      </c>
      <c r="AW58" s="22">
        <f t="shared" si="43"/>
        <v>23175.719642778968</v>
      </c>
      <c r="AX58" s="22">
        <f t="shared" si="43"/>
        <v>22899.697121200192</v>
      </c>
      <c r="AY58" s="22">
        <f t="shared" si="43"/>
        <v>2537.4086067226303</v>
      </c>
      <c r="AZ58" s="22">
        <f t="shared" si="43"/>
        <v>2616.4465754690132</v>
      </c>
      <c r="BA58" s="22">
        <f t="shared" si="43"/>
        <v>2694.8641813506597</v>
      </c>
      <c r="BB58" s="22">
        <f t="shared" si="43"/>
        <v>2772.7012312324018</v>
      </c>
      <c r="BC58" s="22">
        <f t="shared" si="43"/>
        <v>2849.994953200111</v>
      </c>
      <c r="BD58" s="22">
        <f t="shared" si="43"/>
        <v>2926.7802311738365</v>
      </c>
      <c r="BE58" s="22">
        <f t="shared" si="43"/>
        <v>2986.3054753166848</v>
      </c>
      <c r="BF58" s="22">
        <f t="shared" si="43"/>
        <v>3045.4210974298903</v>
      </c>
      <c r="BG58" s="22">
        <f t="shared" si="43"/>
        <v>3104.1497223871324</v>
      </c>
      <c r="BH58" s="22">
        <f t="shared" si="43"/>
        <v>3162.5126650050261</v>
      </c>
      <c r="BI58" s="22">
        <f t="shared" si="43"/>
        <v>3220.5300361385289</v>
      </c>
      <c r="BJ58" s="22">
        <f t="shared" si="43"/>
        <v>3275.3183317627763</v>
      </c>
      <c r="BK58" s="22">
        <f t="shared" si="43"/>
        <v>3329.7151161683532</v>
      </c>
      <c r="BL58" s="22">
        <f t="shared" si="43"/>
        <v>3383.7375087297842</v>
      </c>
      <c r="BM58" s="22">
        <f t="shared" si="43"/>
        <v>3437.4017251153541</v>
      </c>
      <c r="BN58" s="22">
        <f t="shared" si="43"/>
        <v>3490.7231430149341</v>
      </c>
    </row>
    <row r="59" spans="1:72" x14ac:dyDescent="0.25">
      <c r="A59" t="str">
        <f>A11</f>
        <v>3A Livestock</v>
      </c>
      <c r="B59" t="str">
        <f t="shared" ref="B59:D59" si="44">B11</f>
        <v>3A2 Manure management (CH4)</v>
      </c>
      <c r="C59" t="s">
        <v>632</v>
      </c>
      <c r="D59" t="str">
        <f t="shared" si="44"/>
        <v>CH4</v>
      </c>
      <c r="E59" t="s">
        <v>630</v>
      </c>
      <c r="F59" s="22">
        <f t="shared" ref="F59:AK59" si="45">F11*CH4GWP</f>
        <v>665.7572008832442</v>
      </c>
      <c r="G59" s="22">
        <f t="shared" si="45"/>
        <v>731.77517896865697</v>
      </c>
      <c r="H59" s="22">
        <f t="shared" si="45"/>
        <v>700.26473285821476</v>
      </c>
      <c r="I59" s="22">
        <f t="shared" si="45"/>
        <v>712.13818460917685</v>
      </c>
      <c r="J59" s="22">
        <f t="shared" si="45"/>
        <v>673.549198853235</v>
      </c>
      <c r="K59" s="22">
        <f t="shared" si="45"/>
        <v>693.43832527791926</v>
      </c>
      <c r="L59" s="22">
        <f t="shared" si="45"/>
        <v>734.73733503998528</v>
      </c>
      <c r="M59" s="22">
        <f t="shared" si="45"/>
        <v>726.5082160772597</v>
      </c>
      <c r="N59" s="22">
        <f t="shared" si="45"/>
        <v>738.7543700862376</v>
      </c>
      <c r="O59" s="22">
        <f t="shared" si="45"/>
        <v>751.24351393633765</v>
      </c>
      <c r="P59" s="22">
        <f t="shared" si="45"/>
        <v>762.23830549258651</v>
      </c>
      <c r="Q59" s="22">
        <f t="shared" si="45"/>
        <v>769.66043942752947</v>
      </c>
      <c r="R59" s="22">
        <f t="shared" si="45"/>
        <v>755.24670561009475</v>
      </c>
      <c r="S59" s="22">
        <f t="shared" si="45"/>
        <v>721.45490015224073</v>
      </c>
      <c r="T59" s="22">
        <f t="shared" si="45"/>
        <v>716.39216959899204</v>
      </c>
      <c r="U59" s="22">
        <f t="shared" si="45"/>
        <v>729.01852866445677</v>
      </c>
      <c r="V59" s="22">
        <f t="shared" si="45"/>
        <v>720.39066924724523</v>
      </c>
      <c r="W59" s="22">
        <f t="shared" si="45"/>
        <v>731.06474952281167</v>
      </c>
      <c r="X59" s="22">
        <f t="shared" si="45"/>
        <v>761.20306942751586</v>
      </c>
      <c r="Y59" s="22">
        <f t="shared" si="45"/>
        <v>763.02344219117026</v>
      </c>
      <c r="Z59" s="22">
        <f t="shared" si="45"/>
        <v>758.88138838781094</v>
      </c>
      <c r="AA59" s="22">
        <f t="shared" si="45"/>
        <v>751.05641756570367</v>
      </c>
      <c r="AB59" s="22">
        <f t="shared" si="45"/>
        <v>778.47417983971104</v>
      </c>
      <c r="AC59" s="22">
        <f t="shared" si="45"/>
        <v>779.59974547339391</v>
      </c>
      <c r="AD59" s="22">
        <f t="shared" si="45"/>
        <v>776.01521299106844</v>
      </c>
      <c r="AE59" s="22">
        <f t="shared" si="45"/>
        <v>765.98495020280677</v>
      </c>
      <c r="AF59" s="22">
        <f t="shared" si="45"/>
        <v>756.49840947197652</v>
      </c>
      <c r="AG59" s="22">
        <f t="shared" si="45"/>
        <v>750.81190073547032</v>
      </c>
      <c r="AH59" s="22">
        <f t="shared" si="45"/>
        <v>746.47790955624714</v>
      </c>
      <c r="AI59" s="22">
        <f t="shared" si="45"/>
        <v>735.64906682109074</v>
      </c>
      <c r="AJ59" s="22">
        <f t="shared" si="45"/>
        <v>663.65503880084054</v>
      </c>
      <c r="AK59" s="22">
        <f t="shared" si="45"/>
        <v>669.66631039075139</v>
      </c>
      <c r="AL59" s="22">
        <f t="shared" ref="AL59:BN59" si="46">AL11*CH4GWP</f>
        <v>674.05740874284413</v>
      </c>
      <c r="AM59" s="22">
        <f t="shared" si="46"/>
        <v>678.45659597371571</v>
      </c>
      <c r="AN59" s="22">
        <f t="shared" si="46"/>
        <v>685.32079022673724</v>
      </c>
      <c r="AO59" s="22">
        <f t="shared" si="46"/>
        <v>692.12452077540718</v>
      </c>
      <c r="AP59" s="22">
        <f t="shared" si="46"/>
        <v>699.43576699967275</v>
      </c>
      <c r="AQ59" s="22">
        <f t="shared" si="46"/>
        <v>706.09199919528305</v>
      </c>
      <c r="AR59" s="22">
        <f t="shared" si="46"/>
        <v>713.60334107484675</v>
      </c>
      <c r="AS59" s="22">
        <f t="shared" si="46"/>
        <v>719.93016668911832</v>
      </c>
      <c r="AT59" s="22">
        <f t="shared" si="46"/>
        <v>726.50800998512238</v>
      </c>
      <c r="AU59" s="22">
        <f t="shared" si="46"/>
        <v>736.09236873977989</v>
      </c>
      <c r="AV59" s="22">
        <f t="shared" si="46"/>
        <v>746.90433093633465</v>
      </c>
      <c r="AW59" s="22">
        <f t="shared" si="46"/>
        <v>758.10656464132535</v>
      </c>
      <c r="AX59" s="22">
        <f t="shared" si="46"/>
        <v>752.14286499410048</v>
      </c>
      <c r="AY59" s="22">
        <f t="shared" si="46"/>
        <v>-67.585085171117242</v>
      </c>
      <c r="AZ59" s="22">
        <f t="shared" si="46"/>
        <v>-65.989463126828937</v>
      </c>
      <c r="BA59" s="22">
        <f t="shared" si="46"/>
        <v>-64.421557153187081</v>
      </c>
      <c r="BB59" s="22">
        <f t="shared" si="46"/>
        <v>-62.879373380315663</v>
      </c>
      <c r="BC59" s="22">
        <f t="shared" si="46"/>
        <v>-61.361063344197092</v>
      </c>
      <c r="BD59" s="22">
        <f t="shared" si="46"/>
        <v>-59.864909874559913</v>
      </c>
      <c r="BE59" s="22">
        <f t="shared" si="46"/>
        <v>-58.252568555884032</v>
      </c>
      <c r="BF59" s="22">
        <f t="shared" si="46"/>
        <v>-56.663632084523634</v>
      </c>
      <c r="BG59" s="22">
        <f t="shared" si="46"/>
        <v>-55.096609246918447</v>
      </c>
      <c r="BH59" s="22">
        <f t="shared" si="46"/>
        <v>-53.550105907377265</v>
      </c>
      <c r="BI59" s="22">
        <f t="shared" si="46"/>
        <v>-52.022816593646404</v>
      </c>
      <c r="BJ59" s="22">
        <f t="shared" si="46"/>
        <v>-50.390477734097423</v>
      </c>
      <c r="BK59" s="22">
        <f t="shared" si="46"/>
        <v>-48.779333150589302</v>
      </c>
      <c r="BL59" s="22">
        <f t="shared" si="46"/>
        <v>-47.188214596666612</v>
      </c>
      <c r="BM59" s="22">
        <f t="shared" si="46"/>
        <v>-45.616022721592891</v>
      </c>
      <c r="BN59" s="22">
        <f t="shared" si="46"/>
        <v>-44.061721685204574</v>
      </c>
    </row>
    <row r="60" spans="1:72" x14ac:dyDescent="0.25">
      <c r="A60" t="str">
        <f>A19</f>
        <v>3A Livestock</v>
      </c>
      <c r="B60" t="str">
        <f t="shared" ref="B60:D60" si="47">B19</f>
        <v>3A2 Manure management (N2O)</v>
      </c>
      <c r="C60" t="s">
        <v>633</v>
      </c>
      <c r="D60" t="str">
        <f t="shared" si="47"/>
        <v>N2O</v>
      </c>
      <c r="E60" t="s">
        <v>630</v>
      </c>
      <c r="F60" s="22">
        <f t="shared" ref="F60:AK60" si="48">F19*N2OGWP</f>
        <v>1203.2136219693348</v>
      </c>
      <c r="G60" s="22">
        <f t="shared" si="48"/>
        <v>1198.5061063384233</v>
      </c>
      <c r="H60" s="22">
        <f t="shared" si="48"/>
        <v>1173.7369968071926</v>
      </c>
      <c r="I60" s="22">
        <f t="shared" si="48"/>
        <v>1182.0093804828057</v>
      </c>
      <c r="J60" s="22">
        <f t="shared" si="48"/>
        <v>1146.8886267544892</v>
      </c>
      <c r="K60" s="22">
        <f t="shared" si="48"/>
        <v>1188.3958696738064</v>
      </c>
      <c r="L60" s="22">
        <f t="shared" si="48"/>
        <v>1252.6970048832511</v>
      </c>
      <c r="M60" s="22">
        <f t="shared" si="48"/>
        <v>1269.6218122686487</v>
      </c>
      <c r="N60" s="22">
        <f t="shared" si="48"/>
        <v>1322.3148658073626</v>
      </c>
      <c r="O60" s="22">
        <f t="shared" si="48"/>
        <v>1346.6035779723059</v>
      </c>
      <c r="P60" s="22">
        <f t="shared" si="48"/>
        <v>1372.4487383044614</v>
      </c>
      <c r="Q60" s="22">
        <f t="shared" si="48"/>
        <v>1356.5221314435626</v>
      </c>
      <c r="R60" s="22">
        <f t="shared" si="48"/>
        <v>1396.8463052232266</v>
      </c>
      <c r="S60" s="22">
        <f t="shared" si="48"/>
        <v>1373.0665004626433</v>
      </c>
      <c r="T60" s="22">
        <f t="shared" si="48"/>
        <v>1378.5802594390798</v>
      </c>
      <c r="U60" s="22">
        <f t="shared" si="48"/>
        <v>1425.1971500061302</v>
      </c>
      <c r="V60" s="22">
        <f t="shared" si="48"/>
        <v>1466.623959325211</v>
      </c>
      <c r="W60" s="22">
        <f t="shared" si="48"/>
        <v>1512.7966811111032</v>
      </c>
      <c r="X60" s="22">
        <f t="shared" si="48"/>
        <v>1539.5804780764847</v>
      </c>
      <c r="Y60" s="22">
        <f t="shared" si="48"/>
        <v>1507.0434874225361</v>
      </c>
      <c r="Z60" s="22">
        <f t="shared" si="48"/>
        <v>1516.5605848321243</v>
      </c>
      <c r="AA60" s="22">
        <f t="shared" si="48"/>
        <v>1570.0225026545761</v>
      </c>
      <c r="AB60" s="22">
        <f t="shared" si="48"/>
        <v>1624.6372261307567</v>
      </c>
      <c r="AC60" s="22">
        <f t="shared" si="48"/>
        <v>1644.7201872134187</v>
      </c>
      <c r="AD60" s="22">
        <f t="shared" si="48"/>
        <v>1652.278567660903</v>
      </c>
      <c r="AE60" s="22">
        <f t="shared" si="48"/>
        <v>1642.5799481628237</v>
      </c>
      <c r="AF60" s="22">
        <f t="shared" si="48"/>
        <v>1633.3693680269034</v>
      </c>
      <c r="AG60" s="22">
        <f t="shared" si="48"/>
        <v>1633.2534061095882</v>
      </c>
      <c r="AH60" s="22">
        <f t="shared" si="48"/>
        <v>1636.1197720898767</v>
      </c>
      <c r="AI60" s="22">
        <f t="shared" si="48"/>
        <v>1621.2074368618501</v>
      </c>
      <c r="AJ60" s="22">
        <f t="shared" si="48"/>
        <v>1441.4619559724115</v>
      </c>
      <c r="AK60" s="22">
        <f t="shared" si="48"/>
        <v>1472.4073202587936</v>
      </c>
      <c r="AL60" s="22">
        <f t="shared" ref="AL60:BN60" si="49">AL19*N2OGWP</f>
        <v>1499.0444219072838</v>
      </c>
      <c r="AM60" s="22">
        <f t="shared" si="49"/>
        <v>1525.7586433035303</v>
      </c>
      <c r="AN60" s="22">
        <f t="shared" si="49"/>
        <v>1559.4096157355314</v>
      </c>
      <c r="AO60" s="22">
        <f t="shared" si="49"/>
        <v>1593.1009264189975</v>
      </c>
      <c r="AP60" s="22">
        <f t="shared" si="49"/>
        <v>1628.7212759269312</v>
      </c>
      <c r="AQ60" s="22">
        <f t="shared" si="49"/>
        <v>1662.7349086236418</v>
      </c>
      <c r="AR60" s="22">
        <f t="shared" si="49"/>
        <v>1699.463726378892</v>
      </c>
      <c r="AS60" s="22">
        <f t="shared" si="49"/>
        <v>1733.0429726704101</v>
      </c>
      <c r="AT60" s="22">
        <f t="shared" si="49"/>
        <v>1767.6108299651239</v>
      </c>
      <c r="AU60" s="22">
        <f t="shared" si="49"/>
        <v>1809.7950914952585</v>
      </c>
      <c r="AV60" s="22">
        <f t="shared" si="49"/>
        <v>1856.0368752018776</v>
      </c>
      <c r="AW60" s="22">
        <f t="shared" si="49"/>
        <v>1903.9133342675466</v>
      </c>
      <c r="AX60" s="22">
        <f t="shared" si="49"/>
        <v>1900.2739512057267</v>
      </c>
      <c r="AY60" s="22">
        <f t="shared" si="49"/>
        <v>-587.74999411227577</v>
      </c>
      <c r="AZ60" s="22">
        <f t="shared" si="49"/>
        <v>-587.27825557990616</v>
      </c>
      <c r="BA60" s="22">
        <f t="shared" si="49"/>
        <v>-586.89918391089338</v>
      </c>
      <c r="BB60" s="22">
        <f t="shared" si="49"/>
        <v>-586.60885915153483</v>
      </c>
      <c r="BC60" s="22">
        <f t="shared" si="49"/>
        <v>-586.4036583237787</v>
      </c>
      <c r="BD60" s="22">
        <f t="shared" si="49"/>
        <v>-586.28022728365454</v>
      </c>
      <c r="BE60" s="22">
        <f t="shared" si="49"/>
        <v>-585.77238144933699</v>
      </c>
      <c r="BF60" s="22">
        <f t="shared" si="49"/>
        <v>-585.3360952284894</v>
      </c>
      <c r="BG60" s="22">
        <f t="shared" si="49"/>
        <v>-584.96860406358928</v>
      </c>
      <c r="BH60" s="22">
        <f t="shared" si="49"/>
        <v>-584.66732980850077</v>
      </c>
      <c r="BI60" s="22">
        <f t="shared" si="49"/>
        <v>-584.42986489722659</v>
      </c>
      <c r="BJ60" s="22">
        <f t="shared" si="49"/>
        <v>-583.59574457992505</v>
      </c>
      <c r="BK60" s="22">
        <f t="shared" si="49"/>
        <v>-582.82208689660501</v>
      </c>
      <c r="BL60" s="22">
        <f t="shared" si="49"/>
        <v>-582.10673214220537</v>
      </c>
      <c r="BM60" s="22">
        <f t="shared" si="49"/>
        <v>-581.44765093146714</v>
      </c>
      <c r="BN60" s="22">
        <f t="shared" si="49"/>
        <v>-580.84293420121003</v>
      </c>
    </row>
    <row r="61" spans="1:72" x14ac:dyDescent="0.25">
      <c r="A61" t="str">
        <f>A27</f>
        <v>3C Aggregated and non-CO2 emissions on land</v>
      </c>
      <c r="B61" t="str">
        <f t="shared" ref="B61:D61" si="50">B27</f>
        <v>3C1 Biomass burning (CH4)</v>
      </c>
      <c r="C61" t="s">
        <v>634</v>
      </c>
      <c r="D61" t="str">
        <f t="shared" si="50"/>
        <v>CH4</v>
      </c>
      <c r="E61" t="s">
        <v>630</v>
      </c>
      <c r="F61" s="22">
        <f t="shared" ref="F61:AK61" si="51">F27*CH4GWP</f>
        <v>1113.9523335609101</v>
      </c>
      <c r="G61" s="22">
        <f t="shared" si="51"/>
        <v>1113.9523335609101</v>
      </c>
      <c r="H61" s="22">
        <f t="shared" si="51"/>
        <v>1113.9523335609101</v>
      </c>
      <c r="I61" s="22">
        <f t="shared" si="51"/>
        <v>1113.9523335609101</v>
      </c>
      <c r="J61" s="22">
        <f t="shared" si="51"/>
        <v>1113.9523335609101</v>
      </c>
      <c r="K61" s="22">
        <f t="shared" si="51"/>
        <v>1113.9523335609101</v>
      </c>
      <c r="L61" s="22">
        <f t="shared" si="51"/>
        <v>1113.9523335609101</v>
      </c>
      <c r="M61" s="22">
        <f t="shared" si="51"/>
        <v>1113.9523335609101</v>
      </c>
      <c r="N61" s="22">
        <f t="shared" si="51"/>
        <v>1113.9523335609101</v>
      </c>
      <c r="O61" s="22">
        <f t="shared" si="51"/>
        <v>1113.9523335609101</v>
      </c>
      <c r="P61" s="22">
        <f t="shared" si="51"/>
        <v>1103.4776992955053</v>
      </c>
      <c r="Q61" s="22">
        <f t="shared" si="51"/>
        <v>1282.5517441798665</v>
      </c>
      <c r="R61" s="22">
        <f t="shared" si="51"/>
        <v>1288.9176046937982</v>
      </c>
      <c r="S61" s="22">
        <f t="shared" si="51"/>
        <v>1011.4345809085878</v>
      </c>
      <c r="T61" s="22">
        <f t="shared" si="51"/>
        <v>883.38003872679235</v>
      </c>
      <c r="U61" s="22">
        <f t="shared" si="51"/>
        <v>1412.334298727088</v>
      </c>
      <c r="V61" s="22">
        <f t="shared" si="51"/>
        <v>1236.8838978672777</v>
      </c>
      <c r="W61" s="22">
        <f t="shared" si="51"/>
        <v>1218.5771221263838</v>
      </c>
      <c r="X61" s="22">
        <f t="shared" si="51"/>
        <v>1139.8644942847</v>
      </c>
      <c r="Y61" s="22">
        <f t="shared" si="51"/>
        <v>1078.8713756473658</v>
      </c>
      <c r="Z61" s="22">
        <f t="shared" si="51"/>
        <v>1107.055106514</v>
      </c>
      <c r="AA61" s="22">
        <f t="shared" si="51"/>
        <v>1093.3943713178221</v>
      </c>
      <c r="AB61" s="22">
        <f t="shared" si="51"/>
        <v>916.39904428073066</v>
      </c>
      <c r="AC61" s="22">
        <f t="shared" si="51"/>
        <v>957.70927900519757</v>
      </c>
      <c r="AD61" s="22">
        <f t="shared" si="51"/>
        <v>944.27038684966465</v>
      </c>
      <c r="AE61" s="22">
        <f t="shared" si="51"/>
        <v>931.78327853413111</v>
      </c>
      <c r="AF61" s="22">
        <f t="shared" si="51"/>
        <v>941.79408509859809</v>
      </c>
      <c r="AG61" s="22">
        <f t="shared" si="51"/>
        <v>950.68729182306481</v>
      </c>
      <c r="AH61" s="22">
        <f t="shared" si="51"/>
        <v>953.20321518753167</v>
      </c>
      <c r="AI61" s="22">
        <f t="shared" si="51"/>
        <v>956.763261286947</v>
      </c>
      <c r="AJ61" s="22">
        <f t="shared" si="51"/>
        <v>960.32330738636199</v>
      </c>
      <c r="AK61" s="22">
        <f t="shared" si="51"/>
        <v>963.88335348577709</v>
      </c>
      <c r="AL61" s="22">
        <f t="shared" ref="AL61:BN61" si="52">AL27*CH4GWP</f>
        <v>967.44339958519208</v>
      </c>
      <c r="AM61" s="22">
        <f t="shared" si="52"/>
        <v>971.0034456846073</v>
      </c>
      <c r="AN61" s="22">
        <f t="shared" si="52"/>
        <v>974.56349178402229</v>
      </c>
      <c r="AO61" s="22">
        <f t="shared" si="52"/>
        <v>978.12353788343751</v>
      </c>
      <c r="AP61" s="22">
        <f t="shared" si="52"/>
        <v>981.68358398285261</v>
      </c>
      <c r="AQ61" s="22">
        <f t="shared" si="52"/>
        <v>985.2436300822676</v>
      </c>
      <c r="AR61" s="22">
        <f t="shared" si="52"/>
        <v>988.8036761816827</v>
      </c>
      <c r="AS61" s="22">
        <f t="shared" si="52"/>
        <v>992.36372228109781</v>
      </c>
      <c r="AT61" s="22">
        <f t="shared" si="52"/>
        <v>995.92376838051302</v>
      </c>
      <c r="AU61" s="22">
        <f t="shared" si="52"/>
        <v>999.27215253115673</v>
      </c>
      <c r="AV61" s="22">
        <f t="shared" si="52"/>
        <v>1002.6205366818004</v>
      </c>
      <c r="AW61" s="22">
        <f t="shared" si="52"/>
        <v>1005.9689208324443</v>
      </c>
      <c r="AX61" s="22">
        <f t="shared" si="52"/>
        <v>1009.317304983088</v>
      </c>
      <c r="AY61" s="22">
        <f t="shared" si="52"/>
        <v>1012.6656891337318</v>
      </c>
      <c r="AZ61" s="22">
        <f t="shared" si="52"/>
        <v>1016.0140732843756</v>
      </c>
      <c r="BA61" s="22">
        <f t="shared" si="52"/>
        <v>1019.3624574350195</v>
      </c>
      <c r="BB61" s="22">
        <f t="shared" si="52"/>
        <v>1022.710841585663</v>
      </c>
      <c r="BC61" s="22">
        <f t="shared" si="52"/>
        <v>1025.7736963097952</v>
      </c>
      <c r="BD61" s="22">
        <f t="shared" si="52"/>
        <v>1028.836551033927</v>
      </c>
      <c r="BE61" s="22">
        <f t="shared" si="52"/>
        <v>1031.8994057580592</v>
      </c>
      <c r="BF61" s="22">
        <f t="shared" si="52"/>
        <v>1034.9622604821907</v>
      </c>
      <c r="BG61" s="22">
        <f t="shared" si="52"/>
        <v>1038.0251152063229</v>
      </c>
      <c r="BH61" s="22">
        <f t="shared" si="52"/>
        <v>1041.0879699304548</v>
      </c>
      <c r="BI61" s="22">
        <f t="shared" si="52"/>
        <v>1044.1508246545868</v>
      </c>
      <c r="BJ61" s="22">
        <f t="shared" si="52"/>
        <v>1047.2136793787188</v>
      </c>
      <c r="BK61" s="22">
        <f t="shared" si="52"/>
        <v>1050.2765341028507</v>
      </c>
      <c r="BL61" s="22">
        <f t="shared" si="52"/>
        <v>1053.3393888269827</v>
      </c>
      <c r="BM61" s="22">
        <f t="shared" si="52"/>
        <v>1056.4022435511147</v>
      </c>
      <c r="BN61" s="22">
        <f t="shared" si="52"/>
        <v>1059.4650982752464</v>
      </c>
    </row>
    <row r="62" spans="1:72" x14ac:dyDescent="0.25">
      <c r="A62" t="str">
        <f>A34</f>
        <v>3C Aggregated and non-CO2 emissions on land</v>
      </c>
      <c r="B62" t="str">
        <f t="shared" ref="B62:D62" si="53">B34</f>
        <v>3C1 Biomass burning (N2O)</v>
      </c>
      <c r="C62" t="s">
        <v>635</v>
      </c>
      <c r="D62" t="str">
        <f t="shared" si="53"/>
        <v>N2O</v>
      </c>
      <c r="E62" t="s">
        <v>630</v>
      </c>
      <c r="F62" s="22">
        <f t="shared" ref="F62:AK62" si="54">F34*N2OGWP</f>
        <v>1149.3522600947301</v>
      </c>
      <c r="G62" s="22">
        <f t="shared" si="54"/>
        <v>1149.3522600947301</v>
      </c>
      <c r="H62" s="22">
        <f t="shared" si="54"/>
        <v>1149.3522600947301</v>
      </c>
      <c r="I62" s="22">
        <f t="shared" si="54"/>
        <v>1149.3522600947301</v>
      </c>
      <c r="J62" s="22">
        <f t="shared" si="54"/>
        <v>1149.3522600947301</v>
      </c>
      <c r="K62" s="22">
        <f t="shared" si="54"/>
        <v>1149.3522600947301</v>
      </c>
      <c r="L62" s="22">
        <f t="shared" si="54"/>
        <v>1149.3522600947301</v>
      </c>
      <c r="M62" s="22">
        <f t="shared" si="54"/>
        <v>1149.3522600947301</v>
      </c>
      <c r="N62" s="22">
        <f t="shared" si="54"/>
        <v>1149.3522600947301</v>
      </c>
      <c r="O62" s="22">
        <f t="shared" si="54"/>
        <v>1149.3522600947301</v>
      </c>
      <c r="P62" s="22">
        <f t="shared" si="54"/>
        <v>1138.2881924240246</v>
      </c>
      <c r="Q62" s="22">
        <f t="shared" si="54"/>
        <v>1347.8625366593228</v>
      </c>
      <c r="R62" s="22">
        <f t="shared" si="54"/>
        <v>1328.3690110437451</v>
      </c>
      <c r="S62" s="22">
        <f t="shared" si="54"/>
        <v>1017.5651134275211</v>
      </c>
      <c r="T62" s="22">
        <f t="shared" si="54"/>
        <v>914.67644691903695</v>
      </c>
      <c r="U62" s="22">
        <f t="shared" si="54"/>
        <v>1447.9112474339306</v>
      </c>
      <c r="V62" s="22">
        <f t="shared" si="54"/>
        <v>1263.4019893034997</v>
      </c>
      <c r="W62" s="22">
        <f t="shared" si="54"/>
        <v>1217.4357899565925</v>
      </c>
      <c r="X62" s="22">
        <f t="shared" si="54"/>
        <v>1180.1818937292605</v>
      </c>
      <c r="Y62" s="22">
        <f t="shared" si="54"/>
        <v>1108.1395844539597</v>
      </c>
      <c r="Z62" s="22">
        <f t="shared" si="54"/>
        <v>1121.7567904983002</v>
      </c>
      <c r="AA62" s="22">
        <f t="shared" si="54"/>
        <v>1111.0832034573957</v>
      </c>
      <c r="AB62" s="22">
        <f t="shared" si="54"/>
        <v>957.90428313424388</v>
      </c>
      <c r="AC62" s="22">
        <f t="shared" si="54"/>
        <v>993.12814482495412</v>
      </c>
      <c r="AD62" s="22">
        <f t="shared" si="54"/>
        <v>983.64299307566409</v>
      </c>
      <c r="AE62" s="22">
        <f t="shared" si="54"/>
        <v>974.93508324637412</v>
      </c>
      <c r="AF62" s="22">
        <f t="shared" si="54"/>
        <v>984.5993308570844</v>
      </c>
      <c r="AG62" s="22">
        <f t="shared" si="54"/>
        <v>993.3509285477943</v>
      </c>
      <c r="AH62" s="22">
        <f t="shared" si="54"/>
        <v>996.89473455850464</v>
      </c>
      <c r="AI62" s="22">
        <f t="shared" si="54"/>
        <v>1001.6941603201909</v>
      </c>
      <c r="AJ62" s="22">
        <f t="shared" si="54"/>
        <v>1006.4935860818769</v>
      </c>
      <c r="AK62" s="22">
        <f t="shared" si="54"/>
        <v>1011.2930118435631</v>
      </c>
      <c r="AL62" s="22">
        <f t="shared" ref="AL62:BN62" si="55">AL34*N2OGWP</f>
        <v>1016.092437605249</v>
      </c>
      <c r="AM62" s="22">
        <f t="shared" si="55"/>
        <v>1020.8918633669354</v>
      </c>
      <c r="AN62" s="22">
        <f t="shared" si="55"/>
        <v>1025.6912891286215</v>
      </c>
      <c r="AO62" s="22">
        <f t="shared" si="55"/>
        <v>1030.4907148903073</v>
      </c>
      <c r="AP62" s="22">
        <f t="shared" si="55"/>
        <v>1035.2901406519936</v>
      </c>
      <c r="AQ62" s="22">
        <f t="shared" si="55"/>
        <v>1040.0895664136797</v>
      </c>
      <c r="AR62" s="22">
        <f t="shared" si="55"/>
        <v>1044.888992175366</v>
      </c>
      <c r="AS62" s="22">
        <f t="shared" si="55"/>
        <v>1049.688417937052</v>
      </c>
      <c r="AT62" s="22">
        <f t="shared" si="55"/>
        <v>1054.4878436987378</v>
      </c>
      <c r="AU62" s="22">
        <f t="shared" si="55"/>
        <v>1059.1536620734259</v>
      </c>
      <c r="AV62" s="22">
        <f t="shared" si="55"/>
        <v>1063.8194804481134</v>
      </c>
      <c r="AW62" s="22">
        <f t="shared" si="55"/>
        <v>1068.4852988228013</v>
      </c>
      <c r="AX62" s="22">
        <f t="shared" si="55"/>
        <v>1073.1511171974894</v>
      </c>
      <c r="AY62" s="22">
        <f t="shared" si="55"/>
        <v>1077.816935572177</v>
      </c>
      <c r="AZ62" s="22">
        <f t="shared" si="55"/>
        <v>1082.4827539468647</v>
      </c>
      <c r="BA62" s="22">
        <f t="shared" si="55"/>
        <v>1087.1485723215524</v>
      </c>
      <c r="BB62" s="22">
        <f t="shared" si="55"/>
        <v>1091.8143906962403</v>
      </c>
      <c r="BC62" s="22">
        <f t="shared" si="55"/>
        <v>1096.2470411704533</v>
      </c>
      <c r="BD62" s="22">
        <f t="shared" si="55"/>
        <v>1100.6796916446663</v>
      </c>
      <c r="BE62" s="22">
        <f t="shared" si="55"/>
        <v>1105.1123421188793</v>
      </c>
      <c r="BF62" s="22">
        <f t="shared" si="55"/>
        <v>1109.5449925930925</v>
      </c>
      <c r="BG62" s="22">
        <f t="shared" si="55"/>
        <v>1113.9776430673055</v>
      </c>
      <c r="BH62" s="22">
        <f t="shared" si="55"/>
        <v>1118.4102935415185</v>
      </c>
      <c r="BI62" s="22">
        <f t="shared" si="55"/>
        <v>1122.8429440157317</v>
      </c>
      <c r="BJ62" s="22">
        <f t="shared" si="55"/>
        <v>1127.2755944899448</v>
      </c>
      <c r="BK62" s="22">
        <f t="shared" si="55"/>
        <v>1131.7082449641578</v>
      </c>
      <c r="BL62" s="22">
        <f t="shared" si="55"/>
        <v>1136.1408954383708</v>
      </c>
      <c r="BM62" s="22">
        <f t="shared" si="55"/>
        <v>1140.5735459125838</v>
      </c>
      <c r="BN62" s="22">
        <f t="shared" si="55"/>
        <v>1145.0061963867968</v>
      </c>
    </row>
    <row r="63" spans="1:72" x14ac:dyDescent="0.25">
      <c r="A63" t="str">
        <f>A41</f>
        <v>3C Aggregated and non-CO2 emissions on land</v>
      </c>
      <c r="B63" t="str">
        <f t="shared" ref="B63:F63" si="56">B41</f>
        <v>3C2 Liming (CO2)</v>
      </c>
      <c r="C63" t="s">
        <v>113</v>
      </c>
      <c r="D63" t="str">
        <f t="shared" si="56"/>
        <v>CO2</v>
      </c>
      <c r="E63" t="s">
        <v>630</v>
      </c>
      <c r="F63" s="22">
        <f t="shared" si="56"/>
        <v>357.5</v>
      </c>
      <c r="G63" s="22">
        <f t="shared" ref="G63:BN63" si="57">G41</f>
        <v>378.125</v>
      </c>
      <c r="H63" s="22">
        <f t="shared" si="57"/>
        <v>261.25</v>
      </c>
      <c r="I63" s="22">
        <f t="shared" si="57"/>
        <v>412.5</v>
      </c>
      <c r="J63" s="22">
        <f t="shared" si="57"/>
        <v>595.58170833333327</v>
      </c>
      <c r="K63" s="22">
        <f t="shared" si="57"/>
        <v>473.34145833333332</v>
      </c>
      <c r="L63" s="22">
        <f t="shared" si="57"/>
        <v>579.13625000000002</v>
      </c>
      <c r="M63" s="22">
        <f t="shared" si="57"/>
        <v>547.24312499999996</v>
      </c>
      <c r="N63" s="22">
        <f t="shared" si="57"/>
        <v>570.31379166666659</v>
      </c>
      <c r="O63" s="22">
        <f t="shared" si="57"/>
        <v>567.03808333333325</v>
      </c>
      <c r="P63" s="22">
        <f t="shared" si="57"/>
        <v>378.2405</v>
      </c>
      <c r="Q63" s="22">
        <f t="shared" si="57"/>
        <v>489.66362500000002</v>
      </c>
      <c r="R63" s="22">
        <f t="shared" si="57"/>
        <v>672.79437500000006</v>
      </c>
      <c r="S63" s="22">
        <f t="shared" si="57"/>
        <v>580.13175000000001</v>
      </c>
      <c r="T63" s="22">
        <f t="shared" si="57"/>
        <v>579.7403333333333</v>
      </c>
      <c r="U63" s="22">
        <f t="shared" si="57"/>
        <v>266.03683333333333</v>
      </c>
      <c r="V63" s="22">
        <f t="shared" si="57"/>
        <v>441.42908333333332</v>
      </c>
      <c r="W63" s="22">
        <f t="shared" si="57"/>
        <v>521.42108333333329</v>
      </c>
      <c r="X63" s="22">
        <f t="shared" si="57"/>
        <v>655.32637499999998</v>
      </c>
      <c r="Y63" s="22">
        <f t="shared" si="57"/>
        <v>695.56775237855516</v>
      </c>
      <c r="Z63" s="22">
        <f t="shared" si="57"/>
        <v>653.23730656422072</v>
      </c>
      <c r="AA63" s="22">
        <f t="shared" si="57"/>
        <v>722.61220387104663</v>
      </c>
      <c r="AB63" s="22">
        <f t="shared" si="57"/>
        <v>886.46691832724639</v>
      </c>
      <c r="AC63" s="22">
        <f t="shared" si="57"/>
        <v>888.8539802377943</v>
      </c>
      <c r="AD63" s="22">
        <f t="shared" si="57"/>
        <v>892.11591690555679</v>
      </c>
      <c r="AE63" s="22">
        <f t="shared" si="57"/>
        <v>894.48365036682526</v>
      </c>
      <c r="AF63" s="22">
        <f t="shared" si="57"/>
        <v>895.63671892685147</v>
      </c>
      <c r="AG63" s="22">
        <f t="shared" si="57"/>
        <v>896.77480880606822</v>
      </c>
      <c r="AH63" s="22">
        <f t="shared" si="57"/>
        <v>898.49646270469111</v>
      </c>
      <c r="AI63" s="22">
        <f t="shared" si="57"/>
        <v>900.38142148545217</v>
      </c>
      <c r="AJ63" s="22">
        <f t="shared" si="57"/>
        <v>900.99830242057169</v>
      </c>
      <c r="AK63" s="22">
        <f t="shared" si="57"/>
        <v>889.66719901995361</v>
      </c>
      <c r="AL63" s="22">
        <f t="shared" si="57"/>
        <v>893.20175352101023</v>
      </c>
      <c r="AM63" s="22">
        <f t="shared" si="57"/>
        <v>896.37958965851215</v>
      </c>
      <c r="AN63" s="22">
        <f t="shared" si="57"/>
        <v>899.52796651639687</v>
      </c>
      <c r="AO63" s="22">
        <f t="shared" si="57"/>
        <v>903.14197529554713</v>
      </c>
      <c r="AP63" s="22">
        <f t="shared" si="57"/>
        <v>906.71675954110367</v>
      </c>
      <c r="AQ63" s="22">
        <f t="shared" si="57"/>
        <v>910.34114366574249</v>
      </c>
      <c r="AR63" s="22">
        <f t="shared" si="57"/>
        <v>913.8112544636009</v>
      </c>
      <c r="AS63" s="22">
        <f t="shared" si="57"/>
        <v>917.42968502221754</v>
      </c>
      <c r="AT63" s="22">
        <f t="shared" si="57"/>
        <v>920.79096517926757</v>
      </c>
      <c r="AU63" s="22">
        <f t="shared" si="57"/>
        <v>924.18223016555146</v>
      </c>
      <c r="AV63" s="22">
        <f t="shared" si="57"/>
        <v>928.12851356454928</v>
      </c>
      <c r="AW63" s="22">
        <f t="shared" si="57"/>
        <v>932.29458147366915</v>
      </c>
      <c r="AX63" s="22">
        <f t="shared" si="57"/>
        <v>936.51320053616291</v>
      </c>
      <c r="AY63" s="22">
        <f t="shared" si="57"/>
        <v>937.35041504811659</v>
      </c>
      <c r="AZ63" s="22">
        <f t="shared" si="57"/>
        <v>589.44115069085547</v>
      </c>
      <c r="BA63" s="22">
        <f t="shared" si="57"/>
        <v>588.82564419868595</v>
      </c>
      <c r="BB63" s="22">
        <f t="shared" si="57"/>
        <v>588.20365849957375</v>
      </c>
      <c r="BC63" s="22">
        <f t="shared" si="57"/>
        <v>587.5751043341877</v>
      </c>
      <c r="BD63" s="22">
        <f t="shared" si="57"/>
        <v>586.93989076430898</v>
      </c>
      <c r="BE63" s="22">
        <f t="shared" si="57"/>
        <v>586.29792513092821</v>
      </c>
      <c r="BF63" s="22">
        <f t="shared" si="57"/>
        <v>585.74764217221855</v>
      </c>
      <c r="BG63" s="22">
        <f t="shared" si="57"/>
        <v>585.19236759087596</v>
      </c>
      <c r="BH63" s="22">
        <f t="shared" si="57"/>
        <v>584.6320416605073</v>
      </c>
      <c r="BI63" s="22">
        <f t="shared" si="57"/>
        <v>584.06660367487802</v>
      </c>
      <c r="BJ63" s="22">
        <f t="shared" si="57"/>
        <v>583.49599192657536</v>
      </c>
      <c r="BK63" s="22">
        <f t="shared" si="57"/>
        <v>583.02281981030717</v>
      </c>
      <c r="BL63" s="22">
        <f t="shared" si="57"/>
        <v>582.54607093944685</v>
      </c>
      <c r="BM63" s="22">
        <f t="shared" si="57"/>
        <v>582.06570941053144</v>
      </c>
      <c r="BN63" s="22">
        <f t="shared" si="57"/>
        <v>581.58169882431378</v>
      </c>
    </row>
    <row r="64" spans="1:72" x14ac:dyDescent="0.25">
      <c r="A64" t="str">
        <f>A42</f>
        <v>3C Aggregated and non-CO2 emissions on land</v>
      </c>
      <c r="B64" t="str">
        <f>B42</f>
        <v>3C3 Urea application (CO2)</v>
      </c>
      <c r="C64" t="s">
        <v>636</v>
      </c>
      <c r="D64" t="str">
        <f>D42</f>
        <v>CO2</v>
      </c>
      <c r="E64" t="s">
        <v>630</v>
      </c>
      <c r="F64" s="22">
        <f>F42</f>
        <v>90.994567483487728</v>
      </c>
      <c r="G64" s="22">
        <f t="shared" ref="G64:BN64" si="58">G42</f>
        <v>111.62690198838213</v>
      </c>
      <c r="H64" s="22">
        <f t="shared" si="58"/>
        <v>132.25923649327655</v>
      </c>
      <c r="I64" s="22">
        <f t="shared" si="58"/>
        <v>152.89157099816552</v>
      </c>
      <c r="J64" s="22">
        <f t="shared" si="58"/>
        <v>173.52390550305992</v>
      </c>
      <c r="K64" s="22">
        <f t="shared" si="58"/>
        <v>194.15624000795432</v>
      </c>
      <c r="L64" s="22">
        <f t="shared" si="58"/>
        <v>214.78857451284878</v>
      </c>
      <c r="M64" s="22">
        <f t="shared" si="58"/>
        <v>235.42090901774316</v>
      </c>
      <c r="N64" s="22">
        <f t="shared" si="58"/>
        <v>256.05324352263762</v>
      </c>
      <c r="O64" s="22">
        <f t="shared" si="58"/>
        <v>276.68557802753202</v>
      </c>
      <c r="P64" s="22">
        <f t="shared" si="58"/>
        <v>297.31791253242642</v>
      </c>
      <c r="Q64" s="22">
        <f t="shared" si="58"/>
        <v>317.95024703732088</v>
      </c>
      <c r="R64" s="22">
        <f t="shared" si="58"/>
        <v>338.58258154220977</v>
      </c>
      <c r="S64" s="22">
        <f t="shared" si="58"/>
        <v>359.21491604710423</v>
      </c>
      <c r="T64" s="22">
        <f t="shared" si="58"/>
        <v>435.89846666666671</v>
      </c>
      <c r="U64" s="22">
        <f t="shared" si="58"/>
        <v>355.08659999999998</v>
      </c>
      <c r="V64" s="22">
        <f t="shared" si="58"/>
        <v>393.08573333333334</v>
      </c>
      <c r="W64" s="22">
        <f t="shared" si="58"/>
        <v>484.55366666666663</v>
      </c>
      <c r="X64" s="22">
        <f t="shared" si="58"/>
        <v>480.19253333333336</v>
      </c>
      <c r="Y64" s="22">
        <f t="shared" si="58"/>
        <v>380.54426666666666</v>
      </c>
      <c r="Z64" s="22">
        <f t="shared" si="58"/>
        <v>501.48046666666664</v>
      </c>
      <c r="AA64" s="22">
        <f t="shared" si="58"/>
        <v>571.19113333333337</v>
      </c>
      <c r="AB64" s="22">
        <f t="shared" si="58"/>
        <v>470.0955092083982</v>
      </c>
      <c r="AC64" s="22">
        <f t="shared" si="58"/>
        <v>470.03536519379952</v>
      </c>
      <c r="AD64" s="22">
        <f t="shared" si="58"/>
        <v>469.95317798043089</v>
      </c>
      <c r="AE64" s="22">
        <f t="shared" si="58"/>
        <v>469.89352096222319</v>
      </c>
      <c r="AF64" s="22">
        <f t="shared" si="58"/>
        <v>469.86446843869999</v>
      </c>
      <c r="AG64" s="22">
        <f t="shared" si="58"/>
        <v>469.83579331552539</v>
      </c>
      <c r="AH64" s="22">
        <f t="shared" si="58"/>
        <v>469.79241481044551</v>
      </c>
      <c r="AI64" s="22">
        <f t="shared" si="58"/>
        <v>469.7449217027355</v>
      </c>
      <c r="AJ64" s="22">
        <f t="shared" si="58"/>
        <v>469.72937887336718</v>
      </c>
      <c r="AK64" s="22">
        <f t="shared" si="58"/>
        <v>470.01487546871522</v>
      </c>
      <c r="AL64" s="22">
        <f t="shared" si="58"/>
        <v>469.92581942179322</v>
      </c>
      <c r="AM64" s="22">
        <f t="shared" si="58"/>
        <v>469.84575119138754</v>
      </c>
      <c r="AN64" s="22">
        <f t="shared" si="58"/>
        <v>469.76642521208788</v>
      </c>
      <c r="AO64" s="22">
        <f t="shared" si="58"/>
        <v>469.67536724839931</v>
      </c>
      <c r="AP64" s="22">
        <f t="shared" si="58"/>
        <v>469.58529757953056</v>
      </c>
      <c r="AQ64" s="22">
        <f t="shared" si="58"/>
        <v>469.49397820036393</v>
      </c>
      <c r="AR64" s="22">
        <f t="shared" si="58"/>
        <v>469.40654586626169</v>
      </c>
      <c r="AS64" s="22">
        <f t="shared" si="58"/>
        <v>469.31537649215352</v>
      </c>
      <c r="AT64" s="22">
        <f t="shared" si="58"/>
        <v>469.23068623676357</v>
      </c>
      <c r="AU64" s="22">
        <f t="shared" si="58"/>
        <v>469.14524048860676</v>
      </c>
      <c r="AV64" s="22">
        <f t="shared" si="58"/>
        <v>469.04581058889983</v>
      </c>
      <c r="AW64" s="22">
        <f t="shared" si="58"/>
        <v>468.94084303525642</v>
      </c>
      <c r="AX64" s="22">
        <f t="shared" si="58"/>
        <v>468.83455141149926</v>
      </c>
      <c r="AY64" s="22">
        <f t="shared" si="58"/>
        <v>468.81345709400091</v>
      </c>
      <c r="AZ64" s="22">
        <f t="shared" si="58"/>
        <v>477.57932101318937</v>
      </c>
      <c r="BA64" s="22">
        <f t="shared" si="58"/>
        <v>477.59482921232205</v>
      </c>
      <c r="BB64" s="22">
        <f t="shared" si="58"/>
        <v>477.61050066047437</v>
      </c>
      <c r="BC64" s="22">
        <f t="shared" si="58"/>
        <v>477.6263376066097</v>
      </c>
      <c r="BD64" s="22">
        <f t="shared" si="58"/>
        <v>477.64234234199222</v>
      </c>
      <c r="BE64" s="22">
        <f t="shared" si="58"/>
        <v>477.658517201243</v>
      </c>
      <c r="BF64" s="22">
        <f t="shared" si="58"/>
        <v>477.67238203908232</v>
      </c>
      <c r="BG64" s="22">
        <f t="shared" si="58"/>
        <v>477.68637264501467</v>
      </c>
      <c r="BH64" s="22">
        <f t="shared" si="58"/>
        <v>477.70049052389624</v>
      </c>
      <c r="BI64" s="22">
        <f t="shared" si="58"/>
        <v>477.71473720527149</v>
      </c>
      <c r="BJ64" s="22">
        <f t="shared" si="58"/>
        <v>477.72911424390975</v>
      </c>
      <c r="BK64" s="22">
        <f t="shared" si="58"/>
        <v>477.74103620979719</v>
      </c>
      <c r="BL64" s="22">
        <f t="shared" si="58"/>
        <v>477.75304829499794</v>
      </c>
      <c r="BM64" s="22">
        <f t="shared" si="58"/>
        <v>477.76515140412982</v>
      </c>
      <c r="BN64" s="22">
        <f t="shared" si="58"/>
        <v>477.77734645430195</v>
      </c>
    </row>
    <row r="65" spans="1:72" x14ac:dyDescent="0.25">
      <c r="A65" t="str">
        <f>A43</f>
        <v>3C Aggregated and non-CO2 emissions on land</v>
      </c>
      <c r="B65" t="str">
        <f>B43</f>
        <v>3C4 Direct N2O from managed soils (N2O)</v>
      </c>
      <c r="C65" t="s">
        <v>637</v>
      </c>
      <c r="D65" t="str">
        <f>D43</f>
        <v>N2O</v>
      </c>
      <c r="E65" t="s">
        <v>630</v>
      </c>
      <c r="F65" s="22">
        <f t="shared" ref="F65:AK65" si="59">F43*N2OGWP</f>
        <v>17234.945188957758</v>
      </c>
      <c r="G65" s="22">
        <f t="shared" si="59"/>
        <v>17138.765396452436</v>
      </c>
      <c r="H65" s="22">
        <f t="shared" si="59"/>
        <v>16960.127770495583</v>
      </c>
      <c r="I65" s="22">
        <f t="shared" si="59"/>
        <v>16803.735149602126</v>
      </c>
      <c r="J65" s="22">
        <f t="shared" si="59"/>
        <v>16399.077593729395</v>
      </c>
      <c r="K65" s="22">
        <f t="shared" si="59"/>
        <v>16093.852453046611</v>
      </c>
      <c r="L65" s="22">
        <f t="shared" si="59"/>
        <v>16787.257516886875</v>
      </c>
      <c r="M65" s="22">
        <f t="shared" si="59"/>
        <v>17078.559429282075</v>
      </c>
      <c r="N65" s="22">
        <f t="shared" si="59"/>
        <v>17190.260728412712</v>
      </c>
      <c r="O65" s="22">
        <f t="shared" si="59"/>
        <v>17155.676993630408</v>
      </c>
      <c r="P65" s="22">
        <f t="shared" si="59"/>
        <v>17021.790519603233</v>
      </c>
      <c r="Q65" s="22">
        <f t="shared" si="59"/>
        <v>16558.862650160001</v>
      </c>
      <c r="R65" s="22">
        <f t="shared" si="59"/>
        <v>16957.948472333181</v>
      </c>
      <c r="S65" s="22">
        <f t="shared" si="59"/>
        <v>16769.907146505077</v>
      </c>
      <c r="T65" s="22">
        <f t="shared" si="59"/>
        <v>16584.658063779349</v>
      </c>
      <c r="U65" s="22">
        <f t="shared" si="59"/>
        <v>16201.588190693865</v>
      </c>
      <c r="V65" s="22">
        <f t="shared" si="59"/>
        <v>16229.541461457171</v>
      </c>
      <c r="W65" s="22">
        <f t="shared" si="59"/>
        <v>16847.135336493091</v>
      </c>
      <c r="X65" s="22">
        <f t="shared" si="59"/>
        <v>16894.02920900529</v>
      </c>
      <c r="Y65" s="22">
        <f t="shared" si="59"/>
        <v>16779.254174947899</v>
      </c>
      <c r="Z65" s="22">
        <f t="shared" si="59"/>
        <v>16465.845558736135</v>
      </c>
      <c r="AA65" s="22">
        <f t="shared" si="59"/>
        <v>16468.339195121422</v>
      </c>
      <c r="AB65" s="22">
        <f t="shared" si="59"/>
        <v>17234.31530267384</v>
      </c>
      <c r="AC65" s="22">
        <f t="shared" si="59"/>
        <v>17196.188343074369</v>
      </c>
      <c r="AD65" s="22">
        <f t="shared" si="59"/>
        <v>17089.874341770246</v>
      </c>
      <c r="AE65" s="22">
        <f t="shared" si="59"/>
        <v>16891.51534186734</v>
      </c>
      <c r="AF65" s="22">
        <f t="shared" si="59"/>
        <v>16700.676726259917</v>
      </c>
      <c r="AG65" s="22">
        <f t="shared" si="59"/>
        <v>16563.164145336694</v>
      </c>
      <c r="AH65" s="22">
        <f t="shared" si="59"/>
        <v>16443.609206621019</v>
      </c>
      <c r="AI65" s="22">
        <f t="shared" si="59"/>
        <v>16235.51593180792</v>
      </c>
      <c r="AJ65" s="22">
        <f t="shared" si="59"/>
        <v>15210.663211639085</v>
      </c>
      <c r="AK65" s="22">
        <f t="shared" si="59"/>
        <v>15290.476197208178</v>
      </c>
      <c r="AL65" s="22">
        <f t="shared" ref="AL65:BN65" si="60">AL43*N2OGWP</f>
        <v>15359.81811633504</v>
      </c>
      <c r="AM65" s="22">
        <f t="shared" si="60"/>
        <v>15428.330712588846</v>
      </c>
      <c r="AN65" s="22">
        <f t="shared" si="60"/>
        <v>15528.987662364907</v>
      </c>
      <c r="AO65" s="22">
        <f t="shared" si="60"/>
        <v>15628.501840209854</v>
      </c>
      <c r="AP65" s="22">
        <f t="shared" si="60"/>
        <v>15729.187697600266</v>
      </c>
      <c r="AQ65" s="22">
        <f t="shared" si="60"/>
        <v>15820.521907100183</v>
      </c>
      <c r="AR65" s="22">
        <f t="shared" si="60"/>
        <v>15922.381246249111</v>
      </c>
      <c r="AS65" s="22">
        <f t="shared" si="60"/>
        <v>16007.956010454658</v>
      </c>
      <c r="AT65" s="22">
        <f t="shared" si="60"/>
        <v>16095.956382307755</v>
      </c>
      <c r="AU65" s="22">
        <f t="shared" si="60"/>
        <v>16157.114151496071</v>
      </c>
      <c r="AV65" s="22">
        <f t="shared" si="60"/>
        <v>16231.332701516931</v>
      </c>
      <c r="AW65" s="22">
        <f t="shared" si="60"/>
        <v>16307.092909717458</v>
      </c>
      <c r="AX65" s="22">
        <f t="shared" si="60"/>
        <v>16160.285493236199</v>
      </c>
      <c r="AY65" s="22">
        <f t="shared" si="60"/>
        <v>5737.952950261325</v>
      </c>
      <c r="AZ65" s="22">
        <f t="shared" si="60"/>
        <v>5504.2978772527722</v>
      </c>
      <c r="BA65" s="22">
        <f t="shared" si="60"/>
        <v>5546.4661259598297</v>
      </c>
      <c r="BB65" s="22">
        <f t="shared" si="60"/>
        <v>5588.3260398039101</v>
      </c>
      <c r="BC65" s="22">
        <f t="shared" si="60"/>
        <v>5629.8975239768306</v>
      </c>
      <c r="BD65" s="22">
        <f t="shared" si="60"/>
        <v>5671.1992263444718</v>
      </c>
      <c r="BE65" s="22">
        <f t="shared" si="60"/>
        <v>5703.282188918567</v>
      </c>
      <c r="BF65" s="22">
        <f t="shared" si="60"/>
        <v>5735.2229949966468</v>
      </c>
      <c r="BG65" s="22">
        <f t="shared" si="60"/>
        <v>5766.9569850626722</v>
      </c>
      <c r="BH65" s="22">
        <f t="shared" si="60"/>
        <v>5798.4956153115281</v>
      </c>
      <c r="BI65" s="22">
        <f t="shared" si="60"/>
        <v>5829.8496919202089</v>
      </c>
      <c r="BJ65" s="22">
        <f t="shared" si="60"/>
        <v>5859.4729359437761</v>
      </c>
      <c r="BK65" s="22">
        <f t="shared" si="60"/>
        <v>5888.9676515159908</v>
      </c>
      <c r="BL65" s="22">
        <f t="shared" si="60"/>
        <v>5918.2627581611805</v>
      </c>
      <c r="BM65" s="22">
        <f t="shared" si="60"/>
        <v>5947.366981471856</v>
      </c>
      <c r="BN65" s="22">
        <f t="shared" si="60"/>
        <v>5976.2885944485151</v>
      </c>
    </row>
    <row r="66" spans="1:72" x14ac:dyDescent="0.25">
      <c r="A66" t="str">
        <f>A49</f>
        <v>3C Aggregated and non-CO2 emissions on land</v>
      </c>
      <c r="B66" t="str">
        <f t="shared" ref="B66:D66" si="61">B49</f>
        <v>3C5 Indirect N2O from managed soils (N2O)</v>
      </c>
      <c r="C66" t="s">
        <v>639</v>
      </c>
      <c r="D66" t="str">
        <f t="shared" si="61"/>
        <v>N2O</v>
      </c>
      <c r="E66" t="s">
        <v>630</v>
      </c>
      <c r="F66" s="22">
        <f t="shared" ref="F66:AK66" si="62">F49*N2OGWP</f>
        <v>2234.5052500528623</v>
      </c>
      <c r="G66" s="22">
        <f t="shared" si="62"/>
        <v>2211.6980958305289</v>
      </c>
      <c r="H66" s="22">
        <f t="shared" si="62"/>
        <v>2169.3378787889174</v>
      </c>
      <c r="I66" s="22">
        <f t="shared" si="62"/>
        <v>2126.2561830378841</v>
      </c>
      <c r="J66" s="22">
        <f t="shared" si="62"/>
        <v>2070.6768821954438</v>
      </c>
      <c r="K66" s="22">
        <f t="shared" si="62"/>
        <v>2062.5720723240188</v>
      </c>
      <c r="L66" s="22">
        <f t="shared" si="62"/>
        <v>2132.94216183253</v>
      </c>
      <c r="M66" s="22">
        <f t="shared" si="62"/>
        <v>2154.8913400426786</v>
      </c>
      <c r="N66" s="22">
        <f t="shared" si="62"/>
        <v>2185.5347534707471</v>
      </c>
      <c r="O66" s="22">
        <f t="shared" si="62"/>
        <v>2179.6281008084297</v>
      </c>
      <c r="P66" s="22">
        <f t="shared" si="62"/>
        <v>2155.7364466862405</v>
      </c>
      <c r="Q66" s="22">
        <f t="shared" si="62"/>
        <v>2118.7727412938139</v>
      </c>
      <c r="R66" s="22">
        <f t="shared" si="62"/>
        <v>2149.2536347032101</v>
      </c>
      <c r="S66" s="22">
        <f t="shared" si="62"/>
        <v>2127.4292286069426</v>
      </c>
      <c r="T66" s="22">
        <f t="shared" si="62"/>
        <v>2110.5878909746098</v>
      </c>
      <c r="U66" s="22">
        <f t="shared" si="62"/>
        <v>2072.1483225191987</v>
      </c>
      <c r="V66" s="22">
        <f t="shared" si="62"/>
        <v>2101.905941836299</v>
      </c>
      <c r="W66" s="22">
        <f t="shared" si="62"/>
        <v>2151.2208658093541</v>
      </c>
      <c r="X66" s="22">
        <f t="shared" si="62"/>
        <v>2156.0457121558738</v>
      </c>
      <c r="Y66" s="22">
        <f t="shared" si="62"/>
        <v>2149.2138525216237</v>
      </c>
      <c r="Z66" s="22">
        <f t="shared" si="62"/>
        <v>2105.3949279528888</v>
      </c>
      <c r="AA66" s="22">
        <f t="shared" si="62"/>
        <v>2110.5059697888632</v>
      </c>
      <c r="AB66" s="22">
        <f t="shared" si="62"/>
        <v>2060.9809092917803</v>
      </c>
      <c r="AC66" s="22">
        <f t="shared" si="62"/>
        <v>2057.9697083137771</v>
      </c>
      <c r="AD66" s="22">
        <f t="shared" si="62"/>
        <v>2046.6425698686689</v>
      </c>
      <c r="AE66" s="22">
        <f t="shared" si="62"/>
        <v>2024.1352837109998</v>
      </c>
      <c r="AF66" s="22">
        <f t="shared" si="62"/>
        <v>2002.7600912586975</v>
      </c>
      <c r="AG66" s="22">
        <f t="shared" si="62"/>
        <v>1988.1116037068773</v>
      </c>
      <c r="AH66" s="22">
        <f t="shared" si="62"/>
        <v>1975.716442182129</v>
      </c>
      <c r="AI66" s="22">
        <f t="shared" si="62"/>
        <v>1952.340543101122</v>
      </c>
      <c r="AJ66" s="22">
        <f t="shared" si="62"/>
        <v>1827.0537950139717</v>
      </c>
      <c r="AK66" s="22">
        <f t="shared" si="62"/>
        <v>1839.1078374617086</v>
      </c>
      <c r="AL66" s="22">
        <f t="shared" ref="AL66:BN66" si="63">AL49*N2OGWP</f>
        <v>1848.7390693946784</v>
      </c>
      <c r="AM66" s="22">
        <f t="shared" si="63"/>
        <v>1858.368456585466</v>
      </c>
      <c r="AN66" s="22">
        <f t="shared" si="63"/>
        <v>1872.1030975378981</v>
      </c>
      <c r="AO66" s="22">
        <f t="shared" si="63"/>
        <v>1885.733653880304</v>
      </c>
      <c r="AP66" s="22">
        <f t="shared" si="63"/>
        <v>1899.3547888588755</v>
      </c>
      <c r="AQ66" s="22">
        <f t="shared" si="63"/>
        <v>1911.8674380110963</v>
      </c>
      <c r="AR66" s="22">
        <f t="shared" si="63"/>
        <v>1925.7867108207331</v>
      </c>
      <c r="AS66" s="22">
        <f t="shared" si="63"/>
        <v>1937.7107555695675</v>
      </c>
      <c r="AT66" s="22">
        <f t="shared" si="63"/>
        <v>1950.0266613308431</v>
      </c>
      <c r="AU66" s="22">
        <f t="shared" si="63"/>
        <v>1959.6006592403614</v>
      </c>
      <c r="AV66" s="22">
        <f t="shared" si="63"/>
        <v>1970.89040546312</v>
      </c>
      <c r="AW66" s="22">
        <f t="shared" si="63"/>
        <v>1982.4723322869459</v>
      </c>
      <c r="AX66" s="22">
        <f t="shared" si="63"/>
        <v>1965.8619730377711</v>
      </c>
      <c r="AY66" s="22">
        <f t="shared" si="63"/>
        <v>640.09357373591399</v>
      </c>
      <c r="AZ66" s="22">
        <f t="shared" si="63"/>
        <v>638.51321207926173</v>
      </c>
      <c r="BA66" s="22">
        <f t="shared" si="63"/>
        <v>643.59700815241945</v>
      </c>
      <c r="BB66" s="22">
        <f t="shared" si="63"/>
        <v>648.6678890800307</v>
      </c>
      <c r="BC66" s="22">
        <f t="shared" si="63"/>
        <v>653.72733959562072</v>
      </c>
      <c r="BD66" s="22">
        <f t="shared" si="63"/>
        <v>658.77676119275498</v>
      </c>
      <c r="BE66" s="22">
        <f t="shared" si="63"/>
        <v>662.61445083523608</v>
      </c>
      <c r="BF66" s="22">
        <f t="shared" si="63"/>
        <v>666.44728919783688</v>
      </c>
      <c r="BG66" s="22">
        <f t="shared" si="63"/>
        <v>670.27418432875038</v>
      </c>
      <c r="BH66" s="22">
        <f t="shared" si="63"/>
        <v>674.09586441948522</v>
      </c>
      <c r="BI66" s="22">
        <f t="shared" si="63"/>
        <v>677.91302277025056</v>
      </c>
      <c r="BJ66" s="22">
        <f t="shared" si="63"/>
        <v>681.36450987109947</v>
      </c>
      <c r="BK66" s="22">
        <f t="shared" si="63"/>
        <v>684.80869369021639</v>
      </c>
      <c r="BL66" s="22">
        <f t="shared" si="63"/>
        <v>688.24420864712101</v>
      </c>
      <c r="BM66" s="22">
        <f t="shared" si="63"/>
        <v>691.67160453474662</v>
      </c>
      <c r="BN66" s="22">
        <f t="shared" si="63"/>
        <v>695.09140644933632</v>
      </c>
    </row>
    <row r="67" spans="1:72" x14ac:dyDescent="0.25">
      <c r="A67" t="str">
        <f>A52</f>
        <v>3C Aggregated and non-CO2 emissions on land</v>
      </c>
      <c r="B67" t="str">
        <f t="shared" ref="B67:D67" si="64">B52</f>
        <v>3C6 Indirect N2O from manure management (N2O)</v>
      </c>
      <c r="C67" t="s">
        <v>638</v>
      </c>
      <c r="D67" t="str">
        <f t="shared" si="64"/>
        <v>N2O</v>
      </c>
      <c r="E67" t="s">
        <v>630</v>
      </c>
      <c r="F67" s="22">
        <f t="shared" ref="F67:AK67" si="65">F52*N2OGWP</f>
        <v>339.46668586955047</v>
      </c>
      <c r="G67" s="22">
        <f t="shared" si="65"/>
        <v>361.42056329374225</v>
      </c>
      <c r="H67" s="22">
        <f t="shared" si="65"/>
        <v>336.30759122420466</v>
      </c>
      <c r="I67" s="22">
        <f t="shared" si="65"/>
        <v>348.82410338247314</v>
      </c>
      <c r="J67" s="22">
        <f t="shared" si="65"/>
        <v>332.77692549973614</v>
      </c>
      <c r="K67" s="22">
        <f t="shared" si="65"/>
        <v>351.17073353759787</v>
      </c>
      <c r="L67" s="22">
        <f t="shared" si="65"/>
        <v>366.95943819746714</v>
      </c>
      <c r="M67" s="22">
        <f t="shared" si="65"/>
        <v>363.69601469759795</v>
      </c>
      <c r="N67" s="22">
        <f t="shared" si="65"/>
        <v>372.77723801175745</v>
      </c>
      <c r="O67" s="22">
        <f t="shared" si="65"/>
        <v>376.69225137169252</v>
      </c>
      <c r="P67" s="22">
        <f t="shared" si="65"/>
        <v>416.19353174110165</v>
      </c>
      <c r="Q67" s="22">
        <f t="shared" si="65"/>
        <v>413.8758977418791</v>
      </c>
      <c r="R67" s="22">
        <f t="shared" si="65"/>
        <v>402.12489933360166</v>
      </c>
      <c r="S67" s="22">
        <f t="shared" si="65"/>
        <v>382.08437212452515</v>
      </c>
      <c r="T67" s="22">
        <f t="shared" si="65"/>
        <v>379.738143309794</v>
      </c>
      <c r="U67" s="22">
        <f t="shared" si="65"/>
        <v>398.98840509467396</v>
      </c>
      <c r="V67" s="22">
        <f t="shared" si="65"/>
        <v>404.11898883233295</v>
      </c>
      <c r="W67" s="22">
        <f t="shared" si="65"/>
        <v>412.20171589966418</v>
      </c>
      <c r="X67" s="22">
        <f t="shared" si="65"/>
        <v>446.09004051714021</v>
      </c>
      <c r="Y67" s="22">
        <f t="shared" si="65"/>
        <v>443.47274862625261</v>
      </c>
      <c r="Z67" s="22">
        <f t="shared" si="65"/>
        <v>446.04525464561482</v>
      </c>
      <c r="AA67" s="22">
        <f t="shared" si="65"/>
        <v>451.47082982836986</v>
      </c>
      <c r="AB67" s="22">
        <f t="shared" si="65"/>
        <v>466.79773129071555</v>
      </c>
      <c r="AC67" s="22">
        <f t="shared" si="65"/>
        <v>472.24760180276684</v>
      </c>
      <c r="AD67" s="22">
        <f t="shared" si="65"/>
        <v>474.81619568240438</v>
      </c>
      <c r="AE67" s="22">
        <f t="shared" si="65"/>
        <v>473.36007800468235</v>
      </c>
      <c r="AF67" s="22">
        <f t="shared" si="65"/>
        <v>472.06518231426617</v>
      </c>
      <c r="AG67" s="22">
        <f t="shared" si="65"/>
        <v>472.97758730787314</v>
      </c>
      <c r="AH67" s="22">
        <f t="shared" si="65"/>
        <v>474.6349295201324</v>
      </c>
      <c r="AI67" s="22">
        <f t="shared" si="65"/>
        <v>472.08129188563532</v>
      </c>
      <c r="AJ67" s="22">
        <f t="shared" si="65"/>
        <v>430.08913272981164</v>
      </c>
      <c r="AK67" s="22">
        <f t="shared" si="65"/>
        <v>437.6861450466792</v>
      </c>
      <c r="AL67" s="22">
        <f t="shared" ref="AL67:BN67" si="66">AL52*N2OGWP</f>
        <v>444.28136200166728</v>
      </c>
      <c r="AM67" s="22">
        <f t="shared" si="66"/>
        <v>450.92305594769965</v>
      </c>
      <c r="AN67" s="22">
        <f t="shared" si="66"/>
        <v>459.25445479378772</v>
      </c>
      <c r="AO67" s="22">
        <f t="shared" si="66"/>
        <v>467.62238801610135</v>
      </c>
      <c r="AP67" s="22">
        <f t="shared" si="66"/>
        <v>476.40189483372899</v>
      </c>
      <c r="AQ67" s="22">
        <f t="shared" si="66"/>
        <v>484.81959555984906</v>
      </c>
      <c r="AR67" s="22">
        <f t="shared" si="66"/>
        <v>493.91193877537575</v>
      </c>
      <c r="AS67" s="22">
        <f t="shared" si="66"/>
        <v>502.27011380991507</v>
      </c>
      <c r="AT67" s="22">
        <f t="shared" si="66"/>
        <v>510.88695094997445</v>
      </c>
      <c r="AU67" s="22">
        <f t="shared" si="66"/>
        <v>521.75988523067542</v>
      </c>
      <c r="AV67" s="22">
        <f t="shared" si="66"/>
        <v>533.64938399930281</v>
      </c>
      <c r="AW67" s="22">
        <f t="shared" si="66"/>
        <v>545.97414157171659</v>
      </c>
      <c r="AX67" s="22">
        <f t="shared" si="66"/>
        <v>545.88995867239851</v>
      </c>
      <c r="AY67" s="22">
        <f t="shared" si="66"/>
        <v>-55.438851228511126</v>
      </c>
      <c r="AZ67" s="22">
        <f t="shared" si="66"/>
        <v>-55.409421338350306</v>
      </c>
      <c r="BA67" s="22">
        <f t="shared" si="66"/>
        <v>-55.391885839492112</v>
      </c>
      <c r="BB67" s="22">
        <f t="shared" si="66"/>
        <v>-55.385676862160537</v>
      </c>
      <c r="BC67" s="22">
        <f t="shared" si="66"/>
        <v>-55.390270199603435</v>
      </c>
      <c r="BD67" s="22">
        <f t="shared" si="66"/>
        <v>-55.405181103974208</v>
      </c>
      <c r="BE67" s="22">
        <f t="shared" si="66"/>
        <v>-55.318318976403994</v>
      </c>
      <c r="BF67" s="22">
        <f t="shared" si="66"/>
        <v>-55.240958699136876</v>
      </c>
      <c r="BG67" s="22">
        <f t="shared" si="66"/>
        <v>-55.172677763979813</v>
      </c>
      <c r="BH67" s="22">
        <f t="shared" si="66"/>
        <v>-55.113082413733387</v>
      </c>
      <c r="BI67" s="22">
        <f t="shared" si="66"/>
        <v>-55.061805164529432</v>
      </c>
      <c r="BJ67" s="22">
        <f t="shared" si="66"/>
        <v>-54.917165234570398</v>
      </c>
      <c r="BK67" s="22">
        <f t="shared" si="66"/>
        <v>-54.780813725090503</v>
      </c>
      <c r="BL67" s="22">
        <f t="shared" si="66"/>
        <v>-54.652413269876774</v>
      </c>
      <c r="BM67" s="22">
        <f t="shared" si="66"/>
        <v>-54.531647073222899</v>
      </c>
      <c r="BN67" s="22">
        <f t="shared" si="66"/>
        <v>-54.418217310343763</v>
      </c>
    </row>
    <row r="69" spans="1:72" x14ac:dyDescent="0.25">
      <c r="F69">
        <v>50850.612181209253</v>
      </c>
      <c r="G69">
        <v>50813.697148756924</v>
      </c>
      <c r="H69">
        <v>50023.852238309773</v>
      </c>
      <c r="I69">
        <v>49090.932778754614</v>
      </c>
      <c r="J69">
        <v>48067.877450942236</v>
      </c>
      <c r="K69">
        <v>47922.095455178787</v>
      </c>
      <c r="L69">
        <v>49575.843585283277</v>
      </c>
      <c r="M69">
        <v>50361.313111746611</v>
      </c>
      <c r="N69">
        <v>51030.102101321943</v>
      </c>
      <c r="O69">
        <v>50995.958935395931</v>
      </c>
      <c r="P69">
        <v>50422.780115455113</v>
      </c>
      <c r="Q69">
        <v>50247.47999648485</v>
      </c>
      <c r="R69">
        <v>50437.20578900558</v>
      </c>
      <c r="S69">
        <v>49591.755111070597</v>
      </c>
      <c r="T69">
        <v>49035.354824128801</v>
      </c>
      <c r="U69">
        <v>49414.796099460007</v>
      </c>
      <c r="V69">
        <v>49267.097795471636</v>
      </c>
      <c r="W69">
        <v>50651.342624920959</v>
      </c>
      <c r="X69">
        <v>50973.591038492857</v>
      </c>
      <c r="Y69">
        <v>50458.164059092771</v>
      </c>
      <c r="Z69">
        <v>50015.072106264684</v>
      </c>
      <c r="AA69">
        <v>50110.234805430198</v>
      </c>
      <c r="AB69">
        <v>50051.852110730164</v>
      </c>
      <c r="AC69">
        <v>50101.454577252611</v>
      </c>
      <c r="AD69">
        <v>49833.410311374682</v>
      </c>
      <c r="AE69">
        <v>49346.511388909348</v>
      </c>
      <c r="AF69">
        <v>48738.035648005331</v>
      </c>
      <c r="AG69">
        <v>48304.236224937107</v>
      </c>
      <c r="AH69">
        <v>47815.337382642225</v>
      </c>
      <c r="AI69">
        <v>47290.087440163537</v>
      </c>
      <c r="AJ69">
        <v>43831.731878107734</v>
      </c>
      <c r="AK69">
        <v>44053.384018995668</v>
      </c>
      <c r="AL69">
        <v>44266.385131700095</v>
      </c>
      <c r="AM69">
        <v>44480.738527303118</v>
      </c>
      <c r="AN69">
        <v>44665.934208782266</v>
      </c>
      <c r="AO69">
        <v>44873.887448810252</v>
      </c>
      <c r="AP69">
        <v>45196.645833806717</v>
      </c>
      <c r="AQ69">
        <v>45503.236186571958</v>
      </c>
      <c r="AR69">
        <v>45836.359534075164</v>
      </c>
      <c r="AS69">
        <v>46185.04604866619</v>
      </c>
      <c r="AT69">
        <v>46550.489419271311</v>
      </c>
      <c r="AU69">
        <v>46878.965262605343</v>
      </c>
      <c r="AV69">
        <v>47140.593104578125</v>
      </c>
      <c r="AW69">
        <v>47476.38559730455</v>
      </c>
      <c r="AX69">
        <v>47853.118889724989</v>
      </c>
      <c r="AY69">
        <v>48270.812734416839</v>
      </c>
      <c r="AZ69">
        <v>48686.337519234236</v>
      </c>
      <c r="BA69">
        <v>49115.849696923062</v>
      </c>
      <c r="BB69">
        <v>49530.25726189409</v>
      </c>
      <c r="BC69">
        <v>49956.013717686321</v>
      </c>
      <c r="BD69">
        <v>50415.173126369293</v>
      </c>
      <c r="BE69">
        <v>50999.431943784381</v>
      </c>
      <c r="BF69">
        <v>51602.934539527188</v>
      </c>
      <c r="BG69">
        <v>52220.857288882209</v>
      </c>
      <c r="BH69">
        <v>52857.833992482709</v>
      </c>
      <c r="BI69">
        <v>53538.17895162919</v>
      </c>
      <c r="BJ69">
        <v>54243.237128388842</v>
      </c>
      <c r="BK69">
        <v>54975.028121489333</v>
      </c>
      <c r="BL69">
        <v>55684.935186885676</v>
      </c>
      <c r="BM69">
        <v>56423.451569639103</v>
      </c>
      <c r="BN69">
        <v>57193.463428211311</v>
      </c>
    </row>
    <row r="70" spans="1:72" s="19" customFormat="1" ht="15.75" x14ac:dyDescent="0.25">
      <c r="A70" s="17" t="s">
        <v>716</v>
      </c>
      <c r="B70" s="17"/>
      <c r="C70" s="17"/>
      <c r="D70" s="17"/>
      <c r="E70" s="17"/>
      <c r="F70" s="17">
        <v>1990</v>
      </c>
      <c r="G70" s="17">
        <v>1991</v>
      </c>
      <c r="H70" s="17">
        <v>1992</v>
      </c>
      <c r="I70" s="17">
        <v>1993</v>
      </c>
      <c r="J70" s="17">
        <v>1994</v>
      </c>
      <c r="K70" s="17">
        <v>1995</v>
      </c>
      <c r="L70" s="17">
        <v>1996</v>
      </c>
      <c r="M70" s="17">
        <v>1997</v>
      </c>
      <c r="N70" s="17">
        <v>1998</v>
      </c>
      <c r="O70" s="17">
        <v>1999</v>
      </c>
      <c r="P70" s="17">
        <v>2000</v>
      </c>
      <c r="Q70" s="17">
        <v>2001</v>
      </c>
      <c r="R70" s="17">
        <v>2002</v>
      </c>
      <c r="S70" s="17">
        <v>2003</v>
      </c>
      <c r="T70" s="17">
        <v>2004</v>
      </c>
      <c r="U70" s="17">
        <v>2005</v>
      </c>
      <c r="V70" s="17">
        <v>2006</v>
      </c>
      <c r="W70" s="17">
        <v>2007</v>
      </c>
      <c r="X70" s="17">
        <v>2008</v>
      </c>
      <c r="Y70" s="17">
        <v>2009</v>
      </c>
      <c r="Z70" s="17">
        <v>2010</v>
      </c>
      <c r="AA70" s="17">
        <v>2011</v>
      </c>
      <c r="AB70" s="17">
        <v>2012</v>
      </c>
      <c r="AC70" s="17">
        <v>2013</v>
      </c>
      <c r="AD70" s="17">
        <v>2014</v>
      </c>
      <c r="AE70" s="17">
        <v>2015</v>
      </c>
      <c r="AF70" s="17">
        <v>2016</v>
      </c>
      <c r="AG70" s="17">
        <v>2017</v>
      </c>
      <c r="AH70" s="17">
        <v>2018</v>
      </c>
      <c r="AI70" s="17">
        <v>2019</v>
      </c>
      <c r="AJ70" s="17">
        <v>2020</v>
      </c>
      <c r="AK70" s="17">
        <v>2021</v>
      </c>
      <c r="AL70" s="17">
        <v>2022</v>
      </c>
      <c r="AM70" s="17">
        <v>2023</v>
      </c>
      <c r="AN70" s="17">
        <v>2024</v>
      </c>
      <c r="AO70" s="17">
        <v>2025</v>
      </c>
      <c r="AP70" s="17">
        <v>2026</v>
      </c>
      <c r="AQ70" s="17">
        <v>2027</v>
      </c>
      <c r="AR70" s="17">
        <v>2028</v>
      </c>
      <c r="AS70" s="17">
        <v>2029</v>
      </c>
      <c r="AT70" s="17">
        <v>2030</v>
      </c>
      <c r="AU70" s="17">
        <v>2031</v>
      </c>
      <c r="AV70" s="17">
        <v>2032</v>
      </c>
      <c r="AW70" s="17">
        <v>2033</v>
      </c>
      <c r="AX70" s="17">
        <v>2034</v>
      </c>
      <c r="AY70" s="17">
        <v>2035</v>
      </c>
      <c r="AZ70" s="17">
        <v>2036</v>
      </c>
      <c r="BA70" s="17">
        <v>2037</v>
      </c>
      <c r="BB70" s="17">
        <v>2038</v>
      </c>
      <c r="BC70" s="17">
        <v>2039</v>
      </c>
      <c r="BD70" s="17">
        <v>2040</v>
      </c>
      <c r="BE70" s="17">
        <v>2041</v>
      </c>
      <c r="BF70" s="17">
        <v>2042</v>
      </c>
      <c r="BG70" s="17">
        <v>2043</v>
      </c>
      <c r="BH70" s="17">
        <v>2044</v>
      </c>
      <c r="BI70" s="17">
        <v>2045</v>
      </c>
      <c r="BJ70" s="17">
        <v>2046</v>
      </c>
      <c r="BK70" s="17">
        <v>2047</v>
      </c>
      <c r="BL70" s="17">
        <v>2048</v>
      </c>
      <c r="BM70" s="17">
        <v>2049</v>
      </c>
      <c r="BN70" s="17">
        <v>2050</v>
      </c>
      <c r="BO70" s="17"/>
      <c r="BP70" s="17"/>
      <c r="BQ70" s="17"/>
      <c r="BR70" s="17"/>
      <c r="BS70" s="17"/>
      <c r="BT70" s="17"/>
    </row>
    <row r="71" spans="1:72" x14ac:dyDescent="0.25">
      <c r="E71" t="s">
        <v>736</v>
      </c>
      <c r="F71" s="22">
        <f>SUM(F58:F60)</f>
        <v>28329.895895189959</v>
      </c>
      <c r="G71" s="22">
        <f t="shared" ref="G71:AG71" si="67">SUM(G58:G60)</f>
        <v>28348.756597536198</v>
      </c>
      <c r="H71" s="22">
        <f t="shared" si="67"/>
        <v>27901.265167652149</v>
      </c>
      <c r="I71" s="22">
        <f t="shared" si="67"/>
        <v>26983.421178078323</v>
      </c>
      <c r="J71" s="22">
        <f t="shared" si="67"/>
        <v>26232.935842025625</v>
      </c>
      <c r="K71" s="22">
        <f t="shared" si="67"/>
        <v>26483.697904273635</v>
      </c>
      <c r="L71" s="22">
        <f t="shared" si="67"/>
        <v>27231.455050197914</v>
      </c>
      <c r="M71" s="22">
        <f t="shared" si="67"/>
        <v>27718.197700050874</v>
      </c>
      <c r="N71" s="22">
        <f t="shared" si="67"/>
        <v>28191.857752581782</v>
      </c>
      <c r="O71" s="22">
        <f t="shared" si="67"/>
        <v>28176.93333456889</v>
      </c>
      <c r="P71" s="22">
        <f t="shared" si="67"/>
        <v>27911.735313172579</v>
      </c>
      <c r="Q71" s="22">
        <f t="shared" si="67"/>
        <v>27717.940554412646</v>
      </c>
      <c r="R71" s="22">
        <f t="shared" si="67"/>
        <v>27299.215210355833</v>
      </c>
      <c r="S71" s="22">
        <f t="shared" si="67"/>
        <v>27343.988003450842</v>
      </c>
      <c r="T71" s="22">
        <f t="shared" si="67"/>
        <v>27146.675440419218</v>
      </c>
      <c r="U71" s="22">
        <f t="shared" si="67"/>
        <v>27260.702201657918</v>
      </c>
      <c r="V71" s="22">
        <f t="shared" si="67"/>
        <v>27196.730699508385</v>
      </c>
      <c r="W71" s="22">
        <f t="shared" si="67"/>
        <v>27798.797044635878</v>
      </c>
      <c r="X71" s="22">
        <f t="shared" si="67"/>
        <v>28021.860780467254</v>
      </c>
      <c r="Y71" s="22">
        <f t="shared" si="67"/>
        <v>27823.10030385045</v>
      </c>
      <c r="Z71" s="22">
        <f t="shared" si="67"/>
        <v>27614.256694686857</v>
      </c>
      <c r="AA71" s="22">
        <f t="shared" si="67"/>
        <v>27581.637898711942</v>
      </c>
      <c r="AB71" s="22">
        <f t="shared" si="67"/>
        <v>27155.965523872386</v>
      </c>
      <c r="AC71" s="22">
        <f t="shared" si="67"/>
        <v>27115.021463528858</v>
      </c>
      <c r="AD71" s="22">
        <f t="shared" si="67"/>
        <v>26924.566482309066</v>
      </c>
      <c r="AE71" s="22">
        <f t="shared" si="67"/>
        <v>26534.654827357805</v>
      </c>
      <c r="AF71" s="22">
        <f t="shared" si="67"/>
        <v>26161.740003195791</v>
      </c>
      <c r="AG71" s="22">
        <f t="shared" si="67"/>
        <v>25904.138333496783</v>
      </c>
      <c r="AH71" s="22">
        <f t="shared" ref="AH71:BN71" si="68">SUM(AH58:AH60)</f>
        <v>25684.453210807642</v>
      </c>
      <c r="AI71" s="22">
        <f t="shared" si="68"/>
        <v>25269.285077069366</v>
      </c>
      <c r="AJ71" s="22">
        <f t="shared" si="68"/>
        <v>23051.875309255451</v>
      </c>
      <c r="AK71" s="22">
        <f t="shared" si="68"/>
        <v>23269.994111081665</v>
      </c>
      <c r="AL71" s="22">
        <f t="shared" si="68"/>
        <v>23439.288133951071</v>
      </c>
      <c r="AM71" s="22">
        <f t="shared" si="68"/>
        <v>23607.78635842177</v>
      </c>
      <c r="AN71" s="22">
        <f t="shared" si="68"/>
        <v>23848.177918488447</v>
      </c>
      <c r="AO71" s="22">
        <f t="shared" si="68"/>
        <v>24085.893448297265</v>
      </c>
      <c r="AP71" s="22">
        <f t="shared" si="68"/>
        <v>24328.748387967826</v>
      </c>
      <c r="AQ71" s="22">
        <f t="shared" si="68"/>
        <v>24551.420783084555</v>
      </c>
      <c r="AR71" s="22">
        <f t="shared" si="68"/>
        <v>24798.636485381034</v>
      </c>
      <c r="AS71" s="22">
        <f t="shared" si="68"/>
        <v>25009.965979635792</v>
      </c>
      <c r="AT71" s="22">
        <f t="shared" si="68"/>
        <v>25227.944839846386</v>
      </c>
      <c r="AU71" s="22">
        <f t="shared" si="68"/>
        <v>25409.045709782335</v>
      </c>
      <c r="AV71" s="22">
        <f t="shared" si="68"/>
        <v>25620.679184735414</v>
      </c>
      <c r="AW71" s="22">
        <f t="shared" si="68"/>
        <v>25837.739541687839</v>
      </c>
      <c r="AX71" s="22">
        <f t="shared" si="68"/>
        <v>25552.113937400019</v>
      </c>
      <c r="AY71" s="22">
        <f t="shared" si="68"/>
        <v>1882.0735274392375</v>
      </c>
      <c r="AZ71" s="22">
        <f t="shared" si="68"/>
        <v>1963.178856762278</v>
      </c>
      <c r="BA71" s="22">
        <f t="shared" si="68"/>
        <v>2043.543440286579</v>
      </c>
      <c r="BB71" s="22">
        <f t="shared" si="68"/>
        <v>2123.212998700551</v>
      </c>
      <c r="BC71" s="22">
        <f t="shared" si="68"/>
        <v>2202.2302315321349</v>
      </c>
      <c r="BD71" s="22">
        <f t="shared" si="68"/>
        <v>2280.6350940156217</v>
      </c>
      <c r="BE71" s="22">
        <f t="shared" si="68"/>
        <v>2342.2805253114639</v>
      </c>
      <c r="BF71" s="22">
        <f t="shared" si="68"/>
        <v>2403.4213701168774</v>
      </c>
      <c r="BG71" s="22">
        <f t="shared" si="68"/>
        <v>2464.0845090766247</v>
      </c>
      <c r="BH71" s="22">
        <f t="shared" si="68"/>
        <v>2524.2952292891482</v>
      </c>
      <c r="BI71" s="22">
        <f t="shared" si="68"/>
        <v>2584.0773546476557</v>
      </c>
      <c r="BJ71" s="22">
        <f t="shared" si="68"/>
        <v>2641.3321094487542</v>
      </c>
      <c r="BK71" s="22">
        <f t="shared" si="68"/>
        <v>2698.1136961211591</v>
      </c>
      <c r="BL71" s="22">
        <f t="shared" si="68"/>
        <v>2754.4425619909125</v>
      </c>
      <c r="BM71" s="22">
        <f t="shared" si="68"/>
        <v>2810.3380514622941</v>
      </c>
      <c r="BN71" s="22">
        <f t="shared" si="68"/>
        <v>2865.8184871285193</v>
      </c>
    </row>
    <row r="72" spans="1:72" x14ac:dyDescent="0.25">
      <c r="E72" t="s">
        <v>738</v>
      </c>
      <c r="F72" s="22">
        <f>SUM(F61:F67)</f>
        <v>22520.716286019295</v>
      </c>
      <c r="G72" s="22">
        <f t="shared" ref="G72:AG72" si="69">SUM(G61:G67)</f>
        <v>22464.940551220727</v>
      </c>
      <c r="H72" s="22">
        <f t="shared" si="69"/>
        <v>22122.587070657621</v>
      </c>
      <c r="I72" s="22">
        <f t="shared" si="69"/>
        <v>22107.511600676291</v>
      </c>
      <c r="J72" s="22">
        <f t="shared" si="69"/>
        <v>21834.941608916608</v>
      </c>
      <c r="K72" s="22">
        <f t="shared" si="69"/>
        <v>21438.397550905156</v>
      </c>
      <c r="L72" s="22">
        <f t="shared" si="69"/>
        <v>22344.38853508536</v>
      </c>
      <c r="M72" s="22">
        <f t="shared" si="69"/>
        <v>22643.115411695737</v>
      </c>
      <c r="N72" s="22">
        <f t="shared" si="69"/>
        <v>22838.244348740158</v>
      </c>
      <c r="O72" s="22">
        <f t="shared" si="69"/>
        <v>22819.025600827037</v>
      </c>
      <c r="P72" s="22">
        <f t="shared" si="69"/>
        <v>22511.044802282533</v>
      </c>
      <c r="Q72" s="22">
        <f t="shared" si="69"/>
        <v>22529.539442072208</v>
      </c>
      <c r="R72" s="22">
        <f t="shared" si="69"/>
        <v>23137.990578649747</v>
      </c>
      <c r="S72" s="22">
        <f t="shared" si="69"/>
        <v>22247.767107619758</v>
      </c>
      <c r="T72" s="22">
        <f t="shared" si="69"/>
        <v>21888.679383709583</v>
      </c>
      <c r="U72" s="22">
        <f t="shared" si="69"/>
        <v>22154.093897802089</v>
      </c>
      <c r="V72" s="22">
        <f t="shared" si="69"/>
        <v>22070.367095963247</v>
      </c>
      <c r="W72" s="22">
        <f t="shared" si="69"/>
        <v>22852.545580285085</v>
      </c>
      <c r="X72" s="22">
        <f t="shared" si="69"/>
        <v>22951.7302580256</v>
      </c>
      <c r="Y72" s="22">
        <f t="shared" si="69"/>
        <v>22635.063755242325</v>
      </c>
      <c r="Z72" s="22">
        <f t="shared" si="69"/>
        <v>22400.815411577827</v>
      </c>
      <c r="AA72" s="22">
        <f t="shared" si="69"/>
        <v>22528.596906718252</v>
      </c>
      <c r="AB72" s="22">
        <f t="shared" si="69"/>
        <v>22992.959698206956</v>
      </c>
      <c r="AC72" s="22">
        <f t="shared" si="69"/>
        <v>23036.132422452658</v>
      </c>
      <c r="AD72" s="22">
        <f t="shared" si="69"/>
        <v>22901.315582132636</v>
      </c>
      <c r="AE72" s="22">
        <f t="shared" si="69"/>
        <v>22660.106236692576</v>
      </c>
      <c r="AF72" s="22">
        <f t="shared" si="69"/>
        <v>22467.396603154113</v>
      </c>
      <c r="AG72" s="22">
        <f t="shared" si="69"/>
        <v>22334.902158843899</v>
      </c>
      <c r="AH72" s="22">
        <f t="shared" ref="AH72:BN72" si="70">SUM(AH61:AH67)</f>
        <v>22212.347405584453</v>
      </c>
      <c r="AI72" s="22">
        <f t="shared" si="70"/>
        <v>21988.521531590006</v>
      </c>
      <c r="AJ72" s="22">
        <f t="shared" si="70"/>
        <v>20805.350714145046</v>
      </c>
      <c r="AK72" s="22">
        <f t="shared" si="70"/>
        <v>20902.128619534575</v>
      </c>
      <c r="AL72" s="22">
        <f t="shared" si="70"/>
        <v>20999.501957864632</v>
      </c>
      <c r="AM72" s="22">
        <f t="shared" si="70"/>
        <v>21095.742875023458</v>
      </c>
      <c r="AN72" s="22">
        <f t="shared" si="70"/>
        <v>21229.894387337721</v>
      </c>
      <c r="AO72" s="22">
        <f t="shared" si="70"/>
        <v>21363.28947742395</v>
      </c>
      <c r="AP72" s="22">
        <f t="shared" si="70"/>
        <v>21498.220163048351</v>
      </c>
      <c r="AQ72" s="22">
        <f t="shared" si="70"/>
        <v>21622.377259033183</v>
      </c>
      <c r="AR72" s="22">
        <f t="shared" si="70"/>
        <v>21758.990364532128</v>
      </c>
      <c r="AS72" s="22">
        <f t="shared" si="70"/>
        <v>21876.734081566661</v>
      </c>
      <c r="AT72" s="22">
        <f t="shared" si="70"/>
        <v>21997.303258083852</v>
      </c>
      <c r="AU72" s="22">
        <f t="shared" si="70"/>
        <v>22090.227981225849</v>
      </c>
      <c r="AV72" s="22">
        <f t="shared" si="70"/>
        <v>22199.486832262715</v>
      </c>
      <c r="AW72" s="22">
        <f t="shared" si="70"/>
        <v>22311.229027740294</v>
      </c>
      <c r="AX72" s="22">
        <f t="shared" si="70"/>
        <v>22159.85359907461</v>
      </c>
      <c r="AY72" s="22">
        <f t="shared" si="70"/>
        <v>9819.2541696167536</v>
      </c>
      <c r="AZ72" s="22">
        <f t="shared" si="70"/>
        <v>9252.9189669289699</v>
      </c>
      <c r="BA72" s="22">
        <f t="shared" si="70"/>
        <v>9307.6027514403359</v>
      </c>
      <c r="BB72" s="22">
        <f t="shared" si="70"/>
        <v>9361.9476434637309</v>
      </c>
      <c r="BC72" s="22">
        <f t="shared" si="70"/>
        <v>9415.4567727938938</v>
      </c>
      <c r="BD72" s="22">
        <f t="shared" si="70"/>
        <v>9468.6692822181485</v>
      </c>
      <c r="BE72" s="22">
        <f t="shared" si="70"/>
        <v>9511.5465109865072</v>
      </c>
      <c r="BF72" s="22">
        <f t="shared" si="70"/>
        <v>9554.3566027819306</v>
      </c>
      <c r="BG72" s="22">
        <f t="shared" si="70"/>
        <v>9596.9399901369634</v>
      </c>
      <c r="BH72" s="22">
        <f t="shared" si="70"/>
        <v>9639.3091929736584</v>
      </c>
      <c r="BI72" s="22">
        <f t="shared" si="70"/>
        <v>9681.4760190763973</v>
      </c>
      <c r="BJ72" s="22">
        <f t="shared" si="70"/>
        <v>9721.6346606194547</v>
      </c>
      <c r="BK72" s="22">
        <f t="shared" si="70"/>
        <v>9761.744166568229</v>
      </c>
      <c r="BL72" s="22">
        <f t="shared" si="70"/>
        <v>9801.6339570382224</v>
      </c>
      <c r="BM72" s="22">
        <f t="shared" si="70"/>
        <v>9841.3135892117407</v>
      </c>
      <c r="BN72" s="22">
        <f t="shared" si="70"/>
        <v>9880.7921235281683</v>
      </c>
    </row>
    <row r="73" spans="1:72" x14ac:dyDescent="0.25">
      <c r="E73" t="s">
        <v>726</v>
      </c>
      <c r="F73" s="22">
        <f>SUM(F71:F72)</f>
        <v>50850.612181209253</v>
      </c>
      <c r="G73" s="22">
        <f t="shared" ref="G73:AG73" si="71">SUM(G71:G72)</f>
        <v>50813.697148756924</v>
      </c>
      <c r="H73" s="22">
        <f t="shared" si="71"/>
        <v>50023.852238309773</v>
      </c>
      <c r="I73" s="22">
        <f t="shared" si="71"/>
        <v>49090.932778754614</v>
      </c>
      <c r="J73" s="22">
        <f t="shared" si="71"/>
        <v>48067.877450942236</v>
      </c>
      <c r="K73" s="22">
        <f t="shared" si="71"/>
        <v>47922.095455178787</v>
      </c>
      <c r="L73" s="22">
        <f t="shared" si="71"/>
        <v>49575.843585283277</v>
      </c>
      <c r="M73" s="22">
        <f t="shared" si="71"/>
        <v>50361.313111746611</v>
      </c>
      <c r="N73" s="22">
        <f t="shared" si="71"/>
        <v>51030.102101321943</v>
      </c>
      <c r="O73" s="22">
        <f t="shared" si="71"/>
        <v>50995.958935395931</v>
      </c>
      <c r="P73" s="22">
        <f t="shared" si="71"/>
        <v>50422.780115455113</v>
      </c>
      <c r="Q73" s="22">
        <f t="shared" si="71"/>
        <v>50247.47999648485</v>
      </c>
      <c r="R73" s="22">
        <f t="shared" si="71"/>
        <v>50437.20578900558</v>
      </c>
      <c r="S73" s="22">
        <f t="shared" si="71"/>
        <v>49591.755111070597</v>
      </c>
      <c r="T73" s="22">
        <f t="shared" si="71"/>
        <v>49035.354824128801</v>
      </c>
      <c r="U73" s="22">
        <f t="shared" si="71"/>
        <v>49414.796099460007</v>
      </c>
      <c r="V73" s="22">
        <f t="shared" si="71"/>
        <v>49267.097795471636</v>
      </c>
      <c r="W73" s="22">
        <f t="shared" si="71"/>
        <v>50651.342624920959</v>
      </c>
      <c r="X73" s="22">
        <f t="shared" si="71"/>
        <v>50973.591038492857</v>
      </c>
      <c r="Y73" s="22">
        <f t="shared" si="71"/>
        <v>50458.164059092771</v>
      </c>
      <c r="Z73" s="22">
        <f t="shared" si="71"/>
        <v>50015.072106264684</v>
      </c>
      <c r="AA73" s="22">
        <f t="shared" si="71"/>
        <v>50110.234805430198</v>
      </c>
      <c r="AB73" s="22">
        <f t="shared" si="71"/>
        <v>50148.925222079342</v>
      </c>
      <c r="AC73" s="22">
        <f t="shared" si="71"/>
        <v>50151.153885981519</v>
      </c>
      <c r="AD73" s="22">
        <f t="shared" si="71"/>
        <v>49825.882064441699</v>
      </c>
      <c r="AE73" s="22">
        <f t="shared" si="71"/>
        <v>49194.761064050384</v>
      </c>
      <c r="AF73" s="22">
        <f t="shared" si="71"/>
        <v>48629.136606349901</v>
      </c>
      <c r="AG73" s="22">
        <f t="shared" si="71"/>
        <v>48239.040492340682</v>
      </c>
      <c r="AH73" s="22">
        <f t="shared" ref="AH73:BN73" si="72">SUM(AH71:AH72)</f>
        <v>47896.800616392095</v>
      </c>
      <c r="AI73" s="22">
        <f t="shared" si="72"/>
        <v>47257.806608659375</v>
      </c>
      <c r="AJ73" s="22">
        <f t="shared" si="72"/>
        <v>43857.226023400493</v>
      </c>
      <c r="AK73" s="22">
        <f t="shared" si="72"/>
        <v>44172.12273061624</v>
      </c>
      <c r="AL73" s="22">
        <f t="shared" si="72"/>
        <v>44438.790091815703</v>
      </c>
      <c r="AM73" s="22">
        <f t="shared" si="72"/>
        <v>44703.529233445224</v>
      </c>
      <c r="AN73" s="22">
        <f t="shared" si="72"/>
        <v>45078.072305826165</v>
      </c>
      <c r="AO73" s="22">
        <f t="shared" si="72"/>
        <v>45449.182925721216</v>
      </c>
      <c r="AP73" s="22">
        <f t="shared" si="72"/>
        <v>45826.96855101618</v>
      </c>
      <c r="AQ73" s="22">
        <f t="shared" si="72"/>
        <v>46173.798042117734</v>
      </c>
      <c r="AR73" s="22">
        <f t="shared" si="72"/>
        <v>46557.626849913162</v>
      </c>
      <c r="AS73" s="22">
        <f t="shared" si="72"/>
        <v>46886.700061202457</v>
      </c>
      <c r="AT73" s="22">
        <f t="shared" si="72"/>
        <v>47225.248097930235</v>
      </c>
      <c r="AU73" s="22">
        <f t="shared" si="72"/>
        <v>47499.273691008188</v>
      </c>
      <c r="AV73" s="22">
        <f t="shared" si="72"/>
        <v>47820.166016998133</v>
      </c>
      <c r="AW73" s="22">
        <f t="shared" si="72"/>
        <v>48148.968569428136</v>
      </c>
      <c r="AX73" s="22">
        <f t="shared" si="72"/>
        <v>47711.967536474629</v>
      </c>
      <c r="AY73" s="22">
        <f t="shared" si="72"/>
        <v>11701.327697055991</v>
      </c>
      <c r="AZ73" s="22">
        <f t="shared" si="72"/>
        <v>11216.097823691249</v>
      </c>
      <c r="BA73" s="22">
        <f t="shared" si="72"/>
        <v>11351.146191726915</v>
      </c>
      <c r="BB73" s="22">
        <f t="shared" si="72"/>
        <v>11485.160642164283</v>
      </c>
      <c r="BC73" s="22">
        <f t="shared" si="72"/>
        <v>11617.687004326028</v>
      </c>
      <c r="BD73" s="22">
        <f t="shared" si="72"/>
        <v>11749.304376233769</v>
      </c>
      <c r="BE73" s="22">
        <f t="shared" si="72"/>
        <v>11853.827036297971</v>
      </c>
      <c r="BF73" s="22">
        <f t="shared" si="72"/>
        <v>11957.777972898808</v>
      </c>
      <c r="BG73" s="22">
        <f t="shared" si="72"/>
        <v>12061.024499213589</v>
      </c>
      <c r="BH73" s="22">
        <f t="shared" si="72"/>
        <v>12163.604422262806</v>
      </c>
      <c r="BI73" s="22">
        <f t="shared" si="72"/>
        <v>12265.553373724053</v>
      </c>
      <c r="BJ73" s="22">
        <f t="shared" si="72"/>
        <v>12362.966770068209</v>
      </c>
      <c r="BK73" s="22">
        <f t="shared" si="72"/>
        <v>12459.857862689389</v>
      </c>
      <c r="BL73" s="22">
        <f t="shared" si="72"/>
        <v>12556.076519029135</v>
      </c>
      <c r="BM73" s="22">
        <f t="shared" si="72"/>
        <v>12651.651640674034</v>
      </c>
      <c r="BN73" s="22">
        <f t="shared" si="72"/>
        <v>12746.610610656688</v>
      </c>
    </row>
    <row r="74" spans="1:72" x14ac:dyDescent="0.25">
      <c r="C74" t="s">
        <v>931</v>
      </c>
      <c r="E74" t="s">
        <v>737</v>
      </c>
      <c r="F74" s="21">
        <v>30363.701489664549</v>
      </c>
      <c r="G74" s="21">
        <v>30620.087433327655</v>
      </c>
      <c r="H74" s="21">
        <v>30019.645292780151</v>
      </c>
      <c r="I74" s="21">
        <v>29126.832767672211</v>
      </c>
      <c r="J74" s="21">
        <v>28220.504029960546</v>
      </c>
      <c r="K74" s="21">
        <v>28658.334296648256</v>
      </c>
      <c r="L74" s="21">
        <v>29216.836454505894</v>
      </c>
      <c r="M74" s="21">
        <v>29686.534877773469</v>
      </c>
      <c r="N74" s="21">
        <v>30358.840057469566</v>
      </c>
      <c r="O74" s="21">
        <v>30552.5406715998</v>
      </c>
      <c r="P74" s="21">
        <v>30515.456515029604</v>
      </c>
      <c r="Q74" s="21">
        <v>30340.133527107813</v>
      </c>
      <c r="R74" s="21">
        <v>29862.347205058868</v>
      </c>
      <c r="S74" s="21">
        <v>28988.455674699828</v>
      </c>
      <c r="T74" s="21">
        <v>28771.73121104404</v>
      </c>
      <c r="U74" s="21">
        <v>28806.676410294196</v>
      </c>
      <c r="V74" s="21">
        <v>28710.685662648946</v>
      </c>
      <c r="W74" s="21">
        <v>27953.813125583809</v>
      </c>
      <c r="X74" s="21">
        <v>29128.465653077492</v>
      </c>
      <c r="Y74" s="21">
        <v>28566.814632287216</v>
      </c>
      <c r="Z74" s="21">
        <v>29466.291233402069</v>
      </c>
      <c r="AA74" s="21">
        <v>29540.386989025857</v>
      </c>
      <c r="AB74" s="21">
        <v>28765.723679034749</v>
      </c>
      <c r="AC74" s="21">
        <v>29976.162007053368</v>
      </c>
      <c r="AD74" s="21">
        <v>29854.259774176113</v>
      </c>
      <c r="AE74" s="21">
        <v>29764.794009191111</v>
      </c>
      <c r="AF74" s="21">
        <v>28493.468307353363</v>
      </c>
      <c r="AG74" s="21">
        <v>28161.291437902692</v>
      </c>
    </row>
    <row r="75" spans="1:72" x14ac:dyDescent="0.25">
      <c r="C75" t="s">
        <v>931</v>
      </c>
      <c r="E75" t="s">
        <v>739</v>
      </c>
      <c r="F75" s="21">
        <v>23966.513245185564</v>
      </c>
      <c r="G75" s="21">
        <v>25488.169557235855</v>
      </c>
      <c r="H75" s="21">
        <v>24918.03927597345</v>
      </c>
      <c r="I75" s="21">
        <v>24848.327264592699</v>
      </c>
      <c r="J75" s="21">
        <v>24505.816851306721</v>
      </c>
      <c r="K75" s="21">
        <v>24432.14794095813</v>
      </c>
      <c r="L75" s="21">
        <v>25202.904527562976</v>
      </c>
      <c r="M75" s="21">
        <v>25504.378529824888</v>
      </c>
      <c r="N75" s="21">
        <v>25890.467620410676</v>
      </c>
      <c r="O75" s="21">
        <v>25983.786939397698</v>
      </c>
      <c r="P75" s="21">
        <v>25868.394067579684</v>
      </c>
      <c r="Q75" s="21">
        <v>26002.535902574971</v>
      </c>
      <c r="R75" s="21">
        <v>26531.007410409438</v>
      </c>
      <c r="S75" s="21">
        <v>24775.301428664814</v>
      </c>
      <c r="T75" s="21">
        <v>24381.007267856174</v>
      </c>
      <c r="U75" s="21">
        <v>24606.540158008142</v>
      </c>
      <c r="V75" s="21">
        <v>24681.528992201023</v>
      </c>
      <c r="W75" s="21">
        <v>24370.637912824339</v>
      </c>
      <c r="X75" s="21">
        <v>25360.261324110521</v>
      </c>
      <c r="Y75" s="21">
        <v>24580.116845224002</v>
      </c>
      <c r="Z75" s="21">
        <v>25130.517014652847</v>
      </c>
      <c r="AA75" s="21">
        <v>25304.85592670933</v>
      </c>
      <c r="AB75" s="21">
        <v>24407.03698205229</v>
      </c>
      <c r="AC75" s="21">
        <v>25679.803908205235</v>
      </c>
      <c r="AD75" s="21">
        <v>25935.14594405461</v>
      </c>
      <c r="AE75" s="21">
        <v>24944.276967369409</v>
      </c>
      <c r="AF75" s="21">
        <v>23249.801068831042</v>
      </c>
      <c r="AG75" s="21">
        <v>23515.861940250066</v>
      </c>
    </row>
    <row r="76" spans="1:72" x14ac:dyDescent="0.25">
      <c r="C76" t="s">
        <v>931</v>
      </c>
      <c r="E76" t="s">
        <v>937</v>
      </c>
      <c r="F76" s="21">
        <f>SUM(F74:F75)</f>
        <v>54330.214734850117</v>
      </c>
      <c r="G76" s="21">
        <f t="shared" ref="G76:AG76" si="73">SUM(G74:G75)</f>
        <v>56108.25699056351</v>
      </c>
      <c r="H76" s="21">
        <f t="shared" si="73"/>
        <v>54937.684568753597</v>
      </c>
      <c r="I76" s="21">
        <f t="shared" si="73"/>
        <v>53975.16003226491</v>
      </c>
      <c r="J76" s="21">
        <f t="shared" si="73"/>
        <v>52726.320881267267</v>
      </c>
      <c r="K76" s="21">
        <f t="shared" si="73"/>
        <v>53090.482237606382</v>
      </c>
      <c r="L76" s="21">
        <f t="shared" si="73"/>
        <v>54419.74098206887</v>
      </c>
      <c r="M76" s="21">
        <f t="shared" si="73"/>
        <v>55190.91340759836</v>
      </c>
      <c r="N76" s="21">
        <f t="shared" si="73"/>
        <v>56249.307677880242</v>
      </c>
      <c r="O76" s="21">
        <f t="shared" si="73"/>
        <v>56536.327610997498</v>
      </c>
      <c r="P76" s="21">
        <f t="shared" si="73"/>
        <v>56383.850582609288</v>
      </c>
      <c r="Q76" s="21">
        <f t="shared" si="73"/>
        <v>56342.669429682785</v>
      </c>
      <c r="R76" s="21">
        <f t="shared" si="73"/>
        <v>56393.354615468306</v>
      </c>
      <c r="S76" s="21">
        <f t="shared" si="73"/>
        <v>53763.757103364638</v>
      </c>
      <c r="T76" s="21">
        <f t="shared" si="73"/>
        <v>53152.73847890021</v>
      </c>
      <c r="U76" s="21">
        <f t="shared" si="73"/>
        <v>53413.216568302334</v>
      </c>
      <c r="V76" s="21">
        <f t="shared" si="73"/>
        <v>53392.214654849973</v>
      </c>
      <c r="W76" s="21">
        <f t="shared" si="73"/>
        <v>52324.451038408151</v>
      </c>
      <c r="X76" s="21">
        <f t="shared" si="73"/>
        <v>54488.726977188009</v>
      </c>
      <c r="Y76" s="21">
        <f t="shared" si="73"/>
        <v>53146.931477511214</v>
      </c>
      <c r="Z76" s="21">
        <f t="shared" si="73"/>
        <v>54596.80824805492</v>
      </c>
      <c r="AA76" s="21">
        <f t="shared" si="73"/>
        <v>54845.242915735187</v>
      </c>
      <c r="AB76" s="21">
        <f t="shared" si="73"/>
        <v>53172.760661087043</v>
      </c>
      <c r="AC76" s="21">
        <f t="shared" si="73"/>
        <v>55655.965915258603</v>
      </c>
      <c r="AD76" s="21">
        <f t="shared" si="73"/>
        <v>55789.405718230722</v>
      </c>
      <c r="AE76" s="21">
        <f t="shared" si="73"/>
        <v>54709.070976560521</v>
      </c>
      <c r="AF76" s="21">
        <f t="shared" si="73"/>
        <v>51743.269376184406</v>
      </c>
      <c r="AG76" s="21">
        <f t="shared" si="73"/>
        <v>51677.153378152754</v>
      </c>
    </row>
    <row r="77" spans="1:72" x14ac:dyDescent="0.25">
      <c r="C77" t="s">
        <v>930</v>
      </c>
      <c r="E77" t="s">
        <v>932</v>
      </c>
      <c r="F77" s="21">
        <v>28841.456935165024</v>
      </c>
      <c r="G77" s="21">
        <v>28874.617245415291</v>
      </c>
      <c r="H77" s="21">
        <v>28503.853708721526</v>
      </c>
      <c r="I77" s="21">
        <v>27532.104557575753</v>
      </c>
      <c r="J77" s="21">
        <v>26764.22321356984</v>
      </c>
      <c r="K77" s="21">
        <v>27088.29125785478</v>
      </c>
      <c r="L77" s="21">
        <v>27651.842000083903</v>
      </c>
      <c r="M77" s="21">
        <v>28174.583312846415</v>
      </c>
      <c r="N77" s="21">
        <v>28871.518161673943</v>
      </c>
      <c r="O77" s="21">
        <v>29040.146748956548</v>
      </c>
      <c r="P77" s="21">
        <v>28604.298593734209</v>
      </c>
      <c r="Q77" s="21">
        <v>28439.006817138674</v>
      </c>
      <c r="R77" s="21">
        <v>28158.262684927948</v>
      </c>
      <c r="S77" s="21">
        <v>27538.048485484789</v>
      </c>
      <c r="T77" s="21">
        <v>27384.26705791508</v>
      </c>
      <c r="U77" s="21">
        <v>27326.584253461606</v>
      </c>
      <c r="V77" s="21">
        <v>27258.009133790336</v>
      </c>
      <c r="W77" s="21">
        <v>26600.052385004816</v>
      </c>
      <c r="X77" s="21">
        <v>27439.669575781179</v>
      </c>
      <c r="Y77" s="21">
        <v>26868.002037732236</v>
      </c>
      <c r="Z77" s="21">
        <v>27664.377940114457</v>
      </c>
      <c r="AA77" s="21">
        <v>27801.534910949355</v>
      </c>
      <c r="AB77" s="21">
        <v>27190.794316586092</v>
      </c>
      <c r="AC77" s="21">
        <v>28125.443821791141</v>
      </c>
      <c r="AD77" s="21">
        <v>28132.073619111641</v>
      </c>
      <c r="AE77" s="21">
        <v>28022.596440230893</v>
      </c>
      <c r="AF77" s="21">
        <v>26770.512864029439</v>
      </c>
      <c r="AG77" s="21">
        <v>26272.330661039257</v>
      </c>
    </row>
    <row r="78" spans="1:72" x14ac:dyDescent="0.25">
      <c r="C78" t="s">
        <v>930</v>
      </c>
      <c r="E78" t="s">
        <v>933</v>
      </c>
      <c r="F78" s="21">
        <v>23017.116995923152</v>
      </c>
      <c r="G78" s="21">
        <v>24357.943795318199</v>
      </c>
      <c r="H78" s="21">
        <v>23923.781404274614</v>
      </c>
      <c r="I78" s="21">
        <v>23808.52866974326</v>
      </c>
      <c r="J78" s="21">
        <v>23548.815692626868</v>
      </c>
      <c r="K78" s="21">
        <v>23406.439056039562</v>
      </c>
      <c r="L78" s="21">
        <v>24181.443878145627</v>
      </c>
      <c r="M78" s="21">
        <v>24510.581335681734</v>
      </c>
      <c r="N78" s="21">
        <v>24916.730028994498</v>
      </c>
      <c r="O78" s="21">
        <v>24998.953710091639</v>
      </c>
      <c r="P78" s="21">
        <v>24625.134604822408</v>
      </c>
      <c r="Q78" s="21">
        <v>24764.073774517499</v>
      </c>
      <c r="R78" s="21">
        <v>25420.639847835555</v>
      </c>
      <c r="S78" s="21">
        <v>23846.988468835058</v>
      </c>
      <c r="T78" s="21">
        <v>23504.925758751408</v>
      </c>
      <c r="U78" s="21">
        <v>23672.708379593492</v>
      </c>
      <c r="V78" s="21">
        <v>23765.786841217523</v>
      </c>
      <c r="W78" s="21">
        <v>23512.70116086525</v>
      </c>
      <c r="X78" s="21">
        <v>24252.381704460829</v>
      </c>
      <c r="Y78" s="21">
        <v>23516.503660101647</v>
      </c>
      <c r="Z78" s="21">
        <v>23986.77417374069</v>
      </c>
      <c r="AA78" s="21">
        <v>24215.606096707954</v>
      </c>
      <c r="AB78" s="21">
        <v>23466.796841445379</v>
      </c>
      <c r="AC78" s="21">
        <v>24452.726550481024</v>
      </c>
      <c r="AD78" s="21">
        <v>24798.187695034216</v>
      </c>
      <c r="AE78" s="21">
        <v>23781.729632572271</v>
      </c>
      <c r="AF78" s="21">
        <v>22214.078479972708</v>
      </c>
      <c r="AG78" s="21">
        <v>22369.490596120992</v>
      </c>
    </row>
    <row r="79" spans="1:72" x14ac:dyDescent="0.25">
      <c r="C79" t="s">
        <v>930</v>
      </c>
      <c r="E79" t="s">
        <v>934</v>
      </c>
      <c r="F79" s="21">
        <v>51858.573931088176</v>
      </c>
      <c r="G79" s="21">
        <v>53232.56104073349</v>
      </c>
      <c r="H79" s="21">
        <v>52427.63511299614</v>
      </c>
      <c r="I79" s="21">
        <v>51340.633227319013</v>
      </c>
      <c r="J79" s="21">
        <v>50313.038906196707</v>
      </c>
      <c r="K79" s="21">
        <v>50494.730313894339</v>
      </c>
      <c r="L79" s="21">
        <v>51833.28587822953</v>
      </c>
      <c r="M79" s="21">
        <v>52685.164648528153</v>
      </c>
      <c r="N79" s="21">
        <v>53788.248190668441</v>
      </c>
      <c r="O79" s="21">
        <v>54039.10045904819</v>
      </c>
      <c r="P79" s="21">
        <v>53229.433198556617</v>
      </c>
      <c r="Q79" s="21">
        <v>53203.080591656173</v>
      </c>
      <c r="R79" s="21">
        <v>53578.902532763503</v>
      </c>
      <c r="S79" s="21">
        <v>51385.036954319847</v>
      </c>
      <c r="T79" s="21">
        <v>50889.192816666487</v>
      </c>
      <c r="U79" s="21">
        <v>50999.292633055098</v>
      </c>
      <c r="V79" s="21">
        <v>51023.795975007859</v>
      </c>
      <c r="W79" s="21">
        <v>50112.753545870066</v>
      </c>
      <c r="X79" s="21">
        <v>51692.051280242013</v>
      </c>
      <c r="Y79" s="21">
        <v>50384.505697833883</v>
      </c>
      <c r="Z79" s="21">
        <v>51651.152113855147</v>
      </c>
      <c r="AA79" s="21">
        <v>52017.141007657308</v>
      </c>
      <c r="AB79" s="21">
        <v>50657.591158031471</v>
      </c>
      <c r="AC79" s="21">
        <v>52578.170372272165</v>
      </c>
      <c r="AD79" s="21">
        <v>52930.261314145857</v>
      </c>
      <c r="AE79" s="21">
        <v>51804.32607280316</v>
      </c>
      <c r="AF79" s="21">
        <v>48984.591344002147</v>
      </c>
      <c r="AG79" s="21">
        <v>48641.821257160249</v>
      </c>
    </row>
    <row r="80" spans="1:72" x14ac:dyDescent="0.25">
      <c r="E80" t="s">
        <v>727</v>
      </c>
      <c r="F80" s="55">
        <f>(F73-F76)/F76</f>
        <v>-6.4045440840285739E-2</v>
      </c>
      <c r="G80" s="55">
        <f t="shared" ref="G80:AG80" si="74">(G73-G76)/G76</f>
        <v>-9.4363292067637106E-2</v>
      </c>
      <c r="H80" s="55">
        <f t="shared" si="74"/>
        <v>-8.9443746474139149E-2</v>
      </c>
      <c r="I80" s="55">
        <f t="shared" si="74"/>
        <v>-9.0490278316741182E-2</v>
      </c>
      <c r="J80" s="55">
        <f t="shared" si="74"/>
        <v>-8.8351384137255323E-2</v>
      </c>
      <c r="K80" s="55">
        <f t="shared" si="74"/>
        <v>-9.7350533741556292E-2</v>
      </c>
      <c r="L80" s="55">
        <f t="shared" si="74"/>
        <v>-8.9009931127412775E-2</v>
      </c>
      <c r="M80" s="55">
        <f t="shared" si="74"/>
        <v>-8.7507163727912465E-2</v>
      </c>
      <c r="N80" s="55">
        <f t="shared" si="74"/>
        <v>-9.2787018934469931E-2</v>
      </c>
      <c r="O80" s="55">
        <f t="shared" si="74"/>
        <v>-9.799661403058392E-2</v>
      </c>
      <c r="P80" s="55">
        <f t="shared" si="74"/>
        <v>-0.10572301120904243</v>
      </c>
      <c r="Q80" s="55">
        <f t="shared" si="74"/>
        <v>-0.10818070025604484</v>
      </c>
      <c r="R80" s="55">
        <f t="shared" si="74"/>
        <v>-0.10561792018006667</v>
      </c>
      <c r="S80" s="55">
        <f t="shared" si="74"/>
        <v>-7.7598780611129375E-2</v>
      </c>
      <c r="T80" s="55">
        <f t="shared" si="74"/>
        <v>-7.7463245970024047E-2</v>
      </c>
      <c r="U80" s="55">
        <f t="shared" si="74"/>
        <v>-7.4858260290865147E-2</v>
      </c>
      <c r="V80" s="55">
        <f t="shared" si="74"/>
        <v>-7.7260643448578595E-2</v>
      </c>
      <c r="W80" s="55">
        <f t="shared" si="74"/>
        <v>-3.1975651541170817E-2</v>
      </c>
      <c r="X80" s="55">
        <f t="shared" si="74"/>
        <v>-6.4511250926577557E-2</v>
      </c>
      <c r="Y80" s="55">
        <f t="shared" si="74"/>
        <v>-5.0591207124651746E-2</v>
      </c>
      <c r="Z80" s="55">
        <f t="shared" si="74"/>
        <v>-8.3919487032531173E-2</v>
      </c>
      <c r="AA80" s="55">
        <f t="shared" si="74"/>
        <v>-8.6333980097050636E-2</v>
      </c>
      <c r="AB80" s="55">
        <f t="shared" si="74"/>
        <v>-5.6868129497376414E-2</v>
      </c>
      <c r="AC80" s="55">
        <f t="shared" si="74"/>
        <v>-9.8907851813382824E-2</v>
      </c>
      <c r="AD80" s="55">
        <f t="shared" si="74"/>
        <v>-0.10689347873516204</v>
      </c>
      <c r="AE80" s="55">
        <f t="shared" si="74"/>
        <v>-0.10079333854659457</v>
      </c>
      <c r="AF80" s="55">
        <f t="shared" si="74"/>
        <v>-6.0184306236896384E-2</v>
      </c>
      <c r="AG80" s="55">
        <f t="shared" si="74"/>
        <v>-6.6530616743792681E-2</v>
      </c>
    </row>
    <row r="113" spans="1:72" s="19" customFormat="1" ht="15.75" x14ac:dyDescent="0.25">
      <c r="A113" s="17" t="s">
        <v>716</v>
      </c>
      <c r="B113" s="17"/>
      <c r="C113" s="17"/>
      <c r="D113" s="17"/>
      <c r="E113" s="17"/>
      <c r="F113" s="17">
        <v>1990</v>
      </c>
      <c r="G113" s="17">
        <v>1991</v>
      </c>
      <c r="H113" s="17">
        <v>1992</v>
      </c>
      <c r="I113" s="17">
        <v>1993</v>
      </c>
      <c r="J113" s="17">
        <v>1994</v>
      </c>
      <c r="K113" s="17">
        <v>1995</v>
      </c>
      <c r="L113" s="17">
        <v>1996</v>
      </c>
      <c r="M113" s="17">
        <v>1997</v>
      </c>
      <c r="N113" s="17">
        <v>1998</v>
      </c>
      <c r="O113" s="17">
        <v>1999</v>
      </c>
      <c r="P113" s="17">
        <v>2000</v>
      </c>
      <c r="Q113" s="17">
        <v>2001</v>
      </c>
      <c r="R113" s="17">
        <v>2002</v>
      </c>
      <c r="S113" s="17">
        <v>2003</v>
      </c>
      <c r="T113" s="17">
        <v>2004</v>
      </c>
      <c r="U113" s="17">
        <v>2005</v>
      </c>
      <c r="V113" s="17">
        <v>2006</v>
      </c>
      <c r="W113" s="17">
        <v>2007</v>
      </c>
      <c r="X113" s="17">
        <v>2008</v>
      </c>
      <c r="Y113" s="17">
        <v>2009</v>
      </c>
      <c r="Z113" s="17">
        <v>2010</v>
      </c>
      <c r="AA113" s="17">
        <v>2011</v>
      </c>
      <c r="AB113" s="17">
        <v>2012</v>
      </c>
      <c r="AC113" s="17">
        <v>2013</v>
      </c>
      <c r="AD113" s="17">
        <v>2014</v>
      </c>
      <c r="AE113" s="17">
        <v>2015</v>
      </c>
      <c r="AF113" s="17">
        <v>2016</v>
      </c>
      <c r="AG113" s="17">
        <v>2017</v>
      </c>
      <c r="AH113" s="17">
        <v>2018</v>
      </c>
      <c r="AI113" s="17">
        <v>2019</v>
      </c>
      <c r="AJ113" s="17">
        <v>2020</v>
      </c>
      <c r="AK113" s="17">
        <v>2021</v>
      </c>
      <c r="AL113" s="17">
        <v>2022</v>
      </c>
      <c r="AM113" s="17">
        <v>2023</v>
      </c>
      <c r="AN113" s="17">
        <v>2024</v>
      </c>
      <c r="AO113" s="17">
        <v>2025</v>
      </c>
      <c r="AP113" s="17">
        <v>2026</v>
      </c>
      <c r="AQ113" s="17">
        <v>2027</v>
      </c>
      <c r="AR113" s="17">
        <v>2028</v>
      </c>
      <c r="AS113" s="17">
        <v>2029</v>
      </c>
      <c r="AT113" s="17">
        <v>2030</v>
      </c>
      <c r="AU113" s="17">
        <v>2031</v>
      </c>
      <c r="AV113" s="17">
        <v>2032</v>
      </c>
      <c r="AW113" s="17">
        <v>2033</v>
      </c>
      <c r="AX113" s="17">
        <v>2034</v>
      </c>
      <c r="AY113" s="17">
        <v>2035</v>
      </c>
      <c r="AZ113" s="17">
        <v>2036</v>
      </c>
      <c r="BA113" s="17">
        <v>2037</v>
      </c>
      <c r="BB113" s="17">
        <v>2038</v>
      </c>
      <c r="BC113" s="17">
        <v>2039</v>
      </c>
      <c r="BD113" s="17">
        <v>2040</v>
      </c>
      <c r="BE113" s="17">
        <v>2041</v>
      </c>
      <c r="BF113" s="17">
        <v>2042</v>
      </c>
      <c r="BG113" s="17">
        <v>2043</v>
      </c>
      <c r="BH113" s="17">
        <v>2044</v>
      </c>
      <c r="BI113" s="17">
        <v>2045</v>
      </c>
      <c r="BJ113" s="17">
        <v>2046</v>
      </c>
      <c r="BK113" s="17">
        <v>2047</v>
      </c>
      <c r="BL113" s="17">
        <v>2048</v>
      </c>
      <c r="BM113" s="17">
        <v>2049</v>
      </c>
      <c r="BN113" s="17">
        <v>2050</v>
      </c>
      <c r="BO113" s="17"/>
      <c r="BP113" s="17"/>
      <c r="BQ113" s="17"/>
      <c r="BR113" s="17"/>
      <c r="BS113" s="17"/>
      <c r="BT113" s="17"/>
    </row>
    <row r="114" spans="1:72" x14ac:dyDescent="0.25">
      <c r="E114" t="s">
        <v>634</v>
      </c>
      <c r="F114" s="22">
        <v>1113.9523335609101</v>
      </c>
      <c r="G114" s="22">
        <v>1113.9523335609101</v>
      </c>
      <c r="H114" s="22">
        <v>1113.9523335609101</v>
      </c>
      <c r="I114" s="22">
        <v>1113.9523335609101</v>
      </c>
      <c r="J114" s="22">
        <v>1113.9523335609101</v>
      </c>
      <c r="K114" s="22">
        <v>1113.9523335609101</v>
      </c>
      <c r="L114" s="22">
        <v>1113.9523335609101</v>
      </c>
      <c r="M114" s="22">
        <v>1113.9523335609101</v>
      </c>
      <c r="N114" s="22">
        <v>1113.9523335609101</v>
      </c>
      <c r="O114" s="22">
        <v>1113.9523335609101</v>
      </c>
      <c r="P114" s="22">
        <v>1103.4776992955053</v>
      </c>
      <c r="Q114" s="22">
        <v>1282.5517441798665</v>
      </c>
      <c r="R114" s="22">
        <v>1288.9176046937982</v>
      </c>
      <c r="S114" s="22">
        <v>1011.4345809085878</v>
      </c>
      <c r="T114" s="22">
        <v>883.38003872679235</v>
      </c>
      <c r="U114" s="22">
        <v>1412.334298727088</v>
      </c>
      <c r="V114" s="22">
        <v>1236.8838978672777</v>
      </c>
      <c r="W114" s="22">
        <v>1218.5771221263838</v>
      </c>
      <c r="X114" s="22">
        <v>1139.8644942847</v>
      </c>
      <c r="Y114" s="22">
        <v>1078.8713756473658</v>
      </c>
      <c r="Z114" s="22">
        <v>1107.055106514</v>
      </c>
      <c r="AA114" s="22">
        <v>1093.3943713178221</v>
      </c>
      <c r="AB114" s="22">
        <v>1003.5637069444559</v>
      </c>
      <c r="AC114" s="22">
        <v>949.58031288518987</v>
      </c>
      <c r="AD114" s="22">
        <v>1016.956735075512</v>
      </c>
      <c r="AE114" s="22">
        <v>737.86776841461585</v>
      </c>
      <c r="AF114" s="22">
        <v>446.18919850209591</v>
      </c>
      <c r="AG114" s="22">
        <v>416.70692080806589</v>
      </c>
      <c r="AH114" s="22">
        <v>953.41633153144642</v>
      </c>
      <c r="AI114" s="22">
        <v>949.15511278249028</v>
      </c>
      <c r="AJ114" s="22">
        <v>936.84581085219077</v>
      </c>
      <c r="AK114" s="22">
        <v>923.04801254060374</v>
      </c>
      <c r="AL114" s="22">
        <v>923.83086633988489</v>
      </c>
      <c r="AM114" s="22">
        <v>927.35133953171032</v>
      </c>
      <c r="AN114" s="22">
        <v>905.10328771083891</v>
      </c>
      <c r="AO114" s="22">
        <v>888.09961309554592</v>
      </c>
      <c r="AP114" s="22">
        <v>872.75163677437502</v>
      </c>
      <c r="AQ114" s="22">
        <v>857.75800408852626</v>
      </c>
      <c r="AR114" s="22">
        <v>850.61092272546864</v>
      </c>
      <c r="AS114" s="22">
        <v>840.04010457174638</v>
      </c>
      <c r="AT114" s="22">
        <v>828.99691103493274</v>
      </c>
      <c r="AU114" s="22">
        <v>823.86011211605364</v>
      </c>
      <c r="AV114" s="22">
        <v>820.57662159257097</v>
      </c>
      <c r="AW114" s="22">
        <v>817.40761700308474</v>
      </c>
      <c r="AX114" s="22">
        <v>825.66666083675238</v>
      </c>
      <c r="AY114" s="22">
        <v>847.83925712437895</v>
      </c>
      <c r="AZ114" s="22">
        <v>872.92498755693396</v>
      </c>
      <c r="BA114" s="22">
        <v>868.57139706063037</v>
      </c>
      <c r="BB114" s="22">
        <v>864.20568430768526</v>
      </c>
      <c r="BC114" s="22">
        <v>860.27723737280223</v>
      </c>
      <c r="BD114" s="22">
        <v>856.87697424917883</v>
      </c>
      <c r="BE114" s="22">
        <v>853.2172938983382</v>
      </c>
      <c r="BF114" s="22">
        <v>849.16257657644303</v>
      </c>
      <c r="BG114" s="22">
        <v>846.10063420939923</v>
      </c>
      <c r="BH114" s="22">
        <v>843.78828540199515</v>
      </c>
      <c r="BI114" s="22">
        <v>842.18087202380002</v>
      </c>
      <c r="BJ114" s="22">
        <v>841.31426607401693</v>
      </c>
      <c r="BK114" s="22">
        <v>840.76910455168797</v>
      </c>
      <c r="BL114" s="22">
        <v>840.78400975380032</v>
      </c>
      <c r="BM114" s="22">
        <v>841.40450616562623</v>
      </c>
      <c r="BN114" s="22">
        <v>842.3577371508793</v>
      </c>
    </row>
    <row r="115" spans="1:72" x14ac:dyDescent="0.25">
      <c r="E115" t="s">
        <v>635</v>
      </c>
      <c r="F115" s="22">
        <v>1149.3522600947301</v>
      </c>
      <c r="G115" s="22">
        <v>1149.3522600947301</v>
      </c>
      <c r="H115" s="22">
        <v>1149.3522600947301</v>
      </c>
      <c r="I115" s="22">
        <v>1149.3522600947301</v>
      </c>
      <c r="J115" s="22">
        <v>1149.3522600947301</v>
      </c>
      <c r="K115" s="22">
        <v>1149.3522600947301</v>
      </c>
      <c r="L115" s="22">
        <v>1149.3522600947301</v>
      </c>
      <c r="M115" s="22">
        <v>1149.3522600947301</v>
      </c>
      <c r="N115" s="22">
        <v>1149.3522600947301</v>
      </c>
      <c r="O115" s="22">
        <v>1149.3522600947301</v>
      </c>
      <c r="P115" s="22">
        <v>1138.2881924240246</v>
      </c>
      <c r="Q115" s="22">
        <v>1347.8625366593228</v>
      </c>
      <c r="R115" s="22">
        <v>1328.3690110437451</v>
      </c>
      <c r="S115" s="22">
        <v>1017.5651134275211</v>
      </c>
      <c r="T115" s="22">
        <v>914.67644691903695</v>
      </c>
      <c r="U115" s="22">
        <v>1447.9112474339306</v>
      </c>
      <c r="V115" s="22">
        <v>1263.4019893034997</v>
      </c>
      <c r="W115" s="22">
        <v>1217.4357899565925</v>
      </c>
      <c r="X115" s="22">
        <v>1180.1818937292605</v>
      </c>
      <c r="Y115" s="22">
        <v>1108.1395844539597</v>
      </c>
      <c r="Z115" s="22">
        <v>1121.7567904983002</v>
      </c>
      <c r="AA115" s="22">
        <v>1111.0832034573957</v>
      </c>
      <c r="AB115" s="22">
        <v>1002.2217969563279</v>
      </c>
      <c r="AC115" s="22">
        <v>980.55948658247996</v>
      </c>
      <c r="AD115" s="22">
        <v>1029.1314860411758</v>
      </c>
      <c r="AE115" s="22">
        <v>747.9095108761079</v>
      </c>
      <c r="AF115" s="22">
        <v>434.96704823788798</v>
      </c>
      <c r="AG115" s="22">
        <v>408.31943255002801</v>
      </c>
      <c r="AH115" s="22">
        <v>989.03967398644897</v>
      </c>
      <c r="AI115" s="22">
        <v>983.28512705702065</v>
      </c>
      <c r="AJ115" s="22">
        <v>967.27577435076694</v>
      </c>
      <c r="AK115" s="22">
        <v>951.32589869564811</v>
      </c>
      <c r="AL115" s="22">
        <v>951.82222399409432</v>
      </c>
      <c r="AM115" s="22">
        <v>954.41954409596531</v>
      </c>
      <c r="AN115" s="22">
        <v>930.44926853734853</v>
      </c>
      <c r="AO115" s="22">
        <v>912.78960790996337</v>
      </c>
      <c r="AP115" s="22">
        <v>898.22919868546933</v>
      </c>
      <c r="AQ115" s="22">
        <v>882.09325874190063</v>
      </c>
      <c r="AR115" s="22">
        <v>873.40235457932522</v>
      </c>
      <c r="AS115" s="22">
        <v>862.31073006877352</v>
      </c>
      <c r="AT115" s="22">
        <v>850.85907023504603</v>
      </c>
      <c r="AU115" s="22">
        <v>845.85323510737715</v>
      </c>
      <c r="AV115" s="22">
        <v>841.5016547924979</v>
      </c>
      <c r="AW115" s="22">
        <v>837.08693229819619</v>
      </c>
      <c r="AX115" s="22">
        <v>844.96547356760379</v>
      </c>
      <c r="AY115" s="22">
        <v>868.20013695114835</v>
      </c>
      <c r="AZ115" s="22">
        <v>894.24675120583186</v>
      </c>
      <c r="BA115" s="22">
        <v>889.12106883561182</v>
      </c>
      <c r="BB115" s="22">
        <v>884.02389968930368</v>
      </c>
      <c r="BC115" s="22">
        <v>879.52937488119107</v>
      </c>
      <c r="BD115" s="22">
        <v>875.64808458729772</v>
      </c>
      <c r="BE115" s="22">
        <v>871.49158854939481</v>
      </c>
      <c r="BF115" s="22">
        <v>866.96291161788429</v>
      </c>
      <c r="BG115" s="22">
        <v>863.4900838991623</v>
      </c>
      <c r="BH115" s="22">
        <v>860.78270440740164</v>
      </c>
      <c r="BI115" s="22">
        <v>858.70396634124506</v>
      </c>
      <c r="BJ115" s="22">
        <v>857.40507988521222</v>
      </c>
      <c r="BK115" s="22">
        <v>856.48577373147191</v>
      </c>
      <c r="BL115" s="22">
        <v>856.13590414360988</v>
      </c>
      <c r="BM115" s="22">
        <v>856.39584520938138</v>
      </c>
      <c r="BN115" s="22">
        <v>856.95995783585226</v>
      </c>
    </row>
    <row r="116" spans="1:72" x14ac:dyDescent="0.25">
      <c r="E116" t="s">
        <v>113</v>
      </c>
      <c r="F116" s="22">
        <v>357.5</v>
      </c>
      <c r="G116" s="22">
        <v>378.125</v>
      </c>
      <c r="H116" s="22">
        <v>261.25</v>
      </c>
      <c r="I116" s="22">
        <v>412.5</v>
      </c>
      <c r="J116" s="22">
        <v>595.58170833333327</v>
      </c>
      <c r="K116" s="22">
        <v>473.34145833333332</v>
      </c>
      <c r="L116" s="22">
        <v>579.13625000000002</v>
      </c>
      <c r="M116" s="22">
        <v>547.24312499999996</v>
      </c>
      <c r="N116" s="22">
        <v>570.31379166666659</v>
      </c>
      <c r="O116" s="22">
        <v>567.03808333333325</v>
      </c>
      <c r="P116" s="22">
        <v>378.2405</v>
      </c>
      <c r="Q116" s="22">
        <v>489.66362500000002</v>
      </c>
      <c r="R116" s="22">
        <v>672.79437500000006</v>
      </c>
      <c r="S116" s="22">
        <v>580.13175000000001</v>
      </c>
      <c r="T116" s="22">
        <v>579.7403333333333</v>
      </c>
      <c r="U116" s="22">
        <v>266.03683333333333</v>
      </c>
      <c r="V116" s="22">
        <v>441.42908333333332</v>
      </c>
      <c r="W116" s="22">
        <v>521.42108333333329</v>
      </c>
      <c r="X116" s="22">
        <v>655.32637499999998</v>
      </c>
      <c r="Y116" s="22">
        <v>695.56775237855516</v>
      </c>
      <c r="Z116" s="22">
        <v>653.23730656422072</v>
      </c>
      <c r="AA116" s="22">
        <v>722.61220387104663</v>
      </c>
      <c r="AB116" s="22">
        <v>829.6141641239476</v>
      </c>
      <c r="AC116" s="22">
        <v>749.65665536353811</v>
      </c>
      <c r="AD116" s="22">
        <v>773.17356970483502</v>
      </c>
      <c r="AE116" s="22">
        <v>780.22864400722403</v>
      </c>
      <c r="AF116" s="22">
        <v>982.47410734237747</v>
      </c>
      <c r="AG116" s="22">
        <v>1218.2311736138793</v>
      </c>
      <c r="AH116" s="22">
        <v>811.87988683203434</v>
      </c>
      <c r="AI116" s="22">
        <v>828.16067939806783</v>
      </c>
      <c r="AJ116" s="22">
        <v>843.63256429682531</v>
      </c>
      <c r="AK116" s="22">
        <v>859.17385233712901</v>
      </c>
      <c r="AL116" s="22">
        <v>874.71514028200966</v>
      </c>
      <c r="AM116" s="22">
        <v>890.25642822689031</v>
      </c>
      <c r="AN116" s="22">
        <v>905.79771617177096</v>
      </c>
      <c r="AO116" s="22">
        <v>921.33900421207466</v>
      </c>
      <c r="AP116" s="22">
        <v>937.31140020964233</v>
      </c>
      <c r="AQ116" s="22">
        <v>953.28379620720989</v>
      </c>
      <c r="AR116" s="22">
        <v>969.25619220477756</v>
      </c>
      <c r="AS116" s="22">
        <v>985.22858820234535</v>
      </c>
      <c r="AT116" s="22">
        <v>1001.2009841999131</v>
      </c>
      <c r="AU116" s="22">
        <v>1016.9832349872023</v>
      </c>
      <c r="AV116" s="22">
        <v>1032.7654856790691</v>
      </c>
      <c r="AW116" s="22">
        <v>1048.5477364663586</v>
      </c>
      <c r="AX116" s="22">
        <v>1064.3299871582253</v>
      </c>
      <c r="AY116" s="22">
        <v>1080.1122378500922</v>
      </c>
      <c r="AZ116" s="22">
        <v>1096.1072036429516</v>
      </c>
      <c r="BA116" s="22">
        <v>1112.1021694358108</v>
      </c>
      <c r="BB116" s="22">
        <v>1128.0971351332469</v>
      </c>
      <c r="BC116" s="22">
        <v>1144.092100926106</v>
      </c>
      <c r="BD116" s="22">
        <v>1160.0870667189654</v>
      </c>
      <c r="BE116" s="22">
        <v>1176.8778874608386</v>
      </c>
      <c r="BF116" s="22">
        <v>1193.6687081072885</v>
      </c>
      <c r="BG116" s="22">
        <v>1210.4595288491616</v>
      </c>
      <c r="BH116" s="22">
        <v>1227.2503495910348</v>
      </c>
      <c r="BI116" s="22">
        <v>1244.0411703329078</v>
      </c>
      <c r="BJ116" s="22">
        <v>1260.6054327894071</v>
      </c>
      <c r="BK116" s="22">
        <v>1277.169695245907</v>
      </c>
      <c r="BL116" s="22">
        <v>1293.7339577978294</v>
      </c>
      <c r="BM116" s="22">
        <v>1310.2982202543287</v>
      </c>
      <c r="BN116" s="22">
        <v>1326.8624827108285</v>
      </c>
    </row>
    <row r="117" spans="1:72" x14ac:dyDescent="0.25">
      <c r="E117" t="s">
        <v>636</v>
      </c>
      <c r="F117" s="22">
        <v>90.994567483487728</v>
      </c>
      <c r="G117" s="22">
        <v>111.62690198838213</v>
      </c>
      <c r="H117" s="22">
        <v>132.25923649327655</v>
      </c>
      <c r="I117" s="22">
        <v>152.89157099816552</v>
      </c>
      <c r="J117" s="22">
        <v>173.52390550305992</v>
      </c>
      <c r="K117" s="22">
        <v>194.15624000795432</v>
      </c>
      <c r="L117" s="22">
        <v>214.78857451284878</v>
      </c>
      <c r="M117" s="22">
        <v>235.42090901774316</v>
      </c>
      <c r="N117" s="22">
        <v>256.05324352263762</v>
      </c>
      <c r="O117" s="22">
        <v>276.68557802753202</v>
      </c>
      <c r="P117" s="22">
        <v>297.31791253242642</v>
      </c>
      <c r="Q117" s="22">
        <v>317.95024703732088</v>
      </c>
      <c r="R117" s="22">
        <v>338.58258154220977</v>
      </c>
      <c r="S117" s="22">
        <v>359.21491604710423</v>
      </c>
      <c r="T117" s="22">
        <v>435.89846666666671</v>
      </c>
      <c r="U117" s="22">
        <v>355.08659999999998</v>
      </c>
      <c r="V117" s="22">
        <v>393.08573333333334</v>
      </c>
      <c r="W117" s="22">
        <v>484.55366666666663</v>
      </c>
      <c r="X117" s="22">
        <v>480.19253333333336</v>
      </c>
      <c r="Y117" s="22">
        <v>380.54426666666666</v>
      </c>
      <c r="Z117" s="22">
        <v>501.48046666666664</v>
      </c>
      <c r="AA117" s="22">
        <v>571.19113333333337</v>
      </c>
      <c r="AB117" s="22">
        <v>587.22106666666662</v>
      </c>
      <c r="AC117" s="22">
        <v>533.06336966666674</v>
      </c>
      <c r="AD117" s="22">
        <v>663.77159200000006</v>
      </c>
      <c r="AE117" s="22">
        <v>486.09938600666663</v>
      </c>
      <c r="AF117" s="22">
        <v>643.60119999999995</v>
      </c>
      <c r="AG117" s="22">
        <v>679.61446666666666</v>
      </c>
      <c r="AH117" s="22">
        <v>581.01044193354528</v>
      </c>
      <c r="AI117" s="22">
        <v>596.09913131599728</v>
      </c>
      <c r="AJ117" s="22">
        <v>610.43814242074211</v>
      </c>
      <c r="AK117" s="22">
        <v>624.84147486861002</v>
      </c>
      <c r="AL117" s="22">
        <v>639.24480722804208</v>
      </c>
      <c r="AM117" s="22">
        <v>653.64813958747379</v>
      </c>
      <c r="AN117" s="22">
        <v>668.05147194690596</v>
      </c>
      <c r="AO117" s="22">
        <v>682.45480439477376</v>
      </c>
      <c r="AP117" s="22">
        <v>697.25767845163148</v>
      </c>
      <c r="AQ117" s="22">
        <v>712.06055250848885</v>
      </c>
      <c r="AR117" s="22">
        <v>726.86342656534669</v>
      </c>
      <c r="AS117" s="22">
        <v>741.66630062220418</v>
      </c>
      <c r="AT117" s="22">
        <v>756.46917467906189</v>
      </c>
      <c r="AU117" s="22">
        <v>771.09582623300321</v>
      </c>
      <c r="AV117" s="22">
        <v>785.72247769850878</v>
      </c>
      <c r="AW117" s="22">
        <v>800.34912925244987</v>
      </c>
      <c r="AX117" s="22">
        <v>814.97578071795544</v>
      </c>
      <c r="AY117" s="22">
        <v>829.60243218346091</v>
      </c>
      <c r="AZ117" s="22">
        <v>844.42622344254914</v>
      </c>
      <c r="BA117" s="22">
        <v>859.2500147016375</v>
      </c>
      <c r="BB117" s="22">
        <v>874.07380587229011</v>
      </c>
      <c r="BC117" s="22">
        <v>888.89759713137823</v>
      </c>
      <c r="BD117" s="22">
        <v>903.72138839046647</v>
      </c>
      <c r="BE117" s="22">
        <v>919.28276094791306</v>
      </c>
      <c r="BF117" s="22">
        <v>934.8441334169238</v>
      </c>
      <c r="BG117" s="22">
        <v>950.40550597437027</v>
      </c>
      <c r="BH117" s="22">
        <v>965.96687853181686</v>
      </c>
      <c r="BI117" s="22">
        <v>981.52825108926322</v>
      </c>
      <c r="BJ117" s="22">
        <v>996.87965428673249</v>
      </c>
      <c r="BK117" s="22">
        <v>1012.231057484201</v>
      </c>
      <c r="BL117" s="22">
        <v>1027.5824607701059</v>
      </c>
      <c r="BM117" s="22">
        <v>1042.9338639675743</v>
      </c>
      <c r="BN117" s="22">
        <v>1058.2852671650435</v>
      </c>
    </row>
    <row r="118" spans="1:72" x14ac:dyDescent="0.25">
      <c r="E118" t="s">
        <v>637</v>
      </c>
      <c r="F118" s="22">
        <v>19504.904423790304</v>
      </c>
      <c r="G118" s="22">
        <v>20660.917389673377</v>
      </c>
      <c r="H118" s="22">
        <v>20413.635505827424</v>
      </c>
      <c r="I118" s="22">
        <v>20401.840953256564</v>
      </c>
      <c r="J118" s="22">
        <v>20005.189321068094</v>
      </c>
      <c r="K118" s="22">
        <v>19413.178172066404</v>
      </c>
      <c r="L118" s="22">
        <v>20236.165839433314</v>
      </c>
      <c r="M118" s="22">
        <v>20567.076909773743</v>
      </c>
      <c r="N118" s="22">
        <v>20477.475675482336</v>
      </c>
      <c r="O118" s="22">
        <v>20440.765105122711</v>
      </c>
      <c r="P118" s="22">
        <v>20694.986539568359</v>
      </c>
      <c r="Q118" s="22">
        <v>19970.885013290266</v>
      </c>
      <c r="R118" s="22">
        <v>20364.171552574975</v>
      </c>
      <c r="S118" s="22">
        <v>20058.54412967978</v>
      </c>
      <c r="T118" s="22">
        <v>19708.290781864089</v>
      </c>
      <c r="U118" s="22">
        <v>19400.216324542769</v>
      </c>
      <c r="V118" s="22">
        <v>19051.161605532838</v>
      </c>
      <c r="W118" s="22">
        <v>19933.38774514115</v>
      </c>
      <c r="X118" s="22">
        <v>20282.655015129261</v>
      </c>
      <c r="Y118" s="22">
        <v>20068.349414068991</v>
      </c>
      <c r="Z118" s="22">
        <v>19848.964864156231</v>
      </c>
      <c r="AA118" s="22">
        <v>19725.318772611696</v>
      </c>
      <c r="AB118" s="22">
        <v>20225.965895215482</v>
      </c>
      <c r="AC118" s="22">
        <v>20168.260387452727</v>
      </c>
      <c r="AD118" s="22">
        <v>20134.219305294246</v>
      </c>
      <c r="AE118" s="22">
        <v>19667.183224832243</v>
      </c>
      <c r="AF118" s="22">
        <v>18969.40439195502</v>
      </c>
      <c r="AG118" s="22">
        <v>19186.386775060691</v>
      </c>
      <c r="AH118" s="22">
        <v>19753.029018517012</v>
      </c>
      <c r="AI118" s="22">
        <v>19783.906857628604</v>
      </c>
      <c r="AJ118" s="22">
        <v>19779.701574173283</v>
      </c>
      <c r="AK118" s="22">
        <v>19778.904215576487</v>
      </c>
      <c r="AL118" s="22">
        <v>19777.995181996146</v>
      </c>
      <c r="AM118" s="22">
        <v>19776.984421077901</v>
      </c>
      <c r="AN118" s="22">
        <v>19775.880594293696</v>
      </c>
      <c r="AO118" s="22">
        <v>19774.691289095183</v>
      </c>
      <c r="AP118" s="22">
        <v>19775.119562820179</v>
      </c>
      <c r="AQ118" s="22">
        <v>19775.477408932729</v>
      </c>
      <c r="AR118" s="22">
        <v>19775.769943136052</v>
      </c>
      <c r="AS118" s="22">
        <v>19776.001736032402</v>
      </c>
      <c r="AT118" s="22">
        <v>19776.176888033733</v>
      </c>
      <c r="AU118" s="22">
        <v>19775.548399840234</v>
      </c>
      <c r="AV118" s="22">
        <v>19774.869408512444</v>
      </c>
      <c r="AW118" s="22">
        <v>19774.142986120893</v>
      </c>
      <c r="AX118" s="22">
        <v>19773.371926377677</v>
      </c>
      <c r="AY118" s="22">
        <v>19772.558779923431</v>
      </c>
      <c r="AZ118" s="22">
        <v>19772.548026839973</v>
      </c>
      <c r="BA118" s="22">
        <v>19772.500515214859</v>
      </c>
      <c r="BB118" s="22">
        <v>19772.418179134187</v>
      </c>
      <c r="BC118" s="22">
        <v>19772.302803273826</v>
      </c>
      <c r="BD118" s="22">
        <v>19772.156036103148</v>
      </c>
      <c r="BE118" s="22">
        <v>19775.137703889606</v>
      </c>
      <c r="BF118" s="22">
        <v>19778.093650274055</v>
      </c>
      <c r="BG118" s="22">
        <v>19781.025091887313</v>
      </c>
      <c r="BH118" s="22">
        <v>19783.933160775436</v>
      </c>
      <c r="BI118" s="22">
        <v>19786.818913472423</v>
      </c>
      <c r="BJ118" s="22">
        <v>19788.782445242443</v>
      </c>
      <c r="BK118" s="22">
        <v>19790.724893801369</v>
      </c>
      <c r="BL118" s="22">
        <v>19792.647148841716</v>
      </c>
      <c r="BM118" s="22">
        <v>19794.550044580425</v>
      </c>
      <c r="BN118" s="22">
        <v>19796.434366442383</v>
      </c>
    </row>
    <row r="119" spans="1:72" x14ac:dyDescent="0.25">
      <c r="E119" t="s">
        <v>639</v>
      </c>
      <c r="F119" s="22">
        <v>2388.0102035123605</v>
      </c>
      <c r="G119" s="22">
        <v>2422.3649563517615</v>
      </c>
      <c r="H119" s="22">
        <v>2366.0160295258652</v>
      </c>
      <c r="I119" s="22">
        <v>2332.024314033295</v>
      </c>
      <c r="J119" s="22">
        <v>2269.8856393890724</v>
      </c>
      <c r="K119" s="22">
        <v>2257.3551747657566</v>
      </c>
      <c r="L119" s="22">
        <v>2332.8794219128258</v>
      </c>
      <c r="M119" s="22">
        <v>2353.4608848045295</v>
      </c>
      <c r="N119" s="22">
        <v>2375.1086873788704</v>
      </c>
      <c r="O119" s="22">
        <v>2369.8122167060246</v>
      </c>
      <c r="P119" s="22">
        <v>2379.1334621159244</v>
      </c>
      <c r="Q119" s="22">
        <v>2332.4757077458062</v>
      </c>
      <c r="R119" s="22">
        <v>2352.5031586422174</v>
      </c>
      <c r="S119" s="22">
        <v>2317.0522227606916</v>
      </c>
      <c r="T119" s="22">
        <v>2291.1004488983099</v>
      </c>
      <c r="U119" s="22">
        <v>2260.716684821874</v>
      </c>
      <c r="V119" s="22">
        <v>2276.1004128580194</v>
      </c>
      <c r="W119" s="22">
        <v>2334.5451499588221</v>
      </c>
      <c r="X119" s="22">
        <v>2364.8401504898161</v>
      </c>
      <c r="Y119" s="22">
        <v>2357.3087175615215</v>
      </c>
      <c r="Z119" s="22">
        <v>2316.7336232801035</v>
      </c>
      <c r="AA119" s="22">
        <v>2313.3914976011652</v>
      </c>
      <c r="AB119" s="22">
        <v>2334.0985551108756</v>
      </c>
      <c r="AC119" s="22">
        <v>2348.8400209329502</v>
      </c>
      <c r="AD119" s="22">
        <v>2344.4692750460258</v>
      </c>
      <c r="AE119" s="22">
        <v>2299.7650755104332</v>
      </c>
      <c r="AF119" s="22">
        <v>2252.6390591444524</v>
      </c>
      <c r="AG119" s="22">
        <v>2235.452591217253</v>
      </c>
      <c r="AH119" s="22">
        <v>2318.6708655488487</v>
      </c>
      <c r="AI119" s="22">
        <v>2326.0988391477244</v>
      </c>
      <c r="AJ119" s="22">
        <v>2329.177625426456</v>
      </c>
      <c r="AK119" s="22">
        <v>2333.0242915983672</v>
      </c>
      <c r="AL119" s="22">
        <v>2336.8440320658519</v>
      </c>
      <c r="AM119" s="22">
        <v>2340.639256805041</v>
      </c>
      <c r="AN119" s="22">
        <v>2344.4120677609794</v>
      </c>
      <c r="AO119" s="22">
        <v>2348.1643090770926</v>
      </c>
      <c r="AP119" s="22">
        <v>2352.2228962152631</v>
      </c>
      <c r="AQ119" s="22">
        <v>2356.2646437004828</v>
      </c>
      <c r="AR119" s="22">
        <v>2360.2907919866634</v>
      </c>
      <c r="AS119" s="22">
        <v>2364.3024503005117</v>
      </c>
      <c r="AT119" s="22">
        <v>2368.3006144703381</v>
      </c>
      <c r="AU119" s="22">
        <v>2372.1420454436102</v>
      </c>
      <c r="AV119" s="22">
        <v>2375.9714551742882</v>
      </c>
      <c r="AW119" s="22">
        <v>2379.7895929910815</v>
      </c>
      <c r="AX119" s="22">
        <v>2383.5971404881425</v>
      </c>
      <c r="AY119" s="22">
        <v>2387.3947198876349</v>
      </c>
      <c r="AZ119" s="22">
        <v>2391.3447618385985</v>
      </c>
      <c r="BA119" s="22">
        <v>2395.2861478850841</v>
      </c>
      <c r="BB119" s="22">
        <v>2399.2193476668131</v>
      </c>
      <c r="BC119" s="22">
        <v>2403.1447942638629</v>
      </c>
      <c r="BD119" s="22">
        <v>2407.0628875054431</v>
      </c>
      <c r="BE119" s="22">
        <v>2411.5815060623418</v>
      </c>
      <c r="BF119" s="22">
        <v>2416.0941731688263</v>
      </c>
      <c r="BG119" s="22">
        <v>2420.6011787744819</v>
      </c>
      <c r="BH119" s="22">
        <v>2425.1027925074882</v>
      </c>
      <c r="BI119" s="22">
        <v>2429.5992657799802</v>
      </c>
      <c r="BJ119" s="22">
        <v>2433.9174402150056</v>
      </c>
      <c r="BK119" s="22">
        <v>2438.2307601014945</v>
      </c>
      <c r="BL119" s="22">
        <v>2442.5394374527291</v>
      </c>
      <c r="BM119" s="22">
        <v>2446.8436708840272</v>
      </c>
      <c r="BN119" s="22">
        <v>2451.1436471198567</v>
      </c>
    </row>
    <row r="120" spans="1:72" x14ac:dyDescent="0.25">
      <c r="E120" t="s">
        <v>638</v>
      </c>
      <c r="F120" s="22">
        <v>343.10330161578099</v>
      </c>
      <c r="G120" s="22">
        <v>365.58614133033353</v>
      </c>
      <c r="H120" s="22">
        <v>339.91114682728761</v>
      </c>
      <c r="I120" s="22">
        <v>352.62601984444137</v>
      </c>
      <c r="J120" s="22">
        <v>336.24824053022888</v>
      </c>
      <c r="K120" s="22">
        <v>354.90652971327108</v>
      </c>
      <c r="L120" s="22">
        <v>370.7282945162878</v>
      </c>
      <c r="M120" s="22">
        <v>367.33263044382841</v>
      </c>
      <c r="N120" s="22">
        <v>376.31467332854538</v>
      </c>
      <c r="O120" s="22">
        <v>380.26274683162796</v>
      </c>
      <c r="P120" s="22">
        <v>420.72277135231604</v>
      </c>
      <c r="Q120" s="22">
        <v>418.37207720994593</v>
      </c>
      <c r="R120" s="22">
        <v>406.12517665445523</v>
      </c>
      <c r="S120" s="22">
        <v>385.62180744131297</v>
      </c>
      <c r="T120" s="22">
        <v>383.11027791084422</v>
      </c>
      <c r="U120" s="22">
        <v>402.62502084090437</v>
      </c>
      <c r="V120" s="22">
        <v>407.68948429226828</v>
      </c>
      <c r="W120" s="22">
        <v>415.77221135959962</v>
      </c>
      <c r="X120" s="22">
        <v>450.38785912632164</v>
      </c>
      <c r="Y120" s="22">
        <v>447.90280780802436</v>
      </c>
      <c r="Z120" s="22">
        <v>450.47531382738657</v>
      </c>
      <c r="AA120" s="22">
        <v>455.70252815125627</v>
      </c>
      <c r="AB120" s="22">
        <v>454.2990120208886</v>
      </c>
      <c r="AC120" s="22">
        <v>467.1027930484243</v>
      </c>
      <c r="AD120" s="22">
        <v>463.97224881283108</v>
      </c>
      <c r="AE120" s="22">
        <v>471.70799949786652</v>
      </c>
      <c r="AF120" s="22">
        <v>471.14622162385422</v>
      </c>
      <c r="AG120" s="22">
        <v>483.13167606001025</v>
      </c>
      <c r="AH120" s="22">
        <v>468.97422378872818</v>
      </c>
      <c r="AI120" s="22">
        <v>475.2249218374152</v>
      </c>
      <c r="AJ120" s="22">
        <v>478.65003949368145</v>
      </c>
      <c r="AK120" s="22">
        <v>483.65498664992003</v>
      </c>
      <c r="AL120" s="22">
        <v>488.60759728253828</v>
      </c>
      <c r="AM120" s="22">
        <v>493.5128571299885</v>
      </c>
      <c r="AN120" s="22">
        <v>498.37510389742414</v>
      </c>
      <c r="AO120" s="22">
        <v>503.19813309399137</v>
      </c>
      <c r="AP120" s="22">
        <v>508.15424956126054</v>
      </c>
      <c r="AQ120" s="22">
        <v>513.07909238907621</v>
      </c>
      <c r="AR120" s="22">
        <v>517.97517053522256</v>
      </c>
      <c r="AS120" s="22">
        <v>522.84471928557002</v>
      </c>
      <c r="AT120" s="22">
        <v>527.6897377871494</v>
      </c>
      <c r="AU120" s="22">
        <v>532.43584846049509</v>
      </c>
      <c r="AV120" s="22">
        <v>537.16025527304782</v>
      </c>
      <c r="AW120" s="22">
        <v>541.86445238147269</v>
      </c>
      <c r="AX120" s="22">
        <v>546.54979385461331</v>
      </c>
      <c r="AY120" s="22">
        <v>551.21751045982899</v>
      </c>
      <c r="AZ120" s="22">
        <v>555.95546154582189</v>
      </c>
      <c r="BA120" s="22">
        <v>560.67847366596118</v>
      </c>
      <c r="BB120" s="22">
        <v>565.38745674669474</v>
      </c>
      <c r="BC120" s="22">
        <v>570.0832456614994</v>
      </c>
      <c r="BD120" s="22">
        <v>574.76660781803753</v>
      </c>
      <c r="BE120" s="22">
        <v>579.76740432819008</v>
      </c>
      <c r="BF120" s="22">
        <v>584.75875710576554</v>
      </c>
      <c r="BG120" s="22">
        <v>589.74119153472066</v>
      </c>
      <c r="BH120" s="22">
        <v>594.71519356554461</v>
      </c>
      <c r="BI120" s="22">
        <v>599.68121356374206</v>
      </c>
      <c r="BJ120" s="22">
        <v>604.54493484405009</v>
      </c>
      <c r="BK120" s="22">
        <v>609.40109743030723</v>
      </c>
      <c r="BL120" s="22">
        <v>614.25008012470573</v>
      </c>
      <c r="BM120" s="22">
        <v>619.09223605574277</v>
      </c>
      <c r="BN120" s="22">
        <v>623.92789508309704</v>
      </c>
    </row>
    <row r="121" spans="1:72" x14ac:dyDescent="0.25">
      <c r="E121" t="s">
        <v>740</v>
      </c>
      <c r="F121">
        <v>1114.2730572677472</v>
      </c>
      <c r="G121">
        <v>1114.2730572677472</v>
      </c>
      <c r="H121">
        <v>1114.2730572677472</v>
      </c>
      <c r="I121">
        <v>1114.2730572677472</v>
      </c>
      <c r="J121">
        <v>1114.2730572677472</v>
      </c>
      <c r="K121">
        <v>1114.2730572677472</v>
      </c>
      <c r="L121">
        <v>1114.2730572677472</v>
      </c>
      <c r="M121">
        <v>1114.2730572677472</v>
      </c>
      <c r="N121">
        <v>1114.2730572677472</v>
      </c>
      <c r="O121">
        <v>1114.2730572677472</v>
      </c>
      <c r="P121">
        <v>1103.7473247333526</v>
      </c>
      <c r="Q121">
        <v>1295.1615779672622</v>
      </c>
      <c r="R121">
        <v>1300.4179901779976</v>
      </c>
      <c r="S121">
        <v>1021.2239026078485</v>
      </c>
      <c r="T121">
        <v>890.95637702591955</v>
      </c>
      <c r="U121">
        <v>1429.3697355873492</v>
      </c>
      <c r="V121">
        <v>1251.7694565972624</v>
      </c>
      <c r="W121">
        <v>1234.9730242836924</v>
      </c>
      <c r="X121">
        <v>1150.1284038185643</v>
      </c>
      <c r="Y121">
        <v>1091.261696265384</v>
      </c>
      <c r="Z121">
        <v>1116.957250242162</v>
      </c>
      <c r="AA121">
        <v>1100.5811063069254</v>
      </c>
      <c r="AB121">
        <v>1010.9312887182766</v>
      </c>
      <c r="AC121">
        <v>956.65662263461502</v>
      </c>
      <c r="AD121">
        <v>1024.1532025090505</v>
      </c>
      <c r="AE121">
        <v>742.78507159014475</v>
      </c>
      <c r="AF121">
        <v>448.47103409650083</v>
      </c>
      <c r="AG121">
        <v>418.78097085765791</v>
      </c>
    </row>
    <row r="122" spans="1:72" x14ac:dyDescent="0.25">
      <c r="E122" t="s">
        <v>741</v>
      </c>
      <c r="F122">
        <v>1149.6141682079121</v>
      </c>
      <c r="G122">
        <v>1149.6141682079121</v>
      </c>
      <c r="H122">
        <v>1149.6141682079121</v>
      </c>
      <c r="I122">
        <v>1149.6141682079121</v>
      </c>
      <c r="J122">
        <v>1149.6141682079121</v>
      </c>
      <c r="K122">
        <v>1149.6141682079121</v>
      </c>
      <c r="L122">
        <v>1149.6141682079121</v>
      </c>
      <c r="M122">
        <v>1149.6141682079121</v>
      </c>
      <c r="N122">
        <v>1149.6141682079121</v>
      </c>
      <c r="O122">
        <v>1149.6141682079121</v>
      </c>
      <c r="P122">
        <v>1138.5083728727629</v>
      </c>
      <c r="Q122">
        <v>1348.0477860975932</v>
      </c>
      <c r="R122">
        <v>1328.8199324792706</v>
      </c>
      <c r="S122">
        <v>1017.846389296701</v>
      </c>
      <c r="T122">
        <v>914.84836029323264</v>
      </c>
      <c r="U122">
        <v>1448.2029822975244</v>
      </c>
      <c r="V122">
        <v>1263.6284316097351</v>
      </c>
      <c r="W122">
        <v>1217.6306521923173</v>
      </c>
      <c r="X122">
        <v>1180.4178811371937</v>
      </c>
      <c r="Y122">
        <v>1108.455283615433</v>
      </c>
      <c r="Z122">
        <v>1122.512590663056</v>
      </c>
      <c r="AA122">
        <v>1111.8425729905728</v>
      </c>
      <c r="AB122">
        <v>1003.2623700366383</v>
      </c>
      <c r="AC122">
        <v>980.98785105992999</v>
      </c>
      <c r="AD122">
        <v>1029.413853897383</v>
      </c>
      <c r="AE122">
        <v>748.29527463252236</v>
      </c>
      <c r="AF122">
        <v>435.50232253439043</v>
      </c>
      <c r="AG122">
        <v>408.72643283393637</v>
      </c>
    </row>
    <row r="123" spans="1:72" x14ac:dyDescent="0.25">
      <c r="E123" t="s">
        <v>742</v>
      </c>
      <c r="F123">
        <v>363.73333333333335</v>
      </c>
      <c r="G123">
        <v>386.1</v>
      </c>
      <c r="H123">
        <v>266.2</v>
      </c>
      <c r="I123">
        <v>413.6</v>
      </c>
      <c r="J123">
        <v>603.75919999999996</v>
      </c>
      <c r="K123">
        <v>481.52980333333335</v>
      </c>
      <c r="L123">
        <v>588.48859666666669</v>
      </c>
      <c r="M123">
        <v>556.65125999999998</v>
      </c>
      <c r="N123">
        <v>581.37815999999998</v>
      </c>
      <c r="O123">
        <v>577.08170666666672</v>
      </c>
      <c r="P123">
        <v>384.05253333333332</v>
      </c>
      <c r="Q123">
        <v>497.15031666666664</v>
      </c>
      <c r="R123">
        <v>683.69223999999997</v>
      </c>
      <c r="S123">
        <v>585.99346666666668</v>
      </c>
      <c r="T123">
        <v>585.5420633333332</v>
      </c>
      <c r="U123">
        <v>267.37941999999998</v>
      </c>
      <c r="V123">
        <v>445.96068000000002</v>
      </c>
      <c r="W123">
        <v>524.87031666666667</v>
      </c>
      <c r="X123">
        <v>658.9218166666667</v>
      </c>
      <c r="Y123">
        <v>701.39039489690549</v>
      </c>
      <c r="Z123">
        <v>659.21936851962221</v>
      </c>
      <c r="AA123">
        <v>728.33299508239213</v>
      </c>
      <c r="AB123">
        <v>834.93197842496943</v>
      </c>
      <c r="AC123">
        <v>755.27559526787866</v>
      </c>
      <c r="AD123">
        <v>778.70394325525831</v>
      </c>
      <c r="AE123">
        <v>785.73244765147194</v>
      </c>
      <c r="AF123">
        <v>987.21624034293666</v>
      </c>
      <c r="AG123">
        <v>1222.085428916417</v>
      </c>
    </row>
    <row r="124" spans="1:72" x14ac:dyDescent="0.25">
      <c r="E124" t="s">
        <v>743</v>
      </c>
      <c r="F124">
        <v>90.994567483487728</v>
      </c>
      <c r="G124">
        <v>111.62690198838213</v>
      </c>
      <c r="H124">
        <v>132.25923649327655</v>
      </c>
      <c r="I124">
        <v>152.89157099816552</v>
      </c>
      <c r="J124">
        <v>173.52390550305992</v>
      </c>
      <c r="K124">
        <v>194.15624000795432</v>
      </c>
      <c r="L124">
        <v>214.78857451284878</v>
      </c>
      <c r="M124">
        <v>235.42090901774316</v>
      </c>
      <c r="N124">
        <v>256.05324352263756</v>
      </c>
      <c r="O124">
        <v>276.68557802753202</v>
      </c>
      <c r="P124">
        <v>297.31791253242642</v>
      </c>
      <c r="Q124">
        <v>317.95024703732088</v>
      </c>
      <c r="R124">
        <v>338.58258154220977</v>
      </c>
      <c r="S124">
        <v>359.21491604710423</v>
      </c>
      <c r="T124">
        <v>435.89846666666665</v>
      </c>
      <c r="U124">
        <v>355.08659999999998</v>
      </c>
      <c r="V124">
        <v>393.08573333333334</v>
      </c>
      <c r="W124">
        <v>484.55366666666663</v>
      </c>
      <c r="X124">
        <v>480.1925333333333</v>
      </c>
      <c r="Y124">
        <v>380.54426666666666</v>
      </c>
      <c r="Z124">
        <v>501.48046666666664</v>
      </c>
      <c r="AA124">
        <v>571.19113333333325</v>
      </c>
      <c r="AB124">
        <v>587.22106666666662</v>
      </c>
      <c r="AC124">
        <v>533.06336966666674</v>
      </c>
      <c r="AD124">
        <v>663.77159200000006</v>
      </c>
      <c r="AE124">
        <v>486.09938600666663</v>
      </c>
      <c r="AF124">
        <v>643.60119999999995</v>
      </c>
      <c r="AG124">
        <v>679.61446666666666</v>
      </c>
    </row>
    <row r="125" spans="1:72" x14ac:dyDescent="0.25">
      <c r="E125" t="s">
        <v>744</v>
      </c>
      <c r="F125">
        <v>18467.2344176074</v>
      </c>
      <c r="G125">
        <v>19894.379979012047</v>
      </c>
      <c r="H125">
        <v>19508.057170250366</v>
      </c>
      <c r="I125">
        <v>19296.286149483876</v>
      </c>
      <c r="J125">
        <v>18829.799299341739</v>
      </c>
      <c r="K125">
        <v>18816.693751205934</v>
      </c>
      <c r="L125">
        <v>19386.372113208152</v>
      </c>
      <c r="M125">
        <v>19675.368284891847</v>
      </c>
      <c r="N125">
        <v>19967.155293555603</v>
      </c>
      <c r="O125">
        <v>20038.391547786159</v>
      </c>
      <c r="P125">
        <v>20072.524975980316</v>
      </c>
      <c r="Q125">
        <v>19701.088061992123</v>
      </c>
      <c r="R125">
        <v>20023.216099759749</v>
      </c>
      <c r="S125">
        <v>19072.340993484708</v>
      </c>
      <c r="T125">
        <v>18849.389549512067</v>
      </c>
      <c r="U125">
        <v>18446.259485586925</v>
      </c>
      <c r="V125">
        <v>18589.571736189206</v>
      </c>
      <c r="W125">
        <v>18224.734436942501</v>
      </c>
      <c r="X125">
        <v>19088.198147813157</v>
      </c>
      <c r="Y125">
        <v>18553.028011451712</v>
      </c>
      <c r="Z125">
        <v>18939.805460502525</v>
      </c>
      <c r="AA125">
        <v>18994.993526805851</v>
      </c>
      <c r="AB125">
        <v>18278.302953548075</v>
      </c>
      <c r="AC125">
        <v>19582.342769355033</v>
      </c>
      <c r="AD125">
        <v>19570.475186144038</v>
      </c>
      <c r="AE125">
        <v>19327.673861761683</v>
      </c>
      <c r="AF125">
        <v>18029.075027657447</v>
      </c>
      <c r="AG125">
        <v>18081.049004423898</v>
      </c>
    </row>
    <row r="126" spans="1:72" x14ac:dyDescent="0.25">
      <c r="E126" t="s">
        <v>745</v>
      </c>
      <c r="F126">
        <v>2447.8863951470803</v>
      </c>
      <c r="G126">
        <v>2496.9018451868697</v>
      </c>
      <c r="H126">
        <v>2435.3630625952328</v>
      </c>
      <c r="I126">
        <v>2396.995208451192</v>
      </c>
      <c r="J126">
        <v>2325.2582722477832</v>
      </c>
      <c r="K126">
        <v>2349.1668279124592</v>
      </c>
      <c r="L126">
        <v>2406.4403578126485</v>
      </c>
      <c r="M126">
        <v>2433.097951693017</v>
      </c>
      <c r="N126">
        <v>2471.2628832175142</v>
      </c>
      <c r="O126">
        <v>2472.2132034057472</v>
      </c>
      <c r="P126">
        <v>2480.4922407158388</v>
      </c>
      <c r="Q126">
        <v>2454.0922943343203</v>
      </c>
      <c r="R126">
        <v>2476.3439129367157</v>
      </c>
      <c r="S126">
        <v>2359.3324950161041</v>
      </c>
      <c r="T126">
        <v>2347.4845744803165</v>
      </c>
      <c r="U126">
        <v>2284.6952992295182</v>
      </c>
      <c r="V126">
        <v>2357.5665947783837</v>
      </c>
      <c r="W126">
        <v>2297.5662221729922</v>
      </c>
      <c r="X126">
        <v>2380.9463845396517</v>
      </c>
      <c r="Y126">
        <v>2329.35287655092</v>
      </c>
      <c r="Z126">
        <v>2369.3465541862302</v>
      </c>
      <c r="AA126">
        <v>2370.4305491547971</v>
      </c>
      <c r="AB126">
        <v>2269.153208313021</v>
      </c>
      <c r="AC126">
        <v>2431.7524623901409</v>
      </c>
      <c r="AD126">
        <v>2430.5768400701409</v>
      </c>
      <c r="AE126">
        <v>2407.0023766672321</v>
      </c>
      <c r="AF126">
        <v>2265.174978621726</v>
      </c>
      <c r="AG126">
        <v>2253.2585636522972</v>
      </c>
    </row>
    <row r="127" spans="1:72" x14ac:dyDescent="0.25">
      <c r="E127" t="s">
        <v>746</v>
      </c>
      <c r="F127">
        <v>332.77730613860399</v>
      </c>
      <c r="G127">
        <v>353.03457691007083</v>
      </c>
      <c r="H127">
        <v>329.75336223257443</v>
      </c>
      <c r="I127">
        <v>341.70939722274608</v>
      </c>
      <c r="J127">
        <v>326.52853902593881</v>
      </c>
      <c r="K127">
        <v>344.58323593662567</v>
      </c>
      <c r="L127">
        <v>360.27670046049241</v>
      </c>
      <c r="M127">
        <v>357.64284080532752</v>
      </c>
      <c r="N127">
        <v>367.73848791261435</v>
      </c>
      <c r="O127">
        <v>372.0452384281258</v>
      </c>
      <c r="P127">
        <v>408.94308689508148</v>
      </c>
      <c r="Q127">
        <v>406.68937516322404</v>
      </c>
      <c r="R127">
        <v>397.06973777083419</v>
      </c>
      <c r="S127">
        <v>376.09010924780205</v>
      </c>
      <c r="T127">
        <v>374.09743931517124</v>
      </c>
      <c r="U127">
        <v>392.69820864834276</v>
      </c>
      <c r="V127">
        <v>398.35557315486267</v>
      </c>
      <c r="W127">
        <v>404.14478384272525</v>
      </c>
      <c r="X127">
        <v>438.4751035531649</v>
      </c>
      <c r="Y127">
        <v>433.26067452840772</v>
      </c>
      <c r="Z127">
        <v>438.54251424027257</v>
      </c>
      <c r="AA127">
        <v>444.74604882624305</v>
      </c>
      <c r="AB127">
        <v>440.60780254144959</v>
      </c>
      <c r="AC127">
        <v>456.58226294187887</v>
      </c>
      <c r="AD127">
        <v>454.87268271519412</v>
      </c>
      <c r="AE127">
        <v>463.54275866618883</v>
      </c>
      <c r="AF127">
        <v>458.22071963845576</v>
      </c>
      <c r="AG127">
        <v>469.34598780544559</v>
      </c>
    </row>
  </sheetData>
  <pageMargins left="0.7" right="0.7" top="0.75" bottom="0.75" header="0.3" footer="0.3"/>
  <pageSetup paperSize="9" orientation="portrait" r:id="rId1"/>
  <drawing r:id="rId2"/>
  <extLst>
    <ext xmlns:x14="http://schemas.microsoft.com/office/spreadsheetml/2009/9/main" uri="{05C60535-1F16-4fd2-B633-F4F36F0B64E0}">
      <x14:sparklineGroups xmlns:xm="http://schemas.microsoft.com/office/excel/2006/main">
        <x14:sparklineGroup displayEmptyCellsAs="gap" xr2:uid="{00000000-0003-0000-1100-000006000000}">
          <x14:colorSeries rgb="FF376092"/>
          <x14:colorNegative rgb="FFD00000"/>
          <x14:colorAxis rgb="FF000000"/>
          <x14:colorMarkers rgb="FFD00000"/>
          <x14:colorFirst rgb="FFD00000"/>
          <x14:colorLast rgb="FFD00000"/>
          <x14:colorHigh rgb="FFD00000"/>
          <x14:colorLow rgb="FFD00000"/>
          <x14:sparklines>
            <x14:sparkline>
              <xm:f>'Emissions summary'!F5:AG5</xm:f>
              <xm:sqref>BP5</xm:sqref>
            </x14:sparkline>
          </x14:sparklines>
        </x14:sparklineGroup>
      </x14:sparklineGroup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54B1C9-29C9-4DDE-93E9-B52E228E0229}">
  <sheetPr>
    <tabColor rgb="FFFF0066"/>
  </sheetPr>
  <dimension ref="A1:H92"/>
  <sheetViews>
    <sheetView workbookViewId="0">
      <selection activeCell="C5" sqref="C5"/>
    </sheetView>
  </sheetViews>
  <sheetFormatPr defaultRowHeight="15" x14ac:dyDescent="0.25"/>
  <cols>
    <col min="1" max="1" width="12.28515625" style="97" customWidth="1"/>
    <col min="2" max="2" width="53.85546875" customWidth="1"/>
    <col min="3" max="3" width="12.42578125" customWidth="1"/>
    <col min="4" max="4" width="14" customWidth="1"/>
    <col min="5" max="5" width="12.5703125" customWidth="1"/>
    <col min="6" max="6" width="15.140625" customWidth="1"/>
    <col min="7" max="7" width="12.85546875" customWidth="1"/>
    <col min="8" max="8" width="12" customWidth="1"/>
    <col min="9" max="26" width="12" bestFit="1" customWidth="1"/>
    <col min="27" max="27" width="10" bestFit="1" customWidth="1"/>
    <col min="28" max="31" width="12" bestFit="1" customWidth="1"/>
    <col min="32" max="32" width="10" bestFit="1" customWidth="1"/>
    <col min="33" max="36" width="12" bestFit="1" customWidth="1"/>
  </cols>
  <sheetData>
    <row r="1" spans="1:8" ht="18.75" x14ac:dyDescent="0.3">
      <c r="B1" s="1" t="s">
        <v>941</v>
      </c>
      <c r="C1" s="97">
        <f>DriversCGE!E87</f>
        <v>4</v>
      </c>
    </row>
    <row r="2" spans="1:8" x14ac:dyDescent="0.25">
      <c r="B2" s="94"/>
    </row>
    <row r="3" spans="1:8" s="106" customFormat="1" ht="21.75" customHeight="1" x14ac:dyDescent="0.25">
      <c r="A3" s="105"/>
      <c r="B3" s="105" t="s">
        <v>1003</v>
      </c>
      <c r="C3" s="105"/>
      <c r="D3" s="105"/>
      <c r="E3" s="105"/>
      <c r="F3" s="105"/>
      <c r="G3" s="105"/>
      <c r="H3" s="105"/>
    </row>
    <row r="4" spans="1:8" s="50" customFormat="1" x14ac:dyDescent="0.25">
      <c r="A4" s="98" t="s">
        <v>1405</v>
      </c>
      <c r="B4" s="42" t="s">
        <v>1385</v>
      </c>
      <c r="C4" s="42"/>
    </row>
    <row r="5" spans="1:8" x14ac:dyDescent="0.25">
      <c r="A5" s="97">
        <v>1</v>
      </c>
      <c r="B5" s="23" t="s">
        <v>1004</v>
      </c>
      <c r="C5" s="114" t="str">
        <f>IF($C$1-2&gt;A5,"On","Off")</f>
        <v>On</v>
      </c>
      <c r="F5" t="s">
        <v>1386</v>
      </c>
    </row>
    <row r="6" spans="1:8" x14ac:dyDescent="0.25">
      <c r="A6" s="97">
        <v>1</v>
      </c>
      <c r="B6" s="23" t="s">
        <v>946</v>
      </c>
      <c r="C6" s="114" t="str">
        <f t="shared" ref="C6:C14" si="0">IF($C$1-2&gt;A6,"On","Off")</f>
        <v>On</v>
      </c>
    </row>
    <row r="7" spans="1:8" x14ac:dyDescent="0.25">
      <c r="A7" s="97">
        <v>1</v>
      </c>
      <c r="B7" s="23" t="s">
        <v>1338</v>
      </c>
      <c r="C7" s="114" t="str">
        <f t="shared" si="0"/>
        <v>On</v>
      </c>
    </row>
    <row r="8" spans="1:8" x14ac:dyDescent="0.25">
      <c r="A8" s="97">
        <v>1</v>
      </c>
      <c r="B8" s="23" t="s">
        <v>988</v>
      </c>
      <c r="C8" s="114" t="str">
        <f t="shared" si="0"/>
        <v>On</v>
      </c>
    </row>
    <row r="9" spans="1:8" x14ac:dyDescent="0.25">
      <c r="A9" s="97">
        <v>1</v>
      </c>
      <c r="B9" s="23" t="s">
        <v>989</v>
      </c>
      <c r="C9" s="114" t="str">
        <f t="shared" si="0"/>
        <v>On</v>
      </c>
    </row>
    <row r="10" spans="1:8" x14ac:dyDescent="0.25">
      <c r="A10" s="97">
        <v>1</v>
      </c>
      <c r="B10" s="23" t="s">
        <v>992</v>
      </c>
      <c r="C10" s="114" t="str">
        <f t="shared" si="0"/>
        <v>On</v>
      </c>
    </row>
    <row r="11" spans="1:8" x14ac:dyDescent="0.25">
      <c r="A11" s="97">
        <v>1</v>
      </c>
      <c r="B11" s="112" t="s">
        <v>990</v>
      </c>
      <c r="C11" s="114" t="str">
        <f t="shared" si="0"/>
        <v>On</v>
      </c>
      <c r="F11" t="s">
        <v>1387</v>
      </c>
    </row>
    <row r="12" spans="1:8" ht="64.5" customHeight="1" x14ac:dyDescent="0.25">
      <c r="A12" s="97">
        <v>2</v>
      </c>
      <c r="B12" s="23" t="s">
        <v>994</v>
      </c>
      <c r="C12" s="114" t="str">
        <f t="shared" si="0"/>
        <v>Off</v>
      </c>
      <c r="D12" s="144" t="s">
        <v>1383</v>
      </c>
      <c r="E12" s="145"/>
    </row>
    <row r="13" spans="1:8" x14ac:dyDescent="0.25">
      <c r="A13" s="97">
        <v>2</v>
      </c>
      <c r="B13" s="112" t="s">
        <v>995</v>
      </c>
      <c r="C13" s="114" t="str">
        <f t="shared" si="0"/>
        <v>Off</v>
      </c>
      <c r="F13" t="s">
        <v>1388</v>
      </c>
    </row>
    <row r="14" spans="1:8" x14ac:dyDescent="0.25">
      <c r="A14" s="97">
        <v>2</v>
      </c>
      <c r="B14" s="23" t="s">
        <v>1384</v>
      </c>
      <c r="C14" s="114" t="str">
        <f t="shared" si="0"/>
        <v>Off</v>
      </c>
    </row>
    <row r="15" spans="1:8" x14ac:dyDescent="0.25">
      <c r="B15" s="94"/>
    </row>
    <row r="16" spans="1:8" s="106" customFormat="1" ht="29.25" customHeight="1" x14ac:dyDescent="0.25">
      <c r="A16" s="105"/>
      <c r="B16" s="105" t="s">
        <v>1375</v>
      </c>
      <c r="C16" s="105">
        <v>2020</v>
      </c>
      <c r="D16" s="105">
        <v>2030</v>
      </c>
      <c r="E16" s="105">
        <v>2040</v>
      </c>
      <c r="F16" s="105">
        <v>2050</v>
      </c>
    </row>
    <row r="17" spans="1:8" s="116" customFormat="1" x14ac:dyDescent="0.25">
      <c r="A17" s="115"/>
      <c r="B17" s="116" t="s">
        <v>1004</v>
      </c>
      <c r="H17" s="117"/>
    </row>
    <row r="18" spans="1:8" x14ac:dyDescent="0.25">
      <c r="A18" s="97" t="s">
        <v>948</v>
      </c>
      <c r="B18" t="s">
        <v>949</v>
      </c>
      <c r="C18">
        <v>3</v>
      </c>
      <c r="D18">
        <v>4</v>
      </c>
      <c r="E18">
        <v>4</v>
      </c>
      <c r="F18">
        <v>4</v>
      </c>
      <c r="H18" s="99"/>
    </row>
    <row r="19" spans="1:8" x14ac:dyDescent="0.25">
      <c r="A19" s="97" t="s">
        <v>948</v>
      </c>
      <c r="B19" t="s">
        <v>951</v>
      </c>
      <c r="C19">
        <v>2</v>
      </c>
      <c r="D19">
        <v>4</v>
      </c>
      <c r="E19">
        <v>4</v>
      </c>
      <c r="F19">
        <v>4</v>
      </c>
      <c r="H19" s="99"/>
    </row>
    <row r="20" spans="1:8" x14ac:dyDescent="0.25">
      <c r="A20" s="97" t="s">
        <v>948</v>
      </c>
      <c r="B20" t="s">
        <v>950</v>
      </c>
      <c r="C20">
        <v>3</v>
      </c>
      <c r="D20">
        <v>4</v>
      </c>
      <c r="E20">
        <v>4</v>
      </c>
      <c r="F20">
        <v>4</v>
      </c>
      <c r="H20" s="99"/>
    </row>
    <row r="21" spans="1:8" x14ac:dyDescent="0.25">
      <c r="A21" s="97" t="s">
        <v>948</v>
      </c>
      <c r="B21" t="s">
        <v>1014</v>
      </c>
      <c r="C21">
        <v>0</v>
      </c>
      <c r="D21">
        <v>80</v>
      </c>
      <c r="E21">
        <v>100</v>
      </c>
      <c r="F21">
        <v>100</v>
      </c>
      <c r="H21" s="99"/>
    </row>
    <row r="22" spans="1:8" x14ac:dyDescent="0.25">
      <c r="A22" s="97" t="s">
        <v>948</v>
      </c>
      <c r="B22" t="s">
        <v>1016</v>
      </c>
      <c r="C22">
        <v>0</v>
      </c>
      <c r="D22">
        <v>50</v>
      </c>
      <c r="E22">
        <v>80</v>
      </c>
      <c r="F22">
        <v>100</v>
      </c>
      <c r="H22" s="99"/>
    </row>
    <row r="23" spans="1:8" x14ac:dyDescent="0.25">
      <c r="A23" s="97" t="s">
        <v>948</v>
      </c>
      <c r="B23" t="s">
        <v>1015</v>
      </c>
      <c r="C23">
        <v>0</v>
      </c>
      <c r="D23">
        <v>80</v>
      </c>
      <c r="E23">
        <v>100</v>
      </c>
      <c r="F23">
        <v>100</v>
      </c>
      <c r="H23" s="99"/>
    </row>
    <row r="25" spans="1:8" s="116" customFormat="1" x14ac:dyDescent="0.25">
      <c r="A25" s="115"/>
      <c r="B25" s="116" t="s">
        <v>946</v>
      </c>
      <c r="H25" s="117"/>
    </row>
    <row r="26" spans="1:8" x14ac:dyDescent="0.25">
      <c r="A26" s="97" t="s">
        <v>948</v>
      </c>
      <c r="B26" t="s">
        <v>1340</v>
      </c>
      <c r="C26">
        <v>0</v>
      </c>
      <c r="D26">
        <v>20</v>
      </c>
      <c r="E26">
        <v>20</v>
      </c>
      <c r="F26">
        <v>20</v>
      </c>
      <c r="H26" s="99"/>
    </row>
    <row r="27" spans="1:8" x14ac:dyDescent="0.25">
      <c r="A27" s="97" t="s">
        <v>948</v>
      </c>
      <c r="B27" t="s">
        <v>1344</v>
      </c>
      <c r="C27">
        <v>0</v>
      </c>
      <c r="D27">
        <v>20</v>
      </c>
      <c r="E27">
        <v>20</v>
      </c>
      <c r="F27">
        <v>20</v>
      </c>
      <c r="H27" s="99"/>
    </row>
    <row r="28" spans="1:8" x14ac:dyDescent="0.25">
      <c r="A28" s="97" t="s">
        <v>948</v>
      </c>
      <c r="B28" t="s">
        <v>1018</v>
      </c>
      <c r="C28">
        <v>0</v>
      </c>
      <c r="D28">
        <v>70</v>
      </c>
      <c r="E28">
        <v>100</v>
      </c>
      <c r="F28">
        <v>100</v>
      </c>
      <c r="H28" s="99" t="s">
        <v>1389</v>
      </c>
    </row>
    <row r="29" spans="1:8" x14ac:dyDescent="0.25">
      <c r="A29" s="97" t="s">
        <v>948</v>
      </c>
      <c r="B29" t="s">
        <v>1015</v>
      </c>
      <c r="C29">
        <v>0</v>
      </c>
      <c r="D29">
        <v>70</v>
      </c>
      <c r="E29">
        <v>100</v>
      </c>
      <c r="F29">
        <v>100</v>
      </c>
    </row>
    <row r="31" spans="1:8" s="116" customFormat="1" x14ac:dyDescent="0.25">
      <c r="A31" s="115"/>
      <c r="B31" s="116" t="s">
        <v>1338</v>
      </c>
      <c r="H31" s="117"/>
    </row>
    <row r="32" spans="1:8" x14ac:dyDescent="0.25">
      <c r="B32" t="s">
        <v>1340</v>
      </c>
      <c r="C32">
        <v>0</v>
      </c>
      <c r="D32">
        <v>10</v>
      </c>
      <c r="E32">
        <v>15</v>
      </c>
      <c r="F32">
        <v>20</v>
      </c>
    </row>
    <row r="33" spans="1:8" x14ac:dyDescent="0.25">
      <c r="B33" t="s">
        <v>1341</v>
      </c>
      <c r="C33">
        <v>0</v>
      </c>
      <c r="D33">
        <v>10</v>
      </c>
      <c r="E33">
        <v>15</v>
      </c>
      <c r="F33">
        <v>20</v>
      </c>
    </row>
    <row r="34" spans="1:8" x14ac:dyDescent="0.25">
      <c r="B34" t="s">
        <v>1342</v>
      </c>
      <c r="C34">
        <v>0</v>
      </c>
      <c r="D34">
        <v>10</v>
      </c>
      <c r="E34">
        <v>15</v>
      </c>
      <c r="F34">
        <v>20</v>
      </c>
    </row>
    <row r="35" spans="1:8" x14ac:dyDescent="0.25">
      <c r="B35" t="s">
        <v>1343</v>
      </c>
      <c r="C35">
        <v>0</v>
      </c>
      <c r="D35">
        <v>10</v>
      </c>
      <c r="E35">
        <v>15</v>
      </c>
      <c r="F35">
        <v>20</v>
      </c>
    </row>
    <row r="36" spans="1:8" x14ac:dyDescent="0.25">
      <c r="B36" t="s">
        <v>1344</v>
      </c>
      <c r="C36">
        <v>0</v>
      </c>
      <c r="D36">
        <v>10</v>
      </c>
      <c r="E36">
        <v>15</v>
      </c>
      <c r="F36">
        <v>20</v>
      </c>
    </row>
    <row r="37" spans="1:8" x14ac:dyDescent="0.25">
      <c r="B37" t="s">
        <v>1363</v>
      </c>
      <c r="C37">
        <v>0</v>
      </c>
      <c r="D37">
        <v>2</v>
      </c>
      <c r="E37">
        <v>3.5</v>
      </c>
      <c r="F37">
        <v>5</v>
      </c>
    </row>
    <row r="38" spans="1:8" x14ac:dyDescent="0.25">
      <c r="B38" t="s">
        <v>1365</v>
      </c>
      <c r="C38">
        <v>0</v>
      </c>
      <c r="D38">
        <v>2</v>
      </c>
      <c r="E38">
        <v>3.5</v>
      </c>
      <c r="F38">
        <v>5</v>
      </c>
    </row>
    <row r="39" spans="1:8" x14ac:dyDescent="0.25">
      <c r="B39" t="s">
        <v>1018</v>
      </c>
      <c r="C39">
        <v>0</v>
      </c>
      <c r="D39">
        <v>40</v>
      </c>
      <c r="E39">
        <v>60</v>
      </c>
      <c r="F39">
        <v>80</v>
      </c>
    </row>
    <row r="40" spans="1:8" x14ac:dyDescent="0.25">
      <c r="B40" t="s">
        <v>1353</v>
      </c>
      <c r="C40">
        <v>0</v>
      </c>
      <c r="D40">
        <v>40</v>
      </c>
      <c r="E40">
        <v>60</v>
      </c>
      <c r="F40">
        <v>80</v>
      </c>
    </row>
    <row r="41" spans="1:8" x14ac:dyDescent="0.25">
      <c r="B41" t="s">
        <v>1047</v>
      </c>
      <c r="C41">
        <v>0</v>
      </c>
      <c r="D41">
        <v>40</v>
      </c>
      <c r="E41">
        <v>60</v>
      </c>
      <c r="F41">
        <v>80</v>
      </c>
    </row>
    <row r="42" spans="1:8" x14ac:dyDescent="0.25">
      <c r="B42" t="s">
        <v>1016</v>
      </c>
      <c r="C42">
        <v>0</v>
      </c>
      <c r="D42">
        <v>40</v>
      </c>
      <c r="E42">
        <v>60</v>
      </c>
      <c r="F42">
        <v>80</v>
      </c>
    </row>
    <row r="43" spans="1:8" x14ac:dyDescent="0.25">
      <c r="B43" t="s">
        <v>1048</v>
      </c>
      <c r="C43">
        <v>0</v>
      </c>
      <c r="D43">
        <v>40</v>
      </c>
      <c r="E43">
        <v>60</v>
      </c>
      <c r="F43">
        <v>80</v>
      </c>
    </row>
    <row r="45" spans="1:8" s="116" customFormat="1" x14ac:dyDescent="0.25">
      <c r="A45" s="115"/>
      <c r="B45" s="116" t="s">
        <v>988</v>
      </c>
      <c r="H45" s="117"/>
    </row>
    <row r="46" spans="1:8" x14ac:dyDescent="0.25">
      <c r="B46" t="s">
        <v>1042</v>
      </c>
      <c r="C46">
        <v>70</v>
      </c>
      <c r="D46">
        <v>80</v>
      </c>
      <c r="E46">
        <v>85</v>
      </c>
      <c r="F46">
        <v>85</v>
      </c>
    </row>
    <row r="47" spans="1:8" x14ac:dyDescent="0.25">
      <c r="B47" t="s">
        <v>1035</v>
      </c>
      <c r="C47">
        <v>70</v>
      </c>
      <c r="D47">
        <v>80</v>
      </c>
      <c r="E47">
        <v>80</v>
      </c>
      <c r="F47">
        <v>80</v>
      </c>
    </row>
    <row r="48" spans="1:8" x14ac:dyDescent="0.25">
      <c r="B48" t="s">
        <v>1043</v>
      </c>
      <c r="C48">
        <v>60</v>
      </c>
      <c r="D48">
        <v>70</v>
      </c>
      <c r="E48">
        <v>70</v>
      </c>
      <c r="F48">
        <v>70</v>
      </c>
    </row>
    <row r="49" spans="2:8" x14ac:dyDescent="0.25">
      <c r="B49" t="s">
        <v>1036</v>
      </c>
      <c r="C49">
        <v>60</v>
      </c>
      <c r="D49">
        <v>70</v>
      </c>
      <c r="E49">
        <v>70</v>
      </c>
      <c r="F49">
        <v>70</v>
      </c>
    </row>
    <row r="50" spans="2:8" x14ac:dyDescent="0.25">
      <c r="B50" t="s">
        <v>1044</v>
      </c>
      <c r="C50">
        <v>75</v>
      </c>
      <c r="D50">
        <v>80</v>
      </c>
      <c r="E50">
        <v>85</v>
      </c>
      <c r="F50">
        <v>85</v>
      </c>
    </row>
    <row r="51" spans="2:8" x14ac:dyDescent="0.25">
      <c r="B51" t="s">
        <v>1037</v>
      </c>
      <c r="C51">
        <v>50</v>
      </c>
      <c r="D51">
        <v>60</v>
      </c>
      <c r="E51">
        <v>60</v>
      </c>
      <c r="F51">
        <v>60</v>
      </c>
    </row>
    <row r="52" spans="2:8" x14ac:dyDescent="0.25">
      <c r="B52" t="s">
        <v>1038</v>
      </c>
      <c r="C52">
        <v>60</v>
      </c>
      <c r="D52">
        <v>70</v>
      </c>
      <c r="E52">
        <v>70</v>
      </c>
      <c r="F52">
        <v>70</v>
      </c>
    </row>
    <row r="53" spans="2:8" x14ac:dyDescent="0.25">
      <c r="B53" t="s">
        <v>1039</v>
      </c>
      <c r="C53">
        <v>50</v>
      </c>
      <c r="D53">
        <v>60</v>
      </c>
      <c r="E53">
        <v>60</v>
      </c>
      <c r="F53">
        <v>60</v>
      </c>
    </row>
    <row r="54" spans="2:8" x14ac:dyDescent="0.25">
      <c r="B54" t="s">
        <v>1040</v>
      </c>
      <c r="C54">
        <v>60</v>
      </c>
      <c r="D54">
        <v>70</v>
      </c>
      <c r="E54">
        <v>70</v>
      </c>
      <c r="F54">
        <v>70</v>
      </c>
    </row>
    <row r="55" spans="2:8" x14ac:dyDescent="0.25">
      <c r="B55" t="s">
        <v>1041</v>
      </c>
      <c r="C55">
        <v>50</v>
      </c>
      <c r="D55">
        <v>60</v>
      </c>
      <c r="E55">
        <v>60</v>
      </c>
      <c r="F55">
        <v>60</v>
      </c>
    </row>
    <row r="56" spans="2:8" x14ac:dyDescent="0.25">
      <c r="B56" t="s">
        <v>1018</v>
      </c>
      <c r="C56">
        <v>0</v>
      </c>
      <c r="D56">
        <v>85</v>
      </c>
      <c r="E56">
        <v>85</v>
      </c>
      <c r="F56">
        <v>85</v>
      </c>
      <c r="H56" s="99"/>
    </row>
    <row r="57" spans="2:8" x14ac:dyDescent="0.25">
      <c r="B57" t="s">
        <v>1046</v>
      </c>
      <c r="C57">
        <v>0</v>
      </c>
      <c r="D57">
        <v>85</v>
      </c>
      <c r="E57">
        <v>85</v>
      </c>
      <c r="F57">
        <v>85</v>
      </c>
    </row>
    <row r="58" spans="2:8" x14ac:dyDescent="0.25">
      <c r="B58" t="s">
        <v>1047</v>
      </c>
      <c r="C58">
        <v>0</v>
      </c>
      <c r="D58">
        <v>60</v>
      </c>
      <c r="E58">
        <v>60</v>
      </c>
      <c r="F58">
        <v>60</v>
      </c>
    </row>
    <row r="59" spans="2:8" x14ac:dyDescent="0.25">
      <c r="B59" t="s">
        <v>1016</v>
      </c>
      <c r="C59">
        <v>0</v>
      </c>
      <c r="D59">
        <v>60</v>
      </c>
      <c r="E59">
        <v>60</v>
      </c>
      <c r="F59">
        <v>60</v>
      </c>
    </row>
    <row r="60" spans="2:8" x14ac:dyDescent="0.25">
      <c r="B60" t="s">
        <v>1049</v>
      </c>
      <c r="C60">
        <v>0</v>
      </c>
      <c r="D60">
        <v>60</v>
      </c>
      <c r="E60">
        <v>60</v>
      </c>
      <c r="F60">
        <v>60</v>
      </c>
    </row>
    <row r="61" spans="2:8" x14ac:dyDescent="0.25">
      <c r="B61" t="s">
        <v>1048</v>
      </c>
      <c r="C61">
        <v>0</v>
      </c>
      <c r="D61">
        <v>85</v>
      </c>
      <c r="E61">
        <v>85</v>
      </c>
      <c r="F61">
        <v>85</v>
      </c>
    </row>
    <row r="62" spans="2:8" x14ac:dyDescent="0.25">
      <c r="B62" t="s">
        <v>1017</v>
      </c>
      <c r="C62">
        <v>0</v>
      </c>
      <c r="D62">
        <v>60</v>
      </c>
      <c r="E62">
        <v>60</v>
      </c>
      <c r="F62">
        <v>60</v>
      </c>
    </row>
    <row r="63" spans="2:8" x14ac:dyDescent="0.25">
      <c r="B63" t="s">
        <v>1050</v>
      </c>
      <c r="C63">
        <v>0</v>
      </c>
      <c r="D63">
        <v>40</v>
      </c>
      <c r="E63">
        <v>40</v>
      </c>
      <c r="F63">
        <v>40</v>
      </c>
    </row>
    <row r="64" spans="2:8" x14ac:dyDescent="0.25">
      <c r="B64" t="s">
        <v>1052</v>
      </c>
      <c r="C64">
        <v>0</v>
      </c>
      <c r="D64">
        <v>0</v>
      </c>
      <c r="E64">
        <v>40</v>
      </c>
      <c r="F64">
        <v>40</v>
      </c>
    </row>
    <row r="65" spans="1:8" x14ac:dyDescent="0.25">
      <c r="B65" t="s">
        <v>1051</v>
      </c>
      <c r="C65">
        <v>0</v>
      </c>
      <c r="D65">
        <v>0</v>
      </c>
      <c r="E65">
        <v>20</v>
      </c>
      <c r="F65">
        <v>20</v>
      </c>
    </row>
    <row r="67" spans="1:8" s="116" customFormat="1" x14ac:dyDescent="0.25">
      <c r="A67" s="115"/>
      <c r="B67" s="116" t="s">
        <v>989</v>
      </c>
      <c r="H67" s="117"/>
    </row>
    <row r="68" spans="1:8" x14ac:dyDescent="0.25">
      <c r="B68" t="s">
        <v>1115</v>
      </c>
      <c r="C68">
        <v>0</v>
      </c>
      <c r="D68">
        <v>50</v>
      </c>
      <c r="E68">
        <v>100</v>
      </c>
      <c r="F68">
        <v>100</v>
      </c>
    </row>
    <row r="69" spans="1:8" x14ac:dyDescent="0.25">
      <c r="B69" t="s">
        <v>1116</v>
      </c>
      <c r="C69">
        <v>0</v>
      </c>
      <c r="D69">
        <v>50</v>
      </c>
      <c r="E69">
        <v>100</v>
      </c>
      <c r="F69">
        <v>100</v>
      </c>
    </row>
    <row r="70" spans="1:8" x14ac:dyDescent="0.25">
      <c r="B70" t="s">
        <v>1125</v>
      </c>
      <c r="C70">
        <v>0</v>
      </c>
      <c r="D70">
        <v>50</v>
      </c>
      <c r="E70">
        <v>100</v>
      </c>
      <c r="F70">
        <v>100</v>
      </c>
    </row>
    <row r="72" spans="1:8" s="116" customFormat="1" x14ac:dyDescent="0.25">
      <c r="A72" s="115"/>
      <c r="B72" s="116" t="s">
        <v>992</v>
      </c>
      <c r="H72" s="117"/>
    </row>
    <row r="73" spans="1:8" x14ac:dyDescent="0.25">
      <c r="B73" t="s">
        <v>1218</v>
      </c>
      <c r="C73">
        <v>0</v>
      </c>
      <c r="D73">
        <v>80</v>
      </c>
      <c r="E73">
        <v>100</v>
      </c>
      <c r="F73">
        <v>100</v>
      </c>
    </row>
    <row r="74" spans="1:8" x14ac:dyDescent="0.25">
      <c r="B74" t="s">
        <v>1219</v>
      </c>
      <c r="C74">
        <v>0</v>
      </c>
      <c r="D74">
        <v>0</v>
      </c>
      <c r="E74">
        <v>0</v>
      </c>
      <c r="F74">
        <v>0</v>
      </c>
    </row>
    <row r="75" spans="1:8" x14ac:dyDescent="0.25">
      <c r="B75" t="s">
        <v>1236</v>
      </c>
      <c r="C75">
        <v>0</v>
      </c>
      <c r="D75">
        <v>30</v>
      </c>
      <c r="E75">
        <v>40</v>
      </c>
      <c r="F75">
        <v>50</v>
      </c>
    </row>
    <row r="77" spans="1:8" s="116" customFormat="1" x14ac:dyDescent="0.25">
      <c r="A77" s="115"/>
      <c r="B77" s="116" t="s">
        <v>1377</v>
      </c>
      <c r="H77" s="117"/>
    </row>
    <row r="78" spans="1:8" x14ac:dyDescent="0.25">
      <c r="B78" t="s">
        <v>1368</v>
      </c>
      <c r="C78">
        <v>0</v>
      </c>
      <c r="D78">
        <v>15</v>
      </c>
      <c r="E78">
        <v>25</v>
      </c>
      <c r="F78">
        <v>30</v>
      </c>
    </row>
    <row r="79" spans="1:8" x14ac:dyDescent="0.25">
      <c r="B79" t="s">
        <v>1369</v>
      </c>
      <c r="C79">
        <v>0</v>
      </c>
      <c r="D79">
        <f>D78/3</f>
        <v>5</v>
      </c>
      <c r="E79" s="92">
        <f>E78/3</f>
        <v>8.3333333333333339</v>
      </c>
      <c r="F79">
        <f>F78/3</f>
        <v>10</v>
      </c>
    </row>
    <row r="80" spans="1:8" x14ac:dyDescent="0.25">
      <c r="B80" t="s">
        <v>1370</v>
      </c>
      <c r="C80">
        <v>0</v>
      </c>
      <c r="D80">
        <f>(D78-D79)+(0.05*(D78-D79))</f>
        <v>10.5</v>
      </c>
      <c r="E80">
        <f t="shared" ref="E80:F80" si="1">(E78-E79)+(0.05*(E78-E79))</f>
        <v>17.499999999999996</v>
      </c>
      <c r="F80">
        <f t="shared" si="1"/>
        <v>21</v>
      </c>
    </row>
    <row r="82" spans="1:8" s="116" customFormat="1" x14ac:dyDescent="0.25">
      <c r="A82" s="115"/>
      <c r="B82" s="116" t="s">
        <v>1378</v>
      </c>
      <c r="H82" s="117"/>
    </row>
    <row r="83" spans="1:8" x14ac:dyDescent="0.25">
      <c r="B83" t="s">
        <v>1368</v>
      </c>
      <c r="C83">
        <f>C78</f>
        <v>0</v>
      </c>
      <c r="D83">
        <f t="shared" ref="D83:F83" si="2">D78</f>
        <v>15</v>
      </c>
      <c r="E83">
        <f t="shared" si="2"/>
        <v>25</v>
      </c>
      <c r="F83">
        <f t="shared" si="2"/>
        <v>30</v>
      </c>
    </row>
    <row r="85" spans="1:8" s="116" customFormat="1" x14ac:dyDescent="0.25">
      <c r="A85" s="115"/>
      <c r="B85" s="116" t="s">
        <v>995</v>
      </c>
      <c r="H85" s="117"/>
    </row>
    <row r="88" spans="1:8" s="116" customFormat="1" x14ac:dyDescent="0.25">
      <c r="A88" s="115"/>
      <c r="B88" s="116" t="s">
        <v>1257</v>
      </c>
      <c r="H88" s="117"/>
    </row>
    <row r="89" spans="1:8" x14ac:dyDescent="0.25">
      <c r="B89" t="s">
        <v>1258</v>
      </c>
      <c r="C89">
        <v>0</v>
      </c>
      <c r="D89">
        <v>0.5</v>
      </c>
      <c r="E89">
        <v>0.8</v>
      </c>
      <c r="F89">
        <v>1</v>
      </c>
    </row>
    <row r="90" spans="1:8" x14ac:dyDescent="0.25">
      <c r="B90" t="s">
        <v>1259</v>
      </c>
      <c r="C90">
        <v>0</v>
      </c>
      <c r="D90">
        <v>0.2</v>
      </c>
      <c r="E90">
        <v>0.3</v>
      </c>
      <c r="F90">
        <v>0.4</v>
      </c>
    </row>
    <row r="91" spans="1:8" x14ac:dyDescent="0.25">
      <c r="B91" t="s">
        <v>1260</v>
      </c>
      <c r="C91">
        <v>0</v>
      </c>
      <c r="D91">
        <v>0.2</v>
      </c>
      <c r="E91">
        <v>0.3</v>
      </c>
      <c r="F91">
        <v>0.4</v>
      </c>
    </row>
    <row r="92" spans="1:8" x14ac:dyDescent="0.25">
      <c r="B92" t="s">
        <v>1261</v>
      </c>
      <c r="C92">
        <v>0</v>
      </c>
      <c r="D92">
        <v>0.2</v>
      </c>
      <c r="E92">
        <v>0.3</v>
      </c>
      <c r="F92">
        <v>0.4</v>
      </c>
    </row>
  </sheetData>
  <mergeCells count="1">
    <mergeCell ref="D12:E12"/>
  </mergeCell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5DD7DA7D-DEDC-4197-ABEA-83BFCB3195D1}">
          <x14:formula1>
            <xm:f>Lists!$C$17:$C$18</xm:f>
          </x14:formula1>
          <xm:sqref>C5:C14</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5AEAC9-A86A-4516-AE9C-71E1E930505E}">
  <sheetPr>
    <tabColor rgb="FFFF00FF"/>
  </sheetPr>
  <dimension ref="A1:BT100"/>
  <sheetViews>
    <sheetView topLeftCell="C1" workbookViewId="0">
      <pane xSplit="2" ySplit="4" topLeftCell="U5" activePane="bottomRight" state="frozen"/>
      <selection activeCell="C1" sqref="C1"/>
      <selection pane="topRight" activeCell="E1" sqref="E1"/>
      <selection pane="bottomLeft" activeCell="C5" sqref="C5"/>
      <selection pane="bottomRight" activeCell="AD2" sqref="AD2"/>
    </sheetView>
  </sheetViews>
  <sheetFormatPr defaultRowHeight="15" outlineLevelCol="1" x14ac:dyDescent="0.25"/>
  <cols>
    <col min="1" max="1" width="23.7109375" customWidth="1"/>
    <col min="2" max="2" width="37.140625" customWidth="1"/>
    <col min="3" max="3" width="27.7109375" customWidth="1"/>
    <col min="4" max="4" width="27.5703125" customWidth="1"/>
    <col min="5" max="5" width="48" customWidth="1"/>
    <col min="6" max="6" width="11.5703125" customWidth="1"/>
    <col min="7" max="7" width="13.28515625" customWidth="1"/>
    <col min="8" max="27" width="10.7109375" customWidth="1" outlineLevel="1"/>
    <col min="28" max="68" width="10.7109375" customWidth="1"/>
    <col min="69" max="69" width="10.140625" customWidth="1"/>
    <col min="71" max="71" width="14.140625" customWidth="1"/>
    <col min="72" max="72" width="27.7109375" customWidth="1"/>
  </cols>
  <sheetData>
    <row r="1" spans="1:72" ht="18.75" x14ac:dyDescent="0.3">
      <c r="A1" s="1" t="s">
        <v>142</v>
      </c>
      <c r="AI1" s="11"/>
      <c r="AJ1" s="11"/>
    </row>
    <row r="2" spans="1:72" x14ac:dyDescent="0.25">
      <c r="AD2" s="113" t="str">
        <f>IF(AND('Net zero activities &amp; levers'!$C$8="Off",'Net zero activities &amp; levers'!$C$14="Off",'Net zero activities &amp; levers'!$C$7="Off",'Net zero activities &amp; levers'!$C$12="Off"),"Off","On")</f>
        <v>On</v>
      </c>
      <c r="AE2" s="11"/>
      <c r="AF2" s="11"/>
      <c r="AG2" s="11" t="b">
        <f>AG5='Activity data'!AG5</f>
        <v>1</v>
      </c>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row>
    <row r="3" spans="1:72" s="19" customFormat="1" ht="29.25" customHeight="1" x14ac:dyDescent="0.25">
      <c r="A3" s="17" t="s">
        <v>4</v>
      </c>
      <c r="B3" s="17" t="s">
        <v>313</v>
      </c>
      <c r="C3" s="17" t="s">
        <v>315</v>
      </c>
      <c r="D3" s="17" t="s">
        <v>149</v>
      </c>
      <c r="E3" s="17" t="s">
        <v>150</v>
      </c>
      <c r="F3" s="17" t="s">
        <v>0</v>
      </c>
      <c r="G3" s="17" t="s">
        <v>283</v>
      </c>
      <c r="H3" s="17">
        <v>1990</v>
      </c>
      <c r="I3" s="17">
        <v>1991</v>
      </c>
      <c r="J3" s="17">
        <v>1992</v>
      </c>
      <c r="K3" s="17">
        <v>1993</v>
      </c>
      <c r="L3" s="17">
        <v>1994</v>
      </c>
      <c r="M3" s="17">
        <v>1995</v>
      </c>
      <c r="N3" s="17">
        <v>1996</v>
      </c>
      <c r="O3" s="17">
        <v>1997</v>
      </c>
      <c r="P3" s="17">
        <v>1998</v>
      </c>
      <c r="Q3" s="17">
        <v>1999</v>
      </c>
      <c r="R3" s="17">
        <v>2000</v>
      </c>
      <c r="S3" s="17">
        <v>2001</v>
      </c>
      <c r="T3" s="17">
        <v>2002</v>
      </c>
      <c r="U3" s="17">
        <v>2003</v>
      </c>
      <c r="V3" s="17">
        <v>2004</v>
      </c>
      <c r="W3" s="17">
        <v>2005</v>
      </c>
      <c r="X3" s="17">
        <v>2006</v>
      </c>
      <c r="Y3" s="17">
        <v>2007</v>
      </c>
      <c r="Z3" s="17">
        <v>2008</v>
      </c>
      <c r="AA3" s="17">
        <v>2009</v>
      </c>
      <c r="AB3" s="17">
        <v>2010</v>
      </c>
      <c r="AC3" s="17">
        <v>2011</v>
      </c>
      <c r="AD3" s="17">
        <v>2012</v>
      </c>
      <c r="AE3" s="17">
        <v>2013</v>
      </c>
      <c r="AF3" s="17">
        <v>2014</v>
      </c>
      <c r="AG3" s="17">
        <v>2015</v>
      </c>
      <c r="AH3" s="17">
        <v>2016</v>
      </c>
      <c r="AI3" s="17">
        <v>2017</v>
      </c>
      <c r="AJ3" s="17">
        <v>2018</v>
      </c>
      <c r="AK3" s="17">
        <v>2019</v>
      </c>
      <c r="AL3" s="17">
        <v>2020</v>
      </c>
      <c r="AM3" s="17">
        <v>2021</v>
      </c>
      <c r="AN3" s="17">
        <v>2022</v>
      </c>
      <c r="AO3" s="17">
        <v>2023</v>
      </c>
      <c r="AP3" s="17">
        <v>2024</v>
      </c>
      <c r="AQ3" s="17">
        <v>2025</v>
      </c>
      <c r="AR3" s="17">
        <v>2026</v>
      </c>
      <c r="AS3" s="17">
        <v>2027</v>
      </c>
      <c r="AT3" s="17">
        <v>2028</v>
      </c>
      <c r="AU3" s="17">
        <v>2029</v>
      </c>
      <c r="AV3" s="17">
        <v>2030</v>
      </c>
      <c r="AW3" s="17">
        <v>2031</v>
      </c>
      <c r="AX3" s="17">
        <v>2032</v>
      </c>
      <c r="AY3" s="17">
        <v>2033</v>
      </c>
      <c r="AZ3" s="17">
        <v>2034</v>
      </c>
      <c r="BA3" s="17">
        <v>2035</v>
      </c>
      <c r="BB3" s="17">
        <v>2036</v>
      </c>
      <c r="BC3" s="17">
        <v>2037</v>
      </c>
      <c r="BD3" s="17">
        <v>2038</v>
      </c>
      <c r="BE3" s="17">
        <v>2039</v>
      </c>
      <c r="BF3" s="17">
        <v>2040</v>
      </c>
      <c r="BG3" s="17">
        <v>2041</v>
      </c>
      <c r="BH3" s="17">
        <v>2042</v>
      </c>
      <c r="BI3" s="17">
        <v>2043</v>
      </c>
      <c r="BJ3" s="17">
        <v>2044</v>
      </c>
      <c r="BK3" s="17">
        <v>2045</v>
      </c>
      <c r="BL3" s="17">
        <v>2046</v>
      </c>
      <c r="BM3" s="17">
        <v>2047</v>
      </c>
      <c r="BN3" s="17">
        <v>2048</v>
      </c>
      <c r="BO3" s="17">
        <v>2049</v>
      </c>
      <c r="BP3" s="17">
        <v>2050</v>
      </c>
      <c r="BS3" s="18" t="s">
        <v>308</v>
      </c>
      <c r="BT3" s="17" t="s">
        <v>282</v>
      </c>
    </row>
    <row r="4" spans="1:72" ht="18.75" customHeight="1" x14ac:dyDescent="0.25">
      <c r="A4" s="20" t="s">
        <v>309</v>
      </c>
      <c r="B4" s="20"/>
      <c r="C4" s="20"/>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87">
        <f t="shared" ref="AT4:AZ4" si="0">AT11-AS11</f>
        <v>35036.376428365707</v>
      </c>
      <c r="AU4" s="87">
        <f t="shared" si="0"/>
        <v>37924.297525081784</v>
      </c>
      <c r="AV4" s="87">
        <f t="shared" si="0"/>
        <v>40947.82042920962</v>
      </c>
      <c r="AW4" s="87">
        <f>AW11-AV11</f>
        <v>26956.7131905891</v>
      </c>
      <c r="AX4" s="87">
        <f t="shared" si="0"/>
        <v>29792.143677718937</v>
      </c>
      <c r="AY4" s="87">
        <f t="shared" si="0"/>
        <v>32359.638541389257</v>
      </c>
      <c r="AZ4" s="87">
        <f t="shared" si="0"/>
        <v>31263.537997607142</v>
      </c>
      <c r="BA4" s="15">
        <f>BA8/'Intermediate calculations'!AV8</f>
        <v>3.2464889501032617</v>
      </c>
      <c r="BB4" s="15">
        <f>BB8/'Intermediate calculations'!AW8</f>
        <v>3.1521054275980869</v>
      </c>
      <c r="BC4" s="15">
        <f>BC8/'Intermediate calculations'!AX8</f>
        <v>3.0598759233358601</v>
      </c>
      <c r="BD4" s="15">
        <f>BD8/'Intermediate calculations'!AY8</f>
        <v>2.9697128596535003</v>
      </c>
      <c r="BE4" s="15">
        <f>BE8/'Intermediate calculations'!AZ8</f>
        <v>2.8815345118450693</v>
      </c>
      <c r="BF4" s="15">
        <f>BF8/'Intermediate calculations'!BA8</f>
        <v>2.7952644777437983</v>
      </c>
      <c r="BG4" s="15">
        <f>BG8/'Intermediate calculations'!BB8</f>
        <v>2.7246619783778647</v>
      </c>
      <c r="BH4" s="15">
        <f>BH8/'Intermediate calculations'!BC8</f>
        <v>2.6555443271757859</v>
      </c>
      <c r="BI4" s="15">
        <f>BI8/'Intermediate calculations'!BD8</f>
        <v>2.5878575190006843</v>
      </c>
      <c r="BJ4" s="15">
        <f>BJ8/'Intermediate calculations'!BE8</f>
        <v>2.5215507697360171</v>
      </c>
      <c r="BK4" s="15">
        <f>BK8/'Intermediate calculations'!BF8</f>
        <v>2.4565762550425694</v>
      </c>
      <c r="BL4" s="15">
        <f>BL8/'Intermediate calculations'!BG8</f>
        <v>2.392888875453361</v>
      </c>
      <c r="BM4" s="15">
        <f>BM8/'Intermediate calculations'!BH8</f>
        <v>2.3304460446608872</v>
      </c>
      <c r="BN4" s="15">
        <f>BN8/'Intermediate calculations'!BI8</f>
        <v>2.2692074982825203</v>
      </c>
      <c r="BO4" s="15">
        <f>BO8/'Intermediate calculations'!BJ8</f>
        <v>2.2091351207549113</v>
      </c>
      <c r="BP4" s="15">
        <f>BP8/'Intermediate calculations'!BK8</f>
        <v>2.1501927883180172</v>
      </c>
      <c r="BS4" s="16"/>
      <c r="BT4" s="15"/>
    </row>
    <row r="5" spans="1:72" s="23" customFormat="1" x14ac:dyDescent="0.25">
      <c r="A5" s="23" t="str">
        <f>'IPCC Categories'!A5</f>
        <v>3A Livestock</v>
      </c>
      <c r="C5" s="23" t="str">
        <f>'IPCC Categories'!$D$5</f>
        <v>3A1ai Dairy cattle</v>
      </c>
      <c r="D5" t="str">
        <f>'IPCC Categories'!$F$39</f>
        <v>TMR</v>
      </c>
      <c r="E5" s="23" t="str">
        <f>'IPCC Categories'!$F$31</f>
        <v>Population</v>
      </c>
      <c r="F5" s="23" t="s">
        <v>138</v>
      </c>
      <c r="H5" s="43">
        <f>Data!C51</f>
        <v>487746.14676082286</v>
      </c>
      <c r="I5" s="43">
        <f>Data!D51</f>
        <v>561522.50537304278</v>
      </c>
      <c r="J5" s="43">
        <f>Data!E51</f>
        <v>485789.62235185754</v>
      </c>
      <c r="K5" s="43">
        <f>Data!F51</f>
        <v>515225.4221676389</v>
      </c>
      <c r="L5" s="43">
        <f>Data!G51</f>
        <v>477963.52471599629</v>
      </c>
      <c r="M5" s="43">
        <f>Data!H51</f>
        <v>511312.37334970833</v>
      </c>
      <c r="N5" s="43">
        <f>Data!I51</f>
        <v>513268.89775867364</v>
      </c>
      <c r="O5" s="43">
        <f>Data!J51</f>
        <v>494824.80810561875</v>
      </c>
      <c r="P5" s="43">
        <f>Data!K51</f>
        <v>488955.23487872281</v>
      </c>
      <c r="Q5" s="43">
        <f>Data!L51</f>
        <v>480293.76727049437</v>
      </c>
      <c r="R5" s="43">
        <f>Data!M51</f>
        <v>618437.58059564023</v>
      </c>
      <c r="S5" s="43">
        <f>Data!N51</f>
        <v>616481.05618667486</v>
      </c>
      <c r="T5" s="43">
        <f>Data!O51</f>
        <v>537582.56063862459</v>
      </c>
      <c r="U5" s="43">
        <f>Data!P51</f>
        <v>488955.23487872281</v>
      </c>
      <c r="V5" s="43">
        <f>Data!Q51</f>
        <v>472093.95148910041</v>
      </c>
      <c r="W5" s="43">
        <f>Data!R51</f>
        <v>505442.80012281239</v>
      </c>
      <c r="X5" s="43">
        <f>Data!S51</f>
        <v>494451.08996008604</v>
      </c>
      <c r="Y5" s="43">
        <f>Data!T51</f>
        <v>490911.75928768812</v>
      </c>
      <c r="Z5" s="43">
        <f>Data!U51</f>
        <v>601202.57906048512</v>
      </c>
      <c r="AA5" s="43">
        <f>Data!V51</f>
        <v>616107.33804114221</v>
      </c>
      <c r="AB5" s="43">
        <f>Data!W51</f>
        <v>616107.33804114221</v>
      </c>
      <c r="AC5" s="43">
        <f>Data!X51</f>
        <v>593750.19957015652</v>
      </c>
      <c r="AD5" s="110">
        <f>IF($AD$2="Off",'Activity data'!AD5,'Net zero Intermediate calcs'!Y15*'Net zero Intermediate calcs'!Y16*Constants!$H$18)</f>
        <v>591129.2897046</v>
      </c>
      <c r="AE5" s="110">
        <f>IF($AD$2="Off",'Activity data'!AE5,'Net zero Intermediate calcs'!Z15*'Net zero Intermediate calcs'!Z16*Constants!$H$18)</f>
        <v>594806.21359952644</v>
      </c>
      <c r="AF5" s="110">
        <f>IF($AD$2="Off",'Activity data'!AF5,'Net zero Intermediate calcs'!AA15*'Net zero Intermediate calcs'!AA16*Constants!$H$18)</f>
        <v>597334.14942871302</v>
      </c>
      <c r="AG5" s="110">
        <f>IF($AD$2="Off",'Activity data'!AG5,'Net zero Intermediate calcs'!AB15*'Net zero Intermediate calcs'!AB16*Constants!$H$18)</f>
        <v>598126.94731703098</v>
      </c>
      <c r="AH5" s="110">
        <f>IF($AD$2="Off",'Activity data'!AH5,'Net zero Intermediate calcs'!AC15*'Net zero Intermediate calcs'!AC16*Constants!$H$18)</f>
        <v>599199.48455998639</v>
      </c>
      <c r="AI5" s="110">
        <f>IF($AD$2="Off",'Activity data'!AI5,'Net zero Intermediate calcs'!AD15*'Net zero Intermediate calcs'!AD16*Constants!$H$18)</f>
        <v>601548.74860188353</v>
      </c>
      <c r="AJ5" s="110">
        <f>IF($AD$2="Off",'Activity data'!AJ5,'Net zero Intermediate calcs'!AE15*'Net zero Intermediate calcs'!AE16*Constants!$H$18)</f>
        <v>604365.27789585036</v>
      </c>
      <c r="AK5" s="110">
        <f>IF($AD$2="Off",'Activity data'!AK5,'Net zero Intermediate calcs'!AF15*'Net zero Intermediate calcs'!AF16*Constants!$H$18)</f>
        <v>605211.39267553936</v>
      </c>
      <c r="AL5" s="110">
        <f>IF($AD$2="Off",'Activity data'!AL5,'Net zero Intermediate calcs'!AG15*'Net zero Intermediate calcs'!AG16*Constants!$H$18)</f>
        <v>586631.53886012151</v>
      </c>
      <c r="AM5" s="110">
        <f>IF($AD$2="Off",'Activity data'!AM5,'Net zero Intermediate calcs'!AH15*'Net zero Intermediate calcs'!AH16*Constants!$H$18)</f>
        <v>586731.71782634791</v>
      </c>
      <c r="AN5" s="110">
        <f>IF($AD$2="Off",'Activity data'!AN5,'Net zero Intermediate calcs'!AI15*'Net zero Intermediate calcs'!AI16*Constants!$H$18)</f>
        <v>586359.82176142966</v>
      </c>
      <c r="AO5" s="110">
        <f>IF($AD$2="Off",'Activity data'!AO5,'Net zero Intermediate calcs'!AJ15*'Net zero Intermediate calcs'!AJ16*Constants!$H$18)</f>
        <v>586026.58456884872</v>
      </c>
      <c r="AP5" s="110">
        <f>IF($AD$2="Off",'Activity data'!AP5,'Net zero Intermediate calcs'!AK15*'Net zero Intermediate calcs'!AK16*Constants!$H$18)</f>
        <v>586520.5619708614</v>
      </c>
      <c r="AQ5" s="110">
        <f>IF($AD$2="Off",'Activity data'!AQ5,'Net zero Intermediate calcs'!AL15*'Net zero Intermediate calcs'!AL16*Constants!$H$18)</f>
        <v>587025.56021477445</v>
      </c>
      <c r="AR5" s="110">
        <f>IF($AD$2="Off",'Activity data'!AR5,'Net zero Intermediate calcs'!AM15*'Net zero Intermediate calcs'!AM16*Constants!$H$18)</f>
        <v>587301.8597679974</v>
      </c>
      <c r="AS5" s="110">
        <f>IF($AD$2="Off",'Activity data'!AS5,'Net zero Intermediate calcs'!AN15*'Net zero Intermediate calcs'!AN16*Constants!$H$18)</f>
        <v>587388.77462888847</v>
      </c>
      <c r="AT5" s="110">
        <f>IF($AD$2="Off",'Activity data'!AT5,'Net zero Intermediate calcs'!AO15*'Net zero Intermediate calcs'!AO16*Constants!$H$18)</f>
        <v>587774.54726042657</v>
      </c>
      <c r="AU5" s="110">
        <f>IF($AD$2="Off",'Activity data'!AU5,'Net zero Intermediate calcs'!AP15*'Net zero Intermediate calcs'!AP16*Constants!$H$18)</f>
        <v>587786.68571979715</v>
      </c>
      <c r="AV5" s="110">
        <f>IF($AD$2="Off",'Activity data'!AV5,'Net zero Intermediate calcs'!AQ15*'Net zero Intermediate calcs'!AQ16*Constants!$H$18)</f>
        <v>587891.07447938027</v>
      </c>
      <c r="AW5" s="110">
        <f>IF($AD$2="Off",'Activity data'!AW5,'Net zero Intermediate calcs'!AR15*'Net zero Intermediate calcs'!AR16*Constants!$H$18)</f>
        <v>592864.46827857383</v>
      </c>
      <c r="AX5" s="110">
        <f>IF($AD$2="Off",'Activity data'!AX5,'Net zero Intermediate calcs'!AS15*'Net zero Intermediate calcs'!AS16*Constants!$H$18)</f>
        <v>598346.18781524384</v>
      </c>
      <c r="AY5" s="110">
        <f>IF($AD$2="Off",'Activity data'!AY5,'Net zero Intermediate calcs'!AT15*'Net zero Intermediate calcs'!AT16*Constants!$H$18)</f>
        <v>604062.3998961692</v>
      </c>
      <c r="AZ5" s="110">
        <f>IF($AD$2="Off",'Activity data'!AZ5,'Net zero Intermediate calcs'!AU15*'Net zero Intermediate calcs'!AU16*Constants!$H$18)</f>
        <v>604006.32697984867</v>
      </c>
      <c r="BA5" s="110">
        <f>IF($AD$2="Off",'Activity data'!BA5,'Net zero Intermediate calcs'!AV15*'Net zero Intermediate calcs'!AV16*Constants!$H$18)</f>
        <v>322848.38481754559</v>
      </c>
      <c r="BB5" s="110">
        <f>IF($AD$2="Off",'Activity data'!BB5,'Net zero Intermediate calcs'!AW15*'Net zero Intermediate calcs'!AW16*Constants!$H$18)</f>
        <v>322554.7378264037</v>
      </c>
      <c r="BC5" s="110">
        <f>IF($AD$2="Off",'Activity data'!BC5,'Net zero Intermediate calcs'!AX15*'Net zero Intermediate calcs'!AX16*Constants!$H$18)</f>
        <v>322291.39993874473</v>
      </c>
      <c r="BD5" s="110">
        <f>IF($AD$2="Off",'Activity data'!BD5,'Net zero Intermediate calcs'!AY15*'Net zero Intermediate calcs'!AY16*Constants!$H$18)</f>
        <v>322057.03756741155</v>
      </c>
      <c r="BE5" s="110">
        <f>IF($AD$2="Off",'Activity data'!BE5,'Net zero Intermediate calcs'!AZ15*'Net zero Intermediate calcs'!AZ16*Constants!$H$18)</f>
        <v>321850.41563155083</v>
      </c>
      <c r="BF5" s="110">
        <f>IF($AD$2="Off",'Activity data'!BF5,'Net zero Intermediate calcs'!BA15*'Net zero Intermediate calcs'!BA16*Constants!$H$18)</f>
        <v>321670.3882225136</v>
      </c>
      <c r="BG5" s="110">
        <f>IF($AD$2="Off",'Activity data'!BG5,'Net zero Intermediate calcs'!BB15*'Net zero Intermediate calcs'!BB16*Constants!$H$18)</f>
        <v>321288.76186786819</v>
      </c>
      <c r="BH5" s="110">
        <f>IF($AD$2="Off",'Activity data'!BH5,'Net zero Intermediate calcs'!BC15*'Net zero Intermediate calcs'!BC16*Constants!$H$18)</f>
        <v>320930.92012123793</v>
      </c>
      <c r="BI5" s="110">
        <f>IF($AD$2="Off",'Activity data'!BI5,'Net zero Intermediate calcs'!BD15*'Net zero Intermediate calcs'!BD16*Constants!$H$18)</f>
        <v>320595.89492747065</v>
      </c>
      <c r="BJ5" s="110">
        <f>IF($AD$2="Off",'Activity data'!BJ5,'Net zero Intermediate calcs'!BE15*'Net zero Intermediate calcs'!BE16*Constants!$H$18)</f>
        <v>320282.78156667494</v>
      </c>
      <c r="BK5" s="110">
        <f>IF($AD$2="Off",'Activity data'!BK5,'Net zero Intermediate calcs'!BF15*'Net zero Intermediate calcs'!BF16*Constants!$H$18)</f>
        <v>319990.73328541388</v>
      </c>
      <c r="BL5" s="110">
        <f>IF($AD$2="Off",'Activity data'!BL5,'Net zero Intermediate calcs'!BG15*'Net zero Intermediate calcs'!BG16*Constants!$H$18)</f>
        <v>319491.28634254436</v>
      </c>
      <c r="BM5" s="110">
        <f>IF($AD$2="Off",'Activity data'!BM5,'Net zero Intermediate calcs'!BH15*'Net zero Intermediate calcs'!BH16*Constants!$H$18)</f>
        <v>319010.98467889684</v>
      </c>
      <c r="BN5" s="110">
        <f>IF($AD$2="Off",'Activity data'!BN5,'Net zero Intermediate calcs'!BI15*'Net zero Intermediate calcs'!BI16*Constants!$H$18)</f>
        <v>318549.09395721875</v>
      </c>
      <c r="BO5" s="110">
        <f>IF($AD$2="Off",'Activity data'!BO5,'Net zero Intermediate calcs'!BJ15*'Net zero Intermediate calcs'!BJ16*Constants!$H$18)</f>
        <v>318104.9228893242</v>
      </c>
      <c r="BP5" s="110">
        <f>IF($AD$2="Off",'Activity data'!BP5,'Net zero Intermediate calcs'!BK15*'Net zero Intermediate calcs'!BK16*Constants!$H$18)</f>
        <v>317677.81993699924</v>
      </c>
      <c r="BQ5" s="23">
        <v>840617.99710661627</v>
      </c>
    </row>
    <row r="6" spans="1:72" s="23" customFormat="1" x14ac:dyDescent="0.25">
      <c r="A6" s="23" t="str">
        <f t="shared" ref="A6:A22" si="1">A5</f>
        <v>3A Livestock</v>
      </c>
      <c r="C6" s="23" t="str">
        <f>$C$5</f>
        <v>3A1ai Dairy cattle</v>
      </c>
      <c r="D6" t="str">
        <f>'IPCC Categories'!$F$40</f>
        <v>Pasture</v>
      </c>
      <c r="E6" s="23" t="str">
        <f>E5</f>
        <v>Population</v>
      </c>
      <c r="F6" s="23" t="str">
        <f>F5</f>
        <v>Head</v>
      </c>
      <c r="H6" s="43">
        <f>Data!C52</f>
        <v>399733.85323917714</v>
      </c>
      <c r="I6" s="43">
        <f>Data!D52</f>
        <v>460197.49462695734</v>
      </c>
      <c r="J6" s="43">
        <f>Data!E52</f>
        <v>398130.37764814246</v>
      </c>
      <c r="K6" s="43">
        <f>Data!F52</f>
        <v>422254.57783236104</v>
      </c>
      <c r="L6" s="43">
        <f>Data!G52</f>
        <v>391716.47528400371</v>
      </c>
      <c r="M6" s="43">
        <f>Data!H52</f>
        <v>419047.62665029167</v>
      </c>
      <c r="N6" s="43">
        <f>Data!I52</f>
        <v>420651.10224132636</v>
      </c>
      <c r="O6" s="43">
        <f>Data!J52</f>
        <v>405535.19189438137</v>
      </c>
      <c r="P6" s="43">
        <f>Data!K52</f>
        <v>400724.76512127731</v>
      </c>
      <c r="Q6" s="43">
        <f>Data!L52</f>
        <v>393626.23272950563</v>
      </c>
      <c r="R6" s="43">
        <f>Data!M52</f>
        <v>506842.41940435988</v>
      </c>
      <c r="S6" s="43">
        <f>Data!N52</f>
        <v>505238.9438133252</v>
      </c>
      <c r="T6" s="43">
        <f>Data!O52</f>
        <v>440577.43936137547</v>
      </c>
      <c r="U6" s="43">
        <f>Data!P52</f>
        <v>400724.76512127731</v>
      </c>
      <c r="V6" s="43">
        <f>Data!Q52</f>
        <v>386906.04851089959</v>
      </c>
      <c r="W6" s="43">
        <f>Data!R52</f>
        <v>414237.19987718761</v>
      </c>
      <c r="X6" s="43">
        <f>Data!S52</f>
        <v>405228.91003991402</v>
      </c>
      <c r="Y6" s="43">
        <f>Data!T52</f>
        <v>402328.24071231199</v>
      </c>
      <c r="Z6" s="43">
        <f>Data!U52</f>
        <v>492717.42093951488</v>
      </c>
      <c r="AA6" s="43">
        <f>Data!V52</f>
        <v>504932.66195885779</v>
      </c>
      <c r="AB6" s="43">
        <f>Data!W52</f>
        <v>504932.66195885779</v>
      </c>
      <c r="AC6" s="43">
        <f>Data!X52</f>
        <v>486609.80042984337</v>
      </c>
      <c r="AD6" s="110">
        <f>IF($AD$2="Off",'Activity data'!AD6,'Net zero Intermediate calcs'!Y15*'Net zero Intermediate calcs'!Y16*Constants!$H$19)</f>
        <v>489792.8400409543</v>
      </c>
      <c r="AE6" s="110">
        <f>IF($AD$2="Off",'Activity data'!AE6,'Net zero Intermediate calcs'!Z15*'Net zero Intermediate calcs'!Z16*Constants!$H$19)</f>
        <v>492839.43412532192</v>
      </c>
      <c r="AF6" s="110">
        <f>IF($AD$2="Off",'Activity data'!AF6,'Net zero Intermediate calcs'!AA15*'Net zero Intermediate calcs'!AA16*Constants!$H$19)</f>
        <v>494934.00952664798</v>
      </c>
      <c r="AG6" s="110">
        <f>IF($AD$2="Off",'Activity data'!AG6,'Net zero Intermediate calcs'!AB15*'Net zero Intermediate calcs'!AB16*Constants!$H$19)</f>
        <v>495590.89920553996</v>
      </c>
      <c r="AH6" s="110">
        <f>IF($AD$2="Off",'Activity data'!AH6,'Net zero Intermediate calcs'!AC15*'Net zero Intermediate calcs'!AC16*Constants!$H$19)</f>
        <v>496479.57292113162</v>
      </c>
      <c r="AI6" s="110">
        <f>IF($AD$2="Off",'Activity data'!AI6,'Net zero Intermediate calcs'!AD15*'Net zero Intermediate calcs'!AD16*Constants!$H$19)</f>
        <v>498426.10598441772</v>
      </c>
      <c r="AJ6" s="110">
        <f>IF($AD$2="Off",'Activity data'!AJ6,'Net zero Intermediate calcs'!AE15*'Net zero Intermediate calcs'!AE16*Constants!$H$19)</f>
        <v>500759.80168513313</v>
      </c>
      <c r="AK6" s="110">
        <f>IF($AD$2="Off",'Activity data'!AK6,'Net zero Intermediate calcs'!AF15*'Net zero Intermediate calcs'!AF16*Constants!$H$19)</f>
        <v>501460.86821687547</v>
      </c>
      <c r="AL6" s="110">
        <f>IF($AD$2="Off",'Activity data'!AL6,'Net zero Intermediate calcs'!AG15*'Net zero Intermediate calcs'!AG16*Constants!$H$19)</f>
        <v>486066.13219838642</v>
      </c>
      <c r="AM6" s="110">
        <f>IF($AD$2="Off",'Activity data'!AM6,'Net zero Intermediate calcs'!AH15*'Net zero Intermediate calcs'!AH16*Constants!$H$19)</f>
        <v>486149.13762754539</v>
      </c>
      <c r="AN6" s="110">
        <f>IF($AD$2="Off",'Activity data'!AN6,'Net zero Intermediate calcs'!AI15*'Net zero Intermediate calcs'!AI16*Constants!$H$19)</f>
        <v>485840.99517375603</v>
      </c>
      <c r="AO6" s="110">
        <f>IF($AD$2="Off",'Activity data'!AO6,'Net zero Intermediate calcs'!AJ15*'Net zero Intermediate calcs'!AJ16*Constants!$H$19)</f>
        <v>485564.8843570461</v>
      </c>
      <c r="AP6" s="110">
        <f>IF($AD$2="Off",'Activity data'!AP6,'Net zero Intermediate calcs'!AK15*'Net zero Intermediate calcs'!AK16*Constants!$H$19)</f>
        <v>485974.17991871369</v>
      </c>
      <c r="AQ6" s="110">
        <f>IF($AD$2="Off",'Activity data'!AQ6,'Net zero Intermediate calcs'!AL15*'Net zero Intermediate calcs'!AL16*Constants!$H$19)</f>
        <v>486392.60703509877</v>
      </c>
      <c r="AR6" s="110">
        <f>IF($AD$2="Off",'Activity data'!AR6,'Net zero Intermediate calcs'!AM15*'Net zero Intermediate calcs'!AM16*Constants!$H$19)</f>
        <v>486621.54095062643</v>
      </c>
      <c r="AS6" s="110">
        <f>IF($AD$2="Off",'Activity data'!AS6,'Net zero Intermediate calcs'!AN15*'Net zero Intermediate calcs'!AN16*Constants!$H$19)</f>
        <v>486693.55612107902</v>
      </c>
      <c r="AT6" s="110">
        <f>IF($AD$2="Off",'Activity data'!AT6,'Net zero Intermediate calcs'!AO15*'Net zero Intermediate calcs'!AO16*Constants!$H$19)</f>
        <v>487013.1963014963</v>
      </c>
      <c r="AU6" s="110">
        <f>IF($AD$2="Off",'Activity data'!AU6,'Net zero Intermediate calcs'!AP15*'Net zero Intermediate calcs'!AP16*Constants!$H$19)</f>
        <v>487023.25388211763</v>
      </c>
      <c r="AV6" s="110">
        <f>IF($AD$2="Off",'Activity data'!AV6,'Net zero Intermediate calcs'!AQ15*'Net zero Intermediate calcs'!AQ16*Constants!$H$19)</f>
        <v>487109.74742577219</v>
      </c>
      <c r="AW6" s="110">
        <f>IF($AD$2="Off",'Activity data'!AW6,'Net zero Intermediate calcs'!AR15*'Net zero Intermediate calcs'!AR16*Constants!$H$19)</f>
        <v>491230.55943081836</v>
      </c>
      <c r="AX6" s="110">
        <f>IF($AD$2="Off",'Activity data'!AX6,'Net zero Intermediate calcs'!AS15*'Net zero Intermediate calcs'!AS16*Constants!$H$19)</f>
        <v>495772.55561834486</v>
      </c>
      <c r="AY6" s="110">
        <f>IF($AD$2="Off",'Activity data'!AY6,'Net zero Intermediate calcs'!AT15*'Net zero Intermediate calcs'!AT16*Constants!$H$19)</f>
        <v>500508.84562825446</v>
      </c>
      <c r="AZ6" s="110">
        <f>IF($AD$2="Off",'Activity data'!AZ6,'Net zero Intermediate calcs'!AU15*'Net zero Intermediate calcs'!AU16*Constants!$H$19)</f>
        <v>500462.38521187467</v>
      </c>
      <c r="BA6" s="110">
        <f>IF($AD$2="Off",'Activity data'!BA6,'Net zero Intermediate calcs'!AV15*'Net zero Intermediate calcs'!AV16*Constants!$H$19)</f>
        <v>267502.94742025208</v>
      </c>
      <c r="BB6" s="110">
        <f>IF($AD$2="Off",'Activity data'!BB6,'Net zero Intermediate calcs'!AW15*'Net zero Intermediate calcs'!AW16*Constants!$H$19)</f>
        <v>267259.63991330593</v>
      </c>
      <c r="BC6" s="110">
        <f>IF($AD$2="Off",'Activity data'!BC6,'Net zero Intermediate calcs'!AX15*'Net zero Intermediate calcs'!AX16*Constants!$H$19)</f>
        <v>267041.44566353137</v>
      </c>
      <c r="BD6" s="110">
        <f>IF($AD$2="Off",'Activity data'!BD6,'Net zero Intermediate calcs'!AY15*'Net zero Intermediate calcs'!AY16*Constants!$H$19)</f>
        <v>266847.25969871244</v>
      </c>
      <c r="BE6" s="110">
        <f>IF($AD$2="Off",'Activity data'!BE6,'Net zero Intermediate calcs'!AZ15*'Net zero Intermediate calcs'!AZ16*Constants!$H$19)</f>
        <v>266676.05866614211</v>
      </c>
      <c r="BF6" s="110">
        <f>IF($AD$2="Off",'Activity data'!BF6,'Net zero Intermediate calcs'!BA15*'Net zero Intermediate calcs'!BA16*Constants!$H$19)</f>
        <v>266526.89309865411</v>
      </c>
      <c r="BG6" s="110">
        <f>IF($AD$2="Off",'Activity data'!BG6,'Net zero Intermediate calcs'!BB15*'Net zero Intermediate calcs'!BB16*Constants!$H$19)</f>
        <v>266210.68840480509</v>
      </c>
      <c r="BH6" s="110">
        <f>IF($AD$2="Off",'Activity data'!BH6,'Net zero Intermediate calcs'!BC15*'Net zero Intermediate calcs'!BC16*Constants!$H$19)</f>
        <v>265914.19095759717</v>
      </c>
      <c r="BI6" s="110">
        <f>IF($AD$2="Off",'Activity data'!BI6,'Net zero Intermediate calcs'!BD15*'Net zero Intermediate calcs'!BD16*Constants!$H$19)</f>
        <v>265636.59865418996</v>
      </c>
      <c r="BJ6" s="110">
        <f>IF($AD$2="Off",'Activity data'!BJ6,'Net zero Intermediate calcs'!BE15*'Net zero Intermediate calcs'!BE16*Constants!$H$19)</f>
        <v>265377.16186953062</v>
      </c>
      <c r="BK6" s="110">
        <f>IF($AD$2="Off",'Activity data'!BK6,'Net zero Intermediate calcs'!BF15*'Net zero Intermediate calcs'!BF16*Constants!$H$19)</f>
        <v>265135.17900791438</v>
      </c>
      <c r="BL6" s="110">
        <f>IF($AD$2="Off",'Activity data'!BL6,'Net zero Intermediate calcs'!BG15*'Net zero Intermediate calcs'!BG16*Constants!$H$19)</f>
        <v>264721.35154096532</v>
      </c>
      <c r="BM6" s="110">
        <f>IF($AD$2="Off",'Activity data'!BM6,'Net zero Intermediate calcs'!BH15*'Net zero Intermediate calcs'!BH16*Constants!$H$19)</f>
        <v>264323.38730537164</v>
      </c>
      <c r="BN6" s="110">
        <f>IF($AD$2="Off",'Activity data'!BN6,'Net zero Intermediate calcs'!BI15*'Net zero Intermediate calcs'!BI16*Constants!$H$19)</f>
        <v>263940.67785026698</v>
      </c>
      <c r="BO6" s="110">
        <f>IF($AD$2="Off",'Activity data'!BO6,'Net zero Intermediate calcs'!BJ15*'Net zero Intermediate calcs'!BJ16*Constants!$H$19)</f>
        <v>263572.65039401146</v>
      </c>
      <c r="BP6" s="110">
        <f>IF($AD$2="Off",'Activity data'!BP6,'Net zero Intermediate calcs'!BK15*'Net zero Intermediate calcs'!BK16*Constants!$H$19)</f>
        <v>263218.76509065652</v>
      </c>
      <c r="BQ6" s="23">
        <v>696512.05474548205</v>
      </c>
    </row>
    <row r="7" spans="1:72" s="23" customFormat="1" x14ac:dyDescent="0.25">
      <c r="A7" s="23" t="str">
        <f t="shared" si="1"/>
        <v>3A Livestock</v>
      </c>
      <c r="C7" s="23" t="str">
        <f>'IPCC Categories'!D6</f>
        <v>3A1aii Other cattle</v>
      </c>
      <c r="D7" t="str">
        <f>'IPCC Categories'!F41</f>
        <v>Non-lactating</v>
      </c>
      <c r="E7" s="23" t="str">
        <f>E6</f>
        <v>Population</v>
      </c>
      <c r="F7" s="23" t="str">
        <f>F6</f>
        <v>Head</v>
      </c>
      <c r="H7" s="43">
        <f>Data!C53</f>
        <v>585792.9</v>
      </c>
      <c r="I7" s="43">
        <f>Data!D53</f>
        <v>665847.14000000013</v>
      </c>
      <c r="J7" s="43">
        <f>Data!E53</f>
        <v>575959.50999999989</v>
      </c>
      <c r="K7" s="43">
        <f>Data!F53</f>
        <v>602759.85000000009</v>
      </c>
      <c r="L7" s="43">
        <f>Data!G53</f>
        <v>536625.95000000007</v>
      </c>
      <c r="M7" s="43">
        <f>Data!H53</f>
        <v>583093.06999999995</v>
      </c>
      <c r="N7" s="43">
        <f>Data!I53</f>
        <v>592926.46</v>
      </c>
      <c r="O7" s="43">
        <f>Data!J53</f>
        <v>572912.89999999991</v>
      </c>
      <c r="P7" s="43">
        <f>Data!K53</f>
        <v>543412.73</v>
      </c>
      <c r="Q7" s="43">
        <f>Data!L53</f>
        <v>572566.12</v>
      </c>
      <c r="R7" s="43">
        <f>Data!M53</f>
        <v>709614.43</v>
      </c>
      <c r="S7" s="43">
        <f>Data!N53</f>
        <v>699781.04</v>
      </c>
      <c r="T7" s="43">
        <f>Data!O53</f>
        <v>642440.19000000006</v>
      </c>
      <c r="U7" s="43">
        <f>Data!P53</f>
        <v>543412.73</v>
      </c>
      <c r="V7" s="43">
        <f>Data!Q53</f>
        <v>507125.77999999997</v>
      </c>
      <c r="W7" s="43">
        <f>Data!R53</f>
        <v>553592.9</v>
      </c>
      <c r="X7" s="43">
        <f>Data!S53</f>
        <v>546806.12</v>
      </c>
      <c r="Y7" s="43">
        <f>Data!T53</f>
        <v>553246.12</v>
      </c>
      <c r="Z7" s="43">
        <f>Data!U53</f>
        <v>647220.70000000019</v>
      </c>
      <c r="AA7" s="43">
        <f>Data!V53</f>
        <v>673674.26</v>
      </c>
      <c r="AB7" s="43">
        <f>Data!W53</f>
        <v>673674.26</v>
      </c>
      <c r="AC7" s="43">
        <f>Data!X53</f>
        <v>633993.92000000016</v>
      </c>
      <c r="AD7" s="110">
        <f>IF($AD$2="Off",'Activity data'!AD7,'Net zero Intermediate calcs'!Y15*'Net zero Intermediate calcs'!Y16*(1-Constants!$H$18-Constants!$H$19))</f>
        <v>608018.69798187434</v>
      </c>
      <c r="AE7" s="110">
        <f>IF($AD$2="Off",'Activity data'!AE7,'Net zero Intermediate calcs'!Z15*'Net zero Intermediate calcs'!Z16*(1-Constants!$H$18-Constants!$H$19))</f>
        <v>611800.67684522725</v>
      </c>
      <c r="AF7" s="110">
        <f>IF($AD$2="Off",'Activity data'!AF7,'Net zero Intermediate calcs'!AA15*'Net zero Intermediate calcs'!AA16*(1-Constants!$H$18-Constants!$H$19))</f>
        <v>614400.83941239072</v>
      </c>
      <c r="AG7" s="110">
        <f>IF($AD$2="Off",'Activity data'!AG7,'Net zero Intermediate calcs'!AB15*'Net zero Intermediate calcs'!AB16*(1-Constants!$H$18-Constants!$H$19))</f>
        <v>615216.28866894625</v>
      </c>
      <c r="AH7" s="110">
        <f>IF($AD$2="Off",'Activity data'!AH7,'Net zero Intermediate calcs'!AC15*'Net zero Intermediate calcs'!AC16*(1-Constants!$H$18-Constants!$H$19))</f>
        <v>616319.46983312909</v>
      </c>
      <c r="AI7" s="110">
        <f>IF($AD$2="Off",'Activity data'!AI7,'Net zero Intermediate calcs'!AD15*'Net zero Intermediate calcs'!AD16*(1-Constants!$H$18-Constants!$H$19))</f>
        <v>618735.85570479452</v>
      </c>
      <c r="AJ7" s="110">
        <f>IF($AD$2="Off",'Activity data'!AJ7,'Net zero Intermediate calcs'!AE15*'Net zero Intermediate calcs'!AE16*(1-Constants!$H$18-Constants!$H$19))</f>
        <v>621632.85726430325</v>
      </c>
      <c r="AK7" s="110">
        <f>IF($AD$2="Off",'Activity data'!AK7,'Net zero Intermediate calcs'!AF15*'Net zero Intermediate calcs'!AF16*(1-Constants!$H$18-Constants!$H$19))</f>
        <v>622503.14675198344</v>
      </c>
      <c r="AL7" s="110">
        <f>IF($AD$2="Off",'Activity data'!AL7,'Net zero Intermediate calcs'!AG15*'Net zero Intermediate calcs'!AG16*(1-Constants!$H$18-Constants!$H$19))</f>
        <v>603392.43997041078</v>
      </c>
      <c r="AM7" s="110">
        <f>IF($AD$2="Off",'Activity data'!AM7,'Net zero Intermediate calcs'!AH15*'Net zero Intermediate calcs'!AH16*(1-Constants!$H$18-Constants!$H$19))</f>
        <v>603495.48119281512</v>
      </c>
      <c r="AN7" s="110">
        <f>IF($AD$2="Off",'Activity data'!AN7,'Net zero Intermediate calcs'!AI15*'Net zero Intermediate calcs'!AI16*(1-Constants!$H$18-Constants!$H$19))</f>
        <v>603112.9595260421</v>
      </c>
      <c r="AO7" s="110">
        <f>IF($AD$2="Off",'Activity data'!AO7,'Net zero Intermediate calcs'!AJ15*'Net zero Intermediate calcs'!AJ16*(1-Constants!$H$18-Constants!$H$19))</f>
        <v>602770.20127081603</v>
      </c>
      <c r="AP7" s="110">
        <f>IF($AD$2="Off",'Activity data'!AP7,'Net zero Intermediate calcs'!AK15*'Net zero Intermediate calcs'!AK16*(1-Constants!$H$18-Constants!$H$19))</f>
        <v>603278.2923128861</v>
      </c>
      <c r="AQ7" s="110">
        <f>IF($AD$2="Off",'Activity data'!AQ7,'Net zero Intermediate calcs'!AL15*'Net zero Intermediate calcs'!AL16*(1-Constants!$H$18-Constants!$H$19))</f>
        <v>603797.71907805384</v>
      </c>
      <c r="AR7" s="110">
        <f>IF($AD$2="Off",'Activity data'!AR7,'Net zero Intermediate calcs'!AM15*'Net zero Intermediate calcs'!AM16*(1-Constants!$H$18-Constants!$H$19))</f>
        <v>604081.91290422599</v>
      </c>
      <c r="AS7" s="110">
        <f>IF($AD$2="Off",'Activity data'!AS7,'Net zero Intermediate calcs'!AN15*'Net zero Intermediate calcs'!AN16*(1-Constants!$H$18-Constants!$H$19))</f>
        <v>604171.3110468568</v>
      </c>
      <c r="AT7" s="110">
        <f>IF($AD$2="Off",'Activity data'!AT7,'Net zero Intermediate calcs'!AO15*'Net zero Intermediate calcs'!AO16*(1-Constants!$H$18-Constants!$H$19))</f>
        <v>604568.10575358174</v>
      </c>
      <c r="AU7" s="110">
        <f>IF($AD$2="Off",'Activity data'!AU7,'Net zero Intermediate calcs'!AP15*'Net zero Intermediate calcs'!AP16*(1-Constants!$H$18-Constants!$H$19))</f>
        <v>604580.59102607716</v>
      </c>
      <c r="AV7" s="110">
        <f>IF($AD$2="Off",'Activity data'!AV7,'Net zero Intermediate calcs'!AQ15*'Net zero Intermediate calcs'!AQ16*(1-Constants!$H$18-Constants!$H$19))</f>
        <v>604687.96232164837</v>
      </c>
      <c r="AW7" s="110">
        <f>IF($AD$2="Off",'Activity data'!AW7,'Net zero Intermediate calcs'!AR15*'Net zero Intermediate calcs'!AR16*(1-Constants!$H$18-Constants!$H$19))</f>
        <v>609803.45308653323</v>
      </c>
      <c r="AX7" s="110">
        <f>IF($AD$2="Off",'Activity data'!AX7,'Net zero Intermediate calcs'!AS15*'Net zero Intermediate calcs'!AS16*(1-Constants!$H$18-Constants!$H$19))</f>
        <v>615441.79318139376</v>
      </c>
      <c r="AY7" s="110">
        <f>IF($AD$2="Off",'Activity data'!AY7,'Net zero Intermediate calcs'!AT15*'Net zero Intermediate calcs'!AT16*(1-Constants!$H$18-Constants!$H$19))</f>
        <v>621321.3256074884</v>
      </c>
      <c r="AZ7" s="110">
        <f>IF($AD$2="Off",'Activity data'!AZ7,'Net zero Intermediate calcs'!AU15*'Net zero Intermediate calcs'!AU16*(1-Constants!$H$18-Constants!$H$19))</f>
        <v>621263.65060784447</v>
      </c>
      <c r="BA7" s="110">
        <f>IF($AD$2="Off",'Activity data'!BA7,'Net zero Intermediate calcs'!AV15*'Net zero Intermediate calcs'!AV16*(1-Constants!$H$18-Constants!$H$19))</f>
        <v>332072.62438376126</v>
      </c>
      <c r="BB7" s="110">
        <f>IF($AD$2="Off",'Activity data'!BB7,'Net zero Intermediate calcs'!AW15*'Net zero Intermediate calcs'!AW16*(1-Constants!$H$18-Constants!$H$19))</f>
        <v>331770.58747858676</v>
      </c>
      <c r="BC7" s="110">
        <f>IF($AD$2="Off",'Activity data'!BC7,'Net zero Intermediate calcs'!AX15*'Net zero Intermediate calcs'!AX16*(1-Constants!$H$18-Constants!$H$19))</f>
        <v>331499.72565128037</v>
      </c>
      <c r="BD7" s="110">
        <f>IF($AD$2="Off",'Activity data'!BD7,'Net zero Intermediate calcs'!AY15*'Net zero Intermediate calcs'!AY16*(1-Constants!$H$18-Constants!$H$19))</f>
        <v>331258.66721219482</v>
      </c>
      <c r="BE7" s="110">
        <f>IF($AD$2="Off",'Activity data'!BE7,'Net zero Intermediate calcs'!AZ15*'Net zero Intermediate calcs'!AZ16*(1-Constants!$H$18-Constants!$H$19))</f>
        <v>331046.14179245237</v>
      </c>
      <c r="BF7" s="110">
        <f>IF($AD$2="Off",'Activity data'!BF7,'Net zero Intermediate calcs'!BA15*'Net zero Intermediate calcs'!BA16*(1-Constants!$H$18-Constants!$H$19))</f>
        <v>330860.97074315691</v>
      </c>
      <c r="BG7" s="110">
        <f>IF($AD$2="Off",'Activity data'!BG7,'Net zero Intermediate calcs'!BB15*'Net zero Intermediate calcs'!BB16*(1-Constants!$H$18-Constants!$H$19))</f>
        <v>330468.44077837875</v>
      </c>
      <c r="BH7" s="110">
        <f>IF($AD$2="Off",'Activity data'!BH7,'Net zero Intermediate calcs'!BC15*'Net zero Intermediate calcs'!BC16*(1-Constants!$H$18-Constants!$H$19))</f>
        <v>330100.3749818448</v>
      </c>
      <c r="BI7" s="110">
        <f>IF($AD$2="Off",'Activity data'!BI7,'Net zero Intermediate calcs'!BD15*'Net zero Intermediate calcs'!BD16*(1-Constants!$H$18-Constants!$H$19))</f>
        <v>329755.77763968415</v>
      </c>
      <c r="BJ7" s="110">
        <f>IF($AD$2="Off",'Activity data'!BJ7,'Net zero Intermediate calcs'!BE15*'Net zero Intermediate calcs'!BE16*(1-Constants!$H$18-Constants!$H$19))</f>
        <v>329433.7181828657</v>
      </c>
      <c r="BK7" s="110">
        <f>IF($AD$2="Off",'Activity data'!BK7,'Net zero Intermediate calcs'!BF15*'Net zero Intermediate calcs'!BF16*(1-Constants!$H$18-Constants!$H$19))</f>
        <v>329133.32566499722</v>
      </c>
      <c r="BL7" s="110">
        <f>IF($AD$2="Off",'Activity data'!BL7,'Net zero Intermediate calcs'!BG15*'Net zero Intermediate calcs'!BG16*(1-Constants!$H$18-Constants!$H$19))</f>
        <v>328619.60880947427</v>
      </c>
      <c r="BM7" s="110">
        <f>IF($AD$2="Off",'Activity data'!BM7,'Net zero Intermediate calcs'!BH15*'Net zero Intermediate calcs'!BH16*(1-Constants!$H$18-Constants!$H$19))</f>
        <v>328125.58424115105</v>
      </c>
      <c r="BN7" s="110">
        <f>IF($AD$2="Off",'Activity data'!BN7,'Net zero Intermediate calcs'!BI15*'Net zero Intermediate calcs'!BI16*(1-Constants!$H$18-Constants!$H$19))</f>
        <v>327650.49664171075</v>
      </c>
      <c r="BO7" s="110">
        <f>IF($AD$2="Off",'Activity data'!BO7,'Net zero Intermediate calcs'!BJ15*'Net zero Intermediate calcs'!BJ16*(1-Constants!$H$18-Constants!$H$19))</f>
        <v>327193.6349718764</v>
      </c>
      <c r="BP7" s="110">
        <f>IF($AD$2="Off",'Activity data'!BP7,'Net zero Intermediate calcs'!BK15*'Net zero Intermediate calcs'!BK16*(1-Constants!$H$18-Constants!$H$19))</f>
        <v>326754.32907805644</v>
      </c>
      <c r="BQ7" s="23">
        <v>864635.65416680544</v>
      </c>
    </row>
    <row r="8" spans="1:72" s="23" customFormat="1" x14ac:dyDescent="0.25">
      <c r="A8" s="23" t="str">
        <f t="shared" si="1"/>
        <v>3A Livestock</v>
      </c>
      <c r="C8" s="23" t="str">
        <f>C7</f>
        <v>3A1aii Other cattle</v>
      </c>
      <c r="D8" t="str">
        <f>'IPCC Categories'!$F$36</f>
        <v>Commercial</v>
      </c>
      <c r="E8" s="23" t="str">
        <f>E6</f>
        <v>Population</v>
      </c>
      <c r="F8" s="23" t="str">
        <f>F6</f>
        <v>Head</v>
      </c>
      <c r="H8" s="43">
        <f>Data!C54</f>
        <v>6817100</v>
      </c>
      <c r="I8" s="43">
        <f>Data!D54</f>
        <v>6522860</v>
      </c>
      <c r="J8" s="43">
        <f>Data!E54</f>
        <v>6520490</v>
      </c>
      <c r="K8" s="43">
        <f>Data!F54</f>
        <v>6100150</v>
      </c>
      <c r="L8" s="43">
        <f>Data!G54</f>
        <v>6284050</v>
      </c>
      <c r="M8" s="43">
        <f>Data!H54</f>
        <v>6426930</v>
      </c>
      <c r="N8" s="43">
        <f>Data!I54</f>
        <v>6693540</v>
      </c>
      <c r="O8" s="43">
        <f>Data!J54</f>
        <v>6947100</v>
      </c>
      <c r="P8" s="43">
        <f>Data!K54</f>
        <v>7007270</v>
      </c>
      <c r="Q8" s="43">
        <f>Data!L54</f>
        <v>6893880</v>
      </c>
      <c r="R8" s="43">
        <f>Data!M54</f>
        <v>6425570</v>
      </c>
      <c r="S8" s="43">
        <f>Data!N54</f>
        <v>6458960</v>
      </c>
      <c r="T8" s="43">
        <f>Data!O54</f>
        <v>6019810</v>
      </c>
      <c r="U8" s="43">
        <f>Data!P54</f>
        <v>6177270</v>
      </c>
      <c r="V8" s="43">
        <f>Data!Q54</f>
        <v>6234220</v>
      </c>
      <c r="W8" s="43">
        <f>Data!R54</f>
        <v>6287100</v>
      </c>
      <c r="X8" s="43">
        <f>Data!S54</f>
        <v>6143880</v>
      </c>
      <c r="Y8" s="43">
        <f>Data!T54</f>
        <v>6323880</v>
      </c>
      <c r="Z8" s="43">
        <f>Data!U54</f>
        <v>6148152.25</v>
      </c>
      <c r="AA8" s="43">
        <f>Data!V54</f>
        <v>6044920.583333333</v>
      </c>
      <c r="AB8" s="43">
        <f>Data!W54</f>
        <v>6025917.666666667</v>
      </c>
      <c r="AC8" s="43">
        <f>Data!X54</f>
        <v>6004279.833333333</v>
      </c>
      <c r="AD8" s="110">
        <f>IF($AD$2="Off",'Activity data'!AD8,'Net zero Intermediate calcs'!Y10*'Net zero Intermediate calcs'!Y11*Constants!$H$20)</f>
        <v>6007349.5592559706</v>
      </c>
      <c r="AE8" s="110">
        <f>IF($AD$2="Off",'Activity data'!AE8,'Net zero Intermediate calcs'!Z10*'Net zero Intermediate calcs'!Z11*Constants!$H$20)</f>
        <v>5967530.2158234045</v>
      </c>
      <c r="AF8" s="110">
        <f>IF($AD$2="Off",'Activity data'!AF8,'Net zero Intermediate calcs'!AA10*'Net zero Intermediate calcs'!AA11*Constants!$H$20)</f>
        <v>5883573.7985937558</v>
      </c>
      <c r="AG8" s="110">
        <f>IF($AD$2="Off",'Activity data'!AG8,'Net zero Intermediate calcs'!AB10*'Net zero Intermediate calcs'!AB11*Constants!$H$20)</f>
        <v>5742053.6226589652</v>
      </c>
      <c r="AH8" s="110">
        <f>IF($AD$2="Off",'Activity data'!AH8,'Net zero Intermediate calcs'!AC10*'Net zero Intermediate calcs'!AC11*Constants!$H$20)</f>
        <v>5604747.315330226</v>
      </c>
      <c r="AI8" s="110">
        <f>IF($AD$2="Off",'Activity data'!AI8,'Net zero Intermediate calcs'!AD10*'Net zero Intermediate calcs'!AD11*Constants!$H$20)</f>
        <v>5499139.4932850013</v>
      </c>
      <c r="AJ8" s="110">
        <f>IF($AD$2="Off",'Activity data'!AJ8,'Net zero Intermediate calcs'!AE10*'Net zero Intermediate calcs'!AE11*Constants!$H$20)</f>
        <v>5403616.40519528</v>
      </c>
      <c r="AK8" s="110">
        <f>IF($AD$2="Off",'Activity data'!AK8,'Net zero Intermediate calcs'!AF10*'Net zero Intermediate calcs'!AF11*Constants!$H$20)</f>
        <v>5253429.56876144</v>
      </c>
      <c r="AL8" s="110">
        <f>IF($AD$2="Off",'Activity data'!AL8,'Net zero Intermediate calcs'!AG10*'Net zero Intermediate calcs'!AG11*Constants!$H$20)</f>
        <v>4607576.1616366571</v>
      </c>
      <c r="AM8" s="110">
        <f>IF($AD$2="Off",'Activity data'!AM8,'Net zero Intermediate calcs'!AH10*'Net zero Intermediate calcs'!AH11*Constants!$H$20)</f>
        <v>4614281.8000494493</v>
      </c>
      <c r="AN8" s="110">
        <f>IF($AD$2="Off",'Activity data'!AN8,'Net zero Intermediate calcs'!AI10*'Net zero Intermediate calcs'!AI11*Constants!$H$20)</f>
        <v>4606312.2014537742</v>
      </c>
      <c r="AO8" s="110">
        <f>IF($AD$2="Off",'Activity data'!AO8,'Net zero Intermediate calcs'!AJ10*'Net zero Intermediate calcs'!AJ11*Constants!$H$20)</f>
        <v>4596923.7221375043</v>
      </c>
      <c r="AP8" s="110">
        <f>IF($AD$2="Off",'Activity data'!AP8,'Net zero Intermediate calcs'!AK10*'Net zero Intermediate calcs'!AK11*Constants!$H$20)</f>
        <v>4605270.1358628161</v>
      </c>
      <c r="AQ8" s="110">
        <f>IF($AD$2="Off",'Activity data'!AQ8,'Net zero Intermediate calcs'!AL10*'Net zero Intermediate calcs'!AL11*Constants!$H$20)</f>
        <v>4611351.4159447728</v>
      </c>
      <c r="AR8" s="110">
        <f>IF($AD$2="Off",'Activity data'!AR8,'Net zero Intermediate calcs'!AM10*'Net zero Intermediate calcs'!AM11*Constants!$H$20)</f>
        <v>4618879.1119940048</v>
      </c>
      <c r="AS8" s="110">
        <f>IF($AD$2="Off",'Activity data'!AS8,'Net zero Intermediate calcs'!AN10*'Net zero Intermediate calcs'!AN11*Constants!$H$20)</f>
        <v>4619737.2320818715</v>
      </c>
      <c r="AT8" s="110">
        <f>IF($AD$2="Off",'Activity data'!AT8,'Net zero Intermediate calcs'!AO10*'Net zero Intermediate calcs'!AO11*Constants!$H$20)</f>
        <v>4625356.6469964925</v>
      </c>
      <c r="AU8" s="110">
        <f>IF($AD$2="Off",'Activity data'!AU8,'Net zero Intermediate calcs'!AP10*'Net zero Intermediate calcs'!AP11*Constants!$H$20)</f>
        <v>4620558.0807004413</v>
      </c>
      <c r="AV8" s="110">
        <f>IF($AD$2="Off",'Activity data'!AV8,'Net zero Intermediate calcs'!AQ10*'Net zero Intermediate calcs'!AQ11*Constants!$H$20)</f>
        <v>4616105.4830168337</v>
      </c>
      <c r="AW8" s="110">
        <f>IF($AD$2="Off",'Activity data'!AW8,'Net zero Intermediate calcs'!AR10*'Net zero Intermediate calcs'!AR11*Constants!$H$20)</f>
        <v>4625030.9733476695</v>
      </c>
      <c r="AX8" s="110">
        <f>IF($AD$2="Off",'Activity data'!AX8,'Net zero Intermediate calcs'!AS10*'Net zero Intermediate calcs'!AS11*Constants!$H$20)</f>
        <v>4639999.6926666563</v>
      </c>
      <c r="AY8" s="110">
        <f>IF($AD$2="Off",'Activity data'!AY8,'Net zero Intermediate calcs'!AT10*'Net zero Intermediate calcs'!AT11*Constants!$H$20)</f>
        <v>4654807.9530750718</v>
      </c>
      <c r="AZ8" s="110">
        <f>IF($AD$2="Off",'Activity data'!AZ8,'Net zero Intermediate calcs'!AU10*'Net zero Intermediate calcs'!AU11*Constants!$H$20)</f>
        <v>4548623.9032578282</v>
      </c>
      <c r="BA8" s="110">
        <f>IF($AD$2="Off",'Activity data'!BA8,'Net zero Intermediate calcs'!AV10*'Net zero Intermediate calcs'!AV11*Constants!$H$20)</f>
        <v>-1071196.5925712455</v>
      </c>
      <c r="BB8" s="110">
        <f>IF($AD$2="Off",'Activity data'!BB8,'Net zero Intermediate calcs'!AW10*'Net zero Intermediate calcs'!AW11*Constants!$H$20)</f>
        <v>-1044628.5322039373</v>
      </c>
      <c r="BC8" s="110">
        <f>IF($AD$2="Off",'Activity data'!BC8,'Net zero Intermediate calcs'!AX10*'Net zero Intermediate calcs'!AX11*Constants!$H$20)</f>
        <v>-1018536.0265862364</v>
      </c>
      <c r="BD8" s="110">
        <f>IF($AD$2="Off",'Activity data'!BD8,'Net zero Intermediate calcs'!AY10*'Net zero Intermediate calcs'!AY11*Constants!$H$20)</f>
        <v>-992896.53258394846</v>
      </c>
      <c r="BE8" s="110">
        <f>IF($AD$2="Off",'Activity data'!BE8,'Net zero Intermediate calcs'!AZ10*'Net zero Intermediate calcs'!AZ11*Constants!$H$20)</f>
        <v>-967689.06461053621</v>
      </c>
      <c r="BF8" s="110">
        <f>IF($AD$2="Off",'Activity data'!BF8,'Net zero Intermediate calcs'!BA10*'Net zero Intermediate calcs'!BA11*Constants!$H$20)</f>
        <v>-942894.05136594037</v>
      </c>
      <c r="BG8" s="110">
        <f>IF($AD$2="Off",'Activity data'!BG8,'Net zero Intermediate calcs'!BB10*'Net zero Intermediate calcs'!BB11*Constants!$H$20)</f>
        <v>-922557.51697508642</v>
      </c>
      <c r="BH8" s="110">
        <f>IF($AD$2="Off",'Activity data'!BH8,'Net zero Intermediate calcs'!BC10*'Net zero Intermediate calcs'!BC11*Constants!$H$20)</f>
        <v>-902566.40295716189</v>
      </c>
      <c r="BI8" s="110">
        <f>IF($AD$2="Off",'Activity data'!BI8,'Net zero Intermediate calcs'!BD10*'Net zero Intermediate calcs'!BD11*Constants!$H$20)</f>
        <v>-882906.49041442515</v>
      </c>
      <c r="BJ8" s="110">
        <f>IF($AD$2="Off",'Activity data'!BJ8,'Net zero Intermediate calcs'!BE10*'Net zero Intermediate calcs'!BE11*Constants!$H$20)</f>
        <v>-863564.44095789408</v>
      </c>
      <c r="BK8" s="110">
        <f>IF($AD$2="Off",'Activity data'!BK8,'Net zero Intermediate calcs'!BF10*'Net zero Intermediate calcs'!BF11*Constants!$H$20)</f>
        <v>-844527.72425004863</v>
      </c>
      <c r="BL8" s="110">
        <f>IF($AD$2="Off",'Activity data'!BL8,'Net zero Intermediate calcs'!BG10*'Net zero Intermediate calcs'!BG11*Constants!$H$20)</f>
        <v>-825223.32230861776</v>
      </c>
      <c r="BM8" s="110">
        <f>IF($AD$2="Off",'Activity data'!BM8,'Net zero Intermediate calcs'!BH10*'Net zero Intermediate calcs'!BH11*Constants!$H$20)</f>
        <v>-806224.4685075304</v>
      </c>
      <c r="BN8" s="110">
        <f>IF($AD$2="Off",'Activity data'!BN8,'Net zero Intermediate calcs'!BI10*'Net zero Intermediate calcs'!BI11*Constants!$H$20)</f>
        <v>-787520.28025821666</v>
      </c>
      <c r="BO8" s="110">
        <f>IF($AD$2="Off",'Activity data'!BO8,'Net zero Intermediate calcs'!BJ10*'Net zero Intermediate calcs'!BJ11*Constants!$H$20)</f>
        <v>-769100.48086842429</v>
      </c>
      <c r="BP8" s="110">
        <f>IF($AD$2="Off",'Activity data'!BP8,'Net zero Intermediate calcs'!BK10*'Net zero Intermediate calcs'!BK11*Constants!$H$20)</f>
        <v>-750955.35462488607</v>
      </c>
      <c r="BQ8" s="111">
        <v>5916196.5823583361</v>
      </c>
    </row>
    <row r="9" spans="1:72" s="23" customFormat="1" x14ac:dyDescent="0.25">
      <c r="A9" s="23" t="str">
        <f t="shared" si="1"/>
        <v>3A Livestock</v>
      </c>
      <c r="C9" s="23" t="str">
        <f>$C$8</f>
        <v>3A1aii Other cattle</v>
      </c>
      <c r="D9" t="str">
        <f>'IPCC Categories'!$F$37</f>
        <v>Subsistence</v>
      </c>
      <c r="E9" s="23" t="str">
        <f t="shared" ref="E9:F22" si="2">E8</f>
        <v>Population</v>
      </c>
      <c r="F9" s="23" t="str">
        <f t="shared" si="2"/>
        <v>Head</v>
      </c>
      <c r="H9" s="43">
        <f>Data!C55</f>
        <v>4590000</v>
      </c>
      <c r="I9" s="43">
        <f>Data!D55</f>
        <v>4870000</v>
      </c>
      <c r="J9" s="43">
        <f>Data!E55</f>
        <v>5100000</v>
      </c>
      <c r="K9" s="43">
        <f>Data!F55</f>
        <v>5040000</v>
      </c>
      <c r="L9" s="43">
        <f>Data!G55</f>
        <v>4390000</v>
      </c>
      <c r="M9" s="43">
        <f>Data!H55</f>
        <v>4240000</v>
      </c>
      <c r="N9" s="43">
        <f>Data!I55</f>
        <v>4360000</v>
      </c>
      <c r="O9" s="43">
        <f>Data!J55</f>
        <v>4560000</v>
      </c>
      <c r="P9" s="43">
        <f>Data!K55</f>
        <v>4840000</v>
      </c>
      <c r="Q9" s="43">
        <f>Data!L55</f>
        <v>5040000</v>
      </c>
      <c r="R9" s="43">
        <f>Data!M55</f>
        <v>4920000</v>
      </c>
      <c r="S9" s="43">
        <f>Data!N55</f>
        <v>4800000</v>
      </c>
      <c r="T9" s="43">
        <f>Data!O55</f>
        <v>5440000</v>
      </c>
      <c r="U9" s="43">
        <f>Data!P55</f>
        <v>5570000</v>
      </c>
      <c r="V9" s="43">
        <f>Data!Q55</f>
        <v>5480000</v>
      </c>
      <c r="W9" s="43">
        <f>Data!R55</f>
        <v>5320000</v>
      </c>
      <c r="X9" s="43">
        <f>Data!S55</f>
        <v>5490000</v>
      </c>
      <c r="Y9" s="43">
        <f>Data!T55</f>
        <v>5710000</v>
      </c>
      <c r="Z9" s="43">
        <f>Data!U55</f>
        <v>5620000</v>
      </c>
      <c r="AA9" s="43">
        <f>Data!V55</f>
        <v>5560000</v>
      </c>
      <c r="AB9" s="43">
        <f>Data!W55</f>
        <v>5480000</v>
      </c>
      <c r="AC9" s="43">
        <f>Data!X55</f>
        <v>5520000</v>
      </c>
      <c r="AD9" s="110">
        <f>IF($AD$2="Off",'Activity data'!AD9,'Net zero Intermediate calcs'!Y10*'Net zero Intermediate calcs'!Y11*(1-Constants!$H$20))</f>
        <v>5327272.250660954</v>
      </c>
      <c r="AE9" s="110">
        <f>IF($AD$2="Off",'Activity data'!AE9,'Net zero Intermediate calcs'!Z10*'Net zero Intermediate calcs'!Z11*(1-Constants!$H$20))</f>
        <v>5291960.7574283015</v>
      </c>
      <c r="AF9" s="110">
        <f>IF($AD$2="Off",'Activity data'!AF9,'Net zero Intermediate calcs'!AA10*'Net zero Intermediate calcs'!AA11*(1-Constants!$H$20))</f>
        <v>5217508.8402623869</v>
      </c>
      <c r="AG9" s="110">
        <f>IF($AD$2="Off",'Activity data'!AG9,'Net zero Intermediate calcs'!AB10*'Net zero Intermediate calcs'!AB11*(1-Constants!$H$20))</f>
        <v>5092009.8163202135</v>
      </c>
      <c r="AH9" s="110">
        <f>IF($AD$2="Off",'Activity data'!AH9,'Net zero Intermediate calcs'!AC10*'Net zero Intermediate calcs'!AC11*(1-Constants!$H$20))</f>
        <v>4970247.619255105</v>
      </c>
      <c r="AI9" s="110">
        <f>IF($AD$2="Off",'Activity data'!AI9,'Net zero Intermediate calcs'!AD10*'Net zero Intermediate calcs'!AD11*(1-Constants!$H$20))</f>
        <v>4876595.3997055674</v>
      </c>
      <c r="AJ9" s="110">
        <f>IF($AD$2="Off",'Activity data'!AJ9,'Net zero Intermediate calcs'!AE10*'Net zero Intermediate calcs'!AE11*(1-Constants!$H$20))</f>
        <v>4791886.2461165683</v>
      </c>
      <c r="AK9" s="110">
        <f>IF($AD$2="Off",'Activity data'!AK9,'Net zero Intermediate calcs'!AF10*'Net zero Intermediate calcs'!AF11*(1-Constants!$H$20))</f>
        <v>4658701.6930525973</v>
      </c>
      <c r="AL9" s="110">
        <f>IF($AD$2="Off",'Activity data'!AL9,'Net zero Intermediate calcs'!AG10*'Net zero Intermediate calcs'!AG11*(1-Constants!$H$20))</f>
        <v>4085963.7659796765</v>
      </c>
      <c r="AM9" s="110">
        <f>IF($AD$2="Off",'Activity data'!AM9,'Net zero Intermediate calcs'!AH10*'Net zero Intermediate calcs'!AH11*(1-Constants!$H$20))</f>
        <v>4091910.2755155494</v>
      </c>
      <c r="AN9" s="110">
        <f>IF($AD$2="Off",'Activity data'!AN9,'Net zero Intermediate calcs'!AI10*'Net zero Intermediate calcs'!AI11*(1-Constants!$H$20))</f>
        <v>4084842.8956288183</v>
      </c>
      <c r="AO9" s="110">
        <f>IF($AD$2="Off",'Activity data'!AO9,'Net zero Intermediate calcs'!AJ10*'Net zero Intermediate calcs'!AJ11*(1-Constants!$H$20))</f>
        <v>4076517.2630275977</v>
      </c>
      <c r="AP9" s="110">
        <f>IF($AD$2="Off",'Activity data'!AP9,'Net zero Intermediate calcs'!AK10*'Net zero Intermediate calcs'!AK11*(1-Constants!$H$20))</f>
        <v>4083918.7997274026</v>
      </c>
      <c r="AQ9" s="110">
        <f>IF($AD$2="Off",'Activity data'!AQ9,'Net zero Intermediate calcs'!AL10*'Net zero Intermediate calcs'!AL11*(1-Constants!$H$20))</f>
        <v>4089311.6330076279</v>
      </c>
      <c r="AR9" s="110">
        <f>IF($AD$2="Off",'Activity data'!AR9,'Net zero Intermediate calcs'!AM10*'Net zero Intermediate calcs'!AM11*(1-Constants!$H$20))</f>
        <v>4095987.1370512871</v>
      </c>
      <c r="AS9" s="110">
        <f>IF($AD$2="Off",'Activity data'!AS9,'Net zero Intermediate calcs'!AN10*'Net zero Intermediate calcs'!AN11*(1-Constants!$H$20))</f>
        <v>4096748.1114688292</v>
      </c>
      <c r="AT9" s="110">
        <f>IF($AD$2="Off",'Activity data'!AT9,'Net zero Intermediate calcs'!AO10*'Net zero Intermediate calcs'!AO11*(1-Constants!$H$20))</f>
        <v>4101731.3662044364</v>
      </c>
      <c r="AU9" s="110">
        <f>IF($AD$2="Off",'Activity data'!AU9,'Net zero Intermediate calcs'!AP10*'Net zero Intermediate calcs'!AP11*(1-Constants!$H$20))</f>
        <v>4097476.033828693</v>
      </c>
      <c r="AV9" s="110">
        <f>IF($AD$2="Off",'Activity data'!AV9,'Net zero Intermediate calcs'!AQ10*'Net zero Intermediate calcs'!AQ11*(1-Constants!$H$20))</f>
        <v>4093527.5038073808</v>
      </c>
      <c r="AW9" s="110">
        <f>IF($AD$2="Off",'Activity data'!AW9,'Net zero Intermediate calcs'!AR10*'Net zero Intermediate calcs'!AR11*(1-Constants!$H$20))</f>
        <v>4101442.5612705741</v>
      </c>
      <c r="AX9" s="110">
        <f>IF($AD$2="Off",'Activity data'!AX9,'Net zero Intermediate calcs'!AS10*'Net zero Intermediate calcs'!AS11*(1-Constants!$H$20))</f>
        <v>4114716.708591185</v>
      </c>
      <c r="AY9" s="110">
        <f>IF($AD$2="Off",'Activity data'!AY9,'Net zero Intermediate calcs'!AT10*'Net zero Intermediate calcs'!AT11*(1-Constants!$H$20))</f>
        <v>4127848.5621609124</v>
      </c>
      <c r="AZ9" s="110">
        <f>IF($AD$2="Off",'Activity data'!AZ9,'Net zero Intermediate calcs'!AU10*'Net zero Intermediate calcs'!AU11*(1-Constants!$H$20))</f>
        <v>4033685.3481720355</v>
      </c>
      <c r="BA9" s="110">
        <f>IF($AD$2="Off",'Activity data'!BA9,'Net zero Intermediate calcs'!AV10*'Net zero Intermediate calcs'!AV11*(1-Constants!$H$20))</f>
        <v>-949929.05378959503</v>
      </c>
      <c r="BB9" s="110">
        <f>IF($AD$2="Off",'Activity data'!BB9,'Net zero Intermediate calcs'!AW10*'Net zero Intermediate calcs'!AW11*(1-Constants!$H$20))</f>
        <v>-926368.69836952921</v>
      </c>
      <c r="BC9" s="110">
        <f>IF($AD$2="Off",'Activity data'!BC9,'Net zero Intermediate calcs'!AX10*'Net zero Intermediate calcs'!AX11*(1-Constants!$H$20))</f>
        <v>-903230.06131232274</v>
      </c>
      <c r="BD9" s="110">
        <f>IF($AD$2="Off",'Activity data'!BD9,'Net zero Intermediate calcs'!AY10*'Net zero Intermediate calcs'!AY11*(1-Constants!$H$20))</f>
        <v>-880493.15153670893</v>
      </c>
      <c r="BE9" s="110">
        <f>IF($AD$2="Off",'Activity data'!BE9,'Net zero Intermediate calcs'!AZ10*'Net zero Intermediate calcs'!AZ11*(1-Constants!$H$20))</f>
        <v>-858139.35918292822</v>
      </c>
      <c r="BF9" s="110">
        <f>IF($AD$2="Off",'Activity data'!BF9,'Net zero Intermediate calcs'!BA10*'Net zero Intermediate calcs'!BA11*(1-Constants!$H$20))</f>
        <v>-836151.32856979617</v>
      </c>
      <c r="BG9" s="110">
        <f>IF($AD$2="Off",'Activity data'!BG9,'Net zero Intermediate calcs'!BB10*'Net zero Intermediate calcs'!BB11*(1-Constants!$H$20))</f>
        <v>-818117.04335526517</v>
      </c>
      <c r="BH9" s="110">
        <f>IF($AD$2="Off",'Activity data'!BH9,'Net zero Intermediate calcs'!BC10*'Net zero Intermediate calcs'!BC11*(1-Constants!$H$20))</f>
        <v>-800389.07432050188</v>
      </c>
      <c r="BI9" s="110">
        <f>IF($AD$2="Off",'Activity data'!BI9,'Net zero Intermediate calcs'!BD10*'Net zero Intermediate calcs'!BD11*(1-Constants!$H$20))</f>
        <v>-782954.81225430139</v>
      </c>
      <c r="BJ9" s="110">
        <f>IF($AD$2="Off",'Activity data'!BJ9,'Net zero Intermediate calcs'!BE10*'Net zero Intermediate calcs'!BE11*(1-Constants!$H$20))</f>
        <v>-765802.42877398152</v>
      </c>
      <c r="BK9" s="110">
        <f>IF($AD$2="Off",'Activity data'!BK9,'Net zero Intermediate calcs'!BF10*'Net zero Intermediate calcs'!BF11*(1-Constants!$H$20))</f>
        <v>-748920.81207079766</v>
      </c>
      <c r="BL9" s="110">
        <f>IF($AD$2="Off",'Activity data'!BL9,'Net zero Intermediate calcs'!BG10*'Net zero Intermediate calcs'!BG11*(1-Constants!$H$20))</f>
        <v>-731801.81412273634</v>
      </c>
      <c r="BM9" s="110">
        <f>IF($AD$2="Off",'Activity data'!BM9,'Net zero Intermediate calcs'!BH10*'Net zero Intermediate calcs'!BH11*(1-Constants!$H$20))</f>
        <v>-714953.77395950793</v>
      </c>
      <c r="BN9" s="110">
        <f>IF($AD$2="Off",'Activity data'!BN9,'Net zero Intermediate calcs'!BI10*'Net zero Intermediate calcs'!BI11*(1-Constants!$H$20))</f>
        <v>-698367.04098370159</v>
      </c>
      <c r="BO9" s="110">
        <f>IF($AD$2="Off",'Activity data'!BO9,'Net zero Intermediate calcs'!BJ10*'Net zero Intermediate calcs'!BJ11*(1-Constants!$H$20))</f>
        <v>-682032.50190218748</v>
      </c>
      <c r="BP9" s="110">
        <f>IF($AD$2="Off",'Activity data'!BP9,'Net zero Intermediate calcs'!BK10*'Net zero Intermediate calcs'!BK11*(1-Constants!$H$20))</f>
        <v>-665941.5408937668</v>
      </c>
      <c r="BQ9" s="111">
        <v>5246438.4786951281</v>
      </c>
    </row>
    <row r="10" spans="1:72" s="23" customFormat="1" x14ac:dyDescent="0.25">
      <c r="A10" s="23" t="str">
        <f t="shared" si="1"/>
        <v>3A Livestock</v>
      </c>
      <c r="C10" s="23" t="str">
        <f>$C$9</f>
        <v>3A1aii Other cattle</v>
      </c>
      <c r="D10" t="str">
        <f>'IPCC Categories'!$F$38</f>
        <v>Feedlot</v>
      </c>
      <c r="E10" s="23" t="str">
        <f t="shared" si="2"/>
        <v>Population</v>
      </c>
      <c r="F10" s="23" t="str">
        <f t="shared" si="2"/>
        <v>Head</v>
      </c>
      <c r="H10" s="43">
        <v>420000</v>
      </c>
      <c r="I10" s="43">
        <v>420000</v>
      </c>
      <c r="J10" s="43">
        <v>420000</v>
      </c>
      <c r="K10" s="43">
        <v>420000</v>
      </c>
      <c r="L10" s="43">
        <v>420000</v>
      </c>
      <c r="M10" s="43">
        <v>420000</v>
      </c>
      <c r="N10" s="43">
        <v>420000</v>
      </c>
      <c r="O10" s="43">
        <v>420000</v>
      </c>
      <c r="P10" s="43">
        <v>420000</v>
      </c>
      <c r="Q10" s="43">
        <v>420000</v>
      </c>
      <c r="R10" s="43">
        <v>420000</v>
      </c>
      <c r="S10" s="43">
        <v>420000</v>
      </c>
      <c r="T10" s="43">
        <v>420000</v>
      </c>
      <c r="U10" s="43">
        <v>420000</v>
      </c>
      <c r="V10" s="43">
        <v>420000</v>
      </c>
      <c r="W10" s="43">
        <v>420000</v>
      </c>
      <c r="X10" s="43">
        <v>420000</v>
      </c>
      <c r="Y10" s="43">
        <v>420000</v>
      </c>
      <c r="Z10" s="43">
        <v>391147.75</v>
      </c>
      <c r="AA10" s="43">
        <v>400819.41666666669</v>
      </c>
      <c r="AB10" s="43">
        <v>399822.33333333331</v>
      </c>
      <c r="AC10" s="43">
        <v>461800.16666666669</v>
      </c>
      <c r="AD10" s="110">
        <f>IF($AD$2="Off",'Activity data'!AD10,(((('Net zero Intermediate calcs'!Y9/('Net zero Intermediate calcs'!Y64+0.27))*ttokg)/Constants!$H$21)/(365/'Net zero Intermediate calcs'!Y65)))</f>
        <v>544425.44678784802</v>
      </c>
      <c r="AE10" s="110">
        <f>IF($AD$2="Off",'Activity data'!AE10,(((('Net zero Intermediate calcs'!Z9/('Net zero Intermediate calcs'!Z64+0.27))*ttokg)/Constants!$H$21)/(365/'Net zero Intermediate calcs'!Z65)))</f>
        <v>563815.25409722852</v>
      </c>
      <c r="AF10" s="110">
        <f>IF($AD$2="Off",'Activity data'!AF10,(((('Net zero Intermediate calcs'!AA9/('Net zero Intermediate calcs'!AA64+0.27))*ttokg)/Constants!$H$21)/(365/'Net zero Intermediate calcs'!AA65)))</f>
        <v>579205.48050671967</v>
      </c>
      <c r="AG10" s="110">
        <f>IF($AD$2="Off",'Activity data'!AG10,(((('Net zero Intermediate calcs'!AB9/('Net zero Intermediate calcs'!AB64+0.27))*ttokg)/Constants!$H$21)/(365/'Net zero Intermediate calcs'!AB65)))</f>
        <v>588722.95646496292</v>
      </c>
      <c r="AH10" s="110">
        <f>IF($AD$2="Off",'Activity data'!AH10,(((('Net zero Intermediate calcs'!AC9/('Net zero Intermediate calcs'!AC64+0.27))*ttokg)/Constants!$H$21)/(365/'Net zero Intermediate calcs'!AC65)))</f>
        <v>598260.30078749277</v>
      </c>
      <c r="AI10" s="110">
        <f>IF($AD$2="Off",'Activity data'!AI10,(((('Net zero Intermediate calcs'!AD9/('Net zero Intermediate calcs'!AD64+0.27))*ttokg)/Constants!$H$21)/(365/'Net zero Intermediate calcs'!AD65)))</f>
        <v>610925.73677676241</v>
      </c>
      <c r="AJ10" s="110">
        <f>IF($AD$2="Off",'Activity data'!AJ10,(((('Net zero Intermediate calcs'!AE9/('Net zero Intermediate calcs'!AE64+0.27))*ttokg)/Constants!$H$21)/(365/'Net zero Intermediate calcs'!AE65)))</f>
        <v>624646.75853090361</v>
      </c>
      <c r="AK10" s="110">
        <f>IF($AD$2="Off",'Activity data'!AK10,(((('Net zero Intermediate calcs'!AF9/('Net zero Intermediate calcs'!AF64+0.27))*ttokg)/Constants!$H$21)/(365/'Net zero Intermediate calcs'!AF65)))</f>
        <v>631787.34034937981</v>
      </c>
      <c r="AL10" s="110">
        <f>IF($AD$2="Off",'Activity data'!AL10,(((('Net zero Intermediate calcs'!AG9/('Net zero Intermediate calcs'!AG64+0.27))*ttokg)/Constants!$H$21)/(365/'Net zero Intermediate calcs'!AG65)))</f>
        <v>576398.87297452381</v>
      </c>
      <c r="AM10" s="110">
        <f>IF($AD$2="Off",'Activity data'!AM10,(((('Net zero Intermediate calcs'!AH9/('Net zero Intermediate calcs'!AH64+0.27))*ttokg)/Constants!$H$21)/(365/'Net zero Intermediate calcs'!AH65)))</f>
        <v>597429.17223171226</v>
      </c>
      <c r="AN10" s="110">
        <f>IF($AD$2="Off",'Activity data'!AN10,(((('Net zero Intermediate calcs'!AI9/('Net zero Intermediate calcs'!AI64+0.27))*ttokg)/Constants!$H$21)/(365/'Net zero Intermediate calcs'!AI65)))</f>
        <v>617106.10073174362</v>
      </c>
      <c r="AO10" s="110">
        <f>IF($AD$2="Off",'Activity data'!AO10,(((('Net zero Intermediate calcs'!AJ9/('Net zero Intermediate calcs'!AJ64+0.27))*ttokg)/Constants!$H$21)/(365/'Net zero Intermediate calcs'!AJ65)))</f>
        <v>637093.16757915285</v>
      </c>
      <c r="AP10" s="110">
        <f>IF($AD$2="Off",'Activity data'!AP10,(((('Net zero Intermediate calcs'!AK9/('Net zero Intermediate calcs'!AK64+0.27))*ttokg)/Constants!$H$21)/(365/'Net zero Intermediate calcs'!AK65)))</f>
        <v>660140.39418605424</v>
      </c>
      <c r="AQ10" s="110">
        <f>IF($AD$2="Off",'Activity data'!AQ10,(((('Net zero Intermediate calcs'!AL9/('Net zero Intermediate calcs'!AL64+0.27))*ttokg)/Constants!$H$21)/(365/'Net zero Intermediate calcs'!AL65)))</f>
        <v>683567.85079016106</v>
      </c>
      <c r="AR10" s="110">
        <f>IF($AD$2="Off",'Activity data'!AR10,(((('Net zero Intermediate calcs'!AM9/('Net zero Intermediate calcs'!AM64+0.27))*ttokg)/Constants!$H$21)/(365/'Net zero Intermediate calcs'!AM65)))</f>
        <v>707942.96332865453</v>
      </c>
      <c r="AS10" s="110">
        <f>IF($AD$2="Off",'Activity data'!AS10,(((('Net zero Intermediate calcs'!AN9/('Net zero Intermediate calcs'!AN64+0.27))*ttokg)/Constants!$H$21)/(365/'Net zero Intermediate calcs'!AN65)))</f>
        <v>732035.04027497675</v>
      </c>
      <c r="AT10" s="110">
        <f>IF($AD$2="Off",'Activity data'!AT10,(((('Net zero Intermediate calcs'!AO9/('Net zero Intermediate calcs'!AO64+0.27))*ttokg)/Constants!$H$21)/(365/'Net zero Intermediate calcs'!AO65)))</f>
        <v>757644.2398162738</v>
      </c>
      <c r="AU10" s="110">
        <f>IF($AD$2="Off",'Activity data'!AU10,(((('Net zero Intermediate calcs'!AP9/('Net zero Intermediate calcs'!AP64+0.27))*ttokg)/Constants!$H$21)/(365/'Net zero Intermediate calcs'!AP65)))</f>
        <v>782311.92192601517</v>
      </c>
      <c r="AV10" s="110">
        <f>IF($AD$2="Off",'Activity data'!AV10,(((('Net zero Intermediate calcs'!AQ9/('Net zero Intermediate calcs'!AQ64+0.27))*ttokg)/Constants!$H$21)/(365/'Net zero Intermediate calcs'!AQ65)))</f>
        <v>807780.51356427569</v>
      </c>
      <c r="AW10" s="110">
        <f>IF($AD$2="Off",'Activity data'!AW10,(((('Net zero Intermediate calcs'!AR9/('Net zero Intermediate calcs'!AR64+0.27))*ttokg)/Constants!$H$21)/(365/'Net zero Intermediate calcs'!AR65)))</f>
        <v>836525.96480848361</v>
      </c>
      <c r="AX10" s="110">
        <f>IF($AD$2="Off",'Activity data'!AX10,(((('Net zero Intermediate calcs'!AS9/('Net zero Intermediate calcs'!AS64+0.27))*ttokg)/Constants!$H$21)/(365/'Net zero Intermediate calcs'!AS65)))</f>
        <v>867478.77620510815</v>
      </c>
      <c r="AY10" s="110">
        <f>IF($AD$2="Off",'Activity data'!AY10,(((('Net zero Intermediate calcs'!AT9/('Net zero Intermediate calcs'!AT64+0.27))*ttokg)/Constants!$H$21)/(365/'Net zero Intermediate calcs'!AT65)))</f>
        <v>899615.03094515728</v>
      </c>
      <c r="AZ10" s="110">
        <f>IF($AD$2="Off",'Activity data'!AZ10,(((('Net zero Intermediate calcs'!AU9/('Net zero Intermediate calcs'!AU64+0.27))*ttokg)/Constants!$H$21)/(365/'Net zero Intermediate calcs'!AU65)))</f>
        <v>908857.28026224533</v>
      </c>
      <c r="BA10" s="110">
        <f>IF($AD$2="Off",'Activity data'!BA10,(((('Net zero Intermediate calcs'!AV9/('Net zero Intermediate calcs'!AV64+0.27))*ttokg)/Constants!$H$21)/(365/'Net zero Intermediate calcs'!AV65)))</f>
        <v>-221309.97896137176</v>
      </c>
      <c r="BB10" s="110">
        <f>IF($AD$2="Off",'Activity data'!BB10,(((('Net zero Intermediate calcs'!AW9/('Net zero Intermediate calcs'!AW64+0.27))*ttokg)/Constants!$H$21)/(365/'Net zero Intermediate calcs'!AW65)))</f>
        <v>-223189.62141862977</v>
      </c>
      <c r="BC10" s="110">
        <f>IF($AD$2="Off",'Activity data'!BC10,(((('Net zero Intermediate calcs'!AX9/('Net zero Intermediate calcs'!AX64+0.27))*ttokg)/Constants!$H$21)/(365/'Net zero Intermediate calcs'!AX65)))</f>
        <v>-225082.48341012129</v>
      </c>
      <c r="BD10" s="110">
        <f>IF($AD$2="Off",'Activity data'!BD10,(((('Net zero Intermediate calcs'!AY9/('Net zero Intermediate calcs'!AY64+0.27))*ttokg)/Constants!$H$21)/(365/'Net zero Intermediate calcs'!AY65)))</f>
        <v>-226988.68564947575</v>
      </c>
      <c r="BE10" s="110">
        <f>IF($AD$2="Off",'Activity data'!BE10,(((('Net zero Intermediate calcs'!AZ9/('Net zero Intermediate calcs'!AZ64+0.27))*ttokg)/Constants!$H$21)/(365/'Net zero Intermediate calcs'!AZ65)))</f>
        <v>-228908.34980087751</v>
      </c>
      <c r="BF10" s="110">
        <f>IF($AD$2="Off",'Activity data'!BF10,(((('Net zero Intermediate calcs'!BA9/('Net zero Intermediate calcs'!BA64+0.27))*ttokg)/Constants!$H$21)/(365/'Net zero Intermediate calcs'!BA65)))</f>
        <v>-230841.59848671168</v>
      </c>
      <c r="BG10" s="110">
        <f>IF($AD$2="Off",'Activity data'!BG10,(((('Net zero Intermediate calcs'!BB9/('Net zero Intermediate calcs'!BB64+0.27))*ttokg)/Constants!$H$21)/(365/'Net zero Intermediate calcs'!BB65)))</f>
        <v>-232342.39889058965</v>
      </c>
      <c r="BH10" s="110">
        <f>IF($AD$2="Off",'Activity data'!BH10,(((('Net zero Intermediate calcs'!BC9/('Net zero Intermediate calcs'!BC64+0.27))*ttokg)/Constants!$H$21)/(365/'Net zero Intermediate calcs'!BC65)))</f>
        <v>-233852.07663141791</v>
      </c>
      <c r="BI10" s="110">
        <f>IF($AD$2="Off",'Activity data'!BI10,(((('Net zero Intermediate calcs'!BD9/('Net zero Intermediate calcs'!BD64+0.27))*ttokg)/Constants!$H$21)/(365/'Net zero Intermediate calcs'!BD65)))</f>
        <v>-235370.69890959424</v>
      </c>
      <c r="BJ10" s="110">
        <f>IF($AD$2="Off",'Activity data'!BJ10,(((('Net zero Intermediate calcs'!BE9/('Net zero Intermediate calcs'!BE64+0.27))*ttokg)/Constants!$H$21)/(365/'Net zero Intermediate calcs'!BE65)))</f>
        <v>-236898.33336190725</v>
      </c>
      <c r="BK10" s="110">
        <f>IF($AD$2="Off",'Activity data'!BK10,(((('Net zero Intermediate calcs'!BF9/('Net zero Intermediate calcs'!BF64+0.27))*ttokg)/Constants!$H$21)/(365/'Net zero Intermediate calcs'!BF65)))</f>
        <v>-238435.04806449765</v>
      </c>
      <c r="BL10" s="110">
        <f>IF($AD$2="Off",'Activity data'!BL10,(((('Net zero Intermediate calcs'!BG9/('Net zero Intermediate calcs'!BG64+0.27))*ttokg)/Constants!$H$21)/(365/'Net zero Intermediate calcs'!BG65)))</f>
        <v>-239817.81253801408</v>
      </c>
      <c r="BM10" s="110">
        <f>IF($AD$2="Off",'Activity data'!BM10,(((('Net zero Intermediate calcs'!BH9/('Net zero Intermediate calcs'!BH64+0.27))*ttokg)/Constants!$H$21)/(365/'Net zero Intermediate calcs'!BH65)))</f>
        <v>-241207.08642082589</v>
      </c>
      <c r="BN10" s="110">
        <f>IF($AD$2="Off",'Activity data'!BN10,(((('Net zero Intermediate calcs'!BI9/('Net zero Intermediate calcs'!BI64+0.27))*ttokg)/Constants!$H$21)/(365/'Net zero Intermediate calcs'!BI65)))</f>
        <v>-242602.91145594491</v>
      </c>
      <c r="BO10" s="110">
        <f>IF($AD$2="Off",'Activity data'!BO10,(((('Net zero Intermediate calcs'!BJ9/('Net zero Intermediate calcs'!BJ64+0.27))*ttokg)/Constants!$H$21)/(365/'Net zero Intermediate calcs'!BJ65)))</f>
        <v>-244005.32960192702</v>
      </c>
      <c r="BP10" s="110">
        <f>IF($AD$2="Off",'Activity data'!BP10,(((('Net zero Intermediate calcs'!BK9/('Net zero Intermediate calcs'!BK64+0.27))*ttokg)/Constants!$H$21)/(365/'Net zero Intermediate calcs'!BK65)))</f>
        <v>-245414.38303410745</v>
      </c>
      <c r="BQ10" s="111">
        <v>1714907.4323024135</v>
      </c>
    </row>
    <row r="11" spans="1:72" s="23" customFormat="1" x14ac:dyDescent="0.25">
      <c r="A11" s="23" t="str">
        <f t="shared" si="1"/>
        <v>3A Livestock</v>
      </c>
      <c r="C11" s="23" t="str">
        <f>'IPCC Categories'!$C$7</f>
        <v>3A1c Sheep</v>
      </c>
      <c r="D11" t="str">
        <f>'IPCC Categories'!F36</f>
        <v>Commercial</v>
      </c>
      <c r="E11" s="23" t="str">
        <f t="shared" si="2"/>
        <v>Population</v>
      </c>
      <c r="F11" s="23" t="str">
        <f t="shared" si="2"/>
        <v>Head</v>
      </c>
      <c r="H11" s="43">
        <v>29979000</v>
      </c>
      <c r="I11" s="43">
        <v>28631000</v>
      </c>
      <c r="J11" s="43">
        <v>27448000</v>
      </c>
      <c r="K11" s="43">
        <v>25670000</v>
      </c>
      <c r="L11" s="43">
        <v>25851000</v>
      </c>
      <c r="M11" s="43">
        <v>25481000</v>
      </c>
      <c r="N11" s="43">
        <v>25566000</v>
      </c>
      <c r="O11" s="43">
        <v>25010000</v>
      </c>
      <c r="P11" s="43">
        <v>25079000</v>
      </c>
      <c r="Q11" s="43">
        <v>24463000</v>
      </c>
      <c r="R11" s="43">
        <v>23586000</v>
      </c>
      <c r="S11" s="43">
        <v>22998000</v>
      </c>
      <c r="T11" s="43">
        <v>22614000</v>
      </c>
      <c r="U11" s="43">
        <v>22693000</v>
      </c>
      <c r="V11" s="43">
        <v>22289000</v>
      </c>
      <c r="W11" s="43">
        <v>22236000</v>
      </c>
      <c r="X11" s="43">
        <v>21945000</v>
      </c>
      <c r="Y11" s="43">
        <v>21924000</v>
      </c>
      <c r="Z11" s="43">
        <v>21995000</v>
      </c>
      <c r="AA11" s="43">
        <v>21917000</v>
      </c>
      <c r="AB11" s="43">
        <v>21493000</v>
      </c>
      <c r="AC11" s="43">
        <v>21325000</v>
      </c>
      <c r="AD11" s="24">
        <f>('Net zero Intermediate calcs'!Y27*'Net zero Intermediate calcs'!Y28)*Constants!$H$22</f>
        <v>19018327.680967014</v>
      </c>
      <c r="AE11" s="24">
        <f>('Net zero Intermediate calcs'!Z27*'Net zero Intermediate calcs'!Z28)*Constants!$H$22</f>
        <v>19028713.427086703</v>
      </c>
      <c r="AF11" s="24">
        <f>('Net zero Intermediate calcs'!AA27*'Net zero Intermediate calcs'!AA28)*Constants!$H$22</f>
        <v>19051969.107683893</v>
      </c>
      <c r="AG11" s="24">
        <f>('Net zero Intermediate calcs'!AB27*'Net zero Intermediate calcs'!AB28)*Constants!$H$22</f>
        <v>19086973.789225459</v>
      </c>
      <c r="AH11" s="24">
        <f>('Net zero Intermediate calcs'!AC27*'Net zero Intermediate calcs'!AC28)*Constants!$H$22</f>
        <v>19134195.806752253</v>
      </c>
      <c r="AI11" s="24">
        <f>('Net zero Intermediate calcs'!AD27*'Net zero Intermediate calcs'!AD28)*Constants!$H$22</f>
        <v>19193685.267400872</v>
      </c>
      <c r="AJ11" s="24">
        <f>('Net zero Intermediate calcs'!AE27*'Net zero Intermediate calcs'!AE28)*Constants!$H$22</f>
        <v>19259954.114958268</v>
      </c>
      <c r="AK11" s="24">
        <f>('Net zero Intermediate calcs'!AF27*'Net zero Intermediate calcs'!AF28)*Constants!$H$22</f>
        <v>19331774.464016877</v>
      </c>
      <c r="AL11" s="24">
        <f>('Net zero Intermediate calcs'!AG27*'Net zero Intermediate calcs'!AG28)*Constants!$H$22</f>
        <v>19399264.907008924</v>
      </c>
      <c r="AM11" s="24">
        <f>('Net zero Intermediate calcs'!AH27*'Net zero Intermediate calcs'!AH28)*Constants!$H$22</f>
        <v>19427456.971954491</v>
      </c>
      <c r="AN11" s="24">
        <f>('Net zero Intermediate calcs'!AI27*'Net zero Intermediate calcs'!AI28)*Constants!$H$22</f>
        <v>19460170.41757524</v>
      </c>
      <c r="AO11" s="24">
        <f>('Net zero Intermediate calcs'!AJ27*'Net zero Intermediate calcs'!AJ28)*Constants!$H$22</f>
        <v>19497398.536194213</v>
      </c>
      <c r="AP11" s="24">
        <f>('Net zero Intermediate calcs'!AK27*'Net zero Intermediate calcs'!AK28)*Constants!$H$22</f>
        <v>19539334.211069677</v>
      </c>
      <c r="AQ11" s="24">
        <f>('Net zero Intermediate calcs'!AL27*'Net zero Intermediate calcs'!AL28)*Constants!$H$22</f>
        <v>19585305.150981959</v>
      </c>
      <c r="AR11" s="24">
        <f>('Net zero Intermediate calcs'!AM27*'Net zero Intermediate calcs'!AM28)*Constants!$H$22</f>
        <v>19613603.770404901</v>
      </c>
      <c r="AS11" s="24">
        <f>('Net zero Intermediate calcs'!AN27*'Net zero Intermediate calcs'!AN28)*Constants!$H$22</f>
        <v>19645213.91259072</v>
      </c>
      <c r="AT11" s="24">
        <f>('Net zero Intermediate calcs'!AO27*'Net zero Intermediate calcs'!AO28)*Constants!$H$22</f>
        <v>19680250.289019085</v>
      </c>
      <c r="AU11" s="24">
        <f>('Net zero Intermediate calcs'!AP27*'Net zero Intermediate calcs'!AP28)*Constants!$H$22</f>
        <v>19718174.586544167</v>
      </c>
      <c r="AV11" s="24">
        <f>('Net zero Intermediate calcs'!AQ27*'Net zero Intermediate calcs'!AQ28)*Constants!$H$22</f>
        <v>19759122.406973377</v>
      </c>
      <c r="AW11" s="24">
        <f>('Net zero Intermediate calcs'!AR27*'Net zero Intermediate calcs'!AR28)*Constants!$H$22</f>
        <v>19786079.120163966</v>
      </c>
      <c r="AX11" s="24">
        <f>('Net zero Intermediate calcs'!AS27*'Net zero Intermediate calcs'!AS28)*Constants!$H$22</f>
        <v>19815871.263841685</v>
      </c>
      <c r="AY11" s="24">
        <f>('Net zero Intermediate calcs'!AT27*'Net zero Intermediate calcs'!AT28)*Constants!$H$22</f>
        <v>19848230.902383074</v>
      </c>
      <c r="AZ11" s="24">
        <f>('Net zero Intermediate calcs'!AU27*'Net zero Intermediate calcs'!AU28)*Constants!$H$22</f>
        <v>19879494.440380681</v>
      </c>
      <c r="BA11" s="24">
        <f>('Net zero Intermediate calcs'!AV27*'Net zero Intermediate calcs'!AV28)*Constants!$H$22</f>
        <v>19745833.454347491</v>
      </c>
      <c r="BB11" s="24">
        <f>('Net zero Intermediate calcs'!AW27*'Net zero Intermediate calcs'!AW28)*Constants!$H$22</f>
        <v>19764815.427753989</v>
      </c>
      <c r="BC11" s="24">
        <f>('Net zero Intermediate calcs'!AX27*'Net zero Intermediate calcs'!AX28)*Constants!$H$22</f>
        <v>19785762.129433058</v>
      </c>
      <c r="BD11" s="24">
        <f>('Net zero Intermediate calcs'!AY27*'Net zero Intermediate calcs'!AY28)*Constants!$H$22</f>
        <v>19808599.333598968</v>
      </c>
      <c r="BE11" s="24">
        <f>('Net zero Intermediate calcs'!AZ27*'Net zero Intermediate calcs'!AZ28)*Constants!$H$22</f>
        <v>19833258.55165717</v>
      </c>
      <c r="BF11" s="24">
        <f>('Net zero Intermediate calcs'!BA27*'Net zero Intermediate calcs'!BA28)*Constants!$H$22</f>
        <v>19859676.487788312</v>
      </c>
      <c r="BG11" s="24">
        <f>('Net zero Intermediate calcs'!BB27*'Net zero Intermediate calcs'!BB28)*Constants!$H$22</f>
        <v>19872497.136151575</v>
      </c>
      <c r="BH11" s="24">
        <f>('Net zero Intermediate calcs'!BC27*'Net zero Intermediate calcs'!BC28)*Constants!$H$22</f>
        <v>19886867.327126332</v>
      </c>
      <c r="BI11" s="24">
        <f>('Net zero Intermediate calcs'!BD27*'Net zero Intermediate calcs'!BD28)*Constants!$H$22</f>
        <v>19902733.132976212</v>
      </c>
      <c r="BJ11" s="24">
        <f>('Net zero Intermediate calcs'!BE27*'Net zero Intermediate calcs'!BE28)*Constants!$H$22</f>
        <v>19920044.316978011</v>
      </c>
      <c r="BK11" s="24">
        <f>('Net zero Intermediate calcs'!BF27*'Net zero Intermediate calcs'!BF28)*Constants!$H$22</f>
        <v>19938754.019852098</v>
      </c>
      <c r="BL11" s="24">
        <f>('Net zero Intermediate calcs'!BG27*'Net zero Intermediate calcs'!BG28)*Constants!$H$22</f>
        <v>19943369.475962225</v>
      </c>
      <c r="BM11" s="24">
        <f>('Net zero Intermediate calcs'!BH27*'Net zero Intermediate calcs'!BH28)*Constants!$H$22</f>
        <v>19949226.116932139</v>
      </c>
      <c r="BN11" s="24">
        <f>('Net zero Intermediate calcs'!BI27*'Net zero Intermediate calcs'!BI28)*Constants!$H$22</f>
        <v>19956282.834742554</v>
      </c>
      <c r="BO11" s="24">
        <f>('Net zero Intermediate calcs'!BJ27*'Net zero Intermediate calcs'!BJ28)*Constants!$H$22</f>
        <v>19964501.031608582</v>
      </c>
      <c r="BP11" s="24">
        <f>('Net zero Intermediate calcs'!BK27*'Net zero Intermediate calcs'!BK28)*Constants!$H$22</f>
        <v>19973844.426938675</v>
      </c>
      <c r="BQ11" s="23">
        <v>20235541.527663115</v>
      </c>
    </row>
    <row r="12" spans="1:72" s="23" customFormat="1" x14ac:dyDescent="0.25">
      <c r="A12" s="23" t="str">
        <f t="shared" si="1"/>
        <v>3A Livestock</v>
      </c>
      <c r="C12" s="23" t="str">
        <f>'IPCC Categories'!$C$7</f>
        <v>3A1c Sheep</v>
      </c>
      <c r="D12" t="str">
        <f>'IPCC Categories'!$F$37</f>
        <v>Subsistence</v>
      </c>
      <c r="E12" s="23" t="str">
        <f t="shared" si="2"/>
        <v>Population</v>
      </c>
      <c r="F12" s="23" t="str">
        <f t="shared" si="2"/>
        <v>Head</v>
      </c>
      <c r="H12" s="43">
        <v>4183862.7657327019</v>
      </c>
      <c r="I12" s="43">
        <v>3995736.1768468926</v>
      </c>
      <c r="J12" s="43">
        <v>3830636.9523276691</v>
      </c>
      <c r="K12" s="43">
        <v>3582499.6563046952</v>
      </c>
      <c r="L12" s="43">
        <v>3607759.9772159201</v>
      </c>
      <c r="M12" s="43">
        <v>3556122.8571211509</v>
      </c>
      <c r="N12" s="43">
        <v>3567985.4387645437</v>
      </c>
      <c r="O12" s="43">
        <v>3490390.1988383494</v>
      </c>
      <c r="P12" s="43">
        <v>3500019.8239371148</v>
      </c>
      <c r="Q12" s="43">
        <v>3414050.996968525</v>
      </c>
      <c r="R12" s="43">
        <v>3291657.0663655167</v>
      </c>
      <c r="S12" s="43">
        <v>3209595.9133500443</v>
      </c>
      <c r="T12" s="43">
        <v>3156004.9562787157</v>
      </c>
      <c r="U12" s="43">
        <v>3167030.1792178694</v>
      </c>
      <c r="V12" s="43">
        <v>3110648.0264657419</v>
      </c>
      <c r="W12" s="43">
        <v>3103251.3579116268</v>
      </c>
      <c r="X12" s="43">
        <v>3062639.4607560104</v>
      </c>
      <c r="Y12" s="43">
        <v>3059708.705291172</v>
      </c>
      <c r="Z12" s="43">
        <v>3069617.4499580064</v>
      </c>
      <c r="AA12" s="43">
        <v>3058731.7868028926</v>
      </c>
      <c r="AB12" s="43">
        <v>2999558.4383699675</v>
      </c>
      <c r="AC12" s="43">
        <v>2976112.3946512612</v>
      </c>
      <c r="AD12" s="24">
        <f>('Net zero Intermediate calcs'!Y27*'Net zero Intermediate calcs'!Y28)*(1-Constants!$H$22)</f>
        <v>2841819.0787651865</v>
      </c>
      <c r="AE12" s="24">
        <f>('Net zero Intermediate calcs'!Z27*'Net zero Intermediate calcs'!Z28)*(1-Constants!$H$22)</f>
        <v>2843370.9718635306</v>
      </c>
      <c r="AF12" s="24">
        <f>('Net zero Intermediate calcs'!AA27*'Net zero Intermediate calcs'!AA28)*(1-Constants!$H$22)</f>
        <v>2846845.9586194325</v>
      </c>
      <c r="AG12" s="24">
        <f>('Net zero Intermediate calcs'!AB27*'Net zero Intermediate calcs'!AB28)*(1-Constants!$H$22)</f>
        <v>2852076.5432175971</v>
      </c>
      <c r="AH12" s="24">
        <f>('Net zero Intermediate calcs'!AC27*'Net zero Intermediate calcs'!AC28)*(1-Constants!$H$22)</f>
        <v>2859132.7067560842</v>
      </c>
      <c r="AI12" s="24">
        <f>('Net zero Intermediate calcs'!AD27*'Net zero Intermediate calcs'!AD28)*(1-Constants!$H$22)</f>
        <v>2868021.9365081764</v>
      </c>
      <c r="AJ12" s="24">
        <f>('Net zero Intermediate calcs'!AE27*'Net zero Intermediate calcs'!AE28)*(1-Constants!$H$22)</f>
        <v>2877924.1780972127</v>
      </c>
      <c r="AK12" s="24">
        <f>('Net zero Intermediate calcs'!AF27*'Net zero Intermediate calcs'!AF28)*(1-Constants!$H$22)</f>
        <v>2888655.9543933268</v>
      </c>
      <c r="AL12" s="24">
        <f>('Net zero Intermediate calcs'!AG27*'Net zero Intermediate calcs'!AG28)*(1-Constants!$H$22)</f>
        <v>2898740.733231219</v>
      </c>
      <c r="AM12" s="24">
        <f>('Net zero Intermediate calcs'!AH27*'Net zero Intermediate calcs'!AH28)*(1-Constants!$H$22)</f>
        <v>2902953.3406368783</v>
      </c>
      <c r="AN12" s="24">
        <f>('Net zero Intermediate calcs'!AI27*'Net zero Intermediate calcs'!AI28)*(1-Constants!$H$22)</f>
        <v>2907841.5566491741</v>
      </c>
      <c r="AO12" s="24">
        <f>('Net zero Intermediate calcs'!AJ27*'Net zero Intermediate calcs'!AJ28)*(1-Constants!$H$22)</f>
        <v>2913404.3789715492</v>
      </c>
      <c r="AP12" s="24">
        <f>('Net zero Intermediate calcs'!AK27*'Net zero Intermediate calcs'!AK28)*(1-Constants!$H$22)</f>
        <v>2919670.6292402968</v>
      </c>
      <c r="AQ12" s="24">
        <f>('Net zero Intermediate calcs'!AL27*'Net zero Intermediate calcs'!AL28)*(1-Constants!$H$22)</f>
        <v>2926539.8501467295</v>
      </c>
      <c r="AR12" s="24">
        <f>('Net zero Intermediate calcs'!AM27*'Net zero Intermediate calcs'!AM28)*(1-Constants!$H$22)</f>
        <v>2930768.3794857902</v>
      </c>
      <c r="AS12" s="24">
        <f>('Net zero Intermediate calcs'!AN27*'Net zero Intermediate calcs'!AN28)*(1-Constants!$H$22)</f>
        <v>2935491.7340652798</v>
      </c>
      <c r="AT12" s="24">
        <f>('Net zero Intermediate calcs'!AO27*'Net zero Intermediate calcs'!AO28)*(1-Constants!$H$22)</f>
        <v>2940727.0546810129</v>
      </c>
      <c r="AU12" s="24">
        <f>('Net zero Intermediate calcs'!AP27*'Net zero Intermediate calcs'!AP28)*(1-Constants!$H$22)</f>
        <v>2946393.9037364847</v>
      </c>
      <c r="AV12" s="24">
        <f>('Net zero Intermediate calcs'!AQ27*'Net zero Intermediate calcs'!AQ28)*(1-Constants!$H$22)</f>
        <v>2952512.5435707346</v>
      </c>
      <c r="AW12" s="24">
        <f>('Net zero Intermediate calcs'!AR27*'Net zero Intermediate calcs'!AR28)*(1-Constants!$H$22)</f>
        <v>2956540.5581854205</v>
      </c>
      <c r="AX12" s="24">
        <f>('Net zero Intermediate calcs'!AS27*'Net zero Intermediate calcs'!AS28)*(1-Constants!$H$22)</f>
        <v>2960992.2578154244</v>
      </c>
      <c r="AY12" s="24">
        <f>('Net zero Intermediate calcs'!AT27*'Net zero Intermediate calcs'!AT28)*(1-Constants!$H$22)</f>
        <v>2965827.6061032182</v>
      </c>
      <c r="AZ12" s="24">
        <f>('Net zero Intermediate calcs'!AU27*'Net zero Intermediate calcs'!AU28)*(1-Constants!$H$22)</f>
        <v>2970499.1692522862</v>
      </c>
      <c r="BA12" s="24">
        <f>('Net zero Intermediate calcs'!AV27*'Net zero Intermediate calcs'!AV28)*(1-Constants!$H$22)</f>
        <v>2950526.8380059474</v>
      </c>
      <c r="BB12" s="24">
        <f>('Net zero Intermediate calcs'!AW27*'Net zero Intermediate calcs'!AW28)*(1-Constants!$H$22)</f>
        <v>2953363.224836803</v>
      </c>
      <c r="BC12" s="24">
        <f>('Net zero Intermediate calcs'!AX27*'Net zero Intermediate calcs'!AX28)*(1-Constants!$H$22)</f>
        <v>2956493.1917543649</v>
      </c>
      <c r="BD12" s="24">
        <f>('Net zero Intermediate calcs'!AY27*'Net zero Intermediate calcs'!AY28)*(1-Constants!$H$22)</f>
        <v>2959905.6475492711</v>
      </c>
      <c r="BE12" s="24">
        <f>('Net zero Intermediate calcs'!AZ27*'Net zero Intermediate calcs'!AZ28)*(1-Constants!$H$22)</f>
        <v>2963590.3582936004</v>
      </c>
      <c r="BF12" s="24">
        <f>('Net zero Intermediate calcs'!BA27*'Net zero Intermediate calcs'!BA28)*(1-Constants!$H$22)</f>
        <v>2967537.8659913572</v>
      </c>
      <c r="BG12" s="24">
        <f>('Net zero Intermediate calcs'!BB27*'Net zero Intermediate calcs'!BB28)*(1-Constants!$H$22)</f>
        <v>2969453.5950571322</v>
      </c>
      <c r="BH12" s="24">
        <f>('Net zero Intermediate calcs'!BC27*'Net zero Intermediate calcs'!BC28)*(1-Constants!$H$22)</f>
        <v>2971600.8649729001</v>
      </c>
      <c r="BI12" s="24">
        <f>('Net zero Intermediate calcs'!BD27*'Net zero Intermediate calcs'!BD28)*(1-Constants!$H$22)</f>
        <v>2973971.6175711579</v>
      </c>
      <c r="BJ12" s="24">
        <f>('Net zero Intermediate calcs'!BE27*'Net zero Intermediate calcs'!BE28)*(1-Constants!$H$22)</f>
        <v>2976558.3462151056</v>
      </c>
      <c r="BK12" s="24">
        <f>('Net zero Intermediate calcs'!BF27*'Net zero Intermediate calcs'!BF28)*(1-Constants!$H$22)</f>
        <v>2979354.0489434167</v>
      </c>
      <c r="BL12" s="24">
        <f>('Net zero Intermediate calcs'!BG27*'Net zero Intermediate calcs'!BG28)*(1-Constants!$H$22)</f>
        <v>2980043.7147989534</v>
      </c>
      <c r="BM12" s="24">
        <f>('Net zero Intermediate calcs'!BH27*'Net zero Intermediate calcs'!BH28)*(1-Constants!$H$22)</f>
        <v>2980918.8450588253</v>
      </c>
      <c r="BN12" s="24">
        <f>('Net zero Intermediate calcs'!BI27*'Net zero Intermediate calcs'!BI28)*(1-Constants!$H$22)</f>
        <v>2981973.2971454393</v>
      </c>
      <c r="BO12" s="24">
        <f>('Net zero Intermediate calcs'!BJ27*'Net zero Intermediate calcs'!BJ28)*(1-Constants!$H$22)</f>
        <v>2983201.3035736964</v>
      </c>
      <c r="BP12" s="24">
        <f>('Net zero Intermediate calcs'!BK27*'Net zero Intermediate calcs'!BK28)*(1-Constants!$H$22)</f>
        <v>2984597.4431057791</v>
      </c>
      <c r="BQ12" s="23">
        <v>3023701.607581845</v>
      </c>
    </row>
    <row r="13" spans="1:72" s="23" customFormat="1" x14ac:dyDescent="0.25">
      <c r="A13" s="23" t="str">
        <f t="shared" si="1"/>
        <v>3A Livestock</v>
      </c>
      <c r="C13" s="23" t="str">
        <f>'IPCC Categories'!$C$8</f>
        <v>3A1d Goats</v>
      </c>
      <c r="D13" t="str">
        <f>'IPCC Categories'!F36</f>
        <v>Commercial</v>
      </c>
      <c r="E13" s="23" t="str">
        <f t="shared" si="2"/>
        <v>Population</v>
      </c>
      <c r="F13" s="23" t="str">
        <f t="shared" si="2"/>
        <v>Head</v>
      </c>
      <c r="H13" s="43">
        <v>2774000.0000000005</v>
      </c>
      <c r="I13" s="43">
        <v>2453000.0000000009</v>
      </c>
      <c r="J13" s="43">
        <v>2284999.9999999995</v>
      </c>
      <c r="K13" s="43">
        <v>2158999.9999999995</v>
      </c>
      <c r="L13" s="43">
        <v>2336999.9999999995</v>
      </c>
      <c r="M13" s="43">
        <v>2369000</v>
      </c>
      <c r="N13" s="43">
        <v>2405999.9999999995</v>
      </c>
      <c r="O13" s="43">
        <v>2394000</v>
      </c>
      <c r="P13" s="43">
        <v>2360000</v>
      </c>
      <c r="Q13" s="43">
        <v>2325000.0000000005</v>
      </c>
      <c r="R13" s="43">
        <v>2355000</v>
      </c>
      <c r="S13" s="43">
        <v>2427000.0000000005</v>
      </c>
      <c r="T13" s="43">
        <v>2216000.0000000005</v>
      </c>
      <c r="U13" s="43">
        <v>2160000</v>
      </c>
      <c r="V13" s="43">
        <v>2164000.0000000005</v>
      </c>
      <c r="W13" s="43">
        <v>2136000</v>
      </c>
      <c r="X13" s="43">
        <v>2181000</v>
      </c>
      <c r="Y13" s="43">
        <v>2116000</v>
      </c>
      <c r="Z13" s="43">
        <v>2114000.0000000005</v>
      </c>
      <c r="AA13" s="43">
        <v>2077000</v>
      </c>
      <c r="AB13" s="43">
        <v>2052000.0000000002</v>
      </c>
      <c r="AC13" s="43">
        <v>2033000.0000000002</v>
      </c>
      <c r="AD13" s="24">
        <f>'Net zero Intermediate calcs'!Y22*'Net zero Intermediate calcs'!Y25*Constants!$H$23</f>
        <v>2068020.3711862336</v>
      </c>
      <c r="AE13" s="24">
        <f>'Net zero Intermediate calcs'!Z22*'Net zero Intermediate calcs'!Z25*Constants!$H$23</f>
        <v>2073414.2581746883</v>
      </c>
      <c r="AF13" s="24">
        <f>'Net zero Intermediate calcs'!AA22*'Net zero Intermediate calcs'!AA25*Constants!$H$23</f>
        <v>2080602.090384315</v>
      </c>
      <c r="AG13" s="24">
        <f>'Net zero Intermediate calcs'!AB22*'Net zero Intermediate calcs'!AB25*Constants!$H$23</f>
        <v>2089424.0681822612</v>
      </c>
      <c r="AH13" s="24">
        <f>'Net zero Intermediate calcs'!AC22*'Net zero Intermediate calcs'!AC25*Constants!$H$23</f>
        <v>2099986.2027782789</v>
      </c>
      <c r="AI13" s="24">
        <f>'Net zero Intermediate calcs'!AD22*'Net zero Intermediate calcs'!AD25*Constants!$H$23</f>
        <v>2112316.6013010871</v>
      </c>
      <c r="AJ13" s="24">
        <f>'Net zero Intermediate calcs'!AE22*'Net zero Intermediate calcs'!AE25*Constants!$H$23</f>
        <v>2125500.0705008977</v>
      </c>
      <c r="AK13" s="24">
        <f>'Net zero Intermediate calcs'!AF22*'Net zero Intermediate calcs'!AF25*Constants!$H$23</f>
        <v>2139348.0975761078</v>
      </c>
      <c r="AL13" s="24">
        <f>'Net zero Intermediate calcs'!AG22*'Net zero Intermediate calcs'!AG25*Constants!$H$23</f>
        <v>2152212.3064880767</v>
      </c>
      <c r="AM13" s="24">
        <f>'Net zero Intermediate calcs'!AH22*'Net zero Intermediate calcs'!AH25*Constants!$H$23</f>
        <v>2158240.8667125739</v>
      </c>
      <c r="AN13" s="24">
        <f>'Net zero Intermediate calcs'!AI22*'Net zero Intermediate calcs'!AI25*Constants!$H$23</f>
        <v>2164851.5171703934</v>
      </c>
      <c r="AO13" s="24">
        <f>'Net zero Intermediate calcs'!AJ22*'Net zero Intermediate calcs'!AJ25*Constants!$H$23</f>
        <v>2172052.6469438924</v>
      </c>
      <c r="AP13" s="24">
        <f>'Net zero Intermediate calcs'!AK22*'Net zero Intermediate calcs'!AK25*Constants!$H$23</f>
        <v>2179884.4421844943</v>
      </c>
      <c r="AQ13" s="24">
        <f>'Net zero Intermediate calcs'!AL22*'Net zero Intermediate calcs'!AL25*Constants!$H$23</f>
        <v>2188241.4567813184</v>
      </c>
      <c r="AR13" s="24">
        <f>'Net zero Intermediate calcs'!AM22*'Net zero Intermediate calcs'!AM25*Constants!$H$23</f>
        <v>2193523.8841429623</v>
      </c>
      <c r="AS13" s="24">
        <f>'Net zero Intermediate calcs'!AN22*'Net zero Intermediate calcs'!AN25*Constants!$H$23</f>
        <v>2199239.2019303897</v>
      </c>
      <c r="AT13" s="24">
        <f>'Net zero Intermediate calcs'!AO22*'Net zero Intermediate calcs'!AO25*Constants!$H$23</f>
        <v>2205411.0547837582</v>
      </c>
      <c r="AU13" s="24">
        <f>'Net zero Intermediate calcs'!AP22*'Net zero Intermediate calcs'!AP25*Constants!$H$23</f>
        <v>2211954.4747049208</v>
      </c>
      <c r="AV13" s="24">
        <f>'Net zero Intermediate calcs'!AQ22*'Net zero Intermediate calcs'!AQ25*Constants!$H$23</f>
        <v>2218895.6360947033</v>
      </c>
      <c r="AW13" s="24">
        <f>'Net zero Intermediate calcs'!AR22*'Net zero Intermediate calcs'!AR25*Constants!$H$23</f>
        <v>2223441.6359146708</v>
      </c>
      <c r="AX13" s="24">
        <f>'Net zero Intermediate calcs'!AS22*'Net zero Intermediate calcs'!AS25*Constants!$H$23</f>
        <v>2228371.8052992979</v>
      </c>
      <c r="AY13" s="24">
        <f>'Net zero Intermediate calcs'!AT22*'Net zero Intermediate calcs'!AT25*Constants!$H$23</f>
        <v>2233644.4650993221</v>
      </c>
      <c r="AZ13" s="24">
        <f>'Net zero Intermediate calcs'!AU22*'Net zero Intermediate calcs'!AU25*Constants!$H$23</f>
        <v>2238663.2666500062</v>
      </c>
      <c r="BA13" s="24">
        <f>'Net zero Intermediate calcs'!AV22*'Net zero Intermediate calcs'!AV25*Constants!$H$23</f>
        <v>2216723.8290338363</v>
      </c>
      <c r="BB13" s="24">
        <f>'Net zero Intermediate calcs'!AW22*'Net zero Intermediate calcs'!AW25*Constants!$H$23</f>
        <v>2219659.3317864328</v>
      </c>
      <c r="BC13" s="24">
        <f>'Net zero Intermediate calcs'!AX22*'Net zero Intermediate calcs'!AX25*Constants!$H$23</f>
        <v>2222858.0465280842</v>
      </c>
      <c r="BD13" s="24">
        <f>'Net zero Intermediate calcs'!AY22*'Net zero Intermediate calcs'!AY25*Constants!$H$23</f>
        <v>2226309.2840009513</v>
      </c>
      <c r="BE13" s="24">
        <f>'Net zero Intermediate calcs'!AZ22*'Net zero Intermediate calcs'!AZ25*Constants!$H$23</f>
        <v>2230003.184065857</v>
      </c>
      <c r="BF13" s="24">
        <f>'Net zero Intermediate calcs'!BA22*'Net zero Intermediate calcs'!BA25*Constants!$H$23</f>
        <v>2233930.6363157313</v>
      </c>
      <c r="BG13" s="24">
        <f>'Net zero Intermediate calcs'!BB22*'Net zero Intermediate calcs'!BB25*Constants!$H$23</f>
        <v>2235616.4889502036</v>
      </c>
      <c r="BH13" s="24">
        <f>'Net zero Intermediate calcs'!BC22*'Net zero Intermediate calcs'!BC25*Constants!$H$23</f>
        <v>2237512.7409939715</v>
      </c>
      <c r="BI13" s="24">
        <f>'Net zero Intermediate calcs'!BD22*'Net zero Intermediate calcs'!BD25*Constants!$H$23</f>
        <v>2239611.4603994587</v>
      </c>
      <c r="BJ13" s="24">
        <f>'Net zero Intermediate calcs'!BE22*'Net zero Intermediate calcs'!BE25*Constants!$H$23</f>
        <v>2241905.2592762075</v>
      </c>
      <c r="BK13" s="24">
        <f>'Net zero Intermediate calcs'!BF22*'Net zero Intermediate calcs'!BF25*Constants!$H$23</f>
        <v>2244387.2472713711</v>
      </c>
      <c r="BL13" s="24">
        <f>'Net zero Intermediate calcs'!BG22*'Net zero Intermediate calcs'!BG25*Constants!$H$23</f>
        <v>2244580.8918294068</v>
      </c>
      <c r="BM13" s="24">
        <f>'Net zero Intermediate calcs'!BH22*'Net zero Intermediate calcs'!BH25*Constants!$H$23</f>
        <v>2244946.7507196893</v>
      </c>
      <c r="BN13" s="24">
        <f>'Net zero Intermediate calcs'!BI22*'Net zero Intermediate calcs'!BI25*Constants!$H$23</f>
        <v>2245478.6391973933</v>
      </c>
      <c r="BO13" s="24">
        <f>'Net zero Intermediate calcs'!BJ22*'Net zero Intermediate calcs'!BJ25*Constants!$H$23</f>
        <v>2246170.7510786764</v>
      </c>
      <c r="BP13" s="24">
        <f>'Net zero Intermediate calcs'!BK22*'Net zero Intermediate calcs'!BK25*Constants!$H$23</f>
        <v>2247017.6294126948</v>
      </c>
      <c r="BQ13" s="23">
        <v>2288591.5024888623</v>
      </c>
    </row>
    <row r="14" spans="1:72" s="23" customFormat="1" x14ac:dyDescent="0.25">
      <c r="A14" s="23" t="str">
        <f t="shared" si="1"/>
        <v>3A Livestock</v>
      </c>
      <c r="C14" s="23" t="str">
        <f>C13</f>
        <v>3A1d Goats</v>
      </c>
      <c r="D14" t="str">
        <f>$D$12</f>
        <v>Subsistence</v>
      </c>
      <c r="E14" s="23" t="str">
        <f t="shared" si="2"/>
        <v>Population</v>
      </c>
      <c r="F14" s="23" t="str">
        <f t="shared" si="2"/>
        <v>Head</v>
      </c>
      <c r="H14" s="43">
        <v>5479284.9120494025</v>
      </c>
      <c r="I14" s="43">
        <v>4845236.4416932901</v>
      </c>
      <c r="J14" s="43">
        <v>4513397.9899181286</v>
      </c>
      <c r="K14" s="43">
        <v>4264519.151086757</v>
      </c>
      <c r="L14" s="43">
        <v>4616109.8916580593</v>
      </c>
      <c r="M14" s="43">
        <v>4679317.2158057094</v>
      </c>
      <c r="N14" s="43">
        <v>4752400.6843514293</v>
      </c>
      <c r="O14" s="43">
        <v>4728697.9377960609</v>
      </c>
      <c r="P14" s="43">
        <v>4661540.1558891824</v>
      </c>
      <c r="Q14" s="43">
        <v>4592407.1451026909</v>
      </c>
      <c r="R14" s="43">
        <v>4651664.0114911124</v>
      </c>
      <c r="S14" s="43">
        <v>4793880.4908233248</v>
      </c>
      <c r="T14" s="43">
        <v>4377107.1972247576</v>
      </c>
      <c r="U14" s="43">
        <v>4266494.3799663708</v>
      </c>
      <c r="V14" s="43">
        <v>4274395.2954848269</v>
      </c>
      <c r="W14" s="43">
        <v>4219088.886855633</v>
      </c>
      <c r="X14" s="43">
        <v>4307974.1864382662</v>
      </c>
      <c r="Y14" s="43">
        <v>4179584.3092633518</v>
      </c>
      <c r="Z14" s="43">
        <v>4175633.8515041238</v>
      </c>
      <c r="AA14" s="43">
        <v>4102550.3829584038</v>
      </c>
      <c r="AB14" s="43">
        <v>4053169.6609680522</v>
      </c>
      <c r="AC14" s="43">
        <v>4015640.3122553849</v>
      </c>
      <c r="AD14" s="24">
        <f>'Net zero Intermediate calcs'!Y22*'Net zero Intermediate calcs'!Y25*(1-Constants!$H$23)</f>
        <v>4014392.4852438644</v>
      </c>
      <c r="AE14" s="24">
        <f>'Net zero Intermediate calcs'!Z22*'Net zero Intermediate calcs'!Z25*(1-Constants!$H$23)</f>
        <v>4024862.9717508648</v>
      </c>
      <c r="AF14" s="24">
        <f>'Net zero Intermediate calcs'!AA22*'Net zero Intermediate calcs'!AA25*(1-Constants!$H$23)</f>
        <v>4038815.8225107281</v>
      </c>
      <c r="AG14" s="24">
        <f>'Net zero Intermediate calcs'!AB22*'Net zero Intermediate calcs'!AB25*(1-Constants!$H$23)</f>
        <v>4055940.8382361531</v>
      </c>
      <c r="AH14" s="24">
        <f>'Net zero Intermediate calcs'!AC22*'Net zero Intermediate calcs'!AC25*(1-Constants!$H$23)</f>
        <v>4076443.8053931287</v>
      </c>
      <c r="AI14" s="24">
        <f>'Net zero Intermediate calcs'!AD22*'Net zero Intermediate calcs'!AD25*(1-Constants!$H$23)</f>
        <v>4100379.2848785804</v>
      </c>
      <c r="AJ14" s="24">
        <f>'Net zero Intermediate calcs'!AE22*'Net zero Intermediate calcs'!AE25*(1-Constants!$H$23)</f>
        <v>4125970.725089977</v>
      </c>
      <c r="AK14" s="24">
        <f>'Net zero Intermediate calcs'!AF22*'Net zero Intermediate calcs'!AF25*(1-Constants!$H$23)</f>
        <v>4152852.1894124444</v>
      </c>
      <c r="AL14" s="24">
        <f>'Net zero Intermediate calcs'!AG22*'Net zero Intermediate calcs'!AG25*(1-Constants!$H$23)</f>
        <v>4177823.8890650896</v>
      </c>
      <c r="AM14" s="24">
        <f>'Net zero Intermediate calcs'!AH22*'Net zero Intermediate calcs'!AH25*(1-Constants!$H$23)</f>
        <v>4189526.3883244074</v>
      </c>
      <c r="AN14" s="24">
        <f>'Net zero Intermediate calcs'!AI22*'Net zero Intermediate calcs'!AI25*(1-Constants!$H$23)</f>
        <v>4202358.82744841</v>
      </c>
      <c r="AO14" s="24">
        <f>'Net zero Intermediate calcs'!AJ22*'Net zero Intermediate calcs'!AJ25*(1-Constants!$H$23)</f>
        <v>4216337.491126379</v>
      </c>
      <c r="AP14" s="24">
        <f>'Net zero Intermediate calcs'!AK22*'Net zero Intermediate calcs'!AK25*(1-Constants!$H$23)</f>
        <v>4231540.3877698993</v>
      </c>
      <c r="AQ14" s="24">
        <f>'Net zero Intermediate calcs'!AL22*'Net zero Intermediate calcs'!AL25*(1-Constants!$H$23)</f>
        <v>4247762.8278696174</v>
      </c>
      <c r="AR14" s="24">
        <f>'Net zero Intermediate calcs'!AM22*'Net zero Intermediate calcs'!AM25*(1-Constants!$H$23)</f>
        <v>4258016.9515716322</v>
      </c>
      <c r="AS14" s="24">
        <f>'Net zero Intermediate calcs'!AN22*'Net zero Intermediate calcs'!AN25*(1-Constants!$H$23)</f>
        <v>4269111.3919825209</v>
      </c>
      <c r="AT14" s="24">
        <f>'Net zero Intermediate calcs'!AO22*'Net zero Intermediate calcs'!AO25*(1-Constants!$H$23)</f>
        <v>4281092.0475214124</v>
      </c>
      <c r="AU14" s="24">
        <f>'Net zero Intermediate calcs'!AP22*'Net zero Intermediate calcs'!AP25*(1-Constants!$H$23)</f>
        <v>4293793.9803095507</v>
      </c>
      <c r="AV14" s="24">
        <f>'Net zero Intermediate calcs'!AQ22*'Net zero Intermediate calcs'!AQ25*(1-Constants!$H$23)</f>
        <v>4307267.9994779527</v>
      </c>
      <c r="AW14" s="24">
        <f>'Net zero Intermediate calcs'!AR22*'Net zero Intermediate calcs'!AR25*(1-Constants!$H$23)</f>
        <v>4316092.5873637712</v>
      </c>
      <c r="AX14" s="24">
        <f>'Net zero Intermediate calcs'!AS22*'Net zero Intermediate calcs'!AS25*(1-Constants!$H$23)</f>
        <v>4325662.9161692243</v>
      </c>
      <c r="AY14" s="24">
        <f>'Net zero Intermediate calcs'!AT22*'Net zero Intermediate calcs'!AT25*(1-Constants!$H$23)</f>
        <v>4335898.0793104479</v>
      </c>
      <c r="AZ14" s="24">
        <f>'Net zero Intermediate calcs'!AU22*'Net zero Intermediate calcs'!AU25*(1-Constants!$H$23)</f>
        <v>4345640.458791188</v>
      </c>
      <c r="BA14" s="24">
        <f>'Net zero Intermediate calcs'!AV22*'Net zero Intermediate calcs'!AV25*(1-Constants!$H$23)</f>
        <v>4303052.1387127396</v>
      </c>
      <c r="BB14" s="24">
        <f>'Net zero Intermediate calcs'!AW22*'Net zero Intermediate calcs'!AW25*(1-Constants!$H$23)</f>
        <v>4308750.4675854268</v>
      </c>
      <c r="BC14" s="24">
        <f>'Net zero Intermediate calcs'!AX22*'Net zero Intermediate calcs'!AX25*(1-Constants!$H$23)</f>
        <v>4314959.737378045</v>
      </c>
      <c r="BD14" s="24">
        <f>'Net zero Intermediate calcs'!AY22*'Net zero Intermediate calcs'!AY25*(1-Constants!$H$23)</f>
        <v>4321659.1983547872</v>
      </c>
      <c r="BE14" s="24">
        <f>'Net zero Intermediate calcs'!AZ22*'Net zero Intermediate calcs'!AZ25*(1-Constants!$H$23)</f>
        <v>4328829.7102454863</v>
      </c>
      <c r="BF14" s="24">
        <f>'Net zero Intermediate calcs'!BA22*'Net zero Intermediate calcs'!BA25*(1-Constants!$H$23)</f>
        <v>4336453.588142301</v>
      </c>
      <c r="BG14" s="24">
        <f>'Net zero Intermediate calcs'!BB22*'Net zero Intermediate calcs'!BB25*(1-Constants!$H$23)</f>
        <v>4339726.1256092181</v>
      </c>
      <c r="BH14" s="24">
        <f>'Net zero Intermediate calcs'!BC22*'Net zero Intermediate calcs'!BC25*(1-Constants!$H$23)</f>
        <v>4343407.0854588849</v>
      </c>
      <c r="BI14" s="24">
        <f>'Net zero Intermediate calcs'!BD22*'Net zero Intermediate calcs'!BD25*(1-Constants!$H$23)</f>
        <v>4347481.070187184</v>
      </c>
      <c r="BJ14" s="24">
        <f>'Net zero Intermediate calcs'!BE22*'Net zero Intermediate calcs'!BE25*(1-Constants!$H$23)</f>
        <v>4351933.7385949902</v>
      </c>
      <c r="BK14" s="24">
        <f>'Net zero Intermediate calcs'!BF22*'Net zero Intermediate calcs'!BF25*(1-Constants!$H$23)</f>
        <v>4356751.7152914843</v>
      </c>
      <c r="BL14" s="24">
        <f>'Net zero Intermediate calcs'!BG22*'Net zero Intermediate calcs'!BG25*(1-Constants!$H$23)</f>
        <v>4357127.6135512013</v>
      </c>
      <c r="BM14" s="24">
        <f>'Net zero Intermediate calcs'!BH22*'Net zero Intermediate calcs'!BH25*(1-Constants!$H$23)</f>
        <v>4357837.8102205722</v>
      </c>
      <c r="BN14" s="24">
        <f>'Net zero Intermediate calcs'!BI22*'Net zero Intermediate calcs'!BI25*(1-Constants!$H$23)</f>
        <v>4358870.2996184686</v>
      </c>
      <c r="BO14" s="24">
        <f>'Net zero Intermediate calcs'!BJ22*'Net zero Intermediate calcs'!BJ25*(1-Constants!$H$23)</f>
        <v>4360213.8109174296</v>
      </c>
      <c r="BP14" s="24">
        <f>'Net zero Intermediate calcs'!BK22*'Net zero Intermediate calcs'!BK25*(1-Constants!$H$23)</f>
        <v>4361857.7512128772</v>
      </c>
      <c r="BQ14" s="23">
        <v>4442559.9754195558</v>
      </c>
    </row>
    <row r="15" spans="1:72" s="23" customFormat="1" x14ac:dyDescent="0.25">
      <c r="A15" s="23" t="str">
        <f t="shared" si="1"/>
        <v>3A Livestock</v>
      </c>
      <c r="C15" s="23" t="str">
        <f>'IPCC Categories'!$C$9</f>
        <v>3A1f Horses</v>
      </c>
      <c r="D15" t="str">
        <f>'IPCC Categories'!$F$42</f>
        <v>Horses</v>
      </c>
      <c r="E15" s="23" t="str">
        <f t="shared" si="2"/>
        <v>Population</v>
      </c>
      <c r="F15" s="23" t="str">
        <f t="shared" si="2"/>
        <v>Head</v>
      </c>
      <c r="H15" s="43">
        <v>230000</v>
      </c>
      <c r="I15" s="43">
        <v>230000</v>
      </c>
      <c r="J15" s="43">
        <v>230000</v>
      </c>
      <c r="K15" s="43">
        <v>235000</v>
      </c>
      <c r="L15" s="43">
        <v>240000</v>
      </c>
      <c r="M15" s="43">
        <v>245000</v>
      </c>
      <c r="N15" s="43">
        <v>250000</v>
      </c>
      <c r="O15" s="43">
        <v>255000</v>
      </c>
      <c r="P15" s="43">
        <v>260000</v>
      </c>
      <c r="Q15" s="43">
        <v>258000</v>
      </c>
      <c r="R15" s="43">
        <v>270000</v>
      </c>
      <c r="S15" s="43">
        <v>270000</v>
      </c>
      <c r="T15" s="43">
        <v>270000</v>
      </c>
      <c r="U15" s="43">
        <v>270000</v>
      </c>
      <c r="V15" s="43">
        <v>270000</v>
      </c>
      <c r="W15" s="43">
        <v>270000</v>
      </c>
      <c r="X15" s="43">
        <v>280000</v>
      </c>
      <c r="Y15" s="43">
        <v>290000</v>
      </c>
      <c r="Z15" s="43">
        <v>298000</v>
      </c>
      <c r="AA15" s="43">
        <v>300000</v>
      </c>
      <c r="AB15" s="43">
        <v>300000</v>
      </c>
      <c r="AC15" s="43">
        <v>305000</v>
      </c>
      <c r="AD15" s="24">
        <f>((Data!$AJ$61*((Drivers!Z5*1000000)/Drivers!Z4))+Data!$AK$61)</f>
        <v>309424.59857961355</v>
      </c>
      <c r="AE15" s="24">
        <f>((Data!$AJ$61*((Drivers!AA5*1000000)/Drivers!AA4))+Data!$AK$61)</f>
        <v>311238.00485276635</v>
      </c>
      <c r="AF15" s="24">
        <f>((Data!$AJ$61*((Drivers!AB5*1000000)/Drivers!AB4))+Data!$AK$61)</f>
        <v>311684.78111939383</v>
      </c>
      <c r="AG15" s="24">
        <f>((Data!$AJ$61*((Drivers!AC5*1000000)/Drivers!AC4))+Data!$AK$61)</f>
        <v>310319.89215582341</v>
      </c>
      <c r="AH15" s="24">
        <f>((Data!$AJ$61*((Drivers!AD5*1000000)/Drivers!AD4))+Data!$AK$61)</f>
        <v>308875.85176937183</v>
      </c>
      <c r="AI15" s="24">
        <f>((Data!$AJ$61*((Drivers!AE5*1000000)/Drivers!AE4))+Data!$AK$61)</f>
        <v>308188.80875604128</v>
      </c>
      <c r="AJ15" s="24">
        <f>((Data!$AJ$61*((Drivers!AF5*1000000)/Drivers!AF4))+Data!$AK$61)</f>
        <v>307730.5816715043</v>
      </c>
      <c r="AK15" s="24">
        <f>((Data!$AJ$61*((Drivers!AG5*1000000)/Drivers!AG4))+Data!$AK$61)</f>
        <v>305520.32201924094</v>
      </c>
      <c r="AL15" s="24">
        <f>((Data!$AJ$61*((Drivers!AH5*1000000)/Drivers!AH4))+Data!$AK$61)</f>
        <v>287661.89914888295</v>
      </c>
      <c r="AM15" s="24">
        <f>((Data!$AJ$61*((Drivers!AI5*1000000)/Drivers!AI4))+Data!$AK$61)</f>
        <v>290190.91684253712</v>
      </c>
      <c r="AN15" s="24">
        <f>((Data!$AJ$61*((Drivers!AJ5*1000000)/Drivers!AJ4))+Data!$AK$61)</f>
        <v>292261.88816590386</v>
      </c>
      <c r="AO15" s="24">
        <f>((Data!$AJ$61*((Drivers!AK5*1000000)/Drivers!AK4))+Data!$AK$61)</f>
        <v>294290.99398597062</v>
      </c>
      <c r="AP15" s="24">
        <f>((Data!$AJ$61*((Drivers!AL5*1000000)/Drivers!AL4))+Data!$AK$61)</f>
        <v>296921.63065138634</v>
      </c>
      <c r="AQ15" s="24">
        <f>((Data!$AJ$61*((Drivers!AM5*1000000)/Drivers!AM4))+Data!$AK$61)</f>
        <v>299504.15233855741</v>
      </c>
      <c r="AR15" s="24">
        <f>((Data!$AJ$61*((Drivers!AN5*1000000)/Drivers!AN4))+Data!$AK$61)</f>
        <v>302462.66364576167</v>
      </c>
      <c r="AS15" s="24">
        <f>((Data!$AJ$61*((Drivers!AO5*1000000)/Drivers!AO4))+Data!$AK$61)</f>
        <v>305228.59279304056</v>
      </c>
      <c r="AT15" s="24">
        <f>((Data!$AJ$61*((Drivers!AP5*1000000)/Drivers!AP4))+Data!$AK$61)</f>
        <v>308203.9000551239</v>
      </c>
      <c r="AU15" s="24">
        <f>((Data!$AJ$61*((Drivers!AQ5*1000000)/Drivers!AQ4))+Data!$AK$61)</f>
        <v>310844.02698894078</v>
      </c>
      <c r="AV15" s="24">
        <f>((Data!$AJ$61*((Drivers!AR5*1000000)/Drivers!AR4))+Data!$AK$61)</f>
        <v>313533.17193691689</v>
      </c>
      <c r="AW15" s="24">
        <f>((Data!$AJ$61*((Drivers!AS5*1000000)/Drivers!AS4))+Data!$AK$61)</f>
        <v>317257.67426268931</v>
      </c>
      <c r="AX15" s="24">
        <f>((Data!$AJ$61*((Drivers!AT5*1000000)/Drivers!AT4))+Data!$AK$61)</f>
        <v>321321.96909125871</v>
      </c>
      <c r="AY15" s="24">
        <f>((Data!$AJ$61*((Drivers!AU5*1000000)/Drivers!AU4))+Data!$AK$61)</f>
        <v>325501.24891106453</v>
      </c>
      <c r="AZ15" s="24">
        <f>((Data!$AJ$61*((Drivers!AV5*1000000)/Drivers!AV4))+Data!$AK$61)</f>
        <v>324906.74141302751</v>
      </c>
      <c r="BA15" s="24">
        <f>((Data!$AJ$61*((Drivers!AW5*1000000)/Drivers!AW4))+Data!$AK$61)</f>
        <v>96134.468780259602</v>
      </c>
      <c r="BB15" s="24">
        <f>((Data!$AJ$61*((Drivers!AX5*1000000)/Drivers!AX4))+Data!$AK$61)</f>
        <v>96134.468780259602</v>
      </c>
      <c r="BC15" s="24">
        <f>((Data!$AJ$61*((Drivers!AY5*1000000)/Drivers!AY4))+Data!$AK$61)</f>
        <v>96134.468780259602</v>
      </c>
      <c r="BD15" s="24">
        <f>((Data!$AJ$61*((Drivers!AZ5*1000000)/Drivers!AZ4))+Data!$AK$61)</f>
        <v>96134.468780259602</v>
      </c>
      <c r="BE15" s="24">
        <f>((Data!$AJ$61*((Drivers!BA5*1000000)/Drivers!BA4))+Data!$AK$61)</f>
        <v>96134.468780259602</v>
      </c>
      <c r="BF15" s="24">
        <f>((Data!$AJ$61*((Drivers!BB5*1000000)/Drivers!BB4))+Data!$AK$61)</f>
        <v>96134.468780259602</v>
      </c>
      <c r="BG15" s="24">
        <f>((Data!$AJ$61*((Drivers!BC5*1000000)/Drivers!BC4))+Data!$AK$61)</f>
        <v>96134.468780259602</v>
      </c>
      <c r="BH15" s="24">
        <f>((Data!$AJ$61*((Drivers!BD5*1000000)/Drivers!BD4))+Data!$AK$61)</f>
        <v>96134.468780259602</v>
      </c>
      <c r="BI15" s="24">
        <f>((Data!$AJ$61*((Drivers!BE5*1000000)/Drivers!BE4))+Data!$AK$61)</f>
        <v>96134.468780259602</v>
      </c>
      <c r="BJ15" s="24">
        <f>((Data!$AJ$61*((Drivers!BF5*1000000)/Drivers!BF4))+Data!$AK$61)</f>
        <v>96134.468780259602</v>
      </c>
      <c r="BK15" s="24">
        <f>((Data!$AJ$61*((Drivers!BG5*1000000)/Drivers!BG4))+Data!$AK$61)</f>
        <v>96134.468780259602</v>
      </c>
      <c r="BL15" s="24">
        <f>((Data!$AJ$61*((Drivers!BH5*1000000)/Drivers!BH4))+Data!$AK$61)</f>
        <v>96134.468780259602</v>
      </c>
      <c r="BM15" s="24">
        <f>((Data!$AJ$61*((Drivers!BI5*1000000)/Drivers!BI4))+Data!$AK$61)</f>
        <v>96134.468780259602</v>
      </c>
      <c r="BN15" s="24">
        <f>((Data!$AJ$61*((Drivers!BJ5*1000000)/Drivers!BJ4))+Data!$AK$61)</f>
        <v>96134.468780259602</v>
      </c>
      <c r="BO15" s="24">
        <f>((Data!$AJ$61*((Drivers!BK5*1000000)/Drivers!BK4))+Data!$AK$61)</f>
        <v>96134.468780259602</v>
      </c>
      <c r="BP15" s="24">
        <f>((Data!$AJ$61*((Drivers!BL5*1000000)/Drivers!BL4))+Data!$AK$61)</f>
        <v>96134.468780259602</v>
      </c>
      <c r="BQ15" s="23">
        <v>439500.1913407169</v>
      </c>
    </row>
    <row r="16" spans="1:72" s="23" customFormat="1" x14ac:dyDescent="0.25">
      <c r="A16" s="23" t="str">
        <f t="shared" si="1"/>
        <v>3A Livestock</v>
      </c>
      <c r="C16" s="23" t="str">
        <f>'IPCC Categories'!$C$10</f>
        <v>3A1g Mules &amp; asses</v>
      </c>
      <c r="D16" t="str">
        <f>'IPCC Categories'!$F$43</f>
        <v>Mules &amp; Asses</v>
      </c>
      <c r="E16" s="23" t="str">
        <f t="shared" si="2"/>
        <v>Population</v>
      </c>
      <c r="F16" s="23" t="str">
        <f t="shared" si="2"/>
        <v>Head</v>
      </c>
      <c r="H16" s="43">
        <v>224000</v>
      </c>
      <c r="I16" s="43">
        <v>224000</v>
      </c>
      <c r="J16" s="43">
        <v>224000</v>
      </c>
      <c r="K16" s="43">
        <v>224000</v>
      </c>
      <c r="L16" s="43">
        <v>224000</v>
      </c>
      <c r="M16" s="43">
        <v>224000</v>
      </c>
      <c r="N16" s="43">
        <v>224000</v>
      </c>
      <c r="O16" s="43">
        <v>224000</v>
      </c>
      <c r="P16" s="43">
        <v>224000</v>
      </c>
      <c r="Q16" s="43">
        <v>224000</v>
      </c>
      <c r="R16" s="43">
        <v>164000</v>
      </c>
      <c r="S16" s="43">
        <v>164000</v>
      </c>
      <c r="T16" s="43">
        <v>164000</v>
      </c>
      <c r="U16" s="43">
        <v>164000</v>
      </c>
      <c r="V16" s="43">
        <v>164000</v>
      </c>
      <c r="W16" s="43">
        <v>164000</v>
      </c>
      <c r="X16" s="43">
        <v>164050</v>
      </c>
      <c r="Y16" s="43">
        <v>164600</v>
      </c>
      <c r="Z16" s="43">
        <v>164700</v>
      </c>
      <c r="AA16" s="43">
        <v>164800</v>
      </c>
      <c r="AB16" s="43">
        <v>166300</v>
      </c>
      <c r="AC16" s="43">
        <v>167000</v>
      </c>
      <c r="AD16" s="24">
        <f t="shared" ref="AD16" si="3">AC16</f>
        <v>167000</v>
      </c>
      <c r="AE16" s="24">
        <f t="shared" ref="AE16" si="4">AD16</f>
        <v>167000</v>
      </c>
      <c r="AF16" s="24">
        <f t="shared" ref="AF16" si="5">AE16</f>
        <v>167000</v>
      </c>
      <c r="AG16" s="24">
        <f t="shared" ref="AG16" si="6">AF16</f>
        <v>167000</v>
      </c>
      <c r="AH16" s="24">
        <f t="shared" ref="AH16" si="7">AG16</f>
        <v>167000</v>
      </c>
      <c r="AI16" s="24">
        <f t="shared" ref="AI16" si="8">AH16</f>
        <v>167000</v>
      </c>
      <c r="AJ16" s="24">
        <f t="shared" ref="AJ16" si="9">AI16</f>
        <v>167000</v>
      </c>
      <c r="AK16" s="24">
        <f t="shared" ref="AK16" si="10">AJ16</f>
        <v>167000</v>
      </c>
      <c r="AL16" s="24">
        <f t="shared" ref="AL16" si="11">AK16</f>
        <v>167000</v>
      </c>
      <c r="AM16" s="24">
        <f t="shared" ref="AM16" si="12">AL16</f>
        <v>167000</v>
      </c>
      <c r="AN16" s="24">
        <f t="shared" ref="AN16" si="13">AM16</f>
        <v>167000</v>
      </c>
      <c r="AO16" s="24">
        <f t="shared" ref="AO16" si="14">AN16</f>
        <v>167000</v>
      </c>
      <c r="AP16" s="24">
        <f t="shared" ref="AP16" si="15">AO16</f>
        <v>167000</v>
      </c>
      <c r="AQ16" s="24">
        <f t="shared" ref="AQ16" si="16">AP16</f>
        <v>167000</v>
      </c>
      <c r="AR16" s="24">
        <f t="shared" ref="AR16" si="17">AQ16</f>
        <v>167000</v>
      </c>
      <c r="AS16" s="24">
        <f t="shared" ref="AS16" si="18">AR16</f>
        <v>167000</v>
      </c>
      <c r="AT16" s="24">
        <f t="shared" ref="AT16" si="19">AS16</f>
        <v>167000</v>
      </c>
      <c r="AU16" s="24">
        <f t="shared" ref="AU16" si="20">AT16</f>
        <v>167000</v>
      </c>
      <c r="AV16" s="24">
        <f t="shared" ref="AV16" si="21">AU16</f>
        <v>167000</v>
      </c>
      <c r="AW16" s="24">
        <f t="shared" ref="AW16" si="22">AV16</f>
        <v>167000</v>
      </c>
      <c r="AX16" s="24">
        <f t="shared" ref="AX16" si="23">AW16</f>
        <v>167000</v>
      </c>
      <c r="AY16" s="24">
        <f t="shared" ref="AY16" si="24">AX16</f>
        <v>167000</v>
      </c>
      <c r="AZ16" s="24">
        <f t="shared" ref="AZ16" si="25">AY16</f>
        <v>167000</v>
      </c>
      <c r="BA16" s="24">
        <f t="shared" ref="BA16" si="26">AZ16</f>
        <v>167000</v>
      </c>
      <c r="BB16" s="24">
        <f t="shared" ref="BB16" si="27">BA16</f>
        <v>167000</v>
      </c>
      <c r="BC16" s="24">
        <f t="shared" ref="BC16" si="28">BB16</f>
        <v>167000</v>
      </c>
      <c r="BD16" s="24">
        <f t="shared" ref="BD16" si="29">BC16</f>
        <v>167000</v>
      </c>
      <c r="BE16" s="24">
        <f t="shared" ref="BE16" si="30">BD16</f>
        <v>167000</v>
      </c>
      <c r="BF16" s="24">
        <f t="shared" ref="BF16" si="31">BE16</f>
        <v>167000</v>
      </c>
      <c r="BG16" s="24">
        <f t="shared" ref="BG16" si="32">BF16</f>
        <v>167000</v>
      </c>
      <c r="BH16" s="24">
        <f t="shared" ref="BH16" si="33">BG16</f>
        <v>167000</v>
      </c>
      <c r="BI16" s="24">
        <f t="shared" ref="BI16" si="34">BH16</f>
        <v>167000</v>
      </c>
      <c r="BJ16" s="24">
        <f t="shared" ref="BJ16" si="35">BI16</f>
        <v>167000</v>
      </c>
      <c r="BK16" s="24">
        <f t="shared" ref="BK16" si="36">BJ16</f>
        <v>167000</v>
      </c>
      <c r="BL16" s="24">
        <f t="shared" ref="BL16" si="37">BK16</f>
        <v>167000</v>
      </c>
      <c r="BM16" s="24">
        <f t="shared" ref="BM16" si="38">BL16</f>
        <v>167000</v>
      </c>
      <c r="BN16" s="24">
        <f t="shared" ref="BN16" si="39">BM16</f>
        <v>167000</v>
      </c>
      <c r="BO16" s="24">
        <f t="shared" ref="BO16" si="40">BN16</f>
        <v>167000</v>
      </c>
      <c r="BP16" s="24">
        <f t="shared" ref="BP16" si="41">BO16</f>
        <v>167000</v>
      </c>
      <c r="BQ16" s="23">
        <v>167000</v>
      </c>
    </row>
    <row r="17" spans="1:72" s="23" customFormat="1" x14ac:dyDescent="0.25">
      <c r="A17" s="23" t="str">
        <f t="shared" si="1"/>
        <v>3A Livestock</v>
      </c>
      <c r="C17" s="23" t="str">
        <f>'IPCC Categories'!$C$11</f>
        <v>3A1h Swine</v>
      </c>
      <c r="D17" t="str">
        <f>'IPCC Categories'!F36</f>
        <v>Commercial</v>
      </c>
      <c r="E17" s="23" t="str">
        <f t="shared" si="2"/>
        <v>Population</v>
      </c>
      <c r="F17" s="23" t="str">
        <f t="shared" si="2"/>
        <v>Head</v>
      </c>
      <c r="H17" s="43">
        <v>1524000</v>
      </c>
      <c r="I17" s="43">
        <v>1665000</v>
      </c>
      <c r="J17" s="43">
        <v>1654000</v>
      </c>
      <c r="K17" s="43">
        <v>1653000</v>
      </c>
      <c r="L17" s="43">
        <v>1570000</v>
      </c>
      <c r="M17" s="43">
        <v>1585000</v>
      </c>
      <c r="N17" s="43">
        <v>1707000</v>
      </c>
      <c r="O17" s="43">
        <v>1699000</v>
      </c>
      <c r="P17" s="43">
        <v>1736000</v>
      </c>
      <c r="Q17" s="43">
        <v>1780000</v>
      </c>
      <c r="R17" s="43">
        <v>1647000</v>
      </c>
      <c r="S17" s="43">
        <v>1678000</v>
      </c>
      <c r="T17" s="43">
        <v>1710000</v>
      </c>
      <c r="U17" s="43">
        <v>1663000</v>
      </c>
      <c r="V17" s="43">
        <v>1663000</v>
      </c>
      <c r="W17" s="43">
        <v>1651000</v>
      </c>
      <c r="X17" s="43">
        <v>1622000</v>
      </c>
      <c r="Y17" s="43">
        <v>1651000</v>
      </c>
      <c r="Z17" s="43">
        <v>1615000</v>
      </c>
      <c r="AA17" s="43">
        <v>1613000</v>
      </c>
      <c r="AB17" s="43">
        <v>1594000</v>
      </c>
      <c r="AC17" s="43">
        <v>1584000</v>
      </c>
      <c r="AD17" s="24">
        <f>'Net zero Intermediate calcs'!Y32*'Net zero Intermediate calcs'!Y33*Constants!$H$24</f>
        <v>1668706.6341391769</v>
      </c>
      <c r="AE17" s="24">
        <f>'Net zero Intermediate calcs'!Z32*'Net zero Intermediate calcs'!Z33*Constants!$H$24</f>
        <v>1663439.5890291643</v>
      </c>
      <c r="AF17" s="24">
        <f>'Net zero Intermediate calcs'!AA32*'Net zero Intermediate calcs'!AA33*Constants!$H$24</f>
        <v>1646021.5105360481</v>
      </c>
      <c r="AG17" s="24">
        <f>'Net zero Intermediate calcs'!AB32*'Net zero Intermediate calcs'!AB33*Constants!$H$24</f>
        <v>1612202.0581695586</v>
      </c>
      <c r="AH17" s="24">
        <f>'Net zero Intermediate calcs'!AC32*'Net zero Intermediate calcs'!AC33*Constants!$H$24</f>
        <v>1579862.3263952187</v>
      </c>
      <c r="AI17" s="24">
        <f>'Net zero Intermediate calcs'!AD32*'Net zero Intermediate calcs'!AD33*Constants!$H$24</f>
        <v>1557175.5891199291</v>
      </c>
      <c r="AJ17" s="24">
        <f>'Net zero Intermediate calcs'!AE32*'Net zero Intermediate calcs'!AE33*Constants!$H$24</f>
        <v>1537961.8149546264</v>
      </c>
      <c r="AK17" s="24">
        <f>'Net zero Intermediate calcs'!AF32*'Net zero Intermediate calcs'!AF33*Constants!$H$24</f>
        <v>1502581.6771722403</v>
      </c>
      <c r="AL17" s="24">
        <f>'Net zero Intermediate calcs'!AG32*'Net zero Intermediate calcs'!AG33*Constants!$H$24</f>
        <v>1315396.4760612361</v>
      </c>
      <c r="AM17" s="24">
        <f>'Net zero Intermediate calcs'!AH32*'Net zero Intermediate calcs'!AH33*Constants!$H$24</f>
        <v>1323755.2854348691</v>
      </c>
      <c r="AN17" s="24">
        <f>'Net zero Intermediate calcs'!AI32*'Net zero Intermediate calcs'!AI33*Constants!$H$24</f>
        <v>1327951.065289777</v>
      </c>
      <c r="AO17" s="24">
        <f>'Net zero Intermediate calcs'!AJ32*'Net zero Intermediate calcs'!AJ33*Constants!$H$24</f>
        <v>1332030.1846082564</v>
      </c>
      <c r="AP17" s="24">
        <f>'Net zero Intermediate calcs'!AK32*'Net zero Intermediate calcs'!AK33*Constants!$H$24</f>
        <v>1341993.8516832485</v>
      </c>
      <c r="AQ17" s="24">
        <f>'Net zero Intermediate calcs'!AL32*'Net zero Intermediate calcs'!AL33*Constants!$H$24</f>
        <v>1351622.5569717193</v>
      </c>
      <c r="AR17" s="24">
        <f>'Net zero Intermediate calcs'!AM32*'Net zero Intermediate calcs'!AM33*Constants!$H$24</f>
        <v>1362669.1487958359</v>
      </c>
      <c r="AS17" s="24">
        <f>'Net zero Intermediate calcs'!AN32*'Net zero Intermediate calcs'!AN33*Constants!$H$24</f>
        <v>1371941.0880858656</v>
      </c>
      <c r="AT17" s="24">
        <f>'Net zero Intermediate calcs'!AO32*'Net zero Intermediate calcs'!AO33*Constants!$H$24</f>
        <v>1383083.8020384752</v>
      </c>
      <c r="AU17" s="24">
        <f>'Net zero Intermediate calcs'!AP32*'Net zero Intermediate calcs'!AP33*Constants!$H$24</f>
        <v>1391195.0575322811</v>
      </c>
      <c r="AV17" s="24">
        <f>'Net zero Intermediate calcs'!AQ32*'Net zero Intermediate calcs'!AQ33*Constants!$H$24</f>
        <v>1399727.3880666287</v>
      </c>
      <c r="AW17" s="24">
        <f>'Net zero Intermediate calcs'!AR32*'Net zero Intermediate calcs'!AR33*Constants!$H$24</f>
        <v>1415464.7923016609</v>
      </c>
      <c r="AX17" s="24">
        <f>'Net zero Intermediate calcs'!AS32*'Net zero Intermediate calcs'!AS33*Constants!$H$24</f>
        <v>1433848.6497403779</v>
      </c>
      <c r="AY17" s="24">
        <f>'Net zero Intermediate calcs'!AT32*'Net zero Intermediate calcs'!AT33*Constants!$H$24</f>
        <v>1452872.628530995</v>
      </c>
      <c r="AZ17" s="24">
        <f>'Net zero Intermediate calcs'!AU32*'Net zero Intermediate calcs'!AU33*Constants!$H$24</f>
        <v>1431491.3732216139</v>
      </c>
      <c r="BA17" s="24">
        <f>'Net zero Intermediate calcs'!AV32*'Net zero Intermediate calcs'!AV33*Constants!$H$24</f>
        <v>-482995.86603850994</v>
      </c>
      <c r="BB17" s="24">
        <f>'Net zero Intermediate calcs'!AW32*'Net zero Intermediate calcs'!AW33*Constants!$H$24</f>
        <v>-477712.67139265809</v>
      </c>
      <c r="BC17" s="24">
        <f>'Net zero Intermediate calcs'!AX32*'Net zero Intermediate calcs'!AX33*Constants!$H$24</f>
        <v>-472542.63526061765</v>
      </c>
      <c r="BD17" s="24">
        <f>'Net zero Intermediate calcs'!AY32*'Net zero Intermediate calcs'!AY33*Constants!$H$24</f>
        <v>-467478.35495464271</v>
      </c>
      <c r="BE17" s="24">
        <f>'Net zero Intermediate calcs'!AZ32*'Net zero Intermediate calcs'!AZ33*Constants!$H$24</f>
        <v>-462512.96981262625</v>
      </c>
      <c r="BF17" s="24">
        <f>'Net zero Intermediate calcs'!BA32*'Net zero Intermediate calcs'!BA33*Constants!$H$24</f>
        <v>-457640.10878107429</v>
      </c>
      <c r="BG17" s="24">
        <f>'Net zero Intermediate calcs'!BB32*'Net zero Intermediate calcs'!BB33*Constants!$H$24</f>
        <v>-452295.55110976769</v>
      </c>
      <c r="BH17" s="24">
        <f>'Net zero Intermediate calcs'!BC32*'Net zero Intermediate calcs'!BC33*Constants!$H$24</f>
        <v>-447045.22553647956</v>
      </c>
      <c r="BI17" s="24">
        <f>'Net zero Intermediate calcs'!BD32*'Net zero Intermediate calcs'!BD33*Constants!$H$24</f>
        <v>-441883.62847570429</v>
      </c>
      <c r="BJ17" s="24">
        <f>'Net zero Intermediate calcs'!BE32*'Net zero Intermediate calcs'!BE33*Constants!$H$24</f>
        <v>-436805.61582397495</v>
      </c>
      <c r="BK17" s="24">
        <f>'Net zero Intermediate calcs'!BF32*'Net zero Intermediate calcs'!BF33*Constants!$H$24</f>
        <v>-431806.37189970666</v>
      </c>
      <c r="BL17" s="24">
        <f>'Net zero Intermediate calcs'!BG32*'Net zero Intermediate calcs'!BG33*Constants!$H$24</f>
        <v>-426358.31520864717</v>
      </c>
      <c r="BM17" s="24">
        <f>'Net zero Intermediate calcs'!BH32*'Net zero Intermediate calcs'!BH33*Constants!$H$24</f>
        <v>-420993.47015354381</v>
      </c>
      <c r="BN17" s="24">
        <f>'Net zero Intermediate calcs'!BI32*'Net zero Intermediate calcs'!BI33*Constants!$H$24</f>
        <v>-415707.55352686573</v>
      </c>
      <c r="BO17" s="24">
        <f>'Net zero Intermediate calcs'!BJ32*'Net zero Intermediate calcs'!BJ33*Constants!$H$24</f>
        <v>-410496.53518797131</v>
      </c>
      <c r="BP17" s="24">
        <f>'Net zero Intermediate calcs'!BK32*'Net zero Intermediate calcs'!BK33*Constants!$H$24</f>
        <v>-405356.61833221326</v>
      </c>
      <c r="BQ17" s="23">
        <v>1950275.6349015508</v>
      </c>
    </row>
    <row r="18" spans="1:72" s="23" customFormat="1" x14ac:dyDescent="0.25">
      <c r="A18" s="23" t="str">
        <f t="shared" si="1"/>
        <v>3A Livestock</v>
      </c>
      <c r="C18" s="23" t="str">
        <f>C17</f>
        <v>3A1h Swine</v>
      </c>
      <c r="D18" t="str">
        <f>'IPCC Categories'!F37</f>
        <v>Subsistence</v>
      </c>
      <c r="E18" s="23" t="str">
        <f t="shared" si="2"/>
        <v>Population</v>
      </c>
      <c r="F18" s="23" t="str">
        <f t="shared" si="2"/>
        <v>Head</v>
      </c>
      <c r="H18" s="43">
        <v>199009.99166888703</v>
      </c>
      <c r="I18" s="43">
        <v>217422.33341778014</v>
      </c>
      <c r="J18" s="43">
        <v>215985.90959339839</v>
      </c>
      <c r="K18" s="43">
        <v>215855.3256093637</v>
      </c>
      <c r="L18" s="43">
        <v>205016.85493448336</v>
      </c>
      <c r="M18" s="43">
        <v>206975.6146950039</v>
      </c>
      <c r="N18" s="43">
        <v>222906.86074723766</v>
      </c>
      <c r="O18" s="43">
        <v>221862.18887496003</v>
      </c>
      <c r="P18" s="43">
        <v>226693.79628424402</v>
      </c>
      <c r="Q18" s="43">
        <v>232439.49158177094</v>
      </c>
      <c r="R18" s="43">
        <v>215071.82170515548</v>
      </c>
      <c r="S18" s="43">
        <v>219119.92521023127</v>
      </c>
      <c r="T18" s="43">
        <v>223298.61269934176</v>
      </c>
      <c r="U18" s="43">
        <v>217161.16544971074</v>
      </c>
      <c r="V18" s="43">
        <v>217161.16544971074</v>
      </c>
      <c r="W18" s="43">
        <v>215594.1576412943</v>
      </c>
      <c r="X18" s="43">
        <v>211807.22210428791</v>
      </c>
      <c r="Y18" s="43">
        <v>215594.1576412943</v>
      </c>
      <c r="Z18" s="43">
        <v>210893.134216045</v>
      </c>
      <c r="AA18" s="43">
        <v>210631.96624797559</v>
      </c>
      <c r="AB18" s="43">
        <v>208150.87055131624</v>
      </c>
      <c r="AC18" s="43">
        <v>206845.03071096921</v>
      </c>
      <c r="AD18" s="24">
        <f>'Net zero Intermediate calcs'!Y32*'Net zero Intermediate calcs'!Y33*(1-Constants!$H$24)</f>
        <v>227550.90465534228</v>
      </c>
      <c r="AE18" s="24">
        <f>'Net zero Intermediate calcs'!Z32*'Net zero Intermediate calcs'!Z33*(1-Constants!$H$24)</f>
        <v>226832.67123124967</v>
      </c>
      <c r="AF18" s="24">
        <f>'Net zero Intermediate calcs'!AA32*'Net zero Intermediate calcs'!AA33*(1-Constants!$H$24)</f>
        <v>224457.47870946111</v>
      </c>
      <c r="AG18" s="24">
        <f>'Net zero Intermediate calcs'!AB32*'Net zero Intermediate calcs'!AB33*(1-Constants!$H$24)</f>
        <v>219845.73520493979</v>
      </c>
      <c r="AH18" s="24">
        <f>'Net zero Intermediate calcs'!AC32*'Net zero Intermediate calcs'!AC33*(1-Constants!$H$24)</f>
        <v>215435.77178116617</v>
      </c>
      <c r="AI18" s="24">
        <f>'Net zero Intermediate calcs'!AD32*'Net zero Intermediate calcs'!AD33*(1-Constants!$H$24)</f>
        <v>212342.12578908124</v>
      </c>
      <c r="AJ18" s="24">
        <f>'Net zero Intermediate calcs'!AE32*'Net zero Intermediate calcs'!AE33*(1-Constants!$H$24)</f>
        <v>209722.06567563087</v>
      </c>
      <c r="AK18" s="24">
        <f>'Net zero Intermediate calcs'!AF32*'Net zero Intermediate calcs'!AF33*(1-Constants!$H$24)</f>
        <v>204897.50143257822</v>
      </c>
      <c r="AL18" s="24">
        <f>'Net zero Intermediate calcs'!AG32*'Net zero Intermediate calcs'!AG33*(1-Constants!$H$24)</f>
        <v>179372.24673562311</v>
      </c>
      <c r="AM18" s="24">
        <f>'Net zero Intermediate calcs'!AH32*'Net zero Intermediate calcs'!AH33*(1-Constants!$H$24)</f>
        <v>180512.08437748213</v>
      </c>
      <c r="AN18" s="24">
        <f>'Net zero Intermediate calcs'!AI32*'Net zero Intermediate calcs'!AI33*(1-Constants!$H$24)</f>
        <v>181084.23617587867</v>
      </c>
      <c r="AO18" s="24">
        <f>'Net zero Intermediate calcs'!AJ32*'Net zero Intermediate calcs'!AJ33*(1-Constants!$H$24)</f>
        <v>181640.47971930768</v>
      </c>
      <c r="AP18" s="24">
        <f>'Net zero Intermediate calcs'!AK32*'Net zero Intermediate calcs'!AK33*(1-Constants!$H$24)</f>
        <v>182999.16159317023</v>
      </c>
      <c r="AQ18" s="24">
        <f>'Net zero Intermediate calcs'!AL32*'Net zero Intermediate calcs'!AL33*(1-Constants!$H$24)</f>
        <v>184312.16685977991</v>
      </c>
      <c r="AR18" s="24">
        <f>'Net zero Intermediate calcs'!AM32*'Net zero Intermediate calcs'!AM33*(1-Constants!$H$24)</f>
        <v>185818.52029034126</v>
      </c>
      <c r="AS18" s="24">
        <f>'Net zero Intermediate calcs'!AN32*'Net zero Intermediate calcs'!AN33*(1-Constants!$H$24)</f>
        <v>187082.87564807257</v>
      </c>
      <c r="AT18" s="24">
        <f>'Net zero Intermediate calcs'!AO32*'Net zero Intermediate calcs'!AO33*(1-Constants!$H$24)</f>
        <v>188602.33664161025</v>
      </c>
      <c r="AU18" s="24">
        <f>'Net zero Intermediate calcs'!AP32*'Net zero Intermediate calcs'!AP33*(1-Constants!$H$24)</f>
        <v>189708.41693622014</v>
      </c>
      <c r="AV18" s="24">
        <f>'Net zero Intermediate calcs'!AQ32*'Net zero Intermediate calcs'!AQ33*(1-Constants!$H$24)</f>
        <v>190871.91655454028</v>
      </c>
      <c r="AW18" s="24">
        <f>'Net zero Intermediate calcs'!AR32*'Net zero Intermediate calcs'!AR33*(1-Constants!$H$24)</f>
        <v>193017.92622295374</v>
      </c>
      <c r="AX18" s="24">
        <f>'Net zero Intermediate calcs'!AS32*'Net zero Intermediate calcs'!AS33*(1-Constants!$H$24)</f>
        <v>195524.81587368788</v>
      </c>
      <c r="AY18" s="24">
        <f>'Net zero Intermediate calcs'!AT32*'Net zero Intermediate calcs'!AT33*(1-Constants!$H$24)</f>
        <v>198118.99479968112</v>
      </c>
      <c r="AZ18" s="24">
        <f>'Net zero Intermediate calcs'!AU32*'Net zero Intermediate calcs'!AU33*(1-Constants!$H$24)</f>
        <v>195203.36907567462</v>
      </c>
      <c r="BA18" s="24">
        <f>'Net zero Intermediate calcs'!AV32*'Net zero Intermediate calcs'!AV33*(1-Constants!$H$24)</f>
        <v>-65863.072641614985</v>
      </c>
      <c r="BB18" s="24">
        <f>'Net zero Intermediate calcs'!AW32*'Net zero Intermediate calcs'!AW33*(1-Constants!$H$24)</f>
        <v>-65142.63700808974</v>
      </c>
      <c r="BC18" s="24">
        <f>'Net zero Intermediate calcs'!AX32*'Net zero Intermediate calcs'!AX33*(1-Constants!$H$24)</f>
        <v>-64437.632080993317</v>
      </c>
      <c r="BD18" s="24">
        <f>'Net zero Intermediate calcs'!AY32*'Net zero Intermediate calcs'!AY33*(1-Constants!$H$24)</f>
        <v>-63747.048402905821</v>
      </c>
      <c r="BE18" s="24">
        <f>'Net zero Intermediate calcs'!AZ32*'Net zero Intermediate calcs'!AZ33*(1-Constants!$H$24)</f>
        <v>-63069.950428994489</v>
      </c>
      <c r="BF18" s="24">
        <f>'Net zero Intermediate calcs'!BA32*'Net zero Intermediate calcs'!BA33*(1-Constants!$H$24)</f>
        <v>-62405.469379237402</v>
      </c>
      <c r="BG18" s="24">
        <f>'Net zero Intermediate calcs'!BB32*'Net zero Intermediate calcs'!BB33*(1-Constants!$H$24)</f>
        <v>-61676.66606042286</v>
      </c>
      <c r="BH18" s="24">
        <f>'Net zero Intermediate calcs'!BC32*'Net zero Intermediate calcs'!BC33*(1-Constants!$H$24)</f>
        <v>-60960.712573156299</v>
      </c>
      <c r="BI18" s="24">
        <f>'Net zero Intermediate calcs'!BD32*'Net zero Intermediate calcs'!BD33*(1-Constants!$H$24)</f>
        <v>-60256.858428505126</v>
      </c>
      <c r="BJ18" s="24">
        <f>'Net zero Intermediate calcs'!BE32*'Net zero Intermediate calcs'!BE33*(1-Constants!$H$24)</f>
        <v>-59564.402157814766</v>
      </c>
      <c r="BK18" s="24">
        <f>'Net zero Intermediate calcs'!BF32*'Net zero Intermediate calcs'!BF33*(1-Constants!$H$24)</f>
        <v>-58882.687077232724</v>
      </c>
      <c r="BL18" s="24">
        <f>'Net zero Intermediate calcs'!BG32*'Net zero Intermediate calcs'!BG33*(1-Constants!$H$24)</f>
        <v>-58139.770255724608</v>
      </c>
      <c r="BM18" s="24">
        <f>'Net zero Intermediate calcs'!BH32*'Net zero Intermediate calcs'!BH33*(1-Constants!$H$24)</f>
        <v>-57408.200475483245</v>
      </c>
      <c r="BN18" s="24">
        <f>'Net zero Intermediate calcs'!BI32*'Net zero Intermediate calcs'!BI33*(1-Constants!$H$24)</f>
        <v>-56687.39366275441</v>
      </c>
      <c r="BO18" s="24">
        <f>'Net zero Intermediate calcs'!BJ32*'Net zero Intermediate calcs'!BJ33*(1-Constants!$H$24)</f>
        <v>-55976.800252905174</v>
      </c>
      <c r="BP18" s="24">
        <f>'Net zero Intermediate calcs'!BK32*'Net zero Intermediate calcs'!BK33*(1-Constants!$H$24)</f>
        <v>-55275.902499847267</v>
      </c>
      <c r="BQ18" s="23">
        <v>265946.67748657509</v>
      </c>
    </row>
    <row r="19" spans="1:72" s="23" customFormat="1" x14ac:dyDescent="0.25">
      <c r="A19" s="23" t="str">
        <f t="shared" si="1"/>
        <v>3A Livestock</v>
      </c>
      <c r="C19" s="23" t="str">
        <f>'IPCC Categories'!$C$19</f>
        <v>3A2i Poultry</v>
      </c>
      <c r="D19" t="str">
        <f>'IPCC Categories'!F50</f>
        <v>Commercial layers</v>
      </c>
      <c r="E19" s="23" t="str">
        <f t="shared" si="2"/>
        <v>Population</v>
      </c>
      <c r="F19" s="23" t="str">
        <f t="shared" si="2"/>
        <v>Head</v>
      </c>
      <c r="H19" s="43">
        <v>14643674.931267885</v>
      </c>
      <c r="I19" s="43">
        <v>14226110.812328145</v>
      </c>
      <c r="J19" s="43">
        <v>13492476.52712371</v>
      </c>
      <c r="K19" s="43">
        <v>13280331.082668224</v>
      </c>
      <c r="L19" s="43">
        <v>12702684.496371185</v>
      </c>
      <c r="M19" s="43">
        <v>13860209.809151115</v>
      </c>
      <c r="N19" s="43">
        <v>14640611.562802857</v>
      </c>
      <c r="O19" s="43">
        <v>14688755.298092401</v>
      </c>
      <c r="P19" s="43">
        <v>16538299.007411262</v>
      </c>
      <c r="Q19" s="43">
        <v>17730716.13950536</v>
      </c>
      <c r="R19" s="43">
        <v>17355030.714458548</v>
      </c>
      <c r="S19" s="43">
        <v>17818001.024886843</v>
      </c>
      <c r="T19" s="43">
        <v>17678155.288284503</v>
      </c>
      <c r="U19" s="43">
        <v>16972399.104253348</v>
      </c>
      <c r="V19" s="43">
        <v>17587835.89054852</v>
      </c>
      <c r="W19" s="43">
        <v>18648391.6209228</v>
      </c>
      <c r="X19" s="43">
        <v>20580691.805783488</v>
      </c>
      <c r="Y19" s="43">
        <v>22776081.657241259</v>
      </c>
      <c r="Z19" s="43">
        <v>23076039.863330547</v>
      </c>
      <c r="AA19" s="43">
        <v>22225308.649488669</v>
      </c>
      <c r="AB19" s="43">
        <v>23091061.215630483</v>
      </c>
      <c r="AC19" s="43">
        <v>24156882.687047753</v>
      </c>
      <c r="AD19" s="24">
        <f>'Net zero Intermediate calcs'!Y37*'Net zero Intermediate calcs'!Y38*Constants!$H$25</f>
        <v>23783178.297081485</v>
      </c>
      <c r="AE19" s="24">
        <f>'Net zero Intermediate calcs'!Z37*'Net zero Intermediate calcs'!Z38*Constants!$H$25</f>
        <v>24298219.499107163</v>
      </c>
      <c r="AF19" s="24">
        <f>'Net zero Intermediate calcs'!AA37*'Net zero Intermediate calcs'!AA38*Constants!$H$25</f>
        <v>24713217.850884736</v>
      </c>
      <c r="AG19" s="24">
        <f>'Net zero Intermediate calcs'!AB37*'Net zero Intermediate calcs'!AB38*Constants!$H$25</f>
        <v>24984371.75947506</v>
      </c>
      <c r="AH19" s="24">
        <f>'Net zero Intermediate calcs'!AC37*'Net zero Intermediate calcs'!AC38*Constants!$H$25</f>
        <v>25259206.097597122</v>
      </c>
      <c r="AI19" s="24">
        <f>'Net zero Intermediate calcs'!AD37*'Net zero Intermediate calcs'!AD38*Constants!$H$25</f>
        <v>25613519.414029963</v>
      </c>
      <c r="AJ19" s="24">
        <f>'Net zero Intermediate calcs'!AE37*'Net zero Intermediate calcs'!AE38*Constants!$H$25</f>
        <v>25992423.275297467</v>
      </c>
      <c r="AK19" s="24">
        <f>'Net zero Intermediate calcs'!AF37*'Net zero Intermediate calcs'!AF38*Constants!$H$25</f>
        <v>26212776.117095202</v>
      </c>
      <c r="AL19" s="24">
        <f>'Net zero Intermediate calcs'!AG37*'Net zero Intermediate calcs'!AG38*Constants!$H$25</f>
        <v>24945123.146817725</v>
      </c>
      <c r="AM19" s="24">
        <f>'Net zero Intermediate calcs'!AH37*'Net zero Intermediate calcs'!AH38*Constants!$H$25</f>
        <v>25480661.252422262</v>
      </c>
      <c r="AN19" s="24">
        <f>'Net zero Intermediate calcs'!AI37*'Net zero Intermediate calcs'!AI38*Constants!$H$25</f>
        <v>25980586.095024668</v>
      </c>
      <c r="AO19" s="24">
        <f>'Net zero Intermediate calcs'!AJ37*'Net zero Intermediate calcs'!AJ38*Constants!$H$25</f>
        <v>26484457.575813033</v>
      </c>
      <c r="AP19" s="24">
        <f>'Net zero Intermediate calcs'!AK37*'Net zero Intermediate calcs'!AK38*Constants!$H$25</f>
        <v>27056316.967285138</v>
      </c>
      <c r="AQ19" s="24">
        <f>'Net zero Intermediate calcs'!AL37*'Net zero Intermediate calcs'!AL38*Constants!$H$25</f>
        <v>27632926.640755821</v>
      </c>
      <c r="AR19" s="24">
        <f>'Net zero Intermediate calcs'!AM37*'Net zero Intermediate calcs'!AM38*Constants!$H$25</f>
        <v>28210269.10213688</v>
      </c>
      <c r="AS19" s="24">
        <f>'Net zero Intermediate calcs'!AN37*'Net zero Intermediate calcs'!AN38*Constants!$H$25</f>
        <v>28776475.77705837</v>
      </c>
      <c r="AT19" s="24">
        <f>'Net zero Intermediate calcs'!AO37*'Net zero Intermediate calcs'!AO38*Constants!$H$25</f>
        <v>29372771.69785786</v>
      </c>
      <c r="AU19" s="24">
        <f>'Net zero Intermediate calcs'!AP37*'Net zero Intermediate calcs'!AP38*Constants!$H$25</f>
        <v>29942865.504824247</v>
      </c>
      <c r="AV19" s="24">
        <f>'Net zero Intermediate calcs'!AQ37*'Net zero Intermediate calcs'!AQ38*Constants!$H$25</f>
        <v>30526479.675415944</v>
      </c>
      <c r="AW19" s="24">
        <f>'Net zero Intermediate calcs'!AR37*'Net zero Intermediate calcs'!AR38*Constants!$H$25</f>
        <v>31188186.315280803</v>
      </c>
      <c r="AX19" s="24">
        <f>'Net zero Intermediate calcs'!AS37*'Net zero Intermediate calcs'!AS38*Constants!$H$25</f>
        <v>31895498.112077314</v>
      </c>
      <c r="AY19" s="24">
        <f>'Net zero Intermediate calcs'!AT37*'Net zero Intermediate calcs'!AT38*Constants!$H$25</f>
        <v>32625062.262962099</v>
      </c>
      <c r="AZ19" s="24">
        <f>'Net zero Intermediate calcs'!AU37*'Net zero Intermediate calcs'!AU38*Constants!$H$25</f>
        <v>32842216.548704859</v>
      </c>
      <c r="BA19" s="24">
        <f>'Net zero Intermediate calcs'!AV37*'Net zero Intermediate calcs'!AV38*Constants!$H$25</f>
        <v>7871979.81164575</v>
      </c>
      <c r="BB19" s="24">
        <f>'Net zero Intermediate calcs'!AW37*'Net zero Intermediate calcs'!AW38*Constants!$H$25</f>
        <v>7932482.6339800423</v>
      </c>
      <c r="BC19" s="24">
        <f>'Net zero Intermediate calcs'!AX37*'Net zero Intermediate calcs'!AX38*Constants!$H$25</f>
        <v>7993425.9629542492</v>
      </c>
      <c r="BD19" s="24">
        <f>'Net zero Intermediate calcs'!AY37*'Net zero Intermediate calcs'!AY38*Constants!$H$25</f>
        <v>8054813.1529049575</v>
      </c>
      <c r="BE19" s="24">
        <f>'Net zero Intermediate calcs'!AZ37*'Net zero Intermediate calcs'!AZ38*Constants!$H$25</f>
        <v>8116647.5734013747</v>
      </c>
      <c r="BF19" s="24">
        <f>'Net zero Intermediate calcs'!BA37*'Net zero Intermediate calcs'!BA38*Constants!$H$25</f>
        <v>8178932.6102363933</v>
      </c>
      <c r="BG19" s="24">
        <f>'Net zero Intermediate calcs'!BB37*'Net zero Intermediate calcs'!BB38*Constants!$H$25</f>
        <v>8232176.8362201471</v>
      </c>
      <c r="BH19" s="24">
        <f>'Net zero Intermediate calcs'!BC37*'Net zero Intermediate calcs'!BC38*Constants!$H$25</f>
        <v>8285749.7263312591</v>
      </c>
      <c r="BI19" s="24">
        <f>'Net zero Intermediate calcs'!BD37*'Net zero Intermediate calcs'!BD38*Constants!$H$25</f>
        <v>8339653.4169303114</v>
      </c>
      <c r="BJ19" s="24">
        <f>'Net zero Intermediate calcs'!BE37*'Net zero Intermediate calcs'!BE38*Constants!$H$25</f>
        <v>8393890.0515266806</v>
      </c>
      <c r="BK19" s="24">
        <f>'Net zero Intermediate calcs'!BF37*'Net zero Intermediate calcs'!BF38*Constants!$H$25</f>
        <v>8448461.7813392933</v>
      </c>
      <c r="BL19" s="24">
        <f>'Net zero Intermediate calcs'!BG37*'Net zero Intermediate calcs'!BG38*Constants!$H$25</f>
        <v>8493613.1761233099</v>
      </c>
      <c r="BM19" s="24">
        <f>'Net zero Intermediate calcs'!BH37*'Net zero Intermediate calcs'!BH38*Constants!$H$25</f>
        <v>8538993.3104170654</v>
      </c>
      <c r="BN19" s="24">
        <f>'Net zero Intermediate calcs'!BI37*'Net zero Intermediate calcs'!BI38*Constants!$H$25</f>
        <v>8584603.4248753432</v>
      </c>
      <c r="BO19" s="24">
        <f>'Net zero Intermediate calcs'!BJ37*'Net zero Intermediate calcs'!BJ38*Constants!$H$25</f>
        <v>8630444.7622401342</v>
      </c>
      <c r="BP19" s="24">
        <f>'Net zero Intermediate calcs'!BK37*'Net zero Intermediate calcs'!BK38*Constants!$H$25</f>
        <v>8676518.5676753148</v>
      </c>
      <c r="BQ19" s="23">
        <v>50062195.142061464</v>
      </c>
    </row>
    <row r="20" spans="1:72" s="23" customFormat="1" x14ac:dyDescent="0.25">
      <c r="A20" s="23" t="str">
        <f t="shared" si="1"/>
        <v>3A Livestock</v>
      </c>
      <c r="C20" s="23" t="str">
        <f>C19</f>
        <v>3A2i Poultry</v>
      </c>
      <c r="D20" t="str">
        <f>'IPCC Categories'!F51</f>
        <v>Commercial broilers</v>
      </c>
      <c r="E20" s="23" t="str">
        <f t="shared" si="2"/>
        <v>Population</v>
      </c>
      <c r="F20" s="23" t="str">
        <f t="shared" si="2"/>
        <v>Head</v>
      </c>
      <c r="H20" s="43">
        <v>40304488.125775687</v>
      </c>
      <c r="I20" s="43">
        <v>37886218.887128815</v>
      </c>
      <c r="J20" s="43">
        <v>35805187.036307976</v>
      </c>
      <c r="K20" s="43">
        <v>40268107.368938237</v>
      </c>
      <c r="L20" s="43">
        <v>39890443.299430735</v>
      </c>
      <c r="M20" s="43">
        <v>45660443.796231762</v>
      </c>
      <c r="N20" s="43">
        <v>53091326.838711366</v>
      </c>
      <c r="O20" s="43">
        <v>54040901.985378392</v>
      </c>
      <c r="P20" s="43">
        <v>59214394.697576575</v>
      </c>
      <c r="Q20" s="43">
        <v>61819163.842046939</v>
      </c>
      <c r="R20" s="43">
        <v>66512864.907880791</v>
      </c>
      <c r="S20" s="43">
        <v>64225159.968942329</v>
      </c>
      <c r="T20" s="43">
        <v>71182309.580183759</v>
      </c>
      <c r="U20" s="43">
        <v>67705122.244331256</v>
      </c>
      <c r="V20" s="43">
        <v>69339582.95804137</v>
      </c>
      <c r="W20" s="43">
        <v>76722494.212373629</v>
      </c>
      <c r="X20" s="43">
        <v>82061878.307196394</v>
      </c>
      <c r="Y20" s="43">
        <v>85859218.536646262</v>
      </c>
      <c r="Z20" s="43">
        <v>91416754.470852047</v>
      </c>
      <c r="AA20" s="43">
        <v>86261715.79298</v>
      </c>
      <c r="AB20" s="43">
        <v>88431266.728296682</v>
      </c>
      <c r="AC20" s="43">
        <v>91461113.859690607</v>
      </c>
      <c r="AD20" s="24">
        <f>'Net zero Intermediate calcs'!Y42*'Net zero Intermediate calcs'!Y43*Constants!$H$26</f>
        <v>95145235.116061851</v>
      </c>
      <c r="AE20" s="24">
        <f>'Net zero Intermediate calcs'!Z42*'Net zero Intermediate calcs'!Z43*Constants!$H$26</f>
        <v>96689217.199123114</v>
      </c>
      <c r="AF20" s="24">
        <f>'Net zero Intermediate calcs'!AA42*'Net zero Intermediate calcs'!AA43*Constants!$H$26</f>
        <v>97147657.719454721</v>
      </c>
      <c r="AG20" s="24">
        <f>'Net zero Intermediate calcs'!AB42*'Net zero Intermediate calcs'!AB43*Constants!$H$26</f>
        <v>96120027.522461593</v>
      </c>
      <c r="AH20" s="24">
        <f>'Net zero Intermediate calcs'!AC42*'Net zero Intermediate calcs'!AC43*Constants!$H$26</f>
        <v>95094603.80396679</v>
      </c>
      <c r="AI20" s="24">
        <f>'Net zero Intermediate calcs'!AD42*'Net zero Intermediate calcs'!AD43*Constants!$H$26</f>
        <v>94797066.893859491</v>
      </c>
      <c r="AJ20" s="24">
        <f>'Net zero Intermediate calcs'!AE42*'Net zero Intermediate calcs'!AE43*Constants!$H$26</f>
        <v>94735085.059626624</v>
      </c>
      <c r="AK20" s="24">
        <f>'Net zero Intermediate calcs'!AF42*'Net zero Intermediate calcs'!AF43*Constants!$H$26</f>
        <v>93154876.199089095</v>
      </c>
      <c r="AL20" s="24">
        <f>'Net zero Intermediate calcs'!AG42*'Net zero Intermediate calcs'!AG43*Constants!$H$26</f>
        <v>77620718.516957879</v>
      </c>
      <c r="AM20" s="24">
        <f>'Net zero Intermediate calcs'!AH42*'Net zero Intermediate calcs'!AH43*Constants!$H$26</f>
        <v>79910336.111540973</v>
      </c>
      <c r="AN20" s="24">
        <f>'Net zero Intermediate calcs'!AI42*'Net zero Intermediate calcs'!AI43*Constants!$H$26</f>
        <v>81824148.905803218</v>
      </c>
      <c r="AO20" s="24">
        <f>'Net zero Intermediate calcs'!AJ42*'Net zero Intermediate calcs'!AJ43*Constants!$H$26</f>
        <v>83733318.061702609</v>
      </c>
      <c r="AP20" s="24">
        <f>'Net zero Intermediate calcs'!AK42*'Net zero Intermediate calcs'!AK43*Constants!$H$26</f>
        <v>86217207.440833971</v>
      </c>
      <c r="AQ20" s="24">
        <f>'Net zero Intermediate calcs'!AL42*'Net zero Intermediate calcs'!AL43*Constants!$H$26</f>
        <v>88693640.96405369</v>
      </c>
      <c r="AR20" s="24">
        <f>'Net zero Intermediate calcs'!AM42*'Net zero Intermediate calcs'!AM43*Constants!$H$26</f>
        <v>91412599.964942068</v>
      </c>
      <c r="AS20" s="24">
        <f>'Net zero Intermediate calcs'!AN42*'Net zero Intermediate calcs'!AN43*Constants!$H$26</f>
        <v>93986379.71127595</v>
      </c>
      <c r="AT20" s="24">
        <f>'Net zero Intermediate calcs'!AO42*'Net zero Intermediate calcs'!AO43*Constants!$H$26</f>
        <v>96779654.819194913</v>
      </c>
      <c r="AU20" s="24">
        <f>'Net zero Intermediate calcs'!AP42*'Net zero Intermediate calcs'!AP43*Constants!$H$26</f>
        <v>99298288.39689447</v>
      </c>
      <c r="AV20" s="24">
        <f>'Net zero Intermediate calcs'!AQ42*'Net zero Intermediate calcs'!AQ43*Constants!$H$26</f>
        <v>101891293.13091554</v>
      </c>
      <c r="AW20" s="24">
        <f>'Net zero Intermediate calcs'!AR42*'Net zero Intermediate calcs'!AR43*Constants!$H$26</f>
        <v>105337208.21587059</v>
      </c>
      <c r="AX20" s="24">
        <f>'Net zero Intermediate calcs'!AS42*'Net zero Intermediate calcs'!AS43*Constants!$H$26</f>
        <v>109120385.45718028</v>
      </c>
      <c r="AY20" s="24">
        <f>'Net zero Intermediate calcs'!AT42*'Net zero Intermediate calcs'!AT43*Constants!$H$26</f>
        <v>113036993.1020368</v>
      </c>
      <c r="AZ20" s="24">
        <f>'Net zero Intermediate calcs'!AU42*'Net zero Intermediate calcs'!AU43*Constants!$H$26</f>
        <v>112600852.85300086</v>
      </c>
      <c r="BA20" s="24">
        <f>'Net zero Intermediate calcs'!AV42*'Net zero Intermediate calcs'!AV43*Constants!$H$26</f>
        <v>-97653277.827072814</v>
      </c>
      <c r="BB20" s="24">
        <f>'Net zero Intermediate calcs'!AW42*'Net zero Intermediate calcs'!AW43*Constants!$H$26</f>
        <v>-97793194.976813674</v>
      </c>
      <c r="BC20" s="24">
        <f>'Net zero Intermediate calcs'!AX42*'Net zero Intermediate calcs'!AX43*Constants!$H$26</f>
        <v>-97944952.152236551</v>
      </c>
      <c r="BD20" s="24">
        <f>'Net zero Intermediate calcs'!AY42*'Net zero Intermediate calcs'!AY43*Constants!$H$26</f>
        <v>-98108055.245295197</v>
      </c>
      <c r="BE20" s="24">
        <f>'Net zero Intermediate calcs'!AZ42*'Net zero Intermediate calcs'!AZ43*Constants!$H$26</f>
        <v>-98282048.526509702</v>
      </c>
      <c r="BF20" s="24">
        <f>'Net zero Intermediate calcs'!BA42*'Net zero Intermediate calcs'!BA43*Constants!$H$26</f>
        <v>-98466510.958362281</v>
      </c>
      <c r="BG20" s="24">
        <f>'Net zero Intermediate calcs'!BB42*'Net zero Intermediate calcs'!BB43*Constants!$H$26</f>
        <v>-98542432.406339645</v>
      </c>
      <c r="BH20" s="24">
        <f>'Net zero Intermediate calcs'!BC42*'Net zero Intermediate calcs'!BC43*Constants!$H$26</f>
        <v>-98627868.999730736</v>
      </c>
      <c r="BI20" s="24">
        <f>'Net zero Intermediate calcs'!BD42*'Net zero Intermediate calcs'!BD43*Constants!$H$26</f>
        <v>-98722451.270283803</v>
      </c>
      <c r="BJ20" s="24">
        <f>'Net zero Intermediate calcs'!BE42*'Net zero Intermediate calcs'!BE43*Constants!$H$26</f>
        <v>-98825835.119007304</v>
      </c>
      <c r="BK20" s="24">
        <f>'Net zero Intermediate calcs'!BF42*'Net zero Intermediate calcs'!BF43*Constants!$H$26</f>
        <v>-98937699.636271372</v>
      </c>
      <c r="BL20" s="24">
        <f>'Net zero Intermediate calcs'!BG42*'Net zero Intermediate calcs'!BG43*Constants!$H$26</f>
        <v>-98939277.213236853</v>
      </c>
      <c r="BM20" s="24">
        <f>'Net zero Intermediate calcs'!BH42*'Net zero Intermediate calcs'!BH43*Constants!$H$26</f>
        <v>-98948708.62186639</v>
      </c>
      <c r="BN20" s="24">
        <f>'Net zero Intermediate calcs'!BI42*'Net zero Intermediate calcs'!BI43*Constants!$H$26</f>
        <v>-98965703.485359997</v>
      </c>
      <c r="BO20" s="24">
        <f>'Net zero Intermediate calcs'!BJ42*'Net zero Intermediate calcs'!BJ43*Constants!$H$26</f>
        <v>-98989989.216038346</v>
      </c>
      <c r="BP20" s="24">
        <f>'Net zero Intermediate calcs'!BK42*'Net zero Intermediate calcs'!BK43*Constants!$H$26</f>
        <v>-99021309.633695453</v>
      </c>
      <c r="BQ20" s="23">
        <v>217498134.58556306</v>
      </c>
    </row>
    <row r="21" spans="1:72" s="23" customFormat="1" x14ac:dyDescent="0.25">
      <c r="A21" s="23" t="str">
        <f t="shared" si="1"/>
        <v>3A Livestock</v>
      </c>
      <c r="C21" s="23" t="str">
        <f>C20</f>
        <v>3A2i Poultry</v>
      </c>
      <c r="D21" t="str">
        <f>'IPCC Categories'!F52</f>
        <v>Subsistence layers</v>
      </c>
      <c r="E21" s="23" t="str">
        <f t="shared" si="2"/>
        <v>Population</v>
      </c>
      <c r="F21" s="23" t="str">
        <f t="shared" si="2"/>
        <v>Head</v>
      </c>
      <c r="H21" s="43">
        <v>615034.34711325122</v>
      </c>
      <c r="I21" s="43">
        <v>597496.65411778213</v>
      </c>
      <c r="J21" s="43">
        <v>566684.0141391959</v>
      </c>
      <c r="K21" s="43">
        <v>557773.90547206544</v>
      </c>
      <c r="L21" s="43">
        <v>533512.74884758983</v>
      </c>
      <c r="M21" s="43">
        <v>582128.81198434683</v>
      </c>
      <c r="N21" s="43">
        <v>614905.68563772005</v>
      </c>
      <c r="O21" s="43">
        <v>616927.72251988086</v>
      </c>
      <c r="P21" s="43">
        <v>694608.55831127299</v>
      </c>
      <c r="Q21" s="43">
        <v>744690.07785922522</v>
      </c>
      <c r="R21" s="43">
        <v>728911.290007259</v>
      </c>
      <c r="S21" s="43">
        <v>748356.04304524744</v>
      </c>
      <c r="T21" s="43">
        <v>742482.52210794913</v>
      </c>
      <c r="U21" s="43">
        <v>712840.76237864071</v>
      </c>
      <c r="V21" s="43">
        <v>738689.10740303784</v>
      </c>
      <c r="W21" s="43">
        <v>783232.44807875762</v>
      </c>
      <c r="X21" s="43">
        <v>864389.05584290659</v>
      </c>
      <c r="Y21" s="43">
        <v>956595.42960413289</v>
      </c>
      <c r="Z21" s="43">
        <v>969193.674259883</v>
      </c>
      <c r="AA21" s="43">
        <v>933462.96327852411</v>
      </c>
      <c r="AB21" s="43">
        <v>969824.57105648029</v>
      </c>
      <c r="AC21" s="43">
        <v>1014589.0728560057</v>
      </c>
      <c r="AD21" s="24">
        <f>'Net zero Intermediate calcs'!Y37*'Net zero Intermediate calcs'!Y38*(1-Constants!$H$25)</f>
        <v>990965.76237839612</v>
      </c>
      <c r="AE21" s="24">
        <f>'Net zero Intermediate calcs'!Z37*'Net zero Intermediate calcs'!Z38*(1-Constants!$H$25)</f>
        <v>1012425.8124627994</v>
      </c>
      <c r="AF21" s="24">
        <f>'Net zero Intermediate calcs'!AA37*'Net zero Intermediate calcs'!AA38*(1-Constants!$H$25)</f>
        <v>1029717.4104535317</v>
      </c>
      <c r="AG21" s="24">
        <f>'Net zero Intermediate calcs'!AB37*'Net zero Intermediate calcs'!AB38*(1-Constants!$H$25)</f>
        <v>1041015.4899781285</v>
      </c>
      <c r="AH21" s="24">
        <f>'Net zero Intermediate calcs'!AC37*'Net zero Intermediate calcs'!AC38*(1-Constants!$H$25)</f>
        <v>1052466.9207332144</v>
      </c>
      <c r="AI21" s="24">
        <f>'Net zero Intermediate calcs'!AD37*'Net zero Intermediate calcs'!AD38*(1-Constants!$H$25)</f>
        <v>1067229.9755845827</v>
      </c>
      <c r="AJ21" s="24">
        <f>'Net zero Intermediate calcs'!AE37*'Net zero Intermediate calcs'!AE38*(1-Constants!$H$25)</f>
        <v>1083017.6364707288</v>
      </c>
      <c r="AK21" s="24">
        <f>'Net zero Intermediate calcs'!AF37*'Net zero Intermediate calcs'!AF38*(1-Constants!$H$25)</f>
        <v>1092199.0048789678</v>
      </c>
      <c r="AL21" s="24">
        <f>'Net zero Intermediate calcs'!AG37*'Net zero Intermediate calcs'!AG38*(1-Constants!$H$25)</f>
        <v>1039380.1311174062</v>
      </c>
      <c r="AM21" s="24">
        <f>'Net zero Intermediate calcs'!AH37*'Net zero Intermediate calcs'!AH38*(1-Constants!$H$25)</f>
        <v>1061694.2188509286</v>
      </c>
      <c r="AN21" s="24">
        <f>'Net zero Intermediate calcs'!AI37*'Net zero Intermediate calcs'!AI38*(1-Constants!$H$25)</f>
        <v>1082524.4206260289</v>
      </c>
      <c r="AO21" s="24">
        <f>'Net zero Intermediate calcs'!AJ37*'Net zero Intermediate calcs'!AJ38*(1-Constants!$H$25)</f>
        <v>1103519.0656588774</v>
      </c>
      <c r="AP21" s="24">
        <f>'Net zero Intermediate calcs'!AK37*'Net zero Intermediate calcs'!AK38*(1-Constants!$H$25)</f>
        <v>1127346.5403035483</v>
      </c>
      <c r="AQ21" s="24">
        <f>'Net zero Intermediate calcs'!AL37*'Net zero Intermediate calcs'!AL38*(1-Constants!$H$25)</f>
        <v>1151371.943364827</v>
      </c>
      <c r="AR21" s="24">
        <f>'Net zero Intermediate calcs'!AM37*'Net zero Intermediate calcs'!AM38*(1-Constants!$H$25)</f>
        <v>1175427.8792557043</v>
      </c>
      <c r="AS21" s="24">
        <f>'Net zero Intermediate calcs'!AN37*'Net zero Intermediate calcs'!AN38*(1-Constants!$H$25)</f>
        <v>1199019.8240441</v>
      </c>
      <c r="AT21" s="24">
        <f>'Net zero Intermediate calcs'!AO37*'Net zero Intermediate calcs'!AO38*(1-Constants!$H$25)</f>
        <v>1223865.4874107454</v>
      </c>
      <c r="AU21" s="24">
        <f>'Net zero Intermediate calcs'!AP37*'Net zero Intermediate calcs'!AP38*(1-Constants!$H$25)</f>
        <v>1247619.3960343448</v>
      </c>
      <c r="AV21" s="24">
        <f>'Net zero Intermediate calcs'!AQ37*'Net zero Intermediate calcs'!AQ38*(1-Constants!$H$25)</f>
        <v>1271936.6531423323</v>
      </c>
      <c r="AW21" s="24">
        <f>'Net zero Intermediate calcs'!AR37*'Net zero Intermediate calcs'!AR38*(1-Constants!$H$25)</f>
        <v>1299507.7631367012</v>
      </c>
      <c r="AX21" s="24">
        <f>'Net zero Intermediate calcs'!AS37*'Net zero Intermediate calcs'!AS38*(1-Constants!$H$25)</f>
        <v>1328979.0880032226</v>
      </c>
      <c r="AY21" s="24">
        <f>'Net zero Intermediate calcs'!AT37*'Net zero Intermediate calcs'!AT38*(1-Constants!$H$25)</f>
        <v>1359377.5942900886</v>
      </c>
      <c r="AZ21" s="24">
        <f>'Net zero Intermediate calcs'!AU37*'Net zero Intermediate calcs'!AU38*(1-Constants!$H$25)</f>
        <v>1368425.6895293703</v>
      </c>
      <c r="BA21" s="24">
        <f>'Net zero Intermediate calcs'!AV37*'Net zero Intermediate calcs'!AV38*(1-Constants!$H$25)</f>
        <v>327999.15881857323</v>
      </c>
      <c r="BB21" s="24">
        <f>'Net zero Intermediate calcs'!AW37*'Net zero Intermediate calcs'!AW38*(1-Constants!$H$25)</f>
        <v>330520.10974916874</v>
      </c>
      <c r="BC21" s="24">
        <f>'Net zero Intermediate calcs'!AX37*'Net zero Intermediate calcs'!AX38*(1-Constants!$H$25)</f>
        <v>333059.41512309405</v>
      </c>
      <c r="BD21" s="24">
        <f>'Net zero Intermediate calcs'!AY37*'Net zero Intermediate calcs'!AY38*(1-Constants!$H$25)</f>
        <v>335617.21470437356</v>
      </c>
      <c r="BE21" s="24">
        <f>'Net zero Intermediate calcs'!AZ37*'Net zero Intermediate calcs'!AZ38*(1-Constants!$H$25)</f>
        <v>338193.6488917243</v>
      </c>
      <c r="BF21" s="24">
        <f>'Net zero Intermediate calcs'!BA37*'Net zero Intermediate calcs'!BA38*(1-Constants!$H$25)</f>
        <v>340788.85875985003</v>
      </c>
      <c r="BG21" s="24">
        <f>'Net zero Intermediate calcs'!BB37*'Net zero Intermediate calcs'!BB38*(1-Constants!$H$25)</f>
        <v>343007.36817583977</v>
      </c>
      <c r="BH21" s="24">
        <f>'Net zero Intermediate calcs'!BC37*'Net zero Intermediate calcs'!BC38*(1-Constants!$H$25)</f>
        <v>345239.57193046942</v>
      </c>
      <c r="BI21" s="24">
        <f>'Net zero Intermediate calcs'!BD37*'Net zero Intermediate calcs'!BD38*(1-Constants!$H$25)</f>
        <v>347485.55903876328</v>
      </c>
      <c r="BJ21" s="24">
        <f>'Net zero Intermediate calcs'!BE37*'Net zero Intermediate calcs'!BE38*(1-Constants!$H$25)</f>
        <v>349745.41881361202</v>
      </c>
      <c r="BK21" s="24">
        <f>'Net zero Intermediate calcs'!BF37*'Net zero Intermediate calcs'!BF38*(1-Constants!$H$25)</f>
        <v>352019.24088913755</v>
      </c>
      <c r="BL21" s="24">
        <f>'Net zero Intermediate calcs'!BG37*'Net zero Intermediate calcs'!BG38*(1-Constants!$H$25)</f>
        <v>353900.54900513822</v>
      </c>
      <c r="BM21" s="24">
        <f>'Net zero Intermediate calcs'!BH37*'Net zero Intermediate calcs'!BH38*(1-Constants!$H$25)</f>
        <v>355791.3879340447</v>
      </c>
      <c r="BN21" s="24">
        <f>'Net zero Intermediate calcs'!BI37*'Net zero Intermediate calcs'!BI38*(1-Constants!$H$25)</f>
        <v>357691.80936980632</v>
      </c>
      <c r="BO21" s="24">
        <f>'Net zero Intermediate calcs'!BJ37*'Net zero Intermediate calcs'!BJ38*(1-Constants!$H$25)</f>
        <v>359601.86509333923</v>
      </c>
      <c r="BP21" s="24">
        <f>'Net zero Intermediate calcs'!BK37*'Net zero Intermediate calcs'!BK38*(1-Constants!$H$25)</f>
        <v>361521.6069864718</v>
      </c>
      <c r="BQ21" s="23">
        <v>2085924.7975858962</v>
      </c>
    </row>
    <row r="22" spans="1:72" s="23" customFormat="1" x14ac:dyDescent="0.25">
      <c r="A22" s="23" t="str">
        <f t="shared" si="1"/>
        <v>3A Livestock</v>
      </c>
      <c r="C22" s="23" t="str">
        <f>C21</f>
        <v>3A2i Poultry</v>
      </c>
      <c r="D22" t="str">
        <f>'IPCC Categories'!F53</f>
        <v>Subsistence broilers</v>
      </c>
      <c r="E22" s="23" t="str">
        <f t="shared" si="2"/>
        <v>Population</v>
      </c>
      <c r="F22" s="23" t="str">
        <f t="shared" si="2"/>
        <v>Head</v>
      </c>
      <c r="H22" s="43">
        <v>1692788.501282579</v>
      </c>
      <c r="I22" s="43">
        <v>1591221.1932594103</v>
      </c>
      <c r="J22" s="43">
        <v>1503817.8555249351</v>
      </c>
      <c r="K22" s="43">
        <v>1691260.5094954062</v>
      </c>
      <c r="L22" s="43">
        <v>1675398.618576091</v>
      </c>
      <c r="M22" s="43">
        <v>1917738.6394417342</v>
      </c>
      <c r="N22" s="43">
        <v>2229835.7272258773</v>
      </c>
      <c r="O22" s="43">
        <v>2269717.8833858925</v>
      </c>
      <c r="P22" s="43">
        <v>2487004.5772982165</v>
      </c>
      <c r="Q22" s="43">
        <v>2596404.8813659716</v>
      </c>
      <c r="R22" s="43">
        <v>2793540.3261309932</v>
      </c>
      <c r="S22" s="43">
        <v>2697456.7186955782</v>
      </c>
      <c r="T22" s="43">
        <v>2989657.0023677181</v>
      </c>
      <c r="U22" s="43">
        <v>2843615.1342619131</v>
      </c>
      <c r="V22" s="43">
        <v>2912262.4842377375</v>
      </c>
      <c r="W22" s="43">
        <v>3222344.7569196927</v>
      </c>
      <c r="X22" s="43">
        <v>3446598.8889022488</v>
      </c>
      <c r="Y22" s="43">
        <v>3606087.1785391434</v>
      </c>
      <c r="Z22" s="43">
        <v>3839503.687775786</v>
      </c>
      <c r="AA22" s="43">
        <v>3622992.06330516</v>
      </c>
      <c r="AB22" s="43">
        <v>3714113.2025884609</v>
      </c>
      <c r="AC22" s="43">
        <v>3841366.7821070058</v>
      </c>
      <c r="AD22" s="24">
        <f>'Net zero Intermediate calcs'!Y42*'Net zero Intermediate calcs'!Y43*(1-Constants!$H$26)</f>
        <v>3964384.7965025804</v>
      </c>
      <c r="AE22" s="24">
        <f>'Net zero Intermediate calcs'!Z42*'Net zero Intermediate calcs'!Z43*(1-Constants!$H$26)</f>
        <v>4028717.3832968003</v>
      </c>
      <c r="AF22" s="24">
        <f>'Net zero Intermediate calcs'!AA42*'Net zero Intermediate calcs'!AA43*(1-Constants!$H$26)</f>
        <v>4047819.0716439504</v>
      </c>
      <c r="AG22" s="24">
        <f>'Net zero Intermediate calcs'!AB42*'Net zero Intermediate calcs'!AB43*(1-Constants!$H$26)</f>
        <v>4005001.1467692368</v>
      </c>
      <c r="AH22" s="24">
        <f>'Net zero Intermediate calcs'!AC42*'Net zero Intermediate calcs'!AC43*(1-Constants!$H$26)</f>
        <v>3962275.1584986197</v>
      </c>
      <c r="AI22" s="24">
        <f>'Net zero Intermediate calcs'!AD42*'Net zero Intermediate calcs'!AD43*(1-Constants!$H$26)</f>
        <v>3949877.7872441495</v>
      </c>
      <c r="AJ22" s="24">
        <f>'Net zero Intermediate calcs'!AE42*'Net zero Intermediate calcs'!AE43*(1-Constants!$H$26)</f>
        <v>3947295.2108177799</v>
      </c>
      <c r="AK22" s="24">
        <f>'Net zero Intermediate calcs'!AF42*'Net zero Intermediate calcs'!AF43*(1-Constants!$H$26)</f>
        <v>3881453.1749620489</v>
      </c>
      <c r="AL22" s="24">
        <f>'Net zero Intermediate calcs'!AG42*'Net zero Intermediate calcs'!AG43*(1-Constants!$H$26)</f>
        <v>3234196.6048732484</v>
      </c>
      <c r="AM22" s="24">
        <f>'Net zero Intermediate calcs'!AH42*'Net zero Intermediate calcs'!AH43*(1-Constants!$H$26)</f>
        <v>3329597.3379808771</v>
      </c>
      <c r="AN22" s="24">
        <f>'Net zero Intermediate calcs'!AI42*'Net zero Intermediate calcs'!AI43*(1-Constants!$H$26)</f>
        <v>3409339.537741804</v>
      </c>
      <c r="AO22" s="24">
        <f>'Net zero Intermediate calcs'!AJ42*'Net zero Intermediate calcs'!AJ43*(1-Constants!$H$26)</f>
        <v>3488888.2525709453</v>
      </c>
      <c r="AP22" s="24">
        <f>'Net zero Intermediate calcs'!AK42*'Net zero Intermediate calcs'!AK43*(1-Constants!$H$26)</f>
        <v>3592383.6433680854</v>
      </c>
      <c r="AQ22" s="24">
        <f>'Net zero Intermediate calcs'!AL42*'Net zero Intermediate calcs'!AL43*(1-Constants!$H$26)</f>
        <v>3695568.3735022405</v>
      </c>
      <c r="AR22" s="24">
        <f>'Net zero Intermediate calcs'!AM42*'Net zero Intermediate calcs'!AM43*(1-Constants!$H$26)</f>
        <v>3808858.3318725894</v>
      </c>
      <c r="AS22" s="24">
        <f>'Net zero Intermediate calcs'!AN42*'Net zero Intermediate calcs'!AN43*(1-Constants!$H$26)</f>
        <v>3916099.1546365018</v>
      </c>
      <c r="AT22" s="24">
        <f>'Net zero Intermediate calcs'!AO42*'Net zero Intermediate calcs'!AO43*(1-Constants!$H$26)</f>
        <v>4032485.6174664586</v>
      </c>
      <c r="AU22" s="24">
        <f>'Net zero Intermediate calcs'!AP42*'Net zero Intermediate calcs'!AP43*(1-Constants!$H$26)</f>
        <v>4137428.6832039398</v>
      </c>
      <c r="AV22" s="24">
        <f>'Net zero Intermediate calcs'!AQ42*'Net zero Intermediate calcs'!AQ43*(1-Constants!$H$26)</f>
        <v>4245470.5471214848</v>
      </c>
      <c r="AW22" s="24">
        <f>'Net zero Intermediate calcs'!AR42*'Net zero Intermediate calcs'!AR43*(1-Constants!$H$26)</f>
        <v>4389050.3423279459</v>
      </c>
      <c r="AX22" s="24">
        <f>'Net zero Intermediate calcs'!AS42*'Net zero Intermediate calcs'!AS43*(1-Constants!$H$26)</f>
        <v>4546682.7273825156</v>
      </c>
      <c r="AY22" s="24">
        <f>'Net zero Intermediate calcs'!AT42*'Net zero Intermediate calcs'!AT43*(1-Constants!$H$26)</f>
        <v>4709874.7125848709</v>
      </c>
      <c r="AZ22" s="24">
        <f>'Net zero Intermediate calcs'!AU42*'Net zero Intermediate calcs'!AU43*(1-Constants!$H$26)</f>
        <v>4691702.2022083737</v>
      </c>
      <c r="BA22" s="24">
        <f>'Net zero Intermediate calcs'!AV42*'Net zero Intermediate calcs'!AV43*(1-Constants!$H$26)</f>
        <v>-4068886.5761280376</v>
      </c>
      <c r="BB22" s="24">
        <f>'Net zero Intermediate calcs'!AW42*'Net zero Intermediate calcs'!AW43*(1-Constants!$H$26)</f>
        <v>-4074716.4573672405</v>
      </c>
      <c r="BC22" s="24">
        <f>'Net zero Intermediate calcs'!AX42*'Net zero Intermediate calcs'!AX43*(1-Constants!$H$26)</f>
        <v>-4081039.6730098599</v>
      </c>
      <c r="BD22" s="24">
        <f>'Net zero Intermediate calcs'!AY42*'Net zero Intermediate calcs'!AY43*(1-Constants!$H$26)</f>
        <v>-4087835.6352206366</v>
      </c>
      <c r="BE22" s="24">
        <f>'Net zero Intermediate calcs'!AZ42*'Net zero Intermediate calcs'!AZ43*(1-Constants!$H$26)</f>
        <v>-4095085.3552712412</v>
      </c>
      <c r="BF22" s="24">
        <f>'Net zero Intermediate calcs'!BA42*'Net zero Intermediate calcs'!BA43*(1-Constants!$H$26)</f>
        <v>-4102771.2899317653</v>
      </c>
      <c r="BG22" s="24">
        <f>'Net zero Intermediate calcs'!BB42*'Net zero Intermediate calcs'!BB43*(1-Constants!$H$26)</f>
        <v>-4105934.6835974893</v>
      </c>
      <c r="BH22" s="24">
        <f>'Net zero Intermediate calcs'!BC42*'Net zero Intermediate calcs'!BC43*(1-Constants!$H$26)</f>
        <v>-4109494.5416554511</v>
      </c>
      <c r="BI22" s="24">
        <f>'Net zero Intermediate calcs'!BD42*'Net zero Intermediate calcs'!BD43*(1-Constants!$H$26)</f>
        <v>-4113435.4695951622</v>
      </c>
      <c r="BJ22" s="24">
        <f>'Net zero Intermediate calcs'!BE42*'Net zero Intermediate calcs'!BE43*(1-Constants!$H$26)</f>
        <v>-4117743.1299586417</v>
      </c>
      <c r="BK22" s="24">
        <f>'Net zero Intermediate calcs'!BF42*'Net zero Intermediate calcs'!BF43*(1-Constants!$H$26)</f>
        <v>-4122404.1515113111</v>
      </c>
      <c r="BL22" s="24">
        <f>'Net zero Intermediate calcs'!BG42*'Net zero Intermediate calcs'!BG43*(1-Constants!$H$26)</f>
        <v>-4122469.8838848728</v>
      </c>
      <c r="BM22" s="24">
        <f>'Net zero Intermediate calcs'!BH42*'Net zero Intermediate calcs'!BH43*(1-Constants!$H$26)</f>
        <v>-4122862.8592444365</v>
      </c>
      <c r="BN22" s="24">
        <f>'Net zero Intermediate calcs'!BI42*'Net zero Intermediate calcs'!BI43*(1-Constants!$H$26)</f>
        <v>-4123570.9785566702</v>
      </c>
      <c r="BO22" s="24">
        <f>'Net zero Intermediate calcs'!BJ42*'Net zero Intermediate calcs'!BJ43*(1-Constants!$H$26)</f>
        <v>-4124582.8840016015</v>
      </c>
      <c r="BP22" s="24">
        <f>'Net zero Intermediate calcs'!BK42*'Net zero Intermediate calcs'!BK43*(1-Constants!$H$26)</f>
        <v>-4125887.9014039808</v>
      </c>
      <c r="BQ22" s="23">
        <v>9062422.2743984703</v>
      </c>
    </row>
    <row r="23" spans="1:72" ht="18.75" customHeight="1" x14ac:dyDescent="0.25">
      <c r="A23" s="20" t="s">
        <v>98</v>
      </c>
      <c r="B23" s="20"/>
      <c r="C23" s="20"/>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5"/>
      <c r="BL23" s="15"/>
      <c r="BM23" s="15"/>
      <c r="BN23" s="15"/>
      <c r="BO23" s="15"/>
      <c r="BP23" s="15"/>
      <c r="BS23" s="16"/>
      <c r="BT23" s="15"/>
    </row>
    <row r="24" spans="1:72" x14ac:dyDescent="0.25">
      <c r="A24" t="str">
        <f>'IPCC Categories'!A59</f>
        <v>3C Aggregated and non-CO2 emissions on land</v>
      </c>
      <c r="B24" t="str">
        <f>'IPCC Categories'!B59</f>
        <v>3C1 Biomass burning (CH4)</v>
      </c>
      <c r="C24" t="str">
        <f>'IPCC Categories'!C59</f>
        <v>3C1a Biomass burning in forest land</v>
      </c>
      <c r="D24" t="s">
        <v>346</v>
      </c>
      <c r="E24" t="str">
        <f t="shared" ref="E24:E39" si="42">D24&amp;" - Burnt area"</f>
        <v>Indigenous forests - Burnt area</v>
      </c>
      <c r="F24" t="s">
        <v>361</v>
      </c>
      <c r="G24" t="s">
        <v>640</v>
      </c>
      <c r="H24" s="44">
        <v>13927.534820378225</v>
      </c>
      <c r="I24" s="21">
        <v>13927.534820378225</v>
      </c>
      <c r="J24" s="21">
        <v>13927.534820378225</v>
      </c>
      <c r="K24" s="21">
        <v>13927.534820378225</v>
      </c>
      <c r="L24" s="21">
        <v>13927.534820378225</v>
      </c>
      <c r="M24" s="21">
        <v>13927.534820378225</v>
      </c>
      <c r="N24" s="21">
        <v>13927.534820378225</v>
      </c>
      <c r="O24" s="21">
        <v>13927.534820378225</v>
      </c>
      <c r="P24" s="21">
        <v>13927.534820378225</v>
      </c>
      <c r="Q24" s="21">
        <v>13927.534820378225</v>
      </c>
      <c r="R24" s="21">
        <v>12852.281138089251</v>
      </c>
      <c r="S24" s="21">
        <v>14305.950279381213</v>
      </c>
      <c r="T24" s="21">
        <v>13083.022271627655</v>
      </c>
      <c r="U24" s="21">
        <v>16497.991047996074</v>
      </c>
      <c r="V24" s="21">
        <v>12898.429364796932</v>
      </c>
      <c r="W24" s="21">
        <v>16959.473315072886</v>
      </c>
      <c r="X24" s="21">
        <v>15136.618360119473</v>
      </c>
      <c r="Y24" s="21">
        <v>19797.589257595289</v>
      </c>
      <c r="Z24" s="21">
        <v>16567.213388057597</v>
      </c>
      <c r="AA24" s="21">
        <v>16336.472254519189</v>
      </c>
      <c r="AB24" s="21">
        <v>13394.88</v>
      </c>
      <c r="AC24" s="21">
        <v>10042.290000000001</v>
      </c>
      <c r="AD24" s="45">
        <f>'[3]Activity data'!AE545</f>
        <v>13597.343916991533</v>
      </c>
      <c r="AE24" s="45">
        <f>'[3]Activity data'!AF545</f>
        <v>13591.541699530653</v>
      </c>
      <c r="AF24" s="45">
        <f>'[3]Activity data'!AG545</f>
        <v>13585.739482069775</v>
      </c>
      <c r="AG24" s="45">
        <f>'[3]Activity data'!AH545</f>
        <v>13579.937264608896</v>
      </c>
      <c r="AH24" s="45">
        <f>'[3]Activity data'!AI545</f>
        <v>13574.135047148016</v>
      </c>
      <c r="AI24" s="45">
        <f>'[3]Activity data'!AJ545</f>
        <v>13568.332829687137</v>
      </c>
      <c r="AJ24" s="45">
        <f>'[3]Activity data'!AK545</f>
        <v>13562.530612226257</v>
      </c>
      <c r="AK24" s="45">
        <f>'[3]Activity data'!AL545</f>
        <v>13556.72839476538</v>
      </c>
      <c r="AL24" s="45">
        <f>'[3]Activity data'!AM545</f>
        <v>13550.9261773045</v>
      </c>
      <c r="AM24" s="45">
        <f>'[3]Activity data'!AN545</f>
        <v>13545.12395984362</v>
      </c>
      <c r="AN24" s="45">
        <f>'[3]Activity data'!AO545</f>
        <v>13539.321742382741</v>
      </c>
      <c r="AO24" s="45">
        <f>'[3]Activity data'!AP545</f>
        <v>13533.519524921861</v>
      </c>
      <c r="AP24" s="45">
        <f>'[3]Activity data'!AQ545</f>
        <v>13527.717307460984</v>
      </c>
      <c r="AQ24" s="45">
        <f>'[3]Activity data'!AR545</f>
        <v>13521.915090000104</v>
      </c>
      <c r="AR24" s="45">
        <f>'[3]Activity data'!AS545</f>
        <v>13516.112872539225</v>
      </c>
      <c r="AS24" s="45">
        <f>'[3]Activity data'!AT545</f>
        <v>13510.310655078345</v>
      </c>
      <c r="AT24" s="45">
        <f>'[3]Activity data'!AU545</f>
        <v>13504.508437617465</v>
      </c>
      <c r="AU24" s="45">
        <f>'[3]Activity data'!AV545</f>
        <v>13498.706220156588</v>
      </c>
      <c r="AV24" s="45">
        <f>'[3]Activity data'!AW545</f>
        <v>13492.904002695708</v>
      </c>
      <c r="AW24" s="45">
        <f>'[3]Activity data'!AX545</f>
        <v>13487.101785234829</v>
      </c>
      <c r="AX24" s="45">
        <f>'[3]Activity data'!AY545</f>
        <v>13481.299567773949</v>
      </c>
      <c r="AY24" s="45">
        <f>'[3]Activity data'!AZ545</f>
        <v>13475.49735031307</v>
      </c>
      <c r="AZ24" s="45">
        <f>'[3]Activity data'!BA545</f>
        <v>13469.695132852192</v>
      </c>
      <c r="BA24" s="45">
        <f>'[3]Activity data'!BB545</f>
        <v>13463.892915391312</v>
      </c>
      <c r="BB24" s="45">
        <f>'[3]Activity data'!BC545</f>
        <v>13458.090697930433</v>
      </c>
      <c r="BC24" s="45">
        <f>'[3]Activity data'!BD545</f>
        <v>13452.288480469553</v>
      </c>
      <c r="BD24" s="45">
        <f>'[3]Activity data'!BE545</f>
        <v>13446.486263008674</v>
      </c>
      <c r="BE24" s="45">
        <f>'[3]Activity data'!BF545</f>
        <v>13440.684045547796</v>
      </c>
      <c r="BF24" s="45">
        <f>'[3]Activity data'!BG545</f>
        <v>13434.881828086916</v>
      </c>
      <c r="BG24" s="45">
        <f>'[3]Activity data'!BH545</f>
        <v>13429.079610626037</v>
      </c>
      <c r="BH24" s="45">
        <f>'[3]Activity data'!BI545</f>
        <v>13423.277393165157</v>
      </c>
      <c r="BI24" s="45">
        <f>'[3]Activity data'!BJ545</f>
        <v>13417.475175704278</v>
      </c>
      <c r="BJ24" s="45">
        <f>'[3]Activity data'!BK545</f>
        <v>13411.6729582434</v>
      </c>
      <c r="BK24" s="45">
        <f>'[3]Activity data'!BL545</f>
        <v>13405.87074078252</v>
      </c>
      <c r="BL24" s="45">
        <f>'[3]Activity data'!BM545</f>
        <v>13400.068523321641</v>
      </c>
      <c r="BM24" s="45">
        <f>'[3]Activity data'!BN545</f>
        <v>13394.266305860761</v>
      </c>
      <c r="BN24" s="45">
        <f>'[3]Activity data'!BO545</f>
        <v>13388.464088399882</v>
      </c>
      <c r="BO24" s="45">
        <f>'[3]Activity data'!BP545</f>
        <v>13382.661870939004</v>
      </c>
      <c r="BP24" s="45">
        <f>'[3]Activity data'!BQ545</f>
        <v>13376.859653478125</v>
      </c>
      <c r="BR24" s="23"/>
    </row>
    <row r="25" spans="1:72" x14ac:dyDescent="0.25">
      <c r="A25" t="str">
        <f t="shared" ref="A25:C34" si="43">A24</f>
        <v>3C Aggregated and non-CO2 emissions on land</v>
      </c>
      <c r="B25" t="str">
        <f t="shared" si="43"/>
        <v>3C1 Biomass burning (CH4)</v>
      </c>
      <c r="C25" t="str">
        <f t="shared" si="43"/>
        <v>3C1a Biomass burning in forest land</v>
      </c>
      <c r="D25" t="s">
        <v>347</v>
      </c>
      <c r="E25" t="str">
        <f t="shared" si="42"/>
        <v>Thickets - Burnt area</v>
      </c>
      <c r="F25" t="s">
        <v>361</v>
      </c>
      <c r="G25" t="s">
        <v>642</v>
      </c>
      <c r="H25" s="21">
        <v>401037.31973509229</v>
      </c>
      <c r="I25" s="21">
        <v>401037.31973509229</v>
      </c>
      <c r="J25" s="21">
        <v>401037.31973509229</v>
      </c>
      <c r="K25" s="21">
        <v>401037.31973509229</v>
      </c>
      <c r="L25" s="21">
        <v>401037.31973509229</v>
      </c>
      <c r="M25" s="21">
        <v>401037.31973509229</v>
      </c>
      <c r="N25" s="21">
        <v>401037.31973509229</v>
      </c>
      <c r="O25" s="21">
        <v>401037.31973509229</v>
      </c>
      <c r="P25" s="21">
        <v>401037.31973509229</v>
      </c>
      <c r="Q25" s="21">
        <v>401037.31973509229</v>
      </c>
      <c r="R25" s="21">
        <v>411780.62691264047</v>
      </c>
      <c r="S25" s="21">
        <v>522674.81569119875</v>
      </c>
      <c r="T25" s="21">
        <v>482456.63611545443</v>
      </c>
      <c r="U25" s="21">
        <v>289949.30840436177</v>
      </c>
      <c r="V25" s="21">
        <v>298325.21155180596</v>
      </c>
      <c r="W25" s="21">
        <v>512360.68702203204</v>
      </c>
      <c r="X25" s="21">
        <v>409265.54855707183</v>
      </c>
      <c r="Y25" s="21">
        <v>477841.81344468636</v>
      </c>
      <c r="Z25" s="21">
        <v>525720.59865390568</v>
      </c>
      <c r="AA25" s="21">
        <v>382291.91004643211</v>
      </c>
      <c r="AB25" s="21">
        <v>467157.06</v>
      </c>
      <c r="AC25" s="21">
        <v>371977.65</v>
      </c>
      <c r="AD25" s="45">
        <f>'[3]Activity data'!AE546</f>
        <v>393930.44129440375</v>
      </c>
      <c r="AE25" s="45">
        <f>'[3]Activity data'!AF546</f>
        <v>393306.72804719064</v>
      </c>
      <c r="AF25" s="45">
        <f>'[3]Activity data'!AG546</f>
        <v>392683.01479997754</v>
      </c>
      <c r="AG25" s="45">
        <f>'[3]Activity data'!AH546</f>
        <v>392059.30155276449</v>
      </c>
      <c r="AH25" s="45">
        <f>'[3]Activity data'!AI546</f>
        <v>391435.58830555138</v>
      </c>
      <c r="AI25" s="45">
        <f>'[3]Activity data'!AJ546</f>
        <v>390811.87505833828</v>
      </c>
      <c r="AJ25" s="45">
        <f>'[3]Activity data'!AK546</f>
        <v>390188.16181112523</v>
      </c>
      <c r="AK25" s="45">
        <f>'[3]Activity data'!AL546</f>
        <v>389564.44856391213</v>
      </c>
      <c r="AL25" s="45">
        <f>'[3]Activity data'!AM546</f>
        <v>388940.73531669908</v>
      </c>
      <c r="AM25" s="45">
        <f>'[3]Activity data'!AN546</f>
        <v>388317.02206948597</v>
      </c>
      <c r="AN25" s="45">
        <f>'[3]Activity data'!AO546</f>
        <v>387693.30882227287</v>
      </c>
      <c r="AO25" s="45">
        <f>'[3]Activity data'!AP546</f>
        <v>387069.59557505982</v>
      </c>
      <c r="AP25" s="45">
        <f>'[3]Activity data'!AQ546</f>
        <v>386445.88232784672</v>
      </c>
      <c r="AQ25" s="45">
        <f>'[3]Activity data'!AR546</f>
        <v>385822.16908063361</v>
      </c>
      <c r="AR25" s="45">
        <f>'[3]Activity data'!AS546</f>
        <v>385198.45583342056</v>
      </c>
      <c r="AS25" s="45">
        <f>'[3]Activity data'!AT546</f>
        <v>384574.74258620746</v>
      </c>
      <c r="AT25" s="45">
        <f>'[3]Activity data'!AU546</f>
        <v>383951.02933899435</v>
      </c>
      <c r="AU25" s="45">
        <f>'[3]Activity data'!AV546</f>
        <v>383327.31609178131</v>
      </c>
      <c r="AV25" s="45">
        <f>'[3]Activity data'!AW546</f>
        <v>382703.6028445682</v>
      </c>
      <c r="AW25" s="45">
        <f>'[3]Activity data'!AX546</f>
        <v>382079.88959735516</v>
      </c>
      <c r="AX25" s="45">
        <f>'[3]Activity data'!AY546</f>
        <v>381456.17635014205</v>
      </c>
      <c r="AY25" s="45">
        <f>'[3]Activity data'!AZ546</f>
        <v>380832.46310292894</v>
      </c>
      <c r="AZ25" s="45">
        <f>'[3]Activity data'!BA546</f>
        <v>380208.7498557159</v>
      </c>
      <c r="BA25" s="45">
        <f>'[3]Activity data'!BB546</f>
        <v>379585.03660850279</v>
      </c>
      <c r="BB25" s="45">
        <f>'[3]Activity data'!BC546</f>
        <v>378961.32336128969</v>
      </c>
      <c r="BC25" s="45">
        <f>'[3]Activity data'!BD546</f>
        <v>378337.61011407664</v>
      </c>
      <c r="BD25" s="45">
        <f>'[3]Activity data'!BE546</f>
        <v>377713.89686686354</v>
      </c>
      <c r="BE25" s="45">
        <f>'[3]Activity data'!BF546</f>
        <v>377090.18361965049</v>
      </c>
      <c r="BF25" s="45">
        <f>'[3]Activity data'!BG546</f>
        <v>376466.47037243738</v>
      </c>
      <c r="BG25" s="45">
        <f>'[3]Activity data'!BH546</f>
        <v>375842.75712522428</v>
      </c>
      <c r="BH25" s="45">
        <f>'[3]Activity data'!BI546</f>
        <v>375219.04387801123</v>
      </c>
      <c r="BI25" s="45">
        <f>'[3]Activity data'!BJ546</f>
        <v>374595.33063079813</v>
      </c>
      <c r="BJ25" s="45">
        <f>'[3]Activity data'!BK546</f>
        <v>373971.61738358502</v>
      </c>
      <c r="BK25" s="45">
        <f>'[3]Activity data'!BL546</f>
        <v>373347.90413637197</v>
      </c>
      <c r="BL25" s="45">
        <f>'[3]Activity data'!BM546</f>
        <v>372724.19088915887</v>
      </c>
      <c r="BM25" s="45">
        <f>'[3]Activity data'!BN546</f>
        <v>372100.47764194576</v>
      </c>
      <c r="BN25" s="45">
        <f>'[3]Activity data'!BO546</f>
        <v>371476.76439473272</v>
      </c>
      <c r="BO25" s="45">
        <f>'[3]Activity data'!BP546</f>
        <v>370853.05114751961</v>
      </c>
      <c r="BP25" s="45">
        <f>'[3]Activity data'!BQ546</f>
        <v>370229.33790030656</v>
      </c>
      <c r="BR25" s="23"/>
    </row>
    <row r="26" spans="1:72" x14ac:dyDescent="0.25">
      <c r="A26" t="str">
        <f t="shared" si="43"/>
        <v>3C Aggregated and non-CO2 emissions on land</v>
      </c>
      <c r="B26" t="str">
        <f t="shared" si="43"/>
        <v>3C1 Biomass burning (CH4)</v>
      </c>
      <c r="C26" t="str">
        <f t="shared" si="43"/>
        <v>3C1a Biomass burning in forest land</v>
      </c>
      <c r="D26" t="s">
        <v>348</v>
      </c>
      <c r="E26" t="str">
        <f t="shared" si="42"/>
        <v>Woodlands - Burnt area</v>
      </c>
      <c r="F26" t="s">
        <v>361</v>
      </c>
      <c r="G26" t="s">
        <v>643</v>
      </c>
      <c r="H26" s="21">
        <v>698264.20349125541</v>
      </c>
      <c r="I26" s="21">
        <v>698264.20349125541</v>
      </c>
      <c r="J26" s="21">
        <v>698264.20349125541</v>
      </c>
      <c r="K26" s="21">
        <v>698264.20349125541</v>
      </c>
      <c r="L26" s="21">
        <v>698264.20349125541</v>
      </c>
      <c r="M26" s="21">
        <v>698264.20349125541</v>
      </c>
      <c r="N26" s="21">
        <v>698264.20349125541</v>
      </c>
      <c r="O26" s="21">
        <v>698264.20349125541</v>
      </c>
      <c r="P26" s="21">
        <v>698264.20349125541</v>
      </c>
      <c r="Q26" s="21">
        <v>698264.20349125541</v>
      </c>
      <c r="R26" s="21">
        <v>731241.72629656445</v>
      </c>
      <c r="S26" s="21">
        <v>1051602.7161012881</v>
      </c>
      <c r="T26" s="21">
        <v>813247.12515611423</v>
      </c>
      <c r="U26" s="21">
        <v>311846.64197715657</v>
      </c>
      <c r="V26" s="21">
        <v>583382.80792515341</v>
      </c>
      <c r="W26" s="21">
        <v>984987.75084875035</v>
      </c>
      <c r="X26" s="21">
        <v>854549.78805948899</v>
      </c>
      <c r="Y26" s="21">
        <v>491709.35557034455</v>
      </c>
      <c r="Z26" s="21">
        <v>887938.03008249647</v>
      </c>
      <c r="AA26" s="21">
        <v>585090.29231333768</v>
      </c>
      <c r="AB26" s="21">
        <v>824275.8</v>
      </c>
      <c r="AC26" s="21">
        <v>754253.19</v>
      </c>
      <c r="AD26" s="45">
        <f>'[3]Activity data'!AE547</f>
        <v>664355.50457407185</v>
      </c>
      <c r="AE26" s="45">
        <f>'[3]Activity data'!AF547</f>
        <v>665519.12191991892</v>
      </c>
      <c r="AF26" s="45">
        <f>'[3]Activity data'!AG547</f>
        <v>666682.73926576588</v>
      </c>
      <c r="AG26" s="45">
        <f>'[3]Activity data'!AH547</f>
        <v>667846.35661161283</v>
      </c>
      <c r="AH26" s="45">
        <f>'[3]Activity data'!AI547</f>
        <v>669009.97395745991</v>
      </c>
      <c r="AI26" s="45">
        <f>'[3]Activity data'!AJ547</f>
        <v>670173.59130330686</v>
      </c>
      <c r="AJ26" s="45">
        <f>'[3]Activity data'!AK547</f>
        <v>671337.20864915382</v>
      </c>
      <c r="AK26" s="45">
        <f>'[3]Activity data'!AL547</f>
        <v>666658.3555590522</v>
      </c>
      <c r="AL26" s="45">
        <f>'[3]Activity data'!AM547</f>
        <v>661979.50246895046</v>
      </c>
      <c r="AM26" s="45">
        <f>'[3]Activity data'!AN547</f>
        <v>657300.64937884873</v>
      </c>
      <c r="AN26" s="45">
        <f>'[3]Activity data'!AO547</f>
        <v>652621.79628874699</v>
      </c>
      <c r="AO26" s="45">
        <f>'[3]Activity data'!AP547</f>
        <v>647942.94319864525</v>
      </c>
      <c r="AP26" s="45">
        <f>'[3]Activity data'!AQ547</f>
        <v>643264.09010854363</v>
      </c>
      <c r="AQ26" s="45">
        <f>'[3]Activity data'!AR547</f>
        <v>638585.2370184419</v>
      </c>
      <c r="AR26" s="45">
        <f>'[3]Activity data'!AS547</f>
        <v>633906.38392834016</v>
      </c>
      <c r="AS26" s="45">
        <f>'[3]Activity data'!AT547</f>
        <v>629227.53083823842</v>
      </c>
      <c r="AT26" s="45">
        <f>'[3]Activity data'!AU547</f>
        <v>624548.67774813669</v>
      </c>
      <c r="AU26" s="45">
        <f>'[3]Activity data'!AV547</f>
        <v>619869.82465803507</v>
      </c>
      <c r="AV26" s="45">
        <f>'[3]Activity data'!AW547</f>
        <v>615190.97156793333</v>
      </c>
      <c r="AW26" s="45">
        <f>'[3]Activity data'!AX547</f>
        <v>610512.11847783159</v>
      </c>
      <c r="AX26" s="45">
        <f>'[3]Activity data'!AY547</f>
        <v>605833.26538772986</v>
      </c>
      <c r="AY26" s="45">
        <f>'[3]Activity data'!AZ547</f>
        <v>601154.41229762812</v>
      </c>
      <c r="AZ26" s="45">
        <f>'[3]Activity data'!BA547</f>
        <v>596475.55920752638</v>
      </c>
      <c r="BA26" s="45">
        <f>'[3]Activity data'!BB547</f>
        <v>591796.70611742476</v>
      </c>
      <c r="BB26" s="45">
        <f>'[3]Activity data'!BC547</f>
        <v>587117.85302732303</v>
      </c>
      <c r="BC26" s="45">
        <f>'[3]Activity data'!BD547</f>
        <v>582438.99993722129</v>
      </c>
      <c r="BD26" s="45">
        <f>'[3]Activity data'!BE547</f>
        <v>577760.14684711955</v>
      </c>
      <c r="BE26" s="45">
        <f>'[3]Activity data'!BF547</f>
        <v>573081.29375701782</v>
      </c>
      <c r="BF26" s="45">
        <f>'[3]Activity data'!BG547</f>
        <v>568402.44066691608</v>
      </c>
      <c r="BG26" s="45">
        <f>'[3]Activity data'!BH547</f>
        <v>563723.58757681435</v>
      </c>
      <c r="BH26" s="45">
        <f>'[3]Activity data'!BI547</f>
        <v>559044.73448671272</v>
      </c>
      <c r="BI26" s="45">
        <f>'[3]Activity data'!BJ547</f>
        <v>554365.88139661099</v>
      </c>
      <c r="BJ26" s="45">
        <f>'[3]Activity data'!BK547</f>
        <v>549687.02830650925</v>
      </c>
      <c r="BK26" s="45">
        <f>'[3]Activity data'!BL547</f>
        <v>545008.17521640752</v>
      </c>
      <c r="BL26" s="45">
        <f>'[3]Activity data'!BM547</f>
        <v>540329.32212630589</v>
      </c>
      <c r="BM26" s="45">
        <f>'[3]Activity data'!BN547</f>
        <v>535650.46903620427</v>
      </c>
      <c r="BN26" s="45">
        <f>'[3]Activity data'!BO547</f>
        <v>530971.61594610265</v>
      </c>
      <c r="BO26" s="45">
        <f>'[3]Activity data'!BP547</f>
        <v>526292.76285600092</v>
      </c>
      <c r="BP26" s="45">
        <f>'[3]Activity data'!BQ547</f>
        <v>521613.90976589912</v>
      </c>
      <c r="BR26" s="23"/>
    </row>
    <row r="27" spans="1:72" x14ac:dyDescent="0.25">
      <c r="A27" t="str">
        <f t="shared" si="43"/>
        <v>3C Aggregated and non-CO2 emissions on land</v>
      </c>
      <c r="B27" t="str">
        <f t="shared" si="43"/>
        <v>3C1 Biomass burning (CH4)</v>
      </c>
      <c r="C27" t="str">
        <f t="shared" si="43"/>
        <v>3C1a Biomass burning in forest land</v>
      </c>
      <c r="D27" t="s">
        <v>349</v>
      </c>
      <c r="E27" t="str">
        <f t="shared" si="42"/>
        <v>Plantations - Burnt area</v>
      </c>
      <c r="F27" t="s">
        <v>361</v>
      </c>
      <c r="G27" t="s">
        <v>644</v>
      </c>
      <c r="H27" s="21">
        <v>47772.644287791714</v>
      </c>
      <c r="I27" s="21">
        <v>47772.644287791714</v>
      </c>
      <c r="J27" s="21">
        <v>47772.644287791714</v>
      </c>
      <c r="K27" s="21">
        <v>47772.644287791714</v>
      </c>
      <c r="L27" s="21">
        <v>47772.644287791714</v>
      </c>
      <c r="M27" s="21">
        <v>47772.644287791714</v>
      </c>
      <c r="N27" s="21">
        <v>47772.644287791714</v>
      </c>
      <c r="O27" s="21">
        <v>47772.644287791714</v>
      </c>
      <c r="P27" s="21">
        <v>47772.644287791714</v>
      </c>
      <c r="Q27" s="21">
        <v>47772.644287791714</v>
      </c>
      <c r="R27" s="21">
        <v>43563.926012051175</v>
      </c>
      <c r="S27" s="21">
        <v>53624.239434325704</v>
      </c>
      <c r="T27" s="21">
        <v>47878.785209219379</v>
      </c>
      <c r="U27" s="21">
        <v>55585.539069402163</v>
      </c>
      <c r="V27" s="21">
        <v>38210.731713960144</v>
      </c>
      <c r="W27" s="21">
        <v>56000.873109771281</v>
      </c>
      <c r="X27" s="21">
        <v>43771.593032235731</v>
      </c>
      <c r="Y27" s="21">
        <v>81497.768365765223</v>
      </c>
      <c r="Z27" s="21">
        <v>52655.126673464394</v>
      </c>
      <c r="AA27" s="21">
        <v>44856.076359866252</v>
      </c>
      <c r="AB27" s="21">
        <v>37862.19</v>
      </c>
      <c r="AC27" s="21">
        <v>43074.99</v>
      </c>
      <c r="AD27" s="45">
        <f>'[3]Activity data'!AE548</f>
        <v>13285.999123176394</v>
      </c>
      <c r="AE27" s="45">
        <f>'[3]Activity data'!AF548</f>
        <v>24983.999123176392</v>
      </c>
      <c r="AF27" s="45">
        <f>'[3]Activity data'!AG548</f>
        <v>20172.999123176392</v>
      </c>
      <c r="AG27" s="45">
        <f>'[3]Activity data'!AH548</f>
        <v>15648.999123176394</v>
      </c>
      <c r="AH27" s="45">
        <f>'[3]Activity data'!AI548</f>
        <v>17908.999123176392</v>
      </c>
      <c r="AI27" s="45">
        <f>'[3]Activity data'!AJ548</f>
        <v>19831.999123176392</v>
      </c>
      <c r="AJ27" s="45">
        <f>'[3]Activity data'!AK548</f>
        <v>19831.999123176392</v>
      </c>
      <c r="AK27" s="45">
        <f>'[3]Activity data'!AL548</f>
        <v>19918.097396718102</v>
      </c>
      <c r="AL27" s="45">
        <f>'[3]Activity data'!AM548</f>
        <v>20004.195670259811</v>
      </c>
      <c r="AM27" s="45">
        <f>'[3]Activity data'!AN548</f>
        <v>20090.29394380152</v>
      </c>
      <c r="AN27" s="45">
        <f>'[3]Activity data'!AO548</f>
        <v>20176.392217343229</v>
      </c>
      <c r="AO27" s="45">
        <f>'[3]Activity data'!AP548</f>
        <v>20262.490490884938</v>
      </c>
      <c r="AP27" s="45">
        <f>'[3]Activity data'!AQ548</f>
        <v>20348.588764426648</v>
      </c>
      <c r="AQ27" s="45">
        <f>'[3]Activity data'!AR548</f>
        <v>20434.687037968357</v>
      </c>
      <c r="AR27" s="45">
        <f>'[3]Activity data'!AS548</f>
        <v>20520.785311510066</v>
      </c>
      <c r="AS27" s="45">
        <f>'[3]Activity data'!AT548</f>
        <v>20606.883585051775</v>
      </c>
      <c r="AT27" s="45">
        <f>'[3]Activity data'!AU548</f>
        <v>20692.981858593485</v>
      </c>
      <c r="AU27" s="45">
        <f>'[3]Activity data'!AV548</f>
        <v>20779.080132135194</v>
      </c>
      <c r="AV27" s="45">
        <f>'[3]Activity data'!AW548</f>
        <v>20865.178405676903</v>
      </c>
      <c r="AW27" s="45">
        <f>'[3]Activity data'!AX548</f>
        <v>20865.178405676903</v>
      </c>
      <c r="AX27" s="45">
        <f>'[3]Activity data'!AY548</f>
        <v>20865.178405676903</v>
      </c>
      <c r="AY27" s="45">
        <f>'[3]Activity data'!AZ548</f>
        <v>20865.178405676903</v>
      </c>
      <c r="AZ27" s="45">
        <f>'[3]Activity data'!BA548</f>
        <v>20865.178405676903</v>
      </c>
      <c r="BA27" s="45">
        <f>'[3]Activity data'!BB548</f>
        <v>20865.178405676903</v>
      </c>
      <c r="BB27" s="45">
        <f>'[3]Activity data'!BC548</f>
        <v>20865.178405676903</v>
      </c>
      <c r="BC27" s="45">
        <f>'[3]Activity data'!BD548</f>
        <v>20865.178405676903</v>
      </c>
      <c r="BD27" s="45">
        <f>'[3]Activity data'!BE548</f>
        <v>20865.178405676903</v>
      </c>
      <c r="BE27" s="45">
        <f>'[3]Activity data'!BF548</f>
        <v>20779.080132135194</v>
      </c>
      <c r="BF27" s="45">
        <f>'[3]Activity data'!BG548</f>
        <v>20692.981858593485</v>
      </c>
      <c r="BG27" s="45">
        <f>'[3]Activity data'!BH548</f>
        <v>20606.883585051775</v>
      </c>
      <c r="BH27" s="45">
        <f>'[3]Activity data'!BI548</f>
        <v>20520.785311510066</v>
      </c>
      <c r="BI27" s="45">
        <f>'[3]Activity data'!BJ548</f>
        <v>20434.687037968357</v>
      </c>
      <c r="BJ27" s="45">
        <f>'[3]Activity data'!BK548</f>
        <v>20348.588764426648</v>
      </c>
      <c r="BK27" s="45">
        <f>'[3]Activity data'!BL548</f>
        <v>20262.490490884938</v>
      </c>
      <c r="BL27" s="45">
        <f>'[3]Activity data'!BM548</f>
        <v>20176.392217343229</v>
      </c>
      <c r="BM27" s="45">
        <f>'[3]Activity data'!BN548</f>
        <v>20090.29394380152</v>
      </c>
      <c r="BN27" s="45">
        <f>'[3]Activity data'!BO548</f>
        <v>20004.195670259811</v>
      </c>
      <c r="BO27" s="45">
        <f>'[3]Activity data'!BP548</f>
        <v>19918.097396718102</v>
      </c>
      <c r="BP27" s="45">
        <f>'[3]Activity data'!BQ548</f>
        <v>19831.999123176392</v>
      </c>
      <c r="BR27" s="23"/>
    </row>
    <row r="28" spans="1:72" x14ac:dyDescent="0.25">
      <c r="A28" t="str">
        <f t="shared" si="43"/>
        <v>3C Aggregated and non-CO2 emissions on land</v>
      </c>
      <c r="B28" t="str">
        <f t="shared" si="43"/>
        <v>3C1 Biomass burning (CH4)</v>
      </c>
      <c r="C28" t="str">
        <f>'IPCC Categories'!C60</f>
        <v>3C1b Biomass burning in Croplands</v>
      </c>
      <c r="D28" t="s">
        <v>350</v>
      </c>
      <c r="E28" t="str">
        <f t="shared" si="42"/>
        <v>Annual non-pivot - Burnt area</v>
      </c>
      <c r="F28" t="s">
        <v>361</v>
      </c>
      <c r="G28" t="s">
        <v>645</v>
      </c>
      <c r="H28" s="21">
        <v>30047.110409371311</v>
      </c>
      <c r="I28" s="21">
        <v>30047.110409371311</v>
      </c>
      <c r="J28" s="21">
        <v>30047.110409371311</v>
      </c>
      <c r="K28" s="21">
        <v>30047.110409371311</v>
      </c>
      <c r="L28" s="21">
        <v>30047.110409371311</v>
      </c>
      <c r="M28" s="21">
        <v>30047.110409371311</v>
      </c>
      <c r="N28" s="21">
        <v>30047.110409371311</v>
      </c>
      <c r="O28" s="21">
        <v>30047.110409371311</v>
      </c>
      <c r="P28" s="21">
        <v>30047.110409371311</v>
      </c>
      <c r="Q28" s="21">
        <v>30047.110409371311</v>
      </c>
      <c r="R28" s="21">
        <v>30550.126080485039</v>
      </c>
      <c r="S28" s="21">
        <v>23835.559094517404</v>
      </c>
      <c r="T28" s="21">
        <v>30988.534234208011</v>
      </c>
      <c r="U28" s="21">
        <v>28704.197012177781</v>
      </c>
      <c r="V28" s="21">
        <v>36157.13562546832</v>
      </c>
      <c r="W28" s="21">
        <v>39710.549081959784</v>
      </c>
      <c r="X28" s="21">
        <v>29765.606226454456</v>
      </c>
      <c r="Y28" s="21">
        <v>29857.902679869818</v>
      </c>
      <c r="Z28" s="21">
        <v>21089.739605410366</v>
      </c>
      <c r="AA28" s="21">
        <v>21897.333572794789</v>
      </c>
      <c r="AB28" s="21">
        <v>30941.1</v>
      </c>
      <c r="AC28" s="21">
        <v>30919.05</v>
      </c>
      <c r="AD28" s="45">
        <f>'[3]Activity data'!AE549</f>
        <v>329614.7597349711</v>
      </c>
      <c r="AE28" s="45">
        <f>'[3]Activity data'!AF549</f>
        <v>328711.1609496483</v>
      </c>
      <c r="AF28" s="45">
        <f>'[3]Activity data'!AG549</f>
        <v>327807.5621643255</v>
      </c>
      <c r="AG28" s="45">
        <f>'[3]Activity data'!AH549</f>
        <v>326903.96337900264</v>
      </c>
      <c r="AH28" s="45">
        <f>'[3]Activity data'!AI549</f>
        <v>326000.36459367984</v>
      </c>
      <c r="AI28" s="45">
        <f>'[3]Activity data'!AJ549</f>
        <v>325096.76580835704</v>
      </c>
      <c r="AJ28" s="45">
        <f>'[3]Activity data'!AK549</f>
        <v>324193.16702303418</v>
      </c>
      <c r="AK28" s="45">
        <f>'[3]Activity data'!AL549</f>
        <v>323289.56823771138</v>
      </c>
      <c r="AL28" s="45">
        <f>'[3]Activity data'!AM549</f>
        <v>322385.96945238858</v>
      </c>
      <c r="AM28" s="45">
        <f>'[3]Activity data'!AN549</f>
        <v>321482.37066706573</v>
      </c>
      <c r="AN28" s="45">
        <f>'[3]Activity data'!AO549</f>
        <v>320578.77188174293</v>
      </c>
      <c r="AO28" s="45">
        <f>'[3]Activity data'!AP549</f>
        <v>319675.17309642013</v>
      </c>
      <c r="AP28" s="45">
        <f>'[3]Activity data'!AQ549</f>
        <v>318771.57431109727</v>
      </c>
      <c r="AQ28" s="45">
        <f>'[3]Activity data'!AR549</f>
        <v>317867.97552577447</v>
      </c>
      <c r="AR28" s="45">
        <f>'[3]Activity data'!AS549</f>
        <v>316964.37674045167</v>
      </c>
      <c r="AS28" s="45">
        <f>'[3]Activity data'!AT549</f>
        <v>316060.77795512887</v>
      </c>
      <c r="AT28" s="45">
        <f>'[3]Activity data'!AU549</f>
        <v>315157.17916980601</v>
      </c>
      <c r="AU28" s="45">
        <f>'[3]Activity data'!AV549</f>
        <v>314253.58038448321</v>
      </c>
      <c r="AV28" s="45">
        <f>'[3]Activity data'!AW549</f>
        <v>313349.98159916041</v>
      </c>
      <c r="AW28" s="45">
        <f>'[3]Activity data'!AX549</f>
        <v>312446.38281383755</v>
      </c>
      <c r="AX28" s="45">
        <f>'[3]Activity data'!AY549</f>
        <v>311542.78402851475</v>
      </c>
      <c r="AY28" s="45">
        <f>'[3]Activity data'!AZ549</f>
        <v>310639.18524319195</v>
      </c>
      <c r="AZ28" s="45">
        <f>'[3]Activity data'!BA549</f>
        <v>309735.5864578691</v>
      </c>
      <c r="BA28" s="45">
        <f>'[3]Activity data'!BB549</f>
        <v>308831.9876725463</v>
      </c>
      <c r="BB28" s="45">
        <f>'[3]Activity data'!BC549</f>
        <v>307928.3888872235</v>
      </c>
      <c r="BC28" s="45">
        <f>'[3]Activity data'!BD549</f>
        <v>307024.79010190064</v>
      </c>
      <c r="BD28" s="45">
        <f>'[3]Activity data'!BE549</f>
        <v>306121.19131657784</v>
      </c>
      <c r="BE28" s="45">
        <f>'[3]Activity data'!BF549</f>
        <v>305217.59253125504</v>
      </c>
      <c r="BF28" s="45">
        <f>'[3]Activity data'!BG549</f>
        <v>304313.99374593218</v>
      </c>
      <c r="BG28" s="45">
        <f>'[3]Activity data'!BH549</f>
        <v>303410.39496060938</v>
      </c>
      <c r="BH28" s="45">
        <f>'[3]Activity data'!BI549</f>
        <v>302506.79617528658</v>
      </c>
      <c r="BI28" s="45">
        <f>'[3]Activity data'!BJ549</f>
        <v>301603.19738996372</v>
      </c>
      <c r="BJ28" s="45">
        <f>'[3]Activity data'!BK549</f>
        <v>300699.59860464092</v>
      </c>
      <c r="BK28" s="45">
        <f>'[3]Activity data'!BL549</f>
        <v>299795.99981931812</v>
      </c>
      <c r="BL28" s="45">
        <f>'[3]Activity data'!BM549</f>
        <v>298892.40103399527</v>
      </c>
      <c r="BM28" s="45">
        <f>'[3]Activity data'!BN549</f>
        <v>297988.80224867247</v>
      </c>
      <c r="BN28" s="45">
        <f>'[3]Activity data'!BO549</f>
        <v>297085.20346334967</v>
      </c>
      <c r="BO28" s="45">
        <f>'[3]Activity data'!BP549</f>
        <v>296181.60467802687</v>
      </c>
      <c r="BP28" s="45">
        <f>'[3]Activity data'!BQ549</f>
        <v>295278.00589270401</v>
      </c>
      <c r="BR28" s="23"/>
    </row>
    <row r="29" spans="1:72" x14ac:dyDescent="0.25">
      <c r="A29" t="str">
        <f t="shared" si="43"/>
        <v>3C Aggregated and non-CO2 emissions on land</v>
      </c>
      <c r="B29" t="str">
        <f t="shared" si="43"/>
        <v>3C1 Biomass burning (CH4)</v>
      </c>
      <c r="C29" t="str">
        <f>C28</f>
        <v>3C1b Biomass burning in Croplands</v>
      </c>
      <c r="D29" t="s">
        <v>351</v>
      </c>
      <c r="E29" t="str">
        <f t="shared" si="42"/>
        <v>Annual pivot - Burnt area</v>
      </c>
      <c r="F29" t="s">
        <v>361</v>
      </c>
      <c r="G29" t="s">
        <v>646</v>
      </c>
      <c r="H29" s="21">
        <v>380372.14381539257</v>
      </c>
      <c r="I29" s="21">
        <v>380372.14381539257</v>
      </c>
      <c r="J29" s="21">
        <v>380372.14381539257</v>
      </c>
      <c r="K29" s="21">
        <v>380372.14381539257</v>
      </c>
      <c r="L29" s="21">
        <v>380372.14381539257</v>
      </c>
      <c r="M29" s="21">
        <v>380372.14381539257</v>
      </c>
      <c r="N29" s="21">
        <v>380372.14381539257</v>
      </c>
      <c r="O29" s="21">
        <v>380372.14381539257</v>
      </c>
      <c r="P29" s="21">
        <v>380372.14381539257</v>
      </c>
      <c r="Q29" s="21">
        <v>380372.14381539257</v>
      </c>
      <c r="R29" s="21">
        <v>411480.66343904054</v>
      </c>
      <c r="S29" s="21">
        <v>381184.35260544776</v>
      </c>
      <c r="T29" s="21">
        <v>466789.31314819655</v>
      </c>
      <c r="U29" s="21">
        <v>348488.33398305555</v>
      </c>
      <c r="V29" s="21">
        <v>293918.05590122234</v>
      </c>
      <c r="W29" s="21">
        <v>497547.10624886618</v>
      </c>
      <c r="X29" s="21">
        <v>507145.93740406388</v>
      </c>
      <c r="Y29" s="21">
        <v>286718.93253482407</v>
      </c>
      <c r="Z29" s="21">
        <v>331713.45357481338</v>
      </c>
      <c r="AA29" s="21">
        <v>328160.04011832189</v>
      </c>
      <c r="AB29" s="21">
        <v>370038.33</v>
      </c>
      <c r="AC29" s="21">
        <v>386575.74</v>
      </c>
      <c r="AD29" s="45">
        <f>'[3]Activity data'!AE550</f>
        <v>27272.800964105933</v>
      </c>
      <c r="AE29" s="45">
        <f>'[3]Activity data'!AF550</f>
        <v>28102.087515757019</v>
      </c>
      <c r="AF29" s="45">
        <f>'[3]Activity data'!AG550</f>
        <v>28931.374067408098</v>
      </c>
      <c r="AG29" s="45">
        <f>'[3]Activity data'!AH550</f>
        <v>29760.660619059196</v>
      </c>
      <c r="AH29" s="45">
        <f>'[3]Activity data'!AI550</f>
        <v>30589.947170710278</v>
      </c>
      <c r="AI29" s="45">
        <f>'[3]Activity data'!AJ550</f>
        <v>31419.233722361369</v>
      </c>
      <c r="AJ29" s="45">
        <f>'[3]Activity data'!AK550</f>
        <v>32248.520274012448</v>
      </c>
      <c r="AK29" s="45">
        <f>'[3]Activity data'!AL550</f>
        <v>33077.806825663531</v>
      </c>
      <c r="AL29" s="45">
        <f>'[3]Activity data'!AM550</f>
        <v>33907.093377314624</v>
      </c>
      <c r="AM29" s="45">
        <f>'[3]Activity data'!AN550</f>
        <v>34736.379928965718</v>
      </c>
      <c r="AN29" s="45">
        <f>'[3]Activity data'!AO550</f>
        <v>35565.666480616797</v>
      </c>
      <c r="AO29" s="45">
        <f>'[3]Activity data'!AP550</f>
        <v>36394.953032267884</v>
      </c>
      <c r="AP29" s="45">
        <f>'[3]Activity data'!AQ550</f>
        <v>37224.23958391897</v>
      </c>
      <c r="AQ29" s="45">
        <f>'[3]Activity data'!AR550</f>
        <v>38053.526135570057</v>
      </c>
      <c r="AR29" s="45">
        <f>'[3]Activity data'!AS550</f>
        <v>38882.812687221151</v>
      </c>
      <c r="AS29" s="45">
        <f>'[3]Activity data'!AT550</f>
        <v>39712.09923887223</v>
      </c>
      <c r="AT29" s="45">
        <f>'[3]Activity data'!AU550</f>
        <v>40541.385790523324</v>
      </c>
      <c r="AU29" s="45">
        <f>'[3]Activity data'!AV550</f>
        <v>41370.67234217441</v>
      </c>
      <c r="AV29" s="45">
        <f>'[3]Activity data'!AW550</f>
        <v>42199.958893825504</v>
      </c>
      <c r="AW29" s="45">
        <f>'[3]Activity data'!AX550</f>
        <v>43029.245445476583</v>
      </c>
      <c r="AX29" s="45">
        <f>'[3]Activity data'!AY550</f>
        <v>43858.531997127677</v>
      </c>
      <c r="AY29" s="45">
        <f>'[3]Activity data'!AZ550</f>
        <v>44687.818548778749</v>
      </c>
      <c r="AZ29" s="45">
        <f>'[3]Activity data'!BA550</f>
        <v>45517.105100429842</v>
      </c>
      <c r="BA29" s="45">
        <f>'[3]Activity data'!BB550</f>
        <v>46346.391652080929</v>
      </c>
      <c r="BB29" s="45">
        <f>'[3]Activity data'!BC550</f>
        <v>47175.678203732023</v>
      </c>
      <c r="BC29" s="45">
        <f>'[3]Activity data'!BD550</f>
        <v>48004.964755383102</v>
      </c>
      <c r="BD29" s="45">
        <f>'[3]Activity data'!BE550</f>
        <v>48834.251307034181</v>
      </c>
      <c r="BE29" s="45">
        <f>'[3]Activity data'!BF550</f>
        <v>49663.537858685289</v>
      </c>
      <c r="BF29" s="45">
        <f>'[3]Activity data'!BG550</f>
        <v>50492.824410336369</v>
      </c>
      <c r="BG29" s="45">
        <f>'[3]Activity data'!BH550</f>
        <v>51322.110961987448</v>
      </c>
      <c r="BH29" s="45">
        <f>'[3]Activity data'!BI550</f>
        <v>52151.397513638527</v>
      </c>
      <c r="BI29" s="45">
        <f>'[3]Activity data'!BJ550</f>
        <v>52980.684065289621</v>
      </c>
      <c r="BJ29" s="45">
        <f>'[3]Activity data'!BK550</f>
        <v>53809.970616940707</v>
      </c>
      <c r="BK29" s="45">
        <f>'[3]Activity data'!BL550</f>
        <v>54639.257168591786</v>
      </c>
      <c r="BL29" s="45">
        <f>'[3]Activity data'!BM550</f>
        <v>55468.54372024288</v>
      </c>
      <c r="BM29" s="45">
        <f>'[3]Activity data'!BN550</f>
        <v>56297.830271893945</v>
      </c>
      <c r="BN29" s="45">
        <f>'[3]Activity data'!BO550</f>
        <v>57127.116823545024</v>
      </c>
      <c r="BO29" s="45">
        <f>'[3]Activity data'!BP550</f>
        <v>57956.403375196111</v>
      </c>
      <c r="BP29" s="45">
        <f>'[3]Activity data'!BQ550</f>
        <v>58785.68992684719</v>
      </c>
      <c r="BR29" s="23"/>
    </row>
    <row r="30" spans="1:72" x14ac:dyDescent="0.25">
      <c r="A30" t="str">
        <f t="shared" si="43"/>
        <v>3C Aggregated and non-CO2 emissions on land</v>
      </c>
      <c r="B30" t="str">
        <f t="shared" si="43"/>
        <v>3C1 Biomass burning (CH4)</v>
      </c>
      <c r="C30" t="str">
        <f>C29</f>
        <v>3C1b Biomass burning in Croplands</v>
      </c>
      <c r="D30" t="s">
        <v>352</v>
      </c>
      <c r="E30" t="str">
        <f t="shared" si="42"/>
        <v>Perennial orchards - Burnt area</v>
      </c>
      <c r="F30" t="s">
        <v>361</v>
      </c>
      <c r="G30" t="s">
        <v>647</v>
      </c>
      <c r="H30" s="21">
        <v>2718.1305530824302</v>
      </c>
      <c r="I30" s="21">
        <v>2718.1305530824302</v>
      </c>
      <c r="J30" s="21">
        <v>2718.1305530824302</v>
      </c>
      <c r="K30" s="21">
        <v>2718.1305530824302</v>
      </c>
      <c r="L30" s="21">
        <v>2718.1305530824302</v>
      </c>
      <c r="M30" s="21">
        <v>2718.1305530824302</v>
      </c>
      <c r="N30" s="21">
        <v>2718.1305530824302</v>
      </c>
      <c r="O30" s="21">
        <v>2718.1305530824302</v>
      </c>
      <c r="P30" s="21">
        <v>2718.1305530824302</v>
      </c>
      <c r="Q30" s="21">
        <v>2718.1305530824302</v>
      </c>
      <c r="R30" s="21">
        <v>2076.6702018456599</v>
      </c>
      <c r="S30" s="21">
        <v>3991.8216102144347</v>
      </c>
      <c r="T30" s="21">
        <v>2907.3382825839235</v>
      </c>
      <c r="U30" s="21">
        <v>2976.5606226454456</v>
      </c>
      <c r="V30" s="21">
        <v>1638.262048122687</v>
      </c>
      <c r="W30" s="21">
        <v>3691.8581366145063</v>
      </c>
      <c r="X30" s="21">
        <v>2561.2265822763138</v>
      </c>
      <c r="Y30" s="21">
        <v>4453.3038772912478</v>
      </c>
      <c r="Z30" s="21">
        <v>5676.2318850448037</v>
      </c>
      <c r="AA30" s="21">
        <v>2422.7819021532696</v>
      </c>
      <c r="AB30" s="21">
        <v>4072.41</v>
      </c>
      <c r="AC30" s="21">
        <v>3114.81</v>
      </c>
      <c r="AD30" s="45">
        <f>'[3]Activity data'!AE551</f>
        <v>3227.9349368076064</v>
      </c>
      <c r="AE30" s="45">
        <f>'[3]Activity data'!AF551</f>
        <v>3255.5028892035903</v>
      </c>
      <c r="AF30" s="45">
        <f>'[3]Activity data'!AG551</f>
        <v>3283.0708415995737</v>
      </c>
      <c r="AG30" s="45">
        <f>'[3]Activity data'!AH551</f>
        <v>3310.6387939955575</v>
      </c>
      <c r="AH30" s="45">
        <f>'[3]Activity data'!AI551</f>
        <v>3338.2067463915409</v>
      </c>
      <c r="AI30" s="45">
        <f>'[3]Activity data'!AJ551</f>
        <v>3365.7746987875248</v>
      </c>
      <c r="AJ30" s="45">
        <f>'[3]Activity data'!AK551</f>
        <v>3393.3426511835082</v>
      </c>
      <c r="AK30" s="45">
        <f>'[3]Activity data'!AL551</f>
        <v>3420.9106035794921</v>
      </c>
      <c r="AL30" s="45">
        <f>'[3]Activity data'!AM551</f>
        <v>3448.4785559754755</v>
      </c>
      <c r="AM30" s="45">
        <f>'[3]Activity data'!AN551</f>
        <v>3476.0465083714594</v>
      </c>
      <c r="AN30" s="45">
        <f>'[3]Activity data'!AO551</f>
        <v>3503.6144607674428</v>
      </c>
      <c r="AO30" s="45">
        <f>'[3]Activity data'!AP551</f>
        <v>3531.1824131634266</v>
      </c>
      <c r="AP30" s="45">
        <f>'[3]Activity data'!AQ551</f>
        <v>3558.7503655594105</v>
      </c>
      <c r="AQ30" s="45">
        <f>'[3]Activity data'!AR551</f>
        <v>3586.3183179553939</v>
      </c>
      <c r="AR30" s="45">
        <f>'[3]Activity data'!AS551</f>
        <v>3613.8862703513778</v>
      </c>
      <c r="AS30" s="45">
        <f>'[3]Activity data'!AT551</f>
        <v>3641.4542227473612</v>
      </c>
      <c r="AT30" s="45">
        <f>'[3]Activity data'!AU551</f>
        <v>3669.0221751433451</v>
      </c>
      <c r="AU30" s="45">
        <f>'[3]Activity data'!AV551</f>
        <v>3696.5901275393285</v>
      </c>
      <c r="AV30" s="45">
        <f>'[3]Activity data'!AW551</f>
        <v>3724.1580799353123</v>
      </c>
      <c r="AW30" s="45">
        <f>'[3]Activity data'!AX551</f>
        <v>3751.7260323312958</v>
      </c>
      <c r="AX30" s="45">
        <f>'[3]Activity data'!AY551</f>
        <v>3779.2939847272796</v>
      </c>
      <c r="AY30" s="45">
        <f>'[3]Activity data'!AZ551</f>
        <v>3806.861937123263</v>
      </c>
      <c r="AZ30" s="45">
        <f>'[3]Activity data'!BA551</f>
        <v>3834.4298895192469</v>
      </c>
      <c r="BA30" s="45">
        <f>'[3]Activity data'!BB551</f>
        <v>3861.9978419152303</v>
      </c>
      <c r="BB30" s="45">
        <f>'[3]Activity data'!BC551</f>
        <v>3889.5657943112142</v>
      </c>
      <c r="BC30" s="45">
        <f>'[3]Activity data'!BD551</f>
        <v>3917.1337467071976</v>
      </c>
      <c r="BD30" s="45">
        <f>'[3]Activity data'!BE551</f>
        <v>3944.7016991031815</v>
      </c>
      <c r="BE30" s="45">
        <f>'[3]Activity data'!BF551</f>
        <v>3972.2696514991649</v>
      </c>
      <c r="BF30" s="45">
        <f>'[3]Activity data'!BG551</f>
        <v>3999.8376038951487</v>
      </c>
      <c r="BG30" s="45">
        <f>'[3]Activity data'!BH551</f>
        <v>4027.4055562911321</v>
      </c>
      <c r="BH30" s="45">
        <f>'[3]Activity data'!BI551</f>
        <v>4054.973508687116</v>
      </c>
      <c r="BI30" s="45">
        <f>'[3]Activity data'!BJ551</f>
        <v>4082.5414610830994</v>
      </c>
      <c r="BJ30" s="45">
        <f>'[3]Activity data'!BK551</f>
        <v>4110.1094134790837</v>
      </c>
      <c r="BK30" s="45">
        <f>'[3]Activity data'!BL551</f>
        <v>4137.6773658750672</v>
      </c>
      <c r="BL30" s="45">
        <f>'[3]Activity data'!BM551</f>
        <v>4165.2453182710506</v>
      </c>
      <c r="BM30" s="45">
        <f>'[3]Activity data'!BN551</f>
        <v>4192.813270667034</v>
      </c>
      <c r="BN30" s="45">
        <f>'[3]Activity data'!BO551</f>
        <v>4220.3812230630174</v>
      </c>
      <c r="BO30" s="45">
        <f>'[3]Activity data'!BP551</f>
        <v>4247.9491754590017</v>
      </c>
      <c r="BP30" s="45">
        <f>'[3]Activity data'!BQ551</f>
        <v>4275.5171278549851</v>
      </c>
      <c r="BR30" s="23"/>
    </row>
    <row r="31" spans="1:72" x14ac:dyDescent="0.25">
      <c r="A31" t="str">
        <f t="shared" si="43"/>
        <v>3C Aggregated and non-CO2 emissions on land</v>
      </c>
      <c r="B31" t="str">
        <f t="shared" si="43"/>
        <v>3C1 Biomass burning (CH4)</v>
      </c>
      <c r="C31" t="str">
        <f>C30</f>
        <v>3C1b Biomass burning in Croplands</v>
      </c>
      <c r="D31" t="s">
        <v>353</v>
      </c>
      <c r="E31" t="str">
        <f t="shared" si="42"/>
        <v>Perennial vineyards - Burnt area</v>
      </c>
      <c r="F31" t="s">
        <v>361</v>
      </c>
      <c r="G31" t="s">
        <v>648</v>
      </c>
      <c r="H31" s="21">
        <v>650.6899965783067</v>
      </c>
      <c r="I31" s="21">
        <v>650.6899965783067</v>
      </c>
      <c r="J31" s="21">
        <v>650.6899965783067</v>
      </c>
      <c r="K31" s="21">
        <v>650.6899965783067</v>
      </c>
      <c r="L31" s="21">
        <v>650.6899965783067</v>
      </c>
      <c r="M31" s="21">
        <v>650.6899965783067</v>
      </c>
      <c r="N31" s="21">
        <v>650.6899965783067</v>
      </c>
      <c r="O31" s="21">
        <v>650.6899965783067</v>
      </c>
      <c r="P31" s="21">
        <v>650.6899965783067</v>
      </c>
      <c r="Q31" s="21">
        <v>650.6899965783067</v>
      </c>
      <c r="R31" s="21">
        <v>1015.2609875689892</v>
      </c>
      <c r="S31" s="21">
        <v>669.14928726137919</v>
      </c>
      <c r="T31" s="21">
        <v>530.70460713833518</v>
      </c>
      <c r="U31" s="21">
        <v>830.66808073826394</v>
      </c>
      <c r="V31" s="21">
        <v>207.66702018456598</v>
      </c>
      <c r="W31" s="21">
        <v>576.85283384601667</v>
      </c>
      <c r="X31" s="21">
        <v>1153.7056676920333</v>
      </c>
      <c r="Y31" s="21">
        <v>553.77872049217592</v>
      </c>
      <c r="Z31" s="21">
        <v>415.33404036913197</v>
      </c>
      <c r="AA31" s="21">
        <v>623.00106055369793</v>
      </c>
      <c r="AB31" s="21">
        <v>1034.0999999999999</v>
      </c>
      <c r="AC31" s="21">
        <v>2728.53</v>
      </c>
      <c r="AD31" s="45">
        <f>'[3]Activity data'!AE552</f>
        <v>892.04273910080849</v>
      </c>
      <c r="AE31" s="45">
        <f>'[3]Activity data'!AF552</f>
        <v>897.91643360164323</v>
      </c>
      <c r="AF31" s="45">
        <f>'[3]Activity data'!AG552</f>
        <v>903.79012810247798</v>
      </c>
      <c r="AG31" s="45">
        <f>'[3]Activity data'!AH552</f>
        <v>909.66382260331272</v>
      </c>
      <c r="AH31" s="45">
        <f>'[3]Activity data'!AI552</f>
        <v>915.53751710414724</v>
      </c>
      <c r="AI31" s="45">
        <f>'[3]Activity data'!AJ552</f>
        <v>921.41121160498199</v>
      </c>
      <c r="AJ31" s="45">
        <f>'[3]Activity data'!AK552</f>
        <v>927.28490610581673</v>
      </c>
      <c r="AK31" s="45">
        <f>'[3]Activity data'!AL552</f>
        <v>933.15860060665148</v>
      </c>
      <c r="AL31" s="45">
        <f>'[3]Activity data'!AM552</f>
        <v>939.03229510748622</v>
      </c>
      <c r="AM31" s="45">
        <f>'[3]Activity data'!AN552</f>
        <v>944.90598960832097</v>
      </c>
      <c r="AN31" s="45">
        <f>'[3]Activity data'!AO552</f>
        <v>950.77968410915571</v>
      </c>
      <c r="AO31" s="45">
        <f>'[3]Activity data'!AP552</f>
        <v>956.65337860999045</v>
      </c>
      <c r="AP31" s="45">
        <f>'[3]Activity data'!AQ552</f>
        <v>962.5270731108252</v>
      </c>
      <c r="AQ31" s="45">
        <f>'[3]Activity data'!AR552</f>
        <v>968.40076761165994</v>
      </c>
      <c r="AR31" s="45">
        <f>'[3]Activity data'!AS552</f>
        <v>974.27446211249469</v>
      </c>
      <c r="AS31" s="45">
        <f>'[3]Activity data'!AT552</f>
        <v>980.14815661332921</v>
      </c>
      <c r="AT31" s="45">
        <f>'[3]Activity data'!AU552</f>
        <v>986.02185111416395</v>
      </c>
      <c r="AU31" s="45">
        <f>'[3]Activity data'!AV552</f>
        <v>991.8955456149987</v>
      </c>
      <c r="AV31" s="45">
        <f>'[3]Activity data'!AW552</f>
        <v>997.76924011583344</v>
      </c>
      <c r="AW31" s="45">
        <f>'[3]Activity data'!AX552</f>
        <v>1003.6429346166682</v>
      </c>
      <c r="AX31" s="45">
        <f>'[3]Activity data'!AY552</f>
        <v>1009.5166291175029</v>
      </c>
      <c r="AY31" s="45">
        <f>'[3]Activity data'!AZ552</f>
        <v>1015.3903236183377</v>
      </c>
      <c r="AZ31" s="45">
        <f>'[3]Activity data'!BA552</f>
        <v>1021.2640181191724</v>
      </c>
      <c r="BA31" s="45">
        <f>'[3]Activity data'!BB552</f>
        <v>1027.1377126200073</v>
      </c>
      <c r="BB31" s="45">
        <f>'[3]Activity data'!BC552</f>
        <v>1033.011407120842</v>
      </c>
      <c r="BC31" s="45">
        <f>'[3]Activity data'!BD552</f>
        <v>1038.885101621677</v>
      </c>
      <c r="BD31" s="45">
        <f>'[3]Activity data'!BE552</f>
        <v>1044.7587961225115</v>
      </c>
      <c r="BE31" s="45">
        <f>'[3]Activity data'!BF552</f>
        <v>1050.6324906233463</v>
      </c>
      <c r="BF31" s="45">
        <f>'[3]Activity data'!BG552</f>
        <v>1056.506185124181</v>
      </c>
      <c r="BG31" s="45">
        <f>'[3]Activity data'!BH552</f>
        <v>1062.3798796250157</v>
      </c>
      <c r="BH31" s="45">
        <f>'[3]Activity data'!BI552</f>
        <v>1068.2535741258505</v>
      </c>
      <c r="BI31" s="45">
        <f>'[3]Activity data'!BJ552</f>
        <v>1074.1272686266852</v>
      </c>
      <c r="BJ31" s="45">
        <f>'[3]Activity data'!BK552</f>
        <v>1080.00096312752</v>
      </c>
      <c r="BK31" s="45">
        <f>'[3]Activity data'!BL552</f>
        <v>1085.8746576283547</v>
      </c>
      <c r="BL31" s="45">
        <f>'[3]Activity data'!BM552</f>
        <v>1091.7483521291895</v>
      </c>
      <c r="BM31" s="45">
        <f>'[3]Activity data'!BN552</f>
        <v>1097.6220466300242</v>
      </c>
      <c r="BN31" s="45">
        <f>'[3]Activity data'!BO552</f>
        <v>1103.495741130859</v>
      </c>
      <c r="BO31" s="45">
        <f>'[3]Activity data'!BP552</f>
        <v>1109.3694356316935</v>
      </c>
      <c r="BP31" s="45">
        <f>'[3]Activity data'!BQ552</f>
        <v>1115.2431301325282</v>
      </c>
      <c r="BR31" s="23"/>
    </row>
    <row r="32" spans="1:72" x14ac:dyDescent="0.25">
      <c r="A32" t="str">
        <f t="shared" si="43"/>
        <v>3C Aggregated and non-CO2 emissions on land</v>
      </c>
      <c r="B32" t="str">
        <f t="shared" si="43"/>
        <v>3C1 Biomass burning (CH4)</v>
      </c>
      <c r="C32" t="str">
        <f>C31</f>
        <v>3C1b Biomass burning in Croplands</v>
      </c>
      <c r="D32" t="s">
        <v>354</v>
      </c>
      <c r="E32" t="str">
        <f t="shared" si="42"/>
        <v>Cropland subsistence - Burnt area</v>
      </c>
      <c r="F32" t="s">
        <v>361</v>
      </c>
      <c r="G32" t="s">
        <v>649</v>
      </c>
      <c r="H32" s="21">
        <v>121475.97716262956</v>
      </c>
      <c r="I32" s="21">
        <v>121475.97716262956</v>
      </c>
      <c r="J32" s="21">
        <v>121475.97716262956</v>
      </c>
      <c r="K32" s="21">
        <v>121475.97716262956</v>
      </c>
      <c r="L32" s="21">
        <v>121475.97716262956</v>
      </c>
      <c r="M32" s="21">
        <v>121475.97716262956</v>
      </c>
      <c r="N32" s="21">
        <v>121475.97716262956</v>
      </c>
      <c r="O32" s="21">
        <v>121475.97716262956</v>
      </c>
      <c r="P32" s="21">
        <v>121475.97716262956</v>
      </c>
      <c r="Q32" s="21">
        <v>121475.97716262956</v>
      </c>
      <c r="R32" s="21">
        <v>110986.48523197359</v>
      </c>
      <c r="S32" s="21">
        <v>166133.61614765276</v>
      </c>
      <c r="T32" s="21">
        <v>130807.14860292274</v>
      </c>
      <c r="U32" s="21">
        <v>110963.41111861976</v>
      </c>
      <c r="V32" s="21">
        <v>88489.224711978939</v>
      </c>
      <c r="W32" s="21">
        <v>191815.10431047744</v>
      </c>
      <c r="X32" s="21">
        <v>150304.77438691808</v>
      </c>
      <c r="Y32" s="21">
        <v>232748.58140019077</v>
      </c>
      <c r="Z32" s="21">
        <v>140036.793944459</v>
      </c>
      <c r="AA32" s="21">
        <v>165649.05976722212</v>
      </c>
      <c r="AB32" s="21">
        <v>111287.7</v>
      </c>
      <c r="AC32" s="21">
        <v>75544.47</v>
      </c>
      <c r="AD32" s="45">
        <f>'[3]Activity data'!AE553</f>
        <v>111446.90580100549</v>
      </c>
      <c r="AE32" s="45">
        <f>'[3]Activity data'!AF553</f>
        <v>111463.54344556993</v>
      </c>
      <c r="AF32" s="45">
        <f>'[3]Activity data'!AG553</f>
        <v>111480.18109013437</v>
      </c>
      <c r="AG32" s="45">
        <f>'[3]Activity data'!AH553</f>
        <v>111496.81873469881</v>
      </c>
      <c r="AH32" s="45">
        <f>'[3]Activity data'!AI553</f>
        <v>111513.45637926325</v>
      </c>
      <c r="AI32" s="45">
        <f>'[3]Activity data'!AJ553</f>
        <v>111530.0940238277</v>
      </c>
      <c r="AJ32" s="45">
        <f>'[3]Activity data'!AK553</f>
        <v>111546.73166839214</v>
      </c>
      <c r="AK32" s="45">
        <f>'[3]Activity data'!AL553</f>
        <v>111563.36931295661</v>
      </c>
      <c r="AL32" s="45">
        <f>'[3]Activity data'!AM553</f>
        <v>111580.00695752105</v>
      </c>
      <c r="AM32" s="45">
        <f>'[3]Activity data'!AN553</f>
        <v>111596.64460208549</v>
      </c>
      <c r="AN32" s="45">
        <f>'[3]Activity data'!AO553</f>
        <v>111613.28224664993</v>
      </c>
      <c r="AO32" s="45">
        <f>'[3]Activity data'!AP553</f>
        <v>111629.91989121438</v>
      </c>
      <c r="AP32" s="45">
        <f>'[3]Activity data'!AQ553</f>
        <v>111646.55753577882</v>
      </c>
      <c r="AQ32" s="45">
        <f>'[3]Activity data'!AR553</f>
        <v>111663.19518034326</v>
      </c>
      <c r="AR32" s="45">
        <f>'[3]Activity data'!AS553</f>
        <v>111679.83282490773</v>
      </c>
      <c r="AS32" s="45">
        <f>'[3]Activity data'!AT553</f>
        <v>111696.47046947217</v>
      </c>
      <c r="AT32" s="45">
        <f>'[3]Activity data'!AU553</f>
        <v>111713.10811403662</v>
      </c>
      <c r="AU32" s="45">
        <f>'[3]Activity data'!AV553</f>
        <v>111729.74575860106</v>
      </c>
      <c r="AV32" s="45">
        <f>'[3]Activity data'!AW553</f>
        <v>111746.3834031655</v>
      </c>
      <c r="AW32" s="45">
        <f>'[3]Activity data'!AX553</f>
        <v>111763.02104772994</v>
      </c>
      <c r="AX32" s="45">
        <f>'[3]Activity data'!AY553</f>
        <v>111779.65869229441</v>
      </c>
      <c r="AY32" s="45">
        <f>'[3]Activity data'!AZ553</f>
        <v>111796.29633685885</v>
      </c>
      <c r="AZ32" s="45">
        <f>'[3]Activity data'!BA553</f>
        <v>111812.9339814233</v>
      </c>
      <c r="BA32" s="45">
        <f>'[3]Activity data'!BB553</f>
        <v>111829.57162598774</v>
      </c>
      <c r="BB32" s="45">
        <f>'[3]Activity data'!BC553</f>
        <v>111846.20927055218</v>
      </c>
      <c r="BC32" s="45">
        <f>'[3]Activity data'!BD553</f>
        <v>111862.84691511662</v>
      </c>
      <c r="BD32" s="45">
        <f>'[3]Activity data'!BE553</f>
        <v>111879.48455968106</v>
      </c>
      <c r="BE32" s="45">
        <f>'[3]Activity data'!BF553</f>
        <v>111896.12220424553</v>
      </c>
      <c r="BF32" s="45">
        <f>'[3]Activity data'!BG553</f>
        <v>111912.75984880998</v>
      </c>
      <c r="BG32" s="45">
        <f>'[3]Activity data'!BH553</f>
        <v>111929.39749337442</v>
      </c>
      <c r="BH32" s="45">
        <f>'[3]Activity data'!BI553</f>
        <v>111946.03513793886</v>
      </c>
      <c r="BI32" s="45">
        <f>'[3]Activity data'!BJ553</f>
        <v>111962.6727825033</v>
      </c>
      <c r="BJ32" s="45">
        <f>'[3]Activity data'!BK553</f>
        <v>111979.31042706774</v>
      </c>
      <c r="BK32" s="45">
        <f>'[3]Activity data'!BL553</f>
        <v>111995.94807163219</v>
      </c>
      <c r="BL32" s="45">
        <f>'[3]Activity data'!BM553</f>
        <v>112012.58571619666</v>
      </c>
      <c r="BM32" s="45">
        <f>'[3]Activity data'!BN553</f>
        <v>112029.2233607611</v>
      </c>
      <c r="BN32" s="45">
        <f>'[3]Activity data'!BO553</f>
        <v>112045.86100532554</v>
      </c>
      <c r="BO32" s="45">
        <f>'[3]Activity data'!BP553</f>
        <v>112062.49864988998</v>
      </c>
      <c r="BP32" s="45">
        <f>'[3]Activity data'!BQ553</f>
        <v>112079.13629445442</v>
      </c>
      <c r="BR32" s="23"/>
    </row>
    <row r="33" spans="1:72" x14ac:dyDescent="0.25">
      <c r="A33" t="str">
        <f t="shared" si="43"/>
        <v>3C Aggregated and non-CO2 emissions on land</v>
      </c>
      <c r="B33" t="str">
        <f t="shared" si="43"/>
        <v>3C1 Biomass burning (CH4)</v>
      </c>
      <c r="C33" t="str">
        <f>'IPCC Categories'!C61</f>
        <v>3C1c Biomass burning in Grasslands</v>
      </c>
      <c r="D33" t="s">
        <v>355</v>
      </c>
      <c r="E33" t="str">
        <f t="shared" si="42"/>
        <v>Grasslands - Burnt area</v>
      </c>
      <c r="F33" t="s">
        <v>361</v>
      </c>
      <c r="G33" t="s">
        <v>650</v>
      </c>
      <c r="H33" s="21">
        <v>2387838.4648902137</v>
      </c>
      <c r="I33" s="21">
        <v>2387838.4648902137</v>
      </c>
      <c r="J33" s="21">
        <v>2387838.4648902137</v>
      </c>
      <c r="K33" s="21">
        <v>2387838.4648902137</v>
      </c>
      <c r="L33" s="21">
        <v>2387838.4648902137</v>
      </c>
      <c r="M33" s="21">
        <v>2387838.4648902137</v>
      </c>
      <c r="N33" s="21">
        <v>2387838.4648902137</v>
      </c>
      <c r="O33" s="21">
        <v>2387838.4648902137</v>
      </c>
      <c r="P33" s="21">
        <v>2387838.4648902137</v>
      </c>
      <c r="Q33" s="21">
        <v>2387838.4648902137</v>
      </c>
      <c r="R33" s="21">
        <v>2371995.7786614662</v>
      </c>
      <c r="S33" s="21">
        <v>2712685.0623309235</v>
      </c>
      <c r="T33" s="21">
        <v>2759663.9571193433</v>
      </c>
      <c r="U33" s="21">
        <v>2215091.8078553495</v>
      </c>
      <c r="V33" s="21">
        <v>1879755.7184839835</v>
      </c>
      <c r="W33" s="21">
        <v>2920305.9342887821</v>
      </c>
      <c r="X33" s="21">
        <v>2572463.6754796347</v>
      </c>
      <c r="Y33" s="21">
        <v>2423589.496120654</v>
      </c>
      <c r="Z33" s="21">
        <v>2252194.9821283258</v>
      </c>
      <c r="AA33" s="21">
        <v>2329700.9288838757</v>
      </c>
      <c r="AB33" s="21">
        <v>2008702.26</v>
      </c>
      <c r="AC33" s="21">
        <v>2040577.5599999998</v>
      </c>
      <c r="AD33" s="45">
        <f>'[3]Activity data'!AE554</f>
        <v>2029778.8780198463</v>
      </c>
      <c r="AE33" s="45">
        <f>'[3]Activity data'!AF554</f>
        <v>2042800.9812413759</v>
      </c>
      <c r="AF33" s="45">
        <f>'[3]Activity data'!AG554</f>
        <v>2055823.0844629053</v>
      </c>
      <c r="AG33" s="45">
        <f>'[3]Activity data'!AH554</f>
        <v>2068845.1876844347</v>
      </c>
      <c r="AH33" s="45">
        <f>'[3]Activity data'!AI554</f>
        <v>2081867.2909059643</v>
      </c>
      <c r="AI33" s="45">
        <f>'[3]Activity data'!AJ554</f>
        <v>2094889.3941274937</v>
      </c>
      <c r="AJ33" s="45">
        <f>'[3]Activity data'!AK554</f>
        <v>2107911.4973490234</v>
      </c>
      <c r="AK33" s="45">
        <f>'[3]Activity data'!AL554</f>
        <v>2129780.2741153426</v>
      </c>
      <c r="AL33" s="45">
        <f>'[3]Activity data'!AM554</f>
        <v>2151649.0508816615</v>
      </c>
      <c r="AM33" s="45">
        <f>'[3]Activity data'!AN554</f>
        <v>2173517.8276479808</v>
      </c>
      <c r="AN33" s="45">
        <f>'[3]Activity data'!AO554</f>
        <v>2195386.6044142996</v>
      </c>
      <c r="AO33" s="45">
        <f>'[3]Activity data'!AP554</f>
        <v>2217255.3811806189</v>
      </c>
      <c r="AP33" s="45">
        <f>'[3]Activity data'!AQ554</f>
        <v>2239124.1579469377</v>
      </c>
      <c r="AQ33" s="45">
        <f>'[3]Activity data'!AR554</f>
        <v>2260992.934713257</v>
      </c>
      <c r="AR33" s="45">
        <f>'[3]Activity data'!AS554</f>
        <v>2282861.7114795758</v>
      </c>
      <c r="AS33" s="45">
        <f>'[3]Activity data'!AT554</f>
        <v>2304730.4882458951</v>
      </c>
      <c r="AT33" s="45">
        <f>'[3]Activity data'!AU554</f>
        <v>2326599.2650122144</v>
      </c>
      <c r="AU33" s="45">
        <f>'[3]Activity data'!AV554</f>
        <v>2348468.0417785333</v>
      </c>
      <c r="AV33" s="45">
        <f>'[3]Activity data'!AW554</f>
        <v>2370336.8185448521</v>
      </c>
      <c r="AW33" s="45">
        <f>'[3]Activity data'!AX554</f>
        <v>2392578.6068636663</v>
      </c>
      <c r="AX33" s="45">
        <f>'[3]Activity data'!AY554</f>
        <v>2414820.3951824801</v>
      </c>
      <c r="AY33" s="45">
        <f>'[3]Activity data'!AZ554</f>
        <v>2437062.1835012939</v>
      </c>
      <c r="AZ33" s="45">
        <f>'[3]Activity data'!BA554</f>
        <v>2459303.9718201077</v>
      </c>
      <c r="BA33" s="45">
        <f>'[3]Activity data'!BB554</f>
        <v>2481545.7601389214</v>
      </c>
      <c r="BB33" s="45">
        <f>'[3]Activity data'!BC554</f>
        <v>2503787.5484577357</v>
      </c>
      <c r="BC33" s="45">
        <f>'[3]Activity data'!BD554</f>
        <v>2526029.336776549</v>
      </c>
      <c r="BD33" s="45">
        <f>'[3]Activity data'!BE554</f>
        <v>2548271.1250953628</v>
      </c>
      <c r="BE33" s="45">
        <f>'[3]Activity data'!BF554</f>
        <v>2570512.9134141766</v>
      </c>
      <c r="BF33" s="45">
        <f>'[3]Activity data'!BG554</f>
        <v>2592754.7017329903</v>
      </c>
      <c r="BG33" s="45">
        <f>'[3]Activity data'!BH554</f>
        <v>2614996.4900518041</v>
      </c>
      <c r="BH33" s="45">
        <f>'[3]Activity data'!BI554</f>
        <v>2637238.2783706179</v>
      </c>
      <c r="BI33" s="45">
        <f>'[3]Activity data'!BJ554</f>
        <v>2659480.0666894317</v>
      </c>
      <c r="BJ33" s="45">
        <f>'[3]Activity data'!BK554</f>
        <v>2681721.8550082454</v>
      </c>
      <c r="BK33" s="45">
        <f>'[3]Activity data'!BL554</f>
        <v>2703963.6433270597</v>
      </c>
      <c r="BL33" s="45">
        <f>'[3]Activity data'!BM554</f>
        <v>2726205.4316458735</v>
      </c>
      <c r="BM33" s="45">
        <f>'[3]Activity data'!BN554</f>
        <v>2748447.2199646872</v>
      </c>
      <c r="BN33" s="45">
        <f>'[3]Activity data'!BO554</f>
        <v>2770689.008283501</v>
      </c>
      <c r="BO33" s="45">
        <f>'[3]Activity data'!BP554</f>
        <v>2792930.7966023148</v>
      </c>
      <c r="BP33" s="45">
        <f>'[3]Activity data'!BQ554</f>
        <v>2815172.5849211286</v>
      </c>
      <c r="BR33" s="23"/>
    </row>
    <row r="34" spans="1:72" x14ac:dyDescent="0.25">
      <c r="A34" t="str">
        <f t="shared" si="43"/>
        <v>3C Aggregated and non-CO2 emissions on land</v>
      </c>
      <c r="B34" t="str">
        <f t="shared" si="43"/>
        <v>3C1 Biomass burning (CH4)</v>
      </c>
      <c r="C34" t="str">
        <f>C33</f>
        <v>3C1c Biomass burning in Grasslands</v>
      </c>
      <c r="D34" t="s">
        <v>356</v>
      </c>
      <c r="E34" t="str">
        <f t="shared" si="42"/>
        <v>Low shrublands - Burnt area</v>
      </c>
      <c r="F34" t="s">
        <v>361</v>
      </c>
      <c r="G34" t="s">
        <v>651</v>
      </c>
      <c r="H34" s="21">
        <v>178542.87430934826</v>
      </c>
      <c r="I34" s="21">
        <v>178542.87430934826</v>
      </c>
      <c r="J34" s="21">
        <v>178542.87430934826</v>
      </c>
      <c r="K34" s="21">
        <v>178542.87430934826</v>
      </c>
      <c r="L34" s="21">
        <v>178542.87430934826</v>
      </c>
      <c r="M34" s="21">
        <v>178542.87430934826</v>
      </c>
      <c r="N34" s="21">
        <v>178542.87430934826</v>
      </c>
      <c r="O34" s="21">
        <v>178542.87430934826</v>
      </c>
      <c r="P34" s="21">
        <v>178542.87430934826</v>
      </c>
      <c r="Q34" s="21">
        <v>178542.87430934826</v>
      </c>
      <c r="R34" s="21">
        <v>150097.10736673351</v>
      </c>
      <c r="S34" s="21">
        <v>126284.62238556995</v>
      </c>
      <c r="T34" s="21">
        <v>307393.3380998653</v>
      </c>
      <c r="U34" s="21">
        <v>191745.88197041591</v>
      </c>
      <c r="V34" s="21">
        <v>117193.42172415672</v>
      </c>
      <c r="W34" s="21">
        <v>198875.78299675265</v>
      </c>
      <c r="X34" s="21">
        <v>154365.81833719404</v>
      </c>
      <c r="Y34" s="21">
        <v>132837.67057806067</v>
      </c>
      <c r="Z34" s="21">
        <v>160872.7183029771</v>
      </c>
      <c r="AA34" s="21">
        <v>215212.25525127185</v>
      </c>
      <c r="AB34" s="21">
        <v>515229.30000000005</v>
      </c>
      <c r="AC34" s="21">
        <v>517662.54000000004</v>
      </c>
      <c r="AD34" s="45">
        <f>'[3]Activity data'!AE555</f>
        <v>273139.2561664434</v>
      </c>
      <c r="AE34" s="45">
        <f>'[3]Activity data'!AF555</f>
        <v>272318.52883358276</v>
      </c>
      <c r="AF34" s="45">
        <f>'[3]Activity data'!AG555</f>
        <v>271497.80150072213</v>
      </c>
      <c r="AG34" s="45">
        <f>'[3]Activity data'!AH555</f>
        <v>270677.07416786149</v>
      </c>
      <c r="AH34" s="45">
        <f>'[3]Activity data'!AI555</f>
        <v>269856.34683500085</v>
      </c>
      <c r="AI34" s="45">
        <f>'[3]Activity data'!AJ555</f>
        <v>269035.61950214021</v>
      </c>
      <c r="AJ34" s="45">
        <f>'[3]Activity data'!AK555</f>
        <v>268214.89216927957</v>
      </c>
      <c r="AK34" s="45">
        <f>'[3]Activity data'!AL555</f>
        <v>267394.16483641899</v>
      </c>
      <c r="AL34" s="45">
        <f>'[3]Activity data'!AM555</f>
        <v>266573.43750355835</v>
      </c>
      <c r="AM34" s="45">
        <f>'[3]Activity data'!AN555</f>
        <v>265752.71017069771</v>
      </c>
      <c r="AN34" s="45">
        <f>'[3]Activity data'!AO555</f>
        <v>264931.98283783707</v>
      </c>
      <c r="AO34" s="45">
        <f>'[3]Activity data'!AP555</f>
        <v>264111.25550497643</v>
      </c>
      <c r="AP34" s="45">
        <f>'[3]Activity data'!AQ555</f>
        <v>263290.5281721158</v>
      </c>
      <c r="AQ34" s="45">
        <f>'[3]Activity data'!AR555</f>
        <v>262469.80083925516</v>
      </c>
      <c r="AR34" s="45">
        <f>'[3]Activity data'!AS555</f>
        <v>261649.07350639458</v>
      </c>
      <c r="AS34" s="45">
        <f>'[3]Activity data'!AT555</f>
        <v>260828.34617353394</v>
      </c>
      <c r="AT34" s="45">
        <f>'[3]Activity data'!AU555</f>
        <v>260007.6188406733</v>
      </c>
      <c r="AU34" s="45">
        <f>'[3]Activity data'!AV555</f>
        <v>259186.89150781266</v>
      </c>
      <c r="AV34" s="45">
        <f>'[3]Activity data'!AW555</f>
        <v>258366.16417495205</v>
      </c>
      <c r="AW34" s="45">
        <f>'[3]Activity data'!AX555</f>
        <v>257545.43684209141</v>
      </c>
      <c r="AX34" s="45">
        <f>'[3]Activity data'!AY555</f>
        <v>256724.70950923077</v>
      </c>
      <c r="AY34" s="45">
        <f>'[3]Activity data'!AZ555</f>
        <v>255903.98217637016</v>
      </c>
      <c r="AZ34" s="45">
        <f>'[3]Activity data'!BA555</f>
        <v>255083.25484350952</v>
      </c>
      <c r="BA34" s="45">
        <f>'[3]Activity data'!BB555</f>
        <v>254262.52751064888</v>
      </c>
      <c r="BB34" s="45">
        <f>'[3]Activity data'!BC555</f>
        <v>253441.80017778825</v>
      </c>
      <c r="BC34" s="45">
        <f>'[3]Activity data'!BD555</f>
        <v>252621.07284492764</v>
      </c>
      <c r="BD34" s="45">
        <f>'[3]Activity data'!BE555</f>
        <v>251800.345512067</v>
      </c>
      <c r="BE34" s="45">
        <f>'[3]Activity data'!BF555</f>
        <v>250979.61817920636</v>
      </c>
      <c r="BF34" s="45">
        <f>'[3]Activity data'!BG555</f>
        <v>250158.89084634575</v>
      </c>
      <c r="BG34" s="45">
        <f>'[3]Activity data'!BH555</f>
        <v>249338.16351348511</v>
      </c>
      <c r="BH34" s="45">
        <f>'[3]Activity data'!BI555</f>
        <v>248517.43618062447</v>
      </c>
      <c r="BI34" s="45">
        <f>'[3]Activity data'!BJ555</f>
        <v>247696.70884776386</v>
      </c>
      <c r="BJ34" s="45">
        <f>'[3]Activity data'!BK555</f>
        <v>246875.98151490322</v>
      </c>
      <c r="BK34" s="45">
        <f>'[3]Activity data'!BL555</f>
        <v>246055.25418204258</v>
      </c>
      <c r="BL34" s="45">
        <f>'[3]Activity data'!BM555</f>
        <v>245234.52684918194</v>
      </c>
      <c r="BM34" s="45">
        <f>'[3]Activity data'!BN555</f>
        <v>244413.79951632133</v>
      </c>
      <c r="BN34" s="45">
        <f>'[3]Activity data'!BO555</f>
        <v>243593.0721834607</v>
      </c>
      <c r="BO34" s="45">
        <f>'[3]Activity data'!BP555</f>
        <v>242772.34485060006</v>
      </c>
      <c r="BP34" s="45">
        <f>'[3]Activity data'!BQ555</f>
        <v>241951.61751773945</v>
      </c>
      <c r="BR34" s="23"/>
    </row>
    <row r="35" spans="1:72" x14ac:dyDescent="0.25">
      <c r="A35" t="str">
        <f>A39</f>
        <v>3C Aggregated and non-CO2 emissions on land</v>
      </c>
      <c r="B35" t="str">
        <f>B39</f>
        <v>3C1 Biomass burning (CH4)</v>
      </c>
      <c r="C35" t="str">
        <f>C39</f>
        <v>3C1f Biomass burning in Other lands</v>
      </c>
      <c r="D35" t="s">
        <v>360</v>
      </c>
      <c r="E35" t="str">
        <f t="shared" si="42"/>
        <v>Degraded land - Burnt area</v>
      </c>
      <c r="F35" t="s">
        <v>361</v>
      </c>
      <c r="G35" t="s">
        <v>641</v>
      </c>
      <c r="H35" s="21">
        <v>61714.023576182241</v>
      </c>
      <c r="I35" s="21">
        <v>61714.023576182241</v>
      </c>
      <c r="J35" s="21">
        <v>61714.023576182241</v>
      </c>
      <c r="K35" s="21">
        <v>61714.023576182241</v>
      </c>
      <c r="L35" s="21">
        <v>61714.023576182241</v>
      </c>
      <c r="M35" s="21">
        <v>61714.023576182241</v>
      </c>
      <c r="N35" s="21">
        <v>61714.023576182241</v>
      </c>
      <c r="O35" s="21">
        <v>61714.023576182241</v>
      </c>
      <c r="P35" s="21">
        <v>61714.023576182241</v>
      </c>
      <c r="Q35" s="21">
        <v>61714.023576182241</v>
      </c>
      <c r="R35" s="21">
        <v>67907.115600353078</v>
      </c>
      <c r="S35" s="21">
        <v>61469.437974631524</v>
      </c>
      <c r="T35" s="21">
        <v>82282.28821979581</v>
      </c>
      <c r="U35" s="21">
        <v>24204.744908178855</v>
      </c>
      <c r="V35" s="21">
        <v>72706.53117795194</v>
      </c>
      <c r="W35" s="21">
        <v>89066.077545824955</v>
      </c>
      <c r="X35" s="21">
        <v>131960.85427061474</v>
      </c>
      <c r="Y35" s="21">
        <v>20074.478617841378</v>
      </c>
      <c r="Z35" s="21">
        <v>93911.641350131511</v>
      </c>
      <c r="AA35" s="21">
        <v>60961.807480847041</v>
      </c>
      <c r="AB35" s="21">
        <v>82046.16</v>
      </c>
      <c r="AC35" s="21">
        <v>96577.74</v>
      </c>
      <c r="AD35" s="45">
        <f>'[3]Activity data'!AE556</f>
        <v>57963.822619231716</v>
      </c>
      <c r="AE35" s="45">
        <f>'[3]Activity data'!AF556</f>
        <v>57963.822619231716</v>
      </c>
      <c r="AF35" s="45">
        <f>'[3]Activity data'!AG556</f>
        <v>57963.822619231716</v>
      </c>
      <c r="AG35" s="45">
        <f>'[3]Activity data'!AH556</f>
        <v>57963.822619231716</v>
      </c>
      <c r="AH35" s="45">
        <f>'[3]Activity data'!AI556</f>
        <v>57963.822619231716</v>
      </c>
      <c r="AI35" s="45">
        <f>'[3]Activity data'!AJ556</f>
        <v>57963.822619231716</v>
      </c>
      <c r="AJ35" s="45">
        <f>'[3]Activity data'!AK556</f>
        <v>57963.822619231716</v>
      </c>
      <c r="AK35" s="45">
        <f>'[3]Activity data'!AL556</f>
        <v>57963.822619231716</v>
      </c>
      <c r="AL35" s="45">
        <f>'[3]Activity data'!AM556</f>
        <v>57963.822619231716</v>
      </c>
      <c r="AM35" s="45">
        <f>'[3]Activity data'!AN556</f>
        <v>57963.822619231716</v>
      </c>
      <c r="AN35" s="45">
        <f>'[3]Activity data'!AO556</f>
        <v>57963.822619231716</v>
      </c>
      <c r="AO35" s="45">
        <f>'[3]Activity data'!AP556</f>
        <v>57963.822619231716</v>
      </c>
      <c r="AP35" s="45">
        <f>'[3]Activity data'!AQ556</f>
        <v>57963.822619231716</v>
      </c>
      <c r="AQ35" s="45">
        <f>'[3]Activity data'!AR556</f>
        <v>57963.822619231716</v>
      </c>
      <c r="AR35" s="45">
        <f>'[3]Activity data'!AS556</f>
        <v>57963.822619231716</v>
      </c>
      <c r="AS35" s="45">
        <f>'[3]Activity data'!AT556</f>
        <v>57963.822619231716</v>
      </c>
      <c r="AT35" s="45">
        <f>'[3]Activity data'!AU556</f>
        <v>57963.822619231716</v>
      </c>
      <c r="AU35" s="45">
        <f>'[3]Activity data'!AV556</f>
        <v>57963.822619231716</v>
      </c>
      <c r="AV35" s="45">
        <f>'[3]Activity data'!AW556</f>
        <v>57963.822619231716</v>
      </c>
      <c r="AW35" s="45">
        <f>'[3]Activity data'!AX556</f>
        <v>57963.822619231716</v>
      </c>
      <c r="AX35" s="45">
        <f>'[3]Activity data'!AY556</f>
        <v>57963.822619231716</v>
      </c>
      <c r="AY35" s="45">
        <f>'[3]Activity data'!AZ556</f>
        <v>57963.822619231716</v>
      </c>
      <c r="AZ35" s="45">
        <f>'[3]Activity data'!BA556</f>
        <v>57963.822619231716</v>
      </c>
      <c r="BA35" s="45">
        <f>'[3]Activity data'!BB556</f>
        <v>57963.822619231716</v>
      </c>
      <c r="BB35" s="45">
        <f>'[3]Activity data'!BC556</f>
        <v>57963.822619231716</v>
      </c>
      <c r="BC35" s="45">
        <f>'[3]Activity data'!BD556</f>
        <v>57963.822619231716</v>
      </c>
      <c r="BD35" s="45">
        <f>'[3]Activity data'!BE556</f>
        <v>57963.822619231716</v>
      </c>
      <c r="BE35" s="45">
        <f>'[3]Activity data'!BF556</f>
        <v>57963.822619231716</v>
      </c>
      <c r="BF35" s="45">
        <f>'[3]Activity data'!BG556</f>
        <v>57963.822619231716</v>
      </c>
      <c r="BG35" s="45">
        <f>'[3]Activity data'!BH556</f>
        <v>57963.822619231716</v>
      </c>
      <c r="BH35" s="45">
        <f>'[3]Activity data'!BI556</f>
        <v>57963.822619231716</v>
      </c>
      <c r="BI35" s="45">
        <f>'[3]Activity data'!BJ556</f>
        <v>57963.822619231716</v>
      </c>
      <c r="BJ35" s="45">
        <f>'[3]Activity data'!BK556</f>
        <v>57963.822619231716</v>
      </c>
      <c r="BK35" s="45">
        <f>'[3]Activity data'!BL556</f>
        <v>57963.822619231716</v>
      </c>
      <c r="BL35" s="45">
        <f>'[3]Activity data'!BM556</f>
        <v>57963.822619231716</v>
      </c>
      <c r="BM35" s="45">
        <f>'[3]Activity data'!BN556</f>
        <v>57963.822619231716</v>
      </c>
      <c r="BN35" s="45">
        <f>'[3]Activity data'!BO556</f>
        <v>57963.822619231716</v>
      </c>
      <c r="BO35" s="45">
        <f>'[3]Activity data'!BP556</f>
        <v>57963.822619231716</v>
      </c>
      <c r="BP35" s="45">
        <f>'[3]Activity data'!BQ556</f>
        <v>57963.822619231716</v>
      </c>
      <c r="BR35" s="23"/>
    </row>
    <row r="36" spans="1:72" x14ac:dyDescent="0.25">
      <c r="A36" t="str">
        <f>A34</f>
        <v>3C Aggregated and non-CO2 emissions on land</v>
      </c>
      <c r="B36" t="str">
        <f>B34</f>
        <v>3C1 Biomass burning (CH4)</v>
      </c>
      <c r="C36" t="str">
        <f>'IPCC Categories'!C62</f>
        <v>3C1d Biomass burning in Wetlands</v>
      </c>
      <c r="D36" t="s">
        <v>106</v>
      </c>
      <c r="E36" t="str">
        <f t="shared" si="42"/>
        <v>Wetlands - Burnt area</v>
      </c>
      <c r="F36" t="s">
        <v>361</v>
      </c>
      <c r="G36" t="s">
        <v>652</v>
      </c>
      <c r="H36" s="21">
        <v>85448.056571942725</v>
      </c>
      <c r="I36" s="21">
        <v>85448.056571942725</v>
      </c>
      <c r="J36" s="21">
        <v>85448.056571942725</v>
      </c>
      <c r="K36" s="21">
        <v>85448.056571942725</v>
      </c>
      <c r="L36" s="21">
        <v>85448.056571942725</v>
      </c>
      <c r="M36" s="21">
        <v>85448.056571942725</v>
      </c>
      <c r="N36" s="21">
        <v>85448.056571942725</v>
      </c>
      <c r="O36" s="21">
        <v>85448.056571942725</v>
      </c>
      <c r="P36" s="21">
        <v>85448.056571942725</v>
      </c>
      <c r="Q36" s="21">
        <v>85448.056571942725</v>
      </c>
      <c r="R36" s="21">
        <v>75590.795347182022</v>
      </c>
      <c r="S36" s="21">
        <v>91304.266541147488</v>
      </c>
      <c r="T36" s="21">
        <v>103348.95371185233</v>
      </c>
      <c r="U36" s="21">
        <v>84543.551328472182</v>
      </c>
      <c r="V36" s="21">
        <v>72452.715931059676</v>
      </c>
      <c r="W36" s="21">
        <v>107202.33064194373</v>
      </c>
      <c r="X36" s="21">
        <v>95157.643471238887</v>
      </c>
      <c r="Y36" s="21">
        <v>83828.253814503129</v>
      </c>
      <c r="Z36" s="21">
        <v>76444.537541274112</v>
      </c>
      <c r="AA36" s="21">
        <v>85858.775789641106</v>
      </c>
      <c r="AB36" s="21">
        <v>114912.98999999999</v>
      </c>
      <c r="AC36" s="21">
        <v>124110.54</v>
      </c>
      <c r="AD36" s="45">
        <f>'[3]Activity data'!AE557</f>
        <v>91537.108006573035</v>
      </c>
      <c r="AE36" s="45">
        <f>'[3]Activity data'!AF557</f>
        <v>91537.108006573035</v>
      </c>
      <c r="AF36" s="45">
        <f>'[3]Activity data'!AG557</f>
        <v>91537.108006573035</v>
      </c>
      <c r="AG36" s="45">
        <f>'[3]Activity data'!AH557</f>
        <v>91537.108006573035</v>
      </c>
      <c r="AH36" s="45">
        <f>'[3]Activity data'!AI557</f>
        <v>91537.108006573035</v>
      </c>
      <c r="AI36" s="45">
        <f>'[3]Activity data'!AJ557</f>
        <v>91537.108006573035</v>
      </c>
      <c r="AJ36" s="45">
        <f>'[3]Activity data'!AK557</f>
        <v>91537.108006573035</v>
      </c>
      <c r="AK36" s="45">
        <f>'[3]Activity data'!AL557</f>
        <v>91537.108006573035</v>
      </c>
      <c r="AL36" s="45">
        <f>'[3]Activity data'!AM557</f>
        <v>91537.108006573035</v>
      </c>
      <c r="AM36" s="45">
        <f>'[3]Activity data'!AN557</f>
        <v>91537.108006573035</v>
      </c>
      <c r="AN36" s="45">
        <f>'[3]Activity data'!AO557</f>
        <v>91537.108006573035</v>
      </c>
      <c r="AO36" s="45">
        <f>'[3]Activity data'!AP557</f>
        <v>91537.108006573035</v>
      </c>
      <c r="AP36" s="45">
        <f>'[3]Activity data'!AQ557</f>
        <v>91537.108006573035</v>
      </c>
      <c r="AQ36" s="45">
        <f>'[3]Activity data'!AR557</f>
        <v>91537.108006573035</v>
      </c>
      <c r="AR36" s="45">
        <f>'[3]Activity data'!AS557</f>
        <v>91537.108006573035</v>
      </c>
      <c r="AS36" s="45">
        <f>'[3]Activity data'!AT557</f>
        <v>91537.108006573035</v>
      </c>
      <c r="AT36" s="45">
        <f>'[3]Activity data'!AU557</f>
        <v>91537.108006573035</v>
      </c>
      <c r="AU36" s="45">
        <f>'[3]Activity data'!AV557</f>
        <v>91537.108006573035</v>
      </c>
      <c r="AV36" s="45">
        <f>'[3]Activity data'!AW557</f>
        <v>91537.108006573035</v>
      </c>
      <c r="AW36" s="45">
        <f>'[3]Activity data'!AX557</f>
        <v>91537.108006573035</v>
      </c>
      <c r="AX36" s="45">
        <f>'[3]Activity data'!AY557</f>
        <v>91537.108006573035</v>
      </c>
      <c r="AY36" s="45">
        <f>'[3]Activity data'!AZ557</f>
        <v>91537.108006573035</v>
      </c>
      <c r="AZ36" s="45">
        <f>'[3]Activity data'!BA557</f>
        <v>91537.108006573035</v>
      </c>
      <c r="BA36" s="45">
        <f>'[3]Activity data'!BB557</f>
        <v>91537.108006573035</v>
      </c>
      <c r="BB36" s="45">
        <f>'[3]Activity data'!BC557</f>
        <v>91537.108006573035</v>
      </c>
      <c r="BC36" s="45">
        <f>'[3]Activity data'!BD557</f>
        <v>91537.108006573035</v>
      </c>
      <c r="BD36" s="45">
        <f>'[3]Activity data'!BE557</f>
        <v>91537.108006573035</v>
      </c>
      <c r="BE36" s="45">
        <f>'[3]Activity data'!BF557</f>
        <v>91537.108006573035</v>
      </c>
      <c r="BF36" s="45">
        <f>'[3]Activity data'!BG557</f>
        <v>91537.108006573035</v>
      </c>
      <c r="BG36" s="45">
        <f>'[3]Activity data'!BH557</f>
        <v>91537.108006573035</v>
      </c>
      <c r="BH36" s="45">
        <f>'[3]Activity data'!BI557</f>
        <v>91537.108006573035</v>
      </c>
      <c r="BI36" s="45">
        <f>'[3]Activity data'!BJ557</f>
        <v>91537.108006573035</v>
      </c>
      <c r="BJ36" s="45">
        <f>'[3]Activity data'!BK557</f>
        <v>91537.108006573035</v>
      </c>
      <c r="BK36" s="45">
        <f>'[3]Activity data'!BL557</f>
        <v>91537.108006573035</v>
      </c>
      <c r="BL36" s="45">
        <f>'[3]Activity data'!BM557</f>
        <v>91537.108006573035</v>
      </c>
      <c r="BM36" s="45">
        <f>'[3]Activity data'!BN557</f>
        <v>91537.108006573035</v>
      </c>
      <c r="BN36" s="45">
        <f>'[3]Activity data'!BO557</f>
        <v>91537.108006573035</v>
      </c>
      <c r="BO36" s="45">
        <f>'[3]Activity data'!BP557</f>
        <v>91537.108006573035</v>
      </c>
      <c r="BP36" s="45">
        <f>'[3]Activity data'!BQ557</f>
        <v>91537.108006573035</v>
      </c>
      <c r="BR36" s="23"/>
    </row>
    <row r="37" spans="1:72" x14ac:dyDescent="0.25">
      <c r="A37" t="str">
        <f t="shared" ref="A37:B39" si="44">A36</f>
        <v>3C Aggregated and non-CO2 emissions on land</v>
      </c>
      <c r="B37" t="str">
        <f t="shared" si="44"/>
        <v>3C1 Biomass burning (CH4)</v>
      </c>
      <c r="C37" t="str">
        <f>'IPCC Categories'!C63</f>
        <v>3C1e Biomass burning in Settlements</v>
      </c>
      <c r="D37" t="s">
        <v>357</v>
      </c>
      <c r="E37" t="str">
        <f t="shared" si="42"/>
        <v>Settlements - Burnt area</v>
      </c>
      <c r="F37" t="s">
        <v>361</v>
      </c>
      <c r="G37" t="s">
        <v>653</v>
      </c>
      <c r="H37" s="21">
        <v>51833.688238067662</v>
      </c>
      <c r="I37" s="21">
        <v>51833.688238067662</v>
      </c>
      <c r="J37" s="21">
        <v>51833.688238067662</v>
      </c>
      <c r="K37" s="21">
        <v>51833.688238067662</v>
      </c>
      <c r="L37" s="21">
        <v>51833.688238067662</v>
      </c>
      <c r="M37" s="21">
        <v>51833.688238067662</v>
      </c>
      <c r="N37" s="21">
        <v>51833.688238067662</v>
      </c>
      <c r="O37" s="21">
        <v>51833.688238067662</v>
      </c>
      <c r="P37" s="21">
        <v>51833.688238067662</v>
      </c>
      <c r="Q37" s="21">
        <v>51833.688238067662</v>
      </c>
      <c r="R37" s="21">
        <v>56462.3553768481</v>
      </c>
      <c r="S37" s="21">
        <v>62530.847188908192</v>
      </c>
      <c r="T37" s="21">
        <v>55285.57559580222</v>
      </c>
      <c r="U37" s="21">
        <v>47694.192302388648</v>
      </c>
      <c r="V37" s="21">
        <v>37195.470726391148</v>
      </c>
      <c r="W37" s="21">
        <v>84220.513741518429</v>
      </c>
      <c r="X37" s="21">
        <v>73767.9403922286</v>
      </c>
      <c r="Y37" s="21">
        <v>81590.064819180581</v>
      </c>
      <c r="Z37" s="21">
        <v>50370.789451434168</v>
      </c>
      <c r="AA37" s="21">
        <v>60615.69578053942</v>
      </c>
      <c r="AB37" s="21">
        <v>45329.58</v>
      </c>
      <c r="AC37" s="21">
        <v>31595.4</v>
      </c>
      <c r="AD37" s="45">
        <f>'[3]Activity data'!AE558</f>
        <v>45569.714076613083</v>
      </c>
      <c r="AE37" s="45">
        <f>'[3]Activity data'!AF558</f>
        <v>45666.022187618808</v>
      </c>
      <c r="AF37" s="45">
        <f>'[3]Activity data'!AG558</f>
        <v>45762.330298624533</v>
      </c>
      <c r="AG37" s="45">
        <f>'[3]Activity data'!AH558</f>
        <v>45858.638409630257</v>
      </c>
      <c r="AH37" s="45">
        <f>'[3]Activity data'!AI558</f>
        <v>45954.946520635982</v>
      </c>
      <c r="AI37" s="45">
        <f>'[3]Activity data'!AJ558</f>
        <v>46051.254631641707</v>
      </c>
      <c r="AJ37" s="45">
        <f>'[3]Activity data'!AK558</f>
        <v>46147.562742647431</v>
      </c>
      <c r="AK37" s="45">
        <f>'[3]Activity data'!AL558</f>
        <v>46243.870853653156</v>
      </c>
      <c r="AL37" s="45">
        <f>'[3]Activity data'!AM558</f>
        <v>46340.17896465888</v>
      </c>
      <c r="AM37" s="45">
        <f>'[3]Activity data'!AN558</f>
        <v>46436.487075664612</v>
      </c>
      <c r="AN37" s="45">
        <f>'[3]Activity data'!AO558</f>
        <v>46532.795186670337</v>
      </c>
      <c r="AO37" s="45">
        <f>'[3]Activity data'!AP558</f>
        <v>46629.103297676062</v>
      </c>
      <c r="AP37" s="45">
        <f>'[3]Activity data'!AQ558</f>
        <v>46725.411408681786</v>
      </c>
      <c r="AQ37" s="45">
        <f>'[3]Activity data'!AR558</f>
        <v>46821.719519687511</v>
      </c>
      <c r="AR37" s="45">
        <f>'[3]Activity data'!AS558</f>
        <v>46918.027630693236</v>
      </c>
      <c r="AS37" s="45">
        <f>'[3]Activity data'!AT558</f>
        <v>47014.33574169896</v>
      </c>
      <c r="AT37" s="45">
        <f>'[3]Activity data'!AU558</f>
        <v>47110.643852704685</v>
      </c>
      <c r="AU37" s="45">
        <f>'[3]Activity data'!AV558</f>
        <v>47206.951963710409</v>
      </c>
      <c r="AV37" s="45">
        <f>'[3]Activity data'!AW558</f>
        <v>47303.260074716134</v>
      </c>
      <c r="AW37" s="45">
        <f>'[3]Activity data'!AX558</f>
        <v>47399.568185721859</v>
      </c>
      <c r="AX37" s="45">
        <f>'[3]Activity data'!AY558</f>
        <v>47495.876296727583</v>
      </c>
      <c r="AY37" s="45">
        <f>'[3]Activity data'!AZ558</f>
        <v>47592.184407733308</v>
      </c>
      <c r="AZ37" s="45">
        <f>'[3]Activity data'!BA558</f>
        <v>47688.492518739033</v>
      </c>
      <c r="BA37" s="45">
        <f>'[3]Activity data'!BB558</f>
        <v>47784.800629744757</v>
      </c>
      <c r="BB37" s="45">
        <f>'[3]Activity data'!BC558</f>
        <v>47881.108740750482</v>
      </c>
      <c r="BC37" s="45">
        <f>'[3]Activity data'!BD558</f>
        <v>47977.416851756207</v>
      </c>
      <c r="BD37" s="45">
        <f>'[3]Activity data'!BE558</f>
        <v>48073.724962761939</v>
      </c>
      <c r="BE37" s="45">
        <f>'[3]Activity data'!BF558</f>
        <v>48170.033073767663</v>
      </c>
      <c r="BF37" s="45">
        <f>'[3]Activity data'!BG558</f>
        <v>48266.341184773388</v>
      </c>
      <c r="BG37" s="45">
        <f>'[3]Activity data'!BH558</f>
        <v>48362.649295779112</v>
      </c>
      <c r="BH37" s="45">
        <f>'[3]Activity data'!BI558</f>
        <v>48458.957406784837</v>
      </c>
      <c r="BI37" s="45">
        <f>'[3]Activity data'!BJ558</f>
        <v>48555.265517790562</v>
      </c>
      <c r="BJ37" s="45">
        <f>'[3]Activity data'!BK558</f>
        <v>48651.573628796286</v>
      </c>
      <c r="BK37" s="45">
        <f>'[3]Activity data'!BL558</f>
        <v>48747.881739802011</v>
      </c>
      <c r="BL37" s="45">
        <f>'[3]Activity data'!BM558</f>
        <v>48844.189850807736</v>
      </c>
      <c r="BM37" s="45">
        <f>'[3]Activity data'!BN558</f>
        <v>48940.49796181346</v>
      </c>
      <c r="BN37" s="45">
        <f>'[3]Activity data'!BO558</f>
        <v>49036.806072819185</v>
      </c>
      <c r="BO37" s="45">
        <f>'[3]Activity data'!BP558</f>
        <v>49133.11418382491</v>
      </c>
      <c r="BP37" s="45">
        <f>'[3]Activity data'!BQ558</f>
        <v>49229.422294830634</v>
      </c>
      <c r="BR37" s="23"/>
    </row>
    <row r="38" spans="1:72" x14ac:dyDescent="0.25">
      <c r="A38" t="str">
        <f t="shared" si="44"/>
        <v>3C Aggregated and non-CO2 emissions on land</v>
      </c>
      <c r="B38" t="str">
        <f t="shared" si="44"/>
        <v>3C1 Biomass burning (CH4)</v>
      </c>
      <c r="C38" t="str">
        <f>C37</f>
        <v>3C1e Biomass burning in Settlements</v>
      </c>
      <c r="D38" t="s">
        <v>358</v>
      </c>
      <c r="E38" t="str">
        <f t="shared" si="42"/>
        <v>Mines - Burnt area</v>
      </c>
      <c r="F38" t="s">
        <v>361</v>
      </c>
      <c r="G38" t="s">
        <v>654</v>
      </c>
      <c r="H38" s="21">
        <v>0</v>
      </c>
      <c r="I38" s="21">
        <v>0</v>
      </c>
      <c r="J38" s="21">
        <v>0</v>
      </c>
      <c r="K38" s="21">
        <v>0</v>
      </c>
      <c r="L38" s="21">
        <v>0</v>
      </c>
      <c r="M38" s="21">
        <v>0</v>
      </c>
      <c r="N38" s="21">
        <v>0</v>
      </c>
      <c r="O38" s="21">
        <v>0</v>
      </c>
      <c r="P38" s="21">
        <v>0</v>
      </c>
      <c r="Q38" s="21">
        <v>0</v>
      </c>
      <c r="R38" s="21">
        <v>0</v>
      </c>
      <c r="S38" s="21">
        <v>0</v>
      </c>
      <c r="T38" s="21">
        <v>0</v>
      </c>
      <c r="U38" s="21">
        <v>0</v>
      </c>
      <c r="V38" s="21">
        <v>0</v>
      </c>
      <c r="W38" s="21">
        <v>0</v>
      </c>
      <c r="X38" s="21">
        <v>0</v>
      </c>
      <c r="Y38" s="21">
        <v>0</v>
      </c>
      <c r="Z38" s="21">
        <v>0</v>
      </c>
      <c r="AA38" s="21">
        <v>0</v>
      </c>
      <c r="AB38" s="21">
        <v>0</v>
      </c>
      <c r="AC38" s="21">
        <v>0</v>
      </c>
      <c r="AD38" s="45">
        <f>'[3]Activity data'!AE559</f>
        <v>0</v>
      </c>
      <c r="AE38" s="45">
        <f>'[3]Activity data'!AF559</f>
        <v>0</v>
      </c>
      <c r="AF38" s="45">
        <f>'[3]Activity data'!AG559</f>
        <v>0</v>
      </c>
      <c r="AG38" s="45">
        <f>'[3]Activity data'!AH559</f>
        <v>0</v>
      </c>
      <c r="AH38" s="45">
        <f>'[3]Activity data'!AI559</f>
        <v>0</v>
      </c>
      <c r="AI38" s="45">
        <f>'[3]Activity data'!AJ559</f>
        <v>0</v>
      </c>
      <c r="AJ38" s="45">
        <f>'[3]Activity data'!AK559</f>
        <v>0</v>
      </c>
      <c r="AK38" s="45">
        <f>'[3]Activity data'!AL559</f>
        <v>0</v>
      </c>
      <c r="AL38" s="45">
        <f>'[3]Activity data'!AM559</f>
        <v>0</v>
      </c>
      <c r="AM38" s="45">
        <f>'[3]Activity data'!AN559</f>
        <v>0</v>
      </c>
      <c r="AN38" s="45">
        <f>'[3]Activity data'!AO559</f>
        <v>0</v>
      </c>
      <c r="AO38" s="45">
        <f>'[3]Activity data'!AP559</f>
        <v>0</v>
      </c>
      <c r="AP38" s="45">
        <f>'[3]Activity data'!AQ559</f>
        <v>0</v>
      </c>
      <c r="AQ38" s="45">
        <f>'[3]Activity data'!AR559</f>
        <v>0</v>
      </c>
      <c r="AR38" s="45">
        <f>'[3]Activity data'!AS559</f>
        <v>0</v>
      </c>
      <c r="AS38" s="45">
        <f>'[3]Activity data'!AT559</f>
        <v>0</v>
      </c>
      <c r="AT38" s="45">
        <f>'[3]Activity data'!AU559</f>
        <v>0</v>
      </c>
      <c r="AU38" s="45">
        <f>'[3]Activity data'!AV559</f>
        <v>0</v>
      </c>
      <c r="AV38" s="45">
        <f>'[3]Activity data'!AW559</f>
        <v>0</v>
      </c>
      <c r="AW38" s="45">
        <f>'[3]Activity data'!AX559</f>
        <v>0</v>
      </c>
      <c r="AX38" s="45">
        <f>'[3]Activity data'!AY559</f>
        <v>0</v>
      </c>
      <c r="AY38" s="45">
        <f>'[3]Activity data'!AZ559</f>
        <v>0</v>
      </c>
      <c r="AZ38" s="45">
        <f>'[3]Activity data'!BA559</f>
        <v>0</v>
      </c>
      <c r="BA38" s="45">
        <f>'[3]Activity data'!BB559</f>
        <v>0</v>
      </c>
      <c r="BB38" s="45">
        <f>'[3]Activity data'!BC559</f>
        <v>0</v>
      </c>
      <c r="BC38" s="45">
        <f>'[3]Activity data'!BD559</f>
        <v>0</v>
      </c>
      <c r="BD38" s="45">
        <f>'[3]Activity data'!BE559</f>
        <v>0</v>
      </c>
      <c r="BE38" s="45">
        <f>'[3]Activity data'!BF559</f>
        <v>0</v>
      </c>
      <c r="BF38" s="45">
        <f>'[3]Activity data'!BG559</f>
        <v>0</v>
      </c>
      <c r="BG38" s="45">
        <f>'[3]Activity data'!BH559</f>
        <v>0</v>
      </c>
      <c r="BH38" s="45">
        <f>'[3]Activity data'!BI559</f>
        <v>0</v>
      </c>
      <c r="BI38" s="45">
        <f>'[3]Activity data'!BJ559</f>
        <v>0</v>
      </c>
      <c r="BJ38" s="45">
        <f>'[3]Activity data'!BK559</f>
        <v>0</v>
      </c>
      <c r="BK38" s="45">
        <f>'[3]Activity data'!BL559</f>
        <v>0</v>
      </c>
      <c r="BL38" s="45">
        <f>'[3]Activity data'!BM559</f>
        <v>0</v>
      </c>
      <c r="BM38" s="45">
        <f>'[3]Activity data'!BN559</f>
        <v>0</v>
      </c>
      <c r="BN38" s="45">
        <f>'[3]Activity data'!BO559</f>
        <v>0</v>
      </c>
      <c r="BO38" s="45">
        <f>'[3]Activity data'!BP559</f>
        <v>0</v>
      </c>
      <c r="BP38" s="45">
        <f>'[3]Activity data'!BQ559</f>
        <v>0</v>
      </c>
      <c r="BR38" s="23"/>
    </row>
    <row r="39" spans="1:72" x14ac:dyDescent="0.25">
      <c r="A39" t="str">
        <f t="shared" si="44"/>
        <v>3C Aggregated and non-CO2 emissions on land</v>
      </c>
      <c r="B39" t="str">
        <f t="shared" si="44"/>
        <v>3C1 Biomass burning (CH4)</v>
      </c>
      <c r="C39" t="str">
        <f>'IPCC Categories'!C64</f>
        <v>3C1f Biomass burning in Other lands</v>
      </c>
      <c r="D39" t="s">
        <v>359</v>
      </c>
      <c r="E39" t="str">
        <f t="shared" si="42"/>
        <v>Bare ground - Burnt area</v>
      </c>
      <c r="F39" t="s">
        <v>361</v>
      </c>
      <c r="G39" t="s">
        <v>655</v>
      </c>
      <c r="H39" s="21">
        <v>0</v>
      </c>
      <c r="I39" s="21">
        <v>0</v>
      </c>
      <c r="J39" s="21">
        <v>0</v>
      </c>
      <c r="K39" s="21">
        <v>0</v>
      </c>
      <c r="L39" s="21">
        <v>0</v>
      </c>
      <c r="M39" s="21">
        <v>0</v>
      </c>
      <c r="N39" s="21">
        <v>0</v>
      </c>
      <c r="O39" s="21">
        <v>0</v>
      </c>
      <c r="P39" s="21">
        <v>0</v>
      </c>
      <c r="Q39" s="21">
        <v>0</v>
      </c>
      <c r="R39" s="21">
        <v>0</v>
      </c>
      <c r="S39" s="21">
        <v>0</v>
      </c>
      <c r="T39" s="21">
        <v>0</v>
      </c>
      <c r="U39" s="21">
        <v>0</v>
      </c>
      <c r="V39" s="21">
        <v>0</v>
      </c>
      <c r="W39" s="21">
        <v>0</v>
      </c>
      <c r="X39" s="21">
        <v>0</v>
      </c>
      <c r="Y39" s="21">
        <v>0</v>
      </c>
      <c r="Z39" s="21">
        <v>0</v>
      </c>
      <c r="AA39" s="21">
        <v>0</v>
      </c>
      <c r="AB39" s="21">
        <v>0</v>
      </c>
      <c r="AC39" s="21">
        <v>0</v>
      </c>
      <c r="AD39" s="45">
        <f>'[3]Activity data'!AE560</f>
        <v>0</v>
      </c>
      <c r="AE39" s="45">
        <f>'[3]Activity data'!AF560</f>
        <v>0</v>
      </c>
      <c r="AF39" s="45">
        <f>'[3]Activity data'!AG560</f>
        <v>0</v>
      </c>
      <c r="AG39" s="45">
        <f>'[3]Activity data'!AH560</f>
        <v>0</v>
      </c>
      <c r="AH39" s="45">
        <f>'[3]Activity data'!AI560</f>
        <v>0</v>
      </c>
      <c r="AI39" s="45">
        <f>'[3]Activity data'!AJ560</f>
        <v>0</v>
      </c>
      <c r="AJ39" s="45">
        <f>'[3]Activity data'!AK560</f>
        <v>0</v>
      </c>
      <c r="AK39" s="45">
        <f>'[3]Activity data'!AL560</f>
        <v>0</v>
      </c>
      <c r="AL39" s="45">
        <f>'[3]Activity data'!AM560</f>
        <v>0</v>
      </c>
      <c r="AM39" s="45">
        <f>'[3]Activity data'!AN560</f>
        <v>0</v>
      </c>
      <c r="AN39" s="45">
        <f>'[3]Activity data'!AO560</f>
        <v>0</v>
      </c>
      <c r="AO39" s="45">
        <f>'[3]Activity data'!AP560</f>
        <v>0</v>
      </c>
      <c r="AP39" s="45">
        <f>'[3]Activity data'!AQ560</f>
        <v>0</v>
      </c>
      <c r="AQ39" s="45">
        <f>'[3]Activity data'!AR560</f>
        <v>0</v>
      </c>
      <c r="AR39" s="45">
        <f>'[3]Activity data'!AS560</f>
        <v>0</v>
      </c>
      <c r="AS39" s="45">
        <f>'[3]Activity data'!AT560</f>
        <v>0</v>
      </c>
      <c r="AT39" s="45">
        <f>'[3]Activity data'!AU560</f>
        <v>0</v>
      </c>
      <c r="AU39" s="45">
        <f>'[3]Activity data'!AV560</f>
        <v>0</v>
      </c>
      <c r="AV39" s="45">
        <f>'[3]Activity data'!AW560</f>
        <v>0</v>
      </c>
      <c r="AW39" s="45">
        <f>'[3]Activity data'!AX560</f>
        <v>0</v>
      </c>
      <c r="AX39" s="45">
        <f>'[3]Activity data'!AY560</f>
        <v>0</v>
      </c>
      <c r="AY39" s="45">
        <f>'[3]Activity data'!AZ560</f>
        <v>0</v>
      </c>
      <c r="AZ39" s="45">
        <f>'[3]Activity data'!BA560</f>
        <v>0</v>
      </c>
      <c r="BA39" s="45">
        <f>'[3]Activity data'!BB560</f>
        <v>0</v>
      </c>
      <c r="BB39" s="45">
        <f>'[3]Activity data'!BC560</f>
        <v>0</v>
      </c>
      <c r="BC39" s="45">
        <f>'[3]Activity data'!BD560</f>
        <v>0</v>
      </c>
      <c r="BD39" s="45">
        <f>'[3]Activity data'!BE560</f>
        <v>0</v>
      </c>
      <c r="BE39" s="45">
        <f>'[3]Activity data'!BF560</f>
        <v>0</v>
      </c>
      <c r="BF39" s="45">
        <f>'[3]Activity data'!BG560</f>
        <v>0</v>
      </c>
      <c r="BG39" s="45">
        <f>'[3]Activity data'!BH560</f>
        <v>0</v>
      </c>
      <c r="BH39" s="45">
        <f>'[3]Activity data'!BI560</f>
        <v>0</v>
      </c>
      <c r="BI39" s="45">
        <f>'[3]Activity data'!BJ560</f>
        <v>0</v>
      </c>
      <c r="BJ39" s="45">
        <f>'[3]Activity data'!BK560</f>
        <v>0</v>
      </c>
      <c r="BK39" s="45">
        <f>'[3]Activity data'!BL560</f>
        <v>0</v>
      </c>
      <c r="BL39" s="45">
        <f>'[3]Activity data'!BM560</f>
        <v>0</v>
      </c>
      <c r="BM39" s="45">
        <f>'[3]Activity data'!BN560</f>
        <v>0</v>
      </c>
      <c r="BN39" s="45">
        <f>'[3]Activity data'!BO560</f>
        <v>0</v>
      </c>
      <c r="BO39" s="45">
        <f>'[3]Activity data'!BP560</f>
        <v>0</v>
      </c>
      <c r="BP39" s="45">
        <f>'[3]Activity data'!BQ560</f>
        <v>0</v>
      </c>
      <c r="BR39" s="23"/>
    </row>
    <row r="40" spans="1:72" ht="18.75" customHeight="1" x14ac:dyDescent="0.25">
      <c r="A40" s="20" t="s">
        <v>368</v>
      </c>
      <c r="B40" s="20"/>
      <c r="C40" s="20"/>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S40" s="16"/>
      <c r="BT40" s="15"/>
    </row>
    <row r="41" spans="1:72" x14ac:dyDescent="0.25">
      <c r="A41" t="str">
        <f>'IPCC Categories'!A59</f>
        <v>3C Aggregated and non-CO2 emissions on land</v>
      </c>
      <c r="D41" t="s">
        <v>367</v>
      </c>
      <c r="F41" t="s">
        <v>361</v>
      </c>
      <c r="H41" s="21">
        <v>4163000</v>
      </c>
      <c r="I41" s="21">
        <v>3816000</v>
      </c>
      <c r="J41" s="21">
        <v>4173000</v>
      </c>
      <c r="K41" s="21">
        <v>4377000</v>
      </c>
      <c r="L41" s="21">
        <v>4661000</v>
      </c>
      <c r="M41" s="21">
        <v>3526000</v>
      </c>
      <c r="N41" s="21">
        <v>3761000</v>
      </c>
      <c r="O41" s="21">
        <v>4023000</v>
      </c>
      <c r="P41" s="21">
        <v>3560000</v>
      </c>
      <c r="Q41" s="21">
        <v>3567000</v>
      </c>
      <c r="R41" s="21">
        <v>4013000</v>
      </c>
      <c r="S41" s="21">
        <v>3189000</v>
      </c>
      <c r="T41" s="21">
        <v>3533000</v>
      </c>
      <c r="U41" s="21">
        <v>3651000</v>
      </c>
      <c r="V41" s="21">
        <v>3204000</v>
      </c>
      <c r="W41" s="21">
        <v>3223000</v>
      </c>
      <c r="X41" s="21">
        <v>2032000</v>
      </c>
      <c r="Y41" s="21">
        <v>2897000</v>
      </c>
      <c r="Z41" s="21">
        <v>3297000</v>
      </c>
      <c r="AA41" s="21">
        <v>2896000</v>
      </c>
      <c r="AB41" s="21">
        <v>3263000</v>
      </c>
      <c r="AC41" s="21">
        <v>2859000</v>
      </c>
      <c r="AD41" s="22">
        <f>((Data!$AJ$42*LN('Net zero Intermediate calcs'!X60))+Data!$AK$42)</f>
        <v>3507287.7345839478</v>
      </c>
      <c r="AE41" s="22">
        <f>((Data!$AJ$42*LN('Intermediate calculations'!Y60))+Data!$AK$42)</f>
        <v>3516732.0948724914</v>
      </c>
      <c r="AF41" s="22">
        <f>((Data!$AJ$42*LN('Intermediate calculations'!Z60))+Data!$AK$42)</f>
        <v>3529637.8787537683</v>
      </c>
      <c r="AG41" s="22">
        <f>((Data!$AJ$42*LN('Intermediate calculations'!AA60))+Data!$AK$42)</f>
        <v>3539005.7664388958</v>
      </c>
      <c r="AH41" s="22">
        <f>((Data!$AJ$42*LN('Intermediate calculations'!AB60))+Data!$AK$42)</f>
        <v>3543567.8579666261</v>
      </c>
      <c r="AI41" s="22">
        <f>((Data!$AJ$42*LN('Intermediate calculations'!AC60))+Data!$AK$42)</f>
        <v>3548070.6866584886</v>
      </c>
      <c r="AJ41" s="22">
        <f>((Data!$AJ$42*LN('Intermediate calculations'!AD60))+Data!$AK$42)</f>
        <v>3554882.3741304055</v>
      </c>
      <c r="AK41" s="22">
        <f>((Data!$AJ$42*LN('Intermediate calculations'!AE60))+Data!$AK$42)</f>
        <v>3562340.1739368942</v>
      </c>
      <c r="AL41" s="22">
        <f>((Data!$AJ$42*LN('Intermediate calculations'!AF60))+Data!$AK$42)</f>
        <v>3564780.8503938634</v>
      </c>
      <c r="AM41" s="22">
        <f>((Data!$AJ$42*LN('Intermediate calculations'!AG60))+Data!$AK$42)</f>
        <v>3519949.5778955258</v>
      </c>
      <c r="AN41" s="22">
        <f>((Data!$AJ$42*LN('Intermediate calculations'!AH60))+Data!$AK$42)</f>
        <v>3533933.9685055744</v>
      </c>
      <c r="AO41" s="22">
        <f>((Data!$AJ$42*LN('Intermediate calculations'!AI60))+Data!$AK$42)</f>
        <v>3546507.0104061235</v>
      </c>
      <c r="AP41" s="22">
        <f>((Data!$AJ$42*LN('Intermediate calculations'!AJ60))+Data!$AK$42)</f>
        <v>3558963.4972859081</v>
      </c>
      <c r="AQ41" s="22">
        <f>((Data!$AJ$42*LN('Intermediate calculations'!AK60))+Data!$AK$42)</f>
        <v>3573262.2470776215</v>
      </c>
      <c r="AR41" s="22">
        <f>((Data!$AJ$42*LN('Intermediate calculations'!AL60))+Data!$AK$42)</f>
        <v>3587405.8058264162</v>
      </c>
      <c r="AS41" s="22">
        <f>((Data!$AJ$42*LN('Intermediate calculations'!AM60))+Data!$AK$42)</f>
        <v>3601745.6054545324</v>
      </c>
      <c r="AT41" s="22">
        <f>((Data!$AJ$42*LN('Intermediate calculations'!AN60))+Data!$AK$42)</f>
        <v>3615475.0259070657</v>
      </c>
      <c r="AU41" s="22">
        <f>((Data!$AJ$42*LN('Intermediate calculations'!AO60))+Data!$AK$42)</f>
        <v>3629791.2703763209</v>
      </c>
      <c r="AV41" s="22">
        <f>((Data!$AJ$42*LN('Intermediate calculations'!AP60))+Data!$AK$42)</f>
        <v>3643090.104685409</v>
      </c>
      <c r="AW41" s="22">
        <f>((Data!$AJ$42*LN('Intermediate calculations'!AQ60))+Data!$AK$42)</f>
        <v>3656507.5733412746</v>
      </c>
      <c r="AX41" s="22">
        <f>((Data!$AJ$42*LN('Intermediate calculations'!AR60))+Data!$AK$42)</f>
        <v>3672120.9606841598</v>
      </c>
      <c r="AY41" s="22">
        <f>((Data!$AJ$42*LN('Intermediate calculations'!AS60))+Data!$AK$42)</f>
        <v>3688603.9208228998</v>
      </c>
      <c r="AZ41" s="22">
        <f>((Data!$AJ$42*LN('Intermediate calculations'!AT60))+Data!$AK$42)</f>
        <v>3705294.7984956801</v>
      </c>
      <c r="BA41" s="22">
        <f>((Data!$AJ$42*LN('Intermediate calculations'!AU60))+Data!$AK$42)</f>
        <v>3708607.220119413</v>
      </c>
      <c r="BB41" s="22">
        <f>((Data!$AJ$42*LN('Intermediate calculations'!AV60))+Data!$AK$42)</f>
        <v>2332111.5264832824</v>
      </c>
      <c r="BC41" s="22">
        <f>((Data!$AJ$42*LN('Intermediate calculations'!AW60))+Data!$AK$42)</f>
        <v>2329676.2879809625</v>
      </c>
      <c r="BD41" s="22">
        <f>((Data!$AJ$42*LN('Intermediate calculations'!AX60))+Data!$AK$42)</f>
        <v>2327215.4146325253</v>
      </c>
      <c r="BE41" s="22">
        <f>((Data!$AJ$42*LN('Intermediate calculations'!AY60))+Data!$AK$42)</f>
        <v>2324728.5532853026</v>
      </c>
      <c r="BF41" s="22">
        <f>((Data!$AJ$42*LN('Intermediate calculations'!AZ60))+Data!$AK$42)</f>
        <v>2322215.3441441413</v>
      </c>
      <c r="BG41" s="22">
        <f>((Data!$AJ$42*LN('Intermediate calculations'!BA60))+Data!$AK$42)</f>
        <v>2319675.4206056185</v>
      </c>
      <c r="BH41" s="22">
        <f>((Data!$AJ$42*LN('Intermediate calculations'!BB60))+Data!$AK$42)</f>
        <v>2317498.2376428582</v>
      </c>
      <c r="BI41" s="22">
        <f>((Data!$AJ$42*LN('Intermediate calculations'!BC60))+Data!$AK$42)</f>
        <v>2315301.3054300416</v>
      </c>
      <c r="BJ41" s="22">
        <f>((Data!$AJ$42*LN('Intermediate calculations'!BD60))+Data!$AK$42)</f>
        <v>2313084.3876609504</v>
      </c>
      <c r="BK41" s="22">
        <f>((Data!$AJ$42*LN('Intermediate calculations'!BE60))+Data!$AK$42)</f>
        <v>2310847.2441526428</v>
      </c>
      <c r="BL41" s="22">
        <f>((Data!$AJ$42*LN('Intermediate calculations'!BF60))+Data!$AK$42)</f>
        <v>2308589.6307610366</v>
      </c>
      <c r="BM41" s="22">
        <f>((Data!$AJ$42*LN('Intermediate calculations'!BG60))+Data!$AK$42)</f>
        <v>2306717.5352260265</v>
      </c>
      <c r="BN41" s="22">
        <f>((Data!$AJ$42*LN('Intermediate calculations'!BH60))+Data!$AK$42)</f>
        <v>2304831.2883366328</v>
      </c>
      <c r="BO41" s="22">
        <f>((Data!$AJ$42*LN('Intermediate calculations'!BI60))+Data!$AK$42)</f>
        <v>2302930.748041559</v>
      </c>
      <c r="BP41" s="22">
        <f>((Data!$AJ$42*LN('Intermediate calculations'!BJ60))+Data!$AK$42)</f>
        <v>2301015.770327948</v>
      </c>
      <c r="BR41" s="23"/>
    </row>
    <row r="42" spans="1:72" x14ac:dyDescent="0.25">
      <c r="A42" t="str">
        <f>A41</f>
        <v>3C Aggregated and non-CO2 emissions on land</v>
      </c>
      <c r="D42" t="s">
        <v>370</v>
      </c>
      <c r="F42" t="s">
        <v>361</v>
      </c>
      <c r="H42" s="21">
        <v>1563000</v>
      </c>
      <c r="I42" s="21">
        <v>1436000</v>
      </c>
      <c r="J42" s="21">
        <v>750000</v>
      </c>
      <c r="K42" s="21">
        <v>1075000</v>
      </c>
      <c r="L42" s="21">
        <v>1048000</v>
      </c>
      <c r="M42" s="21">
        <v>1363000</v>
      </c>
      <c r="N42" s="21">
        <v>1294000</v>
      </c>
      <c r="O42" s="21">
        <v>1382000</v>
      </c>
      <c r="P42" s="21">
        <v>745000</v>
      </c>
      <c r="Q42" s="21">
        <v>718000</v>
      </c>
      <c r="R42" s="21">
        <v>934000</v>
      </c>
      <c r="S42" s="21">
        <v>974000</v>
      </c>
      <c r="T42" s="21">
        <v>941000</v>
      </c>
      <c r="U42" s="21">
        <v>748000</v>
      </c>
      <c r="V42" s="21">
        <v>830000</v>
      </c>
      <c r="W42" s="21">
        <v>805000</v>
      </c>
      <c r="X42" s="21">
        <v>765000</v>
      </c>
      <c r="Y42" s="21">
        <v>632000</v>
      </c>
      <c r="Z42" s="21">
        <v>748000</v>
      </c>
      <c r="AA42" s="21">
        <v>642000</v>
      </c>
      <c r="AB42" s="21">
        <v>558000</v>
      </c>
      <c r="AC42" s="21">
        <v>605000</v>
      </c>
      <c r="AD42" s="22">
        <f>Data!$AD$46</f>
        <v>492000</v>
      </c>
      <c r="AE42" s="22">
        <f t="shared" ref="AE42:BP42" si="45">AD42</f>
        <v>492000</v>
      </c>
      <c r="AF42" s="22">
        <f t="shared" si="45"/>
        <v>492000</v>
      </c>
      <c r="AG42" s="22">
        <f t="shared" si="45"/>
        <v>492000</v>
      </c>
      <c r="AH42" s="22">
        <f t="shared" si="45"/>
        <v>492000</v>
      </c>
      <c r="AI42" s="22">
        <f t="shared" si="45"/>
        <v>492000</v>
      </c>
      <c r="AJ42" s="22">
        <f t="shared" si="45"/>
        <v>492000</v>
      </c>
      <c r="AK42" s="22">
        <f t="shared" si="45"/>
        <v>492000</v>
      </c>
      <c r="AL42" s="22">
        <f t="shared" si="45"/>
        <v>492000</v>
      </c>
      <c r="AM42" s="22">
        <f t="shared" si="45"/>
        <v>492000</v>
      </c>
      <c r="AN42" s="22">
        <f t="shared" si="45"/>
        <v>492000</v>
      </c>
      <c r="AO42" s="22">
        <f t="shared" si="45"/>
        <v>492000</v>
      </c>
      <c r="AP42" s="22">
        <f t="shared" si="45"/>
        <v>492000</v>
      </c>
      <c r="AQ42" s="22">
        <f t="shared" si="45"/>
        <v>492000</v>
      </c>
      <c r="AR42" s="22">
        <f t="shared" si="45"/>
        <v>492000</v>
      </c>
      <c r="AS42" s="22">
        <f t="shared" si="45"/>
        <v>492000</v>
      </c>
      <c r="AT42" s="22">
        <f t="shared" si="45"/>
        <v>492000</v>
      </c>
      <c r="AU42" s="22">
        <f t="shared" si="45"/>
        <v>492000</v>
      </c>
      <c r="AV42" s="22">
        <f t="shared" si="45"/>
        <v>492000</v>
      </c>
      <c r="AW42" s="22">
        <f t="shared" si="45"/>
        <v>492000</v>
      </c>
      <c r="AX42" s="22">
        <f t="shared" si="45"/>
        <v>492000</v>
      </c>
      <c r="AY42" s="22">
        <f t="shared" si="45"/>
        <v>492000</v>
      </c>
      <c r="AZ42" s="22">
        <f t="shared" si="45"/>
        <v>492000</v>
      </c>
      <c r="BA42" s="22">
        <f t="shared" si="45"/>
        <v>492000</v>
      </c>
      <c r="BB42" s="22">
        <f t="shared" si="45"/>
        <v>492000</v>
      </c>
      <c r="BC42" s="22">
        <f t="shared" si="45"/>
        <v>492000</v>
      </c>
      <c r="BD42" s="22">
        <f t="shared" si="45"/>
        <v>492000</v>
      </c>
      <c r="BE42" s="22">
        <f t="shared" si="45"/>
        <v>492000</v>
      </c>
      <c r="BF42" s="22">
        <f t="shared" si="45"/>
        <v>492000</v>
      </c>
      <c r="BG42" s="22">
        <f t="shared" si="45"/>
        <v>492000</v>
      </c>
      <c r="BH42" s="22">
        <f t="shared" si="45"/>
        <v>492000</v>
      </c>
      <c r="BI42" s="22">
        <f t="shared" si="45"/>
        <v>492000</v>
      </c>
      <c r="BJ42" s="22">
        <f t="shared" si="45"/>
        <v>492000</v>
      </c>
      <c r="BK42" s="22">
        <f t="shared" si="45"/>
        <v>492000</v>
      </c>
      <c r="BL42" s="22">
        <f t="shared" si="45"/>
        <v>492000</v>
      </c>
      <c r="BM42" s="22">
        <f t="shared" si="45"/>
        <v>492000</v>
      </c>
      <c r="BN42" s="22">
        <f t="shared" si="45"/>
        <v>492000</v>
      </c>
      <c r="BO42" s="22">
        <f t="shared" si="45"/>
        <v>492000</v>
      </c>
      <c r="BP42" s="22">
        <f t="shared" si="45"/>
        <v>492000</v>
      </c>
      <c r="BR42" s="23"/>
    </row>
    <row r="43" spans="1:72" x14ac:dyDescent="0.25">
      <c r="A43" t="str">
        <f>A42</f>
        <v>3C Aggregated and non-CO2 emissions on land</v>
      </c>
      <c r="D43" t="s">
        <v>372</v>
      </c>
      <c r="F43" t="s">
        <v>361</v>
      </c>
      <c r="H43" s="21">
        <v>341000</v>
      </c>
      <c r="I43" s="21">
        <v>302000</v>
      </c>
      <c r="J43" s="21">
        <v>118000</v>
      </c>
      <c r="K43" s="21">
        <v>515368</v>
      </c>
      <c r="L43" s="21">
        <v>520185</v>
      </c>
      <c r="M43" s="21">
        <v>290557</v>
      </c>
      <c r="N43" s="21">
        <v>535839</v>
      </c>
      <c r="O43" s="21">
        <v>433371</v>
      </c>
      <c r="P43" s="21">
        <v>358469</v>
      </c>
      <c r="Q43" s="21">
        <v>223530</v>
      </c>
      <c r="R43" s="21">
        <v>142000</v>
      </c>
      <c r="S43" s="21">
        <v>88000</v>
      </c>
      <c r="T43" s="21">
        <v>75000</v>
      </c>
      <c r="U43" s="21">
        <v>95000</v>
      </c>
      <c r="V43" s="21">
        <v>130000</v>
      </c>
      <c r="W43" s="21">
        <v>86000</v>
      </c>
      <c r="X43" s="21">
        <v>37000</v>
      </c>
      <c r="Y43" s="21">
        <v>69000</v>
      </c>
      <c r="Z43" s="21">
        <v>87000</v>
      </c>
      <c r="AA43" s="21">
        <v>86000</v>
      </c>
      <c r="AB43" s="21">
        <v>87000</v>
      </c>
      <c r="AC43" s="21">
        <v>69000</v>
      </c>
      <c r="AD43" s="22">
        <f>Data!$AD$45</f>
        <v>42000</v>
      </c>
      <c r="AE43" s="22">
        <f>Data!$AD$45</f>
        <v>42000</v>
      </c>
      <c r="AF43" s="22">
        <f>Data!$AD$45</f>
        <v>42000</v>
      </c>
      <c r="AG43" s="22">
        <f>Data!$AD$45</f>
        <v>42000</v>
      </c>
      <c r="AH43" s="22">
        <f>Data!$AD$45</f>
        <v>42000</v>
      </c>
      <c r="AI43" s="22">
        <f>Data!$AD$45</f>
        <v>42000</v>
      </c>
      <c r="AJ43" s="22">
        <f>Data!$AD$45</f>
        <v>42000</v>
      </c>
      <c r="AK43" s="22">
        <f>Data!$AD$45</f>
        <v>42000</v>
      </c>
      <c r="AL43" s="22">
        <f>Data!$AD$45</f>
        <v>42000</v>
      </c>
      <c r="AM43" s="22">
        <f>Data!$AD$45</f>
        <v>42000</v>
      </c>
      <c r="AN43" s="22">
        <f>Data!$AD$45</f>
        <v>42000</v>
      </c>
      <c r="AO43" s="22">
        <f>Data!$AD$45</f>
        <v>42000</v>
      </c>
      <c r="AP43" s="22">
        <f>Data!$AD$45</f>
        <v>42000</v>
      </c>
      <c r="AQ43" s="22">
        <f>Data!$AD$45</f>
        <v>42000</v>
      </c>
      <c r="AR43" s="22">
        <f>Data!$AD$45</f>
        <v>42000</v>
      </c>
      <c r="AS43" s="22">
        <f>Data!$AD$45</f>
        <v>42000</v>
      </c>
      <c r="AT43" s="22">
        <f>Data!$AD$45</f>
        <v>42000</v>
      </c>
      <c r="AU43" s="22">
        <f>Data!$AD$45</f>
        <v>42000</v>
      </c>
      <c r="AV43" s="22">
        <f>Data!$AD$45</f>
        <v>42000</v>
      </c>
      <c r="AW43" s="22">
        <f>Data!$AD$45</f>
        <v>42000</v>
      </c>
      <c r="AX43" s="22">
        <f>Data!$AD$45</f>
        <v>42000</v>
      </c>
      <c r="AY43" s="22">
        <f>Data!$AD$45</f>
        <v>42000</v>
      </c>
      <c r="AZ43" s="22">
        <f>Data!$AD$45</f>
        <v>42000</v>
      </c>
      <c r="BA43" s="22">
        <f>Data!$AD$45</f>
        <v>42000</v>
      </c>
      <c r="BB43" s="22">
        <f>Data!$AD$45</f>
        <v>42000</v>
      </c>
      <c r="BC43" s="22">
        <f>Data!$AD$45</f>
        <v>42000</v>
      </c>
      <c r="BD43" s="22">
        <f>Data!$AD$45</f>
        <v>42000</v>
      </c>
      <c r="BE43" s="22">
        <f>Data!$AD$45</f>
        <v>42000</v>
      </c>
      <c r="BF43" s="22">
        <f>Data!$AD$45</f>
        <v>42000</v>
      </c>
      <c r="BG43" s="22">
        <f>Data!$AD$45</f>
        <v>42000</v>
      </c>
      <c r="BH43" s="22">
        <f>Data!$AD$45</f>
        <v>42000</v>
      </c>
      <c r="BI43" s="22">
        <f>Data!$AD$45</f>
        <v>42000</v>
      </c>
      <c r="BJ43" s="22">
        <f>Data!$AD$45</f>
        <v>42000</v>
      </c>
      <c r="BK43" s="22">
        <f>Data!$AD$45</f>
        <v>42000</v>
      </c>
      <c r="BL43" s="22">
        <f>Data!$AD$45</f>
        <v>42000</v>
      </c>
      <c r="BM43" s="22">
        <f>Data!$AD$45</f>
        <v>42000</v>
      </c>
      <c r="BN43" s="22">
        <f>Data!$AD$45</f>
        <v>42000</v>
      </c>
      <c r="BO43" s="22">
        <f>Data!$AD$45</f>
        <v>42000</v>
      </c>
      <c r="BP43" s="22">
        <f>Data!$AD$45</f>
        <v>42000</v>
      </c>
      <c r="BR43" s="23"/>
    </row>
    <row r="44" spans="1:72" ht="18.75" customHeight="1" x14ac:dyDescent="0.25">
      <c r="A44" s="20" t="s">
        <v>373</v>
      </c>
      <c r="B44" s="20"/>
      <c r="C44" s="20"/>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c r="AX44" s="15"/>
      <c r="AY44" s="15"/>
      <c r="AZ44" s="15"/>
      <c r="BA44" s="15"/>
      <c r="BB44" s="15"/>
      <c r="BC44" s="15"/>
      <c r="BD44" s="15"/>
      <c r="BE44" s="15"/>
      <c r="BF44" s="15"/>
      <c r="BG44" s="15"/>
      <c r="BH44" s="15"/>
      <c r="BI44" s="15"/>
      <c r="BJ44" s="15"/>
      <c r="BK44" s="15"/>
      <c r="BL44" s="15"/>
      <c r="BM44" s="15"/>
      <c r="BN44" s="15"/>
      <c r="BO44" s="15"/>
      <c r="BP44" s="15"/>
      <c r="BS44" s="16"/>
      <c r="BT44" s="15"/>
    </row>
    <row r="45" spans="1:72" x14ac:dyDescent="0.25">
      <c r="A45" t="str">
        <f>'IPCC Categories'!A59</f>
        <v>3C Aggregated and non-CO2 emissions on land</v>
      </c>
      <c r="B45" t="str">
        <f>'IPCC Categories'!B71</f>
        <v>3C2 Liming (CO2)</v>
      </c>
      <c r="C45" t="s">
        <v>383</v>
      </c>
      <c r="D45" t="s">
        <v>376</v>
      </c>
      <c r="E45" t="str">
        <f>C45&amp;D45</f>
        <v>Lime consumption - total</v>
      </c>
      <c r="F45" t="s">
        <v>321</v>
      </c>
      <c r="H45" s="21">
        <v>780000</v>
      </c>
      <c r="I45" s="21">
        <v>825000</v>
      </c>
      <c r="J45" s="21">
        <v>570000</v>
      </c>
      <c r="K45" s="21">
        <v>900000</v>
      </c>
      <c r="L45" s="21">
        <v>1299451</v>
      </c>
      <c r="M45" s="21">
        <v>1032745</v>
      </c>
      <c r="N45" s="21">
        <v>1263570</v>
      </c>
      <c r="O45" s="21">
        <v>1193985</v>
      </c>
      <c r="P45" s="21">
        <v>1244321</v>
      </c>
      <c r="Q45" s="21">
        <v>1237174</v>
      </c>
      <c r="R45" s="21">
        <v>825252</v>
      </c>
      <c r="S45" s="21">
        <v>1068357</v>
      </c>
      <c r="T45" s="21">
        <v>1467915</v>
      </c>
      <c r="U45" s="21">
        <v>1265742</v>
      </c>
      <c r="V45" s="21">
        <v>1264888</v>
      </c>
      <c r="W45" s="21">
        <v>580444</v>
      </c>
      <c r="X45" s="21">
        <v>963118</v>
      </c>
      <c r="Y45" s="21">
        <v>1137646</v>
      </c>
      <c r="Z45" s="21">
        <v>1429803</v>
      </c>
      <c r="AA45" s="21">
        <v>1517602.3688259386</v>
      </c>
      <c r="AB45" s="21">
        <v>1425245.0325037544</v>
      </c>
      <c r="AC45" s="21">
        <v>1576608.4448095565</v>
      </c>
      <c r="AD45" s="22">
        <f>AC45*(AD41/AC41)</f>
        <v>1934109.6399867192</v>
      </c>
      <c r="AE45" s="22">
        <f t="shared" ref="AE45:BP45" si="46">AD45*(AE41/AD41)</f>
        <v>1939317.7750642786</v>
      </c>
      <c r="AF45" s="22">
        <f t="shared" si="46"/>
        <v>1946434.7277939422</v>
      </c>
      <c r="AG45" s="22">
        <f t="shared" si="46"/>
        <v>1951600.6917094372</v>
      </c>
      <c r="AH45" s="22">
        <f t="shared" si="46"/>
        <v>1954116.4776585849</v>
      </c>
      <c r="AI45" s="22">
        <f t="shared" si="46"/>
        <v>1956599.5828496034</v>
      </c>
      <c r="AJ45" s="22">
        <f t="shared" si="46"/>
        <v>1960355.918628417</v>
      </c>
      <c r="AK45" s="22">
        <f t="shared" si="46"/>
        <v>1964468.5559682592</v>
      </c>
      <c r="AL45" s="22">
        <f t="shared" si="46"/>
        <v>1965814.4780085201</v>
      </c>
      <c r="AM45" s="22">
        <f t="shared" si="46"/>
        <v>1941092.0705889896</v>
      </c>
      <c r="AN45" s="22">
        <f t="shared" si="46"/>
        <v>1948803.8258640221</v>
      </c>
      <c r="AO45" s="22">
        <f t="shared" si="46"/>
        <v>1955737.286527663</v>
      </c>
      <c r="AP45" s="22">
        <f t="shared" si="46"/>
        <v>1962606.4723994113</v>
      </c>
      <c r="AQ45" s="22">
        <f t="shared" si="46"/>
        <v>1970491.5824630121</v>
      </c>
      <c r="AR45" s="22">
        <f t="shared" si="46"/>
        <v>1978291.1117260444</v>
      </c>
      <c r="AS45" s="22">
        <f t="shared" si="46"/>
        <v>1986198.8589070747</v>
      </c>
      <c r="AT45" s="22">
        <f t="shared" si="46"/>
        <v>1993770.0097387657</v>
      </c>
      <c r="AU45" s="22">
        <f t="shared" si="46"/>
        <v>2001664.767321202</v>
      </c>
      <c r="AV45" s="22">
        <f t="shared" si="46"/>
        <v>2008998.4694820384</v>
      </c>
      <c r="AW45" s="22">
        <f t="shared" si="46"/>
        <v>2016397.593088476</v>
      </c>
      <c r="AX45" s="22">
        <f t="shared" si="46"/>
        <v>2025007.6659590167</v>
      </c>
      <c r="AY45" s="22">
        <f t="shared" si="46"/>
        <v>2034097.2686698237</v>
      </c>
      <c r="AZ45" s="22">
        <f t="shared" si="46"/>
        <v>2043301.5284425374</v>
      </c>
      <c r="BA45" s="22">
        <f t="shared" si="46"/>
        <v>2045128.1782867999</v>
      </c>
      <c r="BB45" s="22">
        <f t="shared" si="46"/>
        <v>1286053.4196891394</v>
      </c>
      <c r="BC45" s="22">
        <f t="shared" si="46"/>
        <v>1284710.4964334965</v>
      </c>
      <c r="BD45" s="22">
        <f t="shared" si="46"/>
        <v>1283353.4367263427</v>
      </c>
      <c r="BE45" s="22">
        <f t="shared" si="46"/>
        <v>1281982.045820046</v>
      </c>
      <c r="BF45" s="22">
        <f t="shared" si="46"/>
        <v>1280596.1253039469</v>
      </c>
      <c r="BG45" s="22">
        <f t="shared" si="46"/>
        <v>1279195.4730129342</v>
      </c>
      <c r="BH45" s="22">
        <f t="shared" si="46"/>
        <v>1277994.8556484769</v>
      </c>
      <c r="BI45" s="22">
        <f t="shared" si="46"/>
        <v>1276783.347471002</v>
      </c>
      <c r="BJ45" s="22">
        <f t="shared" si="46"/>
        <v>1275560.8181683796</v>
      </c>
      <c r="BK45" s="22">
        <f t="shared" si="46"/>
        <v>1274327.135290643</v>
      </c>
      <c r="BL45" s="22">
        <f t="shared" si="46"/>
        <v>1273082.164203437</v>
      </c>
      <c r="BM45" s="22">
        <f t="shared" si="46"/>
        <v>1272049.7886770337</v>
      </c>
      <c r="BN45" s="22">
        <f t="shared" si="46"/>
        <v>1271009.6093224294</v>
      </c>
      <c r="BO45" s="22">
        <f t="shared" si="46"/>
        <v>1269961.5478047959</v>
      </c>
      <c r="BP45" s="22">
        <f t="shared" si="46"/>
        <v>1268905.5247075937</v>
      </c>
      <c r="BR45" s="23"/>
    </row>
    <row r="46" spans="1:72" x14ac:dyDescent="0.25">
      <c r="A46" t="str">
        <f>A45</f>
        <v>3C Aggregated and non-CO2 emissions on land</v>
      </c>
      <c r="B46" t="str">
        <f>'IPCC Categories'!B72</f>
        <v>3C3 Urea application (CO2)</v>
      </c>
      <c r="C46" t="s">
        <v>114</v>
      </c>
      <c r="D46" t="s">
        <v>376</v>
      </c>
      <c r="E46" t="str">
        <f>C46&amp;D46</f>
        <v>Urea application - total</v>
      </c>
      <c r="F46" t="s">
        <v>321</v>
      </c>
      <c r="H46" s="21">
        <v>124083.5011138469</v>
      </c>
      <c r="I46" s="21">
        <v>152218.50271143019</v>
      </c>
      <c r="J46" s="21">
        <v>180353.50430901349</v>
      </c>
      <c r="K46" s="21">
        <v>208488.50590658933</v>
      </c>
      <c r="L46" s="21">
        <v>236623.50750417262</v>
      </c>
      <c r="M46" s="21">
        <v>264758.50910175592</v>
      </c>
      <c r="N46" s="21">
        <v>292893.51069933921</v>
      </c>
      <c r="O46" s="21">
        <v>321028.5122969225</v>
      </c>
      <c r="P46" s="21">
        <v>349163.5138945058</v>
      </c>
      <c r="Q46" s="21">
        <v>377298.51549208909</v>
      </c>
      <c r="R46" s="21">
        <v>405433.51708967239</v>
      </c>
      <c r="S46" s="21">
        <v>433568.51868725568</v>
      </c>
      <c r="T46" s="21">
        <v>461703.52028483152</v>
      </c>
      <c r="U46" s="21">
        <v>489838.52188241482</v>
      </c>
      <c r="V46" s="21">
        <v>594407</v>
      </c>
      <c r="W46" s="21">
        <v>484209</v>
      </c>
      <c r="X46" s="21">
        <v>536026</v>
      </c>
      <c r="Y46" s="21">
        <v>660755</v>
      </c>
      <c r="Z46" s="21">
        <v>654808</v>
      </c>
      <c r="AA46" s="21">
        <v>518924</v>
      </c>
      <c r="AB46" s="21">
        <v>683837</v>
      </c>
      <c r="AC46" s="21">
        <v>778897</v>
      </c>
      <c r="AD46" s="22">
        <f>((Data!$AJ$48*'Net zero Activity data'!AD47)+Data!$AK$48)</f>
        <v>641039.33073872479</v>
      </c>
      <c r="AE46" s="22">
        <f>((Data!$AJ$48*'Net zero Activity data'!AE47)+Data!$AK$48)</f>
        <v>640957.31617336289</v>
      </c>
      <c r="AF46" s="22">
        <f>((Data!$AJ$48*'Net zero Activity data'!AF47)+Data!$AK$48)</f>
        <v>640845.24270058761</v>
      </c>
      <c r="AG46" s="22">
        <f>((Data!$AJ$48*'Net zero Activity data'!AG47)+Data!$AK$48)</f>
        <v>640763.89222121343</v>
      </c>
      <c r="AH46" s="22">
        <f>((Data!$AJ$48*'Net zero Activity data'!AH47)+Data!$AK$48)</f>
        <v>640724.27514368179</v>
      </c>
      <c r="AI46" s="22">
        <f>((Data!$AJ$48*'Net zero Activity data'!AI47)+Data!$AK$48)</f>
        <v>640685.17270298919</v>
      </c>
      <c r="AJ46" s="22">
        <f>((Data!$AJ$48*'Net zero Activity data'!AJ47)+Data!$AK$48)</f>
        <v>640626.02019606205</v>
      </c>
      <c r="AK46" s="22">
        <f>((Data!$AJ$48*'Net zero Activity data'!AK47)+Data!$AK$48)</f>
        <v>640561.25686736661</v>
      </c>
      <c r="AL46" s="22">
        <f>((Data!$AJ$48*'Net zero Activity data'!AL47)+Data!$AK$48)</f>
        <v>640540.06210004608</v>
      </c>
      <c r="AM46" s="22">
        <f>((Data!$AJ$48*'Net zero Activity data'!AM47)+Data!$AK$48)</f>
        <v>640929.37563915714</v>
      </c>
      <c r="AN46" s="22">
        <f>((Data!$AJ$48*'Net zero Activity data'!AN47)+Data!$AK$48)</f>
        <v>640807.93557517254</v>
      </c>
      <c r="AO46" s="22">
        <f>((Data!$AJ$48*'Net zero Activity data'!AO47)+Data!$AK$48)</f>
        <v>640698.75162461936</v>
      </c>
      <c r="AP46" s="22">
        <f>((Data!$AJ$48*'Net zero Activity data'!AP47)+Data!$AK$48)</f>
        <v>640590.57983466529</v>
      </c>
      <c r="AQ46" s="22">
        <f>((Data!$AJ$48*'Net zero Activity data'!AQ47)+Data!$AK$48)</f>
        <v>640466.40988418087</v>
      </c>
      <c r="AR46" s="22">
        <f>((Data!$AJ$48*'Net zero Activity data'!AR47)+Data!$AK$48)</f>
        <v>640343.58760845079</v>
      </c>
      <c r="AS46" s="22">
        <f>((Data!$AJ$48*'Net zero Activity data'!AS47)+Data!$AK$48)</f>
        <v>640219.06118231441</v>
      </c>
      <c r="AT46" s="22">
        <f>((Data!$AJ$48*'Net zero Activity data'!AT47)+Data!$AK$48)</f>
        <v>640099.83527217503</v>
      </c>
      <c r="AU46" s="22">
        <f>((Data!$AJ$48*'Net zero Activity data'!AU47)+Data!$AK$48)</f>
        <v>639975.51339839119</v>
      </c>
      <c r="AV46" s="22">
        <f>((Data!$AJ$48*'Net zero Activity data'!AV47)+Data!$AK$48)</f>
        <v>639860.02668649575</v>
      </c>
      <c r="AW46" s="22">
        <f>((Data!$AJ$48*'Net zero Activity data'!AW47)+Data!$AK$48)</f>
        <v>639743.50975719106</v>
      </c>
      <c r="AX46" s="22">
        <f>((Data!$AJ$48*'Net zero Activity data'!AX47)+Data!$AK$48)</f>
        <v>639607.92353031796</v>
      </c>
      <c r="AY46" s="22">
        <f>((Data!$AJ$48*'Net zero Activity data'!AY47)+Data!$AK$48)</f>
        <v>639464.78595716786</v>
      </c>
      <c r="AZ46" s="22">
        <f>((Data!$AJ$48*'Net zero Activity data'!AZ47)+Data!$AK$48)</f>
        <v>639319.84283386264</v>
      </c>
      <c r="BA46" s="22">
        <f>((Data!$AJ$48*'Net zero Activity data'!BA47)+Data!$AK$48)</f>
        <v>639291.07785545581</v>
      </c>
      <c r="BB46" s="22">
        <f>((Data!$AJ$48*'Net zero Activity data'!BB47)+Data!$AK$48)</f>
        <v>651244.52865434915</v>
      </c>
      <c r="BC46" s="22">
        <f>((Data!$AJ$48*'Net zero Activity data'!BC47)+Data!$AK$48)</f>
        <v>651265.67619862093</v>
      </c>
      <c r="BD46" s="22">
        <f>((Data!$AJ$48*'Net zero Activity data'!BD47)+Data!$AK$48)</f>
        <v>651287.04635519232</v>
      </c>
      <c r="BE46" s="22">
        <f>((Data!$AJ$48*'Net zero Activity data'!BE47)+Data!$AK$48)</f>
        <v>651308.64219083136</v>
      </c>
      <c r="BF46" s="22">
        <f>((Data!$AJ$48*'Net zero Activity data'!BF47)+Data!$AK$48)</f>
        <v>651330.46682998934</v>
      </c>
      <c r="BG46" s="22">
        <f>((Data!$AJ$48*'Net zero Activity data'!BG47)+Data!$AK$48)</f>
        <v>651352.52345624042</v>
      </c>
      <c r="BH46" s="22">
        <f>((Data!$AJ$48*'Net zero Activity data'!BH47)+Data!$AK$48)</f>
        <v>651371.43005329405</v>
      </c>
      <c r="BI46" s="22">
        <f>((Data!$AJ$48*'Net zero Activity data'!BI47)+Data!$AK$48)</f>
        <v>651390.50815229269</v>
      </c>
      <c r="BJ46" s="22">
        <f>((Data!$AJ$48*'Net zero Activity data'!BJ47)+Data!$AK$48)</f>
        <v>651409.75980531308</v>
      </c>
      <c r="BK46" s="22">
        <f>((Data!$AJ$48*'Net zero Activity data'!BK47)+Data!$AK$48)</f>
        <v>651429.18709809752</v>
      </c>
      <c r="BL46" s="22">
        <f>((Data!$AJ$48*'Net zero Activity data'!BL47)+Data!$AK$48)</f>
        <v>651448.79215078603</v>
      </c>
      <c r="BM46" s="22">
        <f>((Data!$AJ$48*'Net zero Activity data'!BM47)+Data!$AK$48)</f>
        <v>651465.04937699612</v>
      </c>
      <c r="BN46" s="22">
        <f>((Data!$AJ$48*'Net zero Activity data'!BN47)+Data!$AK$48)</f>
        <v>651481.42949317896</v>
      </c>
      <c r="BO46" s="22">
        <f>((Data!$AJ$48*'Net zero Activity data'!BO47)+Data!$AK$48)</f>
        <v>651497.93373290426</v>
      </c>
      <c r="BP46" s="22">
        <f>((Data!$AJ$48*'Net zero Activity data'!BP47)+Data!$AK$48)</f>
        <v>651514.56334677537</v>
      </c>
      <c r="BR46" s="23"/>
    </row>
    <row r="47" spans="1:72" x14ac:dyDescent="0.25">
      <c r="A47" t="str">
        <f>A45</f>
        <v>3C Aggregated and non-CO2 emissions on land</v>
      </c>
      <c r="B47" t="str">
        <f>'IPCC Categories'!B73</f>
        <v>3C4 Direct N2O from managed soils (N2O)</v>
      </c>
      <c r="C47" t="s">
        <v>384</v>
      </c>
      <c r="D47" t="s">
        <v>376</v>
      </c>
      <c r="E47" t="str">
        <f>C47&amp;D47</f>
        <v>Inorganic N application - total</v>
      </c>
      <c r="F47" t="s">
        <v>321</v>
      </c>
      <c r="H47" s="21">
        <v>343689</v>
      </c>
      <c r="I47" s="21">
        <v>365035</v>
      </c>
      <c r="J47" s="21">
        <v>347525</v>
      </c>
      <c r="K47" s="21">
        <v>408459</v>
      </c>
      <c r="L47" s="21">
        <v>375066</v>
      </c>
      <c r="M47" s="21">
        <v>371491</v>
      </c>
      <c r="N47" s="21">
        <v>415084</v>
      </c>
      <c r="O47" s="21">
        <v>406914</v>
      </c>
      <c r="P47" s="21">
        <v>415521</v>
      </c>
      <c r="Q47" s="21">
        <v>413045</v>
      </c>
      <c r="R47" s="21">
        <v>415933</v>
      </c>
      <c r="S47" s="21">
        <v>395813</v>
      </c>
      <c r="T47" s="21">
        <v>477072</v>
      </c>
      <c r="U47" s="21">
        <v>420827</v>
      </c>
      <c r="V47" s="21">
        <v>427571</v>
      </c>
      <c r="W47" s="21">
        <v>347260</v>
      </c>
      <c r="X47" s="21">
        <v>428719</v>
      </c>
      <c r="Y47" s="21">
        <v>439480</v>
      </c>
      <c r="Z47" s="21">
        <v>424123</v>
      </c>
      <c r="AA47" s="21">
        <v>453777</v>
      </c>
      <c r="AB47" s="21">
        <v>395000</v>
      </c>
      <c r="AC47" s="21">
        <v>419000</v>
      </c>
      <c r="AD47" s="22">
        <f>((Data!$AJ$49*'Net zero Activity data'!AD41)+Data!$AK$49)</f>
        <v>420412.44040319067</v>
      </c>
      <c r="AE47" s="22">
        <f>((Data!$AJ$49*'Net zero Activity data'!AE41)+Data!$AK$49)</f>
        <v>420352.11675115686</v>
      </c>
      <c r="AF47" s="22">
        <f>((Data!$AJ$49*'Net zero Activity data'!AF41)+Data!$AK$49)</f>
        <v>420269.68406198651</v>
      </c>
      <c r="AG47" s="22">
        <f>((Data!$AJ$49*'Net zero Activity data'!AG41)+Data!$AK$49)</f>
        <v>420209.84886089881</v>
      </c>
      <c r="AH47" s="22">
        <f>((Data!$AJ$49*'Net zero Activity data'!AH41)+Data!$AK$49)</f>
        <v>420180.70956364018</v>
      </c>
      <c r="AI47" s="22">
        <f>((Data!$AJ$49*'Net zero Activity data'!AI41)+Data!$AK$49)</f>
        <v>420151.94879394514</v>
      </c>
      <c r="AJ47" s="22">
        <f>((Data!$AJ$49*'Net zero Activity data'!AJ41)+Data!$AK$49)</f>
        <v>420108.4407264567</v>
      </c>
      <c r="AK47" s="22">
        <f>((Data!$AJ$49*'Net zero Activity data'!AK41)+Data!$AK$49)</f>
        <v>420060.80576689146</v>
      </c>
      <c r="AL47" s="22">
        <f>((Data!$AJ$49*'Net zero Activity data'!AL41)+Data!$AK$49)</f>
        <v>420045.21651438315</v>
      </c>
      <c r="AM47" s="22">
        <f>((Data!$AJ$49*'Net zero Activity data'!AM41)+Data!$AK$49)</f>
        <v>420331.56582760287</v>
      </c>
      <c r="AN47" s="22">
        <f>((Data!$AJ$49*'Net zero Activity data'!AN41)+Data!$AK$49)</f>
        <v>420242.2437891278</v>
      </c>
      <c r="AO47" s="22">
        <f>((Data!$AJ$49*'Net zero Activity data'!AO41)+Data!$AK$49)</f>
        <v>420161.93641187367</v>
      </c>
      <c r="AP47" s="22">
        <f>((Data!$AJ$49*'Net zero Activity data'!AP41)+Data!$AK$49)</f>
        <v>420082.37350267253</v>
      </c>
      <c r="AQ47" s="22">
        <f>((Data!$AJ$49*'Net zero Activity data'!AQ41)+Data!$AK$49)</f>
        <v>419991.04356812942</v>
      </c>
      <c r="AR47" s="22">
        <f>((Data!$AJ$49*'Net zero Activity data'!AR41)+Data!$AK$49)</f>
        <v>419900.70488023362</v>
      </c>
      <c r="AS47" s="22">
        <f>((Data!$AJ$49*'Net zero Activity data'!AS41)+Data!$AK$49)</f>
        <v>419809.11274941976</v>
      </c>
      <c r="AT47" s="22">
        <f>((Data!$AJ$49*'Net zero Activity data'!AT41)+Data!$AK$49)</f>
        <v>419721.41927345085</v>
      </c>
      <c r="AU47" s="22">
        <f>((Data!$AJ$49*'Net zero Activity data'!AU41)+Data!$AK$49)</f>
        <v>419629.97759572894</v>
      </c>
      <c r="AV47" s="22">
        <f>((Data!$AJ$49*'Net zero Activity data'!AV41)+Data!$AK$49)</f>
        <v>419545.03438848065</v>
      </c>
      <c r="AW47" s="22">
        <f>((Data!$AJ$49*'Net zero Activity data'!AW41)+Data!$AK$49)</f>
        <v>419459.3334319687</v>
      </c>
      <c r="AX47" s="22">
        <f>((Data!$AJ$49*'Net zero Activity data'!AX41)+Data!$AK$49)</f>
        <v>419359.60655620729</v>
      </c>
      <c r="AY47" s="22">
        <f>((Data!$AJ$49*'Net zero Activity data'!AY41)+Data!$AK$49)</f>
        <v>419254.32548670983</v>
      </c>
      <c r="AZ47" s="22">
        <f>((Data!$AJ$49*'Net zero Activity data'!AZ41)+Data!$AK$49)</f>
        <v>419147.71639238152</v>
      </c>
      <c r="BA47" s="22">
        <f>((Data!$AJ$49*'Net zero Activity data'!BA41)+Data!$AK$49)</f>
        <v>419126.55907062389</v>
      </c>
      <c r="BB47" s="22">
        <f>((Data!$AJ$49*'Net zero Activity data'!BB41)+Data!$AK$49)</f>
        <v>427918.60476901935</v>
      </c>
      <c r="BC47" s="22">
        <f>((Data!$AJ$49*'Net zero Activity data'!BC41)+Data!$AK$49)</f>
        <v>427934.1592878587</v>
      </c>
      <c r="BD47" s="22">
        <f>((Data!$AJ$49*'Net zero Activity data'!BD41)+Data!$AK$49)</f>
        <v>427949.87754330796</v>
      </c>
      <c r="BE47" s="22">
        <f>((Data!$AJ$49*'Net zero Activity data'!BE41)+Data!$AK$49)</f>
        <v>427965.76179104764</v>
      </c>
      <c r="BF47" s="22">
        <f>((Data!$AJ$49*'Net zero Activity data'!BF41)+Data!$AK$49)</f>
        <v>427981.81432918552</v>
      </c>
      <c r="BG47" s="22">
        <f>((Data!$AJ$49*'Net zero Activity data'!BG41)+Data!$AK$49)</f>
        <v>427998.03749931557</v>
      </c>
      <c r="BH47" s="22">
        <f>((Data!$AJ$49*'Net zero Activity data'!BH41)+Data!$AK$49)</f>
        <v>428011.94374848937</v>
      </c>
      <c r="BI47" s="22">
        <f>((Data!$AJ$49*'Net zero Activity data'!BI41)+Data!$AK$49)</f>
        <v>428025.97614139889</v>
      </c>
      <c r="BJ47" s="22">
        <f>((Data!$AJ$49*'Net zero Activity data'!BJ41)+Data!$AK$49)</f>
        <v>428040.13618739508</v>
      </c>
      <c r="BK47" s="22">
        <f>((Data!$AJ$49*'Net zero Activity data'!BK41)+Data!$AK$49)</f>
        <v>428054.42542059056</v>
      </c>
      <c r="BL47" s="22">
        <f>((Data!$AJ$49*'Net zero Activity data'!BL41)+Data!$AK$49)</f>
        <v>428068.84540039871</v>
      </c>
      <c r="BM47" s="22">
        <f>((Data!$AJ$49*'Net zero Activity data'!BM41)+Data!$AK$49)</f>
        <v>428080.80297467351</v>
      </c>
      <c r="BN47" s="22">
        <f>((Data!$AJ$49*'Net zero Activity data'!BN41)+Data!$AK$49)</f>
        <v>428092.850937429</v>
      </c>
      <c r="BO47" s="22">
        <f>((Data!$AJ$49*'Net zero Activity data'!BO41)+Data!$AK$49)</f>
        <v>428104.99019598478</v>
      </c>
      <c r="BP47" s="22">
        <f>((Data!$AJ$49*'Net zero Activity data'!BP41)+Data!$AK$49)</f>
        <v>428117.22167018935</v>
      </c>
      <c r="BR47" s="23"/>
    </row>
    <row r="48" spans="1:72" x14ac:dyDescent="0.25">
      <c r="A48" t="str">
        <f>A47</f>
        <v>3C Aggregated and non-CO2 emissions on land</v>
      </c>
      <c r="B48" t="str">
        <f>B47</f>
        <v>3C4 Direct N2O from managed soils (N2O)</v>
      </c>
      <c r="C48" t="s">
        <v>390</v>
      </c>
      <c r="D48" t="s">
        <v>376</v>
      </c>
      <c r="E48" t="str">
        <f>C48&amp;D48</f>
        <v>Compost N - total</v>
      </c>
      <c r="F48" t="s">
        <v>321</v>
      </c>
      <c r="H48" s="22">
        <f t="shared" ref="H48:BP48" si="47">H47*0.05*0.33*0.8*0.5</f>
        <v>2268.3474000000001</v>
      </c>
      <c r="I48" s="22">
        <f t="shared" si="47"/>
        <v>2409.2310000000002</v>
      </c>
      <c r="J48" s="22">
        <f t="shared" si="47"/>
        <v>2293.6650000000004</v>
      </c>
      <c r="K48" s="22">
        <f t="shared" si="47"/>
        <v>2695.8294000000005</v>
      </c>
      <c r="L48" s="22">
        <f t="shared" si="47"/>
        <v>2475.4356000000002</v>
      </c>
      <c r="M48" s="22">
        <f t="shared" si="47"/>
        <v>2451.8406</v>
      </c>
      <c r="N48" s="22">
        <f t="shared" si="47"/>
        <v>2739.5544000000004</v>
      </c>
      <c r="O48" s="22">
        <f t="shared" si="47"/>
        <v>2685.6324000000004</v>
      </c>
      <c r="P48" s="22">
        <f t="shared" si="47"/>
        <v>2742.4386000000009</v>
      </c>
      <c r="Q48" s="22">
        <f t="shared" si="47"/>
        <v>2726.0970000000002</v>
      </c>
      <c r="R48" s="22">
        <f t="shared" si="47"/>
        <v>2745.1578000000009</v>
      </c>
      <c r="S48" s="22">
        <f t="shared" si="47"/>
        <v>2612.3658000000005</v>
      </c>
      <c r="T48" s="22">
        <f t="shared" si="47"/>
        <v>3148.6752000000006</v>
      </c>
      <c r="U48" s="22">
        <f t="shared" si="47"/>
        <v>2777.4582000000009</v>
      </c>
      <c r="V48" s="22">
        <f t="shared" si="47"/>
        <v>2821.9686000000006</v>
      </c>
      <c r="W48" s="22">
        <f t="shared" si="47"/>
        <v>2291.9160000000002</v>
      </c>
      <c r="X48" s="22">
        <f t="shared" si="47"/>
        <v>2829.5454000000004</v>
      </c>
      <c r="Y48" s="22">
        <f t="shared" si="47"/>
        <v>2900.5680000000002</v>
      </c>
      <c r="Z48" s="22">
        <f t="shared" si="47"/>
        <v>2799.2118000000005</v>
      </c>
      <c r="AA48" s="22">
        <f t="shared" si="47"/>
        <v>2994.9282000000003</v>
      </c>
      <c r="AB48" s="22">
        <f t="shared" si="47"/>
        <v>2607</v>
      </c>
      <c r="AC48" s="22">
        <f t="shared" si="47"/>
        <v>2765.4</v>
      </c>
      <c r="AD48" s="22">
        <f t="shared" si="47"/>
        <v>2774.7221066610591</v>
      </c>
      <c r="AE48" s="22">
        <f t="shared" si="47"/>
        <v>2774.3239705576357</v>
      </c>
      <c r="AF48" s="22">
        <f t="shared" si="47"/>
        <v>2773.7799148091117</v>
      </c>
      <c r="AG48" s="22">
        <f t="shared" si="47"/>
        <v>2773.385002481933</v>
      </c>
      <c r="AH48" s="22">
        <f t="shared" si="47"/>
        <v>2773.1926831200253</v>
      </c>
      <c r="AI48" s="22">
        <f t="shared" si="47"/>
        <v>2773.0028620400385</v>
      </c>
      <c r="AJ48" s="22">
        <f t="shared" si="47"/>
        <v>2772.7157087946148</v>
      </c>
      <c r="AK48" s="22">
        <f t="shared" si="47"/>
        <v>2772.4013180614843</v>
      </c>
      <c r="AL48" s="22">
        <f t="shared" si="47"/>
        <v>2772.2984289949295</v>
      </c>
      <c r="AM48" s="22">
        <f t="shared" si="47"/>
        <v>2774.1883344621797</v>
      </c>
      <c r="AN48" s="22">
        <f t="shared" si="47"/>
        <v>2773.5988090082442</v>
      </c>
      <c r="AO48" s="22">
        <f t="shared" si="47"/>
        <v>2773.0687803183664</v>
      </c>
      <c r="AP48" s="22">
        <f t="shared" si="47"/>
        <v>2772.5436651176392</v>
      </c>
      <c r="AQ48" s="22">
        <f t="shared" si="47"/>
        <v>2771.9408875496547</v>
      </c>
      <c r="AR48" s="22">
        <f t="shared" si="47"/>
        <v>2771.3446522095423</v>
      </c>
      <c r="AS48" s="22">
        <f t="shared" si="47"/>
        <v>2770.7401441461711</v>
      </c>
      <c r="AT48" s="22">
        <f t="shared" si="47"/>
        <v>2770.1613672047761</v>
      </c>
      <c r="AU48" s="22">
        <f t="shared" si="47"/>
        <v>2769.5578521318116</v>
      </c>
      <c r="AV48" s="22">
        <f t="shared" si="47"/>
        <v>2768.9972269639729</v>
      </c>
      <c r="AW48" s="22">
        <f t="shared" si="47"/>
        <v>2768.4316006509939</v>
      </c>
      <c r="AX48" s="22">
        <f t="shared" si="47"/>
        <v>2767.7734032709686</v>
      </c>
      <c r="AY48" s="22">
        <f t="shared" si="47"/>
        <v>2767.0785482122851</v>
      </c>
      <c r="AZ48" s="22">
        <f t="shared" si="47"/>
        <v>2766.3749281897185</v>
      </c>
      <c r="BA48" s="22">
        <f t="shared" si="47"/>
        <v>2766.2352898661179</v>
      </c>
      <c r="BB48" s="22">
        <f t="shared" si="47"/>
        <v>2824.262791475528</v>
      </c>
      <c r="BC48" s="22">
        <f t="shared" si="47"/>
        <v>2824.3654512998678</v>
      </c>
      <c r="BD48" s="22">
        <f t="shared" si="47"/>
        <v>2824.4691917858327</v>
      </c>
      <c r="BE48" s="22">
        <f t="shared" si="47"/>
        <v>2824.574027820915</v>
      </c>
      <c r="BF48" s="22">
        <f t="shared" si="47"/>
        <v>2824.6799745726253</v>
      </c>
      <c r="BG48" s="22">
        <f t="shared" si="47"/>
        <v>2824.7870474954834</v>
      </c>
      <c r="BH48" s="22">
        <f t="shared" si="47"/>
        <v>2824.8788287400307</v>
      </c>
      <c r="BI48" s="22">
        <f t="shared" si="47"/>
        <v>2824.9714425332331</v>
      </c>
      <c r="BJ48" s="22">
        <f t="shared" si="47"/>
        <v>2825.064898836808</v>
      </c>
      <c r="BK48" s="22">
        <f t="shared" si="47"/>
        <v>2825.1592077758978</v>
      </c>
      <c r="BL48" s="22">
        <f t="shared" si="47"/>
        <v>2825.2543796426316</v>
      </c>
      <c r="BM48" s="22">
        <f t="shared" si="47"/>
        <v>2825.3332996328459</v>
      </c>
      <c r="BN48" s="22">
        <f t="shared" si="47"/>
        <v>2825.4128161870321</v>
      </c>
      <c r="BO48" s="22">
        <f t="shared" si="47"/>
        <v>2825.4929352934996</v>
      </c>
      <c r="BP48" s="22">
        <f t="shared" si="47"/>
        <v>2825.5736630232504</v>
      </c>
      <c r="BR48" s="23"/>
    </row>
    <row r="49" spans="1:72" ht="18.75" customHeight="1" x14ac:dyDescent="0.25">
      <c r="A49" s="20" t="s">
        <v>629</v>
      </c>
      <c r="B49" s="20"/>
      <c r="C49" s="20"/>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S49" s="16"/>
      <c r="BT49" s="15"/>
    </row>
    <row r="50" spans="1:72" x14ac:dyDescent="0.25">
      <c r="A50" t="str">
        <f>Constants!A130</f>
        <v>3C Aggregated and non-CO2 emissions on land</v>
      </c>
      <c r="B50" t="str">
        <f>Constants!B130</f>
        <v>3C4 Direct N2O from managed soils (N2O)</v>
      </c>
      <c r="C50" t="s">
        <v>409</v>
      </c>
      <c r="D50" t="str">
        <f>Constants!D115</f>
        <v xml:space="preserve"> - TMR</v>
      </c>
      <c r="E50" t="str">
        <f>C50&amp;D50</f>
        <v>MM N available - TMR</v>
      </c>
      <c r="F50" t="s">
        <v>407</v>
      </c>
      <c r="H50" s="22">
        <f>((H5*Constants!$H63*Constants!$H81*(1-Constants!$H99))+(H5*Constants!$H63*Constants!$H115))</f>
        <v>16768553.295054734</v>
      </c>
      <c r="I50" s="22">
        <f>((I5*Constants!$H63*Constants!$H81*(1-Constants!$H99))+(I5*Constants!$H63*Constants!$H115))</f>
        <v>19304960.418965299</v>
      </c>
      <c r="J50" s="22">
        <f>((J5*Constants!$H63*Constants!$H81*(1-Constants!$H99))+(J5*Constants!$H63*Constants!$H115))</f>
        <v>16701288.624605378</v>
      </c>
      <c r="K50" s="22">
        <f>((K5*Constants!$H63*Constants!$H81*(1-Constants!$H99))+(K5*Constants!$H63*Constants!$H115))</f>
        <v>17713281.812601872</v>
      </c>
      <c r="L50" s="22">
        <f>((L5*Constants!$H63*Constants!$H81*(1-Constants!$H99))+(L5*Constants!$H63*Constants!$H115))</f>
        <v>16432229.94280795</v>
      </c>
      <c r="M50" s="22">
        <f>((M5*Constants!$H63*Constants!$H81*(1-Constants!$H99))+(M5*Constants!$H63*Constants!$H115))</f>
        <v>17578752.471703161</v>
      </c>
      <c r="N50" s="22">
        <f>((N5*Constants!$H63*Constants!$H81*(1-Constants!$H99))+(N5*Constants!$H63*Constants!$H115))</f>
        <v>17646017.142152518</v>
      </c>
      <c r="O50" s="22">
        <f>((O5*Constants!$H63*Constants!$H81*(1-Constants!$H99))+(O5*Constants!$H63*Constants!$H115))</f>
        <v>17011915.361174878</v>
      </c>
      <c r="P50" s="22">
        <f>((P5*Constants!$H63*Constants!$H81*(1-Constants!$H99))+(P5*Constants!$H63*Constants!$H115))</f>
        <v>16810121.349826809</v>
      </c>
      <c r="Q50" s="22">
        <f>((Q5*Constants!$H63*Constants!$H81*(1-Constants!$H99))+(Q5*Constants!$H63*Constants!$H115))</f>
        <v>16512342.921095951</v>
      </c>
      <c r="R50" s="22">
        <f>((R5*Constants!$H63*Constants!$H81*(1-Constants!$H99))+(R5*Constants!$H63*Constants!$H115))</f>
        <v>21261682.124508936</v>
      </c>
      <c r="S50" s="22">
        <f>((S5*Constants!$H63*Constants!$H81*(1-Constants!$H99))+(S5*Constants!$H63*Constants!$H115))</f>
        <v>21194417.454059578</v>
      </c>
      <c r="T50" s="22">
        <f>((T5*Constants!$H63*Constants!$H81*(1-Constants!$H99))+(T5*Constants!$H63*Constants!$H115))</f>
        <v>18481912.934478231</v>
      </c>
      <c r="U50" s="22">
        <f>((U5*Constants!$H63*Constants!$H81*(1-Constants!$H99))+(U5*Constants!$H63*Constants!$H115))</f>
        <v>16810121.349826809</v>
      </c>
      <c r="V50" s="22">
        <f>((V5*Constants!$H63*Constants!$H81*(1-Constants!$H99))+(V5*Constants!$H63*Constants!$H115))</f>
        <v>16230435.931459881</v>
      </c>
      <c r="W50" s="22">
        <f>((W5*Constants!$H63*Constants!$H81*(1-Constants!$H99))+(W5*Constants!$H63*Constants!$H115))</f>
        <v>17376958.460355092</v>
      </c>
      <c r="X50" s="22">
        <f>((X5*Constants!$H63*Constants!$H81*(1-Constants!$H99))+(X5*Constants!$H63*Constants!$H115))</f>
        <v>16999067.053336237</v>
      </c>
      <c r="Y50" s="22">
        <f>((Y5*Constants!$H63*Constants!$H81*(1-Constants!$H99))+(Y5*Constants!$H63*Constants!$H115))</f>
        <v>16877386.020276166</v>
      </c>
      <c r="Z50" s="22">
        <f>((Z5*Constants!$H63*Constants!$H81*(1-Constants!$H99))+(Z5*Constants!$H63*Constants!$H115))</f>
        <v>20669148.398303367</v>
      </c>
      <c r="AA50" s="22">
        <f>((AA5*Constants!$H63*Constants!$H81*(1-Constants!$H99))+(AA5*Constants!$H63*Constants!$H115))</f>
        <v>21181569.146220937</v>
      </c>
      <c r="AB50" s="22">
        <f>((AB5*Constants!$H63*Constants!$H81*(1-Constants!$H99))+(AB5*Constants!$H63*Constants!$H115))</f>
        <v>21181569.146220937</v>
      </c>
      <c r="AC50" s="22">
        <f>((AC5*Constants!$H63*Constants!$H81*(1-Constants!$H99))+(AC5*Constants!$H63*Constants!$H115))</f>
        <v>20412938.024344582</v>
      </c>
      <c r="AD50" s="22">
        <f>((AD5*Constants!$H63*Constants!$H81*(1-Constants!$H99))+(AD5*Constants!$H63*Constants!$H115))</f>
        <v>20322831.998794224</v>
      </c>
      <c r="AE50" s="22">
        <f>((AE5*Constants!$H63*Constants!$H81*(1-Constants!$H99))+(AE5*Constants!$H63*Constants!$H115))</f>
        <v>20449243.441925868</v>
      </c>
      <c r="AF50" s="22">
        <f>((AF5*Constants!$H63*Constants!$H81*(1-Constants!$H99))+(AF5*Constants!$H63*Constants!$H115))</f>
        <v>20536153.050458316</v>
      </c>
      <c r="AG50" s="22">
        <f>((AG5*Constants!$H63*Constants!$H81*(1-Constants!$H99))+(AG5*Constants!$H63*Constants!$H115))</f>
        <v>20563409.183040306</v>
      </c>
      <c r="AH50" s="22">
        <f>((AH5*Constants!$H63*Constants!$H81*(1-Constants!$H99))+(AH5*Constants!$H63*Constants!$H115))</f>
        <v>20600282.663310457</v>
      </c>
      <c r="AI50" s="22">
        <f>((AI5*Constants!$H63*Constants!$H81*(1-Constants!$H99))+(AI5*Constants!$H63*Constants!$H115))</f>
        <v>20681049.594125446</v>
      </c>
      <c r="AJ50" s="22">
        <f>((AJ5*Constants!$H63*Constants!$H81*(1-Constants!$H99))+(AJ5*Constants!$H63*Constants!$H115))</f>
        <v>20777880.95176224</v>
      </c>
      <c r="AK50" s="22">
        <f>((AK5*Constants!$H63*Constants!$H81*(1-Constants!$H99))+(AK5*Constants!$H63*Constants!$H115))</f>
        <v>20806970.101663623</v>
      </c>
      <c r="AL50" s="22">
        <f>((AL5*Constants!$H63*Constants!$H81*(1-Constants!$H99))+(AL5*Constants!$H63*Constants!$H115))</f>
        <v>20168200.793105789</v>
      </c>
      <c r="AM50" s="22">
        <f>((AM5*Constants!$H63*Constants!$H81*(1-Constants!$H99))+(AM5*Constants!$H63*Constants!$H115))</f>
        <v>20171644.913260028</v>
      </c>
      <c r="AN50" s="22">
        <f>((AN5*Constants!$H63*Constants!$H81*(1-Constants!$H99))+(AN5*Constants!$H63*Constants!$H115))</f>
        <v>20158859.247958068</v>
      </c>
      <c r="AO50" s="22">
        <f>((AO5*Constants!$H63*Constants!$H81*(1-Constants!$H99))+(AO5*Constants!$H63*Constants!$H115))</f>
        <v>20147402.662066419</v>
      </c>
      <c r="AP50" s="22">
        <f>((AP5*Constants!$H63*Constants!$H81*(1-Constants!$H99))+(AP5*Constants!$H63*Constants!$H115))</f>
        <v>20164385.443882763</v>
      </c>
      <c r="AQ50" s="22">
        <f>((AQ5*Constants!$H63*Constants!$H81*(1-Constants!$H99))+(AQ5*Constants!$H63*Constants!$H115))</f>
        <v>20181747.118645757</v>
      </c>
      <c r="AR50" s="22">
        <f>((AR5*Constants!$H63*Constants!$H81*(1-Constants!$H99))+(AR5*Constants!$H63*Constants!$H115))</f>
        <v>20191246.207084257</v>
      </c>
      <c r="AS50" s="22">
        <f>((AS5*Constants!$H63*Constants!$H81*(1-Constants!$H99))+(AS5*Constants!$H63*Constants!$H115))</f>
        <v>20194234.311627291</v>
      </c>
      <c r="AT50" s="22">
        <f>((AT5*Constants!$H63*Constants!$H81*(1-Constants!$H99))+(AT5*Constants!$H63*Constants!$H115))</f>
        <v>20207497.048759468</v>
      </c>
      <c r="AU50" s="22">
        <f>((AU5*Constants!$H63*Constants!$H81*(1-Constants!$H99))+(AU5*Constants!$H63*Constants!$H115))</f>
        <v>20207914.365029883</v>
      </c>
      <c r="AV50" s="22">
        <f>((AV5*Constants!$H63*Constants!$H81*(1-Constants!$H99))+(AV5*Constants!$H63*Constants!$H115))</f>
        <v>20211503.216505386</v>
      </c>
      <c r="AW50" s="22">
        <f>((AW5*Constants!$H63*Constants!$H81*(1-Constants!$H99))+(AW5*Constants!$H63*Constants!$H115))</f>
        <v>20382486.871697579</v>
      </c>
      <c r="AX50" s="22">
        <f>((AX5*Constants!$H63*Constants!$H81*(1-Constants!$H99))+(AX5*Constants!$H63*Constants!$H115))</f>
        <v>20570946.599795174</v>
      </c>
      <c r="AY50" s="22">
        <f>((AY5*Constants!$H63*Constants!$H81*(1-Constants!$H99))+(AY5*Constants!$H63*Constants!$H115))</f>
        <v>20767468.105011359</v>
      </c>
      <c r="AZ50" s="22">
        <f>((AZ5*Constants!$H63*Constants!$H81*(1-Constants!$H99))+(AZ5*Constants!$H63*Constants!$H115))</f>
        <v>20765540.336453937</v>
      </c>
      <c r="BA50" s="22">
        <f>((BA5*Constants!$H63*Constants!$H81*(1-Constants!$H99))+(BA5*Constants!$H63*Constants!$H115))</f>
        <v>11099422.072297951</v>
      </c>
      <c r="BB50" s="22">
        <f>((BB5*Constants!$H63*Constants!$H81*(1-Constants!$H99))+(BB5*Constants!$H63*Constants!$H115))</f>
        <v>11089326.584607076</v>
      </c>
      <c r="BC50" s="22">
        <f>((BC5*Constants!$H63*Constants!$H81*(1-Constants!$H99))+(BC5*Constants!$H63*Constants!$H115))</f>
        <v>11080273.113999173</v>
      </c>
      <c r="BD50" s="22">
        <f>((BD5*Constants!$H63*Constants!$H81*(1-Constants!$H99))+(BD5*Constants!$H63*Constants!$H115))</f>
        <v>11072215.812183147</v>
      </c>
      <c r="BE50" s="22">
        <f>((BE5*Constants!$H63*Constants!$H81*(1-Constants!$H99))+(BE5*Constants!$H63*Constants!$H115))</f>
        <v>11065112.217482466</v>
      </c>
      <c r="BF50" s="22">
        <f>((BF5*Constants!$H63*Constants!$H81*(1-Constants!$H99))+(BF5*Constants!$H63*Constants!$H115))</f>
        <v>11058922.933931876</v>
      </c>
      <c r="BG50" s="22">
        <f>((BG5*Constants!$H63*Constants!$H81*(1-Constants!$H99))+(BG5*Constants!$H63*Constants!$H115))</f>
        <v>11045802.744445667</v>
      </c>
      <c r="BH50" s="22">
        <f>((BH5*Constants!$H63*Constants!$H81*(1-Constants!$H99))+(BH5*Constants!$H63*Constants!$H115))</f>
        <v>11033500.262018252</v>
      </c>
      <c r="BI50" s="22">
        <f>((BI5*Constants!$H63*Constants!$H81*(1-Constants!$H99))+(BI5*Constants!$H63*Constants!$H115))</f>
        <v>11021982.205229528</v>
      </c>
      <c r="BJ50" s="22">
        <f>((BJ5*Constants!$H63*Constants!$H81*(1-Constants!$H99))+(BJ5*Constants!$H63*Constants!$H115))</f>
        <v>11011217.470104985</v>
      </c>
      <c r="BK50" s="22">
        <f>((BK5*Constants!$H63*Constants!$H81*(1-Constants!$H99))+(BK5*Constants!$H63*Constants!$H115))</f>
        <v>11001176.945537895</v>
      </c>
      <c r="BL50" s="22">
        <f>((BL5*Constants!$H63*Constants!$H81*(1-Constants!$H99))+(BL5*Constants!$H63*Constants!$H115))</f>
        <v>10984006.12269249</v>
      </c>
      <c r="BM50" s="22">
        <f>((BM5*Constants!$H63*Constants!$H81*(1-Constants!$H99))+(BM5*Constants!$H63*Constants!$H115))</f>
        <v>10967493.508296529</v>
      </c>
      <c r="BN50" s="22">
        <f>((BN5*Constants!$H63*Constants!$H81*(1-Constants!$H99))+(BN5*Constants!$H63*Constants!$H115))</f>
        <v>10951613.856075004</v>
      </c>
      <c r="BO50" s="22">
        <f>((BO5*Constants!$H63*Constants!$H81*(1-Constants!$H99))+(BO5*Constants!$H63*Constants!$H115))</f>
        <v>10936343.399765765</v>
      </c>
      <c r="BP50" s="22">
        <f>((BP5*Constants!$H63*Constants!$H81*(1-Constants!$H99))+(BP5*Constants!$H63*Constants!$H115))</f>
        <v>10921659.739697717</v>
      </c>
    </row>
    <row r="51" spans="1:72" x14ac:dyDescent="0.25">
      <c r="A51" t="str">
        <f t="shared" ref="A51:B66" si="48">A50</f>
        <v>3C Aggregated and non-CO2 emissions on land</v>
      </c>
      <c r="B51" t="str">
        <f t="shared" si="48"/>
        <v>3C4 Direct N2O from managed soils (N2O)</v>
      </c>
      <c r="C51" t="s">
        <v>409</v>
      </c>
      <c r="D51" t="str">
        <f>Constants!D116</f>
        <v xml:space="preserve"> - Pasture</v>
      </c>
      <c r="E51" t="str">
        <f t="shared" ref="E51:E85" si="49">C51&amp;D51</f>
        <v>MM N available - Pasture</v>
      </c>
      <c r="F51" t="str">
        <f>F50</f>
        <v>kg N</v>
      </c>
      <c r="H51" s="22">
        <f>((H6*Constants!$H64*Constants!$H82*(1-Constants!$H100))+(H6*Constants!$H64*Constants!$H116))</f>
        <v>48497097.884958483</v>
      </c>
      <c r="I51" s="22">
        <f>((I6*Constants!$H64*Constants!$H82*(1-Constants!$H100))+(I6*Constants!$H64*Constants!$H116))</f>
        <v>55832756.626650497</v>
      </c>
      <c r="J51" s="22">
        <f>((J6*Constants!$H64*Constants!$H82*(1-Constants!$H100))+(J6*Constants!$H64*Constants!$H116))</f>
        <v>48302558.663262829</v>
      </c>
      <c r="K51" s="22">
        <f>((K6*Constants!$H64*Constants!$H82*(1-Constants!$H100))+(K6*Constants!$H64*Constants!$H116))</f>
        <v>51229390.324504077</v>
      </c>
      <c r="L51" s="22">
        <f>((L6*Constants!$H64*Constants!$H82*(1-Constants!$H100))+(L6*Constants!$H64*Constants!$H116))</f>
        <v>47524401.776480258</v>
      </c>
      <c r="M51" s="22">
        <f>((M6*Constants!$H64*Constants!$H82*(1-Constants!$H100))+(M6*Constants!$H64*Constants!$H116))</f>
        <v>50840311.881112777</v>
      </c>
      <c r="N51" s="22">
        <f>((N6*Constants!$H64*Constants!$H82*(1-Constants!$H100))+(N6*Constants!$H64*Constants!$H116))</f>
        <v>51034851.102808431</v>
      </c>
      <c r="O51" s="22">
        <f>((O6*Constants!$H64*Constants!$H82*(1-Constants!$H100))+(O6*Constants!$H64*Constants!$H116))</f>
        <v>49200936.417385429</v>
      </c>
      <c r="P51" s="22">
        <f>((P6*Constants!$H64*Constants!$H82*(1-Constants!$H100))+(P6*Constants!$H64*Constants!$H116))</f>
        <v>48617318.752298489</v>
      </c>
      <c r="Q51" s="22">
        <f>((Q6*Constants!$H64*Constants!$H82*(1-Constants!$H100))+(Q6*Constants!$H64*Constants!$H116))</f>
        <v>47756100.175353706</v>
      </c>
      <c r="R51" s="22">
        <f>((R6*Constants!$H64*Constants!$H82*(1-Constants!$H100))+(R6*Constants!$H64*Constants!$H116))</f>
        <v>61491880.727437332</v>
      </c>
      <c r="S51" s="22">
        <f>((S6*Constants!$H64*Constants!$H82*(1-Constants!$H100))+(S6*Constants!$H64*Constants!$H116))</f>
        <v>61297341.505741686</v>
      </c>
      <c r="T51" s="22">
        <f>((T6*Constants!$H64*Constants!$H82*(1-Constants!$H100))+(T6*Constants!$H64*Constants!$H116))</f>
        <v>53452383.453318357</v>
      </c>
      <c r="U51" s="22">
        <f>((U6*Constants!$H64*Constants!$H82*(1-Constants!$H100))+(U6*Constants!$H64*Constants!$H116))</f>
        <v>48617318.752298489</v>
      </c>
      <c r="V51" s="22">
        <f>((V6*Constants!$H64*Constants!$H82*(1-Constants!$H100))+(V6*Constants!$H64*Constants!$H116))</f>
        <v>46940784.111393303</v>
      </c>
      <c r="W51" s="22">
        <f>((W6*Constants!$H64*Constants!$H82*(1-Constants!$H100))+(W6*Constants!$H64*Constants!$H116))</f>
        <v>50256694.216025844</v>
      </c>
      <c r="X51" s="22">
        <f>((X6*Constants!$H64*Constants!$H82*(1-Constants!$H100))+(X6*Constants!$H64*Constants!$H116))</f>
        <v>49163777.240207598</v>
      </c>
      <c r="Y51" s="22">
        <f>((Y6*Constants!$H64*Constants!$H82*(1-Constants!$H100))+(Y6*Constants!$H64*Constants!$H116))</f>
        <v>48811857.973994136</v>
      </c>
      <c r="Z51" s="22">
        <f>((Z6*Constants!$H64*Constants!$H82*(1-Constants!$H100))+(Z6*Constants!$H64*Constants!$H116))</f>
        <v>59778186.909354329</v>
      </c>
      <c r="AA51" s="22">
        <f>((AA6*Constants!$H64*Constants!$H82*(1-Constants!$H100))+(AA6*Constants!$H64*Constants!$H116))</f>
        <v>61260182.328563854</v>
      </c>
      <c r="AB51" s="22">
        <f>((AB6*Constants!$H64*Constants!$H82*(1-Constants!$H100))+(AB6*Constants!$H64*Constants!$H116))</f>
        <v>61260182.328563854</v>
      </c>
      <c r="AC51" s="22">
        <f>((AC6*Constants!$H64*Constants!$H82*(1-Constants!$H100))+(AC6*Constants!$H64*Constants!$H116))</f>
        <v>59037189.199749559</v>
      </c>
      <c r="AD51" s="22">
        <f>((AD6*Constants!$H64*Constants!$H82*(1-Constants!$H100))+(AD6*Constants!$H64*Constants!$H116))</f>
        <v>59423366.608394958</v>
      </c>
      <c r="AE51" s="22">
        <f>((AE6*Constants!$H64*Constants!$H82*(1-Constants!$H100))+(AE6*Constants!$H64*Constants!$H116))</f>
        <v>59792989.972360849</v>
      </c>
      <c r="AF51" s="22">
        <f>((AF6*Constants!$H64*Constants!$H82*(1-Constants!$H100))+(AF6*Constants!$H64*Constants!$H116))</f>
        <v>60047111.126829989</v>
      </c>
      <c r="AG51" s="22">
        <f>((AG6*Constants!$H64*Constants!$H82*(1-Constants!$H100))+(AG6*Constants!$H64*Constants!$H116))</f>
        <v>60126807.261642419</v>
      </c>
      <c r="AH51" s="22">
        <f>((AH6*Constants!$H64*Constants!$H82*(1-Constants!$H100))+(AH6*Constants!$H64*Constants!$H116))</f>
        <v>60234624.239923343</v>
      </c>
      <c r="AI51" s="22">
        <f>((AI6*Constants!$H64*Constants!$H82*(1-Constants!$H100))+(AI6*Constants!$H64*Constants!$H116))</f>
        <v>60470784.384333253</v>
      </c>
      <c r="AJ51" s="22">
        <f>((AJ6*Constants!$H64*Constants!$H82*(1-Constants!$H100))+(AJ6*Constants!$H64*Constants!$H116))</f>
        <v>60753916.443112336</v>
      </c>
      <c r="AK51" s="22">
        <f>((AK6*Constants!$H64*Constants!$H82*(1-Constants!$H100))+(AK6*Constants!$H64*Constants!$H116))</f>
        <v>60838972.266976804</v>
      </c>
      <c r="AL51" s="22">
        <f>((AL6*Constants!$H64*Constants!$H82*(1-Constants!$H100))+(AL6*Constants!$H64*Constants!$H116))</f>
        <v>58971229.483742893</v>
      </c>
      <c r="AM51" s="22">
        <f>((AM6*Constants!$H64*Constants!$H82*(1-Constants!$H100))+(AM6*Constants!$H64*Constants!$H116))</f>
        <v>58981299.990381956</v>
      </c>
      <c r="AN51" s="22">
        <f>((AN6*Constants!$H64*Constants!$H82*(1-Constants!$H100))+(AN6*Constants!$H64*Constants!$H116))</f>
        <v>58943915.078839339</v>
      </c>
      <c r="AO51" s="22">
        <f>((AO6*Constants!$H64*Constants!$H82*(1-Constants!$H100))+(AO6*Constants!$H64*Constants!$H116))</f>
        <v>58910416.35663563</v>
      </c>
      <c r="AP51" s="22">
        <f>((AP6*Constants!$H64*Constants!$H82*(1-Constants!$H100))+(AP6*Constants!$H64*Constants!$H116))</f>
        <v>58960073.514159873</v>
      </c>
      <c r="AQ51" s="22">
        <f>((AQ6*Constants!$H64*Constants!$H82*(1-Constants!$H100))+(AQ6*Constants!$H64*Constants!$H116))</f>
        <v>59010838.543582857</v>
      </c>
      <c r="AR51" s="22">
        <f>((AR6*Constants!$H64*Constants!$H82*(1-Constants!$H100))+(AR6*Constants!$H64*Constants!$H116))</f>
        <v>59038613.600462742</v>
      </c>
      <c r="AS51" s="22">
        <f>((AS6*Constants!$H64*Constants!$H82*(1-Constants!$H100))+(AS6*Constants!$H64*Constants!$H116))</f>
        <v>59047350.730786681</v>
      </c>
      <c r="AT51" s="22">
        <f>((AT6*Constants!$H64*Constants!$H82*(1-Constants!$H100))+(AT6*Constants!$H64*Constants!$H116))</f>
        <v>59086130.586413234</v>
      </c>
      <c r="AU51" s="22">
        <f>((AU6*Constants!$H64*Constants!$H82*(1-Constants!$H100))+(AU6*Constants!$H64*Constants!$H116))</f>
        <v>59087350.806987323</v>
      </c>
      <c r="AV51" s="22">
        <f>((AV6*Constants!$H64*Constants!$H82*(1-Constants!$H100))+(AV6*Constants!$H64*Constants!$H116))</f>
        <v>59097844.50377842</v>
      </c>
      <c r="AW51" s="22">
        <f>((AW6*Constants!$H64*Constants!$H82*(1-Constants!$H100))+(AW6*Constants!$H64*Constants!$H116))</f>
        <v>59597795.712701082</v>
      </c>
      <c r="AX51" s="22">
        <f>((AX6*Constants!$H64*Constants!$H82*(1-Constants!$H100))+(AX6*Constants!$H64*Constants!$H116))</f>
        <v>60148846.44787056</v>
      </c>
      <c r="AY51" s="22">
        <f>((AY6*Constants!$H64*Constants!$H82*(1-Constants!$H100))+(AY6*Constants!$H64*Constants!$H116))</f>
        <v>60723469.583641604</v>
      </c>
      <c r="AZ51" s="22">
        <f>((AZ6*Constants!$H64*Constants!$H82*(1-Constants!$H100))+(AZ6*Constants!$H64*Constants!$H116))</f>
        <v>60717832.844739735</v>
      </c>
      <c r="BA51" s="22">
        <f>((BA6*Constants!$H64*Constants!$H82*(1-Constants!$H100))+(BA6*Constants!$H64*Constants!$H116))</f>
        <v>32454385.637917232</v>
      </c>
      <c r="BB51" s="22">
        <f>((BB6*Constants!$H64*Constants!$H82*(1-Constants!$H100))+(BB6*Constants!$H64*Constants!$H116))</f>
        <v>32424866.727059681</v>
      </c>
      <c r="BC51" s="22">
        <f>((BC6*Constants!$H64*Constants!$H82*(1-Constants!$H100))+(BC6*Constants!$H64*Constants!$H116))</f>
        <v>32398394.643688451</v>
      </c>
      <c r="BD51" s="22">
        <f>((BD6*Constants!$H64*Constants!$H82*(1-Constants!$H100))+(BD6*Constants!$H64*Constants!$H116))</f>
        <v>32374835.328740776</v>
      </c>
      <c r="BE51" s="22">
        <f>((BE6*Constants!$H64*Constants!$H82*(1-Constants!$H100))+(BE6*Constants!$H64*Constants!$H116))</f>
        <v>32354064.625515893</v>
      </c>
      <c r="BF51" s="22">
        <f>((BF6*Constants!$H64*Constants!$H82*(1-Constants!$H100))+(BF6*Constants!$H64*Constants!$H116))</f>
        <v>32335967.341363177</v>
      </c>
      <c r="BG51" s="22">
        <f>((BG6*Constants!$H64*Constants!$H82*(1-Constants!$H100))+(BG6*Constants!$H64*Constants!$H116))</f>
        <v>32297604.290885933</v>
      </c>
      <c r="BH51" s="22">
        <f>((BH6*Constants!$H64*Constants!$H82*(1-Constants!$H100))+(BH6*Constants!$H64*Constants!$H116))</f>
        <v>32261632.191942189</v>
      </c>
      <c r="BI51" s="22">
        <f>((BI6*Constants!$H64*Constants!$H82*(1-Constants!$H100))+(BI6*Constants!$H64*Constants!$H116))</f>
        <v>32227953.730632596</v>
      </c>
      <c r="BJ51" s="22">
        <f>((BJ6*Constants!$H64*Constants!$H82*(1-Constants!$H100))+(BJ6*Constants!$H64*Constants!$H116))</f>
        <v>32196477.959845036</v>
      </c>
      <c r="BK51" s="22">
        <f>((BK6*Constants!$H64*Constants!$H82*(1-Constants!$H100))+(BK6*Constants!$H64*Constants!$H116))</f>
        <v>32167119.759554543</v>
      </c>
      <c r="BL51" s="22">
        <f>((BL6*Constants!$H64*Constants!$H82*(1-Constants!$H100))+(BL6*Constants!$H64*Constants!$H116))</f>
        <v>32116912.775558863</v>
      </c>
      <c r="BM51" s="22">
        <f>((BM6*Constants!$H64*Constants!$H82*(1-Constants!$H100))+(BM6*Constants!$H64*Constants!$H116))</f>
        <v>32068630.373826049</v>
      </c>
      <c r="BN51" s="22">
        <f>((BN6*Constants!$H64*Constants!$H82*(1-Constants!$H100))+(BN6*Constants!$H64*Constants!$H116))</f>
        <v>32022198.734986082</v>
      </c>
      <c r="BO51" s="22">
        <f>((BO6*Constants!$H64*Constants!$H82*(1-Constants!$H100))+(BO6*Constants!$H64*Constants!$H116))</f>
        <v>31977548.367183242</v>
      </c>
      <c r="BP51" s="22">
        <f>((BP6*Constants!$H64*Constants!$H82*(1-Constants!$H100))+(BP6*Constants!$H64*Constants!$H116))</f>
        <v>31934613.774434142</v>
      </c>
    </row>
    <row r="52" spans="1:72" x14ac:dyDescent="0.25">
      <c r="A52" t="str">
        <f t="shared" si="48"/>
        <v>3C Aggregated and non-CO2 emissions on land</v>
      </c>
      <c r="B52" t="str">
        <f t="shared" si="48"/>
        <v>3C4 Direct N2O from managed soils (N2O)</v>
      </c>
      <c r="C52" t="s">
        <v>409</v>
      </c>
      <c r="D52" t="str">
        <f>Constants!D117</f>
        <v xml:space="preserve"> - Non-lactating</v>
      </c>
      <c r="E52" t="str">
        <f t="shared" si="49"/>
        <v>MM N available - Non-lactating</v>
      </c>
      <c r="F52" t="str">
        <f t="shared" ref="F52:F85" si="50">F51</f>
        <v>kg N</v>
      </c>
      <c r="H52" s="22">
        <f>((H7*Constants!$H65*Constants!$H83*(1-Constants!$H101))+(H7*Constants!$H65*Constants!$H117))</f>
        <v>3062615.1790069034</v>
      </c>
      <c r="I52" s="22">
        <f>((I7*Constants!$H65*Constants!$H83*(1-Constants!$H101))+(I7*Constants!$H65*Constants!$H117))</f>
        <v>3481151.0311277835</v>
      </c>
      <c r="J52" s="22">
        <f>((J7*Constants!$H65*Constants!$H83*(1-Constants!$H101))+(J7*Constants!$H65*Constants!$H117))</f>
        <v>3011204.707020822</v>
      </c>
      <c r="K52" s="22">
        <f>((K7*Constants!$H65*Constants!$H83*(1-Constants!$H101))+(K7*Constants!$H65*Constants!$H117))</f>
        <v>3151320.9974138029</v>
      </c>
      <c r="L52" s="22">
        <f>((L7*Constants!$H65*Constants!$H83*(1-Constants!$H101))+(L7*Constants!$H65*Constants!$H117))</f>
        <v>2805562.8190765027</v>
      </c>
      <c r="M52" s="22">
        <f>((M7*Constants!$H65*Constants!$H83*(1-Constants!$H101))+(M7*Constants!$H65*Constants!$H117))</f>
        <v>3048500.0534416419</v>
      </c>
      <c r="N52" s="22">
        <f>((N7*Constants!$H65*Constants!$H83*(1-Constants!$H101))+(N7*Constants!$H65*Constants!$H117))</f>
        <v>3099910.5254277219</v>
      </c>
      <c r="O52" s="22">
        <f>((O7*Constants!$H65*Constants!$H83*(1-Constants!$H101))+(O7*Constants!$H65*Constants!$H117))</f>
        <v>2995276.5623975019</v>
      </c>
      <c r="P52" s="22">
        <f>((P7*Constants!$H65*Constants!$H83*(1-Constants!$H101))+(P7*Constants!$H65*Constants!$H117))</f>
        <v>2841045.1464392617</v>
      </c>
      <c r="Q52" s="22">
        <f>((Q7*Constants!$H65*Constants!$H83*(1-Constants!$H101))+(Q7*Constants!$H65*Constants!$H117))</f>
        <v>2993463.5433394425</v>
      </c>
      <c r="R52" s="22">
        <f>((R7*Constants!$H65*Constants!$H83*(1-Constants!$H101))+(R7*Constants!$H65*Constants!$H117))</f>
        <v>3709973.1399276629</v>
      </c>
      <c r="S52" s="22">
        <f>((S7*Constants!$H65*Constants!$H83*(1-Constants!$H101))+(S7*Constants!$H65*Constants!$H117))</f>
        <v>3658562.6679415829</v>
      </c>
      <c r="T52" s="22">
        <f>((T7*Constants!$H65*Constants!$H83*(1-Constants!$H101))+(T7*Constants!$H65*Constants!$H117))</f>
        <v>3358775.904416183</v>
      </c>
      <c r="U52" s="22">
        <f>((U7*Constants!$H65*Constants!$H83*(1-Constants!$H101))+(U7*Constants!$H65*Constants!$H117))</f>
        <v>2841045.1464392617</v>
      </c>
      <c r="V52" s="22">
        <f>((V7*Constants!$H65*Constants!$H83*(1-Constants!$H101))+(V7*Constants!$H65*Constants!$H117))</f>
        <v>2651331.4031182611</v>
      </c>
      <c r="W52" s="22">
        <f>((W7*Constants!$H65*Constants!$H83*(1-Constants!$H101))+(W7*Constants!$H65*Constants!$H117))</f>
        <v>2894268.6374834022</v>
      </c>
      <c r="X52" s="22">
        <f>((X7*Constants!$H65*Constants!$H83*(1-Constants!$H101))+(X7*Constants!$H65*Constants!$H117))</f>
        <v>2858786.3101206413</v>
      </c>
      <c r="Y52" s="22">
        <f>((Y7*Constants!$H65*Constants!$H83*(1-Constants!$H101))+(Y7*Constants!$H65*Constants!$H117))</f>
        <v>2892455.6184253423</v>
      </c>
      <c r="Z52" s="22">
        <f>((Z7*Constants!$H65*Constants!$H83*(1-Constants!$H101))+(Z7*Constants!$H65*Constants!$H117))</f>
        <v>3383769.1443298031</v>
      </c>
      <c r="AA52" s="22">
        <f>((AA7*Constants!$H65*Constants!$H83*(1-Constants!$H101))+(AA7*Constants!$H65*Constants!$H117))</f>
        <v>3522072.4156647222</v>
      </c>
      <c r="AB52" s="22">
        <f>((AB7*Constants!$H65*Constants!$H83*(1-Constants!$H101))+(AB7*Constants!$H65*Constants!$H117))</f>
        <v>3522072.4156647222</v>
      </c>
      <c r="AC52" s="22">
        <f>((AC7*Constants!$H65*Constants!$H83*(1-Constants!$H101))+(AC7*Constants!$H65*Constants!$H117))</f>
        <v>3314617.5086623426</v>
      </c>
      <c r="AD52" s="22">
        <f>((AD7*Constants!$H65*Constants!$H83*(1-Constants!$H101))+(AD7*Constants!$H65*Constants!$H117))</f>
        <v>3178815.0617040638</v>
      </c>
      <c r="AE52" s="22">
        <f>((AE7*Constants!$H65*Constants!$H83*(1-Constants!$H101))+(AE7*Constants!$H65*Constants!$H117))</f>
        <v>3198587.8275972446</v>
      </c>
      <c r="AF52" s="22">
        <f>((AF7*Constants!$H65*Constants!$H83*(1-Constants!$H101))+(AF7*Constants!$H65*Constants!$H117))</f>
        <v>3212181.8765283264</v>
      </c>
      <c r="AG52" s="22">
        <f>((AG7*Constants!$H65*Constants!$H83*(1-Constants!$H101))+(AG7*Constants!$H65*Constants!$H117))</f>
        <v>3216445.1703832657</v>
      </c>
      <c r="AH52" s="22">
        <f>((AH7*Constants!$H65*Constants!$H83*(1-Constants!$H101))+(AH7*Constants!$H65*Constants!$H117))</f>
        <v>3222212.7708076145</v>
      </c>
      <c r="AI52" s="22">
        <f>((AI7*Constants!$H65*Constants!$H83*(1-Constants!$H101))+(AI7*Constants!$H65*Constants!$H117))</f>
        <v>3234846.0069716247</v>
      </c>
      <c r="AJ52" s="22">
        <f>((AJ7*Constants!$H65*Constants!$H83*(1-Constants!$H101))+(AJ7*Constants!$H65*Constants!$H117))</f>
        <v>3249991.9757086281</v>
      </c>
      <c r="AK52" s="22">
        <f>((AK7*Constants!$H65*Constants!$H83*(1-Constants!$H101))+(AK7*Constants!$H65*Constants!$H117))</f>
        <v>3254541.9827078581</v>
      </c>
      <c r="AL52" s="22">
        <f>((AL7*Constants!$H65*Constants!$H83*(1-Constants!$H101))+(AL7*Constants!$H65*Constants!$H117))</f>
        <v>3154628.2748585576</v>
      </c>
      <c r="AM52" s="22">
        <f>((AM7*Constants!$H65*Constants!$H83*(1-Constants!$H101))+(AM7*Constants!$H65*Constants!$H117))</f>
        <v>3155166.9901823504</v>
      </c>
      <c r="AN52" s="22">
        <f>((AN7*Constants!$H65*Constants!$H83*(1-Constants!$H101))+(AN7*Constants!$H65*Constants!$H117))</f>
        <v>3153167.1082053613</v>
      </c>
      <c r="AO52" s="22">
        <f>((AO7*Constants!$H65*Constants!$H83*(1-Constants!$H101))+(AO7*Constants!$H65*Constants!$H117))</f>
        <v>3151375.1154461708</v>
      </c>
      <c r="AP52" s="22">
        <f>((AP7*Constants!$H65*Constants!$H83*(1-Constants!$H101))+(AP7*Constants!$H65*Constants!$H117))</f>
        <v>3154031.493387524</v>
      </c>
      <c r="AQ52" s="22">
        <f>((AQ7*Constants!$H65*Constants!$H83*(1-Constants!$H101))+(AQ7*Constants!$H65*Constants!$H117))</f>
        <v>3156747.1362288506</v>
      </c>
      <c r="AR52" s="22">
        <f>((AR7*Constants!$H65*Constants!$H83*(1-Constants!$H101))+(AR7*Constants!$H65*Constants!$H117))</f>
        <v>3158232.945165447</v>
      </c>
      <c r="AS52" s="22">
        <f>((AS7*Constants!$H65*Constants!$H83*(1-Constants!$H101))+(AS7*Constants!$H65*Constants!$H117))</f>
        <v>3158700.3323744694</v>
      </c>
      <c r="AT52" s="22">
        <f>((AT7*Constants!$H65*Constants!$H83*(1-Constants!$H101))+(AT7*Constants!$H65*Constants!$H117))</f>
        <v>3160774.8359947177</v>
      </c>
      <c r="AU52" s="22">
        <f>((AU7*Constants!$H65*Constants!$H83*(1-Constants!$H101))+(AU7*Constants!$H65*Constants!$H117))</f>
        <v>3160840.1109153563</v>
      </c>
      <c r="AV52" s="22">
        <f>((AV7*Constants!$H65*Constants!$H83*(1-Constants!$H101))+(AV7*Constants!$H65*Constants!$H117))</f>
        <v>3161401.4645261737</v>
      </c>
      <c r="AW52" s="22">
        <f>((AW7*Constants!$H65*Constants!$H83*(1-Constants!$H101))+(AW7*Constants!$H65*Constants!$H117))</f>
        <v>3188146.0352859185</v>
      </c>
      <c r="AX52" s="22">
        <f>((AX7*Constants!$H65*Constants!$H83*(1-Constants!$H101))+(AX7*Constants!$H65*Constants!$H117))</f>
        <v>3217624.1425810447</v>
      </c>
      <c r="AY52" s="22">
        <f>((AY7*Constants!$H65*Constants!$H83*(1-Constants!$H101))+(AY7*Constants!$H65*Constants!$H117))</f>
        <v>3248363.2403980726</v>
      </c>
      <c r="AZ52" s="22">
        <f>((AZ7*Constants!$H65*Constants!$H83*(1-Constants!$H101))+(AZ7*Constants!$H65*Constants!$H117))</f>
        <v>3248061.706648929</v>
      </c>
      <c r="BA52" s="22">
        <f>((BA7*Constants!$H65*Constants!$H83*(1-Constants!$H101))+(BA7*Constants!$H65*Constants!$H117))</f>
        <v>1736126.6412931345</v>
      </c>
      <c r="BB52" s="22">
        <f>((BB7*Constants!$H65*Constants!$H83*(1-Constants!$H101))+(BB7*Constants!$H65*Constants!$H117))</f>
        <v>1734547.546001253</v>
      </c>
      <c r="BC52" s="22">
        <f>((BC7*Constants!$H65*Constants!$H83*(1-Constants!$H101))+(BC7*Constants!$H65*Constants!$H117))</f>
        <v>1733131.4388007012</v>
      </c>
      <c r="BD52" s="22">
        <f>((BD7*Constants!$H65*Constants!$H83*(1-Constants!$H101))+(BD7*Constants!$H65*Constants!$H117))</f>
        <v>1731871.1482874993</v>
      </c>
      <c r="BE52" s="22">
        <f>((BE7*Constants!$H65*Constants!$H83*(1-Constants!$H101))+(BE7*Constants!$H65*Constants!$H117))</f>
        <v>1730760.0327781988</v>
      </c>
      <c r="BF52" s="22">
        <f>((BF7*Constants!$H65*Constants!$H83*(1-Constants!$H101))+(BF7*Constants!$H65*Constants!$H117))</f>
        <v>1729791.9301154916</v>
      </c>
      <c r="BG52" s="22">
        <f>((BG7*Constants!$H65*Constants!$H83*(1-Constants!$H101))+(BG7*Constants!$H65*Constants!$H117))</f>
        <v>1727739.7232206238</v>
      </c>
      <c r="BH52" s="22">
        <f>((BH7*Constants!$H65*Constants!$H83*(1-Constants!$H101))+(BH7*Constants!$H65*Constants!$H117))</f>
        <v>1725815.4187516926</v>
      </c>
      <c r="BI52" s="22">
        <f>((BI7*Constants!$H65*Constants!$H83*(1-Constants!$H101))+(BI7*Constants!$H65*Constants!$H117))</f>
        <v>1724013.8109637753</v>
      </c>
      <c r="BJ52" s="22">
        <f>((BJ7*Constants!$H65*Constants!$H83*(1-Constants!$H101))+(BJ7*Constants!$H65*Constants!$H117))</f>
        <v>1722330.034699169</v>
      </c>
      <c r="BK52" s="22">
        <f>((BK7*Constants!$H65*Constants!$H83*(1-Constants!$H101))+(BK7*Constants!$H65*Constants!$H117))</f>
        <v>1720759.5365164767</v>
      </c>
      <c r="BL52" s="22">
        <f>((BL7*Constants!$H65*Constants!$H83*(1-Constants!$H101))+(BL7*Constants!$H65*Constants!$H117))</f>
        <v>1718073.7459590351</v>
      </c>
      <c r="BM52" s="22">
        <f>((BM7*Constants!$H65*Constants!$H83*(1-Constants!$H101))+(BM7*Constants!$H65*Constants!$H117))</f>
        <v>1715490.9097011201</v>
      </c>
      <c r="BN52" s="22">
        <f>((BN7*Constants!$H65*Constants!$H83*(1-Constants!$H101))+(BN7*Constants!$H65*Constants!$H117))</f>
        <v>1713007.0788226584</v>
      </c>
      <c r="BO52" s="22">
        <f>((BO7*Constants!$H65*Constants!$H83*(1-Constants!$H101))+(BO7*Constants!$H65*Constants!$H117))</f>
        <v>1710618.5359011905</v>
      </c>
      <c r="BP52" s="22">
        <f>((BP7*Constants!$H65*Constants!$H83*(1-Constants!$H101))+(BP7*Constants!$H65*Constants!$H117))</f>
        <v>1708321.7772708964</v>
      </c>
    </row>
    <row r="53" spans="1:72" x14ac:dyDescent="0.25">
      <c r="A53" t="str">
        <f t="shared" si="48"/>
        <v>3C Aggregated and non-CO2 emissions on land</v>
      </c>
      <c r="B53" t="str">
        <f t="shared" si="48"/>
        <v>3C4 Direct N2O from managed soils (N2O)</v>
      </c>
      <c r="C53" t="s">
        <v>409</v>
      </c>
      <c r="D53" t="str">
        <f>Constants!D118</f>
        <v xml:space="preserve"> - Commercial cattle</v>
      </c>
      <c r="E53" t="str">
        <f t="shared" si="49"/>
        <v>MM N available - Commercial cattle</v>
      </c>
      <c r="F53" t="str">
        <f t="shared" si="50"/>
        <v>kg N</v>
      </c>
      <c r="H53" s="22">
        <f>((H8*Constants!$H66*Constants!$H84*(1-Constants!$H102))+(H8*Constants!$H66*Constants!$H118))</f>
        <v>29140148.242835071</v>
      </c>
      <c r="I53" s="22">
        <f>((I8*Constants!$H66*Constants!$H84*(1-Constants!$H102))+(I8*Constants!$H66*Constants!$H118))</f>
        <v>27882399.754625745</v>
      </c>
      <c r="J53" s="22">
        <f>((J8*Constants!$H66*Constants!$H84*(1-Constants!$H102))+(J8*Constants!$H66*Constants!$H118))</f>
        <v>27872269.031688493</v>
      </c>
      <c r="K53" s="22">
        <f>((K8*Constants!$H66*Constants!$H84*(1-Constants!$H102))+(K8*Constants!$H66*Constants!$H118))</f>
        <v>26075497.690151285</v>
      </c>
      <c r="L53" s="22">
        <f>((L8*Constants!$H66*Constants!$H84*(1-Constants!$H102))+(L8*Constants!$H66*Constants!$H118))</f>
        <v>26861590.495282121</v>
      </c>
      <c r="M53" s="22">
        <f>((M8*Constants!$H66*Constants!$H84*(1-Constants!$H102))+(M8*Constants!$H66*Constants!$H118))</f>
        <v>27472340.576832376</v>
      </c>
      <c r="N53" s="22">
        <f>((N8*Constants!$H66*Constants!$H84*(1-Constants!$H102))+(N8*Constants!$H66*Constants!$H118))</f>
        <v>28611982.788773268</v>
      </c>
      <c r="O53" s="22">
        <f>((O8*Constants!$H66*Constants!$H84*(1-Constants!$H102))+(O8*Constants!$H66*Constants!$H118))</f>
        <v>29695841.906059686</v>
      </c>
      <c r="P53" s="22">
        <f>((P8*Constants!$H66*Constants!$H84*(1-Constants!$H102))+(P8*Constants!$H66*Constants!$H118))</f>
        <v>29953042.580799885</v>
      </c>
      <c r="Q53" s="22">
        <f>((Q8*Constants!$H66*Constants!$H84*(1-Constants!$H102))+(Q8*Constants!$H66*Constants!$H118))</f>
        <v>29468349.46946881</v>
      </c>
      <c r="R53" s="22">
        <f>((R8*Constants!$H66*Constants!$H84*(1-Constants!$H102))+(R8*Constants!$H66*Constants!$H118))</f>
        <v>27466527.166201718</v>
      </c>
      <c r="S53" s="22">
        <f>((S8*Constants!$H66*Constants!$H84*(1-Constants!$H102))+(S8*Constants!$H66*Constants!$H118))</f>
        <v>27609254.946317643</v>
      </c>
      <c r="T53" s="22">
        <f>((T8*Constants!$H66*Constants!$H84*(1-Constants!$H102))+(T8*Constants!$H66*Constants!$H118))</f>
        <v>25732079.006278474</v>
      </c>
      <c r="U53" s="22">
        <f>((U8*Constants!$H66*Constants!$H84*(1-Constants!$H102))+(U8*Constants!$H66*Constants!$H118))</f>
        <v>26405152.269442696</v>
      </c>
      <c r="V53" s="22">
        <f>((V8*Constants!$H66*Constants!$H84*(1-Constants!$H102))+(V8*Constants!$H66*Constants!$H118))</f>
        <v>26648588.839601479</v>
      </c>
      <c r="W53" s="22">
        <f>((W8*Constants!$H66*Constants!$H84*(1-Constants!$H102))+(W8*Constants!$H66*Constants!$H118))</f>
        <v>26874627.923534695</v>
      </c>
      <c r="X53" s="22">
        <f>((X8*Constants!$H66*Constants!$H84*(1-Constants!$H102))+(X8*Constants!$H66*Constants!$H118))</f>
        <v>26262424.489326771</v>
      </c>
      <c r="Y53" s="22">
        <f>((Y8*Constants!$H66*Constants!$H84*(1-Constants!$H102))+(Y8*Constants!$H66*Constants!$H118))</f>
        <v>27031846.484560855</v>
      </c>
      <c r="Z53" s="22">
        <f>((Z8*Constants!$H66*Constants!$H84*(1-Constants!$H102))+(Z8*Constants!$H66*Constants!$H118))</f>
        <v>26280686.506655321</v>
      </c>
      <c r="AA53" s="22">
        <f>((AA8*Constants!$H66*Constants!$H84*(1-Constants!$H102))+(AA8*Constants!$H66*Constants!$H118))</f>
        <v>25839415.868110832</v>
      </c>
      <c r="AB53" s="22">
        <f>((AB8*Constants!$H66*Constants!$H84*(1-Constants!$H102))+(AB8*Constants!$H66*Constants!$H118))</f>
        <v>25758186.634461202</v>
      </c>
      <c r="AC53" s="22">
        <f>((AC8*Constants!$H66*Constants!$H84*(1-Constants!$H102))+(AC8*Constants!$H66*Constants!$H118))</f>
        <v>25665694.273928557</v>
      </c>
      <c r="AD53" s="22">
        <f>((AD8*Constants!$H66*Constants!$H84*(1-Constants!$H102))+(AD8*Constants!$H66*Constants!$H118))</f>
        <v>25678816.021951988</v>
      </c>
      <c r="AE53" s="22">
        <f>((AE8*Constants!$H66*Constants!$H84*(1-Constants!$H102))+(AE8*Constants!$H66*Constants!$H118))</f>
        <v>25508605.584880892</v>
      </c>
      <c r="AF53" s="22">
        <f>((AF8*Constants!$H66*Constants!$H84*(1-Constants!$H102))+(AF8*Constants!$H66*Constants!$H118))</f>
        <v>25149728.284561221</v>
      </c>
      <c r="AG53" s="22">
        <f>((AG8*Constants!$H66*Constants!$H84*(1-Constants!$H102))+(AG8*Constants!$H66*Constants!$H118))</f>
        <v>24544790.861596633</v>
      </c>
      <c r="AH53" s="22">
        <f>((AH8*Constants!$H66*Constants!$H84*(1-Constants!$H102))+(AH8*Constants!$H66*Constants!$H118))</f>
        <v>23957865.90080161</v>
      </c>
      <c r="AI53" s="22">
        <f>((AI8*Constants!$H66*Constants!$H84*(1-Constants!$H102))+(AI8*Constants!$H66*Constants!$H118))</f>
        <v>23506438.227744035</v>
      </c>
      <c r="AJ53" s="22">
        <f>((AJ8*Constants!$H66*Constants!$H84*(1-Constants!$H102))+(AJ8*Constants!$H66*Constants!$H118))</f>
        <v>23098118.422027841</v>
      </c>
      <c r="AK53" s="22">
        <f>((AK8*Constants!$H66*Constants!$H84*(1-Constants!$H102))+(AK8*Constants!$H66*Constants!$H118))</f>
        <v>22456134.781212166</v>
      </c>
      <c r="AL53" s="22">
        <f>((AL8*Constants!$H66*Constants!$H84*(1-Constants!$H102))+(AL8*Constants!$H66*Constants!$H118))</f>
        <v>19695391.352663916</v>
      </c>
      <c r="AM53" s="22">
        <f>((AM8*Constants!$H66*Constants!$H84*(1-Constants!$H102))+(AM8*Constants!$H66*Constants!$H118))</f>
        <v>19724055.050924413</v>
      </c>
      <c r="AN53" s="22">
        <f>((AN8*Constants!$H66*Constants!$H84*(1-Constants!$H102))+(AN8*Constants!$H66*Constants!$H118))</f>
        <v>19689988.47063164</v>
      </c>
      <c r="AO53" s="22">
        <f>((AO8*Constants!$H66*Constants!$H84*(1-Constants!$H102))+(AO8*Constants!$H66*Constants!$H118))</f>
        <v>19649856.790144198</v>
      </c>
      <c r="AP53" s="22">
        <f>((AP8*Constants!$H66*Constants!$H84*(1-Constants!$H102))+(AP8*Constants!$H66*Constants!$H118))</f>
        <v>19685534.091819637</v>
      </c>
      <c r="AQ53" s="22">
        <f>((AQ8*Constants!$H66*Constants!$H84*(1-Constants!$H102))+(AQ8*Constants!$H66*Constants!$H118))</f>
        <v>19711528.928787619</v>
      </c>
      <c r="AR53" s="22">
        <f>((AR8*Constants!$H66*Constants!$H84*(1-Constants!$H102))+(AR8*Constants!$H66*Constants!$H118))</f>
        <v>19743706.567197151</v>
      </c>
      <c r="AS53" s="22">
        <f>((AS8*Constants!$H66*Constants!$H84*(1-Constants!$H102))+(AS8*Constants!$H66*Constants!$H118))</f>
        <v>19747374.658698022</v>
      </c>
      <c r="AT53" s="22">
        <f>((AT8*Constants!$H66*Constants!$H84*(1-Constants!$H102))+(AT8*Constants!$H66*Constants!$H118))</f>
        <v>19771395.222229443</v>
      </c>
      <c r="AU53" s="22">
        <f>((AU8*Constants!$H66*Constants!$H84*(1-Constants!$H102))+(AU8*Constants!$H66*Constants!$H118))</f>
        <v>19750883.430819605</v>
      </c>
      <c r="AV53" s="22">
        <f>((AV8*Constants!$H66*Constants!$H84*(1-Constants!$H102))+(AV8*Constants!$H66*Constants!$H118))</f>
        <v>19731850.505299076</v>
      </c>
      <c r="AW53" s="22">
        <f>((AW8*Constants!$H66*Constants!$H84*(1-Constants!$H102))+(AW8*Constants!$H66*Constants!$H118))</f>
        <v>19770003.108514596</v>
      </c>
      <c r="AX53" s="22">
        <f>((AX8*Constants!$H66*Constants!$H84*(1-Constants!$H102))+(AX8*Constants!$H66*Constants!$H118))</f>
        <v>19833987.896761894</v>
      </c>
      <c r="AY53" s="22">
        <f>((AY8*Constants!$H66*Constants!$H84*(1-Constants!$H102))+(AY8*Constants!$H66*Constants!$H118))</f>
        <v>19897286.792702943</v>
      </c>
      <c r="AZ53" s="22">
        <f>((AZ8*Constants!$H66*Constants!$H84*(1-Constants!$H102))+(AZ8*Constants!$H66*Constants!$H118))</f>
        <v>19443395.995633949</v>
      </c>
      <c r="BA53" s="22">
        <f>((BA8*Constants!$H66*Constants!$H84*(1-Constants!$H102))+(BA8*Constants!$H66*Constants!$H118))</f>
        <v>-4578901.2196895881</v>
      </c>
      <c r="BB53" s="22">
        <f>((BB8*Constants!$H66*Constants!$H84*(1-Constants!$H102))+(BB8*Constants!$H66*Constants!$H118))</f>
        <v>-4465334.2751489552</v>
      </c>
      <c r="BC53" s="22">
        <f>((BC8*Constants!$H66*Constants!$H84*(1-Constants!$H102))+(BC8*Constants!$H66*Constants!$H118))</f>
        <v>-4353800.1210765764</v>
      </c>
      <c r="BD53" s="22">
        <f>((BD8*Constants!$H66*Constants!$H84*(1-Constants!$H102))+(BD8*Constants!$H66*Constants!$H118))</f>
        <v>-4244202.3953430606</v>
      </c>
      <c r="BE53" s="22">
        <f>((BE8*Constants!$H66*Constants!$H84*(1-Constants!$H102))+(BE8*Constants!$H66*Constants!$H118))</f>
        <v>-4136451.3936602706</v>
      </c>
      <c r="BF53" s="22">
        <f>((BF8*Constants!$H66*Constants!$H84*(1-Constants!$H102))+(BF8*Constants!$H66*Constants!$H118))</f>
        <v>-4030463.4572018664</v>
      </c>
      <c r="BG53" s="22">
        <f>((BG8*Constants!$H66*Constants!$H84*(1-Constants!$H102))+(BG8*Constants!$H66*Constants!$H118))</f>
        <v>-3943533.5857176585</v>
      </c>
      <c r="BH53" s="22">
        <f>((BH8*Constants!$H66*Constants!$H84*(1-Constants!$H102))+(BH8*Constants!$H66*Constants!$H118))</f>
        <v>-3858080.2366364161</v>
      </c>
      <c r="BI53" s="22">
        <f>((BI8*Constants!$H66*Constants!$H84*(1-Constants!$H102))+(BI8*Constants!$H66*Constants!$H118))</f>
        <v>-3774042.6303321929</v>
      </c>
      <c r="BJ53" s="22">
        <f>((BJ8*Constants!$H66*Constants!$H84*(1-Constants!$H102))+(BJ8*Constants!$H66*Constants!$H118))</f>
        <v>-3691363.7509724111</v>
      </c>
      <c r="BK53" s="22">
        <f>((BK8*Constants!$H66*Constants!$H84*(1-Constants!$H102))+(BK8*Constants!$H66*Constants!$H118))</f>
        <v>-3609990.0367943197</v>
      </c>
      <c r="BL53" s="22">
        <f>((BL8*Constants!$H66*Constants!$H84*(1-Constants!$H102))+(BL8*Constants!$H66*Constants!$H118))</f>
        <v>-3527472.0842466722</v>
      </c>
      <c r="BM53" s="22">
        <f>((BM8*Constants!$H66*Constants!$H84*(1-Constants!$H102))+(BM8*Constants!$H66*Constants!$H118))</f>
        <v>-3446260.2175867083</v>
      </c>
      <c r="BN53" s="22">
        <f>((BN8*Constants!$H66*Constants!$H84*(1-Constants!$H102))+(BN8*Constants!$H66*Constants!$H118))</f>
        <v>-3366307.9184643696</v>
      </c>
      <c r="BO53" s="22">
        <f>((BO8*Constants!$H66*Constants!$H84*(1-Constants!$H102))+(BO8*Constants!$H66*Constants!$H118))</f>
        <v>-3287571.2584737823</v>
      </c>
      <c r="BP53" s="22">
        <f>((BP8*Constants!$H66*Constants!$H84*(1-Constants!$H102))+(BP8*Constants!$H66*Constants!$H118))</f>
        <v>-3210008.7071511289</v>
      </c>
    </row>
    <row r="54" spans="1:72" x14ac:dyDescent="0.25">
      <c r="A54" t="str">
        <f t="shared" si="48"/>
        <v>3C Aggregated and non-CO2 emissions on land</v>
      </c>
      <c r="B54" t="str">
        <f t="shared" si="48"/>
        <v>3C4 Direct N2O from managed soils (N2O)</v>
      </c>
      <c r="C54" t="s">
        <v>409</v>
      </c>
      <c r="D54" t="str">
        <f>Constants!D119</f>
        <v xml:space="preserve"> - Subsistence cattle</v>
      </c>
      <c r="E54" t="str">
        <f t="shared" si="49"/>
        <v>MM N available - Subsistence cattle</v>
      </c>
      <c r="F54" t="str">
        <f t="shared" si="50"/>
        <v>kg N</v>
      </c>
      <c r="H54" s="22">
        <f>((H9*Constants!$H67*Constants!$H85*(1-Constants!$H103))+(H9*Constants!$H67*Constants!$H119))</f>
        <v>147147691.68218684</v>
      </c>
      <c r="I54" s="22">
        <f>((I9*Constants!$H67*Constants!$H85*(1-Constants!$H103))+(I9*Constants!$H67*Constants!$H119))</f>
        <v>156124021.4580065</v>
      </c>
      <c r="J54" s="22">
        <f>((J9*Constants!$H67*Constants!$H85*(1-Constants!$H103))+(J9*Constants!$H67*Constants!$H119))</f>
        <v>163497435.2024298</v>
      </c>
      <c r="K54" s="22">
        <f>((K9*Constants!$H67*Constants!$H85*(1-Constants!$H103))+(K9*Constants!$H67*Constants!$H119))</f>
        <v>161573935.96475413</v>
      </c>
      <c r="L54" s="22">
        <f>((L9*Constants!$H67*Constants!$H85*(1-Constants!$H103))+(L9*Constants!$H67*Constants!$H119))</f>
        <v>140736027.55660135</v>
      </c>
      <c r="M54" s="22">
        <f>((M9*Constants!$H67*Constants!$H85*(1-Constants!$H103))+(M9*Constants!$H67*Constants!$H119))</f>
        <v>135927279.46241224</v>
      </c>
      <c r="N54" s="22">
        <f>((N9*Constants!$H67*Constants!$H85*(1-Constants!$H103))+(N9*Constants!$H67*Constants!$H119))</f>
        <v>139774277.93776351</v>
      </c>
      <c r="O54" s="22">
        <f>((O9*Constants!$H67*Constants!$H85*(1-Constants!$H103))+(O9*Constants!$H67*Constants!$H119))</f>
        <v>146185942.06334898</v>
      </c>
      <c r="P54" s="22">
        <f>((P9*Constants!$H67*Constants!$H85*(1-Constants!$H103))+(P9*Constants!$H67*Constants!$H119))</f>
        <v>155162271.8391687</v>
      </c>
      <c r="Q54" s="22">
        <f>((Q9*Constants!$H67*Constants!$H85*(1-Constants!$H103))+(Q9*Constants!$H67*Constants!$H119))</f>
        <v>161573935.96475413</v>
      </c>
      <c r="R54" s="22">
        <f>((R9*Constants!$H67*Constants!$H85*(1-Constants!$H103))+(R9*Constants!$H67*Constants!$H119))</f>
        <v>157726937.48940286</v>
      </c>
      <c r="S54" s="22">
        <f>((S9*Constants!$H67*Constants!$H85*(1-Constants!$H103))+(S9*Constants!$H67*Constants!$H119))</f>
        <v>153879939.01405159</v>
      </c>
      <c r="T54" s="22">
        <f>((T9*Constants!$H67*Constants!$H85*(1-Constants!$H103))+(T9*Constants!$H67*Constants!$H119))</f>
        <v>174397264.2159251</v>
      </c>
      <c r="U54" s="22">
        <f>((U9*Constants!$H67*Constants!$H85*(1-Constants!$H103))+(U9*Constants!$H67*Constants!$H119))</f>
        <v>178564845.89755568</v>
      </c>
      <c r="V54" s="22">
        <f>((V9*Constants!$H67*Constants!$H85*(1-Constants!$H103))+(V9*Constants!$H67*Constants!$H119))</f>
        <v>175679597.04104221</v>
      </c>
      <c r="W54" s="22">
        <f>((W9*Constants!$H67*Constants!$H85*(1-Constants!$H103))+(W9*Constants!$H67*Constants!$H119))</f>
        <v>170550265.74057382</v>
      </c>
      <c r="X54" s="22">
        <f>((X9*Constants!$H67*Constants!$H85*(1-Constants!$H103))+(X9*Constants!$H67*Constants!$H119))</f>
        <v>176000180.24732149</v>
      </c>
      <c r="Y54" s="22">
        <f>((Y9*Constants!$H67*Constants!$H85*(1-Constants!$H103))+(Y9*Constants!$H67*Constants!$H119))</f>
        <v>183053010.78546554</v>
      </c>
      <c r="Z54" s="22">
        <f>((Z9*Constants!$H67*Constants!$H85*(1-Constants!$H103))+(Z9*Constants!$H67*Constants!$H119))</f>
        <v>180167761.92895204</v>
      </c>
      <c r="AA54" s="22">
        <f>((AA9*Constants!$H67*Constants!$H85*(1-Constants!$H103))+(AA9*Constants!$H67*Constants!$H119))</f>
        <v>178244262.6912764</v>
      </c>
      <c r="AB54" s="22">
        <f>((AB9*Constants!$H67*Constants!$H85*(1-Constants!$H103))+(AB9*Constants!$H67*Constants!$H119))</f>
        <v>175679597.04104221</v>
      </c>
      <c r="AC54" s="22">
        <f>((AC9*Constants!$H67*Constants!$H85*(1-Constants!$H103))+(AC9*Constants!$H67*Constants!$H119))</f>
        <v>176961929.86615929</v>
      </c>
      <c r="AD54" s="22">
        <f>((AD9*Constants!$H67*Constants!$H85*(1-Constants!$H103))+(AD9*Constants!$H67*Constants!$H119))</f>
        <v>170783401.88394937</v>
      </c>
      <c r="AE54" s="22">
        <f>((AE9*Constants!$H67*Constants!$H85*(1-Constants!$H103))+(AE9*Constants!$H67*Constants!$H119))</f>
        <v>169651374.71204606</v>
      </c>
      <c r="AF54" s="22">
        <f>((AF9*Constants!$H67*Constants!$H85*(1-Constants!$H103))+(AF9*Constants!$H67*Constants!$H119))</f>
        <v>167264571.2801773</v>
      </c>
      <c r="AG54" s="22">
        <f>((AG9*Constants!$H67*Constants!$H85*(1-Constants!$H103))+(AG9*Constants!$H67*Constants!$H119))</f>
        <v>163241283.33214718</v>
      </c>
      <c r="AH54" s="22">
        <f>((AH9*Constants!$H67*Constants!$H85*(1-Constants!$H103))+(AH9*Constants!$H67*Constants!$H119))</f>
        <v>159337791.77827305</v>
      </c>
      <c r="AI54" s="22">
        <f>((AI9*Constants!$H67*Constants!$H85*(1-Constants!$H103))+(AI9*Constants!$H67*Constants!$H119))</f>
        <v>156335458.89643693</v>
      </c>
      <c r="AJ54" s="22">
        <f>((AJ9*Constants!$H67*Constants!$H85*(1-Constants!$H103))+(AJ9*Constants!$H67*Constants!$H119))</f>
        <v>153619825.69056043</v>
      </c>
      <c r="AK54" s="22">
        <f>((AK9*Constants!$H67*Constants!$H85*(1-Constants!$H103))+(AK9*Constants!$H67*Constants!$H119))</f>
        <v>149350152.58574843</v>
      </c>
      <c r="AL54" s="22">
        <f>((AL9*Constants!$H67*Constants!$H85*(1-Constants!$H103))+(AL9*Constants!$H67*Constants!$H119))</f>
        <v>130989136.48387024</v>
      </c>
      <c r="AM54" s="22">
        <f>((AM9*Constants!$H67*Constants!$H85*(1-Constants!$H103))+(AM9*Constants!$H67*Constants!$H119))</f>
        <v>131179771.59318829</v>
      </c>
      <c r="AN54" s="22">
        <f>((AN9*Constants!$H67*Constants!$H85*(1-Constants!$H103))+(AN9*Constants!$H67*Constants!$H119))</f>
        <v>130953203.26278007</v>
      </c>
      <c r="AO54" s="22">
        <f>((AO9*Constants!$H67*Constants!$H85*(1-Constants!$H103))+(AO9*Constants!$H67*Constants!$H119))</f>
        <v>130686297.46341982</v>
      </c>
      <c r="AP54" s="22">
        <f>((AP9*Constants!$H67*Constants!$H85*(1-Constants!$H103))+(AP9*Constants!$H67*Constants!$H119))</f>
        <v>130923578.30008155</v>
      </c>
      <c r="AQ54" s="22">
        <f>((AQ9*Constants!$H67*Constants!$H85*(1-Constants!$H103))+(AQ9*Constants!$H67*Constants!$H119))</f>
        <v>131096463.47847196</v>
      </c>
      <c r="AR54" s="22">
        <f>((AR9*Constants!$H67*Constants!$H85*(1-Constants!$H103))+(AR9*Constants!$H67*Constants!$H119))</f>
        <v>131310468.92745662</v>
      </c>
      <c r="AS54" s="22">
        <f>((AS9*Constants!$H67*Constants!$H85*(1-Constants!$H103))+(AS9*Constants!$H67*Constants!$H119))</f>
        <v>131334864.48932382</v>
      </c>
      <c r="AT54" s="22">
        <f>((AT9*Constants!$H67*Constants!$H85*(1-Constants!$H103))+(AT9*Constants!$H67*Constants!$H119))</f>
        <v>131494619.26740858</v>
      </c>
      <c r="AU54" s="22">
        <f>((AU9*Constants!$H67*Constants!$H85*(1-Constants!$H103))+(AU9*Constants!$H67*Constants!$H119))</f>
        <v>131358200.45772858</v>
      </c>
      <c r="AV54" s="22">
        <f>((AV9*Constants!$H67*Constants!$H85*(1-Constants!$H103))+(AV9*Constants!$H67*Constants!$H119))</f>
        <v>131231617.21629637</v>
      </c>
      <c r="AW54" s="22">
        <f>((AW9*Constants!$H67*Constants!$H85*(1-Constants!$H103))+(AW9*Constants!$H67*Constants!$H119))</f>
        <v>131485360.66623989</v>
      </c>
      <c r="AX54" s="22">
        <f>((AX9*Constants!$H67*Constants!$H85*(1-Constants!$H103))+(AX9*Constants!$H67*Constants!$H119))</f>
        <v>131910907.53710636</v>
      </c>
      <c r="AY54" s="22">
        <f>((AY9*Constants!$H67*Constants!$H85*(1-Constants!$H103))+(AY9*Constants!$H67*Constants!$H119))</f>
        <v>132331892.70928368</v>
      </c>
      <c r="AZ54" s="22">
        <f>((AZ9*Constants!$H67*Constants!$H85*(1-Constants!$H103))+(AZ9*Constants!$H67*Constants!$H119))</f>
        <v>129313178.20387213</v>
      </c>
      <c r="BA54" s="22">
        <f>((BA9*Constants!$H67*Constants!$H85*(1-Constants!$H103))+(BA9*Constants!$H67*Constants!$H119))</f>
        <v>-30453130.180170543</v>
      </c>
      <c r="BB54" s="22">
        <f>((BB9*Constants!$H67*Constants!$H85*(1-Constants!$H103))+(BB9*Constants!$H67*Constants!$H119))</f>
        <v>-29697824.752006143</v>
      </c>
      <c r="BC54" s="22">
        <f>((BC9*Constants!$H67*Constants!$H85*(1-Constants!$H103))+(BC9*Constants!$H67*Constants!$H119))</f>
        <v>-28956038.906332977</v>
      </c>
      <c r="BD54" s="22">
        <f>((BD9*Constants!$H67*Constants!$H85*(1-Constants!$H103))+(BD9*Constants!$H67*Constants!$H119))</f>
        <v>-28227131.762658093</v>
      </c>
      <c r="BE54" s="22">
        <f>((BE9*Constants!$H67*Constants!$H85*(1-Constants!$H103))+(BE9*Constants!$H67*Constants!$H119))</f>
        <v>-27510506.720130477</v>
      </c>
      <c r="BF54" s="22">
        <f>((BF9*Constants!$H67*Constants!$H85*(1-Constants!$H103))+(BF9*Constants!$H67*Constants!$H119))</f>
        <v>-26805607.384758007</v>
      </c>
      <c r="BG54" s="22">
        <f>((BG9*Constants!$H67*Constants!$H85*(1-Constants!$H103))+(BG9*Constants!$H67*Constants!$H119))</f>
        <v>-26227458.487055086</v>
      </c>
      <c r="BH54" s="22">
        <f>((BH9*Constants!$H67*Constants!$H85*(1-Constants!$H103))+(BH9*Constants!$H67*Constants!$H119))</f>
        <v>-25659129.57165667</v>
      </c>
      <c r="BI54" s="22">
        <f>((BI9*Constants!$H67*Constants!$H85*(1-Constants!$H103))+(BI9*Constants!$H67*Constants!$H119))</f>
        <v>-25100216.408427104</v>
      </c>
      <c r="BJ54" s="22">
        <f>((BJ9*Constants!$H67*Constants!$H85*(1-Constants!$H103))+(BJ9*Constants!$H67*Constants!$H119))</f>
        <v>-24550339.799281847</v>
      </c>
      <c r="BK54" s="22">
        <f>((BK9*Constants!$H67*Constants!$H85*(1-Constants!$H103))+(BK9*Constants!$H67*Constants!$H119))</f>
        <v>-24009143.518293399</v>
      </c>
      <c r="BL54" s="22">
        <f>((BL9*Constants!$H67*Constants!$H85*(1-Constants!$H103))+(BL9*Constants!$H67*Constants!$H119))</f>
        <v>-23460337.193245616</v>
      </c>
      <c r="BM54" s="22">
        <f>((BM9*Constants!$H67*Constants!$H85*(1-Constants!$H103))+(BM9*Constants!$H67*Constants!$H119))</f>
        <v>-22920217.319740642</v>
      </c>
      <c r="BN54" s="22">
        <f>((BN9*Constants!$H67*Constants!$H85*(1-Constants!$H103))+(BN9*Constants!$H67*Constants!$H119))</f>
        <v>-22388474.515832432</v>
      </c>
      <c r="BO54" s="22">
        <f>((BO9*Constants!$H67*Constants!$H85*(1-Constants!$H103))+(BO9*Constants!$H67*Constants!$H119))</f>
        <v>-21864816.624647837</v>
      </c>
      <c r="BP54" s="22">
        <f>((BP9*Constants!$H67*Constants!$H85*(1-Constants!$H103))+(BP9*Constants!$H67*Constants!$H119))</f>
        <v>-21348967.437428407</v>
      </c>
    </row>
    <row r="55" spans="1:72" x14ac:dyDescent="0.25">
      <c r="A55" t="str">
        <f t="shared" si="48"/>
        <v>3C Aggregated and non-CO2 emissions on land</v>
      </c>
      <c r="B55" t="str">
        <f t="shared" si="48"/>
        <v>3C4 Direct N2O from managed soils (N2O)</v>
      </c>
      <c r="C55" t="s">
        <v>409</v>
      </c>
      <c r="D55" t="str">
        <f>Constants!D120</f>
        <v xml:space="preserve"> - Feedlot</v>
      </c>
      <c r="E55" t="str">
        <f t="shared" si="49"/>
        <v>MM N available - Feedlot</v>
      </c>
      <c r="F55" t="str">
        <f t="shared" si="50"/>
        <v>kg N</v>
      </c>
      <c r="H55" s="22">
        <f>((H10*Constants!$H68*Constants!$H86*(1-Constants!$H104))+(H10*Constants!$H68*Constants!$H120))</f>
        <v>16959658.715999998</v>
      </c>
      <c r="I55" s="22">
        <f>((I10*Constants!$H68*Constants!$H86*(1-Constants!$H104))+(I10*Constants!$H68*Constants!$H120))</f>
        <v>16959658.715999998</v>
      </c>
      <c r="J55" s="22">
        <f>((J10*Constants!$H68*Constants!$H86*(1-Constants!$H104))+(J10*Constants!$H68*Constants!$H120))</f>
        <v>16959658.715999998</v>
      </c>
      <c r="K55" s="22">
        <f>((K10*Constants!$H68*Constants!$H86*(1-Constants!$H104))+(K10*Constants!$H68*Constants!$H120))</f>
        <v>16959658.715999998</v>
      </c>
      <c r="L55" s="22">
        <f>((L10*Constants!$H68*Constants!$H86*(1-Constants!$H104))+(L10*Constants!$H68*Constants!$H120))</f>
        <v>16959658.715999998</v>
      </c>
      <c r="M55" s="22">
        <f>((M10*Constants!$H68*Constants!$H86*(1-Constants!$H104))+(M10*Constants!$H68*Constants!$H120))</f>
        <v>16959658.715999998</v>
      </c>
      <c r="N55" s="22">
        <f>((N10*Constants!$H68*Constants!$H86*(1-Constants!$H104))+(N10*Constants!$H68*Constants!$H120))</f>
        <v>16959658.715999998</v>
      </c>
      <c r="O55" s="22">
        <f>((O10*Constants!$H68*Constants!$H86*(1-Constants!$H104))+(O10*Constants!$H68*Constants!$H120))</f>
        <v>16959658.715999998</v>
      </c>
      <c r="P55" s="22">
        <f>((P10*Constants!$H68*Constants!$H86*(1-Constants!$H104))+(P10*Constants!$H68*Constants!$H120))</f>
        <v>16959658.715999998</v>
      </c>
      <c r="Q55" s="22">
        <f>((Q10*Constants!$H68*Constants!$H86*(1-Constants!$H104))+(Q10*Constants!$H68*Constants!$H120))</f>
        <v>16959658.715999998</v>
      </c>
      <c r="R55" s="22">
        <f>((R10*Constants!$H68*Constants!$H86*(1-Constants!$H104))+(R10*Constants!$H68*Constants!$H120))</f>
        <v>16959658.715999998</v>
      </c>
      <c r="S55" s="22">
        <f>((S10*Constants!$H68*Constants!$H86*(1-Constants!$H104))+(S10*Constants!$H68*Constants!$H120))</f>
        <v>16959658.715999998</v>
      </c>
      <c r="T55" s="22">
        <f>((T10*Constants!$H68*Constants!$H86*(1-Constants!$H104))+(T10*Constants!$H68*Constants!$H120))</f>
        <v>16959658.715999998</v>
      </c>
      <c r="U55" s="22">
        <f>((U10*Constants!$H68*Constants!$H86*(1-Constants!$H104))+(U10*Constants!$H68*Constants!$H120))</f>
        <v>16959658.715999998</v>
      </c>
      <c r="V55" s="22">
        <f>((V10*Constants!$H68*Constants!$H86*(1-Constants!$H104))+(V10*Constants!$H68*Constants!$H120))</f>
        <v>16959658.715999998</v>
      </c>
      <c r="W55" s="22">
        <f>((W10*Constants!$H68*Constants!$H86*(1-Constants!$H104))+(W10*Constants!$H68*Constants!$H120))</f>
        <v>16959658.715999998</v>
      </c>
      <c r="X55" s="22">
        <f>((X10*Constants!$H68*Constants!$H86*(1-Constants!$H104))+(X10*Constants!$H68*Constants!$H120))</f>
        <v>16959658.715999998</v>
      </c>
      <c r="Y55" s="22">
        <f>((Y10*Constants!$H68*Constants!$H86*(1-Constants!$H104))+(Y10*Constants!$H68*Constants!$H120))</f>
        <v>16959658.715999998</v>
      </c>
      <c r="Z55" s="22">
        <f>((Z10*Constants!$H68*Constants!$H86*(1-Constants!$H104))+(Z10*Constants!$H68*Constants!$H120))</f>
        <v>15794600.827455448</v>
      </c>
      <c r="AA55" s="22">
        <f>((AA10*Constants!$H68*Constants!$H86*(1-Constants!$H104))+(AA10*Constants!$H68*Constants!$H120))</f>
        <v>16185144.079554448</v>
      </c>
      <c r="AB55" s="22">
        <f>((AB10*Constants!$H68*Constants!$H86*(1-Constants!$H104))+(AB10*Constants!$H68*Constants!$H120))</f>
        <v>16144881.715162199</v>
      </c>
      <c r="AC55" s="22">
        <f>((AC10*Constants!$H68*Constants!$H86*(1-Constants!$H104))+(AC10*Constants!$H68*Constants!$H120))</f>
        <v>18647555.2896633</v>
      </c>
      <c r="AD55" s="22">
        <f>((AD10*Constants!$H68*Constants!$H86*(1-Constants!$H104))+(AD10*Constants!$H68*Constants!$H120))</f>
        <v>21983975.651970763</v>
      </c>
      <c r="AE55" s="22">
        <f>((AE10*Constants!$H68*Constants!$H86*(1-Constants!$H104))+(AE10*Constants!$H68*Constants!$H120))</f>
        <v>22766938.78181861</v>
      </c>
      <c r="AF55" s="22">
        <f>((AF10*Constants!$H68*Constants!$H86*(1-Constants!$H104))+(AF10*Constants!$H68*Constants!$H120))</f>
        <v>23388398.275787514</v>
      </c>
      <c r="AG55" s="22">
        <f>((AG10*Constants!$H68*Constants!$H86*(1-Constants!$H104))+(AG10*Constants!$H68*Constants!$H120))</f>
        <v>23772715.285524514</v>
      </c>
      <c r="AH55" s="22">
        <f>((AH10*Constants!$H68*Constants!$H86*(1-Constants!$H104))+(AH10*Constants!$H68*Constants!$H120))</f>
        <v>24157834.582589004</v>
      </c>
      <c r="AI55" s="22">
        <f>((AI10*Constants!$H68*Constants!$H86*(1-Constants!$H104))+(AI10*Constants!$H68*Constants!$H120))</f>
        <v>24669266.658463664</v>
      </c>
      <c r="AJ55" s="22">
        <f>((AJ10*Constants!$H68*Constants!$H86*(1-Constants!$H104))+(AJ10*Constants!$H68*Constants!$H120))</f>
        <v>25223323.435094729</v>
      </c>
      <c r="AK55" s="22">
        <f>((AK10*Constants!$H68*Constants!$H86*(1-Constants!$H104))+(AK10*Constants!$H68*Constants!$H120))</f>
        <v>25511661.127178136</v>
      </c>
      <c r="AL55" s="22">
        <f>((AL10*Constants!$H68*Constants!$H86*(1-Constants!$H104))+(AL10*Constants!$H68*Constants!$H120))</f>
        <v>23275067.071273711</v>
      </c>
      <c r="AM55" s="22">
        <f>((AM10*Constants!$H68*Constants!$H86*(1-Constants!$H104))+(AM10*Constants!$H68*Constants!$H120))</f>
        <v>24124273.495314818</v>
      </c>
      <c r="AN55" s="22">
        <f>((AN10*Constants!$H68*Constants!$H86*(1-Constants!$H104))+(AN10*Constants!$H68*Constants!$H120))</f>
        <v>24918830.618980691</v>
      </c>
      <c r="AO55" s="22">
        <f>((AO10*Constants!$H68*Constants!$H86*(1-Constants!$H104))+(AO10*Constants!$H68*Constants!$H120))</f>
        <v>25725911.172471017</v>
      </c>
      <c r="AP55" s="22">
        <f>((AP10*Constants!$H68*Constants!$H86*(1-Constants!$H104))+(AP10*Constants!$H68*Constants!$H120))</f>
        <v>26656561.404859975</v>
      </c>
      <c r="AQ55" s="22">
        <f>((AQ10*Constants!$H68*Constants!$H86*(1-Constants!$H104))+(AQ10*Constants!$H68*Constants!$H120))</f>
        <v>27602565.377692241</v>
      </c>
      <c r="AR55" s="22">
        <f>((AR10*Constants!$H68*Constants!$H86*(1-Constants!$H104))+(AR10*Constants!$H68*Constants!$H120))</f>
        <v>28586835.829637341</v>
      </c>
      <c r="AS55" s="22">
        <f>((AS10*Constants!$H68*Constants!$H86*(1-Constants!$H104))+(AS10*Constants!$H68*Constants!$H120))</f>
        <v>29559677.264802188</v>
      </c>
      <c r="AT55" s="22">
        <f>((AT10*Constants!$H68*Constants!$H86*(1-Constants!$H104))+(AT10*Constants!$H68*Constants!$H120))</f>
        <v>30593780.322445858</v>
      </c>
      <c r="AU55" s="22">
        <f>((AU10*Constants!$H68*Constants!$H86*(1-Constants!$H104))+(AU10*Constants!$H68*Constants!$H120))</f>
        <v>31589864.774579175</v>
      </c>
      <c r="AV55" s="22">
        <f>((AV10*Constants!$H68*Constants!$H86*(1-Constants!$H104))+(AV10*Constants!$H68*Constants!$H120))</f>
        <v>32618290.065441247</v>
      </c>
      <c r="AW55" s="22">
        <f>((AW10*Constants!$H68*Constants!$H86*(1-Constants!$H104))+(AW10*Constants!$H68*Constants!$H120))</f>
        <v>33779035.405296445</v>
      </c>
      <c r="AX55" s="22">
        <f>((AX10*Constants!$H68*Constants!$H86*(1-Constants!$H104))+(AX10*Constants!$H68*Constants!$H120))</f>
        <v>35028914.256695174</v>
      </c>
      <c r="AY55" s="22">
        <f>((AY10*Constants!$H68*Constants!$H86*(1-Constants!$H104))+(AY10*Constants!$H68*Constants!$H120))</f>
        <v>36326580.715746775</v>
      </c>
      <c r="AZ55" s="22">
        <f>((AZ10*Constants!$H68*Constants!$H86*(1-Constants!$H104))+(AZ10*Constants!$H68*Constants!$H120))</f>
        <v>36699784.035237245</v>
      </c>
      <c r="BA55" s="22">
        <f>((BA10*Constants!$H68*Constants!$H86*(1-Constants!$H104))+(BA10*Constants!$H68*Constants!$H120))</f>
        <v>-8936527.8895952497</v>
      </c>
      <c r="BB55" s="22">
        <f>((BB10*Constants!$H68*Constants!$H86*(1-Constants!$H104))+(BB10*Constants!$H68*Constants!$H120))</f>
        <v>-9012428.1147933435</v>
      </c>
      <c r="BC55" s="22">
        <f>((BC10*Constants!$H68*Constants!$H86*(1-Constants!$H104))+(BC10*Constants!$H68*Constants!$H120))</f>
        <v>-9088862.1466318779</v>
      </c>
      <c r="BD55" s="22">
        <f>((BD10*Constants!$H68*Constants!$H86*(1-Constants!$H104))+(BD10*Constants!$H68*Constants!$H120))</f>
        <v>-9165834.8595440835</v>
      </c>
      <c r="BE55" s="22">
        <f>((BE10*Constants!$H68*Constants!$H86*(1-Constants!$H104))+(BE10*Constants!$H68*Constants!$H120))</f>
        <v>-9243351.1663467344</v>
      </c>
      <c r="BF55" s="22">
        <f>((BF10*Constants!$H68*Constants!$H86*(1-Constants!$H104))+(BF10*Constants!$H68*Constants!$H120))</f>
        <v>-9321416.0185488854</v>
      </c>
      <c r="BG55" s="22">
        <f>((BG10*Constants!$H68*Constants!$H86*(1-Constants!$H104))+(BG10*Constants!$H68*Constants!$H120))</f>
        <v>-9382018.5486693736</v>
      </c>
      <c r="BH55" s="22">
        <f>((BH10*Constants!$H68*Constants!$H86*(1-Constants!$H104))+(BH10*Constants!$H68*Constants!$H120))</f>
        <v>-9442979.546896968</v>
      </c>
      <c r="BI55" s="22">
        <f>((BI10*Constants!$H68*Constants!$H86*(1-Constants!$H104))+(BI10*Constants!$H68*Constants!$H120))</f>
        <v>-9504301.7267931215</v>
      </c>
      <c r="BJ55" s="22">
        <f>((BJ10*Constants!$H68*Constants!$H86*(1-Constants!$H104))+(BJ10*Constants!$H68*Constants!$H120))</f>
        <v>-9565987.8195408192</v>
      </c>
      <c r="BK55" s="22">
        <f>((BK10*Constants!$H68*Constants!$H86*(1-Constants!$H104))+(BK10*Constants!$H68*Constants!$H120))</f>
        <v>-9628040.5740641337</v>
      </c>
      <c r="BL55" s="22">
        <f>((BL10*Constants!$H68*Constants!$H86*(1-Constants!$H104))+(BL10*Constants!$H68*Constants!$H120))</f>
        <v>-9683876.7968151998</v>
      </c>
      <c r="BM55" s="22">
        <f>((BM10*Constants!$H68*Constants!$H86*(1-Constants!$H104))+(BM10*Constants!$H68*Constants!$H120))</f>
        <v>-9739975.8704236299</v>
      </c>
      <c r="BN55" s="22">
        <f>((BN10*Constants!$H68*Constants!$H86*(1-Constants!$H104))+(BN10*Constants!$H68*Constants!$H120))</f>
        <v>-9796339.4804780763</v>
      </c>
      <c r="BO55" s="22">
        <f>((BO10*Constants!$H68*Constants!$H86*(1-Constants!$H104))+(BO10*Constants!$H68*Constants!$H120))</f>
        <v>-9852969.3212708905</v>
      </c>
      <c r="BP55" s="22">
        <f>((BP10*Constants!$H68*Constants!$H86*(1-Constants!$H104))+(BP10*Constants!$H68*Constants!$H120))</f>
        <v>-9909867.0958480071</v>
      </c>
    </row>
    <row r="56" spans="1:72" x14ac:dyDescent="0.25">
      <c r="A56" t="str">
        <f t="shared" si="48"/>
        <v>3C Aggregated and non-CO2 emissions on land</v>
      </c>
      <c r="B56" t="str">
        <f t="shared" si="48"/>
        <v>3C4 Direct N2O from managed soils (N2O)</v>
      </c>
      <c r="C56" t="s">
        <v>409</v>
      </c>
      <c r="D56" t="str">
        <f>Constants!D121</f>
        <v xml:space="preserve"> - Commercial sheep</v>
      </c>
      <c r="E56" t="str">
        <f t="shared" si="49"/>
        <v>MM N available - Commercial sheep</v>
      </c>
      <c r="F56" t="str">
        <f t="shared" si="50"/>
        <v>kg N</v>
      </c>
      <c r="H56" s="22">
        <f>((H11*Constants!$H69*Constants!$H87*(1-Constants!$H105))+(H11*Constants!$H69*Constants!$H121))</f>
        <v>5854027.4791245274</v>
      </c>
      <c r="I56" s="22">
        <f>((I11*Constants!$H69*Constants!$H87*(1-Constants!$H105))+(I11*Constants!$H69*Constants!$H121))</f>
        <v>5590802.2534045279</v>
      </c>
      <c r="J56" s="22">
        <f>((J11*Constants!$H69*Constants!$H87*(1-Constants!$H105))+(J11*Constants!$H69*Constants!$H121))</f>
        <v>5359796.7326131631</v>
      </c>
      <c r="K56" s="22">
        <f>((K11*Constants!$H69*Constants!$H87*(1-Constants!$H105))+(K11*Constants!$H69*Constants!$H121))</f>
        <v>5012605.003139752</v>
      </c>
      <c r="L56" s="22">
        <f>((L11*Constants!$H69*Constants!$H87*(1-Constants!$H105))+(L11*Constants!$H69*Constants!$H121))</f>
        <v>5047949.0430917693</v>
      </c>
      <c r="M56" s="22">
        <f>((M11*Constants!$H69*Constants!$H87*(1-Constants!$H105))+(M11*Constants!$H69*Constants!$H121))</f>
        <v>4975698.7956760423</v>
      </c>
      <c r="N56" s="22">
        <f>((N11*Constants!$H69*Constants!$H87*(1-Constants!$H105))+(N11*Constants!$H69*Constants!$H121))</f>
        <v>4992296.8254877636</v>
      </c>
      <c r="O56" s="22">
        <f>((O11*Constants!$H69*Constants!$H87*(1-Constants!$H105))+(O11*Constants!$H69*Constants!$H121))</f>
        <v>4883726.1834252123</v>
      </c>
      <c r="P56" s="22">
        <f>((P11*Constants!$H69*Constants!$H87*(1-Constants!$H105))+(P11*Constants!$H69*Constants!$H121))</f>
        <v>4897199.8782135509</v>
      </c>
      <c r="Q56" s="22">
        <f>((Q11*Constants!$H69*Constants!$H87*(1-Constants!$H105))+(Q11*Constants!$H69*Constants!$H121))</f>
        <v>4776912.9798133131</v>
      </c>
      <c r="R56" s="22">
        <f>((R11*Constants!$H69*Constants!$H87*(1-Constants!$H105))+(R11*Constants!$H69*Constants!$H121))</f>
        <v>4605660.3663441446</v>
      </c>
      <c r="S56" s="22">
        <f>((S11*Constants!$H69*Constants!$H87*(1-Constants!$H105))+(S11*Constants!$H69*Constants!$H121))</f>
        <v>4490841.0542348269</v>
      </c>
      <c r="T56" s="22">
        <f>((T11*Constants!$H69*Constants!$H87*(1-Constants!$H105))+(T11*Constants!$H69*Constants!$H121))</f>
        <v>4415857.0136736408</v>
      </c>
      <c r="U56" s="22">
        <f>((U11*Constants!$H69*Constants!$H87*(1-Constants!$H105))+(U11*Constants!$H69*Constants!$H121))</f>
        <v>4431283.4178515924</v>
      </c>
      <c r="V56" s="22">
        <f>((V11*Constants!$H69*Constants!$H87*(1-Constants!$H105))+(V11*Constants!$H69*Constants!$H121))</f>
        <v>4352393.9585111775</v>
      </c>
      <c r="W56" s="22">
        <f>((W11*Constants!$H69*Constants!$H87*(1-Constants!$H105))+(W11*Constants!$H69*Constants!$H121))</f>
        <v>4342044.5987462224</v>
      </c>
      <c r="X56" s="22">
        <f>((X11*Constants!$H69*Constants!$H87*(1-Constants!$H105))+(X11*Constants!$H69*Constants!$H121))</f>
        <v>4285220.7555084471</v>
      </c>
      <c r="Y56" s="22">
        <f>((Y11*Constants!$H69*Constants!$H87*(1-Constants!$H105))+(Y11*Constants!$H69*Constants!$H121))</f>
        <v>4281120.0657902574</v>
      </c>
      <c r="Z56" s="22">
        <f>((Z11*Constants!$H69*Constants!$H87*(1-Constants!$H105))+(Z11*Constants!$H69*Constants!$H121))</f>
        <v>4294984.3024565196</v>
      </c>
      <c r="AA56" s="22">
        <f>((AA11*Constants!$H69*Constants!$H87*(1-Constants!$H105))+(AA11*Constants!$H69*Constants!$H121))</f>
        <v>4279753.1692175278</v>
      </c>
      <c r="AB56" s="22">
        <f>((AB11*Constants!$H69*Constants!$H87*(1-Constants!$H105))+(AB11*Constants!$H69*Constants!$H121))</f>
        <v>4196958.2910978841</v>
      </c>
      <c r="AC56" s="22">
        <f>((AC11*Constants!$H69*Constants!$H87*(1-Constants!$H105))+(AC11*Constants!$H69*Constants!$H121))</f>
        <v>4164152.7733523645</v>
      </c>
      <c r="AD56" s="22">
        <f>((AD11*Constants!$H69*Constants!$H87*(1-Constants!$H105))+(AD11*Constants!$H69*Constants!$H121))</f>
        <v>3713726.7037384682</v>
      </c>
      <c r="AE56" s="22">
        <f>((AE11*Constants!$H69*Constants!$H87*(1-Constants!$H105))+(AE11*Constants!$H69*Constants!$H121))</f>
        <v>3715754.7381350752</v>
      </c>
      <c r="AF56" s="22">
        <f>((AF11*Constants!$H69*Constants!$H87*(1-Constants!$H105))+(AF11*Constants!$H69*Constants!$H121))</f>
        <v>3720295.8967214758</v>
      </c>
      <c r="AG56" s="22">
        <f>((AG11*Constants!$H69*Constants!$H87*(1-Constants!$H105))+(AG11*Constants!$H69*Constants!$H121))</f>
        <v>3727131.2937541422</v>
      </c>
      <c r="AH56" s="22">
        <f>((AH11*Constants!$H69*Constants!$H87*(1-Constants!$H105))+(AH11*Constants!$H69*Constants!$H121))</f>
        <v>3736352.3814562527</v>
      </c>
      <c r="AI56" s="22">
        <f>((AI11*Constants!$H69*Constants!$H87*(1-Constants!$H105))+(AI11*Constants!$H69*Constants!$H121))</f>
        <v>3747968.9442954171</v>
      </c>
      <c r="AJ56" s="22">
        <f>((AJ11*Constants!$H69*Constants!$H87*(1-Constants!$H105))+(AJ11*Constants!$H69*Constants!$H121))</f>
        <v>3760909.3243818409</v>
      </c>
      <c r="AK56" s="22">
        <f>((AK11*Constants!$H69*Constants!$H87*(1-Constants!$H105))+(AK11*Constants!$H69*Constants!$H121))</f>
        <v>3774933.7513790531</v>
      </c>
      <c r="AL56" s="22">
        <f>((AL11*Constants!$H69*Constants!$H87*(1-Constants!$H105))+(AL11*Constants!$H69*Constants!$H121))</f>
        <v>3788112.6735530319</v>
      </c>
      <c r="AM56" s="22">
        <f>((AM11*Constants!$H69*Constants!$H87*(1-Constants!$H105))+(AM11*Constants!$H69*Constants!$H121))</f>
        <v>3793617.7645462151</v>
      </c>
      <c r="AN56" s="22">
        <f>((AN11*Constants!$H69*Constants!$H87*(1-Constants!$H105))+(AN11*Constants!$H69*Constants!$H121))</f>
        <v>3800005.7497892417</v>
      </c>
      <c r="AO56" s="22">
        <f>((AO11*Constants!$H69*Constants!$H87*(1-Constants!$H105))+(AO11*Constants!$H69*Constants!$H121))</f>
        <v>3807275.3194677359</v>
      </c>
      <c r="AP56" s="22">
        <f>((AP11*Constants!$H69*Constants!$H87*(1-Constants!$H105))+(AP11*Constants!$H69*Constants!$H121))</f>
        <v>3815464.1380766486</v>
      </c>
      <c r="AQ56" s="22">
        <f>((AQ11*Constants!$H69*Constants!$H87*(1-Constants!$H105))+(AQ11*Constants!$H69*Constants!$H121))</f>
        <v>3824440.9266782589</v>
      </c>
      <c r="AR56" s="22">
        <f>((AR11*Constants!$H69*Constants!$H87*(1-Constants!$H105))+(AR11*Constants!$H69*Constants!$H121))</f>
        <v>3829966.8246642891</v>
      </c>
      <c r="AS56" s="22">
        <f>((AS11*Constants!$H69*Constants!$H87*(1-Constants!$H105))+(AS11*Constants!$H69*Constants!$H121))</f>
        <v>3836139.3668096182</v>
      </c>
      <c r="AT56" s="22">
        <f>((AT11*Constants!$H69*Constants!$H87*(1-Constants!$H105))+(AT11*Constants!$H69*Constants!$H121))</f>
        <v>3842980.9529325911</v>
      </c>
      <c r="AU56" s="22">
        <f>((AU11*Constants!$H69*Constants!$H87*(1-Constants!$H105))+(AU11*Constants!$H69*Constants!$H121))</f>
        <v>3850386.4661197667</v>
      </c>
      <c r="AV56" s="22">
        <f>((AV11*Constants!$H69*Constants!$H87*(1-Constants!$H105))+(AV11*Constants!$H69*Constants!$H121))</f>
        <v>3858382.3854634017</v>
      </c>
      <c r="AW56" s="22">
        <f>((AW11*Constants!$H69*Constants!$H87*(1-Constants!$H105))+(AW11*Constants!$H69*Constants!$H121))</f>
        <v>3863646.2481594426</v>
      </c>
      <c r="AX56" s="22">
        <f>((AX11*Constants!$H69*Constants!$H87*(1-Constants!$H105))+(AX11*Constants!$H69*Constants!$H121))</f>
        <v>3869463.788029064</v>
      </c>
      <c r="AY56" s="22">
        <f>((AY11*Constants!$H69*Constants!$H87*(1-Constants!$H105))+(AY11*Constants!$H69*Constants!$H121))</f>
        <v>3875782.6850314927</v>
      </c>
      <c r="AZ56" s="22">
        <f>((AZ11*Constants!$H69*Constants!$H87*(1-Constants!$H105))+(AZ11*Constants!$H69*Constants!$H121))</f>
        <v>3881887.5454515414</v>
      </c>
      <c r="BA56" s="22">
        <f>((BA11*Constants!$H69*Constants!$H87*(1-Constants!$H105))+(BA11*Constants!$H69*Constants!$H121))</f>
        <v>3855787.4392063315</v>
      </c>
      <c r="BB56" s="22">
        <f>((BB11*Constants!$H69*Constants!$H87*(1-Constants!$H105))+(BB11*Constants!$H69*Constants!$H121))</f>
        <v>3859494.0669767587</v>
      </c>
      <c r="BC56" s="22">
        <f>((BC11*Constants!$H69*Constants!$H87*(1-Constants!$H105))+(BC11*Constants!$H69*Constants!$H121))</f>
        <v>3863584.3490817756</v>
      </c>
      <c r="BD56" s="22">
        <f>((BD11*Constants!$H69*Constants!$H87*(1-Constants!$H105))+(BD11*Constants!$H69*Constants!$H121))</f>
        <v>3868043.791382506</v>
      </c>
      <c r="BE56" s="22">
        <f>((BE11*Constants!$H69*Constants!$H87*(1-Constants!$H105))+(BE11*Constants!$H69*Constants!$H121))</f>
        <v>3872859.0200467859</v>
      </c>
      <c r="BF56" s="22">
        <f>((BF11*Constants!$H69*Constants!$H87*(1-Constants!$H105))+(BF11*Constants!$H69*Constants!$H121))</f>
        <v>3878017.6752405372</v>
      </c>
      <c r="BG56" s="22">
        <f>((BG11*Constants!$H69*Constants!$H87*(1-Constants!$H105))+(BG11*Constants!$H69*Constants!$H121))</f>
        <v>3880521.1752845258</v>
      </c>
      <c r="BH56" s="22">
        <f>((BH11*Constants!$H69*Constants!$H87*(1-Constants!$H105))+(BH11*Constants!$H69*Constants!$H121))</f>
        <v>3883327.2559692212</v>
      </c>
      <c r="BI56" s="22">
        <f>((BI11*Constants!$H69*Constants!$H87*(1-Constants!$H105))+(BI11*Constants!$H69*Constants!$H121))</f>
        <v>3886425.3867749069</v>
      </c>
      <c r="BJ56" s="22">
        <f>((BJ11*Constants!$H69*Constants!$H87*(1-Constants!$H105))+(BJ11*Constants!$H69*Constants!$H121))</f>
        <v>3889805.7579294723</v>
      </c>
      <c r="BK56" s="22">
        <f>((BK11*Constants!$H69*Constants!$H87*(1-Constants!$H105))+(BK11*Constants!$H69*Constants!$H121))</f>
        <v>3893459.2191773844</v>
      </c>
      <c r="BL56" s="22">
        <f>((BL11*Constants!$H69*Constants!$H87*(1-Constants!$H105))+(BL11*Constants!$H69*Constants!$H121))</f>
        <v>3894360.483625744</v>
      </c>
      <c r="BM56" s="22">
        <f>((BM11*Constants!$H69*Constants!$H87*(1-Constants!$H105))+(BM11*Constants!$H69*Constants!$H121))</f>
        <v>3895504.1154070995</v>
      </c>
      <c r="BN56" s="22">
        <f>((BN11*Constants!$H69*Constants!$H87*(1-Constants!$H105))+(BN11*Constants!$H69*Constants!$H121))</f>
        <v>3896882.0873199245</v>
      </c>
      <c r="BO56" s="22">
        <f>((BO11*Constants!$H69*Constants!$H87*(1-Constants!$H105))+(BO11*Constants!$H69*Constants!$H121))</f>
        <v>3898486.8623385238</v>
      </c>
      <c r="BP56" s="22">
        <f>((BP11*Constants!$H69*Constants!$H87*(1-Constants!$H105))+(BP11*Constants!$H69*Constants!$H121))</f>
        <v>3900311.3559177192</v>
      </c>
    </row>
    <row r="57" spans="1:72" x14ac:dyDescent="0.25">
      <c r="A57" t="str">
        <f t="shared" si="48"/>
        <v>3C Aggregated and non-CO2 emissions on land</v>
      </c>
      <c r="B57" t="str">
        <f t="shared" si="48"/>
        <v>3C4 Direct N2O from managed soils (N2O)</v>
      </c>
      <c r="C57" t="s">
        <v>409</v>
      </c>
      <c r="D57" t="str">
        <f>Constants!D122</f>
        <v xml:space="preserve"> - Subsistence sheep</v>
      </c>
      <c r="E57" t="str">
        <f t="shared" si="49"/>
        <v>MM N available - Subsistence sheep</v>
      </c>
      <c r="F57" t="str">
        <f t="shared" si="50"/>
        <v>kg N</v>
      </c>
      <c r="H57" s="22">
        <f>((H12*Constants!$H70*Constants!$H88*(1-Constants!$H106))+(H12*Constants!$H70*Constants!$H122))</f>
        <v>4449823.866729687</v>
      </c>
      <c r="I57" s="22">
        <f>((I12*Constants!$H70*Constants!$H88*(1-Constants!$H106))+(I12*Constants!$H70*Constants!$H122))</f>
        <v>4249738.3878160603</v>
      </c>
      <c r="J57" s="22">
        <f>((J12*Constants!$H70*Constants!$H88*(1-Constants!$H106))+(J12*Constants!$H70*Constants!$H122))</f>
        <v>4074144.0839920086</v>
      </c>
      <c r="K57" s="22">
        <f>((K12*Constants!$H70*Constants!$H88*(1-Constants!$H106))+(K12*Constants!$H70*Constants!$H122))</f>
        <v>3810233.1184813054</v>
      </c>
      <c r="L57" s="22">
        <f>((L12*Constants!$H70*Constants!$H88*(1-Constants!$H106))+(L12*Constants!$H70*Constants!$H122))</f>
        <v>3837099.1953977491</v>
      </c>
      <c r="M57" s="22">
        <f>((M12*Constants!$H70*Constants!$H88*(1-Constants!$H106))+(M12*Constants!$H70*Constants!$H122))</f>
        <v>3782179.5906514279</v>
      </c>
      <c r="N57" s="22">
        <f>((N12*Constants!$H70*Constants!$H88*(1-Constants!$H106))+(N12*Constants!$H70*Constants!$H122))</f>
        <v>3794796.2566066636</v>
      </c>
      <c r="O57" s="22">
        <f>((O12*Constants!$H70*Constants!$H88*(1-Constants!$H106))+(O12*Constants!$H70*Constants!$H122))</f>
        <v>3712268.4181230017</v>
      </c>
      <c r="P57" s="22">
        <f>((P12*Constants!$H70*Constants!$H88*(1-Constants!$H106))+(P12*Constants!$H70*Constants!$H122))</f>
        <v>3722510.1822513817</v>
      </c>
      <c r="Q57" s="22">
        <f>((Q12*Constants!$H70*Constants!$H88*(1-Constants!$H106))+(Q12*Constants!$H70*Constants!$H122))</f>
        <v>3631076.4619169645</v>
      </c>
      <c r="R57" s="22">
        <f>((R12*Constants!$H70*Constants!$H88*(1-Constants!$H106))+(R12*Constants!$H70*Constants!$H122))</f>
        <v>3500902.1555317631</v>
      </c>
      <c r="S57" s="22">
        <f>((S12*Constants!$H70*Constants!$H88*(1-Constants!$H106))+(S12*Constants!$H70*Constants!$H122))</f>
        <v>3413624.5133943642</v>
      </c>
      <c r="T57" s="22">
        <f>((T12*Constants!$H70*Constants!$H88*(1-Constants!$H106))+(T12*Constants!$H70*Constants!$H122))</f>
        <v>3356626.8695495329</v>
      </c>
      <c r="U57" s="22">
        <f>((U12*Constants!$H70*Constants!$H88*(1-Constants!$H106))+(U12*Constants!$H70*Constants!$H122))</f>
        <v>3368352.9473196943</v>
      </c>
      <c r="V57" s="22">
        <f>((V12*Constants!$H70*Constants!$H88*(1-Constants!$H106))+(V12*Constants!$H70*Constants!$H122))</f>
        <v>3308386.6761912769</v>
      </c>
      <c r="W57" s="22">
        <f>((W12*Constants!$H70*Constants!$H88*(1-Constants!$H106))+(W12*Constants!$H70*Constants!$H122))</f>
        <v>3300519.8138897773</v>
      </c>
      <c r="X57" s="22">
        <f>((X12*Constants!$H70*Constants!$H88*(1-Constants!$H106))+(X12*Constants!$H70*Constants!$H122))</f>
        <v>3257326.2869136157</v>
      </c>
      <c r="Y57" s="22">
        <f>((Y12*Constants!$H70*Constants!$H88*(1-Constants!$H106))+(Y12*Constants!$H70*Constants!$H122))</f>
        <v>3254209.2282658513</v>
      </c>
      <c r="Z57" s="22">
        <f>((Z12*Constants!$H70*Constants!$H88*(1-Constants!$H106))+(Z12*Constants!$H70*Constants!$H122))</f>
        <v>3264747.8551225783</v>
      </c>
      <c r="AA57" s="22">
        <f>((AA12*Constants!$H70*Constants!$H88*(1-Constants!$H106))+(AA12*Constants!$H70*Constants!$H122))</f>
        <v>3253170.2087165965</v>
      </c>
      <c r="AB57" s="22">
        <f>((AB12*Constants!$H70*Constants!$H88*(1-Constants!$H106))+(AB12*Constants!$H70*Constants!$H122))</f>
        <v>3190235.3103045956</v>
      </c>
      <c r="AC57" s="22">
        <f>((AC12*Constants!$H70*Constants!$H88*(1-Constants!$H106))+(AC12*Constants!$H70*Constants!$H122))</f>
        <v>3165298.8411224815</v>
      </c>
      <c r="AD57" s="22">
        <f>((AD12*Constants!$H70*Constants!$H88*(1-Constants!$H106))+(AD12*Constants!$H70*Constants!$H122))</f>
        <v>3022468.7255970566</v>
      </c>
      <c r="AE57" s="22">
        <f>((AE12*Constants!$H70*Constants!$H88*(1-Constants!$H106))+(AE12*Constants!$H70*Constants!$H122))</f>
        <v>3024119.2699227897</v>
      </c>
      <c r="AF57" s="22">
        <f>((AF12*Constants!$H70*Constants!$H88*(1-Constants!$H106))+(AF12*Constants!$H70*Constants!$H122))</f>
        <v>3027815.1557270829</v>
      </c>
      <c r="AG57" s="22">
        <f>((AG12*Constants!$H70*Constants!$H88*(1-Constants!$H106))+(AG12*Constants!$H70*Constants!$H122))</f>
        <v>3033378.2397681018</v>
      </c>
      <c r="AH57" s="22">
        <f>((AH12*Constants!$H70*Constants!$H88*(1-Constants!$H106))+(AH12*Constants!$H70*Constants!$H122))</f>
        <v>3040882.9517243053</v>
      </c>
      <c r="AI57" s="22">
        <f>((AI12*Constants!$H70*Constants!$H88*(1-Constants!$H106))+(AI12*Constants!$H70*Constants!$H122))</f>
        <v>3050337.2548223119</v>
      </c>
      <c r="AJ57" s="22">
        <f>((AJ12*Constants!$H70*Constants!$H88*(1-Constants!$H106))+(AJ12*Constants!$H70*Constants!$H122))</f>
        <v>3060868.9652115516</v>
      </c>
      <c r="AK57" s="22">
        <f>((AK12*Constants!$H70*Constants!$H88*(1-Constants!$H106))+(AK12*Constants!$H70*Constants!$H122))</f>
        <v>3072282.942430398</v>
      </c>
      <c r="AL57" s="22">
        <f>((AL12*Constants!$H70*Constants!$H88*(1-Constants!$H106))+(AL12*Constants!$H70*Constants!$H122))</f>
        <v>3083008.7936535999</v>
      </c>
      <c r="AM57" s="22">
        <f>((AM12*Constants!$H70*Constants!$H88*(1-Constants!$H106))+(AM12*Constants!$H70*Constants!$H122))</f>
        <v>3087489.1894085454</v>
      </c>
      <c r="AN57" s="22">
        <f>((AN12*Constants!$H70*Constants!$H88*(1-Constants!$H106))+(AN12*Constants!$H70*Constants!$H122))</f>
        <v>3092688.1410700097</v>
      </c>
      <c r="AO57" s="22">
        <f>((AO12*Constants!$H70*Constants!$H88*(1-Constants!$H106))+(AO12*Constants!$H70*Constants!$H122))</f>
        <v>3098604.582627133</v>
      </c>
      <c r="AP57" s="22">
        <f>((AP12*Constants!$H70*Constants!$H88*(1-Constants!$H106))+(AP12*Constants!$H70*Constants!$H122))</f>
        <v>3105269.1678590272</v>
      </c>
      <c r="AQ57" s="22">
        <f>((AQ12*Constants!$H70*Constants!$H88*(1-Constants!$H106))+(AQ12*Constants!$H70*Constants!$H122))</f>
        <v>3112575.0535552874</v>
      </c>
      <c r="AR57" s="22">
        <f>((AR12*Constants!$H70*Constants!$H88*(1-Constants!$H106))+(AR12*Constants!$H70*Constants!$H122))</f>
        <v>3117072.3833740931</v>
      </c>
      <c r="AS57" s="22">
        <f>((AS12*Constants!$H70*Constants!$H88*(1-Constants!$H106))+(AS12*Constants!$H70*Constants!$H122))</f>
        <v>3122095.9936394645</v>
      </c>
      <c r="AT57" s="22">
        <f>((AT12*Constants!$H70*Constants!$H88*(1-Constants!$H106))+(AT12*Constants!$H70*Constants!$H122))</f>
        <v>3127664.114758702</v>
      </c>
      <c r="AU57" s="22">
        <f>((AU12*Constants!$H70*Constants!$H88*(1-Constants!$H106))+(AU12*Constants!$H70*Constants!$H122))</f>
        <v>3133691.1958529307</v>
      </c>
      <c r="AV57" s="22">
        <f>((AV12*Constants!$H70*Constants!$H88*(1-Constants!$H106))+(AV12*Constants!$H70*Constants!$H122))</f>
        <v>3140198.7873039139</v>
      </c>
      <c r="AW57" s="22">
        <f>((AW12*Constants!$H70*Constants!$H88*(1-Constants!$H106))+(AW12*Constants!$H70*Constants!$H122))</f>
        <v>3144482.8560154331</v>
      </c>
      <c r="AX57" s="22">
        <f>((AX12*Constants!$H70*Constants!$H88*(1-Constants!$H106))+(AX12*Constants!$H70*Constants!$H122))</f>
        <v>3149217.542684257</v>
      </c>
      <c r="AY57" s="22">
        <f>((AY12*Constants!$H70*Constants!$H88*(1-Constants!$H106))+(AY12*Constants!$H70*Constants!$H122))</f>
        <v>3154360.2659091204</v>
      </c>
      <c r="AZ57" s="22">
        <f>((AZ12*Constants!$H70*Constants!$H88*(1-Constants!$H106))+(AZ12*Constants!$H70*Constants!$H122))</f>
        <v>3159328.792450171</v>
      </c>
      <c r="BA57" s="22">
        <f>((BA12*Constants!$H70*Constants!$H88*(1-Constants!$H106))+(BA12*Constants!$H70*Constants!$H122))</f>
        <v>3138086.8537847605</v>
      </c>
      <c r="BB57" s="22">
        <f>((BB12*Constants!$H70*Constants!$H88*(1-Constants!$H106))+(BB12*Constants!$H70*Constants!$H122))</f>
        <v>3141103.5449436088</v>
      </c>
      <c r="BC57" s="22">
        <f>((BC12*Constants!$H70*Constants!$H88*(1-Constants!$H106))+(BC12*Constants!$H70*Constants!$H122))</f>
        <v>3144432.4785802267</v>
      </c>
      <c r="BD57" s="22">
        <f>((BD12*Constants!$H70*Constants!$H88*(1-Constants!$H106))+(BD12*Constants!$H70*Constants!$H122))</f>
        <v>3148061.8584357761</v>
      </c>
      <c r="BE57" s="22">
        <f>((BE12*Constants!$H70*Constants!$H88*(1-Constants!$H106))+(BE12*Constants!$H70*Constants!$H122))</f>
        <v>3151980.8000287944</v>
      </c>
      <c r="BF57" s="22">
        <f>((BF12*Constants!$H70*Constants!$H88*(1-Constants!$H106))+(BF12*Constants!$H70*Constants!$H122))</f>
        <v>3156179.2441344303</v>
      </c>
      <c r="BG57" s="22">
        <f>((BG12*Constants!$H70*Constants!$H88*(1-Constants!$H106))+(BG12*Constants!$H70*Constants!$H122))</f>
        <v>3158216.7528665261</v>
      </c>
      <c r="BH57" s="22">
        <f>((BH12*Constants!$H70*Constants!$H88*(1-Constants!$H106))+(BH12*Constants!$H70*Constants!$H122))</f>
        <v>3160500.521110015</v>
      </c>
      <c r="BI57" s="22">
        <f>((BI12*Constants!$H70*Constants!$H88*(1-Constants!$H106))+(BI12*Constants!$H70*Constants!$H122))</f>
        <v>3163021.9784532725</v>
      </c>
      <c r="BJ57" s="22">
        <f>((BJ12*Constants!$H70*Constants!$H88*(1-Constants!$H106))+(BJ12*Constants!$H70*Constants!$H122))</f>
        <v>3165773.1410752558</v>
      </c>
      <c r="BK57" s="22">
        <f>((BK12*Constants!$H70*Constants!$H88*(1-Constants!$H106))+(BK12*Constants!$H70*Constants!$H122))</f>
        <v>3168746.5619117641</v>
      </c>
      <c r="BL57" s="22">
        <f>((BL12*Constants!$H70*Constants!$H88*(1-Constants!$H106))+(BL12*Constants!$H70*Constants!$H122))</f>
        <v>3169480.068662791</v>
      </c>
      <c r="BM57" s="22">
        <f>((BM12*Constants!$H70*Constants!$H88*(1-Constants!$H106))+(BM12*Constants!$H70*Constants!$H122))</f>
        <v>3170410.8294775984</v>
      </c>
      <c r="BN57" s="22">
        <f>((BN12*Constants!$H70*Constants!$H88*(1-Constants!$H106))+(BN12*Constants!$H70*Constants!$H122))</f>
        <v>3171532.3113052933</v>
      </c>
      <c r="BO57" s="22">
        <f>((BO12*Constants!$H70*Constants!$H88*(1-Constants!$H106))+(BO12*Constants!$H70*Constants!$H122))</f>
        <v>3172838.3800314739</v>
      </c>
      <c r="BP57" s="22">
        <f>((BP12*Constants!$H70*Constants!$H88*(1-Constants!$H106))+(BP12*Constants!$H70*Constants!$H122))</f>
        <v>3174323.2697993768</v>
      </c>
    </row>
    <row r="58" spans="1:72" x14ac:dyDescent="0.25">
      <c r="A58" t="str">
        <f t="shared" si="48"/>
        <v>3C Aggregated and non-CO2 emissions on land</v>
      </c>
      <c r="B58" t="str">
        <f t="shared" si="48"/>
        <v>3C4 Direct N2O from managed soils (N2O)</v>
      </c>
      <c r="C58" t="s">
        <v>409</v>
      </c>
      <c r="D58" t="str">
        <f>Constants!D123</f>
        <v xml:space="preserve"> - Commercial goats</v>
      </c>
      <c r="E58" t="str">
        <f t="shared" si="49"/>
        <v>MM N available - Commercial goats</v>
      </c>
      <c r="F58" t="str">
        <f t="shared" si="50"/>
        <v>kg N</v>
      </c>
      <c r="H58" s="22">
        <f>((H13*Constants!$H71*Constants!$H89*(1-Constants!$H107))+(H13*Constants!$H71*Constants!$H123))</f>
        <v>615778.18513243599</v>
      </c>
      <c r="I58" s="22">
        <f>((I13*Constants!$H71*Constants!$H89*(1-Constants!$H107))+(I13*Constants!$H71*Constants!$H123))</f>
        <v>544521.949578178</v>
      </c>
      <c r="J58" s="22">
        <f>((J13*Constants!$H71*Constants!$H89*(1-Constants!$H107))+(J13*Constants!$H71*Constants!$H123))</f>
        <v>507228.96648436046</v>
      </c>
      <c r="K58" s="22">
        <f>((K13*Constants!$H71*Constants!$H89*(1-Constants!$H107))+(K13*Constants!$H71*Constants!$H123))</f>
        <v>479259.2291639974</v>
      </c>
      <c r="L58" s="22">
        <f>((L13*Constants!$H71*Constants!$H89*(1-Constants!$H107))+(L13*Constants!$H71*Constants!$H123))</f>
        <v>518772.03268006572</v>
      </c>
      <c r="M58" s="22">
        <f>((M13*Constants!$H71*Constants!$H89*(1-Constants!$H107))+(M13*Constants!$H71*Constants!$H123))</f>
        <v>525875.45803126914</v>
      </c>
      <c r="N58" s="22">
        <f>((N13*Constants!$H71*Constants!$H89*(1-Constants!$H107))+(N13*Constants!$H71*Constants!$H123))</f>
        <v>534088.79359359795</v>
      </c>
      <c r="O58" s="22">
        <f>((O13*Constants!$H71*Constants!$H89*(1-Constants!$H107))+(O13*Constants!$H71*Constants!$H123))</f>
        <v>531425.00908689678</v>
      </c>
      <c r="P58" s="22">
        <f>((P13*Constants!$H71*Constants!$H89*(1-Constants!$H107))+(P13*Constants!$H71*Constants!$H123))</f>
        <v>523877.61965124327</v>
      </c>
      <c r="Q58" s="22">
        <f>((Q13*Constants!$H71*Constants!$H89*(1-Constants!$H107))+(Q13*Constants!$H71*Constants!$H123))</f>
        <v>516108.24817336473</v>
      </c>
      <c r="R58" s="22">
        <f>((R13*Constants!$H71*Constants!$H89*(1-Constants!$H107))+(R13*Constants!$H71*Constants!$H123))</f>
        <v>522767.7094401177</v>
      </c>
      <c r="S58" s="22">
        <f>((S13*Constants!$H71*Constants!$H89*(1-Constants!$H107))+(S13*Constants!$H71*Constants!$H123))</f>
        <v>538750.41648032528</v>
      </c>
      <c r="T58" s="22">
        <f>((T13*Constants!$H71*Constants!$H89*(1-Constants!$H107))+(T13*Constants!$H71*Constants!$H123))</f>
        <v>491912.20557082852</v>
      </c>
      <c r="U58" s="22">
        <f>((U13*Constants!$H71*Constants!$H89*(1-Constants!$H107))+(U13*Constants!$H71*Constants!$H123))</f>
        <v>479481.21120622259</v>
      </c>
      <c r="V58" s="22">
        <f>((V13*Constants!$H71*Constants!$H89*(1-Constants!$H107))+(V13*Constants!$H71*Constants!$H123))</f>
        <v>480369.13937512314</v>
      </c>
      <c r="W58" s="22">
        <f>((W13*Constants!$H71*Constants!$H89*(1-Constants!$H107))+(W13*Constants!$H71*Constants!$H123))</f>
        <v>474153.64219282009</v>
      </c>
      <c r="X58" s="22">
        <f>((X13*Constants!$H71*Constants!$H89*(1-Constants!$H107))+(X13*Constants!$H71*Constants!$H123))</f>
        <v>484142.83409294975</v>
      </c>
      <c r="Y58" s="22">
        <f>((Y13*Constants!$H71*Constants!$H89*(1-Constants!$H107))+(Y13*Constants!$H71*Constants!$H123))</f>
        <v>469714.00134831812</v>
      </c>
      <c r="Z58" s="22">
        <f>((Z13*Constants!$H71*Constants!$H89*(1-Constants!$H107))+(Z13*Constants!$H71*Constants!$H123))</f>
        <v>469270.03726386797</v>
      </c>
      <c r="AA58" s="22">
        <f>((AA13*Constants!$H71*Constants!$H89*(1-Constants!$H107))+(AA13*Constants!$H71*Constants!$H123))</f>
        <v>461056.7017015391</v>
      </c>
      <c r="AB58" s="22">
        <f>((AB13*Constants!$H71*Constants!$H89*(1-Constants!$H107))+(AB13*Constants!$H71*Constants!$H123))</f>
        <v>455507.15064591152</v>
      </c>
      <c r="AC58" s="22">
        <f>((AC13*Constants!$H71*Constants!$H89*(1-Constants!$H107))+(AC13*Constants!$H71*Constants!$H123))</f>
        <v>451289.49184363458</v>
      </c>
      <c r="AD58" s="22">
        <f>((AD13*Constants!$H71*Constants!$H89*(1-Constants!$H107))+(AD13*Constants!$H71*Constants!$H123))</f>
        <v>459063.38535903586</v>
      </c>
      <c r="AE58" s="22">
        <f>((AE13*Constants!$H71*Constants!$H89*(1-Constants!$H107))+(AE13*Constants!$H71*Constants!$H123))</f>
        <v>460260.73140826449</v>
      </c>
      <c r="AF58" s="22">
        <f>((AF13*Constants!$H71*Constants!$H89*(1-Constants!$H107))+(AF13*Constants!$H71*Constants!$H123))</f>
        <v>461856.30108132871</v>
      </c>
      <c r="AG58" s="22">
        <f>((AG13*Constants!$H71*Constants!$H89*(1-Constants!$H107))+(AG13*Constants!$H71*Constants!$H123))</f>
        <v>463814.62172938132</v>
      </c>
      <c r="AH58" s="22">
        <f>((AH13*Constants!$H71*Constants!$H89*(1-Constants!$H107))+(AH13*Constants!$H71*Constants!$H123))</f>
        <v>466159.22593726171</v>
      </c>
      <c r="AI58" s="22">
        <f>((AI13*Constants!$H71*Constants!$H89*(1-Constants!$H107))+(AI13*Constants!$H71*Constants!$H123))</f>
        <v>468896.35298280412</v>
      </c>
      <c r="AJ58" s="22">
        <f>((AJ13*Constants!$H71*Constants!$H89*(1-Constants!$H107))+(AJ13*Constants!$H71*Constants!$H123))</f>
        <v>471822.84639938985</v>
      </c>
      <c r="AK58" s="22">
        <f>((AK13*Constants!$H71*Constants!$H89*(1-Constants!$H107))+(AK13*Constants!$H71*Constants!$H123))</f>
        <v>474896.8597303335</v>
      </c>
      <c r="AL58" s="22">
        <f>((AL13*Constants!$H71*Constants!$H89*(1-Constants!$H107))+(AL13*Constants!$H71*Constants!$H123))</f>
        <v>477752.48309622274</v>
      </c>
      <c r="AM58" s="22">
        <f>((AM13*Constants!$H71*Constants!$H89*(1-Constants!$H107))+(AM13*Constants!$H71*Constants!$H123))</f>
        <v>479090.71520653361</v>
      </c>
      <c r="AN58" s="22">
        <f>((AN13*Constants!$H71*Constants!$H89*(1-Constants!$H107))+(AN13*Constants!$H71*Constants!$H123))</f>
        <v>480558.16089559672</v>
      </c>
      <c r="AO58" s="22">
        <f>((AO13*Constants!$H71*Constants!$H89*(1-Constants!$H107))+(AO13*Constants!$H71*Constants!$H123))</f>
        <v>482156.68238904601</v>
      </c>
      <c r="AP58" s="22">
        <f>((AP13*Constants!$H71*Constants!$H89*(1-Constants!$H107))+(AP13*Constants!$H71*Constants!$H123))</f>
        <v>483895.20029084367</v>
      </c>
      <c r="AQ58" s="22">
        <f>((AQ13*Constants!$H71*Constants!$H89*(1-Constants!$H107))+(AQ13*Constants!$H71*Constants!$H123))</f>
        <v>485750.30745795171</v>
      </c>
      <c r="AR58" s="22">
        <f>((AR13*Constants!$H71*Constants!$H89*(1-Constants!$H107))+(AR13*Constants!$H71*Constants!$H123))</f>
        <v>486922.91147159511</v>
      </c>
      <c r="AS58" s="22">
        <f>((AS13*Constants!$H71*Constants!$H89*(1-Constants!$H107))+(AS13*Constants!$H71*Constants!$H123))</f>
        <v>488191.60938601376</v>
      </c>
      <c r="AT58" s="22">
        <f>((AT13*Constants!$H71*Constants!$H89*(1-Constants!$H107))+(AT13*Constants!$H71*Constants!$H123))</f>
        <v>489561.64988671732</v>
      </c>
      <c r="AU58" s="22">
        <f>((AU13*Constants!$H71*Constants!$H89*(1-Constants!$H107))+(AU13*Constants!$H71*Constants!$H123))</f>
        <v>491014.17160395341</v>
      </c>
      <c r="AV58" s="22">
        <f>((AV13*Constants!$H71*Constants!$H89*(1-Constants!$H107))+(AV13*Constants!$H71*Constants!$H123))</f>
        <v>492554.9847846714</v>
      </c>
      <c r="AW58" s="22">
        <f>((AW13*Constants!$H71*Constants!$H89*(1-Constants!$H107))+(AW13*Constants!$H71*Constants!$H123))</f>
        <v>493564.11510866269</v>
      </c>
      <c r="AX58" s="22">
        <f>((AX13*Constants!$H71*Constants!$H89*(1-Constants!$H107))+(AX13*Constants!$H71*Constants!$H123))</f>
        <v>494658.52417717787</v>
      </c>
      <c r="AY58" s="22">
        <f>((AY13*Constants!$H71*Constants!$H89*(1-Constants!$H107))+(AY13*Constants!$H71*Constants!$H123))</f>
        <v>495828.95996754552</v>
      </c>
      <c r="AZ58" s="22">
        <f>((AZ13*Constants!$H71*Constants!$H89*(1-Constants!$H107))+(AZ13*Constants!$H71*Constants!$H123))</f>
        <v>496943.04378528887</v>
      </c>
      <c r="BA58" s="22">
        <f>((BA13*Constants!$H71*Constants!$H89*(1-Constants!$H107))+(BA13*Constants!$H71*Constants!$H123))</f>
        <v>492072.88261798117</v>
      </c>
      <c r="BB58" s="22">
        <f>((BB13*Constants!$H71*Constants!$H89*(1-Constants!$H107))+(BB13*Constants!$H71*Constants!$H123))</f>
        <v>492724.51151396002</v>
      </c>
      <c r="BC58" s="22">
        <f>((BC13*Constants!$H71*Constants!$H89*(1-Constants!$H107))+(BC13*Constants!$H71*Constants!$H123))</f>
        <v>493434.56874480733</v>
      </c>
      <c r="BD58" s="22">
        <f>((BD13*Constants!$H71*Constants!$H89*(1-Constants!$H107))+(BD13*Constants!$H71*Constants!$H123))</f>
        <v>494200.68148723821</v>
      </c>
      <c r="BE58" s="22">
        <f>((BE13*Constants!$H71*Constants!$H89*(1-Constants!$H107))+(BE13*Constants!$H71*Constants!$H123))</f>
        <v>495020.66096742131</v>
      </c>
      <c r="BF58" s="22">
        <f>((BF13*Constants!$H71*Constants!$H89*(1-Constants!$H107))+(BF13*Constants!$H71*Constants!$H123))</f>
        <v>495892.48483859003</v>
      </c>
      <c r="BG58" s="22">
        <f>((BG13*Constants!$H71*Constants!$H89*(1-Constants!$H107))+(BG13*Constants!$H71*Constants!$H123))</f>
        <v>496266.71384928073</v>
      </c>
      <c r="BH58" s="22">
        <f>((BH13*Constants!$H71*Constants!$H89*(1-Constants!$H107))+(BH13*Constants!$H71*Constants!$H123))</f>
        <v>496687.64775052987</v>
      </c>
      <c r="BI58" s="22">
        <f>((BI13*Constants!$H71*Constants!$H89*(1-Constants!$H107))+(BI13*Constants!$H71*Constants!$H123))</f>
        <v>497153.52577021741</v>
      </c>
      <c r="BJ58" s="22">
        <f>((BJ13*Constants!$H71*Constants!$H89*(1-Constants!$H107))+(BJ13*Constants!$H71*Constants!$H123))</f>
        <v>497662.70792933175</v>
      </c>
      <c r="BK58" s="22">
        <f>((BK13*Constants!$H71*Constants!$H89*(1-Constants!$H107))+(BK13*Constants!$H71*Constants!$H123))</f>
        <v>498213.66469327634</v>
      </c>
      <c r="BL58" s="22">
        <f>((BL13*Constants!$H71*Constants!$H89*(1-Constants!$H107))+(BL13*Constants!$H71*Constants!$H123))</f>
        <v>498256.6503077349</v>
      </c>
      <c r="BM58" s="22">
        <f>((BM13*Constants!$H71*Constants!$H89*(1-Constants!$H107))+(BM13*Constants!$H71*Constants!$H123))</f>
        <v>498337.864411366</v>
      </c>
      <c r="BN58" s="22">
        <f>((BN13*Constants!$H71*Constants!$H89*(1-Constants!$H107))+(BN13*Constants!$H71*Constants!$H123))</f>
        <v>498455.93410188274</v>
      </c>
      <c r="BO58" s="22">
        <f>((BO13*Constants!$H71*Constants!$H89*(1-Constants!$H107))+(BO13*Constants!$H71*Constants!$H123))</f>
        <v>498609.57051073818</v>
      </c>
      <c r="BP58" s="22">
        <f>((BP13*Constants!$H71*Constants!$H89*(1-Constants!$H107))+(BP13*Constants!$H71*Constants!$H123))</f>
        <v>498797.56229283981</v>
      </c>
    </row>
    <row r="59" spans="1:72" x14ac:dyDescent="0.25">
      <c r="A59" t="str">
        <f t="shared" si="48"/>
        <v>3C Aggregated and non-CO2 emissions on land</v>
      </c>
      <c r="B59" t="str">
        <f t="shared" si="48"/>
        <v>3C4 Direct N2O from managed soils (N2O)</v>
      </c>
      <c r="C59" t="s">
        <v>409</v>
      </c>
      <c r="D59" t="str">
        <f>Constants!D124</f>
        <v xml:space="preserve"> - Subsistence goats</v>
      </c>
      <c r="E59" t="str">
        <f t="shared" si="49"/>
        <v>MM N available - Subsistence goats</v>
      </c>
      <c r="F59" t="str">
        <f t="shared" si="50"/>
        <v>kg N</v>
      </c>
      <c r="H59" s="22">
        <f>((H14*Constants!$H72*Constants!$H90*(1-Constants!$H108))+(H14*Constants!$H72*Constants!$H124))</f>
        <v>7560354.6157626472</v>
      </c>
      <c r="I59" s="22">
        <f>((I14*Constants!$H72*Constants!$H90*(1-Constants!$H108))+(I14*Constants!$H72*Constants!$H124))</f>
        <v>6685490.2207879517</v>
      </c>
      <c r="J59" s="22">
        <f>((J14*Constants!$H72*Constants!$H90*(1-Constants!$H108))+(J14*Constants!$H72*Constants!$H124))</f>
        <v>6227617.2664086716</v>
      </c>
      <c r="K59" s="22">
        <f>((K14*Constants!$H72*Constants!$H90*(1-Constants!$H108))+(K14*Constants!$H72*Constants!$H124))</f>
        <v>5884212.5506242104</v>
      </c>
      <c r="L59" s="22">
        <f>((L14*Constants!$H72*Constants!$H90*(1-Constants!$H108))+(L14*Constants!$H72*Constants!$H124))</f>
        <v>6369339.8475260669</v>
      </c>
      <c r="M59" s="22">
        <f>((M14*Constants!$H72*Constants!$H90*(1-Constants!$H108))+(M14*Constants!$H72*Constants!$H124))</f>
        <v>6456553.7435983112</v>
      </c>
      <c r="N59" s="22">
        <f>((N14*Constants!$H72*Constants!$H90*(1-Constants!$H108))+(N14*Constants!$H72*Constants!$H124))</f>
        <v>6557394.8109318437</v>
      </c>
      <c r="O59" s="22">
        <f>((O14*Constants!$H72*Constants!$H90*(1-Constants!$H108))+(O14*Constants!$H72*Constants!$H124))</f>
        <v>6524689.5999047523</v>
      </c>
      <c r="P59" s="22">
        <f>((P14*Constants!$H72*Constants!$H90*(1-Constants!$H108))+(P14*Constants!$H72*Constants!$H124))</f>
        <v>6432024.8353279931</v>
      </c>
      <c r="Q59" s="22">
        <f>((Q14*Constants!$H72*Constants!$H90*(1-Constants!$H108))+(Q14*Constants!$H72*Constants!$H124))</f>
        <v>6336634.6364989765</v>
      </c>
      <c r="R59" s="22">
        <f>((R14*Constants!$H72*Constants!$H90*(1-Constants!$H108))+(R14*Constants!$H72*Constants!$H124))</f>
        <v>6418397.6640667049</v>
      </c>
      <c r="S59" s="22">
        <f>((S14*Constants!$H72*Constants!$H90*(1-Constants!$H108))+(S14*Constants!$H72*Constants!$H124))</f>
        <v>6614628.9302292531</v>
      </c>
      <c r="T59" s="22">
        <f>((T14*Constants!$H72*Constants!$H90*(1-Constants!$H108))+(T14*Constants!$H72*Constants!$H124))</f>
        <v>6039562.3030028949</v>
      </c>
      <c r="U59" s="22">
        <f>((U14*Constants!$H72*Constants!$H90*(1-Constants!$H108))+(U14*Constants!$H72*Constants!$H124))</f>
        <v>5886937.9848764678</v>
      </c>
      <c r="V59" s="22">
        <f>((V14*Constants!$H72*Constants!$H90*(1-Constants!$H108))+(V14*Constants!$H72*Constants!$H124))</f>
        <v>5897839.7218854986</v>
      </c>
      <c r="W59" s="22">
        <f>((W14*Constants!$H72*Constants!$H90*(1-Constants!$H108))+(W14*Constants!$H72*Constants!$H124))</f>
        <v>5821527.5628222851</v>
      </c>
      <c r="X59" s="22">
        <f>((X14*Constants!$H72*Constants!$H90*(1-Constants!$H108))+(X14*Constants!$H72*Constants!$H124))</f>
        <v>5944172.1041738791</v>
      </c>
      <c r="Y59" s="22">
        <f>((Y14*Constants!$H72*Constants!$H90*(1-Constants!$H108))+(Y14*Constants!$H72*Constants!$H124))</f>
        <v>5767018.8777771331</v>
      </c>
      <c r="Z59" s="22">
        <f>((Z14*Constants!$H72*Constants!$H90*(1-Constants!$H108))+(Z14*Constants!$H72*Constants!$H124))</f>
        <v>5761568.0092726164</v>
      </c>
      <c r="AA59" s="22">
        <f>((AA14*Constants!$H72*Constants!$H90*(1-Constants!$H108))+(AA14*Constants!$H72*Constants!$H124))</f>
        <v>5660726.9419390857</v>
      </c>
      <c r="AB59" s="22">
        <f>((AB14*Constants!$H72*Constants!$H90*(1-Constants!$H108))+(AB14*Constants!$H72*Constants!$H124))</f>
        <v>5592591.0856326455</v>
      </c>
      <c r="AC59" s="22">
        <f>((AC14*Constants!$H72*Constants!$H90*(1-Constants!$H108))+(AC14*Constants!$H72*Constants!$H124))</f>
        <v>5540807.8348397501</v>
      </c>
      <c r="AD59" s="22">
        <f>((AD14*Constants!$H72*Constants!$H90*(1-Constants!$H108))+(AD14*Constants!$H72*Constants!$H124))</f>
        <v>5539086.0746360635</v>
      </c>
      <c r="AE59" s="22">
        <f>((AE14*Constants!$H72*Constants!$H90*(1-Constants!$H108))+(AE14*Constants!$H72*Constants!$H124))</f>
        <v>5553533.323184574</v>
      </c>
      <c r="AF59" s="22">
        <f>((AF14*Constants!$H72*Constants!$H90*(1-Constants!$H108))+(AF14*Constants!$H72*Constants!$H124))</f>
        <v>5572785.5616314933</v>
      </c>
      <c r="AG59" s="22">
        <f>((AG14*Constants!$H72*Constants!$H90*(1-Constants!$H108))+(AG14*Constants!$H72*Constants!$H124))</f>
        <v>5596414.7748888666</v>
      </c>
      <c r="AH59" s="22">
        <f>((AH14*Constants!$H72*Constants!$H90*(1-Constants!$H108))+(AH14*Constants!$H72*Constants!$H124))</f>
        <v>5624704.9085231284</v>
      </c>
      <c r="AI59" s="22">
        <f>((AI14*Constants!$H72*Constants!$H90*(1-Constants!$H108))+(AI14*Constants!$H72*Constants!$H124))</f>
        <v>5657731.2460312182</v>
      </c>
      <c r="AJ59" s="22">
        <f>((AJ14*Constants!$H72*Constants!$H90*(1-Constants!$H108))+(AJ14*Constants!$H72*Constants!$H124))</f>
        <v>5693042.4894200703</v>
      </c>
      <c r="AK59" s="22">
        <f>((AK14*Constants!$H72*Constants!$H90*(1-Constants!$H108))+(AK14*Constants!$H72*Constants!$H124))</f>
        <v>5730133.7168577788</v>
      </c>
      <c r="AL59" s="22">
        <f>((AL14*Constants!$H72*Constants!$H90*(1-Constants!$H108))+(AL14*Constants!$H72*Constants!$H124))</f>
        <v>5764589.8380054748</v>
      </c>
      <c r="AM59" s="22">
        <f>((AM14*Constants!$H72*Constants!$H90*(1-Constants!$H108))+(AM14*Constants!$H72*Constants!$H124))</f>
        <v>5780737.0261351839</v>
      </c>
      <c r="AN59" s="22">
        <f>((AN14*Constants!$H72*Constants!$H90*(1-Constants!$H108))+(AN14*Constants!$H72*Constants!$H124))</f>
        <v>5798443.3129809909</v>
      </c>
      <c r="AO59" s="22">
        <f>((AO14*Constants!$H72*Constants!$H90*(1-Constants!$H108))+(AO14*Constants!$H72*Constants!$H124))</f>
        <v>5817731.1682680044</v>
      </c>
      <c r="AP59" s="22">
        <f>((AP14*Constants!$H72*Constants!$H90*(1-Constants!$H108))+(AP14*Constants!$H72*Constants!$H124))</f>
        <v>5838708.228533485</v>
      </c>
      <c r="AQ59" s="22">
        <f>((AQ14*Constants!$H72*Constants!$H90*(1-Constants!$H108))+(AQ14*Constants!$H72*Constants!$H124))</f>
        <v>5861092.0617992319</v>
      </c>
      <c r="AR59" s="22">
        <f>((AR14*Constants!$H72*Constants!$H90*(1-Constants!$H108))+(AR14*Constants!$H72*Constants!$H124))</f>
        <v>5875240.7714767763</v>
      </c>
      <c r="AS59" s="22">
        <f>((AS14*Constants!$H72*Constants!$H90*(1-Constants!$H108))+(AS14*Constants!$H72*Constants!$H124))</f>
        <v>5890548.9558687406</v>
      </c>
      <c r="AT59" s="22">
        <f>((AT14*Constants!$H72*Constants!$H90*(1-Constants!$H108))+(AT14*Constants!$H72*Constants!$H124))</f>
        <v>5907079.9459262453</v>
      </c>
      <c r="AU59" s="22">
        <f>((AU14*Constants!$H72*Constants!$H90*(1-Constants!$H108))+(AU14*Constants!$H72*Constants!$H124))</f>
        <v>5924606.1592415506</v>
      </c>
      <c r="AV59" s="22">
        <f>((AV14*Constants!$H72*Constants!$H90*(1-Constants!$H108))+(AV14*Constants!$H72*Constants!$H124))</f>
        <v>5943197.7025994575</v>
      </c>
      <c r="AW59" s="22">
        <f>((AW14*Constants!$H72*Constants!$H90*(1-Constants!$H108))+(AW14*Constants!$H72*Constants!$H124))</f>
        <v>5955373.9290278442</v>
      </c>
      <c r="AX59" s="22">
        <f>((AX14*Constants!$H72*Constants!$H90*(1-Constants!$H108))+(AX14*Constants!$H72*Constants!$H124))</f>
        <v>5968579.133852941</v>
      </c>
      <c r="AY59" s="22">
        <f>((AY14*Constants!$H72*Constants!$H90*(1-Constants!$H108))+(AY14*Constants!$H72*Constants!$H124))</f>
        <v>5982701.6816196516</v>
      </c>
      <c r="AZ59" s="22">
        <f>((AZ14*Constants!$H72*Constants!$H90*(1-Constants!$H108))+(AZ14*Constants!$H72*Constants!$H124))</f>
        <v>5996144.2831375524</v>
      </c>
      <c r="BA59" s="22">
        <f>((BA14*Constants!$H72*Constants!$H90*(1-Constants!$H108))+(BA14*Constants!$H72*Constants!$H124))</f>
        <v>5937380.6292208508</v>
      </c>
      <c r="BB59" s="22">
        <f>((BB14*Constants!$H72*Constants!$H90*(1-Constants!$H108))+(BB14*Constants!$H72*Constants!$H124))</f>
        <v>5945243.2221843982</v>
      </c>
      <c r="BC59" s="22">
        <f>((BC14*Constants!$H72*Constants!$H90*(1-Constants!$H108))+(BC14*Constants!$H72*Constants!$H124))</f>
        <v>5953810.8149069278</v>
      </c>
      <c r="BD59" s="22">
        <f>((BD14*Constants!$H72*Constants!$H90*(1-Constants!$H108))+(BD14*Constants!$H72*Constants!$H124))</f>
        <v>5963054.7767617395</v>
      </c>
      <c r="BE59" s="22">
        <f>((BE14*Constants!$H72*Constants!$H90*(1-Constants!$H108))+(BE14*Constants!$H72*Constants!$H124))</f>
        <v>5972948.6978737833</v>
      </c>
      <c r="BF59" s="22">
        <f>((BF14*Constants!$H72*Constants!$H90*(1-Constants!$H108))+(BF14*Constants!$H72*Constants!$H124))</f>
        <v>5983468.1764868489</v>
      </c>
      <c r="BG59" s="22">
        <f>((BG14*Constants!$H72*Constants!$H90*(1-Constants!$H108))+(BG14*Constants!$H72*Constants!$H124))</f>
        <v>5987983.6459578471</v>
      </c>
      <c r="BH59" s="22">
        <f>((BH14*Constants!$H72*Constants!$H90*(1-Constants!$H108))+(BH14*Constants!$H72*Constants!$H124))</f>
        <v>5993062.6594124436</v>
      </c>
      <c r="BI59" s="22">
        <f>((BI14*Constants!$H72*Constants!$H90*(1-Constants!$H108))+(BI14*Constants!$H72*Constants!$H124))</f>
        <v>5998683.971269656</v>
      </c>
      <c r="BJ59" s="22">
        <f>((BJ14*Constants!$H72*Constants!$H90*(1-Constants!$H108))+(BJ14*Constants!$H72*Constants!$H124))</f>
        <v>6004827.7934453161</v>
      </c>
      <c r="BK59" s="22">
        <f>((BK14*Constants!$H72*Constants!$H90*(1-Constants!$H108))+(BK14*Constants!$H72*Constants!$H124))</f>
        <v>6011475.6704841377</v>
      </c>
      <c r="BL59" s="22">
        <f>((BL14*Constants!$H72*Constants!$H90*(1-Constants!$H108))+(BL14*Constants!$H72*Constants!$H124))</f>
        <v>6011994.3374614036</v>
      </c>
      <c r="BM59" s="22">
        <f>((BM14*Constants!$H72*Constants!$H90*(1-Constants!$H108))+(BM14*Constants!$H72*Constants!$H124))</f>
        <v>6012974.2716596732</v>
      </c>
      <c r="BN59" s="22">
        <f>((BN14*Constants!$H72*Constants!$H90*(1-Constants!$H108))+(BN14*Constants!$H72*Constants!$H124))</f>
        <v>6014398.9075584104</v>
      </c>
      <c r="BO59" s="22">
        <f>((BO14*Constants!$H72*Constants!$H90*(1-Constants!$H108))+(BO14*Constants!$H72*Constants!$H124))</f>
        <v>6016252.6935931705</v>
      </c>
      <c r="BP59" s="22">
        <f>((BP14*Constants!$H72*Constants!$H90*(1-Constants!$H108))+(BP14*Constants!$H72*Constants!$H124))</f>
        <v>6018521.013602118</v>
      </c>
    </row>
    <row r="60" spans="1:72" x14ac:dyDescent="0.25">
      <c r="A60" t="str">
        <f t="shared" si="48"/>
        <v>3C Aggregated and non-CO2 emissions on land</v>
      </c>
      <c r="B60" t="str">
        <f t="shared" si="48"/>
        <v>3C4 Direct N2O from managed soils (N2O)</v>
      </c>
      <c r="C60" t="s">
        <v>409</v>
      </c>
      <c r="D60" t="str">
        <f>Constants!D125</f>
        <v xml:space="preserve"> - Horses</v>
      </c>
      <c r="E60" t="str">
        <f t="shared" si="49"/>
        <v>MM N available - Horses</v>
      </c>
      <c r="F60" t="str">
        <f t="shared" si="50"/>
        <v>kg N</v>
      </c>
      <c r="H60" s="22">
        <f>((H15*Constants!$H73*Constants!$H91*(1-Constants!$H109))+(H15*Constants!$H73*Constants!$H125))</f>
        <v>0</v>
      </c>
      <c r="I60" s="22">
        <f>((I15*Constants!$H73*Constants!$H91*(1-Constants!$H109))+(I15*Constants!$H73*Constants!$H125))</f>
        <v>0</v>
      </c>
      <c r="J60" s="22">
        <f>((J15*Constants!$H73*Constants!$H91*(1-Constants!$H109))+(J15*Constants!$H73*Constants!$H125))</f>
        <v>0</v>
      </c>
      <c r="K60" s="22">
        <f>((K15*Constants!$H73*Constants!$H91*(1-Constants!$H109))+(K15*Constants!$H73*Constants!$H125))</f>
        <v>0</v>
      </c>
      <c r="L60" s="22">
        <f>((L15*Constants!$H73*Constants!$H91*(1-Constants!$H109))+(L15*Constants!$H73*Constants!$H125))</f>
        <v>0</v>
      </c>
      <c r="M60" s="22">
        <f>((M15*Constants!$H73*Constants!$H91*(1-Constants!$H109))+(M15*Constants!$H73*Constants!$H125))</f>
        <v>0</v>
      </c>
      <c r="N60" s="22">
        <f>((N15*Constants!$H73*Constants!$H91*(1-Constants!$H109))+(N15*Constants!$H73*Constants!$H125))</f>
        <v>0</v>
      </c>
      <c r="O60" s="22">
        <f>((O15*Constants!$H73*Constants!$H91*(1-Constants!$H109))+(O15*Constants!$H73*Constants!$H125))</f>
        <v>0</v>
      </c>
      <c r="P60" s="22">
        <f>((P15*Constants!$H73*Constants!$H91*(1-Constants!$H109))+(P15*Constants!$H73*Constants!$H125))</f>
        <v>0</v>
      </c>
      <c r="Q60" s="22">
        <f>((Q15*Constants!$H73*Constants!$H91*(1-Constants!$H109))+(Q15*Constants!$H73*Constants!$H125))</f>
        <v>0</v>
      </c>
      <c r="R60" s="22">
        <f>((R15*Constants!$H73*Constants!$H91*(1-Constants!$H109))+(R15*Constants!$H73*Constants!$H125))</f>
        <v>0</v>
      </c>
      <c r="S60" s="22">
        <f>((S15*Constants!$H73*Constants!$H91*(1-Constants!$H109))+(S15*Constants!$H73*Constants!$H125))</f>
        <v>0</v>
      </c>
      <c r="T60" s="22">
        <f>((T15*Constants!$H73*Constants!$H91*(1-Constants!$H109))+(T15*Constants!$H73*Constants!$H125))</f>
        <v>0</v>
      </c>
      <c r="U60" s="22">
        <f>((U15*Constants!$H73*Constants!$H91*(1-Constants!$H109))+(U15*Constants!$H73*Constants!$H125))</f>
        <v>0</v>
      </c>
      <c r="V60" s="22">
        <f>((V15*Constants!$H73*Constants!$H91*(1-Constants!$H109))+(V15*Constants!$H73*Constants!$H125))</f>
        <v>0</v>
      </c>
      <c r="W60" s="22">
        <f>((W15*Constants!$H73*Constants!$H91*(1-Constants!$H109))+(W15*Constants!$H73*Constants!$H125))</f>
        <v>0</v>
      </c>
      <c r="X60" s="22">
        <f>((X15*Constants!$H73*Constants!$H91*(1-Constants!$H109))+(X15*Constants!$H73*Constants!$H125))</f>
        <v>0</v>
      </c>
      <c r="Y60" s="22">
        <f>((Y15*Constants!$H73*Constants!$H91*(1-Constants!$H109))+(Y15*Constants!$H73*Constants!$H125))</f>
        <v>0</v>
      </c>
      <c r="Z60" s="22">
        <f>((Z15*Constants!$H73*Constants!$H91*(1-Constants!$H109))+(Z15*Constants!$H73*Constants!$H125))</f>
        <v>0</v>
      </c>
      <c r="AA60" s="22">
        <f>((AA15*Constants!$H73*Constants!$H91*(1-Constants!$H109))+(AA15*Constants!$H73*Constants!$H125))</f>
        <v>0</v>
      </c>
      <c r="AB60" s="22">
        <f>((AB15*Constants!$H73*Constants!$H91*(1-Constants!$H109))+(AB15*Constants!$H73*Constants!$H125))</f>
        <v>0</v>
      </c>
      <c r="AC60" s="22">
        <f>((AC15*Constants!$H73*Constants!$H91*(1-Constants!$H109))+(AC15*Constants!$H73*Constants!$H125))</f>
        <v>0</v>
      </c>
      <c r="AD60" s="22">
        <f>((AD15*Constants!$H73*Constants!$H91*(1-Constants!$H109))+(AD15*Constants!$H73*Constants!$H125))</f>
        <v>0</v>
      </c>
      <c r="AE60" s="22">
        <f>((AE15*Constants!$H73*Constants!$H91*(1-Constants!$H109))+(AE15*Constants!$H73*Constants!$H125))</f>
        <v>0</v>
      </c>
      <c r="AF60" s="22">
        <f>((AF15*Constants!$H73*Constants!$H91*(1-Constants!$H109))+(AF15*Constants!$H73*Constants!$H125))</f>
        <v>0</v>
      </c>
      <c r="AG60" s="22">
        <f>((AG15*Constants!$H73*Constants!$H91*(1-Constants!$H109))+(AG15*Constants!$H73*Constants!$H125))</f>
        <v>0</v>
      </c>
      <c r="AH60" s="22">
        <f>((AH15*Constants!$H73*Constants!$H91*(1-Constants!$H109))+(AH15*Constants!$H73*Constants!$H125))</f>
        <v>0</v>
      </c>
      <c r="AI60" s="22">
        <f>((AI15*Constants!$H73*Constants!$H91*(1-Constants!$H109))+(AI15*Constants!$H73*Constants!$H125))</f>
        <v>0</v>
      </c>
      <c r="AJ60" s="22">
        <f>((AJ15*Constants!$H73*Constants!$H91*(1-Constants!$H109))+(AJ15*Constants!$H73*Constants!$H125))</f>
        <v>0</v>
      </c>
      <c r="AK60" s="22">
        <f>((AK15*Constants!$H73*Constants!$H91*(1-Constants!$H109))+(AK15*Constants!$H73*Constants!$H125))</f>
        <v>0</v>
      </c>
      <c r="AL60" s="22">
        <f>((AL15*Constants!$H73*Constants!$H91*(1-Constants!$H109))+(AL15*Constants!$H73*Constants!$H125))</f>
        <v>0</v>
      </c>
      <c r="AM60" s="22">
        <f>((AM15*Constants!$H73*Constants!$H91*(1-Constants!$H109))+(AM15*Constants!$H73*Constants!$H125))</f>
        <v>0</v>
      </c>
      <c r="AN60" s="22">
        <f>((AN15*Constants!$H73*Constants!$H91*(1-Constants!$H109))+(AN15*Constants!$H73*Constants!$H125))</f>
        <v>0</v>
      </c>
      <c r="AO60" s="22">
        <f>((AO15*Constants!$H73*Constants!$H91*(1-Constants!$H109))+(AO15*Constants!$H73*Constants!$H125))</f>
        <v>0</v>
      </c>
      <c r="AP60" s="22">
        <f>((AP15*Constants!$H73*Constants!$H91*(1-Constants!$H109))+(AP15*Constants!$H73*Constants!$H125))</f>
        <v>0</v>
      </c>
      <c r="AQ60" s="22">
        <f>((AQ15*Constants!$H73*Constants!$H91*(1-Constants!$H109))+(AQ15*Constants!$H73*Constants!$H125))</f>
        <v>0</v>
      </c>
      <c r="AR60" s="22">
        <f>((AR15*Constants!$H73*Constants!$H91*(1-Constants!$H109))+(AR15*Constants!$H73*Constants!$H125))</f>
        <v>0</v>
      </c>
      <c r="AS60" s="22">
        <f>((AS15*Constants!$H73*Constants!$H91*(1-Constants!$H109))+(AS15*Constants!$H73*Constants!$H125))</f>
        <v>0</v>
      </c>
      <c r="AT60" s="22">
        <f>((AT15*Constants!$H73*Constants!$H91*(1-Constants!$H109))+(AT15*Constants!$H73*Constants!$H125))</f>
        <v>0</v>
      </c>
      <c r="AU60" s="22">
        <f>((AU15*Constants!$H73*Constants!$H91*(1-Constants!$H109))+(AU15*Constants!$H73*Constants!$H125))</f>
        <v>0</v>
      </c>
      <c r="AV60" s="22">
        <f>((AV15*Constants!$H73*Constants!$H91*(1-Constants!$H109))+(AV15*Constants!$H73*Constants!$H125))</f>
        <v>0</v>
      </c>
      <c r="AW60" s="22">
        <f>((AW15*Constants!$H73*Constants!$H91*(1-Constants!$H109))+(AW15*Constants!$H73*Constants!$H125))</f>
        <v>0</v>
      </c>
      <c r="AX60" s="22">
        <f>((AX15*Constants!$H73*Constants!$H91*(1-Constants!$H109))+(AX15*Constants!$H73*Constants!$H125))</f>
        <v>0</v>
      </c>
      <c r="AY60" s="22">
        <f>((AY15*Constants!$H73*Constants!$H91*(1-Constants!$H109))+(AY15*Constants!$H73*Constants!$H125))</f>
        <v>0</v>
      </c>
      <c r="AZ60" s="22">
        <f>((AZ15*Constants!$H73*Constants!$H91*(1-Constants!$H109))+(AZ15*Constants!$H73*Constants!$H125))</f>
        <v>0</v>
      </c>
      <c r="BA60" s="22">
        <f>((BA15*Constants!$H73*Constants!$H91*(1-Constants!$H109))+(BA15*Constants!$H73*Constants!$H125))</f>
        <v>0</v>
      </c>
      <c r="BB60" s="22">
        <f>((BB15*Constants!$H73*Constants!$H91*(1-Constants!$H109))+(BB15*Constants!$H73*Constants!$H125))</f>
        <v>0</v>
      </c>
      <c r="BC60" s="22">
        <f>((BC15*Constants!$H73*Constants!$H91*(1-Constants!$H109))+(BC15*Constants!$H73*Constants!$H125))</f>
        <v>0</v>
      </c>
      <c r="BD60" s="22">
        <f>((BD15*Constants!$H73*Constants!$H91*(1-Constants!$H109))+(BD15*Constants!$H73*Constants!$H125))</f>
        <v>0</v>
      </c>
      <c r="BE60" s="22">
        <f>((BE15*Constants!$H73*Constants!$H91*(1-Constants!$H109))+(BE15*Constants!$H73*Constants!$H125))</f>
        <v>0</v>
      </c>
      <c r="BF60" s="22">
        <f>((BF15*Constants!$H73*Constants!$H91*(1-Constants!$H109))+(BF15*Constants!$H73*Constants!$H125))</f>
        <v>0</v>
      </c>
      <c r="BG60" s="22">
        <f>((BG15*Constants!$H73*Constants!$H91*(1-Constants!$H109))+(BG15*Constants!$H73*Constants!$H125))</f>
        <v>0</v>
      </c>
      <c r="BH60" s="22">
        <f>((BH15*Constants!$H73*Constants!$H91*(1-Constants!$H109))+(BH15*Constants!$H73*Constants!$H125))</f>
        <v>0</v>
      </c>
      <c r="BI60" s="22">
        <f>((BI15*Constants!$H73*Constants!$H91*(1-Constants!$H109))+(BI15*Constants!$H73*Constants!$H125))</f>
        <v>0</v>
      </c>
      <c r="BJ60" s="22">
        <f>((BJ15*Constants!$H73*Constants!$H91*(1-Constants!$H109))+(BJ15*Constants!$H73*Constants!$H125))</f>
        <v>0</v>
      </c>
      <c r="BK60" s="22">
        <f>((BK15*Constants!$H73*Constants!$H91*(1-Constants!$H109))+(BK15*Constants!$H73*Constants!$H125))</f>
        <v>0</v>
      </c>
      <c r="BL60" s="22">
        <f>((BL15*Constants!$H73*Constants!$H91*(1-Constants!$H109))+(BL15*Constants!$H73*Constants!$H125))</f>
        <v>0</v>
      </c>
      <c r="BM60" s="22">
        <f>((BM15*Constants!$H73*Constants!$H91*(1-Constants!$H109))+(BM15*Constants!$H73*Constants!$H125))</f>
        <v>0</v>
      </c>
      <c r="BN60" s="22">
        <f>((BN15*Constants!$H73*Constants!$H91*(1-Constants!$H109))+(BN15*Constants!$H73*Constants!$H125))</f>
        <v>0</v>
      </c>
      <c r="BO60" s="22">
        <f>((BO15*Constants!$H73*Constants!$H91*(1-Constants!$H109))+(BO15*Constants!$H73*Constants!$H125))</f>
        <v>0</v>
      </c>
      <c r="BP60" s="22">
        <f>((BP15*Constants!$H73*Constants!$H91*(1-Constants!$H109))+(BP15*Constants!$H73*Constants!$H125))</f>
        <v>0</v>
      </c>
    </row>
    <row r="61" spans="1:72" x14ac:dyDescent="0.25">
      <c r="A61" t="str">
        <f t="shared" si="48"/>
        <v>3C Aggregated and non-CO2 emissions on land</v>
      </c>
      <c r="B61" t="str">
        <f t="shared" si="48"/>
        <v>3C4 Direct N2O from managed soils (N2O)</v>
      </c>
      <c r="C61" t="s">
        <v>409</v>
      </c>
      <c r="D61" t="str">
        <f>Constants!D126</f>
        <v xml:space="preserve"> - Mules &amp; Asses</v>
      </c>
      <c r="E61" t="str">
        <f t="shared" si="49"/>
        <v>MM N available - Mules &amp; Asses</v>
      </c>
      <c r="F61" t="str">
        <f t="shared" si="50"/>
        <v>kg N</v>
      </c>
      <c r="H61" s="22">
        <f>((H16*Constants!$H74*Constants!$H92*(1-Constants!$H110))+(H16*Constants!$H74*Constants!$H126))</f>
        <v>0</v>
      </c>
      <c r="I61" s="22">
        <f>((I16*Constants!$H74*Constants!$H92*(1-Constants!$H110))+(I16*Constants!$H74*Constants!$H126))</f>
        <v>0</v>
      </c>
      <c r="J61" s="22">
        <f>((J16*Constants!$H74*Constants!$H92*(1-Constants!$H110))+(J16*Constants!$H74*Constants!$H126))</f>
        <v>0</v>
      </c>
      <c r="K61" s="22">
        <f>((K16*Constants!$H74*Constants!$H92*(1-Constants!$H110))+(K16*Constants!$H74*Constants!$H126))</f>
        <v>0</v>
      </c>
      <c r="L61" s="22">
        <f>((L16*Constants!$H74*Constants!$H92*(1-Constants!$H110))+(L16*Constants!$H74*Constants!$H126))</f>
        <v>0</v>
      </c>
      <c r="M61" s="22">
        <f>((M16*Constants!$H74*Constants!$H92*(1-Constants!$H110))+(M16*Constants!$H74*Constants!$H126))</f>
        <v>0</v>
      </c>
      <c r="N61" s="22">
        <f>((N16*Constants!$H74*Constants!$H92*(1-Constants!$H110))+(N16*Constants!$H74*Constants!$H126))</f>
        <v>0</v>
      </c>
      <c r="O61" s="22">
        <f>((O16*Constants!$H74*Constants!$H92*(1-Constants!$H110))+(O16*Constants!$H74*Constants!$H126))</f>
        <v>0</v>
      </c>
      <c r="P61" s="22">
        <f>((P16*Constants!$H74*Constants!$H92*(1-Constants!$H110))+(P16*Constants!$H74*Constants!$H126))</f>
        <v>0</v>
      </c>
      <c r="Q61" s="22">
        <f>((Q16*Constants!$H74*Constants!$H92*(1-Constants!$H110))+(Q16*Constants!$H74*Constants!$H126))</f>
        <v>0</v>
      </c>
      <c r="R61" s="22">
        <f>((R16*Constants!$H74*Constants!$H92*(1-Constants!$H110))+(R16*Constants!$H74*Constants!$H126))</f>
        <v>0</v>
      </c>
      <c r="S61" s="22">
        <f>((S16*Constants!$H74*Constants!$H92*(1-Constants!$H110))+(S16*Constants!$H74*Constants!$H126))</f>
        <v>0</v>
      </c>
      <c r="T61" s="22">
        <f>((T16*Constants!$H74*Constants!$H92*(1-Constants!$H110))+(T16*Constants!$H74*Constants!$H126))</f>
        <v>0</v>
      </c>
      <c r="U61" s="22">
        <f>((U16*Constants!$H74*Constants!$H92*(1-Constants!$H110))+(U16*Constants!$H74*Constants!$H126))</f>
        <v>0</v>
      </c>
      <c r="V61" s="22">
        <f>((V16*Constants!$H74*Constants!$H92*(1-Constants!$H110))+(V16*Constants!$H74*Constants!$H126))</f>
        <v>0</v>
      </c>
      <c r="W61" s="22">
        <f>((W16*Constants!$H74*Constants!$H92*(1-Constants!$H110))+(W16*Constants!$H74*Constants!$H126))</f>
        <v>0</v>
      </c>
      <c r="X61" s="22">
        <f>((X16*Constants!$H74*Constants!$H92*(1-Constants!$H110))+(X16*Constants!$H74*Constants!$H126))</f>
        <v>0</v>
      </c>
      <c r="Y61" s="22">
        <f>((Y16*Constants!$H74*Constants!$H92*(1-Constants!$H110))+(Y16*Constants!$H74*Constants!$H126))</f>
        <v>0</v>
      </c>
      <c r="Z61" s="22">
        <f>((Z16*Constants!$H74*Constants!$H92*(1-Constants!$H110))+(Z16*Constants!$H74*Constants!$H126))</f>
        <v>0</v>
      </c>
      <c r="AA61" s="22">
        <f>((AA16*Constants!$H74*Constants!$H92*(1-Constants!$H110))+(AA16*Constants!$H74*Constants!$H126))</f>
        <v>0</v>
      </c>
      <c r="AB61" s="22">
        <f>((AB16*Constants!$H74*Constants!$H92*(1-Constants!$H110))+(AB16*Constants!$H74*Constants!$H126))</f>
        <v>0</v>
      </c>
      <c r="AC61" s="22">
        <f>((AC16*Constants!$H74*Constants!$H92*(1-Constants!$H110))+(AC16*Constants!$H74*Constants!$H126))</f>
        <v>0</v>
      </c>
      <c r="AD61" s="22">
        <f>((AD16*Constants!$H74*Constants!$H92*(1-Constants!$H110))+(AD16*Constants!$H74*Constants!$H126))</f>
        <v>0</v>
      </c>
      <c r="AE61" s="22">
        <f>((AE16*Constants!$H74*Constants!$H92*(1-Constants!$H110))+(AE16*Constants!$H74*Constants!$H126))</f>
        <v>0</v>
      </c>
      <c r="AF61" s="22">
        <f>((AF16*Constants!$H74*Constants!$H92*(1-Constants!$H110))+(AF16*Constants!$H74*Constants!$H126))</f>
        <v>0</v>
      </c>
      <c r="AG61" s="22">
        <f>((AG16*Constants!$H74*Constants!$H92*(1-Constants!$H110))+(AG16*Constants!$H74*Constants!$H126))</f>
        <v>0</v>
      </c>
      <c r="AH61" s="22">
        <f>((AH16*Constants!$H74*Constants!$H92*(1-Constants!$H110))+(AH16*Constants!$H74*Constants!$H126))</f>
        <v>0</v>
      </c>
      <c r="AI61" s="22">
        <f>((AI16*Constants!$H74*Constants!$H92*(1-Constants!$H110))+(AI16*Constants!$H74*Constants!$H126))</f>
        <v>0</v>
      </c>
      <c r="AJ61" s="22">
        <f>((AJ16*Constants!$H74*Constants!$H92*(1-Constants!$H110))+(AJ16*Constants!$H74*Constants!$H126))</f>
        <v>0</v>
      </c>
      <c r="AK61" s="22">
        <f>((AK16*Constants!$H74*Constants!$H92*(1-Constants!$H110))+(AK16*Constants!$H74*Constants!$H126))</f>
        <v>0</v>
      </c>
      <c r="AL61" s="22">
        <f>((AL16*Constants!$H74*Constants!$H92*(1-Constants!$H110))+(AL16*Constants!$H74*Constants!$H126))</f>
        <v>0</v>
      </c>
      <c r="AM61" s="22">
        <f>((AM16*Constants!$H74*Constants!$H92*(1-Constants!$H110))+(AM16*Constants!$H74*Constants!$H126))</f>
        <v>0</v>
      </c>
      <c r="AN61" s="22">
        <f>((AN16*Constants!$H74*Constants!$H92*(1-Constants!$H110))+(AN16*Constants!$H74*Constants!$H126))</f>
        <v>0</v>
      </c>
      <c r="AO61" s="22">
        <f>((AO16*Constants!$H74*Constants!$H92*(1-Constants!$H110))+(AO16*Constants!$H74*Constants!$H126))</f>
        <v>0</v>
      </c>
      <c r="AP61" s="22">
        <f>((AP16*Constants!$H74*Constants!$H92*(1-Constants!$H110))+(AP16*Constants!$H74*Constants!$H126))</f>
        <v>0</v>
      </c>
      <c r="AQ61" s="22">
        <f>((AQ16*Constants!$H74*Constants!$H92*(1-Constants!$H110))+(AQ16*Constants!$H74*Constants!$H126))</f>
        <v>0</v>
      </c>
      <c r="AR61" s="22">
        <f>((AR16*Constants!$H74*Constants!$H92*(1-Constants!$H110))+(AR16*Constants!$H74*Constants!$H126))</f>
        <v>0</v>
      </c>
      <c r="AS61" s="22">
        <f>((AS16*Constants!$H74*Constants!$H92*(1-Constants!$H110))+(AS16*Constants!$H74*Constants!$H126))</f>
        <v>0</v>
      </c>
      <c r="AT61" s="22">
        <f>((AT16*Constants!$H74*Constants!$H92*(1-Constants!$H110))+(AT16*Constants!$H74*Constants!$H126))</f>
        <v>0</v>
      </c>
      <c r="AU61" s="22">
        <f>((AU16*Constants!$H74*Constants!$H92*(1-Constants!$H110))+(AU16*Constants!$H74*Constants!$H126))</f>
        <v>0</v>
      </c>
      <c r="AV61" s="22">
        <f>((AV16*Constants!$H74*Constants!$H92*(1-Constants!$H110))+(AV16*Constants!$H74*Constants!$H126))</f>
        <v>0</v>
      </c>
      <c r="AW61" s="22">
        <f>((AW16*Constants!$H74*Constants!$H92*(1-Constants!$H110))+(AW16*Constants!$H74*Constants!$H126))</f>
        <v>0</v>
      </c>
      <c r="AX61" s="22">
        <f>((AX16*Constants!$H74*Constants!$H92*(1-Constants!$H110))+(AX16*Constants!$H74*Constants!$H126))</f>
        <v>0</v>
      </c>
      <c r="AY61" s="22">
        <f>((AY16*Constants!$H74*Constants!$H92*(1-Constants!$H110))+(AY16*Constants!$H74*Constants!$H126))</f>
        <v>0</v>
      </c>
      <c r="AZ61" s="22">
        <f>((AZ16*Constants!$H74*Constants!$H92*(1-Constants!$H110))+(AZ16*Constants!$H74*Constants!$H126))</f>
        <v>0</v>
      </c>
      <c r="BA61" s="22">
        <f>((BA16*Constants!$H74*Constants!$H92*(1-Constants!$H110))+(BA16*Constants!$H74*Constants!$H126))</f>
        <v>0</v>
      </c>
      <c r="BB61" s="22">
        <f>((BB16*Constants!$H74*Constants!$H92*(1-Constants!$H110))+(BB16*Constants!$H74*Constants!$H126))</f>
        <v>0</v>
      </c>
      <c r="BC61" s="22">
        <f>((BC16*Constants!$H74*Constants!$H92*(1-Constants!$H110))+(BC16*Constants!$H74*Constants!$H126))</f>
        <v>0</v>
      </c>
      <c r="BD61" s="22">
        <f>((BD16*Constants!$H74*Constants!$H92*(1-Constants!$H110))+(BD16*Constants!$H74*Constants!$H126))</f>
        <v>0</v>
      </c>
      <c r="BE61" s="22">
        <f>((BE16*Constants!$H74*Constants!$H92*(1-Constants!$H110))+(BE16*Constants!$H74*Constants!$H126))</f>
        <v>0</v>
      </c>
      <c r="BF61" s="22">
        <f>((BF16*Constants!$H74*Constants!$H92*(1-Constants!$H110))+(BF16*Constants!$H74*Constants!$H126))</f>
        <v>0</v>
      </c>
      <c r="BG61" s="22">
        <f>((BG16*Constants!$H74*Constants!$H92*(1-Constants!$H110))+(BG16*Constants!$H74*Constants!$H126))</f>
        <v>0</v>
      </c>
      <c r="BH61" s="22">
        <f>((BH16*Constants!$H74*Constants!$H92*(1-Constants!$H110))+(BH16*Constants!$H74*Constants!$H126))</f>
        <v>0</v>
      </c>
      <c r="BI61" s="22">
        <f>((BI16*Constants!$H74*Constants!$H92*(1-Constants!$H110))+(BI16*Constants!$H74*Constants!$H126))</f>
        <v>0</v>
      </c>
      <c r="BJ61" s="22">
        <f>((BJ16*Constants!$H74*Constants!$H92*(1-Constants!$H110))+(BJ16*Constants!$H74*Constants!$H126))</f>
        <v>0</v>
      </c>
      <c r="BK61" s="22">
        <f>((BK16*Constants!$H74*Constants!$H92*(1-Constants!$H110))+(BK16*Constants!$H74*Constants!$H126))</f>
        <v>0</v>
      </c>
      <c r="BL61" s="22">
        <f>((BL16*Constants!$H74*Constants!$H92*(1-Constants!$H110))+(BL16*Constants!$H74*Constants!$H126))</f>
        <v>0</v>
      </c>
      <c r="BM61" s="22">
        <f>((BM16*Constants!$H74*Constants!$H92*(1-Constants!$H110))+(BM16*Constants!$H74*Constants!$H126))</f>
        <v>0</v>
      </c>
      <c r="BN61" s="22">
        <f>((BN16*Constants!$H74*Constants!$H92*(1-Constants!$H110))+(BN16*Constants!$H74*Constants!$H126))</f>
        <v>0</v>
      </c>
      <c r="BO61" s="22">
        <f>((BO16*Constants!$H74*Constants!$H92*(1-Constants!$H110))+(BO16*Constants!$H74*Constants!$H126))</f>
        <v>0</v>
      </c>
      <c r="BP61" s="22">
        <f>((BP16*Constants!$H74*Constants!$H92*(1-Constants!$H110))+(BP16*Constants!$H74*Constants!$H126))</f>
        <v>0</v>
      </c>
    </row>
    <row r="62" spans="1:72" x14ac:dyDescent="0.25">
      <c r="A62" t="str">
        <f t="shared" si="48"/>
        <v>3C Aggregated and non-CO2 emissions on land</v>
      </c>
      <c r="B62" t="str">
        <f t="shared" si="48"/>
        <v>3C4 Direct N2O from managed soils (N2O)</v>
      </c>
      <c r="C62" t="s">
        <v>409</v>
      </c>
      <c r="D62" t="str">
        <f>Constants!D127</f>
        <v xml:space="preserve"> - Commercial swine</v>
      </c>
      <c r="E62" t="str">
        <f t="shared" si="49"/>
        <v>MM N available - Commercial swine</v>
      </c>
      <c r="F62" t="str">
        <f t="shared" si="50"/>
        <v>kg N</v>
      </c>
      <c r="H62" s="22">
        <f>((H17*Constants!$H75*Constants!$H93*(1-Constants!$H111))+(H17*Constants!$H75*Constants!$H127))</f>
        <v>7298537.9251200007</v>
      </c>
      <c r="I62" s="22">
        <f>((I17*Constants!$H75*Constants!$H93*(1-Constants!$H111))+(I17*Constants!$H75*Constants!$H127))</f>
        <v>7973796.3552000001</v>
      </c>
      <c r="J62" s="22">
        <f>((J17*Constants!$H75*Constants!$H93*(1-Constants!$H111))+(J17*Constants!$H75*Constants!$H127))</f>
        <v>7921116.6195200011</v>
      </c>
      <c r="K62" s="22">
        <f>((K17*Constants!$H75*Constants!$H93*(1-Constants!$H111))+(K17*Constants!$H75*Constants!$H127))</f>
        <v>7916327.5526400004</v>
      </c>
      <c r="L62" s="22">
        <f>((L17*Constants!$H75*Constants!$H93*(1-Constants!$H111))+(L17*Constants!$H75*Constants!$H127))</f>
        <v>7518835.0016000001</v>
      </c>
      <c r="M62" s="22">
        <f>((M17*Constants!$H75*Constants!$H93*(1-Constants!$H111))+(M17*Constants!$H75*Constants!$H127))</f>
        <v>7590671.0048000002</v>
      </c>
      <c r="N62" s="22">
        <f>((N17*Constants!$H75*Constants!$H93*(1-Constants!$H111))+(N17*Constants!$H75*Constants!$H127))</f>
        <v>8174937.1641600002</v>
      </c>
      <c r="O62" s="22">
        <f>((O17*Constants!$H75*Constants!$H93*(1-Constants!$H111))+(O17*Constants!$H75*Constants!$H127))</f>
        <v>8136624.6291200006</v>
      </c>
      <c r="P62" s="22">
        <f>((P17*Constants!$H75*Constants!$H93*(1-Constants!$H111))+(P17*Constants!$H75*Constants!$H127))</f>
        <v>8313820.1036800006</v>
      </c>
      <c r="Q62" s="22">
        <f>((Q17*Constants!$H75*Constants!$H93*(1-Constants!$H111))+(Q17*Constants!$H75*Constants!$H127))</f>
        <v>8524539.0463999994</v>
      </c>
      <c r="R62" s="22">
        <f>((R17*Constants!$H75*Constants!$H93*(1-Constants!$H111))+(R17*Constants!$H75*Constants!$H127))</f>
        <v>7887593.1513599996</v>
      </c>
      <c r="S62" s="22">
        <f>((S17*Constants!$H75*Constants!$H93*(1-Constants!$H111))+(S17*Constants!$H75*Constants!$H127))</f>
        <v>8036054.2246400006</v>
      </c>
      <c r="T62" s="22">
        <f>((T17*Constants!$H75*Constants!$H93*(1-Constants!$H111))+(T17*Constants!$H75*Constants!$H127))</f>
        <v>8189304.3647999996</v>
      </c>
      <c r="U62" s="22">
        <f>((U17*Constants!$H75*Constants!$H93*(1-Constants!$H111))+(U17*Constants!$H75*Constants!$H127))</f>
        <v>7964218.2214400005</v>
      </c>
      <c r="V62" s="22">
        <f>((V17*Constants!$H75*Constants!$H93*(1-Constants!$H111))+(V17*Constants!$H75*Constants!$H127))</f>
        <v>7964218.2214400005</v>
      </c>
      <c r="W62" s="22">
        <f>((W17*Constants!$H75*Constants!$H93*(1-Constants!$H111))+(W17*Constants!$H75*Constants!$H127))</f>
        <v>7906749.4188800007</v>
      </c>
      <c r="X62" s="22">
        <f>((X17*Constants!$H75*Constants!$H93*(1-Constants!$H111))+(X17*Constants!$H75*Constants!$H127))</f>
        <v>7767866.4793599993</v>
      </c>
      <c r="Y62" s="22">
        <f>((Y17*Constants!$H75*Constants!$H93*(1-Constants!$H111))+(Y17*Constants!$H75*Constants!$H127))</f>
        <v>7906749.4188800007</v>
      </c>
      <c r="Z62" s="22">
        <f>((Z17*Constants!$H75*Constants!$H93*(1-Constants!$H111))+(Z17*Constants!$H75*Constants!$H127))</f>
        <v>7734343.0111999996</v>
      </c>
      <c r="AA62" s="22">
        <f>((AA17*Constants!$H75*Constants!$H93*(1-Constants!$H111))+(AA17*Constants!$H75*Constants!$H127))</f>
        <v>7724764.87744</v>
      </c>
      <c r="AB62" s="22">
        <f>((AB17*Constants!$H75*Constants!$H93*(1-Constants!$H111))+(AB17*Constants!$H75*Constants!$H127))</f>
        <v>7633772.6067200005</v>
      </c>
      <c r="AC62" s="22">
        <f>((AC17*Constants!$H75*Constants!$H93*(1-Constants!$H111))+(AC17*Constants!$H75*Constants!$H127))</f>
        <v>7585881.9379200004</v>
      </c>
      <c r="AD62" s="22">
        <f>((AD17*Constants!$H75*Constants!$H93*(1-Constants!$H111))+(AD17*Constants!$H75*Constants!$H127))</f>
        <v>7991547.6739922101</v>
      </c>
      <c r="AE62" s="22">
        <f>((AE17*Constants!$H75*Constants!$H93*(1-Constants!$H111))+(AE17*Constants!$H75*Constants!$H127))</f>
        <v>7966323.4427003823</v>
      </c>
      <c r="AF62" s="22">
        <f>((AF17*Constants!$H75*Constants!$H93*(1-Constants!$H111))+(AF17*Constants!$H75*Constants!$H127))</f>
        <v>7882907.0998757593</v>
      </c>
      <c r="AG62" s="22">
        <f>((AG17*Constants!$H75*Constants!$H93*(1-Constants!$H111))+(AG17*Constants!$H75*Constants!$H127))</f>
        <v>7720943.4806476664</v>
      </c>
      <c r="AH62" s="22">
        <f>((AH17*Constants!$H75*Constants!$H93*(1-Constants!$H111))+(AH17*Constants!$H75*Constants!$H127))</f>
        <v>7566066.3422990916</v>
      </c>
      <c r="AI62" s="22">
        <f>((AI17*Constants!$H75*Constants!$H93*(1-Constants!$H111))+(AI17*Constants!$H75*Constants!$H127))</f>
        <v>7457418.0401987415</v>
      </c>
      <c r="AJ62" s="22">
        <f>((AJ17*Constants!$H75*Constants!$H93*(1-Constants!$H111))+(AJ17*Constants!$H75*Constants!$H127))</f>
        <v>7365401.9907038901</v>
      </c>
      <c r="AK62" s="22">
        <f>((AK17*Constants!$H75*Constants!$H93*(1-Constants!$H111))+(AK17*Constants!$H75*Constants!$H127))</f>
        <v>7195964.144640428</v>
      </c>
      <c r="AL62" s="22">
        <f>((AL17*Constants!$H75*Constants!$H93*(1-Constants!$H111))+(AL17*Constants!$H75*Constants!$H127))</f>
        <v>6299521.6975735789</v>
      </c>
      <c r="AM62" s="22">
        <f>((AM17*Constants!$H75*Constants!$H93*(1-Constants!$H111))+(AM17*Constants!$H75*Constants!$H127))</f>
        <v>6339552.5947010787</v>
      </c>
      <c r="AN62" s="22">
        <f>((AN17*Constants!$H75*Constants!$H93*(1-Constants!$H111))+(AN17*Constants!$H75*Constants!$H127))</f>
        <v>6359646.4650399899</v>
      </c>
      <c r="AO62" s="22">
        <f>((AO17*Constants!$H75*Constants!$H93*(1-Constants!$H111))+(AO17*Constants!$H75*Constants!$H127))</f>
        <v>6379181.6402676869</v>
      </c>
      <c r="AP62" s="22">
        <f>((AP17*Constants!$H75*Constants!$H93*(1-Constants!$H111))+(AP17*Constants!$H75*Constants!$H127))</f>
        <v>6426898.3082598783</v>
      </c>
      <c r="AQ62" s="22">
        <f>((AQ17*Constants!$H75*Constants!$H93*(1-Constants!$H111))+(AQ17*Constants!$H75*Constants!$H127))</f>
        <v>6473010.8218541751</v>
      </c>
      <c r="AR62" s="22">
        <f>((AR17*Constants!$H75*Constants!$H93*(1-Constants!$H111))+(AR17*Constants!$H75*Constants!$H127))</f>
        <v>6525913.6888959305</v>
      </c>
      <c r="AS62" s="22">
        <f>((AS17*Constants!$H75*Constants!$H93*(1-Constants!$H111))+(AS17*Constants!$H75*Constants!$H127))</f>
        <v>6570317.6262631817</v>
      </c>
      <c r="AT62" s="22">
        <f>((AT17*Constants!$H75*Constants!$H93*(1-Constants!$H111))+(AT17*Constants!$H75*Constants!$H127))</f>
        <v>6623680.828606938</v>
      </c>
      <c r="AU62" s="22">
        <f>((AU17*Constants!$H75*Constants!$H93*(1-Constants!$H111))+(AU17*Constants!$H75*Constants!$H127))</f>
        <v>6662526.1736475425</v>
      </c>
      <c r="AV62" s="22">
        <f>((AV17*Constants!$H75*Constants!$H93*(1-Constants!$H111))+(AV17*Constants!$H75*Constants!$H127))</f>
        <v>6703388.0752187986</v>
      </c>
      <c r="AW62" s="22">
        <f>((AW17*Constants!$H75*Constants!$H93*(1-Constants!$H111))+(AW17*Constants!$H75*Constants!$H127))</f>
        <v>6778755.5566179631</v>
      </c>
      <c r="AX62" s="22">
        <f>((AX17*Constants!$H75*Constants!$H93*(1-Constants!$H111))+(AX17*Constants!$H75*Constants!$H127))</f>
        <v>6866797.0794043643</v>
      </c>
      <c r="AY62" s="22">
        <f>((AY17*Constants!$H75*Constants!$H93*(1-Constants!$H111))+(AY17*Constants!$H75*Constants!$H127))</f>
        <v>6957904.1861563316</v>
      </c>
      <c r="AZ62" s="22">
        <f>((AZ17*Constants!$H75*Constants!$H93*(1-Constants!$H111))+(AZ17*Constants!$H75*Constants!$H127))</f>
        <v>6855507.9245013501</v>
      </c>
      <c r="BA62" s="22">
        <f>((BA17*Constants!$H75*Constants!$H93*(1-Constants!$H111))+(BA17*Constants!$H75*Constants!$H127))</f>
        <v>-2313099.5052219448</v>
      </c>
      <c r="BB62" s="22">
        <f>((BB17*Constants!$H75*Constants!$H93*(1-Constants!$H111))+(BB17*Constants!$H75*Constants!$H127))</f>
        <v>-2287797.9327229024</v>
      </c>
      <c r="BC62" s="22">
        <f>((BC17*Constants!$H75*Constants!$H93*(1-Constants!$H111))+(BC17*Constants!$H75*Constants!$H127))</f>
        <v>-2263038.2839145442</v>
      </c>
      <c r="BD62" s="22">
        <f>((BD17*Constants!$H75*Constants!$H93*(1-Constants!$H111))+(BD17*Constants!$H75*Constants!$H127))</f>
        <v>-2238785.1068301634</v>
      </c>
      <c r="BE62" s="22">
        <f>((BE17*Constants!$H75*Constants!$H93*(1-Constants!$H111))+(BE17*Constants!$H75*Constants!$H127))</f>
        <v>-2215005.5453000884</v>
      </c>
      <c r="BF62" s="22">
        <f>((BF17*Constants!$H75*Constants!$H93*(1-Constants!$H111))+(BF17*Constants!$H75*Constants!$H127))</f>
        <v>-2191669.0879230401</v>
      </c>
      <c r="BG62" s="22">
        <f>((BG17*Constants!$H75*Constants!$H93*(1-Constants!$H111))+(BG17*Constants!$H75*Constants!$H127))</f>
        <v>-2166073.6437911359</v>
      </c>
      <c r="BH62" s="22">
        <f>((BH17*Constants!$H75*Constants!$H93*(1-Constants!$H111))+(BH17*Constants!$H75*Constants!$H127))</f>
        <v>-2140929.4834788847</v>
      </c>
      <c r="BI62" s="22">
        <f>((BI17*Constants!$H75*Constants!$H93*(1-Constants!$H111))+(BI17*Constants!$H75*Constants!$H127))</f>
        <v>-2116210.2499472206</v>
      </c>
      <c r="BJ62" s="22">
        <f>((BJ17*Constants!$H75*Constants!$H93*(1-Constants!$H111))+(BJ17*Constants!$H75*Constants!$H127))</f>
        <v>-2091891.3077406024</v>
      </c>
      <c r="BK62" s="22">
        <f>((BK17*Constants!$H75*Constants!$H93*(1-Constants!$H111))+(BK17*Constants!$H75*Constants!$H127))</f>
        <v>-2067949.594237848</v>
      </c>
      <c r="BL62" s="22">
        <f>((BL17*Constants!$H75*Constants!$H93*(1-Constants!$H111))+(BL17*Constants!$H75*Constants!$H127))</f>
        <v>-2041858.4863783326</v>
      </c>
      <c r="BM62" s="22">
        <f>((BM17*Constants!$H75*Constants!$H93*(1-Constants!$H111))+(BM17*Constants!$H75*Constants!$H127))</f>
        <v>-2016165.8846086052</v>
      </c>
      <c r="BN62" s="22">
        <f>((BN17*Constants!$H75*Constants!$H93*(1-Constants!$H111))+(BN17*Constants!$H75*Constants!$H127))</f>
        <v>-1990851.2763613397</v>
      </c>
      <c r="BO62" s="22">
        <f>((BO17*Constants!$H75*Constants!$H93*(1-Constants!$H111))+(BO17*Constants!$H75*Constants!$H127))</f>
        <v>-1965895.361023468</v>
      </c>
      <c r="BP62" s="22">
        <f>((BP17*Constants!$H75*Constants!$H93*(1-Constants!$H111))+(BP17*Constants!$H75*Constants!$H127))</f>
        <v>-1941279.9554436032</v>
      </c>
    </row>
    <row r="63" spans="1:72" x14ac:dyDescent="0.25">
      <c r="A63" t="str">
        <f t="shared" si="48"/>
        <v>3C Aggregated and non-CO2 emissions on land</v>
      </c>
      <c r="B63" t="str">
        <f t="shared" si="48"/>
        <v>3C4 Direct N2O from managed soils (N2O)</v>
      </c>
      <c r="C63" t="s">
        <v>409</v>
      </c>
      <c r="D63" t="str">
        <f>Constants!D128</f>
        <v xml:space="preserve"> - Subsistence swine</v>
      </c>
      <c r="E63" t="str">
        <f t="shared" si="49"/>
        <v>MM N available - Subsistence swine</v>
      </c>
      <c r="F63" t="str">
        <f t="shared" si="50"/>
        <v>kg N</v>
      </c>
      <c r="H63" s="22">
        <f>((H18*Constants!$H76*Constants!$H94*(1-Constants!$H112))+(H18*Constants!$H76*Constants!$H128))</f>
        <v>1773185.6742955854</v>
      </c>
      <c r="I63" s="22">
        <f>((I18*Constants!$H76*Constants!$H94*(1-Constants!$H112))+(I18*Constants!$H76*Constants!$H128))</f>
        <v>1937240.2543977362</v>
      </c>
      <c r="J63" s="22">
        <f>((J18*Constants!$H76*Constants!$H94*(1-Constants!$H112))+(J18*Constants!$H76*Constants!$H128))</f>
        <v>1924441.6701344475</v>
      </c>
      <c r="K63" s="22">
        <f>((K18*Constants!$H76*Constants!$H94*(1-Constants!$H112))+(K18*Constants!$H76*Constants!$H128))</f>
        <v>1923278.1624741489</v>
      </c>
      <c r="L63" s="22">
        <f>((L18*Constants!$H76*Constants!$H94*(1-Constants!$H112))+(L18*Constants!$H76*Constants!$H128))</f>
        <v>1826707.0266693365</v>
      </c>
      <c r="M63" s="22">
        <f>((M18*Constants!$H76*Constants!$H94*(1-Constants!$H112))+(M18*Constants!$H76*Constants!$H128))</f>
        <v>1844159.6415738207</v>
      </c>
      <c r="N63" s="22">
        <f>((N18*Constants!$H76*Constants!$H94*(1-Constants!$H112))+(N18*Constants!$H76*Constants!$H128))</f>
        <v>1986107.5761302917</v>
      </c>
      <c r="O63" s="22">
        <f>((O18*Constants!$H76*Constants!$H94*(1-Constants!$H112))+(O18*Constants!$H76*Constants!$H128))</f>
        <v>1976799.5148479</v>
      </c>
      <c r="P63" s="22">
        <f>((P18*Constants!$H76*Constants!$H94*(1-Constants!$H112))+(P18*Constants!$H76*Constants!$H128))</f>
        <v>2019849.2982789606</v>
      </c>
      <c r="Q63" s="22">
        <f>((Q18*Constants!$H76*Constants!$H94*(1-Constants!$H112))+(Q18*Constants!$H76*Constants!$H128))</f>
        <v>2071043.6353321141</v>
      </c>
      <c r="R63" s="22">
        <f>((R18*Constants!$H76*Constants!$H94*(1-Constants!$H112))+(R18*Constants!$H76*Constants!$H128))</f>
        <v>1916297.1165123552</v>
      </c>
      <c r="S63" s="22">
        <f>((S18*Constants!$H76*Constants!$H94*(1-Constants!$H112))+(S18*Constants!$H76*Constants!$H128))</f>
        <v>1952365.8539816223</v>
      </c>
      <c r="T63" s="22">
        <f>((T18*Constants!$H76*Constants!$H94*(1-Constants!$H112))+(T18*Constants!$H76*Constants!$H128))</f>
        <v>1989598.0991111884</v>
      </c>
      <c r="U63" s="22">
        <f>((U18*Constants!$H76*Constants!$H94*(1-Constants!$H112))+(U18*Constants!$H76*Constants!$H128))</f>
        <v>1934913.2390771382</v>
      </c>
      <c r="V63" s="22">
        <f>((V18*Constants!$H76*Constants!$H94*(1-Constants!$H112))+(V18*Constants!$H76*Constants!$H128))</f>
        <v>1934913.2390771382</v>
      </c>
      <c r="W63" s="22">
        <f>((W18*Constants!$H76*Constants!$H94*(1-Constants!$H112))+(W18*Constants!$H76*Constants!$H128))</f>
        <v>1920951.1471535508</v>
      </c>
      <c r="X63" s="22">
        <f>((X18*Constants!$H76*Constants!$H94*(1-Constants!$H112))+(X18*Constants!$H76*Constants!$H128))</f>
        <v>1887209.4250048813</v>
      </c>
      <c r="Y63" s="22">
        <f>((Y18*Constants!$H76*Constants!$H94*(1-Constants!$H112))+(Y18*Constants!$H76*Constants!$H128))</f>
        <v>1920951.1471535508</v>
      </c>
      <c r="Z63" s="22">
        <f>((Z18*Constants!$H76*Constants!$H94*(1-Constants!$H112))+(Z18*Constants!$H76*Constants!$H128))</f>
        <v>1879064.8713827892</v>
      </c>
      <c r="AA63" s="22">
        <f>((AA18*Constants!$H76*Constants!$H94*(1-Constants!$H112))+(AA18*Constants!$H76*Constants!$H128))</f>
        <v>1876737.8560621911</v>
      </c>
      <c r="AB63" s="22">
        <f>((AB18*Constants!$H76*Constants!$H94*(1-Constants!$H112))+(AB18*Constants!$H76*Constants!$H128))</f>
        <v>1854631.2105165115</v>
      </c>
      <c r="AC63" s="22">
        <f>((AC18*Constants!$H76*Constants!$H94*(1-Constants!$H112))+(AC18*Constants!$H76*Constants!$H128))</f>
        <v>1842996.1339135219</v>
      </c>
      <c r="AD63" s="22">
        <f>((AD18*Constants!$H76*Constants!$H94*(1-Constants!$H112))+(AD18*Constants!$H76*Constants!$H128))</f>
        <v>2027486.1624997228</v>
      </c>
      <c r="AE63" s="22">
        <f>((AE18*Constants!$H76*Constants!$H94*(1-Constants!$H112))+(AE18*Constants!$H76*Constants!$H128))</f>
        <v>2021086.6786963153</v>
      </c>
      <c r="AF63" s="22">
        <f>((AF18*Constants!$H76*Constants!$H94*(1-Constants!$H112))+(AF18*Constants!$H76*Constants!$H128))</f>
        <v>1999923.6339767473</v>
      </c>
      <c r="AG63" s="22">
        <f>((AG18*Constants!$H76*Constants!$H94*(1-Constants!$H112))+(AG18*Constants!$H76*Constants!$H128))</f>
        <v>1958832.8452823355</v>
      </c>
      <c r="AH63" s="22">
        <f>((AH18*Constants!$H76*Constants!$H94*(1-Constants!$H112))+(AH18*Constants!$H76*Constants!$H128))</f>
        <v>1919539.9238484546</v>
      </c>
      <c r="AI63" s="22">
        <f>((AI18*Constants!$H76*Constants!$H94*(1-Constants!$H112))+(AI18*Constants!$H76*Constants!$H128))</f>
        <v>1891975.4347064525</v>
      </c>
      <c r="AJ63" s="22">
        <f>((AJ18*Constants!$H76*Constants!$H94*(1-Constants!$H112))+(AJ18*Constants!$H76*Constants!$H128))</f>
        <v>1868630.6115646414</v>
      </c>
      <c r="AK63" s="22">
        <f>((AK18*Constants!$H76*Constants!$H94*(1-Constants!$H112))+(AK18*Constants!$H76*Constants!$H128))</f>
        <v>1825643.5829799999</v>
      </c>
      <c r="AL63" s="22">
        <f>((AL18*Constants!$H76*Constants!$H94*(1-Constants!$H112))+(AL18*Constants!$H76*Constants!$H128))</f>
        <v>1598212.7108824211</v>
      </c>
      <c r="AM63" s="22">
        <f>((AM18*Constants!$H76*Constants!$H94*(1-Constants!$H112))+(AM18*Constants!$H76*Constants!$H128))</f>
        <v>1608368.702351081</v>
      </c>
      <c r="AN63" s="22">
        <f>((AN18*Constants!$H76*Constants!$H94*(1-Constants!$H112))+(AN18*Constants!$H76*Constants!$H128))</f>
        <v>1613466.5939892412</v>
      </c>
      <c r="AO63" s="22">
        <f>((AO18*Constants!$H76*Constants!$H94*(1-Constants!$H112))+(AO18*Constants!$H76*Constants!$H128))</f>
        <v>1618422.7425441782</v>
      </c>
      <c r="AP63" s="22">
        <f>((AP18*Constants!$H76*Constants!$H94*(1-Constants!$H112))+(AP18*Constants!$H76*Constants!$H128))</f>
        <v>1630528.6434311373</v>
      </c>
      <c r="AQ63" s="22">
        <f>((AQ18*Constants!$H76*Constants!$H94*(1-Constants!$H112))+(AQ18*Constants!$H76*Constants!$H128))</f>
        <v>1642227.5642215097</v>
      </c>
      <c r="AR63" s="22">
        <f>((AR18*Constants!$H76*Constants!$H94*(1-Constants!$H112))+(AR18*Constants!$H76*Constants!$H128))</f>
        <v>1655649.2236120666</v>
      </c>
      <c r="AS63" s="22">
        <f>((AS18*Constants!$H76*Constants!$H94*(1-Constants!$H112))+(AS18*Constants!$H76*Constants!$H128))</f>
        <v>1666914.6720890366</v>
      </c>
      <c r="AT63" s="22">
        <f>((AT18*Constants!$H76*Constants!$H94*(1-Constants!$H112))+(AT18*Constants!$H76*Constants!$H128))</f>
        <v>1680453.1203036099</v>
      </c>
      <c r="AU63" s="22">
        <f>((AU18*Constants!$H76*Constants!$H94*(1-Constants!$H112))+(AU18*Constants!$H76*Constants!$H128))</f>
        <v>1690308.3326805145</v>
      </c>
      <c r="AV63" s="22">
        <f>((AV18*Constants!$H76*Constants!$H94*(1-Constants!$H112))+(AV18*Constants!$H76*Constants!$H128))</f>
        <v>1700675.1531499422</v>
      </c>
      <c r="AW63" s="22">
        <f>((AW18*Constants!$H76*Constants!$H94*(1-Constants!$H112))+(AW18*Constants!$H76*Constants!$H128))</f>
        <v>1719796.1709893972</v>
      </c>
      <c r="AX63" s="22">
        <f>((AX18*Constants!$H76*Constants!$H94*(1-Constants!$H112))+(AX18*Constants!$H76*Constants!$H128))</f>
        <v>1742132.641527608</v>
      </c>
      <c r="AY63" s="22">
        <f>((AY18*Constants!$H76*Constants!$H94*(1-Constants!$H112))+(AY18*Constants!$H76*Constants!$H128))</f>
        <v>1765246.8624245373</v>
      </c>
      <c r="AZ63" s="22">
        <f>((AZ18*Constants!$H76*Constants!$H94*(1-Constants!$H112))+(AZ18*Constants!$H76*Constants!$H128))</f>
        <v>1739268.5398184152</v>
      </c>
      <c r="BA63" s="22">
        <f>((BA18*Constants!$H76*Constants!$H94*(1-Constants!$H112))+(BA18*Constants!$H76*Constants!$H128))</f>
        <v>-586842.17759032047</v>
      </c>
      <c r="BB63" s="22">
        <f>((BB18*Constants!$H76*Constants!$H94*(1-Constants!$H112))+(BB18*Constants!$H76*Constants!$H128))</f>
        <v>-580423.07202729688</v>
      </c>
      <c r="BC63" s="22">
        <f>((BC18*Constants!$H76*Constants!$H94*(1-Constants!$H112))+(BC18*Constants!$H76*Constants!$H128))</f>
        <v>-574141.45457406307</v>
      </c>
      <c r="BD63" s="22">
        <f>((BD18*Constants!$H76*Constants!$H94*(1-Constants!$H112))+(BD18*Constants!$H76*Constants!$H128))</f>
        <v>-567988.330931284</v>
      </c>
      <c r="BE63" s="22">
        <f>((BE18*Constants!$H76*Constants!$H94*(1-Constants!$H112))+(BE18*Constants!$H76*Constants!$H128))</f>
        <v>-561955.3653632449</v>
      </c>
      <c r="BF63" s="22">
        <f>((BF18*Constants!$H76*Constants!$H94*(1-Constants!$H112))+(BF18*Constants!$H76*Constants!$H128))</f>
        <v>-556034.81701092632</v>
      </c>
      <c r="BG63" s="22">
        <f>((BG18*Constants!$H76*Constants!$H94*(1-Constants!$H112))+(BG18*Constants!$H76*Constants!$H128))</f>
        <v>-549541.15509242751</v>
      </c>
      <c r="BH63" s="22">
        <f>((BH18*Constants!$H76*Constants!$H94*(1-Constants!$H112))+(BH18*Constants!$H76*Constants!$H128))</f>
        <v>-543161.9856023083</v>
      </c>
      <c r="BI63" s="22">
        <f>((BI18*Constants!$H76*Constants!$H94*(1-Constants!$H112))+(BI18*Constants!$H76*Constants!$H128))</f>
        <v>-536890.62165910716</v>
      </c>
      <c r="BJ63" s="22">
        <f>((BJ18*Constants!$H76*Constants!$H94*(1-Constants!$H112))+(BJ18*Constants!$H76*Constants!$H128))</f>
        <v>-530720.81315367692</v>
      </c>
      <c r="BK63" s="22">
        <f>((BK18*Constants!$H76*Constants!$H94*(1-Constants!$H112))+(BK18*Constants!$H76*Constants!$H128))</f>
        <v>-524646.70901095355</v>
      </c>
      <c r="BL63" s="22">
        <f>((BL18*Constants!$H76*Constants!$H94*(1-Constants!$H112))+(BL18*Constants!$H76*Constants!$H128))</f>
        <v>-518027.29531195102</v>
      </c>
      <c r="BM63" s="22">
        <f>((BM18*Constants!$H76*Constants!$H94*(1-Constants!$H112))+(BM18*Constants!$H76*Constants!$H128))</f>
        <v>-511508.98412971728</v>
      </c>
      <c r="BN63" s="22">
        <f>((BN18*Constants!$H76*Constants!$H94*(1-Constants!$H112))+(BN18*Constants!$H76*Constants!$H128))</f>
        <v>-505086.57134758931</v>
      </c>
      <c r="BO63" s="22">
        <f>((BO18*Constants!$H76*Constants!$H94*(1-Constants!$H112))+(BO18*Constants!$H76*Constants!$H128))</f>
        <v>-498755.16032632801</v>
      </c>
      <c r="BP63" s="22">
        <f>((BP18*Constants!$H76*Constants!$H94*(1-Constants!$H112))+(BP18*Constants!$H76*Constants!$H128))</f>
        <v>-492510.13793098991</v>
      </c>
    </row>
    <row r="64" spans="1:72" x14ac:dyDescent="0.25">
      <c r="A64" t="str">
        <f t="shared" si="48"/>
        <v>3C Aggregated and non-CO2 emissions on land</v>
      </c>
      <c r="B64" t="str">
        <f t="shared" si="48"/>
        <v>3C4 Direct N2O from managed soils (N2O)</v>
      </c>
      <c r="C64" t="s">
        <v>409</v>
      </c>
      <c r="D64" t="str">
        <f>Constants!D129</f>
        <v xml:space="preserve"> - Commercial layers</v>
      </c>
      <c r="E64" t="str">
        <f t="shared" si="49"/>
        <v>MM N available - Commercial layers</v>
      </c>
      <c r="F64" t="str">
        <f t="shared" si="50"/>
        <v>kg N</v>
      </c>
      <c r="H64" s="22">
        <f>((H19*Constants!$H77*Constants!$H95*(1-Constants!$H113))+(H19*Constants!$H77*Constants!$H129))</f>
        <v>6185488.2909675539</v>
      </c>
      <c r="I64" s="22">
        <f>((I19*Constants!$H77*Constants!$H95*(1-Constants!$H113))+(I19*Constants!$H77*Constants!$H129))</f>
        <v>6009109.2071274081</v>
      </c>
      <c r="J64" s="22">
        <f>((J19*Constants!$H77*Constants!$H95*(1-Constants!$H113))+(J19*Constants!$H77*Constants!$H129))</f>
        <v>5699222.0850570546</v>
      </c>
      <c r="K64" s="22">
        <f>((K19*Constants!$H77*Constants!$H95*(1-Constants!$H113))+(K19*Constants!$H77*Constants!$H129))</f>
        <v>5609611.8493190575</v>
      </c>
      <c r="L64" s="22">
        <f>((L19*Constants!$H77*Constants!$H95*(1-Constants!$H113))+(L19*Constants!$H77*Constants!$H129))</f>
        <v>5365613.9312671879</v>
      </c>
      <c r="M64" s="22">
        <f>((M19*Constants!$H77*Constants!$H95*(1-Constants!$H113))+(M19*Constants!$H77*Constants!$H129))</f>
        <v>5854552.6233854303</v>
      </c>
      <c r="N64" s="22">
        <f>((N19*Constants!$H77*Constants!$H95*(1-Constants!$H113))+(N19*Constants!$H77*Constants!$H129))</f>
        <v>6184194.3241279265</v>
      </c>
      <c r="O64" s="22">
        <f>((O19*Constants!$H77*Constants!$H95*(1-Constants!$H113))+(O19*Constants!$H77*Constants!$H129))</f>
        <v>6204530.2379142288</v>
      </c>
      <c r="P64" s="22">
        <f>((P19*Constants!$H77*Constants!$H95*(1-Constants!$H113))+(P19*Constants!$H77*Constants!$H129))</f>
        <v>6985777.5007305164</v>
      </c>
      <c r="Q64" s="22">
        <f>((Q19*Constants!$H77*Constants!$H95*(1-Constants!$H113))+(Q19*Constants!$H77*Constants!$H129))</f>
        <v>7489454.4973270632</v>
      </c>
      <c r="R64" s="22">
        <f>((R19*Constants!$H77*Constants!$H95*(1-Constants!$H113))+(R19*Constants!$H77*Constants!$H129))</f>
        <v>7330764.97378729</v>
      </c>
      <c r="S64" s="22">
        <f>((S19*Constants!$H77*Constants!$H95*(1-Constants!$H113))+(S19*Constants!$H77*Constants!$H129))</f>
        <v>7526323.6329122018</v>
      </c>
      <c r="T64" s="22">
        <f>((T19*Constants!$H77*Constants!$H95*(1-Constants!$H113))+(T19*Constants!$H77*Constants!$H129))</f>
        <v>7467252.7937713731</v>
      </c>
      <c r="U64" s="22">
        <f>((U19*Constants!$H77*Constants!$H95*(1-Constants!$H113))+(U19*Constants!$H77*Constants!$H129))</f>
        <v>7169141.381636614</v>
      </c>
      <c r="V64" s="22">
        <f>((V19*Constants!$H77*Constants!$H95*(1-Constants!$H113))+(V19*Constants!$H77*Constants!$H129))</f>
        <v>7429101.8801676938</v>
      </c>
      <c r="W64" s="22">
        <f>((W19*Constants!$H77*Constants!$H95*(1-Constants!$H113))+(W19*Constants!$H77*Constants!$H129))</f>
        <v>7877080.6206777897</v>
      </c>
      <c r="X64" s="22">
        <f>((X19*Constants!$H77*Constants!$H95*(1-Constants!$H113))+(X19*Constants!$H77*Constants!$H129))</f>
        <v>8693284.2187629454</v>
      </c>
      <c r="Y64" s="22">
        <f>((Y19*Constants!$H77*Constants!$H95*(1-Constants!$H113))+(Y19*Constants!$H77*Constants!$H129))</f>
        <v>9620616.8920187056</v>
      </c>
      <c r="Z64" s="22">
        <f>((Z19*Constants!$H77*Constants!$H95*(1-Constants!$H113))+(Z19*Constants!$H77*Constants!$H129))</f>
        <v>9747319.238270821</v>
      </c>
      <c r="AA64" s="22">
        <f>((AA19*Constants!$H77*Constants!$H95*(1-Constants!$H113))+(AA19*Constants!$H77*Constants!$H129))</f>
        <v>9387970.3735440131</v>
      </c>
      <c r="AB64" s="22">
        <f>((AB19*Constants!$H77*Constants!$H95*(1-Constants!$H113))+(AB19*Constants!$H77*Constants!$H129))</f>
        <v>9753664.2574823145</v>
      </c>
      <c r="AC64" s="22">
        <f>((AC19*Constants!$H77*Constants!$H95*(1-Constants!$H113))+(AC19*Constants!$H77*Constants!$H129))</f>
        <v>10203867.24700897</v>
      </c>
      <c r="AD64" s="22">
        <f>((AD19*Constants!$H77*Constants!$H95*(1-Constants!$H113))+(AD19*Constants!$H77*Constants!$H129))</f>
        <v>10046014.512687217</v>
      </c>
      <c r="AE64" s="22">
        <f>((AE19*Constants!$H77*Constants!$H95*(1-Constants!$H113))+(AE19*Constants!$H77*Constants!$H129))</f>
        <v>10263567.916422864</v>
      </c>
      <c r="AF64" s="22">
        <f>((AF19*Constants!$H77*Constants!$H95*(1-Constants!$H113))+(AF19*Constants!$H77*Constants!$H129))</f>
        <v>10438863.220213711</v>
      </c>
      <c r="AG64" s="22">
        <f>((AG19*Constants!$H77*Constants!$H95*(1-Constants!$H113))+(AG19*Constants!$H77*Constants!$H129))</f>
        <v>10553398.631202264</v>
      </c>
      <c r="AH64" s="22">
        <f>((AH19*Constants!$H77*Constants!$H95*(1-Constants!$H113))+(AH19*Constants!$H77*Constants!$H129))</f>
        <v>10669488.655625023</v>
      </c>
      <c r="AI64" s="22">
        <f>((AI19*Constants!$H77*Constants!$H95*(1-Constants!$H113))+(AI19*Constants!$H77*Constants!$H129))</f>
        <v>10819150.600486256</v>
      </c>
      <c r="AJ64" s="22">
        <f>((AJ19*Constants!$H77*Constants!$H95*(1-Constants!$H113))+(AJ19*Constants!$H77*Constants!$H129))</f>
        <v>10979199.591485647</v>
      </c>
      <c r="AK64" s="22">
        <f>((AK19*Constants!$H77*Constants!$H95*(1-Constants!$H113))+(AK19*Constants!$H77*Constants!$H129))</f>
        <v>11072276.631861012</v>
      </c>
      <c r="AL64" s="22">
        <f>((AL19*Constants!$H77*Constants!$H95*(1-Constants!$H113))+(AL19*Constants!$H77*Constants!$H129))</f>
        <v>10536820.017215807</v>
      </c>
      <c r="AM64" s="22">
        <f>((AM19*Constants!$H77*Constants!$H95*(1-Constants!$H113))+(AM19*Constants!$H77*Constants!$H129))</f>
        <v>10763031.313023163</v>
      </c>
      <c r="AN64" s="22">
        <f>((AN19*Constants!$H77*Constants!$H95*(1-Constants!$H113))+(AN19*Constants!$H77*Constants!$H129))</f>
        <v>10974199.56653842</v>
      </c>
      <c r="AO64" s="22">
        <f>((AO19*Constants!$H77*Constants!$H95*(1-Constants!$H113))+(AO19*Constants!$H77*Constants!$H129))</f>
        <v>11187034.880023424</v>
      </c>
      <c r="AP64" s="22">
        <f>((AP19*Constants!$H77*Constants!$H95*(1-Constants!$H113))+(AP19*Constants!$H77*Constants!$H129))</f>
        <v>11428588.28698124</v>
      </c>
      <c r="AQ64" s="22">
        <f>((AQ19*Constants!$H77*Constants!$H95*(1-Constants!$H113))+(AQ19*Constants!$H77*Constants!$H129))</f>
        <v>11672148.213055257</v>
      </c>
      <c r="AR64" s="22">
        <f>((AR19*Constants!$H77*Constants!$H95*(1-Constants!$H113))+(AR19*Constants!$H77*Constants!$H129))</f>
        <v>11916017.668742616</v>
      </c>
      <c r="AS64" s="22">
        <f>((AS19*Constants!$H77*Constants!$H95*(1-Constants!$H113))+(AS19*Constants!$H77*Constants!$H129))</f>
        <v>12155183.368229456</v>
      </c>
      <c r="AT64" s="22">
        <f>((AT19*Constants!$H77*Constants!$H95*(1-Constants!$H113))+(AT19*Constants!$H77*Constants!$H129))</f>
        <v>12407058.765175158</v>
      </c>
      <c r="AU64" s="22">
        <f>((AU19*Constants!$H77*Constants!$H95*(1-Constants!$H113))+(AU19*Constants!$H77*Constants!$H129))</f>
        <v>12647866.389237761</v>
      </c>
      <c r="AV64" s="22">
        <f>((AV19*Constants!$H77*Constants!$H95*(1-Constants!$H113))+(AV19*Constants!$H77*Constants!$H129))</f>
        <v>12894385.014895692</v>
      </c>
      <c r="AW64" s="22">
        <f>((AW19*Constants!$H77*Constants!$H95*(1-Constants!$H113))+(AW19*Constants!$H77*Constants!$H129))</f>
        <v>13173889.899574609</v>
      </c>
      <c r="AX64" s="22">
        <f>((AX19*Constants!$H77*Constants!$H95*(1-Constants!$H113))+(AX19*Constants!$H77*Constants!$H129))</f>
        <v>13472658.402541457</v>
      </c>
      <c r="AY64" s="22">
        <f>((AY19*Constants!$H77*Constants!$H95*(1-Constants!$H113))+(AY19*Constants!$H77*Constants!$H129))</f>
        <v>13780826.29987519</v>
      </c>
      <c r="AZ64" s="22">
        <f>((AZ19*Constants!$H77*Constants!$H95*(1-Constants!$H113))+(AZ19*Constants!$H77*Constants!$H129))</f>
        <v>13872552.270172931</v>
      </c>
      <c r="BA64" s="22">
        <f>((BA19*Constants!$H77*Constants!$H95*(1-Constants!$H113))+(BA19*Constants!$H77*Constants!$H129))</f>
        <v>3325124.2724391641</v>
      </c>
      <c r="BB64" s="22">
        <f>((BB19*Constants!$H77*Constants!$H95*(1-Constants!$H113))+(BB19*Constants!$H77*Constants!$H129))</f>
        <v>3350680.6645931695</v>
      </c>
      <c r="BC64" s="22">
        <f>((BC19*Constants!$H77*Constants!$H95*(1-Constants!$H113))+(BC19*Constants!$H77*Constants!$H129))</f>
        <v>3376423.1267518746</v>
      </c>
      <c r="BD64" s="22">
        <f>((BD19*Constants!$H77*Constants!$H95*(1-Constants!$H113))+(BD19*Constants!$H77*Constants!$H129))</f>
        <v>3402353.0757870539</v>
      </c>
      <c r="BE64" s="22">
        <f>((BE19*Constants!$H77*Constants!$H95*(1-Constants!$H113))+(BE19*Constants!$H77*Constants!$H129))</f>
        <v>3428471.93500474</v>
      </c>
      <c r="BF64" s="22">
        <f>((BF19*Constants!$H77*Constants!$H95*(1-Constants!$H113))+(BF19*Constants!$H77*Constants!$H129))</f>
        <v>3454781.1345638521</v>
      </c>
      <c r="BG64" s="22">
        <f>((BG19*Constants!$H77*Constants!$H95*(1-Constants!$H113))+(BG19*Constants!$H77*Constants!$H129))</f>
        <v>3477271.4956193902</v>
      </c>
      <c r="BH64" s="22">
        <f>((BH19*Constants!$H77*Constants!$H95*(1-Constants!$H113))+(BH19*Constants!$H77*Constants!$H129))</f>
        <v>3499900.6844023233</v>
      </c>
      <c r="BI64" s="22">
        <f>((BI19*Constants!$H77*Constants!$H95*(1-Constants!$H113))+(BI19*Constants!$H77*Constants!$H129))</f>
        <v>3522669.6033113631</v>
      </c>
      <c r="BJ64" s="22">
        <f>((BJ19*Constants!$H77*Constants!$H95*(1-Constants!$H113))+(BJ19*Constants!$H77*Constants!$H129))</f>
        <v>3545579.1577648697</v>
      </c>
      <c r="BK64" s="22">
        <f>((BK19*Constants!$H77*Constants!$H95*(1-Constants!$H113))+(BK19*Constants!$H77*Constants!$H129))</f>
        <v>3568630.256437717</v>
      </c>
      <c r="BL64" s="22">
        <f>((BL19*Constants!$H77*Constants!$H95*(1-Constants!$H113))+(BL19*Constants!$H77*Constants!$H129))</f>
        <v>3587702.2055944856</v>
      </c>
      <c r="BM64" s="22">
        <f>((BM19*Constants!$H77*Constants!$H95*(1-Constants!$H113))+(BM19*Constants!$H77*Constants!$H129))</f>
        <v>3606870.7743201684</v>
      </c>
      <c r="BN64" s="22">
        <f>((BN19*Constants!$H77*Constants!$H95*(1-Constants!$H113))+(BN19*Constants!$H77*Constants!$H129))</f>
        <v>3626136.4866673448</v>
      </c>
      <c r="BO64" s="22">
        <f>((BO19*Constants!$H77*Constants!$H95*(1-Constants!$H113))+(BO19*Constants!$H77*Constants!$H129))</f>
        <v>3645499.8675702326</v>
      </c>
      <c r="BP64" s="22">
        <f>((BP19*Constants!$H77*Constants!$H95*(1-Constants!$H113))+(BP19*Constants!$H77*Constants!$H129))</f>
        <v>3664961.4429860529</v>
      </c>
    </row>
    <row r="65" spans="1:68" x14ac:dyDescent="0.25">
      <c r="A65" t="str">
        <f t="shared" si="48"/>
        <v>3C Aggregated and non-CO2 emissions on land</v>
      </c>
      <c r="B65" t="str">
        <f t="shared" si="48"/>
        <v>3C4 Direct N2O from managed soils (N2O)</v>
      </c>
      <c r="C65" t="s">
        <v>409</v>
      </c>
      <c r="D65" t="str">
        <f>Constants!D130</f>
        <v xml:space="preserve"> - Commercial broilers</v>
      </c>
      <c r="E65" t="str">
        <f t="shared" si="49"/>
        <v>MM N available - Commercial broilers</v>
      </c>
      <c r="F65" t="str">
        <f t="shared" si="50"/>
        <v>kg N</v>
      </c>
      <c r="H65" s="22">
        <f>((H20*Constants!$H78*Constants!$H96*(1-Constants!$H114))+(H20*Constants!$H78*Constants!$H130))</f>
        <v>21441987.682912666</v>
      </c>
      <c r="I65" s="22">
        <f>((I20*Constants!$H78*Constants!$H96*(1-Constants!$H114))+(I20*Constants!$H78*Constants!$H130))</f>
        <v>20155468.447952528</v>
      </c>
      <c r="J65" s="22">
        <f>((J20*Constants!$H78*Constants!$H96*(1-Constants!$H114))+(J20*Constants!$H78*Constants!$H130))</f>
        <v>19048359.503315844</v>
      </c>
      <c r="K65" s="22">
        <f>((K20*Constants!$H78*Constants!$H96*(1-Constants!$H114))+(K20*Constants!$H78*Constants!$H130))</f>
        <v>21422633.120275144</v>
      </c>
      <c r="L65" s="22">
        <f>((L20*Constants!$H78*Constants!$H96*(1-Constants!$H114))+(L20*Constants!$H78*Constants!$H130))</f>
        <v>21221715.835297149</v>
      </c>
      <c r="M65" s="22">
        <f>((M20*Constants!$H78*Constants!$H96*(1-Constants!$H114))+(M20*Constants!$H78*Constants!$H130))</f>
        <v>24291356.099595293</v>
      </c>
      <c r="N65" s="22">
        <f>((N20*Constants!$H78*Constants!$H96*(1-Constants!$H114))+(N20*Constants!$H78*Constants!$H130))</f>
        <v>28244585.878194444</v>
      </c>
      <c r="O65" s="22">
        <f>((O20*Constants!$H78*Constants!$H96*(1-Constants!$H114))+(O20*Constants!$H78*Constants!$H130))</f>
        <v>28749759.856221307</v>
      </c>
      <c r="P65" s="22">
        <f>((P20*Constants!$H78*Constants!$H96*(1-Constants!$H114))+(P20*Constants!$H78*Constants!$H130))</f>
        <v>31502057.979110736</v>
      </c>
      <c r="Q65" s="22">
        <f>((Q20*Constants!$H78*Constants!$H96*(1-Constants!$H114))+(Q20*Constants!$H78*Constants!$H130))</f>
        <v>32887795.163968969</v>
      </c>
      <c r="R65" s="22">
        <f>((R20*Constants!$H78*Constants!$H96*(1-Constants!$H114))+(R20*Constants!$H78*Constants!$H130))</f>
        <v>35384844.130992576</v>
      </c>
      <c r="S65" s="22">
        <f>((S20*Constants!$H78*Constants!$H96*(1-Constants!$H114))+(S20*Constants!$H78*Constants!$H130))</f>
        <v>34167785.103477322</v>
      </c>
      <c r="T65" s="22">
        <f>((T20*Constants!$H78*Constants!$H96*(1-Constants!$H114))+(T20*Constants!$H78*Constants!$H130))</f>
        <v>37868988.696657754</v>
      </c>
      <c r="U65" s="22">
        <f>((U20*Constants!$H78*Constants!$H96*(1-Constants!$H114))+(U20*Constants!$H78*Constants!$H130))</f>
        <v>36019125.033984229</v>
      </c>
      <c r="V65" s="22">
        <f>((V20*Constants!$H78*Constants!$H96*(1-Constants!$H114))+(V20*Constants!$H78*Constants!$H130))</f>
        <v>36888658.133678004</v>
      </c>
      <c r="W65" s="22">
        <f>((W20*Constants!$H78*Constants!$H96*(1-Constants!$H114))+(W20*Constants!$H78*Constants!$H130))</f>
        <v>40816366.920982771</v>
      </c>
      <c r="X65" s="22">
        <f>((X20*Constants!$H78*Constants!$H96*(1-Constants!$H114))+(X20*Constants!$H78*Constants!$H130))</f>
        <v>43656919.259428479</v>
      </c>
      <c r="Y65" s="22">
        <f>((Y20*Constants!$H78*Constants!$H96*(1-Constants!$H114))+(Y20*Constants!$H78*Constants!$H130))</f>
        <v>45677104.261495814</v>
      </c>
      <c r="Z65" s="22">
        <f>((Z20*Constants!$H78*Constants!$H96*(1-Constants!$H114))+(Z20*Constants!$H78*Constants!$H130))</f>
        <v>48633713.378493287</v>
      </c>
      <c r="AA65" s="22">
        <f>((AA20*Constants!$H78*Constants!$H96*(1-Constants!$H114))+(AA20*Constants!$H78*Constants!$H130))</f>
        <v>45891232.801865354</v>
      </c>
      <c r="AB65" s="22">
        <f>((AB20*Constants!$H78*Constants!$H96*(1-Constants!$H114))+(AB20*Constants!$H78*Constants!$H130))</f>
        <v>47045433.899453834</v>
      </c>
      <c r="AC65" s="22">
        <f>((AC20*Constants!$H78*Constants!$H96*(1-Constants!$H114))+(AC20*Constants!$H78*Constants!$H130))</f>
        <v>48657312.573355399</v>
      </c>
      <c r="AD65" s="22">
        <f>((AD20*Constants!$H78*Constants!$H96*(1-Constants!$H114))+(AD20*Constants!$H78*Constants!$H130))</f>
        <v>50617265.081744902</v>
      </c>
      <c r="AE65" s="22">
        <f>((AE20*Constants!$H78*Constants!$H96*(1-Constants!$H114))+(AE20*Constants!$H78*Constants!$H130))</f>
        <v>51438663.549933501</v>
      </c>
      <c r="AF65" s="22">
        <f>((AF20*Constants!$H78*Constants!$H96*(1-Constants!$H114))+(AF20*Constants!$H78*Constants!$H130))</f>
        <v>51682553.906749912</v>
      </c>
      <c r="AG65" s="22">
        <f>((AG20*Constants!$H78*Constants!$H96*(1-Constants!$H114))+(AG20*Constants!$H78*Constants!$H130))</f>
        <v>51135854.641949564</v>
      </c>
      <c r="AH65" s="22">
        <f>((AH20*Constants!$H78*Constants!$H96*(1-Constants!$H114))+(AH20*Constants!$H78*Constants!$H130))</f>
        <v>50590329.223710328</v>
      </c>
      <c r="AI65" s="22">
        <f>((AI20*Constants!$H78*Constants!$H96*(1-Constants!$H114))+(AI20*Constants!$H78*Constants!$H130))</f>
        <v>50432039.587533243</v>
      </c>
      <c r="AJ65" s="22">
        <f>((AJ20*Constants!$H78*Constants!$H96*(1-Constants!$H114))+(AJ20*Constants!$H78*Constants!$H130))</f>
        <v>50399065.25172136</v>
      </c>
      <c r="AK65" s="22">
        <f>((AK20*Constants!$H78*Constants!$H96*(1-Constants!$H114))+(AK20*Constants!$H78*Constants!$H130))</f>
        <v>49558394.137915395</v>
      </c>
      <c r="AL65" s="22">
        <f>((AL20*Constants!$H78*Constants!$H96*(1-Constants!$H114))+(AL20*Constants!$H78*Constants!$H130))</f>
        <v>41294222.251021594</v>
      </c>
      <c r="AM65" s="22">
        <f>((AM20*Constants!$H78*Constants!$H96*(1-Constants!$H114))+(AM20*Constants!$H78*Constants!$H130))</f>
        <v>42512298.811339796</v>
      </c>
      <c r="AN65" s="22">
        <f>((AN20*Constants!$H78*Constants!$H96*(1-Constants!$H114))+(AN20*Constants!$H78*Constants!$H130))</f>
        <v>43530447.217887305</v>
      </c>
      <c r="AO65" s="22">
        <f>((AO20*Constants!$H78*Constants!$H96*(1-Constants!$H114))+(AO20*Constants!$H78*Constants!$H130))</f>
        <v>44546125.208825782</v>
      </c>
      <c r="AP65" s="22">
        <f>((AP20*Constants!$H78*Constants!$H96*(1-Constants!$H114))+(AP20*Constants!$H78*Constants!$H130))</f>
        <v>45867554.358523667</v>
      </c>
      <c r="AQ65" s="22">
        <f>((AQ20*Constants!$H78*Constants!$H96*(1-Constants!$H114))+(AQ20*Constants!$H78*Constants!$H130))</f>
        <v>47185016.992876559</v>
      </c>
      <c r="AR65" s="22">
        <f>((AR20*Constants!$H78*Constants!$H96*(1-Constants!$H114))+(AR20*Constants!$H78*Constants!$H130))</f>
        <v>48631503.181349173</v>
      </c>
      <c r="AS65" s="22">
        <f>((AS20*Constants!$H78*Constants!$H96*(1-Constants!$H114))+(AS20*Constants!$H78*Constants!$H130))</f>
        <v>50000754.006398804</v>
      </c>
      <c r="AT65" s="22">
        <f>((AT20*Constants!$H78*Constants!$H96*(1-Constants!$H114))+(AT20*Constants!$H78*Constants!$H130))</f>
        <v>51486776.363811694</v>
      </c>
      <c r="AU65" s="22">
        <f>((AU20*Constants!$H78*Constants!$H96*(1-Constants!$H114))+(AU20*Constants!$H78*Constants!$H130))</f>
        <v>52826689.427147858</v>
      </c>
      <c r="AV65" s="22">
        <f>((AV20*Constants!$H78*Constants!$H96*(1-Constants!$H114))+(AV20*Constants!$H78*Constants!$H130))</f>
        <v>54206167.945647061</v>
      </c>
      <c r="AW65" s="22">
        <f>((AW20*Constants!$H78*Constants!$H96*(1-Constants!$H114))+(AW20*Constants!$H78*Constants!$H130))</f>
        <v>56039394.770843148</v>
      </c>
      <c r="AX65" s="22">
        <f>((AX20*Constants!$H78*Constants!$H96*(1-Constants!$H114))+(AX20*Constants!$H78*Constants!$H130))</f>
        <v>58052045.063219905</v>
      </c>
      <c r="AY65" s="22">
        <f>((AY20*Constants!$H78*Constants!$H96*(1-Constants!$H114))+(AY20*Constants!$H78*Constants!$H130))</f>
        <v>60135680.330283575</v>
      </c>
      <c r="AZ65" s="22">
        <f>((AZ20*Constants!$H78*Constants!$H96*(1-Constants!$H114))+(AZ20*Constants!$H78*Constants!$H130))</f>
        <v>59903653.71779646</v>
      </c>
      <c r="BA65" s="22">
        <f>((BA20*Constants!$H78*Constants!$H96*(1-Constants!$H114))+(BA20*Constants!$H78*Constants!$H130))</f>
        <v>-51951543.804002732</v>
      </c>
      <c r="BB65" s="22">
        <f>((BB20*Constants!$H78*Constants!$H96*(1-Constants!$H114))+(BB20*Constants!$H78*Constants!$H130))</f>
        <v>-52025979.727664873</v>
      </c>
      <c r="BC65" s="22">
        <f>((BC20*Constants!$H78*Constants!$H96*(1-Constants!$H114))+(BC20*Constants!$H78*Constants!$H130))</f>
        <v>-52106714.544989847</v>
      </c>
      <c r="BD65" s="22">
        <f>((BD20*Constants!$H78*Constants!$H96*(1-Constants!$H114))+(BD20*Constants!$H78*Constants!$H130))</f>
        <v>-52193485.390497044</v>
      </c>
      <c r="BE65" s="22">
        <f>((BE20*Constants!$H78*Constants!$H96*(1-Constants!$H114))+(BE20*Constants!$H78*Constants!$H130))</f>
        <v>-52286049.81610316</v>
      </c>
      <c r="BF65" s="22">
        <f>((BF20*Constants!$H78*Constants!$H96*(1-Constants!$H114))+(BF20*Constants!$H78*Constants!$H130))</f>
        <v>-52384183.829848737</v>
      </c>
      <c r="BG65" s="22">
        <f>((BG20*Constants!$H78*Constants!$H96*(1-Constants!$H114))+(BG20*Constants!$H78*Constants!$H130))</f>
        <v>-52424574.040172689</v>
      </c>
      <c r="BH65" s="22">
        <f>((BH20*Constants!$H78*Constants!$H96*(1-Constants!$H114))+(BH20*Constants!$H78*Constants!$H130))</f>
        <v>-52470026.307856753</v>
      </c>
      <c r="BI65" s="22">
        <f>((BI20*Constants!$H78*Constants!$H96*(1-Constants!$H114))+(BI20*Constants!$H78*Constants!$H130))</f>
        <v>-52520344.075790986</v>
      </c>
      <c r="BJ65" s="22">
        <f>((BJ20*Constants!$H78*Constants!$H96*(1-Constants!$H114))+(BJ20*Constants!$H78*Constants!$H130))</f>
        <v>-52575344.283311881</v>
      </c>
      <c r="BK65" s="22">
        <f>((BK20*Constants!$H78*Constants!$H96*(1-Constants!$H114))+(BK20*Constants!$H78*Constants!$H130))</f>
        <v>-52634856.206496365</v>
      </c>
      <c r="BL65" s="22">
        <f>((BL20*Constants!$H78*Constants!$H96*(1-Constants!$H114))+(BL20*Constants!$H78*Constants!$H130))</f>
        <v>-52635695.477441996</v>
      </c>
      <c r="BM65" s="22">
        <f>((BM20*Constants!$H78*Constants!$H96*(1-Constants!$H114))+(BM20*Constants!$H78*Constants!$H130))</f>
        <v>-52640712.986832917</v>
      </c>
      <c r="BN65" s="22">
        <f>((BN20*Constants!$H78*Constants!$H96*(1-Constants!$H114))+(BN20*Constants!$H78*Constants!$H130))</f>
        <v>-52649754.254211515</v>
      </c>
      <c r="BO65" s="22">
        <f>((BO20*Constants!$H78*Constants!$H96*(1-Constants!$H114))+(BO20*Constants!$H78*Constants!$H130))</f>
        <v>-52662674.262932405</v>
      </c>
      <c r="BP65" s="22">
        <f>((BP20*Constants!$H78*Constants!$H96*(1-Constants!$H114))+(BP20*Constants!$H78*Constants!$H130))</f>
        <v>-52679336.725125976</v>
      </c>
    </row>
    <row r="66" spans="1:68" x14ac:dyDescent="0.25">
      <c r="A66" t="str">
        <f t="shared" si="48"/>
        <v>3C Aggregated and non-CO2 emissions on land</v>
      </c>
      <c r="B66" t="str">
        <f t="shared" si="48"/>
        <v>3C4 Direct N2O from managed soils (N2O)</v>
      </c>
      <c r="C66" t="s">
        <v>410</v>
      </c>
      <c r="D66" t="str">
        <f>D50</f>
        <v xml:space="preserve"> - TMR</v>
      </c>
      <c r="E66" t="str">
        <f t="shared" si="49"/>
        <v>Urine &amp; dung - TMR</v>
      </c>
      <c r="F66" t="str">
        <f t="shared" si="50"/>
        <v>kg N</v>
      </c>
      <c r="H66" s="22">
        <f>H5*Constants!$H63*(1-Constants!$H81)</f>
        <v>0</v>
      </c>
      <c r="I66" s="22">
        <f>I5*Constants!$H63*(1-Constants!$H81)</f>
        <v>0</v>
      </c>
      <c r="J66" s="22">
        <f>J5*Constants!$H63*(1-Constants!$H81)</f>
        <v>0</v>
      </c>
      <c r="K66" s="22">
        <f>K5*Constants!$H63*(1-Constants!$H81)</f>
        <v>0</v>
      </c>
      <c r="L66" s="22">
        <f>L5*Constants!$H63*(1-Constants!$H81)</f>
        <v>0</v>
      </c>
      <c r="M66" s="22">
        <f>M5*Constants!$H63*(1-Constants!$H81)</f>
        <v>0</v>
      </c>
      <c r="N66" s="22">
        <f>N5*Constants!$H63*(1-Constants!$H81)</f>
        <v>0</v>
      </c>
      <c r="O66" s="22">
        <f>O5*Constants!$H63*(1-Constants!$H81)</f>
        <v>0</v>
      </c>
      <c r="P66" s="22">
        <f>P5*Constants!$H63*(1-Constants!$H81)</f>
        <v>0</v>
      </c>
      <c r="Q66" s="22">
        <f>Q5*Constants!$H63*(1-Constants!$H81)</f>
        <v>0</v>
      </c>
      <c r="R66" s="22">
        <f>R5*Constants!$H63*(1-Constants!$H81)</f>
        <v>0</v>
      </c>
      <c r="S66" s="22">
        <f>S5*Constants!$H63*(1-Constants!$H81)</f>
        <v>0</v>
      </c>
      <c r="T66" s="22">
        <f>T5*Constants!$H63*(1-Constants!$H81)</f>
        <v>0</v>
      </c>
      <c r="U66" s="22">
        <f>U5*Constants!$H63*(1-Constants!$H81)</f>
        <v>0</v>
      </c>
      <c r="V66" s="22">
        <f>V5*Constants!$H63*(1-Constants!$H81)</f>
        <v>0</v>
      </c>
      <c r="W66" s="22">
        <f>W5*Constants!$H63*(1-Constants!$H81)</f>
        <v>0</v>
      </c>
      <c r="X66" s="22">
        <f>X5*Constants!$H63*(1-Constants!$H81)</f>
        <v>0</v>
      </c>
      <c r="Y66" s="22">
        <f>Y5*Constants!$H63*(1-Constants!$H81)</f>
        <v>0</v>
      </c>
      <c r="Z66" s="22">
        <f>Z5*Constants!$H63*(1-Constants!$H81)</f>
        <v>0</v>
      </c>
      <c r="AA66" s="22">
        <f>AA5*Constants!$H63*(1-Constants!$H81)</f>
        <v>0</v>
      </c>
      <c r="AB66" s="22">
        <f>AB5*Constants!$H63*(1-Constants!$H81)</f>
        <v>0</v>
      </c>
      <c r="AC66" s="22">
        <f>AC5*Constants!$H63*(1-Constants!$H81)</f>
        <v>0</v>
      </c>
      <c r="AD66" s="22">
        <f>AD5*Constants!$H63*(1-Constants!$H81)</f>
        <v>0</v>
      </c>
      <c r="AE66" s="22">
        <f>AE5*Constants!$H63*(1-Constants!$H81)</f>
        <v>0</v>
      </c>
      <c r="AF66" s="22">
        <f>AF5*Constants!$H63*(1-Constants!$H81)</f>
        <v>0</v>
      </c>
      <c r="AG66" s="22">
        <f>AG5*Constants!$H63*(1-Constants!$H81)</f>
        <v>0</v>
      </c>
      <c r="AH66" s="22">
        <f>AH5*Constants!$H63*(1-Constants!$H81)</f>
        <v>0</v>
      </c>
      <c r="AI66" s="22">
        <f>AI5*Constants!$H63*(1-Constants!$H81)</f>
        <v>0</v>
      </c>
      <c r="AJ66" s="22">
        <f>AJ5*Constants!$H63*(1-Constants!$H81)</f>
        <v>0</v>
      </c>
      <c r="AK66" s="22">
        <f>AK5*Constants!$H63*(1-Constants!$H81)</f>
        <v>0</v>
      </c>
      <c r="AL66" s="22">
        <f>AL5*Constants!$H63*(1-Constants!$H81)</f>
        <v>0</v>
      </c>
      <c r="AM66" s="22">
        <f>AM5*Constants!$H63*(1-Constants!$H81)</f>
        <v>0</v>
      </c>
      <c r="AN66" s="22">
        <f>AN5*Constants!$H63*(1-Constants!$H81)</f>
        <v>0</v>
      </c>
      <c r="AO66" s="22">
        <f>AO5*Constants!$H63*(1-Constants!$H81)</f>
        <v>0</v>
      </c>
      <c r="AP66" s="22">
        <f>AP5*Constants!$H63*(1-Constants!$H81)</f>
        <v>0</v>
      </c>
      <c r="AQ66" s="22">
        <f>AQ5*Constants!$H63*(1-Constants!$H81)</f>
        <v>0</v>
      </c>
      <c r="AR66" s="22">
        <f>AR5*Constants!$H63*(1-Constants!$H81)</f>
        <v>0</v>
      </c>
      <c r="AS66" s="22">
        <f>AS5*Constants!$H63*(1-Constants!$H81)</f>
        <v>0</v>
      </c>
      <c r="AT66" s="22">
        <f>AT5*Constants!$H63*(1-Constants!$H81)</f>
        <v>0</v>
      </c>
      <c r="AU66" s="22">
        <f>AU5*Constants!$H63*(1-Constants!$H81)</f>
        <v>0</v>
      </c>
      <c r="AV66" s="22">
        <f>AV5*Constants!$H63*(1-Constants!$H81)</f>
        <v>0</v>
      </c>
      <c r="AW66" s="22">
        <f>AW5*Constants!$H63*(1-Constants!$H81)</f>
        <v>0</v>
      </c>
      <c r="AX66" s="22">
        <f>AX5*Constants!$H63*(1-Constants!$H81)</f>
        <v>0</v>
      </c>
      <c r="AY66" s="22">
        <f>AY5*Constants!$H63*(1-Constants!$H81)</f>
        <v>0</v>
      </c>
      <c r="AZ66" s="22">
        <f>AZ5*Constants!$H63*(1-Constants!$H81)</f>
        <v>0</v>
      </c>
      <c r="BA66" s="22">
        <f>BA5*Constants!$H63*(1-Constants!$H81)</f>
        <v>0</v>
      </c>
      <c r="BB66" s="22">
        <f>BB5*Constants!$H63*(1-Constants!$H81)</f>
        <v>0</v>
      </c>
      <c r="BC66" s="22">
        <f>BC5*Constants!$H63*(1-Constants!$H81)</f>
        <v>0</v>
      </c>
      <c r="BD66" s="22">
        <f>BD5*Constants!$H63*(1-Constants!$H81)</f>
        <v>0</v>
      </c>
      <c r="BE66" s="22">
        <f>BE5*Constants!$H63*(1-Constants!$H81)</f>
        <v>0</v>
      </c>
      <c r="BF66" s="22">
        <f>BF5*Constants!$H63*(1-Constants!$H81)</f>
        <v>0</v>
      </c>
      <c r="BG66" s="22">
        <f>BG5*Constants!$H63*(1-Constants!$H81)</f>
        <v>0</v>
      </c>
      <c r="BH66" s="22">
        <f>BH5*Constants!$H63*(1-Constants!$H81)</f>
        <v>0</v>
      </c>
      <c r="BI66" s="22">
        <f>BI5*Constants!$H63*(1-Constants!$H81)</f>
        <v>0</v>
      </c>
      <c r="BJ66" s="22">
        <f>BJ5*Constants!$H63*(1-Constants!$H81)</f>
        <v>0</v>
      </c>
      <c r="BK66" s="22">
        <f>BK5*Constants!$H63*(1-Constants!$H81)</f>
        <v>0</v>
      </c>
      <c r="BL66" s="22">
        <f>BL5*Constants!$H63*(1-Constants!$H81)</f>
        <v>0</v>
      </c>
      <c r="BM66" s="22">
        <f>BM5*Constants!$H63*(1-Constants!$H81)</f>
        <v>0</v>
      </c>
      <c r="BN66" s="22">
        <f>BN5*Constants!$H63*(1-Constants!$H81)</f>
        <v>0</v>
      </c>
      <c r="BO66" s="22">
        <f>BO5*Constants!$H63*(1-Constants!$H81)</f>
        <v>0</v>
      </c>
      <c r="BP66" s="22">
        <f>BP5*Constants!$H63*(1-Constants!$H81)</f>
        <v>0</v>
      </c>
    </row>
    <row r="67" spans="1:68" x14ac:dyDescent="0.25">
      <c r="A67" t="str">
        <f t="shared" ref="A67:B82" si="51">A66</f>
        <v>3C Aggregated and non-CO2 emissions on land</v>
      </c>
      <c r="B67" t="str">
        <f t="shared" si="51"/>
        <v>3C4 Direct N2O from managed soils (N2O)</v>
      </c>
      <c r="C67" t="s">
        <v>410</v>
      </c>
      <c r="D67" t="str">
        <f t="shared" ref="D67:D81" si="52">D51</f>
        <v xml:space="preserve"> - Pasture</v>
      </c>
      <c r="E67" t="str">
        <f t="shared" si="49"/>
        <v>Urine &amp; dung - Pasture</v>
      </c>
      <c r="F67" t="str">
        <f t="shared" si="50"/>
        <v>kg N</v>
      </c>
      <c r="H67" s="22">
        <f>H6*Constants!$H64*(1-Constants!$H82)</f>
        <v>28033004.557779469</v>
      </c>
      <c r="I67" s="22">
        <f>I6*Constants!$H64*(1-Constants!$H82)</f>
        <v>32273269.726387568</v>
      </c>
      <c r="J67" s="22">
        <f>J6*Constants!$H64*(1-Constants!$H82)</f>
        <v>27920554.140614353</v>
      </c>
      <c r="K67" s="22">
        <f>K6*Constants!$H64*(1-Constants!$H82)</f>
        <v>29612364.349424317</v>
      </c>
      <c r="L67" s="22">
        <f>L6*Constants!$H64*(1-Constants!$H82)</f>
        <v>27470752.471953906</v>
      </c>
      <c r="M67" s="22">
        <f>M6*Constants!$H64*(1-Constants!$H82)</f>
        <v>29387463.51509409</v>
      </c>
      <c r="N67" s="22">
        <f>N6*Constants!$H64*(1-Constants!$H82)</f>
        <v>29499913.932259206</v>
      </c>
      <c r="O67" s="22">
        <f>O6*Constants!$H64*(1-Constants!$H82)</f>
        <v>28439847.640107188</v>
      </c>
      <c r="P67" s="22">
        <f>P6*Constants!$H64*(1-Constants!$H82)</f>
        <v>28102496.388611846</v>
      </c>
      <c r="Q67" s="22">
        <f>Q6*Constants!$H64*(1-Constants!$H82)</f>
        <v>27604682.18228538</v>
      </c>
      <c r="R67" s="22">
        <f>R6*Constants!$H64*(1-Constants!$H82)</f>
        <v>35544439.726842389</v>
      </c>
      <c r="S67" s="22">
        <f>S6*Constants!$H64*(1-Constants!$H82)</f>
        <v>35431989.309677273</v>
      </c>
      <c r="T67" s="22">
        <f>T6*Constants!$H64*(1-Constants!$H82)</f>
        <v>30897331.47590657</v>
      </c>
      <c r="U67" s="22">
        <f>U6*Constants!$H64*(1-Constants!$H82)</f>
        <v>28102496.388611846</v>
      </c>
      <c r="V67" s="22">
        <f>V6*Constants!$H64*(1-Constants!$H82)</f>
        <v>27133401.22045856</v>
      </c>
      <c r="W67" s="22">
        <f>W6*Constants!$H64*(1-Constants!$H82)</f>
        <v>29050112.263598755</v>
      </c>
      <c r="X67" s="22">
        <f>X6*Constants!$H64*(1-Constants!$H82)</f>
        <v>28418368.346940812</v>
      </c>
      <c r="Y67" s="22">
        <f>Y6*Constants!$H64*(1-Constants!$H82)</f>
        <v>28214946.805776961</v>
      </c>
      <c r="Z67" s="22">
        <f>Z6*Constants!$H64*(1-Constants!$H82)</f>
        <v>34553865.265522733</v>
      </c>
      <c r="AA67" s="22">
        <f>AA6*Constants!$H64*(1-Constants!$H82)</f>
        <v>35410510.016510896</v>
      </c>
      <c r="AB67" s="22">
        <f>AB6*Constants!$H64*(1-Constants!$H82)</f>
        <v>35410510.016510896</v>
      </c>
      <c r="AC67" s="22">
        <f>AC6*Constants!$H64*(1-Constants!$H82)</f>
        <v>34125542.890028648</v>
      </c>
      <c r="AD67" s="22">
        <f>AD6*Constants!$H64*(1-Constants!$H82)</f>
        <v>34348766.825661823</v>
      </c>
      <c r="AE67" s="22">
        <f>AE6*Constants!$H64*(1-Constants!$H82)</f>
        <v>34562421.949341528</v>
      </c>
      <c r="AF67" s="22">
        <f>AF6*Constants!$H64*(1-Constants!$H82)</f>
        <v>34709312.790075138</v>
      </c>
      <c r="AG67" s="22">
        <f>AG6*Constants!$H64*(1-Constants!$H82)</f>
        <v>34755379.920024522</v>
      </c>
      <c r="AH67" s="22">
        <f>AH6*Constants!$H64*(1-Constants!$H82)</f>
        <v>34817701.872788064</v>
      </c>
      <c r="AI67" s="22">
        <f>AI6*Constants!$H64*(1-Constants!$H82)</f>
        <v>34954210.626782231</v>
      </c>
      <c r="AJ67" s="22">
        <f>AJ6*Constants!$H64*(1-Constants!$H82)</f>
        <v>35117870.776365511</v>
      </c>
      <c r="AK67" s="22">
        <f>AK6*Constants!$H64*(1-Constants!$H82)</f>
        <v>35167035.992472142</v>
      </c>
      <c r="AL67" s="22">
        <f>AL6*Constants!$H64*(1-Constants!$H82)</f>
        <v>34087415.886556581</v>
      </c>
      <c r="AM67" s="22">
        <f>AM6*Constants!$H64*(1-Constants!$H82)</f>
        <v>34093236.98866009</v>
      </c>
      <c r="AN67" s="22">
        <f>AN6*Constants!$H64*(1-Constants!$H82)</f>
        <v>34071627.213201933</v>
      </c>
      <c r="AO67" s="22">
        <f>AO6*Constants!$H64*(1-Constants!$H82)</f>
        <v>34052263.789962791</v>
      </c>
      <c r="AP67" s="22">
        <f>AP6*Constants!$H64*(1-Constants!$H82)</f>
        <v>34080967.349225365</v>
      </c>
      <c r="AQ67" s="22">
        <f>AQ6*Constants!$H64*(1-Constants!$H82)</f>
        <v>34110311.296868704</v>
      </c>
      <c r="AR67" s="22">
        <f>AR6*Constants!$H64*(1-Constants!$H82)</f>
        <v>34126366.243042044</v>
      </c>
      <c r="AS67" s="22">
        <f>AS6*Constants!$H64*(1-Constants!$H82)</f>
        <v>34131416.607391141</v>
      </c>
      <c r="AT67" s="22">
        <f>AT6*Constants!$H64*(1-Constants!$H82)</f>
        <v>34153832.708909385</v>
      </c>
      <c r="AU67" s="22">
        <f>AU6*Constants!$H64*(1-Constants!$H82)</f>
        <v>34154538.038720995</v>
      </c>
      <c r="AV67" s="22">
        <f>AV6*Constants!$H64*(1-Constants!$H82)</f>
        <v>34160603.759409495</v>
      </c>
      <c r="AW67" s="22">
        <f>AW6*Constants!$H64*(1-Constants!$H82)</f>
        <v>34449592.897515073</v>
      </c>
      <c r="AX67" s="22">
        <f>AX6*Constants!$H64*(1-Constants!$H82)</f>
        <v>34768119.334029227</v>
      </c>
      <c r="AY67" s="22">
        <f>AY6*Constants!$H64*(1-Constants!$H82)</f>
        <v>35100271.435630985</v>
      </c>
      <c r="AZ67" s="22">
        <f>AZ6*Constants!$H64*(1-Constants!$H82)</f>
        <v>35097013.205051869</v>
      </c>
      <c r="BA67" s="22">
        <f>BA6*Constants!$H64*(1-Constants!$H82)</f>
        <v>18759760.48434522</v>
      </c>
      <c r="BB67" s="22">
        <f>BB6*Constants!$H64*(1-Constants!$H82)</f>
        <v>18742697.530092303</v>
      </c>
      <c r="BC67" s="22">
        <f>BC6*Constants!$H64*(1-Constants!$H82)</f>
        <v>18727395.747796793</v>
      </c>
      <c r="BD67" s="22">
        <f>BD6*Constants!$H64*(1-Constants!$H82)</f>
        <v>18713777.646670971</v>
      </c>
      <c r="BE67" s="22">
        <f>BE6*Constants!$H64*(1-Constants!$H82)</f>
        <v>18701771.459835779</v>
      </c>
      <c r="BF67" s="22">
        <f>BF6*Constants!$H64*(1-Constants!$H82)</f>
        <v>18691310.601944033</v>
      </c>
      <c r="BG67" s="22">
        <f>BG6*Constants!$H64*(1-Constants!$H82)</f>
        <v>18669135.428257763</v>
      </c>
      <c r="BH67" s="22">
        <f>BH6*Constants!$H64*(1-Constants!$H82)</f>
        <v>18648342.307481032</v>
      </c>
      <c r="BI67" s="22">
        <f>BI6*Constants!$H64*(1-Constants!$H82)</f>
        <v>18628874.988804966</v>
      </c>
      <c r="BJ67" s="22">
        <f>BJ6*Constants!$H64*(1-Constants!$H82)</f>
        <v>18610680.901644532</v>
      </c>
      <c r="BK67" s="22">
        <f>BK6*Constants!$H64*(1-Constants!$H82)</f>
        <v>18593710.843673147</v>
      </c>
      <c r="BL67" s="22">
        <f>BL6*Constants!$H64*(1-Constants!$H82)</f>
        <v>18564689.465640962</v>
      </c>
      <c r="BM67" s="22">
        <f>BM6*Constants!$H64*(1-Constants!$H82)</f>
        <v>18536780.56290523</v>
      </c>
      <c r="BN67" s="22">
        <f>BN6*Constants!$H64*(1-Constants!$H82)</f>
        <v>18509941.465309873</v>
      </c>
      <c r="BO67" s="22">
        <f>BO6*Constants!$H64*(1-Constants!$H82)</f>
        <v>18484132.004152164</v>
      </c>
      <c r="BP67" s="22">
        <f>BP6*Constants!$H64*(1-Constants!$H82)</f>
        <v>18459314.320482161</v>
      </c>
    </row>
    <row r="68" spans="1:68" x14ac:dyDescent="0.25">
      <c r="A68" t="str">
        <f t="shared" si="51"/>
        <v>3C Aggregated and non-CO2 emissions on land</v>
      </c>
      <c r="B68" t="str">
        <f t="shared" si="51"/>
        <v>3C4 Direct N2O from managed soils (N2O)</v>
      </c>
      <c r="C68" t="s">
        <v>410</v>
      </c>
      <c r="D68" t="str">
        <f t="shared" si="52"/>
        <v xml:space="preserve"> - Non-lactating</v>
      </c>
      <c r="E68" t="str">
        <f t="shared" si="49"/>
        <v>Urine &amp; dung - Non-lactating</v>
      </c>
      <c r="F68" t="str">
        <f t="shared" si="50"/>
        <v>kg N</v>
      </c>
      <c r="H68" s="22">
        <f>H7*Constants!$H65*(1-Constants!$H83)</f>
        <v>22536672.502374578</v>
      </c>
      <c r="I68" s="22">
        <f>I7*Constants!$H65*(1-Constants!$H83)</f>
        <v>25616525.79063822</v>
      </c>
      <c r="J68" s="22">
        <f>J7*Constants!$H65*(1-Constants!$H83)</f>
        <v>22158361.515645087</v>
      </c>
      <c r="K68" s="22">
        <f>K7*Constants!$H65*(1-Constants!$H83)</f>
        <v>23189426.39460196</v>
      </c>
      <c r="L68" s="22">
        <f>L7*Constants!$H65*(1-Constants!$H83)</f>
        <v>20645117.568727165</v>
      </c>
      <c r="M68" s="22">
        <f>M7*Constants!$H65*(1-Constants!$H83)</f>
        <v>22432804.421142988</v>
      </c>
      <c r="N68" s="22">
        <f>N7*Constants!$H65*(1-Constants!$H83)</f>
        <v>22811115.407872468</v>
      </c>
      <c r="O68" s="22">
        <f>O7*Constants!$H65*(1-Constants!$H83)</f>
        <v>22041152.085806556</v>
      </c>
      <c r="P68" s="22">
        <f>P7*Constants!$H65*(1-Constants!$H83)</f>
        <v>20906219.125618115</v>
      </c>
      <c r="Q68" s="22">
        <f>Q7*Constants!$H65*(1-Constants!$H83)</f>
        <v>22027810.737199616</v>
      </c>
      <c r="R68" s="22">
        <f>R7*Constants!$H65*(1-Constants!$H83)</f>
        <v>27300344.561822459</v>
      </c>
      <c r="S68" s="22">
        <f>S7*Constants!$H65*(1-Constants!$H83)</f>
        <v>26922033.575092979</v>
      </c>
      <c r="T68" s="22">
        <f>T7*Constants!$H65*(1-Constants!$H83)</f>
        <v>24716011.690126833</v>
      </c>
      <c r="U68" s="22">
        <f>U7*Constants!$H65*(1-Constants!$H83)</f>
        <v>20906219.125618115</v>
      </c>
      <c r="V68" s="22">
        <f>V7*Constants!$H65*(1-Constants!$H83)</f>
        <v>19510184.608538713</v>
      </c>
      <c r="W68" s="22">
        <f>W7*Constants!$H65*(1-Constants!$H83)</f>
        <v>21297871.460954543</v>
      </c>
      <c r="X68" s="22">
        <f>X7*Constants!$H65*(1-Constants!$H83)</f>
        <v>21036769.90406359</v>
      </c>
      <c r="Y68" s="22">
        <f>Y7*Constants!$H65*(1-Constants!$H83)</f>
        <v>21284530.112347595</v>
      </c>
      <c r="Z68" s="22">
        <f>Z7*Constants!$H65*(1-Constants!$H83)</f>
        <v>24899927.863000095</v>
      </c>
      <c r="AA68" s="22">
        <f>AA7*Constants!$H65*(1-Constants!$H83)</f>
        <v>25917651.393350005</v>
      </c>
      <c r="AB68" s="22">
        <f>AB7*Constants!$H65*(1-Constants!$H83)</f>
        <v>25917651.393350005</v>
      </c>
      <c r="AC68" s="22">
        <f>AC7*Constants!$H65*(1-Constants!$H83)</f>
        <v>24391066.097825136</v>
      </c>
      <c r="AD68" s="22">
        <f>AD7*Constants!$H65*(1-Constants!$H83)</f>
        <v>23391745.225552749</v>
      </c>
      <c r="AE68" s="22">
        <f>AE7*Constants!$H65*(1-Constants!$H83)</f>
        <v>23537245.826625735</v>
      </c>
      <c r="AF68" s="22">
        <f>AF7*Constants!$H65*(1-Constants!$H83)</f>
        <v>23637279.494205344</v>
      </c>
      <c r="AG68" s="22">
        <f>AG7*Constants!$H65*(1-Constants!$H83)</f>
        <v>23668651.524896219</v>
      </c>
      <c r="AH68" s="22">
        <f>AH7*Constants!$H65*(1-Constants!$H83)</f>
        <v>23711093.201140463</v>
      </c>
      <c r="AI68" s="22">
        <f>AI7*Constants!$H65*(1-Constants!$H83)</f>
        <v>23804056.596615363</v>
      </c>
      <c r="AJ68" s="22">
        <f>AJ7*Constants!$H65*(1-Constants!$H83)</f>
        <v>23915510.278258685</v>
      </c>
      <c r="AK68" s="22">
        <f>AK7*Constants!$H65*(1-Constants!$H83)</f>
        <v>23948992.126820024</v>
      </c>
      <c r="AL68" s="22">
        <f>AL7*Constants!$H65*(1-Constants!$H83)</f>
        <v>23213763.447836015</v>
      </c>
      <c r="AM68" s="22">
        <f>AM7*Constants!$H65*(1-Constants!$H83)</f>
        <v>23217727.658197001</v>
      </c>
      <c r="AN68" s="22">
        <f>AN7*Constants!$H65*(1-Constants!$H83)</f>
        <v>23203011.253254011</v>
      </c>
      <c r="AO68" s="22">
        <f>AO7*Constants!$H65*(1-Constants!$H83)</f>
        <v>23189824.629541922</v>
      </c>
      <c r="AP68" s="22">
        <f>AP7*Constants!$H65*(1-Constants!$H83)</f>
        <v>23209371.949792001</v>
      </c>
      <c r="AQ68" s="22">
        <f>AQ7*Constants!$H65*(1-Constants!$H83)</f>
        <v>23229355.378910985</v>
      </c>
      <c r="AR68" s="22">
        <f>AR7*Constants!$H65*(1-Constants!$H83)</f>
        <v>23240288.907104373</v>
      </c>
      <c r="AS68" s="22">
        <f>AS7*Constants!$H65*(1-Constants!$H83)</f>
        <v>23243728.239781145</v>
      </c>
      <c r="AT68" s="22">
        <f>AT7*Constants!$H65*(1-Constants!$H83)</f>
        <v>23258993.758288007</v>
      </c>
      <c r="AU68" s="22">
        <f>AU7*Constants!$H65*(1-Constants!$H83)</f>
        <v>23259474.092715636</v>
      </c>
      <c r="AV68" s="22">
        <f>AV7*Constants!$H65*(1-Constants!$H83)</f>
        <v>23263604.890006702</v>
      </c>
      <c r="AW68" s="22">
        <f>AW7*Constants!$H65*(1-Constants!$H83)</f>
        <v>23460408.470345642</v>
      </c>
      <c r="AX68" s="22">
        <f>AX7*Constants!$H65*(1-Constants!$H83)</f>
        <v>23677327.152997617</v>
      </c>
      <c r="AY68" s="22">
        <f>AY7*Constants!$H65*(1-Constants!$H83)</f>
        <v>23903525.006802239</v>
      </c>
      <c r="AZ68" s="22">
        <f>AZ7*Constants!$H65*(1-Constants!$H83)</f>
        <v>23901306.129484758</v>
      </c>
      <c r="BA68" s="22">
        <f>BA7*Constants!$H65*(1-Constants!$H83)</f>
        <v>12775525.245766673</v>
      </c>
      <c r="BB68" s="22">
        <f>BB7*Constants!$H65*(1-Constants!$H83)</f>
        <v>12763905.257174209</v>
      </c>
      <c r="BC68" s="22">
        <f>BC7*Constants!$H65*(1-Constants!$H83)</f>
        <v>12753484.638734825</v>
      </c>
      <c r="BD68" s="22">
        <f>BD7*Constants!$H65*(1-Constants!$H83)</f>
        <v>12744210.618691899</v>
      </c>
      <c r="BE68" s="22">
        <f>BE7*Constants!$H65*(1-Constants!$H83)</f>
        <v>12736034.323309749</v>
      </c>
      <c r="BF68" s="22">
        <f>BF7*Constants!$H65*(1-Constants!$H83)</f>
        <v>12728910.407511363</v>
      </c>
      <c r="BG68" s="22">
        <f>BG7*Constants!$H65*(1-Constants!$H83)</f>
        <v>12713808.962506525</v>
      </c>
      <c r="BH68" s="22">
        <f>BH7*Constants!$H65*(1-Constants!$H83)</f>
        <v>12699648.704989217</v>
      </c>
      <c r="BI68" s="22">
        <f>BI7*Constants!$H65*(1-Constants!$H83)</f>
        <v>12686391.327773714</v>
      </c>
      <c r="BJ68" s="22">
        <f>BJ7*Constants!$H65*(1-Constants!$H83)</f>
        <v>12674001.029931916</v>
      </c>
      <c r="BK68" s="22">
        <f>BK7*Constants!$H65*(1-Constants!$H83)</f>
        <v>12662444.304342778</v>
      </c>
      <c r="BL68" s="22">
        <f>BL7*Constants!$H65*(1-Constants!$H83)</f>
        <v>12642680.547336044</v>
      </c>
      <c r="BM68" s="22">
        <f>BM7*Constants!$H65*(1-Constants!$H83)</f>
        <v>12623674.393617848</v>
      </c>
      <c r="BN68" s="22">
        <f>BN7*Constants!$H65*(1-Constants!$H83)</f>
        <v>12605396.784519948</v>
      </c>
      <c r="BO68" s="22">
        <f>BO7*Constants!$H65*(1-Constants!$H83)</f>
        <v>12587820.364880951</v>
      </c>
      <c r="BP68" s="22">
        <f>BP7*Constants!$H65*(1-Constants!$H83)</f>
        <v>12570919.352496911</v>
      </c>
    </row>
    <row r="69" spans="1:68" x14ac:dyDescent="0.25">
      <c r="A69" t="str">
        <f t="shared" si="51"/>
        <v>3C Aggregated and non-CO2 emissions on land</v>
      </c>
      <c r="B69" t="str">
        <f t="shared" si="51"/>
        <v>3C4 Direct N2O from managed soils (N2O)</v>
      </c>
      <c r="C69" t="s">
        <v>410</v>
      </c>
      <c r="D69" t="str">
        <f t="shared" si="52"/>
        <v xml:space="preserve"> - Commercial cattle</v>
      </c>
      <c r="E69" t="str">
        <f t="shared" si="49"/>
        <v>Urine &amp; dung - Commercial cattle</v>
      </c>
      <c r="F69" t="str">
        <f t="shared" si="50"/>
        <v>kg N</v>
      </c>
      <c r="H69" s="22">
        <f>H8*Constants!$H66*(1-Constants!$H84)</f>
        <v>559255370.31703663</v>
      </c>
      <c r="I69" s="22">
        <f>I8*Constants!$H66*(1-Constants!$H84)</f>
        <v>535116762.9675647</v>
      </c>
      <c r="J69" s="22">
        <f>J8*Constants!$H66*(1-Constants!$H84)</f>
        <v>534922334.95159727</v>
      </c>
      <c r="K69" s="22">
        <f>K8*Constants!$H66*(1-Constants!$H84)</f>
        <v>500438844.55845898</v>
      </c>
      <c r="L69" s="22">
        <f>L8*Constants!$H66*(1-Constants!$H84)</f>
        <v>515525474.15187901</v>
      </c>
      <c r="M69" s="22">
        <f>M8*Constants!$H66*(1-Constants!$H84)</f>
        <v>527246940.36344963</v>
      </c>
      <c r="N69" s="22">
        <f>N8*Constants!$H66*(1-Constants!$H84)</f>
        <v>549118861.60271931</v>
      </c>
      <c r="O69" s="22">
        <f>O8*Constants!$H66*(1-Constants!$H84)</f>
        <v>569920198.19710505</v>
      </c>
      <c r="P69" s="22">
        <f>P8*Constants!$H66*(1-Constants!$H84)</f>
        <v>574856372.76282609</v>
      </c>
      <c r="Q69" s="22">
        <f>Q8*Constants!$H66*(1-Constants!$H84)</f>
        <v>565554181.73728025</v>
      </c>
      <c r="R69" s="22">
        <f>R8*Constants!$H66*(1-Constants!$H84)</f>
        <v>527135369.85639662</v>
      </c>
      <c r="S69" s="22">
        <f>S8*Constants!$H66*(1-Constants!$H84)</f>
        <v>529874589.8788234</v>
      </c>
      <c r="T69" s="22">
        <f>T8*Constants!$H66*(1-Constants!$H84)</f>
        <v>493847980.92857671</v>
      </c>
      <c r="U69" s="22">
        <f>U8*Constants!$H66*(1-Constants!$H84)</f>
        <v>506765548.60546583</v>
      </c>
      <c r="V69" s="22">
        <f>V8*Constants!$H66*(1-Constants!$H84)</f>
        <v>511437563.5883112</v>
      </c>
      <c r="W69" s="22">
        <f>W8*Constants!$H66*(1-Constants!$H84)</f>
        <v>515775687.42137289</v>
      </c>
      <c r="X69" s="22">
        <f>X8*Constants!$H66*(1-Constants!$H84)</f>
        <v>504026328.58303899</v>
      </c>
      <c r="Y69" s="22">
        <f>Y8*Constants!$H66*(1-Constants!$H84)</f>
        <v>518793013.34005684</v>
      </c>
      <c r="Z69" s="22">
        <f>Z8*Constants!$H66*(1-Constants!$H84)</f>
        <v>504376811.74388993</v>
      </c>
      <c r="AA69" s="22">
        <f>AA8*Constants!$H66*(1-Constants!$H84)</f>
        <v>495907981.30717754</v>
      </c>
      <c r="AB69" s="22">
        <f>AB8*Constants!$H66*(1-Constants!$H84)</f>
        <v>494349036.41895235</v>
      </c>
      <c r="AC69" s="22">
        <f>AC8*Constants!$H66*(1-Constants!$H84)</f>
        <v>492573930.50973994</v>
      </c>
      <c r="AD69" s="22">
        <f>AD8*Constants!$H66*(1-Constants!$H84)</f>
        <v>492825762.03746235</v>
      </c>
      <c r="AE69" s="22">
        <f>AE8*Constants!$H66*(1-Constants!$H84)</f>
        <v>489559097.08357269</v>
      </c>
      <c r="AF69" s="22">
        <f>AF8*Constants!$H66*(1-Constants!$H84)</f>
        <v>482671552.93602335</v>
      </c>
      <c r="AG69" s="22">
        <f>AG8*Constants!$H66*(1-Constants!$H84)</f>
        <v>471061642.79831916</v>
      </c>
      <c r="AH69" s="22">
        <f>AH8*Constants!$H66*(1-Constants!$H84)</f>
        <v>459797426.37902075</v>
      </c>
      <c r="AI69" s="22">
        <f>AI8*Constants!$H66*(1-Constants!$H84)</f>
        <v>451133662.95670366</v>
      </c>
      <c r="AJ69" s="22">
        <f>AJ8*Constants!$H66*(1-Constants!$H84)</f>
        <v>443297222.24093831</v>
      </c>
      <c r="AK69" s="22">
        <f>AK8*Constants!$H66*(1-Constants!$H84)</f>
        <v>430976324.08386987</v>
      </c>
      <c r="AL69" s="22">
        <f>AL8*Constants!$H66*(1-Constants!$H84)</f>
        <v>377992359.2935499</v>
      </c>
      <c r="AM69" s="22">
        <f>AM8*Constants!$H66*(1-Constants!$H84)</f>
        <v>378542470.67430687</v>
      </c>
      <c r="AN69" s="22">
        <f>AN8*Constants!$H66*(1-Constants!$H84)</f>
        <v>377888667.61818296</v>
      </c>
      <c r="AO69" s="22">
        <f>AO8*Constants!$H66*(1-Constants!$H84)</f>
        <v>377118463.64923209</v>
      </c>
      <c r="AP69" s="22">
        <f>AP8*Constants!$H66*(1-Constants!$H84)</f>
        <v>377803179.53997284</v>
      </c>
      <c r="AQ69" s="22">
        <f>AQ8*Constants!$H66*(1-Constants!$H84)</f>
        <v>378302070.35046941</v>
      </c>
      <c r="AR69" s="22">
        <f>AR8*Constants!$H66*(1-Constants!$H84)</f>
        <v>378919620.98661196</v>
      </c>
      <c r="AS69" s="22">
        <f>AS8*Constants!$H66*(1-Constants!$H84)</f>
        <v>378990018.70228523</v>
      </c>
      <c r="AT69" s="22">
        <f>AT8*Constants!$H66*(1-Constants!$H84)</f>
        <v>379451019.41652465</v>
      </c>
      <c r="AU69" s="22">
        <f>AU8*Constants!$H66*(1-Constants!$H84)</f>
        <v>379057358.77330554</v>
      </c>
      <c r="AV69" s="22">
        <f>AV8*Constants!$H66*(1-Constants!$H84)</f>
        <v>378692080.40472966</v>
      </c>
      <c r="AW69" s="22">
        <f>AW8*Constants!$H66*(1-Constants!$H84)</f>
        <v>379424302.08260334</v>
      </c>
      <c r="AX69" s="22">
        <f>AX8*Constants!$H66*(1-Constants!$H84)</f>
        <v>380652292.96815753</v>
      </c>
      <c r="AY69" s="22">
        <f>AY8*Constants!$H66*(1-Constants!$H84)</f>
        <v>381867120.26399589</v>
      </c>
      <c r="AZ69" s="22">
        <f>AZ8*Constants!$H66*(1-Constants!$H84)</f>
        <v>373156084.76469195</v>
      </c>
      <c r="BA69" s="22">
        <f>BA8*Constants!$H66*(1-Constants!$H84)</f>
        <v>-87877902.196062788</v>
      </c>
      <c r="BB69" s="22">
        <f>BB8*Constants!$H66*(1-Constants!$H84)</f>
        <v>-85698334.573565796</v>
      </c>
      <c r="BC69" s="22">
        <f>BC8*Constants!$H66*(1-Constants!$H84)</f>
        <v>-83557780.101469636</v>
      </c>
      <c r="BD69" s="22">
        <f>BD8*Constants!$H66*(1-Constants!$H84)</f>
        <v>-81454389.405573875</v>
      </c>
      <c r="BE69" s="22">
        <f>BE8*Constants!$H66*(1-Constants!$H84)</f>
        <v>-79386440.888429418</v>
      </c>
      <c r="BF69" s="22">
        <f>BF8*Constants!$H66*(1-Constants!$H84)</f>
        <v>-77352328.976601481</v>
      </c>
      <c r="BG69" s="22">
        <f>BG8*Constants!$H66*(1-Constants!$H84)</f>
        <v>-75683977.907712638</v>
      </c>
      <c r="BH69" s="22">
        <f>BH8*Constants!$H66*(1-Constants!$H84)</f>
        <v>-74043964.137466565</v>
      </c>
      <c r="BI69" s="22">
        <f>BI8*Constants!$H66*(1-Constants!$H84)</f>
        <v>-72431121.188193589</v>
      </c>
      <c r="BJ69" s="22">
        <f>BJ8*Constants!$H66*(1-Constants!$H84)</f>
        <v>-70844354.816642225</v>
      </c>
      <c r="BK69" s="22">
        <f>BK8*Constants!$H66*(1-Constants!$H84)</f>
        <v>-69282637.069789961</v>
      </c>
      <c r="BL69" s="22">
        <f>BL8*Constants!$H66*(1-Constants!$H84)</f>
        <v>-67698959.192612886</v>
      </c>
      <c r="BM69" s="22">
        <f>BM8*Constants!$H66*(1-Constants!$H84)</f>
        <v>-66140347.610249951</v>
      </c>
      <c r="BN69" s="22">
        <f>BN8*Constants!$H66*(1-Constants!$H84)</f>
        <v>-64605909.546285868</v>
      </c>
      <c r="BO69" s="22">
        <f>BO8*Constants!$H66*(1-Constants!$H84)</f>
        <v>-63094801.930304907</v>
      </c>
      <c r="BP69" s="22">
        <f>BP8*Constants!$H66*(1-Constants!$H84)</f>
        <v>-61606227.713001452</v>
      </c>
    </row>
    <row r="70" spans="1:68" x14ac:dyDescent="0.25">
      <c r="A70" t="str">
        <f t="shared" si="51"/>
        <v>3C Aggregated and non-CO2 emissions on land</v>
      </c>
      <c r="B70" t="str">
        <f t="shared" si="51"/>
        <v>3C4 Direct N2O from managed soils (N2O)</v>
      </c>
      <c r="C70" t="s">
        <v>410</v>
      </c>
      <c r="D70" t="str">
        <f t="shared" si="52"/>
        <v xml:space="preserve"> - Subsistence cattle</v>
      </c>
      <c r="E70" t="str">
        <f t="shared" si="49"/>
        <v>Urine &amp; dung - Subsistence cattle</v>
      </c>
      <c r="F70" t="str">
        <f t="shared" si="50"/>
        <v>kg N</v>
      </c>
      <c r="H70" s="22">
        <f>H9*Constants!$H67*(1-Constants!$H85)</f>
        <v>267001859.90719384</v>
      </c>
      <c r="I70" s="22">
        <f>I9*Constants!$H67*(1-Constants!$H85)</f>
        <v>283289555.06493115</v>
      </c>
      <c r="J70" s="22">
        <f>J9*Constants!$H67*(1-Constants!$H85)</f>
        <v>296668733.23021537</v>
      </c>
      <c r="K70" s="22">
        <f>K9*Constants!$H67*(1-Constants!$H85)</f>
        <v>293178512.83927161</v>
      </c>
      <c r="L70" s="22">
        <f>L9*Constants!$H67*(1-Constants!$H85)</f>
        <v>255367791.93738148</v>
      </c>
      <c r="M70" s="22">
        <f>M9*Constants!$H67*(1-Constants!$H85)</f>
        <v>246642240.96002218</v>
      </c>
      <c r="N70" s="22">
        <f>N9*Constants!$H67*(1-Constants!$H85)</f>
        <v>253622681.74190959</v>
      </c>
      <c r="O70" s="22">
        <f>O9*Constants!$H67*(1-Constants!$H85)</f>
        <v>265256749.71172196</v>
      </c>
      <c r="P70" s="22">
        <f>P9*Constants!$H67*(1-Constants!$H85)</f>
        <v>281544444.86945933</v>
      </c>
      <c r="Q70" s="22">
        <f>Q9*Constants!$H67*(1-Constants!$H85)</f>
        <v>293178512.83927161</v>
      </c>
      <c r="R70" s="22">
        <f>R9*Constants!$H67*(1-Constants!$H85)</f>
        <v>286198072.05738419</v>
      </c>
      <c r="S70" s="22">
        <f>S9*Constants!$H67*(1-Constants!$H85)</f>
        <v>279217631.27549684</v>
      </c>
      <c r="T70" s="22">
        <f>T9*Constants!$H67*(1-Constants!$H85)</f>
        <v>316446648.77889633</v>
      </c>
      <c r="U70" s="22">
        <f>U9*Constants!$H67*(1-Constants!$H85)</f>
        <v>324008792.95927441</v>
      </c>
      <c r="V70" s="22">
        <f>V9*Constants!$H67*(1-Constants!$H85)</f>
        <v>318773462.37285882</v>
      </c>
      <c r="W70" s="22">
        <f>W9*Constants!$H67*(1-Constants!$H85)</f>
        <v>309466207.99700898</v>
      </c>
      <c r="X70" s="22">
        <f>X9*Constants!$H67*(1-Constants!$H85)</f>
        <v>319355165.77134943</v>
      </c>
      <c r="Y70" s="22">
        <f>Y9*Constants!$H67*(1-Constants!$H85)</f>
        <v>332152640.5381431</v>
      </c>
      <c r="Z70" s="22">
        <f>Z9*Constants!$H67*(1-Constants!$H85)</f>
        <v>326917309.95172751</v>
      </c>
      <c r="AA70" s="22">
        <f>AA9*Constants!$H67*(1-Constants!$H85)</f>
        <v>323427089.5607838</v>
      </c>
      <c r="AB70" s="22">
        <f>AB9*Constants!$H67*(1-Constants!$H85)</f>
        <v>318773462.37285882</v>
      </c>
      <c r="AC70" s="22">
        <f>AC9*Constants!$H67*(1-Constants!$H85)</f>
        <v>321100275.96682131</v>
      </c>
      <c r="AD70" s="101">
        <f>IF('Net zero activities &amp; levers'!$C$10="Off",AD9*Constants!$H67*(1-Constants!$H85),IF('Net zero activities &amp; levers'!$C$10="On",('Net zero supporting data'!B197*Constants!$H67*(1-Constants!$H85-'Net zero supporting data'!B199))+('Net zero supporting data'!B198*Constants!$H67*(1-Constants!$H85)),"ERROR"))</f>
        <v>309889237.28942424</v>
      </c>
      <c r="AE70" s="101">
        <f>IF('Net zero activities &amp; levers'!$C$10="Off",AE9*Constants!$H67*(1-Constants!$H85),IF('Net zero activities &amp; levers'!$C$10="On",('Net zero supporting data'!C197*Constants!$H67*(1-Constants!$H85-'Net zero supporting data'!C199))+('Net zero supporting data'!C198*Constants!$H67*(1-Constants!$H85)),"ERROR"))</f>
        <v>307835155.72750294</v>
      </c>
      <c r="AF70" s="101">
        <f>IF('Net zero activities &amp; levers'!$C$10="Off",AF9*Constants!$H67*(1-Constants!$H85),IF('Net zero activities &amp; levers'!$C$10="On",('Net zero supporting data'!D197*Constants!$H67*(1-Constants!$H85-'Net zero supporting data'!D199))+('Net zero supporting data'!D198*Constants!$H67*(1-Constants!$H85)),"ERROR"))</f>
        <v>303504262.40354753</v>
      </c>
      <c r="AG70" s="101">
        <f>IF('Net zero activities &amp; levers'!$C$10="Off",AG9*Constants!$H67*(1-Constants!$H85),IF('Net zero activities &amp; levers'!$C$10="On",('Net zero supporting data'!E197*Constants!$H67*(1-Constants!$H85-'Net zero supporting data'!E199))+('Net zero supporting data'!E198*Constants!$H67*(1-Constants!$H85)),"ERROR"))</f>
        <v>296203941.53010571</v>
      </c>
      <c r="AH70" s="101">
        <f>IF('Net zero activities &amp; levers'!$C$10="Off",AH9*Constants!$H67*(1-Constants!$H85),IF('Net zero activities &amp; levers'!$C$10="On",('Net zero supporting data'!F197*Constants!$H67*(1-Constants!$H85-'Net zero supporting data'!F199))+('Net zero supporting data'!F198*Constants!$H67*(1-Constants!$H85)),"ERROR"))</f>
        <v>289120993.14605993</v>
      </c>
      <c r="AI70" s="101">
        <f>IF('Net zero activities &amp; levers'!$C$10="Off",AI9*Constants!$H67*(1-Constants!$H85),IF('Net zero activities &amp; levers'!$C$10="On",('Net zero supporting data'!G197*Constants!$H67*(1-Constants!$H85-'Net zero supporting data'!G199))+('Net zero supporting data'!G198*Constants!$H67*(1-Constants!$H85)),"ERROR"))</f>
        <v>283673211.7072444</v>
      </c>
      <c r="AJ70" s="101">
        <f>IF('Net zero activities &amp; levers'!$C$10="Off",AJ9*Constants!$H67*(1-Constants!$H85),IF('Net zero activities &amp; levers'!$C$10="On",('Net zero supporting data'!H197*Constants!$H67*(1-Constants!$H85-'Net zero supporting data'!H199))+('Net zero supporting data'!H198*Constants!$H67*(1-Constants!$H85)),"ERROR"))</f>
        <v>278745651.45464593</v>
      </c>
      <c r="AK70" s="101">
        <f>IF('Net zero activities &amp; levers'!$C$10="Off",AK9*Constants!$H67*(1-Constants!$H85),IF('Net zero activities &amp; levers'!$C$10="On",('Net zero supporting data'!I197*Constants!$H67*(1-Constants!$H85-'Net zero supporting data'!I199))+('Net zero supporting data'!I198*Constants!$H67*(1-Constants!$H85)),"ERROR"))</f>
        <v>270998260.7402693</v>
      </c>
      <c r="AL70" s="101">
        <f>IF('Net zero activities &amp; levers'!$C$10="Off",AL9*Constants!$H67*(1-Constants!$H85),IF('Net zero activities &amp; levers'!$C$10="On",('Net zero supporting data'!J197*Constants!$H67*(1-Constants!$H85-'Net zero supporting data'!J199))+('Net zero supporting data'!J198*Constants!$H67*(1-Constants!$H85)),"ERROR"))</f>
        <v>237681900.87799034</v>
      </c>
      <c r="AM70" s="101">
        <f>IF('Net zero activities &amp; levers'!$C$10="Off",AM9*Constants!$H67*(1-Constants!$H85),IF('Net zero activities &amp; levers'!$C$10="On",('Net zero supporting data'!K197*Constants!$H67*(1-Constants!$H85-'Net zero supporting data'!K199))+('Net zero supporting data'!K198*Constants!$H67*(1-Constants!$H85)),"ERROR"))</f>
        <v>234854107.20715964</v>
      </c>
      <c r="AN70" s="101">
        <f>IF('Net zero activities &amp; levers'!$C$10="Off",AN9*Constants!$H67*(1-Constants!$H85),IF('Net zero activities &amp; levers'!$C$10="On",('Net zero supporting data'!L197*Constants!$H67*(1-Constants!$H85-'Net zero supporting data'!L199))+('Net zero supporting data'!L198*Constants!$H67*(1-Constants!$H85)),"ERROR"))</f>
        <v>231280254.14958742</v>
      </c>
      <c r="AO70" s="101">
        <f>IF('Net zero activities &amp; levers'!$C$10="Off",AO9*Constants!$H67*(1-Constants!$H85),IF('Net zero activities &amp; levers'!$C$10="On",('Net zero supporting data'!M197*Constants!$H67*(1-Constants!$H85-'Net zero supporting data'!M199))+('Net zero supporting data'!M198*Constants!$H67*(1-Constants!$H85)),"ERROR"))</f>
        <v>227647098.80724743</v>
      </c>
      <c r="AP70" s="101">
        <f>IF('Net zero activities &amp; levers'!$C$10="Off",AP9*Constants!$H67*(1-Constants!$H85),IF('Net zero activities &amp; levers'!$C$10="On",('Net zero supporting data'!N197*Constants!$H67*(1-Constants!$H85-'Net zero supporting data'!N199))+('Net zero supporting data'!N198*Constants!$H67*(1-Constants!$H85)),"ERROR"))</f>
        <v>224892920.78965619</v>
      </c>
      <c r="AQ70" s="101">
        <f>IF('Net zero activities &amp; levers'!$C$10="Off",AQ9*Constants!$H67*(1-Constants!$H85),IF('Net zero activities &amp; levers'!$C$10="On",('Net zero supporting data'!O197*Constants!$H67*(1-Constants!$H85-'Net zero supporting data'!O199))+('Net zero supporting data'!O198*Constants!$H67*(1-Constants!$H85)),"ERROR"))</f>
        <v>222018204.27805737</v>
      </c>
      <c r="AR70" s="101">
        <f>IF('Net zero activities &amp; levers'!$C$10="Off",AR9*Constants!$H67*(1-Constants!$H85),IF('Net zero activities &amp; levers'!$C$10="On",('Net zero supporting data'!P197*Constants!$H67*(1-Constants!$H85-'Net zero supporting data'!P199))+('Net zero supporting data'!P198*Constants!$H67*(1-Constants!$H85)),"ERROR"))</f>
        <v>219203766.67728645</v>
      </c>
      <c r="AS70" s="101">
        <f>IF('Net zero activities &amp; levers'!$C$10="Off",AS9*Constants!$H67*(1-Constants!$H85),IF('Net zero activities &amp; levers'!$C$10="On",('Net zero supporting data'!Q197*Constants!$H67*(1-Constants!$H85-'Net zero supporting data'!Q199))+('Net zero supporting data'!Q198*Constants!$H67*(1-Constants!$H85)),"ERROR"))</f>
        <v>216067035.12759727</v>
      </c>
      <c r="AT70" s="101">
        <f>IF('Net zero activities &amp; levers'!$C$10="Off",AT9*Constants!$H67*(1-Constants!$H85),IF('Net zero activities &amp; levers'!$C$10="On",('Net zero supporting data'!R197*Constants!$H67*(1-Constants!$H85-'Net zero supporting data'!R199))+('Net zero supporting data'!R198*Constants!$H67*(1-Constants!$H85)),"ERROR"))</f>
        <v>213148536.07055742</v>
      </c>
      <c r="AU70" s="101">
        <f>IF('Net zero activities &amp; levers'!$C$10="Off",AU9*Constants!$H67*(1-Constants!$H85),IF('Net zero activities &amp; levers'!$C$10="On",('Net zero supporting data'!S197*Constants!$H67*(1-Constants!$H85-'Net zero supporting data'!S199))+('Net zero supporting data'!S198*Constants!$H67*(1-Constants!$H85)),"ERROR"))</f>
        <v>209749384.60185695</v>
      </c>
      <c r="AV70" s="101">
        <f>IF('Net zero activities &amp; levers'!$C$10="Off",AV9*Constants!$H67*(1-Constants!$H85),IF('Net zero activities &amp; levers'!$C$10="On",('Net zero supporting data'!T197*Constants!$H67*(1-Constants!$H85-'Net zero supporting data'!T199))+('Net zero supporting data'!T198*Constants!$H67*(1-Constants!$H85)),"ERROR"))</f>
        <v>206372301.26756284</v>
      </c>
      <c r="AW70" s="101">
        <f>IF('Net zero activities &amp; levers'!$C$10="Off",AW9*Constants!$H67*(1-Constants!$H85),IF('Net zero activities &amp; levers'!$C$10="On",('Net zero supporting data'!U197*Constants!$H67*(1-Constants!$H85-'Net zero supporting data'!U199))+('Net zero supporting data'!U198*Constants!$H67*(1-Constants!$H85)),"ERROR"))</f>
        <v>205710967.49395594</v>
      </c>
      <c r="AX70" s="101">
        <f>IF('Net zero activities &amp; levers'!$C$10="Off",AX9*Constants!$H67*(1-Constants!$H85),IF('Net zero activities &amp; levers'!$C$10="On",('Net zero supporting data'!V197*Constants!$H67*(1-Constants!$H85-'Net zero supporting data'!V199))+('Net zero supporting data'!V198*Constants!$H67*(1-Constants!$H85)),"ERROR"))</f>
        <v>205312944.79565752</v>
      </c>
      <c r="AY70" s="101">
        <f>IF('Net zero activities &amp; levers'!$C$10="Off",AY9*Constants!$H67*(1-Constants!$H85),IF('Net zero activities &amp; levers'!$C$10="On",('Net zero supporting data'!W197*Constants!$H67*(1-Constants!$H85-'Net zero supporting data'!W199))+('Net zero supporting data'!W198*Constants!$H67*(1-Constants!$H85)),"ERROR"))</f>
        <v>204900995.16276181</v>
      </c>
      <c r="AZ70" s="101">
        <f>IF('Net zero activities &amp; levers'!$C$10="Off",AZ9*Constants!$H67*(1-Constants!$H85),IF('Net zero activities &amp; levers'!$C$10="On",('Net zero supporting data'!X197*Constants!$H67*(1-Constants!$H85-'Net zero supporting data'!X199))+('Net zero supporting data'!X198*Constants!$H67*(1-Constants!$H85)),"ERROR"))</f>
        <v>199184008.36241594</v>
      </c>
      <c r="BA70" s="101">
        <f>IF('Net zero activities &amp; levers'!$C$10="Off",BA9*Constants!$H67*(1-Constants!$H85),IF('Net zero activities &amp; levers'!$C$10="On",('Net zero supporting data'!Y197*Constants!$H67*(1-Constants!$H85-'Net zero supporting data'!Y199))+('Net zero supporting data'!Y198*Constants!$H67*(1-Constants!$H85)),"ERROR"))</f>
        <v>-46662054.308325827</v>
      </c>
      <c r="BB70" s="101">
        <f>IF('Net zero activities &amp; levers'!$C$10="Off",BB9*Constants!$H67*(1-Constants!$H85),IF('Net zero activities &amp; levers'!$C$10="On",('Net zero supporting data'!Z197*Constants!$H67*(1-Constants!$H85-'Net zero supporting data'!Z199))+('Net zero supporting data'!Z198*Constants!$H67*(1-Constants!$H85)),"ERROR"))</f>
        <v>-45265232.888138399</v>
      </c>
      <c r="BC70" s="101">
        <f>IF('Net zero activities &amp; levers'!$C$10="Off",BC9*Constants!$H67*(1-Constants!$H85),IF('Net zero activities &amp; levers'!$C$10="On",('Net zero supporting data'!AA197*Constants!$H67*(1-Constants!$H85-'Net zero supporting data'!AA199))+('Net zero supporting data'!AA198*Constants!$H67*(1-Constants!$H85)),"ERROR"))</f>
        <v>-43901091.245085478</v>
      </c>
      <c r="BD70" s="101">
        <f>IF('Net zero activities &amp; levers'!$C$10="Off",BD9*Constants!$H67*(1-Constants!$H85),IF('Net zero activities &amp; levers'!$C$10="On",('Net zero supporting data'!AB197*Constants!$H67*(1-Constants!$H85-'Net zero supporting data'!AB199))+('Net zero supporting data'!AB198*Constants!$H67*(1-Constants!$H85)),"ERROR"))</f>
        <v>-42568335.803363413</v>
      </c>
      <c r="BE70" s="101">
        <f>IF('Net zero activities &amp; levers'!$C$10="Off",BE9*Constants!$H67*(1-Constants!$H85),IF('Net zero activities &amp; levers'!$C$10="On",('Net zero supporting data'!AC197*Constants!$H67*(1-Constants!$H85-'Net zero supporting data'!AC199))+('Net zero supporting data'!AC198*Constants!$H67*(1-Constants!$H85)),"ERROR"))</f>
        <v>-41265760.08019571</v>
      </c>
      <c r="BF70" s="101">
        <f>IF('Net zero activities &amp; levers'!$C$10="Off",BF9*Constants!$H67*(1-Constants!$H85),IF('Net zero activities &amp; levers'!$C$10="On",('Net zero supporting data'!AD197*Constants!$H67*(1-Constants!$H85-'Net zero supporting data'!AD199))+('Net zero supporting data'!AD198*Constants!$H67*(1-Constants!$H85)),"ERROR"))</f>
        <v>-39992236.824034125</v>
      </c>
      <c r="BG70" s="101">
        <f>IF('Net zero activities &amp; levers'!$C$10="Off",BG9*Constants!$H67*(1-Constants!$H85),IF('Net zero activities &amp; levers'!$C$10="On",('Net zero supporting data'!AE197*Constants!$H67*(1-Constants!$H85-'Net zero supporting data'!AE199))+('Net zero supporting data'!AE198*Constants!$H67*(1-Constants!$H85)),"ERROR"))</f>
        <v>-38918164.206597865</v>
      </c>
      <c r="BH70" s="101">
        <f>IF('Net zero activities &amp; levers'!$C$10="Off",BH9*Constants!$H67*(1-Constants!$H85),IF('Net zero activities &amp; levers'!$C$10="On",('Net zero supporting data'!AF197*Constants!$H67*(1-Constants!$H85-'Net zero supporting data'!AF199))+('Net zero supporting data'!AF198*Constants!$H67*(1-Constants!$H85)),"ERROR"))</f>
        <v>-37867908.964622349</v>
      </c>
      <c r="BI70" s="101">
        <f>IF('Net zero activities &amp; levers'!$C$10="Off",BI9*Constants!$H67*(1-Constants!$H85),IF('Net zero activities &amp; levers'!$C$10="On",('Net zero supporting data'!AG197*Constants!$H67*(1-Constants!$H85-'Net zero supporting data'!AG199))+('Net zero supporting data'!AG198*Constants!$H67*(1-Constants!$H85)),"ERROR"))</f>
        <v>-36840640.212368816</v>
      </c>
      <c r="BJ70" s="101">
        <f>IF('Net zero activities &amp; levers'!$C$10="Off",BJ9*Constants!$H67*(1-Constants!$H85),IF('Net zero activities &amp; levers'!$C$10="On",('Net zero supporting data'!AH197*Constants!$H67*(1-Constants!$H85-'Net zero supporting data'!AH199))+('Net zero supporting data'!AH198*Constants!$H67*(1-Constants!$H85)),"ERROR"))</f>
        <v>-35835576.64250011</v>
      </c>
      <c r="BK70" s="101">
        <f>IF('Net zero activities &amp; levers'!$C$10="Off",BK9*Constants!$H67*(1-Constants!$H85),IF('Net zero activities &amp; levers'!$C$10="On",('Net zero supporting data'!AI197*Constants!$H67*(1-Constants!$H85-'Net zero supporting data'!AI199))+('Net zero supporting data'!AI198*Constants!$H67*(1-Constants!$H85)),"ERROR"))</f>
        <v>-34851982.526554935</v>
      </c>
      <c r="BL70" s="101">
        <f>IF('Net zero activities &amp; levers'!$C$10="Off",BL9*Constants!$H67*(1-Constants!$H85),IF('Net zero activities &amp; levers'!$C$10="On",('Net zero supporting data'!AJ197*Constants!$H67*(1-Constants!$H85-'Net zero supporting data'!AJ199))+('Net zero supporting data'!AJ198*Constants!$H67*(1-Constants!$H85)),"ERROR"))</f>
        <v>-33866131.916056179</v>
      </c>
      <c r="BM70" s="101">
        <f>IF('Net zero activities &amp; levers'!$C$10="Off",BM9*Constants!$H67*(1-Constants!$H85),IF('Net zero activities &amp; levers'!$C$10="On",('Net zero supporting data'!AK197*Constants!$H67*(1-Constants!$H85-'Net zero supporting data'!AK199))+('Net zero supporting data'!AK198*Constants!$H67*(1-Constants!$H85)),"ERROR"))</f>
        <v>-32901602.281563181</v>
      </c>
      <c r="BN70" s="101">
        <f>IF('Net zero activities &amp; levers'!$C$10="Off",BN9*Constants!$H67*(1-Constants!$H85),IF('Net zero activities &amp; levers'!$C$10="On",('Net zero supporting data'!AL197*Constants!$H67*(1-Constants!$H85-'Net zero supporting data'!AL199))+('Net zero supporting data'!AL198*Constants!$H67*(1-Constants!$H85)),"ERROR"))</f>
        <v>-31957741.849212416</v>
      </c>
      <c r="BO70" s="101">
        <f>IF('Net zero activities &amp; levers'!$C$10="Off",BO9*Constants!$H67*(1-Constants!$H85),IF('Net zero activities &amp; levers'!$C$10="On",('Net zero supporting data'!AM197*Constants!$H67*(1-Constants!$H85-'Net zero supporting data'!AM199))+('Net zero supporting data'!AM198*Constants!$H67*(1-Constants!$H85)),"ERROR"))</f>
        <v>-31033933.273693703</v>
      </c>
      <c r="BP70" s="101">
        <f>IF('Net zero activities &amp; levers'!$C$10="Off",BP9*Constants!$H67*(1-Constants!$H85),IF('Net zero activities &amp; levers'!$C$10="On",('Net zero supporting data'!AN197*Constants!$H67*(1-Constants!$H85-'Net zero supporting data'!AN199))+('Net zero supporting data'!AN198*Constants!$H67*(1-Constants!$H85)),"ERROR"))</f>
        <v>-30129591.141532026</v>
      </c>
    </row>
    <row r="71" spans="1:68" x14ac:dyDescent="0.25">
      <c r="A71" t="str">
        <f t="shared" si="51"/>
        <v>3C Aggregated and non-CO2 emissions on land</v>
      </c>
      <c r="B71" t="str">
        <f t="shared" si="51"/>
        <v>3C4 Direct N2O from managed soils (N2O)</v>
      </c>
      <c r="C71" t="s">
        <v>410</v>
      </c>
      <c r="D71" t="str">
        <f t="shared" si="52"/>
        <v xml:space="preserve"> - Feedlot</v>
      </c>
      <c r="E71" t="str">
        <f t="shared" si="49"/>
        <v>Urine &amp; dung - Feedlot</v>
      </c>
      <c r="F71" t="str">
        <f t="shared" si="50"/>
        <v>kg N</v>
      </c>
      <c r="H71" s="22">
        <f>H10*Constants!$H68*(1-Constants!$H86)</f>
        <v>0</v>
      </c>
      <c r="I71" s="22">
        <f>I10*Constants!$H68*(1-Constants!$H86)</f>
        <v>0</v>
      </c>
      <c r="J71" s="22">
        <f>J10*Constants!$H68*(1-Constants!$H86)</f>
        <v>0</v>
      </c>
      <c r="K71" s="22">
        <f>K10*Constants!$H68*(1-Constants!$H86)</f>
        <v>0</v>
      </c>
      <c r="L71" s="22">
        <f>L10*Constants!$H68*(1-Constants!$H86)</f>
        <v>0</v>
      </c>
      <c r="M71" s="22">
        <f>M10*Constants!$H68*(1-Constants!$H86)</f>
        <v>0</v>
      </c>
      <c r="N71" s="22">
        <f>N10*Constants!$H68*(1-Constants!$H86)</f>
        <v>0</v>
      </c>
      <c r="O71" s="22">
        <f>O10*Constants!$H68*(1-Constants!$H86)</f>
        <v>0</v>
      </c>
      <c r="P71" s="22">
        <f>P10*Constants!$H68*(1-Constants!$H86)</f>
        <v>0</v>
      </c>
      <c r="Q71" s="22">
        <f>Q10*Constants!$H68*(1-Constants!$H86)</f>
        <v>0</v>
      </c>
      <c r="R71" s="22">
        <f>R10*Constants!$H68*(1-Constants!$H86)</f>
        <v>0</v>
      </c>
      <c r="S71" s="22">
        <f>S10*Constants!$H68*(1-Constants!$H86)</f>
        <v>0</v>
      </c>
      <c r="T71" s="22">
        <f>T10*Constants!$H68*(1-Constants!$H86)</f>
        <v>0</v>
      </c>
      <c r="U71" s="22">
        <f>U10*Constants!$H68*(1-Constants!$H86)</f>
        <v>0</v>
      </c>
      <c r="V71" s="22">
        <f>V10*Constants!$H68*(1-Constants!$H86)</f>
        <v>0</v>
      </c>
      <c r="W71" s="22">
        <f>W10*Constants!$H68*(1-Constants!$H86)</f>
        <v>0</v>
      </c>
      <c r="X71" s="22">
        <f>X10*Constants!$H68*(1-Constants!$H86)</f>
        <v>0</v>
      </c>
      <c r="Y71" s="22">
        <f>Y10*Constants!$H68*(1-Constants!$H86)</f>
        <v>0</v>
      </c>
      <c r="Z71" s="22">
        <f>Z10*Constants!$H68*(1-Constants!$H86)</f>
        <v>0</v>
      </c>
      <c r="AA71" s="22">
        <f>AA10*Constants!$H68*(1-Constants!$H86)</f>
        <v>0</v>
      </c>
      <c r="AB71" s="22">
        <f>AB10*Constants!$H68*(1-Constants!$H86)</f>
        <v>0</v>
      </c>
      <c r="AC71" s="22">
        <f>AC10*Constants!$H68*(1-Constants!$H86)</f>
        <v>0</v>
      </c>
      <c r="AD71" s="22">
        <f>AD10*Constants!$H68*(1-Constants!$H86)</f>
        <v>0</v>
      </c>
      <c r="AE71" s="22">
        <f>AE10*Constants!$H68*(1-Constants!$H86)</f>
        <v>0</v>
      </c>
      <c r="AF71" s="22">
        <f>AF10*Constants!$H68*(1-Constants!$H86)</f>
        <v>0</v>
      </c>
      <c r="AG71" s="22">
        <f>AG10*Constants!$H68*(1-Constants!$H86)</f>
        <v>0</v>
      </c>
      <c r="AH71" s="22">
        <f>AH10*Constants!$H68*(1-Constants!$H86)</f>
        <v>0</v>
      </c>
      <c r="AI71" s="22">
        <f>AI10*Constants!$H68*(1-Constants!$H86)</f>
        <v>0</v>
      </c>
      <c r="AJ71" s="22">
        <f>AJ10*Constants!$H68*(1-Constants!$H86)</f>
        <v>0</v>
      </c>
      <c r="AK71" s="22">
        <f>AK10*Constants!$H68*(1-Constants!$H86)</f>
        <v>0</v>
      </c>
      <c r="AL71" s="22">
        <f>AL10*Constants!$H68*(1-Constants!$H86)</f>
        <v>0</v>
      </c>
      <c r="AM71" s="22">
        <f>AM10*Constants!$H68*(1-Constants!$H86)</f>
        <v>0</v>
      </c>
      <c r="AN71" s="22">
        <f>AN10*Constants!$H68*(1-Constants!$H86)</f>
        <v>0</v>
      </c>
      <c r="AO71" s="22">
        <f>AO10*Constants!$H68*(1-Constants!$H86)</f>
        <v>0</v>
      </c>
      <c r="AP71" s="22">
        <f>AP10*Constants!$H68*(1-Constants!$H86)</f>
        <v>0</v>
      </c>
      <c r="AQ71" s="22">
        <f>AQ10*Constants!$H68*(1-Constants!$H86)</f>
        <v>0</v>
      </c>
      <c r="AR71" s="22">
        <f>AR10*Constants!$H68*(1-Constants!$H86)</f>
        <v>0</v>
      </c>
      <c r="AS71" s="22">
        <f>AS10*Constants!$H68*(1-Constants!$H86)</f>
        <v>0</v>
      </c>
      <c r="AT71" s="22">
        <f>AT10*Constants!$H68*(1-Constants!$H86)</f>
        <v>0</v>
      </c>
      <c r="AU71" s="22">
        <f>AU10*Constants!$H68*(1-Constants!$H86)</f>
        <v>0</v>
      </c>
      <c r="AV71" s="22">
        <f>AV10*Constants!$H68*(1-Constants!$H86)</f>
        <v>0</v>
      </c>
      <c r="AW71" s="22">
        <f>AW10*Constants!$H68*(1-Constants!$H86)</f>
        <v>0</v>
      </c>
      <c r="AX71" s="22">
        <f>AX10*Constants!$H68*(1-Constants!$H86)</f>
        <v>0</v>
      </c>
      <c r="AY71" s="22">
        <f>AY10*Constants!$H68*(1-Constants!$H86)</f>
        <v>0</v>
      </c>
      <c r="AZ71" s="22">
        <f>AZ10*Constants!$H68*(1-Constants!$H86)</f>
        <v>0</v>
      </c>
      <c r="BA71" s="22">
        <f>BA10*Constants!$H68*(1-Constants!$H86)</f>
        <v>0</v>
      </c>
      <c r="BB71" s="22">
        <f>BB10*Constants!$H68*(1-Constants!$H86)</f>
        <v>0</v>
      </c>
      <c r="BC71" s="22">
        <f>BC10*Constants!$H68*(1-Constants!$H86)</f>
        <v>0</v>
      </c>
      <c r="BD71" s="22">
        <f>BD10*Constants!$H68*(1-Constants!$H86)</f>
        <v>0</v>
      </c>
      <c r="BE71" s="22">
        <f>BE10*Constants!$H68*(1-Constants!$H86)</f>
        <v>0</v>
      </c>
      <c r="BF71" s="22">
        <f>BF10*Constants!$H68*(1-Constants!$H86)</f>
        <v>0</v>
      </c>
      <c r="BG71" s="22">
        <f>BG10*Constants!$H68*(1-Constants!$H86)</f>
        <v>0</v>
      </c>
      <c r="BH71" s="22">
        <f>BH10*Constants!$H68*(1-Constants!$H86)</f>
        <v>0</v>
      </c>
      <c r="BI71" s="22">
        <f>BI10*Constants!$H68*(1-Constants!$H86)</f>
        <v>0</v>
      </c>
      <c r="BJ71" s="22">
        <f>BJ10*Constants!$H68*(1-Constants!$H86)</f>
        <v>0</v>
      </c>
      <c r="BK71" s="22">
        <f>BK10*Constants!$H68*(1-Constants!$H86)</f>
        <v>0</v>
      </c>
      <c r="BL71" s="22">
        <f>BL10*Constants!$H68*(1-Constants!$H86)</f>
        <v>0</v>
      </c>
      <c r="BM71" s="22">
        <f>BM10*Constants!$H68*(1-Constants!$H86)</f>
        <v>0</v>
      </c>
      <c r="BN71" s="22">
        <f>BN10*Constants!$H68*(1-Constants!$H86)</f>
        <v>0</v>
      </c>
      <c r="BO71" s="22">
        <f>BO10*Constants!$H68*(1-Constants!$H86)</f>
        <v>0</v>
      </c>
      <c r="BP71" s="22">
        <f>BP10*Constants!$H68*(1-Constants!$H86)</f>
        <v>0</v>
      </c>
    </row>
    <row r="72" spans="1:68" x14ac:dyDescent="0.25">
      <c r="A72" t="str">
        <f t="shared" si="51"/>
        <v>3C Aggregated and non-CO2 emissions on land</v>
      </c>
      <c r="B72" t="str">
        <f t="shared" si="51"/>
        <v>3C4 Direct N2O from managed soils (N2O)</v>
      </c>
      <c r="C72" t="s">
        <v>410</v>
      </c>
      <c r="D72" t="str">
        <f t="shared" si="52"/>
        <v xml:space="preserve"> - Commercial sheep</v>
      </c>
      <c r="E72" t="str">
        <f t="shared" si="49"/>
        <v>Urine &amp; dung - Commercial sheep</v>
      </c>
      <c r="F72" t="str">
        <f t="shared" si="50"/>
        <v>kg N</v>
      </c>
      <c r="H72" s="22">
        <f>H11*Constants!$H69*(1-Constants!$H87)</f>
        <v>581876225.33466685</v>
      </c>
      <c r="I72" s="22">
        <f>I11*Constants!$H69*(1-Constants!$H87)</f>
        <v>555712272.17575133</v>
      </c>
      <c r="J72" s="22">
        <f>J11*Constants!$H69*(1-Constants!$H87)</f>
        <v>532750880.04889882</v>
      </c>
      <c r="K72" s="22">
        <f>K11*Constants!$H69*(1-Constants!$H87)</f>
        <v>498240858.74581867</v>
      </c>
      <c r="L72" s="22">
        <f>L11*Constants!$H69*(1-Constants!$H87)</f>
        <v>501753971.15068793</v>
      </c>
      <c r="M72" s="22">
        <f>M11*Constants!$H69*(1-Constants!$H87)</f>
        <v>494572470.65454638</v>
      </c>
      <c r="N72" s="22">
        <f>N11*Constants!$H69*(1-Constants!$H87)</f>
        <v>496222274.82257891</v>
      </c>
      <c r="O72" s="22">
        <f>O11*Constants!$H69*(1-Constants!$H87)</f>
        <v>485430614.61756623</v>
      </c>
      <c r="P72" s="22">
        <f>P11*Constants!$H69*(1-Constants!$H87)</f>
        <v>486769867.41279262</v>
      </c>
      <c r="Q72" s="22">
        <f>Q11*Constants!$H69*(1-Constants!$H87)</f>
        <v>474813639.55975699</v>
      </c>
      <c r="R72" s="22">
        <f>R11*Constants!$H69*(1-Constants!$H87)</f>
        <v>457791542.43782157</v>
      </c>
      <c r="S72" s="22">
        <f>S11*Constants!$H69*(1-Constants!$H87)</f>
        <v>446378779.48719668</v>
      </c>
      <c r="T72" s="22">
        <f>T11*Constants!$H69*(1-Constants!$H87)</f>
        <v>438925546.53984982</v>
      </c>
      <c r="U72" s="22">
        <f>U11*Constants!$H69*(1-Constants!$H87)</f>
        <v>440458893.94308001</v>
      </c>
      <c r="V72" s="22">
        <f>V11*Constants!$H69*(1-Constants!$H87)</f>
        <v>432617471.77972549</v>
      </c>
      <c r="W72" s="22">
        <f>W11*Constants!$H69*(1-Constants!$H87)</f>
        <v>431588770.35730517</v>
      </c>
      <c r="X72" s="22">
        <f>X11*Constants!$H69*(1-Constants!$H87)</f>
        <v>425940617.26439387</v>
      </c>
      <c r="Y72" s="22">
        <f>Y11*Constants!$H69*(1-Constants!$H87)</f>
        <v>425533018.58758587</v>
      </c>
      <c r="Z72" s="22">
        <f>Z11*Constants!$H69*(1-Constants!$H87)</f>
        <v>426911090.30441302</v>
      </c>
      <c r="AA72" s="22">
        <f>AA11*Constants!$H69*(1-Constants!$H87)</f>
        <v>425397152.36198318</v>
      </c>
      <c r="AB72" s="22">
        <f>AB11*Constants!$H69*(1-Constants!$H87)</f>
        <v>417167540.98262095</v>
      </c>
      <c r="AC72" s="22">
        <f>AC11*Constants!$H69*(1-Constants!$H87)</f>
        <v>413906751.56815672</v>
      </c>
      <c r="AD72" s="22">
        <f>AD11*Constants!$H69*(1-Constants!$H87)</f>
        <v>369135485.6125586</v>
      </c>
      <c r="AE72" s="22">
        <f>AE11*Constants!$H69*(1-Constants!$H87)</f>
        <v>369337067.34475148</v>
      </c>
      <c r="AF72" s="22">
        <f>AF11*Constants!$H69*(1-Constants!$H87)</f>
        <v>369788447.56568885</v>
      </c>
      <c r="AG72" s="22">
        <f>AG11*Constants!$H69*(1-Constants!$H87)</f>
        <v>370467869.55989969</v>
      </c>
      <c r="AH72" s="22">
        <f>AH11*Constants!$H69*(1-Constants!$H87)</f>
        <v>371384423.45800102</v>
      </c>
      <c r="AI72" s="22">
        <f>AI11*Constants!$H69*(1-Constants!$H87)</f>
        <v>372539081.81249624</v>
      </c>
      <c r="AJ72" s="22">
        <f>AJ11*Constants!$H69*(1-Constants!$H87)</f>
        <v>373825324.41144806</v>
      </c>
      <c r="AK72" s="22">
        <f>AK11*Constants!$H69*(1-Constants!$H87)</f>
        <v>375219318.6611709</v>
      </c>
      <c r="AL72" s="22">
        <f>AL11*Constants!$H69*(1-Constants!$H87)</f>
        <v>376529271.76882547</v>
      </c>
      <c r="AM72" s="22">
        <f>AM11*Constants!$H69*(1-Constants!$H87)</f>
        <v>377076464.54826838</v>
      </c>
      <c r="AN72" s="22">
        <f>AN11*Constants!$H69*(1-Constants!$H87)</f>
        <v>377711414.8886897</v>
      </c>
      <c r="AO72" s="22">
        <f>AO11*Constants!$H69*(1-Constants!$H87)</f>
        <v>378433992.59769666</v>
      </c>
      <c r="AP72" s="22">
        <f>AP11*Constants!$H69*(1-Constants!$H87)</f>
        <v>379247941.43532956</v>
      </c>
      <c r="AQ72" s="22">
        <f>AQ11*Constants!$H69*(1-Constants!$H87)</f>
        <v>380140212.59151369</v>
      </c>
      <c r="AR72" s="22">
        <f>AR11*Constants!$H69*(1-Constants!$H87)</f>
        <v>380689473.53590828</v>
      </c>
      <c r="AS72" s="22">
        <f>AS11*Constants!$H69*(1-Constants!$H87)</f>
        <v>381303009.35155845</v>
      </c>
      <c r="AT72" s="22">
        <f>AT11*Constants!$H69*(1-Constants!$H87)</f>
        <v>381983046.52643222</v>
      </c>
      <c r="AU72" s="22">
        <f>AU11*Constants!$H69*(1-Constants!$H87)</f>
        <v>382719136.69262737</v>
      </c>
      <c r="AV72" s="22">
        <f>AV11*Constants!$H69*(1-Constants!$H87)</f>
        <v>383513911.80810916</v>
      </c>
      <c r="AW72" s="22">
        <f>AW11*Constants!$H69*(1-Constants!$H87)</f>
        <v>384037127.07608914</v>
      </c>
      <c r="AX72" s="22">
        <f>AX11*Constants!$H69*(1-Constants!$H87)</f>
        <v>384615376.52096117</v>
      </c>
      <c r="AY72" s="22">
        <f>AY11*Constants!$H69*(1-Constants!$H87)</f>
        <v>385243459.65674478</v>
      </c>
      <c r="AZ72" s="22">
        <f>AZ11*Constants!$H69*(1-Constants!$H87)</f>
        <v>385850268.07199061</v>
      </c>
      <c r="BA72" s="22">
        <f>BA11*Constants!$H69*(1-Constants!$H87)</f>
        <v>383255980.40303892</v>
      </c>
      <c r="BB72" s="22">
        <f>BB11*Constants!$H69*(1-Constants!$H87)</f>
        <v>383624410.27178627</v>
      </c>
      <c r="BC72" s="22">
        <f>BC11*Constants!$H69*(1-Constants!$H87)</f>
        <v>384030974.45692343</v>
      </c>
      <c r="BD72" s="22">
        <f>BD11*Constants!$H69*(1-Constants!$H87)</f>
        <v>384474232.27597201</v>
      </c>
      <c r="BE72" s="22">
        <f>BE11*Constants!$H69*(1-Constants!$H87)</f>
        <v>384952854.40224075</v>
      </c>
      <c r="BF72" s="22">
        <f>BF11*Constants!$H69*(1-Constants!$H87)</f>
        <v>385465612.29800522</v>
      </c>
      <c r="BG72" s="22">
        <f>BG11*Constants!$H69*(1-Constants!$H87)</f>
        <v>385714454.16984743</v>
      </c>
      <c r="BH72" s="22">
        <f>BH11*Constants!$H69*(1-Constants!$H87)</f>
        <v>385993371.82826596</v>
      </c>
      <c r="BI72" s="22">
        <f>BI11*Constants!$H69*(1-Constants!$H87)</f>
        <v>386301318.56497568</v>
      </c>
      <c r="BJ72" s="22">
        <f>BJ11*Constants!$H69*(1-Constants!$H87)</f>
        <v>386637319.31226683</v>
      </c>
      <c r="BK72" s="22">
        <f>BK11*Constants!$H69*(1-Constants!$H87)</f>
        <v>387000464.55678821</v>
      </c>
      <c r="BL72" s="22">
        <f>BL11*Constants!$H69*(1-Constants!$H87)</f>
        <v>387090048.07123357</v>
      </c>
      <c r="BM72" s="22">
        <f>BM11*Constants!$H69*(1-Constants!$H87)</f>
        <v>387203722.31456107</v>
      </c>
      <c r="BN72" s="22">
        <f>BN11*Constants!$H69*(1-Constants!$H87)</f>
        <v>387340689.40228164</v>
      </c>
      <c r="BO72" s="22">
        <f>BO11*Constants!$H69*(1-Constants!$H87)</f>
        <v>387500200.17220271</v>
      </c>
      <c r="BP72" s="22">
        <f>BP11*Constants!$H69*(1-Constants!$H87)</f>
        <v>387681550.43760461</v>
      </c>
    </row>
    <row r="73" spans="1:68" x14ac:dyDescent="0.25">
      <c r="A73" t="str">
        <f t="shared" si="51"/>
        <v>3C Aggregated and non-CO2 emissions on land</v>
      </c>
      <c r="B73" t="str">
        <f t="shared" si="51"/>
        <v>3C4 Direct N2O from managed soils (N2O)</v>
      </c>
      <c r="C73" t="s">
        <v>410</v>
      </c>
      <c r="D73" t="str">
        <f t="shared" si="52"/>
        <v xml:space="preserve"> - Subsistence sheep</v>
      </c>
      <c r="E73" t="str">
        <f t="shared" si="49"/>
        <v>Urine &amp; dung - Subsistence sheep</v>
      </c>
      <c r="F73" t="str">
        <f t="shared" si="50"/>
        <v>kg N</v>
      </c>
      <c r="H73" s="22">
        <f>H12*Constants!$H70*(1-Constants!$H88)</f>
        <v>60666073.386478163</v>
      </c>
      <c r="I73" s="22">
        <f>I12*Constants!$H70*(1-Constants!$H88)</f>
        <v>57938235.002110019</v>
      </c>
      <c r="J73" s="22">
        <f>J12*Constants!$H70*(1-Constants!$H88)</f>
        <v>55544293.74935963</v>
      </c>
      <c r="K73" s="22">
        <f>K12*Constants!$H70*(1-Constants!$H88)</f>
        <v>51946299.203805812</v>
      </c>
      <c r="L73" s="22">
        <f>L12*Constants!$H70*(1-Constants!$H88)</f>
        <v>52312574.239095598</v>
      </c>
      <c r="M73" s="22">
        <f>M12*Constants!$H70*(1-Constants!$H88)</f>
        <v>51563835.216680013</v>
      </c>
      <c r="N73" s="22">
        <f>N12*Constants!$H70*(1-Constants!$H88)</f>
        <v>51735842.829937644</v>
      </c>
      <c r="O73" s="22">
        <f>O12*Constants!$H70*(1-Constants!$H88)</f>
        <v>50610710.677334763</v>
      </c>
      <c r="P73" s="22">
        <f>P12*Constants!$H70*(1-Constants!$H88)</f>
        <v>50750340.386920534</v>
      </c>
      <c r="Q73" s="22">
        <f>Q12*Constants!$H70*(1-Constants!$H88)</f>
        <v>49503791.095547549</v>
      </c>
      <c r="R73" s="22">
        <f>R12*Constants!$H70*(1-Constants!$H88)</f>
        <v>47729077.250524655</v>
      </c>
      <c r="S73" s="22">
        <f>S12*Constants!$H70*(1-Constants!$H88)</f>
        <v>46539189.29057771</v>
      </c>
      <c r="T73" s="22">
        <f>T12*Constants!$H70*(1-Constants!$H88)</f>
        <v>45762119.602449097</v>
      </c>
      <c r="U73" s="22">
        <f>U12*Constants!$H70*(1-Constants!$H88)</f>
        <v>45921985.501829728</v>
      </c>
      <c r="V73" s="22">
        <f>V12*Constants!$H70*(1-Constants!$H88)</f>
        <v>45104443.434111074</v>
      </c>
      <c r="W73" s="22">
        <f>W12*Constants!$H70*(1-Constants!$H88)</f>
        <v>44997191.628197499</v>
      </c>
      <c r="X73" s="22">
        <f>X12*Constants!$H70*(1-Constants!$H88)</f>
        <v>44408318.50516253</v>
      </c>
      <c r="Y73" s="22">
        <f>Y12*Constants!$H70*(1-Constants!$H88)</f>
        <v>44365822.506592996</v>
      </c>
      <c r="Z73" s="22">
        <f>Z12*Constants!$H70*(1-Constants!$H88)</f>
        <v>44509499.454137608</v>
      </c>
      <c r="AA73" s="22">
        <f>AA12*Constants!$H70*(1-Constants!$H88)</f>
        <v>44351657.173736483</v>
      </c>
      <c r="AB73" s="22">
        <f>AB12*Constants!$H70*(1-Constants!$H88)</f>
        <v>43493642.726427816</v>
      </c>
      <c r="AC73" s="22">
        <f>AC12*Constants!$H70*(1-Constants!$H88)</f>
        <v>43153674.737871543</v>
      </c>
      <c r="AD73" s="22">
        <f>AD12*Constants!$H70*(1-Constants!$H88)</f>
        <v>41206419.626259066</v>
      </c>
      <c r="AE73" s="22">
        <f>AE12*Constants!$H70*(1-Constants!$H88)</f>
        <v>41228922.09965834</v>
      </c>
      <c r="AF73" s="22">
        <f>AF12*Constants!$H70*(1-Constants!$H88)</f>
        <v>41279309.460180119</v>
      </c>
      <c r="AG73" s="22">
        <f>AG12*Constants!$H70*(1-Constants!$H88)</f>
        <v>41355153.015969127</v>
      </c>
      <c r="AH73" s="22">
        <f>AH12*Constants!$H70*(1-Constants!$H88)</f>
        <v>41457467.494005762</v>
      </c>
      <c r="AI73" s="22">
        <f>AI12*Constants!$H70*(1-Constants!$H88)</f>
        <v>41586361.459865861</v>
      </c>
      <c r="AJ73" s="22">
        <f>AJ12*Constants!$H70*(1-Constants!$H88)</f>
        <v>41729944.112684049</v>
      </c>
      <c r="AK73" s="22">
        <f>AK12*Constants!$H70*(1-Constants!$H88)</f>
        <v>41885555.03130205</v>
      </c>
      <c r="AL73" s="22">
        <f>AL12*Constants!$H70*(1-Constants!$H88)</f>
        <v>42031784.476989627</v>
      </c>
      <c r="AM73" s="22">
        <f>AM12*Constants!$H70*(1-Constants!$H88)</f>
        <v>42092867.348089814</v>
      </c>
      <c r="AN73" s="22">
        <f>AN12*Constants!$H70*(1-Constants!$H88)</f>
        <v>42163746.554205209</v>
      </c>
      <c r="AO73" s="22">
        <f>AO12*Constants!$H70*(1-Constants!$H88)</f>
        <v>42244407.562020563</v>
      </c>
      <c r="AP73" s="22">
        <f>AP12*Constants!$H70*(1-Constants!$H88)</f>
        <v>42335268.285698079</v>
      </c>
      <c r="AQ73" s="22">
        <f>AQ12*Constants!$H70*(1-Constants!$H88)</f>
        <v>42434872.092742309</v>
      </c>
      <c r="AR73" s="22">
        <f>AR12*Constants!$H70*(1-Constants!$H88)</f>
        <v>42496185.832117654</v>
      </c>
      <c r="AS73" s="22">
        <f>AS12*Constants!$H70*(1-Constants!$H88)</f>
        <v>42564674.544963732</v>
      </c>
      <c r="AT73" s="22">
        <f>AT12*Constants!$H70*(1-Constants!$H88)</f>
        <v>42640586.773079127</v>
      </c>
      <c r="AU73" s="22">
        <f>AU12*Constants!$H70*(1-Constants!$H88)</f>
        <v>42722756.17009785</v>
      </c>
      <c r="AV73" s="22">
        <f>AV12*Constants!$H70*(1-Constants!$H88)</f>
        <v>42811476.540242456</v>
      </c>
      <c r="AW73" s="22">
        <f>AW12*Constants!$H70*(1-Constants!$H88)</f>
        <v>42869882.813081466</v>
      </c>
      <c r="AX73" s="22">
        <f>AX12*Constants!$H70*(1-Constants!$H88)</f>
        <v>42934432.525051065</v>
      </c>
      <c r="AY73" s="22">
        <f>AY12*Constants!$H70*(1-Constants!$H88)</f>
        <v>43004545.148361519</v>
      </c>
      <c r="AZ73" s="22">
        <f>AZ12*Constants!$H70*(1-Constants!$H88)</f>
        <v>43072282.88468311</v>
      </c>
      <c r="BA73" s="22">
        <f>BA12*Constants!$H70*(1-Constants!$H88)</f>
        <v>42782683.77951809</v>
      </c>
      <c r="BB73" s="22">
        <f>BB12*Constants!$H70*(1-Constants!$H88)</f>
        <v>42823811.431467496</v>
      </c>
      <c r="BC73" s="22">
        <f>BC12*Constants!$H70*(1-Constants!$H88)</f>
        <v>42869195.999114707</v>
      </c>
      <c r="BD73" s="22">
        <f>BD12*Constants!$H70*(1-Constants!$H88)</f>
        <v>42918676.659756228</v>
      </c>
      <c r="BE73" s="22">
        <f>BE12*Constants!$H70*(1-Constants!$H88)</f>
        <v>42972105.02128239</v>
      </c>
      <c r="BF73" s="22">
        <f>BF12*Constants!$H70*(1-Constants!$H88)</f>
        <v>43029343.942608215</v>
      </c>
      <c r="BG73" s="22">
        <f>BG12*Constants!$H70*(1-Constants!$H88)</f>
        <v>43057122.043038465</v>
      </c>
      <c r="BH73" s="22">
        <f>BH12*Constants!$H70*(1-Constants!$H88)</f>
        <v>43088257.489295803</v>
      </c>
      <c r="BI73" s="22">
        <f>BI12*Constants!$H70*(1-Constants!$H88)</f>
        <v>43122633.437829554</v>
      </c>
      <c r="BJ73" s="22">
        <f>BJ12*Constants!$H70*(1-Constants!$H88)</f>
        <v>43160141.042292565</v>
      </c>
      <c r="BK73" s="22">
        <f>BK12*Constants!$H70*(1-Constants!$H88)</f>
        <v>43200678.774139702</v>
      </c>
      <c r="BL73" s="22">
        <f>BL12*Constants!$H70*(1-Constants!$H88)</f>
        <v>43210678.939476579</v>
      </c>
      <c r="BM73" s="22">
        <f>BM12*Constants!$H70*(1-Constants!$H88)</f>
        <v>43223368.341481574</v>
      </c>
      <c r="BN73" s="22">
        <f>BN12*Constants!$H70*(1-Constants!$H88)</f>
        <v>43238657.912686683</v>
      </c>
      <c r="BO73" s="22">
        <f>BO12*Constants!$H70*(1-Constants!$H88)</f>
        <v>43256464.024470717</v>
      </c>
      <c r="BP73" s="22">
        <f>BP12*Constants!$H70*(1-Constants!$H88)</f>
        <v>43276708.06880334</v>
      </c>
    </row>
    <row r="74" spans="1:68" x14ac:dyDescent="0.25">
      <c r="A74" t="str">
        <f t="shared" si="51"/>
        <v>3C Aggregated and non-CO2 emissions on land</v>
      </c>
      <c r="B74" t="str">
        <f t="shared" si="51"/>
        <v>3C4 Direct N2O from managed soils (N2O)</v>
      </c>
      <c r="C74" t="s">
        <v>410</v>
      </c>
      <c r="D74" t="str">
        <f t="shared" si="52"/>
        <v xml:space="preserve"> - Commercial goats</v>
      </c>
      <c r="E74" t="str">
        <f t="shared" si="49"/>
        <v>Urine &amp; dung - Commercial goats</v>
      </c>
      <c r="F74" t="str">
        <f t="shared" si="50"/>
        <v>kg N</v>
      </c>
      <c r="H74" s="22">
        <f>H13*Constants!$H71*(1-Constants!$H89)</f>
        <v>61206867.799308397</v>
      </c>
      <c r="I74" s="22">
        <f>I13*Constants!$H71*(1-Constants!$H89)</f>
        <v>54124169.686987571</v>
      </c>
      <c r="J74" s="22">
        <f>J13*Constants!$H71*(1-Constants!$H89)</f>
        <v>50417337.030071966</v>
      </c>
      <c r="K74" s="22">
        <f>K13*Constants!$H71*(1-Constants!$H89)</f>
        <v>47637212.537385285</v>
      </c>
      <c r="L74" s="22">
        <f>L13*Constants!$H71*(1-Constants!$H89)</f>
        <v>51564689.995307736</v>
      </c>
      <c r="M74" s="22">
        <f>M13*Constants!$H71*(1-Constants!$H89)</f>
        <v>52270753.358529769</v>
      </c>
      <c r="N74" s="22">
        <f>N13*Constants!$H71*(1-Constants!$H89)</f>
        <v>53087139.122255206</v>
      </c>
      <c r="O74" s="22">
        <f>O13*Constants!$H71*(1-Constants!$H89)</f>
        <v>52822365.361046962</v>
      </c>
      <c r="P74" s="22">
        <f>P13*Constants!$H71*(1-Constants!$H89)</f>
        <v>52072173.037623577</v>
      </c>
      <c r="Q74" s="22">
        <f>Q13*Constants!$H71*(1-Constants!$H89)</f>
        <v>51299916.234099507</v>
      </c>
      <c r="R74" s="22">
        <f>R13*Constants!$H71*(1-Constants!$H89)</f>
        <v>51961850.637120128</v>
      </c>
      <c r="S74" s="22">
        <f>S13*Constants!$H71*(1-Constants!$H89)</f>
        <v>53550493.204369679</v>
      </c>
      <c r="T74" s="22">
        <f>T13*Constants!$H71*(1-Constants!$H89)</f>
        <v>48894887.903124519</v>
      </c>
      <c r="U74" s="22">
        <f>U13*Constants!$H71*(1-Constants!$H89)</f>
        <v>47659277.017485984</v>
      </c>
      <c r="V74" s="22">
        <f>V13*Constants!$H71*(1-Constants!$H89)</f>
        <v>47747534.937888749</v>
      </c>
      <c r="W74" s="22">
        <f>W13*Constants!$H71*(1-Constants!$H89)</f>
        <v>47129729.495069467</v>
      </c>
      <c r="X74" s="22">
        <f>X13*Constants!$H71*(1-Constants!$H89)</f>
        <v>48122631.099600427</v>
      </c>
      <c r="Y74" s="22">
        <f>Y13*Constants!$H71*(1-Constants!$H89)</f>
        <v>46688439.893055715</v>
      </c>
      <c r="Z74" s="22">
        <f>Z13*Constants!$H71*(1-Constants!$H89)</f>
        <v>46644310.932854347</v>
      </c>
      <c r="AA74" s="22">
        <f>AA13*Constants!$H71*(1-Constants!$H89)</f>
        <v>45827925.16912888</v>
      </c>
      <c r="AB74" s="22">
        <f>AB13*Constants!$H71*(1-Constants!$H89)</f>
        <v>45276313.166611686</v>
      </c>
      <c r="AC74" s="22">
        <f>AC13*Constants!$H71*(1-Constants!$H89)</f>
        <v>44857088.044698618</v>
      </c>
      <c r="AD74" s="22">
        <f>AD13*Constants!$H71*(1-Constants!$H89)</f>
        <v>45629794.327855974</v>
      </c>
      <c r="AE74" s="22">
        <f>AE13*Constants!$H71*(1-Constants!$H89)</f>
        <v>45748807.639978088</v>
      </c>
      <c r="AF74" s="22">
        <f>AF13*Constants!$H71*(1-Constants!$H89)</f>
        <v>45907403.42073448</v>
      </c>
      <c r="AG74" s="22">
        <f>AG13*Constants!$H71*(1-Constants!$H89)</f>
        <v>46102055.774305969</v>
      </c>
      <c r="AH74" s="22">
        <f>AH13*Constants!$H71*(1-Constants!$H89)</f>
        <v>46335103.782920592</v>
      </c>
      <c r="AI74" s="22">
        <f>AI13*Constants!$H71*(1-Constants!$H89)</f>
        <v>46607167.615760647</v>
      </c>
      <c r="AJ74" s="22">
        <f>AJ13*Constants!$H71*(1-Constants!$H89)</f>
        <v>46898054.0095779</v>
      </c>
      <c r="AK74" s="22">
        <f>AK13*Constants!$H71*(1-Constants!$H89)</f>
        <v>47203603.527412668</v>
      </c>
      <c r="AL74" s="22">
        <f>AL13*Constants!$H71*(1-Constants!$H89)</f>
        <v>47487445.608961895</v>
      </c>
      <c r="AM74" s="22">
        <f>AM13*Constants!$H71*(1-Constants!$H89)</f>
        <v>47620462.656071112</v>
      </c>
      <c r="AN74" s="22">
        <f>AN13*Constants!$H71*(1-Constants!$H89)</f>
        <v>47766323.221550278</v>
      </c>
      <c r="AO74" s="22">
        <f>AO13*Constants!$H71*(1-Constants!$H89)</f>
        <v>47925212.406140119</v>
      </c>
      <c r="AP74" s="22">
        <f>AP13*Constants!$H71*(1-Constants!$H89)</f>
        <v>48098016.896379039</v>
      </c>
      <c r="AQ74" s="22">
        <f>AQ13*Constants!$H71*(1-Constants!$H89)</f>
        <v>48282410.078651823</v>
      </c>
      <c r="AR74" s="22">
        <f>AR13*Constants!$H71*(1-Constants!$H89)</f>
        <v>48398964.09205614</v>
      </c>
      <c r="AS74" s="22">
        <f>AS13*Constants!$H71*(1-Constants!$H89)</f>
        <v>48525069.607645944</v>
      </c>
      <c r="AT74" s="22">
        <f>AT13*Constants!$H71*(1-Constants!$H89)</f>
        <v>48661248.332113467</v>
      </c>
      <c r="AU74" s="22">
        <f>AU13*Constants!$H71*(1-Constants!$H89)</f>
        <v>48805625.490754403</v>
      </c>
      <c r="AV74" s="22">
        <f>AV13*Constants!$H71*(1-Constants!$H89)</f>
        <v>48958778.608114928</v>
      </c>
      <c r="AW74" s="22">
        <f>AW13*Constants!$H71*(1-Constants!$H89)</f>
        <v>49059083.730680324</v>
      </c>
      <c r="AX74" s="22">
        <f>AX13*Constants!$H71*(1-Constants!$H89)</f>
        <v>49167865.354960456</v>
      </c>
      <c r="AY74" s="22">
        <f>AY13*Constants!$H71*(1-Constants!$H89)</f>
        <v>49284203.852195784</v>
      </c>
      <c r="AZ74" s="22">
        <f>AZ13*Constants!$H71*(1-Constants!$H89)</f>
        <v>49394941.09914016</v>
      </c>
      <c r="BA74" s="22">
        <f>BA13*Constants!$H71*(1-Constants!$H89)</f>
        <v>48910858.814437889</v>
      </c>
      <c r="BB74" s="22">
        <f>BB13*Constants!$H71*(1-Constants!$H89)</f>
        <v>48975629.156508066</v>
      </c>
      <c r="BC74" s="22">
        <f>BC13*Constants!$H71*(1-Constants!$H89)</f>
        <v>49046207.134273015</v>
      </c>
      <c r="BD74" s="22">
        <f>BD13*Constants!$H71*(1-Constants!$H89)</f>
        <v>49122356.89481584</v>
      </c>
      <c r="BE74" s="22">
        <f>BE13*Constants!$H71*(1-Constants!$H89)</f>
        <v>49203860.879291877</v>
      </c>
      <c r="BF74" s="22">
        <f>BF13*Constants!$H71*(1-Constants!$H89)</f>
        <v>49290518.071305633</v>
      </c>
      <c r="BG74" s="22">
        <f>BG13*Constants!$H71*(1-Constants!$H89)</f>
        <v>49327715.533211641</v>
      </c>
      <c r="BH74" s="22">
        <f>BH13*Constants!$H71*(1-Constants!$H89)</f>
        <v>49369555.348697245</v>
      </c>
      <c r="BI74" s="22">
        <f>BI13*Constants!$H71*(1-Constants!$H89)</f>
        <v>49415862.501256548</v>
      </c>
      <c r="BJ74" s="22">
        <f>BJ13*Constants!$H71*(1-Constants!$H89)</f>
        <v>49466473.980927549</v>
      </c>
      <c r="BK74" s="22">
        <f>BK13*Constants!$H71*(1-Constants!$H89)</f>
        <v>49521237.755656987</v>
      </c>
      <c r="BL74" s="22">
        <f>BL13*Constants!$H71*(1-Constants!$H89)</f>
        <v>49525510.422154374</v>
      </c>
      <c r="BM74" s="22">
        <f>BM13*Constants!$H71*(1-Constants!$H89)</f>
        <v>49533582.908358663</v>
      </c>
      <c r="BN74" s="22">
        <f>BN13*Constants!$H71*(1-Constants!$H89)</f>
        <v>49545318.75109075</v>
      </c>
      <c r="BO74" s="22">
        <f>BO13*Constants!$H71*(1-Constants!$H89)</f>
        <v>49560589.839922771</v>
      </c>
      <c r="BP74" s="22">
        <f>BP13*Constants!$H71*(1-Constants!$H89)</f>
        <v>49579275.770071425</v>
      </c>
    </row>
    <row r="75" spans="1:68" x14ac:dyDescent="0.25">
      <c r="A75" t="str">
        <f t="shared" si="51"/>
        <v>3C Aggregated and non-CO2 emissions on land</v>
      </c>
      <c r="B75" t="str">
        <f t="shared" si="51"/>
        <v>3C4 Direct N2O from managed soils (N2O)</v>
      </c>
      <c r="C75" t="s">
        <v>410</v>
      </c>
      <c r="D75" t="str">
        <f t="shared" si="52"/>
        <v xml:space="preserve"> - Subsistence goats</v>
      </c>
      <c r="E75" t="str">
        <f t="shared" si="49"/>
        <v>Urine &amp; dung - Subsistence goats</v>
      </c>
      <c r="F75" t="str">
        <f t="shared" si="50"/>
        <v>kg N</v>
      </c>
      <c r="H75" s="22">
        <f>H14*Constants!$H72*(1-Constants!$H90)</f>
        <v>103073074.7293009</v>
      </c>
      <c r="I75" s="22">
        <f>I14*Constants!$H72*(1-Constants!$H90)</f>
        <v>91145729.023422912</v>
      </c>
      <c r="J75" s="22">
        <f>J14*Constants!$H72*(1-Constants!$H90)</f>
        <v>84903379.868944705</v>
      </c>
      <c r="K75" s="22">
        <f>K14*Constants!$H72*(1-Constants!$H90)</f>
        <v>80221618.003086045</v>
      </c>
      <c r="L75" s="22">
        <f>L14*Constants!$H72*(1-Constants!$H90)</f>
        <v>86835535.559616521</v>
      </c>
      <c r="M75" s="22">
        <f>M14*Constants!$H72*(1-Constants!$H90)</f>
        <v>88024554.446183816</v>
      </c>
      <c r="N75" s="22">
        <f>N14*Constants!$H72*(1-Constants!$H90)</f>
        <v>89399357.533777222</v>
      </c>
      <c r="O75" s="22">
        <f>O14*Constants!$H72*(1-Constants!$H90)</f>
        <v>88953475.451314494</v>
      </c>
      <c r="P75" s="22">
        <f>P14*Constants!$H72*(1-Constants!$H90)</f>
        <v>87690142.884336755</v>
      </c>
      <c r="Q75" s="22">
        <f>Q14*Constants!$H72*(1-Constants!$H90)</f>
        <v>86389653.477153808</v>
      </c>
      <c r="R75" s="22">
        <f>R14*Constants!$H72*(1-Constants!$H90)</f>
        <v>87504358.683310628</v>
      </c>
      <c r="S75" s="22">
        <f>S14*Constants!$H72*(1-Constants!$H90)</f>
        <v>90179651.178086996</v>
      </c>
      <c r="T75" s="22">
        <f>T14*Constants!$H72*(1-Constants!$H90)</f>
        <v>82339557.894784003</v>
      </c>
      <c r="U75" s="22">
        <f>U14*Constants!$H72*(1-Constants!$H90)</f>
        <v>80258774.843291268</v>
      </c>
      <c r="V75" s="22">
        <f>V14*Constants!$H72*(1-Constants!$H90)</f>
        <v>80407402.204112172</v>
      </c>
      <c r="W75" s="22">
        <f>W14*Constants!$H72*(1-Constants!$H90)</f>
        <v>79367010.678365812</v>
      </c>
      <c r="X75" s="22">
        <f>X14*Constants!$H72*(1-Constants!$H90)</f>
        <v>81039068.487601057</v>
      </c>
      <c r="Y75" s="22">
        <f>Y14*Constants!$H72*(1-Constants!$H90)</f>
        <v>78623873.874261275</v>
      </c>
      <c r="Z75" s="22">
        <f>Z14*Constants!$H72*(1-Constants!$H90)</f>
        <v>78549560.1938508</v>
      </c>
      <c r="AA75" s="22">
        <f>AA14*Constants!$H72*(1-Constants!$H90)</f>
        <v>77174757.106257394</v>
      </c>
      <c r="AB75" s="22">
        <f>AB14*Constants!$H72*(1-Constants!$H90)</f>
        <v>76245836.101126716</v>
      </c>
      <c r="AC75" s="22">
        <f>AC14*Constants!$H72*(1-Constants!$H90)</f>
        <v>75539856.137227386</v>
      </c>
      <c r="AD75" s="22">
        <f>AD14*Constants!$H72*(1-Constants!$H90)</f>
        <v>75516382.751763374</v>
      </c>
      <c r="AE75" s="22">
        <f>AE14*Constants!$H72*(1-Constants!$H90)</f>
        <v>75713347.365852863</v>
      </c>
      <c r="AF75" s="22">
        <f>AF14*Constants!$H72*(1-Constants!$H90)</f>
        <v>75975820.161508277</v>
      </c>
      <c r="AG75" s="22">
        <f>AG14*Constants!$H72*(1-Constants!$H90)</f>
        <v>76297965.852769122</v>
      </c>
      <c r="AH75" s="22">
        <f>AH14*Constants!$H72*(1-Constants!$H90)</f>
        <v>76683655.573209837</v>
      </c>
      <c r="AI75" s="22">
        <f>AI14*Constants!$H72*(1-Constants!$H90)</f>
        <v>77133915.690229893</v>
      </c>
      <c r="AJ75" s="22">
        <f>AJ14*Constants!$H72*(1-Constants!$H90)</f>
        <v>77615326.763331592</v>
      </c>
      <c r="AK75" s="22">
        <f>AK14*Constants!$H72*(1-Constants!$H90)</f>
        <v>78121005.008835793</v>
      </c>
      <c r="AL75" s="22">
        <f>AL14*Constants!$H72*(1-Constants!$H90)</f>
        <v>78590757.888222396</v>
      </c>
      <c r="AM75" s="22">
        <f>AM14*Constants!$H72*(1-Constants!$H90)</f>
        <v>78810898.39926292</v>
      </c>
      <c r="AN75" s="22">
        <f>AN14*Constants!$H72*(1-Constants!$H90)</f>
        <v>79052294.672320172</v>
      </c>
      <c r="AO75" s="22">
        <f>AO14*Constants!$H72*(1-Constants!$H90)</f>
        <v>79315253.045360148</v>
      </c>
      <c r="AP75" s="22">
        <f>AP14*Constants!$H72*(1-Constants!$H90)</f>
        <v>79601240.966592982</v>
      </c>
      <c r="AQ75" s="22">
        <f>AQ14*Constants!$H72*(1-Constants!$H90)</f>
        <v>79906407.937745139</v>
      </c>
      <c r="AR75" s="22">
        <f>AR14*Constants!$H72*(1-Constants!$H90)</f>
        <v>80099302.462411493</v>
      </c>
      <c r="AS75" s="22">
        <f>AS14*Constants!$H72*(1-Constants!$H90)</f>
        <v>80308004.529178739</v>
      </c>
      <c r="AT75" s="22">
        <f>AT14*Constants!$H72*(1-Constants!$H90)</f>
        <v>80533377.552025318</v>
      </c>
      <c r="AU75" s="22">
        <f>AU14*Constants!$H72*(1-Constants!$H90)</f>
        <v>80772318.816897169</v>
      </c>
      <c r="AV75" s="22">
        <f>AV14*Constants!$H72*(1-Constants!$H90)</f>
        <v>81025784.115187198</v>
      </c>
      <c r="AW75" s="22">
        <f>AW14*Constants!$H72*(1-Constants!$H90)</f>
        <v>81191787.055572733</v>
      </c>
      <c r="AX75" s="22">
        <f>AX14*Constants!$H72*(1-Constants!$H90)</f>
        <v>81371818.434116155</v>
      </c>
      <c r="AY75" s="22">
        <f>AY14*Constants!$H72*(1-Constants!$H90)</f>
        <v>81564356.283900529</v>
      </c>
      <c r="AZ75" s="22">
        <f>AZ14*Constants!$H72*(1-Constants!$H90)</f>
        <v>81747624.178229451</v>
      </c>
      <c r="BA75" s="22">
        <f>BA14*Constants!$H72*(1-Constants!$H90)</f>
        <v>80946477.830028445</v>
      </c>
      <c r="BB75" s="22">
        <f>BB14*Constants!$H72*(1-Constants!$H90)</f>
        <v>81053671.430498987</v>
      </c>
      <c r="BC75" s="22">
        <f>BC14*Constants!$H72*(1-Constants!$H90)</f>
        <v>81170476.550076097</v>
      </c>
      <c r="BD75" s="22">
        <f>BD14*Constants!$H72*(1-Constants!$H90)</f>
        <v>81296502.856973052</v>
      </c>
      <c r="BE75" s="22">
        <f>BE14*Constants!$H72*(1-Constants!$H90)</f>
        <v>81431390.295721129</v>
      </c>
      <c r="BF75" s="22">
        <f>BF14*Constants!$H72*(1-Constants!$H90)</f>
        <v>81574806.188268974</v>
      </c>
      <c r="BG75" s="22">
        <f>BG14*Constants!$H72*(1-Constants!$H90)</f>
        <v>81636367.232145384</v>
      </c>
      <c r="BH75" s="22">
        <f>BH14*Constants!$H72*(1-Constants!$H90)</f>
        <v>81705611.276897624</v>
      </c>
      <c r="BI75" s="22">
        <f>BI14*Constants!$H72*(1-Constants!$H90)</f>
        <v>81782248.673763514</v>
      </c>
      <c r="BJ75" s="22">
        <f>BJ14*Constants!$H72*(1-Constants!$H90)</f>
        <v>81866009.644567087</v>
      </c>
      <c r="BK75" s="22">
        <f>BK14*Constants!$H72*(1-Constants!$H90)</f>
        <v>81956642.579348341</v>
      </c>
      <c r="BL75" s="22">
        <f>BL14*Constants!$H72*(1-Constants!$H90)</f>
        <v>81963713.755612463</v>
      </c>
      <c r="BM75" s="22">
        <f>BM14*Constants!$H72*(1-Constants!$H90)</f>
        <v>81977073.556307182</v>
      </c>
      <c r="BN75" s="22">
        <f>BN14*Constants!$H72*(1-Constants!$H90)</f>
        <v>81996496.137643039</v>
      </c>
      <c r="BO75" s="22">
        <f>BO14*Constants!$H72*(1-Constants!$H90)</f>
        <v>82021769.479464158</v>
      </c>
      <c r="BP75" s="22">
        <f>BP14*Constants!$H72*(1-Constants!$H90)</f>
        <v>82052694.314299911</v>
      </c>
    </row>
    <row r="76" spans="1:68" x14ac:dyDescent="0.25">
      <c r="A76" t="str">
        <f t="shared" si="51"/>
        <v>3C Aggregated and non-CO2 emissions on land</v>
      </c>
      <c r="B76" t="str">
        <f t="shared" si="51"/>
        <v>3C4 Direct N2O from managed soils (N2O)</v>
      </c>
      <c r="C76" t="s">
        <v>410</v>
      </c>
      <c r="D76" t="str">
        <f t="shared" si="52"/>
        <v xml:space="preserve"> - Horses</v>
      </c>
      <c r="E76" t="str">
        <f t="shared" si="49"/>
        <v>Urine &amp; dung - Horses</v>
      </c>
      <c r="F76" t="str">
        <f t="shared" si="50"/>
        <v>kg N</v>
      </c>
      <c r="H76" s="22">
        <f>H15*Constants!$H73*(1-Constants!$H91)</f>
        <v>9085000</v>
      </c>
      <c r="I76" s="22">
        <f>I15*Constants!$H73*(1-Constants!$H91)</f>
        <v>9085000</v>
      </c>
      <c r="J76" s="22">
        <f>J15*Constants!$H73*(1-Constants!$H91)</f>
        <v>9085000</v>
      </c>
      <c r="K76" s="22">
        <f>K15*Constants!$H73*(1-Constants!$H91)</f>
        <v>9282500</v>
      </c>
      <c r="L76" s="22">
        <f>L15*Constants!$H73*(1-Constants!$H91)</f>
        <v>9480000</v>
      </c>
      <c r="M76" s="22">
        <f>M15*Constants!$H73*(1-Constants!$H91)</f>
        <v>9677500</v>
      </c>
      <c r="N76" s="22">
        <f>N15*Constants!$H73*(1-Constants!$H91)</f>
        <v>9875000</v>
      </c>
      <c r="O76" s="22">
        <f>O15*Constants!$H73*(1-Constants!$H91)</f>
        <v>10072500</v>
      </c>
      <c r="P76" s="22">
        <f>P15*Constants!$H73*(1-Constants!$H91)</f>
        <v>10270000</v>
      </c>
      <c r="Q76" s="22">
        <f>Q15*Constants!$H73*(1-Constants!$H91)</f>
        <v>10191000</v>
      </c>
      <c r="R76" s="22">
        <f>R15*Constants!$H73*(1-Constants!$H91)</f>
        <v>10665000</v>
      </c>
      <c r="S76" s="22">
        <f>S15*Constants!$H73*(1-Constants!$H91)</f>
        <v>10665000</v>
      </c>
      <c r="T76" s="22">
        <f>T15*Constants!$H73*(1-Constants!$H91)</f>
        <v>10665000</v>
      </c>
      <c r="U76" s="22">
        <f>U15*Constants!$H73*(1-Constants!$H91)</f>
        <v>10665000</v>
      </c>
      <c r="V76" s="22">
        <f>V15*Constants!$H73*(1-Constants!$H91)</f>
        <v>10665000</v>
      </c>
      <c r="W76" s="22">
        <f>W15*Constants!$H73*(1-Constants!$H91)</f>
        <v>10665000</v>
      </c>
      <c r="X76" s="22">
        <f>X15*Constants!$H73*(1-Constants!$H91)</f>
        <v>11060000</v>
      </c>
      <c r="Y76" s="22">
        <f>Y15*Constants!$H73*(1-Constants!$H91)</f>
        <v>11455000</v>
      </c>
      <c r="Z76" s="22">
        <f>Z15*Constants!$H73*(1-Constants!$H91)</f>
        <v>11771000</v>
      </c>
      <c r="AA76" s="22">
        <f>AA15*Constants!$H73*(1-Constants!$H91)</f>
        <v>11850000</v>
      </c>
      <c r="AB76" s="22">
        <f>AB15*Constants!$H73*(1-Constants!$H91)</f>
        <v>11850000</v>
      </c>
      <c r="AC76" s="22">
        <f>AC15*Constants!$H73*(1-Constants!$H91)</f>
        <v>12047500</v>
      </c>
      <c r="AD76" s="22">
        <f>AD15*Constants!$H73*(1-Constants!$H91)</f>
        <v>12222271.643894736</v>
      </c>
      <c r="AE76" s="22">
        <f>AE15*Constants!$H73*(1-Constants!$H91)</f>
        <v>12293901.19168427</v>
      </c>
      <c r="AF76" s="22">
        <f>AF15*Constants!$H73*(1-Constants!$H91)</f>
        <v>12311548.854216056</v>
      </c>
      <c r="AG76" s="22">
        <f>AG15*Constants!$H73*(1-Constants!$H91)</f>
        <v>12257635.740155024</v>
      </c>
      <c r="AH76" s="22">
        <f>AH15*Constants!$H73*(1-Constants!$H91)</f>
        <v>12200596.144890187</v>
      </c>
      <c r="AI76" s="22">
        <f>AI15*Constants!$H73*(1-Constants!$H91)</f>
        <v>12173457.945863631</v>
      </c>
      <c r="AJ76" s="22">
        <f>AJ15*Constants!$H73*(1-Constants!$H91)</f>
        <v>12155357.976024419</v>
      </c>
      <c r="AK76" s="22">
        <f>AK15*Constants!$H73*(1-Constants!$H91)</f>
        <v>12068052.719760017</v>
      </c>
      <c r="AL76" s="22">
        <f>AL15*Constants!$H73*(1-Constants!$H91)</f>
        <v>11362645.016380876</v>
      </c>
      <c r="AM76" s="22">
        <f>AM15*Constants!$H73*(1-Constants!$H91)</f>
        <v>11462541.215280216</v>
      </c>
      <c r="AN76" s="22">
        <f>AN15*Constants!$H73*(1-Constants!$H91)</f>
        <v>11544344.582553202</v>
      </c>
      <c r="AO76" s="22">
        <f>AO15*Constants!$H73*(1-Constants!$H91)</f>
        <v>11624494.262445839</v>
      </c>
      <c r="AP76" s="22">
        <f>AP15*Constants!$H73*(1-Constants!$H91)</f>
        <v>11728404.41072976</v>
      </c>
      <c r="AQ76" s="22">
        <f>AQ15*Constants!$H73*(1-Constants!$H91)</f>
        <v>11830414.017373018</v>
      </c>
      <c r="AR76" s="22">
        <f>AR15*Constants!$H73*(1-Constants!$H91)</f>
        <v>11947275.214007586</v>
      </c>
      <c r="AS76" s="22">
        <f>AS15*Constants!$H73*(1-Constants!$H91)</f>
        <v>12056529.415325101</v>
      </c>
      <c r="AT76" s="22">
        <f>AT15*Constants!$H73*(1-Constants!$H91)</f>
        <v>12174054.052177394</v>
      </c>
      <c r="AU76" s="22">
        <f>AU15*Constants!$H73*(1-Constants!$H91)</f>
        <v>12278339.06606316</v>
      </c>
      <c r="AV76" s="22">
        <f>AV15*Constants!$H73*(1-Constants!$H91)</f>
        <v>12384560.291508216</v>
      </c>
      <c r="AW76" s="22">
        <f>AW15*Constants!$H73*(1-Constants!$H91)</f>
        <v>12531678.133376228</v>
      </c>
      <c r="AX76" s="22">
        <f>AX15*Constants!$H73*(1-Constants!$H91)</f>
        <v>12692217.779104719</v>
      </c>
      <c r="AY76" s="22">
        <f>AY15*Constants!$H73*(1-Constants!$H91)</f>
        <v>12857299.331987049</v>
      </c>
      <c r="AZ76" s="22">
        <f>AZ15*Constants!$H73*(1-Constants!$H91)</f>
        <v>12833816.285814587</v>
      </c>
      <c r="BA76" s="22">
        <f>BA15*Constants!$H73*(1-Constants!$H91)</f>
        <v>3797311.5168202543</v>
      </c>
      <c r="BB76" s="22">
        <f>BB15*Constants!$H73*(1-Constants!$H91)</f>
        <v>3797311.5168202543</v>
      </c>
      <c r="BC76" s="22">
        <f>BC15*Constants!$H73*(1-Constants!$H91)</f>
        <v>3797311.5168202543</v>
      </c>
      <c r="BD76" s="22">
        <f>BD15*Constants!$H73*(1-Constants!$H91)</f>
        <v>3797311.5168202543</v>
      </c>
      <c r="BE76" s="22">
        <f>BE15*Constants!$H73*(1-Constants!$H91)</f>
        <v>3797311.5168202543</v>
      </c>
      <c r="BF76" s="22">
        <f>BF15*Constants!$H73*(1-Constants!$H91)</f>
        <v>3797311.5168202543</v>
      </c>
      <c r="BG76" s="22">
        <f>BG15*Constants!$H73*(1-Constants!$H91)</f>
        <v>3797311.5168202543</v>
      </c>
      <c r="BH76" s="22">
        <f>BH15*Constants!$H73*(1-Constants!$H91)</f>
        <v>3797311.5168202543</v>
      </c>
      <c r="BI76" s="22">
        <f>BI15*Constants!$H73*(1-Constants!$H91)</f>
        <v>3797311.5168202543</v>
      </c>
      <c r="BJ76" s="22">
        <f>BJ15*Constants!$H73*(1-Constants!$H91)</f>
        <v>3797311.5168202543</v>
      </c>
      <c r="BK76" s="22">
        <f>BK15*Constants!$H73*(1-Constants!$H91)</f>
        <v>3797311.5168202543</v>
      </c>
      <c r="BL76" s="22">
        <f>BL15*Constants!$H73*(1-Constants!$H91)</f>
        <v>3797311.5168202543</v>
      </c>
      <c r="BM76" s="22">
        <f>BM15*Constants!$H73*(1-Constants!$H91)</f>
        <v>3797311.5168202543</v>
      </c>
      <c r="BN76" s="22">
        <f>BN15*Constants!$H73*(1-Constants!$H91)</f>
        <v>3797311.5168202543</v>
      </c>
      <c r="BO76" s="22">
        <f>BO15*Constants!$H73*(1-Constants!$H91)</f>
        <v>3797311.5168202543</v>
      </c>
      <c r="BP76" s="22">
        <f>BP15*Constants!$H73*(1-Constants!$H91)</f>
        <v>3797311.5168202543</v>
      </c>
    </row>
    <row r="77" spans="1:68" x14ac:dyDescent="0.25">
      <c r="A77" t="str">
        <f t="shared" si="51"/>
        <v>3C Aggregated and non-CO2 emissions on land</v>
      </c>
      <c r="B77" t="str">
        <f t="shared" si="51"/>
        <v>3C4 Direct N2O from managed soils (N2O)</v>
      </c>
      <c r="C77" t="s">
        <v>410</v>
      </c>
      <c r="D77" t="str">
        <f t="shared" si="52"/>
        <v xml:space="preserve"> - Mules &amp; Asses</v>
      </c>
      <c r="E77" t="str">
        <f t="shared" si="49"/>
        <v>Urine &amp; dung - Mules &amp; Asses</v>
      </c>
      <c r="F77" t="str">
        <f t="shared" si="50"/>
        <v>kg N</v>
      </c>
      <c r="H77" s="22">
        <f>H16*Constants!$H74*(1-Constants!$H92)</f>
        <v>2956800</v>
      </c>
      <c r="I77" s="22">
        <f>I16*Constants!$H74*(1-Constants!$H92)</f>
        <v>2956800</v>
      </c>
      <c r="J77" s="22">
        <f>J16*Constants!$H74*(1-Constants!$H92)</f>
        <v>2956800</v>
      </c>
      <c r="K77" s="22">
        <f>K16*Constants!$H74*(1-Constants!$H92)</f>
        <v>2956800</v>
      </c>
      <c r="L77" s="22">
        <f>L16*Constants!$H74*(1-Constants!$H92)</f>
        <v>2956800</v>
      </c>
      <c r="M77" s="22">
        <f>M16*Constants!$H74*(1-Constants!$H92)</f>
        <v>2956800</v>
      </c>
      <c r="N77" s="22">
        <f>N16*Constants!$H74*(1-Constants!$H92)</f>
        <v>2956800</v>
      </c>
      <c r="O77" s="22">
        <f>O16*Constants!$H74*(1-Constants!$H92)</f>
        <v>2956800</v>
      </c>
      <c r="P77" s="22">
        <f>P16*Constants!$H74*(1-Constants!$H92)</f>
        <v>2956800</v>
      </c>
      <c r="Q77" s="22">
        <f>Q16*Constants!$H74*(1-Constants!$H92)</f>
        <v>2956800</v>
      </c>
      <c r="R77" s="22">
        <f>R16*Constants!$H74*(1-Constants!$H92)</f>
        <v>2164800</v>
      </c>
      <c r="S77" s="22">
        <f>S16*Constants!$H74*(1-Constants!$H92)</f>
        <v>2164800</v>
      </c>
      <c r="T77" s="22">
        <f>T16*Constants!$H74*(1-Constants!$H92)</f>
        <v>2164800</v>
      </c>
      <c r="U77" s="22">
        <f>U16*Constants!$H74*(1-Constants!$H92)</f>
        <v>2164800</v>
      </c>
      <c r="V77" s="22">
        <f>V16*Constants!$H74*(1-Constants!$H92)</f>
        <v>2164800</v>
      </c>
      <c r="W77" s="22">
        <f>W16*Constants!$H74*(1-Constants!$H92)</f>
        <v>2164800</v>
      </c>
      <c r="X77" s="22">
        <f>X16*Constants!$H74*(1-Constants!$H92)</f>
        <v>2165460</v>
      </c>
      <c r="Y77" s="22">
        <f>Y16*Constants!$H74*(1-Constants!$H92)</f>
        <v>2172720</v>
      </c>
      <c r="Z77" s="22">
        <f>Z16*Constants!$H74*(1-Constants!$H92)</f>
        <v>2174040</v>
      </c>
      <c r="AA77" s="22">
        <f>AA16*Constants!$H74*(1-Constants!$H92)</f>
        <v>2175360</v>
      </c>
      <c r="AB77" s="22">
        <f>AB16*Constants!$H74*(1-Constants!$H92)</f>
        <v>2195160</v>
      </c>
      <c r="AC77" s="22">
        <f>AC16*Constants!$H74*(1-Constants!$H92)</f>
        <v>2204400</v>
      </c>
      <c r="AD77" s="22">
        <f>AD16*Constants!$H74*(1-Constants!$H92)</f>
        <v>2204400</v>
      </c>
      <c r="AE77" s="22">
        <f>AE16*Constants!$H74*(1-Constants!$H92)</f>
        <v>2204400</v>
      </c>
      <c r="AF77" s="22">
        <f>AF16*Constants!$H74*(1-Constants!$H92)</f>
        <v>2204400</v>
      </c>
      <c r="AG77" s="22">
        <f>AG16*Constants!$H74*(1-Constants!$H92)</f>
        <v>2204400</v>
      </c>
      <c r="AH77" s="22">
        <f>AH16*Constants!$H74*(1-Constants!$H92)</f>
        <v>2204400</v>
      </c>
      <c r="AI77" s="22">
        <f>AI16*Constants!$H74*(1-Constants!$H92)</f>
        <v>2204400</v>
      </c>
      <c r="AJ77" s="22">
        <f>AJ16*Constants!$H74*(1-Constants!$H92)</f>
        <v>2204400</v>
      </c>
      <c r="AK77" s="22">
        <f>AK16*Constants!$H74*(1-Constants!$H92)</f>
        <v>2204400</v>
      </c>
      <c r="AL77" s="22">
        <f>AL16*Constants!$H74*(1-Constants!$H92)</f>
        <v>2204400</v>
      </c>
      <c r="AM77" s="22">
        <f>AM16*Constants!$H74*(1-Constants!$H92)</f>
        <v>2204400</v>
      </c>
      <c r="AN77" s="22">
        <f>AN16*Constants!$H74*(1-Constants!$H92)</f>
        <v>2204400</v>
      </c>
      <c r="AO77" s="22">
        <f>AO16*Constants!$H74*(1-Constants!$H92)</f>
        <v>2204400</v>
      </c>
      <c r="AP77" s="22">
        <f>AP16*Constants!$H74*(1-Constants!$H92)</f>
        <v>2204400</v>
      </c>
      <c r="AQ77" s="22">
        <f>AQ16*Constants!$H74*(1-Constants!$H92)</f>
        <v>2204400</v>
      </c>
      <c r="AR77" s="22">
        <f>AR16*Constants!$H74*(1-Constants!$H92)</f>
        <v>2204400</v>
      </c>
      <c r="AS77" s="22">
        <f>AS16*Constants!$H74*(1-Constants!$H92)</f>
        <v>2204400</v>
      </c>
      <c r="AT77" s="22">
        <f>AT16*Constants!$H74*(1-Constants!$H92)</f>
        <v>2204400</v>
      </c>
      <c r="AU77" s="22">
        <f>AU16*Constants!$H74*(1-Constants!$H92)</f>
        <v>2204400</v>
      </c>
      <c r="AV77" s="22">
        <f>AV16*Constants!$H74*(1-Constants!$H92)</f>
        <v>2204400</v>
      </c>
      <c r="AW77" s="22">
        <f>AW16*Constants!$H74*(1-Constants!$H92)</f>
        <v>2204400</v>
      </c>
      <c r="AX77" s="22">
        <f>AX16*Constants!$H74*(1-Constants!$H92)</f>
        <v>2204400</v>
      </c>
      <c r="AY77" s="22">
        <f>AY16*Constants!$H74*(1-Constants!$H92)</f>
        <v>2204400</v>
      </c>
      <c r="AZ77" s="22">
        <f>AZ16*Constants!$H74*(1-Constants!$H92)</f>
        <v>2204400</v>
      </c>
      <c r="BA77" s="22">
        <f>BA16*Constants!$H74*(1-Constants!$H92)</f>
        <v>2204400</v>
      </c>
      <c r="BB77" s="22">
        <f>BB16*Constants!$H74*(1-Constants!$H92)</f>
        <v>2204400</v>
      </c>
      <c r="BC77" s="22">
        <f>BC16*Constants!$H74*(1-Constants!$H92)</f>
        <v>2204400</v>
      </c>
      <c r="BD77" s="22">
        <f>BD16*Constants!$H74*(1-Constants!$H92)</f>
        <v>2204400</v>
      </c>
      <c r="BE77" s="22">
        <f>BE16*Constants!$H74*(1-Constants!$H92)</f>
        <v>2204400</v>
      </c>
      <c r="BF77" s="22">
        <f>BF16*Constants!$H74*(1-Constants!$H92)</f>
        <v>2204400</v>
      </c>
      <c r="BG77" s="22">
        <f>BG16*Constants!$H74*(1-Constants!$H92)</f>
        <v>2204400</v>
      </c>
      <c r="BH77" s="22">
        <f>BH16*Constants!$H74*(1-Constants!$H92)</f>
        <v>2204400</v>
      </c>
      <c r="BI77" s="22">
        <f>BI16*Constants!$H74*(1-Constants!$H92)</f>
        <v>2204400</v>
      </c>
      <c r="BJ77" s="22">
        <f>BJ16*Constants!$H74*(1-Constants!$H92)</f>
        <v>2204400</v>
      </c>
      <c r="BK77" s="22">
        <f>BK16*Constants!$H74*(1-Constants!$H92)</f>
        <v>2204400</v>
      </c>
      <c r="BL77" s="22">
        <f>BL16*Constants!$H74*(1-Constants!$H92)</f>
        <v>2204400</v>
      </c>
      <c r="BM77" s="22">
        <f>BM16*Constants!$H74*(1-Constants!$H92)</f>
        <v>2204400</v>
      </c>
      <c r="BN77" s="22">
        <f>BN16*Constants!$H74*(1-Constants!$H92)</f>
        <v>2204400</v>
      </c>
      <c r="BO77" s="22">
        <f>BO16*Constants!$H74*(1-Constants!$H92)</f>
        <v>2204400</v>
      </c>
      <c r="BP77" s="22">
        <f>BP16*Constants!$H74*(1-Constants!$H92)</f>
        <v>2204400</v>
      </c>
    </row>
    <row r="78" spans="1:68" x14ac:dyDescent="0.25">
      <c r="A78" t="str">
        <f t="shared" si="51"/>
        <v>3C Aggregated and non-CO2 emissions on land</v>
      </c>
      <c r="B78" t="str">
        <f t="shared" si="51"/>
        <v>3C4 Direct N2O from managed soils (N2O)</v>
      </c>
      <c r="C78" t="s">
        <v>410</v>
      </c>
      <c r="D78" t="str">
        <f t="shared" si="52"/>
        <v xml:space="preserve"> - Commercial swine</v>
      </c>
      <c r="E78" t="str">
        <f t="shared" si="49"/>
        <v>Urine &amp; dung - Commercial swine</v>
      </c>
      <c r="F78" t="str">
        <f t="shared" si="50"/>
        <v>kg N</v>
      </c>
      <c r="H78" s="22">
        <f>H17*Constants!$H75*(1-Constants!$H93)</f>
        <v>0</v>
      </c>
      <c r="I78" s="22">
        <f>I17*Constants!$H75*(1-Constants!$H93)</f>
        <v>0</v>
      </c>
      <c r="J78" s="22">
        <f>J17*Constants!$H75*(1-Constants!$H93)</f>
        <v>0</v>
      </c>
      <c r="K78" s="22">
        <f>K17*Constants!$H75*(1-Constants!$H93)</f>
        <v>0</v>
      </c>
      <c r="L78" s="22">
        <f>L17*Constants!$H75*(1-Constants!$H93)</f>
        <v>0</v>
      </c>
      <c r="M78" s="22">
        <f>M17*Constants!$H75*(1-Constants!$H93)</f>
        <v>0</v>
      </c>
      <c r="N78" s="22">
        <f>N17*Constants!$H75*(1-Constants!$H93)</f>
        <v>0</v>
      </c>
      <c r="O78" s="22">
        <f>O17*Constants!$H75*(1-Constants!$H93)</f>
        <v>0</v>
      </c>
      <c r="P78" s="22">
        <f>P17*Constants!$H75*(1-Constants!$H93)</f>
        <v>0</v>
      </c>
      <c r="Q78" s="22">
        <f>Q17*Constants!$H75*(1-Constants!$H93)</f>
        <v>0</v>
      </c>
      <c r="R78" s="22">
        <f>R17*Constants!$H75*(1-Constants!$H93)</f>
        <v>0</v>
      </c>
      <c r="S78" s="22">
        <f>S17*Constants!$H75*(1-Constants!$H93)</f>
        <v>0</v>
      </c>
      <c r="T78" s="22">
        <f>T17*Constants!$H75*(1-Constants!$H93)</f>
        <v>0</v>
      </c>
      <c r="U78" s="22">
        <f>U17*Constants!$H75*(1-Constants!$H93)</f>
        <v>0</v>
      </c>
      <c r="V78" s="22">
        <f>V17*Constants!$H75*(1-Constants!$H93)</f>
        <v>0</v>
      </c>
      <c r="W78" s="22">
        <f>W17*Constants!$H75*(1-Constants!$H93)</f>
        <v>0</v>
      </c>
      <c r="X78" s="22">
        <f>X17*Constants!$H75*(1-Constants!$H93)</f>
        <v>0</v>
      </c>
      <c r="Y78" s="22">
        <f>Y17*Constants!$H75*(1-Constants!$H93)</f>
        <v>0</v>
      </c>
      <c r="Z78" s="22">
        <f>Z17*Constants!$H75*(1-Constants!$H93)</f>
        <v>0</v>
      </c>
      <c r="AA78" s="22">
        <f>AA17*Constants!$H75*(1-Constants!$H93)</f>
        <v>0</v>
      </c>
      <c r="AB78" s="22">
        <f>AB17*Constants!$H75*(1-Constants!$H93)</f>
        <v>0</v>
      </c>
      <c r="AC78" s="22">
        <f>AC17*Constants!$H75*(1-Constants!$H93)</f>
        <v>0</v>
      </c>
      <c r="AD78" s="22">
        <f>AD17*Constants!$H75*(1-Constants!$H93)</f>
        <v>0</v>
      </c>
      <c r="AE78" s="22">
        <f>AE17*Constants!$H75*(1-Constants!$H93)</f>
        <v>0</v>
      </c>
      <c r="AF78" s="22">
        <f>AF17*Constants!$H75*(1-Constants!$H93)</f>
        <v>0</v>
      </c>
      <c r="AG78" s="22">
        <f>AG17*Constants!$H75*(1-Constants!$H93)</f>
        <v>0</v>
      </c>
      <c r="AH78" s="22">
        <f>AH17*Constants!$H75*(1-Constants!$H93)</f>
        <v>0</v>
      </c>
      <c r="AI78" s="22">
        <f>AI17*Constants!$H75*(1-Constants!$H93)</f>
        <v>0</v>
      </c>
      <c r="AJ78" s="22">
        <f>AJ17*Constants!$H75*(1-Constants!$H93)</f>
        <v>0</v>
      </c>
      <c r="AK78" s="22">
        <f>AK17*Constants!$H75*(1-Constants!$H93)</f>
        <v>0</v>
      </c>
      <c r="AL78" s="22">
        <f>AL17*Constants!$H75*(1-Constants!$H93)</f>
        <v>0</v>
      </c>
      <c r="AM78" s="22">
        <f>AM17*Constants!$H75*(1-Constants!$H93)</f>
        <v>0</v>
      </c>
      <c r="AN78" s="22">
        <f>AN17*Constants!$H75*(1-Constants!$H93)</f>
        <v>0</v>
      </c>
      <c r="AO78" s="22">
        <f>AO17*Constants!$H75*(1-Constants!$H93)</f>
        <v>0</v>
      </c>
      <c r="AP78" s="22">
        <f>AP17*Constants!$H75*(1-Constants!$H93)</f>
        <v>0</v>
      </c>
      <c r="AQ78" s="22">
        <f>AQ17*Constants!$H75*(1-Constants!$H93)</f>
        <v>0</v>
      </c>
      <c r="AR78" s="22">
        <f>AR17*Constants!$H75*(1-Constants!$H93)</f>
        <v>0</v>
      </c>
      <c r="AS78" s="22">
        <f>AS17*Constants!$H75*(1-Constants!$H93)</f>
        <v>0</v>
      </c>
      <c r="AT78" s="22">
        <f>AT17*Constants!$H75*(1-Constants!$H93)</f>
        <v>0</v>
      </c>
      <c r="AU78" s="22">
        <f>AU17*Constants!$H75*(1-Constants!$H93)</f>
        <v>0</v>
      </c>
      <c r="AV78" s="22">
        <f>AV17*Constants!$H75*(1-Constants!$H93)</f>
        <v>0</v>
      </c>
      <c r="AW78" s="22">
        <f>AW17*Constants!$H75*(1-Constants!$H93)</f>
        <v>0</v>
      </c>
      <c r="AX78" s="22">
        <f>AX17*Constants!$H75*(1-Constants!$H93)</f>
        <v>0</v>
      </c>
      <c r="AY78" s="22">
        <f>AY17*Constants!$H75*(1-Constants!$H93)</f>
        <v>0</v>
      </c>
      <c r="AZ78" s="22">
        <f>AZ17*Constants!$H75*(1-Constants!$H93)</f>
        <v>0</v>
      </c>
      <c r="BA78" s="22">
        <f>BA17*Constants!$H75*(1-Constants!$H93)</f>
        <v>0</v>
      </c>
      <c r="BB78" s="22">
        <f>BB17*Constants!$H75*(1-Constants!$H93)</f>
        <v>0</v>
      </c>
      <c r="BC78" s="22">
        <f>BC17*Constants!$H75*(1-Constants!$H93)</f>
        <v>0</v>
      </c>
      <c r="BD78" s="22">
        <f>BD17*Constants!$H75*(1-Constants!$H93)</f>
        <v>0</v>
      </c>
      <c r="BE78" s="22">
        <f>BE17*Constants!$H75*(1-Constants!$H93)</f>
        <v>0</v>
      </c>
      <c r="BF78" s="22">
        <f>BF17*Constants!$H75*(1-Constants!$H93)</f>
        <v>0</v>
      </c>
      <c r="BG78" s="22">
        <f>BG17*Constants!$H75*(1-Constants!$H93)</f>
        <v>0</v>
      </c>
      <c r="BH78" s="22">
        <f>BH17*Constants!$H75*(1-Constants!$H93)</f>
        <v>0</v>
      </c>
      <c r="BI78" s="22">
        <f>BI17*Constants!$H75*(1-Constants!$H93)</f>
        <v>0</v>
      </c>
      <c r="BJ78" s="22">
        <f>BJ17*Constants!$H75*(1-Constants!$H93)</f>
        <v>0</v>
      </c>
      <c r="BK78" s="22">
        <f>BK17*Constants!$H75*(1-Constants!$H93)</f>
        <v>0</v>
      </c>
      <c r="BL78" s="22">
        <f>BL17*Constants!$H75*(1-Constants!$H93)</f>
        <v>0</v>
      </c>
      <c r="BM78" s="22">
        <f>BM17*Constants!$H75*(1-Constants!$H93)</f>
        <v>0</v>
      </c>
      <c r="BN78" s="22">
        <f>BN17*Constants!$H75*(1-Constants!$H93)</f>
        <v>0</v>
      </c>
      <c r="BO78" s="22">
        <f>BO17*Constants!$H75*(1-Constants!$H93)</f>
        <v>0</v>
      </c>
      <c r="BP78" s="22">
        <f>BP17*Constants!$H75*(1-Constants!$H93)</f>
        <v>0</v>
      </c>
    </row>
    <row r="79" spans="1:68" x14ac:dyDescent="0.25">
      <c r="A79" t="str">
        <f t="shared" si="51"/>
        <v>3C Aggregated and non-CO2 emissions on land</v>
      </c>
      <c r="B79" t="str">
        <f t="shared" si="51"/>
        <v>3C4 Direct N2O from managed soils (N2O)</v>
      </c>
      <c r="C79" t="s">
        <v>410</v>
      </c>
      <c r="D79" t="str">
        <f>D63</f>
        <v xml:space="preserve"> - Subsistence swine</v>
      </c>
      <c r="E79" t="str">
        <f t="shared" si="49"/>
        <v>Urine &amp; dung - Subsistence swine</v>
      </c>
      <c r="F79" t="str">
        <f t="shared" si="50"/>
        <v>kg N</v>
      </c>
      <c r="H79" s="22">
        <f>H18*Constants!$H76*(1-Constants!$H94)</f>
        <v>0</v>
      </c>
      <c r="I79" s="22">
        <f>I18*Constants!$H76*(1-Constants!$H94)</f>
        <v>0</v>
      </c>
      <c r="J79" s="22">
        <f>J18*Constants!$H76*(1-Constants!$H94)</f>
        <v>0</v>
      </c>
      <c r="K79" s="22">
        <f>K18*Constants!$H76*(1-Constants!$H94)</f>
        <v>0</v>
      </c>
      <c r="L79" s="22">
        <f>L18*Constants!$H76*(1-Constants!$H94)</f>
        <v>0</v>
      </c>
      <c r="M79" s="22">
        <f>M18*Constants!$H76*(1-Constants!$H94)</f>
        <v>0</v>
      </c>
      <c r="N79" s="22">
        <f>N18*Constants!$H76*(1-Constants!$H94)</f>
        <v>0</v>
      </c>
      <c r="O79" s="22">
        <f>O18*Constants!$H76*(1-Constants!$H94)</f>
        <v>0</v>
      </c>
      <c r="P79" s="22">
        <f>P18*Constants!$H76*(1-Constants!$H94)</f>
        <v>0</v>
      </c>
      <c r="Q79" s="22">
        <f>Q18*Constants!$H76*(1-Constants!$H94)</f>
        <v>0</v>
      </c>
      <c r="R79" s="22">
        <f>R18*Constants!$H76*(1-Constants!$H94)</f>
        <v>0</v>
      </c>
      <c r="S79" s="22">
        <f>S18*Constants!$H76*(1-Constants!$H94)</f>
        <v>0</v>
      </c>
      <c r="T79" s="22">
        <f>T18*Constants!$H76*(1-Constants!$H94)</f>
        <v>0</v>
      </c>
      <c r="U79" s="22">
        <f>U18*Constants!$H76*(1-Constants!$H94)</f>
        <v>0</v>
      </c>
      <c r="V79" s="22">
        <f>V18*Constants!$H76*(1-Constants!$H94)</f>
        <v>0</v>
      </c>
      <c r="W79" s="22">
        <f>W18*Constants!$H76*(1-Constants!$H94)</f>
        <v>0</v>
      </c>
      <c r="X79" s="22">
        <f>X18*Constants!$H76*(1-Constants!$H94)</f>
        <v>0</v>
      </c>
      <c r="Y79" s="22">
        <f>Y18*Constants!$H76*(1-Constants!$H94)</f>
        <v>0</v>
      </c>
      <c r="Z79" s="22">
        <f>Z18*Constants!$H76*(1-Constants!$H94)</f>
        <v>0</v>
      </c>
      <c r="AA79" s="22">
        <f>AA18*Constants!$H76*(1-Constants!$H94)</f>
        <v>0</v>
      </c>
      <c r="AB79" s="22">
        <f>AB18*Constants!$H76*(1-Constants!$H94)</f>
        <v>0</v>
      </c>
      <c r="AC79" s="22">
        <f>AC18*Constants!$H76*(1-Constants!$H94)</f>
        <v>0</v>
      </c>
      <c r="AD79" s="22">
        <f>AD18*Constants!$H76*(1-Constants!$H94)</f>
        <v>0</v>
      </c>
      <c r="AE79" s="22">
        <f>AE18*Constants!$H76*(1-Constants!$H94)</f>
        <v>0</v>
      </c>
      <c r="AF79" s="22">
        <f>AF18*Constants!$H76*(1-Constants!$H94)</f>
        <v>0</v>
      </c>
      <c r="AG79" s="22">
        <f>AG18*Constants!$H76*(1-Constants!$H94)</f>
        <v>0</v>
      </c>
      <c r="AH79" s="22">
        <f>AH18*Constants!$H76*(1-Constants!$H94)</f>
        <v>0</v>
      </c>
      <c r="AI79" s="22">
        <f>AI18*Constants!$H76*(1-Constants!$H94)</f>
        <v>0</v>
      </c>
      <c r="AJ79" s="22">
        <f>AJ18*Constants!$H76*(1-Constants!$H94)</f>
        <v>0</v>
      </c>
      <c r="AK79" s="22">
        <f>AK18*Constants!$H76*(1-Constants!$H94)</f>
        <v>0</v>
      </c>
      <c r="AL79" s="22">
        <f>AL18*Constants!$H76*(1-Constants!$H94)</f>
        <v>0</v>
      </c>
      <c r="AM79" s="22">
        <f>AM18*Constants!$H76*(1-Constants!$H94)</f>
        <v>0</v>
      </c>
      <c r="AN79" s="22">
        <f>AN18*Constants!$H76*(1-Constants!$H94)</f>
        <v>0</v>
      </c>
      <c r="AO79" s="22">
        <f>AO18*Constants!$H76*(1-Constants!$H94)</f>
        <v>0</v>
      </c>
      <c r="AP79" s="22">
        <f>AP18*Constants!$H76*(1-Constants!$H94)</f>
        <v>0</v>
      </c>
      <c r="AQ79" s="22">
        <f>AQ18*Constants!$H76*(1-Constants!$H94)</f>
        <v>0</v>
      </c>
      <c r="AR79" s="22">
        <f>AR18*Constants!$H76*(1-Constants!$H94)</f>
        <v>0</v>
      </c>
      <c r="AS79" s="22">
        <f>AS18*Constants!$H76*(1-Constants!$H94)</f>
        <v>0</v>
      </c>
      <c r="AT79" s="22">
        <f>AT18*Constants!$H76*(1-Constants!$H94)</f>
        <v>0</v>
      </c>
      <c r="AU79" s="22">
        <f>AU18*Constants!$H76*(1-Constants!$H94)</f>
        <v>0</v>
      </c>
      <c r="AV79" s="22">
        <f>AV18*Constants!$H76*(1-Constants!$H94)</f>
        <v>0</v>
      </c>
      <c r="AW79" s="22">
        <f>AW18*Constants!$H76*(1-Constants!$H94)</f>
        <v>0</v>
      </c>
      <c r="AX79" s="22">
        <f>AX18*Constants!$H76*(1-Constants!$H94)</f>
        <v>0</v>
      </c>
      <c r="AY79" s="22">
        <f>AY18*Constants!$H76*(1-Constants!$H94)</f>
        <v>0</v>
      </c>
      <c r="AZ79" s="22">
        <f>AZ18*Constants!$H76*(1-Constants!$H94)</f>
        <v>0</v>
      </c>
      <c r="BA79" s="22">
        <f>BA18*Constants!$H76*(1-Constants!$H94)</f>
        <v>0</v>
      </c>
      <c r="BB79" s="22">
        <f>BB18*Constants!$H76*(1-Constants!$H94)</f>
        <v>0</v>
      </c>
      <c r="BC79" s="22">
        <f>BC18*Constants!$H76*(1-Constants!$H94)</f>
        <v>0</v>
      </c>
      <c r="BD79" s="22">
        <f>BD18*Constants!$H76*(1-Constants!$H94)</f>
        <v>0</v>
      </c>
      <c r="BE79" s="22">
        <f>BE18*Constants!$H76*(1-Constants!$H94)</f>
        <v>0</v>
      </c>
      <c r="BF79" s="22">
        <f>BF18*Constants!$H76*(1-Constants!$H94)</f>
        <v>0</v>
      </c>
      <c r="BG79" s="22">
        <f>BG18*Constants!$H76*(1-Constants!$H94)</f>
        <v>0</v>
      </c>
      <c r="BH79" s="22">
        <f>BH18*Constants!$H76*(1-Constants!$H94)</f>
        <v>0</v>
      </c>
      <c r="BI79" s="22">
        <f>BI18*Constants!$H76*(1-Constants!$H94)</f>
        <v>0</v>
      </c>
      <c r="BJ79" s="22">
        <f>BJ18*Constants!$H76*(1-Constants!$H94)</f>
        <v>0</v>
      </c>
      <c r="BK79" s="22">
        <f>BK18*Constants!$H76*(1-Constants!$H94)</f>
        <v>0</v>
      </c>
      <c r="BL79" s="22">
        <f>BL18*Constants!$H76*(1-Constants!$H94)</f>
        <v>0</v>
      </c>
      <c r="BM79" s="22">
        <f>BM18*Constants!$H76*(1-Constants!$H94)</f>
        <v>0</v>
      </c>
      <c r="BN79" s="22">
        <f>BN18*Constants!$H76*(1-Constants!$H94)</f>
        <v>0</v>
      </c>
      <c r="BO79" s="22">
        <f>BO18*Constants!$H76*(1-Constants!$H94)</f>
        <v>0</v>
      </c>
      <c r="BP79" s="22">
        <f>BP18*Constants!$H76*(1-Constants!$H94)</f>
        <v>0</v>
      </c>
    </row>
    <row r="80" spans="1:68" x14ac:dyDescent="0.25">
      <c r="A80" t="str">
        <f t="shared" si="51"/>
        <v>3C Aggregated and non-CO2 emissions on land</v>
      </c>
      <c r="B80" t="str">
        <f t="shared" si="51"/>
        <v>3C4 Direct N2O from managed soils (N2O)</v>
      </c>
      <c r="C80" t="s">
        <v>410</v>
      </c>
      <c r="D80" t="str">
        <f t="shared" si="52"/>
        <v xml:space="preserve"> - Commercial layers</v>
      </c>
      <c r="E80" t="str">
        <f t="shared" si="49"/>
        <v>Urine &amp; dung - Commercial layers</v>
      </c>
      <c r="F80" t="str">
        <f t="shared" si="50"/>
        <v>kg N</v>
      </c>
      <c r="H80" s="22">
        <f>H19*Constants!$H77*(1-Constants!$H95)</f>
        <v>0</v>
      </c>
      <c r="I80" s="22">
        <f>I19*Constants!$H77*(1-Constants!$H95)</f>
        <v>0</v>
      </c>
      <c r="J80" s="22">
        <f>J19*Constants!$H77*(1-Constants!$H95)</f>
        <v>0</v>
      </c>
      <c r="K80" s="22">
        <f>K19*Constants!$H77*(1-Constants!$H95)</f>
        <v>0</v>
      </c>
      <c r="L80" s="22">
        <f>L19*Constants!$H77*(1-Constants!$H95)</f>
        <v>0</v>
      </c>
      <c r="M80" s="22">
        <f>M19*Constants!$H77*(1-Constants!$H95)</f>
        <v>0</v>
      </c>
      <c r="N80" s="22">
        <f>N19*Constants!$H77*(1-Constants!$H95)</f>
        <v>0</v>
      </c>
      <c r="O80" s="22">
        <f>O19*Constants!$H77*(1-Constants!$H95)</f>
        <v>0</v>
      </c>
      <c r="P80" s="22">
        <f>P19*Constants!$H77*(1-Constants!$H95)</f>
        <v>0</v>
      </c>
      <c r="Q80" s="22">
        <f>Q19*Constants!$H77*(1-Constants!$H95)</f>
        <v>0</v>
      </c>
      <c r="R80" s="22">
        <f>R19*Constants!$H77*(1-Constants!$H95)</f>
        <v>0</v>
      </c>
      <c r="S80" s="22">
        <f>S19*Constants!$H77*(1-Constants!$H95)</f>
        <v>0</v>
      </c>
      <c r="T80" s="22">
        <f>T19*Constants!$H77*(1-Constants!$H95)</f>
        <v>0</v>
      </c>
      <c r="U80" s="22">
        <f>U19*Constants!$H77*(1-Constants!$H95)</f>
        <v>0</v>
      </c>
      <c r="V80" s="22">
        <f>V19*Constants!$H77*(1-Constants!$H95)</f>
        <v>0</v>
      </c>
      <c r="W80" s="22">
        <f>W19*Constants!$H77*(1-Constants!$H95)</f>
        <v>0</v>
      </c>
      <c r="X80" s="22">
        <f>X19*Constants!$H77*(1-Constants!$H95)</f>
        <v>0</v>
      </c>
      <c r="Y80" s="22">
        <f>Y19*Constants!$H77*(1-Constants!$H95)</f>
        <v>0</v>
      </c>
      <c r="Z80" s="22">
        <f>Z19*Constants!$H77*(1-Constants!$H95)</f>
        <v>0</v>
      </c>
      <c r="AA80" s="22">
        <f>AA19*Constants!$H77*(1-Constants!$H95)</f>
        <v>0</v>
      </c>
      <c r="AB80" s="22">
        <f>AB19*Constants!$H77*(1-Constants!$H95)</f>
        <v>0</v>
      </c>
      <c r="AC80" s="22">
        <f>AC19*Constants!$H77*(1-Constants!$H95)</f>
        <v>0</v>
      </c>
      <c r="AD80" s="22">
        <f>AD19*Constants!$H77*(1-Constants!$H95)</f>
        <v>0</v>
      </c>
      <c r="AE80" s="22">
        <f>AE19*Constants!$H77*(1-Constants!$H95)</f>
        <v>0</v>
      </c>
      <c r="AF80" s="22">
        <f>AF19*Constants!$H77*(1-Constants!$H95)</f>
        <v>0</v>
      </c>
      <c r="AG80" s="22">
        <f>AG19*Constants!$H77*(1-Constants!$H95)</f>
        <v>0</v>
      </c>
      <c r="AH80" s="22">
        <f>AH19*Constants!$H77*(1-Constants!$H95)</f>
        <v>0</v>
      </c>
      <c r="AI80" s="22">
        <f>AI19*Constants!$H77*(1-Constants!$H95)</f>
        <v>0</v>
      </c>
      <c r="AJ80" s="22">
        <f>AJ19*Constants!$H77*(1-Constants!$H95)</f>
        <v>0</v>
      </c>
      <c r="AK80" s="22">
        <f>AK19*Constants!$H77*(1-Constants!$H95)</f>
        <v>0</v>
      </c>
      <c r="AL80" s="22">
        <f>AL19*Constants!$H77*(1-Constants!$H95)</f>
        <v>0</v>
      </c>
      <c r="AM80" s="22">
        <f>AM19*Constants!$H77*(1-Constants!$H95)</f>
        <v>0</v>
      </c>
      <c r="AN80" s="22">
        <f>AN19*Constants!$H77*(1-Constants!$H95)</f>
        <v>0</v>
      </c>
      <c r="AO80" s="22">
        <f>AO19*Constants!$H77*(1-Constants!$H95)</f>
        <v>0</v>
      </c>
      <c r="AP80" s="22">
        <f>AP19*Constants!$H77*(1-Constants!$H95)</f>
        <v>0</v>
      </c>
      <c r="AQ80" s="22">
        <f>AQ19*Constants!$H77*(1-Constants!$H95)</f>
        <v>0</v>
      </c>
      <c r="AR80" s="22">
        <f>AR19*Constants!$H77*(1-Constants!$H95)</f>
        <v>0</v>
      </c>
      <c r="AS80" s="22">
        <f>AS19*Constants!$H77*(1-Constants!$H95)</f>
        <v>0</v>
      </c>
      <c r="AT80" s="22">
        <f>AT19*Constants!$H77*(1-Constants!$H95)</f>
        <v>0</v>
      </c>
      <c r="AU80" s="22">
        <f>AU19*Constants!$H77*(1-Constants!$H95)</f>
        <v>0</v>
      </c>
      <c r="AV80" s="22">
        <f>AV19*Constants!$H77*(1-Constants!$H95)</f>
        <v>0</v>
      </c>
      <c r="AW80" s="22">
        <f>AW19*Constants!$H77*(1-Constants!$H95)</f>
        <v>0</v>
      </c>
      <c r="AX80" s="22">
        <f>AX19*Constants!$H77*(1-Constants!$H95)</f>
        <v>0</v>
      </c>
      <c r="AY80" s="22">
        <f>AY19*Constants!$H77*(1-Constants!$H95)</f>
        <v>0</v>
      </c>
      <c r="AZ80" s="22">
        <f>AZ19*Constants!$H77*(1-Constants!$H95)</f>
        <v>0</v>
      </c>
      <c r="BA80" s="22">
        <f>BA19*Constants!$H77*(1-Constants!$H95)</f>
        <v>0</v>
      </c>
      <c r="BB80" s="22">
        <f>BB19*Constants!$H77*(1-Constants!$H95)</f>
        <v>0</v>
      </c>
      <c r="BC80" s="22">
        <f>BC19*Constants!$H77*(1-Constants!$H95)</f>
        <v>0</v>
      </c>
      <c r="BD80" s="22">
        <f>BD19*Constants!$H77*(1-Constants!$H95)</f>
        <v>0</v>
      </c>
      <c r="BE80" s="22">
        <f>BE19*Constants!$H77*(1-Constants!$H95)</f>
        <v>0</v>
      </c>
      <c r="BF80" s="22">
        <f>BF19*Constants!$H77*(1-Constants!$H95)</f>
        <v>0</v>
      </c>
      <c r="BG80" s="22">
        <f>BG19*Constants!$H77*(1-Constants!$H95)</f>
        <v>0</v>
      </c>
      <c r="BH80" s="22">
        <f>BH19*Constants!$H77*(1-Constants!$H95)</f>
        <v>0</v>
      </c>
      <c r="BI80" s="22">
        <f>BI19*Constants!$H77*(1-Constants!$H95)</f>
        <v>0</v>
      </c>
      <c r="BJ80" s="22">
        <f>BJ19*Constants!$H77*(1-Constants!$H95)</f>
        <v>0</v>
      </c>
      <c r="BK80" s="22">
        <f>BK19*Constants!$H77*(1-Constants!$H95)</f>
        <v>0</v>
      </c>
      <c r="BL80" s="22">
        <f>BL19*Constants!$H77*(1-Constants!$H95)</f>
        <v>0</v>
      </c>
      <c r="BM80" s="22">
        <f>BM19*Constants!$H77*(1-Constants!$H95)</f>
        <v>0</v>
      </c>
      <c r="BN80" s="22">
        <f>BN19*Constants!$H77*(1-Constants!$H95)</f>
        <v>0</v>
      </c>
      <c r="BO80" s="22">
        <f>BO19*Constants!$H77*(1-Constants!$H95)</f>
        <v>0</v>
      </c>
      <c r="BP80" s="22">
        <f>BP19*Constants!$H77*(1-Constants!$H95)</f>
        <v>0</v>
      </c>
    </row>
    <row r="81" spans="1:72" x14ac:dyDescent="0.25">
      <c r="A81" t="str">
        <f t="shared" si="51"/>
        <v>3C Aggregated and non-CO2 emissions on land</v>
      </c>
      <c r="B81" t="str">
        <f t="shared" si="51"/>
        <v>3C4 Direct N2O from managed soils (N2O)</v>
      </c>
      <c r="C81" t="s">
        <v>410</v>
      </c>
      <c r="D81" t="str">
        <f t="shared" si="52"/>
        <v xml:space="preserve"> - Commercial broilers</v>
      </c>
      <c r="E81" t="str">
        <f t="shared" si="49"/>
        <v>Urine &amp; dung - Commercial broilers</v>
      </c>
      <c r="F81" t="str">
        <f t="shared" si="50"/>
        <v>kg N</v>
      </c>
      <c r="H81" s="22">
        <f>H20*Constants!$H78*(1-Constants!$H96)</f>
        <v>0</v>
      </c>
      <c r="I81" s="22">
        <f>I20*Constants!$H78*(1-Constants!$H96)</f>
        <v>0</v>
      </c>
      <c r="J81" s="22">
        <f>J20*Constants!$H78*(1-Constants!$H96)</f>
        <v>0</v>
      </c>
      <c r="K81" s="22">
        <f>K20*Constants!$H78*(1-Constants!$H96)</f>
        <v>0</v>
      </c>
      <c r="L81" s="22">
        <f>L20*Constants!$H78*(1-Constants!$H96)</f>
        <v>0</v>
      </c>
      <c r="M81" s="22">
        <f>M20*Constants!$H78*(1-Constants!$H96)</f>
        <v>0</v>
      </c>
      <c r="N81" s="22">
        <f>N20*Constants!$H78*(1-Constants!$H96)</f>
        <v>0</v>
      </c>
      <c r="O81" s="22">
        <f>O20*Constants!$H78*(1-Constants!$H96)</f>
        <v>0</v>
      </c>
      <c r="P81" s="22">
        <f>P20*Constants!$H78*(1-Constants!$H96)</f>
        <v>0</v>
      </c>
      <c r="Q81" s="22">
        <f>Q20*Constants!$H78*(1-Constants!$H96)</f>
        <v>0</v>
      </c>
      <c r="R81" s="22">
        <f>R20*Constants!$H78*(1-Constants!$H96)</f>
        <v>0</v>
      </c>
      <c r="S81" s="22">
        <f>S20*Constants!$H78*(1-Constants!$H96)</f>
        <v>0</v>
      </c>
      <c r="T81" s="22">
        <f>T20*Constants!$H78*(1-Constants!$H96)</f>
        <v>0</v>
      </c>
      <c r="U81" s="22">
        <f>U20*Constants!$H78*(1-Constants!$H96)</f>
        <v>0</v>
      </c>
      <c r="V81" s="22">
        <f>V20*Constants!$H78*(1-Constants!$H96)</f>
        <v>0</v>
      </c>
      <c r="W81" s="22">
        <f>W20*Constants!$H78*(1-Constants!$H96)</f>
        <v>0</v>
      </c>
      <c r="X81" s="22">
        <f>X20*Constants!$H78*(1-Constants!$H96)</f>
        <v>0</v>
      </c>
      <c r="Y81" s="22">
        <f>Y20*Constants!$H78*(1-Constants!$H96)</f>
        <v>0</v>
      </c>
      <c r="Z81" s="22">
        <f>Z20*Constants!$H78*(1-Constants!$H96)</f>
        <v>0</v>
      </c>
      <c r="AA81" s="22">
        <f>AA20*Constants!$H78*(1-Constants!$H96)</f>
        <v>0</v>
      </c>
      <c r="AB81" s="22">
        <f>AB20*Constants!$H78*(1-Constants!$H96)</f>
        <v>0</v>
      </c>
      <c r="AC81" s="22">
        <f>AC20*Constants!$H78*(1-Constants!$H96)</f>
        <v>0</v>
      </c>
      <c r="AD81" s="22">
        <f>AD20*Constants!$H78*(1-Constants!$H96)</f>
        <v>0</v>
      </c>
      <c r="AE81" s="22">
        <f>AE20*Constants!$H78*(1-Constants!$H96)</f>
        <v>0</v>
      </c>
      <c r="AF81" s="22">
        <f>AF20*Constants!$H78*(1-Constants!$H96)</f>
        <v>0</v>
      </c>
      <c r="AG81" s="22">
        <f>AG20*Constants!$H78*(1-Constants!$H96)</f>
        <v>0</v>
      </c>
      <c r="AH81" s="22">
        <f>AH20*Constants!$H78*(1-Constants!$H96)</f>
        <v>0</v>
      </c>
      <c r="AI81" s="22">
        <f>AI20*Constants!$H78*(1-Constants!$H96)</f>
        <v>0</v>
      </c>
      <c r="AJ81" s="22">
        <f>AJ20*Constants!$H78*(1-Constants!$H96)</f>
        <v>0</v>
      </c>
      <c r="AK81" s="22">
        <f>AK20*Constants!$H78*(1-Constants!$H96)</f>
        <v>0</v>
      </c>
      <c r="AL81" s="22">
        <f>AL20*Constants!$H78*(1-Constants!$H96)</f>
        <v>0</v>
      </c>
      <c r="AM81" s="22">
        <f>AM20*Constants!$H78*(1-Constants!$H96)</f>
        <v>0</v>
      </c>
      <c r="AN81" s="22">
        <f>AN20*Constants!$H78*(1-Constants!$H96)</f>
        <v>0</v>
      </c>
      <c r="AO81" s="22">
        <f>AO20*Constants!$H78*(1-Constants!$H96)</f>
        <v>0</v>
      </c>
      <c r="AP81" s="22">
        <f>AP20*Constants!$H78*(1-Constants!$H96)</f>
        <v>0</v>
      </c>
      <c r="AQ81" s="22">
        <f>AQ20*Constants!$H78*(1-Constants!$H96)</f>
        <v>0</v>
      </c>
      <c r="AR81" s="22">
        <f>AR20*Constants!$H78*(1-Constants!$H96)</f>
        <v>0</v>
      </c>
      <c r="AS81" s="22">
        <f>AS20*Constants!$H78*(1-Constants!$H96)</f>
        <v>0</v>
      </c>
      <c r="AT81" s="22">
        <f>AT20*Constants!$H78*(1-Constants!$H96)</f>
        <v>0</v>
      </c>
      <c r="AU81" s="22">
        <f>AU20*Constants!$H78*(1-Constants!$H96)</f>
        <v>0</v>
      </c>
      <c r="AV81" s="22">
        <f>AV20*Constants!$H78*(1-Constants!$H96)</f>
        <v>0</v>
      </c>
      <c r="AW81" s="22">
        <f>AW20*Constants!$H78*(1-Constants!$H96)</f>
        <v>0</v>
      </c>
      <c r="AX81" s="22">
        <f>AX20*Constants!$H78*(1-Constants!$H96)</f>
        <v>0</v>
      </c>
      <c r="AY81" s="22">
        <f>AY20*Constants!$H78*(1-Constants!$H96)</f>
        <v>0</v>
      </c>
      <c r="AZ81" s="22">
        <f>AZ20*Constants!$H78*(1-Constants!$H96)</f>
        <v>0</v>
      </c>
      <c r="BA81" s="22">
        <f>BA20*Constants!$H78*(1-Constants!$H96)</f>
        <v>0</v>
      </c>
      <c r="BB81" s="22">
        <f>BB20*Constants!$H78*(1-Constants!$H96)</f>
        <v>0</v>
      </c>
      <c r="BC81" s="22">
        <f>BC20*Constants!$H78*(1-Constants!$H96)</f>
        <v>0</v>
      </c>
      <c r="BD81" s="22">
        <f>BD20*Constants!$H78*(1-Constants!$H96)</f>
        <v>0</v>
      </c>
      <c r="BE81" s="22">
        <f>BE20*Constants!$H78*(1-Constants!$H96)</f>
        <v>0</v>
      </c>
      <c r="BF81" s="22">
        <f>BF20*Constants!$H78*(1-Constants!$H96)</f>
        <v>0</v>
      </c>
      <c r="BG81" s="22">
        <f>BG20*Constants!$H78*(1-Constants!$H96)</f>
        <v>0</v>
      </c>
      <c r="BH81" s="22">
        <f>BH20*Constants!$H78*(1-Constants!$H96)</f>
        <v>0</v>
      </c>
      <c r="BI81" s="22">
        <f>BI20*Constants!$H78*(1-Constants!$H96)</f>
        <v>0</v>
      </c>
      <c r="BJ81" s="22">
        <f>BJ20*Constants!$H78*(1-Constants!$H96)</f>
        <v>0</v>
      </c>
      <c r="BK81" s="22">
        <f>BK20*Constants!$H78*(1-Constants!$H96)</f>
        <v>0</v>
      </c>
      <c r="BL81" s="22">
        <f>BL20*Constants!$H78*(1-Constants!$H96)</f>
        <v>0</v>
      </c>
      <c r="BM81" s="22">
        <f>BM20*Constants!$H78*(1-Constants!$H96)</f>
        <v>0</v>
      </c>
      <c r="BN81" s="22">
        <f>BN20*Constants!$H78*(1-Constants!$H96)</f>
        <v>0</v>
      </c>
      <c r="BO81" s="22">
        <f>BO20*Constants!$H78*(1-Constants!$H96)</f>
        <v>0</v>
      </c>
      <c r="BP81" s="22">
        <f>BP20*Constants!$H78*(1-Constants!$H96)</f>
        <v>0</v>
      </c>
    </row>
    <row r="82" spans="1:72" x14ac:dyDescent="0.25">
      <c r="A82" t="str">
        <f>A81</f>
        <v>3C Aggregated and non-CO2 emissions on land</v>
      </c>
      <c r="B82" t="str">
        <f t="shared" si="51"/>
        <v>3C4 Direct N2O from managed soils (N2O)</v>
      </c>
      <c r="C82" t="s">
        <v>661</v>
      </c>
      <c r="D82" t="s">
        <v>444</v>
      </c>
      <c r="E82" t="str">
        <f t="shared" si="49"/>
        <v>Crop residue N - maize</v>
      </c>
      <c r="F82" t="str">
        <f t="shared" si="50"/>
        <v>kg N</v>
      </c>
      <c r="H82" s="22">
        <v>169222719.81423381</v>
      </c>
      <c r="I82" s="22">
        <v>146469055.03045925</v>
      </c>
      <c r="J82" s="22">
        <v>159221366.84252763</v>
      </c>
      <c r="K82" s="22">
        <v>166361838.74906701</v>
      </c>
      <c r="L82" s="22">
        <v>177207855.24554062</v>
      </c>
      <c r="M82" s="22">
        <v>134194234.50025843</v>
      </c>
      <c r="N82" s="22">
        <v>143395687.73539102</v>
      </c>
      <c r="O82" s="22">
        <v>154135462.82738763</v>
      </c>
      <c r="P82" s="22">
        <v>135980324.06223202</v>
      </c>
      <c r="Q82" s="22">
        <v>136205316.98976544</v>
      </c>
      <c r="R82" s="22">
        <v>153316816.86155123</v>
      </c>
      <c r="S82" s="22">
        <v>121680505.97819223</v>
      </c>
      <c r="T82" s="22">
        <v>134754504.74286324</v>
      </c>
      <c r="U82" s="22">
        <v>139005050.45193782</v>
      </c>
      <c r="V82" s="22">
        <v>122072648.78867763</v>
      </c>
      <c r="W82" s="22">
        <v>122727616.37001581</v>
      </c>
      <c r="X82" s="22">
        <v>76773886.659184024</v>
      </c>
      <c r="Y82" s="22">
        <v>110722449.64123464</v>
      </c>
      <c r="Z82" s="22">
        <v>126740304.25230721</v>
      </c>
      <c r="AA82" s="22">
        <v>112126055.04929921</v>
      </c>
      <c r="AB82" s="22">
        <v>127466246.79321264</v>
      </c>
      <c r="AC82" s="22">
        <v>113245894.01580001</v>
      </c>
      <c r="AD82" s="22">
        <f>((AD41*Constants!$H$45*Constants!$H$48)*(1+Constants!$H$51))*Constants!$H$54*Constants!$H$42*Constants!$H$57*Constants!$H$58*ttokg</f>
        <v>100346378.06238909</v>
      </c>
      <c r="AE82" s="22">
        <f>((AE41*Constants!$H$45*Constants!$H$48)*(1+Constants!$H$51))*Constants!$H$54*Constants!$H$42*Constants!$H$57*Constants!$H$58*ttokg</f>
        <v>100616588.95461977</v>
      </c>
      <c r="AF82" s="22">
        <f>((AF41*Constants!$H$45*Constants!$H$48)*(1+Constants!$H$51))*Constants!$H$54*Constants!$H$42*Constants!$H$57*Constants!$H$58*ttokg</f>
        <v>100985834.01420589</v>
      </c>
      <c r="AG82" s="22">
        <f>((AG41*Constants!$H$45*Constants!$H$48)*(1+Constants!$H$51))*Constants!$H$54*Constants!$H$42*Constants!$H$57*Constants!$H$58*ttokg</f>
        <v>101253856.96254529</v>
      </c>
      <c r="AH82" s="22">
        <f>((AH41*Constants!$H$45*Constants!$H$48)*(1+Constants!$H$51))*Constants!$H$54*Constants!$H$42*Constants!$H$57*Constants!$H$58*ttokg</f>
        <v>101384382.1420687</v>
      </c>
      <c r="AI82" s="22">
        <f>((AI41*Constants!$H$45*Constants!$H$48)*(1+Constants!$H$51))*Constants!$H$54*Constants!$H$42*Constants!$H$57*Constants!$H$58*ttokg</f>
        <v>101513211.76326241</v>
      </c>
      <c r="AJ82" s="22">
        <f>((AJ41*Constants!$H$45*Constants!$H$48)*(1+Constants!$H$51))*Constants!$H$54*Constants!$H$42*Constants!$H$57*Constants!$H$58*ttokg</f>
        <v>101708099.72741768</v>
      </c>
      <c r="AK82" s="22">
        <f>((AK41*Constants!$H$45*Constants!$H$48)*(1+Constants!$H$51))*Constants!$H$54*Constants!$H$42*Constants!$H$57*Constants!$H$58*ttokg</f>
        <v>101921473.49527717</v>
      </c>
      <c r="AL82" s="22">
        <f>((AL41*Constants!$H$45*Constants!$H$48)*(1+Constants!$H$51))*Constants!$H$54*Constants!$H$42*Constants!$H$57*Constants!$H$58*ttokg</f>
        <v>101991303.25006573</v>
      </c>
      <c r="AM82" s="22">
        <f>((AM41*Constants!$H$45*Constants!$H$48)*(1+Constants!$H$51))*Constants!$H$54*Constants!$H$42*Constants!$H$57*Constants!$H$58*ttokg</f>
        <v>100708643.78224486</v>
      </c>
      <c r="AN82" s="22">
        <f>((AN41*Constants!$H$45*Constants!$H$48)*(1+Constants!$H$51))*Constants!$H$54*Constants!$H$42*Constants!$H$57*Constants!$H$58*ttokg</f>
        <v>101108748.66479863</v>
      </c>
      <c r="AO82" s="22">
        <f>((AO41*Constants!$H$45*Constants!$H$48)*(1+Constants!$H$51))*Constants!$H$54*Constants!$H$42*Constants!$H$57*Constants!$H$58*ttokg</f>
        <v>101468473.70346771</v>
      </c>
      <c r="AP82" s="22">
        <f>((AP41*Constants!$H$45*Constants!$H$48)*(1+Constants!$H$51))*Constants!$H$54*Constants!$H$42*Constants!$H$57*Constants!$H$58*ttokg</f>
        <v>101824864.00741759</v>
      </c>
      <c r="AQ82" s="22">
        <f>((AQ41*Constants!$H$45*Constants!$H$48)*(1+Constants!$H$51))*Constants!$H$54*Constants!$H$42*Constants!$H$57*Constants!$H$58*ttokg</f>
        <v>102233962.96393335</v>
      </c>
      <c r="AR82" s="22">
        <f>((AR41*Constants!$H$45*Constants!$H$48)*(1+Constants!$H$51))*Constants!$H$54*Constants!$H$42*Constants!$H$57*Constants!$H$58*ttokg</f>
        <v>102638621.77745454</v>
      </c>
      <c r="AS82" s="22">
        <f>((AS41*Constants!$H$45*Constants!$H$48)*(1+Constants!$H$51))*Constants!$H$54*Constants!$H$42*Constants!$H$57*Constants!$H$58*ttokg</f>
        <v>103048895.20345064</v>
      </c>
      <c r="AT82" s="22">
        <f>((AT41*Constants!$H$45*Constants!$H$48)*(1+Constants!$H$51))*Constants!$H$54*Constants!$H$42*Constants!$H$57*Constants!$H$58*ttokg</f>
        <v>103441705.18072237</v>
      </c>
      <c r="AU82" s="22">
        <f>((AU41*Constants!$H$45*Constants!$H$48)*(1+Constants!$H$51))*Constants!$H$54*Constants!$H$42*Constants!$H$57*Constants!$H$58*ttokg</f>
        <v>103851304.67430824</v>
      </c>
      <c r="AV82" s="22">
        <f>((AV41*Constants!$H$45*Constants!$H$48)*(1+Constants!$H$51))*Constants!$H$54*Constants!$H$42*Constants!$H$57*Constants!$H$58*ttokg</f>
        <v>104231795.22893538</v>
      </c>
      <c r="AW82" s="22">
        <f>((AW41*Constants!$H$45*Constants!$H$48)*(1+Constants!$H$51))*Constants!$H$54*Constants!$H$42*Constants!$H$57*Constants!$H$58*ttokg</f>
        <v>104615680.00950401</v>
      </c>
      <c r="AX82" s="22">
        <f>((AX41*Constants!$H$45*Constants!$H$48)*(1+Constants!$H$51))*Constants!$H$54*Constants!$H$42*Constants!$H$57*Constants!$H$58*ttokg</f>
        <v>105062391.82436158</v>
      </c>
      <c r="AY82" s="22">
        <f>((AY41*Constants!$H$45*Constants!$H$48)*(1+Constants!$H$51))*Constants!$H$54*Constants!$H$42*Constants!$H$57*Constants!$H$58*ttokg</f>
        <v>105533982.82995823</v>
      </c>
      <c r="AZ82" s="22">
        <f>((AZ41*Constants!$H$45*Constants!$H$48)*(1+Constants!$H$51))*Constants!$H$54*Constants!$H$42*Constants!$H$57*Constants!$H$58*ttokg</f>
        <v>106011522.52669616</v>
      </c>
      <c r="BA82" s="22">
        <f>((BA41*Constants!$H$45*Constants!$H$48)*(1+Constants!$H$51))*Constants!$H$54*Constants!$H$42*Constants!$H$57*Constants!$H$58*ttokg</f>
        <v>106106293.62553687</v>
      </c>
      <c r="BB82" s="22">
        <f>((BB41*Constants!$H$45*Constants!$H$48)*(1+Constants!$H$51))*Constants!$H$54*Constants!$H$42*Constants!$H$57*Constants!$H$58*ttokg</f>
        <v>66723623.104138419</v>
      </c>
      <c r="BC82" s="22">
        <f>((BC41*Constants!$H$45*Constants!$H$48)*(1+Constants!$H$51))*Constants!$H$54*Constants!$H$42*Constants!$H$57*Constants!$H$58*ttokg</f>
        <v>66653948.933691487</v>
      </c>
      <c r="BD82" s="22">
        <f>((BD41*Constants!$H$45*Constants!$H$48)*(1+Constants!$H$51))*Constants!$H$54*Constants!$H$42*Constants!$H$57*Constants!$H$58*ttokg</f>
        <v>66583541.329276562</v>
      </c>
      <c r="BE82" s="22">
        <f>((BE41*Constants!$H$45*Constants!$H$48)*(1+Constants!$H$51))*Constants!$H$54*Constants!$H$42*Constants!$H$57*Constants!$H$58*ttokg</f>
        <v>66512390.186906196</v>
      </c>
      <c r="BF82" s="22">
        <f>((BF41*Constants!$H$45*Constants!$H$48)*(1+Constants!$H$51))*Constants!$H$54*Constants!$H$42*Constants!$H$57*Constants!$H$58*ttokg</f>
        <v>66440485.212546073</v>
      </c>
      <c r="BG82" s="22">
        <f>((BG41*Constants!$H$45*Constants!$H$48)*(1+Constants!$H$51))*Constants!$H$54*Constants!$H$42*Constants!$H$57*Constants!$H$58*ttokg</f>
        <v>66367815.917371653</v>
      </c>
      <c r="BH82" s="22">
        <f>((BH41*Constants!$H$45*Constants!$H$48)*(1+Constants!$H$51))*Constants!$H$54*Constants!$H$42*Constants!$H$57*Constants!$H$58*ttokg</f>
        <v>66305524.927517019</v>
      </c>
      <c r="BI82" s="22">
        <f>((BI41*Constants!$H$45*Constants!$H$48)*(1+Constants!$H$51))*Constants!$H$54*Constants!$H$42*Constants!$H$57*Constants!$H$58*ttokg</f>
        <v>66242668.895423949</v>
      </c>
      <c r="BJ82" s="22">
        <f>((BJ41*Constants!$H$45*Constants!$H$48)*(1+Constants!$H$51))*Constants!$H$54*Constants!$H$42*Constants!$H$57*Constants!$H$58*ttokg</f>
        <v>66179241.060177661</v>
      </c>
      <c r="BK82" s="22">
        <f>((BK41*Constants!$H$45*Constants!$H$48)*(1+Constants!$H$51))*Constants!$H$54*Constants!$H$42*Constants!$H$57*Constants!$H$58*ttokg</f>
        <v>66115234.549947314</v>
      </c>
      <c r="BL82" s="22">
        <f>((BL41*Constants!$H$45*Constants!$H$48)*(1+Constants!$H$51))*Constants!$H$54*Constants!$H$42*Constants!$H$57*Constants!$H$58*ttokg</f>
        <v>66050642.379570462</v>
      </c>
      <c r="BM82" s="22">
        <f>((BM41*Constants!$H$45*Constants!$H$48)*(1+Constants!$H$51))*Constants!$H$54*Constants!$H$42*Constants!$H$57*Constants!$H$58*ttokg</f>
        <v>65997080.191195503</v>
      </c>
      <c r="BN82" s="22">
        <f>((BN41*Constants!$H$45*Constants!$H$48)*(1+Constants!$H$51))*Constants!$H$54*Constants!$H$42*Constants!$H$57*Constants!$H$58*ttokg</f>
        <v>65943113.120967492</v>
      </c>
      <c r="BO82" s="22">
        <f>((BO41*Constants!$H$45*Constants!$H$48)*(1+Constants!$H$51))*Constants!$H$54*Constants!$H$42*Constants!$H$57*Constants!$H$58*ttokg</f>
        <v>65888737.104682386</v>
      </c>
      <c r="BP82" s="22">
        <f>((BP41*Constants!$H$45*Constants!$H$48)*(1+Constants!$H$51))*Constants!$H$54*Constants!$H$42*Constants!$H$57*Constants!$H$58*ttokg</f>
        <v>65833948.02201426</v>
      </c>
    </row>
    <row r="83" spans="1:72" x14ac:dyDescent="0.25">
      <c r="A83" t="str">
        <f>A82</f>
        <v>3C Aggregated and non-CO2 emissions on land</v>
      </c>
      <c r="B83" t="str">
        <f t="shared" ref="B83:C85" si="53">B82</f>
        <v>3C4 Direct N2O from managed soils (N2O)</v>
      </c>
      <c r="C83" t="str">
        <f t="shared" si="53"/>
        <v>Crop residue N</v>
      </c>
      <c r="D83" t="s">
        <v>374</v>
      </c>
      <c r="E83" t="str">
        <f t="shared" si="49"/>
        <v>Crop residue N - wheat</v>
      </c>
      <c r="F83" t="str">
        <f t="shared" si="50"/>
        <v>kg N</v>
      </c>
      <c r="H83" s="22">
        <v>12027674.492947873</v>
      </c>
      <c r="I83" s="22">
        <v>15073733.727081215</v>
      </c>
      <c r="J83" s="22">
        <v>9317109.7170359995</v>
      </c>
      <c r="K83" s="22">
        <v>13960385.955568802</v>
      </c>
      <c r="L83" s="22">
        <v>12951268.598936448</v>
      </c>
      <c r="M83" s="22">
        <v>13915210.572107857</v>
      </c>
      <c r="N83" s="22">
        <v>19086964.362997342</v>
      </c>
      <c r="O83" s="22">
        <v>17104848.961899597</v>
      </c>
      <c r="P83" s="22">
        <v>13260858.352196401</v>
      </c>
      <c r="Q83" s="22">
        <v>12195250.161865054</v>
      </c>
      <c r="R83" s="22">
        <v>17086357.776156764</v>
      </c>
      <c r="S83" s="22">
        <v>17620050.867103875</v>
      </c>
      <c r="T83" s="22">
        <v>17154163.058715936</v>
      </c>
      <c r="U83" s="22">
        <v>10885377.79194624</v>
      </c>
      <c r="V83" s="22">
        <v>11871375.563916</v>
      </c>
      <c r="W83" s="22">
        <v>13405603.487245198</v>
      </c>
      <c r="X83" s="22">
        <v>14812335.740283838</v>
      </c>
      <c r="Y83" s="22">
        <v>13404854.889448704</v>
      </c>
      <c r="Z83" s="22">
        <v>14988421.865818368</v>
      </c>
      <c r="AA83" s="22">
        <v>13767379.251199199</v>
      </c>
      <c r="AB83" s="22">
        <v>10061071.645942945</v>
      </c>
      <c r="AC83" s="22">
        <v>14115618.755591758</v>
      </c>
      <c r="AD83" s="22">
        <f>((AD42*Constants!$H$47*Constants!$H$50)*(1+Constants!$H$53))*Constants!$H$56*Constants!$H$44*Constants!$H$57*Constants!$H$58*ttokg</f>
        <v>12131728.127999999</v>
      </c>
      <c r="AE83" s="22">
        <f>((AE42*Constants!$H$47*Constants!$H$50)*(1+Constants!$H$53))*Constants!$H$56*Constants!$H$44*Constants!$H$57*Constants!$H$58*ttokg</f>
        <v>12131728.127999999</v>
      </c>
      <c r="AF83" s="22">
        <f>((AF42*Constants!$H$47*Constants!$H$50)*(1+Constants!$H$53))*Constants!$H$56*Constants!$H$44*Constants!$H$57*Constants!$H$58*ttokg</f>
        <v>12131728.127999999</v>
      </c>
      <c r="AG83" s="22">
        <f>((AG42*Constants!$H$47*Constants!$H$50)*(1+Constants!$H$53))*Constants!$H$56*Constants!$H$44*Constants!$H$57*Constants!$H$58*ttokg</f>
        <v>12131728.127999999</v>
      </c>
      <c r="AH83" s="22">
        <f>((AH42*Constants!$H$47*Constants!$H$50)*(1+Constants!$H$53))*Constants!$H$56*Constants!$H$44*Constants!$H$57*Constants!$H$58*ttokg</f>
        <v>12131728.127999999</v>
      </c>
      <c r="AI83" s="22">
        <f>((AI42*Constants!$H$47*Constants!$H$50)*(1+Constants!$H$53))*Constants!$H$56*Constants!$H$44*Constants!$H$57*Constants!$H$58*ttokg</f>
        <v>12131728.127999999</v>
      </c>
      <c r="AJ83" s="22">
        <f>((AJ42*Constants!$H$47*Constants!$H$50)*(1+Constants!$H$53))*Constants!$H$56*Constants!$H$44*Constants!$H$57*Constants!$H$58*ttokg</f>
        <v>12131728.127999999</v>
      </c>
      <c r="AK83" s="22">
        <f>((AK42*Constants!$H$47*Constants!$H$50)*(1+Constants!$H$53))*Constants!$H$56*Constants!$H$44*Constants!$H$57*Constants!$H$58*ttokg</f>
        <v>12131728.127999999</v>
      </c>
      <c r="AL83" s="22">
        <f>((AL42*Constants!$H$47*Constants!$H$50)*(1+Constants!$H$53))*Constants!$H$56*Constants!$H$44*Constants!$H$57*Constants!$H$58*ttokg</f>
        <v>12131728.127999999</v>
      </c>
      <c r="AM83" s="22">
        <f>((AM42*Constants!$H$47*Constants!$H$50)*(1+Constants!$H$53))*Constants!$H$56*Constants!$H$44*Constants!$H$57*Constants!$H$58*ttokg</f>
        <v>12131728.127999999</v>
      </c>
      <c r="AN83" s="22">
        <f>((AN42*Constants!$H$47*Constants!$H$50)*(1+Constants!$H$53))*Constants!$H$56*Constants!$H$44*Constants!$H$57*Constants!$H$58*ttokg</f>
        <v>12131728.127999999</v>
      </c>
      <c r="AO83" s="22">
        <f>((AO42*Constants!$H$47*Constants!$H$50)*(1+Constants!$H$53))*Constants!$H$56*Constants!$H$44*Constants!$H$57*Constants!$H$58*ttokg</f>
        <v>12131728.127999999</v>
      </c>
      <c r="AP83" s="22">
        <f>((AP42*Constants!$H$47*Constants!$H$50)*(1+Constants!$H$53))*Constants!$H$56*Constants!$H$44*Constants!$H$57*Constants!$H$58*ttokg</f>
        <v>12131728.127999999</v>
      </c>
      <c r="AQ83" s="22">
        <f>((AQ42*Constants!$H$47*Constants!$H$50)*(1+Constants!$H$53))*Constants!$H$56*Constants!$H$44*Constants!$H$57*Constants!$H$58*ttokg</f>
        <v>12131728.127999999</v>
      </c>
      <c r="AR83" s="22">
        <f>((AR42*Constants!$H$47*Constants!$H$50)*(1+Constants!$H$53))*Constants!$H$56*Constants!$H$44*Constants!$H$57*Constants!$H$58*ttokg</f>
        <v>12131728.127999999</v>
      </c>
      <c r="AS83" s="22">
        <f>((AS42*Constants!$H$47*Constants!$H$50)*(1+Constants!$H$53))*Constants!$H$56*Constants!$H$44*Constants!$H$57*Constants!$H$58*ttokg</f>
        <v>12131728.127999999</v>
      </c>
      <c r="AT83" s="22">
        <f>((AT42*Constants!$H$47*Constants!$H$50)*(1+Constants!$H$53))*Constants!$H$56*Constants!$H$44*Constants!$H$57*Constants!$H$58*ttokg</f>
        <v>12131728.127999999</v>
      </c>
      <c r="AU83" s="22">
        <f>((AU42*Constants!$H$47*Constants!$H$50)*(1+Constants!$H$53))*Constants!$H$56*Constants!$H$44*Constants!$H$57*Constants!$H$58*ttokg</f>
        <v>12131728.127999999</v>
      </c>
      <c r="AV83" s="22">
        <f>((AV42*Constants!$H$47*Constants!$H$50)*(1+Constants!$H$53))*Constants!$H$56*Constants!$H$44*Constants!$H$57*Constants!$H$58*ttokg</f>
        <v>12131728.127999999</v>
      </c>
      <c r="AW83" s="22">
        <f>((AW42*Constants!$H$47*Constants!$H$50)*(1+Constants!$H$53))*Constants!$H$56*Constants!$H$44*Constants!$H$57*Constants!$H$58*ttokg</f>
        <v>12131728.127999999</v>
      </c>
      <c r="AX83" s="22">
        <f>((AX42*Constants!$H$47*Constants!$H$50)*(1+Constants!$H$53))*Constants!$H$56*Constants!$H$44*Constants!$H$57*Constants!$H$58*ttokg</f>
        <v>12131728.127999999</v>
      </c>
      <c r="AY83" s="22">
        <f>((AY42*Constants!$H$47*Constants!$H$50)*(1+Constants!$H$53))*Constants!$H$56*Constants!$H$44*Constants!$H$57*Constants!$H$58*ttokg</f>
        <v>12131728.127999999</v>
      </c>
      <c r="AZ83" s="22">
        <f>((AZ42*Constants!$H$47*Constants!$H$50)*(1+Constants!$H$53))*Constants!$H$56*Constants!$H$44*Constants!$H$57*Constants!$H$58*ttokg</f>
        <v>12131728.127999999</v>
      </c>
      <c r="BA83" s="22">
        <f>((BA42*Constants!$H$47*Constants!$H$50)*(1+Constants!$H$53))*Constants!$H$56*Constants!$H$44*Constants!$H$57*Constants!$H$58*ttokg</f>
        <v>12131728.127999999</v>
      </c>
      <c r="BB83" s="22">
        <f>((BB42*Constants!$H$47*Constants!$H$50)*(1+Constants!$H$53))*Constants!$H$56*Constants!$H$44*Constants!$H$57*Constants!$H$58*ttokg</f>
        <v>12131728.127999999</v>
      </c>
      <c r="BC83" s="22">
        <f>((BC42*Constants!$H$47*Constants!$H$50)*(1+Constants!$H$53))*Constants!$H$56*Constants!$H$44*Constants!$H$57*Constants!$H$58*ttokg</f>
        <v>12131728.127999999</v>
      </c>
      <c r="BD83" s="22">
        <f>((BD42*Constants!$H$47*Constants!$H$50)*(1+Constants!$H$53))*Constants!$H$56*Constants!$H$44*Constants!$H$57*Constants!$H$58*ttokg</f>
        <v>12131728.127999999</v>
      </c>
      <c r="BE83" s="22">
        <f>((BE42*Constants!$H$47*Constants!$H$50)*(1+Constants!$H$53))*Constants!$H$56*Constants!$H$44*Constants!$H$57*Constants!$H$58*ttokg</f>
        <v>12131728.127999999</v>
      </c>
      <c r="BF83" s="22">
        <f>((BF42*Constants!$H$47*Constants!$H$50)*(1+Constants!$H$53))*Constants!$H$56*Constants!$H$44*Constants!$H$57*Constants!$H$58*ttokg</f>
        <v>12131728.127999999</v>
      </c>
      <c r="BG83" s="22">
        <f>((BG42*Constants!$H$47*Constants!$H$50)*(1+Constants!$H$53))*Constants!$H$56*Constants!$H$44*Constants!$H$57*Constants!$H$58*ttokg</f>
        <v>12131728.127999999</v>
      </c>
      <c r="BH83" s="22">
        <f>((BH42*Constants!$H$47*Constants!$H$50)*(1+Constants!$H$53))*Constants!$H$56*Constants!$H$44*Constants!$H$57*Constants!$H$58*ttokg</f>
        <v>12131728.127999999</v>
      </c>
      <c r="BI83" s="22">
        <f>((BI42*Constants!$H$47*Constants!$H$50)*(1+Constants!$H$53))*Constants!$H$56*Constants!$H$44*Constants!$H$57*Constants!$H$58*ttokg</f>
        <v>12131728.127999999</v>
      </c>
      <c r="BJ83" s="22">
        <f>((BJ42*Constants!$H$47*Constants!$H$50)*(1+Constants!$H$53))*Constants!$H$56*Constants!$H$44*Constants!$H$57*Constants!$H$58*ttokg</f>
        <v>12131728.127999999</v>
      </c>
      <c r="BK83" s="22">
        <f>((BK42*Constants!$H$47*Constants!$H$50)*(1+Constants!$H$53))*Constants!$H$56*Constants!$H$44*Constants!$H$57*Constants!$H$58*ttokg</f>
        <v>12131728.127999999</v>
      </c>
      <c r="BL83" s="22">
        <f>((BL42*Constants!$H$47*Constants!$H$50)*(1+Constants!$H$53))*Constants!$H$56*Constants!$H$44*Constants!$H$57*Constants!$H$58*ttokg</f>
        <v>12131728.127999999</v>
      </c>
      <c r="BM83" s="22">
        <f>((BM42*Constants!$H$47*Constants!$H$50)*(1+Constants!$H$53))*Constants!$H$56*Constants!$H$44*Constants!$H$57*Constants!$H$58*ttokg</f>
        <v>12131728.127999999</v>
      </c>
      <c r="BN83" s="22">
        <f>((BN42*Constants!$H$47*Constants!$H$50)*(1+Constants!$H$53))*Constants!$H$56*Constants!$H$44*Constants!$H$57*Constants!$H$58*ttokg</f>
        <v>12131728.127999999</v>
      </c>
      <c r="BO83" s="22">
        <f>((BO42*Constants!$H$47*Constants!$H$50)*(1+Constants!$H$53))*Constants!$H$56*Constants!$H$44*Constants!$H$57*Constants!$H$58*ttokg</f>
        <v>12131728.127999999</v>
      </c>
      <c r="BP83" s="22">
        <f>((BP42*Constants!$H$47*Constants!$H$50)*(1+Constants!$H$53))*Constants!$H$56*Constants!$H$44*Constants!$H$57*Constants!$H$58*ttokg</f>
        <v>12131728.127999999</v>
      </c>
    </row>
    <row r="84" spans="1:72" x14ac:dyDescent="0.25">
      <c r="A84" t="str">
        <f>A83</f>
        <v>3C Aggregated and non-CO2 emissions on land</v>
      </c>
      <c r="B84" t="str">
        <f t="shared" si="53"/>
        <v>3C4 Direct N2O from managed soils (N2O)</v>
      </c>
      <c r="C84" t="str">
        <f t="shared" si="53"/>
        <v>Crop residue N</v>
      </c>
      <c r="D84" t="s">
        <v>375</v>
      </c>
      <c r="E84" t="str">
        <f t="shared" si="49"/>
        <v>Crop residue N - sorghum</v>
      </c>
      <c r="F84" t="str">
        <f t="shared" si="50"/>
        <v>kg N</v>
      </c>
      <c r="H84" s="22">
        <v>390687.3631584</v>
      </c>
      <c r="I84" s="22">
        <v>361799.87719679996</v>
      </c>
      <c r="J84" s="22">
        <v>48092.127955199998</v>
      </c>
      <c r="K84" s="22">
        <v>731712.72642101767</v>
      </c>
      <c r="L84" s="22">
        <v>784820.45288404799</v>
      </c>
      <c r="M84" s="22">
        <v>388730.34895175043</v>
      </c>
      <c r="N84" s="22">
        <v>1085449.9899444769</v>
      </c>
      <c r="O84" s="22">
        <v>767913.6197730815</v>
      </c>
      <c r="P84" s="22">
        <v>644364.57901744312</v>
      </c>
      <c r="Q84" s="22">
        <v>332629.55174332805</v>
      </c>
      <c r="R84" s="22">
        <v>310743.09356160002</v>
      </c>
      <c r="S84" s="22">
        <v>135738.5035776</v>
      </c>
      <c r="T84" s="22">
        <v>169256.39976</v>
      </c>
      <c r="U84" s="22">
        <v>170266.89153600001</v>
      </c>
      <c r="V84" s="22">
        <v>245534.82844799999</v>
      </c>
      <c r="W84" s="22">
        <v>170159.33773440003</v>
      </c>
      <c r="X84" s="22">
        <v>62943.126489599999</v>
      </c>
      <c r="Y84" s="22">
        <v>115864.25639040001</v>
      </c>
      <c r="Z84" s="22">
        <v>168245.86927680002</v>
      </c>
      <c r="AA84" s="22">
        <v>183064.86347520002</v>
      </c>
      <c r="AB84" s="22">
        <v>129857.51237760003</v>
      </c>
      <c r="AC84" s="22">
        <v>101755.71665280001</v>
      </c>
      <c r="AD84" s="22">
        <f>((AD43*Constants!$H$46*Constants!$H$49)+(1+Constants!$H$52))*Constants!$H$55*Constants!$H$43*Constants!$H$57*Constants!$H$58*ttokg</f>
        <v>131877.44099999996</v>
      </c>
      <c r="AE84" s="22">
        <f>((AE43*Constants!$H$46*Constants!$H$49)+(1+Constants!$H$52))*Constants!$H$55*Constants!$H$43*Constants!$H$57*Constants!$H$58*ttokg</f>
        <v>131877.44099999996</v>
      </c>
      <c r="AF84" s="22">
        <f>((AF43*Constants!$H$46*Constants!$H$49)+(1+Constants!$H$52))*Constants!$H$55*Constants!$H$43*Constants!$H$57*Constants!$H$58*ttokg</f>
        <v>131877.44099999996</v>
      </c>
      <c r="AG84" s="22">
        <f>((AG43*Constants!$H$46*Constants!$H$49)+(1+Constants!$H$52))*Constants!$H$55*Constants!$H$43*Constants!$H$57*Constants!$H$58*ttokg</f>
        <v>131877.44099999996</v>
      </c>
      <c r="AH84" s="22">
        <f>((AH43*Constants!$H$46*Constants!$H$49)+(1+Constants!$H$52))*Constants!$H$55*Constants!$H$43*Constants!$H$57*Constants!$H$58*ttokg</f>
        <v>131877.44099999996</v>
      </c>
      <c r="AI84" s="22">
        <f>((AI43*Constants!$H$46*Constants!$H$49)+(1+Constants!$H$52))*Constants!$H$55*Constants!$H$43*Constants!$H$57*Constants!$H$58*ttokg</f>
        <v>131877.44099999996</v>
      </c>
      <c r="AJ84" s="22">
        <f>((AJ43*Constants!$H$46*Constants!$H$49)+(1+Constants!$H$52))*Constants!$H$55*Constants!$H$43*Constants!$H$57*Constants!$H$58*ttokg</f>
        <v>131877.44099999996</v>
      </c>
      <c r="AK84" s="22">
        <f>((AK43*Constants!$H$46*Constants!$H$49)+(1+Constants!$H$52))*Constants!$H$55*Constants!$H$43*Constants!$H$57*Constants!$H$58*ttokg</f>
        <v>131877.44099999996</v>
      </c>
      <c r="AL84" s="22">
        <f>((AL43*Constants!$H$46*Constants!$H$49)+(1+Constants!$H$52))*Constants!$H$55*Constants!$H$43*Constants!$H$57*Constants!$H$58*ttokg</f>
        <v>131877.44099999996</v>
      </c>
      <c r="AM84" s="22">
        <f>((AM43*Constants!$H$46*Constants!$H$49)+(1+Constants!$H$52))*Constants!$H$55*Constants!$H$43*Constants!$H$57*Constants!$H$58*ttokg</f>
        <v>131877.44099999996</v>
      </c>
      <c r="AN84" s="22">
        <f>((AN43*Constants!$H$46*Constants!$H$49)+(1+Constants!$H$52))*Constants!$H$55*Constants!$H$43*Constants!$H$57*Constants!$H$58*ttokg</f>
        <v>131877.44099999996</v>
      </c>
      <c r="AO84" s="22">
        <f>((AO43*Constants!$H$46*Constants!$H$49)+(1+Constants!$H$52))*Constants!$H$55*Constants!$H$43*Constants!$H$57*Constants!$H$58*ttokg</f>
        <v>131877.44099999996</v>
      </c>
      <c r="AP84" s="22">
        <f>((AP43*Constants!$H$46*Constants!$H$49)+(1+Constants!$H$52))*Constants!$H$55*Constants!$H$43*Constants!$H$57*Constants!$H$58*ttokg</f>
        <v>131877.44099999996</v>
      </c>
      <c r="AQ84" s="22">
        <f>((AQ43*Constants!$H$46*Constants!$H$49)+(1+Constants!$H$52))*Constants!$H$55*Constants!$H$43*Constants!$H$57*Constants!$H$58*ttokg</f>
        <v>131877.44099999996</v>
      </c>
      <c r="AR84" s="22">
        <f>((AR43*Constants!$H$46*Constants!$H$49)+(1+Constants!$H$52))*Constants!$H$55*Constants!$H$43*Constants!$H$57*Constants!$H$58*ttokg</f>
        <v>131877.44099999996</v>
      </c>
      <c r="AS84" s="22">
        <f>((AS43*Constants!$H$46*Constants!$H$49)+(1+Constants!$H$52))*Constants!$H$55*Constants!$H$43*Constants!$H$57*Constants!$H$58*ttokg</f>
        <v>131877.44099999996</v>
      </c>
      <c r="AT84" s="22">
        <f>((AT43*Constants!$H$46*Constants!$H$49)+(1+Constants!$H$52))*Constants!$H$55*Constants!$H$43*Constants!$H$57*Constants!$H$58*ttokg</f>
        <v>131877.44099999996</v>
      </c>
      <c r="AU84" s="22">
        <f>((AU43*Constants!$H$46*Constants!$H$49)+(1+Constants!$H$52))*Constants!$H$55*Constants!$H$43*Constants!$H$57*Constants!$H$58*ttokg</f>
        <v>131877.44099999996</v>
      </c>
      <c r="AV84" s="22">
        <f>((AV43*Constants!$H$46*Constants!$H$49)+(1+Constants!$H$52))*Constants!$H$55*Constants!$H$43*Constants!$H$57*Constants!$H$58*ttokg</f>
        <v>131877.44099999996</v>
      </c>
      <c r="AW84" s="22">
        <f>((AW43*Constants!$H$46*Constants!$H$49)+(1+Constants!$H$52))*Constants!$H$55*Constants!$H$43*Constants!$H$57*Constants!$H$58*ttokg</f>
        <v>131877.44099999996</v>
      </c>
      <c r="AX84" s="22">
        <f>((AX43*Constants!$H$46*Constants!$H$49)+(1+Constants!$H$52))*Constants!$H$55*Constants!$H$43*Constants!$H$57*Constants!$H$58*ttokg</f>
        <v>131877.44099999996</v>
      </c>
      <c r="AY84" s="22">
        <f>((AY43*Constants!$H$46*Constants!$H$49)+(1+Constants!$H$52))*Constants!$H$55*Constants!$H$43*Constants!$H$57*Constants!$H$58*ttokg</f>
        <v>131877.44099999996</v>
      </c>
      <c r="AZ84" s="22">
        <f>((AZ43*Constants!$H$46*Constants!$H$49)+(1+Constants!$H$52))*Constants!$H$55*Constants!$H$43*Constants!$H$57*Constants!$H$58*ttokg</f>
        <v>131877.44099999996</v>
      </c>
      <c r="BA84" s="22">
        <f>((BA43*Constants!$H$46*Constants!$H$49)+(1+Constants!$H$52))*Constants!$H$55*Constants!$H$43*Constants!$H$57*Constants!$H$58*ttokg</f>
        <v>131877.44099999996</v>
      </c>
      <c r="BB84" s="22">
        <f>((BB43*Constants!$H$46*Constants!$H$49)+(1+Constants!$H$52))*Constants!$H$55*Constants!$H$43*Constants!$H$57*Constants!$H$58*ttokg</f>
        <v>131877.44099999996</v>
      </c>
      <c r="BC84" s="22">
        <f>((BC43*Constants!$H$46*Constants!$H$49)+(1+Constants!$H$52))*Constants!$H$55*Constants!$H$43*Constants!$H$57*Constants!$H$58*ttokg</f>
        <v>131877.44099999996</v>
      </c>
      <c r="BD84" s="22">
        <f>((BD43*Constants!$H$46*Constants!$H$49)+(1+Constants!$H$52))*Constants!$H$55*Constants!$H$43*Constants!$H$57*Constants!$H$58*ttokg</f>
        <v>131877.44099999996</v>
      </c>
      <c r="BE84" s="22">
        <f>((BE43*Constants!$H$46*Constants!$H$49)+(1+Constants!$H$52))*Constants!$H$55*Constants!$H$43*Constants!$H$57*Constants!$H$58*ttokg</f>
        <v>131877.44099999996</v>
      </c>
      <c r="BF84" s="22">
        <f>((BF43*Constants!$H$46*Constants!$H$49)+(1+Constants!$H$52))*Constants!$H$55*Constants!$H$43*Constants!$H$57*Constants!$H$58*ttokg</f>
        <v>131877.44099999996</v>
      </c>
      <c r="BG84" s="22">
        <f>((BG43*Constants!$H$46*Constants!$H$49)+(1+Constants!$H$52))*Constants!$H$55*Constants!$H$43*Constants!$H$57*Constants!$H$58*ttokg</f>
        <v>131877.44099999996</v>
      </c>
      <c r="BH84" s="22">
        <f>((BH43*Constants!$H$46*Constants!$H$49)+(1+Constants!$H$52))*Constants!$H$55*Constants!$H$43*Constants!$H$57*Constants!$H$58*ttokg</f>
        <v>131877.44099999996</v>
      </c>
      <c r="BI84" s="22">
        <f>((BI43*Constants!$H$46*Constants!$H$49)+(1+Constants!$H$52))*Constants!$H$55*Constants!$H$43*Constants!$H$57*Constants!$H$58*ttokg</f>
        <v>131877.44099999996</v>
      </c>
      <c r="BJ84" s="22">
        <f>((BJ43*Constants!$H$46*Constants!$H$49)+(1+Constants!$H$52))*Constants!$H$55*Constants!$H$43*Constants!$H$57*Constants!$H$58*ttokg</f>
        <v>131877.44099999996</v>
      </c>
      <c r="BK84" s="22">
        <f>((BK43*Constants!$H$46*Constants!$H$49)+(1+Constants!$H$52))*Constants!$H$55*Constants!$H$43*Constants!$H$57*Constants!$H$58*ttokg</f>
        <v>131877.44099999996</v>
      </c>
      <c r="BL84" s="22">
        <f>((BL43*Constants!$H$46*Constants!$H$49)+(1+Constants!$H$52))*Constants!$H$55*Constants!$H$43*Constants!$H$57*Constants!$H$58*ttokg</f>
        <v>131877.44099999996</v>
      </c>
      <c r="BM84" s="22">
        <f>((BM43*Constants!$H$46*Constants!$H$49)+(1+Constants!$H$52))*Constants!$H$55*Constants!$H$43*Constants!$H$57*Constants!$H$58*ttokg</f>
        <v>131877.44099999996</v>
      </c>
      <c r="BN84" s="22">
        <f>((BN43*Constants!$H$46*Constants!$H$49)+(1+Constants!$H$52))*Constants!$H$55*Constants!$H$43*Constants!$H$57*Constants!$H$58*ttokg</f>
        <v>131877.44099999996</v>
      </c>
      <c r="BO84" s="22">
        <f>((BO43*Constants!$H$46*Constants!$H$49)+(1+Constants!$H$52))*Constants!$H$55*Constants!$H$43*Constants!$H$57*Constants!$H$58*ttokg</f>
        <v>131877.44099999996</v>
      </c>
      <c r="BP84" s="22">
        <f>((BP43*Constants!$H$46*Constants!$H$49)+(1+Constants!$H$52))*Constants!$H$55*Constants!$H$43*Constants!$H$57*Constants!$H$58*ttokg</f>
        <v>131877.44099999996</v>
      </c>
    </row>
    <row r="85" spans="1:72" x14ac:dyDescent="0.25">
      <c r="A85" t="str">
        <f>A84</f>
        <v>3C Aggregated and non-CO2 emissions on land</v>
      </c>
      <c r="B85" t="str">
        <f t="shared" si="53"/>
        <v>3C4 Direct N2O from managed soils (N2O)</v>
      </c>
      <c r="C85" t="str">
        <f t="shared" si="53"/>
        <v>Crop residue N</v>
      </c>
      <c r="D85" t="s">
        <v>376</v>
      </c>
      <c r="E85" t="str">
        <f t="shared" si="49"/>
        <v>Crop residue N - total</v>
      </c>
      <c r="F85" t="str">
        <f t="shared" si="50"/>
        <v>kg N</v>
      </c>
      <c r="H85" s="22">
        <f>SUM(H82:H84)/Constants!$H$41</f>
        <v>302735136.11723351</v>
      </c>
      <c r="I85" s="22">
        <f>SUM(I82:I84)/Constants!$H$41</f>
        <v>269840981.05789542</v>
      </c>
      <c r="J85" s="22">
        <f>SUM(J82:J84)/Constants!$H$41</f>
        <v>280977614.4791981</v>
      </c>
      <c r="K85" s="22">
        <f>SUM(K82:K84)/Constants!$H$41</f>
        <v>301756562.3850947</v>
      </c>
      <c r="L85" s="22">
        <f>SUM(L82:L84)/Constants!$H$41</f>
        <v>318239907.16226852</v>
      </c>
      <c r="M85" s="22">
        <f>SUM(M82:M84)/Constants!$H$41</f>
        <v>247496959.03553009</v>
      </c>
      <c r="N85" s="22">
        <f>SUM(N82:N84)/Constants!$H$41</f>
        <v>272613503.48055476</v>
      </c>
      <c r="O85" s="22">
        <f>SUM(O82:O84)/Constants!$H$41</f>
        <v>286680375.68176723</v>
      </c>
      <c r="P85" s="22">
        <f>SUM(P82:P84)/Constants!$H$41</f>
        <v>249809244.98907641</v>
      </c>
      <c r="Q85" s="22">
        <f>SUM(Q82:Q84)/Constants!$H$41</f>
        <v>247888661.1722897</v>
      </c>
      <c r="R85" s="22">
        <f>SUM(R82:R84)/Constants!$H$41</f>
        <v>284523196.2187826</v>
      </c>
      <c r="S85" s="22">
        <f>SUM(S82:S84)/Constants!$H$41</f>
        <v>232393825.58145612</v>
      </c>
      <c r="T85" s="22">
        <f>SUM(T82:T84)/Constants!$H$41</f>
        <v>253463207.00223199</v>
      </c>
      <c r="U85" s="22">
        <f>SUM(U82:U84)/Constants!$H$41</f>
        <v>250101158.55903342</v>
      </c>
      <c r="V85" s="22">
        <f>SUM(V82:V84)/Constants!$H$41</f>
        <v>223649265.30173606</v>
      </c>
      <c r="W85" s="22">
        <f>SUM(W82:W84)/Constants!$H$41</f>
        <v>227172298.65832567</v>
      </c>
      <c r="X85" s="22">
        <f>SUM(X82:X84)/Constants!$H$41</f>
        <v>152748609.20992908</v>
      </c>
      <c r="Y85" s="22">
        <f>SUM(Y82:Y84)/Constants!$H$41</f>
        <v>207071947.97845623</v>
      </c>
      <c r="Z85" s="22">
        <f>SUM(Z82:Z84)/Constants!$H$41</f>
        <v>236494953.31233731</v>
      </c>
      <c r="AA85" s="22">
        <f>SUM(AA82:AA84)/Constants!$H$41</f>
        <v>210127498.6066227</v>
      </c>
      <c r="AB85" s="22">
        <f>SUM(AB82:AB84)/Constants!$H$41</f>
        <v>229428626.58588862</v>
      </c>
      <c r="AC85" s="22">
        <f>SUM(AC82:AC84)/Constants!$H$41</f>
        <v>212438780.81340763</v>
      </c>
      <c r="AD85" s="22">
        <f>SUM(AD82:AD84)/Constants!$H$41</f>
        <v>187683306.05231518</v>
      </c>
      <c r="AE85" s="22">
        <f>SUM(AE82:AE84)/Constants!$H$41</f>
        <v>188133657.53936628</v>
      </c>
      <c r="AF85" s="22">
        <f>SUM(AF82:AF84)/Constants!$H$41</f>
        <v>188749065.97200984</v>
      </c>
      <c r="AG85" s="22">
        <f>SUM(AG82:AG84)/Constants!$H$41</f>
        <v>189195770.88590884</v>
      </c>
      <c r="AH85" s="22">
        <f>SUM(AH82:AH84)/Constants!$H$41</f>
        <v>189413312.85178119</v>
      </c>
      <c r="AI85" s="22">
        <f>SUM(AI82:AI84)/Constants!$H$41</f>
        <v>189628028.88710403</v>
      </c>
      <c r="AJ85" s="22">
        <f>SUM(AJ82:AJ84)/Constants!$H$41</f>
        <v>189952842.16069612</v>
      </c>
      <c r="AK85" s="22">
        <f>SUM(AK82:AK84)/Constants!$H$41</f>
        <v>190308465.10712859</v>
      </c>
      <c r="AL85" s="22">
        <f>SUM(AL82:AL84)/Constants!$H$41</f>
        <v>190424848.03177622</v>
      </c>
      <c r="AM85" s="22">
        <f>SUM(AM82:AM84)/Constants!$H$41</f>
        <v>188287082.25207475</v>
      </c>
      <c r="AN85" s="22">
        <f>SUM(AN82:AN84)/Constants!$H$41</f>
        <v>188953923.72299773</v>
      </c>
      <c r="AO85" s="22">
        <f>SUM(AO82:AO84)/Constants!$H$41</f>
        <v>189553465.45411286</v>
      </c>
      <c r="AP85" s="22">
        <f>SUM(AP82:AP84)/Constants!$H$41</f>
        <v>190147449.2940293</v>
      </c>
      <c r="AQ85" s="22">
        <f>SUM(AQ82:AQ84)/Constants!$H$41</f>
        <v>190829280.88822225</v>
      </c>
      <c r="AR85" s="22">
        <f>SUM(AR82:AR84)/Constants!$H$41</f>
        <v>191503712.24409091</v>
      </c>
      <c r="AS85" s="22">
        <f>SUM(AS82:AS84)/Constants!$H$41</f>
        <v>192187501.28741774</v>
      </c>
      <c r="AT85" s="22">
        <f>SUM(AT82:AT84)/Constants!$H$41</f>
        <v>192842184.58287063</v>
      </c>
      <c r="AU85" s="22">
        <f>SUM(AU82:AU84)/Constants!$H$41</f>
        <v>193524850.40551373</v>
      </c>
      <c r="AV85" s="22">
        <f>SUM(AV82:AV84)/Constants!$H$41</f>
        <v>194159001.32989231</v>
      </c>
      <c r="AW85" s="22">
        <f>SUM(AW82:AW84)/Constants!$H$41</f>
        <v>194798809.29750669</v>
      </c>
      <c r="AX85" s="22">
        <f>SUM(AX82:AX84)/Constants!$H$41</f>
        <v>195543328.98893598</v>
      </c>
      <c r="AY85" s="22">
        <f>SUM(AY82:AY84)/Constants!$H$41</f>
        <v>196329313.99826372</v>
      </c>
      <c r="AZ85" s="22">
        <f>SUM(AZ82:AZ84)/Constants!$H$41</f>
        <v>197125213.49282694</v>
      </c>
      <c r="BA85" s="22">
        <f>SUM(BA82:BA84)/Constants!$H$41</f>
        <v>197283165.32422814</v>
      </c>
      <c r="BB85" s="22">
        <f>SUM(BB82:BB84)/Constants!$H$41</f>
        <v>131645381.12189738</v>
      </c>
      <c r="BC85" s="22">
        <f>SUM(BC82:BC84)/Constants!$H$41</f>
        <v>131529257.50448583</v>
      </c>
      <c r="BD85" s="22">
        <f>SUM(BD82:BD84)/Constants!$H$41</f>
        <v>131411911.49712759</v>
      </c>
      <c r="BE85" s="22">
        <f>SUM(BE82:BE84)/Constants!$H$41</f>
        <v>131293326.25984366</v>
      </c>
      <c r="BF85" s="22">
        <f>SUM(BF82:BF84)/Constants!$H$41</f>
        <v>131173484.63591012</v>
      </c>
      <c r="BG85" s="22">
        <f>SUM(BG82:BG84)/Constants!$H$41</f>
        <v>131052369.14395276</v>
      </c>
      <c r="BH85" s="22">
        <f>SUM(BH82:BH84)/Constants!$H$41</f>
        <v>130948550.82752837</v>
      </c>
      <c r="BI85" s="22">
        <f>SUM(BI82:BI84)/Constants!$H$41</f>
        <v>130843790.77403991</v>
      </c>
      <c r="BJ85" s="22">
        <f>SUM(BJ82:BJ84)/Constants!$H$41</f>
        <v>130738077.7152961</v>
      </c>
      <c r="BK85" s="22">
        <f>SUM(BK82:BK84)/Constants!$H$41</f>
        <v>130631400.19824553</v>
      </c>
      <c r="BL85" s="22">
        <f>SUM(BL82:BL84)/Constants!$H$41</f>
        <v>130523746.58095077</v>
      </c>
      <c r="BM85" s="22">
        <f>SUM(BM82:BM84)/Constants!$H$41</f>
        <v>130434476.26699252</v>
      </c>
      <c r="BN85" s="22">
        <f>SUM(BN82:BN84)/Constants!$H$41</f>
        <v>130344531.14994584</v>
      </c>
      <c r="BO85" s="22">
        <f>SUM(BO82:BO84)/Constants!$H$41</f>
        <v>130253904.4561373</v>
      </c>
      <c r="BP85" s="22">
        <f>SUM(BP82:BP84)/Constants!$H$41</f>
        <v>130162589.3183571</v>
      </c>
    </row>
    <row r="86" spans="1:72" ht="18.75" customHeight="1" x14ac:dyDescent="0.25">
      <c r="A86" s="20" t="s">
        <v>60</v>
      </c>
      <c r="B86" s="20"/>
      <c r="C86" s="20"/>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c r="BA86" s="15"/>
      <c r="BB86" s="15"/>
      <c r="BC86" s="15"/>
      <c r="BD86" s="15"/>
      <c r="BE86" s="15"/>
      <c r="BF86" s="15"/>
      <c r="BG86" s="15"/>
      <c r="BH86" s="15"/>
      <c r="BI86" s="15"/>
      <c r="BJ86" s="15"/>
      <c r="BK86" s="15"/>
      <c r="BL86" s="15"/>
      <c r="BM86" s="15"/>
      <c r="BN86" s="15"/>
      <c r="BO86" s="15"/>
      <c r="BP86" s="15"/>
      <c r="BQ86" s="23"/>
      <c r="BS86" s="16"/>
      <c r="BT86" s="15"/>
    </row>
    <row r="87" spans="1:72" x14ac:dyDescent="0.25">
      <c r="A87" t="str">
        <f>'IPCC Categories'!A59</f>
        <v>3C Aggregated and non-CO2 emissions on land</v>
      </c>
      <c r="B87" t="str">
        <f>'IPCC Categories'!B73</f>
        <v>3C4 Direct N2O from managed soils (N2O)</v>
      </c>
      <c r="C87" t="s">
        <v>60</v>
      </c>
      <c r="D87" t="s">
        <v>718</v>
      </c>
      <c r="F87" t="s">
        <v>719</v>
      </c>
      <c r="H87" s="81" t="s">
        <v>720</v>
      </c>
      <c r="I87" s="81" t="s">
        <v>720</v>
      </c>
      <c r="J87" s="81" t="s">
        <v>720</v>
      </c>
      <c r="K87" s="81" t="s">
        <v>720</v>
      </c>
      <c r="L87" s="81" t="s">
        <v>720</v>
      </c>
      <c r="M87" s="81" t="s">
        <v>720</v>
      </c>
      <c r="N87" s="81" t="s">
        <v>720</v>
      </c>
      <c r="O87" s="81" t="s">
        <v>720</v>
      </c>
      <c r="P87" s="81" t="s">
        <v>720</v>
      </c>
      <c r="Q87" s="81" t="s">
        <v>720</v>
      </c>
      <c r="R87" s="81" t="s">
        <v>720</v>
      </c>
      <c r="S87" s="81" t="s">
        <v>720</v>
      </c>
      <c r="T87" s="81" t="s">
        <v>720</v>
      </c>
      <c r="U87" s="81" t="s">
        <v>720</v>
      </c>
      <c r="V87" s="81" t="s">
        <v>720</v>
      </c>
      <c r="W87" s="81" t="s">
        <v>720</v>
      </c>
      <c r="X87" s="81" t="s">
        <v>720</v>
      </c>
      <c r="Y87" s="81" t="s">
        <v>720</v>
      </c>
      <c r="Z87" s="81" t="s">
        <v>720</v>
      </c>
      <c r="AA87" s="81" t="s">
        <v>720</v>
      </c>
      <c r="AB87" s="43" t="s">
        <v>720</v>
      </c>
      <c r="AC87" s="43" t="s">
        <v>720</v>
      </c>
      <c r="AD87" s="93" t="str">
        <f>IF('[3]Mitigation summary'!G11*CO2toC*Ggtot&gt;0,'[3]Mitigation summary'!G11*CO2toC*Ggtot,"NO")</f>
        <v>NO</v>
      </c>
      <c r="AE87" s="93" t="str">
        <f>IF('[3]Mitigation summary'!H11*CO2toC*Ggtot&gt;0,'[3]Mitigation summary'!H11*CO2toC*Ggtot,"NO")</f>
        <v>NO</v>
      </c>
      <c r="AF87" s="93" t="str">
        <f>IF('[3]Mitigation summary'!I11*CO2toC*Ggtot&gt;0,'[3]Mitigation summary'!I11*CO2toC*Ggtot,"NO")</f>
        <v>NO</v>
      </c>
      <c r="AG87" s="93" t="str">
        <f>IF('[3]Mitigation summary'!J11*CO2toC*Ggtot&gt;0,'[3]Mitigation summary'!J11*CO2toC*Ggtot,"NO")</f>
        <v>NO</v>
      </c>
      <c r="AH87" s="93" t="str">
        <f>IF('[3]Mitigation summary'!K11*CO2toC*Ggtot&gt;0,'[3]Mitigation summary'!K11*CO2toC*Ggtot,"NO")</f>
        <v>NO</v>
      </c>
      <c r="AI87" s="93" t="str">
        <f>IF('[3]Mitigation summary'!L11*CO2toC*Ggtot&gt;0,'[3]Mitigation summary'!L11*CO2toC*Ggtot,"NO")</f>
        <v>NO</v>
      </c>
      <c r="AJ87" s="93" t="str">
        <f>IF('[3]Mitigation summary'!M11*CO2toC*Ggtot&gt;0,'[3]Mitigation summary'!M11*CO2toC*Ggtot,"NO")</f>
        <v>NO</v>
      </c>
      <c r="AK87" s="93" t="str">
        <f>IF('[3]Mitigation summary'!N11*CO2toC*Ggtot&gt;0,'[3]Mitigation summary'!N11*CO2toC*Ggtot,"NO")</f>
        <v>NO</v>
      </c>
      <c r="AL87" s="93" t="str">
        <f>IF('[3]Mitigation summary'!O11*CO2toC*Ggtot&gt;0,'[3]Mitigation summary'!O11*CO2toC*Ggtot,"NO")</f>
        <v>NO</v>
      </c>
      <c r="AM87" s="93" t="str">
        <f>IF('[3]Mitigation summary'!P11*CO2toC*Ggtot&gt;0,'[3]Mitigation summary'!P11*CO2toC*Ggtot,"NO")</f>
        <v>NO</v>
      </c>
      <c r="AN87" s="93" t="str">
        <f>IF('[3]Mitigation summary'!Q11*CO2toC*Ggtot&gt;0,'[3]Mitigation summary'!Q11*CO2toC*Ggtot,"NO")</f>
        <v>NO</v>
      </c>
      <c r="AO87" s="93" t="str">
        <f>IF('[3]Mitigation summary'!R11*CO2toC*Ggtot&gt;0,'[3]Mitigation summary'!R11*CO2toC*Ggtot,"NO")</f>
        <v>NO</v>
      </c>
      <c r="AP87" s="93" t="str">
        <f>IF('[3]Mitigation summary'!S11*CO2toC*Ggtot&gt;0,'[3]Mitigation summary'!S11*CO2toC*Ggtot,"NO")</f>
        <v>NO</v>
      </c>
      <c r="AQ87" s="93" t="str">
        <f>IF('[3]Mitigation summary'!T11*CO2toC*Ggtot&gt;0,'[3]Mitigation summary'!T11*CO2toC*Ggtot,"NO")</f>
        <v>NO</v>
      </c>
      <c r="AR87" s="93" t="str">
        <f>IF('[3]Mitigation summary'!U11*CO2toC*Ggtot&gt;0,'[3]Mitigation summary'!U11*CO2toC*Ggtot,"NO")</f>
        <v>NO</v>
      </c>
      <c r="AS87" s="93" t="str">
        <f>IF('[3]Mitigation summary'!V11*CO2toC*Ggtot&gt;0,'[3]Mitigation summary'!V11*CO2toC*Ggtot,"NO")</f>
        <v>NO</v>
      </c>
      <c r="AT87" s="93" t="str">
        <f>IF('[3]Mitigation summary'!W11*CO2toC*Ggtot&gt;0,'[3]Mitigation summary'!W11*CO2toC*Ggtot,"NO")</f>
        <v>NO</v>
      </c>
      <c r="AU87" s="93" t="str">
        <f>IF('[3]Mitigation summary'!X11*CO2toC*Ggtot&gt;0,'[3]Mitigation summary'!X11*CO2toC*Ggtot,"NO")</f>
        <v>NO</v>
      </c>
      <c r="AV87" s="93" t="str">
        <f>IF('[3]Mitigation summary'!Y11*CO2toC*Ggtot&gt;0,'[3]Mitigation summary'!Y11*CO2toC*Ggtot,"NO")</f>
        <v>NO</v>
      </c>
      <c r="AW87" s="93" t="str">
        <f>IF('[3]Mitigation summary'!Z11*CO2toC*Ggtot&gt;0,'[3]Mitigation summary'!Z11*CO2toC*Ggtot,"NO")</f>
        <v>NO</v>
      </c>
      <c r="AX87" s="93" t="str">
        <f>IF('[3]Mitigation summary'!AA11*CO2toC*Ggtot&gt;0,'[3]Mitigation summary'!AA11*CO2toC*Ggtot,"NO")</f>
        <v>NO</v>
      </c>
      <c r="AY87" s="93" t="str">
        <f>IF('[3]Mitigation summary'!AB11*CO2toC*Ggtot&gt;0,'[3]Mitigation summary'!AB11*CO2toC*Ggtot,"NO")</f>
        <v>NO</v>
      </c>
      <c r="AZ87" s="93" t="str">
        <f>IF('[3]Mitigation summary'!AC11*CO2toC*Ggtot&gt;0,'[3]Mitigation summary'!AC11*CO2toC*Ggtot,"NO")</f>
        <v>NO</v>
      </c>
      <c r="BA87" s="93" t="str">
        <f>IF('[3]Mitigation summary'!AD11*CO2toC*Ggtot&gt;0,'[3]Mitigation summary'!AD11*CO2toC*Ggtot,"NO")</f>
        <v>NO</v>
      </c>
      <c r="BB87" s="93" t="str">
        <f>IF('[3]Mitigation summary'!AE11*CO2toC*Ggtot&gt;0,'[3]Mitigation summary'!AE11*CO2toC*Ggtot,"NO")</f>
        <v>NO</v>
      </c>
      <c r="BC87" s="93" t="str">
        <f>IF('[3]Mitigation summary'!AF11*CO2toC*Ggtot&gt;0,'[3]Mitigation summary'!AF11*CO2toC*Ggtot,"NO")</f>
        <v>NO</v>
      </c>
      <c r="BD87" s="93" t="str">
        <f>IF('[3]Mitigation summary'!AG11*CO2toC*Ggtot&gt;0,'[3]Mitigation summary'!AG11*CO2toC*Ggtot,"NO")</f>
        <v>NO</v>
      </c>
      <c r="BE87" s="93" t="str">
        <f>IF('[3]Mitigation summary'!AH11*CO2toC*Ggtot&gt;0,'[3]Mitigation summary'!AH11*CO2toC*Ggtot,"NO")</f>
        <v>NO</v>
      </c>
      <c r="BF87" s="93" t="str">
        <f>IF('[3]Mitigation summary'!AI11*CO2toC*Ggtot&gt;0,'[3]Mitigation summary'!AI11*CO2toC*Ggtot,"NO")</f>
        <v>NO</v>
      </c>
      <c r="BG87" s="93" t="str">
        <f>IF('[3]Mitigation summary'!AJ11*CO2toC*Ggtot&gt;0,'[3]Mitigation summary'!AJ11*CO2toC*Ggtot,"NO")</f>
        <v>NO</v>
      </c>
      <c r="BH87" s="93" t="str">
        <f>IF('[3]Mitigation summary'!AK11*CO2toC*Ggtot&gt;0,'[3]Mitigation summary'!AK11*CO2toC*Ggtot,"NO")</f>
        <v>NO</v>
      </c>
      <c r="BI87" s="93" t="str">
        <f>IF('[3]Mitigation summary'!AL11*CO2toC*Ggtot&gt;0,'[3]Mitigation summary'!AL11*CO2toC*Ggtot,"NO")</f>
        <v>NO</v>
      </c>
      <c r="BJ87" s="93" t="str">
        <f>IF('[3]Mitigation summary'!AM11*CO2toC*Ggtot&gt;0,'[3]Mitigation summary'!AM11*CO2toC*Ggtot,"NO")</f>
        <v>NO</v>
      </c>
      <c r="BK87" s="93" t="str">
        <f>IF('[3]Mitigation summary'!AN11*CO2toC*Ggtot&gt;0,'[3]Mitigation summary'!AN11*CO2toC*Ggtot,"NO")</f>
        <v>NO</v>
      </c>
      <c r="BL87" s="93" t="str">
        <f>IF('[3]Mitigation summary'!AO11*CO2toC*Ggtot&gt;0,'[3]Mitigation summary'!AO11*CO2toC*Ggtot,"NO")</f>
        <v>NO</v>
      </c>
      <c r="BM87" s="93" t="str">
        <f>IF('[3]Mitigation summary'!AP11*CO2toC*Ggtot&gt;0,'[3]Mitigation summary'!AP11*CO2toC*Ggtot,"NO")</f>
        <v>NO</v>
      </c>
      <c r="BN87" s="93" t="str">
        <f>IF('[3]Mitigation summary'!AQ11*CO2toC*Ggtot&gt;0,'[3]Mitigation summary'!AQ11*CO2toC*Ggtot,"NO")</f>
        <v>NO</v>
      </c>
      <c r="BO87" s="93" t="str">
        <f>IF('[3]Mitigation summary'!AR11*CO2toC*Ggtot&gt;0,'[3]Mitigation summary'!AR11*CO2toC*Ggtot,"NO")</f>
        <v>NO</v>
      </c>
      <c r="BP87" s="93" t="str">
        <f>IF('[3]Mitigation summary'!AS11*CO2toC*Ggtot&gt;0,'[3]Mitigation summary'!AS11*CO2toC*Ggtot,"NO")</f>
        <v>NO</v>
      </c>
      <c r="BQ87" s="80"/>
    </row>
    <row r="88" spans="1:72" x14ac:dyDescent="0.25">
      <c r="C88" t="s">
        <v>60</v>
      </c>
      <c r="D88" t="s">
        <v>101</v>
      </c>
      <c r="F88" t="s">
        <v>719</v>
      </c>
      <c r="H88" s="21" t="s">
        <v>720</v>
      </c>
      <c r="I88" s="21" t="s">
        <v>720</v>
      </c>
      <c r="J88" s="21" t="s">
        <v>720</v>
      </c>
      <c r="K88" s="21" t="s">
        <v>720</v>
      </c>
      <c r="L88" s="21" t="s">
        <v>720</v>
      </c>
      <c r="M88" s="21" t="s">
        <v>720</v>
      </c>
      <c r="N88" s="21" t="s">
        <v>720</v>
      </c>
      <c r="O88" s="21" t="s">
        <v>720</v>
      </c>
      <c r="P88" s="21" t="s">
        <v>720</v>
      </c>
      <c r="Q88" s="21" t="s">
        <v>720</v>
      </c>
      <c r="R88" s="21" t="s">
        <v>720</v>
      </c>
      <c r="S88" s="21" t="s">
        <v>720</v>
      </c>
      <c r="T88" s="21" t="s">
        <v>720</v>
      </c>
      <c r="U88" s="21" t="s">
        <v>720</v>
      </c>
      <c r="V88" s="21" t="s">
        <v>720</v>
      </c>
      <c r="W88" s="21" t="s">
        <v>720</v>
      </c>
      <c r="X88" s="21" t="s">
        <v>720</v>
      </c>
      <c r="Y88" s="21" t="s">
        <v>720</v>
      </c>
      <c r="Z88" s="21" t="s">
        <v>720</v>
      </c>
      <c r="AA88" s="21" t="s">
        <v>720</v>
      </c>
      <c r="AB88" s="43" t="s">
        <v>720</v>
      </c>
      <c r="AC88" s="43" t="s">
        <v>720</v>
      </c>
      <c r="AD88" s="93" t="str">
        <f>IF('[3]Mitigation summary'!G16*CO2toC*Ggtot&gt;0,'[3]Mitigation summary'!G16*CO2toC*Ggtot,"NO")</f>
        <v>NO</v>
      </c>
      <c r="AE88" s="93" t="str">
        <f>IF('[3]Mitigation summary'!H16*CO2toC*Ggtot&gt;0,'[3]Mitigation summary'!H16*CO2toC*Ggtot,"NO")</f>
        <v>NO</v>
      </c>
      <c r="AF88" s="93" t="str">
        <f>IF('[3]Mitigation summary'!I16*CO2toC*Ggtot&gt;0,'[3]Mitigation summary'!I16*CO2toC*Ggtot,"NO")</f>
        <v>NO</v>
      </c>
      <c r="AG88" s="93" t="str">
        <f>IF('[3]Mitigation summary'!J16*CO2toC*Ggtot&gt;0,'[3]Mitigation summary'!J16*CO2toC*Ggtot,"NO")</f>
        <v>NO</v>
      </c>
      <c r="AH88" s="93" t="str">
        <f>IF('[3]Mitigation summary'!K16*CO2toC*Ggtot&gt;0,'[3]Mitigation summary'!K16*CO2toC*Ggtot,"NO")</f>
        <v>NO</v>
      </c>
      <c r="AI88" s="93" t="str">
        <f>IF('[3]Mitigation summary'!L16*CO2toC*Ggtot&gt;0,'[3]Mitigation summary'!L16*CO2toC*Ggtot,"NO")</f>
        <v>NO</v>
      </c>
      <c r="AJ88" s="93" t="str">
        <f>IF('[3]Mitigation summary'!M16*CO2toC*Ggtot&gt;0,'[3]Mitigation summary'!M16*CO2toC*Ggtot,"NO")</f>
        <v>NO</v>
      </c>
      <c r="AK88" s="93" t="str">
        <f>IF('[3]Mitigation summary'!N16*CO2toC*Ggtot&gt;0,'[3]Mitigation summary'!N16*CO2toC*Ggtot,"NO")</f>
        <v>NO</v>
      </c>
      <c r="AL88" s="93" t="str">
        <f>IF('[3]Mitigation summary'!O16*CO2toC*Ggtot&gt;0,'[3]Mitigation summary'!O16*CO2toC*Ggtot,"NO")</f>
        <v>NO</v>
      </c>
      <c r="AM88" s="93" t="str">
        <f>IF('[3]Mitigation summary'!P16*CO2toC*Ggtot&gt;0,'[3]Mitigation summary'!P16*CO2toC*Ggtot,"NO")</f>
        <v>NO</v>
      </c>
      <c r="AN88" s="93" t="str">
        <f>IF('[3]Mitigation summary'!Q16*CO2toC*Ggtot&gt;0,'[3]Mitigation summary'!Q16*CO2toC*Ggtot,"NO")</f>
        <v>NO</v>
      </c>
      <c r="AO88" s="93" t="str">
        <f>IF('[3]Mitigation summary'!R16*CO2toC*Ggtot&gt;0,'[3]Mitigation summary'!R16*CO2toC*Ggtot,"NO")</f>
        <v>NO</v>
      </c>
      <c r="AP88" s="93" t="str">
        <f>IF('[3]Mitigation summary'!S16*CO2toC*Ggtot&gt;0,'[3]Mitigation summary'!S16*CO2toC*Ggtot,"NO")</f>
        <v>NO</v>
      </c>
      <c r="AQ88" s="93" t="str">
        <f>IF('[3]Mitigation summary'!T16*CO2toC*Ggtot&gt;0,'[3]Mitigation summary'!T16*CO2toC*Ggtot,"NO")</f>
        <v>NO</v>
      </c>
      <c r="AR88" s="93" t="str">
        <f>IF('[3]Mitigation summary'!U16*CO2toC*Ggtot&gt;0,'[3]Mitigation summary'!U16*CO2toC*Ggtot,"NO")</f>
        <v>NO</v>
      </c>
      <c r="AS88" s="93" t="str">
        <f>IF('[3]Mitigation summary'!V16*CO2toC*Ggtot&gt;0,'[3]Mitigation summary'!V16*CO2toC*Ggtot,"NO")</f>
        <v>NO</v>
      </c>
      <c r="AT88" s="93" t="str">
        <f>IF('[3]Mitigation summary'!W16*CO2toC*Ggtot&gt;0,'[3]Mitigation summary'!W16*CO2toC*Ggtot,"NO")</f>
        <v>NO</v>
      </c>
      <c r="AU88" s="93" t="str">
        <f>IF('[3]Mitigation summary'!X16*CO2toC*Ggtot&gt;0,'[3]Mitigation summary'!X16*CO2toC*Ggtot,"NO")</f>
        <v>NO</v>
      </c>
      <c r="AV88" s="93" t="str">
        <f>IF('[3]Mitigation summary'!Y16*CO2toC*Ggtot&gt;0,'[3]Mitigation summary'!Y16*CO2toC*Ggtot,"NO")</f>
        <v>NO</v>
      </c>
      <c r="AW88" s="93" t="str">
        <f>IF('[3]Mitigation summary'!Z16*CO2toC*Ggtot&gt;0,'[3]Mitigation summary'!Z16*CO2toC*Ggtot,"NO")</f>
        <v>NO</v>
      </c>
      <c r="AX88" s="93" t="str">
        <f>IF('[3]Mitigation summary'!AA16*CO2toC*Ggtot&gt;0,'[3]Mitigation summary'!AA16*CO2toC*Ggtot,"NO")</f>
        <v>NO</v>
      </c>
      <c r="AY88" s="93" t="str">
        <f>IF('[3]Mitigation summary'!AB16*CO2toC*Ggtot&gt;0,'[3]Mitigation summary'!AB16*CO2toC*Ggtot,"NO")</f>
        <v>NO</v>
      </c>
      <c r="AZ88" s="93" t="str">
        <f>IF('[3]Mitigation summary'!AC16*CO2toC*Ggtot&gt;0,'[3]Mitigation summary'!AC16*CO2toC*Ggtot,"NO")</f>
        <v>NO</v>
      </c>
      <c r="BA88" s="93" t="str">
        <f>IF('[3]Mitigation summary'!AD16*CO2toC*Ggtot&gt;0,'[3]Mitigation summary'!AD16*CO2toC*Ggtot,"NO")</f>
        <v>NO</v>
      </c>
      <c r="BB88" s="93" t="str">
        <f>IF('[3]Mitigation summary'!AE16*CO2toC*Ggtot&gt;0,'[3]Mitigation summary'!AE16*CO2toC*Ggtot,"NO")</f>
        <v>NO</v>
      </c>
      <c r="BC88" s="93" t="str">
        <f>IF('[3]Mitigation summary'!AF16*CO2toC*Ggtot&gt;0,'[3]Mitigation summary'!AF16*CO2toC*Ggtot,"NO")</f>
        <v>NO</v>
      </c>
      <c r="BD88" s="93" t="str">
        <f>IF('[3]Mitigation summary'!AG16*CO2toC*Ggtot&gt;0,'[3]Mitigation summary'!AG16*CO2toC*Ggtot,"NO")</f>
        <v>NO</v>
      </c>
      <c r="BE88" s="93" t="str">
        <f>IF('[3]Mitigation summary'!AH16*CO2toC*Ggtot&gt;0,'[3]Mitigation summary'!AH16*CO2toC*Ggtot,"NO")</f>
        <v>NO</v>
      </c>
      <c r="BF88" s="93" t="str">
        <f>IF('[3]Mitigation summary'!AI16*CO2toC*Ggtot&gt;0,'[3]Mitigation summary'!AI16*CO2toC*Ggtot,"NO")</f>
        <v>NO</v>
      </c>
      <c r="BG88" s="93" t="str">
        <f>IF('[3]Mitigation summary'!AJ16*CO2toC*Ggtot&gt;0,'[3]Mitigation summary'!AJ16*CO2toC*Ggtot,"NO")</f>
        <v>NO</v>
      </c>
      <c r="BH88" s="93" t="str">
        <f>IF('[3]Mitigation summary'!AK16*CO2toC*Ggtot&gt;0,'[3]Mitigation summary'!AK16*CO2toC*Ggtot,"NO")</f>
        <v>NO</v>
      </c>
      <c r="BI88" s="93" t="str">
        <f>IF('[3]Mitigation summary'!AL16*CO2toC*Ggtot&gt;0,'[3]Mitigation summary'!AL16*CO2toC*Ggtot,"NO")</f>
        <v>NO</v>
      </c>
      <c r="BJ88" s="93" t="str">
        <f>IF('[3]Mitigation summary'!AM16*CO2toC*Ggtot&gt;0,'[3]Mitigation summary'!AM16*CO2toC*Ggtot,"NO")</f>
        <v>NO</v>
      </c>
      <c r="BK88" s="93" t="str">
        <f>IF('[3]Mitigation summary'!AN16*CO2toC*Ggtot&gt;0,'[3]Mitigation summary'!AN16*CO2toC*Ggtot,"NO")</f>
        <v>NO</v>
      </c>
      <c r="BL88" s="93" t="str">
        <f>IF('[3]Mitigation summary'!AO16*CO2toC*Ggtot&gt;0,'[3]Mitigation summary'!AO16*CO2toC*Ggtot,"NO")</f>
        <v>NO</v>
      </c>
      <c r="BM88" s="93" t="str">
        <f>IF('[3]Mitigation summary'!AP16*CO2toC*Ggtot&gt;0,'[3]Mitigation summary'!AP16*CO2toC*Ggtot,"NO")</f>
        <v>NO</v>
      </c>
      <c r="BN88" s="93" t="str">
        <f>IF('[3]Mitigation summary'!AQ16*CO2toC*Ggtot&gt;0,'[3]Mitigation summary'!AQ16*CO2toC*Ggtot,"NO")</f>
        <v>NO</v>
      </c>
      <c r="BO88" s="93" t="str">
        <f>IF('[3]Mitigation summary'!AR16*CO2toC*Ggtot&gt;0,'[3]Mitigation summary'!AR16*CO2toC*Ggtot,"NO")</f>
        <v>NO</v>
      </c>
      <c r="BP88" s="93" t="str">
        <f>IF('[3]Mitigation summary'!AS16*CO2toC*Ggtot&gt;0,'[3]Mitigation summary'!AS16*CO2toC*Ggtot,"NO")</f>
        <v>NO</v>
      </c>
      <c r="BQ88" s="80"/>
    </row>
    <row r="89" spans="1:72" x14ac:dyDescent="0.25">
      <c r="A89" t="str">
        <f>A87</f>
        <v>3C Aggregated and non-CO2 emissions on land</v>
      </c>
      <c r="B89" t="str">
        <f>B87</f>
        <v>3C4 Direct N2O from managed soils (N2O)</v>
      </c>
      <c r="C89" t="s">
        <v>60</v>
      </c>
      <c r="D89" t="s">
        <v>102</v>
      </c>
      <c r="F89" t="s">
        <v>719</v>
      </c>
      <c r="H89" s="21" t="s">
        <v>720</v>
      </c>
      <c r="I89" s="21">
        <v>423.91166750554424</v>
      </c>
      <c r="J89" s="21">
        <v>423.91166750554424</v>
      </c>
      <c r="K89" s="21">
        <v>423.91166750554424</v>
      </c>
      <c r="L89" s="21">
        <v>423.91166750554424</v>
      </c>
      <c r="M89" s="21">
        <v>423.91166750554424</v>
      </c>
      <c r="N89" s="21">
        <v>423.91166750554424</v>
      </c>
      <c r="O89" s="21">
        <v>423.91166750554424</v>
      </c>
      <c r="P89" s="21">
        <v>423.91166750554424</v>
      </c>
      <c r="Q89" s="21">
        <v>423.91166750554424</v>
      </c>
      <c r="R89" s="21">
        <v>423.91166750554424</v>
      </c>
      <c r="S89" s="21">
        <v>423.91166750554424</v>
      </c>
      <c r="T89" s="21">
        <v>423.91166750554424</v>
      </c>
      <c r="U89" s="21">
        <v>423.91166750554424</v>
      </c>
      <c r="V89" s="21">
        <v>423.91166750554424</v>
      </c>
      <c r="W89" s="21">
        <v>423.91166750554424</v>
      </c>
      <c r="X89" s="21">
        <v>423.91166750554424</v>
      </c>
      <c r="Y89" s="21">
        <v>423.91166750554424</v>
      </c>
      <c r="Z89" s="21">
        <v>423.91166750554424</v>
      </c>
      <c r="AA89" s="21">
        <v>423.91166750554424</v>
      </c>
      <c r="AB89" s="43">
        <v>423.91166750554424</v>
      </c>
      <c r="AC89" s="43">
        <v>423.91166750554424</v>
      </c>
      <c r="AD89" s="93">
        <f>IF('[3]Mitigation summary'!G24*CO2toC*Ggtot&gt;0,'[3]Mitigation summary'!G24*CO2toC*Ggtot,"NO")</f>
        <v>3283.5231445314134</v>
      </c>
      <c r="AE89" s="93">
        <f>IF('[3]Mitigation summary'!H24*CO2toC*Ggtot&gt;0,'[3]Mitigation summary'!H24*CO2toC*Ggtot,"NO")</f>
        <v>3279.6568877269606</v>
      </c>
      <c r="AF89" s="93">
        <f>IF('[3]Mitigation summary'!I24*CO2toC*Ggtot&gt;0,'[3]Mitigation summary'!I24*CO2toC*Ggtot,"NO")</f>
        <v>3275.7906309225073</v>
      </c>
      <c r="AG89" s="93">
        <f>IF('[3]Mitigation summary'!J24*CO2toC*Ggtot&gt;0,'[3]Mitigation summary'!J24*CO2toC*Ggtot,"NO")</f>
        <v>3271.9243741180535</v>
      </c>
      <c r="AH89" s="93">
        <f>IF('[3]Mitigation summary'!K24*CO2toC*Ggtot&gt;0,'[3]Mitigation summary'!K24*CO2toC*Ggtot,"NO")</f>
        <v>3268.0581173136006</v>
      </c>
      <c r="AI89" s="93">
        <f>IF('[3]Mitigation summary'!L24*CO2toC*Ggtot&gt;0,'[3]Mitigation summary'!L24*CO2toC*Ggtot,"NO")</f>
        <v>3264.1918605091473</v>
      </c>
      <c r="AJ89" s="93">
        <f>IF('[3]Mitigation summary'!M24*CO2toC*Ggtot&gt;0,'[3]Mitigation summary'!M24*CO2toC*Ggtot,"NO")</f>
        <v>3260.325603704694</v>
      </c>
      <c r="AK89" s="93">
        <f>IF('[3]Mitigation summary'!N24*CO2toC*Ggtot&gt;0,'[3]Mitigation summary'!N24*CO2toC*Ggtot,"NO")</f>
        <v>3256.4593469002416</v>
      </c>
      <c r="AL89" s="93">
        <f>IF('[3]Mitigation summary'!O24*CO2toC*Ggtot&gt;0,'[3]Mitigation summary'!O24*CO2toC*Ggtot,"NO")</f>
        <v>3252.5930900957883</v>
      </c>
      <c r="AM89" s="93">
        <f>IF('[3]Mitigation summary'!P24*CO2toC*Ggtot&gt;0,'[3]Mitigation summary'!P24*CO2toC*Ggtot,"NO")</f>
        <v>3248.7268332913354</v>
      </c>
      <c r="AN89" s="93">
        <f>IF('[3]Mitigation summary'!Q24*CO2toC*Ggtot&gt;0,'[3]Mitigation summary'!Q24*CO2toC*Ggtot,"NO")</f>
        <v>3244.8605764868817</v>
      </c>
      <c r="AO89" s="93">
        <f>IF('[3]Mitigation summary'!R24*CO2toC*Ggtot&gt;0,'[3]Mitigation summary'!R24*CO2toC*Ggtot,"NO")</f>
        <v>3240.9943196824288</v>
      </c>
      <c r="AP89" s="93">
        <f>IF('[3]Mitigation summary'!S24*CO2toC*Ggtot&gt;0,'[3]Mitigation summary'!S24*CO2toC*Ggtot,"NO")</f>
        <v>3237.1280628779759</v>
      </c>
      <c r="AQ89" s="93">
        <f>IF('[3]Mitigation summary'!T24*CO2toC*Ggtot&gt;0,'[3]Mitigation summary'!T24*CO2toC*Ggtot,"NO")</f>
        <v>3233.2618060735231</v>
      </c>
      <c r="AR89" s="93">
        <f>IF('[3]Mitigation summary'!U24*CO2toC*Ggtot&gt;0,'[3]Mitigation summary'!U24*CO2toC*Ggtot,"NO")</f>
        <v>3229.3955492690707</v>
      </c>
      <c r="AS89" s="93">
        <f>IF('[3]Mitigation summary'!V24*CO2toC*Ggtot&gt;0,'[3]Mitigation summary'!V24*CO2toC*Ggtot,"NO")</f>
        <v>3225.5292924646164</v>
      </c>
      <c r="AT89" s="93">
        <f>IF('[3]Mitigation summary'!W24*CO2toC*Ggtot&gt;0,'[3]Mitigation summary'!W24*CO2toC*Ggtot,"NO")</f>
        <v>3221.6630356601645</v>
      </c>
      <c r="AU89" s="93">
        <f>IF('[3]Mitigation summary'!X24*CO2toC*Ggtot&gt;0,'[3]Mitigation summary'!X24*CO2toC*Ggtot,"NO")</f>
        <v>3217.7967788557107</v>
      </c>
      <c r="AV89" s="93">
        <f>IF('[3]Mitigation summary'!Y24*CO2toC*Ggtot&gt;0,'[3]Mitigation summary'!Y24*CO2toC*Ggtot,"NO")</f>
        <v>3213.9305220512579</v>
      </c>
      <c r="AW89" s="93">
        <f>IF('[3]Mitigation summary'!Z24*CO2toC*Ggtot&gt;0,'[3]Mitigation summary'!Z24*CO2toC*Ggtot,"NO")</f>
        <v>3210.0642652468041</v>
      </c>
      <c r="AX89" s="93">
        <f>IF('[3]Mitigation summary'!AA24*CO2toC*Ggtot&gt;0,'[3]Mitigation summary'!AA24*CO2toC*Ggtot,"NO")</f>
        <v>3206.1980084423521</v>
      </c>
      <c r="AY89" s="93">
        <f>IF('[3]Mitigation summary'!AB24*CO2toC*Ggtot&gt;0,'[3]Mitigation summary'!AB24*CO2toC*Ggtot,"NO")</f>
        <v>3202.3317516378988</v>
      </c>
      <c r="AZ89" s="93">
        <f>IF('[3]Mitigation summary'!AC24*CO2toC*Ggtot&gt;0,'[3]Mitigation summary'!AC24*CO2toC*Ggtot,"NO")</f>
        <v>3198.4654948334455</v>
      </c>
      <c r="BA89" s="93">
        <f>IF('[3]Mitigation summary'!AD24*CO2toC*Ggtot&gt;0,'[3]Mitigation summary'!AD24*CO2toC*Ggtot,"NO")</f>
        <v>3194.5992380289917</v>
      </c>
      <c r="BB89" s="93">
        <f>IF('[3]Mitigation summary'!AE24*CO2toC*Ggtot&gt;0,'[3]Mitigation summary'!AE24*CO2toC*Ggtot,"NO")</f>
        <v>3190.7329812245389</v>
      </c>
      <c r="BC89" s="93">
        <f>IF('[3]Mitigation summary'!AF24*CO2toC*Ggtot&gt;0,'[3]Mitigation summary'!AF24*CO2toC*Ggtot,"NO")</f>
        <v>3186.866724420086</v>
      </c>
      <c r="BD89" s="93">
        <f>IF('[3]Mitigation summary'!AG24*CO2toC*Ggtot&gt;0,'[3]Mitigation summary'!AG24*CO2toC*Ggtot,"NO")</f>
        <v>3183.0004676156332</v>
      </c>
      <c r="BE89" s="93">
        <f>IF('[3]Mitigation summary'!AH24*CO2toC*Ggtot&gt;0,'[3]Mitigation summary'!AH24*CO2toC*Ggtot,"NO")</f>
        <v>3179.1342108111803</v>
      </c>
      <c r="BF89" s="93">
        <f>IF('[3]Mitigation summary'!AI24*CO2toC*Ggtot&gt;0,'[3]Mitigation summary'!AI24*CO2toC*Ggtot,"NO")</f>
        <v>3175.2679540067279</v>
      </c>
      <c r="BG89" s="93">
        <f>IF('[3]Mitigation summary'!AJ24*CO2toC*Ggtot&gt;0,'[3]Mitigation summary'!AJ24*CO2toC*Ggtot,"NO")</f>
        <v>3171.4016972022737</v>
      </c>
      <c r="BH89" s="93">
        <f>IF('[3]Mitigation summary'!AK24*CO2toC*Ggtot&gt;0,'[3]Mitigation summary'!AK24*CO2toC*Ggtot,"NO")</f>
        <v>3167.5354403978208</v>
      </c>
      <c r="BI89" s="93">
        <f>IF('[3]Mitigation summary'!AL24*CO2toC*Ggtot&gt;0,'[3]Mitigation summary'!AL24*CO2toC*Ggtot,"NO")</f>
        <v>3163.669183593368</v>
      </c>
      <c r="BJ89" s="93">
        <f>IF('[3]Mitigation summary'!AM24*CO2toC*Ggtot&gt;0,'[3]Mitigation summary'!AM24*CO2toC*Ggtot,"NO")</f>
        <v>3159.802926788916</v>
      </c>
      <c r="BK89" s="93">
        <f>IF('[3]Mitigation summary'!AN24*CO2toC*Ggtot&gt;0,'[3]Mitigation summary'!AN24*CO2toC*Ggtot,"NO")</f>
        <v>3155.9366699844613</v>
      </c>
      <c r="BL89" s="93">
        <f>IF('[3]Mitigation summary'!AO24*CO2toC*Ggtot&gt;0,'[3]Mitigation summary'!AO24*CO2toC*Ggtot,"NO")</f>
        <v>3152.0704131800094</v>
      </c>
      <c r="BM89" s="93">
        <f>IF('[3]Mitigation summary'!AP24*CO2toC*Ggtot&gt;0,'[3]Mitigation summary'!AP24*CO2toC*Ggtot,"NO")</f>
        <v>3148.2041563755556</v>
      </c>
      <c r="BN89" s="93">
        <f>IF('[3]Mitigation summary'!AQ24*CO2toC*Ggtot&gt;0,'[3]Mitigation summary'!AQ24*CO2toC*Ggtot,"NO")</f>
        <v>3144.3378995711018</v>
      </c>
      <c r="BO89" s="93">
        <f>IF('[3]Mitigation summary'!AR24*CO2toC*Ggtot&gt;0,'[3]Mitigation summary'!AR24*CO2toC*Ggtot,"NO")</f>
        <v>3140.471642766649</v>
      </c>
      <c r="BP89" s="93">
        <f>IF('[3]Mitigation summary'!AS24*CO2toC*Ggtot&gt;0,'[3]Mitigation summary'!AS24*CO2toC*Ggtot,"NO")</f>
        <v>3136.6053859621961</v>
      </c>
      <c r="BQ89" s="80"/>
    </row>
    <row r="90" spans="1:72" x14ac:dyDescent="0.25">
      <c r="C90" t="s">
        <v>60</v>
      </c>
      <c r="D90" t="s">
        <v>103</v>
      </c>
      <c r="F90" t="s">
        <v>719</v>
      </c>
      <c r="H90" s="21" t="s">
        <v>720</v>
      </c>
      <c r="I90" s="21">
        <v>44225.892697537653</v>
      </c>
      <c r="J90" s="21">
        <v>44225.892697537653</v>
      </c>
      <c r="K90" s="21">
        <v>44225.892697537653</v>
      </c>
      <c r="L90" s="21">
        <v>44225.892697537653</v>
      </c>
      <c r="M90" s="21">
        <v>44225.892697537653</v>
      </c>
      <c r="N90" s="21">
        <v>44225.892697537653</v>
      </c>
      <c r="O90" s="21">
        <v>44225.892697537653</v>
      </c>
      <c r="P90" s="21">
        <v>44225.892697537653</v>
      </c>
      <c r="Q90" s="21">
        <v>44225.892697537653</v>
      </c>
      <c r="R90" s="21">
        <v>44225.892697537653</v>
      </c>
      <c r="S90" s="21">
        <v>44225.892697537653</v>
      </c>
      <c r="T90" s="21">
        <v>44225.892697537653</v>
      </c>
      <c r="U90" s="21">
        <v>44225.892697537653</v>
      </c>
      <c r="V90" s="21">
        <v>44225.892697537653</v>
      </c>
      <c r="W90" s="21">
        <v>44225.892697537653</v>
      </c>
      <c r="X90" s="21">
        <v>44225.892697537653</v>
      </c>
      <c r="Y90" s="21">
        <v>44225.892697537653</v>
      </c>
      <c r="Z90" s="21">
        <v>44225.892697537653</v>
      </c>
      <c r="AA90" s="21">
        <v>44225.892697537653</v>
      </c>
      <c r="AB90" s="43">
        <v>44225.892697537653</v>
      </c>
      <c r="AC90" s="43">
        <v>44225.892697537653</v>
      </c>
      <c r="AD90" s="93">
        <f>IF('[3]Mitigation summary'!G29*CO2toC*Ggtot&gt;0,'[3]Mitigation summary'!G29*CO2toC*Ggtot,"NO")</f>
        <v>467927.3506762968</v>
      </c>
      <c r="AE90" s="93">
        <f>IF('[3]Mitigation summary'!H29*CO2toC*Ggtot&gt;0,'[3]Mitigation summary'!H29*CO2toC*Ggtot,"NO")</f>
        <v>469011.62465508078</v>
      </c>
      <c r="AF90" s="93">
        <f>IF('[3]Mitigation summary'!I29*CO2toC*Ggtot&gt;0,'[3]Mitigation summary'!I29*CO2toC*Ggtot,"NO")</f>
        <v>470095.89863386494</v>
      </c>
      <c r="AG90" s="93">
        <f>IF('[3]Mitigation summary'!J29*CO2toC*Ggtot&gt;0,'[3]Mitigation summary'!J29*CO2toC*Ggtot,"NO")</f>
        <v>471180.17261264892</v>
      </c>
      <c r="AH90" s="93">
        <f>IF('[3]Mitigation summary'!K29*CO2toC*Ggtot&gt;0,'[3]Mitigation summary'!K29*CO2toC*Ggtot,"NO")</f>
        <v>472264.44659143296</v>
      </c>
      <c r="AI90" s="93">
        <f>IF('[3]Mitigation summary'!L29*CO2toC*Ggtot&gt;0,'[3]Mitigation summary'!L29*CO2toC*Ggtot,"NO")</f>
        <v>473348.72057021694</v>
      </c>
      <c r="AJ90" s="93">
        <f>IF('[3]Mitigation summary'!M29*CO2toC*Ggtot&gt;0,'[3]Mitigation summary'!M29*CO2toC*Ggtot,"NO")</f>
        <v>474432.9945490011</v>
      </c>
      <c r="AK90" s="93">
        <f>IF('[3]Mitigation summary'!N29*CO2toC*Ggtot&gt;0,'[3]Mitigation summary'!N29*CO2toC*Ggtot,"NO")</f>
        <v>475517.26852778508</v>
      </c>
      <c r="AL90" s="93">
        <f>IF('[3]Mitigation summary'!O29*CO2toC*Ggtot&gt;0,'[3]Mitigation summary'!O29*CO2toC*Ggtot,"NO")</f>
        <v>476601.54250656907</v>
      </c>
      <c r="AM90" s="93">
        <f>IF('[3]Mitigation summary'!P29*CO2toC*Ggtot&gt;0,'[3]Mitigation summary'!P29*CO2toC*Ggtot,"NO")</f>
        <v>477685.81648535322</v>
      </c>
      <c r="AN90" s="93">
        <f>IF('[3]Mitigation summary'!Q29*CO2toC*Ggtot&gt;0,'[3]Mitigation summary'!Q29*CO2toC*Ggtot,"NO")</f>
        <v>478770.09046413715</v>
      </c>
      <c r="AO90" s="93">
        <f>IF('[3]Mitigation summary'!R29*CO2toC*Ggtot&gt;0,'[3]Mitigation summary'!R29*CO2toC*Ggtot,"NO")</f>
        <v>479854.36444292124</v>
      </c>
      <c r="AP90" s="93">
        <f>IF('[3]Mitigation summary'!S29*CO2toC*Ggtot&gt;0,'[3]Mitigation summary'!S29*CO2toC*Ggtot,"NO")</f>
        <v>480938.63842170528</v>
      </c>
      <c r="AQ90" s="93">
        <f>IF('[3]Mitigation summary'!T29*CO2toC*Ggtot&gt;0,'[3]Mitigation summary'!T29*CO2toC*Ggtot,"NO")</f>
        <v>482022.91240048944</v>
      </c>
      <c r="AR90" s="93">
        <f>IF('[3]Mitigation summary'!U29*CO2toC*Ggtot&gt;0,'[3]Mitigation summary'!U29*CO2toC*Ggtot,"NO")</f>
        <v>483107.18637927336</v>
      </c>
      <c r="AS90" s="93">
        <f>IF('[3]Mitigation summary'!V29*CO2toC*Ggtot&gt;0,'[3]Mitigation summary'!V29*CO2toC*Ggtot,"NO")</f>
        <v>484191.46035805752</v>
      </c>
      <c r="AT90" s="93">
        <f>IF('[3]Mitigation summary'!W29*CO2toC*Ggtot&gt;0,'[3]Mitigation summary'!W29*CO2toC*Ggtot,"NO")</f>
        <v>485275.73433684139</v>
      </c>
      <c r="AU90" s="93">
        <f>IF('[3]Mitigation summary'!X29*CO2toC*Ggtot&gt;0,'[3]Mitigation summary'!X29*CO2toC*Ggtot,"NO")</f>
        <v>486360.00831562548</v>
      </c>
      <c r="AV90" s="93">
        <f>IF('[3]Mitigation summary'!Y29*CO2toC*Ggtot&gt;0,'[3]Mitigation summary'!Y29*CO2toC*Ggtot,"NO")</f>
        <v>487444.28229440958</v>
      </c>
      <c r="AW90" s="93">
        <f>IF('[3]Mitigation summary'!Z29*CO2toC*Ggtot&gt;0,'[3]Mitigation summary'!Z29*CO2toC*Ggtot,"NO")</f>
        <v>488528.55627319368</v>
      </c>
      <c r="AX90" s="93">
        <f>IF('[3]Mitigation summary'!AA29*CO2toC*Ggtot&gt;0,'[3]Mitigation summary'!AA29*CO2toC*Ggtot,"NO")</f>
        <v>489612.83025197766</v>
      </c>
      <c r="AY90" s="93">
        <f>IF('[3]Mitigation summary'!AB29*CO2toC*Ggtot&gt;0,'[3]Mitigation summary'!AB29*CO2toC*Ggtot,"NO")</f>
        <v>490697.1042307617</v>
      </c>
      <c r="AZ90" s="93">
        <f>IF('[3]Mitigation summary'!AC29*CO2toC*Ggtot&gt;0,'[3]Mitigation summary'!AC29*CO2toC*Ggtot,"NO")</f>
        <v>491781.3782095458</v>
      </c>
      <c r="BA90" s="93">
        <f>IF('[3]Mitigation summary'!AD29*CO2toC*Ggtot&gt;0,'[3]Mitigation summary'!AD29*CO2toC*Ggtot,"NO")</f>
        <v>492865.65218832978</v>
      </c>
      <c r="BB90" s="93">
        <f>IF('[3]Mitigation summary'!AE29*CO2toC*Ggtot&gt;0,'[3]Mitigation summary'!AE29*CO2toC*Ggtot,"NO")</f>
        <v>493949.92616711388</v>
      </c>
      <c r="BC90" s="93">
        <f>IF('[3]Mitigation summary'!AF29*CO2toC*Ggtot&gt;0,'[3]Mitigation summary'!AF29*CO2toC*Ggtot,"NO")</f>
        <v>495034.20014589792</v>
      </c>
      <c r="BD90" s="93">
        <f>IF('[3]Mitigation summary'!AG29*CO2toC*Ggtot&gt;0,'[3]Mitigation summary'!AG29*CO2toC*Ggtot,"NO")</f>
        <v>496118.4741246819</v>
      </c>
      <c r="BE90" s="93">
        <f>IF('[3]Mitigation summary'!AH29*CO2toC*Ggtot&gt;0,'[3]Mitigation summary'!AH29*CO2toC*Ggtot,"NO")</f>
        <v>497202.74810346606</v>
      </c>
      <c r="BF90" s="93">
        <f>IF('[3]Mitigation summary'!AI29*CO2toC*Ggtot&gt;0,'[3]Mitigation summary'!AI29*CO2toC*Ggtot,"NO")</f>
        <v>498287.02208225004</v>
      </c>
      <c r="BG90" s="93">
        <f>IF('[3]Mitigation summary'!AJ29*CO2toC*Ggtot&gt;0,'[3]Mitigation summary'!AJ29*CO2toC*Ggtot,"NO")</f>
        <v>499371.29606103408</v>
      </c>
      <c r="BH90" s="93">
        <f>IF('[3]Mitigation summary'!AK29*CO2toC*Ggtot&gt;0,'[3]Mitigation summary'!AK29*CO2toC*Ggtot,"NO")</f>
        <v>500455.57003981812</v>
      </c>
      <c r="BI90" s="93">
        <f>IF('[3]Mitigation summary'!AL29*CO2toC*Ggtot&gt;0,'[3]Mitigation summary'!AL29*CO2toC*Ggtot,"NO")</f>
        <v>501539.84401860222</v>
      </c>
      <c r="BJ90" s="93">
        <f>IF('[3]Mitigation summary'!AM29*CO2toC*Ggtot&gt;0,'[3]Mitigation summary'!AM29*CO2toC*Ggtot,"NO")</f>
        <v>502624.1179973862</v>
      </c>
      <c r="BK90" s="93">
        <f>IF('[3]Mitigation summary'!AN29*CO2toC*Ggtot&gt;0,'[3]Mitigation summary'!AN29*CO2toC*Ggtot,"NO")</f>
        <v>503708.39197617036</v>
      </c>
      <c r="BL90" s="93">
        <f>IF('[3]Mitigation summary'!AO29*CO2toC*Ggtot&gt;0,'[3]Mitigation summary'!AO29*CO2toC*Ggtot,"NO")</f>
        <v>504792.66595495434</v>
      </c>
      <c r="BM90" s="93">
        <f>IF('[3]Mitigation summary'!AP29*CO2toC*Ggtot&gt;0,'[3]Mitigation summary'!AP29*CO2toC*Ggtot,"NO")</f>
        <v>505876.93993373832</v>
      </c>
      <c r="BN90" s="93">
        <f>IF('[3]Mitigation summary'!AQ29*CO2toC*Ggtot&gt;0,'[3]Mitigation summary'!AQ29*CO2toC*Ggtot,"NO")</f>
        <v>506961.21391252236</v>
      </c>
      <c r="BO90" s="93">
        <f>IF('[3]Mitigation summary'!AR29*CO2toC*Ggtot&gt;0,'[3]Mitigation summary'!AR29*CO2toC*Ggtot,"NO")</f>
        <v>508045.4878913064</v>
      </c>
      <c r="BP90" s="93">
        <f>IF('[3]Mitigation summary'!AS29*CO2toC*Ggtot&gt;0,'[3]Mitigation summary'!AS29*CO2toC*Ggtot,"NO")</f>
        <v>509129.7618700905</v>
      </c>
      <c r="BQ90" s="80"/>
    </row>
    <row r="91" spans="1:72" x14ac:dyDescent="0.25">
      <c r="A91" t="str">
        <f>A87</f>
        <v>3C Aggregated and non-CO2 emissions on land</v>
      </c>
      <c r="B91" t="str">
        <f>B87</f>
        <v>3C4 Direct N2O from managed soils (N2O)</v>
      </c>
      <c r="C91" t="s">
        <v>60</v>
      </c>
      <c r="D91" t="s">
        <v>104</v>
      </c>
      <c r="F91" t="s">
        <v>719</v>
      </c>
      <c r="H91" s="21" t="s">
        <v>720</v>
      </c>
      <c r="I91" s="21">
        <v>48695.832223383841</v>
      </c>
      <c r="J91" s="21">
        <v>48695.832223383841</v>
      </c>
      <c r="K91" s="21">
        <v>48695.832223383841</v>
      </c>
      <c r="L91" s="21">
        <v>48695.832223383841</v>
      </c>
      <c r="M91" s="21">
        <v>48695.832223383841</v>
      </c>
      <c r="N91" s="21">
        <v>48695.832223383841</v>
      </c>
      <c r="O91" s="21">
        <v>48695.832223383841</v>
      </c>
      <c r="P91" s="21">
        <v>48695.832223383841</v>
      </c>
      <c r="Q91" s="21">
        <v>48695.832223383841</v>
      </c>
      <c r="R91" s="21">
        <v>48695.832223383841</v>
      </c>
      <c r="S91" s="21">
        <v>48695.832223383841</v>
      </c>
      <c r="T91" s="21">
        <v>48695.832223383841</v>
      </c>
      <c r="U91" s="21">
        <v>48695.832223383841</v>
      </c>
      <c r="V91" s="21">
        <v>48695.832223383841</v>
      </c>
      <c r="W91" s="21">
        <v>48695.832223383841</v>
      </c>
      <c r="X91" s="21">
        <v>48695.832223383841</v>
      </c>
      <c r="Y91" s="21">
        <v>48695.832223383841</v>
      </c>
      <c r="Z91" s="21">
        <v>48695.832223383841</v>
      </c>
      <c r="AA91" s="21">
        <v>48695.832223383841</v>
      </c>
      <c r="AB91" s="43">
        <v>48695.832223383841</v>
      </c>
      <c r="AC91" s="43">
        <v>48695.832223383841</v>
      </c>
      <c r="AD91" s="93">
        <f>IF('[3]Mitigation summary'!G37*CO2toC*Ggtot&gt;0,'[3]Mitigation summary'!G37*CO2toC*Ggtot,"NO")</f>
        <v>549791.65413497901</v>
      </c>
      <c r="AE91" s="93">
        <f>IF('[3]Mitigation summary'!H37*CO2toC*Ggtot&gt;0,'[3]Mitigation summary'!H37*CO2toC*Ggtot,"NO")</f>
        <v>549791.65413497901</v>
      </c>
      <c r="AF91" s="93">
        <f>IF('[3]Mitigation summary'!I37*CO2toC*Ggtot&gt;0,'[3]Mitigation summary'!I37*CO2toC*Ggtot,"NO")</f>
        <v>549791.65413497901</v>
      </c>
      <c r="AG91" s="93">
        <f>IF('[3]Mitigation summary'!J37*CO2toC*Ggtot&gt;0,'[3]Mitigation summary'!J37*CO2toC*Ggtot,"NO")</f>
        <v>549791.65413497901</v>
      </c>
      <c r="AH91" s="93">
        <f>IF('[3]Mitigation summary'!K37*CO2toC*Ggtot&gt;0,'[3]Mitigation summary'!K37*CO2toC*Ggtot,"NO")</f>
        <v>549791.65413497901</v>
      </c>
      <c r="AI91" s="93">
        <f>IF('[3]Mitigation summary'!L37*CO2toC*Ggtot&gt;0,'[3]Mitigation summary'!L37*CO2toC*Ggtot,"NO")</f>
        <v>549791.65413497901</v>
      </c>
      <c r="AJ91" s="93">
        <f>IF('[3]Mitigation summary'!M37*CO2toC*Ggtot&gt;0,'[3]Mitigation summary'!M37*CO2toC*Ggtot,"NO")</f>
        <v>549791.65413497901</v>
      </c>
      <c r="AK91" s="93">
        <f>IF('[3]Mitigation summary'!N37*CO2toC*Ggtot&gt;0,'[3]Mitigation summary'!N37*CO2toC*Ggtot,"NO")</f>
        <v>549791.65413497901</v>
      </c>
      <c r="AL91" s="93">
        <f>IF('[3]Mitigation summary'!O37*CO2toC*Ggtot&gt;0,'[3]Mitigation summary'!O37*CO2toC*Ggtot,"NO")</f>
        <v>549791.65413497901</v>
      </c>
      <c r="AM91" s="93">
        <f>IF('[3]Mitigation summary'!P37*CO2toC*Ggtot&gt;0,'[3]Mitigation summary'!P37*CO2toC*Ggtot,"NO")</f>
        <v>549791.65413497901</v>
      </c>
      <c r="AN91" s="93">
        <f>IF('[3]Mitigation summary'!Q37*CO2toC*Ggtot&gt;0,'[3]Mitigation summary'!Q37*CO2toC*Ggtot,"NO")</f>
        <v>549791.65413497901</v>
      </c>
      <c r="AO91" s="93">
        <f>IF('[3]Mitigation summary'!R37*CO2toC*Ggtot&gt;0,'[3]Mitigation summary'!R37*CO2toC*Ggtot,"NO")</f>
        <v>549791.65413497901</v>
      </c>
      <c r="AP91" s="93">
        <f>IF('[3]Mitigation summary'!S37*CO2toC*Ggtot&gt;0,'[3]Mitigation summary'!S37*CO2toC*Ggtot,"NO")</f>
        <v>549791.65413497901</v>
      </c>
      <c r="AQ91" s="93">
        <f>IF('[3]Mitigation summary'!T37*CO2toC*Ggtot&gt;0,'[3]Mitigation summary'!T37*CO2toC*Ggtot,"NO")</f>
        <v>549791.65413497901</v>
      </c>
      <c r="AR91" s="93">
        <f>IF('[3]Mitigation summary'!U37*CO2toC*Ggtot&gt;0,'[3]Mitigation summary'!U37*CO2toC*Ggtot,"NO")</f>
        <v>549791.65413497901</v>
      </c>
      <c r="AS91" s="93">
        <f>IF('[3]Mitigation summary'!V37*CO2toC*Ggtot&gt;0,'[3]Mitigation summary'!V37*CO2toC*Ggtot,"NO")</f>
        <v>549791.65413497901</v>
      </c>
      <c r="AT91" s="93">
        <f>IF('[3]Mitigation summary'!W37*CO2toC*Ggtot&gt;0,'[3]Mitigation summary'!W37*CO2toC*Ggtot,"NO")</f>
        <v>549791.65413497901</v>
      </c>
      <c r="AU91" s="93">
        <f>IF('[3]Mitigation summary'!X37*CO2toC*Ggtot&gt;0,'[3]Mitigation summary'!X37*CO2toC*Ggtot,"NO")</f>
        <v>549791.65413497901</v>
      </c>
      <c r="AV91" s="93">
        <f>IF('[3]Mitigation summary'!Y37*CO2toC*Ggtot&gt;0,'[3]Mitigation summary'!Y37*CO2toC*Ggtot,"NO")</f>
        <v>549791.65413497901</v>
      </c>
      <c r="AW91" s="93">
        <f>IF('[3]Mitigation summary'!Z37*CO2toC*Ggtot&gt;0,'[3]Mitigation summary'!Z37*CO2toC*Ggtot,"NO")</f>
        <v>549791.65413497901</v>
      </c>
      <c r="AX91" s="93">
        <f>IF('[3]Mitigation summary'!AA37*CO2toC*Ggtot&gt;0,'[3]Mitigation summary'!AA37*CO2toC*Ggtot,"NO")</f>
        <v>549791.65413497901</v>
      </c>
      <c r="AY91" s="93">
        <f>IF('[3]Mitigation summary'!AB37*CO2toC*Ggtot&gt;0,'[3]Mitigation summary'!AB37*CO2toC*Ggtot,"NO")</f>
        <v>549791.65413497901</v>
      </c>
      <c r="AZ91" s="93">
        <f>IF('[3]Mitigation summary'!AC37*CO2toC*Ggtot&gt;0,'[3]Mitigation summary'!AC37*CO2toC*Ggtot,"NO")</f>
        <v>549791.65413497901</v>
      </c>
      <c r="BA91" s="93">
        <f>IF('[3]Mitigation summary'!AD37*CO2toC*Ggtot&gt;0,'[3]Mitigation summary'!AD37*CO2toC*Ggtot,"NO")</f>
        <v>549791.65413497901</v>
      </c>
      <c r="BB91" s="93">
        <f>IF('[3]Mitigation summary'!AE37*CO2toC*Ggtot&gt;0,'[3]Mitigation summary'!AE37*CO2toC*Ggtot,"NO")</f>
        <v>549791.65413497901</v>
      </c>
      <c r="BC91" s="93">
        <f>IF('[3]Mitigation summary'!AF37*CO2toC*Ggtot&gt;0,'[3]Mitigation summary'!AF37*CO2toC*Ggtot,"NO")</f>
        <v>549791.65413497901</v>
      </c>
      <c r="BD91" s="93">
        <f>IF('[3]Mitigation summary'!AG37*CO2toC*Ggtot&gt;0,'[3]Mitigation summary'!AG37*CO2toC*Ggtot,"NO")</f>
        <v>549791.65413497901</v>
      </c>
      <c r="BE91" s="93">
        <f>IF('[3]Mitigation summary'!AH37*CO2toC*Ggtot&gt;0,'[3]Mitigation summary'!AH37*CO2toC*Ggtot,"NO")</f>
        <v>549791.65413497901</v>
      </c>
      <c r="BF91" s="93">
        <f>IF('[3]Mitigation summary'!AI37*CO2toC*Ggtot&gt;0,'[3]Mitigation summary'!AI37*CO2toC*Ggtot,"NO")</f>
        <v>549791.65413497901</v>
      </c>
      <c r="BG91" s="93">
        <f>IF('[3]Mitigation summary'!AJ37*CO2toC*Ggtot&gt;0,'[3]Mitigation summary'!AJ37*CO2toC*Ggtot,"NO")</f>
        <v>549791.65413497901</v>
      </c>
      <c r="BH91" s="93">
        <f>IF('[3]Mitigation summary'!AK37*CO2toC*Ggtot&gt;0,'[3]Mitigation summary'!AK37*CO2toC*Ggtot,"NO")</f>
        <v>549791.65413497901</v>
      </c>
      <c r="BI91" s="93">
        <f>IF('[3]Mitigation summary'!AL37*CO2toC*Ggtot&gt;0,'[3]Mitigation summary'!AL37*CO2toC*Ggtot,"NO")</f>
        <v>549791.65413497901</v>
      </c>
      <c r="BJ91" s="93">
        <f>IF('[3]Mitigation summary'!AM37*CO2toC*Ggtot&gt;0,'[3]Mitigation summary'!AM37*CO2toC*Ggtot,"NO")</f>
        <v>549791.65413497901</v>
      </c>
      <c r="BK91" s="93">
        <f>IF('[3]Mitigation summary'!AN37*CO2toC*Ggtot&gt;0,'[3]Mitigation summary'!AN37*CO2toC*Ggtot,"NO")</f>
        <v>549791.65413497901</v>
      </c>
      <c r="BL91" s="93">
        <f>IF('[3]Mitigation summary'!AO37*CO2toC*Ggtot&gt;0,'[3]Mitigation summary'!AO37*CO2toC*Ggtot,"NO")</f>
        <v>549791.65413497901</v>
      </c>
      <c r="BM91" s="93">
        <f>IF('[3]Mitigation summary'!AP37*CO2toC*Ggtot&gt;0,'[3]Mitigation summary'!AP37*CO2toC*Ggtot,"NO")</f>
        <v>549791.65413497901</v>
      </c>
      <c r="BN91" s="93">
        <f>IF('[3]Mitigation summary'!AQ37*CO2toC*Ggtot&gt;0,'[3]Mitigation summary'!AQ37*CO2toC*Ggtot,"NO")</f>
        <v>549791.65413497901</v>
      </c>
      <c r="BO91" s="93">
        <f>IF('[3]Mitigation summary'!AR37*CO2toC*Ggtot&gt;0,'[3]Mitigation summary'!AR37*CO2toC*Ggtot,"NO")</f>
        <v>549791.65413497901</v>
      </c>
      <c r="BP91" s="93">
        <f>IF('[3]Mitigation summary'!AS37*CO2toC*Ggtot&gt;0,'[3]Mitigation summary'!AS37*CO2toC*Ggtot,"NO")</f>
        <v>549791.65413497901</v>
      </c>
      <c r="BQ91" s="80"/>
    </row>
    <row r="92" spans="1:72" x14ac:dyDescent="0.25">
      <c r="C92" t="s">
        <v>60</v>
      </c>
      <c r="D92" t="s">
        <v>105</v>
      </c>
      <c r="F92" t="s">
        <v>719</v>
      </c>
      <c r="H92" s="21">
        <v>0</v>
      </c>
      <c r="I92" s="21">
        <v>543.68882579109982</v>
      </c>
      <c r="J92" s="21">
        <v>543.68882579109982</v>
      </c>
      <c r="K92" s="21">
        <v>543.68882579109982</v>
      </c>
      <c r="L92" s="21">
        <v>543.68882579109982</v>
      </c>
      <c r="M92" s="21">
        <v>543.68882579109982</v>
      </c>
      <c r="N92" s="21">
        <v>543.68882579109982</v>
      </c>
      <c r="O92" s="21">
        <v>543.68882579109982</v>
      </c>
      <c r="P92" s="21">
        <v>543.68882579109982</v>
      </c>
      <c r="Q92" s="21">
        <v>543.68882579109982</v>
      </c>
      <c r="R92" s="21">
        <v>543.68882579109982</v>
      </c>
      <c r="S92" s="21">
        <v>543.68882579109982</v>
      </c>
      <c r="T92" s="21">
        <v>543.68882579109982</v>
      </c>
      <c r="U92" s="21">
        <v>543.68882579109982</v>
      </c>
      <c r="V92" s="21">
        <v>543.68882579109982</v>
      </c>
      <c r="W92" s="21">
        <v>543.68882579109982</v>
      </c>
      <c r="X92" s="21">
        <v>543.68882579109982</v>
      </c>
      <c r="Y92" s="21">
        <v>543.68882579109982</v>
      </c>
      <c r="Z92" s="21">
        <v>543.68882579109982</v>
      </c>
      <c r="AA92" s="21">
        <v>543.68882579109982</v>
      </c>
      <c r="AB92" s="43">
        <v>543.68882579109982</v>
      </c>
      <c r="AC92" s="43">
        <v>543.68882579109982</v>
      </c>
      <c r="AD92" s="93" t="str">
        <f>IF('[3]Mitigation summary'!G42*CO2toC*Ggtot&gt;0,'[3]Mitigation summary'!G42*CO2toC*Ggtot,"NO")</f>
        <v>NO</v>
      </c>
      <c r="AE92" s="93" t="str">
        <f>IF('[3]Mitigation summary'!H42*CO2toC*Ggtot&gt;0,'[3]Mitigation summary'!H42*CO2toC*Ggtot,"NO")</f>
        <v>NO</v>
      </c>
      <c r="AF92" s="93" t="str">
        <f>IF('[3]Mitigation summary'!I42*CO2toC*Ggtot&gt;0,'[3]Mitigation summary'!I42*CO2toC*Ggtot,"NO")</f>
        <v>NO</v>
      </c>
      <c r="AG92" s="93" t="str">
        <f>IF('[3]Mitigation summary'!J42*CO2toC*Ggtot&gt;0,'[3]Mitigation summary'!J42*CO2toC*Ggtot,"NO")</f>
        <v>NO</v>
      </c>
      <c r="AH92" s="93" t="str">
        <f>IF('[3]Mitigation summary'!K42*CO2toC*Ggtot&gt;0,'[3]Mitigation summary'!K42*CO2toC*Ggtot,"NO")</f>
        <v>NO</v>
      </c>
      <c r="AI92" s="93" t="str">
        <f>IF('[3]Mitigation summary'!L42*CO2toC*Ggtot&gt;0,'[3]Mitigation summary'!L42*CO2toC*Ggtot,"NO")</f>
        <v>NO</v>
      </c>
      <c r="AJ92" s="93" t="str">
        <f>IF('[3]Mitigation summary'!M42*CO2toC*Ggtot&gt;0,'[3]Mitigation summary'!M42*CO2toC*Ggtot,"NO")</f>
        <v>NO</v>
      </c>
      <c r="AK92" s="93" t="str">
        <f>IF('[3]Mitigation summary'!N42*CO2toC*Ggtot&gt;0,'[3]Mitigation summary'!N42*CO2toC*Ggtot,"NO")</f>
        <v>NO</v>
      </c>
      <c r="AL92" s="93" t="str">
        <f>IF('[3]Mitigation summary'!O42*CO2toC*Ggtot&gt;0,'[3]Mitigation summary'!O42*CO2toC*Ggtot,"NO")</f>
        <v>NO</v>
      </c>
      <c r="AM92" s="93" t="str">
        <f>IF('[3]Mitigation summary'!P42*CO2toC*Ggtot&gt;0,'[3]Mitigation summary'!P42*CO2toC*Ggtot,"NO")</f>
        <v>NO</v>
      </c>
      <c r="AN92" s="93" t="str">
        <f>IF('[3]Mitigation summary'!Q42*CO2toC*Ggtot&gt;0,'[3]Mitigation summary'!Q42*CO2toC*Ggtot,"NO")</f>
        <v>NO</v>
      </c>
      <c r="AO92" s="93" t="str">
        <f>IF('[3]Mitigation summary'!R42*CO2toC*Ggtot&gt;0,'[3]Mitigation summary'!R42*CO2toC*Ggtot,"NO")</f>
        <v>NO</v>
      </c>
      <c r="AP92" s="93" t="str">
        <f>IF('[3]Mitigation summary'!S42*CO2toC*Ggtot&gt;0,'[3]Mitigation summary'!S42*CO2toC*Ggtot,"NO")</f>
        <v>NO</v>
      </c>
      <c r="AQ92" s="93" t="str">
        <f>IF('[3]Mitigation summary'!T42*CO2toC*Ggtot&gt;0,'[3]Mitigation summary'!T42*CO2toC*Ggtot,"NO")</f>
        <v>NO</v>
      </c>
      <c r="AR92" s="93" t="str">
        <f>IF('[3]Mitigation summary'!U42*CO2toC*Ggtot&gt;0,'[3]Mitigation summary'!U42*CO2toC*Ggtot,"NO")</f>
        <v>NO</v>
      </c>
      <c r="AS92" s="93" t="str">
        <f>IF('[3]Mitigation summary'!V42*CO2toC*Ggtot&gt;0,'[3]Mitigation summary'!V42*CO2toC*Ggtot,"NO")</f>
        <v>NO</v>
      </c>
      <c r="AT92" s="93" t="str">
        <f>IF('[3]Mitigation summary'!W42*CO2toC*Ggtot&gt;0,'[3]Mitigation summary'!W42*CO2toC*Ggtot,"NO")</f>
        <v>NO</v>
      </c>
      <c r="AU92" s="93" t="str">
        <f>IF('[3]Mitigation summary'!X42*CO2toC*Ggtot&gt;0,'[3]Mitigation summary'!X42*CO2toC*Ggtot,"NO")</f>
        <v>NO</v>
      </c>
      <c r="AV92" s="93" t="str">
        <f>IF('[3]Mitigation summary'!Y42*CO2toC*Ggtot&gt;0,'[3]Mitigation summary'!Y42*CO2toC*Ggtot,"NO")</f>
        <v>NO</v>
      </c>
      <c r="AW92" s="93" t="str">
        <f>IF('[3]Mitigation summary'!Z42*CO2toC*Ggtot&gt;0,'[3]Mitigation summary'!Z42*CO2toC*Ggtot,"NO")</f>
        <v>NO</v>
      </c>
      <c r="AX92" s="93" t="str">
        <f>IF('[3]Mitigation summary'!AA42*CO2toC*Ggtot&gt;0,'[3]Mitigation summary'!AA42*CO2toC*Ggtot,"NO")</f>
        <v>NO</v>
      </c>
      <c r="AY92" s="93" t="str">
        <f>IF('[3]Mitigation summary'!AB42*CO2toC*Ggtot&gt;0,'[3]Mitigation summary'!AB42*CO2toC*Ggtot,"NO")</f>
        <v>NO</v>
      </c>
      <c r="AZ92" s="93" t="str">
        <f>IF('[3]Mitigation summary'!AC42*CO2toC*Ggtot&gt;0,'[3]Mitigation summary'!AC42*CO2toC*Ggtot,"NO")</f>
        <v>NO</v>
      </c>
      <c r="BA92" s="93" t="str">
        <f>IF('[3]Mitigation summary'!AD42*CO2toC*Ggtot&gt;0,'[3]Mitigation summary'!AD42*CO2toC*Ggtot,"NO")</f>
        <v>NO</v>
      </c>
      <c r="BB92" s="93" t="str">
        <f>IF('[3]Mitigation summary'!AE42*CO2toC*Ggtot&gt;0,'[3]Mitigation summary'!AE42*CO2toC*Ggtot,"NO")</f>
        <v>NO</v>
      </c>
      <c r="BC92" s="93" t="str">
        <f>IF('[3]Mitigation summary'!AF42*CO2toC*Ggtot&gt;0,'[3]Mitigation summary'!AF42*CO2toC*Ggtot,"NO")</f>
        <v>NO</v>
      </c>
      <c r="BD92" s="93" t="str">
        <f>IF('[3]Mitigation summary'!AG42*CO2toC*Ggtot&gt;0,'[3]Mitigation summary'!AG42*CO2toC*Ggtot,"NO")</f>
        <v>NO</v>
      </c>
      <c r="BE92" s="93" t="str">
        <f>IF('[3]Mitigation summary'!AH42*CO2toC*Ggtot&gt;0,'[3]Mitigation summary'!AH42*CO2toC*Ggtot,"NO")</f>
        <v>NO</v>
      </c>
      <c r="BF92" s="93" t="str">
        <f>IF('[3]Mitigation summary'!AI42*CO2toC*Ggtot&gt;0,'[3]Mitigation summary'!AI42*CO2toC*Ggtot,"NO")</f>
        <v>NO</v>
      </c>
      <c r="BG92" s="93" t="str">
        <f>IF('[3]Mitigation summary'!AJ42*CO2toC*Ggtot&gt;0,'[3]Mitigation summary'!AJ42*CO2toC*Ggtot,"NO")</f>
        <v>NO</v>
      </c>
      <c r="BH92" s="93" t="str">
        <f>IF('[3]Mitigation summary'!AK42*CO2toC*Ggtot&gt;0,'[3]Mitigation summary'!AK42*CO2toC*Ggtot,"NO")</f>
        <v>NO</v>
      </c>
      <c r="BI92" s="93" t="str">
        <f>IF('[3]Mitigation summary'!AL42*CO2toC*Ggtot&gt;0,'[3]Mitigation summary'!AL42*CO2toC*Ggtot,"NO")</f>
        <v>NO</v>
      </c>
      <c r="BJ92" s="93" t="str">
        <f>IF('[3]Mitigation summary'!AM42*CO2toC*Ggtot&gt;0,'[3]Mitigation summary'!AM42*CO2toC*Ggtot,"NO")</f>
        <v>NO</v>
      </c>
      <c r="BK92" s="93" t="str">
        <f>IF('[3]Mitigation summary'!AN42*CO2toC*Ggtot&gt;0,'[3]Mitigation summary'!AN42*CO2toC*Ggtot,"NO")</f>
        <v>NO</v>
      </c>
      <c r="BL92" s="93" t="str">
        <f>IF('[3]Mitigation summary'!AO42*CO2toC*Ggtot&gt;0,'[3]Mitigation summary'!AO42*CO2toC*Ggtot,"NO")</f>
        <v>NO</v>
      </c>
      <c r="BM92" s="93" t="str">
        <f>IF('[3]Mitigation summary'!AP42*CO2toC*Ggtot&gt;0,'[3]Mitigation summary'!AP42*CO2toC*Ggtot,"NO")</f>
        <v>NO</v>
      </c>
      <c r="BN92" s="93" t="str">
        <f>IF('[3]Mitigation summary'!AQ42*CO2toC*Ggtot&gt;0,'[3]Mitigation summary'!AQ42*CO2toC*Ggtot,"NO")</f>
        <v>NO</v>
      </c>
      <c r="BO92" s="93" t="str">
        <f>IF('[3]Mitigation summary'!AR42*CO2toC*Ggtot&gt;0,'[3]Mitigation summary'!AR42*CO2toC*Ggtot,"NO")</f>
        <v>NO</v>
      </c>
      <c r="BP92" s="93" t="str">
        <f>IF('[3]Mitigation summary'!AS42*CO2toC*Ggtot&gt;0,'[3]Mitigation summary'!AS42*CO2toC*Ggtot,"NO")</f>
        <v>NO</v>
      </c>
      <c r="BQ92" s="80"/>
    </row>
    <row r="93" spans="1:72" x14ac:dyDescent="0.25">
      <c r="A93" t="str">
        <f>A87</f>
        <v>3C Aggregated and non-CO2 emissions on land</v>
      </c>
      <c r="B93" t="str">
        <f>B87</f>
        <v>3C4 Direct N2O from managed soils (N2O)</v>
      </c>
      <c r="C93" t="s">
        <v>60</v>
      </c>
      <c r="D93" t="s">
        <v>721</v>
      </c>
      <c r="F93" t="s">
        <v>719</v>
      </c>
      <c r="H93" s="21" t="s">
        <v>720</v>
      </c>
      <c r="I93" s="21" t="s">
        <v>720</v>
      </c>
      <c r="J93" s="21" t="s">
        <v>720</v>
      </c>
      <c r="K93" s="21" t="s">
        <v>720</v>
      </c>
      <c r="L93" s="21" t="s">
        <v>720</v>
      </c>
      <c r="M93" s="21" t="s">
        <v>720</v>
      </c>
      <c r="N93" s="21" t="s">
        <v>720</v>
      </c>
      <c r="O93" s="21" t="s">
        <v>720</v>
      </c>
      <c r="P93" s="21" t="s">
        <v>720</v>
      </c>
      <c r="Q93" s="21" t="s">
        <v>720</v>
      </c>
      <c r="R93" s="21" t="s">
        <v>720</v>
      </c>
      <c r="S93" s="21" t="s">
        <v>720</v>
      </c>
      <c r="T93" s="21" t="s">
        <v>720</v>
      </c>
      <c r="U93" s="21" t="s">
        <v>720</v>
      </c>
      <c r="V93" s="21" t="s">
        <v>720</v>
      </c>
      <c r="W93" s="21" t="s">
        <v>720</v>
      </c>
      <c r="X93" s="21" t="s">
        <v>720</v>
      </c>
      <c r="Y93" s="21" t="s">
        <v>720</v>
      </c>
      <c r="Z93" s="21" t="s">
        <v>720</v>
      </c>
      <c r="AA93" s="21" t="s">
        <v>720</v>
      </c>
      <c r="AB93" s="43" t="s">
        <v>720</v>
      </c>
      <c r="AC93" s="43" t="s">
        <v>720</v>
      </c>
      <c r="AD93" s="43" t="s">
        <v>720</v>
      </c>
      <c r="AE93" s="43" t="s">
        <v>720</v>
      </c>
      <c r="AF93" s="43" t="s">
        <v>720</v>
      </c>
      <c r="AG93" s="43" t="s">
        <v>720</v>
      </c>
      <c r="AH93" s="43" t="s">
        <v>720</v>
      </c>
      <c r="AI93" s="43" t="s">
        <v>720</v>
      </c>
      <c r="AJ93" s="43" t="s">
        <v>720</v>
      </c>
      <c r="AK93" s="43" t="s">
        <v>720</v>
      </c>
      <c r="AL93" s="43" t="s">
        <v>720</v>
      </c>
      <c r="AM93" s="43" t="s">
        <v>720</v>
      </c>
      <c r="AN93" s="43" t="s">
        <v>720</v>
      </c>
      <c r="AO93" s="43" t="s">
        <v>720</v>
      </c>
      <c r="AP93" s="43" t="s">
        <v>720</v>
      </c>
      <c r="AQ93" s="43" t="s">
        <v>720</v>
      </c>
      <c r="AR93" s="43" t="s">
        <v>720</v>
      </c>
      <c r="AS93" s="43" t="s">
        <v>720</v>
      </c>
      <c r="AT93" s="43" t="s">
        <v>720</v>
      </c>
      <c r="AU93" s="43" t="s">
        <v>720</v>
      </c>
      <c r="AV93" s="43" t="s">
        <v>720</v>
      </c>
      <c r="AW93" s="43" t="s">
        <v>720</v>
      </c>
      <c r="AX93" s="43" t="s">
        <v>720</v>
      </c>
      <c r="AY93" s="43" t="s">
        <v>720</v>
      </c>
      <c r="AZ93" s="43" t="s">
        <v>720</v>
      </c>
      <c r="BA93" s="43" t="s">
        <v>720</v>
      </c>
      <c r="BB93" s="43" t="s">
        <v>720</v>
      </c>
      <c r="BC93" s="43" t="s">
        <v>720</v>
      </c>
      <c r="BD93" s="43" t="s">
        <v>720</v>
      </c>
      <c r="BE93" s="43" t="s">
        <v>720</v>
      </c>
      <c r="BF93" s="43" t="s">
        <v>720</v>
      </c>
      <c r="BG93" s="43" t="s">
        <v>720</v>
      </c>
      <c r="BH93" s="43" t="s">
        <v>720</v>
      </c>
      <c r="BI93" s="43" t="s">
        <v>720</v>
      </c>
      <c r="BJ93" s="43" t="s">
        <v>720</v>
      </c>
      <c r="BK93" s="43" t="s">
        <v>720</v>
      </c>
      <c r="BL93" s="43" t="s">
        <v>720</v>
      </c>
      <c r="BM93" s="43" t="s">
        <v>720</v>
      </c>
      <c r="BN93" s="43" t="s">
        <v>720</v>
      </c>
      <c r="BO93" s="43" t="s">
        <v>720</v>
      </c>
      <c r="BP93" s="43" t="s">
        <v>720</v>
      </c>
      <c r="BQ93" s="80"/>
    </row>
    <row r="94" spans="1:72" x14ac:dyDescent="0.25">
      <c r="C94" t="s">
        <v>60</v>
      </c>
      <c r="D94" t="s">
        <v>792</v>
      </c>
      <c r="F94" t="s">
        <v>719</v>
      </c>
      <c r="H94" s="21" t="s">
        <v>720</v>
      </c>
      <c r="I94" s="21" t="s">
        <v>720</v>
      </c>
      <c r="J94" s="21" t="s">
        <v>720</v>
      </c>
      <c r="K94" s="21" t="s">
        <v>720</v>
      </c>
      <c r="L94" s="21" t="s">
        <v>720</v>
      </c>
      <c r="M94" s="21" t="s">
        <v>720</v>
      </c>
      <c r="N94" s="21" t="s">
        <v>720</v>
      </c>
      <c r="O94" s="21" t="s">
        <v>720</v>
      </c>
      <c r="P94" s="21" t="s">
        <v>720</v>
      </c>
      <c r="Q94" s="21" t="s">
        <v>720</v>
      </c>
      <c r="R94" s="21" t="s">
        <v>720</v>
      </c>
      <c r="S94" s="21" t="s">
        <v>720</v>
      </c>
      <c r="T94" s="21" t="s">
        <v>720</v>
      </c>
      <c r="U94" s="21" t="s">
        <v>720</v>
      </c>
      <c r="V94" s="21" t="s">
        <v>720</v>
      </c>
      <c r="W94" s="21" t="s">
        <v>720</v>
      </c>
      <c r="X94" s="21" t="s">
        <v>720</v>
      </c>
      <c r="Y94" s="21" t="s">
        <v>720</v>
      </c>
      <c r="Z94" s="21" t="s">
        <v>720</v>
      </c>
      <c r="AA94" s="21" t="s">
        <v>720</v>
      </c>
      <c r="AB94" s="43" t="s">
        <v>720</v>
      </c>
      <c r="AC94" s="43" t="s">
        <v>720</v>
      </c>
      <c r="AD94" s="43" t="s">
        <v>720</v>
      </c>
      <c r="AE94" s="43" t="s">
        <v>720</v>
      </c>
      <c r="AF94" s="43" t="s">
        <v>720</v>
      </c>
      <c r="AG94" s="43" t="s">
        <v>720</v>
      </c>
      <c r="AH94" s="43" t="s">
        <v>720</v>
      </c>
      <c r="AI94" s="43" t="s">
        <v>720</v>
      </c>
      <c r="AJ94" s="43" t="s">
        <v>720</v>
      </c>
      <c r="AK94" s="43" t="s">
        <v>720</v>
      </c>
      <c r="AL94" s="43" t="s">
        <v>720</v>
      </c>
      <c r="AM94" s="43" t="s">
        <v>720</v>
      </c>
      <c r="AN94" s="43" t="s">
        <v>720</v>
      </c>
      <c r="AO94" s="43" t="s">
        <v>720</v>
      </c>
      <c r="AP94" s="43" t="s">
        <v>720</v>
      </c>
      <c r="AQ94" s="43" t="s">
        <v>720</v>
      </c>
      <c r="AR94" s="43" t="s">
        <v>720</v>
      </c>
      <c r="AS94" s="43" t="s">
        <v>720</v>
      </c>
      <c r="AT94" s="43" t="s">
        <v>720</v>
      </c>
      <c r="AU94" s="43" t="s">
        <v>720</v>
      </c>
      <c r="AV94" s="43" t="s">
        <v>720</v>
      </c>
      <c r="AW94" s="43" t="s">
        <v>720</v>
      </c>
      <c r="AX94" s="43" t="s">
        <v>720</v>
      </c>
      <c r="AY94" s="43" t="s">
        <v>720</v>
      </c>
      <c r="AZ94" s="43" t="s">
        <v>720</v>
      </c>
      <c r="BA94" s="43" t="s">
        <v>720</v>
      </c>
      <c r="BB94" s="43" t="s">
        <v>720</v>
      </c>
      <c r="BC94" s="43" t="s">
        <v>720</v>
      </c>
      <c r="BD94" s="43" t="s">
        <v>720</v>
      </c>
      <c r="BE94" s="43" t="s">
        <v>720</v>
      </c>
      <c r="BF94" s="43" t="s">
        <v>720</v>
      </c>
      <c r="BG94" s="43" t="s">
        <v>720</v>
      </c>
      <c r="BH94" s="43" t="s">
        <v>720</v>
      </c>
      <c r="BI94" s="43" t="s">
        <v>720</v>
      </c>
      <c r="BJ94" s="43" t="s">
        <v>720</v>
      </c>
      <c r="BK94" s="43" t="s">
        <v>720</v>
      </c>
      <c r="BL94" s="43" t="s">
        <v>720</v>
      </c>
      <c r="BM94" s="43" t="s">
        <v>720</v>
      </c>
      <c r="BN94" s="43" t="s">
        <v>720</v>
      </c>
      <c r="BO94" s="43" t="s">
        <v>720</v>
      </c>
      <c r="BP94" s="43" t="s">
        <v>720</v>
      </c>
      <c r="BQ94" s="80"/>
    </row>
    <row r="95" spans="1:72" x14ac:dyDescent="0.25">
      <c r="A95" t="str">
        <f>A87</f>
        <v>3C Aggregated and non-CO2 emissions on land</v>
      </c>
      <c r="B95" t="str">
        <f>B87</f>
        <v>3C4 Direct N2O from managed soils (N2O)</v>
      </c>
      <c r="C95" t="s">
        <v>60</v>
      </c>
      <c r="D95" t="s">
        <v>107</v>
      </c>
      <c r="F95" t="s">
        <v>719</v>
      </c>
      <c r="H95" s="21" t="s">
        <v>720</v>
      </c>
      <c r="I95" s="21">
        <v>4.7379431086319741</v>
      </c>
      <c r="J95" s="21">
        <v>4.7379431086319741</v>
      </c>
      <c r="K95" s="21">
        <v>4.7379431086319741</v>
      </c>
      <c r="L95" s="21">
        <v>4.7379431086319741</v>
      </c>
      <c r="M95" s="21">
        <v>4.7379431086319741</v>
      </c>
      <c r="N95" s="21">
        <v>4.7379431086319741</v>
      </c>
      <c r="O95" s="21">
        <v>4.7379431086319741</v>
      </c>
      <c r="P95" s="21">
        <v>4.7379431086319741</v>
      </c>
      <c r="Q95" s="21">
        <v>4.7379431086319741</v>
      </c>
      <c r="R95" s="21">
        <v>4.7379431086319741</v>
      </c>
      <c r="S95" s="21">
        <v>4.7379431086319741</v>
      </c>
      <c r="T95" s="21">
        <v>4.7379431086319741</v>
      </c>
      <c r="U95" s="21">
        <v>4.7379431086319741</v>
      </c>
      <c r="V95" s="21">
        <v>4.7379431086319741</v>
      </c>
      <c r="W95" s="21">
        <v>4.7379431086319741</v>
      </c>
      <c r="X95" s="21">
        <v>4.7379431086319741</v>
      </c>
      <c r="Y95" s="21">
        <v>4.7379431086319741</v>
      </c>
      <c r="Z95" s="21">
        <v>4.7379431086319741</v>
      </c>
      <c r="AA95" s="21">
        <v>4.7379431086319741</v>
      </c>
      <c r="AB95" s="43">
        <v>4.7379431086319741</v>
      </c>
      <c r="AC95" s="43">
        <v>4.7379431086319741</v>
      </c>
      <c r="AD95" s="93">
        <f>IF('[3]Mitigation summary'!G53*CO2toC*Ggtot&gt;0,'[3]Mitigation summary'!G53*CO2toC*Ggtot,"NO")</f>
        <v>53.492906065199229</v>
      </c>
      <c r="AE95" s="93">
        <f>IF('[3]Mitigation summary'!H53*CO2toC*Ggtot&gt;0,'[3]Mitigation summary'!H53*CO2toC*Ggtot,"NO")</f>
        <v>53.492906065199229</v>
      </c>
      <c r="AF95" s="93">
        <f>IF('[3]Mitigation summary'!I53*CO2toC*Ggtot&gt;0,'[3]Mitigation summary'!I53*CO2toC*Ggtot,"NO")</f>
        <v>53.492906065199229</v>
      </c>
      <c r="AG95" s="93">
        <f>IF('[3]Mitigation summary'!J53*CO2toC*Ggtot&gt;0,'[3]Mitigation summary'!J53*CO2toC*Ggtot,"NO")</f>
        <v>53.492906065199229</v>
      </c>
      <c r="AH95" s="93">
        <f>IF('[3]Mitigation summary'!K53*CO2toC*Ggtot&gt;0,'[3]Mitigation summary'!K53*CO2toC*Ggtot,"NO")</f>
        <v>53.492906065199229</v>
      </c>
      <c r="AI95" s="93">
        <f>IF('[3]Mitigation summary'!L53*CO2toC*Ggtot&gt;0,'[3]Mitigation summary'!L53*CO2toC*Ggtot,"NO")</f>
        <v>53.492906065199229</v>
      </c>
      <c r="AJ95" s="93">
        <f>IF('[3]Mitigation summary'!M53*CO2toC*Ggtot&gt;0,'[3]Mitigation summary'!M53*CO2toC*Ggtot,"NO")</f>
        <v>53.492906065199229</v>
      </c>
      <c r="AK95" s="93">
        <f>IF('[3]Mitigation summary'!N53*CO2toC*Ggtot&gt;0,'[3]Mitigation summary'!N53*CO2toC*Ggtot,"NO")</f>
        <v>53.492906065199229</v>
      </c>
      <c r="AL95" s="93">
        <f>IF('[3]Mitigation summary'!O53*CO2toC*Ggtot&gt;0,'[3]Mitigation summary'!O53*CO2toC*Ggtot,"NO")</f>
        <v>53.492906065199229</v>
      </c>
      <c r="AM95" s="93">
        <f>IF('[3]Mitigation summary'!P53*CO2toC*Ggtot&gt;0,'[3]Mitigation summary'!P53*CO2toC*Ggtot,"NO")</f>
        <v>53.492906065199229</v>
      </c>
      <c r="AN95" s="93">
        <f>IF('[3]Mitigation summary'!Q53*CO2toC*Ggtot&gt;0,'[3]Mitigation summary'!Q53*CO2toC*Ggtot,"NO")</f>
        <v>53.492906065199229</v>
      </c>
      <c r="AO95" s="93">
        <f>IF('[3]Mitigation summary'!R53*CO2toC*Ggtot&gt;0,'[3]Mitigation summary'!R53*CO2toC*Ggtot,"NO")</f>
        <v>53.492906065199229</v>
      </c>
      <c r="AP95" s="93">
        <f>IF('[3]Mitigation summary'!S53*CO2toC*Ggtot&gt;0,'[3]Mitigation summary'!S53*CO2toC*Ggtot,"NO")</f>
        <v>53.492906065199229</v>
      </c>
      <c r="AQ95" s="93">
        <f>IF('[3]Mitigation summary'!T53*CO2toC*Ggtot&gt;0,'[3]Mitigation summary'!T53*CO2toC*Ggtot,"NO")</f>
        <v>53.492906065199229</v>
      </c>
      <c r="AR95" s="93">
        <f>IF('[3]Mitigation summary'!U53*CO2toC*Ggtot&gt;0,'[3]Mitigation summary'!U53*CO2toC*Ggtot,"NO")</f>
        <v>53.492906065199229</v>
      </c>
      <c r="AS95" s="93">
        <f>IF('[3]Mitigation summary'!V53*CO2toC*Ggtot&gt;0,'[3]Mitigation summary'!V53*CO2toC*Ggtot,"NO")</f>
        <v>53.492906065199229</v>
      </c>
      <c r="AT95" s="93">
        <f>IF('[3]Mitigation summary'!W53*CO2toC*Ggtot&gt;0,'[3]Mitigation summary'!W53*CO2toC*Ggtot,"NO")</f>
        <v>53.492906065199229</v>
      </c>
      <c r="AU95" s="93">
        <f>IF('[3]Mitigation summary'!X53*CO2toC*Ggtot&gt;0,'[3]Mitigation summary'!X53*CO2toC*Ggtot,"NO")</f>
        <v>53.492906065199229</v>
      </c>
      <c r="AV95" s="93">
        <f>IF('[3]Mitigation summary'!Y53*CO2toC*Ggtot&gt;0,'[3]Mitigation summary'!Y53*CO2toC*Ggtot,"NO")</f>
        <v>53.492906065199229</v>
      </c>
      <c r="AW95" s="93">
        <f>IF('[3]Mitigation summary'!Z53*CO2toC*Ggtot&gt;0,'[3]Mitigation summary'!Z53*CO2toC*Ggtot,"NO")</f>
        <v>53.492906065199229</v>
      </c>
      <c r="AX95" s="93">
        <f>IF('[3]Mitigation summary'!AA53*CO2toC*Ggtot&gt;0,'[3]Mitigation summary'!AA53*CO2toC*Ggtot,"NO")</f>
        <v>53.492906065199229</v>
      </c>
      <c r="AY95" s="93">
        <f>IF('[3]Mitigation summary'!AB53*CO2toC*Ggtot&gt;0,'[3]Mitigation summary'!AB53*CO2toC*Ggtot,"NO")</f>
        <v>53.492906065199229</v>
      </c>
      <c r="AZ95" s="93">
        <f>IF('[3]Mitigation summary'!AC53*CO2toC*Ggtot&gt;0,'[3]Mitigation summary'!AC53*CO2toC*Ggtot,"NO")</f>
        <v>53.492906065199229</v>
      </c>
      <c r="BA95" s="93">
        <f>IF('[3]Mitigation summary'!AD53*CO2toC*Ggtot&gt;0,'[3]Mitigation summary'!AD53*CO2toC*Ggtot,"NO")</f>
        <v>53.492906065199229</v>
      </c>
      <c r="BB95" s="93">
        <f>IF('[3]Mitigation summary'!AE53*CO2toC*Ggtot&gt;0,'[3]Mitigation summary'!AE53*CO2toC*Ggtot,"NO")</f>
        <v>53.492906065199229</v>
      </c>
      <c r="BC95" s="93">
        <f>IF('[3]Mitigation summary'!AF53*CO2toC*Ggtot&gt;0,'[3]Mitigation summary'!AF53*CO2toC*Ggtot,"NO")</f>
        <v>53.492906065199229</v>
      </c>
      <c r="BD95" s="93">
        <f>IF('[3]Mitigation summary'!AG53*CO2toC*Ggtot&gt;0,'[3]Mitigation summary'!AG53*CO2toC*Ggtot,"NO")</f>
        <v>53.492906065199229</v>
      </c>
      <c r="BE95" s="93">
        <f>IF('[3]Mitigation summary'!AH53*CO2toC*Ggtot&gt;0,'[3]Mitigation summary'!AH53*CO2toC*Ggtot,"NO")</f>
        <v>53.492906065199229</v>
      </c>
      <c r="BF95" s="93">
        <f>IF('[3]Mitigation summary'!AI53*CO2toC*Ggtot&gt;0,'[3]Mitigation summary'!AI53*CO2toC*Ggtot,"NO")</f>
        <v>53.492906065199229</v>
      </c>
      <c r="BG95" s="93">
        <f>IF('[3]Mitigation summary'!AJ53*CO2toC*Ggtot&gt;0,'[3]Mitigation summary'!AJ53*CO2toC*Ggtot,"NO")</f>
        <v>53.492906065199229</v>
      </c>
      <c r="BH95" s="93">
        <f>IF('[3]Mitigation summary'!AK53*CO2toC*Ggtot&gt;0,'[3]Mitigation summary'!AK53*CO2toC*Ggtot,"NO")</f>
        <v>53.492906065199229</v>
      </c>
      <c r="BI95" s="93">
        <f>IF('[3]Mitigation summary'!AL53*CO2toC*Ggtot&gt;0,'[3]Mitigation summary'!AL53*CO2toC*Ggtot,"NO")</f>
        <v>53.492906065199229</v>
      </c>
      <c r="BJ95" s="93">
        <f>IF('[3]Mitigation summary'!AM53*CO2toC*Ggtot&gt;0,'[3]Mitigation summary'!AM53*CO2toC*Ggtot,"NO")</f>
        <v>53.492906065199229</v>
      </c>
      <c r="BK95" s="93">
        <f>IF('[3]Mitigation summary'!AN53*CO2toC*Ggtot&gt;0,'[3]Mitigation summary'!AN53*CO2toC*Ggtot,"NO")</f>
        <v>53.492906065199229</v>
      </c>
      <c r="BL95" s="93">
        <f>IF('[3]Mitigation summary'!AO53*CO2toC*Ggtot&gt;0,'[3]Mitigation summary'!AO53*CO2toC*Ggtot,"NO")</f>
        <v>53.492906065199229</v>
      </c>
      <c r="BM95" s="93">
        <f>IF('[3]Mitigation summary'!AP53*CO2toC*Ggtot&gt;0,'[3]Mitigation summary'!AP53*CO2toC*Ggtot,"NO")</f>
        <v>53.492906065199229</v>
      </c>
      <c r="BN95" s="93">
        <f>IF('[3]Mitigation summary'!AQ53*CO2toC*Ggtot&gt;0,'[3]Mitigation summary'!AQ53*CO2toC*Ggtot,"NO")</f>
        <v>53.492906065199229</v>
      </c>
      <c r="BO95" s="93">
        <f>IF('[3]Mitigation summary'!AR53*CO2toC*Ggtot&gt;0,'[3]Mitigation summary'!AR53*CO2toC*Ggtot,"NO")</f>
        <v>53.492906065199229</v>
      </c>
      <c r="BP95" s="93">
        <f>IF('[3]Mitigation summary'!AS53*CO2toC*Ggtot&gt;0,'[3]Mitigation summary'!AS53*CO2toC*Ggtot,"NO")</f>
        <v>53.492906065199229</v>
      </c>
      <c r="BQ95" s="80"/>
    </row>
    <row r="96" spans="1:72" x14ac:dyDescent="0.25">
      <c r="C96" t="s">
        <v>60</v>
      </c>
      <c r="D96" t="s">
        <v>108</v>
      </c>
      <c r="F96" t="s">
        <v>719</v>
      </c>
      <c r="H96" s="21">
        <v>0</v>
      </c>
      <c r="I96" s="21">
        <v>5942.7299901832721</v>
      </c>
      <c r="J96" s="21">
        <v>5942.7299901832721</v>
      </c>
      <c r="K96" s="21">
        <v>5942.7299901832721</v>
      </c>
      <c r="L96" s="21">
        <v>5942.7299901832721</v>
      </c>
      <c r="M96" s="21">
        <v>5942.7299901832721</v>
      </c>
      <c r="N96" s="21">
        <v>5942.7299901832721</v>
      </c>
      <c r="O96" s="21">
        <v>5942.7299901832721</v>
      </c>
      <c r="P96" s="21">
        <v>5942.7299901832721</v>
      </c>
      <c r="Q96" s="21">
        <v>5942.7299901832721</v>
      </c>
      <c r="R96" s="21">
        <v>5942.7299901832721</v>
      </c>
      <c r="S96" s="21">
        <v>5942.7299901832721</v>
      </c>
      <c r="T96" s="21">
        <v>5942.7299901832721</v>
      </c>
      <c r="U96" s="21">
        <v>5942.7299901832721</v>
      </c>
      <c r="V96" s="21">
        <v>5942.7299901832721</v>
      </c>
      <c r="W96" s="21">
        <v>5942.7299901832721</v>
      </c>
      <c r="X96" s="21">
        <v>5942.7299901832721</v>
      </c>
      <c r="Y96" s="21">
        <v>5942.7299901832721</v>
      </c>
      <c r="Z96" s="21">
        <v>5942.7299901832721</v>
      </c>
      <c r="AA96" s="21">
        <v>5942.7299901832721</v>
      </c>
      <c r="AB96" s="43">
        <v>5942.7299901832721</v>
      </c>
      <c r="AC96" s="43">
        <v>5942.7299901832721</v>
      </c>
      <c r="AD96" s="93">
        <f>IF('[3]Mitigation summary'!G58*CO2toC*Ggtot&gt;0,'[3]Mitigation summary'!G58*CO2toC*Ggtot,"NO")</f>
        <v>58330.916309538901</v>
      </c>
      <c r="AE96" s="93">
        <f>IF('[3]Mitigation summary'!H58*CO2toC*Ggtot&gt;0,'[3]Mitigation summary'!H58*CO2toC*Ggtot,"NO")</f>
        <v>58330.916309538901</v>
      </c>
      <c r="AF96" s="93">
        <f>IF('[3]Mitigation summary'!I58*CO2toC*Ggtot&gt;0,'[3]Mitigation summary'!I58*CO2toC*Ggtot,"NO")</f>
        <v>58330.916309538901</v>
      </c>
      <c r="AG96" s="93">
        <f>IF('[3]Mitigation summary'!J58*CO2toC*Ggtot&gt;0,'[3]Mitigation summary'!J58*CO2toC*Ggtot,"NO")</f>
        <v>58330.916309538901</v>
      </c>
      <c r="AH96" s="93">
        <f>IF('[3]Mitigation summary'!K58*CO2toC*Ggtot&gt;0,'[3]Mitigation summary'!K58*CO2toC*Ggtot,"NO")</f>
        <v>58330.916309538901</v>
      </c>
      <c r="AI96" s="93">
        <f>IF('[3]Mitigation summary'!L58*CO2toC*Ggtot&gt;0,'[3]Mitigation summary'!L58*CO2toC*Ggtot,"NO")</f>
        <v>58330.916309538901</v>
      </c>
      <c r="AJ96" s="93">
        <f>IF('[3]Mitigation summary'!M58*CO2toC*Ggtot&gt;0,'[3]Mitigation summary'!M58*CO2toC*Ggtot,"NO")</f>
        <v>58330.916309538901</v>
      </c>
      <c r="AK96" s="93">
        <f>IF('[3]Mitigation summary'!N58*CO2toC*Ggtot&gt;0,'[3]Mitigation summary'!N58*CO2toC*Ggtot,"NO")</f>
        <v>58330.916309538901</v>
      </c>
      <c r="AL96" s="93">
        <f>IF('[3]Mitigation summary'!O58*CO2toC*Ggtot&gt;0,'[3]Mitigation summary'!O58*CO2toC*Ggtot,"NO")</f>
        <v>58330.916309538901</v>
      </c>
      <c r="AM96" s="93">
        <f>IF('[3]Mitigation summary'!P58*CO2toC*Ggtot&gt;0,'[3]Mitigation summary'!P58*CO2toC*Ggtot,"NO")</f>
        <v>58330.916309538901</v>
      </c>
      <c r="AN96" s="93">
        <f>IF('[3]Mitigation summary'!Q58*CO2toC*Ggtot&gt;0,'[3]Mitigation summary'!Q58*CO2toC*Ggtot,"NO")</f>
        <v>58330.916309538901</v>
      </c>
      <c r="AO96" s="93">
        <f>IF('[3]Mitigation summary'!R58*CO2toC*Ggtot&gt;0,'[3]Mitigation summary'!R58*CO2toC*Ggtot,"NO")</f>
        <v>58330.916309538901</v>
      </c>
      <c r="AP96" s="93">
        <f>IF('[3]Mitigation summary'!S58*CO2toC*Ggtot&gt;0,'[3]Mitigation summary'!S58*CO2toC*Ggtot,"NO")</f>
        <v>58330.916309538901</v>
      </c>
      <c r="AQ96" s="93">
        <f>IF('[3]Mitigation summary'!T58*CO2toC*Ggtot&gt;0,'[3]Mitigation summary'!T58*CO2toC*Ggtot,"NO")</f>
        <v>58330.916309538901</v>
      </c>
      <c r="AR96" s="93">
        <f>IF('[3]Mitigation summary'!U58*CO2toC*Ggtot&gt;0,'[3]Mitigation summary'!U58*CO2toC*Ggtot,"NO")</f>
        <v>58330.916309538901</v>
      </c>
      <c r="AS96" s="93">
        <f>IF('[3]Mitigation summary'!V58*CO2toC*Ggtot&gt;0,'[3]Mitigation summary'!V58*CO2toC*Ggtot,"NO")</f>
        <v>58330.916309538901</v>
      </c>
      <c r="AT96" s="93">
        <f>IF('[3]Mitigation summary'!W58*CO2toC*Ggtot&gt;0,'[3]Mitigation summary'!W58*CO2toC*Ggtot,"NO")</f>
        <v>58330.916309538901</v>
      </c>
      <c r="AU96" s="93">
        <f>IF('[3]Mitigation summary'!X58*CO2toC*Ggtot&gt;0,'[3]Mitigation summary'!X58*CO2toC*Ggtot,"NO")</f>
        <v>58330.916309538901</v>
      </c>
      <c r="AV96" s="93">
        <f>IF('[3]Mitigation summary'!Y58*CO2toC*Ggtot&gt;0,'[3]Mitigation summary'!Y58*CO2toC*Ggtot,"NO")</f>
        <v>58330.916309538901</v>
      </c>
      <c r="AW96" s="93">
        <f>IF('[3]Mitigation summary'!Z58*CO2toC*Ggtot&gt;0,'[3]Mitigation summary'!Z58*CO2toC*Ggtot,"NO")</f>
        <v>58330.916309538901</v>
      </c>
      <c r="AX96" s="93">
        <f>IF('[3]Mitigation summary'!AA58*CO2toC*Ggtot&gt;0,'[3]Mitigation summary'!AA58*CO2toC*Ggtot,"NO")</f>
        <v>58330.916309538901</v>
      </c>
      <c r="AY96" s="93">
        <f>IF('[3]Mitigation summary'!AB58*CO2toC*Ggtot&gt;0,'[3]Mitigation summary'!AB58*CO2toC*Ggtot,"NO")</f>
        <v>58330.916309538901</v>
      </c>
      <c r="AZ96" s="93">
        <f>IF('[3]Mitigation summary'!AC58*CO2toC*Ggtot&gt;0,'[3]Mitigation summary'!AC58*CO2toC*Ggtot,"NO")</f>
        <v>58330.916309538901</v>
      </c>
      <c r="BA96" s="93">
        <f>IF('[3]Mitigation summary'!AD58*CO2toC*Ggtot&gt;0,'[3]Mitigation summary'!AD58*CO2toC*Ggtot,"NO")</f>
        <v>58330.916309538901</v>
      </c>
      <c r="BB96" s="93">
        <f>IF('[3]Mitigation summary'!AE58*CO2toC*Ggtot&gt;0,'[3]Mitigation summary'!AE58*CO2toC*Ggtot,"NO")</f>
        <v>58330.916309538901</v>
      </c>
      <c r="BC96" s="93">
        <f>IF('[3]Mitigation summary'!AF58*CO2toC*Ggtot&gt;0,'[3]Mitigation summary'!AF58*CO2toC*Ggtot,"NO")</f>
        <v>58330.916309538901</v>
      </c>
      <c r="BD96" s="93">
        <f>IF('[3]Mitigation summary'!AG58*CO2toC*Ggtot&gt;0,'[3]Mitigation summary'!AG58*CO2toC*Ggtot,"NO")</f>
        <v>58330.916309538901</v>
      </c>
      <c r="BE96" s="93">
        <f>IF('[3]Mitigation summary'!AH58*CO2toC*Ggtot&gt;0,'[3]Mitigation summary'!AH58*CO2toC*Ggtot,"NO")</f>
        <v>58330.916309538901</v>
      </c>
      <c r="BF96" s="93">
        <f>IF('[3]Mitigation summary'!AI58*CO2toC*Ggtot&gt;0,'[3]Mitigation summary'!AI58*CO2toC*Ggtot,"NO")</f>
        <v>58330.916309538901</v>
      </c>
      <c r="BG96" s="93">
        <f>IF('[3]Mitigation summary'!AJ58*CO2toC*Ggtot&gt;0,'[3]Mitigation summary'!AJ58*CO2toC*Ggtot,"NO")</f>
        <v>58330.916309538901</v>
      </c>
      <c r="BH96" s="93">
        <f>IF('[3]Mitigation summary'!AK58*CO2toC*Ggtot&gt;0,'[3]Mitigation summary'!AK58*CO2toC*Ggtot,"NO")</f>
        <v>58330.916309538901</v>
      </c>
      <c r="BI96" s="93">
        <f>IF('[3]Mitigation summary'!AL58*CO2toC*Ggtot&gt;0,'[3]Mitigation summary'!AL58*CO2toC*Ggtot,"NO")</f>
        <v>58330.916309538901</v>
      </c>
      <c r="BJ96" s="93">
        <f>IF('[3]Mitigation summary'!AM58*CO2toC*Ggtot&gt;0,'[3]Mitigation summary'!AM58*CO2toC*Ggtot,"NO")</f>
        <v>58330.916309538901</v>
      </c>
      <c r="BK96" s="93">
        <f>IF('[3]Mitigation summary'!AN58*CO2toC*Ggtot&gt;0,'[3]Mitigation summary'!AN58*CO2toC*Ggtot,"NO")</f>
        <v>58330.916309538901</v>
      </c>
      <c r="BL96" s="93">
        <f>IF('[3]Mitigation summary'!AO58*CO2toC*Ggtot&gt;0,'[3]Mitigation summary'!AO58*CO2toC*Ggtot,"NO")</f>
        <v>58330.916309538901</v>
      </c>
      <c r="BM96" s="93">
        <f>IF('[3]Mitigation summary'!AP58*CO2toC*Ggtot&gt;0,'[3]Mitigation summary'!AP58*CO2toC*Ggtot,"NO")</f>
        <v>58330.916309538901</v>
      </c>
      <c r="BN96" s="93">
        <f>IF('[3]Mitigation summary'!AQ58*CO2toC*Ggtot&gt;0,'[3]Mitigation summary'!AQ58*CO2toC*Ggtot,"NO")</f>
        <v>58330.916309538901</v>
      </c>
      <c r="BO96" s="93">
        <f>IF('[3]Mitigation summary'!AR58*CO2toC*Ggtot&gt;0,'[3]Mitigation summary'!AR58*CO2toC*Ggtot,"NO")</f>
        <v>58330.916309538901</v>
      </c>
      <c r="BP96" s="93">
        <f>IF('[3]Mitigation summary'!AS58*CO2toC*Ggtot&gt;0,'[3]Mitigation summary'!AS58*CO2toC*Ggtot,"NO")</f>
        <v>58330.916309538901</v>
      </c>
      <c r="BQ96" s="80"/>
    </row>
    <row r="97" spans="1:69" x14ac:dyDescent="0.25">
      <c r="A97" t="str">
        <f>A95</f>
        <v>3C Aggregated and non-CO2 emissions on land</v>
      </c>
      <c r="B97" t="str">
        <f>B95</f>
        <v>3C4 Direct N2O from managed soils (N2O)</v>
      </c>
      <c r="C97" t="s">
        <v>60</v>
      </c>
      <c r="D97" t="s">
        <v>110</v>
      </c>
      <c r="F97" t="s">
        <v>719</v>
      </c>
      <c r="H97" s="21" t="str">
        <f>IF('[4]Baseline emission summary'!G63*CO2toC*Ggtot&gt;0,'[4]Baseline emission summary'!G63*CO2toC*Ggtot,"NO")</f>
        <v>NO</v>
      </c>
      <c r="I97" s="21" t="str">
        <f>IF('[4]Baseline emission summary'!H63*CO2toC*Ggtot&gt;0,'[4]Baseline emission summary'!H63*CO2toC*Ggtot,"NO")</f>
        <v>NO</v>
      </c>
      <c r="J97" s="21" t="str">
        <f>IF('[4]Baseline emission summary'!I63*CO2toC*Ggtot&gt;0,'[4]Baseline emission summary'!I63*CO2toC*Ggtot,"NO")</f>
        <v>NO</v>
      </c>
      <c r="K97" s="21" t="str">
        <f>IF('[4]Baseline emission summary'!J63*CO2toC*Ggtot&gt;0,'[4]Baseline emission summary'!J63*CO2toC*Ggtot,"NO")</f>
        <v>NO</v>
      </c>
      <c r="L97" s="21" t="str">
        <f>IF('[4]Baseline emission summary'!K63*CO2toC*Ggtot&gt;0,'[4]Baseline emission summary'!K63*CO2toC*Ggtot,"NO")</f>
        <v>NO</v>
      </c>
      <c r="M97" s="21" t="str">
        <f>IF('[4]Baseline emission summary'!L63*CO2toC*Ggtot&gt;0,'[4]Baseline emission summary'!L63*CO2toC*Ggtot,"NO")</f>
        <v>NO</v>
      </c>
      <c r="N97" s="21" t="str">
        <f>IF('[4]Baseline emission summary'!M63*CO2toC*Ggtot&gt;0,'[4]Baseline emission summary'!M63*CO2toC*Ggtot,"NO")</f>
        <v>NO</v>
      </c>
      <c r="O97" s="21" t="str">
        <f>IF('[4]Baseline emission summary'!N63*CO2toC*Ggtot&gt;0,'[4]Baseline emission summary'!N63*CO2toC*Ggtot,"NO")</f>
        <v>NO</v>
      </c>
      <c r="P97" s="21" t="str">
        <f>IF('[4]Baseline emission summary'!O63*CO2toC*Ggtot&gt;0,'[4]Baseline emission summary'!O63*CO2toC*Ggtot,"NO")</f>
        <v>NO</v>
      </c>
      <c r="Q97" s="21" t="str">
        <f>IF('[4]Baseline emission summary'!P63*CO2toC*Ggtot&gt;0,'[4]Baseline emission summary'!P63*CO2toC*Ggtot,"NO")</f>
        <v>NO</v>
      </c>
      <c r="R97" s="21" t="str">
        <f>IF('[4]Baseline emission summary'!Q63*CO2toC*Ggtot&gt;0,'[4]Baseline emission summary'!Q63*CO2toC*Ggtot,"NO")</f>
        <v>NO</v>
      </c>
      <c r="S97" s="21" t="str">
        <f>IF('[4]Baseline emission summary'!R63*CO2toC*Ggtot&gt;0,'[4]Baseline emission summary'!R63*CO2toC*Ggtot,"NO")</f>
        <v>NO</v>
      </c>
      <c r="T97" s="21" t="str">
        <f>IF('[4]Baseline emission summary'!S63*CO2toC*Ggtot&gt;0,'[4]Baseline emission summary'!S63*CO2toC*Ggtot,"NO")</f>
        <v>NO</v>
      </c>
      <c r="U97" s="21" t="str">
        <f>IF('[4]Baseline emission summary'!T63*CO2toC*Ggtot&gt;0,'[4]Baseline emission summary'!T63*CO2toC*Ggtot,"NO")</f>
        <v>NO</v>
      </c>
      <c r="V97" s="21" t="str">
        <f>IF('[4]Baseline emission summary'!U63*CO2toC*Ggtot&gt;0,'[4]Baseline emission summary'!U63*CO2toC*Ggtot,"NO")</f>
        <v>NO</v>
      </c>
      <c r="W97" s="21" t="str">
        <f>IF('[4]Baseline emission summary'!V63*CO2toC*Ggtot&gt;0,'[4]Baseline emission summary'!V63*CO2toC*Ggtot,"NO")</f>
        <v>NO</v>
      </c>
      <c r="X97" s="21" t="str">
        <f>IF('[4]Baseline emission summary'!W63*CO2toC*Ggtot&gt;0,'[4]Baseline emission summary'!W63*CO2toC*Ggtot,"NO")</f>
        <v>NO</v>
      </c>
      <c r="Y97" s="21" t="str">
        <f>IF('[4]Baseline emission summary'!X63*CO2toC*Ggtot&gt;0,'[4]Baseline emission summary'!X63*CO2toC*Ggtot,"NO")</f>
        <v>NO</v>
      </c>
      <c r="Z97" s="21" t="str">
        <f>IF('[4]Baseline emission summary'!Y63*CO2toC*Ggtot&gt;0,'[4]Baseline emission summary'!Y63*CO2toC*Ggtot,"NO")</f>
        <v>NO</v>
      </c>
      <c r="AA97" s="21" t="str">
        <f>IF('[4]Baseline emission summary'!Z63*CO2toC*Ggtot&gt;0,'[4]Baseline emission summary'!Z63*CO2toC*Ggtot,"NO")</f>
        <v>NO</v>
      </c>
      <c r="AB97" s="43" t="str">
        <f>IF('[4]Baseline emission summary'!AA63*CO2toC*Ggtot&gt;0,'[4]Baseline emission summary'!AA63*CO2toC*Ggtot,"NO")</f>
        <v>NO</v>
      </c>
      <c r="AC97" s="43" t="str">
        <f>IF('[4]Baseline emission summary'!AB63*CO2toC*Ggtot&gt;0,'[4]Baseline emission summary'!AB63*CO2toC*Ggtot,"NO")</f>
        <v>NO</v>
      </c>
      <c r="AD97" s="93" t="str">
        <f>IF('[3]Mitigation summary'!G66*CO2toC*Ggtot&gt;0,'[3]Mitigation summary'!G66*CO2toC*Ggtot,"NO")</f>
        <v>NO</v>
      </c>
      <c r="AE97" s="93" t="str">
        <f>IF('[3]Mitigation summary'!H66*CO2toC*Ggtot&gt;0,'[3]Mitigation summary'!H66*CO2toC*Ggtot,"NO")</f>
        <v>NO</v>
      </c>
      <c r="AF97" s="93" t="str">
        <f>IF('[3]Mitigation summary'!I66*CO2toC*Ggtot&gt;0,'[3]Mitigation summary'!I66*CO2toC*Ggtot,"NO")</f>
        <v>NO</v>
      </c>
      <c r="AG97" s="93" t="str">
        <f>IF('[3]Mitigation summary'!J66*CO2toC*Ggtot&gt;0,'[3]Mitigation summary'!J66*CO2toC*Ggtot,"NO")</f>
        <v>NO</v>
      </c>
      <c r="AH97" s="93" t="str">
        <f>IF('[3]Mitigation summary'!K66*CO2toC*Ggtot&gt;0,'[3]Mitigation summary'!K66*CO2toC*Ggtot,"NO")</f>
        <v>NO</v>
      </c>
      <c r="AI97" s="93" t="str">
        <f>IF('[3]Mitigation summary'!L66*CO2toC*Ggtot&gt;0,'[3]Mitigation summary'!L66*CO2toC*Ggtot,"NO")</f>
        <v>NO</v>
      </c>
      <c r="AJ97" s="93" t="str">
        <f>IF('[3]Mitigation summary'!M66*CO2toC*Ggtot&gt;0,'[3]Mitigation summary'!M66*CO2toC*Ggtot,"NO")</f>
        <v>NO</v>
      </c>
      <c r="AK97" s="93" t="str">
        <f>IF('[3]Mitigation summary'!N66*CO2toC*Ggtot&gt;0,'[3]Mitigation summary'!N66*CO2toC*Ggtot,"NO")</f>
        <v>NO</v>
      </c>
      <c r="AL97" s="93" t="str">
        <f>IF('[3]Mitigation summary'!O66*CO2toC*Ggtot&gt;0,'[3]Mitigation summary'!O66*CO2toC*Ggtot,"NO")</f>
        <v>NO</v>
      </c>
      <c r="AM97" s="93" t="str">
        <f>IF('[3]Mitigation summary'!P66*CO2toC*Ggtot&gt;0,'[3]Mitigation summary'!P66*CO2toC*Ggtot,"NO")</f>
        <v>NO</v>
      </c>
      <c r="AN97" s="93" t="str">
        <f>IF('[3]Mitigation summary'!Q66*CO2toC*Ggtot&gt;0,'[3]Mitigation summary'!Q66*CO2toC*Ggtot,"NO")</f>
        <v>NO</v>
      </c>
      <c r="AO97" s="93" t="str">
        <f>IF('[3]Mitigation summary'!R66*CO2toC*Ggtot&gt;0,'[3]Mitigation summary'!R66*CO2toC*Ggtot,"NO")</f>
        <v>NO</v>
      </c>
      <c r="AP97" s="93" t="str">
        <f>IF('[3]Mitigation summary'!S66*CO2toC*Ggtot&gt;0,'[3]Mitigation summary'!S66*CO2toC*Ggtot,"NO")</f>
        <v>NO</v>
      </c>
      <c r="AQ97" s="93" t="str">
        <f>IF('[3]Mitigation summary'!T66*CO2toC*Ggtot&gt;0,'[3]Mitigation summary'!T66*CO2toC*Ggtot,"NO")</f>
        <v>NO</v>
      </c>
      <c r="AR97" s="93" t="str">
        <f>IF('[3]Mitigation summary'!U66*CO2toC*Ggtot&gt;0,'[3]Mitigation summary'!U66*CO2toC*Ggtot,"NO")</f>
        <v>NO</v>
      </c>
      <c r="AS97" s="93" t="str">
        <f>IF('[3]Mitigation summary'!V66*CO2toC*Ggtot&gt;0,'[3]Mitigation summary'!V66*CO2toC*Ggtot,"NO")</f>
        <v>NO</v>
      </c>
      <c r="AT97" s="93" t="str">
        <f>IF('[3]Mitigation summary'!W66*CO2toC*Ggtot&gt;0,'[3]Mitigation summary'!W66*CO2toC*Ggtot,"NO")</f>
        <v>NO</v>
      </c>
      <c r="AU97" s="93" t="str">
        <f>IF('[3]Mitigation summary'!X66*CO2toC*Ggtot&gt;0,'[3]Mitigation summary'!X66*CO2toC*Ggtot,"NO")</f>
        <v>NO</v>
      </c>
      <c r="AV97" s="93" t="str">
        <f>IF('[3]Mitigation summary'!Y66*CO2toC*Ggtot&gt;0,'[3]Mitigation summary'!Y66*CO2toC*Ggtot,"NO")</f>
        <v>NO</v>
      </c>
      <c r="AW97" s="93" t="str">
        <f>IF('[3]Mitigation summary'!Z66*CO2toC*Ggtot&gt;0,'[3]Mitigation summary'!Z66*CO2toC*Ggtot,"NO")</f>
        <v>NO</v>
      </c>
      <c r="AX97" s="93" t="str">
        <f>IF('[3]Mitigation summary'!AA66*CO2toC*Ggtot&gt;0,'[3]Mitigation summary'!AA66*CO2toC*Ggtot,"NO")</f>
        <v>NO</v>
      </c>
      <c r="AY97" s="93" t="str">
        <f>IF('[3]Mitigation summary'!AB66*CO2toC*Ggtot&gt;0,'[3]Mitigation summary'!AB66*CO2toC*Ggtot,"NO")</f>
        <v>NO</v>
      </c>
      <c r="AZ97" s="93" t="str">
        <f>IF('[3]Mitigation summary'!AC66*CO2toC*Ggtot&gt;0,'[3]Mitigation summary'!AC66*CO2toC*Ggtot,"NO")</f>
        <v>NO</v>
      </c>
      <c r="BA97" s="93" t="str">
        <f>IF('[3]Mitigation summary'!AD66*CO2toC*Ggtot&gt;0,'[3]Mitigation summary'!AD66*CO2toC*Ggtot,"NO")</f>
        <v>NO</v>
      </c>
      <c r="BB97" s="93" t="str">
        <f>IF('[3]Mitigation summary'!AE66*CO2toC*Ggtot&gt;0,'[3]Mitigation summary'!AE66*CO2toC*Ggtot,"NO")</f>
        <v>NO</v>
      </c>
      <c r="BC97" s="93" t="str">
        <f>IF('[3]Mitigation summary'!AF66*CO2toC*Ggtot&gt;0,'[3]Mitigation summary'!AF66*CO2toC*Ggtot,"NO")</f>
        <v>NO</v>
      </c>
      <c r="BD97" s="93" t="str">
        <f>IF('[3]Mitigation summary'!AG66*CO2toC*Ggtot&gt;0,'[3]Mitigation summary'!AG66*CO2toC*Ggtot,"NO")</f>
        <v>NO</v>
      </c>
      <c r="BE97" s="93" t="str">
        <f>IF('[3]Mitigation summary'!AH66*CO2toC*Ggtot&gt;0,'[3]Mitigation summary'!AH66*CO2toC*Ggtot,"NO")</f>
        <v>NO</v>
      </c>
      <c r="BF97" s="93" t="str">
        <f>IF('[3]Mitigation summary'!AI66*CO2toC*Ggtot&gt;0,'[3]Mitigation summary'!AI66*CO2toC*Ggtot,"NO")</f>
        <v>NO</v>
      </c>
      <c r="BG97" s="93" t="str">
        <f>IF('[3]Mitigation summary'!AJ66*CO2toC*Ggtot&gt;0,'[3]Mitigation summary'!AJ66*CO2toC*Ggtot,"NO")</f>
        <v>NO</v>
      </c>
      <c r="BH97" s="93" t="str">
        <f>IF('[3]Mitigation summary'!AK66*CO2toC*Ggtot&gt;0,'[3]Mitigation summary'!AK66*CO2toC*Ggtot,"NO")</f>
        <v>NO</v>
      </c>
      <c r="BI97" s="93" t="str">
        <f>IF('[3]Mitigation summary'!AL66*CO2toC*Ggtot&gt;0,'[3]Mitigation summary'!AL66*CO2toC*Ggtot,"NO")</f>
        <v>NO</v>
      </c>
      <c r="BJ97" s="93" t="str">
        <f>IF('[3]Mitigation summary'!AM66*CO2toC*Ggtot&gt;0,'[3]Mitigation summary'!AM66*CO2toC*Ggtot,"NO")</f>
        <v>NO</v>
      </c>
      <c r="BK97" s="93" t="str">
        <f>IF('[3]Mitigation summary'!AN66*CO2toC*Ggtot&gt;0,'[3]Mitigation summary'!AN66*CO2toC*Ggtot,"NO")</f>
        <v>NO</v>
      </c>
      <c r="BL97" s="93" t="str">
        <f>IF('[3]Mitigation summary'!AO66*CO2toC*Ggtot&gt;0,'[3]Mitigation summary'!AO66*CO2toC*Ggtot,"NO")</f>
        <v>NO</v>
      </c>
      <c r="BM97" s="93" t="str">
        <f>IF('[3]Mitigation summary'!AP66*CO2toC*Ggtot&gt;0,'[3]Mitigation summary'!AP66*CO2toC*Ggtot,"NO")</f>
        <v>NO</v>
      </c>
      <c r="BN97" s="93" t="str">
        <f>IF('[3]Mitigation summary'!AQ66*CO2toC*Ggtot&gt;0,'[3]Mitigation summary'!AQ66*CO2toC*Ggtot,"NO")</f>
        <v>NO</v>
      </c>
      <c r="BO97" s="93" t="str">
        <f>IF('[3]Mitigation summary'!AR66*CO2toC*Ggtot&gt;0,'[3]Mitigation summary'!AR66*CO2toC*Ggtot,"NO")</f>
        <v>NO</v>
      </c>
      <c r="BP97" s="93" t="str">
        <f>IF('[3]Mitigation summary'!AS66*CO2toC*Ggtot&gt;0,'[3]Mitigation summary'!AS66*CO2toC*Ggtot,"NO")</f>
        <v>NO</v>
      </c>
      <c r="BQ97" s="80"/>
    </row>
    <row r="98" spans="1:69" x14ac:dyDescent="0.25">
      <c r="C98" t="s">
        <v>60</v>
      </c>
      <c r="D98" t="s">
        <v>793</v>
      </c>
      <c r="F98" t="s">
        <v>719</v>
      </c>
      <c r="H98" s="21">
        <v>0</v>
      </c>
      <c r="I98" s="21">
        <v>269926.33928069618</v>
      </c>
      <c r="J98" s="21">
        <v>269926.33928069618</v>
      </c>
      <c r="K98" s="21">
        <v>269926.33928069618</v>
      </c>
      <c r="L98" s="21">
        <v>269926.33928069618</v>
      </c>
      <c r="M98" s="21">
        <v>269926.33928069618</v>
      </c>
      <c r="N98" s="21">
        <v>269926.33928069618</v>
      </c>
      <c r="O98" s="21">
        <v>269926.33928069618</v>
      </c>
      <c r="P98" s="21">
        <v>269926.33928069618</v>
      </c>
      <c r="Q98" s="21">
        <v>269926.33928069618</v>
      </c>
      <c r="R98" s="21">
        <v>269926.33928069618</v>
      </c>
      <c r="S98" s="21">
        <v>269926.33928069618</v>
      </c>
      <c r="T98" s="21">
        <v>269926.33928069618</v>
      </c>
      <c r="U98" s="21">
        <v>269926.33928069618</v>
      </c>
      <c r="V98" s="21">
        <v>269926.33928069618</v>
      </c>
      <c r="W98" s="21">
        <v>269926.33928069618</v>
      </c>
      <c r="X98" s="21">
        <v>269926.33928069618</v>
      </c>
      <c r="Y98" s="21">
        <v>269926.33928069618</v>
      </c>
      <c r="Z98" s="21">
        <v>269926.33928069618</v>
      </c>
      <c r="AA98" s="21">
        <v>269926.33928069618</v>
      </c>
      <c r="AB98" s="43">
        <v>269926.33928069618</v>
      </c>
      <c r="AC98" s="43">
        <v>269926.33928069618</v>
      </c>
      <c r="AD98" s="93">
        <f>IF('[3]Mitigation summary'!G71*CO2toC*Ggtot&gt;0,'[3]Mitigation summary'!G71*CO2toC*Ggtot,"NO")</f>
        <v>3050891.1887046536</v>
      </c>
      <c r="AE98" s="93">
        <f>IF('[3]Mitigation summary'!H71*CO2toC*Ggtot&gt;0,'[3]Mitigation summary'!H71*CO2toC*Ggtot,"NO")</f>
        <v>3050891.1887046532</v>
      </c>
      <c r="AF98" s="93">
        <f>IF('[3]Mitigation summary'!I71*CO2toC*Ggtot&gt;0,'[3]Mitigation summary'!I71*CO2toC*Ggtot,"NO")</f>
        <v>3050891.1887046532</v>
      </c>
      <c r="AG98" s="93">
        <f>IF('[3]Mitigation summary'!J71*CO2toC*Ggtot&gt;0,'[3]Mitigation summary'!J71*CO2toC*Ggtot,"NO")</f>
        <v>3050891.1887046532</v>
      </c>
      <c r="AH98" s="93">
        <f>IF('[3]Mitigation summary'!K71*CO2toC*Ggtot&gt;0,'[3]Mitigation summary'!K71*CO2toC*Ggtot,"NO")</f>
        <v>3050891.1887046532</v>
      </c>
      <c r="AI98" s="93">
        <f>IF('[3]Mitigation summary'!L71*CO2toC*Ggtot&gt;0,'[3]Mitigation summary'!L71*CO2toC*Ggtot,"NO")</f>
        <v>3050891.1887046532</v>
      </c>
      <c r="AJ98" s="93">
        <f>IF('[3]Mitigation summary'!M71*CO2toC*Ggtot&gt;0,'[3]Mitigation summary'!M71*CO2toC*Ggtot,"NO")</f>
        <v>3050891.1887046532</v>
      </c>
      <c r="AK98" s="93">
        <f>IF('[3]Mitigation summary'!N71*CO2toC*Ggtot&gt;0,'[3]Mitigation summary'!N71*CO2toC*Ggtot,"NO")</f>
        <v>3050891.1887046532</v>
      </c>
      <c r="AL98" s="93">
        <f>IF('[3]Mitigation summary'!O71*CO2toC*Ggtot&gt;0,'[3]Mitigation summary'!O71*CO2toC*Ggtot,"NO")</f>
        <v>3050891.1887046532</v>
      </c>
      <c r="AM98" s="93">
        <f>IF('[3]Mitigation summary'!P71*CO2toC*Ggtot&gt;0,'[3]Mitigation summary'!P71*CO2toC*Ggtot,"NO")</f>
        <v>3050891.1887046532</v>
      </c>
      <c r="AN98" s="93">
        <f>IF('[3]Mitigation summary'!Q71*CO2toC*Ggtot&gt;0,'[3]Mitigation summary'!Q71*CO2toC*Ggtot,"NO")</f>
        <v>3050891.1887046532</v>
      </c>
      <c r="AO98" s="93">
        <f>IF('[3]Mitigation summary'!R71*CO2toC*Ggtot&gt;0,'[3]Mitigation summary'!R71*CO2toC*Ggtot,"NO")</f>
        <v>3050891.1887046532</v>
      </c>
      <c r="AP98" s="93">
        <f>IF('[3]Mitigation summary'!S71*CO2toC*Ggtot&gt;0,'[3]Mitigation summary'!S71*CO2toC*Ggtot,"NO")</f>
        <v>3050891.1887046532</v>
      </c>
      <c r="AQ98" s="93">
        <f>IF('[3]Mitigation summary'!T71*CO2toC*Ggtot&gt;0,'[3]Mitigation summary'!T71*CO2toC*Ggtot,"NO")</f>
        <v>3050891.1887046532</v>
      </c>
      <c r="AR98" s="93">
        <f>IF('[3]Mitigation summary'!U71*CO2toC*Ggtot&gt;0,'[3]Mitigation summary'!U71*CO2toC*Ggtot,"NO")</f>
        <v>3050891.1887046532</v>
      </c>
      <c r="AS98" s="93">
        <f>IF('[3]Mitigation summary'!V71*CO2toC*Ggtot&gt;0,'[3]Mitigation summary'!V71*CO2toC*Ggtot,"NO")</f>
        <v>3050891.1887046532</v>
      </c>
      <c r="AT98" s="93">
        <f>IF('[3]Mitigation summary'!W71*CO2toC*Ggtot&gt;0,'[3]Mitigation summary'!W71*CO2toC*Ggtot,"NO")</f>
        <v>3050891.1887046532</v>
      </c>
      <c r="AU98" s="93">
        <f>IF('[3]Mitigation summary'!X71*CO2toC*Ggtot&gt;0,'[3]Mitigation summary'!X71*CO2toC*Ggtot,"NO")</f>
        <v>3050891.1887046532</v>
      </c>
      <c r="AV98" s="93">
        <f>IF('[3]Mitigation summary'!Y71*CO2toC*Ggtot&gt;0,'[3]Mitigation summary'!Y71*CO2toC*Ggtot,"NO")</f>
        <v>3050891.1887046532</v>
      </c>
      <c r="AW98" s="93">
        <f>IF('[3]Mitigation summary'!Z71*CO2toC*Ggtot&gt;0,'[3]Mitigation summary'!Z71*CO2toC*Ggtot,"NO")</f>
        <v>3050891.1887046532</v>
      </c>
      <c r="AX98" s="93">
        <f>IF('[3]Mitigation summary'!AA71*CO2toC*Ggtot&gt;0,'[3]Mitigation summary'!AA71*CO2toC*Ggtot,"NO")</f>
        <v>3050891.1887046532</v>
      </c>
      <c r="AY98" s="93">
        <f>IF('[3]Mitigation summary'!AB71*CO2toC*Ggtot&gt;0,'[3]Mitigation summary'!AB71*CO2toC*Ggtot,"NO")</f>
        <v>3050891.1887046532</v>
      </c>
      <c r="AZ98" s="93">
        <f>IF('[3]Mitigation summary'!AC71*CO2toC*Ggtot&gt;0,'[3]Mitigation summary'!AC71*CO2toC*Ggtot,"NO")</f>
        <v>3050891.1887046532</v>
      </c>
      <c r="BA98" s="93">
        <f>IF('[3]Mitigation summary'!AD71*CO2toC*Ggtot&gt;0,'[3]Mitigation summary'!AD71*CO2toC*Ggtot,"NO")</f>
        <v>3050891.1887046532</v>
      </c>
      <c r="BB98" s="93">
        <f>IF('[3]Mitigation summary'!AE71*CO2toC*Ggtot&gt;0,'[3]Mitigation summary'!AE71*CO2toC*Ggtot,"NO")</f>
        <v>3050891.1887046532</v>
      </c>
      <c r="BC98" s="93">
        <f>IF('[3]Mitigation summary'!AF71*CO2toC*Ggtot&gt;0,'[3]Mitigation summary'!AF71*CO2toC*Ggtot,"NO")</f>
        <v>3050891.1887046532</v>
      </c>
      <c r="BD98" s="93">
        <f>IF('[3]Mitigation summary'!AG71*CO2toC*Ggtot&gt;0,'[3]Mitigation summary'!AG71*CO2toC*Ggtot,"NO")</f>
        <v>3050891.1887046532</v>
      </c>
      <c r="BE98" s="93">
        <f>IF('[3]Mitigation summary'!AH71*CO2toC*Ggtot&gt;0,'[3]Mitigation summary'!AH71*CO2toC*Ggtot,"NO")</f>
        <v>3050891.1887046532</v>
      </c>
      <c r="BF98" s="93">
        <f>IF('[3]Mitigation summary'!AI71*CO2toC*Ggtot&gt;0,'[3]Mitigation summary'!AI71*CO2toC*Ggtot,"NO")</f>
        <v>3050891.1887046532</v>
      </c>
      <c r="BG98" s="93">
        <f>IF('[3]Mitigation summary'!AJ71*CO2toC*Ggtot&gt;0,'[3]Mitigation summary'!AJ71*CO2toC*Ggtot,"NO")</f>
        <v>3050891.1887046532</v>
      </c>
      <c r="BH98" s="93">
        <f>IF('[3]Mitigation summary'!AK71*CO2toC*Ggtot&gt;0,'[3]Mitigation summary'!AK71*CO2toC*Ggtot,"NO")</f>
        <v>3050891.1887046532</v>
      </c>
      <c r="BI98" s="93">
        <f>IF('[3]Mitigation summary'!AL71*CO2toC*Ggtot&gt;0,'[3]Mitigation summary'!AL71*CO2toC*Ggtot,"NO")</f>
        <v>3050891.1887046532</v>
      </c>
      <c r="BJ98" s="93">
        <f>IF('[3]Mitigation summary'!AM71*CO2toC*Ggtot&gt;0,'[3]Mitigation summary'!AM71*CO2toC*Ggtot,"NO")</f>
        <v>3050891.1887046532</v>
      </c>
      <c r="BK98" s="93">
        <f>IF('[3]Mitigation summary'!AN71*CO2toC*Ggtot&gt;0,'[3]Mitigation summary'!AN71*CO2toC*Ggtot,"NO")</f>
        <v>3050891.1887046532</v>
      </c>
      <c r="BL98" s="93">
        <f>IF('[3]Mitigation summary'!AO71*CO2toC*Ggtot&gt;0,'[3]Mitigation summary'!AO71*CO2toC*Ggtot,"NO")</f>
        <v>3050891.1887046532</v>
      </c>
      <c r="BM98" s="93">
        <f>IF('[3]Mitigation summary'!AP71*CO2toC*Ggtot&gt;0,'[3]Mitigation summary'!AP71*CO2toC*Ggtot,"NO")</f>
        <v>3050891.1887046532</v>
      </c>
      <c r="BN98" s="93">
        <f>IF('[3]Mitigation summary'!AQ71*CO2toC*Ggtot&gt;0,'[3]Mitigation summary'!AQ71*CO2toC*Ggtot,"NO")</f>
        <v>3050891.1887046532</v>
      </c>
      <c r="BO98" s="93">
        <f>IF('[3]Mitigation summary'!AR71*CO2toC*Ggtot&gt;0,'[3]Mitigation summary'!AR71*CO2toC*Ggtot,"NO")</f>
        <v>3050891.1887046532</v>
      </c>
      <c r="BP98" s="93">
        <f>IF('[3]Mitigation summary'!AS71*CO2toC*Ggtot&gt;0,'[3]Mitigation summary'!AS71*CO2toC*Ggtot,"NO")</f>
        <v>3050891.1887046532</v>
      </c>
      <c r="BQ98" s="23"/>
    </row>
    <row r="99" spans="1:69" x14ac:dyDescent="0.25">
      <c r="AB99" s="11"/>
    </row>
    <row r="100" spans="1:69" x14ac:dyDescent="0.25">
      <c r="AB100" s="11"/>
    </row>
  </sheetData>
  <pageMargins left="0.7" right="0.7" top="0.75" bottom="0.75" header="0.3" footer="0.3"/>
  <drawing r:id="rId1"/>
  <extLst>
    <ext xmlns:x14="http://schemas.microsoft.com/office/spreadsheetml/2009/9/main" uri="{05C60535-1F16-4fd2-B633-F4F36F0B64E0}">
      <x14:sparklineGroups xmlns:xm="http://schemas.microsoft.com/office/excel/2006/main">
        <x14:sparklineGroup displayEmptyCellsAs="gap" xr2:uid="{03DCBDFF-E830-4D28-A16C-14C9D39ABF1D}">
          <x14:colorSeries rgb="FF376092"/>
          <x14:colorNegative rgb="FFD00000"/>
          <x14:colorAxis rgb="FF000000"/>
          <x14:colorMarkers rgb="FFD00000"/>
          <x14:colorFirst rgb="FFD00000"/>
          <x14:colorLast rgb="FFD00000"/>
          <x14:colorHigh rgb="FFD00000"/>
          <x14:colorLow rgb="FFD00000"/>
          <x14:sparklines>
            <x14:sparkline>
              <xm:f>'Net zero Activity data'!AB41:BP41</xm:f>
              <xm:sqref>BR41</xm:sqref>
            </x14:sparkline>
            <x14:sparkline>
              <xm:f>'Net zero Activity data'!AB42:BP42</xm:f>
              <xm:sqref>BR42</xm:sqref>
            </x14:sparkline>
            <x14:sparkline>
              <xm:f>'Net zero Activity data'!AB43:BP43</xm:f>
              <xm:sqref>BR43</xm:sqref>
            </x14:sparkline>
          </x14:sparklines>
        </x14:sparklineGroup>
        <x14:sparklineGroup displayEmptyCellsAs="gap" xr2:uid="{B2A9F398-5740-4F15-82B2-7FAF911250B4}">
          <x14:colorSeries rgb="FF376092"/>
          <x14:colorNegative rgb="FFD00000"/>
          <x14:colorAxis rgb="FF000000"/>
          <x14:colorMarkers rgb="FFD00000"/>
          <x14:colorFirst rgb="FFD00000"/>
          <x14:colorLast rgb="FFD00000"/>
          <x14:colorHigh rgb="FFD00000"/>
          <x14:colorLow rgb="FFD00000"/>
          <x14:sparklines>
            <x14:sparkline>
              <xm:f>'Net zero Activity data'!AB24:BP24</xm:f>
              <xm:sqref>BR24</xm:sqref>
            </x14:sparkline>
            <x14:sparkline>
              <xm:f>'Net zero Activity data'!AB25:BP25</xm:f>
              <xm:sqref>BR25</xm:sqref>
            </x14:sparkline>
            <x14:sparkline>
              <xm:f>'Net zero Activity data'!AB26:BP26</xm:f>
              <xm:sqref>BR26</xm:sqref>
            </x14:sparkline>
            <x14:sparkline>
              <xm:f>'Net zero Activity data'!AB27:BP27</xm:f>
              <xm:sqref>BR27</xm:sqref>
            </x14:sparkline>
            <x14:sparkline>
              <xm:f>'Net zero Activity data'!AB28:BP28</xm:f>
              <xm:sqref>BR28</xm:sqref>
            </x14:sparkline>
            <x14:sparkline>
              <xm:f>'Net zero Activity data'!AB29:BP29</xm:f>
              <xm:sqref>BR29</xm:sqref>
            </x14:sparkline>
            <x14:sparkline>
              <xm:f>'Net zero Activity data'!AB30:BP30</xm:f>
              <xm:sqref>BR30</xm:sqref>
            </x14:sparkline>
            <x14:sparkline>
              <xm:f>'Net zero Activity data'!AB31:BP31</xm:f>
              <xm:sqref>BR31</xm:sqref>
            </x14:sparkline>
            <x14:sparkline>
              <xm:f>'Net zero Activity data'!AB32:BP32</xm:f>
              <xm:sqref>BR32</xm:sqref>
            </x14:sparkline>
            <x14:sparkline>
              <xm:f>'Net zero Activity data'!AB33:BP33</xm:f>
              <xm:sqref>BR33</xm:sqref>
            </x14:sparkline>
            <x14:sparkline>
              <xm:f>'Net zero Activity data'!AB34:BP34</xm:f>
              <xm:sqref>BR34</xm:sqref>
            </x14:sparkline>
            <x14:sparkline>
              <xm:f>'Net zero Activity data'!AB35:BP35</xm:f>
              <xm:sqref>BR35</xm:sqref>
            </x14:sparkline>
            <x14:sparkline>
              <xm:f>'Net zero Activity data'!AB36:BP36</xm:f>
              <xm:sqref>BR36</xm:sqref>
            </x14:sparkline>
            <x14:sparkline>
              <xm:f>'Net zero Activity data'!AB37:BP37</xm:f>
              <xm:sqref>BR37</xm:sqref>
            </x14:sparkline>
            <x14:sparkline>
              <xm:f>'Net zero Activity data'!AB38:BP38</xm:f>
              <xm:sqref>BR38</xm:sqref>
            </x14:sparkline>
            <x14:sparkline>
              <xm:f>'Net zero Activity data'!AB39:BP39</xm:f>
              <xm:sqref>BR39</xm:sqref>
            </x14:sparkline>
          </x14:sparklines>
        </x14:sparklineGroup>
        <x14:sparklineGroup displayEmptyCellsAs="gap" xr2:uid="{DA1B32A5-01C5-4137-9E34-0EDB5871D8AD}">
          <x14:colorSeries rgb="FF376092"/>
          <x14:colorNegative rgb="FFD00000"/>
          <x14:colorAxis rgb="FF000000"/>
          <x14:colorMarkers rgb="FFD00000"/>
          <x14:colorFirst rgb="FFD00000"/>
          <x14:colorLast rgb="FFD00000"/>
          <x14:colorHigh rgb="FFD00000"/>
          <x14:colorLow rgb="FFD00000"/>
          <x14:sparklines>
            <x14:sparkline>
              <xm:f>'Net zero Activity data'!AB5:BP5</xm:f>
              <xm:sqref>BR5</xm:sqref>
            </x14:sparkline>
            <x14:sparkline>
              <xm:f>'Net zero Activity data'!AB6:BP6</xm:f>
              <xm:sqref>BR6</xm:sqref>
            </x14:sparkline>
            <x14:sparkline>
              <xm:f>'Net zero Activity data'!AB7:BP7</xm:f>
              <xm:sqref>BR7</xm:sqref>
            </x14:sparkline>
            <x14:sparkline>
              <xm:f>'Net zero Activity data'!AB8:BP8</xm:f>
              <xm:sqref>BR8</xm:sqref>
            </x14:sparkline>
            <x14:sparkline>
              <xm:f>'Net zero Activity data'!AB9:BP9</xm:f>
              <xm:sqref>BR9</xm:sqref>
            </x14:sparkline>
            <x14:sparkline>
              <xm:f>'Net zero Activity data'!AB10:BP10</xm:f>
              <xm:sqref>BR10</xm:sqref>
            </x14:sparkline>
            <x14:sparkline>
              <xm:f>'Net zero Activity data'!AB11:BP11</xm:f>
              <xm:sqref>BR11</xm:sqref>
            </x14:sparkline>
            <x14:sparkline>
              <xm:f>'Net zero Activity data'!AB12:BP12</xm:f>
              <xm:sqref>BR12</xm:sqref>
            </x14:sparkline>
            <x14:sparkline>
              <xm:f>'Net zero Activity data'!AB13:BP13</xm:f>
              <xm:sqref>BR13</xm:sqref>
            </x14:sparkline>
            <x14:sparkline>
              <xm:f>'Net zero Activity data'!AB14:BP14</xm:f>
              <xm:sqref>BR14</xm:sqref>
            </x14:sparkline>
            <x14:sparkline>
              <xm:f>'Net zero Activity data'!AB15:BP15</xm:f>
              <xm:sqref>BR15</xm:sqref>
            </x14:sparkline>
            <x14:sparkline>
              <xm:f>'Net zero Activity data'!AB16:BP16</xm:f>
              <xm:sqref>BR16</xm:sqref>
            </x14:sparkline>
            <x14:sparkline>
              <xm:f>'Net zero Activity data'!AB17:BP17</xm:f>
              <xm:sqref>BR17</xm:sqref>
            </x14:sparkline>
            <x14:sparkline>
              <xm:f>'Net zero Activity data'!AB18:BP18</xm:f>
              <xm:sqref>BR18</xm:sqref>
            </x14:sparkline>
            <x14:sparkline>
              <xm:f>'Net zero Activity data'!AB19:BP19</xm:f>
              <xm:sqref>BR19</xm:sqref>
            </x14:sparkline>
            <x14:sparkline>
              <xm:f>'Net zero Activity data'!AB20:BP20</xm:f>
              <xm:sqref>BR20</xm:sqref>
            </x14:sparkline>
            <x14:sparkline>
              <xm:f>'Net zero Activity data'!AB21:BP21</xm:f>
              <xm:sqref>BR21</xm:sqref>
            </x14:sparkline>
            <x14:sparkline>
              <xm:f>'Net zero Activity data'!AB22:BP22</xm:f>
              <xm:sqref>BR22</xm:sqref>
            </x14:sparkline>
          </x14:sparklines>
        </x14:sparklineGroup>
        <x14:sparklineGroup displayEmptyCellsAs="gap" xr2:uid="{094743C2-77FB-46E7-B376-F1F8245400AA}">
          <x14:colorSeries rgb="FF376092"/>
          <x14:colorNegative rgb="FFD00000"/>
          <x14:colorAxis rgb="FF000000"/>
          <x14:colorMarkers rgb="FFD00000"/>
          <x14:colorFirst rgb="FFD00000"/>
          <x14:colorLast rgb="FFD00000"/>
          <x14:colorHigh rgb="FFD00000"/>
          <x14:colorLow rgb="FFD00000"/>
          <x14:sparklines>
            <x14:sparkline>
              <xm:f>'Net zero Activity data'!AB45:BP45</xm:f>
              <xm:sqref>BR45</xm:sqref>
            </x14:sparkline>
            <x14:sparkline>
              <xm:f>'Net zero Activity data'!AB46:BP46</xm:f>
              <xm:sqref>BR46</xm:sqref>
            </x14:sparkline>
            <x14:sparkline>
              <xm:f>'Net zero Activity data'!AB47:BP47</xm:f>
              <xm:sqref>BR47</xm:sqref>
            </x14:sparkline>
            <x14:sparkline>
              <xm:f>'Net zero Activity data'!AB48:BP48</xm:f>
              <xm:sqref>BR48</xm:sqref>
            </x14:sparkline>
          </x14:sparklines>
        </x14:sparklineGroup>
      </x14:sparklineGroup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32CB15-00BA-4678-BC73-96DBE3A9528F}">
  <sheetPr>
    <tabColor rgb="FFFF00FF"/>
  </sheetPr>
  <dimension ref="A1:BO65"/>
  <sheetViews>
    <sheetView workbookViewId="0">
      <pane xSplit="1" ySplit="3" topLeftCell="AT4" activePane="bottomRight" state="frozen"/>
      <selection pane="topRight" activeCell="B1" sqref="B1"/>
      <selection pane="bottomLeft" activeCell="A4" sqref="A4"/>
      <selection pane="bottomRight" activeCell="AW11" sqref="AW11"/>
    </sheetView>
  </sheetViews>
  <sheetFormatPr defaultRowHeight="15" x14ac:dyDescent="0.25"/>
  <cols>
    <col min="1" max="1" width="29.5703125" customWidth="1"/>
    <col min="2" max="2" width="12.85546875" customWidth="1"/>
    <col min="3" max="29" width="12.7109375" customWidth="1"/>
    <col min="30" max="30" width="13.85546875" customWidth="1"/>
    <col min="31" max="33" width="12.7109375" customWidth="1"/>
    <col min="34" max="35" width="11.42578125" customWidth="1"/>
    <col min="36" max="36" width="11.28515625" customWidth="1"/>
    <col min="37" max="63" width="11.42578125" bestFit="1" customWidth="1"/>
    <col min="64" max="64" width="12.140625" customWidth="1"/>
  </cols>
  <sheetData>
    <row r="1" spans="1:67" ht="18.75" x14ac:dyDescent="0.3">
      <c r="A1" s="1" t="s">
        <v>326</v>
      </c>
      <c r="Y1" s="113" t="str">
        <f>IF(AND('Net zero activities &amp; levers'!$C$8="Off",'Net zero activities &amp; levers'!$C$7="Off"),"Off",IF(AND('Net zero activities &amp; levers'!$C$8="On",'Net zero activities &amp; levers'!$C$7="Off"),"PQ",IF(AND('Net zero activities &amp; levers'!$C$8="Off",'Net zero activities &amp; levers'!$C$7="On"),"GS","PQGS")))</f>
        <v>PQGS</v>
      </c>
      <c r="AF1" s="11"/>
    </row>
    <row r="2" spans="1:67" x14ac:dyDescent="0.25">
      <c r="K2">
        <v>1</v>
      </c>
      <c r="L2">
        <v>2</v>
      </c>
      <c r="M2">
        <v>3</v>
      </c>
      <c r="N2">
        <v>4</v>
      </c>
      <c r="O2">
        <v>5</v>
      </c>
      <c r="P2">
        <v>6</v>
      </c>
      <c r="Q2">
        <v>7</v>
      </c>
      <c r="R2">
        <v>8</v>
      </c>
      <c r="S2">
        <v>9</v>
      </c>
      <c r="T2">
        <v>10</v>
      </c>
      <c r="U2">
        <v>11</v>
      </c>
      <c r="V2">
        <v>12</v>
      </c>
      <c r="W2">
        <v>13</v>
      </c>
      <c r="X2">
        <v>14</v>
      </c>
      <c r="Y2">
        <v>15</v>
      </c>
      <c r="Z2">
        <v>16</v>
      </c>
      <c r="AA2">
        <v>17</v>
      </c>
      <c r="AB2">
        <v>18</v>
      </c>
      <c r="AC2">
        <v>19</v>
      </c>
      <c r="AD2">
        <v>20</v>
      </c>
      <c r="AE2">
        <v>21</v>
      </c>
      <c r="AF2">
        <v>22</v>
      </c>
      <c r="AG2">
        <v>23</v>
      </c>
      <c r="AH2">
        <v>24</v>
      </c>
      <c r="AI2">
        <v>25</v>
      </c>
      <c r="AJ2">
        <v>26</v>
      </c>
      <c r="AK2">
        <v>27</v>
      </c>
      <c r="AL2">
        <v>28</v>
      </c>
      <c r="AM2">
        <v>29</v>
      </c>
      <c r="AN2">
        <v>30</v>
      </c>
      <c r="AO2">
        <v>31</v>
      </c>
      <c r="AP2">
        <v>32</v>
      </c>
      <c r="AQ2">
        <v>33</v>
      </c>
      <c r="AR2">
        <v>34</v>
      </c>
      <c r="AS2">
        <v>35</v>
      </c>
      <c r="AT2">
        <v>36</v>
      </c>
      <c r="AU2">
        <v>37</v>
      </c>
      <c r="AV2">
        <v>38</v>
      </c>
      <c r="AW2">
        <v>39</v>
      </c>
      <c r="AX2">
        <v>40</v>
      </c>
      <c r="AY2">
        <v>41</v>
      </c>
      <c r="AZ2">
        <v>42</v>
      </c>
      <c r="BA2">
        <v>43</v>
      </c>
      <c r="BB2">
        <v>44</v>
      </c>
      <c r="BC2">
        <v>45</v>
      </c>
      <c r="BD2">
        <v>46</v>
      </c>
      <c r="BE2">
        <v>47</v>
      </c>
      <c r="BF2">
        <v>48</v>
      </c>
      <c r="BG2">
        <v>49</v>
      </c>
      <c r="BH2">
        <v>50</v>
      </c>
      <c r="BI2">
        <v>51</v>
      </c>
      <c r="BJ2">
        <v>52</v>
      </c>
      <c r="BK2">
        <v>53</v>
      </c>
    </row>
    <row r="3" spans="1:67" s="19" customFormat="1" ht="29.25" customHeight="1" x14ac:dyDescent="0.25">
      <c r="A3" s="17" t="s">
        <v>325</v>
      </c>
      <c r="B3" s="17" t="s">
        <v>0</v>
      </c>
      <c r="C3" s="17">
        <v>1990</v>
      </c>
      <c r="D3" s="17">
        <v>1991</v>
      </c>
      <c r="E3" s="17">
        <v>1992</v>
      </c>
      <c r="F3" s="17">
        <v>1993</v>
      </c>
      <c r="G3" s="17">
        <v>1994</v>
      </c>
      <c r="H3" s="17">
        <v>1995</v>
      </c>
      <c r="I3" s="17">
        <v>1996</v>
      </c>
      <c r="J3" s="17">
        <v>1997</v>
      </c>
      <c r="K3" s="17">
        <v>1998</v>
      </c>
      <c r="L3" s="17">
        <v>1999</v>
      </c>
      <c r="M3" s="17">
        <v>2000</v>
      </c>
      <c r="N3" s="17">
        <v>2001</v>
      </c>
      <c r="O3" s="17">
        <v>2002</v>
      </c>
      <c r="P3" s="17">
        <v>2003</v>
      </c>
      <c r="Q3" s="17">
        <v>2004</v>
      </c>
      <c r="R3" s="17">
        <v>2005</v>
      </c>
      <c r="S3" s="17">
        <v>2006</v>
      </c>
      <c r="T3" s="17">
        <v>2007</v>
      </c>
      <c r="U3" s="17">
        <v>2008</v>
      </c>
      <c r="V3" s="17">
        <v>2009</v>
      </c>
      <c r="W3" s="17">
        <v>2010</v>
      </c>
      <c r="X3" s="17">
        <v>2011</v>
      </c>
      <c r="Y3" s="17">
        <v>2012</v>
      </c>
      <c r="Z3" s="17">
        <v>2013</v>
      </c>
      <c r="AA3" s="17">
        <v>2014</v>
      </c>
      <c r="AB3" s="17">
        <v>2015</v>
      </c>
      <c r="AC3" s="17">
        <v>2016</v>
      </c>
      <c r="AD3" s="17">
        <v>2017</v>
      </c>
      <c r="AE3" s="17">
        <v>2018</v>
      </c>
      <c r="AF3" s="17">
        <v>2019</v>
      </c>
      <c r="AG3" s="17">
        <v>2020</v>
      </c>
      <c r="AH3" s="17">
        <v>2021</v>
      </c>
      <c r="AI3" s="17">
        <v>2022</v>
      </c>
      <c r="AJ3" s="17">
        <v>2023</v>
      </c>
      <c r="AK3" s="17">
        <v>2024</v>
      </c>
      <c r="AL3" s="17">
        <v>2025</v>
      </c>
      <c r="AM3" s="17">
        <v>2026</v>
      </c>
      <c r="AN3" s="17">
        <v>2027</v>
      </c>
      <c r="AO3" s="17">
        <v>2028</v>
      </c>
      <c r="AP3" s="17">
        <v>2029</v>
      </c>
      <c r="AQ3" s="17">
        <v>2030</v>
      </c>
      <c r="AR3" s="17">
        <v>2031</v>
      </c>
      <c r="AS3" s="17">
        <v>2032</v>
      </c>
      <c r="AT3" s="17">
        <v>2033</v>
      </c>
      <c r="AU3" s="17">
        <v>2034</v>
      </c>
      <c r="AV3" s="17">
        <v>2035</v>
      </c>
      <c r="AW3" s="17">
        <v>2036</v>
      </c>
      <c r="AX3" s="17">
        <v>2037</v>
      </c>
      <c r="AY3" s="17">
        <v>2038</v>
      </c>
      <c r="AZ3" s="17">
        <v>2039</v>
      </c>
      <c r="BA3" s="17">
        <v>2040</v>
      </c>
      <c r="BB3" s="17">
        <v>2041</v>
      </c>
      <c r="BC3" s="17">
        <v>2042</v>
      </c>
      <c r="BD3" s="17">
        <v>2043</v>
      </c>
      <c r="BE3" s="17">
        <v>2044</v>
      </c>
      <c r="BF3" s="17">
        <v>2045</v>
      </c>
      <c r="BG3" s="17">
        <v>2046</v>
      </c>
      <c r="BH3" s="17">
        <v>2047</v>
      </c>
      <c r="BI3" s="17">
        <v>2048</v>
      </c>
      <c r="BJ3" s="17">
        <v>2049</v>
      </c>
      <c r="BK3" s="17">
        <v>2050</v>
      </c>
      <c r="BN3" s="18" t="s">
        <v>308</v>
      </c>
      <c r="BO3" s="17" t="s">
        <v>282</v>
      </c>
    </row>
    <row r="4" spans="1:67" x14ac:dyDescent="0.25">
      <c r="A4" t="s">
        <v>807</v>
      </c>
      <c r="B4" t="s">
        <v>808</v>
      </c>
      <c r="C4" s="22">
        <f>(Drivers!D5*1000000)/Drivers!D4</f>
        <v>39.10873026289714</v>
      </c>
      <c r="D4" s="22">
        <f>(Drivers!E5*1000000)/Drivers!E4</f>
        <v>39.301142142580012</v>
      </c>
      <c r="E4" s="22">
        <f>(Drivers!F5*1000000)/Drivers!F4</f>
        <v>39.481945188785296</v>
      </c>
      <c r="F4" s="22">
        <f>(Drivers!G5*1000000)/Drivers!G4</f>
        <v>39.680218056022397</v>
      </c>
      <c r="G4" s="22">
        <f>(Drivers!H5*1000000)/Drivers!H4</f>
        <v>39.933284725012705</v>
      </c>
      <c r="H4" s="22">
        <f>(Drivers!I5*1000000)/Drivers!I4</f>
        <v>40.265989611646312</v>
      </c>
      <c r="I4" s="22">
        <f>(Drivers!J5*1000000)/Drivers!J4</f>
        <v>41.157319289261217</v>
      </c>
      <c r="J4" s="22">
        <f>(Drivers!K5*1000000)/Drivers!K4</f>
        <v>41.49415740152061</v>
      </c>
      <c r="K4" s="22">
        <f>(Drivers!L5*1000000)/Drivers!L4</f>
        <v>41.120000941730311</v>
      </c>
      <c r="L4" s="22">
        <f>(Drivers!M5*1000000)/Drivers!M4</f>
        <v>41.605164287649345</v>
      </c>
      <c r="M4" s="22">
        <f>(Drivers!N5*1000000)/Drivers!N4</f>
        <v>42.828060302401113</v>
      </c>
      <c r="N4" s="22">
        <f>(Drivers!O5*1000000)/Drivers!O4</f>
        <v>43.486390603682111</v>
      </c>
      <c r="O4" s="22">
        <f>(Drivers!P5*1000000)/Drivers!P4</f>
        <v>44.572125773969631</v>
      </c>
      <c r="P4" s="22">
        <f>(Drivers!Q5*1000000)/Drivers!Q4</f>
        <v>45.342699168448021</v>
      </c>
      <c r="Q4" s="22">
        <f>(Drivers!R5*1000000)/Drivers!R4</f>
        <v>46.808558619976573</v>
      </c>
      <c r="R4" s="22">
        <f>(Drivers!S5*1000000)/Drivers!S4</f>
        <v>48.688837553912919</v>
      </c>
      <c r="S4" s="22">
        <f>(Drivers!T5*1000000)/Drivers!T4</f>
        <v>50.734320824023349</v>
      </c>
      <c r="T4" s="22">
        <f>(Drivers!U5*1000000)/Drivers!U4</f>
        <v>52.880800409691389</v>
      </c>
      <c r="U4" s="22">
        <f>(Drivers!V5*1000000)/Drivers!V4</f>
        <v>54.14294894462563</v>
      </c>
      <c r="V4" s="22">
        <f>(Drivers!W5*1000000)/Drivers!W4</f>
        <v>52.678051808895106</v>
      </c>
      <c r="W4" s="22">
        <f>(Drivers!X5*1000000)/Drivers!X4</f>
        <v>53.515880269559084</v>
      </c>
      <c r="X4" s="22">
        <f>(Drivers!Y5*1000000)/Drivers!Y4</f>
        <v>54.514380723142551</v>
      </c>
      <c r="Y4" s="22">
        <f>(Drivers!Z5*1000000)/Drivers!Z4</f>
        <v>55.50098056610117</v>
      </c>
      <c r="Z4" s="22">
        <f>(Drivers!AA5*1000000)/Drivers!AA4</f>
        <v>55.972853439071798</v>
      </c>
      <c r="AA4" s="22">
        <f>(Drivers!AB5*1000000)/Drivers!AB4</f>
        <v>56.089110674766729</v>
      </c>
      <c r="AB4" s="22">
        <f>(Drivers!AC5*1000000)/Drivers!AC4</f>
        <v>55.733948080448513</v>
      </c>
      <c r="AC4" s="22">
        <f>(Drivers!AD5*1000000)/Drivers!AD4</f>
        <v>55.358189213873167</v>
      </c>
      <c r="AD4" s="22">
        <f>(Drivers!AE5*1000000)/Drivers!AE4</f>
        <v>55.179411316523648</v>
      </c>
      <c r="AE4" s="22">
        <f>(Drivers!AF5*1000000)/Drivers!AF4</f>
        <v>55.060174422919282</v>
      </c>
      <c r="AF4" s="22">
        <f>(Drivers!AG5*1000000)/Drivers!AG4</f>
        <v>54.485034925739036</v>
      </c>
      <c r="AG4" s="22">
        <f>(Drivers!AH5*1000000)/Drivers!AH4</f>
        <v>49.838031421163564</v>
      </c>
      <c r="AH4" s="22">
        <f>(Drivers!AI5*1000000)/Drivers!AI4</f>
        <v>50.496116077958831</v>
      </c>
      <c r="AI4" s="22">
        <f>(Drivers!AJ5*1000000)/Drivers!AJ4</f>
        <v>51.035010865445066</v>
      </c>
      <c r="AJ4" s="22">
        <f>(Drivers!AK5*1000000)/Drivers!AK4</f>
        <v>51.563011681948041</v>
      </c>
      <c r="AK4" s="22">
        <f>(Drivers!AL5*1000000)/Drivers!AL4</f>
        <v>52.24753897151863</v>
      </c>
      <c r="AL4" s="22">
        <f>(Drivers!AM5*1000000)/Drivers!AM4</f>
        <v>52.91954609208279</v>
      </c>
      <c r="AM4" s="22">
        <f>(Drivers!AN5*1000000)/Drivers!AN4</f>
        <v>53.689390804166742</v>
      </c>
      <c r="AN4" s="22">
        <f>(Drivers!AO5*1000000)/Drivers!AO4</f>
        <v>54.409123029913658</v>
      </c>
      <c r="AO4" s="22">
        <f>(Drivers!AP5*1000000)/Drivers!AP4</f>
        <v>55.183338276940852</v>
      </c>
      <c r="AP4" s="22">
        <f>(Drivers!AQ5*1000000)/Drivers!AQ4</f>
        <v>55.870335062885211</v>
      </c>
      <c r="AQ4" s="22">
        <f>(Drivers!AR5*1000000)/Drivers!AR4</f>
        <v>56.570087000011668</v>
      </c>
      <c r="AR4" s="22">
        <f>(Drivers!AS5*1000000)/Drivers!AS4</f>
        <v>57.539252949676339</v>
      </c>
      <c r="AS4" s="22">
        <f>(Drivers!AT5*1000000)/Drivers!AT4</f>
        <v>58.596837510703793</v>
      </c>
      <c r="AT4" s="22">
        <f>(Drivers!AU5*1000000)/Drivers!AU4</f>
        <v>59.684342723802693</v>
      </c>
      <c r="AU4" s="22">
        <f>(Drivers!AV5*1000000)/Drivers!AV4</f>
        <v>59.529643820829584</v>
      </c>
      <c r="AV4" s="22">
        <f>(Drivers!AW5*1000000)/Drivers!AW4</f>
        <v>0</v>
      </c>
      <c r="AW4" s="22">
        <f>(Drivers!AX5*1000000)/Drivers!AX4</f>
        <v>0</v>
      </c>
      <c r="AX4" s="22">
        <f>(Drivers!AY5*1000000)/Drivers!AY4</f>
        <v>0</v>
      </c>
      <c r="AY4" s="22">
        <f>(Drivers!AZ5*1000000)/Drivers!AZ4</f>
        <v>0</v>
      </c>
      <c r="AZ4" s="22">
        <f>(Drivers!BA5*1000000)/Drivers!BA4</f>
        <v>0</v>
      </c>
      <c r="BA4" s="22">
        <f>(Drivers!BB5*1000000)/Drivers!BB4</f>
        <v>0</v>
      </c>
      <c r="BB4" s="22">
        <f>(Drivers!BC5*1000000)/Drivers!BC4</f>
        <v>0</v>
      </c>
      <c r="BC4" s="22">
        <f>(Drivers!BD5*1000000)/Drivers!BD4</f>
        <v>0</v>
      </c>
      <c r="BD4" s="22">
        <f>(Drivers!BE5*1000000)/Drivers!BE4</f>
        <v>0</v>
      </c>
      <c r="BE4" s="22">
        <f>(Drivers!BF5*1000000)/Drivers!BF4</f>
        <v>0</v>
      </c>
      <c r="BF4" s="22">
        <f>(Drivers!BG5*1000000)/Drivers!BG4</f>
        <v>0</v>
      </c>
      <c r="BG4" s="22">
        <f>(Drivers!BH5*1000000)/Drivers!BH4</f>
        <v>0</v>
      </c>
      <c r="BH4" s="22">
        <f>(Drivers!BI5*1000000)/Drivers!BI4</f>
        <v>0</v>
      </c>
      <c r="BI4" s="22">
        <f>(Drivers!BJ5*1000000)/Drivers!BJ4</f>
        <v>0</v>
      </c>
      <c r="BJ4" s="22">
        <f>(Drivers!BK5*1000000)/Drivers!BK4</f>
        <v>0</v>
      </c>
      <c r="BK4" s="22">
        <f>(Drivers!BL5*1000000)/Drivers!BL4</f>
        <v>0</v>
      </c>
      <c r="BL4">
        <v>89.344659551365254</v>
      </c>
    </row>
    <row r="5" spans="1:67" s="85" customFormat="1" x14ac:dyDescent="0.25">
      <c r="A5" s="85" t="s">
        <v>318</v>
      </c>
      <c r="B5" s="85" t="s">
        <v>321</v>
      </c>
      <c r="C5" s="28">
        <v>668000</v>
      </c>
      <c r="D5" s="28">
        <v>714000</v>
      </c>
      <c r="E5" s="28">
        <v>741000</v>
      </c>
      <c r="F5" s="28">
        <v>718000</v>
      </c>
      <c r="G5" s="28">
        <v>663000</v>
      </c>
      <c r="H5" s="28">
        <v>587000</v>
      </c>
      <c r="I5" s="28">
        <v>591000</v>
      </c>
      <c r="J5" s="28">
        <v>573000</v>
      </c>
      <c r="K5" s="28">
        <v>560000</v>
      </c>
      <c r="L5" s="28">
        <v>559000</v>
      </c>
      <c r="M5" s="28">
        <v>671000</v>
      </c>
      <c r="N5" s="28">
        <v>554000</v>
      </c>
      <c r="O5" s="28">
        <v>602000</v>
      </c>
      <c r="P5" s="28">
        <v>643000</v>
      </c>
      <c r="Q5" s="28">
        <v>675000</v>
      </c>
      <c r="R5" s="28">
        <v>723000</v>
      </c>
      <c r="S5" s="28">
        <v>825000</v>
      </c>
      <c r="T5" s="28">
        <v>865000</v>
      </c>
      <c r="U5" s="28">
        <v>767000</v>
      </c>
      <c r="V5" s="28">
        <v>784000</v>
      </c>
      <c r="W5" s="28">
        <v>880000</v>
      </c>
      <c r="X5" s="28">
        <v>879000</v>
      </c>
      <c r="Y5" s="100">
        <f>IF('Net zero activities &amp; levers'!$C$12="Off",((Data!$AJ$5*'Intermediate calculations'!Y4)+Data!$AK$5)*Drivers!Z4,'Net zero supporting data'!B205)</f>
        <v>924855.80898353143</v>
      </c>
      <c r="Z5" s="100">
        <f>IF('Net zero activities &amp; levers'!$C$12="Off",((Data!$AJ$5*'Intermediate calculations'!Z4)+Data!$AK$5)*Drivers!AA4,'Net zero supporting data'!C205)</f>
        <v>947742.28342583426</v>
      </c>
      <c r="AA5" s="100">
        <f>IF('Net zero activities &amp; levers'!$C$12="Off",((Data!$AJ$5*'Intermediate calculations'!AA4)+Data!$AK$5)*Drivers!AB4,'Net zero supporting data'!D205)</f>
        <v>964442.83230185462</v>
      </c>
      <c r="AB5" s="100">
        <f>IF('Net zero activities &amp; levers'!$C$12="Off",((Data!$AJ$5*'Intermediate calculations'!AB4)+Data!$AK$5)*Drivers!AC4,'Net zero supporting data'!E205)</f>
        <v>972360.2761669351</v>
      </c>
      <c r="AC5" s="100">
        <f>IF('Net zero activities &amp; levers'!$C$12="Off",((Data!$AJ$5*'Intermediate calculations'!AC4)+Data!$AK$5)*Drivers!AD4,'Net zero supporting data'!F205)</f>
        <v>980196.47897044814</v>
      </c>
      <c r="AD5" s="100">
        <f>IF('Net zero activities &amp; levers'!$C$12="Off",((Data!$AJ$5*'Intermediate calculations'!AD4)+Data!$AK$5)*Drivers!AE4,'Net zero supporting data'!G205)</f>
        <v>992415.64989686979</v>
      </c>
      <c r="AE5" s="100">
        <f>IF('Net zero activities &amp; levers'!$C$12="Off",((Data!$AJ$5*'Intermediate calculations'!AE4)+Data!$AK$5)*Drivers!AF4,'Net zero supporting data'!H205)</f>
        <v>1005972.5768210067</v>
      </c>
      <c r="AF5" s="100">
        <f>IF('Net zero activities &amp; levers'!$C$12="Off",((Data!$AJ$5*'Intermediate calculations'!AF4)+Data!$AK$5)*Drivers!AG4,'Net zero supporting data'!I205)</f>
        <v>1010025.9471876509</v>
      </c>
      <c r="AG5" s="100">
        <f>IF('Net zero activities &amp; levers'!$C$12="Off",((Data!$AJ$5*'Intermediate calculations'!AG4)+Data!$AK$5)*Drivers!AH4,'Net zero supporting data'!J205)</f>
        <v>926070.2807857712</v>
      </c>
      <c r="AH5" s="100">
        <f>IF('Net zero activities &amp; levers'!$C$12="Off",((Data!$AJ$5*'Intermediate calculations'!AH4)+Data!$AK$5)*Drivers!AI4,'Net zero supporting data'!K205)</f>
        <v>951099.21613564389</v>
      </c>
      <c r="AI5" s="100">
        <f>IF('Net zero activities &amp; levers'!$C$12="Off",((Data!$AJ$5*'Intermediate calculations'!AI4)+Data!$AK$5)*Drivers!AJ4,'Net zero supporting data'!L205)</f>
        <v>973949.87509912613</v>
      </c>
      <c r="AJ5" s="100">
        <f>IF('Net zero activities &amp; levers'!$C$12="Off",((Data!$AJ$5*'Intermediate calculations'!AJ4)+Data!$AK$5)*Drivers!AK4,'Net zero supporting data'!M205)</f>
        <v>996957.330153035</v>
      </c>
      <c r="AK5" s="100">
        <f>IF('Net zero activities &amp; levers'!$C$12="Off",((Data!$AJ$5*'Intermediate calculations'!AK4)+Data!$AK$5)*Drivers!AL4,'Net zero supporting data'!N205)</f>
        <v>1023901.8579268232</v>
      </c>
      <c r="AL5" s="100">
        <f>IF('Net zero activities &amp; levers'!$C$12="Off",((Data!$AJ$5*'Intermediate calculations'!AL4)+Data!$AK$5)*Drivers!AM4,'Net zero supporting data'!O205)</f>
        <v>1051048.5781114753</v>
      </c>
      <c r="AM5" s="100">
        <f>IF('Net zero activities &amp; levers'!$C$12="Off",((Data!$AJ$5*'Intermediate calculations'!AM4)+Data!$AK$5)*Drivers!AN4,'Net zero supporting data'!P205)</f>
        <v>1079164.1187584263</v>
      </c>
      <c r="AN5" s="100">
        <f>IF('Net zero activities &amp; levers'!$C$12="Off",((Data!$AJ$5*'Intermediate calculations'!AN4)+Data!$AK$5)*Drivers!AO4,'Net zero supporting data'!Q205)</f>
        <v>1106563.5526818135</v>
      </c>
      <c r="AO5" s="100">
        <f>IF('Net zero activities &amp; levers'!$C$12="Off",((Data!$AJ$5*'Intermediate calculations'!AO4)+Data!$AK$5)*Drivers!AP4,'Net zero supporting data'!R205)</f>
        <v>1135680.1729982898</v>
      </c>
      <c r="AP5" s="100">
        <f>IF('Net zero activities &amp; levers'!$C$12="Off",((Data!$AJ$5*'Intermediate calculations'!AP4)+Data!$AK$5)*Drivers!AQ4,'Net zero supporting data'!S205)</f>
        <v>1163190.0307153419</v>
      </c>
      <c r="AQ5" s="100">
        <f>IF('Net zero activities &amp; levers'!$C$12="Off",((Data!$AJ$5*'Intermediate calculations'!AQ4)+Data!$AK$5)*Drivers!AR4,'Net zero supporting data'!T205)</f>
        <v>1191437.6590696336</v>
      </c>
      <c r="AR5" s="100">
        <f>IF('Net zero activities &amp; levers'!$C$12="Off",((Data!$AJ$5*'Intermediate calculations'!AR4)+Data!$AK$5)*Drivers!AS4,'Net zero supporting data'!U205)</f>
        <v>1225064.6090277752</v>
      </c>
      <c r="AS5" s="100">
        <f>IF('Net zero activities &amp; levers'!$C$12="Off",((Data!$AJ$5*'Intermediate calculations'!AS4)+Data!$AK$5)*Drivers!AT4,'Net zero supporting data'!V205)</f>
        <v>1261337.2040832094</v>
      </c>
      <c r="AT5" s="100">
        <f>IF('Net zero activities &amp; levers'!$C$12="Off",((Data!$AJ$5*'Intermediate calculations'!AT4)+Data!$AK$5)*Drivers!AU4,'Net zero supporting data'!W205)</f>
        <v>1298876.3444644772</v>
      </c>
      <c r="AU5" s="100">
        <f>IF('Net zero activities &amp; levers'!$C$12="Off",((Data!$AJ$5*'Intermediate calculations'!AU4)+Data!$AK$5)*Drivers!AV4,'Net zero supporting data'!X205)</f>
        <v>1306120.0926462498</v>
      </c>
      <c r="AV5" s="100">
        <f>IF('Net zero activities &amp; levers'!$C$12="Off",((Data!$AJ$5*'Intermediate calculations'!AV4)+Data!$AK$5)*Drivers!AW4,'Net zero supporting data'!Y205)</f>
        <v>-173485.03181403803</v>
      </c>
      <c r="AW5" s="100">
        <f>IF('Net zero activities &amp; levers'!$C$12="Off",((Data!$AJ$5*'Intermediate calculations'!AW4)+Data!$AK$5)*Drivers!AX4,'Net zero supporting data'!Z205)</f>
        <v>-174755.14287206525</v>
      </c>
      <c r="AX5" s="100">
        <f>IF('Net zero activities &amp; levers'!$C$12="Off",((Data!$AJ$5*'Intermediate calculations'!AX4)+Data!$AK$5)*Drivers!AY4,'Net zero supporting data'!AA205)</f>
        <v>-176034.55261184537</v>
      </c>
      <c r="AY5" s="100">
        <f>IF('Net zero activities &amp; levers'!$C$12="Off",((Data!$AJ$5*'Intermediate calculations'!AY4)+Data!$AK$5)*Drivers!AZ4,'Net zero supporting data'!AB205)</f>
        <v>-177323.3291104821</v>
      </c>
      <c r="AZ5" s="100">
        <f>IF('Net zero activities &amp; levers'!$C$12="Off",((Data!$AJ$5*'Intermediate calculations'!AZ4)+Data!$AK$5)*Drivers!BA4,'Net zero supporting data'!AC205)</f>
        <v>-178621.54094348245</v>
      </c>
      <c r="BA5" s="100">
        <f>IF('Net zero activities &amp; levers'!$C$12="Off",((Data!$AJ$5*'Intermediate calculations'!BA4)+Data!$AK$5)*Drivers!BB4,'Net zero supporting data'!AD205)</f>
        <v>-179929.25718840538</v>
      </c>
      <c r="BB5" s="100">
        <f>IF('Net zero activities &amp; levers'!$C$12="Off",((Data!$AJ$5*'Intermediate calculations'!BB4)+Data!$AK$5)*Drivers!BC4,'Net zero supporting data'!AE205)</f>
        <v>-181046.7851231689</v>
      </c>
      <c r="BC5" s="100">
        <f>IF('Net zero activities &amp; levers'!$C$12="Off",((Data!$AJ$5*'Intermediate calculations'!BC4)+Data!$AK$5)*Drivers!BD4,'Net zero supporting data'!AF205)</f>
        <v>-182171.25394517047</v>
      </c>
      <c r="BD5" s="100">
        <f>IF('Net zero activities &amp; levers'!$C$12="Off",((Data!$AJ$5*'Intermediate calculations'!BD4)+Data!$AK$5)*Drivers!BE4,'Net zero supporting data'!AG205)</f>
        <v>-183302.70676377154</v>
      </c>
      <c r="BE5" s="100">
        <f>IF('Net zero activities &amp; levers'!$C$12="Off",((Data!$AJ$5*'Intermediate calculations'!BE4)+Data!$AK$5)*Drivers!BF4,'Net zero supporting data'!AH205)</f>
        <v>-184441.18695608282</v>
      </c>
      <c r="BF5" s="100">
        <f>IF('Net zero activities &amp; levers'!$C$12="Off",((Data!$AJ$5*'Intermediate calculations'!BF4)+Data!$AK$5)*Drivers!BG4,'Net zero supporting data'!AI205)</f>
        <v>-185586.73816862702</v>
      </c>
      <c r="BG5" s="100">
        <f>IF('Net zero activities &amp; levers'!$C$12="Off",((Data!$AJ$5*'Intermediate calculations'!BG4)+Data!$AK$5)*Drivers!BH4,'Net zero supporting data'!AJ205)</f>
        <v>-186534.12876951232</v>
      </c>
      <c r="BH5" s="100">
        <f>IF('Net zero activities &amp; levers'!$C$12="Off",((Data!$AJ$5*'Intermediate calculations'!BH4)+Data!$AK$5)*Drivers!BI4,'Net zero supporting data'!AK205)</f>
        <v>-187486.35564781437</v>
      </c>
      <c r="BI5" s="100">
        <f>IF('Net zero activities &amp; levers'!$C$12="Off",((Data!$AJ$5*'Intermediate calculations'!BI4)+Data!$AK$5)*Drivers!BJ4,'Net zero supporting data'!AL205)</f>
        <v>-188443.44349195543</v>
      </c>
      <c r="BJ5" s="100">
        <f>IF('Net zero activities &amp; levers'!$C$12="Off",((Data!$AJ$5*'Intermediate calculations'!BJ4)+Data!$AK$5)*Drivers!BK4,'Net zero supporting data'!AM205)</f>
        <v>-189405.41711638827</v>
      </c>
      <c r="BK5" s="100">
        <f>IF('Net zero activities &amp; levers'!$C$12="Off",((Data!$AJ$5*'Intermediate calculations'!BK4)+Data!$AK$5)*Drivers!BL4,'Net zero supporting data'!AN205)</f>
        <v>-190372.30146223947</v>
      </c>
      <c r="BL5" s="85">
        <v>2265947.5040882924</v>
      </c>
    </row>
    <row r="6" spans="1:67" x14ac:dyDescent="0.25">
      <c r="A6" t="s">
        <v>318</v>
      </c>
      <c r="B6" t="s">
        <v>322</v>
      </c>
      <c r="C6" s="22">
        <f>C5/Drivers!D4</f>
        <v>1.8151922844328049E-2</v>
      </c>
      <c r="D6" s="22">
        <f>D5/Drivers!E4</f>
        <v>1.8929477093079208E-2</v>
      </c>
      <c r="E6" s="22">
        <f>E5/Drivers!F4</f>
        <v>1.9160849435363898E-2</v>
      </c>
      <c r="F6" s="22">
        <f>F5/Drivers!G4</f>
        <v>1.8115873466426971E-2</v>
      </c>
      <c r="G6" s="22">
        <f>G5/Drivers!H4</f>
        <v>1.6344518185421236E-2</v>
      </c>
      <c r="H6" s="22">
        <f>H5/Drivers!I4</f>
        <v>1.4166508067741876E-2</v>
      </c>
      <c r="I6" s="22">
        <f>I5/Drivers!J4</f>
        <v>1.3991142399503649E-2</v>
      </c>
      <c r="J6" s="22">
        <f>J5/Drivers!K4</f>
        <v>1.3329468330311484E-2</v>
      </c>
      <c r="K6" s="22">
        <f>K5/Drivers!L4</f>
        <v>1.2819849522437712E-2</v>
      </c>
      <c r="L6" s="22">
        <f>L5/Drivers!M4</f>
        <v>1.2607541028129859E-2</v>
      </c>
      <c r="M6" s="22">
        <f>M5/Drivers!N4</f>
        <v>1.4921819008431562E-2</v>
      </c>
      <c r="N6" s="22">
        <f>N5/Drivers!O4</f>
        <v>1.21567810458843E-2</v>
      </c>
      <c r="O6" s="22">
        <f>O5/Drivers!P4</f>
        <v>1.3044162311588505E-2</v>
      </c>
      <c r="P6" s="22">
        <f>P5/Drivers!Q4</f>
        <v>1.3763079313265579E-2</v>
      </c>
      <c r="Q6" s="22">
        <f>Q5/Drivers!R4</f>
        <v>1.4273144855926876E-2</v>
      </c>
      <c r="R6" s="22">
        <f>R5/Drivers!S4</f>
        <v>1.5100061087370227E-2</v>
      </c>
      <c r="S6" s="22">
        <f>S5/Drivers!T4</f>
        <v>1.701400710616301E-2</v>
      </c>
      <c r="T6" s="22">
        <f>T5/Drivers!U4</f>
        <v>1.7610021254379524E-2</v>
      </c>
      <c r="U6" s="22">
        <f>U5/Drivers!V4</f>
        <v>1.5407958031534726E-2</v>
      </c>
      <c r="V6" s="22">
        <f>V5/Drivers!W4</f>
        <v>1.553182299165852E-2</v>
      </c>
      <c r="W6" s="22">
        <f>W5/Drivers!X4</f>
        <v>1.7181807184041598E-2</v>
      </c>
      <c r="X6" s="22">
        <f>X5/Drivers!Y4</f>
        <v>1.6902490054067201E-2</v>
      </c>
      <c r="Y6" s="22"/>
      <c r="Z6" s="22"/>
      <c r="AA6" s="22"/>
      <c r="AB6" s="22"/>
      <c r="AC6" s="22"/>
      <c r="AD6" s="22"/>
      <c r="AE6" s="22"/>
      <c r="AF6" s="22"/>
      <c r="AG6" s="22"/>
      <c r="AH6" s="22"/>
      <c r="AI6" s="22"/>
      <c r="AJ6" s="22"/>
      <c r="AK6" s="22"/>
      <c r="AL6" s="22"/>
      <c r="AM6" s="22"/>
      <c r="AN6" s="22"/>
      <c r="AO6" s="22">
        <f>(AO5-AE5)/AE5</f>
        <v>0.12893750701154752</v>
      </c>
      <c r="AP6" s="22"/>
      <c r="AQ6" s="22">
        <f>(AQ8-AD8)/AD8</f>
        <v>0.22690491868426668</v>
      </c>
      <c r="AR6" s="22"/>
      <c r="AS6" s="22"/>
      <c r="AT6" s="22"/>
      <c r="AU6" s="22"/>
      <c r="AV6" s="22"/>
      <c r="AW6" s="22"/>
      <c r="AX6" s="22"/>
      <c r="AY6" s="22"/>
      <c r="AZ6" s="22"/>
      <c r="BA6" s="22"/>
      <c r="BB6" s="22"/>
      <c r="BC6" s="22"/>
      <c r="BD6" s="22"/>
      <c r="BE6" s="22"/>
      <c r="BF6" s="22"/>
      <c r="BG6" s="22"/>
      <c r="BH6" s="22"/>
      <c r="BI6" s="22"/>
      <c r="BJ6" s="22"/>
      <c r="BK6" s="22"/>
    </row>
    <row r="7" spans="1:67" x14ac:dyDescent="0.25">
      <c r="A7" t="s">
        <v>318</v>
      </c>
      <c r="B7" t="s">
        <v>663</v>
      </c>
      <c r="C7" s="51">
        <f>C5*ttokg/Drivers!D4</f>
        <v>18.151922844328048</v>
      </c>
      <c r="D7" s="51">
        <f>D5*ttokg/Drivers!E4</f>
        <v>18.929477093079207</v>
      </c>
      <c r="E7" s="51">
        <f>E5*ttokg/Drivers!F4</f>
        <v>19.1608494353639</v>
      </c>
      <c r="F7" s="51">
        <f>F5*ttokg/Drivers!G4</f>
        <v>18.115873466426972</v>
      </c>
      <c r="G7" s="51">
        <f>G5*ttokg/Drivers!H4</f>
        <v>16.344518185421236</v>
      </c>
      <c r="H7" s="51">
        <f>H5*ttokg/Drivers!I4</f>
        <v>14.166508067741876</v>
      </c>
      <c r="I7" s="51">
        <f>I5*ttokg/Drivers!J4</f>
        <v>13.991142399503648</v>
      </c>
      <c r="J7" s="51">
        <f>J5*ttokg/Drivers!K4</f>
        <v>13.329468330311483</v>
      </c>
      <c r="K7" s="51">
        <f>K5*ttokg/Drivers!L4</f>
        <v>12.819849522437712</v>
      </c>
      <c r="L7" s="51">
        <f>L5*ttokg/Drivers!M4</f>
        <v>12.607541028129861</v>
      </c>
      <c r="M7" s="51">
        <f>M5*ttokg/Drivers!N4</f>
        <v>14.921819008431562</v>
      </c>
      <c r="N7" s="51">
        <f>N5*ttokg/Drivers!O4</f>
        <v>12.1567810458843</v>
      </c>
      <c r="O7" s="51">
        <f>O5*ttokg/Drivers!P4</f>
        <v>13.044162311588506</v>
      </c>
      <c r="P7" s="51">
        <f>P5*ttokg/Drivers!Q4</f>
        <v>13.76307931326558</v>
      </c>
      <c r="Q7" s="51">
        <f>Q5*ttokg/Drivers!R4</f>
        <v>14.273144855926876</v>
      </c>
      <c r="R7" s="51">
        <f>R5*ttokg/Drivers!S4</f>
        <v>15.100061087370227</v>
      </c>
      <c r="S7" s="51">
        <f>S5*ttokg/Drivers!T4</f>
        <v>17.01400710616301</v>
      </c>
      <c r="T7" s="51">
        <f>T5*ttokg/Drivers!U4</f>
        <v>17.610021254379525</v>
      </c>
      <c r="U7" s="51">
        <f>U5*ttokg/Drivers!V4</f>
        <v>15.407958031534726</v>
      </c>
      <c r="V7" s="51">
        <f>V5*ttokg/Drivers!W4</f>
        <v>15.531822991658519</v>
      </c>
      <c r="W7" s="51">
        <f>W5*ttokg/Drivers!X4</f>
        <v>17.181807184041599</v>
      </c>
      <c r="X7" s="51">
        <f>X5*ttokg/Drivers!Y4</f>
        <v>16.902490054067201</v>
      </c>
      <c r="Y7" s="51">
        <f>Y5*ttokg/Drivers!Z4</f>
        <v>17.67507229358143</v>
      </c>
      <c r="Z7" s="51">
        <f>Z5*ttokg/Drivers!AA4</f>
        <v>17.846779647248983</v>
      </c>
      <c r="AA7" s="51">
        <f>AA5*ttokg/Drivers!AB4</f>
        <v>17.889083885168429</v>
      </c>
      <c r="AB7" s="51">
        <f>AB5*ttokg/Drivers!AC4</f>
        <v>17.759845624854446</v>
      </c>
      <c r="AC7" s="51">
        <f>AC5*ttokg/Drivers!AD4</f>
        <v>17.623112694667995</v>
      </c>
      <c r="AD7" s="51">
        <f>AD5*ttokg/Drivers!AE4</f>
        <v>17.558058139921329</v>
      </c>
      <c r="AE7" s="51">
        <f>AE5*ttokg/Drivers!AF4</f>
        <v>17.514669649857357</v>
      </c>
      <c r="AF7" s="51">
        <f>AF5*ttokg/Drivers!AG4</f>
        <v>17.305385143992879</v>
      </c>
      <c r="AG7" s="51">
        <f>AG5*ttokg/Drivers!AH4</f>
        <v>15.614411324643509</v>
      </c>
      <c r="AH7" s="51">
        <f>AH5*ttokg/Drivers!AI4</f>
        <v>15.853878311156567</v>
      </c>
      <c r="AI7" s="51">
        <f>AI5*ttokg/Drivers!AJ4</f>
        <v>16.049973919030723</v>
      </c>
      <c r="AJ7" s="51">
        <f>AJ5*ttokg/Drivers!AK4</f>
        <v>16.242105376737296</v>
      </c>
      <c r="AK7" s="51">
        <f>AK5*ttokg/Drivers!AL4</f>
        <v>16.491194434697835</v>
      </c>
      <c r="AL7" s="51">
        <f>AL5*ttokg/Drivers!AM4</f>
        <v>16.735727593790898</v>
      </c>
      <c r="AM7" s="51">
        <f>AM5*ttokg/Drivers!AN4</f>
        <v>17.015862362748301</v>
      </c>
      <c r="AN7" s="51">
        <f>AN5*ttokg/Drivers!AO4</f>
        <v>17.277761960947828</v>
      </c>
      <c r="AO7" s="51">
        <f>AO5*ttokg/Drivers!AP4</f>
        <v>17.559487101024665</v>
      </c>
      <c r="AP7" s="51">
        <f>AP5*ttokg/Drivers!AQ4</f>
        <v>17.809474771114708</v>
      </c>
      <c r="AQ7" s="51">
        <f>AQ5*ttokg/Drivers!AR4</f>
        <v>18.064103846508086</v>
      </c>
      <c r="AR7" s="51">
        <f>AR5*ttokg/Drivers!AS4</f>
        <v>18.416768578926352</v>
      </c>
      <c r="AS7" s="51">
        <f>AS5*ttokg/Drivers!AT4</f>
        <v>18.801607497744612</v>
      </c>
      <c r="AT7" s="51">
        <f>AT5*ttokg/Drivers!AU4</f>
        <v>19.197334086275387</v>
      </c>
      <c r="AU7" s="51">
        <f>AU5*ttokg/Drivers!AV4</f>
        <v>19.141041510951947</v>
      </c>
      <c r="AV7" s="51">
        <f>AV5*ttokg/Drivers!AW4</f>
        <v>-2.5208894682483796</v>
      </c>
      <c r="AW7" s="51">
        <f>AW5*ttokg/Drivers!AX4</f>
        <v>-2.5208894682483796</v>
      </c>
      <c r="AX7" s="51">
        <f>AX5*ttokg/Drivers!AY4</f>
        <v>-2.5208894682483796</v>
      </c>
      <c r="AY7" s="51">
        <f>AY5*ttokg/Drivers!AZ4</f>
        <v>-2.5208894682483796</v>
      </c>
      <c r="AZ7" s="51">
        <f>AZ5*ttokg/Drivers!BA4</f>
        <v>-2.5208894682483796</v>
      </c>
      <c r="BA7" s="51">
        <f>BA5*ttokg/Drivers!BB4</f>
        <v>-2.5208894682483796</v>
      </c>
      <c r="BB7" s="51">
        <f>BB5*ttokg/Drivers!BC4</f>
        <v>-2.5208894682483796</v>
      </c>
      <c r="BC7" s="51">
        <f>BC5*ttokg/Drivers!BD4</f>
        <v>-2.5208894682483796</v>
      </c>
      <c r="BD7" s="51">
        <f>BD5*ttokg/Drivers!BE4</f>
        <v>-2.5208894682483791</v>
      </c>
      <c r="BE7" s="51">
        <f>BE5*ttokg/Drivers!BF4</f>
        <v>-2.5208894682483796</v>
      </c>
      <c r="BF7" s="51">
        <f>BF5*ttokg/Drivers!BG4</f>
        <v>-2.5208894682483791</v>
      </c>
      <c r="BG7" s="51">
        <f>BG5*ttokg/Drivers!BH4</f>
        <v>-2.5208894682483796</v>
      </c>
      <c r="BH7" s="51">
        <f>BH5*ttokg/Drivers!BI4</f>
        <v>-2.5208894682483791</v>
      </c>
      <c r="BI7" s="51">
        <f>BI5*ttokg/Drivers!BJ4</f>
        <v>-2.5208894682483796</v>
      </c>
      <c r="BJ7" s="51">
        <f>BJ5*ttokg/Drivers!BK4</f>
        <v>-2.5208894682483791</v>
      </c>
      <c r="BK7" s="51">
        <f>BK5*ttokg/Drivers!BL4</f>
        <v>-2.5208894682483796</v>
      </c>
      <c r="BL7">
        <v>30.005396118651085</v>
      </c>
    </row>
    <row r="8" spans="1:67" x14ac:dyDescent="0.25">
      <c r="A8" t="s">
        <v>320</v>
      </c>
      <c r="B8" t="s">
        <v>321</v>
      </c>
      <c r="C8" s="22">
        <v>610300</v>
      </c>
      <c r="D8" s="22">
        <v>664900</v>
      </c>
      <c r="E8" s="22">
        <v>703500</v>
      </c>
      <c r="F8" s="22">
        <v>694000</v>
      </c>
      <c r="G8" s="22">
        <v>611200</v>
      </c>
      <c r="H8" s="22">
        <v>507500</v>
      </c>
      <c r="I8" s="22">
        <v>507000</v>
      </c>
      <c r="J8" s="22">
        <v>502400</v>
      </c>
      <c r="K8" s="22">
        <v>496300</v>
      </c>
      <c r="L8" s="22">
        <v>511700</v>
      </c>
      <c r="M8" s="22">
        <v>624600</v>
      </c>
      <c r="N8" s="22">
        <v>524300</v>
      </c>
      <c r="O8" s="22">
        <v>573400</v>
      </c>
      <c r="P8" s="22">
        <v>609700</v>
      </c>
      <c r="Q8" s="22">
        <v>631700</v>
      </c>
      <c r="R8" s="22">
        <v>672300</v>
      </c>
      <c r="S8" s="22">
        <v>808100</v>
      </c>
      <c r="T8" s="22">
        <v>861400</v>
      </c>
      <c r="U8" s="22">
        <v>770200</v>
      </c>
      <c r="V8" s="22">
        <v>796700</v>
      </c>
      <c r="W8" s="22">
        <v>885800</v>
      </c>
      <c r="X8" s="22">
        <v>869500</v>
      </c>
      <c r="Y8" s="101">
        <f>IF('Net zero activities &amp; levers'!$C$14="Off",((Data!$AJ$14*'Net zero Intermediate calcs'!Y5)+Data!$AK$14),IF('Net zero activities &amp; levers'!$C$14="On",((Data!$AJ$14*'Net zero Intermediate calcs'!Y5)+Data!$AK$14)*(1-'Net zero supporting data'!B213),"ERROR"))</f>
        <v>924972.35283723497</v>
      </c>
      <c r="Z8" s="101">
        <f>IF('Net zero activities &amp; levers'!$C$14="Off",((Data!$AJ$14*'Net zero Intermediate calcs'!Z5)+Data!$AK$14),IF('Net zero activities &amp; levers'!$C$14="On",((Data!$AJ$14*'Net zero Intermediate calcs'!Z5)+Data!$AK$14)*(1-'Net zero supporting data'!C213),"ERROR"))</f>
        <v>951121.67835089797</v>
      </c>
      <c r="AA8" s="101">
        <f>IF('Net zero activities &amp; levers'!$C$14="Off",((Data!$AJ$14*'Net zero Intermediate calcs'!AA5)+Data!$AK$14),IF('Net zero activities &amp; levers'!$C$14="On",((Data!$AJ$14*'Net zero Intermediate calcs'!AA5)+Data!$AK$14)*(1-'Net zero supporting data'!D213),"ERROR"))</f>
        <v>970203.17078071018</v>
      </c>
      <c r="AB8" s="101">
        <f>IF('Net zero activities &amp; levers'!$C$14="Off",((Data!$AJ$14*'Net zero Intermediate calcs'!AB5)+Data!$AK$14),IF('Net zero activities &amp; levers'!$C$14="On",((Data!$AJ$14*'Net zero Intermediate calcs'!AB5)+Data!$AK$14)*(1-'Net zero supporting data'!E213),"ERROR"))</f>
        <v>979249.37915964075</v>
      </c>
      <c r="AC8" s="101">
        <f>IF('Net zero activities &amp; levers'!$C$14="Off",((Data!$AJ$14*'Net zero Intermediate calcs'!AC5)+Data!$AK$14),IF('Net zero activities &amp; levers'!$C$14="On",((Data!$AJ$14*'Net zero Intermediate calcs'!AC5)+Data!$AK$14)*(1-'Net zero supporting data'!F213),"ERROR"))</f>
        <v>988202.76420008135</v>
      </c>
      <c r="AD8" s="101">
        <f>IF('Net zero activities &amp; levers'!$C$14="Off",((Data!$AJ$14*'Net zero Intermediate calcs'!AD5)+Data!$AK$14),IF('Net zero activities &amp; levers'!$C$14="On",((Data!$AJ$14*'Net zero Intermediate calcs'!AD5)+Data!$AK$14)*(1-'Net zero supporting data'!G213),"ERROR"))</f>
        <v>1002163.9830355821</v>
      </c>
      <c r="AE8" s="101">
        <f>IF('Net zero activities &amp; levers'!$C$14="Off",((Data!$AJ$14*'Net zero Intermediate calcs'!AE5)+Data!$AK$14),IF('Net zero activities &amp; levers'!$C$14="On",((Data!$AJ$14*'Net zero Intermediate calcs'!AE5)+Data!$AK$14)*(1-'Net zero supporting data'!H213),"ERROR"))</f>
        <v>1017653.6774399304</v>
      </c>
      <c r="AF8" s="101">
        <f>IF('Net zero activities &amp; levers'!$C$14="Off",((Data!$AJ$14*'Net zero Intermediate calcs'!AF5)+Data!$AK$14),IF('Net zero activities &amp; levers'!$C$14="On",((Data!$AJ$14*'Net zero Intermediate calcs'!AF5)+Data!$AK$14)*(1-'Net zero supporting data'!I213),"ERROR"))</f>
        <v>1022284.9237864143</v>
      </c>
      <c r="AG8" s="101">
        <f>IF('Net zero activities &amp; levers'!$C$14="Off",((Data!$AJ$14*'Net zero Intermediate calcs'!AG5)+Data!$AK$14),IF('Net zero activities &amp; levers'!$C$14="On",((Data!$AJ$14*'Net zero Intermediate calcs'!AG5)+Data!$AK$14)*(1-'Net zero supporting data'!J213),"ERROR"))</f>
        <v>926359.9679792698</v>
      </c>
      <c r="AH8" s="101">
        <f>IF('Net zero activities &amp; levers'!$C$14="Off",((Data!$AJ$14*'Net zero Intermediate calcs'!AH5)+Data!$AK$14),IF('Net zero activities &amp; levers'!$C$14="On",((Data!$AJ$14*'Net zero Intermediate calcs'!AH5)+Data!$AK$14)*(1-'Net zero supporting data'!K213),"ERROR"))</f>
        <v>954957.19816315966</v>
      </c>
      <c r="AI8" s="101">
        <f>IF('Net zero activities &amp; levers'!$C$14="Off",((Data!$AJ$14*'Net zero Intermediate calcs'!AI5)+Data!$AK$14),IF('Net zero activities &amp; levers'!$C$14="On",((Data!$AJ$14*'Net zero Intermediate calcs'!AI5)+Data!$AK$14)*(1-'Net zero supporting data'!L213),"ERROR"))</f>
        <v>981065.60210034857</v>
      </c>
      <c r="AJ8" s="101">
        <f>IF('Net zero activities &amp; levers'!$C$14="Off",((Data!$AJ$14*'Net zero Intermediate calcs'!AJ5)+Data!$AK$14),IF('Net zero activities &amp; levers'!$C$14="On",((Data!$AJ$14*'Net zero Intermediate calcs'!AJ5)+Data!$AK$14)*(1-'Net zero supporting data'!M213),"ERROR"))</f>
        <v>1007353.1560424094</v>
      </c>
      <c r="AK8" s="101">
        <f>IF('Net zero activities &amp; levers'!$C$14="Off",((Data!$AJ$14*'Net zero Intermediate calcs'!AK5)+Data!$AK$14),IF('Net zero activities &amp; levers'!$C$14="On",((Data!$AJ$14*'Net zero Intermediate calcs'!AK5)+Data!$AK$14)*(1-'Net zero supporting data'!N213),"ERROR"))</f>
        <v>1038139.0785026371</v>
      </c>
      <c r="AL8" s="101">
        <f>IF('Net zero activities &amp; levers'!$C$14="Off",((Data!$AJ$14*'Net zero Intermediate calcs'!AL5)+Data!$AK$14),IF('Net zero activities &amp; levers'!$C$14="On",((Data!$AJ$14*'Net zero Intermediate calcs'!AL5)+Data!$AK$14)*(1-'Net zero supporting data'!O213),"ERROR"))</f>
        <v>1069156.0192956098</v>
      </c>
      <c r="AM8" s="101">
        <f>IF('Net zero activities &amp; levers'!$C$14="Off",((Data!$AJ$14*'Net zero Intermediate calcs'!AM5)+Data!$AK$14),IF('Net zero activities &amp; levers'!$C$14="On",((Data!$AJ$14*'Net zero Intermediate calcs'!AM5)+Data!$AK$14)*(1-'Net zero supporting data'!P213),"ERROR"))</f>
        <v>1101279.902169016</v>
      </c>
      <c r="AN8" s="101">
        <f>IF('Net zero activities &amp; levers'!$C$14="Off",((Data!$AJ$14*'Net zero Intermediate calcs'!AN5)+Data!$AK$14),IF('Net zero activities &amp; levers'!$C$14="On",((Data!$AJ$14*'Net zero Intermediate calcs'!AN5)+Data!$AK$14)*(1-'Net zero supporting data'!Q213),"ERROR"))</f>
        <v>1132585.5852858718</v>
      </c>
      <c r="AO8" s="101">
        <f>IF('Net zero activities &amp; levers'!$C$14="Off",((Data!$AJ$14*'Net zero Intermediate calcs'!AO5)+Data!$AK$14),IF('Net zero activities &amp; levers'!$C$14="On",((Data!$AJ$14*'Net zero Intermediate calcs'!AO5)+Data!$AK$14)*(1-'Net zero supporting data'!R213),"ERROR"))</f>
        <v>1165853.2685383849</v>
      </c>
      <c r="AP8" s="101">
        <f>IF('Net zero activities &amp; levers'!$C$14="Off",((Data!$AJ$14*'Net zero Intermediate calcs'!AP5)+Data!$AK$14),IF('Net zero activities &amp; levers'!$C$14="On",((Data!$AJ$14*'Net zero Intermediate calcs'!AP5)+Data!$AK$14)*(1-'Net zero supporting data'!S213),"ERROR"))</f>
        <v>1197285.1182141083</v>
      </c>
      <c r="AQ8" s="101">
        <f>IF('Net zero activities &amp; levers'!$C$14="Off",((Data!$AJ$14*'Net zero Intermediate calcs'!AQ5)+Data!$AK$14),IF('Net zero activities &amp; levers'!$C$14="On",((Data!$AJ$14*'Net zero Intermediate calcs'!AQ5)+Data!$AK$14)*(1-'Net zero supporting data'!T213),"ERROR"))</f>
        <v>1229559.9201145717</v>
      </c>
      <c r="AR8" s="101">
        <f>IF('Net zero activities &amp; levers'!$C$14="Off",((Data!$AJ$14*'Net zero Intermediate calcs'!AR5)+Data!$AK$14),IF('Net zero activities &amp; levers'!$C$14="On",((Data!$AJ$14*'Net zero Intermediate calcs'!AR5)+Data!$AK$14)*(1-'Net zero supporting data'!U213),"ERROR"))</f>
        <v>1267980.9562031089</v>
      </c>
      <c r="AS8" s="101">
        <f>IF('Net zero activities &amp; levers'!$C$14="Off",((Data!$AJ$14*'Net zero Intermediate calcs'!AS5)+Data!$AK$14),IF('Net zero activities &amp; levers'!$C$14="On",((Data!$AJ$14*'Net zero Intermediate calcs'!AS5)+Data!$AK$14)*(1-'Net zero supporting data'!V213),"ERROR"))</f>
        <v>1309424.81850357</v>
      </c>
      <c r="AT8" s="101">
        <f>IF('Net zero activities &amp; levers'!$C$14="Off",((Data!$AJ$14*'Net zero Intermediate calcs'!AT5)+Data!$AK$14),IF('Net zero activities &amp; levers'!$C$14="On",((Data!$AJ$14*'Net zero Intermediate calcs'!AT5)+Data!$AK$14)*(1-'Net zero supporting data'!W213),"ERROR"))</f>
        <v>1352315.7934244801</v>
      </c>
      <c r="AU8" s="101">
        <f>IF('Net zero activities &amp; levers'!$C$14="Off",((Data!$AJ$14*'Net zero Intermediate calcs'!AU5)+Data!$AK$14),IF('Net zero activities &amp; levers'!$C$14="On",((Data!$AJ$14*'Net zero Intermediate calcs'!AU5)+Data!$AK$14)*(1-'Net zero supporting data'!X213),"ERROR"))</f>
        <v>1360592.2594927556</v>
      </c>
      <c r="AV8" s="101">
        <f>IF('Net zero activities &amp; levers'!$C$14="Off",((Data!$AJ$14*'Net zero Intermediate calcs'!AV5)+Data!$AK$14),IF('Net zero activities &amp; levers'!$C$14="On",((Data!$AJ$14*'Net zero Intermediate calcs'!AV5)+Data!$AK$14)*(1-'Net zero supporting data'!Y213),"ERROR"))</f>
        <v>-329955.4099936714</v>
      </c>
      <c r="AW8" s="101">
        <f>IF('Net zero activities &amp; levers'!$C$14="Off",((Data!$AJ$14*'Net zero Intermediate calcs'!AW5)+Data!$AK$14),IF('Net zero activities &amp; levers'!$C$14="On",((Data!$AJ$14*'Net zero Intermediate calcs'!AW5)+Data!$AK$14)*(1-'Net zero supporting data'!Z213),"ERROR"))</f>
        <v>-331406.59670128708</v>
      </c>
      <c r="AX8" s="101">
        <f>IF('Net zero activities &amp; levers'!$C$14="Off",((Data!$AJ$14*'Net zero Intermediate calcs'!AX5)+Data!$AK$14),IF('Net zero activities &amp; levers'!$C$14="On",((Data!$AJ$14*'Net zero Intermediate calcs'!AX5)+Data!$AK$14)*(1-'Net zero supporting data'!AA213),"ERROR"))</f>
        <v>-332868.40777381393</v>
      </c>
      <c r="AY8" s="101">
        <f>IF('Net zero activities &amp; levers'!$C$14="Off",((Data!$AJ$14*'Net zero Intermediate calcs'!AY5)+Data!$AK$14),IF('Net zero activities &amp; levers'!$C$14="On",((Data!$AJ$14*'Net zero Intermediate calcs'!AY5)+Data!$AK$14)*(1-'Net zero supporting data'!AB213),"ERROR"))</f>
        <v>-334340.92099388945</v>
      </c>
      <c r="AZ8" s="101">
        <f>IF('Net zero activities &amp; levers'!$C$14="Off",((Data!$AJ$14*'Net zero Intermediate calcs'!AZ5)+Data!$AK$14),IF('Net zero activities &amp; levers'!$C$14="On",((Data!$AJ$14*'Net zero Intermediate calcs'!AZ5)+Data!$AK$14)*(1-'Net zero supporting data'!AC213),"ERROR"))</f>
        <v>-335824.21471361013</v>
      </c>
      <c r="BA8" s="101">
        <f>IF('Net zero activities &amp; levers'!$C$14="Off",((Data!$AJ$14*'Net zero Intermediate calcs'!BA5)+Data!$AK$14),IF('Net zero activities &amp; levers'!$C$14="On",((Data!$AJ$14*'Net zero Intermediate calcs'!BA5)+Data!$AK$14)*(1-'Net zero supporting data'!AD213),"ERROR"))</f>
        <v>-337318.36785870034</v>
      </c>
      <c r="BB8" s="101">
        <f>IF('Net zero activities &amp; levers'!$C$14="Off",((Data!$AJ$14*'Net zero Intermediate calcs'!BB5)+Data!$AK$14),IF('Net zero activities &amp; levers'!$C$14="On",((Data!$AJ$14*'Net zero Intermediate calcs'!BB5)+Data!$AK$14)*(1-'Net zero supporting data'!AE213),"ERROR"))</f>
        <v>-338595.21815778915</v>
      </c>
      <c r="BC8" s="101">
        <f>IF('Net zero activities &amp; levers'!$C$14="Off",((Data!$AJ$14*'Net zero Intermediate calcs'!BC5)+Data!$AK$14),IF('Net zero activities &amp; levers'!$C$14="On",((Data!$AJ$14*'Net zero Intermediate calcs'!BC5)+Data!$AK$14)*(1-'Net zero supporting data'!AF213),"ERROR"))</f>
        <v>-339879.99888409162</v>
      </c>
      <c r="BD8" s="101">
        <f>IF('Net zero activities &amp; levers'!$C$14="Off",((Data!$AJ$14*'Net zero Intermediate calcs'!BD5)+Data!$AK$14),IF('Net zero activities &amp; levers'!$C$14="On",((Data!$AJ$14*'Net zero Intermediate calcs'!BD5)+Data!$AK$14)*(1-'Net zero supporting data'!AG213),"ERROR"))</f>
        <v>-341172.75929293217</v>
      </c>
      <c r="BE8" s="101">
        <f>IF('Net zero activities &amp; levers'!$C$14="Off",((Data!$AJ$14*'Net zero Intermediate calcs'!BE5)+Data!$AK$14),IF('Net zero activities &amp; levers'!$C$14="On",((Data!$AJ$14*'Net zero Intermediate calcs'!BE5)+Data!$AK$14)*(1-'Net zero supporting data'!AH213),"ERROR"))</f>
        <v>-342473.54894555674</v>
      </c>
      <c r="BF8" s="101">
        <f>IF('Net zero activities &amp; levers'!$C$14="Off",((Data!$AJ$14*'Net zero Intermediate calcs'!BF5)+Data!$AK$14),IF('Net zero activities &amp; levers'!$C$14="On",((Data!$AJ$14*'Net zero Intermediate calcs'!BF5)+Data!$AK$14)*(1-'Net zero supporting data'!AI213),"ERROR"))</f>
        <v>-343782.41771103255</v>
      </c>
      <c r="BG8" s="101">
        <f>IF('Net zero activities &amp; levers'!$C$14="Off",((Data!$AJ$14*'Net zero Intermediate calcs'!BG5)+Data!$AK$14),IF('Net zero activities &amp; levers'!$C$14="On",((Data!$AJ$14*'Net zero Intermediate calcs'!BG5)+Data!$AK$14)*(1-'Net zero supporting data'!AJ213),"ERROR"))</f>
        <v>-344864.87474361697</v>
      </c>
      <c r="BH8" s="101">
        <f>IF('Net zero activities &amp; levers'!$C$14="Off",((Data!$AJ$14*'Net zero Intermediate calcs'!BH5)+Data!$AK$14),IF('Net zero activities &amp; levers'!$C$14="On",((Data!$AJ$14*'Net zero Intermediate calcs'!BH5)+Data!$AK$14)*(1-'Net zero supporting data'!AK213),"ERROR"))</f>
        <v>-345952.85754613875</v>
      </c>
      <c r="BI8" s="101">
        <f>IF('Net zero activities &amp; levers'!$C$14="Off",((Data!$AJ$14*'Net zero Intermediate calcs'!BI5)+Data!$AK$14),IF('Net zero activities &amp; levers'!$C$14="On",((Data!$AJ$14*'Net zero Intermediate calcs'!BI5)+Data!$AK$14)*(1-'Net zero supporting data'!AL213),"ERROR"))</f>
        <v>-347046.39432676905</v>
      </c>
      <c r="BJ8" s="101">
        <f>IF('Net zero activities &amp; levers'!$C$14="Off",((Data!$AJ$14*'Net zero Intermediate calcs'!BJ5)+Data!$AK$14),IF('Net zero activities &amp; levers'!$C$14="On",((Data!$AJ$14*'Net zero Intermediate calcs'!BJ5)+Data!$AK$14)*(1-'Net zero supporting data'!AM213),"ERROR"))</f>
        <v>-348145.51343767752</v>
      </c>
      <c r="BK8" s="101">
        <f>IF('Net zero activities &amp; levers'!$C$14="Off",((Data!$AJ$14*'Net zero Intermediate calcs'!BK5)+Data!$AK$14),IF('Net zero activities &amp; levers'!$C$14="On",((Data!$AJ$14*'Net zero Intermediate calcs'!BK5)+Data!$AK$14)*(1-'Net zero supporting data'!AN213),"ERROR"))</f>
        <v>-349250.24337576679</v>
      </c>
      <c r="BL8">
        <v>2457259.1787252906</v>
      </c>
    </row>
    <row r="9" spans="1:67" x14ac:dyDescent="0.25">
      <c r="A9" t="s">
        <v>845</v>
      </c>
      <c r="B9" t="s">
        <v>321</v>
      </c>
      <c r="C9" s="22">
        <f>C8*0.65</f>
        <v>396695</v>
      </c>
      <c r="D9" s="22">
        <f t="shared" ref="D9:X9" si="0">D8*0.65</f>
        <v>432185</v>
      </c>
      <c r="E9" s="22">
        <f t="shared" si="0"/>
        <v>457275</v>
      </c>
      <c r="F9" s="22">
        <f t="shared" si="0"/>
        <v>451100</v>
      </c>
      <c r="G9" s="22">
        <f t="shared" si="0"/>
        <v>397280</v>
      </c>
      <c r="H9" s="22">
        <f t="shared" si="0"/>
        <v>329875</v>
      </c>
      <c r="I9" s="22">
        <f t="shared" si="0"/>
        <v>329550</v>
      </c>
      <c r="J9" s="22">
        <f t="shared" si="0"/>
        <v>326560</v>
      </c>
      <c r="K9" s="22">
        <f t="shared" si="0"/>
        <v>322595</v>
      </c>
      <c r="L9" s="22">
        <f t="shared" si="0"/>
        <v>332605</v>
      </c>
      <c r="M9" s="22">
        <f t="shared" si="0"/>
        <v>405990</v>
      </c>
      <c r="N9" s="22">
        <f t="shared" si="0"/>
        <v>340795</v>
      </c>
      <c r="O9" s="22">
        <f t="shared" si="0"/>
        <v>372710</v>
      </c>
      <c r="P9" s="22">
        <f t="shared" si="0"/>
        <v>396305</v>
      </c>
      <c r="Q9" s="22">
        <f t="shared" si="0"/>
        <v>410605</v>
      </c>
      <c r="R9" s="22">
        <f t="shared" si="0"/>
        <v>436995</v>
      </c>
      <c r="S9" s="22">
        <f t="shared" si="0"/>
        <v>525265</v>
      </c>
      <c r="T9" s="22">
        <f t="shared" si="0"/>
        <v>559910</v>
      </c>
      <c r="U9" s="22">
        <f t="shared" si="0"/>
        <v>500630</v>
      </c>
      <c r="V9" s="22">
        <f t="shared" si="0"/>
        <v>517855</v>
      </c>
      <c r="W9" s="22">
        <f t="shared" si="0"/>
        <v>575770</v>
      </c>
      <c r="X9" s="22">
        <f t="shared" si="0"/>
        <v>565175</v>
      </c>
      <c r="Y9" s="22">
        <f t="shared" ref="Y9:BK9" si="1">Y8*Y63</f>
        <v>647480.64698606438</v>
      </c>
      <c r="Z9" s="22">
        <f t="shared" si="1"/>
        <v>670540.783237383</v>
      </c>
      <c r="AA9" s="22">
        <f t="shared" si="1"/>
        <v>688844.2512543042</v>
      </c>
      <c r="AB9" s="22">
        <f t="shared" si="1"/>
        <v>700163.30609914311</v>
      </c>
      <c r="AC9" s="22">
        <f t="shared" si="1"/>
        <v>711505.99022405851</v>
      </c>
      <c r="AD9" s="22">
        <f t="shared" si="1"/>
        <v>726568.88770079706</v>
      </c>
      <c r="AE9" s="22">
        <f t="shared" si="1"/>
        <v>742887.18453114911</v>
      </c>
      <c r="AF9" s="22">
        <f t="shared" si="1"/>
        <v>751379.41898301453</v>
      </c>
      <c r="AG9" s="22">
        <f t="shared" si="1"/>
        <v>685506.37630465964</v>
      </c>
      <c r="AH9" s="22">
        <f t="shared" si="1"/>
        <v>708578.24103706446</v>
      </c>
      <c r="AI9" s="22">
        <f t="shared" si="1"/>
        <v>729912.80796265928</v>
      </c>
      <c r="AJ9" s="22">
        <f t="shared" si="1"/>
        <v>751485.45440763736</v>
      </c>
      <c r="AK9" s="22">
        <f t="shared" si="1"/>
        <v>776528.03071997256</v>
      </c>
      <c r="AL9" s="22">
        <f t="shared" si="1"/>
        <v>801867.0144717074</v>
      </c>
      <c r="AM9" s="22">
        <f t="shared" si="1"/>
        <v>828162.48643110006</v>
      </c>
      <c r="AN9" s="22">
        <f t="shared" si="1"/>
        <v>853969.53130554734</v>
      </c>
      <c r="AO9" s="22">
        <f t="shared" si="1"/>
        <v>881385.07101501897</v>
      </c>
      <c r="AP9" s="22">
        <f t="shared" si="1"/>
        <v>907542.11960629409</v>
      </c>
      <c r="AQ9" s="22">
        <f t="shared" si="1"/>
        <v>934465.53928707447</v>
      </c>
      <c r="AR9" s="22">
        <f t="shared" si="1"/>
        <v>968737.45053917519</v>
      </c>
      <c r="AS9" s="22">
        <f t="shared" si="1"/>
        <v>1005638.2606107418</v>
      </c>
      <c r="AT9" s="22">
        <f t="shared" si="1"/>
        <v>1043987.7925236986</v>
      </c>
      <c r="AU9" s="22">
        <f t="shared" si="1"/>
        <v>1055819.5933663785</v>
      </c>
      <c r="AV9" s="22">
        <f t="shared" si="1"/>
        <v>-257365.21979506369</v>
      </c>
      <c r="AW9" s="22">
        <f t="shared" si="1"/>
        <v>-259822.77181380909</v>
      </c>
      <c r="AX9" s="22">
        <f t="shared" si="1"/>
        <v>-262300.3053257654</v>
      </c>
      <c r="AY9" s="22">
        <f t="shared" si="1"/>
        <v>-264798.00942716043</v>
      </c>
      <c r="AZ9" s="22">
        <f t="shared" si="1"/>
        <v>-267316.07491203368</v>
      </c>
      <c r="BA9" s="22">
        <f t="shared" si="1"/>
        <v>-269854.69428696029</v>
      </c>
      <c r="BB9" s="22">
        <f t="shared" si="1"/>
        <v>-271891.96018070471</v>
      </c>
      <c r="BC9" s="22">
        <f t="shared" si="1"/>
        <v>-273943.27910057787</v>
      </c>
      <c r="BD9" s="22">
        <f t="shared" si="1"/>
        <v>-276008.76226798212</v>
      </c>
      <c r="BE9" s="22">
        <f t="shared" si="1"/>
        <v>-278088.52174379211</v>
      </c>
      <c r="BF9" s="22">
        <f t="shared" si="1"/>
        <v>-280182.67043449153</v>
      </c>
      <c r="BG9" s="22">
        <f t="shared" si="1"/>
        <v>-282099.46754027868</v>
      </c>
      <c r="BH9" s="22">
        <f t="shared" si="1"/>
        <v>-284027.29604537995</v>
      </c>
      <c r="BI9" s="22">
        <f t="shared" si="1"/>
        <v>-285966.22892525775</v>
      </c>
      <c r="BJ9" s="22">
        <f t="shared" si="1"/>
        <v>-287916.33961295936</v>
      </c>
      <c r="BK9" s="22">
        <f t="shared" si="1"/>
        <v>-289877.70200188644</v>
      </c>
      <c r="BL9">
        <v>2039525.118341991</v>
      </c>
    </row>
    <row r="10" spans="1:67" x14ac:dyDescent="0.25">
      <c r="A10" t="s">
        <v>846</v>
      </c>
      <c r="B10" t="s">
        <v>321</v>
      </c>
      <c r="C10" s="22">
        <f t="shared" ref="C10:BK10" si="2">C8-C9</f>
        <v>213605</v>
      </c>
      <c r="D10" s="22">
        <f t="shared" si="2"/>
        <v>232715</v>
      </c>
      <c r="E10" s="22">
        <f t="shared" si="2"/>
        <v>246225</v>
      </c>
      <c r="F10" s="22">
        <f t="shared" si="2"/>
        <v>242900</v>
      </c>
      <c r="G10" s="22">
        <f t="shared" si="2"/>
        <v>213920</v>
      </c>
      <c r="H10" s="22">
        <f t="shared" si="2"/>
        <v>177625</v>
      </c>
      <c r="I10" s="22">
        <f t="shared" si="2"/>
        <v>177450</v>
      </c>
      <c r="J10" s="22">
        <f t="shared" si="2"/>
        <v>175840</v>
      </c>
      <c r="K10" s="22">
        <f t="shared" si="2"/>
        <v>173705</v>
      </c>
      <c r="L10" s="22">
        <f t="shared" si="2"/>
        <v>179095</v>
      </c>
      <c r="M10" s="22">
        <f t="shared" si="2"/>
        <v>218610</v>
      </c>
      <c r="N10" s="22">
        <f t="shared" si="2"/>
        <v>183505</v>
      </c>
      <c r="O10" s="22">
        <f t="shared" si="2"/>
        <v>200690</v>
      </c>
      <c r="P10" s="22">
        <f t="shared" si="2"/>
        <v>213395</v>
      </c>
      <c r="Q10" s="22">
        <f t="shared" si="2"/>
        <v>221095</v>
      </c>
      <c r="R10" s="22">
        <f t="shared" si="2"/>
        <v>235305</v>
      </c>
      <c r="S10" s="22">
        <f t="shared" si="2"/>
        <v>282835</v>
      </c>
      <c r="T10" s="22">
        <f t="shared" si="2"/>
        <v>301490</v>
      </c>
      <c r="U10" s="22">
        <f t="shared" si="2"/>
        <v>269570</v>
      </c>
      <c r="V10" s="22">
        <f t="shared" si="2"/>
        <v>278845</v>
      </c>
      <c r="W10" s="22">
        <f t="shared" si="2"/>
        <v>310030</v>
      </c>
      <c r="X10" s="22">
        <f t="shared" si="2"/>
        <v>304325</v>
      </c>
      <c r="Y10" s="22">
        <f t="shared" si="2"/>
        <v>277491.70585117058</v>
      </c>
      <c r="Z10" s="22">
        <f t="shared" si="2"/>
        <v>280580.89511351497</v>
      </c>
      <c r="AA10" s="22">
        <f t="shared" si="2"/>
        <v>281358.91952640598</v>
      </c>
      <c r="AB10" s="22">
        <f t="shared" si="2"/>
        <v>279086.07306049764</v>
      </c>
      <c r="AC10" s="22">
        <f t="shared" si="2"/>
        <v>276696.77397602284</v>
      </c>
      <c r="AD10" s="22">
        <f t="shared" si="2"/>
        <v>275595.09533478506</v>
      </c>
      <c r="AE10" s="22">
        <f t="shared" si="2"/>
        <v>274766.49290878128</v>
      </c>
      <c r="AF10" s="22">
        <f t="shared" si="2"/>
        <v>270905.50480339979</v>
      </c>
      <c r="AG10" s="22">
        <f t="shared" si="2"/>
        <v>240853.59167461016</v>
      </c>
      <c r="AH10" s="22">
        <f t="shared" si="2"/>
        <v>246378.95712609519</v>
      </c>
      <c r="AI10" s="22">
        <f t="shared" si="2"/>
        <v>251152.79413768928</v>
      </c>
      <c r="AJ10" s="22">
        <f t="shared" si="2"/>
        <v>255867.70163477201</v>
      </c>
      <c r="AK10" s="22">
        <f t="shared" si="2"/>
        <v>261611.04778266454</v>
      </c>
      <c r="AL10" s="22">
        <f t="shared" si="2"/>
        <v>267289.00482390239</v>
      </c>
      <c r="AM10" s="22">
        <f t="shared" si="2"/>
        <v>273117.4157379159</v>
      </c>
      <c r="AN10" s="22">
        <f t="shared" si="2"/>
        <v>278616.05398032442</v>
      </c>
      <c r="AO10" s="22">
        <f t="shared" si="2"/>
        <v>284468.19752336596</v>
      </c>
      <c r="AP10" s="22">
        <f t="shared" si="2"/>
        <v>289742.9986078142</v>
      </c>
      <c r="AQ10" s="22">
        <f t="shared" si="2"/>
        <v>295094.38082749723</v>
      </c>
      <c r="AR10" s="22">
        <f t="shared" si="2"/>
        <v>299243.5056639337</v>
      </c>
      <c r="AS10" s="22">
        <f t="shared" si="2"/>
        <v>303786.55789282825</v>
      </c>
      <c r="AT10" s="22">
        <f t="shared" si="2"/>
        <v>308328.00090078148</v>
      </c>
      <c r="AU10" s="22">
        <f t="shared" si="2"/>
        <v>304772.66612637718</v>
      </c>
      <c r="AV10" s="22">
        <f t="shared" si="2"/>
        <v>-72590.190198607714</v>
      </c>
      <c r="AW10" s="22">
        <f t="shared" si="2"/>
        <v>-71583.824887477997</v>
      </c>
      <c r="AX10" s="22">
        <f t="shared" si="2"/>
        <v>-70568.102448048536</v>
      </c>
      <c r="AY10" s="22">
        <f t="shared" si="2"/>
        <v>-69542.911566729017</v>
      </c>
      <c r="AZ10" s="22">
        <f t="shared" si="2"/>
        <v>-68508.139801576443</v>
      </c>
      <c r="BA10" s="22">
        <f t="shared" si="2"/>
        <v>-67463.673571740044</v>
      </c>
      <c r="BB10" s="22">
        <f t="shared" si="2"/>
        <v>-66703.257977084431</v>
      </c>
      <c r="BC10" s="22">
        <f t="shared" si="2"/>
        <v>-65936.719783513749</v>
      </c>
      <c r="BD10" s="22">
        <f t="shared" si="2"/>
        <v>-65163.997024950047</v>
      </c>
      <c r="BE10" s="22">
        <f t="shared" si="2"/>
        <v>-64385.027201764635</v>
      </c>
      <c r="BF10" s="22">
        <f t="shared" si="2"/>
        <v>-63599.74727654102</v>
      </c>
      <c r="BG10" s="22">
        <f t="shared" si="2"/>
        <v>-62765.407203338284</v>
      </c>
      <c r="BH10" s="22">
        <f t="shared" si="2"/>
        <v>-61925.561500758806</v>
      </c>
      <c r="BI10" s="22">
        <f t="shared" si="2"/>
        <v>-61080.165401511302</v>
      </c>
      <c r="BJ10" s="22">
        <f t="shared" si="2"/>
        <v>-60229.173824718164</v>
      </c>
      <c r="BK10" s="22">
        <f t="shared" si="2"/>
        <v>-59372.541373880347</v>
      </c>
      <c r="BL10">
        <v>417734.0603832996</v>
      </c>
    </row>
    <row r="11" spans="1:67" x14ac:dyDescent="0.25">
      <c r="A11" t="s">
        <v>847</v>
      </c>
      <c r="B11" t="s">
        <v>815</v>
      </c>
      <c r="C11" s="22">
        <f>Data!C15</f>
        <v>53.402776152243625</v>
      </c>
      <c r="D11" s="22">
        <f>Data!D15</f>
        <v>48.956276991169453</v>
      </c>
      <c r="E11" s="22">
        <f>Data!E15</f>
        <v>47.194598436389484</v>
      </c>
      <c r="F11" s="22">
        <f>Data!F15</f>
        <v>45.863112391930834</v>
      </c>
      <c r="G11" s="22">
        <f>Data!G15</f>
        <v>49.897391548242332</v>
      </c>
      <c r="H11" s="22">
        <f>Data!H15</f>
        <v>60.053089373680507</v>
      </c>
      <c r="I11" s="22">
        <f>Data!I15</f>
        <v>62.291011552550017</v>
      </c>
      <c r="J11" s="22">
        <f>Data!J15</f>
        <v>65.440741583257505</v>
      </c>
      <c r="K11" s="22">
        <f>Data!K15</f>
        <v>68.203390806251974</v>
      </c>
      <c r="L11" s="22">
        <f>Data!L15</f>
        <v>66.6343560680086</v>
      </c>
      <c r="M11" s="22">
        <f>Data!M15</f>
        <v>51.89867801106994</v>
      </c>
      <c r="N11" s="22">
        <f>Data!N15</f>
        <v>61.355058445273968</v>
      </c>
      <c r="O11" s="22">
        <f>Data!O15</f>
        <v>57.102047934625539</v>
      </c>
      <c r="P11" s="22">
        <f>Data!P15</f>
        <v>55.049415403359966</v>
      </c>
      <c r="Q11" s="22">
        <f>Data!Q15</f>
        <v>52.98274497388001</v>
      </c>
      <c r="R11" s="22">
        <f>Data!R15</f>
        <v>49.327893584921696</v>
      </c>
      <c r="S11" s="22">
        <f>Data!S15</f>
        <v>41.133098803189135</v>
      </c>
      <c r="T11" s="22">
        <f>Data!T15</f>
        <v>39.914690371156588</v>
      </c>
      <c r="U11" s="22">
        <f>Data!U15</f>
        <v>43.655274140297507</v>
      </c>
      <c r="V11" s="22">
        <f>Data!V15</f>
        <v>41.61781844154757</v>
      </c>
      <c r="W11" s="22">
        <f>Data!W15</f>
        <v>37.11227193067338</v>
      </c>
      <c r="X11" s="22">
        <f>Data!X15</f>
        <v>37.868331005777812</v>
      </c>
      <c r="Y11" s="101">
        <f>IF($Y$1="Off",((Data!$AJ$15*LN('Net zero Intermediate calcs'!Y2))+Data!$AK$15),IF($Y$1="PQ",'Net zero supporting data'!B100,IF($Y$1="GS",'Net zero supporting data'!B64,'Net zero supporting data'!B83)))</f>
        <v>40.8467048596981</v>
      </c>
      <c r="Z11" s="101">
        <f>IF($Y$1="Off",((Data!$AJ$15*LN('Net zero Intermediate calcs'!Z2))+Data!$AK$15),IF($Y$1="PQ",'Net zero supporting data'!C100,IF($Y$1="GS",'Net zero supporting data'!C64,'Net zero supporting data'!C83)))</f>
        <v>40.12921467335272</v>
      </c>
      <c r="AA11" s="101">
        <f>IF($Y$1="Off",((Data!$AJ$15*LN('Net zero Intermediate calcs'!AA2))+Data!$AK$15),IF($Y$1="PQ",'Net zero supporting data'!D100,IF($Y$1="GS",'Net zero supporting data'!D64,'Net zero supporting data'!D83)))</f>
        <v>39.455236242525764</v>
      </c>
      <c r="AB11" s="101">
        <f>IF($Y$1="Off",((Data!$AJ$15*LN('Net zero Intermediate calcs'!AB2))+Data!$AK$15),IF($Y$1="PQ",'Net zero supporting data'!E100,IF($Y$1="GS",'Net zero supporting data'!E64,'Net zero supporting data'!E83)))</f>
        <v>38.819792475386876</v>
      </c>
      <c r="AC11" s="101">
        <f>IF($Y$1="Off",((Data!$AJ$15*LN('Net zero Intermediate calcs'!AC2))+Data!$AK$15),IF($Y$1="PQ",'Net zero supporting data'!F100,IF($Y$1="GS",'Net zero supporting data'!F64,'Net zero supporting data'!F83)))</f>
        <v>38.218714235901089</v>
      </c>
      <c r="AD11" s="101">
        <f>IF($Y$1="Off",((Data!$AJ$15*LN('Net zero Intermediate calcs'!AD2))+Data!$AK$15),IF($Y$1="PQ",'Net zero supporting data'!G100,IF($Y$1="GS",'Net zero supporting data'!G64,'Net zero supporting data'!G83)))</f>
        <v>37.648474405491221</v>
      </c>
      <c r="AE11" s="101">
        <f>IF($Y$1="Off",((Data!$AJ$15*LN('Net zero Intermediate calcs'!AE2))+Data!$AK$15),IF($Y$1="PQ",'Net zero supporting data'!H100,IF($Y$1="GS",'Net zero supporting data'!H64,'Net zero supporting data'!H83)))</f>
        <v>37.106062472823481</v>
      </c>
      <c r="AF11" s="101">
        <f>IF($Y$1="Off",((Data!$AJ$15*LN('Net zero Intermediate calcs'!AF2))+Data!$AK$15),IF($Y$1="PQ",'Net zero supporting data'!I100,IF($Y$1="GS",'Net zero supporting data'!I64,'Net zero supporting data'!I83)))</f>
        <v>36.588888324758926</v>
      </c>
      <c r="AG11" s="101">
        <f>IF($Y$1="Off",((Data!$AJ$15*LN('Net zero Intermediate calcs'!AG2))+Data!$AK$15),IF($Y$1="PQ",'Net zero supporting data'!J100,IF($Y$1="GS",'Net zero supporting data'!J64,'Net zero supporting data'!J83)))</f>
        <v>36.094707441029918</v>
      </c>
      <c r="AH11" s="101">
        <f>IF($Y$1="Off",((Data!$AJ$15*LN('Net zero Intermediate calcs'!AH2))+Data!$AK$15),IF($Y$1="PQ",'Net zero supporting data'!K100,IF($Y$1="GS",'Net zero supporting data'!K64,'Net zero supporting data'!K83)))</f>
        <v>35.336589525010552</v>
      </c>
      <c r="AI11" s="101">
        <f>IF($Y$1="Off",((Data!$AJ$15*LN('Net zero Intermediate calcs'!AI2))+Data!$AK$15),IF($Y$1="PQ",'Net zero supporting data'!L100,IF($Y$1="GS",'Net zero supporting data'!L64,'Net zero supporting data'!L83)))</f>
        <v>34.605050391427653</v>
      </c>
      <c r="AJ11" s="101">
        <f>IF($Y$1="Off",((Data!$AJ$15*LN('Net zero Intermediate calcs'!AJ2))+Data!$AK$15),IF($Y$1="PQ",'Net zero supporting data'!M100,IF($Y$1="GS",'Net zero supporting data'!M64,'Net zero supporting data'!M83)))</f>
        <v>33.898147088316975</v>
      </c>
      <c r="AK11" s="101">
        <f>IF($Y$1="Off",((Data!$AJ$15*LN('Net zero Intermediate calcs'!AK2))+Data!$AK$15),IF($Y$1="PQ",'Net zero supporting data'!N100,IF($Y$1="GS",'Net zero supporting data'!N64,'Net zero supporting data'!N83)))</f>
        <v>33.21415134887129</v>
      </c>
      <c r="AL11" s="101">
        <f>IF($Y$1="Off",((Data!$AJ$15*LN('Net zero Intermediate calcs'!AL2))+Data!$AK$15),IF($Y$1="PQ",'Net zero supporting data'!O100,IF($Y$1="GS",'Net zero supporting data'!O64,'Net zero supporting data'!O83)))</f>
        <v>32.551518737871938</v>
      </c>
      <c r="AM11" s="101">
        <f>IF($Y$1="Off",((Data!$AJ$15*LN('Net zero Intermediate calcs'!AM2))+Data!$AK$15),IF($Y$1="PQ",'Net zero supporting data'!P100,IF($Y$1="GS",'Net zero supporting data'!P64,'Net zero supporting data'!P83)))</f>
        <v>31.908863173368985</v>
      </c>
      <c r="AN11" s="101">
        <f>IF($Y$1="Off",((Data!$AJ$15*LN('Net zero Intermediate calcs'!AN2))+Data!$AK$15),IF($Y$1="PQ",'Net zero supporting data'!Q100,IF($Y$1="GS",'Net zero supporting data'!Q64,'Net zero supporting data'!Q83)))</f>
        <v>31.284935735132656</v>
      </c>
      <c r="AO11" s="101">
        <f>IF($Y$1="Off",((Data!$AJ$15*LN('Net zero Intermediate calcs'!AO2))+Data!$AK$15),IF($Y$1="PQ",'Net zero supporting data'!R100,IF($Y$1="GS",'Net zero supporting data'!R64,'Net zero supporting data'!R83)))</f>
        <v>30.678606920494495</v>
      </c>
      <c r="AP11" s="101">
        <f>IF($Y$1="Off",((Data!$AJ$15*LN('Net zero Intermediate calcs'!AP2))+Data!$AK$15),IF($Y$1="PQ",'Net zero supporting data'!S100,IF($Y$1="GS",'Net zero supporting data'!S64,'Net zero supporting data'!S83)))</f>
        <v>30.08885169415105</v>
      </c>
      <c r="AQ11" s="101">
        <f>IF($Y$1="Off",((Data!$AJ$15*LN('Net zero Intermediate calcs'!AQ2))+Data!$AK$15),IF($Y$1="PQ",'Net zero supporting data'!T100,IF($Y$1="GS",'Net zero supporting data'!T64,'Net zero supporting data'!T83)))</f>
        <v>29.514736818779308</v>
      </c>
      <c r="AR11" s="101">
        <f>IF($Y$1="Off",((Data!$AJ$15*LN('Net zero Intermediate calcs'!AR2))+Data!$AK$15),IF($Y$1="PQ",'Net zero supporting data'!U100,IF($Y$1="GS",'Net zero supporting data'!U64,'Net zero supporting data'!U83)))</f>
        <v>29.161780855550244</v>
      </c>
      <c r="AS11" s="101">
        <f>IF($Y$1="Off",((Data!$AJ$15*LN('Net zero Intermediate calcs'!AS2))+Data!$AK$15),IF($Y$1="PQ",'Net zero supporting data'!V100,IF($Y$1="GS",'Net zero supporting data'!V64,'Net zero supporting data'!V83)))</f>
        <v>28.818643135442436</v>
      </c>
      <c r="AT11" s="101">
        <f>IF($Y$1="Off",((Data!$AJ$15*LN('Net zero Intermediate calcs'!AT2))+Data!$AK$15),IF($Y$1="PQ",'Net zero supporting data'!W100,IF($Y$1="GS",'Net zero supporting data'!W64,'Net zero supporting data'!W83)))</f>
        <v>28.484784027326153</v>
      </c>
      <c r="AU11" s="101">
        <f>IF($Y$1="Off",((Data!$AJ$15*LN('Net zero Intermediate calcs'!AU2))+Data!$AK$15),IF($Y$1="PQ",'Net zero supporting data'!X100,IF($Y$1="GS",'Net zero supporting data'!X64,'Net zero supporting data'!X83)))</f>
        <v>28.159707891491554</v>
      </c>
      <c r="AV11" s="101">
        <f>IF($Y$1="Off",((Data!$AJ$15*LN('Net zero Intermediate calcs'!AV2))+Data!$AK$15),IF($Y$1="PQ",'Net zero supporting data'!Y100,IF($Y$1="GS",'Net zero supporting data'!Y64,'Net zero supporting data'!Y83)))</f>
        <v>27.84295840568835</v>
      </c>
      <c r="AW11" s="101">
        <f>IF($Y$1="Off",((Data!$AJ$15*LN('Net zero Intermediate calcs'!AW2))+Data!$AK$15),IF($Y$1="PQ",'Net zero supporting data'!Z100,IF($Y$1="GS",'Net zero supporting data'!Z64,'Net zero supporting data'!Z83)))</f>
        <v>27.53411449683864</v>
      </c>
      <c r="AX11" s="101">
        <f>IF($Y$1="Off",((Data!$AJ$15*LN('Net zero Intermediate calcs'!AX2))+Data!$AK$15),IF($Y$1="PQ",'Net zero supporting data'!AA100,IF($Y$1="GS",'Net zero supporting data'!AA64,'Net zero supporting data'!AA83)))</f>
        <v>27.232786786542011</v>
      </c>
      <c r="AY11" s="101">
        <f>IF($Y$1="Off",((Data!$AJ$15*LN('Net zero Intermediate calcs'!AY2))+Data!$AK$15),IF($Y$1="PQ",'Net zero supporting data'!AB100,IF($Y$1="GS",'Net zero supporting data'!AB64,'Net zero supporting data'!AB83)))</f>
        <v>26.938614474360485</v>
      </c>
      <c r="AZ11" s="101">
        <f>IF($Y$1="Off",((Data!$AJ$15*LN('Net zero Intermediate calcs'!AZ2))+Data!$AK$15),IF($Y$1="PQ",'Net zero supporting data'!AC100,IF($Y$1="GS",'Net zero supporting data'!AC64,'Net zero supporting data'!AC83)))</f>
        <v>26.65126259568137</v>
      </c>
      <c r="BA11" s="101">
        <f>IF($Y$1="Off",((Data!$AJ$15*LN('Net zero Intermediate calcs'!BA2))+Data!$AK$15),IF($Y$1="PQ",'Net zero supporting data'!AD100,IF($Y$1="GS",'Net zero supporting data'!AD64,'Net zero supporting data'!AD83)))</f>
        <v>26.370419601356595</v>
      </c>
      <c r="BB11" s="101">
        <f>IF($Y$1="Off",((Data!$AJ$15*LN('Net zero Intermediate calcs'!BB2))+Data!$AK$15),IF($Y$1="PQ",'Net zero supporting data'!AE100,IF($Y$1="GS",'Net zero supporting data'!AE64,'Net zero supporting data'!AE83)))</f>
        <v>26.095795214805722</v>
      </c>
      <c r="BC11" s="101">
        <f>IF($Y$1="Off",((Data!$AJ$15*LN('Net zero Intermediate calcs'!BC2))+Data!$AK$15),IF($Y$1="PQ",'Net zero supporting data'!AF100,IF($Y$1="GS",'Net zero supporting data'!AF64,'Net zero supporting data'!AF83)))</f>
        <v>25.827118529233481</v>
      </c>
      <c r="BD11" s="101">
        <f>IF($Y$1="Off",((Data!$AJ$15*LN('Net zero Intermediate calcs'!BD2))+Data!$AK$15),IF($Y$1="PQ",'Net zero supporting data'!AG100,IF($Y$1="GS",'Net zero supporting data'!AG64,'Net zero supporting data'!AG83)))</f>
        <v>25.564136313352602</v>
      </c>
      <c r="BE11" s="101">
        <f>IF($Y$1="Off",((Data!$AJ$15*LN('Net zero Intermediate calcs'!BE2))+Data!$AK$15),IF($Y$1="PQ",'Net zero supporting data'!AH100,IF($Y$1="GS",'Net zero supporting data'!AH64,'Net zero supporting data'!AH83)))</f>
        <v>25.306611498755704</v>
      </c>
      <c r="BF11" s="101">
        <f>IF($Y$1="Off",((Data!$AJ$15*LN('Net zero Intermediate calcs'!BF2))+Data!$AK$15),IF($Y$1="PQ",'Net zero supporting data'!AI100,IF($Y$1="GS",'Net zero supporting data'!AI64,'Net zero supporting data'!AI83)))</f>
        <v>25.054321826033341</v>
      </c>
      <c r="BG11" s="101">
        <f>IF($Y$1="Off",((Data!$AJ$15*LN('Net zero Intermediate calcs'!BG2))+Data!$AK$15),IF($Y$1="PQ",'Net zero supporting data'!AJ100,IF($Y$1="GS",'Net zero supporting data'!AJ64,'Net zero supporting data'!AJ83)))</f>
        <v>24.807058630036913</v>
      </c>
      <c r="BH11" s="101">
        <f>IF($Y$1="Off",((Data!$AJ$15*LN('Net zero Intermediate calcs'!BH2))+Data!$AK$15),IF($Y$1="PQ",'Net zero supporting data'!AK100,IF($Y$1="GS",'Net zero supporting data'!AK64,'Net zero supporting data'!AK83)))</f>
        <v>24.564625747453231</v>
      </c>
      <c r="BI11" s="101">
        <f>IF($Y$1="Off",((Data!$AJ$15*LN('Net zero Intermediate calcs'!BI2))+Data!$AK$15),IF($Y$1="PQ",'Net zero supporting data'!AL100,IF($Y$1="GS",'Net zero supporting data'!AL64,'Net zero supporting data'!AL83)))</f>
        <v>24.326838532188276</v>
      </c>
      <c r="BJ11" s="101">
        <f>IF($Y$1="Off",((Data!$AJ$15*LN('Net zero Intermediate calcs'!BJ2))+Data!$AK$15),IF($Y$1="PQ",'Net zero supporting data'!AM100,IF($Y$1="GS",'Net zero supporting data'!AM64,'Net zero supporting data'!AM83)))</f>
        <v>24.09352296602588</v>
      </c>
      <c r="BK11" s="101">
        <f>IF($Y$1="Off",((Data!$AJ$15*LN('Net zero Intermediate calcs'!BK2))+Data!$AK$15),IF($Y$1="PQ",'Net zero supporting data'!AN100,IF($Y$1="GS",'Net zero supporting data'!AN64,'Net zero supporting data'!AN83)))</f>
        <v>23.864514853696082</v>
      </c>
      <c r="BL11">
        <v>26.72186953300141</v>
      </c>
    </row>
    <row r="12" spans="1:67" x14ac:dyDescent="0.25">
      <c r="A12" t="s">
        <v>328</v>
      </c>
      <c r="B12" t="s">
        <v>321</v>
      </c>
      <c r="C12" s="22">
        <v>1167000</v>
      </c>
      <c r="D12" s="22">
        <v>1153000</v>
      </c>
      <c r="E12" s="22">
        <v>1174000</v>
      </c>
      <c r="F12" s="22">
        <v>1092000</v>
      </c>
      <c r="G12" s="22">
        <v>1088000</v>
      </c>
      <c r="H12" s="22">
        <v>1397000</v>
      </c>
      <c r="I12" s="22">
        <v>1487000</v>
      </c>
      <c r="J12" s="22">
        <v>1571000</v>
      </c>
      <c r="K12" s="22">
        <v>1608000</v>
      </c>
      <c r="L12" s="22">
        <v>1606000</v>
      </c>
      <c r="M12" s="22">
        <v>1284000</v>
      </c>
      <c r="N12" s="22">
        <v>1575000</v>
      </c>
      <c r="O12" s="22">
        <v>1611000</v>
      </c>
      <c r="P12" s="22">
        <v>1528000</v>
      </c>
      <c r="Q12" s="22">
        <v>1626000</v>
      </c>
      <c r="R12" s="22">
        <v>1835000</v>
      </c>
      <c r="S12" s="22">
        <v>1697000</v>
      </c>
      <c r="T12" s="22">
        <v>1799000</v>
      </c>
      <c r="U12" s="22">
        <v>1819000</v>
      </c>
      <c r="V12" s="22">
        <v>1788000</v>
      </c>
      <c r="W12" s="22">
        <v>1868000</v>
      </c>
      <c r="X12" s="22">
        <v>1852000</v>
      </c>
      <c r="Y12" s="22">
        <f>((Data!$AJ$6*'Net zero Intermediate calcs'!Y4)+Data!$AK$6)*Drivers!Z4</f>
        <v>1957023.7595079648</v>
      </c>
      <c r="Z12" s="22">
        <f>((Data!$AJ$6*'Net zero Intermediate calcs'!Z4)+Data!$AK$6)*Drivers!AA4</f>
        <v>1995671.3582799074</v>
      </c>
      <c r="AA12" s="22">
        <f>((Data!$AJ$6*'Net zero Intermediate calcs'!AA4)+Data!$AK$6)*Drivers!AB4</f>
        <v>2028415.002150987</v>
      </c>
      <c r="AB12" s="22">
        <f>((Data!$AJ$6*'Net zero Intermediate calcs'!AB4)+Data!$AK$6)*Drivers!AC4</f>
        <v>2052566.1021085475</v>
      </c>
      <c r="AC12" s="22">
        <f>((Data!$AJ$6*'Net zero Intermediate calcs'!AC4)+Data!$AK$6)*Drivers!AD4</f>
        <v>2077226.3013354556</v>
      </c>
      <c r="AD12" s="22">
        <f>((Data!$AJ$6*'Net zero Intermediate calcs'!AD4)+Data!$AK$6)*Drivers!AE4</f>
        <v>2107076.878154288</v>
      </c>
      <c r="AE12" s="22">
        <f>((Data!$AJ$6*'Net zero Intermediate calcs'!AE4)+Data!$AK$6)*Drivers!AF4</f>
        <v>2138551.6040912457</v>
      </c>
      <c r="AF12" s="22">
        <f>((Data!$AJ$6*'Net zero Intermediate calcs'!AF4)+Data!$AK$6)*Drivers!AG4</f>
        <v>2160390.7780634579</v>
      </c>
      <c r="AG12" s="22">
        <f>((Data!$AJ$6*'Net zero Intermediate calcs'!AG4)+Data!$AK$6)*Drivers!AH4</f>
        <v>2090688.0394245391</v>
      </c>
      <c r="AH12" s="22">
        <f>((Data!$AJ$6*'Net zero Intermediate calcs'!AH4)+Data!$AK$6)*Drivers!AI4</f>
        <v>2129749.7526039947</v>
      </c>
      <c r="AI12" s="22">
        <f>((Data!$AJ$6*'Net zero Intermediate calcs'!AI4)+Data!$AK$6)*Drivers!AJ4</f>
        <v>2166687.7748866216</v>
      </c>
      <c r="AJ12" s="22">
        <f>((Data!$AJ$6*'Net zero Intermediate calcs'!AJ4)+Data!$AK$6)*Drivers!AK4</f>
        <v>2203940.1860502358</v>
      </c>
      <c r="AK12" s="22">
        <f>((Data!$AJ$6*'Net zero Intermediate calcs'!AK4)+Data!$AK$6)*Drivers!AL4</f>
        <v>2245452.9798882566</v>
      </c>
      <c r="AL12" s="22">
        <f>((Data!$AJ$6*'Net zero Intermediate calcs'!AL4)+Data!$AK$6)*Drivers!AM4</f>
        <v>2287331.0205952348</v>
      </c>
      <c r="AM12" s="22">
        <f>((Data!$AJ$6*'Net zero Intermediate calcs'!AM4)+Data!$AK$6)*Drivers!AN4</f>
        <v>2328390.225298021</v>
      </c>
      <c r="AN12" s="22">
        <f>((Data!$AJ$6*'Net zero Intermediate calcs'!AN4)+Data!$AK$6)*Drivers!AO4</f>
        <v>2368817.7004039111</v>
      </c>
      <c r="AO12" s="22">
        <f>((Data!$AJ$6*'Net zero Intermediate calcs'!AO4)+Data!$AK$6)*Drivers!AP4</f>
        <v>2411153.4271528288</v>
      </c>
      <c r="AP12" s="22">
        <f>((Data!$AJ$6*'Net zero Intermediate calcs'!AP4)+Data!$AK$6)*Drivers!AQ4</f>
        <v>2451930.4180862186</v>
      </c>
      <c r="AQ12" s="22">
        <f>((Data!$AJ$6*'Net zero Intermediate calcs'!AQ4)+Data!$AK$6)*Drivers!AR4</f>
        <v>2493596.0668305708</v>
      </c>
      <c r="AR12" s="22">
        <f>((Data!$AJ$6*'Net zero Intermediate calcs'!AR4)+Data!$AK$6)*Drivers!AS4</f>
        <v>2539353.5909946011</v>
      </c>
      <c r="AS12" s="22">
        <f>((Data!$AJ$6*'Net zero Intermediate calcs'!AS4)+Data!$AK$6)*Drivers!AT4</f>
        <v>2587962.600034771</v>
      </c>
      <c r="AT12" s="22">
        <f>((Data!$AJ$6*'Net zero Intermediate calcs'!AT4)+Data!$AK$6)*Drivers!AU4</f>
        <v>2637984.9488330125</v>
      </c>
      <c r="AU12" s="22">
        <f>((Data!$AJ$6*'Net zero Intermediate calcs'!AU4)+Data!$AK$6)*Drivers!AV4</f>
        <v>2656490.3893157337</v>
      </c>
      <c r="AV12" s="22">
        <f>((Data!$AJ$6*'Net zero Intermediate calcs'!AV4)+Data!$AK$6)*Drivers!AW4</f>
        <v>1123743.8210302582</v>
      </c>
      <c r="AW12" s="22">
        <f>((Data!$AJ$6*'Net zero Intermediate calcs'!AW4)+Data!$AK$6)*Drivers!AX4</f>
        <v>1131970.9253432702</v>
      </c>
      <c r="AX12" s="22">
        <f>((Data!$AJ$6*'Net zero Intermediate calcs'!AX4)+Data!$AK$6)*Drivers!AY4</f>
        <v>1140258.261574012</v>
      </c>
      <c r="AY12" s="22">
        <f>((Data!$AJ$6*'Net zero Intermediate calcs'!AY4)+Data!$AK$6)*Drivers!AZ4</f>
        <v>1148606.270689775</v>
      </c>
      <c r="AZ12" s="22">
        <f>((Data!$AJ$6*'Net zero Intermediate calcs'!AZ4)+Data!$AK$6)*Drivers!BA4</f>
        <v>1157015.396886243</v>
      </c>
      <c r="BA12" s="22">
        <f>((Data!$AJ$6*'Net zero Intermediate calcs'!BA4)+Data!$AK$6)*Drivers!BB4</f>
        <v>1165486.0876111249</v>
      </c>
      <c r="BB12" s="22">
        <f>((Data!$AJ$6*'Net zero Intermediate calcs'!BB4)+Data!$AK$6)*Drivers!BC4</f>
        <v>1172724.8395563955</v>
      </c>
      <c r="BC12" s="22">
        <f>((Data!$AJ$6*'Net zero Intermediate calcs'!BC4)+Data!$AK$6)*Drivers!BD4</f>
        <v>1180008.5508798021</v>
      </c>
      <c r="BD12" s="22">
        <f>((Data!$AJ$6*'Net zero Intermediate calcs'!BD4)+Data!$AK$6)*Drivers!BE4</f>
        <v>1187337.5008208733</v>
      </c>
      <c r="BE12" s="22">
        <f>((Data!$AJ$6*'Net zero Intermediate calcs'!BE4)+Data!$AK$6)*Drivers!BF4</f>
        <v>1194711.9703534755</v>
      </c>
      <c r="BF12" s="22">
        <f>((Data!$AJ$6*'Net zero Intermediate calcs'!BF4)+Data!$AK$6)*Drivers!BG4</f>
        <v>1202132.2421965827</v>
      </c>
      <c r="BG12" s="22">
        <f>((Data!$AJ$6*'Net zero Intermediate calcs'!BG4)+Data!$AK$6)*Drivers!BH4</f>
        <v>1208268.9349286</v>
      </c>
      <c r="BH12" s="22">
        <f>((Data!$AJ$6*'Net zero Intermediate calcs'!BH4)+Data!$AK$6)*Drivers!BI4</f>
        <v>1214436.9544950251</v>
      </c>
      <c r="BI12" s="22">
        <f>((Data!$AJ$6*'Net zero Intermediate calcs'!BI4)+Data!$AK$6)*Drivers!BJ4</f>
        <v>1220636.4608143342</v>
      </c>
      <c r="BJ12" s="22">
        <f>((Data!$AJ$6*'Net zero Intermediate calcs'!BJ4)+Data!$AK$6)*Drivers!BK4</f>
        <v>1226867.6146213626</v>
      </c>
      <c r="BK12" s="22">
        <f>((Data!$AJ$6*'Net zero Intermediate calcs'!BK4)+Data!$AK$6)*Drivers!BL4</f>
        <v>1233130.5774714709</v>
      </c>
      <c r="BL12">
        <v>3795265.5831033587</v>
      </c>
    </row>
    <row r="13" spans="1:67" x14ac:dyDescent="0.25">
      <c r="A13" t="s">
        <v>328</v>
      </c>
      <c r="B13" t="s">
        <v>663</v>
      </c>
      <c r="C13" s="51">
        <f>C12*ttokg/Drivers!D4</f>
        <v>31.711517903189872</v>
      </c>
      <c r="D13" s="51">
        <f>D12*ttokg/Drivers!E4</f>
        <v>30.568189199328188</v>
      </c>
      <c r="E13" s="51">
        <f>E12*ttokg/Drivers!F4</f>
        <v>30.357405178295842</v>
      </c>
      <c r="F13" s="51">
        <f>F12*ttokg/Drivers!G4</f>
        <v>27.552275522755227</v>
      </c>
      <c r="G13" s="51">
        <f>G12*ttokg/Drivers!H4</f>
        <v>26.821773432486133</v>
      </c>
      <c r="H13" s="51">
        <f>H12*ttokg/Drivers!I4</f>
        <v>33.714841176550941</v>
      </c>
      <c r="I13" s="51">
        <f>I12*ttokg/Drivers!J4</f>
        <v>35.202755918886503</v>
      </c>
      <c r="J13" s="51">
        <f>J12*ttokg/Drivers!K4</f>
        <v>36.545540570539863</v>
      </c>
      <c r="K13" s="51">
        <f>K12*ttokg/Drivers!L4</f>
        <v>36.811282200142578</v>
      </c>
      <c r="L13" s="51">
        <f>L12*ttokg/Drivers!M4</f>
        <v>36.22130749763248</v>
      </c>
      <c r="M13" s="51">
        <f>M12*ttokg/Drivers!N4</f>
        <v>28.553823557117923</v>
      </c>
      <c r="N13" s="51">
        <f>N12*ttokg/Drivers!O4</f>
        <v>34.561245753190924</v>
      </c>
      <c r="O13" s="51">
        <f>O12*ttokg/Drivers!P4</f>
        <v>34.907218411908772</v>
      </c>
      <c r="P13" s="51">
        <f>P12*ttokg/Drivers!Q4</f>
        <v>32.706042287200319</v>
      </c>
      <c r="Q13" s="51">
        <f>Q12*ttokg/Drivers!R4</f>
        <v>34.38242005294385</v>
      </c>
      <c r="R13" s="51">
        <f>R12*ttokg/Drivers!S4</f>
        <v>38.324498057156802</v>
      </c>
      <c r="S13" s="51">
        <f>S12*ttokg/Drivers!T4</f>
        <v>34.997297041404401</v>
      </c>
      <c r="T13" s="51">
        <f>T12*ttokg/Drivers!U4</f>
        <v>36.624772527894528</v>
      </c>
      <c r="U13" s="51">
        <f>U12*ttokg/Drivers!V4</f>
        <v>36.541167743626687</v>
      </c>
      <c r="V13" s="51">
        <f>V12*ttokg/Drivers!W4</f>
        <v>35.422065700364072</v>
      </c>
      <c r="W13" s="51">
        <f>W12*ttokg/Drivers!X4</f>
        <v>36.472290704306488</v>
      </c>
      <c r="X13" s="51">
        <f>X12*ttokg/Drivers!Y4</f>
        <v>35.612527394917471</v>
      </c>
      <c r="Y13" s="51">
        <f>Y12*ttokg/Drivers!Z4</f>
        <v>37.401004668583674</v>
      </c>
      <c r="Z13" s="51">
        <f>Z12*ttokg/Drivers!AA4</f>
        <v>37.580160347815422</v>
      </c>
      <c r="AA13" s="51">
        <f>AA12*ttokg/Drivers!AB4</f>
        <v>37.62429965994712</v>
      </c>
      <c r="AB13" s="51">
        <f>AB12*ttokg/Drivers!AC4</f>
        <v>37.489455299384034</v>
      </c>
      <c r="AC13" s="51">
        <f>AC12*ttokg/Drivers!AD4</f>
        <v>37.346791164985184</v>
      </c>
      <c r="AD13" s="51">
        <f>AD12*ttokg/Drivers!AE4</f>
        <v>37.278914672256029</v>
      </c>
      <c r="AE13" s="51">
        <f>AE12*ttokg/Drivers!AF4</f>
        <v>37.233644075265161</v>
      </c>
      <c r="AF13" s="51">
        <f>AF12*ttokg/Drivers!AG4</f>
        <v>37.015281221258199</v>
      </c>
      <c r="AG13" s="51">
        <f>AG12*ttokg/Drivers!AH4</f>
        <v>35.250956300409584</v>
      </c>
      <c r="AH13" s="51">
        <f>AH12*ttokg/Drivers!AI4</f>
        <v>35.500810891409742</v>
      </c>
      <c r="AI13" s="51">
        <f>AI12*ttokg/Drivers!AJ4</f>
        <v>35.705412739103899</v>
      </c>
      <c r="AJ13" s="51">
        <f>AJ12*ttokg/Drivers!AK4</f>
        <v>35.905878479632698</v>
      </c>
      <c r="AK13" s="51">
        <f>AK12*ttokg/Drivers!AL4</f>
        <v>36.165772528518438</v>
      </c>
      <c r="AL13" s="51">
        <f>AL12*ttokg/Drivers!AM4</f>
        <v>36.420913052650107</v>
      </c>
      <c r="AM13" s="51">
        <f>AM12*ttokg/Drivers!AN4</f>
        <v>36.713199514103358</v>
      </c>
      <c r="AN13" s="51">
        <f>AN12*ttokg/Drivers!AO4</f>
        <v>36.986459799139254</v>
      </c>
      <c r="AO13" s="51">
        <f>AO12*ttokg/Drivers!AP4</f>
        <v>37.280405618867192</v>
      </c>
      <c r="AP13" s="51">
        <f>AP12*ttokg/Drivers!AQ4</f>
        <v>37.541237259900207</v>
      </c>
      <c r="AQ13" s="51">
        <f>AQ12*ttokg/Drivers!AR4</f>
        <v>37.806911641223287</v>
      </c>
      <c r="AR13" s="51">
        <f>AR12*ttokg/Drivers!AS4</f>
        <v>38.174874272572225</v>
      </c>
      <c r="AS13" s="51">
        <f>AS12*ttokg/Drivers!AT4</f>
        <v>38.576406742923979</v>
      </c>
      <c r="AT13" s="51">
        <f>AT12*ttokg/Drivers!AU4</f>
        <v>38.989299168577197</v>
      </c>
      <c r="AU13" s="51">
        <f>AU12*ttokg/Drivers!AV4</f>
        <v>38.930564732617626</v>
      </c>
      <c r="AV13" s="51">
        <f>AV12*ttokg/Drivers!AW4</f>
        <v>16.328982009704095</v>
      </c>
      <c r="AW13" s="51">
        <f>AW12*ttokg/Drivers!AX4</f>
        <v>16.328982009704095</v>
      </c>
      <c r="AX13" s="51">
        <f>AX12*ttokg/Drivers!AY4</f>
        <v>16.328982009704099</v>
      </c>
      <c r="AY13" s="51">
        <f>AY12*ttokg/Drivers!AZ4</f>
        <v>16.328982009704099</v>
      </c>
      <c r="AZ13" s="51">
        <f>AZ12*ttokg/Drivers!BA4</f>
        <v>16.328982009704099</v>
      </c>
      <c r="BA13" s="51">
        <f>BA12*ttokg/Drivers!BB4</f>
        <v>16.328982009704095</v>
      </c>
      <c r="BB13" s="51">
        <f>BB12*ttokg/Drivers!BC4</f>
        <v>16.328982009704095</v>
      </c>
      <c r="BC13" s="51">
        <f>BC12*ttokg/Drivers!BD4</f>
        <v>16.328982009704095</v>
      </c>
      <c r="BD13" s="51">
        <f>BD12*ttokg/Drivers!BE4</f>
        <v>16.328982009704095</v>
      </c>
      <c r="BE13" s="51">
        <f>BE12*ttokg/Drivers!BF4</f>
        <v>16.328982009704099</v>
      </c>
      <c r="BF13" s="51">
        <f>BF12*ttokg/Drivers!BG4</f>
        <v>16.328982009704099</v>
      </c>
      <c r="BG13" s="51">
        <f>BG12*ttokg/Drivers!BH4</f>
        <v>16.328982009704099</v>
      </c>
      <c r="BH13" s="51">
        <f>BH12*ttokg/Drivers!BI4</f>
        <v>16.328982009704099</v>
      </c>
      <c r="BI13" s="51">
        <f>BI12*ttokg/Drivers!BJ4</f>
        <v>16.328982009704099</v>
      </c>
      <c r="BJ13" s="51">
        <f>BJ12*ttokg/Drivers!BK4</f>
        <v>16.328982009704099</v>
      </c>
      <c r="BK13" s="51">
        <f>BK12*ttokg/Drivers!BL4</f>
        <v>16.328982009704095</v>
      </c>
      <c r="BL13">
        <v>50.256436652233361</v>
      </c>
    </row>
    <row r="14" spans="1:67" x14ac:dyDescent="0.25">
      <c r="A14" t="s">
        <v>328</v>
      </c>
      <c r="B14" t="s">
        <v>322</v>
      </c>
      <c r="C14" s="51">
        <f>C12/Drivers!D4</f>
        <v>3.1711517903189872E-2</v>
      </c>
      <c r="D14" s="51">
        <f>D12/Drivers!E4</f>
        <v>3.0568189199328188E-2</v>
      </c>
      <c r="E14" s="51">
        <f>E12/Drivers!F4</f>
        <v>3.035740517829584E-2</v>
      </c>
      <c r="F14" s="51">
        <f>F12/Drivers!G4</f>
        <v>2.7552275522755229E-2</v>
      </c>
      <c r="G14" s="51">
        <f>G12/Drivers!H4</f>
        <v>2.6821773432486134E-2</v>
      </c>
      <c r="H14" s="51">
        <f>H12/Drivers!I4</f>
        <v>3.3714841176550943E-2</v>
      </c>
      <c r="I14" s="51">
        <f>I12/Drivers!J4</f>
        <v>3.5202755918886504E-2</v>
      </c>
      <c r="J14" s="51">
        <f>J12/Drivers!K4</f>
        <v>3.654554057053986E-2</v>
      </c>
      <c r="K14" s="51">
        <f>K12/Drivers!L4</f>
        <v>3.6811282200142577E-2</v>
      </c>
      <c r="L14" s="51">
        <f>L12/Drivers!M4</f>
        <v>3.6221307497632478E-2</v>
      </c>
      <c r="M14" s="51">
        <f>M12/Drivers!N4</f>
        <v>2.855382355711792E-2</v>
      </c>
      <c r="N14" s="51">
        <f>N12/Drivers!O4</f>
        <v>3.4561245753190924E-2</v>
      </c>
      <c r="O14" s="51">
        <f>O12/Drivers!P4</f>
        <v>3.4907218411908775E-2</v>
      </c>
      <c r="P14" s="51">
        <f>P12/Drivers!Q4</f>
        <v>3.2706042287200317E-2</v>
      </c>
      <c r="Q14" s="51">
        <f>Q12/Drivers!R4</f>
        <v>3.4382420052943855E-2</v>
      </c>
      <c r="R14" s="51">
        <f>R12/Drivers!S4</f>
        <v>3.8324498057156799E-2</v>
      </c>
      <c r="S14" s="51">
        <f>S12/Drivers!T4</f>
        <v>3.4997297041404404E-2</v>
      </c>
      <c r="T14" s="51">
        <f>T12/Drivers!U4</f>
        <v>3.6624772527894527E-2</v>
      </c>
      <c r="U14" s="51">
        <f>U12/Drivers!V4</f>
        <v>3.6541167743626687E-2</v>
      </c>
      <c r="V14" s="51">
        <f>V12/Drivers!W4</f>
        <v>3.5422065700364075E-2</v>
      </c>
      <c r="W14" s="51">
        <f>W12/Drivers!X4</f>
        <v>3.6472290704306486E-2</v>
      </c>
      <c r="X14" s="51">
        <f>X12/Drivers!Y4</f>
        <v>3.5612527394917472E-2</v>
      </c>
      <c r="Y14" s="22">
        <f>((Data!$AJ$6*LN('Net zero Intermediate calcs'!Y4))+Data!$AK$6)</f>
        <v>1.7853886352852486E-2</v>
      </c>
      <c r="Z14" s="22">
        <f>((Data!$AJ$6*LN('Net zero Intermediate calcs'!Z4))+Data!$AK$6)</f>
        <v>1.7857100681146033E-2</v>
      </c>
      <c r="AA14" s="22">
        <f>((Data!$AJ$6*LN('Net zero Intermediate calcs'!AA4))+Data!$AK$6)</f>
        <v>1.7857888447598568E-2</v>
      </c>
      <c r="AB14" s="22">
        <f>((Data!$AJ$6*LN('Net zero Intermediate calcs'!AB4))+Data!$AK$6)</f>
        <v>1.7855476694325325E-2</v>
      </c>
      <c r="AC14" s="22">
        <f>((Data!$AJ$6*LN('Net zero Intermediate calcs'!AC4))+Data!$AK$6)</f>
        <v>1.7852908291521391E-2</v>
      </c>
      <c r="AD14" s="22">
        <f>((Data!$AJ$6*LN('Net zero Intermediate calcs'!AD4))+Data!$AK$6)</f>
        <v>1.7851680174544225E-2</v>
      </c>
      <c r="AE14" s="22">
        <f>((Data!$AJ$6*LN('Net zero Intermediate calcs'!AE4))+Data!$AK$6)</f>
        <v>1.7850858861322823E-2</v>
      </c>
      <c r="AF14" s="22">
        <f>((Data!$AJ$6*LN('Net zero Intermediate calcs'!AF4))+Data!$AK$6)</f>
        <v>1.7846872108059277E-2</v>
      </c>
      <c r="AG14" s="22">
        <f>((Data!$AJ$6*LN('Net zero Intermediate calcs'!AG4))+Data!$AK$6)</f>
        <v>1.7813025456536551E-2</v>
      </c>
      <c r="AH14" s="22">
        <f>((Data!$AJ$6*LN('Net zero Intermediate calcs'!AH4))+Data!$AK$6)</f>
        <v>1.7818005977728969E-2</v>
      </c>
      <c r="AI14" s="22">
        <f>((Data!$AJ$6*LN('Net zero Intermediate calcs'!AI4))+Data!$AK$6)</f>
        <v>1.7822036343099628E-2</v>
      </c>
      <c r="AJ14" s="22">
        <f>((Data!$AJ$6*LN('Net zero Intermediate calcs'!AJ4))+Data!$AK$6)</f>
        <v>1.7825944167155536E-2</v>
      </c>
      <c r="AK14" s="22">
        <f>((Data!$AJ$6*LN('Net zero Intermediate calcs'!AK4))+Data!$AK$6)</f>
        <v>1.7830951323252044E-2</v>
      </c>
      <c r="AL14" s="22">
        <f>((Data!$AJ$6*LN('Net zero Intermediate calcs'!AL4))+Data!$AK$6)</f>
        <v>1.7835803487721458E-2</v>
      </c>
      <c r="AM14" s="22">
        <f>((Data!$AJ$6*LN('Net zero Intermediate calcs'!AM4))+Data!$AK$6)</f>
        <v>1.7841286921861637E-2</v>
      </c>
      <c r="AN14" s="22">
        <f>((Data!$AJ$6*LN('Net zero Intermediate calcs'!AN4))+Data!$AK$6)</f>
        <v>1.7846342760528999E-2</v>
      </c>
      <c r="AO14" s="22">
        <f>((Data!$AJ$6*LN('Net zero Intermediate calcs'!AO4))+Data!$AK$6)</f>
        <v>1.7851707193563181E-2</v>
      </c>
      <c r="AP14" s="22">
        <f>((Data!$AJ$6*LN('Net zero Intermediate calcs'!AP4))+Data!$AK$6)</f>
        <v>1.7856404651296783E-2</v>
      </c>
      <c r="AQ14" s="22">
        <f>((Data!$AJ$6*LN('Net zero Intermediate calcs'!AQ4))+Data!$AK$6)</f>
        <v>1.786113031501009E-2</v>
      </c>
      <c r="AR14" s="22">
        <f>((Data!$AJ$6*LN('Net zero Intermediate calcs'!AR4))+Data!$AK$6)</f>
        <v>1.7867579769186515E-2</v>
      </c>
      <c r="AS14" s="22">
        <f>((Data!$AJ$6*LN('Net zero Intermediate calcs'!AS4))+Data!$AK$6)</f>
        <v>1.7874494821494592E-2</v>
      </c>
      <c r="AT14" s="22">
        <f>((Data!$AJ$6*LN('Net zero Intermediate calcs'!AT4))+Data!$AK$6)</f>
        <v>1.7881476558739805E-2</v>
      </c>
      <c r="AU14" s="22">
        <f>((Data!$AJ$6*LN('Net zero Intermediate calcs'!AU4))+Data!$AK$6)</f>
        <v>1.7880491196692449E-2</v>
      </c>
      <c r="AV14" s="22" t="e">
        <f>((Data!$AJ$6*LN('Net zero Intermediate calcs'!AV4))+Data!$AK$6)</f>
        <v>#NUM!</v>
      </c>
      <c r="AW14" s="22" t="e">
        <f>((Data!$AJ$6*LN('Net zero Intermediate calcs'!AW4))+Data!$AK$6)</f>
        <v>#NUM!</v>
      </c>
      <c r="AX14" s="22" t="e">
        <f>((Data!$AJ$6*LN('Net zero Intermediate calcs'!AX4))+Data!$AK$6)</f>
        <v>#NUM!</v>
      </c>
      <c r="AY14" s="22" t="e">
        <f>((Data!$AJ$6*LN('Net zero Intermediate calcs'!AY4))+Data!$AK$6)</f>
        <v>#NUM!</v>
      </c>
      <c r="AZ14" s="22" t="e">
        <f>((Data!$AJ$6*LN('Net zero Intermediate calcs'!AZ4))+Data!$AK$6)</f>
        <v>#NUM!</v>
      </c>
      <c r="BA14" s="22" t="e">
        <f>((Data!$AJ$6*LN('Net zero Intermediate calcs'!BA4))+Data!$AK$6)</f>
        <v>#NUM!</v>
      </c>
      <c r="BB14" s="22" t="e">
        <f>((Data!$AJ$6*LN('Net zero Intermediate calcs'!BB4))+Data!$AK$6)</f>
        <v>#NUM!</v>
      </c>
      <c r="BC14" s="22" t="e">
        <f>((Data!$AJ$6*LN('Net zero Intermediate calcs'!BC4))+Data!$AK$6)</f>
        <v>#NUM!</v>
      </c>
      <c r="BD14" s="22" t="e">
        <f>((Data!$AJ$6*LN('Net zero Intermediate calcs'!BD4))+Data!$AK$6)</f>
        <v>#NUM!</v>
      </c>
      <c r="BE14" s="22" t="e">
        <f>((Data!$AJ$6*LN('Net zero Intermediate calcs'!BE4))+Data!$AK$6)</f>
        <v>#NUM!</v>
      </c>
      <c r="BF14" s="22" t="e">
        <f>((Data!$AJ$6*LN('Net zero Intermediate calcs'!BF4))+Data!$AK$6)</f>
        <v>#NUM!</v>
      </c>
      <c r="BG14" s="22" t="e">
        <f>((Data!$AJ$6*LN('Net zero Intermediate calcs'!BG4))+Data!$AK$6)</f>
        <v>#NUM!</v>
      </c>
      <c r="BH14" s="22" t="e">
        <f>((Data!$AJ$6*LN('Net zero Intermediate calcs'!BH4))+Data!$AK$6)</f>
        <v>#NUM!</v>
      </c>
      <c r="BI14" s="22" t="e">
        <f>((Data!$AJ$6*LN('Net zero Intermediate calcs'!BI4))+Data!$AK$6)</f>
        <v>#NUM!</v>
      </c>
      <c r="BJ14" s="22" t="e">
        <f>((Data!$AJ$6*LN('Net zero Intermediate calcs'!BJ4))+Data!$AK$6)</f>
        <v>#NUM!</v>
      </c>
      <c r="BK14" s="22" t="e">
        <f>((Data!$AJ$6*LN('Net zero Intermediate calcs'!BK4))+Data!$AK$6)</f>
        <v>#NUM!</v>
      </c>
      <c r="BL14">
        <v>1.8133705365528188E-2</v>
      </c>
    </row>
    <row r="15" spans="1:67" x14ac:dyDescent="0.25">
      <c r="A15" t="s">
        <v>329</v>
      </c>
      <c r="B15" t="s">
        <v>321</v>
      </c>
      <c r="C15" s="22">
        <v>2119000</v>
      </c>
      <c r="D15" s="22">
        <v>2163000</v>
      </c>
      <c r="E15" s="22">
        <v>2107000</v>
      </c>
      <c r="F15" s="22">
        <v>2002000</v>
      </c>
      <c r="G15" s="22">
        <v>2006000</v>
      </c>
      <c r="H15" s="22">
        <v>2297000</v>
      </c>
      <c r="I15" s="22">
        <v>2450000</v>
      </c>
      <c r="J15" s="22">
        <v>2437000</v>
      </c>
      <c r="K15" s="22">
        <v>2501000</v>
      </c>
      <c r="L15" s="22">
        <v>2543000</v>
      </c>
      <c r="M15" s="22">
        <v>2370000</v>
      </c>
      <c r="N15" s="22">
        <v>2358000</v>
      </c>
      <c r="O15" s="22">
        <v>2457000</v>
      </c>
      <c r="P15" s="22">
        <v>2354000</v>
      </c>
      <c r="Q15" s="22">
        <v>2505000</v>
      </c>
      <c r="R15" s="22">
        <v>2657000</v>
      </c>
      <c r="S15" s="22">
        <v>2513000</v>
      </c>
      <c r="T15" s="22">
        <v>2559000</v>
      </c>
      <c r="U15" s="22">
        <v>2625000</v>
      </c>
      <c r="V15" s="22">
        <v>2587000</v>
      </c>
      <c r="W15" s="22">
        <v>2711000</v>
      </c>
      <c r="X15" s="22">
        <v>2720000</v>
      </c>
      <c r="Y15" s="22">
        <f>((Data!$AJ$17*'Net zero Intermediate calcs'!Y12)+Data!$AK$17)</f>
        <v>2860864.3959572213</v>
      </c>
      <c r="Z15" s="22">
        <f>((Data!$AJ$17*'Net zero Intermediate calcs'!Z12)+Data!$AK$17)</f>
        <v>2903150.7609220296</v>
      </c>
      <c r="AA15" s="22">
        <f>((Data!$AJ$17*'Net zero Intermediate calcs'!AA12)+Data!$AK$17)</f>
        <v>2938977.2991548628</v>
      </c>
      <c r="AB15" s="22">
        <f>((Data!$AJ$17*'Net zero Intermediate calcs'!AB12)+Data!$AK$17)</f>
        <v>2965402.2843947839</v>
      </c>
      <c r="AC15" s="22">
        <f>((Data!$AJ$17*'Net zero Intermediate calcs'!AC12)+Data!$AK$17)</f>
        <v>2992384.3018486341</v>
      </c>
      <c r="AD15" s="22">
        <f>((Data!$AJ$17*'Net zero Intermediate calcs'!AD12)+Data!$AK$17)</f>
        <v>3025045.3836721079</v>
      </c>
      <c r="AE15" s="22">
        <f>((Data!$AJ$17*'Net zero Intermediate calcs'!AE12)+Data!$AK$17)</f>
        <v>3059483.5322357845</v>
      </c>
      <c r="AF15" s="22">
        <f>((Data!$AJ$17*'Net zero Intermediate calcs'!AF12)+Data!$AK$17)</f>
        <v>3083378.9179897206</v>
      </c>
      <c r="AG15" s="22">
        <f>((Data!$AJ$17*'Net zero Intermediate calcs'!AG12)+Data!$AK$17)</f>
        <v>3007113.4955885801</v>
      </c>
      <c r="AH15" s="22">
        <f>((Data!$AJ$17*'Net zero Intermediate calcs'!AH12)+Data!$AK$17)</f>
        <v>3049852.9648478273</v>
      </c>
      <c r="AI15" s="22">
        <f>((Data!$AJ$17*'Net zero Intermediate calcs'!AI12)+Data!$AK$17)</f>
        <v>3090268.792504767</v>
      </c>
      <c r="AJ15" s="22">
        <f>((Data!$AJ$17*'Net zero Intermediate calcs'!AJ12)+Data!$AK$17)</f>
        <v>3131028.6095267581</v>
      </c>
      <c r="AK15" s="22">
        <f>((Data!$AJ$17*'Net zero Intermediate calcs'!AK12)+Data!$AK$17)</f>
        <v>3176449.9346989142</v>
      </c>
      <c r="AL15" s="22">
        <f>((Data!$AJ$17*'Net zero Intermediate calcs'!AL12)+Data!$AK$17)</f>
        <v>3222270.8956283685</v>
      </c>
      <c r="AM15" s="22">
        <f>((Data!$AJ$17*'Net zero Intermediate calcs'!AM12)+Data!$AK$17)</f>
        <v>3267195.9251359534</v>
      </c>
      <c r="AN15" s="22">
        <f>((Data!$AJ$17*'Net zero Intermediate calcs'!AN12)+Data!$AK$17)</f>
        <v>3311429.7461560182</v>
      </c>
      <c r="AO15" s="22">
        <f>((Data!$AJ$17*'Net zero Intermediate calcs'!AO12)+Data!$AK$17)</f>
        <v>3357751.4853905607</v>
      </c>
      <c r="AP15" s="22">
        <f>((Data!$AJ$17*'Net zero Intermediate calcs'!AP12)+Data!$AK$17)</f>
        <v>3402367.7300103391</v>
      </c>
      <c r="AQ15" s="22">
        <f>((Data!$AJ$17*'Net zero Intermediate calcs'!AQ12)+Data!$AK$17)</f>
        <v>3447956.3017530758</v>
      </c>
      <c r="AR15" s="22">
        <f>((Data!$AJ$17*'Net zero Intermediate calcs'!AR12)+Data!$AK$17)</f>
        <v>3498022.0090200165</v>
      </c>
      <c r="AS15" s="22">
        <f>((Data!$AJ$17*'Net zero Intermediate calcs'!AS12)+Data!$AK$17)</f>
        <v>3551207.6754563637</v>
      </c>
      <c r="AT15" s="22">
        <f>((Data!$AJ$17*'Net zero Intermediate calcs'!AT12)+Data!$AK$17)</f>
        <v>3605939.7510546809</v>
      </c>
      <c r="AU15" s="22">
        <f>((Data!$AJ$17*'Net zero Intermediate calcs'!AU12)+Data!$AK$17)</f>
        <v>3626187.5241363812</v>
      </c>
      <c r="AV15" s="22">
        <f>((Data!$AJ$17*'Net zero Intermediate calcs'!AV12)+Data!$AK$17)</f>
        <v>1949129.1079707723</v>
      </c>
      <c r="AW15" s="22">
        <f>((Data!$AJ$17*'Net zero Intermediate calcs'!AW12)+Data!$AK$17)</f>
        <v>1958130.8143286882</v>
      </c>
      <c r="AX15" s="22">
        <f>((Data!$AJ$17*'Net zero Intermediate calcs'!AX12)+Data!$AK$17)</f>
        <v>1967198.423587084</v>
      </c>
      <c r="AY15" s="22">
        <f>((Data!$AJ$17*'Net zero Intermediate calcs'!AY12)+Data!$AK$17)</f>
        <v>1976332.4182314028</v>
      </c>
      <c r="AZ15" s="22">
        <f>((Data!$AJ$17*'Net zero Intermediate calcs'!AZ12)+Data!$AK$17)</f>
        <v>1985533.2842794412</v>
      </c>
      <c r="BA15" s="22">
        <f>((Data!$AJ$17*'Net zero Intermediate calcs'!BA12)+Data!$AK$17)</f>
        <v>1994801.5113072074</v>
      </c>
      <c r="BB15" s="22">
        <f>((Data!$AJ$17*'Net zero Intermediate calcs'!BB12)+Data!$AK$17)</f>
        <v>2002721.8094984021</v>
      </c>
      <c r="BC15" s="22">
        <f>((Data!$AJ$17*'Net zero Intermediate calcs'!BC12)+Data!$AK$17)</f>
        <v>2010691.3001034299</v>
      </c>
      <c r="BD15" s="22">
        <f>((Data!$AJ$17*'Net zero Intermediate calcs'!BD12)+Data!$AK$17)</f>
        <v>2018710.288652906</v>
      </c>
      <c r="BE15" s="22">
        <f>((Data!$AJ$17*'Net zero Intermediate calcs'!BE12)+Data!$AK$17)</f>
        <v>2026779.0825750751</v>
      </c>
      <c r="BF15" s="22">
        <f>((Data!$AJ$17*'Net zero Intermediate calcs'!BF12)+Data!$AK$17)</f>
        <v>2034897.9912075959</v>
      </c>
      <c r="BG15" s="22">
        <f>((Data!$AJ$17*'Net zero Intermediate calcs'!BG12)+Data!$AK$17)</f>
        <v>2041612.4686082297</v>
      </c>
      <c r="BH15" s="22">
        <f>((Data!$AJ$17*'Net zero Intermediate calcs'!BH12)+Data!$AK$17)</f>
        <v>2048361.222341548</v>
      </c>
      <c r="BI15" s="22">
        <f>((Data!$AJ$17*'Net zero Intermediate calcs'!BI12)+Data!$AK$17)</f>
        <v>2055144.4273827435</v>
      </c>
      <c r="BJ15" s="22">
        <f>((Data!$AJ$17*'Net zero Intermediate calcs'!BJ12)+Data!$AK$17)</f>
        <v>2061962.2596002305</v>
      </c>
      <c r="BK15" s="22">
        <f>((Data!$AJ$17*'Net zero Intermediate calcs'!BK12)+Data!$AK$17)</f>
        <v>2068814.895760203</v>
      </c>
      <c r="BL15">
        <v>4872181.1948307119</v>
      </c>
    </row>
    <row r="16" spans="1:67" x14ac:dyDescent="0.25">
      <c r="A16" t="s">
        <v>840</v>
      </c>
      <c r="B16" t="s">
        <v>815</v>
      </c>
      <c r="C16" s="22">
        <f>Data!C18</f>
        <v>0.69526800377536568</v>
      </c>
      <c r="D16" s="22">
        <f>Data!D18</f>
        <v>0.78019747572815545</v>
      </c>
      <c r="E16" s="22">
        <f>Data!E18</f>
        <v>0.69287114855244414</v>
      </c>
      <c r="F16" s="22">
        <f>Data!F18</f>
        <v>0.76935057442557442</v>
      </c>
      <c r="G16" s="22">
        <f>Data!G18</f>
        <v>0.70104982552342976</v>
      </c>
      <c r="H16" s="22">
        <f>Data!H18</f>
        <v>0.65888248585111009</v>
      </c>
      <c r="I16" s="22">
        <f>Data!I18</f>
        <v>0.62320263673469389</v>
      </c>
      <c r="J16" s="22">
        <f>Data!J18</f>
        <v>0.60454366023799755</v>
      </c>
      <c r="K16" s="22">
        <f>Data!K18</f>
        <v>0.57300788884446219</v>
      </c>
      <c r="L16" s="22">
        <f>Data!L18</f>
        <v>0.56881090051120731</v>
      </c>
      <c r="M16" s="22">
        <f>Data!M18</f>
        <v>0.77421705907173</v>
      </c>
      <c r="N16" s="22">
        <f>Data!N18</f>
        <v>0.77247711620016968</v>
      </c>
      <c r="O16" s="22">
        <f>Data!O18</f>
        <v>0.65958493691493691</v>
      </c>
      <c r="P16" s="22">
        <f>Data!P18</f>
        <v>0.60879045454545455</v>
      </c>
      <c r="Q16" s="22">
        <f>Data!Q18</f>
        <v>0.5453595928143713</v>
      </c>
      <c r="R16" s="22">
        <f>Data!R18</f>
        <v>0.55448735415882566</v>
      </c>
      <c r="S16" s="22">
        <f>Data!S18</f>
        <v>0.57560132113012341</v>
      </c>
      <c r="T16" s="22">
        <f>Data!T18</f>
        <v>0.56525444314185236</v>
      </c>
      <c r="U16" s="22">
        <f>Data!U18</f>
        <v>0.66329169523809528</v>
      </c>
      <c r="V16" s="22">
        <f>Data!V18</f>
        <v>0.69374343254735216</v>
      </c>
      <c r="W16" s="22">
        <f>Data!W18</f>
        <v>0.66201189966801921</v>
      </c>
      <c r="X16" s="22">
        <f>Data!X18</f>
        <v>0.63027717647058834</v>
      </c>
      <c r="Y16" s="101">
        <f>IF($Y$1="Off",((Data!$AJ$18*LN('Net zero Intermediate calcs'!Y2))+Data!$AK$18),IF($Y$1="PQ",('Net zero supporting data'!B99),IF($Y$1="GS",('Net zero supporting data'!B63),'Net zero supporting data'!B82)))</f>
        <v>0.59036032260533733</v>
      </c>
      <c r="Z16" s="101">
        <f>IF($Y$1="Off",((Data!$AJ$18*LN('Net zero Intermediate calcs'!Z2))+Data!$AK$18),IF($Y$1="PQ",('Net zero supporting data'!C99),IF($Y$1="GS",('Net zero supporting data'!C63),'Net zero supporting data'!C82)))</f>
        <v>0.58537997662592556</v>
      </c>
      <c r="AA16" s="101">
        <f>IF($Y$1="Off",((Data!$AJ$18*LN('Net zero Intermediate calcs'!AA2))+Data!$AK$18),IF($Y$1="PQ",('Net zero supporting data'!D99),IF($Y$1="GS",('Net zero supporting data'!D63),'Net zero supporting data'!D82)))</f>
        <v>0.58070166069623075</v>
      </c>
      <c r="AB16" s="101">
        <f>IF($Y$1="Off",((Data!$AJ$18*LN('Net zero Intermediate calcs'!AB2))+Data!$AK$18),IF($Y$1="PQ",('Net zero supporting data'!E99),IF($Y$1="GS",('Net zero supporting data'!E63),'Net zero supporting data'!E82)))</f>
        <v>0.57629082711126922</v>
      </c>
      <c r="AC16" s="101">
        <f>IF($Y$1="Off",((Data!$AJ$18*LN('Net zero Intermediate calcs'!AC2))+Data!$AK$18),IF($Y$1="PQ",('Net zero supporting data'!F99),IF($Y$1="GS",('Net zero supporting data'!F63),'Net zero supporting data'!F82)))</f>
        <v>0.57211853646492172</v>
      </c>
      <c r="AD16" s="101">
        <f>IF($Y$1="Off",((Data!$AJ$18*LN('Net zero Intermediate calcs'!AD2))+Data!$AK$18),IF($Y$1="PQ",('Net zero supporting data'!G99),IF($Y$1="GS",('Net zero supporting data'!G63),'Net zero supporting data'!G82)))</f>
        <v>0.56816030581489985</v>
      </c>
      <c r="AE16" s="101">
        <f>IF($Y$1="Off",((Data!$AJ$18*LN('Net zero Intermediate calcs'!AE2))+Data!$AK$18),IF($Y$1="PQ",('Net zero supporting data'!H99),IF($Y$1="GS",('Net zero supporting data'!H63),'Net zero supporting data'!H82)))</f>
        <v>0.56439523816734538</v>
      </c>
      <c r="AF16" s="101">
        <f>IF($Y$1="Off",((Data!$AJ$18*LN('Net zero Intermediate calcs'!AF2))+Data!$AK$18),IF($Y$1="PQ",('Net zero supporting data'!I99),IF($Y$1="GS",('Net zero supporting data'!I63),'Net zero supporting data'!I82)))</f>
        <v>0.56080535465675874</v>
      </c>
      <c r="AG16" s="101">
        <f>IF($Y$1="Off",((Data!$AJ$18*LN('Net zero Intermediate calcs'!AG2))+Data!$AK$18),IF($Y$1="PQ",('Net zero supporting data'!J99),IF($Y$1="GS",('Net zero supporting data'!J63),'Net zero supporting data'!J82)))</f>
        <v>0.5573750752965374</v>
      </c>
      <c r="AH16" s="101">
        <f>IF($Y$1="Off",((Data!$AJ$18*LN('Net zero Intermediate calcs'!AH2))+Data!$AK$18),IF($Y$1="PQ",('Net zero supporting data'!K99),IF($Y$1="GS",('Net zero supporting data'!K63),'Net zero supporting data'!K82)))</f>
        <v>0.54965808383826509</v>
      </c>
      <c r="AI16" s="101">
        <f>IF($Y$1="Off",((Data!$AJ$18*LN('Net zero Intermediate calcs'!AI2))+Data!$AK$18),IF($Y$1="PQ",('Net zero supporting data'!L99),IF($Y$1="GS",('Net zero supporting data'!L63),'Net zero supporting data'!L82)))</f>
        <v>0.54212558484381212</v>
      </c>
      <c r="AJ16" s="101">
        <f>IF($Y$1="Off",((Data!$AJ$18*LN('Net zero Intermediate calcs'!AJ2))+Data!$AK$18),IF($Y$1="PQ",('Net zero supporting data'!M99),IF($Y$1="GS",('Net zero supporting data'!M63),'Net zero supporting data'!M82)))</f>
        <v>0.53476409161581684</v>
      </c>
      <c r="AK16" s="101">
        <f>IF($Y$1="Off",((Data!$AJ$18*LN('Net zero Intermediate calcs'!AK2))+Data!$AK$18),IF($Y$1="PQ",('Net zero supporting data'!N99),IF($Y$1="GS",('Net zero supporting data'!N63),'Net zero supporting data'!N82)))</f>
        <v>0.52756160766037774</v>
      </c>
      <c r="AL16" s="101">
        <f>IF($Y$1="Off",((Data!$AJ$18*LN('Net zero Intermediate calcs'!AL2))+Data!$AK$18),IF($Y$1="PQ",('Net zero supporting data'!O99),IF($Y$1="GS",('Net zero supporting data'!O63),'Net zero supporting data'!O82)))</f>
        <v>0.52050741252183164</v>
      </c>
      <c r="AM16" s="101">
        <f>IF($Y$1="Off",((Data!$AJ$18*LN('Net zero Intermediate calcs'!AM2))+Data!$AK$18),IF($Y$1="PQ",('Net zero supporting data'!P99),IF($Y$1="GS",('Net zero supporting data'!P63),'Net zero supporting data'!P82)))</f>
        <v>0.51359188492897778</v>
      </c>
      <c r="AN16" s="101">
        <f>IF($Y$1="Off",((Data!$AJ$18*LN('Net zero Intermediate calcs'!AN2))+Data!$AK$18),IF($Y$1="PQ",('Net zero supporting data'!Q99),IF($Y$1="GS",('Net zero supporting data'!Q63),'Net zero supporting data'!Q82)))</f>
        <v>0.50680635569725696</v>
      </c>
      <c r="AO16" s="101">
        <f>IF($Y$1="Off",((Data!$AJ$18*LN('Net zero Intermediate calcs'!AO2))+Data!$AK$18),IF($Y$1="PQ",('Net zero supporting data'!R99),IF($Y$1="GS",('Net zero supporting data'!R63),'Net zero supporting data'!R82)))</f>
        <v>0.50014298456044559</v>
      </c>
      <c r="AP16" s="101">
        <f>IF($Y$1="Off",((Data!$AJ$18*LN('Net zero Intermediate calcs'!AP2))+Data!$AK$18),IF($Y$1="PQ",('Net zero supporting data'!S99),IF($Y$1="GS",('Net zero supporting data'!S63),'Net zero supporting data'!S82)))</f>
        <v>0.49359465639620581</v>
      </c>
      <c r="AQ16" s="101">
        <f>IF($Y$1="Off",((Data!$AJ$18*LN('Net zero Intermediate calcs'!AQ2))+Data!$AK$18),IF($Y$1="PQ",('Net zero supporting data'!T99),IF($Y$1="GS",('Net zero supporting data'!T63),'Net zero supporting data'!T82)))</f>
        <v>0.48715489328353184</v>
      </c>
      <c r="AR16" s="101">
        <f>IF($Y$1="Off",((Data!$AJ$18*LN('Net zero Intermediate calcs'!AR2))+Data!$AK$18),IF($Y$1="PQ",('Net zero supporting data'!U99),IF($Y$1="GS",('Net zero supporting data'!U63),'Net zero supporting data'!U82)))</f>
        <v>0.48424466067624239</v>
      </c>
      <c r="AS16" s="101">
        <f>IF($Y$1="Off",((Data!$AJ$18*LN('Net zero Intermediate calcs'!AS2))+Data!$AK$18),IF($Y$1="PQ",('Net zero supporting data'!V99),IF($Y$1="GS",('Net zero supporting data'!V63),'Net zero supporting data'!V82)))</f>
        <v>0.48140257986891394</v>
      </c>
      <c r="AT16" s="101">
        <f>IF($Y$1="Off",((Data!$AJ$18*LN('Net zero Intermediate calcs'!AT2))+Data!$AK$18),IF($Y$1="PQ",('Net zero supporting data'!W99),IF($Y$1="GS",('Net zero supporting data'!W63),'Net zero supporting data'!W82)))</f>
        <v>0.47862490509640809</v>
      </c>
      <c r="AU16" s="101">
        <f>IF($Y$1="Off",((Data!$AJ$18*LN('Net zero Intermediate calcs'!AU2))+Data!$AK$18),IF($Y$1="PQ",('Net zero supporting data'!X99),IF($Y$1="GS",('Net zero supporting data'!X63),'Net zero supporting data'!X82)))</f>
        <v>0.47590819595315087</v>
      </c>
      <c r="AV16" s="101">
        <f>IF($Y$1="Off",((Data!$AJ$18*LN('Net zero Intermediate calcs'!AV2))+Data!$AK$18),IF($Y$1="PQ",('Net zero supporting data'!Y99),IF($Y$1="GS",('Net zero supporting data'!Y63),'Net zero supporting data'!Y82)))</f>
        <v>0.4732492849495688</v>
      </c>
      <c r="AW16" s="101">
        <f>IF($Y$1="Off",((Data!$AJ$18*LN('Net zero Intermediate calcs'!AW2))+Data!$AK$18),IF($Y$1="PQ",('Net zero supporting data'!Z99),IF($Y$1="GS",('Net zero supporting data'!Z63),'Net zero supporting data'!Z82)))</f>
        <v>0.47064524927270812</v>
      </c>
      <c r="AX16" s="101">
        <f>IF($Y$1="Off",((Data!$AJ$18*LN('Net zero Intermediate calcs'!AX2))+Data!$AK$18),IF($Y$1="PQ",('Net zero supporting data'!AA99),IF($Y$1="GS",('Net zero supporting data'!AA63),'Net zero supporting data'!AA82)))</f>
        <v>0.46809338611326562</v>
      </c>
      <c r="AY16" s="101">
        <f>IF($Y$1="Off",((Data!$AJ$18*LN('Net zero Intermediate calcs'!AY2))+Data!$AK$18),IF($Y$1="PQ",('Net zero supporting data'!AB99),IF($Y$1="GS",('Net zero supporting data'!AB63),'Net zero supporting data'!AB82)))</f>
        <v>0.46559119103139651</v>
      </c>
      <c r="AZ16" s="101">
        <f>IF($Y$1="Off",((Data!$AJ$18*LN('Net zero Intermediate calcs'!AZ2))+Data!$AK$18),IF($Y$1="PQ",('Net zero supporting data'!AC99),IF($Y$1="GS",('Net zero supporting data'!AC63),'Net zero supporting data'!AC82)))</f>
        <v>0.46313633892259948</v>
      </c>
      <c r="BA16" s="101">
        <f>IF($Y$1="Off",((Data!$AJ$18*LN('Net zero Intermediate calcs'!BA2))+Data!$AK$18),IF($Y$1="PQ",('Net zero supporting data'!AD99),IF($Y$1="GS",('Net zero supporting data'!AD63),'Net zero supporting data'!AD82)))</f>
        <v>0.46072666721716049</v>
      </c>
      <c r="BB16" s="101">
        <f>IF($Y$1="Off",((Data!$AJ$18*LN('Net zero Intermediate calcs'!BB2))+Data!$AK$18),IF($Y$1="PQ",('Net zero supporting data'!AE99),IF($Y$1="GS",('Net zero supporting data'!AE63),'Net zero supporting data'!AE82)))</f>
        <v>0.45836016100556898</v>
      </c>
      <c r="BC16" s="101">
        <f>IF($Y$1="Off",((Data!$AJ$18*LN('Net zero Intermediate calcs'!BC2))+Data!$AK$18),IF($Y$1="PQ",('Net zero supporting data'!AF99),IF($Y$1="GS",('Net zero supporting data'!AF63),'Net zero supporting data'!AF82)))</f>
        <v>0.45603493983065041</v>
      </c>
      <c r="BD16" s="101">
        <f>IF($Y$1="Off",((Data!$AJ$18*LN('Net zero Intermediate calcs'!BD2))+Data!$AK$18),IF($Y$1="PQ",('Net zero supporting data'!AG99),IF($Y$1="GS",('Net zero supporting data'!AG63),'Net zero supporting data'!AG82)))</f>
        <v>0.453749245927006</v>
      </c>
      <c r="BE16" s="101">
        <f>IF($Y$1="Off",((Data!$AJ$18*LN('Net zero Intermediate calcs'!BE2))+Data!$AK$18),IF($Y$1="PQ",('Net zero supporting data'!AH99),IF($Y$1="GS",('Net zero supporting data'!AH63),'Net zero supporting data'!AH82)))</f>
        <v>0.45150143372134133</v>
      </c>
      <c r="BF16" s="101">
        <f>IF($Y$1="Off",((Data!$AJ$18*LN('Net zero Intermediate calcs'!BF2))+Data!$AK$18),IF($Y$1="PQ",('Net zero supporting data'!AI99),IF($Y$1="GS",('Net zero supporting data'!AI63),'Net zero supporting data'!AI82)))</f>
        <v>0.44928996043470693</v>
      </c>
      <c r="BG16" s="101">
        <f>IF($Y$1="Off",((Data!$AJ$18*LN('Net zero Intermediate calcs'!BG2))+Data!$AK$18),IF($Y$1="PQ",('Net zero supporting data'!AJ99),IF($Y$1="GS",('Net zero supporting data'!AJ63),'Net zero supporting data'!AJ82)))</f>
        <v>0.44711337765058967</v>
      </c>
      <c r="BH16" s="101">
        <f>IF($Y$1="Off",((Data!$AJ$18*LN('Net zero Intermediate calcs'!BH2))+Data!$AK$18),IF($Y$1="PQ",('Net zero supporting data'!AK99),IF($Y$1="GS",('Net zero supporting data'!AK63),'Net zero supporting data'!AK82)))</f>
        <v>0.44497032373201256</v>
      </c>
      <c r="BI16" s="101">
        <f>IF($Y$1="Off",((Data!$AJ$18*LN('Net zero Intermediate calcs'!BI2))+Data!$AK$18),IF($Y$1="PQ",('Net zero supporting data'!AL99),IF($Y$1="GS",('Net zero supporting data'!AL63),'Net zero supporting data'!AL82)))</f>
        <v>0.44285951698697568</v>
      </c>
      <c r="BJ16" s="101">
        <f>IF($Y$1="Off",((Data!$AJ$18*LN('Net zero Intermediate calcs'!BJ2))+Data!$AK$18),IF($Y$1="PQ",('Net zero supporting data'!AM99),IF($Y$1="GS",('Net zero supporting data'!AM63),'Net zero supporting data'!AM82)))</f>
        <v>0.44077974949523197</v>
      </c>
      <c r="BK16" s="101">
        <f>IF($Y$1="Off",((Data!$AJ$18*LN('Net zero Intermediate calcs'!BK2))+Data!$AK$18),IF($Y$1="PQ",('Net zero supporting data'!AN99),IF($Y$1="GS",('Net zero supporting data'!AN63),'Net zero supporting data'!AN82)))</f>
        <v>0.43872988152097986</v>
      </c>
      <c r="BL16">
        <v>0.49295492305728073</v>
      </c>
    </row>
    <row r="17" spans="1:64" x14ac:dyDescent="0.25">
      <c r="A17" t="s">
        <v>341</v>
      </c>
      <c r="B17" t="s">
        <v>321</v>
      </c>
      <c r="C17" s="22">
        <v>184000</v>
      </c>
      <c r="D17" s="22">
        <v>206000</v>
      </c>
      <c r="E17" s="22">
        <v>199000</v>
      </c>
      <c r="F17" s="22">
        <v>189000</v>
      </c>
      <c r="G17" s="22">
        <v>156000</v>
      </c>
      <c r="H17" s="22">
        <v>118000</v>
      </c>
      <c r="I17" s="22">
        <v>143000</v>
      </c>
      <c r="J17" s="22">
        <v>142000</v>
      </c>
      <c r="K17" s="22">
        <v>145000</v>
      </c>
      <c r="L17" s="22">
        <v>154000</v>
      </c>
      <c r="M17" s="22">
        <v>163000</v>
      </c>
      <c r="N17" s="22">
        <v>159000</v>
      </c>
      <c r="O17" s="22">
        <v>146000</v>
      </c>
      <c r="P17" s="22">
        <v>146000</v>
      </c>
      <c r="Q17" s="22">
        <v>153000</v>
      </c>
      <c r="R17" s="22">
        <v>168000</v>
      </c>
      <c r="S17" s="22">
        <v>176000</v>
      </c>
      <c r="T17" s="22">
        <v>203000</v>
      </c>
      <c r="U17" s="22">
        <v>189000</v>
      </c>
      <c r="V17" s="22">
        <v>180000</v>
      </c>
      <c r="W17" s="22">
        <v>174000</v>
      </c>
      <c r="X17" s="22">
        <v>155000</v>
      </c>
      <c r="Y17" s="22"/>
      <c r="Z17" s="22"/>
      <c r="AA17" s="22"/>
      <c r="AB17" s="22"/>
      <c r="AC17" s="22"/>
      <c r="AD17" s="22"/>
      <c r="AE17" s="22"/>
      <c r="AF17" s="22"/>
      <c r="AG17" s="22"/>
      <c r="AH17" s="22"/>
      <c r="AI17" s="22"/>
      <c r="AJ17" s="22"/>
      <c r="AK17" s="22"/>
      <c r="AL17" s="22"/>
      <c r="AM17" s="22"/>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row>
    <row r="18" spans="1:64" x14ac:dyDescent="0.25">
      <c r="A18" t="s">
        <v>870</v>
      </c>
      <c r="B18" t="s">
        <v>321</v>
      </c>
      <c r="C18" s="22">
        <f>C27+C22</f>
        <v>168200</v>
      </c>
      <c r="D18" s="22">
        <f t="shared" ref="D18:BK18" si="3">D27+D22</f>
        <v>191200</v>
      </c>
      <c r="E18" s="22">
        <f t="shared" si="3"/>
        <v>176100</v>
      </c>
      <c r="F18" s="22">
        <f t="shared" si="3"/>
        <v>167400</v>
      </c>
      <c r="G18" s="22">
        <f t="shared" si="3"/>
        <v>135300</v>
      </c>
      <c r="H18" s="22">
        <f t="shared" si="3"/>
        <v>94800</v>
      </c>
      <c r="I18" s="22">
        <f t="shared" si="3"/>
        <v>106300</v>
      </c>
      <c r="J18" s="22">
        <f t="shared" si="3"/>
        <v>102600</v>
      </c>
      <c r="K18" s="22">
        <f t="shared" si="3"/>
        <v>96900</v>
      </c>
      <c r="L18" s="22">
        <f t="shared" si="3"/>
        <v>104900</v>
      </c>
      <c r="M18" s="22">
        <f t="shared" si="3"/>
        <v>108300</v>
      </c>
      <c r="N18" s="22">
        <f t="shared" si="3"/>
        <v>105400</v>
      </c>
      <c r="O18" s="22">
        <f t="shared" si="3"/>
        <v>105100</v>
      </c>
      <c r="P18" s="22">
        <f t="shared" si="3"/>
        <v>114400</v>
      </c>
      <c r="Q18" s="22">
        <f t="shared" si="3"/>
        <v>120300</v>
      </c>
      <c r="R18" s="22">
        <f t="shared" si="3"/>
        <v>134600</v>
      </c>
      <c r="S18" s="22">
        <f t="shared" si="3"/>
        <v>135300</v>
      </c>
      <c r="T18" s="22">
        <f t="shared" si="3"/>
        <v>160700</v>
      </c>
      <c r="U18" s="22">
        <f t="shared" si="3"/>
        <v>160600</v>
      </c>
      <c r="V18" s="22">
        <f t="shared" si="3"/>
        <v>162100</v>
      </c>
      <c r="W18" s="22">
        <f t="shared" si="3"/>
        <v>163900</v>
      </c>
      <c r="X18" s="22">
        <f t="shared" si="3"/>
        <v>148800</v>
      </c>
      <c r="Y18" s="22">
        <f t="shared" si="3"/>
        <v>163480.87060658581</v>
      </c>
      <c r="Z18" s="22">
        <f t="shared" si="3"/>
        <v>165083.14205455498</v>
      </c>
      <c r="AA18" s="22">
        <f t="shared" si="3"/>
        <v>166737.02477072403</v>
      </c>
      <c r="AB18" s="22">
        <f t="shared" si="3"/>
        <v>168441.80023080259</v>
      </c>
      <c r="AC18" s="22">
        <f t="shared" si="3"/>
        <v>170209.85457128807</v>
      </c>
      <c r="AD18" s="22">
        <f t="shared" si="3"/>
        <v>172048.82000954493</v>
      </c>
      <c r="AE18" s="22">
        <f t="shared" si="3"/>
        <v>173913.69271114646</v>
      </c>
      <c r="AF18" s="22">
        <f t="shared" si="3"/>
        <v>175797.54414853285</v>
      </c>
      <c r="AG18" s="22">
        <f t="shared" si="3"/>
        <v>177610.59198861948</v>
      </c>
      <c r="AH18" s="22">
        <f t="shared" si="3"/>
        <v>179020.97469170965</v>
      </c>
      <c r="AI18" s="22">
        <f t="shared" si="3"/>
        <v>180444.76083216598</v>
      </c>
      <c r="AJ18" s="22">
        <f t="shared" si="3"/>
        <v>181884.81845483091</v>
      </c>
      <c r="AK18" s="22">
        <f t="shared" si="3"/>
        <v>183345.6794159431</v>
      </c>
      <c r="AL18" s="22">
        <f t="shared" si="3"/>
        <v>184823.23674309379</v>
      </c>
      <c r="AM18" s="22">
        <f t="shared" si="3"/>
        <v>186106.65951493528</v>
      </c>
      <c r="AN18" s="22">
        <f t="shared" si="3"/>
        <v>187401.57774970747</v>
      </c>
      <c r="AO18" s="22">
        <f t="shared" si="3"/>
        <v>188710.91055588308</v>
      </c>
      <c r="AP18" s="22">
        <f t="shared" si="3"/>
        <v>190030.95853286449</v>
      </c>
      <c r="AQ18" s="22">
        <f t="shared" si="3"/>
        <v>191364.5411330536</v>
      </c>
      <c r="AR18" s="22">
        <f t="shared" si="3"/>
        <v>192542.02273123938</v>
      </c>
      <c r="AS18" s="22">
        <f t="shared" si="3"/>
        <v>193732.26527948084</v>
      </c>
      <c r="AT18" s="22">
        <f t="shared" si="3"/>
        <v>194933.76602690262</v>
      </c>
      <c r="AU18" s="22">
        <f t="shared" si="3"/>
        <v>196110.31856505389</v>
      </c>
      <c r="AV18" s="22">
        <f t="shared" si="3"/>
        <v>195587.25537995674</v>
      </c>
      <c r="AW18" s="22">
        <f t="shared" si="3"/>
        <v>196605.1384500995</v>
      </c>
      <c r="AX18" s="22">
        <f t="shared" si="3"/>
        <v>197630.47360143717</v>
      </c>
      <c r="AY18" s="22">
        <f t="shared" si="3"/>
        <v>198663.31539182184</v>
      </c>
      <c r="AZ18" s="22">
        <f t="shared" si="3"/>
        <v>199703.71877853243</v>
      </c>
      <c r="BA18" s="22">
        <f t="shared" si="3"/>
        <v>200751.73912119857</v>
      </c>
      <c r="BB18" s="22">
        <f t="shared" si="3"/>
        <v>201647.34014602096</v>
      </c>
      <c r="BC18" s="22">
        <f t="shared" si="3"/>
        <v>202548.50368568543</v>
      </c>
      <c r="BD18" s="22">
        <f t="shared" si="3"/>
        <v>203455.26428857964</v>
      </c>
      <c r="BE18" s="22">
        <f t="shared" si="3"/>
        <v>204367.65671766887</v>
      </c>
      <c r="BF18" s="22">
        <f t="shared" si="3"/>
        <v>205285.71595182861</v>
      </c>
      <c r="BG18" s="22">
        <f t="shared" si="3"/>
        <v>206044.96676486492</v>
      </c>
      <c r="BH18" s="22">
        <f t="shared" si="3"/>
        <v>206808.09343180695</v>
      </c>
      <c r="BI18" s="22">
        <f t="shared" si="3"/>
        <v>207575.11573826868</v>
      </c>
      <c r="BJ18" s="22">
        <f t="shared" si="3"/>
        <v>208346.05357086656</v>
      </c>
      <c r="BK18" s="22">
        <f t="shared" si="3"/>
        <v>209120.92691773488</v>
      </c>
      <c r="BL18">
        <v>211943.68695393516</v>
      </c>
    </row>
    <row r="19" spans="1:64" x14ac:dyDescent="0.25">
      <c r="A19" t="s">
        <v>332</v>
      </c>
      <c r="B19" t="s">
        <v>321</v>
      </c>
      <c r="C19" s="22">
        <f>C17-C22</f>
        <v>172960</v>
      </c>
      <c r="D19" s="22">
        <f t="shared" ref="D19:X19" si="4">D17-D22</f>
        <v>193640</v>
      </c>
      <c r="E19" s="22">
        <f t="shared" si="4"/>
        <v>187060</v>
      </c>
      <c r="F19" s="22">
        <f t="shared" si="4"/>
        <v>177660</v>
      </c>
      <c r="G19" s="22">
        <f t="shared" si="4"/>
        <v>146640</v>
      </c>
      <c r="H19" s="22">
        <f t="shared" si="4"/>
        <v>110920</v>
      </c>
      <c r="I19" s="22">
        <f t="shared" si="4"/>
        <v>134420</v>
      </c>
      <c r="J19" s="22">
        <f t="shared" si="4"/>
        <v>133480</v>
      </c>
      <c r="K19" s="22">
        <f t="shared" si="4"/>
        <v>136300</v>
      </c>
      <c r="L19" s="22">
        <f t="shared" si="4"/>
        <v>144760</v>
      </c>
      <c r="M19" s="22">
        <f t="shared" si="4"/>
        <v>153220</v>
      </c>
      <c r="N19" s="22">
        <f t="shared" si="4"/>
        <v>149460</v>
      </c>
      <c r="O19" s="22">
        <f t="shared" si="4"/>
        <v>137240</v>
      </c>
      <c r="P19" s="22">
        <f t="shared" si="4"/>
        <v>137240</v>
      </c>
      <c r="Q19" s="22">
        <f t="shared" si="4"/>
        <v>143820</v>
      </c>
      <c r="R19" s="22">
        <f t="shared" si="4"/>
        <v>157920</v>
      </c>
      <c r="S19" s="22">
        <f t="shared" si="4"/>
        <v>165440</v>
      </c>
      <c r="T19" s="22">
        <f t="shared" si="4"/>
        <v>190820</v>
      </c>
      <c r="U19" s="22">
        <f t="shared" si="4"/>
        <v>177660</v>
      </c>
      <c r="V19" s="22">
        <f t="shared" si="4"/>
        <v>169200</v>
      </c>
      <c r="W19" s="22">
        <f t="shared" si="4"/>
        <v>163560</v>
      </c>
      <c r="X19" s="22">
        <f t="shared" si="4"/>
        <v>145700</v>
      </c>
      <c r="Y19" s="101">
        <f>IF('Net zero activities &amp; levers'!$C$12="Off",(((Data!$AJ$7*'Intermediate calculations'!Y4)+Data!$AK$7)*Drivers!Z4),IF('Net zero activities &amp; levers'!$C$12="PB",(((Data!$AJ$7*'Intermediate calculations'!Y4)+Data!$AK$7)*Drivers!Z4),IF('Net zero activities &amp; levers'!$C$12="MS",'Net zero supporting data'!B206,"ERROR")))</f>
        <v>168487.76169155291</v>
      </c>
      <c r="Z19" s="101">
        <f>IF('Net zero activities &amp; levers'!$C$12="Off",(((Data!$AJ$7*'Intermediate calculations'!Z4)+Data!$AK$7)*Drivers!AA4),IF('Net zero activities &amp; levers'!$C$12="PB",(((Data!$AJ$7*'Intermediate calculations'!Z4)+Data!$AK$7)*Drivers!AA4),IF('Net zero activities &amp; levers'!$C$12="MS",'Net zero supporting data'!C206,"ERROR")))</f>
        <v>171012.51082629684</v>
      </c>
      <c r="AA19" s="101">
        <f>IF('Net zero activities &amp; levers'!$C$12="Off",(((Data!$AJ$7*'Intermediate calculations'!AA4)+Data!$AK$7)*Drivers!AB4),IF('Net zero activities &amp; levers'!$C$12="PB",(((Data!$AJ$7*'Intermediate calculations'!AA4)+Data!$AK$7)*Drivers!AB4),IF('Net zero activities &amp; levers'!$C$12="MS",'Net zero supporting data'!D206,"ERROR")))</f>
        <v>173618.58544736577</v>
      </c>
      <c r="AB19" s="101">
        <f>IF('Net zero activities &amp; levers'!$C$12="Off",(((Data!$AJ$7*'Intermediate calculations'!AB4)+Data!$AK$7)*Drivers!AC4),IF('Net zero activities &amp; levers'!$C$12="PB",(((Data!$AJ$7*'Intermediate calculations'!AB4)+Data!$AK$7)*Drivers!AC4),IF('Net zero activities &amp; levers'!$C$12="MS",'Net zero supporting data'!E206,"ERROR")))</f>
        <v>176304.85335360692</v>
      </c>
      <c r="AC19" s="101">
        <f>IF('Net zero activities &amp; levers'!$C$12="Off",(((Data!$AJ$7*'Intermediate calculations'!AC4)+Data!$AK$7)*Drivers!AD4),IF('Net zero activities &amp; levers'!$C$12="PB",(((Data!$AJ$7*'Intermediate calculations'!AC4)+Data!$AK$7)*Drivers!AD4),IF('Net zero activities &amp; levers'!$C$12="MS",'Net zero supporting data'!F206,"ERROR")))</f>
        <v>179090.8317669268</v>
      </c>
      <c r="AD19" s="101">
        <f>IF('Net zero activities &amp; levers'!$C$12="Off",(((Data!$AJ$7*'Intermediate calculations'!AD4)+Data!$AK$7)*Drivers!AE4),IF('Net zero activities &amp; levers'!$C$12="PB",(((Data!$AJ$7*'Intermediate calculations'!AD4)+Data!$AK$7)*Drivers!AE4),IF('Net zero activities &amp; levers'!$C$12="MS",'Net zero supporting data'!G206,"ERROR")))</f>
        <v>181988.54701046296</v>
      </c>
      <c r="AE19" s="101">
        <f>IF('Net zero activities &amp; levers'!$C$12="Off",(((Data!$AJ$7*'Intermediate calculations'!AE4)+Data!$AK$7)*Drivers!AF4),IF('Net zero activities &amp; levers'!$C$12="PB",(((Data!$AJ$7*'Intermediate calculations'!AE4)+Data!$AK$7)*Drivers!AF4),IF('Net zero activities &amp; levers'!$C$12="MS",'Net zero supporting data'!H206,"ERROR")))</f>
        <v>184927.08513753486</v>
      </c>
      <c r="AF19" s="101">
        <f>IF('Net zero activities &amp; levers'!$C$12="Off",(((Data!$AJ$7*'Intermediate calculations'!AF4)+Data!$AK$7)*Drivers!AG4),IF('Net zero activities &amp; levers'!$C$12="PB",(((Data!$AJ$7*'Intermediate calculations'!AF4)+Data!$AK$7)*Drivers!AG4),IF('Net zero activities &amp; levers'!$C$12="MS",'Net zero supporting data'!I206,"ERROR")))</f>
        <v>187895.52865099558</v>
      </c>
      <c r="AG19" s="101">
        <f>IF('Net zero activities &amp; levers'!$C$12="Off",(((Data!$AJ$7*'Intermediate calculations'!AG4)+Data!$AK$7)*Drivers!AH4),IF('Net zero activities &amp; levers'!$C$12="PB",(((Data!$AJ$7*'Intermediate calculations'!AG4)+Data!$AK$7)*Drivers!AH4),IF('Net zero activities &amp; levers'!$C$12="MS",'Net zero supporting data'!J206,"ERROR")))</f>
        <v>190752.40472608875</v>
      </c>
      <c r="AH19" s="101">
        <f>IF('Net zero activities &amp; levers'!$C$12="Off",(((Data!$AJ$7*'Intermediate calculations'!AH4)+Data!$AK$7)*Drivers!AI4),IF('Net zero activities &amp; levers'!$C$12="PB",(((Data!$AJ$7*'Intermediate calculations'!AH4)+Data!$AK$7)*Drivers!AI4),IF('Net zero activities &amp; levers'!$C$12="MS",'Net zero supporting data'!K206,"ERROR")))</f>
        <v>192974.78877580643</v>
      </c>
      <c r="AI19" s="101">
        <f>IF('Net zero activities &amp; levers'!$C$12="Off",(((Data!$AJ$7*'Intermediate calculations'!AI4)+Data!$AK$7)*Drivers!AJ4),IF('Net zero activities &amp; levers'!$C$12="PB",(((Data!$AJ$7*'Intermediate calculations'!AI4)+Data!$AK$7)*Drivers!AJ4),IF('Net zero activities &amp; levers'!$C$12="MS",'Net zero supporting data'!L206,"ERROR")))</f>
        <v>195218.29304016419</v>
      </c>
      <c r="AJ19" s="101">
        <f>IF('Net zero activities &amp; levers'!$C$12="Off",(((Data!$AJ$7*'Intermediate calculations'!AJ4)+Data!$AK$7)*Drivers!AK4),IF('Net zero activities &amp; levers'!$C$12="PB",(((Data!$AJ$7*'Intermediate calculations'!AJ4)+Data!$AK$7)*Drivers!AK4),IF('Net zero activities &amp; levers'!$C$12="MS",'Net zero supporting data'!M206,"ERROR")))</f>
        <v>197487.43678694504</v>
      </c>
      <c r="AK19" s="101">
        <f>IF('Net zero activities &amp; levers'!$C$12="Off",(((Data!$AJ$7*'Intermediate calculations'!AK4)+Data!$AK$7)*Drivers!AL4),IF('Net zero activities &amp; levers'!$C$12="PB",(((Data!$AJ$7*'Intermediate calculations'!AK4)+Data!$AK$7)*Drivers!AL4),IF('Net zero activities &amp; levers'!$C$12="MS",'Net zero supporting data'!N206,"ERROR")))</f>
        <v>199789.36100348399</v>
      </c>
      <c r="AL19" s="101">
        <f>IF('Net zero activities &amp; levers'!$C$12="Off",(((Data!$AJ$7*'Intermediate calculations'!AL4)+Data!$AK$7)*Drivers!AM4),IF('Net zero activities &amp; levers'!$C$12="PB",(((Data!$AJ$7*'Intermediate calculations'!AL4)+Data!$AK$7)*Drivers!AM4),IF('Net zero activities &amp; levers'!$C$12="MS",'Net zero supporting data'!O206,"ERROR")))</f>
        <v>202117.59420515937</v>
      </c>
      <c r="AM19" s="101">
        <f>IF('Net zero activities &amp; levers'!$C$12="Off",(((Data!$AJ$7*'Intermediate calculations'!AM4)+Data!$AK$7)*Drivers!AN4),IF('Net zero activities &amp; levers'!$C$12="PB",(((Data!$AJ$7*'Intermediate calculations'!AM4)+Data!$AK$7)*Drivers!AN4),IF('Net zero activities &amp; levers'!$C$12="MS",'Net zero supporting data'!P206,"ERROR")))</f>
        <v>204139.92352821166</v>
      </c>
      <c r="AN19" s="101">
        <f>IF('Net zero activities &amp; levers'!$C$12="Off",(((Data!$AJ$7*'Intermediate calculations'!AN4)+Data!$AK$7)*Drivers!AO4),IF('Net zero activities &amp; levers'!$C$12="PB",(((Data!$AJ$7*'Intermediate calculations'!AN4)+Data!$AK$7)*Drivers!AO4),IF('Net zero activities &amp; levers'!$C$12="MS",'Net zero supporting data'!Q206,"ERROR")))</f>
        <v>206180.36661102952</v>
      </c>
      <c r="AO19" s="101">
        <f>IF('Net zero activities &amp; levers'!$C$12="Off",(((Data!$AJ$7*'Intermediate calculations'!AO4)+Data!$AK$7)*Drivers!AP4),IF('Net zero activities &amp; levers'!$C$12="PB",(((Data!$AJ$7*'Intermediate calculations'!AO4)+Data!$AK$7)*Drivers!AP4),IF('Net zero activities &amp; levers'!$C$12="MS",'Net zero supporting data'!R206,"ERROR")))</f>
        <v>208243.52318395203</v>
      </c>
      <c r="AP19" s="101">
        <f>IF('Net zero activities &amp; levers'!$C$12="Off",(((Data!$AJ$7*'Intermediate calculations'!AP4)+Data!$AK$7)*Drivers!AQ4),IF('Net zero activities &amp; levers'!$C$12="PB",(((Data!$AJ$7*'Intermediate calculations'!AP4)+Data!$AK$7)*Drivers!AQ4),IF('Net zero activities &amp; levers'!$C$12="MS",'Net zero supporting data'!S206,"ERROR")))</f>
        <v>210323.5639859825</v>
      </c>
      <c r="AQ19" s="101">
        <f>IF('Net zero activities &amp; levers'!$C$12="Off",(((Data!$AJ$7*'Intermediate calculations'!AQ4)+Data!$AK$7)*Drivers!AR4),IF('Net zero activities &amp; levers'!$C$12="PB",(((Data!$AJ$7*'Intermediate calculations'!AQ4)+Data!$AK$7)*Drivers!AR4),IF('Net zero activities &amp; levers'!$C$12="MS",'Net zero supporting data'!T206,"ERROR")))</f>
        <v>212424.93171627852</v>
      </c>
      <c r="AR19" s="101">
        <f>IF('Net zero activities &amp; levers'!$C$12="Off",(((Data!$AJ$7*'Intermediate calculations'!AR4)+Data!$AK$7)*Drivers!AS4),IF('Net zero activities &amp; levers'!$C$12="PB",(((Data!$AJ$7*'Intermediate calculations'!AR4)+Data!$AK$7)*Drivers!AS4),IF('Net zero activities &amp; levers'!$C$12="MS",'Net zero supporting data'!U206,"ERROR")))</f>
        <v>214280.32622509557</v>
      </c>
      <c r="AS19" s="101">
        <f>IF('Net zero activities &amp; levers'!$C$12="Off",(((Data!$AJ$7*'Intermediate calculations'!AS4)+Data!$AK$7)*Drivers!AT4),IF('Net zero activities &amp; levers'!$C$12="PB",(((Data!$AJ$7*'Intermediate calculations'!AS4)+Data!$AK$7)*Drivers!AT4),IF('Net zero activities &amp; levers'!$C$12="MS",'Net zero supporting data'!V206,"ERROR")))</f>
        <v>216155.82856124273</v>
      </c>
      <c r="AT19" s="101">
        <f>IF('Net zero activities &amp; levers'!$C$12="Off",(((Data!$AJ$7*'Intermediate calculations'!AT4)+Data!$AK$7)*Drivers!AU4),IF('Net zero activities &amp; levers'!$C$12="PB",(((Data!$AJ$7*'Intermediate calculations'!AT4)+Data!$AK$7)*Drivers!AU4),IF('Net zero activities &amp; levers'!$C$12="MS",'Net zero supporting data'!W206,"ERROR")))</f>
        <v>218049.07079325794</v>
      </c>
      <c r="AU19" s="101">
        <f>IF('Net zero activities &amp; levers'!$C$12="Off",(((Data!$AJ$7*'Intermediate calculations'!AU4)+Data!$AK$7)*Drivers!AV4),IF('Net zero activities &amp; levers'!$C$12="PB",(((Data!$AJ$7*'Intermediate calculations'!AU4)+Data!$AK$7)*Drivers!AV4),IF('Net zero activities &amp; levers'!$C$12="MS",'Net zero supporting data'!X206,"ERROR")))</f>
        <v>219903.00135317846</v>
      </c>
      <c r="AV19" s="101">
        <f>IF('Net zero activities &amp; levers'!$C$12="Off",(((Data!$AJ$7*'Intermediate calculations'!AV4)+Data!$AK$7)*Drivers!AW4),IF('Net zero activities &amp; levers'!$C$12="PB",(((Data!$AJ$7*'Intermediate calculations'!AV4)+Data!$AK$7)*Drivers!AW4),IF('Net zero activities &amp; levers'!$C$12="MS",'Net zero supporting data'!Y206,"ERROR")))</f>
        <v>219078.79436524003</v>
      </c>
      <c r="AW19" s="101">
        <f>IF('Net zero activities &amp; levers'!$C$12="Off",(((Data!$AJ$7*'Intermediate calculations'!AW4)+Data!$AK$7)*Drivers!AX4),IF('Net zero activities &amp; levers'!$C$12="PB",(((Data!$AJ$7*'Intermediate calculations'!AW4)+Data!$AK$7)*Drivers!AX4),IF('Net zero activities &amp; levers'!$C$12="MS",'Net zero supporting data'!Z206,"ERROR")))</f>
        <v>220682.70449162388</v>
      </c>
      <c r="AX19" s="101">
        <f>IF('Net zero activities &amp; levers'!$C$12="Off",(((Data!$AJ$7*'Intermediate calculations'!AX4)+Data!$AK$7)*Drivers!AY4),IF('Net zero activities &amp; levers'!$C$12="PB",(((Data!$AJ$7*'Intermediate calculations'!AX4)+Data!$AK$7)*Drivers!AY4),IF('Net zero activities &amp; levers'!$C$12="MS",'Net zero supporting data'!AA206,"ERROR")))</f>
        <v>222298.35709495988</v>
      </c>
      <c r="AY19" s="101">
        <f>IF('Net zero activities &amp; levers'!$C$12="Off",(((Data!$AJ$7*'Intermediate calculations'!AY4)+Data!$AK$7)*Drivers!AZ4),IF('Net zero activities &amp; levers'!$C$12="PB",(((Data!$AJ$7*'Intermediate calculations'!AY4)+Data!$AK$7)*Drivers!AZ4),IF('Net zero activities &amp; levers'!$C$12="MS",'Net zero supporting data'!AB206,"ERROR")))</f>
        <v>223925.83814375859</v>
      </c>
      <c r="AZ19" s="101">
        <f>IF('Net zero activities &amp; levers'!$C$12="Off",(((Data!$AJ$7*'Intermediate calculations'!AZ4)+Data!$AK$7)*Drivers!BA4),IF('Net zero activities &amp; levers'!$C$12="PB",(((Data!$AJ$7*'Intermediate calculations'!AZ4)+Data!$AK$7)*Drivers!BA4),IF('Net zero activities &amp; levers'!$C$12="MS",'Net zero supporting data'!AC206,"ERROR")))</f>
        <v>225565.23423591984</v>
      </c>
      <c r="BA19" s="101">
        <f>IF('Net zero activities &amp; levers'!$C$12="Off",(((Data!$AJ$7*'Intermediate calculations'!BA4)+Data!$AK$7)*Drivers!BB4),IF('Net zero activities &amp; levers'!$C$12="PB",(((Data!$AJ$7*'Intermediate calculations'!BA4)+Data!$AK$7)*Drivers!BB4),IF('Net zero activities &amp; levers'!$C$12="MS",'Net zero supporting data'!AD206,"ERROR")))</f>
        <v>227216.63260334008</v>
      </c>
      <c r="BB19" s="101">
        <f>IF('Net zero activities &amp; levers'!$C$12="Off",(((Data!$AJ$7*'Intermediate calculations'!BB4)+Data!$AK$7)*Drivers!BC4),IF('Net zero activities &amp; levers'!$C$12="PB",(((Data!$AJ$7*'Intermediate calculations'!BB4)+Data!$AK$7)*Drivers!BC4),IF('Net zero activities &amp; levers'!$C$12="MS",'Net zero supporting data'!AE206,"ERROR")))</f>
        <v>228627.85909393383</v>
      </c>
      <c r="BC19" s="101">
        <f>IF('Net zero activities &amp; levers'!$C$12="Off",(((Data!$AJ$7*'Intermediate calculations'!BC4)+Data!$AK$7)*Drivers!BD4),IF('Net zero activities &amp; levers'!$C$12="PB",(((Data!$AJ$7*'Intermediate calculations'!BC4)+Data!$AK$7)*Drivers!BD4),IF('Net zero activities &amp; levers'!$C$12="MS",'Net zero supporting data'!AF206,"ERROR")))</f>
        <v>230047.85061279565</v>
      </c>
      <c r="BD19" s="101">
        <f>IF('Net zero activities &amp; levers'!$C$12="Off",(((Data!$AJ$7*'Intermediate calculations'!BD4)+Data!$AK$7)*Drivers!BE4),IF('Net zero activities &amp; levers'!$C$12="PB",(((Data!$AJ$7*'Intermediate calculations'!BD4)+Data!$AK$7)*Drivers!BE4),IF('Net zero activities &amp; levers'!$C$12="MS",'Net zero supporting data'!AG206,"ERROR")))</f>
        <v>231476.66159889838</v>
      </c>
      <c r="BE19" s="101">
        <f>IF('Net zero activities &amp; levers'!$C$12="Off",(((Data!$AJ$7*'Intermediate calculations'!BE4)+Data!$AK$7)*Drivers!BF4),IF('Net zero activities &amp; levers'!$C$12="PB",(((Data!$AJ$7*'Intermediate calculations'!BE4)+Data!$AK$7)*Drivers!BF4),IF('Net zero activities &amp; levers'!$C$12="MS",'Net zero supporting data'!AH206,"ERROR")))</f>
        <v>232914.34682933148</v>
      </c>
      <c r="BF19" s="101">
        <f>IF('Net zero activities &amp; levers'!$C$12="Off",(((Data!$AJ$7*'Intermediate calculations'!BF4)+Data!$AK$7)*Drivers!BG4),IF('Net zero activities &amp; levers'!$C$12="PB",(((Data!$AJ$7*'Intermediate calculations'!BF4)+Data!$AK$7)*Drivers!BG4),IF('Net zero activities &amp; levers'!$C$12="MS",'Net zero supporting data'!AI206,"ERROR")))</f>
        <v>234360.96142140098</v>
      </c>
      <c r="BG19" s="101">
        <f>IF('Net zero activities &amp; levers'!$C$12="Off",(((Data!$AJ$7*'Intermediate calculations'!BG4)+Data!$AK$7)*Drivers!BH4),IF('Net zero activities &amp; levers'!$C$12="PB",(((Data!$AJ$7*'Intermediate calculations'!BG4)+Data!$AK$7)*Drivers!BH4),IF('Net zero activities &amp; levers'!$C$12="MS",'Net zero supporting data'!AJ206,"ERROR")))</f>
        <v>235557.33662717315</v>
      </c>
      <c r="BH19" s="101">
        <f>IF('Net zero activities &amp; levers'!$C$12="Off",(((Data!$AJ$7*'Intermediate calculations'!BH4)+Data!$AK$7)*Drivers!BI4),IF('Net zero activities &amp; levers'!$C$12="PB",(((Data!$AJ$7*'Intermediate calculations'!BH4)+Data!$AK$7)*Drivers!BI4),IF('Net zero activities &amp; levers'!$C$12="MS",'Net zero supporting data'!AK206,"ERROR")))</f>
        <v>236759.81913692766</v>
      </c>
      <c r="BI19" s="101">
        <f>IF('Net zero activities &amp; levers'!$C$12="Off",(((Data!$AJ$7*'Intermediate calculations'!BI4)+Data!$AK$7)*Drivers!BJ4),IF('Net zero activities &amp; levers'!$C$12="PB",(((Data!$AJ$7*'Intermediate calculations'!BI4)+Data!$AK$7)*Drivers!BJ4),IF('Net zero activities &amp; levers'!$C$12="MS",'Net zero supporting data'!AL206,"ERROR")))</f>
        <v>237968.44012747399</v>
      </c>
      <c r="BJ19" s="101">
        <f>IF('Net zero activities &amp; levers'!$C$12="Off",(((Data!$AJ$7*'Intermediate calculations'!BJ4)+Data!$AK$7)*Drivers!BK4),IF('Net zero activities &amp; levers'!$C$12="PB",(((Data!$AJ$7*'Intermediate calculations'!BJ4)+Data!$AK$7)*Drivers!BK4),IF('Net zero activities &amp; levers'!$C$12="MS",'Net zero supporting data'!AM206,"ERROR")))</f>
        <v>239183.23093477439</v>
      </c>
      <c r="BK19" s="101">
        <f>IF('Net zero activities &amp; levers'!$C$12="Off",(((Data!$AJ$7*'Intermediate calculations'!BK4)+Data!$AK$7)*Drivers!BL4),IF('Net zero activities &amp; levers'!$C$12="PB",(((Data!$AJ$7*'Intermediate calculations'!BK4)+Data!$AK$7)*Drivers!BL4),IF('Net zero activities &amp; levers'!$C$12="MS",'Net zero supporting data'!AN206,"ERROR")))</f>
        <v>240404.22305475603</v>
      </c>
      <c r="BL19">
        <v>244852.13415497527</v>
      </c>
    </row>
    <row r="20" spans="1:64" x14ac:dyDescent="0.25">
      <c r="A20" t="s">
        <v>332</v>
      </c>
      <c r="B20" t="s">
        <v>322</v>
      </c>
      <c r="C20" s="22">
        <f>C19/Drivers!D4</f>
        <v>4.6999349927469751E-3</v>
      </c>
      <c r="D20" s="22">
        <f>D19/Drivers!E4</f>
        <v>5.1337590256356549E-3</v>
      </c>
      <c r="E20" s="22">
        <f>E19/Drivers!F4</f>
        <v>4.8370155133322145E-3</v>
      </c>
      <c r="F20" s="22">
        <f>F19/Drivers!G4</f>
        <v>4.4825432869713315E-3</v>
      </c>
      <c r="G20" s="22">
        <f>G19/Drivers!H4</f>
        <v>3.615022845716697E-3</v>
      </c>
      <c r="H20" s="22">
        <f>H19/Drivers!I4</f>
        <v>2.6769149486779026E-3</v>
      </c>
      <c r="I20" s="22">
        <f>I19/Drivers!J4</f>
        <v>3.1822155014234865E-3</v>
      </c>
      <c r="J20" s="22">
        <f>J19/Drivers!K4</f>
        <v>3.1050915056369576E-3</v>
      </c>
      <c r="K20" s="22">
        <f>K19/Drivers!L4</f>
        <v>3.1202598034076076E-3</v>
      </c>
      <c r="L20" s="22">
        <f>L19/Drivers!M4</f>
        <v>3.2648794977318042E-3</v>
      </c>
      <c r="M20" s="22">
        <f>M19/Drivers!N4</f>
        <v>3.4073339917613768E-3</v>
      </c>
      <c r="N20" s="22">
        <f>N19/Drivers!O4</f>
        <v>3.2796976446170891E-3</v>
      </c>
      <c r="O20" s="22">
        <f>O19/Drivers!P4</f>
        <v>2.9737223183428679E-3</v>
      </c>
      <c r="P20" s="22">
        <f>P19/Drivers!Q4</f>
        <v>2.9375505520257668E-3</v>
      </c>
      <c r="Q20" s="22">
        <f>Q19/Drivers!R4</f>
        <v>3.0411313973028199E-3</v>
      </c>
      <c r="R20" s="22">
        <f>R19/Drivers!S4</f>
        <v>3.2982042142704099E-3</v>
      </c>
      <c r="S20" s="22">
        <f>S19/Drivers!T4</f>
        <v>3.4118755583558893E-3</v>
      </c>
      <c r="T20" s="22">
        <f>T19/Drivers!U4</f>
        <v>3.8847910471221979E-3</v>
      </c>
      <c r="U20" s="22">
        <f>U19/Drivers!V4</f>
        <v>3.5689411002378874E-3</v>
      </c>
      <c r="V20" s="22">
        <f>V19/Drivers!W4</f>
        <v>3.3520209823834457E-3</v>
      </c>
      <c r="W20" s="22">
        <f>W19/Drivers!X4</f>
        <v>3.1934731625248227E-3</v>
      </c>
      <c r="X20" s="22">
        <f>X19/Drivers!Y4</f>
        <v>2.8016982945137554E-3</v>
      </c>
      <c r="Y20" s="22">
        <f>Y19/Drivers!Z4</f>
        <v>3.219997473719653E-3</v>
      </c>
      <c r="Z20" s="22">
        <f>Z19/Drivers!AA4</f>
        <v>3.2203085701816084E-3</v>
      </c>
      <c r="AA20" s="22">
        <f>AA19/Drivers!AB4</f>
        <v>3.2203852162801085E-3</v>
      </c>
      <c r="AB20" s="22">
        <f>AB19/Drivers!AC4</f>
        <v>3.2201510645989248E-3</v>
      </c>
      <c r="AC20" s="22">
        <f>AC19/Drivers!AD4</f>
        <v>3.219903334202379E-3</v>
      </c>
      <c r="AD20" s="22">
        <f>AD19/Drivers!AE4</f>
        <v>3.2197854694669234E-3</v>
      </c>
      <c r="AE20" s="22">
        <f>AE19/Drivers!AF4</f>
        <v>3.2197068589388347E-3</v>
      </c>
      <c r="AF20" s="22">
        <f>AF19/Drivers!AG4</f>
        <v>3.2193276808318641E-3</v>
      </c>
      <c r="AG20" s="22">
        <f>AG19/Drivers!AH4</f>
        <v>3.2162640032360984E-3</v>
      </c>
      <c r="AH20" s="22">
        <f>AH19/Drivers!AI4</f>
        <v>3.2166978654479851E-3</v>
      </c>
      <c r="AI20" s="22">
        <f>AI19/Drivers!AJ4</f>
        <v>3.2170531481339722E-3</v>
      </c>
      <c r="AJ20" s="22">
        <f>AJ19/Drivers!AK4</f>
        <v>3.2174012486401314E-3</v>
      </c>
      <c r="AK20" s="22">
        <f>AK19/Drivers!AL4</f>
        <v>3.2178525439573572E-3</v>
      </c>
      <c r="AL20" s="22">
        <f>AL19/Drivers!AM4</f>
        <v>3.2182955849745288E-3</v>
      </c>
      <c r="AM20" s="22">
        <f>AM19/Drivers!AN4</f>
        <v>3.218803128382729E-3</v>
      </c>
      <c r="AN20" s="22">
        <f>AN19/Drivers!AO4</f>
        <v>3.2192776336188024E-3</v>
      </c>
      <c r="AO20" s="22">
        <f>AO19/Drivers!AP4</f>
        <v>3.219788058434338E-3</v>
      </c>
      <c r="AP20" s="22">
        <f>AP19/Drivers!AQ4</f>
        <v>3.2202409818417313E-3</v>
      </c>
      <c r="AQ20" s="22">
        <f>AQ19/Drivers!AR4</f>
        <v>3.2207023144682849E-3</v>
      </c>
      <c r="AR20" s="22">
        <f>AR19/Drivers!AS4</f>
        <v>3.2213412664302628E-3</v>
      </c>
      <c r="AS20" s="22">
        <f>AS19/Drivers!AT4</f>
        <v>3.2220385110357506E-3</v>
      </c>
      <c r="AT20" s="22">
        <f>AT19/Drivers!AU4</f>
        <v>3.2227554817359809E-3</v>
      </c>
      <c r="AU20" s="22">
        <f>AU19/Drivers!AV4</f>
        <v>3.2226534918057687E-3</v>
      </c>
      <c r="AV20" s="22">
        <f>AV19/Drivers!AW4</f>
        <v>3.1834067738125017E-3</v>
      </c>
      <c r="AW20" s="22">
        <f>AW19/Drivers!AX4</f>
        <v>3.1834067738125017E-3</v>
      </c>
      <c r="AX20" s="22">
        <f>AX19/Drivers!AY4</f>
        <v>3.1834067738125017E-3</v>
      </c>
      <c r="AY20" s="22">
        <f>AY19/Drivers!AZ4</f>
        <v>3.1834067738125017E-3</v>
      </c>
      <c r="AZ20" s="22">
        <f>AZ19/Drivers!BA4</f>
        <v>3.1834067738125017E-3</v>
      </c>
      <c r="BA20" s="22">
        <f>BA19/Drivers!BB4</f>
        <v>3.1834067738125017E-3</v>
      </c>
      <c r="BB20" s="22">
        <f>BB19/Drivers!BC4</f>
        <v>3.1834067738125017E-3</v>
      </c>
      <c r="BC20" s="22">
        <f>BC19/Drivers!BD4</f>
        <v>3.1834067738125017E-3</v>
      </c>
      <c r="BD20" s="22">
        <f>BD19/Drivers!BE4</f>
        <v>3.1834067738125017E-3</v>
      </c>
      <c r="BE20" s="22">
        <f>BE19/Drivers!BF4</f>
        <v>3.1834067738125017E-3</v>
      </c>
      <c r="BF20" s="22">
        <f>BF19/Drivers!BG4</f>
        <v>3.1834067738125017E-3</v>
      </c>
      <c r="BG20" s="22">
        <f>BG19/Drivers!BH4</f>
        <v>3.1834067738125017E-3</v>
      </c>
      <c r="BH20" s="22">
        <f>BH19/Drivers!BI4</f>
        <v>3.1834067738125017E-3</v>
      </c>
      <c r="BI20" s="22">
        <f>BI19/Drivers!BJ4</f>
        <v>3.1834067738125017E-3</v>
      </c>
      <c r="BJ20" s="22">
        <f>BJ19/Drivers!BK4</f>
        <v>3.1834067738125017E-3</v>
      </c>
      <c r="BK20" s="22">
        <f>BK19/Drivers!BL4</f>
        <v>3.1834067738125017E-3</v>
      </c>
      <c r="BL20">
        <v>3.2423016255061742E-3</v>
      </c>
    </row>
    <row r="21" spans="1:64" x14ac:dyDescent="0.25">
      <c r="A21" t="s">
        <v>332</v>
      </c>
      <c r="B21" t="s">
        <v>663</v>
      </c>
      <c r="C21" s="22">
        <f>C20*1000</f>
        <v>4.6999349927469751</v>
      </c>
      <c r="D21" s="22">
        <f t="shared" ref="D21:X21" si="5">D20*1000</f>
        <v>5.1337590256356549</v>
      </c>
      <c r="E21" s="22">
        <f t="shared" si="5"/>
        <v>4.8370155133322141</v>
      </c>
      <c r="F21" s="22">
        <f t="shared" si="5"/>
        <v>4.4825432869713318</v>
      </c>
      <c r="G21" s="22">
        <f t="shared" si="5"/>
        <v>3.6150228457166969</v>
      </c>
      <c r="H21" s="22">
        <f t="shared" si="5"/>
        <v>2.6769149486779025</v>
      </c>
      <c r="I21" s="22">
        <f t="shared" si="5"/>
        <v>3.1822155014234865</v>
      </c>
      <c r="J21" s="22">
        <f t="shared" si="5"/>
        <v>3.1050915056369575</v>
      </c>
      <c r="K21" s="22">
        <f t="shared" si="5"/>
        <v>3.1202598034076074</v>
      </c>
      <c r="L21" s="22">
        <f t="shared" si="5"/>
        <v>3.2648794977318043</v>
      </c>
      <c r="M21" s="22">
        <f t="shared" si="5"/>
        <v>3.407333991761377</v>
      </c>
      <c r="N21" s="22">
        <f t="shared" si="5"/>
        <v>3.2796976446170891</v>
      </c>
      <c r="O21" s="22">
        <f t="shared" si="5"/>
        <v>2.973722318342868</v>
      </c>
      <c r="P21" s="22">
        <f t="shared" si="5"/>
        <v>2.9375505520257668</v>
      </c>
      <c r="Q21" s="22">
        <f t="shared" si="5"/>
        <v>3.04113139730282</v>
      </c>
      <c r="R21" s="22">
        <f t="shared" si="5"/>
        <v>3.29820421427041</v>
      </c>
      <c r="S21" s="22">
        <f t="shared" si="5"/>
        <v>3.4118755583558893</v>
      </c>
      <c r="T21" s="22">
        <f t="shared" si="5"/>
        <v>3.884791047122198</v>
      </c>
      <c r="U21" s="22">
        <f t="shared" si="5"/>
        <v>3.5689411002378875</v>
      </c>
      <c r="V21" s="22">
        <f t="shared" si="5"/>
        <v>3.3520209823834457</v>
      </c>
      <c r="W21" s="22">
        <f t="shared" si="5"/>
        <v>3.1934731625248225</v>
      </c>
      <c r="X21" s="22">
        <f t="shared" si="5"/>
        <v>2.8016982945137556</v>
      </c>
      <c r="Y21" s="22">
        <f>Y20*1000</f>
        <v>3.2199974737196531</v>
      </c>
      <c r="Z21" s="22">
        <f t="shared" ref="Z21:BK21" si="6">Z20*1000</f>
        <v>3.2203085701816083</v>
      </c>
      <c r="AA21" s="22">
        <f t="shared" si="6"/>
        <v>3.2203852162801083</v>
      </c>
      <c r="AB21" s="22">
        <f t="shared" si="6"/>
        <v>3.2201510645989249</v>
      </c>
      <c r="AC21" s="22">
        <f t="shared" si="6"/>
        <v>3.2199033342023791</v>
      </c>
      <c r="AD21" s="22">
        <f t="shared" si="6"/>
        <v>3.2197854694669235</v>
      </c>
      <c r="AE21" s="22">
        <f t="shared" si="6"/>
        <v>3.2197068589388347</v>
      </c>
      <c r="AF21" s="22">
        <f t="shared" si="6"/>
        <v>3.219327680831864</v>
      </c>
      <c r="AG21" s="22">
        <f t="shared" si="6"/>
        <v>3.2162640032360983</v>
      </c>
      <c r="AH21" s="22">
        <f t="shared" si="6"/>
        <v>3.2166978654479852</v>
      </c>
      <c r="AI21" s="22">
        <f t="shared" si="6"/>
        <v>3.2170531481339721</v>
      </c>
      <c r="AJ21" s="22">
        <f t="shared" si="6"/>
        <v>3.2174012486401313</v>
      </c>
      <c r="AK21" s="22">
        <f t="shared" si="6"/>
        <v>3.2178525439573571</v>
      </c>
      <c r="AL21" s="22">
        <f t="shared" si="6"/>
        <v>3.2182955849745287</v>
      </c>
      <c r="AM21" s="22">
        <f t="shared" si="6"/>
        <v>3.2188031283827292</v>
      </c>
      <c r="AN21" s="22">
        <f t="shared" si="6"/>
        <v>3.2192776336188023</v>
      </c>
      <c r="AO21" s="22">
        <f t="shared" si="6"/>
        <v>3.2197880584343381</v>
      </c>
      <c r="AP21" s="22">
        <f t="shared" si="6"/>
        <v>3.2202409818417315</v>
      </c>
      <c r="AQ21" s="22">
        <f t="shared" si="6"/>
        <v>3.2207023144682849</v>
      </c>
      <c r="AR21" s="22">
        <f t="shared" si="6"/>
        <v>3.221341266430263</v>
      </c>
      <c r="AS21" s="22">
        <f t="shared" si="6"/>
        <v>3.2220385110357506</v>
      </c>
      <c r="AT21" s="22">
        <f t="shared" si="6"/>
        <v>3.2227554817359807</v>
      </c>
      <c r="AU21" s="22">
        <f t="shared" si="6"/>
        <v>3.2226534918057688</v>
      </c>
      <c r="AV21" s="22">
        <f t="shared" si="6"/>
        <v>3.1834067738125018</v>
      </c>
      <c r="AW21" s="22">
        <f t="shared" si="6"/>
        <v>3.1834067738125018</v>
      </c>
      <c r="AX21" s="22">
        <f t="shared" si="6"/>
        <v>3.1834067738125018</v>
      </c>
      <c r="AY21" s="22">
        <f t="shared" si="6"/>
        <v>3.1834067738125018</v>
      </c>
      <c r="AZ21" s="22">
        <f t="shared" si="6"/>
        <v>3.1834067738125018</v>
      </c>
      <c r="BA21" s="22">
        <f t="shared" si="6"/>
        <v>3.1834067738125018</v>
      </c>
      <c r="BB21" s="22">
        <f t="shared" si="6"/>
        <v>3.1834067738125018</v>
      </c>
      <c r="BC21" s="22">
        <f t="shared" si="6"/>
        <v>3.1834067738125018</v>
      </c>
      <c r="BD21" s="22">
        <f t="shared" si="6"/>
        <v>3.1834067738125018</v>
      </c>
      <c r="BE21" s="22">
        <f t="shared" si="6"/>
        <v>3.1834067738125018</v>
      </c>
      <c r="BF21" s="22">
        <f t="shared" si="6"/>
        <v>3.1834067738125018</v>
      </c>
      <c r="BG21" s="22">
        <f t="shared" si="6"/>
        <v>3.1834067738125018</v>
      </c>
      <c r="BH21" s="22">
        <f t="shared" si="6"/>
        <v>3.1834067738125018</v>
      </c>
      <c r="BI21" s="22">
        <f t="shared" si="6"/>
        <v>3.1834067738125018</v>
      </c>
      <c r="BJ21" s="22">
        <f t="shared" si="6"/>
        <v>3.1834067738125018</v>
      </c>
      <c r="BK21" s="22">
        <f t="shared" si="6"/>
        <v>3.1834067738125018</v>
      </c>
      <c r="BL21">
        <v>3.2423016255061743</v>
      </c>
    </row>
    <row r="22" spans="1:64" x14ac:dyDescent="0.25">
      <c r="A22" t="s">
        <v>340</v>
      </c>
      <c r="B22" t="s">
        <v>321</v>
      </c>
      <c r="C22" s="22">
        <f>C17*Constants!$H$27</f>
        <v>11040</v>
      </c>
      <c r="D22" s="22">
        <f>D17*Constants!$H$27</f>
        <v>12360</v>
      </c>
      <c r="E22" s="22">
        <f>E17*Constants!$H$27</f>
        <v>11940</v>
      </c>
      <c r="F22" s="22">
        <f>F17*Constants!$H$27</f>
        <v>11340</v>
      </c>
      <c r="G22" s="22">
        <f>G17*Constants!$H$27</f>
        <v>9360</v>
      </c>
      <c r="H22" s="22">
        <f>H17*Constants!$H$27</f>
        <v>7080</v>
      </c>
      <c r="I22" s="22">
        <f>I17*Constants!$H$27</f>
        <v>8580</v>
      </c>
      <c r="J22" s="22">
        <f>J17*Constants!$H$27</f>
        <v>8520</v>
      </c>
      <c r="K22" s="22">
        <f>K17*Constants!$H$27</f>
        <v>8700</v>
      </c>
      <c r="L22" s="22">
        <f>L17*Constants!$H$27</f>
        <v>9240</v>
      </c>
      <c r="M22" s="22">
        <f>M17*Constants!$H$27</f>
        <v>9780</v>
      </c>
      <c r="N22" s="22">
        <f>N17*Constants!$H$27</f>
        <v>9540</v>
      </c>
      <c r="O22" s="22">
        <f>O17*Constants!$H$27</f>
        <v>8760</v>
      </c>
      <c r="P22" s="22">
        <f>P17*Constants!$H$27</f>
        <v>8760</v>
      </c>
      <c r="Q22" s="22">
        <f>Q17*Constants!$H$27</f>
        <v>9180</v>
      </c>
      <c r="R22" s="22">
        <f>R17*Constants!$H$27</f>
        <v>10080</v>
      </c>
      <c r="S22" s="22">
        <f>S17*Constants!$H$27</f>
        <v>10560</v>
      </c>
      <c r="T22" s="22">
        <f>T17*Constants!$H$27</f>
        <v>12180</v>
      </c>
      <c r="U22" s="22">
        <f>U17*Constants!$H$27</f>
        <v>11340</v>
      </c>
      <c r="V22" s="22">
        <f>V17*Constants!$H$27</f>
        <v>10800</v>
      </c>
      <c r="W22" s="22">
        <f>W17*Constants!$H$27</f>
        <v>10440</v>
      </c>
      <c r="X22" s="22">
        <f>X17*Constants!$H$27</f>
        <v>9300</v>
      </c>
      <c r="Y22" s="22">
        <f>((Data!$AJ$8*'Net zero Intermediate calcs'!Y4)+Data!$AK$8)*Drivers!Z4</f>
        <v>10754.53798031189</v>
      </c>
      <c r="Z22" s="22">
        <f>((Data!$AJ$8*'Net zero Intermediate calcs'!Z4)+Data!$AK$8)*Drivers!AA4</f>
        <v>10915.692180401931</v>
      </c>
      <c r="AA22" s="22">
        <f>((Data!$AJ$8*'Net zero Intermediate calcs'!AA4)+Data!$AK$8)*Drivers!AB4</f>
        <v>11082.0373689808</v>
      </c>
      <c r="AB22" s="22">
        <f>((Data!$AJ$8*'Net zero Intermediate calcs'!AB4)+Data!$AK$8)*Drivers!AC4</f>
        <v>11253.501277889807</v>
      </c>
      <c r="AC22" s="22">
        <f>((Data!$AJ$8*'Net zero Intermediate calcs'!AC4)+Data!$AK$8)*Drivers!AD4</f>
        <v>11431.329687250651</v>
      </c>
      <c r="AD22" s="22">
        <f>((Data!$AJ$8*'Net zero Intermediate calcs'!AD4)+Data!$AK$8)*Drivers!AE4</f>
        <v>11616.290234710405</v>
      </c>
      <c r="AE22" s="22">
        <f>((Data!$AJ$8*'Net zero Intermediate calcs'!AE4)+Data!$AK$8)*Drivers!AF4</f>
        <v>11803.856498140527</v>
      </c>
      <c r="AF22" s="22">
        <f>((Data!$AJ$8*'Net zero Intermediate calcs'!AF4)+Data!$AK$8)*Drivers!AG4</f>
        <v>11993.331616020998</v>
      </c>
      <c r="AG22" s="22">
        <f>((Data!$AJ$8*'Net zero Intermediate calcs'!AG4)+Data!$AK$8)*Drivers!AH4</f>
        <v>12175.685408048223</v>
      </c>
      <c r="AH22" s="22">
        <f>((Data!$AJ$8*'Net zero Intermediate calcs'!AH4)+Data!$AK$8)*Drivers!AI4</f>
        <v>12317.539709094031</v>
      </c>
      <c r="AI22" s="22">
        <f>((Data!$AJ$8*'Net zero Intermediate calcs'!AI4)+Data!$AK$8)*Drivers!AJ4</f>
        <v>12460.742108946653</v>
      </c>
      <c r="AJ22" s="22">
        <f>((Data!$AJ$8*'Net zero Intermediate calcs'!AJ4)+Data!$AK$8)*Drivers!AK4</f>
        <v>12605.581071507133</v>
      </c>
      <c r="AK22" s="22">
        <f>((Data!$AJ$8*'Net zero Intermediate calcs'!AK4)+Data!$AK$8)*Drivers!AL4</f>
        <v>12752.512404477706</v>
      </c>
      <c r="AL22" s="22">
        <f>((Data!$AJ$8*'Net zero Intermediate calcs'!AL4)+Data!$AK$8)*Drivers!AM4</f>
        <v>12901.12303437188</v>
      </c>
      <c r="AM22" s="22">
        <f>((Data!$AJ$8*'Net zero Intermediate calcs'!AM4)+Data!$AK$8)*Drivers!AN4</f>
        <v>13030.207884779471</v>
      </c>
      <c r="AN22" s="22">
        <f>((Data!$AJ$8*'Net zero Intermediate calcs'!AN4)+Data!$AK$8)*Drivers!AO4</f>
        <v>13160.448932618909</v>
      </c>
      <c r="AO22" s="22">
        <f>((Data!$AJ$8*'Net zero Intermediate calcs'!AO4)+Data!$AK$8)*Drivers!AP4</f>
        <v>13292.139777699073</v>
      </c>
      <c r="AP22" s="22">
        <f>((Data!$AJ$8*'Net zero Intermediate calcs'!AP4)+Data!$AK$8)*Drivers!AQ4</f>
        <v>13424.908339530804</v>
      </c>
      <c r="AQ22" s="22">
        <f>((Data!$AJ$8*'Net zero Intermediate calcs'!AQ4)+Data!$AK$8)*Drivers!AR4</f>
        <v>13559.038194656077</v>
      </c>
      <c r="AR22" s="22">
        <f>((Data!$AJ$8*'Net zero Intermediate calcs'!AR4)+Data!$AK$8)*Drivers!AS4</f>
        <v>13677.467631389083</v>
      </c>
      <c r="AS22" s="22">
        <f>((Data!$AJ$8*'Net zero Intermediate calcs'!AS4)+Data!$AK$8)*Drivers!AT4</f>
        <v>13797.180546462305</v>
      </c>
      <c r="AT22" s="22">
        <f>((Data!$AJ$8*'Net zero Intermediate calcs'!AT4)+Data!$AK$8)*Drivers!AU4</f>
        <v>13918.025795314341</v>
      </c>
      <c r="AU22" s="22">
        <f>((Data!$AJ$8*'Net zero Intermediate calcs'!AU4)+Data!$AK$8)*Drivers!AV4</f>
        <v>14036.361788500757</v>
      </c>
      <c r="AV22" s="22">
        <f>((Data!$AJ$8*'Net zero Intermediate calcs'!AV4)+Data!$AK$8)*Drivers!AW4</f>
        <v>13983.752831823833</v>
      </c>
      <c r="AW22" s="22">
        <f>((Data!$AJ$8*'Net zero Intermediate calcs'!AW4)+Data!$AK$8)*Drivers!AX4</f>
        <v>14086.13007393344</v>
      </c>
      <c r="AX22" s="22">
        <f>((Data!$AJ$8*'Net zero Intermediate calcs'!AX4)+Data!$AK$8)*Drivers!AY4</f>
        <v>14189.256835848504</v>
      </c>
      <c r="AY22" s="22">
        <f>((Data!$AJ$8*'Net zero Intermediate calcs'!AY4)+Data!$AK$8)*Drivers!AZ4</f>
        <v>14293.138604920763</v>
      </c>
      <c r="AZ22" s="22">
        <f>((Data!$AJ$8*'Net zero Intermediate calcs'!AZ4)+Data!$AK$8)*Drivers!BA4</f>
        <v>14397.780908675737</v>
      </c>
      <c r="BA22" s="22">
        <f>((Data!$AJ$8*'Net zero Intermediate calcs'!BA4)+Data!$AK$8)*Drivers!BB4</f>
        <v>14503.189315106816</v>
      </c>
      <c r="BB22" s="22">
        <f>((Data!$AJ$8*'Net zero Intermediate calcs'!BB4)+Data!$AK$8)*Drivers!BC4</f>
        <v>14593.267601740459</v>
      </c>
      <c r="BC22" s="22">
        <f>((Data!$AJ$8*'Net zero Intermediate calcs'!BC4)+Data!$AK$8)*Drivers!BD4</f>
        <v>14683.905358263553</v>
      </c>
      <c r="BD22" s="22">
        <f>((Data!$AJ$8*'Net zero Intermediate calcs'!BD4)+Data!$AK$8)*Drivers!BE4</f>
        <v>14775.106059504154</v>
      </c>
      <c r="BE22" s="22">
        <f>((Data!$AJ$8*'Net zero Intermediate calcs'!BE4)+Data!$AK$8)*Drivers!BF4</f>
        <v>14866.873201872224</v>
      </c>
      <c r="BF22" s="22">
        <f>((Data!$AJ$8*'Net zero Intermediate calcs'!BF4)+Data!$AK$8)*Drivers!BG4</f>
        <v>14959.210303493681</v>
      </c>
      <c r="BG22" s="22">
        <f>((Data!$AJ$8*'Net zero Intermediate calcs'!BG4)+Data!$AK$8)*Drivers!BH4</f>
        <v>15035.574678330202</v>
      </c>
      <c r="BH22" s="22">
        <f>((Data!$AJ$8*'Net zero Intermediate calcs'!BH4)+Data!$AK$8)*Drivers!BI4</f>
        <v>15112.32888108049</v>
      </c>
      <c r="BI22" s="22">
        <f>((Data!$AJ$8*'Net zero Intermediate calcs'!BI4)+Data!$AK$8)*Drivers!BJ4</f>
        <v>15189.474901753661</v>
      </c>
      <c r="BJ22" s="22">
        <f>((Data!$AJ$8*'Net zero Intermediate calcs'!BJ4)+Data!$AK$8)*Drivers!BK4</f>
        <v>15267.014740517516</v>
      </c>
      <c r="BK22" s="22">
        <f>((Data!$AJ$8*'Net zero Intermediate calcs'!BK4)+Data!$AK$8)*Drivers!BL4</f>
        <v>15344.950407750386</v>
      </c>
      <c r="BL22">
        <v>15628.85962691332</v>
      </c>
    </row>
    <row r="23" spans="1:64" x14ac:dyDescent="0.25">
      <c r="A23" t="s">
        <v>340</v>
      </c>
      <c r="B23" t="s">
        <v>322</v>
      </c>
      <c r="C23" s="22">
        <f>C22/Drivers!D4</f>
        <v>2.9999585060087078E-4</v>
      </c>
      <c r="D23" s="22">
        <f>D22/Drivers!E4</f>
        <v>3.2768674631716946E-4</v>
      </c>
      <c r="E23" s="22">
        <f>E22/Drivers!F4</f>
        <v>3.0874567106375841E-4</v>
      </c>
      <c r="F23" s="22">
        <f>F22/Drivers!G4</f>
        <v>2.8611978427476583E-4</v>
      </c>
      <c r="G23" s="22">
        <f>G22/Drivers!H4</f>
        <v>2.3074613908829981E-4</v>
      </c>
      <c r="H23" s="22">
        <f>H22/Drivers!I4</f>
        <v>1.7086691161773848E-4</v>
      </c>
      <c r="I23" s="22">
        <f>I22/Drivers!J4</f>
        <v>2.0312013838873316E-4</v>
      </c>
      <c r="J23" s="22">
        <f>J22/Drivers!K4</f>
        <v>1.9819733014703986E-4</v>
      </c>
      <c r="K23" s="22">
        <f>K22/Drivers!L4</f>
        <v>1.9916551936644304E-4</v>
      </c>
      <c r="L23" s="22">
        <f>L22/Drivers!M4</f>
        <v>2.0839656368500879E-4</v>
      </c>
      <c r="M23" s="22">
        <f>M22/Drivers!N4</f>
        <v>2.1748940372944957E-4</v>
      </c>
      <c r="N23" s="22">
        <f>N22/Drivers!O4</f>
        <v>2.093424028478993E-4</v>
      </c>
      <c r="O23" s="22">
        <f>O22/Drivers!P4</f>
        <v>1.8981206287294901E-4</v>
      </c>
      <c r="P23" s="22">
        <f>P22/Drivers!Q4</f>
        <v>1.8750322672504894E-4</v>
      </c>
      <c r="Q23" s="22">
        <f>Q22/Drivers!R4</f>
        <v>1.941147700406055E-4</v>
      </c>
      <c r="R23" s="22">
        <f>R22/Drivers!S4</f>
        <v>2.1052367325130275E-4</v>
      </c>
      <c r="S23" s="22">
        <f>S22/Drivers!T4</f>
        <v>2.1777929095888654E-4</v>
      </c>
      <c r="T23" s="22">
        <f>T22/Drivers!U4</f>
        <v>2.4796538598652329E-4</v>
      </c>
      <c r="U23" s="22">
        <f>U22/Drivers!V4</f>
        <v>2.2780475107901408E-4</v>
      </c>
      <c r="V23" s="22">
        <f>V22/Drivers!W4</f>
        <v>2.1395878610958166E-4</v>
      </c>
      <c r="W23" s="22">
        <f>W22/Drivers!X4</f>
        <v>2.0383871250158445E-4</v>
      </c>
      <c r="X23" s="22">
        <f>X22/Drivers!Y4</f>
        <v>1.788318060327929E-4</v>
      </c>
      <c r="Y23" s="22">
        <f>Y22/Drivers!Z4</f>
        <v>2.0553175364168002E-4</v>
      </c>
      <c r="Z23" s="22">
        <f>Z22/Drivers!AA4</f>
        <v>2.0555161086265595E-4</v>
      </c>
      <c r="AA23" s="22">
        <f>AA22/Drivers!AB4</f>
        <v>2.0555650316681558E-4</v>
      </c>
      <c r="AB23" s="22">
        <f>AB22/Drivers!AC4</f>
        <v>2.0554155731482504E-4</v>
      </c>
      <c r="AC23" s="22">
        <f>AC22/Drivers!AD4</f>
        <v>2.0552574473632214E-4</v>
      </c>
      <c r="AD23" s="22">
        <f>AD22/Drivers!AE4</f>
        <v>2.0551822145533556E-4</v>
      </c>
      <c r="AE23" s="22">
        <f>AE22/Drivers!AF4</f>
        <v>2.0551320376205334E-4</v>
      </c>
      <c r="AF23" s="22">
        <f>AF22/Drivers!AG4</f>
        <v>2.0548900090416162E-4</v>
      </c>
      <c r="AG23" s="22">
        <f>AG22/Drivers!AH4</f>
        <v>2.0529344701507017E-4</v>
      </c>
      <c r="AH23" s="22">
        <f>AH22/Drivers!AI4</f>
        <v>2.053211403477438E-4</v>
      </c>
      <c r="AI23" s="22">
        <f>AI22/Drivers!AJ4</f>
        <v>2.0534381796599827E-4</v>
      </c>
      <c r="AJ23" s="22">
        <f>AJ22/Drivers!AK4</f>
        <v>2.0536603714724249E-4</v>
      </c>
      <c r="AK23" s="22">
        <f>AK22/Drivers!AL4</f>
        <v>2.0539484323132073E-4</v>
      </c>
      <c r="AL23" s="22">
        <f>AL22/Drivers!AM4</f>
        <v>2.0542312244518275E-4</v>
      </c>
      <c r="AM23" s="22">
        <f>AM22/Drivers!AN4</f>
        <v>2.0545551883294021E-4</v>
      </c>
      <c r="AN23" s="22">
        <f>AN22/Drivers!AO4</f>
        <v>2.054858064012002E-4</v>
      </c>
      <c r="AO23" s="22">
        <f>AO22/Drivers!AP4</f>
        <v>2.0551838670857485E-4</v>
      </c>
      <c r="AP23" s="22">
        <f>AP22/Drivers!AQ4</f>
        <v>2.0554729671330208E-4</v>
      </c>
      <c r="AQ23" s="22">
        <f>AQ22/Drivers!AR4</f>
        <v>2.0557674347669908E-4</v>
      </c>
      <c r="AR23" s="22">
        <f>AR22/Drivers!AS4</f>
        <v>2.0561752764448491E-4</v>
      </c>
      <c r="AS23" s="22">
        <f>AS22/Drivers!AT4</f>
        <v>2.0566203261930329E-4</v>
      </c>
      <c r="AT23" s="22">
        <f>AT22/Drivers!AU4</f>
        <v>2.0570779670655204E-4</v>
      </c>
      <c r="AU23" s="22">
        <f>AU22/Drivers!AV4</f>
        <v>2.0570128671100658E-4</v>
      </c>
      <c r="AV23" s="22">
        <f>AV22/Drivers!AW4</f>
        <v>2.0319617705186183E-4</v>
      </c>
      <c r="AW23" s="22">
        <f>AW22/Drivers!AX4</f>
        <v>2.0319617705186183E-4</v>
      </c>
      <c r="AX23" s="22">
        <f>AX22/Drivers!AY4</f>
        <v>2.0319617705186183E-4</v>
      </c>
      <c r="AY23" s="22">
        <f>AY22/Drivers!AZ4</f>
        <v>2.0319617705186183E-4</v>
      </c>
      <c r="AZ23" s="22">
        <f>AZ22/Drivers!BA4</f>
        <v>2.0319617705186183E-4</v>
      </c>
      <c r="BA23" s="22">
        <f>BA22/Drivers!BB4</f>
        <v>2.0319617705186183E-4</v>
      </c>
      <c r="BB23" s="22">
        <f>BB22/Drivers!BC4</f>
        <v>2.0319617705186183E-4</v>
      </c>
      <c r="BC23" s="22">
        <f>BC22/Drivers!BD4</f>
        <v>2.0319617705186183E-4</v>
      </c>
      <c r="BD23" s="22">
        <f>BD22/Drivers!BE4</f>
        <v>2.0319617705186183E-4</v>
      </c>
      <c r="BE23" s="22">
        <f>BE22/Drivers!BF4</f>
        <v>2.0319617705186183E-4</v>
      </c>
      <c r="BF23" s="22">
        <f>BF22/Drivers!BG4</f>
        <v>2.0319617705186183E-4</v>
      </c>
      <c r="BG23" s="22">
        <f>BG22/Drivers!BH4</f>
        <v>2.0319617705186183E-4</v>
      </c>
      <c r="BH23" s="22">
        <f>BH22/Drivers!BI4</f>
        <v>2.0319617705186183E-4</v>
      </c>
      <c r="BI23" s="22">
        <f>BI22/Drivers!BJ4</f>
        <v>2.0319617705186183E-4</v>
      </c>
      <c r="BJ23" s="22">
        <f>BJ22/Drivers!BK4</f>
        <v>2.0319617705186183E-4</v>
      </c>
      <c r="BK23" s="22">
        <f>BK22/Drivers!BL4</f>
        <v>2.0319617705186183E-4</v>
      </c>
      <c r="BL23">
        <v>2.0695542290464949E-4</v>
      </c>
    </row>
    <row r="24" spans="1:64" x14ac:dyDescent="0.25">
      <c r="A24" t="s">
        <v>340</v>
      </c>
      <c r="B24" t="s">
        <v>663</v>
      </c>
      <c r="C24" s="22">
        <f>C23*1000</f>
        <v>0.29999585060087075</v>
      </c>
      <c r="D24" s="22">
        <f t="shared" ref="D24:BK24" si="7">D23*1000</f>
        <v>0.32768674631716949</v>
      </c>
      <c r="E24" s="22">
        <f t="shared" si="7"/>
        <v>0.30874567106375839</v>
      </c>
      <c r="F24" s="22">
        <f t="shared" si="7"/>
        <v>0.28611978427476581</v>
      </c>
      <c r="G24" s="22">
        <f t="shared" si="7"/>
        <v>0.2307461390882998</v>
      </c>
      <c r="H24" s="22">
        <f t="shared" si="7"/>
        <v>0.17086691161773848</v>
      </c>
      <c r="I24" s="22">
        <f t="shared" si="7"/>
        <v>0.20312013838873316</v>
      </c>
      <c r="J24" s="22">
        <f t="shared" si="7"/>
        <v>0.19819733014703986</v>
      </c>
      <c r="K24" s="22">
        <f t="shared" si="7"/>
        <v>0.19916551936644303</v>
      </c>
      <c r="L24" s="22">
        <f t="shared" si="7"/>
        <v>0.20839656368500878</v>
      </c>
      <c r="M24" s="22">
        <f t="shared" si="7"/>
        <v>0.21748940372944958</v>
      </c>
      <c r="N24" s="22">
        <f t="shared" si="7"/>
        <v>0.20934240284789929</v>
      </c>
      <c r="O24" s="22">
        <f t="shared" si="7"/>
        <v>0.18981206287294902</v>
      </c>
      <c r="P24" s="22">
        <f t="shared" si="7"/>
        <v>0.18750322672504893</v>
      </c>
      <c r="Q24" s="22">
        <f t="shared" si="7"/>
        <v>0.19411477004060551</v>
      </c>
      <c r="R24" s="22">
        <f t="shared" si="7"/>
        <v>0.21052367325130275</v>
      </c>
      <c r="S24" s="22">
        <f t="shared" si="7"/>
        <v>0.21777929095888654</v>
      </c>
      <c r="T24" s="22">
        <f t="shared" si="7"/>
        <v>0.24796538598652329</v>
      </c>
      <c r="U24" s="22">
        <f t="shared" si="7"/>
        <v>0.22780475107901407</v>
      </c>
      <c r="V24" s="22">
        <f t="shared" si="7"/>
        <v>0.21395878610958166</v>
      </c>
      <c r="W24" s="22">
        <f t="shared" si="7"/>
        <v>0.20383871250158445</v>
      </c>
      <c r="X24" s="22">
        <f t="shared" si="7"/>
        <v>0.17883180603279289</v>
      </c>
      <c r="Y24" s="22">
        <f t="shared" si="7"/>
        <v>0.20553175364168003</v>
      </c>
      <c r="Z24" s="22">
        <f t="shared" si="7"/>
        <v>0.20555161086265594</v>
      </c>
      <c r="AA24" s="22">
        <f t="shared" si="7"/>
        <v>0.20555650316681559</v>
      </c>
      <c r="AB24" s="22">
        <f t="shared" si="7"/>
        <v>0.20554155731482504</v>
      </c>
      <c r="AC24" s="22">
        <f t="shared" si="7"/>
        <v>0.20552574473632215</v>
      </c>
      <c r="AD24" s="22">
        <f t="shared" si="7"/>
        <v>0.20551822145533558</v>
      </c>
      <c r="AE24" s="22">
        <f t="shared" si="7"/>
        <v>0.20551320376205334</v>
      </c>
      <c r="AF24" s="22">
        <f t="shared" si="7"/>
        <v>0.20548900090416161</v>
      </c>
      <c r="AG24" s="22">
        <f t="shared" si="7"/>
        <v>0.20529344701507016</v>
      </c>
      <c r="AH24" s="22">
        <f t="shared" si="7"/>
        <v>0.20532114034774379</v>
      </c>
      <c r="AI24" s="22">
        <f t="shared" si="7"/>
        <v>0.20534381796599827</v>
      </c>
      <c r="AJ24" s="22">
        <f t="shared" si="7"/>
        <v>0.2053660371472425</v>
      </c>
      <c r="AK24" s="22">
        <f t="shared" si="7"/>
        <v>0.20539484323132073</v>
      </c>
      <c r="AL24" s="22">
        <f t="shared" si="7"/>
        <v>0.20542312244518277</v>
      </c>
      <c r="AM24" s="22">
        <f t="shared" si="7"/>
        <v>0.20545551883294022</v>
      </c>
      <c r="AN24" s="22">
        <f t="shared" si="7"/>
        <v>0.20548580640120021</v>
      </c>
      <c r="AO24" s="22">
        <f t="shared" si="7"/>
        <v>0.20551838670857486</v>
      </c>
      <c r="AP24" s="22">
        <f t="shared" si="7"/>
        <v>0.20554729671330207</v>
      </c>
      <c r="AQ24" s="22">
        <f t="shared" si="7"/>
        <v>0.20557674347669908</v>
      </c>
      <c r="AR24" s="22">
        <f t="shared" si="7"/>
        <v>0.2056175276444849</v>
      </c>
      <c r="AS24" s="22">
        <f t="shared" si="7"/>
        <v>0.2056620326193033</v>
      </c>
      <c r="AT24" s="22">
        <f t="shared" si="7"/>
        <v>0.20570779670655204</v>
      </c>
      <c r="AU24" s="22">
        <f t="shared" si="7"/>
        <v>0.20570128671100657</v>
      </c>
      <c r="AV24" s="22">
        <f t="shared" si="7"/>
        <v>0.20319617705186183</v>
      </c>
      <c r="AW24" s="22">
        <f t="shared" si="7"/>
        <v>0.20319617705186183</v>
      </c>
      <c r="AX24" s="22">
        <f t="shared" si="7"/>
        <v>0.20319617705186183</v>
      </c>
      <c r="AY24" s="22">
        <f t="shared" si="7"/>
        <v>0.20319617705186183</v>
      </c>
      <c r="AZ24" s="22">
        <f t="shared" si="7"/>
        <v>0.20319617705186183</v>
      </c>
      <c r="BA24" s="22">
        <f t="shared" si="7"/>
        <v>0.20319617705186183</v>
      </c>
      <c r="BB24" s="22">
        <f t="shared" si="7"/>
        <v>0.20319617705186183</v>
      </c>
      <c r="BC24" s="22">
        <f t="shared" si="7"/>
        <v>0.20319617705186183</v>
      </c>
      <c r="BD24" s="22">
        <f t="shared" si="7"/>
        <v>0.20319617705186183</v>
      </c>
      <c r="BE24" s="22">
        <f t="shared" si="7"/>
        <v>0.20319617705186183</v>
      </c>
      <c r="BF24" s="22">
        <f t="shared" si="7"/>
        <v>0.20319617705186183</v>
      </c>
      <c r="BG24" s="22">
        <f t="shared" si="7"/>
        <v>0.20319617705186183</v>
      </c>
      <c r="BH24" s="22">
        <f t="shared" si="7"/>
        <v>0.20319617705186183</v>
      </c>
      <c r="BI24" s="22">
        <f t="shared" si="7"/>
        <v>0.20319617705186183</v>
      </c>
      <c r="BJ24" s="22">
        <f t="shared" si="7"/>
        <v>0.20319617705186183</v>
      </c>
      <c r="BK24" s="22">
        <f t="shared" si="7"/>
        <v>0.20319617705186183</v>
      </c>
      <c r="BL24">
        <v>0.20695542290464949</v>
      </c>
    </row>
    <row r="25" spans="1:64" x14ac:dyDescent="0.25">
      <c r="A25" t="s">
        <v>817</v>
      </c>
      <c r="C25" s="22">
        <f>Data!C21</f>
        <v>747.58015507693869</v>
      </c>
      <c r="D25" s="22">
        <f>Data!D21</f>
        <v>590.47220402049277</v>
      </c>
      <c r="E25" s="22">
        <f>Data!E21</f>
        <v>569.38006615729716</v>
      </c>
      <c r="F25" s="22">
        <f>Data!F21</f>
        <v>566.44789692123072</v>
      </c>
      <c r="G25" s="22">
        <f>Data!G21</f>
        <v>742.85362090363867</v>
      </c>
      <c r="H25" s="22">
        <f>Data!H21</f>
        <v>995.52503048103245</v>
      </c>
      <c r="I25" s="22">
        <f>Data!I21</f>
        <v>834.31243407359318</v>
      </c>
      <c r="J25" s="22">
        <f>Data!J21</f>
        <v>835.99741053944376</v>
      </c>
      <c r="K25" s="22">
        <f>Data!K21</f>
        <v>807.07358113668761</v>
      </c>
      <c r="L25" s="22">
        <f>Data!L21</f>
        <v>748.63713691587566</v>
      </c>
      <c r="M25" s="22">
        <f>Data!M21</f>
        <v>716.42781303590107</v>
      </c>
      <c r="N25" s="22">
        <f>Data!N21</f>
        <v>756.90571182634426</v>
      </c>
      <c r="O25" s="22">
        <f>Data!O21</f>
        <v>752.63780790236967</v>
      </c>
      <c r="P25" s="22">
        <f>Data!P21</f>
        <v>733.6180799048368</v>
      </c>
      <c r="Q25" s="22">
        <f>Data!Q21</f>
        <v>701.35025005281352</v>
      </c>
      <c r="R25" s="22">
        <f>Data!R21</f>
        <v>630.46516734678903</v>
      </c>
      <c r="S25" s="22">
        <f>Data!S21</f>
        <v>614.48619189756312</v>
      </c>
      <c r="T25" s="22">
        <f>Data!T21</f>
        <v>516.87884312506992</v>
      </c>
      <c r="U25" s="22">
        <f>Data!U21</f>
        <v>554.64143311323846</v>
      </c>
      <c r="V25" s="22">
        <f>Data!V21</f>
        <v>572.18059101466702</v>
      </c>
      <c r="W25" s="22">
        <f>Data!W21</f>
        <v>584.78636599310846</v>
      </c>
      <c r="X25" s="22">
        <f>Data!X21</f>
        <v>650.3914314253102</v>
      </c>
      <c r="Y25" s="22">
        <f>((Data!$AJ$21*LN('Net zero Intermediate calcs'!Y2))+Data!$AK$21)</f>
        <v>565.56709991308276</v>
      </c>
      <c r="Z25" s="22">
        <f>((Data!$AJ$21*LN('Net zero Intermediate calcs'!Z2))+Data!$AK$21)</f>
        <v>558.67068520624093</v>
      </c>
      <c r="AA25" s="22">
        <f>((Data!$AJ$21*LN('Net zero Intermediate calcs'!AA2))+Data!$AK$21)</f>
        <v>552.19249937052302</v>
      </c>
      <c r="AB25" s="22">
        <f>((Data!$AJ$21*LN('Net zero Intermediate calcs'!AB2))+Data!$AK$21)</f>
        <v>546.08470329962574</v>
      </c>
      <c r="AC25" s="22">
        <f>((Data!$AJ$21*LN('Net zero Intermediate calcs'!AC2))+Data!$AK$21)</f>
        <v>540.30722384465673</v>
      </c>
      <c r="AD25" s="22">
        <f>((Data!$AJ$21*LN('Net zero Intermediate calcs'!AD2))+Data!$AK$21)</f>
        <v>534.82615883818357</v>
      </c>
      <c r="AE25" s="22">
        <f>((Data!$AJ$21*LN('Net zero Intermediate calcs'!AE2))+Data!$AK$21)</f>
        <v>529.61257166890118</v>
      </c>
      <c r="AF25" s="22">
        <f>((Data!$AJ$21*LN('Net zero Intermediate calcs'!AF2))+Data!$AK$21)</f>
        <v>524.64156653379541</v>
      </c>
      <c r="AG25" s="22">
        <f>((Data!$AJ$21*LN('Net zero Intermediate calcs'!AG2))+Data!$AK$21)</f>
        <v>519.89156941990007</v>
      </c>
      <c r="AH25" s="22">
        <f>((Data!$AJ$21*LN('Net zero Intermediate calcs'!AH2))+Data!$AK$21)</f>
        <v>515.34376222472656</v>
      </c>
      <c r="AI25" s="22">
        <f>((Data!$AJ$21*LN('Net zero Intermediate calcs'!AI2))+Data!$AK$21)</f>
        <v>510.98163247012616</v>
      </c>
      <c r="AJ25" s="22">
        <f>((Data!$AJ$21*LN('Net zero Intermediate calcs'!AJ2))+Data!$AK$21)</f>
        <v>506.7906113832538</v>
      </c>
      <c r="AK25" s="22">
        <f>((Data!$AJ$21*LN('Net zero Intermediate calcs'!AK2))+Data!$AK$21)</f>
        <v>502.75778031811149</v>
      </c>
      <c r="AL25" s="22">
        <f>((Data!$AJ$21*LN('Net zero Intermediate calcs'!AL2))+Data!$AK$21)</f>
        <v>498.87163059400189</v>
      </c>
      <c r="AM25" s="22">
        <f>((Data!$AJ$21*LN('Net zero Intermediate calcs'!AM2))+Data!$AK$21)</f>
        <v>495.1218654961454</v>
      </c>
      <c r="AN25" s="22">
        <f>((Data!$AJ$21*LN('Net zero Intermediate calcs'!AN2))+Data!$AK$21)</f>
        <v>491.49923585666915</v>
      </c>
      <c r="AO25" s="22">
        <f>((Data!$AJ$21*LN('Net zero Intermediate calcs'!AO2))+Data!$AK$21)</f>
        <v>487.99540260537441</v>
      </c>
      <c r="AP25" s="22">
        <f>((Data!$AJ$21*LN('Net zero Intermediate calcs'!AP2))+Data!$AK$21)</f>
        <v>484.60282114982732</v>
      </c>
      <c r="AQ25" s="22">
        <f>((Data!$AJ$21*LN('Net zero Intermediate calcs'!AQ2))+Data!$AK$21)</f>
        <v>481.31464355228115</v>
      </c>
      <c r="AR25" s="22">
        <f>((Data!$AJ$21*LN('Net zero Intermediate calcs'!AR2))+Data!$AK$21)</f>
        <v>478.12463531410947</v>
      </c>
      <c r="AS25" s="22">
        <f>((Data!$AJ$21*LN('Net zero Intermediate calcs'!AS2))+Data!$AK$21)</f>
        <v>475.02710422594453</v>
      </c>
      <c r="AT25" s="22">
        <f>((Data!$AJ$21*LN('Net zero Intermediate calcs'!AT2))+Data!$AK$21)</f>
        <v>472.01683924321225</v>
      </c>
      <c r="AU25" s="22">
        <f>((Data!$AJ$21*LN('Net zero Intermediate calcs'!AU2))+Data!$AK$21)</f>
        <v>469.08905773826399</v>
      </c>
      <c r="AV25" s="22">
        <f>((Data!$AJ$21*LN('Net zero Intermediate calcs'!AV2))+Data!$AK$21)</f>
        <v>466.23935978824318</v>
      </c>
      <c r="AW25" s="22">
        <f>((Data!$AJ$21*LN('Net zero Intermediate calcs'!AW2))+Data!$AK$21)</f>
        <v>463.46368840173949</v>
      </c>
      <c r="AX25" s="22">
        <f>((Data!$AJ$21*LN('Net zero Intermediate calcs'!AX2))+Data!$AK$21)</f>
        <v>460.75829478176996</v>
      </c>
      <c r="AY25" s="22">
        <f>((Data!$AJ$21*LN('Net zero Intermediate calcs'!AY2))+Data!$AK$21)</f>
        <v>458.11970787867688</v>
      </c>
      <c r="AZ25" s="22">
        <f>((Data!$AJ$21*LN('Net zero Intermediate calcs'!AZ2))+Data!$AK$21)</f>
        <v>455.54470761248751</v>
      </c>
      <c r="BA25" s="22">
        <f>((Data!$AJ$21*LN('Net zero Intermediate calcs'!BA2))+Data!$AK$21)</f>
        <v>453.03030124651184</v>
      </c>
      <c r="BB25" s="22">
        <f>((Data!$AJ$21*LN('Net zero Intermediate calcs'!BB2))+Data!$AK$21)</f>
        <v>450.57370247738191</v>
      </c>
      <c r="BC25" s="22">
        <f>((Data!$AJ$21*LN('Net zero Intermediate calcs'!BC2))+Data!$AK$21)</f>
        <v>448.17231287515489</v>
      </c>
      <c r="BD25" s="22">
        <f>((Data!$AJ$21*LN('Net zero Intermediate calcs'!BD2))+Data!$AK$21)</f>
        <v>445.82370536348645</v>
      </c>
      <c r="BE25" s="22">
        <f>((Data!$AJ$21*LN('Net zero Intermediate calcs'!BE2))+Data!$AK$21)</f>
        <v>443.52560947656553</v>
      </c>
      <c r="BF25" s="22">
        <f>((Data!$AJ$21*LN('Net zero Intermediate calcs'!BF2))+Data!$AK$21)</f>
        <v>441.27589816831295</v>
      </c>
      <c r="BG25" s="22">
        <f>((Data!$AJ$21*LN('Net zero Intermediate calcs'!BG2))+Data!$AK$21)</f>
        <v>439.0725759817629</v>
      </c>
      <c r="BH25" s="22">
        <f>((Data!$AJ$21*LN('Net zero Intermediate calcs'!BH2))+Data!$AK$21)</f>
        <v>436.9137684137126</v>
      </c>
      <c r="BI25" s="22">
        <f>((Data!$AJ$21*LN('Net zero Intermediate calcs'!BI2))+Data!$AK$21)</f>
        <v>434.79771233259515</v>
      </c>
      <c r="BJ25" s="22">
        <f>((Data!$AJ$21*LN('Net zero Intermediate calcs'!BJ2))+Data!$AK$21)</f>
        <v>432.72274732684025</v>
      </c>
      <c r="BK25" s="22">
        <f>((Data!$AJ$21*LN('Net zero Intermediate calcs'!BK2))+Data!$AK$21)</f>
        <v>430.68730787735745</v>
      </c>
      <c r="BL25">
        <v>430.68730787735745</v>
      </c>
    </row>
    <row r="26" spans="1:64" x14ac:dyDescent="0.25">
      <c r="A26" t="s">
        <v>664</v>
      </c>
      <c r="B26" t="s">
        <v>663</v>
      </c>
      <c r="C26" s="51">
        <f>(C19+C22)*ttokg/Drivers!D4</f>
        <v>4.9999308433478458</v>
      </c>
      <c r="D26" s="51">
        <f>(D19+D22)*ttokg/Drivers!E4</f>
        <v>5.4614457719528247</v>
      </c>
      <c r="E26" s="51">
        <f>(E19+E22)*ttokg/Drivers!F4</f>
        <v>5.1457611843959734</v>
      </c>
      <c r="F26" s="51">
        <f>(F19+F22)*ttokg/Drivers!G4</f>
        <v>4.7686630712460971</v>
      </c>
      <c r="G26" s="51">
        <f>(G19+G22)*ttokg/Drivers!H4</f>
        <v>3.8457689848049967</v>
      </c>
      <c r="H26" s="51">
        <f>(H19+H22)*ttokg/Drivers!I4</f>
        <v>2.8477818602956413</v>
      </c>
      <c r="I26" s="51">
        <f>(I19+I22)*ttokg/Drivers!J4</f>
        <v>3.3853356398122196</v>
      </c>
      <c r="J26" s="51">
        <f>(J19+J22)*ttokg/Drivers!K4</f>
        <v>3.3032888357839978</v>
      </c>
      <c r="K26" s="51">
        <f>(K19+K22)*ttokg/Drivers!L4</f>
        <v>3.3194253227740504</v>
      </c>
      <c r="L26" s="51">
        <f>(L19+L22)*ttokg/Drivers!M4</f>
        <v>3.4732760614168128</v>
      </c>
      <c r="M26" s="51">
        <f>(M19+M22)*ttokg/Drivers!N4</f>
        <v>3.6248233954908264</v>
      </c>
      <c r="N26" s="51">
        <f>(N19+N22)*ttokg/Drivers!O4</f>
        <v>3.4890400474649885</v>
      </c>
      <c r="O26" s="51">
        <f>(O19+O22)*ttokg/Drivers!P4</f>
        <v>3.163534381215817</v>
      </c>
      <c r="P26" s="51">
        <f>(P19+P22)*ttokg/Drivers!Q4</f>
        <v>3.1250537787508157</v>
      </c>
      <c r="Q26" s="51">
        <f>(Q19+Q22)*ttokg/Drivers!R4</f>
        <v>3.2352461673434254</v>
      </c>
      <c r="R26" s="51">
        <f>(R19+R22)*ttokg/Drivers!S4</f>
        <v>3.5087278875217125</v>
      </c>
      <c r="S26" s="51">
        <f>(S19+S22)*ttokg/Drivers!T4</f>
        <v>3.6296548493147758</v>
      </c>
      <c r="T26" s="51">
        <f>(T19+T22)*ttokg/Drivers!U4</f>
        <v>4.132756433108721</v>
      </c>
      <c r="U26" s="51">
        <f>(U19+U22)*ttokg/Drivers!V4</f>
        <v>3.7967458513169015</v>
      </c>
      <c r="V26" s="51">
        <f>(V19+V22)*ttokg/Drivers!W4</f>
        <v>3.5659797684930274</v>
      </c>
      <c r="W26" s="51">
        <f>(W19+W22)*ttokg/Drivers!X4</f>
        <v>3.3973118750264071</v>
      </c>
      <c r="X26" s="51">
        <f>(X19+X22)*ttokg/Drivers!Y4</f>
        <v>2.9805301005465483</v>
      </c>
      <c r="Y26" s="51">
        <f>(Y19+Y22)*ttokg/Drivers!Z4</f>
        <v>3.4255292273613329</v>
      </c>
      <c r="Z26" s="51">
        <f>(Z19+Z22)*ttokg/Drivers!AA4</f>
        <v>3.4258601810442646</v>
      </c>
      <c r="AA26" s="51">
        <f>(AA19+AA22)*ttokg/Drivers!AB4</f>
        <v>3.4259417194469242</v>
      </c>
      <c r="AB26" s="51">
        <f>(AB19+AB22)*ttokg/Drivers!AC4</f>
        <v>3.4256926219137491</v>
      </c>
      <c r="AC26" s="51">
        <f>(AC19+AC22)*ttokg/Drivers!AD4</f>
        <v>3.4254290789387016</v>
      </c>
      <c r="AD26" s="51">
        <f>(AD19+AD22)*ttokg/Drivers!AE4</f>
        <v>3.4253036909222589</v>
      </c>
      <c r="AE26" s="51">
        <f>(AE19+AE22)*ttokg/Drivers!AF4</f>
        <v>3.4252200627008875</v>
      </c>
      <c r="AF26" s="51">
        <f>(AF19+AF22)*ttokg/Drivers!AG4</f>
        <v>3.4248166817360257</v>
      </c>
      <c r="AG26" s="51">
        <f>(AG19+AG22)*ttokg/Drivers!AH4</f>
        <v>3.4215574502511683</v>
      </c>
      <c r="AH26" s="51">
        <f>(AH19+AH22)*ttokg/Drivers!AI4</f>
        <v>3.4220190057957289</v>
      </c>
      <c r="AI26" s="51">
        <f>(AI19+AI22)*ttokg/Drivers!AJ4</f>
        <v>3.4223969660999702</v>
      </c>
      <c r="AJ26" s="51">
        <f>(AJ19+AJ22)*ttokg/Drivers!AK4</f>
        <v>3.4227672857873741</v>
      </c>
      <c r="AK26" s="51">
        <f>(AK19+AK22)*ttokg/Drivers!AL4</f>
        <v>3.4232473871886784</v>
      </c>
      <c r="AL26" s="51">
        <f>(AL19+AL22)*ttokg/Drivers!AM4</f>
        <v>3.4237187074197113</v>
      </c>
      <c r="AM26" s="51">
        <f>(AM19+AM22)*ttokg/Drivers!AN4</f>
        <v>3.4242586472156691</v>
      </c>
      <c r="AN26" s="51">
        <f>(AN19+AN22)*ttokg/Drivers!AO4</f>
        <v>3.4247634400200031</v>
      </c>
      <c r="AO26" s="51">
        <f>(AO19+AO22)*ttokg/Drivers!AP4</f>
        <v>3.4253064451429127</v>
      </c>
      <c r="AP26" s="51">
        <f>(AP19+AP22)*ttokg/Drivers!AQ4</f>
        <v>3.4257882785550331</v>
      </c>
      <c r="AQ26" s="51">
        <f>(AQ19+AQ22)*ttokg/Drivers!AR4</f>
        <v>3.4262790579449844</v>
      </c>
      <c r="AR26" s="51">
        <f>(AR19+AR22)*ttokg/Drivers!AS4</f>
        <v>3.4269587940747477</v>
      </c>
      <c r="AS26" s="51">
        <f>(AS19+AS22)*ttokg/Drivers!AT4</f>
        <v>3.4277005436550541</v>
      </c>
      <c r="AT26" s="51">
        <f>(AT19+AT22)*ttokg/Drivers!AU4</f>
        <v>3.4284632784425333</v>
      </c>
      <c r="AU26" s="51">
        <f>(AU19+AU22)*ttokg/Drivers!AV4</f>
        <v>3.4283547785167756</v>
      </c>
      <c r="AV26" s="51">
        <f>(AV19+AV22)*ttokg/Drivers!AW4</f>
        <v>3.3866029508643636</v>
      </c>
      <c r="AW26" s="51">
        <f>(AW19+AW22)*ttokg/Drivers!AX4</f>
        <v>3.3866029508643631</v>
      </c>
      <c r="AX26" s="51">
        <f>(AX19+AX22)*ttokg/Drivers!AY4</f>
        <v>3.3866029508643636</v>
      </c>
      <c r="AY26" s="51">
        <f>(AY19+AY22)*ttokg/Drivers!AZ4</f>
        <v>3.3866029508643636</v>
      </c>
      <c r="AZ26" s="51">
        <f>(AZ19+AZ22)*ttokg/Drivers!BA4</f>
        <v>3.3866029508643636</v>
      </c>
      <c r="BA26" s="51">
        <f>(BA19+BA22)*ttokg/Drivers!BB4</f>
        <v>3.3866029508643631</v>
      </c>
      <c r="BB26" s="51">
        <f>(BB19+BB22)*ttokg/Drivers!BC4</f>
        <v>3.3866029508643636</v>
      </c>
      <c r="BC26" s="51">
        <f>(BC19+BC22)*ttokg/Drivers!BD4</f>
        <v>3.3866029508643636</v>
      </c>
      <c r="BD26" s="51">
        <f>(BD19+BD22)*ttokg/Drivers!BE4</f>
        <v>3.3866029508643636</v>
      </c>
      <c r="BE26" s="51">
        <f>(BE19+BE22)*ttokg/Drivers!BF4</f>
        <v>3.3866029508643631</v>
      </c>
      <c r="BF26" s="51">
        <f>(BF19+BF22)*ttokg/Drivers!BG4</f>
        <v>3.386602950864364</v>
      </c>
      <c r="BG26" s="51">
        <f>(BG19+BG22)*ttokg/Drivers!BH4</f>
        <v>3.3866029508643636</v>
      </c>
      <c r="BH26" s="51">
        <f>(BH19+BH22)*ttokg/Drivers!BI4</f>
        <v>3.3866029508643636</v>
      </c>
      <c r="BI26" s="51">
        <f>(BI19+BI22)*ttokg/Drivers!BJ4</f>
        <v>3.3866029508643631</v>
      </c>
      <c r="BJ26" s="51">
        <f>(BJ19+BJ22)*ttokg/Drivers!BK4</f>
        <v>3.3866029508643631</v>
      </c>
      <c r="BK26" s="51">
        <f>(BK19+BK22)*ttokg/Drivers!BL4</f>
        <v>3.3866029508643636</v>
      </c>
      <c r="BL26">
        <v>3.449257048410824</v>
      </c>
    </row>
    <row r="27" spans="1:64" x14ac:dyDescent="0.25">
      <c r="A27" t="s">
        <v>333</v>
      </c>
      <c r="B27" t="s">
        <v>321</v>
      </c>
      <c r="C27" s="22">
        <v>157160</v>
      </c>
      <c r="D27" s="22">
        <v>178840</v>
      </c>
      <c r="E27" s="22">
        <v>164160</v>
      </c>
      <c r="F27" s="22">
        <v>156060</v>
      </c>
      <c r="G27" s="22">
        <v>125940</v>
      </c>
      <c r="H27" s="22">
        <v>87720</v>
      </c>
      <c r="I27" s="22">
        <v>97720</v>
      </c>
      <c r="J27" s="22">
        <v>94080</v>
      </c>
      <c r="K27" s="22">
        <v>88200</v>
      </c>
      <c r="L27" s="22">
        <v>95660</v>
      </c>
      <c r="M27" s="22">
        <v>98520</v>
      </c>
      <c r="N27" s="22">
        <v>95860</v>
      </c>
      <c r="O27" s="22">
        <v>96340</v>
      </c>
      <c r="P27" s="22">
        <v>105640</v>
      </c>
      <c r="Q27" s="22">
        <v>111120</v>
      </c>
      <c r="R27" s="22">
        <v>124520</v>
      </c>
      <c r="S27" s="22">
        <v>124740</v>
      </c>
      <c r="T27" s="22">
        <v>148520</v>
      </c>
      <c r="U27" s="22">
        <v>149260</v>
      </c>
      <c r="V27" s="22">
        <v>151300</v>
      </c>
      <c r="W27" s="22">
        <v>153460</v>
      </c>
      <c r="X27" s="22">
        <v>139500</v>
      </c>
      <c r="Y27" s="101">
        <f>IF('Net zero activities &amp; levers'!$C$14="Off",((Data!$AJ$23*'Net zero Intermediate calcs'!Y19)+Data!$AK$23),IF('Net zero activities &amp; levers'!$C$14="On",((Data!$AJ$23*'Net zero Intermediate calcs'!Y19)+Data!$AK$23)*(1-'Net zero supporting data'!B214),"ERROR"))</f>
        <v>152726.33262627391</v>
      </c>
      <c r="Z27" s="101">
        <f>IF('Net zero activities &amp; levers'!$C$14="Off",((Data!$AJ$23*'Net zero Intermediate calcs'!Z19)+Data!$AK$23),IF('Net zero activities &amp; levers'!$C$14="On",((Data!$AJ$23*'Net zero Intermediate calcs'!Z19)+Data!$AK$23)*(1-'Net zero supporting data'!C214),"ERROR"))</f>
        <v>154167.44987415304</v>
      </c>
      <c r="AA27" s="101">
        <f>IF('Net zero activities &amp; levers'!$C$14="Off",((Data!$AJ$23*'Net zero Intermediate calcs'!AA19)+Data!$AK$23),IF('Net zero activities &amp; levers'!$C$14="On",((Data!$AJ$23*'Net zero Intermediate calcs'!AA19)+Data!$AK$23)*(1-'Net zero supporting data'!D214),"ERROR"))</f>
        <v>155654.98740174324</v>
      </c>
      <c r="AB27" s="101">
        <f>IF('Net zero activities &amp; levers'!$C$14="Off",((Data!$AJ$23*'Net zero Intermediate calcs'!AB19)+Data!$AK$23),IF('Net zero activities &amp; levers'!$C$14="On",((Data!$AJ$23*'Net zero Intermediate calcs'!AB19)+Data!$AK$23)*(1-'Net zero supporting data'!E214),"ERROR"))</f>
        <v>157188.2989529128</v>
      </c>
      <c r="AC27" s="101">
        <f>IF('Net zero activities &amp; levers'!$C$14="Off",((Data!$AJ$23*'Net zero Intermediate calcs'!AC19)+Data!$AK$23),IF('Net zero activities &amp; levers'!$C$14="On",((Data!$AJ$23*'Net zero Intermediate calcs'!AC19)+Data!$AK$23)*(1-'Net zero supporting data'!F214),"ERROR"))</f>
        <v>158778.52488403741</v>
      </c>
      <c r="AD27" s="101">
        <f>IF('Net zero activities &amp; levers'!$C$14="Off",((Data!$AJ$23*'Net zero Intermediate calcs'!AD19)+Data!$AK$23),IF('Net zero activities &amp; levers'!$C$14="On",((Data!$AJ$23*'Net zero Intermediate calcs'!AD19)+Data!$AK$23)*(1-'Net zero supporting data'!G214),"ERROR"))</f>
        <v>160432.52977483452</v>
      </c>
      <c r="AE27" s="101">
        <f>IF('Net zero activities &amp; levers'!$C$14="Off",((Data!$AJ$23*'Net zero Intermediate calcs'!AE19)+Data!$AK$23),IF('Net zero activities &amp; levers'!$C$14="On",((Data!$AJ$23*'Net zero Intermediate calcs'!AE19)+Data!$AK$23)*(1-'Net zero supporting data'!H214),"ERROR"))</f>
        <v>162109.83621300594</v>
      </c>
      <c r="AF27" s="101">
        <f>IF('Net zero activities &amp; levers'!$C$14="Off",((Data!$AJ$23*'Net zero Intermediate calcs'!AF19)+Data!$AK$23),IF('Net zero activities &amp; levers'!$C$14="On",((Data!$AJ$23*'Net zero Intermediate calcs'!AF19)+Data!$AK$23)*(1-'Net zero supporting data'!I214),"ERROR"))</f>
        <v>163804.21253251185</v>
      </c>
      <c r="AG27" s="101">
        <f>IF('Net zero activities &amp; levers'!$C$14="Off",((Data!$AJ$23*'Net zero Intermediate calcs'!AG19)+Data!$AK$23),IF('Net zero activities &amp; levers'!$C$14="On",((Data!$AJ$23*'Net zero Intermediate calcs'!AG19)+Data!$AK$23)*(1-'Net zero supporting data'!J214),"ERROR"))</f>
        <v>165434.90658057126</v>
      </c>
      <c r="AH27" s="101">
        <f>IF('Net zero activities &amp; levers'!$C$14="Off",((Data!$AJ$23*'Net zero Intermediate calcs'!AH19)+Data!$AK$23),IF('Net zero activities &amp; levers'!$C$14="On",((Data!$AJ$23*'Net zero Intermediate calcs'!AH19)+Data!$AK$23)*(1-'Net zero supporting data'!K214),"ERROR"))</f>
        <v>166703.43498261561</v>
      </c>
      <c r="AI27" s="101">
        <f>IF('Net zero activities &amp; levers'!$C$14="Off",((Data!$AJ$23*'Net zero Intermediate calcs'!AI19)+Data!$AK$23),IF('Net zero activities &amp; levers'!$C$14="On",((Data!$AJ$23*'Net zero Intermediate calcs'!AI19)+Data!$AK$23)*(1-'Net zero supporting data'!L214),"ERROR"))</f>
        <v>167984.01872321931</v>
      </c>
      <c r="AJ27" s="101">
        <f>IF('Net zero activities &amp; levers'!$C$14="Off",((Data!$AJ$23*'Net zero Intermediate calcs'!AJ19)+Data!$AK$23),IF('Net zero activities &amp; levers'!$C$14="On",((Data!$AJ$23*'Net zero Intermediate calcs'!AJ19)+Data!$AK$23)*(1-'Net zero supporting data'!M214),"ERROR"))</f>
        <v>169279.23738332378</v>
      </c>
      <c r="AK27" s="101">
        <f>IF('Net zero activities &amp; levers'!$C$14="Off",((Data!$AJ$23*'Net zero Intermediate calcs'!AK19)+Data!$AK$23),IF('Net zero activities &amp; levers'!$C$14="On",((Data!$AJ$23*'Net zero Intermediate calcs'!AK19)+Data!$AK$23)*(1-'Net zero supporting data'!N214),"ERROR"))</f>
        <v>170593.16701146538</v>
      </c>
      <c r="AL27" s="101">
        <f>IF('Net zero activities &amp; levers'!$C$14="Off",((Data!$AJ$23*'Net zero Intermediate calcs'!AL19)+Data!$AK$23),IF('Net zero activities &amp; levers'!$C$14="On",((Data!$AJ$23*'Net zero Intermediate calcs'!AL19)+Data!$AK$23)*(1-'Net zero supporting data'!O214),"ERROR"))</f>
        <v>171922.11370872191</v>
      </c>
      <c r="AM27" s="101">
        <f>IF('Net zero activities &amp; levers'!$C$14="Off",((Data!$AJ$23*'Net zero Intermediate calcs'!AM19)+Data!$AK$23),IF('Net zero activities &amp; levers'!$C$14="On",((Data!$AJ$23*'Net zero Intermediate calcs'!AM19)+Data!$AK$23)*(1-'Net zero supporting data'!P214),"ERROR"))</f>
        <v>173076.45163015582</v>
      </c>
      <c r="AN27" s="101">
        <f>IF('Net zero activities &amp; levers'!$C$14="Off",((Data!$AJ$23*'Net zero Intermediate calcs'!AN19)+Data!$AK$23),IF('Net zero activities &amp; levers'!$C$14="On",((Data!$AJ$23*'Net zero Intermediate calcs'!AN19)+Data!$AK$23)*(1-'Net zero supporting data'!Q214),"ERROR"))</f>
        <v>174241.12881708855</v>
      </c>
      <c r="AO27" s="101">
        <f>IF('Net zero activities &amp; levers'!$C$14="Off",((Data!$AJ$23*'Net zero Intermediate calcs'!AO19)+Data!$AK$23),IF('Net zero activities &amp; levers'!$C$14="On",((Data!$AJ$23*'Net zero Intermediate calcs'!AO19)+Data!$AK$23)*(1-'Net zero supporting data'!R214),"ERROR"))</f>
        <v>175418.770778184</v>
      </c>
      <c r="AP27" s="101">
        <f>IF('Net zero activities &amp; levers'!$C$14="Off",((Data!$AJ$23*'Net zero Intermediate calcs'!AP19)+Data!$AK$23),IF('Net zero activities &amp; levers'!$C$14="On",((Data!$AJ$23*'Net zero Intermediate calcs'!AP19)+Data!$AK$23)*(1-'Net zero supporting data'!S214),"ERROR"))</f>
        <v>176606.05019333368</v>
      </c>
      <c r="AQ27" s="101">
        <f>IF('Net zero activities &amp; levers'!$C$14="Off",((Data!$AJ$23*'Net zero Intermediate calcs'!AQ19)+Data!$AK$23),IF('Net zero activities &amp; levers'!$C$14="On",((Data!$AJ$23*'Net zero Intermediate calcs'!AQ19)+Data!$AK$23)*(1-'Net zero supporting data'!T214),"ERROR"))</f>
        <v>177805.50293839752</v>
      </c>
      <c r="AR27" s="101">
        <f>IF('Net zero activities &amp; levers'!$C$14="Off",((Data!$AJ$23*'Net zero Intermediate calcs'!AR19)+Data!$AK$23),IF('Net zero activities &amp; levers'!$C$14="On",((Data!$AJ$23*'Net zero Intermediate calcs'!AR19)+Data!$AK$23)*(1-'Net zero supporting data'!U214),"ERROR"))</f>
        <v>178864.55509985029</v>
      </c>
      <c r="AS27" s="101">
        <f>IF('Net zero activities &amp; levers'!$C$14="Off",((Data!$AJ$23*'Net zero Intermediate calcs'!AS19)+Data!$AK$23),IF('Net zero activities &amp; levers'!$C$14="On",((Data!$AJ$23*'Net zero Intermediate calcs'!AS19)+Data!$AK$23)*(1-'Net zero supporting data'!V214),"ERROR"))</f>
        <v>179935.08473301854</v>
      </c>
      <c r="AT27" s="101">
        <f>IF('Net zero activities &amp; levers'!$C$14="Off",((Data!$AJ$23*'Net zero Intermediate calcs'!AT19)+Data!$AK$23),IF('Net zero activities &amp; levers'!$C$14="On",((Data!$AJ$23*'Net zero Intermediate calcs'!AT19)+Data!$AK$23)*(1-'Net zero supporting data'!W214),"ERROR"))</f>
        <v>181015.74023158828</v>
      </c>
      <c r="AU27" s="101">
        <f>IF('Net zero activities &amp; levers'!$C$14="Off",((Data!$AJ$23*'Net zero Intermediate calcs'!AU19)+Data!$AK$23),IF('Net zero activities &amp; levers'!$C$14="On",((Data!$AJ$23*'Net zero Intermediate calcs'!AU19)+Data!$AK$23)*(1-'Net zero supporting data'!X214),"ERROR"))</f>
        <v>182073.95677655312</v>
      </c>
      <c r="AV27" s="101">
        <f>IF('Net zero activities &amp; levers'!$C$14="Off",((Data!$AJ$23*'Net zero Intermediate calcs'!AV19)+Data!$AK$23),IF('Net zero activities &amp; levers'!$C$14="On",((Data!$AJ$23*'Net zero Intermediate calcs'!AV19)+Data!$AK$23)*(1-'Net zero supporting data'!Y214),"ERROR"))</f>
        <v>181603.50254813291</v>
      </c>
      <c r="AW27" s="101">
        <f>IF('Net zero activities &amp; levers'!$C$14="Off",((Data!$AJ$23*'Net zero Intermediate calcs'!AW19)+Data!$AK$23),IF('Net zero activities &amp; levers'!$C$14="On",((Data!$AJ$23*'Net zero Intermediate calcs'!AW19)+Data!$AK$23)*(1-'Net zero supporting data'!Z214),"ERROR"))</f>
        <v>182519.00837616605</v>
      </c>
      <c r="AX27" s="101">
        <f>IF('Net zero activities &amp; levers'!$C$14="Off",((Data!$AJ$23*'Net zero Intermediate calcs'!AX19)+Data!$AK$23),IF('Net zero activities &amp; levers'!$C$14="On",((Data!$AJ$23*'Net zero Intermediate calcs'!AX19)+Data!$AK$23)*(1-'Net zero supporting data'!AA214),"ERROR"))</f>
        <v>183441.21676558867</v>
      </c>
      <c r="AY27" s="101">
        <f>IF('Net zero activities &amp; levers'!$C$14="Off",((Data!$AJ$23*'Net zero Intermediate calcs'!AY19)+Data!$AK$23),IF('Net zero activities &amp; levers'!$C$14="On",((Data!$AJ$23*'Net zero Intermediate calcs'!AY19)+Data!$AK$23)*(1-'Net zero supporting data'!AB214),"ERROR"))</f>
        <v>184370.17678690108</v>
      </c>
      <c r="AZ27" s="101">
        <f>IF('Net zero activities &amp; levers'!$C$14="Off",((Data!$AJ$23*'Net zero Intermediate calcs'!AZ19)+Data!$AK$23),IF('Net zero activities &amp; levers'!$C$14="On",((Data!$AJ$23*'Net zero Intermediate calcs'!AZ19)+Data!$AK$23)*(1-'Net zero supporting data'!AC214),"ERROR"))</f>
        <v>185305.93786985669</v>
      </c>
      <c r="BA27" s="101">
        <f>IF('Net zero activities &amp; levers'!$C$14="Off",((Data!$AJ$23*'Net zero Intermediate calcs'!BA19)+Data!$AK$23),IF('Net zero activities &amp; levers'!$C$14="On",((Data!$AJ$23*'Net zero Intermediate calcs'!BA19)+Data!$AK$23)*(1-'Net zero supporting data'!AD214),"ERROR"))</f>
        <v>186248.54980609176</v>
      </c>
      <c r="BB27" s="101">
        <f>IF('Net zero activities &amp; levers'!$C$14="Off",((Data!$AJ$23*'Net zero Intermediate calcs'!BB19)+Data!$AK$23),IF('Net zero activities &amp; levers'!$C$14="On",((Data!$AJ$23*'Net zero Intermediate calcs'!BB19)+Data!$AK$23)*(1-'Net zero supporting data'!AE214),"ERROR"))</f>
        <v>187054.0725442805</v>
      </c>
      <c r="BC27" s="101">
        <f>IF('Net zero activities &amp; levers'!$C$14="Off",((Data!$AJ$23*'Net zero Intermediate calcs'!BC19)+Data!$AK$23),IF('Net zero activities &amp; levers'!$C$14="On",((Data!$AJ$23*'Net zero Intermediate calcs'!BC19)+Data!$AK$23)*(1-'Net zero supporting data'!AF214),"ERROR"))</f>
        <v>187864.59832742187</v>
      </c>
      <c r="BD27" s="101">
        <f>IF('Net zero activities &amp; levers'!$C$14="Off",((Data!$AJ$23*'Net zero Intermediate calcs'!BD19)+Data!$AK$23),IF('Net zero activities &amp; levers'!$C$14="On",((Data!$AJ$23*'Net zero Intermediate calcs'!BD19)+Data!$AK$23)*(1-'Net zero supporting data'!AG214),"ERROR"))</f>
        <v>188680.15822907549</v>
      </c>
      <c r="BE27" s="101">
        <f>IF('Net zero activities &amp; levers'!$C$14="Off",((Data!$AJ$23*'Net zero Intermediate calcs'!BE19)+Data!$AK$23),IF('Net zero activities &amp; levers'!$C$14="On",((Data!$AJ$23*'Net zero Intermediate calcs'!BE19)+Data!$AK$23)*(1-'Net zero supporting data'!AH214),"ERROR"))</f>
        <v>189500.78351579665</v>
      </c>
      <c r="BF27" s="101">
        <f>IF('Net zero activities &amp; levers'!$C$14="Off",((Data!$AJ$23*'Net zero Intermediate calcs'!BF19)+Data!$AK$23),IF('Net zero activities &amp; levers'!$C$14="On",((Data!$AJ$23*'Net zero Intermediate calcs'!BF19)+Data!$AK$23)*(1-'Net zero supporting data'!AI214),"ERROR"))</f>
        <v>190326.50564833492</v>
      </c>
      <c r="BG27" s="101">
        <f>IF('Net zero activities &amp; levers'!$C$14="Off",((Data!$AJ$23*'Net zero Intermediate calcs'!BG19)+Data!$AK$23),IF('Net zero activities &amp; levers'!$C$14="On",((Data!$AJ$23*'Net zero Intermediate calcs'!BG19)+Data!$AK$23)*(1-'Net zero supporting data'!AJ214),"ERROR"))</f>
        <v>191009.3920865347</v>
      </c>
      <c r="BH27" s="101">
        <f>IF('Net zero activities &amp; levers'!$C$14="Off",((Data!$AJ$23*'Net zero Intermediate calcs'!BH19)+Data!$AK$23),IF('Net zero activities &amp; levers'!$C$14="On",((Data!$AJ$23*'Net zero Intermediate calcs'!BH19)+Data!$AK$23)*(1-'Net zero supporting data'!AK214),"ERROR"))</f>
        <v>191695.76455072645</v>
      </c>
      <c r="BI27" s="101">
        <f>IF('Net zero activities &amp; levers'!$C$14="Off",((Data!$AJ$23*'Net zero Intermediate calcs'!BI19)+Data!$AK$23),IF('Net zero activities &amp; levers'!$C$14="On",((Data!$AJ$23*'Net zero Intermediate calcs'!BI19)+Data!$AK$23)*(1-'Net zero supporting data'!AL214),"ERROR"))</f>
        <v>192385.64083651503</v>
      </c>
      <c r="BJ27" s="101">
        <f>IF('Net zero activities &amp; levers'!$C$14="Off",((Data!$AJ$23*'Net zero Intermediate calcs'!BJ19)+Data!$AK$23),IF('Net zero activities &amp; levers'!$C$14="On",((Data!$AJ$23*'Net zero Intermediate calcs'!BJ19)+Data!$AK$23)*(1-'Net zero supporting data'!AM214),"ERROR"))</f>
        <v>193079.03883034905</v>
      </c>
      <c r="BK27" s="101">
        <f>IF('Net zero activities &amp; levers'!$C$14="Off",((Data!$AJ$23*'Net zero Intermediate calcs'!BK19)+Data!$AK$23),IF('Net zero activities &amp; levers'!$C$14="On",((Data!$AJ$23*'Net zero Intermediate calcs'!BK19)+Data!$AK$23)*(1-'Net zero supporting data'!AN214),"ERROR"))</f>
        <v>193775.9765099845</v>
      </c>
      <c r="BL27">
        <v>196314.82732702183</v>
      </c>
    </row>
    <row r="28" spans="1:64" x14ac:dyDescent="0.25">
      <c r="A28" t="s">
        <v>816</v>
      </c>
      <c r="B28" t="s">
        <v>815</v>
      </c>
      <c r="C28" s="22">
        <f>Data!C24</f>
        <v>217.37632200135343</v>
      </c>
      <c r="D28" s="22">
        <f>Data!D24</f>
        <v>182.43533983922441</v>
      </c>
      <c r="E28" s="22">
        <f>Data!E24</f>
        <v>190.5375058012163</v>
      </c>
      <c r="F28" s="22">
        <f>Data!F24</f>
        <v>187.44392961876648</v>
      </c>
      <c r="G28" s="22">
        <f>Data!G24</f>
        <v>233.91106858199078</v>
      </c>
      <c r="H28" s="22">
        <f>Data!H24</f>
        <v>331.02055240676185</v>
      </c>
      <c r="I28" s="22">
        <f>Data!I24</f>
        <v>298.13738680684139</v>
      </c>
      <c r="J28" s="22">
        <f>Data!J24</f>
        <v>302.93782099105391</v>
      </c>
      <c r="K28" s="22">
        <f>Data!K24</f>
        <v>324.02516807184935</v>
      </c>
      <c r="L28" s="22">
        <f>Data!L24</f>
        <v>291.41805349120352</v>
      </c>
      <c r="M28" s="22">
        <f>Data!M24</f>
        <v>272.814221136475</v>
      </c>
      <c r="N28" s="22">
        <f>Data!N24</f>
        <v>273.39449106353061</v>
      </c>
      <c r="O28" s="22">
        <f>Data!O24</f>
        <v>267.49019053642013</v>
      </c>
      <c r="P28" s="22">
        <f>Data!P24</f>
        <v>244.7939244530279</v>
      </c>
      <c r="Q28" s="22">
        <f>Data!Q24</f>
        <v>228.57854595451533</v>
      </c>
      <c r="R28" s="22">
        <f>Data!R24</f>
        <v>203.49543332726975</v>
      </c>
      <c r="S28" s="22">
        <f>Data!S24</f>
        <v>200.47811015517084</v>
      </c>
      <c r="T28" s="22">
        <f>Data!T24</f>
        <v>168.21780706498231</v>
      </c>
      <c r="U28" s="22">
        <f>Data!U24</f>
        <v>167.92588402758949</v>
      </c>
      <c r="V28" s="22">
        <f>Data!V24</f>
        <v>165.07423520689287</v>
      </c>
      <c r="W28" s="22">
        <f>Data!W24</f>
        <v>159.60223145034516</v>
      </c>
      <c r="X28" s="22">
        <f>Data!X24</f>
        <v>174.20152254230294</v>
      </c>
      <c r="Y28" s="22">
        <f>((Data!$AJ$24*LN('Net zero Intermediate calcs'!Y2))+Data!$AK$24)</f>
        <v>143.13279435069433</v>
      </c>
      <c r="Z28" s="22">
        <f>((Data!$AJ$24*LN('Net zero Intermediate calcs'!Z2))+Data!$AK$24)</f>
        <v>141.87225913644176</v>
      </c>
      <c r="AA28" s="22">
        <f>((Data!$AJ$24*LN('Net zero Intermediate calcs'!AA2))+Data!$AK$24)</f>
        <v>140.68816831280071</v>
      </c>
      <c r="AB28" s="22">
        <f>((Data!$AJ$24*LN('Net zero Intermediate calcs'!AB2))+Data!$AK$24)</f>
        <v>139.57177778872142</v>
      </c>
      <c r="AC28" s="22">
        <f>((Data!$AJ$24*LN('Net zero Intermediate calcs'!AC2))+Data!$AK$24)</f>
        <v>138.51576294445979</v>
      </c>
      <c r="AD28" s="22">
        <f>((Data!$AJ$24*LN('Net zero Intermediate calcs'!AD2))+Data!$AK$24)</f>
        <v>137.51392709989949</v>
      </c>
      <c r="AE28" s="22">
        <f>((Data!$AJ$24*LN('Net zero Intermediate calcs'!AE2))+Data!$AK$24)</f>
        <v>136.56098118541792</v>
      </c>
      <c r="AF28" s="22">
        <f>((Data!$AJ$24*LN('Net zero Intermediate calcs'!AF2))+Data!$AK$24)</f>
        <v>135.65237471533214</v>
      </c>
      <c r="AG28" s="22">
        <f>((Data!$AJ$24*LN('Net zero Intermediate calcs'!AG2))+Data!$AK$24)</f>
        <v>134.78416436485497</v>
      </c>
      <c r="AH28" s="22">
        <f>((Data!$AJ$24*LN('Net zero Intermediate calcs'!AH2))+Data!$AK$24)</f>
        <v>133.95291053792658</v>
      </c>
      <c r="AI28" s="22">
        <f>((Data!$AJ$24*LN('Net zero Intermediate calcs'!AI2))+Data!$AK$24)</f>
        <v>133.15559506335725</v>
      </c>
      <c r="AJ28" s="22">
        <f>((Data!$AJ$24*LN('Net zero Intermediate calcs'!AJ2))+Data!$AK$24)</f>
        <v>132.38955504281779</v>
      </c>
      <c r="AK28" s="22">
        <f>((Data!$AJ$24*LN('Net zero Intermediate calcs'!AK2))+Data!$AK$24)</f>
        <v>131.65242919020625</v>
      </c>
      <c r="AL28" s="22">
        <f>((Data!$AJ$24*LN('Net zero Intermediate calcs'!AL2))+Data!$AK$24)</f>
        <v>130.94211393462308</v>
      </c>
      <c r="AM28" s="22">
        <f>((Data!$AJ$24*LN('Net zero Intermediate calcs'!AM2))+Data!$AK$24)</f>
        <v>130.25672722979891</v>
      </c>
      <c r="AN28" s="22">
        <f>((Data!$AJ$24*LN('Net zero Intermediate calcs'!AN2))+Data!$AK$24)</f>
        <v>129.59457850138432</v>
      </c>
      <c r="AO28" s="22">
        <f>((Data!$AJ$24*LN('Net zero Intermediate calcs'!AO2))+Data!$AK$24)</f>
        <v>128.95414352380905</v>
      </c>
      <c r="AP28" s="22">
        <f>((Data!$AJ$24*LN('Net zero Intermediate calcs'!AP2))+Data!$AK$24)</f>
        <v>128.33404328713178</v>
      </c>
      <c r="AQ28" s="22">
        <f>((Data!$AJ$24*LN('Net zero Intermediate calcs'!AQ2))+Data!$AK$24)</f>
        <v>127.733026116817</v>
      </c>
      <c r="AR28" s="22">
        <f>((Data!$AJ$24*LN('Net zero Intermediate calcs'!AR2))+Data!$AK$24)</f>
        <v>127.14995246349075</v>
      </c>
      <c r="AS28" s="22">
        <f>((Data!$AJ$24*LN('Net zero Intermediate calcs'!AS2))+Data!$AK$24)</f>
        <v>126.58378189808082</v>
      </c>
      <c r="AT28" s="22">
        <f>((Data!$AJ$24*LN('Net zero Intermediate calcs'!AT2))+Data!$AK$24)</f>
        <v>126.03356193941144</v>
      </c>
      <c r="AU28" s="22">
        <f>((Data!$AJ$24*LN('Net zero Intermediate calcs'!AU2))+Data!$AK$24)</f>
        <v>125.49841841288261</v>
      </c>
      <c r="AV28" s="22">
        <f>((Data!$AJ$24*LN('Net zero Intermediate calcs'!AV2))+Data!$AK$24)</f>
        <v>124.97754709514982</v>
      </c>
      <c r="AW28" s="22">
        <f>((Data!$AJ$24*LN('Net zero Intermediate calcs'!AW2))+Data!$AK$24)</f>
        <v>124.47020644430265</v>
      </c>
      <c r="AX28" s="22">
        <f>((Data!$AJ$24*LN('Net zero Intermediate calcs'!AX2))+Data!$AK$24)</f>
        <v>123.97571125058951</v>
      </c>
      <c r="AY28" s="22">
        <f>((Data!$AJ$24*LN('Net zero Intermediate calcs'!AY2))+Data!$AK$24)</f>
        <v>123.49342707125868</v>
      </c>
      <c r="AZ28" s="22">
        <f>((Data!$AJ$24*LN('Net zero Intermediate calcs'!AZ2))+Data!$AK$24)</f>
        <v>123.02276533610791</v>
      </c>
      <c r="BA28" s="22">
        <f>((Data!$AJ$24*LN('Net zero Intermediate calcs'!BA2))+Data!$AK$24)</f>
        <v>122.5631790290216</v>
      </c>
      <c r="BB28" s="22">
        <f>((Data!$AJ$24*LN('Net zero Intermediate calcs'!BB2))+Data!$AK$24)</f>
        <v>122.11415886602218</v>
      </c>
      <c r="BC28" s="22">
        <f>((Data!$AJ$24*LN('Net zero Intermediate calcs'!BC2))+Data!$AK$24)</f>
        <v>121.67522990286919</v>
      </c>
      <c r="BD28" s="22">
        <f>((Data!$AJ$24*LN('Net zero Intermediate calcs'!BD2))+Data!$AK$24)</f>
        <v>121.24594851554498</v>
      </c>
      <c r="BE28" s="22">
        <f>((Data!$AJ$24*LN('Net zero Intermediate calcs'!BE2))+Data!$AK$24)</f>
        <v>120.82589970549897</v>
      </c>
      <c r="BF28" s="22">
        <f>((Data!$AJ$24*LN('Net zero Intermediate calcs'!BF2))+Data!$AK$24)</f>
        <v>120.41469468861661</v>
      </c>
      <c r="BG28" s="22">
        <f>((Data!$AJ$24*LN('Net zero Intermediate calcs'!BG2))+Data!$AK$24)</f>
        <v>120.01196873280439</v>
      </c>
      <c r="BH28" s="22">
        <f>((Data!$AJ$24*LN('Net zero Intermediate calcs'!BH2))+Data!$AK$24)</f>
        <v>119.61737921404726</v>
      </c>
      <c r="BI28" s="22">
        <f>((Data!$AJ$24*LN('Net zero Intermediate calcs'!BI2))+Data!$AK$24)</f>
        <v>119.23060386497559</v>
      </c>
      <c r="BJ28" s="22">
        <f>((Data!$AJ$24*LN('Net zero Intermediate calcs'!BJ2))+Data!$AK$24)</f>
        <v>118.85133919350781</v>
      </c>
      <c r="BK28" s="22">
        <f>((Data!$AJ$24*LN('Net zero Intermediate calcs'!BK2))+Data!$AK$24)</f>
        <v>118.47929905212735</v>
      </c>
      <c r="BL28">
        <v>118.47929905212735</v>
      </c>
    </row>
    <row r="29" spans="1:64" x14ac:dyDescent="0.25">
      <c r="A29" t="s">
        <v>334</v>
      </c>
      <c r="B29" t="s">
        <v>321</v>
      </c>
      <c r="C29" s="22">
        <v>125000</v>
      </c>
      <c r="D29" s="22">
        <v>130000</v>
      </c>
      <c r="E29" s="22">
        <v>112000</v>
      </c>
      <c r="F29" s="22">
        <v>129000</v>
      </c>
      <c r="G29" s="22">
        <v>122000</v>
      </c>
      <c r="H29" s="22">
        <v>124000</v>
      </c>
      <c r="I29" s="22">
        <v>131000</v>
      </c>
      <c r="J29" s="22">
        <v>133000</v>
      </c>
      <c r="K29" s="22">
        <v>130000</v>
      </c>
      <c r="L29" s="22">
        <v>126000</v>
      </c>
      <c r="M29" s="22">
        <v>131000</v>
      </c>
      <c r="N29" s="22">
        <v>115000</v>
      </c>
      <c r="O29" s="22">
        <v>123000</v>
      </c>
      <c r="P29" s="22">
        <v>146000</v>
      </c>
      <c r="Q29" s="22">
        <v>174000</v>
      </c>
      <c r="R29" s="22">
        <v>182000</v>
      </c>
      <c r="S29" s="22">
        <v>193000</v>
      </c>
      <c r="T29" s="22">
        <v>206000</v>
      </c>
      <c r="U29" s="22">
        <v>198000</v>
      </c>
      <c r="V29" s="22">
        <v>199000</v>
      </c>
      <c r="W29" s="22">
        <v>215000</v>
      </c>
      <c r="X29" s="22">
        <v>231000</v>
      </c>
      <c r="Y29" s="22">
        <f>((Data!$AJ$9*'Net zero Intermediate calcs'!Y4)+Data!$AK$9)*Drivers!Z4</f>
        <v>234698.42969463443</v>
      </c>
      <c r="Z29" s="22">
        <f>((Data!$AJ$9*'Net zero Intermediate calcs'!Z4)+Data!$AK$9)*Drivers!AA4</f>
        <v>241113.9413705187</v>
      </c>
      <c r="AA29" s="22">
        <f>((Data!$AJ$9*'Net zero Intermediate calcs'!AA4)+Data!$AK$9)*Drivers!AB4</f>
        <v>245513.23607267524</v>
      </c>
      <c r="AB29" s="22">
        <f>((Data!$AJ$9*'Net zero Intermediate calcs'!AB4)+Data!$AK$9)*Drivers!AC4</f>
        <v>247062.83321005438</v>
      </c>
      <c r="AC29" s="22">
        <f>((Data!$AJ$9*'Net zero Intermediate calcs'!AC4)+Data!$AK$9)*Drivers!AD4</f>
        <v>248549.50442861425</v>
      </c>
      <c r="AD29" s="22">
        <f>((Data!$AJ$9*'Net zero Intermediate calcs'!AD4)+Data!$AK$9)*Drivers!AE4</f>
        <v>251402.16857025353</v>
      </c>
      <c r="AE29" s="22">
        <f>((Data!$AJ$9*'Net zero Intermediate calcs'!AE4)+Data!$AK$9)*Drivers!AF4</f>
        <v>254669.27434287989</v>
      </c>
      <c r="AF29" s="22">
        <f>((Data!$AJ$9*'Net zero Intermediate calcs'!AF4)+Data!$AK$9)*Drivers!AG4</f>
        <v>254873.94135514545</v>
      </c>
      <c r="AG29" s="22">
        <f>((Data!$AJ$9*'Net zero Intermediate calcs'!AG4)+Data!$AK$9)*Drivers!AH4</f>
        <v>226862.00608395459</v>
      </c>
      <c r="AH29" s="22">
        <f>((Data!$AJ$9*'Net zero Intermediate calcs'!AH4)+Data!$AK$9)*Drivers!AI4</f>
        <v>234077.13443687797</v>
      </c>
      <c r="AI29" s="22">
        <f>((Data!$AJ$9*'Net zero Intermediate calcs'!AI4)+Data!$AK$9)*Drivers!AJ4</f>
        <v>240585.06118806853</v>
      </c>
      <c r="AJ29" s="22">
        <f>((Data!$AJ$9*'Net zero Intermediate calcs'!AJ4)+Data!$AK$9)*Drivers!AK4</f>
        <v>247133.85851526135</v>
      </c>
      <c r="AK29" s="22">
        <f>((Data!$AJ$9*'Net zero Intermediate calcs'!AK4)+Data!$AK$9)*Drivers!AL4</f>
        <v>254934.65414544131</v>
      </c>
      <c r="AL29" s="22">
        <f>((Data!$AJ$9*'Net zero Intermediate calcs'!AL4)+Data!$AK$9)*Drivers!AM4</f>
        <v>262790.64877315162</v>
      </c>
      <c r="AM29" s="22">
        <f>((Data!$AJ$9*'Net zero Intermediate calcs'!AM4)+Data!$AK$9)*Drivers!AN4</f>
        <v>271070.73668374546</v>
      </c>
      <c r="AN29" s="22">
        <f>((Data!$AJ$9*'Net zero Intermediate calcs'!AN4)+Data!$AK$9)*Drivers!AO4</f>
        <v>279114.2053093068</v>
      </c>
      <c r="AO29" s="22">
        <f>((Data!$AJ$9*'Net zero Intermediate calcs'!AO4)+Data!$AK$9)*Drivers!AP4</f>
        <v>287700.6336504363</v>
      </c>
      <c r="AP29" s="22">
        <f>((Data!$AJ$9*'Net zero Intermediate calcs'!AP4)+Data!$AK$9)*Drivers!AQ4</f>
        <v>295764.92639214196</v>
      </c>
      <c r="AQ29" s="22">
        <f>((Data!$AJ$9*'Net zero Intermediate calcs'!AQ4)+Data!$AK$9)*Drivers!AR4</f>
        <v>304058.22165099304</v>
      </c>
      <c r="AR29" s="22">
        <f>((Data!$AJ$9*'Net zero Intermediate calcs'!AR4)+Data!$AK$9)*Drivers!AS4</f>
        <v>314169.58478212153</v>
      </c>
      <c r="AS29" s="22">
        <f>((Data!$AJ$9*'Net zero Intermediate calcs'!AS4)+Data!$AK$9)*Drivers!AT4</f>
        <v>325122.97865645331</v>
      </c>
      <c r="AT29" s="22">
        <f>((Data!$AJ$9*'Net zero Intermediate calcs'!AT4)+Data!$AK$9)*Drivers!AU4</f>
        <v>336476.4786615285</v>
      </c>
      <c r="AU29" s="22">
        <f>((Data!$AJ$9*'Net zero Intermediate calcs'!AU4)+Data!$AK$9)*Drivers!AV4</f>
        <v>338117.29939675855</v>
      </c>
      <c r="AV29" s="22">
        <f>((Data!$AJ$9*'Net zero Intermediate calcs'!AV4)+Data!$AK$9)*Drivers!AW4</f>
        <v>-136647.81498540496</v>
      </c>
      <c r="AW29" s="22">
        <f>((Data!$AJ$9*'Net zero Intermediate calcs'!AW4)+Data!$AK$9)*Drivers!AX4</f>
        <v>-137648.23501619045</v>
      </c>
      <c r="AX29" s="22">
        <f>((Data!$AJ$9*'Net zero Intermediate calcs'!AX4)+Data!$AK$9)*Drivers!AY4</f>
        <v>-138655.97927852772</v>
      </c>
      <c r="AY29" s="22">
        <f>((Data!$AJ$9*'Net zero Intermediate calcs'!AY4)+Data!$AK$9)*Drivers!AZ4</f>
        <v>-139671.10139426176</v>
      </c>
      <c r="AZ29" s="22">
        <f>((Data!$AJ$9*'Net zero Intermediate calcs'!AZ4)+Data!$AK$9)*Drivers!BA4</f>
        <v>-140693.65537781149</v>
      </c>
      <c r="BA29" s="22">
        <f>((Data!$AJ$9*'Net zero Intermediate calcs'!BA4)+Data!$AK$9)*Drivers!BB4</f>
        <v>-141723.69563904384</v>
      </c>
      <c r="BB29" s="22">
        <f>((Data!$AJ$9*'Net zero Intermediate calcs'!BB4)+Data!$AK$9)*Drivers!BC4</f>
        <v>-142603.93152379888</v>
      </c>
      <c r="BC29" s="22">
        <f>((Data!$AJ$9*'Net zero Intermediate calcs'!BC4)+Data!$AK$9)*Drivers!BD4</f>
        <v>-143489.63449159401</v>
      </c>
      <c r="BD29" s="22">
        <f>((Data!$AJ$9*'Net zero Intermediate calcs'!BD4)+Data!$AK$9)*Drivers!BE4</f>
        <v>-144380.83849809671</v>
      </c>
      <c r="BE29" s="22">
        <f>((Data!$AJ$9*'Net zero Intermediate calcs'!BE4)+Data!$AK$9)*Drivers!BF4</f>
        <v>-145277.57770987065</v>
      </c>
      <c r="BF29" s="22">
        <f>((Data!$AJ$9*'Net zero Intermediate calcs'!BF4)+Data!$AK$9)*Drivers!BG4</f>
        <v>-146179.88650568563</v>
      </c>
      <c r="BG29" s="22">
        <f>((Data!$AJ$9*'Net zero Intermediate calcs'!BG4)+Data!$AK$9)*Drivers!BH4</f>
        <v>-146926.11143468964</v>
      </c>
      <c r="BH29" s="22">
        <f>((Data!$AJ$9*'Net zero Intermediate calcs'!BH4)+Data!$AK$9)*Drivers!BI4</f>
        <v>-147676.1457225458</v>
      </c>
      <c r="BI29" s="22">
        <f>((Data!$AJ$9*'Net zero Intermediate calcs'!BI4)+Data!$AK$9)*Drivers!BJ4</f>
        <v>-148430.00881542146</v>
      </c>
      <c r="BJ29" s="22">
        <f>((Data!$AJ$9*'Net zero Intermediate calcs'!BJ4)+Data!$AK$9)*Drivers!BK4</f>
        <v>-149187.72025875363</v>
      </c>
      <c r="BK29" s="22">
        <f>((Data!$AJ$9*'Net zero Intermediate calcs'!BK4)+Data!$AK$9)*Drivers!BL4</f>
        <v>-149949.29969775552</v>
      </c>
      <c r="BL29">
        <v>633508.56940588297</v>
      </c>
    </row>
    <row r="30" spans="1:64" x14ac:dyDescent="0.25">
      <c r="A30" t="s">
        <v>334</v>
      </c>
      <c r="B30" t="s">
        <v>663</v>
      </c>
      <c r="C30" s="51">
        <f>C29*ttokg/Drivers!D4</f>
        <v>3.3966921490134823</v>
      </c>
      <c r="D30" s="51">
        <f>D29*ttokg/Drivers!E4</f>
        <v>3.4465434483197437</v>
      </c>
      <c r="E30" s="51">
        <f>E29*ttokg/Drivers!F4</f>
        <v>2.896106797247985</v>
      </c>
      <c r="F30" s="51">
        <f>F29*ttokg/Drivers!G4</f>
        <v>3.2548017787870185</v>
      </c>
      <c r="G30" s="51">
        <f>G29*ttokg/Drivers!H4</f>
        <v>3.0075885650398053</v>
      </c>
      <c r="H30" s="51">
        <f>H29*ttokg/Drivers!I4</f>
        <v>2.9925843277683009</v>
      </c>
      <c r="I30" s="51">
        <f>I29*ttokg/Drivers!J4</f>
        <v>3.1012515301776276</v>
      </c>
      <c r="J30" s="51">
        <f>J29*ttokg/Drivers!K4</f>
        <v>3.0939254588681102</v>
      </c>
      <c r="K30" s="51">
        <f>K29*ttokg/Drivers!L4</f>
        <v>2.9760364962801833</v>
      </c>
      <c r="L30" s="51">
        <f>L29*ttokg/Drivers!M4</f>
        <v>2.8417713229773924</v>
      </c>
      <c r="M30" s="51">
        <f>M29*ttokg/Drivers!N4</f>
        <v>2.9132016245969217</v>
      </c>
      <c r="N30" s="51">
        <f>N29*ttokg/Drivers!O4</f>
        <v>2.5235195311853693</v>
      </c>
      <c r="O30" s="51">
        <f>O29*ttokg/Drivers!P4</f>
        <v>2.6651693759557911</v>
      </c>
      <c r="P30" s="51">
        <f>P29*ttokg/Drivers!Q4</f>
        <v>3.1250537787508157</v>
      </c>
      <c r="Q30" s="51">
        <f>Q29*ttokg/Drivers!R4</f>
        <v>3.67929956286115</v>
      </c>
      <c r="R30" s="51">
        <f>R29*ttokg/Drivers!S4</f>
        <v>3.8011218781485221</v>
      </c>
      <c r="S30" s="51">
        <f>S29*ttokg/Drivers!T4</f>
        <v>3.9802465108963165</v>
      </c>
      <c r="T30" s="51">
        <f>T29*ttokg/Drivers!U4</f>
        <v>4.1938316513320029</v>
      </c>
      <c r="U30" s="51">
        <f>U29*ttokg/Drivers!V4</f>
        <v>3.9775432728081821</v>
      </c>
      <c r="V30" s="51">
        <f>V29*ttokg/Drivers!W4</f>
        <v>3.9423887440561804</v>
      </c>
      <c r="W30" s="51">
        <f>W29*ttokg/Drivers!X4</f>
        <v>4.197827891555618</v>
      </c>
      <c r="X30" s="51">
        <f>X29*ttokg/Drivers!Y4</f>
        <v>4.4419513111371138</v>
      </c>
      <c r="Y30" s="51">
        <f>Y29*ttokg/Drivers!Z4</f>
        <v>4.4853604980888102</v>
      </c>
      <c r="Z30" s="51">
        <f>Z29*ttokg/Drivers!AA4</f>
        <v>4.5403771223172384</v>
      </c>
      <c r="AA30" s="51">
        <f>AA29*ttokg/Drivers!AB4</f>
        <v>4.5539317914165602</v>
      </c>
      <c r="AB30" s="51">
        <f>AB29*ttokg/Drivers!AC4</f>
        <v>4.5125226574932906</v>
      </c>
      <c r="AC30" s="51">
        <f>AC29*ttokg/Drivers!AD4</f>
        <v>4.4687121620250281</v>
      </c>
      <c r="AD30" s="51">
        <f>AD29*ttokg/Drivers!AE4</f>
        <v>4.4478680809976376</v>
      </c>
      <c r="AE30" s="51">
        <f>AE29*ttokg/Drivers!AF4</f>
        <v>4.4339660074830105</v>
      </c>
      <c r="AF30" s="51">
        <f>AF29*ttokg/Drivers!AG4</f>
        <v>4.3669093161413519</v>
      </c>
      <c r="AG30" s="51">
        <f>AG29*ttokg/Drivers!AH4</f>
        <v>3.8251056646834485</v>
      </c>
      <c r="AH30" s="51">
        <f>AH29*ttokg/Drivers!AI4</f>
        <v>3.9018331019812762</v>
      </c>
      <c r="AI30" s="51">
        <f>AI29*ttokg/Drivers!AJ4</f>
        <v>3.9646639484233308</v>
      </c>
      <c r="AJ30" s="51">
        <f>AJ29*ttokg/Drivers!AK4</f>
        <v>4.0262246444874492</v>
      </c>
      <c r="AK30" s="51">
        <f>AK29*ttokg/Drivers!AL4</f>
        <v>4.1060350824711431</v>
      </c>
      <c r="AL30" s="51">
        <f>AL29*ttokg/Drivers!AM4</f>
        <v>4.1843857683203964</v>
      </c>
      <c r="AM30" s="51">
        <f>AM29*ttokg/Drivers!AN4</f>
        <v>4.2741435392478246</v>
      </c>
      <c r="AN30" s="51">
        <f>AN29*ttokg/Drivers!AO4</f>
        <v>4.3580585928081792</v>
      </c>
      <c r="AO30" s="51">
        <f>AO29*ttokg/Drivers!AP4</f>
        <v>4.4483259333515424</v>
      </c>
      <c r="AP30" s="51">
        <f>AP29*ttokg/Drivers!AQ4</f>
        <v>4.5284242949727478</v>
      </c>
      <c r="AQ30" s="51">
        <f>AQ29*ttokg/Drivers!AR4</f>
        <v>4.6100098057812868</v>
      </c>
      <c r="AR30" s="51">
        <f>AR29*ttokg/Drivers!AS4</f>
        <v>4.7230068478278362</v>
      </c>
      <c r="AS30" s="51">
        <f>AS29*ttokg/Drivers!AT4</f>
        <v>4.8463127967745061</v>
      </c>
      <c r="AT30" s="51">
        <f>AT29*ttokg/Drivers!AU4</f>
        <v>4.9731072557966147</v>
      </c>
      <c r="AU30" s="51">
        <f>AU29*ttokg/Drivers!AV4</f>
        <v>4.9550705940155693</v>
      </c>
      <c r="AV30" s="51">
        <f>AV29*ttokg/Drivers!AW4</f>
        <v>-1.9856124419143484</v>
      </c>
      <c r="AW30" s="51">
        <f>AW29*ttokg/Drivers!AX4</f>
        <v>-1.9856124419143484</v>
      </c>
      <c r="AX30" s="51">
        <f>AX29*ttokg/Drivers!AY4</f>
        <v>-1.9856124419143484</v>
      </c>
      <c r="AY30" s="51">
        <f>AY29*ttokg/Drivers!AZ4</f>
        <v>-1.9856124419143482</v>
      </c>
      <c r="AZ30" s="51">
        <f>AZ29*ttokg/Drivers!BA4</f>
        <v>-1.9856124419143486</v>
      </c>
      <c r="BA30" s="51">
        <f>BA29*ttokg/Drivers!BB4</f>
        <v>-1.9856124419143484</v>
      </c>
      <c r="BB30" s="51">
        <f>BB29*ttokg/Drivers!BC4</f>
        <v>-1.9856124419143484</v>
      </c>
      <c r="BC30" s="51">
        <f>BC29*ttokg/Drivers!BD4</f>
        <v>-1.9856124419143482</v>
      </c>
      <c r="BD30" s="51">
        <f>BD29*ttokg/Drivers!BE4</f>
        <v>-1.9856124419143482</v>
      </c>
      <c r="BE30" s="51">
        <f>BE29*ttokg/Drivers!BF4</f>
        <v>-1.9856124419143482</v>
      </c>
      <c r="BF30" s="51">
        <f>BF29*ttokg/Drivers!BG4</f>
        <v>-1.9856124419143482</v>
      </c>
      <c r="BG30" s="51">
        <f>BG29*ttokg/Drivers!BH4</f>
        <v>-1.9856124419143486</v>
      </c>
      <c r="BH30" s="51">
        <f>BH29*ttokg/Drivers!BI4</f>
        <v>-1.9856124419143484</v>
      </c>
      <c r="BI30" s="51">
        <f>BI29*ttokg/Drivers!BJ4</f>
        <v>-1.9856124419143482</v>
      </c>
      <c r="BJ30" s="51">
        <f>BJ29*ttokg/Drivers!BK4</f>
        <v>-1.9856124419143482</v>
      </c>
      <c r="BK30" s="51">
        <f>BK29*ttokg/Drivers!BL4</f>
        <v>-1.9856124419143484</v>
      </c>
      <c r="BL30">
        <v>8.3888419900670428</v>
      </c>
    </row>
    <row r="31" spans="1:64" x14ac:dyDescent="0.25">
      <c r="A31" t="s">
        <v>334</v>
      </c>
      <c r="B31" t="s">
        <v>322</v>
      </c>
      <c r="C31" s="71">
        <f>C29/Drivers!D4</f>
        <v>3.3966921490134823E-3</v>
      </c>
      <c r="D31" s="71">
        <f>D29/Drivers!E4</f>
        <v>3.446543448319744E-3</v>
      </c>
      <c r="E31" s="71">
        <f>E29/Drivers!F4</f>
        <v>2.8961067972479849E-3</v>
      </c>
      <c r="F31" s="71">
        <f>F29/Drivers!G4</f>
        <v>3.2548017787870187E-3</v>
      </c>
      <c r="G31" s="71">
        <f>G29/Drivers!H4</f>
        <v>3.0075885650398052E-3</v>
      </c>
      <c r="H31" s="71">
        <f>H29/Drivers!I4</f>
        <v>2.9925843277683012E-3</v>
      </c>
      <c r="I31" s="71">
        <f>I29/Drivers!J4</f>
        <v>3.1012515301776277E-3</v>
      </c>
      <c r="J31" s="71">
        <f>J29/Drivers!K4</f>
        <v>3.0939254588681106E-3</v>
      </c>
      <c r="K31" s="71">
        <f>K29/Drivers!L4</f>
        <v>2.9760364962801832E-3</v>
      </c>
      <c r="L31" s="71">
        <f>L29/Drivers!M4</f>
        <v>2.8417713229773925E-3</v>
      </c>
      <c r="M31" s="71">
        <f>M29/Drivers!N4</f>
        <v>2.9132016245969217E-3</v>
      </c>
      <c r="N31" s="71">
        <f>N29/Drivers!O4</f>
        <v>2.5235195311853692E-3</v>
      </c>
      <c r="O31" s="71">
        <f>O29/Drivers!P4</f>
        <v>2.665169375955791E-3</v>
      </c>
      <c r="P31" s="71">
        <f>P29/Drivers!Q4</f>
        <v>3.125053778750816E-3</v>
      </c>
      <c r="Q31" s="71">
        <f>Q29/Drivers!R4</f>
        <v>3.6792995628611501E-3</v>
      </c>
      <c r="R31" s="71">
        <f>R29/Drivers!S4</f>
        <v>3.801121878148522E-3</v>
      </c>
      <c r="S31" s="71">
        <f>S29/Drivers!T4</f>
        <v>3.9802465108963164E-3</v>
      </c>
      <c r="T31" s="71">
        <f>T29/Drivers!U4</f>
        <v>4.1938316513320025E-3</v>
      </c>
      <c r="U31" s="71">
        <f>U29/Drivers!V4</f>
        <v>3.9775432728081823E-3</v>
      </c>
      <c r="V31" s="71">
        <f>V29/Drivers!W4</f>
        <v>3.9423887440561802E-3</v>
      </c>
      <c r="W31" s="71">
        <f>W29/Drivers!X4</f>
        <v>4.1978278915556179E-3</v>
      </c>
      <c r="X31" s="71">
        <f>X29/Drivers!Y4</f>
        <v>4.4419513111371139E-3</v>
      </c>
      <c r="Y31" s="51"/>
      <c r="Z31" s="51"/>
      <c r="AA31" s="51"/>
      <c r="AB31" s="51"/>
      <c r="AC31" s="51"/>
      <c r="AD31" s="51"/>
      <c r="AE31" s="51"/>
      <c r="AF31" s="51"/>
      <c r="AG31" s="51"/>
      <c r="AH31" s="51"/>
      <c r="AI31" s="51"/>
      <c r="AJ31" s="51"/>
      <c r="AK31" s="51"/>
      <c r="AL31" s="51"/>
      <c r="AM31" s="51"/>
      <c r="AN31" s="51"/>
      <c r="AO31" s="51">
        <f>(AO32-AD32)/AD32</f>
        <v>0.13618687905660012</v>
      </c>
      <c r="AP31" s="51"/>
      <c r="AQ31" s="51">
        <f>(AQ32-AE32)/AE32</f>
        <v>0.18305671832788364</v>
      </c>
      <c r="AR31" s="51"/>
      <c r="AS31" s="51"/>
      <c r="AT31" s="51"/>
      <c r="AU31" s="51"/>
      <c r="AV31" s="51"/>
      <c r="AW31" s="51"/>
      <c r="AX31" s="51"/>
      <c r="AY31" s="51"/>
      <c r="AZ31" s="51"/>
      <c r="BA31" s="51"/>
      <c r="BB31" s="51"/>
      <c r="BC31" s="51"/>
      <c r="BD31" s="51"/>
      <c r="BE31" s="51"/>
      <c r="BF31" s="51"/>
      <c r="BG31" s="51"/>
      <c r="BH31" s="51"/>
      <c r="BI31" s="51"/>
      <c r="BJ31" s="51"/>
      <c r="BK31" s="51"/>
    </row>
    <row r="32" spans="1:64" x14ac:dyDescent="0.25">
      <c r="A32" t="s">
        <v>335</v>
      </c>
      <c r="B32" t="s">
        <v>321</v>
      </c>
      <c r="C32" s="22">
        <v>126200</v>
      </c>
      <c r="D32" s="22">
        <v>130800</v>
      </c>
      <c r="E32" s="22">
        <v>112700</v>
      </c>
      <c r="F32" s="22">
        <v>129600</v>
      </c>
      <c r="G32" s="22">
        <v>119600</v>
      </c>
      <c r="H32" s="22">
        <v>119000</v>
      </c>
      <c r="I32" s="22">
        <v>126500</v>
      </c>
      <c r="J32" s="22">
        <v>127900</v>
      </c>
      <c r="K32" s="22">
        <v>125000</v>
      </c>
      <c r="L32" s="22">
        <v>119200</v>
      </c>
      <c r="M32" s="22">
        <v>123000</v>
      </c>
      <c r="N32" s="22">
        <v>106900</v>
      </c>
      <c r="O32" s="22">
        <v>116600</v>
      </c>
      <c r="P32" s="22">
        <v>135000</v>
      </c>
      <c r="Q32" s="22">
        <v>156800</v>
      </c>
      <c r="R32" s="22">
        <v>159700</v>
      </c>
      <c r="S32" s="22">
        <v>171400</v>
      </c>
      <c r="T32" s="22">
        <v>187100</v>
      </c>
      <c r="U32" s="22">
        <v>181700</v>
      </c>
      <c r="V32" s="22">
        <v>180700</v>
      </c>
      <c r="W32" s="22">
        <v>191900</v>
      </c>
      <c r="X32" s="22">
        <v>205100</v>
      </c>
      <c r="Y32" s="101">
        <f>IF('Net zero activities &amp; levers'!$C$14="Off",((Data!$AJ$26*'Net zero Intermediate calcs'!Y29)+Data!$AK$26),IF('Net zero activities &amp; levers'!$C$14="On",((Data!$AJ$26*'Net zero Intermediate calcs'!Y29)+Data!$AK$26)*(1-'Net zero supporting data'!B215),"ERROR"))</f>
        <v>211858.52623334341</v>
      </c>
      <c r="Z32" s="101">
        <f>IF('Net zero activities &amp; levers'!$C$14="Off",((Data!$AJ$26*'Net zero Intermediate calcs'!Z29)+Data!$AK$26),IF('Net zero activities &amp; levers'!$C$14="On",((Data!$AJ$26*'Net zero Intermediate calcs'!Z29)+Data!$AK$26)*(1-'Net zero supporting data'!C215),"ERROR"))</f>
        <v>217298.93839915388</v>
      </c>
      <c r="AA32" s="101">
        <f>IF('Net zero activities &amp; levers'!$C$14="Off",((Data!$AJ$26*'Net zero Intermediate calcs'!AA29)+Data!$AK$26),IF('Net zero activities &amp; levers'!$C$14="On",((Data!$AJ$26*'Net zero Intermediate calcs'!AA29)+Data!$AK$26)*(1-'Net zero supporting data'!D215),"ERROR"))</f>
        <v>221029.58026028011</v>
      </c>
      <c r="AB32" s="101">
        <f>IF('Net zero activities &amp; levers'!$C$14="Off",((Data!$AJ$26*'Net zero Intermediate calcs'!AB29)+Data!$AK$26),IF('Net zero activities &amp; levers'!$C$14="On",((Data!$AJ$26*'Net zero Intermediate calcs'!AB29)+Data!$AK$26)*(1-'Net zero supporting data'!E215),"ERROR"))</f>
        <v>222343.65270597331</v>
      </c>
      <c r="AC32" s="101">
        <f>IF('Net zero activities &amp; levers'!$C$14="Off",((Data!$AJ$26*'Net zero Intermediate calcs'!AC29)+Data!$AK$26),IF('Net zero activities &amp; levers'!$C$14="On",((Data!$AJ$26*'Net zero Intermediate calcs'!AC29)+Data!$AK$26)*(1-'Net zero supporting data'!F215),"ERROR"))</f>
        <v>223604.36340102454</v>
      </c>
      <c r="AD32" s="101">
        <f>IF('Net zero activities &amp; levers'!$C$14="Off",((Data!$AJ$26*'Net zero Intermediate calcs'!AD29)+Data!$AK$26),IF('Net zero activities &amp; levers'!$C$14="On",((Data!$AJ$26*'Net zero Intermediate calcs'!AD29)+Data!$AK$26)*(1-'Net zero supporting data'!G215),"ERROR"))</f>
        <v>226023.44850057844</v>
      </c>
      <c r="AE32" s="101">
        <f>IF('Net zero activities &amp; levers'!$C$14="Off",((Data!$AJ$26*'Net zero Intermediate calcs'!AE29)+Data!$AK$26),IF('Net zero activities &amp; levers'!$C$14="On",((Data!$AJ$26*'Net zero Intermediate calcs'!AE29)+Data!$AK$26)*(1-'Net zero supporting data'!H215),"ERROR"))</f>
        <v>228793.98386710259</v>
      </c>
      <c r="AF32" s="101">
        <f>IF('Net zero activities &amp; levers'!$C$14="Off",((Data!$AJ$26*'Net zero Intermediate calcs'!AF29)+Data!$AK$26),IF('Net zero activities &amp; levers'!$C$14="On",((Data!$AJ$26*'Net zero Intermediate calcs'!AF29)+Data!$AK$26)*(1-'Net zero supporting data'!I215),"ERROR"))</f>
        <v>228967.54335225717</v>
      </c>
      <c r="AG32" s="101">
        <f>IF('Net zero activities &amp; levers'!$C$14="Off",((Data!$AJ$26*'Net zero Intermediate calcs'!AG29)+Data!$AK$26),IF('Net zero activities &amp; levers'!$C$14="On",((Data!$AJ$26*'Net zero Intermediate calcs'!AG29)+Data!$AK$26)*(1-'Net zero supporting data'!J215),"ERROR"))</f>
        <v>205213.16784232922</v>
      </c>
      <c r="AH32" s="101">
        <f>IF('Net zero activities &amp; levers'!$C$14="Off",((Data!$AJ$26*'Net zero Intermediate calcs'!AH29)+Data!$AK$26),IF('Net zero activities &amp; levers'!$C$14="On",((Data!$AJ$26*'Net zero Intermediate calcs'!AH29)+Data!$AK$26)*(1-'Net zero supporting data'!K215),"ERROR"))</f>
        <v>211331.66221226082</v>
      </c>
      <c r="AI32" s="101">
        <f>IF('Net zero activities &amp; levers'!$C$14="Off",((Data!$AJ$26*'Net zero Intermediate calcs'!AI29)+Data!$AK$26),IF('Net zero activities &amp; levers'!$C$14="On",((Data!$AJ$26*'Net zero Intermediate calcs'!AI29)+Data!$AK$26)*(1-'Net zero supporting data'!L215),"ERROR"))</f>
        <v>216850.44320123011</v>
      </c>
      <c r="AJ32" s="101">
        <f>IF('Net zero activities &amp; levers'!$C$14="Off",((Data!$AJ$26*'Net zero Intermediate calcs'!AJ29)+Data!$AK$26),IF('Net zero activities &amp; levers'!$C$14="On",((Data!$AJ$26*'Net zero Intermediate calcs'!AJ29)+Data!$AK$26)*(1-'Net zero supporting data'!M215),"ERROR"))</f>
        <v>222403.8828098294</v>
      </c>
      <c r="AK32" s="101">
        <f>IF('Net zero activities &amp; levers'!$C$14="Off",((Data!$AJ$26*'Net zero Intermediate calcs'!AK29)+Data!$AK$26),IF('Net zero activities &amp; levers'!$C$14="On",((Data!$AJ$26*'Net zero Intermediate calcs'!AK29)+Data!$AK$26)*(1-'Net zero supporting data'!N215),"ERROR"))</f>
        <v>229019.028349812</v>
      </c>
      <c r="AL32" s="101">
        <f>IF('Net zero activities &amp; levers'!$C$14="Off",((Data!$AJ$26*'Net zero Intermediate calcs'!AL29)+Data!$AK$26),IF('Net zero activities &amp; levers'!$C$14="On",((Data!$AJ$26*'Net zero Intermediate calcs'!AL29)+Data!$AK$26)*(1-'Net zero supporting data'!O215),"ERROR"))</f>
        <v>235680.98314100891</v>
      </c>
      <c r="AM32" s="101">
        <f>IF('Net zero activities &amp; levers'!$C$14="Off",((Data!$AJ$26*'Net zero Intermediate calcs'!AM29)+Data!$AK$26),IF('Net zero activities &amp; levers'!$C$14="On",((Data!$AJ$26*'Net zero Intermediate calcs'!AM29)+Data!$AK$26)*(1-'Net zero supporting data'!P215),"ERROR"))</f>
        <v>242702.57288763905</v>
      </c>
      <c r="AN32" s="101">
        <f>IF('Net zero activities &amp; levers'!$C$14="Off",((Data!$AJ$26*'Net zero Intermediate calcs'!AN29)+Data!$AK$26),IF('Net zero activities &amp; levers'!$C$14="On",((Data!$AJ$26*'Net zero Intermediate calcs'!AN29)+Data!$AK$26)*(1-'Net zero supporting data'!Q215),"ERROR"))</f>
        <v>249523.50733162276</v>
      </c>
      <c r="AO32" s="101">
        <f>IF('Net zero activities &amp; levers'!$C$14="Off",((Data!$AJ$26*'Net zero Intermediate calcs'!AO29)+Data!$AK$26),IF('Net zero activities &amp; levers'!$C$14="On",((Data!$AJ$26*'Net zero Intermediate calcs'!AO29)+Data!$AK$26)*(1-'Net zero supporting data'!R215),"ERROR"))</f>
        <v>256804.8765454824</v>
      </c>
      <c r="AP32" s="101">
        <f>IF('Net zero activities &amp; levers'!$C$14="Off",((Data!$AJ$26*'Net zero Intermediate calcs'!AP29)+Data!$AK$26),IF('Net zero activities &amp; levers'!$C$14="On",((Data!$AJ$26*'Net zero Intermediate calcs'!AP29)+Data!$AK$26)*(1-'Net zero supporting data'!S215),"ERROR"))</f>
        <v>263643.47002907784</v>
      </c>
      <c r="AQ32" s="101">
        <f>IF('Net zero activities &amp; levers'!$C$14="Off",((Data!$AJ$26*'Net zero Intermediate calcs'!AQ29)+Data!$AK$26),IF('Net zero activities &amp; levers'!$C$14="On",((Data!$AJ$26*'Net zero Intermediate calcs'!AQ29)+Data!$AK$26)*(1-'Net zero supporting data'!T215),"ERROR"))</f>
        <v>270676.25972697715</v>
      </c>
      <c r="AR32" s="101">
        <f>IF('Net zero activities &amp; levers'!$C$14="Off",((Data!$AJ$26*'Net zero Intermediate calcs'!AR29)+Data!$AK$26),IF('Net zero activities &amp; levers'!$C$14="On",((Data!$AJ$26*'Net zero Intermediate calcs'!AR29)+Data!$AK$26)*(1-'Net zero supporting data'!U215),"ERROR"))</f>
        <v>279250.78749197209</v>
      </c>
      <c r="AS32" s="101">
        <f>IF('Net zero activities &amp; levers'!$C$14="Off",((Data!$AJ$26*'Net zero Intermediate calcs'!AS29)+Data!$AK$26),IF('Net zero activities &amp; levers'!$C$14="On",((Data!$AJ$26*'Net zero Intermediate calcs'!AS29)+Data!$AK$26)*(1-'Net zero supporting data'!V215),"ERROR"))</f>
        <v>288539.36497439316</v>
      </c>
      <c r="AT32" s="101">
        <f>IF('Net zero activities &amp; levers'!$C$14="Off",((Data!$AJ$26*'Net zero Intermediate calcs'!AT29)+Data!$AK$26),IF('Net zero activities &amp; levers'!$C$14="On",((Data!$AJ$26*'Net zero Intermediate calcs'!AT29)+Data!$AK$26)*(1-'Net zero supporting data'!W215),"ERROR"))</f>
        <v>298167.23608938523</v>
      </c>
      <c r="AU32" s="101">
        <f>IF('Net zero activities &amp; levers'!$C$14="Off",((Data!$AJ$26*'Net zero Intermediate calcs'!AU29)+Data!$AK$26),IF('Net zero activities &amp; levers'!$C$14="On",((Data!$AJ$26*'Net zero Intermediate calcs'!AU29)+Data!$AK$26)*(1-'Net zero supporting data'!X215),"ERROR"))</f>
        <v>299558.66697453428</v>
      </c>
      <c r="AV32" s="101">
        <f>IF('Net zero activities &amp; levers'!$C$14="Off",((Data!$AJ$26*'Net zero Intermediate calcs'!AV29)+Data!$AK$26),IF('Net zero activities &amp; levers'!$C$14="On",((Data!$AJ$26*'Net zero Intermediate calcs'!AV29)+Data!$AK$26)*(1-'Net zero supporting data'!Y215),"ERROR"))</f>
        <v>-103046.4617630905</v>
      </c>
      <c r="AW32" s="101">
        <f>IF('Net zero activities &amp; levers'!$C$14="Off",((Data!$AJ$26*'Net zero Intermediate calcs'!AW29)+Data!$AK$26),IF('Net zero activities &amp; levers'!$C$14="On",((Data!$AJ$26*'Net zero Intermediate calcs'!AW29)+Data!$AK$26)*(1-'Net zero supporting data'!Z215),"ERROR"))</f>
        <v>-103894.82703485282</v>
      </c>
      <c r="AX32" s="101">
        <f>IF('Net zero activities &amp; levers'!$C$14="Off",((Data!$AJ$26*'Net zero Intermediate calcs'!AX29)+Data!$AK$26),IF('Net zero activities &amp; levers'!$C$14="On",((Data!$AJ$26*'Net zero Intermediate calcs'!AX29)+Data!$AK$26)*(1-'Net zero supporting data'!AA215),"ERROR"))</f>
        <v>-104749.40332148856</v>
      </c>
      <c r="AY32" s="101">
        <f>IF('Net zero activities &amp; levers'!$C$14="Off",((Data!$AJ$26*'Net zero Intermediate calcs'!AY29)+Data!$AK$26),IF('Net zero activities &amp; levers'!$C$14="On",((Data!$AJ$26*'Net zero Intermediate calcs'!AY29)+Data!$AK$26)*(1-'Net zero supporting data'!AB215),"ERROR"))</f>
        <v>-105610.23609480925</v>
      </c>
      <c r="AZ32" s="101">
        <f>IF('Net zero activities &amp; levers'!$C$14="Off",((Data!$AJ$26*'Net zero Intermediate calcs'!AZ29)+Data!$AK$26),IF('Net zero activities &amp; levers'!$C$14="On",((Data!$AJ$26*'Net zero Intermediate calcs'!AZ29)+Data!$AK$26)*(1-'Net zero supporting data'!AC215),"ERROR"))</f>
        <v>-106477.37115953269</v>
      </c>
      <c r="BA32" s="101">
        <f>IF('Net zero activities &amp; levers'!$C$14="Off",((Data!$AJ$26*'Net zero Intermediate calcs'!BA29)+Data!$AK$26),IF('Net zero activities &amp; levers'!$C$14="On",((Data!$AJ$26*'Net zero Intermediate calcs'!BA29)+Data!$AK$26)*(1-'Net zero supporting data'!AD215),"ERROR"))</f>
        <v>-107350.85465572019</v>
      </c>
      <c r="BB32" s="101">
        <f>IF('Net zero activities &amp; levers'!$C$14="Off",((Data!$AJ$26*'Net zero Intermediate calcs'!BB29)+Data!$AK$26),IF('Net zero activities &amp; levers'!$C$14="On",((Data!$AJ$26*'Net zero Intermediate calcs'!BB29)+Data!$AK$26)*(1-'Net zero supporting data'!AE215),"ERROR"))</f>
        <v>-108097.30268015531</v>
      </c>
      <c r="BC32" s="101">
        <f>IF('Net zero activities &amp; levers'!$C$14="Off",((Data!$AJ$26*'Net zero Intermediate calcs'!BC29)+Data!$AK$26),IF('Net zero activities &amp; levers'!$C$14="On",((Data!$AJ$26*'Net zero Intermediate calcs'!BC29)+Data!$AK$26)*(1-'Net zero supporting data'!AF215),"ERROR"))</f>
        <v>-108848.3868406596</v>
      </c>
      <c r="BD32" s="101">
        <f>IF('Net zero activities &amp; levers'!$C$14="Off",((Data!$AJ$26*'Net zero Intermediate calcs'!BD29)+Data!$AK$26),IF('Net zero activities &amp; levers'!$C$14="On",((Data!$AJ$26*'Net zero Intermediate calcs'!BD29)+Data!$AK$26)*(1-'Net zero supporting data'!AG215),"ERROR"))</f>
        <v>-109604.13593194749</v>
      </c>
      <c r="BE32" s="101">
        <f>IF('Net zero activities &amp; levers'!$C$14="Off",((Data!$AJ$26*'Net zero Intermediate calcs'!BE29)+Data!$AK$26),IF('Net zero activities &amp; levers'!$C$14="On",((Data!$AJ$26*'Net zero Intermediate calcs'!BE29)+Data!$AK$26)*(1-'Net zero supporting data'!AH215),"ERROR"))</f>
        <v>-110364.57892757523</v>
      </c>
      <c r="BF32" s="101">
        <f>IF('Net zero activities &amp; levers'!$C$14="Off",((Data!$AJ$26*'Net zero Intermediate calcs'!BF29)+Data!$AK$26),IF('Net zero activities &amp; levers'!$C$14="On",((Data!$AJ$26*'Net zero Intermediate calcs'!BF29)+Data!$AK$26)*(1-'Net zero supporting data'!AI215),"ERROR"))</f>
        <v>-111129.74498105186</v>
      </c>
      <c r="BG32" s="101">
        <f>IF('Net zero activities &amp; levers'!$C$14="Off",((Data!$AJ$26*'Net zero Intermediate calcs'!BG29)+Data!$AK$26),IF('Net zero activities &amp; levers'!$C$14="On",((Data!$AJ$26*'Net zero Intermediate calcs'!BG29)+Data!$AK$26)*(1-'Net zero supporting data'!AJ215),"ERROR"))</f>
        <v>-111762.55049794384</v>
      </c>
      <c r="BH32" s="101">
        <f>IF('Net zero activities &amp; levers'!$C$14="Off",((Data!$AJ$26*'Net zero Intermediate calcs'!BH29)+Data!$AK$26),IF('Net zero activities &amp; levers'!$C$14="On",((Data!$AJ$26*'Net zero Intermediate calcs'!BH29)+Data!$AK$26)*(1-'Net zero supporting data'!AK215),"ERROR"))</f>
        <v>-112398.58638573844</v>
      </c>
      <c r="BI32" s="101">
        <f>IF('Net zero activities &amp; levers'!$C$14="Off",((Data!$AJ$26*'Net zero Intermediate calcs'!BI29)+Data!$AK$26),IF('Net zero activities &amp; levers'!$C$14="On",((Data!$AJ$26*'Net zero Intermediate calcs'!BI29)+Data!$AK$26)*(1-'Net zero supporting data'!AL215),"ERROR"))</f>
        <v>-113037.86913496217</v>
      </c>
      <c r="BJ32" s="101">
        <f>IF('Net zero activities &amp; levers'!$C$14="Off",((Data!$AJ$26*'Net zero Intermediate calcs'!BJ29)+Data!$AK$26),IF('Net zero activities &amp; levers'!$C$14="On",((Data!$AJ$26*'Net zero Intermediate calcs'!BJ29)+Data!$AK$26)*(1-'Net zero supporting data'!AM215),"ERROR"))</f>
        <v>-113680.41532032313</v>
      </c>
      <c r="BK32" s="101">
        <f>IF('Net zero activities &amp; levers'!$C$14="Off",((Data!$AJ$26*'Net zero Intermediate calcs'!BK29)+Data!$AK$26),IF('Net zero activities &amp; levers'!$C$14="On",((Data!$AJ$26*'Net zero Intermediate calcs'!BK29)+Data!$AK$26)*(1-'Net zero supporting data'!AN215),"ERROR"))</f>
        <v>-114326.24160114053</v>
      </c>
      <c r="BL32">
        <v>550053.14663898607</v>
      </c>
    </row>
    <row r="33" spans="1:64" x14ac:dyDescent="0.25">
      <c r="A33" t="s">
        <v>818</v>
      </c>
      <c r="B33" t="s">
        <v>815</v>
      </c>
      <c r="C33" s="22">
        <f>Data!C27</f>
        <v>13.653011027487219</v>
      </c>
      <c r="D33" s="22">
        <f>Data!D27</f>
        <v>14.391608053652755</v>
      </c>
      <c r="E33" s="22">
        <f>Data!E27</f>
        <v>16.592599020349589</v>
      </c>
      <c r="F33" s="22">
        <f>Data!F27</f>
        <v>14.420179981553732</v>
      </c>
      <c r="G33" s="22">
        <f>Data!G27</f>
        <v>14.841278051291667</v>
      </c>
      <c r="H33" s="22">
        <f>Data!H27</f>
        <v>15.058618610882386</v>
      </c>
      <c r="I33" s="22">
        <f>Data!I27</f>
        <v>15.256180717369467</v>
      </c>
      <c r="J33" s="22">
        <f>Data!J27</f>
        <v>15.018469029514932</v>
      </c>
      <c r="K33" s="22">
        <f>Data!K27</f>
        <v>15.701550370273951</v>
      </c>
      <c r="L33" s="22">
        <f>Data!L27</f>
        <v>16.882881640786671</v>
      </c>
      <c r="M33" s="22">
        <f>Data!M27</f>
        <v>15.138795298415898</v>
      </c>
      <c r="N33" s="22">
        <f>Data!N27</f>
        <v>17.746678439758945</v>
      </c>
      <c r="O33" s="22">
        <f>Data!O27</f>
        <v>16.58060559776451</v>
      </c>
      <c r="P33" s="22">
        <f>Data!P27</f>
        <v>13.927119744071932</v>
      </c>
      <c r="Q33" s="22">
        <f>Data!Q27</f>
        <v>11.990823759245604</v>
      </c>
      <c r="R33" s="22">
        <f>Data!R27</f>
        <v>11.688128726620503</v>
      </c>
      <c r="S33" s="22">
        <f>Data!S27</f>
        <v>10.698991960935169</v>
      </c>
      <c r="T33" s="22">
        <f>Data!T27</f>
        <v>9.9764519382217767</v>
      </c>
      <c r="U33" s="22">
        <f>Data!U27</f>
        <v>10.048944051821932</v>
      </c>
      <c r="V33" s="22">
        <f>Data!V27</f>
        <v>10.092041871875903</v>
      </c>
      <c r="W33" s="22">
        <f>Data!W27</f>
        <v>9.3910936453950828</v>
      </c>
      <c r="X33" s="22">
        <f>Data!X27</f>
        <v>8.7315701156068712</v>
      </c>
      <c r="Y33" s="22">
        <f>((Data!$AJ$27*LN('Net zero Intermediate calcs'!Y2))+Data!$AK$27)</f>
        <v>8.9505840171188549</v>
      </c>
      <c r="Z33" s="22">
        <f>((Data!$AJ$27*LN('Net zero Intermediate calcs'!Z2))+Data!$AK$27)</f>
        <v>8.6989484356715767</v>
      </c>
      <c r="AA33" s="22">
        <f>((Data!$AJ$27*LN('Net zero Intermediate calcs'!AA2))+Data!$AK$27)</f>
        <v>8.462573140856847</v>
      </c>
      <c r="AB33" s="22">
        <f>((Data!$AJ$27*LN('Net zero Intermediate calcs'!AB2))+Data!$AK$27)</f>
        <v>8.2397125849020476</v>
      </c>
      <c r="AC33" s="22">
        <f>((Data!$AJ$27*LN('Net zero Intermediate calcs'!AC2))+Data!$AK$27)</f>
        <v>8.0289045833895329</v>
      </c>
      <c r="AD33" s="22">
        <f>((Data!$AJ$27*LN('Net zero Intermediate calcs'!AD2))+Data!$AK$27)</f>
        <v>7.8289121179587777</v>
      </c>
      <c r="AE33" s="22">
        <f>((Data!$AJ$27*LN('Net zero Intermediate calcs'!AE2))+Data!$AK$27)</f>
        <v>7.6386793528863848</v>
      </c>
      <c r="AF33" s="22">
        <f>((Data!$AJ$27*LN('Net zero Intermediate calcs'!AF2))+Data!$AK$27)</f>
        <v>7.4572978929940827</v>
      </c>
      <c r="AG33" s="22">
        <f>((Data!$AJ$27*LN('Net zero Intermediate calcs'!AG2))+Data!$AK$27)</f>
        <v>7.2839805481943056</v>
      </c>
      <c r="AH33" s="22">
        <f>((Data!$AJ$27*LN('Net zero Intermediate calcs'!AH2))+Data!$AK$27)</f>
        <v>7.1180406857419687</v>
      </c>
      <c r="AI33" s="22">
        <f>((Data!$AJ$27*LN('Net zero Intermediate calcs'!AI2))+Data!$AK$27)</f>
        <v>6.9588758002459805</v>
      </c>
      <c r="AJ33" s="22">
        <f>((Data!$AJ$27*LN('Net zero Intermediate calcs'!AJ2))+Data!$AK$27)</f>
        <v>6.8059543080093459</v>
      </c>
      <c r="AK33" s="22">
        <f>((Data!$AJ$27*LN('Net zero Intermediate calcs'!AK2))+Data!$AK$27)</f>
        <v>6.6588048349724414</v>
      </c>
      <c r="AL33" s="22">
        <f>((Data!$AJ$27*LN('Net zero Intermediate calcs'!AL2))+Data!$AK$27)</f>
        <v>6.5170074537263076</v>
      </c>
      <c r="AM33" s="22">
        <f>((Data!$AJ$27*LN('Net zero Intermediate calcs'!AM2))+Data!$AK$27)</f>
        <v>6.3801864589340838</v>
      </c>
      <c r="AN33" s="22">
        <f>((Data!$AJ$27*LN('Net zero Intermediate calcs'!AN2))+Data!$AK$27)</f>
        <v>6.2480043680291715</v>
      </c>
      <c r="AO33" s="22">
        <f>((Data!$AJ$27*LN('Net zero Intermediate calcs'!AO2))+Data!$AK$27)</f>
        <v>6.1201569059835439</v>
      </c>
      <c r="AP33" s="22">
        <f>((Data!$AJ$27*LN('Net zero Intermediate calcs'!AP2))+Data!$AK$27)</f>
        <v>5.9963687865818933</v>
      </c>
      <c r="AQ33" s="22">
        <f>((Data!$AJ$27*LN('Net zero Intermediate calcs'!AQ2))+Data!$AK$27)</f>
        <v>5.8763901430644783</v>
      </c>
      <c r="AR33" s="22">
        <f>((Data!$AJ$27*LN('Net zero Intermediate calcs'!AR2))+Data!$AK$27)</f>
        <v>5.7599934917671636</v>
      </c>
      <c r="AS33" s="22">
        <f>((Data!$AJ$27*LN('Net zero Intermediate calcs'!AS2))+Data!$AK$27)</f>
        <v>5.6469711360135104</v>
      </c>
      <c r="AT33" s="22">
        <f>((Data!$AJ$27*LN('Net zero Intermediate calcs'!AT2))+Data!$AK$27)</f>
        <v>5.5371329358123642</v>
      </c>
      <c r="AU33" s="22">
        <f>((Data!$AJ$27*LN('Net zero Intermediate calcs'!AU2))+Data!$AK$27)</f>
        <v>5.4303043831997524</v>
      </c>
      <c r="AV33" s="22">
        <f>((Data!$AJ$27*LN('Net zero Intermediate calcs'!AV2))+Data!$AK$27)</f>
        <v>5.3263249342998495</v>
      </c>
      <c r="AW33" s="22">
        <f>((Data!$AJ$27*LN('Net zero Intermediate calcs'!AW2))+Data!$AK$27)</f>
        <v>5.2250465580797414</v>
      </c>
      <c r="AX33" s="22">
        <f>((Data!$AJ$27*LN('Net zero Intermediate calcs'!AX2))+Data!$AK$27)</f>
        <v>5.1263324688690943</v>
      </c>
      <c r="AY33" s="22">
        <f>((Data!$AJ$27*LN('Net zero Intermediate calcs'!AY2))+Data!$AK$27)</f>
        <v>5.0300560154098388</v>
      </c>
      <c r="AZ33" s="22">
        <f>((Data!$AJ$27*LN('Net zero Intermediate calcs'!AZ2))+Data!$AK$27)</f>
        <v>4.9360997037967014</v>
      </c>
      <c r="BA33" s="22">
        <f>((Data!$AJ$27*LN('Net zero Intermediate calcs'!BA2))+Data!$AK$27)</f>
        <v>4.8443543353997978</v>
      </c>
      <c r="BB33" s="22">
        <f>((Data!$AJ$27*LN('Net zero Intermediate calcs'!BB2))+Data!$AK$27)</f>
        <v>4.7547182439044011</v>
      </c>
      <c r="BC33" s="22">
        <f>((Data!$AJ$27*LN('Net zero Intermediate calcs'!BC2))+Data!$AK$27)</f>
        <v>4.667096618099567</v>
      </c>
      <c r="BD33" s="22">
        <f>((Data!$AJ$27*LN('Net zero Intermediate calcs'!BD2))+Data!$AK$27)</f>
        <v>4.5814008991046222</v>
      </c>
      <c r="BE33" s="22">
        <f>((Data!$AJ$27*LN('Net zero Intermediate calcs'!BE2))+Data!$AK$27)</f>
        <v>4.4975482424258928</v>
      </c>
      <c r="BF33" s="22">
        <f>((Data!$AJ$27*LN('Net zero Intermediate calcs'!BF2))+Data!$AK$27)</f>
        <v>4.4154610366522853</v>
      </c>
      <c r="BG33" s="22">
        <f>((Data!$AJ$27*LN('Net zero Intermediate calcs'!BG2))+Data!$AK$27)</f>
        <v>4.3350664717810403</v>
      </c>
      <c r="BH33" s="22">
        <f>((Data!$AJ$27*LN('Net zero Intermediate calcs'!BH2))+Data!$AK$27)</f>
        <v>4.2562961511562971</v>
      </c>
      <c r="BI33" s="22">
        <f>((Data!$AJ$27*LN('Net zero Intermediate calcs'!BI2))+Data!$AK$27)</f>
        <v>4.1790857418375573</v>
      </c>
      <c r="BJ33" s="22">
        <f>((Data!$AJ$27*LN('Net zero Intermediate calcs'!BJ2))+Data!$AK$27)</f>
        <v>4.1033746589196625</v>
      </c>
      <c r="BK33" s="22">
        <f>((Data!$AJ$27*LN('Net zero Intermediate calcs'!BK2))+Data!$AK$27)</f>
        <v>4.0291057799232792</v>
      </c>
      <c r="BL33">
        <v>4.0291057799232792</v>
      </c>
    </row>
    <row r="34" spans="1:64" x14ac:dyDescent="0.25">
      <c r="A34" t="s">
        <v>336</v>
      </c>
      <c r="B34" t="s">
        <v>321</v>
      </c>
      <c r="C34" s="22">
        <v>209000</v>
      </c>
      <c r="D34" s="22">
        <v>214000</v>
      </c>
      <c r="E34" s="22">
        <v>223000</v>
      </c>
      <c r="F34" s="22">
        <v>218000</v>
      </c>
      <c r="G34" s="22">
        <v>233000</v>
      </c>
      <c r="H34" s="22">
        <v>272000</v>
      </c>
      <c r="I34" s="22">
        <v>263000</v>
      </c>
      <c r="J34" s="22">
        <v>293000</v>
      </c>
      <c r="K34" s="22">
        <v>302000</v>
      </c>
      <c r="L34" s="22">
        <v>299000</v>
      </c>
      <c r="M34" s="22">
        <v>310000</v>
      </c>
      <c r="N34" s="22">
        <v>308000</v>
      </c>
      <c r="O34" s="22">
        <v>313000</v>
      </c>
      <c r="P34" s="22">
        <v>305000</v>
      </c>
      <c r="Q34" s="22">
        <v>329000</v>
      </c>
      <c r="R34" s="22">
        <v>357000</v>
      </c>
      <c r="S34" s="22">
        <v>392000</v>
      </c>
      <c r="T34" s="22">
        <v>416000</v>
      </c>
      <c r="U34" s="22">
        <v>404000</v>
      </c>
      <c r="V34" s="22">
        <v>379000</v>
      </c>
      <c r="W34" s="22">
        <v>386000</v>
      </c>
      <c r="X34" s="22">
        <v>426000</v>
      </c>
      <c r="Y34" s="22">
        <f>((Data!$AJ$10*'Net zero Intermediate calcs'!Y4)+Data!$AK$10)*Drivers!Z4</f>
        <v>421543.02508348582</v>
      </c>
      <c r="Z34" s="22">
        <f>((Data!$AJ$10*'Net zero Intermediate calcs'!Z4)+Data!$AK$10)*Drivers!AA4</f>
        <v>430512.38294628798</v>
      </c>
      <c r="AA34" s="22">
        <f>((Data!$AJ$10*'Net zero Intermediate calcs'!AA4)+Data!$AK$10)*Drivers!AB4</f>
        <v>437736.41892231413</v>
      </c>
      <c r="AB34" s="22">
        <f>((Data!$AJ$10*'Net zero Intermediate calcs'!AB4)+Data!$AK$10)*Drivers!AC4</f>
        <v>442450.99207410211</v>
      </c>
      <c r="AC34" s="22">
        <f>((Data!$AJ$10*'Net zero Intermediate calcs'!AC4)+Data!$AK$10)*Drivers!AD4</f>
        <v>447230.33971764235</v>
      </c>
      <c r="AD34" s="22">
        <f>((Data!$AJ$10*'Net zero Intermediate calcs'!AD4)+Data!$AK$10)*Drivers!AE4</f>
        <v>453396.88104366296</v>
      </c>
      <c r="AE34" s="22">
        <f>((Data!$AJ$10*'Net zero Intermediate calcs'!AE4)+Data!$AK$10)*Drivers!AF4</f>
        <v>459992.79066328856</v>
      </c>
      <c r="AF34" s="22">
        <f>((Data!$AJ$10*'Net zero Intermediate calcs'!AF4)+Data!$AK$10)*Drivers!AG4</f>
        <v>463822.83826328628</v>
      </c>
      <c r="AG34" s="22">
        <f>((Data!$AJ$10*'Net zero Intermediate calcs'!AG4)+Data!$AK$10)*Drivers!AH4</f>
        <v>441693.82953878731</v>
      </c>
      <c r="AH34" s="22">
        <f>((Data!$AJ$10*'Net zero Intermediate calcs'!AH4)+Data!$AK$10)*Drivers!AI4</f>
        <v>451023.89905096759</v>
      </c>
      <c r="AI34" s="22">
        <f>((Data!$AJ$10*'Net zero Intermediate calcs'!AI4)+Data!$AK$10)*Drivers!AJ4</f>
        <v>459732.69782366534</v>
      </c>
      <c r="AJ34" s="22">
        <f>((Data!$AJ$10*'Net zero Intermediate calcs'!AJ4)+Data!$AK$10)*Drivers!AK4</f>
        <v>468510.36259191815</v>
      </c>
      <c r="AK34" s="22">
        <f>((Data!$AJ$10*'Net zero Intermediate calcs'!AK4)+Data!$AK$10)*Drivers!AL4</f>
        <v>478474.00807630393</v>
      </c>
      <c r="AL34" s="22">
        <f>((Data!$AJ$10*'Net zero Intermediate calcs'!AL4)+Data!$AK$10)*Drivers!AM4</f>
        <v>488520.45365545765</v>
      </c>
      <c r="AM34" s="22">
        <f>((Data!$AJ$10*'Net zero Intermediate calcs'!AM4)+Data!$AK$10)*Drivers!AN4</f>
        <v>498579.61169289006</v>
      </c>
      <c r="AN34" s="22">
        <f>((Data!$AJ$10*'Net zero Intermediate calcs'!AN4)+Data!$AK$10)*Drivers!AO4</f>
        <v>508444.4583652998</v>
      </c>
      <c r="AO34" s="22">
        <f>((Data!$AJ$10*'Net zero Intermediate calcs'!AO4)+Data!$AK$10)*Drivers!AP4</f>
        <v>518834.06230638718</v>
      </c>
      <c r="AP34" s="22">
        <f>((Data!$AJ$10*'Net zero Intermediate calcs'!AP4)+Data!$AK$10)*Drivers!AQ4</f>
        <v>528766.55861329543</v>
      </c>
      <c r="AQ34" s="22">
        <f>((Data!$AJ$10*'Net zero Intermediate calcs'!AQ4)+Data!$AK$10)*Drivers!AR4</f>
        <v>538934.79582298221</v>
      </c>
      <c r="AR34" s="22">
        <f>((Data!$AJ$10*'Net zero Intermediate calcs'!AR4)+Data!$AK$10)*Drivers!AS4</f>
        <v>550464.97197037318</v>
      </c>
      <c r="AS34" s="22">
        <f>((Data!$AJ$10*'Net zero Intermediate calcs'!AS4)+Data!$AK$10)*Drivers!AT4</f>
        <v>562790.39973030449</v>
      </c>
      <c r="AT34" s="22">
        <f>((Data!$AJ$10*'Net zero Intermediate calcs'!AT4)+Data!$AK$10)*Drivers!AU4</f>
        <v>575503.75032380328</v>
      </c>
      <c r="AU34" s="22">
        <f>((Data!$AJ$10*'Net zero Intermediate calcs'!AU4)+Data!$AK$10)*Drivers!AV4</f>
        <v>579280.39658821293</v>
      </c>
      <c r="AV34" s="22">
        <f>((Data!$AJ$10*'Net zero Intermediate calcs'!AV4)+Data!$AK$10)*Drivers!AW4</f>
        <v>143792.34948588893</v>
      </c>
      <c r="AW34" s="22">
        <f>((Data!$AJ$10*'Net zero Intermediate calcs'!AW4)+Data!$AK$10)*Drivers!AX4</f>
        <v>144845.07577144829</v>
      </c>
      <c r="AX34" s="22">
        <f>((Data!$AJ$10*'Net zero Intermediate calcs'!AX4)+Data!$AK$10)*Drivers!AY4</f>
        <v>145905.5092308335</v>
      </c>
      <c r="AY34" s="22">
        <f>((Data!$AJ$10*'Net zero Intermediate calcs'!AY4)+Data!$AK$10)*Drivers!AZ4</f>
        <v>146973.70628946976</v>
      </c>
      <c r="AZ34" s="22">
        <f>((Data!$AJ$10*'Net zero Intermediate calcs'!AZ4)+Data!$AK$10)*Drivers!BA4</f>
        <v>148049.7237858818</v>
      </c>
      <c r="BA34" s="22">
        <f>((Data!$AJ$10*'Net zero Intermediate calcs'!BA4)+Data!$AK$10)*Drivers!BB4</f>
        <v>149133.618974718</v>
      </c>
      <c r="BB34" s="22">
        <f>((Data!$AJ$10*'Net zero Intermediate calcs'!BB4)+Data!$AK$10)*Drivers!BC4</f>
        <v>150059.87737105048</v>
      </c>
      <c r="BC34" s="22">
        <f>((Data!$AJ$10*'Net zero Intermediate calcs'!BC4)+Data!$AK$10)*Drivers!BD4</f>
        <v>150991.88869299873</v>
      </c>
      <c r="BD34" s="22">
        <f>((Data!$AJ$10*'Net zero Intermediate calcs'!BD4)+Data!$AK$10)*Drivers!BE4</f>
        <v>151929.6886715783</v>
      </c>
      <c r="BE34" s="22">
        <f>((Data!$AJ$10*'Net zero Intermediate calcs'!BE4)+Data!$AK$10)*Drivers!BF4</f>
        <v>152873.31325972755</v>
      </c>
      <c r="BF34" s="22">
        <f>((Data!$AJ$10*'Net zero Intermediate calcs'!BF4)+Data!$AK$10)*Drivers!BG4</f>
        <v>153822.79863368598</v>
      </c>
      <c r="BG34" s="22">
        <f>((Data!$AJ$10*'Net zero Intermediate calcs'!BG4)+Data!$AK$10)*Drivers!BH4</f>
        <v>154608.03940608975</v>
      </c>
      <c r="BH34" s="22">
        <f>((Data!$AJ$10*'Net zero Intermediate calcs'!BH4)+Data!$AK$10)*Drivers!BI4</f>
        <v>155397.28870698294</v>
      </c>
      <c r="BI34" s="22">
        <f>((Data!$AJ$10*'Net zero Intermediate calcs'!BI4)+Data!$AK$10)*Drivers!BJ4</f>
        <v>156190.56699926205</v>
      </c>
      <c r="BJ34" s="22">
        <f>((Data!$AJ$10*'Net zero Intermediate calcs'!BJ4)+Data!$AK$10)*Drivers!BK4</f>
        <v>156987.8948502834</v>
      </c>
      <c r="BK34" s="22">
        <f>((Data!$AJ$10*'Net zero Intermediate calcs'!BK4)+Data!$AK$10)*Drivers!BL4</f>
        <v>157789.29293239632</v>
      </c>
      <c r="BL34">
        <v>879387.44308735442</v>
      </c>
    </row>
    <row r="35" spans="1:64" x14ac:dyDescent="0.25">
      <c r="A35" t="s">
        <v>336</v>
      </c>
      <c r="B35" t="s">
        <v>663</v>
      </c>
      <c r="C35" s="51">
        <f>C34*ttokg/Drivers!D4</f>
        <v>5.6792692731505428</v>
      </c>
      <c r="D35" s="51">
        <f>D34*ttokg/Drivers!E4</f>
        <v>5.6735407533878863</v>
      </c>
      <c r="E35" s="51">
        <f>E34*ttokg/Drivers!F4</f>
        <v>5.7663554980919702</v>
      </c>
      <c r="F35" s="51">
        <f>F34*ttokg/Drivers!G4</f>
        <v>5.5003626959346512</v>
      </c>
      <c r="G35" s="51">
        <f>G34*ttokg/Drivers!H4</f>
        <v>5.7440011119202836</v>
      </c>
      <c r="H35" s="51">
        <f>H34*ttokg/Drivers!I4</f>
        <v>6.5643785254272409</v>
      </c>
      <c r="I35" s="51">
        <f>I34*ttokg/Drivers!J4</f>
        <v>6.2261767361581377</v>
      </c>
      <c r="J35" s="51">
        <f>J34*ttokg/Drivers!K4</f>
        <v>6.8159410484838823</v>
      </c>
      <c r="K35" s="51">
        <f>K34*ttokg/Drivers!L4</f>
        <v>6.9135617067431951</v>
      </c>
      <c r="L35" s="51">
        <f>L34*ttokg/Drivers!M4</f>
        <v>6.7435684569066696</v>
      </c>
      <c r="M35" s="51">
        <f>M34*ttokg/Drivers!N4</f>
        <v>6.8938359055347007</v>
      </c>
      <c r="N35" s="51">
        <f>N34*ttokg/Drivers!O4</f>
        <v>6.7586436139573367</v>
      </c>
      <c r="O35" s="51">
        <f>O34*ttokg/Drivers!P4</f>
        <v>6.7820976802777446</v>
      </c>
      <c r="P35" s="51">
        <f>P34*ttokg/Drivers!Q4</f>
        <v>6.5283657706780742</v>
      </c>
      <c r="Q35" s="51">
        <f>Q34*ttokg/Drivers!R4</f>
        <v>6.956836529777692</v>
      </c>
      <c r="R35" s="51">
        <f>R34*ttokg/Drivers!S4</f>
        <v>7.4560467609836394</v>
      </c>
      <c r="S35" s="51">
        <f>S34*ttokg/Drivers!T4</f>
        <v>8.0842312552919999</v>
      </c>
      <c r="T35" s="51">
        <f>T34*ttokg/Drivers!U4</f>
        <v>8.4690969269617149</v>
      </c>
      <c r="U35" s="51">
        <f>U34*ttokg/Drivers!V4</f>
        <v>8.115795364719725</v>
      </c>
      <c r="V35" s="51">
        <f>V34*ttokg/Drivers!W4</f>
        <v>7.5083685125492075</v>
      </c>
      <c r="W35" s="51">
        <f>W34*ttokg/Drivers!X4</f>
        <v>7.5365654239091562</v>
      </c>
      <c r="X35" s="51">
        <f>X34*ttokg/Drivers!Y4</f>
        <v>8.1916504698892236</v>
      </c>
      <c r="Y35" s="51">
        <f>Y34*ttokg/Drivers!Z4</f>
        <v>8.0561784559632859</v>
      </c>
      <c r="Z35" s="51">
        <f>Z34*ttokg/Drivers!AA4</f>
        <v>8.1069081418226361</v>
      </c>
      <c r="AA35" s="51">
        <f>AA34*ttokg/Drivers!AB4</f>
        <v>8.1194066205093893</v>
      </c>
      <c r="AB35" s="51">
        <f>AB34*ttokg/Drivers!AC4</f>
        <v>8.0812241186729761</v>
      </c>
      <c r="AC35" s="51">
        <f>AC34*ttokg/Drivers!AD4</f>
        <v>8.0408273712604146</v>
      </c>
      <c r="AD35" s="51">
        <f>AD34*ttokg/Drivers!AE4</f>
        <v>8.0216074773215222</v>
      </c>
      <c r="AE35" s="51">
        <f>AE34*ttokg/Drivers!AF4</f>
        <v>8.0087886642430881</v>
      </c>
      <c r="AF35" s="51">
        <f>AF34*ttokg/Drivers!AG4</f>
        <v>7.9469570827122844</v>
      </c>
      <c r="AG35" s="51">
        <f>AG34*ttokg/Drivers!AH4</f>
        <v>7.4473711953305211</v>
      </c>
      <c r="AH35" s="51">
        <f>AH34*ttokg/Drivers!AI4</f>
        <v>7.5181199707324931</v>
      </c>
      <c r="AI35" s="51">
        <f>AI34*ttokg/Drivers!AJ4</f>
        <v>7.5760549885018227</v>
      </c>
      <c r="AJ35" s="51">
        <f>AJ34*ttokg/Drivers!AK4</f>
        <v>7.6328188270036046</v>
      </c>
      <c r="AK35" s="51">
        <f>AK34*ttokg/Drivers!AL4</f>
        <v>7.7064103732678673</v>
      </c>
      <c r="AL35" s="51">
        <f>AL34*ttokg/Drivers!AM4</f>
        <v>7.7786559124251653</v>
      </c>
      <c r="AM35" s="51">
        <f>AM34*ttokg/Drivers!AN4</f>
        <v>7.8614196876738678</v>
      </c>
      <c r="AN35" s="51">
        <f>AN34*ttokg/Drivers!AO4</f>
        <v>7.9387960146602783</v>
      </c>
      <c r="AO35" s="51">
        <f>AO34*ttokg/Drivers!AP4</f>
        <v>8.0220296534620861</v>
      </c>
      <c r="AP35" s="51">
        <f>AP34*ttokg/Drivers!AQ4</f>
        <v>8.0958866881289424</v>
      </c>
      <c r="AQ35" s="51">
        <f>AQ34*ttokg/Drivers!AR4</f>
        <v>8.171114992155875</v>
      </c>
      <c r="AR35" s="51">
        <f>AR34*ttokg/Drivers!AS4</f>
        <v>8.2753072163508179</v>
      </c>
      <c r="AS35" s="51">
        <f>AS34*ttokg/Drivers!AT4</f>
        <v>8.389005069361243</v>
      </c>
      <c r="AT35" s="51">
        <f>AT34*ttokg/Drivers!AU4</f>
        <v>8.5059196050148902</v>
      </c>
      <c r="AU35" s="51">
        <f>AU34*ttokg/Drivers!AV4</f>
        <v>8.4892883740199672</v>
      </c>
      <c r="AV35" s="51">
        <f>AV34*ttokg/Drivers!AW4</f>
        <v>2.0894287861227241</v>
      </c>
      <c r="AW35" s="51">
        <f>AW34*ttokg/Drivers!AX4</f>
        <v>2.0894287861227241</v>
      </c>
      <c r="AX35" s="51">
        <f>AX34*ttokg/Drivers!AY4</f>
        <v>2.0894287861227241</v>
      </c>
      <c r="AY35" s="51">
        <f>AY34*ttokg/Drivers!AZ4</f>
        <v>2.0894287861227241</v>
      </c>
      <c r="AZ35" s="51">
        <f>AZ34*ttokg/Drivers!BA4</f>
        <v>2.0894287861227241</v>
      </c>
      <c r="BA35" s="51">
        <f>BA34*ttokg/Drivers!BB4</f>
        <v>2.0894287861227245</v>
      </c>
      <c r="BB35" s="51">
        <f>BB34*ttokg/Drivers!BC4</f>
        <v>2.0894287861227241</v>
      </c>
      <c r="BC35" s="51">
        <f>BC34*ttokg/Drivers!BD4</f>
        <v>2.0894287861227245</v>
      </c>
      <c r="BD35" s="51">
        <f>BD34*ttokg/Drivers!BE4</f>
        <v>2.0894287861227245</v>
      </c>
      <c r="BE35" s="51">
        <f>BE34*ttokg/Drivers!BF4</f>
        <v>2.0894287861227241</v>
      </c>
      <c r="BF35" s="51">
        <f>BF34*ttokg/Drivers!BG4</f>
        <v>2.0894287861227241</v>
      </c>
      <c r="BG35" s="51">
        <f>BG34*ttokg/Drivers!BH4</f>
        <v>2.0894287861227241</v>
      </c>
      <c r="BH35" s="51">
        <f>BH34*ttokg/Drivers!BI4</f>
        <v>2.0894287861227241</v>
      </c>
      <c r="BI35" s="51">
        <f>BI34*ttokg/Drivers!BJ4</f>
        <v>2.0894287861227245</v>
      </c>
      <c r="BJ35" s="51">
        <f>BJ34*ttokg/Drivers!BK4</f>
        <v>2.0894287861227241</v>
      </c>
      <c r="BK35" s="51">
        <f>BK34*ttokg/Drivers!BL4</f>
        <v>2.0894287861227241</v>
      </c>
      <c r="BL35">
        <v>11.644739573179301</v>
      </c>
    </row>
    <row r="36" spans="1:64" x14ac:dyDescent="0.25">
      <c r="A36" t="s">
        <v>336</v>
      </c>
      <c r="B36" t="s">
        <v>322</v>
      </c>
      <c r="C36" s="51">
        <f>C34/Drivers!D4</f>
        <v>5.6792692731505428E-3</v>
      </c>
      <c r="D36" s="51">
        <f>D34/Drivers!E4</f>
        <v>5.6735407533878863E-3</v>
      </c>
      <c r="E36" s="51">
        <f>E34/Drivers!F4</f>
        <v>5.7663554980919695E-3</v>
      </c>
      <c r="F36" s="51">
        <f>F34/Drivers!G4</f>
        <v>5.5003626959346519E-3</v>
      </c>
      <c r="G36" s="51">
        <f>G34/Drivers!H4</f>
        <v>5.7440011119202841E-3</v>
      </c>
      <c r="H36" s="51">
        <f>H34/Drivers!I4</f>
        <v>6.5643785254272408E-3</v>
      </c>
      <c r="I36" s="51">
        <f>I34/Drivers!J4</f>
        <v>6.2261767361581379E-3</v>
      </c>
      <c r="J36" s="51">
        <f>J34/Drivers!K4</f>
        <v>6.8159410484838825E-3</v>
      </c>
      <c r="K36" s="51">
        <f>K34/Drivers!L4</f>
        <v>6.9135617067431947E-3</v>
      </c>
      <c r="L36" s="51">
        <f>L34/Drivers!M4</f>
        <v>6.7435684569066689E-3</v>
      </c>
      <c r="M36" s="51">
        <f>M34/Drivers!N4</f>
        <v>6.8938359055347002E-3</v>
      </c>
      <c r="N36" s="51">
        <f>N34/Drivers!O4</f>
        <v>6.7586436139573363E-3</v>
      </c>
      <c r="O36" s="51">
        <f>O34/Drivers!P4</f>
        <v>6.7820976802777447E-3</v>
      </c>
      <c r="P36" s="51">
        <f>P34/Drivers!Q4</f>
        <v>6.5283657706780738E-3</v>
      </c>
      <c r="Q36" s="51">
        <f>Q34/Drivers!R4</f>
        <v>6.9568365297776923E-3</v>
      </c>
      <c r="R36" s="51">
        <f>R34/Drivers!S4</f>
        <v>7.456046760983639E-3</v>
      </c>
      <c r="S36" s="51">
        <f>S34/Drivers!T4</f>
        <v>8.0842312552920001E-3</v>
      </c>
      <c r="T36" s="51">
        <f>T34/Drivers!U4</f>
        <v>8.4690969269617146E-3</v>
      </c>
      <c r="U36" s="51">
        <f>U34/Drivers!V4</f>
        <v>8.1157953647197252E-3</v>
      </c>
      <c r="V36" s="51">
        <f>V34/Drivers!W4</f>
        <v>7.5083685125492076E-3</v>
      </c>
      <c r="W36" s="51">
        <f>W34/Drivers!X4</f>
        <v>7.5365654239091563E-3</v>
      </c>
      <c r="X36" s="51">
        <f>X34/Drivers!Y4</f>
        <v>8.191650469889223E-3</v>
      </c>
      <c r="Y36" s="51"/>
      <c r="Z36" s="51"/>
      <c r="AA36" s="51"/>
      <c r="AB36" s="51"/>
      <c r="AC36" s="51"/>
      <c r="AD36" s="51"/>
      <c r="AE36" s="51"/>
      <c r="AF36" s="51"/>
      <c r="AG36" s="51"/>
      <c r="AH36" s="51"/>
      <c r="AI36" s="51"/>
      <c r="AJ36" s="51"/>
      <c r="AK36" s="51"/>
      <c r="AL36" s="51"/>
      <c r="AM36" s="51"/>
      <c r="AN36" s="51"/>
      <c r="AO36" s="51">
        <f>(AO37-AD37)/AD37</f>
        <v>0.14642766276360714</v>
      </c>
      <c r="AP36" s="51"/>
      <c r="AQ36" s="51">
        <f>(AQ37-AE37)/AE37</f>
        <v>0.17407786482230761</v>
      </c>
      <c r="AR36" s="51"/>
      <c r="AS36" s="51"/>
      <c r="AT36" s="51"/>
      <c r="AU36" s="51"/>
      <c r="AV36" s="51"/>
      <c r="AW36" s="51"/>
      <c r="AX36" s="51"/>
      <c r="AY36" s="51"/>
      <c r="AZ36" s="51"/>
      <c r="BA36" s="51"/>
      <c r="BB36" s="51"/>
      <c r="BC36" s="51"/>
      <c r="BD36" s="51"/>
      <c r="BE36" s="51"/>
      <c r="BF36" s="51"/>
      <c r="BG36" s="51"/>
      <c r="BH36" s="51"/>
      <c r="BI36" s="51"/>
      <c r="BJ36" s="51"/>
      <c r="BK36" s="51"/>
    </row>
    <row r="37" spans="1:64" x14ac:dyDescent="0.25">
      <c r="A37" t="s">
        <v>337</v>
      </c>
      <c r="B37" t="s">
        <v>321</v>
      </c>
      <c r="C37" s="22">
        <v>224000</v>
      </c>
      <c r="D37" s="22">
        <v>232000</v>
      </c>
      <c r="E37" s="22">
        <v>238000</v>
      </c>
      <c r="F37" s="22">
        <v>235000</v>
      </c>
      <c r="G37" s="22">
        <v>251000</v>
      </c>
      <c r="H37" s="22">
        <v>290000</v>
      </c>
      <c r="I37" s="22">
        <v>282000</v>
      </c>
      <c r="J37" s="22">
        <v>314000</v>
      </c>
      <c r="K37" s="22">
        <v>323000</v>
      </c>
      <c r="L37" s="22">
        <v>318000</v>
      </c>
      <c r="M37" s="22">
        <v>329000</v>
      </c>
      <c r="N37" s="22">
        <v>330000</v>
      </c>
      <c r="O37" s="22">
        <v>340000</v>
      </c>
      <c r="P37" s="22">
        <v>328000</v>
      </c>
      <c r="Q37" s="22">
        <v>348000</v>
      </c>
      <c r="R37" s="22">
        <v>375000</v>
      </c>
      <c r="S37" s="22">
        <v>412000</v>
      </c>
      <c r="T37" s="22">
        <v>438000</v>
      </c>
      <c r="U37" s="22">
        <v>426000</v>
      </c>
      <c r="V37" s="22">
        <v>404000</v>
      </c>
      <c r="W37" s="22">
        <v>413000</v>
      </c>
      <c r="X37" s="22">
        <v>452000</v>
      </c>
      <c r="Y37" s="22">
        <f>((Data!$AJ$29*'Net zero Intermediate calcs'!Y34)+Data!$AK$29)</f>
        <v>451437.03272998746</v>
      </c>
      <c r="Z37" s="22">
        <f>((Data!$AJ$29*'Net zero Intermediate calcs'!Z34)+Data!$AK$29)</f>
        <v>461193.03147559898</v>
      </c>
      <c r="AA37" s="22">
        <f>((Data!$AJ$29*'Net zero Intermediate calcs'!AA34)+Data!$AK$29)</f>
        <v>469050.63811794837</v>
      </c>
      <c r="AB37" s="22">
        <f>((Data!$AJ$29*'Net zero Intermediate calcs'!AB34)+Data!$AK$29)</f>
        <v>474178.69415702001</v>
      </c>
      <c r="AC37" s="22">
        <f>((Data!$AJ$29*'Net zero Intermediate calcs'!AC34)+Data!$AK$29)</f>
        <v>479377.20561441127</v>
      </c>
      <c r="AD37" s="22">
        <f>((Data!$AJ$29*'Net zero Intermediate calcs'!AD34)+Data!$AK$29)</f>
        <v>486084.5720013539</v>
      </c>
      <c r="AE37" s="22">
        <f>((Data!$AJ$29*'Net zero Intermediate calcs'!AE34)+Data!$AK$29)</f>
        <v>493258.96363111655</v>
      </c>
      <c r="AF37" s="22">
        <f>((Data!$AJ$29*'Net zero Intermediate calcs'!AF34)+Data!$AK$29)</f>
        <v>497424.91844669759</v>
      </c>
      <c r="AG37" s="22">
        <f>((Data!$AJ$29*'Net zero Intermediate calcs'!AG34)+Data!$AK$29)</f>
        <v>473355.12608695892</v>
      </c>
      <c r="AH37" s="22">
        <f>((Data!$AJ$29*'Net zero Intermediate calcs'!AH34)+Data!$AK$29)</f>
        <v>483503.47202761931</v>
      </c>
      <c r="AI37" s="22">
        <f>((Data!$AJ$29*'Net zero Intermediate calcs'!AI34)+Data!$AK$29)</f>
        <v>492976.05983176769</v>
      </c>
      <c r="AJ37" s="22">
        <f>((Data!$AJ$29*'Net zero Intermediate calcs'!AJ34)+Data!$AK$29)</f>
        <v>502523.5533957851</v>
      </c>
      <c r="AK37" s="22">
        <f>((Data!$AJ$29*'Net zero Intermediate calcs'!AK34)+Data!$AK$29)</f>
        <v>513361.04191327596</v>
      </c>
      <c r="AL37" s="22">
        <f>((Data!$AJ$29*'Net zero Intermediate calcs'!AL34)+Data!$AK$29)</f>
        <v>524288.59235415631</v>
      </c>
      <c r="AM37" s="22">
        <f>((Data!$AJ$29*'Net zero Intermediate calcs'!AM34)+Data!$AK$29)</f>
        <v>535229.97017587232</v>
      </c>
      <c r="AN37" s="22">
        <f>((Data!$AJ$29*'Net zero Intermediate calcs'!AN34)+Data!$AK$29)</f>
        <v>545959.9949149692</v>
      </c>
      <c r="AO37" s="22">
        <f>((Data!$AJ$29*'Net zero Intermediate calcs'!AO34)+Data!$AK$29)</f>
        <v>557260.79978496046</v>
      </c>
      <c r="AP37" s="22">
        <f>((Data!$AJ$29*'Net zero Intermediate calcs'!AP34)+Data!$AK$29)</f>
        <v>568064.40724418079</v>
      </c>
      <c r="AQ37" s="22">
        <f>((Data!$AJ$29*'Net zero Intermediate calcs'!AQ34)+Data!$AK$29)</f>
        <v>579124.43082448561</v>
      </c>
      <c r="AR37" s="22">
        <f>((Data!$AJ$29*'Net zero Intermediate calcs'!AR34)+Data!$AK$29)</f>
        <v>591665.83966905181</v>
      </c>
      <c r="AS37" s="22">
        <f>((Data!$AJ$29*'Net zero Intermediate calcs'!AS34)+Data!$AK$29)</f>
        <v>605072.24619272328</v>
      </c>
      <c r="AT37" s="22">
        <f>((Data!$AJ$29*'Net zero Intermediate calcs'!AT34)+Data!$AK$29)</f>
        <v>618900.59760203399</v>
      </c>
      <c r="AU37" s="22">
        <f>((Data!$AJ$29*'Net zero Intermediate calcs'!AU34)+Data!$AK$29)</f>
        <v>623008.46761701046</v>
      </c>
      <c r="AV37" s="22">
        <f>((Data!$AJ$29*'Net zero Intermediate calcs'!AV34)+Data!$AK$29)</f>
        <v>149326.74967831603</v>
      </c>
      <c r="AW37" s="22">
        <f>((Data!$AJ$29*'Net zero Intermediate calcs'!AW34)+Data!$AK$29)</f>
        <v>150471.80336872375</v>
      </c>
      <c r="AX37" s="22">
        <f>((Data!$AJ$29*'Net zero Intermediate calcs'!AX34)+Data!$AK$29)</f>
        <v>151625.24017633201</v>
      </c>
      <c r="AY37" s="22">
        <f>((Data!$AJ$29*'Net zero Intermediate calcs'!AY34)+Data!$AK$29)</f>
        <v>152787.12147525317</v>
      </c>
      <c r="AZ37" s="22">
        <f>((Data!$AJ$29*'Net zero Intermediate calcs'!AZ34)+Data!$AK$29)</f>
        <v>153957.50908892925</v>
      </c>
      <c r="BA37" s="22">
        <f>((Data!$AJ$29*'Net zero Intermediate calcs'!BA34)+Data!$AK$29)</f>
        <v>155136.46529342132</v>
      </c>
      <c r="BB37" s="22">
        <f>((Data!$AJ$29*'Net zero Intermediate calcs'!BB34)+Data!$AK$29)</f>
        <v>156143.95946312195</v>
      </c>
      <c r="BC37" s="22">
        <f>((Data!$AJ$29*'Net zero Intermediate calcs'!BC34)+Data!$AK$29)</f>
        <v>157157.71110810118</v>
      </c>
      <c r="BD37" s="22">
        <f>((Data!$AJ$29*'Net zero Intermediate calcs'!BD34)+Data!$AK$29)</f>
        <v>158177.75909309689</v>
      </c>
      <c r="BE37" s="22">
        <f>((Data!$AJ$29*'Net zero Intermediate calcs'!BE34)+Data!$AK$29)</f>
        <v>159204.14252423318</v>
      </c>
      <c r="BF37" s="22">
        <f>((Data!$AJ$29*'Net zero Intermediate calcs'!BF34)+Data!$AK$29)</f>
        <v>160236.9007505195</v>
      </c>
      <c r="BG37" s="22">
        <f>((Data!$AJ$29*'Net zero Intermediate calcs'!BG34)+Data!$AK$29)</f>
        <v>161091.00960733579</v>
      </c>
      <c r="BH37" s="22">
        <f>((Data!$AJ$29*'Net zero Intermediate calcs'!BH34)+Data!$AK$29)</f>
        <v>161949.4785531922</v>
      </c>
      <c r="BI37" s="22">
        <f>((Data!$AJ$29*'Net zero Intermediate calcs'!BI34)+Data!$AK$29)</f>
        <v>162812.32984564558</v>
      </c>
      <c r="BJ37" s="22">
        <f>((Data!$AJ$29*'Net zero Intermediate calcs'!BJ34)+Data!$AK$29)</f>
        <v>163679.58585587409</v>
      </c>
      <c r="BK37" s="22">
        <f>((Data!$AJ$29*'Net zero Intermediate calcs'!BK34)+Data!$AK$29)</f>
        <v>164551.26906925705</v>
      </c>
      <c r="BL37">
        <v>949435.84558318392</v>
      </c>
    </row>
    <row r="38" spans="1:64" x14ac:dyDescent="0.25">
      <c r="A38" t="s">
        <v>836</v>
      </c>
      <c r="B38" t="s">
        <v>815</v>
      </c>
      <c r="C38" s="22">
        <f>Data!C30</f>
        <v>68.119237849915791</v>
      </c>
      <c r="D38" s="22">
        <f>Data!D30</f>
        <v>63.894859769163475</v>
      </c>
      <c r="E38" s="22">
        <f>Data!E30</f>
        <v>59.072103114550025</v>
      </c>
      <c r="F38" s="22">
        <f>Data!F30</f>
        <v>58.885553141022513</v>
      </c>
      <c r="G38" s="22">
        <f>Data!G30</f>
        <v>52.733853566608673</v>
      </c>
      <c r="H38" s="22">
        <f>Data!H30</f>
        <v>49.801167659087803</v>
      </c>
      <c r="I38" s="22">
        <f>Data!I30</f>
        <v>54.097578895179353</v>
      </c>
      <c r="J38" s="22">
        <f>Data!J30</f>
        <v>48.744213441440387</v>
      </c>
      <c r="K38" s="22">
        <f>Data!K30</f>
        <v>53.352655002236958</v>
      </c>
      <c r="L38" s="22">
        <f>Data!L30</f>
        <v>58.098761689825743</v>
      </c>
      <c r="M38" s="22">
        <f>Data!M30</f>
        <v>54.966389071324642</v>
      </c>
      <c r="N38" s="22">
        <f>Data!N30</f>
        <v>56.261688084642699</v>
      </c>
      <c r="O38" s="22">
        <f>Data!O30</f>
        <v>54.178346501154266</v>
      </c>
      <c r="P38" s="22">
        <f>Data!P30</f>
        <v>53.918414227536552</v>
      </c>
      <c r="Q38" s="22">
        <f>Data!Q30</f>
        <v>52.662428155033204</v>
      </c>
      <c r="R38" s="22">
        <f>Data!R30</f>
        <v>51.817664184004158</v>
      </c>
      <c r="S38" s="22">
        <f>Data!S30</f>
        <v>52.051167139869889</v>
      </c>
      <c r="T38" s="22">
        <f>Data!T30</f>
        <v>54.184194262204088</v>
      </c>
      <c r="U38" s="22">
        <f>Data!U30</f>
        <v>56.444210182137155</v>
      </c>
      <c r="V38" s="22">
        <f>Data!V30</f>
        <v>57.323692110809887</v>
      </c>
      <c r="W38" s="22">
        <f>Data!W30</f>
        <v>58.258803357595554</v>
      </c>
      <c r="X38" s="22">
        <f>Data!X30</f>
        <v>55.689096813946371</v>
      </c>
      <c r="Y38" s="22">
        <f>((Data!$AJ$30*LN('Net zero Intermediate calcs'!Y2))+Data!$AK$30)</f>
        <v>54.878404435813614</v>
      </c>
      <c r="Z38" s="22">
        <f>((Data!$AJ$30*LN('Net zero Intermediate calcs'!Z2))+Data!$AK$30)</f>
        <v>54.880806049015746</v>
      </c>
      <c r="AA38" s="22">
        <f>((Data!$AJ$30*LN('Net zero Intermediate calcs'!AA2))+Data!$AK$30)</f>
        <v>54.883062017847422</v>
      </c>
      <c r="AB38" s="22">
        <f>((Data!$AJ$30*LN('Net zero Intermediate calcs'!AB2))+Data!$AK$30)</f>
        <v>54.88518900183886</v>
      </c>
      <c r="AC38" s="22">
        <f>((Data!$AJ$30*LN('Net zero Intermediate calcs'!AC2))+Data!$AK$30)</f>
        <v>54.887200956096819</v>
      </c>
      <c r="AD38" s="22">
        <f>((Data!$AJ$30*LN('Net zero Intermediate calcs'!AD2))+Data!$AK$30)</f>
        <v>54.889109686740333</v>
      </c>
      <c r="AE38" s="22">
        <f>((Data!$AJ$30*LN('Net zero Intermediate calcs'!AE2))+Data!$AK$30)</f>
        <v>54.890925270679013</v>
      </c>
      <c r="AF38" s="22">
        <f>((Data!$AJ$30*LN('Net zero Intermediate calcs'!AF2))+Data!$AK$30)</f>
        <v>54.892656377648038</v>
      </c>
      <c r="AG38" s="22">
        <f>((Data!$AJ$30*LN('Net zero Intermediate calcs'!AG2))+Data!$AK$30)</f>
        <v>54.894310520599667</v>
      </c>
      <c r="AH38" s="22">
        <f>((Data!$AJ$30*LN('Net zero Intermediate calcs'!AH2))+Data!$AK$30)</f>
        <v>54.895894252765579</v>
      </c>
      <c r="AI38" s="22">
        <f>((Data!$AJ$30*LN('Net zero Intermediate calcs'!AI2))+Data!$AK$30)</f>
        <v>54.897413324464914</v>
      </c>
      <c r="AJ38" s="22">
        <f>((Data!$AJ$30*LN('Net zero Intermediate calcs'!AJ2))+Data!$AK$30)</f>
        <v>54.89887280913927</v>
      </c>
      <c r="AK38" s="22">
        <f>((Data!$AJ$30*LN('Net zero Intermediate calcs'!AK2))+Data!$AK$30)</f>
        <v>54.900277205588694</v>
      </c>
      <c r="AL38" s="22">
        <f>((Data!$AJ$30*LN('Net zero Intermediate calcs'!AL2))+Data!$AK$30)</f>
        <v>54.901630521605725</v>
      </c>
      <c r="AM38" s="22">
        <f>((Data!$AJ$30*LN('Net zero Intermediate calcs'!AM2))+Data!$AK$30)</f>
        <v>54.902936342926907</v>
      </c>
      <c r="AN38" s="22">
        <f>((Data!$AJ$30*LN('Net zero Intermediate calcs'!AN2))+Data!$AK$30)</f>
        <v>54.90419789049016</v>
      </c>
      <c r="AO38" s="22">
        <f>((Data!$AJ$30*LN('Net zero Intermediate calcs'!AO2))+Data!$AK$30)</f>
        <v>54.905418068300236</v>
      </c>
      <c r="AP38" s="22">
        <f>((Data!$AJ$30*LN('Net zero Intermediate calcs'!AP2))+Data!$AK$30)</f>
        <v>54.906599503692291</v>
      </c>
      <c r="AQ38" s="22">
        <f>((Data!$AJ$30*LN('Net zero Intermediate calcs'!AQ2))+Data!$AK$30)</f>
        <v>54.907744581397871</v>
      </c>
      <c r="AR38" s="22">
        <f>((Data!$AJ$30*LN('Net zero Intermediate calcs'!AR2))+Data!$AK$30)</f>
        <v>54.908855472523967</v>
      </c>
      <c r="AS38" s="22">
        <f>((Data!$AJ$30*LN('Net zero Intermediate calcs'!AS2))+Data!$AK$30)</f>
        <v>54.909934159330312</v>
      </c>
      <c r="AT38" s="22">
        <f>((Data!$AJ$30*LN('Net zero Intermediate calcs'!AT2))+Data!$AK$30)</f>
        <v>54.910982456515406</v>
      </c>
      <c r="AU38" s="22">
        <f>((Data!$AJ$30*LN('Net zero Intermediate calcs'!AU2))+Data!$AK$30)</f>
        <v>54.912002029585494</v>
      </c>
      <c r="AV38" s="22">
        <f>((Data!$AJ$30*LN('Net zero Intermediate calcs'!AV2))+Data!$AK$30)</f>
        <v>54.912994410773372</v>
      </c>
      <c r="AW38" s="22">
        <f>((Data!$AJ$30*LN('Net zero Intermediate calcs'!AW2))+Data!$AK$30)</f>
        <v>54.913961012889104</v>
      </c>
      <c r="AX38" s="22">
        <f>((Data!$AJ$30*LN('Net zero Intermediate calcs'!AX2))+Data!$AK$30)</f>
        <v>54.914903141416879</v>
      </c>
      <c r="AY38" s="22">
        <f>((Data!$AJ$30*LN('Net zero Intermediate calcs'!AY2))+Data!$AK$30)</f>
        <v>54.915822005117917</v>
      </c>
      <c r="AZ38" s="22">
        <f>((Data!$AJ$30*LN('Net zero Intermediate calcs'!AZ2))+Data!$AK$30)</f>
        <v>54.916718725355558</v>
      </c>
      <c r="BA38" s="22">
        <f>((Data!$AJ$30*LN('Net zero Intermediate calcs'!BA2))+Data!$AK$30)</f>
        <v>54.917594344322914</v>
      </c>
      <c r="BB38" s="22">
        <f>((Data!$AJ$30*LN('Net zero Intermediate calcs'!BB2))+Data!$AK$30)</f>
        <v>54.91844983232459</v>
      </c>
      <c r="BC38" s="22">
        <f>((Data!$AJ$30*LN('Net zero Intermediate calcs'!BC2))+Data!$AK$30)</f>
        <v>54.919286094239993</v>
      </c>
      <c r="BD38" s="22">
        <f>((Data!$AJ$30*LN('Net zero Intermediate calcs'!BD2))+Data!$AK$30)</f>
        <v>54.920103975276213</v>
      </c>
      <c r="BE38" s="22">
        <f>((Data!$AJ$30*LN('Net zero Intermediate calcs'!BE2))+Data!$AK$30)</f>
        <v>54.920904266102156</v>
      </c>
      <c r="BF38" s="22">
        <f>((Data!$AJ$30*LN('Net zero Intermediate calcs'!BF2))+Data!$AK$30)</f>
        <v>54.921687707442125</v>
      </c>
      <c r="BG38" s="22">
        <f>((Data!$AJ$30*LN('Net zero Intermediate calcs'!BG2))+Data!$AK$30)</f>
        <v>54.922454994195704</v>
      </c>
      <c r="BH38" s="22">
        <f>((Data!$AJ$30*LN('Net zero Intermediate calcs'!BH2))+Data!$AK$30)</f>
        <v>54.923206779141459</v>
      </c>
      <c r="BI38" s="22">
        <f>((Data!$AJ$30*LN('Net zero Intermediate calcs'!BI2))+Data!$AK$30)</f>
        <v>54.923943676273794</v>
      </c>
      <c r="BJ38" s="22">
        <f>((Data!$AJ$30*LN('Net zero Intermediate calcs'!BJ2))+Data!$AK$30)</f>
        <v>54.924666263815823</v>
      </c>
      <c r="BK38" s="22">
        <f>((Data!$AJ$30*LN('Net zero Intermediate calcs'!BK2))+Data!$AK$30)</f>
        <v>54.925375086945202</v>
      </c>
      <c r="BL38">
        <v>54.925375086945202</v>
      </c>
    </row>
    <row r="39" spans="1:64" x14ac:dyDescent="0.25">
      <c r="A39" t="s">
        <v>338</v>
      </c>
      <c r="B39" t="s">
        <v>321</v>
      </c>
      <c r="C39" s="22">
        <v>605000</v>
      </c>
      <c r="D39" s="22">
        <v>593000</v>
      </c>
      <c r="E39" s="22">
        <v>571000</v>
      </c>
      <c r="F39" s="22">
        <v>580000</v>
      </c>
      <c r="G39" s="22">
        <v>609000</v>
      </c>
      <c r="H39" s="22">
        <v>662000</v>
      </c>
      <c r="I39" s="22">
        <v>738000</v>
      </c>
      <c r="J39" s="22">
        <v>826000</v>
      </c>
      <c r="K39" s="22">
        <v>854000</v>
      </c>
      <c r="L39" s="22">
        <v>874000</v>
      </c>
      <c r="M39" s="22">
        <v>927000</v>
      </c>
      <c r="N39" s="22">
        <v>938000</v>
      </c>
      <c r="O39" s="22">
        <v>965000</v>
      </c>
      <c r="P39" s="22">
        <v>1032000</v>
      </c>
      <c r="Q39" s="22">
        <v>1196000</v>
      </c>
      <c r="R39" s="22">
        <v>1455000</v>
      </c>
      <c r="S39" s="22">
        <v>1664000</v>
      </c>
      <c r="T39" s="22">
        <v>1767000</v>
      </c>
      <c r="U39" s="22">
        <v>1813000</v>
      </c>
      <c r="V39" s="22">
        <v>1841000</v>
      </c>
      <c r="W39" s="22">
        <v>1887000</v>
      </c>
      <c r="X39" s="22">
        <v>1987000</v>
      </c>
      <c r="Y39" s="101">
        <f>IF('Net zero activities &amp; levers'!$C$12="Off",((Data!$AJ$11*'Intermediate calculations'!Y4)+Data!$AK$11)*Drivers!Z4,IF('Net zero activities &amp; levers'!$C$12="PB",((Data!$AJ$11*'Intermediate calculations'!Y4)+Data!$AK$11)*Drivers!Z4,IF('Net zero activities &amp; levers'!$C$12="MS",'Net zero supporting data'!B207,"ERROR")))</f>
        <v>1804299.8007130788</v>
      </c>
      <c r="Z39" s="101">
        <f>IF('Net zero activities &amp; levers'!$C$12="Off",((Data!$AJ$11*'Intermediate calculations'!Z4)+Data!$AK$11)*Drivers!AA4,IF('Net zero activities &amp; levers'!$C$12="PB",((Data!$AJ$11*'Intermediate calculations'!Z4)+Data!$AK$11)*Drivers!AA4,IF('Net zero activities &amp; levers'!$C$12="MS",'Net zero supporting data'!C207,"ERROR")))</f>
        <v>1865401.2408232223</v>
      </c>
      <c r="AA39" s="101">
        <f>IF('Net zero activities &amp; levers'!$C$12="Off",((Data!$AJ$11*'Intermediate calculations'!AA4)+Data!$AK$11)*Drivers!AB4,IF('Net zero activities &amp; levers'!$C$12="PB",((Data!$AJ$11*'Intermediate calculations'!AA4)+Data!$AK$11)*Drivers!AB4,IF('Net zero activities &amp; levers'!$C$12="MS",'Net zero supporting data'!D207,"ERROR")))</f>
        <v>1902347.7165159208</v>
      </c>
      <c r="AB39" s="101">
        <f>IF('Net zero activities &amp; levers'!$C$12="Off",((Data!$AJ$11*'Intermediate calculations'!AB4)+Data!$AK$11)*Drivers!AC4,IF('Net zero activities &amp; levers'!$C$12="PB",((Data!$AJ$11*'Intermediate calculations'!AB4)+Data!$AK$11)*Drivers!AC4,IF('Net zero activities &amp; levers'!$C$12="MS",'Net zero supporting data'!E207,"ERROR")))</f>
        <v>1905350.5867499888</v>
      </c>
      <c r="AC39" s="101">
        <f>IF('Net zero activities &amp; levers'!$C$12="Off",((Data!$AJ$11*'Intermediate calculations'!AC4)+Data!$AK$11)*Drivers!AD4,IF('Net zero activities &amp; levers'!$C$12="PB",((Data!$AJ$11*'Intermediate calculations'!AC4)+Data!$AK$11)*Drivers!AD4,IF('Net zero activities &amp; levers'!$C$12="MS",'Net zero supporting data'!F207,"ERROR")))</f>
        <v>1907049.4539585721</v>
      </c>
      <c r="AD39" s="101">
        <f>IF('Net zero activities &amp; levers'!$C$12="Off",((Data!$AJ$11*'Intermediate calculations'!AD4)+Data!$AK$11)*Drivers!AE4,IF('Net zero activities &amp; levers'!$C$12="PB",((Data!$AJ$11*'Intermediate calculations'!AD4)+Data!$AK$11)*Drivers!AE4,IF('Net zero activities &amp; levers'!$C$12="MS",'Net zero supporting data'!G207,"ERROR")))</f>
        <v>1924168.8644702844</v>
      </c>
      <c r="AE39" s="101">
        <f>IF('Net zero activities &amp; levers'!$C$12="Off",((Data!$AJ$11*'Intermediate calculations'!AE4)+Data!$AK$11)*Drivers!AF4,IF('Net zero activities &amp; levers'!$C$12="PB",((Data!$AJ$11*'Intermediate calculations'!AE4)+Data!$AK$11)*Drivers!AF4,IF('Net zero activities &amp; levers'!$C$12="MS",'Net zero supporting data'!H207,"ERROR")))</f>
        <v>1945927.6728718765</v>
      </c>
      <c r="AF39" s="101">
        <f>IF('Net zero activities &amp; levers'!$C$12="Off",((Data!$AJ$11*'Intermediate calculations'!AF4)+Data!$AK$11)*Drivers!AG4,IF('Net zero activities &amp; levers'!$C$12="PB",((Data!$AJ$11*'Intermediate calculations'!AF4)+Data!$AK$11)*Drivers!AG4,IF('Net zero activities &amp; levers'!$C$12="MS",'Net zero supporting data'!I207,"ERROR")))</f>
        <v>1931527.4432885377</v>
      </c>
      <c r="AG39" s="101">
        <f>IF('Net zero activities &amp; levers'!$C$12="Off",((Data!$AJ$11*'Intermediate calculations'!AG4)+Data!$AK$11)*Drivers!AH4,IF('Net zero activities &amp; levers'!$C$12="PB",((Data!$AJ$11*'Intermediate calculations'!AG4)+Data!$AK$11)*Drivers!AH4,IF('Net zero activities &amp; levers'!$C$12="MS",'Net zero supporting data'!J207,"ERROR")))</f>
        <v>1586157.7705843367</v>
      </c>
      <c r="AH39" s="101">
        <f>IF('Net zero activities &amp; levers'!$C$12="Off",((Data!$AJ$11*'Intermediate calculations'!AH4)+Data!$AK$11)*Drivers!AI4,IF('Net zero activities &amp; levers'!$C$12="PB",((Data!$AJ$11*'Intermediate calculations'!AH4)+Data!$AK$11)*Drivers!AI4,IF('Net zero activities &amp; levers'!$C$12="MS",'Net zero supporting data'!K207,"ERROR")))</f>
        <v>1658368.0956207621</v>
      </c>
      <c r="AI39" s="101">
        <f>IF('Net zero activities &amp; levers'!$C$12="Off",((Data!$AJ$11*'Intermediate calculations'!AI4)+Data!$AK$11)*Drivers!AJ4,IF('Net zero activities &amp; levers'!$C$12="PB",((Data!$AJ$11*'Intermediate calculations'!AI4)+Data!$AK$11)*Drivers!AJ4,IF('Net zero activities &amp; levers'!$C$12="MS",'Net zero supporting data'!L207,"ERROR")))</f>
        <v>1722147.8290418803</v>
      </c>
      <c r="AJ39" s="101">
        <f>IF('Net zero activities &amp; levers'!$C$12="Off",((Data!$AJ$11*'Intermediate calculations'!AJ4)+Data!$AK$11)*Drivers!AK4,IF('Net zero activities &amp; levers'!$C$12="PB",((Data!$AJ$11*'Intermediate calculations'!AJ4)+Data!$AK$11)*Drivers!AK4,IF('Net zero activities &amp; levers'!$C$12="MS",'Net zero supporting data'!M207,"ERROR")))</f>
        <v>1786262.7180970369</v>
      </c>
      <c r="AK39" s="101">
        <f>IF('Net zero activities &amp; levers'!$C$12="Off",((Data!$AJ$11*'Intermediate calculations'!AK4)+Data!$AK$11)*Drivers!AL4,IF('Net zero activities &amp; levers'!$C$12="PB",((Data!$AJ$11*'Intermediate calculations'!AK4)+Data!$AK$11)*Drivers!AL4,IF('Net zero activities &amp; levers'!$C$12="MS",'Net zero supporting data'!N207,"ERROR")))</f>
        <v>1864905.4890621167</v>
      </c>
      <c r="AL39" s="101">
        <f>IF('Net zero activities &amp; levers'!$C$12="Off",((Data!$AJ$11*'Intermediate calculations'!AL4)+Data!$AK$11)*Drivers!AM4,IF('Net zero activities &amp; levers'!$C$12="PB",((Data!$AJ$11*'Intermediate calculations'!AL4)+Data!$AK$11)*Drivers!AM4,IF('Net zero activities &amp; levers'!$C$12="MS",'Net zero supporting data'!O207,"ERROR")))</f>
        <v>1944048.0127405094</v>
      </c>
      <c r="AM39" s="101">
        <f>IF('Net zero activities &amp; levers'!$C$12="Off",((Data!$AJ$11*'Intermediate calculations'!AM4)+Data!$AK$11)*Drivers!AN4,IF('Net zero activities &amp; levers'!$C$12="PB",((Data!$AJ$11*'Intermediate calculations'!AM4)+Data!$AK$11)*Drivers!AN4,IF('Net zero activities &amp; levers'!$C$12="MS",'Net zero supporting data'!P207,"ERROR")))</f>
        <v>2029906.3107353486</v>
      </c>
      <c r="AN39" s="101">
        <f>IF('Net zero activities &amp; levers'!$C$12="Off",((Data!$AJ$11*'Intermediate calculations'!AN4)+Data!$AK$11)*Drivers!AO4,IF('Net zero activities &amp; levers'!$C$12="PB",((Data!$AJ$11*'Intermediate calculations'!AN4)+Data!$AK$11)*Drivers!AO4,IF('Net zero activities &amp; levers'!$C$12="MS",'Net zero supporting data'!Q207,"ERROR")))</f>
        <v>2112881.3138029417</v>
      </c>
      <c r="AO39" s="101">
        <f>IF('Net zero activities &amp; levers'!$C$12="Off",((Data!$AJ$11*'Intermediate calculations'!AO4)+Data!$AK$11)*Drivers!AP4,IF('Net zero activities &amp; levers'!$C$12="PB",((Data!$AJ$11*'Intermediate calculations'!AO4)+Data!$AK$11)*Drivers!AP4,IF('Net zero activities &amp; levers'!$C$12="MS",'Net zero supporting data'!R207,"ERROR")))</f>
        <v>2202108.5813529431</v>
      </c>
      <c r="AP39" s="101">
        <f>IF('Net zero activities &amp; levers'!$C$12="Off",((Data!$AJ$11*'Intermediate calculations'!AP4)+Data!$AK$11)*Drivers!AQ4,IF('Net zero activities &amp; levers'!$C$12="PB",((Data!$AJ$11*'Intermediate calculations'!AP4)+Data!$AK$11)*Drivers!AQ4,IF('Net zero activities &amp; levers'!$C$12="MS",'Net zero supporting data'!S207,"ERROR")))</f>
        <v>2285104.131553676</v>
      </c>
      <c r="AQ39" s="101">
        <f>IF('Net zero activities &amp; levers'!$C$12="Off",((Data!$AJ$11*'Intermediate calculations'!AQ4)+Data!$AK$11)*Drivers!AR4,IF('Net zero activities &amp; levers'!$C$12="PB",((Data!$AJ$11*'Intermediate calculations'!AQ4)+Data!$AK$11)*Drivers!AR4,IF('Net zero activities &amp; levers'!$C$12="MS",'Net zero supporting data'!T207,"ERROR")))</f>
        <v>2370670.1760034007</v>
      </c>
      <c r="AR39" s="101">
        <f>IF('Net zero activities &amp; levers'!$C$12="Off",((Data!$AJ$11*'Intermediate calculations'!AR4)+Data!$AK$11)*Drivers!AS4,IF('Net zero activities &amp; levers'!$C$12="PB",((Data!$AJ$11*'Intermediate calculations'!AR4)+Data!$AK$11)*Drivers!AS4,IF('Net zero activities &amp; levers'!$C$12="MS",'Net zero supporting data'!U207,"ERROR")))</f>
        <v>2478994.67237136</v>
      </c>
      <c r="AS39" s="101">
        <f>IF('Net zero activities &amp; levers'!$C$12="Off",((Data!$AJ$11*'Intermediate calculations'!AS4)+Data!$AK$11)*Drivers!AT4,IF('Net zero activities &amp; levers'!$C$12="PB",((Data!$AJ$11*'Intermediate calculations'!AS4)+Data!$AK$11)*Drivers!AT4,IF('Net zero activities &amp; levers'!$C$12="MS",'Net zero supporting data'!V207,"ERROR")))</f>
        <v>2597100.862891356</v>
      </c>
      <c r="AT39" s="101">
        <f>IF('Net zero activities &amp; levers'!$C$12="Off",((Data!$AJ$11*'Intermediate calculations'!AT4)+Data!$AK$11)*Drivers!AU4,IF('Net zero activities &amp; levers'!$C$12="PB",((Data!$AJ$11*'Intermediate calculations'!AT4)+Data!$AK$11)*Drivers!AU4,IF('Net zero activities &amp; levers'!$C$12="MS",'Net zero supporting data'!W207,"ERROR")))</f>
        <v>2719808.6621855334</v>
      </c>
      <c r="AU39" s="101">
        <f>IF('Net zero activities &amp; levers'!$C$12="Off",((Data!$AJ$11*'Intermediate calculations'!AU4)+Data!$AK$11)*Drivers!AV4,IF('Net zero activities &amp; levers'!$C$12="PB",((Data!$AJ$11*'Intermediate calculations'!AU4)+Data!$AK$11)*Drivers!AV4,IF('Net zero activities &amp; levers'!$C$12="MS",'Net zero supporting data'!X207,"ERROR")))</f>
        <v>2728595.7648969712</v>
      </c>
      <c r="AV39" s="101">
        <f>IF('Net zero activities &amp; levers'!$C$12="Off",((Data!$AJ$11*'Intermediate calculations'!AV4)+Data!$AK$11)*Drivers!AW4,IF('Net zero activities &amp; levers'!$C$12="PB",((Data!$AJ$11*'Intermediate calculations'!AV4)+Data!$AK$11)*Drivers!AW4,IF('Net zero activities &amp; levers'!$C$12="MS",'Net zero supporting data'!Y207,"ERROR")))</f>
        <v>-2846170.2811717247</v>
      </c>
      <c r="AW39" s="101">
        <f>IF('Net zero activities &amp; levers'!$C$12="Off",((Data!$AJ$11*'Intermediate calculations'!AW4)+Data!$AK$11)*Drivers!AX4,IF('Net zero activities &amp; levers'!$C$12="PB",((Data!$AJ$11*'Intermediate calculations'!AW4)+Data!$AK$11)*Drivers!AX4,IF('Net zero activities &amp; levers'!$C$12="MS",'Net zero supporting data'!Z207,"ERROR")))</f>
        <v>-2867007.5390570019</v>
      </c>
      <c r="AX39" s="101">
        <f>IF('Net zero activities &amp; levers'!$C$12="Off",((Data!$AJ$11*'Intermediate calculations'!AX4)+Data!$AK$11)*Drivers!AY4,IF('Net zero activities &amp; levers'!$C$12="PB",((Data!$AJ$11*'Intermediate calculations'!AX4)+Data!$AK$11)*Drivers!AY4,IF('Net zero activities &amp; levers'!$C$12="MS",'Net zero supporting data'!AA207,"ERROR")))</f>
        <v>-2887997.349767053</v>
      </c>
      <c r="AY39" s="101">
        <f>IF('Net zero activities &amp; levers'!$C$12="Off",((Data!$AJ$11*'Intermediate calculations'!AY4)+Data!$AK$11)*Drivers!AZ4,IF('Net zero activities &amp; levers'!$C$12="PB",((Data!$AJ$11*'Intermediate calculations'!AY4)+Data!$AK$11)*Drivers!AZ4,IF('Net zero activities &amp; levers'!$C$12="MS",'Net zero supporting data'!AB207,"ERROR")))</f>
        <v>-2909140.8301649713</v>
      </c>
      <c r="AZ39" s="101">
        <f>IF('Net zero activities &amp; levers'!$C$12="Off",((Data!$AJ$11*'Intermediate calculations'!AZ4)+Data!$AK$11)*Drivers!BA4,IF('Net zero activities &amp; levers'!$C$12="PB",((Data!$AJ$11*'Intermediate calculations'!AZ4)+Data!$AK$11)*Drivers!BA4,IF('Net zero activities &amp; levers'!$C$12="MS",'Net zero supporting data'!AC207,"ERROR")))</f>
        <v>-2930439.1052905843</v>
      </c>
      <c r="BA39" s="101">
        <f>IF('Net zero activities &amp; levers'!$C$12="Off",((Data!$AJ$11*'Intermediate calculations'!BA4)+Data!$AK$11)*Drivers!BB4,IF('Net zero activities &amp; levers'!$C$12="PB",((Data!$AJ$11*'Intermediate calculations'!BA4)+Data!$AK$11)*Drivers!BB4,IF('Net zero activities &amp; levers'!$C$12="MS",'Net zero supporting data'!AD207,"ERROR")))</f>
        <v>-2951893.3084203089</v>
      </c>
      <c r="BB39" s="101">
        <f>IF('Net zero activities &amp; levers'!$C$12="Off",((Data!$AJ$11*'Intermediate calculations'!BB4)+Data!$AK$11)*Drivers!BC4,IF('Net zero activities &amp; levers'!$C$12="PB",((Data!$AJ$11*'Intermediate calculations'!BB4)+Data!$AK$11)*Drivers!BC4,IF('Net zero activities &amp; levers'!$C$12="MS",'Net zero supporting data'!AE207,"ERROR")))</f>
        <v>-2970227.3097058642</v>
      </c>
      <c r="BC39" s="101">
        <f>IF('Net zero activities &amp; levers'!$C$12="Off",((Data!$AJ$11*'Intermediate calculations'!BC4)+Data!$AK$11)*Drivers!BD4,IF('Net zero activities &amp; levers'!$C$12="PB",((Data!$AJ$11*'Intermediate calculations'!BC4)+Data!$AK$11)*Drivers!BD4,IF('Net zero activities &amp; levers'!$C$12="MS",'Net zero supporting data'!AF207,"ERROR")))</f>
        <v>-2988675.1821812005</v>
      </c>
      <c r="BD39" s="101">
        <f>IF('Net zero activities &amp; levers'!$C$12="Off",((Data!$AJ$11*'Intermediate calculations'!BD4)+Data!$AK$11)*Drivers!BE4,IF('Net zero activities &amp; levers'!$C$12="PB",((Data!$AJ$11*'Intermediate calculations'!BD4)+Data!$AK$11)*Drivers!BE4,IF('Net zero activities &amp; levers'!$C$12="MS",'Net zero supporting data'!AG207,"ERROR")))</f>
        <v>-3007237.6330922525</v>
      </c>
      <c r="BE39" s="101">
        <f>IF('Net zero activities &amp; levers'!$C$12="Off",((Data!$AJ$11*'Intermediate calculations'!BE4)+Data!$AK$11)*Drivers!BF4,IF('Net zero activities &amp; levers'!$C$12="PB",((Data!$AJ$11*'Intermediate calculations'!BE4)+Data!$AK$11)*Drivers!BF4,IF('Net zero activities &amp; levers'!$C$12="MS",'Net zero supporting data'!AH207,"ERROR")))</f>
        <v>-3025915.3740776093</v>
      </c>
      <c r="BF39" s="101">
        <f>IF('Net zero activities &amp; levers'!$C$12="Off",((Data!$AJ$11*'Intermediate calculations'!BF4)+Data!$AK$11)*Drivers!BG4,IF('Net zero activities &amp; levers'!$C$12="PB",((Data!$AJ$11*'Intermediate calculations'!BF4)+Data!$AK$11)*Drivers!BG4,IF('Net zero activities &amp; levers'!$C$12="MS",'Net zero supporting data'!AI207,"ERROR")))</f>
        <v>-3044709.1211957959</v>
      </c>
      <c r="BG39" s="101">
        <f>IF('Net zero activities &amp; levers'!$C$12="Off",((Data!$AJ$11*'Intermediate calculations'!BG4)+Data!$AK$11)*Drivers!BH4,IF('Net zero activities &amp; levers'!$C$12="PB",((Data!$AJ$11*'Intermediate calculations'!BG4)+Data!$AK$11)*Drivers!BH4,IF('Net zero activities &amp; levers'!$C$12="MS",'Net zero supporting data'!AJ207,"ERROR")))</f>
        <v>-3060251.8740471862</v>
      </c>
      <c r="BH39" s="101">
        <f>IF('Net zero activities &amp; levers'!$C$12="Off",((Data!$AJ$11*'Intermediate calculations'!BH4)+Data!$AK$11)*Drivers!BI4,IF('Net zero activities &amp; levers'!$C$12="PB",((Data!$AJ$11*'Intermediate calculations'!BH4)+Data!$AK$11)*Drivers!BI4,IF('Net zero activities &amp; levers'!$C$12="MS",'Net zero supporting data'!AK207,"ERROR")))</f>
        <v>-3075873.9701647423</v>
      </c>
      <c r="BI39" s="101">
        <f>IF('Net zero activities &amp; levers'!$C$12="Off",((Data!$AJ$11*'Intermediate calculations'!BI4)+Data!$AK$11)*Drivers!BJ4,IF('Net zero activities &amp; levers'!$C$12="PB",((Data!$AJ$11*'Intermediate calculations'!BI4)+Data!$AK$11)*Drivers!BJ4,IF('Net zero activities &amp; levers'!$C$12="MS",'Net zero supporting data'!AL207,"ERROR")))</f>
        <v>-3091575.8145831409</v>
      </c>
      <c r="BJ39" s="101">
        <f>IF('Net zero activities &amp; levers'!$C$12="Off",((Data!$AJ$11*'Intermediate calculations'!BJ4)+Data!$AK$11)*Drivers!BK4,IF('Net zero activities &amp; levers'!$C$12="PB",((Data!$AJ$11*'Intermediate calculations'!BJ4)+Data!$AK$11)*Drivers!BK4,IF('Net zero activities &amp; levers'!$C$12="MS",'Net zero supporting data'!AM207,"ERROR")))</f>
        <v>-3107357.8144046972</v>
      </c>
      <c r="BK39" s="101">
        <f>IF('Net zero activities &amp; levers'!$C$12="Off",((Data!$AJ$11*'Intermediate calculations'!BK4)+Data!$AK$11)*Drivers!BL4,IF('Net zero activities &amp; levers'!$C$12="PB",((Data!$AJ$11*'Intermediate calculations'!BK4)+Data!$AK$11)*Drivers!BL4,IF('Net zero activities &amp; levers'!$C$12="MS",'Net zero supporting data'!AN207,"ERROR")))</f>
        <v>-3123220.3788099173</v>
      </c>
      <c r="BL39">
        <v>6068389.0812562732</v>
      </c>
    </row>
    <row r="40" spans="1:64" x14ac:dyDescent="0.25">
      <c r="A40" t="s">
        <v>338</v>
      </c>
      <c r="B40" t="s">
        <v>663</v>
      </c>
      <c r="C40" s="51">
        <f>C39*ttokg/Drivers!D4</f>
        <v>16.439990001225254</v>
      </c>
      <c r="D40" s="51">
        <f>D39*ttokg/Drivers!E4</f>
        <v>15.721540498873908</v>
      </c>
      <c r="E40" s="51">
        <f>E39*ttokg/Drivers!F4</f>
        <v>14.764973046683922</v>
      </c>
      <c r="F40" s="51">
        <f>F39*ttokg/Drivers!G4</f>
        <v>14.633992493771091</v>
      </c>
      <c r="G40" s="51">
        <f>G39*ttokg/Drivers!H4</f>
        <v>15.013290459911815</v>
      </c>
      <c r="H40" s="51">
        <f>H39*ttokg/Drivers!I4</f>
        <v>15.976538911150124</v>
      </c>
      <c r="I40" s="51">
        <f>I39*ttokg/Drivers!J4</f>
        <v>17.471172742527397</v>
      </c>
      <c r="J40" s="51">
        <f>J39*ttokg/Drivers!K4</f>
        <v>19.214905481391423</v>
      </c>
      <c r="K40" s="51">
        <f>K39*ttokg/Drivers!L4</f>
        <v>19.550270521717511</v>
      </c>
      <c r="L40" s="51">
        <f>L39*ttokg/Drivers!M4</f>
        <v>19.71196933557334</v>
      </c>
      <c r="M40" s="51">
        <f>M39*ttokg/Drivers!N4</f>
        <v>20.614793175582797</v>
      </c>
      <c r="N40" s="51">
        <f>N39*ttokg/Drivers!O4</f>
        <v>20.583141915233707</v>
      </c>
      <c r="O40" s="51">
        <f>O39*ttokg/Drivers!P4</f>
        <v>20.909662177214134</v>
      </c>
      <c r="P40" s="51">
        <f>P39*ttokg/Drivers!Q4</f>
        <v>22.089421230622204</v>
      </c>
      <c r="Q40" s="51">
        <f>Q39*ttokg/Drivers!R4</f>
        <v>25.289898144723768</v>
      </c>
      <c r="R40" s="51">
        <f>R39*ttokg/Drivers!S4</f>
        <v>30.388089740143403</v>
      </c>
      <c r="S40" s="51">
        <f>S39*ttokg/Drivers!T4</f>
        <v>34.316736757157884</v>
      </c>
      <c r="T40" s="51">
        <f>T39*ttokg/Drivers!U4</f>
        <v>35.973303533512855</v>
      </c>
      <c r="U40" s="51">
        <f>U39*ttokg/Drivers!V4</f>
        <v>36.420636129299162</v>
      </c>
      <c r="V40" s="51">
        <f>V39*ttokg/Drivers!W4</f>
        <v>36.472048632198131</v>
      </c>
      <c r="W40" s="51">
        <f>W39*ttokg/Drivers!X4</f>
        <v>36.843261541234661</v>
      </c>
      <c r="X40" s="51">
        <f>X39*ttokg/Drivers!Y4</f>
        <v>38.208472966361235</v>
      </c>
      <c r="Y40" s="51">
        <f>Y39*ttokg/Drivers!Z4</f>
        <v>34.482271838621386</v>
      </c>
      <c r="Z40" s="51">
        <f>Z39*ttokg/Drivers!AA4</f>
        <v>35.127065111347974</v>
      </c>
      <c r="AA40" s="51">
        <f>AA39*ttokg/Drivers!AB4</f>
        <v>35.285925448052581</v>
      </c>
      <c r="AB40" s="51">
        <f>AB39*ttokg/Drivers!AC4</f>
        <v>34.800611575062121</v>
      </c>
      <c r="AC40" s="51">
        <f>AC39*ttokg/Drivers!AD4</f>
        <v>34.287153812996131</v>
      </c>
      <c r="AD40" s="51">
        <f>AD39*ttokg/Drivers!AE4</f>
        <v>34.042861775614384</v>
      </c>
      <c r="AE40" s="51">
        <f>AE39*ttokg/Drivers!AF4</f>
        <v>33.879929869033482</v>
      </c>
      <c r="AF40" s="51">
        <f>AF39*ttokg/Drivers!AG4</f>
        <v>33.094027351843749</v>
      </c>
      <c r="AG40" s="51">
        <f>AG39*ttokg/Drivers!AH4</f>
        <v>26.744103951450231</v>
      </c>
      <c r="AH40" s="51">
        <f>AH39*ttokg/Drivers!AI4</f>
        <v>27.643347336463759</v>
      </c>
      <c r="AI40" s="51">
        <f>AI39*ttokg/Drivers!AJ4</f>
        <v>28.379723071502415</v>
      </c>
      <c r="AJ40" s="51">
        <f>AJ39*ttokg/Drivers!AK4</f>
        <v>29.101212680201421</v>
      </c>
      <c r="AK40" s="51">
        <f>AK39*ttokg/Drivers!AL4</f>
        <v>30.036588745653596</v>
      </c>
      <c r="AL40" s="51">
        <f>AL39*ttokg/Drivers!AM4</f>
        <v>30.954856557567215</v>
      </c>
      <c r="AM40" s="51">
        <f>AM39*ttokg/Drivers!AN4</f>
        <v>32.00681508247856</v>
      </c>
      <c r="AN40" s="51">
        <f>AN39*ttokg/Drivers!AO4</f>
        <v>32.990297125861517</v>
      </c>
      <c r="AO40" s="51">
        <f>AO39*ttokg/Drivers!AP4</f>
        <v>34.048227792192826</v>
      </c>
      <c r="AP40" s="51">
        <f>AP39*ttokg/Drivers!AQ4</f>
        <v>34.986978314495644</v>
      </c>
      <c r="AQ40" s="51">
        <f>AQ39*ttokg/Drivers!AR4</f>
        <v>35.94315818301844</v>
      </c>
      <c r="AR40" s="51">
        <f>AR39*ttokg/Drivers!AS4</f>
        <v>37.267480305130228</v>
      </c>
      <c r="AS40" s="51">
        <f>AS39*ttokg/Drivers!AT4</f>
        <v>38.712622523196323</v>
      </c>
      <c r="AT40" s="51">
        <f>AT39*ttokg/Drivers!AU4</f>
        <v>40.198649980224793</v>
      </c>
      <c r="AU40" s="51">
        <f>AU39*ttokg/Drivers!AV4</f>
        <v>39.987260816640777</v>
      </c>
      <c r="AV40" s="51">
        <f>AV39*ttokg/Drivers!AW4</f>
        <v>-41.357347153374157</v>
      </c>
      <c r="AW40" s="51">
        <f>AW39*ttokg/Drivers!AX4</f>
        <v>-41.357347153374157</v>
      </c>
      <c r="AX40" s="51">
        <f>AX39*ttokg/Drivers!AY4</f>
        <v>-41.357347153374157</v>
      </c>
      <c r="AY40" s="51">
        <f>AY39*ttokg/Drivers!AZ4</f>
        <v>-41.35734715337415</v>
      </c>
      <c r="AZ40" s="51">
        <f>AZ39*ttokg/Drivers!BA4</f>
        <v>-41.35734715337415</v>
      </c>
      <c r="BA40" s="51">
        <f>BA39*ttokg/Drivers!BB4</f>
        <v>-41.35734715337415</v>
      </c>
      <c r="BB40" s="51">
        <f>BB39*ttokg/Drivers!BC4</f>
        <v>-41.35734715337415</v>
      </c>
      <c r="BC40" s="51">
        <f>BC39*ttokg/Drivers!BD4</f>
        <v>-41.35734715337415</v>
      </c>
      <c r="BD40" s="51">
        <f>BD39*ttokg/Drivers!BE4</f>
        <v>-41.35734715337415</v>
      </c>
      <c r="BE40" s="51">
        <f>BE39*ttokg/Drivers!BF4</f>
        <v>-41.357347153374143</v>
      </c>
      <c r="BF40" s="51">
        <f>BF39*ttokg/Drivers!BG4</f>
        <v>-41.35734715337415</v>
      </c>
      <c r="BG40" s="51">
        <f>BG39*ttokg/Drivers!BH4</f>
        <v>-41.35734715337415</v>
      </c>
      <c r="BH40" s="51">
        <f>BH39*ttokg/Drivers!BI4</f>
        <v>-41.35734715337415</v>
      </c>
      <c r="BI40" s="51">
        <f>BI39*ttokg/Drivers!BJ4</f>
        <v>-41.35734715337415</v>
      </c>
      <c r="BJ40" s="51">
        <f>BJ39*ttokg/Drivers!BK4</f>
        <v>-41.357347153374143</v>
      </c>
      <c r="BK40" s="51">
        <f>BK39*ttokg/Drivers!BL4</f>
        <v>-41.35734715337415</v>
      </c>
      <c r="BL40">
        <v>80.356856395247135</v>
      </c>
    </row>
    <row r="41" spans="1:64" x14ac:dyDescent="0.25">
      <c r="A41" t="s">
        <v>338</v>
      </c>
      <c r="B41" t="s">
        <v>322</v>
      </c>
      <c r="C41" s="51">
        <f>C39/Drivers!D4</f>
        <v>1.6439990001225254E-2</v>
      </c>
      <c r="D41" s="51">
        <f>D39/Drivers!E4</f>
        <v>1.5721540498873907E-2</v>
      </c>
      <c r="E41" s="51">
        <f>E39/Drivers!F4</f>
        <v>1.4764973046683923E-2</v>
      </c>
      <c r="F41" s="51">
        <f>F39/Drivers!G4</f>
        <v>1.4633992493771092E-2</v>
      </c>
      <c r="G41" s="51">
        <f>G39/Drivers!H4</f>
        <v>1.5013290459911816E-2</v>
      </c>
      <c r="H41" s="51">
        <f>H39/Drivers!I4</f>
        <v>1.5976538911150123E-2</v>
      </c>
      <c r="I41" s="51">
        <f>I39/Drivers!J4</f>
        <v>1.7471172742527397E-2</v>
      </c>
      <c r="J41" s="51">
        <f>J39/Drivers!K4</f>
        <v>1.9214905481391424E-2</v>
      </c>
      <c r="K41" s="51">
        <f>K39/Drivers!L4</f>
        <v>1.9550270521717511E-2</v>
      </c>
      <c r="L41" s="51">
        <f>L39/Drivers!M4</f>
        <v>1.9711969335573339E-2</v>
      </c>
      <c r="M41" s="51">
        <f>M39/Drivers!N4</f>
        <v>2.0614793175582798E-2</v>
      </c>
      <c r="N41" s="51">
        <f>N39/Drivers!O4</f>
        <v>2.0583141915233708E-2</v>
      </c>
      <c r="O41" s="51">
        <f>O39/Drivers!P4</f>
        <v>2.0909662177214131E-2</v>
      </c>
      <c r="P41" s="51">
        <f>P39/Drivers!Q4</f>
        <v>2.2089421230622203E-2</v>
      </c>
      <c r="Q41" s="51">
        <f>Q39/Drivers!R4</f>
        <v>2.5289898144723769E-2</v>
      </c>
      <c r="R41" s="51">
        <f>R39/Drivers!S4</f>
        <v>3.0388089740143405E-2</v>
      </c>
      <c r="S41" s="51">
        <f>S39/Drivers!T4</f>
        <v>3.4316736757157879E-2</v>
      </c>
      <c r="T41" s="51">
        <f>T39/Drivers!U4</f>
        <v>3.5973303533512857E-2</v>
      </c>
      <c r="U41" s="51">
        <f>U39/Drivers!V4</f>
        <v>3.6420636129299161E-2</v>
      </c>
      <c r="V41" s="51">
        <f>V39/Drivers!W4</f>
        <v>3.6472048632198134E-2</v>
      </c>
      <c r="W41" s="51">
        <f>W39/Drivers!X4</f>
        <v>3.6843261541234656E-2</v>
      </c>
      <c r="X41" s="51">
        <f>X39/Drivers!Y4</f>
        <v>3.8208472966361234E-2</v>
      </c>
      <c r="Y41" s="51"/>
      <c r="Z41" s="51"/>
      <c r="AA41" s="51"/>
      <c r="AB41" s="51"/>
      <c r="AC41" s="51"/>
      <c r="AD41" s="51"/>
      <c r="AE41" s="51"/>
      <c r="AF41" s="51"/>
      <c r="AG41" s="51"/>
      <c r="AH41" s="51"/>
      <c r="AI41" s="51"/>
      <c r="AJ41" s="51"/>
      <c r="AK41" s="51"/>
      <c r="AL41" s="51"/>
      <c r="AM41" s="51"/>
      <c r="AN41" s="51"/>
      <c r="AO41" s="51">
        <f>(AO42-AD42)/AD42</f>
        <v>0.12797392593238174</v>
      </c>
      <c r="AP41" s="51"/>
      <c r="AQ41" s="51">
        <f>(AQ42-AE42)/AE42</f>
        <v>0.19362759150579248</v>
      </c>
      <c r="AR41" s="51"/>
      <c r="AS41" s="51"/>
      <c r="AT41" s="51"/>
      <c r="AU41" s="51"/>
      <c r="AV41" s="51"/>
      <c r="AW41" s="51"/>
      <c r="AX41" s="51"/>
      <c r="AY41" s="51"/>
      <c r="AZ41" s="51"/>
      <c r="BA41" s="51"/>
      <c r="BB41" s="51"/>
      <c r="BC41" s="51"/>
      <c r="BD41" s="51"/>
      <c r="BE41" s="51"/>
      <c r="BF41" s="51"/>
      <c r="BG41" s="51"/>
      <c r="BH41" s="51"/>
      <c r="BI41" s="51"/>
      <c r="BJ41" s="51"/>
      <c r="BK41" s="51"/>
    </row>
    <row r="42" spans="1:64" x14ac:dyDescent="0.25">
      <c r="A42" t="s">
        <v>339</v>
      </c>
      <c r="B42" t="s">
        <v>321</v>
      </c>
      <c r="C42" s="22">
        <v>609000</v>
      </c>
      <c r="D42" s="22">
        <v>593000</v>
      </c>
      <c r="E42" s="22">
        <v>564000</v>
      </c>
      <c r="F42" s="22">
        <v>577000</v>
      </c>
      <c r="G42" s="22">
        <v>607000</v>
      </c>
      <c r="H42" s="22">
        <v>647000</v>
      </c>
      <c r="I42" s="22">
        <v>699000</v>
      </c>
      <c r="J42" s="22">
        <v>753000</v>
      </c>
      <c r="K42" s="22">
        <v>777000</v>
      </c>
      <c r="L42" s="22">
        <v>803000</v>
      </c>
      <c r="M42" s="22">
        <v>850000</v>
      </c>
      <c r="N42" s="22">
        <v>869000</v>
      </c>
      <c r="O42" s="22">
        <v>896000</v>
      </c>
      <c r="P42" s="22">
        <v>925000</v>
      </c>
      <c r="Q42" s="22">
        <v>1043000</v>
      </c>
      <c r="R42" s="22">
        <v>1273000</v>
      </c>
      <c r="S42" s="22">
        <v>1427000</v>
      </c>
      <c r="T42" s="22">
        <v>1499000</v>
      </c>
      <c r="U42" s="22">
        <v>1584000</v>
      </c>
      <c r="V42" s="22">
        <v>1644000</v>
      </c>
      <c r="W42" s="22">
        <v>1681000</v>
      </c>
      <c r="X42" s="22">
        <v>1721000</v>
      </c>
      <c r="Y42" s="101">
        <f>IF('Net zero activities &amp; levers'!$C$14="Off",((Data!$AJ$33*'Net zero Intermediate calcs'!Y39)+Data!$AK$33),IF('Net zero activities &amp; levers'!$C$14="On",((Data!$AJ$33*'Net zero Intermediate calcs'!Y39)+Data!$AK$33)*(1-'Net zero supporting data'!B216),"ERROR"))</f>
        <v>1479058.1196068425</v>
      </c>
      <c r="Z42" s="101">
        <f>IF('Net zero activities &amp; levers'!$C$14="Off",((Data!$AJ$33*'Net zero Intermediate calcs'!Z39)+Data!$AK$33),IF('Net zero activities &amp; levers'!$C$14="On",((Data!$AJ$33*'Net zero Intermediate calcs'!Z39)+Data!$AK$33)*(1-'Net zero supporting data'!C216),"ERROR"))</f>
        <v>1523099.8238027669</v>
      </c>
      <c r="AA42" s="101">
        <f>IF('Net zero activities &amp; levers'!$C$14="Off",((Data!$AJ$33*'Net zero Intermediate calcs'!AA39)+Data!$AK$33),IF('Net zero activities &amp; levers'!$C$14="On",((Data!$AJ$33*'Net zero Intermediate calcs'!AA39)+Data!$AK$33)*(1-'Net zero supporting data'!D216),"ERROR"))</f>
        <v>1549730.7141812346</v>
      </c>
      <c r="AB42" s="101">
        <f>IF('Net zero activities &amp; levers'!$C$14="Off",((Data!$AJ$33*'Net zero Intermediate calcs'!AB39)+Data!$AK$33),IF('Net zero activities &amp; levers'!$C$14="On",((Data!$AJ$33*'Net zero Intermediate calcs'!AB39)+Data!$AK$33)*(1-'Net zero supporting data'!E216),"ERROR"))</f>
        <v>1551895.172536867</v>
      </c>
      <c r="AC42" s="101">
        <f>IF('Net zero activities &amp; levers'!$C$14="Off",((Data!$AJ$33*'Net zero Intermediate calcs'!AC39)+Data!$AK$33),IF('Net zero activities &amp; levers'!$C$14="On",((Data!$AJ$33*'Net zero Intermediate calcs'!AC39)+Data!$AK$33)*(1-'Net zero supporting data'!F216),"ERROR"))</f>
        <v>1553119.7100753228</v>
      </c>
      <c r="AD42" s="101">
        <f>IF('Net zero activities &amp; levers'!$C$14="Off",((Data!$AJ$33*'Net zero Intermediate calcs'!AD39)+Data!$AK$33),IF('Net zero activities &amp; levers'!$C$14="On",((Data!$AJ$33*'Net zero Intermediate calcs'!AD39)+Data!$AK$33)*(1-'Net zero supporting data'!G216),"ERROR"))</f>
        <v>1565459.3212597121</v>
      </c>
      <c r="AE42" s="101">
        <f>IF('Net zero activities &amp; levers'!$C$14="Off",((Data!$AJ$33*'Net zero Intermediate calcs'!AE39)+Data!$AK$33),IF('Net zero activities &amp; levers'!$C$14="On",((Data!$AJ$33*'Net zero Intermediate calcs'!AE39)+Data!$AK$33)*(1-'Net zero supporting data'!H216),"ERROR"))</f>
        <v>1581142.9942067207</v>
      </c>
      <c r="AF42" s="101">
        <f>IF('Net zero activities &amp; levers'!$C$14="Off",((Data!$AJ$33*'Net zero Intermediate calcs'!AF39)+Data!$AK$33),IF('Net zero activities &amp; levers'!$C$14="On",((Data!$AJ$33*'Net zero Intermediate calcs'!AF39)+Data!$AK$33)*(1-'Net zero supporting data'!I216),"ERROR"))</f>
        <v>1570763.3591192404</v>
      </c>
      <c r="AG42" s="101">
        <f>IF('Net zero activities &amp; levers'!$C$14="Off",((Data!$AJ$33*'Net zero Intermediate calcs'!AG39)+Data!$AK$33),IF('Net zero activities &amp; levers'!$C$14="On",((Data!$AJ$33*'Net zero Intermediate calcs'!AG39)+Data!$AK$33)*(1-'Net zero supporting data'!J216),"ERROR"))</f>
        <v>1321822.1077172705</v>
      </c>
      <c r="AH42" s="101">
        <f>IF('Net zero activities &amp; levers'!$C$14="Off",((Data!$AJ$33*'Net zero Intermediate calcs'!AH39)+Data!$AK$33),IF('Net zero activities &amp; levers'!$C$14="On",((Data!$AJ$33*'Net zero Intermediate calcs'!AH39)+Data!$AK$33)*(1-'Net zero supporting data'!K216),"ERROR"))</f>
        <v>1373871.0572905203</v>
      </c>
      <c r="AI42" s="101">
        <f>IF('Net zero activities &amp; levers'!$C$14="Off",((Data!$AJ$33*'Net zero Intermediate calcs'!AI39)+Data!$AK$33),IF('Net zero activities &amp; levers'!$C$14="On",((Data!$AJ$33*'Net zero Intermediate calcs'!AI39)+Data!$AK$33)*(1-'Net zero supporting data'!L216),"ERROR"))</f>
        <v>1419843.2659318268</v>
      </c>
      <c r="AJ42" s="101">
        <f>IF('Net zero activities &amp; levers'!$C$14="Off",((Data!$AJ$33*'Net zero Intermediate calcs'!AJ39)+Data!$AK$33),IF('Net zero activities &amp; levers'!$C$14="On",((Data!$AJ$33*'Net zero Intermediate calcs'!AJ39)+Data!$AK$33)*(1-'Net zero supporting data'!M216),"ERROR"))</f>
        <v>1466057.0535812106</v>
      </c>
      <c r="AK42" s="101">
        <f>IF('Net zero activities &amp; levers'!$C$14="Off",((Data!$AJ$33*'Net zero Intermediate calcs'!AK39)+Data!$AK$33),IF('Net zero activities &amp; levers'!$C$14="On",((Data!$AJ$33*'Net zero Intermediate calcs'!AK39)+Data!$AK$33)*(1-'Net zero supporting data'!N216),"ERROR"))</f>
        <v>1522742.4876683343</v>
      </c>
      <c r="AL42" s="101">
        <f>IF('Net zero activities &amp; levers'!$C$14="Off",((Data!$AJ$33*'Net zero Intermediate calcs'!AL39)+Data!$AK$33),IF('Net zero activities &amp; levers'!$C$14="On",((Data!$AJ$33*'Net zero Intermediate calcs'!AL39)+Data!$AK$33)*(1-'Net zero supporting data'!O216),"ERROR"))</f>
        <v>1579788.1417622394</v>
      </c>
      <c r="AM42" s="101">
        <f>IF('Net zero activities &amp; levers'!$C$14="Off",((Data!$AJ$33*'Net zero Intermediate calcs'!AM39)+Data!$AK$33),IF('Net zero activities &amp; levers'!$C$14="On",((Data!$AJ$33*'Net zero Intermediate calcs'!AM39)+Data!$AK$33)*(1-'Net zero supporting data'!P216),"ERROR"))</f>
        <v>1641674.5024803807</v>
      </c>
      <c r="AN42" s="101">
        <f>IF('Net zero activities &amp; levers'!$C$14="Off",((Data!$AJ$33*'Net zero Intermediate calcs'!AN39)+Data!$AK$33),IF('Net zero activities &amp; levers'!$C$14="On",((Data!$AJ$33*'Net zero Intermediate calcs'!AN39)+Data!$AK$33)*(1-'Net zero supporting data'!Q216),"ERROR"))</f>
        <v>1701482.5943055714</v>
      </c>
      <c r="AO42" s="101">
        <f>IF('Net zero activities &amp; levers'!$C$14="Off",((Data!$AJ$33*'Net zero Intermediate calcs'!AO39)+Data!$AK$33),IF('Net zero activities &amp; levers'!$C$14="On",((Data!$AJ$33*'Net zero Intermediate calcs'!AO39)+Data!$AK$33)*(1-'Net zero supporting data'!R216),"ERROR"))</f>
        <v>1765797.2964887591</v>
      </c>
      <c r="AP42" s="101">
        <f>IF('Net zero activities &amp; levers'!$C$14="Off",((Data!$AJ$33*'Net zero Intermediate calcs'!AP39)+Data!$AK$33),IF('Net zero activities &amp; levers'!$C$14="On",((Data!$AJ$33*'Net zero Intermediate calcs'!AP39)+Data!$AK$33)*(1-'Net zero supporting data'!S216),"ERROR"))</f>
        <v>1825620.1986156087</v>
      </c>
      <c r="AQ42" s="101">
        <f>IF('Net zero activities &amp; levers'!$C$14="Off",((Data!$AJ$33*'Net zero Intermediate calcs'!AQ39)+Data!$AK$33),IF('Net zero activities &amp; levers'!$C$14="On",((Data!$AJ$33*'Net zero Intermediate calcs'!AQ39)+Data!$AK$33)*(1-'Net zero supporting data'!T216),"ERROR"))</f>
        <v>1887295.9040012253</v>
      </c>
      <c r="AR42" s="101">
        <f>IF('Net zero activities &amp; levers'!$C$14="Off",((Data!$AJ$33*'Net zero Intermediate calcs'!AR39)+Data!$AK$33),IF('Net zero activities &amp; levers'!$C$14="On",((Data!$AJ$33*'Net zero Intermediate calcs'!AR39)+Data!$AK$33)*(1-'Net zero supporting data'!U216),"ERROR"))</f>
        <v>1965375.8218822137</v>
      </c>
      <c r="AS42" s="101">
        <f>IF('Net zero activities &amp; levers'!$C$14="Off",((Data!$AJ$33*'Net zero Intermediate calcs'!AS39)+Data!$AK$33),IF('Net zero activities &amp; levers'!$C$14="On",((Data!$AJ$33*'Net zero Intermediate calcs'!AS39)+Data!$AK$33)*(1-'Net zero supporting data'!V216),"ERROR"))</f>
        <v>2050506.3506751945</v>
      </c>
      <c r="AT42" s="101">
        <f>IF('Net zero activities &amp; levers'!$C$14="Off",((Data!$AJ$33*'Net zero Intermediate calcs'!AT39)+Data!$AK$33),IF('Net zero activities &amp; levers'!$C$14="On",((Data!$AJ$33*'Net zero Intermediate calcs'!AT39)+Data!$AK$33)*(1-'Net zero supporting data'!W216),"ERROR"))</f>
        <v>2138953.7029684484</v>
      </c>
      <c r="AU42" s="101">
        <f>IF('Net zero activities &amp; levers'!$C$14="Off",((Data!$AJ$33*'Net zero Intermediate calcs'!AU39)+Data!$AK$33),IF('Net zero activities &amp; levers'!$C$14="On",((Data!$AJ$33*'Net zero Intermediate calcs'!AU39)+Data!$AK$33)*(1-'Net zero supporting data'!X216),"ERROR"))</f>
        <v>2145287.4158508079</v>
      </c>
      <c r="AV42" s="101">
        <f>IF('Net zero activities &amp; levers'!$C$14="Off",((Data!$AJ$33*'Net zero Intermediate calcs'!AV39)+Data!$AK$33),IF('Net zero activities &amp; levers'!$C$14="On",((Data!$AJ$33*'Net zero Intermediate calcs'!AV39)+Data!$AK$33)*(1-'Net zero supporting data'!Y216),"ERROR"))</f>
        <v>-1872984.4402601779</v>
      </c>
      <c r="AW42" s="101">
        <f>IF('Net zero activities &amp; levers'!$C$14="Off",((Data!$AJ$33*'Net zero Intermediate calcs'!AW39)+Data!$AK$33),IF('Net zero activities &amp; levers'!$C$14="On",((Data!$AJ$33*'Net zero Intermediate calcs'!AW39)+Data!$AK$33)*(1-'Net zero supporting data'!Z216),"ERROR"))</f>
        <v>-1888003.8628201582</v>
      </c>
      <c r="AX42" s="101">
        <f>IF('Net zero activities &amp; levers'!$C$14="Off",((Data!$AJ$33*'Net zero Intermediate calcs'!AX39)+Data!$AK$33),IF('Net zero activities &amp; levers'!$C$14="On",((Data!$AJ$33*'Net zero Intermediate calcs'!AX39)+Data!$AK$33)*(1-'Net zero supporting data'!AA216),"ERROR"))</f>
        <v>-1903133.2449223495</v>
      </c>
      <c r="AY42" s="101">
        <f>IF('Net zero activities &amp; levers'!$C$14="Off",((Data!$AJ$33*'Net zero Intermediate calcs'!AY39)+Data!$AK$33),IF('Net zero activities &amp; levers'!$C$14="On",((Data!$AJ$33*'Net zero Intermediate calcs'!AY39)+Data!$AK$33)*(1-'Net zero supporting data'!AB216),"ERROR"))</f>
        <v>-1918373.3915977606</v>
      </c>
      <c r="AZ42" s="101">
        <f>IF('Net zero activities &amp; levers'!$C$14="Off",((Data!$AJ$33*'Net zero Intermediate calcs'!AZ39)+Data!$AK$33),IF('Net zero activities &amp; levers'!$C$14="On",((Data!$AJ$33*'Net zero Intermediate calcs'!AZ39)+Data!$AK$33)*(1-'Net zero supporting data'!AC216),"ERROR"))</f>
        <v>-1933725.1137711625</v>
      </c>
      <c r="BA42" s="101">
        <f>IF('Net zero activities &amp; levers'!$C$14="Off",((Data!$AJ$33*'Net zero Intermediate calcs'!BA39)+Data!$AK$33),IF('Net zero activities &amp; levers'!$C$14="On",((Data!$AJ$33*'Net zero Intermediate calcs'!BA39)+Data!$AK$33)*(1-'Net zero supporting data'!AD216),"ERROR"))</f>
        <v>-1949189.2283042297</v>
      </c>
      <c r="BB42" s="101">
        <f>IF('Net zero activities &amp; levers'!$C$14="Off",((Data!$AJ$33*'Net zero Intermediate calcs'!BB39)+Data!$AK$33),IF('Net zero activities &amp; levers'!$C$14="On",((Data!$AJ$33*'Net zero Intermediate calcs'!BB39)+Data!$AK$33)*(1-'Net zero supporting data'!AE216),"ERROR"))</f>
        <v>-1962404.3122677263</v>
      </c>
      <c r="BC42" s="101">
        <f>IF('Net zero activities &amp; levers'!$C$14="Off",((Data!$AJ$33*'Net zero Intermediate calcs'!BC39)+Data!$AK$33),IF('Net zero activities &amp; levers'!$C$14="On",((Data!$AJ$33*'Net zero Intermediate calcs'!BC39)+Data!$AK$33)*(1-'Net zero supporting data'!AF216),"ERROR"))</f>
        <v>-1975701.474186305</v>
      </c>
      <c r="BD42" s="101">
        <f>IF('Net zero activities &amp; levers'!$C$14="Off",((Data!$AJ$33*'Net zero Intermediate calcs'!BD39)+Data!$AK$33),IF('Net zero activities &amp; levers'!$C$14="On",((Data!$AJ$33*'Net zero Intermediate calcs'!BD39)+Data!$AK$33)*(1-'Net zero supporting data'!AG216),"ERROR"))</f>
        <v>-1989081.2238403591</v>
      </c>
      <c r="BE42" s="101">
        <f>IF('Net zero activities &amp; levers'!$C$14="Off",((Data!$AJ$33*'Net zero Intermediate calcs'!BE39)+Data!$AK$33),IF('Net zero activities &amp; levers'!$C$14="On",((Data!$AJ$33*'Net zero Intermediate calcs'!BE39)+Data!$AK$33)*(1-'Net zero supporting data'!AH216),"ERROR"))</f>
        <v>-2002544.074176494</v>
      </c>
      <c r="BF42" s="101">
        <f>IF('Net zero activities &amp; levers'!$C$14="Off",((Data!$AJ$33*'Net zero Intermediate calcs'!BF39)+Data!$AK$33),IF('Net zero activities &amp; levers'!$C$14="On",((Data!$AJ$33*'Net zero Intermediate calcs'!BF39)+Data!$AK$33)*(1-'Net zero supporting data'!AI216),"ERROR"))</f>
        <v>-2016090.5413271887</v>
      </c>
      <c r="BG42" s="101">
        <f>IF('Net zero activities &amp; levers'!$C$14="Off",((Data!$AJ$33*'Net zero Intermediate calcs'!BG39)+Data!$AK$33),IF('Net zero activities &amp; levers'!$C$14="On",((Data!$AJ$33*'Net zero Intermediate calcs'!BG39)+Data!$AK$33)*(1-'Net zero supporting data'!AJ216),"ERROR"))</f>
        <v>-2027293.7031878149</v>
      </c>
      <c r="BH42" s="101">
        <f>IF('Net zero activities &amp; levers'!$C$14="Off",((Data!$AJ$33*'Net zero Intermediate calcs'!BH39)+Data!$AK$33),IF('Net zero activities &amp; levers'!$C$14="On",((Data!$AJ$33*'Net zero Intermediate calcs'!BH39)+Data!$AK$33)*(1-'Net zero supporting data'!AK216),"ERROR"))</f>
        <v>-2038554.0553970174</v>
      </c>
      <c r="BI42" s="101">
        <f>IF('Net zero activities &amp; levers'!$C$14="Off",((Data!$AJ$33*'Net zero Intermediate calcs'!BI39)+Data!$AK$33),IF('Net zero activities &amp; levers'!$C$14="On",((Data!$AJ$33*'Net zero Intermediate calcs'!BI39)+Data!$AK$33)*(1-'Net zero supporting data'!AL216),"ERROR"))</f>
        <v>-2049871.8899023733</v>
      </c>
      <c r="BJ42" s="101">
        <f>IF('Net zero activities &amp; levers'!$C$14="Off",((Data!$AJ$33*'Net zero Intermediate calcs'!BJ39)+Data!$AK$33),IF('Net zero activities &amp; levers'!$C$14="On",((Data!$AJ$33*'Net zero Intermediate calcs'!BJ39)+Data!$AK$33)*(1-'Net zero supporting data'!AM216),"ERROR"))</f>
        <v>-2061247.5001418074</v>
      </c>
      <c r="BK42" s="101">
        <f>IF('Net zero activities &amp; levers'!$C$14="Off",((Data!$AJ$33*'Net zero Intermediate calcs'!BK39)+Data!$AK$33),IF('Net zero activities &amp; levers'!$C$14="On",((Data!$AJ$33*'Net zero Intermediate calcs'!BK39)+Data!$AK$33)*(1-'Net zero supporting data'!AN216),"ERROR"))</f>
        <v>-2072681.1810511961</v>
      </c>
      <c r="BL42">
        <v>4552598.7500758618</v>
      </c>
    </row>
    <row r="43" spans="1:64" x14ac:dyDescent="0.25">
      <c r="A43" t="s">
        <v>838</v>
      </c>
      <c r="B43" t="s">
        <v>815</v>
      </c>
      <c r="C43" s="22">
        <f>Data!C35</f>
        <v>86.98690270724579</v>
      </c>
      <c r="D43" s="22">
        <f>Data!D35</f>
        <v>85.412029598416751</v>
      </c>
      <c r="E43" s="22">
        <f>Data!E35</f>
        <v>82.670075098233795</v>
      </c>
      <c r="F43" s="22">
        <f>Data!F35</f>
        <v>93.784908087692543</v>
      </c>
      <c r="G43" s="22">
        <f>Data!G35</f>
        <v>85.280758961852342</v>
      </c>
      <c r="H43" s="22">
        <f>Data!H35</f>
        <v>90.110194006957386</v>
      </c>
      <c r="I43" s="22">
        <f>Data!I35</f>
        <v>96.630851643558501</v>
      </c>
      <c r="J43" s="22">
        <f>Data!J35</f>
        <v>90.082578577450462</v>
      </c>
      <c r="K43" s="22">
        <f>Data!K35</f>
        <v>94.634047967599372</v>
      </c>
      <c r="L43" s="22">
        <f>Data!L35</f>
        <v>94.202352622715566</v>
      </c>
      <c r="M43" s="22">
        <f>Data!M35</f>
        <v>95.33205671803546</v>
      </c>
      <c r="N43" s="22">
        <f>Data!N35</f>
        <v>87.813432210520816</v>
      </c>
      <c r="O43" s="22">
        <f>Data!O35</f>
        <v>95.16546905639143</v>
      </c>
      <c r="P43" s="22">
        <f>Data!P35</f>
        <v>89.302199213409068</v>
      </c>
      <c r="Q43" s="22">
        <f>Data!Q35</f>
        <v>81.529954234122201</v>
      </c>
      <c r="R43" s="22">
        <f>Data!R35</f>
        <v>71.80889155599867</v>
      </c>
      <c r="S43" s="22">
        <f>Data!S35</f>
        <v>68.101686202690857</v>
      </c>
      <c r="T43" s="22">
        <f>Data!T35</f>
        <v>68.19521740619362</v>
      </c>
      <c r="U43" s="22">
        <f>Data!U35</f>
        <v>67.928587433949829</v>
      </c>
      <c r="V43" s="22">
        <f>Data!V35</f>
        <v>61.42602874071288</v>
      </c>
      <c r="W43" s="22">
        <f>Data!W35</f>
        <v>61.879913995624968</v>
      </c>
      <c r="X43" s="22">
        <f>Data!X35</f>
        <v>62.868580144994802</v>
      </c>
      <c r="Y43" s="22">
        <f>((Data!$AJ$35*LN('Net zero Intermediate calcs'!Y2))+Data!$AK$35)</f>
        <v>67.008604056011919</v>
      </c>
      <c r="Z43" s="22">
        <f>((Data!$AJ$35*LN('Net zero Intermediate calcs'!Z2))+Data!$AK$35)</f>
        <v>66.126942573569849</v>
      </c>
      <c r="AA43" s="22">
        <f>((Data!$AJ$35*LN('Net zero Intermediate calcs'!AA2))+Data!$AK$35)</f>
        <v>65.298748914944895</v>
      </c>
      <c r="AB43" s="22">
        <f>((Data!$AJ$35*LN('Net zero Intermediate calcs'!AB2))+Data!$AK$35)</f>
        <v>64.517907163508653</v>
      </c>
      <c r="AC43" s="22">
        <f>((Data!$AJ$35*LN('Net zero Intermediate calcs'!AC2))+Data!$AK$35)</f>
        <v>63.779294229458571</v>
      </c>
      <c r="AD43" s="22">
        <f>((Data!$AJ$35*LN('Net zero Intermediate calcs'!AD2))+Data!$AK$35)</f>
        <v>63.078575942582013</v>
      </c>
      <c r="AE43" s="22">
        <f>((Data!$AJ$35*LN('Net zero Intermediate calcs'!AE2))+Data!$AK$35)</f>
        <v>62.412052946517086</v>
      </c>
      <c r="AF43" s="22">
        <f>((Data!$AJ$35*LN('Net zero Intermediate calcs'!AF2))+Data!$AK$35)</f>
        <v>61.776542475794329</v>
      </c>
      <c r="AG43" s="22">
        <f>((Data!$AJ$35*LN('Net zero Intermediate calcs'!AG2))+Data!$AK$35)</f>
        <v>61.169286434060382</v>
      </c>
      <c r="AH43" s="22">
        <f>((Data!$AJ$35*LN('Net zero Intermediate calcs'!AH2))+Data!$AK$35)</f>
        <v>60.587879050078747</v>
      </c>
      <c r="AI43" s="22">
        <f>((Data!$AJ$35*LN('Net zero Intermediate calcs'!AI2))+Data!$AK$35)</f>
        <v>60.030209311594177</v>
      </c>
      <c r="AJ43" s="22">
        <f>((Data!$AJ$35*LN('Net zero Intermediate calcs'!AJ2))+Data!$AK$35)</f>
        <v>59.494414696352727</v>
      </c>
      <c r="AK43" s="22">
        <f>((Data!$AJ$35*LN('Net zero Intermediate calcs'!AK2))+Data!$AK$35)</f>
        <v>58.978843640017558</v>
      </c>
      <c r="AL43" s="22">
        <f>((Data!$AJ$35*LN('Net zero Intermediate calcs'!AL2))+Data!$AK$35)</f>
        <v>58.482024833087181</v>
      </c>
      <c r="AM43" s="22">
        <f>((Data!$AJ$35*LN('Net zero Intermediate calcs'!AM2))+Data!$AK$35)</f>
        <v>58.002641907970194</v>
      </c>
      <c r="AN43" s="22">
        <f>((Data!$AJ$35*LN('Net zero Intermediate calcs'!AN2))+Data!$AK$35)</f>
        <v>57.539512419090912</v>
      </c>
      <c r="AO43" s="22">
        <f>((Data!$AJ$35*LN('Net zero Intermediate calcs'!AO2))+Data!$AK$35)</f>
        <v>57.091570270904612</v>
      </c>
      <c r="AP43" s="22">
        <f>((Data!$AJ$35*LN('Net zero Intermediate calcs'!AP2))+Data!$AK$35)</f>
        <v>56.657850936648842</v>
      </c>
      <c r="AQ43" s="22">
        <f>((Data!$AJ$35*LN('Net zero Intermediate calcs'!AQ2))+Data!$AK$35)</f>
        <v>56.237478952303242</v>
      </c>
      <c r="AR43" s="22">
        <f>((Data!$AJ$35*LN('Net zero Intermediate calcs'!AR2))+Data!$AK$35)</f>
        <v>55.829657278023902</v>
      </c>
      <c r="AS43" s="22">
        <f>((Data!$AJ$35*LN('Net zero Intermediate calcs'!AS2))+Data!$AK$35)</f>
        <v>55.433658202099345</v>
      </c>
      <c r="AT43" s="22">
        <f>((Data!$AJ$35*LN('Net zero Intermediate calcs'!AT2))+Data!$AK$35)</f>
        <v>55.048815526587653</v>
      </c>
      <c r="AU43" s="22">
        <f>((Data!$AJ$35*LN('Net zero Intermediate calcs'!AU2))+Data!$AK$35)</f>
        <v>54.674517823846799</v>
      </c>
      <c r="AV43" s="22">
        <f>((Data!$AJ$35*LN('Net zero Intermediate calcs'!AV2))+Data!$AK$35)</f>
        <v>54.310202592537571</v>
      </c>
      <c r="AW43" s="22">
        <f>((Data!$AJ$35*LN('Net zero Intermediate calcs'!AW2))+Data!$AK$35)</f>
        <v>53.955351172861633</v>
      </c>
      <c r="AX43" s="22">
        <f>((Data!$AJ$35*LN('Net zero Intermediate calcs'!AX2))+Data!$AK$35)</f>
        <v>53.609484305661013</v>
      </c>
      <c r="AY43" s="22">
        <f>((Data!$AJ$35*LN('Net zero Intermediate calcs'!AY2))+Data!$AK$35)</f>
        <v>53.272158239955402</v>
      </c>
      <c r="AZ43" s="22">
        <f>((Data!$AJ$35*LN('Net zero Intermediate calcs'!AZ2))+Data!$AK$35)</f>
        <v>52.942961309596079</v>
      </c>
      <c r="BA43" s="22">
        <f>((Data!$AJ$35*LN('Net zero Intermediate calcs'!BA2))+Data!$AK$35)</f>
        <v>52.621510912785027</v>
      </c>
      <c r="BB43" s="22">
        <f>((Data!$AJ$35*LN('Net zero Intermediate calcs'!BB2))+Data!$AK$35)</f>
        <v>52.307450838873336</v>
      </c>
      <c r="BC43" s="22">
        <f>((Data!$AJ$35*LN('Net zero Intermediate calcs'!BC2))+Data!$AK$35)</f>
        <v>52.000448895599824</v>
      </c>
      <c r="BD43" s="22">
        <f>((Data!$AJ$35*LN('Net zero Intermediate calcs'!BD2))+Data!$AK$35)</f>
        <v>51.700194797139382</v>
      </c>
      <c r="BE43" s="22">
        <f>((Data!$AJ$35*LN('Net zero Intermediate calcs'!BE2))+Data!$AK$35)</f>
        <v>51.406398279298507</v>
      </c>
      <c r="BF43" s="22">
        <f>((Data!$AJ$35*LN('Net zero Intermediate calcs'!BF2))+Data!$AK$35)</f>
        <v>51.118787413157747</v>
      </c>
      <c r="BG43" s="22">
        <f>((Data!$AJ$35*LN('Net zero Intermediate calcs'!BG2))+Data!$AK$35)</f>
        <v>50.837107092604512</v>
      </c>
      <c r="BH43" s="22">
        <f>((Data!$AJ$35*LN('Net zero Intermediate calcs'!BH2))+Data!$AK$35)</f>
        <v>50.561117674673177</v>
      </c>
      <c r="BI43" s="22">
        <f>((Data!$AJ$35*LN('Net zero Intermediate calcs'!BI2))+Data!$AK$35)</f>
        <v>50.290593754532807</v>
      </c>
      <c r="BJ43" s="22">
        <f>((Data!$AJ$35*LN('Net zero Intermediate calcs'!BJ2))+Data!$AK$35)</f>
        <v>50.02532305943172</v>
      </c>
      <c r="BK43" s="22">
        <f>((Data!$AJ$35*LN('Net zero Intermediate calcs'!BK2))+Data!$AK$35)</f>
        <v>49.765105448000718</v>
      </c>
      <c r="BL43">
        <v>49.765105448000718</v>
      </c>
    </row>
    <row r="44" spans="1:64" x14ac:dyDescent="0.25">
      <c r="A44" t="s">
        <v>345</v>
      </c>
      <c r="B44" t="s">
        <v>321</v>
      </c>
      <c r="C44" s="22">
        <v>6425000</v>
      </c>
      <c r="D44" s="22">
        <v>6769000</v>
      </c>
      <c r="E44" s="22">
        <v>7022000</v>
      </c>
      <c r="F44" s="22">
        <v>6828000</v>
      </c>
      <c r="G44" s="22">
        <v>6773000</v>
      </c>
      <c r="H44" s="22">
        <v>6417000</v>
      </c>
      <c r="I44" s="22">
        <v>6842000</v>
      </c>
      <c r="J44" s="22">
        <v>6738000</v>
      </c>
      <c r="K44" s="22">
        <v>6383000</v>
      </c>
      <c r="L44" s="22">
        <v>6341000</v>
      </c>
      <c r="M44" s="22">
        <v>6362000</v>
      </c>
      <c r="N44" s="22">
        <v>6852000</v>
      </c>
      <c r="O44" s="22">
        <v>7151000</v>
      </c>
      <c r="P44" s="22">
        <v>6983000</v>
      </c>
      <c r="Q44" s="22">
        <v>7243000</v>
      </c>
      <c r="R44" s="22">
        <v>7283000</v>
      </c>
      <c r="S44" s="22">
        <v>7462000</v>
      </c>
      <c r="T44" s="22">
        <v>7660000</v>
      </c>
      <c r="U44" s="22">
        <v>8029000</v>
      </c>
      <c r="V44" s="22">
        <v>8613000</v>
      </c>
      <c r="W44" s="22">
        <v>8658000</v>
      </c>
      <c r="X44" s="22">
        <v>8857000</v>
      </c>
      <c r="Y44" s="22">
        <f>((Data!$AJ$40*'Net zero Intermediate calcs'!Y45)+Data!$AK$40)</f>
        <v>8837588.9818800204</v>
      </c>
      <c r="Z44" s="22">
        <f>((Data!$AJ$40*'Net zero Intermediate calcs'!Z45)+Data!$AK$40)</f>
        <v>9069608.5036172904</v>
      </c>
      <c r="AA44" s="22">
        <f>((Data!$AJ$40*'Net zero Intermediate calcs'!AA45)+Data!$AK$40)</f>
        <v>9310273.6227034926</v>
      </c>
      <c r="AB44" s="22">
        <f>((Data!$AJ$40*'Net zero Intermediate calcs'!AB45)+Data!$AK$40)</f>
        <v>9559918.203922689</v>
      </c>
      <c r="AC44" s="22">
        <f>((Data!$AJ$40*'Net zero Intermediate calcs'!AC45)+Data!$AK$40)</f>
        <v>9818892.7438438796</v>
      </c>
      <c r="AD44" s="22">
        <f>((Data!$AJ$40*'Net zero Intermediate calcs'!AD45)+Data!$AK$40)</f>
        <v>10087565.193359558</v>
      </c>
      <c r="AE44" s="22">
        <f>((Data!$AJ$40*'Net zero Intermediate calcs'!AE45)+Data!$AK$40)</f>
        <v>10359825.374047417</v>
      </c>
      <c r="AF44" s="22">
        <f>((Data!$AJ$40*'Net zero Intermediate calcs'!AF45)+Data!$AK$40)</f>
        <v>10636488.448266506</v>
      </c>
      <c r="AG44" s="22">
        <f>((Data!$AJ$40*'Net zero Intermediate calcs'!AG45)+Data!$AK$40)</f>
        <v>10917625.618024401</v>
      </c>
      <c r="AH44" s="22">
        <f>((Data!$AJ$40*'Net zero Intermediate calcs'!AH45)+Data!$AK$40)</f>
        <v>11121031.726210065</v>
      </c>
      <c r="AI44" s="22">
        <f>((Data!$AJ$40*'Net zero Intermediate calcs'!AI45)+Data!$AK$40)</f>
        <v>11326779.887281906</v>
      </c>
      <c r="AJ44" s="22">
        <f>((Data!$AJ$40*'Net zero Intermediate calcs'!AJ45)+Data!$AK$40)</f>
        <v>11534897.06803935</v>
      </c>
      <c r="AK44" s="22">
        <f>((Data!$AJ$40*'Net zero Intermediate calcs'!AK45)+Data!$AK$40)</f>
        <v>11745410.545782182</v>
      </c>
      <c r="AL44" s="22">
        <f>((Data!$AJ$40*'Net zero Intermediate calcs'!AL45)+Data!$AK$40)</f>
        <v>11958347.91188572</v>
      </c>
      <c r="AM44" s="22">
        <f>((Data!$AJ$40*'Net zero Intermediate calcs'!AM45)+Data!$AK$40)</f>
        <v>12142539.899210591</v>
      </c>
      <c r="AN44" s="22">
        <f>((Data!$AJ$40*'Net zero Intermediate calcs'!AN45)+Data!$AK$40)</f>
        <v>12328545.523359004</v>
      </c>
      <c r="AO44" s="22">
        <f>((Data!$AJ$40*'Net zero Intermediate calcs'!AO45)+Data!$AK$40)</f>
        <v>12516382.64221162</v>
      </c>
      <c r="AP44" s="22">
        <f>((Data!$AJ$40*'Net zero Intermediate calcs'!AP45)+Data!$AK$40)</f>
        <v>12706069.289485786</v>
      </c>
      <c r="AQ44" s="22">
        <f>((Data!$AJ$40*'Net zero Intermediate calcs'!AQ45)+Data!$AK$40)</f>
        <v>12897623.676466919</v>
      </c>
      <c r="AR44" s="22">
        <f>((Data!$AJ$40*'Net zero Intermediate calcs'!AR45)+Data!$AK$40)</f>
        <v>13065285.550986845</v>
      </c>
      <c r="AS44" s="22">
        <f>((Data!$AJ$40*'Net zero Intermediate calcs'!AS45)+Data!$AK$40)</f>
        <v>13234378.29749348</v>
      </c>
      <c r="AT44" s="22">
        <f>((Data!$AJ$40*'Net zero Intermediate calcs'!AT45)+Data!$AK$40)</f>
        <v>13404914.127437096</v>
      </c>
      <c r="AU44" s="22">
        <f>((Data!$AJ$40*'Net zero Intermediate calcs'!AU45)+Data!$AK$40)</f>
        <v>13576905.356483787</v>
      </c>
      <c r="AV44" s="22">
        <f>((Data!$AJ$40*'Net zero Intermediate calcs'!AV45)+Data!$AK$40)</f>
        <v>13750364.405404896</v>
      </c>
      <c r="AW44" s="22">
        <f>((Data!$AJ$40*'Net zero Intermediate calcs'!AW45)+Data!$AK$40)</f>
        <v>13900436.811271213</v>
      </c>
      <c r="AX44" s="22">
        <f>((Data!$AJ$40*'Net zero Intermediate calcs'!AX45)+Data!$AK$40)</f>
        <v>14051607.920698307</v>
      </c>
      <c r="AY44" s="22">
        <f>((Data!$AJ$40*'Net zero Intermediate calcs'!AY45)+Data!$AK$40)</f>
        <v>14203885.77746683</v>
      </c>
      <c r="AZ44" s="22">
        <f>((Data!$AJ$40*'Net zero Intermediate calcs'!AZ45)+Data!$AK$40)</f>
        <v>14357278.484247208</v>
      </c>
      <c r="BA44" s="22">
        <f>((Data!$AJ$40*'Net zero Intermediate calcs'!BA45)+Data!$AK$40)</f>
        <v>14511794.203030784</v>
      </c>
      <c r="BB44" s="22">
        <f>((Data!$AJ$40*'Net zero Intermediate calcs'!BB45)+Data!$AK$40)</f>
        <v>14643837.8575859</v>
      </c>
      <c r="BC44" s="22">
        <f>((Data!$AJ$40*'Net zero Intermediate calcs'!BC45)+Data!$AK$40)</f>
        <v>14776701.625972856</v>
      </c>
      <c r="BD44" s="22">
        <f>((Data!$AJ$40*'Net zero Intermediate calcs'!BD45)+Data!$AK$40)</f>
        <v>14910390.601860862</v>
      </c>
      <c r="BE44" s="22">
        <f>((Data!$AJ$40*'Net zero Intermediate calcs'!BE45)+Data!$AK$40)</f>
        <v>15044909.910555545</v>
      </c>
      <c r="BF44" s="22">
        <f>((Data!$AJ$40*'Net zero Intermediate calcs'!BF45)+Data!$AK$40)</f>
        <v>15180264.70919545</v>
      </c>
      <c r="BG44" s="22">
        <f>((Data!$AJ$40*'Net zero Intermediate calcs'!BG45)+Data!$AK$40)</f>
        <v>15292205.461046569</v>
      </c>
      <c r="BH44" s="22">
        <f>((Data!$AJ$40*'Net zero Intermediate calcs'!BH45)+Data!$AK$40)</f>
        <v>15404717.652523216</v>
      </c>
      <c r="BI44" s="22">
        <f>((Data!$AJ$40*'Net zero Intermediate calcs'!BI45)+Data!$AK$40)</f>
        <v>15517804.200733215</v>
      </c>
      <c r="BJ44" s="22">
        <f>((Data!$AJ$40*'Net zero Intermediate calcs'!BJ45)+Data!$AK$40)</f>
        <v>15631468.037675802</v>
      </c>
      <c r="BK44" s="22">
        <f>((Data!$AJ$40*'Net zero Intermediate calcs'!BK45)+Data!$AK$40)</f>
        <v>15745712.110317562</v>
      </c>
    </row>
    <row r="45" spans="1:64" x14ac:dyDescent="0.25">
      <c r="A45" t="s">
        <v>749</v>
      </c>
      <c r="B45" t="s">
        <v>321</v>
      </c>
      <c r="C45" s="22">
        <v>2353000</v>
      </c>
      <c r="D45" s="22">
        <v>2534000</v>
      </c>
      <c r="E45" s="22">
        <v>2567000</v>
      </c>
      <c r="F45" s="22">
        <v>2743000</v>
      </c>
      <c r="G45" s="22">
        <v>2918000</v>
      </c>
      <c r="H45" s="22">
        <v>2540000</v>
      </c>
      <c r="I45" s="22">
        <v>2807000</v>
      </c>
      <c r="J45" s="22">
        <v>2912000</v>
      </c>
      <c r="K45" s="22">
        <v>3382000</v>
      </c>
      <c r="L45" s="22">
        <v>3381000</v>
      </c>
      <c r="M45" s="22">
        <v>3426000</v>
      </c>
      <c r="N45" s="22">
        <v>3589000</v>
      </c>
      <c r="O45" s="22">
        <v>3877000</v>
      </c>
      <c r="P45" s="22">
        <v>3708000</v>
      </c>
      <c r="Q45" s="22">
        <v>3712000</v>
      </c>
      <c r="R45" s="22">
        <v>3740000</v>
      </c>
      <c r="S45" s="22">
        <v>3825000</v>
      </c>
      <c r="T45" s="22">
        <v>3816000</v>
      </c>
      <c r="U45" s="22">
        <v>3809000</v>
      </c>
      <c r="V45" s="22">
        <v>4524000</v>
      </c>
      <c r="W45" s="22">
        <v>4471000</v>
      </c>
      <c r="X45" s="22">
        <v>4513000</v>
      </c>
      <c r="Y45" s="22">
        <f>((Data!$AJ$39*Drivers!Z4)+Data!$AK$39)</f>
        <v>4413531.2351076361</v>
      </c>
      <c r="Z45" s="22">
        <f>((Data!$AJ$39*Drivers!AA4)+Data!$AK$39)</f>
        <v>4510882.5831505293</v>
      </c>
      <c r="AA45" s="22">
        <f>((Data!$AJ$39*Drivers!AB4)+Data!$AK$39)</f>
        <v>4611861.4731789092</v>
      </c>
      <c r="AB45" s="22">
        <f>((Data!$AJ$39*Drivers!AC4)+Data!$AK$39)</f>
        <v>4716607.9890380893</v>
      </c>
      <c r="AC45" s="22">
        <f>((Data!$AJ$39*Drivers!AD4)+Data!$AK$39)</f>
        <v>4825269.1929805083</v>
      </c>
      <c r="AD45" s="22">
        <f>((Data!$AJ$39*Drivers!AE4)+Data!$AK$39)</f>
        <v>4937999.4707885766</v>
      </c>
      <c r="AE45" s="22">
        <f>((Data!$AJ$39*Drivers!AF4)+Data!$AK$39)</f>
        <v>5052235.0980750509</v>
      </c>
      <c r="AF45" s="22">
        <f>((Data!$AJ$39*Drivers!AG4)+Data!$AK$39)</f>
        <v>5168318.1027603969</v>
      </c>
      <c r="AG45" s="22">
        <f>((Data!$AJ$39*Drivers!AH4)+Data!$AK$39)</f>
        <v>5286278.3599661952</v>
      </c>
      <c r="AH45" s="22">
        <f>((Data!$AJ$39*Drivers!AI4)+Data!$AK$39)</f>
        <v>5371624.0183132365</v>
      </c>
      <c r="AI45" s="22">
        <f>((Data!$AJ$39*Drivers!AJ4)+Data!$AK$39)</f>
        <v>5457952.3612376349</v>
      </c>
      <c r="AJ45" s="22">
        <f>((Data!$AJ$39*Drivers!AK4)+Data!$AK$39)</f>
        <v>5545274.7035384951</v>
      </c>
      <c r="AK45" s="22">
        <f>((Data!$AJ$39*Drivers!AL4)+Data!$AK$39)</f>
        <v>5633602.4902954595</v>
      </c>
      <c r="AL45" s="22">
        <f>((Data!$AJ$39*Drivers!AM4)+Data!$AK$39)</f>
        <v>5722947.2983687902</v>
      </c>
      <c r="AM45" s="22">
        <f>((Data!$AJ$39*Drivers!AN4)+Data!$AK$39)</f>
        <v>5800231.0464366814</v>
      </c>
      <c r="AN45" s="22">
        <f>((Data!$AJ$39*Drivers!AO4)+Data!$AK$39)</f>
        <v>5878275.7649104679</v>
      </c>
      <c r="AO45" s="22">
        <f>((Data!$AJ$39*Drivers!AP4)+Data!$AK$39)</f>
        <v>5957088.9466456743</v>
      </c>
      <c r="AP45" s="22">
        <f>((Data!$AJ$39*Drivers!AQ4)+Data!$AK$39)</f>
        <v>6036678.158275838</v>
      </c>
      <c r="AQ45" s="22">
        <f>((Data!$AJ$39*Drivers!AR4)+Data!$AK$39)</f>
        <v>6117051.0409389604</v>
      </c>
      <c r="AR45" s="22">
        <f>((Data!$AJ$39*Drivers!AS4)+Data!$AK$39)</f>
        <v>6187399.0417351853</v>
      </c>
      <c r="AS45" s="22">
        <f>((Data!$AJ$39*Drivers!AT4)+Data!$AK$39)</f>
        <v>6258347.4114820044</v>
      </c>
      <c r="AT45" s="22">
        <f>((Data!$AJ$39*Drivers!AU4)+Data!$AK$39)</f>
        <v>6329901.273891151</v>
      </c>
      <c r="AU45" s="22">
        <f>((Data!$AJ$39*Drivers!AV4)+Data!$AK$39)</f>
        <v>6402065.7964014988</v>
      </c>
      <c r="AV45" s="22">
        <f>((Data!$AJ$39*Drivers!AW4)+Data!$AK$39)</f>
        <v>6474846.1905522533</v>
      </c>
      <c r="AW45" s="22">
        <f>((Data!$AJ$39*Drivers!AX4)+Data!$AK$39)</f>
        <v>6537813.9568235315</v>
      </c>
      <c r="AX45" s="22">
        <f>((Data!$AJ$39*Drivers!AY4)+Data!$AK$39)</f>
        <v>6601242.7199624032</v>
      </c>
      <c r="AY45" s="22">
        <f>((Data!$AJ$39*Drivers!AZ4)+Data!$AK$39)</f>
        <v>6665135.8549990524</v>
      </c>
      <c r="AZ45" s="22">
        <f>((Data!$AJ$39*Drivers!BA4)+Data!$AK$39)</f>
        <v>6729496.7616727911</v>
      </c>
      <c r="BA45" s="22">
        <f>((Data!$AJ$39*Drivers!BB4)+Data!$AK$39)</f>
        <v>6794328.8646129537</v>
      </c>
      <c r="BB45" s="22">
        <f>((Data!$AJ$39*Drivers!BC4)+Data!$AK$39)</f>
        <v>6849732.081011299</v>
      </c>
      <c r="BC45" s="22">
        <f>((Data!$AJ$39*Drivers!BD4)+Data!$AK$39)</f>
        <v>6905479.4028818067</v>
      </c>
      <c r="BD45" s="22">
        <f>((Data!$AJ$39*Drivers!BE4)+Data!$AK$39)</f>
        <v>6961572.9674393125</v>
      </c>
      <c r="BE45" s="22">
        <f>((Data!$AJ$39*Drivers!BF4)+Data!$AK$39)</f>
        <v>7018014.9251727425</v>
      </c>
      <c r="BF45" s="22">
        <f>((Data!$AJ$39*Drivers!BG4)+Data!$AK$39)</f>
        <v>7074807.4399275575</v>
      </c>
      <c r="BG45" s="22">
        <f>((Data!$AJ$39*Drivers!BH4)+Data!$AK$39)</f>
        <v>7121775.8286736626</v>
      </c>
      <c r="BH45" s="22">
        <f>((Data!$AJ$39*Drivers!BI4)+Data!$AK$39)</f>
        <v>7168983.9835284706</v>
      </c>
      <c r="BI45" s="22">
        <f>((Data!$AJ$39*Drivers!BJ4)+Data!$AK$39)</f>
        <v>7216433.1284595914</v>
      </c>
      <c r="BJ45" s="22">
        <f>((Data!$AJ$39*Drivers!BK4)+Data!$AK$39)</f>
        <v>7264124.4936828092</v>
      </c>
      <c r="BK45" s="22">
        <f>((Data!$AJ$39*Drivers!BL4)+Data!$AK$39)</f>
        <v>7312059.3156939484</v>
      </c>
    </row>
    <row r="46" spans="1:64" x14ac:dyDescent="0.25">
      <c r="A46" t="s">
        <v>344</v>
      </c>
      <c r="B46" t="s">
        <v>321</v>
      </c>
      <c r="C46" s="22">
        <v>9180000</v>
      </c>
      <c r="D46" s="22">
        <v>8614000</v>
      </c>
      <c r="E46" s="22">
        <v>3277000</v>
      </c>
      <c r="F46" s="22">
        <v>9997000</v>
      </c>
      <c r="G46" s="22">
        <v>13275000</v>
      </c>
      <c r="H46" s="22">
        <v>4866000</v>
      </c>
      <c r="I46" s="22">
        <v>10171000</v>
      </c>
      <c r="J46" s="22">
        <v>10136000</v>
      </c>
      <c r="K46" s="22">
        <v>7693000</v>
      </c>
      <c r="L46" s="22">
        <v>7946000</v>
      </c>
      <c r="M46" s="22">
        <v>11455000</v>
      </c>
      <c r="N46" s="22">
        <v>7772000</v>
      </c>
      <c r="O46" s="22">
        <v>10076000</v>
      </c>
      <c r="P46" s="22">
        <v>9705000</v>
      </c>
      <c r="Q46" s="22">
        <v>9737000</v>
      </c>
      <c r="R46" s="22">
        <v>11749000</v>
      </c>
      <c r="S46" s="22">
        <v>6618000</v>
      </c>
      <c r="T46" s="22">
        <v>7339000</v>
      </c>
      <c r="U46" s="22">
        <v>13164000</v>
      </c>
      <c r="V46" s="22">
        <v>12567000</v>
      </c>
      <c r="W46" s="22">
        <v>13421000</v>
      </c>
      <c r="X46" s="22">
        <v>10924000</v>
      </c>
      <c r="Y46" s="22">
        <f>((Data!$AJ$41*'Net zero Intermediate calcs'!Y44)+Data!$AK$41)</f>
        <v>11669565.858699912</v>
      </c>
      <c r="Z46" s="22">
        <f>((Data!$AJ$41*'Net zero Intermediate calcs'!Z44)+Data!$AK$41)</f>
        <v>11888967.550540989</v>
      </c>
      <c r="AA46" s="22">
        <f>((Data!$AJ$41*'Net zero Intermediate calcs'!AA44)+Data!$AK$41)</f>
        <v>12116544.669480311</v>
      </c>
      <c r="AB46" s="22">
        <f>((Data!$AJ$41*'Net zero Intermediate calcs'!AB44)+Data!$AK$41)</f>
        <v>12352612.92385966</v>
      </c>
      <c r="AC46" s="22">
        <f>((Data!$AJ$41*'Net zero Intermediate calcs'!AC44)+Data!$AK$41)</f>
        <v>12597503.749325689</v>
      </c>
      <c r="AD46" s="22">
        <f>((Data!$AJ$41*'Net zero Intermediate calcs'!AD44)+Data!$AK$41)</f>
        <v>12851565.086636676</v>
      </c>
      <c r="AE46" s="22">
        <f>((Data!$AJ$41*'Net zero Intermediate calcs'!AE44)+Data!$AK$41)</f>
        <v>13109019.044892458</v>
      </c>
      <c r="AF46" s="22">
        <f>((Data!$AJ$41*'Net zero Intermediate calcs'!AF44)+Data!$AK$41)</f>
        <v>13370636.455785824</v>
      </c>
      <c r="AG46" s="22">
        <f>((Data!$AJ$41*'Net zero Intermediate calcs'!AG44)+Data!$AK$41)</f>
        <v>13636484.649172502</v>
      </c>
      <c r="AH46" s="22">
        <f>((Data!$AJ$41*'Net zero Intermediate calcs'!AH44)+Data!$AK$41)</f>
        <v>13828828.99990898</v>
      </c>
      <c r="AI46" s="22">
        <f>((Data!$AJ$41*'Net zero Intermediate calcs'!AI44)+Data!$AK$41)</f>
        <v>14023388.036555341</v>
      </c>
      <c r="AJ46" s="22">
        <f>((Data!$AJ$41*'Net zero Intermediate calcs'!AJ44)+Data!$AK$41)</f>
        <v>14220187.259385752</v>
      </c>
      <c r="AK46" s="22">
        <f>((Data!$AJ$41*'Net zero Intermediate calcs'!AK44)+Data!$AK$41)</f>
        <v>14419252.462288922</v>
      </c>
      <c r="AL46" s="22">
        <f>((Data!$AJ$41*'Net zero Intermediate calcs'!AL44)+Data!$AK$41)</f>
        <v>14620609.73614884</v>
      </c>
      <c r="AM46" s="22">
        <f>((Data!$AJ$41*'Net zero Intermediate calcs'!AM44)+Data!$AK$41)</f>
        <v>14794784.880292134</v>
      </c>
      <c r="AN46" s="22">
        <f>((Data!$AJ$41*'Net zero Intermediate calcs'!AN44)+Data!$AK$41)</f>
        <v>14970675.030933548</v>
      </c>
      <c r="AO46" s="22">
        <f>((Data!$AJ$41*'Net zero Intermediate calcs'!AO44)+Data!$AK$41)</f>
        <v>15148297.074795375</v>
      </c>
      <c r="AP46" s="22">
        <f>((Data!$AJ$41*'Net zero Intermediate calcs'!AP44)+Data!$AK$41)</f>
        <v>15327668.064874131</v>
      </c>
      <c r="AQ46" s="22">
        <f>((Data!$AJ$41*'Net zero Intermediate calcs'!AQ44)+Data!$AK$41)</f>
        <v>15508805.222077787</v>
      </c>
      <c r="AR46" s="22">
        <f>((Data!$AJ$41*'Net zero Intermediate calcs'!AR44)+Data!$AK$41)</f>
        <v>15667349.204288784</v>
      </c>
      <c r="AS46" s="22">
        <f>((Data!$AJ$41*'Net zero Intermediate calcs'!AS44)+Data!$AK$41)</f>
        <v>15827246.243916424</v>
      </c>
      <c r="AT46" s="22">
        <f>((Data!$AJ$41*'Net zero Intermediate calcs'!AT44)+Data!$AK$41)</f>
        <v>15988507.888320293</v>
      </c>
      <c r="AU46" s="22">
        <f>((Data!$AJ$41*'Net zero Intermediate calcs'!AU44)+Data!$AK$41)</f>
        <v>16151145.783408277</v>
      </c>
      <c r="AV46" s="22">
        <f>((Data!$AJ$41*'Net zero Intermediate calcs'!AV44)+Data!$AK$41)</f>
        <v>16315171.674477605</v>
      </c>
      <c r="AW46" s="22">
        <f>((Data!$AJ$41*'Net zero Intermediate calcs'!AW44)+Data!$AK$41)</f>
        <v>16457082.749456095</v>
      </c>
      <c r="AX46" s="22">
        <f>((Data!$AJ$41*'Net zero Intermediate calcs'!AX44)+Data!$AK$41)</f>
        <v>16600032.777615165</v>
      </c>
      <c r="AY46" s="22">
        <f>((Data!$AJ$41*'Net zero Intermediate calcs'!AY44)+Data!$AK$41)</f>
        <v>16744029.36529359</v>
      </c>
      <c r="AZ46" s="22">
        <f>((Data!$AJ$41*'Net zero Intermediate calcs'!AZ44)+Data!$AK$41)</f>
        <v>16889080.174517334</v>
      </c>
      <c r="BA46" s="22">
        <f>((Data!$AJ$41*'Net zero Intermediate calcs'!BA44)+Data!$AK$41)</f>
        <v>17035192.923407253</v>
      </c>
      <c r="BB46" s="22">
        <f>((Data!$AJ$41*'Net zero Intermediate calcs'!BB44)+Data!$AK$41)</f>
        <v>17160055.697838262</v>
      </c>
      <c r="BC46" s="22">
        <f>((Data!$AJ$41*'Net zero Intermediate calcs'!BC44)+Data!$AK$41)</f>
        <v>17285693.986160778</v>
      </c>
      <c r="BD46" s="22">
        <f>((Data!$AJ$41*'Net zero Intermediate calcs'!BD44)+Data!$AK$41)</f>
        <v>17412112.605036922</v>
      </c>
      <c r="BE46" s="22">
        <f>((Data!$AJ$41*'Net zero Intermediate calcs'!BE44)+Data!$AK$41)</f>
        <v>17539316.401044767</v>
      </c>
      <c r="BF46" s="22">
        <f>((Data!$AJ$41*'Net zero Intermediate calcs'!BF44)+Data!$AK$41)</f>
        <v>17667310.250864141</v>
      </c>
      <c r="BG46" s="22">
        <f>((Data!$AJ$41*'Net zero Intermediate calcs'!BG44)+Data!$AK$41)</f>
        <v>17773163.371145584</v>
      </c>
      <c r="BH46" s="22">
        <f>((Data!$AJ$41*'Net zero Intermediate calcs'!BH44)+Data!$AK$41)</f>
        <v>17879556.854667529</v>
      </c>
      <c r="BI46" s="22">
        <f>((Data!$AJ$41*'Net zero Intermediate calcs'!BI44)+Data!$AK$41)</f>
        <v>17986493.459897824</v>
      </c>
      <c r="BJ46" s="22">
        <f>((Data!$AJ$41*'Net zero Intermediate calcs'!BJ44)+Data!$AK$41)</f>
        <v>18093975.959385909</v>
      </c>
      <c r="BK46" s="22">
        <f>((Data!$AJ$41*'Net zero Intermediate calcs'!BK44)+Data!$AK$41)</f>
        <v>18202007.139834598</v>
      </c>
    </row>
    <row r="47" spans="1:64" x14ac:dyDescent="0.25">
      <c r="A47" t="s">
        <v>750</v>
      </c>
      <c r="B47" t="s">
        <v>321</v>
      </c>
      <c r="C47" s="22">
        <v>194000</v>
      </c>
      <c r="D47" s="22">
        <v>195000</v>
      </c>
      <c r="E47" s="22">
        <v>199000</v>
      </c>
      <c r="F47" s="22">
        <v>200000</v>
      </c>
      <c r="G47" s="22">
        <v>184000</v>
      </c>
      <c r="H47" s="22">
        <v>183000</v>
      </c>
      <c r="I47" s="22">
        <v>181000</v>
      </c>
      <c r="J47" s="22">
        <v>179000</v>
      </c>
      <c r="K47" s="22">
        <v>177000</v>
      </c>
      <c r="L47" s="22">
        <v>175500</v>
      </c>
      <c r="M47" s="22">
        <v>174000</v>
      </c>
      <c r="N47" s="22">
        <v>186000</v>
      </c>
      <c r="O47" s="22">
        <v>190000</v>
      </c>
      <c r="P47" s="22">
        <v>174000</v>
      </c>
      <c r="Q47" s="22">
        <v>169000</v>
      </c>
      <c r="R47" s="22">
        <v>179000</v>
      </c>
      <c r="S47" s="22">
        <v>191000</v>
      </c>
      <c r="T47" s="22">
        <v>182000</v>
      </c>
      <c r="U47" s="22">
        <v>185000</v>
      </c>
      <c r="V47" s="22">
        <v>177000</v>
      </c>
      <c r="W47" s="22">
        <v>184000</v>
      </c>
      <c r="X47" s="22">
        <v>182000</v>
      </c>
      <c r="Y47" s="22">
        <f>((Data!$AJ$12*((Drivers!Z5*1000000)/Drivers!Z4))+Data!$AK$12)*Drivers!Z4</f>
        <v>170094.538801266</v>
      </c>
      <c r="Z47" s="22">
        <f>((Data!$AJ$12*((Drivers!AA5*1000000)/Drivers!AA4))+Data!$AK$12)*Drivers!AA4</f>
        <v>169770.09652312472</v>
      </c>
      <c r="AA47" s="22">
        <f>((Data!$AJ$12*((Drivers!AB5*1000000)/Drivers!AB4))+Data!$AK$12)*Drivers!AB4</f>
        <v>171638.63783481391</v>
      </c>
      <c r="AB47" s="22">
        <f>((Data!$AJ$12*((Drivers!AC5*1000000)/Drivers!AC4))+Data!$AK$12)*Drivers!AC4</f>
        <v>176523.6498046006</v>
      </c>
      <c r="AC47" s="22">
        <f>((Data!$AJ$12*((Drivers!AD5*1000000)/Drivers!AD4))+Data!$AK$12)*Drivers!AD4</f>
        <v>181709.3783234272</v>
      </c>
      <c r="AD47" s="22">
        <f>((Data!$AJ$12*((Drivers!AE5*1000000)/Drivers!AE4))+Data!$AK$12)*Drivers!AE4</f>
        <v>185808.14456148949</v>
      </c>
      <c r="AE47" s="22">
        <f>((Data!$AJ$12*((Drivers!AF5*1000000)/Drivers!AF4))+Data!$AK$12)*Drivers!AF4</f>
        <v>189593.67273990336</v>
      </c>
      <c r="AF47" s="22">
        <f>((Data!$AJ$12*((Drivers!AG5*1000000)/Drivers!AG4))+Data!$AK$12)*Drivers!AG4</f>
        <v>196486.34819547235</v>
      </c>
      <c r="AG47" s="22">
        <f>((Data!$AJ$12*((Drivers!AH5*1000000)/Drivers!AH4))+Data!$AK$12)*Drivers!AH4</f>
        <v>231082.24305874232</v>
      </c>
      <c r="AH47" s="22">
        <f>((Data!$AJ$12*((Drivers!AI5*1000000)/Drivers!AI4))+Data!$AK$12)*Drivers!AI4</f>
        <v>229242.42355153392</v>
      </c>
      <c r="AI47" s="22">
        <f>((Data!$AJ$12*((Drivers!AJ5*1000000)/Drivers!AJ4))+Data!$AK$12)*Drivers!AJ4</f>
        <v>228154.10675913954</v>
      </c>
      <c r="AJ47" s="22">
        <f>((Data!$AJ$12*((Drivers!AK5*1000000)/Drivers!AK4))+Data!$AK$12)*Drivers!AK4</f>
        <v>227086.56349318725</v>
      </c>
      <c r="AK47" s="22">
        <f>((Data!$AJ$12*((Drivers!AL5*1000000)/Drivers!AL4))+Data!$AK$12)*Drivers!AL4</f>
        <v>224856.32431878382</v>
      </c>
      <c r="AL47" s="22">
        <f>((Data!$AJ$12*((Drivers!AM5*1000000)/Drivers!AM4))+Data!$AK$12)*Drivers!AM4</f>
        <v>222634.25585483515</v>
      </c>
      <c r="AM47" s="22">
        <f>((Data!$AJ$12*((Drivers!AN5*1000000)/Drivers!AN4))+Data!$AK$12)*Drivers!AN4</f>
        <v>219260.59144665647</v>
      </c>
      <c r="AN47" s="22">
        <f>((Data!$AJ$12*((Drivers!AO5*1000000)/Drivers!AO4))+Data!$AK$12)*Drivers!AO4</f>
        <v>216164.77536469756</v>
      </c>
      <c r="AO47" s="22">
        <f>((Data!$AJ$12*((Drivers!AP5*1000000)/Drivers!AP4))+Data!$AK$12)*Drivers!AP4</f>
        <v>212585.03939640705</v>
      </c>
      <c r="AP47" s="22">
        <f>((Data!$AJ$12*((Drivers!AQ5*1000000)/Drivers!AQ4))+Data!$AK$12)*Drivers!AQ4</f>
        <v>209563.23279427257</v>
      </c>
      <c r="AQ47" s="22">
        <f>((Data!$AJ$12*((Drivers!AR5*1000000)/Drivers!AR4))+Data!$AK$12)*Drivers!AR4</f>
        <v>206365.40421273516</v>
      </c>
      <c r="AR47" s="22">
        <f>((Data!$AJ$12*((Drivers!AS5*1000000)/Drivers!AS4))+Data!$AK$12)*Drivers!AS4</f>
        <v>200777.44665034968</v>
      </c>
      <c r="AS47" s="22">
        <f>((Data!$AJ$12*((Drivers!AT5*1000000)/Drivers!AT4))+Data!$AK$12)*Drivers!AT4</f>
        <v>194402.8845889784</v>
      </c>
      <c r="AT47" s="22">
        <f>((Data!$AJ$12*((Drivers!AU5*1000000)/Drivers!AU4))+Data!$AK$12)*Drivers!AU4</f>
        <v>187674.11872463609</v>
      </c>
      <c r="AU47" s="22">
        <f>((Data!$AJ$12*((Drivers!AV5*1000000)/Drivers!AV4))+Data!$AK$12)*Drivers!AV4</f>
        <v>190479.14557595804</v>
      </c>
      <c r="AV47" s="22">
        <f>((Data!$AJ$12*((Drivers!AW5*1000000)/Drivers!AW4))+Data!$AK$12)*Drivers!AW4</f>
        <v>659123.22376588953</v>
      </c>
      <c r="AW47" s="22">
        <f>((Data!$AJ$12*((Drivers!AX5*1000000)/Drivers!AX4))+Data!$AK$12)*Drivers!AX4</f>
        <v>663948.76800076605</v>
      </c>
      <c r="AX47" s="22">
        <f>((Data!$AJ$12*((Drivers!AY5*1000000)/Drivers!AY4))+Data!$AK$12)*Drivers!AY4</f>
        <v>668809.64079989772</v>
      </c>
      <c r="AY47" s="22">
        <f>((Data!$AJ$12*((Drivers!AZ5*1000000)/Drivers!AZ4))+Data!$AK$12)*Drivers!AZ4</f>
        <v>673706.10080922989</v>
      </c>
      <c r="AZ47" s="22">
        <f>((Data!$AJ$12*((Drivers!BA5*1000000)/Drivers!BA4))+Data!$AK$12)*Drivers!BA4</f>
        <v>678638.408568296</v>
      </c>
      <c r="BA47" s="22">
        <f>((Data!$AJ$12*((Drivers!BB5*1000000)/Drivers!BB4))+Data!$AK$12)*Drivers!BB4</f>
        <v>683606.82652408001</v>
      </c>
      <c r="BB47" s="22">
        <f>((Data!$AJ$12*((Drivers!BC5*1000000)/Drivers!BC4))+Data!$AK$12)*Drivers!BC4</f>
        <v>687852.66034217761</v>
      </c>
      <c r="BC47" s="22">
        <f>((Data!$AJ$12*((Drivers!BD5*1000000)/Drivers!BD4))+Data!$AK$12)*Drivers!BD4</f>
        <v>692124.86473486759</v>
      </c>
      <c r="BD47" s="22">
        <f>((Data!$AJ$12*((Drivers!BE5*1000000)/Drivers!BE4))+Data!$AK$12)*Drivers!BE4</f>
        <v>696423.60348793049</v>
      </c>
      <c r="BE47" s="22">
        <f>((Data!$AJ$12*((Drivers!BF5*1000000)/Drivers!BF4))+Data!$AK$12)*Drivers!BF4</f>
        <v>700749.0414044084</v>
      </c>
      <c r="BF47" s="22">
        <f>((Data!$AJ$12*((Drivers!BG5*1000000)/Drivers!BG4))+Data!$AK$12)*Drivers!BG4</f>
        <v>705101.34431092325</v>
      </c>
      <c r="BG47" s="22">
        <f>((Data!$AJ$12*((Drivers!BH5*1000000)/Drivers!BH4))+Data!$AK$12)*Drivers!BH4</f>
        <v>708700.77384378563</v>
      </c>
      <c r="BH47" s="22">
        <f>((Data!$AJ$12*((Drivers!BI5*1000000)/Drivers!BI4))+Data!$AK$12)*Drivers!BI4</f>
        <v>712318.57788843522</v>
      </c>
      <c r="BI47" s="22">
        <f>((Data!$AJ$12*((Drivers!BJ5*1000000)/Drivers!BJ4))+Data!$AK$12)*Drivers!BJ4</f>
        <v>715954.85024381394</v>
      </c>
      <c r="BJ47" s="22">
        <f>((Data!$AJ$12*((Drivers!BK5*1000000)/Drivers!BK4))+Data!$AK$12)*Drivers!BK4</f>
        <v>719609.6851876931</v>
      </c>
      <c r="BK47" s="22">
        <f>((Data!$AJ$12*((Drivers!BL5*1000000)/Drivers!BL4))+Data!$AK$12)*Drivers!BL4</f>
        <v>723283.17747911648</v>
      </c>
    </row>
    <row r="48" spans="1:64" x14ac:dyDescent="0.25">
      <c r="A48" t="s">
        <v>750</v>
      </c>
      <c r="B48" t="s">
        <v>322</v>
      </c>
      <c r="C48" s="22">
        <f>C47/Drivers!D4</f>
        <v>5.2716662152689246E-3</v>
      </c>
      <c r="D48" s="22">
        <f>D47/Drivers!E4</f>
        <v>5.169815172479616E-3</v>
      </c>
      <c r="E48" s="22">
        <f>E47/Drivers!F4</f>
        <v>5.1457611843959729E-3</v>
      </c>
      <c r="F48" s="22">
        <f>F47/Drivers!G4</f>
        <v>5.0462043081969284E-3</v>
      </c>
      <c r="G48" s="22">
        <f>G47/Drivers!H4</f>
        <v>4.5360352128469197E-3</v>
      </c>
      <c r="H48" s="22">
        <f>H47/Drivers!I4</f>
        <v>4.4164752579161221E-3</v>
      </c>
      <c r="I48" s="22">
        <f>I47/Drivers!J4</f>
        <v>4.2849353203217606E-3</v>
      </c>
      <c r="J48" s="22">
        <f>J47/Drivers!K4</f>
        <v>4.164004940882645E-3</v>
      </c>
      <c r="K48" s="22">
        <f>K47/Drivers!L4</f>
        <v>4.0519881526276339E-3</v>
      </c>
      <c r="L48" s="22">
        <f>L47/Drivers!M4</f>
        <v>3.9581814855756533E-3</v>
      </c>
      <c r="M48" s="22">
        <f>M47/Drivers!N4</f>
        <v>3.8694433792356062E-3</v>
      </c>
      <c r="N48" s="22">
        <f>N47/Drivers!O4</f>
        <v>4.0815185460911186E-3</v>
      </c>
      <c r="O48" s="22">
        <f>O47/Drivers!P4</f>
        <v>4.1169283043219537E-3</v>
      </c>
      <c r="P48" s="22">
        <f>P47/Drivers!Q4</f>
        <v>3.7243791609769998E-3</v>
      </c>
      <c r="Q48" s="22">
        <f>Q47/Drivers!R4</f>
        <v>3.5735725639283586E-3</v>
      </c>
      <c r="R48" s="22">
        <f>R47/Drivers!S4</f>
        <v>3.7384660230142057E-3</v>
      </c>
      <c r="S48" s="22">
        <f>S47/Drivers!T4</f>
        <v>3.9390004330631945E-3</v>
      </c>
      <c r="T48" s="22">
        <f>T47/Drivers!U4</f>
        <v>3.7052299055457499E-3</v>
      </c>
      <c r="U48" s="22">
        <f>U47/Drivers!V4</f>
        <v>3.7163914417652206E-3</v>
      </c>
      <c r="V48" s="22">
        <f>V47/Drivers!W4</f>
        <v>3.5065467723514772E-3</v>
      </c>
      <c r="W48" s="22">
        <f>W47/Drivers!X4</f>
        <v>3.5925596839359707E-3</v>
      </c>
      <c r="X48" s="22">
        <f>X47/Drivers!Y4</f>
        <v>3.499719214835302E-3</v>
      </c>
      <c r="Y48" s="22"/>
      <c r="Z48" s="22"/>
      <c r="AA48" s="22"/>
      <c r="AB48" s="22"/>
      <c r="AC48" s="22"/>
      <c r="AD48" s="22"/>
      <c r="AE48" s="22"/>
      <c r="AF48" s="22"/>
      <c r="AG48" s="22"/>
      <c r="AH48" s="22"/>
      <c r="AI48" s="22"/>
      <c r="AJ48" s="22"/>
      <c r="AK48" s="22"/>
      <c r="AL48" s="22"/>
      <c r="AM48" s="22"/>
      <c r="AN48" s="22"/>
      <c r="AO48" s="22"/>
      <c r="AP48" s="22"/>
      <c r="AQ48" s="22"/>
      <c r="AR48" s="22"/>
      <c r="AS48" s="22"/>
      <c r="AT48" s="22"/>
      <c r="AU48" s="22"/>
      <c r="AV48" s="22"/>
      <c r="AW48" s="22"/>
      <c r="AX48" s="22"/>
      <c r="AY48" s="22"/>
      <c r="AZ48" s="22"/>
      <c r="BA48" s="22"/>
      <c r="BB48" s="22"/>
      <c r="BC48" s="22"/>
      <c r="BD48" s="22"/>
      <c r="BE48" s="22"/>
      <c r="BF48" s="22"/>
      <c r="BG48" s="22"/>
      <c r="BH48" s="22"/>
      <c r="BI48" s="22"/>
      <c r="BJ48" s="22"/>
      <c r="BK48" s="22"/>
    </row>
    <row r="49" spans="1:63" x14ac:dyDescent="0.25">
      <c r="A49" t="s">
        <v>371</v>
      </c>
      <c r="B49" t="s">
        <v>321</v>
      </c>
      <c r="C49" s="22">
        <v>316000</v>
      </c>
      <c r="D49" s="22">
        <v>245000</v>
      </c>
      <c r="E49" s="22">
        <v>243000</v>
      </c>
      <c r="F49" s="22">
        <v>287000</v>
      </c>
      <c r="G49" s="22">
        <v>410000</v>
      </c>
      <c r="H49" s="22">
        <v>303000</v>
      </c>
      <c r="I49" s="22">
        <v>331000</v>
      </c>
      <c r="J49" s="22">
        <v>243000</v>
      </c>
      <c r="K49" s="22">
        <v>235000</v>
      </c>
      <c r="L49" s="22"/>
      <c r="M49" s="22">
        <v>210000</v>
      </c>
      <c r="N49" s="22">
        <v>209000</v>
      </c>
      <c r="O49" s="22">
        <v>206000</v>
      </c>
      <c r="P49" s="22">
        <v>196000</v>
      </c>
      <c r="Q49" s="22">
        <v>179000</v>
      </c>
      <c r="R49" s="22">
        <v>189000</v>
      </c>
      <c r="S49" s="22">
        <v>203000</v>
      </c>
      <c r="T49" s="22">
        <v>190000</v>
      </c>
      <c r="U49" s="22">
        <v>196000</v>
      </c>
      <c r="V49" s="22">
        <v>187000</v>
      </c>
      <c r="W49" s="22">
        <v>192000</v>
      </c>
      <c r="X49" s="22">
        <v>191000</v>
      </c>
      <c r="Y49" s="22">
        <f>((Data!$AJ$44*'Net zero Intermediate calcs'!Y47)+Data!$AK$44)</f>
        <v>177815.68011804044</v>
      </c>
      <c r="Z49" s="22">
        <f>((Data!$AJ$44*'Net zero Intermediate calcs'!Z47)+Data!$AK$44)</f>
        <v>177494.26348524768</v>
      </c>
      <c r="AA49" s="22">
        <f>((Data!$AJ$44*'Net zero Intermediate calcs'!AA47)+Data!$AK$44)</f>
        <v>179345.37937580919</v>
      </c>
      <c r="AB49" s="22">
        <f>((Data!$AJ$44*'Net zero Intermediate calcs'!AB47)+Data!$AK$44)</f>
        <v>184184.83527988053</v>
      </c>
      <c r="AC49" s="22">
        <f>((Data!$AJ$44*'Net zero Intermediate calcs'!AC47)+Data!$AK$44)</f>
        <v>189322.203346236</v>
      </c>
      <c r="AD49" s="22">
        <f>((Data!$AJ$44*'Net zero Intermediate calcs'!AD47)+Data!$AK$44)</f>
        <v>193382.74579585152</v>
      </c>
      <c r="AE49" s="22">
        <f>((Data!$AJ$44*'Net zero Intermediate calcs'!AE47)+Data!$AK$44)</f>
        <v>197132.97134419408</v>
      </c>
      <c r="AF49" s="22">
        <f>((Data!$AJ$44*'Net zero Intermediate calcs'!AF47)+Data!$AK$44)</f>
        <v>203961.36790383596</v>
      </c>
      <c r="AG49" s="22">
        <f>((Data!$AJ$44*'Net zero Intermediate calcs'!AG47)+Data!$AK$44)</f>
        <v>238234.63247067659</v>
      </c>
      <c r="AH49" s="22">
        <f>((Data!$AJ$44*'Net zero Intermediate calcs'!AH47)+Data!$AK$44)</f>
        <v>236411.9705341954</v>
      </c>
      <c r="AI49" s="22">
        <f>((Data!$AJ$44*'Net zero Intermediate calcs'!AI47)+Data!$AK$44)</f>
        <v>235333.80303756939</v>
      </c>
      <c r="AJ49" s="22">
        <f>((Data!$AJ$44*'Net zero Intermediate calcs'!AJ47)+Data!$AK$44)</f>
        <v>234276.21534009441</v>
      </c>
      <c r="AK49" s="22">
        <f>((Data!$AJ$44*'Net zero Intermediate calcs'!AK47)+Data!$AK$44)</f>
        <v>232066.77466588269</v>
      </c>
      <c r="AL49" s="22">
        <f>((Data!$AJ$44*'Net zero Intermediate calcs'!AL47)+Data!$AK$44)</f>
        <v>229865.42850468247</v>
      </c>
      <c r="AM49" s="22">
        <f>((Data!$AJ$44*'Net zero Intermediate calcs'!AM47)+Data!$AK$44)</f>
        <v>226523.22581623573</v>
      </c>
      <c r="AN49" s="22">
        <f>((Data!$AJ$44*'Net zero Intermediate calcs'!AN47)+Data!$AK$44)</f>
        <v>223456.28032901531</v>
      </c>
      <c r="AO49" s="22">
        <f>((Data!$AJ$44*'Net zero Intermediate calcs'!AO47)+Data!$AK$44)</f>
        <v>219909.92783819092</v>
      </c>
      <c r="AP49" s="22">
        <f>((Data!$AJ$44*'Net zero Intermediate calcs'!AP47)+Data!$AK$44)</f>
        <v>216916.30164195871</v>
      </c>
      <c r="AQ49" s="22">
        <f>((Data!$AJ$44*'Net zero Intermediate calcs'!AQ47)+Data!$AK$44)</f>
        <v>213748.29499123909</v>
      </c>
      <c r="AR49" s="22">
        <f>((Data!$AJ$44*'Net zero Intermediate calcs'!AR47)+Data!$AK$44)</f>
        <v>208212.44894127184</v>
      </c>
      <c r="AS49" s="22">
        <f>((Data!$AJ$44*'Net zero Intermediate calcs'!AS47)+Data!$AK$44)</f>
        <v>201897.33401533659</v>
      </c>
      <c r="AT49" s="22">
        <f>((Data!$AJ$44*'Net zero Intermediate calcs'!AT47)+Data!$AK$44)</f>
        <v>195231.3184782801</v>
      </c>
      <c r="AU49" s="22">
        <f>((Data!$AJ$44*'Net zero Intermediate calcs'!AU47)+Data!$AK$44)</f>
        <v>198010.18654260982</v>
      </c>
      <c r="AV49" s="22">
        <f>((Data!$AJ$44*'Net zero Intermediate calcs'!AV47)+Data!$AK$44)</f>
        <v>662283.839326179</v>
      </c>
      <c r="AW49" s="22">
        <f>((Data!$AJ$44*'Net zero Intermediate calcs'!AW47)+Data!$AK$44)</f>
        <v>667064.38207249495</v>
      </c>
      <c r="AX49" s="22">
        <f>((Data!$AJ$44*'Net zero Intermediate calcs'!AX47)+Data!$AK$44)</f>
        <v>671879.92392012826</v>
      </c>
      <c r="AY49" s="22">
        <f>((Data!$AJ$44*'Net zero Intermediate calcs'!AY47)+Data!$AK$44)</f>
        <v>676730.72110297449</v>
      </c>
      <c r="AZ49" s="22">
        <f>((Data!$AJ$44*'Net zero Intermediate calcs'!AZ47)+Data!$AK$44)</f>
        <v>681617.03173085861</v>
      </c>
      <c r="BA49" s="22">
        <f>((Data!$AJ$44*'Net zero Intermediate calcs'!BA47)+Data!$AK$44)</f>
        <v>686539.11580326722</v>
      </c>
      <c r="BB49" s="22">
        <f>((Data!$AJ$44*'Net zero Intermediate calcs'!BB47)+Data!$AK$44)</f>
        <v>690745.35432750883</v>
      </c>
      <c r="BC49" s="22">
        <f>((Data!$AJ$44*'Net zero Intermediate calcs'!BC47)+Data!$AK$44)</f>
        <v>694977.71750276338</v>
      </c>
      <c r="BD49" s="22">
        <f>((Data!$AJ$44*'Net zero Intermediate calcs'!BD47)+Data!$AK$44)</f>
        <v>699236.36758739746</v>
      </c>
      <c r="BE49" s="22">
        <f>((Data!$AJ$44*'Net zero Intermediate calcs'!BE47)+Data!$AK$44)</f>
        <v>703521.46784755238</v>
      </c>
      <c r="BF49" s="22">
        <f>((Data!$AJ$44*'Net zero Intermediate calcs'!BF47)+Data!$AK$44)</f>
        <v>707833.18256340397</v>
      </c>
      <c r="BG49" s="22">
        <f>((Data!$AJ$44*'Net zero Intermediate calcs'!BG47)+Data!$AK$44)</f>
        <v>711399.04496288951</v>
      </c>
      <c r="BH49" s="22">
        <f>((Data!$AJ$44*'Net zero Intermediate calcs'!BH47)+Data!$AK$44)</f>
        <v>714983.11051931791</v>
      </c>
      <c r="BI49" s="22">
        <f>((Data!$AJ$44*'Net zero Intermediate calcs'!BI47)+Data!$AK$44)</f>
        <v>718585.47215689172</v>
      </c>
      <c r="BJ49" s="22">
        <f>((Data!$AJ$44*'Net zero Intermediate calcs'!BJ47)+Data!$AK$44)</f>
        <v>722206.2232741781</v>
      </c>
      <c r="BK49" s="22">
        <f>((Data!$AJ$44*'Net zero Intermediate calcs'!BK47)+Data!$AK$44)</f>
        <v>725845.45774652786</v>
      </c>
    </row>
    <row r="50" spans="1:63" x14ac:dyDescent="0.25">
      <c r="A50" t="s">
        <v>858</v>
      </c>
      <c r="B50" t="s">
        <v>321</v>
      </c>
      <c r="C50" s="22">
        <f>C15*Constants!$H$29*Constants!$H$35</f>
        <v>1907100</v>
      </c>
      <c r="D50" s="22">
        <f>D15*Constants!$H$29*Constants!$H$35</f>
        <v>1946700</v>
      </c>
      <c r="E50" s="22">
        <f>E15*Constants!$H$29*Constants!$H$35</f>
        <v>1896300</v>
      </c>
      <c r="F50" s="22">
        <f>F15*Constants!$H$29*Constants!$H$35</f>
        <v>1801800</v>
      </c>
      <c r="G50" s="22">
        <f>G15*Constants!$H$29*Constants!$H$35</f>
        <v>1805400</v>
      </c>
      <c r="H50" s="22">
        <f>H15*Constants!$H$29*Constants!$H$35</f>
        <v>2067300</v>
      </c>
      <c r="I50" s="22">
        <f>I15*Constants!$H$29*Constants!$H$35</f>
        <v>2205000</v>
      </c>
      <c r="J50" s="22">
        <f>J15*Constants!$H$29*Constants!$H$35</f>
        <v>2193300</v>
      </c>
      <c r="K50" s="22">
        <f>K15*Constants!$H$29*Constants!$H$35</f>
        <v>2250900</v>
      </c>
      <c r="L50" s="22">
        <f>L15*Constants!$H$29*Constants!$H$35</f>
        <v>2288700</v>
      </c>
      <c r="M50" s="22">
        <f>M15*Constants!$H$29*Constants!$H$35</f>
        <v>2133000</v>
      </c>
      <c r="N50" s="22">
        <f>N15*Constants!$H$29*Constants!$H$35</f>
        <v>2122200</v>
      </c>
      <c r="O50" s="22">
        <f>O15*Constants!$H$29*Constants!$H$35</f>
        <v>2211300</v>
      </c>
      <c r="P50" s="22">
        <f>P15*Constants!$H$29*Constants!$H$35</f>
        <v>2118600</v>
      </c>
      <c r="Q50" s="22">
        <f>Q15*Constants!$H$29*Constants!$H$35</f>
        <v>2254500</v>
      </c>
      <c r="R50" s="22">
        <f>R15*Constants!$H$29*Constants!$H$35</f>
        <v>2391300</v>
      </c>
      <c r="S50" s="22">
        <f>S15*Constants!$H$29*Constants!$H$35</f>
        <v>2261700</v>
      </c>
      <c r="T50" s="22">
        <f>T15*Constants!$H$29*Constants!$H$35</f>
        <v>2303100</v>
      </c>
      <c r="U50" s="22">
        <f>U15*Constants!$H$29*Constants!$H$35</f>
        <v>2362500</v>
      </c>
      <c r="V50" s="22">
        <f>V15*Constants!$H$29*Constants!$H$35</f>
        <v>2328300</v>
      </c>
      <c r="W50" s="22">
        <f>W15*Constants!$H$29*Constants!$H$35</f>
        <v>2439900</v>
      </c>
      <c r="X50" s="22">
        <f>X15*Constants!$H$29*Constants!$H$35</f>
        <v>2448000</v>
      </c>
      <c r="Y50" s="22">
        <f>Y15*Constants!$H$29*Constants!$H$35</f>
        <v>2574777.9563614991</v>
      </c>
      <c r="Z50" s="22">
        <f>Z15*Constants!$H$29*Constants!$H$35</f>
        <v>2612835.6848298265</v>
      </c>
      <c r="AA50" s="22">
        <f>AA15*Constants!$H$29*Constants!$H$35</f>
        <v>2645079.5692393766</v>
      </c>
      <c r="AB50" s="22">
        <f>AB15*Constants!$H$29*Constants!$H$35</f>
        <v>2668862.0559553052</v>
      </c>
      <c r="AC50" s="22">
        <f>AC15*Constants!$H$29*Constants!$H$35</f>
        <v>2693145.8716637702</v>
      </c>
      <c r="AD50" s="22">
        <f>AD15*Constants!$H$29*Constants!$H$35</f>
        <v>2722540.8453048975</v>
      </c>
      <c r="AE50" s="22">
        <f>AE15*Constants!$H$29*Constants!$H$35</f>
        <v>2753535.1790122059</v>
      </c>
      <c r="AF50" s="22">
        <f>AF15*Constants!$H$29*Constants!$H$35</f>
        <v>2775041.0261907489</v>
      </c>
      <c r="AG50" s="22">
        <f>AG15*Constants!$H$29*Constants!$H$35</f>
        <v>2706402.1460297219</v>
      </c>
      <c r="AH50" s="22">
        <f>AH15*Constants!$H$29*Constants!$H$35</f>
        <v>2744867.6683630445</v>
      </c>
      <c r="AI50" s="22">
        <f>AI15*Constants!$H$29*Constants!$H$35</f>
        <v>2781241.9132542904</v>
      </c>
      <c r="AJ50" s="22">
        <f>AJ15*Constants!$H$29*Constants!$H$35</f>
        <v>2817925.7485740823</v>
      </c>
      <c r="AK50" s="22">
        <f>AK15*Constants!$H$29*Constants!$H$35</f>
        <v>2858804.941229023</v>
      </c>
      <c r="AL50" s="22">
        <f>AL15*Constants!$H$29*Constants!$H$35</f>
        <v>2900043.8060655314</v>
      </c>
      <c r="AM50" s="22">
        <f>AM15*Constants!$H$29*Constants!$H$35</f>
        <v>2940476.3326223581</v>
      </c>
      <c r="AN50" s="22">
        <f>AN15*Constants!$H$29*Constants!$H$35</f>
        <v>2980286.7715404164</v>
      </c>
      <c r="AO50" s="22">
        <f>AO15*Constants!$H$29*Constants!$H$35</f>
        <v>3021976.3368515046</v>
      </c>
      <c r="AP50" s="22">
        <f>AP15*Constants!$H$29*Constants!$H$35</f>
        <v>3062130.9570093052</v>
      </c>
      <c r="AQ50" s="22">
        <f>AQ15*Constants!$H$29*Constants!$H$35</f>
        <v>3103160.6715777679</v>
      </c>
      <c r="AR50" s="22">
        <f>AR15*Constants!$H$29*Constants!$H$35</f>
        <v>3148219.8081180151</v>
      </c>
      <c r="AS50" s="22">
        <f>AS15*Constants!$H$29*Constants!$H$35</f>
        <v>3196086.9079107274</v>
      </c>
      <c r="AT50" s="22">
        <f>AT15*Constants!$H$29*Constants!$H$35</f>
        <v>3245345.7759492123</v>
      </c>
      <c r="AU50" s="22">
        <f>AU15*Constants!$H$29*Constants!$H$35</f>
        <v>3263568.7717227428</v>
      </c>
      <c r="AV50" s="22">
        <f>AV15*Constants!$H$29*Constants!$H$35</f>
        <v>1754216.1971736951</v>
      </c>
      <c r="AW50" s="22">
        <f>AW15*Constants!$H$29*Constants!$H$35</f>
        <v>1762317.7328958192</v>
      </c>
      <c r="AX50" s="22">
        <f>AX15*Constants!$H$29*Constants!$H$35</f>
        <v>1770478.5812283757</v>
      </c>
      <c r="AY50" s="22">
        <f>AY15*Constants!$H$29*Constants!$H$35</f>
        <v>1778699.1764082625</v>
      </c>
      <c r="AZ50" s="22">
        <f>AZ15*Constants!$H$29*Constants!$H$35</f>
        <v>1786979.9558514969</v>
      </c>
      <c r="BA50" s="22">
        <f>BA15*Constants!$H$29*Constants!$H$35</f>
        <v>1795321.3601764864</v>
      </c>
      <c r="BB50" s="22">
        <f>BB15*Constants!$H$29*Constants!$H$35</f>
        <v>1802449.6285485618</v>
      </c>
      <c r="BC50" s="22">
        <f>BC15*Constants!$H$29*Constants!$H$35</f>
        <v>1809622.170093087</v>
      </c>
      <c r="BD50" s="22">
        <f>BD15*Constants!$H$29*Constants!$H$35</f>
        <v>1816839.2597876152</v>
      </c>
      <c r="BE50" s="22">
        <f>BE15*Constants!$H$29*Constants!$H$35</f>
        <v>1824101.1743175674</v>
      </c>
      <c r="BF50" s="22">
        <f>BF15*Constants!$H$29*Constants!$H$35</f>
        <v>1831408.1920868363</v>
      </c>
      <c r="BG50" s="22">
        <f>BG15*Constants!$H$29*Constants!$H$35</f>
        <v>1837451.2217474068</v>
      </c>
      <c r="BH50" s="22">
        <f>BH15*Constants!$H$29*Constants!$H$35</f>
        <v>1843525.1001073932</v>
      </c>
      <c r="BI50" s="22">
        <f>BI15*Constants!$H$29*Constants!$H$35</f>
        <v>1849629.9846444691</v>
      </c>
      <c r="BJ50" s="22">
        <f>BJ15*Constants!$H$29*Constants!$H$35</f>
        <v>1855766.0336402075</v>
      </c>
      <c r="BK50" s="22">
        <f>BK15*Constants!$H$29*Constants!$H$35</f>
        <v>1861933.4061841827</v>
      </c>
    </row>
    <row r="51" spans="1:63" x14ac:dyDescent="0.25">
      <c r="A51" t="s">
        <v>859</v>
      </c>
      <c r="B51" t="s">
        <v>321</v>
      </c>
      <c r="C51" s="22">
        <f>C8*Constants!$H$30*Constants!$H$36</f>
        <v>2349655</v>
      </c>
      <c r="D51" s="22">
        <f>D8*Constants!$H$30*Constants!$H$36</f>
        <v>2559865</v>
      </c>
      <c r="E51" s="22">
        <f>E8*Constants!$H$30*Constants!$H$36</f>
        <v>2708475</v>
      </c>
      <c r="F51" s="22">
        <f>F8*Constants!$H$30*Constants!$H$36</f>
        <v>2671900</v>
      </c>
      <c r="G51" s="22">
        <f>G8*Constants!$H$30*Constants!$H$36</f>
        <v>2353120</v>
      </c>
      <c r="H51" s="22">
        <f>H8*Constants!$H$30*Constants!$H$36</f>
        <v>1953874.9999999998</v>
      </c>
      <c r="I51" s="22">
        <f>I8*Constants!$H$30*Constants!$H$36</f>
        <v>1951949.9999999998</v>
      </c>
      <c r="J51" s="22">
        <f>J8*Constants!$H$30*Constants!$H$36</f>
        <v>1934239.9999999998</v>
      </c>
      <c r="K51" s="22">
        <f>K8*Constants!$H$30*Constants!$H$36</f>
        <v>1910754.9999999998</v>
      </c>
      <c r="L51" s="22">
        <f>L8*Constants!$H$30*Constants!$H$36</f>
        <v>1970044.9999999998</v>
      </c>
      <c r="M51" s="22">
        <f>M8*Constants!$H$30*Constants!$H$36</f>
        <v>2404710</v>
      </c>
      <c r="N51" s="22">
        <f>N8*Constants!$H$30*Constants!$H$36</f>
        <v>2018554.9999999998</v>
      </c>
      <c r="O51" s="22">
        <f>O8*Constants!$H$30*Constants!$H$36</f>
        <v>2207590</v>
      </c>
      <c r="P51" s="22">
        <f>P8*Constants!$H$30*Constants!$H$36</f>
        <v>2347345</v>
      </c>
      <c r="Q51" s="22">
        <f>Q8*Constants!$H$30*Constants!$H$36</f>
        <v>2432045</v>
      </c>
      <c r="R51" s="22">
        <f>R8*Constants!$H$30*Constants!$H$36</f>
        <v>2588355</v>
      </c>
      <c r="S51" s="22">
        <f>S8*Constants!$H$30*Constants!$H$36</f>
        <v>3111185</v>
      </c>
      <c r="T51" s="22">
        <f>T8*Constants!$H$30*Constants!$H$36</f>
        <v>3316390</v>
      </c>
      <c r="U51" s="22">
        <f>U8*Constants!$H$30*Constants!$H$36</f>
        <v>2965270</v>
      </c>
      <c r="V51" s="22">
        <f>V8*Constants!$H$30*Constants!$H$36</f>
        <v>3067295</v>
      </c>
      <c r="W51" s="22">
        <f>W8*Constants!$H$30*Constants!$H$36</f>
        <v>3410330</v>
      </c>
      <c r="X51" s="22">
        <f>X8*Constants!$H$30*Constants!$H$36</f>
        <v>3347575</v>
      </c>
      <c r="Y51" s="22">
        <f>Y8*Constants!$H$30*Constants!$H$36</f>
        <v>3561143.5584233543</v>
      </c>
      <c r="Z51" s="22">
        <f>Z8*Constants!$H$30*Constants!$H$36</f>
        <v>3661818.4616509574</v>
      </c>
      <c r="AA51" s="22">
        <f>AA8*Constants!$H$30*Constants!$H$36</f>
        <v>3735282.2075057342</v>
      </c>
      <c r="AB51" s="22">
        <f>AB8*Constants!$H$30*Constants!$H$36</f>
        <v>3770110.1097646165</v>
      </c>
      <c r="AC51" s="22">
        <f>AC8*Constants!$H$30*Constants!$H$36</f>
        <v>3804580.6421703128</v>
      </c>
      <c r="AD51" s="22">
        <f>AD8*Constants!$H$30*Constants!$H$36</f>
        <v>3858331.3346869904</v>
      </c>
      <c r="AE51" s="22">
        <f>AE8*Constants!$H$30*Constants!$H$36</f>
        <v>3917966.6581437318</v>
      </c>
      <c r="AF51" s="22">
        <f>AF8*Constants!$H$30*Constants!$H$36</f>
        <v>3935796.9565776945</v>
      </c>
      <c r="AG51" s="22">
        <f>AG8*Constants!$H$30*Constants!$H$36</f>
        <v>3566485.8767201887</v>
      </c>
      <c r="AH51" s="22">
        <f>AH8*Constants!$H$30*Constants!$H$36</f>
        <v>3676585.2129281648</v>
      </c>
      <c r="AI51" s="22">
        <f>AI8*Constants!$H$30*Constants!$H$36</f>
        <v>3777102.568086342</v>
      </c>
      <c r="AJ51" s="22">
        <f>AJ8*Constants!$H$30*Constants!$H$36</f>
        <v>3878309.650763276</v>
      </c>
      <c r="AK51" s="22">
        <f>AK8*Constants!$H$30*Constants!$H$36</f>
        <v>3996835.4522351525</v>
      </c>
      <c r="AL51" s="22">
        <f>AL8*Constants!$H$30*Constants!$H$36</f>
        <v>4116250.6742880973</v>
      </c>
      <c r="AM51" s="22">
        <f>AM8*Constants!$H$30*Constants!$H$36</f>
        <v>4239927.6233507115</v>
      </c>
      <c r="AN51" s="22">
        <f>AN8*Constants!$H$30*Constants!$H$36</f>
        <v>4360454.5033506062</v>
      </c>
      <c r="AO51" s="22">
        <f>AO8*Constants!$H$30*Constants!$H$36</f>
        <v>4488535.0838727821</v>
      </c>
      <c r="AP51" s="22">
        <f>AP8*Constants!$H$30*Constants!$H$36</f>
        <v>4609547.7051243167</v>
      </c>
      <c r="AQ51" s="22">
        <f>AQ8*Constants!$H$30*Constants!$H$36</f>
        <v>4733805.6924411012</v>
      </c>
      <c r="AR51" s="22">
        <f>AR8*Constants!$H$30*Constants!$H$36</f>
        <v>4881726.6813819688</v>
      </c>
      <c r="AS51" s="22">
        <f>AS8*Constants!$H$30*Constants!$H$36</f>
        <v>5041285.5512387445</v>
      </c>
      <c r="AT51" s="22">
        <f>AT8*Constants!$H$30*Constants!$H$36</f>
        <v>5206415.8046842488</v>
      </c>
      <c r="AU51" s="22">
        <f>AU8*Constants!$H$30*Constants!$H$36</f>
        <v>5238280.1990471091</v>
      </c>
      <c r="AV51" s="22">
        <f>AV8*Constants!$H$30*Constants!$H$36</f>
        <v>-1270328.3284756348</v>
      </c>
      <c r="AW51" s="22">
        <f>AW8*Constants!$H$30*Constants!$H$36</f>
        <v>-1275915.3972999551</v>
      </c>
      <c r="AX51" s="22">
        <f>AX8*Constants!$H$30*Constants!$H$36</f>
        <v>-1281543.3699291835</v>
      </c>
      <c r="AY51" s="22">
        <f>AY8*Constants!$H$30*Constants!$H$36</f>
        <v>-1287212.5458264742</v>
      </c>
      <c r="AZ51" s="22">
        <f>AZ8*Constants!$H$30*Constants!$H$36</f>
        <v>-1292923.2266473989</v>
      </c>
      <c r="BA51" s="22">
        <f>BA8*Constants!$H$30*Constants!$H$36</f>
        <v>-1298675.7162559961</v>
      </c>
      <c r="BB51" s="22">
        <f>BB8*Constants!$H$30*Constants!$H$36</f>
        <v>-1303591.5899074881</v>
      </c>
      <c r="BC51" s="22">
        <f>BC8*Constants!$H$30*Constants!$H$36</f>
        <v>-1308537.9957037526</v>
      </c>
      <c r="BD51" s="22">
        <f>BD8*Constants!$H$30*Constants!$H$36</f>
        <v>-1313515.1232777887</v>
      </c>
      <c r="BE51" s="22">
        <f>BE8*Constants!$H$30*Constants!$H$36</f>
        <v>-1318523.1634403933</v>
      </c>
      <c r="BF51" s="22">
        <f>BF8*Constants!$H$30*Constants!$H$36</f>
        <v>-1323562.3081874752</v>
      </c>
      <c r="BG51" s="22">
        <f>BG8*Constants!$H$30*Constants!$H$36</f>
        <v>-1327729.7677629252</v>
      </c>
      <c r="BH51" s="22">
        <f>BH8*Constants!$H$30*Constants!$H$36</f>
        <v>-1331918.5015526342</v>
      </c>
      <c r="BI51" s="22">
        <f>BI8*Constants!$H$30*Constants!$H$36</f>
        <v>-1336128.6181580608</v>
      </c>
      <c r="BJ51" s="22">
        <f>BJ8*Constants!$H$30*Constants!$H$36</f>
        <v>-1340360.2267350582</v>
      </c>
      <c r="BK51" s="22">
        <f>BK8*Constants!$H$30*Constants!$H$36</f>
        <v>-1344613.4369967019</v>
      </c>
    </row>
    <row r="52" spans="1:63" x14ac:dyDescent="0.25">
      <c r="A52" t="s">
        <v>860</v>
      </c>
      <c r="B52" t="s">
        <v>321</v>
      </c>
      <c r="C52" s="22">
        <f>C18*Constants!$H$31*Constants!$H$37</f>
        <v>647570</v>
      </c>
      <c r="D52" s="22">
        <f>D18*Constants!$H$31*Constants!$H$37</f>
        <v>736120</v>
      </c>
      <c r="E52" s="22">
        <f>E18*Constants!$H$31*Constants!$H$37</f>
        <v>677985</v>
      </c>
      <c r="F52" s="22">
        <f>F18*Constants!$H$31*Constants!$H$37</f>
        <v>644490</v>
      </c>
      <c r="G52" s="22">
        <f>G18*Constants!$H$31*Constants!$H$37</f>
        <v>520904.99999999994</v>
      </c>
      <c r="H52" s="22">
        <f>H18*Constants!$H$31*Constants!$H$37</f>
        <v>364980</v>
      </c>
      <c r="I52" s="22">
        <f>I18*Constants!$H$31*Constants!$H$37</f>
        <v>409255</v>
      </c>
      <c r="J52" s="22">
        <f>J18*Constants!$H$31*Constants!$H$37</f>
        <v>395010</v>
      </c>
      <c r="K52" s="22">
        <f>K18*Constants!$H$31*Constants!$H$37</f>
        <v>373065</v>
      </c>
      <c r="L52" s="22">
        <f>L18*Constants!$H$31*Constants!$H$37</f>
        <v>403865</v>
      </c>
      <c r="M52" s="22">
        <f>M18*Constants!$H$31*Constants!$H$37</f>
        <v>416955</v>
      </c>
      <c r="N52" s="22">
        <f>N18*Constants!$H$31*Constants!$H$37</f>
        <v>405790</v>
      </c>
      <c r="O52" s="22">
        <f>O18*Constants!$H$31*Constants!$H$37</f>
        <v>404635</v>
      </c>
      <c r="P52" s="22">
        <f>P18*Constants!$H$31*Constants!$H$37</f>
        <v>440440</v>
      </c>
      <c r="Q52" s="22">
        <f>Q18*Constants!$H$31*Constants!$H$37</f>
        <v>463154.99999999994</v>
      </c>
      <c r="R52" s="22">
        <f>R18*Constants!$H$31*Constants!$H$37</f>
        <v>518209.99999999994</v>
      </c>
      <c r="S52" s="22">
        <f>S18*Constants!$H$31*Constants!$H$37</f>
        <v>520904.99999999994</v>
      </c>
      <c r="T52" s="22">
        <f>T18*Constants!$H$31*Constants!$H$37</f>
        <v>618695</v>
      </c>
      <c r="U52" s="22">
        <f>U18*Constants!$H$31*Constants!$H$37</f>
        <v>618310</v>
      </c>
      <c r="V52" s="22">
        <f>V18*Constants!$H$31*Constants!$H$37</f>
        <v>624085</v>
      </c>
      <c r="W52" s="22">
        <f>W18*Constants!$H$31*Constants!$H$37</f>
        <v>631015</v>
      </c>
      <c r="X52" s="22">
        <f>X18*Constants!$H$31*Constants!$H$37</f>
        <v>572880</v>
      </c>
      <c r="Y52" s="22">
        <f>Y18*Constants!$H$31*Constants!$H$37</f>
        <v>629401.35183535528</v>
      </c>
      <c r="Z52" s="22">
        <f>Z18*Constants!$H$31*Constants!$H$37</f>
        <v>635570.09691003663</v>
      </c>
      <c r="AA52" s="22">
        <f>AA18*Constants!$H$31*Constants!$H$37</f>
        <v>641937.54536728747</v>
      </c>
      <c r="AB52" s="22">
        <f>AB18*Constants!$H$31*Constants!$H$37</f>
        <v>648500.93088858994</v>
      </c>
      <c r="AC52" s="22">
        <f>AC18*Constants!$H$31*Constants!$H$37</f>
        <v>655307.94009945903</v>
      </c>
      <c r="AD52" s="22">
        <f>AD18*Constants!$H$31*Constants!$H$37</f>
        <v>662387.95703674795</v>
      </c>
      <c r="AE52" s="22">
        <f>AE18*Constants!$H$31*Constants!$H$37</f>
        <v>669567.71693791379</v>
      </c>
      <c r="AF52" s="22">
        <f>AF18*Constants!$H$31*Constants!$H$37</f>
        <v>676820.5449718514</v>
      </c>
      <c r="AG52" s="22">
        <f>AG18*Constants!$H$31*Constants!$H$37</f>
        <v>683800.77915618499</v>
      </c>
      <c r="AH52" s="22">
        <f>AH18*Constants!$H$31*Constants!$H$37</f>
        <v>689230.75256308215</v>
      </c>
      <c r="AI52" s="22">
        <f>AI18*Constants!$H$31*Constants!$H$37</f>
        <v>694712.32920383895</v>
      </c>
      <c r="AJ52" s="22">
        <f>AJ18*Constants!$H$31*Constants!$H$37</f>
        <v>700256.55105109897</v>
      </c>
      <c r="AK52" s="22">
        <f>AK18*Constants!$H$31*Constants!$H$37</f>
        <v>705880.86575138092</v>
      </c>
      <c r="AL52" s="22">
        <f>AL18*Constants!$H$31*Constants!$H$37</f>
        <v>711569.46146091109</v>
      </c>
      <c r="AM52" s="22">
        <f>AM18*Constants!$H$31*Constants!$H$37</f>
        <v>716510.63913250086</v>
      </c>
      <c r="AN52" s="22">
        <f>AN18*Constants!$H$31*Constants!$H$37</f>
        <v>721496.07433637371</v>
      </c>
      <c r="AO52" s="22">
        <f>AO18*Constants!$H$31*Constants!$H$37</f>
        <v>726537.00564014982</v>
      </c>
      <c r="AP52" s="22">
        <f>AP18*Constants!$H$31*Constants!$H$37</f>
        <v>731619.19035152823</v>
      </c>
      <c r="AQ52" s="22">
        <f>AQ18*Constants!$H$31*Constants!$H$37</f>
        <v>736753.48336225632</v>
      </c>
      <c r="AR52" s="22">
        <f>AR18*Constants!$H$31*Constants!$H$37</f>
        <v>741286.78751527169</v>
      </c>
      <c r="AS52" s="22">
        <f>AS18*Constants!$H$31*Constants!$H$37</f>
        <v>745869.22132600122</v>
      </c>
      <c r="AT52" s="22">
        <f>AT18*Constants!$H$31*Constants!$H$37</f>
        <v>750494.99920357496</v>
      </c>
      <c r="AU52" s="22">
        <f>AU18*Constants!$H$31*Constants!$H$37</f>
        <v>755024.72647545754</v>
      </c>
      <c r="AV52" s="22">
        <f>AV18*Constants!$H$31*Constants!$H$37</f>
        <v>753010.93321283336</v>
      </c>
      <c r="AW52" s="22">
        <f>AW18*Constants!$H$31*Constants!$H$37</f>
        <v>756929.78303288296</v>
      </c>
      <c r="AX52" s="22">
        <f>AX18*Constants!$H$31*Constants!$H$37</f>
        <v>760877.32336553303</v>
      </c>
      <c r="AY52" s="22">
        <f>AY18*Constants!$H$31*Constants!$H$37</f>
        <v>764853.76425851404</v>
      </c>
      <c r="AZ52" s="22">
        <f>AZ18*Constants!$H$31*Constants!$H$37</f>
        <v>768859.3172973498</v>
      </c>
      <c r="BA52" s="22">
        <f>BA18*Constants!$H$31*Constants!$H$37</f>
        <v>772894.19561661442</v>
      </c>
      <c r="BB52" s="22">
        <f>BB18*Constants!$H$31*Constants!$H$37</f>
        <v>776342.25956218061</v>
      </c>
      <c r="BC52" s="22">
        <f>BC18*Constants!$H$31*Constants!$H$37</f>
        <v>779811.73918988882</v>
      </c>
      <c r="BD52" s="22">
        <f>BD18*Constants!$H$31*Constants!$H$37</f>
        <v>783302.76751103147</v>
      </c>
      <c r="BE52" s="22">
        <f>BE18*Constants!$H$31*Constants!$H$37</f>
        <v>786815.47836302512</v>
      </c>
      <c r="BF52" s="22">
        <f>BF18*Constants!$H$31*Constants!$H$37</f>
        <v>790350.00641454011</v>
      </c>
      <c r="BG52" s="22">
        <f>BG18*Constants!$H$31*Constants!$H$37</f>
        <v>793273.12204473</v>
      </c>
      <c r="BH52" s="22">
        <f>BH18*Constants!$H$31*Constants!$H$37</f>
        <v>796211.15971245675</v>
      </c>
      <c r="BI52" s="22">
        <f>BI18*Constants!$H$31*Constants!$H$37</f>
        <v>799164.19559233438</v>
      </c>
      <c r="BJ52" s="22">
        <f>BJ18*Constants!$H$31*Constants!$H$37</f>
        <v>802132.3062478361</v>
      </c>
      <c r="BK52" s="22">
        <f>BK18*Constants!$H$31*Constants!$H$37</f>
        <v>805115.5686332793</v>
      </c>
    </row>
    <row r="53" spans="1:63" x14ac:dyDescent="0.25">
      <c r="A53" t="s">
        <v>861</v>
      </c>
      <c r="B53" t="s">
        <v>321</v>
      </c>
      <c r="C53" s="22">
        <f>C32*Constants!$H$32*Constants!$H$38</f>
        <v>63100</v>
      </c>
      <c r="D53" s="22">
        <f>D32*Constants!$H$32*Constants!$H$38</f>
        <v>65400</v>
      </c>
      <c r="E53" s="22">
        <f>E32*Constants!$H$32*Constants!$H$38</f>
        <v>56350</v>
      </c>
      <c r="F53" s="22">
        <f>F32*Constants!$H$32*Constants!$H$38</f>
        <v>64800</v>
      </c>
      <c r="G53" s="22">
        <f>G32*Constants!$H$32*Constants!$H$38</f>
        <v>59800</v>
      </c>
      <c r="H53" s="22">
        <f>H32*Constants!$H$32*Constants!$H$38</f>
        <v>59500</v>
      </c>
      <c r="I53" s="22">
        <f>I32*Constants!$H$32*Constants!$H$38</f>
        <v>63250</v>
      </c>
      <c r="J53" s="22">
        <f>J32*Constants!$H$32*Constants!$H$38</f>
        <v>63950</v>
      </c>
      <c r="K53" s="22">
        <f>K32*Constants!$H$32*Constants!$H$38</f>
        <v>62500</v>
      </c>
      <c r="L53" s="22">
        <f>L32*Constants!$H$32*Constants!$H$38</f>
        <v>59600</v>
      </c>
      <c r="M53" s="22">
        <f>M32*Constants!$H$32*Constants!$H$38</f>
        <v>61500</v>
      </c>
      <c r="N53" s="22">
        <f>N32*Constants!$H$32*Constants!$H$38</f>
        <v>53450</v>
      </c>
      <c r="O53" s="22">
        <f>O32*Constants!$H$32*Constants!$H$38</f>
        <v>58300</v>
      </c>
      <c r="P53" s="22">
        <f>P32*Constants!$H$32*Constants!$H$38</f>
        <v>67500</v>
      </c>
      <c r="Q53" s="22">
        <f>Q32*Constants!$H$32*Constants!$H$38</f>
        <v>78400</v>
      </c>
      <c r="R53" s="22">
        <f>R32*Constants!$H$32*Constants!$H$38</f>
        <v>79850</v>
      </c>
      <c r="S53" s="22">
        <f>S32*Constants!$H$32*Constants!$H$38</f>
        <v>85700</v>
      </c>
      <c r="T53" s="22">
        <f>T32*Constants!$H$32*Constants!$H$38</f>
        <v>93550</v>
      </c>
      <c r="U53" s="22">
        <f>U32*Constants!$H$32*Constants!$H$38</f>
        <v>90850</v>
      </c>
      <c r="V53" s="22">
        <f>V32*Constants!$H$32*Constants!$H$38</f>
        <v>90350</v>
      </c>
      <c r="W53" s="22">
        <f>W32*Constants!$H$32*Constants!$H$38</f>
        <v>95950</v>
      </c>
      <c r="X53" s="22">
        <f>X32*Constants!$H$32*Constants!$H$38</f>
        <v>102550</v>
      </c>
      <c r="Y53" s="22">
        <f>Y32*Constants!$H$32*Constants!$H$38</f>
        <v>105929.2631166717</v>
      </c>
      <c r="Z53" s="22">
        <f>Z32*Constants!$H$32*Constants!$H$38</f>
        <v>108649.46919957694</v>
      </c>
      <c r="AA53" s="22">
        <f>AA32*Constants!$H$32*Constants!$H$38</f>
        <v>110514.79013014006</v>
      </c>
      <c r="AB53" s="22">
        <f>AB32*Constants!$H$32*Constants!$H$38</f>
        <v>111171.82635298665</v>
      </c>
      <c r="AC53" s="22">
        <f>AC32*Constants!$H$32*Constants!$H$38</f>
        <v>111802.18170051227</v>
      </c>
      <c r="AD53" s="22">
        <f>AD32*Constants!$H$32*Constants!$H$38</f>
        <v>113011.72425028922</v>
      </c>
      <c r="AE53" s="22">
        <f>AE32*Constants!$H$32*Constants!$H$38</f>
        <v>114396.9919335513</v>
      </c>
      <c r="AF53" s="22">
        <f>AF32*Constants!$H$32*Constants!$H$38</f>
        <v>114483.77167612858</v>
      </c>
      <c r="AG53" s="22">
        <f>AG32*Constants!$H$32*Constants!$H$38</f>
        <v>102606.58392116461</v>
      </c>
      <c r="AH53" s="22">
        <f>AH32*Constants!$H$32*Constants!$H$38</f>
        <v>105665.83110613041</v>
      </c>
      <c r="AI53" s="22">
        <f>AI32*Constants!$H$32*Constants!$H$38</f>
        <v>108425.22160061506</v>
      </c>
      <c r="AJ53" s="22">
        <f>AJ32*Constants!$H$32*Constants!$H$38</f>
        <v>111201.9414049147</v>
      </c>
      <c r="AK53" s="22">
        <f>AK32*Constants!$H$32*Constants!$H$38</f>
        <v>114509.514174906</v>
      </c>
      <c r="AL53" s="22">
        <f>AL32*Constants!$H$32*Constants!$H$38</f>
        <v>117840.49157050446</v>
      </c>
      <c r="AM53" s="22">
        <f>AM32*Constants!$H$32*Constants!$H$38</f>
        <v>121351.28644381952</v>
      </c>
      <c r="AN53" s="22">
        <f>AN32*Constants!$H$32*Constants!$H$38</f>
        <v>124761.75366581138</v>
      </c>
      <c r="AO53" s="22">
        <f>AO32*Constants!$H$32*Constants!$H$38</f>
        <v>128402.4382727412</v>
      </c>
      <c r="AP53" s="22">
        <f>AP32*Constants!$H$32*Constants!$H$38</f>
        <v>131821.73501453892</v>
      </c>
      <c r="AQ53" s="22">
        <f>AQ32*Constants!$H$32*Constants!$H$38</f>
        <v>135338.12986348858</v>
      </c>
      <c r="AR53" s="22">
        <f>AR32*Constants!$H$32*Constants!$H$38</f>
        <v>139625.39374598605</v>
      </c>
      <c r="AS53" s="22">
        <f>AS32*Constants!$H$32*Constants!$H$38</f>
        <v>144269.68248719658</v>
      </c>
      <c r="AT53" s="22">
        <f>AT32*Constants!$H$32*Constants!$H$38</f>
        <v>149083.61804469262</v>
      </c>
      <c r="AU53" s="22">
        <f>AU32*Constants!$H$32*Constants!$H$38</f>
        <v>149779.33348726714</v>
      </c>
      <c r="AV53" s="22">
        <f>AV32*Constants!$H$32*Constants!$H$38</f>
        <v>-51523.230881545249</v>
      </c>
      <c r="AW53" s="22">
        <f>AW32*Constants!$H$32*Constants!$H$38</f>
        <v>-51947.413517426408</v>
      </c>
      <c r="AX53" s="22">
        <f>AX32*Constants!$H$32*Constants!$H$38</f>
        <v>-52374.701660744278</v>
      </c>
      <c r="AY53" s="22">
        <f>AY32*Constants!$H$32*Constants!$H$38</f>
        <v>-52805.118047404627</v>
      </c>
      <c r="AZ53" s="22">
        <f>AZ32*Constants!$H$32*Constants!$H$38</f>
        <v>-53238.685579766345</v>
      </c>
      <c r="BA53" s="22">
        <f>BA32*Constants!$H$32*Constants!$H$38</f>
        <v>-53675.427327860096</v>
      </c>
      <c r="BB53" s="22">
        <f>BB32*Constants!$H$32*Constants!$H$38</f>
        <v>-54048.651340077653</v>
      </c>
      <c r="BC53" s="22">
        <f>BC32*Constants!$H$32*Constants!$H$38</f>
        <v>-54424.193420329801</v>
      </c>
      <c r="BD53" s="22">
        <f>BD32*Constants!$H$32*Constants!$H$38</f>
        <v>-54802.067965973743</v>
      </c>
      <c r="BE53" s="22">
        <f>BE32*Constants!$H$32*Constants!$H$38</f>
        <v>-55182.289463787616</v>
      </c>
      <c r="BF53" s="22">
        <f>BF32*Constants!$H$32*Constants!$H$38</f>
        <v>-55564.87249052593</v>
      </c>
      <c r="BG53" s="22">
        <f>BG32*Constants!$H$32*Constants!$H$38</f>
        <v>-55881.275248971921</v>
      </c>
      <c r="BH53" s="22">
        <f>BH32*Constants!$H$32*Constants!$H$38</f>
        <v>-56199.29319286922</v>
      </c>
      <c r="BI53" s="22">
        <f>BI32*Constants!$H$32*Constants!$H$38</f>
        <v>-56518.934567481083</v>
      </c>
      <c r="BJ53" s="22">
        <f>BJ32*Constants!$H$32*Constants!$H$38</f>
        <v>-56840.207660161563</v>
      </c>
      <c r="BK53" s="22">
        <f>BK32*Constants!$H$32*Constants!$H$38</f>
        <v>-57163.120800570265</v>
      </c>
    </row>
    <row r="54" spans="1:63" x14ac:dyDescent="0.25">
      <c r="A54" t="s">
        <v>862</v>
      </c>
      <c r="B54" t="s">
        <v>321</v>
      </c>
      <c r="C54" s="22">
        <f>C37*Constants!$H$33*Constants!$H$39</f>
        <v>268800</v>
      </c>
      <c r="D54" s="22">
        <f>D37*Constants!$H$33*Constants!$H$39</f>
        <v>278400</v>
      </c>
      <c r="E54" s="22">
        <f>E37*Constants!$H$33*Constants!$H$39</f>
        <v>285600</v>
      </c>
      <c r="F54" s="22">
        <f>F37*Constants!$H$33*Constants!$H$39</f>
        <v>282000</v>
      </c>
      <c r="G54" s="22">
        <f>G37*Constants!$H$33*Constants!$H$39</f>
        <v>301200</v>
      </c>
      <c r="H54" s="22">
        <f>H37*Constants!$H$33*Constants!$H$39</f>
        <v>348000</v>
      </c>
      <c r="I54" s="22">
        <f>I37*Constants!$H$33*Constants!$H$39</f>
        <v>338400</v>
      </c>
      <c r="J54" s="22">
        <f>J37*Constants!$H$33*Constants!$H$39</f>
        <v>376800</v>
      </c>
      <c r="K54" s="22">
        <f>K37*Constants!$H$33*Constants!$H$39</f>
        <v>387600</v>
      </c>
      <c r="L54" s="22">
        <f>L37*Constants!$H$33*Constants!$H$39</f>
        <v>381600</v>
      </c>
      <c r="M54" s="22">
        <f>M37*Constants!$H$33*Constants!$H$39</f>
        <v>394800</v>
      </c>
      <c r="N54" s="22">
        <f>N37*Constants!$H$33*Constants!$H$39</f>
        <v>396000</v>
      </c>
      <c r="O54" s="22">
        <f>O37*Constants!$H$33*Constants!$H$39</f>
        <v>408000</v>
      </c>
      <c r="P54" s="22">
        <f>P37*Constants!$H$33*Constants!$H$39</f>
        <v>393600</v>
      </c>
      <c r="Q54" s="22">
        <f>Q37*Constants!$H$33*Constants!$H$39</f>
        <v>417600</v>
      </c>
      <c r="R54" s="22">
        <f>R37*Constants!$H$33*Constants!$H$39</f>
        <v>450000</v>
      </c>
      <c r="S54" s="22">
        <f>S37*Constants!$H$33*Constants!$H$39</f>
        <v>494400</v>
      </c>
      <c r="T54" s="22">
        <f>T37*Constants!$H$33*Constants!$H$39</f>
        <v>525600</v>
      </c>
      <c r="U54" s="22">
        <f>U37*Constants!$H$33*Constants!$H$39</f>
        <v>511200</v>
      </c>
      <c r="V54" s="22">
        <f>V37*Constants!$H$33*Constants!$H$39</f>
        <v>484800</v>
      </c>
      <c r="W54" s="22">
        <f>W37*Constants!$H$33*Constants!$H$39</f>
        <v>495600</v>
      </c>
      <c r="X54" s="22">
        <f>X37*Constants!$H$33*Constants!$H$39</f>
        <v>542400</v>
      </c>
      <c r="Y54" s="22">
        <f>Y37*Constants!$H$33*Constants!$H$39</f>
        <v>541724.43927598489</v>
      </c>
      <c r="Z54" s="22">
        <f>Z37*Constants!$H$33*Constants!$H$39</f>
        <v>553431.63777071878</v>
      </c>
      <c r="AA54" s="22">
        <f>AA37*Constants!$H$33*Constants!$H$39</f>
        <v>562860.76574153802</v>
      </c>
      <c r="AB54" s="22">
        <f>AB37*Constants!$H$33*Constants!$H$39</f>
        <v>569014.43298842397</v>
      </c>
      <c r="AC54" s="22">
        <f>AC37*Constants!$H$33*Constants!$H$39</f>
        <v>575252.64673729346</v>
      </c>
      <c r="AD54" s="22">
        <f>AD37*Constants!$H$33*Constants!$H$39</f>
        <v>583301.48640162463</v>
      </c>
      <c r="AE54" s="22">
        <f>AE37*Constants!$H$33*Constants!$H$39</f>
        <v>591910.75635733979</v>
      </c>
      <c r="AF54" s="22">
        <f>AF37*Constants!$H$33*Constants!$H$39</f>
        <v>596909.90213603713</v>
      </c>
      <c r="AG54" s="22">
        <f>AG37*Constants!$H$33*Constants!$H$39</f>
        <v>568026.1513043507</v>
      </c>
      <c r="AH54" s="22">
        <f>AH37*Constants!$H$33*Constants!$H$39</f>
        <v>580204.1664331432</v>
      </c>
      <c r="AI54" s="22">
        <f>AI37*Constants!$H$33*Constants!$H$39</f>
        <v>591571.27179812116</v>
      </c>
      <c r="AJ54" s="22">
        <f>AJ37*Constants!$H$33*Constants!$H$39</f>
        <v>603028.2640749421</v>
      </c>
      <c r="AK54" s="22">
        <f>AK37*Constants!$H$33*Constants!$H$39</f>
        <v>616033.25029593112</v>
      </c>
      <c r="AL54" s="22">
        <f>AL37*Constants!$H$33*Constants!$H$39</f>
        <v>629146.31082498759</v>
      </c>
      <c r="AM54" s="22">
        <f>AM37*Constants!$H$33*Constants!$H$39</f>
        <v>642275.96421104681</v>
      </c>
      <c r="AN54" s="22">
        <f>AN37*Constants!$H$33*Constants!$H$39</f>
        <v>655151.99389796297</v>
      </c>
      <c r="AO54" s="22">
        <f>AO37*Constants!$H$33*Constants!$H$39</f>
        <v>668712.95974195248</v>
      </c>
      <c r="AP54" s="22">
        <f>AP37*Constants!$H$33*Constants!$H$39</f>
        <v>681677.28869301698</v>
      </c>
      <c r="AQ54" s="22">
        <f>AQ37*Constants!$H$33*Constants!$H$39</f>
        <v>694949.31698938273</v>
      </c>
      <c r="AR54" s="22">
        <f>AR37*Constants!$H$33*Constants!$H$39</f>
        <v>709999.0076028622</v>
      </c>
      <c r="AS54" s="22">
        <f>AS37*Constants!$H$33*Constants!$H$39</f>
        <v>726086.69543126796</v>
      </c>
      <c r="AT54" s="22">
        <f>AT37*Constants!$H$33*Constants!$H$39</f>
        <v>742680.71712244081</v>
      </c>
      <c r="AU54" s="22">
        <f>AU37*Constants!$H$33*Constants!$H$39</f>
        <v>747610.16114041256</v>
      </c>
      <c r="AV54" s="22">
        <f>AV37*Constants!$H$33*Constants!$H$39</f>
        <v>179192.09961397923</v>
      </c>
      <c r="AW54" s="22">
        <f>AW37*Constants!$H$33*Constants!$H$39</f>
        <v>180566.1640424685</v>
      </c>
      <c r="AX54" s="22">
        <f>AX37*Constants!$H$33*Constants!$H$39</f>
        <v>181950.28821159841</v>
      </c>
      <c r="AY54" s="22">
        <f>AY37*Constants!$H$33*Constants!$H$39</f>
        <v>183344.54577030378</v>
      </c>
      <c r="AZ54" s="22">
        <f>AZ37*Constants!$H$33*Constants!$H$39</f>
        <v>184749.01090671509</v>
      </c>
      <c r="BA54" s="22">
        <f>BA37*Constants!$H$33*Constants!$H$39</f>
        <v>186163.75835210559</v>
      </c>
      <c r="BB54" s="22">
        <f>BB37*Constants!$H$33*Constants!$H$39</f>
        <v>187372.75135574632</v>
      </c>
      <c r="BC54" s="22">
        <f>BC37*Constants!$H$33*Constants!$H$39</f>
        <v>188589.25332972142</v>
      </c>
      <c r="BD54" s="22">
        <f>BD37*Constants!$H$33*Constants!$H$39</f>
        <v>189813.31091171625</v>
      </c>
      <c r="BE54" s="22">
        <f>BE37*Constants!$H$33*Constants!$H$39</f>
        <v>191044.97102907981</v>
      </c>
      <c r="BF54" s="22">
        <f>BF37*Constants!$H$33*Constants!$H$39</f>
        <v>192284.28090062339</v>
      </c>
      <c r="BG54" s="22">
        <f>BG37*Constants!$H$33*Constants!$H$39</f>
        <v>193309.21152880293</v>
      </c>
      <c r="BH54" s="22">
        <f>BH37*Constants!$H$33*Constants!$H$39</f>
        <v>194339.37426383063</v>
      </c>
      <c r="BI54" s="22">
        <f>BI37*Constants!$H$33*Constants!$H$39</f>
        <v>195374.7958147747</v>
      </c>
      <c r="BJ54" s="22">
        <f>BJ37*Constants!$H$33*Constants!$H$39</f>
        <v>196415.50302704889</v>
      </c>
      <c r="BK54" s="22">
        <f>BK37*Constants!$H$33*Constants!$H$39</f>
        <v>197461.52288310844</v>
      </c>
    </row>
    <row r="55" spans="1:63" x14ac:dyDescent="0.25">
      <c r="A55" t="s">
        <v>863</v>
      </c>
      <c r="B55" t="s">
        <v>321</v>
      </c>
      <c r="C55" s="22">
        <f>C42*Constants!$H$34*Constants!$H$40</f>
        <v>633360</v>
      </c>
      <c r="D55" s="22">
        <f>D42*Constants!$H$34*Constants!$H$40</f>
        <v>616720</v>
      </c>
      <c r="E55" s="22">
        <f>E42*Constants!$H$34*Constants!$H$40</f>
        <v>586560</v>
      </c>
      <c r="F55" s="22">
        <f>F42*Constants!$H$34*Constants!$H$40</f>
        <v>600080</v>
      </c>
      <c r="G55" s="22">
        <f>G42*Constants!$H$34*Constants!$H$40</f>
        <v>631280</v>
      </c>
      <c r="H55" s="22">
        <f>H42*Constants!$H$34*Constants!$H$40</f>
        <v>672880</v>
      </c>
      <c r="I55" s="22">
        <f>I42*Constants!$H$34*Constants!$H$40</f>
        <v>726960</v>
      </c>
      <c r="J55" s="22">
        <f>J42*Constants!$H$34*Constants!$H$40</f>
        <v>783120</v>
      </c>
      <c r="K55" s="22">
        <f>K42*Constants!$H$34*Constants!$H$40</f>
        <v>808080</v>
      </c>
      <c r="L55" s="22">
        <f>L42*Constants!$H$34*Constants!$H$40</f>
        <v>835120</v>
      </c>
      <c r="M55" s="22">
        <f>M42*Constants!$H$34*Constants!$H$40</f>
        <v>884000</v>
      </c>
      <c r="N55" s="22">
        <f>N42*Constants!$H$34*Constants!$H$40</f>
        <v>903760</v>
      </c>
      <c r="O55" s="22">
        <f>O42*Constants!$H$34*Constants!$H$40</f>
        <v>931840</v>
      </c>
      <c r="P55" s="22">
        <f>P42*Constants!$H$34*Constants!$H$40</f>
        <v>962000</v>
      </c>
      <c r="Q55" s="22">
        <f>Q42*Constants!$H$34*Constants!$H$40</f>
        <v>1084720</v>
      </c>
      <c r="R55" s="22">
        <f>R42*Constants!$H$34*Constants!$H$40</f>
        <v>1323920</v>
      </c>
      <c r="S55" s="22">
        <f>S42*Constants!$H$34*Constants!$H$40</f>
        <v>1484080</v>
      </c>
      <c r="T55" s="22">
        <f>T42*Constants!$H$34*Constants!$H$40</f>
        <v>1558960</v>
      </c>
      <c r="U55" s="22">
        <f>U42*Constants!$H$34*Constants!$H$40</f>
        <v>1647360</v>
      </c>
      <c r="V55" s="22">
        <f>V42*Constants!$H$34*Constants!$H$40</f>
        <v>1709760</v>
      </c>
      <c r="W55" s="22">
        <f>W42*Constants!$H$34*Constants!$H$40</f>
        <v>1748240</v>
      </c>
      <c r="X55" s="22">
        <f>X42*Constants!$H$34*Constants!$H$40</f>
        <v>1789840</v>
      </c>
      <c r="Y55" s="22">
        <f>Y42*Constants!$H$34*Constants!$H$40</f>
        <v>1538220.4443911163</v>
      </c>
      <c r="Z55" s="22">
        <f>Z42*Constants!$H$34*Constants!$H$40</f>
        <v>1584023.8167548776</v>
      </c>
      <c r="AA55" s="22">
        <f>AA42*Constants!$H$34*Constants!$H$40</f>
        <v>1611719.9427484842</v>
      </c>
      <c r="AB55" s="22">
        <f>AB42*Constants!$H$34*Constants!$H$40</f>
        <v>1613970.9794383417</v>
      </c>
      <c r="AC55" s="22">
        <f>AC42*Constants!$H$34*Constants!$H$40</f>
        <v>1615244.498478336</v>
      </c>
      <c r="AD55" s="22">
        <f>AD42*Constants!$H$34*Constants!$H$40</f>
        <v>1628077.6941101006</v>
      </c>
      <c r="AE55" s="22">
        <f>AE42*Constants!$H$34*Constants!$H$40</f>
        <v>1644388.7139749897</v>
      </c>
      <c r="AF55" s="22">
        <f>AF42*Constants!$H$34*Constants!$H$40</f>
        <v>1633593.8934840101</v>
      </c>
      <c r="AG55" s="22">
        <f>AG42*Constants!$H$34*Constants!$H$40</f>
        <v>1374694.9920259614</v>
      </c>
      <c r="AH55" s="22">
        <f>AH42*Constants!$H$34*Constants!$H$40</f>
        <v>1428825.8995821413</v>
      </c>
      <c r="AI55" s="22">
        <f>AI42*Constants!$H$34*Constants!$H$40</f>
        <v>1476636.9965691001</v>
      </c>
      <c r="AJ55" s="22">
        <f>AJ42*Constants!$H$34*Constants!$H$40</f>
        <v>1524699.335724459</v>
      </c>
      <c r="AK55" s="22">
        <f>AK42*Constants!$H$34*Constants!$H$40</f>
        <v>1583652.1871750676</v>
      </c>
      <c r="AL55" s="22">
        <f>AL42*Constants!$H$34*Constants!$H$40</f>
        <v>1642979.6674327289</v>
      </c>
      <c r="AM55" s="22">
        <f>AM42*Constants!$H$34*Constants!$H$40</f>
        <v>1707341.4825795961</v>
      </c>
      <c r="AN55" s="22">
        <f>AN42*Constants!$H$34*Constants!$H$40</f>
        <v>1769541.8980777944</v>
      </c>
      <c r="AO55" s="22">
        <f>AO42*Constants!$H$34*Constants!$H$40</f>
        <v>1836429.1883483096</v>
      </c>
      <c r="AP55" s="22">
        <f>AP42*Constants!$H$34*Constants!$H$40</f>
        <v>1898645.0065602334</v>
      </c>
      <c r="AQ55" s="22">
        <f>AQ42*Constants!$H$34*Constants!$H$40</f>
        <v>1962787.7401612746</v>
      </c>
      <c r="AR55" s="22">
        <f>AR42*Constants!$H$34*Constants!$H$40</f>
        <v>2043990.8547575027</v>
      </c>
      <c r="AS55" s="22">
        <f>AS42*Constants!$H$34*Constants!$H$40</f>
        <v>2132526.6047022026</v>
      </c>
      <c r="AT55" s="22">
        <f>AT42*Constants!$H$34*Constants!$H$40</f>
        <v>2224511.8510871865</v>
      </c>
      <c r="AU55" s="22">
        <f>AU42*Constants!$H$34*Constants!$H$40</f>
        <v>2231098.9124848405</v>
      </c>
      <c r="AV55" s="22">
        <f>AV42*Constants!$H$34*Constants!$H$40</f>
        <v>-1947903.817870585</v>
      </c>
      <c r="AW55" s="22">
        <f>AW42*Constants!$H$34*Constants!$H$40</f>
        <v>-1963524.0173329646</v>
      </c>
      <c r="AX55" s="22">
        <f>AX42*Constants!$H$34*Constants!$H$40</f>
        <v>-1979258.5747192437</v>
      </c>
      <c r="AY55" s="22">
        <f>AY42*Constants!$H$34*Constants!$H$40</f>
        <v>-1995108.3272616712</v>
      </c>
      <c r="AZ55" s="22">
        <f>AZ42*Constants!$H$34*Constants!$H$40</f>
        <v>-2011074.1183220092</v>
      </c>
      <c r="BA55" s="22">
        <f>BA42*Constants!$H$34*Constants!$H$40</f>
        <v>-2027156.7974363992</v>
      </c>
      <c r="BB55" s="22">
        <f>BB42*Constants!$H$34*Constants!$H$40</f>
        <v>-2040900.4847584355</v>
      </c>
      <c r="BC55" s="22">
        <f>BC42*Constants!$H$34*Constants!$H$40</f>
        <v>-2054729.5331537575</v>
      </c>
      <c r="BD55" s="22">
        <f>BD42*Constants!$H$34*Constants!$H$40</f>
        <v>-2068644.4727939737</v>
      </c>
      <c r="BE55" s="22">
        <f>BE42*Constants!$H$34*Constants!$H$40</f>
        <v>-2082645.8371435539</v>
      </c>
      <c r="BF55" s="22">
        <f>BF42*Constants!$H$34*Constants!$H$40</f>
        <v>-2096734.1629802764</v>
      </c>
      <c r="BG55" s="22">
        <f>BG42*Constants!$H$34*Constants!$H$40</f>
        <v>-2108385.4513153275</v>
      </c>
      <c r="BH55" s="22">
        <f>BH42*Constants!$H$34*Constants!$H$40</f>
        <v>-2120096.2176128984</v>
      </c>
      <c r="BI55" s="22">
        <f>BI42*Constants!$H$34*Constants!$H$40</f>
        <v>-2131866.7654984682</v>
      </c>
      <c r="BJ55" s="22">
        <f>BJ42*Constants!$H$34*Constants!$H$40</f>
        <v>-2143697.40014748</v>
      </c>
      <c r="BK55" s="22">
        <f>BK42*Constants!$H$34*Constants!$H$40</f>
        <v>-2155588.428293244</v>
      </c>
    </row>
    <row r="56" spans="1:63" x14ac:dyDescent="0.25">
      <c r="A56" t="s">
        <v>873</v>
      </c>
      <c r="B56" t="s">
        <v>321</v>
      </c>
      <c r="C56" s="22">
        <f>SUM(C50:C55)</f>
        <v>5869585</v>
      </c>
      <c r="D56" s="22">
        <f t="shared" ref="D56:BK56" si="8">SUM(D50:D55)</f>
        <v>6203205</v>
      </c>
      <c r="E56" s="22">
        <f t="shared" si="8"/>
        <v>6211270</v>
      </c>
      <c r="F56" s="22">
        <f t="shared" si="8"/>
        <v>6065070</v>
      </c>
      <c r="G56" s="22">
        <f t="shared" si="8"/>
        <v>5671705</v>
      </c>
      <c r="H56" s="22">
        <f t="shared" si="8"/>
        <v>5466535</v>
      </c>
      <c r="I56" s="22">
        <f t="shared" si="8"/>
        <v>5694815</v>
      </c>
      <c r="J56" s="22">
        <f t="shared" si="8"/>
        <v>5746420</v>
      </c>
      <c r="K56" s="22">
        <f t="shared" si="8"/>
        <v>5792900</v>
      </c>
      <c r="L56" s="22">
        <f t="shared" si="8"/>
        <v>5938930</v>
      </c>
      <c r="M56" s="22">
        <f t="shared" si="8"/>
        <v>6294965</v>
      </c>
      <c r="N56" s="22">
        <f t="shared" si="8"/>
        <v>5899755</v>
      </c>
      <c r="O56" s="22">
        <f t="shared" si="8"/>
        <v>6221665</v>
      </c>
      <c r="P56" s="22">
        <f t="shared" si="8"/>
        <v>6329485</v>
      </c>
      <c r="Q56" s="22">
        <f t="shared" si="8"/>
        <v>6730420</v>
      </c>
      <c r="R56" s="22">
        <f t="shared" si="8"/>
        <v>7351635</v>
      </c>
      <c r="S56" s="22">
        <f t="shared" si="8"/>
        <v>7957970</v>
      </c>
      <c r="T56" s="22">
        <f t="shared" si="8"/>
        <v>8416295</v>
      </c>
      <c r="U56" s="22">
        <f t="shared" si="8"/>
        <v>8195490</v>
      </c>
      <c r="V56" s="22">
        <f t="shared" si="8"/>
        <v>8304590</v>
      </c>
      <c r="W56" s="22">
        <f t="shared" si="8"/>
        <v>8821035</v>
      </c>
      <c r="X56" s="22">
        <f t="shared" si="8"/>
        <v>8803245</v>
      </c>
      <c r="Y56" s="22">
        <f t="shared" si="8"/>
        <v>8951197.0134039819</v>
      </c>
      <c r="Z56" s="22">
        <f t="shared" si="8"/>
        <v>9156329.1671159938</v>
      </c>
      <c r="AA56" s="22">
        <f t="shared" si="8"/>
        <v>9307394.82073256</v>
      </c>
      <c r="AB56" s="22">
        <f t="shared" si="8"/>
        <v>9381630.3353882637</v>
      </c>
      <c r="AC56" s="22">
        <f t="shared" si="8"/>
        <v>9455333.780849684</v>
      </c>
      <c r="AD56" s="22">
        <f t="shared" si="8"/>
        <v>9567651.0417906512</v>
      </c>
      <c r="AE56" s="22">
        <f t="shared" si="8"/>
        <v>9691766.0163597334</v>
      </c>
      <c r="AF56" s="22">
        <f t="shared" si="8"/>
        <v>9732646.0950364713</v>
      </c>
      <c r="AG56" s="22">
        <f t="shared" si="8"/>
        <v>9002016.5291575715</v>
      </c>
      <c r="AH56" s="22">
        <f t="shared" si="8"/>
        <v>9225379.530975705</v>
      </c>
      <c r="AI56" s="22">
        <f t="shared" si="8"/>
        <v>9429690.3005123064</v>
      </c>
      <c r="AJ56" s="22">
        <f t="shared" si="8"/>
        <v>9635421.4915927723</v>
      </c>
      <c r="AK56" s="22">
        <f t="shared" si="8"/>
        <v>9875716.2108614612</v>
      </c>
      <c r="AL56" s="22">
        <f t="shared" si="8"/>
        <v>10117830.411642762</v>
      </c>
      <c r="AM56" s="22">
        <f t="shared" si="8"/>
        <v>10367883.328340033</v>
      </c>
      <c r="AN56" s="22">
        <f t="shared" si="8"/>
        <v>10611692.994868964</v>
      </c>
      <c r="AO56" s="22">
        <f t="shared" si="8"/>
        <v>10870593.012727441</v>
      </c>
      <c r="AP56" s="22">
        <f t="shared" si="8"/>
        <v>11115441.88275294</v>
      </c>
      <c r="AQ56" s="22">
        <f t="shared" si="8"/>
        <v>11366795.03439527</v>
      </c>
      <c r="AR56" s="22">
        <f t="shared" si="8"/>
        <v>11664848.533121608</v>
      </c>
      <c r="AS56" s="22">
        <f t="shared" si="8"/>
        <v>11986124.663096141</v>
      </c>
      <c r="AT56" s="22">
        <f t="shared" si="8"/>
        <v>12318532.766091358</v>
      </c>
      <c r="AU56" s="22">
        <f t="shared" si="8"/>
        <v>12385362.104357827</v>
      </c>
      <c r="AV56" s="22">
        <f t="shared" si="8"/>
        <v>-583336.14722725749</v>
      </c>
      <c r="AW56" s="22">
        <f t="shared" si="8"/>
        <v>-591573.14817917557</v>
      </c>
      <c r="AX56" s="22">
        <f t="shared" si="8"/>
        <v>-599870.45350366458</v>
      </c>
      <c r="AY56" s="22">
        <f t="shared" si="8"/>
        <v>-608228.50469846954</v>
      </c>
      <c r="AZ56" s="22">
        <f t="shared" si="8"/>
        <v>-616647.74649361242</v>
      </c>
      <c r="BA56" s="22">
        <f t="shared" si="8"/>
        <v>-625128.6268750492</v>
      </c>
      <c r="BB56" s="22">
        <f t="shared" si="8"/>
        <v>-632376.0865395125</v>
      </c>
      <c r="BC56" s="22">
        <f t="shared" si="8"/>
        <v>-639668.55966514256</v>
      </c>
      <c r="BD56" s="22">
        <f t="shared" si="8"/>
        <v>-647006.32582737319</v>
      </c>
      <c r="BE56" s="22">
        <f t="shared" si="8"/>
        <v>-654389.66633806238</v>
      </c>
      <c r="BF56" s="22">
        <f t="shared" si="8"/>
        <v>-661818.86425627768</v>
      </c>
      <c r="BG56" s="22">
        <f t="shared" si="8"/>
        <v>-667962.93900628504</v>
      </c>
      <c r="BH56" s="22">
        <f t="shared" si="8"/>
        <v>-674138.37827472109</v>
      </c>
      <c r="BI56" s="22">
        <f t="shared" si="8"/>
        <v>-680345.34217243176</v>
      </c>
      <c r="BJ56" s="22">
        <f t="shared" si="8"/>
        <v>-686583.99162760726</v>
      </c>
      <c r="BK56" s="22">
        <f t="shared" si="8"/>
        <v>-692854.48838994582</v>
      </c>
    </row>
    <row r="57" spans="1:63" x14ac:dyDescent="0.25">
      <c r="A57" t="s">
        <v>871</v>
      </c>
      <c r="B57" t="s">
        <v>321</v>
      </c>
      <c r="C57" s="22">
        <v>4072000</v>
      </c>
      <c r="D57" s="22">
        <v>4235000</v>
      </c>
      <c r="E57" s="22">
        <v>4455000</v>
      </c>
      <c r="F57" s="22">
        <v>4085000</v>
      </c>
      <c r="G57" s="22">
        <v>3855000</v>
      </c>
      <c r="H57" s="22">
        <v>3877000</v>
      </c>
      <c r="I57" s="22">
        <v>4035000</v>
      </c>
      <c r="J57" s="22">
        <v>3826000</v>
      </c>
      <c r="K57" s="22">
        <v>3001000</v>
      </c>
      <c r="L57" s="22">
        <v>2960000</v>
      </c>
      <c r="M57" s="22">
        <v>2936000</v>
      </c>
      <c r="N57" s="22">
        <v>3263000</v>
      </c>
      <c r="O57" s="22">
        <v>3274000</v>
      </c>
      <c r="P57" s="22">
        <v>3275000</v>
      </c>
      <c r="Q57" s="22">
        <v>3531000</v>
      </c>
      <c r="R57" s="22">
        <v>3543000</v>
      </c>
      <c r="S57" s="22">
        <v>3637000</v>
      </c>
      <c r="T57" s="22">
        <v>3844000</v>
      </c>
      <c r="U57" s="22">
        <v>4220000</v>
      </c>
      <c r="V57" s="22">
        <v>4089000</v>
      </c>
      <c r="W57" s="22">
        <v>4187000</v>
      </c>
      <c r="X57" s="22">
        <v>4344000</v>
      </c>
      <c r="Y57" s="22">
        <v>4429000</v>
      </c>
      <c r="Z57" s="22">
        <v>4436000</v>
      </c>
      <c r="AA57" s="22">
        <v>4767000</v>
      </c>
      <c r="AB57" s="22">
        <v>5087000</v>
      </c>
      <c r="AC57" s="22">
        <v>5551000</v>
      </c>
      <c r="AD57" s="22">
        <v>5004000</v>
      </c>
      <c r="AE57" s="22"/>
      <c r="AF57" s="22"/>
      <c r="AG57" s="22"/>
      <c r="AH57" s="22"/>
      <c r="AI57" s="22"/>
      <c r="AJ57" s="22"/>
      <c r="AK57" s="22"/>
      <c r="AL57" s="22"/>
      <c r="AM57" s="22"/>
      <c r="AN57" s="22"/>
      <c r="AO57" s="22"/>
      <c r="AP57" s="22"/>
      <c r="AQ57" s="22"/>
      <c r="AR57" s="22"/>
      <c r="AS57" s="22"/>
      <c r="AT57" s="22"/>
      <c r="AU57" s="22"/>
      <c r="AV57" s="22"/>
      <c r="AW57" s="22"/>
      <c r="AX57" s="22"/>
      <c r="AY57" s="22"/>
      <c r="AZ57" s="22"/>
      <c r="BA57" s="22"/>
      <c r="BB57" s="22"/>
      <c r="BC57" s="22"/>
      <c r="BD57" s="22"/>
      <c r="BE57" s="22"/>
      <c r="BF57" s="22"/>
      <c r="BG57" s="22"/>
      <c r="BH57" s="22"/>
      <c r="BI57" s="22"/>
      <c r="BJ57" s="22"/>
      <c r="BK57" s="22"/>
    </row>
    <row r="58" spans="1:63" x14ac:dyDescent="0.25">
      <c r="A58" t="s">
        <v>872</v>
      </c>
      <c r="B58" t="s">
        <v>321</v>
      </c>
      <c r="C58" s="22">
        <f>((Data!$AJ$37*'Net zero Intermediate calcs'!C56)+Data!$AK$37)</f>
        <v>5251932.2753573991</v>
      </c>
      <c r="D58" s="22">
        <f>((Data!$AJ$37*'Net zero Intermediate calcs'!D56)+Data!$AK$37)</f>
        <v>5456645.3617997784</v>
      </c>
      <c r="E58" s="22">
        <f>((Data!$AJ$37*'Net zero Intermediate calcs'!E56)+Data!$AK$37)</f>
        <v>5461594.1389778787</v>
      </c>
      <c r="F58" s="22">
        <f>((Data!$AJ$37*'Net zero Intermediate calcs'!F56)+Data!$AK$37)</f>
        <v>5371884.1298720818</v>
      </c>
      <c r="G58" s="22">
        <f>((Data!$AJ$37*'Net zero Intermediate calcs'!G56)+Data!$AK$37)</f>
        <v>5130510.8211723436</v>
      </c>
      <c r="H58" s="22">
        <f>((Data!$AJ$37*'Net zero Intermediate calcs'!H56)+Data!$AK$37)</f>
        <v>5004616.1387630664</v>
      </c>
      <c r="I58" s="22">
        <f>((Data!$AJ$37*'Net zero Intermediate calcs'!I56)+Data!$AK$37)</f>
        <v>5144691.384171214</v>
      </c>
      <c r="J58" s="22">
        <f>((Data!$AJ$37*'Net zero Intermediate calcs'!J56)+Data!$AK$37)</f>
        <v>5176356.8083839687</v>
      </c>
      <c r="K58" s="22">
        <f>((Data!$AJ$37*'Net zero Intermediate calcs'!K56)+Data!$AK$37)</f>
        <v>5204877.4733855929</v>
      </c>
      <c r="L58" s="22">
        <f>((Data!$AJ$37*'Net zero Intermediate calcs'!L56)+Data!$AK$37)</f>
        <v>5294483.1685273126</v>
      </c>
      <c r="M58" s="22">
        <f>((Data!$AJ$37*'Net zero Intermediate calcs'!M56)+Data!$AK$37)</f>
        <v>5512950.3579389574</v>
      </c>
      <c r="N58" s="22">
        <f>((Data!$AJ$37*'Net zero Intermediate calcs'!N56)+Data!$AK$37)</f>
        <v>5270444.9359232113</v>
      </c>
      <c r="O58" s="22">
        <f>((Data!$AJ$37*'Net zero Intermediate calcs'!O56)+Data!$AK$37)</f>
        <v>5467972.6310753804</v>
      </c>
      <c r="P58" s="22">
        <f>((Data!$AJ$37*'Net zero Intermediate calcs'!P56)+Data!$AK$37)</f>
        <v>5534132.2287620232</v>
      </c>
      <c r="Q58" s="22">
        <f>((Data!$AJ$37*'Net zero Intermediate calcs'!Q56)+Data!$AK$37)</f>
        <v>5780150.5769209331</v>
      </c>
      <c r="R58" s="22">
        <f>((Data!$AJ$37*'Net zero Intermediate calcs'!R56)+Data!$AK$37)</f>
        <v>6161335.2780608628</v>
      </c>
      <c r="S58" s="22">
        <f>((Data!$AJ$37*'Net zero Intermediate calcs'!S56)+Data!$AK$37)</f>
        <v>6533389.4392863307</v>
      </c>
      <c r="T58" s="22">
        <f>((Data!$AJ$37*'Net zero Intermediate calcs'!T56)+Data!$AK$37)</f>
        <v>6814622.9544943627</v>
      </c>
      <c r="U58" s="22">
        <f>((Data!$AJ$37*'Net zero Intermediate calcs'!U56)+Data!$AK$37)</f>
        <v>6679134.4554478135</v>
      </c>
      <c r="V58" s="22">
        <f>((Data!$AJ$37*'Net zero Intermediate calcs'!V56)+Data!$AK$37)</f>
        <v>6746079.475922795</v>
      </c>
      <c r="W58" s="22">
        <f>((Data!$AJ$37*'Net zero Intermediate calcs'!W56)+Data!$AK$37)</f>
        <v>7062976.0946139265</v>
      </c>
      <c r="X58" s="22">
        <f>((Data!$AJ$37*'Net zero Intermediate calcs'!X56)+Data!$AK$37)</f>
        <v>7052059.9450790975</v>
      </c>
      <c r="Y58" s="22">
        <f>((Data!$AJ$37*'Net zero Intermediate calcs'!Y56)+Data!$AK$37)</f>
        <v>7142845.0098512731</v>
      </c>
      <c r="Z58" s="22">
        <f>((Data!$AJ$37*'Net zero Intermediate calcs'!Z56)+Data!$AK$37)</f>
        <v>7268716.4693409875</v>
      </c>
      <c r="AA58" s="22">
        <f>((Data!$AJ$37*'Net zero Intermediate calcs'!AA56)+Data!$AK$37)</f>
        <v>7361412.099720709</v>
      </c>
      <c r="AB58" s="22">
        <f>((Data!$AJ$37*'Net zero Intermediate calcs'!AB56)+Data!$AK$37)</f>
        <v>7406963.8691853937</v>
      </c>
      <c r="AC58" s="22">
        <f>((Data!$AJ$37*'Net zero Intermediate calcs'!AC56)+Data!$AK$37)</f>
        <v>7452189.1548452601</v>
      </c>
      <c r="AD58" s="22">
        <f>((Data!$AJ$37*'Net zero Intermediate calcs'!AD56)+Data!$AK$37)</f>
        <v>7521108.3238038942</v>
      </c>
      <c r="AE58" s="22">
        <f>((Data!$AJ$37*'Net zero Intermediate calcs'!AE56)+Data!$AK$37)</f>
        <v>7597266.7061483413</v>
      </c>
      <c r="AF58" s="22">
        <f>((Data!$AJ$37*'Net zero Intermediate calcs'!AF56)+Data!$AK$37)</f>
        <v>7622351.1947279312</v>
      </c>
      <c r="AG58" s="22">
        <f>((Data!$AJ$37*'Net zero Intermediate calcs'!AG56)+Data!$AK$37)</f>
        <v>7174028.4518554229</v>
      </c>
      <c r="AH58" s="22">
        <f>((Data!$AJ$37*'Net zero Intermediate calcs'!AH56)+Data!$AK$37)</f>
        <v>7311086.5703711752</v>
      </c>
      <c r="AI58" s="22">
        <f>((Data!$AJ$37*'Net zero Intermediate calcs'!AI56)+Data!$AK$37)</f>
        <v>7436454.0190410856</v>
      </c>
      <c r="AJ58" s="22">
        <f>((Data!$AJ$37*'Net zero Intermediate calcs'!AJ56)+Data!$AK$37)</f>
        <v>7562693.0547809973</v>
      </c>
      <c r="AK58" s="22">
        <f>((Data!$AJ$37*'Net zero Intermediate calcs'!AK56)+Data!$AK$37)</f>
        <v>7710140.6707431655</v>
      </c>
      <c r="AL58" s="22">
        <f>((Data!$AJ$37*'Net zero Intermediate calcs'!AL56)+Data!$AK$37)</f>
        <v>7858704.7415826526</v>
      </c>
      <c r="AM58" s="22">
        <f>((Data!$AJ$37*'Net zero Intermediate calcs'!AM56)+Data!$AK$37)</f>
        <v>8012140.1002272721</v>
      </c>
      <c r="AN58" s="22">
        <f>((Data!$AJ$37*'Net zero Intermediate calcs'!AN56)+Data!$AK$37)</f>
        <v>8161744.5284378864</v>
      </c>
      <c r="AO58" s="22">
        <f>((Data!$AJ$37*'Net zero Intermediate calcs'!AO56)+Data!$AK$37)</f>
        <v>8320608.5705690421</v>
      </c>
      <c r="AP58" s="22">
        <f>((Data!$AJ$37*'Net zero Intermediate calcs'!AP56)+Data!$AK$37)</f>
        <v>8470850.6660514735</v>
      </c>
      <c r="AQ58" s="22">
        <f>((Data!$AJ$37*'Net zero Intermediate calcs'!AQ56)+Data!$AK$37)</f>
        <v>8625083.8638805039</v>
      </c>
      <c r="AR58" s="22">
        <f>((Data!$AJ$37*'Net zero Intermediate calcs'!AR56)+Data!$AK$37)</f>
        <v>8807972.9342276622</v>
      </c>
      <c r="AS58" s="22">
        <f>((Data!$AJ$37*'Net zero Intermediate calcs'!AS56)+Data!$AK$37)</f>
        <v>9005111.6794088557</v>
      </c>
      <c r="AT58" s="22">
        <f>((Data!$AJ$37*'Net zero Intermediate calcs'!AT56)+Data!$AK$37)</f>
        <v>9209081.1318475809</v>
      </c>
      <c r="AU58" s="22">
        <f>((Data!$AJ$37*'Net zero Intermediate calcs'!AU56)+Data!$AK$37)</f>
        <v>9250088.3859133758</v>
      </c>
      <c r="AV58" s="22">
        <f>((Data!$AJ$37*'Net zero Intermediate calcs'!AV56)+Data!$AK$37)</f>
        <v>1292345.3062962019</v>
      </c>
      <c r="AW58" s="22">
        <f>((Data!$AJ$37*'Net zero Intermediate calcs'!AW56)+Data!$AK$37)</f>
        <v>1287290.9873468105</v>
      </c>
      <c r="AX58" s="22">
        <f>((Data!$AJ$37*'Net zero Intermediate calcs'!AX56)+Data!$AK$37)</f>
        <v>1282199.6649376897</v>
      </c>
      <c r="AY58" s="22">
        <f>((Data!$AJ$37*'Net zero Intermediate calcs'!AY56)+Data!$AK$37)</f>
        <v>1277071.068160722</v>
      </c>
      <c r="AZ58" s="22">
        <f>((Data!$AJ$37*'Net zero Intermediate calcs'!AZ56)+Data!$AK$37)</f>
        <v>1271904.9241244281</v>
      </c>
      <c r="BA58" s="22">
        <f>((Data!$AJ$37*'Net zero Intermediate calcs'!BA56)+Data!$AK$37)</f>
        <v>1266700.9579394495</v>
      </c>
      <c r="BB58" s="22">
        <f>((Data!$AJ$37*'Net zero Intermediate calcs'!BB56)+Data!$AK$37)</f>
        <v>1262253.8329565979</v>
      </c>
      <c r="BC58" s="22">
        <f>((Data!$AJ$37*'Net zero Intermediate calcs'!BC56)+Data!$AK$37)</f>
        <v>1257779.0871939163</v>
      </c>
      <c r="BD58" s="22">
        <f>((Data!$AJ$37*'Net zero Intermediate calcs'!BD56)+Data!$AK$37)</f>
        <v>1253276.5491006884</v>
      </c>
      <c r="BE58" s="22">
        <f>((Data!$AJ$37*'Net zero Intermediate calcs'!BE56)+Data!$AK$37)</f>
        <v>1248746.0460607079</v>
      </c>
      <c r="BF58" s="22">
        <f>((Data!$AJ$37*'Net zero Intermediate calcs'!BF56)+Data!$AK$37)</f>
        <v>1244187.404385661</v>
      </c>
      <c r="BG58" s="22">
        <f>((Data!$AJ$37*'Net zero Intermediate calcs'!BG56)+Data!$AK$37)</f>
        <v>1240417.3291341572</v>
      </c>
      <c r="BH58" s="22">
        <f>((Data!$AJ$37*'Net zero Intermediate calcs'!BH56)+Data!$AK$37)</f>
        <v>1236628.008251779</v>
      </c>
      <c r="BI58" s="22">
        <f>((Data!$AJ$37*'Net zero Intermediate calcs'!BI56)+Data!$AK$37)</f>
        <v>1232819.3434926616</v>
      </c>
      <c r="BJ58" s="22">
        <f>((Data!$AJ$37*'Net zero Intermediate calcs'!BJ56)+Data!$AK$37)</f>
        <v>1228991.2361094081</v>
      </c>
      <c r="BK58" s="22">
        <f>((Data!$AJ$37*'Net zero Intermediate calcs'!BK56)+Data!$AK$37)</f>
        <v>1225143.5868505347</v>
      </c>
    </row>
    <row r="59" spans="1:63" x14ac:dyDescent="0.25">
      <c r="A59" t="s">
        <v>345</v>
      </c>
      <c r="B59" t="s">
        <v>321</v>
      </c>
      <c r="C59" s="22">
        <f>C58+C56</f>
        <v>11121517.275357399</v>
      </c>
      <c r="D59" s="22">
        <f t="shared" ref="D59:BK59" si="9">D58+D56</f>
        <v>11659850.361799778</v>
      </c>
      <c r="E59" s="22">
        <f t="shared" si="9"/>
        <v>11672864.138977878</v>
      </c>
      <c r="F59" s="22">
        <f t="shared" si="9"/>
        <v>11436954.129872082</v>
      </c>
      <c r="G59" s="22">
        <f t="shared" si="9"/>
        <v>10802215.821172344</v>
      </c>
      <c r="H59" s="22">
        <f t="shared" si="9"/>
        <v>10471151.138763066</v>
      </c>
      <c r="I59" s="22">
        <f t="shared" si="9"/>
        <v>10839506.384171214</v>
      </c>
      <c r="J59" s="22">
        <f t="shared" si="9"/>
        <v>10922776.808383968</v>
      </c>
      <c r="K59" s="22">
        <f t="shared" si="9"/>
        <v>10997777.473385593</v>
      </c>
      <c r="L59" s="22">
        <f t="shared" si="9"/>
        <v>11233413.168527313</v>
      </c>
      <c r="M59" s="22">
        <f t="shared" si="9"/>
        <v>11807915.357938956</v>
      </c>
      <c r="N59" s="22">
        <f t="shared" si="9"/>
        <v>11170199.935923211</v>
      </c>
      <c r="O59" s="22">
        <f t="shared" si="9"/>
        <v>11689637.63107538</v>
      </c>
      <c r="P59" s="22">
        <f t="shared" si="9"/>
        <v>11863617.228762023</v>
      </c>
      <c r="Q59" s="22">
        <f t="shared" si="9"/>
        <v>12510570.576920934</v>
      </c>
      <c r="R59" s="22">
        <f t="shared" si="9"/>
        <v>13512970.278060863</v>
      </c>
      <c r="S59" s="22">
        <f t="shared" si="9"/>
        <v>14491359.439286331</v>
      </c>
      <c r="T59" s="22">
        <f t="shared" si="9"/>
        <v>15230917.954494363</v>
      </c>
      <c r="U59" s="22">
        <f t="shared" si="9"/>
        <v>14874624.455447813</v>
      </c>
      <c r="V59" s="22">
        <f t="shared" si="9"/>
        <v>15050669.475922795</v>
      </c>
      <c r="W59" s="22">
        <f t="shared" si="9"/>
        <v>15884011.094613926</v>
      </c>
      <c r="X59" s="22">
        <f t="shared" si="9"/>
        <v>15855304.945079098</v>
      </c>
      <c r="Y59" s="22">
        <f t="shared" si="9"/>
        <v>16094042.023255255</v>
      </c>
      <c r="Z59" s="22">
        <f t="shared" si="9"/>
        <v>16425045.636456981</v>
      </c>
      <c r="AA59" s="22">
        <f t="shared" si="9"/>
        <v>16668806.920453269</v>
      </c>
      <c r="AB59" s="22">
        <f t="shared" si="9"/>
        <v>16788594.204573657</v>
      </c>
      <c r="AC59" s="22">
        <f t="shared" si="9"/>
        <v>16907522.935694944</v>
      </c>
      <c r="AD59" s="22">
        <f t="shared" si="9"/>
        <v>17088759.365594544</v>
      </c>
      <c r="AE59" s="22">
        <f t="shared" si="9"/>
        <v>17289032.722508073</v>
      </c>
      <c r="AF59" s="22">
        <f t="shared" si="9"/>
        <v>17354997.289764404</v>
      </c>
      <c r="AG59" s="22">
        <f t="shared" si="9"/>
        <v>16176044.981012994</v>
      </c>
      <c r="AH59" s="22">
        <f t="shared" si="9"/>
        <v>16536466.10134688</v>
      </c>
      <c r="AI59" s="22">
        <f t="shared" si="9"/>
        <v>16866144.31955339</v>
      </c>
      <c r="AJ59" s="22">
        <f t="shared" si="9"/>
        <v>17198114.54637377</v>
      </c>
      <c r="AK59" s="22">
        <f t="shared" si="9"/>
        <v>17585856.881604627</v>
      </c>
      <c r="AL59" s="22">
        <f t="shared" si="9"/>
        <v>17976535.153225414</v>
      </c>
      <c r="AM59" s="22">
        <f t="shared" si="9"/>
        <v>18380023.428567305</v>
      </c>
      <c r="AN59" s="22">
        <f t="shared" si="9"/>
        <v>18773437.52330685</v>
      </c>
      <c r="AO59" s="22">
        <f t="shared" si="9"/>
        <v>19191201.583296485</v>
      </c>
      <c r="AP59" s="22">
        <f t="shared" si="9"/>
        <v>19586292.548804414</v>
      </c>
      <c r="AQ59" s="22">
        <f t="shared" si="9"/>
        <v>19991878.898275774</v>
      </c>
      <c r="AR59" s="22">
        <f t="shared" si="9"/>
        <v>20472821.467349268</v>
      </c>
      <c r="AS59" s="22">
        <f t="shared" si="9"/>
        <v>20991236.342504997</v>
      </c>
      <c r="AT59" s="22">
        <f t="shared" si="9"/>
        <v>21527613.897938937</v>
      </c>
      <c r="AU59" s="22">
        <f t="shared" si="9"/>
        <v>21635450.490271203</v>
      </c>
      <c r="AV59" s="22">
        <f t="shared" si="9"/>
        <v>709009.1590689444</v>
      </c>
      <c r="AW59" s="22">
        <f t="shared" si="9"/>
        <v>695717.83916763496</v>
      </c>
      <c r="AX59" s="22">
        <f t="shared" si="9"/>
        <v>682329.21143402508</v>
      </c>
      <c r="AY59" s="22">
        <f t="shared" si="9"/>
        <v>668842.5634622525</v>
      </c>
      <c r="AZ59" s="22">
        <f t="shared" si="9"/>
        <v>655257.17763081565</v>
      </c>
      <c r="BA59" s="22">
        <f t="shared" si="9"/>
        <v>641572.33106440026</v>
      </c>
      <c r="BB59" s="22">
        <f t="shared" si="9"/>
        <v>629877.74641708541</v>
      </c>
      <c r="BC59" s="22">
        <f t="shared" si="9"/>
        <v>618110.52752877376</v>
      </c>
      <c r="BD59" s="22">
        <f t="shared" si="9"/>
        <v>606270.22327331523</v>
      </c>
      <c r="BE59" s="22">
        <f t="shared" si="9"/>
        <v>594356.37972264551</v>
      </c>
      <c r="BF59" s="22">
        <f t="shared" si="9"/>
        <v>582368.54012938333</v>
      </c>
      <c r="BG59" s="22">
        <f t="shared" si="9"/>
        <v>572454.39012787212</v>
      </c>
      <c r="BH59" s="22">
        <f t="shared" si="9"/>
        <v>562489.62997705792</v>
      </c>
      <c r="BI59" s="22">
        <f t="shared" si="9"/>
        <v>552474.00132022984</v>
      </c>
      <c r="BJ59" s="22">
        <f t="shared" si="9"/>
        <v>542407.24448180082</v>
      </c>
      <c r="BK59" s="22">
        <f t="shared" si="9"/>
        <v>532289.09846058884</v>
      </c>
    </row>
    <row r="60" spans="1:63" x14ac:dyDescent="0.25">
      <c r="A60" t="s">
        <v>874</v>
      </c>
      <c r="B60" t="s">
        <v>321</v>
      </c>
      <c r="C60" s="22">
        <f>((Data!$AJ$41*'Net zero Intermediate calcs'!C59)+Data!$AK$41)</f>
        <v>13829288.143620679</v>
      </c>
      <c r="D60" s="22">
        <f>((Data!$AJ$41*'Net zero Intermediate calcs'!D59)+Data!$AK$41)</f>
        <v>14338345.265431453</v>
      </c>
      <c r="E60" s="22">
        <f>((Data!$AJ$41*'Net zero Intermediate calcs'!E59)+Data!$AK$41)</f>
        <v>14350651.319287347</v>
      </c>
      <c r="F60" s="22">
        <f>((Data!$AJ$41*'Net zero Intermediate calcs'!F59)+Data!$AK$41)</f>
        <v>14127570.714980846</v>
      </c>
      <c r="G60" s="22">
        <f>((Data!$AJ$41*'Net zero Intermediate calcs'!G59)+Data!$AK$41)</f>
        <v>13527351.139652345</v>
      </c>
      <c r="H60" s="22">
        <f>((Data!$AJ$41*'Net zero Intermediate calcs'!H59)+Data!$AK$41)</f>
        <v>13214290.622651216</v>
      </c>
      <c r="I60" s="22">
        <f>((Data!$AJ$41*'Net zero Intermediate calcs'!I59)+Data!$AK$41)</f>
        <v>13562613.744067688</v>
      </c>
      <c r="J60" s="22">
        <f>((Data!$AJ$41*'Net zero Intermediate calcs'!J59)+Data!$AK$41)</f>
        <v>13641355.704295026</v>
      </c>
      <c r="K60" s="22">
        <f>((Data!$AJ$41*'Net zero Intermediate calcs'!K59)+Data!$AK$41)</f>
        <v>13712277.636498626</v>
      </c>
      <c r="L60" s="22">
        <f>((Data!$AJ$41*'Net zero Intermediate calcs'!L59)+Data!$AK$41)</f>
        <v>13935098.844753608</v>
      </c>
      <c r="M60" s="22">
        <f>((Data!$AJ$41*'Net zero Intermediate calcs'!M59)+Data!$AK$41)</f>
        <v>14478358.098886751</v>
      </c>
      <c r="N60" s="22">
        <f>((Data!$AJ$41*'Net zero Intermediate calcs'!N59)+Data!$AK$41)</f>
        <v>13875323.313469701</v>
      </c>
      <c r="O60" s="22">
        <f>((Data!$AJ$41*'Net zero Intermediate calcs'!O59)+Data!$AK$41)</f>
        <v>14366512.624908183</v>
      </c>
      <c r="P60" s="22">
        <f>((Data!$AJ$41*'Net zero Intermediate calcs'!P59)+Data!$AK$41)</f>
        <v>14531030.755936412</v>
      </c>
      <c r="Q60" s="22">
        <f>((Data!$AJ$41*'Net zero Intermediate calcs'!Q59)+Data!$AK$41)</f>
        <v>15142801.084853152</v>
      </c>
      <c r="R60" s="22">
        <f>((Data!$AJ$41*'Net zero Intermediate calcs'!R59)+Data!$AK$41)</f>
        <v>16090687.662173694</v>
      </c>
      <c r="S60" s="22">
        <f>((Data!$AJ$41*'Net zero Intermediate calcs'!S59)+Data!$AK$41)</f>
        <v>17015869.455690674</v>
      </c>
      <c r="T60" s="22">
        <f>((Data!$AJ$41*'Net zero Intermediate calcs'!T59)+Data!$AK$41)</f>
        <v>17715208.839882039</v>
      </c>
      <c r="U60" s="22">
        <f>((Data!$AJ$41*'Net zero Intermediate calcs'!U59)+Data!$AK$41)</f>
        <v>17378291.51543678</v>
      </c>
      <c r="V60" s="22">
        <f>((Data!$AJ$41*'Net zero Intermediate calcs'!V59)+Data!$AK$41)</f>
        <v>17544762.746147033</v>
      </c>
      <c r="W60" s="22">
        <f>((Data!$AJ$41*'Net zero Intermediate calcs'!W59)+Data!$AK$41)</f>
        <v>18332785.062775426</v>
      </c>
      <c r="X60" s="22">
        <f>((Data!$AJ$41*'Net zero Intermediate calcs'!X59)+Data!$AK$41)</f>
        <v>18305640.028913509</v>
      </c>
      <c r="Y60" s="22">
        <f>((Data!$AJ$41*'Net zero Intermediate calcs'!Y59)+Data!$AK$41)</f>
        <v>18531393.958862372</v>
      </c>
      <c r="Z60" s="22">
        <f>((Data!$AJ$41*'Net zero Intermediate calcs'!Z59)+Data!$AK$41)</f>
        <v>18844396.727759566</v>
      </c>
      <c r="AA60" s="22">
        <f>((Data!$AJ$41*'Net zero Intermediate calcs'!AA59)+Data!$AK$41)</f>
        <v>19074901.634043701</v>
      </c>
      <c r="AB60" s="22">
        <f>((Data!$AJ$41*'Net zero Intermediate calcs'!AB59)+Data!$AK$41)</f>
        <v>19188174.571597725</v>
      </c>
      <c r="AC60" s="22">
        <f>((Data!$AJ$41*'Net zero Intermediate calcs'!AC59)+Data!$AK$41)</f>
        <v>19300635.646515679</v>
      </c>
      <c r="AD60" s="22">
        <f>((Data!$AJ$41*'Net zero Intermediate calcs'!AD59)+Data!$AK$41)</f>
        <v>19472015.964195307</v>
      </c>
      <c r="AE60" s="22">
        <f>((Data!$AJ$41*'Net zero Intermediate calcs'!AE59)+Data!$AK$41)</f>
        <v>19661397.930887215</v>
      </c>
      <c r="AF60" s="22">
        <f>((Data!$AJ$41*'Net zero Intermediate calcs'!AF59)+Data!$AK$41)</f>
        <v>19723775.172031574</v>
      </c>
      <c r="AG60" s="22">
        <f>((Data!$AJ$41*'Net zero Intermediate calcs'!AG59)+Data!$AK$41)</f>
        <v>18608937.380783539</v>
      </c>
      <c r="AH60" s="22">
        <f>((Data!$AJ$41*'Net zero Intermediate calcs'!AH59)+Data!$AK$41)</f>
        <v>18949757.855648816</v>
      </c>
      <c r="AI60" s="22">
        <f>((Data!$AJ$41*'Net zero Intermediate calcs'!AI59)+Data!$AK$41)</f>
        <v>19261507.308005527</v>
      </c>
      <c r="AJ60" s="22">
        <f>((Data!$AJ$41*'Net zero Intermediate calcs'!AJ59)+Data!$AK$41)</f>
        <v>19575424.123538546</v>
      </c>
      <c r="AK60" s="22">
        <f>((Data!$AJ$41*'Net zero Intermediate calcs'!AK59)+Data!$AK$41)</f>
        <v>19942080.014004484</v>
      </c>
      <c r="AL60" s="22">
        <f>((Data!$AJ$41*'Net zero Intermediate calcs'!AL59)+Data!$AK$41)</f>
        <v>20311512.176942088</v>
      </c>
      <c r="AM60" s="22">
        <f>((Data!$AJ$41*'Net zero Intermediate calcs'!AM59)+Data!$AK$41)</f>
        <v>20693057.702013433</v>
      </c>
      <c r="AN60" s="22">
        <f>((Data!$AJ$41*'Net zero Intermediate calcs'!AN59)+Data!$AK$41)</f>
        <v>21065076.906835876</v>
      </c>
      <c r="AO60" s="22">
        <f>((Data!$AJ$41*'Net zero Intermediate calcs'!AO59)+Data!$AK$41)</f>
        <v>21460121.861957856</v>
      </c>
      <c r="AP60" s="22">
        <f>((Data!$AJ$41*'Net zero Intermediate calcs'!AP59)+Data!$AK$41)</f>
        <v>21833726.744919904</v>
      </c>
      <c r="AQ60" s="22">
        <f>((Data!$AJ$41*'Net zero Intermediate calcs'!AQ59)+Data!$AK$41)</f>
        <v>22217256.245348871</v>
      </c>
      <c r="AR60" s="22">
        <f>((Data!$AJ$41*'Net zero Intermediate calcs'!AR59)+Data!$AK$41)</f>
        <v>22672043.896590583</v>
      </c>
      <c r="AS60" s="22">
        <f>((Data!$AJ$41*'Net zero Intermediate calcs'!AS59)+Data!$AK$41)</f>
        <v>23162266.011665642</v>
      </c>
      <c r="AT60" s="22">
        <f>((Data!$AJ$41*'Net zero Intermediate calcs'!AT59)+Data!$AK$41)</f>
        <v>23669473.949371181</v>
      </c>
      <c r="AU60" s="22">
        <f>((Data!$AJ$41*'Net zero Intermediate calcs'!AU59)+Data!$AK$41)</f>
        <v>23771446.105088614</v>
      </c>
      <c r="AV60" s="22">
        <f>((Data!$AJ$41*'Net zero Intermediate calcs'!AV59)+Data!$AK$41)</f>
        <v>3983039.518000565</v>
      </c>
      <c r="AW60" s="22">
        <f>((Data!$AJ$41*'Net zero Intermediate calcs'!AW59)+Data!$AK$41)</f>
        <v>3970471.0149224042</v>
      </c>
      <c r="AX60" s="22">
        <f>((Data!$AJ$41*'Net zero Intermediate calcs'!AX59)+Data!$AK$41)</f>
        <v>3957810.4958669832</v>
      </c>
      <c r="AY60" s="22">
        <f>((Data!$AJ$41*'Net zero Intermediate calcs'!AY59)+Data!$AK$41)</f>
        <v>3945057.2871709382</v>
      </c>
      <c r="AZ60" s="22">
        <f>((Data!$AJ$41*'Net zero Intermediate calcs'!AZ59)+Data!$AK$41)</f>
        <v>3932210.7102389066</v>
      </c>
      <c r="BA60" s="22">
        <f>((Data!$AJ$41*'Net zero Intermediate calcs'!BA59)+Data!$AK$41)</f>
        <v>3919270.0815074285</v>
      </c>
      <c r="BB60" s="22">
        <f>((Data!$AJ$41*'Net zero Intermediate calcs'!BB59)+Data!$AK$41)</f>
        <v>3908211.4790338618</v>
      </c>
      <c r="BC60" s="22">
        <f>((Data!$AJ$41*'Net zero Intermediate calcs'!BC59)+Data!$AK$41)</f>
        <v>3897084.1923597548</v>
      </c>
      <c r="BD60" s="22">
        <f>((Data!$AJ$41*'Net zero Intermediate calcs'!BD59)+Data!$AK$41)</f>
        <v>3885887.7948923795</v>
      </c>
      <c r="BE60" s="22">
        <f>((Data!$AJ$41*'Net zero Intermediate calcs'!BE59)+Data!$AK$41)</f>
        <v>3874621.857389471</v>
      </c>
      <c r="BF60" s="22">
        <f>((Data!$AJ$41*'Net zero Intermediate calcs'!BF59)+Data!$AK$41)</f>
        <v>3863285.9479427673</v>
      </c>
      <c r="BG60" s="22">
        <f>((Data!$AJ$41*'Net zero Intermediate calcs'!BG59)+Data!$AK$41)</f>
        <v>3853910.9554110579</v>
      </c>
      <c r="BH60" s="22">
        <f>((Data!$AJ$41*'Net zero Intermediate calcs'!BH59)+Data!$AK$41)</f>
        <v>3844488.1050426527</v>
      </c>
      <c r="BI60" s="22">
        <f>((Data!$AJ$41*'Net zero Intermediate calcs'!BI59)+Data!$AK$41)</f>
        <v>3835017.152530957</v>
      </c>
      <c r="BJ60" s="22">
        <f>((Data!$AJ$41*'Net zero Intermediate calcs'!BJ59)+Data!$AK$41)</f>
        <v>3825497.8523222227</v>
      </c>
      <c r="BK60" s="22">
        <f>((Data!$AJ$41*'Net zero Intermediate calcs'!BK59)+Data!$AK$41)</f>
        <v>3815929.9576091962</v>
      </c>
    </row>
    <row r="61" spans="1:63" x14ac:dyDescent="0.25">
      <c r="A61" t="s">
        <v>367</v>
      </c>
      <c r="B61" t="s">
        <v>361</v>
      </c>
      <c r="C61" s="22">
        <f>((Data!$AJ$42*LN('Net zero Intermediate calcs'!C60))+Data!$AK$42)</f>
        <v>3291216.8411945887</v>
      </c>
      <c r="D61" s="22">
        <f>((Data!$AJ$42*LN('Net zero Intermediate calcs'!D60))+Data!$AK$42)</f>
        <v>3319070.3486274015</v>
      </c>
      <c r="E61" s="22">
        <f>((Data!$AJ$42*LN('Net zero Intermediate calcs'!E60))+Data!$AK$42)</f>
        <v>3319731.3767311443</v>
      </c>
      <c r="F61" s="22">
        <f>((Data!$AJ$42*LN('Net zero Intermediate calcs'!F60))+Data!$AK$42)</f>
        <v>3307659.5145521946</v>
      </c>
      <c r="G61" s="22">
        <f>((Data!$AJ$42*LN('Net zero Intermediate calcs'!G60))+Data!$AK$42)</f>
        <v>3274207.49275437</v>
      </c>
      <c r="H61" s="22">
        <f>((Data!$AJ$42*LN('Net zero Intermediate calcs'!H60))+Data!$AK$42)</f>
        <v>3256165.8317827508</v>
      </c>
      <c r="I61" s="22">
        <f>((Data!$AJ$42*LN('Net zero Intermediate calcs'!I60))+Data!$AK$42)</f>
        <v>3276213.4544376917</v>
      </c>
      <c r="J61" s="22">
        <f>((Data!$AJ$42*LN('Net zero Intermediate calcs'!J60))+Data!$AK$42)</f>
        <v>3280674.0371948611</v>
      </c>
      <c r="K61" s="22">
        <f>((Data!$AJ$42*LN('Net zero Intermediate calcs'!K60))+Data!$AK$42)</f>
        <v>3284669.6459477041</v>
      </c>
      <c r="L61" s="22">
        <f>((Data!$AJ$42*LN('Net zero Intermediate calcs'!L60))+Data!$AK$42)</f>
        <v>3297089.8418645374</v>
      </c>
      <c r="M61" s="22">
        <f>((Data!$AJ$42*LN('Net zero Intermediate calcs'!M60))+Data!$AK$42)</f>
        <v>3326557.9619940948</v>
      </c>
      <c r="N61" s="22">
        <f>((Data!$AJ$42*LN('Net zero Intermediate calcs'!N60))+Data!$AK$42)</f>
        <v>3293777.5166018195</v>
      </c>
      <c r="O61" s="22">
        <f>((Data!$AJ$42*LN('Net zero Intermediate calcs'!O60))+Data!$AK$42)</f>
        <v>3320582.5419616979</v>
      </c>
      <c r="P61" s="22">
        <f>((Data!$AJ$42*LN('Net zero Intermediate calcs'!P60))+Data!$AK$42)</f>
        <v>3329356.0641698465</v>
      </c>
      <c r="Q61" s="22">
        <f>((Data!$AJ$42*LN('Net zero Intermediate calcs'!Q60))+Data!$AK$42)</f>
        <v>3361131.5914097354</v>
      </c>
      <c r="R61" s="22">
        <f>((Data!$AJ$42*LN('Net zero Intermediate calcs'!R60))+Data!$AK$42)</f>
        <v>3407914.3370274547</v>
      </c>
      <c r="S61" s="22">
        <f>((Data!$AJ$42*LN('Net zero Intermediate calcs'!S60))+Data!$AK$42)</f>
        <v>3450991.0539786909</v>
      </c>
      <c r="T61" s="22">
        <f>((Data!$AJ$42*LN('Net zero Intermediate calcs'!T60))+Data!$AK$42)</f>
        <v>3482025.5623515509</v>
      </c>
      <c r="U61" s="22">
        <f>((Data!$AJ$42*LN('Net zero Intermediate calcs'!U60))+Data!$AK$42)</f>
        <v>3467230.1714797169</v>
      </c>
      <c r="V61" s="22">
        <f>((Data!$AJ$42*LN('Net zero Intermediate calcs'!V60))+Data!$AK$42)</f>
        <v>3474576.1001284774</v>
      </c>
      <c r="W61" s="22">
        <f>((Data!$AJ$42*LN('Net zero Intermediate calcs'!W60))+Data!$AK$42)</f>
        <v>3508429.4822034501</v>
      </c>
      <c r="X61" s="22">
        <f>((Data!$AJ$42*LN('Net zero Intermediate calcs'!X60))+Data!$AK$42)</f>
        <v>3507287.7345839478</v>
      </c>
      <c r="Y61" s="22">
        <f>((Data!$AJ$42*LN('Net zero Intermediate calcs'!Y60))+Data!$AK$42)</f>
        <v>3516732.0948724914</v>
      </c>
      <c r="Z61" s="22">
        <f>((Data!$AJ$42*LN('Net zero Intermediate calcs'!Z60))+Data!$AK$42)</f>
        <v>3529637.8787537683</v>
      </c>
      <c r="AA61" s="22">
        <f>((Data!$AJ$42*LN('Net zero Intermediate calcs'!AA60))+Data!$AK$42)</f>
        <v>3539005.7664388958</v>
      </c>
      <c r="AB61" s="22">
        <f>((Data!$AJ$42*LN('Net zero Intermediate calcs'!AB60))+Data!$AK$42)</f>
        <v>3543567.8579666261</v>
      </c>
      <c r="AC61" s="22">
        <f>((Data!$AJ$42*LN('Net zero Intermediate calcs'!AC60))+Data!$AK$42)</f>
        <v>3548070.6866584886</v>
      </c>
      <c r="AD61" s="22">
        <f>((Data!$AJ$42*LN('Net zero Intermediate calcs'!AD60))+Data!$AK$42)</f>
        <v>3554882.3741304055</v>
      </c>
      <c r="AE61" s="22">
        <f>((Data!$AJ$42*LN('Net zero Intermediate calcs'!AE60))+Data!$AK$42)</f>
        <v>3562340.1739368942</v>
      </c>
      <c r="AF61" s="22">
        <f>((Data!$AJ$42*LN('Net zero Intermediate calcs'!AF60))+Data!$AK$42)</f>
        <v>3564780.8503938634</v>
      </c>
      <c r="AG61" s="22">
        <f>((Data!$AJ$42*LN('Net zero Intermediate calcs'!AG60))+Data!$AK$42)</f>
        <v>3519949.5778955258</v>
      </c>
      <c r="AH61" s="22">
        <f>((Data!$AJ$42*LN('Net zero Intermediate calcs'!AH60))+Data!$AK$42)</f>
        <v>3533933.9685055744</v>
      </c>
      <c r="AI61" s="22">
        <f>((Data!$AJ$42*LN('Net zero Intermediate calcs'!AI60))+Data!$AK$42)</f>
        <v>3546507.0104061235</v>
      </c>
      <c r="AJ61" s="22">
        <f>((Data!$AJ$42*LN('Net zero Intermediate calcs'!AJ60))+Data!$AK$42)</f>
        <v>3558963.4972859081</v>
      </c>
      <c r="AK61" s="22">
        <f>((Data!$AJ$42*LN('Net zero Intermediate calcs'!AK60))+Data!$AK$42)</f>
        <v>3573262.2470776215</v>
      </c>
      <c r="AL61" s="22">
        <f>((Data!$AJ$42*LN('Net zero Intermediate calcs'!AL60))+Data!$AK$42)</f>
        <v>3587405.8058264162</v>
      </c>
      <c r="AM61" s="22">
        <f>((Data!$AJ$42*LN('Net zero Intermediate calcs'!AM60))+Data!$AK$42)</f>
        <v>3601745.6054545324</v>
      </c>
      <c r="AN61" s="22">
        <f>((Data!$AJ$42*LN('Net zero Intermediate calcs'!AN60))+Data!$AK$42)</f>
        <v>3615475.0259070657</v>
      </c>
      <c r="AO61" s="22">
        <f>((Data!$AJ$42*LN('Net zero Intermediate calcs'!AO60))+Data!$AK$42)</f>
        <v>3629791.2703763209</v>
      </c>
      <c r="AP61" s="22">
        <f>((Data!$AJ$42*LN('Net zero Intermediate calcs'!AP60))+Data!$AK$42)</f>
        <v>3643090.104685409</v>
      </c>
      <c r="AQ61" s="22">
        <f>((Data!$AJ$42*LN('Net zero Intermediate calcs'!AQ60))+Data!$AK$42)</f>
        <v>3656507.5733412746</v>
      </c>
      <c r="AR61" s="22">
        <f>((Data!$AJ$42*LN('Net zero Intermediate calcs'!AR60))+Data!$AK$42)</f>
        <v>3672120.9606841598</v>
      </c>
      <c r="AS61" s="22">
        <f>((Data!$AJ$42*LN('Net zero Intermediate calcs'!AS60))+Data!$AK$42)</f>
        <v>3688603.9208228998</v>
      </c>
      <c r="AT61" s="22">
        <f>((Data!$AJ$42*LN('Net zero Intermediate calcs'!AT60))+Data!$AK$42)</f>
        <v>3705294.7984956801</v>
      </c>
      <c r="AU61" s="22">
        <f>((Data!$AJ$42*LN('Net zero Intermediate calcs'!AU60))+Data!$AK$42)</f>
        <v>3708607.220119413</v>
      </c>
      <c r="AV61" s="22">
        <f>((Data!$AJ$42*LN('Net zero Intermediate calcs'!AV60))+Data!$AK$42)</f>
        <v>2332111.5264832824</v>
      </c>
      <c r="AW61" s="22">
        <f>((Data!$AJ$42*LN('Net zero Intermediate calcs'!AW60))+Data!$AK$42)</f>
        <v>2329676.2879809625</v>
      </c>
      <c r="AX61" s="22">
        <f>((Data!$AJ$42*LN('Net zero Intermediate calcs'!AX60))+Data!$AK$42)</f>
        <v>2327215.4146325253</v>
      </c>
      <c r="AY61" s="22">
        <f>((Data!$AJ$42*LN('Net zero Intermediate calcs'!AY60))+Data!$AK$42)</f>
        <v>2324728.5532853026</v>
      </c>
      <c r="AZ61" s="22">
        <f>((Data!$AJ$42*LN('Net zero Intermediate calcs'!AZ60))+Data!$AK$42)</f>
        <v>2322215.3441441413</v>
      </c>
      <c r="BA61" s="22">
        <f>((Data!$AJ$42*LN('Net zero Intermediate calcs'!BA60))+Data!$AK$42)</f>
        <v>2319675.4206056185</v>
      </c>
      <c r="BB61" s="22">
        <f>((Data!$AJ$42*LN('Net zero Intermediate calcs'!BB60))+Data!$AK$42)</f>
        <v>2317498.2376428582</v>
      </c>
      <c r="BC61" s="22">
        <f>((Data!$AJ$42*LN('Net zero Intermediate calcs'!BC60))+Data!$AK$42)</f>
        <v>2315301.3054300416</v>
      </c>
      <c r="BD61" s="22">
        <f>((Data!$AJ$42*LN('Net zero Intermediate calcs'!BD60))+Data!$AK$42)</f>
        <v>2313084.3876609504</v>
      </c>
      <c r="BE61" s="22">
        <f>((Data!$AJ$42*LN('Net zero Intermediate calcs'!BE60))+Data!$AK$42)</f>
        <v>2310847.2441526428</v>
      </c>
      <c r="BF61" s="22">
        <f>((Data!$AJ$42*LN('Net zero Intermediate calcs'!BF60))+Data!$AK$42)</f>
        <v>2308589.6307610366</v>
      </c>
      <c r="BG61" s="22">
        <f>((Data!$AJ$42*LN('Net zero Intermediate calcs'!BG60))+Data!$AK$42)</f>
        <v>2306717.5352260265</v>
      </c>
      <c r="BH61" s="22">
        <f>((Data!$AJ$42*LN('Net zero Intermediate calcs'!BH60))+Data!$AK$42)</f>
        <v>2304831.2883366328</v>
      </c>
      <c r="BI61" s="22">
        <f>((Data!$AJ$42*LN('Net zero Intermediate calcs'!BI60))+Data!$AK$42)</f>
        <v>2302930.748041559</v>
      </c>
      <c r="BJ61" s="22">
        <f>((Data!$AJ$42*LN('Net zero Intermediate calcs'!BJ60))+Data!$AK$42)</f>
        <v>2301015.770327948</v>
      </c>
      <c r="BK61" s="22">
        <f>((Data!$AJ$42*LN('Net zero Intermediate calcs'!BK60))+Data!$AK$42)</f>
        <v>2299086.2091854382</v>
      </c>
    </row>
    <row r="62" spans="1:63" s="50" customFormat="1" x14ac:dyDescent="0.25">
      <c r="A62" s="42" t="s">
        <v>875</v>
      </c>
    </row>
    <row r="63" spans="1:63" x14ac:dyDescent="0.25">
      <c r="A63" t="s">
        <v>848</v>
      </c>
      <c r="B63" t="s">
        <v>327</v>
      </c>
      <c r="Y63" s="22">
        <f>'Levers &amp; variables'!G6</f>
        <v>0.7</v>
      </c>
      <c r="Z63" s="22">
        <f t="shared" ref="Z63:AF65" si="10">Y63+(($AG63-$Y63)/8)</f>
        <v>0.70499999999999996</v>
      </c>
      <c r="AA63" s="22">
        <f t="shared" si="10"/>
        <v>0.71</v>
      </c>
      <c r="AB63" s="22">
        <f t="shared" si="10"/>
        <v>0.71499999999999997</v>
      </c>
      <c r="AC63" s="22">
        <f t="shared" si="10"/>
        <v>0.72</v>
      </c>
      <c r="AD63" s="22">
        <f t="shared" si="10"/>
        <v>0.72499999999999998</v>
      </c>
      <c r="AE63" s="22">
        <f t="shared" si="10"/>
        <v>0.73</v>
      </c>
      <c r="AF63" s="22">
        <f t="shared" si="10"/>
        <v>0.73499999999999999</v>
      </c>
      <c r="AG63" s="22">
        <f>'Levers &amp; variables'!H6</f>
        <v>0.74</v>
      </c>
      <c r="AH63" s="22">
        <f t="shared" ref="AH63:AP65" si="11">AG63+(($AQ63-$AG63)/10)</f>
        <v>0.74199999999999999</v>
      </c>
      <c r="AI63" s="22">
        <f t="shared" si="11"/>
        <v>0.74399999999999999</v>
      </c>
      <c r="AJ63" s="22">
        <f t="shared" si="11"/>
        <v>0.746</v>
      </c>
      <c r="AK63" s="22">
        <f t="shared" si="11"/>
        <v>0.748</v>
      </c>
      <c r="AL63" s="22">
        <f t="shared" si="11"/>
        <v>0.75</v>
      </c>
      <c r="AM63" s="22">
        <f t="shared" si="11"/>
        <v>0.752</v>
      </c>
      <c r="AN63" s="22">
        <f t="shared" si="11"/>
        <v>0.754</v>
      </c>
      <c r="AO63" s="22">
        <f t="shared" si="11"/>
        <v>0.75600000000000001</v>
      </c>
      <c r="AP63" s="22">
        <f t="shared" si="11"/>
        <v>0.75800000000000001</v>
      </c>
      <c r="AQ63" s="22">
        <f>'Levers &amp; variables'!I6</f>
        <v>0.76</v>
      </c>
      <c r="AR63" s="22">
        <f t="shared" ref="AR63:AZ65" si="12">AQ63+(($BA63-$AQ63)/10)</f>
        <v>0.76400000000000001</v>
      </c>
      <c r="AS63" s="22">
        <f t="shared" si="12"/>
        <v>0.76800000000000002</v>
      </c>
      <c r="AT63" s="22">
        <f t="shared" si="12"/>
        <v>0.77200000000000002</v>
      </c>
      <c r="AU63" s="22">
        <f t="shared" si="12"/>
        <v>0.77600000000000002</v>
      </c>
      <c r="AV63" s="22">
        <f t="shared" si="12"/>
        <v>0.78</v>
      </c>
      <c r="AW63" s="22">
        <f t="shared" si="12"/>
        <v>0.78400000000000003</v>
      </c>
      <c r="AX63" s="22">
        <f t="shared" si="12"/>
        <v>0.78800000000000003</v>
      </c>
      <c r="AY63" s="22">
        <f t="shared" si="12"/>
        <v>0.79200000000000004</v>
      </c>
      <c r="AZ63" s="22">
        <f t="shared" si="12"/>
        <v>0.79600000000000004</v>
      </c>
      <c r="BA63" s="22">
        <f>'Levers &amp; variables'!J6</f>
        <v>0.8</v>
      </c>
      <c r="BB63" s="22">
        <f t="shared" ref="BB63:BJ65" si="13">BA63+(($BK63-$BA63)/10)</f>
        <v>0.80300000000000005</v>
      </c>
      <c r="BC63" s="22">
        <f t="shared" si="13"/>
        <v>0.80600000000000005</v>
      </c>
      <c r="BD63" s="22">
        <f t="shared" si="13"/>
        <v>0.80900000000000005</v>
      </c>
      <c r="BE63" s="22">
        <f t="shared" si="13"/>
        <v>0.81200000000000006</v>
      </c>
      <c r="BF63" s="22">
        <f t="shared" si="13"/>
        <v>0.81500000000000006</v>
      </c>
      <c r="BG63" s="22">
        <f t="shared" si="13"/>
        <v>0.81800000000000006</v>
      </c>
      <c r="BH63" s="22">
        <f t="shared" si="13"/>
        <v>0.82100000000000006</v>
      </c>
      <c r="BI63" s="22">
        <f t="shared" si="13"/>
        <v>0.82400000000000007</v>
      </c>
      <c r="BJ63" s="22">
        <f t="shared" si="13"/>
        <v>0.82700000000000007</v>
      </c>
      <c r="BK63" s="22">
        <f>'Levers &amp; variables'!K6</f>
        <v>0.83</v>
      </c>
    </row>
    <row r="64" spans="1:63" x14ac:dyDescent="0.25">
      <c r="A64" t="s">
        <v>849</v>
      </c>
      <c r="B64" t="s">
        <v>815</v>
      </c>
      <c r="Y64" s="101">
        <f>IF($Y$1="Off",'Intermediate calculations'!Y64,IF($Y$1="PQ",'Net zero supporting data'!B101,IF('Net zero Intermediate calcs'!$Y$1="GS",'Net zero supporting data'!B65,'Net zero supporting data'!B84)))</f>
        <v>0.57999999999999996</v>
      </c>
      <c r="Z64" s="101">
        <f>IF($Y$1="Off",'Intermediate calculations'!Z64,IF($Y$1="PQ",'Net zero supporting data'!C101,IF('Net zero Intermediate calcs'!$Y$1="GS",'Net zero supporting data'!C65,'Net zero supporting data'!C84)))</f>
        <v>0.57999999999999996</v>
      </c>
      <c r="AA64" s="101">
        <f>IF($Y$1="Off",'Intermediate calculations'!AA64,IF($Y$1="PQ",'Net zero supporting data'!D101,IF('Net zero Intermediate calcs'!$Y$1="GS",'Net zero supporting data'!D65,'Net zero supporting data'!D84)))</f>
        <v>0.57999999999999996</v>
      </c>
      <c r="AB64" s="101">
        <f>IF($Y$1="Off",'Intermediate calculations'!AB64,IF($Y$1="PQ",'Net zero supporting data'!E101,IF('Net zero Intermediate calcs'!$Y$1="GS",'Net zero supporting data'!E65,'Net zero supporting data'!E84)))</f>
        <v>0.57999999999999996</v>
      </c>
      <c r="AC64" s="101">
        <f>IF($Y$1="Off",'Intermediate calculations'!AC64,IF($Y$1="PQ",'Net zero supporting data'!F101,IF('Net zero Intermediate calcs'!$Y$1="GS",'Net zero supporting data'!F65,'Net zero supporting data'!F84)))</f>
        <v>0.57999999999999996</v>
      </c>
      <c r="AD64" s="101">
        <f>IF($Y$1="Off",'Intermediate calculations'!AD64,IF($Y$1="PQ",'Net zero supporting data'!G101,IF('Net zero Intermediate calcs'!$Y$1="GS",'Net zero supporting data'!G65,'Net zero supporting data'!G84)))</f>
        <v>0.57999999999999996</v>
      </c>
      <c r="AE64" s="101">
        <f>IF($Y$1="Off",'Intermediate calculations'!AE64,IF($Y$1="PQ",'Net zero supporting data'!H101,IF('Net zero Intermediate calcs'!$Y$1="GS",'Net zero supporting data'!H65,'Net zero supporting data'!H84)))</f>
        <v>0.57999999999999996</v>
      </c>
      <c r="AF64" s="101">
        <f>IF($Y$1="Off",'Intermediate calculations'!AF64,IF($Y$1="PQ",'Net zero supporting data'!I101,IF('Net zero Intermediate calcs'!$Y$1="GS",'Net zero supporting data'!I65,'Net zero supporting data'!I84)))</f>
        <v>0.57999999999999996</v>
      </c>
      <c r="AG64" s="101">
        <f>IF($Y$1="Off",'Intermediate calculations'!AG64,IF($Y$1="PQ",'Net zero supporting data'!J101,IF('Net zero Intermediate calcs'!$Y$1="GS",'Net zero supporting data'!J65,'Net zero supporting data'!J84)))</f>
        <v>0.57999999999999996</v>
      </c>
      <c r="AH64" s="101">
        <f>IF($Y$1="Off",'Intermediate calculations'!AH64,IF($Y$1="PQ",'Net zero supporting data'!K101,IF('Net zero Intermediate calcs'!$Y$1="GS",'Net zero supporting data'!K65,'Net zero supporting data'!K84)))</f>
        <v>0.57767999999999997</v>
      </c>
      <c r="AI64" s="101">
        <f>IF($Y$1="Off",'Intermediate calculations'!AI64,IF($Y$1="PQ",'Net zero supporting data'!L101,IF('Net zero Intermediate calcs'!$Y$1="GS",'Net zero supporting data'!L65,'Net zero supporting data'!L84)))</f>
        <v>0.57535999999999998</v>
      </c>
      <c r="AJ64" s="101">
        <f>IF($Y$1="Off",'Intermediate calculations'!AJ64,IF($Y$1="PQ",'Net zero supporting data'!M101,IF('Net zero Intermediate calcs'!$Y$1="GS",'Net zero supporting data'!M65,'Net zero supporting data'!M84)))</f>
        <v>0.57303999999999999</v>
      </c>
      <c r="AK64" s="101">
        <f>IF($Y$1="Off",'Intermediate calculations'!AK64,IF($Y$1="PQ",'Net zero supporting data'!N101,IF('Net zero Intermediate calcs'!$Y$1="GS",'Net zero supporting data'!N65,'Net zero supporting data'!N84)))</f>
        <v>0.57071999999999989</v>
      </c>
      <c r="AL64" s="101">
        <f>IF($Y$1="Off",'Intermediate calculations'!AL64,IF($Y$1="PQ",'Net zero supporting data'!O101,IF('Net zero Intermediate calcs'!$Y$1="GS",'Net zero supporting data'!O65,'Net zero supporting data'!O84)))</f>
        <v>0.56840000000000002</v>
      </c>
      <c r="AM64" s="101">
        <f>IF($Y$1="Off",'Intermediate calculations'!AM64,IF($Y$1="PQ",'Net zero supporting data'!P101,IF('Net zero Intermediate calcs'!$Y$1="GS",'Net zero supporting data'!P65,'Net zero supporting data'!P84)))</f>
        <v>0.56607999999999992</v>
      </c>
      <c r="AN64" s="101">
        <f>IF($Y$1="Off",'Intermediate calculations'!AN64,IF($Y$1="PQ",'Net zero supporting data'!Q101,IF('Net zero Intermediate calcs'!$Y$1="GS",'Net zero supporting data'!Q65,'Net zero supporting data'!Q84)))</f>
        <v>0.56375999999999993</v>
      </c>
      <c r="AO64" s="101">
        <f>IF($Y$1="Off",'Intermediate calculations'!AO64,IF($Y$1="PQ",'Net zero supporting data'!R101,IF('Net zero Intermediate calcs'!$Y$1="GS",'Net zero supporting data'!R65,'Net zero supporting data'!R84)))</f>
        <v>0.56143999999999994</v>
      </c>
      <c r="AP64" s="101">
        <f>IF($Y$1="Off",'Intermediate calculations'!AP64,IF($Y$1="PQ",'Net zero supporting data'!S101,IF('Net zero Intermediate calcs'!$Y$1="GS",'Net zero supporting data'!S65,'Net zero supporting data'!S84)))</f>
        <v>0.55911999999999995</v>
      </c>
      <c r="AQ64" s="101">
        <f>IF($Y$1="Off",'Intermediate calculations'!AQ64,IF($Y$1="PQ",'Net zero supporting data'!T101,IF('Net zero Intermediate calcs'!$Y$1="GS",'Net zero supporting data'!T65,'Net zero supporting data'!T84)))</f>
        <v>0.55679999999999996</v>
      </c>
      <c r="AR64" s="101">
        <f>IF($Y$1="Off",'Intermediate calculations'!AR64,IF($Y$1="PQ",'Net zero supporting data'!U101,IF('Net zero Intermediate calcs'!$Y$1="GS",'Net zero supporting data'!U65,'Net zero supporting data'!U84)))</f>
        <v>0.55767</v>
      </c>
      <c r="AS64" s="101">
        <f>IF($Y$1="Off",'Intermediate calculations'!AS64,IF($Y$1="PQ",'Net zero supporting data'!V101,IF('Net zero Intermediate calcs'!$Y$1="GS",'Net zero supporting data'!V65,'Net zero supporting data'!V84)))</f>
        <v>0.55854000000000004</v>
      </c>
      <c r="AT64" s="101">
        <f>IF($Y$1="Off",'Intermediate calculations'!AT64,IF($Y$1="PQ",'Net zero supporting data'!W101,IF('Net zero Intermediate calcs'!$Y$1="GS",'Net zero supporting data'!W65,'Net zero supporting data'!W84)))</f>
        <v>0.55941000000000007</v>
      </c>
      <c r="AU64" s="101">
        <f>IF($Y$1="Off",'Intermediate calculations'!AU64,IF($Y$1="PQ",'Net zero supporting data'!X101,IF('Net zero Intermediate calcs'!$Y$1="GS",'Net zero supporting data'!X65,'Net zero supporting data'!X84)))</f>
        <v>0.56028</v>
      </c>
      <c r="AV64" s="101">
        <f>IF($Y$1="Off",'Intermediate calculations'!AV64,IF($Y$1="PQ",'Net zero supporting data'!Y101,IF('Net zero Intermediate calcs'!$Y$1="GS",'Net zero supporting data'!Y65,'Net zero supporting data'!Y84)))</f>
        <v>0.56115000000000004</v>
      </c>
      <c r="AW64" s="101">
        <f>IF($Y$1="Off",'Intermediate calculations'!AW64,IF($Y$1="PQ",'Net zero supporting data'!Z101,IF('Net zero Intermediate calcs'!$Y$1="GS",'Net zero supporting data'!Z65,'Net zero supporting data'!Z84)))</f>
        <v>0.56202000000000008</v>
      </c>
      <c r="AX64" s="101">
        <f>IF($Y$1="Off",'Intermediate calculations'!AX64,IF($Y$1="PQ",'Net zero supporting data'!AA101,IF('Net zero Intermediate calcs'!$Y$1="GS",'Net zero supporting data'!AA65,'Net zero supporting data'!AA84)))</f>
        <v>0.56289</v>
      </c>
      <c r="AY64" s="101">
        <f>IF($Y$1="Off",'Intermediate calculations'!AY64,IF($Y$1="PQ",'Net zero supporting data'!AB101,IF('Net zero Intermediate calcs'!$Y$1="GS",'Net zero supporting data'!AB65,'Net zero supporting data'!AB84)))</f>
        <v>0.56376000000000004</v>
      </c>
      <c r="AZ64" s="101">
        <f>IF($Y$1="Off",'Intermediate calculations'!AZ64,IF($Y$1="PQ",'Net zero supporting data'!AC101,IF('Net zero Intermediate calcs'!$Y$1="GS",'Net zero supporting data'!AC65,'Net zero supporting data'!AC84)))</f>
        <v>0.56462999999999997</v>
      </c>
      <c r="BA64" s="101">
        <f>IF($Y$1="Off",'Intermediate calculations'!BA64,IF($Y$1="PQ",'Net zero supporting data'!AD101,IF('Net zero Intermediate calcs'!$Y$1="GS",'Net zero supporting data'!AD65,'Net zero supporting data'!AD84)))</f>
        <v>0.5655</v>
      </c>
      <c r="BB64" s="101">
        <f>IF($Y$1="Off",'Intermediate calculations'!BB64,IF($Y$1="PQ",'Net zero supporting data'!AE101,IF('Net zero Intermediate calcs'!$Y$1="GS",'Net zero supporting data'!AE65,'Net zero supporting data'!AE84)))</f>
        <v>0.56637000000000004</v>
      </c>
      <c r="BC64" s="101">
        <f>IF($Y$1="Off",'Intermediate calculations'!BC64,IF($Y$1="PQ",'Net zero supporting data'!AF101,IF('Net zero Intermediate calcs'!$Y$1="GS",'Net zero supporting data'!AF65,'Net zero supporting data'!AF84)))</f>
        <v>0.56723999999999997</v>
      </c>
      <c r="BD64" s="101">
        <f>IF($Y$1="Off",'Intermediate calculations'!BD64,IF($Y$1="PQ",'Net zero supporting data'!AG101,IF('Net zero Intermediate calcs'!$Y$1="GS",'Net zero supporting data'!AG65,'Net zero supporting data'!AG84)))</f>
        <v>0.56811</v>
      </c>
      <c r="BE64" s="101">
        <f>IF($Y$1="Off",'Intermediate calculations'!BE64,IF($Y$1="PQ",'Net zero supporting data'!AH101,IF('Net zero Intermediate calcs'!$Y$1="GS",'Net zero supporting data'!AH65,'Net zero supporting data'!AH84)))</f>
        <v>0.56898000000000004</v>
      </c>
      <c r="BF64" s="101">
        <f>IF($Y$1="Off",'Intermediate calculations'!BF64,IF($Y$1="PQ",'Net zero supporting data'!AI101,IF('Net zero Intermediate calcs'!$Y$1="GS",'Net zero supporting data'!AI65,'Net zero supporting data'!AI84)))</f>
        <v>0.56984999999999997</v>
      </c>
      <c r="BG64" s="101">
        <f>IF($Y$1="Off",'Intermediate calculations'!BG64,IF($Y$1="PQ",'Net zero supporting data'!AJ101,IF('Net zero Intermediate calcs'!$Y$1="GS",'Net zero supporting data'!AJ65,'Net zero supporting data'!AJ84)))</f>
        <v>0.57072000000000001</v>
      </c>
      <c r="BH64" s="101">
        <f>IF($Y$1="Off",'Intermediate calculations'!BH64,IF($Y$1="PQ",'Net zero supporting data'!AK101,IF('Net zero Intermediate calcs'!$Y$1="GS",'Net zero supporting data'!AK65,'Net zero supporting data'!AK84)))</f>
        <v>0.57159000000000004</v>
      </c>
      <c r="BI64" s="101">
        <f>IF($Y$1="Off",'Intermediate calculations'!BI64,IF($Y$1="PQ",'Net zero supporting data'!AL101,IF('Net zero Intermediate calcs'!$Y$1="GS",'Net zero supporting data'!AL65,'Net zero supporting data'!AL84)))</f>
        <v>0.57245999999999997</v>
      </c>
      <c r="BJ64" s="101">
        <f>IF($Y$1="Off",'Intermediate calculations'!BJ64,IF($Y$1="PQ",'Net zero supporting data'!AM101,IF('Net zero Intermediate calcs'!$Y$1="GS",'Net zero supporting data'!AM65,'Net zero supporting data'!AM84)))</f>
        <v>0.57333000000000001</v>
      </c>
      <c r="BK64" s="101">
        <f>IF($Y$1="Off",'Intermediate calculations'!BK64,IF($Y$1="PQ",'Net zero supporting data'!AN101,IF('Net zero Intermediate calcs'!$Y$1="GS",'Net zero supporting data'!AN65,'Net zero supporting data'!AN84)))</f>
        <v>0.57420000000000004</v>
      </c>
    </row>
    <row r="65" spans="1:63" x14ac:dyDescent="0.25">
      <c r="A65" t="s">
        <v>850</v>
      </c>
      <c r="B65" t="s">
        <v>851</v>
      </c>
      <c r="Y65" s="22">
        <f>'Levers &amp; variables'!G8</f>
        <v>120</v>
      </c>
      <c r="Z65" s="22">
        <f t="shared" si="10"/>
        <v>120</v>
      </c>
      <c r="AA65" s="22">
        <f t="shared" si="10"/>
        <v>120</v>
      </c>
      <c r="AB65" s="22">
        <f t="shared" si="10"/>
        <v>120</v>
      </c>
      <c r="AC65" s="22">
        <f t="shared" si="10"/>
        <v>120</v>
      </c>
      <c r="AD65" s="22">
        <f t="shared" si="10"/>
        <v>120</v>
      </c>
      <c r="AE65" s="22">
        <f t="shared" si="10"/>
        <v>120</v>
      </c>
      <c r="AF65" s="22">
        <f t="shared" si="10"/>
        <v>120</v>
      </c>
      <c r="AG65" s="22">
        <f>'Levers &amp; variables'!H8</f>
        <v>120</v>
      </c>
      <c r="AH65" s="22">
        <f t="shared" si="11"/>
        <v>120</v>
      </c>
      <c r="AI65" s="22">
        <f t="shared" si="11"/>
        <v>120</v>
      </c>
      <c r="AJ65" s="22">
        <f t="shared" si="11"/>
        <v>120</v>
      </c>
      <c r="AK65" s="22">
        <f t="shared" si="11"/>
        <v>120</v>
      </c>
      <c r="AL65" s="22">
        <f t="shared" si="11"/>
        <v>120</v>
      </c>
      <c r="AM65" s="22">
        <f t="shared" si="11"/>
        <v>120</v>
      </c>
      <c r="AN65" s="22">
        <f t="shared" si="11"/>
        <v>120</v>
      </c>
      <c r="AO65" s="22">
        <f t="shared" si="11"/>
        <v>120</v>
      </c>
      <c r="AP65" s="22">
        <f t="shared" si="11"/>
        <v>120</v>
      </c>
      <c r="AQ65" s="22">
        <f>'Levers &amp; variables'!I8</f>
        <v>120</v>
      </c>
      <c r="AR65" s="22">
        <f t="shared" si="12"/>
        <v>120</v>
      </c>
      <c r="AS65" s="22">
        <f t="shared" si="12"/>
        <v>120</v>
      </c>
      <c r="AT65" s="22">
        <f t="shared" si="12"/>
        <v>120</v>
      </c>
      <c r="AU65" s="22">
        <f t="shared" si="12"/>
        <v>120</v>
      </c>
      <c r="AV65" s="22">
        <f t="shared" si="12"/>
        <v>120</v>
      </c>
      <c r="AW65" s="22">
        <f t="shared" si="12"/>
        <v>120</v>
      </c>
      <c r="AX65" s="22">
        <f t="shared" si="12"/>
        <v>120</v>
      </c>
      <c r="AY65" s="22">
        <f t="shared" si="12"/>
        <v>120</v>
      </c>
      <c r="AZ65" s="22">
        <f t="shared" si="12"/>
        <v>120</v>
      </c>
      <c r="BA65" s="22">
        <f>'Levers &amp; variables'!J8</f>
        <v>120</v>
      </c>
      <c r="BB65" s="22">
        <f t="shared" si="13"/>
        <v>120</v>
      </c>
      <c r="BC65" s="22">
        <f t="shared" si="13"/>
        <v>120</v>
      </c>
      <c r="BD65" s="22">
        <f t="shared" si="13"/>
        <v>120</v>
      </c>
      <c r="BE65" s="22">
        <f t="shared" si="13"/>
        <v>120</v>
      </c>
      <c r="BF65" s="22">
        <f t="shared" si="13"/>
        <v>120</v>
      </c>
      <c r="BG65" s="22">
        <f t="shared" si="13"/>
        <v>120</v>
      </c>
      <c r="BH65" s="22">
        <f t="shared" si="13"/>
        <v>120</v>
      </c>
      <c r="BI65" s="22">
        <f t="shared" si="13"/>
        <v>120</v>
      </c>
      <c r="BJ65" s="22">
        <f t="shared" si="13"/>
        <v>120</v>
      </c>
      <c r="BK65" s="22">
        <f>'Levers &amp; variables'!K8</f>
        <v>120</v>
      </c>
    </row>
  </sheetData>
  <pageMargins left="0.7" right="0.7" top="0.75" bottom="0.75" header="0.3" footer="0.3"/>
  <pageSetup paperSize="9" orientation="portrait" r:id="rId1"/>
  <extLst>
    <ext xmlns:x14="http://schemas.microsoft.com/office/spreadsheetml/2009/9/main" uri="{05C60535-1F16-4fd2-B633-F4F36F0B64E0}">
      <x14:sparklineGroups xmlns:xm="http://schemas.microsoft.com/office/excel/2006/main">
        <x14:sparklineGroup displayEmptyCellsAs="gap" xr2:uid="{B6947CF7-CBCD-4371-9709-4704D708E751}">
          <x14:colorSeries rgb="FF376092"/>
          <x14:colorNegative rgb="FFD00000"/>
          <x14:colorAxis rgb="FF000000"/>
          <x14:colorMarkers rgb="FFD00000"/>
          <x14:colorFirst rgb="FFD00000"/>
          <x14:colorLast rgb="FFD00000"/>
          <x14:colorHigh rgb="FFD00000"/>
          <x14:colorLow rgb="FFD00000"/>
          <x14:sparklines>
            <x14:sparkline>
              <xm:f>'Net zero Intermediate calcs'!C5:BK5</xm:f>
              <xm:sqref>BM5</xm:sqref>
            </x14:sparkline>
            <x14:sparkline>
              <xm:f>'Net zero Intermediate calcs'!C6:BK6</xm:f>
              <xm:sqref>BM6</xm:sqref>
            </x14:sparkline>
            <x14:sparkline>
              <xm:f>'Net zero Intermediate calcs'!C7:BK7</xm:f>
              <xm:sqref>BM7</xm:sqref>
            </x14:sparkline>
            <x14:sparkline>
              <xm:f>'Net zero Intermediate calcs'!C8:BK8</xm:f>
              <xm:sqref>BM8</xm:sqref>
            </x14:sparkline>
            <x14:sparkline>
              <xm:f>'Net zero Intermediate calcs'!C9:BK9</xm:f>
              <xm:sqref>BM9</xm:sqref>
            </x14:sparkline>
            <x14:sparkline>
              <xm:f>'Net zero Intermediate calcs'!C10:BK10</xm:f>
              <xm:sqref>BM10</xm:sqref>
            </x14:sparkline>
            <x14:sparkline>
              <xm:f>'Net zero Intermediate calcs'!C11:BK11</xm:f>
              <xm:sqref>BM11</xm:sqref>
            </x14:sparkline>
          </x14:sparklines>
        </x14:sparklineGroup>
      </x14:sparklineGroup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59BF6-98F6-4036-8327-F19D405A6FF2}">
  <sheetPr>
    <tabColor rgb="FFFF00FF"/>
  </sheetPr>
  <dimension ref="A1:AV216"/>
  <sheetViews>
    <sheetView workbookViewId="0">
      <pane ySplit="3" topLeftCell="A88" activePane="bottomLeft" state="frozen"/>
      <selection pane="bottomLeft" activeCell="K97" sqref="K97"/>
    </sheetView>
  </sheetViews>
  <sheetFormatPr defaultRowHeight="15" x14ac:dyDescent="0.25"/>
  <cols>
    <col min="1" max="1" width="51" customWidth="1"/>
    <col min="2" max="9" width="10.7109375" customWidth="1"/>
    <col min="10" max="10" width="12" customWidth="1"/>
    <col min="11" max="11" width="11.42578125" customWidth="1"/>
    <col min="12" max="12" width="11.28515625" customWidth="1"/>
    <col min="13" max="31" width="12" bestFit="1" customWidth="1"/>
    <col min="32" max="32" width="10" bestFit="1" customWidth="1"/>
    <col min="33" max="36" width="12" bestFit="1" customWidth="1"/>
    <col min="37" max="37" width="10" bestFit="1" customWidth="1"/>
    <col min="38" max="41" width="12" bestFit="1" customWidth="1"/>
  </cols>
  <sheetData>
    <row r="1" spans="1:48" ht="18.75" x14ac:dyDescent="0.3">
      <c r="A1" s="1" t="s">
        <v>942</v>
      </c>
      <c r="B1" s="1"/>
      <c r="C1" s="1"/>
      <c r="D1" s="1"/>
      <c r="E1" s="1"/>
      <c r="F1" s="1"/>
      <c r="G1" s="1"/>
      <c r="H1" s="1"/>
      <c r="I1" s="1"/>
    </row>
    <row r="3" spans="1:48" s="19" customFormat="1" ht="29.25" customHeight="1" x14ac:dyDescent="0.25">
      <c r="A3" s="17"/>
      <c r="B3" s="17">
        <v>2012</v>
      </c>
      <c r="C3" s="17">
        <v>2013</v>
      </c>
      <c r="D3" s="17">
        <v>2014</v>
      </c>
      <c r="E3" s="17">
        <v>2015</v>
      </c>
      <c r="F3" s="17">
        <v>2016</v>
      </c>
      <c r="G3" s="17">
        <v>2017</v>
      </c>
      <c r="H3" s="17">
        <v>2018</v>
      </c>
      <c r="I3" s="17">
        <v>2019</v>
      </c>
      <c r="J3" s="17">
        <v>2020</v>
      </c>
      <c r="K3" s="17">
        <v>2021</v>
      </c>
      <c r="L3" s="17">
        <v>2022</v>
      </c>
      <c r="M3" s="17">
        <v>2023</v>
      </c>
      <c r="N3" s="17">
        <v>2024</v>
      </c>
      <c r="O3" s="17">
        <v>2025</v>
      </c>
      <c r="P3" s="17">
        <v>2026</v>
      </c>
      <c r="Q3" s="17">
        <v>2027</v>
      </c>
      <c r="R3" s="17">
        <v>2028</v>
      </c>
      <c r="S3" s="17">
        <v>2029</v>
      </c>
      <c r="T3" s="17">
        <v>2030</v>
      </c>
      <c r="U3" s="17">
        <v>2031</v>
      </c>
      <c r="V3" s="17">
        <v>2032</v>
      </c>
      <c r="W3" s="17">
        <v>2033</v>
      </c>
      <c r="X3" s="17">
        <v>2034</v>
      </c>
      <c r="Y3" s="17">
        <v>2035</v>
      </c>
      <c r="Z3" s="17">
        <v>2036</v>
      </c>
      <c r="AA3" s="17">
        <v>2037</v>
      </c>
      <c r="AB3" s="17">
        <v>2038</v>
      </c>
      <c r="AC3" s="17">
        <v>2039</v>
      </c>
      <c r="AD3" s="17">
        <v>2040</v>
      </c>
      <c r="AE3" s="17">
        <v>2041</v>
      </c>
      <c r="AF3" s="17">
        <v>2042</v>
      </c>
      <c r="AG3" s="17">
        <v>2043</v>
      </c>
      <c r="AH3" s="17">
        <v>2044</v>
      </c>
      <c r="AI3" s="17">
        <v>2045</v>
      </c>
      <c r="AJ3" s="17">
        <v>2046</v>
      </c>
      <c r="AK3" s="17">
        <v>2047</v>
      </c>
      <c r="AL3" s="17">
        <v>2048</v>
      </c>
      <c r="AM3" s="17">
        <v>2049</v>
      </c>
      <c r="AN3" s="17">
        <v>2050</v>
      </c>
    </row>
    <row r="4" spans="1:48" s="53" customFormat="1" ht="18.75" x14ac:dyDescent="0.3">
      <c r="A4" s="95" t="s">
        <v>943</v>
      </c>
      <c r="B4" s="95"/>
      <c r="C4" s="95"/>
      <c r="D4" s="95"/>
      <c r="E4" s="95"/>
      <c r="F4" s="95"/>
      <c r="G4" s="95"/>
      <c r="H4" s="95"/>
      <c r="I4" s="95"/>
      <c r="J4" s="96"/>
      <c r="K4" s="96"/>
      <c r="L4" s="96"/>
      <c r="M4" s="96"/>
      <c r="N4" s="96"/>
      <c r="O4" s="96"/>
      <c r="P4" s="96"/>
      <c r="Q4" s="96"/>
      <c r="R4" s="96"/>
      <c r="S4" s="96"/>
      <c r="T4" s="96"/>
      <c r="U4" s="96"/>
      <c r="V4" s="96"/>
      <c r="W4" s="96"/>
      <c r="X4" s="96"/>
      <c r="Y4" s="96"/>
      <c r="Z4" s="96"/>
      <c r="AA4" s="96"/>
      <c r="AB4" s="96"/>
      <c r="AC4" s="96"/>
      <c r="AD4" s="96"/>
      <c r="AE4" s="96"/>
      <c r="AF4" s="96"/>
      <c r="AG4" s="96"/>
      <c r="AH4" s="96"/>
      <c r="AI4" s="96"/>
      <c r="AJ4" s="96"/>
      <c r="AK4" s="96"/>
      <c r="AL4" s="96"/>
      <c r="AM4" s="96"/>
      <c r="AN4" s="96"/>
    </row>
    <row r="5" spans="1:48" s="120" customFormat="1" ht="15.75" x14ac:dyDescent="0.25">
      <c r="A5" s="116" t="s">
        <v>1004</v>
      </c>
      <c r="B5" s="116"/>
      <c r="C5" s="116"/>
      <c r="D5" s="116"/>
      <c r="E5" s="116"/>
      <c r="F5" s="116"/>
      <c r="G5" s="116"/>
      <c r="H5" s="116"/>
      <c r="I5" s="116"/>
      <c r="J5" s="118"/>
      <c r="K5" s="118"/>
      <c r="L5" s="118"/>
      <c r="M5" s="118"/>
      <c r="N5" s="118"/>
      <c r="O5" s="118"/>
      <c r="P5" s="119"/>
      <c r="Q5" s="119"/>
      <c r="R5" s="119"/>
      <c r="S5" s="119"/>
      <c r="T5" s="119"/>
      <c r="U5" s="119"/>
      <c r="V5" s="119"/>
      <c r="W5" s="119"/>
      <c r="X5" s="119"/>
      <c r="Y5" s="119"/>
      <c r="Z5" s="119"/>
      <c r="AA5" s="119"/>
      <c r="AB5" s="119"/>
      <c r="AC5" s="119"/>
      <c r="AD5" s="119"/>
      <c r="AE5" s="119"/>
      <c r="AF5" s="119"/>
      <c r="AG5" s="119"/>
      <c r="AH5" s="119"/>
      <c r="AI5" s="119"/>
      <c r="AJ5" s="119"/>
      <c r="AK5" s="119"/>
      <c r="AL5" s="119"/>
      <c r="AM5" s="119"/>
      <c r="AN5" s="119"/>
      <c r="AO5" s="119"/>
      <c r="AP5" s="119"/>
      <c r="AQ5" s="119"/>
      <c r="AR5" s="119"/>
      <c r="AS5" s="119"/>
      <c r="AT5" s="119"/>
      <c r="AU5" s="119"/>
      <c r="AV5" s="119"/>
    </row>
    <row r="6" spans="1:48" x14ac:dyDescent="0.25">
      <c r="A6" t="s">
        <v>949</v>
      </c>
      <c r="B6">
        <f>'Net zero activities &amp; levers'!$C$18</f>
        <v>3</v>
      </c>
      <c r="C6">
        <f>'Net zero activities &amp; levers'!$C$18</f>
        <v>3</v>
      </c>
      <c r="D6">
        <f>'Net zero activities &amp; levers'!$C$18</f>
        <v>3</v>
      </c>
      <c r="E6">
        <f>'Net zero activities &amp; levers'!$C$18</f>
        <v>3</v>
      </c>
      <c r="F6">
        <f>'Net zero activities &amp; levers'!$C$18</f>
        <v>3</v>
      </c>
      <c r="G6">
        <f>'Net zero activities &amp; levers'!$C$18</f>
        <v>3</v>
      </c>
      <c r="H6">
        <f>'Net zero activities &amp; levers'!$C$18</f>
        <v>3</v>
      </c>
      <c r="I6">
        <f>'Net zero activities &amp; levers'!$C$18</f>
        <v>3</v>
      </c>
      <c r="J6">
        <f>'Net zero activities &amp; levers'!$C$18</f>
        <v>3</v>
      </c>
      <c r="K6">
        <f>J6+($T6-$J6)/10</f>
        <v>3.1</v>
      </c>
      <c r="L6">
        <f t="shared" ref="L6:S6" si="0">K6+($T6-$J6)/10</f>
        <v>3.2</v>
      </c>
      <c r="M6">
        <f t="shared" si="0"/>
        <v>3.3000000000000003</v>
      </c>
      <c r="N6">
        <f t="shared" si="0"/>
        <v>3.4000000000000004</v>
      </c>
      <c r="O6">
        <f t="shared" si="0"/>
        <v>3.5000000000000004</v>
      </c>
      <c r="P6">
        <f t="shared" si="0"/>
        <v>3.6000000000000005</v>
      </c>
      <c r="Q6">
        <f t="shared" si="0"/>
        <v>3.7000000000000006</v>
      </c>
      <c r="R6">
        <f t="shared" si="0"/>
        <v>3.8000000000000007</v>
      </c>
      <c r="S6">
        <f t="shared" si="0"/>
        <v>3.9000000000000008</v>
      </c>
      <c r="T6">
        <f>'Net zero activities &amp; levers'!$D18</f>
        <v>4</v>
      </c>
      <c r="U6">
        <f>T6+($AD6-$T6)/10</f>
        <v>4</v>
      </c>
      <c r="V6">
        <f t="shared" ref="V6:AC6" si="1">U6+($AD6-$T6)/10</f>
        <v>4</v>
      </c>
      <c r="W6">
        <f t="shared" si="1"/>
        <v>4</v>
      </c>
      <c r="X6">
        <f t="shared" si="1"/>
        <v>4</v>
      </c>
      <c r="Y6">
        <f t="shared" si="1"/>
        <v>4</v>
      </c>
      <c r="Z6">
        <f t="shared" si="1"/>
        <v>4</v>
      </c>
      <c r="AA6">
        <f t="shared" si="1"/>
        <v>4</v>
      </c>
      <c r="AB6">
        <f t="shared" si="1"/>
        <v>4</v>
      </c>
      <c r="AC6">
        <f t="shared" si="1"/>
        <v>4</v>
      </c>
      <c r="AD6">
        <f>'Net zero activities &amp; levers'!$E18</f>
        <v>4</v>
      </c>
      <c r="AE6">
        <f>AD6+($AN6-$AD6)/10</f>
        <v>4</v>
      </c>
      <c r="AF6">
        <f t="shared" ref="AF6:AM6" si="2">AE6+($AN6-$AD6)/10</f>
        <v>4</v>
      </c>
      <c r="AG6">
        <f t="shared" si="2"/>
        <v>4</v>
      </c>
      <c r="AH6">
        <f t="shared" si="2"/>
        <v>4</v>
      </c>
      <c r="AI6">
        <f t="shared" si="2"/>
        <v>4</v>
      </c>
      <c r="AJ6">
        <f t="shared" si="2"/>
        <v>4</v>
      </c>
      <c r="AK6">
        <f t="shared" si="2"/>
        <v>4</v>
      </c>
      <c r="AL6">
        <f t="shared" si="2"/>
        <v>4</v>
      </c>
      <c r="AM6">
        <f t="shared" si="2"/>
        <v>4</v>
      </c>
      <c r="AN6">
        <f>'Net zero activities &amp; levers'!$F18</f>
        <v>4</v>
      </c>
    </row>
    <row r="7" spans="1:48" x14ac:dyDescent="0.25">
      <c r="A7" t="s">
        <v>951</v>
      </c>
      <c r="B7">
        <f>'Net zero activities &amp; levers'!$C$19</f>
        <v>2</v>
      </c>
      <c r="C7">
        <f>'Net zero activities &amp; levers'!$C$19</f>
        <v>2</v>
      </c>
      <c r="D7">
        <f>'Net zero activities &amp; levers'!$C$19</f>
        <v>2</v>
      </c>
      <c r="E7">
        <f>'Net zero activities &amp; levers'!$C$19</f>
        <v>2</v>
      </c>
      <c r="F7">
        <f>'Net zero activities &amp; levers'!$C$19</f>
        <v>2</v>
      </c>
      <c r="G7">
        <f>'Net zero activities &amp; levers'!$C$19</f>
        <v>2</v>
      </c>
      <c r="H7">
        <f>'Net zero activities &amp; levers'!$C$19</f>
        <v>2</v>
      </c>
      <c r="I7">
        <f>'Net zero activities &amp; levers'!$C$19</f>
        <v>2</v>
      </c>
      <c r="J7">
        <f>'Net zero activities &amp; levers'!$C$19</f>
        <v>2</v>
      </c>
      <c r="K7">
        <f>J7+($T7-$J7)/10</f>
        <v>2.2000000000000002</v>
      </c>
      <c r="L7">
        <f t="shared" ref="L7:S7" si="3">K7+($T7-$J7)/10</f>
        <v>2.4000000000000004</v>
      </c>
      <c r="M7">
        <f t="shared" si="3"/>
        <v>2.6000000000000005</v>
      </c>
      <c r="N7">
        <f t="shared" si="3"/>
        <v>2.8000000000000007</v>
      </c>
      <c r="O7">
        <f t="shared" si="3"/>
        <v>3.0000000000000009</v>
      </c>
      <c r="P7">
        <f t="shared" si="3"/>
        <v>3.2000000000000011</v>
      </c>
      <c r="Q7">
        <f t="shared" si="3"/>
        <v>3.4000000000000012</v>
      </c>
      <c r="R7">
        <f t="shared" si="3"/>
        <v>3.6000000000000014</v>
      </c>
      <c r="S7">
        <f t="shared" si="3"/>
        <v>3.8000000000000016</v>
      </c>
      <c r="T7">
        <f>'Net zero activities &amp; levers'!$D19</f>
        <v>4</v>
      </c>
      <c r="U7">
        <f>T7+($AD7-$T7)/10</f>
        <v>4</v>
      </c>
      <c r="V7">
        <f t="shared" ref="V7:AC7" si="4">U7+($AD7-$T7)/10</f>
        <v>4</v>
      </c>
      <c r="W7">
        <f t="shared" si="4"/>
        <v>4</v>
      </c>
      <c r="X7">
        <f t="shared" si="4"/>
        <v>4</v>
      </c>
      <c r="Y7">
        <f t="shared" si="4"/>
        <v>4</v>
      </c>
      <c r="Z7">
        <f t="shared" si="4"/>
        <v>4</v>
      </c>
      <c r="AA7">
        <f t="shared" si="4"/>
        <v>4</v>
      </c>
      <c r="AB7">
        <f t="shared" si="4"/>
        <v>4</v>
      </c>
      <c r="AC7">
        <f t="shared" si="4"/>
        <v>4</v>
      </c>
      <c r="AD7">
        <f>'Net zero activities &amp; levers'!$E19</f>
        <v>4</v>
      </c>
      <c r="AE7">
        <f>AD7+($AN7-$AD7)/10</f>
        <v>4</v>
      </c>
      <c r="AF7">
        <f t="shared" ref="AF7:AM7" si="5">AE7+($AN7-$AD7)/10</f>
        <v>4</v>
      </c>
      <c r="AG7">
        <f t="shared" si="5"/>
        <v>4</v>
      </c>
      <c r="AH7">
        <f t="shared" si="5"/>
        <v>4</v>
      </c>
      <c r="AI7">
        <f t="shared" si="5"/>
        <v>4</v>
      </c>
      <c r="AJ7">
        <f t="shared" si="5"/>
        <v>4</v>
      </c>
      <c r="AK7">
        <f t="shared" si="5"/>
        <v>4</v>
      </c>
      <c r="AL7">
        <f t="shared" si="5"/>
        <v>4</v>
      </c>
      <c r="AM7">
        <f t="shared" si="5"/>
        <v>4</v>
      </c>
      <c r="AN7">
        <f>'Net zero activities &amp; levers'!$F19</f>
        <v>4</v>
      </c>
    </row>
    <row r="8" spans="1:48" x14ac:dyDescent="0.25">
      <c r="A8" t="s">
        <v>950</v>
      </c>
      <c r="B8">
        <f>'Net zero activities &amp; levers'!$C$20</f>
        <v>3</v>
      </c>
      <c r="C8">
        <f>'Net zero activities &amp; levers'!$C$20</f>
        <v>3</v>
      </c>
      <c r="D8">
        <f>'Net zero activities &amp; levers'!$C$20</f>
        <v>3</v>
      </c>
      <c r="E8">
        <f>'Net zero activities &amp; levers'!$C$20</f>
        <v>3</v>
      </c>
      <c r="F8">
        <f>'Net zero activities &amp; levers'!$C$20</f>
        <v>3</v>
      </c>
      <c r="G8">
        <f>'Net zero activities &amp; levers'!$C$20</f>
        <v>3</v>
      </c>
      <c r="H8">
        <f>'Net zero activities &amp; levers'!$C$20</f>
        <v>3</v>
      </c>
      <c r="I8">
        <f>'Net zero activities &amp; levers'!$C$20</f>
        <v>3</v>
      </c>
      <c r="J8">
        <f>'Net zero activities &amp; levers'!$C$20</f>
        <v>3</v>
      </c>
      <c r="K8">
        <f t="shared" ref="K8:S8" si="6">J8+($T8-$J8)/10</f>
        <v>3.1</v>
      </c>
      <c r="L8">
        <f t="shared" si="6"/>
        <v>3.2</v>
      </c>
      <c r="M8">
        <f t="shared" si="6"/>
        <v>3.3000000000000003</v>
      </c>
      <c r="N8">
        <f t="shared" si="6"/>
        <v>3.4000000000000004</v>
      </c>
      <c r="O8">
        <f t="shared" si="6"/>
        <v>3.5000000000000004</v>
      </c>
      <c r="P8">
        <f t="shared" si="6"/>
        <v>3.6000000000000005</v>
      </c>
      <c r="Q8">
        <f t="shared" si="6"/>
        <v>3.7000000000000006</v>
      </c>
      <c r="R8">
        <f t="shared" si="6"/>
        <v>3.8000000000000007</v>
      </c>
      <c r="S8">
        <f t="shared" si="6"/>
        <v>3.9000000000000008</v>
      </c>
      <c r="T8">
        <f>'Net zero activities &amp; levers'!$D20</f>
        <v>4</v>
      </c>
      <c r="U8">
        <f t="shared" ref="U8:AC8" si="7">T8+($AD8-$T8)/10</f>
        <v>4</v>
      </c>
      <c r="V8">
        <f t="shared" si="7"/>
        <v>4</v>
      </c>
      <c r="W8">
        <f t="shared" si="7"/>
        <v>4</v>
      </c>
      <c r="X8">
        <f t="shared" si="7"/>
        <v>4</v>
      </c>
      <c r="Y8">
        <f t="shared" si="7"/>
        <v>4</v>
      </c>
      <c r="Z8">
        <f t="shared" si="7"/>
        <v>4</v>
      </c>
      <c r="AA8">
        <f t="shared" si="7"/>
        <v>4</v>
      </c>
      <c r="AB8">
        <f t="shared" si="7"/>
        <v>4</v>
      </c>
      <c r="AC8">
        <f t="shared" si="7"/>
        <v>4</v>
      </c>
      <c r="AD8">
        <f>'Net zero activities &amp; levers'!$E20</f>
        <v>4</v>
      </c>
      <c r="AE8">
        <f t="shared" ref="AE8:AM8" si="8">AD8+($AN8-$AD8)/10</f>
        <v>4</v>
      </c>
      <c r="AF8">
        <f t="shared" si="8"/>
        <v>4</v>
      </c>
      <c r="AG8">
        <f t="shared" si="8"/>
        <v>4</v>
      </c>
      <c r="AH8">
        <f t="shared" si="8"/>
        <v>4</v>
      </c>
      <c r="AI8">
        <f t="shared" si="8"/>
        <v>4</v>
      </c>
      <c r="AJ8">
        <f t="shared" si="8"/>
        <v>4</v>
      </c>
      <c r="AK8">
        <f t="shared" si="8"/>
        <v>4</v>
      </c>
      <c r="AL8">
        <f t="shared" si="8"/>
        <v>4</v>
      </c>
      <c r="AM8">
        <f t="shared" si="8"/>
        <v>4</v>
      </c>
      <c r="AN8">
        <f>'Net zero activities &amp; levers'!$F20</f>
        <v>4</v>
      </c>
    </row>
    <row r="9" spans="1:48" x14ac:dyDescent="0.25">
      <c r="A9" t="s">
        <v>956</v>
      </c>
      <c r="B9">
        <f>C6-B6</f>
        <v>0</v>
      </c>
      <c r="C9">
        <f t="shared" ref="C9:AN9" si="9">C6-B6</f>
        <v>0</v>
      </c>
      <c r="D9">
        <f t="shared" si="9"/>
        <v>0</v>
      </c>
      <c r="E9">
        <f t="shared" si="9"/>
        <v>0</v>
      </c>
      <c r="F9">
        <f t="shared" si="9"/>
        <v>0</v>
      </c>
      <c r="G9">
        <f t="shared" si="9"/>
        <v>0</v>
      </c>
      <c r="H9">
        <f t="shared" si="9"/>
        <v>0</v>
      </c>
      <c r="I9">
        <f t="shared" si="9"/>
        <v>0</v>
      </c>
      <c r="J9">
        <f t="shared" si="9"/>
        <v>0</v>
      </c>
      <c r="K9">
        <f t="shared" si="9"/>
        <v>0.10000000000000009</v>
      </c>
      <c r="L9">
        <f t="shared" si="9"/>
        <v>0.10000000000000009</v>
      </c>
      <c r="M9">
        <f t="shared" si="9"/>
        <v>0.10000000000000009</v>
      </c>
      <c r="N9">
        <f t="shared" si="9"/>
        <v>0.10000000000000009</v>
      </c>
      <c r="O9">
        <f t="shared" si="9"/>
        <v>0.10000000000000009</v>
      </c>
      <c r="P9">
        <f t="shared" si="9"/>
        <v>0.10000000000000009</v>
      </c>
      <c r="Q9">
        <f t="shared" si="9"/>
        <v>0.10000000000000009</v>
      </c>
      <c r="R9">
        <f t="shared" si="9"/>
        <v>0.10000000000000009</v>
      </c>
      <c r="S9">
        <f t="shared" si="9"/>
        <v>0.10000000000000009</v>
      </c>
      <c r="T9">
        <f t="shared" si="9"/>
        <v>9.9999999999999201E-2</v>
      </c>
      <c r="U9">
        <f t="shared" si="9"/>
        <v>0</v>
      </c>
      <c r="V9">
        <f t="shared" si="9"/>
        <v>0</v>
      </c>
      <c r="W9">
        <f t="shared" si="9"/>
        <v>0</v>
      </c>
      <c r="X9">
        <f t="shared" si="9"/>
        <v>0</v>
      </c>
      <c r="Y9">
        <f t="shared" si="9"/>
        <v>0</v>
      </c>
      <c r="Z9">
        <f t="shared" si="9"/>
        <v>0</v>
      </c>
      <c r="AA9">
        <f t="shared" si="9"/>
        <v>0</v>
      </c>
      <c r="AB9">
        <f t="shared" si="9"/>
        <v>0</v>
      </c>
      <c r="AC9">
        <f t="shared" si="9"/>
        <v>0</v>
      </c>
      <c r="AD9">
        <f t="shared" si="9"/>
        <v>0</v>
      </c>
      <c r="AE9">
        <f t="shared" si="9"/>
        <v>0</v>
      </c>
      <c r="AF9">
        <f t="shared" si="9"/>
        <v>0</v>
      </c>
      <c r="AG9">
        <f t="shared" si="9"/>
        <v>0</v>
      </c>
      <c r="AH9">
        <f t="shared" si="9"/>
        <v>0</v>
      </c>
      <c r="AI9">
        <f t="shared" si="9"/>
        <v>0</v>
      </c>
      <c r="AJ9">
        <f t="shared" si="9"/>
        <v>0</v>
      </c>
      <c r="AK9">
        <f t="shared" si="9"/>
        <v>0</v>
      </c>
      <c r="AL9">
        <f t="shared" si="9"/>
        <v>0</v>
      </c>
      <c r="AM9">
        <f t="shared" si="9"/>
        <v>0</v>
      </c>
      <c r="AN9">
        <f t="shared" si="9"/>
        <v>0</v>
      </c>
    </row>
    <row r="10" spans="1:48" x14ac:dyDescent="0.25">
      <c r="A10" t="s">
        <v>954</v>
      </c>
      <c r="B10">
        <f>C7-B7</f>
        <v>0</v>
      </c>
      <c r="C10">
        <f t="shared" ref="C10:AN10" si="10">C7-B7</f>
        <v>0</v>
      </c>
      <c r="D10">
        <f t="shared" si="10"/>
        <v>0</v>
      </c>
      <c r="E10">
        <f t="shared" si="10"/>
        <v>0</v>
      </c>
      <c r="F10">
        <f t="shared" si="10"/>
        <v>0</v>
      </c>
      <c r="G10">
        <f t="shared" si="10"/>
        <v>0</v>
      </c>
      <c r="H10">
        <f t="shared" si="10"/>
        <v>0</v>
      </c>
      <c r="I10">
        <f t="shared" si="10"/>
        <v>0</v>
      </c>
      <c r="J10">
        <f t="shared" si="10"/>
        <v>0</v>
      </c>
      <c r="K10">
        <f t="shared" si="10"/>
        <v>0.20000000000000018</v>
      </c>
      <c r="L10">
        <f t="shared" si="10"/>
        <v>0.20000000000000018</v>
      </c>
      <c r="M10">
        <f t="shared" si="10"/>
        <v>0.20000000000000018</v>
      </c>
      <c r="N10">
        <f t="shared" si="10"/>
        <v>0.20000000000000018</v>
      </c>
      <c r="O10">
        <f t="shared" si="10"/>
        <v>0.20000000000000018</v>
      </c>
      <c r="P10">
        <f t="shared" si="10"/>
        <v>0.20000000000000018</v>
      </c>
      <c r="Q10">
        <f t="shared" si="10"/>
        <v>0.20000000000000018</v>
      </c>
      <c r="R10">
        <f t="shared" si="10"/>
        <v>0.20000000000000018</v>
      </c>
      <c r="S10">
        <f t="shared" si="10"/>
        <v>0.20000000000000018</v>
      </c>
      <c r="T10">
        <f t="shared" si="10"/>
        <v>0.1999999999999984</v>
      </c>
      <c r="U10">
        <f t="shared" si="10"/>
        <v>0</v>
      </c>
      <c r="V10">
        <f t="shared" si="10"/>
        <v>0</v>
      </c>
      <c r="W10">
        <f t="shared" si="10"/>
        <v>0</v>
      </c>
      <c r="X10">
        <f t="shared" si="10"/>
        <v>0</v>
      </c>
      <c r="Y10">
        <f t="shared" si="10"/>
        <v>0</v>
      </c>
      <c r="Z10">
        <f t="shared" si="10"/>
        <v>0</v>
      </c>
      <c r="AA10">
        <f t="shared" si="10"/>
        <v>0</v>
      </c>
      <c r="AB10">
        <f t="shared" si="10"/>
        <v>0</v>
      </c>
      <c r="AC10">
        <f t="shared" si="10"/>
        <v>0</v>
      </c>
      <c r="AD10">
        <f t="shared" si="10"/>
        <v>0</v>
      </c>
      <c r="AE10">
        <f t="shared" si="10"/>
        <v>0</v>
      </c>
      <c r="AF10">
        <f t="shared" si="10"/>
        <v>0</v>
      </c>
      <c r="AG10">
        <f t="shared" si="10"/>
        <v>0</v>
      </c>
      <c r="AH10">
        <f t="shared" si="10"/>
        <v>0</v>
      </c>
      <c r="AI10">
        <f t="shared" si="10"/>
        <v>0</v>
      </c>
      <c r="AJ10">
        <f t="shared" si="10"/>
        <v>0</v>
      </c>
      <c r="AK10">
        <f t="shared" si="10"/>
        <v>0</v>
      </c>
      <c r="AL10">
        <f t="shared" si="10"/>
        <v>0</v>
      </c>
      <c r="AM10">
        <f t="shared" si="10"/>
        <v>0</v>
      </c>
      <c r="AN10">
        <f t="shared" si="10"/>
        <v>0</v>
      </c>
    </row>
    <row r="11" spans="1:48" x14ac:dyDescent="0.25">
      <c r="A11" t="s">
        <v>955</v>
      </c>
      <c r="B11">
        <f t="shared" ref="B11" si="11">C8-B8</f>
        <v>0</v>
      </c>
      <c r="C11">
        <f t="shared" ref="C11:R11" si="12">C8-B8</f>
        <v>0</v>
      </c>
      <c r="D11">
        <f t="shared" si="12"/>
        <v>0</v>
      </c>
      <c r="E11">
        <f t="shared" si="12"/>
        <v>0</v>
      </c>
      <c r="F11">
        <f t="shared" si="12"/>
        <v>0</v>
      </c>
      <c r="G11">
        <f t="shared" si="12"/>
        <v>0</v>
      </c>
      <c r="H11">
        <f t="shared" si="12"/>
        <v>0</v>
      </c>
      <c r="I11">
        <f t="shared" si="12"/>
        <v>0</v>
      </c>
      <c r="J11">
        <f t="shared" si="12"/>
        <v>0</v>
      </c>
      <c r="K11">
        <f t="shared" si="12"/>
        <v>0.10000000000000009</v>
      </c>
      <c r="L11">
        <f t="shared" si="12"/>
        <v>0.10000000000000009</v>
      </c>
      <c r="M11">
        <f t="shared" si="12"/>
        <v>0.10000000000000009</v>
      </c>
      <c r="N11">
        <f t="shared" si="12"/>
        <v>0.10000000000000009</v>
      </c>
      <c r="O11">
        <f t="shared" si="12"/>
        <v>0.10000000000000009</v>
      </c>
      <c r="P11">
        <f t="shared" si="12"/>
        <v>0.10000000000000009</v>
      </c>
      <c r="Q11">
        <f t="shared" si="12"/>
        <v>0.10000000000000009</v>
      </c>
      <c r="R11">
        <f t="shared" si="12"/>
        <v>0.10000000000000009</v>
      </c>
      <c r="S11">
        <f t="shared" ref="S11:AN11" si="13">S8-R8</f>
        <v>0.10000000000000009</v>
      </c>
      <c r="T11">
        <f t="shared" si="13"/>
        <v>9.9999999999999201E-2</v>
      </c>
      <c r="U11">
        <f t="shared" si="13"/>
        <v>0</v>
      </c>
      <c r="V11">
        <f t="shared" si="13"/>
        <v>0</v>
      </c>
      <c r="W11">
        <f t="shared" si="13"/>
        <v>0</v>
      </c>
      <c r="X11">
        <f t="shared" si="13"/>
        <v>0</v>
      </c>
      <c r="Y11">
        <f t="shared" si="13"/>
        <v>0</v>
      </c>
      <c r="Z11">
        <f t="shared" si="13"/>
        <v>0</v>
      </c>
      <c r="AA11">
        <f t="shared" si="13"/>
        <v>0</v>
      </c>
      <c r="AB11">
        <f t="shared" si="13"/>
        <v>0</v>
      </c>
      <c r="AC11">
        <f t="shared" si="13"/>
        <v>0</v>
      </c>
      <c r="AD11">
        <f t="shared" si="13"/>
        <v>0</v>
      </c>
      <c r="AE11">
        <f t="shared" si="13"/>
        <v>0</v>
      </c>
      <c r="AF11">
        <f t="shared" si="13"/>
        <v>0</v>
      </c>
      <c r="AG11">
        <f t="shared" si="13"/>
        <v>0</v>
      </c>
      <c r="AH11">
        <f t="shared" si="13"/>
        <v>0</v>
      </c>
      <c r="AI11">
        <f t="shared" si="13"/>
        <v>0</v>
      </c>
      <c r="AJ11">
        <f t="shared" si="13"/>
        <v>0</v>
      </c>
      <c r="AK11">
        <f t="shared" si="13"/>
        <v>0</v>
      </c>
      <c r="AL11">
        <f t="shared" si="13"/>
        <v>0</v>
      </c>
      <c r="AM11">
        <f t="shared" si="13"/>
        <v>0</v>
      </c>
      <c r="AN11">
        <f t="shared" si="13"/>
        <v>0</v>
      </c>
    </row>
    <row r="12" spans="1:48" x14ac:dyDescent="0.25">
      <c r="A12" t="s">
        <v>1011</v>
      </c>
      <c r="B12">
        <f>'Net zero activities &amp; levers'!$C$21/100</f>
        <v>0</v>
      </c>
      <c r="C12">
        <f>B12</f>
        <v>0</v>
      </c>
      <c r="D12">
        <f t="shared" ref="D12:J12" si="14">C12</f>
        <v>0</v>
      </c>
      <c r="E12">
        <f t="shared" si="14"/>
        <v>0</v>
      </c>
      <c r="F12">
        <f t="shared" si="14"/>
        <v>0</v>
      </c>
      <c r="G12">
        <f t="shared" si="14"/>
        <v>0</v>
      </c>
      <c r="H12">
        <f t="shared" si="14"/>
        <v>0</v>
      </c>
      <c r="I12">
        <f t="shared" si="14"/>
        <v>0</v>
      </c>
      <c r="J12">
        <f t="shared" si="14"/>
        <v>0</v>
      </c>
      <c r="K12">
        <f>J12+($T12-$J12)/10</f>
        <v>0.08</v>
      </c>
      <c r="L12">
        <f t="shared" ref="L12:S12" si="15">K12+($T12-$J12)/10</f>
        <v>0.16</v>
      </c>
      <c r="M12">
        <f t="shared" si="15"/>
        <v>0.24</v>
      </c>
      <c r="N12">
        <f t="shared" si="15"/>
        <v>0.32</v>
      </c>
      <c r="O12">
        <f t="shared" si="15"/>
        <v>0.4</v>
      </c>
      <c r="P12">
        <f t="shared" si="15"/>
        <v>0.48000000000000004</v>
      </c>
      <c r="Q12">
        <f t="shared" si="15"/>
        <v>0.56000000000000005</v>
      </c>
      <c r="R12">
        <f t="shared" si="15"/>
        <v>0.64</v>
      </c>
      <c r="S12">
        <f t="shared" si="15"/>
        <v>0.72</v>
      </c>
      <c r="T12">
        <f>'Net zero activities &amp; levers'!$D$21/100</f>
        <v>0.8</v>
      </c>
      <c r="U12">
        <f t="shared" ref="U12:U14" si="16">T12+($AD12-$T12)/10</f>
        <v>0.82000000000000006</v>
      </c>
      <c r="V12">
        <f t="shared" ref="V12:V14" si="17">U12+($AD12-$T12)/10</f>
        <v>0.84000000000000008</v>
      </c>
      <c r="W12">
        <f t="shared" ref="W12:W14" si="18">V12+($AD12-$T12)/10</f>
        <v>0.8600000000000001</v>
      </c>
      <c r="X12">
        <f t="shared" ref="X12:X14" si="19">W12+($AD12-$T12)/10</f>
        <v>0.88000000000000012</v>
      </c>
      <c r="Y12">
        <f t="shared" ref="Y12:Y14" si="20">X12+($AD12-$T12)/10</f>
        <v>0.90000000000000013</v>
      </c>
      <c r="Z12">
        <f t="shared" ref="Z12:Z14" si="21">Y12+($AD12-$T12)/10</f>
        <v>0.92000000000000015</v>
      </c>
      <c r="AA12">
        <f t="shared" ref="AA12:AA14" si="22">Z12+($AD12-$T12)/10</f>
        <v>0.94000000000000017</v>
      </c>
      <c r="AB12">
        <f t="shared" ref="AB12:AB14" si="23">AA12+($AD12-$T12)/10</f>
        <v>0.96000000000000019</v>
      </c>
      <c r="AC12">
        <f t="shared" ref="AC12:AC14" si="24">AB12+($AD12-$T12)/10</f>
        <v>0.9800000000000002</v>
      </c>
      <c r="AD12">
        <f>'Net zero activities &amp; levers'!$E$21/100</f>
        <v>1</v>
      </c>
      <c r="AE12">
        <f t="shared" ref="AE12:AE14" si="25">AD12+($AN12-$AD12)/10</f>
        <v>1</v>
      </c>
      <c r="AF12">
        <f t="shared" ref="AF12:AF14" si="26">AE12+($AN12-$AD12)/10</f>
        <v>1</v>
      </c>
      <c r="AG12">
        <f t="shared" ref="AG12:AG14" si="27">AF12+($AN12-$AD12)/10</f>
        <v>1</v>
      </c>
      <c r="AH12">
        <f t="shared" ref="AH12:AH14" si="28">AG12+($AN12-$AD12)/10</f>
        <v>1</v>
      </c>
      <c r="AI12">
        <f t="shared" ref="AI12:AI14" si="29">AH12+($AN12-$AD12)/10</f>
        <v>1</v>
      </c>
      <c r="AJ12">
        <f t="shared" ref="AJ12:AJ14" si="30">AI12+($AN12-$AD12)/10</f>
        <v>1</v>
      </c>
      <c r="AK12">
        <f t="shared" ref="AK12:AK14" si="31">AJ12+($AN12-$AD12)/10</f>
        <v>1</v>
      </c>
      <c r="AL12">
        <f t="shared" ref="AL12:AL14" si="32">AK12+($AN12-$AD12)/10</f>
        <v>1</v>
      </c>
      <c r="AM12">
        <f t="shared" ref="AM12:AM14" si="33">AL12+($AN12-$AD12)/10</f>
        <v>1</v>
      </c>
      <c r="AN12">
        <f>'Net zero activities &amp; levers'!$F$21/100</f>
        <v>1</v>
      </c>
    </row>
    <row r="13" spans="1:48" x14ac:dyDescent="0.25">
      <c r="A13" t="s">
        <v>1010</v>
      </c>
      <c r="B13">
        <f>'Net zero activities &amp; levers'!$C$22/100</f>
        <v>0</v>
      </c>
      <c r="C13">
        <f t="shared" ref="C13:J14" si="34">B13</f>
        <v>0</v>
      </c>
      <c r="D13">
        <f t="shared" si="34"/>
        <v>0</v>
      </c>
      <c r="E13">
        <f t="shared" si="34"/>
        <v>0</v>
      </c>
      <c r="F13">
        <f t="shared" si="34"/>
        <v>0</v>
      </c>
      <c r="G13">
        <f t="shared" si="34"/>
        <v>0</v>
      </c>
      <c r="H13">
        <f t="shared" si="34"/>
        <v>0</v>
      </c>
      <c r="I13">
        <f t="shared" si="34"/>
        <v>0</v>
      </c>
      <c r="J13">
        <f t="shared" si="34"/>
        <v>0</v>
      </c>
      <c r="K13">
        <f t="shared" ref="K13:S14" si="35">J13+($T13-$J13)/10</f>
        <v>0.05</v>
      </c>
      <c r="L13">
        <f t="shared" si="35"/>
        <v>0.1</v>
      </c>
      <c r="M13">
        <f t="shared" si="35"/>
        <v>0.15000000000000002</v>
      </c>
      <c r="N13">
        <f t="shared" si="35"/>
        <v>0.2</v>
      </c>
      <c r="O13">
        <f t="shared" si="35"/>
        <v>0.25</v>
      </c>
      <c r="P13">
        <f t="shared" si="35"/>
        <v>0.3</v>
      </c>
      <c r="Q13">
        <f t="shared" si="35"/>
        <v>0.35</v>
      </c>
      <c r="R13">
        <f t="shared" si="35"/>
        <v>0.39999999999999997</v>
      </c>
      <c r="S13">
        <f t="shared" si="35"/>
        <v>0.44999999999999996</v>
      </c>
      <c r="T13">
        <f>'Net zero activities &amp; levers'!$D$22/100</f>
        <v>0.5</v>
      </c>
      <c r="U13">
        <f t="shared" si="16"/>
        <v>0.53</v>
      </c>
      <c r="V13">
        <f t="shared" si="17"/>
        <v>0.56000000000000005</v>
      </c>
      <c r="W13">
        <f t="shared" si="18"/>
        <v>0.59000000000000008</v>
      </c>
      <c r="X13">
        <f t="shared" si="19"/>
        <v>0.62000000000000011</v>
      </c>
      <c r="Y13">
        <f t="shared" si="20"/>
        <v>0.65000000000000013</v>
      </c>
      <c r="Z13">
        <f t="shared" si="21"/>
        <v>0.68000000000000016</v>
      </c>
      <c r="AA13">
        <f t="shared" si="22"/>
        <v>0.71000000000000019</v>
      </c>
      <c r="AB13">
        <f t="shared" si="23"/>
        <v>0.74000000000000021</v>
      </c>
      <c r="AC13">
        <f t="shared" si="24"/>
        <v>0.77000000000000024</v>
      </c>
      <c r="AD13">
        <f>'Net zero activities &amp; levers'!$E$22/100</f>
        <v>0.8</v>
      </c>
      <c r="AE13">
        <f t="shared" si="25"/>
        <v>0.82000000000000006</v>
      </c>
      <c r="AF13">
        <f t="shared" si="26"/>
        <v>0.84000000000000008</v>
      </c>
      <c r="AG13">
        <f t="shared" si="27"/>
        <v>0.8600000000000001</v>
      </c>
      <c r="AH13">
        <f t="shared" si="28"/>
        <v>0.88000000000000012</v>
      </c>
      <c r="AI13">
        <f t="shared" si="29"/>
        <v>0.90000000000000013</v>
      </c>
      <c r="AJ13">
        <f t="shared" si="30"/>
        <v>0.92000000000000015</v>
      </c>
      <c r="AK13">
        <f t="shared" si="31"/>
        <v>0.94000000000000017</v>
      </c>
      <c r="AL13">
        <f t="shared" si="32"/>
        <v>0.96000000000000019</v>
      </c>
      <c r="AM13">
        <f t="shared" si="33"/>
        <v>0.9800000000000002</v>
      </c>
      <c r="AN13">
        <f>'Net zero activities &amp; levers'!$F$22/100</f>
        <v>1</v>
      </c>
    </row>
    <row r="14" spans="1:48" x14ac:dyDescent="0.25">
      <c r="A14" t="s">
        <v>1012</v>
      </c>
      <c r="B14">
        <f>'Net zero activities &amp; levers'!$C$23/100</f>
        <v>0</v>
      </c>
      <c r="C14">
        <f t="shared" si="34"/>
        <v>0</v>
      </c>
      <c r="D14">
        <f t="shared" si="34"/>
        <v>0</v>
      </c>
      <c r="E14">
        <f t="shared" si="34"/>
        <v>0</v>
      </c>
      <c r="F14">
        <f t="shared" si="34"/>
        <v>0</v>
      </c>
      <c r="G14">
        <f t="shared" si="34"/>
        <v>0</v>
      </c>
      <c r="H14">
        <f t="shared" si="34"/>
        <v>0</v>
      </c>
      <c r="I14">
        <f t="shared" si="34"/>
        <v>0</v>
      </c>
      <c r="J14">
        <f t="shared" si="34"/>
        <v>0</v>
      </c>
      <c r="K14">
        <f t="shared" si="35"/>
        <v>0.08</v>
      </c>
      <c r="L14">
        <f t="shared" si="35"/>
        <v>0.16</v>
      </c>
      <c r="M14">
        <f t="shared" si="35"/>
        <v>0.24</v>
      </c>
      <c r="N14">
        <f t="shared" si="35"/>
        <v>0.32</v>
      </c>
      <c r="O14">
        <f t="shared" si="35"/>
        <v>0.4</v>
      </c>
      <c r="P14">
        <f t="shared" si="35"/>
        <v>0.48000000000000004</v>
      </c>
      <c r="Q14">
        <f t="shared" si="35"/>
        <v>0.56000000000000005</v>
      </c>
      <c r="R14">
        <f t="shared" si="35"/>
        <v>0.64</v>
      </c>
      <c r="S14">
        <f t="shared" si="35"/>
        <v>0.72</v>
      </c>
      <c r="T14">
        <f>'Net zero activities &amp; levers'!$D$23/100</f>
        <v>0.8</v>
      </c>
      <c r="U14">
        <f t="shared" si="16"/>
        <v>0.82000000000000006</v>
      </c>
      <c r="V14">
        <f t="shared" si="17"/>
        <v>0.84000000000000008</v>
      </c>
      <c r="W14">
        <f t="shared" si="18"/>
        <v>0.8600000000000001</v>
      </c>
      <c r="X14">
        <f t="shared" si="19"/>
        <v>0.88000000000000012</v>
      </c>
      <c r="Y14">
        <f t="shared" si="20"/>
        <v>0.90000000000000013</v>
      </c>
      <c r="Z14">
        <f t="shared" si="21"/>
        <v>0.92000000000000015</v>
      </c>
      <c r="AA14">
        <f t="shared" si="22"/>
        <v>0.94000000000000017</v>
      </c>
      <c r="AB14">
        <f t="shared" si="23"/>
        <v>0.96000000000000019</v>
      </c>
      <c r="AC14">
        <f t="shared" si="24"/>
        <v>0.9800000000000002</v>
      </c>
      <c r="AD14">
        <f>'Net zero activities &amp; levers'!$E$23/100</f>
        <v>1</v>
      </c>
      <c r="AE14">
        <f t="shared" si="25"/>
        <v>1</v>
      </c>
      <c r="AF14">
        <f t="shared" si="26"/>
        <v>1</v>
      </c>
      <c r="AG14">
        <f t="shared" si="27"/>
        <v>1</v>
      </c>
      <c r="AH14">
        <f t="shared" si="28"/>
        <v>1</v>
      </c>
      <c r="AI14">
        <f t="shared" si="29"/>
        <v>1</v>
      </c>
      <c r="AJ14">
        <f t="shared" si="30"/>
        <v>1</v>
      </c>
      <c r="AK14">
        <f t="shared" si="31"/>
        <v>1</v>
      </c>
      <c r="AL14">
        <f t="shared" si="32"/>
        <v>1</v>
      </c>
      <c r="AM14">
        <f t="shared" si="33"/>
        <v>1</v>
      </c>
      <c r="AN14">
        <f>'Net zero activities &amp; levers'!$F$23/100</f>
        <v>1</v>
      </c>
    </row>
    <row r="15" spans="1:48" x14ac:dyDescent="0.25">
      <c r="A15" t="s">
        <v>1006</v>
      </c>
      <c r="B15">
        <f>'Net zero Activity data'!AD5*'Net zero supporting data'!B12</f>
        <v>0</v>
      </c>
      <c r="C15">
        <f>'Net zero Activity data'!AE5*'Net zero supporting data'!C12</f>
        <v>0</v>
      </c>
      <c r="D15">
        <f>'Net zero Activity data'!AF5*'Net zero supporting data'!D12</f>
        <v>0</v>
      </c>
      <c r="E15">
        <f>'Net zero Activity data'!AG5*'Net zero supporting data'!E12</f>
        <v>0</v>
      </c>
      <c r="F15">
        <f>'Net zero Activity data'!AH5*'Net zero supporting data'!F12</f>
        <v>0</v>
      </c>
      <c r="G15">
        <f>'Net zero Activity data'!AI5*'Net zero supporting data'!G12</f>
        <v>0</v>
      </c>
      <c r="H15">
        <f>'Net zero Activity data'!AJ5*'Net zero supporting data'!H12</f>
        <v>0</v>
      </c>
      <c r="I15">
        <f>'Net zero Activity data'!AK5*'Net zero supporting data'!I12</f>
        <v>0</v>
      </c>
      <c r="J15">
        <f>'Net zero Activity data'!AL5*'Net zero supporting data'!J12</f>
        <v>0</v>
      </c>
      <c r="K15">
        <f>'Net zero Activity data'!AM5*'Net zero supporting data'!K12</f>
        <v>46938.537426107832</v>
      </c>
      <c r="L15">
        <f>'Net zero Activity data'!AN5*'Net zero supporting data'!L12</f>
        <v>93817.571481828752</v>
      </c>
      <c r="M15">
        <f>'Net zero Activity data'!AO5*'Net zero supporting data'!M12</f>
        <v>140646.38029652368</v>
      </c>
      <c r="N15">
        <f>'Net zero Activity data'!AP5*'Net zero supporting data'!N12</f>
        <v>187686.57983067565</v>
      </c>
      <c r="O15">
        <f>'Net zero Activity data'!AQ5*'Net zero supporting data'!O12</f>
        <v>234810.22408590978</v>
      </c>
      <c r="P15">
        <f>'Net zero Activity data'!AR5*'Net zero supporting data'!P12</f>
        <v>281904.89268863876</v>
      </c>
      <c r="Q15">
        <f>'Net zero Activity data'!AS5*'Net zero supporting data'!Q12</f>
        <v>328937.71379217756</v>
      </c>
      <c r="R15">
        <f>'Net zero Activity data'!AT5*'Net zero supporting data'!R12</f>
        <v>376175.71024667303</v>
      </c>
      <c r="S15">
        <f>'Net zero Activity data'!AU5*'Net zero supporting data'!S12</f>
        <v>423206.41371825396</v>
      </c>
      <c r="T15">
        <f>'Net zero Activity data'!AV5*'Net zero supporting data'!T12</f>
        <v>470312.85958350427</v>
      </c>
      <c r="U15">
        <f>'Net zero Activity data'!AW5*'Net zero supporting data'!U12</f>
        <v>486148.86398843059</v>
      </c>
      <c r="V15">
        <f>'Net zero Activity data'!AX5*'Net zero supporting data'!V12</f>
        <v>502610.79776480485</v>
      </c>
      <c r="W15">
        <f>'Net zero Activity data'!AY5*'Net zero supporting data'!W12</f>
        <v>519493.6639107056</v>
      </c>
      <c r="X15">
        <f>'Net zero Activity data'!AZ5*'Net zero supporting data'!X12</f>
        <v>531525.56774226693</v>
      </c>
      <c r="Y15">
        <f>'Net zero Activity data'!BA5*'Net zero supporting data'!Y12</f>
        <v>290563.54633579106</v>
      </c>
      <c r="Z15">
        <f>'Net zero Activity data'!BB5*'Net zero supporting data'!Z12</f>
        <v>296750.35880029143</v>
      </c>
      <c r="AA15">
        <f>'Net zero Activity data'!BC5*'Net zero supporting data'!AA12</f>
        <v>302953.91594242008</v>
      </c>
      <c r="AB15">
        <f>'Net zero Activity data'!BD5*'Net zero supporting data'!AB12</f>
        <v>309174.75606471515</v>
      </c>
      <c r="AC15">
        <f>'Net zero Activity data'!BE5*'Net zero supporting data'!AC12</f>
        <v>315413.4073189199</v>
      </c>
      <c r="AD15">
        <f>'Net zero Activity data'!BF5*'Net zero supporting data'!AD12</f>
        <v>321670.3882225136</v>
      </c>
      <c r="AE15">
        <f>'Net zero Activity data'!BG5*'Net zero supporting data'!AE12</f>
        <v>321288.76186786819</v>
      </c>
      <c r="AF15">
        <f>'Net zero Activity data'!BH5*'Net zero supporting data'!AF12</f>
        <v>320930.92012123793</v>
      </c>
      <c r="AG15">
        <f>'Net zero Activity data'!BI5*'Net zero supporting data'!AG12</f>
        <v>320595.89492747065</v>
      </c>
      <c r="AH15">
        <f>'Net zero Activity data'!BJ5*'Net zero supporting data'!AH12</f>
        <v>320282.78156667494</v>
      </c>
      <c r="AI15">
        <f>'Net zero Activity data'!BK5*'Net zero supporting data'!AI12</f>
        <v>319990.73328541388</v>
      </c>
      <c r="AJ15">
        <f>'Net zero Activity data'!BL5*'Net zero supporting data'!AJ12</f>
        <v>319491.28634254436</v>
      </c>
      <c r="AK15">
        <f>'Net zero Activity data'!BM5*'Net zero supporting data'!AK12</f>
        <v>319010.98467889684</v>
      </c>
      <c r="AL15">
        <f>'Net zero Activity data'!BN5*'Net zero supporting data'!AL12</f>
        <v>318549.09395721875</v>
      </c>
      <c r="AM15">
        <f>'Net zero Activity data'!BO5*'Net zero supporting data'!AM12</f>
        <v>318104.9228893242</v>
      </c>
      <c r="AN15">
        <f>'Net zero Activity data'!BP5*'Net zero supporting data'!AN12</f>
        <v>317677.81993699924</v>
      </c>
    </row>
    <row r="16" spans="1:48" x14ac:dyDescent="0.25">
      <c r="A16" t="s">
        <v>1007</v>
      </c>
      <c r="B16">
        <f>'Net zero Activity data'!AD6*'Net zero supporting data'!B12</f>
        <v>0</v>
      </c>
      <c r="C16">
        <f>'Net zero Activity data'!AE6*'Net zero supporting data'!C12</f>
        <v>0</v>
      </c>
      <c r="D16">
        <f>'Net zero Activity data'!AF6*'Net zero supporting data'!D12</f>
        <v>0</v>
      </c>
      <c r="E16">
        <f>'Net zero Activity data'!AG6*'Net zero supporting data'!E12</f>
        <v>0</v>
      </c>
      <c r="F16">
        <f>'Net zero Activity data'!AH6*'Net zero supporting data'!F12</f>
        <v>0</v>
      </c>
      <c r="G16">
        <f>'Net zero Activity data'!AI6*'Net zero supporting data'!G12</f>
        <v>0</v>
      </c>
      <c r="H16">
        <f>'Net zero Activity data'!AJ6*'Net zero supporting data'!H12</f>
        <v>0</v>
      </c>
      <c r="I16">
        <f>'Net zero Activity data'!AK6*'Net zero supporting data'!I12</f>
        <v>0</v>
      </c>
      <c r="J16">
        <f>'Net zero Activity data'!AL6*'Net zero supporting data'!J12</f>
        <v>0</v>
      </c>
      <c r="K16">
        <f>'Net zero Activity data'!AM6*'Net zero supporting data'!K12</f>
        <v>38891.931010203632</v>
      </c>
      <c r="L16">
        <f>'Net zero Activity data'!AN6*'Net zero supporting data'!L12</f>
        <v>77734.559227800972</v>
      </c>
      <c r="M16">
        <f>'Net zero Activity data'!AO6*'Net zero supporting data'!M12</f>
        <v>116535.57224569106</v>
      </c>
      <c r="N16">
        <f>'Net zero Activity data'!AP6*'Net zero supporting data'!N12</f>
        <v>155511.73757398839</v>
      </c>
      <c r="O16">
        <f>'Net zero Activity data'!AQ6*'Net zero supporting data'!O12</f>
        <v>194557.04281403951</v>
      </c>
      <c r="P16">
        <f>'Net zero Activity data'!AR6*'Net zero supporting data'!P12</f>
        <v>233578.3396563007</v>
      </c>
      <c r="Q16">
        <f>'Net zero Activity data'!AS6*'Net zero supporting data'!Q12</f>
        <v>272548.39142780425</v>
      </c>
      <c r="R16">
        <f>'Net zero Activity data'!AT6*'Net zero supporting data'!R12</f>
        <v>311688.44563295762</v>
      </c>
      <c r="S16">
        <f>'Net zero Activity data'!AU6*'Net zero supporting data'!S12</f>
        <v>350656.74279512465</v>
      </c>
      <c r="T16">
        <f>'Net zero Activity data'!AV6*'Net zero supporting data'!T12</f>
        <v>389687.79794061778</v>
      </c>
      <c r="U16">
        <f>'Net zero Activity data'!AW6*'Net zero supporting data'!U12</f>
        <v>402809.05873327109</v>
      </c>
      <c r="V16">
        <f>'Net zero Activity data'!AX6*'Net zero supporting data'!V12</f>
        <v>416448.94671940972</v>
      </c>
      <c r="W16">
        <f>'Net zero Activity data'!AY6*'Net zero supporting data'!W12</f>
        <v>430437.60724029888</v>
      </c>
      <c r="X16">
        <f>'Net zero Activity data'!AZ6*'Net zero supporting data'!X12</f>
        <v>440406.89898644976</v>
      </c>
      <c r="Y16">
        <f>'Net zero Activity data'!BA6*'Net zero supporting data'!Y12</f>
        <v>240752.65267822691</v>
      </c>
      <c r="Z16">
        <f>'Net zero Activity data'!BB6*'Net zero supporting data'!Z12</f>
        <v>245878.8687202415</v>
      </c>
      <c r="AA16">
        <f>'Net zero Activity data'!BC6*'Net zero supporting data'!AA12</f>
        <v>251018.95892371953</v>
      </c>
      <c r="AB16">
        <f>'Net zero Activity data'!BD6*'Net zero supporting data'!AB12</f>
        <v>256173.36931076398</v>
      </c>
      <c r="AC16">
        <f>'Net zero Activity data'!BE6*'Net zero supporting data'!AC12</f>
        <v>261342.53749281933</v>
      </c>
      <c r="AD16">
        <f>'Net zero Activity data'!BF6*'Net zero supporting data'!AD12</f>
        <v>266526.89309865411</v>
      </c>
      <c r="AE16">
        <f>'Net zero Activity data'!BG6*'Net zero supporting data'!AE12</f>
        <v>266210.68840480509</v>
      </c>
      <c r="AF16">
        <f>'Net zero Activity data'!BH6*'Net zero supporting data'!AF12</f>
        <v>265914.19095759717</v>
      </c>
      <c r="AG16">
        <f>'Net zero Activity data'!BI6*'Net zero supporting data'!AG12</f>
        <v>265636.59865418996</v>
      </c>
      <c r="AH16">
        <f>'Net zero Activity data'!BJ6*'Net zero supporting data'!AH12</f>
        <v>265377.16186953062</v>
      </c>
      <c r="AI16">
        <f>'Net zero Activity data'!BK6*'Net zero supporting data'!AI12</f>
        <v>265135.17900791438</v>
      </c>
      <c r="AJ16">
        <f>'Net zero Activity data'!BL6*'Net zero supporting data'!AJ12</f>
        <v>264721.35154096532</v>
      </c>
      <c r="AK16">
        <f>'Net zero Activity data'!BM6*'Net zero supporting data'!AK12</f>
        <v>264323.38730537164</v>
      </c>
      <c r="AL16">
        <f>'Net zero Activity data'!BN6*'Net zero supporting data'!AL12</f>
        <v>263940.67785026698</v>
      </c>
      <c r="AM16">
        <f>'Net zero Activity data'!BO6*'Net zero supporting data'!AM12</f>
        <v>263572.65039401146</v>
      </c>
      <c r="AN16">
        <f>'Net zero Activity data'!BP6*'Net zero supporting data'!AN12</f>
        <v>263218.76509065652</v>
      </c>
    </row>
    <row r="17" spans="1:48" x14ac:dyDescent="0.25">
      <c r="A17" t="s">
        <v>1008</v>
      </c>
      <c r="B17">
        <f>'Net zero Activity data'!AD7*'Net zero supporting data'!B12</f>
        <v>0</v>
      </c>
      <c r="C17">
        <f>'Net zero Activity data'!AE7*'Net zero supporting data'!C12</f>
        <v>0</v>
      </c>
      <c r="D17">
        <f>'Net zero Activity data'!AF7*'Net zero supporting data'!D12</f>
        <v>0</v>
      </c>
      <c r="E17">
        <f>'Net zero Activity data'!AG7*'Net zero supporting data'!E12</f>
        <v>0</v>
      </c>
      <c r="F17">
        <f>'Net zero Activity data'!AH7*'Net zero supporting data'!F12</f>
        <v>0</v>
      </c>
      <c r="G17">
        <f>'Net zero Activity data'!AI7*'Net zero supporting data'!G12</f>
        <v>0</v>
      </c>
      <c r="H17">
        <f>'Net zero Activity data'!AJ7*'Net zero supporting data'!H12</f>
        <v>0</v>
      </c>
      <c r="I17">
        <f>'Net zero Activity data'!AK7*'Net zero supporting data'!I12</f>
        <v>0</v>
      </c>
      <c r="J17">
        <f>'Net zero Activity data'!AL7*'Net zero supporting data'!J12</f>
        <v>0</v>
      </c>
      <c r="K17">
        <f>'Net zero Activity data'!AM7*'Net zero supporting data'!K12</f>
        <v>48279.638495425213</v>
      </c>
      <c r="L17">
        <f>'Net zero Activity data'!AN7*'Net zero supporting data'!L12</f>
        <v>96498.073524166743</v>
      </c>
      <c r="M17">
        <f>'Net zero Activity data'!AO7*'Net zero supporting data'!M12</f>
        <v>144664.84830499583</v>
      </c>
      <c r="N17">
        <f>'Net zero Activity data'!AP7*'Net zero supporting data'!N12</f>
        <v>193049.05354012357</v>
      </c>
      <c r="O17">
        <f>'Net zero Activity data'!AQ7*'Net zero supporting data'!O12</f>
        <v>241519.08763122154</v>
      </c>
      <c r="P17">
        <f>'Net zero Activity data'!AR7*'Net zero supporting data'!P12</f>
        <v>289959.31819402851</v>
      </c>
      <c r="Q17">
        <f>'Net zero Activity data'!AS7*'Net zero supporting data'!Q12</f>
        <v>338335.93418623984</v>
      </c>
      <c r="R17">
        <f>'Net zero Activity data'!AT7*'Net zero supporting data'!R12</f>
        <v>386923.58768229233</v>
      </c>
      <c r="S17">
        <f>'Net zero Activity data'!AU7*'Net zero supporting data'!S12</f>
        <v>435298.02553877555</v>
      </c>
      <c r="T17">
        <f>'Net zero Activity data'!AV7*'Net zero supporting data'!T12</f>
        <v>483750.3698573187</v>
      </c>
      <c r="U17">
        <f>'Net zero Activity data'!AW7*'Net zero supporting data'!U12</f>
        <v>500038.83153095731</v>
      </c>
      <c r="V17">
        <f>'Net zero Activity data'!AX7*'Net zero supporting data'!V12</f>
        <v>516971.10627237079</v>
      </c>
      <c r="W17">
        <f>'Net zero Activity data'!AY7*'Net zero supporting data'!W12</f>
        <v>534336.34002244007</v>
      </c>
      <c r="X17">
        <f>'Net zero Activity data'!AZ7*'Net zero supporting data'!X12</f>
        <v>546712.01253490325</v>
      </c>
      <c r="Y17">
        <f>'Net zero Activity data'!BA7*'Net zero supporting data'!Y12</f>
        <v>298865.36194538517</v>
      </c>
      <c r="Z17">
        <f>'Net zero Activity data'!BB7*'Net zero supporting data'!Z12</f>
        <v>305228.94048029988</v>
      </c>
      <c r="AA17">
        <f>'Net zero Activity data'!BC7*'Net zero supporting data'!AA12</f>
        <v>311609.74211220362</v>
      </c>
      <c r="AB17">
        <f>'Net zero Activity data'!BD7*'Net zero supporting data'!AB12</f>
        <v>318008.32052370708</v>
      </c>
      <c r="AC17">
        <f>'Net zero Activity data'!BE7*'Net zero supporting data'!AC12</f>
        <v>324425.21895660338</v>
      </c>
      <c r="AD17">
        <f>'Net zero Activity data'!BF7*'Net zero supporting data'!AD12</f>
        <v>330860.97074315691</v>
      </c>
      <c r="AE17">
        <f>'Net zero Activity data'!BG7*'Net zero supporting data'!AE12</f>
        <v>330468.44077837875</v>
      </c>
      <c r="AF17">
        <f>'Net zero Activity data'!BH7*'Net zero supporting data'!AF12</f>
        <v>330100.3749818448</v>
      </c>
      <c r="AG17">
        <f>'Net zero Activity data'!BI7*'Net zero supporting data'!AG12</f>
        <v>329755.77763968415</v>
      </c>
      <c r="AH17">
        <f>'Net zero Activity data'!BJ7*'Net zero supporting data'!AH12</f>
        <v>329433.7181828657</v>
      </c>
      <c r="AI17">
        <f>'Net zero Activity data'!BK7*'Net zero supporting data'!AI12</f>
        <v>329133.32566499722</v>
      </c>
      <c r="AJ17">
        <f>'Net zero Activity data'!BL7*'Net zero supporting data'!AJ12</f>
        <v>328619.60880947427</v>
      </c>
      <c r="AK17">
        <f>'Net zero Activity data'!BM7*'Net zero supporting data'!AK12</f>
        <v>328125.58424115105</v>
      </c>
      <c r="AL17">
        <f>'Net zero Activity data'!BN7*'Net zero supporting data'!AL12</f>
        <v>327650.49664171075</v>
      </c>
      <c r="AM17">
        <f>'Net zero Activity data'!BO7*'Net zero supporting data'!AM12</f>
        <v>327193.6349718764</v>
      </c>
      <c r="AN17">
        <f>'Net zero Activity data'!BP7*'Net zero supporting data'!AN12</f>
        <v>326754.32907805644</v>
      </c>
    </row>
    <row r="18" spans="1:48" x14ac:dyDescent="0.25">
      <c r="A18" t="s">
        <v>1013</v>
      </c>
      <c r="B18">
        <f>'Net zero Activity data'!AD8*'Net zero supporting data'!B13</f>
        <v>0</v>
      </c>
      <c r="C18">
        <f>'Net zero Activity data'!AE8*'Net zero supporting data'!C13</f>
        <v>0</v>
      </c>
      <c r="D18">
        <f>'Net zero Activity data'!AF8*'Net zero supporting data'!D13</f>
        <v>0</v>
      </c>
      <c r="E18">
        <f>'Net zero Activity data'!AG8*'Net zero supporting data'!E13</f>
        <v>0</v>
      </c>
      <c r="F18">
        <f>'Net zero Activity data'!AH8*'Net zero supporting data'!F13</f>
        <v>0</v>
      </c>
      <c r="G18">
        <f>'Net zero Activity data'!AI8*'Net zero supporting data'!G13</f>
        <v>0</v>
      </c>
      <c r="H18">
        <f>'Net zero Activity data'!AJ8*'Net zero supporting data'!H13</f>
        <v>0</v>
      </c>
      <c r="I18">
        <f>'Net zero Activity data'!AK8*'Net zero supporting data'!I13</f>
        <v>0</v>
      </c>
      <c r="J18">
        <f>'Net zero Activity data'!AL8*'Net zero supporting data'!J13</f>
        <v>0</v>
      </c>
      <c r="K18">
        <f>'Net zero Activity data'!AM8*'Net zero supporting data'!K13</f>
        <v>230714.09000247248</v>
      </c>
      <c r="L18">
        <f>'Net zero Activity data'!AN8*'Net zero supporting data'!L13</f>
        <v>460631.22014537745</v>
      </c>
      <c r="M18">
        <f>'Net zero Activity data'!AO8*'Net zero supporting data'!M13</f>
        <v>689538.55832062569</v>
      </c>
      <c r="N18">
        <f>'Net zero Activity data'!AP8*'Net zero supporting data'!N13</f>
        <v>921054.02717256325</v>
      </c>
      <c r="O18">
        <f>'Net zero Activity data'!AQ8*'Net zero supporting data'!O13</f>
        <v>1152837.8539861932</v>
      </c>
      <c r="P18">
        <f>'Net zero Activity data'!AR8*'Net zero supporting data'!P13</f>
        <v>1385663.7335982013</v>
      </c>
      <c r="Q18">
        <f>'Net zero Activity data'!AS8*'Net zero supporting data'!Q13</f>
        <v>1616908.031228655</v>
      </c>
      <c r="R18">
        <f>'Net zero Activity data'!AT8*'Net zero supporting data'!R13</f>
        <v>1850142.6587985968</v>
      </c>
      <c r="S18">
        <f>'Net zero Activity data'!AU8*'Net zero supporting data'!S13</f>
        <v>2079251.1363151984</v>
      </c>
      <c r="T18">
        <f>'Net zero Activity data'!AV8*'Net zero supporting data'!T13</f>
        <v>2308052.7415084168</v>
      </c>
      <c r="U18">
        <f>'Net zero Activity data'!AW8*'Net zero supporting data'!U13</f>
        <v>2451266.4158742651</v>
      </c>
      <c r="V18">
        <f>'Net zero Activity data'!AX8*'Net zero supporting data'!V13</f>
        <v>2598399.8278933279</v>
      </c>
      <c r="W18">
        <f>'Net zero Activity data'!AY8*'Net zero supporting data'!W13</f>
        <v>2746336.6923142928</v>
      </c>
      <c r="X18">
        <f>'Net zero Activity data'!AZ8*'Net zero supporting data'!X13</f>
        <v>2820146.8200198538</v>
      </c>
      <c r="Y18">
        <f>'Net zero Activity data'!BA8*'Net zero supporting data'!Y13</f>
        <v>-696277.78517130972</v>
      </c>
      <c r="Z18">
        <f>'Net zero Activity data'!BB8*'Net zero supporting data'!Z13</f>
        <v>-710347.40189867758</v>
      </c>
      <c r="AA18">
        <f>'Net zero Activity data'!BC8*'Net zero supporting data'!AA13</f>
        <v>-723160.57887622807</v>
      </c>
      <c r="AB18">
        <f>'Net zero Activity data'!BD8*'Net zero supporting data'!AB13</f>
        <v>-734743.43411212205</v>
      </c>
      <c r="AC18">
        <f>'Net zero Activity data'!BE8*'Net zero supporting data'!AC13</f>
        <v>-745120.57975011307</v>
      </c>
      <c r="AD18">
        <f>'Net zero Activity data'!BF8*'Net zero supporting data'!AD13</f>
        <v>-754315.24109275232</v>
      </c>
      <c r="AE18">
        <f>'Net zero Activity data'!BG8*'Net zero supporting data'!AE13</f>
        <v>-756497.16391957097</v>
      </c>
      <c r="AF18">
        <f>'Net zero Activity data'!BH8*'Net zero supporting data'!AF13</f>
        <v>-758155.77848401607</v>
      </c>
      <c r="AG18">
        <f>'Net zero Activity data'!BI8*'Net zero supporting data'!AG13</f>
        <v>-759299.58175640577</v>
      </c>
      <c r="AH18">
        <f>'Net zero Activity data'!BJ8*'Net zero supporting data'!AH13</f>
        <v>-759936.70804294688</v>
      </c>
      <c r="AI18">
        <f>'Net zero Activity data'!BK8*'Net zero supporting data'!AI13</f>
        <v>-760074.95182504389</v>
      </c>
      <c r="AJ18">
        <f>'Net zero Activity data'!BL8*'Net zero supporting data'!AJ13</f>
        <v>-759205.45652392844</v>
      </c>
      <c r="AK18">
        <f>'Net zero Activity data'!BM8*'Net zero supporting data'!AK13</f>
        <v>-757851.00039707869</v>
      </c>
      <c r="AL18">
        <f>'Net zero Activity data'!BN8*'Net zero supporting data'!AL13</f>
        <v>-756019.46904788818</v>
      </c>
      <c r="AM18">
        <f>'Net zero Activity data'!BO8*'Net zero supporting data'!AM13</f>
        <v>-753718.47125105595</v>
      </c>
      <c r="AN18">
        <f>'Net zero Activity data'!BP8*'Net zero supporting data'!AN13</f>
        <v>-750955.35462488607</v>
      </c>
    </row>
    <row r="19" spans="1:48" x14ac:dyDescent="0.25">
      <c r="A19" t="s">
        <v>1009</v>
      </c>
      <c r="B19">
        <f>'Net zero Activity data'!AD10*'Net zero supporting data'!B14</f>
        <v>0</v>
      </c>
      <c r="C19">
        <f>'Net zero Activity data'!AE10*'Net zero supporting data'!C14</f>
        <v>0</v>
      </c>
      <c r="D19">
        <f>'Net zero Activity data'!AF10*'Net zero supporting data'!D14</f>
        <v>0</v>
      </c>
      <c r="E19">
        <f>'Net zero Activity data'!AG10*'Net zero supporting data'!E14</f>
        <v>0</v>
      </c>
      <c r="F19">
        <f>'Net zero Activity data'!AH10*'Net zero supporting data'!F14</f>
        <v>0</v>
      </c>
      <c r="G19">
        <f>'Net zero Activity data'!AI10*'Net zero supporting data'!G14</f>
        <v>0</v>
      </c>
      <c r="H19">
        <f>'Net zero Activity data'!AJ10*'Net zero supporting data'!H14</f>
        <v>0</v>
      </c>
      <c r="I19">
        <f>'Net zero Activity data'!AK10*'Net zero supporting data'!I14</f>
        <v>0</v>
      </c>
      <c r="J19">
        <f>'Net zero Activity data'!AL10*'Net zero supporting data'!J14</f>
        <v>0</v>
      </c>
      <c r="K19">
        <f>'Net zero Activity data'!AM10*'Net zero supporting data'!K14</f>
        <v>47794.33377853698</v>
      </c>
      <c r="L19">
        <f>'Net zero Activity data'!AN10*'Net zero supporting data'!L14</f>
        <v>98736.976117078986</v>
      </c>
      <c r="M19">
        <f>'Net zero Activity data'!AO10*'Net zero supporting data'!M14</f>
        <v>152902.36021899668</v>
      </c>
      <c r="N19">
        <f>'Net zero Activity data'!AP10*'Net zero supporting data'!N14</f>
        <v>211244.92613953736</v>
      </c>
      <c r="O19">
        <f>'Net zero Activity data'!AQ10*'Net zero supporting data'!O14</f>
        <v>273427.14031606441</v>
      </c>
      <c r="P19">
        <f>'Net zero Activity data'!AR10*'Net zero supporting data'!P14</f>
        <v>339812.62239775422</v>
      </c>
      <c r="Q19">
        <f>'Net zero Activity data'!AS10*'Net zero supporting data'!Q14</f>
        <v>409939.62255398702</v>
      </c>
      <c r="R19">
        <f>'Net zero Activity data'!AT10*'Net zero supporting data'!R14</f>
        <v>484892.31348241522</v>
      </c>
      <c r="S19">
        <f>'Net zero Activity data'!AU10*'Net zero supporting data'!S14</f>
        <v>563264.58378673089</v>
      </c>
      <c r="T19">
        <f>'Net zero Activity data'!AV10*'Net zero supporting data'!T14</f>
        <v>646224.4108514206</v>
      </c>
      <c r="U19">
        <f>'Net zero Activity data'!AW10*'Net zero supporting data'!U14</f>
        <v>685951.29114295659</v>
      </c>
      <c r="V19">
        <f>'Net zero Activity data'!AX10*'Net zero supporting data'!V14</f>
        <v>728682.17201229092</v>
      </c>
      <c r="W19">
        <f>'Net zero Activity data'!AY10*'Net zero supporting data'!W14</f>
        <v>773668.92661283538</v>
      </c>
      <c r="X19">
        <f>'Net zero Activity data'!AZ10*'Net zero supporting data'!X14</f>
        <v>799794.40663077601</v>
      </c>
      <c r="Y19">
        <f>'Net zero Activity data'!BA10*'Net zero supporting data'!Y14</f>
        <v>-199178.98106523461</v>
      </c>
      <c r="Z19">
        <f>'Net zero Activity data'!BB10*'Net zero supporting data'!Z14</f>
        <v>-205334.45170513942</v>
      </c>
      <c r="AA19">
        <f>'Net zero Activity data'!BC10*'Net zero supporting data'!AA14</f>
        <v>-211577.53440551404</v>
      </c>
      <c r="AB19">
        <f>'Net zero Activity data'!BD10*'Net zero supporting data'!AB14</f>
        <v>-217909.13822349676</v>
      </c>
      <c r="AC19">
        <f>'Net zero Activity data'!BE10*'Net zero supporting data'!AC14</f>
        <v>-224330.18280486</v>
      </c>
      <c r="AD19">
        <f>'Net zero Activity data'!BF10*'Net zero supporting data'!AD14</f>
        <v>-230841.59848671168</v>
      </c>
      <c r="AE19">
        <f>'Net zero Activity data'!BG10*'Net zero supporting data'!AE14</f>
        <v>-232342.39889058965</v>
      </c>
      <c r="AF19">
        <f>'Net zero Activity data'!BH10*'Net zero supporting data'!AF14</f>
        <v>-233852.07663141791</v>
      </c>
      <c r="AG19">
        <f>'Net zero Activity data'!BI10*'Net zero supporting data'!AG14</f>
        <v>-235370.69890959424</v>
      </c>
      <c r="AH19">
        <f>'Net zero Activity data'!BJ10*'Net zero supporting data'!AH14</f>
        <v>-236898.33336190725</v>
      </c>
      <c r="AI19">
        <f>'Net zero Activity data'!BK10*'Net zero supporting data'!AI14</f>
        <v>-238435.04806449765</v>
      </c>
      <c r="AJ19">
        <f>'Net zero Activity data'!BL10*'Net zero supporting data'!AJ14</f>
        <v>-239817.81253801408</v>
      </c>
      <c r="AK19">
        <f>'Net zero Activity data'!BM10*'Net zero supporting data'!AK14</f>
        <v>-241207.08642082589</v>
      </c>
      <c r="AL19">
        <f>'Net zero Activity data'!BN10*'Net zero supporting data'!AL14</f>
        <v>-242602.91145594491</v>
      </c>
      <c r="AM19">
        <f>'Net zero Activity data'!BO10*'Net zero supporting data'!AM14</f>
        <v>-244005.32960192702</v>
      </c>
      <c r="AN19">
        <f>'Net zero Activity data'!BP10*'Net zero supporting data'!AN14</f>
        <v>-245414.38303410745</v>
      </c>
    </row>
    <row r="20" spans="1:48" x14ac:dyDescent="0.25">
      <c r="A20" t="s">
        <v>1031</v>
      </c>
      <c r="B20" s="11">
        <f>'Net zero Activity data'!AD5-'Net zero supporting data'!B15</f>
        <v>591129.2897046</v>
      </c>
      <c r="C20" s="11">
        <f>'Net zero Activity data'!AE5-'Net zero supporting data'!C15</f>
        <v>594806.21359952644</v>
      </c>
      <c r="D20" s="11">
        <f>'Net zero Activity data'!AF5-'Net zero supporting data'!D15</f>
        <v>597334.14942871302</v>
      </c>
      <c r="E20" s="11">
        <f>'Net zero Activity data'!AG5-'Net zero supporting data'!E15</f>
        <v>598126.94731703098</v>
      </c>
      <c r="F20" s="11">
        <f>'Net zero Activity data'!AH5-'Net zero supporting data'!F15</f>
        <v>599199.48455998639</v>
      </c>
      <c r="G20" s="11">
        <f>'Net zero Activity data'!AI5-'Net zero supporting data'!G15</f>
        <v>601548.74860188353</v>
      </c>
      <c r="H20" s="11">
        <f>'Net zero Activity data'!AJ5-'Net zero supporting data'!H15</f>
        <v>604365.27789585036</v>
      </c>
      <c r="I20" s="11">
        <f>'Net zero Activity data'!AK5-'Net zero supporting data'!I15</f>
        <v>605211.39267553936</v>
      </c>
      <c r="J20" s="11">
        <f>'Net zero Activity data'!AL5-'Net zero supporting data'!J15</f>
        <v>586631.53886012151</v>
      </c>
      <c r="K20" s="11">
        <f>'Net zero Activity data'!AM5-'Net zero supporting data'!K15</f>
        <v>539793.18040024012</v>
      </c>
      <c r="L20" s="11">
        <f>'Net zero Activity data'!AN5-'Net zero supporting data'!L15</f>
        <v>492542.25027960091</v>
      </c>
      <c r="M20" s="11">
        <f>'Net zero Activity data'!AO5-'Net zero supporting data'!M15</f>
        <v>445380.20427232503</v>
      </c>
      <c r="N20" s="11">
        <f>'Net zero Activity data'!AP5-'Net zero supporting data'!N15</f>
        <v>398833.98214018578</v>
      </c>
      <c r="O20" s="11">
        <f>'Net zero Activity data'!AQ5-'Net zero supporting data'!O15</f>
        <v>352215.33612886467</v>
      </c>
      <c r="P20" s="11">
        <f>'Net zero Activity data'!AR5-'Net zero supporting data'!P15</f>
        <v>305396.96707935864</v>
      </c>
      <c r="Q20" s="11">
        <f>'Net zero Activity data'!AS5-'Net zero supporting data'!Q15</f>
        <v>258451.06083671091</v>
      </c>
      <c r="R20" s="11">
        <f>'Net zero Activity data'!AT5-'Net zero supporting data'!R15</f>
        <v>211598.83701375354</v>
      </c>
      <c r="S20" s="11">
        <f>'Net zero Activity data'!AU5-'Net zero supporting data'!S15</f>
        <v>164580.2720015432</v>
      </c>
      <c r="T20" s="11">
        <f>'Net zero Activity data'!AV5-'Net zero supporting data'!T15</f>
        <v>117578.21489587601</v>
      </c>
      <c r="U20" s="11">
        <f>'Net zero Activity data'!AW5-'Net zero supporting data'!U15</f>
        <v>106715.60429014324</v>
      </c>
      <c r="V20" s="11">
        <f>'Net zero Activity data'!AX5-'Net zero supporting data'!V15</f>
        <v>95735.390050438989</v>
      </c>
      <c r="W20" s="11">
        <f>'Net zero Activity data'!AY5-'Net zero supporting data'!W15</f>
        <v>84568.735985463602</v>
      </c>
      <c r="X20" s="11">
        <f>'Net zero Activity data'!AZ5-'Net zero supporting data'!X15</f>
        <v>72480.759237581748</v>
      </c>
      <c r="Y20" s="11">
        <f>'Net zero Activity data'!BA5-'Net zero supporting data'!Y15</f>
        <v>32284.83848175453</v>
      </c>
      <c r="Z20" s="11">
        <f>'Net zero Activity data'!BB5-'Net zero supporting data'!Z15</f>
        <v>25804.379026112263</v>
      </c>
      <c r="AA20" s="11">
        <f>'Net zero Activity data'!BC5-'Net zero supporting data'!AA15</f>
        <v>19337.483996324649</v>
      </c>
      <c r="AB20" s="11">
        <f>'Net zero Activity data'!BD5-'Net zero supporting data'!AB15</f>
        <v>12882.281502696394</v>
      </c>
      <c r="AC20" s="11">
        <f>'Net zero Activity data'!BE5-'Net zero supporting data'!AC15</f>
        <v>6437.0083126309328</v>
      </c>
      <c r="AD20" s="11">
        <f>'Net zero Activity data'!BF5-'Net zero supporting data'!AD15</f>
        <v>0</v>
      </c>
      <c r="AE20" s="11">
        <f>'Net zero Activity data'!BG5-'Net zero supporting data'!AE15</f>
        <v>0</v>
      </c>
      <c r="AF20" s="11">
        <f>'Net zero Activity data'!BH5-'Net zero supporting data'!AF15</f>
        <v>0</v>
      </c>
      <c r="AG20" s="11">
        <f>'Net zero Activity data'!BI5-'Net zero supporting data'!AG15</f>
        <v>0</v>
      </c>
      <c r="AH20" s="11">
        <f>'Net zero Activity data'!BJ5-'Net zero supporting data'!AH15</f>
        <v>0</v>
      </c>
      <c r="AI20" s="11">
        <f>'Net zero Activity data'!BK5-'Net zero supporting data'!AI15</f>
        <v>0</v>
      </c>
      <c r="AJ20" s="11">
        <f>'Net zero Activity data'!BL5-'Net zero supporting data'!AJ15</f>
        <v>0</v>
      </c>
      <c r="AK20" s="11">
        <f>'Net zero Activity data'!BM5-'Net zero supporting data'!AK15</f>
        <v>0</v>
      </c>
      <c r="AL20" s="11">
        <f>'Net zero Activity data'!BN5-'Net zero supporting data'!AL15</f>
        <v>0</v>
      </c>
      <c r="AM20" s="11">
        <f>'Net zero Activity data'!BO5-'Net zero supporting data'!AM15</f>
        <v>0</v>
      </c>
      <c r="AN20" s="11">
        <f>'Net zero Activity data'!BP5-'Net zero supporting data'!AN15</f>
        <v>0</v>
      </c>
    </row>
    <row r="21" spans="1:48" x14ac:dyDescent="0.25">
      <c r="A21" t="s">
        <v>1112</v>
      </c>
      <c r="B21" s="11">
        <f>'Net zero Activity data'!AD6-'Net zero supporting data'!B16</f>
        <v>489792.8400409543</v>
      </c>
      <c r="C21" s="11">
        <f>'Net zero Activity data'!AE6-'Net zero supporting data'!C16</f>
        <v>492839.43412532192</v>
      </c>
      <c r="D21" s="11">
        <f>'Net zero Activity data'!AF6-'Net zero supporting data'!D16</f>
        <v>494934.00952664798</v>
      </c>
      <c r="E21" s="11">
        <f>'Net zero Activity data'!AG6-'Net zero supporting data'!E16</f>
        <v>495590.89920553996</v>
      </c>
      <c r="F21" s="11">
        <f>'Net zero Activity data'!AH6-'Net zero supporting data'!F16</f>
        <v>496479.57292113162</v>
      </c>
      <c r="G21" s="11">
        <f>'Net zero Activity data'!AI6-'Net zero supporting data'!G16</f>
        <v>498426.10598441772</v>
      </c>
      <c r="H21" s="11">
        <f>'Net zero Activity data'!AJ6-'Net zero supporting data'!H16</f>
        <v>500759.80168513313</v>
      </c>
      <c r="I21" s="11">
        <f>'Net zero Activity data'!AK6-'Net zero supporting data'!I16</f>
        <v>501460.86821687547</v>
      </c>
      <c r="J21" s="11">
        <f>'Net zero Activity data'!AL6-'Net zero supporting data'!J16</f>
        <v>486066.13219838642</v>
      </c>
      <c r="K21" s="11">
        <f>'Net zero Activity data'!AM6-'Net zero supporting data'!K16</f>
        <v>447257.20661734178</v>
      </c>
      <c r="L21" s="11">
        <f>'Net zero Activity data'!AN6-'Net zero supporting data'!L16</f>
        <v>408106.43594595505</v>
      </c>
      <c r="M21" s="11">
        <f>'Net zero Activity data'!AO6-'Net zero supporting data'!M16</f>
        <v>369029.31211135502</v>
      </c>
      <c r="N21" s="11">
        <f>'Net zero Activity data'!AP6-'Net zero supporting data'!N16</f>
        <v>330462.44234472531</v>
      </c>
      <c r="O21" s="11">
        <f>'Net zero Activity data'!AQ6-'Net zero supporting data'!O16</f>
        <v>291835.56422105926</v>
      </c>
      <c r="P21" s="11">
        <f>'Net zero Activity data'!AR6-'Net zero supporting data'!P16</f>
        <v>253043.20129432573</v>
      </c>
      <c r="Q21" s="11">
        <f>'Net zero Activity data'!AS6-'Net zero supporting data'!Q16</f>
        <v>214145.16469327477</v>
      </c>
      <c r="R21" s="11">
        <f>'Net zero Activity data'!AT6-'Net zero supporting data'!R16</f>
        <v>175324.75066853868</v>
      </c>
      <c r="S21" s="11">
        <f>'Net zero Activity data'!AU6-'Net zero supporting data'!S16</f>
        <v>136366.51108699298</v>
      </c>
      <c r="T21" s="11">
        <f>'Net zero Activity data'!AV6-'Net zero supporting data'!T16</f>
        <v>97421.949485154415</v>
      </c>
      <c r="U21" s="11">
        <f>'Net zero Activity data'!AW6-'Net zero supporting data'!U16</f>
        <v>88421.500697547279</v>
      </c>
      <c r="V21" s="11">
        <f>'Net zero Activity data'!AX6-'Net zero supporting data'!V16</f>
        <v>79323.608898935141</v>
      </c>
      <c r="W21" s="11">
        <f>'Net zero Activity data'!AY6-'Net zero supporting data'!W16</f>
        <v>70071.238387955585</v>
      </c>
      <c r="X21" s="11">
        <f>'Net zero Activity data'!AZ6-'Net zero supporting data'!X16</f>
        <v>60055.486225424916</v>
      </c>
      <c r="Y21" s="11">
        <f>'Net zero Activity data'!BA6-'Net zero supporting data'!Y16</f>
        <v>26750.294742025173</v>
      </c>
      <c r="Z21" s="11">
        <f>'Net zero Activity data'!BB6-'Net zero supporting data'!Z16</f>
        <v>21380.771193064429</v>
      </c>
      <c r="AA21" s="11">
        <f>'Net zero Activity data'!BC6-'Net zero supporting data'!AA16</f>
        <v>16022.486739811837</v>
      </c>
      <c r="AB21" s="11">
        <f>'Net zero Activity data'!BD6-'Net zero supporting data'!AB16</f>
        <v>10673.890387948457</v>
      </c>
      <c r="AC21" s="11">
        <f>'Net zero Activity data'!BE6-'Net zero supporting data'!AC16</f>
        <v>5333.521173322777</v>
      </c>
      <c r="AD21" s="11">
        <f>'Net zero Activity data'!BF6-'Net zero supporting data'!AD16</f>
        <v>0</v>
      </c>
      <c r="AE21" s="11">
        <f>'Net zero Activity data'!BG6-'Net zero supporting data'!AE16</f>
        <v>0</v>
      </c>
      <c r="AF21" s="11">
        <f>'Net zero Activity data'!BH6-'Net zero supporting data'!AF16</f>
        <v>0</v>
      </c>
      <c r="AG21" s="11">
        <f>'Net zero Activity data'!BI6-'Net zero supporting data'!AG16</f>
        <v>0</v>
      </c>
      <c r="AH21" s="11">
        <f>'Net zero Activity data'!BJ6-'Net zero supporting data'!AH16</f>
        <v>0</v>
      </c>
      <c r="AI21" s="11">
        <f>'Net zero Activity data'!BK6-'Net zero supporting data'!AI16</f>
        <v>0</v>
      </c>
      <c r="AJ21" s="11">
        <f>'Net zero Activity data'!BL6-'Net zero supporting data'!AJ16</f>
        <v>0</v>
      </c>
      <c r="AK21" s="11">
        <f>'Net zero Activity data'!BM6-'Net zero supporting data'!AK16</f>
        <v>0</v>
      </c>
      <c r="AL21" s="11">
        <f>'Net zero Activity data'!BN6-'Net zero supporting data'!AL16</f>
        <v>0</v>
      </c>
      <c r="AM21" s="11">
        <f>'Net zero Activity data'!BO6-'Net zero supporting data'!AM16</f>
        <v>0</v>
      </c>
      <c r="AN21" s="11">
        <f>'Net zero Activity data'!BP6-'Net zero supporting data'!AN16</f>
        <v>0</v>
      </c>
    </row>
    <row r="22" spans="1:48" x14ac:dyDescent="0.25">
      <c r="A22" t="s">
        <v>1113</v>
      </c>
      <c r="B22" s="11">
        <f>'Net zero Activity data'!AD7-'Net zero supporting data'!B17</f>
        <v>608018.69798187434</v>
      </c>
      <c r="C22" s="11">
        <f>'Net zero Activity data'!AE7-'Net zero supporting data'!C17</f>
        <v>611800.67684522725</v>
      </c>
      <c r="D22" s="11">
        <f>'Net zero Activity data'!AF7-'Net zero supporting data'!D17</f>
        <v>614400.83941239072</v>
      </c>
      <c r="E22" s="11">
        <f>'Net zero Activity data'!AG7-'Net zero supporting data'!E17</f>
        <v>615216.28866894625</v>
      </c>
      <c r="F22" s="11">
        <f>'Net zero Activity data'!AH7-'Net zero supporting data'!F17</f>
        <v>616319.46983312909</v>
      </c>
      <c r="G22" s="11">
        <f>'Net zero Activity data'!AI7-'Net zero supporting data'!G17</f>
        <v>618735.85570479452</v>
      </c>
      <c r="H22" s="11">
        <f>'Net zero Activity data'!AJ7-'Net zero supporting data'!H17</f>
        <v>621632.85726430325</v>
      </c>
      <c r="I22" s="11">
        <f>'Net zero Activity data'!AK7-'Net zero supporting data'!I17</f>
        <v>622503.14675198344</v>
      </c>
      <c r="J22" s="11">
        <f>'Net zero Activity data'!AL7-'Net zero supporting data'!J17</f>
        <v>603392.43997041078</v>
      </c>
      <c r="K22" s="11">
        <f>'Net zero Activity data'!AM7-'Net zero supporting data'!K17</f>
        <v>555215.84269738989</v>
      </c>
      <c r="L22" s="11">
        <f>'Net zero Activity data'!AN7-'Net zero supporting data'!L17</f>
        <v>506614.88600187539</v>
      </c>
      <c r="M22" s="11">
        <f>'Net zero Activity data'!AO7-'Net zero supporting data'!M17</f>
        <v>458105.35296582023</v>
      </c>
      <c r="N22" s="11">
        <f>'Net zero Activity data'!AP7-'Net zero supporting data'!N17</f>
        <v>410229.23877276253</v>
      </c>
      <c r="O22" s="11">
        <f>'Net zero Activity data'!AQ7-'Net zero supporting data'!O17</f>
        <v>362278.63144683233</v>
      </c>
      <c r="P22" s="11">
        <f>'Net zero Activity data'!AR7-'Net zero supporting data'!P17</f>
        <v>314122.59471019747</v>
      </c>
      <c r="Q22" s="11">
        <f>'Net zero Activity data'!AS7-'Net zero supporting data'!Q17</f>
        <v>265835.37686061696</v>
      </c>
      <c r="R22" s="11">
        <f>'Net zero Activity data'!AT7-'Net zero supporting data'!R17</f>
        <v>217644.51807128941</v>
      </c>
      <c r="S22" s="11">
        <f>'Net zero Activity data'!AU7-'Net zero supporting data'!S17</f>
        <v>169282.56548730162</v>
      </c>
      <c r="T22" s="11">
        <f>'Net zero Activity data'!AV7-'Net zero supporting data'!T17</f>
        <v>120937.59246432967</v>
      </c>
      <c r="U22" s="11">
        <f>'Net zero Activity data'!AW7-'Net zero supporting data'!U17</f>
        <v>109764.62155557593</v>
      </c>
      <c r="V22" s="11">
        <f>'Net zero Activity data'!AX7-'Net zero supporting data'!V17</f>
        <v>98470.686909022974</v>
      </c>
      <c r="W22" s="11">
        <f>'Net zero Activity data'!AY7-'Net zero supporting data'!W17</f>
        <v>86984.985585048329</v>
      </c>
      <c r="X22" s="11">
        <f>'Net zero Activity data'!AZ7-'Net zero supporting data'!X17</f>
        <v>74551.638072941219</v>
      </c>
      <c r="Y22" s="11">
        <f>'Net zero Activity data'!BA7-'Net zero supporting data'!Y17</f>
        <v>33207.262438376085</v>
      </c>
      <c r="Z22" s="11">
        <f>'Net zero Activity data'!BB7-'Net zero supporting data'!Z17</f>
        <v>26541.646998286888</v>
      </c>
      <c r="AA22" s="11">
        <f>'Net zero Activity data'!BC7-'Net zero supporting data'!AA17</f>
        <v>19889.983539076755</v>
      </c>
      <c r="AB22" s="11">
        <f>'Net zero Activity data'!BD7-'Net zero supporting data'!AB17</f>
        <v>13250.346688487742</v>
      </c>
      <c r="AC22" s="11">
        <f>'Net zero Activity data'!BE7-'Net zero supporting data'!AC17</f>
        <v>6620.9228358489927</v>
      </c>
      <c r="AD22" s="11">
        <f>'Net zero Activity data'!BF7-'Net zero supporting data'!AD17</f>
        <v>0</v>
      </c>
      <c r="AE22" s="11">
        <f>'Net zero Activity data'!BG7-'Net zero supporting data'!AE17</f>
        <v>0</v>
      </c>
      <c r="AF22" s="11">
        <f>'Net zero Activity data'!BH7-'Net zero supporting data'!AF17</f>
        <v>0</v>
      </c>
      <c r="AG22" s="11">
        <f>'Net zero Activity data'!BI7-'Net zero supporting data'!AG17</f>
        <v>0</v>
      </c>
      <c r="AH22" s="11">
        <f>'Net zero Activity data'!BJ7-'Net zero supporting data'!AH17</f>
        <v>0</v>
      </c>
      <c r="AI22" s="11">
        <f>'Net zero Activity data'!BK7-'Net zero supporting data'!AI17</f>
        <v>0</v>
      </c>
      <c r="AJ22" s="11">
        <f>'Net zero Activity data'!BL7-'Net zero supporting data'!AJ17</f>
        <v>0</v>
      </c>
      <c r="AK22" s="11">
        <f>'Net zero Activity data'!BM7-'Net zero supporting data'!AK17</f>
        <v>0</v>
      </c>
      <c r="AL22" s="11">
        <f>'Net zero Activity data'!BN7-'Net zero supporting data'!AL17</f>
        <v>0</v>
      </c>
      <c r="AM22" s="11">
        <f>'Net zero Activity data'!BO7-'Net zero supporting data'!AM17</f>
        <v>0</v>
      </c>
      <c r="AN22" s="11">
        <f>'Net zero Activity data'!BP7-'Net zero supporting data'!AN17</f>
        <v>0</v>
      </c>
    </row>
    <row r="23" spans="1:48" x14ac:dyDescent="0.25">
      <c r="A23" t="s">
        <v>1114</v>
      </c>
      <c r="B23" s="11">
        <f>'Net zero Activity data'!AD8-'Net zero supporting data'!B18</f>
        <v>6007349.5592559706</v>
      </c>
      <c r="C23" s="11">
        <f>'Net zero Activity data'!AE8-'Net zero supporting data'!C18</f>
        <v>5967530.2158234045</v>
      </c>
      <c r="D23" s="11">
        <f>'Net zero Activity data'!AF8-'Net zero supporting data'!D18</f>
        <v>5883573.7985937558</v>
      </c>
      <c r="E23" s="11">
        <f>'Net zero Activity data'!AG8-'Net zero supporting data'!E18</f>
        <v>5742053.6226589652</v>
      </c>
      <c r="F23" s="11">
        <f>'Net zero Activity data'!AH8-'Net zero supporting data'!F18</f>
        <v>5604747.315330226</v>
      </c>
      <c r="G23" s="11">
        <f>'Net zero Activity data'!AI8-'Net zero supporting data'!G18</f>
        <v>5499139.4932850013</v>
      </c>
      <c r="H23" s="11">
        <f>'Net zero Activity data'!AJ8-'Net zero supporting data'!H18</f>
        <v>5403616.40519528</v>
      </c>
      <c r="I23" s="11">
        <f>'Net zero Activity data'!AK8-'Net zero supporting data'!I18</f>
        <v>5253429.56876144</v>
      </c>
      <c r="J23" s="11">
        <f>'Net zero Activity data'!AL8-'Net zero supporting data'!J18</f>
        <v>4607576.1616366571</v>
      </c>
      <c r="K23" s="11">
        <f>'Net zero Activity data'!AM8-'Net zero supporting data'!K18</f>
        <v>4383567.7100469768</v>
      </c>
      <c r="L23" s="11">
        <f>'Net zero Activity data'!AN8-'Net zero supporting data'!L18</f>
        <v>4145680.9813083969</v>
      </c>
      <c r="M23" s="11">
        <f>'Net zero Activity data'!AO8-'Net zero supporting data'!M18</f>
        <v>3907385.1638168786</v>
      </c>
      <c r="N23" s="11">
        <f>'Net zero Activity data'!AP8-'Net zero supporting data'!N18</f>
        <v>3684216.108690253</v>
      </c>
      <c r="O23" s="11">
        <f>'Net zero Activity data'!AQ8-'Net zero supporting data'!O18</f>
        <v>3458513.5619585793</v>
      </c>
      <c r="P23" s="11">
        <f>'Net zero Activity data'!AR8-'Net zero supporting data'!P18</f>
        <v>3233215.3783958033</v>
      </c>
      <c r="Q23" s="11">
        <f>'Net zero Activity data'!AS8-'Net zero supporting data'!Q18</f>
        <v>3002829.2008532165</v>
      </c>
      <c r="R23" s="11">
        <f>'Net zero Activity data'!AT8-'Net zero supporting data'!R18</f>
        <v>2775213.9881978957</v>
      </c>
      <c r="S23" s="11">
        <f>'Net zero Activity data'!AU8-'Net zero supporting data'!S18</f>
        <v>2541306.9443852426</v>
      </c>
      <c r="T23" s="11">
        <f>'Net zero Activity data'!AV8-'Net zero supporting data'!T18</f>
        <v>2308052.7415084168</v>
      </c>
      <c r="U23" s="11">
        <f>'Net zero Activity data'!AW8-'Net zero supporting data'!U18</f>
        <v>2173764.5574734043</v>
      </c>
      <c r="V23" s="11">
        <f>'Net zero Activity data'!AX8-'Net zero supporting data'!V18</f>
        <v>2041599.8647733284</v>
      </c>
      <c r="W23" s="11">
        <f>'Net zero Activity data'!AY8-'Net zero supporting data'!W18</f>
        <v>1908471.260760779</v>
      </c>
      <c r="X23" s="11">
        <f>'Net zero Activity data'!AZ8-'Net zero supporting data'!X18</f>
        <v>1728477.0832379744</v>
      </c>
      <c r="Y23" s="11">
        <f>'Net zero Activity data'!BA8-'Net zero supporting data'!Y18</f>
        <v>-374918.80739993579</v>
      </c>
      <c r="Z23" s="11">
        <f>'Net zero Activity data'!BB8-'Net zero supporting data'!Z18</f>
        <v>-334281.13030525972</v>
      </c>
      <c r="AA23" s="11">
        <f>'Net zero Activity data'!BC8-'Net zero supporting data'!AA18</f>
        <v>-295375.44771000836</v>
      </c>
      <c r="AB23" s="11">
        <f>'Net zero Activity data'!BD8-'Net zero supporting data'!AB18</f>
        <v>-258153.09847182641</v>
      </c>
      <c r="AC23" s="11">
        <f>'Net zero Activity data'!BE8-'Net zero supporting data'!AC18</f>
        <v>-222568.48486042314</v>
      </c>
      <c r="AD23" s="11">
        <f>'Net zero Activity data'!BF8-'Net zero supporting data'!AD18</f>
        <v>-188578.81027318805</v>
      </c>
      <c r="AE23" s="11">
        <f>'Net zero Activity data'!BG8-'Net zero supporting data'!AE18</f>
        <v>-166060.35305551544</v>
      </c>
      <c r="AF23" s="11">
        <f>'Net zero Activity data'!BH8-'Net zero supporting data'!AF18</f>
        <v>-144410.62447314581</v>
      </c>
      <c r="AG23" s="11">
        <f>'Net zero Activity data'!BI8-'Net zero supporting data'!AG18</f>
        <v>-123606.90865801938</v>
      </c>
      <c r="AH23" s="11">
        <f>'Net zero Activity data'!BJ8-'Net zero supporting data'!AH18</f>
        <v>-103627.73291494721</v>
      </c>
      <c r="AI23" s="11">
        <f>'Net zero Activity data'!BK8-'Net zero supporting data'!AI18</f>
        <v>-84452.772425004747</v>
      </c>
      <c r="AJ23" s="11">
        <f>'Net zero Activity data'!BL8-'Net zero supporting data'!AJ18</f>
        <v>-66017.865784689318</v>
      </c>
      <c r="AK23" s="11">
        <f>'Net zero Activity data'!BM8-'Net zero supporting data'!AK18</f>
        <v>-48373.468110451708</v>
      </c>
      <c r="AL23" s="11">
        <f>'Net zero Activity data'!BN8-'Net zero supporting data'!AL18</f>
        <v>-31500.81121032848</v>
      </c>
      <c r="AM23" s="11">
        <f>'Net zero Activity data'!BO8-'Net zero supporting data'!AM18</f>
        <v>-15382.009617368341</v>
      </c>
      <c r="AN23" s="11">
        <f>'Net zero Activity data'!BP8-'Net zero supporting data'!AN18</f>
        <v>0</v>
      </c>
    </row>
    <row r="24" spans="1:48" x14ac:dyDescent="0.25">
      <c r="A24" t="s">
        <v>1032</v>
      </c>
      <c r="B24" s="11">
        <f>'Net zero Activity data'!AD10-'Net zero supporting data'!B19</f>
        <v>544425.44678784802</v>
      </c>
      <c r="C24" s="11">
        <f>'Net zero Activity data'!AE10-'Net zero supporting data'!C19</f>
        <v>563815.25409722852</v>
      </c>
      <c r="D24" s="11">
        <f>'Net zero Activity data'!AF10-'Net zero supporting data'!D19</f>
        <v>579205.48050671967</v>
      </c>
      <c r="E24" s="11">
        <f>'Net zero Activity data'!AG10-'Net zero supporting data'!E19</f>
        <v>588722.95646496292</v>
      </c>
      <c r="F24" s="11">
        <f>'Net zero Activity data'!AH10-'Net zero supporting data'!F19</f>
        <v>598260.30078749277</v>
      </c>
      <c r="G24" s="11">
        <f>'Net zero Activity data'!AI10-'Net zero supporting data'!G19</f>
        <v>610925.73677676241</v>
      </c>
      <c r="H24" s="11">
        <f>'Net zero Activity data'!AJ10-'Net zero supporting data'!H19</f>
        <v>624646.75853090361</v>
      </c>
      <c r="I24" s="11">
        <f>'Net zero Activity data'!AK10-'Net zero supporting data'!I19</f>
        <v>631787.34034937981</v>
      </c>
      <c r="J24" s="11">
        <f>'Net zero Activity data'!AL10-'Net zero supporting data'!J19</f>
        <v>576398.87297452381</v>
      </c>
      <c r="K24" s="11">
        <f>'Net zero Activity data'!AM10-'Net zero supporting data'!K19</f>
        <v>549634.83845317527</v>
      </c>
      <c r="L24" s="11">
        <f>'Net zero Activity data'!AN10-'Net zero supporting data'!L19</f>
        <v>518369.12461466464</v>
      </c>
      <c r="M24" s="11">
        <f>'Net zero Activity data'!AO10-'Net zero supporting data'!M19</f>
        <v>484190.80736015621</v>
      </c>
      <c r="N24" s="11">
        <f>'Net zero Activity data'!AP10-'Net zero supporting data'!N19</f>
        <v>448895.46804651688</v>
      </c>
      <c r="O24" s="11">
        <f>'Net zero Activity data'!AQ10-'Net zero supporting data'!O19</f>
        <v>410140.71047409665</v>
      </c>
      <c r="P24" s="11">
        <f>'Net zero Activity data'!AR10-'Net zero supporting data'!P19</f>
        <v>368130.3409309003</v>
      </c>
      <c r="Q24" s="11">
        <f>'Net zero Activity data'!AS10-'Net zero supporting data'!Q19</f>
        <v>322095.41772098973</v>
      </c>
      <c r="R24" s="11">
        <f>'Net zero Activity data'!AT10-'Net zero supporting data'!R19</f>
        <v>272751.92633385857</v>
      </c>
      <c r="S24" s="11">
        <f>'Net zero Activity data'!AU10-'Net zero supporting data'!S19</f>
        <v>219047.33813928429</v>
      </c>
      <c r="T24" s="11">
        <f>'Net zero Activity data'!AV10-'Net zero supporting data'!T19</f>
        <v>161556.10271285509</v>
      </c>
      <c r="U24" s="11">
        <f>'Net zero Activity data'!AW10-'Net zero supporting data'!U19</f>
        <v>150574.67366552702</v>
      </c>
      <c r="V24" s="11">
        <f>'Net zero Activity data'!AX10-'Net zero supporting data'!V19</f>
        <v>138796.60419281723</v>
      </c>
      <c r="W24" s="11">
        <f>'Net zero Activity data'!AY10-'Net zero supporting data'!W19</f>
        <v>125946.10433232191</v>
      </c>
      <c r="X24" s="11">
        <f>'Net zero Activity data'!AZ10-'Net zero supporting data'!X19</f>
        <v>109062.87363146932</v>
      </c>
      <c r="Y24" s="11">
        <f>'Net zero Activity data'!BA10-'Net zero supporting data'!Y19</f>
        <v>-22130.997896137153</v>
      </c>
      <c r="Z24" s="11">
        <f>'Net zero Activity data'!BB10-'Net zero supporting data'!Z19</f>
        <v>-17855.169713490352</v>
      </c>
      <c r="AA24" s="11">
        <f>'Net zero Activity data'!BC10-'Net zero supporting data'!AA19</f>
        <v>-13504.949004607246</v>
      </c>
      <c r="AB24" s="11">
        <f>'Net zero Activity data'!BD10-'Net zero supporting data'!AB19</f>
        <v>-9079.5474259789917</v>
      </c>
      <c r="AC24" s="11">
        <f>'Net zero Activity data'!BE10-'Net zero supporting data'!AC19</f>
        <v>-4578.1669960175059</v>
      </c>
      <c r="AD24" s="11">
        <f>'Net zero Activity data'!BF10-'Net zero supporting data'!AD19</f>
        <v>0</v>
      </c>
      <c r="AE24" s="11">
        <f>'Net zero Activity data'!BG10-'Net zero supporting data'!AE19</f>
        <v>0</v>
      </c>
      <c r="AF24" s="11">
        <f>'Net zero Activity data'!BH10-'Net zero supporting data'!AF19</f>
        <v>0</v>
      </c>
      <c r="AG24" s="11">
        <f>'Net zero Activity data'!BI10-'Net zero supporting data'!AG19</f>
        <v>0</v>
      </c>
      <c r="AH24" s="11">
        <f>'Net zero Activity data'!BJ10-'Net zero supporting data'!AH19</f>
        <v>0</v>
      </c>
      <c r="AI24" s="11">
        <f>'Net zero Activity data'!BK10-'Net zero supporting data'!AI19</f>
        <v>0</v>
      </c>
      <c r="AJ24" s="11">
        <f>'Net zero Activity data'!BL10-'Net zero supporting data'!AJ19</f>
        <v>0</v>
      </c>
      <c r="AK24" s="11">
        <f>'Net zero Activity data'!BM10-'Net zero supporting data'!AK19</f>
        <v>0</v>
      </c>
      <c r="AL24" s="11">
        <f>'Net zero Activity data'!BN10-'Net zero supporting data'!AL19</f>
        <v>0</v>
      </c>
      <c r="AM24" s="11">
        <f>'Net zero Activity data'!BO10-'Net zero supporting data'!AM19</f>
        <v>0</v>
      </c>
      <c r="AN24" s="11">
        <f>'Net zero Activity data'!BP10-'Net zero supporting data'!AN19</f>
        <v>0</v>
      </c>
    </row>
    <row r="25" spans="1:48" x14ac:dyDescent="0.25">
      <c r="A25" t="s">
        <v>957</v>
      </c>
      <c r="B25">
        <f>EF!H4</f>
        <v>122.43852137301079</v>
      </c>
      <c r="C25">
        <f t="shared" ref="C25:AN25" si="36">B25-(((C9*4)*$B$25)/100)</f>
        <v>122.43852137301079</v>
      </c>
      <c r="D25">
        <f t="shared" si="36"/>
        <v>122.43852137301079</v>
      </c>
      <c r="E25">
        <f t="shared" si="36"/>
        <v>122.43852137301079</v>
      </c>
      <c r="F25">
        <f t="shared" si="36"/>
        <v>122.43852137301079</v>
      </c>
      <c r="G25">
        <f t="shared" si="36"/>
        <v>122.43852137301079</v>
      </c>
      <c r="H25">
        <f t="shared" si="36"/>
        <v>122.43852137301079</v>
      </c>
      <c r="I25">
        <f t="shared" si="36"/>
        <v>122.43852137301079</v>
      </c>
      <c r="J25">
        <f t="shared" si="36"/>
        <v>122.43852137301079</v>
      </c>
      <c r="K25">
        <f t="shared" si="36"/>
        <v>121.94876728751875</v>
      </c>
      <c r="L25">
        <f t="shared" si="36"/>
        <v>121.45901320202671</v>
      </c>
      <c r="M25">
        <f t="shared" si="36"/>
        <v>120.96925911653467</v>
      </c>
      <c r="N25">
        <f t="shared" si="36"/>
        <v>120.47950503104263</v>
      </c>
      <c r="O25">
        <f t="shared" si="36"/>
        <v>119.9897509455506</v>
      </c>
      <c r="P25">
        <f t="shared" si="36"/>
        <v>119.49999686005856</v>
      </c>
      <c r="Q25">
        <f t="shared" si="36"/>
        <v>119.01024277456652</v>
      </c>
      <c r="R25">
        <f t="shared" si="36"/>
        <v>118.52048868907448</v>
      </c>
      <c r="S25">
        <f t="shared" si="36"/>
        <v>118.03073460358245</v>
      </c>
      <c r="T25">
        <f t="shared" si="36"/>
        <v>117.54098051809041</v>
      </c>
      <c r="U25">
        <f t="shared" si="36"/>
        <v>117.54098051809041</v>
      </c>
      <c r="V25">
        <f t="shared" si="36"/>
        <v>117.54098051809041</v>
      </c>
      <c r="W25">
        <f t="shared" si="36"/>
        <v>117.54098051809041</v>
      </c>
      <c r="X25">
        <f t="shared" si="36"/>
        <v>117.54098051809041</v>
      </c>
      <c r="Y25">
        <f t="shared" si="36"/>
        <v>117.54098051809041</v>
      </c>
      <c r="Z25">
        <f t="shared" si="36"/>
        <v>117.54098051809041</v>
      </c>
      <c r="AA25">
        <f t="shared" si="36"/>
        <v>117.54098051809041</v>
      </c>
      <c r="AB25">
        <f t="shared" si="36"/>
        <v>117.54098051809041</v>
      </c>
      <c r="AC25">
        <f t="shared" si="36"/>
        <v>117.54098051809041</v>
      </c>
      <c r="AD25">
        <f t="shared" si="36"/>
        <v>117.54098051809041</v>
      </c>
      <c r="AE25">
        <f t="shared" si="36"/>
        <v>117.54098051809041</v>
      </c>
      <c r="AF25">
        <f t="shared" si="36"/>
        <v>117.54098051809041</v>
      </c>
      <c r="AG25">
        <f t="shared" si="36"/>
        <v>117.54098051809041</v>
      </c>
      <c r="AH25">
        <f t="shared" si="36"/>
        <v>117.54098051809041</v>
      </c>
      <c r="AI25">
        <f t="shared" si="36"/>
        <v>117.54098051809041</v>
      </c>
      <c r="AJ25">
        <f t="shared" si="36"/>
        <v>117.54098051809041</v>
      </c>
      <c r="AK25">
        <f t="shared" si="36"/>
        <v>117.54098051809041</v>
      </c>
      <c r="AL25">
        <f t="shared" si="36"/>
        <v>117.54098051809041</v>
      </c>
      <c r="AM25">
        <f t="shared" si="36"/>
        <v>117.54098051809041</v>
      </c>
      <c r="AN25">
        <f t="shared" si="36"/>
        <v>117.54098051809041</v>
      </c>
    </row>
    <row r="26" spans="1:48" x14ac:dyDescent="0.25">
      <c r="A26" t="s">
        <v>958</v>
      </c>
      <c r="B26">
        <f>EF!H5</f>
        <v>118.18939556126456</v>
      </c>
      <c r="C26">
        <f t="shared" ref="C26:AN26" si="37">B26-(((C9*4)*$B$26)/100)</f>
        <v>118.18939556126456</v>
      </c>
      <c r="D26">
        <f t="shared" si="37"/>
        <v>118.18939556126456</v>
      </c>
      <c r="E26">
        <f t="shared" si="37"/>
        <v>118.18939556126456</v>
      </c>
      <c r="F26">
        <f t="shared" si="37"/>
        <v>118.18939556126456</v>
      </c>
      <c r="G26">
        <f t="shared" si="37"/>
        <v>118.18939556126456</v>
      </c>
      <c r="H26">
        <f t="shared" si="37"/>
        <v>118.18939556126456</v>
      </c>
      <c r="I26">
        <f t="shared" si="37"/>
        <v>118.18939556126456</v>
      </c>
      <c r="J26">
        <f t="shared" si="37"/>
        <v>118.18939556126456</v>
      </c>
      <c r="K26">
        <f t="shared" si="37"/>
        <v>117.71663797901951</v>
      </c>
      <c r="L26">
        <f t="shared" si="37"/>
        <v>117.24388039677446</v>
      </c>
      <c r="M26">
        <f t="shared" si="37"/>
        <v>116.77112281452941</v>
      </c>
      <c r="N26">
        <f t="shared" si="37"/>
        <v>116.29836523228435</v>
      </c>
      <c r="O26">
        <f t="shared" si="37"/>
        <v>115.8256076500393</v>
      </c>
      <c r="P26">
        <f t="shared" si="37"/>
        <v>115.35285006779425</v>
      </c>
      <c r="Q26">
        <f t="shared" si="37"/>
        <v>114.8800924855492</v>
      </c>
      <c r="R26">
        <f t="shared" si="37"/>
        <v>114.40733490330415</v>
      </c>
      <c r="S26">
        <f t="shared" si="37"/>
        <v>113.93457732105909</v>
      </c>
      <c r="T26">
        <f t="shared" si="37"/>
        <v>113.46181973881404</v>
      </c>
      <c r="U26">
        <f t="shared" si="37"/>
        <v>113.46181973881404</v>
      </c>
      <c r="V26">
        <f t="shared" si="37"/>
        <v>113.46181973881404</v>
      </c>
      <c r="W26">
        <f t="shared" si="37"/>
        <v>113.46181973881404</v>
      </c>
      <c r="X26">
        <f t="shared" si="37"/>
        <v>113.46181973881404</v>
      </c>
      <c r="Y26">
        <f t="shared" si="37"/>
        <v>113.46181973881404</v>
      </c>
      <c r="Z26">
        <f t="shared" si="37"/>
        <v>113.46181973881404</v>
      </c>
      <c r="AA26">
        <f t="shared" si="37"/>
        <v>113.46181973881404</v>
      </c>
      <c r="AB26">
        <f t="shared" si="37"/>
        <v>113.46181973881404</v>
      </c>
      <c r="AC26">
        <f t="shared" si="37"/>
        <v>113.46181973881404</v>
      </c>
      <c r="AD26">
        <f t="shared" si="37"/>
        <v>113.46181973881404</v>
      </c>
      <c r="AE26">
        <f t="shared" si="37"/>
        <v>113.46181973881404</v>
      </c>
      <c r="AF26">
        <f t="shared" si="37"/>
        <v>113.46181973881404</v>
      </c>
      <c r="AG26">
        <f t="shared" si="37"/>
        <v>113.46181973881404</v>
      </c>
      <c r="AH26">
        <f t="shared" si="37"/>
        <v>113.46181973881404</v>
      </c>
      <c r="AI26">
        <f t="shared" si="37"/>
        <v>113.46181973881404</v>
      </c>
      <c r="AJ26">
        <f t="shared" si="37"/>
        <v>113.46181973881404</v>
      </c>
      <c r="AK26">
        <f t="shared" si="37"/>
        <v>113.46181973881404</v>
      </c>
      <c r="AL26">
        <f t="shared" si="37"/>
        <v>113.46181973881404</v>
      </c>
      <c r="AM26">
        <f t="shared" si="37"/>
        <v>113.46181973881404</v>
      </c>
      <c r="AN26">
        <f t="shared" si="37"/>
        <v>113.46181973881404</v>
      </c>
    </row>
    <row r="27" spans="1:48" x14ac:dyDescent="0.25">
      <c r="A27" t="s">
        <v>959</v>
      </c>
      <c r="B27">
        <f>EF!H6</f>
        <v>43.047261887683739</v>
      </c>
      <c r="C27">
        <f t="shared" ref="C27:AN27" si="38">B27-(((C10*4)*$B$27)/100)</f>
        <v>43.047261887683739</v>
      </c>
      <c r="D27">
        <f t="shared" si="38"/>
        <v>43.047261887683739</v>
      </c>
      <c r="E27">
        <f t="shared" si="38"/>
        <v>43.047261887683739</v>
      </c>
      <c r="F27">
        <f t="shared" si="38"/>
        <v>43.047261887683739</v>
      </c>
      <c r="G27">
        <f t="shared" si="38"/>
        <v>43.047261887683739</v>
      </c>
      <c r="H27">
        <f t="shared" si="38"/>
        <v>43.047261887683739</v>
      </c>
      <c r="I27">
        <f t="shared" si="38"/>
        <v>43.047261887683739</v>
      </c>
      <c r="J27">
        <f t="shared" si="38"/>
        <v>43.047261887683739</v>
      </c>
      <c r="K27">
        <f t="shared" si="38"/>
        <v>42.70288379258227</v>
      </c>
      <c r="L27">
        <f t="shared" si="38"/>
        <v>42.358505697480801</v>
      </c>
      <c r="M27">
        <f t="shared" si="38"/>
        <v>42.014127602379332</v>
      </c>
      <c r="N27">
        <f t="shared" si="38"/>
        <v>41.669749507277864</v>
      </c>
      <c r="O27">
        <f t="shared" si="38"/>
        <v>41.325371412176395</v>
      </c>
      <c r="P27">
        <f t="shared" si="38"/>
        <v>40.980993317074926</v>
      </c>
      <c r="Q27">
        <f t="shared" si="38"/>
        <v>40.636615221973457</v>
      </c>
      <c r="R27">
        <f t="shared" si="38"/>
        <v>40.292237126871989</v>
      </c>
      <c r="S27">
        <f t="shared" si="38"/>
        <v>39.94785903177052</v>
      </c>
      <c r="T27">
        <f t="shared" si="38"/>
        <v>39.603480936669051</v>
      </c>
      <c r="U27">
        <f t="shared" si="38"/>
        <v>39.603480936669051</v>
      </c>
      <c r="V27">
        <f t="shared" si="38"/>
        <v>39.603480936669051</v>
      </c>
      <c r="W27">
        <f t="shared" si="38"/>
        <v>39.603480936669051</v>
      </c>
      <c r="X27">
        <f t="shared" si="38"/>
        <v>39.603480936669051</v>
      </c>
      <c r="Y27">
        <f t="shared" si="38"/>
        <v>39.603480936669051</v>
      </c>
      <c r="Z27">
        <f t="shared" si="38"/>
        <v>39.603480936669051</v>
      </c>
      <c r="AA27">
        <f t="shared" si="38"/>
        <v>39.603480936669051</v>
      </c>
      <c r="AB27">
        <f t="shared" si="38"/>
        <v>39.603480936669051</v>
      </c>
      <c r="AC27">
        <f t="shared" si="38"/>
        <v>39.603480936669051</v>
      </c>
      <c r="AD27">
        <f t="shared" si="38"/>
        <v>39.603480936669051</v>
      </c>
      <c r="AE27">
        <f t="shared" si="38"/>
        <v>39.603480936669051</v>
      </c>
      <c r="AF27">
        <f t="shared" si="38"/>
        <v>39.603480936669051</v>
      </c>
      <c r="AG27">
        <f t="shared" si="38"/>
        <v>39.603480936669051</v>
      </c>
      <c r="AH27">
        <f t="shared" si="38"/>
        <v>39.603480936669051</v>
      </c>
      <c r="AI27">
        <f t="shared" si="38"/>
        <v>39.603480936669051</v>
      </c>
      <c r="AJ27">
        <f t="shared" si="38"/>
        <v>39.603480936669051</v>
      </c>
      <c r="AK27">
        <f t="shared" si="38"/>
        <v>39.603480936669051</v>
      </c>
      <c r="AL27">
        <f t="shared" si="38"/>
        <v>39.603480936669051</v>
      </c>
      <c r="AM27">
        <f t="shared" si="38"/>
        <v>39.603480936669051</v>
      </c>
      <c r="AN27">
        <f t="shared" si="38"/>
        <v>39.603480936669051</v>
      </c>
    </row>
    <row r="28" spans="1:48" x14ac:dyDescent="0.25">
      <c r="A28" t="s">
        <v>953</v>
      </c>
      <c r="B28">
        <f>EF!H7</f>
        <v>77.790815813890134</v>
      </c>
      <c r="C28">
        <f t="shared" ref="C28:AN28" si="39">B28-(((C10*4)*$B$28)/100)</f>
        <v>77.790815813890134</v>
      </c>
      <c r="D28">
        <f t="shared" si="39"/>
        <v>77.790815813890134</v>
      </c>
      <c r="E28">
        <f t="shared" si="39"/>
        <v>77.790815813890134</v>
      </c>
      <c r="F28">
        <f t="shared" si="39"/>
        <v>77.790815813890134</v>
      </c>
      <c r="G28">
        <f t="shared" si="39"/>
        <v>77.790815813890134</v>
      </c>
      <c r="H28">
        <f t="shared" si="39"/>
        <v>77.790815813890134</v>
      </c>
      <c r="I28">
        <f t="shared" si="39"/>
        <v>77.790815813890134</v>
      </c>
      <c r="J28">
        <f t="shared" si="39"/>
        <v>77.790815813890134</v>
      </c>
      <c r="K28">
        <f t="shared" si="39"/>
        <v>77.168489287379018</v>
      </c>
      <c r="L28">
        <f t="shared" si="39"/>
        <v>76.546162760867901</v>
      </c>
      <c r="M28">
        <f t="shared" si="39"/>
        <v>75.923836234356784</v>
      </c>
      <c r="N28">
        <f t="shared" si="39"/>
        <v>75.301509707845668</v>
      </c>
      <c r="O28">
        <f t="shared" si="39"/>
        <v>74.679183181334551</v>
      </c>
      <c r="P28">
        <f t="shared" si="39"/>
        <v>74.056856654823434</v>
      </c>
      <c r="Q28">
        <f t="shared" si="39"/>
        <v>73.434530128312318</v>
      </c>
      <c r="R28">
        <f t="shared" si="39"/>
        <v>72.812203601801201</v>
      </c>
      <c r="S28">
        <f t="shared" si="39"/>
        <v>72.189877075290084</v>
      </c>
      <c r="T28">
        <f t="shared" si="39"/>
        <v>71.567550548778968</v>
      </c>
      <c r="U28">
        <f t="shared" si="39"/>
        <v>71.567550548778968</v>
      </c>
      <c r="V28">
        <f t="shared" si="39"/>
        <v>71.567550548778968</v>
      </c>
      <c r="W28">
        <f t="shared" si="39"/>
        <v>71.567550548778968</v>
      </c>
      <c r="X28">
        <f t="shared" si="39"/>
        <v>71.567550548778968</v>
      </c>
      <c r="Y28">
        <f t="shared" si="39"/>
        <v>71.567550548778968</v>
      </c>
      <c r="Z28">
        <f t="shared" si="39"/>
        <v>71.567550548778968</v>
      </c>
      <c r="AA28">
        <f t="shared" si="39"/>
        <v>71.567550548778968</v>
      </c>
      <c r="AB28">
        <f t="shared" si="39"/>
        <v>71.567550548778968</v>
      </c>
      <c r="AC28">
        <f t="shared" si="39"/>
        <v>71.567550548778968</v>
      </c>
      <c r="AD28">
        <f t="shared" si="39"/>
        <v>71.567550548778968</v>
      </c>
      <c r="AE28">
        <f t="shared" si="39"/>
        <v>71.567550548778968</v>
      </c>
      <c r="AF28">
        <f t="shared" si="39"/>
        <v>71.567550548778968</v>
      </c>
      <c r="AG28">
        <f t="shared" si="39"/>
        <v>71.567550548778968</v>
      </c>
      <c r="AH28">
        <f t="shared" si="39"/>
        <v>71.567550548778968</v>
      </c>
      <c r="AI28">
        <f t="shared" si="39"/>
        <v>71.567550548778968</v>
      </c>
      <c r="AJ28">
        <f t="shared" si="39"/>
        <v>71.567550548778968</v>
      </c>
      <c r="AK28">
        <f t="shared" si="39"/>
        <v>71.567550548778968</v>
      </c>
      <c r="AL28">
        <f t="shared" si="39"/>
        <v>71.567550548778968</v>
      </c>
      <c r="AM28">
        <f t="shared" si="39"/>
        <v>71.567550548778968</v>
      </c>
      <c r="AN28">
        <f t="shared" si="39"/>
        <v>71.567550548778968</v>
      </c>
    </row>
    <row r="29" spans="1:48" x14ac:dyDescent="0.25">
      <c r="A29" t="s">
        <v>952</v>
      </c>
      <c r="B29">
        <f>EF!H9</f>
        <v>58.9</v>
      </c>
      <c r="C29">
        <f t="shared" ref="C29:AN29" si="40">B29-(((C11*4)*$B$29)/100)</f>
        <v>58.9</v>
      </c>
      <c r="D29">
        <f t="shared" si="40"/>
        <v>58.9</v>
      </c>
      <c r="E29">
        <f t="shared" si="40"/>
        <v>58.9</v>
      </c>
      <c r="F29">
        <f t="shared" si="40"/>
        <v>58.9</v>
      </c>
      <c r="G29">
        <f t="shared" si="40"/>
        <v>58.9</v>
      </c>
      <c r="H29">
        <f t="shared" si="40"/>
        <v>58.9</v>
      </c>
      <c r="I29">
        <f t="shared" si="40"/>
        <v>58.9</v>
      </c>
      <c r="J29">
        <f t="shared" si="40"/>
        <v>58.9</v>
      </c>
      <c r="K29">
        <f t="shared" si="40"/>
        <v>58.664400000000001</v>
      </c>
      <c r="L29">
        <f t="shared" si="40"/>
        <v>58.428800000000003</v>
      </c>
      <c r="M29">
        <f t="shared" si="40"/>
        <v>58.193200000000004</v>
      </c>
      <c r="N29">
        <f t="shared" si="40"/>
        <v>57.957600000000006</v>
      </c>
      <c r="O29">
        <f t="shared" si="40"/>
        <v>57.722000000000008</v>
      </c>
      <c r="P29">
        <f t="shared" si="40"/>
        <v>57.48640000000001</v>
      </c>
      <c r="Q29">
        <f t="shared" si="40"/>
        <v>57.250800000000012</v>
      </c>
      <c r="R29">
        <f t="shared" si="40"/>
        <v>57.015200000000014</v>
      </c>
      <c r="S29">
        <f t="shared" si="40"/>
        <v>56.779600000000016</v>
      </c>
      <c r="T29">
        <f t="shared" si="40"/>
        <v>56.544000000000018</v>
      </c>
      <c r="U29">
        <f t="shared" si="40"/>
        <v>56.544000000000018</v>
      </c>
      <c r="V29">
        <f t="shared" si="40"/>
        <v>56.544000000000018</v>
      </c>
      <c r="W29">
        <f t="shared" si="40"/>
        <v>56.544000000000018</v>
      </c>
      <c r="X29">
        <f t="shared" si="40"/>
        <v>56.544000000000018</v>
      </c>
      <c r="Y29">
        <f t="shared" si="40"/>
        <v>56.544000000000018</v>
      </c>
      <c r="Z29">
        <f t="shared" si="40"/>
        <v>56.544000000000018</v>
      </c>
      <c r="AA29">
        <f t="shared" si="40"/>
        <v>56.544000000000018</v>
      </c>
      <c r="AB29">
        <f t="shared" si="40"/>
        <v>56.544000000000018</v>
      </c>
      <c r="AC29">
        <f t="shared" si="40"/>
        <v>56.544000000000018</v>
      </c>
      <c r="AD29">
        <f t="shared" si="40"/>
        <v>56.544000000000018</v>
      </c>
      <c r="AE29">
        <f t="shared" si="40"/>
        <v>56.544000000000018</v>
      </c>
      <c r="AF29">
        <f t="shared" si="40"/>
        <v>56.544000000000018</v>
      </c>
      <c r="AG29">
        <f t="shared" si="40"/>
        <v>56.544000000000018</v>
      </c>
      <c r="AH29">
        <f t="shared" si="40"/>
        <v>56.544000000000018</v>
      </c>
      <c r="AI29">
        <f t="shared" si="40"/>
        <v>56.544000000000018</v>
      </c>
      <c r="AJ29">
        <f t="shared" si="40"/>
        <v>56.544000000000018</v>
      </c>
      <c r="AK29">
        <f t="shared" si="40"/>
        <v>56.544000000000018</v>
      </c>
      <c r="AL29">
        <f t="shared" si="40"/>
        <v>56.544000000000018</v>
      </c>
      <c r="AM29">
        <f t="shared" si="40"/>
        <v>56.544000000000018</v>
      </c>
      <c r="AN29">
        <f t="shared" si="40"/>
        <v>56.544000000000018</v>
      </c>
    </row>
    <row r="31" spans="1:48" s="120" customFormat="1" ht="15.75" x14ac:dyDescent="0.25">
      <c r="A31" s="116" t="s">
        <v>946</v>
      </c>
      <c r="B31" s="116"/>
      <c r="C31" s="116"/>
      <c r="D31" s="116"/>
      <c r="E31" s="116"/>
      <c r="F31" s="116"/>
      <c r="G31" s="116"/>
      <c r="H31" s="116"/>
      <c r="I31" s="116"/>
      <c r="J31" s="118"/>
      <c r="K31" s="118"/>
      <c r="L31" s="118"/>
      <c r="M31" s="118"/>
      <c r="N31" s="118"/>
      <c r="O31" s="118"/>
      <c r="P31" s="119"/>
      <c r="Q31" s="119"/>
      <c r="R31" s="119"/>
      <c r="S31" s="119"/>
      <c r="T31" s="119"/>
      <c r="U31" s="119"/>
      <c r="V31" s="119"/>
      <c r="W31" s="119"/>
      <c r="X31" s="119"/>
      <c r="Y31" s="119"/>
      <c r="Z31" s="119"/>
      <c r="AA31" s="119"/>
      <c r="AB31" s="119"/>
      <c r="AC31" s="119"/>
      <c r="AD31" s="119"/>
      <c r="AE31" s="119"/>
      <c r="AF31" s="119"/>
      <c r="AG31" s="119"/>
      <c r="AH31" s="119"/>
      <c r="AI31" s="119"/>
      <c r="AJ31" s="119"/>
      <c r="AK31" s="119"/>
      <c r="AL31" s="119"/>
      <c r="AM31" s="119"/>
      <c r="AN31" s="119"/>
      <c r="AO31" s="119"/>
      <c r="AP31" s="119"/>
      <c r="AQ31" s="119"/>
      <c r="AR31" s="119"/>
      <c r="AS31" s="119"/>
      <c r="AT31" s="119"/>
      <c r="AU31" s="119"/>
      <c r="AV31" s="119"/>
    </row>
    <row r="32" spans="1:48" x14ac:dyDescent="0.25">
      <c r="A32" t="s">
        <v>1345</v>
      </c>
      <c r="B32">
        <f>'Net zero activities &amp; levers'!$C26/100</f>
        <v>0</v>
      </c>
      <c r="C32">
        <f>B32</f>
        <v>0</v>
      </c>
      <c r="D32">
        <f t="shared" ref="D32:J33" si="41">C32</f>
        <v>0</v>
      </c>
      <c r="E32">
        <f t="shared" si="41"/>
        <v>0</v>
      </c>
      <c r="F32">
        <f t="shared" si="41"/>
        <v>0</v>
      </c>
      <c r="G32">
        <f t="shared" si="41"/>
        <v>0</v>
      </c>
      <c r="H32">
        <f t="shared" si="41"/>
        <v>0</v>
      </c>
      <c r="I32">
        <f t="shared" si="41"/>
        <v>0</v>
      </c>
      <c r="J32">
        <f t="shared" si="41"/>
        <v>0</v>
      </c>
      <c r="K32">
        <f t="shared" ref="K32:S32" si="42">J32+($T32-$J32)/10</f>
        <v>0.02</v>
      </c>
      <c r="L32">
        <f t="shared" si="42"/>
        <v>0.04</v>
      </c>
      <c r="M32">
        <f t="shared" si="42"/>
        <v>0.06</v>
      </c>
      <c r="N32">
        <f t="shared" si="42"/>
        <v>0.08</v>
      </c>
      <c r="O32">
        <f t="shared" si="42"/>
        <v>0.1</v>
      </c>
      <c r="P32">
        <f t="shared" si="42"/>
        <v>0.12000000000000001</v>
      </c>
      <c r="Q32">
        <f t="shared" si="42"/>
        <v>0.14000000000000001</v>
      </c>
      <c r="R32">
        <f t="shared" si="42"/>
        <v>0.16</v>
      </c>
      <c r="S32">
        <f t="shared" si="42"/>
        <v>0.18</v>
      </c>
      <c r="T32">
        <f>'Net zero activities &amp; levers'!$D26/100</f>
        <v>0.2</v>
      </c>
      <c r="U32">
        <f t="shared" ref="U32:AC32" si="43">T32+($AD32-$T32)/10</f>
        <v>0.2</v>
      </c>
      <c r="V32">
        <f t="shared" si="43"/>
        <v>0.2</v>
      </c>
      <c r="W32">
        <f t="shared" si="43"/>
        <v>0.2</v>
      </c>
      <c r="X32">
        <f t="shared" si="43"/>
        <v>0.2</v>
      </c>
      <c r="Y32">
        <f t="shared" si="43"/>
        <v>0.2</v>
      </c>
      <c r="Z32">
        <f t="shared" si="43"/>
        <v>0.2</v>
      </c>
      <c r="AA32">
        <f t="shared" si="43"/>
        <v>0.2</v>
      </c>
      <c r="AB32">
        <f t="shared" si="43"/>
        <v>0.2</v>
      </c>
      <c r="AC32">
        <f t="shared" si="43"/>
        <v>0.2</v>
      </c>
      <c r="AD32">
        <f>'Net zero activities &amp; levers'!$E26/100</f>
        <v>0.2</v>
      </c>
      <c r="AE32">
        <f t="shared" ref="AE32:AM32" si="44">AD32+($AN32-$AD32)/10</f>
        <v>0.2</v>
      </c>
      <c r="AF32">
        <f t="shared" si="44"/>
        <v>0.2</v>
      </c>
      <c r="AG32">
        <f t="shared" si="44"/>
        <v>0.2</v>
      </c>
      <c r="AH32">
        <f t="shared" si="44"/>
        <v>0.2</v>
      </c>
      <c r="AI32">
        <f t="shared" si="44"/>
        <v>0.2</v>
      </c>
      <c r="AJ32">
        <f t="shared" si="44"/>
        <v>0.2</v>
      </c>
      <c r="AK32">
        <f t="shared" si="44"/>
        <v>0.2</v>
      </c>
      <c r="AL32">
        <f t="shared" si="44"/>
        <v>0.2</v>
      </c>
      <c r="AM32">
        <f t="shared" si="44"/>
        <v>0.2</v>
      </c>
      <c r="AN32">
        <f>'Net zero activities &amp; levers'!$F26/100</f>
        <v>0.2</v>
      </c>
    </row>
    <row r="33" spans="1:48" x14ac:dyDescent="0.25">
      <c r="A33" t="s">
        <v>1349</v>
      </c>
      <c r="B33">
        <f>'Net zero activities &amp; levers'!$C27/100</f>
        <v>0</v>
      </c>
      <c r="C33">
        <f>B33</f>
        <v>0</v>
      </c>
      <c r="D33">
        <f t="shared" si="41"/>
        <v>0</v>
      </c>
      <c r="E33">
        <f t="shared" si="41"/>
        <v>0</v>
      </c>
      <c r="F33">
        <f t="shared" si="41"/>
        <v>0</v>
      </c>
      <c r="G33">
        <f t="shared" si="41"/>
        <v>0</v>
      </c>
      <c r="H33">
        <f t="shared" si="41"/>
        <v>0</v>
      </c>
      <c r="I33">
        <f t="shared" si="41"/>
        <v>0</v>
      </c>
      <c r="J33">
        <f t="shared" si="41"/>
        <v>0</v>
      </c>
      <c r="K33">
        <f t="shared" ref="K33:S33" si="45">J33+($T33-$J33)/10</f>
        <v>0.02</v>
      </c>
      <c r="L33">
        <f t="shared" si="45"/>
        <v>0.04</v>
      </c>
      <c r="M33">
        <f t="shared" si="45"/>
        <v>0.06</v>
      </c>
      <c r="N33">
        <f t="shared" si="45"/>
        <v>0.08</v>
      </c>
      <c r="O33">
        <f t="shared" si="45"/>
        <v>0.1</v>
      </c>
      <c r="P33">
        <f t="shared" si="45"/>
        <v>0.12000000000000001</v>
      </c>
      <c r="Q33">
        <f t="shared" si="45"/>
        <v>0.14000000000000001</v>
      </c>
      <c r="R33">
        <f t="shared" si="45"/>
        <v>0.16</v>
      </c>
      <c r="S33">
        <f t="shared" si="45"/>
        <v>0.18</v>
      </c>
      <c r="T33">
        <f>'Net zero activities &amp; levers'!$D27/100</f>
        <v>0.2</v>
      </c>
      <c r="U33">
        <f t="shared" ref="U33:AC33" si="46">T33+($AD33-$T33)/10</f>
        <v>0.2</v>
      </c>
      <c r="V33">
        <f t="shared" si="46"/>
        <v>0.2</v>
      </c>
      <c r="W33">
        <f t="shared" si="46"/>
        <v>0.2</v>
      </c>
      <c r="X33">
        <f t="shared" si="46"/>
        <v>0.2</v>
      </c>
      <c r="Y33">
        <f t="shared" si="46"/>
        <v>0.2</v>
      </c>
      <c r="Z33">
        <f t="shared" si="46"/>
        <v>0.2</v>
      </c>
      <c r="AA33">
        <f t="shared" si="46"/>
        <v>0.2</v>
      </c>
      <c r="AB33">
        <f t="shared" si="46"/>
        <v>0.2</v>
      </c>
      <c r="AC33">
        <f t="shared" si="46"/>
        <v>0.2</v>
      </c>
      <c r="AD33">
        <f>'Net zero activities &amp; levers'!$E27/100</f>
        <v>0.2</v>
      </c>
      <c r="AE33">
        <f t="shared" ref="AE33:AM33" si="47">AD33+($AN33-$AD33)/10</f>
        <v>0.2</v>
      </c>
      <c r="AF33">
        <f t="shared" si="47"/>
        <v>0.2</v>
      </c>
      <c r="AG33">
        <f t="shared" si="47"/>
        <v>0.2</v>
      </c>
      <c r="AH33">
        <f t="shared" si="47"/>
        <v>0.2</v>
      </c>
      <c r="AI33">
        <f t="shared" si="47"/>
        <v>0.2</v>
      </c>
      <c r="AJ33">
        <f t="shared" si="47"/>
        <v>0.2</v>
      </c>
      <c r="AK33">
        <f t="shared" si="47"/>
        <v>0.2</v>
      </c>
      <c r="AL33">
        <f t="shared" si="47"/>
        <v>0.2</v>
      </c>
      <c r="AM33">
        <f t="shared" si="47"/>
        <v>0.2</v>
      </c>
      <c r="AN33">
        <f>'Net zero activities &amp; levers'!$F27/100</f>
        <v>0.2</v>
      </c>
    </row>
    <row r="34" spans="1:48" x14ac:dyDescent="0.25">
      <c r="A34" t="s">
        <v>1028</v>
      </c>
      <c r="B34">
        <f>EF!$P$4</f>
        <v>19.893899204244047</v>
      </c>
      <c r="C34">
        <f t="shared" ref="C34:AN34" si="48">$B$34-($B$34*C32)</f>
        <v>19.893899204244047</v>
      </c>
      <c r="D34">
        <f t="shared" si="48"/>
        <v>19.893899204244047</v>
      </c>
      <c r="E34">
        <f t="shared" si="48"/>
        <v>19.893899204244047</v>
      </c>
      <c r="F34">
        <f t="shared" si="48"/>
        <v>19.893899204244047</v>
      </c>
      <c r="G34">
        <f t="shared" si="48"/>
        <v>19.893899204244047</v>
      </c>
      <c r="H34">
        <f t="shared" si="48"/>
        <v>19.893899204244047</v>
      </c>
      <c r="I34">
        <f t="shared" si="48"/>
        <v>19.893899204244047</v>
      </c>
      <c r="J34">
        <f t="shared" si="48"/>
        <v>19.893899204244047</v>
      </c>
      <c r="K34">
        <f t="shared" si="48"/>
        <v>19.496021220159164</v>
      </c>
      <c r="L34">
        <f t="shared" si="48"/>
        <v>19.098143236074286</v>
      </c>
      <c r="M34">
        <f t="shared" si="48"/>
        <v>18.700265251989403</v>
      </c>
      <c r="N34">
        <f t="shared" si="48"/>
        <v>18.302387267904521</v>
      </c>
      <c r="O34">
        <f t="shared" si="48"/>
        <v>17.904509283819642</v>
      </c>
      <c r="P34">
        <f t="shared" si="48"/>
        <v>17.50663129973476</v>
      </c>
      <c r="Q34">
        <f t="shared" si="48"/>
        <v>17.108753315649881</v>
      </c>
      <c r="R34">
        <f t="shared" si="48"/>
        <v>16.710875331564999</v>
      </c>
      <c r="S34">
        <f t="shared" si="48"/>
        <v>16.31299734748012</v>
      </c>
      <c r="T34">
        <f t="shared" si="48"/>
        <v>15.915119363395238</v>
      </c>
      <c r="U34">
        <f t="shared" si="48"/>
        <v>15.915119363395238</v>
      </c>
      <c r="V34">
        <f t="shared" si="48"/>
        <v>15.915119363395238</v>
      </c>
      <c r="W34">
        <f t="shared" si="48"/>
        <v>15.915119363395238</v>
      </c>
      <c r="X34">
        <f t="shared" si="48"/>
        <v>15.915119363395238</v>
      </c>
      <c r="Y34">
        <f t="shared" si="48"/>
        <v>15.915119363395238</v>
      </c>
      <c r="Z34">
        <f t="shared" si="48"/>
        <v>15.915119363395238</v>
      </c>
      <c r="AA34">
        <f t="shared" si="48"/>
        <v>15.915119363395238</v>
      </c>
      <c r="AB34">
        <f t="shared" si="48"/>
        <v>15.915119363395238</v>
      </c>
      <c r="AC34">
        <f t="shared" si="48"/>
        <v>15.915119363395238</v>
      </c>
      <c r="AD34">
        <f t="shared" si="48"/>
        <v>15.915119363395238</v>
      </c>
      <c r="AE34">
        <f t="shared" si="48"/>
        <v>15.915119363395238</v>
      </c>
      <c r="AF34">
        <f t="shared" si="48"/>
        <v>15.915119363395238</v>
      </c>
      <c r="AG34">
        <f t="shared" si="48"/>
        <v>15.915119363395238</v>
      </c>
      <c r="AH34">
        <f t="shared" si="48"/>
        <v>15.915119363395238</v>
      </c>
      <c r="AI34">
        <f t="shared" si="48"/>
        <v>15.915119363395238</v>
      </c>
      <c r="AJ34">
        <f t="shared" si="48"/>
        <v>15.915119363395238</v>
      </c>
      <c r="AK34">
        <f t="shared" si="48"/>
        <v>15.915119363395238</v>
      </c>
      <c r="AL34">
        <f t="shared" si="48"/>
        <v>15.915119363395238</v>
      </c>
      <c r="AM34">
        <f t="shared" si="48"/>
        <v>15.915119363395238</v>
      </c>
      <c r="AN34">
        <f t="shared" si="48"/>
        <v>15.915119363395238</v>
      </c>
    </row>
    <row r="35" spans="1:48" x14ac:dyDescent="0.25">
      <c r="A35" t="s">
        <v>1027</v>
      </c>
      <c r="B35">
        <f>EF!$P$9</f>
        <v>9.9469496021220323</v>
      </c>
      <c r="C35">
        <f t="shared" ref="C35:AN35" si="49">$B$35-($B$35*C33)</f>
        <v>9.9469496021220323</v>
      </c>
      <c r="D35">
        <f t="shared" si="49"/>
        <v>9.9469496021220323</v>
      </c>
      <c r="E35">
        <f t="shared" si="49"/>
        <v>9.9469496021220323</v>
      </c>
      <c r="F35">
        <f t="shared" si="49"/>
        <v>9.9469496021220323</v>
      </c>
      <c r="G35">
        <f t="shared" si="49"/>
        <v>9.9469496021220323</v>
      </c>
      <c r="H35">
        <f t="shared" si="49"/>
        <v>9.9469496021220323</v>
      </c>
      <c r="I35">
        <f t="shared" si="49"/>
        <v>9.9469496021220323</v>
      </c>
      <c r="J35">
        <f t="shared" si="49"/>
        <v>9.9469496021220323</v>
      </c>
      <c r="K35">
        <f t="shared" si="49"/>
        <v>9.7480106100795911</v>
      </c>
      <c r="L35">
        <f t="shared" si="49"/>
        <v>9.5490716180371518</v>
      </c>
      <c r="M35">
        <f t="shared" si="49"/>
        <v>9.3501326259947106</v>
      </c>
      <c r="N35">
        <f t="shared" si="49"/>
        <v>9.1511936339522695</v>
      </c>
      <c r="O35">
        <f t="shared" si="49"/>
        <v>8.9522546419098283</v>
      </c>
      <c r="P35">
        <f t="shared" si="49"/>
        <v>8.753315649867389</v>
      </c>
      <c r="Q35">
        <f t="shared" si="49"/>
        <v>8.5543766578249478</v>
      </c>
      <c r="R35">
        <f t="shared" si="49"/>
        <v>8.3554376657825067</v>
      </c>
      <c r="S35">
        <f t="shared" si="49"/>
        <v>8.1564986737400673</v>
      </c>
      <c r="T35">
        <f t="shared" si="49"/>
        <v>7.9575596816976262</v>
      </c>
      <c r="U35">
        <f t="shared" si="49"/>
        <v>7.9575596816976262</v>
      </c>
      <c r="V35">
        <f t="shared" si="49"/>
        <v>7.9575596816976262</v>
      </c>
      <c r="W35">
        <f t="shared" si="49"/>
        <v>7.9575596816976262</v>
      </c>
      <c r="X35">
        <f t="shared" si="49"/>
        <v>7.9575596816976262</v>
      </c>
      <c r="Y35">
        <f t="shared" si="49"/>
        <v>7.9575596816976262</v>
      </c>
      <c r="Z35">
        <f t="shared" si="49"/>
        <v>7.9575596816976262</v>
      </c>
      <c r="AA35">
        <f t="shared" si="49"/>
        <v>7.9575596816976262</v>
      </c>
      <c r="AB35">
        <f t="shared" si="49"/>
        <v>7.9575596816976262</v>
      </c>
      <c r="AC35">
        <f t="shared" si="49"/>
        <v>7.9575596816976262</v>
      </c>
      <c r="AD35">
        <f t="shared" si="49"/>
        <v>7.9575596816976262</v>
      </c>
      <c r="AE35">
        <f t="shared" si="49"/>
        <v>7.9575596816976262</v>
      </c>
      <c r="AF35">
        <f t="shared" si="49"/>
        <v>7.9575596816976262</v>
      </c>
      <c r="AG35">
        <f t="shared" si="49"/>
        <v>7.9575596816976262</v>
      </c>
      <c r="AH35">
        <f t="shared" si="49"/>
        <v>7.9575596816976262</v>
      </c>
      <c r="AI35">
        <f t="shared" si="49"/>
        <v>7.9575596816976262</v>
      </c>
      <c r="AJ35">
        <f t="shared" si="49"/>
        <v>7.9575596816976262</v>
      </c>
      <c r="AK35">
        <f t="shared" si="49"/>
        <v>7.9575596816976262</v>
      </c>
      <c r="AL35">
        <f t="shared" si="49"/>
        <v>7.9575596816976262</v>
      </c>
      <c r="AM35">
        <f t="shared" si="49"/>
        <v>7.9575596816976262</v>
      </c>
      <c r="AN35">
        <f t="shared" si="49"/>
        <v>7.9575596816976262</v>
      </c>
    </row>
    <row r="36" spans="1:48" x14ac:dyDescent="0.25">
      <c r="A36" t="s">
        <v>1029</v>
      </c>
      <c r="B36">
        <f>'Net zero activities &amp; levers'!$C$28/100</f>
        <v>0</v>
      </c>
      <c r="C36">
        <f>B36</f>
        <v>0</v>
      </c>
      <c r="D36">
        <f t="shared" ref="D36:J36" si="50">C36</f>
        <v>0</v>
      </c>
      <c r="E36">
        <f t="shared" si="50"/>
        <v>0</v>
      </c>
      <c r="F36">
        <f t="shared" si="50"/>
        <v>0</v>
      </c>
      <c r="G36">
        <f t="shared" si="50"/>
        <v>0</v>
      </c>
      <c r="H36">
        <f t="shared" si="50"/>
        <v>0</v>
      </c>
      <c r="I36">
        <f t="shared" si="50"/>
        <v>0</v>
      </c>
      <c r="J36">
        <f t="shared" si="50"/>
        <v>0</v>
      </c>
      <c r="K36">
        <f t="shared" ref="K36:K37" si="51">J36+($T36-$J36)/10</f>
        <v>6.9999999999999993E-2</v>
      </c>
      <c r="L36">
        <f t="shared" ref="L36:L37" si="52">K36+($T36-$J36)/10</f>
        <v>0.13999999999999999</v>
      </c>
      <c r="M36">
        <f t="shared" ref="M36:M37" si="53">L36+($T36-$J36)/10</f>
        <v>0.20999999999999996</v>
      </c>
      <c r="N36">
        <f t="shared" ref="N36:N37" si="54">M36+($T36-$J36)/10</f>
        <v>0.27999999999999997</v>
      </c>
      <c r="O36">
        <f t="shared" ref="O36:O37" si="55">N36+($T36-$J36)/10</f>
        <v>0.35</v>
      </c>
      <c r="P36">
        <f t="shared" ref="P36:P37" si="56">O36+($T36-$J36)/10</f>
        <v>0.42</v>
      </c>
      <c r="Q36">
        <f t="shared" ref="Q36:Q37" si="57">P36+($T36-$J36)/10</f>
        <v>0.49</v>
      </c>
      <c r="R36">
        <f t="shared" ref="R36:R37" si="58">Q36+($T36-$J36)/10</f>
        <v>0.55999999999999994</v>
      </c>
      <c r="S36">
        <f t="shared" ref="S36:S37" si="59">R36+($T36-$J36)/10</f>
        <v>0.62999999999999989</v>
      </c>
      <c r="T36">
        <f>'Net zero activities &amp; levers'!$D$28/100</f>
        <v>0.7</v>
      </c>
      <c r="U36">
        <f t="shared" ref="U36:U37" si="60">T36+($AD36-$T36)/10</f>
        <v>0.73</v>
      </c>
      <c r="V36">
        <f t="shared" ref="V36:V37" si="61">U36+($AD36-$T36)/10</f>
        <v>0.76</v>
      </c>
      <c r="W36">
        <f t="shared" ref="W36:W37" si="62">V36+($AD36-$T36)/10</f>
        <v>0.79</v>
      </c>
      <c r="X36">
        <f t="shared" ref="X36:X37" si="63">W36+($AD36-$T36)/10</f>
        <v>0.82000000000000006</v>
      </c>
      <c r="Y36">
        <f t="shared" ref="Y36:Y37" si="64">X36+($AD36-$T36)/10</f>
        <v>0.85000000000000009</v>
      </c>
      <c r="Z36">
        <f t="shared" ref="Z36:Z37" si="65">Y36+($AD36-$T36)/10</f>
        <v>0.88000000000000012</v>
      </c>
      <c r="AA36">
        <f t="shared" ref="AA36:AA37" si="66">Z36+($AD36-$T36)/10</f>
        <v>0.91000000000000014</v>
      </c>
      <c r="AB36">
        <f t="shared" ref="AB36:AB37" si="67">AA36+($AD36-$T36)/10</f>
        <v>0.94000000000000017</v>
      </c>
      <c r="AC36">
        <f t="shared" ref="AC36:AC37" si="68">AB36+($AD36-$T36)/10</f>
        <v>0.9700000000000002</v>
      </c>
      <c r="AD36">
        <f>'Net zero activities &amp; levers'!$E$28/100</f>
        <v>1</v>
      </c>
      <c r="AE36">
        <f t="shared" ref="AE36:AE37" si="69">AD36+($AN36-$AD36)/10</f>
        <v>1</v>
      </c>
      <c r="AF36">
        <f t="shared" ref="AF36:AF37" si="70">AE36+($AN36-$AD36)/10</f>
        <v>1</v>
      </c>
      <c r="AG36">
        <f t="shared" ref="AG36:AG37" si="71">AF36+($AN36-$AD36)/10</f>
        <v>1</v>
      </c>
      <c r="AH36">
        <f t="shared" ref="AH36:AH37" si="72">AG36+($AN36-$AD36)/10</f>
        <v>1</v>
      </c>
      <c r="AI36">
        <f t="shared" ref="AI36:AI37" si="73">AH36+($AN36-$AD36)/10</f>
        <v>1</v>
      </c>
      <c r="AJ36">
        <f t="shared" ref="AJ36:AJ37" si="74">AI36+($AN36-$AD36)/10</f>
        <v>1</v>
      </c>
      <c r="AK36">
        <f t="shared" ref="AK36:AK37" si="75">AJ36+($AN36-$AD36)/10</f>
        <v>1</v>
      </c>
      <c r="AL36">
        <f t="shared" ref="AL36:AL37" si="76">AK36+($AN36-$AD36)/10</f>
        <v>1</v>
      </c>
      <c r="AM36">
        <f t="shared" ref="AM36:AM37" si="77">AL36+($AN36-$AD36)/10</f>
        <v>1</v>
      </c>
      <c r="AN36">
        <f>'Net zero activities &amp; levers'!$F$28/100</f>
        <v>1</v>
      </c>
    </row>
    <row r="37" spans="1:48" x14ac:dyDescent="0.25">
      <c r="A37" t="s">
        <v>1030</v>
      </c>
      <c r="B37">
        <f>'Net zero activities &amp; levers'!$C$29/100</f>
        <v>0</v>
      </c>
      <c r="C37">
        <f>B37</f>
        <v>0</v>
      </c>
      <c r="D37">
        <f t="shared" ref="D37:J37" si="78">C37</f>
        <v>0</v>
      </c>
      <c r="E37">
        <f t="shared" si="78"/>
        <v>0</v>
      </c>
      <c r="F37">
        <f t="shared" si="78"/>
        <v>0</v>
      </c>
      <c r="G37">
        <f t="shared" si="78"/>
        <v>0</v>
      </c>
      <c r="H37">
        <f t="shared" si="78"/>
        <v>0</v>
      </c>
      <c r="I37">
        <f t="shared" si="78"/>
        <v>0</v>
      </c>
      <c r="J37">
        <f t="shared" si="78"/>
        <v>0</v>
      </c>
      <c r="K37">
        <f t="shared" si="51"/>
        <v>6.9999999999999993E-2</v>
      </c>
      <c r="L37">
        <f t="shared" si="52"/>
        <v>0.13999999999999999</v>
      </c>
      <c r="M37">
        <f t="shared" si="53"/>
        <v>0.20999999999999996</v>
      </c>
      <c r="N37">
        <f t="shared" si="54"/>
        <v>0.27999999999999997</v>
      </c>
      <c r="O37">
        <f t="shared" si="55"/>
        <v>0.35</v>
      </c>
      <c r="P37">
        <f t="shared" si="56"/>
        <v>0.42</v>
      </c>
      <c r="Q37">
        <f t="shared" si="57"/>
        <v>0.49</v>
      </c>
      <c r="R37">
        <f t="shared" si="58"/>
        <v>0.55999999999999994</v>
      </c>
      <c r="S37">
        <f t="shared" si="59"/>
        <v>0.62999999999999989</v>
      </c>
      <c r="T37">
        <f>'Net zero activities &amp; levers'!$D$29/100</f>
        <v>0.7</v>
      </c>
      <c r="U37">
        <f t="shared" si="60"/>
        <v>0.73</v>
      </c>
      <c r="V37">
        <f t="shared" si="61"/>
        <v>0.76</v>
      </c>
      <c r="W37">
        <f t="shared" si="62"/>
        <v>0.79</v>
      </c>
      <c r="X37">
        <f t="shared" si="63"/>
        <v>0.82000000000000006</v>
      </c>
      <c r="Y37">
        <f t="shared" si="64"/>
        <v>0.85000000000000009</v>
      </c>
      <c r="Z37">
        <f t="shared" si="65"/>
        <v>0.88000000000000012</v>
      </c>
      <c r="AA37">
        <f t="shared" si="66"/>
        <v>0.91000000000000014</v>
      </c>
      <c r="AB37">
        <f t="shared" si="67"/>
        <v>0.94000000000000017</v>
      </c>
      <c r="AC37">
        <f t="shared" si="68"/>
        <v>0.9700000000000002</v>
      </c>
      <c r="AD37">
        <f>'Net zero activities &amp; levers'!$E$29/100</f>
        <v>1</v>
      </c>
      <c r="AE37">
        <f t="shared" si="69"/>
        <v>1</v>
      </c>
      <c r="AF37">
        <f t="shared" si="70"/>
        <v>1</v>
      </c>
      <c r="AG37">
        <f t="shared" si="71"/>
        <v>1</v>
      </c>
      <c r="AH37">
        <f t="shared" si="72"/>
        <v>1</v>
      </c>
      <c r="AI37">
        <f t="shared" si="73"/>
        <v>1</v>
      </c>
      <c r="AJ37">
        <f t="shared" si="74"/>
        <v>1</v>
      </c>
      <c r="AK37">
        <f t="shared" si="75"/>
        <v>1</v>
      </c>
      <c r="AL37">
        <f t="shared" si="76"/>
        <v>1</v>
      </c>
      <c r="AM37">
        <f t="shared" si="77"/>
        <v>1</v>
      </c>
      <c r="AN37">
        <f>'Net zero activities &amp; levers'!$F$29/100</f>
        <v>1</v>
      </c>
    </row>
    <row r="38" spans="1:48" x14ac:dyDescent="0.25">
      <c r="A38" t="s">
        <v>1006</v>
      </c>
      <c r="B38">
        <f>'Net zero Activity data'!AD5*'Net zero supporting data'!B36</f>
        <v>0</v>
      </c>
      <c r="C38">
        <f>'Net zero Activity data'!AE5*'Net zero supporting data'!C36</f>
        <v>0</v>
      </c>
      <c r="D38">
        <f>'Net zero Activity data'!AF5*'Net zero supporting data'!D36</f>
        <v>0</v>
      </c>
      <c r="E38">
        <f>'Net zero Activity data'!AG5*'Net zero supporting data'!E36</f>
        <v>0</v>
      </c>
      <c r="F38">
        <f>'Net zero Activity data'!AH5*'Net zero supporting data'!F36</f>
        <v>0</v>
      </c>
      <c r="G38">
        <f>'Net zero Activity data'!AI5*'Net zero supporting data'!G36</f>
        <v>0</v>
      </c>
      <c r="H38">
        <f>'Net zero Activity data'!AJ5*'Net zero supporting data'!H36</f>
        <v>0</v>
      </c>
      <c r="I38">
        <f>'Net zero Activity data'!AK5*'Net zero supporting data'!I36</f>
        <v>0</v>
      </c>
      <c r="J38">
        <f>'Net zero Activity data'!AL5*'Net zero supporting data'!J36</f>
        <v>0</v>
      </c>
      <c r="K38">
        <f>'Net zero Activity data'!AM5*'Net zero supporting data'!K36</f>
        <v>41071.220247844351</v>
      </c>
      <c r="L38">
        <f>'Net zero Activity data'!AN5*'Net zero supporting data'!L36</f>
        <v>82090.375046600137</v>
      </c>
      <c r="M38">
        <f>'Net zero Activity data'!AO5*'Net zero supporting data'!M36</f>
        <v>123065.58275945821</v>
      </c>
      <c r="N38">
        <f>'Net zero Activity data'!AP5*'Net zero supporting data'!N36</f>
        <v>164225.75735184117</v>
      </c>
      <c r="O38">
        <f>'Net zero Activity data'!AQ5*'Net zero supporting data'!O36</f>
        <v>205458.94607517106</v>
      </c>
      <c r="P38">
        <f>'Net zero Activity data'!AR5*'Net zero supporting data'!P36</f>
        <v>246666.78110255889</v>
      </c>
      <c r="Q38">
        <f>'Net zero Activity data'!AS5*'Net zero supporting data'!Q36</f>
        <v>287820.49956815533</v>
      </c>
      <c r="R38">
        <f>'Net zero Activity data'!AT5*'Net zero supporting data'!R36</f>
        <v>329153.74646583886</v>
      </c>
      <c r="S38">
        <f>'Net zero Activity data'!AU5*'Net zero supporting data'!S36</f>
        <v>370305.61200347217</v>
      </c>
      <c r="T38">
        <f>'Net zero Activity data'!AV5*'Net zero supporting data'!T36</f>
        <v>411523.75213556614</v>
      </c>
      <c r="U38">
        <f>'Net zero Activity data'!AW5*'Net zero supporting data'!U36</f>
        <v>432791.06184335885</v>
      </c>
      <c r="V38">
        <f>'Net zero Activity data'!AX5*'Net zero supporting data'!V36</f>
        <v>454743.10273958533</v>
      </c>
      <c r="W38">
        <f>'Net zero Activity data'!AY5*'Net zero supporting data'!W36</f>
        <v>477209.29591797368</v>
      </c>
      <c r="X38">
        <f>'Net zero Activity data'!AZ5*'Net zero supporting data'!X36</f>
        <v>495285.18812347593</v>
      </c>
      <c r="Y38">
        <f>'Net zero Activity data'!BA5*'Net zero supporting data'!Y36</f>
        <v>274421.1270949138</v>
      </c>
      <c r="Z38">
        <f>'Net zero Activity data'!BB5*'Net zero supporting data'!Z36</f>
        <v>283848.1692872353</v>
      </c>
      <c r="AA38">
        <f>'Net zero Activity data'!BC5*'Net zero supporting data'!AA36</f>
        <v>293285.17394425772</v>
      </c>
      <c r="AB38">
        <f>'Net zero Activity data'!BD5*'Net zero supporting data'!AB36</f>
        <v>302733.61531336693</v>
      </c>
      <c r="AC38">
        <f>'Net zero Activity data'!BE5*'Net zero supporting data'!AC36</f>
        <v>312194.90316260437</v>
      </c>
      <c r="AD38">
        <f>'Net zero Activity data'!BF5*'Net zero supporting data'!AD36</f>
        <v>321670.3882225136</v>
      </c>
      <c r="AE38">
        <f>'Net zero Activity data'!BG5*'Net zero supporting data'!AE36</f>
        <v>321288.76186786819</v>
      </c>
      <c r="AF38">
        <f>'Net zero Activity data'!BH5*'Net zero supporting data'!AF36</f>
        <v>320930.92012123793</v>
      </c>
      <c r="AG38">
        <f>'Net zero Activity data'!BI5*'Net zero supporting data'!AG36</f>
        <v>320595.89492747065</v>
      </c>
      <c r="AH38">
        <f>'Net zero Activity data'!BJ5*'Net zero supporting data'!AH36</f>
        <v>320282.78156667494</v>
      </c>
      <c r="AI38">
        <f>'Net zero Activity data'!BK5*'Net zero supporting data'!AI36</f>
        <v>319990.73328541388</v>
      </c>
      <c r="AJ38">
        <f>'Net zero Activity data'!BL5*'Net zero supporting data'!AJ36</f>
        <v>319491.28634254436</v>
      </c>
      <c r="AK38">
        <f>'Net zero Activity data'!BM5*'Net zero supporting data'!AK36</f>
        <v>319010.98467889684</v>
      </c>
      <c r="AL38">
        <f>'Net zero Activity data'!BN5*'Net zero supporting data'!AL36</f>
        <v>318549.09395721875</v>
      </c>
      <c r="AM38">
        <f>'Net zero Activity data'!BO5*'Net zero supporting data'!AM36</f>
        <v>318104.9228893242</v>
      </c>
      <c r="AN38">
        <f>'Net zero Activity data'!BP5*'Net zero supporting data'!AN36</f>
        <v>317677.81993699924</v>
      </c>
    </row>
    <row r="39" spans="1:48" x14ac:dyDescent="0.25">
      <c r="A39" t="s">
        <v>1009</v>
      </c>
      <c r="B39">
        <f>'Net zero Activity data'!AD10*'Net zero supporting data'!B37</f>
        <v>0</v>
      </c>
      <c r="C39">
        <f>'Net zero Activity data'!AE10*'Net zero supporting data'!C37</f>
        <v>0</v>
      </c>
      <c r="D39">
        <f>'Net zero Activity data'!AF10*'Net zero supporting data'!D37</f>
        <v>0</v>
      </c>
      <c r="E39">
        <f>'Net zero Activity data'!AG10*'Net zero supporting data'!E37</f>
        <v>0</v>
      </c>
      <c r="F39">
        <f>'Net zero Activity data'!AH10*'Net zero supporting data'!F37</f>
        <v>0</v>
      </c>
      <c r="G39">
        <f>'Net zero Activity data'!AI10*'Net zero supporting data'!G37</f>
        <v>0</v>
      </c>
      <c r="H39">
        <f>'Net zero Activity data'!AJ10*'Net zero supporting data'!H37</f>
        <v>0</v>
      </c>
      <c r="I39">
        <f>'Net zero Activity data'!AK10*'Net zero supporting data'!I37</f>
        <v>0</v>
      </c>
      <c r="J39">
        <f>'Net zero Activity data'!AL10*'Net zero supporting data'!J37</f>
        <v>0</v>
      </c>
      <c r="K39">
        <f>'Net zero Activity data'!AM10*'Net zero supporting data'!K37</f>
        <v>41820.042056219856</v>
      </c>
      <c r="L39">
        <f>'Net zero Activity data'!AN10*'Net zero supporting data'!L37</f>
        <v>86394.854102444093</v>
      </c>
      <c r="M39">
        <f>'Net zero Activity data'!AO10*'Net zero supporting data'!M37</f>
        <v>133789.56519162207</v>
      </c>
      <c r="N39">
        <f>'Net zero Activity data'!AP10*'Net zero supporting data'!N37</f>
        <v>184839.31037209518</v>
      </c>
      <c r="O39">
        <f>'Net zero Activity data'!AQ10*'Net zero supporting data'!O37</f>
        <v>239248.74777655635</v>
      </c>
      <c r="P39">
        <f>'Net zero Activity data'!AR10*'Net zero supporting data'!P37</f>
        <v>297336.04459803487</v>
      </c>
      <c r="Q39">
        <f>'Net zero Activity data'!AS10*'Net zero supporting data'!Q37</f>
        <v>358697.16973473859</v>
      </c>
      <c r="R39">
        <f>'Net zero Activity data'!AT10*'Net zero supporting data'!R37</f>
        <v>424280.7742971133</v>
      </c>
      <c r="S39">
        <f>'Net zero Activity data'!AU10*'Net zero supporting data'!S37</f>
        <v>492856.5108133895</v>
      </c>
      <c r="T39">
        <f>'Net zero Activity data'!AV10*'Net zero supporting data'!T37</f>
        <v>565446.359494993</v>
      </c>
      <c r="U39">
        <f>'Net zero Activity data'!AW10*'Net zero supporting data'!U37</f>
        <v>610663.95431019308</v>
      </c>
      <c r="V39">
        <f>'Net zero Activity data'!AX10*'Net zero supporting data'!V37</f>
        <v>659283.86991588224</v>
      </c>
      <c r="W39">
        <f>'Net zero Activity data'!AY10*'Net zero supporting data'!W37</f>
        <v>710695.87444667425</v>
      </c>
      <c r="X39">
        <f>'Net zero Activity data'!AZ10*'Net zero supporting data'!X37</f>
        <v>745262.96981504117</v>
      </c>
      <c r="Y39">
        <f>'Net zero Activity data'!BA10*'Net zero supporting data'!Y37</f>
        <v>-188113.48211716602</v>
      </c>
      <c r="Z39">
        <f>'Net zero Activity data'!BB10*'Net zero supporting data'!Z37</f>
        <v>-196406.86684839422</v>
      </c>
      <c r="AA39">
        <f>'Net zero Activity data'!BC10*'Net zero supporting data'!AA37</f>
        <v>-204825.05990321041</v>
      </c>
      <c r="AB39">
        <f>'Net zero Activity data'!BD10*'Net zero supporting data'!AB37</f>
        <v>-213369.36451050724</v>
      </c>
      <c r="AC39">
        <f>'Net zero Activity data'!BE10*'Net zero supporting data'!AC37</f>
        <v>-222041.09930685122</v>
      </c>
      <c r="AD39">
        <f>'Net zero Activity data'!BF10*'Net zero supporting data'!AD37</f>
        <v>-230841.59848671168</v>
      </c>
      <c r="AE39">
        <f>'Net zero Activity data'!BG10*'Net zero supporting data'!AE37</f>
        <v>-232342.39889058965</v>
      </c>
      <c r="AF39">
        <f>'Net zero Activity data'!BH10*'Net zero supporting data'!AF37</f>
        <v>-233852.07663141791</v>
      </c>
      <c r="AG39">
        <f>'Net zero Activity data'!BI10*'Net zero supporting data'!AG37</f>
        <v>-235370.69890959424</v>
      </c>
      <c r="AH39">
        <f>'Net zero Activity data'!BJ10*'Net zero supporting data'!AH37</f>
        <v>-236898.33336190725</v>
      </c>
      <c r="AI39">
        <f>'Net zero Activity data'!BK10*'Net zero supporting data'!AI37</f>
        <v>-238435.04806449765</v>
      </c>
      <c r="AJ39">
        <f>'Net zero Activity data'!BL10*'Net zero supporting data'!AJ37</f>
        <v>-239817.81253801408</v>
      </c>
      <c r="AK39">
        <f>'Net zero Activity data'!BM10*'Net zero supporting data'!AK37</f>
        <v>-241207.08642082589</v>
      </c>
      <c r="AL39">
        <f>'Net zero Activity data'!BN10*'Net zero supporting data'!AL37</f>
        <v>-242602.91145594491</v>
      </c>
      <c r="AM39">
        <f>'Net zero Activity data'!BO10*'Net zero supporting data'!AM37</f>
        <v>-244005.32960192702</v>
      </c>
      <c r="AN39">
        <f>'Net zero Activity data'!BP10*'Net zero supporting data'!AN37</f>
        <v>-245414.38303410745</v>
      </c>
    </row>
    <row r="40" spans="1:48" x14ac:dyDescent="0.25">
      <c r="A40" t="s">
        <v>1031</v>
      </c>
      <c r="B40" s="11">
        <f>'Net zero Activity data'!AD5-'Net zero supporting data'!B38</f>
        <v>591129.2897046</v>
      </c>
      <c r="C40" s="11">
        <f>'Net zero Activity data'!AE5-'Net zero supporting data'!C38</f>
        <v>594806.21359952644</v>
      </c>
      <c r="D40" s="11">
        <f>'Net zero Activity data'!AF5-'Net zero supporting data'!D38</f>
        <v>597334.14942871302</v>
      </c>
      <c r="E40" s="11">
        <f>'Net zero Activity data'!AG5-'Net zero supporting data'!E38</f>
        <v>598126.94731703098</v>
      </c>
      <c r="F40" s="11">
        <f>'Net zero Activity data'!AH5-'Net zero supporting data'!F38</f>
        <v>599199.48455998639</v>
      </c>
      <c r="G40" s="11">
        <f>'Net zero Activity data'!AI5-'Net zero supporting data'!G38</f>
        <v>601548.74860188353</v>
      </c>
      <c r="H40" s="11">
        <f>'Net zero Activity data'!AJ5-'Net zero supporting data'!H38</f>
        <v>604365.27789585036</v>
      </c>
      <c r="I40" s="11">
        <f>'Net zero Activity data'!AK5-'Net zero supporting data'!I38</f>
        <v>605211.39267553936</v>
      </c>
      <c r="J40" s="11">
        <f>'Net zero Activity data'!AL5-'Net zero supporting data'!J38</f>
        <v>586631.53886012151</v>
      </c>
      <c r="K40" s="11">
        <f>'Net zero Activity data'!AM5-'Net zero supporting data'!K38</f>
        <v>545660.49757850356</v>
      </c>
      <c r="L40" s="11">
        <f>'Net zero Activity data'!AN5-'Net zero supporting data'!L38</f>
        <v>504269.44671482954</v>
      </c>
      <c r="M40" s="11">
        <f>'Net zero Activity data'!AO5-'Net zero supporting data'!M38</f>
        <v>462961.00180939049</v>
      </c>
      <c r="N40" s="11">
        <f>'Net zero Activity data'!AP5-'Net zero supporting data'!N38</f>
        <v>422294.8046190202</v>
      </c>
      <c r="O40" s="11">
        <f>'Net zero Activity data'!AQ5-'Net zero supporting data'!O38</f>
        <v>381566.61413960339</v>
      </c>
      <c r="P40" s="11">
        <f>'Net zero Activity data'!AR5-'Net zero supporting data'!P38</f>
        <v>340635.07866543852</v>
      </c>
      <c r="Q40" s="11">
        <f>'Net zero Activity data'!AS5-'Net zero supporting data'!Q38</f>
        <v>299568.27506073314</v>
      </c>
      <c r="R40" s="11">
        <f>'Net zero Activity data'!AT5-'Net zero supporting data'!R38</f>
        <v>258620.8007945877</v>
      </c>
      <c r="S40" s="11">
        <f>'Net zero Activity data'!AU5-'Net zero supporting data'!S38</f>
        <v>217481.07371632499</v>
      </c>
      <c r="T40" s="11">
        <f>'Net zero Activity data'!AV5-'Net zero supporting data'!T38</f>
        <v>176367.32234381413</v>
      </c>
      <c r="U40" s="11">
        <f>'Net zero Activity data'!AW5-'Net zero supporting data'!U38</f>
        <v>160073.40643521497</v>
      </c>
      <c r="V40" s="11">
        <f>'Net zero Activity data'!AX5-'Net zero supporting data'!V38</f>
        <v>143603.08507565851</v>
      </c>
      <c r="W40" s="11">
        <f>'Net zero Activity data'!AY5-'Net zero supporting data'!W38</f>
        <v>126853.10397819552</v>
      </c>
      <c r="X40" s="11">
        <f>'Net zero Activity data'!AZ5-'Net zero supporting data'!X38</f>
        <v>108721.13885637274</v>
      </c>
      <c r="Y40" s="11">
        <f>'Net zero Activity data'!BA5-'Net zero supporting data'!Y38</f>
        <v>48427.257722631795</v>
      </c>
      <c r="Z40" s="11">
        <f>'Net zero Activity data'!BB5-'Net zero supporting data'!Z38</f>
        <v>38706.568539168395</v>
      </c>
      <c r="AA40" s="11">
        <f>'Net zero Activity data'!BC5-'Net zero supporting data'!AA38</f>
        <v>29006.225994487002</v>
      </c>
      <c r="AB40" s="11">
        <f>'Net zero Activity data'!BD5-'Net zero supporting data'!AB38</f>
        <v>19323.422254044621</v>
      </c>
      <c r="AC40" s="11">
        <f>'Net zero Activity data'!BE5-'Net zero supporting data'!AC38</f>
        <v>9655.5124689464574</v>
      </c>
      <c r="AD40" s="11">
        <f>'Net zero Activity data'!BF5-'Net zero supporting data'!AD38</f>
        <v>0</v>
      </c>
      <c r="AE40" s="11">
        <f>'Net zero Activity data'!BG5-'Net zero supporting data'!AE38</f>
        <v>0</v>
      </c>
      <c r="AF40" s="11">
        <f>'Net zero Activity data'!BH5-'Net zero supporting data'!AF38</f>
        <v>0</v>
      </c>
      <c r="AG40" s="11">
        <f>'Net zero Activity data'!BI5-'Net zero supporting data'!AG38</f>
        <v>0</v>
      </c>
      <c r="AH40" s="11">
        <f>'Net zero Activity data'!BJ5-'Net zero supporting data'!AH38</f>
        <v>0</v>
      </c>
      <c r="AI40" s="11">
        <f>'Net zero Activity data'!BK5-'Net zero supporting data'!AI38</f>
        <v>0</v>
      </c>
      <c r="AJ40" s="11">
        <f>'Net zero Activity data'!BL5-'Net zero supporting data'!AJ38</f>
        <v>0</v>
      </c>
      <c r="AK40" s="11">
        <f>'Net zero Activity data'!BM5-'Net zero supporting data'!AK38</f>
        <v>0</v>
      </c>
      <c r="AL40" s="11">
        <f>'Net zero Activity data'!BN5-'Net zero supporting data'!AL38</f>
        <v>0</v>
      </c>
      <c r="AM40" s="11">
        <f>'Net zero Activity data'!BO5-'Net zero supporting data'!AM38</f>
        <v>0</v>
      </c>
      <c r="AN40" s="11">
        <f>'Net zero Activity data'!BP5-'Net zero supporting data'!AN38</f>
        <v>0</v>
      </c>
    </row>
    <row r="41" spans="1:48" x14ac:dyDescent="0.25">
      <c r="A41" t="s">
        <v>1032</v>
      </c>
      <c r="B41" s="11">
        <f>'Net zero Activity data'!AD10-'Net zero supporting data'!B39</f>
        <v>544425.44678784802</v>
      </c>
      <c r="C41" s="11">
        <f>'Net zero Activity data'!AE10-'Net zero supporting data'!C39</f>
        <v>563815.25409722852</v>
      </c>
      <c r="D41" s="11">
        <f>'Net zero Activity data'!AF10-'Net zero supporting data'!D39</f>
        <v>579205.48050671967</v>
      </c>
      <c r="E41" s="11">
        <f>'Net zero Activity data'!AG10-'Net zero supporting data'!E39</f>
        <v>588722.95646496292</v>
      </c>
      <c r="F41" s="11">
        <f>'Net zero Activity data'!AH10-'Net zero supporting data'!F39</f>
        <v>598260.30078749277</v>
      </c>
      <c r="G41" s="11">
        <f>'Net zero Activity data'!AI10-'Net zero supporting data'!G39</f>
        <v>610925.73677676241</v>
      </c>
      <c r="H41" s="11">
        <f>'Net zero Activity data'!AJ10-'Net zero supporting data'!H39</f>
        <v>624646.75853090361</v>
      </c>
      <c r="I41" s="11">
        <f>'Net zero Activity data'!AK10-'Net zero supporting data'!I39</f>
        <v>631787.34034937981</v>
      </c>
      <c r="J41" s="11">
        <f>'Net zero Activity data'!AL10-'Net zero supporting data'!J39</f>
        <v>576398.87297452381</v>
      </c>
      <c r="K41" s="11">
        <f>'Net zero Activity data'!AM10-'Net zero supporting data'!K39</f>
        <v>555609.13017549238</v>
      </c>
      <c r="L41" s="11">
        <f>'Net zero Activity data'!AN10-'Net zero supporting data'!L39</f>
        <v>530711.24662929948</v>
      </c>
      <c r="M41" s="11">
        <f>'Net zero Activity data'!AO10-'Net zero supporting data'!M39</f>
        <v>503303.60238753079</v>
      </c>
      <c r="N41" s="11">
        <f>'Net zero Activity data'!AP10-'Net zero supporting data'!N39</f>
        <v>475301.08381395903</v>
      </c>
      <c r="O41" s="11">
        <f>'Net zero Activity data'!AQ10-'Net zero supporting data'!O39</f>
        <v>444319.1030136047</v>
      </c>
      <c r="P41" s="11">
        <f>'Net zero Activity data'!AR10-'Net zero supporting data'!P39</f>
        <v>410606.91873061965</v>
      </c>
      <c r="Q41" s="11">
        <f>'Net zero Activity data'!AS10-'Net zero supporting data'!Q39</f>
        <v>373337.87054023816</v>
      </c>
      <c r="R41" s="11">
        <f>'Net zero Activity data'!AT10-'Net zero supporting data'!R39</f>
        <v>333363.4655191605</v>
      </c>
      <c r="S41" s="11">
        <f>'Net zero Activity data'!AU10-'Net zero supporting data'!S39</f>
        <v>289455.41111262568</v>
      </c>
      <c r="T41" s="11">
        <f>'Net zero Activity data'!AV10-'Net zero supporting data'!T39</f>
        <v>242334.1540692827</v>
      </c>
      <c r="U41" s="11">
        <f>'Net zero Activity data'!AW10-'Net zero supporting data'!U39</f>
        <v>225862.01049829053</v>
      </c>
      <c r="V41" s="11">
        <f>'Net zero Activity data'!AX10-'Net zero supporting data'!V39</f>
        <v>208194.90628922591</v>
      </c>
      <c r="W41" s="11">
        <f>'Net zero Activity data'!AY10-'Net zero supporting data'!W39</f>
        <v>188919.15649848303</v>
      </c>
      <c r="X41" s="11">
        <f>'Net zero Activity data'!AZ10-'Net zero supporting data'!X39</f>
        <v>163594.31044720416</v>
      </c>
      <c r="Y41" s="11">
        <f>'Net zero Activity data'!BA10-'Net zero supporting data'!Y39</f>
        <v>-33196.496844205743</v>
      </c>
      <c r="Z41" s="11">
        <f>'Net zero Activity data'!BB10-'Net zero supporting data'!Z39</f>
        <v>-26782.754570235556</v>
      </c>
      <c r="AA41" s="11">
        <f>'Net zero Activity data'!BC10-'Net zero supporting data'!AA39</f>
        <v>-20257.423506910884</v>
      </c>
      <c r="AB41" s="11">
        <f>'Net zero Activity data'!BD10-'Net zero supporting data'!AB39</f>
        <v>-13619.321138968517</v>
      </c>
      <c r="AC41" s="11">
        <f>'Net zero Activity data'!BE10-'Net zero supporting data'!AC39</f>
        <v>-6867.2504940262879</v>
      </c>
      <c r="AD41" s="11">
        <f>'Net zero Activity data'!BF10-'Net zero supporting data'!AD39</f>
        <v>0</v>
      </c>
      <c r="AE41" s="11">
        <f>'Net zero Activity data'!BG10-'Net zero supporting data'!AE39</f>
        <v>0</v>
      </c>
      <c r="AF41" s="11">
        <f>'Net zero Activity data'!BH10-'Net zero supporting data'!AF39</f>
        <v>0</v>
      </c>
      <c r="AG41" s="11">
        <f>'Net zero Activity data'!BI10-'Net zero supporting data'!AG39</f>
        <v>0</v>
      </c>
      <c r="AH41" s="11">
        <f>'Net zero Activity data'!BJ10-'Net zero supporting data'!AH39</f>
        <v>0</v>
      </c>
      <c r="AI41" s="11">
        <f>'Net zero Activity data'!BK10-'Net zero supporting data'!AI39</f>
        <v>0</v>
      </c>
      <c r="AJ41" s="11">
        <f>'Net zero Activity data'!BL10-'Net zero supporting data'!AJ39</f>
        <v>0</v>
      </c>
      <c r="AK41" s="11">
        <f>'Net zero Activity data'!BM10-'Net zero supporting data'!AK39</f>
        <v>0</v>
      </c>
      <c r="AL41" s="11">
        <f>'Net zero Activity data'!BN10-'Net zero supporting data'!AL39</f>
        <v>0</v>
      </c>
      <c r="AM41" s="11">
        <f>'Net zero Activity data'!BO10-'Net zero supporting data'!AM39</f>
        <v>0</v>
      </c>
      <c r="AN41" s="11">
        <f>'Net zero Activity data'!BP10-'Net zero supporting data'!AN39</f>
        <v>0</v>
      </c>
    </row>
    <row r="42" spans="1:48" x14ac:dyDescent="0.25">
      <c r="A42" t="s">
        <v>1033</v>
      </c>
      <c r="B42">
        <f>B34*EF!$N$4*0.001*365</f>
        <v>122.4391286182849</v>
      </c>
      <c r="C42">
        <f>C34*EF!$N$4*0.001*365</f>
        <v>122.4391286182849</v>
      </c>
      <c r="D42">
        <f>D34*EF!$N$4*0.001*365</f>
        <v>122.4391286182849</v>
      </c>
      <c r="E42">
        <f>E34*EF!$N$4*0.001*365</f>
        <v>122.4391286182849</v>
      </c>
      <c r="F42">
        <f>F34*EF!$N$4*0.001*365</f>
        <v>122.4391286182849</v>
      </c>
      <c r="G42">
        <f>G34*EF!$N$4*0.001*365</f>
        <v>122.4391286182849</v>
      </c>
      <c r="H42">
        <f>H34*EF!$N$4*0.001*365</f>
        <v>122.4391286182849</v>
      </c>
      <c r="I42">
        <f>I34*EF!$N$4*0.001*365</f>
        <v>122.4391286182849</v>
      </c>
      <c r="J42">
        <f>J34*EF!$N$4*0.001*365</f>
        <v>122.4391286182849</v>
      </c>
      <c r="K42">
        <f>K34*EF!$N$4*0.001*365</f>
        <v>119.99034604591918</v>
      </c>
      <c r="L42">
        <f>L34*EF!$N$4*0.001*365</f>
        <v>117.5415634735535</v>
      </c>
      <c r="M42">
        <f>M34*EF!$N$4*0.001*365</f>
        <v>115.09278090118779</v>
      </c>
      <c r="N42">
        <f>N34*EF!$N$4*0.001*365</f>
        <v>112.64399832882208</v>
      </c>
      <c r="O42">
        <f>O34*EF!$N$4*0.001*365</f>
        <v>110.19521575645642</v>
      </c>
      <c r="P42">
        <f>P34*EF!$N$4*0.001*365</f>
        <v>107.74643318409069</v>
      </c>
      <c r="Q42">
        <f>Q34*EF!$N$4*0.001*365</f>
        <v>105.297650611725</v>
      </c>
      <c r="R42">
        <f>R34*EF!$N$4*0.001*365</f>
        <v>102.84886803935932</v>
      </c>
      <c r="S42">
        <f>S34*EF!$N$4*0.001*365</f>
        <v>100.40008546699363</v>
      </c>
      <c r="T42">
        <f>T34*EF!$N$4*0.001*365</f>
        <v>97.951302894627915</v>
      </c>
      <c r="U42">
        <f>U34*EF!$N$4*0.001*365</f>
        <v>97.951302894627915</v>
      </c>
      <c r="V42">
        <f>V34*EF!$N$4*0.001*365</f>
        <v>97.951302894627915</v>
      </c>
      <c r="W42">
        <f>W34*EF!$N$4*0.001*365</f>
        <v>97.951302894627915</v>
      </c>
      <c r="X42">
        <f>X34*EF!$N$4*0.001*365</f>
        <v>97.951302894627915</v>
      </c>
      <c r="Y42">
        <f>Y34*EF!$N$4*0.001*365</f>
        <v>97.951302894627915</v>
      </c>
      <c r="Z42">
        <f>Z34*EF!$N$4*0.001*365</f>
        <v>97.951302894627915</v>
      </c>
      <c r="AA42">
        <f>AA34*EF!$N$4*0.001*365</f>
        <v>97.951302894627915</v>
      </c>
      <c r="AB42">
        <f>AB34*EF!$N$4*0.001*365</f>
        <v>97.951302894627915</v>
      </c>
      <c r="AC42">
        <f>AC34*EF!$N$4*0.001*365</f>
        <v>97.951302894627915</v>
      </c>
      <c r="AD42">
        <f>AD34*EF!$N$4*0.001*365</f>
        <v>97.951302894627915</v>
      </c>
      <c r="AE42">
        <f>AE34*EF!$N$4*0.001*365</f>
        <v>97.951302894627915</v>
      </c>
      <c r="AF42">
        <f>AF34*EF!$N$4*0.001*365</f>
        <v>97.951302894627915</v>
      </c>
      <c r="AG42">
        <f>AG34*EF!$N$4*0.001*365</f>
        <v>97.951302894627915</v>
      </c>
      <c r="AH42">
        <f>AH34*EF!$N$4*0.001*365</f>
        <v>97.951302894627915</v>
      </c>
      <c r="AI42">
        <f>AI34*EF!$N$4*0.001*365</f>
        <v>97.951302894627915</v>
      </c>
      <c r="AJ42">
        <f>AJ34*EF!$N$4*0.001*365</f>
        <v>97.951302894627915</v>
      </c>
      <c r="AK42">
        <f>AK34*EF!$N$4*0.001*365</f>
        <v>97.951302894627915</v>
      </c>
      <c r="AL42">
        <f>AL34*EF!$N$4*0.001*365</f>
        <v>97.951302894627915</v>
      </c>
      <c r="AM42">
        <f>AM34*EF!$N$4*0.001*365</f>
        <v>97.951302894627915</v>
      </c>
      <c r="AN42">
        <f>AN34*EF!$N$4*0.001*365</f>
        <v>97.951302894627915</v>
      </c>
    </row>
    <row r="43" spans="1:48" x14ac:dyDescent="0.25">
      <c r="A43" t="s">
        <v>1034</v>
      </c>
      <c r="B43">
        <f>B35*EF!$N$9*0.001*365</f>
        <v>58.900292120047261</v>
      </c>
      <c r="C43">
        <f>C35*EF!$N$9*0.001*365</f>
        <v>58.900292120047261</v>
      </c>
      <c r="D43">
        <f>D35*EF!$N$9*0.001*365</f>
        <v>58.900292120047261</v>
      </c>
      <c r="E43">
        <f>E35*EF!$N$9*0.001*365</f>
        <v>58.900292120047261</v>
      </c>
      <c r="F43">
        <f>F35*EF!$N$9*0.001*365</f>
        <v>58.900292120047261</v>
      </c>
      <c r="G43">
        <f>G35*EF!$N$9*0.001*365</f>
        <v>58.900292120047261</v>
      </c>
      <c r="H43">
        <f>H35*EF!$N$9*0.001*365</f>
        <v>58.900292120047261</v>
      </c>
      <c r="I43">
        <f>I35*EF!$N$9*0.001*365</f>
        <v>58.900292120047261</v>
      </c>
      <c r="J43">
        <f>J35*EF!$N$9*0.001*365</f>
        <v>58.900292120047261</v>
      </c>
      <c r="K43">
        <f>K35*EF!$N$9*0.001*365</f>
        <v>57.722286277646319</v>
      </c>
      <c r="L43">
        <f>L35*EF!$N$9*0.001*365</f>
        <v>56.544280435245383</v>
      </c>
      <c r="M43">
        <f>M35*EF!$N$9*0.001*365</f>
        <v>55.36627459284442</v>
      </c>
      <c r="N43">
        <f>N35*EF!$N$9*0.001*365</f>
        <v>54.188268750443484</v>
      </c>
      <c r="O43">
        <f>O35*EF!$N$9*0.001*365</f>
        <v>53.010262908042527</v>
      </c>
      <c r="P43">
        <f>P35*EF!$N$9*0.001*365</f>
        <v>51.832257065641599</v>
      </c>
      <c r="Q43">
        <f>Q35*EF!$N$9*0.001*365</f>
        <v>50.654251223240649</v>
      </c>
      <c r="R43">
        <f>R35*EF!$N$9*0.001*365</f>
        <v>49.4762453808397</v>
      </c>
      <c r="S43">
        <f>S35*EF!$N$9*0.001*365</f>
        <v>48.298239538438764</v>
      </c>
      <c r="T43">
        <f>T35*EF!$N$9*0.001*365</f>
        <v>47.120233696037815</v>
      </c>
      <c r="U43">
        <f>U35*EF!$N$9*0.001*365</f>
        <v>47.120233696037815</v>
      </c>
      <c r="V43">
        <f>V35*EF!$N$9*0.001*365</f>
        <v>47.120233696037815</v>
      </c>
      <c r="W43">
        <f>W35*EF!$N$9*0.001*365</f>
        <v>47.120233696037815</v>
      </c>
      <c r="X43">
        <f>X35*EF!$N$9*0.001*365</f>
        <v>47.120233696037815</v>
      </c>
      <c r="Y43">
        <f>Y35*EF!$N$9*0.001*365</f>
        <v>47.120233696037815</v>
      </c>
      <c r="Z43">
        <f>Z35*EF!$N$9*0.001*365</f>
        <v>47.120233696037815</v>
      </c>
      <c r="AA43">
        <f>AA35*EF!$N$9*0.001*365</f>
        <v>47.120233696037815</v>
      </c>
      <c r="AB43">
        <f>AB35*EF!$N$9*0.001*365</f>
        <v>47.120233696037815</v>
      </c>
      <c r="AC43">
        <f>AC35*EF!$N$9*0.001*365</f>
        <v>47.120233696037815</v>
      </c>
      <c r="AD43">
        <f>AD35*EF!$N$9*0.001*365</f>
        <v>47.120233696037815</v>
      </c>
      <c r="AE43">
        <f>AE35*EF!$N$9*0.001*365</f>
        <v>47.120233696037815</v>
      </c>
      <c r="AF43">
        <f>AF35*EF!$N$9*0.001*365</f>
        <v>47.120233696037815</v>
      </c>
      <c r="AG43">
        <f>AG35*EF!$N$9*0.001*365</f>
        <v>47.120233696037815</v>
      </c>
      <c r="AH43">
        <f>AH35*EF!$N$9*0.001*365</f>
        <v>47.120233696037815</v>
      </c>
      <c r="AI43">
        <f>AI35*EF!$N$9*0.001*365</f>
        <v>47.120233696037815</v>
      </c>
      <c r="AJ43">
        <f>AJ35*EF!$N$9*0.001*365</f>
        <v>47.120233696037815</v>
      </c>
      <c r="AK43">
        <f>AK35*EF!$N$9*0.001*365</f>
        <v>47.120233696037815</v>
      </c>
      <c r="AL43">
        <f>AL35*EF!$N$9*0.001*365</f>
        <v>47.120233696037815</v>
      </c>
      <c r="AM43">
        <f>AM35*EF!$N$9*0.001*365</f>
        <v>47.120233696037815</v>
      </c>
      <c r="AN43">
        <f>AN35*EF!$N$9*0.001*365</f>
        <v>47.120233696037815</v>
      </c>
    </row>
    <row r="45" spans="1:48" s="120" customFormat="1" ht="15.75" x14ac:dyDescent="0.25">
      <c r="A45" s="116" t="s">
        <v>1339</v>
      </c>
      <c r="B45" s="116"/>
      <c r="C45" s="116"/>
      <c r="D45" s="116"/>
      <c r="E45" s="116"/>
      <c r="F45" s="116"/>
      <c r="G45" s="116"/>
      <c r="H45" s="116"/>
      <c r="I45" s="116"/>
      <c r="J45" s="118"/>
      <c r="K45" s="118"/>
      <c r="L45" s="118"/>
      <c r="M45" s="118"/>
      <c r="N45" s="118"/>
      <c r="O45" s="118"/>
      <c r="P45" s="119"/>
      <c r="Q45" s="119"/>
      <c r="R45" s="119"/>
      <c r="S45" s="119"/>
      <c r="T45" s="119"/>
      <c r="U45" s="119"/>
      <c r="V45" s="119"/>
      <c r="W45" s="119"/>
      <c r="X45" s="119"/>
      <c r="Y45" s="119"/>
      <c r="Z45" s="119"/>
      <c r="AA45" s="119"/>
      <c r="AB45" s="119"/>
      <c r="AC45" s="119"/>
      <c r="AD45" s="119"/>
      <c r="AE45" s="119"/>
      <c r="AF45" s="119"/>
      <c r="AG45" s="119"/>
      <c r="AH45" s="119"/>
      <c r="AI45" s="119"/>
      <c r="AJ45" s="119"/>
      <c r="AK45" s="119"/>
      <c r="AL45" s="119"/>
      <c r="AM45" s="119"/>
      <c r="AN45" s="119"/>
      <c r="AO45" s="119"/>
      <c r="AP45" s="119"/>
      <c r="AQ45" s="119"/>
      <c r="AR45" s="119"/>
      <c r="AS45" s="119"/>
      <c r="AT45" s="119"/>
      <c r="AU45" s="119"/>
      <c r="AV45" s="119"/>
    </row>
    <row r="46" spans="1:48" x14ac:dyDescent="0.25">
      <c r="A46" t="s">
        <v>1345</v>
      </c>
      <c r="B46">
        <f>'Net zero activities &amp; levers'!$C32/100</f>
        <v>0</v>
      </c>
      <c r="C46">
        <f>B46</f>
        <v>0</v>
      </c>
      <c r="D46">
        <f t="shared" ref="D46:J46" si="79">C46</f>
        <v>0</v>
      </c>
      <c r="E46">
        <f t="shared" si="79"/>
        <v>0</v>
      </c>
      <c r="F46">
        <f t="shared" si="79"/>
        <v>0</v>
      </c>
      <c r="G46">
        <f t="shared" si="79"/>
        <v>0</v>
      </c>
      <c r="H46">
        <f t="shared" si="79"/>
        <v>0</v>
      </c>
      <c r="I46">
        <f t="shared" si="79"/>
        <v>0</v>
      </c>
      <c r="J46">
        <f t="shared" si="79"/>
        <v>0</v>
      </c>
      <c r="K46">
        <f t="shared" ref="K46" si="80">J46+($T46-$J46)/10</f>
        <v>0.01</v>
      </c>
      <c r="L46">
        <f t="shared" ref="L46" si="81">K46+($T46-$J46)/10</f>
        <v>0.02</v>
      </c>
      <c r="M46">
        <f t="shared" ref="M46" si="82">L46+($T46-$J46)/10</f>
        <v>0.03</v>
      </c>
      <c r="N46">
        <f t="shared" ref="N46" si="83">M46+($T46-$J46)/10</f>
        <v>0.04</v>
      </c>
      <c r="O46">
        <f t="shared" ref="O46" si="84">N46+($T46-$J46)/10</f>
        <v>0.05</v>
      </c>
      <c r="P46">
        <f t="shared" ref="P46" si="85">O46+($T46-$J46)/10</f>
        <v>6.0000000000000005E-2</v>
      </c>
      <c r="Q46">
        <f t="shared" ref="Q46" si="86">P46+($T46-$J46)/10</f>
        <v>7.0000000000000007E-2</v>
      </c>
      <c r="R46">
        <f t="shared" ref="R46" si="87">Q46+($T46-$J46)/10</f>
        <v>0.08</v>
      </c>
      <c r="S46">
        <f t="shared" ref="S46" si="88">R46+($T46-$J46)/10</f>
        <v>0.09</v>
      </c>
      <c r="T46">
        <f>'Net zero activities &amp; levers'!$D32/100</f>
        <v>0.1</v>
      </c>
      <c r="U46">
        <f t="shared" ref="U46:U50" si="89">T46+($AD46-$T46)/10</f>
        <v>0.10500000000000001</v>
      </c>
      <c r="V46">
        <f t="shared" ref="V46:V50" si="90">U46+($AD46-$T46)/10</f>
        <v>0.11000000000000001</v>
      </c>
      <c r="W46">
        <f t="shared" ref="W46:W50" si="91">V46+($AD46-$T46)/10</f>
        <v>0.11500000000000002</v>
      </c>
      <c r="X46">
        <f t="shared" ref="X46:X50" si="92">W46+($AD46-$T46)/10</f>
        <v>0.12000000000000002</v>
      </c>
      <c r="Y46">
        <f t="shared" ref="Y46:Y50" si="93">X46+($AD46-$T46)/10</f>
        <v>0.12500000000000003</v>
      </c>
      <c r="Z46">
        <f t="shared" ref="Z46:Z50" si="94">Y46+($AD46-$T46)/10</f>
        <v>0.13000000000000003</v>
      </c>
      <c r="AA46">
        <f t="shared" ref="AA46:AA50" si="95">Z46+($AD46-$T46)/10</f>
        <v>0.13500000000000004</v>
      </c>
      <c r="AB46">
        <f t="shared" ref="AB46:AB50" si="96">AA46+($AD46-$T46)/10</f>
        <v>0.14000000000000004</v>
      </c>
      <c r="AC46">
        <f t="shared" ref="AC46:AC50" si="97">AB46+($AD46-$T46)/10</f>
        <v>0.14500000000000005</v>
      </c>
      <c r="AD46">
        <f>'Net zero activities &amp; levers'!$E32/100</f>
        <v>0.15</v>
      </c>
      <c r="AE46">
        <f t="shared" ref="AE46:AE50" si="98">AD46+($AN46-$AD46)/10</f>
        <v>0.155</v>
      </c>
      <c r="AF46">
        <f t="shared" ref="AF46:AF50" si="99">AE46+($AN46-$AD46)/10</f>
        <v>0.16</v>
      </c>
      <c r="AG46">
        <f t="shared" ref="AG46:AG50" si="100">AF46+($AN46-$AD46)/10</f>
        <v>0.16500000000000001</v>
      </c>
      <c r="AH46">
        <f t="shared" ref="AH46:AH50" si="101">AG46+($AN46-$AD46)/10</f>
        <v>0.17</v>
      </c>
      <c r="AI46">
        <f t="shared" ref="AI46:AI50" si="102">AH46+($AN46-$AD46)/10</f>
        <v>0.17500000000000002</v>
      </c>
      <c r="AJ46">
        <f t="shared" ref="AJ46:AJ50" si="103">AI46+($AN46-$AD46)/10</f>
        <v>0.18000000000000002</v>
      </c>
      <c r="AK46">
        <f t="shared" ref="AK46:AK50" si="104">AJ46+($AN46-$AD46)/10</f>
        <v>0.18500000000000003</v>
      </c>
      <c r="AL46">
        <f t="shared" ref="AL46:AL50" si="105">AK46+($AN46-$AD46)/10</f>
        <v>0.19000000000000003</v>
      </c>
      <c r="AM46">
        <f t="shared" ref="AM46:AM50" si="106">AL46+($AN46-$AD46)/10</f>
        <v>0.19500000000000003</v>
      </c>
      <c r="AN46">
        <f>'Net zero activities &amp; levers'!$F32/100</f>
        <v>0.2</v>
      </c>
    </row>
    <row r="47" spans="1:48" x14ac:dyDescent="0.25">
      <c r="A47" t="s">
        <v>1346</v>
      </c>
      <c r="B47">
        <f>'Net zero activities &amp; levers'!$C33/100</f>
        <v>0</v>
      </c>
      <c r="C47">
        <f t="shared" ref="C47:J50" si="107">B47</f>
        <v>0</v>
      </c>
      <c r="D47">
        <f t="shared" si="107"/>
        <v>0</v>
      </c>
      <c r="E47">
        <f t="shared" si="107"/>
        <v>0</v>
      </c>
      <c r="F47">
        <f t="shared" si="107"/>
        <v>0</v>
      </c>
      <c r="G47">
        <f t="shared" si="107"/>
        <v>0</v>
      </c>
      <c r="H47">
        <f t="shared" si="107"/>
        <v>0</v>
      </c>
      <c r="I47">
        <f t="shared" si="107"/>
        <v>0</v>
      </c>
      <c r="J47">
        <f t="shared" si="107"/>
        <v>0</v>
      </c>
      <c r="K47">
        <f t="shared" ref="K47:K50" si="108">J47+($T47-$J47)/10</f>
        <v>0.01</v>
      </c>
      <c r="L47">
        <f t="shared" ref="L47:L50" si="109">K47+($T47-$J47)/10</f>
        <v>0.02</v>
      </c>
      <c r="M47">
        <f t="shared" ref="M47:M50" si="110">L47+($T47-$J47)/10</f>
        <v>0.03</v>
      </c>
      <c r="N47">
        <f t="shared" ref="N47:N50" si="111">M47+($T47-$J47)/10</f>
        <v>0.04</v>
      </c>
      <c r="O47">
        <f t="shared" ref="O47:O50" si="112">N47+($T47-$J47)/10</f>
        <v>0.05</v>
      </c>
      <c r="P47">
        <f t="shared" ref="P47:P50" si="113">O47+($T47-$J47)/10</f>
        <v>6.0000000000000005E-2</v>
      </c>
      <c r="Q47">
        <f t="shared" ref="Q47:Q50" si="114">P47+($T47-$J47)/10</f>
        <v>7.0000000000000007E-2</v>
      </c>
      <c r="R47">
        <f t="shared" ref="R47:R50" si="115">Q47+($T47-$J47)/10</f>
        <v>0.08</v>
      </c>
      <c r="S47">
        <f t="shared" ref="S47:S50" si="116">R47+($T47-$J47)/10</f>
        <v>0.09</v>
      </c>
      <c r="T47">
        <f>'Net zero activities &amp; levers'!$D33/100</f>
        <v>0.1</v>
      </c>
      <c r="U47">
        <f t="shared" si="89"/>
        <v>0.10500000000000001</v>
      </c>
      <c r="V47">
        <f t="shared" si="90"/>
        <v>0.11000000000000001</v>
      </c>
      <c r="W47">
        <f t="shared" si="91"/>
        <v>0.11500000000000002</v>
      </c>
      <c r="X47">
        <f t="shared" si="92"/>
        <v>0.12000000000000002</v>
      </c>
      <c r="Y47">
        <f t="shared" si="93"/>
        <v>0.12500000000000003</v>
      </c>
      <c r="Z47">
        <f t="shared" si="94"/>
        <v>0.13000000000000003</v>
      </c>
      <c r="AA47">
        <f t="shared" si="95"/>
        <v>0.13500000000000004</v>
      </c>
      <c r="AB47">
        <f t="shared" si="96"/>
        <v>0.14000000000000004</v>
      </c>
      <c r="AC47">
        <f t="shared" si="97"/>
        <v>0.14500000000000005</v>
      </c>
      <c r="AD47">
        <f>'Net zero activities &amp; levers'!$E33/100</f>
        <v>0.15</v>
      </c>
      <c r="AE47">
        <f t="shared" si="98"/>
        <v>0.155</v>
      </c>
      <c r="AF47">
        <f t="shared" si="99"/>
        <v>0.16</v>
      </c>
      <c r="AG47">
        <f t="shared" si="100"/>
        <v>0.16500000000000001</v>
      </c>
      <c r="AH47">
        <f t="shared" si="101"/>
        <v>0.17</v>
      </c>
      <c r="AI47">
        <f t="shared" si="102"/>
        <v>0.17500000000000002</v>
      </c>
      <c r="AJ47">
        <f t="shared" si="103"/>
        <v>0.18000000000000002</v>
      </c>
      <c r="AK47">
        <f t="shared" si="104"/>
        <v>0.18500000000000003</v>
      </c>
      <c r="AL47">
        <f t="shared" si="105"/>
        <v>0.19000000000000003</v>
      </c>
      <c r="AM47">
        <f t="shared" si="106"/>
        <v>0.19500000000000003</v>
      </c>
      <c r="AN47">
        <f>'Net zero activities &amp; levers'!$F33/100</f>
        <v>0.2</v>
      </c>
    </row>
    <row r="48" spans="1:48" x14ac:dyDescent="0.25">
      <c r="A48" t="s">
        <v>1347</v>
      </c>
      <c r="B48">
        <f>'Net zero activities &amp; levers'!$C34/100</f>
        <v>0</v>
      </c>
      <c r="C48">
        <f t="shared" si="107"/>
        <v>0</v>
      </c>
      <c r="D48">
        <f t="shared" si="107"/>
        <v>0</v>
      </c>
      <c r="E48">
        <f t="shared" si="107"/>
        <v>0</v>
      </c>
      <c r="F48">
        <f t="shared" si="107"/>
        <v>0</v>
      </c>
      <c r="G48">
        <f t="shared" si="107"/>
        <v>0</v>
      </c>
      <c r="H48">
        <f t="shared" si="107"/>
        <v>0</v>
      </c>
      <c r="I48">
        <f t="shared" si="107"/>
        <v>0</v>
      </c>
      <c r="J48">
        <f t="shared" si="107"/>
        <v>0</v>
      </c>
      <c r="K48">
        <f t="shared" si="108"/>
        <v>0.01</v>
      </c>
      <c r="L48">
        <f t="shared" si="109"/>
        <v>0.02</v>
      </c>
      <c r="M48">
        <f t="shared" si="110"/>
        <v>0.03</v>
      </c>
      <c r="N48">
        <f t="shared" si="111"/>
        <v>0.04</v>
      </c>
      <c r="O48">
        <f t="shared" si="112"/>
        <v>0.05</v>
      </c>
      <c r="P48">
        <f t="shared" si="113"/>
        <v>6.0000000000000005E-2</v>
      </c>
      <c r="Q48">
        <f t="shared" si="114"/>
        <v>7.0000000000000007E-2</v>
      </c>
      <c r="R48">
        <f t="shared" si="115"/>
        <v>0.08</v>
      </c>
      <c r="S48">
        <f t="shared" si="116"/>
        <v>0.09</v>
      </c>
      <c r="T48">
        <f>'Net zero activities &amp; levers'!$D34/100</f>
        <v>0.1</v>
      </c>
      <c r="U48">
        <f t="shared" si="89"/>
        <v>0.10500000000000001</v>
      </c>
      <c r="V48">
        <f t="shared" si="90"/>
        <v>0.11000000000000001</v>
      </c>
      <c r="W48">
        <f t="shared" si="91"/>
        <v>0.11500000000000002</v>
      </c>
      <c r="X48">
        <f t="shared" si="92"/>
        <v>0.12000000000000002</v>
      </c>
      <c r="Y48">
        <f t="shared" si="93"/>
        <v>0.12500000000000003</v>
      </c>
      <c r="Z48">
        <f t="shared" si="94"/>
        <v>0.13000000000000003</v>
      </c>
      <c r="AA48">
        <f t="shared" si="95"/>
        <v>0.13500000000000004</v>
      </c>
      <c r="AB48">
        <f t="shared" si="96"/>
        <v>0.14000000000000004</v>
      </c>
      <c r="AC48">
        <f t="shared" si="97"/>
        <v>0.14500000000000005</v>
      </c>
      <c r="AD48">
        <f>'Net zero activities &amp; levers'!$E34/100</f>
        <v>0.15</v>
      </c>
      <c r="AE48">
        <f t="shared" si="98"/>
        <v>0.155</v>
      </c>
      <c r="AF48">
        <f t="shared" si="99"/>
        <v>0.16</v>
      </c>
      <c r="AG48">
        <f t="shared" si="100"/>
        <v>0.16500000000000001</v>
      </c>
      <c r="AH48">
        <f t="shared" si="101"/>
        <v>0.17</v>
      </c>
      <c r="AI48">
        <f t="shared" si="102"/>
        <v>0.17500000000000002</v>
      </c>
      <c r="AJ48">
        <f t="shared" si="103"/>
        <v>0.18000000000000002</v>
      </c>
      <c r="AK48">
        <f t="shared" si="104"/>
        <v>0.18500000000000003</v>
      </c>
      <c r="AL48">
        <f t="shared" si="105"/>
        <v>0.19000000000000003</v>
      </c>
      <c r="AM48">
        <f t="shared" si="106"/>
        <v>0.19500000000000003</v>
      </c>
      <c r="AN48">
        <f>'Net zero activities &amp; levers'!$F34/100</f>
        <v>0.2</v>
      </c>
    </row>
    <row r="49" spans="1:40" x14ac:dyDescent="0.25">
      <c r="A49" t="s">
        <v>1348</v>
      </c>
      <c r="B49">
        <f>'Net zero activities &amp; levers'!$C35/100</f>
        <v>0</v>
      </c>
      <c r="C49">
        <f t="shared" si="107"/>
        <v>0</v>
      </c>
      <c r="D49">
        <f t="shared" si="107"/>
        <v>0</v>
      </c>
      <c r="E49">
        <f t="shared" si="107"/>
        <v>0</v>
      </c>
      <c r="F49">
        <f t="shared" si="107"/>
        <v>0</v>
      </c>
      <c r="G49">
        <f t="shared" si="107"/>
        <v>0</v>
      </c>
      <c r="H49">
        <f t="shared" si="107"/>
        <v>0</v>
      </c>
      <c r="I49">
        <f t="shared" si="107"/>
        <v>0</v>
      </c>
      <c r="J49">
        <f t="shared" si="107"/>
        <v>0</v>
      </c>
      <c r="K49">
        <f t="shared" si="108"/>
        <v>0.01</v>
      </c>
      <c r="L49">
        <f t="shared" si="109"/>
        <v>0.02</v>
      </c>
      <c r="M49">
        <f t="shared" si="110"/>
        <v>0.03</v>
      </c>
      <c r="N49">
        <f t="shared" si="111"/>
        <v>0.04</v>
      </c>
      <c r="O49">
        <f t="shared" si="112"/>
        <v>0.05</v>
      </c>
      <c r="P49">
        <f t="shared" si="113"/>
        <v>6.0000000000000005E-2</v>
      </c>
      <c r="Q49">
        <f t="shared" si="114"/>
        <v>7.0000000000000007E-2</v>
      </c>
      <c r="R49">
        <f t="shared" si="115"/>
        <v>0.08</v>
      </c>
      <c r="S49">
        <f t="shared" si="116"/>
        <v>0.09</v>
      </c>
      <c r="T49">
        <f>'Net zero activities &amp; levers'!$D35/100</f>
        <v>0.1</v>
      </c>
      <c r="U49">
        <f t="shared" si="89"/>
        <v>0.10500000000000001</v>
      </c>
      <c r="V49">
        <f t="shared" si="90"/>
        <v>0.11000000000000001</v>
      </c>
      <c r="W49">
        <f t="shared" si="91"/>
        <v>0.11500000000000002</v>
      </c>
      <c r="X49">
        <f t="shared" si="92"/>
        <v>0.12000000000000002</v>
      </c>
      <c r="Y49">
        <f t="shared" si="93"/>
        <v>0.12500000000000003</v>
      </c>
      <c r="Z49">
        <f t="shared" si="94"/>
        <v>0.13000000000000003</v>
      </c>
      <c r="AA49">
        <f t="shared" si="95"/>
        <v>0.13500000000000004</v>
      </c>
      <c r="AB49">
        <f t="shared" si="96"/>
        <v>0.14000000000000004</v>
      </c>
      <c r="AC49">
        <f t="shared" si="97"/>
        <v>0.14500000000000005</v>
      </c>
      <c r="AD49">
        <f>'Net zero activities &amp; levers'!$E35/100</f>
        <v>0.15</v>
      </c>
      <c r="AE49">
        <f t="shared" si="98"/>
        <v>0.155</v>
      </c>
      <c r="AF49">
        <f t="shared" si="99"/>
        <v>0.16</v>
      </c>
      <c r="AG49">
        <f t="shared" si="100"/>
        <v>0.16500000000000001</v>
      </c>
      <c r="AH49">
        <f t="shared" si="101"/>
        <v>0.17</v>
      </c>
      <c r="AI49">
        <f t="shared" si="102"/>
        <v>0.17500000000000002</v>
      </c>
      <c r="AJ49">
        <f t="shared" si="103"/>
        <v>0.18000000000000002</v>
      </c>
      <c r="AK49">
        <f t="shared" si="104"/>
        <v>0.18500000000000003</v>
      </c>
      <c r="AL49">
        <f t="shared" si="105"/>
        <v>0.19000000000000003</v>
      </c>
      <c r="AM49">
        <f t="shared" si="106"/>
        <v>0.19500000000000003</v>
      </c>
      <c r="AN49">
        <f>'Net zero activities &amp; levers'!$F35/100</f>
        <v>0.2</v>
      </c>
    </row>
    <row r="50" spans="1:40" x14ac:dyDescent="0.25">
      <c r="A50" t="s">
        <v>1349</v>
      </c>
      <c r="B50">
        <f>'Net zero activities &amp; levers'!$C36/100</f>
        <v>0</v>
      </c>
      <c r="C50">
        <f t="shared" si="107"/>
        <v>0</v>
      </c>
      <c r="D50">
        <f t="shared" si="107"/>
        <v>0</v>
      </c>
      <c r="E50">
        <f t="shared" si="107"/>
        <v>0</v>
      </c>
      <c r="F50">
        <f t="shared" si="107"/>
        <v>0</v>
      </c>
      <c r="G50">
        <f t="shared" si="107"/>
        <v>0</v>
      </c>
      <c r="H50">
        <f t="shared" si="107"/>
        <v>0</v>
      </c>
      <c r="I50">
        <f t="shared" si="107"/>
        <v>0</v>
      </c>
      <c r="J50">
        <f t="shared" si="107"/>
        <v>0</v>
      </c>
      <c r="K50">
        <f t="shared" si="108"/>
        <v>0.01</v>
      </c>
      <c r="L50">
        <f t="shared" si="109"/>
        <v>0.02</v>
      </c>
      <c r="M50">
        <f t="shared" si="110"/>
        <v>0.03</v>
      </c>
      <c r="N50">
        <f t="shared" si="111"/>
        <v>0.04</v>
      </c>
      <c r="O50">
        <f t="shared" si="112"/>
        <v>0.05</v>
      </c>
      <c r="P50">
        <f t="shared" si="113"/>
        <v>6.0000000000000005E-2</v>
      </c>
      <c r="Q50">
        <f t="shared" si="114"/>
        <v>7.0000000000000007E-2</v>
      </c>
      <c r="R50">
        <f t="shared" si="115"/>
        <v>0.08</v>
      </c>
      <c r="S50">
        <f t="shared" si="116"/>
        <v>0.09</v>
      </c>
      <c r="T50">
        <f>'Net zero activities &amp; levers'!$D36/100</f>
        <v>0.1</v>
      </c>
      <c r="U50">
        <f t="shared" si="89"/>
        <v>0.10500000000000001</v>
      </c>
      <c r="V50">
        <f t="shared" si="90"/>
        <v>0.11000000000000001</v>
      </c>
      <c r="W50">
        <f t="shared" si="91"/>
        <v>0.11500000000000002</v>
      </c>
      <c r="X50">
        <f t="shared" si="92"/>
        <v>0.12000000000000002</v>
      </c>
      <c r="Y50">
        <f t="shared" si="93"/>
        <v>0.12500000000000003</v>
      </c>
      <c r="Z50">
        <f t="shared" si="94"/>
        <v>0.13000000000000003</v>
      </c>
      <c r="AA50">
        <f t="shared" si="95"/>
        <v>0.13500000000000004</v>
      </c>
      <c r="AB50">
        <f t="shared" si="96"/>
        <v>0.14000000000000004</v>
      </c>
      <c r="AC50">
        <f t="shared" si="97"/>
        <v>0.14500000000000005</v>
      </c>
      <c r="AD50">
        <f>'Net zero activities &amp; levers'!$E36/100</f>
        <v>0.15</v>
      </c>
      <c r="AE50">
        <f t="shared" si="98"/>
        <v>0.155</v>
      </c>
      <c r="AF50">
        <f t="shared" si="99"/>
        <v>0.16</v>
      </c>
      <c r="AG50">
        <f t="shared" si="100"/>
        <v>0.16500000000000001</v>
      </c>
      <c r="AH50">
        <f t="shared" si="101"/>
        <v>0.17</v>
      </c>
      <c r="AI50">
        <f t="shared" si="102"/>
        <v>0.17500000000000002</v>
      </c>
      <c r="AJ50">
        <f t="shared" si="103"/>
        <v>0.18000000000000002</v>
      </c>
      <c r="AK50">
        <f t="shared" si="104"/>
        <v>0.18500000000000003</v>
      </c>
      <c r="AL50">
        <f t="shared" si="105"/>
        <v>0.19000000000000003</v>
      </c>
      <c r="AM50">
        <f t="shared" si="106"/>
        <v>0.19500000000000003</v>
      </c>
      <c r="AN50">
        <f>'Net zero activities &amp; levers'!$F36/100</f>
        <v>0.2</v>
      </c>
    </row>
    <row r="51" spans="1:40" x14ac:dyDescent="0.25">
      <c r="A51" t="s">
        <v>1028</v>
      </c>
      <c r="B51">
        <f>EF!$P$4</f>
        <v>19.893899204244047</v>
      </c>
      <c r="C51">
        <f>$B$51-($B$51*C46)</f>
        <v>19.893899204244047</v>
      </c>
      <c r="D51">
        <f t="shared" ref="D51:AN51" si="117">$B$51-($B$51*D46)</f>
        <v>19.893899204244047</v>
      </c>
      <c r="E51">
        <f t="shared" si="117"/>
        <v>19.893899204244047</v>
      </c>
      <c r="F51">
        <f t="shared" si="117"/>
        <v>19.893899204244047</v>
      </c>
      <c r="G51">
        <f t="shared" si="117"/>
        <v>19.893899204244047</v>
      </c>
      <c r="H51">
        <f t="shared" si="117"/>
        <v>19.893899204244047</v>
      </c>
      <c r="I51">
        <f t="shared" si="117"/>
        <v>19.893899204244047</v>
      </c>
      <c r="J51">
        <f t="shared" si="117"/>
        <v>19.893899204244047</v>
      </c>
      <c r="K51">
        <f t="shared" si="117"/>
        <v>19.694960212201607</v>
      </c>
      <c r="L51">
        <f t="shared" si="117"/>
        <v>19.496021220159164</v>
      </c>
      <c r="M51">
        <f t="shared" si="117"/>
        <v>19.297082228116725</v>
      </c>
      <c r="N51">
        <f t="shared" si="117"/>
        <v>19.098143236074286</v>
      </c>
      <c r="O51">
        <f t="shared" si="117"/>
        <v>18.899204244031843</v>
      </c>
      <c r="P51">
        <f t="shared" si="117"/>
        <v>18.700265251989403</v>
      </c>
      <c r="Q51">
        <f t="shared" si="117"/>
        <v>18.501326259946964</v>
      </c>
      <c r="R51">
        <f t="shared" si="117"/>
        <v>18.302387267904521</v>
      </c>
      <c r="S51">
        <f t="shared" si="117"/>
        <v>18.103448275862082</v>
      </c>
      <c r="T51">
        <f t="shared" si="117"/>
        <v>17.904509283819642</v>
      </c>
      <c r="U51">
        <f t="shared" si="117"/>
        <v>17.805039787798421</v>
      </c>
      <c r="V51">
        <f t="shared" si="117"/>
        <v>17.7055702917772</v>
      </c>
      <c r="W51">
        <f t="shared" si="117"/>
        <v>17.606100795755982</v>
      </c>
      <c r="X51">
        <f t="shared" si="117"/>
        <v>17.50663129973476</v>
      </c>
      <c r="Y51">
        <f t="shared" si="117"/>
        <v>17.407161803713542</v>
      </c>
      <c r="Z51">
        <f t="shared" si="117"/>
        <v>17.307692307692321</v>
      </c>
      <c r="AA51">
        <f t="shared" si="117"/>
        <v>17.208222811671099</v>
      </c>
      <c r="AB51">
        <f t="shared" si="117"/>
        <v>17.108753315649878</v>
      </c>
      <c r="AC51">
        <f t="shared" si="117"/>
        <v>17.00928381962866</v>
      </c>
      <c r="AD51">
        <f t="shared" si="117"/>
        <v>16.909814323607439</v>
      </c>
      <c r="AE51">
        <f t="shared" si="117"/>
        <v>16.810344827586221</v>
      </c>
      <c r="AF51">
        <f t="shared" si="117"/>
        <v>16.710875331564999</v>
      </c>
      <c r="AG51">
        <f t="shared" si="117"/>
        <v>16.611405835543778</v>
      </c>
      <c r="AH51">
        <f t="shared" si="117"/>
        <v>16.51193633952256</v>
      </c>
      <c r="AI51">
        <f t="shared" si="117"/>
        <v>16.412466843501338</v>
      </c>
      <c r="AJ51">
        <f t="shared" si="117"/>
        <v>16.312997347480117</v>
      </c>
      <c r="AK51">
        <f t="shared" si="117"/>
        <v>16.213527851458899</v>
      </c>
      <c r="AL51">
        <f t="shared" si="117"/>
        <v>16.114058355437678</v>
      </c>
      <c r="AM51">
        <f t="shared" si="117"/>
        <v>16.014588859416456</v>
      </c>
      <c r="AN51">
        <f t="shared" si="117"/>
        <v>15.915119363395238</v>
      </c>
    </row>
    <row r="52" spans="1:40" x14ac:dyDescent="0.25">
      <c r="A52" t="s">
        <v>1350</v>
      </c>
      <c r="B52">
        <f>EF!$P$5</f>
        <v>20.888594164456251</v>
      </c>
      <c r="C52">
        <f>$B$52-($B$52*C47)</f>
        <v>20.888594164456251</v>
      </c>
      <c r="D52">
        <f t="shared" ref="D52:AN52" si="118">$B$52-($B$52*D47)</f>
        <v>20.888594164456251</v>
      </c>
      <c r="E52">
        <f t="shared" si="118"/>
        <v>20.888594164456251</v>
      </c>
      <c r="F52">
        <f t="shared" si="118"/>
        <v>20.888594164456251</v>
      </c>
      <c r="G52">
        <f t="shared" si="118"/>
        <v>20.888594164456251</v>
      </c>
      <c r="H52">
        <f t="shared" si="118"/>
        <v>20.888594164456251</v>
      </c>
      <c r="I52">
        <f t="shared" si="118"/>
        <v>20.888594164456251</v>
      </c>
      <c r="J52">
        <f t="shared" si="118"/>
        <v>20.888594164456251</v>
      </c>
      <c r="K52">
        <f t="shared" si="118"/>
        <v>20.679708222811687</v>
      </c>
      <c r="L52">
        <f t="shared" si="118"/>
        <v>20.470822281167127</v>
      </c>
      <c r="M52">
        <f t="shared" si="118"/>
        <v>20.261936339522563</v>
      </c>
      <c r="N52">
        <f t="shared" si="118"/>
        <v>20.053050397878</v>
      </c>
      <c r="O52">
        <f t="shared" si="118"/>
        <v>19.84416445623344</v>
      </c>
      <c r="P52">
        <f t="shared" si="118"/>
        <v>19.635278514588876</v>
      </c>
      <c r="Q52">
        <f t="shared" si="118"/>
        <v>19.426392572944312</v>
      </c>
      <c r="R52">
        <f t="shared" si="118"/>
        <v>19.217506631299752</v>
      </c>
      <c r="S52">
        <f t="shared" si="118"/>
        <v>19.008620689655189</v>
      </c>
      <c r="T52">
        <f t="shared" si="118"/>
        <v>18.799734748010625</v>
      </c>
      <c r="U52">
        <f t="shared" si="118"/>
        <v>18.695291777188345</v>
      </c>
      <c r="V52">
        <f t="shared" si="118"/>
        <v>18.590848806366061</v>
      </c>
      <c r="W52">
        <f t="shared" si="118"/>
        <v>18.486405835543781</v>
      </c>
      <c r="X52">
        <f t="shared" si="118"/>
        <v>18.381962864721501</v>
      </c>
      <c r="Y52">
        <f t="shared" si="118"/>
        <v>18.277519893899218</v>
      </c>
      <c r="Z52">
        <f t="shared" si="118"/>
        <v>18.173076923076938</v>
      </c>
      <c r="AA52">
        <f t="shared" si="118"/>
        <v>18.068633952254658</v>
      </c>
      <c r="AB52">
        <f t="shared" si="118"/>
        <v>17.964190981432374</v>
      </c>
      <c r="AC52">
        <f t="shared" si="118"/>
        <v>17.859748010610094</v>
      </c>
      <c r="AD52">
        <f t="shared" si="118"/>
        <v>17.755305039787814</v>
      </c>
      <c r="AE52">
        <f t="shared" si="118"/>
        <v>17.65086206896553</v>
      </c>
      <c r="AF52">
        <f t="shared" si="118"/>
        <v>17.54641909814325</v>
      </c>
      <c r="AG52">
        <f t="shared" si="118"/>
        <v>17.44197612732097</v>
      </c>
      <c r="AH52">
        <f t="shared" si="118"/>
        <v>17.337533156498687</v>
      </c>
      <c r="AI52">
        <f t="shared" si="118"/>
        <v>17.233090185676406</v>
      </c>
      <c r="AJ52">
        <f t="shared" si="118"/>
        <v>17.128647214854126</v>
      </c>
      <c r="AK52">
        <f t="shared" si="118"/>
        <v>17.024204244031843</v>
      </c>
      <c r="AL52">
        <f t="shared" si="118"/>
        <v>16.919761273209563</v>
      </c>
      <c r="AM52">
        <f t="shared" si="118"/>
        <v>16.815318302387283</v>
      </c>
      <c r="AN52">
        <f t="shared" si="118"/>
        <v>16.710875331564999</v>
      </c>
    </row>
    <row r="53" spans="1:40" x14ac:dyDescent="0.25">
      <c r="A53" t="s">
        <v>1351</v>
      </c>
      <c r="B53">
        <f>EF!$P$6</f>
        <v>23.209549071618053</v>
      </c>
      <c r="C53">
        <f>$B$53-($B$53*C48)</f>
        <v>23.209549071618053</v>
      </c>
      <c r="D53">
        <f t="shared" ref="D53:AN53" si="119">$B$53-($B$53*D48)</f>
        <v>23.209549071618053</v>
      </c>
      <c r="E53">
        <f t="shared" si="119"/>
        <v>23.209549071618053</v>
      </c>
      <c r="F53">
        <f t="shared" si="119"/>
        <v>23.209549071618053</v>
      </c>
      <c r="G53">
        <f t="shared" si="119"/>
        <v>23.209549071618053</v>
      </c>
      <c r="H53">
        <f t="shared" si="119"/>
        <v>23.209549071618053</v>
      </c>
      <c r="I53">
        <f t="shared" si="119"/>
        <v>23.209549071618053</v>
      </c>
      <c r="J53">
        <f t="shared" si="119"/>
        <v>23.209549071618053</v>
      </c>
      <c r="K53">
        <f t="shared" si="119"/>
        <v>22.977453580901873</v>
      </c>
      <c r="L53">
        <f t="shared" si="119"/>
        <v>22.745358090185693</v>
      </c>
      <c r="M53">
        <f t="shared" si="119"/>
        <v>22.51326259946951</v>
      </c>
      <c r="N53">
        <f t="shared" si="119"/>
        <v>22.28116710875333</v>
      </c>
      <c r="O53">
        <f t="shared" si="119"/>
        <v>22.04907161803715</v>
      </c>
      <c r="P53">
        <f t="shared" si="119"/>
        <v>21.81697612732097</v>
      </c>
      <c r="Q53">
        <f t="shared" si="119"/>
        <v>21.58488063660479</v>
      </c>
      <c r="R53">
        <f t="shared" si="119"/>
        <v>21.35278514588861</v>
      </c>
      <c r="S53">
        <f t="shared" si="119"/>
        <v>21.120689655172427</v>
      </c>
      <c r="T53">
        <f t="shared" si="119"/>
        <v>20.888594164456247</v>
      </c>
      <c r="U53">
        <f t="shared" si="119"/>
        <v>20.772546419098155</v>
      </c>
      <c r="V53">
        <f t="shared" si="119"/>
        <v>20.656498673740067</v>
      </c>
      <c r="W53">
        <f t="shared" si="119"/>
        <v>20.540450928381976</v>
      </c>
      <c r="X53">
        <f t="shared" si="119"/>
        <v>20.424403183023887</v>
      </c>
      <c r="Y53">
        <f t="shared" si="119"/>
        <v>20.308355437665796</v>
      </c>
      <c r="Z53">
        <f t="shared" si="119"/>
        <v>20.192307692307704</v>
      </c>
      <c r="AA53">
        <f t="shared" si="119"/>
        <v>20.076259946949616</v>
      </c>
      <c r="AB53">
        <f t="shared" si="119"/>
        <v>19.960212201591524</v>
      </c>
      <c r="AC53">
        <f t="shared" si="119"/>
        <v>19.844164456233436</v>
      </c>
      <c r="AD53">
        <f t="shared" si="119"/>
        <v>19.728116710875344</v>
      </c>
      <c r="AE53">
        <f t="shared" si="119"/>
        <v>19.612068965517253</v>
      </c>
      <c r="AF53">
        <f t="shared" si="119"/>
        <v>19.496021220159164</v>
      </c>
      <c r="AG53">
        <f t="shared" si="119"/>
        <v>19.379973474801073</v>
      </c>
      <c r="AH53">
        <f t="shared" si="119"/>
        <v>19.263925729442985</v>
      </c>
      <c r="AI53">
        <f t="shared" si="119"/>
        <v>19.147877984084893</v>
      </c>
      <c r="AJ53">
        <f t="shared" si="119"/>
        <v>19.031830238726805</v>
      </c>
      <c r="AK53">
        <f t="shared" si="119"/>
        <v>18.915782493368713</v>
      </c>
      <c r="AL53">
        <f t="shared" si="119"/>
        <v>18.799734748010621</v>
      </c>
      <c r="AM53">
        <f t="shared" si="119"/>
        <v>18.683687002652533</v>
      </c>
      <c r="AN53">
        <f t="shared" si="119"/>
        <v>18.567639257294442</v>
      </c>
    </row>
    <row r="54" spans="1:40" x14ac:dyDescent="0.25">
      <c r="A54" t="s">
        <v>1352</v>
      </c>
      <c r="B54">
        <f>EF!$P$7</f>
        <v>23.209549071618053</v>
      </c>
      <c r="C54">
        <f>$B$54-($B$54*C49)</f>
        <v>23.209549071618053</v>
      </c>
      <c r="D54">
        <f t="shared" ref="D54:AN54" si="120">$B$54-($B$54*D49)</f>
        <v>23.209549071618053</v>
      </c>
      <c r="E54">
        <f t="shared" si="120"/>
        <v>23.209549071618053</v>
      </c>
      <c r="F54">
        <f t="shared" si="120"/>
        <v>23.209549071618053</v>
      </c>
      <c r="G54">
        <f t="shared" si="120"/>
        <v>23.209549071618053</v>
      </c>
      <c r="H54">
        <f t="shared" si="120"/>
        <v>23.209549071618053</v>
      </c>
      <c r="I54">
        <f t="shared" si="120"/>
        <v>23.209549071618053</v>
      </c>
      <c r="J54">
        <f t="shared" si="120"/>
        <v>23.209549071618053</v>
      </c>
      <c r="K54">
        <f t="shared" si="120"/>
        <v>22.977453580901873</v>
      </c>
      <c r="L54">
        <f t="shared" si="120"/>
        <v>22.745358090185693</v>
      </c>
      <c r="M54">
        <f t="shared" si="120"/>
        <v>22.51326259946951</v>
      </c>
      <c r="N54">
        <f t="shared" si="120"/>
        <v>22.28116710875333</v>
      </c>
      <c r="O54">
        <f t="shared" si="120"/>
        <v>22.04907161803715</v>
      </c>
      <c r="P54">
        <f t="shared" si="120"/>
        <v>21.81697612732097</v>
      </c>
      <c r="Q54">
        <f t="shared" si="120"/>
        <v>21.58488063660479</v>
      </c>
      <c r="R54">
        <f t="shared" si="120"/>
        <v>21.35278514588861</v>
      </c>
      <c r="S54">
        <f t="shared" si="120"/>
        <v>21.120689655172427</v>
      </c>
      <c r="T54">
        <f t="shared" si="120"/>
        <v>20.888594164456247</v>
      </c>
      <c r="U54">
        <f t="shared" si="120"/>
        <v>20.772546419098155</v>
      </c>
      <c r="V54">
        <f t="shared" si="120"/>
        <v>20.656498673740067</v>
      </c>
      <c r="W54">
        <f t="shared" si="120"/>
        <v>20.540450928381976</v>
      </c>
      <c r="X54">
        <f t="shared" si="120"/>
        <v>20.424403183023887</v>
      </c>
      <c r="Y54">
        <f t="shared" si="120"/>
        <v>20.308355437665796</v>
      </c>
      <c r="Z54">
        <f t="shared" si="120"/>
        <v>20.192307692307704</v>
      </c>
      <c r="AA54">
        <f t="shared" si="120"/>
        <v>20.076259946949616</v>
      </c>
      <c r="AB54">
        <f t="shared" si="120"/>
        <v>19.960212201591524</v>
      </c>
      <c r="AC54">
        <f t="shared" si="120"/>
        <v>19.844164456233436</v>
      </c>
      <c r="AD54">
        <f t="shared" si="120"/>
        <v>19.728116710875344</v>
      </c>
      <c r="AE54">
        <f t="shared" si="120"/>
        <v>19.612068965517253</v>
      </c>
      <c r="AF54">
        <f t="shared" si="120"/>
        <v>19.496021220159164</v>
      </c>
      <c r="AG54">
        <f t="shared" si="120"/>
        <v>19.379973474801073</v>
      </c>
      <c r="AH54">
        <f t="shared" si="120"/>
        <v>19.263925729442985</v>
      </c>
      <c r="AI54">
        <f t="shared" si="120"/>
        <v>19.147877984084893</v>
      </c>
      <c r="AJ54">
        <f t="shared" si="120"/>
        <v>19.031830238726805</v>
      </c>
      <c r="AK54">
        <f t="shared" si="120"/>
        <v>18.915782493368713</v>
      </c>
      <c r="AL54">
        <f t="shared" si="120"/>
        <v>18.799734748010621</v>
      </c>
      <c r="AM54">
        <f t="shared" si="120"/>
        <v>18.683687002652533</v>
      </c>
      <c r="AN54">
        <f t="shared" si="120"/>
        <v>18.567639257294442</v>
      </c>
    </row>
    <row r="55" spans="1:40" x14ac:dyDescent="0.25">
      <c r="A55" t="s">
        <v>1027</v>
      </c>
      <c r="B55">
        <f>EF!$P$9</f>
        <v>9.9469496021220323</v>
      </c>
      <c r="C55">
        <f>$B$55-($B$55*C50)</f>
        <v>9.9469496021220323</v>
      </c>
      <c r="D55">
        <f t="shared" ref="D55:AN55" si="121">$B$55-($B$55*D50)</f>
        <v>9.9469496021220323</v>
      </c>
      <c r="E55">
        <f t="shared" si="121"/>
        <v>9.9469496021220323</v>
      </c>
      <c r="F55">
        <f t="shared" si="121"/>
        <v>9.9469496021220323</v>
      </c>
      <c r="G55">
        <f t="shared" si="121"/>
        <v>9.9469496021220323</v>
      </c>
      <c r="H55">
        <f t="shared" si="121"/>
        <v>9.9469496021220323</v>
      </c>
      <c r="I55">
        <f t="shared" si="121"/>
        <v>9.9469496021220323</v>
      </c>
      <c r="J55">
        <f t="shared" si="121"/>
        <v>9.9469496021220323</v>
      </c>
      <c r="K55">
        <f t="shared" si="121"/>
        <v>9.8474801061008126</v>
      </c>
      <c r="L55">
        <f t="shared" si="121"/>
        <v>9.7480106100795911</v>
      </c>
      <c r="M55">
        <f t="shared" si="121"/>
        <v>9.6485411140583714</v>
      </c>
      <c r="N55">
        <f t="shared" si="121"/>
        <v>9.5490716180371518</v>
      </c>
      <c r="O55">
        <f t="shared" si="121"/>
        <v>9.4496021220159303</v>
      </c>
      <c r="P55">
        <f t="shared" si="121"/>
        <v>9.3501326259947106</v>
      </c>
      <c r="Q55">
        <f t="shared" si="121"/>
        <v>9.2506631299734892</v>
      </c>
      <c r="R55">
        <f t="shared" si="121"/>
        <v>9.1511936339522695</v>
      </c>
      <c r="S55">
        <f t="shared" si="121"/>
        <v>9.0517241379310498</v>
      </c>
      <c r="T55">
        <f t="shared" si="121"/>
        <v>8.9522546419098283</v>
      </c>
      <c r="U55">
        <f t="shared" si="121"/>
        <v>8.9025198938992194</v>
      </c>
      <c r="V55">
        <f t="shared" si="121"/>
        <v>8.8527851458886087</v>
      </c>
      <c r="W55">
        <f t="shared" si="121"/>
        <v>8.8030503978779979</v>
      </c>
      <c r="X55">
        <f t="shared" si="121"/>
        <v>8.753315649867389</v>
      </c>
      <c r="Y55">
        <f t="shared" si="121"/>
        <v>8.7035809018567782</v>
      </c>
      <c r="Z55">
        <f t="shared" si="121"/>
        <v>8.6538461538461675</v>
      </c>
      <c r="AA55">
        <f t="shared" si="121"/>
        <v>8.6041114058355568</v>
      </c>
      <c r="AB55">
        <f t="shared" si="121"/>
        <v>8.5543766578249478</v>
      </c>
      <c r="AC55">
        <f t="shared" si="121"/>
        <v>8.5046419098143371</v>
      </c>
      <c r="AD55">
        <f t="shared" si="121"/>
        <v>8.4549071618037281</v>
      </c>
      <c r="AE55">
        <f t="shared" si="121"/>
        <v>8.4051724137931174</v>
      </c>
      <c r="AF55">
        <f t="shared" si="121"/>
        <v>8.3554376657825067</v>
      </c>
      <c r="AG55">
        <f t="shared" si="121"/>
        <v>8.305702917771896</v>
      </c>
      <c r="AH55">
        <f t="shared" si="121"/>
        <v>8.255968169761287</v>
      </c>
      <c r="AI55">
        <f t="shared" si="121"/>
        <v>8.2062334217506763</v>
      </c>
      <c r="AJ55">
        <f t="shared" si="121"/>
        <v>8.1564986737400655</v>
      </c>
      <c r="AK55">
        <f t="shared" si="121"/>
        <v>8.1067639257294566</v>
      </c>
      <c r="AL55">
        <f t="shared" si="121"/>
        <v>8.0570291777188459</v>
      </c>
      <c r="AM55">
        <f t="shared" si="121"/>
        <v>8.0072944297082351</v>
      </c>
      <c r="AN55">
        <f t="shared" si="121"/>
        <v>7.9575596816976262</v>
      </c>
    </row>
    <row r="56" spans="1:40" x14ac:dyDescent="0.25">
      <c r="A56" t="s">
        <v>1356</v>
      </c>
      <c r="B56">
        <f>B51*EF!$N$4*0.001*365</f>
        <v>122.4391286182849</v>
      </c>
      <c r="C56">
        <f>C51*EF!$N$4*0.001*365</f>
        <v>122.4391286182849</v>
      </c>
      <c r="D56">
        <f>D51*EF!$N$4*0.001*365</f>
        <v>122.4391286182849</v>
      </c>
      <c r="E56">
        <f>E51*EF!$N$4*0.001*365</f>
        <v>122.4391286182849</v>
      </c>
      <c r="F56">
        <f>F51*EF!$N$4*0.001*365</f>
        <v>122.4391286182849</v>
      </c>
      <c r="G56">
        <f>G51*EF!$N$4*0.001*365</f>
        <v>122.4391286182849</v>
      </c>
      <c r="H56">
        <f>H51*EF!$N$4*0.001*365</f>
        <v>122.4391286182849</v>
      </c>
      <c r="I56">
        <f>I51*EF!$N$4*0.001*365</f>
        <v>122.4391286182849</v>
      </c>
      <c r="J56">
        <f>J51*EF!$N$4*0.001*365</f>
        <v>122.4391286182849</v>
      </c>
      <c r="K56">
        <f>K51*EF!$N$4*0.001*365</f>
        <v>121.21473733210205</v>
      </c>
      <c r="L56">
        <f>L51*EF!$N$4*0.001*365</f>
        <v>119.99034604591918</v>
      </c>
      <c r="M56">
        <f>M51*EF!$N$4*0.001*365</f>
        <v>118.76595475973633</v>
      </c>
      <c r="N56">
        <f>N51*EF!$N$4*0.001*365</f>
        <v>117.5415634735535</v>
      </c>
      <c r="O56">
        <f>O51*EF!$N$4*0.001*365</f>
        <v>116.31717218737063</v>
      </c>
      <c r="P56">
        <f>P51*EF!$N$4*0.001*365</f>
        <v>115.09278090118779</v>
      </c>
      <c r="Q56">
        <f>Q51*EF!$N$4*0.001*365</f>
        <v>113.86838961500496</v>
      </c>
      <c r="R56">
        <f>R51*EF!$N$4*0.001*365</f>
        <v>112.64399832882208</v>
      </c>
      <c r="S56">
        <f>S51*EF!$N$4*0.001*365</f>
        <v>111.41960704263926</v>
      </c>
      <c r="T56">
        <f>T51*EF!$N$4*0.001*365</f>
        <v>110.19521575645642</v>
      </c>
      <c r="U56">
        <f>U51*EF!$N$4*0.001*365</f>
        <v>109.58302011336498</v>
      </c>
      <c r="V56">
        <f>V51*EF!$N$4*0.001*365</f>
        <v>108.97082447027353</v>
      </c>
      <c r="W56">
        <f>W51*EF!$N$4*0.001*365</f>
        <v>108.35862882718213</v>
      </c>
      <c r="X56">
        <f>X51*EF!$N$4*0.001*365</f>
        <v>107.74643318409069</v>
      </c>
      <c r="Y56">
        <f>Y51*EF!$N$4*0.001*365</f>
        <v>107.13423754099929</v>
      </c>
      <c r="Z56">
        <f>Z51*EF!$N$4*0.001*365</f>
        <v>106.52204189790785</v>
      </c>
      <c r="AA56">
        <f>AA51*EF!$N$4*0.001*365</f>
        <v>105.90984625481644</v>
      </c>
      <c r="AB56">
        <f>AB51*EF!$N$4*0.001*365</f>
        <v>105.29765061172498</v>
      </c>
      <c r="AC56">
        <f>AC51*EF!$N$4*0.001*365</f>
        <v>104.68545496863356</v>
      </c>
      <c r="AD56">
        <f>AD51*EF!$N$4*0.001*365</f>
        <v>104.07325932554215</v>
      </c>
      <c r="AE56">
        <f>AE51*EF!$N$4*0.001*365</f>
        <v>103.46106368245073</v>
      </c>
      <c r="AF56">
        <f>AF51*EF!$N$4*0.001*365</f>
        <v>102.84886803935932</v>
      </c>
      <c r="AG56">
        <f>AG51*EF!$N$4*0.001*365</f>
        <v>102.23667239626788</v>
      </c>
      <c r="AH56">
        <f>AH51*EF!$N$4*0.001*365</f>
        <v>101.62447675317648</v>
      </c>
      <c r="AI56">
        <f>AI51*EF!$N$4*0.001*365</f>
        <v>101.01228111008503</v>
      </c>
      <c r="AJ56">
        <f>AJ51*EF!$N$4*0.001*365</f>
        <v>100.40008546699359</v>
      </c>
      <c r="AK56">
        <f>AK51*EF!$N$4*0.001*365</f>
        <v>99.787889823902191</v>
      </c>
      <c r="AL56">
        <f>AL51*EF!$N$4*0.001*365</f>
        <v>99.175694180810751</v>
      </c>
      <c r="AM56">
        <f>AM51*EF!$N$4*0.001*365</f>
        <v>98.56349853771934</v>
      </c>
      <c r="AN56">
        <f>AN51*EF!$N$4*0.001*365</f>
        <v>97.951302894627915</v>
      </c>
    </row>
    <row r="57" spans="1:40" x14ac:dyDescent="0.25">
      <c r="A57" t="s">
        <v>1357</v>
      </c>
      <c r="B57">
        <f>B52*EF!$N$5*0.001*365</f>
        <v>118.18998173260263</v>
      </c>
      <c r="C57">
        <f>C52*EF!$N$5*0.001*365</f>
        <v>118.18998173260263</v>
      </c>
      <c r="D57">
        <f>D52*EF!$N$5*0.001*365</f>
        <v>118.18998173260263</v>
      </c>
      <c r="E57">
        <f>E52*EF!$N$5*0.001*365</f>
        <v>118.18998173260263</v>
      </c>
      <c r="F57">
        <f>F52*EF!$N$5*0.001*365</f>
        <v>118.18998173260263</v>
      </c>
      <c r="G57">
        <f>G52*EF!$N$5*0.001*365</f>
        <v>118.18998173260263</v>
      </c>
      <c r="H57">
        <f>H52*EF!$N$5*0.001*365</f>
        <v>118.18998173260263</v>
      </c>
      <c r="I57">
        <f>I52*EF!$N$5*0.001*365</f>
        <v>118.18998173260263</v>
      </c>
      <c r="J57">
        <f>J52*EF!$N$5*0.001*365</f>
        <v>118.18998173260263</v>
      </c>
      <c r="K57">
        <f>K52*EF!$N$5*0.001*365</f>
        <v>117.00808191527661</v>
      </c>
      <c r="L57">
        <f>L52*EF!$N$5*0.001*365</f>
        <v>115.82618209795059</v>
      </c>
      <c r="M57">
        <f>M52*EF!$N$5*0.001*365</f>
        <v>114.64428228062455</v>
      </c>
      <c r="N57">
        <f>N52*EF!$N$5*0.001*365</f>
        <v>113.46238246329854</v>
      </c>
      <c r="O57">
        <f>O52*EF!$N$5*0.001*365</f>
        <v>112.28048264597251</v>
      </c>
      <c r="P57">
        <f>P52*EF!$N$5*0.001*365</f>
        <v>111.09858282864649</v>
      </c>
      <c r="Q57">
        <f>Q52*EF!$N$5*0.001*365</f>
        <v>109.91668301132043</v>
      </c>
      <c r="R57">
        <f>R52*EF!$N$5*0.001*365</f>
        <v>108.73478319399443</v>
      </c>
      <c r="S57">
        <f>S52*EF!$N$5*0.001*365</f>
        <v>107.5528833766684</v>
      </c>
      <c r="T57">
        <f>T52*EF!$N$5*0.001*365</f>
        <v>106.37098355934235</v>
      </c>
      <c r="U57">
        <f>U52*EF!$N$5*0.001*365</f>
        <v>105.78003365067936</v>
      </c>
      <c r="V57">
        <f>V52*EF!$N$5*0.001*365</f>
        <v>105.18908374201635</v>
      </c>
      <c r="W57">
        <f>W52*EF!$N$5*0.001*365</f>
        <v>104.59813383335333</v>
      </c>
      <c r="X57">
        <f>X52*EF!$N$5*0.001*365</f>
        <v>104.00718392469032</v>
      </c>
      <c r="Y57">
        <f>Y52*EF!$N$5*0.001*365</f>
        <v>103.41623401602729</v>
      </c>
      <c r="Z57">
        <f>Z52*EF!$N$5*0.001*365</f>
        <v>102.8252841073643</v>
      </c>
      <c r="AA57">
        <f>AA52*EF!$N$5*0.001*365</f>
        <v>102.23433419870126</v>
      </c>
      <c r="AB57">
        <f>AB52*EF!$N$5*0.001*365</f>
        <v>101.64338429003824</v>
      </c>
      <c r="AC57">
        <f>AC52*EF!$N$5*0.001*365</f>
        <v>101.05243438137526</v>
      </c>
      <c r="AD57">
        <f>AD52*EF!$N$5*0.001*365</f>
        <v>100.46148447271224</v>
      </c>
      <c r="AE57">
        <f>AE52*EF!$N$5*0.001*365</f>
        <v>99.870534564049208</v>
      </c>
      <c r="AF57">
        <f>AF52*EF!$N$5*0.001*365</f>
        <v>99.279584655386216</v>
      </c>
      <c r="AG57">
        <f>AG52*EF!$N$5*0.001*365</f>
        <v>98.68863474672321</v>
      </c>
      <c r="AH57">
        <f>AH52*EF!$N$5*0.001*365</f>
        <v>98.097684838060161</v>
      </c>
      <c r="AI57">
        <f>AI52*EF!$N$5*0.001*365</f>
        <v>97.506734929397183</v>
      </c>
      <c r="AJ57">
        <f>AJ52*EF!$N$5*0.001*365</f>
        <v>96.915785020734177</v>
      </c>
      <c r="AK57">
        <f>AK52*EF!$N$5*0.001*365</f>
        <v>96.324835112071128</v>
      </c>
      <c r="AL57">
        <f>AL52*EF!$N$5*0.001*365</f>
        <v>95.733885203408136</v>
      </c>
      <c r="AM57">
        <f>AM52*EF!$N$5*0.001*365</f>
        <v>95.142935294745129</v>
      </c>
      <c r="AN57">
        <f>AN52*EF!$N$5*0.001*365</f>
        <v>94.551985386082094</v>
      </c>
    </row>
    <row r="58" spans="1:40" x14ac:dyDescent="0.25">
      <c r="A58" t="s">
        <v>1358</v>
      </c>
      <c r="B58">
        <f>B53*EF!$N$6*0.001*365</f>
        <v>43.047475384596716</v>
      </c>
      <c r="C58">
        <f>C53*EF!$N$6*0.001*365</f>
        <v>43.047475384596716</v>
      </c>
      <c r="D58">
        <f>D53*EF!$N$6*0.001*365</f>
        <v>43.047475384596716</v>
      </c>
      <c r="E58">
        <f>E53*EF!$N$6*0.001*365</f>
        <v>43.047475384596716</v>
      </c>
      <c r="F58">
        <f>F53*EF!$N$6*0.001*365</f>
        <v>43.047475384596716</v>
      </c>
      <c r="G58">
        <f>G53*EF!$N$6*0.001*365</f>
        <v>43.047475384596716</v>
      </c>
      <c r="H58">
        <f>H53*EF!$N$6*0.001*365</f>
        <v>43.047475384596716</v>
      </c>
      <c r="I58">
        <f>I53*EF!$N$6*0.001*365</f>
        <v>43.047475384596716</v>
      </c>
      <c r="J58">
        <f>J53*EF!$N$6*0.001*365</f>
        <v>43.047475384596716</v>
      </c>
      <c r="K58">
        <f>K53*EF!$N$6*0.001*365</f>
        <v>42.617000630750752</v>
      </c>
      <c r="L58">
        <f>L53*EF!$N$6*0.001*365</f>
        <v>42.186525876904781</v>
      </c>
      <c r="M58">
        <f>M53*EF!$N$6*0.001*365</f>
        <v>41.756051123058818</v>
      </c>
      <c r="N58">
        <f>N53*EF!$N$6*0.001*365</f>
        <v>41.325576369212847</v>
      </c>
      <c r="O58">
        <f>O53*EF!$N$6*0.001*365</f>
        <v>40.895101615366883</v>
      </c>
      <c r="P58">
        <f>P53*EF!$N$6*0.001*365</f>
        <v>40.464626861520912</v>
      </c>
      <c r="Q58">
        <f>Q53*EF!$N$6*0.001*365</f>
        <v>40.034152107674949</v>
      </c>
      <c r="R58">
        <f>R53*EF!$N$6*0.001*365</f>
        <v>39.603677353828978</v>
      </c>
      <c r="S58">
        <f>S53*EF!$N$6*0.001*365</f>
        <v>39.173202599983007</v>
      </c>
      <c r="T58">
        <f>T53*EF!$N$6*0.001*365</f>
        <v>38.742727846137043</v>
      </c>
      <c r="U58">
        <f>U53*EF!$N$6*0.001*365</f>
        <v>38.527490469214058</v>
      </c>
      <c r="V58">
        <f>V53*EF!$N$6*0.001*365</f>
        <v>38.312253092291073</v>
      </c>
      <c r="W58">
        <f>W53*EF!$N$6*0.001*365</f>
        <v>38.097015715368087</v>
      </c>
      <c r="X58">
        <f>X53*EF!$N$6*0.001*365</f>
        <v>37.881778338445109</v>
      </c>
      <c r="Y58">
        <f>Y53*EF!$N$6*0.001*365</f>
        <v>37.666540961522131</v>
      </c>
      <c r="Z58">
        <f>Z53*EF!$N$6*0.001*365</f>
        <v>37.451303584599138</v>
      </c>
      <c r="AA58">
        <f>AA53*EF!$N$6*0.001*365</f>
        <v>37.23606620767616</v>
      </c>
      <c r="AB58">
        <f>AB53*EF!$N$6*0.001*365</f>
        <v>37.020828830753175</v>
      </c>
      <c r="AC58">
        <f>AC53*EF!$N$6*0.001*365</f>
        <v>36.805591453830196</v>
      </c>
      <c r="AD58">
        <f>AD53*EF!$N$6*0.001*365</f>
        <v>36.590354076907204</v>
      </c>
      <c r="AE58">
        <f>AE53*EF!$N$6*0.001*365</f>
        <v>36.375116699984218</v>
      </c>
      <c r="AF58">
        <f>AF53*EF!$N$6*0.001*365</f>
        <v>36.15987932306124</v>
      </c>
      <c r="AG58">
        <f>AG53*EF!$N$6*0.001*365</f>
        <v>35.944641946138255</v>
      </c>
      <c r="AH58">
        <f>AH53*EF!$N$6*0.001*365</f>
        <v>35.729404569215276</v>
      </c>
      <c r="AI58">
        <f>AI53*EF!$N$6*0.001*365</f>
        <v>35.514167192292291</v>
      </c>
      <c r="AJ58">
        <f>AJ53*EF!$N$6*0.001*365</f>
        <v>35.298929815369313</v>
      </c>
      <c r="AK58">
        <f>AK53*EF!$N$6*0.001*365</f>
        <v>35.08369243844632</v>
      </c>
      <c r="AL58">
        <f>AL53*EF!$N$6*0.001*365</f>
        <v>34.868455061523335</v>
      </c>
      <c r="AM58">
        <f>AM53*EF!$N$6*0.001*365</f>
        <v>34.653217684600357</v>
      </c>
      <c r="AN58">
        <f>AN53*EF!$N$6*0.001*365</f>
        <v>34.437980307677371</v>
      </c>
    </row>
    <row r="59" spans="1:40" x14ac:dyDescent="0.25">
      <c r="A59" t="s">
        <v>1359</v>
      </c>
      <c r="B59">
        <f>B54*EF!$N$7*0.001*365</f>
        <v>77.791201624701472</v>
      </c>
      <c r="C59">
        <f>C54*EF!$N$7*0.001*365</f>
        <v>77.791201624701472</v>
      </c>
      <c r="D59">
        <f>D54*EF!$N$7*0.001*365</f>
        <v>77.791201624701472</v>
      </c>
      <c r="E59">
        <f>E54*EF!$N$7*0.001*365</f>
        <v>77.791201624701472</v>
      </c>
      <c r="F59">
        <f>F54*EF!$N$7*0.001*365</f>
        <v>77.791201624701472</v>
      </c>
      <c r="G59">
        <f>G54*EF!$N$7*0.001*365</f>
        <v>77.791201624701472</v>
      </c>
      <c r="H59">
        <f>H54*EF!$N$7*0.001*365</f>
        <v>77.791201624701472</v>
      </c>
      <c r="I59">
        <f>I54*EF!$N$7*0.001*365</f>
        <v>77.791201624701472</v>
      </c>
      <c r="J59">
        <f>J54*EF!$N$7*0.001*365</f>
        <v>77.791201624701472</v>
      </c>
      <c r="K59">
        <f>K54*EF!$N$7*0.001*365</f>
        <v>77.013289608454457</v>
      </c>
      <c r="L59">
        <f>L54*EF!$N$7*0.001*365</f>
        <v>76.235377592207456</v>
      </c>
      <c r="M59">
        <f>M54*EF!$N$7*0.001*365</f>
        <v>75.457465575960427</v>
      </c>
      <c r="N59">
        <f>N54*EF!$N$7*0.001*365</f>
        <v>74.679553559713412</v>
      </c>
      <c r="O59">
        <f>O54*EF!$N$7*0.001*365</f>
        <v>73.901641543466397</v>
      </c>
      <c r="P59">
        <f>P54*EF!$N$7*0.001*365</f>
        <v>73.123729527219396</v>
      </c>
      <c r="Q59">
        <f>Q54*EF!$N$7*0.001*365</f>
        <v>72.345817510972367</v>
      </c>
      <c r="R59">
        <f>R54*EF!$N$7*0.001*365</f>
        <v>71.567905494725366</v>
      </c>
      <c r="S59">
        <f>S54*EF!$N$7*0.001*365</f>
        <v>70.789993478478337</v>
      </c>
      <c r="T59">
        <f>T54*EF!$N$7*0.001*365</f>
        <v>70.012081462231322</v>
      </c>
      <c r="U59">
        <f>U54*EF!$N$7*0.001*365</f>
        <v>69.623125454107821</v>
      </c>
      <c r="V59">
        <f>V54*EF!$N$7*0.001*365</f>
        <v>69.234169445984321</v>
      </c>
      <c r="W59">
        <f>W54*EF!$N$7*0.001*365</f>
        <v>68.845213437860792</v>
      </c>
      <c r="X59">
        <f>X54*EF!$N$7*0.001*365</f>
        <v>68.456257429737292</v>
      </c>
      <c r="Y59">
        <f>Y54*EF!$N$7*0.001*365</f>
        <v>68.067301421613791</v>
      </c>
      <c r="Z59">
        <f>Z54*EF!$N$7*0.001*365</f>
        <v>67.678345413490277</v>
      </c>
      <c r="AA59">
        <f>AA54*EF!$N$7*0.001*365</f>
        <v>67.289389405366776</v>
      </c>
      <c r="AB59">
        <f>AB54*EF!$N$7*0.001*365</f>
        <v>66.900433397243262</v>
      </c>
      <c r="AC59">
        <f>AC54*EF!$N$7*0.001*365</f>
        <v>66.511477389119761</v>
      </c>
      <c r="AD59">
        <f>AD54*EF!$N$7*0.001*365</f>
        <v>66.122521380996247</v>
      </c>
      <c r="AE59">
        <f>AE54*EF!$N$7*0.001*365</f>
        <v>65.733565372872746</v>
      </c>
      <c r="AF59">
        <f>AF54*EF!$N$7*0.001*365</f>
        <v>65.344609364749246</v>
      </c>
      <c r="AG59">
        <f>AG54*EF!$N$7*0.001*365</f>
        <v>64.955653356625717</v>
      </c>
      <c r="AH59">
        <f>AH54*EF!$N$7*0.001*365</f>
        <v>64.566697348502217</v>
      </c>
      <c r="AI59">
        <f>AI54*EF!$N$7*0.001*365</f>
        <v>64.177741340378716</v>
      </c>
      <c r="AJ59">
        <f>AJ54*EF!$N$7*0.001*365</f>
        <v>63.788785332255223</v>
      </c>
      <c r="AK59">
        <f>AK54*EF!$N$7*0.001*365</f>
        <v>63.399829324131701</v>
      </c>
      <c r="AL59">
        <f>AL54*EF!$N$7*0.001*365</f>
        <v>63.010873316008194</v>
      </c>
      <c r="AM59">
        <f>AM54*EF!$N$7*0.001*365</f>
        <v>62.621917307884694</v>
      </c>
      <c r="AN59">
        <f>AN54*EF!$N$7*0.001*365</f>
        <v>62.232961299761172</v>
      </c>
    </row>
    <row r="60" spans="1:40" x14ac:dyDescent="0.25">
      <c r="A60" t="s">
        <v>1360</v>
      </c>
      <c r="B60">
        <f>B55*EF!$N$9*0.001*365</f>
        <v>58.900292120047261</v>
      </c>
      <c r="C60">
        <f>C55*EF!$N$9*0.001*365</f>
        <v>58.900292120047261</v>
      </c>
      <c r="D60">
        <f>D55*EF!$N$9*0.001*365</f>
        <v>58.900292120047261</v>
      </c>
      <c r="E60">
        <f>E55*EF!$N$9*0.001*365</f>
        <v>58.900292120047261</v>
      </c>
      <c r="F60">
        <f>F55*EF!$N$9*0.001*365</f>
        <v>58.900292120047261</v>
      </c>
      <c r="G60">
        <f>G55*EF!$N$9*0.001*365</f>
        <v>58.900292120047261</v>
      </c>
      <c r="H60">
        <f>H55*EF!$N$9*0.001*365</f>
        <v>58.900292120047261</v>
      </c>
      <c r="I60">
        <f>I55*EF!$N$9*0.001*365</f>
        <v>58.900292120047261</v>
      </c>
      <c r="J60">
        <f>J55*EF!$N$9*0.001*365</f>
        <v>58.900292120047261</v>
      </c>
      <c r="K60">
        <f>K55*EF!$N$9*0.001*365</f>
        <v>58.311289198846787</v>
      </c>
      <c r="L60">
        <f>L55*EF!$N$9*0.001*365</f>
        <v>57.722286277646319</v>
      </c>
      <c r="M60">
        <f>M55*EF!$N$9*0.001*365</f>
        <v>57.133283356445851</v>
      </c>
      <c r="N60">
        <f>N55*EF!$N$9*0.001*365</f>
        <v>56.544280435245383</v>
      </c>
      <c r="O60">
        <f>O55*EF!$N$9*0.001*365</f>
        <v>55.955277514044894</v>
      </c>
      <c r="P60">
        <f>P55*EF!$N$9*0.001*365</f>
        <v>55.36627459284442</v>
      </c>
      <c r="Q60">
        <f>Q55*EF!$N$9*0.001*365</f>
        <v>54.777271671643952</v>
      </c>
      <c r="R60">
        <f>R55*EF!$N$9*0.001*365</f>
        <v>54.188268750443484</v>
      </c>
      <c r="S60">
        <f>S55*EF!$N$9*0.001*365</f>
        <v>53.599265829243016</v>
      </c>
      <c r="T60">
        <f>T55*EF!$N$9*0.001*365</f>
        <v>53.010262908042527</v>
      </c>
      <c r="U60">
        <f>U55*EF!$N$9*0.001*365</f>
        <v>52.715761447442297</v>
      </c>
      <c r="V60">
        <f>V55*EF!$N$9*0.001*365</f>
        <v>52.421259986842067</v>
      </c>
      <c r="W60">
        <f>W55*EF!$N$9*0.001*365</f>
        <v>52.126758526241829</v>
      </c>
      <c r="X60">
        <f>X55*EF!$N$9*0.001*365</f>
        <v>51.832257065641599</v>
      </c>
      <c r="Y60">
        <f>Y55*EF!$N$9*0.001*365</f>
        <v>51.537755605041355</v>
      </c>
      <c r="Z60">
        <f>Z55*EF!$N$9*0.001*365</f>
        <v>51.243254144441117</v>
      </c>
      <c r="AA60">
        <f>AA55*EF!$N$9*0.001*365</f>
        <v>50.94875268384088</v>
      </c>
      <c r="AB60">
        <f>AB55*EF!$N$9*0.001*365</f>
        <v>50.654251223240649</v>
      </c>
      <c r="AC60">
        <f>AC55*EF!$N$9*0.001*365</f>
        <v>50.359749762640398</v>
      </c>
      <c r="AD60">
        <f>AD55*EF!$N$9*0.001*365</f>
        <v>50.065248302040182</v>
      </c>
      <c r="AE60">
        <f>AE55*EF!$N$9*0.001*365</f>
        <v>49.770746841439937</v>
      </c>
      <c r="AF60">
        <f>AF55*EF!$N$9*0.001*365</f>
        <v>49.4762453808397</v>
      </c>
      <c r="AG60">
        <f>AG55*EF!$N$9*0.001*365</f>
        <v>49.181743920239462</v>
      </c>
      <c r="AH60">
        <f>AH55*EF!$N$9*0.001*365</f>
        <v>48.887242459639232</v>
      </c>
      <c r="AI60">
        <f>AI55*EF!$N$9*0.001*365</f>
        <v>48.592740999038988</v>
      </c>
      <c r="AJ60">
        <f>AJ55*EF!$N$9*0.001*365</f>
        <v>48.29823953843875</v>
      </c>
      <c r="AK60">
        <f>AK55*EF!$N$9*0.001*365</f>
        <v>48.00373807783852</v>
      </c>
      <c r="AL60">
        <f>AL55*EF!$N$9*0.001*365</f>
        <v>47.709236617238282</v>
      </c>
      <c r="AM60">
        <f>AM55*EF!$N$9*0.001*365</f>
        <v>47.414735156638045</v>
      </c>
      <c r="AN60">
        <f>AN55*EF!$N$9*0.001*365</f>
        <v>47.120233696037815</v>
      </c>
    </row>
    <row r="61" spans="1:40" x14ac:dyDescent="0.25">
      <c r="A61" t="s">
        <v>1111</v>
      </c>
      <c r="B61">
        <f>'Net zero activities &amp; levers'!$C37/100</f>
        <v>0</v>
      </c>
      <c r="C61">
        <f>B61</f>
        <v>0</v>
      </c>
      <c r="D61">
        <f t="shared" ref="D61:J61" si="122">C61</f>
        <v>0</v>
      </c>
      <c r="E61">
        <f t="shared" si="122"/>
        <v>0</v>
      </c>
      <c r="F61">
        <f t="shared" si="122"/>
        <v>0</v>
      </c>
      <c r="G61">
        <f t="shared" si="122"/>
        <v>0</v>
      </c>
      <c r="H61">
        <f t="shared" si="122"/>
        <v>0</v>
      </c>
      <c r="I61">
        <f t="shared" si="122"/>
        <v>0</v>
      </c>
      <c r="J61">
        <f t="shared" si="122"/>
        <v>0</v>
      </c>
      <c r="K61">
        <f t="shared" ref="K61:K62" si="123">J61+($T61-$J61)/10</f>
        <v>2E-3</v>
      </c>
      <c r="L61">
        <f t="shared" ref="L61:L62" si="124">K61+($T61-$J61)/10</f>
        <v>4.0000000000000001E-3</v>
      </c>
      <c r="M61">
        <f t="shared" ref="M61:M62" si="125">L61+($T61-$J61)/10</f>
        <v>6.0000000000000001E-3</v>
      </c>
      <c r="N61">
        <f t="shared" ref="N61:N62" si="126">M61+($T61-$J61)/10</f>
        <v>8.0000000000000002E-3</v>
      </c>
      <c r="O61">
        <f t="shared" ref="O61:O62" si="127">N61+($T61-$J61)/10</f>
        <v>0.01</v>
      </c>
      <c r="P61">
        <f t="shared" ref="P61:P62" si="128">O61+($T61-$J61)/10</f>
        <v>1.2E-2</v>
      </c>
      <c r="Q61">
        <f t="shared" ref="Q61:Q62" si="129">P61+($T61-$J61)/10</f>
        <v>1.4E-2</v>
      </c>
      <c r="R61">
        <f t="shared" ref="R61:R62" si="130">Q61+($T61-$J61)/10</f>
        <v>1.6E-2</v>
      </c>
      <c r="S61">
        <f t="shared" ref="S61:S62" si="131">R61+($T61-$J61)/10</f>
        <v>1.8000000000000002E-2</v>
      </c>
      <c r="T61">
        <f>'Net zero activities &amp; levers'!$D37/100</f>
        <v>0.02</v>
      </c>
      <c r="U61">
        <f t="shared" ref="U61:U62" si="132">T61+($AD61-$T61)/10</f>
        <v>2.1500000000000002E-2</v>
      </c>
      <c r="V61">
        <f t="shared" ref="V61:V62" si="133">U61+($AD61-$T61)/10</f>
        <v>2.3000000000000003E-2</v>
      </c>
      <c r="W61">
        <f t="shared" ref="W61:W62" si="134">V61+($AD61-$T61)/10</f>
        <v>2.4500000000000004E-2</v>
      </c>
      <c r="X61">
        <f t="shared" ref="X61:X62" si="135">W61+($AD61-$T61)/10</f>
        <v>2.6000000000000006E-2</v>
      </c>
      <c r="Y61">
        <f t="shared" ref="Y61:Y62" si="136">X61+($AD61-$T61)/10</f>
        <v>2.7500000000000007E-2</v>
      </c>
      <c r="Z61">
        <f t="shared" ref="Z61:Z62" si="137">Y61+($AD61-$T61)/10</f>
        <v>2.9000000000000008E-2</v>
      </c>
      <c r="AA61">
        <f t="shared" ref="AA61:AA62" si="138">Z61+($AD61-$T61)/10</f>
        <v>3.050000000000001E-2</v>
      </c>
      <c r="AB61">
        <f t="shared" ref="AB61:AB62" si="139">AA61+($AD61-$T61)/10</f>
        <v>3.2000000000000008E-2</v>
      </c>
      <c r="AC61">
        <f t="shared" ref="AC61:AC62" si="140">AB61+($AD61-$T61)/10</f>
        <v>3.3500000000000009E-2</v>
      </c>
      <c r="AD61">
        <f>'Net zero activities &amp; levers'!$E37/100</f>
        <v>3.5000000000000003E-2</v>
      </c>
      <c r="AE61">
        <f t="shared" ref="AE61:AE62" si="141">AD61+($AN61-$AD61)/10</f>
        <v>3.6500000000000005E-2</v>
      </c>
      <c r="AF61">
        <f t="shared" ref="AF61:AF62" si="142">AE61+($AN61-$AD61)/10</f>
        <v>3.8000000000000006E-2</v>
      </c>
      <c r="AG61">
        <f t="shared" ref="AG61:AG62" si="143">AF61+($AN61-$AD61)/10</f>
        <v>3.9500000000000007E-2</v>
      </c>
      <c r="AH61">
        <f t="shared" ref="AH61:AH62" si="144">AG61+($AN61-$AD61)/10</f>
        <v>4.1000000000000009E-2</v>
      </c>
      <c r="AI61">
        <f t="shared" ref="AI61:AI62" si="145">AH61+($AN61-$AD61)/10</f>
        <v>4.250000000000001E-2</v>
      </c>
      <c r="AJ61">
        <f t="shared" ref="AJ61:AJ62" si="146">AI61+($AN61-$AD61)/10</f>
        <v>4.4000000000000011E-2</v>
      </c>
      <c r="AK61">
        <f t="shared" ref="AK61:AK62" si="147">AJ61+($AN61-$AD61)/10</f>
        <v>4.5500000000000013E-2</v>
      </c>
      <c r="AL61">
        <f t="shared" ref="AL61:AL62" si="148">AK61+($AN61-$AD61)/10</f>
        <v>4.7000000000000014E-2</v>
      </c>
      <c r="AM61">
        <f t="shared" ref="AM61:AM62" si="149">AL61+($AN61-$AD61)/10</f>
        <v>4.8500000000000015E-2</v>
      </c>
      <c r="AN61">
        <f>'Net zero activities &amp; levers'!$F37/100</f>
        <v>0.05</v>
      </c>
    </row>
    <row r="62" spans="1:40" x14ac:dyDescent="0.25">
      <c r="A62" t="s">
        <v>1362</v>
      </c>
      <c r="B62">
        <f>'Net zero activities &amp; levers'!$C38/100</f>
        <v>0</v>
      </c>
      <c r="C62">
        <f>B62</f>
        <v>0</v>
      </c>
      <c r="D62">
        <f t="shared" ref="D62:J62" si="150">C62</f>
        <v>0</v>
      </c>
      <c r="E62">
        <f t="shared" si="150"/>
        <v>0</v>
      </c>
      <c r="F62">
        <f t="shared" si="150"/>
        <v>0</v>
      </c>
      <c r="G62">
        <f t="shared" si="150"/>
        <v>0</v>
      </c>
      <c r="H62">
        <f t="shared" si="150"/>
        <v>0</v>
      </c>
      <c r="I62">
        <f t="shared" si="150"/>
        <v>0</v>
      </c>
      <c r="J62">
        <f t="shared" si="150"/>
        <v>0</v>
      </c>
      <c r="K62">
        <f t="shared" si="123"/>
        <v>2E-3</v>
      </c>
      <c r="L62">
        <f t="shared" si="124"/>
        <v>4.0000000000000001E-3</v>
      </c>
      <c r="M62">
        <f t="shared" si="125"/>
        <v>6.0000000000000001E-3</v>
      </c>
      <c r="N62">
        <f t="shared" si="126"/>
        <v>8.0000000000000002E-3</v>
      </c>
      <c r="O62">
        <f t="shared" si="127"/>
        <v>0.01</v>
      </c>
      <c r="P62">
        <f t="shared" si="128"/>
        <v>1.2E-2</v>
      </c>
      <c r="Q62">
        <f t="shared" si="129"/>
        <v>1.4E-2</v>
      </c>
      <c r="R62">
        <f t="shared" si="130"/>
        <v>1.6E-2</v>
      </c>
      <c r="S62">
        <f t="shared" si="131"/>
        <v>1.8000000000000002E-2</v>
      </c>
      <c r="T62">
        <f>'Net zero activities &amp; levers'!$D38/100</f>
        <v>0.02</v>
      </c>
      <c r="U62">
        <f t="shared" si="132"/>
        <v>2.1500000000000002E-2</v>
      </c>
      <c r="V62">
        <f t="shared" si="133"/>
        <v>2.3000000000000003E-2</v>
      </c>
      <c r="W62">
        <f t="shared" si="134"/>
        <v>2.4500000000000004E-2</v>
      </c>
      <c r="X62">
        <f t="shared" si="135"/>
        <v>2.6000000000000006E-2</v>
      </c>
      <c r="Y62">
        <f t="shared" si="136"/>
        <v>2.7500000000000007E-2</v>
      </c>
      <c r="Z62">
        <f t="shared" si="137"/>
        <v>2.9000000000000008E-2</v>
      </c>
      <c r="AA62">
        <f t="shared" si="138"/>
        <v>3.050000000000001E-2</v>
      </c>
      <c r="AB62">
        <f t="shared" si="139"/>
        <v>3.2000000000000008E-2</v>
      </c>
      <c r="AC62">
        <f t="shared" si="140"/>
        <v>3.3500000000000009E-2</v>
      </c>
      <c r="AD62">
        <f>'Net zero activities &amp; levers'!$E38/100</f>
        <v>3.5000000000000003E-2</v>
      </c>
      <c r="AE62">
        <f t="shared" si="141"/>
        <v>3.6500000000000005E-2</v>
      </c>
      <c r="AF62">
        <f t="shared" si="142"/>
        <v>3.8000000000000006E-2</v>
      </c>
      <c r="AG62">
        <f t="shared" si="143"/>
        <v>3.9500000000000007E-2</v>
      </c>
      <c r="AH62">
        <f t="shared" si="144"/>
        <v>4.1000000000000009E-2</v>
      </c>
      <c r="AI62">
        <f t="shared" si="145"/>
        <v>4.250000000000001E-2</v>
      </c>
      <c r="AJ62">
        <f t="shared" si="146"/>
        <v>4.4000000000000011E-2</v>
      </c>
      <c r="AK62">
        <f t="shared" si="147"/>
        <v>4.5500000000000013E-2</v>
      </c>
      <c r="AL62">
        <f t="shared" si="148"/>
        <v>4.7000000000000014E-2</v>
      </c>
      <c r="AM62">
        <f t="shared" si="149"/>
        <v>4.8500000000000015E-2</v>
      </c>
      <c r="AN62">
        <f>'Net zero activities &amp; levers'!$F38/100</f>
        <v>0.05</v>
      </c>
    </row>
    <row r="63" spans="1:40" x14ac:dyDescent="0.25">
      <c r="A63" t="s">
        <v>840</v>
      </c>
      <c r="B63">
        <f>'Intermediate calculations'!Y16-('Intermediate calculations'!Y16*B61)</f>
        <v>0.59036032260533733</v>
      </c>
      <c r="C63">
        <f>'Intermediate calculations'!Z16-('Intermediate calculations'!Z16*C61)</f>
        <v>0.58537997662592556</v>
      </c>
      <c r="D63">
        <f>'Intermediate calculations'!AA16-('Intermediate calculations'!AA16*D61)</f>
        <v>0.58070166069623075</v>
      </c>
      <c r="E63">
        <f>'Intermediate calculations'!AB16-('Intermediate calculations'!AB16*E61)</f>
        <v>0.57629082711126922</v>
      </c>
      <c r="F63">
        <f>'Intermediate calculations'!AC16-('Intermediate calculations'!AC16*F61)</f>
        <v>0.57211853646492172</v>
      </c>
      <c r="G63">
        <f>'Intermediate calculations'!AD16-('Intermediate calculations'!AD16*G61)</f>
        <v>0.56816030581489985</v>
      </c>
      <c r="H63">
        <f>'Intermediate calculations'!AE16-('Intermediate calculations'!AE16*H61)</f>
        <v>0.56439523816734538</v>
      </c>
      <c r="I63">
        <f>'Intermediate calculations'!AF16-('Intermediate calculations'!AF16*I61)</f>
        <v>0.56080535465675874</v>
      </c>
      <c r="J63">
        <f>'Intermediate calculations'!AG16-('Intermediate calculations'!AG16*J61)</f>
        <v>0.5573750752965374</v>
      </c>
      <c r="K63">
        <f>'Intermediate calculations'!AH16-('Intermediate calculations'!AH16*K61)</f>
        <v>0.5529826287001901</v>
      </c>
      <c r="L63">
        <f>'Intermediate calculations'!AI16-('Intermediate calculations'!AI16*L61)</f>
        <v>0.5487368724638586</v>
      </c>
      <c r="M63">
        <f>'Intermediate calculations'!AJ16-('Intermediate calculations'!AJ16*M61)</f>
        <v>0.5446265441251249</v>
      </c>
      <c r="N63">
        <f>'Intermediate calculations'!AK16-('Intermediate calculations'!AK16*N61)</f>
        <v>0.54064164751972599</v>
      </c>
      <c r="O63">
        <f>'Intermediate calculations'!AL16-('Intermediate calculations'!AL16*O61)</f>
        <v>0.53677326916313883</v>
      </c>
      <c r="P63">
        <f>'Intermediate calculations'!AM16-('Intermediate calculations'!AM16*P61)</f>
        <v>0.53301342679603991</v>
      </c>
      <c r="Q63">
        <f>'Intermediate calculations'!AN16-('Intermediate calculations'!AN16*Q61)</f>
        <v>0.52935494355666879</v>
      </c>
      <c r="R63">
        <f>'Intermediate calculations'!AO16-('Intermediate calculations'!AO16*R61)</f>
        <v>0.52579134274303252</v>
      </c>
      <c r="S63">
        <f>'Intermediate calculations'!AP16-('Intermediate calculations'!AP16*S61)</f>
        <v>0.52231675924684706</v>
      </c>
      <c r="T63">
        <f>'Intermediate calculations'!AQ16-('Intermediate calculations'!AQ16*T61)</f>
        <v>0.51892586458463175</v>
      </c>
      <c r="U63">
        <f>'Intermediate calculations'!AR16-('Intermediate calculations'!AR16*U61)</f>
        <v>0.51587740933228432</v>
      </c>
      <c r="V63">
        <f>'Intermediate calculations'!AS16-('Intermediate calculations'!AS16*V61)</f>
        <v>0.51290111290286688</v>
      </c>
      <c r="W63">
        <f>'Intermediate calculations'!AT16-('Intermediate calculations'!AT16*W61)</f>
        <v>0.50999300373735235</v>
      </c>
      <c r="X63">
        <f>'Intermediate calculations'!AU16-('Intermediate calculations'!AU16*X61)</f>
        <v>0.5071494341995284</v>
      </c>
      <c r="Y63">
        <f>'Intermediate calculations'!AV16-('Intermediate calculations'!AV16*Y61)</f>
        <v>0.50436704615173222</v>
      </c>
      <c r="Z63">
        <f>'Intermediate calculations'!AW16-('Intermediate calculations'!AW16*Z61)</f>
        <v>0.50164274099209616</v>
      </c>
      <c r="AA63">
        <f>'Intermediate calculations'!AX16-('Intermediate calculations'!AX16*AA61)</f>
        <v>0.49897365347642769</v>
      </c>
      <c r="AB63">
        <f>'Intermediate calculations'!AY16-('Intermediate calculations'!AY16*AB61)</f>
        <v>0.49635712876474869</v>
      </c>
      <c r="AC63">
        <f>'Intermediate calculations'!AZ16-('Intermediate calculations'!AZ16*AC61)</f>
        <v>0.4937907022269083</v>
      </c>
      <c r="AD63">
        <f>'Intermediate calculations'!BA16-('Intermediate calculations'!BA16*AD61)</f>
        <v>0.49127208161829822</v>
      </c>
      <c r="AE63">
        <f>'Intermediate calculations'!BB16-('Intermediate calculations'!BB16*AE61)</f>
        <v>0.48879913129924263</v>
      </c>
      <c r="AF63">
        <f>'Intermediate calculations'!BC16-('Intermediate calculations'!BC16*AF61)</f>
        <v>0.48636985822293316</v>
      </c>
      <c r="AG63">
        <f>'Intermediate calculations'!BD16-('Intermediate calculations'!BD16*AG61)</f>
        <v>0.48398239945906635</v>
      </c>
      <c r="AH63">
        <f>'Intermediate calculations'!BE16-('Intermediate calculations'!BE16*AH61)</f>
        <v>0.48163501105535744</v>
      </c>
      <c r="AI63">
        <f>'Intermediate calculations'!BF16-('Intermediate calculations'!BF16*AI61)</f>
        <v>0.47932605806822493</v>
      </c>
      <c r="AJ63">
        <f>'Intermediate calculations'!BG16-('Intermediate calculations'!BG16*AJ61)</f>
        <v>0.47705400561826306</v>
      </c>
      <c r="AK63">
        <f>'Intermediate calculations'!BH16-('Intermediate calculations'!BH16*AK61)</f>
        <v>0.47481741084651313</v>
      </c>
      <c r="AL63">
        <f>'Intermediate calculations'!BI16-('Intermediate calculations'!BI16*AL61)</f>
        <v>0.47261491566471203</v>
      </c>
      <c r="AM63">
        <f>'Intermediate calculations'!BJ16-('Intermediate calculations'!BJ16*AM61)</f>
        <v>0.47044524020719375</v>
      </c>
      <c r="AN63">
        <f>'Intermediate calculations'!BK16-('Intermediate calculations'!BK16*AN61)</f>
        <v>0.4683071769044167</v>
      </c>
    </row>
    <row r="64" spans="1:40" x14ac:dyDescent="0.25">
      <c r="A64" t="s">
        <v>1364</v>
      </c>
      <c r="B64">
        <f>'Intermediate calculations'!Y11-('Intermediate calculations'!Y11*B62)</f>
        <v>40.8467048596981</v>
      </c>
      <c r="C64">
        <f>'Intermediate calculations'!Z11-('Intermediate calculations'!Z11*C62)</f>
        <v>40.12921467335272</v>
      </c>
      <c r="D64">
        <f>'Intermediate calculations'!AA11-('Intermediate calculations'!AA11*D62)</f>
        <v>39.455236242525764</v>
      </c>
      <c r="E64">
        <f>'Intermediate calculations'!AB11-('Intermediate calculations'!AB11*E62)</f>
        <v>38.819792475386876</v>
      </c>
      <c r="F64">
        <f>'Intermediate calculations'!AC11-('Intermediate calculations'!AC11*F62)</f>
        <v>38.218714235901089</v>
      </c>
      <c r="G64">
        <f>'Intermediate calculations'!AD11-('Intermediate calculations'!AD11*G62)</f>
        <v>37.648474405491221</v>
      </c>
      <c r="H64">
        <f>'Intermediate calculations'!AE11-('Intermediate calculations'!AE11*H62)</f>
        <v>37.106062472823481</v>
      </c>
      <c r="I64">
        <f>'Intermediate calculations'!AF11-('Intermediate calculations'!AF11*I62)</f>
        <v>36.588888324758926</v>
      </c>
      <c r="J64">
        <f>'Intermediate calculations'!AG11-('Intermediate calculations'!AG11*J62)</f>
        <v>36.094707441029918</v>
      </c>
      <c r="K64">
        <f>'Intermediate calculations'!AH11-('Intermediate calculations'!AH11*K62)</f>
        <v>35.550318897137629</v>
      </c>
      <c r="L64">
        <f>'Intermediate calculations'!AI11-('Intermediate calculations'!AI11*L62)</f>
        <v>35.027063201079208</v>
      </c>
      <c r="M64">
        <f>'Intermediate calculations'!AJ11-('Intermediate calculations'!AJ11*M62)</f>
        <v>34.523317833798231</v>
      </c>
      <c r="N64">
        <f>'Intermediate calculations'!AK11-('Intermediate calculations'!AK11*N62)</f>
        <v>34.037642704628432</v>
      </c>
      <c r="O64">
        <f>'Intermediate calculations'!AL11-('Intermediate calculations'!AL11*O62)</f>
        <v>33.568753698430434</v>
      </c>
      <c r="P64">
        <f>'Intermediate calculations'!AM11-('Intermediate calculations'!AM11*P62)</f>
        <v>33.115500856395542</v>
      </c>
      <c r="Q64">
        <f>'Intermediate calculations'!AN11-('Intermediate calculations'!AN11*Q62)</f>
        <v>32.676850248772034</v>
      </c>
      <c r="R64">
        <f>'Intermediate calculations'!AO11-('Intermediate calculations'!AO11*R62)</f>
        <v>32.251868813853186</v>
      </c>
      <c r="S64">
        <f>'Intermediate calculations'!AP11-('Intermediate calculations'!AP11*S62)</f>
        <v>31.839711598767597</v>
      </c>
      <c r="T64">
        <f>'Intermediate calculations'!AQ11-('Intermediate calculations'!AQ11*T62)</f>
        <v>31.43961095913448</v>
      </c>
      <c r="U64">
        <f>'Intermediate calculations'!AR11-('Intermediate calculations'!AR11*U62)</f>
        <v>31.066742043719014</v>
      </c>
      <c r="V64">
        <f>'Intermediate calculations'!AS11-('Intermediate calculations'!AS11*V62)</f>
        <v>30.704268640487744</v>
      </c>
      <c r="W64">
        <f>'Intermediate calculations'!AT11-('Intermediate calculations'!AT11*W62)</f>
        <v>30.35161858946659</v>
      </c>
      <c r="X64">
        <f>'Intermediate calculations'!AU11-('Intermediate calculations'!AU11*X62)</f>
        <v>30.008266396403471</v>
      </c>
      <c r="Y64">
        <f>'Intermediate calculations'!AV11-('Intermediate calculations'!AV11*Y62)</f>
        <v>29.673728273459638</v>
      </c>
      <c r="Z64">
        <f>'Intermediate calculations'!AW11-('Intermediate calculations'!AW11*Z62)</f>
        <v>29.347557822645797</v>
      </c>
      <c r="AA64">
        <f>'Intermediate calculations'!AX11-('Intermediate calculations'!AX11*AA62)</f>
        <v>29.029342264488708</v>
      </c>
      <c r="AB64">
        <f>'Intermediate calculations'!AY11-('Intermediate calculations'!AY11*AB62)</f>
        <v>28.71869913125655</v>
      </c>
      <c r="AC64">
        <f>'Intermediate calculations'!AZ11-('Intermediate calculations'!AZ11*AC62)</f>
        <v>28.415273357668003</v>
      </c>
      <c r="AD64">
        <f>'Intermediate calculations'!BA11-('Intermediate calculations'!BA11*AD62)</f>
        <v>28.118734713048745</v>
      </c>
      <c r="AE64">
        <f>'Intermediate calculations'!BB11-('Intermediate calculations'!BB11*AE62)</f>
        <v>27.82877552790848</v>
      </c>
      <c r="AF64">
        <f>'Intermediate calculations'!BC11-('Intermediate calculations'!BC11*AF62)</f>
        <v>27.545108675302227</v>
      </c>
      <c r="AG64">
        <f>'Intermediate calculations'!BD11-('Intermediate calculations'!BD11*AG62)</f>
        <v>27.267465773431621</v>
      </c>
      <c r="AH64">
        <f>'Intermediate calculations'!BE11-('Intermediate calculations'!BE11*AH62)</f>
        <v>26.99559558098634</v>
      </c>
      <c r="AI64">
        <f>'Intermediate calculations'!BF11-('Intermediate calculations'!BF11*AI62)</f>
        <v>26.729262560921363</v>
      </c>
      <c r="AJ64">
        <f>'Intermediate calculations'!BG11-('Intermediate calculations'!BG11*AJ62)</f>
        <v>26.468245591869742</v>
      </c>
      <c r="AK64">
        <f>'Intermediate calculations'!BH11-('Intermediate calculations'!BH11*AK62)</f>
        <v>26.212336809328239</v>
      </c>
      <c r="AL64">
        <f>'Intermediate calculations'!BI11-('Intermediate calculations'!BI11*AL62)</f>
        <v>25.961340561226681</v>
      </c>
      <c r="AM64">
        <f>'Intermediate calculations'!BJ11-('Intermediate calculations'!BJ11*AM62)</f>
        <v>25.715072464580622</v>
      </c>
      <c r="AN64">
        <f>'Intermediate calculations'!BK11-('Intermediate calculations'!BK11*AN62)</f>
        <v>25.473358551698066</v>
      </c>
    </row>
    <row r="65" spans="1:40" x14ac:dyDescent="0.25">
      <c r="A65" t="s">
        <v>849</v>
      </c>
      <c r="B65">
        <f>'Intermediate calculations'!Y64</f>
        <v>0.57999999999999996</v>
      </c>
      <c r="C65">
        <f>'Intermediate calculations'!Y64-('Intermediate calculations'!Y64*C62)</f>
        <v>0.57999999999999996</v>
      </c>
      <c r="D65">
        <f>'Intermediate calculations'!Z64-('Intermediate calculations'!Z64*D62)</f>
        <v>0.57999999999999996</v>
      </c>
      <c r="E65">
        <f>'Intermediate calculations'!AA64-('Intermediate calculations'!AA64*E62)</f>
        <v>0.57999999999999996</v>
      </c>
      <c r="F65">
        <f>'Intermediate calculations'!AB64-('Intermediate calculations'!AB64*F62)</f>
        <v>0.57999999999999996</v>
      </c>
      <c r="G65">
        <f>'Intermediate calculations'!AC64-('Intermediate calculations'!AC64*G62)</f>
        <v>0.57999999999999996</v>
      </c>
      <c r="H65">
        <f>'Intermediate calculations'!AD64-('Intermediate calculations'!AD64*H62)</f>
        <v>0.57999999999999996</v>
      </c>
      <c r="I65">
        <f>'Intermediate calculations'!AE64-('Intermediate calculations'!AE64*I62)</f>
        <v>0.57999999999999996</v>
      </c>
      <c r="J65">
        <f>'Intermediate calculations'!AF64-('Intermediate calculations'!AF64*J62)</f>
        <v>0.57999999999999996</v>
      </c>
      <c r="K65">
        <f>'Intermediate calculations'!AG64-('Intermediate calculations'!AG64*K62)</f>
        <v>0.57883999999999991</v>
      </c>
      <c r="L65">
        <f>'Intermediate calculations'!AH64-('Intermediate calculations'!AH64*L62)</f>
        <v>0.57767999999999997</v>
      </c>
      <c r="M65">
        <f>'Intermediate calculations'!AI64-('Intermediate calculations'!AI64*M62)</f>
        <v>0.57651999999999992</v>
      </c>
      <c r="N65">
        <f>'Intermediate calculations'!AJ64-('Intermediate calculations'!AJ64*N62)</f>
        <v>0.57535999999999998</v>
      </c>
      <c r="O65">
        <f>'Intermediate calculations'!AK64-('Intermediate calculations'!AK64*O62)</f>
        <v>0.57419999999999993</v>
      </c>
      <c r="P65">
        <f>'Intermediate calculations'!AL64-('Intermediate calculations'!AL64*P62)</f>
        <v>0.57303999999999999</v>
      </c>
      <c r="Q65">
        <f>'Intermediate calculations'!AM64-('Intermediate calculations'!AM64*Q62)</f>
        <v>0.57187999999999994</v>
      </c>
      <c r="R65">
        <f>'Intermediate calculations'!AN64-('Intermediate calculations'!AN64*R62)</f>
        <v>0.57072000000000001</v>
      </c>
      <c r="S65">
        <f>'Intermediate calculations'!AO64-('Intermediate calculations'!AO64*S62)</f>
        <v>0.56955999999999996</v>
      </c>
      <c r="T65">
        <f>'Intermediate calculations'!AP64-('Intermediate calculations'!AP64*T62)</f>
        <v>0.56840000000000002</v>
      </c>
      <c r="U65">
        <f>'Intermediate calculations'!AQ64-('Intermediate calculations'!AQ64*U62)</f>
        <v>0.56752999999999998</v>
      </c>
      <c r="V65">
        <f>'Intermediate calculations'!AR64-('Intermediate calculations'!AR64*V62)</f>
        <v>0.56665999999999994</v>
      </c>
      <c r="W65">
        <f>'Intermediate calculations'!AS64-('Intermediate calculations'!AS64*W62)</f>
        <v>0.5657899999999999</v>
      </c>
      <c r="X65">
        <f>'Intermediate calculations'!AT64-('Intermediate calculations'!AT64*X62)</f>
        <v>0.56491999999999998</v>
      </c>
      <c r="Y65">
        <f>'Intermediate calculations'!AU64-('Intermediate calculations'!AU64*Y62)</f>
        <v>0.56404999999999994</v>
      </c>
      <c r="Z65">
        <f>'Intermediate calculations'!AV64-('Intermediate calculations'!AV64*Z62)</f>
        <v>0.5631799999999999</v>
      </c>
      <c r="AA65">
        <f>'Intermediate calculations'!AW64-('Intermediate calculations'!AW64*AA62)</f>
        <v>0.56230999999999998</v>
      </c>
      <c r="AB65">
        <f>'Intermediate calculations'!AX64-('Intermediate calculations'!AX64*AB62)</f>
        <v>0.56143999999999994</v>
      </c>
      <c r="AC65">
        <f>'Intermediate calculations'!AY64-('Intermediate calculations'!AY64*AC62)</f>
        <v>0.56057000000000001</v>
      </c>
      <c r="AD65">
        <f>'Intermediate calculations'!AZ64-('Intermediate calculations'!AZ64*AD62)</f>
        <v>0.55969999999999998</v>
      </c>
      <c r="AE65">
        <f>'Intermediate calculations'!BA64-('Intermediate calculations'!BA64*AE62)</f>
        <v>0.55882999999999994</v>
      </c>
      <c r="AF65">
        <f>'Intermediate calculations'!BB64-('Intermediate calculations'!BB64*AF62)</f>
        <v>0.55796000000000001</v>
      </c>
      <c r="AG65">
        <f>'Intermediate calculations'!BC64-('Intermediate calculations'!BC64*AG62)</f>
        <v>0.55708999999999997</v>
      </c>
      <c r="AH65">
        <f>'Intermediate calculations'!BD64-('Intermediate calculations'!BD64*AH62)</f>
        <v>0.55621999999999994</v>
      </c>
      <c r="AI65">
        <f>'Intermediate calculations'!BE64-('Intermediate calculations'!BE64*AI62)</f>
        <v>0.55535000000000001</v>
      </c>
      <c r="AJ65">
        <f>'Intermediate calculations'!BF64-('Intermediate calculations'!BF64*AJ62)</f>
        <v>0.55447999999999997</v>
      </c>
      <c r="AK65">
        <f>'Intermediate calculations'!BG64-('Intermediate calculations'!BG64*AK62)</f>
        <v>0.55360999999999994</v>
      </c>
      <c r="AL65">
        <f>'Intermediate calculations'!BH64-('Intermediate calculations'!BH64*AL62)</f>
        <v>0.55274000000000001</v>
      </c>
      <c r="AM65">
        <f>'Intermediate calculations'!BI64-('Intermediate calculations'!BI64*AM62)</f>
        <v>0.55186999999999997</v>
      </c>
      <c r="AN65">
        <f>'Intermediate calculations'!BJ64-('Intermediate calculations'!BJ64*AN62)</f>
        <v>0.55099999999999993</v>
      </c>
    </row>
    <row r="66" spans="1:40" x14ac:dyDescent="0.25">
      <c r="A66" t="s">
        <v>1029</v>
      </c>
      <c r="B66">
        <f>'Net zero activities &amp; levers'!$C39/100</f>
        <v>0</v>
      </c>
      <c r="C66">
        <f>B66</f>
        <v>0</v>
      </c>
      <c r="D66">
        <f t="shared" ref="D66:J66" si="151">C66</f>
        <v>0</v>
      </c>
      <c r="E66">
        <f t="shared" si="151"/>
        <v>0</v>
      </c>
      <c r="F66">
        <f t="shared" si="151"/>
        <v>0</v>
      </c>
      <c r="G66">
        <f t="shared" si="151"/>
        <v>0</v>
      </c>
      <c r="H66">
        <f t="shared" si="151"/>
        <v>0</v>
      </c>
      <c r="I66">
        <f t="shared" si="151"/>
        <v>0</v>
      </c>
      <c r="J66">
        <f t="shared" si="151"/>
        <v>0</v>
      </c>
      <c r="K66">
        <f t="shared" ref="K66:K70" si="152">J66+($T66-$J66)/10</f>
        <v>0.04</v>
      </c>
      <c r="L66">
        <f t="shared" ref="L66:L70" si="153">K66+($T66-$J66)/10</f>
        <v>0.08</v>
      </c>
      <c r="M66">
        <f t="shared" ref="M66:M70" si="154">L66+($T66-$J66)/10</f>
        <v>0.12</v>
      </c>
      <c r="N66">
        <f t="shared" ref="N66:N70" si="155">M66+($T66-$J66)/10</f>
        <v>0.16</v>
      </c>
      <c r="O66">
        <f t="shared" ref="O66:O70" si="156">N66+($T66-$J66)/10</f>
        <v>0.2</v>
      </c>
      <c r="P66">
        <f t="shared" ref="P66:P70" si="157">O66+($T66-$J66)/10</f>
        <v>0.24000000000000002</v>
      </c>
      <c r="Q66">
        <f t="shared" ref="Q66:Q70" si="158">P66+($T66-$J66)/10</f>
        <v>0.28000000000000003</v>
      </c>
      <c r="R66">
        <f t="shared" ref="R66:R70" si="159">Q66+($T66-$J66)/10</f>
        <v>0.32</v>
      </c>
      <c r="S66">
        <f t="shared" ref="S66:S70" si="160">R66+($T66-$J66)/10</f>
        <v>0.36</v>
      </c>
      <c r="T66">
        <f>'Net zero activities &amp; levers'!$D39/100</f>
        <v>0.4</v>
      </c>
      <c r="U66">
        <f t="shared" ref="U66:U70" si="161">T66+($AD66-$T66)/10</f>
        <v>0.42000000000000004</v>
      </c>
      <c r="V66">
        <f t="shared" ref="V66:V70" si="162">U66+($AD66-$T66)/10</f>
        <v>0.44000000000000006</v>
      </c>
      <c r="W66">
        <f t="shared" ref="W66:W70" si="163">V66+($AD66-$T66)/10</f>
        <v>0.46000000000000008</v>
      </c>
      <c r="X66">
        <f t="shared" ref="X66:X70" si="164">W66+($AD66-$T66)/10</f>
        <v>0.48000000000000009</v>
      </c>
      <c r="Y66">
        <f t="shared" ref="Y66:Y70" si="165">X66+($AD66-$T66)/10</f>
        <v>0.50000000000000011</v>
      </c>
      <c r="Z66">
        <f t="shared" ref="Z66:Z70" si="166">Y66+($AD66-$T66)/10</f>
        <v>0.52000000000000013</v>
      </c>
      <c r="AA66">
        <f t="shared" ref="AA66:AA70" si="167">Z66+($AD66-$T66)/10</f>
        <v>0.54000000000000015</v>
      </c>
      <c r="AB66">
        <f t="shared" ref="AB66:AB70" si="168">AA66+($AD66-$T66)/10</f>
        <v>0.56000000000000016</v>
      </c>
      <c r="AC66">
        <f t="shared" ref="AC66:AC70" si="169">AB66+($AD66-$T66)/10</f>
        <v>0.58000000000000018</v>
      </c>
      <c r="AD66">
        <f>'Net zero activities &amp; levers'!$E39/100</f>
        <v>0.6</v>
      </c>
      <c r="AE66">
        <f t="shared" ref="AE66:AE70" si="170">AD66+($AN66-$AD66)/10</f>
        <v>0.62</v>
      </c>
      <c r="AF66">
        <f t="shared" ref="AF66:AF70" si="171">AE66+($AN66-$AD66)/10</f>
        <v>0.64</v>
      </c>
      <c r="AG66">
        <f t="shared" ref="AG66:AG70" si="172">AF66+($AN66-$AD66)/10</f>
        <v>0.66</v>
      </c>
      <c r="AH66">
        <f t="shared" ref="AH66:AH70" si="173">AG66+($AN66-$AD66)/10</f>
        <v>0.68</v>
      </c>
      <c r="AI66">
        <f t="shared" ref="AI66:AI70" si="174">AH66+($AN66-$AD66)/10</f>
        <v>0.70000000000000007</v>
      </c>
      <c r="AJ66">
        <f t="shared" ref="AJ66:AJ70" si="175">AI66+($AN66-$AD66)/10</f>
        <v>0.72000000000000008</v>
      </c>
      <c r="AK66">
        <f t="shared" ref="AK66:AK70" si="176">AJ66+($AN66-$AD66)/10</f>
        <v>0.7400000000000001</v>
      </c>
      <c r="AL66">
        <f t="shared" ref="AL66:AL70" si="177">AK66+($AN66-$AD66)/10</f>
        <v>0.76000000000000012</v>
      </c>
      <c r="AM66">
        <f t="shared" ref="AM66:AM70" si="178">AL66+($AN66-$AD66)/10</f>
        <v>0.78000000000000014</v>
      </c>
      <c r="AN66">
        <f>'Net zero activities &amp; levers'!$F39/100</f>
        <v>0.8</v>
      </c>
    </row>
    <row r="67" spans="1:40" x14ac:dyDescent="0.25">
      <c r="A67" t="s">
        <v>1073</v>
      </c>
      <c r="B67">
        <f>'Net zero activities &amp; levers'!$C40/100</f>
        <v>0</v>
      </c>
      <c r="C67">
        <f t="shared" ref="C67:J70" si="179">B67</f>
        <v>0</v>
      </c>
      <c r="D67">
        <f t="shared" si="179"/>
        <v>0</v>
      </c>
      <c r="E67">
        <f t="shared" si="179"/>
        <v>0</v>
      </c>
      <c r="F67">
        <f t="shared" si="179"/>
        <v>0</v>
      </c>
      <c r="G67">
        <f t="shared" si="179"/>
        <v>0</v>
      </c>
      <c r="H67">
        <f t="shared" si="179"/>
        <v>0</v>
      </c>
      <c r="I67">
        <f t="shared" si="179"/>
        <v>0</v>
      </c>
      <c r="J67">
        <f t="shared" si="179"/>
        <v>0</v>
      </c>
      <c r="K67">
        <f t="shared" si="152"/>
        <v>0.04</v>
      </c>
      <c r="L67">
        <f t="shared" si="153"/>
        <v>0.08</v>
      </c>
      <c r="M67">
        <f t="shared" si="154"/>
        <v>0.12</v>
      </c>
      <c r="N67">
        <f t="shared" si="155"/>
        <v>0.16</v>
      </c>
      <c r="O67">
        <f t="shared" si="156"/>
        <v>0.2</v>
      </c>
      <c r="P67">
        <f t="shared" si="157"/>
        <v>0.24000000000000002</v>
      </c>
      <c r="Q67">
        <f t="shared" si="158"/>
        <v>0.28000000000000003</v>
      </c>
      <c r="R67">
        <f t="shared" si="159"/>
        <v>0.32</v>
      </c>
      <c r="S67">
        <f t="shared" si="160"/>
        <v>0.36</v>
      </c>
      <c r="T67">
        <f>'Net zero activities &amp; levers'!$D40/100</f>
        <v>0.4</v>
      </c>
      <c r="U67">
        <f t="shared" si="161"/>
        <v>0.42000000000000004</v>
      </c>
      <c r="V67">
        <f t="shared" si="162"/>
        <v>0.44000000000000006</v>
      </c>
      <c r="W67">
        <f t="shared" si="163"/>
        <v>0.46000000000000008</v>
      </c>
      <c r="X67">
        <f t="shared" si="164"/>
        <v>0.48000000000000009</v>
      </c>
      <c r="Y67">
        <f t="shared" si="165"/>
        <v>0.50000000000000011</v>
      </c>
      <c r="Z67">
        <f t="shared" si="166"/>
        <v>0.52000000000000013</v>
      </c>
      <c r="AA67">
        <f t="shared" si="167"/>
        <v>0.54000000000000015</v>
      </c>
      <c r="AB67">
        <f t="shared" si="168"/>
        <v>0.56000000000000016</v>
      </c>
      <c r="AC67">
        <f t="shared" si="169"/>
        <v>0.58000000000000018</v>
      </c>
      <c r="AD67">
        <f>'Net zero activities &amp; levers'!$E40/100</f>
        <v>0.6</v>
      </c>
      <c r="AE67">
        <f t="shared" si="170"/>
        <v>0.62</v>
      </c>
      <c r="AF67">
        <f t="shared" si="171"/>
        <v>0.64</v>
      </c>
      <c r="AG67">
        <f t="shared" si="172"/>
        <v>0.66</v>
      </c>
      <c r="AH67">
        <f t="shared" si="173"/>
        <v>0.68</v>
      </c>
      <c r="AI67">
        <f t="shared" si="174"/>
        <v>0.70000000000000007</v>
      </c>
      <c r="AJ67">
        <f t="shared" si="175"/>
        <v>0.72000000000000008</v>
      </c>
      <c r="AK67">
        <f t="shared" si="176"/>
        <v>0.7400000000000001</v>
      </c>
      <c r="AL67">
        <f t="shared" si="177"/>
        <v>0.76000000000000012</v>
      </c>
      <c r="AM67">
        <f t="shared" si="178"/>
        <v>0.78000000000000014</v>
      </c>
      <c r="AN67">
        <f>'Net zero activities &amp; levers'!$F40/100</f>
        <v>0.8</v>
      </c>
    </row>
    <row r="68" spans="1:40" x14ac:dyDescent="0.25">
      <c r="A68" t="s">
        <v>1074</v>
      </c>
      <c r="B68">
        <f>'Net zero activities &amp; levers'!$C41/100</f>
        <v>0</v>
      </c>
      <c r="C68">
        <f t="shared" si="179"/>
        <v>0</v>
      </c>
      <c r="D68">
        <f t="shared" si="179"/>
        <v>0</v>
      </c>
      <c r="E68">
        <f t="shared" si="179"/>
        <v>0</v>
      </c>
      <c r="F68">
        <f t="shared" si="179"/>
        <v>0</v>
      </c>
      <c r="G68">
        <f t="shared" si="179"/>
        <v>0</v>
      </c>
      <c r="H68">
        <f t="shared" si="179"/>
        <v>0</v>
      </c>
      <c r="I68">
        <f t="shared" si="179"/>
        <v>0</v>
      </c>
      <c r="J68">
        <f t="shared" si="179"/>
        <v>0</v>
      </c>
      <c r="K68">
        <f t="shared" si="152"/>
        <v>0.04</v>
      </c>
      <c r="L68">
        <f t="shared" si="153"/>
        <v>0.08</v>
      </c>
      <c r="M68">
        <f t="shared" si="154"/>
        <v>0.12</v>
      </c>
      <c r="N68">
        <f t="shared" si="155"/>
        <v>0.16</v>
      </c>
      <c r="O68">
        <f t="shared" si="156"/>
        <v>0.2</v>
      </c>
      <c r="P68">
        <f t="shared" si="157"/>
        <v>0.24000000000000002</v>
      </c>
      <c r="Q68">
        <f t="shared" si="158"/>
        <v>0.28000000000000003</v>
      </c>
      <c r="R68">
        <f t="shared" si="159"/>
        <v>0.32</v>
      </c>
      <c r="S68">
        <f t="shared" si="160"/>
        <v>0.36</v>
      </c>
      <c r="T68">
        <f>'Net zero activities &amp; levers'!$D41/100</f>
        <v>0.4</v>
      </c>
      <c r="U68">
        <f t="shared" si="161"/>
        <v>0.42000000000000004</v>
      </c>
      <c r="V68">
        <f t="shared" si="162"/>
        <v>0.44000000000000006</v>
      </c>
      <c r="W68">
        <f t="shared" si="163"/>
        <v>0.46000000000000008</v>
      </c>
      <c r="X68">
        <f t="shared" si="164"/>
        <v>0.48000000000000009</v>
      </c>
      <c r="Y68">
        <f t="shared" si="165"/>
        <v>0.50000000000000011</v>
      </c>
      <c r="Z68">
        <f t="shared" si="166"/>
        <v>0.52000000000000013</v>
      </c>
      <c r="AA68">
        <f t="shared" si="167"/>
        <v>0.54000000000000015</v>
      </c>
      <c r="AB68">
        <f t="shared" si="168"/>
        <v>0.56000000000000016</v>
      </c>
      <c r="AC68">
        <f t="shared" si="169"/>
        <v>0.58000000000000018</v>
      </c>
      <c r="AD68">
        <f>'Net zero activities &amp; levers'!$E41/100</f>
        <v>0.6</v>
      </c>
      <c r="AE68">
        <f t="shared" si="170"/>
        <v>0.62</v>
      </c>
      <c r="AF68">
        <f t="shared" si="171"/>
        <v>0.64</v>
      </c>
      <c r="AG68">
        <f t="shared" si="172"/>
        <v>0.66</v>
      </c>
      <c r="AH68">
        <f t="shared" si="173"/>
        <v>0.68</v>
      </c>
      <c r="AI68">
        <f t="shared" si="174"/>
        <v>0.70000000000000007</v>
      </c>
      <c r="AJ68">
        <f t="shared" si="175"/>
        <v>0.72000000000000008</v>
      </c>
      <c r="AK68">
        <f t="shared" si="176"/>
        <v>0.7400000000000001</v>
      </c>
      <c r="AL68">
        <f t="shared" si="177"/>
        <v>0.76000000000000012</v>
      </c>
      <c r="AM68">
        <f t="shared" si="178"/>
        <v>0.78000000000000014</v>
      </c>
      <c r="AN68">
        <f>'Net zero activities &amp; levers'!$F41/100</f>
        <v>0.8</v>
      </c>
    </row>
    <row r="69" spans="1:40" x14ac:dyDescent="0.25">
      <c r="A69" t="s">
        <v>1075</v>
      </c>
      <c r="B69">
        <f>'Net zero activities &amp; levers'!$C42/100</f>
        <v>0</v>
      </c>
      <c r="C69">
        <f t="shared" si="179"/>
        <v>0</v>
      </c>
      <c r="D69">
        <f t="shared" si="179"/>
        <v>0</v>
      </c>
      <c r="E69">
        <f t="shared" si="179"/>
        <v>0</v>
      </c>
      <c r="F69">
        <f t="shared" si="179"/>
        <v>0</v>
      </c>
      <c r="G69">
        <f t="shared" si="179"/>
        <v>0</v>
      </c>
      <c r="H69">
        <f t="shared" si="179"/>
        <v>0</v>
      </c>
      <c r="I69">
        <f t="shared" si="179"/>
        <v>0</v>
      </c>
      <c r="J69">
        <f t="shared" si="179"/>
        <v>0</v>
      </c>
      <c r="K69">
        <f t="shared" si="152"/>
        <v>0.04</v>
      </c>
      <c r="L69">
        <f t="shared" si="153"/>
        <v>0.08</v>
      </c>
      <c r="M69">
        <f t="shared" si="154"/>
        <v>0.12</v>
      </c>
      <c r="N69">
        <f t="shared" si="155"/>
        <v>0.16</v>
      </c>
      <c r="O69">
        <f t="shared" si="156"/>
        <v>0.2</v>
      </c>
      <c r="P69">
        <f t="shared" si="157"/>
        <v>0.24000000000000002</v>
      </c>
      <c r="Q69">
        <f t="shared" si="158"/>
        <v>0.28000000000000003</v>
      </c>
      <c r="R69">
        <f t="shared" si="159"/>
        <v>0.32</v>
      </c>
      <c r="S69">
        <f t="shared" si="160"/>
        <v>0.36</v>
      </c>
      <c r="T69">
        <f>'Net zero activities &amp; levers'!$D42/100</f>
        <v>0.4</v>
      </c>
      <c r="U69">
        <f t="shared" si="161"/>
        <v>0.42000000000000004</v>
      </c>
      <c r="V69">
        <f t="shared" si="162"/>
        <v>0.44000000000000006</v>
      </c>
      <c r="W69">
        <f t="shared" si="163"/>
        <v>0.46000000000000008</v>
      </c>
      <c r="X69">
        <f t="shared" si="164"/>
        <v>0.48000000000000009</v>
      </c>
      <c r="Y69">
        <f t="shared" si="165"/>
        <v>0.50000000000000011</v>
      </c>
      <c r="Z69">
        <f t="shared" si="166"/>
        <v>0.52000000000000013</v>
      </c>
      <c r="AA69">
        <f t="shared" si="167"/>
        <v>0.54000000000000015</v>
      </c>
      <c r="AB69">
        <f t="shared" si="168"/>
        <v>0.56000000000000016</v>
      </c>
      <c r="AC69">
        <f t="shared" si="169"/>
        <v>0.58000000000000018</v>
      </c>
      <c r="AD69">
        <f>'Net zero activities &amp; levers'!$E42/100</f>
        <v>0.6</v>
      </c>
      <c r="AE69">
        <f t="shared" si="170"/>
        <v>0.62</v>
      </c>
      <c r="AF69">
        <f t="shared" si="171"/>
        <v>0.64</v>
      </c>
      <c r="AG69">
        <f t="shared" si="172"/>
        <v>0.66</v>
      </c>
      <c r="AH69">
        <f t="shared" si="173"/>
        <v>0.68</v>
      </c>
      <c r="AI69">
        <f t="shared" si="174"/>
        <v>0.70000000000000007</v>
      </c>
      <c r="AJ69">
        <f t="shared" si="175"/>
        <v>0.72000000000000008</v>
      </c>
      <c r="AK69">
        <f t="shared" si="176"/>
        <v>0.7400000000000001</v>
      </c>
      <c r="AL69">
        <f t="shared" si="177"/>
        <v>0.76000000000000012</v>
      </c>
      <c r="AM69">
        <f t="shared" si="178"/>
        <v>0.78000000000000014</v>
      </c>
      <c r="AN69">
        <f>'Net zero activities &amp; levers'!$F42/100</f>
        <v>0.8</v>
      </c>
    </row>
    <row r="70" spans="1:40" x14ac:dyDescent="0.25">
      <c r="A70" t="s">
        <v>1030</v>
      </c>
      <c r="B70">
        <f>'Net zero activities &amp; levers'!$C43/100</f>
        <v>0</v>
      </c>
      <c r="C70">
        <f t="shared" si="179"/>
        <v>0</v>
      </c>
      <c r="D70">
        <f t="shared" si="179"/>
        <v>0</v>
      </c>
      <c r="E70">
        <f t="shared" si="179"/>
        <v>0</v>
      </c>
      <c r="F70">
        <f t="shared" si="179"/>
        <v>0</v>
      </c>
      <c r="G70">
        <f t="shared" si="179"/>
        <v>0</v>
      </c>
      <c r="H70">
        <f t="shared" si="179"/>
        <v>0</v>
      </c>
      <c r="I70">
        <f t="shared" si="179"/>
        <v>0</v>
      </c>
      <c r="J70">
        <f t="shared" si="179"/>
        <v>0</v>
      </c>
      <c r="K70">
        <f t="shared" si="152"/>
        <v>0.04</v>
      </c>
      <c r="L70">
        <f t="shared" si="153"/>
        <v>0.08</v>
      </c>
      <c r="M70">
        <f t="shared" si="154"/>
        <v>0.12</v>
      </c>
      <c r="N70">
        <f t="shared" si="155"/>
        <v>0.16</v>
      </c>
      <c r="O70">
        <f t="shared" si="156"/>
        <v>0.2</v>
      </c>
      <c r="P70">
        <f t="shared" si="157"/>
        <v>0.24000000000000002</v>
      </c>
      <c r="Q70">
        <f t="shared" si="158"/>
        <v>0.28000000000000003</v>
      </c>
      <c r="R70">
        <f t="shared" si="159"/>
        <v>0.32</v>
      </c>
      <c r="S70">
        <f t="shared" si="160"/>
        <v>0.36</v>
      </c>
      <c r="T70">
        <f>'Net zero activities &amp; levers'!$D43/100</f>
        <v>0.4</v>
      </c>
      <c r="U70">
        <f t="shared" si="161"/>
        <v>0.42000000000000004</v>
      </c>
      <c r="V70">
        <f t="shared" si="162"/>
        <v>0.44000000000000006</v>
      </c>
      <c r="W70">
        <f t="shared" si="163"/>
        <v>0.46000000000000008</v>
      </c>
      <c r="X70">
        <f t="shared" si="164"/>
        <v>0.48000000000000009</v>
      </c>
      <c r="Y70">
        <f t="shared" si="165"/>
        <v>0.50000000000000011</v>
      </c>
      <c r="Z70">
        <f t="shared" si="166"/>
        <v>0.52000000000000013</v>
      </c>
      <c r="AA70">
        <f t="shared" si="167"/>
        <v>0.54000000000000015</v>
      </c>
      <c r="AB70">
        <f t="shared" si="168"/>
        <v>0.56000000000000016</v>
      </c>
      <c r="AC70">
        <f t="shared" si="169"/>
        <v>0.58000000000000018</v>
      </c>
      <c r="AD70">
        <f>'Net zero activities &amp; levers'!$E43/100</f>
        <v>0.6</v>
      </c>
      <c r="AE70">
        <f t="shared" si="170"/>
        <v>0.62</v>
      </c>
      <c r="AF70">
        <f t="shared" si="171"/>
        <v>0.64</v>
      </c>
      <c r="AG70">
        <f t="shared" si="172"/>
        <v>0.66</v>
      </c>
      <c r="AH70">
        <f t="shared" si="173"/>
        <v>0.68</v>
      </c>
      <c r="AI70">
        <f t="shared" si="174"/>
        <v>0.70000000000000007</v>
      </c>
      <c r="AJ70">
        <f t="shared" si="175"/>
        <v>0.72000000000000008</v>
      </c>
      <c r="AK70">
        <f t="shared" si="176"/>
        <v>0.7400000000000001</v>
      </c>
      <c r="AL70">
        <f t="shared" si="177"/>
        <v>0.76000000000000012</v>
      </c>
      <c r="AM70">
        <f t="shared" si="178"/>
        <v>0.78000000000000014</v>
      </c>
      <c r="AN70">
        <f>'Net zero activities &amp; levers'!$F43/100</f>
        <v>0.8</v>
      </c>
    </row>
    <row r="71" spans="1:40" x14ac:dyDescent="0.25">
      <c r="A71" t="s">
        <v>1006</v>
      </c>
      <c r="B71">
        <f>'Net zero Activity data'!AD5*'Net zero supporting data'!B66</f>
        <v>0</v>
      </c>
      <c r="C71">
        <f>'Net zero Activity data'!AE5*'Net zero supporting data'!C66</f>
        <v>0</v>
      </c>
      <c r="D71">
        <f>'Net zero Activity data'!AF5*'Net zero supporting data'!D66</f>
        <v>0</v>
      </c>
      <c r="E71">
        <f>'Net zero Activity data'!AG5*'Net zero supporting data'!E66</f>
        <v>0</v>
      </c>
      <c r="F71">
        <f>'Net zero Activity data'!AH5*'Net zero supporting data'!F66</f>
        <v>0</v>
      </c>
      <c r="G71">
        <f>'Net zero Activity data'!AI5*'Net zero supporting data'!G66</f>
        <v>0</v>
      </c>
      <c r="H71">
        <f>'Net zero Activity data'!AJ5*'Net zero supporting data'!H66</f>
        <v>0</v>
      </c>
      <c r="I71">
        <f>'Net zero Activity data'!AK5*'Net zero supporting data'!I66</f>
        <v>0</v>
      </c>
      <c r="J71">
        <f>'Net zero Activity data'!AL5*'Net zero supporting data'!J66</f>
        <v>0</v>
      </c>
      <c r="K71">
        <f>'Net zero Activity data'!AM5*'Net zero supporting data'!K66</f>
        <v>23469.268713053916</v>
      </c>
      <c r="L71">
        <f>'Net zero Activity data'!AN5*'Net zero supporting data'!L66</f>
        <v>46908.785740914376</v>
      </c>
      <c r="M71">
        <f>'Net zero Activity data'!AO5*'Net zero supporting data'!M66</f>
        <v>70323.190148261841</v>
      </c>
      <c r="N71">
        <f>'Net zero Activity data'!AP5*'Net zero supporting data'!N66</f>
        <v>93843.289915337824</v>
      </c>
      <c r="O71">
        <f>'Net zero Activity data'!AQ5*'Net zero supporting data'!O66</f>
        <v>117405.11204295489</v>
      </c>
      <c r="P71">
        <f>'Net zero Activity data'!AR5*'Net zero supporting data'!P66</f>
        <v>140952.44634431938</v>
      </c>
      <c r="Q71">
        <f>'Net zero Activity data'!AS5*'Net zero supporting data'!Q66</f>
        <v>164468.85689608878</v>
      </c>
      <c r="R71">
        <f>'Net zero Activity data'!AT5*'Net zero supporting data'!R66</f>
        <v>188087.85512333651</v>
      </c>
      <c r="S71">
        <f>'Net zero Activity data'!AU5*'Net zero supporting data'!S66</f>
        <v>211603.20685912698</v>
      </c>
      <c r="T71">
        <f>'Net zero Activity data'!AV5*'Net zero supporting data'!T66</f>
        <v>235156.42979175213</v>
      </c>
      <c r="U71">
        <f>'Net zero Activity data'!AW5*'Net zero supporting data'!U66</f>
        <v>249003.07667700102</v>
      </c>
      <c r="V71">
        <f>'Net zero Activity data'!AX5*'Net zero supporting data'!V66</f>
        <v>263272.32263870735</v>
      </c>
      <c r="W71">
        <f>'Net zero Activity data'!AY5*'Net zero supporting data'!W66</f>
        <v>277868.70395223791</v>
      </c>
      <c r="X71">
        <f>'Net zero Activity data'!AZ5*'Net zero supporting data'!X66</f>
        <v>289923.0369503274</v>
      </c>
      <c r="Y71">
        <f>'Net zero Activity data'!BA5*'Net zero supporting data'!Y66</f>
        <v>161424.19240877283</v>
      </c>
      <c r="Z71">
        <f>'Net zero Activity data'!BB5*'Net zero supporting data'!Z66</f>
        <v>167728.46366972997</v>
      </c>
      <c r="AA71">
        <f>'Net zero Activity data'!BC5*'Net zero supporting data'!AA66</f>
        <v>174037.35596692219</v>
      </c>
      <c r="AB71">
        <f>'Net zero Activity data'!BD5*'Net zero supporting data'!AB66</f>
        <v>180351.94103775051</v>
      </c>
      <c r="AC71">
        <f>'Net zero Activity data'!BE5*'Net zero supporting data'!AC66</f>
        <v>186673.24106629955</v>
      </c>
      <c r="AD71">
        <f>'Net zero Activity data'!BF5*'Net zero supporting data'!AD66</f>
        <v>193002.23293350814</v>
      </c>
      <c r="AE71">
        <f>'Net zero Activity data'!BG5*'Net zero supporting data'!AE66</f>
        <v>199199.03235807829</v>
      </c>
      <c r="AF71">
        <f>'Net zero Activity data'!BH5*'Net zero supporting data'!AF66</f>
        <v>205395.78887759228</v>
      </c>
      <c r="AG71">
        <f>'Net zero Activity data'!BI5*'Net zero supporting data'!AG66</f>
        <v>211593.29065213064</v>
      </c>
      <c r="AH71">
        <f>'Net zero Activity data'!BJ5*'Net zero supporting data'!AH66</f>
        <v>217792.29146533896</v>
      </c>
      <c r="AI71">
        <f>'Net zero Activity data'!BK5*'Net zero supporting data'!AI66</f>
        <v>223993.51329978975</v>
      </c>
      <c r="AJ71">
        <f>'Net zero Activity data'!BL5*'Net zero supporting data'!AJ66</f>
        <v>230033.72616663197</v>
      </c>
      <c r="AK71">
        <f>'Net zero Activity data'!BM5*'Net zero supporting data'!AK66</f>
        <v>236068.12866238371</v>
      </c>
      <c r="AL71">
        <f>'Net zero Activity data'!BN5*'Net zero supporting data'!AL66</f>
        <v>242097.3114074863</v>
      </c>
      <c r="AM71">
        <f>'Net zero Activity data'!BO5*'Net zero supporting data'!AM66</f>
        <v>248121.83985367292</v>
      </c>
      <c r="AN71">
        <f>'Net zero Activity data'!BP5*'Net zero supporting data'!AN66</f>
        <v>254142.25594959941</v>
      </c>
    </row>
    <row r="72" spans="1:40" x14ac:dyDescent="0.25">
      <c r="A72" t="s">
        <v>1007</v>
      </c>
      <c r="B72">
        <f>'Net zero Activity data'!AD6*'Net zero supporting data'!B67</f>
        <v>0</v>
      </c>
      <c r="C72">
        <f>'Net zero Activity data'!AE6*'Net zero supporting data'!C67</f>
        <v>0</v>
      </c>
      <c r="D72">
        <f>'Net zero Activity data'!AF6*'Net zero supporting data'!D67</f>
        <v>0</v>
      </c>
      <c r="E72">
        <f>'Net zero Activity data'!AG6*'Net zero supporting data'!E67</f>
        <v>0</v>
      </c>
      <c r="F72">
        <f>'Net zero Activity data'!AH6*'Net zero supporting data'!F67</f>
        <v>0</v>
      </c>
      <c r="G72">
        <f>'Net zero Activity data'!AI6*'Net zero supporting data'!G67</f>
        <v>0</v>
      </c>
      <c r="H72">
        <f>'Net zero Activity data'!AJ6*'Net zero supporting data'!H67</f>
        <v>0</v>
      </c>
      <c r="I72">
        <f>'Net zero Activity data'!AK6*'Net zero supporting data'!I67</f>
        <v>0</v>
      </c>
      <c r="J72">
        <f>'Net zero Activity data'!AL6*'Net zero supporting data'!J67</f>
        <v>0</v>
      </c>
      <c r="K72">
        <f>'Net zero Activity data'!AM6*'Net zero supporting data'!K67</f>
        <v>19445.965505101816</v>
      </c>
      <c r="L72">
        <f>'Net zero Activity data'!AN6*'Net zero supporting data'!L67</f>
        <v>38867.279613900486</v>
      </c>
      <c r="M72">
        <f>'Net zero Activity data'!AO6*'Net zero supporting data'!M67</f>
        <v>58267.786122845529</v>
      </c>
      <c r="N72">
        <f>'Net zero Activity data'!AP6*'Net zero supporting data'!N67</f>
        <v>77755.868786994193</v>
      </c>
      <c r="O72">
        <f>'Net zero Activity data'!AQ6*'Net zero supporting data'!O67</f>
        <v>97278.521407019754</v>
      </c>
      <c r="P72">
        <f>'Net zero Activity data'!AR6*'Net zero supporting data'!P67</f>
        <v>116789.16982815035</v>
      </c>
      <c r="Q72">
        <f>'Net zero Activity data'!AS6*'Net zero supporting data'!Q67</f>
        <v>136274.19571390213</v>
      </c>
      <c r="R72">
        <f>'Net zero Activity data'!AT6*'Net zero supporting data'!R67</f>
        <v>155844.22281647881</v>
      </c>
      <c r="S72">
        <f>'Net zero Activity data'!AU6*'Net zero supporting data'!S67</f>
        <v>175328.37139756233</v>
      </c>
      <c r="T72">
        <f>'Net zero Activity data'!AV6*'Net zero supporting data'!T67</f>
        <v>194843.89897030889</v>
      </c>
      <c r="U72">
        <f>'Net zero Activity data'!AW6*'Net zero supporting data'!U67</f>
        <v>206316.83496094373</v>
      </c>
      <c r="V72">
        <f>'Net zero Activity data'!AX6*'Net zero supporting data'!V67</f>
        <v>218139.92447207178</v>
      </c>
      <c r="W72">
        <f>'Net zero Activity data'!AY6*'Net zero supporting data'!W67</f>
        <v>230234.06898899708</v>
      </c>
      <c r="X72">
        <f>'Net zero Activity data'!AZ6*'Net zero supporting data'!X67</f>
        <v>240221.9449016999</v>
      </c>
      <c r="Y72">
        <f>'Net zero Activity data'!BA6*'Net zero supporting data'!Y67</f>
        <v>133751.47371012607</v>
      </c>
      <c r="Z72">
        <f>'Net zero Activity data'!BB6*'Net zero supporting data'!Z67</f>
        <v>138975.01275491912</v>
      </c>
      <c r="AA72">
        <f>'Net zero Activity data'!BC6*'Net zero supporting data'!AA67</f>
        <v>144202.38065830697</v>
      </c>
      <c r="AB72">
        <f>'Net zero Activity data'!BD6*'Net zero supporting data'!AB67</f>
        <v>149434.46543127901</v>
      </c>
      <c r="AC72">
        <f>'Net zero Activity data'!BE6*'Net zero supporting data'!AC67</f>
        <v>154672.11402636248</v>
      </c>
      <c r="AD72">
        <f>'Net zero Activity data'!BF6*'Net zero supporting data'!AD67</f>
        <v>159916.13585919247</v>
      </c>
      <c r="AE72">
        <f>'Net zero Activity data'!BG6*'Net zero supporting data'!AE67</f>
        <v>165050.62681097916</v>
      </c>
      <c r="AF72">
        <f>'Net zero Activity data'!BH6*'Net zero supporting data'!AF67</f>
        <v>170185.08221286218</v>
      </c>
      <c r="AG72">
        <f>'Net zero Activity data'!BI6*'Net zero supporting data'!AG67</f>
        <v>175320.15511176537</v>
      </c>
      <c r="AH72">
        <f>'Net zero Activity data'!BJ6*'Net zero supporting data'!AH67</f>
        <v>180456.47007128084</v>
      </c>
      <c r="AI72">
        <f>'Net zero Activity data'!BK6*'Net zero supporting data'!AI67</f>
        <v>185594.62530554007</v>
      </c>
      <c r="AJ72">
        <f>'Net zero Activity data'!BL6*'Net zero supporting data'!AJ67</f>
        <v>190599.37310949506</v>
      </c>
      <c r="AK72">
        <f>'Net zero Activity data'!BM6*'Net zero supporting data'!AK67</f>
        <v>195599.30660597503</v>
      </c>
      <c r="AL72">
        <f>'Net zero Activity data'!BN6*'Net zero supporting data'!AL67</f>
        <v>200594.91516620293</v>
      </c>
      <c r="AM72">
        <f>'Net zero Activity data'!BO6*'Net zero supporting data'!AM67</f>
        <v>205586.66730732899</v>
      </c>
      <c r="AN72">
        <f>'Net zero Activity data'!BP6*'Net zero supporting data'!AN67</f>
        <v>210575.01207252522</v>
      </c>
    </row>
    <row r="73" spans="1:40" x14ac:dyDescent="0.25">
      <c r="A73" t="s">
        <v>1008</v>
      </c>
      <c r="B73">
        <f>'Net zero Activity data'!AD7*'Net zero supporting data'!B68</f>
        <v>0</v>
      </c>
      <c r="C73">
        <f>'Net zero Activity data'!AE7*'Net zero supporting data'!C68</f>
        <v>0</v>
      </c>
      <c r="D73">
        <f>'Net zero Activity data'!AF7*'Net zero supporting data'!D68</f>
        <v>0</v>
      </c>
      <c r="E73">
        <f>'Net zero Activity data'!AG7*'Net zero supporting data'!E68</f>
        <v>0</v>
      </c>
      <c r="F73">
        <f>'Net zero Activity data'!AH7*'Net zero supporting data'!F68</f>
        <v>0</v>
      </c>
      <c r="G73">
        <f>'Net zero Activity data'!AI7*'Net zero supporting data'!G68</f>
        <v>0</v>
      </c>
      <c r="H73">
        <f>'Net zero Activity data'!AJ7*'Net zero supporting data'!H68</f>
        <v>0</v>
      </c>
      <c r="I73">
        <f>'Net zero Activity data'!AK7*'Net zero supporting data'!I68</f>
        <v>0</v>
      </c>
      <c r="J73">
        <f>'Net zero Activity data'!AL7*'Net zero supporting data'!J68</f>
        <v>0</v>
      </c>
      <c r="K73">
        <f>'Net zero Activity data'!AM7*'Net zero supporting data'!K68</f>
        <v>24139.819247712607</v>
      </c>
      <c r="L73">
        <f>'Net zero Activity data'!AN7*'Net zero supporting data'!L68</f>
        <v>48249.036762083371</v>
      </c>
      <c r="M73">
        <f>'Net zero Activity data'!AO7*'Net zero supporting data'!M68</f>
        <v>72332.424152497915</v>
      </c>
      <c r="N73">
        <f>'Net zero Activity data'!AP7*'Net zero supporting data'!N68</f>
        <v>96524.526770061784</v>
      </c>
      <c r="O73">
        <f>'Net zero Activity data'!AQ7*'Net zero supporting data'!O68</f>
        <v>120759.54381561077</v>
      </c>
      <c r="P73">
        <f>'Net zero Activity data'!AR7*'Net zero supporting data'!P68</f>
        <v>144979.65909701426</v>
      </c>
      <c r="Q73">
        <f>'Net zero Activity data'!AS7*'Net zero supporting data'!Q68</f>
        <v>169167.96709311992</v>
      </c>
      <c r="R73">
        <f>'Net zero Activity data'!AT7*'Net zero supporting data'!R68</f>
        <v>193461.79384114617</v>
      </c>
      <c r="S73">
        <f>'Net zero Activity data'!AU7*'Net zero supporting data'!S68</f>
        <v>217649.01276938777</v>
      </c>
      <c r="T73">
        <f>'Net zero Activity data'!AV7*'Net zero supporting data'!T68</f>
        <v>241875.18492865935</v>
      </c>
      <c r="U73">
        <f>'Net zero Activity data'!AW7*'Net zero supporting data'!U68</f>
        <v>256117.45029634397</v>
      </c>
      <c r="V73">
        <f>'Net zero Activity data'!AX7*'Net zero supporting data'!V68</f>
        <v>270794.38899981329</v>
      </c>
      <c r="W73">
        <f>'Net zero Activity data'!AY7*'Net zero supporting data'!W68</f>
        <v>285807.80977944471</v>
      </c>
      <c r="X73">
        <f>'Net zero Activity data'!AZ7*'Net zero supporting data'!X68</f>
        <v>298206.5522917654</v>
      </c>
      <c r="Y73">
        <f>'Net zero Activity data'!BA7*'Net zero supporting data'!Y68</f>
        <v>166036.31219188066</v>
      </c>
      <c r="Z73">
        <f>'Net zero Activity data'!BB7*'Net zero supporting data'!Z68</f>
        <v>172520.70548886515</v>
      </c>
      <c r="AA73">
        <f>'Net zero Activity data'!BC7*'Net zero supporting data'!AA68</f>
        <v>179009.85185169146</v>
      </c>
      <c r="AB73">
        <f>'Net zero Activity data'!BD7*'Net zero supporting data'!AB68</f>
        <v>185504.85363882917</v>
      </c>
      <c r="AC73">
        <f>'Net zero Activity data'!BE7*'Net zero supporting data'!AC68</f>
        <v>192006.76223962245</v>
      </c>
      <c r="AD73">
        <f>'Net zero Activity data'!BF7*'Net zero supporting data'!AD68</f>
        <v>198516.58244589414</v>
      </c>
      <c r="AE73">
        <f>'Net zero Activity data'!BG7*'Net zero supporting data'!AE68</f>
        <v>204890.43328259481</v>
      </c>
      <c r="AF73">
        <f>'Net zero Activity data'!BH7*'Net zero supporting data'!AF68</f>
        <v>211264.23998838066</v>
      </c>
      <c r="AG73">
        <f>'Net zero Activity data'!BI7*'Net zero supporting data'!AG68</f>
        <v>217638.81324219154</v>
      </c>
      <c r="AH73">
        <f>'Net zero Activity data'!BJ7*'Net zero supporting data'!AH68</f>
        <v>224014.92836434869</v>
      </c>
      <c r="AI73">
        <f>'Net zero Activity data'!BK7*'Net zero supporting data'!AI68</f>
        <v>230393.32796549809</v>
      </c>
      <c r="AJ73">
        <f>'Net zero Activity data'!BL7*'Net zero supporting data'!AJ68</f>
        <v>236606.11834282152</v>
      </c>
      <c r="AK73">
        <f>'Net zero Activity data'!BM7*'Net zero supporting data'!AK68</f>
        <v>242812.93233845182</v>
      </c>
      <c r="AL73">
        <f>'Net zero Activity data'!BN7*'Net zero supporting data'!AL68</f>
        <v>249014.37744770022</v>
      </c>
      <c r="AM73">
        <f>'Net zero Activity data'!BO7*'Net zero supporting data'!AM68</f>
        <v>255211.03527806365</v>
      </c>
      <c r="AN73">
        <f>'Net zero Activity data'!BP7*'Net zero supporting data'!AN68</f>
        <v>261403.46326244518</v>
      </c>
    </row>
    <row r="74" spans="1:40" x14ac:dyDescent="0.25">
      <c r="A74" t="s">
        <v>1354</v>
      </c>
      <c r="B74">
        <f>'Net zero Activity data'!AD8*'Net zero supporting data'!B69</f>
        <v>0</v>
      </c>
      <c r="C74">
        <f>'Net zero Activity data'!AE8*'Net zero supporting data'!C69</f>
        <v>0</v>
      </c>
      <c r="D74">
        <f>'Net zero Activity data'!AF8*'Net zero supporting data'!D69</f>
        <v>0</v>
      </c>
      <c r="E74">
        <f>'Net zero Activity data'!AG8*'Net zero supporting data'!E69</f>
        <v>0</v>
      </c>
      <c r="F74">
        <f>'Net zero Activity data'!AH8*'Net zero supporting data'!F69</f>
        <v>0</v>
      </c>
      <c r="G74">
        <f>'Net zero Activity data'!AI8*'Net zero supporting data'!G69</f>
        <v>0</v>
      </c>
      <c r="H74">
        <f>'Net zero Activity data'!AJ8*'Net zero supporting data'!H69</f>
        <v>0</v>
      </c>
      <c r="I74">
        <f>'Net zero Activity data'!AK8*'Net zero supporting data'!I69</f>
        <v>0</v>
      </c>
      <c r="J74">
        <f>'Net zero Activity data'!AL8*'Net zero supporting data'!J69</f>
        <v>0</v>
      </c>
      <c r="K74">
        <f>'Net zero Activity data'!AM8*'Net zero supporting data'!K69</f>
        <v>184571.27200197798</v>
      </c>
      <c r="L74">
        <f>'Net zero Activity data'!AN8*'Net zero supporting data'!L69</f>
        <v>368504.97611630196</v>
      </c>
      <c r="M74">
        <f>'Net zero Activity data'!AO8*'Net zero supporting data'!M69</f>
        <v>551630.84665650048</v>
      </c>
      <c r="N74">
        <f>'Net zero Activity data'!AP8*'Net zero supporting data'!N69</f>
        <v>736843.22173805058</v>
      </c>
      <c r="O74">
        <f>'Net zero Activity data'!AQ8*'Net zero supporting data'!O69</f>
        <v>922270.28318895458</v>
      </c>
      <c r="P74">
        <f>'Net zero Activity data'!AR8*'Net zero supporting data'!P69</f>
        <v>1108530.9868785613</v>
      </c>
      <c r="Q74">
        <f>'Net zero Activity data'!AS8*'Net zero supporting data'!Q69</f>
        <v>1293526.4249829242</v>
      </c>
      <c r="R74">
        <f>'Net zero Activity data'!AT8*'Net zero supporting data'!R69</f>
        <v>1480114.1270388777</v>
      </c>
      <c r="S74">
        <f>'Net zero Activity data'!AU8*'Net zero supporting data'!S69</f>
        <v>1663400.9090521587</v>
      </c>
      <c r="T74">
        <f>'Net zero Activity data'!AV8*'Net zero supporting data'!T69</f>
        <v>1846442.1932067336</v>
      </c>
      <c r="U74">
        <f>'Net zero Activity data'!AW8*'Net zero supporting data'!U69</f>
        <v>1942513.0088060214</v>
      </c>
      <c r="V74">
        <f>'Net zero Activity data'!AX8*'Net zero supporting data'!V69</f>
        <v>2041599.8647733291</v>
      </c>
      <c r="W74">
        <f>'Net zero Activity data'!AY8*'Net zero supporting data'!W69</f>
        <v>2141211.6584145334</v>
      </c>
      <c r="X74">
        <f>'Net zero Activity data'!AZ8*'Net zero supporting data'!X69</f>
        <v>2183339.4735637582</v>
      </c>
      <c r="Y74">
        <f>'Net zero Activity data'!BA8*'Net zero supporting data'!Y69</f>
        <v>-535598.29628562287</v>
      </c>
      <c r="Z74">
        <f>'Net zero Activity data'!BB8*'Net zero supporting data'!Z69</f>
        <v>-543206.83674604748</v>
      </c>
      <c r="AA74">
        <f>'Net zero Activity data'!BC8*'Net zero supporting data'!AA69</f>
        <v>-550009.45435656782</v>
      </c>
      <c r="AB74">
        <f>'Net zero Activity data'!BD8*'Net zero supporting data'!AB69</f>
        <v>-556022.05824701127</v>
      </c>
      <c r="AC74">
        <f>'Net zero Activity data'!BE8*'Net zero supporting data'!AC69</f>
        <v>-561259.65747411118</v>
      </c>
      <c r="AD74">
        <f>'Net zero Activity data'!BF8*'Net zero supporting data'!AD69</f>
        <v>-565736.43081956415</v>
      </c>
      <c r="AE74">
        <f>'Net zero Activity data'!BG8*'Net zero supporting data'!AE69</f>
        <v>-571985.66052455362</v>
      </c>
      <c r="AF74">
        <f>'Net zero Activity data'!BH8*'Net zero supporting data'!AF69</f>
        <v>-577642.4978925836</v>
      </c>
      <c r="AG74">
        <f>'Net zero Activity data'!BI8*'Net zero supporting data'!AG69</f>
        <v>-582718.28367352067</v>
      </c>
      <c r="AH74">
        <f>'Net zero Activity data'!BJ8*'Net zero supporting data'!AH69</f>
        <v>-587223.81985136797</v>
      </c>
      <c r="AI74">
        <f>'Net zero Activity data'!BK8*'Net zero supporting data'!AI69</f>
        <v>-591169.40697503404</v>
      </c>
      <c r="AJ74">
        <f>'Net zero Activity data'!BL8*'Net zero supporting data'!AJ69</f>
        <v>-594160.79206220491</v>
      </c>
      <c r="AK74">
        <f>'Net zero Activity data'!BM8*'Net zero supporting data'!AK69</f>
        <v>-596606.10669557261</v>
      </c>
      <c r="AL74">
        <f>'Net zero Activity data'!BN8*'Net zero supporting data'!AL69</f>
        <v>-598515.41299624473</v>
      </c>
      <c r="AM74">
        <f>'Net zero Activity data'!BO8*'Net zero supporting data'!AM69</f>
        <v>-599898.37507737102</v>
      </c>
      <c r="AN74">
        <f>'Net zero Activity data'!BP8*'Net zero supporting data'!AN69</f>
        <v>-600764.28369990888</v>
      </c>
    </row>
    <row r="75" spans="1:40" x14ac:dyDescent="0.25">
      <c r="A75" t="s">
        <v>1009</v>
      </c>
      <c r="B75">
        <f>'Net zero Activity data'!AD10*'Net zero supporting data'!B70</f>
        <v>0</v>
      </c>
      <c r="C75">
        <f>'Net zero Activity data'!AE10*'Net zero supporting data'!C70</f>
        <v>0</v>
      </c>
      <c r="D75">
        <f>'Net zero Activity data'!AF10*'Net zero supporting data'!D70</f>
        <v>0</v>
      </c>
      <c r="E75">
        <f>'Net zero Activity data'!AG10*'Net zero supporting data'!E70</f>
        <v>0</v>
      </c>
      <c r="F75">
        <f>'Net zero Activity data'!AH10*'Net zero supporting data'!F70</f>
        <v>0</v>
      </c>
      <c r="G75">
        <f>'Net zero Activity data'!AI10*'Net zero supporting data'!G70</f>
        <v>0</v>
      </c>
      <c r="H75">
        <f>'Net zero Activity data'!AJ10*'Net zero supporting data'!H70</f>
        <v>0</v>
      </c>
      <c r="I75">
        <f>'Net zero Activity data'!AK10*'Net zero supporting data'!I70</f>
        <v>0</v>
      </c>
      <c r="J75">
        <f>'Net zero Activity data'!AL10*'Net zero supporting data'!J70</f>
        <v>0</v>
      </c>
      <c r="K75">
        <f>'Net zero Activity data'!AM10*'Net zero supporting data'!K70</f>
        <v>23897.16688926849</v>
      </c>
      <c r="L75">
        <f>'Net zero Activity data'!AN10*'Net zero supporting data'!L70</f>
        <v>49368.488058539493</v>
      </c>
      <c r="M75">
        <f>'Net zero Activity data'!AO10*'Net zero supporting data'!M70</f>
        <v>76451.180109498338</v>
      </c>
      <c r="N75">
        <f>'Net zero Activity data'!AP10*'Net zero supporting data'!N70</f>
        <v>105622.46306976868</v>
      </c>
      <c r="O75">
        <f>'Net zero Activity data'!AQ10*'Net zero supporting data'!O70</f>
        <v>136713.57015803221</v>
      </c>
      <c r="P75">
        <f>'Net zero Activity data'!AR10*'Net zero supporting data'!P70</f>
        <v>169906.31119887711</v>
      </c>
      <c r="Q75">
        <f>'Net zero Activity data'!AS10*'Net zero supporting data'!Q70</f>
        <v>204969.81127699351</v>
      </c>
      <c r="R75">
        <f>'Net zero Activity data'!AT10*'Net zero supporting data'!R70</f>
        <v>242446.15674120761</v>
      </c>
      <c r="S75">
        <f>'Net zero Activity data'!AU10*'Net zero supporting data'!S70</f>
        <v>281632.29189336544</v>
      </c>
      <c r="T75">
        <f>'Net zero Activity data'!AV10*'Net zero supporting data'!T70</f>
        <v>323112.2054257103</v>
      </c>
      <c r="U75">
        <f>'Net zero Activity data'!AW10*'Net zero supporting data'!U70</f>
        <v>351340.90521956317</v>
      </c>
      <c r="V75">
        <f>'Net zero Activity data'!AX10*'Net zero supporting data'!V70</f>
        <v>381690.66153024766</v>
      </c>
      <c r="W75">
        <f>'Net zero Activity data'!AY10*'Net zero supporting data'!W70</f>
        <v>413822.91423477244</v>
      </c>
      <c r="X75">
        <f>'Net zero Activity data'!AZ10*'Net zero supporting data'!X70</f>
        <v>436251.49452587782</v>
      </c>
      <c r="Y75">
        <f>'Net zero Activity data'!BA10*'Net zero supporting data'!Y70</f>
        <v>-110654.98948068591</v>
      </c>
      <c r="Z75">
        <f>'Net zero Activity data'!BB10*'Net zero supporting data'!Z70</f>
        <v>-116058.6031376875</v>
      </c>
      <c r="AA75">
        <f>'Net zero Activity data'!BC10*'Net zero supporting data'!AA70</f>
        <v>-121544.54104146553</v>
      </c>
      <c r="AB75">
        <f>'Net zero Activity data'!BD10*'Net zero supporting data'!AB70</f>
        <v>-127113.66396370647</v>
      </c>
      <c r="AC75">
        <f>'Net zero Activity data'!BE10*'Net zero supporting data'!AC70</f>
        <v>-132766.84288450901</v>
      </c>
      <c r="AD75">
        <f>'Net zero Activity data'!BF10*'Net zero supporting data'!AD70</f>
        <v>-138504.95909202701</v>
      </c>
      <c r="AE75">
        <f>'Net zero Activity data'!BG10*'Net zero supporting data'!AE70</f>
        <v>-144052.28731216557</v>
      </c>
      <c r="AF75">
        <f>'Net zero Activity data'!BH10*'Net zero supporting data'!AF70</f>
        <v>-149665.32904410746</v>
      </c>
      <c r="AG75">
        <f>'Net zero Activity data'!BI10*'Net zero supporting data'!AG70</f>
        <v>-155344.66128033222</v>
      </c>
      <c r="AH75">
        <f>'Net zero Activity data'!BJ10*'Net zero supporting data'!AH70</f>
        <v>-161090.86668609694</v>
      </c>
      <c r="AI75">
        <f>'Net zero Activity data'!BK10*'Net zero supporting data'!AI70</f>
        <v>-166904.53364514836</v>
      </c>
      <c r="AJ75">
        <f>'Net zero Activity data'!BL10*'Net zero supporting data'!AJ70</f>
        <v>-172668.82502737016</v>
      </c>
      <c r="AK75">
        <f>'Net zero Activity data'!BM10*'Net zero supporting data'!AK70</f>
        <v>-178493.24395141119</v>
      </c>
      <c r="AL75">
        <f>'Net zero Activity data'!BN10*'Net zero supporting data'!AL70</f>
        <v>-184378.21270651816</v>
      </c>
      <c r="AM75">
        <f>'Net zero Activity data'!BO10*'Net zero supporting data'!AM70</f>
        <v>-190324.1570895031</v>
      </c>
      <c r="AN75">
        <f>'Net zero Activity data'!BP10*'Net zero supporting data'!AN70</f>
        <v>-196331.50642728596</v>
      </c>
    </row>
    <row r="76" spans="1:40" x14ac:dyDescent="0.25">
      <c r="A76" t="s">
        <v>1031</v>
      </c>
      <c r="B76" s="11">
        <f>'Net zero Activity data'!AD5-'Net zero supporting data'!B71</f>
        <v>591129.2897046</v>
      </c>
      <c r="C76" s="11">
        <f>'Net zero Activity data'!AE5-'Net zero supporting data'!C71</f>
        <v>594806.21359952644</v>
      </c>
      <c r="D76" s="11">
        <f>'Net zero Activity data'!AF5-'Net zero supporting data'!D71</f>
        <v>597334.14942871302</v>
      </c>
      <c r="E76" s="11">
        <f>'Net zero Activity data'!AG5-'Net zero supporting data'!E71</f>
        <v>598126.94731703098</v>
      </c>
      <c r="F76" s="11">
        <f>'Net zero Activity data'!AH5-'Net zero supporting data'!F71</f>
        <v>599199.48455998639</v>
      </c>
      <c r="G76" s="11">
        <f>'Net zero Activity data'!AI5-'Net zero supporting data'!G71</f>
        <v>601548.74860188353</v>
      </c>
      <c r="H76" s="11">
        <f>'Net zero Activity data'!AJ5-'Net zero supporting data'!H71</f>
        <v>604365.27789585036</v>
      </c>
      <c r="I76" s="11">
        <f>'Net zero Activity data'!AK5-'Net zero supporting data'!I71</f>
        <v>605211.39267553936</v>
      </c>
      <c r="J76" s="11">
        <f>'Net zero Activity data'!AL5-'Net zero supporting data'!J71</f>
        <v>586631.53886012151</v>
      </c>
      <c r="K76" s="11">
        <f>'Net zero Activity data'!AM5-'Net zero supporting data'!K71</f>
        <v>563262.44911329402</v>
      </c>
      <c r="L76" s="11">
        <f>'Net zero Activity data'!AN5-'Net zero supporting data'!L71</f>
        <v>539451.03602051525</v>
      </c>
      <c r="M76" s="11">
        <f>'Net zero Activity data'!AO5-'Net zero supporting data'!M71</f>
        <v>515703.39442058688</v>
      </c>
      <c r="N76" s="11">
        <f>'Net zero Activity data'!AP5-'Net zero supporting data'!N71</f>
        <v>492677.27205552359</v>
      </c>
      <c r="O76" s="11">
        <f>'Net zero Activity data'!AQ5-'Net zero supporting data'!O71</f>
        <v>469620.44817181956</v>
      </c>
      <c r="P76" s="11">
        <f>'Net zero Activity data'!AR5-'Net zero supporting data'!P71</f>
        <v>446349.41342367802</v>
      </c>
      <c r="Q76" s="11">
        <f>'Net zero Activity data'!AS5-'Net zero supporting data'!Q71</f>
        <v>422919.91773279966</v>
      </c>
      <c r="R76" s="11">
        <f>'Net zero Activity data'!AT5-'Net zero supporting data'!R71</f>
        <v>399686.69213709002</v>
      </c>
      <c r="S76" s="11">
        <f>'Net zero Activity data'!AU5-'Net zero supporting data'!S71</f>
        <v>376183.47886067018</v>
      </c>
      <c r="T76" s="11">
        <f>'Net zero Activity data'!AV5-'Net zero supporting data'!T71</f>
        <v>352734.64468762814</v>
      </c>
      <c r="U76" s="11">
        <f>'Net zero Activity data'!AW5-'Net zero supporting data'!U71</f>
        <v>343861.3916015728</v>
      </c>
      <c r="V76" s="11">
        <f>'Net zero Activity data'!AX5-'Net zero supporting data'!V71</f>
        <v>335073.86517653649</v>
      </c>
      <c r="W76" s="11">
        <f>'Net zero Activity data'!AY5-'Net zero supporting data'!W71</f>
        <v>326193.69594393129</v>
      </c>
      <c r="X76" s="11">
        <f>'Net zero Activity data'!AZ5-'Net zero supporting data'!X71</f>
        <v>314083.29002952127</v>
      </c>
      <c r="Y76" s="11">
        <f>'Net zero Activity data'!BA5-'Net zero supporting data'!Y71</f>
        <v>161424.19240877277</v>
      </c>
      <c r="Z76" s="11">
        <f>'Net zero Activity data'!BB5-'Net zero supporting data'!Z71</f>
        <v>154826.27415667372</v>
      </c>
      <c r="AA76" s="11">
        <f>'Net zero Activity data'!BC5-'Net zero supporting data'!AA71</f>
        <v>148254.04397182254</v>
      </c>
      <c r="AB76" s="11">
        <f>'Net zero Activity data'!BD5-'Net zero supporting data'!AB71</f>
        <v>141705.09652966104</v>
      </c>
      <c r="AC76" s="11">
        <f>'Net zero Activity data'!BE5-'Net zero supporting data'!AC71</f>
        <v>135177.17456525128</v>
      </c>
      <c r="AD76" s="11">
        <f>'Net zero Activity data'!BF5-'Net zero supporting data'!AD71</f>
        <v>128668.15528900546</v>
      </c>
      <c r="AE76" s="11">
        <f>'Net zero Activity data'!BG5-'Net zero supporting data'!AE71</f>
        <v>122089.7295097899</v>
      </c>
      <c r="AF76" s="11">
        <f>'Net zero Activity data'!BH5-'Net zero supporting data'!AF71</f>
        <v>115535.13124364565</v>
      </c>
      <c r="AG76" s="11">
        <f>'Net zero Activity data'!BI5-'Net zero supporting data'!AG71</f>
        <v>109002.60427534001</v>
      </c>
      <c r="AH76" s="11">
        <f>'Net zero Activity data'!BJ5-'Net zero supporting data'!AH71</f>
        <v>102490.49010133598</v>
      </c>
      <c r="AI76" s="11">
        <f>'Net zero Activity data'!BK5-'Net zero supporting data'!AI71</f>
        <v>95997.219985624135</v>
      </c>
      <c r="AJ76" s="11">
        <f>'Net zero Activity data'!BL5-'Net zero supporting data'!AJ71</f>
        <v>89457.560175912397</v>
      </c>
      <c r="AK76" s="11">
        <f>'Net zero Activity data'!BM5-'Net zero supporting data'!AK71</f>
        <v>82942.856016513135</v>
      </c>
      <c r="AL76" s="11">
        <f>'Net zero Activity data'!BN5-'Net zero supporting data'!AL71</f>
        <v>76451.782549732452</v>
      </c>
      <c r="AM76" s="11">
        <f>'Net zero Activity data'!BO5-'Net zero supporting data'!AM71</f>
        <v>69983.083035651274</v>
      </c>
      <c r="AN76" s="11">
        <f>'Net zero Activity data'!BP5-'Net zero supporting data'!AN71</f>
        <v>63535.56398739983</v>
      </c>
    </row>
    <row r="77" spans="1:40" x14ac:dyDescent="0.25">
      <c r="A77" t="s">
        <v>1112</v>
      </c>
      <c r="B77" s="11">
        <f>'Net zero Activity data'!AD6-'Net zero supporting data'!B72</f>
        <v>489792.8400409543</v>
      </c>
      <c r="C77" s="11">
        <f>'Net zero Activity data'!AE6-'Net zero supporting data'!C72</f>
        <v>492839.43412532192</v>
      </c>
      <c r="D77" s="11">
        <f>'Net zero Activity data'!AF6-'Net zero supporting data'!D72</f>
        <v>494934.00952664798</v>
      </c>
      <c r="E77" s="11">
        <f>'Net zero Activity data'!AG6-'Net zero supporting data'!E72</f>
        <v>495590.89920553996</v>
      </c>
      <c r="F77" s="11">
        <f>'Net zero Activity data'!AH6-'Net zero supporting data'!F72</f>
        <v>496479.57292113162</v>
      </c>
      <c r="G77" s="11">
        <f>'Net zero Activity data'!AI6-'Net zero supporting data'!G72</f>
        <v>498426.10598441772</v>
      </c>
      <c r="H77" s="11">
        <f>'Net zero Activity data'!AJ6-'Net zero supporting data'!H72</f>
        <v>500759.80168513313</v>
      </c>
      <c r="I77" s="11">
        <f>'Net zero Activity data'!AK6-'Net zero supporting data'!I72</f>
        <v>501460.86821687547</v>
      </c>
      <c r="J77" s="11">
        <f>'Net zero Activity data'!AL6-'Net zero supporting data'!J72</f>
        <v>486066.13219838642</v>
      </c>
      <c r="K77" s="11">
        <f>'Net zero Activity data'!AM6-'Net zero supporting data'!K72</f>
        <v>466703.17212244356</v>
      </c>
      <c r="L77" s="11">
        <f>'Net zero Activity data'!AN6-'Net zero supporting data'!L72</f>
        <v>446973.71555985557</v>
      </c>
      <c r="M77" s="11">
        <f>'Net zero Activity data'!AO6-'Net zero supporting data'!M72</f>
        <v>427297.09823420056</v>
      </c>
      <c r="N77" s="11">
        <f>'Net zero Activity data'!AP6-'Net zero supporting data'!N72</f>
        <v>408218.3111317195</v>
      </c>
      <c r="O77" s="11">
        <f>'Net zero Activity data'!AQ6-'Net zero supporting data'!O72</f>
        <v>389114.08562807902</v>
      </c>
      <c r="P77" s="11">
        <f>'Net zero Activity data'!AR6-'Net zero supporting data'!P72</f>
        <v>369832.37112247606</v>
      </c>
      <c r="Q77" s="11">
        <f>'Net zero Activity data'!AS6-'Net zero supporting data'!Q72</f>
        <v>350419.36040717689</v>
      </c>
      <c r="R77" s="11">
        <f>'Net zero Activity data'!AT6-'Net zero supporting data'!R72</f>
        <v>331168.97348501749</v>
      </c>
      <c r="S77" s="11">
        <f>'Net zero Activity data'!AU6-'Net zero supporting data'!S72</f>
        <v>311694.8824845553</v>
      </c>
      <c r="T77" s="11">
        <f>'Net zero Activity data'!AV6-'Net zero supporting data'!T72</f>
        <v>292265.8484554633</v>
      </c>
      <c r="U77" s="11">
        <f>'Net zero Activity data'!AW6-'Net zero supporting data'!U72</f>
        <v>284913.72446987464</v>
      </c>
      <c r="V77" s="11">
        <f>'Net zero Activity data'!AX6-'Net zero supporting data'!V72</f>
        <v>277632.63114627311</v>
      </c>
      <c r="W77" s="11">
        <f>'Net zero Activity data'!AY6-'Net zero supporting data'!W72</f>
        <v>270274.77663925738</v>
      </c>
      <c r="X77" s="11">
        <f>'Net zero Activity data'!AZ6-'Net zero supporting data'!X72</f>
        <v>260240.44031017477</v>
      </c>
      <c r="Y77" s="11">
        <f>'Net zero Activity data'!BA6-'Net zero supporting data'!Y72</f>
        <v>133751.47371012601</v>
      </c>
      <c r="Z77" s="11">
        <f>'Net zero Activity data'!BB6-'Net zero supporting data'!Z72</f>
        <v>128284.62715838681</v>
      </c>
      <c r="AA77" s="11">
        <f>'Net zero Activity data'!BC6-'Net zero supporting data'!AA72</f>
        <v>122839.0650052244</v>
      </c>
      <c r="AB77" s="11">
        <f>'Net zero Activity data'!BD6-'Net zero supporting data'!AB72</f>
        <v>117412.79426743343</v>
      </c>
      <c r="AC77" s="11">
        <f>'Net zero Activity data'!BE6-'Net zero supporting data'!AC72</f>
        <v>112003.94463977963</v>
      </c>
      <c r="AD77" s="11">
        <f>'Net zero Activity data'!BF6-'Net zero supporting data'!AD72</f>
        <v>106610.75723946164</v>
      </c>
      <c r="AE77" s="11">
        <f>'Net zero Activity data'!BG6-'Net zero supporting data'!AE72</f>
        <v>101160.06159382593</v>
      </c>
      <c r="AF77" s="11">
        <f>'Net zero Activity data'!BH6-'Net zero supporting data'!AF72</f>
        <v>95729.108744734986</v>
      </c>
      <c r="AG77" s="11">
        <f>'Net zero Activity data'!BI6-'Net zero supporting data'!AG72</f>
        <v>90316.443542424589</v>
      </c>
      <c r="AH77" s="11">
        <f>'Net zero Activity data'!BJ6-'Net zero supporting data'!AH72</f>
        <v>84920.691798249783</v>
      </c>
      <c r="AI77" s="11">
        <f>'Net zero Activity data'!BK6-'Net zero supporting data'!AI72</f>
        <v>79540.553702374309</v>
      </c>
      <c r="AJ77" s="11">
        <f>'Net zero Activity data'!BL6-'Net zero supporting data'!AJ72</f>
        <v>74121.978431470256</v>
      </c>
      <c r="AK77" s="11">
        <f>'Net zero Activity data'!BM6-'Net zero supporting data'!AK72</f>
        <v>68724.080699396611</v>
      </c>
      <c r="AL77" s="11">
        <f>'Net zero Activity data'!BN6-'Net zero supporting data'!AL72</f>
        <v>63345.762684064044</v>
      </c>
      <c r="AM77" s="11">
        <f>'Net zero Activity data'!BO6-'Net zero supporting data'!AM72</f>
        <v>57985.983086682478</v>
      </c>
      <c r="AN77" s="11">
        <f>'Net zero Activity data'!BP6-'Net zero supporting data'!AN72</f>
        <v>52643.753018131305</v>
      </c>
    </row>
    <row r="78" spans="1:40" x14ac:dyDescent="0.25">
      <c r="A78" t="s">
        <v>1113</v>
      </c>
      <c r="B78" s="11">
        <f>'Net zero Activity data'!AD7-'Net zero supporting data'!B73</f>
        <v>608018.69798187434</v>
      </c>
      <c r="C78" s="11">
        <f>'Net zero Activity data'!AE7-'Net zero supporting data'!C73</f>
        <v>611800.67684522725</v>
      </c>
      <c r="D78" s="11">
        <f>'Net zero Activity data'!AF7-'Net zero supporting data'!D73</f>
        <v>614400.83941239072</v>
      </c>
      <c r="E78" s="11">
        <f>'Net zero Activity data'!AG7-'Net zero supporting data'!E73</f>
        <v>615216.28866894625</v>
      </c>
      <c r="F78" s="11">
        <f>'Net zero Activity data'!AH7-'Net zero supporting data'!F73</f>
        <v>616319.46983312909</v>
      </c>
      <c r="G78" s="11">
        <f>'Net zero Activity data'!AI7-'Net zero supporting data'!G73</f>
        <v>618735.85570479452</v>
      </c>
      <c r="H78" s="11">
        <f>'Net zero Activity data'!AJ7-'Net zero supporting data'!H73</f>
        <v>621632.85726430325</v>
      </c>
      <c r="I78" s="11">
        <f>'Net zero Activity data'!AK7-'Net zero supporting data'!I73</f>
        <v>622503.14675198344</v>
      </c>
      <c r="J78" s="11">
        <f>'Net zero Activity data'!AL7-'Net zero supporting data'!J73</f>
        <v>603392.43997041078</v>
      </c>
      <c r="K78" s="11">
        <f>'Net zero Activity data'!AM7-'Net zero supporting data'!K73</f>
        <v>579355.6619451025</v>
      </c>
      <c r="L78" s="11">
        <f>'Net zero Activity data'!AN7-'Net zero supporting data'!L73</f>
        <v>554863.92276395869</v>
      </c>
      <c r="M78" s="11">
        <f>'Net zero Activity data'!AO7-'Net zero supporting data'!M73</f>
        <v>530437.77711831813</v>
      </c>
      <c r="N78" s="11">
        <f>'Net zero Activity data'!AP7-'Net zero supporting data'!N73</f>
        <v>506753.76554282429</v>
      </c>
      <c r="O78" s="11">
        <f>'Net zero Activity data'!AQ7-'Net zero supporting data'!O73</f>
        <v>483038.17526244308</v>
      </c>
      <c r="P78" s="11">
        <f>'Net zero Activity data'!AR7-'Net zero supporting data'!P73</f>
        <v>459102.25380721176</v>
      </c>
      <c r="Q78" s="11">
        <f>'Net zero Activity data'!AS7-'Net zero supporting data'!Q73</f>
        <v>435003.34395373688</v>
      </c>
      <c r="R78" s="11">
        <f>'Net zero Activity data'!AT7-'Net zero supporting data'!R73</f>
        <v>411106.31191243557</v>
      </c>
      <c r="S78" s="11">
        <f>'Net zero Activity data'!AU7-'Net zero supporting data'!S73</f>
        <v>386931.57825668936</v>
      </c>
      <c r="T78" s="11">
        <f>'Net zero Activity data'!AV7-'Net zero supporting data'!T73</f>
        <v>362812.77739298902</v>
      </c>
      <c r="U78" s="11">
        <f>'Net zero Activity data'!AW7-'Net zero supporting data'!U73</f>
        <v>353686.00279018923</v>
      </c>
      <c r="V78" s="11">
        <f>'Net zero Activity data'!AX7-'Net zero supporting data'!V73</f>
        <v>344647.40418158047</v>
      </c>
      <c r="W78" s="11">
        <f>'Net zero Activity data'!AY7-'Net zero supporting data'!W73</f>
        <v>335513.51582804369</v>
      </c>
      <c r="X78" s="11">
        <f>'Net zero Activity data'!AZ7-'Net zero supporting data'!X73</f>
        <v>323057.09831607906</v>
      </c>
      <c r="Y78" s="11">
        <f>'Net zero Activity data'!BA7-'Net zero supporting data'!Y73</f>
        <v>166036.3121918806</v>
      </c>
      <c r="Z78" s="11">
        <f>'Net zero Activity data'!BB7-'Net zero supporting data'!Z73</f>
        <v>159249.88198972162</v>
      </c>
      <c r="AA78" s="11">
        <f>'Net zero Activity data'!BC7-'Net zero supporting data'!AA73</f>
        <v>152489.87379958891</v>
      </c>
      <c r="AB78" s="11">
        <f>'Net zero Activity data'!BD7-'Net zero supporting data'!AB73</f>
        <v>145753.81357336565</v>
      </c>
      <c r="AC78" s="11">
        <f>'Net zero Activity data'!BE7-'Net zero supporting data'!AC73</f>
        <v>139039.37955282992</v>
      </c>
      <c r="AD78" s="11">
        <f>'Net zero Activity data'!BF7-'Net zero supporting data'!AD73</f>
        <v>132344.38829726278</v>
      </c>
      <c r="AE78" s="11">
        <f>'Net zero Activity data'!BG7-'Net zero supporting data'!AE73</f>
        <v>125578.00749578394</v>
      </c>
      <c r="AF78" s="11">
        <f>'Net zero Activity data'!BH7-'Net zero supporting data'!AF73</f>
        <v>118836.13499346413</v>
      </c>
      <c r="AG78" s="11">
        <f>'Net zero Activity data'!BI7-'Net zero supporting data'!AG73</f>
        <v>112116.96439749261</v>
      </c>
      <c r="AH78" s="11">
        <f>'Net zero Activity data'!BJ7-'Net zero supporting data'!AH73</f>
        <v>105418.78981851702</v>
      </c>
      <c r="AI78" s="11">
        <f>'Net zero Activity data'!BK7-'Net zero supporting data'!AI73</f>
        <v>98739.99769949913</v>
      </c>
      <c r="AJ78" s="11">
        <f>'Net zero Activity data'!BL7-'Net zero supporting data'!AJ73</f>
        <v>92013.490466652758</v>
      </c>
      <c r="AK78" s="11">
        <f>'Net zero Activity data'!BM7-'Net zero supporting data'!AK73</f>
        <v>85312.651902699232</v>
      </c>
      <c r="AL78" s="11">
        <f>'Net zero Activity data'!BN7-'Net zero supporting data'!AL73</f>
        <v>78636.119194010535</v>
      </c>
      <c r="AM78" s="11">
        <f>'Net zero Activity data'!BO7-'Net zero supporting data'!AM73</f>
        <v>71982.59969381275</v>
      </c>
      <c r="AN78" s="11">
        <f>'Net zero Activity data'!BP7-'Net zero supporting data'!AN73</f>
        <v>65350.865815611265</v>
      </c>
    </row>
    <row r="79" spans="1:40" x14ac:dyDescent="0.25">
      <c r="A79" t="s">
        <v>1355</v>
      </c>
      <c r="B79" s="11">
        <f>'Net zero Activity data'!AD8-'Net zero supporting data'!B74</f>
        <v>6007349.5592559706</v>
      </c>
      <c r="C79" s="11">
        <f>'Net zero Activity data'!AE8-'Net zero supporting data'!C74</f>
        <v>5967530.2158234045</v>
      </c>
      <c r="D79" s="11">
        <f>'Net zero Activity data'!AF8-'Net zero supporting data'!D74</f>
        <v>5883573.7985937558</v>
      </c>
      <c r="E79" s="11">
        <f>'Net zero Activity data'!AG8-'Net zero supporting data'!E74</f>
        <v>5742053.6226589652</v>
      </c>
      <c r="F79" s="11">
        <f>'Net zero Activity data'!AH8-'Net zero supporting data'!F74</f>
        <v>5604747.315330226</v>
      </c>
      <c r="G79" s="11">
        <f>'Net zero Activity data'!AI8-'Net zero supporting data'!G74</f>
        <v>5499139.4932850013</v>
      </c>
      <c r="H79" s="11">
        <f>'Net zero Activity data'!AJ8-'Net zero supporting data'!H74</f>
        <v>5403616.40519528</v>
      </c>
      <c r="I79" s="11">
        <f>'Net zero Activity data'!AK8-'Net zero supporting data'!I74</f>
        <v>5253429.56876144</v>
      </c>
      <c r="J79" s="11">
        <f>'Net zero Activity data'!AL8-'Net zero supporting data'!J74</f>
        <v>4607576.1616366571</v>
      </c>
      <c r="K79" s="11">
        <f>'Net zero Activity data'!AM8-'Net zero supporting data'!K74</f>
        <v>4429710.5280474713</v>
      </c>
      <c r="L79" s="11">
        <f>'Net zero Activity data'!AN8-'Net zero supporting data'!L74</f>
        <v>4237807.2253374718</v>
      </c>
      <c r="M79" s="11">
        <f>'Net zero Activity data'!AO8-'Net zero supporting data'!M74</f>
        <v>4045292.8754810039</v>
      </c>
      <c r="N79" s="11">
        <f>'Net zero Activity data'!AP8-'Net zero supporting data'!N74</f>
        <v>3868426.9141247654</v>
      </c>
      <c r="O79" s="11">
        <f>'Net zero Activity data'!AQ8-'Net zero supporting data'!O74</f>
        <v>3689081.1327558183</v>
      </c>
      <c r="P79" s="11">
        <f>'Net zero Activity data'!AR8-'Net zero supporting data'!P74</f>
        <v>3510348.1251154435</v>
      </c>
      <c r="Q79" s="11">
        <f>'Net zero Activity data'!AS8-'Net zero supporting data'!Q74</f>
        <v>3326210.8070989475</v>
      </c>
      <c r="R79" s="11">
        <f>'Net zero Activity data'!AT8-'Net zero supporting data'!R74</f>
        <v>3145242.5199576151</v>
      </c>
      <c r="S79" s="11">
        <f>'Net zero Activity data'!AU8-'Net zero supporting data'!S74</f>
        <v>2957157.1716482826</v>
      </c>
      <c r="T79" s="11">
        <f>'Net zero Activity data'!AV8-'Net zero supporting data'!T74</f>
        <v>2769663.2898101001</v>
      </c>
      <c r="U79" s="11">
        <f>'Net zero Activity data'!AW8-'Net zero supporting data'!U74</f>
        <v>2682517.964541648</v>
      </c>
      <c r="V79" s="11">
        <f>'Net zero Activity data'!AX8-'Net zero supporting data'!V74</f>
        <v>2598399.827893327</v>
      </c>
      <c r="W79" s="11">
        <f>'Net zero Activity data'!AY8-'Net zero supporting data'!W74</f>
        <v>2513596.2946605384</v>
      </c>
      <c r="X79" s="11">
        <f>'Net zero Activity data'!AZ8-'Net zero supporting data'!X74</f>
        <v>2365284.42969407</v>
      </c>
      <c r="Y79" s="11">
        <f>'Net zero Activity data'!BA8-'Net zero supporting data'!Y74</f>
        <v>-535598.29628562264</v>
      </c>
      <c r="Z79" s="11">
        <f>'Net zero Activity data'!BB8-'Net zero supporting data'!Z74</f>
        <v>-501421.69545788981</v>
      </c>
      <c r="AA79" s="11">
        <f>'Net zero Activity data'!BC8-'Net zero supporting data'!AA74</f>
        <v>-468526.57222966861</v>
      </c>
      <c r="AB79" s="11">
        <f>'Net zero Activity data'!BD8-'Net zero supporting data'!AB74</f>
        <v>-436874.47433693719</v>
      </c>
      <c r="AC79" s="11">
        <f>'Net zero Activity data'!BE8-'Net zero supporting data'!AC74</f>
        <v>-406429.40713642503</v>
      </c>
      <c r="AD79" s="11">
        <f>'Net zero Activity data'!BF8-'Net zero supporting data'!AD74</f>
        <v>-377157.62054637622</v>
      </c>
      <c r="AE79" s="11">
        <f>'Net zero Activity data'!BG8-'Net zero supporting data'!AE74</f>
        <v>-350571.8564505328</v>
      </c>
      <c r="AF79" s="11">
        <f>'Net zero Activity data'!BH8-'Net zero supporting data'!AF74</f>
        <v>-324923.90506457828</v>
      </c>
      <c r="AG79" s="11">
        <f>'Net zero Activity data'!BI8-'Net zero supporting data'!AG74</f>
        <v>-300188.20674090448</v>
      </c>
      <c r="AH79" s="11">
        <f>'Net zero Activity data'!BJ8-'Net zero supporting data'!AH74</f>
        <v>-276340.62110652612</v>
      </c>
      <c r="AI79" s="11">
        <f>'Net zero Activity data'!BK8-'Net zero supporting data'!AI74</f>
        <v>-253358.31727501459</v>
      </c>
      <c r="AJ79" s="11">
        <f>'Net zero Activity data'!BL8-'Net zero supporting data'!AJ74</f>
        <v>-231062.53024641285</v>
      </c>
      <c r="AK79" s="11">
        <f>'Net zero Activity data'!BM8-'Net zero supporting data'!AK74</f>
        <v>-209618.36181195779</v>
      </c>
      <c r="AL79" s="11">
        <f>'Net zero Activity data'!BN8-'Net zero supporting data'!AL74</f>
        <v>-189004.86726197193</v>
      </c>
      <c r="AM79" s="11">
        <f>'Net zero Activity data'!BO8-'Net zero supporting data'!AM74</f>
        <v>-169202.10579105327</v>
      </c>
      <c r="AN79" s="11">
        <f>'Net zero Activity data'!BP8-'Net zero supporting data'!AN74</f>
        <v>-150191.07092497719</v>
      </c>
    </row>
    <row r="80" spans="1:40" x14ac:dyDescent="0.25">
      <c r="A80" t="s">
        <v>1032</v>
      </c>
      <c r="B80" s="11">
        <f>'Net zero Activity data'!AD10-'Net zero supporting data'!B75</f>
        <v>544425.44678784802</v>
      </c>
      <c r="C80" s="11">
        <f>'Net zero Activity data'!AE10-'Net zero supporting data'!C75</f>
        <v>563815.25409722852</v>
      </c>
      <c r="D80" s="11">
        <f>'Net zero Activity data'!AF10-'Net zero supporting data'!D75</f>
        <v>579205.48050671967</v>
      </c>
      <c r="E80" s="11">
        <f>'Net zero Activity data'!AG10-'Net zero supporting data'!E75</f>
        <v>588722.95646496292</v>
      </c>
      <c r="F80" s="11">
        <f>'Net zero Activity data'!AH10-'Net zero supporting data'!F75</f>
        <v>598260.30078749277</v>
      </c>
      <c r="G80" s="11">
        <f>'Net zero Activity data'!AI10-'Net zero supporting data'!G75</f>
        <v>610925.73677676241</v>
      </c>
      <c r="H80" s="11">
        <f>'Net zero Activity data'!AJ10-'Net zero supporting data'!H75</f>
        <v>624646.75853090361</v>
      </c>
      <c r="I80" s="11">
        <f>'Net zero Activity data'!AK10-'Net zero supporting data'!I75</f>
        <v>631787.34034937981</v>
      </c>
      <c r="J80" s="11">
        <f>'Net zero Activity data'!AL10-'Net zero supporting data'!J75</f>
        <v>576398.87297452381</v>
      </c>
      <c r="K80" s="11">
        <f>'Net zero Activity data'!AM10-'Net zero supporting data'!K75</f>
        <v>573532.00534244382</v>
      </c>
      <c r="L80" s="11">
        <f>'Net zero Activity data'!AN10-'Net zero supporting data'!L75</f>
        <v>567737.61267320416</v>
      </c>
      <c r="M80" s="11">
        <f>'Net zero Activity data'!AO10-'Net zero supporting data'!M75</f>
        <v>560641.98746965453</v>
      </c>
      <c r="N80" s="11">
        <f>'Net zero Activity data'!AP10-'Net zero supporting data'!N75</f>
        <v>554517.9311162855</v>
      </c>
      <c r="O80" s="11">
        <f>'Net zero Activity data'!AQ10-'Net zero supporting data'!O75</f>
        <v>546854.28063212882</v>
      </c>
      <c r="P80" s="11">
        <f>'Net zero Activity data'!AR10-'Net zero supporting data'!P75</f>
        <v>538036.65212977747</v>
      </c>
      <c r="Q80" s="11">
        <f>'Net zero Activity data'!AS10-'Net zero supporting data'!Q75</f>
        <v>527065.22899798327</v>
      </c>
      <c r="R80" s="11">
        <f>'Net zero Activity data'!AT10-'Net zero supporting data'!R75</f>
        <v>515198.08307506621</v>
      </c>
      <c r="S80" s="11">
        <f>'Net zero Activity data'!AU10-'Net zero supporting data'!S75</f>
        <v>500679.63003264973</v>
      </c>
      <c r="T80" s="11">
        <f>'Net zero Activity data'!AV10-'Net zero supporting data'!T75</f>
        <v>484668.30813856539</v>
      </c>
      <c r="U80" s="11">
        <f>'Net zero Activity data'!AW10-'Net zero supporting data'!U75</f>
        <v>485185.05958892044</v>
      </c>
      <c r="V80" s="11">
        <f>'Net zero Activity data'!AX10-'Net zero supporting data'!V75</f>
        <v>485788.1146748605</v>
      </c>
      <c r="W80" s="11">
        <f>'Net zero Activity data'!AY10-'Net zero supporting data'!W75</f>
        <v>485792.11671038484</v>
      </c>
      <c r="X80" s="11">
        <f>'Net zero Activity data'!AZ10-'Net zero supporting data'!X75</f>
        <v>472605.78573636751</v>
      </c>
      <c r="Y80" s="11">
        <f>'Net zero Activity data'!BA10-'Net zero supporting data'!Y75</f>
        <v>-110654.98948068585</v>
      </c>
      <c r="Z80" s="11">
        <f>'Net zero Activity data'!BB10-'Net zero supporting data'!Z75</f>
        <v>-107131.01828094227</v>
      </c>
      <c r="AA80" s="11">
        <f>'Net zero Activity data'!BC10-'Net zero supporting data'!AA75</f>
        <v>-103537.94236865576</v>
      </c>
      <c r="AB80" s="11">
        <f>'Net zero Activity data'!BD10-'Net zero supporting data'!AB75</f>
        <v>-99875.021685769287</v>
      </c>
      <c r="AC80" s="11">
        <f>'Net zero Activity data'!BE10-'Net zero supporting data'!AC75</f>
        <v>-96141.506916368497</v>
      </c>
      <c r="AD80" s="11">
        <f>'Net zero Activity data'!BF10-'Net zero supporting data'!AD75</f>
        <v>-92336.639394684666</v>
      </c>
      <c r="AE80" s="11">
        <f>'Net zero Activity data'!BG10-'Net zero supporting data'!AE75</f>
        <v>-88290.111578424083</v>
      </c>
      <c r="AF80" s="11">
        <f>'Net zero Activity data'!BH10-'Net zero supporting data'!AF75</f>
        <v>-84186.747587310441</v>
      </c>
      <c r="AG80" s="11">
        <f>'Net zero Activity data'!BI10-'Net zero supporting data'!AG75</f>
        <v>-80026.03762926202</v>
      </c>
      <c r="AH80" s="11">
        <f>'Net zero Activity data'!BJ10-'Net zero supporting data'!AH75</f>
        <v>-75807.466675810312</v>
      </c>
      <c r="AI80" s="11">
        <f>'Net zero Activity data'!BK10-'Net zero supporting data'!AI75</f>
        <v>-71530.514419349289</v>
      </c>
      <c r="AJ80" s="11">
        <f>'Net zero Activity data'!BL10-'Net zero supporting data'!AJ75</f>
        <v>-67148.987510643929</v>
      </c>
      <c r="AK80" s="11">
        <f>'Net zero Activity data'!BM10-'Net zero supporting data'!AK75</f>
        <v>-62713.842469414696</v>
      </c>
      <c r="AL80" s="11">
        <f>'Net zero Activity data'!BN10-'Net zero supporting data'!AL75</f>
        <v>-58224.698749426752</v>
      </c>
      <c r="AM80" s="11">
        <f>'Net zero Activity data'!BO10-'Net zero supporting data'!AM75</f>
        <v>-53681.172512423916</v>
      </c>
      <c r="AN80" s="11">
        <f>'Net zero Activity data'!BP10-'Net zero supporting data'!AN75</f>
        <v>-49082.87660682149</v>
      </c>
    </row>
    <row r="82" spans="1:48" x14ac:dyDescent="0.25">
      <c r="A82" t="s">
        <v>1366</v>
      </c>
      <c r="B82">
        <f>'Intermediate calculations'!Y16-(('Intermediate calculations'!Y16-'Net zero supporting data'!B99)+('Intermediate calculations'!Y16-'Net zero supporting data'!B63))</f>
        <v>0.59036032260533733</v>
      </c>
      <c r="C82">
        <f>'Intermediate calculations'!Z16-(('Intermediate calculations'!Z16-'Net zero supporting data'!C99)+('Intermediate calculations'!Z16-'Net zero supporting data'!C63))</f>
        <v>0.58537997662592556</v>
      </c>
      <c r="D82">
        <f>'Intermediate calculations'!AA16-(('Intermediate calculations'!AA16-'Net zero supporting data'!D99)+('Intermediate calculations'!AA16-'Net zero supporting data'!D63))</f>
        <v>0.58070166069623075</v>
      </c>
      <c r="E82">
        <f>'Intermediate calculations'!AB16-(('Intermediate calculations'!AB16-'Net zero supporting data'!E99)+('Intermediate calculations'!AB16-'Net zero supporting data'!E63))</f>
        <v>0.57629082711126922</v>
      </c>
      <c r="F82">
        <f>'Intermediate calculations'!AC16-(('Intermediate calculations'!AC16-'Net zero supporting data'!F99)+('Intermediate calculations'!AC16-'Net zero supporting data'!F63))</f>
        <v>0.57211853646492172</v>
      </c>
      <c r="G82">
        <f>'Intermediate calculations'!AD16-(('Intermediate calculations'!AD16-'Net zero supporting data'!G99)+('Intermediate calculations'!AD16-'Net zero supporting data'!G63))</f>
        <v>0.56816030581489985</v>
      </c>
      <c r="H82">
        <f>'Intermediate calculations'!AE16-(('Intermediate calculations'!AE16-'Net zero supporting data'!H99)+('Intermediate calculations'!AE16-'Net zero supporting data'!H63))</f>
        <v>0.56439523816734538</v>
      </c>
      <c r="I82">
        <f>'Intermediate calculations'!AF16-(('Intermediate calculations'!AF16-'Net zero supporting data'!I99)+('Intermediate calculations'!AF16-'Net zero supporting data'!I63))</f>
        <v>0.56080535465675874</v>
      </c>
      <c r="J82">
        <f>'Intermediate calculations'!AG16-(('Intermediate calculations'!AG16-'Net zero supporting data'!J99)+('Intermediate calculations'!AG16-'Net zero supporting data'!J63))</f>
        <v>0.5573750752965374</v>
      </c>
      <c r="K82">
        <f>'Intermediate calculations'!AH16-(('Intermediate calculations'!AH16-'Net zero supporting data'!K99)+('Intermediate calculations'!AH16-'Net zero supporting data'!K63))</f>
        <v>0.54965808383826509</v>
      </c>
      <c r="L82">
        <f>'Intermediate calculations'!AI16-(('Intermediate calculations'!AI16-'Net zero supporting data'!L99)+('Intermediate calculations'!AI16-'Net zero supporting data'!L63))</f>
        <v>0.54212558484381212</v>
      </c>
      <c r="M82">
        <f>'Intermediate calculations'!AJ16-(('Intermediate calculations'!AJ16-'Net zero supporting data'!M99)+('Intermediate calculations'!AJ16-'Net zero supporting data'!M63))</f>
        <v>0.53476409161581684</v>
      </c>
      <c r="N82">
        <f>'Intermediate calculations'!AK16-(('Intermediate calculations'!AK16-'Net zero supporting data'!N99)+('Intermediate calculations'!AK16-'Net zero supporting data'!N63))</f>
        <v>0.52756160766037774</v>
      </c>
      <c r="O82">
        <f>'Intermediate calculations'!AL16-(('Intermediate calculations'!AL16-'Net zero supporting data'!O99)+('Intermediate calculations'!AL16-'Net zero supporting data'!O63))</f>
        <v>0.52050741252183164</v>
      </c>
      <c r="P82">
        <f>'Intermediate calculations'!AM16-(('Intermediate calculations'!AM16-'Net zero supporting data'!P99)+('Intermediate calculations'!AM16-'Net zero supporting data'!P63))</f>
        <v>0.51359188492897778</v>
      </c>
      <c r="Q82">
        <f>'Intermediate calculations'!AN16-(('Intermediate calculations'!AN16-'Net zero supporting data'!Q99)+('Intermediate calculations'!AN16-'Net zero supporting data'!Q63))</f>
        <v>0.50680635569725696</v>
      </c>
      <c r="R82">
        <f>'Intermediate calculations'!AO16-(('Intermediate calculations'!AO16-'Net zero supporting data'!R99)+('Intermediate calculations'!AO16-'Net zero supporting data'!R63))</f>
        <v>0.50014298456044559</v>
      </c>
      <c r="S82">
        <f>'Intermediate calculations'!AP16-(('Intermediate calculations'!AP16-'Net zero supporting data'!S99)+('Intermediate calculations'!AP16-'Net zero supporting data'!S63))</f>
        <v>0.49359465639620581</v>
      </c>
      <c r="T82">
        <f>'Intermediate calculations'!AQ16-(('Intermediate calculations'!AQ16-'Net zero supporting data'!T99)+('Intermediate calculations'!AQ16-'Net zero supporting data'!T63))</f>
        <v>0.48715489328353184</v>
      </c>
      <c r="U82">
        <f>'Intermediate calculations'!AR16-(('Intermediate calculations'!AR16-'Net zero supporting data'!U99)+('Intermediate calculations'!AR16-'Net zero supporting data'!U63))</f>
        <v>0.48424466067624239</v>
      </c>
      <c r="V82">
        <f>'Intermediate calculations'!AS16-(('Intermediate calculations'!AS16-'Net zero supporting data'!V99)+('Intermediate calculations'!AS16-'Net zero supporting data'!V63))</f>
        <v>0.48140257986891394</v>
      </c>
      <c r="W82">
        <f>'Intermediate calculations'!AT16-(('Intermediate calculations'!AT16-'Net zero supporting data'!W99)+('Intermediate calculations'!AT16-'Net zero supporting data'!W63))</f>
        <v>0.47862490509640809</v>
      </c>
      <c r="X82">
        <f>'Intermediate calculations'!AU16-(('Intermediate calculations'!AU16-'Net zero supporting data'!X99)+('Intermediate calculations'!AU16-'Net zero supporting data'!X63))</f>
        <v>0.47590819595315087</v>
      </c>
      <c r="Y82">
        <f>'Intermediate calculations'!AV16-(('Intermediate calculations'!AV16-'Net zero supporting data'!Y99)+('Intermediate calculations'!AV16-'Net zero supporting data'!Y63))</f>
        <v>0.4732492849495688</v>
      </c>
      <c r="Z82">
        <f>'Intermediate calculations'!AW16-(('Intermediate calculations'!AW16-'Net zero supporting data'!Z99)+('Intermediate calculations'!AW16-'Net zero supporting data'!Z63))</f>
        <v>0.47064524927270812</v>
      </c>
      <c r="AA82">
        <f>'Intermediate calculations'!AX16-(('Intermediate calculations'!AX16-'Net zero supporting data'!AA99)+('Intermediate calculations'!AX16-'Net zero supporting data'!AA63))</f>
        <v>0.46809338611326562</v>
      </c>
      <c r="AB82">
        <f>'Intermediate calculations'!AY16-(('Intermediate calculations'!AY16-'Net zero supporting data'!AB99)+('Intermediate calculations'!AY16-'Net zero supporting data'!AB63))</f>
        <v>0.46559119103139651</v>
      </c>
      <c r="AC82">
        <f>'Intermediate calculations'!AZ16-(('Intermediate calculations'!AZ16-'Net zero supporting data'!AC99)+('Intermediate calculations'!AZ16-'Net zero supporting data'!AC63))</f>
        <v>0.46313633892259948</v>
      </c>
      <c r="AD82">
        <f>'Intermediate calculations'!BA16-(('Intermediate calculations'!BA16-'Net zero supporting data'!AD99)+('Intermediate calculations'!BA16-'Net zero supporting data'!AD63))</f>
        <v>0.46072666721716049</v>
      </c>
      <c r="AE82">
        <f>'Intermediate calculations'!BB16-(('Intermediate calculations'!BB16-'Net zero supporting data'!AE99)+('Intermediate calculations'!BB16-'Net zero supporting data'!AE63))</f>
        <v>0.45836016100556898</v>
      </c>
      <c r="AF82">
        <f>'Intermediate calculations'!BC16-(('Intermediate calculations'!BC16-'Net zero supporting data'!AF99)+('Intermediate calculations'!BC16-'Net zero supporting data'!AF63))</f>
        <v>0.45603493983065041</v>
      </c>
      <c r="AG82">
        <f>'Intermediate calculations'!BD16-(('Intermediate calculations'!BD16-'Net zero supporting data'!AG99)+('Intermediate calculations'!BD16-'Net zero supporting data'!AG63))</f>
        <v>0.453749245927006</v>
      </c>
      <c r="AH82">
        <f>'Intermediate calculations'!BE16-(('Intermediate calculations'!BE16-'Net zero supporting data'!AH99)+('Intermediate calculations'!BE16-'Net zero supporting data'!AH63))</f>
        <v>0.45150143372134133</v>
      </c>
      <c r="AI82">
        <f>'Intermediate calculations'!BF16-(('Intermediate calculations'!BF16-'Net zero supporting data'!AI99)+('Intermediate calculations'!BF16-'Net zero supporting data'!AI63))</f>
        <v>0.44928996043470693</v>
      </c>
      <c r="AJ82">
        <f>'Intermediate calculations'!BG16-(('Intermediate calculations'!BG16-'Net zero supporting data'!AJ99)+('Intermediate calculations'!BG16-'Net zero supporting data'!AJ63))</f>
        <v>0.44711337765058967</v>
      </c>
      <c r="AK82">
        <f>'Intermediate calculations'!BH16-(('Intermediate calculations'!BH16-'Net zero supporting data'!AK99)+('Intermediate calculations'!BH16-'Net zero supporting data'!AK63))</f>
        <v>0.44497032373201256</v>
      </c>
      <c r="AL82">
        <f>'Intermediate calculations'!BI16-(('Intermediate calculations'!BI16-'Net zero supporting data'!AL99)+('Intermediate calculations'!BI16-'Net zero supporting data'!AL63))</f>
        <v>0.44285951698697568</v>
      </c>
      <c r="AM82">
        <f>'Intermediate calculations'!BJ16-(('Intermediate calculations'!BJ16-'Net zero supporting data'!AM99)+('Intermediate calculations'!BJ16-'Net zero supporting data'!AM63))</f>
        <v>0.44077974949523197</v>
      </c>
      <c r="AN82">
        <f>'Intermediate calculations'!BK16-(('Intermediate calculations'!BK16-'Net zero supporting data'!AN99)+('Intermediate calculations'!BK16-'Net zero supporting data'!AN63))</f>
        <v>0.43872988152097986</v>
      </c>
    </row>
    <row r="83" spans="1:48" x14ac:dyDescent="0.25">
      <c r="A83" t="s">
        <v>1367</v>
      </c>
      <c r="B83">
        <f>'Intermediate calculations'!Y11-(('Intermediate calculations'!Y11-'Net zero supporting data'!B100)+('Intermediate calculations'!Y11-'Net zero supporting data'!B64))</f>
        <v>40.8467048596981</v>
      </c>
      <c r="C83">
        <f>'Intermediate calculations'!Z11-(('Intermediate calculations'!Z11-'Net zero supporting data'!C100)+('Intermediate calculations'!Z11-'Net zero supporting data'!C64))</f>
        <v>40.12921467335272</v>
      </c>
      <c r="D83">
        <f>'Intermediate calculations'!AA11-(('Intermediate calculations'!AA11-'Net zero supporting data'!D100)+('Intermediate calculations'!AA11-'Net zero supporting data'!D64))</f>
        <v>39.455236242525764</v>
      </c>
      <c r="E83">
        <f>'Intermediate calculations'!AB11-(('Intermediate calculations'!AB11-'Net zero supporting data'!E100)+('Intermediate calculations'!AB11-'Net zero supporting data'!E64))</f>
        <v>38.819792475386876</v>
      </c>
      <c r="F83">
        <f>'Intermediate calculations'!AC11-(('Intermediate calculations'!AC11-'Net zero supporting data'!F100)+('Intermediate calculations'!AC11-'Net zero supporting data'!F64))</f>
        <v>38.218714235901089</v>
      </c>
      <c r="G83">
        <f>'Intermediate calculations'!AD11-(('Intermediate calculations'!AD11-'Net zero supporting data'!G100)+('Intermediate calculations'!AD11-'Net zero supporting data'!G64))</f>
        <v>37.648474405491221</v>
      </c>
      <c r="H83">
        <f>'Intermediate calculations'!AE11-(('Intermediate calculations'!AE11-'Net zero supporting data'!H100)+('Intermediate calculations'!AE11-'Net zero supporting data'!H64))</f>
        <v>37.106062472823481</v>
      </c>
      <c r="I83">
        <f>'Intermediate calculations'!AF11-(('Intermediate calculations'!AF11-'Net zero supporting data'!I100)+('Intermediate calculations'!AF11-'Net zero supporting data'!I64))</f>
        <v>36.588888324758926</v>
      </c>
      <c r="J83">
        <f>'Intermediate calculations'!AG11-(('Intermediate calculations'!AG11-'Net zero supporting data'!J100)+('Intermediate calculations'!AG11-'Net zero supporting data'!J64))</f>
        <v>36.094707441029918</v>
      </c>
      <c r="K83">
        <f>'Intermediate calculations'!AH11-(('Intermediate calculations'!AH11-'Net zero supporting data'!K100)+('Intermediate calculations'!AH11-'Net zero supporting data'!K64))</f>
        <v>35.336589525010552</v>
      </c>
      <c r="L83">
        <f>'Intermediate calculations'!AI11-(('Intermediate calculations'!AI11-'Net zero supporting data'!L100)+('Intermediate calculations'!AI11-'Net zero supporting data'!L64))</f>
        <v>34.605050391427653</v>
      </c>
      <c r="M83">
        <f>'Intermediate calculations'!AJ11-(('Intermediate calculations'!AJ11-'Net zero supporting data'!M100)+('Intermediate calculations'!AJ11-'Net zero supporting data'!M64))</f>
        <v>33.898147088316975</v>
      </c>
      <c r="N83">
        <f>'Intermediate calculations'!AK11-(('Intermediate calculations'!AK11-'Net zero supporting data'!N100)+('Intermediate calculations'!AK11-'Net zero supporting data'!N64))</f>
        <v>33.21415134887129</v>
      </c>
      <c r="O83">
        <f>'Intermediate calculations'!AL11-(('Intermediate calculations'!AL11-'Net zero supporting data'!O100)+('Intermediate calculations'!AL11-'Net zero supporting data'!O64))</f>
        <v>32.551518737871938</v>
      </c>
      <c r="P83">
        <f>'Intermediate calculations'!AM11-(('Intermediate calculations'!AM11-'Net zero supporting data'!P100)+('Intermediate calculations'!AM11-'Net zero supporting data'!P64))</f>
        <v>31.908863173368985</v>
      </c>
      <c r="Q83">
        <f>'Intermediate calculations'!AN11-(('Intermediate calculations'!AN11-'Net zero supporting data'!Q100)+('Intermediate calculations'!AN11-'Net zero supporting data'!Q64))</f>
        <v>31.284935735132656</v>
      </c>
      <c r="R83">
        <f>'Intermediate calculations'!AO11-(('Intermediate calculations'!AO11-'Net zero supporting data'!R100)+('Intermediate calculations'!AO11-'Net zero supporting data'!R64))</f>
        <v>30.678606920494495</v>
      </c>
      <c r="S83">
        <f>'Intermediate calculations'!AP11-(('Intermediate calculations'!AP11-'Net zero supporting data'!S100)+('Intermediate calculations'!AP11-'Net zero supporting data'!S64))</f>
        <v>30.08885169415105</v>
      </c>
      <c r="T83">
        <f>'Intermediate calculations'!AQ11-(('Intermediate calculations'!AQ11-'Net zero supporting data'!T100)+('Intermediate calculations'!AQ11-'Net zero supporting data'!T64))</f>
        <v>29.514736818779308</v>
      </c>
      <c r="U83">
        <f>'Intermediate calculations'!AR11-(('Intermediate calculations'!AR11-'Net zero supporting data'!U100)+('Intermediate calculations'!AR11-'Net zero supporting data'!U64))</f>
        <v>29.161780855550244</v>
      </c>
      <c r="V83">
        <f>'Intermediate calculations'!AS11-(('Intermediate calculations'!AS11-'Net zero supporting data'!V100)+('Intermediate calculations'!AS11-'Net zero supporting data'!V64))</f>
        <v>28.818643135442436</v>
      </c>
      <c r="W83">
        <f>'Intermediate calculations'!AT11-(('Intermediate calculations'!AT11-'Net zero supporting data'!W100)+('Intermediate calculations'!AT11-'Net zero supporting data'!W64))</f>
        <v>28.484784027326153</v>
      </c>
      <c r="X83">
        <f>'Intermediate calculations'!AU11-(('Intermediate calculations'!AU11-'Net zero supporting data'!X100)+('Intermediate calculations'!AU11-'Net zero supporting data'!X64))</f>
        <v>28.159707891491554</v>
      </c>
      <c r="Y83">
        <f>'Intermediate calculations'!AV11-(('Intermediate calculations'!AV11-'Net zero supporting data'!Y100)+('Intermediate calculations'!AV11-'Net zero supporting data'!Y64))</f>
        <v>27.84295840568835</v>
      </c>
      <c r="Z83">
        <f>'Intermediate calculations'!AW11-(('Intermediate calculations'!AW11-'Net zero supporting data'!Z100)+('Intermediate calculations'!AW11-'Net zero supporting data'!Z64))</f>
        <v>27.53411449683864</v>
      </c>
      <c r="AA83">
        <f>'Intermediate calculations'!AX11-(('Intermediate calculations'!AX11-'Net zero supporting data'!AA100)+('Intermediate calculations'!AX11-'Net zero supporting data'!AA64))</f>
        <v>27.232786786542011</v>
      </c>
      <c r="AB83">
        <f>'Intermediate calculations'!AY11-(('Intermediate calculations'!AY11-'Net zero supporting data'!AB100)+('Intermediate calculations'!AY11-'Net zero supporting data'!AB64))</f>
        <v>26.938614474360485</v>
      </c>
      <c r="AC83">
        <f>'Intermediate calculations'!AZ11-(('Intermediate calculations'!AZ11-'Net zero supporting data'!AC100)+('Intermediate calculations'!AZ11-'Net zero supporting data'!AC64))</f>
        <v>26.65126259568137</v>
      </c>
      <c r="AD83">
        <f>'Intermediate calculations'!BA11-(('Intermediate calculations'!BA11-'Net zero supporting data'!AD100)+('Intermediate calculations'!BA11-'Net zero supporting data'!AD64))</f>
        <v>26.370419601356595</v>
      </c>
      <c r="AE83">
        <f>'Intermediate calculations'!BB11-(('Intermediate calculations'!BB11-'Net zero supporting data'!AE100)+('Intermediate calculations'!BB11-'Net zero supporting data'!AE64))</f>
        <v>26.095795214805722</v>
      </c>
      <c r="AF83">
        <f>'Intermediate calculations'!BC11-(('Intermediate calculations'!BC11-'Net zero supporting data'!AF100)+('Intermediate calculations'!BC11-'Net zero supporting data'!AF64))</f>
        <v>25.827118529233481</v>
      </c>
      <c r="AG83">
        <f>'Intermediate calculations'!BD11-(('Intermediate calculations'!BD11-'Net zero supporting data'!AG100)+('Intermediate calculations'!BD11-'Net zero supporting data'!AG64))</f>
        <v>25.564136313352602</v>
      </c>
      <c r="AH83">
        <f>'Intermediate calculations'!BE11-(('Intermediate calculations'!BE11-'Net zero supporting data'!AH100)+('Intermediate calculations'!BE11-'Net zero supporting data'!AH64))</f>
        <v>25.306611498755704</v>
      </c>
      <c r="AI83">
        <f>'Intermediate calculations'!BF11-(('Intermediate calculations'!BF11-'Net zero supporting data'!AI100)+('Intermediate calculations'!BF11-'Net zero supporting data'!AI64))</f>
        <v>25.054321826033341</v>
      </c>
      <c r="AJ83">
        <f>'Intermediate calculations'!BG11-(('Intermediate calculations'!BG11-'Net zero supporting data'!AJ100)+('Intermediate calculations'!BG11-'Net zero supporting data'!AJ64))</f>
        <v>24.807058630036913</v>
      </c>
      <c r="AK83">
        <f>'Intermediate calculations'!BH11-(('Intermediate calculations'!BH11-'Net zero supporting data'!AK100)+('Intermediate calculations'!BH11-'Net zero supporting data'!AK64))</f>
        <v>24.564625747453231</v>
      </c>
      <c r="AL83">
        <f>'Intermediate calculations'!BI11-(('Intermediate calculations'!BI11-'Net zero supporting data'!AL100)+('Intermediate calculations'!BI11-'Net zero supporting data'!AL64))</f>
        <v>24.326838532188276</v>
      </c>
      <c r="AM83">
        <f>'Intermediate calculations'!BJ11-(('Intermediate calculations'!BJ11-'Net zero supporting data'!AM100)+('Intermediate calculations'!BJ11-'Net zero supporting data'!AM64))</f>
        <v>24.09352296602588</v>
      </c>
      <c r="AN83">
        <f>'Intermediate calculations'!BK11-(('Intermediate calculations'!BK11-'Net zero supporting data'!AN100)+('Intermediate calculations'!BK11-'Net zero supporting data'!AN64))</f>
        <v>23.864514853696082</v>
      </c>
    </row>
    <row r="84" spans="1:48" x14ac:dyDescent="0.25">
      <c r="A84" t="s">
        <v>1374</v>
      </c>
      <c r="B84">
        <f>'Intermediate calculations'!Y64+(('Intermediate calculations'!Y64-'Net zero supporting data'!B101)+('Intermediate calculations'!Y64-'Net zero supporting data'!B65))</f>
        <v>0.57999999999999996</v>
      </c>
      <c r="C84">
        <f>'Intermediate calculations'!Z64+(('Intermediate calculations'!Z64-'Net zero supporting data'!C101)+('Intermediate calculations'!Z64-'Net zero supporting data'!C65))</f>
        <v>0.57999999999999996</v>
      </c>
      <c r="D84">
        <f>'Intermediate calculations'!AA64+(('Intermediate calculations'!AA64-'Net zero supporting data'!D101)+('Intermediate calculations'!AA64-'Net zero supporting data'!D65))</f>
        <v>0.57999999999999996</v>
      </c>
      <c r="E84">
        <f>'Intermediate calculations'!AB64+(('Intermediate calculations'!AB64-'Net zero supporting data'!E101)+('Intermediate calculations'!AB64-'Net zero supporting data'!E65))</f>
        <v>0.57999999999999996</v>
      </c>
      <c r="F84">
        <f>'Intermediate calculations'!AC64+(('Intermediate calculations'!AC64-'Net zero supporting data'!F101)+('Intermediate calculations'!AC64-'Net zero supporting data'!F65))</f>
        <v>0.57999999999999996</v>
      </c>
      <c r="G84">
        <f>'Intermediate calculations'!AD64+(('Intermediate calculations'!AD64-'Net zero supporting data'!G101)+('Intermediate calculations'!AD64-'Net zero supporting data'!G65))</f>
        <v>0.57999999999999996</v>
      </c>
      <c r="H84">
        <f>'Intermediate calculations'!AE64+(('Intermediate calculations'!AE64-'Net zero supporting data'!H101)+('Intermediate calculations'!AE64-'Net zero supporting data'!H65))</f>
        <v>0.57999999999999996</v>
      </c>
      <c r="I84">
        <f>'Intermediate calculations'!AF64+(('Intermediate calculations'!AF64-'Net zero supporting data'!I101)+('Intermediate calculations'!AF64-'Net zero supporting data'!I65))</f>
        <v>0.57999999999999996</v>
      </c>
      <c r="J84">
        <f>'Intermediate calculations'!AG64+(('Intermediate calculations'!AG64-'Net zero supporting data'!J101)+('Intermediate calculations'!AG64-'Net zero supporting data'!J65))</f>
        <v>0.57999999999999996</v>
      </c>
      <c r="K84">
        <f>'Intermediate calculations'!AH64+(('Intermediate calculations'!AH64-'Net zero supporting data'!K101)+('Intermediate calculations'!AH64-'Net zero supporting data'!K65))</f>
        <v>0.57767999999999997</v>
      </c>
      <c r="L84">
        <f>'Intermediate calculations'!AI64+(('Intermediate calculations'!AI64-'Net zero supporting data'!L101)+('Intermediate calculations'!AI64-'Net zero supporting data'!L65))</f>
        <v>0.57535999999999998</v>
      </c>
      <c r="M84">
        <f>'Intermediate calculations'!AJ64+(('Intermediate calculations'!AJ64-'Net zero supporting data'!M101)+('Intermediate calculations'!AJ64-'Net zero supporting data'!M65))</f>
        <v>0.57303999999999999</v>
      </c>
      <c r="N84">
        <f>'Intermediate calculations'!AK64+(('Intermediate calculations'!AK64-'Net zero supporting data'!N101)+('Intermediate calculations'!AK64-'Net zero supporting data'!N65))</f>
        <v>0.57071999999999989</v>
      </c>
      <c r="O84">
        <f>'Intermediate calculations'!AL64+(('Intermediate calculations'!AL64-'Net zero supporting data'!O101)+('Intermediate calculations'!AL64-'Net zero supporting data'!O65))</f>
        <v>0.56840000000000002</v>
      </c>
      <c r="P84">
        <f>'Intermediate calculations'!AM64+(('Intermediate calculations'!AM64-'Net zero supporting data'!P101)+('Intermediate calculations'!AM64-'Net zero supporting data'!P65))</f>
        <v>0.56607999999999992</v>
      </c>
      <c r="Q84">
        <f>'Intermediate calculations'!AN64+(('Intermediate calculations'!AN64-'Net zero supporting data'!Q101)+('Intermediate calculations'!AN64-'Net zero supporting data'!Q65))</f>
        <v>0.56375999999999993</v>
      </c>
      <c r="R84">
        <f>'Intermediate calculations'!AO64+(('Intermediate calculations'!AO64-'Net zero supporting data'!R101)+('Intermediate calculations'!AO64-'Net zero supporting data'!R65))</f>
        <v>0.56143999999999994</v>
      </c>
      <c r="S84">
        <f>'Intermediate calculations'!AP64+(('Intermediate calculations'!AP64-'Net zero supporting data'!S101)+('Intermediate calculations'!AP64-'Net zero supporting data'!S65))</f>
        <v>0.55911999999999995</v>
      </c>
      <c r="T84">
        <f>'Intermediate calculations'!AQ64+(('Intermediate calculations'!AQ64-'Net zero supporting data'!T101)+('Intermediate calculations'!AQ64-'Net zero supporting data'!T65))</f>
        <v>0.55679999999999996</v>
      </c>
      <c r="U84">
        <f>'Intermediate calculations'!AR64+(('Intermediate calculations'!AR64-'Net zero supporting data'!U101)+('Intermediate calculations'!AR64-'Net zero supporting data'!U65))</f>
        <v>0.55767</v>
      </c>
      <c r="V84">
        <f>'Intermediate calculations'!AS64+(('Intermediate calculations'!AS64-'Net zero supporting data'!V101)+('Intermediate calculations'!AS64-'Net zero supporting data'!V65))</f>
        <v>0.55854000000000004</v>
      </c>
      <c r="W84">
        <f>'Intermediate calculations'!AT64+(('Intermediate calculations'!AT64-'Net zero supporting data'!W101)+('Intermediate calculations'!AT64-'Net zero supporting data'!W65))</f>
        <v>0.55941000000000007</v>
      </c>
      <c r="X84">
        <f>'Intermediate calculations'!AU64+(('Intermediate calculations'!AU64-'Net zero supporting data'!X101)+('Intermediate calculations'!AU64-'Net zero supporting data'!X65))</f>
        <v>0.56028</v>
      </c>
      <c r="Y84">
        <f>'Intermediate calculations'!AV64+(('Intermediate calculations'!AV64-'Net zero supporting data'!Y101)+('Intermediate calculations'!AV64-'Net zero supporting data'!Y65))</f>
        <v>0.56115000000000004</v>
      </c>
      <c r="Z84">
        <f>'Intermediate calculations'!AW64+(('Intermediate calculations'!AW64-'Net zero supporting data'!Z101)+('Intermediate calculations'!AW64-'Net zero supporting data'!Z65))</f>
        <v>0.56202000000000008</v>
      </c>
      <c r="AA84">
        <f>'Intermediate calculations'!AX64+(('Intermediate calculations'!AX64-'Net zero supporting data'!AA101)+('Intermediate calculations'!AX64-'Net zero supporting data'!AA65))</f>
        <v>0.56289</v>
      </c>
      <c r="AB84">
        <f>'Intermediate calculations'!AY64+(('Intermediate calculations'!AY64-'Net zero supporting data'!AB101)+('Intermediate calculations'!AY64-'Net zero supporting data'!AB65))</f>
        <v>0.56376000000000004</v>
      </c>
      <c r="AC84">
        <f>'Intermediate calculations'!AZ64+(('Intermediate calculations'!AZ64-'Net zero supporting data'!AC101)+('Intermediate calculations'!AZ64-'Net zero supporting data'!AC65))</f>
        <v>0.56462999999999997</v>
      </c>
      <c r="AD84">
        <f>'Intermediate calculations'!BA64+(('Intermediate calculations'!BA64-'Net zero supporting data'!AD101)+('Intermediate calculations'!BA64-'Net zero supporting data'!AD65))</f>
        <v>0.5655</v>
      </c>
      <c r="AE84">
        <f>'Intermediate calculations'!BB64+(('Intermediate calculations'!BB64-'Net zero supporting data'!AE101)+('Intermediate calculations'!BB64-'Net zero supporting data'!AE65))</f>
        <v>0.56637000000000004</v>
      </c>
      <c r="AF84">
        <f>'Intermediate calculations'!BC64+(('Intermediate calculations'!BC64-'Net zero supporting data'!AF101)+('Intermediate calculations'!BC64-'Net zero supporting data'!AF65))</f>
        <v>0.56723999999999997</v>
      </c>
      <c r="AG84">
        <f>'Intermediate calculations'!BD64+(('Intermediate calculations'!BD64-'Net zero supporting data'!AG101)+('Intermediate calculations'!BD64-'Net zero supporting data'!AG65))</f>
        <v>0.56811</v>
      </c>
      <c r="AH84">
        <f>'Intermediate calculations'!BE64+(('Intermediate calculations'!BE64-'Net zero supporting data'!AH101)+('Intermediate calculations'!BE64-'Net zero supporting data'!AH65))</f>
        <v>0.56898000000000004</v>
      </c>
      <c r="AI84">
        <f>'Intermediate calculations'!BF64+(('Intermediate calculations'!BF64-'Net zero supporting data'!AI101)+('Intermediate calculations'!BF64-'Net zero supporting data'!AI65))</f>
        <v>0.56984999999999997</v>
      </c>
      <c r="AJ84">
        <f>'Intermediate calculations'!BG64+(('Intermediate calculations'!BG64-'Net zero supporting data'!AJ101)+('Intermediate calculations'!BG64-'Net zero supporting data'!AJ65))</f>
        <v>0.57072000000000001</v>
      </c>
      <c r="AK84">
        <f>'Intermediate calculations'!BH64+(('Intermediate calculations'!BH64-'Net zero supporting data'!AK101)+('Intermediate calculations'!BH64-'Net zero supporting data'!AK65))</f>
        <v>0.57159000000000004</v>
      </c>
      <c r="AL84">
        <f>'Intermediate calculations'!BI64+(('Intermediate calculations'!BI64-'Net zero supporting data'!AL101)+('Intermediate calculations'!BI64-'Net zero supporting data'!AL65))</f>
        <v>0.57245999999999997</v>
      </c>
      <c r="AM84">
        <f>'Intermediate calculations'!BJ64+(('Intermediate calculations'!BJ64-'Net zero supporting data'!AM101)+('Intermediate calculations'!BJ64-'Net zero supporting data'!AM65))</f>
        <v>0.57333000000000001</v>
      </c>
      <c r="AN84">
        <f>'Intermediate calculations'!BK64+(('Intermediate calculations'!BK64-'Net zero supporting data'!AN101)+('Intermediate calculations'!BK64-'Net zero supporting data'!AN65))</f>
        <v>0.57420000000000004</v>
      </c>
    </row>
    <row r="86" spans="1:48" s="120" customFormat="1" ht="15.75" x14ac:dyDescent="0.25">
      <c r="A86" s="116" t="s">
        <v>988</v>
      </c>
      <c r="B86" s="116" t="s">
        <v>1045</v>
      </c>
      <c r="C86" s="116"/>
      <c r="D86" s="116"/>
      <c r="E86" s="116"/>
      <c r="F86" s="116"/>
      <c r="G86" s="116"/>
      <c r="H86" s="116"/>
      <c r="I86" s="116"/>
      <c r="J86" s="118"/>
      <c r="K86" s="118"/>
      <c r="L86" s="118"/>
      <c r="M86" s="118"/>
      <c r="N86" s="118"/>
      <c r="O86" s="118"/>
      <c r="P86" s="119"/>
      <c r="Q86" s="119"/>
      <c r="R86" s="119"/>
      <c r="S86" s="119"/>
      <c r="T86" s="119"/>
      <c r="U86" s="119"/>
      <c r="V86" s="119"/>
      <c r="W86" s="119"/>
      <c r="X86" s="119"/>
      <c r="Y86" s="119"/>
      <c r="Z86" s="119"/>
      <c r="AA86" s="119"/>
      <c r="AB86" s="119"/>
      <c r="AC86" s="119"/>
      <c r="AD86" s="119"/>
      <c r="AE86" s="119"/>
      <c r="AF86" s="119"/>
      <c r="AG86" s="119"/>
      <c r="AH86" s="119"/>
      <c r="AI86" s="119"/>
      <c r="AJ86" s="119"/>
      <c r="AK86" s="119"/>
      <c r="AL86" s="119"/>
      <c r="AM86" s="119"/>
      <c r="AN86" s="119"/>
      <c r="AO86" s="119"/>
      <c r="AP86" s="119"/>
      <c r="AQ86" s="119"/>
      <c r="AR86" s="119"/>
      <c r="AS86" s="119"/>
      <c r="AT86" s="119"/>
      <c r="AU86" s="119"/>
      <c r="AV86" s="119"/>
    </row>
    <row r="87" spans="1:48" x14ac:dyDescent="0.25">
      <c r="A87" t="s">
        <v>1063</v>
      </c>
      <c r="B87">
        <f>'Net zero activities &amp; levers'!C46</f>
        <v>70</v>
      </c>
      <c r="C87">
        <f>B87</f>
        <v>70</v>
      </c>
      <c r="D87">
        <f t="shared" ref="D87:J87" si="180">C87</f>
        <v>70</v>
      </c>
      <c r="E87">
        <f t="shared" si="180"/>
        <v>70</v>
      </c>
      <c r="F87">
        <f t="shared" si="180"/>
        <v>70</v>
      </c>
      <c r="G87">
        <f t="shared" si="180"/>
        <v>70</v>
      </c>
      <c r="H87">
        <f t="shared" si="180"/>
        <v>70</v>
      </c>
      <c r="I87">
        <f t="shared" si="180"/>
        <v>70</v>
      </c>
      <c r="J87">
        <f t="shared" si="180"/>
        <v>70</v>
      </c>
      <c r="K87">
        <f t="shared" ref="K87:K96" si="181">J87+($T87-$J87)/10</f>
        <v>71</v>
      </c>
      <c r="L87">
        <f t="shared" ref="L87:L96" si="182">K87+($T87-$J87)/10</f>
        <v>72</v>
      </c>
      <c r="M87">
        <f t="shared" ref="M87:M96" si="183">L87+($T87-$J87)/10</f>
        <v>73</v>
      </c>
      <c r="N87">
        <f t="shared" ref="N87:N96" si="184">M87+($T87-$J87)/10</f>
        <v>74</v>
      </c>
      <c r="O87">
        <f t="shared" ref="O87:O96" si="185">N87+($T87-$J87)/10</f>
        <v>75</v>
      </c>
      <c r="P87">
        <f t="shared" ref="P87:P96" si="186">O87+($T87-$J87)/10</f>
        <v>76</v>
      </c>
      <c r="Q87">
        <f t="shared" ref="Q87:Q96" si="187">P87+($T87-$J87)/10</f>
        <v>77</v>
      </c>
      <c r="R87">
        <f t="shared" ref="R87:R96" si="188">Q87+($T87-$J87)/10</f>
        <v>78</v>
      </c>
      <c r="S87">
        <f t="shared" ref="S87:S96" si="189">R87+($T87-$J87)/10</f>
        <v>79</v>
      </c>
      <c r="T87">
        <f>'Net zero activities &amp; levers'!D46</f>
        <v>80</v>
      </c>
      <c r="U87">
        <f t="shared" ref="U87" si="190">T87+($AD87-$T87)/10</f>
        <v>80.5</v>
      </c>
      <c r="V87">
        <f t="shared" ref="V87" si="191">U87+($AD87-$T87)/10</f>
        <v>81</v>
      </c>
      <c r="W87">
        <f t="shared" ref="W87" si="192">V87+($AD87-$T87)/10</f>
        <v>81.5</v>
      </c>
      <c r="X87">
        <f t="shared" ref="X87" si="193">W87+($AD87-$T87)/10</f>
        <v>82</v>
      </c>
      <c r="Y87">
        <f t="shared" ref="Y87" si="194">X87+($AD87-$T87)/10</f>
        <v>82.5</v>
      </c>
      <c r="Z87">
        <f t="shared" ref="Z87" si="195">Y87+($AD87-$T87)/10</f>
        <v>83</v>
      </c>
      <c r="AA87">
        <f t="shared" ref="AA87" si="196">Z87+($AD87-$T87)/10</f>
        <v>83.5</v>
      </c>
      <c r="AB87">
        <f t="shared" ref="AB87" si="197">AA87+($AD87-$T87)/10</f>
        <v>84</v>
      </c>
      <c r="AC87">
        <f t="shared" ref="AC87" si="198">AB87+($AD87-$T87)/10</f>
        <v>84.5</v>
      </c>
      <c r="AD87">
        <f>'Net zero activities &amp; levers'!E46</f>
        <v>85</v>
      </c>
      <c r="AE87">
        <f t="shared" ref="AE87:AE96" si="199">AD87+($AN87-$AD87)/10</f>
        <v>85</v>
      </c>
      <c r="AF87">
        <f t="shared" ref="AF87:AF96" si="200">AE87+($AN87-$AD87)/10</f>
        <v>85</v>
      </c>
      <c r="AG87">
        <f t="shared" ref="AG87:AG96" si="201">AF87+($AN87-$AD87)/10</f>
        <v>85</v>
      </c>
      <c r="AH87">
        <f t="shared" ref="AH87:AH96" si="202">AG87+($AN87-$AD87)/10</f>
        <v>85</v>
      </c>
      <c r="AI87">
        <f t="shared" ref="AI87:AI96" si="203">AH87+($AN87-$AD87)/10</f>
        <v>85</v>
      </c>
      <c r="AJ87">
        <f t="shared" ref="AJ87:AJ96" si="204">AI87+($AN87-$AD87)/10</f>
        <v>85</v>
      </c>
      <c r="AK87">
        <f t="shared" ref="AK87:AK96" si="205">AJ87+($AN87-$AD87)/10</f>
        <v>85</v>
      </c>
      <c r="AL87">
        <f t="shared" ref="AL87:AL96" si="206">AK87+($AN87-$AD87)/10</f>
        <v>85</v>
      </c>
      <c r="AM87">
        <f t="shared" ref="AM87:AM96" si="207">AL87+($AN87-$AD87)/10</f>
        <v>85</v>
      </c>
      <c r="AN87">
        <f>'Net zero activities &amp; levers'!F46</f>
        <v>85</v>
      </c>
    </row>
    <row r="88" spans="1:48" x14ac:dyDescent="0.25">
      <c r="A88" t="s">
        <v>1064</v>
      </c>
      <c r="B88">
        <f>'Net zero activities &amp; levers'!C47</f>
        <v>70</v>
      </c>
      <c r="C88">
        <f t="shared" ref="C88:J96" si="208">B88</f>
        <v>70</v>
      </c>
      <c r="D88">
        <f t="shared" si="208"/>
        <v>70</v>
      </c>
      <c r="E88">
        <f t="shared" si="208"/>
        <v>70</v>
      </c>
      <c r="F88">
        <f t="shared" si="208"/>
        <v>70</v>
      </c>
      <c r="G88">
        <f t="shared" si="208"/>
        <v>70</v>
      </c>
      <c r="H88">
        <f t="shared" si="208"/>
        <v>70</v>
      </c>
      <c r="I88">
        <f t="shared" si="208"/>
        <v>70</v>
      </c>
      <c r="J88">
        <f t="shared" si="208"/>
        <v>70</v>
      </c>
      <c r="K88">
        <f t="shared" si="181"/>
        <v>71</v>
      </c>
      <c r="L88">
        <f t="shared" si="182"/>
        <v>72</v>
      </c>
      <c r="M88">
        <f t="shared" si="183"/>
        <v>73</v>
      </c>
      <c r="N88">
        <f t="shared" si="184"/>
        <v>74</v>
      </c>
      <c r="O88">
        <f t="shared" si="185"/>
        <v>75</v>
      </c>
      <c r="P88">
        <f t="shared" si="186"/>
        <v>76</v>
      </c>
      <c r="Q88">
        <f t="shared" si="187"/>
        <v>77</v>
      </c>
      <c r="R88">
        <f t="shared" si="188"/>
        <v>78</v>
      </c>
      <c r="S88">
        <f t="shared" si="189"/>
        <v>79</v>
      </c>
      <c r="T88">
        <f>'Net zero activities &amp; levers'!D47</f>
        <v>80</v>
      </c>
      <c r="U88">
        <f t="shared" ref="U88:U96" si="209">T88+($AD88-$T88)/10</f>
        <v>80</v>
      </c>
      <c r="V88">
        <f t="shared" ref="V88:V96" si="210">U88+($AD88-$T88)/10</f>
        <v>80</v>
      </c>
      <c r="W88">
        <f t="shared" ref="W88:W96" si="211">V88+($AD88-$T88)/10</f>
        <v>80</v>
      </c>
      <c r="X88">
        <f t="shared" ref="X88:X96" si="212">W88+($AD88-$T88)/10</f>
        <v>80</v>
      </c>
      <c r="Y88">
        <f t="shared" ref="Y88:Y96" si="213">X88+($AD88-$T88)/10</f>
        <v>80</v>
      </c>
      <c r="Z88">
        <f t="shared" ref="Z88:Z96" si="214">Y88+($AD88-$T88)/10</f>
        <v>80</v>
      </c>
      <c r="AA88">
        <f t="shared" ref="AA88:AA96" si="215">Z88+($AD88-$T88)/10</f>
        <v>80</v>
      </c>
      <c r="AB88">
        <f t="shared" ref="AB88:AB96" si="216">AA88+($AD88-$T88)/10</f>
        <v>80</v>
      </c>
      <c r="AC88">
        <f t="shared" ref="AC88:AC96" si="217">AB88+($AD88-$T88)/10</f>
        <v>80</v>
      </c>
      <c r="AD88">
        <f>'Net zero activities &amp; levers'!E47</f>
        <v>80</v>
      </c>
      <c r="AE88">
        <f t="shared" si="199"/>
        <v>80</v>
      </c>
      <c r="AF88">
        <f t="shared" si="200"/>
        <v>80</v>
      </c>
      <c r="AG88">
        <f t="shared" si="201"/>
        <v>80</v>
      </c>
      <c r="AH88">
        <f t="shared" si="202"/>
        <v>80</v>
      </c>
      <c r="AI88">
        <f t="shared" si="203"/>
        <v>80</v>
      </c>
      <c r="AJ88">
        <f t="shared" si="204"/>
        <v>80</v>
      </c>
      <c r="AK88">
        <f t="shared" si="205"/>
        <v>80</v>
      </c>
      <c r="AL88">
        <f t="shared" si="206"/>
        <v>80</v>
      </c>
      <c r="AM88">
        <f t="shared" si="207"/>
        <v>80</v>
      </c>
      <c r="AN88">
        <f>'Net zero activities &amp; levers'!F47</f>
        <v>80</v>
      </c>
    </row>
    <row r="89" spans="1:48" x14ac:dyDescent="0.25">
      <c r="A89" t="s">
        <v>1065</v>
      </c>
      <c r="B89">
        <f>'Net zero activities &amp; levers'!C48</f>
        <v>60</v>
      </c>
      <c r="C89">
        <f t="shared" si="208"/>
        <v>60</v>
      </c>
      <c r="D89">
        <f t="shared" si="208"/>
        <v>60</v>
      </c>
      <c r="E89">
        <f t="shared" si="208"/>
        <v>60</v>
      </c>
      <c r="F89">
        <f t="shared" si="208"/>
        <v>60</v>
      </c>
      <c r="G89">
        <f t="shared" si="208"/>
        <v>60</v>
      </c>
      <c r="H89">
        <f t="shared" si="208"/>
        <v>60</v>
      </c>
      <c r="I89">
        <f t="shared" si="208"/>
        <v>60</v>
      </c>
      <c r="J89">
        <f t="shared" si="208"/>
        <v>60</v>
      </c>
      <c r="K89">
        <f t="shared" si="181"/>
        <v>61</v>
      </c>
      <c r="L89">
        <f t="shared" si="182"/>
        <v>62</v>
      </c>
      <c r="M89">
        <f t="shared" si="183"/>
        <v>63</v>
      </c>
      <c r="N89">
        <f t="shared" si="184"/>
        <v>64</v>
      </c>
      <c r="O89">
        <f t="shared" si="185"/>
        <v>65</v>
      </c>
      <c r="P89">
        <f t="shared" si="186"/>
        <v>66</v>
      </c>
      <c r="Q89">
        <f t="shared" si="187"/>
        <v>67</v>
      </c>
      <c r="R89">
        <f t="shared" si="188"/>
        <v>68</v>
      </c>
      <c r="S89">
        <f t="shared" si="189"/>
        <v>69</v>
      </c>
      <c r="T89">
        <f>'Net zero activities &amp; levers'!D48</f>
        <v>70</v>
      </c>
      <c r="U89">
        <f t="shared" si="209"/>
        <v>70</v>
      </c>
      <c r="V89">
        <f t="shared" si="210"/>
        <v>70</v>
      </c>
      <c r="W89">
        <f t="shared" si="211"/>
        <v>70</v>
      </c>
      <c r="X89">
        <f t="shared" si="212"/>
        <v>70</v>
      </c>
      <c r="Y89">
        <f t="shared" si="213"/>
        <v>70</v>
      </c>
      <c r="Z89">
        <f t="shared" si="214"/>
        <v>70</v>
      </c>
      <c r="AA89">
        <f t="shared" si="215"/>
        <v>70</v>
      </c>
      <c r="AB89">
        <f t="shared" si="216"/>
        <v>70</v>
      </c>
      <c r="AC89">
        <f t="shared" si="217"/>
        <v>70</v>
      </c>
      <c r="AD89">
        <f>'Net zero activities &amp; levers'!E48</f>
        <v>70</v>
      </c>
      <c r="AE89">
        <f t="shared" si="199"/>
        <v>70</v>
      </c>
      <c r="AF89">
        <f t="shared" si="200"/>
        <v>70</v>
      </c>
      <c r="AG89">
        <f t="shared" si="201"/>
        <v>70</v>
      </c>
      <c r="AH89">
        <f t="shared" si="202"/>
        <v>70</v>
      </c>
      <c r="AI89">
        <f t="shared" si="203"/>
        <v>70</v>
      </c>
      <c r="AJ89">
        <f t="shared" si="204"/>
        <v>70</v>
      </c>
      <c r="AK89">
        <f t="shared" si="205"/>
        <v>70</v>
      </c>
      <c r="AL89">
        <f t="shared" si="206"/>
        <v>70</v>
      </c>
      <c r="AM89">
        <f t="shared" si="207"/>
        <v>70</v>
      </c>
      <c r="AN89">
        <f>'Net zero activities &amp; levers'!F48</f>
        <v>70</v>
      </c>
    </row>
    <row r="90" spans="1:48" x14ac:dyDescent="0.25">
      <c r="A90" t="s">
        <v>1066</v>
      </c>
      <c r="B90">
        <f>'Net zero activities &amp; levers'!C49</f>
        <v>60</v>
      </c>
      <c r="C90">
        <f t="shared" si="208"/>
        <v>60</v>
      </c>
      <c r="D90">
        <f t="shared" si="208"/>
        <v>60</v>
      </c>
      <c r="E90">
        <f t="shared" si="208"/>
        <v>60</v>
      </c>
      <c r="F90">
        <f t="shared" si="208"/>
        <v>60</v>
      </c>
      <c r="G90">
        <f t="shared" si="208"/>
        <v>60</v>
      </c>
      <c r="H90">
        <f t="shared" si="208"/>
        <v>60</v>
      </c>
      <c r="I90">
        <f t="shared" si="208"/>
        <v>60</v>
      </c>
      <c r="J90">
        <f t="shared" si="208"/>
        <v>60</v>
      </c>
      <c r="K90">
        <f t="shared" si="181"/>
        <v>61</v>
      </c>
      <c r="L90">
        <f t="shared" si="182"/>
        <v>62</v>
      </c>
      <c r="M90">
        <f t="shared" si="183"/>
        <v>63</v>
      </c>
      <c r="N90">
        <f t="shared" si="184"/>
        <v>64</v>
      </c>
      <c r="O90">
        <f t="shared" si="185"/>
        <v>65</v>
      </c>
      <c r="P90">
        <f t="shared" si="186"/>
        <v>66</v>
      </c>
      <c r="Q90">
        <f t="shared" si="187"/>
        <v>67</v>
      </c>
      <c r="R90">
        <f t="shared" si="188"/>
        <v>68</v>
      </c>
      <c r="S90">
        <f t="shared" si="189"/>
        <v>69</v>
      </c>
      <c r="T90">
        <f>'Net zero activities &amp; levers'!D49</f>
        <v>70</v>
      </c>
      <c r="U90">
        <f t="shared" si="209"/>
        <v>70</v>
      </c>
      <c r="V90">
        <f t="shared" si="210"/>
        <v>70</v>
      </c>
      <c r="W90">
        <f t="shared" si="211"/>
        <v>70</v>
      </c>
      <c r="X90">
        <f t="shared" si="212"/>
        <v>70</v>
      </c>
      <c r="Y90">
        <f t="shared" si="213"/>
        <v>70</v>
      </c>
      <c r="Z90">
        <f t="shared" si="214"/>
        <v>70</v>
      </c>
      <c r="AA90">
        <f t="shared" si="215"/>
        <v>70</v>
      </c>
      <c r="AB90">
        <f t="shared" si="216"/>
        <v>70</v>
      </c>
      <c r="AC90">
        <f t="shared" si="217"/>
        <v>70</v>
      </c>
      <c r="AD90">
        <f>'Net zero activities &amp; levers'!E49</f>
        <v>70</v>
      </c>
      <c r="AE90">
        <f t="shared" si="199"/>
        <v>70</v>
      </c>
      <c r="AF90">
        <f t="shared" si="200"/>
        <v>70</v>
      </c>
      <c r="AG90">
        <f t="shared" si="201"/>
        <v>70</v>
      </c>
      <c r="AH90">
        <f t="shared" si="202"/>
        <v>70</v>
      </c>
      <c r="AI90">
        <f t="shared" si="203"/>
        <v>70</v>
      </c>
      <c r="AJ90">
        <f t="shared" si="204"/>
        <v>70</v>
      </c>
      <c r="AK90">
        <f t="shared" si="205"/>
        <v>70</v>
      </c>
      <c r="AL90">
        <f t="shared" si="206"/>
        <v>70</v>
      </c>
      <c r="AM90">
        <f t="shared" si="207"/>
        <v>70</v>
      </c>
      <c r="AN90">
        <f>'Net zero activities &amp; levers'!F49</f>
        <v>70</v>
      </c>
    </row>
    <row r="91" spans="1:48" x14ac:dyDescent="0.25">
      <c r="A91" t="s">
        <v>1067</v>
      </c>
      <c r="B91">
        <f>'Net zero activities &amp; levers'!C50</f>
        <v>75</v>
      </c>
      <c r="C91">
        <f t="shared" si="208"/>
        <v>75</v>
      </c>
      <c r="D91">
        <f t="shared" si="208"/>
        <v>75</v>
      </c>
      <c r="E91">
        <f t="shared" si="208"/>
        <v>75</v>
      </c>
      <c r="F91">
        <f t="shared" si="208"/>
        <v>75</v>
      </c>
      <c r="G91">
        <f t="shared" si="208"/>
        <v>75</v>
      </c>
      <c r="H91">
        <f t="shared" si="208"/>
        <v>75</v>
      </c>
      <c r="I91">
        <f t="shared" si="208"/>
        <v>75</v>
      </c>
      <c r="J91">
        <f t="shared" si="208"/>
        <v>75</v>
      </c>
      <c r="K91">
        <f t="shared" si="181"/>
        <v>75.5</v>
      </c>
      <c r="L91">
        <f t="shared" si="182"/>
        <v>76</v>
      </c>
      <c r="M91">
        <f t="shared" si="183"/>
        <v>76.5</v>
      </c>
      <c r="N91">
        <f t="shared" si="184"/>
        <v>77</v>
      </c>
      <c r="O91">
        <f t="shared" si="185"/>
        <v>77.5</v>
      </c>
      <c r="P91">
        <f t="shared" si="186"/>
        <v>78</v>
      </c>
      <c r="Q91">
        <f t="shared" si="187"/>
        <v>78.5</v>
      </c>
      <c r="R91">
        <f t="shared" si="188"/>
        <v>79</v>
      </c>
      <c r="S91">
        <f t="shared" si="189"/>
        <v>79.5</v>
      </c>
      <c r="T91">
        <f>'Net zero activities &amp; levers'!D50</f>
        <v>80</v>
      </c>
      <c r="U91">
        <f t="shared" si="209"/>
        <v>80.5</v>
      </c>
      <c r="V91">
        <f t="shared" si="210"/>
        <v>81</v>
      </c>
      <c r="W91">
        <f t="shared" si="211"/>
        <v>81.5</v>
      </c>
      <c r="X91">
        <f t="shared" si="212"/>
        <v>82</v>
      </c>
      <c r="Y91">
        <f t="shared" si="213"/>
        <v>82.5</v>
      </c>
      <c r="Z91">
        <f t="shared" si="214"/>
        <v>83</v>
      </c>
      <c r="AA91">
        <f t="shared" si="215"/>
        <v>83.5</v>
      </c>
      <c r="AB91">
        <f t="shared" si="216"/>
        <v>84</v>
      </c>
      <c r="AC91">
        <f t="shared" si="217"/>
        <v>84.5</v>
      </c>
      <c r="AD91">
        <f>'Net zero activities &amp; levers'!E50</f>
        <v>85</v>
      </c>
      <c r="AE91">
        <f t="shared" si="199"/>
        <v>85</v>
      </c>
      <c r="AF91">
        <f t="shared" si="200"/>
        <v>85</v>
      </c>
      <c r="AG91">
        <f t="shared" si="201"/>
        <v>85</v>
      </c>
      <c r="AH91">
        <f t="shared" si="202"/>
        <v>85</v>
      </c>
      <c r="AI91">
        <f t="shared" si="203"/>
        <v>85</v>
      </c>
      <c r="AJ91">
        <f t="shared" si="204"/>
        <v>85</v>
      </c>
      <c r="AK91">
        <f t="shared" si="205"/>
        <v>85</v>
      </c>
      <c r="AL91">
        <f t="shared" si="206"/>
        <v>85</v>
      </c>
      <c r="AM91">
        <f t="shared" si="207"/>
        <v>85</v>
      </c>
      <c r="AN91">
        <f>'Net zero activities &amp; levers'!F50</f>
        <v>85</v>
      </c>
    </row>
    <row r="92" spans="1:48" x14ac:dyDescent="0.25">
      <c r="A92" t="s">
        <v>1068</v>
      </c>
      <c r="B92">
        <f>'Net zero activities &amp; levers'!C51</f>
        <v>50</v>
      </c>
      <c r="C92">
        <f t="shared" si="208"/>
        <v>50</v>
      </c>
      <c r="D92">
        <f t="shared" si="208"/>
        <v>50</v>
      </c>
      <c r="E92">
        <f t="shared" si="208"/>
        <v>50</v>
      </c>
      <c r="F92">
        <f t="shared" si="208"/>
        <v>50</v>
      </c>
      <c r="G92">
        <f t="shared" si="208"/>
        <v>50</v>
      </c>
      <c r="H92">
        <f t="shared" si="208"/>
        <v>50</v>
      </c>
      <c r="I92">
        <f t="shared" si="208"/>
        <v>50</v>
      </c>
      <c r="J92">
        <f t="shared" si="208"/>
        <v>50</v>
      </c>
      <c r="K92">
        <f t="shared" si="181"/>
        <v>51</v>
      </c>
      <c r="L92">
        <f t="shared" si="182"/>
        <v>52</v>
      </c>
      <c r="M92">
        <f t="shared" si="183"/>
        <v>53</v>
      </c>
      <c r="N92">
        <f t="shared" si="184"/>
        <v>54</v>
      </c>
      <c r="O92">
        <f t="shared" si="185"/>
        <v>55</v>
      </c>
      <c r="P92">
        <f t="shared" si="186"/>
        <v>56</v>
      </c>
      <c r="Q92">
        <f t="shared" si="187"/>
        <v>57</v>
      </c>
      <c r="R92">
        <f t="shared" si="188"/>
        <v>58</v>
      </c>
      <c r="S92">
        <f t="shared" si="189"/>
        <v>59</v>
      </c>
      <c r="T92">
        <f>'Net zero activities &amp; levers'!D51</f>
        <v>60</v>
      </c>
      <c r="U92">
        <f t="shared" si="209"/>
        <v>60</v>
      </c>
      <c r="V92">
        <f t="shared" si="210"/>
        <v>60</v>
      </c>
      <c r="W92">
        <f t="shared" si="211"/>
        <v>60</v>
      </c>
      <c r="X92">
        <f t="shared" si="212"/>
        <v>60</v>
      </c>
      <c r="Y92">
        <f t="shared" si="213"/>
        <v>60</v>
      </c>
      <c r="Z92">
        <f t="shared" si="214"/>
        <v>60</v>
      </c>
      <c r="AA92">
        <f t="shared" si="215"/>
        <v>60</v>
      </c>
      <c r="AB92">
        <f t="shared" si="216"/>
        <v>60</v>
      </c>
      <c r="AC92">
        <f t="shared" si="217"/>
        <v>60</v>
      </c>
      <c r="AD92">
        <f>'Net zero activities &amp; levers'!E51</f>
        <v>60</v>
      </c>
      <c r="AE92">
        <f t="shared" si="199"/>
        <v>60</v>
      </c>
      <c r="AF92">
        <f t="shared" si="200"/>
        <v>60</v>
      </c>
      <c r="AG92">
        <f t="shared" si="201"/>
        <v>60</v>
      </c>
      <c r="AH92">
        <f t="shared" si="202"/>
        <v>60</v>
      </c>
      <c r="AI92">
        <f t="shared" si="203"/>
        <v>60</v>
      </c>
      <c r="AJ92">
        <f t="shared" si="204"/>
        <v>60</v>
      </c>
      <c r="AK92">
        <f t="shared" si="205"/>
        <v>60</v>
      </c>
      <c r="AL92">
        <f t="shared" si="206"/>
        <v>60</v>
      </c>
      <c r="AM92">
        <f t="shared" si="207"/>
        <v>60</v>
      </c>
      <c r="AN92">
        <f>'Net zero activities &amp; levers'!F51</f>
        <v>60</v>
      </c>
    </row>
    <row r="93" spans="1:48" x14ac:dyDescent="0.25">
      <c r="A93" t="s">
        <v>1069</v>
      </c>
      <c r="B93">
        <f>'Net zero activities &amp; levers'!C52</f>
        <v>60</v>
      </c>
      <c r="C93">
        <f t="shared" si="208"/>
        <v>60</v>
      </c>
      <c r="D93">
        <f t="shared" si="208"/>
        <v>60</v>
      </c>
      <c r="E93">
        <f t="shared" si="208"/>
        <v>60</v>
      </c>
      <c r="F93">
        <f t="shared" si="208"/>
        <v>60</v>
      </c>
      <c r="G93">
        <f t="shared" si="208"/>
        <v>60</v>
      </c>
      <c r="H93">
        <f t="shared" si="208"/>
        <v>60</v>
      </c>
      <c r="I93">
        <f t="shared" si="208"/>
        <v>60</v>
      </c>
      <c r="J93">
        <f t="shared" si="208"/>
        <v>60</v>
      </c>
      <c r="K93">
        <f t="shared" si="181"/>
        <v>61</v>
      </c>
      <c r="L93">
        <f t="shared" si="182"/>
        <v>62</v>
      </c>
      <c r="M93">
        <f t="shared" si="183"/>
        <v>63</v>
      </c>
      <c r="N93">
        <f t="shared" si="184"/>
        <v>64</v>
      </c>
      <c r="O93">
        <f t="shared" si="185"/>
        <v>65</v>
      </c>
      <c r="P93">
        <f t="shared" si="186"/>
        <v>66</v>
      </c>
      <c r="Q93">
        <f t="shared" si="187"/>
        <v>67</v>
      </c>
      <c r="R93">
        <f t="shared" si="188"/>
        <v>68</v>
      </c>
      <c r="S93">
        <f t="shared" si="189"/>
        <v>69</v>
      </c>
      <c r="T93">
        <f>'Net zero activities &amp; levers'!D52</f>
        <v>70</v>
      </c>
      <c r="U93">
        <f t="shared" si="209"/>
        <v>70</v>
      </c>
      <c r="V93">
        <f t="shared" si="210"/>
        <v>70</v>
      </c>
      <c r="W93">
        <f t="shared" si="211"/>
        <v>70</v>
      </c>
      <c r="X93">
        <f t="shared" si="212"/>
        <v>70</v>
      </c>
      <c r="Y93">
        <f t="shared" si="213"/>
        <v>70</v>
      </c>
      <c r="Z93">
        <f t="shared" si="214"/>
        <v>70</v>
      </c>
      <c r="AA93">
        <f t="shared" si="215"/>
        <v>70</v>
      </c>
      <c r="AB93">
        <f t="shared" si="216"/>
        <v>70</v>
      </c>
      <c r="AC93">
        <f t="shared" si="217"/>
        <v>70</v>
      </c>
      <c r="AD93">
        <f>'Net zero activities &amp; levers'!E52</f>
        <v>70</v>
      </c>
      <c r="AE93">
        <f t="shared" si="199"/>
        <v>70</v>
      </c>
      <c r="AF93">
        <f t="shared" si="200"/>
        <v>70</v>
      </c>
      <c r="AG93">
        <f t="shared" si="201"/>
        <v>70</v>
      </c>
      <c r="AH93">
        <f t="shared" si="202"/>
        <v>70</v>
      </c>
      <c r="AI93">
        <f t="shared" si="203"/>
        <v>70</v>
      </c>
      <c r="AJ93">
        <f t="shared" si="204"/>
        <v>70</v>
      </c>
      <c r="AK93">
        <f t="shared" si="205"/>
        <v>70</v>
      </c>
      <c r="AL93">
        <f t="shared" si="206"/>
        <v>70</v>
      </c>
      <c r="AM93">
        <f t="shared" si="207"/>
        <v>70</v>
      </c>
      <c r="AN93">
        <f>'Net zero activities &amp; levers'!F52</f>
        <v>70</v>
      </c>
    </row>
    <row r="94" spans="1:48" x14ac:dyDescent="0.25">
      <c r="A94" t="s">
        <v>1070</v>
      </c>
      <c r="B94">
        <f>'Net zero activities &amp; levers'!C53</f>
        <v>50</v>
      </c>
      <c r="C94">
        <f t="shared" si="208"/>
        <v>50</v>
      </c>
      <c r="D94">
        <f t="shared" si="208"/>
        <v>50</v>
      </c>
      <c r="E94">
        <f t="shared" si="208"/>
        <v>50</v>
      </c>
      <c r="F94">
        <f t="shared" si="208"/>
        <v>50</v>
      </c>
      <c r="G94">
        <f t="shared" si="208"/>
        <v>50</v>
      </c>
      <c r="H94">
        <f t="shared" si="208"/>
        <v>50</v>
      </c>
      <c r="I94">
        <f t="shared" si="208"/>
        <v>50</v>
      </c>
      <c r="J94">
        <f t="shared" si="208"/>
        <v>50</v>
      </c>
      <c r="K94">
        <f t="shared" si="181"/>
        <v>51</v>
      </c>
      <c r="L94">
        <f t="shared" si="182"/>
        <v>52</v>
      </c>
      <c r="M94">
        <f t="shared" si="183"/>
        <v>53</v>
      </c>
      <c r="N94">
        <f t="shared" si="184"/>
        <v>54</v>
      </c>
      <c r="O94">
        <f t="shared" si="185"/>
        <v>55</v>
      </c>
      <c r="P94">
        <f t="shared" si="186"/>
        <v>56</v>
      </c>
      <c r="Q94">
        <f t="shared" si="187"/>
        <v>57</v>
      </c>
      <c r="R94">
        <f t="shared" si="188"/>
        <v>58</v>
      </c>
      <c r="S94">
        <f t="shared" si="189"/>
        <v>59</v>
      </c>
      <c r="T94">
        <f>'Net zero activities &amp; levers'!D53</f>
        <v>60</v>
      </c>
      <c r="U94">
        <f t="shared" si="209"/>
        <v>60</v>
      </c>
      <c r="V94">
        <f t="shared" si="210"/>
        <v>60</v>
      </c>
      <c r="W94">
        <f t="shared" si="211"/>
        <v>60</v>
      </c>
      <c r="X94">
        <f t="shared" si="212"/>
        <v>60</v>
      </c>
      <c r="Y94">
        <f t="shared" si="213"/>
        <v>60</v>
      </c>
      <c r="Z94">
        <f t="shared" si="214"/>
        <v>60</v>
      </c>
      <c r="AA94">
        <f t="shared" si="215"/>
        <v>60</v>
      </c>
      <c r="AB94">
        <f t="shared" si="216"/>
        <v>60</v>
      </c>
      <c r="AC94">
        <f t="shared" si="217"/>
        <v>60</v>
      </c>
      <c r="AD94">
        <f>'Net zero activities &amp; levers'!E53</f>
        <v>60</v>
      </c>
      <c r="AE94">
        <f t="shared" si="199"/>
        <v>60</v>
      </c>
      <c r="AF94">
        <f t="shared" si="200"/>
        <v>60</v>
      </c>
      <c r="AG94">
        <f t="shared" si="201"/>
        <v>60</v>
      </c>
      <c r="AH94">
        <f t="shared" si="202"/>
        <v>60</v>
      </c>
      <c r="AI94">
        <f t="shared" si="203"/>
        <v>60</v>
      </c>
      <c r="AJ94">
        <f t="shared" si="204"/>
        <v>60</v>
      </c>
      <c r="AK94">
        <f t="shared" si="205"/>
        <v>60</v>
      </c>
      <c r="AL94">
        <f t="shared" si="206"/>
        <v>60</v>
      </c>
      <c r="AM94">
        <f t="shared" si="207"/>
        <v>60</v>
      </c>
      <c r="AN94">
        <f>'Net zero activities &amp; levers'!F53</f>
        <v>60</v>
      </c>
    </row>
    <row r="95" spans="1:48" x14ac:dyDescent="0.25">
      <c r="A95" t="s">
        <v>1071</v>
      </c>
      <c r="B95">
        <f>'Net zero activities &amp; levers'!C54</f>
        <v>60</v>
      </c>
      <c r="C95">
        <f t="shared" si="208"/>
        <v>60</v>
      </c>
      <c r="D95">
        <f t="shared" si="208"/>
        <v>60</v>
      </c>
      <c r="E95">
        <f t="shared" si="208"/>
        <v>60</v>
      </c>
      <c r="F95">
        <f t="shared" si="208"/>
        <v>60</v>
      </c>
      <c r="G95">
        <f t="shared" si="208"/>
        <v>60</v>
      </c>
      <c r="H95">
        <f t="shared" si="208"/>
        <v>60</v>
      </c>
      <c r="I95">
        <f t="shared" si="208"/>
        <v>60</v>
      </c>
      <c r="J95">
        <f t="shared" si="208"/>
        <v>60</v>
      </c>
      <c r="K95">
        <f t="shared" si="181"/>
        <v>61</v>
      </c>
      <c r="L95">
        <f t="shared" si="182"/>
        <v>62</v>
      </c>
      <c r="M95">
        <f t="shared" si="183"/>
        <v>63</v>
      </c>
      <c r="N95">
        <f t="shared" si="184"/>
        <v>64</v>
      </c>
      <c r="O95">
        <f t="shared" si="185"/>
        <v>65</v>
      </c>
      <c r="P95">
        <f t="shared" si="186"/>
        <v>66</v>
      </c>
      <c r="Q95">
        <f t="shared" si="187"/>
        <v>67</v>
      </c>
      <c r="R95">
        <f t="shared" si="188"/>
        <v>68</v>
      </c>
      <c r="S95">
        <f t="shared" si="189"/>
        <v>69</v>
      </c>
      <c r="T95">
        <f>'Net zero activities &amp; levers'!D54</f>
        <v>70</v>
      </c>
      <c r="U95">
        <f t="shared" si="209"/>
        <v>70</v>
      </c>
      <c r="V95">
        <f t="shared" si="210"/>
        <v>70</v>
      </c>
      <c r="W95">
        <f t="shared" si="211"/>
        <v>70</v>
      </c>
      <c r="X95">
        <f t="shared" si="212"/>
        <v>70</v>
      </c>
      <c r="Y95">
        <f t="shared" si="213"/>
        <v>70</v>
      </c>
      <c r="Z95">
        <f t="shared" si="214"/>
        <v>70</v>
      </c>
      <c r="AA95">
        <f t="shared" si="215"/>
        <v>70</v>
      </c>
      <c r="AB95">
        <f t="shared" si="216"/>
        <v>70</v>
      </c>
      <c r="AC95">
        <f t="shared" si="217"/>
        <v>70</v>
      </c>
      <c r="AD95">
        <f>'Net zero activities &amp; levers'!E54</f>
        <v>70</v>
      </c>
      <c r="AE95">
        <f t="shared" si="199"/>
        <v>70</v>
      </c>
      <c r="AF95">
        <f t="shared" si="200"/>
        <v>70</v>
      </c>
      <c r="AG95">
        <f t="shared" si="201"/>
        <v>70</v>
      </c>
      <c r="AH95">
        <f t="shared" si="202"/>
        <v>70</v>
      </c>
      <c r="AI95">
        <f t="shared" si="203"/>
        <v>70</v>
      </c>
      <c r="AJ95">
        <f t="shared" si="204"/>
        <v>70</v>
      </c>
      <c r="AK95">
        <f t="shared" si="205"/>
        <v>70</v>
      </c>
      <c r="AL95">
        <f t="shared" si="206"/>
        <v>70</v>
      </c>
      <c r="AM95">
        <f t="shared" si="207"/>
        <v>70</v>
      </c>
      <c r="AN95">
        <f>'Net zero activities &amp; levers'!F54</f>
        <v>70</v>
      </c>
    </row>
    <row r="96" spans="1:48" x14ac:dyDescent="0.25">
      <c r="A96" t="s">
        <v>1072</v>
      </c>
      <c r="B96">
        <f>'Net zero activities &amp; levers'!C55</f>
        <v>50</v>
      </c>
      <c r="C96">
        <f t="shared" si="208"/>
        <v>50</v>
      </c>
      <c r="D96">
        <f t="shared" si="208"/>
        <v>50</v>
      </c>
      <c r="E96">
        <f t="shared" si="208"/>
        <v>50</v>
      </c>
      <c r="F96">
        <f t="shared" si="208"/>
        <v>50</v>
      </c>
      <c r="G96">
        <f t="shared" si="208"/>
        <v>50</v>
      </c>
      <c r="H96">
        <f t="shared" si="208"/>
        <v>50</v>
      </c>
      <c r="I96">
        <f t="shared" si="208"/>
        <v>50</v>
      </c>
      <c r="J96">
        <f t="shared" si="208"/>
        <v>50</v>
      </c>
      <c r="K96">
        <f t="shared" si="181"/>
        <v>51</v>
      </c>
      <c r="L96">
        <f t="shared" si="182"/>
        <v>52</v>
      </c>
      <c r="M96">
        <f t="shared" si="183"/>
        <v>53</v>
      </c>
      <c r="N96">
        <f t="shared" si="184"/>
        <v>54</v>
      </c>
      <c r="O96">
        <f t="shared" si="185"/>
        <v>55</v>
      </c>
      <c r="P96">
        <f t="shared" si="186"/>
        <v>56</v>
      </c>
      <c r="Q96">
        <f t="shared" si="187"/>
        <v>57</v>
      </c>
      <c r="R96">
        <f t="shared" si="188"/>
        <v>58</v>
      </c>
      <c r="S96">
        <f t="shared" si="189"/>
        <v>59</v>
      </c>
      <c r="T96">
        <f>'Net zero activities &amp; levers'!D55</f>
        <v>60</v>
      </c>
      <c r="U96">
        <f t="shared" si="209"/>
        <v>60</v>
      </c>
      <c r="V96">
        <f t="shared" si="210"/>
        <v>60</v>
      </c>
      <c r="W96">
        <f t="shared" si="211"/>
        <v>60</v>
      </c>
      <c r="X96">
        <f t="shared" si="212"/>
        <v>60</v>
      </c>
      <c r="Y96">
        <f t="shared" si="213"/>
        <v>60</v>
      </c>
      <c r="Z96">
        <f t="shared" si="214"/>
        <v>60</v>
      </c>
      <c r="AA96">
        <f t="shared" si="215"/>
        <v>60</v>
      </c>
      <c r="AB96">
        <f t="shared" si="216"/>
        <v>60</v>
      </c>
      <c r="AC96">
        <f t="shared" si="217"/>
        <v>60</v>
      </c>
      <c r="AD96">
        <f>'Net zero activities &amp; levers'!E55</f>
        <v>60</v>
      </c>
      <c r="AE96">
        <f t="shared" si="199"/>
        <v>60</v>
      </c>
      <c r="AF96">
        <f t="shared" si="200"/>
        <v>60</v>
      </c>
      <c r="AG96">
        <f t="shared" si="201"/>
        <v>60</v>
      </c>
      <c r="AH96">
        <f t="shared" si="202"/>
        <v>60</v>
      </c>
      <c r="AI96">
        <f t="shared" si="203"/>
        <v>60</v>
      </c>
      <c r="AJ96">
        <f t="shared" si="204"/>
        <v>60</v>
      </c>
      <c r="AK96">
        <f t="shared" si="205"/>
        <v>60</v>
      </c>
      <c r="AL96">
        <f t="shared" si="206"/>
        <v>60</v>
      </c>
      <c r="AM96">
        <f t="shared" si="207"/>
        <v>60</v>
      </c>
      <c r="AN96">
        <f>'Net zero activities &amp; levers'!F55</f>
        <v>60</v>
      </c>
    </row>
    <row r="97" spans="1:40" x14ac:dyDescent="0.25">
      <c r="A97" t="s">
        <v>1111</v>
      </c>
      <c r="B97">
        <v>0</v>
      </c>
      <c r="C97">
        <f t="shared" ref="C97:I97" si="218">B97+(((C88-B88)*0.6)/100)</f>
        <v>0</v>
      </c>
      <c r="D97">
        <f t="shared" si="218"/>
        <v>0</v>
      </c>
      <c r="E97">
        <f t="shared" si="218"/>
        <v>0</v>
      </c>
      <c r="F97">
        <f t="shared" si="218"/>
        <v>0</v>
      </c>
      <c r="G97">
        <f t="shared" si="218"/>
        <v>0</v>
      </c>
      <c r="H97">
        <f t="shared" si="218"/>
        <v>0</v>
      </c>
      <c r="I97">
        <f t="shared" si="218"/>
        <v>0</v>
      </c>
      <c r="J97">
        <f>I97+(((J88-I88)*0.6)/100)</f>
        <v>0</v>
      </c>
      <c r="K97">
        <f>J97+(((K88-J88)*0.6)/100)</f>
        <v>6.0000000000000001E-3</v>
      </c>
      <c r="L97">
        <f t="shared" ref="L97:AN97" si="219">K97+(((L88-K88)*0.6)/100)</f>
        <v>1.2E-2</v>
      </c>
      <c r="M97">
        <f t="shared" si="219"/>
        <v>1.8000000000000002E-2</v>
      </c>
      <c r="N97">
        <f t="shared" si="219"/>
        <v>2.4E-2</v>
      </c>
      <c r="O97">
        <f t="shared" si="219"/>
        <v>0.03</v>
      </c>
      <c r="P97">
        <f t="shared" si="219"/>
        <v>3.5999999999999997E-2</v>
      </c>
      <c r="Q97">
        <f t="shared" si="219"/>
        <v>4.1999999999999996E-2</v>
      </c>
      <c r="R97">
        <f t="shared" si="219"/>
        <v>4.7999999999999994E-2</v>
      </c>
      <c r="S97">
        <f t="shared" si="219"/>
        <v>5.3999999999999992E-2</v>
      </c>
      <c r="T97">
        <f t="shared" si="219"/>
        <v>5.9999999999999991E-2</v>
      </c>
      <c r="U97">
        <f t="shared" si="219"/>
        <v>5.9999999999999991E-2</v>
      </c>
      <c r="V97">
        <f t="shared" si="219"/>
        <v>5.9999999999999991E-2</v>
      </c>
      <c r="W97">
        <f t="shared" si="219"/>
        <v>5.9999999999999991E-2</v>
      </c>
      <c r="X97">
        <f t="shared" si="219"/>
        <v>5.9999999999999991E-2</v>
      </c>
      <c r="Y97">
        <f t="shared" si="219"/>
        <v>5.9999999999999991E-2</v>
      </c>
      <c r="Z97">
        <f t="shared" si="219"/>
        <v>5.9999999999999991E-2</v>
      </c>
      <c r="AA97">
        <f t="shared" si="219"/>
        <v>5.9999999999999991E-2</v>
      </c>
      <c r="AB97">
        <f t="shared" si="219"/>
        <v>5.9999999999999991E-2</v>
      </c>
      <c r="AC97">
        <f t="shared" si="219"/>
        <v>5.9999999999999991E-2</v>
      </c>
      <c r="AD97">
        <f t="shared" si="219"/>
        <v>5.9999999999999991E-2</v>
      </c>
      <c r="AE97">
        <f t="shared" si="219"/>
        <v>5.9999999999999991E-2</v>
      </c>
      <c r="AF97">
        <f t="shared" si="219"/>
        <v>5.9999999999999991E-2</v>
      </c>
      <c r="AG97">
        <f t="shared" si="219"/>
        <v>5.9999999999999991E-2</v>
      </c>
      <c r="AH97">
        <f t="shared" si="219"/>
        <v>5.9999999999999991E-2</v>
      </c>
      <c r="AI97">
        <f t="shared" si="219"/>
        <v>5.9999999999999991E-2</v>
      </c>
      <c r="AJ97">
        <f t="shared" si="219"/>
        <v>5.9999999999999991E-2</v>
      </c>
      <c r="AK97">
        <f t="shared" si="219"/>
        <v>5.9999999999999991E-2</v>
      </c>
      <c r="AL97">
        <f t="shared" si="219"/>
        <v>5.9999999999999991E-2</v>
      </c>
      <c r="AM97">
        <f t="shared" si="219"/>
        <v>5.9999999999999991E-2</v>
      </c>
      <c r="AN97">
        <f t="shared" si="219"/>
        <v>5.9999999999999991E-2</v>
      </c>
    </row>
    <row r="98" spans="1:40" x14ac:dyDescent="0.25">
      <c r="A98" t="s">
        <v>1361</v>
      </c>
      <c r="B98">
        <v>0</v>
      </c>
      <c r="C98">
        <f>B98+(((C90-B90)*0.6)/100)</f>
        <v>0</v>
      </c>
      <c r="D98">
        <f t="shared" ref="D98:AN98" si="220">C98+(((D90-C90)*0.6)/100)</f>
        <v>0</v>
      </c>
      <c r="E98">
        <f t="shared" si="220"/>
        <v>0</v>
      </c>
      <c r="F98">
        <f t="shared" si="220"/>
        <v>0</v>
      </c>
      <c r="G98">
        <f t="shared" si="220"/>
        <v>0</v>
      </c>
      <c r="H98">
        <f t="shared" si="220"/>
        <v>0</v>
      </c>
      <c r="I98">
        <f t="shared" si="220"/>
        <v>0</v>
      </c>
      <c r="J98">
        <f t="shared" si="220"/>
        <v>0</v>
      </c>
      <c r="K98">
        <f t="shared" si="220"/>
        <v>6.0000000000000001E-3</v>
      </c>
      <c r="L98">
        <f t="shared" si="220"/>
        <v>1.2E-2</v>
      </c>
      <c r="M98">
        <f t="shared" si="220"/>
        <v>1.8000000000000002E-2</v>
      </c>
      <c r="N98">
        <f t="shared" si="220"/>
        <v>2.4E-2</v>
      </c>
      <c r="O98">
        <f t="shared" si="220"/>
        <v>0.03</v>
      </c>
      <c r="P98">
        <f t="shared" si="220"/>
        <v>3.5999999999999997E-2</v>
      </c>
      <c r="Q98">
        <f t="shared" si="220"/>
        <v>4.1999999999999996E-2</v>
      </c>
      <c r="R98">
        <f t="shared" si="220"/>
        <v>4.7999999999999994E-2</v>
      </c>
      <c r="S98">
        <f t="shared" si="220"/>
        <v>5.3999999999999992E-2</v>
      </c>
      <c r="T98">
        <f t="shared" si="220"/>
        <v>5.9999999999999991E-2</v>
      </c>
      <c r="U98">
        <f t="shared" si="220"/>
        <v>5.9999999999999991E-2</v>
      </c>
      <c r="V98">
        <f t="shared" si="220"/>
        <v>5.9999999999999991E-2</v>
      </c>
      <c r="W98">
        <f t="shared" si="220"/>
        <v>5.9999999999999991E-2</v>
      </c>
      <c r="X98">
        <f t="shared" si="220"/>
        <v>5.9999999999999991E-2</v>
      </c>
      <c r="Y98">
        <f t="shared" si="220"/>
        <v>5.9999999999999991E-2</v>
      </c>
      <c r="Z98">
        <f t="shared" si="220"/>
        <v>5.9999999999999991E-2</v>
      </c>
      <c r="AA98">
        <f t="shared" si="220"/>
        <v>5.9999999999999991E-2</v>
      </c>
      <c r="AB98">
        <f t="shared" si="220"/>
        <v>5.9999999999999991E-2</v>
      </c>
      <c r="AC98">
        <f t="shared" si="220"/>
        <v>5.9999999999999991E-2</v>
      </c>
      <c r="AD98">
        <f t="shared" si="220"/>
        <v>5.9999999999999991E-2</v>
      </c>
      <c r="AE98">
        <f t="shared" si="220"/>
        <v>5.9999999999999991E-2</v>
      </c>
      <c r="AF98">
        <f t="shared" si="220"/>
        <v>5.9999999999999991E-2</v>
      </c>
      <c r="AG98">
        <f t="shared" si="220"/>
        <v>5.9999999999999991E-2</v>
      </c>
      <c r="AH98">
        <f t="shared" si="220"/>
        <v>5.9999999999999991E-2</v>
      </c>
      <c r="AI98">
        <f t="shared" si="220"/>
        <v>5.9999999999999991E-2</v>
      </c>
      <c r="AJ98">
        <f t="shared" si="220"/>
        <v>5.9999999999999991E-2</v>
      </c>
      <c r="AK98">
        <f t="shared" si="220"/>
        <v>5.9999999999999991E-2</v>
      </c>
      <c r="AL98">
        <f t="shared" si="220"/>
        <v>5.9999999999999991E-2</v>
      </c>
      <c r="AM98">
        <f t="shared" si="220"/>
        <v>5.9999999999999991E-2</v>
      </c>
      <c r="AN98">
        <f t="shared" si="220"/>
        <v>5.9999999999999991E-2</v>
      </c>
    </row>
    <row r="99" spans="1:40" x14ac:dyDescent="0.25">
      <c r="A99" t="s">
        <v>840</v>
      </c>
      <c r="B99">
        <f>'Intermediate calculations'!Y16</f>
        <v>0.59036032260533733</v>
      </c>
      <c r="C99">
        <f>'Intermediate calculations'!Z16-('Intermediate calculations'!Z16*C97)</f>
        <v>0.58537997662592556</v>
      </c>
      <c r="D99">
        <f>'Intermediate calculations'!AA16-('Intermediate calculations'!AA16*D97)</f>
        <v>0.58070166069623075</v>
      </c>
      <c r="E99">
        <f>'Intermediate calculations'!AB16-('Intermediate calculations'!AB16*E97)</f>
        <v>0.57629082711126922</v>
      </c>
      <c r="F99">
        <f>'Intermediate calculations'!AC16-('Intermediate calculations'!AC16*F97)</f>
        <v>0.57211853646492172</v>
      </c>
      <c r="G99">
        <f>'Intermediate calculations'!AD16-('Intermediate calculations'!AD16*G97)</f>
        <v>0.56816030581489985</v>
      </c>
      <c r="H99">
        <f>'Intermediate calculations'!AE16-('Intermediate calculations'!AE16*H97)</f>
        <v>0.56439523816734538</v>
      </c>
      <c r="I99">
        <f>'Intermediate calculations'!AF16-('Intermediate calculations'!AF16*I97)</f>
        <v>0.56080535465675874</v>
      </c>
      <c r="J99">
        <f>'Intermediate calculations'!AG16-('Intermediate calculations'!AG16*J97)</f>
        <v>0.5573750752965374</v>
      </c>
      <c r="K99">
        <f>'Intermediate calculations'!AH16-('Intermediate calculations'!AH16*K97)</f>
        <v>0.55076626545890672</v>
      </c>
      <c r="L99">
        <f>'Intermediate calculations'!AI16-('Intermediate calculations'!AI16*L97)</f>
        <v>0.54432934738382766</v>
      </c>
      <c r="M99">
        <f>'Intermediate calculations'!AJ16-('Intermediate calculations'!AJ16*M97)</f>
        <v>0.53805157578558616</v>
      </c>
      <c r="N99">
        <f>'Intermediate calculations'!AK16-('Intermediate calculations'!AK16*N97)</f>
        <v>0.53192162094682716</v>
      </c>
      <c r="O99">
        <f>'Intermediate calculations'!AL16-('Intermediate calculations'!AL16*O97)</f>
        <v>0.5259293647356007</v>
      </c>
      <c r="P99">
        <f>'Intermediate calculations'!AM16-('Intermediate calculations'!AM16*P97)</f>
        <v>0.52006573221799846</v>
      </c>
      <c r="Q99">
        <f>'Intermediate calculations'!AN16-('Intermediate calculations'!AN16*Q97)</f>
        <v>0.5143225516503942</v>
      </c>
      <c r="R99">
        <f>'Intermediate calculations'!AO16-('Intermediate calculations'!AO16*R97)</f>
        <v>0.50869243728797453</v>
      </c>
      <c r="S99">
        <f>'Intermediate calculations'!AP16-('Intermediate calculations'!AP16*S97)</f>
        <v>0.50316869067975289</v>
      </c>
      <c r="T99">
        <f>'Intermediate calculations'!AQ16-('Intermediate calculations'!AQ16*T97)</f>
        <v>0.49774521705056513</v>
      </c>
      <c r="U99">
        <f>'Intermediate calculations'!AR16-('Intermediate calculations'!AR16*U97)</f>
        <v>0.4955797289446574</v>
      </c>
      <c r="V99">
        <f>'Intermediate calculations'!AS16-('Intermediate calculations'!AS16*V97)</f>
        <v>0.49347701753192924</v>
      </c>
      <c r="W99">
        <f>'Intermediate calculations'!AT16-('Intermediate calculations'!AT16*W97)</f>
        <v>0.49143354537479367</v>
      </c>
      <c r="X99">
        <f>'Intermediate calculations'!AU16-('Intermediate calculations'!AU16*X97)</f>
        <v>0.48944606585991451</v>
      </c>
      <c r="Y99">
        <f>'Intermediate calculations'!AV16-('Intermediate calculations'!AV16*Y97)</f>
        <v>0.487511592167227</v>
      </c>
      <c r="Z99">
        <f>'Intermediate calculations'!AW16-('Intermediate calculations'!AW16*Z97)</f>
        <v>0.48562737027041236</v>
      </c>
      <c r="AA99">
        <f>'Intermediate calculations'!AX16-('Intermediate calculations'!AX16*AA97)</f>
        <v>0.48379085535620636</v>
      </c>
      <c r="AB99">
        <f>'Intermediate calculations'!AY16-('Intermediate calculations'!AY16*AB97)</f>
        <v>0.48199969115585101</v>
      </c>
      <c r="AC99">
        <f>'Intermediate calculations'!AZ16-('Intermediate calculations'!AZ16*AC97)</f>
        <v>0.48025169176750526</v>
      </c>
      <c r="AD99">
        <f>'Intermediate calculations'!BA16-('Intermediate calculations'!BA16*AD97)</f>
        <v>0.47854482561782413</v>
      </c>
      <c r="AE99">
        <f>'Intermediate calculations'!BB16-('Intermediate calculations'!BB16*AE97)</f>
        <v>0.47687720126755379</v>
      </c>
      <c r="AF99">
        <f>'Intermediate calculations'!BC16-('Intermediate calculations'!BC16*AF97)</f>
        <v>0.47524705481242946</v>
      </c>
      <c r="AG99">
        <f>'Intermediate calculations'!BD16-('Intermediate calculations'!BD16*AG97)</f>
        <v>0.47365273866894575</v>
      </c>
      <c r="AH99">
        <f>'Intermediate calculations'!BE16-('Intermediate calculations'!BE16*AH97)</f>
        <v>0.47209271156625232</v>
      </c>
      <c r="AI99">
        <f>'Intermediate calculations'!BF16-('Intermediate calculations'!BF16*AI97)</f>
        <v>0.47056552959178222</v>
      </c>
      <c r="AJ99">
        <f>'Intermediate calculations'!BG16-('Intermediate calculations'!BG16*AJ97)</f>
        <v>0.46906983816021686</v>
      </c>
      <c r="AK99">
        <f>'Intermediate calculations'!BH16-('Intermediate calculations'!BH16*AK97)</f>
        <v>0.46760436479384215</v>
      </c>
      <c r="AL99">
        <f>'Intermediate calculations'!BI16-('Intermediate calculations'!BI16*AL97)</f>
        <v>0.46616791261786916</v>
      </c>
      <c r="AM99">
        <f>'Intermediate calculations'!BJ16-('Intermediate calculations'!BJ16*AM97)</f>
        <v>0.46475935448740108</v>
      </c>
      <c r="AN99">
        <f>'Intermediate calculations'!BK16-('Intermediate calculations'!BK16*AN97)</f>
        <v>0.46337762767384388</v>
      </c>
    </row>
    <row r="100" spans="1:40" x14ac:dyDescent="0.25">
      <c r="A100" t="s">
        <v>1110</v>
      </c>
      <c r="B100">
        <f>'Intermediate calculations'!Y11</f>
        <v>40.8467048596981</v>
      </c>
      <c r="C100">
        <f>'Intermediate calculations'!Z11-('Intermediate calculations'!Z11*C98)</f>
        <v>40.12921467335272</v>
      </c>
      <c r="D100">
        <f>'Intermediate calculations'!AA11-('Intermediate calculations'!AA11*D98)</f>
        <v>39.455236242525764</v>
      </c>
      <c r="E100">
        <f>'Intermediate calculations'!AB11-('Intermediate calculations'!AB11*E98)</f>
        <v>38.819792475386876</v>
      </c>
      <c r="F100">
        <f>'Intermediate calculations'!AC11-('Intermediate calculations'!AC11*F98)</f>
        <v>38.218714235901089</v>
      </c>
      <c r="G100">
        <f>'Intermediate calculations'!AD11-('Intermediate calculations'!AD11*G98)</f>
        <v>37.648474405491221</v>
      </c>
      <c r="H100">
        <f>'Intermediate calculations'!AE11-('Intermediate calculations'!AE11*H98)</f>
        <v>37.106062472823481</v>
      </c>
      <c r="I100">
        <f>'Intermediate calculations'!AF11-('Intermediate calculations'!AF11*I98)</f>
        <v>36.588888324758926</v>
      </c>
      <c r="J100">
        <f>'Intermediate calculations'!AG11-('Intermediate calculations'!AG11*J98)</f>
        <v>36.094707441029918</v>
      </c>
      <c r="K100">
        <f>'Intermediate calculations'!AH11-('Intermediate calculations'!AH11*K98)</f>
        <v>35.407832649052914</v>
      </c>
      <c r="L100">
        <f>'Intermediate calculations'!AI11-('Intermediate calculations'!AI11*L98)</f>
        <v>34.745721327978174</v>
      </c>
      <c r="M100">
        <f>'Intermediate calculations'!AJ11-('Intermediate calculations'!AJ11*M98)</f>
        <v>34.106537336810725</v>
      </c>
      <c r="N100">
        <f>'Intermediate calculations'!AK11-('Intermediate calculations'!AK11*N98)</f>
        <v>33.488648467457004</v>
      </c>
      <c r="O100">
        <f>'Intermediate calculations'!AL11-('Intermediate calculations'!AL11*O98)</f>
        <v>32.890597058058106</v>
      </c>
      <c r="P100">
        <f>'Intermediate calculations'!AM11-('Intermediate calculations'!AM11*P98)</f>
        <v>32.311075734377837</v>
      </c>
      <c r="Q100">
        <f>'Intermediate calculations'!AN11-('Intermediate calculations'!AN11*Q98)</f>
        <v>31.748907239679113</v>
      </c>
      <c r="R100">
        <f>'Intermediate calculations'!AO11-('Intermediate calculations'!AO11*R98)</f>
        <v>31.203027551614056</v>
      </c>
      <c r="S100">
        <f>'Intermediate calculations'!AP11-('Intermediate calculations'!AP11*S98)</f>
        <v>30.672471662356564</v>
      </c>
      <c r="T100">
        <f>'Intermediate calculations'!AQ11-('Intermediate calculations'!AQ11*T98)</f>
        <v>30.156361532231031</v>
      </c>
      <c r="U100">
        <f>'Intermediate calculations'!AR11-('Intermediate calculations'!AR11*U98)</f>
        <v>29.844391947977385</v>
      </c>
      <c r="V100">
        <f>'Intermediate calculations'!AS11-('Intermediate calculations'!AS11*V98)</f>
        <v>29.541466245709803</v>
      </c>
      <c r="W100">
        <f>'Intermediate calculations'!AT11-('Intermediate calculations'!AT11*W98)</f>
        <v>29.247074806866831</v>
      </c>
      <c r="X100">
        <f>'Intermediate calculations'!AU11-('Intermediate calculations'!AU11*X98)</f>
        <v>28.960749910286719</v>
      </c>
      <c r="Y100">
        <f>'Intermediate calculations'!AV11-('Intermediate calculations'!AV11*Y98)</f>
        <v>28.682061261750192</v>
      </c>
      <c r="Z100">
        <f>'Intermediate calculations'!AW11-('Intermediate calculations'!AW11*Z98)</f>
        <v>28.410612104312101</v>
      </c>
      <c r="AA100">
        <f>'Intermediate calculations'!AX11-('Intermediate calculations'!AX11*AA98)</f>
        <v>28.146035821164915</v>
      </c>
      <c r="AB100">
        <f>'Intermediate calculations'!AY11-('Intermediate calculations'!AY11*AB98)</f>
        <v>27.887992958038389</v>
      </c>
      <c r="AC100">
        <f>'Intermediate calculations'!AZ11-('Intermediate calculations'!AZ11*AC98)</f>
        <v>27.636168604457239</v>
      </c>
      <c r="AD100">
        <f>'Intermediate calculations'!BA11-('Intermediate calculations'!BA11*AD98)</f>
        <v>27.390270083177015</v>
      </c>
      <c r="AE100">
        <f>'Intermediate calculations'!BB11-('Intermediate calculations'!BB11*AE98)</f>
        <v>27.150024905276567</v>
      </c>
      <c r="AF100">
        <f>'Intermediate calculations'!BC11-('Intermediate calculations'!BC11*AF98)</f>
        <v>26.915178955077021</v>
      </c>
      <c r="AG100">
        <f>'Intermediate calculations'!BD11-('Intermediate calculations'!BD11*AG98)</f>
        <v>26.68549487457129</v>
      </c>
      <c r="AH100">
        <f>'Intermediate calculations'!BE11-('Intermediate calculations'!BE11*AH98)</f>
        <v>26.460750621613304</v>
      </c>
      <c r="AI100">
        <f>'Intermediate calculations'!BF11-('Intermediate calculations'!BF11*AI98)</f>
        <v>26.240738179912359</v>
      </c>
      <c r="AJ100">
        <f>'Intermediate calculations'!BG11-('Intermediate calculations'!BG11*AJ98)</f>
        <v>26.025262402047655</v>
      </c>
      <c r="AK100">
        <f>'Intermediate calculations'!BH11-('Intermediate calculations'!BH11*AK98)</f>
        <v>25.814139969375113</v>
      </c>
      <c r="AL100">
        <f>'Intermediate calculations'!BI11-('Intermediate calculations'!BI11*AL98)</f>
        <v>25.607198454935027</v>
      </c>
      <c r="AM100">
        <f>'Intermediate calculations'!BJ11-('Intermediate calculations'!BJ11*AM98)</f>
        <v>25.404275477357629</v>
      </c>
      <c r="AN100">
        <f>'Intermediate calculations'!BK11-('Intermediate calculations'!BK11*AN98)</f>
        <v>25.205217935364402</v>
      </c>
    </row>
    <row r="101" spans="1:40" x14ac:dyDescent="0.25">
      <c r="A101" t="s">
        <v>849</v>
      </c>
      <c r="B101">
        <f>'Intermediate calculations'!Y64</f>
        <v>0.57999999999999996</v>
      </c>
      <c r="C101">
        <f>'Intermediate calculations'!Y64+('Intermediate calculations'!Y64*C98)</f>
        <v>0.57999999999999996</v>
      </c>
      <c r="D101">
        <f>'Intermediate calculations'!Z64+('Intermediate calculations'!Z64*D98)</f>
        <v>0.57999999999999996</v>
      </c>
      <c r="E101">
        <f>'Intermediate calculations'!AA64+('Intermediate calculations'!AA64*E98)</f>
        <v>0.57999999999999996</v>
      </c>
      <c r="F101">
        <f>'Intermediate calculations'!AB64+('Intermediate calculations'!AB64*F98)</f>
        <v>0.57999999999999996</v>
      </c>
      <c r="G101">
        <f>'Intermediate calculations'!AC64+('Intermediate calculations'!AC64*G98)</f>
        <v>0.57999999999999996</v>
      </c>
      <c r="H101">
        <f>'Intermediate calculations'!AD64+('Intermediate calculations'!AD64*H98)</f>
        <v>0.57999999999999996</v>
      </c>
      <c r="I101">
        <f>'Intermediate calculations'!AE64+('Intermediate calculations'!AE64*I98)</f>
        <v>0.57999999999999996</v>
      </c>
      <c r="J101">
        <f>'Intermediate calculations'!AF64+('Intermediate calculations'!AF64*J98)</f>
        <v>0.57999999999999996</v>
      </c>
      <c r="K101">
        <f>'Intermediate calculations'!AG64+('Intermediate calculations'!AG64*K98)</f>
        <v>0.58348</v>
      </c>
      <c r="L101">
        <f>'Intermediate calculations'!AH64+('Intermediate calculations'!AH64*L98)</f>
        <v>0.58695999999999993</v>
      </c>
      <c r="M101">
        <f>'Intermediate calculations'!AI64+('Intermediate calculations'!AI64*M98)</f>
        <v>0.59043999999999996</v>
      </c>
      <c r="N101">
        <f>'Intermediate calculations'!AJ64+('Intermediate calculations'!AJ64*N98)</f>
        <v>0.59392</v>
      </c>
      <c r="O101">
        <f>'Intermediate calculations'!AK64+('Intermediate calculations'!AK64*O98)</f>
        <v>0.59739999999999993</v>
      </c>
      <c r="P101">
        <f>'Intermediate calculations'!AL64+('Intermediate calculations'!AL64*P98)</f>
        <v>0.60087999999999997</v>
      </c>
      <c r="Q101">
        <f>'Intermediate calculations'!AM64+('Intermediate calculations'!AM64*Q98)</f>
        <v>0.60436000000000001</v>
      </c>
      <c r="R101">
        <f>'Intermediate calculations'!AN64+('Intermediate calculations'!AN64*R98)</f>
        <v>0.60783999999999994</v>
      </c>
      <c r="S101">
        <f>'Intermediate calculations'!AO64+('Intermediate calculations'!AO64*S98)</f>
        <v>0.61131999999999997</v>
      </c>
      <c r="T101">
        <f>'Intermediate calculations'!AP64+('Intermediate calculations'!AP64*T98)</f>
        <v>0.6147999999999999</v>
      </c>
      <c r="U101">
        <f>'Intermediate calculations'!AQ64+('Intermediate calculations'!AQ64*U98)</f>
        <v>0.6147999999999999</v>
      </c>
      <c r="V101">
        <f>'Intermediate calculations'!AR64+('Intermediate calculations'!AR64*V98)</f>
        <v>0.6147999999999999</v>
      </c>
      <c r="W101">
        <f>'Intermediate calculations'!AS64+('Intermediate calculations'!AS64*W98)</f>
        <v>0.6147999999999999</v>
      </c>
      <c r="X101">
        <f>'Intermediate calculations'!AT64+('Intermediate calculations'!AT64*X98)</f>
        <v>0.6147999999999999</v>
      </c>
      <c r="Y101">
        <f>'Intermediate calculations'!AU64+('Intermediate calculations'!AU64*Y98)</f>
        <v>0.6147999999999999</v>
      </c>
      <c r="Z101">
        <f>'Intermediate calculations'!AV64+('Intermediate calculations'!AV64*Z98)</f>
        <v>0.6147999999999999</v>
      </c>
      <c r="AA101">
        <f>'Intermediate calculations'!AW64+('Intermediate calculations'!AW64*AA98)</f>
        <v>0.6147999999999999</v>
      </c>
      <c r="AB101">
        <f>'Intermediate calculations'!AX64+('Intermediate calculations'!AX64*AB98)</f>
        <v>0.6147999999999999</v>
      </c>
      <c r="AC101">
        <f>'Intermediate calculations'!AY64+('Intermediate calculations'!AY64*AC98)</f>
        <v>0.6147999999999999</v>
      </c>
      <c r="AD101">
        <f>'Intermediate calculations'!AZ64+('Intermediate calculations'!AZ64*AD98)</f>
        <v>0.6147999999999999</v>
      </c>
      <c r="AE101">
        <f>'Intermediate calculations'!BA64+('Intermediate calculations'!BA64*AE98)</f>
        <v>0.6147999999999999</v>
      </c>
      <c r="AF101">
        <f>'Intermediate calculations'!BB64+('Intermediate calculations'!BB64*AF98)</f>
        <v>0.6147999999999999</v>
      </c>
      <c r="AG101">
        <f>'Intermediate calculations'!BC64+('Intermediate calculations'!BC64*AG98)</f>
        <v>0.6147999999999999</v>
      </c>
      <c r="AH101">
        <f>'Intermediate calculations'!BD64+('Intermediate calculations'!BD64*AH98)</f>
        <v>0.6147999999999999</v>
      </c>
      <c r="AI101">
        <f>'Intermediate calculations'!BE64+('Intermediate calculations'!BE64*AI98)</f>
        <v>0.6147999999999999</v>
      </c>
      <c r="AJ101">
        <f>'Intermediate calculations'!BF64+('Intermediate calculations'!BF64*AJ98)</f>
        <v>0.6147999999999999</v>
      </c>
      <c r="AK101">
        <f>'Intermediate calculations'!BG64+('Intermediate calculations'!BG64*AK98)</f>
        <v>0.6147999999999999</v>
      </c>
      <c r="AL101">
        <f>'Intermediate calculations'!BH64+('Intermediate calculations'!BH64*AL98)</f>
        <v>0.6147999999999999</v>
      </c>
      <c r="AM101">
        <f>'Intermediate calculations'!BI64+('Intermediate calculations'!BI64*AM98)</f>
        <v>0.6147999999999999</v>
      </c>
      <c r="AN101">
        <f>'Intermediate calculations'!BJ64+('Intermediate calculations'!BJ64*AN98)</f>
        <v>0.6147999999999999</v>
      </c>
    </row>
    <row r="102" spans="1:40" x14ac:dyDescent="0.25">
      <c r="A102" t="s">
        <v>1053</v>
      </c>
      <c r="B102">
        <f>(EF!$P$4-(EF!$P$4*((B87-B87)*0.015)))</f>
        <v>19.893899204244047</v>
      </c>
      <c r="C102">
        <f t="shared" ref="C102:AN102" si="221">(B102-(B102*((C87-B87)*0.015)))</f>
        <v>19.893899204244047</v>
      </c>
      <c r="D102">
        <f t="shared" si="221"/>
        <v>19.893899204244047</v>
      </c>
      <c r="E102">
        <f t="shared" si="221"/>
        <v>19.893899204244047</v>
      </c>
      <c r="F102">
        <f t="shared" si="221"/>
        <v>19.893899204244047</v>
      </c>
      <c r="G102">
        <f t="shared" si="221"/>
        <v>19.893899204244047</v>
      </c>
      <c r="H102">
        <f t="shared" si="221"/>
        <v>19.893899204244047</v>
      </c>
      <c r="I102">
        <f t="shared" si="221"/>
        <v>19.893899204244047</v>
      </c>
      <c r="J102">
        <f t="shared" si="221"/>
        <v>19.893899204244047</v>
      </c>
      <c r="K102">
        <f t="shared" si="221"/>
        <v>19.595490716180386</v>
      </c>
      <c r="L102">
        <f t="shared" si="221"/>
        <v>19.301558355437681</v>
      </c>
      <c r="M102">
        <f t="shared" si="221"/>
        <v>19.012034980106115</v>
      </c>
      <c r="N102">
        <f t="shared" si="221"/>
        <v>18.726854455404524</v>
      </c>
      <c r="O102">
        <f t="shared" si="221"/>
        <v>18.445951638573458</v>
      </c>
      <c r="P102">
        <f t="shared" si="221"/>
        <v>18.169262363994857</v>
      </c>
      <c r="Q102">
        <f t="shared" si="221"/>
        <v>17.896723428534933</v>
      </c>
      <c r="R102">
        <f t="shared" si="221"/>
        <v>17.628272577106909</v>
      </c>
      <c r="S102">
        <f t="shared" si="221"/>
        <v>17.363848488450305</v>
      </c>
      <c r="T102">
        <f t="shared" si="221"/>
        <v>17.103390761123549</v>
      </c>
      <c r="U102">
        <f t="shared" si="221"/>
        <v>16.975115330415122</v>
      </c>
      <c r="V102">
        <f t="shared" si="221"/>
        <v>16.847801965437007</v>
      </c>
      <c r="W102">
        <f t="shared" si="221"/>
        <v>16.721443450696231</v>
      </c>
      <c r="X102">
        <f t="shared" si="221"/>
        <v>16.596032624816008</v>
      </c>
      <c r="Y102">
        <f t="shared" si="221"/>
        <v>16.471562380129889</v>
      </c>
      <c r="Z102">
        <f t="shared" si="221"/>
        <v>16.348025662278914</v>
      </c>
      <c r="AA102">
        <f t="shared" si="221"/>
        <v>16.225415469811821</v>
      </c>
      <c r="AB102">
        <f t="shared" si="221"/>
        <v>16.103724853788233</v>
      </c>
      <c r="AC102">
        <f t="shared" si="221"/>
        <v>15.982946917384821</v>
      </c>
      <c r="AD102">
        <f t="shared" si="221"/>
        <v>15.863074815504435</v>
      </c>
      <c r="AE102">
        <f t="shared" si="221"/>
        <v>15.863074815504435</v>
      </c>
      <c r="AF102">
        <f t="shared" si="221"/>
        <v>15.863074815504435</v>
      </c>
      <c r="AG102">
        <f t="shared" si="221"/>
        <v>15.863074815504435</v>
      </c>
      <c r="AH102">
        <f t="shared" si="221"/>
        <v>15.863074815504435</v>
      </c>
      <c r="AI102">
        <f t="shared" si="221"/>
        <v>15.863074815504435</v>
      </c>
      <c r="AJ102">
        <f t="shared" si="221"/>
        <v>15.863074815504435</v>
      </c>
      <c r="AK102">
        <f t="shared" si="221"/>
        <v>15.863074815504435</v>
      </c>
      <c r="AL102">
        <f t="shared" si="221"/>
        <v>15.863074815504435</v>
      </c>
      <c r="AM102">
        <f t="shared" si="221"/>
        <v>15.863074815504435</v>
      </c>
      <c r="AN102">
        <f t="shared" si="221"/>
        <v>15.863074815504435</v>
      </c>
    </row>
    <row r="103" spans="1:40" x14ac:dyDescent="0.25">
      <c r="A103" t="s">
        <v>1054</v>
      </c>
      <c r="B103">
        <f>(EF!$P$5-(EF!$P$5*((B88-B88)*0.015)))</f>
        <v>20.888594164456251</v>
      </c>
      <c r="C103">
        <f t="shared" ref="C103:AN103" si="222">(B103-(B103*((C88-B88)*0.015)))</f>
        <v>20.888594164456251</v>
      </c>
      <c r="D103">
        <f t="shared" si="222"/>
        <v>20.888594164456251</v>
      </c>
      <c r="E103">
        <f t="shared" si="222"/>
        <v>20.888594164456251</v>
      </c>
      <c r="F103">
        <f t="shared" si="222"/>
        <v>20.888594164456251</v>
      </c>
      <c r="G103">
        <f t="shared" si="222"/>
        <v>20.888594164456251</v>
      </c>
      <c r="H103">
        <f t="shared" si="222"/>
        <v>20.888594164456251</v>
      </c>
      <c r="I103">
        <f t="shared" si="222"/>
        <v>20.888594164456251</v>
      </c>
      <c r="J103">
        <f t="shared" si="222"/>
        <v>20.888594164456251</v>
      </c>
      <c r="K103">
        <f t="shared" si="222"/>
        <v>20.575265251989407</v>
      </c>
      <c r="L103">
        <f t="shared" si="222"/>
        <v>20.266636273209567</v>
      </c>
      <c r="M103">
        <f t="shared" si="222"/>
        <v>19.962636729111424</v>
      </c>
      <c r="N103">
        <f t="shared" si="222"/>
        <v>19.663197178174752</v>
      </c>
      <c r="O103">
        <f t="shared" si="222"/>
        <v>19.368249220502129</v>
      </c>
      <c r="P103">
        <f t="shared" si="222"/>
        <v>19.077725482194598</v>
      </c>
      <c r="Q103">
        <f t="shared" si="222"/>
        <v>18.79155959996168</v>
      </c>
      <c r="R103">
        <f t="shared" si="222"/>
        <v>18.509686205962254</v>
      </c>
      <c r="S103">
        <f t="shared" si="222"/>
        <v>18.232040912872819</v>
      </c>
      <c r="T103">
        <f t="shared" si="222"/>
        <v>17.958560299179727</v>
      </c>
      <c r="U103">
        <f t="shared" si="222"/>
        <v>17.958560299179727</v>
      </c>
      <c r="V103">
        <f t="shared" si="222"/>
        <v>17.958560299179727</v>
      </c>
      <c r="W103">
        <f t="shared" si="222"/>
        <v>17.958560299179727</v>
      </c>
      <c r="X103">
        <f t="shared" si="222"/>
        <v>17.958560299179727</v>
      </c>
      <c r="Y103">
        <f t="shared" si="222"/>
        <v>17.958560299179727</v>
      </c>
      <c r="Z103">
        <f t="shared" si="222"/>
        <v>17.958560299179727</v>
      </c>
      <c r="AA103">
        <f t="shared" si="222"/>
        <v>17.958560299179727</v>
      </c>
      <c r="AB103">
        <f t="shared" si="222"/>
        <v>17.958560299179727</v>
      </c>
      <c r="AC103">
        <f t="shared" si="222"/>
        <v>17.958560299179727</v>
      </c>
      <c r="AD103">
        <f t="shared" si="222"/>
        <v>17.958560299179727</v>
      </c>
      <c r="AE103">
        <f t="shared" si="222"/>
        <v>17.958560299179727</v>
      </c>
      <c r="AF103">
        <f t="shared" si="222"/>
        <v>17.958560299179727</v>
      </c>
      <c r="AG103">
        <f t="shared" si="222"/>
        <v>17.958560299179727</v>
      </c>
      <c r="AH103">
        <f t="shared" si="222"/>
        <v>17.958560299179727</v>
      </c>
      <c r="AI103">
        <f t="shared" si="222"/>
        <v>17.958560299179727</v>
      </c>
      <c r="AJ103">
        <f t="shared" si="222"/>
        <v>17.958560299179727</v>
      </c>
      <c r="AK103">
        <f t="shared" si="222"/>
        <v>17.958560299179727</v>
      </c>
      <c r="AL103">
        <f t="shared" si="222"/>
        <v>17.958560299179727</v>
      </c>
      <c r="AM103">
        <f t="shared" si="222"/>
        <v>17.958560299179727</v>
      </c>
      <c r="AN103">
        <f t="shared" si="222"/>
        <v>17.958560299179727</v>
      </c>
    </row>
    <row r="104" spans="1:40" x14ac:dyDescent="0.25">
      <c r="A104" t="s">
        <v>1055</v>
      </c>
      <c r="B104">
        <f>(EF!$P$6-(EF!$P$6*((B89-B89)*0.015)))</f>
        <v>23.209549071618053</v>
      </c>
      <c r="C104">
        <f t="shared" ref="C104:AN104" si="223">(B104-(B104*((C89-B89)*0.015)))</f>
        <v>23.209549071618053</v>
      </c>
      <c r="D104">
        <f t="shared" si="223"/>
        <v>23.209549071618053</v>
      </c>
      <c r="E104">
        <f t="shared" si="223"/>
        <v>23.209549071618053</v>
      </c>
      <c r="F104">
        <f t="shared" si="223"/>
        <v>23.209549071618053</v>
      </c>
      <c r="G104">
        <f t="shared" si="223"/>
        <v>23.209549071618053</v>
      </c>
      <c r="H104">
        <f t="shared" si="223"/>
        <v>23.209549071618053</v>
      </c>
      <c r="I104">
        <f t="shared" si="223"/>
        <v>23.209549071618053</v>
      </c>
      <c r="J104">
        <f t="shared" si="223"/>
        <v>23.209549071618053</v>
      </c>
      <c r="K104">
        <f t="shared" si="223"/>
        <v>22.861405835543781</v>
      </c>
      <c r="L104">
        <f t="shared" si="223"/>
        <v>22.518484748010625</v>
      </c>
      <c r="M104">
        <f t="shared" si="223"/>
        <v>22.180707476790467</v>
      </c>
      <c r="N104">
        <f t="shared" si="223"/>
        <v>21.84799686463861</v>
      </c>
      <c r="O104">
        <f t="shared" si="223"/>
        <v>21.520276911669029</v>
      </c>
      <c r="P104">
        <f t="shared" si="223"/>
        <v>21.197472757993992</v>
      </c>
      <c r="Q104">
        <f t="shared" si="223"/>
        <v>20.879510666624082</v>
      </c>
      <c r="R104">
        <f t="shared" si="223"/>
        <v>20.566318006624719</v>
      </c>
      <c r="S104">
        <f t="shared" si="223"/>
        <v>20.257823236525347</v>
      </c>
      <c r="T104">
        <f t="shared" si="223"/>
        <v>19.953955887977468</v>
      </c>
      <c r="U104">
        <f t="shared" si="223"/>
        <v>19.953955887977468</v>
      </c>
      <c r="V104">
        <f t="shared" si="223"/>
        <v>19.953955887977468</v>
      </c>
      <c r="W104">
        <f t="shared" si="223"/>
        <v>19.953955887977468</v>
      </c>
      <c r="X104">
        <f t="shared" si="223"/>
        <v>19.953955887977468</v>
      </c>
      <c r="Y104">
        <f t="shared" si="223"/>
        <v>19.953955887977468</v>
      </c>
      <c r="Z104">
        <f t="shared" si="223"/>
        <v>19.953955887977468</v>
      </c>
      <c r="AA104">
        <f t="shared" si="223"/>
        <v>19.953955887977468</v>
      </c>
      <c r="AB104">
        <f t="shared" si="223"/>
        <v>19.953955887977468</v>
      </c>
      <c r="AC104">
        <f t="shared" si="223"/>
        <v>19.953955887977468</v>
      </c>
      <c r="AD104">
        <f t="shared" si="223"/>
        <v>19.953955887977468</v>
      </c>
      <c r="AE104">
        <f t="shared" si="223"/>
        <v>19.953955887977468</v>
      </c>
      <c r="AF104">
        <f t="shared" si="223"/>
        <v>19.953955887977468</v>
      </c>
      <c r="AG104">
        <f t="shared" si="223"/>
        <v>19.953955887977468</v>
      </c>
      <c r="AH104">
        <f t="shared" si="223"/>
        <v>19.953955887977468</v>
      </c>
      <c r="AI104">
        <f t="shared" si="223"/>
        <v>19.953955887977468</v>
      </c>
      <c r="AJ104">
        <f t="shared" si="223"/>
        <v>19.953955887977468</v>
      </c>
      <c r="AK104">
        <f t="shared" si="223"/>
        <v>19.953955887977468</v>
      </c>
      <c r="AL104">
        <f t="shared" si="223"/>
        <v>19.953955887977468</v>
      </c>
      <c r="AM104">
        <f t="shared" si="223"/>
        <v>19.953955887977468</v>
      </c>
      <c r="AN104">
        <f t="shared" si="223"/>
        <v>19.953955887977468</v>
      </c>
    </row>
    <row r="105" spans="1:40" x14ac:dyDescent="0.25">
      <c r="A105" t="s">
        <v>1056</v>
      </c>
      <c r="B105">
        <f>(EF!$P$7-(EF!$P$7*((B90-B90)*0.015)))</f>
        <v>23.209549071618053</v>
      </c>
      <c r="C105">
        <f t="shared" ref="C105:AN105" si="224">(B105-(B105*((C90-B90)*0.015)))</f>
        <v>23.209549071618053</v>
      </c>
      <c r="D105">
        <f t="shared" si="224"/>
        <v>23.209549071618053</v>
      </c>
      <c r="E105">
        <f t="shared" si="224"/>
        <v>23.209549071618053</v>
      </c>
      <c r="F105">
        <f t="shared" si="224"/>
        <v>23.209549071618053</v>
      </c>
      <c r="G105">
        <f t="shared" si="224"/>
        <v>23.209549071618053</v>
      </c>
      <c r="H105">
        <f t="shared" si="224"/>
        <v>23.209549071618053</v>
      </c>
      <c r="I105">
        <f t="shared" si="224"/>
        <v>23.209549071618053</v>
      </c>
      <c r="J105">
        <f t="shared" si="224"/>
        <v>23.209549071618053</v>
      </c>
      <c r="K105">
        <f t="shared" si="224"/>
        <v>22.861405835543781</v>
      </c>
      <c r="L105">
        <f t="shared" si="224"/>
        <v>22.518484748010625</v>
      </c>
      <c r="M105">
        <f t="shared" si="224"/>
        <v>22.180707476790467</v>
      </c>
      <c r="N105">
        <f t="shared" si="224"/>
        <v>21.84799686463861</v>
      </c>
      <c r="O105">
        <f t="shared" si="224"/>
        <v>21.520276911669029</v>
      </c>
      <c r="P105">
        <f t="shared" si="224"/>
        <v>21.197472757993992</v>
      </c>
      <c r="Q105">
        <f t="shared" si="224"/>
        <v>20.879510666624082</v>
      </c>
      <c r="R105">
        <f t="shared" si="224"/>
        <v>20.566318006624719</v>
      </c>
      <c r="S105">
        <f t="shared" si="224"/>
        <v>20.257823236525347</v>
      </c>
      <c r="T105">
        <f t="shared" si="224"/>
        <v>19.953955887977468</v>
      </c>
      <c r="U105">
        <f t="shared" si="224"/>
        <v>19.953955887977468</v>
      </c>
      <c r="V105">
        <f t="shared" si="224"/>
        <v>19.953955887977468</v>
      </c>
      <c r="W105">
        <f t="shared" si="224"/>
        <v>19.953955887977468</v>
      </c>
      <c r="X105">
        <f t="shared" si="224"/>
        <v>19.953955887977468</v>
      </c>
      <c r="Y105">
        <f t="shared" si="224"/>
        <v>19.953955887977468</v>
      </c>
      <c r="Z105">
        <f t="shared" si="224"/>
        <v>19.953955887977468</v>
      </c>
      <c r="AA105">
        <f t="shared" si="224"/>
        <v>19.953955887977468</v>
      </c>
      <c r="AB105">
        <f t="shared" si="224"/>
        <v>19.953955887977468</v>
      </c>
      <c r="AC105">
        <f t="shared" si="224"/>
        <v>19.953955887977468</v>
      </c>
      <c r="AD105">
        <f t="shared" si="224"/>
        <v>19.953955887977468</v>
      </c>
      <c r="AE105">
        <f t="shared" si="224"/>
        <v>19.953955887977468</v>
      </c>
      <c r="AF105">
        <f t="shared" si="224"/>
        <v>19.953955887977468</v>
      </c>
      <c r="AG105">
        <f t="shared" si="224"/>
        <v>19.953955887977468</v>
      </c>
      <c r="AH105">
        <f t="shared" si="224"/>
        <v>19.953955887977468</v>
      </c>
      <c r="AI105">
        <f t="shared" si="224"/>
        <v>19.953955887977468</v>
      </c>
      <c r="AJ105">
        <f t="shared" si="224"/>
        <v>19.953955887977468</v>
      </c>
      <c r="AK105">
        <f t="shared" si="224"/>
        <v>19.953955887977468</v>
      </c>
      <c r="AL105">
        <f t="shared" si="224"/>
        <v>19.953955887977468</v>
      </c>
      <c r="AM105">
        <f t="shared" si="224"/>
        <v>19.953955887977468</v>
      </c>
      <c r="AN105">
        <f t="shared" si="224"/>
        <v>19.953955887977468</v>
      </c>
    </row>
    <row r="106" spans="1:40" x14ac:dyDescent="0.25">
      <c r="A106" t="s">
        <v>1058</v>
      </c>
      <c r="B106">
        <f>(EF!$P$8-(EF!$P$8*((B91-B91)*0.015)))</f>
        <v>23.209549071618053</v>
      </c>
      <c r="C106">
        <f t="shared" ref="C106:AN106" si="225">(B106-(B106*((C91-B91)*0.015)))</f>
        <v>23.209549071618053</v>
      </c>
      <c r="D106">
        <f t="shared" si="225"/>
        <v>23.209549071618053</v>
      </c>
      <c r="E106">
        <f t="shared" si="225"/>
        <v>23.209549071618053</v>
      </c>
      <c r="F106">
        <f t="shared" si="225"/>
        <v>23.209549071618053</v>
      </c>
      <c r="G106">
        <f t="shared" si="225"/>
        <v>23.209549071618053</v>
      </c>
      <c r="H106">
        <f t="shared" si="225"/>
        <v>23.209549071618053</v>
      </c>
      <c r="I106">
        <f t="shared" si="225"/>
        <v>23.209549071618053</v>
      </c>
      <c r="J106">
        <f t="shared" si="225"/>
        <v>23.209549071618053</v>
      </c>
      <c r="K106">
        <f t="shared" si="225"/>
        <v>23.035477453580917</v>
      </c>
      <c r="L106">
        <f t="shared" si="225"/>
        <v>22.862711372679062</v>
      </c>
      <c r="M106">
        <f t="shared" si="225"/>
        <v>22.691241037383968</v>
      </c>
      <c r="N106">
        <f t="shared" si="225"/>
        <v>22.521056729603586</v>
      </c>
      <c r="O106">
        <f t="shared" si="225"/>
        <v>22.352148804131559</v>
      </c>
      <c r="P106">
        <f t="shared" si="225"/>
        <v>22.184507688100574</v>
      </c>
      <c r="Q106">
        <f t="shared" si="225"/>
        <v>22.01812388043982</v>
      </c>
      <c r="R106">
        <f t="shared" si="225"/>
        <v>21.85298795133652</v>
      </c>
      <c r="S106">
        <f t="shared" si="225"/>
        <v>21.689090541701496</v>
      </c>
      <c r="T106">
        <f t="shared" si="225"/>
        <v>21.526422362638733</v>
      </c>
      <c r="U106">
        <f t="shared" si="225"/>
        <v>21.364974194918943</v>
      </c>
      <c r="V106">
        <f t="shared" si="225"/>
        <v>21.204736888457052</v>
      </c>
      <c r="W106">
        <f t="shared" si="225"/>
        <v>21.045701361793625</v>
      </c>
      <c r="X106">
        <f t="shared" si="225"/>
        <v>20.887858601580174</v>
      </c>
      <c r="Y106">
        <f t="shared" si="225"/>
        <v>20.731199662068324</v>
      </c>
      <c r="Z106">
        <f t="shared" si="225"/>
        <v>20.575715664602811</v>
      </c>
      <c r="AA106">
        <f t="shared" si="225"/>
        <v>20.421397797118289</v>
      </c>
      <c r="AB106">
        <f t="shared" si="225"/>
        <v>20.268237313639901</v>
      </c>
      <c r="AC106">
        <f t="shared" si="225"/>
        <v>20.116225533787603</v>
      </c>
      <c r="AD106">
        <f t="shared" si="225"/>
        <v>19.965353842284195</v>
      </c>
      <c r="AE106">
        <f t="shared" si="225"/>
        <v>19.965353842284195</v>
      </c>
      <c r="AF106">
        <f t="shared" si="225"/>
        <v>19.965353842284195</v>
      </c>
      <c r="AG106">
        <f t="shared" si="225"/>
        <v>19.965353842284195</v>
      </c>
      <c r="AH106">
        <f t="shared" si="225"/>
        <v>19.965353842284195</v>
      </c>
      <c r="AI106">
        <f t="shared" si="225"/>
        <v>19.965353842284195</v>
      </c>
      <c r="AJ106">
        <f t="shared" si="225"/>
        <v>19.965353842284195</v>
      </c>
      <c r="AK106">
        <f t="shared" si="225"/>
        <v>19.965353842284195</v>
      </c>
      <c r="AL106">
        <f t="shared" si="225"/>
        <v>19.965353842284195</v>
      </c>
      <c r="AM106">
        <f t="shared" si="225"/>
        <v>19.965353842284195</v>
      </c>
      <c r="AN106">
        <f t="shared" si="225"/>
        <v>19.965353842284195</v>
      </c>
    </row>
    <row r="107" spans="1:40" x14ac:dyDescent="0.25">
      <c r="A107" t="s">
        <v>1057</v>
      </c>
      <c r="B107">
        <f>(EF!$P$9-(EF!$P$9*((B92-B92)*0.015)))</f>
        <v>9.9469496021220323</v>
      </c>
      <c r="C107">
        <f t="shared" ref="C107:AN107" si="226">(B107-(B107*((C92-B92)*0.015)))</f>
        <v>9.9469496021220323</v>
      </c>
      <c r="D107">
        <f t="shared" si="226"/>
        <v>9.9469496021220323</v>
      </c>
      <c r="E107">
        <f t="shared" si="226"/>
        <v>9.9469496021220323</v>
      </c>
      <c r="F107">
        <f t="shared" si="226"/>
        <v>9.9469496021220323</v>
      </c>
      <c r="G107">
        <f t="shared" si="226"/>
        <v>9.9469496021220323</v>
      </c>
      <c r="H107">
        <f t="shared" si="226"/>
        <v>9.9469496021220323</v>
      </c>
      <c r="I107">
        <f t="shared" si="226"/>
        <v>9.9469496021220323</v>
      </c>
      <c r="J107">
        <f t="shared" si="226"/>
        <v>9.9469496021220323</v>
      </c>
      <c r="K107">
        <f t="shared" si="226"/>
        <v>9.7977453580902019</v>
      </c>
      <c r="L107">
        <f t="shared" si="226"/>
        <v>9.6507791777188494</v>
      </c>
      <c r="M107">
        <f t="shared" si="226"/>
        <v>9.5060174900530665</v>
      </c>
      <c r="N107">
        <f t="shared" si="226"/>
        <v>9.363427227702271</v>
      </c>
      <c r="O107">
        <f t="shared" si="226"/>
        <v>9.2229758192867362</v>
      </c>
      <c r="P107">
        <f t="shared" si="226"/>
        <v>9.0846311819974357</v>
      </c>
      <c r="Q107">
        <f t="shared" si="226"/>
        <v>8.9483617142674738</v>
      </c>
      <c r="R107">
        <f t="shared" si="226"/>
        <v>8.8141362885534615</v>
      </c>
      <c r="S107">
        <f t="shared" si="226"/>
        <v>8.6819242442251596</v>
      </c>
      <c r="T107">
        <f t="shared" si="226"/>
        <v>8.5516953805617817</v>
      </c>
      <c r="U107">
        <f t="shared" si="226"/>
        <v>8.5516953805617817</v>
      </c>
      <c r="V107">
        <f t="shared" si="226"/>
        <v>8.5516953805617817</v>
      </c>
      <c r="W107">
        <f t="shared" si="226"/>
        <v>8.5516953805617817</v>
      </c>
      <c r="X107">
        <f t="shared" si="226"/>
        <v>8.5516953805617817</v>
      </c>
      <c r="Y107">
        <f t="shared" si="226"/>
        <v>8.5516953805617817</v>
      </c>
      <c r="Z107">
        <f t="shared" si="226"/>
        <v>8.5516953805617817</v>
      </c>
      <c r="AA107">
        <f t="shared" si="226"/>
        <v>8.5516953805617817</v>
      </c>
      <c r="AB107">
        <f t="shared" si="226"/>
        <v>8.5516953805617817</v>
      </c>
      <c r="AC107">
        <f t="shared" si="226"/>
        <v>8.5516953805617817</v>
      </c>
      <c r="AD107">
        <f t="shared" si="226"/>
        <v>8.5516953805617817</v>
      </c>
      <c r="AE107">
        <f t="shared" si="226"/>
        <v>8.5516953805617817</v>
      </c>
      <c r="AF107">
        <f t="shared" si="226"/>
        <v>8.5516953805617817</v>
      </c>
      <c r="AG107">
        <f t="shared" si="226"/>
        <v>8.5516953805617817</v>
      </c>
      <c r="AH107">
        <f t="shared" si="226"/>
        <v>8.5516953805617817</v>
      </c>
      <c r="AI107">
        <f t="shared" si="226"/>
        <v>8.5516953805617817</v>
      </c>
      <c r="AJ107">
        <f t="shared" si="226"/>
        <v>8.5516953805617817</v>
      </c>
      <c r="AK107">
        <f t="shared" si="226"/>
        <v>8.5516953805617817</v>
      </c>
      <c r="AL107">
        <f t="shared" si="226"/>
        <v>8.5516953805617817</v>
      </c>
      <c r="AM107">
        <f t="shared" si="226"/>
        <v>8.5516953805617817</v>
      </c>
      <c r="AN107">
        <f t="shared" si="226"/>
        <v>8.5516953805617817</v>
      </c>
    </row>
    <row r="108" spans="1:40" x14ac:dyDescent="0.25">
      <c r="A108" t="s">
        <v>1059</v>
      </c>
      <c r="B108">
        <f>(EF!$P$10-(EF!$P$10*((B93-B93)*0.015)))</f>
        <v>22.214854111405852</v>
      </c>
      <c r="C108">
        <f t="shared" ref="C108:AN108" si="227">(B108-(B108*((C93-B93)*0.015)))</f>
        <v>22.214854111405852</v>
      </c>
      <c r="D108">
        <f t="shared" si="227"/>
        <v>22.214854111405852</v>
      </c>
      <c r="E108">
        <f t="shared" si="227"/>
        <v>22.214854111405852</v>
      </c>
      <c r="F108">
        <f t="shared" si="227"/>
        <v>22.214854111405852</v>
      </c>
      <c r="G108">
        <f t="shared" si="227"/>
        <v>22.214854111405852</v>
      </c>
      <c r="H108">
        <f t="shared" si="227"/>
        <v>22.214854111405852</v>
      </c>
      <c r="I108">
        <f t="shared" si="227"/>
        <v>22.214854111405852</v>
      </c>
      <c r="J108">
        <f t="shared" si="227"/>
        <v>22.214854111405852</v>
      </c>
      <c r="K108">
        <f t="shared" si="227"/>
        <v>21.881631299734764</v>
      </c>
      <c r="L108">
        <f t="shared" si="227"/>
        <v>21.553406830238742</v>
      </c>
      <c r="M108">
        <f t="shared" si="227"/>
        <v>21.230105727785162</v>
      </c>
      <c r="N108">
        <f t="shared" si="227"/>
        <v>20.911654141868386</v>
      </c>
      <c r="O108">
        <f t="shared" si="227"/>
        <v>20.597979329740362</v>
      </c>
      <c r="P108">
        <f t="shared" si="227"/>
        <v>20.289009639794255</v>
      </c>
      <c r="Q108">
        <f t="shared" si="227"/>
        <v>19.984674495197343</v>
      </c>
      <c r="R108">
        <f t="shared" si="227"/>
        <v>19.684904377769382</v>
      </c>
      <c r="S108">
        <f t="shared" si="227"/>
        <v>19.38963081210284</v>
      </c>
      <c r="T108">
        <f t="shared" si="227"/>
        <v>19.098786349921298</v>
      </c>
      <c r="U108">
        <f t="shared" si="227"/>
        <v>19.098786349921298</v>
      </c>
      <c r="V108">
        <f t="shared" si="227"/>
        <v>19.098786349921298</v>
      </c>
      <c r="W108">
        <f t="shared" si="227"/>
        <v>19.098786349921298</v>
      </c>
      <c r="X108">
        <f t="shared" si="227"/>
        <v>19.098786349921298</v>
      </c>
      <c r="Y108">
        <f t="shared" si="227"/>
        <v>19.098786349921298</v>
      </c>
      <c r="Z108">
        <f t="shared" si="227"/>
        <v>19.098786349921298</v>
      </c>
      <c r="AA108">
        <f t="shared" si="227"/>
        <v>19.098786349921298</v>
      </c>
      <c r="AB108">
        <f t="shared" si="227"/>
        <v>19.098786349921298</v>
      </c>
      <c r="AC108">
        <f t="shared" si="227"/>
        <v>19.098786349921298</v>
      </c>
      <c r="AD108">
        <f t="shared" si="227"/>
        <v>19.098786349921298</v>
      </c>
      <c r="AE108">
        <f t="shared" si="227"/>
        <v>19.098786349921298</v>
      </c>
      <c r="AF108">
        <f t="shared" si="227"/>
        <v>19.098786349921298</v>
      </c>
      <c r="AG108">
        <f t="shared" si="227"/>
        <v>19.098786349921298</v>
      </c>
      <c r="AH108">
        <f t="shared" si="227"/>
        <v>19.098786349921298</v>
      </c>
      <c r="AI108">
        <f t="shared" si="227"/>
        <v>19.098786349921298</v>
      </c>
      <c r="AJ108">
        <f t="shared" si="227"/>
        <v>19.098786349921298</v>
      </c>
      <c r="AK108">
        <f t="shared" si="227"/>
        <v>19.098786349921298</v>
      </c>
      <c r="AL108">
        <f t="shared" si="227"/>
        <v>19.098786349921298</v>
      </c>
      <c r="AM108">
        <f t="shared" si="227"/>
        <v>19.098786349921298</v>
      </c>
      <c r="AN108">
        <f t="shared" si="227"/>
        <v>19.098786349921298</v>
      </c>
    </row>
    <row r="109" spans="1:40" x14ac:dyDescent="0.25">
      <c r="A109" t="s">
        <v>1060</v>
      </c>
      <c r="B109">
        <f>(EF!$P$11-(EF!$P$11*((B94-B94)*0.015)))</f>
        <v>22.214854111405852</v>
      </c>
      <c r="C109">
        <f t="shared" ref="C109:AN109" si="228">(B109-(B109*((C94-B94)*0.015)))</f>
        <v>22.214854111405852</v>
      </c>
      <c r="D109">
        <f t="shared" si="228"/>
        <v>22.214854111405852</v>
      </c>
      <c r="E109">
        <f t="shared" si="228"/>
        <v>22.214854111405852</v>
      </c>
      <c r="F109">
        <f t="shared" si="228"/>
        <v>22.214854111405852</v>
      </c>
      <c r="G109">
        <f t="shared" si="228"/>
        <v>22.214854111405852</v>
      </c>
      <c r="H109">
        <f t="shared" si="228"/>
        <v>22.214854111405852</v>
      </c>
      <c r="I109">
        <f t="shared" si="228"/>
        <v>22.214854111405852</v>
      </c>
      <c r="J109">
        <f t="shared" si="228"/>
        <v>22.214854111405852</v>
      </c>
      <c r="K109">
        <f t="shared" si="228"/>
        <v>21.881631299734764</v>
      </c>
      <c r="L109">
        <f t="shared" si="228"/>
        <v>21.553406830238742</v>
      </c>
      <c r="M109">
        <f t="shared" si="228"/>
        <v>21.230105727785162</v>
      </c>
      <c r="N109">
        <f t="shared" si="228"/>
        <v>20.911654141868386</v>
      </c>
      <c r="O109">
        <f t="shared" si="228"/>
        <v>20.597979329740362</v>
      </c>
      <c r="P109">
        <f t="shared" si="228"/>
        <v>20.289009639794255</v>
      </c>
      <c r="Q109">
        <f t="shared" si="228"/>
        <v>19.984674495197343</v>
      </c>
      <c r="R109">
        <f t="shared" si="228"/>
        <v>19.684904377769382</v>
      </c>
      <c r="S109">
        <f t="shared" si="228"/>
        <v>19.38963081210284</v>
      </c>
      <c r="T109">
        <f t="shared" si="228"/>
        <v>19.098786349921298</v>
      </c>
      <c r="U109">
        <f t="shared" si="228"/>
        <v>19.098786349921298</v>
      </c>
      <c r="V109">
        <f t="shared" si="228"/>
        <v>19.098786349921298</v>
      </c>
      <c r="W109">
        <f t="shared" si="228"/>
        <v>19.098786349921298</v>
      </c>
      <c r="X109">
        <f t="shared" si="228"/>
        <v>19.098786349921298</v>
      </c>
      <c r="Y109">
        <f t="shared" si="228"/>
        <v>19.098786349921298</v>
      </c>
      <c r="Z109">
        <f t="shared" si="228"/>
        <v>19.098786349921298</v>
      </c>
      <c r="AA109">
        <f t="shared" si="228"/>
        <v>19.098786349921298</v>
      </c>
      <c r="AB109">
        <f t="shared" si="228"/>
        <v>19.098786349921298</v>
      </c>
      <c r="AC109">
        <f t="shared" si="228"/>
        <v>19.098786349921298</v>
      </c>
      <c r="AD109">
        <f t="shared" si="228"/>
        <v>19.098786349921298</v>
      </c>
      <c r="AE109">
        <f t="shared" si="228"/>
        <v>19.098786349921298</v>
      </c>
      <c r="AF109">
        <f t="shared" si="228"/>
        <v>19.098786349921298</v>
      </c>
      <c r="AG109">
        <f t="shared" si="228"/>
        <v>19.098786349921298</v>
      </c>
      <c r="AH109">
        <f t="shared" si="228"/>
        <v>19.098786349921298</v>
      </c>
      <c r="AI109">
        <f t="shared" si="228"/>
        <v>19.098786349921298</v>
      </c>
      <c r="AJ109">
        <f t="shared" si="228"/>
        <v>19.098786349921298</v>
      </c>
      <c r="AK109">
        <f t="shared" si="228"/>
        <v>19.098786349921298</v>
      </c>
      <c r="AL109">
        <f t="shared" si="228"/>
        <v>19.098786349921298</v>
      </c>
      <c r="AM109">
        <f t="shared" si="228"/>
        <v>19.098786349921298</v>
      </c>
      <c r="AN109">
        <f t="shared" si="228"/>
        <v>19.098786349921298</v>
      </c>
    </row>
    <row r="110" spans="1:40" x14ac:dyDescent="0.25">
      <c r="A110" t="s">
        <v>1061</v>
      </c>
      <c r="B110">
        <f>(EF!$P$12-(EF!$P$12*((B95-B95)*0.015)))</f>
        <v>18.236074270557044</v>
      </c>
      <c r="C110">
        <f t="shared" ref="C110:AN110" si="229">(B110-(B110*((C95-B95)*0.015)))</f>
        <v>18.236074270557044</v>
      </c>
      <c r="D110">
        <f t="shared" si="229"/>
        <v>18.236074270557044</v>
      </c>
      <c r="E110">
        <f t="shared" si="229"/>
        <v>18.236074270557044</v>
      </c>
      <c r="F110">
        <f t="shared" si="229"/>
        <v>18.236074270557044</v>
      </c>
      <c r="G110">
        <f t="shared" si="229"/>
        <v>18.236074270557044</v>
      </c>
      <c r="H110">
        <f t="shared" si="229"/>
        <v>18.236074270557044</v>
      </c>
      <c r="I110">
        <f t="shared" si="229"/>
        <v>18.236074270557044</v>
      </c>
      <c r="J110">
        <f t="shared" si="229"/>
        <v>18.236074270557044</v>
      </c>
      <c r="K110">
        <f t="shared" si="229"/>
        <v>17.962533156498687</v>
      </c>
      <c r="L110">
        <f t="shared" si="229"/>
        <v>17.693095159151206</v>
      </c>
      <c r="M110">
        <f t="shared" si="229"/>
        <v>17.427698731763936</v>
      </c>
      <c r="N110">
        <f t="shared" si="229"/>
        <v>17.166283250787476</v>
      </c>
      <c r="O110">
        <f t="shared" si="229"/>
        <v>16.908789002025664</v>
      </c>
      <c r="P110">
        <f t="shared" si="229"/>
        <v>16.655157166995277</v>
      </c>
      <c r="Q110">
        <f t="shared" si="229"/>
        <v>16.405329809490347</v>
      </c>
      <c r="R110">
        <f t="shared" si="229"/>
        <v>16.159249862347991</v>
      </c>
      <c r="S110">
        <f t="shared" si="229"/>
        <v>15.916861114412772</v>
      </c>
      <c r="T110">
        <f t="shared" si="229"/>
        <v>15.678108197696581</v>
      </c>
      <c r="U110">
        <f t="shared" si="229"/>
        <v>15.678108197696581</v>
      </c>
      <c r="V110">
        <f t="shared" si="229"/>
        <v>15.678108197696581</v>
      </c>
      <c r="W110">
        <f t="shared" si="229"/>
        <v>15.678108197696581</v>
      </c>
      <c r="X110">
        <f t="shared" si="229"/>
        <v>15.678108197696581</v>
      </c>
      <c r="Y110">
        <f t="shared" si="229"/>
        <v>15.678108197696581</v>
      </c>
      <c r="Z110">
        <f t="shared" si="229"/>
        <v>15.678108197696581</v>
      </c>
      <c r="AA110">
        <f t="shared" si="229"/>
        <v>15.678108197696581</v>
      </c>
      <c r="AB110">
        <f t="shared" si="229"/>
        <v>15.678108197696581</v>
      </c>
      <c r="AC110">
        <f t="shared" si="229"/>
        <v>15.678108197696581</v>
      </c>
      <c r="AD110">
        <f t="shared" si="229"/>
        <v>15.678108197696581</v>
      </c>
      <c r="AE110">
        <f t="shared" si="229"/>
        <v>15.678108197696581</v>
      </c>
      <c r="AF110">
        <f t="shared" si="229"/>
        <v>15.678108197696581</v>
      </c>
      <c r="AG110">
        <f t="shared" si="229"/>
        <v>15.678108197696581</v>
      </c>
      <c r="AH110">
        <f t="shared" si="229"/>
        <v>15.678108197696581</v>
      </c>
      <c r="AI110">
        <f t="shared" si="229"/>
        <v>15.678108197696581</v>
      </c>
      <c r="AJ110">
        <f t="shared" si="229"/>
        <v>15.678108197696581</v>
      </c>
      <c r="AK110">
        <f t="shared" si="229"/>
        <v>15.678108197696581</v>
      </c>
      <c r="AL110">
        <f t="shared" si="229"/>
        <v>15.678108197696581</v>
      </c>
      <c r="AM110">
        <f t="shared" si="229"/>
        <v>15.678108197696581</v>
      </c>
      <c r="AN110">
        <f t="shared" si="229"/>
        <v>15.678108197696581</v>
      </c>
    </row>
    <row r="111" spans="1:40" x14ac:dyDescent="0.25">
      <c r="A111" t="s">
        <v>1062</v>
      </c>
      <c r="B111">
        <f>(EF!$P$13-(EF!$P$13*((B96-B96)*0.015)))</f>
        <v>18.236074270557044</v>
      </c>
      <c r="C111">
        <f t="shared" ref="C111:AN111" si="230">(B111-(B111*((C96-B96)*0.015)))</f>
        <v>18.236074270557044</v>
      </c>
      <c r="D111">
        <f t="shared" si="230"/>
        <v>18.236074270557044</v>
      </c>
      <c r="E111">
        <f t="shared" si="230"/>
        <v>18.236074270557044</v>
      </c>
      <c r="F111">
        <f t="shared" si="230"/>
        <v>18.236074270557044</v>
      </c>
      <c r="G111">
        <f t="shared" si="230"/>
        <v>18.236074270557044</v>
      </c>
      <c r="H111">
        <f t="shared" si="230"/>
        <v>18.236074270557044</v>
      </c>
      <c r="I111">
        <f t="shared" si="230"/>
        <v>18.236074270557044</v>
      </c>
      <c r="J111">
        <f t="shared" si="230"/>
        <v>18.236074270557044</v>
      </c>
      <c r="K111">
        <f t="shared" si="230"/>
        <v>17.962533156498687</v>
      </c>
      <c r="L111">
        <f t="shared" si="230"/>
        <v>17.693095159151206</v>
      </c>
      <c r="M111">
        <f t="shared" si="230"/>
        <v>17.427698731763936</v>
      </c>
      <c r="N111">
        <f t="shared" si="230"/>
        <v>17.166283250787476</v>
      </c>
      <c r="O111">
        <f t="shared" si="230"/>
        <v>16.908789002025664</v>
      </c>
      <c r="P111">
        <f t="shared" si="230"/>
        <v>16.655157166995277</v>
      </c>
      <c r="Q111">
        <f t="shared" si="230"/>
        <v>16.405329809490347</v>
      </c>
      <c r="R111">
        <f t="shared" si="230"/>
        <v>16.159249862347991</v>
      </c>
      <c r="S111">
        <f t="shared" si="230"/>
        <v>15.916861114412772</v>
      </c>
      <c r="T111">
        <f t="shared" si="230"/>
        <v>15.678108197696581</v>
      </c>
      <c r="U111">
        <f t="shared" si="230"/>
        <v>15.678108197696581</v>
      </c>
      <c r="V111">
        <f t="shared" si="230"/>
        <v>15.678108197696581</v>
      </c>
      <c r="W111">
        <f t="shared" si="230"/>
        <v>15.678108197696581</v>
      </c>
      <c r="X111">
        <f t="shared" si="230"/>
        <v>15.678108197696581</v>
      </c>
      <c r="Y111">
        <f t="shared" si="230"/>
        <v>15.678108197696581</v>
      </c>
      <c r="Z111">
        <f t="shared" si="230"/>
        <v>15.678108197696581</v>
      </c>
      <c r="AA111">
        <f t="shared" si="230"/>
        <v>15.678108197696581</v>
      </c>
      <c r="AB111">
        <f t="shared" si="230"/>
        <v>15.678108197696581</v>
      </c>
      <c r="AC111">
        <f t="shared" si="230"/>
        <v>15.678108197696581</v>
      </c>
      <c r="AD111">
        <f t="shared" si="230"/>
        <v>15.678108197696581</v>
      </c>
      <c r="AE111">
        <f t="shared" si="230"/>
        <v>15.678108197696581</v>
      </c>
      <c r="AF111">
        <f t="shared" si="230"/>
        <v>15.678108197696581</v>
      </c>
      <c r="AG111">
        <f t="shared" si="230"/>
        <v>15.678108197696581</v>
      </c>
      <c r="AH111">
        <f t="shared" si="230"/>
        <v>15.678108197696581</v>
      </c>
      <c r="AI111">
        <f t="shared" si="230"/>
        <v>15.678108197696581</v>
      </c>
      <c r="AJ111">
        <f t="shared" si="230"/>
        <v>15.678108197696581</v>
      </c>
      <c r="AK111">
        <f t="shared" si="230"/>
        <v>15.678108197696581</v>
      </c>
      <c r="AL111">
        <f t="shared" si="230"/>
        <v>15.678108197696581</v>
      </c>
      <c r="AM111">
        <f t="shared" si="230"/>
        <v>15.678108197696581</v>
      </c>
      <c r="AN111">
        <f t="shared" si="230"/>
        <v>15.678108197696581</v>
      </c>
    </row>
    <row r="112" spans="1:40" x14ac:dyDescent="0.25">
      <c r="A112" t="s">
        <v>1029</v>
      </c>
      <c r="B112">
        <f>'Net zero activities &amp; levers'!C56/100</f>
        <v>0</v>
      </c>
      <c r="C112">
        <f>B112</f>
        <v>0</v>
      </c>
      <c r="D112">
        <f t="shared" ref="D112:J112" si="231">C112</f>
        <v>0</v>
      </c>
      <c r="E112">
        <f t="shared" si="231"/>
        <v>0</v>
      </c>
      <c r="F112">
        <f t="shared" si="231"/>
        <v>0</v>
      </c>
      <c r="G112">
        <f t="shared" si="231"/>
        <v>0</v>
      </c>
      <c r="H112">
        <f t="shared" si="231"/>
        <v>0</v>
      </c>
      <c r="I112">
        <f t="shared" si="231"/>
        <v>0</v>
      </c>
      <c r="J112">
        <f t="shared" si="231"/>
        <v>0</v>
      </c>
      <c r="K112">
        <f t="shared" ref="K112:K121" si="232">J112+($T112-$J112)/10</f>
        <v>8.4999999999999992E-2</v>
      </c>
      <c r="L112">
        <f t="shared" ref="L112:L121" si="233">K112+($T112-$J112)/10</f>
        <v>0.16999999999999998</v>
      </c>
      <c r="M112">
        <f t="shared" ref="M112:M121" si="234">L112+($T112-$J112)/10</f>
        <v>0.255</v>
      </c>
      <c r="N112">
        <f t="shared" ref="N112:N121" si="235">M112+($T112-$J112)/10</f>
        <v>0.33999999999999997</v>
      </c>
      <c r="O112">
        <f t="shared" ref="O112:O121" si="236">N112+($T112-$J112)/10</f>
        <v>0.42499999999999993</v>
      </c>
      <c r="P112">
        <f t="shared" ref="P112:P121" si="237">O112+($T112-$J112)/10</f>
        <v>0.5099999999999999</v>
      </c>
      <c r="Q112">
        <f t="shared" ref="Q112:Q121" si="238">P112+($T112-$J112)/10</f>
        <v>0.59499999999999986</v>
      </c>
      <c r="R112">
        <f t="shared" ref="R112:R121" si="239">Q112+($T112-$J112)/10</f>
        <v>0.67999999999999983</v>
      </c>
      <c r="S112">
        <f t="shared" ref="S112:S121" si="240">R112+($T112-$J112)/10</f>
        <v>0.76499999999999979</v>
      </c>
      <c r="T112">
        <f>'Net zero activities &amp; levers'!D56/100</f>
        <v>0.85</v>
      </c>
      <c r="U112">
        <f t="shared" ref="U112:U121" si="241">T112+($AD112-$T112)/10</f>
        <v>0.85</v>
      </c>
      <c r="V112">
        <f t="shared" ref="V112:V121" si="242">U112+($AD112-$T112)/10</f>
        <v>0.85</v>
      </c>
      <c r="W112">
        <f t="shared" ref="W112:W121" si="243">V112+($AD112-$T112)/10</f>
        <v>0.85</v>
      </c>
      <c r="X112">
        <f t="shared" ref="X112:X121" si="244">W112+($AD112-$T112)/10</f>
        <v>0.85</v>
      </c>
      <c r="Y112">
        <f t="shared" ref="Y112:Y121" si="245">X112+($AD112-$T112)/10</f>
        <v>0.85</v>
      </c>
      <c r="Z112">
        <f t="shared" ref="Z112:Z121" si="246">Y112+($AD112-$T112)/10</f>
        <v>0.85</v>
      </c>
      <c r="AA112">
        <f t="shared" ref="AA112:AA121" si="247">Z112+($AD112-$T112)/10</f>
        <v>0.85</v>
      </c>
      <c r="AB112">
        <f t="shared" ref="AB112:AB121" si="248">AA112+($AD112-$T112)/10</f>
        <v>0.85</v>
      </c>
      <c r="AC112">
        <f t="shared" ref="AC112:AC121" si="249">AB112+($AD112-$T112)/10</f>
        <v>0.85</v>
      </c>
      <c r="AD112">
        <f>'Net zero activities &amp; levers'!E56/100</f>
        <v>0.85</v>
      </c>
      <c r="AE112">
        <f t="shared" ref="AE112:AE121" si="250">AD112+($AN112-$AD112)/10</f>
        <v>0.85</v>
      </c>
      <c r="AF112">
        <f t="shared" ref="AF112:AF121" si="251">AE112+($AN112-$AD112)/10</f>
        <v>0.85</v>
      </c>
      <c r="AG112">
        <f t="shared" ref="AG112:AG121" si="252">AF112+($AN112-$AD112)/10</f>
        <v>0.85</v>
      </c>
      <c r="AH112">
        <f t="shared" ref="AH112:AH121" si="253">AG112+($AN112-$AD112)/10</f>
        <v>0.85</v>
      </c>
      <c r="AI112">
        <f t="shared" ref="AI112:AI121" si="254">AH112+($AN112-$AD112)/10</f>
        <v>0.85</v>
      </c>
      <c r="AJ112">
        <f t="shared" ref="AJ112:AJ121" si="255">AI112+($AN112-$AD112)/10</f>
        <v>0.85</v>
      </c>
      <c r="AK112">
        <f t="shared" ref="AK112:AK121" si="256">AJ112+($AN112-$AD112)/10</f>
        <v>0.85</v>
      </c>
      <c r="AL112">
        <f t="shared" ref="AL112:AL121" si="257">AK112+($AN112-$AD112)/10</f>
        <v>0.85</v>
      </c>
      <c r="AM112">
        <f t="shared" ref="AM112:AM121" si="258">AL112+($AN112-$AD112)/10</f>
        <v>0.85</v>
      </c>
      <c r="AN112">
        <f>'Net zero activities &amp; levers'!F56/100</f>
        <v>0.85</v>
      </c>
    </row>
    <row r="113" spans="1:40" x14ac:dyDescent="0.25">
      <c r="A113" t="s">
        <v>1073</v>
      </c>
      <c r="B113">
        <f>'Net zero activities &amp; levers'!C57/100</f>
        <v>0</v>
      </c>
      <c r="C113">
        <f t="shared" ref="C113:J121" si="259">B113</f>
        <v>0</v>
      </c>
      <c r="D113">
        <f t="shared" si="259"/>
        <v>0</v>
      </c>
      <c r="E113">
        <f t="shared" si="259"/>
        <v>0</v>
      </c>
      <c r="F113">
        <f t="shared" si="259"/>
        <v>0</v>
      </c>
      <c r="G113">
        <f t="shared" si="259"/>
        <v>0</v>
      </c>
      <c r="H113">
        <f t="shared" si="259"/>
        <v>0</v>
      </c>
      <c r="I113">
        <f t="shared" si="259"/>
        <v>0</v>
      </c>
      <c r="J113">
        <f t="shared" si="259"/>
        <v>0</v>
      </c>
      <c r="K113">
        <f t="shared" si="232"/>
        <v>8.4999999999999992E-2</v>
      </c>
      <c r="L113">
        <f t="shared" si="233"/>
        <v>0.16999999999999998</v>
      </c>
      <c r="M113">
        <f t="shared" si="234"/>
        <v>0.255</v>
      </c>
      <c r="N113">
        <f t="shared" si="235"/>
        <v>0.33999999999999997</v>
      </c>
      <c r="O113">
        <f t="shared" si="236"/>
        <v>0.42499999999999993</v>
      </c>
      <c r="P113">
        <f t="shared" si="237"/>
        <v>0.5099999999999999</v>
      </c>
      <c r="Q113">
        <f t="shared" si="238"/>
        <v>0.59499999999999986</v>
      </c>
      <c r="R113">
        <f t="shared" si="239"/>
        <v>0.67999999999999983</v>
      </c>
      <c r="S113">
        <f t="shared" si="240"/>
        <v>0.76499999999999979</v>
      </c>
      <c r="T113">
        <f>'Net zero activities &amp; levers'!D57/100</f>
        <v>0.85</v>
      </c>
      <c r="U113">
        <f t="shared" si="241"/>
        <v>0.85</v>
      </c>
      <c r="V113">
        <f t="shared" si="242"/>
        <v>0.85</v>
      </c>
      <c r="W113">
        <f t="shared" si="243"/>
        <v>0.85</v>
      </c>
      <c r="X113">
        <f t="shared" si="244"/>
        <v>0.85</v>
      </c>
      <c r="Y113">
        <f t="shared" si="245"/>
        <v>0.85</v>
      </c>
      <c r="Z113">
        <f t="shared" si="246"/>
        <v>0.85</v>
      </c>
      <c r="AA113">
        <f t="shared" si="247"/>
        <v>0.85</v>
      </c>
      <c r="AB113">
        <f t="shared" si="248"/>
        <v>0.85</v>
      </c>
      <c r="AC113">
        <f t="shared" si="249"/>
        <v>0.85</v>
      </c>
      <c r="AD113">
        <f>'Net zero activities &amp; levers'!E57/100</f>
        <v>0.85</v>
      </c>
      <c r="AE113">
        <f t="shared" si="250"/>
        <v>0.85</v>
      </c>
      <c r="AF113">
        <f t="shared" si="251"/>
        <v>0.85</v>
      </c>
      <c r="AG113">
        <f t="shared" si="252"/>
        <v>0.85</v>
      </c>
      <c r="AH113">
        <f t="shared" si="253"/>
        <v>0.85</v>
      </c>
      <c r="AI113">
        <f t="shared" si="254"/>
        <v>0.85</v>
      </c>
      <c r="AJ113">
        <f t="shared" si="255"/>
        <v>0.85</v>
      </c>
      <c r="AK113">
        <f t="shared" si="256"/>
        <v>0.85</v>
      </c>
      <c r="AL113">
        <f t="shared" si="257"/>
        <v>0.85</v>
      </c>
      <c r="AM113">
        <f t="shared" si="258"/>
        <v>0.85</v>
      </c>
      <c r="AN113">
        <f>'Net zero activities &amp; levers'!F57/100</f>
        <v>0.85</v>
      </c>
    </row>
    <row r="114" spans="1:40" x14ac:dyDescent="0.25">
      <c r="A114" t="s">
        <v>1074</v>
      </c>
      <c r="B114">
        <f>'Net zero activities &amp; levers'!C58/100</f>
        <v>0</v>
      </c>
      <c r="C114">
        <f t="shared" si="259"/>
        <v>0</v>
      </c>
      <c r="D114">
        <f t="shared" si="259"/>
        <v>0</v>
      </c>
      <c r="E114">
        <f t="shared" si="259"/>
        <v>0</v>
      </c>
      <c r="F114">
        <f t="shared" si="259"/>
        <v>0</v>
      </c>
      <c r="G114">
        <f t="shared" si="259"/>
        <v>0</v>
      </c>
      <c r="H114">
        <f t="shared" si="259"/>
        <v>0</v>
      </c>
      <c r="I114">
        <f t="shared" si="259"/>
        <v>0</v>
      </c>
      <c r="J114">
        <f t="shared" si="259"/>
        <v>0</v>
      </c>
      <c r="K114">
        <f t="shared" si="232"/>
        <v>0.06</v>
      </c>
      <c r="L114">
        <f t="shared" si="233"/>
        <v>0.12</v>
      </c>
      <c r="M114">
        <f t="shared" si="234"/>
        <v>0.18</v>
      </c>
      <c r="N114">
        <f t="shared" si="235"/>
        <v>0.24</v>
      </c>
      <c r="O114">
        <f t="shared" si="236"/>
        <v>0.3</v>
      </c>
      <c r="P114">
        <f t="shared" si="237"/>
        <v>0.36</v>
      </c>
      <c r="Q114">
        <f t="shared" si="238"/>
        <v>0.42</v>
      </c>
      <c r="R114">
        <f t="shared" si="239"/>
        <v>0.48</v>
      </c>
      <c r="S114">
        <f t="shared" si="240"/>
        <v>0.54</v>
      </c>
      <c r="T114">
        <f>'Net zero activities &amp; levers'!D58/100</f>
        <v>0.6</v>
      </c>
      <c r="U114">
        <f t="shared" si="241"/>
        <v>0.6</v>
      </c>
      <c r="V114">
        <f t="shared" si="242"/>
        <v>0.6</v>
      </c>
      <c r="W114">
        <f t="shared" si="243"/>
        <v>0.6</v>
      </c>
      <c r="X114">
        <f t="shared" si="244"/>
        <v>0.6</v>
      </c>
      <c r="Y114">
        <f t="shared" si="245"/>
        <v>0.6</v>
      </c>
      <c r="Z114">
        <f t="shared" si="246"/>
        <v>0.6</v>
      </c>
      <c r="AA114">
        <f t="shared" si="247"/>
        <v>0.6</v>
      </c>
      <c r="AB114">
        <f t="shared" si="248"/>
        <v>0.6</v>
      </c>
      <c r="AC114">
        <f t="shared" si="249"/>
        <v>0.6</v>
      </c>
      <c r="AD114">
        <f>'Net zero activities &amp; levers'!E58/100</f>
        <v>0.6</v>
      </c>
      <c r="AE114">
        <f t="shared" si="250"/>
        <v>0.6</v>
      </c>
      <c r="AF114">
        <f t="shared" si="251"/>
        <v>0.6</v>
      </c>
      <c r="AG114">
        <f t="shared" si="252"/>
        <v>0.6</v>
      </c>
      <c r="AH114">
        <f t="shared" si="253"/>
        <v>0.6</v>
      </c>
      <c r="AI114">
        <f t="shared" si="254"/>
        <v>0.6</v>
      </c>
      <c r="AJ114">
        <f t="shared" si="255"/>
        <v>0.6</v>
      </c>
      <c r="AK114">
        <f t="shared" si="256"/>
        <v>0.6</v>
      </c>
      <c r="AL114">
        <f t="shared" si="257"/>
        <v>0.6</v>
      </c>
      <c r="AM114">
        <f t="shared" si="258"/>
        <v>0.6</v>
      </c>
      <c r="AN114">
        <f>'Net zero activities &amp; levers'!F58/100</f>
        <v>0.6</v>
      </c>
    </row>
    <row r="115" spans="1:40" x14ac:dyDescent="0.25">
      <c r="A115" t="s">
        <v>1075</v>
      </c>
      <c r="B115">
        <f>'Net zero activities &amp; levers'!C59/100</f>
        <v>0</v>
      </c>
      <c r="C115">
        <f t="shared" si="259"/>
        <v>0</v>
      </c>
      <c r="D115">
        <f t="shared" si="259"/>
        <v>0</v>
      </c>
      <c r="E115">
        <f t="shared" si="259"/>
        <v>0</v>
      </c>
      <c r="F115">
        <f t="shared" si="259"/>
        <v>0</v>
      </c>
      <c r="G115">
        <f t="shared" si="259"/>
        <v>0</v>
      </c>
      <c r="H115">
        <f t="shared" si="259"/>
        <v>0</v>
      </c>
      <c r="I115">
        <f t="shared" si="259"/>
        <v>0</v>
      </c>
      <c r="J115">
        <f t="shared" si="259"/>
        <v>0</v>
      </c>
      <c r="K115">
        <f t="shared" si="232"/>
        <v>0.06</v>
      </c>
      <c r="L115">
        <f t="shared" si="233"/>
        <v>0.12</v>
      </c>
      <c r="M115">
        <f t="shared" si="234"/>
        <v>0.18</v>
      </c>
      <c r="N115">
        <f t="shared" si="235"/>
        <v>0.24</v>
      </c>
      <c r="O115">
        <f t="shared" si="236"/>
        <v>0.3</v>
      </c>
      <c r="P115">
        <f t="shared" si="237"/>
        <v>0.36</v>
      </c>
      <c r="Q115">
        <f t="shared" si="238"/>
        <v>0.42</v>
      </c>
      <c r="R115">
        <f t="shared" si="239"/>
        <v>0.48</v>
      </c>
      <c r="S115">
        <f t="shared" si="240"/>
        <v>0.54</v>
      </c>
      <c r="T115">
        <f>'Net zero activities &amp; levers'!D59/100</f>
        <v>0.6</v>
      </c>
      <c r="U115">
        <f t="shared" si="241"/>
        <v>0.6</v>
      </c>
      <c r="V115">
        <f t="shared" si="242"/>
        <v>0.6</v>
      </c>
      <c r="W115">
        <f t="shared" si="243"/>
        <v>0.6</v>
      </c>
      <c r="X115">
        <f t="shared" si="244"/>
        <v>0.6</v>
      </c>
      <c r="Y115">
        <f t="shared" si="245"/>
        <v>0.6</v>
      </c>
      <c r="Z115">
        <f t="shared" si="246"/>
        <v>0.6</v>
      </c>
      <c r="AA115">
        <f t="shared" si="247"/>
        <v>0.6</v>
      </c>
      <c r="AB115">
        <f t="shared" si="248"/>
        <v>0.6</v>
      </c>
      <c r="AC115">
        <f t="shared" si="249"/>
        <v>0.6</v>
      </c>
      <c r="AD115">
        <f>'Net zero activities &amp; levers'!E59/100</f>
        <v>0.6</v>
      </c>
      <c r="AE115">
        <f t="shared" si="250"/>
        <v>0.6</v>
      </c>
      <c r="AF115">
        <f t="shared" si="251"/>
        <v>0.6</v>
      </c>
      <c r="AG115">
        <f t="shared" si="252"/>
        <v>0.6</v>
      </c>
      <c r="AH115">
        <f t="shared" si="253"/>
        <v>0.6</v>
      </c>
      <c r="AI115">
        <f t="shared" si="254"/>
        <v>0.6</v>
      </c>
      <c r="AJ115">
        <f t="shared" si="255"/>
        <v>0.6</v>
      </c>
      <c r="AK115">
        <f t="shared" si="256"/>
        <v>0.6</v>
      </c>
      <c r="AL115">
        <f t="shared" si="257"/>
        <v>0.6</v>
      </c>
      <c r="AM115">
        <f t="shared" si="258"/>
        <v>0.6</v>
      </c>
      <c r="AN115">
        <f>'Net zero activities &amp; levers'!F59/100</f>
        <v>0.6</v>
      </c>
    </row>
    <row r="116" spans="1:40" x14ac:dyDescent="0.25">
      <c r="A116" t="s">
        <v>1076</v>
      </c>
      <c r="B116">
        <f>'Net zero activities &amp; levers'!C60/100</f>
        <v>0</v>
      </c>
      <c r="C116">
        <f t="shared" si="259"/>
        <v>0</v>
      </c>
      <c r="D116">
        <f t="shared" si="259"/>
        <v>0</v>
      </c>
      <c r="E116">
        <f t="shared" si="259"/>
        <v>0</v>
      </c>
      <c r="F116">
        <f t="shared" si="259"/>
        <v>0</v>
      </c>
      <c r="G116">
        <f t="shared" si="259"/>
        <v>0</v>
      </c>
      <c r="H116">
        <f t="shared" si="259"/>
        <v>0</v>
      </c>
      <c r="I116">
        <f t="shared" si="259"/>
        <v>0</v>
      </c>
      <c r="J116">
        <f t="shared" si="259"/>
        <v>0</v>
      </c>
      <c r="K116">
        <f t="shared" si="232"/>
        <v>0.06</v>
      </c>
      <c r="L116">
        <f t="shared" si="233"/>
        <v>0.12</v>
      </c>
      <c r="M116">
        <f t="shared" si="234"/>
        <v>0.18</v>
      </c>
      <c r="N116">
        <f t="shared" si="235"/>
        <v>0.24</v>
      </c>
      <c r="O116">
        <f t="shared" si="236"/>
        <v>0.3</v>
      </c>
      <c r="P116">
        <f t="shared" si="237"/>
        <v>0.36</v>
      </c>
      <c r="Q116">
        <f t="shared" si="238"/>
        <v>0.42</v>
      </c>
      <c r="R116">
        <f t="shared" si="239"/>
        <v>0.48</v>
      </c>
      <c r="S116">
        <f t="shared" si="240"/>
        <v>0.54</v>
      </c>
      <c r="T116">
        <f>'Net zero activities &amp; levers'!D60/100</f>
        <v>0.6</v>
      </c>
      <c r="U116">
        <f t="shared" si="241"/>
        <v>0.6</v>
      </c>
      <c r="V116">
        <f t="shared" si="242"/>
        <v>0.6</v>
      </c>
      <c r="W116">
        <f t="shared" si="243"/>
        <v>0.6</v>
      </c>
      <c r="X116">
        <f t="shared" si="244"/>
        <v>0.6</v>
      </c>
      <c r="Y116">
        <f t="shared" si="245"/>
        <v>0.6</v>
      </c>
      <c r="Z116">
        <f t="shared" si="246"/>
        <v>0.6</v>
      </c>
      <c r="AA116">
        <f t="shared" si="247"/>
        <v>0.6</v>
      </c>
      <c r="AB116">
        <f t="shared" si="248"/>
        <v>0.6</v>
      </c>
      <c r="AC116">
        <f t="shared" si="249"/>
        <v>0.6</v>
      </c>
      <c r="AD116">
        <f>'Net zero activities &amp; levers'!E60/100</f>
        <v>0.6</v>
      </c>
      <c r="AE116">
        <f t="shared" si="250"/>
        <v>0.6</v>
      </c>
      <c r="AF116">
        <f t="shared" si="251"/>
        <v>0.6</v>
      </c>
      <c r="AG116">
        <f t="shared" si="252"/>
        <v>0.6</v>
      </c>
      <c r="AH116">
        <f t="shared" si="253"/>
        <v>0.6</v>
      </c>
      <c r="AI116">
        <f t="shared" si="254"/>
        <v>0.6</v>
      </c>
      <c r="AJ116">
        <f t="shared" si="255"/>
        <v>0.6</v>
      </c>
      <c r="AK116">
        <f t="shared" si="256"/>
        <v>0.6</v>
      </c>
      <c r="AL116">
        <f t="shared" si="257"/>
        <v>0.6</v>
      </c>
      <c r="AM116">
        <f t="shared" si="258"/>
        <v>0.6</v>
      </c>
      <c r="AN116">
        <f>'Net zero activities &amp; levers'!F60/100</f>
        <v>0.6</v>
      </c>
    </row>
    <row r="117" spans="1:40" x14ac:dyDescent="0.25">
      <c r="A117" t="s">
        <v>1030</v>
      </c>
      <c r="B117">
        <f>'Net zero activities &amp; levers'!C61/100</f>
        <v>0</v>
      </c>
      <c r="C117">
        <f t="shared" si="259"/>
        <v>0</v>
      </c>
      <c r="D117">
        <f t="shared" si="259"/>
        <v>0</v>
      </c>
      <c r="E117">
        <f t="shared" si="259"/>
        <v>0</v>
      </c>
      <c r="F117">
        <f t="shared" si="259"/>
        <v>0</v>
      </c>
      <c r="G117">
        <f t="shared" si="259"/>
        <v>0</v>
      </c>
      <c r="H117">
        <f t="shared" si="259"/>
        <v>0</v>
      </c>
      <c r="I117">
        <f t="shared" si="259"/>
        <v>0</v>
      </c>
      <c r="J117">
        <f t="shared" si="259"/>
        <v>0</v>
      </c>
      <c r="K117">
        <f t="shared" si="232"/>
        <v>8.4999999999999992E-2</v>
      </c>
      <c r="L117">
        <f t="shared" si="233"/>
        <v>0.16999999999999998</v>
      </c>
      <c r="M117">
        <f t="shared" si="234"/>
        <v>0.255</v>
      </c>
      <c r="N117">
        <f t="shared" si="235"/>
        <v>0.33999999999999997</v>
      </c>
      <c r="O117">
        <f t="shared" si="236"/>
        <v>0.42499999999999993</v>
      </c>
      <c r="P117">
        <f t="shared" si="237"/>
        <v>0.5099999999999999</v>
      </c>
      <c r="Q117">
        <f t="shared" si="238"/>
        <v>0.59499999999999986</v>
      </c>
      <c r="R117">
        <f t="shared" si="239"/>
        <v>0.67999999999999983</v>
      </c>
      <c r="S117">
        <f t="shared" si="240"/>
        <v>0.76499999999999979</v>
      </c>
      <c r="T117">
        <f>'Net zero activities &amp; levers'!D61/100</f>
        <v>0.85</v>
      </c>
      <c r="U117">
        <f t="shared" si="241"/>
        <v>0.85</v>
      </c>
      <c r="V117">
        <f t="shared" si="242"/>
        <v>0.85</v>
      </c>
      <c r="W117">
        <f t="shared" si="243"/>
        <v>0.85</v>
      </c>
      <c r="X117">
        <f t="shared" si="244"/>
        <v>0.85</v>
      </c>
      <c r="Y117">
        <f t="shared" si="245"/>
        <v>0.85</v>
      </c>
      <c r="Z117">
        <f t="shared" si="246"/>
        <v>0.85</v>
      </c>
      <c r="AA117">
        <f t="shared" si="247"/>
        <v>0.85</v>
      </c>
      <c r="AB117">
        <f t="shared" si="248"/>
        <v>0.85</v>
      </c>
      <c r="AC117">
        <f t="shared" si="249"/>
        <v>0.85</v>
      </c>
      <c r="AD117">
        <f>'Net zero activities &amp; levers'!E61/100</f>
        <v>0.85</v>
      </c>
      <c r="AE117">
        <f t="shared" si="250"/>
        <v>0.85</v>
      </c>
      <c r="AF117">
        <f t="shared" si="251"/>
        <v>0.85</v>
      </c>
      <c r="AG117">
        <f t="shared" si="252"/>
        <v>0.85</v>
      </c>
      <c r="AH117">
        <f t="shared" si="253"/>
        <v>0.85</v>
      </c>
      <c r="AI117">
        <f t="shared" si="254"/>
        <v>0.85</v>
      </c>
      <c r="AJ117">
        <f t="shared" si="255"/>
        <v>0.85</v>
      </c>
      <c r="AK117">
        <f t="shared" si="256"/>
        <v>0.85</v>
      </c>
      <c r="AL117">
        <f t="shared" si="257"/>
        <v>0.85</v>
      </c>
      <c r="AM117">
        <f t="shared" si="258"/>
        <v>0.85</v>
      </c>
      <c r="AN117">
        <f>'Net zero activities &amp; levers'!F61/100</f>
        <v>0.85</v>
      </c>
    </row>
    <row r="118" spans="1:40" x14ac:dyDescent="0.25">
      <c r="A118" t="s">
        <v>1077</v>
      </c>
      <c r="B118">
        <f>'Net zero activities &amp; levers'!C62/100</f>
        <v>0</v>
      </c>
      <c r="C118">
        <f t="shared" si="259"/>
        <v>0</v>
      </c>
      <c r="D118">
        <f t="shared" si="259"/>
        <v>0</v>
      </c>
      <c r="E118">
        <f t="shared" si="259"/>
        <v>0</v>
      </c>
      <c r="F118">
        <f t="shared" si="259"/>
        <v>0</v>
      </c>
      <c r="G118">
        <f t="shared" si="259"/>
        <v>0</v>
      </c>
      <c r="H118">
        <f t="shared" si="259"/>
        <v>0</v>
      </c>
      <c r="I118">
        <f t="shared" si="259"/>
        <v>0</v>
      </c>
      <c r="J118">
        <f t="shared" si="259"/>
        <v>0</v>
      </c>
      <c r="K118">
        <f t="shared" si="232"/>
        <v>0.06</v>
      </c>
      <c r="L118">
        <f t="shared" si="233"/>
        <v>0.12</v>
      </c>
      <c r="M118">
        <f t="shared" si="234"/>
        <v>0.18</v>
      </c>
      <c r="N118">
        <f t="shared" si="235"/>
        <v>0.24</v>
      </c>
      <c r="O118">
        <f t="shared" si="236"/>
        <v>0.3</v>
      </c>
      <c r="P118">
        <f t="shared" si="237"/>
        <v>0.36</v>
      </c>
      <c r="Q118">
        <f t="shared" si="238"/>
        <v>0.42</v>
      </c>
      <c r="R118">
        <f t="shared" si="239"/>
        <v>0.48</v>
      </c>
      <c r="S118">
        <f t="shared" si="240"/>
        <v>0.54</v>
      </c>
      <c r="T118">
        <f>'Net zero activities &amp; levers'!D62/100</f>
        <v>0.6</v>
      </c>
      <c r="U118">
        <f t="shared" si="241"/>
        <v>0.6</v>
      </c>
      <c r="V118">
        <f t="shared" si="242"/>
        <v>0.6</v>
      </c>
      <c r="W118">
        <f t="shared" si="243"/>
        <v>0.6</v>
      </c>
      <c r="X118">
        <f t="shared" si="244"/>
        <v>0.6</v>
      </c>
      <c r="Y118">
        <f t="shared" si="245"/>
        <v>0.6</v>
      </c>
      <c r="Z118">
        <f t="shared" si="246"/>
        <v>0.6</v>
      </c>
      <c r="AA118">
        <f t="shared" si="247"/>
        <v>0.6</v>
      </c>
      <c r="AB118">
        <f t="shared" si="248"/>
        <v>0.6</v>
      </c>
      <c r="AC118">
        <f t="shared" si="249"/>
        <v>0.6</v>
      </c>
      <c r="AD118">
        <f>'Net zero activities &amp; levers'!E62/100</f>
        <v>0.6</v>
      </c>
      <c r="AE118">
        <f t="shared" si="250"/>
        <v>0.6</v>
      </c>
      <c r="AF118">
        <f t="shared" si="251"/>
        <v>0.6</v>
      </c>
      <c r="AG118">
        <f t="shared" si="252"/>
        <v>0.6</v>
      </c>
      <c r="AH118">
        <f t="shared" si="253"/>
        <v>0.6</v>
      </c>
      <c r="AI118">
        <f t="shared" si="254"/>
        <v>0.6</v>
      </c>
      <c r="AJ118">
        <f t="shared" si="255"/>
        <v>0.6</v>
      </c>
      <c r="AK118">
        <f t="shared" si="256"/>
        <v>0.6</v>
      </c>
      <c r="AL118">
        <f t="shared" si="257"/>
        <v>0.6</v>
      </c>
      <c r="AM118">
        <f t="shared" si="258"/>
        <v>0.6</v>
      </c>
      <c r="AN118">
        <f>'Net zero activities &amp; levers'!F62/100</f>
        <v>0.6</v>
      </c>
    </row>
    <row r="119" spans="1:40" x14ac:dyDescent="0.25">
      <c r="A119" t="s">
        <v>1078</v>
      </c>
      <c r="B119">
        <f>'Net zero activities &amp; levers'!C63/100</f>
        <v>0</v>
      </c>
      <c r="C119">
        <f t="shared" si="259"/>
        <v>0</v>
      </c>
      <c r="D119">
        <f t="shared" si="259"/>
        <v>0</v>
      </c>
      <c r="E119">
        <f t="shared" si="259"/>
        <v>0</v>
      </c>
      <c r="F119">
        <f t="shared" si="259"/>
        <v>0</v>
      </c>
      <c r="G119">
        <f t="shared" si="259"/>
        <v>0</v>
      </c>
      <c r="H119">
        <f t="shared" si="259"/>
        <v>0</v>
      </c>
      <c r="I119">
        <f t="shared" si="259"/>
        <v>0</v>
      </c>
      <c r="J119">
        <f t="shared" si="259"/>
        <v>0</v>
      </c>
      <c r="K119">
        <f t="shared" si="232"/>
        <v>0.04</v>
      </c>
      <c r="L119">
        <f t="shared" si="233"/>
        <v>0.08</v>
      </c>
      <c r="M119">
        <f t="shared" si="234"/>
        <v>0.12</v>
      </c>
      <c r="N119">
        <f t="shared" si="235"/>
        <v>0.16</v>
      </c>
      <c r="O119">
        <f t="shared" si="236"/>
        <v>0.2</v>
      </c>
      <c r="P119">
        <f t="shared" si="237"/>
        <v>0.24000000000000002</v>
      </c>
      <c r="Q119">
        <f t="shared" si="238"/>
        <v>0.28000000000000003</v>
      </c>
      <c r="R119">
        <f t="shared" si="239"/>
        <v>0.32</v>
      </c>
      <c r="S119">
        <f t="shared" si="240"/>
        <v>0.36</v>
      </c>
      <c r="T119">
        <f>'Net zero activities &amp; levers'!D63/100</f>
        <v>0.4</v>
      </c>
      <c r="U119">
        <f t="shared" si="241"/>
        <v>0.4</v>
      </c>
      <c r="V119">
        <f t="shared" si="242"/>
        <v>0.4</v>
      </c>
      <c r="W119">
        <f t="shared" si="243"/>
        <v>0.4</v>
      </c>
      <c r="X119">
        <f t="shared" si="244"/>
        <v>0.4</v>
      </c>
      <c r="Y119">
        <f t="shared" si="245"/>
        <v>0.4</v>
      </c>
      <c r="Z119">
        <f t="shared" si="246"/>
        <v>0.4</v>
      </c>
      <c r="AA119">
        <f t="shared" si="247"/>
        <v>0.4</v>
      </c>
      <c r="AB119">
        <f t="shared" si="248"/>
        <v>0.4</v>
      </c>
      <c r="AC119">
        <f t="shared" si="249"/>
        <v>0.4</v>
      </c>
      <c r="AD119">
        <f>'Net zero activities &amp; levers'!E63/100</f>
        <v>0.4</v>
      </c>
      <c r="AE119">
        <f t="shared" si="250"/>
        <v>0.4</v>
      </c>
      <c r="AF119">
        <f t="shared" si="251"/>
        <v>0.4</v>
      </c>
      <c r="AG119">
        <f t="shared" si="252"/>
        <v>0.4</v>
      </c>
      <c r="AH119">
        <f t="shared" si="253"/>
        <v>0.4</v>
      </c>
      <c r="AI119">
        <f t="shared" si="254"/>
        <v>0.4</v>
      </c>
      <c r="AJ119">
        <f t="shared" si="255"/>
        <v>0.4</v>
      </c>
      <c r="AK119">
        <f t="shared" si="256"/>
        <v>0.4</v>
      </c>
      <c r="AL119">
        <f t="shared" si="257"/>
        <v>0.4</v>
      </c>
      <c r="AM119">
        <f t="shared" si="258"/>
        <v>0.4</v>
      </c>
      <c r="AN119">
        <f>'Net zero activities &amp; levers'!F63/100</f>
        <v>0.4</v>
      </c>
    </row>
    <row r="120" spans="1:40" x14ac:dyDescent="0.25">
      <c r="A120" t="s">
        <v>1079</v>
      </c>
      <c r="B120">
        <f>'Net zero activities &amp; levers'!C64/100</f>
        <v>0</v>
      </c>
      <c r="C120">
        <f t="shared" si="259"/>
        <v>0</v>
      </c>
      <c r="D120">
        <f t="shared" si="259"/>
        <v>0</v>
      </c>
      <c r="E120">
        <f t="shared" si="259"/>
        <v>0</v>
      </c>
      <c r="F120">
        <f t="shared" si="259"/>
        <v>0</v>
      </c>
      <c r="G120">
        <f t="shared" si="259"/>
        <v>0</v>
      </c>
      <c r="H120">
        <f t="shared" si="259"/>
        <v>0</v>
      </c>
      <c r="I120">
        <f t="shared" si="259"/>
        <v>0</v>
      </c>
      <c r="J120">
        <f t="shared" si="259"/>
        <v>0</v>
      </c>
      <c r="K120">
        <f t="shared" si="232"/>
        <v>0</v>
      </c>
      <c r="L120">
        <f t="shared" si="233"/>
        <v>0</v>
      </c>
      <c r="M120">
        <f t="shared" si="234"/>
        <v>0</v>
      </c>
      <c r="N120">
        <f t="shared" si="235"/>
        <v>0</v>
      </c>
      <c r="O120">
        <f t="shared" si="236"/>
        <v>0</v>
      </c>
      <c r="P120">
        <f t="shared" si="237"/>
        <v>0</v>
      </c>
      <c r="Q120">
        <f t="shared" si="238"/>
        <v>0</v>
      </c>
      <c r="R120">
        <f t="shared" si="239"/>
        <v>0</v>
      </c>
      <c r="S120">
        <f t="shared" si="240"/>
        <v>0</v>
      </c>
      <c r="T120">
        <f>'Net zero activities &amp; levers'!D64/100</f>
        <v>0</v>
      </c>
      <c r="U120">
        <f t="shared" si="241"/>
        <v>0.04</v>
      </c>
      <c r="V120">
        <f t="shared" si="242"/>
        <v>0.08</v>
      </c>
      <c r="W120">
        <f t="shared" si="243"/>
        <v>0.12</v>
      </c>
      <c r="X120">
        <f t="shared" si="244"/>
        <v>0.16</v>
      </c>
      <c r="Y120">
        <f t="shared" si="245"/>
        <v>0.2</v>
      </c>
      <c r="Z120">
        <f t="shared" si="246"/>
        <v>0.24000000000000002</v>
      </c>
      <c r="AA120">
        <f t="shared" si="247"/>
        <v>0.28000000000000003</v>
      </c>
      <c r="AB120">
        <f t="shared" si="248"/>
        <v>0.32</v>
      </c>
      <c r="AC120">
        <f t="shared" si="249"/>
        <v>0.36</v>
      </c>
      <c r="AD120">
        <f>'Net zero activities &amp; levers'!E64/100</f>
        <v>0.4</v>
      </c>
      <c r="AE120">
        <f t="shared" si="250"/>
        <v>0.4</v>
      </c>
      <c r="AF120">
        <f t="shared" si="251"/>
        <v>0.4</v>
      </c>
      <c r="AG120">
        <f t="shared" si="252"/>
        <v>0.4</v>
      </c>
      <c r="AH120">
        <f t="shared" si="253"/>
        <v>0.4</v>
      </c>
      <c r="AI120">
        <f t="shared" si="254"/>
        <v>0.4</v>
      </c>
      <c r="AJ120">
        <f t="shared" si="255"/>
        <v>0.4</v>
      </c>
      <c r="AK120">
        <f t="shared" si="256"/>
        <v>0.4</v>
      </c>
      <c r="AL120">
        <f t="shared" si="257"/>
        <v>0.4</v>
      </c>
      <c r="AM120">
        <f t="shared" si="258"/>
        <v>0.4</v>
      </c>
      <c r="AN120">
        <f>'Net zero activities &amp; levers'!F64/100</f>
        <v>0.4</v>
      </c>
    </row>
    <row r="121" spans="1:40" x14ac:dyDescent="0.25">
      <c r="A121" t="s">
        <v>1080</v>
      </c>
      <c r="B121">
        <f>'Net zero activities &amp; levers'!C65/100</f>
        <v>0</v>
      </c>
      <c r="C121">
        <f t="shared" si="259"/>
        <v>0</v>
      </c>
      <c r="D121">
        <f t="shared" si="259"/>
        <v>0</v>
      </c>
      <c r="E121">
        <f t="shared" si="259"/>
        <v>0</v>
      </c>
      <c r="F121">
        <f t="shared" si="259"/>
        <v>0</v>
      </c>
      <c r="G121">
        <f t="shared" si="259"/>
        <v>0</v>
      </c>
      <c r="H121">
        <f t="shared" si="259"/>
        <v>0</v>
      </c>
      <c r="I121">
        <f t="shared" si="259"/>
        <v>0</v>
      </c>
      <c r="J121">
        <f t="shared" si="259"/>
        <v>0</v>
      </c>
      <c r="K121">
        <f t="shared" si="232"/>
        <v>0</v>
      </c>
      <c r="L121">
        <f t="shared" si="233"/>
        <v>0</v>
      </c>
      <c r="M121">
        <f t="shared" si="234"/>
        <v>0</v>
      </c>
      <c r="N121">
        <f t="shared" si="235"/>
        <v>0</v>
      </c>
      <c r="O121">
        <f t="shared" si="236"/>
        <v>0</v>
      </c>
      <c r="P121">
        <f t="shared" si="237"/>
        <v>0</v>
      </c>
      <c r="Q121">
        <f t="shared" si="238"/>
        <v>0</v>
      </c>
      <c r="R121">
        <f t="shared" si="239"/>
        <v>0</v>
      </c>
      <c r="S121">
        <f t="shared" si="240"/>
        <v>0</v>
      </c>
      <c r="T121">
        <f>'Net zero activities &amp; levers'!D65/100</f>
        <v>0</v>
      </c>
      <c r="U121">
        <f t="shared" si="241"/>
        <v>0.02</v>
      </c>
      <c r="V121">
        <f t="shared" si="242"/>
        <v>0.04</v>
      </c>
      <c r="W121">
        <f t="shared" si="243"/>
        <v>0.06</v>
      </c>
      <c r="X121">
        <f t="shared" si="244"/>
        <v>0.08</v>
      </c>
      <c r="Y121">
        <f t="shared" si="245"/>
        <v>0.1</v>
      </c>
      <c r="Z121">
        <f t="shared" si="246"/>
        <v>0.12000000000000001</v>
      </c>
      <c r="AA121">
        <f t="shared" si="247"/>
        <v>0.14000000000000001</v>
      </c>
      <c r="AB121">
        <f t="shared" si="248"/>
        <v>0.16</v>
      </c>
      <c r="AC121">
        <f t="shared" si="249"/>
        <v>0.18</v>
      </c>
      <c r="AD121">
        <f>'Net zero activities &amp; levers'!E65/100</f>
        <v>0.2</v>
      </c>
      <c r="AE121">
        <f t="shared" si="250"/>
        <v>0.2</v>
      </c>
      <c r="AF121">
        <f t="shared" si="251"/>
        <v>0.2</v>
      </c>
      <c r="AG121">
        <f t="shared" si="252"/>
        <v>0.2</v>
      </c>
      <c r="AH121">
        <f t="shared" si="253"/>
        <v>0.2</v>
      </c>
      <c r="AI121">
        <f t="shared" si="254"/>
        <v>0.2</v>
      </c>
      <c r="AJ121">
        <f t="shared" si="255"/>
        <v>0.2</v>
      </c>
      <c r="AK121">
        <f t="shared" si="256"/>
        <v>0.2</v>
      </c>
      <c r="AL121">
        <f t="shared" si="257"/>
        <v>0.2</v>
      </c>
      <c r="AM121">
        <f t="shared" si="258"/>
        <v>0.2</v>
      </c>
      <c r="AN121">
        <f>'Net zero activities &amp; levers'!F65/100</f>
        <v>0.2</v>
      </c>
    </row>
    <row r="122" spans="1:40" x14ac:dyDescent="0.25">
      <c r="A122" t="s">
        <v>1081</v>
      </c>
      <c r="B122">
        <f>'Net zero Activity data'!AD5*'Net zero supporting data'!B112</f>
        <v>0</v>
      </c>
      <c r="C122">
        <f>'Net zero Activity data'!AE5*'Net zero supporting data'!C112</f>
        <v>0</v>
      </c>
      <c r="D122">
        <f>'Net zero Activity data'!AF5*'Net zero supporting data'!D112</f>
        <v>0</v>
      </c>
      <c r="E122">
        <f>'Net zero Activity data'!AG5*'Net zero supporting data'!E112</f>
        <v>0</v>
      </c>
      <c r="F122">
        <f>'Net zero Activity data'!AH5*'Net zero supporting data'!F112</f>
        <v>0</v>
      </c>
      <c r="G122">
        <f>'Net zero Activity data'!AI5*'Net zero supporting data'!G112</f>
        <v>0</v>
      </c>
      <c r="H122">
        <f>'Net zero Activity data'!AJ5*'Net zero supporting data'!H112</f>
        <v>0</v>
      </c>
      <c r="I122">
        <f>'Net zero Activity data'!AK5*'Net zero supporting data'!I112</f>
        <v>0</v>
      </c>
      <c r="J122">
        <f>'Net zero Activity data'!AL5*'Net zero supporting data'!J112</f>
        <v>0</v>
      </c>
      <c r="K122">
        <f>'Net zero Activity data'!AM5*'Net zero supporting data'!K112</f>
        <v>49872.19601523957</v>
      </c>
      <c r="L122">
        <f>'Net zero Activity data'!AN5*'Net zero supporting data'!L112</f>
        <v>99681.169699443039</v>
      </c>
      <c r="M122">
        <f>'Net zero Activity data'!AO5*'Net zero supporting data'!M112</f>
        <v>149436.77906505641</v>
      </c>
      <c r="N122">
        <f>'Net zero Activity data'!AP5*'Net zero supporting data'!N112</f>
        <v>199416.99107009286</v>
      </c>
      <c r="O122">
        <f>'Net zero Activity data'!AQ5*'Net zero supporting data'!O112</f>
        <v>249485.86309127911</v>
      </c>
      <c r="P122">
        <f>'Net zero Activity data'!AR5*'Net zero supporting data'!P112</f>
        <v>299523.94848167861</v>
      </c>
      <c r="Q122">
        <f>'Net zero Activity data'!AS5*'Net zero supporting data'!Q112</f>
        <v>349496.32090418856</v>
      </c>
      <c r="R122">
        <f>'Net zero Activity data'!AT5*'Net zero supporting data'!R112</f>
        <v>399686.69213708997</v>
      </c>
      <c r="S122">
        <f>'Net zero Activity data'!AU5*'Net zero supporting data'!S112</f>
        <v>449656.81457564468</v>
      </c>
      <c r="T122">
        <f>'Net zero Activity data'!AV5*'Net zero supporting data'!T112</f>
        <v>499707.41330747324</v>
      </c>
      <c r="U122">
        <f>'Net zero Activity data'!AW5*'Net zero supporting data'!U112</f>
        <v>503934.79803678772</v>
      </c>
      <c r="V122">
        <f>'Net zero Activity data'!AX5*'Net zero supporting data'!V112</f>
        <v>508594.25964295724</v>
      </c>
      <c r="W122">
        <f>'Net zero Activity data'!AY5*'Net zero supporting data'!W112</f>
        <v>513453.03991174378</v>
      </c>
      <c r="X122">
        <f>'Net zero Activity data'!AZ5*'Net zero supporting data'!X112</f>
        <v>513405.37793287134</v>
      </c>
      <c r="Y122">
        <f>'Net zero Activity data'!BA5*'Net zero supporting data'!Y112</f>
        <v>274421.12709491374</v>
      </c>
      <c r="Z122">
        <f>'Net zero Activity data'!BB5*'Net zero supporting data'!Z112</f>
        <v>274171.52715244313</v>
      </c>
      <c r="AA122">
        <f>'Net zero Activity data'!BC5*'Net zero supporting data'!AA112</f>
        <v>273947.68994793302</v>
      </c>
      <c r="AB122">
        <f>'Net zero Activity data'!BD5*'Net zero supporting data'!AB112</f>
        <v>273748.48193229979</v>
      </c>
      <c r="AC122">
        <f>'Net zero Activity data'!BE5*'Net zero supporting data'!AC112</f>
        <v>273572.85328681819</v>
      </c>
      <c r="AD122">
        <f>'Net zero Activity data'!BF5*'Net zero supporting data'!AD112</f>
        <v>273419.82998913655</v>
      </c>
      <c r="AE122">
        <f>'Net zero Activity data'!BG5*'Net zero supporting data'!AE112</f>
        <v>273095.44758768793</v>
      </c>
      <c r="AF122">
        <f>'Net zero Activity data'!BH5*'Net zero supporting data'!AF112</f>
        <v>272791.28210305225</v>
      </c>
      <c r="AG122">
        <f>'Net zero Activity data'!BI5*'Net zero supporting data'!AG112</f>
        <v>272506.51068835007</v>
      </c>
      <c r="AH122">
        <f>'Net zero Activity data'!BJ5*'Net zero supporting data'!AH112</f>
        <v>272240.36433167371</v>
      </c>
      <c r="AI122">
        <f>'Net zero Activity data'!BK5*'Net zero supporting data'!AI112</f>
        <v>271992.12329260178</v>
      </c>
      <c r="AJ122">
        <f>'Net zero Activity data'!BL5*'Net zero supporting data'!AJ112</f>
        <v>271567.59339116269</v>
      </c>
      <c r="AK122">
        <f>'Net zero Activity data'!BM5*'Net zero supporting data'!AK112</f>
        <v>271159.33697706228</v>
      </c>
      <c r="AL122">
        <f>'Net zero Activity data'!BN5*'Net zero supporting data'!AL112</f>
        <v>270766.7298636359</v>
      </c>
      <c r="AM122">
        <f>'Net zero Activity data'!BO5*'Net zero supporting data'!AM112</f>
        <v>270389.18445592554</v>
      </c>
      <c r="AN122">
        <f>'Net zero Activity data'!BP5*'Net zero supporting data'!AN112</f>
        <v>270026.14694644936</v>
      </c>
    </row>
    <row r="123" spans="1:40" x14ac:dyDescent="0.25">
      <c r="A123" t="s">
        <v>1083</v>
      </c>
      <c r="B123">
        <f>'Net zero Activity data'!AD6*'Net zero supporting data'!B113</f>
        <v>0</v>
      </c>
      <c r="C123">
        <f>'Net zero Activity data'!AE6*'Net zero supporting data'!C113</f>
        <v>0</v>
      </c>
      <c r="D123">
        <f>'Net zero Activity data'!AF6*'Net zero supporting data'!D113</f>
        <v>0</v>
      </c>
      <c r="E123">
        <f>'Net zero Activity data'!AG6*'Net zero supporting data'!E113</f>
        <v>0</v>
      </c>
      <c r="F123">
        <f>'Net zero Activity data'!AH6*'Net zero supporting data'!F113</f>
        <v>0</v>
      </c>
      <c r="G123">
        <f>'Net zero Activity data'!AI6*'Net zero supporting data'!G113</f>
        <v>0</v>
      </c>
      <c r="H123">
        <f>'Net zero Activity data'!AJ6*'Net zero supporting data'!H113</f>
        <v>0</v>
      </c>
      <c r="I123">
        <f>'Net zero Activity data'!AK6*'Net zero supporting data'!I113</f>
        <v>0</v>
      </c>
      <c r="J123">
        <f>'Net zero Activity data'!AL6*'Net zero supporting data'!J113</f>
        <v>0</v>
      </c>
      <c r="K123">
        <f>'Net zero Activity data'!AM6*'Net zero supporting data'!K113</f>
        <v>41322.676698341354</v>
      </c>
      <c r="L123">
        <f>'Net zero Activity data'!AN6*'Net zero supporting data'!L113</f>
        <v>82592.969179538515</v>
      </c>
      <c r="M123">
        <f>'Net zero Activity data'!AO6*'Net zero supporting data'!M113</f>
        <v>123819.04551104676</v>
      </c>
      <c r="N123">
        <f>'Net zero Activity data'!AP6*'Net zero supporting data'!N113</f>
        <v>165231.22117236265</v>
      </c>
      <c r="O123">
        <f>'Net zero Activity data'!AQ6*'Net zero supporting data'!O113</f>
        <v>206716.85798991696</v>
      </c>
      <c r="P123">
        <f>'Net zero Activity data'!AR6*'Net zero supporting data'!P113</f>
        <v>248176.98588481944</v>
      </c>
      <c r="Q123">
        <f>'Net zero Activity data'!AS6*'Net zero supporting data'!Q113</f>
        <v>289582.66589204193</v>
      </c>
      <c r="R123">
        <f>'Net zero Activity data'!AT6*'Net zero supporting data'!R113</f>
        <v>331168.97348501737</v>
      </c>
      <c r="S123">
        <f>'Net zero Activity data'!AU6*'Net zero supporting data'!S113</f>
        <v>372572.78921981988</v>
      </c>
      <c r="T123">
        <f>'Net zero Activity data'!AV6*'Net zero supporting data'!T113</f>
        <v>414043.28531190637</v>
      </c>
      <c r="U123">
        <f>'Net zero Activity data'!AW6*'Net zero supporting data'!U113</f>
        <v>417545.97551619558</v>
      </c>
      <c r="V123">
        <f>'Net zero Activity data'!AX6*'Net zero supporting data'!V113</f>
        <v>421406.6722755931</v>
      </c>
      <c r="W123">
        <f>'Net zero Activity data'!AY6*'Net zero supporting data'!W113</f>
        <v>425432.51878401631</v>
      </c>
      <c r="X123">
        <f>'Net zero Activity data'!AZ6*'Net zero supporting data'!X113</f>
        <v>425393.02743009344</v>
      </c>
      <c r="Y123">
        <f>'Net zero Activity data'!BA6*'Net zero supporting data'!Y113</f>
        <v>227377.50530721425</v>
      </c>
      <c r="Z123">
        <f>'Net zero Activity data'!BB6*'Net zero supporting data'!Z113</f>
        <v>227170.69392631002</v>
      </c>
      <c r="AA123">
        <f>'Net zero Activity data'!BC6*'Net zero supporting data'!AA113</f>
        <v>226985.22881400166</v>
      </c>
      <c r="AB123">
        <f>'Net zero Activity data'!BD6*'Net zero supporting data'!AB113</f>
        <v>226820.17074390556</v>
      </c>
      <c r="AC123">
        <f>'Net zero Activity data'!BE6*'Net zero supporting data'!AC113</f>
        <v>226674.64986622077</v>
      </c>
      <c r="AD123">
        <f>'Net zero Activity data'!BF6*'Net zero supporting data'!AD113</f>
        <v>226547.85913385599</v>
      </c>
      <c r="AE123">
        <f>'Net zero Activity data'!BG6*'Net zero supporting data'!AE113</f>
        <v>226279.08514408433</v>
      </c>
      <c r="AF123">
        <f>'Net zero Activity data'!BH6*'Net zero supporting data'!AF113</f>
        <v>226027.06231395758</v>
      </c>
      <c r="AG123">
        <f>'Net zero Activity data'!BI6*'Net zero supporting data'!AG113</f>
        <v>225791.10885606147</v>
      </c>
      <c r="AH123">
        <f>'Net zero Activity data'!BJ6*'Net zero supporting data'!AH113</f>
        <v>225570.58758910102</v>
      </c>
      <c r="AI123">
        <f>'Net zero Activity data'!BK6*'Net zero supporting data'!AI113</f>
        <v>225364.90215672721</v>
      </c>
      <c r="AJ123">
        <f>'Net zero Activity data'!BL6*'Net zero supporting data'!AJ113</f>
        <v>225013.1488098205</v>
      </c>
      <c r="AK123">
        <f>'Net zero Activity data'!BM6*'Net zero supporting data'!AK113</f>
        <v>224674.87920956587</v>
      </c>
      <c r="AL123">
        <f>'Net zero Activity data'!BN6*'Net zero supporting data'!AL113</f>
        <v>224349.57617272693</v>
      </c>
      <c r="AM123">
        <f>'Net zero Activity data'!BO6*'Net zero supporting data'!AM113</f>
        <v>224036.75283490974</v>
      </c>
      <c r="AN123">
        <f>'Net zero Activity data'!BP6*'Net zero supporting data'!AN113</f>
        <v>223735.95032705803</v>
      </c>
    </row>
    <row r="124" spans="1:40" x14ac:dyDescent="0.25">
      <c r="A124" t="s">
        <v>1082</v>
      </c>
      <c r="B124">
        <f>'Net zero Activity data'!AD7*'Net zero supporting data'!B114</f>
        <v>0</v>
      </c>
      <c r="C124">
        <f>'Net zero Activity data'!AE7*'Net zero supporting data'!C114</f>
        <v>0</v>
      </c>
      <c r="D124">
        <f>'Net zero Activity data'!AF7*'Net zero supporting data'!D114</f>
        <v>0</v>
      </c>
      <c r="E124">
        <f>'Net zero Activity data'!AG7*'Net zero supporting data'!E114</f>
        <v>0</v>
      </c>
      <c r="F124">
        <f>'Net zero Activity data'!AH7*'Net zero supporting data'!F114</f>
        <v>0</v>
      </c>
      <c r="G124">
        <f>'Net zero Activity data'!AI7*'Net zero supporting data'!G114</f>
        <v>0</v>
      </c>
      <c r="H124">
        <f>'Net zero Activity data'!AJ7*'Net zero supporting data'!H114</f>
        <v>0</v>
      </c>
      <c r="I124">
        <f>'Net zero Activity data'!AK7*'Net zero supporting data'!I114</f>
        <v>0</v>
      </c>
      <c r="J124">
        <f>'Net zero Activity data'!AL7*'Net zero supporting data'!J114</f>
        <v>0</v>
      </c>
      <c r="K124">
        <f>'Net zero Activity data'!AM7*'Net zero supporting data'!K114</f>
        <v>36209.728871568906</v>
      </c>
      <c r="L124">
        <f>'Net zero Activity data'!AN7*'Net zero supporting data'!L114</f>
        <v>72373.55514312505</v>
      </c>
      <c r="M124">
        <f>'Net zero Activity data'!AO7*'Net zero supporting data'!M114</f>
        <v>108498.63622874688</v>
      </c>
      <c r="N124">
        <f>'Net zero Activity data'!AP7*'Net zero supporting data'!N114</f>
        <v>144786.79015509266</v>
      </c>
      <c r="O124">
        <f>'Net zero Activity data'!AQ7*'Net zero supporting data'!O114</f>
        <v>181139.31572341613</v>
      </c>
      <c r="P124">
        <f>'Net zero Activity data'!AR7*'Net zero supporting data'!P114</f>
        <v>217469.48864552134</v>
      </c>
      <c r="Q124">
        <f>'Net zero Activity data'!AS7*'Net zero supporting data'!Q114</f>
        <v>253751.95063967985</v>
      </c>
      <c r="R124">
        <f>'Net zero Activity data'!AT7*'Net zero supporting data'!R114</f>
        <v>290192.69076171925</v>
      </c>
      <c r="S124">
        <f>'Net zero Activity data'!AU7*'Net zero supporting data'!S114</f>
        <v>326473.5191540817</v>
      </c>
      <c r="T124">
        <f>'Net zero Activity data'!AV7*'Net zero supporting data'!T114</f>
        <v>362812.77739298902</v>
      </c>
      <c r="U124">
        <f>'Net zero Activity data'!AW7*'Net zero supporting data'!U114</f>
        <v>365882.07185191993</v>
      </c>
      <c r="V124">
        <f>'Net zero Activity data'!AX7*'Net zero supporting data'!V114</f>
        <v>369265.07590883627</v>
      </c>
      <c r="W124">
        <f>'Net zero Activity data'!AY7*'Net zero supporting data'!W114</f>
        <v>372792.79536449304</v>
      </c>
      <c r="X124">
        <f>'Net zero Activity data'!AZ7*'Net zero supporting data'!X114</f>
        <v>372758.19036470668</v>
      </c>
      <c r="Y124">
        <f>'Net zero Activity data'!BA7*'Net zero supporting data'!Y114</f>
        <v>199243.57463025674</v>
      </c>
      <c r="Z124">
        <f>'Net zero Activity data'!BB7*'Net zero supporting data'!Z114</f>
        <v>199062.35248715206</v>
      </c>
      <c r="AA124">
        <f>'Net zero Activity data'!BC7*'Net zero supporting data'!AA114</f>
        <v>198899.83539076822</v>
      </c>
      <c r="AB124">
        <f>'Net zero Activity data'!BD7*'Net zero supporting data'!AB114</f>
        <v>198755.20032731688</v>
      </c>
      <c r="AC124">
        <f>'Net zero Activity data'!BE7*'Net zero supporting data'!AC114</f>
        <v>198627.68507547141</v>
      </c>
      <c r="AD124">
        <f>'Net zero Activity data'!BF7*'Net zero supporting data'!AD114</f>
        <v>198516.58244589414</v>
      </c>
      <c r="AE124">
        <f>'Net zero Activity data'!BG7*'Net zero supporting data'!AE114</f>
        <v>198281.06446702723</v>
      </c>
      <c r="AF124">
        <f>'Net zero Activity data'!BH7*'Net zero supporting data'!AF114</f>
        <v>198060.22498910688</v>
      </c>
      <c r="AG124">
        <f>'Net zero Activity data'!BI7*'Net zero supporting data'!AG114</f>
        <v>197853.46658381048</v>
      </c>
      <c r="AH124">
        <f>'Net zero Activity data'!BJ7*'Net zero supporting data'!AH114</f>
        <v>197660.23090971942</v>
      </c>
      <c r="AI124">
        <f>'Net zero Activity data'!BK7*'Net zero supporting data'!AI114</f>
        <v>197479.99539899832</v>
      </c>
      <c r="AJ124">
        <f>'Net zero Activity data'!BL7*'Net zero supporting data'!AJ114</f>
        <v>197171.76528568455</v>
      </c>
      <c r="AK124">
        <f>'Net zero Activity data'!BM7*'Net zero supporting data'!AK114</f>
        <v>196875.35054469062</v>
      </c>
      <c r="AL124">
        <f>'Net zero Activity data'!BN7*'Net zero supporting data'!AL114</f>
        <v>196590.29798502644</v>
      </c>
      <c r="AM124">
        <f>'Net zero Activity data'!BO7*'Net zero supporting data'!AM114</f>
        <v>196316.18098312584</v>
      </c>
      <c r="AN124">
        <f>'Net zero Activity data'!BP7*'Net zero supporting data'!AN114</f>
        <v>196052.59744683385</v>
      </c>
    </row>
    <row r="125" spans="1:40" x14ac:dyDescent="0.25">
      <c r="A125" t="s">
        <v>1019</v>
      </c>
      <c r="B125">
        <f>'Net zero Activity data'!AD8*'Net zero supporting data'!B115</f>
        <v>0</v>
      </c>
      <c r="C125">
        <f>'Net zero Activity data'!AE8*'Net zero supporting data'!C115</f>
        <v>0</v>
      </c>
      <c r="D125">
        <f>'Net zero Activity data'!AF8*'Net zero supporting data'!D115</f>
        <v>0</v>
      </c>
      <c r="E125">
        <f>'Net zero Activity data'!AG8*'Net zero supporting data'!E115</f>
        <v>0</v>
      </c>
      <c r="F125">
        <f>'Net zero Activity data'!AH8*'Net zero supporting data'!F115</f>
        <v>0</v>
      </c>
      <c r="G125">
        <f>'Net zero Activity data'!AI8*'Net zero supporting data'!G115</f>
        <v>0</v>
      </c>
      <c r="H125">
        <f>'Net zero Activity data'!AJ8*'Net zero supporting data'!H115</f>
        <v>0</v>
      </c>
      <c r="I125">
        <f>'Net zero Activity data'!AK8*'Net zero supporting data'!I115</f>
        <v>0</v>
      </c>
      <c r="J125">
        <f>'Net zero Activity data'!AL8*'Net zero supporting data'!J115</f>
        <v>0</v>
      </c>
      <c r="K125">
        <f>'Net zero Activity data'!AM8*'Net zero supporting data'!K115</f>
        <v>276856.90800296696</v>
      </c>
      <c r="L125">
        <f>'Net zero Activity data'!AN8*'Net zero supporting data'!L115</f>
        <v>552757.46417445294</v>
      </c>
      <c r="M125">
        <f>'Net zero Activity data'!AO8*'Net zero supporting data'!M115</f>
        <v>827446.26998475078</v>
      </c>
      <c r="N125">
        <f>'Net zero Activity data'!AP8*'Net zero supporting data'!N115</f>
        <v>1105264.8326070758</v>
      </c>
      <c r="O125">
        <f>'Net zero Activity data'!AQ8*'Net zero supporting data'!O115</f>
        <v>1383405.4247834317</v>
      </c>
      <c r="P125">
        <f>'Net zero Activity data'!AR8*'Net zero supporting data'!P115</f>
        <v>1662796.4803178417</v>
      </c>
      <c r="Q125">
        <f>'Net zero Activity data'!AS8*'Net zero supporting data'!Q115</f>
        <v>1940289.637474386</v>
      </c>
      <c r="R125">
        <f>'Net zero Activity data'!AT8*'Net zero supporting data'!R115</f>
        <v>2220171.1905583162</v>
      </c>
      <c r="S125">
        <f>'Net zero Activity data'!AU8*'Net zero supporting data'!S115</f>
        <v>2495101.3635782385</v>
      </c>
      <c r="T125">
        <f>'Net zero Activity data'!AV8*'Net zero supporting data'!T115</f>
        <v>2769663.2898101001</v>
      </c>
      <c r="U125">
        <f>'Net zero Activity data'!AW8*'Net zero supporting data'!U115</f>
        <v>2775018.5840086015</v>
      </c>
      <c r="V125">
        <f>'Net zero Activity data'!AX8*'Net zero supporting data'!V115</f>
        <v>2783999.8155999938</v>
      </c>
      <c r="W125">
        <f>'Net zero Activity data'!AY8*'Net zero supporting data'!W115</f>
        <v>2792884.7718450432</v>
      </c>
      <c r="X125">
        <f>'Net zero Activity data'!AZ8*'Net zero supporting data'!X115</f>
        <v>2729174.3419546969</v>
      </c>
      <c r="Y125">
        <f>'Net zero Activity data'!BA8*'Net zero supporting data'!Y115</f>
        <v>-642717.95554274728</v>
      </c>
      <c r="Z125">
        <f>'Net zero Activity data'!BB8*'Net zero supporting data'!Z115</f>
        <v>-626777.11932236236</v>
      </c>
      <c r="AA125">
        <f>'Net zero Activity data'!BC8*'Net zero supporting data'!AA115</f>
        <v>-611121.61595174181</v>
      </c>
      <c r="AB125">
        <f>'Net zero Activity data'!BD8*'Net zero supporting data'!AB115</f>
        <v>-595737.91955036903</v>
      </c>
      <c r="AC125">
        <f>'Net zero Activity data'!BE8*'Net zero supporting data'!AC115</f>
        <v>-580613.43876632175</v>
      </c>
      <c r="AD125">
        <f>'Net zero Activity data'!BF8*'Net zero supporting data'!AD115</f>
        <v>-565736.43081956415</v>
      </c>
      <c r="AE125">
        <f>'Net zero Activity data'!BG8*'Net zero supporting data'!AE115</f>
        <v>-553534.51018505183</v>
      </c>
      <c r="AF125">
        <f>'Net zero Activity data'!BH8*'Net zero supporting data'!AF115</f>
        <v>-541539.84177429706</v>
      </c>
      <c r="AG125">
        <f>'Net zero Activity data'!BI8*'Net zero supporting data'!AG115</f>
        <v>-529743.89424865507</v>
      </c>
      <c r="AH125">
        <f>'Net zero Activity data'!BJ8*'Net zero supporting data'!AH115</f>
        <v>-518138.66457473644</v>
      </c>
      <c r="AI125">
        <f>'Net zero Activity data'!BK8*'Net zero supporting data'!AI115</f>
        <v>-506716.63455002918</v>
      </c>
      <c r="AJ125">
        <f>'Net zero Activity data'!BL8*'Net zero supporting data'!AJ115</f>
        <v>-495133.99338517064</v>
      </c>
      <c r="AK125">
        <f>'Net zero Activity data'!BM8*'Net zero supporting data'!AK115</f>
        <v>-483734.68110451824</v>
      </c>
      <c r="AL125">
        <f>'Net zero Activity data'!BN8*'Net zero supporting data'!AL115</f>
        <v>-472512.16815493</v>
      </c>
      <c r="AM125">
        <f>'Net zero Activity data'!BO8*'Net zero supporting data'!AM115</f>
        <v>-461460.28852105455</v>
      </c>
      <c r="AN125">
        <f>'Net zero Activity data'!BP8*'Net zero supporting data'!AN115</f>
        <v>-450573.21277493163</v>
      </c>
    </row>
    <row r="126" spans="1:40" x14ac:dyDescent="0.25">
      <c r="A126" t="s">
        <v>1084</v>
      </c>
      <c r="B126">
        <f>'Net zero Activity data'!AD9*'Net zero supporting data'!B116</f>
        <v>0</v>
      </c>
      <c r="C126">
        <f>'Net zero Activity data'!AE9*'Net zero supporting data'!C116</f>
        <v>0</v>
      </c>
      <c r="D126">
        <f>'Net zero Activity data'!AF9*'Net zero supporting data'!D116</f>
        <v>0</v>
      </c>
      <c r="E126">
        <f>'Net zero Activity data'!AG9*'Net zero supporting data'!E116</f>
        <v>0</v>
      </c>
      <c r="F126">
        <f>'Net zero Activity data'!AH9*'Net zero supporting data'!F116</f>
        <v>0</v>
      </c>
      <c r="G126">
        <f>'Net zero Activity data'!AI9*'Net zero supporting data'!G116</f>
        <v>0</v>
      </c>
      <c r="H126">
        <f>'Net zero Activity data'!AJ9*'Net zero supporting data'!H116</f>
        <v>0</v>
      </c>
      <c r="I126">
        <f>'Net zero Activity data'!AK9*'Net zero supporting data'!I116</f>
        <v>0</v>
      </c>
      <c r="J126">
        <f>'Net zero Activity data'!AL9*'Net zero supporting data'!J116</f>
        <v>0</v>
      </c>
      <c r="K126">
        <f>'Net zero Activity data'!AM9*'Net zero supporting data'!K116</f>
        <v>245514.61653093295</v>
      </c>
      <c r="L126">
        <f>'Net zero Activity data'!AN9*'Net zero supporting data'!L116</f>
        <v>490181.14747545816</v>
      </c>
      <c r="M126">
        <f>'Net zero Activity data'!AO9*'Net zero supporting data'!M116</f>
        <v>733773.10734496755</v>
      </c>
      <c r="N126">
        <f>'Net zero Activity data'!AP9*'Net zero supporting data'!N116</f>
        <v>980140.51193457656</v>
      </c>
      <c r="O126">
        <f>'Net zero Activity data'!AQ9*'Net zero supporting data'!O116</f>
        <v>1226793.4899022884</v>
      </c>
      <c r="P126">
        <f>'Net zero Activity data'!AR9*'Net zero supporting data'!P116</f>
        <v>1474555.3693384633</v>
      </c>
      <c r="Q126">
        <f>'Net zero Activity data'!AS9*'Net zero supporting data'!Q116</f>
        <v>1720634.2068169082</v>
      </c>
      <c r="R126">
        <f>'Net zero Activity data'!AT9*'Net zero supporting data'!R116</f>
        <v>1968831.0557781295</v>
      </c>
      <c r="S126">
        <f>'Net zero Activity data'!AU9*'Net zero supporting data'!S116</f>
        <v>2212637.0582674942</v>
      </c>
      <c r="T126">
        <f>'Net zero Activity data'!AV9*'Net zero supporting data'!T116</f>
        <v>2456116.5022844286</v>
      </c>
      <c r="U126">
        <f>'Net zero Activity data'!AW9*'Net zero supporting data'!U116</f>
        <v>2460865.5367623442</v>
      </c>
      <c r="V126">
        <f>'Net zero Activity data'!AX9*'Net zero supporting data'!V116</f>
        <v>2468830.0251547107</v>
      </c>
      <c r="W126">
        <f>'Net zero Activity data'!AY9*'Net zero supporting data'!W116</f>
        <v>2476709.1372965472</v>
      </c>
      <c r="X126">
        <f>'Net zero Activity data'!AZ9*'Net zero supporting data'!X116</f>
        <v>2420211.2089032214</v>
      </c>
      <c r="Y126">
        <f>'Net zero Activity data'!BA9*'Net zero supporting data'!Y116</f>
        <v>-569957.43227375695</v>
      </c>
      <c r="Z126">
        <f>'Net zero Activity data'!BB9*'Net zero supporting data'!Z116</f>
        <v>-555821.21902171755</v>
      </c>
      <c r="AA126">
        <f>'Net zero Activity data'!BC9*'Net zero supporting data'!AA116</f>
        <v>-541938.03678739362</v>
      </c>
      <c r="AB126">
        <f>'Net zero Activity data'!BD9*'Net zero supporting data'!AB116</f>
        <v>-528295.89092202531</v>
      </c>
      <c r="AC126">
        <f>'Net zero Activity data'!BE9*'Net zero supporting data'!AC116</f>
        <v>-514883.6155097569</v>
      </c>
      <c r="AD126">
        <f>'Net zero Activity data'!BF9*'Net zero supporting data'!AD116</f>
        <v>-501690.7971418777</v>
      </c>
      <c r="AE126">
        <f>'Net zero Activity data'!BG9*'Net zero supporting data'!AE116</f>
        <v>-490870.22601315909</v>
      </c>
      <c r="AF126">
        <f>'Net zero Activity data'!BH9*'Net zero supporting data'!AF116</f>
        <v>-480233.44459230109</v>
      </c>
      <c r="AG126">
        <f>'Net zero Activity data'!BI9*'Net zero supporting data'!AG116</f>
        <v>-469772.88735258084</v>
      </c>
      <c r="AH126">
        <f>'Net zero Activity data'!BJ9*'Net zero supporting data'!AH116</f>
        <v>-459481.45726438891</v>
      </c>
      <c r="AI126">
        <f>'Net zero Activity data'!BK9*'Net zero supporting data'!AI116</f>
        <v>-449352.48724247859</v>
      </c>
      <c r="AJ126">
        <f>'Net zero Activity data'!BL9*'Net zero supporting data'!AJ116</f>
        <v>-439081.08847364178</v>
      </c>
      <c r="AK126">
        <f>'Net zero Activity data'!BM9*'Net zero supporting data'!AK116</f>
        <v>-428972.26437570475</v>
      </c>
      <c r="AL126">
        <f>'Net zero Activity data'!BN9*'Net zero supporting data'!AL116</f>
        <v>-419020.22459022095</v>
      </c>
      <c r="AM126">
        <f>'Net zero Activity data'!BO9*'Net zero supporting data'!AM116</f>
        <v>-409219.50114131247</v>
      </c>
      <c r="AN126">
        <f>'Net zero Activity data'!BP9*'Net zero supporting data'!AN116</f>
        <v>-399564.92453626008</v>
      </c>
    </row>
    <row r="127" spans="1:40" x14ac:dyDescent="0.25">
      <c r="A127" t="s">
        <v>1085</v>
      </c>
      <c r="B127">
        <f>'Net zero Activity data'!AD10*'Net zero supporting data'!B117</f>
        <v>0</v>
      </c>
      <c r="C127">
        <f>'Net zero Activity data'!AE10*'Net zero supporting data'!C117</f>
        <v>0</v>
      </c>
      <c r="D127">
        <f>'Net zero Activity data'!AF10*'Net zero supporting data'!D117</f>
        <v>0</v>
      </c>
      <c r="E127">
        <f>'Net zero Activity data'!AG10*'Net zero supporting data'!E117</f>
        <v>0</v>
      </c>
      <c r="F127">
        <f>'Net zero Activity data'!AH10*'Net zero supporting data'!F117</f>
        <v>0</v>
      </c>
      <c r="G127">
        <f>'Net zero Activity data'!AI10*'Net zero supporting data'!G117</f>
        <v>0</v>
      </c>
      <c r="H127">
        <f>'Net zero Activity data'!AJ10*'Net zero supporting data'!H117</f>
        <v>0</v>
      </c>
      <c r="I127">
        <f>'Net zero Activity data'!AK10*'Net zero supporting data'!I117</f>
        <v>0</v>
      </c>
      <c r="J127">
        <f>'Net zero Activity data'!AL10*'Net zero supporting data'!J117</f>
        <v>0</v>
      </c>
      <c r="K127">
        <f>'Net zero Activity data'!AM10*'Net zero supporting data'!K117</f>
        <v>50781.479639695535</v>
      </c>
      <c r="L127">
        <f>'Net zero Activity data'!AN10*'Net zero supporting data'!L117</f>
        <v>104908.0371243964</v>
      </c>
      <c r="M127">
        <f>'Net zero Activity data'!AO10*'Net zero supporting data'!M117</f>
        <v>162458.75773268397</v>
      </c>
      <c r="N127">
        <f>'Net zero Activity data'!AP10*'Net zero supporting data'!N117</f>
        <v>224447.73402325841</v>
      </c>
      <c r="O127">
        <f>'Net zero Activity data'!AQ10*'Net zero supporting data'!O117</f>
        <v>290516.33658581838</v>
      </c>
      <c r="P127">
        <f>'Net zero Activity data'!AR10*'Net zero supporting data'!P117</f>
        <v>361050.91129761375</v>
      </c>
      <c r="Q127">
        <f>'Net zero Activity data'!AS10*'Net zero supporting data'!Q117</f>
        <v>435560.84896361106</v>
      </c>
      <c r="R127">
        <f>'Net zero Activity data'!AT10*'Net zero supporting data'!R117</f>
        <v>515198.08307506604</v>
      </c>
      <c r="S127">
        <f>'Net zero Activity data'!AU10*'Net zero supporting data'!S117</f>
        <v>598468.6202734015</v>
      </c>
      <c r="T127">
        <f>'Net zero Activity data'!AV10*'Net zero supporting data'!T117</f>
        <v>686613.43652963429</v>
      </c>
      <c r="U127">
        <f>'Net zero Activity data'!AW10*'Net zero supporting data'!U117</f>
        <v>711047.07008721109</v>
      </c>
      <c r="V127">
        <f>'Net zero Activity data'!AX10*'Net zero supporting data'!V117</f>
        <v>737356.9597743419</v>
      </c>
      <c r="W127">
        <f>'Net zero Activity data'!AY10*'Net zero supporting data'!W117</f>
        <v>764672.77630338364</v>
      </c>
      <c r="X127">
        <f>'Net zero Activity data'!AZ10*'Net zero supporting data'!X117</f>
        <v>772528.68822290853</v>
      </c>
      <c r="Y127">
        <f>'Net zero Activity data'!BA10*'Net zero supporting data'!Y117</f>
        <v>-188113.48211716599</v>
      </c>
      <c r="Z127">
        <f>'Net zero Activity data'!BB10*'Net zero supporting data'!Z117</f>
        <v>-189711.17820583531</v>
      </c>
      <c r="AA127">
        <f>'Net zero Activity data'!BC10*'Net zero supporting data'!AA117</f>
        <v>-191320.1108986031</v>
      </c>
      <c r="AB127">
        <f>'Net zero Activity data'!BD10*'Net zero supporting data'!AB117</f>
        <v>-192940.38280205437</v>
      </c>
      <c r="AC127">
        <f>'Net zero Activity data'!BE10*'Net zero supporting data'!AC117</f>
        <v>-194572.09733074586</v>
      </c>
      <c r="AD127">
        <f>'Net zero Activity data'!BF10*'Net zero supporting data'!AD117</f>
        <v>-196215.35871370492</v>
      </c>
      <c r="AE127">
        <f>'Net zero Activity data'!BG10*'Net zero supporting data'!AE117</f>
        <v>-197491.03905700121</v>
      </c>
      <c r="AF127">
        <f>'Net zero Activity data'!BH10*'Net zero supporting data'!AF117</f>
        <v>-198774.26513670522</v>
      </c>
      <c r="AG127">
        <f>'Net zero Activity data'!BI10*'Net zero supporting data'!AG117</f>
        <v>-200065.09407315511</v>
      </c>
      <c r="AH127">
        <f>'Net zero Activity data'!BJ10*'Net zero supporting data'!AH117</f>
        <v>-201363.58335762116</v>
      </c>
      <c r="AI127">
        <f>'Net zero Activity data'!BK10*'Net zero supporting data'!AI117</f>
        <v>-202669.79085482299</v>
      </c>
      <c r="AJ127">
        <f>'Net zero Activity data'!BL10*'Net zero supporting data'!AJ117</f>
        <v>-203845.14065731197</v>
      </c>
      <c r="AK127">
        <f>'Net zero Activity data'!BM10*'Net zero supporting data'!AK117</f>
        <v>-205026.02345770199</v>
      </c>
      <c r="AL127">
        <f>'Net zero Activity data'!BN10*'Net zero supporting data'!AL117</f>
        <v>-206212.47473755316</v>
      </c>
      <c r="AM127">
        <f>'Net zero Activity data'!BO10*'Net zero supporting data'!AM117</f>
        <v>-207404.53016163796</v>
      </c>
      <c r="AN127">
        <f>'Net zero Activity data'!BP10*'Net zero supporting data'!AN117</f>
        <v>-208602.22557899132</v>
      </c>
    </row>
    <row r="128" spans="1:40" x14ac:dyDescent="0.25">
      <c r="A128" t="s">
        <v>1020</v>
      </c>
      <c r="B128">
        <f>'Net zero Activity data'!AD11*'Net zero supporting data'!B118</f>
        <v>0</v>
      </c>
      <c r="C128">
        <f>'Net zero Activity data'!AE11*'Net zero supporting data'!C118</f>
        <v>0</v>
      </c>
      <c r="D128">
        <f>'Net zero Activity data'!AF11*'Net zero supporting data'!D118</f>
        <v>0</v>
      </c>
      <c r="E128">
        <f>'Net zero Activity data'!AG11*'Net zero supporting data'!E118</f>
        <v>0</v>
      </c>
      <c r="F128">
        <f>'Net zero Activity data'!AH11*'Net zero supporting data'!F118</f>
        <v>0</v>
      </c>
      <c r="G128">
        <f>'Net zero Activity data'!AI11*'Net zero supporting data'!G118</f>
        <v>0</v>
      </c>
      <c r="H128">
        <f>'Net zero Activity data'!AJ11*'Net zero supporting data'!H118</f>
        <v>0</v>
      </c>
      <c r="I128">
        <f>'Net zero Activity data'!AK11*'Net zero supporting data'!I118</f>
        <v>0</v>
      </c>
      <c r="J128">
        <f>'Net zero Activity data'!AL11*'Net zero supporting data'!J118</f>
        <v>0</v>
      </c>
      <c r="K128">
        <f>'Net zero Activity data'!AM11*'Net zero supporting data'!K118</f>
        <v>1165647.4183172693</v>
      </c>
      <c r="L128">
        <f>'Net zero Activity data'!AN11*'Net zero supporting data'!L118</f>
        <v>2335220.4501090287</v>
      </c>
      <c r="M128">
        <f>'Net zero Activity data'!AO11*'Net zero supporting data'!M118</f>
        <v>3509531.7365149581</v>
      </c>
      <c r="N128">
        <f>'Net zero Activity data'!AP11*'Net zero supporting data'!N118</f>
        <v>4689440.2106567221</v>
      </c>
      <c r="O128">
        <f>'Net zero Activity data'!AQ11*'Net zero supporting data'!O118</f>
        <v>5875591.5452945875</v>
      </c>
      <c r="P128">
        <f>'Net zero Activity data'!AR11*'Net zero supporting data'!P118</f>
        <v>7060897.3573457645</v>
      </c>
      <c r="Q128">
        <f>'Net zero Activity data'!AS11*'Net zero supporting data'!Q118</f>
        <v>8250989.8432881022</v>
      </c>
      <c r="R128">
        <f>'Net zero Activity data'!AT11*'Net zero supporting data'!R118</f>
        <v>9446520.1387291607</v>
      </c>
      <c r="S128">
        <f>'Net zero Activity data'!AU11*'Net zero supporting data'!S118</f>
        <v>10647814.276733851</v>
      </c>
      <c r="T128">
        <f>'Net zero Activity data'!AV11*'Net zero supporting data'!T118</f>
        <v>11855473.444184026</v>
      </c>
      <c r="U128">
        <f>'Net zero Activity data'!AW11*'Net zero supporting data'!U118</f>
        <v>11871647.472098378</v>
      </c>
      <c r="V128">
        <f>'Net zero Activity data'!AX11*'Net zero supporting data'!V118</f>
        <v>11889522.758305011</v>
      </c>
      <c r="W128">
        <f>'Net zero Activity data'!AY11*'Net zero supporting data'!W118</f>
        <v>11908938.541429844</v>
      </c>
      <c r="X128">
        <f>'Net zero Activity data'!AZ11*'Net zero supporting data'!X118</f>
        <v>11927696.664228408</v>
      </c>
      <c r="Y128">
        <f>'Net zero Activity data'!BA11*'Net zero supporting data'!Y118</f>
        <v>11847500.072608495</v>
      </c>
      <c r="Z128">
        <f>'Net zero Activity data'!BB11*'Net zero supporting data'!Z118</f>
        <v>11858889.256652392</v>
      </c>
      <c r="AA128">
        <f>'Net zero Activity data'!BC11*'Net zero supporting data'!AA118</f>
        <v>11871457.277659835</v>
      </c>
      <c r="AB128">
        <f>'Net zero Activity data'!BD11*'Net zero supporting data'!AB118</f>
        <v>11885159.600159381</v>
      </c>
      <c r="AC128">
        <f>'Net zero Activity data'!BE11*'Net zero supporting data'!AC118</f>
        <v>11899955.130994301</v>
      </c>
      <c r="AD128">
        <f>'Net zero Activity data'!BF11*'Net zero supporting data'!AD118</f>
        <v>11915805.892672988</v>
      </c>
      <c r="AE128">
        <f>'Net zero Activity data'!BG11*'Net zero supporting data'!AE118</f>
        <v>11923498.281690944</v>
      </c>
      <c r="AF128">
        <f>'Net zero Activity data'!BH11*'Net zero supporting data'!AF118</f>
        <v>11932120.396275798</v>
      </c>
      <c r="AG128">
        <f>'Net zero Activity data'!BI11*'Net zero supporting data'!AG118</f>
        <v>11941639.879785726</v>
      </c>
      <c r="AH128">
        <f>'Net zero Activity data'!BJ11*'Net zero supporting data'!AH118</f>
        <v>11952026.590186806</v>
      </c>
      <c r="AI128">
        <f>'Net zero Activity data'!BK11*'Net zero supporting data'!AI118</f>
        <v>11963252.411911258</v>
      </c>
      <c r="AJ128">
        <f>'Net zero Activity data'!BL11*'Net zero supporting data'!AJ118</f>
        <v>11966021.685577335</v>
      </c>
      <c r="AK128">
        <f>'Net zero Activity data'!BM11*'Net zero supporting data'!AK118</f>
        <v>11969535.670159282</v>
      </c>
      <c r="AL128">
        <f>'Net zero Activity data'!BN11*'Net zero supporting data'!AL118</f>
        <v>11973769.700845532</v>
      </c>
      <c r="AM128">
        <f>'Net zero Activity data'!BO11*'Net zero supporting data'!AM118</f>
        <v>11978700.618965149</v>
      </c>
      <c r="AN128">
        <f>'Net zero Activity data'!BP11*'Net zero supporting data'!AN118</f>
        <v>11984306.656163204</v>
      </c>
    </row>
    <row r="129" spans="1:40" x14ac:dyDescent="0.25">
      <c r="A129" t="s">
        <v>1086</v>
      </c>
      <c r="B129">
        <f>'Net zero Activity data'!AD12*'Net zero supporting data'!B119</f>
        <v>0</v>
      </c>
      <c r="C129">
        <f>'Net zero Activity data'!AE12*'Net zero supporting data'!C119</f>
        <v>0</v>
      </c>
      <c r="D129">
        <f>'Net zero Activity data'!AF12*'Net zero supporting data'!D119</f>
        <v>0</v>
      </c>
      <c r="E129">
        <f>'Net zero Activity data'!AG12*'Net zero supporting data'!E119</f>
        <v>0</v>
      </c>
      <c r="F129">
        <f>'Net zero Activity data'!AH12*'Net zero supporting data'!F119</f>
        <v>0</v>
      </c>
      <c r="G129">
        <f>'Net zero Activity data'!AI12*'Net zero supporting data'!G119</f>
        <v>0</v>
      </c>
      <c r="H129">
        <f>'Net zero Activity data'!AJ12*'Net zero supporting data'!H119</f>
        <v>0</v>
      </c>
      <c r="I129">
        <f>'Net zero Activity data'!AK12*'Net zero supporting data'!I119</f>
        <v>0</v>
      </c>
      <c r="J129">
        <f>'Net zero Activity data'!AL12*'Net zero supporting data'!J119</f>
        <v>0</v>
      </c>
      <c r="K129">
        <f>'Net zero Activity data'!AM12*'Net zero supporting data'!K119</f>
        <v>116118.13362547514</v>
      </c>
      <c r="L129">
        <f>'Net zero Activity data'!AN12*'Net zero supporting data'!L119</f>
        <v>232627.32453193393</v>
      </c>
      <c r="M129">
        <f>'Net zero Activity data'!AO12*'Net zero supporting data'!M119</f>
        <v>349608.5254765859</v>
      </c>
      <c r="N129">
        <f>'Net zero Activity data'!AP12*'Net zero supporting data'!N119</f>
        <v>467147.30067844747</v>
      </c>
      <c r="O129">
        <f>'Net zero Activity data'!AQ12*'Net zero supporting data'!O119</f>
        <v>585307.97002934595</v>
      </c>
      <c r="P129">
        <f>'Net zero Activity data'!AR12*'Net zero supporting data'!P119</f>
        <v>703384.41107658972</v>
      </c>
      <c r="Q129">
        <f>'Net zero Activity data'!AS12*'Net zero supporting data'!Q119</f>
        <v>821937.68553827843</v>
      </c>
      <c r="R129">
        <f>'Net zero Activity data'!AT12*'Net zero supporting data'!R119</f>
        <v>941032.65749792417</v>
      </c>
      <c r="S129">
        <f>'Net zero Activity data'!AU12*'Net zero supporting data'!S119</f>
        <v>1060701.8053451343</v>
      </c>
      <c r="T129">
        <f>'Net zero Activity data'!AV12*'Net zero supporting data'!T119</f>
        <v>1181005.0174282938</v>
      </c>
      <c r="U129">
        <f>'Net zero Activity data'!AW12*'Net zero supporting data'!U119</f>
        <v>1182616.2232741683</v>
      </c>
      <c r="V129">
        <f>'Net zero Activity data'!AX12*'Net zero supporting data'!V119</f>
        <v>1184396.9031261697</v>
      </c>
      <c r="W129">
        <f>'Net zero Activity data'!AY12*'Net zero supporting data'!W119</f>
        <v>1186331.0424412873</v>
      </c>
      <c r="X129">
        <f>'Net zero Activity data'!AZ12*'Net zero supporting data'!X119</f>
        <v>1188199.6677009144</v>
      </c>
      <c r="Y129">
        <f>'Net zero Activity data'!BA12*'Net zero supporting data'!Y119</f>
        <v>1180210.7352023791</v>
      </c>
      <c r="Z129">
        <f>'Net zero Activity data'!BB12*'Net zero supporting data'!Z119</f>
        <v>1181345.2899347213</v>
      </c>
      <c r="AA129">
        <f>'Net zero Activity data'!BC12*'Net zero supporting data'!AA119</f>
        <v>1182597.276701746</v>
      </c>
      <c r="AB129">
        <f>'Net zero Activity data'!BD12*'Net zero supporting data'!AB119</f>
        <v>1183962.2590197085</v>
      </c>
      <c r="AC129">
        <f>'Net zero Activity data'!BE12*'Net zero supporting data'!AC119</f>
        <v>1185436.1433174403</v>
      </c>
      <c r="AD129">
        <f>'Net zero Activity data'!BF12*'Net zero supporting data'!AD119</f>
        <v>1187015.1463965429</v>
      </c>
      <c r="AE129">
        <f>'Net zero Activity data'!BG12*'Net zero supporting data'!AE119</f>
        <v>1187781.4380228529</v>
      </c>
      <c r="AF129">
        <f>'Net zero Activity data'!BH12*'Net zero supporting data'!AF119</f>
        <v>1188640.34598916</v>
      </c>
      <c r="AG129">
        <f>'Net zero Activity data'!BI12*'Net zero supporting data'!AG119</f>
        <v>1189588.6470284632</v>
      </c>
      <c r="AH129">
        <f>'Net zero Activity data'!BJ12*'Net zero supporting data'!AH119</f>
        <v>1190623.3384860423</v>
      </c>
      <c r="AI129">
        <f>'Net zero Activity data'!BK12*'Net zero supporting data'!AI119</f>
        <v>1191741.6195773666</v>
      </c>
      <c r="AJ129">
        <f>'Net zero Activity data'!BL12*'Net zero supporting data'!AJ119</f>
        <v>1192017.4859195815</v>
      </c>
      <c r="AK129">
        <f>'Net zero Activity data'!BM12*'Net zero supporting data'!AK119</f>
        <v>1192367.5380235303</v>
      </c>
      <c r="AL129">
        <f>'Net zero Activity data'!BN12*'Net zero supporting data'!AL119</f>
        <v>1192789.3188581758</v>
      </c>
      <c r="AM129">
        <f>'Net zero Activity data'!BO12*'Net zero supporting data'!AM119</f>
        <v>1193280.5214294787</v>
      </c>
      <c r="AN129">
        <f>'Net zero Activity data'!BP12*'Net zero supporting data'!AN119</f>
        <v>1193838.9772423117</v>
      </c>
    </row>
    <row r="130" spans="1:40" x14ac:dyDescent="0.25">
      <c r="A130" t="s">
        <v>1087</v>
      </c>
      <c r="B130">
        <f>'Net zero Activity data'!AD13*'Net zero supporting data'!B120</f>
        <v>0</v>
      </c>
      <c r="C130">
        <f>'Net zero Activity data'!AE13*'Net zero supporting data'!C120</f>
        <v>0</v>
      </c>
      <c r="D130">
        <f>'Net zero Activity data'!AF13*'Net zero supporting data'!D120</f>
        <v>0</v>
      </c>
      <c r="E130">
        <f>'Net zero Activity data'!AG13*'Net zero supporting data'!E120</f>
        <v>0</v>
      </c>
      <c r="F130">
        <f>'Net zero Activity data'!AH13*'Net zero supporting data'!F120</f>
        <v>0</v>
      </c>
      <c r="G130">
        <f>'Net zero Activity data'!AI13*'Net zero supporting data'!G120</f>
        <v>0</v>
      </c>
      <c r="H130">
        <f>'Net zero Activity data'!AJ13*'Net zero supporting data'!H120</f>
        <v>0</v>
      </c>
      <c r="I130">
        <f>'Net zero Activity data'!AK13*'Net zero supporting data'!I120</f>
        <v>0</v>
      </c>
      <c r="J130">
        <f>'Net zero Activity data'!AL13*'Net zero supporting data'!J120</f>
        <v>0</v>
      </c>
      <c r="K130">
        <f>'Net zero Activity data'!AM13*'Net zero supporting data'!K120</f>
        <v>0</v>
      </c>
      <c r="L130">
        <f>'Net zero Activity data'!AN13*'Net zero supporting data'!L120</f>
        <v>0</v>
      </c>
      <c r="M130">
        <f>'Net zero Activity data'!AO13*'Net zero supporting data'!M120</f>
        <v>0</v>
      </c>
      <c r="N130">
        <f>'Net zero Activity data'!AP13*'Net zero supporting data'!N120</f>
        <v>0</v>
      </c>
      <c r="O130">
        <f>'Net zero Activity data'!AQ13*'Net zero supporting data'!O120</f>
        <v>0</v>
      </c>
      <c r="P130">
        <f>'Net zero Activity data'!AR13*'Net zero supporting data'!P120</f>
        <v>0</v>
      </c>
      <c r="Q130">
        <f>'Net zero Activity data'!AS13*'Net zero supporting data'!Q120</f>
        <v>0</v>
      </c>
      <c r="R130">
        <f>'Net zero Activity data'!AT13*'Net zero supporting data'!R120</f>
        <v>0</v>
      </c>
      <c r="S130">
        <f>'Net zero Activity data'!AU13*'Net zero supporting data'!S120</f>
        <v>0</v>
      </c>
      <c r="T130">
        <f>'Net zero Activity data'!AV13*'Net zero supporting data'!T120</f>
        <v>0</v>
      </c>
      <c r="U130">
        <f>'Net zero Activity data'!AW13*'Net zero supporting data'!U120</f>
        <v>88937.665436586831</v>
      </c>
      <c r="V130">
        <f>'Net zero Activity data'!AX13*'Net zero supporting data'!V120</f>
        <v>178269.74442394383</v>
      </c>
      <c r="W130">
        <f>'Net zero Activity data'!AY13*'Net zero supporting data'!W120</f>
        <v>268037.33581191866</v>
      </c>
      <c r="X130">
        <f>'Net zero Activity data'!AZ13*'Net zero supporting data'!X120</f>
        <v>358186.12266400101</v>
      </c>
      <c r="Y130">
        <f>'Net zero Activity data'!BA13*'Net zero supporting data'!Y120</f>
        <v>443344.76580676727</v>
      </c>
      <c r="Z130">
        <f>'Net zero Activity data'!BB13*'Net zero supporting data'!Z120</f>
        <v>532718.23962874396</v>
      </c>
      <c r="AA130">
        <f>'Net zero Activity data'!BC13*'Net zero supporting data'!AA120</f>
        <v>622400.25302786368</v>
      </c>
      <c r="AB130">
        <f>'Net zero Activity data'!BD13*'Net zero supporting data'!AB120</f>
        <v>712418.97088030446</v>
      </c>
      <c r="AC130">
        <f>'Net zero Activity data'!BE13*'Net zero supporting data'!AC120</f>
        <v>802801.14626370848</v>
      </c>
      <c r="AD130">
        <f>'Net zero Activity data'!BF13*'Net zero supporting data'!AD120</f>
        <v>893572.25452629256</v>
      </c>
      <c r="AE130">
        <f>'Net zero Activity data'!BG13*'Net zero supporting data'!AE120</f>
        <v>894246.59558008146</v>
      </c>
      <c r="AF130">
        <f>'Net zero Activity data'!BH13*'Net zero supporting data'!AF120</f>
        <v>895005.09639758861</v>
      </c>
      <c r="AG130">
        <f>'Net zero Activity data'!BI13*'Net zero supporting data'!AG120</f>
        <v>895844.58415978355</v>
      </c>
      <c r="AH130">
        <f>'Net zero Activity data'!BJ13*'Net zero supporting data'!AH120</f>
        <v>896762.10371048306</v>
      </c>
      <c r="AI130">
        <f>'Net zero Activity data'!BK13*'Net zero supporting data'!AI120</f>
        <v>897754.89890854852</v>
      </c>
      <c r="AJ130">
        <f>'Net zero Activity data'!BL13*'Net zero supporting data'!AJ120</f>
        <v>897832.35673176276</v>
      </c>
      <c r="AK130">
        <f>'Net zero Activity data'!BM13*'Net zero supporting data'!AK120</f>
        <v>897978.70028787572</v>
      </c>
      <c r="AL130">
        <f>'Net zero Activity data'!BN13*'Net zero supporting data'!AL120</f>
        <v>898191.4556789574</v>
      </c>
      <c r="AM130">
        <f>'Net zero Activity data'!BO13*'Net zero supporting data'!AM120</f>
        <v>898468.30043147062</v>
      </c>
      <c r="AN130">
        <f>'Net zero Activity data'!BP13*'Net zero supporting data'!AN120</f>
        <v>898807.05176507798</v>
      </c>
    </row>
    <row r="131" spans="1:40" x14ac:dyDescent="0.25">
      <c r="A131" t="s">
        <v>1088</v>
      </c>
      <c r="B131">
        <f>'Net zero Activity data'!AD14*'Net zero supporting data'!B121</f>
        <v>0</v>
      </c>
      <c r="C131">
        <f>'Net zero Activity data'!AE14*'Net zero supporting data'!C121</f>
        <v>0</v>
      </c>
      <c r="D131">
        <f>'Net zero Activity data'!AF14*'Net zero supporting data'!D121</f>
        <v>0</v>
      </c>
      <c r="E131">
        <f>'Net zero Activity data'!AG14*'Net zero supporting data'!E121</f>
        <v>0</v>
      </c>
      <c r="F131">
        <f>'Net zero Activity data'!AH14*'Net zero supporting data'!F121</f>
        <v>0</v>
      </c>
      <c r="G131">
        <f>'Net zero Activity data'!AI14*'Net zero supporting data'!G121</f>
        <v>0</v>
      </c>
      <c r="H131">
        <f>'Net zero Activity data'!AJ14*'Net zero supporting data'!H121</f>
        <v>0</v>
      </c>
      <c r="I131">
        <f>'Net zero Activity data'!AK14*'Net zero supporting data'!I121</f>
        <v>0</v>
      </c>
      <c r="J131">
        <f>'Net zero Activity data'!AL14*'Net zero supporting data'!J121</f>
        <v>0</v>
      </c>
      <c r="K131">
        <f>'Net zero Activity data'!AM14*'Net zero supporting data'!K121</f>
        <v>0</v>
      </c>
      <c r="L131">
        <f>'Net zero Activity data'!AN14*'Net zero supporting data'!L121</f>
        <v>0</v>
      </c>
      <c r="M131">
        <f>'Net zero Activity data'!AO14*'Net zero supporting data'!M121</f>
        <v>0</v>
      </c>
      <c r="N131">
        <f>'Net zero Activity data'!AP14*'Net zero supporting data'!N121</f>
        <v>0</v>
      </c>
      <c r="O131">
        <f>'Net zero Activity data'!AQ14*'Net zero supporting data'!O121</f>
        <v>0</v>
      </c>
      <c r="P131">
        <f>'Net zero Activity data'!AR14*'Net zero supporting data'!P121</f>
        <v>0</v>
      </c>
      <c r="Q131">
        <f>'Net zero Activity data'!AS14*'Net zero supporting data'!Q121</f>
        <v>0</v>
      </c>
      <c r="R131">
        <f>'Net zero Activity data'!AT14*'Net zero supporting data'!R121</f>
        <v>0</v>
      </c>
      <c r="S131">
        <f>'Net zero Activity data'!AU14*'Net zero supporting data'!S121</f>
        <v>0</v>
      </c>
      <c r="T131">
        <f>'Net zero Activity data'!AV14*'Net zero supporting data'!T121</f>
        <v>0</v>
      </c>
      <c r="U131">
        <f>'Net zero Activity data'!AW14*'Net zero supporting data'!U121</f>
        <v>86321.851747275432</v>
      </c>
      <c r="V131">
        <f>'Net zero Activity data'!AX14*'Net zero supporting data'!V121</f>
        <v>173026.51664676899</v>
      </c>
      <c r="W131">
        <f>'Net zero Activity data'!AY14*'Net zero supporting data'!W121</f>
        <v>260153.88475862687</v>
      </c>
      <c r="X131">
        <f>'Net zero Activity data'!AZ14*'Net zero supporting data'!X121</f>
        <v>347651.23670329503</v>
      </c>
      <c r="Y131">
        <f>'Net zero Activity data'!BA14*'Net zero supporting data'!Y121</f>
        <v>430305.21387127397</v>
      </c>
      <c r="Z131">
        <f>'Net zero Activity data'!BB14*'Net zero supporting data'!Z121</f>
        <v>517050.05611025123</v>
      </c>
      <c r="AA131">
        <f>'Net zero Activity data'!BC14*'Net zero supporting data'!AA121</f>
        <v>604094.36323292635</v>
      </c>
      <c r="AB131">
        <f>'Net zero Activity data'!BD14*'Net zero supporting data'!AB121</f>
        <v>691465.47173676593</v>
      </c>
      <c r="AC131">
        <f>'Net zero Activity data'!BE14*'Net zero supporting data'!AC121</f>
        <v>779189.34784418752</v>
      </c>
      <c r="AD131">
        <f>'Net zero Activity data'!BF14*'Net zero supporting data'!AD121</f>
        <v>867290.71762846026</v>
      </c>
      <c r="AE131">
        <f>'Net zero Activity data'!BG14*'Net zero supporting data'!AE121</f>
        <v>867945.22512184363</v>
      </c>
      <c r="AF131">
        <f>'Net zero Activity data'!BH14*'Net zero supporting data'!AF121</f>
        <v>868681.41709177708</v>
      </c>
      <c r="AG131">
        <f>'Net zero Activity data'!BI14*'Net zero supporting data'!AG121</f>
        <v>869496.21403743688</v>
      </c>
      <c r="AH131">
        <f>'Net zero Activity data'!BJ14*'Net zero supporting data'!AH121</f>
        <v>870386.74771899811</v>
      </c>
      <c r="AI131">
        <f>'Net zero Activity data'!BK14*'Net zero supporting data'!AI121</f>
        <v>871350.34305829694</v>
      </c>
      <c r="AJ131">
        <f>'Net zero Activity data'!BL14*'Net zero supporting data'!AJ121</f>
        <v>871425.52271024033</v>
      </c>
      <c r="AK131">
        <f>'Net zero Activity data'!BM14*'Net zero supporting data'!AK121</f>
        <v>871567.56204411446</v>
      </c>
      <c r="AL131">
        <f>'Net zero Activity data'!BN14*'Net zero supporting data'!AL121</f>
        <v>871774.05992369377</v>
      </c>
      <c r="AM131">
        <f>'Net zero Activity data'!BO14*'Net zero supporting data'!AM121</f>
        <v>872042.76218348602</v>
      </c>
      <c r="AN131">
        <f>'Net zero Activity data'!BP14*'Net zero supporting data'!AN121</f>
        <v>872371.55024257547</v>
      </c>
    </row>
    <row r="132" spans="1:40" x14ac:dyDescent="0.25">
      <c r="A132" t="s">
        <v>1099</v>
      </c>
      <c r="B132" s="11">
        <f>'Activity data'!AD5-'Net zero supporting data'!B122</f>
        <v>591129.2897046</v>
      </c>
      <c r="C132" s="11">
        <f>'Activity data'!AE5-'Net zero supporting data'!C122</f>
        <v>594806.21359952644</v>
      </c>
      <c r="D132" s="11">
        <f>'Activity data'!AF5-'Net zero supporting data'!D122</f>
        <v>597334.14942871302</v>
      </c>
      <c r="E132" s="11">
        <f>'Activity data'!AG5-'Net zero supporting data'!E122</f>
        <v>598126.94731703098</v>
      </c>
      <c r="F132" s="11">
        <f>'Activity data'!AH5-'Net zero supporting data'!F122</f>
        <v>599199.48455998639</v>
      </c>
      <c r="G132" s="11">
        <f>'Activity data'!AI5-'Net zero supporting data'!G122</f>
        <v>601548.74860188353</v>
      </c>
      <c r="H132" s="11">
        <f>'Activity data'!AJ5-'Net zero supporting data'!H122</f>
        <v>604365.27789585036</v>
      </c>
      <c r="I132" s="11">
        <f>'Activity data'!AK5-'Net zero supporting data'!I122</f>
        <v>605211.39267553936</v>
      </c>
      <c r="J132" s="11">
        <f>'Activity data'!AL5-'Net zero supporting data'!J122</f>
        <v>586631.53886012151</v>
      </c>
      <c r="K132" s="11">
        <f>'Activity data'!AM5-'Net zero supporting data'!K122</f>
        <v>541591.22921293369</v>
      </c>
      <c r="L132" s="11">
        <f>'Activity data'!AN5-'Net zero supporting data'!L122</f>
        <v>496212.95810688799</v>
      </c>
      <c r="M132" s="11">
        <f>'Activity data'!AO5-'Net zero supporting data'!M122</f>
        <v>451000.29528827214</v>
      </c>
      <c r="N132" s="11">
        <f>'Activity data'!AP5-'Net zero supporting data'!N122</f>
        <v>406492.68038740847</v>
      </c>
      <c r="O132" s="11">
        <f>'Activity data'!AQ5-'Net zero supporting data'!O122</f>
        <v>361999.0954657775</v>
      </c>
      <c r="P132" s="11">
        <f>'Activity data'!AR5-'Net zero supporting data'!P122</f>
        <v>317389.76976201602</v>
      </c>
      <c r="Q132" s="11">
        <f>'Activity data'!AS5-'Net zero supporting data'!Q122</f>
        <v>272737.55052471859</v>
      </c>
      <c r="R132" s="11">
        <f>'Activity data'!AT5-'Net zero supporting data'!R122</f>
        <v>228277.56775652809</v>
      </c>
      <c r="S132" s="11">
        <f>'Activity data'!AU5-'Net zero supporting data'!S122</f>
        <v>183734.01055344706</v>
      </c>
      <c r="T132" s="11">
        <f>'Activity data'!AV5-'Net zero supporting data'!T122</f>
        <v>139304.624170114</v>
      </c>
      <c r="U132" s="11">
        <f>'Activity data'!AW5-'Net zero supporting data'!U122</f>
        <v>141535.49949023878</v>
      </c>
      <c r="V132" s="11">
        <f>'Activity data'!AX5-'Net zero supporting data'!V122</f>
        <v>143909.76196581463</v>
      </c>
      <c r="W132" s="11">
        <f>'Activity data'!AY5-'Net zero supporting data'!W122</f>
        <v>146363.89061383688</v>
      </c>
      <c r="X132" s="11">
        <f>'Activity data'!AZ5-'Net zero supporting data'!X122</f>
        <v>147433.05421138345</v>
      </c>
      <c r="Y132" s="11">
        <f>'Activity data'!BA5-'Net zero supporting data'!Y122</f>
        <v>79385.32202020468</v>
      </c>
      <c r="Z132" s="11">
        <f>'Activity data'!BB5-'Net zero supporting data'!Z122</f>
        <v>79895.144446243765</v>
      </c>
      <c r="AA132" s="11">
        <f>'Activity data'!BC5-'Net zero supporting data'!AA122</f>
        <v>80413.387499834644</v>
      </c>
      <c r="AB132" s="11">
        <f>'Activity data'!BD5-'Net zero supporting data'!AB122</f>
        <v>80939.885432690906</v>
      </c>
      <c r="AC132" s="11">
        <f>'Activity data'!BE5-'Net zero supporting data'!AC122</f>
        <v>81474.488832929055</v>
      </c>
      <c r="AD132" s="11">
        <f>'Activity data'!BF5-'Net zero supporting data'!AD122</f>
        <v>82017.063074414385</v>
      </c>
      <c r="AE132" s="11">
        <f>'Activity data'!BG5-'Net zero supporting data'!AE122</f>
        <v>82509.158796228177</v>
      </c>
      <c r="AF132" s="11">
        <f>'Activity data'!BH5-'Net zero supporting data'!AF122</f>
        <v>83007.964151091815</v>
      </c>
      <c r="AG132" s="11">
        <f>'Activity data'!BI5-'Net zero supporting data'!AG122</f>
        <v>83513.361524276901</v>
      </c>
      <c r="AH132" s="11">
        <f>'Activity data'!BJ5-'Net zero supporting data'!AH122</f>
        <v>84025.243640155997</v>
      </c>
      <c r="AI132" s="11">
        <f>'Activity data'!BK5-'Net zero supporting data'!AI122</f>
        <v>84543.512680004234</v>
      </c>
      <c r="AJ132" s="11">
        <f>'Activity data'!BL5-'Net zero supporting data'!AJ122</f>
        <v>85007.502973284165</v>
      </c>
      <c r="AK132" s="11">
        <f>'Activity data'!BM5-'Net zero supporting data'!AK122</f>
        <v>85476.755453230464</v>
      </c>
      <c r="AL132" s="11">
        <f>'Activity data'!BN5-'Net zero supporting data'!AL122</f>
        <v>85951.180502790492</v>
      </c>
      <c r="AM132" s="11">
        <f>'Activity data'!BO5-'Net zero supporting data'!AM122</f>
        <v>86430.695397494768</v>
      </c>
      <c r="AN132" s="11">
        <f>'Activity data'!BP5-'Net zero supporting data'!AN122</f>
        <v>86915.223769280128</v>
      </c>
    </row>
    <row r="133" spans="1:40" x14ac:dyDescent="0.25">
      <c r="A133" t="s">
        <v>1100</v>
      </c>
      <c r="B133" s="11">
        <f>'Activity data'!AD6-'Net zero supporting data'!B123</f>
        <v>489792.8400409543</v>
      </c>
      <c r="C133" s="11">
        <f>'Activity data'!AE6-'Net zero supporting data'!C123</f>
        <v>492839.43412532192</v>
      </c>
      <c r="D133" s="11">
        <f>'Activity data'!AF6-'Net zero supporting data'!D123</f>
        <v>494934.00952664798</v>
      </c>
      <c r="E133" s="11">
        <f>'Activity data'!AG6-'Net zero supporting data'!E123</f>
        <v>495590.89920553996</v>
      </c>
      <c r="F133" s="11">
        <f>'Activity data'!AH6-'Net zero supporting data'!F123</f>
        <v>496479.57292113162</v>
      </c>
      <c r="G133" s="11">
        <f>'Activity data'!AI6-'Net zero supporting data'!G123</f>
        <v>498426.10598441772</v>
      </c>
      <c r="H133" s="11">
        <f>'Activity data'!AJ6-'Net zero supporting data'!H123</f>
        <v>500759.80168513313</v>
      </c>
      <c r="I133" s="11">
        <f>'Activity data'!AK6-'Net zero supporting data'!I123</f>
        <v>501460.86821687547</v>
      </c>
      <c r="J133" s="11">
        <f>'Activity data'!AL6-'Net zero supporting data'!J123</f>
        <v>486066.13219838642</v>
      </c>
      <c r="K133" s="11">
        <f>'Activity data'!AM6-'Net zero supporting data'!K123</f>
        <v>448747.01849071647</v>
      </c>
      <c r="L133" s="11">
        <f>'Activity data'!AN6-'Net zero supporting data'!L123</f>
        <v>411147.8795742786</v>
      </c>
      <c r="M133" s="11">
        <f>'Activity data'!AO6-'Net zero supporting data'!M123</f>
        <v>373685.95895313978</v>
      </c>
      <c r="N133" s="11">
        <f>'Activity data'!AP6-'Net zero supporting data'!N123</f>
        <v>336808.22089242423</v>
      </c>
      <c r="O133" s="11">
        <f>'Activity data'!AQ6-'Net zero supporting data'!O123</f>
        <v>299942.10767164431</v>
      </c>
      <c r="P133" s="11">
        <f>'Activity data'!AR6-'Net zero supporting data'!P123</f>
        <v>262980.09494567034</v>
      </c>
      <c r="Q133" s="11">
        <f>'Activity data'!AS6-'Net zero supporting data'!Q123</f>
        <v>225982.54186333832</v>
      </c>
      <c r="R133" s="11">
        <f>'Activity data'!AT6-'Net zero supporting data'!R123</f>
        <v>189144.27042683755</v>
      </c>
      <c r="S133" s="11">
        <f>'Activity data'!AU6-'Net zero supporting data'!S123</f>
        <v>152236.75160142762</v>
      </c>
      <c r="T133" s="11">
        <f>'Activity data'!AV6-'Net zero supporting data'!T123</f>
        <v>115423.83145523735</v>
      </c>
      <c r="U133" s="11">
        <f>'Activity data'!AW6-'Net zero supporting data'!U123</f>
        <v>117272.27100619784</v>
      </c>
      <c r="V133" s="11">
        <f>'Activity data'!AX6-'Net zero supporting data'!V123</f>
        <v>119239.51705738931</v>
      </c>
      <c r="W133" s="11">
        <f>'Activity data'!AY6-'Net zero supporting data'!W123</f>
        <v>121272.93793717917</v>
      </c>
      <c r="X133" s="11">
        <f>'Activity data'!AZ6-'Net zero supporting data'!X123</f>
        <v>122158.81634657475</v>
      </c>
      <c r="Y133" s="11">
        <f>'Activity data'!BA6-'Net zero supporting data'!Y123</f>
        <v>65776.409673883842</v>
      </c>
      <c r="Z133" s="11">
        <f>'Activity data'!BB6-'Net zero supporting data'!Z123</f>
        <v>66198.833969744825</v>
      </c>
      <c r="AA133" s="11">
        <f>'Activity data'!BC6-'Net zero supporting data'!AA123</f>
        <v>66628.235357005848</v>
      </c>
      <c r="AB133" s="11">
        <f>'Activity data'!BD6-'Net zero supporting data'!AB123</f>
        <v>67064.476501372439</v>
      </c>
      <c r="AC133" s="11">
        <f>'Activity data'!BE6-'Net zero supporting data'!AC123</f>
        <v>67507.433604426915</v>
      </c>
      <c r="AD133" s="11">
        <f>'Activity data'!BF6-'Net zero supporting data'!AD123</f>
        <v>67956.995118800463</v>
      </c>
      <c r="AE133" s="11">
        <f>'Activity data'!BG6-'Net zero supporting data'!AE123</f>
        <v>68364.731574017584</v>
      </c>
      <c r="AF133" s="11">
        <f>'Activity data'!BH6-'Net zero supporting data'!AF123</f>
        <v>68778.027439476078</v>
      </c>
      <c r="AG133" s="11">
        <f>'Activity data'!BI6-'Net zero supporting data'!AG123</f>
        <v>69196.785262972291</v>
      </c>
      <c r="AH133" s="11">
        <f>'Activity data'!BJ6-'Net zero supporting data'!AH123</f>
        <v>69620.916158986423</v>
      </c>
      <c r="AI133" s="11">
        <f>'Activity data'!BK6-'Net zero supporting data'!AI123</f>
        <v>70050.339077717741</v>
      </c>
      <c r="AJ133" s="11">
        <f>'Activity data'!BL6-'Net zero supporting data'!AJ123</f>
        <v>70434.788177864015</v>
      </c>
      <c r="AK133" s="11">
        <f>'Activity data'!BM6-'Net zero supporting data'!AK123</f>
        <v>70823.597375533835</v>
      </c>
      <c r="AL133" s="11">
        <f>'Activity data'!BN6-'Net zero supporting data'!AL123</f>
        <v>71216.692416597798</v>
      </c>
      <c r="AM133" s="11">
        <f>'Activity data'!BO6-'Net zero supporting data'!AM123</f>
        <v>71614.004757924209</v>
      </c>
      <c r="AN133" s="11">
        <f>'Activity data'!BP6-'Net zero supporting data'!AN123</f>
        <v>72015.471123117837</v>
      </c>
    </row>
    <row r="134" spans="1:40" x14ac:dyDescent="0.25">
      <c r="A134" t="s">
        <v>1101</v>
      </c>
      <c r="B134" s="11">
        <f>'Activity data'!AD7-'Net zero supporting data'!B124</f>
        <v>608018.69798187434</v>
      </c>
      <c r="C134" s="11">
        <f>'Activity data'!AE7-'Net zero supporting data'!C124</f>
        <v>611800.67684522725</v>
      </c>
      <c r="D134" s="11">
        <f>'Activity data'!AF7-'Net zero supporting data'!D124</f>
        <v>614400.83941239072</v>
      </c>
      <c r="E134" s="11">
        <f>'Activity data'!AG7-'Net zero supporting data'!E124</f>
        <v>615216.28866894625</v>
      </c>
      <c r="F134" s="11">
        <f>'Activity data'!AH7-'Net zero supporting data'!F124</f>
        <v>616319.46983312909</v>
      </c>
      <c r="G134" s="11">
        <f>'Activity data'!AI7-'Net zero supporting data'!G124</f>
        <v>618735.85570479452</v>
      </c>
      <c r="H134" s="11">
        <f>'Activity data'!AJ7-'Net zero supporting data'!H124</f>
        <v>621632.85726430325</v>
      </c>
      <c r="I134" s="11">
        <f>'Activity data'!AK7-'Net zero supporting data'!I124</f>
        <v>622503.14675198344</v>
      </c>
      <c r="J134" s="11">
        <f>'Activity data'!AL7-'Net zero supporting data'!J124</f>
        <v>603392.43997041078</v>
      </c>
      <c r="K134" s="11">
        <f>'Activity data'!AM7-'Net zero supporting data'!K124</f>
        <v>572152.65136312367</v>
      </c>
      <c r="L134" s="11">
        <f>'Activity data'!AN7-'Net zero supporting data'!L124</f>
        <v>540546.11917195853</v>
      </c>
      <c r="M134" s="11">
        <f>'Activity data'!AO7-'Net zero supporting data'!M124</f>
        <v>509093.78310610552</v>
      </c>
      <c r="N134" s="11">
        <f>'Activity data'!AP7-'Net zero supporting data'!N124</f>
        <v>478434.58620119462</v>
      </c>
      <c r="O134" s="11">
        <f>'Activity data'!AQ7-'Net zero supporting data'!O124</f>
        <v>447816.64164955658</v>
      </c>
      <c r="P134" s="11">
        <f>'Activity data'!AR7-'Net zero supporting data'!P124</f>
        <v>417070.33583370748</v>
      </c>
      <c r="Q134" s="11">
        <f>'Activity data'!AS7-'Net zero supporting data'!Q124</f>
        <v>386260.03140148189</v>
      </c>
      <c r="R134" s="11">
        <f>'Activity data'!AT7-'Net zero supporting data'!R124</f>
        <v>355713.40512885933</v>
      </c>
      <c r="S134" s="11">
        <f>'Activity data'!AU7-'Net zero supporting data'!S124</f>
        <v>325014.18669298419</v>
      </c>
      <c r="T134" s="11">
        <f>'Activity data'!AV7-'Net zero supporting data'!T124</f>
        <v>294456.74686967221</v>
      </c>
      <c r="U134" s="11">
        <f>'Activity data'!AW7-'Net zero supporting data'!U124</f>
        <v>298030.23417587898</v>
      </c>
      <c r="V134" s="11">
        <f>'Activity data'!AX7-'Net zero supporting data'!V124</f>
        <v>301881.91774590063</v>
      </c>
      <c r="W134" s="11">
        <f>'Activity data'!AY7-'Net zero supporting data'!W124</f>
        <v>305876.04746181867</v>
      </c>
      <c r="X134" s="11">
        <f>'Activity data'!AZ7-'Net zero supporting data'!X124</f>
        <v>306961.33984081261</v>
      </c>
      <c r="Y134" s="11">
        <f>'Activity data'!BA7-'Net zero supporting data'!Y124</f>
        <v>164671.63017386512</v>
      </c>
      <c r="Z134" s="11">
        <f>'Activity data'!BB7-'Net zero supporting data'!Z124</f>
        <v>165120.50972864023</v>
      </c>
      <c r="AA134" s="11">
        <f>'Activity data'!BC7-'Net zero supporting data'!AA124</f>
        <v>165585.84426979287</v>
      </c>
      <c r="AB134" s="11">
        <f>'Activity data'!BD7-'Net zero supporting data'!AB124</f>
        <v>166067.12039095932</v>
      </c>
      <c r="AC134" s="11">
        <f>'Activity data'!BE7-'Net zero supporting data'!AC124</f>
        <v>166563.86681912577</v>
      </c>
      <c r="AD134" s="11">
        <f>'Activity data'!BF7-'Net zero supporting data'!AD124</f>
        <v>167075.6504194726</v>
      </c>
      <c r="AE134" s="11">
        <f>'Activity data'!BG7-'Net zero supporting data'!AE124</f>
        <v>167483.67352785796</v>
      </c>
      <c r="AF134" s="11">
        <f>'Activity data'!BH7-'Net zero supporting data'!AF124</f>
        <v>167904.71401515568</v>
      </c>
      <c r="AG134" s="11">
        <f>'Activity data'!BI7-'Net zero supporting data'!AG124</f>
        <v>168338.40197774876</v>
      </c>
      <c r="AH134" s="11">
        <f>'Activity data'!BJ7-'Net zero supporting data'!AH124</f>
        <v>168784.39443273406</v>
      </c>
      <c r="AI134" s="11">
        <f>'Activity data'!BK7-'Net zero supporting data'!AI124</f>
        <v>169242.37302996789</v>
      </c>
      <c r="AJ134" s="11">
        <f>'Activity data'!BL7-'Net zero supporting data'!AJ124</f>
        <v>169591.19097488938</v>
      </c>
      <c r="AK134" s="11">
        <f>'Activity data'!BM7-'Net zero supporting data'!AK124</f>
        <v>169950.34452646767</v>
      </c>
      <c r="AL134" s="11">
        <f>'Activity data'!BN7-'Net zero supporting data'!AL124</f>
        <v>170319.55267758365</v>
      </c>
      <c r="AM134" s="11">
        <f>'Activity data'!BO7-'Net zero supporting data'!AM124</f>
        <v>170698.55258039225</v>
      </c>
      <c r="AN134" s="11">
        <f>'Activity data'!BP7-'Net zero supporting data'!AN124</f>
        <v>171087.09814648796</v>
      </c>
    </row>
    <row r="135" spans="1:40" x14ac:dyDescent="0.25">
      <c r="A135" t="s">
        <v>1102</v>
      </c>
      <c r="B135" s="11">
        <f>'Activity data'!AD8-'Net zero supporting data'!B125</f>
        <v>6007349.5592559706</v>
      </c>
      <c r="C135" s="11">
        <f>'Activity data'!AE8-'Net zero supporting data'!C125</f>
        <v>5967530.2158234045</v>
      </c>
      <c r="D135" s="11">
        <f>'Activity data'!AF8-'Net zero supporting data'!D125</f>
        <v>5883573.7985937558</v>
      </c>
      <c r="E135" s="11">
        <f>'Activity data'!AG8-'Net zero supporting data'!E125</f>
        <v>5742053.6226589652</v>
      </c>
      <c r="F135" s="11">
        <f>'Activity data'!AH8-'Net zero supporting data'!F125</f>
        <v>5604747.315330226</v>
      </c>
      <c r="G135" s="11">
        <f>'Activity data'!AI8-'Net zero supporting data'!G125</f>
        <v>5499139.4932850013</v>
      </c>
      <c r="H135" s="11">
        <f>'Activity data'!AJ8-'Net zero supporting data'!H125</f>
        <v>5403616.40519528</v>
      </c>
      <c r="I135" s="11">
        <f>'Activity data'!AK8-'Net zero supporting data'!I125</f>
        <v>5253429.56876144</v>
      </c>
      <c r="J135" s="11">
        <f>'Activity data'!AL8-'Net zero supporting data'!J125</f>
        <v>4607576.1616366571</v>
      </c>
      <c r="K135" s="11">
        <f>'Activity data'!AM8-'Net zero supporting data'!K125</f>
        <v>4374636.8420468811</v>
      </c>
      <c r="L135" s="11">
        <f>'Activity data'!AN8-'Net zero supporting data'!L125</f>
        <v>4128454.1226688139</v>
      </c>
      <c r="M135" s="11">
        <f>'Activity data'!AO8-'Net zero supporting data'!M125</f>
        <v>3882516.5600741683</v>
      </c>
      <c r="N135" s="11">
        <f>'Activity data'!AP8-'Net zero supporting data'!N125</f>
        <v>3652245.638325586</v>
      </c>
      <c r="O135" s="11">
        <f>'Activity data'!AQ8-'Net zero supporting data'!O125</f>
        <v>3420085.6334923729</v>
      </c>
      <c r="P135" s="11">
        <f>'Activity data'!AR8-'Net zero supporting data'!P125</f>
        <v>3188967.2927851039</v>
      </c>
      <c r="Q135" s="11">
        <f>'Activity data'!AS8-'Net zero supporting data'!Q125</f>
        <v>2953499.8032903085</v>
      </c>
      <c r="R135" s="11">
        <f>'Activity data'!AT8-'Net zero supporting data'!R125</f>
        <v>2721449.1587969111</v>
      </c>
      <c r="S135" s="11">
        <f>'Activity data'!AU8-'Net zero supporting data'!S125</f>
        <v>2483948.2923489613</v>
      </c>
      <c r="T135" s="11">
        <f>'Activity data'!AV8-'Net zero supporting data'!T125</f>
        <v>2247842.6699908064</v>
      </c>
      <c r="U135" s="11">
        <f>'Activity data'!AW8-'Net zero supporting data'!U125</f>
        <v>2260398.9155533677</v>
      </c>
      <c r="V135" s="11">
        <f>'Activity data'!AX8-'Net zero supporting data'!V125</f>
        <v>2275978.0389983226</v>
      </c>
      <c r="W135" s="11">
        <f>'Activity data'!AY8-'Net zero supporting data'!W125</f>
        <v>2291558.6504106331</v>
      </c>
      <c r="X135" s="11">
        <f>'Activity data'!AZ8-'Net zero supporting data'!X125</f>
        <v>2247438.2436665585</v>
      </c>
      <c r="Y135" s="11">
        <f>'Activity data'!BA8-'Net zero supporting data'!Y125</f>
        <v>-531196.11850793299</v>
      </c>
      <c r="Z135" s="11">
        <f>'Activity data'!BB8-'Net zero supporting data'!Z125</f>
        <v>-519906.23106615292</v>
      </c>
      <c r="AA135" s="11">
        <f>'Activity data'!BC8-'Net zero supporting data'!AA125</f>
        <v>-508764.06473680842</v>
      </c>
      <c r="AB135" s="11">
        <f>'Activity data'!BD8-'Net zero supporting data'!AB125</f>
        <v>-497760.46435265802</v>
      </c>
      <c r="AC135" s="11">
        <f>'Activity data'!BE8-'Net zero supporting data'!AC125</f>
        <v>-486886.908294391</v>
      </c>
      <c r="AD135" s="11">
        <f>'Activity data'!BF8-'Net zero supporting data'!AD125</f>
        <v>-476135.44914280088</v>
      </c>
      <c r="AE135" s="11">
        <f>'Activity data'!BG8-'Net zero supporting data'!AE125</f>
        <v>-467558.48037951521</v>
      </c>
      <c r="AF135" s="11">
        <f>'Activity data'!BH8-'Net zero supporting data'!AF125</f>
        <v>-459088.09941989568</v>
      </c>
      <c r="AG135" s="11">
        <f>'Activity data'!BI8-'Net zero supporting data'!AG125</f>
        <v>-450718.61592838552</v>
      </c>
      <c r="AH135" s="11">
        <f>'Activity data'!BJ8-'Net zero supporting data'!AH125</f>
        <v>-442444.69577887218</v>
      </c>
      <c r="AI135" s="11">
        <f>'Activity data'!BK8-'Net zero supporting data'!AI125</f>
        <v>-434261.33118818654</v>
      </c>
      <c r="AJ135" s="11">
        <f>'Activity data'!BL8-'Net zero supporting data'!AJ125</f>
        <v>-425874.17883426877</v>
      </c>
      <c r="AK135" s="11">
        <f>'Activity data'!BM8-'Net zero supporting data'!AK125</f>
        <v>-417578.30772447039</v>
      </c>
      <c r="AL135" s="11">
        <f>'Activity data'!BN8-'Net zero supporting data'!AL125</f>
        <v>-409369.44467621972</v>
      </c>
      <c r="AM135" s="11">
        <f>'Activity data'!BO8-'Net zero supporting data'!AM125</f>
        <v>-401243.55990118254</v>
      </c>
      <c r="AN135" s="11">
        <f>'Activity data'!BP8-'Net zero supporting data'!AN125</f>
        <v>-393196.84860134491</v>
      </c>
    </row>
    <row r="136" spans="1:40" x14ac:dyDescent="0.25">
      <c r="A136" t="s">
        <v>1103</v>
      </c>
      <c r="B136" s="11">
        <f>'Activity data'!AD9-'Net zero supporting data'!B126</f>
        <v>5327272.250660954</v>
      </c>
      <c r="C136" s="11">
        <f>'Activity data'!AE9-'Net zero supporting data'!C126</f>
        <v>5291960.7574283015</v>
      </c>
      <c r="D136" s="11">
        <f>'Activity data'!AF9-'Net zero supporting data'!D126</f>
        <v>5217508.8402623869</v>
      </c>
      <c r="E136" s="11">
        <f>'Activity data'!AG9-'Net zero supporting data'!E126</f>
        <v>5092009.8163202135</v>
      </c>
      <c r="F136" s="11">
        <f>'Activity data'!AH9-'Net zero supporting data'!F126</f>
        <v>4970247.619255105</v>
      </c>
      <c r="G136" s="11">
        <f>'Activity data'!AI9-'Net zero supporting data'!G126</f>
        <v>4876595.3997055674</v>
      </c>
      <c r="H136" s="11">
        <f>'Activity data'!AJ9-'Net zero supporting data'!H126</f>
        <v>4791886.2461165683</v>
      </c>
      <c r="I136" s="11">
        <f>'Activity data'!AK9-'Net zero supporting data'!I126</f>
        <v>4658701.6930525973</v>
      </c>
      <c r="J136" s="11">
        <f>'Activity data'!AL9-'Net zero supporting data'!J126</f>
        <v>4085963.7659796765</v>
      </c>
      <c r="K136" s="11">
        <f>'Activity data'!AM9-'Net zero supporting data'!K126</f>
        <v>3879394.9354000641</v>
      </c>
      <c r="L136" s="11">
        <f>'Activity data'!AN9-'Net zero supporting data'!L126</f>
        <v>3661081.9578383816</v>
      </c>
      <c r="M136" s="11">
        <f>'Activity data'!AO9-'Net zero supporting data'!M126</f>
        <v>3442986.3834619978</v>
      </c>
      <c r="N136" s="11">
        <f>'Activity data'!AP9-'Net zero supporting data'!N126</f>
        <v>3238783.8679491049</v>
      </c>
      <c r="O136" s="11">
        <f>'Activity data'!AQ9-'Net zero supporting data'!O126</f>
        <v>3032906.1278139912</v>
      </c>
      <c r="P136" s="11">
        <f>'Activity data'!AR9-'Net zero supporting data'!P126</f>
        <v>2827952.127564149</v>
      </c>
      <c r="Q136" s="11">
        <f>'Activity data'!AS9-'Net zero supporting data'!Q126</f>
        <v>2619141.3349932926</v>
      </c>
      <c r="R136" s="11">
        <f>'Activity data'!AT9-'Net zero supporting data'!R126</f>
        <v>2413360.5747821652</v>
      </c>
      <c r="S136" s="11">
        <f>'Activity data'!AU9-'Net zero supporting data'!S126</f>
        <v>2202746.5988754933</v>
      </c>
      <c r="T136" s="11">
        <f>'Activity data'!AV9-'Net zero supporting data'!T126</f>
        <v>1993369.9148975066</v>
      </c>
      <c r="U136" s="11">
        <f>'Activity data'!AW9-'Net zero supporting data'!U126</f>
        <v>2004504.6986982687</v>
      </c>
      <c r="V136" s="11">
        <f>'Activity data'!AX9-'Net zero supporting data'!V126</f>
        <v>2018320.1477909647</v>
      </c>
      <c r="W136" s="11">
        <f>'Activity data'!AY9-'Net zero supporting data'!W126</f>
        <v>2032136.9164018827</v>
      </c>
      <c r="X136" s="11">
        <f>'Activity data'!AZ9-'Net zero supporting data'!X126</f>
        <v>1993011.2726854393</v>
      </c>
      <c r="Y136" s="11">
        <f>'Activity data'!BA9-'Net zero supporting data'!Y126</f>
        <v>-471060.70886552543</v>
      </c>
      <c r="Z136" s="11">
        <f>'Activity data'!BB9-'Net zero supporting data'!Z126</f>
        <v>-461048.92188885249</v>
      </c>
      <c r="AA136" s="11">
        <f>'Activity data'!BC9-'Net zero supporting data'!AA126</f>
        <v>-451168.13287981122</v>
      </c>
      <c r="AB136" s="11">
        <f>'Activity data'!BD9-'Net zero supporting data'!AB126</f>
        <v>-441410.22310518718</v>
      </c>
      <c r="AC136" s="11">
        <f>'Activity data'!BE9-'Net zero supporting data'!AC126</f>
        <v>-431767.63565729017</v>
      </c>
      <c r="AD136" s="11">
        <f>'Activity data'!BF9-'Net zero supporting data'!AD126</f>
        <v>-422233.32282474788</v>
      </c>
      <c r="AE136" s="11">
        <f>'Activity data'!BG9-'Net zero supporting data'!AE126</f>
        <v>-414627.33165730588</v>
      </c>
      <c r="AF136" s="11">
        <f>'Activity data'!BH9-'Net zero supporting data'!AF126</f>
        <v>-407115.86174971884</v>
      </c>
      <c r="AG136" s="11">
        <f>'Activity data'!BI9-'Net zero supporting data'!AG126</f>
        <v>-399693.86695536081</v>
      </c>
      <c r="AH136" s="11">
        <f>'Activity data'!BJ9-'Net zero supporting data'!AH126</f>
        <v>-392356.61701145256</v>
      </c>
      <c r="AI136" s="11">
        <f>'Activity data'!BK9-'Net zero supporting data'!AI126</f>
        <v>-385099.67105367483</v>
      </c>
      <c r="AJ136" s="11">
        <f>'Activity data'!BL9-'Net zero supporting data'!AJ126</f>
        <v>-377662.00764548359</v>
      </c>
      <c r="AK136" s="11">
        <f>'Activity data'!BM9-'Net zero supporting data'!AK126</f>
        <v>-370305.29175566247</v>
      </c>
      <c r="AL136" s="11">
        <f>'Activity data'!BN9-'Net zero supporting data'!AL126</f>
        <v>-363025.73395815701</v>
      </c>
      <c r="AM136" s="11">
        <f>'Activity data'!BO9-'Net zero supporting data'!AM126</f>
        <v>-355819.76066708629</v>
      </c>
      <c r="AN136" s="11">
        <f>'Activity data'!BP9-'Net zero supporting data'!AN126</f>
        <v>-348683.99781628686</v>
      </c>
    </row>
    <row r="137" spans="1:40" x14ac:dyDescent="0.25">
      <c r="A137" t="s">
        <v>1104</v>
      </c>
      <c r="B137" s="11">
        <f>'Activity data'!AD10-'Net zero supporting data'!B127</f>
        <v>544425.44678784802</v>
      </c>
      <c r="C137" s="11">
        <f>'Activity data'!AE10-'Net zero supporting data'!C127</f>
        <v>563815.25409722852</v>
      </c>
      <c r="D137" s="11">
        <f>'Activity data'!AF10-'Net zero supporting data'!D127</f>
        <v>579205.48050671967</v>
      </c>
      <c r="E137" s="11">
        <f>'Activity data'!AG10-'Net zero supporting data'!E127</f>
        <v>588722.95646496292</v>
      </c>
      <c r="F137" s="11">
        <f>'Activity data'!AH10-'Net zero supporting data'!F127</f>
        <v>598260.30078749277</v>
      </c>
      <c r="G137" s="11">
        <f>'Activity data'!AI10-'Net zero supporting data'!G127</f>
        <v>610925.73677676241</v>
      </c>
      <c r="H137" s="11">
        <f>'Activity data'!AJ10-'Net zero supporting data'!H127</f>
        <v>624646.75853090361</v>
      </c>
      <c r="I137" s="11">
        <f>'Activity data'!AK10-'Net zero supporting data'!I127</f>
        <v>631787.34034937981</v>
      </c>
      <c r="J137" s="11">
        <f>'Activity data'!AL10-'Net zero supporting data'!J127</f>
        <v>576398.87297452381</v>
      </c>
      <c r="K137" s="11">
        <f>'Activity data'!AM10-'Net zero supporting data'!K127</f>
        <v>545017.06238074915</v>
      </c>
      <c r="L137" s="11">
        <f>'Activity data'!AN10-'Net zero supporting data'!L127</f>
        <v>508829.39030452922</v>
      </c>
      <c r="M137" s="11">
        <f>'Activity data'!AO10-'Net zero supporting data'!M127</f>
        <v>469417.74108605616</v>
      </c>
      <c r="N137" s="11">
        <f>'Activity data'!AP10-'Net zero supporting data'!N127</f>
        <v>428485.48032979993</v>
      </c>
      <c r="O137" s="11">
        <f>'Activity data'!AQ10-'Net zero supporting data'!O127</f>
        <v>383722.82353473589</v>
      </c>
      <c r="P137" s="11">
        <f>'Activity data'!AR10-'Net zero supporting data'!P127</f>
        <v>335298.44491394085</v>
      </c>
      <c r="Q137" s="11">
        <f>'Activity data'!AS10-'Net zero supporting data'!Q127</f>
        <v>282488.0159536415</v>
      </c>
      <c r="R137" s="11">
        <f>'Activity data'!AT10-'Net zero supporting data'!R127</f>
        <v>225902.77192827832</v>
      </c>
      <c r="S137" s="11">
        <f>'Activity data'!AU10-'Net zero supporting data'!S127</f>
        <v>164626.03938224306</v>
      </c>
      <c r="T137" s="11">
        <f>'Activity data'!AV10-'Net zero supporting data'!T127</f>
        <v>99119.420664416393</v>
      </c>
      <c r="U137" s="11">
        <f>'Activity data'!AW10-'Net zero supporting data'!U127</f>
        <v>103502.86555165669</v>
      </c>
      <c r="V137" s="11">
        <f>'Activity data'!AX10-'Net zero supporting data'!V127</f>
        <v>108220.52873975271</v>
      </c>
      <c r="W137" s="11">
        <f>'Activity data'!AY10-'Net zero supporting data'!W127</f>
        <v>113150.40348040813</v>
      </c>
      <c r="X137" s="11">
        <f>'Activity data'!AZ10-'Net zero supporting data'!X127</f>
        <v>115243.10313725274</v>
      </c>
      <c r="Y137" s="11">
        <f>'Activity data'!BA10-'Net zero supporting data'!Y127</f>
        <v>-28288.622604886012</v>
      </c>
      <c r="Z137" s="11">
        <f>'Activity data'!BB10-'Net zero supporting data'!Z127</f>
        <v>-28757.326279727509</v>
      </c>
      <c r="AA137" s="11">
        <f>'Activity data'!BC10-'Net zero supporting data'!AA127</f>
        <v>-29231.594521933293</v>
      </c>
      <c r="AB137" s="11">
        <f>'Activity data'!BD10-'Net zero supporting data'!AB127</f>
        <v>-29711.483723953803</v>
      </c>
      <c r="AC137" s="11">
        <f>'Activity data'!BE10-'Net zero supporting data'!AC127</f>
        <v>-30197.050897849869</v>
      </c>
      <c r="AD137" s="11">
        <f>'Activity data'!BF10-'Net zero supporting data'!AD127</f>
        <v>-30688.35368117466</v>
      </c>
      <c r="AE137" s="11">
        <f>'Activity data'!BG10-'Net zero supporting data'!AE127</f>
        <v>-31125.681131378224</v>
      </c>
      <c r="AF137" s="11">
        <f>'Activity data'!BH10-'Net zero supporting data'!AF127</f>
        <v>-31567.279144339875</v>
      </c>
      <c r="AG137" s="11">
        <f>'Activity data'!BI10-'Net zero supporting data'!AG127</f>
        <v>-32013.184118750883</v>
      </c>
      <c r="AH137" s="11">
        <f>'Activity data'!BJ10-'Net zero supporting data'!AH127</f>
        <v>-32463.432788229344</v>
      </c>
      <c r="AI137" s="11">
        <f>'Activity data'!BK10-'Net zero supporting data'!AI127</f>
        <v>-32918.062223963323</v>
      </c>
      <c r="AJ137" s="11">
        <f>'Activity data'!BL10-'Net zero supporting data'!AJ127</f>
        <v>-33354.425644992909</v>
      </c>
      <c r="AK137" s="11">
        <f>'Activity data'!BM10-'Net zero supporting data'!AK127</f>
        <v>-33794.531672771991</v>
      </c>
      <c r="AL137" s="11">
        <f>'Activity data'!BN10-'Net zero supporting data'!AL127</f>
        <v>-34238.40618618243</v>
      </c>
      <c r="AM137" s="11">
        <f>'Activity data'!BO10-'Net zero supporting data'!AM127</f>
        <v>-34686.075265648076</v>
      </c>
      <c r="AN137" s="11">
        <f>'Activity data'!BP10-'Net zero supporting data'!AN127</f>
        <v>-35137.565194412833</v>
      </c>
    </row>
    <row r="138" spans="1:40" x14ac:dyDescent="0.25">
      <c r="A138" t="s">
        <v>1105</v>
      </c>
      <c r="B138" s="11">
        <f>'Activity data'!AD11-'Net zero supporting data'!B128</f>
        <v>19018327.680967014</v>
      </c>
      <c r="C138" s="11">
        <f>'Activity data'!AE11-'Net zero supporting data'!C128</f>
        <v>19028713.427086703</v>
      </c>
      <c r="D138" s="11">
        <f>'Activity data'!AF11-'Net zero supporting data'!D128</f>
        <v>19051969.107683893</v>
      </c>
      <c r="E138" s="11">
        <f>'Activity data'!AG11-'Net zero supporting data'!E128</f>
        <v>19086973.789225459</v>
      </c>
      <c r="F138" s="11">
        <f>'Activity data'!AH11-'Net zero supporting data'!F128</f>
        <v>19134195.806752253</v>
      </c>
      <c r="G138" s="11">
        <f>'Activity data'!AI11-'Net zero supporting data'!G128</f>
        <v>19193685.267400872</v>
      </c>
      <c r="H138" s="11">
        <f>'Activity data'!AJ11-'Net zero supporting data'!H128</f>
        <v>19259954.114958268</v>
      </c>
      <c r="I138" s="11">
        <f>'Activity data'!AK11-'Net zero supporting data'!I128</f>
        <v>19331774.464016877</v>
      </c>
      <c r="J138" s="11">
        <f>'Activity data'!AL11-'Net zero supporting data'!J128</f>
        <v>19399264.907008924</v>
      </c>
      <c r="K138" s="11">
        <f>'Activity data'!AM11-'Net zero supporting data'!K128</f>
        <v>18261809.553637221</v>
      </c>
      <c r="L138" s="11">
        <f>'Activity data'!AN11-'Net zero supporting data'!L128</f>
        <v>17124949.967466213</v>
      </c>
      <c r="M138" s="11">
        <f>'Activity data'!AO11-'Net zero supporting data'!M128</f>
        <v>15987866.799679255</v>
      </c>
      <c r="N138" s="11">
        <f>'Activity data'!AP11-'Net zero supporting data'!N128</f>
        <v>14849894.000412956</v>
      </c>
      <c r="O138" s="11">
        <f>'Activity data'!AQ11-'Net zero supporting data'!O128</f>
        <v>13709713.605687372</v>
      </c>
      <c r="P138" s="11">
        <f>'Activity data'!AR11-'Net zero supporting data'!P128</f>
        <v>12552706.413059138</v>
      </c>
      <c r="Q138" s="11">
        <f>'Activity data'!AS11-'Net zero supporting data'!Q128</f>
        <v>11394224.069302619</v>
      </c>
      <c r="R138" s="11">
        <f>'Activity data'!AT11-'Net zero supporting data'!R128</f>
        <v>10233730.150289925</v>
      </c>
      <c r="S138" s="11">
        <f>'Activity data'!AU11-'Net zero supporting data'!S128</f>
        <v>9070360.3098103162</v>
      </c>
      <c r="T138" s="11">
        <f>'Activity data'!AV11-'Net zero supporting data'!T128</f>
        <v>7903648.9627893511</v>
      </c>
      <c r="U138" s="11">
        <f>'Activity data'!AW11-'Net zero supporting data'!U128</f>
        <v>7914431.6480655875</v>
      </c>
      <c r="V138" s="11">
        <f>'Activity data'!AX11-'Net zero supporting data'!V128</f>
        <v>7926348.5055366736</v>
      </c>
      <c r="W138" s="11">
        <f>'Activity data'!AY11-'Net zero supporting data'!W128</f>
        <v>7939292.3609532304</v>
      </c>
      <c r="X138" s="11">
        <f>'Activity data'!AZ11-'Net zero supporting data'!X128</f>
        <v>7951797.7761522736</v>
      </c>
      <c r="Y138" s="11">
        <f>'Activity data'!BA11-'Net zero supporting data'!Y128</f>
        <v>7898333.3817389961</v>
      </c>
      <c r="Z138" s="11">
        <f>'Activity data'!BB11-'Net zero supporting data'!Z128</f>
        <v>7905926.1711015962</v>
      </c>
      <c r="AA138" s="11">
        <f>'Activity data'!BC11-'Net zero supporting data'!AA128</f>
        <v>7914304.8517732229</v>
      </c>
      <c r="AB138" s="11">
        <f>'Activity data'!BD11-'Net zero supporting data'!AB128</f>
        <v>7923439.7334395871</v>
      </c>
      <c r="AC138" s="11">
        <f>'Activity data'!BE11-'Net zero supporting data'!AC128</f>
        <v>7933303.4206628688</v>
      </c>
      <c r="AD138" s="11">
        <f>'Activity data'!BF11-'Net zero supporting data'!AD128</f>
        <v>7943870.5951153245</v>
      </c>
      <c r="AE138" s="11">
        <f>'Activity data'!BG11-'Net zero supporting data'!AE128</f>
        <v>7948998.8544606306</v>
      </c>
      <c r="AF138" s="11">
        <f>'Activity data'!BH11-'Net zero supporting data'!AF128</f>
        <v>7954746.9308505338</v>
      </c>
      <c r="AG138" s="11">
        <f>'Activity data'!BI11-'Net zero supporting data'!AG128</f>
        <v>7961093.2531904858</v>
      </c>
      <c r="AH138" s="11">
        <f>'Activity data'!BJ11-'Net zero supporting data'!AH128</f>
        <v>7968017.7267912049</v>
      </c>
      <c r="AI138" s="11">
        <f>'Activity data'!BK11-'Net zero supporting data'!AI128</f>
        <v>7975501.6079408396</v>
      </c>
      <c r="AJ138" s="11">
        <f>'Activity data'!BL11-'Net zero supporting data'!AJ128</f>
        <v>7977347.7903848905</v>
      </c>
      <c r="AK138" s="11">
        <f>'Activity data'!BM11-'Net zero supporting data'!AK128</f>
        <v>7979690.4467728566</v>
      </c>
      <c r="AL138" s="11">
        <f>'Activity data'!BN11-'Net zero supporting data'!AL128</f>
        <v>7982513.1338970214</v>
      </c>
      <c r="AM138" s="11">
        <f>'Activity data'!BO11-'Net zero supporting data'!AM128</f>
        <v>7985800.4126434326</v>
      </c>
      <c r="AN138" s="11">
        <f>'Activity data'!BP11-'Net zero supporting data'!AN128</f>
        <v>7989537.7707754709</v>
      </c>
    </row>
    <row r="139" spans="1:40" x14ac:dyDescent="0.25">
      <c r="A139" t="s">
        <v>1106</v>
      </c>
      <c r="B139" s="11">
        <f>'Activity data'!AD12-'Net zero supporting data'!B129</f>
        <v>2841819.0787651865</v>
      </c>
      <c r="C139" s="11">
        <f>'Activity data'!AE12-'Net zero supporting data'!C129</f>
        <v>2843370.9718635306</v>
      </c>
      <c r="D139" s="11">
        <f>'Activity data'!AF12-'Net zero supporting data'!D129</f>
        <v>2846845.9586194325</v>
      </c>
      <c r="E139" s="11">
        <f>'Activity data'!AG12-'Net zero supporting data'!E129</f>
        <v>2852076.5432175971</v>
      </c>
      <c r="F139" s="11">
        <f>'Activity data'!AH12-'Net zero supporting data'!F129</f>
        <v>2859132.7067560842</v>
      </c>
      <c r="G139" s="11">
        <f>'Activity data'!AI12-'Net zero supporting data'!G129</f>
        <v>2868021.9365081764</v>
      </c>
      <c r="H139" s="11">
        <f>'Activity data'!AJ12-'Net zero supporting data'!H129</f>
        <v>2877924.1780972127</v>
      </c>
      <c r="I139" s="11">
        <f>'Activity data'!AK12-'Net zero supporting data'!I129</f>
        <v>2888655.9543933268</v>
      </c>
      <c r="J139" s="11">
        <f>'Activity data'!AL12-'Net zero supporting data'!J129</f>
        <v>2898740.733231219</v>
      </c>
      <c r="K139" s="11">
        <f>'Activity data'!AM12-'Net zero supporting data'!K129</f>
        <v>2786835.2070114031</v>
      </c>
      <c r="L139" s="11">
        <f>'Activity data'!AN12-'Net zero supporting data'!L129</f>
        <v>2675214.2321172403</v>
      </c>
      <c r="M139" s="11">
        <f>'Activity data'!AO12-'Net zero supporting data'!M129</f>
        <v>2563795.8534949631</v>
      </c>
      <c r="N139" s="11">
        <f>'Activity data'!AP12-'Net zero supporting data'!N129</f>
        <v>2452523.3285618494</v>
      </c>
      <c r="O139" s="11">
        <f>'Activity data'!AQ12-'Net zero supporting data'!O129</f>
        <v>2341231.8801173838</v>
      </c>
      <c r="P139" s="11">
        <f>'Activity data'!AR12-'Net zero supporting data'!P129</f>
        <v>2227383.9684092002</v>
      </c>
      <c r="Q139" s="11">
        <f>'Activity data'!AS12-'Net zero supporting data'!Q129</f>
        <v>2113554.0485270014</v>
      </c>
      <c r="R139" s="11">
        <f>'Activity data'!AT12-'Net zero supporting data'!R129</f>
        <v>1999694.3971830886</v>
      </c>
      <c r="S139" s="11">
        <f>'Activity data'!AU12-'Net zero supporting data'!S129</f>
        <v>1885692.0983913504</v>
      </c>
      <c r="T139" s="11">
        <f>'Activity data'!AV12-'Net zero supporting data'!T129</f>
        <v>1771507.5261424407</v>
      </c>
      <c r="U139" s="11">
        <f>'Activity data'!AW12-'Net zero supporting data'!U129</f>
        <v>1773924.3349112521</v>
      </c>
      <c r="V139" s="11">
        <f>'Activity data'!AX12-'Net zero supporting data'!V129</f>
        <v>1776595.3546892547</v>
      </c>
      <c r="W139" s="11">
        <f>'Activity data'!AY12-'Net zero supporting data'!W129</f>
        <v>1779496.5636619308</v>
      </c>
      <c r="X139" s="11">
        <f>'Activity data'!AZ12-'Net zero supporting data'!X129</f>
        <v>1782299.5015513718</v>
      </c>
      <c r="Y139" s="11">
        <f>'Activity data'!BA12-'Net zero supporting data'!Y129</f>
        <v>1770316.1028035684</v>
      </c>
      <c r="Z139" s="11">
        <f>'Activity data'!BB12-'Net zero supporting data'!Z129</f>
        <v>1772017.9349020817</v>
      </c>
      <c r="AA139" s="11">
        <f>'Activity data'!BC12-'Net zero supporting data'!AA129</f>
        <v>1773895.9150526188</v>
      </c>
      <c r="AB139" s="11">
        <f>'Activity data'!BD12-'Net zero supporting data'!AB129</f>
        <v>1775943.3885295626</v>
      </c>
      <c r="AC139" s="11">
        <f>'Activity data'!BE12-'Net zero supporting data'!AC129</f>
        <v>1778154.2149761601</v>
      </c>
      <c r="AD139" s="11">
        <f>'Activity data'!BF12-'Net zero supporting data'!AD129</f>
        <v>1780522.7195948143</v>
      </c>
      <c r="AE139" s="11">
        <f>'Activity data'!BG12-'Net zero supporting data'!AE129</f>
        <v>1781672.1570342793</v>
      </c>
      <c r="AF139" s="11">
        <f>'Activity data'!BH12-'Net zero supporting data'!AF129</f>
        <v>1782960.5189837401</v>
      </c>
      <c r="AG139" s="11">
        <f>'Activity data'!BI12-'Net zero supporting data'!AG129</f>
        <v>1784382.9705426947</v>
      </c>
      <c r="AH139" s="11">
        <f>'Activity data'!BJ12-'Net zero supporting data'!AH129</f>
        <v>1785935.0077290633</v>
      </c>
      <c r="AI139" s="11">
        <f>'Activity data'!BK12-'Net zero supporting data'!AI129</f>
        <v>1787612.4293660501</v>
      </c>
      <c r="AJ139" s="11">
        <f>'Activity data'!BL12-'Net zero supporting data'!AJ129</f>
        <v>1788026.2288793719</v>
      </c>
      <c r="AK139" s="11">
        <f>'Activity data'!BM12-'Net zero supporting data'!AK129</f>
        <v>1788551.3070352951</v>
      </c>
      <c r="AL139" s="11">
        <f>'Activity data'!BN12-'Net zero supporting data'!AL129</f>
        <v>1789183.9782872635</v>
      </c>
      <c r="AM139" s="11">
        <f>'Activity data'!BO12-'Net zero supporting data'!AM129</f>
        <v>1789920.7821442178</v>
      </c>
      <c r="AN139" s="11">
        <f>'Activity data'!BP12-'Net zero supporting data'!AN129</f>
        <v>1790758.4658634674</v>
      </c>
    </row>
    <row r="140" spans="1:40" x14ac:dyDescent="0.25">
      <c r="A140" t="s">
        <v>1107</v>
      </c>
      <c r="B140" s="11">
        <f>'Activity data'!AD13-'Net zero supporting data'!B130</f>
        <v>2068020.3711862336</v>
      </c>
      <c r="C140" s="11">
        <f>'Activity data'!AE13-'Net zero supporting data'!C130</f>
        <v>2073414.2581746883</v>
      </c>
      <c r="D140" s="11">
        <f>'Activity data'!AF13-'Net zero supporting data'!D130</f>
        <v>2080602.090384315</v>
      </c>
      <c r="E140" s="11">
        <f>'Activity data'!AG13-'Net zero supporting data'!E130</f>
        <v>2089424.0681822612</v>
      </c>
      <c r="F140" s="11">
        <f>'Activity data'!AH13-'Net zero supporting data'!F130</f>
        <v>2099986.2027782789</v>
      </c>
      <c r="G140" s="11">
        <f>'Activity data'!AI13-'Net zero supporting data'!G130</f>
        <v>2112316.6013010871</v>
      </c>
      <c r="H140" s="11">
        <f>'Activity data'!AJ13-'Net zero supporting data'!H130</f>
        <v>2125500.0705008977</v>
      </c>
      <c r="I140" s="11">
        <f>'Activity data'!AK13-'Net zero supporting data'!I130</f>
        <v>2139348.0975761078</v>
      </c>
      <c r="J140" s="11">
        <f>'Activity data'!AL13-'Net zero supporting data'!J130</f>
        <v>2152212.3064880767</v>
      </c>
      <c r="K140" s="11">
        <f>'Activity data'!AM13-'Net zero supporting data'!K130</f>
        <v>2158240.8667125739</v>
      </c>
      <c r="L140" s="11">
        <f>'Activity data'!AN13-'Net zero supporting data'!L130</f>
        <v>2164851.5171703934</v>
      </c>
      <c r="M140" s="11">
        <f>'Activity data'!AO13-'Net zero supporting data'!M130</f>
        <v>2172052.6469438924</v>
      </c>
      <c r="N140" s="11">
        <f>'Activity data'!AP13-'Net zero supporting data'!N130</f>
        <v>2179884.4421844943</v>
      </c>
      <c r="O140" s="11">
        <f>'Activity data'!AQ13-'Net zero supporting data'!O130</f>
        <v>2188241.4567813184</v>
      </c>
      <c r="P140" s="11">
        <f>'Activity data'!AR13-'Net zero supporting data'!P130</f>
        <v>2193523.8841429623</v>
      </c>
      <c r="Q140" s="11">
        <f>'Activity data'!AS13-'Net zero supporting data'!Q130</f>
        <v>2199239.2019303897</v>
      </c>
      <c r="R140" s="11">
        <f>'Activity data'!AT13-'Net zero supporting data'!R130</f>
        <v>2205411.0547837582</v>
      </c>
      <c r="S140" s="11">
        <f>'Activity data'!AU13-'Net zero supporting data'!S130</f>
        <v>2211954.4747049208</v>
      </c>
      <c r="T140" s="11">
        <f>'Activity data'!AV13-'Net zero supporting data'!T130</f>
        <v>2218895.6360947033</v>
      </c>
      <c r="U140" s="11">
        <f>'Activity data'!AW13-'Net zero supporting data'!U130</f>
        <v>2134503.9704780839</v>
      </c>
      <c r="V140" s="11">
        <f>'Activity data'!AX13-'Net zero supporting data'!V130</f>
        <v>2050102.0608753541</v>
      </c>
      <c r="W140" s="11">
        <f>'Activity data'!AY13-'Net zero supporting data'!W130</f>
        <v>1965607.1292874035</v>
      </c>
      <c r="X140" s="11">
        <f>'Activity data'!AZ13-'Net zero supporting data'!X130</f>
        <v>1880477.1439860051</v>
      </c>
      <c r="Y140" s="11">
        <f>'Activity data'!BA13-'Net zero supporting data'!Y130</f>
        <v>1773379.0632270691</v>
      </c>
      <c r="Z140" s="11">
        <f>'Activity data'!BB13-'Net zero supporting data'!Z130</f>
        <v>1686941.0921576889</v>
      </c>
      <c r="AA140" s="11">
        <f>'Activity data'!BC13-'Net zero supporting data'!AA130</f>
        <v>1600457.7935002204</v>
      </c>
      <c r="AB140" s="11">
        <f>'Activity data'!BD13-'Net zero supporting data'!AB130</f>
        <v>1513890.3131206469</v>
      </c>
      <c r="AC140" s="11">
        <f>'Activity data'!BE13-'Net zero supporting data'!AC130</f>
        <v>1427202.0378021486</v>
      </c>
      <c r="AD140" s="11">
        <f>'Activity data'!BF13-'Net zero supporting data'!AD130</f>
        <v>1340358.3817894389</v>
      </c>
      <c r="AE140" s="11">
        <f>'Activity data'!BG13-'Net zero supporting data'!AE130</f>
        <v>1341369.8933701222</v>
      </c>
      <c r="AF140" s="11">
        <f>'Activity data'!BH13-'Net zero supporting data'!AF130</f>
        <v>1342507.644596383</v>
      </c>
      <c r="AG140" s="11">
        <f>'Activity data'!BI13-'Net zero supporting data'!AG130</f>
        <v>1343766.8762396751</v>
      </c>
      <c r="AH140" s="11">
        <f>'Activity data'!BJ13-'Net zero supporting data'!AH130</f>
        <v>1345143.1555657245</v>
      </c>
      <c r="AI140" s="11">
        <f>'Activity data'!BK13-'Net zero supporting data'!AI130</f>
        <v>1346632.3483628226</v>
      </c>
      <c r="AJ140" s="11">
        <f>'Activity data'!BL13-'Net zero supporting data'!AJ130</f>
        <v>1346748.5350976442</v>
      </c>
      <c r="AK140" s="11">
        <f>'Activity data'!BM13-'Net zero supporting data'!AK130</f>
        <v>1346968.0504318136</v>
      </c>
      <c r="AL140" s="11">
        <f>'Activity data'!BN13-'Net zero supporting data'!AL130</f>
        <v>1347287.1835184358</v>
      </c>
      <c r="AM140" s="11">
        <f>'Activity data'!BO13-'Net zero supporting data'!AM130</f>
        <v>1347702.4506472058</v>
      </c>
      <c r="AN140" s="11">
        <f>'Activity data'!BP13-'Net zero supporting data'!AN130</f>
        <v>1348210.5776476169</v>
      </c>
    </row>
    <row r="141" spans="1:40" x14ac:dyDescent="0.25">
      <c r="A141" t="s">
        <v>1108</v>
      </c>
      <c r="B141" s="11">
        <f>'Activity data'!AD14-'Net zero supporting data'!B131</f>
        <v>4014392.4852438644</v>
      </c>
      <c r="C141" s="11">
        <f>'Activity data'!AE14-'Net zero supporting data'!C131</f>
        <v>4024862.9717508648</v>
      </c>
      <c r="D141" s="11">
        <f>'Activity data'!AF14-'Net zero supporting data'!D131</f>
        <v>4038815.8225107281</v>
      </c>
      <c r="E141" s="11">
        <f>'Activity data'!AG14-'Net zero supporting data'!E131</f>
        <v>4055940.8382361531</v>
      </c>
      <c r="F141" s="11">
        <f>'Activity data'!AH14-'Net zero supporting data'!F131</f>
        <v>4076443.8053931287</v>
      </c>
      <c r="G141" s="11">
        <f>'Activity data'!AI14-'Net zero supporting data'!G131</f>
        <v>4100379.2848785804</v>
      </c>
      <c r="H141" s="11">
        <f>'Activity data'!AJ14-'Net zero supporting data'!H131</f>
        <v>4125970.725089977</v>
      </c>
      <c r="I141" s="11">
        <f>'Activity data'!AK14-'Net zero supporting data'!I131</f>
        <v>4152852.1894124444</v>
      </c>
      <c r="J141" s="11">
        <f>'Activity data'!AL14-'Net zero supporting data'!J131</f>
        <v>4177823.8890650896</v>
      </c>
      <c r="K141" s="11">
        <f>'Activity data'!AM14-'Net zero supporting data'!K131</f>
        <v>4189526.3883244074</v>
      </c>
      <c r="L141" s="11">
        <f>'Activity data'!AN14-'Net zero supporting data'!L131</f>
        <v>4202358.82744841</v>
      </c>
      <c r="M141" s="11">
        <f>'Activity data'!AO14-'Net zero supporting data'!M131</f>
        <v>4216337.491126379</v>
      </c>
      <c r="N141" s="11">
        <f>'Activity data'!AP14-'Net zero supporting data'!N131</f>
        <v>4231540.3877698993</v>
      </c>
      <c r="O141" s="11">
        <f>'Activity data'!AQ14-'Net zero supporting data'!O131</f>
        <v>4247762.8278696174</v>
      </c>
      <c r="P141" s="11">
        <f>'Activity data'!AR14-'Net zero supporting data'!P131</f>
        <v>4258016.9515716322</v>
      </c>
      <c r="Q141" s="11">
        <f>'Activity data'!AS14-'Net zero supporting data'!Q131</f>
        <v>4269111.3919825209</v>
      </c>
      <c r="R141" s="11">
        <f>'Activity data'!AT14-'Net zero supporting data'!R131</f>
        <v>4281092.0475214124</v>
      </c>
      <c r="S141" s="11">
        <f>'Activity data'!AU14-'Net zero supporting data'!S131</f>
        <v>4293793.9803095507</v>
      </c>
      <c r="T141" s="11">
        <f>'Activity data'!AV14-'Net zero supporting data'!T131</f>
        <v>4307267.9994779527</v>
      </c>
      <c r="U141" s="11">
        <f>'Activity data'!AW14-'Net zero supporting data'!U131</f>
        <v>4229770.7356164958</v>
      </c>
      <c r="V141" s="11">
        <f>'Activity data'!AX14-'Net zero supporting data'!V131</f>
        <v>4152636.3995224554</v>
      </c>
      <c r="W141" s="11">
        <f>'Activity data'!AY14-'Net zero supporting data'!W131</f>
        <v>4075744.1945518209</v>
      </c>
      <c r="X141" s="11">
        <f>'Activity data'!AZ14-'Net zero supporting data'!X131</f>
        <v>3997989.2220878927</v>
      </c>
      <c r="Y141" s="11">
        <f>'Activity data'!BA14-'Net zero supporting data'!Y131</f>
        <v>3872746.9248414654</v>
      </c>
      <c r="Z141" s="11">
        <f>'Activity data'!BB14-'Net zero supporting data'!Z131</f>
        <v>3791700.4114751755</v>
      </c>
      <c r="AA141" s="11">
        <f>'Activity data'!BC14-'Net zero supporting data'!AA131</f>
        <v>3710865.3741451185</v>
      </c>
      <c r="AB141" s="11">
        <f>'Activity data'!BD14-'Net zero supporting data'!AB131</f>
        <v>3630193.7266180213</v>
      </c>
      <c r="AC141" s="11">
        <f>'Activity data'!BE14-'Net zero supporting data'!AC131</f>
        <v>3549640.3624012987</v>
      </c>
      <c r="AD141" s="11">
        <f>'Activity data'!BF14-'Net zero supporting data'!AD131</f>
        <v>3469162.8705138406</v>
      </c>
      <c r="AE141" s="11">
        <f>'Activity data'!BG14-'Net zero supporting data'!AE131</f>
        <v>3471780.9004873745</v>
      </c>
      <c r="AF141" s="11">
        <f>'Activity data'!BH14-'Net zero supporting data'!AF131</f>
        <v>3474725.6683671079</v>
      </c>
      <c r="AG141" s="11">
        <f>'Activity data'!BI14-'Net zero supporting data'!AG131</f>
        <v>3477984.856149747</v>
      </c>
      <c r="AH141" s="11">
        <f>'Activity data'!BJ14-'Net zero supporting data'!AH131</f>
        <v>3481546.990875992</v>
      </c>
      <c r="AI141" s="11">
        <f>'Activity data'!BK14-'Net zero supporting data'!AI131</f>
        <v>3485401.3722331873</v>
      </c>
      <c r="AJ141" s="11">
        <f>'Activity data'!BL14-'Net zero supporting data'!AJ131</f>
        <v>3485702.0908409609</v>
      </c>
      <c r="AK141" s="11">
        <f>'Activity data'!BM14-'Net zero supporting data'!AK131</f>
        <v>3486270.2481764578</v>
      </c>
      <c r="AL141" s="11">
        <f>'Activity data'!BN14-'Net zero supporting data'!AL131</f>
        <v>3487096.2396947751</v>
      </c>
      <c r="AM141" s="11">
        <f>'Activity data'!BO14-'Net zero supporting data'!AM131</f>
        <v>3488171.0487339436</v>
      </c>
      <c r="AN141" s="11">
        <f>'Activity data'!BP14-'Net zero supporting data'!AN131</f>
        <v>3489486.2009703019</v>
      </c>
    </row>
    <row r="142" spans="1:40" x14ac:dyDescent="0.25">
      <c r="A142" t="s">
        <v>1089</v>
      </c>
      <c r="B142">
        <f>B102*EF!$N$4*0.001*365</f>
        <v>122.4391286182849</v>
      </c>
      <c r="C142">
        <f>C102*EF!$N$4*0.001*365</f>
        <v>122.4391286182849</v>
      </c>
      <c r="D142">
        <f>D102*EF!$N$4*0.001*365</f>
        <v>122.4391286182849</v>
      </c>
      <c r="E142">
        <f>E102*EF!$N$4*0.001*365</f>
        <v>122.4391286182849</v>
      </c>
      <c r="F142">
        <f>F102*EF!$N$4*0.001*365</f>
        <v>122.4391286182849</v>
      </c>
      <c r="G142">
        <f>G102*EF!$N$4*0.001*365</f>
        <v>122.4391286182849</v>
      </c>
      <c r="H142">
        <f>H102*EF!$N$4*0.001*365</f>
        <v>122.4391286182849</v>
      </c>
      <c r="I142">
        <f>I102*EF!$N$4*0.001*365</f>
        <v>122.4391286182849</v>
      </c>
      <c r="J142">
        <f>J102*EF!$N$4*0.001*365</f>
        <v>122.4391286182849</v>
      </c>
      <c r="K142">
        <f>K102*EF!$N$4*0.001*365</f>
        <v>120.60254168901061</v>
      </c>
      <c r="L142">
        <f>L102*EF!$N$4*0.001*365</f>
        <v>118.79350356367546</v>
      </c>
      <c r="M142">
        <f>M102*EF!$N$4*0.001*365</f>
        <v>117.01160101022033</v>
      </c>
      <c r="N142">
        <f>N102*EF!$N$4*0.001*365</f>
        <v>115.25642699506703</v>
      </c>
      <c r="O142">
        <f>O102*EF!$N$4*0.001*365</f>
        <v>113.52758059014101</v>
      </c>
      <c r="P142">
        <f>P102*EF!$N$4*0.001*365</f>
        <v>111.82466688128891</v>
      </c>
      <c r="Q142">
        <f>Q102*EF!$N$4*0.001*365</f>
        <v>110.1472968780696</v>
      </c>
      <c r="R142">
        <f>R102*EF!$N$4*0.001*365</f>
        <v>108.49508742489853</v>
      </c>
      <c r="S142">
        <f>S102*EF!$N$4*0.001*365</f>
        <v>106.86766111352507</v>
      </c>
      <c r="T142">
        <f>T102*EF!$N$4*0.001*365</f>
        <v>105.26464619682218</v>
      </c>
      <c r="U142">
        <f>U102*EF!$N$4*0.001*365</f>
        <v>104.475161350346</v>
      </c>
      <c r="V142">
        <f>V102*EF!$N$4*0.001*365</f>
        <v>103.6915976402184</v>
      </c>
      <c r="W142">
        <f>W102*EF!$N$4*0.001*365</f>
        <v>102.91391065791676</v>
      </c>
      <c r="X142">
        <f>X102*EF!$N$4*0.001*365</f>
        <v>102.14205632798239</v>
      </c>
      <c r="Y142">
        <f>Y102*EF!$N$4*0.001*365</f>
        <v>101.37599090552251</v>
      </c>
      <c r="Z142">
        <f>Z102*EF!$N$4*0.001*365</f>
        <v>100.61567097373111</v>
      </c>
      <c r="AA142">
        <f>AA102*EF!$N$4*0.001*365</f>
        <v>99.861053441428098</v>
      </c>
      <c r="AB142">
        <f>AB102*EF!$N$4*0.001*365</f>
        <v>99.112095540617403</v>
      </c>
      <c r="AC142">
        <f>AC102*EF!$N$4*0.001*365</f>
        <v>98.368754824062762</v>
      </c>
      <c r="AD142">
        <f>AD102*EF!$N$4*0.001*365</f>
        <v>97.630989162882287</v>
      </c>
      <c r="AE142">
        <f>AE102*EF!$N$4*0.001*365</f>
        <v>97.630989162882287</v>
      </c>
      <c r="AF142">
        <f>AF102*EF!$N$4*0.001*365</f>
        <v>97.630989162882287</v>
      </c>
      <c r="AG142">
        <f>AG102*EF!$N$4*0.001*365</f>
        <v>97.630989162882287</v>
      </c>
      <c r="AH142">
        <f>AH102*EF!$N$4*0.001*365</f>
        <v>97.630989162882287</v>
      </c>
      <c r="AI142">
        <f>AI102*EF!$N$4*0.001*365</f>
        <v>97.630989162882287</v>
      </c>
      <c r="AJ142">
        <f>AJ102*EF!$N$4*0.001*365</f>
        <v>97.630989162882287</v>
      </c>
      <c r="AK142">
        <f>AK102*EF!$N$4*0.001*365</f>
        <v>97.630989162882287</v>
      </c>
      <c r="AL142">
        <f>AL102*EF!$N$4*0.001*365</f>
        <v>97.630989162882287</v>
      </c>
      <c r="AM142">
        <f>AM102*EF!$N$4*0.001*365</f>
        <v>97.630989162882287</v>
      </c>
      <c r="AN142">
        <f>AN102*EF!$N$4*0.001*365</f>
        <v>97.630989162882287</v>
      </c>
    </row>
    <row r="143" spans="1:40" x14ac:dyDescent="0.25">
      <c r="A143" t="s">
        <v>1090</v>
      </c>
      <c r="B143">
        <f>B103*EF!$N$5*0.001*365</f>
        <v>118.18998173260263</v>
      </c>
      <c r="C143">
        <f>C103*EF!$N$5*0.001*365</f>
        <v>118.18998173260263</v>
      </c>
      <c r="D143">
        <f>D103*EF!$N$5*0.001*365</f>
        <v>118.18998173260263</v>
      </c>
      <c r="E143">
        <f>E103*EF!$N$5*0.001*365</f>
        <v>118.18998173260263</v>
      </c>
      <c r="F143">
        <f>F103*EF!$N$5*0.001*365</f>
        <v>118.18998173260263</v>
      </c>
      <c r="G143">
        <f>G103*EF!$N$5*0.001*365</f>
        <v>118.18998173260263</v>
      </c>
      <c r="H143">
        <f>H103*EF!$N$5*0.001*365</f>
        <v>118.18998173260263</v>
      </c>
      <c r="I143">
        <f>I103*EF!$N$5*0.001*365</f>
        <v>118.18998173260263</v>
      </c>
      <c r="J143">
        <f>J103*EF!$N$5*0.001*365</f>
        <v>118.18998173260263</v>
      </c>
      <c r="K143">
        <f>K103*EF!$N$5*0.001*365</f>
        <v>116.4171320066136</v>
      </c>
      <c r="L143">
        <f>L103*EF!$N$5*0.001*365</f>
        <v>114.67087502651438</v>
      </c>
      <c r="M143">
        <f>M103*EF!$N$5*0.001*365</f>
        <v>112.95081190111668</v>
      </c>
      <c r="N143">
        <f>N103*EF!$N$5*0.001*365</f>
        <v>111.25654972259993</v>
      </c>
      <c r="O143">
        <f>O103*EF!$N$5*0.001*365</f>
        <v>109.58770147676091</v>
      </c>
      <c r="P143">
        <f>P103*EF!$N$5*0.001*365</f>
        <v>107.94388595460951</v>
      </c>
      <c r="Q143">
        <f>Q103*EF!$N$5*0.001*365</f>
        <v>106.32472766529037</v>
      </c>
      <c r="R143">
        <f>R103*EF!$N$5*0.001*365</f>
        <v>104.729856750311</v>
      </c>
      <c r="S143">
        <f>S103*EF!$N$5*0.001*365</f>
        <v>103.15890889905636</v>
      </c>
      <c r="T143">
        <f>T103*EF!$N$5*0.001*365</f>
        <v>101.61152526557049</v>
      </c>
      <c r="U143">
        <f>U103*EF!$N$5*0.001*365</f>
        <v>101.61152526557049</v>
      </c>
      <c r="V143">
        <f>V103*EF!$N$5*0.001*365</f>
        <v>101.61152526557049</v>
      </c>
      <c r="W143">
        <f>W103*EF!$N$5*0.001*365</f>
        <v>101.61152526557049</v>
      </c>
      <c r="X143">
        <f>X103*EF!$N$5*0.001*365</f>
        <v>101.61152526557049</v>
      </c>
      <c r="Y143">
        <f>Y103*EF!$N$5*0.001*365</f>
        <v>101.61152526557049</v>
      </c>
      <c r="Z143">
        <f>Z103*EF!$N$5*0.001*365</f>
        <v>101.61152526557049</v>
      </c>
      <c r="AA143">
        <f>AA103*EF!$N$5*0.001*365</f>
        <v>101.61152526557049</v>
      </c>
      <c r="AB143">
        <f>AB103*EF!$N$5*0.001*365</f>
        <v>101.61152526557049</v>
      </c>
      <c r="AC143">
        <f>AC103*EF!$N$5*0.001*365</f>
        <v>101.61152526557049</v>
      </c>
      <c r="AD143">
        <f>AD103*EF!$N$5*0.001*365</f>
        <v>101.61152526557049</v>
      </c>
      <c r="AE143">
        <f>AE103*EF!$N$5*0.001*365</f>
        <v>101.61152526557049</v>
      </c>
      <c r="AF143">
        <f>AF103*EF!$N$5*0.001*365</f>
        <v>101.61152526557049</v>
      </c>
      <c r="AG143">
        <f>AG103*EF!$N$5*0.001*365</f>
        <v>101.61152526557049</v>
      </c>
      <c r="AH143">
        <f>AH103*EF!$N$5*0.001*365</f>
        <v>101.61152526557049</v>
      </c>
      <c r="AI143">
        <f>AI103*EF!$N$5*0.001*365</f>
        <v>101.61152526557049</v>
      </c>
      <c r="AJ143">
        <f>AJ103*EF!$N$5*0.001*365</f>
        <v>101.61152526557049</v>
      </c>
      <c r="AK143">
        <f>AK103*EF!$N$5*0.001*365</f>
        <v>101.61152526557049</v>
      </c>
      <c r="AL143">
        <f>AL103*EF!$N$5*0.001*365</f>
        <v>101.61152526557049</v>
      </c>
      <c r="AM143">
        <f>AM103*EF!$N$5*0.001*365</f>
        <v>101.61152526557049</v>
      </c>
      <c r="AN143">
        <f>AN103*EF!$N$5*0.001*365</f>
        <v>101.61152526557049</v>
      </c>
    </row>
    <row r="144" spans="1:40" x14ac:dyDescent="0.25">
      <c r="A144" t="s">
        <v>1091</v>
      </c>
      <c r="B144">
        <f>B104*EF!$N$6*0.001*365</f>
        <v>43.047475384596716</v>
      </c>
      <c r="C144">
        <f>C104*EF!$N$6*0.001*365</f>
        <v>43.047475384596716</v>
      </c>
      <c r="D144">
        <f>D104*EF!$N$6*0.001*365</f>
        <v>43.047475384596716</v>
      </c>
      <c r="E144">
        <f>E104*EF!$N$6*0.001*365</f>
        <v>43.047475384596716</v>
      </c>
      <c r="F144">
        <f>F104*EF!$N$6*0.001*365</f>
        <v>43.047475384596716</v>
      </c>
      <c r="G144">
        <f>G104*EF!$N$6*0.001*365</f>
        <v>43.047475384596716</v>
      </c>
      <c r="H144">
        <f>H104*EF!$N$6*0.001*365</f>
        <v>43.047475384596716</v>
      </c>
      <c r="I144">
        <f>I104*EF!$N$6*0.001*365</f>
        <v>43.047475384596716</v>
      </c>
      <c r="J144">
        <f>J104*EF!$N$6*0.001*365</f>
        <v>43.047475384596716</v>
      </c>
      <c r="K144">
        <f>K104*EF!$N$6*0.001*365</f>
        <v>42.40176325382776</v>
      </c>
      <c r="L144">
        <f>L104*EF!$N$6*0.001*365</f>
        <v>41.765736805020346</v>
      </c>
      <c r="M144">
        <f>M104*EF!$N$6*0.001*365</f>
        <v>41.139250752945046</v>
      </c>
      <c r="N144">
        <f>N104*EF!$N$6*0.001*365</f>
        <v>40.522161991650869</v>
      </c>
      <c r="O144">
        <f>O104*EF!$N$6*0.001*365</f>
        <v>39.9143295617761</v>
      </c>
      <c r="P144">
        <f>P104*EF!$N$6*0.001*365</f>
        <v>39.315614618349464</v>
      </c>
      <c r="Q144">
        <f>Q104*EF!$N$6*0.001*365</f>
        <v>38.725880399074214</v>
      </c>
      <c r="R144">
        <f>R104*EF!$N$6*0.001*365</f>
        <v>38.1449921930881</v>
      </c>
      <c r="S144">
        <f>S104*EF!$N$6*0.001*365</f>
        <v>37.57281731019178</v>
      </c>
      <c r="T144">
        <f>T104*EF!$N$6*0.001*365</f>
        <v>37.009225050538909</v>
      </c>
      <c r="U144">
        <f>U104*EF!$N$6*0.001*365</f>
        <v>37.009225050538909</v>
      </c>
      <c r="V144">
        <f>V104*EF!$N$6*0.001*365</f>
        <v>37.009225050538909</v>
      </c>
      <c r="W144">
        <f>W104*EF!$N$6*0.001*365</f>
        <v>37.009225050538909</v>
      </c>
      <c r="X144">
        <f>X104*EF!$N$6*0.001*365</f>
        <v>37.009225050538909</v>
      </c>
      <c r="Y144">
        <f>Y104*EF!$N$6*0.001*365</f>
        <v>37.009225050538909</v>
      </c>
      <c r="Z144">
        <f>Z104*EF!$N$6*0.001*365</f>
        <v>37.009225050538909</v>
      </c>
      <c r="AA144">
        <f>AA104*EF!$N$6*0.001*365</f>
        <v>37.009225050538909</v>
      </c>
      <c r="AB144">
        <f>AB104*EF!$N$6*0.001*365</f>
        <v>37.009225050538909</v>
      </c>
      <c r="AC144">
        <f>AC104*EF!$N$6*0.001*365</f>
        <v>37.009225050538909</v>
      </c>
      <c r="AD144">
        <f>AD104*EF!$N$6*0.001*365</f>
        <v>37.009225050538909</v>
      </c>
      <c r="AE144">
        <f>AE104*EF!$N$6*0.001*365</f>
        <v>37.009225050538909</v>
      </c>
      <c r="AF144">
        <f>AF104*EF!$N$6*0.001*365</f>
        <v>37.009225050538909</v>
      </c>
      <c r="AG144">
        <f>AG104*EF!$N$6*0.001*365</f>
        <v>37.009225050538909</v>
      </c>
      <c r="AH144">
        <f>AH104*EF!$N$6*0.001*365</f>
        <v>37.009225050538909</v>
      </c>
      <c r="AI144">
        <f>AI104*EF!$N$6*0.001*365</f>
        <v>37.009225050538909</v>
      </c>
      <c r="AJ144">
        <f>AJ104*EF!$N$6*0.001*365</f>
        <v>37.009225050538909</v>
      </c>
      <c r="AK144">
        <f>AK104*EF!$N$6*0.001*365</f>
        <v>37.009225050538909</v>
      </c>
      <c r="AL144">
        <f>AL104*EF!$N$6*0.001*365</f>
        <v>37.009225050538909</v>
      </c>
      <c r="AM144">
        <f>AM104*EF!$N$6*0.001*365</f>
        <v>37.009225050538909</v>
      </c>
      <c r="AN144">
        <f>AN104*EF!$N$6*0.001*365</f>
        <v>37.009225050538909</v>
      </c>
    </row>
    <row r="145" spans="1:48" x14ac:dyDescent="0.25">
      <c r="A145" t="s">
        <v>1092</v>
      </c>
      <c r="B145">
        <f>B105*EF!$N$7*0.001*365</f>
        <v>77.791201624701472</v>
      </c>
      <c r="C145">
        <f>C105*EF!$N$7*0.001*365</f>
        <v>77.791201624701472</v>
      </c>
      <c r="D145">
        <f>D105*EF!$N$7*0.001*365</f>
        <v>77.791201624701472</v>
      </c>
      <c r="E145">
        <f>E105*EF!$N$7*0.001*365</f>
        <v>77.791201624701472</v>
      </c>
      <c r="F145">
        <f>F105*EF!$N$7*0.001*365</f>
        <v>77.791201624701472</v>
      </c>
      <c r="G145">
        <f>G105*EF!$N$7*0.001*365</f>
        <v>77.791201624701472</v>
      </c>
      <c r="H145">
        <f>H105*EF!$N$7*0.001*365</f>
        <v>77.791201624701472</v>
      </c>
      <c r="I145">
        <f>I105*EF!$N$7*0.001*365</f>
        <v>77.791201624701472</v>
      </c>
      <c r="J145">
        <f>J105*EF!$N$7*0.001*365</f>
        <v>77.791201624701472</v>
      </c>
      <c r="K145">
        <f>K105*EF!$N$7*0.001*365</f>
        <v>76.624333600330942</v>
      </c>
      <c r="L145">
        <f>L105*EF!$N$7*0.001*365</f>
        <v>75.474968596325994</v>
      </c>
      <c r="M145">
        <f>M105*EF!$N$7*0.001*365</f>
        <v>74.342844067381108</v>
      </c>
      <c r="N145">
        <f>N105*EF!$N$7*0.001*365</f>
        <v>73.227701406370386</v>
      </c>
      <c r="O145">
        <f>O105*EF!$N$7*0.001*365</f>
        <v>72.129285885274825</v>
      </c>
      <c r="P145">
        <f>P105*EF!$N$7*0.001*365</f>
        <v>71.047346596995695</v>
      </c>
      <c r="Q145">
        <f>Q105*EF!$N$7*0.001*365</f>
        <v>69.981636398040749</v>
      </c>
      <c r="R145">
        <f>R105*EF!$N$7*0.001*365</f>
        <v>68.931911852070144</v>
      </c>
      <c r="S145">
        <f>S105*EF!$N$7*0.001*365</f>
        <v>67.897933174289093</v>
      </c>
      <c r="T145">
        <f>T105*EF!$N$7*0.001*365</f>
        <v>66.879464176674745</v>
      </c>
      <c r="U145">
        <f>U105*EF!$N$7*0.001*365</f>
        <v>66.879464176674745</v>
      </c>
      <c r="V145">
        <f>V105*EF!$N$7*0.001*365</f>
        <v>66.879464176674745</v>
      </c>
      <c r="W145">
        <f>W105*EF!$N$7*0.001*365</f>
        <v>66.879464176674745</v>
      </c>
      <c r="X145">
        <f>X105*EF!$N$7*0.001*365</f>
        <v>66.879464176674745</v>
      </c>
      <c r="Y145">
        <f>Y105*EF!$N$7*0.001*365</f>
        <v>66.879464176674745</v>
      </c>
      <c r="Z145">
        <f>Z105*EF!$N$7*0.001*365</f>
        <v>66.879464176674745</v>
      </c>
      <c r="AA145">
        <f>AA105*EF!$N$7*0.001*365</f>
        <v>66.879464176674745</v>
      </c>
      <c r="AB145">
        <f>AB105*EF!$N$7*0.001*365</f>
        <v>66.879464176674745</v>
      </c>
      <c r="AC145">
        <f>AC105*EF!$N$7*0.001*365</f>
        <v>66.879464176674745</v>
      </c>
      <c r="AD145">
        <f>AD105*EF!$N$7*0.001*365</f>
        <v>66.879464176674745</v>
      </c>
      <c r="AE145">
        <f>AE105*EF!$N$7*0.001*365</f>
        <v>66.879464176674745</v>
      </c>
      <c r="AF145">
        <f>AF105*EF!$N$7*0.001*365</f>
        <v>66.879464176674745</v>
      </c>
      <c r="AG145">
        <f>AG105*EF!$N$7*0.001*365</f>
        <v>66.879464176674745</v>
      </c>
      <c r="AH145">
        <f>AH105*EF!$N$7*0.001*365</f>
        <v>66.879464176674745</v>
      </c>
      <c r="AI145">
        <f>AI105*EF!$N$7*0.001*365</f>
        <v>66.879464176674745</v>
      </c>
      <c r="AJ145">
        <f>AJ105*EF!$N$7*0.001*365</f>
        <v>66.879464176674745</v>
      </c>
      <c r="AK145">
        <f>AK105*EF!$N$7*0.001*365</f>
        <v>66.879464176674745</v>
      </c>
      <c r="AL145">
        <f>AL105*EF!$N$7*0.001*365</f>
        <v>66.879464176674745</v>
      </c>
      <c r="AM145">
        <f>AM105*EF!$N$7*0.001*365</f>
        <v>66.879464176674745</v>
      </c>
      <c r="AN145">
        <f>AN105*EF!$N$7*0.001*365</f>
        <v>66.879464176674745</v>
      </c>
    </row>
    <row r="146" spans="1:48" x14ac:dyDescent="0.25">
      <c r="A146" t="s">
        <v>1093</v>
      </c>
      <c r="B146">
        <f>B106*EF!$N$8*0.001*365</f>
        <v>61.771996934628113</v>
      </c>
      <c r="C146">
        <f>C106*EF!$N$8*0.001*365</f>
        <v>61.771996934628113</v>
      </c>
      <c r="D146">
        <f>D106*EF!$N$8*0.001*365</f>
        <v>61.771996934628113</v>
      </c>
      <c r="E146">
        <f>E106*EF!$N$8*0.001*365</f>
        <v>61.771996934628113</v>
      </c>
      <c r="F146">
        <f>F106*EF!$N$8*0.001*365</f>
        <v>61.771996934628113</v>
      </c>
      <c r="G146">
        <f>G106*EF!$N$8*0.001*365</f>
        <v>61.771996934628113</v>
      </c>
      <c r="H146">
        <f>H106*EF!$N$8*0.001*365</f>
        <v>61.771996934628113</v>
      </c>
      <c r="I146">
        <f>I106*EF!$N$8*0.001*365</f>
        <v>61.771996934628113</v>
      </c>
      <c r="J146">
        <f>J106*EF!$N$8*0.001*365</f>
        <v>61.771996934628113</v>
      </c>
      <c r="K146">
        <f>K106*EF!$N$8*0.001*365</f>
        <v>61.308706957618398</v>
      </c>
      <c r="L146">
        <f>L106*EF!$N$8*0.001*365</f>
        <v>60.848891655436262</v>
      </c>
      <c r="M146">
        <f>M106*EF!$N$8*0.001*365</f>
        <v>60.392524968020489</v>
      </c>
      <c r="N146">
        <f>N106*EF!$N$8*0.001*365</f>
        <v>59.939581030760337</v>
      </c>
      <c r="O146">
        <f>O106*EF!$N$8*0.001*365</f>
        <v>59.490034173029628</v>
      </c>
      <c r="P146">
        <f>P106*EF!$N$8*0.001*365</f>
        <v>59.043858916731914</v>
      </c>
      <c r="Q146">
        <f>Q106*EF!$N$8*0.001*365</f>
        <v>58.601029974856424</v>
      </c>
      <c r="R146">
        <f>R106*EF!$N$8*0.001*365</f>
        <v>58.161522250045003</v>
      </c>
      <c r="S146">
        <f>S106*EF!$N$8*0.001*365</f>
        <v>57.725310833169658</v>
      </c>
      <c r="T146">
        <f>T106*EF!$N$8*0.001*365</f>
        <v>57.292371001920877</v>
      </c>
      <c r="U146">
        <f>U106*EF!$N$8*0.001*365</f>
        <v>56.862678219406469</v>
      </c>
      <c r="V146">
        <f>V106*EF!$N$8*0.001*365</f>
        <v>56.436208132760925</v>
      </c>
      <c r="W146">
        <f>W106*EF!$N$8*0.001*365</f>
        <v>56.012936571765223</v>
      </c>
      <c r="X146">
        <f>X106*EF!$N$8*0.001*365</f>
        <v>55.592839547476984</v>
      </c>
      <c r="Y146">
        <f>Y106*EF!$N$8*0.001*365</f>
        <v>55.175893250870914</v>
      </c>
      <c r="Z146">
        <f>Z106*EF!$N$8*0.001*365</f>
        <v>54.762074051489378</v>
      </c>
      <c r="AA146">
        <f>AA106*EF!$N$8*0.001*365</f>
        <v>54.351358496103209</v>
      </c>
      <c r="AB146">
        <f>AB106*EF!$N$8*0.001*365</f>
        <v>53.943723307382434</v>
      </c>
      <c r="AC146">
        <f>AC106*EF!$N$8*0.001*365</f>
        <v>53.539145382577068</v>
      </c>
      <c r="AD146">
        <f>AD106*EF!$N$8*0.001*365</f>
        <v>53.137601792207732</v>
      </c>
      <c r="AE146">
        <f>AE106*EF!$N$8*0.001*365</f>
        <v>53.137601792207732</v>
      </c>
      <c r="AF146">
        <f>AF106*EF!$N$8*0.001*365</f>
        <v>53.137601792207732</v>
      </c>
      <c r="AG146">
        <f>AG106*EF!$N$8*0.001*365</f>
        <v>53.137601792207732</v>
      </c>
      <c r="AH146">
        <f>AH106*EF!$N$8*0.001*365</f>
        <v>53.137601792207732</v>
      </c>
      <c r="AI146">
        <f>AI106*EF!$N$8*0.001*365</f>
        <v>53.137601792207732</v>
      </c>
      <c r="AJ146">
        <f>AJ106*EF!$N$8*0.001*365</f>
        <v>53.137601792207732</v>
      </c>
      <c r="AK146">
        <f>AK106*EF!$N$8*0.001*365</f>
        <v>53.137601792207732</v>
      </c>
      <c r="AL146">
        <f>AL106*EF!$N$8*0.001*365</f>
        <v>53.137601792207732</v>
      </c>
      <c r="AM146">
        <f>AM106*EF!$N$8*0.001*365</f>
        <v>53.137601792207732</v>
      </c>
      <c r="AN146">
        <f>AN106*EF!$N$8*0.001*365</f>
        <v>53.137601792207732</v>
      </c>
    </row>
    <row r="147" spans="1:48" x14ac:dyDescent="0.25">
      <c r="A147" t="s">
        <v>1094</v>
      </c>
      <c r="B147">
        <f>B107*EF!$N$9*0.001*365</f>
        <v>58.900292120047261</v>
      </c>
      <c r="C147">
        <f>C107*EF!$N$9*0.001*365</f>
        <v>58.900292120047261</v>
      </c>
      <c r="D147">
        <f>D107*EF!$N$9*0.001*365</f>
        <v>58.900292120047261</v>
      </c>
      <c r="E147">
        <f>E107*EF!$N$9*0.001*365</f>
        <v>58.900292120047261</v>
      </c>
      <c r="F147">
        <f>F107*EF!$N$9*0.001*365</f>
        <v>58.900292120047261</v>
      </c>
      <c r="G147">
        <f>G107*EF!$N$9*0.001*365</f>
        <v>58.900292120047261</v>
      </c>
      <c r="H147">
        <f>H107*EF!$N$9*0.001*365</f>
        <v>58.900292120047261</v>
      </c>
      <c r="I147">
        <f>I107*EF!$N$9*0.001*365</f>
        <v>58.900292120047261</v>
      </c>
      <c r="J147">
        <f>J107*EF!$N$9*0.001*365</f>
        <v>58.900292120047261</v>
      </c>
      <c r="K147">
        <f>K107*EF!$N$9*0.001*365</f>
        <v>58.016787738246549</v>
      </c>
      <c r="L147">
        <f>L107*EF!$N$9*0.001*365</f>
        <v>57.146535922172852</v>
      </c>
      <c r="M147">
        <f>M107*EF!$N$9*0.001*365</f>
        <v>56.289337883340266</v>
      </c>
      <c r="N147">
        <f>N107*EF!$N$9*0.001*365</f>
        <v>55.444997815090154</v>
      </c>
      <c r="O147">
        <f>O107*EF!$N$9*0.001*365</f>
        <v>54.613322847863806</v>
      </c>
      <c r="P147">
        <f>P107*EF!$N$9*0.001*365</f>
        <v>53.794123005145849</v>
      </c>
      <c r="Q147">
        <f>Q107*EF!$N$9*0.001*365</f>
        <v>52.987211160068668</v>
      </c>
      <c r="R147">
        <f>R107*EF!$N$9*0.001*365</f>
        <v>52.192402992667638</v>
      </c>
      <c r="S147">
        <f>S107*EF!$N$9*0.001*365</f>
        <v>51.409516947777625</v>
      </c>
      <c r="T147">
        <f>T107*EF!$N$9*0.001*365</f>
        <v>50.638374193560956</v>
      </c>
      <c r="U147">
        <f>U107*EF!$N$9*0.001*365</f>
        <v>50.638374193560956</v>
      </c>
      <c r="V147">
        <f>V107*EF!$N$9*0.001*365</f>
        <v>50.638374193560956</v>
      </c>
      <c r="W147">
        <f>W107*EF!$N$9*0.001*365</f>
        <v>50.638374193560956</v>
      </c>
      <c r="X147">
        <f>X107*EF!$N$9*0.001*365</f>
        <v>50.638374193560956</v>
      </c>
      <c r="Y147">
        <f>Y107*EF!$N$9*0.001*365</f>
        <v>50.638374193560956</v>
      </c>
      <c r="Z147">
        <f>Z107*EF!$N$9*0.001*365</f>
        <v>50.638374193560956</v>
      </c>
      <c r="AA147">
        <f>AA107*EF!$N$9*0.001*365</f>
        <v>50.638374193560956</v>
      </c>
      <c r="AB147">
        <f>AB107*EF!$N$9*0.001*365</f>
        <v>50.638374193560956</v>
      </c>
      <c r="AC147">
        <f>AC107*EF!$N$9*0.001*365</f>
        <v>50.638374193560956</v>
      </c>
      <c r="AD147">
        <f>AD107*EF!$N$9*0.001*365</f>
        <v>50.638374193560956</v>
      </c>
      <c r="AE147">
        <f>AE107*EF!$N$9*0.001*365</f>
        <v>50.638374193560956</v>
      </c>
      <c r="AF147">
        <f>AF107*EF!$N$9*0.001*365</f>
        <v>50.638374193560956</v>
      </c>
      <c r="AG147">
        <f>AG107*EF!$N$9*0.001*365</f>
        <v>50.638374193560956</v>
      </c>
      <c r="AH147">
        <f>AH107*EF!$N$9*0.001*365</f>
        <v>50.638374193560956</v>
      </c>
      <c r="AI147">
        <f>AI107*EF!$N$9*0.001*365</f>
        <v>50.638374193560956</v>
      </c>
      <c r="AJ147">
        <f>AJ107*EF!$N$9*0.001*365</f>
        <v>50.638374193560956</v>
      </c>
      <c r="AK147">
        <f>AK107*EF!$N$9*0.001*365</f>
        <v>50.638374193560956</v>
      </c>
      <c r="AL147">
        <f>AL107*EF!$N$9*0.001*365</f>
        <v>50.638374193560956</v>
      </c>
      <c r="AM147">
        <f>AM107*EF!$N$9*0.001*365</f>
        <v>50.638374193560956</v>
      </c>
      <c r="AN147">
        <f>AN107*EF!$N$9*0.001*365</f>
        <v>50.638374193560956</v>
      </c>
    </row>
    <row r="148" spans="1:48" x14ac:dyDescent="0.25">
      <c r="A148" t="s">
        <v>1095</v>
      </c>
      <c r="B148">
        <f>B108*EF!$N$10*0.001*365</f>
        <v>6.9716028867564583</v>
      </c>
      <c r="C148">
        <f>C108*EF!$N$10*0.001*365</f>
        <v>6.9716028867564583</v>
      </c>
      <c r="D148">
        <f>D108*EF!$N$10*0.001*365</f>
        <v>6.9716028867564583</v>
      </c>
      <c r="E148">
        <f>E108*EF!$N$10*0.001*365</f>
        <v>6.9716028867564583</v>
      </c>
      <c r="F148">
        <f>F108*EF!$N$10*0.001*365</f>
        <v>6.9716028867564583</v>
      </c>
      <c r="G148">
        <f>G108*EF!$N$10*0.001*365</f>
        <v>6.9716028867564583</v>
      </c>
      <c r="H148">
        <f>H108*EF!$N$10*0.001*365</f>
        <v>6.9716028867564583</v>
      </c>
      <c r="I148">
        <f>I108*EF!$N$10*0.001*365</f>
        <v>6.9716028867564583</v>
      </c>
      <c r="J148">
        <f>J108*EF!$N$10*0.001*365</f>
        <v>6.9716028867564583</v>
      </c>
      <c r="K148">
        <f>K108*EF!$N$10*0.001*365</f>
        <v>6.8670288434551106</v>
      </c>
      <c r="L148">
        <f>L108*EF!$N$10*0.001*365</f>
        <v>6.7640234108032846</v>
      </c>
      <c r="M148">
        <f>M108*EF!$N$10*0.001*365</f>
        <v>6.6625630596412364</v>
      </c>
      <c r="N148">
        <f>N108*EF!$N$10*0.001*365</f>
        <v>6.5626246137466184</v>
      </c>
      <c r="O148">
        <f>O108*EF!$N$10*0.001*365</f>
        <v>6.4641852445404187</v>
      </c>
      <c r="P148">
        <f>P108*EF!$N$10*0.001*365</f>
        <v>6.3672224658723113</v>
      </c>
      <c r="Q148">
        <f>Q108*EF!$N$10*0.001*365</f>
        <v>6.271714128884228</v>
      </c>
      <c r="R148">
        <f>R108*EF!$N$10*0.001*365</f>
        <v>6.1776384169509635</v>
      </c>
      <c r="S148">
        <f>S108*EF!$N$10*0.001*365</f>
        <v>6.0849738406967004</v>
      </c>
      <c r="T148">
        <f>T108*EF!$N$10*0.001*365</f>
        <v>5.9936992330862502</v>
      </c>
      <c r="U148">
        <f>U108*EF!$N$10*0.001*365</f>
        <v>5.9936992330862502</v>
      </c>
      <c r="V148">
        <f>V108*EF!$N$10*0.001*365</f>
        <v>5.9936992330862502</v>
      </c>
      <c r="W148">
        <f>W108*EF!$N$10*0.001*365</f>
        <v>5.9936992330862502</v>
      </c>
      <c r="X148">
        <f>X108*EF!$N$10*0.001*365</f>
        <v>5.9936992330862502</v>
      </c>
      <c r="Y148">
        <f>Y108*EF!$N$10*0.001*365</f>
        <v>5.9936992330862502</v>
      </c>
      <c r="Z148">
        <f>Z108*EF!$N$10*0.001*365</f>
        <v>5.9936992330862502</v>
      </c>
      <c r="AA148">
        <f>AA108*EF!$N$10*0.001*365</f>
        <v>5.9936992330862502</v>
      </c>
      <c r="AB148">
        <f>AB108*EF!$N$10*0.001*365</f>
        <v>5.9936992330862502</v>
      </c>
      <c r="AC148">
        <f>AC108*EF!$N$10*0.001*365</f>
        <v>5.9936992330862502</v>
      </c>
      <c r="AD148">
        <f>AD108*EF!$N$10*0.001*365</f>
        <v>5.9936992330862502</v>
      </c>
      <c r="AE148">
        <f>AE108*EF!$N$10*0.001*365</f>
        <v>5.9936992330862502</v>
      </c>
      <c r="AF148">
        <f>AF108*EF!$N$10*0.001*365</f>
        <v>5.9936992330862502</v>
      </c>
      <c r="AG148">
        <f>AG108*EF!$N$10*0.001*365</f>
        <v>5.9936992330862502</v>
      </c>
      <c r="AH148">
        <f>AH108*EF!$N$10*0.001*365</f>
        <v>5.9936992330862502</v>
      </c>
      <c r="AI148">
        <f>AI108*EF!$N$10*0.001*365</f>
        <v>5.9936992330862502</v>
      </c>
      <c r="AJ148">
        <f>AJ108*EF!$N$10*0.001*365</f>
        <v>5.9936992330862502</v>
      </c>
      <c r="AK148">
        <f>AK108*EF!$N$10*0.001*365</f>
        <v>5.9936992330862502</v>
      </c>
      <c r="AL148">
        <f>AL108*EF!$N$10*0.001*365</f>
        <v>5.9936992330862502</v>
      </c>
      <c r="AM148">
        <f>AM108*EF!$N$10*0.001*365</f>
        <v>5.9936992330862502</v>
      </c>
      <c r="AN148">
        <f>AN108*EF!$N$10*0.001*365</f>
        <v>5.9936992330862502</v>
      </c>
    </row>
    <row r="149" spans="1:48" x14ac:dyDescent="0.25">
      <c r="A149" t="s">
        <v>1096</v>
      </c>
      <c r="B149">
        <f>B109*EF!$N$11*0.001*365</f>
        <v>5.0563008645373637</v>
      </c>
      <c r="C149">
        <f>C109*EF!$N$11*0.001*365</f>
        <v>5.0563008645373637</v>
      </c>
      <c r="D149">
        <f>D109*EF!$N$11*0.001*365</f>
        <v>5.0563008645373637</v>
      </c>
      <c r="E149">
        <f>E109*EF!$N$11*0.001*365</f>
        <v>5.0563008645373637</v>
      </c>
      <c r="F149">
        <f>F109*EF!$N$11*0.001*365</f>
        <v>5.0563008645373637</v>
      </c>
      <c r="G149">
        <f>G109*EF!$N$11*0.001*365</f>
        <v>5.0563008645373637</v>
      </c>
      <c r="H149">
        <f>H109*EF!$N$11*0.001*365</f>
        <v>5.0563008645373637</v>
      </c>
      <c r="I149">
        <f>I109*EF!$N$11*0.001*365</f>
        <v>5.0563008645373637</v>
      </c>
      <c r="J149">
        <f>J109*EF!$N$11*0.001*365</f>
        <v>5.0563008645373637</v>
      </c>
      <c r="K149">
        <f>K109*EF!$N$11*0.001*365</f>
        <v>4.9804563515693028</v>
      </c>
      <c r="L149">
        <f>L109*EF!$N$11*0.001*365</f>
        <v>4.9057495062957628</v>
      </c>
      <c r="M149">
        <f>M109*EF!$N$11*0.001*365</f>
        <v>4.832163263701327</v>
      </c>
      <c r="N149">
        <f>N109*EF!$N$11*0.001*365</f>
        <v>4.7596808147458072</v>
      </c>
      <c r="O149">
        <f>O109*EF!$N$11*0.001*365</f>
        <v>4.68828560252462</v>
      </c>
      <c r="P149">
        <f>P109*EF!$N$11*0.001*365</f>
        <v>4.617961318486751</v>
      </c>
      <c r="Q149">
        <f>Q109*EF!$N$11*0.001*365</f>
        <v>4.5486918987094498</v>
      </c>
      <c r="R149">
        <f>R109*EF!$N$11*0.001*365</f>
        <v>4.4804615202288085</v>
      </c>
      <c r="S149">
        <f>S109*EF!$N$11*0.001*365</f>
        <v>4.4132545974253752</v>
      </c>
      <c r="T149">
        <f>T109*EF!$N$11*0.001*365</f>
        <v>4.3470557784639947</v>
      </c>
      <c r="U149">
        <f>U109*EF!$N$11*0.001*365</f>
        <v>4.3470557784639947</v>
      </c>
      <c r="V149">
        <f>V109*EF!$N$11*0.001*365</f>
        <v>4.3470557784639947</v>
      </c>
      <c r="W149">
        <f>W109*EF!$N$11*0.001*365</f>
        <v>4.3470557784639947</v>
      </c>
      <c r="X149">
        <f>X109*EF!$N$11*0.001*365</f>
        <v>4.3470557784639947</v>
      </c>
      <c r="Y149">
        <f>Y109*EF!$N$11*0.001*365</f>
        <v>4.3470557784639947</v>
      </c>
      <c r="Z149">
        <f>Z109*EF!$N$11*0.001*365</f>
        <v>4.3470557784639947</v>
      </c>
      <c r="AA149">
        <f>AA109*EF!$N$11*0.001*365</f>
        <v>4.3470557784639947</v>
      </c>
      <c r="AB149">
        <f>AB109*EF!$N$11*0.001*365</f>
        <v>4.3470557784639947</v>
      </c>
      <c r="AC149">
        <f>AC109*EF!$N$11*0.001*365</f>
        <v>4.3470557784639947</v>
      </c>
      <c r="AD149">
        <f>AD109*EF!$N$11*0.001*365</f>
        <v>4.3470557784639947</v>
      </c>
      <c r="AE149">
        <f>AE109*EF!$N$11*0.001*365</f>
        <v>4.3470557784639947</v>
      </c>
      <c r="AF149">
        <f>AF109*EF!$N$11*0.001*365</f>
        <v>4.3470557784639947</v>
      </c>
      <c r="AG149">
        <f>AG109*EF!$N$11*0.001*365</f>
        <v>4.3470557784639947</v>
      </c>
      <c r="AH149">
        <f>AH109*EF!$N$11*0.001*365</f>
        <v>4.3470557784639947</v>
      </c>
      <c r="AI149">
        <f>AI109*EF!$N$11*0.001*365</f>
        <v>4.3470557784639947</v>
      </c>
      <c r="AJ149">
        <f>AJ109*EF!$N$11*0.001*365</f>
        <v>4.3470557784639947</v>
      </c>
      <c r="AK149">
        <f>AK109*EF!$N$11*0.001*365</f>
        <v>4.3470557784639947</v>
      </c>
      <c r="AL149">
        <f>AL109*EF!$N$11*0.001*365</f>
        <v>4.3470557784639947</v>
      </c>
      <c r="AM149">
        <f>AM109*EF!$N$11*0.001*365</f>
        <v>4.3470557784639947</v>
      </c>
      <c r="AN149">
        <f>AN109*EF!$N$11*0.001*365</f>
        <v>4.3470557784639947</v>
      </c>
    </row>
    <row r="150" spans="1:48" x14ac:dyDescent="0.25">
      <c r="A150" t="s">
        <v>1097</v>
      </c>
      <c r="B150">
        <f>B110*EF!$N$12*0.001*365</f>
        <v>7.3127843653063831</v>
      </c>
      <c r="C150">
        <f>C110*EF!$N$12*0.001*365</f>
        <v>7.3127843653063831</v>
      </c>
      <c r="D150">
        <f>D110*EF!$N$12*0.001*365</f>
        <v>7.3127843653063831</v>
      </c>
      <c r="E150">
        <f>E110*EF!$N$12*0.001*365</f>
        <v>7.3127843653063831</v>
      </c>
      <c r="F150">
        <f>F110*EF!$N$12*0.001*365</f>
        <v>7.3127843653063831</v>
      </c>
      <c r="G150">
        <f>G110*EF!$N$12*0.001*365</f>
        <v>7.3127843653063831</v>
      </c>
      <c r="H150">
        <f>H110*EF!$N$12*0.001*365</f>
        <v>7.3127843653063831</v>
      </c>
      <c r="I150">
        <f>I110*EF!$N$12*0.001*365</f>
        <v>7.3127843653063831</v>
      </c>
      <c r="J150">
        <f>J110*EF!$N$12*0.001*365</f>
        <v>7.3127843653063831</v>
      </c>
      <c r="K150">
        <f>K110*EF!$N$12*0.001*365</f>
        <v>7.2030925998267863</v>
      </c>
      <c r="L150">
        <f>L110*EF!$N$12*0.001*365</f>
        <v>7.095046210829385</v>
      </c>
      <c r="M150">
        <f>M110*EF!$N$12*0.001*365</f>
        <v>6.9886205176669423</v>
      </c>
      <c r="N150">
        <f>N110*EF!$N$12*0.001*365</f>
        <v>6.8837912099019389</v>
      </c>
      <c r="O150">
        <f>O110*EF!$N$12*0.001*365</f>
        <v>6.7805343417534107</v>
      </c>
      <c r="P150">
        <f>P110*EF!$N$12*0.001*365</f>
        <v>6.6788263266271075</v>
      </c>
      <c r="Q150">
        <f>Q110*EF!$N$12*0.001*365</f>
        <v>6.5786439317277017</v>
      </c>
      <c r="R150">
        <f>R110*EF!$N$12*0.001*365</f>
        <v>6.4799642727517863</v>
      </c>
      <c r="S150">
        <f>S110*EF!$N$12*0.001*365</f>
        <v>6.3827648086605082</v>
      </c>
      <c r="T150">
        <f>T110*EF!$N$12*0.001*365</f>
        <v>6.2870233365306021</v>
      </c>
      <c r="U150">
        <f>U110*EF!$N$12*0.001*365</f>
        <v>6.2870233365306021</v>
      </c>
      <c r="V150">
        <f>V110*EF!$N$12*0.001*365</f>
        <v>6.2870233365306021</v>
      </c>
      <c r="W150">
        <f>W110*EF!$N$12*0.001*365</f>
        <v>6.2870233365306021</v>
      </c>
      <c r="X150">
        <f>X110*EF!$N$12*0.001*365</f>
        <v>6.2870233365306021</v>
      </c>
      <c r="Y150">
        <f>Y110*EF!$N$12*0.001*365</f>
        <v>6.2870233365306021</v>
      </c>
      <c r="Z150">
        <f>Z110*EF!$N$12*0.001*365</f>
        <v>6.2870233365306021</v>
      </c>
      <c r="AA150">
        <f>AA110*EF!$N$12*0.001*365</f>
        <v>6.2870233365306021</v>
      </c>
      <c r="AB150">
        <f>AB110*EF!$N$12*0.001*365</f>
        <v>6.2870233365306021</v>
      </c>
      <c r="AC150">
        <f>AC110*EF!$N$12*0.001*365</f>
        <v>6.2870233365306021</v>
      </c>
      <c r="AD150">
        <f>AD110*EF!$N$12*0.001*365</f>
        <v>6.2870233365306021</v>
      </c>
      <c r="AE150">
        <f>AE110*EF!$N$12*0.001*365</f>
        <v>6.2870233365306021</v>
      </c>
      <c r="AF150">
        <f>AF110*EF!$N$12*0.001*365</f>
        <v>6.2870233365306021</v>
      </c>
      <c r="AG150">
        <f>AG110*EF!$N$12*0.001*365</f>
        <v>6.2870233365306021</v>
      </c>
      <c r="AH150">
        <f>AH110*EF!$N$12*0.001*365</f>
        <v>6.2870233365306021</v>
      </c>
      <c r="AI150">
        <f>AI110*EF!$N$12*0.001*365</f>
        <v>6.2870233365306021</v>
      </c>
      <c r="AJ150">
        <f>AJ110*EF!$N$12*0.001*365</f>
        <v>6.2870233365306021</v>
      </c>
      <c r="AK150">
        <f>AK110*EF!$N$12*0.001*365</f>
        <v>6.2870233365306021</v>
      </c>
      <c r="AL150">
        <f>AL110*EF!$N$12*0.001*365</f>
        <v>6.2870233365306021</v>
      </c>
      <c r="AM150">
        <f>AM110*EF!$N$12*0.001*365</f>
        <v>6.2870233365306021</v>
      </c>
      <c r="AN150">
        <f>AN110*EF!$N$12*0.001*365</f>
        <v>6.2870233365306021</v>
      </c>
    </row>
    <row r="151" spans="1:48" x14ac:dyDescent="0.25">
      <c r="A151" t="s">
        <v>1098</v>
      </c>
      <c r="B151">
        <f>B111*EF!$N$13*0.001*365</f>
        <v>5.5750576498816118</v>
      </c>
      <c r="C151">
        <f>C111*EF!$N$13*0.001*365</f>
        <v>5.5750576498816118</v>
      </c>
      <c r="D151">
        <f>D111*EF!$N$13*0.001*365</f>
        <v>5.5750576498816118</v>
      </c>
      <c r="E151">
        <f>E111*EF!$N$13*0.001*365</f>
        <v>5.5750576498816118</v>
      </c>
      <c r="F151">
        <f>F111*EF!$N$13*0.001*365</f>
        <v>5.5750576498816118</v>
      </c>
      <c r="G151">
        <f>G111*EF!$N$13*0.001*365</f>
        <v>5.5750576498816118</v>
      </c>
      <c r="H151">
        <f>H111*EF!$N$13*0.001*365</f>
        <v>5.5750576498816118</v>
      </c>
      <c r="I151">
        <f>I111*EF!$N$13*0.001*365</f>
        <v>5.5750576498816118</v>
      </c>
      <c r="J151">
        <f>J111*EF!$N$13*0.001*365</f>
        <v>5.5750576498816118</v>
      </c>
      <c r="K151">
        <f>K111*EF!$N$13*0.001*365</f>
        <v>5.4914317851333871</v>
      </c>
      <c r="L151">
        <f>L111*EF!$N$13*0.001*365</f>
        <v>5.409060308356386</v>
      </c>
      <c r="M151">
        <f>M111*EF!$N$13*0.001*365</f>
        <v>5.32792440373104</v>
      </c>
      <c r="N151">
        <f>N111*EF!$N$13*0.001*365</f>
        <v>5.2480055376750734</v>
      </c>
      <c r="O151">
        <f>O111*EF!$N$13*0.001*365</f>
        <v>5.1692854546099474</v>
      </c>
      <c r="P151">
        <f>P111*EF!$N$13*0.001*365</f>
        <v>5.0917461727907982</v>
      </c>
      <c r="Q151">
        <f>Q111*EF!$N$13*0.001*365</f>
        <v>5.0153699801989351</v>
      </c>
      <c r="R151">
        <f>R111*EF!$N$13*0.001*365</f>
        <v>4.9401394304959512</v>
      </c>
      <c r="S151">
        <f>S111*EF!$N$13*0.001*365</f>
        <v>4.8660373390385114</v>
      </c>
      <c r="T151">
        <f>T111*EF!$N$13*0.001*365</f>
        <v>4.7930467789529345</v>
      </c>
      <c r="U151">
        <f>U111*EF!$N$13*0.001*365</f>
        <v>4.7930467789529345</v>
      </c>
      <c r="V151">
        <f>V111*EF!$N$13*0.001*365</f>
        <v>4.7930467789529345</v>
      </c>
      <c r="W151">
        <f>W111*EF!$N$13*0.001*365</f>
        <v>4.7930467789529345</v>
      </c>
      <c r="X151">
        <f>X111*EF!$N$13*0.001*365</f>
        <v>4.7930467789529345</v>
      </c>
      <c r="Y151">
        <f>Y111*EF!$N$13*0.001*365</f>
        <v>4.7930467789529345</v>
      </c>
      <c r="Z151">
        <f>Z111*EF!$N$13*0.001*365</f>
        <v>4.7930467789529345</v>
      </c>
      <c r="AA151">
        <f>AA111*EF!$N$13*0.001*365</f>
        <v>4.7930467789529345</v>
      </c>
      <c r="AB151">
        <f>AB111*EF!$N$13*0.001*365</f>
        <v>4.7930467789529345</v>
      </c>
      <c r="AC151">
        <f>AC111*EF!$N$13*0.001*365</f>
        <v>4.7930467789529345</v>
      </c>
      <c r="AD151">
        <f>AD111*EF!$N$13*0.001*365</f>
        <v>4.7930467789529345</v>
      </c>
      <c r="AE151">
        <f>AE111*EF!$N$13*0.001*365</f>
        <v>4.7930467789529345</v>
      </c>
      <c r="AF151">
        <f>AF111*EF!$N$13*0.001*365</f>
        <v>4.7930467789529345</v>
      </c>
      <c r="AG151">
        <f>AG111*EF!$N$13*0.001*365</f>
        <v>4.7930467789529345</v>
      </c>
      <c r="AH151">
        <f>AH111*EF!$N$13*0.001*365</f>
        <v>4.7930467789529345</v>
      </c>
      <c r="AI151">
        <f>AI111*EF!$N$13*0.001*365</f>
        <v>4.7930467789529345</v>
      </c>
      <c r="AJ151">
        <f>AJ111*EF!$N$13*0.001*365</f>
        <v>4.7930467789529345</v>
      </c>
      <c r="AK151">
        <f>AK111*EF!$N$13*0.001*365</f>
        <v>4.7930467789529345</v>
      </c>
      <c r="AL151">
        <f>AL111*EF!$N$13*0.001*365</f>
        <v>4.7930467789529345</v>
      </c>
      <c r="AM151">
        <f>AM111*EF!$N$13*0.001*365</f>
        <v>4.7930467789529345</v>
      </c>
      <c r="AN151">
        <f>AN111*EF!$N$13*0.001*365</f>
        <v>4.7930467789529345</v>
      </c>
    </row>
    <row r="153" spans="1:48" s="120" customFormat="1" ht="15.75" x14ac:dyDescent="0.25">
      <c r="A153" s="116" t="s">
        <v>1117</v>
      </c>
      <c r="B153" s="116"/>
      <c r="C153" s="116"/>
      <c r="D153" s="116"/>
      <c r="E153" s="116"/>
      <c r="F153" s="116"/>
      <c r="G153" s="116"/>
      <c r="H153" s="116"/>
      <c r="I153" s="116"/>
      <c r="J153" s="118"/>
      <c r="K153" s="118"/>
      <c r="L153" s="118"/>
      <c r="M153" s="118"/>
      <c r="N153" s="118"/>
      <c r="O153" s="118"/>
      <c r="P153" s="119"/>
      <c r="Q153" s="119"/>
      <c r="R153" s="119"/>
      <c r="S153" s="119"/>
      <c r="T153" s="119"/>
      <c r="U153" s="119"/>
      <c r="V153" s="119"/>
      <c r="W153" s="119"/>
      <c r="X153" s="119"/>
      <c r="Y153" s="119"/>
      <c r="Z153" s="119"/>
      <c r="AA153" s="119"/>
      <c r="AB153" s="119"/>
      <c r="AC153" s="119"/>
      <c r="AD153" s="119"/>
      <c r="AE153" s="119"/>
      <c r="AF153" s="119"/>
      <c r="AG153" s="119"/>
      <c r="AH153" s="119"/>
      <c r="AI153" s="119"/>
      <c r="AJ153" s="119"/>
      <c r="AK153" s="119"/>
      <c r="AL153" s="119"/>
      <c r="AM153" s="119"/>
      <c r="AN153" s="119"/>
      <c r="AO153" s="119"/>
      <c r="AP153" s="119"/>
      <c r="AQ153" s="119"/>
      <c r="AR153" s="119"/>
      <c r="AS153" s="119"/>
      <c r="AT153" s="119"/>
      <c r="AU153" s="119"/>
      <c r="AV153" s="119"/>
    </row>
    <row r="154" spans="1:48" x14ac:dyDescent="0.25">
      <c r="A154" t="s">
        <v>1118</v>
      </c>
      <c r="B154">
        <f>'Net zero activities &amp; levers'!$C68/100</f>
        <v>0</v>
      </c>
      <c r="C154">
        <f>B154</f>
        <v>0</v>
      </c>
      <c r="D154">
        <f t="shared" ref="D154:J154" si="260">C154</f>
        <v>0</v>
      </c>
      <c r="E154">
        <f t="shared" si="260"/>
        <v>0</v>
      </c>
      <c r="F154">
        <f t="shared" si="260"/>
        <v>0</v>
      </c>
      <c r="G154">
        <f t="shared" si="260"/>
        <v>0</v>
      </c>
      <c r="H154">
        <f t="shared" si="260"/>
        <v>0</v>
      </c>
      <c r="I154">
        <f t="shared" si="260"/>
        <v>0</v>
      </c>
      <c r="J154">
        <f t="shared" si="260"/>
        <v>0</v>
      </c>
      <c r="K154">
        <f t="shared" ref="K154:K156" si="261">J154+($T154-$J154)/10</f>
        <v>0.05</v>
      </c>
      <c r="L154">
        <f t="shared" ref="L154:L156" si="262">K154+($T154-$J154)/10</f>
        <v>0.1</v>
      </c>
      <c r="M154">
        <f t="shared" ref="M154:M156" si="263">L154+($T154-$J154)/10</f>
        <v>0.15000000000000002</v>
      </c>
      <c r="N154">
        <f t="shared" ref="N154:N156" si="264">M154+($T154-$J154)/10</f>
        <v>0.2</v>
      </c>
      <c r="O154">
        <f t="shared" ref="O154:O156" si="265">N154+($T154-$J154)/10</f>
        <v>0.25</v>
      </c>
      <c r="P154">
        <f t="shared" ref="P154:P156" si="266">O154+($T154-$J154)/10</f>
        <v>0.3</v>
      </c>
      <c r="Q154">
        <f t="shared" ref="Q154:Q156" si="267">P154+($T154-$J154)/10</f>
        <v>0.35</v>
      </c>
      <c r="R154">
        <f t="shared" ref="R154:R156" si="268">Q154+($T154-$J154)/10</f>
        <v>0.39999999999999997</v>
      </c>
      <c r="S154">
        <f t="shared" ref="S154:S156" si="269">R154+($T154-$J154)/10</f>
        <v>0.44999999999999996</v>
      </c>
      <c r="T154">
        <f>'Net zero activities &amp; levers'!$D68/100</f>
        <v>0.5</v>
      </c>
      <c r="U154">
        <f t="shared" ref="U154:U156" si="270">T154+($AD154-$T154)/10</f>
        <v>0.55000000000000004</v>
      </c>
      <c r="V154">
        <f t="shared" ref="V154:V156" si="271">U154+($AD154-$T154)/10</f>
        <v>0.60000000000000009</v>
      </c>
      <c r="W154">
        <f t="shared" ref="W154:W156" si="272">V154+($AD154-$T154)/10</f>
        <v>0.65000000000000013</v>
      </c>
      <c r="X154">
        <f t="shared" ref="X154:X156" si="273">W154+($AD154-$T154)/10</f>
        <v>0.70000000000000018</v>
      </c>
      <c r="Y154">
        <f t="shared" ref="Y154:Y156" si="274">X154+($AD154-$T154)/10</f>
        <v>0.75000000000000022</v>
      </c>
      <c r="Z154">
        <f t="shared" ref="Z154:Z156" si="275">Y154+($AD154-$T154)/10</f>
        <v>0.80000000000000027</v>
      </c>
      <c r="AA154">
        <f t="shared" ref="AA154:AA156" si="276">Z154+($AD154-$T154)/10</f>
        <v>0.85000000000000031</v>
      </c>
      <c r="AB154">
        <f t="shared" ref="AB154:AB156" si="277">AA154+($AD154-$T154)/10</f>
        <v>0.90000000000000036</v>
      </c>
      <c r="AC154">
        <f t="shared" ref="AC154:AC156" si="278">AB154+($AD154-$T154)/10</f>
        <v>0.9500000000000004</v>
      </c>
      <c r="AD154">
        <f>'Net zero activities &amp; levers'!$E68/100</f>
        <v>1</v>
      </c>
      <c r="AE154">
        <f t="shared" ref="AE154:AE156" si="279">AD154+($AN154-$AD154)/10</f>
        <v>1</v>
      </c>
      <c r="AF154">
        <f t="shared" ref="AF154:AF156" si="280">AE154+($AN154-$AD154)/10</f>
        <v>1</v>
      </c>
      <c r="AG154">
        <f t="shared" ref="AG154:AG156" si="281">AF154+($AN154-$AD154)/10</f>
        <v>1</v>
      </c>
      <c r="AH154">
        <f t="shared" ref="AH154:AH156" si="282">AG154+($AN154-$AD154)/10</f>
        <v>1</v>
      </c>
      <c r="AI154">
        <f t="shared" ref="AI154:AI156" si="283">AH154+($AN154-$AD154)/10</f>
        <v>1</v>
      </c>
      <c r="AJ154">
        <f t="shared" ref="AJ154:AJ156" si="284">AI154+($AN154-$AD154)/10</f>
        <v>1</v>
      </c>
      <c r="AK154">
        <f t="shared" ref="AK154:AK156" si="285">AJ154+($AN154-$AD154)/10</f>
        <v>1</v>
      </c>
      <c r="AL154">
        <f t="shared" ref="AL154:AL156" si="286">AK154+($AN154-$AD154)/10</f>
        <v>1</v>
      </c>
      <c r="AM154">
        <f t="shared" ref="AM154:AM156" si="287">AL154+($AN154-$AD154)/10</f>
        <v>1</v>
      </c>
      <c r="AN154">
        <f>'Net zero activities &amp; levers'!$F68/100</f>
        <v>1</v>
      </c>
    </row>
    <row r="155" spans="1:48" x14ac:dyDescent="0.25">
      <c r="A155" t="s">
        <v>1119</v>
      </c>
      <c r="B155">
        <f>'Net zero activities &amp; levers'!$C69/100</f>
        <v>0</v>
      </c>
      <c r="C155">
        <f t="shared" ref="C155:J156" si="288">B155</f>
        <v>0</v>
      </c>
      <c r="D155">
        <f t="shared" si="288"/>
        <v>0</v>
      </c>
      <c r="E155">
        <f t="shared" si="288"/>
        <v>0</v>
      </c>
      <c r="F155">
        <f t="shared" si="288"/>
        <v>0</v>
      </c>
      <c r="G155">
        <f t="shared" si="288"/>
        <v>0</v>
      </c>
      <c r="H155">
        <f t="shared" si="288"/>
        <v>0</v>
      </c>
      <c r="I155">
        <f t="shared" si="288"/>
        <v>0</v>
      </c>
      <c r="J155">
        <f t="shared" si="288"/>
        <v>0</v>
      </c>
      <c r="K155">
        <f t="shared" si="261"/>
        <v>0.05</v>
      </c>
      <c r="L155">
        <f t="shared" si="262"/>
        <v>0.1</v>
      </c>
      <c r="M155">
        <f t="shared" si="263"/>
        <v>0.15000000000000002</v>
      </c>
      <c r="N155">
        <f t="shared" si="264"/>
        <v>0.2</v>
      </c>
      <c r="O155">
        <f t="shared" si="265"/>
        <v>0.25</v>
      </c>
      <c r="P155">
        <f t="shared" si="266"/>
        <v>0.3</v>
      </c>
      <c r="Q155">
        <f t="shared" si="267"/>
        <v>0.35</v>
      </c>
      <c r="R155">
        <f t="shared" si="268"/>
        <v>0.39999999999999997</v>
      </c>
      <c r="S155">
        <f t="shared" si="269"/>
        <v>0.44999999999999996</v>
      </c>
      <c r="T155">
        <f>'Net zero activities &amp; levers'!$D69/100</f>
        <v>0.5</v>
      </c>
      <c r="U155">
        <f t="shared" si="270"/>
        <v>0.55000000000000004</v>
      </c>
      <c r="V155">
        <f t="shared" si="271"/>
        <v>0.60000000000000009</v>
      </c>
      <c r="W155">
        <f t="shared" si="272"/>
        <v>0.65000000000000013</v>
      </c>
      <c r="X155">
        <f t="shared" si="273"/>
        <v>0.70000000000000018</v>
      </c>
      <c r="Y155">
        <f t="shared" si="274"/>
        <v>0.75000000000000022</v>
      </c>
      <c r="Z155">
        <f t="shared" si="275"/>
        <v>0.80000000000000027</v>
      </c>
      <c r="AA155">
        <f t="shared" si="276"/>
        <v>0.85000000000000031</v>
      </c>
      <c r="AB155">
        <f t="shared" si="277"/>
        <v>0.90000000000000036</v>
      </c>
      <c r="AC155">
        <f t="shared" si="278"/>
        <v>0.9500000000000004</v>
      </c>
      <c r="AD155">
        <f>'Net zero activities &amp; levers'!$E69/100</f>
        <v>1</v>
      </c>
      <c r="AE155">
        <f t="shared" si="279"/>
        <v>1</v>
      </c>
      <c r="AF155">
        <f t="shared" si="280"/>
        <v>1</v>
      </c>
      <c r="AG155">
        <f t="shared" si="281"/>
        <v>1</v>
      </c>
      <c r="AH155">
        <f t="shared" si="282"/>
        <v>1</v>
      </c>
      <c r="AI155">
        <f t="shared" si="283"/>
        <v>1</v>
      </c>
      <c r="AJ155">
        <f t="shared" si="284"/>
        <v>1</v>
      </c>
      <c r="AK155">
        <f t="shared" si="285"/>
        <v>1</v>
      </c>
      <c r="AL155">
        <f t="shared" si="286"/>
        <v>1</v>
      </c>
      <c r="AM155">
        <f t="shared" si="287"/>
        <v>1</v>
      </c>
      <c r="AN155">
        <f>'Net zero activities &amp; levers'!$F69/100</f>
        <v>1</v>
      </c>
    </row>
    <row r="156" spans="1:48" x14ac:dyDescent="0.25">
      <c r="A156" t="s">
        <v>1126</v>
      </c>
      <c r="B156">
        <f>'Net zero activities &amp; levers'!$C70/100</f>
        <v>0</v>
      </c>
      <c r="C156">
        <f t="shared" si="288"/>
        <v>0</v>
      </c>
      <c r="D156">
        <f t="shared" si="288"/>
        <v>0</v>
      </c>
      <c r="E156">
        <f t="shared" si="288"/>
        <v>0</v>
      </c>
      <c r="F156">
        <f t="shared" si="288"/>
        <v>0</v>
      </c>
      <c r="G156">
        <f t="shared" si="288"/>
        <v>0</v>
      </c>
      <c r="H156">
        <f t="shared" si="288"/>
        <v>0</v>
      </c>
      <c r="I156">
        <f t="shared" si="288"/>
        <v>0</v>
      </c>
      <c r="J156">
        <f t="shared" si="288"/>
        <v>0</v>
      </c>
      <c r="K156">
        <f t="shared" si="261"/>
        <v>0.05</v>
      </c>
      <c r="L156">
        <f t="shared" si="262"/>
        <v>0.1</v>
      </c>
      <c r="M156">
        <f t="shared" si="263"/>
        <v>0.15000000000000002</v>
      </c>
      <c r="N156">
        <f t="shared" si="264"/>
        <v>0.2</v>
      </c>
      <c r="O156">
        <f t="shared" si="265"/>
        <v>0.25</v>
      </c>
      <c r="P156">
        <f t="shared" si="266"/>
        <v>0.3</v>
      </c>
      <c r="Q156">
        <f t="shared" si="267"/>
        <v>0.35</v>
      </c>
      <c r="R156">
        <f t="shared" si="268"/>
        <v>0.39999999999999997</v>
      </c>
      <c r="S156">
        <f t="shared" si="269"/>
        <v>0.44999999999999996</v>
      </c>
      <c r="T156">
        <f>'Net zero activities &amp; levers'!$D70/100</f>
        <v>0.5</v>
      </c>
      <c r="U156">
        <f t="shared" si="270"/>
        <v>0.55000000000000004</v>
      </c>
      <c r="V156">
        <f t="shared" si="271"/>
        <v>0.60000000000000009</v>
      </c>
      <c r="W156">
        <f t="shared" si="272"/>
        <v>0.65000000000000013</v>
      </c>
      <c r="X156">
        <f t="shared" si="273"/>
        <v>0.70000000000000018</v>
      </c>
      <c r="Y156">
        <f t="shared" si="274"/>
        <v>0.75000000000000022</v>
      </c>
      <c r="Z156">
        <f t="shared" si="275"/>
        <v>0.80000000000000027</v>
      </c>
      <c r="AA156">
        <f t="shared" si="276"/>
        <v>0.85000000000000031</v>
      </c>
      <c r="AB156">
        <f t="shared" si="277"/>
        <v>0.90000000000000036</v>
      </c>
      <c r="AC156">
        <f t="shared" si="278"/>
        <v>0.9500000000000004</v>
      </c>
      <c r="AD156">
        <f>'Net zero activities &amp; levers'!$E70/100</f>
        <v>1</v>
      </c>
      <c r="AE156">
        <f t="shared" si="279"/>
        <v>1</v>
      </c>
      <c r="AF156">
        <f t="shared" si="280"/>
        <v>1</v>
      </c>
      <c r="AG156">
        <f t="shared" si="281"/>
        <v>1</v>
      </c>
      <c r="AH156">
        <f t="shared" si="282"/>
        <v>1</v>
      </c>
      <c r="AI156">
        <f t="shared" si="283"/>
        <v>1</v>
      </c>
      <c r="AJ156">
        <f t="shared" si="284"/>
        <v>1</v>
      </c>
      <c r="AK156">
        <f t="shared" si="285"/>
        <v>1</v>
      </c>
      <c r="AL156">
        <f t="shared" si="286"/>
        <v>1</v>
      </c>
      <c r="AM156">
        <f t="shared" si="287"/>
        <v>1</v>
      </c>
      <c r="AN156">
        <f>'Net zero activities &amp; levers'!$F70/100</f>
        <v>1</v>
      </c>
    </row>
    <row r="157" spans="1:48" x14ac:dyDescent="0.25">
      <c r="A157" t="s">
        <v>1129</v>
      </c>
      <c r="B157">
        <f>'Net zero Activity data'!AD47*'Net zero supporting data'!B154</f>
        <v>0</v>
      </c>
      <c r="C157">
        <f>'Net zero Activity data'!AE47*'Net zero supporting data'!C154</f>
        <v>0</v>
      </c>
      <c r="D157">
        <f>'Net zero Activity data'!AF47*'Net zero supporting data'!D154</f>
        <v>0</v>
      </c>
      <c r="E157">
        <f>'Net zero Activity data'!AG47*'Net zero supporting data'!E154</f>
        <v>0</v>
      </c>
      <c r="F157">
        <f>'Net zero Activity data'!AH47*'Net zero supporting data'!F154</f>
        <v>0</v>
      </c>
      <c r="G157">
        <f>'Net zero Activity data'!AI47*'Net zero supporting data'!G154</f>
        <v>0</v>
      </c>
      <c r="H157">
        <f>'Net zero Activity data'!AJ47*'Net zero supporting data'!H154</f>
        <v>0</v>
      </c>
      <c r="I157">
        <f>'Net zero Activity data'!AK47*'Net zero supporting data'!I154</f>
        <v>0</v>
      </c>
      <c r="J157">
        <f>'Net zero Activity data'!AL47*'Net zero supporting data'!J154</f>
        <v>0</v>
      </c>
      <c r="K157">
        <f>'Net zero Activity data'!AM47*'Net zero supporting data'!K154</f>
        <v>21016.578291380145</v>
      </c>
      <c r="L157">
        <f>'Net zero Activity data'!AN47*'Net zero supporting data'!L154</f>
        <v>42024.224378912782</v>
      </c>
      <c r="M157">
        <f>'Net zero Activity data'!AO47*'Net zero supporting data'!M154</f>
        <v>63024.290461781056</v>
      </c>
      <c r="N157">
        <f>'Net zero Activity data'!AP47*'Net zero supporting data'!N154</f>
        <v>84016.474700534513</v>
      </c>
      <c r="O157">
        <f>'Net zero Activity data'!AQ47*'Net zero supporting data'!O154</f>
        <v>104997.76089203235</v>
      </c>
      <c r="P157">
        <f>'Net zero Activity data'!AR47*'Net zero supporting data'!P154</f>
        <v>125970.21146407007</v>
      </c>
      <c r="Q157">
        <f>'Net zero Activity data'!AS47*'Net zero supporting data'!Q154</f>
        <v>146933.1894622969</v>
      </c>
      <c r="R157">
        <f>'Net zero Activity data'!AT47*'Net zero supporting data'!R154</f>
        <v>167888.56770938032</v>
      </c>
      <c r="S157">
        <f>'Net zero Activity data'!AU47*'Net zero supporting data'!S154</f>
        <v>188833.489918078</v>
      </c>
      <c r="T157">
        <f>'Net zero Activity data'!AV47*'Net zero supporting data'!T154</f>
        <v>209772.51719424032</v>
      </c>
      <c r="U157">
        <f>'Net zero Activity data'!AW47*'Net zero supporting data'!U154</f>
        <v>230702.63338758281</v>
      </c>
      <c r="V157">
        <f>'Net zero Activity data'!AX47*'Net zero supporting data'!V154</f>
        <v>251615.7639337244</v>
      </c>
      <c r="W157">
        <f>'Net zero Activity data'!AY47*'Net zero supporting data'!W154</f>
        <v>272515.31156636146</v>
      </c>
      <c r="X157">
        <f>'Net zero Activity data'!AZ47*'Net zero supporting data'!X154</f>
        <v>293403.40147466713</v>
      </c>
      <c r="Y157">
        <f>'Net zero Activity data'!BA47*'Net zero supporting data'!Y154</f>
        <v>314344.91930296802</v>
      </c>
      <c r="Z157">
        <f>'Net zero Activity data'!BB47*'Net zero supporting data'!Z154</f>
        <v>342334.88381521561</v>
      </c>
      <c r="AA157">
        <f>'Net zero Activity data'!BC47*'Net zero supporting data'!AA154</f>
        <v>363744.03539468005</v>
      </c>
      <c r="AB157">
        <f>'Net zero Activity data'!BD47*'Net zero supporting data'!AB154</f>
        <v>385154.88978897734</v>
      </c>
      <c r="AC157">
        <f>'Net zero Activity data'!BE47*'Net zero supporting data'!AC154</f>
        <v>406567.47370149544</v>
      </c>
      <c r="AD157">
        <f>'Net zero Activity data'!BF47*'Net zero supporting data'!AD154</f>
        <v>427981.81432918552</v>
      </c>
      <c r="AE157">
        <f>'Net zero Activity data'!BG47*'Net zero supporting data'!AE154</f>
        <v>427998.03749931557</v>
      </c>
      <c r="AF157">
        <f>'Net zero Activity data'!BH47*'Net zero supporting data'!AF154</f>
        <v>428011.94374848937</v>
      </c>
      <c r="AG157">
        <f>'Net zero Activity data'!BI47*'Net zero supporting data'!AG154</f>
        <v>428025.97614139889</v>
      </c>
      <c r="AH157">
        <f>'Net zero Activity data'!BJ47*'Net zero supporting data'!AH154</f>
        <v>428040.13618739508</v>
      </c>
      <c r="AI157">
        <f>'Net zero Activity data'!BK47*'Net zero supporting data'!AI154</f>
        <v>428054.42542059056</v>
      </c>
      <c r="AJ157">
        <f>'Net zero Activity data'!BL47*'Net zero supporting data'!AJ154</f>
        <v>428068.84540039871</v>
      </c>
      <c r="AK157">
        <f>'Net zero Activity data'!BM47*'Net zero supporting data'!AK154</f>
        <v>428080.80297467351</v>
      </c>
      <c r="AL157">
        <f>'Net zero Activity data'!BN47*'Net zero supporting data'!AL154</f>
        <v>428092.850937429</v>
      </c>
      <c r="AM157">
        <f>'Net zero Activity data'!BO47*'Net zero supporting data'!AM154</f>
        <v>428104.99019598478</v>
      </c>
      <c r="AN157">
        <f>'Net zero Activity data'!BP47*'Net zero supporting data'!AN154</f>
        <v>428117.22167018935</v>
      </c>
    </row>
    <row r="158" spans="1:48" x14ac:dyDescent="0.25">
      <c r="A158" t="s">
        <v>1130</v>
      </c>
      <c r="B158">
        <f>'Net zero Activity data'!AD48*'Net zero supporting data'!B155</f>
        <v>0</v>
      </c>
      <c r="C158">
        <f>'Net zero Activity data'!AE48*'Net zero supporting data'!C155</f>
        <v>0</v>
      </c>
      <c r="D158">
        <f>'Net zero Activity data'!AF48*'Net zero supporting data'!D155</f>
        <v>0</v>
      </c>
      <c r="E158">
        <f>'Net zero Activity data'!AG48*'Net zero supporting data'!E155</f>
        <v>0</v>
      </c>
      <c r="F158">
        <f>'Net zero Activity data'!AH48*'Net zero supporting data'!F155</f>
        <v>0</v>
      </c>
      <c r="G158">
        <f>'Net zero Activity data'!AI48*'Net zero supporting data'!G155</f>
        <v>0</v>
      </c>
      <c r="H158">
        <f>'Net zero Activity data'!AJ48*'Net zero supporting data'!H155</f>
        <v>0</v>
      </c>
      <c r="I158">
        <f>'Net zero Activity data'!AK48*'Net zero supporting data'!I155</f>
        <v>0</v>
      </c>
      <c r="J158">
        <f>'Net zero Activity data'!AL48*'Net zero supporting data'!J155</f>
        <v>0</v>
      </c>
      <c r="K158">
        <f>'Net zero Activity data'!AM48*'Net zero supporting data'!K155</f>
        <v>138.709416723109</v>
      </c>
      <c r="L158">
        <f>'Net zero Activity data'!AN48*'Net zero supporting data'!L155</f>
        <v>277.35988090082441</v>
      </c>
      <c r="M158">
        <f>'Net zero Activity data'!AO48*'Net zero supporting data'!M155</f>
        <v>415.96031704775504</v>
      </c>
      <c r="N158">
        <f>'Net zero Activity data'!AP48*'Net zero supporting data'!N155</f>
        <v>554.50873302352784</v>
      </c>
      <c r="O158">
        <f>'Net zero Activity data'!AQ48*'Net zero supporting data'!O155</f>
        <v>692.98522188741367</v>
      </c>
      <c r="P158">
        <f>'Net zero Activity data'!AR48*'Net zero supporting data'!P155</f>
        <v>831.40339566286264</v>
      </c>
      <c r="Q158">
        <f>'Net zero Activity data'!AS48*'Net zero supporting data'!Q155</f>
        <v>969.75905045115985</v>
      </c>
      <c r="R158">
        <f>'Net zero Activity data'!AT48*'Net zero supporting data'!R155</f>
        <v>1108.0645468819102</v>
      </c>
      <c r="S158">
        <f>'Net zero Activity data'!AU48*'Net zero supporting data'!S155</f>
        <v>1246.301033459315</v>
      </c>
      <c r="T158">
        <f>'Net zero Activity data'!AV48*'Net zero supporting data'!T155</f>
        <v>1384.4986134819865</v>
      </c>
      <c r="U158">
        <f>'Net zero Activity data'!AW48*'Net zero supporting data'!U155</f>
        <v>1522.6373803580468</v>
      </c>
      <c r="V158">
        <f>'Net zero Activity data'!AX48*'Net zero supporting data'!V155</f>
        <v>1660.6640419625815</v>
      </c>
      <c r="W158">
        <f>'Net zero Activity data'!AY48*'Net zero supporting data'!W155</f>
        <v>1798.6010563379857</v>
      </c>
      <c r="X158">
        <f>'Net zero Activity data'!AZ48*'Net zero supporting data'!X155</f>
        <v>1936.4624497328034</v>
      </c>
      <c r="Y158">
        <f>'Net zero Activity data'!BA48*'Net zero supporting data'!Y155</f>
        <v>2074.676467399589</v>
      </c>
      <c r="Z158">
        <f>'Net zero Activity data'!BB48*'Net zero supporting data'!Z155</f>
        <v>2259.4102331804233</v>
      </c>
      <c r="AA158">
        <f>'Net zero Activity data'!BC48*'Net zero supporting data'!AA155</f>
        <v>2400.7106336048887</v>
      </c>
      <c r="AB158">
        <f>'Net zero Activity data'!BD48*'Net zero supporting data'!AB155</f>
        <v>2542.0222726072502</v>
      </c>
      <c r="AC158">
        <f>'Net zero Activity data'!BE48*'Net zero supporting data'!AC155</f>
        <v>2683.3453264298705</v>
      </c>
      <c r="AD158">
        <f>'Net zero Activity data'!BF48*'Net zero supporting data'!AD155</f>
        <v>2824.6799745726253</v>
      </c>
      <c r="AE158">
        <f>'Net zero Activity data'!BG48*'Net zero supporting data'!AE155</f>
        <v>2824.7870474954834</v>
      </c>
      <c r="AF158">
        <f>'Net zero Activity data'!BH48*'Net zero supporting data'!AF155</f>
        <v>2824.8788287400307</v>
      </c>
      <c r="AG158">
        <f>'Net zero Activity data'!BI48*'Net zero supporting data'!AG155</f>
        <v>2824.9714425332331</v>
      </c>
      <c r="AH158">
        <f>'Net zero Activity data'!BJ48*'Net zero supporting data'!AH155</f>
        <v>2825.064898836808</v>
      </c>
      <c r="AI158">
        <f>'Net zero Activity data'!BK48*'Net zero supporting data'!AI155</f>
        <v>2825.1592077758978</v>
      </c>
      <c r="AJ158">
        <f>'Net zero Activity data'!BL48*'Net zero supporting data'!AJ155</f>
        <v>2825.2543796426316</v>
      </c>
      <c r="AK158">
        <f>'Net zero Activity data'!BM48*'Net zero supporting data'!AK155</f>
        <v>2825.3332996328459</v>
      </c>
      <c r="AL158">
        <f>'Net zero Activity data'!BN48*'Net zero supporting data'!AL155</f>
        <v>2825.4128161870321</v>
      </c>
      <c r="AM158">
        <f>'Net zero Activity data'!BO48*'Net zero supporting data'!AM155</f>
        <v>2825.4929352934996</v>
      </c>
      <c r="AN158">
        <f>'Net zero Activity data'!BP48*'Net zero supporting data'!AN155</f>
        <v>2825.5736630232504</v>
      </c>
    </row>
    <row r="159" spans="1:48" x14ac:dyDescent="0.25">
      <c r="A159" t="s">
        <v>1133</v>
      </c>
      <c r="B159">
        <f>'Net zero Activity data'!AD50*'Net zero supporting data'!B156</f>
        <v>0</v>
      </c>
      <c r="C159">
        <f>'Net zero Activity data'!AE50*'Net zero supporting data'!C156</f>
        <v>0</v>
      </c>
      <c r="D159">
        <f>'Net zero Activity data'!AF50*'Net zero supporting data'!D156</f>
        <v>0</v>
      </c>
      <c r="E159">
        <f>'Net zero Activity data'!AG50*'Net zero supporting data'!E156</f>
        <v>0</v>
      </c>
      <c r="F159">
        <f>'Net zero Activity data'!AH50*'Net zero supporting data'!F156</f>
        <v>0</v>
      </c>
      <c r="G159">
        <f>'Net zero Activity data'!AI50*'Net zero supporting data'!G156</f>
        <v>0</v>
      </c>
      <c r="H159">
        <f>'Net zero Activity data'!AJ50*'Net zero supporting data'!H156</f>
        <v>0</v>
      </c>
      <c r="I159">
        <f>'Net zero Activity data'!AK50*'Net zero supporting data'!I156</f>
        <v>0</v>
      </c>
      <c r="J159">
        <f>'Net zero Activity data'!AL50*'Net zero supporting data'!J156</f>
        <v>0</v>
      </c>
      <c r="K159">
        <f>'Net zero Activity data'!AM50*'Net zero supporting data'!K156</f>
        <v>1008582.2456630014</v>
      </c>
      <c r="L159">
        <f>'Net zero Activity data'!AN50*'Net zero supporting data'!L156</f>
        <v>2015885.9247958069</v>
      </c>
      <c r="M159">
        <f>'Net zero Activity data'!AO50*'Net zero supporting data'!M156</f>
        <v>3022110.3993099635</v>
      </c>
      <c r="N159">
        <f>'Net zero Activity data'!AP50*'Net zero supporting data'!N156</f>
        <v>4032877.088776553</v>
      </c>
      <c r="O159">
        <f>'Net zero Activity data'!AQ50*'Net zero supporting data'!O156</f>
        <v>5045436.7796614394</v>
      </c>
      <c r="P159">
        <f>'Net zero Activity data'!AR50*'Net zero supporting data'!P156</f>
        <v>6057373.8621252766</v>
      </c>
      <c r="Q159">
        <f>'Net zero Activity data'!AS50*'Net zero supporting data'!Q156</f>
        <v>7067982.0090695517</v>
      </c>
      <c r="R159">
        <f>'Net zero Activity data'!AT50*'Net zero supporting data'!R156</f>
        <v>8082998.819503786</v>
      </c>
      <c r="S159">
        <f>'Net zero Activity data'!AU50*'Net zero supporting data'!S156</f>
        <v>9093561.4642634466</v>
      </c>
      <c r="T159">
        <f>'Net zero Activity data'!AV50*'Net zero supporting data'!T156</f>
        <v>10105751.608252693</v>
      </c>
      <c r="U159">
        <f>'Net zero Activity data'!AW50*'Net zero supporting data'!U156</f>
        <v>11210367.77943367</v>
      </c>
      <c r="V159">
        <f>'Net zero Activity data'!AX50*'Net zero supporting data'!V156</f>
        <v>12342567.959877105</v>
      </c>
      <c r="W159">
        <f>'Net zero Activity data'!AY50*'Net zero supporting data'!W156</f>
        <v>13498854.268257385</v>
      </c>
      <c r="X159">
        <f>'Net zero Activity data'!AZ50*'Net zero supporting data'!X156</f>
        <v>14535878.235517759</v>
      </c>
      <c r="Y159">
        <f>'Net zero Activity data'!BA50*'Net zero supporting data'!Y156</f>
        <v>8324566.5542234657</v>
      </c>
      <c r="Z159">
        <f>'Net zero Activity data'!BB50*'Net zero supporting data'!Z156</f>
        <v>8871461.267685663</v>
      </c>
      <c r="AA159">
        <f>'Net zero Activity data'!BC50*'Net zero supporting data'!AA156</f>
        <v>9418232.1468992997</v>
      </c>
      <c r="AB159">
        <f>'Net zero Activity data'!BD50*'Net zero supporting data'!AB156</f>
        <v>9964994.2309648357</v>
      </c>
      <c r="AC159">
        <f>'Net zero Activity data'!BE50*'Net zero supporting data'!AC156</f>
        <v>10511856.606608348</v>
      </c>
      <c r="AD159">
        <f>'Net zero Activity data'!BF50*'Net zero supporting data'!AD156</f>
        <v>11058922.933931876</v>
      </c>
      <c r="AE159">
        <f>'Net zero Activity data'!BG50*'Net zero supporting data'!AE156</f>
        <v>11045802.744445667</v>
      </c>
      <c r="AF159">
        <f>'Net zero Activity data'!BH50*'Net zero supporting data'!AF156</f>
        <v>11033500.262018252</v>
      </c>
      <c r="AG159">
        <f>'Net zero Activity data'!BI50*'Net zero supporting data'!AG156</f>
        <v>11021982.205229528</v>
      </c>
      <c r="AH159">
        <f>'Net zero Activity data'!BJ50*'Net zero supporting data'!AH156</f>
        <v>11011217.470104985</v>
      </c>
      <c r="AI159">
        <f>'Net zero Activity data'!BK50*'Net zero supporting data'!AI156</f>
        <v>11001176.945537895</v>
      </c>
      <c r="AJ159">
        <f>'Net zero Activity data'!BL50*'Net zero supporting data'!AJ156</f>
        <v>10984006.12269249</v>
      </c>
      <c r="AK159">
        <f>'Net zero Activity data'!BM50*'Net zero supporting data'!AK156</f>
        <v>10967493.508296529</v>
      </c>
      <c r="AL159">
        <f>'Net zero Activity data'!BN50*'Net zero supporting data'!AL156</f>
        <v>10951613.856075004</v>
      </c>
      <c r="AM159">
        <f>'Net zero Activity data'!BO50*'Net zero supporting data'!AM156</f>
        <v>10936343.399765765</v>
      </c>
      <c r="AN159">
        <f>'Net zero Activity data'!BP50*'Net zero supporting data'!AN156</f>
        <v>10921659.739697717</v>
      </c>
    </row>
    <row r="160" spans="1:48" x14ac:dyDescent="0.25">
      <c r="A160" t="s">
        <v>1135</v>
      </c>
      <c r="B160">
        <f>'Net zero Activity data'!AD51*'Net zero supporting data'!B156</f>
        <v>0</v>
      </c>
      <c r="C160">
        <f>'Net zero Activity data'!AE51*'Net zero supporting data'!C156</f>
        <v>0</v>
      </c>
      <c r="D160">
        <f>'Net zero Activity data'!AF51*'Net zero supporting data'!D156</f>
        <v>0</v>
      </c>
      <c r="E160">
        <f>'Net zero Activity data'!AG51*'Net zero supporting data'!E156</f>
        <v>0</v>
      </c>
      <c r="F160">
        <f>'Net zero Activity data'!AH51*'Net zero supporting data'!F156</f>
        <v>0</v>
      </c>
      <c r="G160">
        <f>'Net zero Activity data'!AI51*'Net zero supporting data'!G156</f>
        <v>0</v>
      </c>
      <c r="H160">
        <f>'Net zero Activity data'!AJ51*'Net zero supporting data'!H156</f>
        <v>0</v>
      </c>
      <c r="I160">
        <f>'Net zero Activity data'!AK51*'Net zero supporting data'!I156</f>
        <v>0</v>
      </c>
      <c r="J160">
        <f>'Net zero Activity data'!AL51*'Net zero supporting data'!J156</f>
        <v>0</v>
      </c>
      <c r="K160">
        <f>'Net zero Activity data'!AM51*'Net zero supporting data'!K156</f>
        <v>2949064.9995190981</v>
      </c>
      <c r="L160">
        <f>'Net zero Activity data'!AN51*'Net zero supporting data'!L156</f>
        <v>5894391.5078839343</v>
      </c>
      <c r="M160">
        <f>'Net zero Activity data'!AO51*'Net zero supporting data'!M156</f>
        <v>8836562.453495346</v>
      </c>
      <c r="N160">
        <f>'Net zero Activity data'!AP51*'Net zero supporting data'!N156</f>
        <v>11792014.702831976</v>
      </c>
      <c r="O160">
        <f>'Net zero Activity data'!AQ51*'Net zero supporting data'!O156</f>
        <v>14752709.635895714</v>
      </c>
      <c r="P160">
        <f>'Net zero Activity data'!AR51*'Net zero supporting data'!P156</f>
        <v>17711584.080138821</v>
      </c>
      <c r="Q160">
        <f>'Net zero Activity data'!AS51*'Net zero supporting data'!Q156</f>
        <v>20666572.755775336</v>
      </c>
      <c r="R160">
        <f>'Net zero Activity data'!AT51*'Net zero supporting data'!R156</f>
        <v>23634452.234565292</v>
      </c>
      <c r="S160">
        <f>'Net zero Activity data'!AU51*'Net zero supporting data'!S156</f>
        <v>26589307.863144293</v>
      </c>
      <c r="T160">
        <f>'Net zero Activity data'!AV51*'Net zero supporting data'!T156</f>
        <v>29548922.25188921</v>
      </c>
      <c r="U160">
        <f>'Net zero Activity data'!AW51*'Net zero supporting data'!U156</f>
        <v>32778787.641985599</v>
      </c>
      <c r="V160">
        <f>'Net zero Activity data'!AX51*'Net zero supporting data'!V156</f>
        <v>36089307.868722342</v>
      </c>
      <c r="W160">
        <f>'Net zero Activity data'!AY51*'Net zero supporting data'!W156</f>
        <v>39470255.229367048</v>
      </c>
      <c r="X160">
        <f>'Net zero Activity data'!AZ51*'Net zero supporting data'!X156</f>
        <v>42502482.991317824</v>
      </c>
      <c r="Y160">
        <f>'Net zero Activity data'!BA51*'Net zero supporting data'!Y156</f>
        <v>24340789.22843793</v>
      </c>
      <c r="Z160">
        <f>'Net zero Activity data'!BB51*'Net zero supporting data'!Z156</f>
        <v>25939893.381647754</v>
      </c>
      <c r="AA160">
        <f>'Net zero Activity data'!BC51*'Net zero supporting data'!AA156</f>
        <v>27538635.447135195</v>
      </c>
      <c r="AB160">
        <f>'Net zero Activity data'!BD51*'Net zero supporting data'!AB156</f>
        <v>29137351.795866709</v>
      </c>
      <c r="AC160">
        <f>'Net zero Activity data'!BE51*'Net zero supporting data'!AC156</f>
        <v>30736361.394240111</v>
      </c>
      <c r="AD160">
        <f>'Net zero Activity data'!BF51*'Net zero supporting data'!AD156</f>
        <v>32335967.341363177</v>
      </c>
      <c r="AE160">
        <f>'Net zero Activity data'!BG51*'Net zero supporting data'!AE156</f>
        <v>32297604.290885933</v>
      </c>
      <c r="AF160">
        <f>'Net zero Activity data'!BH51*'Net zero supporting data'!AF156</f>
        <v>32261632.191942189</v>
      </c>
      <c r="AG160">
        <f>'Net zero Activity data'!BI51*'Net zero supporting data'!AG156</f>
        <v>32227953.730632596</v>
      </c>
      <c r="AH160">
        <f>'Net zero Activity data'!BJ51*'Net zero supporting data'!AH156</f>
        <v>32196477.959845036</v>
      </c>
      <c r="AI160">
        <f>'Net zero Activity data'!BK51*'Net zero supporting data'!AI156</f>
        <v>32167119.759554543</v>
      </c>
      <c r="AJ160">
        <f>'Net zero Activity data'!BL51*'Net zero supporting data'!AJ156</f>
        <v>32116912.775558863</v>
      </c>
      <c r="AK160">
        <f>'Net zero Activity data'!BM51*'Net zero supporting data'!AK156</f>
        <v>32068630.373826049</v>
      </c>
      <c r="AL160">
        <f>'Net zero Activity data'!BN51*'Net zero supporting data'!AL156</f>
        <v>32022198.734986082</v>
      </c>
      <c r="AM160">
        <f>'Net zero Activity data'!BO51*'Net zero supporting data'!AM156</f>
        <v>31977548.367183242</v>
      </c>
      <c r="AN160">
        <f>'Net zero Activity data'!BP51*'Net zero supporting data'!AN156</f>
        <v>31934613.774434142</v>
      </c>
    </row>
    <row r="161" spans="1:40" x14ac:dyDescent="0.25">
      <c r="A161" t="s">
        <v>1134</v>
      </c>
      <c r="B161">
        <f>'Net zero Activity data'!AD52*'Net zero supporting data'!B156</f>
        <v>0</v>
      </c>
      <c r="C161">
        <f>'Net zero Activity data'!AE52*'Net zero supporting data'!C156</f>
        <v>0</v>
      </c>
      <c r="D161">
        <f>'Net zero Activity data'!AF52*'Net zero supporting data'!D156</f>
        <v>0</v>
      </c>
      <c r="E161">
        <f>'Net zero Activity data'!AG52*'Net zero supporting data'!E156</f>
        <v>0</v>
      </c>
      <c r="F161">
        <f>'Net zero Activity data'!AH52*'Net zero supporting data'!F156</f>
        <v>0</v>
      </c>
      <c r="G161">
        <f>'Net zero Activity data'!AI52*'Net zero supporting data'!G156</f>
        <v>0</v>
      </c>
      <c r="H161">
        <f>'Net zero Activity data'!AJ52*'Net zero supporting data'!H156</f>
        <v>0</v>
      </c>
      <c r="I161">
        <f>'Net zero Activity data'!AK52*'Net zero supporting data'!I156</f>
        <v>0</v>
      </c>
      <c r="J161">
        <f>'Net zero Activity data'!AL52*'Net zero supporting data'!J156</f>
        <v>0</v>
      </c>
      <c r="K161">
        <f>'Net zero Activity data'!AM52*'Net zero supporting data'!K156</f>
        <v>157758.34950911754</v>
      </c>
      <c r="L161">
        <f>'Net zero Activity data'!AN52*'Net zero supporting data'!L156</f>
        <v>315316.71082053613</v>
      </c>
      <c r="M161">
        <f>'Net zero Activity data'!AO52*'Net zero supporting data'!M156</f>
        <v>472706.26731692569</v>
      </c>
      <c r="N161">
        <f>'Net zero Activity data'!AP52*'Net zero supporting data'!N156</f>
        <v>630806.29867750488</v>
      </c>
      <c r="O161">
        <f>'Net zero Activity data'!AQ52*'Net zero supporting data'!O156</f>
        <v>789186.78405721264</v>
      </c>
      <c r="P161">
        <f>'Net zero Activity data'!AR52*'Net zero supporting data'!P156</f>
        <v>947469.88354963402</v>
      </c>
      <c r="Q161">
        <f>'Net zero Activity data'!AS52*'Net zero supporting data'!Q156</f>
        <v>1105545.1163310641</v>
      </c>
      <c r="R161">
        <f>'Net zero Activity data'!AT52*'Net zero supporting data'!R156</f>
        <v>1264309.934397887</v>
      </c>
      <c r="S161">
        <f>'Net zero Activity data'!AU52*'Net zero supporting data'!S156</f>
        <v>1422378.0499119102</v>
      </c>
      <c r="T161">
        <f>'Net zero Activity data'!AV52*'Net zero supporting data'!T156</f>
        <v>1580700.7322630868</v>
      </c>
      <c r="U161">
        <f>'Net zero Activity data'!AW52*'Net zero supporting data'!U156</f>
        <v>1753480.3194072554</v>
      </c>
      <c r="V161">
        <f>'Net zero Activity data'!AX52*'Net zero supporting data'!V156</f>
        <v>1930574.4855486271</v>
      </c>
      <c r="W161">
        <f>'Net zero Activity data'!AY52*'Net zero supporting data'!W156</f>
        <v>2111436.1062587476</v>
      </c>
      <c r="X161">
        <f>'Net zero Activity data'!AZ52*'Net zero supporting data'!X156</f>
        <v>2273643.194654251</v>
      </c>
      <c r="Y161">
        <f>'Net zero Activity data'!BA52*'Net zero supporting data'!Y156</f>
        <v>1302094.9809698514</v>
      </c>
      <c r="Z161">
        <f>'Net zero Activity data'!BB52*'Net zero supporting data'!Z156</f>
        <v>1387638.0368010029</v>
      </c>
      <c r="AA161">
        <f>'Net zero Activity data'!BC52*'Net zero supporting data'!AA156</f>
        <v>1473161.7229805966</v>
      </c>
      <c r="AB161">
        <f>'Net zero Activity data'!BD52*'Net zero supporting data'!AB156</f>
        <v>1558684.03345875</v>
      </c>
      <c r="AC161">
        <f>'Net zero Activity data'!BE52*'Net zero supporting data'!AC156</f>
        <v>1644222.0311392895</v>
      </c>
      <c r="AD161">
        <f>'Net zero Activity data'!BF52*'Net zero supporting data'!AD156</f>
        <v>1729791.9301154916</v>
      </c>
      <c r="AE161">
        <f>'Net zero Activity data'!BG52*'Net zero supporting data'!AE156</f>
        <v>1727739.7232206238</v>
      </c>
      <c r="AF161">
        <f>'Net zero Activity data'!BH52*'Net zero supporting data'!AF156</f>
        <v>1725815.4187516926</v>
      </c>
      <c r="AG161">
        <f>'Net zero Activity data'!BI52*'Net zero supporting data'!AG156</f>
        <v>1724013.8109637753</v>
      </c>
      <c r="AH161">
        <f>'Net zero Activity data'!BJ52*'Net zero supporting data'!AH156</f>
        <v>1722330.034699169</v>
      </c>
      <c r="AI161">
        <f>'Net zero Activity data'!BK52*'Net zero supporting data'!AI156</f>
        <v>1720759.5365164767</v>
      </c>
      <c r="AJ161">
        <f>'Net zero Activity data'!BL52*'Net zero supporting data'!AJ156</f>
        <v>1718073.7459590351</v>
      </c>
      <c r="AK161">
        <f>'Net zero Activity data'!BM52*'Net zero supporting data'!AK156</f>
        <v>1715490.9097011201</v>
      </c>
      <c r="AL161">
        <f>'Net zero Activity data'!BN52*'Net zero supporting data'!AL156</f>
        <v>1713007.0788226584</v>
      </c>
      <c r="AM161">
        <f>'Net zero Activity data'!BO52*'Net zero supporting data'!AM156</f>
        <v>1710618.5359011905</v>
      </c>
      <c r="AN161">
        <f>'Net zero Activity data'!BP52*'Net zero supporting data'!AN156</f>
        <v>1708321.7772708964</v>
      </c>
    </row>
    <row r="162" spans="1:40" x14ac:dyDescent="0.25">
      <c r="A162" t="s">
        <v>1136</v>
      </c>
      <c r="B162">
        <f>'Net zero Activity data'!AD53*'Net zero supporting data'!B156</f>
        <v>0</v>
      </c>
      <c r="C162">
        <f>'Net zero Activity data'!AE53*'Net zero supporting data'!C156</f>
        <v>0</v>
      </c>
      <c r="D162">
        <f>'Net zero Activity data'!AF53*'Net zero supporting data'!D156</f>
        <v>0</v>
      </c>
      <c r="E162">
        <f>'Net zero Activity data'!AG53*'Net zero supporting data'!E156</f>
        <v>0</v>
      </c>
      <c r="F162">
        <f>'Net zero Activity data'!AH53*'Net zero supporting data'!F156</f>
        <v>0</v>
      </c>
      <c r="G162">
        <f>'Net zero Activity data'!AI53*'Net zero supporting data'!G156</f>
        <v>0</v>
      </c>
      <c r="H162">
        <f>'Net zero Activity data'!AJ53*'Net zero supporting data'!H156</f>
        <v>0</v>
      </c>
      <c r="I162">
        <f>'Net zero Activity data'!AK53*'Net zero supporting data'!I156</f>
        <v>0</v>
      </c>
      <c r="J162">
        <f>'Net zero Activity data'!AL53*'Net zero supporting data'!J156</f>
        <v>0</v>
      </c>
      <c r="K162">
        <f>'Net zero Activity data'!AM53*'Net zero supporting data'!K156</f>
        <v>986202.75254622067</v>
      </c>
      <c r="L162">
        <f>'Net zero Activity data'!AN53*'Net zero supporting data'!L156</f>
        <v>1968998.8470631642</v>
      </c>
      <c r="M162">
        <f>'Net zero Activity data'!AO53*'Net zero supporting data'!M156</f>
        <v>2947478.5185216302</v>
      </c>
      <c r="N162">
        <f>'Net zero Activity data'!AP53*'Net zero supporting data'!N156</f>
        <v>3937106.8183639273</v>
      </c>
      <c r="O162">
        <f>'Net zero Activity data'!AQ53*'Net zero supporting data'!O156</f>
        <v>4927882.2321969047</v>
      </c>
      <c r="P162">
        <f>'Net zero Activity data'!AR53*'Net zero supporting data'!P156</f>
        <v>5923111.9701591451</v>
      </c>
      <c r="Q162">
        <f>'Net zero Activity data'!AS53*'Net zero supporting data'!Q156</f>
        <v>6911581.1305443076</v>
      </c>
      <c r="R162">
        <f>'Net zero Activity data'!AT53*'Net zero supporting data'!R156</f>
        <v>7908558.0888917763</v>
      </c>
      <c r="S162">
        <f>'Net zero Activity data'!AU53*'Net zero supporting data'!S156</f>
        <v>8887897.5438688211</v>
      </c>
      <c r="T162">
        <f>'Net zero Activity data'!AV53*'Net zero supporting data'!T156</f>
        <v>9865925.2526495382</v>
      </c>
      <c r="U162">
        <f>'Net zero Activity data'!AW53*'Net zero supporting data'!U156</f>
        <v>10873501.709683029</v>
      </c>
      <c r="V162">
        <f>'Net zero Activity data'!AX53*'Net zero supporting data'!V156</f>
        <v>11900392.738057138</v>
      </c>
      <c r="W162">
        <f>'Net zero Activity data'!AY53*'Net zero supporting data'!W156</f>
        <v>12933236.415256916</v>
      </c>
      <c r="X162">
        <f>'Net zero Activity data'!AZ53*'Net zero supporting data'!X156</f>
        <v>13610377.196943767</v>
      </c>
      <c r="Y162">
        <f>'Net zero Activity data'!BA53*'Net zero supporting data'!Y156</f>
        <v>-3434175.9147671922</v>
      </c>
      <c r="Z162">
        <f>'Net zero Activity data'!BB53*'Net zero supporting data'!Z156</f>
        <v>-3572267.4201191654</v>
      </c>
      <c r="AA162">
        <f>'Net zero Activity data'!BC53*'Net zero supporting data'!AA156</f>
        <v>-3700730.1029150914</v>
      </c>
      <c r="AB162">
        <f>'Net zero Activity data'!BD53*'Net zero supporting data'!AB156</f>
        <v>-3819782.1558087561</v>
      </c>
      <c r="AC162">
        <f>'Net zero Activity data'!BE53*'Net zero supporting data'!AC156</f>
        <v>-3929628.8239772585</v>
      </c>
      <c r="AD162">
        <f>'Net zero Activity data'!BF53*'Net zero supporting data'!AD156</f>
        <v>-4030463.4572018664</v>
      </c>
      <c r="AE162">
        <f>'Net zero Activity data'!BG53*'Net zero supporting data'!AE156</f>
        <v>-3943533.5857176585</v>
      </c>
      <c r="AF162">
        <f>'Net zero Activity data'!BH53*'Net zero supporting data'!AF156</f>
        <v>-3858080.2366364161</v>
      </c>
      <c r="AG162">
        <f>'Net zero Activity data'!BI53*'Net zero supporting data'!AG156</f>
        <v>-3774042.6303321929</v>
      </c>
      <c r="AH162">
        <f>'Net zero Activity data'!BJ53*'Net zero supporting data'!AH156</f>
        <v>-3691363.7509724111</v>
      </c>
      <c r="AI162">
        <f>'Net zero Activity data'!BK53*'Net zero supporting data'!AI156</f>
        <v>-3609990.0367943197</v>
      </c>
      <c r="AJ162">
        <f>'Net zero Activity data'!BL53*'Net zero supporting data'!AJ156</f>
        <v>-3527472.0842466722</v>
      </c>
      <c r="AK162">
        <f>'Net zero Activity data'!BM53*'Net zero supporting data'!AK156</f>
        <v>-3446260.2175867083</v>
      </c>
      <c r="AL162">
        <f>'Net zero Activity data'!BN53*'Net zero supporting data'!AL156</f>
        <v>-3366307.9184643696</v>
      </c>
      <c r="AM162">
        <f>'Net zero Activity data'!BO53*'Net zero supporting data'!AM156</f>
        <v>-3287571.2584737823</v>
      </c>
      <c r="AN162">
        <f>'Net zero Activity data'!BP53*'Net zero supporting data'!AN156</f>
        <v>-3210008.7071511289</v>
      </c>
    </row>
    <row r="163" spans="1:40" x14ac:dyDescent="0.25">
      <c r="A163" t="s">
        <v>1137</v>
      </c>
      <c r="B163">
        <f>'Net zero Activity data'!AD55*'Net zero supporting data'!B156</f>
        <v>0</v>
      </c>
      <c r="C163">
        <f>'Net zero Activity data'!AE55*'Net zero supporting data'!C156</f>
        <v>0</v>
      </c>
      <c r="D163">
        <f>'Net zero Activity data'!AF55*'Net zero supporting data'!D156</f>
        <v>0</v>
      </c>
      <c r="E163">
        <f>'Net zero Activity data'!AG55*'Net zero supporting data'!E156</f>
        <v>0</v>
      </c>
      <c r="F163">
        <f>'Net zero Activity data'!AH55*'Net zero supporting data'!F156</f>
        <v>0</v>
      </c>
      <c r="G163">
        <f>'Net zero Activity data'!AI55*'Net zero supporting data'!G156</f>
        <v>0</v>
      </c>
      <c r="H163">
        <f>'Net zero Activity data'!AJ55*'Net zero supporting data'!H156</f>
        <v>0</v>
      </c>
      <c r="I163">
        <f>'Net zero Activity data'!AK55*'Net zero supporting data'!I156</f>
        <v>0</v>
      </c>
      <c r="J163">
        <f>'Net zero Activity data'!AL55*'Net zero supporting data'!J156</f>
        <v>0</v>
      </c>
      <c r="K163">
        <f>'Net zero Activity data'!AM55*'Net zero supporting data'!K156</f>
        <v>1206213.674765741</v>
      </c>
      <c r="L163">
        <f>'Net zero Activity data'!AN55*'Net zero supporting data'!L156</f>
        <v>2491883.061898069</v>
      </c>
      <c r="M163">
        <f>'Net zero Activity data'!AO55*'Net zero supporting data'!M156</f>
        <v>3858886.6758706532</v>
      </c>
      <c r="N163">
        <f>'Net zero Activity data'!AP55*'Net zero supporting data'!N156</f>
        <v>5331312.2809719956</v>
      </c>
      <c r="O163">
        <f>'Net zero Activity data'!AQ55*'Net zero supporting data'!O156</f>
        <v>6900641.3444230603</v>
      </c>
      <c r="P163">
        <f>'Net zero Activity data'!AR55*'Net zero supporting data'!P156</f>
        <v>8576050.7488912027</v>
      </c>
      <c r="Q163">
        <f>'Net zero Activity data'!AS55*'Net zero supporting data'!Q156</f>
        <v>10345887.042680765</v>
      </c>
      <c r="R163">
        <f>'Net zero Activity data'!AT55*'Net zero supporting data'!R156</f>
        <v>12237512.128978342</v>
      </c>
      <c r="S163">
        <f>'Net zero Activity data'!AU55*'Net zero supporting data'!S156</f>
        <v>14215439.148560626</v>
      </c>
      <c r="T163">
        <f>'Net zero Activity data'!AV55*'Net zero supporting data'!T156</f>
        <v>16309145.032720624</v>
      </c>
      <c r="U163">
        <f>'Net zero Activity data'!AW55*'Net zero supporting data'!U156</f>
        <v>18578469.472913045</v>
      </c>
      <c r="V163">
        <f>'Net zero Activity data'!AX55*'Net zero supporting data'!V156</f>
        <v>21017348.554017108</v>
      </c>
      <c r="W163">
        <f>'Net zero Activity data'!AY55*'Net zero supporting data'!W156</f>
        <v>23612277.465235408</v>
      </c>
      <c r="X163">
        <f>'Net zero Activity data'!AZ55*'Net zero supporting data'!X156</f>
        <v>25689848.824666079</v>
      </c>
      <c r="Y163">
        <f>'Net zero Activity data'!BA55*'Net zero supporting data'!Y156</f>
        <v>-6702395.9171964396</v>
      </c>
      <c r="Z163">
        <f>'Net zero Activity data'!BB55*'Net zero supporting data'!Z156</f>
        <v>-7209942.4918346768</v>
      </c>
      <c r="AA163">
        <f>'Net zero Activity data'!BC55*'Net zero supporting data'!AA156</f>
        <v>-7725532.8246370992</v>
      </c>
      <c r="AB163">
        <f>'Net zero Activity data'!BD55*'Net zero supporting data'!AB156</f>
        <v>-8249251.3735896787</v>
      </c>
      <c r="AC163">
        <f>'Net zero Activity data'!BE55*'Net zero supporting data'!AC156</f>
        <v>-8781183.6080294009</v>
      </c>
      <c r="AD163">
        <f>'Net zero Activity data'!BF55*'Net zero supporting data'!AD156</f>
        <v>-9321416.0185488854</v>
      </c>
      <c r="AE163">
        <f>'Net zero Activity data'!BG55*'Net zero supporting data'!AE156</f>
        <v>-9382018.5486693736</v>
      </c>
      <c r="AF163">
        <f>'Net zero Activity data'!BH55*'Net zero supporting data'!AF156</f>
        <v>-9442979.546896968</v>
      </c>
      <c r="AG163">
        <f>'Net zero Activity data'!BI55*'Net zero supporting data'!AG156</f>
        <v>-9504301.7267931215</v>
      </c>
      <c r="AH163">
        <f>'Net zero Activity data'!BJ55*'Net zero supporting data'!AH156</f>
        <v>-9565987.8195408192</v>
      </c>
      <c r="AI163">
        <f>'Net zero Activity data'!BK55*'Net zero supporting data'!AI156</f>
        <v>-9628040.5740641337</v>
      </c>
      <c r="AJ163">
        <f>'Net zero Activity data'!BL55*'Net zero supporting data'!AJ156</f>
        <v>-9683876.7968151998</v>
      </c>
      <c r="AK163">
        <f>'Net zero Activity data'!BM55*'Net zero supporting data'!AK156</f>
        <v>-9739975.8704236299</v>
      </c>
      <c r="AL163">
        <f>'Net zero Activity data'!BN55*'Net zero supporting data'!AL156</f>
        <v>-9796339.4804780763</v>
      </c>
      <c r="AM163">
        <f>'Net zero Activity data'!BO55*'Net zero supporting data'!AM156</f>
        <v>-9852969.3212708905</v>
      </c>
      <c r="AN163">
        <f>'Net zero Activity data'!BP55*'Net zero supporting data'!AN156</f>
        <v>-9909867.0958480071</v>
      </c>
    </row>
    <row r="164" spans="1:40" x14ac:dyDescent="0.25">
      <c r="A164" t="s">
        <v>1138</v>
      </c>
      <c r="B164">
        <f>'Net zero Activity data'!AD56*'Net zero supporting data'!B156</f>
        <v>0</v>
      </c>
      <c r="C164">
        <f>'Net zero Activity data'!AE56*'Net zero supporting data'!C156</f>
        <v>0</v>
      </c>
      <c r="D164">
        <f>'Net zero Activity data'!AF56*'Net zero supporting data'!D156</f>
        <v>0</v>
      </c>
      <c r="E164">
        <f>'Net zero Activity data'!AG56*'Net zero supporting data'!E156</f>
        <v>0</v>
      </c>
      <c r="F164">
        <f>'Net zero Activity data'!AH56*'Net zero supporting data'!F156</f>
        <v>0</v>
      </c>
      <c r="G164">
        <f>'Net zero Activity data'!AI56*'Net zero supporting data'!G156</f>
        <v>0</v>
      </c>
      <c r="H164">
        <f>'Net zero Activity data'!AJ56*'Net zero supporting data'!H156</f>
        <v>0</v>
      </c>
      <c r="I164">
        <f>'Net zero Activity data'!AK56*'Net zero supporting data'!I156</f>
        <v>0</v>
      </c>
      <c r="J164">
        <f>'Net zero Activity data'!AL56*'Net zero supporting data'!J156</f>
        <v>0</v>
      </c>
      <c r="K164">
        <f>'Net zero Activity data'!AM56*'Net zero supporting data'!K156</f>
        <v>189680.88822731076</v>
      </c>
      <c r="L164">
        <f>'Net zero Activity data'!AN56*'Net zero supporting data'!L156</f>
        <v>380000.57497892418</v>
      </c>
      <c r="M164">
        <f>'Net zero Activity data'!AO56*'Net zero supporting data'!M156</f>
        <v>571091.29792016046</v>
      </c>
      <c r="N164">
        <f>'Net zero Activity data'!AP56*'Net zero supporting data'!N156</f>
        <v>763092.82761532976</v>
      </c>
      <c r="O164">
        <f>'Net zero Activity data'!AQ56*'Net zero supporting data'!O156</f>
        <v>956110.23166956473</v>
      </c>
      <c r="P164">
        <f>'Net zero Activity data'!AR56*'Net zero supporting data'!P156</f>
        <v>1148990.0473992866</v>
      </c>
      <c r="Q164">
        <f>'Net zero Activity data'!AS56*'Net zero supporting data'!Q156</f>
        <v>1342648.7783833663</v>
      </c>
      <c r="R164">
        <f>'Net zero Activity data'!AT56*'Net zero supporting data'!R156</f>
        <v>1537192.3811730363</v>
      </c>
      <c r="S164">
        <f>'Net zero Activity data'!AU56*'Net zero supporting data'!S156</f>
        <v>1732673.9097538949</v>
      </c>
      <c r="T164">
        <f>'Net zero Activity data'!AV56*'Net zero supporting data'!T156</f>
        <v>1929191.1927317008</v>
      </c>
      <c r="U164">
        <f>'Net zero Activity data'!AW56*'Net zero supporting data'!U156</f>
        <v>2125005.4364876938</v>
      </c>
      <c r="V164">
        <f>'Net zero Activity data'!AX56*'Net zero supporting data'!V156</f>
        <v>2321678.2728174389</v>
      </c>
      <c r="W164">
        <f>'Net zero Activity data'!AY56*'Net zero supporting data'!W156</f>
        <v>2519258.7452704706</v>
      </c>
      <c r="X164">
        <f>'Net zero Activity data'!AZ56*'Net zero supporting data'!X156</f>
        <v>2717321.2818160797</v>
      </c>
      <c r="Y164">
        <f>'Net zero Activity data'!BA56*'Net zero supporting data'!Y156</f>
        <v>2891840.5794047494</v>
      </c>
      <c r="Z164">
        <f>'Net zero Activity data'!BB56*'Net zero supporting data'!Z156</f>
        <v>3087595.2535814079</v>
      </c>
      <c r="AA164">
        <f>'Net zero Activity data'!BC56*'Net zero supporting data'!AA156</f>
        <v>3284046.6967195105</v>
      </c>
      <c r="AB164">
        <f>'Net zero Activity data'!BD56*'Net zero supporting data'!AB156</f>
        <v>3481239.4122442566</v>
      </c>
      <c r="AC164">
        <f>'Net zero Activity data'!BE56*'Net zero supporting data'!AC156</f>
        <v>3679216.069044448</v>
      </c>
      <c r="AD164">
        <f>'Net zero Activity data'!BF56*'Net zero supporting data'!AD156</f>
        <v>3878017.6752405372</v>
      </c>
      <c r="AE164">
        <f>'Net zero Activity data'!BG56*'Net zero supporting data'!AE156</f>
        <v>3880521.1752845258</v>
      </c>
      <c r="AF164">
        <f>'Net zero Activity data'!BH56*'Net zero supporting data'!AF156</f>
        <v>3883327.2559692212</v>
      </c>
      <c r="AG164">
        <f>'Net zero Activity data'!BI56*'Net zero supporting data'!AG156</f>
        <v>3886425.3867749069</v>
      </c>
      <c r="AH164">
        <f>'Net zero Activity data'!BJ56*'Net zero supporting data'!AH156</f>
        <v>3889805.7579294723</v>
      </c>
      <c r="AI164">
        <f>'Net zero Activity data'!BK56*'Net zero supporting data'!AI156</f>
        <v>3893459.2191773844</v>
      </c>
      <c r="AJ164">
        <f>'Net zero Activity data'!BL56*'Net zero supporting data'!AJ156</f>
        <v>3894360.483625744</v>
      </c>
      <c r="AK164">
        <f>'Net zero Activity data'!BM56*'Net zero supporting data'!AK156</f>
        <v>3895504.1154070995</v>
      </c>
      <c r="AL164">
        <f>'Net zero Activity data'!BN56*'Net zero supporting data'!AL156</f>
        <v>3896882.0873199245</v>
      </c>
      <c r="AM164">
        <f>'Net zero Activity data'!BO56*'Net zero supporting data'!AM156</f>
        <v>3898486.8623385238</v>
      </c>
      <c r="AN164">
        <f>'Net zero Activity data'!BP56*'Net zero supporting data'!AN156</f>
        <v>3900311.3559177192</v>
      </c>
    </row>
    <row r="165" spans="1:40" x14ac:dyDescent="0.25">
      <c r="A165" t="s">
        <v>1139</v>
      </c>
      <c r="B165">
        <f>'Net zero Activity data'!AD58*'Net zero supporting data'!B156</f>
        <v>0</v>
      </c>
      <c r="C165">
        <f>'Net zero Activity data'!AE58*'Net zero supporting data'!C156</f>
        <v>0</v>
      </c>
      <c r="D165">
        <f>'Net zero Activity data'!AF58*'Net zero supporting data'!D156</f>
        <v>0</v>
      </c>
      <c r="E165">
        <f>'Net zero Activity data'!AG58*'Net zero supporting data'!E156</f>
        <v>0</v>
      </c>
      <c r="F165">
        <f>'Net zero Activity data'!AH58*'Net zero supporting data'!F156</f>
        <v>0</v>
      </c>
      <c r="G165">
        <f>'Net zero Activity data'!AI58*'Net zero supporting data'!G156</f>
        <v>0</v>
      </c>
      <c r="H165">
        <f>'Net zero Activity data'!AJ58*'Net zero supporting data'!H156</f>
        <v>0</v>
      </c>
      <c r="I165">
        <f>'Net zero Activity data'!AK58*'Net zero supporting data'!I156</f>
        <v>0</v>
      </c>
      <c r="J165">
        <f>'Net zero Activity data'!AL58*'Net zero supporting data'!J156</f>
        <v>0</v>
      </c>
      <c r="K165">
        <f>'Net zero Activity data'!AM58*'Net zero supporting data'!K156</f>
        <v>23954.535760326682</v>
      </c>
      <c r="L165">
        <f>'Net zero Activity data'!AN58*'Net zero supporting data'!L156</f>
        <v>48055.816089559674</v>
      </c>
      <c r="M165">
        <f>'Net zero Activity data'!AO58*'Net zero supporting data'!M156</f>
        <v>72323.502358356913</v>
      </c>
      <c r="N165">
        <f>'Net zero Activity data'!AP58*'Net zero supporting data'!N156</f>
        <v>96779.040058168743</v>
      </c>
      <c r="O165">
        <f>'Net zero Activity data'!AQ58*'Net zero supporting data'!O156</f>
        <v>121437.57686448793</v>
      </c>
      <c r="P165">
        <f>'Net zero Activity data'!AR58*'Net zero supporting data'!P156</f>
        <v>146076.87344147853</v>
      </c>
      <c r="Q165">
        <f>'Net zero Activity data'!AS58*'Net zero supporting data'!Q156</f>
        <v>170867.06328510481</v>
      </c>
      <c r="R165">
        <f>'Net zero Activity data'!AT58*'Net zero supporting data'!R156</f>
        <v>195824.65995468691</v>
      </c>
      <c r="S165">
        <f>'Net zero Activity data'!AU58*'Net zero supporting data'!S156</f>
        <v>220956.37722177902</v>
      </c>
      <c r="T165">
        <f>'Net zero Activity data'!AV58*'Net zero supporting data'!T156</f>
        <v>246277.4923923357</v>
      </c>
      <c r="U165">
        <f>'Net zero Activity data'!AW58*'Net zero supporting data'!U156</f>
        <v>271460.2633097645</v>
      </c>
      <c r="V165">
        <f>'Net zero Activity data'!AX58*'Net zero supporting data'!V156</f>
        <v>296795.11450630677</v>
      </c>
      <c r="W165">
        <f>'Net zero Activity data'!AY58*'Net zero supporting data'!W156</f>
        <v>322288.82397890463</v>
      </c>
      <c r="X165">
        <f>'Net zero Activity data'!AZ58*'Net zero supporting data'!X156</f>
        <v>347860.13064970227</v>
      </c>
      <c r="Y165">
        <f>'Net zero Activity data'!BA58*'Net zero supporting data'!Y156</f>
        <v>369054.661963486</v>
      </c>
      <c r="Z165">
        <f>'Net zero Activity data'!BB58*'Net zero supporting data'!Z156</f>
        <v>394179.60921116814</v>
      </c>
      <c r="AA165">
        <f>'Net zero Activity data'!BC58*'Net zero supporting data'!AA156</f>
        <v>419419.38343308639</v>
      </c>
      <c r="AB165">
        <f>'Net zero Activity data'!BD58*'Net zero supporting data'!AB156</f>
        <v>444780.61333851458</v>
      </c>
      <c r="AC165">
        <f>'Net zero Activity data'!BE58*'Net zero supporting data'!AC156</f>
        <v>470269.62791905046</v>
      </c>
      <c r="AD165">
        <f>'Net zero Activity data'!BF58*'Net zero supporting data'!AD156</f>
        <v>495892.48483859003</v>
      </c>
      <c r="AE165">
        <f>'Net zero Activity data'!BG58*'Net zero supporting data'!AE156</f>
        <v>496266.71384928073</v>
      </c>
      <c r="AF165">
        <f>'Net zero Activity data'!BH58*'Net zero supporting data'!AF156</f>
        <v>496687.64775052987</v>
      </c>
      <c r="AG165">
        <f>'Net zero Activity data'!BI58*'Net zero supporting data'!AG156</f>
        <v>497153.52577021741</v>
      </c>
      <c r="AH165">
        <f>'Net zero Activity data'!BJ58*'Net zero supporting data'!AH156</f>
        <v>497662.70792933175</v>
      </c>
      <c r="AI165">
        <f>'Net zero Activity data'!BK58*'Net zero supporting data'!AI156</f>
        <v>498213.66469327634</v>
      </c>
      <c r="AJ165">
        <f>'Net zero Activity data'!BL58*'Net zero supporting data'!AJ156</f>
        <v>498256.6503077349</v>
      </c>
      <c r="AK165">
        <f>'Net zero Activity data'!BM58*'Net zero supporting data'!AK156</f>
        <v>498337.864411366</v>
      </c>
      <c r="AL165">
        <f>'Net zero Activity data'!BN58*'Net zero supporting data'!AL156</f>
        <v>498455.93410188274</v>
      </c>
      <c r="AM165">
        <f>'Net zero Activity data'!BO58*'Net zero supporting data'!AM156</f>
        <v>498609.57051073818</v>
      </c>
      <c r="AN165">
        <f>'Net zero Activity data'!BP58*'Net zero supporting data'!AN156</f>
        <v>498797.56229283981</v>
      </c>
    </row>
    <row r="166" spans="1:40" x14ac:dyDescent="0.25">
      <c r="A166" t="s">
        <v>1140</v>
      </c>
      <c r="B166">
        <f>'Net zero Activity data'!AD62*'Net zero supporting data'!B156</f>
        <v>0</v>
      </c>
      <c r="C166">
        <f>'Net zero Activity data'!AE62*'Net zero supporting data'!C156</f>
        <v>0</v>
      </c>
      <c r="D166">
        <f>'Net zero Activity data'!AF62*'Net zero supporting data'!D156</f>
        <v>0</v>
      </c>
      <c r="E166">
        <f>'Net zero Activity data'!AG62*'Net zero supporting data'!E156</f>
        <v>0</v>
      </c>
      <c r="F166">
        <f>'Net zero Activity data'!AH62*'Net zero supporting data'!F156</f>
        <v>0</v>
      </c>
      <c r="G166">
        <f>'Net zero Activity data'!AI62*'Net zero supporting data'!G156</f>
        <v>0</v>
      </c>
      <c r="H166">
        <f>'Net zero Activity data'!AJ62*'Net zero supporting data'!H156</f>
        <v>0</v>
      </c>
      <c r="I166">
        <f>'Net zero Activity data'!AK62*'Net zero supporting data'!I156</f>
        <v>0</v>
      </c>
      <c r="J166">
        <f>'Net zero Activity data'!AL62*'Net zero supporting data'!J156</f>
        <v>0</v>
      </c>
      <c r="K166">
        <f>'Net zero Activity data'!AM62*'Net zero supporting data'!K156</f>
        <v>316977.62973505398</v>
      </c>
      <c r="L166">
        <f>'Net zero Activity data'!AN62*'Net zero supporting data'!L156</f>
        <v>635964.64650399901</v>
      </c>
      <c r="M166">
        <f>'Net zero Activity data'!AO62*'Net zero supporting data'!M156</f>
        <v>956877.2460401532</v>
      </c>
      <c r="N166">
        <f>'Net zero Activity data'!AP62*'Net zero supporting data'!N156</f>
        <v>1285379.6616519757</v>
      </c>
      <c r="O166">
        <f>'Net zero Activity data'!AQ62*'Net zero supporting data'!O156</f>
        <v>1618252.7054635438</v>
      </c>
      <c r="P166">
        <f>'Net zero Activity data'!AR62*'Net zero supporting data'!P156</f>
        <v>1957774.1066687792</v>
      </c>
      <c r="Q166">
        <f>'Net zero Activity data'!AS62*'Net zero supporting data'!Q156</f>
        <v>2299611.1691921134</v>
      </c>
      <c r="R166">
        <f>'Net zero Activity data'!AT62*'Net zero supporting data'!R156</f>
        <v>2649472.3314427752</v>
      </c>
      <c r="S166">
        <f>'Net zero Activity data'!AU62*'Net zero supporting data'!S156</f>
        <v>2998136.7781413938</v>
      </c>
      <c r="T166">
        <f>'Net zero Activity data'!AV62*'Net zero supporting data'!T156</f>
        <v>3351694.0376093993</v>
      </c>
      <c r="U166">
        <f>'Net zero Activity data'!AW62*'Net zero supporting data'!U156</f>
        <v>3728315.5561398799</v>
      </c>
      <c r="V166">
        <f>'Net zero Activity data'!AX62*'Net zero supporting data'!V156</f>
        <v>4120078.2476426191</v>
      </c>
      <c r="W166">
        <f>'Net zero Activity data'!AY62*'Net zero supporting data'!W156</f>
        <v>4522637.7210016167</v>
      </c>
      <c r="X166">
        <f>'Net zero Activity data'!AZ62*'Net zero supporting data'!X156</f>
        <v>4798855.5471509462</v>
      </c>
      <c r="Y166">
        <f>'Net zero Activity data'!BA62*'Net zero supporting data'!Y156</f>
        <v>-1734824.6289164592</v>
      </c>
      <c r="Z166">
        <f>'Net zero Activity data'!BB62*'Net zero supporting data'!Z156</f>
        <v>-1830238.3461783226</v>
      </c>
      <c r="AA166">
        <f>'Net zero Activity data'!BC62*'Net zero supporting data'!AA156</f>
        <v>-1923582.5413273633</v>
      </c>
      <c r="AB166">
        <f>'Net zero Activity data'!BD62*'Net zero supporting data'!AB156</f>
        <v>-2014906.5961471479</v>
      </c>
      <c r="AC166">
        <f>'Net zero Activity data'!BE62*'Net zero supporting data'!AC156</f>
        <v>-2104255.2680350849</v>
      </c>
      <c r="AD166">
        <f>'Net zero Activity data'!BF62*'Net zero supporting data'!AD156</f>
        <v>-2191669.0879230401</v>
      </c>
      <c r="AE166">
        <f>'Net zero Activity data'!BG62*'Net zero supporting data'!AE156</f>
        <v>-2166073.6437911359</v>
      </c>
      <c r="AF166">
        <f>'Net zero Activity data'!BH62*'Net zero supporting data'!AF156</f>
        <v>-2140929.4834788847</v>
      </c>
      <c r="AG166">
        <f>'Net zero Activity data'!BI62*'Net zero supporting data'!AG156</f>
        <v>-2116210.2499472206</v>
      </c>
      <c r="AH166">
        <f>'Net zero Activity data'!BJ62*'Net zero supporting data'!AH156</f>
        <v>-2091891.3077406024</v>
      </c>
      <c r="AI166">
        <f>'Net zero Activity data'!BK62*'Net zero supporting data'!AI156</f>
        <v>-2067949.594237848</v>
      </c>
      <c r="AJ166">
        <f>'Net zero Activity data'!BL62*'Net zero supporting data'!AJ156</f>
        <v>-2041858.4863783326</v>
      </c>
      <c r="AK166">
        <f>'Net zero Activity data'!BM62*'Net zero supporting data'!AK156</f>
        <v>-2016165.8846086052</v>
      </c>
      <c r="AL166">
        <f>'Net zero Activity data'!BN62*'Net zero supporting data'!AL156</f>
        <v>-1990851.2763613397</v>
      </c>
      <c r="AM166">
        <f>'Net zero Activity data'!BO62*'Net zero supporting data'!AM156</f>
        <v>-1965895.361023468</v>
      </c>
      <c r="AN166">
        <f>'Net zero Activity data'!BP62*'Net zero supporting data'!AN156</f>
        <v>-1941279.9554436032</v>
      </c>
    </row>
    <row r="167" spans="1:40" x14ac:dyDescent="0.25">
      <c r="A167" t="s">
        <v>1141</v>
      </c>
      <c r="B167">
        <f>'Net zero Activity data'!AD64*'Net zero supporting data'!B156</f>
        <v>0</v>
      </c>
      <c r="C167">
        <f>'Net zero Activity data'!AE64*'Net zero supporting data'!C156</f>
        <v>0</v>
      </c>
      <c r="D167">
        <f>'Net zero Activity data'!AF64*'Net zero supporting data'!D156</f>
        <v>0</v>
      </c>
      <c r="E167">
        <f>'Net zero Activity data'!AG64*'Net zero supporting data'!E156</f>
        <v>0</v>
      </c>
      <c r="F167">
        <f>'Net zero Activity data'!AH64*'Net zero supporting data'!F156</f>
        <v>0</v>
      </c>
      <c r="G167">
        <f>'Net zero Activity data'!AI64*'Net zero supporting data'!G156</f>
        <v>0</v>
      </c>
      <c r="H167">
        <f>'Net zero Activity data'!AJ64*'Net zero supporting data'!H156</f>
        <v>0</v>
      </c>
      <c r="I167">
        <f>'Net zero Activity data'!AK64*'Net zero supporting data'!I156</f>
        <v>0</v>
      </c>
      <c r="J167">
        <f>'Net zero Activity data'!AL64*'Net zero supporting data'!J156</f>
        <v>0</v>
      </c>
      <c r="K167">
        <f>'Net zero Activity data'!AM64*'Net zero supporting data'!K156</f>
        <v>538151.56565115822</v>
      </c>
      <c r="L167">
        <f>'Net zero Activity data'!AN64*'Net zero supporting data'!L156</f>
        <v>1097419.956653842</v>
      </c>
      <c r="M167">
        <f>'Net zero Activity data'!AO64*'Net zero supporting data'!M156</f>
        <v>1678055.2320035137</v>
      </c>
      <c r="N167">
        <f>'Net zero Activity data'!AP64*'Net zero supporting data'!N156</f>
        <v>2285717.6573962481</v>
      </c>
      <c r="O167">
        <f>'Net zero Activity data'!AQ64*'Net zero supporting data'!O156</f>
        <v>2918037.0532638142</v>
      </c>
      <c r="P167">
        <f>'Net zero Activity data'!AR64*'Net zero supporting data'!P156</f>
        <v>3574805.3006227845</v>
      </c>
      <c r="Q167">
        <f>'Net zero Activity data'!AS64*'Net zero supporting data'!Q156</f>
        <v>4254314.1788803097</v>
      </c>
      <c r="R167">
        <f>'Net zero Activity data'!AT64*'Net zero supporting data'!R156</f>
        <v>4962823.5060700625</v>
      </c>
      <c r="S167">
        <f>'Net zero Activity data'!AU64*'Net zero supporting data'!S156</f>
        <v>5691539.8751569921</v>
      </c>
      <c r="T167">
        <f>'Net zero Activity data'!AV64*'Net zero supporting data'!T156</f>
        <v>6447192.5074478462</v>
      </c>
      <c r="U167">
        <f>'Net zero Activity data'!AW64*'Net zero supporting data'!U156</f>
        <v>7245639.4447660362</v>
      </c>
      <c r="V167">
        <f>'Net zero Activity data'!AX64*'Net zero supporting data'!V156</f>
        <v>8083595.041524875</v>
      </c>
      <c r="W167">
        <f>'Net zero Activity data'!AY64*'Net zero supporting data'!W156</f>
        <v>8957537.094918875</v>
      </c>
      <c r="X167">
        <f>'Net zero Activity data'!AZ64*'Net zero supporting data'!X156</f>
        <v>9710786.5891210549</v>
      </c>
      <c r="Y167">
        <f>'Net zero Activity data'!BA64*'Net zero supporting data'!Y156</f>
        <v>2493843.2043293738</v>
      </c>
      <c r="Z167">
        <f>'Net zero Activity data'!BB64*'Net zero supporting data'!Z156</f>
        <v>2680544.5316745364</v>
      </c>
      <c r="AA167">
        <f>'Net zero Activity data'!BC64*'Net zero supporting data'!AA156</f>
        <v>2869959.6577390945</v>
      </c>
      <c r="AB167">
        <f>'Net zero Activity data'!BD64*'Net zero supporting data'!AB156</f>
        <v>3062117.7682083496</v>
      </c>
      <c r="AC167">
        <f>'Net zero Activity data'!BE64*'Net zero supporting data'!AC156</f>
        <v>3257048.3382545044</v>
      </c>
      <c r="AD167">
        <f>'Net zero Activity data'!BF64*'Net zero supporting data'!AD156</f>
        <v>3454781.1345638521</v>
      </c>
      <c r="AE167">
        <f>'Net zero Activity data'!BG64*'Net zero supporting data'!AE156</f>
        <v>3477271.4956193902</v>
      </c>
      <c r="AF167">
        <f>'Net zero Activity data'!BH64*'Net zero supporting data'!AF156</f>
        <v>3499900.6844023233</v>
      </c>
      <c r="AG167">
        <f>'Net zero Activity data'!BI64*'Net zero supporting data'!AG156</f>
        <v>3522669.6033113631</v>
      </c>
      <c r="AH167">
        <f>'Net zero Activity data'!BJ64*'Net zero supporting data'!AH156</f>
        <v>3545579.1577648697</v>
      </c>
      <c r="AI167">
        <f>'Net zero Activity data'!BK64*'Net zero supporting data'!AI156</f>
        <v>3568630.256437717</v>
      </c>
      <c r="AJ167">
        <f>'Net zero Activity data'!BL64*'Net zero supporting data'!AJ156</f>
        <v>3587702.2055944856</v>
      </c>
      <c r="AK167">
        <f>'Net zero Activity data'!BM64*'Net zero supporting data'!AK156</f>
        <v>3606870.7743201684</v>
      </c>
      <c r="AL167">
        <f>'Net zero Activity data'!BN64*'Net zero supporting data'!AL156</f>
        <v>3626136.4866673448</v>
      </c>
      <c r="AM167">
        <f>'Net zero Activity data'!BO64*'Net zero supporting data'!AM156</f>
        <v>3645499.8675702326</v>
      </c>
      <c r="AN167">
        <f>'Net zero Activity data'!BP64*'Net zero supporting data'!AN156</f>
        <v>3664961.4429860529</v>
      </c>
    </row>
    <row r="168" spans="1:40" x14ac:dyDescent="0.25">
      <c r="A168" t="s">
        <v>1142</v>
      </c>
      <c r="B168">
        <f>'Net zero Activity data'!AD65*'Net zero supporting data'!B156</f>
        <v>0</v>
      </c>
      <c r="C168">
        <f>'Net zero Activity data'!AE65*'Net zero supporting data'!C156</f>
        <v>0</v>
      </c>
      <c r="D168">
        <f>'Net zero Activity data'!AF65*'Net zero supporting data'!D156</f>
        <v>0</v>
      </c>
      <c r="E168">
        <f>'Net zero Activity data'!AG65*'Net zero supporting data'!E156</f>
        <v>0</v>
      </c>
      <c r="F168">
        <f>'Net zero Activity data'!AH65*'Net zero supporting data'!F156</f>
        <v>0</v>
      </c>
      <c r="G168">
        <f>'Net zero Activity data'!AI65*'Net zero supporting data'!G156</f>
        <v>0</v>
      </c>
      <c r="H168">
        <f>'Net zero Activity data'!AJ65*'Net zero supporting data'!H156</f>
        <v>0</v>
      </c>
      <c r="I168">
        <f>'Net zero Activity data'!AK65*'Net zero supporting data'!I156</f>
        <v>0</v>
      </c>
      <c r="J168">
        <f>'Net zero Activity data'!AL65*'Net zero supporting data'!J156</f>
        <v>0</v>
      </c>
      <c r="K168">
        <f>'Net zero Activity data'!AM65*'Net zero supporting data'!K156</f>
        <v>2125614.9405669901</v>
      </c>
      <c r="L168">
        <f>'Net zero Activity data'!AN65*'Net zero supporting data'!L156</f>
        <v>4353044.7217887305</v>
      </c>
      <c r="M168">
        <f>'Net zero Activity data'!AO65*'Net zero supporting data'!M156</f>
        <v>6681918.7813238679</v>
      </c>
      <c r="N168">
        <f>'Net zero Activity data'!AP65*'Net zero supporting data'!N156</f>
        <v>9173510.871704733</v>
      </c>
      <c r="O168">
        <f>'Net zero Activity data'!AQ65*'Net zero supporting data'!O156</f>
        <v>11796254.24821914</v>
      </c>
      <c r="P168">
        <f>'Net zero Activity data'!AR65*'Net zero supporting data'!P156</f>
        <v>14589450.954404751</v>
      </c>
      <c r="Q168">
        <f>'Net zero Activity data'!AS65*'Net zero supporting data'!Q156</f>
        <v>17500263.90223958</v>
      </c>
      <c r="R168">
        <f>'Net zero Activity data'!AT65*'Net zero supporting data'!R156</f>
        <v>20594710.545524675</v>
      </c>
      <c r="S168">
        <f>'Net zero Activity data'!AU65*'Net zero supporting data'!S156</f>
        <v>23772010.242216535</v>
      </c>
      <c r="T168">
        <f>'Net zero Activity data'!AV65*'Net zero supporting data'!T156</f>
        <v>27103083.97282353</v>
      </c>
      <c r="U168">
        <f>'Net zero Activity data'!AW65*'Net zero supporting data'!U156</f>
        <v>30821667.123963732</v>
      </c>
      <c r="V168">
        <f>'Net zero Activity data'!AX65*'Net zero supporting data'!V156</f>
        <v>34831227.037931949</v>
      </c>
      <c r="W168">
        <f>'Net zero Activity data'!AY65*'Net zero supporting data'!W156</f>
        <v>39088192.21468433</v>
      </c>
      <c r="X168">
        <f>'Net zero Activity data'!AZ65*'Net zero supporting data'!X156</f>
        <v>41932557.602457531</v>
      </c>
      <c r="Y168">
        <f>'Net zero Activity data'!BA65*'Net zero supporting data'!Y156</f>
        <v>-38963657.853002064</v>
      </c>
      <c r="Z168">
        <f>'Net zero Activity data'!BB65*'Net zero supporting data'!Z156</f>
        <v>-41620783.78213191</v>
      </c>
      <c r="AA168">
        <f>'Net zero Activity data'!BC65*'Net zero supporting data'!AA156</f>
        <v>-44290707.363241389</v>
      </c>
      <c r="AB168">
        <f>'Net zero Activity data'!BD65*'Net zero supporting data'!AB156</f>
        <v>-46974136.851447359</v>
      </c>
      <c r="AC168">
        <f>'Net zero Activity data'!BE65*'Net zero supporting data'!AC156</f>
        <v>-49671747.325298026</v>
      </c>
      <c r="AD168">
        <f>'Net zero Activity data'!BF65*'Net zero supporting data'!AD156</f>
        <v>-52384183.829848737</v>
      </c>
      <c r="AE168">
        <f>'Net zero Activity data'!BG65*'Net zero supporting data'!AE156</f>
        <v>-52424574.040172689</v>
      </c>
      <c r="AF168">
        <f>'Net zero Activity data'!BH65*'Net zero supporting data'!AF156</f>
        <v>-52470026.307856753</v>
      </c>
      <c r="AG168">
        <f>'Net zero Activity data'!BI65*'Net zero supporting data'!AG156</f>
        <v>-52520344.075790986</v>
      </c>
      <c r="AH168">
        <f>'Net zero Activity data'!BJ65*'Net zero supporting data'!AH156</f>
        <v>-52575344.283311881</v>
      </c>
      <c r="AI168">
        <f>'Net zero Activity data'!BK65*'Net zero supporting data'!AI156</f>
        <v>-52634856.206496365</v>
      </c>
      <c r="AJ168">
        <f>'Net zero Activity data'!BL65*'Net zero supporting data'!AJ156</f>
        <v>-52635695.477441996</v>
      </c>
      <c r="AK168">
        <f>'Net zero Activity data'!BM65*'Net zero supporting data'!AK156</f>
        <v>-52640712.986832917</v>
      </c>
      <c r="AL168">
        <f>'Net zero Activity data'!BN65*'Net zero supporting data'!AL156</f>
        <v>-52649754.254211515</v>
      </c>
      <c r="AM168">
        <f>'Net zero Activity data'!BO65*'Net zero supporting data'!AM156</f>
        <v>-52662674.262932405</v>
      </c>
      <c r="AN168">
        <f>'Net zero Activity data'!BP65*'Net zero supporting data'!AN156</f>
        <v>-52679336.725125976</v>
      </c>
    </row>
    <row r="169" spans="1:40" x14ac:dyDescent="0.25">
      <c r="A169" t="s">
        <v>1131</v>
      </c>
      <c r="B169">
        <f>'Net zero Activity data'!AD47-'Net zero supporting data'!B157</f>
        <v>420412.44040319067</v>
      </c>
      <c r="C169">
        <f>'Net zero Activity data'!AE47-'Net zero supporting data'!C157</f>
        <v>420352.11675115686</v>
      </c>
      <c r="D169">
        <f>'Net zero Activity data'!AF47-'Net zero supporting data'!D157</f>
        <v>420269.68406198651</v>
      </c>
      <c r="E169">
        <f>'Net zero Activity data'!AG47-'Net zero supporting data'!E157</f>
        <v>420209.84886089881</v>
      </c>
      <c r="F169">
        <f>'Net zero Activity data'!AH47-'Net zero supporting data'!F157</f>
        <v>420180.70956364018</v>
      </c>
      <c r="G169">
        <f>'Net zero Activity data'!AI47-'Net zero supporting data'!G157</f>
        <v>420151.94879394514</v>
      </c>
      <c r="H169">
        <f>'Net zero Activity data'!AJ47-'Net zero supporting data'!H157</f>
        <v>420108.4407264567</v>
      </c>
      <c r="I169">
        <f>'Net zero Activity data'!AK47-'Net zero supporting data'!I157</f>
        <v>420060.80576689146</v>
      </c>
      <c r="J169">
        <f>'Net zero Activity data'!AL47-'Net zero supporting data'!J157</f>
        <v>420045.21651438315</v>
      </c>
      <c r="K169">
        <f>'Net zero Activity data'!AM47-'Net zero supporting data'!K157</f>
        <v>399314.98753622273</v>
      </c>
      <c r="L169">
        <f>'Net zero Activity data'!AN47-'Net zero supporting data'!L157</f>
        <v>378218.01941021503</v>
      </c>
      <c r="M169">
        <f>'Net zero Activity data'!AO47-'Net zero supporting data'!M157</f>
        <v>357137.64595009258</v>
      </c>
      <c r="N169">
        <f>'Net zero Activity data'!AP47-'Net zero supporting data'!N157</f>
        <v>336065.89880213805</v>
      </c>
      <c r="O169">
        <f>'Net zero Activity data'!AQ47-'Net zero supporting data'!O157</f>
        <v>314993.28267609706</v>
      </c>
      <c r="P169">
        <f>'Net zero Activity data'!AR47-'Net zero supporting data'!P157</f>
        <v>293930.49341616355</v>
      </c>
      <c r="Q169">
        <f>'Net zero Activity data'!AS47-'Net zero supporting data'!Q157</f>
        <v>272875.92328712286</v>
      </c>
      <c r="R169">
        <f>'Net zero Activity data'!AT47-'Net zero supporting data'!R157</f>
        <v>251832.85156407053</v>
      </c>
      <c r="S169">
        <f>'Net zero Activity data'!AU47-'Net zero supporting data'!S157</f>
        <v>230796.48767765093</v>
      </c>
      <c r="T169">
        <f>'Net zero Activity data'!AV47-'Net zero supporting data'!T157</f>
        <v>209772.51719424032</v>
      </c>
      <c r="U169">
        <f>'Net zero Activity data'!AW47-'Net zero supporting data'!U157</f>
        <v>188756.70004438589</v>
      </c>
      <c r="V169">
        <f>'Net zero Activity data'!AX47-'Net zero supporting data'!V157</f>
        <v>167743.84262248289</v>
      </c>
      <c r="W169">
        <f>'Net zero Activity data'!AY47-'Net zero supporting data'!W157</f>
        <v>146739.01392034837</v>
      </c>
      <c r="X169">
        <f>'Net zero Activity data'!AZ47-'Net zero supporting data'!X157</f>
        <v>125744.31491771439</v>
      </c>
      <c r="Y169">
        <f>'Net zero Activity data'!BA47-'Net zero supporting data'!Y157</f>
        <v>104781.63976765587</v>
      </c>
      <c r="Z169">
        <f>'Net zero Activity data'!BB47-'Net zero supporting data'!Z157</f>
        <v>85583.720953803742</v>
      </c>
      <c r="AA169">
        <f>'Net zero Activity data'!BC47-'Net zero supporting data'!AA157</f>
        <v>64190.12389317865</v>
      </c>
      <c r="AB169">
        <f>'Net zero Activity data'!BD47-'Net zero supporting data'!AB157</f>
        <v>42794.987754330621</v>
      </c>
      <c r="AC169">
        <f>'Net zero Activity data'!BE47-'Net zero supporting data'!AC157</f>
        <v>21398.288089552196</v>
      </c>
      <c r="AD169">
        <f>'Net zero Activity data'!BF47-'Net zero supporting data'!AD157</f>
        <v>0</v>
      </c>
      <c r="AE169">
        <f>'Net zero Activity data'!BG47-'Net zero supporting data'!AE157</f>
        <v>0</v>
      </c>
      <c r="AF169">
        <f>'Net zero Activity data'!BH47-'Net zero supporting data'!AF157</f>
        <v>0</v>
      </c>
      <c r="AG169">
        <f>'Net zero Activity data'!BI47-'Net zero supporting data'!AG157</f>
        <v>0</v>
      </c>
      <c r="AH169">
        <f>'Net zero Activity data'!BJ47-'Net zero supporting data'!AH157</f>
        <v>0</v>
      </c>
      <c r="AI169">
        <f>'Net zero Activity data'!BK47-'Net zero supporting data'!AI157</f>
        <v>0</v>
      </c>
      <c r="AJ169">
        <f>'Net zero Activity data'!BL47-'Net zero supporting data'!AJ157</f>
        <v>0</v>
      </c>
      <c r="AK169">
        <f>'Net zero Activity data'!BM47-'Net zero supporting data'!AK157</f>
        <v>0</v>
      </c>
      <c r="AL169">
        <f>'Net zero Activity data'!BN47-'Net zero supporting data'!AL157</f>
        <v>0</v>
      </c>
      <c r="AM169">
        <f>'Net zero Activity data'!BO47-'Net zero supporting data'!AM157</f>
        <v>0</v>
      </c>
      <c r="AN169">
        <f>'Net zero Activity data'!BP47-'Net zero supporting data'!AN157</f>
        <v>0</v>
      </c>
    </row>
    <row r="170" spans="1:40" x14ac:dyDescent="0.25">
      <c r="A170" t="s">
        <v>1132</v>
      </c>
      <c r="B170">
        <f>'Net zero Activity data'!AD48-'Net zero supporting data'!B158</f>
        <v>2774.7221066610591</v>
      </c>
      <c r="C170">
        <f>'Net zero Activity data'!AE48-'Net zero supporting data'!C158</f>
        <v>2774.3239705576357</v>
      </c>
      <c r="D170">
        <f>'Net zero Activity data'!AF48-'Net zero supporting data'!D158</f>
        <v>2773.7799148091117</v>
      </c>
      <c r="E170">
        <f>'Net zero Activity data'!AG48-'Net zero supporting data'!E158</f>
        <v>2773.385002481933</v>
      </c>
      <c r="F170">
        <f>'Net zero Activity data'!AH48-'Net zero supporting data'!F158</f>
        <v>2773.1926831200253</v>
      </c>
      <c r="G170">
        <f>'Net zero Activity data'!AI48-'Net zero supporting data'!G158</f>
        <v>2773.0028620400385</v>
      </c>
      <c r="H170">
        <f>'Net zero Activity data'!AJ48-'Net zero supporting data'!H158</f>
        <v>2772.7157087946148</v>
      </c>
      <c r="I170">
        <f>'Net zero Activity data'!AK48-'Net zero supporting data'!I158</f>
        <v>2772.4013180614843</v>
      </c>
      <c r="J170">
        <f>'Net zero Activity data'!AL48-'Net zero supporting data'!J158</f>
        <v>2772.2984289949295</v>
      </c>
      <c r="K170">
        <f>'Net zero Activity data'!AM48-'Net zero supporting data'!K158</f>
        <v>2635.4789177390708</v>
      </c>
      <c r="L170">
        <f>'Net zero Activity data'!AN48-'Net zero supporting data'!L158</f>
        <v>2496.2389281074197</v>
      </c>
      <c r="M170">
        <f>'Net zero Activity data'!AO48-'Net zero supporting data'!M158</f>
        <v>2357.1084632706115</v>
      </c>
      <c r="N170">
        <f>'Net zero Activity data'!AP48-'Net zero supporting data'!N158</f>
        <v>2218.0349320941114</v>
      </c>
      <c r="O170">
        <f>'Net zero Activity data'!AQ48-'Net zero supporting data'!O158</f>
        <v>2078.9556656622408</v>
      </c>
      <c r="P170">
        <f>'Net zero Activity data'!AR48-'Net zero supporting data'!P158</f>
        <v>1939.9412565466796</v>
      </c>
      <c r="Q170">
        <f>'Net zero Activity data'!AS48-'Net zero supporting data'!Q158</f>
        <v>1800.9810936950112</v>
      </c>
      <c r="R170">
        <f>'Net zero Activity data'!AT48-'Net zero supporting data'!R158</f>
        <v>1662.0968203228658</v>
      </c>
      <c r="S170">
        <f>'Net zero Activity data'!AU48-'Net zero supporting data'!S158</f>
        <v>1523.2568186724966</v>
      </c>
      <c r="T170">
        <f>'Net zero Activity data'!AV48-'Net zero supporting data'!T158</f>
        <v>1384.4986134819865</v>
      </c>
      <c r="U170">
        <f>'Net zero Activity data'!AW48-'Net zero supporting data'!U158</f>
        <v>1245.7942202929471</v>
      </c>
      <c r="V170">
        <f>'Net zero Activity data'!AX48-'Net zero supporting data'!V158</f>
        <v>1107.1093613083872</v>
      </c>
      <c r="W170">
        <f>'Net zero Activity data'!AY48-'Net zero supporting data'!W158</f>
        <v>968.4774918742994</v>
      </c>
      <c r="X170">
        <f>'Net zero Activity data'!AZ48-'Net zero supporting data'!X158</f>
        <v>829.9124784569151</v>
      </c>
      <c r="Y170">
        <f>'Net zero Activity data'!BA48-'Net zero supporting data'!Y158</f>
        <v>691.55882246652891</v>
      </c>
      <c r="Z170">
        <f>'Net zero Activity data'!BB48-'Net zero supporting data'!Z158</f>
        <v>564.8525582951047</v>
      </c>
      <c r="AA170">
        <f>'Net zero Activity data'!BC48-'Net zero supporting data'!AA158</f>
        <v>423.6548176949791</v>
      </c>
      <c r="AB170">
        <f>'Net zero Activity data'!BD48-'Net zero supporting data'!AB158</f>
        <v>282.44691917858245</v>
      </c>
      <c r="AC170">
        <f>'Net zero Activity data'!BE48-'Net zero supporting data'!AC158</f>
        <v>141.22870139104452</v>
      </c>
      <c r="AD170">
        <f>'Net zero Activity data'!BF48-'Net zero supporting data'!AD158</f>
        <v>0</v>
      </c>
      <c r="AE170">
        <f>'Net zero Activity data'!BG48-'Net zero supporting data'!AE158</f>
        <v>0</v>
      </c>
      <c r="AF170">
        <f>'Net zero Activity data'!BH48-'Net zero supporting data'!AF158</f>
        <v>0</v>
      </c>
      <c r="AG170">
        <f>'Net zero Activity data'!BI48-'Net zero supporting data'!AG158</f>
        <v>0</v>
      </c>
      <c r="AH170">
        <f>'Net zero Activity data'!BJ48-'Net zero supporting data'!AH158</f>
        <v>0</v>
      </c>
      <c r="AI170">
        <f>'Net zero Activity data'!BK48-'Net zero supporting data'!AI158</f>
        <v>0</v>
      </c>
      <c r="AJ170">
        <f>'Net zero Activity data'!BL48-'Net zero supporting data'!AJ158</f>
        <v>0</v>
      </c>
      <c r="AK170">
        <f>'Net zero Activity data'!BM48-'Net zero supporting data'!AK158</f>
        <v>0</v>
      </c>
      <c r="AL170">
        <f>'Net zero Activity data'!BN48-'Net zero supporting data'!AL158</f>
        <v>0</v>
      </c>
      <c r="AM170">
        <f>'Net zero Activity data'!BO48-'Net zero supporting data'!AM158</f>
        <v>0</v>
      </c>
      <c r="AN170">
        <f>'Net zero Activity data'!BP48-'Net zero supporting data'!AN158</f>
        <v>0</v>
      </c>
    </row>
    <row r="171" spans="1:40" x14ac:dyDescent="0.25">
      <c r="A171" t="s">
        <v>1143</v>
      </c>
      <c r="B171">
        <f>'Net zero Activity data'!AD50-'Net zero supporting data'!B159</f>
        <v>20322831.998794224</v>
      </c>
      <c r="C171">
        <f>'Net zero Activity data'!AE50-'Net zero supporting data'!C159</f>
        <v>20449243.441925868</v>
      </c>
      <c r="D171">
        <f>'Net zero Activity data'!AF50-'Net zero supporting data'!D159</f>
        <v>20536153.050458316</v>
      </c>
      <c r="E171">
        <f>'Net zero Activity data'!AG50-'Net zero supporting data'!E159</f>
        <v>20563409.183040306</v>
      </c>
      <c r="F171">
        <f>'Net zero Activity data'!AH50-'Net zero supporting data'!F159</f>
        <v>20600282.663310457</v>
      </c>
      <c r="G171">
        <f>'Net zero Activity data'!AI50-'Net zero supporting data'!G159</f>
        <v>20681049.594125446</v>
      </c>
      <c r="H171">
        <f>'Net zero Activity data'!AJ50-'Net zero supporting data'!H159</f>
        <v>20777880.95176224</v>
      </c>
      <c r="I171">
        <f>'Net zero Activity data'!AK50-'Net zero supporting data'!I159</f>
        <v>20806970.101663623</v>
      </c>
      <c r="J171">
        <f>'Net zero Activity data'!AL50-'Net zero supporting data'!J159</f>
        <v>20168200.793105789</v>
      </c>
      <c r="K171">
        <f>'Net zero Activity data'!AM50-'Net zero supporting data'!K159</f>
        <v>19163062.667597026</v>
      </c>
      <c r="L171">
        <f>'Net zero Activity data'!AN50-'Net zero supporting data'!L159</f>
        <v>18142973.323162261</v>
      </c>
      <c r="M171">
        <f>'Net zero Activity data'!AO50-'Net zero supporting data'!M159</f>
        <v>17125292.262756456</v>
      </c>
      <c r="N171">
        <f>'Net zero Activity data'!AP50-'Net zero supporting data'!N159</f>
        <v>16131508.35510621</v>
      </c>
      <c r="O171">
        <f>'Net zero Activity data'!AQ50-'Net zero supporting data'!O159</f>
        <v>15136310.338984318</v>
      </c>
      <c r="P171">
        <f>'Net zero Activity data'!AR50-'Net zero supporting data'!P159</f>
        <v>14133872.34495898</v>
      </c>
      <c r="Q171">
        <f>'Net zero Activity data'!AS50-'Net zero supporting data'!Q159</f>
        <v>13126252.30255774</v>
      </c>
      <c r="R171">
        <f>'Net zero Activity data'!AT50-'Net zero supporting data'!R159</f>
        <v>12124498.229255682</v>
      </c>
      <c r="S171">
        <f>'Net zero Activity data'!AU50-'Net zero supporting data'!S159</f>
        <v>11114352.900766436</v>
      </c>
      <c r="T171">
        <f>'Net zero Activity data'!AV50-'Net zero supporting data'!T159</f>
        <v>10105751.608252693</v>
      </c>
      <c r="U171">
        <f>'Net zero Activity data'!AW50-'Net zero supporting data'!U159</f>
        <v>9172119.0922639091</v>
      </c>
      <c r="V171">
        <f>'Net zero Activity data'!AX50-'Net zero supporting data'!V159</f>
        <v>8228378.6399180684</v>
      </c>
      <c r="W171">
        <f>'Net zero Activity data'!AY50-'Net zero supporting data'!W159</f>
        <v>7268613.8367539737</v>
      </c>
      <c r="X171">
        <f>'Net zero Activity data'!AZ50-'Net zero supporting data'!X159</f>
        <v>6229662.1009361781</v>
      </c>
      <c r="Y171">
        <f>'Net zero Activity data'!BA50-'Net zero supporting data'!Y159</f>
        <v>2774855.5180744855</v>
      </c>
      <c r="Z171">
        <f>'Net zero Activity data'!BB50-'Net zero supporting data'!Z159</f>
        <v>2217865.3169214129</v>
      </c>
      <c r="AA171">
        <f>'Net zero Activity data'!BC50-'Net zero supporting data'!AA159</f>
        <v>1662040.9670998733</v>
      </c>
      <c r="AB171">
        <f>'Net zero Activity data'!BD50-'Net zero supporting data'!AB159</f>
        <v>1107221.5812183116</v>
      </c>
      <c r="AC171">
        <f>'Net zero Activity data'!BE50-'Net zero supporting data'!AC159</f>
        <v>553255.61087411828</v>
      </c>
      <c r="AD171">
        <f>'Net zero Activity data'!BF50-'Net zero supporting data'!AD159</f>
        <v>0</v>
      </c>
      <c r="AE171">
        <f>'Net zero Activity data'!BG50-'Net zero supporting data'!AE159</f>
        <v>0</v>
      </c>
      <c r="AF171">
        <f>'Net zero Activity data'!BH50-'Net zero supporting data'!AF159</f>
        <v>0</v>
      </c>
      <c r="AG171">
        <f>'Net zero Activity data'!BI50-'Net zero supporting data'!AG159</f>
        <v>0</v>
      </c>
      <c r="AH171">
        <f>'Net zero Activity data'!BJ50-'Net zero supporting data'!AH159</f>
        <v>0</v>
      </c>
      <c r="AI171">
        <f>'Net zero Activity data'!BK50-'Net zero supporting data'!AI159</f>
        <v>0</v>
      </c>
      <c r="AJ171">
        <f>'Net zero Activity data'!BL50-'Net zero supporting data'!AJ159</f>
        <v>0</v>
      </c>
      <c r="AK171">
        <f>'Net zero Activity data'!BM50-'Net zero supporting data'!AK159</f>
        <v>0</v>
      </c>
      <c r="AL171">
        <f>'Net zero Activity data'!BN50-'Net zero supporting data'!AL159</f>
        <v>0</v>
      </c>
      <c r="AM171">
        <f>'Net zero Activity data'!BO50-'Net zero supporting data'!AM159</f>
        <v>0</v>
      </c>
      <c r="AN171">
        <f>'Net zero Activity data'!BP50-'Net zero supporting data'!AN159</f>
        <v>0</v>
      </c>
    </row>
    <row r="172" spans="1:40" x14ac:dyDescent="0.25">
      <c r="A172" t="s">
        <v>1144</v>
      </c>
      <c r="B172">
        <f>'Net zero Activity data'!AD51-'Net zero supporting data'!B160</f>
        <v>59423366.608394958</v>
      </c>
      <c r="C172">
        <f>'Net zero Activity data'!AE51-'Net zero supporting data'!C160</f>
        <v>59792989.972360849</v>
      </c>
      <c r="D172">
        <f>'Net zero Activity data'!AF51-'Net zero supporting data'!D160</f>
        <v>60047111.126829989</v>
      </c>
      <c r="E172">
        <f>'Net zero Activity data'!AG51-'Net zero supporting data'!E160</f>
        <v>60126807.261642419</v>
      </c>
      <c r="F172">
        <f>'Net zero Activity data'!AH51-'Net zero supporting data'!F160</f>
        <v>60234624.239923343</v>
      </c>
      <c r="G172">
        <f>'Net zero Activity data'!AI51-'Net zero supporting data'!G160</f>
        <v>60470784.384333253</v>
      </c>
      <c r="H172">
        <f>'Net zero Activity data'!AJ51-'Net zero supporting data'!H160</f>
        <v>60753916.443112336</v>
      </c>
      <c r="I172">
        <f>'Net zero Activity data'!AK51-'Net zero supporting data'!I160</f>
        <v>60838972.266976804</v>
      </c>
      <c r="J172">
        <f>'Net zero Activity data'!AL51-'Net zero supporting data'!J160</f>
        <v>58971229.483742893</v>
      </c>
      <c r="K172">
        <f>'Net zero Activity data'!AM51-'Net zero supporting data'!K160</f>
        <v>56032234.990862861</v>
      </c>
      <c r="L172">
        <f>'Net zero Activity data'!AN51-'Net zero supporting data'!L160</f>
        <v>53049523.570955403</v>
      </c>
      <c r="M172">
        <f>'Net zero Activity data'!AO51-'Net zero supporting data'!M160</f>
        <v>50073853.903140284</v>
      </c>
      <c r="N172">
        <f>'Net zero Activity data'!AP51-'Net zero supporting data'!N160</f>
        <v>47168058.811327897</v>
      </c>
      <c r="O172">
        <f>'Net zero Activity data'!AQ51-'Net zero supporting data'!O160</f>
        <v>44258128.907687142</v>
      </c>
      <c r="P172">
        <f>'Net zero Activity data'!AR51-'Net zero supporting data'!P160</f>
        <v>41327029.520323917</v>
      </c>
      <c r="Q172">
        <f>'Net zero Activity data'!AS51-'Net zero supporting data'!Q160</f>
        <v>38380777.975011349</v>
      </c>
      <c r="R172">
        <f>'Net zero Activity data'!AT51-'Net zero supporting data'!R160</f>
        <v>35451678.351847947</v>
      </c>
      <c r="S172">
        <f>'Net zero Activity data'!AU51-'Net zero supporting data'!S160</f>
        <v>32498042.943843029</v>
      </c>
      <c r="T172">
        <f>'Net zero Activity data'!AV51-'Net zero supporting data'!T160</f>
        <v>29548922.25188921</v>
      </c>
      <c r="U172">
        <f>'Net zero Activity data'!AW51-'Net zero supporting data'!U160</f>
        <v>26819008.070715483</v>
      </c>
      <c r="V172">
        <f>'Net zero Activity data'!AX51-'Net zero supporting data'!V160</f>
        <v>24059538.579148218</v>
      </c>
      <c r="W172">
        <f>'Net zero Activity data'!AY51-'Net zero supporting data'!W160</f>
        <v>21253214.354274556</v>
      </c>
      <c r="X172">
        <f>'Net zero Activity data'!AZ51-'Net zero supporting data'!X160</f>
        <v>18215349.853421912</v>
      </c>
      <c r="Y172">
        <f>'Net zero Activity data'!BA51-'Net zero supporting data'!Y160</f>
        <v>8113596.4094793014</v>
      </c>
      <c r="Z172">
        <f>'Net zero Activity data'!BB51-'Net zero supporting data'!Z160</f>
        <v>6484973.3454119265</v>
      </c>
      <c r="AA172">
        <f>'Net zero Activity data'!BC51-'Net zero supporting data'!AA160</f>
        <v>4859759.1965532564</v>
      </c>
      <c r="AB172">
        <f>'Net zero Activity data'!BD51-'Net zero supporting data'!AB160</f>
        <v>3237483.5328740664</v>
      </c>
      <c r="AC172">
        <f>'Net zero Activity data'!BE51-'Net zero supporting data'!AC160</f>
        <v>1617703.231275782</v>
      </c>
      <c r="AD172">
        <f>'Net zero Activity data'!BF51-'Net zero supporting data'!AD160</f>
        <v>0</v>
      </c>
      <c r="AE172">
        <f>'Net zero Activity data'!BG51-'Net zero supporting data'!AE160</f>
        <v>0</v>
      </c>
      <c r="AF172">
        <f>'Net zero Activity data'!BH51-'Net zero supporting data'!AF160</f>
        <v>0</v>
      </c>
      <c r="AG172">
        <f>'Net zero Activity data'!BI51-'Net zero supporting data'!AG160</f>
        <v>0</v>
      </c>
      <c r="AH172">
        <f>'Net zero Activity data'!BJ51-'Net zero supporting data'!AH160</f>
        <v>0</v>
      </c>
      <c r="AI172">
        <f>'Net zero Activity data'!BK51-'Net zero supporting data'!AI160</f>
        <v>0</v>
      </c>
      <c r="AJ172">
        <f>'Net zero Activity data'!BL51-'Net zero supporting data'!AJ160</f>
        <v>0</v>
      </c>
      <c r="AK172">
        <f>'Net zero Activity data'!BM51-'Net zero supporting data'!AK160</f>
        <v>0</v>
      </c>
      <c r="AL172">
        <f>'Net zero Activity data'!BN51-'Net zero supporting data'!AL160</f>
        <v>0</v>
      </c>
      <c r="AM172">
        <f>'Net zero Activity data'!BO51-'Net zero supporting data'!AM160</f>
        <v>0</v>
      </c>
      <c r="AN172">
        <f>'Net zero Activity data'!BP51-'Net zero supporting data'!AN160</f>
        <v>0</v>
      </c>
    </row>
    <row r="173" spans="1:40" x14ac:dyDescent="0.25">
      <c r="A173" t="s">
        <v>1145</v>
      </c>
      <c r="B173">
        <f>'Net zero Activity data'!AD52-'Net zero supporting data'!B161</f>
        <v>3178815.0617040638</v>
      </c>
      <c r="C173">
        <f>'Net zero Activity data'!AE52-'Net zero supporting data'!C161</f>
        <v>3198587.8275972446</v>
      </c>
      <c r="D173">
        <f>'Net zero Activity data'!AF52-'Net zero supporting data'!D161</f>
        <v>3212181.8765283264</v>
      </c>
      <c r="E173">
        <f>'Net zero Activity data'!AG52-'Net zero supporting data'!E161</f>
        <v>3216445.1703832657</v>
      </c>
      <c r="F173">
        <f>'Net zero Activity data'!AH52-'Net zero supporting data'!F161</f>
        <v>3222212.7708076145</v>
      </c>
      <c r="G173">
        <f>'Net zero Activity data'!AI52-'Net zero supporting data'!G161</f>
        <v>3234846.0069716247</v>
      </c>
      <c r="H173">
        <f>'Net zero Activity data'!AJ52-'Net zero supporting data'!H161</f>
        <v>3249991.9757086281</v>
      </c>
      <c r="I173">
        <f>'Net zero Activity data'!AK52-'Net zero supporting data'!I161</f>
        <v>3254541.9827078581</v>
      </c>
      <c r="J173">
        <f>'Net zero Activity data'!AL52-'Net zero supporting data'!J161</f>
        <v>3154628.2748585576</v>
      </c>
      <c r="K173">
        <f>'Net zero Activity data'!AM52-'Net zero supporting data'!K161</f>
        <v>2997408.6406732327</v>
      </c>
      <c r="L173">
        <f>'Net zero Activity data'!AN52-'Net zero supporting data'!L161</f>
        <v>2837850.3973848252</v>
      </c>
      <c r="M173">
        <f>'Net zero Activity data'!AO52-'Net zero supporting data'!M161</f>
        <v>2678668.848129245</v>
      </c>
      <c r="N173">
        <f>'Net zero Activity data'!AP52-'Net zero supporting data'!N161</f>
        <v>2523225.194710019</v>
      </c>
      <c r="O173">
        <f>'Net zero Activity data'!AQ52-'Net zero supporting data'!O161</f>
        <v>2367560.352171638</v>
      </c>
      <c r="P173">
        <f>'Net zero Activity data'!AR52-'Net zero supporting data'!P161</f>
        <v>2210763.0616158131</v>
      </c>
      <c r="Q173">
        <f>'Net zero Activity data'!AS52-'Net zero supporting data'!Q161</f>
        <v>2053155.2160434052</v>
      </c>
      <c r="R173">
        <f>'Net zero Activity data'!AT52-'Net zero supporting data'!R161</f>
        <v>1896464.9015968307</v>
      </c>
      <c r="S173">
        <f>'Net zero Activity data'!AU52-'Net zero supporting data'!S161</f>
        <v>1738462.0610034461</v>
      </c>
      <c r="T173">
        <f>'Net zero Activity data'!AV52-'Net zero supporting data'!T161</f>
        <v>1580700.7322630868</v>
      </c>
      <c r="U173">
        <f>'Net zero Activity data'!AW52-'Net zero supporting data'!U161</f>
        <v>1434665.7158786631</v>
      </c>
      <c r="V173">
        <f>'Net zero Activity data'!AX52-'Net zero supporting data'!V161</f>
        <v>1287049.6570324176</v>
      </c>
      <c r="W173">
        <f>'Net zero Activity data'!AY52-'Net zero supporting data'!W161</f>
        <v>1136927.134139325</v>
      </c>
      <c r="X173">
        <f>'Net zero Activity data'!AZ52-'Net zero supporting data'!X161</f>
        <v>974418.51199467806</v>
      </c>
      <c r="Y173">
        <f>'Net zero Activity data'!BA52-'Net zero supporting data'!Y161</f>
        <v>434031.66032328317</v>
      </c>
      <c r="Z173">
        <f>'Net zero Activity data'!BB52-'Net zero supporting data'!Z161</f>
        <v>346909.50920025003</v>
      </c>
      <c r="AA173">
        <f>'Net zero Activity data'!BC52-'Net zero supporting data'!AA161</f>
        <v>259969.71582010458</v>
      </c>
      <c r="AB173">
        <f>'Net zero Activity data'!BD52-'Net zero supporting data'!AB161</f>
        <v>173187.11482874933</v>
      </c>
      <c r="AC173">
        <f>'Net zero Activity data'!BE52-'Net zero supporting data'!AC161</f>
        <v>86538.001638909336</v>
      </c>
      <c r="AD173">
        <f>'Net zero Activity data'!BF52-'Net zero supporting data'!AD161</f>
        <v>0</v>
      </c>
      <c r="AE173">
        <f>'Net zero Activity data'!BG52-'Net zero supporting data'!AE161</f>
        <v>0</v>
      </c>
      <c r="AF173">
        <f>'Net zero Activity data'!BH52-'Net zero supporting data'!AF161</f>
        <v>0</v>
      </c>
      <c r="AG173">
        <f>'Net zero Activity data'!BI52-'Net zero supporting data'!AG161</f>
        <v>0</v>
      </c>
      <c r="AH173">
        <f>'Net zero Activity data'!BJ52-'Net zero supporting data'!AH161</f>
        <v>0</v>
      </c>
      <c r="AI173">
        <f>'Net zero Activity data'!BK52-'Net zero supporting data'!AI161</f>
        <v>0</v>
      </c>
      <c r="AJ173">
        <f>'Net zero Activity data'!BL52-'Net zero supporting data'!AJ161</f>
        <v>0</v>
      </c>
      <c r="AK173">
        <f>'Net zero Activity data'!BM52-'Net zero supporting data'!AK161</f>
        <v>0</v>
      </c>
      <c r="AL173">
        <f>'Net zero Activity data'!BN52-'Net zero supporting data'!AL161</f>
        <v>0</v>
      </c>
      <c r="AM173">
        <f>'Net zero Activity data'!BO52-'Net zero supporting data'!AM161</f>
        <v>0</v>
      </c>
      <c r="AN173">
        <f>'Net zero Activity data'!BP52-'Net zero supporting data'!AN161</f>
        <v>0</v>
      </c>
    </row>
    <row r="174" spans="1:40" x14ac:dyDescent="0.25">
      <c r="A174" t="s">
        <v>1146</v>
      </c>
      <c r="B174">
        <f>'Net zero Activity data'!AD53-'Net zero supporting data'!B162</f>
        <v>25678816.021951988</v>
      </c>
      <c r="C174">
        <f>'Net zero Activity data'!AE53-'Net zero supporting data'!C162</f>
        <v>25508605.584880892</v>
      </c>
      <c r="D174">
        <f>'Net zero Activity data'!AF53-'Net zero supporting data'!D162</f>
        <v>25149728.284561221</v>
      </c>
      <c r="E174">
        <f>'Net zero Activity data'!AG53-'Net zero supporting data'!E162</f>
        <v>24544790.861596633</v>
      </c>
      <c r="F174">
        <f>'Net zero Activity data'!AH53-'Net zero supporting data'!F162</f>
        <v>23957865.90080161</v>
      </c>
      <c r="G174">
        <f>'Net zero Activity data'!AI53-'Net zero supporting data'!G162</f>
        <v>23506438.227744035</v>
      </c>
      <c r="H174">
        <f>'Net zero Activity data'!AJ53-'Net zero supporting data'!H162</f>
        <v>23098118.422027841</v>
      </c>
      <c r="I174">
        <f>'Net zero Activity data'!AK53-'Net zero supporting data'!I162</f>
        <v>22456134.781212166</v>
      </c>
      <c r="J174">
        <f>'Net zero Activity data'!AL53-'Net zero supporting data'!J162</f>
        <v>19695391.352663916</v>
      </c>
      <c r="K174">
        <f>'Net zero Activity data'!AM53-'Net zero supporting data'!K162</f>
        <v>18737852.298378192</v>
      </c>
      <c r="L174">
        <f>'Net zero Activity data'!AN53-'Net zero supporting data'!L162</f>
        <v>17720989.623568475</v>
      </c>
      <c r="M174">
        <f>'Net zero Activity data'!AO53-'Net zero supporting data'!M162</f>
        <v>16702378.271622568</v>
      </c>
      <c r="N174">
        <f>'Net zero Activity data'!AP53-'Net zero supporting data'!N162</f>
        <v>15748427.273455709</v>
      </c>
      <c r="O174">
        <f>'Net zero Activity data'!AQ53-'Net zero supporting data'!O162</f>
        <v>14783646.696590714</v>
      </c>
      <c r="P174">
        <f>'Net zero Activity data'!AR53-'Net zero supporting data'!P162</f>
        <v>13820594.597038006</v>
      </c>
      <c r="Q174">
        <f>'Net zero Activity data'!AS53-'Net zero supporting data'!Q162</f>
        <v>12835793.528153714</v>
      </c>
      <c r="R174">
        <f>'Net zero Activity data'!AT53-'Net zero supporting data'!R162</f>
        <v>11862837.133337667</v>
      </c>
      <c r="S174">
        <f>'Net zero Activity data'!AU53-'Net zero supporting data'!S162</f>
        <v>10862985.886950783</v>
      </c>
      <c r="T174">
        <f>'Net zero Activity data'!AV53-'Net zero supporting data'!T162</f>
        <v>9865925.2526495382</v>
      </c>
      <c r="U174">
        <f>'Net zero Activity data'!AW53-'Net zero supporting data'!U162</f>
        <v>8896501.3988315668</v>
      </c>
      <c r="V174">
        <f>'Net zero Activity data'!AX53-'Net zero supporting data'!V162</f>
        <v>7933595.1587047558</v>
      </c>
      <c r="W174">
        <f>'Net zero Activity data'!AY53-'Net zero supporting data'!W162</f>
        <v>6964050.3774460275</v>
      </c>
      <c r="X174">
        <f>'Net zero Activity data'!AZ53-'Net zero supporting data'!X162</f>
        <v>5833018.7986901812</v>
      </c>
      <c r="Y174">
        <f>'Net zero Activity data'!BA53-'Net zero supporting data'!Y162</f>
        <v>-1144725.3049223959</v>
      </c>
      <c r="Z174">
        <f>'Net zero Activity data'!BB53-'Net zero supporting data'!Z162</f>
        <v>-893066.85502978973</v>
      </c>
      <c r="AA174">
        <f>'Net zero Activity data'!BC53-'Net zero supporting data'!AA162</f>
        <v>-653070.01816148497</v>
      </c>
      <c r="AB174">
        <f>'Net zero Activity data'!BD53-'Net zero supporting data'!AB162</f>
        <v>-424420.23953430448</v>
      </c>
      <c r="AC174">
        <f>'Net zero Activity data'!BE53-'Net zero supporting data'!AC162</f>
        <v>-206822.56968301209</v>
      </c>
      <c r="AD174">
        <f>'Net zero Activity data'!BF53-'Net zero supporting data'!AD162</f>
        <v>0</v>
      </c>
      <c r="AE174">
        <f>'Net zero Activity data'!BG53-'Net zero supporting data'!AE162</f>
        <v>0</v>
      </c>
      <c r="AF174">
        <f>'Net zero Activity data'!BH53-'Net zero supporting data'!AF162</f>
        <v>0</v>
      </c>
      <c r="AG174">
        <f>'Net zero Activity data'!BI53-'Net zero supporting data'!AG162</f>
        <v>0</v>
      </c>
      <c r="AH174">
        <f>'Net zero Activity data'!BJ53-'Net zero supporting data'!AH162</f>
        <v>0</v>
      </c>
      <c r="AI174">
        <f>'Net zero Activity data'!BK53-'Net zero supporting data'!AI162</f>
        <v>0</v>
      </c>
      <c r="AJ174">
        <f>'Net zero Activity data'!BL53-'Net zero supporting data'!AJ162</f>
        <v>0</v>
      </c>
      <c r="AK174">
        <f>'Net zero Activity data'!BM53-'Net zero supporting data'!AK162</f>
        <v>0</v>
      </c>
      <c r="AL174">
        <f>'Net zero Activity data'!BN53-'Net zero supporting data'!AL162</f>
        <v>0</v>
      </c>
      <c r="AM174">
        <f>'Net zero Activity data'!BO53-'Net zero supporting data'!AM162</f>
        <v>0</v>
      </c>
      <c r="AN174">
        <f>'Net zero Activity data'!BP53-'Net zero supporting data'!AN162</f>
        <v>0</v>
      </c>
    </row>
    <row r="175" spans="1:40" x14ac:dyDescent="0.25">
      <c r="A175" t="s">
        <v>1147</v>
      </c>
      <c r="B175">
        <f>'Net zero Activity data'!AD55-'Net zero supporting data'!B163</f>
        <v>21983975.651970763</v>
      </c>
      <c r="C175">
        <f>'Net zero Activity data'!AE55-'Net zero supporting data'!C163</f>
        <v>22766938.78181861</v>
      </c>
      <c r="D175">
        <f>'Net zero Activity data'!AF55-'Net zero supporting data'!D163</f>
        <v>23388398.275787514</v>
      </c>
      <c r="E175">
        <f>'Net zero Activity data'!AG55-'Net zero supporting data'!E163</f>
        <v>23772715.285524514</v>
      </c>
      <c r="F175">
        <f>'Net zero Activity data'!AH55-'Net zero supporting data'!F163</f>
        <v>24157834.582589004</v>
      </c>
      <c r="G175">
        <f>'Net zero Activity data'!AI55-'Net zero supporting data'!G163</f>
        <v>24669266.658463664</v>
      </c>
      <c r="H175">
        <f>'Net zero Activity data'!AJ55-'Net zero supporting data'!H163</f>
        <v>25223323.435094729</v>
      </c>
      <c r="I175">
        <f>'Net zero Activity data'!AK55-'Net zero supporting data'!I163</f>
        <v>25511661.127178136</v>
      </c>
      <c r="J175">
        <f>'Net zero Activity data'!AL55-'Net zero supporting data'!J163</f>
        <v>23275067.071273711</v>
      </c>
      <c r="K175">
        <f>'Net zero Activity data'!AM55-'Net zero supporting data'!K163</f>
        <v>22918059.820549078</v>
      </c>
      <c r="L175">
        <f>'Net zero Activity data'!AN55-'Net zero supporting data'!L163</f>
        <v>22426947.557082623</v>
      </c>
      <c r="M175">
        <f>'Net zero Activity data'!AO55-'Net zero supporting data'!M163</f>
        <v>21867024.496600363</v>
      </c>
      <c r="N175">
        <f>'Net zero Activity data'!AP55-'Net zero supporting data'!N163</f>
        <v>21325249.123887978</v>
      </c>
      <c r="O175">
        <f>'Net zero Activity data'!AQ55-'Net zero supporting data'!O163</f>
        <v>20701924.033269182</v>
      </c>
      <c r="P175">
        <f>'Net zero Activity data'!AR55-'Net zero supporting data'!P163</f>
        <v>20010785.080746137</v>
      </c>
      <c r="Q175">
        <f>'Net zero Activity data'!AS55-'Net zero supporting data'!Q163</f>
        <v>19213790.222121425</v>
      </c>
      <c r="R175">
        <f>'Net zero Activity data'!AT55-'Net zero supporting data'!R163</f>
        <v>18356268.193467516</v>
      </c>
      <c r="S175">
        <f>'Net zero Activity data'!AU55-'Net zero supporting data'!S163</f>
        <v>17374425.626018547</v>
      </c>
      <c r="T175">
        <f>'Net zero Activity data'!AV55-'Net zero supporting data'!T163</f>
        <v>16309145.032720624</v>
      </c>
      <c r="U175">
        <f>'Net zero Activity data'!AW55-'Net zero supporting data'!U163</f>
        <v>15200565.932383399</v>
      </c>
      <c r="V175">
        <f>'Net zero Activity data'!AX55-'Net zero supporting data'!V163</f>
        <v>14011565.702678066</v>
      </c>
      <c r="W175">
        <f>'Net zero Activity data'!AY55-'Net zero supporting data'!W163</f>
        <v>12714303.250511367</v>
      </c>
      <c r="X175">
        <f>'Net zero Activity data'!AZ55-'Net zero supporting data'!X163</f>
        <v>11009935.210571166</v>
      </c>
      <c r="Y175">
        <f>'Net zero Activity data'!BA55-'Net zero supporting data'!Y163</f>
        <v>-2234131.9723988101</v>
      </c>
      <c r="Z175">
        <f>'Net zero Activity data'!BB55-'Net zero supporting data'!Z163</f>
        <v>-1802485.6229586666</v>
      </c>
      <c r="AA175">
        <f>'Net zero Activity data'!BC55-'Net zero supporting data'!AA163</f>
        <v>-1363329.3219947787</v>
      </c>
      <c r="AB175">
        <f>'Net zero Activity data'!BD55-'Net zero supporting data'!AB163</f>
        <v>-916583.48595440481</v>
      </c>
      <c r="AC175">
        <f>'Net zero Activity data'!BE55-'Net zero supporting data'!AC163</f>
        <v>-462167.55831733346</v>
      </c>
      <c r="AD175">
        <f>'Net zero Activity data'!BF55-'Net zero supporting data'!AD163</f>
        <v>0</v>
      </c>
      <c r="AE175">
        <f>'Net zero Activity data'!BG55-'Net zero supporting data'!AE163</f>
        <v>0</v>
      </c>
      <c r="AF175">
        <f>'Net zero Activity data'!BH55-'Net zero supporting data'!AF163</f>
        <v>0</v>
      </c>
      <c r="AG175">
        <f>'Net zero Activity data'!BI55-'Net zero supporting data'!AG163</f>
        <v>0</v>
      </c>
      <c r="AH175">
        <f>'Net zero Activity data'!BJ55-'Net zero supporting data'!AH163</f>
        <v>0</v>
      </c>
      <c r="AI175">
        <f>'Net zero Activity data'!BK55-'Net zero supporting data'!AI163</f>
        <v>0</v>
      </c>
      <c r="AJ175">
        <f>'Net zero Activity data'!BL55-'Net zero supporting data'!AJ163</f>
        <v>0</v>
      </c>
      <c r="AK175">
        <f>'Net zero Activity data'!BM55-'Net zero supporting data'!AK163</f>
        <v>0</v>
      </c>
      <c r="AL175">
        <f>'Net zero Activity data'!BN55-'Net zero supporting data'!AL163</f>
        <v>0</v>
      </c>
      <c r="AM175">
        <f>'Net zero Activity data'!BO55-'Net zero supporting data'!AM163</f>
        <v>0</v>
      </c>
      <c r="AN175">
        <f>'Net zero Activity data'!BP55-'Net zero supporting data'!AN163</f>
        <v>0</v>
      </c>
    </row>
    <row r="176" spans="1:40" x14ac:dyDescent="0.25">
      <c r="A176" t="s">
        <v>1148</v>
      </c>
      <c r="B176">
        <f>'Net zero Activity data'!AD56-'Net zero supporting data'!B164</f>
        <v>3713726.7037384682</v>
      </c>
      <c r="C176">
        <f>'Net zero Activity data'!AE56-'Net zero supporting data'!C164</f>
        <v>3715754.7381350752</v>
      </c>
      <c r="D176">
        <f>'Net zero Activity data'!AF56-'Net zero supporting data'!D164</f>
        <v>3720295.8967214758</v>
      </c>
      <c r="E176">
        <f>'Net zero Activity data'!AG56-'Net zero supporting data'!E164</f>
        <v>3727131.2937541422</v>
      </c>
      <c r="F176">
        <f>'Net zero Activity data'!AH56-'Net zero supporting data'!F164</f>
        <v>3736352.3814562527</v>
      </c>
      <c r="G176">
        <f>'Net zero Activity data'!AI56-'Net zero supporting data'!G164</f>
        <v>3747968.9442954171</v>
      </c>
      <c r="H176">
        <f>'Net zero Activity data'!AJ56-'Net zero supporting data'!H164</f>
        <v>3760909.3243818409</v>
      </c>
      <c r="I176">
        <f>'Net zero Activity data'!AK56-'Net zero supporting data'!I164</f>
        <v>3774933.7513790531</v>
      </c>
      <c r="J176">
        <f>'Net zero Activity data'!AL56-'Net zero supporting data'!J164</f>
        <v>3788112.6735530319</v>
      </c>
      <c r="K176">
        <f>'Net zero Activity data'!AM56-'Net zero supporting data'!K164</f>
        <v>3603936.8763189041</v>
      </c>
      <c r="L176">
        <f>'Net zero Activity data'!AN56-'Net zero supporting data'!L164</f>
        <v>3420005.1748103173</v>
      </c>
      <c r="M176">
        <f>'Net zero Activity data'!AO56-'Net zero supporting data'!M164</f>
        <v>3236184.0215475755</v>
      </c>
      <c r="N176">
        <f>'Net zero Activity data'!AP56-'Net zero supporting data'!N164</f>
        <v>3052371.3104613191</v>
      </c>
      <c r="O176">
        <f>'Net zero Activity data'!AQ56-'Net zero supporting data'!O164</f>
        <v>2868330.6950086942</v>
      </c>
      <c r="P176">
        <f>'Net zero Activity data'!AR56-'Net zero supporting data'!P164</f>
        <v>2680976.7772650025</v>
      </c>
      <c r="Q176">
        <f>'Net zero Activity data'!AS56-'Net zero supporting data'!Q164</f>
        <v>2493490.5884262519</v>
      </c>
      <c r="R176">
        <f>'Net zero Activity data'!AT56-'Net zero supporting data'!R164</f>
        <v>2305788.5717595546</v>
      </c>
      <c r="S176">
        <f>'Net zero Activity data'!AU56-'Net zero supporting data'!S164</f>
        <v>2117712.5563658718</v>
      </c>
      <c r="T176">
        <f>'Net zero Activity data'!AV56-'Net zero supporting data'!T164</f>
        <v>1929191.1927317008</v>
      </c>
      <c r="U176">
        <f>'Net zero Activity data'!AW56-'Net zero supporting data'!U164</f>
        <v>1738640.8116717488</v>
      </c>
      <c r="V176">
        <f>'Net zero Activity data'!AX56-'Net zero supporting data'!V164</f>
        <v>1547785.515211625</v>
      </c>
      <c r="W176">
        <f>'Net zero Activity data'!AY56-'Net zero supporting data'!W164</f>
        <v>1356523.9397610221</v>
      </c>
      <c r="X176">
        <f>'Net zero Activity data'!AZ56-'Net zero supporting data'!X164</f>
        <v>1164566.2636354617</v>
      </c>
      <c r="Y176">
        <f>'Net zero Activity data'!BA56-'Net zero supporting data'!Y164</f>
        <v>963946.85980158206</v>
      </c>
      <c r="Z176">
        <f>'Net zero Activity data'!BB56-'Net zero supporting data'!Z164</f>
        <v>771898.81339535071</v>
      </c>
      <c r="AA176">
        <f>'Net zero Activity data'!BC56-'Net zero supporting data'!AA164</f>
        <v>579537.65236226516</v>
      </c>
      <c r="AB176">
        <f>'Net zero Activity data'!BD56-'Net zero supporting data'!AB164</f>
        <v>386804.37913824944</v>
      </c>
      <c r="AC176">
        <f>'Net zero Activity data'!BE56-'Net zero supporting data'!AC164</f>
        <v>193642.95100233797</v>
      </c>
      <c r="AD176">
        <f>'Net zero Activity data'!BF56-'Net zero supporting data'!AD164</f>
        <v>0</v>
      </c>
      <c r="AE176">
        <f>'Net zero Activity data'!BG56-'Net zero supporting data'!AE164</f>
        <v>0</v>
      </c>
      <c r="AF176">
        <f>'Net zero Activity data'!BH56-'Net zero supporting data'!AF164</f>
        <v>0</v>
      </c>
      <c r="AG176">
        <f>'Net zero Activity data'!BI56-'Net zero supporting data'!AG164</f>
        <v>0</v>
      </c>
      <c r="AH176">
        <f>'Net zero Activity data'!BJ56-'Net zero supporting data'!AH164</f>
        <v>0</v>
      </c>
      <c r="AI176">
        <f>'Net zero Activity data'!BK56-'Net zero supporting data'!AI164</f>
        <v>0</v>
      </c>
      <c r="AJ176">
        <f>'Net zero Activity data'!BL56-'Net zero supporting data'!AJ164</f>
        <v>0</v>
      </c>
      <c r="AK176">
        <f>'Net zero Activity data'!BM56-'Net zero supporting data'!AK164</f>
        <v>0</v>
      </c>
      <c r="AL176">
        <f>'Net zero Activity data'!BN56-'Net zero supporting data'!AL164</f>
        <v>0</v>
      </c>
      <c r="AM176">
        <f>'Net zero Activity data'!BO56-'Net zero supporting data'!AM164</f>
        <v>0</v>
      </c>
      <c r="AN176">
        <f>'Net zero Activity data'!BP56-'Net zero supporting data'!AN164</f>
        <v>0</v>
      </c>
    </row>
    <row r="177" spans="1:48" x14ac:dyDescent="0.25">
      <c r="A177" t="s">
        <v>1149</v>
      </c>
      <c r="B177">
        <f>'Net zero Activity data'!AD58-'Net zero supporting data'!B165</f>
        <v>459063.38535903586</v>
      </c>
      <c r="C177">
        <f>'Net zero Activity data'!AE58-'Net zero supporting data'!C165</f>
        <v>460260.73140826449</v>
      </c>
      <c r="D177">
        <f>'Net zero Activity data'!AF58-'Net zero supporting data'!D165</f>
        <v>461856.30108132871</v>
      </c>
      <c r="E177">
        <f>'Net zero Activity data'!AG58-'Net zero supporting data'!E165</f>
        <v>463814.62172938132</v>
      </c>
      <c r="F177">
        <f>'Net zero Activity data'!AH58-'Net zero supporting data'!F165</f>
        <v>466159.22593726171</v>
      </c>
      <c r="G177">
        <f>'Net zero Activity data'!AI58-'Net zero supporting data'!G165</f>
        <v>468896.35298280412</v>
      </c>
      <c r="H177">
        <f>'Net zero Activity data'!AJ58-'Net zero supporting data'!H165</f>
        <v>471822.84639938985</v>
      </c>
      <c r="I177">
        <f>'Net zero Activity data'!AK58-'Net zero supporting data'!I165</f>
        <v>474896.8597303335</v>
      </c>
      <c r="J177">
        <f>'Net zero Activity data'!AL58-'Net zero supporting data'!J165</f>
        <v>477752.48309622274</v>
      </c>
      <c r="K177">
        <f>'Net zero Activity data'!AM58-'Net zero supporting data'!K165</f>
        <v>455136.17944620695</v>
      </c>
      <c r="L177">
        <f>'Net zero Activity data'!AN58-'Net zero supporting data'!L165</f>
        <v>432502.34480603703</v>
      </c>
      <c r="M177">
        <f>'Net zero Activity data'!AO58-'Net zero supporting data'!M165</f>
        <v>409833.18003068911</v>
      </c>
      <c r="N177">
        <f>'Net zero Activity data'!AP58-'Net zero supporting data'!N165</f>
        <v>387116.16023267491</v>
      </c>
      <c r="O177">
        <f>'Net zero Activity data'!AQ58-'Net zero supporting data'!O165</f>
        <v>364312.73059346376</v>
      </c>
      <c r="P177">
        <f>'Net zero Activity data'!AR58-'Net zero supporting data'!P165</f>
        <v>340846.03803011659</v>
      </c>
      <c r="Q177">
        <f>'Net zero Activity data'!AS58-'Net zero supporting data'!Q165</f>
        <v>317324.54610090895</v>
      </c>
      <c r="R177">
        <f>'Net zero Activity data'!AT58-'Net zero supporting data'!R165</f>
        <v>293736.98993203044</v>
      </c>
      <c r="S177">
        <f>'Net zero Activity data'!AU58-'Net zero supporting data'!S165</f>
        <v>270057.79438217438</v>
      </c>
      <c r="T177">
        <f>'Net zero Activity data'!AV58-'Net zero supporting data'!T165</f>
        <v>246277.4923923357</v>
      </c>
      <c r="U177">
        <f>'Net zero Activity data'!AW58-'Net zero supporting data'!U165</f>
        <v>222103.85179889819</v>
      </c>
      <c r="V177">
        <f>'Net zero Activity data'!AX58-'Net zero supporting data'!V165</f>
        <v>197863.4096708711</v>
      </c>
      <c r="W177">
        <f>'Net zero Activity data'!AY58-'Net zero supporting data'!W165</f>
        <v>173540.13598864089</v>
      </c>
      <c r="X177">
        <f>'Net zero Activity data'!AZ58-'Net zero supporting data'!X165</f>
        <v>149082.9131355866</v>
      </c>
      <c r="Y177">
        <f>'Net zero Activity data'!BA58-'Net zero supporting data'!Y165</f>
        <v>123018.22065449518</v>
      </c>
      <c r="Z177">
        <f>'Net zero Activity data'!BB58-'Net zero supporting data'!Z165</f>
        <v>98544.902302791888</v>
      </c>
      <c r="AA177">
        <f>'Net zero Activity data'!BC58-'Net zero supporting data'!AA165</f>
        <v>74015.185311720939</v>
      </c>
      <c r="AB177">
        <f>'Net zero Activity data'!BD58-'Net zero supporting data'!AB165</f>
        <v>49420.068148723629</v>
      </c>
      <c r="AC177">
        <f>'Net zero Activity data'!BE58-'Net zero supporting data'!AC165</f>
        <v>24751.033048370853</v>
      </c>
      <c r="AD177">
        <f>'Net zero Activity data'!BF58-'Net zero supporting data'!AD165</f>
        <v>0</v>
      </c>
      <c r="AE177">
        <f>'Net zero Activity data'!BG58-'Net zero supporting data'!AE165</f>
        <v>0</v>
      </c>
      <c r="AF177">
        <f>'Net zero Activity data'!BH58-'Net zero supporting data'!AF165</f>
        <v>0</v>
      </c>
      <c r="AG177">
        <f>'Net zero Activity data'!BI58-'Net zero supporting data'!AG165</f>
        <v>0</v>
      </c>
      <c r="AH177">
        <f>'Net zero Activity data'!BJ58-'Net zero supporting data'!AH165</f>
        <v>0</v>
      </c>
      <c r="AI177">
        <f>'Net zero Activity data'!BK58-'Net zero supporting data'!AI165</f>
        <v>0</v>
      </c>
      <c r="AJ177">
        <f>'Net zero Activity data'!BL58-'Net zero supporting data'!AJ165</f>
        <v>0</v>
      </c>
      <c r="AK177">
        <f>'Net zero Activity data'!BM58-'Net zero supporting data'!AK165</f>
        <v>0</v>
      </c>
      <c r="AL177">
        <f>'Net zero Activity data'!BN58-'Net zero supporting data'!AL165</f>
        <v>0</v>
      </c>
      <c r="AM177">
        <f>'Net zero Activity data'!BO58-'Net zero supporting data'!AM165</f>
        <v>0</v>
      </c>
      <c r="AN177">
        <f>'Net zero Activity data'!BP58-'Net zero supporting data'!AN165</f>
        <v>0</v>
      </c>
    </row>
    <row r="178" spans="1:48" x14ac:dyDescent="0.25">
      <c r="A178" t="s">
        <v>1150</v>
      </c>
      <c r="B178">
        <f>'Net zero Activity data'!AD62-'Net zero supporting data'!B166</f>
        <v>7991547.6739922101</v>
      </c>
      <c r="C178">
        <f>'Net zero Activity data'!AE62-'Net zero supporting data'!C166</f>
        <v>7966323.4427003823</v>
      </c>
      <c r="D178">
        <f>'Net zero Activity data'!AF62-'Net zero supporting data'!D166</f>
        <v>7882907.0998757593</v>
      </c>
      <c r="E178">
        <f>'Net zero Activity data'!AG62-'Net zero supporting data'!E166</f>
        <v>7720943.4806476664</v>
      </c>
      <c r="F178">
        <f>'Net zero Activity data'!AH62-'Net zero supporting data'!F166</f>
        <v>7566066.3422990916</v>
      </c>
      <c r="G178">
        <f>'Net zero Activity data'!AI62-'Net zero supporting data'!G166</f>
        <v>7457418.0401987415</v>
      </c>
      <c r="H178">
        <f>'Net zero Activity data'!AJ62-'Net zero supporting data'!H166</f>
        <v>7365401.9907038901</v>
      </c>
      <c r="I178">
        <f>'Net zero Activity data'!AK62-'Net zero supporting data'!I166</f>
        <v>7195964.144640428</v>
      </c>
      <c r="J178">
        <f>'Net zero Activity data'!AL62-'Net zero supporting data'!J166</f>
        <v>6299521.6975735789</v>
      </c>
      <c r="K178">
        <f>'Net zero Activity data'!AM62-'Net zero supporting data'!K166</f>
        <v>6022574.9649660252</v>
      </c>
      <c r="L178">
        <f>'Net zero Activity data'!AN62-'Net zero supporting data'!L166</f>
        <v>5723681.818535991</v>
      </c>
      <c r="M178">
        <f>'Net zero Activity data'!AO62-'Net zero supporting data'!M166</f>
        <v>5422304.3942275336</v>
      </c>
      <c r="N178">
        <f>'Net zero Activity data'!AP62-'Net zero supporting data'!N166</f>
        <v>5141518.6466079028</v>
      </c>
      <c r="O178">
        <f>'Net zero Activity data'!AQ62-'Net zero supporting data'!O166</f>
        <v>4854758.1163906315</v>
      </c>
      <c r="P178">
        <f>'Net zero Activity data'!AR62-'Net zero supporting data'!P166</f>
        <v>4568139.5822271518</v>
      </c>
      <c r="Q178">
        <f>'Net zero Activity data'!AS62-'Net zero supporting data'!Q166</f>
        <v>4270706.4570710678</v>
      </c>
      <c r="R178">
        <f>'Net zero Activity data'!AT62-'Net zero supporting data'!R166</f>
        <v>3974208.4971641628</v>
      </c>
      <c r="S178">
        <f>'Net zero Activity data'!AU62-'Net zero supporting data'!S166</f>
        <v>3664389.3955061487</v>
      </c>
      <c r="T178">
        <f>'Net zero Activity data'!AV62-'Net zero supporting data'!T166</f>
        <v>3351694.0376093993</v>
      </c>
      <c r="U178">
        <f>'Net zero Activity data'!AW62-'Net zero supporting data'!U166</f>
        <v>3050440.0004780833</v>
      </c>
      <c r="V178">
        <f>'Net zero Activity data'!AX62-'Net zero supporting data'!V166</f>
        <v>2746718.8317617453</v>
      </c>
      <c r="W178">
        <f>'Net zero Activity data'!AY62-'Net zero supporting data'!W166</f>
        <v>2435266.4651547149</v>
      </c>
      <c r="X178">
        <f>'Net zero Activity data'!AZ62-'Net zero supporting data'!X166</f>
        <v>2056652.3773504039</v>
      </c>
      <c r="Y178">
        <f>'Net zero Activity data'!BA62-'Net zero supporting data'!Y166</f>
        <v>-578274.87630548561</v>
      </c>
      <c r="Z178">
        <f>'Net zero Activity data'!BB62-'Net zero supporting data'!Z166</f>
        <v>-457559.58654457983</v>
      </c>
      <c r="AA178">
        <f>'Net zero Activity data'!BC62-'Net zero supporting data'!AA166</f>
        <v>-339455.74258718081</v>
      </c>
      <c r="AB178">
        <f>'Net zero Activity data'!BD62-'Net zero supporting data'!AB166</f>
        <v>-223878.51068301545</v>
      </c>
      <c r="AC178">
        <f>'Net zero Activity data'!BE62-'Net zero supporting data'!AC166</f>
        <v>-110750.27726500342</v>
      </c>
      <c r="AD178">
        <f>'Net zero Activity data'!BF62-'Net zero supporting data'!AD166</f>
        <v>0</v>
      </c>
      <c r="AE178">
        <f>'Net zero Activity data'!BG62-'Net zero supporting data'!AE166</f>
        <v>0</v>
      </c>
      <c r="AF178">
        <f>'Net zero Activity data'!BH62-'Net zero supporting data'!AF166</f>
        <v>0</v>
      </c>
      <c r="AG178">
        <f>'Net zero Activity data'!BI62-'Net zero supporting data'!AG166</f>
        <v>0</v>
      </c>
      <c r="AH178">
        <f>'Net zero Activity data'!BJ62-'Net zero supporting data'!AH166</f>
        <v>0</v>
      </c>
      <c r="AI178">
        <f>'Net zero Activity data'!BK62-'Net zero supporting data'!AI166</f>
        <v>0</v>
      </c>
      <c r="AJ178">
        <f>'Net zero Activity data'!BL62-'Net zero supporting data'!AJ166</f>
        <v>0</v>
      </c>
      <c r="AK178">
        <f>'Net zero Activity data'!BM62-'Net zero supporting data'!AK166</f>
        <v>0</v>
      </c>
      <c r="AL178">
        <f>'Net zero Activity data'!BN62-'Net zero supporting data'!AL166</f>
        <v>0</v>
      </c>
      <c r="AM178">
        <f>'Net zero Activity data'!BO62-'Net zero supporting data'!AM166</f>
        <v>0</v>
      </c>
      <c r="AN178">
        <f>'Net zero Activity data'!BP62-'Net zero supporting data'!AN166</f>
        <v>0</v>
      </c>
    </row>
    <row r="179" spans="1:48" x14ac:dyDescent="0.25">
      <c r="A179" t="s">
        <v>1151</v>
      </c>
      <c r="B179">
        <f>'Net zero Activity data'!AD64-'Net zero supporting data'!B167</f>
        <v>10046014.512687217</v>
      </c>
      <c r="C179">
        <f>'Net zero Activity data'!AE64-'Net zero supporting data'!C167</f>
        <v>10263567.916422864</v>
      </c>
      <c r="D179">
        <f>'Net zero Activity data'!AF64-'Net zero supporting data'!D167</f>
        <v>10438863.220213711</v>
      </c>
      <c r="E179">
        <f>'Net zero Activity data'!AG64-'Net zero supporting data'!E167</f>
        <v>10553398.631202264</v>
      </c>
      <c r="F179">
        <f>'Net zero Activity data'!AH64-'Net zero supporting data'!F167</f>
        <v>10669488.655625023</v>
      </c>
      <c r="G179">
        <f>'Net zero Activity data'!AI64-'Net zero supporting data'!G167</f>
        <v>10819150.600486256</v>
      </c>
      <c r="H179">
        <f>'Net zero Activity data'!AJ64-'Net zero supporting data'!H167</f>
        <v>10979199.591485647</v>
      </c>
      <c r="I179">
        <f>'Net zero Activity data'!AK64-'Net zero supporting data'!I167</f>
        <v>11072276.631861012</v>
      </c>
      <c r="J179">
        <f>'Net zero Activity data'!AL64-'Net zero supporting data'!J167</f>
        <v>10536820.017215807</v>
      </c>
      <c r="K179">
        <f>'Net zero Activity data'!AM64-'Net zero supporting data'!K167</f>
        <v>10224879.747372005</v>
      </c>
      <c r="L179">
        <f>'Net zero Activity data'!AN64-'Net zero supporting data'!L167</f>
        <v>9876779.6098845769</v>
      </c>
      <c r="M179">
        <f>'Net zero Activity data'!AO64-'Net zero supporting data'!M167</f>
        <v>9508979.6480199099</v>
      </c>
      <c r="N179">
        <f>'Net zero Activity data'!AP64-'Net zero supporting data'!N167</f>
        <v>9142870.6295849923</v>
      </c>
      <c r="O179">
        <f>'Net zero Activity data'!AQ64-'Net zero supporting data'!O167</f>
        <v>8754111.1597914435</v>
      </c>
      <c r="P179">
        <f>'Net zero Activity data'!AR64-'Net zero supporting data'!P167</f>
        <v>8341212.3681198312</v>
      </c>
      <c r="Q179">
        <f>'Net zero Activity data'!AS64-'Net zero supporting data'!Q167</f>
        <v>7900869.1893491466</v>
      </c>
      <c r="R179">
        <f>'Net zero Activity data'!AT64-'Net zero supporting data'!R167</f>
        <v>7444235.2591050956</v>
      </c>
      <c r="S179">
        <f>'Net zero Activity data'!AU64-'Net zero supporting data'!S167</f>
        <v>6956326.5140807694</v>
      </c>
      <c r="T179">
        <f>'Net zero Activity data'!AV64-'Net zero supporting data'!T167</f>
        <v>6447192.5074478462</v>
      </c>
      <c r="U179">
        <f>'Net zero Activity data'!AW64-'Net zero supporting data'!U167</f>
        <v>5928250.4548085732</v>
      </c>
      <c r="V179">
        <f>'Net zero Activity data'!AX64-'Net zero supporting data'!V167</f>
        <v>5389063.3610165818</v>
      </c>
      <c r="W179">
        <f>'Net zero Activity data'!AY64-'Net zero supporting data'!W167</f>
        <v>4823289.2049563155</v>
      </c>
      <c r="X179">
        <f>'Net zero Activity data'!AZ64-'Net zero supporting data'!X167</f>
        <v>4161765.6810518764</v>
      </c>
      <c r="Y179">
        <f>'Net zero Activity data'!BA64-'Net zero supporting data'!Y167</f>
        <v>831281.06810979033</v>
      </c>
      <c r="Z179">
        <f>'Net zero Activity data'!BB64-'Net zero supporting data'!Z167</f>
        <v>670136.13291863305</v>
      </c>
      <c r="AA179">
        <f>'Net zero Activity data'!BC64-'Net zero supporting data'!AA167</f>
        <v>506463.46901278012</v>
      </c>
      <c r="AB179">
        <f>'Net zero Activity data'!BD64-'Net zero supporting data'!AB167</f>
        <v>340235.30757870432</v>
      </c>
      <c r="AC179">
        <f>'Net zero Activity data'!BE64-'Net zero supporting data'!AC167</f>
        <v>171423.59675023565</v>
      </c>
      <c r="AD179">
        <f>'Net zero Activity data'!BF64-'Net zero supporting data'!AD167</f>
        <v>0</v>
      </c>
      <c r="AE179">
        <f>'Net zero Activity data'!BG64-'Net zero supporting data'!AE167</f>
        <v>0</v>
      </c>
      <c r="AF179">
        <f>'Net zero Activity data'!BH64-'Net zero supporting data'!AF167</f>
        <v>0</v>
      </c>
      <c r="AG179">
        <f>'Net zero Activity data'!BI64-'Net zero supporting data'!AG167</f>
        <v>0</v>
      </c>
      <c r="AH179">
        <f>'Net zero Activity data'!BJ64-'Net zero supporting data'!AH167</f>
        <v>0</v>
      </c>
      <c r="AI179">
        <f>'Net zero Activity data'!BK64-'Net zero supporting data'!AI167</f>
        <v>0</v>
      </c>
      <c r="AJ179">
        <f>'Net zero Activity data'!BL64-'Net zero supporting data'!AJ167</f>
        <v>0</v>
      </c>
      <c r="AK179">
        <f>'Net zero Activity data'!BM64-'Net zero supporting data'!AK167</f>
        <v>0</v>
      </c>
      <c r="AL179">
        <f>'Net zero Activity data'!BN64-'Net zero supporting data'!AL167</f>
        <v>0</v>
      </c>
      <c r="AM179">
        <f>'Net zero Activity data'!BO64-'Net zero supporting data'!AM167</f>
        <v>0</v>
      </c>
      <c r="AN179">
        <f>'Net zero Activity data'!BP64-'Net zero supporting data'!AN167</f>
        <v>0</v>
      </c>
    </row>
    <row r="180" spans="1:48" x14ac:dyDescent="0.25">
      <c r="A180" t="s">
        <v>1152</v>
      </c>
      <c r="B180">
        <f>'Net zero Activity data'!AD65-'Net zero supporting data'!B168</f>
        <v>50617265.081744902</v>
      </c>
      <c r="C180">
        <f>'Net zero Activity data'!AE65-'Net zero supporting data'!C168</f>
        <v>51438663.549933501</v>
      </c>
      <c r="D180">
        <f>'Net zero Activity data'!AF65-'Net zero supporting data'!D168</f>
        <v>51682553.906749912</v>
      </c>
      <c r="E180">
        <f>'Net zero Activity data'!AG65-'Net zero supporting data'!E168</f>
        <v>51135854.641949564</v>
      </c>
      <c r="F180">
        <f>'Net zero Activity data'!AH65-'Net zero supporting data'!F168</f>
        <v>50590329.223710328</v>
      </c>
      <c r="G180">
        <f>'Net zero Activity data'!AI65-'Net zero supporting data'!G168</f>
        <v>50432039.587533243</v>
      </c>
      <c r="H180">
        <f>'Net zero Activity data'!AJ65-'Net zero supporting data'!H168</f>
        <v>50399065.25172136</v>
      </c>
      <c r="I180">
        <f>'Net zero Activity data'!AK65-'Net zero supporting data'!I168</f>
        <v>49558394.137915395</v>
      </c>
      <c r="J180">
        <f>'Net zero Activity data'!AL65-'Net zero supporting data'!J168</f>
        <v>41294222.251021594</v>
      </c>
      <c r="K180">
        <f>'Net zero Activity data'!AM65-'Net zero supporting data'!K168</f>
        <v>40386683.870772809</v>
      </c>
      <c r="L180">
        <f>'Net zero Activity data'!AN65-'Net zero supporting data'!L168</f>
        <v>39177402.496098578</v>
      </c>
      <c r="M180">
        <f>'Net zero Activity data'!AO65-'Net zero supporting data'!M168</f>
        <v>37864206.427501917</v>
      </c>
      <c r="N180">
        <f>'Net zero Activity data'!AP65-'Net zero supporting data'!N168</f>
        <v>36694043.486818932</v>
      </c>
      <c r="O180">
        <f>'Net zero Activity data'!AQ65-'Net zero supporting data'!O168</f>
        <v>35388762.74465742</v>
      </c>
      <c r="P180">
        <f>'Net zero Activity data'!AR65-'Net zero supporting data'!P168</f>
        <v>34042052.226944424</v>
      </c>
      <c r="Q180">
        <f>'Net zero Activity data'!AS65-'Net zero supporting data'!Q168</f>
        <v>32500490.104159225</v>
      </c>
      <c r="R180">
        <f>'Net zero Activity data'!AT65-'Net zero supporting data'!R168</f>
        <v>30892065.818287019</v>
      </c>
      <c r="S180">
        <f>'Net zero Activity data'!AU65-'Net zero supporting data'!S168</f>
        <v>29054679.184931323</v>
      </c>
      <c r="T180">
        <f>'Net zero Activity data'!AV65-'Net zero supporting data'!T168</f>
        <v>27103083.97282353</v>
      </c>
      <c r="U180">
        <f>'Net zero Activity data'!AW65-'Net zero supporting data'!U168</f>
        <v>25217727.646879416</v>
      </c>
      <c r="V180">
        <f>'Net zero Activity data'!AX65-'Net zero supporting data'!V168</f>
        <v>23220818.025287956</v>
      </c>
      <c r="W180">
        <f>'Net zero Activity data'!AY65-'Net zero supporting data'!W168</f>
        <v>21047488.115599245</v>
      </c>
      <c r="X180">
        <f>'Net zero Activity data'!AZ65-'Net zero supporting data'!X168</f>
        <v>17971096.115338929</v>
      </c>
      <c r="Y180">
        <f>'Net zero Activity data'!BA65-'Net zero supporting data'!Y168</f>
        <v>-12987885.951000668</v>
      </c>
      <c r="Z180">
        <f>'Net zero Activity data'!BB65-'Net zero supporting data'!Z168</f>
        <v>-10405195.945532963</v>
      </c>
      <c r="AA180">
        <f>'Net zero Activity data'!BC65-'Net zero supporting data'!AA168</f>
        <v>-7816007.1817484573</v>
      </c>
      <c r="AB180">
        <f>'Net zero Activity data'!BD65-'Net zero supporting data'!AB168</f>
        <v>-5219348.539049685</v>
      </c>
      <c r="AC180">
        <f>'Net zero Activity data'!BE65-'Net zero supporting data'!AC168</f>
        <v>-2614302.4908051342</v>
      </c>
      <c r="AD180">
        <f>'Net zero Activity data'!BF65-'Net zero supporting data'!AD168</f>
        <v>0</v>
      </c>
      <c r="AE180">
        <f>'Net zero Activity data'!BG65-'Net zero supporting data'!AE168</f>
        <v>0</v>
      </c>
      <c r="AF180">
        <f>'Net zero Activity data'!BH65-'Net zero supporting data'!AF168</f>
        <v>0</v>
      </c>
      <c r="AG180">
        <f>'Net zero Activity data'!BI65-'Net zero supporting data'!AG168</f>
        <v>0</v>
      </c>
      <c r="AH180">
        <f>'Net zero Activity data'!BJ65-'Net zero supporting data'!AH168</f>
        <v>0</v>
      </c>
      <c r="AI180">
        <f>'Net zero Activity data'!BK65-'Net zero supporting data'!AI168</f>
        <v>0</v>
      </c>
      <c r="AJ180">
        <f>'Net zero Activity data'!BL65-'Net zero supporting data'!AJ168</f>
        <v>0</v>
      </c>
      <c r="AK180">
        <f>'Net zero Activity data'!BM65-'Net zero supporting data'!AK168</f>
        <v>0</v>
      </c>
      <c r="AL180">
        <f>'Net zero Activity data'!BN65-'Net zero supporting data'!AL168</f>
        <v>0</v>
      </c>
      <c r="AM180">
        <f>'Net zero Activity data'!BO65-'Net zero supporting data'!AM168</f>
        <v>0</v>
      </c>
      <c r="AN180">
        <f>'Net zero Activity data'!BP65-'Net zero supporting data'!AN168</f>
        <v>0</v>
      </c>
    </row>
    <row r="181" spans="1:48" x14ac:dyDescent="0.25">
      <c r="A181" t="s">
        <v>1120</v>
      </c>
      <c r="B181">
        <f t="shared" ref="B181:K182" si="289">SNEF-(SNEF*0.35)</f>
        <v>6.5000000000000006E-3</v>
      </c>
      <c r="C181">
        <f t="shared" si="289"/>
        <v>6.5000000000000006E-3</v>
      </c>
      <c r="D181">
        <f t="shared" si="289"/>
        <v>6.5000000000000006E-3</v>
      </c>
      <c r="E181">
        <f t="shared" si="289"/>
        <v>6.5000000000000006E-3</v>
      </c>
      <c r="F181">
        <f t="shared" si="289"/>
        <v>6.5000000000000006E-3</v>
      </c>
      <c r="G181">
        <f t="shared" si="289"/>
        <v>6.5000000000000006E-3</v>
      </c>
      <c r="H181">
        <f t="shared" si="289"/>
        <v>6.5000000000000006E-3</v>
      </c>
      <c r="I181">
        <f t="shared" si="289"/>
        <v>6.5000000000000006E-3</v>
      </c>
      <c r="J181">
        <f t="shared" si="289"/>
        <v>6.5000000000000006E-3</v>
      </c>
      <c r="K181">
        <f t="shared" si="289"/>
        <v>6.5000000000000006E-3</v>
      </c>
      <c r="L181">
        <f t="shared" ref="L181:U182" si="290">SNEF-(SNEF*0.35)</f>
        <v>6.5000000000000006E-3</v>
      </c>
      <c r="M181">
        <f t="shared" si="290"/>
        <v>6.5000000000000006E-3</v>
      </c>
      <c r="N181">
        <f t="shared" si="290"/>
        <v>6.5000000000000006E-3</v>
      </c>
      <c r="O181">
        <f t="shared" si="290"/>
        <v>6.5000000000000006E-3</v>
      </c>
      <c r="P181">
        <f t="shared" si="290"/>
        <v>6.5000000000000006E-3</v>
      </c>
      <c r="Q181">
        <f t="shared" si="290"/>
        <v>6.5000000000000006E-3</v>
      </c>
      <c r="R181">
        <f t="shared" si="290"/>
        <v>6.5000000000000006E-3</v>
      </c>
      <c r="S181">
        <f t="shared" si="290"/>
        <v>6.5000000000000006E-3</v>
      </c>
      <c r="T181">
        <f t="shared" si="290"/>
        <v>6.5000000000000006E-3</v>
      </c>
      <c r="U181">
        <f t="shared" si="290"/>
        <v>6.5000000000000006E-3</v>
      </c>
      <c r="V181">
        <f t="shared" ref="V181:AE182" si="291">SNEF-(SNEF*0.35)</f>
        <v>6.5000000000000006E-3</v>
      </c>
      <c r="W181">
        <f t="shared" si="291"/>
        <v>6.5000000000000006E-3</v>
      </c>
      <c r="X181">
        <f t="shared" si="291"/>
        <v>6.5000000000000006E-3</v>
      </c>
      <c r="Y181">
        <f t="shared" si="291"/>
        <v>6.5000000000000006E-3</v>
      </c>
      <c r="Z181">
        <f t="shared" si="291"/>
        <v>6.5000000000000006E-3</v>
      </c>
      <c r="AA181">
        <f t="shared" si="291"/>
        <v>6.5000000000000006E-3</v>
      </c>
      <c r="AB181">
        <f t="shared" si="291"/>
        <v>6.5000000000000006E-3</v>
      </c>
      <c r="AC181">
        <f t="shared" si="291"/>
        <v>6.5000000000000006E-3</v>
      </c>
      <c r="AD181">
        <f t="shared" si="291"/>
        <v>6.5000000000000006E-3</v>
      </c>
      <c r="AE181">
        <f t="shared" si="291"/>
        <v>6.5000000000000006E-3</v>
      </c>
      <c r="AF181">
        <f t="shared" ref="AF181:AN182" si="292">SNEF-(SNEF*0.35)</f>
        <v>6.5000000000000006E-3</v>
      </c>
      <c r="AG181">
        <f t="shared" si="292"/>
        <v>6.5000000000000006E-3</v>
      </c>
      <c r="AH181">
        <f t="shared" si="292"/>
        <v>6.5000000000000006E-3</v>
      </c>
      <c r="AI181">
        <f t="shared" si="292"/>
        <v>6.5000000000000006E-3</v>
      </c>
      <c r="AJ181">
        <f t="shared" si="292"/>
        <v>6.5000000000000006E-3</v>
      </c>
      <c r="AK181">
        <f t="shared" si="292"/>
        <v>6.5000000000000006E-3</v>
      </c>
      <c r="AL181">
        <f t="shared" si="292"/>
        <v>6.5000000000000006E-3</v>
      </c>
      <c r="AM181">
        <f t="shared" si="292"/>
        <v>6.5000000000000006E-3</v>
      </c>
      <c r="AN181">
        <f t="shared" si="292"/>
        <v>6.5000000000000006E-3</v>
      </c>
    </row>
    <row r="182" spans="1:48" x14ac:dyDescent="0.25">
      <c r="A182" t="s">
        <v>1121</v>
      </c>
      <c r="B182">
        <f t="shared" si="289"/>
        <v>6.5000000000000006E-3</v>
      </c>
      <c r="C182">
        <f t="shared" si="289"/>
        <v>6.5000000000000006E-3</v>
      </c>
      <c r="D182">
        <f t="shared" si="289"/>
        <v>6.5000000000000006E-3</v>
      </c>
      <c r="E182">
        <f t="shared" si="289"/>
        <v>6.5000000000000006E-3</v>
      </c>
      <c r="F182">
        <f t="shared" si="289"/>
        <v>6.5000000000000006E-3</v>
      </c>
      <c r="G182">
        <f t="shared" si="289"/>
        <v>6.5000000000000006E-3</v>
      </c>
      <c r="H182">
        <f t="shared" si="289"/>
        <v>6.5000000000000006E-3</v>
      </c>
      <c r="I182">
        <f t="shared" si="289"/>
        <v>6.5000000000000006E-3</v>
      </c>
      <c r="J182">
        <f t="shared" si="289"/>
        <v>6.5000000000000006E-3</v>
      </c>
      <c r="K182">
        <f t="shared" si="289"/>
        <v>6.5000000000000006E-3</v>
      </c>
      <c r="L182">
        <f t="shared" si="290"/>
        <v>6.5000000000000006E-3</v>
      </c>
      <c r="M182">
        <f t="shared" si="290"/>
        <v>6.5000000000000006E-3</v>
      </c>
      <c r="N182">
        <f t="shared" si="290"/>
        <v>6.5000000000000006E-3</v>
      </c>
      <c r="O182">
        <f t="shared" si="290"/>
        <v>6.5000000000000006E-3</v>
      </c>
      <c r="P182">
        <f t="shared" si="290"/>
        <v>6.5000000000000006E-3</v>
      </c>
      <c r="Q182">
        <f t="shared" si="290"/>
        <v>6.5000000000000006E-3</v>
      </c>
      <c r="R182">
        <f t="shared" si="290"/>
        <v>6.5000000000000006E-3</v>
      </c>
      <c r="S182">
        <f t="shared" si="290"/>
        <v>6.5000000000000006E-3</v>
      </c>
      <c r="T182">
        <f t="shared" si="290"/>
        <v>6.5000000000000006E-3</v>
      </c>
      <c r="U182">
        <f t="shared" si="290"/>
        <v>6.5000000000000006E-3</v>
      </c>
      <c r="V182">
        <f t="shared" si="291"/>
        <v>6.5000000000000006E-3</v>
      </c>
      <c r="W182">
        <f t="shared" si="291"/>
        <v>6.5000000000000006E-3</v>
      </c>
      <c r="X182">
        <f t="shared" si="291"/>
        <v>6.5000000000000006E-3</v>
      </c>
      <c r="Y182">
        <f t="shared" si="291"/>
        <v>6.5000000000000006E-3</v>
      </c>
      <c r="Z182">
        <f t="shared" si="291"/>
        <v>6.5000000000000006E-3</v>
      </c>
      <c r="AA182">
        <f t="shared" si="291"/>
        <v>6.5000000000000006E-3</v>
      </c>
      <c r="AB182">
        <f t="shared" si="291"/>
        <v>6.5000000000000006E-3</v>
      </c>
      <c r="AC182">
        <f t="shared" si="291"/>
        <v>6.5000000000000006E-3</v>
      </c>
      <c r="AD182">
        <f t="shared" si="291"/>
        <v>6.5000000000000006E-3</v>
      </c>
      <c r="AE182">
        <f t="shared" si="291"/>
        <v>6.5000000000000006E-3</v>
      </c>
      <c r="AF182">
        <f t="shared" si="292"/>
        <v>6.5000000000000006E-3</v>
      </c>
      <c r="AG182">
        <f t="shared" si="292"/>
        <v>6.5000000000000006E-3</v>
      </c>
      <c r="AH182">
        <f t="shared" si="292"/>
        <v>6.5000000000000006E-3</v>
      </c>
      <c r="AI182">
        <f t="shared" si="292"/>
        <v>6.5000000000000006E-3</v>
      </c>
      <c r="AJ182">
        <f t="shared" si="292"/>
        <v>6.5000000000000006E-3</v>
      </c>
      <c r="AK182">
        <f t="shared" si="292"/>
        <v>6.5000000000000006E-3</v>
      </c>
      <c r="AL182">
        <f t="shared" si="292"/>
        <v>6.5000000000000006E-3</v>
      </c>
      <c r="AM182">
        <f t="shared" si="292"/>
        <v>6.5000000000000006E-3</v>
      </c>
      <c r="AN182">
        <f t="shared" si="292"/>
        <v>6.5000000000000006E-3</v>
      </c>
    </row>
    <row r="183" spans="1:48" x14ac:dyDescent="0.25">
      <c r="A183" t="s">
        <v>1122</v>
      </c>
      <c r="B183">
        <f t="shared" ref="B183:AN183" si="293">ManureNEF-(ManureNEF*0.35)</f>
        <v>6.5000000000000006E-3</v>
      </c>
      <c r="C183">
        <f t="shared" si="293"/>
        <v>6.5000000000000006E-3</v>
      </c>
      <c r="D183">
        <f t="shared" si="293"/>
        <v>6.5000000000000006E-3</v>
      </c>
      <c r="E183">
        <f t="shared" si="293"/>
        <v>6.5000000000000006E-3</v>
      </c>
      <c r="F183">
        <f t="shared" si="293"/>
        <v>6.5000000000000006E-3</v>
      </c>
      <c r="G183">
        <f t="shared" si="293"/>
        <v>6.5000000000000006E-3</v>
      </c>
      <c r="H183">
        <f t="shared" si="293"/>
        <v>6.5000000000000006E-3</v>
      </c>
      <c r="I183">
        <f t="shared" si="293"/>
        <v>6.5000000000000006E-3</v>
      </c>
      <c r="J183">
        <f t="shared" si="293"/>
        <v>6.5000000000000006E-3</v>
      </c>
      <c r="K183">
        <f t="shared" si="293"/>
        <v>6.5000000000000006E-3</v>
      </c>
      <c r="L183">
        <f t="shared" si="293"/>
        <v>6.5000000000000006E-3</v>
      </c>
      <c r="M183">
        <f t="shared" si="293"/>
        <v>6.5000000000000006E-3</v>
      </c>
      <c r="N183">
        <f t="shared" si="293"/>
        <v>6.5000000000000006E-3</v>
      </c>
      <c r="O183">
        <f t="shared" si="293"/>
        <v>6.5000000000000006E-3</v>
      </c>
      <c r="P183">
        <f t="shared" si="293"/>
        <v>6.5000000000000006E-3</v>
      </c>
      <c r="Q183">
        <f t="shared" si="293"/>
        <v>6.5000000000000006E-3</v>
      </c>
      <c r="R183">
        <f t="shared" si="293"/>
        <v>6.5000000000000006E-3</v>
      </c>
      <c r="S183">
        <f t="shared" si="293"/>
        <v>6.5000000000000006E-3</v>
      </c>
      <c r="T183">
        <f t="shared" si="293"/>
        <v>6.5000000000000006E-3</v>
      </c>
      <c r="U183">
        <f t="shared" si="293"/>
        <v>6.5000000000000006E-3</v>
      </c>
      <c r="V183">
        <f t="shared" si="293"/>
        <v>6.5000000000000006E-3</v>
      </c>
      <c r="W183">
        <f t="shared" si="293"/>
        <v>6.5000000000000006E-3</v>
      </c>
      <c r="X183">
        <f t="shared" si="293"/>
        <v>6.5000000000000006E-3</v>
      </c>
      <c r="Y183">
        <f t="shared" si="293"/>
        <v>6.5000000000000006E-3</v>
      </c>
      <c r="Z183">
        <f t="shared" si="293"/>
        <v>6.5000000000000006E-3</v>
      </c>
      <c r="AA183">
        <f t="shared" si="293"/>
        <v>6.5000000000000006E-3</v>
      </c>
      <c r="AB183">
        <f t="shared" si="293"/>
        <v>6.5000000000000006E-3</v>
      </c>
      <c r="AC183">
        <f t="shared" si="293"/>
        <v>6.5000000000000006E-3</v>
      </c>
      <c r="AD183">
        <f t="shared" si="293"/>
        <v>6.5000000000000006E-3</v>
      </c>
      <c r="AE183">
        <f t="shared" si="293"/>
        <v>6.5000000000000006E-3</v>
      </c>
      <c r="AF183">
        <f t="shared" si="293"/>
        <v>6.5000000000000006E-3</v>
      </c>
      <c r="AG183">
        <f t="shared" si="293"/>
        <v>6.5000000000000006E-3</v>
      </c>
      <c r="AH183">
        <f t="shared" si="293"/>
        <v>6.5000000000000006E-3</v>
      </c>
      <c r="AI183">
        <f t="shared" si="293"/>
        <v>6.5000000000000006E-3</v>
      </c>
      <c r="AJ183">
        <f t="shared" si="293"/>
        <v>6.5000000000000006E-3</v>
      </c>
      <c r="AK183">
        <f t="shared" si="293"/>
        <v>6.5000000000000006E-3</v>
      </c>
      <c r="AL183">
        <f t="shared" si="293"/>
        <v>6.5000000000000006E-3</v>
      </c>
      <c r="AM183">
        <f t="shared" si="293"/>
        <v>6.5000000000000006E-3</v>
      </c>
      <c r="AN183">
        <f t="shared" si="293"/>
        <v>6.5000000000000006E-3</v>
      </c>
    </row>
    <row r="184" spans="1:48" x14ac:dyDescent="0.25">
      <c r="A184" t="s">
        <v>1123</v>
      </c>
      <c r="B184">
        <f t="shared" ref="B184:AN184" si="294">MSVolatEF-(MSVolatEF*0.35)</f>
        <v>6.5000000000000006E-3</v>
      </c>
      <c r="C184">
        <f t="shared" si="294"/>
        <v>6.5000000000000006E-3</v>
      </c>
      <c r="D184">
        <f t="shared" si="294"/>
        <v>6.5000000000000006E-3</v>
      </c>
      <c r="E184">
        <f t="shared" si="294"/>
        <v>6.5000000000000006E-3</v>
      </c>
      <c r="F184">
        <f t="shared" si="294"/>
        <v>6.5000000000000006E-3</v>
      </c>
      <c r="G184">
        <f t="shared" si="294"/>
        <v>6.5000000000000006E-3</v>
      </c>
      <c r="H184">
        <f t="shared" si="294"/>
        <v>6.5000000000000006E-3</v>
      </c>
      <c r="I184">
        <f t="shared" si="294"/>
        <v>6.5000000000000006E-3</v>
      </c>
      <c r="J184">
        <f t="shared" si="294"/>
        <v>6.5000000000000006E-3</v>
      </c>
      <c r="K184">
        <f t="shared" si="294"/>
        <v>6.5000000000000006E-3</v>
      </c>
      <c r="L184">
        <f t="shared" si="294"/>
        <v>6.5000000000000006E-3</v>
      </c>
      <c r="M184">
        <f t="shared" si="294"/>
        <v>6.5000000000000006E-3</v>
      </c>
      <c r="N184">
        <f t="shared" si="294"/>
        <v>6.5000000000000006E-3</v>
      </c>
      <c r="O184">
        <f t="shared" si="294"/>
        <v>6.5000000000000006E-3</v>
      </c>
      <c r="P184">
        <f t="shared" si="294"/>
        <v>6.5000000000000006E-3</v>
      </c>
      <c r="Q184">
        <f t="shared" si="294"/>
        <v>6.5000000000000006E-3</v>
      </c>
      <c r="R184">
        <f t="shared" si="294"/>
        <v>6.5000000000000006E-3</v>
      </c>
      <c r="S184">
        <f t="shared" si="294"/>
        <v>6.5000000000000006E-3</v>
      </c>
      <c r="T184">
        <f t="shared" si="294"/>
        <v>6.5000000000000006E-3</v>
      </c>
      <c r="U184">
        <f t="shared" si="294"/>
        <v>6.5000000000000006E-3</v>
      </c>
      <c r="V184">
        <f t="shared" si="294"/>
        <v>6.5000000000000006E-3</v>
      </c>
      <c r="W184">
        <f t="shared" si="294"/>
        <v>6.5000000000000006E-3</v>
      </c>
      <c r="X184">
        <f t="shared" si="294"/>
        <v>6.5000000000000006E-3</v>
      </c>
      <c r="Y184">
        <f t="shared" si="294"/>
        <v>6.5000000000000006E-3</v>
      </c>
      <c r="Z184">
        <f t="shared" si="294"/>
        <v>6.5000000000000006E-3</v>
      </c>
      <c r="AA184">
        <f t="shared" si="294"/>
        <v>6.5000000000000006E-3</v>
      </c>
      <c r="AB184">
        <f t="shared" si="294"/>
        <v>6.5000000000000006E-3</v>
      </c>
      <c r="AC184">
        <f t="shared" si="294"/>
        <v>6.5000000000000006E-3</v>
      </c>
      <c r="AD184">
        <f t="shared" si="294"/>
        <v>6.5000000000000006E-3</v>
      </c>
      <c r="AE184">
        <f t="shared" si="294"/>
        <v>6.5000000000000006E-3</v>
      </c>
      <c r="AF184">
        <f t="shared" si="294"/>
        <v>6.5000000000000006E-3</v>
      </c>
      <c r="AG184">
        <f t="shared" si="294"/>
        <v>6.5000000000000006E-3</v>
      </c>
      <c r="AH184">
        <f t="shared" si="294"/>
        <v>6.5000000000000006E-3</v>
      </c>
      <c r="AI184">
        <f t="shared" si="294"/>
        <v>6.5000000000000006E-3</v>
      </c>
      <c r="AJ184">
        <f t="shared" si="294"/>
        <v>6.5000000000000006E-3</v>
      </c>
      <c r="AK184">
        <f t="shared" si="294"/>
        <v>6.5000000000000006E-3</v>
      </c>
      <c r="AL184">
        <f t="shared" si="294"/>
        <v>6.5000000000000006E-3</v>
      </c>
      <c r="AM184">
        <f t="shared" si="294"/>
        <v>6.5000000000000006E-3</v>
      </c>
      <c r="AN184">
        <f t="shared" si="294"/>
        <v>6.5000000000000006E-3</v>
      </c>
    </row>
    <row r="185" spans="1:48" x14ac:dyDescent="0.25">
      <c r="A185" t="s">
        <v>1124</v>
      </c>
      <c r="B185">
        <f t="shared" ref="B185:AN185" si="295">MSLeachEF-(MSLeachEF*0.35)</f>
        <v>4.875E-3</v>
      </c>
      <c r="C185">
        <f t="shared" si="295"/>
        <v>4.875E-3</v>
      </c>
      <c r="D185">
        <f t="shared" si="295"/>
        <v>4.875E-3</v>
      </c>
      <c r="E185">
        <f t="shared" si="295"/>
        <v>4.875E-3</v>
      </c>
      <c r="F185">
        <f t="shared" si="295"/>
        <v>4.875E-3</v>
      </c>
      <c r="G185">
        <f t="shared" si="295"/>
        <v>4.875E-3</v>
      </c>
      <c r="H185">
        <f t="shared" si="295"/>
        <v>4.875E-3</v>
      </c>
      <c r="I185">
        <f t="shared" si="295"/>
        <v>4.875E-3</v>
      </c>
      <c r="J185">
        <f t="shared" si="295"/>
        <v>4.875E-3</v>
      </c>
      <c r="K185">
        <f t="shared" si="295"/>
        <v>4.875E-3</v>
      </c>
      <c r="L185">
        <f t="shared" si="295"/>
        <v>4.875E-3</v>
      </c>
      <c r="M185">
        <f t="shared" si="295"/>
        <v>4.875E-3</v>
      </c>
      <c r="N185">
        <f t="shared" si="295"/>
        <v>4.875E-3</v>
      </c>
      <c r="O185">
        <f t="shared" si="295"/>
        <v>4.875E-3</v>
      </c>
      <c r="P185">
        <f t="shared" si="295"/>
        <v>4.875E-3</v>
      </c>
      <c r="Q185">
        <f t="shared" si="295"/>
        <v>4.875E-3</v>
      </c>
      <c r="R185">
        <f t="shared" si="295"/>
        <v>4.875E-3</v>
      </c>
      <c r="S185">
        <f t="shared" si="295"/>
        <v>4.875E-3</v>
      </c>
      <c r="T185">
        <f t="shared" si="295"/>
        <v>4.875E-3</v>
      </c>
      <c r="U185">
        <f t="shared" si="295"/>
        <v>4.875E-3</v>
      </c>
      <c r="V185">
        <f t="shared" si="295"/>
        <v>4.875E-3</v>
      </c>
      <c r="W185">
        <f t="shared" si="295"/>
        <v>4.875E-3</v>
      </c>
      <c r="X185">
        <f t="shared" si="295"/>
        <v>4.875E-3</v>
      </c>
      <c r="Y185">
        <f t="shared" si="295"/>
        <v>4.875E-3</v>
      </c>
      <c r="Z185">
        <f t="shared" si="295"/>
        <v>4.875E-3</v>
      </c>
      <c r="AA185">
        <f t="shared" si="295"/>
        <v>4.875E-3</v>
      </c>
      <c r="AB185">
        <f t="shared" si="295"/>
        <v>4.875E-3</v>
      </c>
      <c r="AC185">
        <f t="shared" si="295"/>
        <v>4.875E-3</v>
      </c>
      <c r="AD185">
        <f t="shared" si="295"/>
        <v>4.875E-3</v>
      </c>
      <c r="AE185">
        <f t="shared" si="295"/>
        <v>4.875E-3</v>
      </c>
      <c r="AF185">
        <f t="shared" si="295"/>
        <v>4.875E-3</v>
      </c>
      <c r="AG185">
        <f t="shared" si="295"/>
        <v>4.875E-3</v>
      </c>
      <c r="AH185">
        <f t="shared" si="295"/>
        <v>4.875E-3</v>
      </c>
      <c r="AI185">
        <f t="shared" si="295"/>
        <v>4.875E-3</v>
      </c>
      <c r="AJ185">
        <f t="shared" si="295"/>
        <v>4.875E-3</v>
      </c>
      <c r="AK185">
        <f t="shared" si="295"/>
        <v>4.875E-3</v>
      </c>
      <c r="AL185">
        <f t="shared" si="295"/>
        <v>4.875E-3</v>
      </c>
      <c r="AM185">
        <f t="shared" si="295"/>
        <v>4.875E-3</v>
      </c>
      <c r="AN185">
        <f t="shared" si="295"/>
        <v>4.875E-3</v>
      </c>
    </row>
    <row r="187" spans="1:48" s="120" customFormat="1" ht="15.75" x14ac:dyDescent="0.25">
      <c r="A187" s="116" t="s">
        <v>98</v>
      </c>
      <c r="B187" s="116"/>
      <c r="C187" s="116"/>
      <c r="D187" s="116"/>
      <c r="E187" s="116"/>
      <c r="F187" s="116"/>
      <c r="G187" s="116"/>
      <c r="H187" s="116"/>
      <c r="I187" s="116"/>
      <c r="J187" s="118"/>
      <c r="K187" s="118"/>
      <c r="L187" s="118"/>
      <c r="M187" s="118"/>
      <c r="N187" s="118"/>
      <c r="O187" s="118"/>
      <c r="P187" s="119"/>
      <c r="Q187" s="119"/>
      <c r="R187" s="119"/>
      <c r="S187" s="119"/>
      <c r="T187" s="119"/>
      <c r="U187" s="119"/>
      <c r="V187" s="119"/>
      <c r="W187" s="119"/>
      <c r="X187" s="119"/>
      <c r="Y187" s="119"/>
      <c r="Z187" s="119"/>
      <c r="AA187" s="119"/>
      <c r="AB187" s="119"/>
      <c r="AC187" s="119"/>
      <c r="AD187" s="119"/>
      <c r="AE187" s="119"/>
      <c r="AF187" s="119"/>
      <c r="AG187" s="119"/>
      <c r="AH187" s="119"/>
      <c r="AI187" s="119"/>
      <c r="AJ187" s="119"/>
      <c r="AK187" s="119"/>
      <c r="AL187" s="119"/>
      <c r="AM187" s="119"/>
      <c r="AN187" s="119"/>
      <c r="AO187" s="119"/>
      <c r="AP187" s="119"/>
      <c r="AQ187" s="119"/>
      <c r="AR187" s="119"/>
      <c r="AS187" s="119"/>
      <c r="AT187" s="119"/>
      <c r="AU187" s="119"/>
      <c r="AV187" s="119"/>
    </row>
    <row r="188" spans="1:48" x14ac:dyDescent="0.25">
      <c r="A188" t="s">
        <v>1220</v>
      </c>
      <c r="B188">
        <f>'Net zero activities &amp; levers'!$C73/100</f>
        <v>0</v>
      </c>
      <c r="C188">
        <f>B188</f>
        <v>0</v>
      </c>
      <c r="D188">
        <f t="shared" ref="D188:J188" si="296">C188</f>
        <v>0</v>
      </c>
      <c r="E188">
        <f t="shared" si="296"/>
        <v>0</v>
      </c>
      <c r="F188">
        <f t="shared" si="296"/>
        <v>0</v>
      </c>
      <c r="G188">
        <f t="shared" si="296"/>
        <v>0</v>
      </c>
      <c r="H188">
        <f t="shared" si="296"/>
        <v>0</v>
      </c>
      <c r="I188">
        <f t="shared" si="296"/>
        <v>0</v>
      </c>
      <c r="J188">
        <f t="shared" si="296"/>
        <v>0</v>
      </c>
      <c r="K188">
        <f t="shared" ref="K188" si="297">J188+($T188-$J188)/10</f>
        <v>0.08</v>
      </c>
      <c r="L188">
        <f t="shared" ref="L188" si="298">K188+($T188-$J188)/10</f>
        <v>0.16</v>
      </c>
      <c r="M188">
        <f t="shared" ref="M188" si="299">L188+($T188-$J188)/10</f>
        <v>0.24</v>
      </c>
      <c r="N188">
        <f t="shared" ref="N188" si="300">M188+($T188-$J188)/10</f>
        <v>0.32</v>
      </c>
      <c r="O188">
        <f t="shared" ref="O188" si="301">N188+($T188-$J188)/10</f>
        <v>0.4</v>
      </c>
      <c r="P188">
        <f t="shared" ref="P188" si="302">O188+($T188-$J188)/10</f>
        <v>0.48000000000000004</v>
      </c>
      <c r="Q188">
        <f t="shared" ref="Q188" si="303">P188+($T188-$J188)/10</f>
        <v>0.56000000000000005</v>
      </c>
      <c r="R188">
        <f t="shared" ref="R188" si="304">Q188+($T188-$J188)/10</f>
        <v>0.64</v>
      </c>
      <c r="S188">
        <f t="shared" ref="S188" si="305">R188+($T188-$J188)/10</f>
        <v>0.72</v>
      </c>
      <c r="T188">
        <f>'Net zero activities &amp; levers'!$D73/100</f>
        <v>0.8</v>
      </c>
      <c r="U188">
        <f t="shared" ref="U188:U189" si="306">T188+($AD188-$T188)/10</f>
        <v>0.82000000000000006</v>
      </c>
      <c r="V188">
        <f t="shared" ref="V188:V189" si="307">U188+($AD188-$T188)/10</f>
        <v>0.84000000000000008</v>
      </c>
      <c r="W188">
        <f t="shared" ref="W188:W189" si="308">V188+($AD188-$T188)/10</f>
        <v>0.8600000000000001</v>
      </c>
      <c r="X188">
        <f t="shared" ref="X188:X189" si="309">W188+($AD188-$T188)/10</f>
        <v>0.88000000000000012</v>
      </c>
      <c r="Y188">
        <f t="shared" ref="Y188:Y189" si="310">X188+($AD188-$T188)/10</f>
        <v>0.90000000000000013</v>
      </c>
      <c r="Z188">
        <f t="shared" ref="Z188:Z189" si="311">Y188+($AD188-$T188)/10</f>
        <v>0.92000000000000015</v>
      </c>
      <c r="AA188">
        <f t="shared" ref="AA188:AA189" si="312">Z188+($AD188-$T188)/10</f>
        <v>0.94000000000000017</v>
      </c>
      <c r="AB188">
        <f t="shared" ref="AB188:AB189" si="313">AA188+($AD188-$T188)/10</f>
        <v>0.96000000000000019</v>
      </c>
      <c r="AC188">
        <f t="shared" ref="AC188:AC189" si="314">AB188+($AD188-$T188)/10</f>
        <v>0.9800000000000002</v>
      </c>
      <c r="AD188">
        <f>'Net zero activities &amp; levers'!$E73/100</f>
        <v>1</v>
      </c>
      <c r="AE188">
        <f t="shared" ref="AE188:AE189" si="315">AD188+($AN188-$AD188)/10</f>
        <v>1</v>
      </c>
      <c r="AF188">
        <f t="shared" ref="AF188:AF189" si="316">AE188+($AN188-$AD188)/10</f>
        <v>1</v>
      </c>
      <c r="AG188">
        <f t="shared" ref="AG188:AG189" si="317">AF188+($AN188-$AD188)/10</f>
        <v>1</v>
      </c>
      <c r="AH188">
        <f t="shared" ref="AH188:AH189" si="318">AG188+($AN188-$AD188)/10</f>
        <v>1</v>
      </c>
      <c r="AI188">
        <f t="shared" ref="AI188:AI189" si="319">AH188+($AN188-$AD188)/10</f>
        <v>1</v>
      </c>
      <c r="AJ188">
        <f t="shared" ref="AJ188:AJ189" si="320">AI188+($AN188-$AD188)/10</f>
        <v>1</v>
      </c>
      <c r="AK188">
        <f t="shared" ref="AK188:AK189" si="321">AJ188+($AN188-$AD188)/10</f>
        <v>1</v>
      </c>
      <c r="AL188">
        <f t="shared" ref="AL188:AL189" si="322">AK188+($AN188-$AD188)/10</f>
        <v>1</v>
      </c>
      <c r="AM188">
        <f t="shared" ref="AM188:AM189" si="323">AL188+($AN188-$AD188)/10</f>
        <v>1</v>
      </c>
      <c r="AN188">
        <f>'Net zero activities &amp; levers'!$F73/100</f>
        <v>1</v>
      </c>
    </row>
    <row r="189" spans="1:48" x14ac:dyDescent="0.25">
      <c r="A189" t="s">
        <v>1221</v>
      </c>
      <c r="B189">
        <f>'Net zero activities &amp; levers'!$C74/100</f>
        <v>0</v>
      </c>
      <c r="C189">
        <f t="shared" ref="C189:J189" si="324">B189</f>
        <v>0</v>
      </c>
      <c r="D189">
        <f t="shared" si="324"/>
        <v>0</v>
      </c>
      <c r="E189">
        <f t="shared" si="324"/>
        <v>0</v>
      </c>
      <c r="F189">
        <f t="shared" si="324"/>
        <v>0</v>
      </c>
      <c r="G189">
        <f t="shared" si="324"/>
        <v>0</v>
      </c>
      <c r="H189">
        <f t="shared" si="324"/>
        <v>0</v>
      </c>
      <c r="I189">
        <f t="shared" si="324"/>
        <v>0</v>
      </c>
      <c r="J189">
        <f t="shared" si="324"/>
        <v>0</v>
      </c>
      <c r="K189">
        <f t="shared" ref="K189" si="325">J189+($T189-$J189)/10</f>
        <v>0</v>
      </c>
      <c r="L189">
        <f t="shared" ref="L189" si="326">K189+($T189-$J189)/10</f>
        <v>0</v>
      </c>
      <c r="M189">
        <f t="shared" ref="M189" si="327">L189+($T189-$J189)/10</f>
        <v>0</v>
      </c>
      <c r="N189">
        <f t="shared" ref="N189" si="328">M189+($T189-$J189)/10</f>
        <v>0</v>
      </c>
      <c r="O189">
        <f t="shared" ref="O189" si="329">N189+($T189-$J189)/10</f>
        <v>0</v>
      </c>
      <c r="P189">
        <f t="shared" ref="P189" si="330">O189+($T189-$J189)/10</f>
        <v>0</v>
      </c>
      <c r="Q189">
        <f t="shared" ref="Q189" si="331">P189+($T189-$J189)/10</f>
        <v>0</v>
      </c>
      <c r="R189">
        <f t="shared" ref="R189" si="332">Q189+($T189-$J189)/10</f>
        <v>0</v>
      </c>
      <c r="S189">
        <f t="shared" ref="S189" si="333">R189+($T189-$J189)/10</f>
        <v>0</v>
      </c>
      <c r="T189">
        <f>'Net zero activities &amp; levers'!$D74/100</f>
        <v>0</v>
      </c>
      <c r="U189">
        <f t="shared" si="306"/>
        <v>0</v>
      </c>
      <c r="V189">
        <f t="shared" si="307"/>
        <v>0</v>
      </c>
      <c r="W189">
        <f t="shared" si="308"/>
        <v>0</v>
      </c>
      <c r="X189">
        <f t="shared" si="309"/>
        <v>0</v>
      </c>
      <c r="Y189">
        <f t="shared" si="310"/>
        <v>0</v>
      </c>
      <c r="Z189">
        <f t="shared" si="311"/>
        <v>0</v>
      </c>
      <c r="AA189">
        <f t="shared" si="312"/>
        <v>0</v>
      </c>
      <c r="AB189">
        <f t="shared" si="313"/>
        <v>0</v>
      </c>
      <c r="AC189">
        <f t="shared" si="314"/>
        <v>0</v>
      </c>
      <c r="AD189">
        <f>'Net zero activities &amp; levers'!$E74/100</f>
        <v>0</v>
      </c>
      <c r="AE189">
        <f t="shared" si="315"/>
        <v>0</v>
      </c>
      <c r="AF189">
        <f t="shared" si="316"/>
        <v>0</v>
      </c>
      <c r="AG189">
        <f t="shared" si="317"/>
        <v>0</v>
      </c>
      <c r="AH189">
        <f t="shared" si="318"/>
        <v>0</v>
      </c>
      <c r="AI189">
        <f t="shared" si="319"/>
        <v>0</v>
      </c>
      <c r="AJ189">
        <f t="shared" si="320"/>
        <v>0</v>
      </c>
      <c r="AK189">
        <f t="shared" si="321"/>
        <v>0</v>
      </c>
      <c r="AL189">
        <f t="shared" si="322"/>
        <v>0</v>
      </c>
      <c r="AM189">
        <f t="shared" si="323"/>
        <v>0</v>
      </c>
      <c r="AN189">
        <f>'Net zero activities &amp; levers'!$F74/100</f>
        <v>0</v>
      </c>
    </row>
    <row r="190" spans="1:48" x14ac:dyDescent="0.25">
      <c r="A190" t="s">
        <v>1222</v>
      </c>
      <c r="B190">
        <f t="shared" ref="B190:AN190" si="334">(-11.06*B188)+12.459</f>
        <v>12.459</v>
      </c>
      <c r="C190">
        <f t="shared" si="334"/>
        <v>12.459</v>
      </c>
      <c r="D190">
        <f t="shared" si="334"/>
        <v>12.459</v>
      </c>
      <c r="E190">
        <f t="shared" si="334"/>
        <v>12.459</v>
      </c>
      <c r="F190">
        <f t="shared" si="334"/>
        <v>12.459</v>
      </c>
      <c r="G190">
        <f t="shared" si="334"/>
        <v>12.459</v>
      </c>
      <c r="H190">
        <f t="shared" si="334"/>
        <v>12.459</v>
      </c>
      <c r="I190">
        <f t="shared" si="334"/>
        <v>12.459</v>
      </c>
      <c r="J190">
        <f t="shared" si="334"/>
        <v>12.459</v>
      </c>
      <c r="K190">
        <f t="shared" si="334"/>
        <v>11.574199999999999</v>
      </c>
      <c r="L190">
        <f t="shared" si="334"/>
        <v>10.689399999999999</v>
      </c>
      <c r="M190">
        <f t="shared" si="334"/>
        <v>9.8046000000000006</v>
      </c>
      <c r="N190">
        <f t="shared" si="334"/>
        <v>8.9197999999999986</v>
      </c>
      <c r="O190">
        <f t="shared" si="334"/>
        <v>8.0350000000000001</v>
      </c>
      <c r="P190">
        <f t="shared" si="334"/>
        <v>7.150199999999999</v>
      </c>
      <c r="Q190">
        <f t="shared" si="334"/>
        <v>6.2653999999999987</v>
      </c>
      <c r="R190">
        <f t="shared" si="334"/>
        <v>5.3805999999999994</v>
      </c>
      <c r="S190">
        <f t="shared" si="334"/>
        <v>4.4957999999999991</v>
      </c>
      <c r="T190">
        <f t="shared" si="334"/>
        <v>3.6109999999999989</v>
      </c>
      <c r="U190">
        <f t="shared" si="334"/>
        <v>3.3897999999999993</v>
      </c>
      <c r="V190">
        <f t="shared" si="334"/>
        <v>3.1685999999999979</v>
      </c>
      <c r="W190">
        <f t="shared" si="334"/>
        <v>2.9473999999999982</v>
      </c>
      <c r="X190">
        <f t="shared" si="334"/>
        <v>2.7261999999999986</v>
      </c>
      <c r="Y190">
        <f t="shared" si="334"/>
        <v>2.5049999999999972</v>
      </c>
      <c r="Z190">
        <f t="shared" si="334"/>
        <v>2.2837999999999976</v>
      </c>
      <c r="AA190">
        <f t="shared" si="334"/>
        <v>2.062599999999998</v>
      </c>
      <c r="AB190">
        <f t="shared" si="334"/>
        <v>1.8413999999999966</v>
      </c>
      <c r="AC190">
        <f t="shared" si="334"/>
        <v>1.620199999999997</v>
      </c>
      <c r="AD190">
        <f t="shared" si="334"/>
        <v>1.3989999999999991</v>
      </c>
      <c r="AE190">
        <f t="shared" si="334"/>
        <v>1.3989999999999991</v>
      </c>
      <c r="AF190">
        <f t="shared" si="334"/>
        <v>1.3989999999999991</v>
      </c>
      <c r="AG190">
        <f t="shared" si="334"/>
        <v>1.3989999999999991</v>
      </c>
      <c r="AH190">
        <f t="shared" si="334"/>
        <v>1.3989999999999991</v>
      </c>
      <c r="AI190">
        <f t="shared" si="334"/>
        <v>1.3989999999999991</v>
      </c>
      <c r="AJ190">
        <f t="shared" si="334"/>
        <v>1.3989999999999991</v>
      </c>
      <c r="AK190">
        <f t="shared" si="334"/>
        <v>1.3989999999999991</v>
      </c>
      <c r="AL190">
        <f t="shared" si="334"/>
        <v>1.3989999999999991</v>
      </c>
      <c r="AM190">
        <f t="shared" si="334"/>
        <v>1.3989999999999991</v>
      </c>
      <c r="AN190">
        <f t="shared" si="334"/>
        <v>1.3989999999999991</v>
      </c>
    </row>
    <row r="191" spans="1:48" x14ac:dyDescent="0.25">
      <c r="A191" t="s">
        <v>1223</v>
      </c>
      <c r="B191">
        <f t="shared" ref="B191:AN191" si="335">(-4.2751*B188)+4.2839</f>
        <v>4.2839</v>
      </c>
      <c r="C191">
        <f t="shared" si="335"/>
        <v>4.2839</v>
      </c>
      <c r="D191">
        <f t="shared" si="335"/>
        <v>4.2839</v>
      </c>
      <c r="E191">
        <f t="shared" si="335"/>
        <v>4.2839</v>
      </c>
      <c r="F191">
        <f t="shared" si="335"/>
        <v>4.2839</v>
      </c>
      <c r="G191">
        <f t="shared" si="335"/>
        <v>4.2839</v>
      </c>
      <c r="H191">
        <f t="shared" si="335"/>
        <v>4.2839</v>
      </c>
      <c r="I191">
        <f t="shared" si="335"/>
        <v>4.2839</v>
      </c>
      <c r="J191">
        <f t="shared" si="335"/>
        <v>4.2839</v>
      </c>
      <c r="K191">
        <f t="shared" si="335"/>
        <v>3.9418920000000002</v>
      </c>
      <c r="L191">
        <f t="shared" si="335"/>
        <v>3.5998839999999999</v>
      </c>
      <c r="M191">
        <f t="shared" si="335"/>
        <v>3.257876</v>
      </c>
      <c r="N191">
        <f t="shared" si="335"/>
        <v>2.9158679999999997</v>
      </c>
      <c r="O191">
        <f t="shared" si="335"/>
        <v>2.5738599999999998</v>
      </c>
      <c r="P191">
        <f t="shared" si="335"/>
        <v>2.2318519999999999</v>
      </c>
      <c r="Q191">
        <f t="shared" si="335"/>
        <v>1.8898439999999996</v>
      </c>
      <c r="R191">
        <f t="shared" si="335"/>
        <v>1.5478359999999998</v>
      </c>
      <c r="S191">
        <f t="shared" si="335"/>
        <v>1.2058279999999999</v>
      </c>
      <c r="T191">
        <f t="shared" si="335"/>
        <v>0.86381999999999959</v>
      </c>
      <c r="U191">
        <f t="shared" si="335"/>
        <v>0.77831799999999962</v>
      </c>
      <c r="V191">
        <f t="shared" si="335"/>
        <v>0.69281599999999965</v>
      </c>
      <c r="W191">
        <f t="shared" si="335"/>
        <v>0.60731399999999969</v>
      </c>
      <c r="X191">
        <f t="shared" si="335"/>
        <v>0.52181199999999928</v>
      </c>
      <c r="Y191">
        <f t="shared" si="335"/>
        <v>0.43630999999999931</v>
      </c>
      <c r="Z191">
        <f t="shared" si="335"/>
        <v>0.35080799999999934</v>
      </c>
      <c r="AA191">
        <f t="shared" si="335"/>
        <v>0.26530599999999893</v>
      </c>
      <c r="AB191">
        <f t="shared" si="335"/>
        <v>0.17980399999999896</v>
      </c>
      <c r="AC191">
        <f t="shared" si="335"/>
        <v>9.4301999999998998E-2</v>
      </c>
      <c r="AD191">
        <f t="shared" si="335"/>
        <v>8.799999999999919E-3</v>
      </c>
      <c r="AE191">
        <f t="shared" si="335"/>
        <v>8.799999999999919E-3</v>
      </c>
      <c r="AF191">
        <f t="shared" si="335"/>
        <v>8.799999999999919E-3</v>
      </c>
      <c r="AG191">
        <f t="shared" si="335"/>
        <v>8.799999999999919E-3</v>
      </c>
      <c r="AH191">
        <f t="shared" si="335"/>
        <v>8.799999999999919E-3</v>
      </c>
      <c r="AI191">
        <f t="shared" si="335"/>
        <v>8.799999999999919E-3</v>
      </c>
      <c r="AJ191">
        <f t="shared" si="335"/>
        <v>8.799999999999919E-3</v>
      </c>
      <c r="AK191">
        <f t="shared" si="335"/>
        <v>8.799999999999919E-3</v>
      </c>
      <c r="AL191">
        <f t="shared" si="335"/>
        <v>8.799999999999919E-3</v>
      </c>
      <c r="AM191">
        <f t="shared" si="335"/>
        <v>8.799999999999919E-3</v>
      </c>
      <c r="AN191">
        <f t="shared" si="335"/>
        <v>8.799999999999919E-3</v>
      </c>
    </row>
    <row r="192" spans="1:48" x14ac:dyDescent="0.25">
      <c r="A192" t="s">
        <v>1224</v>
      </c>
      <c r="B192">
        <f t="shared" ref="B192:AN192" si="336">(-0.427*B188)+0.87</f>
        <v>0.87</v>
      </c>
      <c r="C192">
        <f t="shared" si="336"/>
        <v>0.87</v>
      </c>
      <c r="D192">
        <f t="shared" si="336"/>
        <v>0.87</v>
      </c>
      <c r="E192">
        <f t="shared" si="336"/>
        <v>0.87</v>
      </c>
      <c r="F192">
        <f t="shared" si="336"/>
        <v>0.87</v>
      </c>
      <c r="G192">
        <f t="shared" si="336"/>
        <v>0.87</v>
      </c>
      <c r="H192">
        <f t="shared" si="336"/>
        <v>0.87</v>
      </c>
      <c r="I192">
        <f t="shared" si="336"/>
        <v>0.87</v>
      </c>
      <c r="J192">
        <f t="shared" si="336"/>
        <v>0.87</v>
      </c>
      <c r="K192">
        <f t="shared" si="336"/>
        <v>0.83584000000000003</v>
      </c>
      <c r="L192">
        <f t="shared" si="336"/>
        <v>0.80167999999999995</v>
      </c>
      <c r="M192">
        <f t="shared" si="336"/>
        <v>0.76751999999999998</v>
      </c>
      <c r="N192">
        <f t="shared" si="336"/>
        <v>0.73336000000000001</v>
      </c>
      <c r="O192">
        <f t="shared" si="336"/>
        <v>0.69920000000000004</v>
      </c>
      <c r="P192">
        <f t="shared" si="336"/>
        <v>0.66503999999999996</v>
      </c>
      <c r="Q192">
        <f t="shared" si="336"/>
        <v>0.63088</v>
      </c>
      <c r="R192">
        <f t="shared" si="336"/>
        <v>0.59671999999999992</v>
      </c>
      <c r="S192">
        <f t="shared" si="336"/>
        <v>0.56255999999999995</v>
      </c>
      <c r="T192">
        <f t="shared" si="336"/>
        <v>0.52839999999999998</v>
      </c>
      <c r="U192">
        <f t="shared" si="336"/>
        <v>0.51985999999999999</v>
      </c>
      <c r="V192">
        <f t="shared" si="336"/>
        <v>0.51132</v>
      </c>
      <c r="W192">
        <f t="shared" si="336"/>
        <v>0.50278</v>
      </c>
      <c r="X192">
        <f t="shared" si="336"/>
        <v>0.49423999999999996</v>
      </c>
      <c r="Y192">
        <f t="shared" si="336"/>
        <v>0.48569999999999997</v>
      </c>
      <c r="Z192">
        <f t="shared" si="336"/>
        <v>0.47715999999999992</v>
      </c>
      <c r="AA192">
        <f t="shared" si="336"/>
        <v>0.46861999999999993</v>
      </c>
      <c r="AB192">
        <f t="shared" si="336"/>
        <v>0.46007999999999993</v>
      </c>
      <c r="AC192">
        <f t="shared" si="336"/>
        <v>0.45153999999999994</v>
      </c>
      <c r="AD192">
        <f t="shared" si="336"/>
        <v>0.443</v>
      </c>
      <c r="AE192">
        <f t="shared" si="336"/>
        <v>0.443</v>
      </c>
      <c r="AF192">
        <f t="shared" si="336"/>
        <v>0.443</v>
      </c>
      <c r="AG192">
        <f t="shared" si="336"/>
        <v>0.443</v>
      </c>
      <c r="AH192">
        <f t="shared" si="336"/>
        <v>0.443</v>
      </c>
      <c r="AI192">
        <f t="shared" si="336"/>
        <v>0.443</v>
      </c>
      <c r="AJ192">
        <f t="shared" si="336"/>
        <v>0.443</v>
      </c>
      <c r="AK192">
        <f t="shared" si="336"/>
        <v>0.443</v>
      </c>
      <c r="AL192">
        <f t="shared" si="336"/>
        <v>0.443</v>
      </c>
      <c r="AM192">
        <f t="shared" si="336"/>
        <v>0.443</v>
      </c>
      <c r="AN192">
        <f t="shared" si="336"/>
        <v>0.443</v>
      </c>
    </row>
    <row r="193" spans="1:48" x14ac:dyDescent="0.25">
      <c r="A193" t="s">
        <v>1225</v>
      </c>
      <c r="B193">
        <f t="shared" ref="B193:AN193" si="337">(-13.996*B188)+14.057</f>
        <v>14.057</v>
      </c>
      <c r="C193">
        <f t="shared" si="337"/>
        <v>14.057</v>
      </c>
      <c r="D193">
        <f t="shared" si="337"/>
        <v>14.057</v>
      </c>
      <c r="E193">
        <f t="shared" si="337"/>
        <v>14.057</v>
      </c>
      <c r="F193">
        <f t="shared" si="337"/>
        <v>14.057</v>
      </c>
      <c r="G193">
        <f t="shared" si="337"/>
        <v>14.057</v>
      </c>
      <c r="H193">
        <f t="shared" si="337"/>
        <v>14.057</v>
      </c>
      <c r="I193">
        <f t="shared" si="337"/>
        <v>14.057</v>
      </c>
      <c r="J193">
        <f t="shared" si="337"/>
        <v>14.057</v>
      </c>
      <c r="K193">
        <f t="shared" si="337"/>
        <v>12.93732</v>
      </c>
      <c r="L193">
        <f t="shared" si="337"/>
        <v>11.817640000000001</v>
      </c>
      <c r="M193">
        <f t="shared" si="337"/>
        <v>10.69796</v>
      </c>
      <c r="N193">
        <f t="shared" si="337"/>
        <v>9.5782799999999995</v>
      </c>
      <c r="O193">
        <f t="shared" si="337"/>
        <v>8.4586000000000006</v>
      </c>
      <c r="P193">
        <f t="shared" si="337"/>
        <v>7.3389199999999999</v>
      </c>
      <c r="Q193">
        <f t="shared" si="337"/>
        <v>6.2192399999999992</v>
      </c>
      <c r="R193">
        <f t="shared" si="337"/>
        <v>5.0995600000000003</v>
      </c>
      <c r="S193">
        <f t="shared" si="337"/>
        <v>3.9798799999999996</v>
      </c>
      <c r="T193">
        <f t="shared" si="337"/>
        <v>2.860199999999999</v>
      </c>
      <c r="U193">
        <f t="shared" si="337"/>
        <v>2.5802799999999984</v>
      </c>
      <c r="V193">
        <f t="shared" si="337"/>
        <v>2.3003599999999995</v>
      </c>
      <c r="W193">
        <f t="shared" si="337"/>
        <v>2.0204399999999989</v>
      </c>
      <c r="X193">
        <f t="shared" si="337"/>
        <v>1.7405199999999983</v>
      </c>
      <c r="Y193">
        <f t="shared" si="337"/>
        <v>1.4605999999999977</v>
      </c>
      <c r="Z193">
        <f t="shared" si="337"/>
        <v>1.1806799999999971</v>
      </c>
      <c r="AA193">
        <f t="shared" si="337"/>
        <v>0.90075999999999823</v>
      </c>
      <c r="AB193">
        <f t="shared" si="337"/>
        <v>0.62083999999999762</v>
      </c>
      <c r="AC193">
        <f t="shared" si="337"/>
        <v>0.340919999999997</v>
      </c>
      <c r="AD193">
        <f t="shared" si="337"/>
        <v>6.0999999999999943E-2</v>
      </c>
      <c r="AE193">
        <f t="shared" si="337"/>
        <v>6.0999999999999943E-2</v>
      </c>
      <c r="AF193">
        <f t="shared" si="337"/>
        <v>6.0999999999999943E-2</v>
      </c>
      <c r="AG193">
        <f t="shared" si="337"/>
        <v>6.0999999999999943E-2</v>
      </c>
      <c r="AH193">
        <f t="shared" si="337"/>
        <v>6.0999999999999943E-2</v>
      </c>
      <c r="AI193">
        <f t="shared" si="337"/>
        <v>6.0999999999999943E-2</v>
      </c>
      <c r="AJ193">
        <f t="shared" si="337"/>
        <v>6.0999999999999943E-2</v>
      </c>
      <c r="AK193">
        <f t="shared" si="337"/>
        <v>6.0999999999999943E-2</v>
      </c>
      <c r="AL193">
        <f t="shared" si="337"/>
        <v>6.0999999999999943E-2</v>
      </c>
      <c r="AM193">
        <f t="shared" si="337"/>
        <v>6.0999999999999943E-2</v>
      </c>
      <c r="AN193">
        <f t="shared" si="337"/>
        <v>6.0999999999999943E-2</v>
      </c>
    </row>
    <row r="194" spans="1:48" x14ac:dyDescent="0.25">
      <c r="A194" t="s">
        <v>1226</v>
      </c>
      <c r="B194">
        <f t="shared" ref="B194:AN194" si="338">(-0.3345*B188)+0.3451</f>
        <v>0.34510000000000002</v>
      </c>
      <c r="C194">
        <f t="shared" si="338"/>
        <v>0.34510000000000002</v>
      </c>
      <c r="D194">
        <f t="shared" si="338"/>
        <v>0.34510000000000002</v>
      </c>
      <c r="E194">
        <f t="shared" si="338"/>
        <v>0.34510000000000002</v>
      </c>
      <c r="F194">
        <f t="shared" si="338"/>
        <v>0.34510000000000002</v>
      </c>
      <c r="G194">
        <f t="shared" si="338"/>
        <v>0.34510000000000002</v>
      </c>
      <c r="H194">
        <f t="shared" si="338"/>
        <v>0.34510000000000002</v>
      </c>
      <c r="I194">
        <f t="shared" si="338"/>
        <v>0.34510000000000002</v>
      </c>
      <c r="J194">
        <f t="shared" si="338"/>
        <v>0.34510000000000002</v>
      </c>
      <c r="K194">
        <f t="shared" si="338"/>
        <v>0.31834000000000001</v>
      </c>
      <c r="L194">
        <f t="shared" si="338"/>
        <v>0.29158000000000001</v>
      </c>
      <c r="M194">
        <f t="shared" si="338"/>
        <v>0.26482</v>
      </c>
      <c r="N194">
        <f t="shared" si="338"/>
        <v>0.23805999999999999</v>
      </c>
      <c r="O194">
        <f t="shared" si="338"/>
        <v>0.21130000000000002</v>
      </c>
      <c r="P194">
        <f t="shared" si="338"/>
        <v>0.18454000000000001</v>
      </c>
      <c r="Q194">
        <f t="shared" si="338"/>
        <v>0.15777999999999998</v>
      </c>
      <c r="R194">
        <f t="shared" si="338"/>
        <v>0.13102</v>
      </c>
      <c r="S194">
        <f t="shared" si="338"/>
        <v>0.10426000000000002</v>
      </c>
      <c r="T194">
        <f t="shared" si="338"/>
        <v>7.7500000000000013E-2</v>
      </c>
      <c r="U194">
        <f t="shared" si="338"/>
        <v>7.0809999999999984E-2</v>
      </c>
      <c r="V194">
        <f t="shared" si="338"/>
        <v>6.4119999999999955E-2</v>
      </c>
      <c r="W194">
        <f t="shared" si="338"/>
        <v>5.7429999999999981E-2</v>
      </c>
      <c r="X194">
        <f t="shared" si="338"/>
        <v>5.0739999999999952E-2</v>
      </c>
      <c r="Y194">
        <f t="shared" si="338"/>
        <v>4.4049999999999978E-2</v>
      </c>
      <c r="Z194">
        <f t="shared" si="338"/>
        <v>3.7359999999999949E-2</v>
      </c>
      <c r="AA194">
        <f t="shared" si="338"/>
        <v>3.066999999999992E-2</v>
      </c>
      <c r="AB194">
        <f t="shared" si="338"/>
        <v>2.3979999999999946E-2</v>
      </c>
      <c r="AC194">
        <f t="shared" si="338"/>
        <v>1.7289999999999917E-2</v>
      </c>
      <c r="AD194">
        <f t="shared" si="338"/>
        <v>1.0599999999999998E-2</v>
      </c>
      <c r="AE194">
        <f t="shared" si="338"/>
        <v>1.0599999999999998E-2</v>
      </c>
      <c r="AF194">
        <f t="shared" si="338"/>
        <v>1.0599999999999998E-2</v>
      </c>
      <c r="AG194">
        <f t="shared" si="338"/>
        <v>1.0599999999999998E-2</v>
      </c>
      <c r="AH194">
        <f t="shared" si="338"/>
        <v>1.0599999999999998E-2</v>
      </c>
      <c r="AI194">
        <f t="shared" si="338"/>
        <v>1.0599999999999998E-2</v>
      </c>
      <c r="AJ194">
        <f t="shared" si="338"/>
        <v>1.0599999999999998E-2</v>
      </c>
      <c r="AK194">
        <f t="shared" si="338"/>
        <v>1.0599999999999998E-2</v>
      </c>
      <c r="AL194">
        <f t="shared" si="338"/>
        <v>1.0599999999999998E-2</v>
      </c>
      <c r="AM194">
        <f t="shared" si="338"/>
        <v>1.0599999999999998E-2</v>
      </c>
      <c r="AN194">
        <f t="shared" si="338"/>
        <v>1.0599999999999998E-2</v>
      </c>
    </row>
    <row r="195" spans="1:48" x14ac:dyDescent="0.25">
      <c r="A195" t="s">
        <v>1227</v>
      </c>
      <c r="B195">
        <f t="shared" ref="B195:AN195" si="339">(-0.0124*B188)+0.0235</f>
        <v>2.35E-2</v>
      </c>
      <c r="C195">
        <f t="shared" si="339"/>
        <v>2.35E-2</v>
      </c>
      <c r="D195">
        <f t="shared" si="339"/>
        <v>2.35E-2</v>
      </c>
      <c r="E195">
        <f t="shared" si="339"/>
        <v>2.35E-2</v>
      </c>
      <c r="F195">
        <f t="shared" si="339"/>
        <v>2.35E-2</v>
      </c>
      <c r="G195">
        <f t="shared" si="339"/>
        <v>2.35E-2</v>
      </c>
      <c r="H195">
        <f t="shared" si="339"/>
        <v>2.35E-2</v>
      </c>
      <c r="I195">
        <f t="shared" si="339"/>
        <v>2.35E-2</v>
      </c>
      <c r="J195">
        <f t="shared" si="339"/>
        <v>2.35E-2</v>
      </c>
      <c r="K195">
        <f t="shared" si="339"/>
        <v>2.2508E-2</v>
      </c>
      <c r="L195">
        <f t="shared" si="339"/>
        <v>2.1516E-2</v>
      </c>
      <c r="M195">
        <f t="shared" si="339"/>
        <v>2.0524000000000001E-2</v>
      </c>
      <c r="N195">
        <f t="shared" si="339"/>
        <v>1.9532000000000001E-2</v>
      </c>
      <c r="O195">
        <f t="shared" si="339"/>
        <v>1.8540000000000001E-2</v>
      </c>
      <c r="P195">
        <f t="shared" si="339"/>
        <v>1.7548000000000001E-2</v>
      </c>
      <c r="Q195">
        <f t="shared" si="339"/>
        <v>1.6556000000000001E-2</v>
      </c>
      <c r="R195">
        <f t="shared" si="339"/>
        <v>1.5564E-2</v>
      </c>
      <c r="S195">
        <f t="shared" si="339"/>
        <v>1.4572E-2</v>
      </c>
      <c r="T195">
        <f t="shared" si="339"/>
        <v>1.358E-2</v>
      </c>
      <c r="U195">
        <f t="shared" si="339"/>
        <v>1.3332E-2</v>
      </c>
      <c r="V195">
        <f t="shared" si="339"/>
        <v>1.3084E-2</v>
      </c>
      <c r="W195">
        <f t="shared" si="339"/>
        <v>1.2835999999999998E-2</v>
      </c>
      <c r="X195">
        <f t="shared" si="339"/>
        <v>1.2587999999999998E-2</v>
      </c>
      <c r="Y195">
        <f t="shared" si="339"/>
        <v>1.2339999999999999E-2</v>
      </c>
      <c r="Z195">
        <f t="shared" si="339"/>
        <v>1.2091999999999999E-2</v>
      </c>
      <c r="AA195">
        <f t="shared" si="339"/>
        <v>1.1843999999999999E-2</v>
      </c>
      <c r="AB195">
        <f t="shared" si="339"/>
        <v>1.1595999999999999E-2</v>
      </c>
      <c r="AC195">
        <f t="shared" si="339"/>
        <v>1.1347999999999999E-2</v>
      </c>
      <c r="AD195">
        <f t="shared" si="339"/>
        <v>1.11E-2</v>
      </c>
      <c r="AE195">
        <f t="shared" si="339"/>
        <v>1.11E-2</v>
      </c>
      <c r="AF195">
        <f t="shared" si="339"/>
        <v>1.11E-2</v>
      </c>
      <c r="AG195">
        <f t="shared" si="339"/>
        <v>1.11E-2</v>
      </c>
      <c r="AH195">
        <f t="shared" si="339"/>
        <v>1.11E-2</v>
      </c>
      <c r="AI195">
        <f t="shared" si="339"/>
        <v>1.11E-2</v>
      </c>
      <c r="AJ195">
        <f t="shared" si="339"/>
        <v>1.11E-2</v>
      </c>
      <c r="AK195">
        <f t="shared" si="339"/>
        <v>1.11E-2</v>
      </c>
      <c r="AL195">
        <f t="shared" si="339"/>
        <v>1.11E-2</v>
      </c>
      <c r="AM195">
        <f t="shared" si="339"/>
        <v>1.11E-2</v>
      </c>
      <c r="AN195">
        <f t="shared" si="339"/>
        <v>1.11E-2</v>
      </c>
    </row>
    <row r="196" spans="1:48" x14ac:dyDescent="0.25">
      <c r="A196" t="s">
        <v>1237</v>
      </c>
      <c r="B196">
        <f>'Net zero activities &amp; levers'!$C$75/100</f>
        <v>0</v>
      </c>
      <c r="C196">
        <f>B196</f>
        <v>0</v>
      </c>
      <c r="D196">
        <f t="shared" ref="D196:J196" si="340">C196</f>
        <v>0</v>
      </c>
      <c r="E196">
        <f t="shared" si="340"/>
        <v>0</v>
      </c>
      <c r="F196">
        <f t="shared" si="340"/>
        <v>0</v>
      </c>
      <c r="G196">
        <f t="shared" si="340"/>
        <v>0</v>
      </c>
      <c r="H196">
        <f t="shared" si="340"/>
        <v>0</v>
      </c>
      <c r="I196">
        <f t="shared" si="340"/>
        <v>0</v>
      </c>
      <c r="J196">
        <f t="shared" si="340"/>
        <v>0</v>
      </c>
      <c r="K196">
        <f t="shared" ref="K196" si="341">J196+($T196-$J196)/10</f>
        <v>0.03</v>
      </c>
      <c r="L196">
        <f t="shared" ref="L196" si="342">K196+($T196-$J196)/10</f>
        <v>0.06</v>
      </c>
      <c r="M196">
        <f t="shared" ref="M196" si="343">L196+($T196-$J196)/10</f>
        <v>0.09</v>
      </c>
      <c r="N196">
        <f t="shared" ref="N196" si="344">M196+($T196-$J196)/10</f>
        <v>0.12</v>
      </c>
      <c r="O196">
        <f t="shared" ref="O196" si="345">N196+($T196-$J196)/10</f>
        <v>0.15</v>
      </c>
      <c r="P196">
        <f t="shared" ref="P196" si="346">O196+($T196-$J196)/10</f>
        <v>0.18</v>
      </c>
      <c r="Q196">
        <f t="shared" ref="Q196" si="347">P196+($T196-$J196)/10</f>
        <v>0.21</v>
      </c>
      <c r="R196">
        <f t="shared" ref="R196" si="348">Q196+($T196-$J196)/10</f>
        <v>0.24</v>
      </c>
      <c r="S196">
        <f t="shared" ref="S196" si="349">R196+($T196-$J196)/10</f>
        <v>0.27</v>
      </c>
      <c r="T196">
        <f>'Net zero activities &amp; levers'!$D$75/100</f>
        <v>0.3</v>
      </c>
      <c r="U196">
        <f t="shared" ref="U196" si="350">T196+($AD196-$T196)/10</f>
        <v>0.31</v>
      </c>
      <c r="V196">
        <f t="shared" ref="V196" si="351">U196+($AD196-$T196)/10</f>
        <v>0.32</v>
      </c>
      <c r="W196">
        <f t="shared" ref="W196" si="352">V196+($AD196-$T196)/10</f>
        <v>0.33</v>
      </c>
      <c r="X196">
        <f t="shared" ref="X196" si="353">W196+($AD196-$T196)/10</f>
        <v>0.34</v>
      </c>
      <c r="Y196">
        <f t="shared" ref="Y196" si="354">X196+($AD196-$T196)/10</f>
        <v>0.35000000000000003</v>
      </c>
      <c r="Z196">
        <f t="shared" ref="Z196" si="355">Y196+($AD196-$T196)/10</f>
        <v>0.36000000000000004</v>
      </c>
      <c r="AA196">
        <f t="shared" ref="AA196" si="356">Z196+($AD196-$T196)/10</f>
        <v>0.37000000000000005</v>
      </c>
      <c r="AB196">
        <f t="shared" ref="AB196" si="357">AA196+($AD196-$T196)/10</f>
        <v>0.38000000000000006</v>
      </c>
      <c r="AC196">
        <f t="shared" ref="AC196" si="358">AB196+($AD196-$T196)/10</f>
        <v>0.39000000000000007</v>
      </c>
      <c r="AD196">
        <f>'Net zero activities &amp; levers'!$E$75/100</f>
        <v>0.4</v>
      </c>
      <c r="AE196">
        <f t="shared" ref="AE196" si="359">AD196+($AN196-$AD196)/10</f>
        <v>0.41000000000000003</v>
      </c>
      <c r="AF196">
        <f t="shared" ref="AF196" si="360">AE196+($AN196-$AD196)/10</f>
        <v>0.42000000000000004</v>
      </c>
      <c r="AG196">
        <f t="shared" ref="AG196" si="361">AF196+($AN196-$AD196)/10</f>
        <v>0.43000000000000005</v>
      </c>
      <c r="AH196">
        <f t="shared" ref="AH196" si="362">AG196+($AN196-$AD196)/10</f>
        <v>0.44000000000000006</v>
      </c>
      <c r="AI196">
        <f t="shared" ref="AI196" si="363">AH196+($AN196-$AD196)/10</f>
        <v>0.45000000000000007</v>
      </c>
      <c r="AJ196">
        <f t="shared" ref="AJ196" si="364">AI196+($AN196-$AD196)/10</f>
        <v>0.46000000000000008</v>
      </c>
      <c r="AK196">
        <f t="shared" ref="AK196" si="365">AJ196+($AN196-$AD196)/10</f>
        <v>0.47000000000000008</v>
      </c>
      <c r="AL196">
        <f t="shared" ref="AL196" si="366">AK196+($AN196-$AD196)/10</f>
        <v>0.48000000000000009</v>
      </c>
      <c r="AM196">
        <f t="shared" ref="AM196" si="367">AL196+($AN196-$AD196)/10</f>
        <v>0.4900000000000001</v>
      </c>
      <c r="AN196">
        <f>'Net zero activities &amp; levers'!$F$75/100</f>
        <v>0.5</v>
      </c>
    </row>
    <row r="197" spans="1:48" x14ac:dyDescent="0.25">
      <c r="A197" t="s">
        <v>1238</v>
      </c>
      <c r="B197">
        <f>'Net zero Activity data'!AD9*'Net zero supporting data'!B196</f>
        <v>0</v>
      </c>
      <c r="C197">
        <f>'Net zero Activity data'!AE9*'Net zero supporting data'!C196</f>
        <v>0</v>
      </c>
      <c r="D197">
        <f>'Net zero Activity data'!AF9*'Net zero supporting data'!D196</f>
        <v>0</v>
      </c>
      <c r="E197">
        <f>'Net zero Activity data'!AG9*'Net zero supporting data'!E196</f>
        <v>0</v>
      </c>
      <c r="F197">
        <f>'Net zero Activity data'!AH9*'Net zero supporting data'!F196</f>
        <v>0</v>
      </c>
      <c r="G197">
        <f>'Net zero Activity data'!AI9*'Net zero supporting data'!G196</f>
        <v>0</v>
      </c>
      <c r="H197">
        <f>'Net zero Activity data'!AJ9*'Net zero supporting data'!H196</f>
        <v>0</v>
      </c>
      <c r="I197">
        <f>'Net zero Activity data'!AK9*'Net zero supporting data'!I196</f>
        <v>0</v>
      </c>
      <c r="J197">
        <f>'Net zero Activity data'!AL9*'Net zero supporting data'!J196</f>
        <v>0</v>
      </c>
      <c r="K197">
        <f>'Net zero Activity data'!AM9*'Net zero supporting data'!K196</f>
        <v>122757.30826546648</v>
      </c>
      <c r="L197">
        <f>'Net zero Activity data'!AN9*'Net zero supporting data'!L196</f>
        <v>245090.57373772908</v>
      </c>
      <c r="M197">
        <f>'Net zero Activity data'!AO9*'Net zero supporting data'!M196</f>
        <v>366886.55367248377</v>
      </c>
      <c r="N197">
        <f>'Net zero Activity data'!AP9*'Net zero supporting data'!N196</f>
        <v>490070.25596728828</v>
      </c>
      <c r="O197">
        <f>'Net zero Activity data'!AQ9*'Net zero supporting data'!O196</f>
        <v>613396.74495114421</v>
      </c>
      <c r="P197">
        <f>'Net zero Activity data'!AR9*'Net zero supporting data'!P196</f>
        <v>737277.68466923165</v>
      </c>
      <c r="Q197">
        <f>'Net zero Activity data'!AS9*'Net zero supporting data'!Q196</f>
        <v>860317.1034084541</v>
      </c>
      <c r="R197">
        <f>'Net zero Activity data'!AT9*'Net zero supporting data'!R196</f>
        <v>984415.52788906475</v>
      </c>
      <c r="S197">
        <f>'Net zero Activity data'!AU9*'Net zero supporting data'!S196</f>
        <v>1106318.5291337471</v>
      </c>
      <c r="T197">
        <f>'Net zero Activity data'!AV9*'Net zero supporting data'!T196</f>
        <v>1228058.2511422143</v>
      </c>
      <c r="U197">
        <f>'Net zero Activity data'!AW9*'Net zero supporting data'!U196</f>
        <v>1271447.1939938779</v>
      </c>
      <c r="V197">
        <f>'Net zero Activity data'!AX9*'Net zero supporting data'!V196</f>
        <v>1316709.3467491793</v>
      </c>
      <c r="W197">
        <f>'Net zero Activity data'!AY9*'Net zero supporting data'!W196</f>
        <v>1362190.0255131011</v>
      </c>
      <c r="X197">
        <f>'Net zero Activity data'!AZ9*'Net zero supporting data'!X196</f>
        <v>1371453.0183784922</v>
      </c>
      <c r="Y197">
        <f>'Net zero Activity data'!BA9*'Net zero supporting data'!Y196</f>
        <v>-332475.16882635828</v>
      </c>
      <c r="Z197">
        <f>'Net zero Activity data'!BB9*'Net zero supporting data'!Z196</f>
        <v>-333492.73141303053</v>
      </c>
      <c r="AA197">
        <f>'Net zero Activity data'!BC9*'Net zero supporting data'!AA196</f>
        <v>-334195.12268555944</v>
      </c>
      <c r="AB197">
        <f>'Net zero Activity data'!BD9*'Net zero supporting data'!AB196</f>
        <v>-334587.39758394944</v>
      </c>
      <c r="AC197">
        <f>'Net zero Activity data'!BE9*'Net zero supporting data'!AC196</f>
        <v>-334674.35008134204</v>
      </c>
      <c r="AD197">
        <f>'Net zero Activity data'!BF9*'Net zero supporting data'!AD196</f>
        <v>-334460.53142791847</v>
      </c>
      <c r="AE197">
        <f>'Net zero Activity data'!BG9*'Net zero supporting data'!AE196</f>
        <v>-335427.98777565872</v>
      </c>
      <c r="AF197">
        <f>'Net zero Activity data'!BH9*'Net zero supporting data'!AF196</f>
        <v>-336163.41121461079</v>
      </c>
      <c r="AG197">
        <f>'Net zero Activity data'!BI9*'Net zero supporting data'!AG196</f>
        <v>-336670.56926934962</v>
      </c>
      <c r="AH197">
        <f>'Net zero Activity data'!BJ9*'Net zero supporting data'!AH196</f>
        <v>-336953.06866055191</v>
      </c>
      <c r="AI197">
        <f>'Net zero Activity data'!BK9*'Net zero supporting data'!AI196</f>
        <v>-337014.36543185898</v>
      </c>
      <c r="AJ197">
        <f>'Net zero Activity data'!BL9*'Net zero supporting data'!AJ196</f>
        <v>-336628.83449645876</v>
      </c>
      <c r="AK197">
        <f>'Net zero Activity data'!BM9*'Net zero supporting data'!AK196</f>
        <v>-336028.27376096876</v>
      </c>
      <c r="AL197">
        <f>'Net zero Activity data'!BN9*'Net zero supporting data'!AL196</f>
        <v>-335216.17967217683</v>
      </c>
      <c r="AM197">
        <f>'Net zero Activity data'!BO9*'Net zero supporting data'!AM196</f>
        <v>-334195.92593207193</v>
      </c>
      <c r="AN197">
        <f>'Net zero Activity data'!BP9*'Net zero supporting data'!AN196</f>
        <v>-332970.7704468834</v>
      </c>
    </row>
    <row r="198" spans="1:48" x14ac:dyDescent="0.25">
      <c r="A198" t="s">
        <v>1239</v>
      </c>
      <c r="B198" s="11">
        <f>'Net zero Activity data'!AD9-'Net zero supporting data'!B197</f>
        <v>5327272.250660954</v>
      </c>
      <c r="C198" s="11">
        <f>'Net zero Activity data'!AE9-'Net zero supporting data'!C197</f>
        <v>5291960.7574283015</v>
      </c>
      <c r="D198" s="11">
        <f>'Net zero Activity data'!AF9-'Net zero supporting data'!D197</f>
        <v>5217508.8402623869</v>
      </c>
      <c r="E198" s="11">
        <f>'Net zero Activity data'!AG9-'Net zero supporting data'!E197</f>
        <v>5092009.8163202135</v>
      </c>
      <c r="F198" s="11">
        <f>'Net zero Activity data'!AH9-'Net zero supporting data'!F197</f>
        <v>4970247.619255105</v>
      </c>
      <c r="G198" s="11">
        <f>'Net zero Activity data'!AI9-'Net zero supporting data'!G197</f>
        <v>4876595.3997055674</v>
      </c>
      <c r="H198" s="11">
        <f>'Net zero Activity data'!AJ9-'Net zero supporting data'!H197</f>
        <v>4791886.2461165683</v>
      </c>
      <c r="I198" s="11">
        <f>'Net zero Activity data'!AK9-'Net zero supporting data'!I197</f>
        <v>4658701.6930525973</v>
      </c>
      <c r="J198" s="11">
        <f>'Net zero Activity data'!AL9-'Net zero supporting data'!J197</f>
        <v>4085963.7659796765</v>
      </c>
      <c r="K198" s="11">
        <f>'Net zero Activity data'!AM9-'Net zero supporting data'!K197</f>
        <v>3969152.9672500826</v>
      </c>
      <c r="L198" s="11">
        <f>'Net zero Activity data'!AN9-'Net zero supporting data'!L197</f>
        <v>3839752.3218910894</v>
      </c>
      <c r="M198" s="11">
        <f>'Net zero Activity data'!AO9-'Net zero supporting data'!M197</f>
        <v>3709630.709355114</v>
      </c>
      <c r="N198" s="11">
        <f>'Net zero Activity data'!AP9-'Net zero supporting data'!N197</f>
        <v>3593848.5437601143</v>
      </c>
      <c r="O198" s="11">
        <f>'Net zero Activity data'!AQ9-'Net zero supporting data'!O197</f>
        <v>3475914.8880564836</v>
      </c>
      <c r="P198" s="11">
        <f>'Net zero Activity data'!AR9-'Net zero supporting data'!P197</f>
        <v>3358709.4523820556</v>
      </c>
      <c r="Q198" s="11">
        <f>'Net zero Activity data'!AS9-'Net zero supporting data'!Q197</f>
        <v>3236431.0080603752</v>
      </c>
      <c r="R198" s="11">
        <f>'Net zero Activity data'!AT9-'Net zero supporting data'!R197</f>
        <v>3117315.8383153714</v>
      </c>
      <c r="S198" s="11">
        <f>'Net zero Activity data'!AU9-'Net zero supporting data'!S197</f>
        <v>2991157.5046949461</v>
      </c>
      <c r="T198" s="11">
        <f>'Net zero Activity data'!AV9-'Net zero supporting data'!T197</f>
        <v>2865469.2526651667</v>
      </c>
      <c r="U198" s="11">
        <f>'Net zero Activity data'!AW9-'Net zero supporting data'!U197</f>
        <v>2829995.3672766965</v>
      </c>
      <c r="V198" s="11">
        <f>'Net zero Activity data'!AX9-'Net zero supporting data'!V197</f>
        <v>2798007.3618420055</v>
      </c>
      <c r="W198" s="11">
        <f>'Net zero Activity data'!AY9-'Net zero supporting data'!W197</f>
        <v>2765658.5366478115</v>
      </c>
      <c r="X198" s="11">
        <f>'Net zero Activity data'!AZ9-'Net zero supporting data'!X197</f>
        <v>2662232.3297935436</v>
      </c>
      <c r="Y198" s="11">
        <f>'Net zero Activity data'!BA9-'Net zero supporting data'!Y197</f>
        <v>-617453.88496323675</v>
      </c>
      <c r="Z198" s="11">
        <f>'Net zero Activity data'!BB9-'Net zero supporting data'!Z197</f>
        <v>-592875.96695649868</v>
      </c>
      <c r="AA198" s="11">
        <f>'Net zero Activity data'!BC9-'Net zero supporting data'!AA197</f>
        <v>-569034.93862676329</v>
      </c>
      <c r="AB198" s="11">
        <f>'Net zero Activity data'!BD9-'Net zero supporting data'!AB197</f>
        <v>-545905.75395275955</v>
      </c>
      <c r="AC198" s="11">
        <f>'Net zero Activity data'!BE9-'Net zero supporting data'!AC197</f>
        <v>-523465.00910158618</v>
      </c>
      <c r="AD198" s="11">
        <f>'Net zero Activity data'!BF9-'Net zero supporting data'!AD197</f>
        <v>-501690.7971418777</v>
      </c>
      <c r="AE198" s="11">
        <f>'Net zero Activity data'!BG9-'Net zero supporting data'!AE197</f>
        <v>-482689.05557960644</v>
      </c>
      <c r="AF198" s="11">
        <f>'Net zero Activity data'!BH9-'Net zero supporting data'!AF197</f>
        <v>-464225.66310589109</v>
      </c>
      <c r="AG198" s="11">
        <f>'Net zero Activity data'!BI9-'Net zero supporting data'!AG197</f>
        <v>-446284.24298495176</v>
      </c>
      <c r="AH198" s="11">
        <f>'Net zero Activity data'!BJ9-'Net zero supporting data'!AH197</f>
        <v>-428849.3601134296</v>
      </c>
      <c r="AI198" s="11">
        <f>'Net zero Activity data'!BK9-'Net zero supporting data'!AI197</f>
        <v>-411906.44663893868</v>
      </c>
      <c r="AJ198" s="11">
        <f>'Net zero Activity data'!BL9-'Net zero supporting data'!AJ197</f>
        <v>-395172.97962627758</v>
      </c>
      <c r="AK198" s="11">
        <f>'Net zero Activity data'!BM9-'Net zero supporting data'!AK197</f>
        <v>-378925.50019853917</v>
      </c>
      <c r="AL198" s="11">
        <f>'Net zero Activity data'!BN9-'Net zero supporting data'!AL197</f>
        <v>-363150.86131152476</v>
      </c>
      <c r="AM198" s="11">
        <f>'Net zero Activity data'!BO9-'Net zero supporting data'!AM197</f>
        <v>-347836.57597011555</v>
      </c>
      <c r="AN198" s="11">
        <f>'Net zero Activity data'!BP9-'Net zero supporting data'!AN197</f>
        <v>-332970.7704468834</v>
      </c>
    </row>
    <row r="199" spans="1:48" x14ac:dyDescent="0.25">
      <c r="A199" t="s">
        <v>1240</v>
      </c>
      <c r="B199">
        <v>0.4</v>
      </c>
      <c r="C199">
        <v>0.4</v>
      </c>
      <c r="D199">
        <v>0.4</v>
      </c>
      <c r="E199">
        <v>0.4</v>
      </c>
      <c r="F199">
        <v>0.4</v>
      </c>
      <c r="G199">
        <v>0.4</v>
      </c>
      <c r="H199">
        <v>0.4</v>
      </c>
      <c r="I199">
        <v>0.4</v>
      </c>
      <c r="J199">
        <v>0.4</v>
      </c>
      <c r="K199">
        <v>0.4</v>
      </c>
      <c r="L199">
        <v>0.4</v>
      </c>
      <c r="M199">
        <v>0.4</v>
      </c>
      <c r="N199">
        <v>0.4</v>
      </c>
      <c r="O199">
        <v>0.4</v>
      </c>
      <c r="P199">
        <v>0.4</v>
      </c>
      <c r="Q199">
        <v>0.4</v>
      </c>
      <c r="R199">
        <v>0.4</v>
      </c>
      <c r="S199">
        <v>0.4</v>
      </c>
      <c r="T199">
        <v>0.4</v>
      </c>
      <c r="U199">
        <v>0.4</v>
      </c>
      <c r="V199">
        <v>0.4</v>
      </c>
      <c r="W199">
        <v>0.4</v>
      </c>
      <c r="X199">
        <v>0.4</v>
      </c>
      <c r="Y199">
        <v>0.4</v>
      </c>
      <c r="Z199">
        <v>0.4</v>
      </c>
      <c r="AA199">
        <v>0.4</v>
      </c>
      <c r="AB199">
        <v>0.4</v>
      </c>
      <c r="AC199">
        <v>0.4</v>
      </c>
      <c r="AD199">
        <v>0.4</v>
      </c>
      <c r="AE199">
        <v>0.4</v>
      </c>
      <c r="AF199">
        <v>0.4</v>
      </c>
      <c r="AG199">
        <v>0.4</v>
      </c>
      <c r="AH199">
        <v>0.4</v>
      </c>
      <c r="AI199">
        <v>0.4</v>
      </c>
      <c r="AJ199">
        <v>0.4</v>
      </c>
      <c r="AK199">
        <v>0.4</v>
      </c>
      <c r="AL199">
        <v>0.4</v>
      </c>
      <c r="AM199">
        <v>0.4</v>
      </c>
      <c r="AN199">
        <v>0.4</v>
      </c>
    </row>
    <row r="201" spans="1:48" s="120" customFormat="1" ht="15.75" x14ac:dyDescent="0.25">
      <c r="A201" s="116" t="s">
        <v>1377</v>
      </c>
      <c r="B201" s="116"/>
      <c r="C201" s="116"/>
      <c r="D201" s="116"/>
      <c r="E201" s="116"/>
      <c r="F201" s="116"/>
      <c r="G201" s="116"/>
      <c r="H201" s="116"/>
      <c r="I201" s="116"/>
      <c r="J201" s="118"/>
      <c r="K201" s="118"/>
      <c r="L201" s="118"/>
      <c r="M201" s="118"/>
      <c r="N201" s="118"/>
      <c r="O201" s="118"/>
      <c r="P201" s="119"/>
      <c r="Q201" s="119"/>
      <c r="R201" s="119"/>
      <c r="S201" s="119"/>
      <c r="T201" s="119"/>
      <c r="U201" s="119"/>
      <c r="V201" s="119"/>
      <c r="W201" s="119"/>
      <c r="X201" s="119"/>
      <c r="Y201" s="119"/>
      <c r="Z201" s="119"/>
      <c r="AA201" s="119"/>
      <c r="AB201" s="119"/>
      <c r="AC201" s="119"/>
      <c r="AD201" s="119"/>
      <c r="AE201" s="119"/>
      <c r="AF201" s="119"/>
      <c r="AG201" s="119"/>
      <c r="AH201" s="119"/>
      <c r="AI201" s="119"/>
      <c r="AJ201" s="119"/>
      <c r="AK201" s="119"/>
      <c r="AL201" s="119"/>
      <c r="AM201" s="119"/>
      <c r="AN201" s="119"/>
      <c r="AO201" s="119"/>
      <c r="AP201" s="119"/>
      <c r="AQ201" s="119"/>
      <c r="AR201" s="119"/>
      <c r="AS201" s="119"/>
      <c r="AT201" s="119"/>
      <c r="AU201" s="119"/>
      <c r="AV201" s="119"/>
    </row>
    <row r="202" spans="1:48" x14ac:dyDescent="0.25">
      <c r="A202" t="s">
        <v>1371</v>
      </c>
      <c r="B202">
        <f>'Net zero activities &amp; levers'!$C78/100</f>
        <v>0</v>
      </c>
      <c r="C202">
        <f>B202</f>
        <v>0</v>
      </c>
      <c r="D202">
        <f t="shared" ref="D202:J202" si="368">C202</f>
        <v>0</v>
      </c>
      <c r="E202">
        <f t="shared" si="368"/>
        <v>0</v>
      </c>
      <c r="F202">
        <f t="shared" si="368"/>
        <v>0</v>
      </c>
      <c r="G202">
        <f t="shared" si="368"/>
        <v>0</v>
      </c>
      <c r="H202">
        <f t="shared" si="368"/>
        <v>0</v>
      </c>
      <c r="I202">
        <f t="shared" si="368"/>
        <v>0</v>
      </c>
      <c r="J202">
        <f t="shared" si="368"/>
        <v>0</v>
      </c>
      <c r="K202">
        <f t="shared" ref="K202:K204" si="369">J202+($T202-$J202)/10</f>
        <v>1.4999999999999999E-2</v>
      </c>
      <c r="L202">
        <f t="shared" ref="L202:L204" si="370">K202+($T202-$J202)/10</f>
        <v>0.03</v>
      </c>
      <c r="M202">
        <f t="shared" ref="M202:M204" si="371">L202+($T202-$J202)/10</f>
        <v>4.4999999999999998E-2</v>
      </c>
      <c r="N202">
        <f t="shared" ref="N202:N204" si="372">M202+($T202-$J202)/10</f>
        <v>0.06</v>
      </c>
      <c r="O202">
        <f t="shared" ref="O202:O204" si="373">N202+($T202-$J202)/10</f>
        <v>7.4999999999999997E-2</v>
      </c>
      <c r="P202">
        <f t="shared" ref="P202:P204" si="374">O202+($T202-$J202)/10</f>
        <v>0.09</v>
      </c>
      <c r="Q202">
        <f t="shared" ref="Q202:Q204" si="375">P202+($T202-$J202)/10</f>
        <v>0.105</v>
      </c>
      <c r="R202">
        <f t="shared" ref="R202:R204" si="376">Q202+($T202-$J202)/10</f>
        <v>0.12</v>
      </c>
      <c r="S202">
        <f t="shared" ref="S202:S204" si="377">R202+($T202-$J202)/10</f>
        <v>0.13500000000000001</v>
      </c>
      <c r="T202">
        <f>'Net zero activities &amp; levers'!$D78/100</f>
        <v>0.15</v>
      </c>
      <c r="U202">
        <f t="shared" ref="U202:U204" si="378">T202+($AD202-$T202)/10</f>
        <v>0.16</v>
      </c>
      <c r="V202">
        <f t="shared" ref="V202:V204" si="379">U202+($AD202-$T202)/10</f>
        <v>0.17</v>
      </c>
      <c r="W202">
        <f t="shared" ref="W202:W204" si="380">V202+($AD202-$T202)/10</f>
        <v>0.18000000000000002</v>
      </c>
      <c r="X202">
        <f t="shared" ref="X202:X204" si="381">W202+($AD202-$T202)/10</f>
        <v>0.19000000000000003</v>
      </c>
      <c r="Y202">
        <f t="shared" ref="Y202:Y204" si="382">X202+($AD202-$T202)/10</f>
        <v>0.20000000000000004</v>
      </c>
      <c r="Z202">
        <f t="shared" ref="Z202:Z204" si="383">Y202+($AD202-$T202)/10</f>
        <v>0.21000000000000005</v>
      </c>
      <c r="AA202">
        <f t="shared" ref="AA202:AA204" si="384">Z202+($AD202-$T202)/10</f>
        <v>0.22000000000000006</v>
      </c>
      <c r="AB202">
        <f t="shared" ref="AB202:AB204" si="385">AA202+($AD202-$T202)/10</f>
        <v>0.23000000000000007</v>
      </c>
      <c r="AC202">
        <f t="shared" ref="AC202:AC204" si="386">AB202+($AD202-$T202)/10</f>
        <v>0.24000000000000007</v>
      </c>
      <c r="AD202">
        <f>'Net zero activities &amp; levers'!$E78/100</f>
        <v>0.25</v>
      </c>
      <c r="AE202">
        <f t="shared" ref="AE202:AE204" si="387">AD202+($AN202-$AD202)/10</f>
        <v>0.255</v>
      </c>
      <c r="AF202">
        <f t="shared" ref="AF202:AF204" si="388">AE202+($AN202-$AD202)/10</f>
        <v>0.26</v>
      </c>
      <c r="AG202">
        <f t="shared" ref="AG202:AG204" si="389">AF202+($AN202-$AD202)/10</f>
        <v>0.26500000000000001</v>
      </c>
      <c r="AH202">
        <f t="shared" ref="AH202:AH204" si="390">AG202+($AN202-$AD202)/10</f>
        <v>0.27</v>
      </c>
      <c r="AI202">
        <f t="shared" ref="AI202:AI204" si="391">AH202+($AN202-$AD202)/10</f>
        <v>0.27500000000000002</v>
      </c>
      <c r="AJ202">
        <f t="shared" ref="AJ202:AJ204" si="392">AI202+($AN202-$AD202)/10</f>
        <v>0.28000000000000003</v>
      </c>
      <c r="AK202">
        <f t="shared" ref="AK202:AK204" si="393">AJ202+($AN202-$AD202)/10</f>
        <v>0.28500000000000003</v>
      </c>
      <c r="AL202">
        <f t="shared" ref="AL202:AL204" si="394">AK202+($AN202-$AD202)/10</f>
        <v>0.29000000000000004</v>
      </c>
      <c r="AM202">
        <f t="shared" ref="AM202:AM204" si="395">AL202+($AN202-$AD202)/10</f>
        <v>0.29500000000000004</v>
      </c>
      <c r="AN202">
        <f>'Net zero activities &amp; levers'!$F78/100</f>
        <v>0.3</v>
      </c>
    </row>
    <row r="203" spans="1:48" x14ac:dyDescent="0.25">
      <c r="A203" t="s">
        <v>1372</v>
      </c>
      <c r="B203">
        <f>'Net zero activities &amp; levers'!$C79/100</f>
        <v>0</v>
      </c>
      <c r="C203">
        <f t="shared" ref="C203:J204" si="396">B203</f>
        <v>0</v>
      </c>
      <c r="D203">
        <f t="shared" si="396"/>
        <v>0</v>
      </c>
      <c r="E203">
        <f t="shared" si="396"/>
        <v>0</v>
      </c>
      <c r="F203">
        <f t="shared" si="396"/>
        <v>0</v>
      </c>
      <c r="G203">
        <f t="shared" si="396"/>
        <v>0</v>
      </c>
      <c r="H203">
        <f t="shared" si="396"/>
        <v>0</v>
      </c>
      <c r="I203">
        <f t="shared" si="396"/>
        <v>0</v>
      </c>
      <c r="J203">
        <f t="shared" si="396"/>
        <v>0</v>
      </c>
      <c r="K203">
        <f t="shared" si="369"/>
        <v>5.0000000000000001E-3</v>
      </c>
      <c r="L203">
        <f t="shared" si="370"/>
        <v>0.01</v>
      </c>
      <c r="M203">
        <f t="shared" si="371"/>
        <v>1.4999999999999999E-2</v>
      </c>
      <c r="N203">
        <f t="shared" si="372"/>
        <v>0.02</v>
      </c>
      <c r="O203">
        <f t="shared" si="373"/>
        <v>2.5000000000000001E-2</v>
      </c>
      <c r="P203">
        <f t="shared" si="374"/>
        <v>3.0000000000000002E-2</v>
      </c>
      <c r="Q203">
        <f t="shared" si="375"/>
        <v>3.5000000000000003E-2</v>
      </c>
      <c r="R203">
        <f t="shared" si="376"/>
        <v>0.04</v>
      </c>
      <c r="S203">
        <f t="shared" si="377"/>
        <v>4.4999999999999998E-2</v>
      </c>
      <c r="T203">
        <f>'Net zero activities &amp; levers'!$D79/100</f>
        <v>0.05</v>
      </c>
      <c r="U203">
        <f t="shared" si="378"/>
        <v>5.3333333333333337E-2</v>
      </c>
      <c r="V203">
        <f t="shared" si="379"/>
        <v>5.6666666666666671E-2</v>
      </c>
      <c r="W203">
        <f t="shared" si="380"/>
        <v>6.0000000000000005E-2</v>
      </c>
      <c r="X203">
        <f t="shared" si="381"/>
        <v>6.3333333333333339E-2</v>
      </c>
      <c r="Y203">
        <f t="shared" si="382"/>
        <v>6.666666666666668E-2</v>
      </c>
      <c r="Z203">
        <f t="shared" si="383"/>
        <v>7.0000000000000007E-2</v>
      </c>
      <c r="AA203">
        <f t="shared" si="384"/>
        <v>7.3333333333333334E-2</v>
      </c>
      <c r="AB203">
        <f t="shared" si="385"/>
        <v>7.6666666666666661E-2</v>
      </c>
      <c r="AC203">
        <f t="shared" si="386"/>
        <v>7.9999999999999988E-2</v>
      </c>
      <c r="AD203">
        <f>'Net zero activities &amp; levers'!$E79/100</f>
        <v>8.3333333333333343E-2</v>
      </c>
      <c r="AE203">
        <f t="shared" si="387"/>
        <v>8.5000000000000006E-2</v>
      </c>
      <c r="AF203">
        <f t="shared" si="388"/>
        <v>8.666666666666667E-2</v>
      </c>
      <c r="AG203">
        <f t="shared" si="389"/>
        <v>8.8333333333333333E-2</v>
      </c>
      <c r="AH203">
        <f t="shared" si="390"/>
        <v>0.09</v>
      </c>
      <c r="AI203">
        <f t="shared" si="391"/>
        <v>9.166666666666666E-2</v>
      </c>
      <c r="AJ203">
        <f t="shared" si="392"/>
        <v>9.3333333333333324E-2</v>
      </c>
      <c r="AK203">
        <f t="shared" si="393"/>
        <v>9.4999999999999987E-2</v>
      </c>
      <c r="AL203">
        <f t="shared" si="394"/>
        <v>9.6666666666666651E-2</v>
      </c>
      <c r="AM203">
        <f t="shared" si="395"/>
        <v>9.8333333333333314E-2</v>
      </c>
      <c r="AN203">
        <f>'Net zero activities &amp; levers'!$F79/100</f>
        <v>0.1</v>
      </c>
    </row>
    <row r="204" spans="1:48" x14ac:dyDescent="0.25">
      <c r="A204" t="s">
        <v>1373</v>
      </c>
      <c r="B204">
        <f>'Net zero activities &amp; levers'!$C80/100</f>
        <v>0</v>
      </c>
      <c r="C204">
        <f t="shared" si="396"/>
        <v>0</v>
      </c>
      <c r="D204">
        <f t="shared" si="396"/>
        <v>0</v>
      </c>
      <c r="E204">
        <f t="shared" si="396"/>
        <v>0</v>
      </c>
      <c r="F204">
        <f t="shared" si="396"/>
        <v>0</v>
      </c>
      <c r="G204">
        <f t="shared" si="396"/>
        <v>0</v>
      </c>
      <c r="H204">
        <f t="shared" si="396"/>
        <v>0</v>
      </c>
      <c r="I204">
        <f t="shared" si="396"/>
        <v>0</v>
      </c>
      <c r="J204">
        <f t="shared" si="396"/>
        <v>0</v>
      </c>
      <c r="K204">
        <f t="shared" si="369"/>
        <v>1.0499999999999999E-2</v>
      </c>
      <c r="L204">
        <f t="shared" si="370"/>
        <v>2.0999999999999998E-2</v>
      </c>
      <c r="M204">
        <f t="shared" si="371"/>
        <v>3.15E-2</v>
      </c>
      <c r="N204">
        <f t="shared" si="372"/>
        <v>4.1999999999999996E-2</v>
      </c>
      <c r="O204">
        <f t="shared" si="373"/>
        <v>5.2499999999999991E-2</v>
      </c>
      <c r="P204">
        <f t="shared" si="374"/>
        <v>6.2999999999999987E-2</v>
      </c>
      <c r="Q204">
        <f t="shared" si="375"/>
        <v>7.3499999999999982E-2</v>
      </c>
      <c r="R204">
        <f t="shared" si="376"/>
        <v>8.3999999999999977E-2</v>
      </c>
      <c r="S204">
        <f t="shared" si="377"/>
        <v>9.4499999999999973E-2</v>
      </c>
      <c r="T204">
        <f>'Net zero activities &amp; levers'!$D80/100</f>
        <v>0.105</v>
      </c>
      <c r="U204">
        <f t="shared" si="378"/>
        <v>0.11199999999999999</v>
      </c>
      <c r="V204">
        <f t="shared" si="379"/>
        <v>0.11899999999999998</v>
      </c>
      <c r="W204">
        <f t="shared" si="380"/>
        <v>0.12599999999999997</v>
      </c>
      <c r="X204">
        <f t="shared" si="381"/>
        <v>0.13299999999999998</v>
      </c>
      <c r="Y204">
        <f t="shared" si="382"/>
        <v>0.13999999999999999</v>
      </c>
      <c r="Z204">
        <f t="shared" si="383"/>
        <v>0.14699999999999999</v>
      </c>
      <c r="AA204">
        <f t="shared" si="384"/>
        <v>0.154</v>
      </c>
      <c r="AB204">
        <f t="shared" si="385"/>
        <v>0.161</v>
      </c>
      <c r="AC204">
        <f t="shared" si="386"/>
        <v>0.16800000000000001</v>
      </c>
      <c r="AD204">
        <f>'Net zero activities &amp; levers'!$E80/100</f>
        <v>0.17499999999999996</v>
      </c>
      <c r="AE204">
        <f t="shared" si="387"/>
        <v>0.17849999999999996</v>
      </c>
      <c r="AF204">
        <f t="shared" si="388"/>
        <v>0.18199999999999997</v>
      </c>
      <c r="AG204">
        <f t="shared" si="389"/>
        <v>0.18549999999999997</v>
      </c>
      <c r="AH204">
        <f t="shared" si="390"/>
        <v>0.18899999999999997</v>
      </c>
      <c r="AI204">
        <f t="shared" si="391"/>
        <v>0.19249999999999998</v>
      </c>
      <c r="AJ204">
        <f t="shared" si="392"/>
        <v>0.19599999999999998</v>
      </c>
      <c r="AK204">
        <f t="shared" si="393"/>
        <v>0.19949999999999998</v>
      </c>
      <c r="AL204">
        <f t="shared" si="394"/>
        <v>0.20299999999999999</v>
      </c>
      <c r="AM204">
        <f t="shared" si="395"/>
        <v>0.20649999999999999</v>
      </c>
      <c r="AN204">
        <f>'Net zero activities &amp; levers'!$F80/100</f>
        <v>0.21</v>
      </c>
    </row>
    <row r="205" spans="1:48" x14ac:dyDescent="0.25">
      <c r="A205" t="s">
        <v>318</v>
      </c>
      <c r="B205">
        <f>'Intermediate calculations'!Y5-('Intermediate calculations'!Y5*'Net zero supporting data'!B202)</f>
        <v>924855.80898353143</v>
      </c>
      <c r="C205">
        <f>'Intermediate calculations'!Z5-('Intermediate calculations'!Z5*'Net zero supporting data'!C202)</f>
        <v>947742.28342583426</v>
      </c>
      <c r="D205">
        <f>'Intermediate calculations'!AA5-('Intermediate calculations'!AA5*'Net zero supporting data'!D202)</f>
        <v>964442.83230185462</v>
      </c>
      <c r="E205">
        <f>'Intermediate calculations'!AB5-('Intermediate calculations'!AB5*'Net zero supporting data'!E202)</f>
        <v>972360.2761669351</v>
      </c>
      <c r="F205">
        <f>'Intermediate calculations'!AC5-('Intermediate calculations'!AC5*'Net zero supporting data'!F202)</f>
        <v>980196.47897044814</v>
      </c>
      <c r="G205">
        <f>'Intermediate calculations'!AD5-('Intermediate calculations'!AD5*'Net zero supporting data'!G202)</f>
        <v>992415.64989686979</v>
      </c>
      <c r="H205">
        <f>'Intermediate calculations'!AE5-('Intermediate calculations'!AE5*'Net zero supporting data'!H202)</f>
        <v>1005972.5768210067</v>
      </c>
      <c r="I205">
        <f>'Intermediate calculations'!AF5-('Intermediate calculations'!AF5*'Net zero supporting data'!I202)</f>
        <v>1010025.9471876509</v>
      </c>
      <c r="J205">
        <f>'Intermediate calculations'!AG5-('Intermediate calculations'!AG5*'Net zero supporting data'!J202)</f>
        <v>926070.2807857712</v>
      </c>
      <c r="K205">
        <f>'Intermediate calculations'!AH5-('Intermediate calculations'!AH5*'Net zero supporting data'!K202)</f>
        <v>936832.7278936092</v>
      </c>
      <c r="L205">
        <f>'Intermediate calculations'!AI5-('Intermediate calculations'!AI5*'Net zero supporting data'!L202)</f>
        <v>944731.37884615234</v>
      </c>
      <c r="M205">
        <f>'Intermediate calculations'!AJ5-('Intermediate calculations'!AJ5*'Net zero supporting data'!M202)</f>
        <v>952094.25029614847</v>
      </c>
      <c r="N205">
        <f>'Intermediate calculations'!AK5-('Intermediate calculations'!AK5*'Net zero supporting data'!N202)</f>
        <v>962467.74645121384</v>
      </c>
      <c r="O205">
        <f>'Intermediate calculations'!AL5-('Intermediate calculations'!AL5*'Net zero supporting data'!O202)</f>
        <v>972219.93475311471</v>
      </c>
      <c r="P205">
        <f>'Intermediate calculations'!AM5-('Intermediate calculations'!AM5*'Net zero supporting data'!P202)</f>
        <v>982039.34807016794</v>
      </c>
      <c r="Q205">
        <f>'Intermediate calculations'!AN5-('Intermediate calculations'!AN5*'Net zero supporting data'!Q202)</f>
        <v>990374.37965022307</v>
      </c>
      <c r="R205">
        <f>'Intermediate calculations'!AO5-('Intermediate calculations'!AO5*'Net zero supporting data'!R202)</f>
        <v>999398.55223849509</v>
      </c>
      <c r="S205">
        <f>'Intermediate calculations'!AP5-('Intermediate calculations'!AP5*'Net zero supporting data'!S202)</f>
        <v>1006159.3765687707</v>
      </c>
      <c r="T205">
        <f>'Intermediate calculations'!AQ5-('Intermediate calculations'!AQ5*'Net zero supporting data'!T202)</f>
        <v>1012722.0102091886</v>
      </c>
      <c r="U205">
        <f>'Intermediate calculations'!AR5-('Intermediate calculations'!AR5*'Net zero supporting data'!U202)</f>
        <v>1029054.2715833312</v>
      </c>
      <c r="V205">
        <f>'Intermediate calculations'!AS5-('Intermediate calculations'!AS5*'Net zero supporting data'!V202)</f>
        <v>1046909.8793890638</v>
      </c>
      <c r="W205">
        <f>'Intermediate calculations'!AT5-('Intermediate calculations'!AT5*'Net zero supporting data'!W202)</f>
        <v>1065078.6024608712</v>
      </c>
      <c r="X205">
        <f>'Intermediate calculations'!AU5-('Intermediate calculations'!AU5*'Net zero supporting data'!X202)</f>
        <v>1057957.2750434624</v>
      </c>
      <c r="Y205">
        <f>'Intermediate calculations'!AV5-('Intermediate calculations'!AV5*'Net zero supporting data'!Y202)</f>
        <v>-138788.02545123041</v>
      </c>
      <c r="Z205">
        <f>'Intermediate calculations'!AW5-('Intermediate calculations'!AW5*'Net zero supporting data'!Z202)</f>
        <v>-138056.56286893153</v>
      </c>
      <c r="AA205">
        <f>'Intermediate calculations'!AX5-('Intermediate calculations'!AX5*'Net zero supporting data'!AA202)</f>
        <v>-137306.95103723937</v>
      </c>
      <c r="AB205">
        <f>'Intermediate calculations'!AY5-('Intermediate calculations'!AY5*'Net zero supporting data'!AB202)</f>
        <v>-136538.96341507119</v>
      </c>
      <c r="AC205">
        <f>'Intermediate calculations'!AZ5-('Intermediate calculations'!AZ5*'Net zero supporting data'!AC202)</f>
        <v>-135752.37111704666</v>
      </c>
      <c r="AD205">
        <f>'Intermediate calculations'!BA5-('Intermediate calculations'!BA5*'Net zero supporting data'!AD202)</f>
        <v>-134946.94289130403</v>
      </c>
      <c r="AE205">
        <f>'Intermediate calculations'!BB5-('Intermediate calculations'!BB5*'Net zero supporting data'!AE202)</f>
        <v>-134879.85491676081</v>
      </c>
      <c r="AF205">
        <f>'Intermediate calculations'!BC5-('Intermediate calculations'!BC5*'Net zero supporting data'!AF202)</f>
        <v>-134806.72791942614</v>
      </c>
      <c r="AG205">
        <f>'Intermediate calculations'!BD5-('Intermediate calculations'!BD5*'Net zero supporting data'!AG202)</f>
        <v>-134727.48947137207</v>
      </c>
      <c r="AH205">
        <f>'Intermediate calculations'!BE5-('Intermediate calculations'!BE5*'Net zero supporting data'!AH202)</f>
        <v>-134642.06647794045</v>
      </c>
      <c r="AI205">
        <f>'Intermediate calculations'!BF5-('Intermediate calculations'!BF5*'Net zero supporting data'!AI202)</f>
        <v>-134550.38517225458</v>
      </c>
      <c r="AJ205">
        <f>'Intermediate calculations'!BG5-('Intermediate calculations'!BG5*'Net zero supporting data'!AJ202)</f>
        <v>-134304.57271404887</v>
      </c>
      <c r="AK205">
        <f>'Intermediate calculations'!BH5-('Intermediate calculations'!BH5*'Net zero supporting data'!AK202)</f>
        <v>-134052.74428818727</v>
      </c>
      <c r="AL205">
        <f>'Intermediate calculations'!BI5-('Intermediate calculations'!BI5*'Net zero supporting data'!AL202)</f>
        <v>-133794.84487928834</v>
      </c>
      <c r="AM205">
        <f>'Intermediate calculations'!BJ5-('Intermediate calculations'!BJ5*'Net zero supporting data'!AM202)</f>
        <v>-133530.81906705373</v>
      </c>
      <c r="AN205">
        <f>'Intermediate calculations'!BK5-('Intermediate calculations'!BK5*'Net zero supporting data'!AN202)</f>
        <v>-133260.61102356762</v>
      </c>
    </row>
    <row r="206" spans="1:48" x14ac:dyDescent="0.25">
      <c r="A206" t="s">
        <v>332</v>
      </c>
      <c r="B206">
        <f>'Intermediate calculations'!Y19+('Intermediate calculations'!Y19*'Net zero supporting data'!B203)</f>
        <v>168487.76169155291</v>
      </c>
      <c r="C206">
        <f>'Intermediate calculations'!Z19+('Intermediate calculations'!Z19*'Net zero supporting data'!C203)</f>
        <v>171012.51082629684</v>
      </c>
      <c r="D206">
        <f>'Intermediate calculations'!AA19+('Intermediate calculations'!AA19*'Net zero supporting data'!D203)</f>
        <v>173618.58544736577</v>
      </c>
      <c r="E206">
        <f>'Intermediate calculations'!AB19+('Intermediate calculations'!AB19*'Net zero supporting data'!E203)</f>
        <v>176304.85335360692</v>
      </c>
      <c r="F206">
        <f>'Intermediate calculations'!AC19+('Intermediate calculations'!AC19*'Net zero supporting data'!F203)</f>
        <v>179090.8317669268</v>
      </c>
      <c r="G206">
        <f>'Intermediate calculations'!AD19+('Intermediate calculations'!AD19*'Net zero supporting data'!G203)</f>
        <v>181988.54701046296</v>
      </c>
      <c r="H206">
        <f>'Intermediate calculations'!AE19+('Intermediate calculations'!AE19*'Net zero supporting data'!H203)</f>
        <v>184927.08513753486</v>
      </c>
      <c r="I206">
        <f>'Intermediate calculations'!AF19+('Intermediate calculations'!AF19*'Net zero supporting data'!I203)</f>
        <v>187895.52865099558</v>
      </c>
      <c r="J206">
        <f>'Intermediate calculations'!AG19+('Intermediate calculations'!AG19*'Net zero supporting data'!J203)</f>
        <v>190752.40472608875</v>
      </c>
      <c r="K206">
        <f>'Intermediate calculations'!AH19+('Intermediate calculations'!AH19*'Net zero supporting data'!K203)</f>
        <v>193939.66271968547</v>
      </c>
      <c r="L206">
        <f>'Intermediate calculations'!AI19+('Intermediate calculations'!AI19*'Net zero supporting data'!L203)</f>
        <v>197170.47597056584</v>
      </c>
      <c r="M206">
        <f>'Intermediate calculations'!AJ19+('Intermediate calculations'!AJ19*'Net zero supporting data'!M203)</f>
        <v>200449.74833874922</v>
      </c>
      <c r="N206">
        <f>'Intermediate calculations'!AK19+('Intermediate calculations'!AK19*'Net zero supporting data'!N203)</f>
        <v>203785.14822355367</v>
      </c>
      <c r="O206">
        <f>'Intermediate calculations'!AL19+('Intermediate calculations'!AL19*'Net zero supporting data'!O203)</f>
        <v>207170.53406028837</v>
      </c>
      <c r="P206">
        <f>'Intermediate calculations'!AM19+('Intermediate calculations'!AM19*'Net zero supporting data'!P203)</f>
        <v>210264.121234058</v>
      </c>
      <c r="Q206">
        <f>'Intermediate calculations'!AN19+('Intermediate calculations'!AN19*'Net zero supporting data'!Q203)</f>
        <v>213396.67944241554</v>
      </c>
      <c r="R206">
        <f>'Intermediate calculations'!AO19+('Intermediate calculations'!AO19*'Net zero supporting data'!R203)</f>
        <v>216573.2641113101</v>
      </c>
      <c r="S206">
        <f>'Intermediate calculations'!AP19+('Intermediate calculations'!AP19*'Net zero supporting data'!S203)</f>
        <v>219788.12436535172</v>
      </c>
      <c r="T206">
        <f>'Intermediate calculations'!AQ19+('Intermediate calculations'!AQ19*'Net zero supporting data'!T203)</f>
        <v>223046.17830209245</v>
      </c>
      <c r="U206">
        <f>'Intermediate calculations'!AR19+('Intermediate calculations'!AR19*'Net zero supporting data'!U203)</f>
        <v>225708.61029043401</v>
      </c>
      <c r="V206">
        <f>'Intermediate calculations'!AS19+('Intermediate calculations'!AS19*'Net zero supporting data'!V203)</f>
        <v>228404.65884637981</v>
      </c>
      <c r="W206">
        <f>'Intermediate calculations'!AT19+('Intermediate calculations'!AT19*'Net zero supporting data'!W203)</f>
        <v>231132.01504085341</v>
      </c>
      <c r="X206">
        <f>'Intermediate calculations'!AU19+('Intermediate calculations'!AU19*'Net zero supporting data'!X203)</f>
        <v>233830.19143887976</v>
      </c>
      <c r="Y206">
        <f>'Intermediate calculations'!AV19+('Intermediate calculations'!AV19*'Net zero supporting data'!Y203)</f>
        <v>233684.04732292271</v>
      </c>
      <c r="Z206">
        <f>'Intermediate calculations'!AW19+('Intermediate calculations'!AW19*'Net zero supporting data'!Z203)</f>
        <v>236130.49380603756</v>
      </c>
      <c r="AA206">
        <f>'Intermediate calculations'!AX19+('Intermediate calculations'!AX19*'Net zero supporting data'!AA203)</f>
        <v>238600.23661525693</v>
      </c>
      <c r="AB206">
        <f>'Intermediate calculations'!AY19+('Intermediate calculations'!AY19*'Net zero supporting data'!AB203)</f>
        <v>241093.48573478009</v>
      </c>
      <c r="AC206">
        <f>'Intermediate calculations'!AZ19+('Intermediate calculations'!AZ19*'Net zero supporting data'!AC203)</f>
        <v>243610.45297479341</v>
      </c>
      <c r="AD206">
        <f>'Intermediate calculations'!BA19+('Intermediate calculations'!BA19*'Net zero supporting data'!AD203)</f>
        <v>246151.35198695175</v>
      </c>
      <c r="AE206">
        <f>'Intermediate calculations'!BB19+('Intermediate calculations'!BB19*'Net zero supporting data'!AE203)</f>
        <v>248061.22711691822</v>
      </c>
      <c r="AF206">
        <f>'Intermediate calculations'!BC19+('Intermediate calculations'!BC19*'Net zero supporting data'!AF203)</f>
        <v>249985.33099923795</v>
      </c>
      <c r="AG206">
        <f>'Intermediate calculations'!BD19+('Intermediate calculations'!BD19*'Net zero supporting data'!AG203)</f>
        <v>251923.76670680108</v>
      </c>
      <c r="AH206">
        <f>'Intermediate calculations'!BE19+('Intermediate calculations'!BE19*'Net zero supporting data'!AH203)</f>
        <v>253876.63804397132</v>
      </c>
      <c r="AI206">
        <f>'Intermediate calculations'!BF19+('Intermediate calculations'!BF19*'Net zero supporting data'!AI203)</f>
        <v>255844.04955169605</v>
      </c>
      <c r="AJ206">
        <f>'Intermediate calculations'!BG19+('Intermediate calculations'!BG19*'Net zero supporting data'!AJ203)</f>
        <v>257542.68804570931</v>
      </c>
      <c r="AK206">
        <f>'Intermediate calculations'!BH19+('Intermediate calculations'!BH19*'Net zero supporting data'!AK203)</f>
        <v>259252.00195493578</v>
      </c>
      <c r="AL206">
        <f>'Intermediate calculations'!BI19+('Intermediate calculations'!BI19*'Net zero supporting data'!AL203)</f>
        <v>260972.05600646313</v>
      </c>
      <c r="AM206">
        <f>'Intermediate calculations'!BJ19+('Intermediate calculations'!BJ19*'Net zero supporting data'!AM203)</f>
        <v>262702.91531002719</v>
      </c>
      <c r="AN206">
        <f>'Intermediate calculations'!BK19+('Intermediate calculations'!BK19*'Net zero supporting data'!AN203)</f>
        <v>264444.64536023163</v>
      </c>
    </row>
    <row r="207" spans="1:48" x14ac:dyDescent="0.25">
      <c r="A207" t="s">
        <v>338</v>
      </c>
      <c r="B207">
        <f>'Intermediate calculations'!Y39+('Intermediate calculations'!Y39*'Net zero supporting data'!B204)</f>
        <v>1804299.8007130788</v>
      </c>
      <c r="C207">
        <f>'Intermediate calculations'!Z39+('Intermediate calculations'!Z39*'Net zero supporting data'!C204)</f>
        <v>1865401.2408232223</v>
      </c>
      <c r="D207">
        <f>'Intermediate calculations'!AA39+('Intermediate calculations'!AA39*'Net zero supporting data'!D204)</f>
        <v>1902347.7165159208</v>
      </c>
      <c r="E207">
        <f>'Intermediate calculations'!AB39+('Intermediate calculations'!AB39*'Net zero supporting data'!E204)</f>
        <v>1905350.5867499888</v>
      </c>
      <c r="F207">
        <f>'Intermediate calculations'!AC39+('Intermediate calculations'!AC39*'Net zero supporting data'!F204)</f>
        <v>1907049.4539585721</v>
      </c>
      <c r="G207">
        <f>'Intermediate calculations'!AD39+('Intermediate calculations'!AD39*'Net zero supporting data'!G204)</f>
        <v>1924168.8644702844</v>
      </c>
      <c r="H207">
        <f>'Intermediate calculations'!AE39+('Intermediate calculations'!AE39*'Net zero supporting data'!H204)</f>
        <v>1945927.6728718765</v>
      </c>
      <c r="I207">
        <f>'Intermediate calculations'!AF39+('Intermediate calculations'!AF39*'Net zero supporting data'!I204)</f>
        <v>1931527.4432885377</v>
      </c>
      <c r="J207">
        <f>'Intermediate calculations'!AG39+('Intermediate calculations'!AG39*'Net zero supporting data'!J204)</f>
        <v>1586157.7705843367</v>
      </c>
      <c r="K207">
        <f>'Intermediate calculations'!AH39+('Intermediate calculations'!AH39*'Net zero supporting data'!K204)</f>
        <v>1675780.96062478</v>
      </c>
      <c r="L207">
        <f>'Intermediate calculations'!AI39+('Intermediate calculations'!AI39*'Net zero supporting data'!L204)</f>
        <v>1758312.9334517599</v>
      </c>
      <c r="M207">
        <f>'Intermediate calculations'!AJ39+('Intermediate calculations'!AJ39*'Net zero supporting data'!M204)</f>
        <v>1842529.9937170935</v>
      </c>
      <c r="N207">
        <f>'Intermediate calculations'!AK39+('Intermediate calculations'!AK39*'Net zero supporting data'!N204)</f>
        <v>1943231.5196027255</v>
      </c>
      <c r="O207">
        <f>'Intermediate calculations'!AL39+('Intermediate calculations'!AL39*'Net zero supporting data'!O204)</f>
        <v>2046110.5334093862</v>
      </c>
      <c r="P207">
        <f>'Intermediate calculations'!AM39+('Intermediate calculations'!AM39*'Net zero supporting data'!P204)</f>
        <v>2157790.4083116758</v>
      </c>
      <c r="Q207">
        <f>'Intermediate calculations'!AN39+('Intermediate calculations'!AN39*'Net zero supporting data'!Q204)</f>
        <v>2268178.0903674578</v>
      </c>
      <c r="R207">
        <f>'Intermediate calculations'!AO39+('Intermediate calculations'!AO39*'Net zero supporting data'!R204)</f>
        <v>2387085.7021865901</v>
      </c>
      <c r="S207">
        <f>'Intermediate calculations'!AP39+('Intermediate calculations'!AP39*'Net zero supporting data'!S204)</f>
        <v>2501046.4719854984</v>
      </c>
      <c r="T207">
        <f>'Intermediate calculations'!AQ39+('Intermediate calculations'!AQ39*'Net zero supporting data'!T204)</f>
        <v>2619590.5444837576</v>
      </c>
      <c r="U207">
        <f>'Intermediate calculations'!AR39+('Intermediate calculations'!AR39*'Net zero supporting data'!U204)</f>
        <v>2756642.0756769525</v>
      </c>
      <c r="V207">
        <f>'Intermediate calculations'!AS39+('Intermediate calculations'!AS39*'Net zero supporting data'!V204)</f>
        <v>2906155.8655754272</v>
      </c>
      <c r="W207">
        <f>'Intermediate calculations'!AT39+('Intermediate calculations'!AT39*'Net zero supporting data'!W204)</f>
        <v>3062504.5536209107</v>
      </c>
      <c r="X207">
        <f>'Intermediate calculations'!AU39+('Intermediate calculations'!AU39*'Net zero supporting data'!X204)</f>
        <v>3091499.0016282685</v>
      </c>
      <c r="Y207">
        <f>'Intermediate calculations'!AV39+('Intermediate calculations'!AV39*'Net zero supporting data'!Y204)</f>
        <v>-3244634.1205357662</v>
      </c>
      <c r="Z207">
        <f>'Intermediate calculations'!AW39+('Intermediate calculations'!AW39*'Net zero supporting data'!Z204)</f>
        <v>-3288457.6472983812</v>
      </c>
      <c r="AA207">
        <f>'Intermediate calculations'!AX39+('Intermediate calculations'!AX39*'Net zero supporting data'!AA204)</f>
        <v>-3332748.9416311793</v>
      </c>
      <c r="AB207">
        <f>'Intermediate calculations'!AY39+('Intermediate calculations'!AY39*'Net zero supporting data'!AB204)</f>
        <v>-3377512.5038215318</v>
      </c>
      <c r="AC207">
        <f>'Intermediate calculations'!AZ39+('Intermediate calculations'!AZ39*'Net zero supporting data'!AC204)</f>
        <v>-3422752.8749794024</v>
      </c>
      <c r="AD207">
        <f>'Intermediate calculations'!BA39+('Intermediate calculations'!BA39*'Net zero supporting data'!AD204)</f>
        <v>-3468474.6373938629</v>
      </c>
      <c r="AE207">
        <f>'Intermediate calculations'!BB39+('Intermediate calculations'!BB39*'Net zero supporting data'!AE204)</f>
        <v>-3500412.884488361</v>
      </c>
      <c r="AF207">
        <f>'Intermediate calculations'!BC39+('Intermediate calculations'!BC39*'Net zero supporting data'!AF204)</f>
        <v>-3532614.065338179</v>
      </c>
      <c r="AG207">
        <f>'Intermediate calculations'!BD39+('Intermediate calculations'!BD39*'Net zero supporting data'!AG204)</f>
        <v>-3565080.2140308656</v>
      </c>
      <c r="AH207">
        <f>'Intermediate calculations'!BE39+('Intermediate calculations'!BE39*'Net zero supporting data'!AH204)</f>
        <v>-3597813.3797782771</v>
      </c>
      <c r="AI207">
        <f>'Intermediate calculations'!BF39+('Intermediate calculations'!BF39*'Net zero supporting data'!AI204)</f>
        <v>-3630815.6270259866</v>
      </c>
      <c r="AJ207">
        <f>'Intermediate calculations'!BG39+('Intermediate calculations'!BG39*'Net zero supporting data'!AJ204)</f>
        <v>-3660061.2413604348</v>
      </c>
      <c r="AK207">
        <f>'Intermediate calculations'!BH39+('Intermediate calculations'!BH39*'Net zero supporting data'!AK204)</f>
        <v>-3689510.8272126084</v>
      </c>
      <c r="AL207">
        <f>'Intermediate calculations'!BI39+('Intermediate calculations'!BI39*'Net zero supporting data'!AL204)</f>
        <v>-3719165.7049435186</v>
      </c>
      <c r="AM207">
        <f>'Intermediate calculations'!BJ39+('Intermediate calculations'!BJ39*'Net zero supporting data'!AM204)</f>
        <v>-3749027.2030792669</v>
      </c>
      <c r="AN207">
        <f>'Intermediate calculations'!BK39+('Intermediate calculations'!BK39*'Net zero supporting data'!AN204)</f>
        <v>-3779096.6583599998</v>
      </c>
    </row>
    <row r="209" spans="1:48" s="120" customFormat="1" ht="15.75" x14ac:dyDescent="0.25">
      <c r="A209" s="116" t="s">
        <v>1378</v>
      </c>
      <c r="B209" s="116"/>
      <c r="C209" s="116"/>
      <c r="D209" s="116"/>
      <c r="E209" s="116"/>
      <c r="F209" s="116"/>
      <c r="G209" s="116"/>
      <c r="H209" s="116"/>
      <c r="I209" s="116"/>
      <c r="J209" s="118"/>
      <c r="K209" s="118"/>
      <c r="L209" s="118"/>
      <c r="M209" s="118"/>
      <c r="N209" s="118"/>
      <c r="O209" s="118"/>
      <c r="P209" s="119"/>
      <c r="Q209" s="119"/>
      <c r="R209" s="119"/>
      <c r="S209" s="119"/>
      <c r="T209" s="119"/>
      <c r="U209" s="119"/>
      <c r="V209" s="119"/>
      <c r="W209" s="119"/>
      <c r="X209" s="119"/>
      <c r="Y209" s="119"/>
      <c r="Z209" s="119"/>
      <c r="AA209" s="119"/>
      <c r="AB209" s="119"/>
      <c r="AC209" s="119"/>
      <c r="AD209" s="119"/>
      <c r="AE209" s="119"/>
      <c r="AF209" s="119"/>
      <c r="AG209" s="119"/>
      <c r="AH209" s="119"/>
      <c r="AI209" s="119"/>
      <c r="AJ209" s="119"/>
      <c r="AK209" s="119"/>
      <c r="AL209" s="119"/>
      <c r="AM209" s="119"/>
      <c r="AN209" s="119"/>
      <c r="AO209" s="119"/>
      <c r="AP209" s="119"/>
      <c r="AQ209" s="119"/>
      <c r="AR209" s="119"/>
      <c r="AS209" s="119"/>
      <c r="AT209" s="119"/>
      <c r="AU209" s="119"/>
      <c r="AV209" s="119"/>
    </row>
    <row r="210" spans="1:48" x14ac:dyDescent="0.25">
      <c r="A210" t="s">
        <v>1371</v>
      </c>
      <c r="B210">
        <f>'Net zero activities &amp; levers'!$C$83/100</f>
        <v>0</v>
      </c>
      <c r="C210">
        <f>B210</f>
        <v>0</v>
      </c>
      <c r="D210">
        <f t="shared" ref="D210:J210" si="397">C210</f>
        <v>0</v>
      </c>
      <c r="E210">
        <f t="shared" si="397"/>
        <v>0</v>
      </c>
      <c r="F210">
        <f t="shared" si="397"/>
        <v>0</v>
      </c>
      <c r="G210">
        <f t="shared" si="397"/>
        <v>0</v>
      </c>
      <c r="H210">
        <f t="shared" si="397"/>
        <v>0</v>
      </c>
      <c r="I210">
        <f t="shared" si="397"/>
        <v>0</v>
      </c>
      <c r="J210">
        <f t="shared" si="397"/>
        <v>0</v>
      </c>
      <c r="K210">
        <f t="shared" ref="K210" si="398">J210+($T210-$J210)/10</f>
        <v>1.4999999999999999E-2</v>
      </c>
      <c r="L210">
        <f t="shared" ref="L210" si="399">K210+($T210-$J210)/10</f>
        <v>0.03</v>
      </c>
      <c r="M210">
        <f t="shared" ref="M210" si="400">L210+($T210-$J210)/10</f>
        <v>4.4999999999999998E-2</v>
      </c>
      <c r="N210">
        <f t="shared" ref="N210" si="401">M210+($T210-$J210)/10</f>
        <v>0.06</v>
      </c>
      <c r="O210">
        <f t="shared" ref="O210" si="402">N210+($T210-$J210)/10</f>
        <v>7.4999999999999997E-2</v>
      </c>
      <c r="P210">
        <f t="shared" ref="P210" si="403">O210+($T210-$J210)/10</f>
        <v>0.09</v>
      </c>
      <c r="Q210">
        <f t="shared" ref="Q210" si="404">P210+($T210-$J210)/10</f>
        <v>0.105</v>
      </c>
      <c r="R210">
        <f t="shared" ref="R210" si="405">Q210+($T210-$J210)/10</f>
        <v>0.12</v>
      </c>
      <c r="S210">
        <f t="shared" ref="S210" si="406">R210+($T210-$J210)/10</f>
        <v>0.13500000000000001</v>
      </c>
      <c r="T210">
        <f>'Net zero activities &amp; levers'!$D$83/100</f>
        <v>0.15</v>
      </c>
      <c r="U210">
        <f t="shared" ref="U210" si="407">T210+($AD210-$T210)/10</f>
        <v>0.16</v>
      </c>
      <c r="V210">
        <f t="shared" ref="V210" si="408">U210+($AD210-$T210)/10</f>
        <v>0.17</v>
      </c>
      <c r="W210">
        <f t="shared" ref="W210" si="409">V210+($AD210-$T210)/10</f>
        <v>0.18000000000000002</v>
      </c>
      <c r="X210">
        <f t="shared" ref="X210" si="410">W210+($AD210-$T210)/10</f>
        <v>0.19000000000000003</v>
      </c>
      <c r="Y210">
        <f t="shared" ref="Y210" si="411">X210+($AD210-$T210)/10</f>
        <v>0.20000000000000004</v>
      </c>
      <c r="Z210">
        <f t="shared" ref="Z210" si="412">Y210+($AD210-$T210)/10</f>
        <v>0.21000000000000005</v>
      </c>
      <c r="AA210">
        <f t="shared" ref="AA210" si="413">Z210+($AD210-$T210)/10</f>
        <v>0.22000000000000006</v>
      </c>
      <c r="AB210">
        <f t="shared" ref="AB210" si="414">AA210+($AD210-$T210)/10</f>
        <v>0.23000000000000007</v>
      </c>
      <c r="AC210">
        <f t="shared" ref="AC210" si="415">AB210+($AD210-$T210)/10</f>
        <v>0.24000000000000007</v>
      </c>
      <c r="AD210">
        <f>'Net zero activities &amp; levers'!$E$83/100</f>
        <v>0.25</v>
      </c>
      <c r="AE210">
        <f t="shared" ref="AE210" si="416">AD210+($AN210-$AD210)/10</f>
        <v>0.255</v>
      </c>
      <c r="AF210">
        <f t="shared" ref="AF210" si="417">AE210+($AN210-$AD210)/10</f>
        <v>0.26</v>
      </c>
      <c r="AG210">
        <f t="shared" ref="AG210" si="418">AF210+($AN210-$AD210)/10</f>
        <v>0.26500000000000001</v>
      </c>
      <c r="AH210">
        <f t="shared" ref="AH210" si="419">AG210+($AN210-$AD210)/10</f>
        <v>0.27</v>
      </c>
      <c r="AI210">
        <f t="shared" ref="AI210" si="420">AH210+($AN210-$AD210)/10</f>
        <v>0.27500000000000002</v>
      </c>
      <c r="AJ210">
        <f t="shared" ref="AJ210" si="421">AI210+($AN210-$AD210)/10</f>
        <v>0.28000000000000003</v>
      </c>
      <c r="AK210">
        <f t="shared" ref="AK210" si="422">AJ210+($AN210-$AD210)/10</f>
        <v>0.28500000000000003</v>
      </c>
      <c r="AL210">
        <f t="shared" ref="AL210" si="423">AK210+($AN210-$AD210)/10</f>
        <v>0.29000000000000004</v>
      </c>
      <c r="AM210">
        <f t="shared" ref="AM210" si="424">AL210+($AN210-$AD210)/10</f>
        <v>0.29500000000000004</v>
      </c>
      <c r="AN210">
        <f>'Net zero activities &amp; levers'!$F$83/100</f>
        <v>0.3</v>
      </c>
    </row>
    <row r="212" spans="1:48" s="120" customFormat="1" ht="15.75" x14ac:dyDescent="0.25">
      <c r="A212" s="116" t="s">
        <v>1257</v>
      </c>
      <c r="B212" s="116"/>
      <c r="C212" s="116"/>
      <c r="D212" s="116"/>
      <c r="E212" s="116"/>
      <c r="F212" s="116"/>
      <c r="G212" s="116"/>
      <c r="H212" s="116"/>
      <c r="I212" s="116"/>
      <c r="J212" s="118"/>
      <c r="K212" s="118"/>
      <c r="L212" s="118"/>
      <c r="M212" s="118"/>
      <c r="N212" s="118"/>
      <c r="O212" s="118"/>
      <c r="P212" s="119"/>
      <c r="Q212" s="119"/>
      <c r="R212" s="119"/>
      <c r="S212" s="119"/>
      <c r="T212" s="119"/>
      <c r="U212" s="119"/>
      <c r="V212" s="119"/>
      <c r="W212" s="119"/>
      <c r="X212" s="119"/>
      <c r="Y212" s="119"/>
      <c r="Z212" s="119"/>
      <c r="AA212" s="119"/>
      <c r="AB212" s="119"/>
      <c r="AC212" s="119"/>
      <c r="AD212" s="119"/>
      <c r="AE212" s="119"/>
      <c r="AF212" s="119"/>
      <c r="AG212" s="119"/>
      <c r="AH212" s="119"/>
      <c r="AI212" s="119"/>
      <c r="AJ212" s="119"/>
      <c r="AK212" s="119"/>
      <c r="AL212" s="119"/>
      <c r="AM212" s="119"/>
      <c r="AN212" s="119"/>
      <c r="AO212" s="119"/>
      <c r="AP212" s="119"/>
      <c r="AQ212" s="119"/>
      <c r="AR212" s="119"/>
      <c r="AS212" s="119"/>
      <c r="AT212" s="119"/>
      <c r="AU212" s="119"/>
      <c r="AV212" s="119"/>
    </row>
    <row r="213" spans="1:48" x14ac:dyDescent="0.25">
      <c r="A213" t="s">
        <v>1262</v>
      </c>
      <c r="B213">
        <f>'Net zero activities &amp; levers'!$C89/100</f>
        <v>0</v>
      </c>
      <c r="C213">
        <f>B213</f>
        <v>0</v>
      </c>
      <c r="D213">
        <f t="shared" ref="D213:J213" si="425">C213</f>
        <v>0</v>
      </c>
      <c r="E213">
        <f t="shared" si="425"/>
        <v>0</v>
      </c>
      <c r="F213">
        <f t="shared" si="425"/>
        <v>0</v>
      </c>
      <c r="G213">
        <f t="shared" si="425"/>
        <v>0</v>
      </c>
      <c r="H213">
        <f t="shared" si="425"/>
        <v>0</v>
      </c>
      <c r="I213">
        <f t="shared" si="425"/>
        <v>0</v>
      </c>
      <c r="J213">
        <f t="shared" si="425"/>
        <v>0</v>
      </c>
      <c r="K213">
        <f t="shared" ref="K213" si="426">J213+($T213-$J213)/10</f>
        <v>5.0000000000000001E-4</v>
      </c>
      <c r="L213">
        <f t="shared" ref="L213" si="427">K213+($T213-$J213)/10</f>
        <v>1E-3</v>
      </c>
      <c r="M213">
        <f t="shared" ref="M213" si="428">L213+($T213-$J213)/10</f>
        <v>1.5E-3</v>
      </c>
      <c r="N213">
        <f t="shared" ref="N213" si="429">M213+($T213-$J213)/10</f>
        <v>2E-3</v>
      </c>
      <c r="O213">
        <f t="shared" ref="O213" si="430">N213+($T213-$J213)/10</f>
        <v>2.5000000000000001E-3</v>
      </c>
      <c r="P213">
        <f t="shared" ref="P213" si="431">O213+($T213-$J213)/10</f>
        <v>3.0000000000000001E-3</v>
      </c>
      <c r="Q213">
        <f t="shared" ref="Q213" si="432">P213+($T213-$J213)/10</f>
        <v>3.5000000000000001E-3</v>
      </c>
      <c r="R213">
        <f t="shared" ref="R213" si="433">Q213+($T213-$J213)/10</f>
        <v>4.0000000000000001E-3</v>
      </c>
      <c r="S213">
        <f t="shared" ref="S213" si="434">R213+($T213-$J213)/10</f>
        <v>4.5000000000000005E-3</v>
      </c>
      <c r="T213">
        <f>'Net zero activities &amp; levers'!$D89/100</f>
        <v>5.0000000000000001E-3</v>
      </c>
      <c r="U213">
        <f t="shared" ref="U213:U216" si="435">T213+($AD213-$T213)/10</f>
        <v>5.3E-3</v>
      </c>
      <c r="V213">
        <f t="shared" ref="V213:V216" si="436">U213+($AD213-$T213)/10</f>
        <v>5.5999999999999999E-3</v>
      </c>
      <c r="W213">
        <f t="shared" ref="W213:W216" si="437">V213+($AD213-$T213)/10</f>
        <v>5.8999999999999999E-3</v>
      </c>
      <c r="X213">
        <f t="shared" ref="X213:X216" si="438">W213+($AD213-$T213)/10</f>
        <v>6.1999999999999998E-3</v>
      </c>
      <c r="Y213">
        <f t="shared" ref="Y213:Y216" si="439">X213+($AD213-$T213)/10</f>
        <v>6.4999999999999997E-3</v>
      </c>
      <c r="Z213">
        <f t="shared" ref="Z213:Z216" si="440">Y213+($AD213-$T213)/10</f>
        <v>6.7999999999999996E-3</v>
      </c>
      <c r="AA213">
        <f t="shared" ref="AA213:AA216" si="441">Z213+($AD213-$T213)/10</f>
        <v>7.0999999999999995E-3</v>
      </c>
      <c r="AB213">
        <f t="shared" ref="AB213:AB216" si="442">AA213+($AD213-$T213)/10</f>
        <v>7.3999999999999995E-3</v>
      </c>
      <c r="AC213">
        <f t="shared" ref="AC213:AC216" si="443">AB213+($AD213-$T213)/10</f>
        <v>7.6999999999999994E-3</v>
      </c>
      <c r="AD213">
        <f>'Net zero activities &amp; levers'!$E89/100</f>
        <v>8.0000000000000002E-3</v>
      </c>
      <c r="AE213">
        <f t="shared" ref="AE213:AE216" si="444">AD213+($AN213-$AD213)/10</f>
        <v>8.2000000000000007E-3</v>
      </c>
      <c r="AF213">
        <f t="shared" ref="AF213:AF216" si="445">AE213+($AN213-$AD213)/10</f>
        <v>8.4000000000000012E-3</v>
      </c>
      <c r="AG213">
        <f t="shared" ref="AG213:AG216" si="446">AF213+($AN213-$AD213)/10</f>
        <v>8.6000000000000017E-3</v>
      </c>
      <c r="AH213">
        <f t="shared" ref="AH213:AH216" si="447">AG213+($AN213-$AD213)/10</f>
        <v>8.8000000000000023E-3</v>
      </c>
      <c r="AI213">
        <f t="shared" ref="AI213:AI216" si="448">AH213+($AN213-$AD213)/10</f>
        <v>9.0000000000000028E-3</v>
      </c>
      <c r="AJ213">
        <f t="shared" ref="AJ213:AJ216" si="449">AI213+($AN213-$AD213)/10</f>
        <v>9.2000000000000033E-3</v>
      </c>
      <c r="AK213">
        <f t="shared" ref="AK213:AK216" si="450">AJ213+($AN213-$AD213)/10</f>
        <v>9.4000000000000038E-3</v>
      </c>
      <c r="AL213">
        <f t="shared" ref="AL213:AL216" si="451">AK213+($AN213-$AD213)/10</f>
        <v>9.6000000000000044E-3</v>
      </c>
      <c r="AM213">
        <f t="shared" ref="AM213:AM216" si="452">AL213+($AN213-$AD213)/10</f>
        <v>9.8000000000000049E-3</v>
      </c>
      <c r="AN213">
        <f>'Net zero activities &amp; levers'!$F89/100</f>
        <v>0.01</v>
      </c>
    </row>
    <row r="214" spans="1:48" x14ac:dyDescent="0.25">
      <c r="A214" t="s">
        <v>1263</v>
      </c>
      <c r="B214">
        <f>'Net zero activities &amp; levers'!$C90/100</f>
        <v>0</v>
      </c>
      <c r="C214">
        <f t="shared" ref="C214:J216" si="453">B214</f>
        <v>0</v>
      </c>
      <c r="D214">
        <f t="shared" si="453"/>
        <v>0</v>
      </c>
      <c r="E214">
        <f t="shared" si="453"/>
        <v>0</v>
      </c>
      <c r="F214">
        <f t="shared" si="453"/>
        <v>0</v>
      </c>
      <c r="G214">
        <f t="shared" si="453"/>
        <v>0</v>
      </c>
      <c r="H214">
        <f t="shared" si="453"/>
        <v>0</v>
      </c>
      <c r="I214">
        <f t="shared" si="453"/>
        <v>0</v>
      </c>
      <c r="J214">
        <f t="shared" si="453"/>
        <v>0</v>
      </c>
      <c r="K214">
        <f t="shared" ref="K214:K216" si="454">J214+($T214-$J214)/10</f>
        <v>2.0000000000000001E-4</v>
      </c>
      <c r="L214">
        <f t="shared" ref="L214:L216" si="455">K214+($T214-$J214)/10</f>
        <v>4.0000000000000002E-4</v>
      </c>
      <c r="M214">
        <f t="shared" ref="M214:M216" si="456">L214+($T214-$J214)/10</f>
        <v>6.0000000000000006E-4</v>
      </c>
      <c r="N214">
        <f t="shared" ref="N214:N216" si="457">M214+($T214-$J214)/10</f>
        <v>8.0000000000000004E-4</v>
      </c>
      <c r="O214">
        <f t="shared" ref="O214:O216" si="458">N214+($T214-$J214)/10</f>
        <v>1E-3</v>
      </c>
      <c r="P214">
        <f t="shared" ref="P214:P216" si="459">O214+($T214-$J214)/10</f>
        <v>1.2000000000000001E-3</v>
      </c>
      <c r="Q214">
        <f t="shared" ref="Q214:Q216" si="460">P214+($T214-$J214)/10</f>
        <v>1.4000000000000002E-3</v>
      </c>
      <c r="R214">
        <f t="shared" ref="R214:R216" si="461">Q214+($T214-$J214)/10</f>
        <v>1.6000000000000003E-3</v>
      </c>
      <c r="S214">
        <f t="shared" ref="S214:S216" si="462">R214+($T214-$J214)/10</f>
        <v>1.8000000000000004E-3</v>
      </c>
      <c r="T214">
        <f>'Net zero activities &amp; levers'!$D90/100</f>
        <v>2E-3</v>
      </c>
      <c r="U214">
        <f t="shared" si="435"/>
        <v>2.0999999999999999E-3</v>
      </c>
      <c r="V214">
        <f t="shared" si="436"/>
        <v>2.1999999999999997E-3</v>
      </c>
      <c r="W214">
        <f t="shared" si="437"/>
        <v>2.2999999999999995E-3</v>
      </c>
      <c r="X214">
        <f t="shared" si="438"/>
        <v>2.3999999999999994E-3</v>
      </c>
      <c r="Y214">
        <f t="shared" si="439"/>
        <v>2.4999999999999992E-3</v>
      </c>
      <c r="Z214">
        <f t="shared" si="440"/>
        <v>2.599999999999999E-3</v>
      </c>
      <c r="AA214">
        <f t="shared" si="441"/>
        <v>2.6999999999999988E-3</v>
      </c>
      <c r="AB214">
        <f t="shared" si="442"/>
        <v>2.7999999999999987E-3</v>
      </c>
      <c r="AC214">
        <f t="shared" si="443"/>
        <v>2.8999999999999985E-3</v>
      </c>
      <c r="AD214">
        <f>'Net zero activities &amp; levers'!$E90/100</f>
        <v>3.0000000000000001E-3</v>
      </c>
      <c r="AE214">
        <f t="shared" si="444"/>
        <v>3.0999999999999999E-3</v>
      </c>
      <c r="AF214">
        <f t="shared" si="445"/>
        <v>3.1999999999999997E-3</v>
      </c>
      <c r="AG214">
        <f t="shared" si="446"/>
        <v>3.2999999999999995E-3</v>
      </c>
      <c r="AH214">
        <f t="shared" si="447"/>
        <v>3.3999999999999994E-3</v>
      </c>
      <c r="AI214">
        <f t="shared" si="448"/>
        <v>3.4999999999999992E-3</v>
      </c>
      <c r="AJ214">
        <f t="shared" si="449"/>
        <v>3.599999999999999E-3</v>
      </c>
      <c r="AK214">
        <f t="shared" si="450"/>
        <v>3.6999999999999989E-3</v>
      </c>
      <c r="AL214">
        <f t="shared" si="451"/>
        <v>3.7999999999999987E-3</v>
      </c>
      <c r="AM214">
        <f t="shared" si="452"/>
        <v>3.8999999999999985E-3</v>
      </c>
      <c r="AN214">
        <f>'Net zero activities &amp; levers'!$F90/100</f>
        <v>4.0000000000000001E-3</v>
      </c>
    </row>
    <row r="215" spans="1:48" x14ac:dyDescent="0.25">
      <c r="A215" t="s">
        <v>1264</v>
      </c>
      <c r="B215">
        <f>'Net zero activities &amp; levers'!$C91/100</f>
        <v>0</v>
      </c>
      <c r="C215">
        <f t="shared" si="453"/>
        <v>0</v>
      </c>
      <c r="D215">
        <f t="shared" si="453"/>
        <v>0</v>
      </c>
      <c r="E215">
        <f t="shared" si="453"/>
        <v>0</v>
      </c>
      <c r="F215">
        <f t="shared" si="453"/>
        <v>0</v>
      </c>
      <c r="G215">
        <f t="shared" si="453"/>
        <v>0</v>
      </c>
      <c r="H215">
        <f t="shared" si="453"/>
        <v>0</v>
      </c>
      <c r="I215">
        <f t="shared" si="453"/>
        <v>0</v>
      </c>
      <c r="J215">
        <f t="shared" si="453"/>
        <v>0</v>
      </c>
      <c r="K215">
        <f t="shared" si="454"/>
        <v>2.0000000000000001E-4</v>
      </c>
      <c r="L215">
        <f t="shared" si="455"/>
        <v>4.0000000000000002E-4</v>
      </c>
      <c r="M215">
        <f t="shared" si="456"/>
        <v>6.0000000000000006E-4</v>
      </c>
      <c r="N215">
        <f t="shared" si="457"/>
        <v>8.0000000000000004E-4</v>
      </c>
      <c r="O215">
        <f t="shared" si="458"/>
        <v>1E-3</v>
      </c>
      <c r="P215">
        <f t="shared" si="459"/>
        <v>1.2000000000000001E-3</v>
      </c>
      <c r="Q215">
        <f t="shared" si="460"/>
        <v>1.4000000000000002E-3</v>
      </c>
      <c r="R215">
        <f t="shared" si="461"/>
        <v>1.6000000000000003E-3</v>
      </c>
      <c r="S215">
        <f t="shared" si="462"/>
        <v>1.8000000000000004E-3</v>
      </c>
      <c r="T215">
        <f>'Net zero activities &amp; levers'!$D91/100</f>
        <v>2E-3</v>
      </c>
      <c r="U215">
        <f t="shared" si="435"/>
        <v>2.0999999999999999E-3</v>
      </c>
      <c r="V215">
        <f t="shared" si="436"/>
        <v>2.1999999999999997E-3</v>
      </c>
      <c r="W215">
        <f t="shared" si="437"/>
        <v>2.2999999999999995E-3</v>
      </c>
      <c r="X215">
        <f t="shared" si="438"/>
        <v>2.3999999999999994E-3</v>
      </c>
      <c r="Y215">
        <f t="shared" si="439"/>
        <v>2.4999999999999992E-3</v>
      </c>
      <c r="Z215">
        <f t="shared" si="440"/>
        <v>2.599999999999999E-3</v>
      </c>
      <c r="AA215">
        <f t="shared" si="441"/>
        <v>2.6999999999999988E-3</v>
      </c>
      <c r="AB215">
        <f t="shared" si="442"/>
        <v>2.7999999999999987E-3</v>
      </c>
      <c r="AC215">
        <f t="shared" si="443"/>
        <v>2.8999999999999985E-3</v>
      </c>
      <c r="AD215">
        <f>'Net zero activities &amp; levers'!$E91/100</f>
        <v>3.0000000000000001E-3</v>
      </c>
      <c r="AE215">
        <f t="shared" si="444"/>
        <v>3.0999999999999999E-3</v>
      </c>
      <c r="AF215">
        <f t="shared" si="445"/>
        <v>3.1999999999999997E-3</v>
      </c>
      <c r="AG215">
        <f t="shared" si="446"/>
        <v>3.2999999999999995E-3</v>
      </c>
      <c r="AH215">
        <f t="shared" si="447"/>
        <v>3.3999999999999994E-3</v>
      </c>
      <c r="AI215">
        <f t="shared" si="448"/>
        <v>3.4999999999999992E-3</v>
      </c>
      <c r="AJ215">
        <f t="shared" si="449"/>
        <v>3.599999999999999E-3</v>
      </c>
      <c r="AK215">
        <f t="shared" si="450"/>
        <v>3.6999999999999989E-3</v>
      </c>
      <c r="AL215">
        <f t="shared" si="451"/>
        <v>3.7999999999999987E-3</v>
      </c>
      <c r="AM215">
        <f t="shared" si="452"/>
        <v>3.8999999999999985E-3</v>
      </c>
      <c r="AN215">
        <f>'Net zero activities &amp; levers'!$F91/100</f>
        <v>4.0000000000000001E-3</v>
      </c>
    </row>
    <row r="216" spans="1:48" x14ac:dyDescent="0.25">
      <c r="A216" t="s">
        <v>1265</v>
      </c>
      <c r="B216">
        <f>'Net zero activities &amp; levers'!$C92/100</f>
        <v>0</v>
      </c>
      <c r="C216">
        <f t="shared" si="453"/>
        <v>0</v>
      </c>
      <c r="D216">
        <f t="shared" si="453"/>
        <v>0</v>
      </c>
      <c r="E216">
        <f t="shared" si="453"/>
        <v>0</v>
      </c>
      <c r="F216">
        <f t="shared" si="453"/>
        <v>0</v>
      </c>
      <c r="G216">
        <f t="shared" si="453"/>
        <v>0</v>
      </c>
      <c r="H216">
        <f t="shared" si="453"/>
        <v>0</v>
      </c>
      <c r="I216">
        <f t="shared" si="453"/>
        <v>0</v>
      </c>
      <c r="J216">
        <f t="shared" si="453"/>
        <v>0</v>
      </c>
      <c r="K216">
        <f t="shared" si="454"/>
        <v>2.0000000000000001E-4</v>
      </c>
      <c r="L216">
        <f t="shared" si="455"/>
        <v>4.0000000000000002E-4</v>
      </c>
      <c r="M216">
        <f t="shared" si="456"/>
        <v>6.0000000000000006E-4</v>
      </c>
      <c r="N216">
        <f t="shared" si="457"/>
        <v>8.0000000000000004E-4</v>
      </c>
      <c r="O216">
        <f t="shared" si="458"/>
        <v>1E-3</v>
      </c>
      <c r="P216">
        <f t="shared" si="459"/>
        <v>1.2000000000000001E-3</v>
      </c>
      <c r="Q216">
        <f t="shared" si="460"/>
        <v>1.4000000000000002E-3</v>
      </c>
      <c r="R216">
        <f t="shared" si="461"/>
        <v>1.6000000000000003E-3</v>
      </c>
      <c r="S216">
        <f t="shared" si="462"/>
        <v>1.8000000000000004E-3</v>
      </c>
      <c r="T216">
        <f>'Net zero activities &amp; levers'!$D92/100</f>
        <v>2E-3</v>
      </c>
      <c r="U216">
        <f t="shared" si="435"/>
        <v>2.0999999999999999E-3</v>
      </c>
      <c r="V216">
        <f t="shared" si="436"/>
        <v>2.1999999999999997E-3</v>
      </c>
      <c r="W216">
        <f t="shared" si="437"/>
        <v>2.2999999999999995E-3</v>
      </c>
      <c r="X216">
        <f t="shared" si="438"/>
        <v>2.3999999999999994E-3</v>
      </c>
      <c r="Y216">
        <f t="shared" si="439"/>
        <v>2.4999999999999992E-3</v>
      </c>
      <c r="Z216">
        <f t="shared" si="440"/>
        <v>2.599999999999999E-3</v>
      </c>
      <c r="AA216">
        <f t="shared" si="441"/>
        <v>2.6999999999999988E-3</v>
      </c>
      <c r="AB216">
        <f t="shared" si="442"/>
        <v>2.7999999999999987E-3</v>
      </c>
      <c r="AC216">
        <f t="shared" si="443"/>
        <v>2.8999999999999985E-3</v>
      </c>
      <c r="AD216">
        <f>'Net zero activities &amp; levers'!$E92/100</f>
        <v>3.0000000000000001E-3</v>
      </c>
      <c r="AE216">
        <f t="shared" si="444"/>
        <v>3.0999999999999999E-3</v>
      </c>
      <c r="AF216">
        <f t="shared" si="445"/>
        <v>3.1999999999999997E-3</v>
      </c>
      <c r="AG216">
        <f t="shared" si="446"/>
        <v>3.2999999999999995E-3</v>
      </c>
      <c r="AH216">
        <f t="shared" si="447"/>
        <v>3.3999999999999994E-3</v>
      </c>
      <c r="AI216">
        <f t="shared" si="448"/>
        <v>3.4999999999999992E-3</v>
      </c>
      <c r="AJ216">
        <f t="shared" si="449"/>
        <v>3.599999999999999E-3</v>
      </c>
      <c r="AK216">
        <f t="shared" si="450"/>
        <v>3.6999999999999989E-3</v>
      </c>
      <c r="AL216">
        <f t="shared" si="451"/>
        <v>3.7999999999999987E-3</v>
      </c>
      <c r="AM216">
        <f t="shared" si="452"/>
        <v>3.8999999999999985E-3</v>
      </c>
      <c r="AN216">
        <f>'Net zero activities &amp; levers'!$F92/100</f>
        <v>4.0000000000000001E-3</v>
      </c>
    </row>
  </sheetData>
  <pageMargins left="0.7" right="0.7" top="0.75" bottom="0.75" header="0.3" footer="0.3"/>
  <legacyDrawing r:id="rId1"/>
  <extLst>
    <ext xmlns:x14="http://schemas.microsoft.com/office/spreadsheetml/2009/9/main" uri="{05C60535-1F16-4fd2-B633-F4F36F0B64E0}">
      <x14:sparklineGroups xmlns:xm="http://schemas.microsoft.com/office/excel/2006/main">
        <x14:sparklineGroup displayEmptyCellsAs="gap" xr2:uid="{F9DC3429-16BA-475A-AFA4-3553534313F2}">
          <x14:colorSeries rgb="FF376092"/>
          <x14:colorNegative rgb="FFD00000"/>
          <x14:colorAxis rgb="FF000000"/>
          <x14:colorMarkers rgb="FFD00000"/>
          <x14:colorFirst rgb="FFD00000"/>
          <x14:colorLast rgb="FFD00000"/>
          <x14:colorHigh rgb="FFD00000"/>
          <x14:colorLow rgb="FFD00000"/>
          <x14:sparklines>
            <x14:sparkline>
              <xm:f>'Net zero supporting data'!B38:AN38</xm:f>
              <xm:sqref>AO38</xm:sqref>
            </x14:sparkline>
            <x14:sparkline>
              <xm:f>'Net zero supporting data'!B39:AN39</xm:f>
              <xm:sqref>AO39</xm:sqref>
            </x14:sparkline>
            <x14:sparkline>
              <xm:f>'Net zero supporting data'!B40:AN40</xm:f>
              <xm:sqref>AO40</xm:sqref>
            </x14:sparkline>
            <x14:sparkline>
              <xm:f>'Net zero supporting data'!B41:AN41</xm:f>
              <xm:sqref>AO41</xm:sqref>
            </x14:sparkline>
          </x14:sparklines>
        </x14:sparklineGroup>
      </x14:sparklineGroup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64225-57D6-462D-ACB6-8F83B6760900}">
  <sheetPr>
    <tabColor rgb="FFFF00FF"/>
  </sheetPr>
  <dimension ref="A1:BC1562"/>
  <sheetViews>
    <sheetView workbookViewId="0">
      <pane xSplit="10" ySplit="3" topLeftCell="AW970" activePane="bottomRight" state="frozen"/>
      <selection pane="topRight" activeCell="H1" sqref="H1"/>
      <selection pane="bottomLeft" activeCell="A4" sqref="A4"/>
      <selection pane="bottomRight" activeCell="G984" sqref="G984"/>
    </sheetView>
  </sheetViews>
  <sheetFormatPr defaultRowHeight="15" x14ac:dyDescent="0.25"/>
  <cols>
    <col min="1" max="1" width="16.140625" customWidth="1"/>
    <col min="2" max="2" width="22.7109375" customWidth="1"/>
    <col min="4" max="4" width="15.42578125" customWidth="1"/>
    <col min="5" max="5" width="31" customWidth="1"/>
    <col min="6" max="6" width="27.7109375" customWidth="1"/>
    <col min="7" max="7" width="48.42578125" customWidth="1"/>
    <col min="8" max="8" width="33.28515625" customWidth="1"/>
    <col min="9" max="9" width="7.5703125" customWidth="1"/>
    <col min="10" max="10" width="14" customWidth="1"/>
    <col min="11" max="16" width="9.7109375" customWidth="1"/>
    <col min="17" max="17" width="9.5703125" customWidth="1"/>
    <col min="19" max="19" width="10" customWidth="1"/>
    <col min="32" max="33" width="9.42578125" customWidth="1"/>
    <col min="34" max="34" width="9.7109375" customWidth="1"/>
  </cols>
  <sheetData>
    <row r="1" spans="1:55" ht="18.75" x14ac:dyDescent="0.3">
      <c r="D1" s="1" t="s">
        <v>658</v>
      </c>
    </row>
    <row r="2" spans="1:55" x14ac:dyDescent="0.25">
      <c r="K2" s="85">
        <f>K668-K1467</f>
        <v>0</v>
      </c>
    </row>
    <row r="3" spans="1:55" s="19" customFormat="1" ht="15.75" x14ac:dyDescent="0.25">
      <c r="D3" s="17" t="s">
        <v>4</v>
      </c>
      <c r="E3" s="17" t="s">
        <v>313</v>
      </c>
      <c r="F3" s="17" t="s">
        <v>315</v>
      </c>
      <c r="G3" s="17" t="s">
        <v>149</v>
      </c>
      <c r="H3" s="17" t="s">
        <v>150</v>
      </c>
      <c r="I3" s="17" t="s">
        <v>5</v>
      </c>
      <c r="J3" s="17" t="s">
        <v>0</v>
      </c>
      <c r="K3" s="17">
        <v>2012</v>
      </c>
      <c r="L3" s="17">
        <v>2013</v>
      </c>
      <c r="M3" s="17">
        <v>2014</v>
      </c>
      <c r="N3" s="17">
        <v>2015</v>
      </c>
      <c r="O3" s="17">
        <v>2016</v>
      </c>
      <c r="P3" s="17">
        <v>2017</v>
      </c>
      <c r="Q3" s="17">
        <v>2018</v>
      </c>
      <c r="R3" s="17">
        <v>2019</v>
      </c>
      <c r="S3" s="17">
        <v>2020</v>
      </c>
      <c r="T3" s="17">
        <v>2021</v>
      </c>
      <c r="U3" s="17">
        <v>2022</v>
      </c>
      <c r="V3" s="17">
        <v>2023</v>
      </c>
      <c r="W3" s="17">
        <v>2024</v>
      </c>
      <c r="X3" s="17">
        <v>2025</v>
      </c>
      <c r="Y3" s="17">
        <v>2026</v>
      </c>
      <c r="Z3" s="17">
        <v>2027</v>
      </c>
      <c r="AA3" s="17">
        <v>2028</v>
      </c>
      <c r="AB3" s="17">
        <v>2029</v>
      </c>
      <c r="AC3" s="17">
        <v>2030</v>
      </c>
      <c r="AD3" s="17">
        <v>2031</v>
      </c>
      <c r="AE3" s="17">
        <v>2032</v>
      </c>
      <c r="AF3" s="17">
        <v>2033</v>
      </c>
      <c r="AG3" s="17">
        <v>2034</v>
      </c>
      <c r="AH3" s="17">
        <v>2035</v>
      </c>
      <c r="AI3" s="17">
        <v>2036</v>
      </c>
      <c r="AJ3" s="17">
        <v>2037</v>
      </c>
      <c r="AK3" s="17">
        <v>2038</v>
      </c>
      <c r="AL3" s="17">
        <v>2039</v>
      </c>
      <c r="AM3" s="17">
        <v>2040</v>
      </c>
      <c r="AN3" s="17">
        <v>2041</v>
      </c>
      <c r="AO3" s="17">
        <v>2042</v>
      </c>
      <c r="AP3" s="17">
        <v>2043</v>
      </c>
      <c r="AQ3" s="17">
        <v>2044</v>
      </c>
      <c r="AR3" s="17">
        <v>2045</v>
      </c>
      <c r="AS3" s="17">
        <v>2046</v>
      </c>
      <c r="AT3" s="17">
        <v>2047</v>
      </c>
      <c r="AU3" s="17">
        <v>2048</v>
      </c>
      <c r="AV3" s="17">
        <v>2049</v>
      </c>
      <c r="AW3" s="17">
        <v>2050</v>
      </c>
      <c r="AX3" s="17"/>
      <c r="AY3" s="17"/>
      <c r="AZ3" s="17"/>
      <c r="BA3" s="17"/>
      <c r="BB3" s="17"/>
      <c r="BC3" s="17"/>
    </row>
    <row r="4" spans="1:55" x14ac:dyDescent="0.25">
      <c r="A4" s="102" t="str">
        <f>B4&amp;" "&amp;C4</f>
        <v>FS Cattle</v>
      </c>
      <c r="B4" s="102" t="s">
        <v>1005</v>
      </c>
      <c r="C4" s="102" t="s">
        <v>1109</v>
      </c>
      <c r="D4" t="str">
        <f>'IPCC Categories'!A5</f>
        <v>3A Livestock</v>
      </c>
      <c r="E4" t="str">
        <f>'IPCC Categories'!B5</f>
        <v>3A1 Enteric fermentation (CH4)</v>
      </c>
      <c r="F4" t="str">
        <f>EF!C4</f>
        <v>3A1ai Dairy cattle</v>
      </c>
      <c r="G4" t="str">
        <f>EF!D4</f>
        <v>TMR</v>
      </c>
      <c r="H4" t="str">
        <f>'IPCC Categories'!F5&amp;" Emissions"</f>
        <v>Enteric fermentation Emissions</v>
      </c>
      <c r="I4" t="s">
        <v>121</v>
      </c>
      <c r="J4" t="s">
        <v>286</v>
      </c>
      <c r="K4" s="100">
        <f>IF('Net zero activities &amp; levers'!$C$5="Off",('Activity data'!AD5*EF!$H4)*kgtoGg,IF('Net zero activities &amp; levers'!$C$5="On",(((('Activity data'!AD5-'Net zero supporting data'!B15)*EF!$H4)+('Net zero supporting data'!B15*'Net zero supporting data'!B25))*kgtoGg)))</f>
        <v>72.376996171709351</v>
      </c>
      <c r="L4" s="100">
        <f>IF('Net zero activities &amp; levers'!$C$5="Off",('Activity data'!AE5*EF!$H4)*kgtoGg,IF('Net zero activities &amp; levers'!$C$5="On",(((('Activity data'!AE5-'Net zero supporting data'!C15)*EF!$H4)+('Net zero supporting data'!C15*'Net zero supporting data'!C25))*kgtoGg)))</f>
        <v>72.827193296605245</v>
      </c>
      <c r="M4" s="100">
        <f>IF('Net zero activities &amp; levers'!$C$5="Off",('Activity data'!AF5*EF!$H4)*kgtoGg,IF('Net zero activities &amp; levers'!$C$5="On",(((('Activity data'!AF5-'Net zero supporting data'!D15)*EF!$H4)+('Net zero supporting data'!D15*'Net zero supporting data'!D25))*kgtoGg)))</f>
        <v>73.136710021656683</v>
      </c>
      <c r="N4" s="100">
        <f>IF('Net zero activities &amp; levers'!$C$5="Off",('Activity data'!AG5*EF!$H4)*kgtoGg,IF('Net zero activities &amp; levers'!$C$5="On",(((('Activity data'!AG5-'Net zero supporting data'!E15)*EF!$H4)+('Net zero supporting data'!E15*'Net zero supporting data'!E25))*kgtoGg)))</f>
        <v>73.233779022849987</v>
      </c>
      <c r="O4" s="100">
        <f>IF('Net zero activities &amp; levers'!$C$5="Off",('Activity data'!AH5*EF!$H4)*kgtoGg,IF('Net zero activities &amp; levers'!$C$5="On",(((('Activity data'!AH5-'Net zero supporting data'!F15)*EF!$H4)+('Net zero supporting data'!F15*'Net zero supporting data'!F25))*kgtoGg)))</f>
        <v>73.365098896994937</v>
      </c>
      <c r="P4" s="100">
        <f>IF('Net zero activities &amp; levers'!$C$5="Off",('Activity data'!AI5*EF!$H4)*kgtoGg,IF('Net zero activities &amp; levers'!$C$5="On",(((('Activity data'!AI5-'Net zero supporting data'!G15)*EF!$H4)+('Net zero supporting data'!G15*'Net zero supporting data'!G25))*kgtoGg)))</f>
        <v>73.652739312599607</v>
      </c>
      <c r="Q4" s="100">
        <f>IF('Net zero activities &amp; levers'!$C$5="Off",('Activity data'!AJ5*EF!$H4)*kgtoGg,IF('Net zero activities &amp; levers'!$C$5="On",(((('Activity data'!AJ5-'Net zero supporting data'!H15)*EF!$H4)+('Net zero supporting data'!H15*'Net zero supporting data'!H25))*kgtoGg)))</f>
        <v>73.997590994756678</v>
      </c>
      <c r="R4" s="100">
        <f>IF('Net zero activities &amp; levers'!$C$5="Off",('Activity data'!AK5*EF!$H4)*kgtoGg,IF('Net zero activities &amp; levers'!$C$5="On",(((('Activity data'!AK5-'Net zero supporting data'!I15)*EF!$H4)+('Net zero supporting data'!I15*'Net zero supporting data'!I25))*kgtoGg)))</f>
        <v>74.101188037293639</v>
      </c>
      <c r="S4" s="100">
        <f>IF('Net zero activities &amp; levers'!$C$5="Off",('Activity data'!AL5*EF!$H4)*kgtoGg,IF('Net zero activities &amp; levers'!$C$5="On",(((('Activity data'!AL5-'Net zero supporting data'!J15)*EF!$H4)+('Net zero supporting data'!J15*'Net zero supporting data'!J25))*kgtoGg)))</f>
        <v>71.826298208807202</v>
      </c>
      <c r="T4" s="100">
        <f>IF('Net zero activities &amp; levers'!$C$5="Off",('Activity data'!AM5*EF!$H4)*kgtoGg,IF('Net zero activities &amp; levers'!$C$5="On",(((('Activity data'!AM5-'Net zero supporting data'!K15)*EF!$H4)+('Net zero supporting data'!K15*'Net zero supporting data'!K25))*kgtoGg)))</f>
        <v>72.394918890682391</v>
      </c>
      <c r="U4" s="100">
        <f>IF('Net zero activities &amp; levers'!$C$5="Off",('Activity data'!AN5*EF!$H4)*kgtoGg,IF('Net zero activities &amp; levers'!$C$5="On",(((('Activity data'!AN5-'Net zero supporting data'!L15)*EF!$H4)+('Net zero supporting data'!L15*'Net zero supporting data'!L25))*kgtoGg)))</f>
        <v>72.868500825618739</v>
      </c>
      <c r="V4" s="100">
        <f>IF('Net zero activities &amp; levers'!$C$5="Off",('Activity data'!AO5*EF!$H4)*kgtoGg,IF('Net zero activities &amp; levers'!$C$5="On",(((('Activity data'!AO5-'Net zero supporting data'!M15)*EF!$H4)+('Net zero supporting data'!M15*'Net zero supporting data'!M25))*kgtoGg)))</f>
        <v>73.309981143278421</v>
      </c>
      <c r="W4" s="100">
        <f>IF('Net zero activities &amp; levers'!$C$5="Off",('Activity data'!AP5*EF!$H4)*kgtoGg,IF('Net zero activities &amp; levers'!$C$5="On",(((('Activity data'!AP5-'Net zero supporting data'!N15)*EF!$H4)+('Net zero supporting data'!N15*'Net zero supporting data'!N25))*kgtoGg)))</f>
        <v>73.819003181806835</v>
      </c>
      <c r="X4" s="100">
        <f>IF('Net zero activities &amp; levers'!$C$5="Off",('Activity data'!AQ5*EF!$H4)*kgtoGg,IF('Net zero activities &amp; levers'!$C$5="On",(((('Activity data'!AQ5-'Net zero supporting data'!O15)*EF!$H4)+('Net zero supporting data'!O15*'Net zero supporting data'!O25))*kgtoGg)))</f>
        <v>74.294317834755915</v>
      </c>
      <c r="Y4" s="100">
        <f>IF('Net zero activities &amp; levers'!$C$5="Off",('Activity data'!AR5*EF!$H4)*kgtoGg,IF('Net zero activities &amp; levers'!$C$5="On",(((('Activity data'!AR5-'Net zero supporting data'!P15)*EF!$H4)+('Net zero supporting data'!P15*'Net zero supporting data'!P25))*kgtoGg)))</f>
        <v>74.70561903899744</v>
      </c>
      <c r="Z4" s="100">
        <f>IF('Net zero activities &amp; levers'!$C$5="Off",('Activity data'!AS5*EF!$H4)*kgtoGg,IF('Net zero activities &amp; levers'!$C$5="On",(((('Activity data'!AS5-'Net zero supporting data'!Q15)*EF!$H4)+('Net zero supporting data'!Q15*'Net zero supporting data'!Q25))*kgtoGg)))</f>
        <v>75.05770504154458</v>
      </c>
      <c r="AA4" s="100">
        <f>IF('Net zero activities &amp; levers'!$C$5="Off",('Activity data'!AT5*EF!$H4)*kgtoGg,IF('Net zero activities &amp; levers'!$C$5="On",(((('Activity data'!AT5-'Net zero supporting data'!R15)*EF!$H4)+('Net zero supporting data'!R15*'Net zero supporting data'!R25))*kgtoGg)))</f>
        <v>75.413146728822227</v>
      </c>
      <c r="AB4" s="100">
        <f>IF('Net zero activities &amp; levers'!$C$5="Off",('Activity data'!AU5*EF!$H4)*kgtoGg,IF('Net zero activities &amp; levers'!$C$5="On",(((('Activity data'!AU5-'Net zero supporting data'!S15)*EF!$H4)+('Net zero supporting data'!S15*'Net zero supporting data'!S25))*kgtoGg)))</f>
        <v>75.686032448912698</v>
      </c>
      <c r="AC4" s="100">
        <f>IF('Net zero activities &amp; levers'!$C$5="Off",('Activity data'!AV5*EF!$H4)*kgtoGg,IF('Net zero activities &amp; levers'!$C$5="On",(((('Activity data'!AV5-'Net zero supporting data'!T15)*EF!$H4)+('Net zero supporting data'!T15*'Net zero supporting data'!T25))*kgtoGg)))</f>
        <v>75.936312563906085</v>
      </c>
      <c r="AD4" s="100">
        <f>IF('Net zero activities &amp; levers'!$C$5="Off",('Activity data'!AW5*EF!$H4)*kgtoGg,IF('Net zero activities &amp; levers'!$C$5="On",(((('Activity data'!AW5-'Net zero supporting data'!U15)*EF!$H4)+('Net zero supporting data'!U15*'Net zero supporting data'!U25))*kgtoGg)))</f>
        <v>76.649494896449994</v>
      </c>
      <c r="AE4" s="100">
        <f>IF('Net zero activities &amp; levers'!$C$5="Off",('Activity data'!AX5*EF!$H4)*kgtoGg,IF('Net zero activities &amp; levers'!$C$5="On",(((('Activity data'!AX5-'Net zero supporting data'!V15)*EF!$H4)+('Net zero supporting data'!V15*'Net zero supporting data'!V25))*kgtoGg)))</f>
        <v>77.430070679543846</v>
      </c>
      <c r="AF4" s="100">
        <f>IF('Net zero activities &amp; levers'!$C$5="Off",('Activity data'!AY5*EF!$H4)*kgtoGg,IF('Net zero activities &amp; levers'!$C$5="On",(((('Activity data'!AY5-'Net zero supporting data'!W15)*EF!$H4)+('Net zero supporting data'!W15*'Net zero supporting data'!W25))*kgtoGg)))</f>
        <v>78.242767907555731</v>
      </c>
      <c r="AG4" s="100">
        <f>IF('Net zero activities &amp; levers'!$C$5="Off",('Activity data'!AZ5*EF!$H4)*kgtoGg,IF('Net zero activities &amp; levers'!$C$5="On",(((('Activity data'!AZ5-'Net zero supporting data'!X15)*EF!$H4)+('Net zero supporting data'!X15*'Net zero supporting data'!X25))*kgtoGg)))</f>
        <v>78.308912314748781</v>
      </c>
      <c r="AH4" s="100">
        <f>IF('Net zero activities &amp; levers'!$C$5="Off",('Activity data'!BA5*EF!$H4)*kgtoGg,IF('Net zero activities &amp; levers'!$C$5="On",(((('Activity data'!BA5-'Net zero supporting data'!Y15)*EF!$H4)+('Net zero supporting data'!Y15*'Net zero supporting data'!Y25))*kgtoGg)))</f>
        <v>41.896491642760395</v>
      </c>
      <c r="AI4" s="100">
        <f>IF('Net zero activities &amp; levers'!$C$5="Off",('Activity data'!BB5*EF!$H4)*kgtoGg,IF('Net zero activities &amp; levers'!$C$5="On",(((('Activity data'!BB5-'Net zero supporting data'!Z15)*EF!$H4)+('Net zero supporting data'!Z15*'Net zero supporting data'!Z25))*kgtoGg)))</f>
        <v>41.898052732069907</v>
      </c>
      <c r="AJ4" s="100">
        <f>IF('Net zero activities &amp; levers'!$C$5="Off",('Activity data'!BC5*EF!$H4)*kgtoGg,IF('Net zero activities &amp; levers'!$C$5="On",(((('Activity data'!BC5-'Net zero supporting data'!AA15)*EF!$H4)+('Net zero supporting data'!AA15*'Net zero supporting data'!AA25))*kgtoGg)))</f>
        <v>41.903717174365518</v>
      </c>
      <c r="AK4" s="100">
        <f>IF('Net zero activities &amp; levers'!$C$5="Off",('Activity data'!BD5*EF!$H4)*kgtoGg,IF('Net zero activities &amp; levers'!$C$5="On",(((('Activity data'!BD5-'Net zero supporting data'!AB15)*EF!$H4)+('Net zero supporting data'!AB15*'Net zero supporting data'!AB25))*kgtoGg)))</f>
        <v>41.913323249239731</v>
      </c>
      <c r="AL4" s="100">
        <f>IF('Net zero activities &amp; levers'!$C$5="Off",('Activity data'!BE5*EF!$H4)*kgtoGg,IF('Net zero activities &amp; levers'!$C$5="On",(((('Activity data'!BE5-'Net zero supporting data'!AC15)*EF!$H4)+('Net zero supporting data'!AC15*'Net zero supporting data'!AC25))*kgtoGg)))</f>
        <v>41.926721538025291</v>
      </c>
      <c r="AM4" s="100">
        <f>IF('Net zero activities &amp; levers'!$C$5="Off",('Activity data'!BF5*EF!$H4)*kgtoGg,IF('Net zero activities &amp; levers'!$C$5="On",(((('Activity data'!BF5-'Net zero supporting data'!AD15)*EF!$H4)+('Net zero supporting data'!AD15*'Net zero supporting data'!AD25))*kgtoGg)))</f>
        <v>41.943773759980267</v>
      </c>
      <c r="AN4" s="100">
        <f>IF('Net zero activities &amp; levers'!$C$5="Off",('Activity data'!BG5*EF!$H4)*kgtoGg,IF('Net zero activities &amp; levers'!$C$5="On",(((('Activity data'!BG5-'Net zero supporting data'!AE15)*EF!$H4)+('Net zero supporting data'!AE15*'Net zero supporting data'!AE25))*kgtoGg)))</f>
        <v>41.966177361603528</v>
      </c>
      <c r="AO4" s="100">
        <f>IF('Net zero activities &amp; levers'!$C$5="Off",('Activity data'!BH5*EF!$H4)*kgtoGg,IF('Net zero activities &amp; levers'!$C$5="On",(((('Activity data'!BH5-'Net zero supporting data'!AF15)*EF!$H4)+('Net zero supporting data'!AF15*'Net zero supporting data'!AF25))*kgtoGg)))</f>
        <v>41.991761324088195</v>
      </c>
      <c r="AP4" s="100">
        <f>IF('Net zero activities &amp; levers'!$C$5="Off",('Activity data'!BI5*EF!$H4)*kgtoGg,IF('Net zero activities &amp; levers'!$C$5="On",(((('Activity data'!BI5-'Net zero supporting data'!AG15)*EF!$H4)+('Net zero supporting data'!AG15*'Net zero supporting data'!AG25))*kgtoGg)))</f>
        <v>42.020415239795241</v>
      </c>
      <c r="AQ4" s="100">
        <f>IF('Net zero activities &amp; levers'!$C$5="Off",('Activity data'!BJ5*EF!$H4)*kgtoGg,IF('Net zero activities &amp; levers'!$C$5="On",(((('Activity data'!BJ5-'Net zero supporting data'!AH15)*EF!$H4)+('Net zero supporting data'!AH15*'Net zero supporting data'!AH25))*kgtoGg)))</f>
        <v>42.052036248277226</v>
      </c>
      <c r="AR4" s="100">
        <f>IF('Net zero activities &amp; levers'!$C$5="Off",('Activity data'!BK5*EF!$H4)*kgtoGg,IF('Net zero activities &amp; levers'!$C$5="On",(((('Activity data'!BK5-'Net zero supporting data'!AI15)*EF!$H4)+('Net zero supporting data'!AI15*'Net zero supporting data'!AI25))*kgtoGg)))</f>
        <v>42.086528395810667</v>
      </c>
      <c r="AS4" s="100">
        <f>IF('Net zero activities &amp; levers'!$C$5="Off",('Activity data'!BL5*EF!$H4)*kgtoGg,IF('Net zero activities &amp; levers'!$C$5="On",(((('Activity data'!BL5-'Net zero supporting data'!AJ15)*EF!$H4)+('Net zero supporting data'!AJ15*'Net zero supporting data'!AJ25))*kgtoGg)))</f>
        <v>42.093805929648028</v>
      </c>
      <c r="AT4" s="100">
        <f>IF('Net zero activities &amp; levers'!$C$5="Off",('Activity data'!BM5*EF!$H4)*kgtoGg,IF('Net zero activities &amp; levers'!$C$5="On",(((('Activity data'!BM5-'Net zero supporting data'!AK15)*EF!$H4)+('Net zero supporting data'!AK15*'Net zero supporting data'!AK25))*kgtoGg)))</f>
        <v>42.103626494780173</v>
      </c>
      <c r="AU4" s="100">
        <f>IF('Net zero activities &amp; levers'!$C$5="Off",('Activity data'!BN5*EF!$H4)*kgtoGg,IF('Net zero activities &amp; levers'!$C$5="On",(((('Activity data'!BN5-'Net zero supporting data'!AL15)*EF!$H4)+('Net zero supporting data'!AL15*'Net zero supporting data'!AL25))*kgtoGg)))</f>
        <v>42.115906290582096</v>
      </c>
      <c r="AV4" s="100">
        <f>IF('Net zero activities &amp; levers'!$C$5="Off",('Activity data'!BO5*EF!$H4)*kgtoGg,IF('Net zero activities &amp; levers'!$C$5="On",(((('Activity data'!BO5-'Net zero supporting data'!AM15)*EF!$H4)+('Net zero supporting data'!AM15*'Net zero supporting data'!AM25))*kgtoGg)))</f>
        <v>42.130566629746376</v>
      </c>
      <c r="AW4" s="100">
        <f>IF('Net zero activities &amp; levers'!$C$5="Off",('Activity data'!BP5*EF!$H4)*kgtoGg,IF('Net zero activities &amp; levers'!$C$5="On",(((('Activity data'!BP5-'Net zero supporting data'!AN15)*EF!$H4)+('Net zero supporting data'!AN15*'Net zero supporting data'!AN25))*kgtoGg)))</f>
        <v>42.147533545446109</v>
      </c>
      <c r="AY4" s="85"/>
    </row>
    <row r="5" spans="1:55" x14ac:dyDescent="0.25">
      <c r="A5" s="102" t="str">
        <f t="shared" ref="A5:A471" si="0">B5&amp;" "&amp;C5</f>
        <v>FS Cattle</v>
      </c>
      <c r="B5" s="102" t="s">
        <v>1005</v>
      </c>
      <c r="C5" s="102" t="s">
        <v>1109</v>
      </c>
      <c r="D5" t="str">
        <f>D4</f>
        <v>3A Livestock</v>
      </c>
      <c r="E5" t="str">
        <f>E4</f>
        <v>3A1 Enteric fermentation (CH4)</v>
      </c>
      <c r="F5" t="str">
        <f>EF!C5</f>
        <v>3A1ai Dairy cattle</v>
      </c>
      <c r="G5" t="str">
        <f>EF!D5</f>
        <v>Pasture</v>
      </c>
      <c r="H5" t="str">
        <f t="shared" ref="H5:J6" si="1">H4</f>
        <v>Enteric fermentation Emissions</v>
      </c>
      <c r="I5" t="str">
        <f t="shared" si="1"/>
        <v>CH4</v>
      </c>
      <c r="J5" t="str">
        <f t="shared" si="1"/>
        <v>Gg CH4</v>
      </c>
      <c r="K5" s="100">
        <f>IF('Net zero activities &amp; levers'!$C$5="Off",('Activity data'!AD6*EF!$H5)*kgtoGg,IF('Net zero activities &amp; levers'!$C$5="On",(((('Activity data'!AD6-'Net zero supporting data'!B16)*EF!$H5)+('Net zero supporting data'!B16*'Net zero supporting data'!B26))*kgtoGg)))</f>
        <v>57.888319714675518</v>
      </c>
      <c r="L5" s="100">
        <f>IF('Net zero activities &amp; levers'!$C$5="Off",('Activity data'!AE6*EF!$H5)*kgtoGg,IF('Net zero activities &amp; levers'!$C$5="On",(((('Activity data'!AE6-'Net zero supporting data'!C16)*EF!$H5)+('Net zero supporting data'!C16*'Net zero supporting data'!C26))*kgtoGg)))</f>
        <v>58.248394828027457</v>
      </c>
      <c r="M5" s="100">
        <f>IF('Net zero activities &amp; levers'!$C$5="Off",('Activity data'!AF6*EF!$H5)*kgtoGg,IF('Net zero activities &amp; levers'!$C$5="On",(((('Activity data'!AF6-'Net zero supporting data'!D16)*EF!$H5)+('Net zero supporting data'!D16*'Net zero supporting data'!D26))*kgtoGg)))</f>
        <v>58.495951428667674</v>
      </c>
      <c r="N5" s="100">
        <f>IF('Net zero activities &amp; levers'!$C$5="Off",('Activity data'!AG6*EF!$H5)*kgtoGg,IF('Net zero activities &amp; levers'!$C$5="On",(((('Activity data'!AG6-'Net zero supporting data'!E16)*EF!$H5)+('Net zero supporting data'!E16*'Net zero supporting data'!E26))*kgtoGg)))</f>
        <v>58.573588822766354</v>
      </c>
      <c r="O5" s="100">
        <f>IF('Net zero activities &amp; levers'!$C$5="Off",('Activity data'!AH6*EF!$H5)*kgtoGg,IF('Net zero activities &amp; levers'!$C$5="On",(((('Activity data'!AH6-'Net zero supporting data'!F16)*EF!$H5)+('Net zero supporting data'!F16*'Net zero supporting data'!F26))*kgtoGg)))</f>
        <v>58.678620632063321</v>
      </c>
      <c r="P5" s="100">
        <f>IF('Net zero activities &amp; levers'!$C$5="Off",('Activity data'!AI6*EF!$H5)*kgtoGg,IF('Net zero activities &amp; levers'!$C$5="On",(((('Activity data'!AI6-'Net zero supporting data'!G16)*EF!$H5)+('Net zero supporting data'!G16*'Net zero supporting data'!G26))*kgtoGg)))</f>
        <v>58.908680198253116</v>
      </c>
      <c r="Q5" s="100">
        <f>IF('Net zero activities &amp; levers'!$C$5="Off",('Activity data'!AJ6*EF!$H5)*kgtoGg,IF('Net zero activities &amp; levers'!$C$5="On",(((('Activity data'!AJ6-'Net zero supporting data'!H16)*EF!$H5)+('Net zero supporting data'!H16*'Net zero supporting data'!H26))*kgtoGg)))</f>
        <v>59.184498282544595</v>
      </c>
      <c r="R5" s="100">
        <f>IF('Net zero activities &amp; levers'!$C$5="Off",('Activity data'!AK6*EF!$H5)*kgtoGg,IF('Net zero activities &amp; levers'!$C$5="On",(((('Activity data'!AK6-'Net zero supporting data'!I16)*EF!$H5)+('Net zero supporting data'!I16*'Net zero supporting data'!I26))*kgtoGg)))</f>
        <v>59.267356912179451</v>
      </c>
      <c r="S5" s="100">
        <f>IF('Net zero activities &amp; levers'!$C$5="Off",('Activity data'!AL6*EF!$H5)*kgtoGg,IF('Net zero activities &amp; levers'!$C$5="On",(((('Activity data'!AL6-'Net zero supporting data'!J16)*EF!$H5)+('Net zero supporting data'!J16*'Net zero supporting data'!J26))*kgtoGg)))</f>
        <v>57.447862367329009</v>
      </c>
      <c r="T5" s="100">
        <f>IF('Net zero activities &amp; levers'!$C$5="Off",('Activity data'!AM6*EF!$H5)*kgtoGg,IF('Net zero activities &amp; levers'!$C$5="On",(((('Activity data'!AM6-'Net zero supporting data'!K16)*EF!$H5)+('Net zero supporting data'!K16*'Net zero supporting data'!K26))*kgtoGg)))</f>
        <v>57.902654602014685</v>
      </c>
      <c r="U5" s="100">
        <f>IF('Net zero activities &amp; levers'!$C$5="Off",('Activity data'!AN6*EF!$H5)*kgtoGg,IF('Net zero activities &amp; levers'!$C$5="On",(((('Activity data'!AN6-'Net zero supporting data'!L16)*EF!$H5)+('Net zero supporting data'!L16*'Net zero supporting data'!L26))*kgtoGg)))</f>
        <v>58.281433273564545</v>
      </c>
      <c r="V5" s="100">
        <f>IF('Net zero activities &amp; levers'!$C$5="Off",('Activity data'!AO6*EF!$H5)*kgtoGg,IF('Net zero activities &amp; levers'!$C$5="On",(((('Activity data'!AO6-'Net zero supporting data'!M16)*EF!$H5)+('Net zero supporting data'!M16*'Net zero supporting data'!M26))*kgtoGg)))</f>
        <v>58.634536540185188</v>
      </c>
      <c r="W5" s="100">
        <f>IF('Net zero activities &amp; levers'!$C$5="Off",('Activity data'!AP6*EF!$H5)*kgtoGg,IF('Net zero activities &amp; levers'!$C$5="On",(((('Activity data'!AP6-'Net zero supporting data'!N16)*EF!$H5)+('Net zero supporting data'!N16*'Net zero supporting data'!N26))*kgtoGg)))</f>
        <v>59.04166079328683</v>
      </c>
      <c r="X5" s="100">
        <f>IF('Net zero activities &amp; levers'!$C$5="Off",('Activity data'!AQ6*EF!$H5)*kgtoGg,IF('Net zero activities &amp; levers'!$C$5="On",(((('Activity data'!AQ6-'Net zero supporting data'!O16)*EF!$H5)+('Net zero supporting data'!O16*'Net zero supporting data'!O26))*kgtoGg)))</f>
        <v>59.421825321387857</v>
      </c>
      <c r="Y5" s="100">
        <f>IF('Net zero activities &amp; levers'!$C$5="Off",('Activity data'!AR6*EF!$H5)*kgtoGg,IF('Net zero activities &amp; levers'!$C$5="On",(((('Activity data'!AR6-'Net zero supporting data'!P16)*EF!$H5)+('Net zero supporting data'!P16*'Net zero supporting data'!P26))*kgtoGg)))</f>
        <v>59.750790833491678</v>
      </c>
      <c r="Z5" s="100">
        <f>IF('Net zero activities &amp; levers'!$C$5="Off",('Activity data'!AS6*EF!$H5)*kgtoGg,IF('Net zero activities &amp; levers'!$C$5="On",(((('Activity data'!AS6-'Net zero supporting data'!Q16)*EF!$H5)+('Net zero supporting data'!Q16*'Net zero supporting data'!Q26))*kgtoGg)))</f>
        <v>60.032395046992875</v>
      </c>
      <c r="AA5" s="100">
        <f>IF('Net zero activities &amp; levers'!$C$5="Off",('Activity data'!AT6*EF!$H5)*kgtoGg,IF('Net zero activities &amp; levers'!$C$5="On",(((('Activity data'!AT6-'Net zero supporting data'!R16)*EF!$H5)+('Net zero supporting data'!R16*'Net zero supporting data'!R26))*kgtoGg)))</f>
        <v>60.316683192693709</v>
      </c>
      <c r="AB5" s="100">
        <f>IF('Net zero activities &amp; levers'!$C$5="Off",('Activity data'!AU6*EF!$H5)*kgtoGg,IF('Net zero activities &amp; levers'!$C$5="On",(((('Activity data'!AU6-'Net zero supporting data'!S16)*EF!$H5)+('Net zero supporting data'!S16*'Net zero supporting data'!S26))*kgtoGg)))</f>
        <v>60.534941709152299</v>
      </c>
      <c r="AC5" s="100">
        <f>IF('Net zero activities &amp; levers'!$C$5="Off",('Activity data'!AV6*EF!$H5)*kgtoGg,IF('Net zero activities &amp; levers'!$C$5="On",(((('Activity data'!AV6-'Net zero supporting data'!T16)*EF!$H5)+('Net zero supporting data'!T16*'Net zero supporting data'!T26))*kgtoGg)))</f>
        <v>60.735119888426148</v>
      </c>
      <c r="AD5" s="100">
        <f>IF('Net zero activities &amp; levers'!$C$5="Off",('Activity data'!AW6*EF!$H5)*kgtoGg,IF('Net zero activities &amp; levers'!$C$5="On",(((('Activity data'!AW6-'Net zero supporting data'!U16)*EF!$H5)+('Net zero supporting data'!U16*'Net zero supporting data'!U26))*kgtoGg)))</f>
        <v>61.305534924485592</v>
      </c>
      <c r="AE5" s="100">
        <f>IF('Net zero activities &amp; levers'!$C$5="Off",('Activity data'!AX6*EF!$H5)*kgtoGg,IF('Net zero activities &amp; levers'!$C$5="On",(((('Activity data'!AX6-'Net zero supporting data'!V16)*EF!$H5)+('Net zero supporting data'!V16*'Net zero supporting data'!V26))*kgtoGg)))</f>
        <v>61.929852357970525</v>
      </c>
      <c r="AF5" s="100">
        <f>IF('Net zero activities &amp; levers'!$C$5="Off",('Activity data'!AY6*EF!$H5)*kgtoGg,IF('Net zero activities &amp; levers'!$C$5="On",(((('Activity data'!AY6-'Net zero supporting data'!W16)*EF!$H5)+('Net zero supporting data'!W16*'Net zero supporting data'!W26))*kgtoGg)))</f>
        <v>62.579861054860487</v>
      </c>
      <c r="AG5" s="100">
        <f>IF('Net zero activities &amp; levers'!$C$5="Off",('Activity data'!AZ6*EF!$H5)*kgtoGg,IF('Net zero activities &amp; levers'!$C$5="On",(((('Activity data'!AZ6-'Net zero supporting data'!X16)*EF!$H5)+('Net zero supporting data'!X16*'Net zero supporting data'!X26))*kgtoGg)))</f>
        <v>62.632764446731628</v>
      </c>
      <c r="AH5" s="100">
        <f>IF('Net zero activities &amp; levers'!$C$5="Off",('Activity data'!BA6*EF!$H5)*kgtoGg,IF('Net zero activities &amp; levers'!$C$5="On",(((('Activity data'!BA6-'Net zero supporting data'!Y16)*EF!$H5)+('Net zero supporting data'!Y16*'Net zero supporting data'!Y26))*kgtoGg)))</f>
        <v>33.509507598041907</v>
      </c>
      <c r="AI5" s="100">
        <f>IF('Net zero activities &amp; levers'!$C$5="Off",('Activity data'!BB6*EF!$H5)*kgtoGg,IF('Net zero activities &amp; levers'!$C$5="On",(((('Activity data'!BB6-'Net zero supporting data'!Z16)*EF!$H5)+('Net zero supporting data'!Z16*'Net zero supporting data'!Z26))*kgtoGg)))</f>
        <v>33.510756183114964</v>
      </c>
      <c r="AJ5" s="100">
        <f>IF('Net zero activities &amp; levers'!$C$5="Off",('Activity data'!BC6*EF!$H5)*kgtoGg,IF('Net zero activities &amp; levers'!$C$5="On",(((('Activity data'!BC6-'Net zero supporting data'!AA16)*EF!$H5)+('Net zero supporting data'!AA16*'Net zero supporting data'!AA26))*kgtoGg)))</f>
        <v>33.515286697835904</v>
      </c>
      <c r="AK5" s="100">
        <f>IF('Net zero activities &amp; levers'!$C$5="Off",('Activity data'!BD6*EF!$H5)*kgtoGg,IF('Net zero activities &amp; levers'!$C$5="On",(((('Activity data'!BD6-'Net zero supporting data'!AB16)*EF!$H5)+('Net zero supporting data'!AB16*'Net zero supporting data'!AB26))*kgtoGg)))</f>
        <v>33.522969795545606</v>
      </c>
      <c r="AL5" s="100">
        <f>IF('Net zero activities &amp; levers'!$C$5="Off",('Activity data'!BE6*EF!$H5)*kgtoGg,IF('Net zero activities &amp; levers'!$C$5="On",(((('Activity data'!BE6-'Net zero supporting data'!AC16)*EF!$H5)+('Net zero supporting data'!AC16*'Net zero supporting data'!AC26))*kgtoGg)))</f>
        <v>33.533685968720405</v>
      </c>
      <c r="AM5" s="100">
        <f>IF('Net zero activities &amp; levers'!$C$5="Off",('Activity data'!BF6*EF!$H5)*kgtoGg,IF('Net zero activities &amp; levers'!$C$5="On",(((('Activity data'!BF6-'Net zero supporting data'!AD16)*EF!$H5)+('Net zero supporting data'!AD16*'Net zero supporting data'!AD26))*kgtoGg)))</f>
        <v>33.547324618133729</v>
      </c>
      <c r="AN5" s="100">
        <f>IF('Net zero activities &amp; levers'!$C$5="Off",('Activity data'!BG6*EF!$H5)*kgtoGg,IF('Net zero activities &amp; levers'!$C$5="On",(((('Activity data'!BG6-'Net zero supporting data'!AE16)*EF!$H5)+('Net zero supporting data'!AE16*'Net zero supporting data'!AE26))*kgtoGg)))</f>
        <v>33.565243389596013</v>
      </c>
      <c r="AO5" s="100">
        <f>IF('Net zero activities &amp; levers'!$C$5="Off",('Activity data'!BH6*EF!$H5)*kgtoGg,IF('Net zero activities &amp; levers'!$C$5="On",(((('Activity data'!BH6-'Net zero supporting data'!AF16)*EF!$H5)+('Net zero supporting data'!AF16*'Net zero supporting data'!AF26))*kgtoGg)))</f>
        <v>33.585705866325043</v>
      </c>
      <c r="AP5" s="100">
        <f>IF('Net zero activities &amp; levers'!$C$5="Off",('Activity data'!BI6*EF!$H5)*kgtoGg,IF('Net zero activities &amp; levers'!$C$5="On",(((('Activity data'!BI6-'Net zero supporting data'!AG16)*EF!$H5)+('Net zero supporting data'!AG16*'Net zero supporting data'!AG26))*kgtoGg)))</f>
        <v>33.608623742463372</v>
      </c>
      <c r="AQ5" s="100">
        <f>IF('Net zero activities &amp; levers'!$C$5="Off",('Activity data'!BJ6*EF!$H5)*kgtoGg,IF('Net zero activities &amp; levers'!$C$5="On",(((('Activity data'!BJ6-'Net zero supporting data'!AH16)*EF!$H5)+('Net zero supporting data'!AH16*'Net zero supporting data'!AH26))*kgtoGg)))</f>
        <v>33.633914748522287</v>
      </c>
      <c r="AR5" s="100">
        <f>IF('Net zero activities &amp; levers'!$C$5="Off",('Activity data'!BK6*EF!$H5)*kgtoGg,IF('Net zero activities &amp; levers'!$C$5="On",(((('Activity data'!BK6-'Net zero supporting data'!AI16)*EF!$H5)+('Net zero supporting data'!AI16*'Net zero supporting data'!AI26))*kgtoGg)))</f>
        <v>33.661502139125304</v>
      </c>
      <c r="AS5" s="100">
        <f>IF('Net zero activities &amp; levers'!$C$5="Off",('Activity data'!BL6*EF!$H5)*kgtoGg,IF('Net zero activities &amp; levers'!$C$5="On",(((('Activity data'!BL6-'Net zero supporting data'!AJ16)*EF!$H5)+('Net zero supporting data'!AJ16*'Net zero supporting data'!AJ26))*kgtoGg)))</f>
        <v>33.667322831165521</v>
      </c>
      <c r="AT5" s="100">
        <f>IF('Net zero activities &amp; levers'!$C$5="Off",('Activity data'!BM6*EF!$H5)*kgtoGg,IF('Net zero activities &amp; levers'!$C$5="On",(((('Activity data'!BM6-'Net zero supporting data'!AK16)*EF!$H5)+('Net zero supporting data'!AK16*'Net zero supporting data'!AK26))*kgtoGg)))</f>
        <v>33.675177481734316</v>
      </c>
      <c r="AU5" s="100">
        <f>IF('Net zero activities &amp; levers'!$C$5="Off",('Activity data'!BN6*EF!$H5)*kgtoGg,IF('Net zero activities &amp; levers'!$C$5="On",(((('Activity data'!BN6-'Net zero supporting data'!AL16)*EF!$H5)+('Net zero supporting data'!AL16*'Net zero supporting data'!AL26))*kgtoGg)))</f>
        <v>33.684999065704538</v>
      </c>
      <c r="AV5" s="100">
        <f>IF('Net zero activities &amp; levers'!$C$5="Off",('Activity data'!BO6*EF!$H5)*kgtoGg,IF('Net zero activities &amp; levers'!$C$5="On",(((('Activity data'!BO6-'Net zero supporting data'!AM16)*EF!$H5)+('Net zero supporting data'!AM16*'Net zero supporting data'!AM26))*kgtoGg)))</f>
        <v>33.696724647665057</v>
      </c>
      <c r="AW5" s="100">
        <f>IF('Net zero activities &amp; levers'!$C$5="Off",('Activity data'!BP6*EF!$H5)*kgtoGg,IF('Net zero activities &amp; levers'!$C$5="On",(((('Activity data'!BP6-'Net zero supporting data'!AN16)*EF!$H5)+('Net zero supporting data'!AN16*'Net zero supporting data'!AN26))*kgtoGg)))</f>
        <v>33.71029506772323</v>
      </c>
      <c r="AY5" s="85"/>
    </row>
    <row r="6" spans="1:55" x14ac:dyDescent="0.25">
      <c r="A6" s="102" t="str">
        <f t="shared" si="0"/>
        <v>FS Cattle</v>
      </c>
      <c r="B6" s="102" t="s">
        <v>1005</v>
      </c>
      <c r="C6" s="102" t="s">
        <v>1109</v>
      </c>
      <c r="D6" t="str">
        <f t="shared" ref="D6:E8" si="2">D5</f>
        <v>3A Livestock</v>
      </c>
      <c r="E6" t="str">
        <f t="shared" si="2"/>
        <v>3A1 Enteric fermentation (CH4)</v>
      </c>
      <c r="F6" t="str">
        <f>EF!C6</f>
        <v>3A1aii Other cattle</v>
      </c>
      <c r="G6" t="str">
        <f>EF!D6</f>
        <v>Non-lactating</v>
      </c>
      <c r="H6" t="str">
        <f t="shared" si="1"/>
        <v>Enteric fermentation Emissions</v>
      </c>
      <c r="I6" t="str">
        <f t="shared" si="1"/>
        <v>CH4</v>
      </c>
      <c r="J6" t="str">
        <f t="shared" si="1"/>
        <v>Gg CH4</v>
      </c>
      <c r="K6" s="100">
        <f>IF('Net zero activities &amp; levers'!$C$5="Off",('Activity data'!AD7*EF!$H6)*kgtoGg,IF('Net zero activities &amp; levers'!$C$5="On",(((('Activity data'!AD7-'Net zero supporting data'!B17)*EF!$H6)+('Net zero supporting data'!B17*'Net zero supporting data'!B27))*kgtoGg)))</f>
        <v>26.173540124634229</v>
      </c>
      <c r="L6" s="100">
        <f>IF('Net zero activities &amp; levers'!$C$5="Off",('Activity data'!AE7*EF!$H6)*kgtoGg,IF('Net zero activities &amp; levers'!$C$5="On",(((('Activity data'!AE7-'Net zero supporting data'!C17)*EF!$H6)+('Net zero supporting data'!C17*'Net zero supporting data'!C27))*kgtoGg)))</f>
        <v>26.336343959218663</v>
      </c>
      <c r="M6" s="100">
        <f>IF('Net zero activities &amp; levers'!$C$5="Off",('Activity data'!AF7*EF!$H6)*kgtoGg,IF('Net zero activities &amp; levers'!$C$5="On",(((('Activity data'!AF7-'Net zero supporting data'!D17)*EF!$H6)+('Net zero supporting data'!D17*'Net zero supporting data'!D27))*kgtoGg)))</f>
        <v>26.448273838197906</v>
      </c>
      <c r="N6" s="100">
        <f>IF('Net zero activities &amp; levers'!$C$5="Off",('Activity data'!AG7*EF!$H6)*kgtoGg,IF('Net zero activities &amp; levers'!$C$5="On",(((('Activity data'!AG7-'Net zero supporting data'!E17)*EF!$H6)+('Net zero supporting data'!E17*'Net zero supporting data'!E27))*kgtoGg)))</f>
        <v>26.483376695900965</v>
      </c>
      <c r="O6" s="100">
        <f>IF('Net zero activities &amp; levers'!$C$5="Off",('Activity data'!AH7*EF!$H6)*kgtoGg,IF('Net zero activities &amp; levers'!$C$5="On",(((('Activity data'!AH7-'Net zero supporting data'!F17)*EF!$H6)+('Net zero supporting data'!F17*'Net zero supporting data'!F27))*kgtoGg)))</f>
        <v>26.530865624385104</v>
      </c>
      <c r="P6" s="100">
        <f>IF('Net zero activities &amp; levers'!$C$5="Off",('Activity data'!AI7*EF!$H6)*kgtoGg,IF('Net zero activities &amp; levers'!$C$5="On",(((('Activity data'!AI7-'Net zero supporting data'!G17)*EF!$H6)+('Net zero supporting data'!G17*'Net zero supporting data'!G27))*kgtoGg)))</f>
        <v>26.634884419824388</v>
      </c>
      <c r="Q6" s="100">
        <f>IF('Net zero activities &amp; levers'!$C$5="Off",('Activity data'!AJ7*EF!$H6)*kgtoGg,IF('Net zero activities &amp; levers'!$C$5="On",(((('Activity data'!AJ7-'Net zero supporting data'!H17)*EF!$H6)+('Net zero supporting data'!H17*'Net zero supporting data'!H27))*kgtoGg)))</f>
        <v>26.759592404645588</v>
      </c>
      <c r="R6" s="100">
        <f>IF('Net zero activities &amp; levers'!$C$5="Off",('Activity data'!AK7*EF!$H6)*kgtoGg,IF('Net zero activities &amp; levers'!$C$5="On",(((('Activity data'!AK7-'Net zero supporting data'!I17)*EF!$H6)+('Net zero supporting data'!I17*'Net zero supporting data'!I27))*kgtoGg)))</f>
        <v>26.797055984139856</v>
      </c>
      <c r="S6" s="100">
        <f>IF('Net zero activities &amp; levers'!$C$5="Off",('Activity data'!AL7*EF!$H6)*kgtoGg,IF('Net zero activities &amp; levers'!$C$5="On",(((('Activity data'!AL7-'Net zero supporting data'!J17)*EF!$H6)+('Net zero supporting data'!J17*'Net zero supporting data'!J27))*kgtoGg)))</f>
        <v>25.97439238445476</v>
      </c>
      <c r="T6" s="100">
        <f>IF('Net zero activities &amp; levers'!$C$5="Off",('Activity data'!AM7*EF!$H6)*kgtoGg,IF('Net zero activities &amp; levers'!$C$5="On",(((('Activity data'!AM7-'Net zero supporting data'!K17)*EF!$H6)+('Net zero supporting data'!K17*'Net zero supporting data'!K27))*kgtoGg)))</f>
        <v>26.171708254640201</v>
      </c>
      <c r="U6" s="100">
        <f>IF('Net zero activities &amp; levers'!$C$5="Off",('Activity data'!AN7*EF!$H6)*kgtoGg,IF('Net zero activities &amp; levers'!$C$5="On",(((('Activity data'!AN7-'Net zero supporting data'!L17)*EF!$H6)+('Net zero supporting data'!L17*'Net zero supporting data'!L27))*kgtoGg)))</f>
        <v>26.318050090872799</v>
      </c>
      <c r="V6" s="100">
        <f>IF('Net zero activities &amp; levers'!$C$5="Off",('Activity data'!AO7*EF!$H6)*kgtoGg,IF('Net zero activities &amp; levers'!$C$5="On",(((('Activity data'!AO7-'Net zero supporting data'!M17)*EF!$H6)+('Net zero supporting data'!M17*'Net zero supporting data'!M27))*kgtoGg)))</f>
        <v>26.436204400293331</v>
      </c>
      <c r="W6" s="100">
        <f>IF('Net zero activities &amp; levers'!$C$5="Off",('Activity data'!AP7*EF!$H6)*kgtoGg,IF('Net zero activities &amp; levers'!$C$5="On",(((('Activity data'!AP7-'Net zero supporting data'!N17)*EF!$H6)+('Net zero supporting data'!N17*'Net zero supporting data'!N27))*kgtoGg)))</f>
        <v>26.562046340734653</v>
      </c>
      <c r="X6" s="100">
        <f>IF('Net zero activities &amp; levers'!$C$5="Off",('Activity data'!AQ7*EF!$H6)*kgtoGg,IF('Net zero activities &amp; levers'!$C$5="On",(((('Activity data'!AQ7-'Net zero supporting data'!O17)*EF!$H6)+('Net zero supporting data'!O17*'Net zero supporting data'!O27))*kgtoGg)))</f>
        <v>26.658962396207787</v>
      </c>
      <c r="Y6" s="100">
        <f>IF('Net zero activities &amp; levers'!$C$5="Off",('Activity data'!AR7*EF!$H6)*kgtoGg,IF('Net zero activities &amp; levers'!$C$5="On",(((('Activity data'!AR7-'Net zero supporting data'!P17)*EF!$H6)+('Net zero supporting data'!P17*'Net zero supporting data'!P27))*kgtoGg)))</f>
        <v>26.716068176582752</v>
      </c>
      <c r="Z6" s="100">
        <f>IF('Net zero activities &amp; levers'!$C$5="Off",('Activity data'!AS7*EF!$H6)*kgtoGg,IF('Net zero activities &amp; levers'!$C$5="On",(((('Activity data'!AS7-'Net zero supporting data'!Q17)*EF!$H6)+('Net zero supporting data'!Q17*'Net zero supporting data'!Q27))*kgtoGg)))</f>
        <v>26.735155010545398</v>
      </c>
      <c r="AA6" s="100">
        <f>IF('Net zero activities &amp; levers'!$C$5="Off",('Activity data'!AT7*EF!$H6)*kgtoGg,IF('Net zero activities &amp; levers'!$C$5="On",(((('Activity data'!AT7-'Net zero supporting data'!R17)*EF!$H6)+('Net zero supporting data'!R17*'Net zero supporting data'!R27))*kgtoGg)))</f>
        <v>26.738504800046272</v>
      </c>
      <c r="AB6" s="100">
        <f>IF('Net zero activities &amp; levers'!$C$5="Off",('Activity data'!AU7*EF!$H6)*kgtoGg,IF('Net zero activities &amp; levers'!$C$5="On",(((('Activity data'!AU7-'Net zero supporting data'!S17)*EF!$H6)+('Net zero supporting data'!S17*'Net zero supporting data'!S27))*kgtoGg)))</f>
        <v>26.695597946676649</v>
      </c>
      <c r="AC6" s="100">
        <f>IF('Net zero activities &amp; levers'!$C$5="Off",('Activity data'!AV7*EF!$H6)*kgtoGg,IF('Net zero activities &amp; levers'!$C$5="On",(((('Activity data'!AV7-'Net zero supporting data'!T17)*EF!$H6)+('Net zero supporting data'!T17*'Net zero supporting data'!T27))*kgtoGg)))</f>
        <v>26.627723032967133</v>
      </c>
      <c r="AD6" s="100">
        <f>IF('Net zero activities &amp; levers'!$C$5="Off",('Activity data'!AW7*EF!$H6)*kgtoGg,IF('Net zero activities &amp; levers'!$C$5="On",(((('Activity data'!AW7-'Net zero supporting data'!U17)*EF!$H6)+('Net zero supporting data'!U17*'Net zero supporting data'!U27))*kgtoGg)))</f>
        <v>26.857582705240741</v>
      </c>
      <c r="AE6" s="100">
        <f>IF('Net zero activities &amp; levers'!$C$5="Off",('Activity data'!AX7*EF!$H6)*kgtoGg,IF('Net zero activities &amp; levers'!$C$5="On",(((('Activity data'!AX7-'Net zero supporting data'!V17)*EF!$H6)+('Net zero supporting data'!V17*'Net zero supporting data'!V27))*kgtoGg)))</f>
        <v>27.110705152981296</v>
      </c>
      <c r="AF6" s="100">
        <f>IF('Net zero activities &amp; levers'!$C$5="Off",('Activity data'!AY7*EF!$H6)*kgtoGg,IF('Net zero activities &amp; levers'!$C$5="On",(((('Activity data'!AY7-'Net zero supporting data'!W17)*EF!$H6)+('Net zero supporting data'!W17*'Net zero supporting data'!W27))*kgtoGg)))</f>
        <v>27.374698102951328</v>
      </c>
      <c r="AG6" s="100">
        <f>IF('Net zero activities &amp; levers'!$C$5="Off",('Activity data'!AZ7*EF!$H6)*kgtoGg,IF('Net zero activities &amp; levers'!$C$5="On",(((('Activity data'!AZ7-'Net zero supporting data'!X17)*EF!$H6)+('Net zero supporting data'!X17*'Net zero supporting data'!X27))*kgtoGg)))</f>
        <v>27.377308212471746</v>
      </c>
      <c r="AH6" s="100">
        <f>IF('Net zero activities &amp; levers'!$C$5="Off",('Activity data'!BA7*EF!$H6)*kgtoGg,IF('Net zero activities &amp; levers'!$C$5="On",(((('Activity data'!BA7-'Net zero supporting data'!Y17)*EF!$H6)+('Net zero supporting data'!Y17*'Net zero supporting data'!Y27))*kgtoGg)))</f>
        <v>14.636326285727469</v>
      </c>
      <c r="AI6" s="100">
        <f>IF('Net zero activities &amp; levers'!$C$5="Off",('Activity data'!BB7*EF!$H6)*kgtoGg,IF('Net zero activities &amp; levers'!$C$5="On",(((('Activity data'!BB7-'Net zero supporting data'!Z17)*EF!$H6)+('Net zero supporting data'!Z17*'Net zero supporting data'!Z27))*kgtoGg)))</f>
        <v>14.625933433885001</v>
      </c>
      <c r="AJ6" s="100">
        <f>IF('Net zero activities &amp; levers'!$C$5="Off",('Activity data'!BC7*EF!$H6)*kgtoGg,IF('Net zero activities &amp; levers'!$C$5="On",(((('Activity data'!BC7-'Net zero supporting data'!AA17)*EF!$H6)+('Net zero supporting data'!AA17*'Net zero supporting data'!AA27))*kgtoGg)))</f>
        <v>14.616994812621968</v>
      </c>
      <c r="AK6" s="100">
        <f>IF('Net zero activities &amp; levers'!$C$5="Off",('Activity data'!BD7*EF!$H6)*kgtoGg,IF('Net zero activities &amp; levers'!$C$5="On",(((('Activity data'!BD7-'Net zero supporting data'!AB17)*EF!$H6)+('Net zero supporting data'!AB17*'Net zero supporting data'!AB27))*kgtoGg)))</f>
        <v>14.609450985948468</v>
      </c>
      <c r="AL6" s="100">
        <f>IF('Net zero activities &amp; levers'!$C$5="Off",('Activity data'!BE7*EF!$H6)*kgtoGg,IF('Net zero activities &amp; levers'!$C$5="On",(((('Activity data'!BE7-'Net zero supporting data'!AC17)*EF!$H6)+('Net zero supporting data'!AC17*'Net zero supporting data'!AC27))*kgtoGg)))</f>
        <v>14.60324698450485</v>
      </c>
      <c r="AM6" s="100">
        <f>IF('Net zero activities &amp; levers'!$C$5="Off",('Activity data'!BF7*EF!$H6)*kgtoGg,IF('Net zero activities &amp; levers'!$C$5="On",(((('Activity data'!BF7-'Net zero supporting data'!AD17)*EF!$H6)+('Net zero supporting data'!AD17*'Net zero supporting data'!AD27))*kgtoGg)))</f>
        <v>14.598331883778986</v>
      </c>
      <c r="AN6" s="100">
        <f>IF('Net zero activities &amp; levers'!$C$5="Off",('Activity data'!BG7*EF!$H6)*kgtoGg,IF('Net zero activities &amp; levers'!$C$5="On",(((('Activity data'!BG7-'Net zero supporting data'!AE17)*EF!$H6)+('Net zero supporting data'!AE17*'Net zero supporting data'!AE27))*kgtoGg)))</f>
        <v>14.607109544481743</v>
      </c>
      <c r="AO6" s="100">
        <f>IF('Net zero activities &amp; levers'!$C$5="Off",('Activity data'!BH7*EF!$H6)*kgtoGg,IF('Net zero activities &amp; levers'!$C$5="On",(((('Activity data'!BH7-'Net zero supporting data'!AF17)*EF!$H6)+('Net zero supporting data'!AF17*'Net zero supporting data'!AF27))*kgtoGg)))</f>
        <v>14.616995187741413</v>
      </c>
      <c r="AP6" s="100">
        <f>IF('Net zero activities &amp; levers'!$C$5="Off",('Activity data'!BI7*EF!$H6)*kgtoGg,IF('Net zero activities &amp; levers'!$C$5="On",(((('Activity data'!BI7-'Net zero supporting data'!AG17)*EF!$H6)+('Net zero supporting data'!AG17*'Net zero supporting data'!AG27))*kgtoGg)))</f>
        <v>14.627950601587122</v>
      </c>
      <c r="AQ6" s="100">
        <f>IF('Net zero activities &amp; levers'!$C$5="Off",('Activity data'!BJ7*EF!$H6)*kgtoGg,IF('Net zero activities &amp; levers'!$C$5="On",(((('Activity data'!BJ7-'Net zero supporting data'!AH17)*EF!$H6)+('Net zero supporting data'!AH17*'Net zero supporting data'!AH27))*kgtoGg)))</f>
        <v>14.63994019115065</v>
      </c>
      <c r="AR6" s="100">
        <f>IF('Net zero activities &amp; levers'!$C$5="Off",('Activity data'!BK7*EF!$H6)*kgtoGg,IF('Net zero activities &amp; levers'!$C$5="On",(((('Activity data'!BK7-'Net zero supporting data'!AI17)*EF!$H6)+('Net zero supporting data'!AI17*'Net zero supporting data'!AI27))*kgtoGg)))</f>
        <v>14.652930756564119</v>
      </c>
      <c r="AS6" s="100">
        <f>IF('Net zero activities &amp; levers'!$C$5="Off",('Activity data'!BL7*EF!$H6)*kgtoGg,IF('Net zero activities &amp; levers'!$C$5="On",(((('Activity data'!BL7-'Net zero supporting data'!AJ17)*EF!$H6)+('Net zero supporting data'!AJ17*'Net zero supporting data'!AJ27))*kgtoGg)))</f>
        <v>14.656447079902057</v>
      </c>
      <c r="AT6" s="100">
        <f>IF('Net zero activities &amp; levers'!$C$5="Off",('Activity data'!BM7*EF!$H6)*kgtoGg,IF('Net zero activities &amp; levers'!$C$5="On",(((('Activity data'!BM7-'Net zero supporting data'!AK17)*EF!$H6)+('Net zero supporting data'!AK17*'Net zero supporting data'!AK27))*kgtoGg)))</f>
        <v>14.660849126309527</v>
      </c>
      <c r="AU6" s="100">
        <f>IF('Net zero activities &amp; levers'!$C$5="Off",('Activity data'!BN7*EF!$H6)*kgtoGg,IF('Net zero activities &amp; levers'!$C$5="On",(((('Activity data'!BN7-'Net zero supporting data'!AL17)*EF!$H6)+('Net zero supporting data'!AL17*'Net zero supporting data'!AL27))*kgtoGg)))</f>
        <v>14.666107891719079</v>
      </c>
      <c r="AV6" s="100">
        <f>IF('Net zero activities &amp; levers'!$C$5="Off",('Activity data'!BO7*EF!$H6)*kgtoGg,IF('Net zero activities &amp; levers'!$C$5="On",(((('Activity data'!BO7-'Net zero supporting data'!AM17)*EF!$H6)+('Net zero supporting data'!AM17*'Net zero supporting data'!AM27))*kgtoGg)))</f>
        <v>14.672196144937834</v>
      </c>
      <c r="AW6" s="100">
        <f>IF('Net zero activities &amp; levers'!$C$5="Off",('Activity data'!BP7*EF!$H6)*kgtoGg,IF('Net zero activities &amp; levers'!$C$5="On",(((('Activity data'!BP7-'Net zero supporting data'!AN17)*EF!$H6)+('Net zero supporting data'!AN17*'Net zero supporting data'!AN27))*kgtoGg)))</f>
        <v>14.679088291429615</v>
      </c>
      <c r="AY6" s="85"/>
    </row>
    <row r="7" spans="1:55" x14ac:dyDescent="0.25">
      <c r="A7" s="102" t="str">
        <f t="shared" si="0"/>
        <v>FS Cattle</v>
      </c>
      <c r="B7" s="102" t="s">
        <v>1005</v>
      </c>
      <c r="C7" s="102" t="s">
        <v>1109</v>
      </c>
      <c r="D7" t="str">
        <f t="shared" si="2"/>
        <v>3A Livestock</v>
      </c>
      <c r="E7" t="str">
        <f t="shared" si="2"/>
        <v>3A1 Enteric fermentation (CH4)</v>
      </c>
      <c r="F7" t="str">
        <f>EF!C7</f>
        <v>3A1aii Other cattle</v>
      </c>
      <c r="G7" t="str">
        <f>EF!D7</f>
        <v>Commercial</v>
      </c>
      <c r="H7" t="str">
        <f t="shared" ref="H7:J7" si="3">H6</f>
        <v>Enteric fermentation Emissions</v>
      </c>
      <c r="I7" t="str">
        <f t="shared" si="3"/>
        <v>CH4</v>
      </c>
      <c r="J7" t="str">
        <f t="shared" si="3"/>
        <v>Gg CH4</v>
      </c>
      <c r="K7" s="100">
        <f>IF('Net zero activities &amp; levers'!$C$5="Off",('Activity data'!AD8*EF!$H7)*kgtoGg,IF('Net zero activities &amp; levers'!$C$5="On",(((('Activity data'!AD8-'Net zero supporting data'!B18)*EF!$H7)+('Net zero supporting data'!B18*'Net zero supporting data'!B28))*kgtoGg)))</f>
        <v>467.31662309373525</v>
      </c>
      <c r="L7" s="100">
        <f>IF('Net zero activities &amp; levers'!$C$5="Off",('Activity data'!AE8*EF!$H7)*kgtoGg,IF('Net zero activities &amp; levers'!$C$5="On",(((('Activity data'!AE8-'Net zero supporting data'!C18)*EF!$H7)+('Net zero supporting data'!C18*'Net zero supporting data'!C28))*kgtoGg)))</f>
        <v>464.21904388294246</v>
      </c>
      <c r="M7" s="100">
        <f>IF('Net zero activities &amp; levers'!$C$5="Off",('Activity data'!AF8*EF!$H7)*kgtoGg,IF('Net zero activities &amp; levers'!$C$5="On",(((('Activity data'!AF8-'Net zero supporting data'!D18)*EF!$H7)+('Net zero supporting data'!D18*'Net zero supporting data'!D28))*kgtoGg)))</f>
        <v>457.68800569383677</v>
      </c>
      <c r="N7" s="100">
        <f>IF('Net zero activities &amp; levers'!$C$5="Off",('Activity data'!AG8*EF!$H7)*kgtoGg,IF('Net zero activities &amp; levers'!$C$5="On",(((('Activity data'!AG8-'Net zero supporting data'!E18)*EF!$H7)+('Net zero supporting data'!E18*'Net zero supporting data'!E28))*kgtoGg)))</f>
        <v>446.67903575374419</v>
      </c>
      <c r="O7" s="100">
        <f>IF('Net zero activities &amp; levers'!$C$5="Off",('Activity data'!AH8*EF!$H7)*kgtoGg,IF('Net zero activities &amp; levers'!$C$5="On",(((('Activity data'!AH8-'Net zero supporting data'!F18)*EF!$H7)+('Net zero supporting data'!F18*'Net zero supporting data'!F28))*kgtoGg)))</f>
        <v>435.99786609024881</v>
      </c>
      <c r="P7" s="100">
        <f>IF('Net zero activities &amp; levers'!$C$5="Off",('Activity data'!AI8*EF!$H7)*kgtoGg,IF('Net zero activities &amp; levers'!$C$5="On",(((('Activity data'!AI8-'Net zero supporting data'!G18)*EF!$H7)+('Net zero supporting data'!G18*'Net zero supporting data'!G28))*kgtoGg)))</f>
        <v>427.78254745702264</v>
      </c>
      <c r="Q7" s="100">
        <f>IF('Net zero activities &amp; levers'!$C$5="Off",('Activity data'!AJ8*EF!$H7)*kgtoGg,IF('Net zero activities &amp; levers'!$C$5="On",(((('Activity data'!AJ8-'Net zero supporting data'!H18)*EF!$H7)+('Net zero supporting data'!H18*'Net zero supporting data'!H28))*kgtoGg)))</f>
        <v>420.35172850546115</v>
      </c>
      <c r="R7" s="100">
        <f>IF('Net zero activities &amp; levers'!$C$5="Off",('Activity data'!AK8*EF!$H7)*kgtoGg,IF('Net zero activities &amp; levers'!$C$5="On",(((('Activity data'!AK8-'Net zero supporting data'!I18)*EF!$H7)+('Net zero supporting data'!I18*'Net zero supporting data'!I28))*kgtoGg)))</f>
        <v>408.66857197476548</v>
      </c>
      <c r="S7" s="100">
        <f>IF('Net zero activities &amp; levers'!$C$5="Off",('Activity data'!AL8*EF!$H7)*kgtoGg,IF('Net zero activities &amp; levers'!$C$5="On",(((('Activity data'!AL8-'Net zero supporting data'!J18)*EF!$H7)+('Net zero supporting data'!J18*'Net zero supporting data'!J28))*kgtoGg)))</f>
        <v>358.42710853834808</v>
      </c>
      <c r="T7" s="100">
        <f>IF('Net zero activities &amp; levers'!$C$5="Off",('Activity data'!AM8*EF!$H7)*kgtoGg,IF('Net zero activities &amp; levers'!$C$5="On",(((('Activity data'!AM8-'Net zero supporting data'!K18)*EF!$H7)+('Net zero supporting data'!K18*'Net zero supporting data'!K28))*kgtoGg)))</f>
        <v>361.6999140713404</v>
      </c>
      <c r="U7" s="100">
        <f>IF('Net zero activities &amp; levers'!$C$5="Off",('Activity data'!AN8*EF!$H7)*kgtoGg,IF('Net zero activities &amp; levers'!$C$5="On",(((('Activity data'!AN8-'Net zero supporting data'!L18)*EF!$H7)+('Net zero supporting data'!L18*'Net zero supporting data'!L28))*kgtoGg)))</f>
        <v>363.58194228350169</v>
      </c>
      <c r="V7" s="100">
        <f>IF('Net zero activities &amp; levers'!$C$5="Off",('Activity data'!AO8*EF!$H7)*kgtoGg,IF('Net zero activities &amp; levers'!$C$5="On",(((('Activity data'!AO8-'Net zero supporting data'!M18)*EF!$H7)+('Net zero supporting data'!M18*'Net zero supporting data'!M28))*kgtoGg)))</f>
        <v>365.10449659569667</v>
      </c>
      <c r="W7" s="100">
        <f>IF('Net zero activities &amp; levers'!$C$5="Off",('Activity data'!AP8*EF!$H7)*kgtoGg,IF('Net zero activities &amp; levers'!$C$5="On",(((('Activity data'!AP8-'Net zero supporting data'!N18)*EF!$H7)+('Net zero supporting data'!N18*'Net zero supporting data'!N28))*kgtoGg)))</f>
        <v>367.79783536313892</v>
      </c>
      <c r="X7" s="100">
        <f>IF('Net zero activities &amp; levers'!$C$5="Off",('Activity data'!AQ8*EF!$H7)*kgtoGg,IF('Net zero activities &amp; levers'!$C$5="On",(((('Activity data'!AQ8-'Net zero supporting data'!O18)*EF!$H7)+('Net zero supporting data'!O18*'Net zero supporting data'!O28))*kgtoGg)))</f>
        <v>370.08028029149256</v>
      </c>
      <c r="Y7" s="100">
        <f>IF('Net zero activities &amp; levers'!$C$5="Off",('Activity data'!AR8*EF!$H7)*kgtoGg,IF('Net zero activities &amp; levers'!$C$5="On",(((('Activity data'!AR8-'Net zero supporting data'!P18)*EF!$H7)+('Net zero supporting data'!P18*'Net zero supporting data'!P28))*kgtoGg)))</f>
        <v>372.2486502565003</v>
      </c>
      <c r="Z7" s="100">
        <f>IF('Net zero activities &amp; levers'!$C$5="Off",('Activity data'!AS8*EF!$H7)*kgtoGg,IF('Net zero activities &amp; levers'!$C$5="On",(((('Activity data'!AS8-'Net zero supporting data'!Q18)*EF!$H7)+('Net zero supporting data'!Q18*'Net zero supporting data'!Q28))*kgtoGg)))</f>
        <v>373.64815970714955</v>
      </c>
      <c r="AA7" s="100">
        <f>IF('Net zero activities &amp; levers'!$C$5="Off",('Activity data'!AT8*EF!$H7)*kgtoGg,IF('Net zero activities &amp; levers'!$C$5="On",(((('Activity data'!AT8-'Net zero supporting data'!R18)*EF!$H7)+('Net zero supporting data'!R18*'Net zero supporting data'!R28))*kgtoGg)))</f>
        <v>375.20153558366252</v>
      </c>
      <c r="AB7" s="100">
        <f>IF('Net zero activities &amp; levers'!$C$5="Off",('Activity data'!AU8*EF!$H7)*kgtoGg,IF('Net zero activities &amp; levers'!$C$5="On",(((('Activity data'!AU8-'Net zero supporting data'!S18)*EF!$H7)+('Net zero supporting data'!S18*'Net zero supporting data'!S28))*kgtoGg)))</f>
        <v>375.67857647577989</v>
      </c>
      <c r="AC7" s="100">
        <f>IF('Net zero activities &amp; levers'!$C$5="Off",('Activity data'!AV8*EF!$H7)*kgtoGg,IF('Net zero activities &amp; levers'!$C$5="On",(((('Activity data'!AV8-'Net zero supporting data'!T18)*EF!$H7)+('Net zero supporting data'!T18*'Net zero supporting data'!T28))*kgtoGg)))</f>
        <v>375.95225750769441</v>
      </c>
      <c r="AD7" s="100">
        <f>IF('Net zero activities &amp; levers'!$C$5="Off",('Activity data'!AW8*EF!$H7)*kgtoGg,IF('Net zero activities &amp; levers'!$C$5="On",(((('Activity data'!AW8-'Net zero supporting data'!U18)*EF!$H7)+('Net zero supporting data'!U18*'Net zero supporting data'!U28))*kgtoGg)))</f>
        <v>376.45435411302054</v>
      </c>
      <c r="AE7" s="100">
        <f>IF('Net zero activities &amp; levers'!$C$5="Off",('Activity data'!AX8*EF!$H7)*kgtoGg,IF('Net zero activities &amp; levers'!$C$5="On",(((('Activity data'!AX8-'Net zero supporting data'!V18)*EF!$H7)+('Net zero supporting data'!V18*'Net zero supporting data'!V28))*kgtoGg)))</f>
        <v>377.44927391562112</v>
      </c>
      <c r="AF7" s="100">
        <f>IF('Net zero activities &amp; levers'!$C$5="Off",('Activity data'!AY8*EF!$H7)*kgtoGg,IF('Net zero activities &amp; levers'!$C$5="On",(((('Activity data'!AY8-'Net zero supporting data'!W18)*EF!$H7)+('Net zero supporting data'!W18*'Net zero supporting data'!W28))*kgtoGg)))</f>
        <v>378.43182003325671</v>
      </c>
      <c r="AG7" s="100">
        <f>IF('Net zero activities &amp; levers'!$C$5="Off",('Activity data'!AZ8*EF!$H7)*kgtoGg,IF('Net zero activities &amp; levers'!$C$5="On",(((('Activity data'!AZ8-'Net zero supporting data'!X18)*EF!$H7)+('Net zero supporting data'!X18*'Net zero supporting data'!X28))*kgtoGg)))</f>
        <v>369.58423127760739</v>
      </c>
      <c r="AH7" s="100">
        <f>IF('Net zero activities &amp; levers'!$C$5="Off",('Activity data'!BA8*EF!$H7)*kgtoGg,IF('Net zero activities &amp; levers'!$C$5="On",(((('Activity data'!BA8-'Net zero supporting data'!Y18)*EF!$H7)+('Net zero supporting data'!Y18*'Net zero supporting data'!Y28))*kgtoGg)))</f>
        <v>-86.986612160484697</v>
      </c>
      <c r="AI7" s="100">
        <f>IF('Net zero activities &amp; levers'!$C$5="Off",('Activity data'!BB8*EF!$H7)*kgtoGg,IF('Net zero activities &amp; levers'!$C$5="On",(((('Activity data'!BB8-'Net zero supporting data'!Z18)*EF!$H7)+('Net zero supporting data'!Z18*'Net zero supporting data'!Z28))*kgtoGg)))</f>
        <v>-84.780752994529436</v>
      </c>
      <c r="AJ7" s="100">
        <f>IF('Net zero activities &amp; levers'!$C$5="Off",('Activity data'!BC8*EF!$H7)*kgtoGg,IF('Net zero activities &amp; levers'!$C$5="On",(((('Activity data'!BC8-'Net zero supporting data'!AA18)*EF!$H7)+('Net zero supporting data'!AA18*'Net zero supporting data'!AA28))*kgtoGg)))</f>
        <v>-82.616400607437882</v>
      </c>
      <c r="AK7" s="100">
        <f>IF('Net zero activities &amp; levers'!$C$5="Off",('Activity data'!BD8*EF!$H7)*kgtoGg,IF('Net zero activities &amp; levers'!$C$5="On",(((('Activity data'!BD8-'Net zero supporting data'!AB18)*EF!$H7)+('Net zero supporting data'!AB18*'Net zero supporting data'!AB28))*kgtoGg)))</f>
        <v>-80.491628082708445</v>
      </c>
      <c r="AL7" s="100">
        <f>IF('Net zero activities &amp; levers'!$C$5="Off",('Activity data'!BE8*EF!$H7)*kgtoGg,IF('Net zero activities &amp; levers'!$C$5="On",(((('Activity data'!BE8-'Net zero supporting data'!AC18)*EF!$H7)+('Net zero supporting data'!AC18*'Net zero supporting data'!AC28))*kgtoGg)))</f>
        <v>-78.40463985718533</v>
      </c>
      <c r="AM7" s="100">
        <f>IF('Net zero activities &amp; levers'!$C$5="Off",('Activity data'!BF8*EF!$H7)*kgtoGg,IF('Net zero activities &amp; levers'!$C$5="On",(((('Activity data'!BF8-'Net zero supporting data'!AD18)*EF!$H7)+('Net zero supporting data'!AD18*'Net zero supporting data'!AD28))*kgtoGg)))</f>
        <v>-76.353759676987295</v>
      </c>
      <c r="AN7" s="100">
        <f>IF('Net zero activities &amp; levers'!$C$5="Off",('Activity data'!BG8*EF!$H7)*kgtoGg,IF('Net zero activities &amp; levers'!$C$5="On",(((('Activity data'!BG8-'Net zero supporting data'!AE18)*EF!$H7)+('Net zero supporting data'!AE18*'Net zero supporting data'!AE28))*kgtoGg)))</f>
        <v>-74.723774234486712</v>
      </c>
      <c r="AO7" s="100">
        <f>IF('Net zero activities &amp; levers'!$C$5="Off",('Activity data'!BH8*EF!$H7)*kgtoGg,IF('Net zero activities &amp; levers'!$C$5="On",(((('Activity data'!BH8-'Net zero supporting data'!AF18)*EF!$H7)+('Net zero supporting data'!AF18*'Net zero supporting data'!AF28))*kgtoGg)))</f>
        <v>-73.121459349886635</v>
      </c>
      <c r="AP7" s="100">
        <f>IF('Net zero activities &amp; levers'!$C$5="Off",('Activity data'!BI8*EF!$H7)*kgtoGg,IF('Net zero activities &amp; levers'!$C$5="On",(((('Activity data'!BI8-'Net zero supporting data'!AG18)*EF!$H7)+('Net zero supporting data'!AG18*'Net zero supporting data'!AG28))*kgtoGg)))</f>
        <v>-71.545655828648478</v>
      </c>
      <c r="AQ7" s="100">
        <f>IF('Net zero activities &amp; levers'!$C$5="Off",('Activity data'!BJ8*EF!$H7)*kgtoGg,IF('Net zero activities &amp; levers'!$C$5="On",(((('Activity data'!BJ8-'Net zero supporting data'!AH18)*EF!$H7)+('Net zero supporting data'!AH18*'Net zero supporting data'!AH28))*kgtoGg)))</f>
        <v>-69.995275540308626</v>
      </c>
      <c r="AR7" s="100">
        <f>IF('Net zero activities &amp; levers'!$C$5="Off",('Activity data'!BK8*EF!$H7)*kgtoGg,IF('Net zero activities &amp; levers'!$C$5="On",(((('Activity data'!BK8-'Net zero supporting data'!AI18)*EF!$H7)+('Net zero supporting data'!AI18*'Net zero supporting data'!AI28))*kgtoGg)))</f>
        <v>-68.469295571096708</v>
      </c>
      <c r="AS7" s="100">
        <f>IF('Net zero activities &amp; levers'!$C$5="Off",('Activity data'!BL8*EF!$H7)*kgtoGg,IF('Net zero activities &amp; levers'!$C$5="On",(((('Activity data'!BL8-'Net zero supporting data'!AJ18)*EF!$H7)+('Net zero supporting data'!AJ18*'Net zero supporting data'!AJ28))*kgtoGg)))</f>
        <v>-66.921240141541773</v>
      </c>
      <c r="AT7" s="100">
        <f>IF('Net zero activities &amp; levers'!$C$5="Off",('Activity data'!BM8*EF!$H7)*kgtoGg,IF('Net zero activities &amp; levers'!$C$5="On",(((('Activity data'!BM8-'Net zero supporting data'!AK18)*EF!$H7)+('Net zero supporting data'!AK18*'Net zero supporting data'!AK28))*kgtoGg)))</f>
        <v>-65.397564897761768</v>
      </c>
      <c r="AU7" s="100">
        <f>IF('Net zero activities &amp; levers'!$C$5="Off",('Activity data'!BN8*EF!$H7)*kgtoGg,IF('Net zero activities &amp; levers'!$C$5="On",(((('Activity data'!BN8-'Net zero supporting data'!AL18)*EF!$H7)+('Net zero supporting data'!AL18*'Net zero supporting data'!AL28))*kgtoGg)))</f>
        <v>-63.897380411930826</v>
      </c>
      <c r="AV7" s="100">
        <f>IF('Net zero activities &amp; levers'!$C$5="Off",('Activity data'!BO8*EF!$H7)*kgtoGg,IF('Net zero activities &amp; levers'!$C$5="On",(((('Activity data'!BO8-'Net zero supporting data'!AM18)*EF!$H7)+('Net zero supporting data'!AM18*'Net zero supporting data'!AM28))*kgtoGg)))</f>
        <v>-62.419846192739051</v>
      </c>
      <c r="AW7" s="100">
        <f>IF('Net zero activities &amp; levers'!$C$5="Off",('Activity data'!BP8*EF!$H7)*kgtoGg,IF('Net zero activities &amp; levers'!$C$5="On",(((('Activity data'!BP8-'Net zero supporting data'!AN18)*EF!$H7)+('Net zero supporting data'!AN18*'Net zero supporting data'!AN28))*kgtoGg)))</f>
        <v>-60.964167059710405</v>
      </c>
      <c r="AY7" s="85"/>
    </row>
    <row r="8" spans="1:55" x14ac:dyDescent="0.25">
      <c r="A8" s="102" t="str">
        <f t="shared" si="0"/>
        <v>FS Cattle</v>
      </c>
      <c r="B8" s="102" t="s">
        <v>1005</v>
      </c>
      <c r="C8" s="102" t="s">
        <v>1109</v>
      </c>
      <c r="D8" t="str">
        <f t="shared" si="2"/>
        <v>3A Livestock</v>
      </c>
      <c r="E8" t="str">
        <f t="shared" si="2"/>
        <v>3A1 Enteric fermentation (CH4)</v>
      </c>
      <c r="F8" t="str">
        <f>EF!C8</f>
        <v>3A1aii Other cattle</v>
      </c>
      <c r="G8" t="s">
        <v>123</v>
      </c>
      <c r="H8" t="str">
        <f t="shared" ref="H8:J8" si="4">H7</f>
        <v>Enteric fermentation Emissions</v>
      </c>
      <c r="I8" t="str">
        <f t="shared" si="4"/>
        <v>CH4</v>
      </c>
      <c r="J8" t="str">
        <f t="shared" si="4"/>
        <v>Gg CH4</v>
      </c>
      <c r="K8" s="28">
        <f>K1383</f>
        <v>329.0746130615014</v>
      </c>
      <c r="L8" s="28">
        <f t="shared" ref="L8:AW8" si="5">L1383</f>
        <v>326.8933624278929</v>
      </c>
      <c r="M8" s="28">
        <f t="shared" si="5"/>
        <v>322.29434163821571</v>
      </c>
      <c r="N8" s="28">
        <f t="shared" si="5"/>
        <v>314.54205476415126</v>
      </c>
      <c r="O8" s="28">
        <f t="shared" si="5"/>
        <v>307.02059800365856</v>
      </c>
      <c r="P8" s="28">
        <f t="shared" si="5"/>
        <v>301.23554207624824</v>
      </c>
      <c r="Q8" s="28">
        <f t="shared" si="5"/>
        <v>296.00291445211866</v>
      </c>
      <c r="R8" s="28">
        <f t="shared" si="5"/>
        <v>287.77587945125919</v>
      </c>
      <c r="S8" s="28">
        <f t="shared" si="5"/>
        <v>252.39688944116838</v>
      </c>
      <c r="T8" s="28">
        <f t="shared" si="5"/>
        <v>254.80263648004308</v>
      </c>
      <c r="U8" s="28">
        <f t="shared" si="5"/>
        <v>256.43054002508501</v>
      </c>
      <c r="V8" s="28">
        <f t="shared" si="5"/>
        <v>258.00549486047498</v>
      </c>
      <c r="W8" s="28">
        <f t="shared" si="5"/>
        <v>260.61009134153147</v>
      </c>
      <c r="X8" s="28">
        <f t="shared" si="5"/>
        <v>263.12884671593309</v>
      </c>
      <c r="Y8" s="28">
        <f t="shared" si="5"/>
        <v>265.77316178308178</v>
      </c>
      <c r="Z8" s="28">
        <f t="shared" si="5"/>
        <v>268.07527192134285</v>
      </c>
      <c r="AA8" s="28">
        <f t="shared" si="5"/>
        <v>270.6953854308951</v>
      </c>
      <c r="AB8" s="28">
        <f t="shared" si="5"/>
        <v>272.7457130264242</v>
      </c>
      <c r="AC8" s="28">
        <f t="shared" si="5"/>
        <v>274.85229816720681</v>
      </c>
      <c r="AD8" s="28">
        <f t="shared" si="5"/>
        <v>275.83346847502179</v>
      </c>
      <c r="AE8" s="28">
        <f t="shared" si="5"/>
        <v>277.17885203403011</v>
      </c>
      <c r="AF8" s="28">
        <f t="shared" si="5"/>
        <v>278.51904326657984</v>
      </c>
      <c r="AG8" s="28">
        <f t="shared" si="5"/>
        <v>272.6122135588102</v>
      </c>
      <c r="AH8" s="28">
        <f t="shared" si="5"/>
        <v>-64.305450494464566</v>
      </c>
      <c r="AI8" s="28">
        <f t="shared" si="5"/>
        <v>-62.813787696400013</v>
      </c>
      <c r="AJ8" s="28">
        <f t="shared" si="5"/>
        <v>-61.345847017989065</v>
      </c>
      <c r="AK8" s="28">
        <f t="shared" si="5"/>
        <v>-59.900386021624051</v>
      </c>
      <c r="AL8" s="28">
        <f t="shared" si="5"/>
        <v>-58.476248166842247</v>
      </c>
      <c r="AM8" s="28">
        <f t="shared" si="5"/>
        <v>-57.072354850736843</v>
      </c>
      <c r="AN8" s="28">
        <f t="shared" si="5"/>
        <v>-55.934114946269716</v>
      </c>
      <c r="AO8" s="28">
        <f t="shared" si="5"/>
        <v>-54.81306678078316</v>
      </c>
      <c r="AP8" s="28">
        <f t="shared" si="5"/>
        <v>-53.708431309893463</v>
      </c>
      <c r="AQ8" s="28">
        <f t="shared" si="5"/>
        <v>-52.619477941754887</v>
      </c>
      <c r="AR8" s="28">
        <f t="shared" si="5"/>
        <v>-51.54552051954397</v>
      </c>
      <c r="AS8" s="28">
        <f t="shared" si="5"/>
        <v>-50.451601810421387</v>
      </c>
      <c r="AT8" s="28">
        <f t="shared" si="5"/>
        <v>-49.372725878621843</v>
      </c>
      <c r="AU8" s="28">
        <f t="shared" si="5"/>
        <v>-48.308300964661392</v>
      </c>
      <c r="AV8" s="28">
        <f t="shared" si="5"/>
        <v>-47.257768555984775</v>
      </c>
      <c r="AW8" s="28">
        <f t="shared" si="5"/>
        <v>-46.22060090251631</v>
      </c>
      <c r="AY8" s="85"/>
    </row>
    <row r="9" spans="1:55" x14ac:dyDescent="0.25">
      <c r="A9" s="102" t="str">
        <f t="shared" si="0"/>
        <v>FS Cattle</v>
      </c>
      <c r="B9" s="102" t="s">
        <v>1005</v>
      </c>
      <c r="C9" s="102" t="s">
        <v>1109</v>
      </c>
      <c r="D9" t="str">
        <f>D7</f>
        <v>3A Livestock</v>
      </c>
      <c r="E9" t="str">
        <f>E7</f>
        <v>3A1 Enteric fermentation (CH4)</v>
      </c>
      <c r="F9" t="str">
        <f>EF!C9</f>
        <v>3A1aii Other cattle</v>
      </c>
      <c r="G9" t="str">
        <f>EF!D9</f>
        <v>Feedlot</v>
      </c>
      <c r="H9" t="str">
        <f>H6</f>
        <v>Enteric fermentation Emissions</v>
      </c>
      <c r="I9" t="str">
        <f>I6</f>
        <v>CH4</v>
      </c>
      <c r="J9" t="str">
        <f>J6</f>
        <v>Gg CH4</v>
      </c>
      <c r="K9" s="100">
        <f>IF('Net zero activities &amp; levers'!$C$5="Off",('Activity data'!AD10*EF!$H9)*kgtoGg,IF('Net zero activities &amp; levers'!$C$5="On",(((('Activity data'!AD10-'Net zero supporting data'!B19)*EF!$H9)+('Net zero supporting data'!B19*'Net zero supporting data'!B29))*kgtoGg)))</f>
        <v>32.066658815804246</v>
      </c>
      <c r="L9" s="100">
        <f>IF('Net zero activities &amp; levers'!$C$5="Off",('Activity data'!AE10*EF!$H9)*kgtoGg,IF('Net zero activities &amp; levers'!$C$5="On",(((('Activity data'!AE10-'Net zero supporting data'!C19)*EF!$H9)+('Net zero supporting data'!C19*'Net zero supporting data'!C29))*kgtoGg)))</f>
        <v>33.208718466326758</v>
      </c>
      <c r="M9" s="100">
        <f>IF('Net zero activities &amp; levers'!$C$5="Off",('Activity data'!AF10*EF!$H9)*kgtoGg,IF('Net zero activities &amp; levers'!$C$5="On",(((('Activity data'!AF10-'Net zero supporting data'!D19)*EF!$H9)+('Net zero supporting data'!D19*'Net zero supporting data'!D29))*kgtoGg)))</f>
        <v>34.11520280184579</v>
      </c>
      <c r="N9" s="100">
        <f>IF('Net zero activities &amp; levers'!$C$5="Off",('Activity data'!AG10*EF!$H9)*kgtoGg,IF('Net zero activities &amp; levers'!$C$5="On",(((('Activity data'!AG10-'Net zero supporting data'!E19)*EF!$H9)+('Net zero supporting data'!E19*'Net zero supporting data'!E29))*kgtoGg)))</f>
        <v>34.675782135786314</v>
      </c>
      <c r="O9" s="100">
        <f>IF('Net zero activities &amp; levers'!$C$5="Off",('Activity data'!AH10*EF!$H9)*kgtoGg,IF('Net zero activities &amp; levers'!$C$5="On",(((('Activity data'!AH10-'Net zero supporting data'!F19)*EF!$H9)+('Net zero supporting data'!F19*'Net zero supporting data'!F29))*kgtoGg)))</f>
        <v>35.237531716383323</v>
      </c>
      <c r="P9" s="100">
        <f>IF('Net zero activities &amp; levers'!$C$5="Off",('Activity data'!AI10*EF!$H9)*kgtoGg,IF('Net zero activities &amp; levers'!$C$5="On",(((('Activity data'!AI10-'Net zero supporting data'!G19)*EF!$H9)+('Net zero supporting data'!G19*'Net zero supporting data'!G29))*kgtoGg)))</f>
        <v>35.983525896151299</v>
      </c>
      <c r="Q9" s="100">
        <f>IF('Net zero activities &amp; levers'!$C$5="Off",('Activity data'!AJ10*EF!$H9)*kgtoGg,IF('Net zero activities &amp; levers'!$C$5="On",(((('Activity data'!AJ10-'Net zero supporting data'!H19)*EF!$H9)+('Net zero supporting data'!H19*'Net zero supporting data'!H29))*kgtoGg)))</f>
        <v>36.791694077470218</v>
      </c>
      <c r="R9" s="100">
        <f>IF('Net zero activities &amp; levers'!$C$5="Off",('Activity data'!AK10*EF!$H9)*kgtoGg,IF('Net zero activities &amp; levers'!$C$5="On",(((('Activity data'!AK10-'Net zero supporting data'!I19)*EF!$H9)+('Net zero supporting data'!I19*'Net zero supporting data'!I29))*kgtoGg)))</f>
        <v>37.212274346578468</v>
      </c>
      <c r="S9" s="100">
        <f>IF('Net zero activities &amp; levers'!$C$5="Off",('Activity data'!AL10*EF!$H9)*kgtoGg,IF('Net zero activities &amp; levers'!$C$5="On",(((('Activity data'!AL10-'Net zero supporting data'!J19)*EF!$H9)+('Net zero supporting data'!J19*'Net zero supporting data'!J29))*kgtoGg)))</f>
        <v>33.949893618199454</v>
      </c>
      <c r="T9" s="100">
        <f>IF('Net zero activities &amp; levers'!$C$5="Off",('Activity data'!AM10*EF!$H9)*kgtoGg,IF('Net zero activities &amp; levers'!$C$5="On",(((('Activity data'!AM10-'Net zero supporting data'!K19)*EF!$H9)+('Net zero supporting data'!K19*'Net zero supporting data'!K29))*kgtoGg)))</f>
        <v>35.081273779965969</v>
      </c>
      <c r="U9" s="100">
        <f>IF('Net zero activities &amp; levers'!$C$5="Off",('Activity data'!AN10*EF!$H9)*kgtoGg,IF('Net zero activities &amp; levers'!$C$5="On",(((('Activity data'!AN10-'Net zero supporting data'!L19)*EF!$H9)+('Net zero supporting data'!L19*'Net zero supporting data'!L29))*kgtoGg)))</f>
        <v>36.102609612417353</v>
      </c>
      <c r="V9" s="100">
        <f>IF('Net zero activities &amp; levers'!$C$5="Off",('Activity data'!AO10*EF!$H9)*kgtoGg,IF('Net zero activities &amp; levers'!$C$5="On",(((('Activity data'!AO10-'Net zero supporting data'!M19)*EF!$H9)+('Net zero supporting data'!M19*'Net zero supporting data'!M29))*kgtoGg)))</f>
        <v>37.109454392221004</v>
      </c>
      <c r="W9" s="100">
        <f>IF('Net zero activities &amp; levers'!$C$5="Off",('Activity data'!AP10*EF!$H9)*kgtoGg,IF('Net zero activities &amp; levers'!$C$5="On",(((('Activity data'!AP10-'Net zero supporting data'!N19)*EF!$H9)+('Net zero supporting data'!N19*'Net zero supporting data'!N29))*kgtoGg)))</f>
        <v>38.258689107001246</v>
      </c>
      <c r="X9" s="100">
        <f>IF('Net zero activities &amp; levers'!$C$5="Off",('Activity data'!AQ10*EF!$H9)*kgtoGg,IF('Net zero activities &amp; levers'!$C$5="On",(((('Activity data'!AQ10-'Net zero supporting data'!O19)*EF!$H9)+('Net zero supporting data'!O19*'Net zero supporting data'!O29))*kgtoGg)))</f>
        <v>39.390589359808324</v>
      </c>
      <c r="Y9" s="100">
        <f>IF('Net zero activities &amp; levers'!$C$5="Off",('Activity data'!AR10*EF!$H9)*kgtoGg,IF('Net zero activities &amp; levers'!$C$5="On",(((('Activity data'!AR10-'Net zero supporting data'!P19)*EF!$H9)+('Net zero supporting data'!P19*'Net zero supporting data'!P29))*kgtoGg)))</f>
        <v>40.534617957839103</v>
      </c>
      <c r="Z9" s="100">
        <f>IF('Net zero activities &amp; levers'!$C$5="Off",('Activity data'!AS10*EF!$H9)*kgtoGg,IF('Net zero activities &amp; levers'!$C$5="On",(((('Activity data'!AS10-'Net zero supporting data'!Q19)*EF!$H9)+('Net zero supporting data'!Q19*'Net zero supporting data'!Q29))*kgtoGg)))</f>
        <v>41.617005718110143</v>
      </c>
      <c r="AA9" s="100">
        <f>IF('Net zero activities &amp; levers'!$C$5="Off",('Activity data'!AT10*EF!$H9)*kgtoGg,IF('Net zero activities &amp; levers'!$C$5="On",(((('Activity data'!AT10-'Net zero supporting data'!R19)*EF!$H9)+('Net zero supporting data'!R19*'Net zero supporting data'!R29))*kgtoGg)))</f>
        <v>42.736915327245327</v>
      </c>
      <c r="AB9" s="100">
        <f>IF('Net zero activities &amp; levers'!$C$5="Off",('Activity data'!AU10*EF!$H9)*kgtoGg,IF('Net zero activities &amp; levers'!$C$5="On",(((('Activity data'!AU10-'Net zero supporting data'!S19)*EF!$H9)+('Net zero supporting data'!S19*'Net zero supporting data'!S29))*kgtoGg)))</f>
        <v>43.751929230256088</v>
      </c>
      <c r="AC9" s="100">
        <f>IF('Net zero activities &amp; levers'!$C$5="Off",('Activity data'!AV10*EF!$H9)*kgtoGg,IF('Net zero activities &amp; levers'!$C$5="On",(((('Activity data'!AV10-'Net zero supporting data'!T19)*EF!$H9)+('Net zero supporting data'!T19*'Net zero supporting data'!T29))*kgtoGg)))</f>
        <v>44.757160576763653</v>
      </c>
      <c r="AD9" s="100">
        <f>IF('Net zero activities &amp; levers'!$C$5="Off",('Activity data'!AW10*EF!$H9)*kgtoGg,IF('Net zero activities &amp; levers'!$C$5="On",(((('Activity data'!AW10-'Net zero supporting data'!U19)*EF!$H9)+('Net zero supporting data'!U19*'Net zero supporting data'!U29))*kgtoGg)))</f>
        <v>46.360889967196513</v>
      </c>
      <c r="AE9" s="100">
        <f>IF('Net zero activities &amp; levers'!$C$5="Off",('Activity data'!AX10*EF!$H9)*kgtoGg,IF('Net zero activities &amp; levers'!$C$5="On",(((('Activity data'!AX10-'Net zero supporting data'!V19)*EF!$H9)+('Net zero supporting data'!V19*'Net zero supporting data'!V29))*kgtoGg)))</f>
        <v>48.087738876219227</v>
      </c>
      <c r="AF9" s="100">
        <f>IF('Net zero activities &amp; levers'!$C$5="Off",('Activity data'!AY10*EF!$H9)*kgtoGg,IF('Net zero activities &amp; levers'!$C$5="On",(((('Activity data'!AY10-'Net zero supporting data'!W19)*EF!$H9)+('Net zero supporting data'!W19*'Net zero supporting data'!W29))*kgtoGg)))</f>
        <v>49.881021298165507</v>
      </c>
      <c r="AG9" s="100">
        <f>IF('Net zero activities &amp; levers'!$C$5="Off",('Activity data'!AZ10*EF!$H9)*kgtoGg,IF('Net zero activities &amp; levers'!$C$5="On",(((('Activity data'!AZ10-'Net zero supporting data'!X19)*EF!$H9)+('Net zero supporting data'!X19*'Net zero supporting data'!X29))*kgtoGg)))</f>
        <v>50.405442889091397</v>
      </c>
      <c r="AH9" s="100">
        <f>IF('Net zero activities &amp; levers'!$C$5="Off",('Activity data'!BA10*EF!$H9)*kgtoGg,IF('Net zero activities &amp; levers'!$C$5="On",(((('Activity data'!BA10-'Net zero supporting data'!Y19)*EF!$H9)+('Net zero supporting data'!Y19*'Net zero supporting data'!Y29))*kgtoGg)))</f>
        <v>-12.276818288739173</v>
      </c>
      <c r="AI9" s="100">
        <f>IF('Net zero activities &amp; levers'!$C$5="Off",('Activity data'!BB10*EF!$H9)*kgtoGg,IF('Net zero activities &amp; levers'!$C$5="On",(((('Activity data'!BB10-'Net zero supporting data'!Z19)*EF!$H9)+('Net zero supporting data'!Z19*'Net zero supporting data'!Z29))*kgtoGg)))</f>
        <v>-12.384026945982345</v>
      </c>
      <c r="AJ9" s="100">
        <f>IF('Net zero activities &amp; levers'!$C$5="Off",('Activity data'!BC10*EF!$H9)*kgtoGg,IF('Net zero activities &amp; levers'!$C$5="On",(((('Activity data'!BC10-'Net zero supporting data'!AA19)*EF!$H9)+('Net zero supporting data'!AA19*'Net zero supporting data'!AA29))*kgtoGg)))</f>
        <v>-12.492018778210205</v>
      </c>
      <c r="AK9" s="100">
        <f>IF('Net zero activities &amp; levers'!$C$5="Off",('Activity data'!BD10*EF!$H9)*kgtoGg,IF('Net zero activities &amp; levers'!$C$5="On",(((('Activity data'!BD10-'Net zero supporting data'!AB19)*EF!$H9)+('Net zero supporting data'!AB19*'Net zero supporting data'!AB29))*kgtoGg)))</f>
        <v>-12.600801008727327</v>
      </c>
      <c r="AL9" s="100">
        <f>IF('Net zero activities &amp; levers'!$C$5="Off",('Activity data'!BE10*EF!$H9)*kgtoGg,IF('Net zero activities &amp; levers'!$C$5="On",(((('Activity data'!BE10-'Net zero supporting data'!AC19)*EF!$H9)+('Net zero supporting data'!AC19*'Net zero supporting data'!AC29))*kgtoGg)))</f>
        <v>-12.710380919976043</v>
      </c>
      <c r="AM9" s="100">
        <f>IF('Net zero activities &amp; levers'!$C$5="Off",('Activity data'!BF10*EF!$H9)*kgtoGg,IF('Net zero activities &amp; levers'!$C$5="On",(((('Activity data'!BF10-'Net zero supporting data'!AD19)*EF!$H9)+('Net zero supporting data'!AD19*'Net zero supporting data'!AD29))*kgtoGg)))</f>
        <v>-12.820765854023717</v>
      </c>
      <c r="AN9" s="100">
        <f>IF('Net zero activities &amp; levers'!$C$5="Off",('Activity data'!BG10*EF!$H9)*kgtoGg,IF('Net zero activities &amp; levers'!$C$5="On",(((('Activity data'!BG10-'Net zero supporting data'!AE19)*EF!$H9)+('Net zero supporting data'!AE19*'Net zero supporting data'!AE29))*kgtoGg)))</f>
        <v>-12.918126127309321</v>
      </c>
      <c r="AO9" s="100">
        <f>IF('Net zero activities &amp; levers'!$C$5="Off",('Activity data'!BH10*EF!$H9)*kgtoGg,IF('Net zero activities &amp; levers'!$C$5="On",(((('Activity data'!BH10-'Net zero supporting data'!AF19)*EF!$H9)+('Net zero supporting data'!AF19*'Net zero supporting data'!AF29))*kgtoGg)))</f>
        <v>-13.016161465609938</v>
      </c>
      <c r="AP9" s="100">
        <f>IF('Net zero activities &amp; levers'!$C$5="Off",('Activity data'!BI10*EF!$H9)*kgtoGg,IF('Net zero activities &amp; levers'!$C$5="On",(((('Activity data'!BI10-'Net zero supporting data'!AG19)*EF!$H9)+('Net zero supporting data'!AG19*'Net zero supporting data'!AG29))*kgtoGg)))</f>
        <v>-13.114877218872262</v>
      </c>
      <c r="AQ9" s="100">
        <f>IF('Net zero activities &amp; levers'!$C$5="Off",('Activity data'!BJ10*EF!$H9)*kgtoGg,IF('Net zero activities &amp; levers'!$C$5="On",(((('Activity data'!BJ10-'Net zero supporting data'!AH19)*EF!$H9)+('Net zero supporting data'!AH19*'Net zero supporting data'!AH29))*kgtoGg)))</f>
        <v>-13.214278777589945</v>
      </c>
      <c r="AR9" s="100">
        <f>IF('Net zero activities &amp; levers'!$C$5="Off",('Activity data'!BK10*EF!$H9)*kgtoGg,IF('Net zero activities &amp; levers'!$C$5="On",(((('Activity data'!BK10-'Net zero supporting data'!AI19)*EF!$H9)+('Net zero supporting data'!AI19*'Net zero supporting data'!AI29))*kgtoGg)))</f>
        <v>-13.31437157310056</v>
      </c>
      <c r="AS9" s="100">
        <f>IF('Net zero activities &amp; levers'!$C$5="Off",('Activity data'!BL10*EF!$H9)*kgtoGg,IF('Net zero activities &amp; levers'!$C$5="On",(((('Activity data'!BL10-'Net zero supporting data'!AJ19)*EF!$H9)+('Net zero supporting data'!AJ19*'Net zero supporting data'!AJ29))*kgtoGg)))</f>
        <v>-13.4060436888662</v>
      </c>
      <c r="AT9" s="100">
        <f>IF('Net zero activities &amp; levers'!$C$5="Off",('Activity data'!BM10*EF!$H9)*kgtoGg,IF('Net zero activities &amp; levers'!$C$5="On",(((('Activity data'!BM10-'Net zero supporting data'!AK19)*EF!$H9)+('Net zero supporting data'!AK19*'Net zero supporting data'!AK29))*kgtoGg)))</f>
        <v>-13.498246801577455</v>
      </c>
      <c r="AU9" s="100">
        <f>IF('Net zero activities &amp; levers'!$C$5="Off",('Activity data'!BN10*EF!$H9)*kgtoGg,IF('Net zero activities &amp; levers'!$C$5="On",(((('Activity data'!BN10-'Net zero supporting data'!AL19)*EF!$H9)+('Net zero supporting data'!AL19*'Net zero supporting data'!AL29))*kgtoGg)))</f>
        <v>-13.590984427017824</v>
      </c>
      <c r="AV9" s="100">
        <f>IF('Net zero activities &amp; levers'!$C$5="Off",('Activity data'!BO10*EF!$H9)*kgtoGg,IF('Net zero activities &amp; levers'!$C$5="On",(((('Activity data'!BO10-'Net zero supporting data'!AM19)*EF!$H9)+('Net zero supporting data'!AM19*'Net zero supporting data'!AM29))*kgtoGg)))</f>
        <v>-13.684260103125013</v>
      </c>
      <c r="AW9" s="100">
        <f>IF('Net zero activities &amp; levers'!$C$5="Off",('Activity data'!BP10*EF!$H9)*kgtoGg,IF('Net zero activities &amp; levers'!$C$5="On",(((('Activity data'!BP10-'Net zero supporting data'!AN19)*EF!$H9)+('Net zero supporting data'!AN19*'Net zero supporting data'!AN29))*kgtoGg)))</f>
        <v>-13.778077390125151</v>
      </c>
      <c r="AY9" s="85"/>
    </row>
    <row r="10" spans="1:55" x14ac:dyDescent="0.25">
      <c r="A10" s="102" t="str">
        <f t="shared" si="0"/>
        <v>FS Sheep</v>
      </c>
      <c r="B10" s="102" t="s">
        <v>1005</v>
      </c>
      <c r="C10" s="102" t="s">
        <v>152</v>
      </c>
      <c r="D10" t="s">
        <v>15</v>
      </c>
      <c r="E10" t="s">
        <v>16</v>
      </c>
      <c r="F10" t="s">
        <v>18</v>
      </c>
      <c r="G10" t="s">
        <v>122</v>
      </c>
      <c r="H10" t="s">
        <v>1021</v>
      </c>
      <c r="I10" t="s">
        <v>121</v>
      </c>
      <c r="J10" t="s">
        <v>286</v>
      </c>
      <c r="K10" s="28">
        <f>K1385</f>
        <v>132.58757058147904</v>
      </c>
      <c r="L10" s="28">
        <f t="shared" ref="L10:AW17" si="6">L1385</f>
        <v>132.65997552000914</v>
      </c>
      <c r="M10" s="28">
        <f t="shared" si="6"/>
        <v>132.82210408590223</v>
      </c>
      <c r="N10" s="28">
        <f t="shared" si="6"/>
        <v>133.06614161446052</v>
      </c>
      <c r="O10" s="28">
        <f t="shared" si="6"/>
        <v>133.3953531354135</v>
      </c>
      <c r="P10" s="28">
        <f t="shared" si="6"/>
        <v>133.81008797408685</v>
      </c>
      <c r="Q10" s="28">
        <f t="shared" si="6"/>
        <v>134.27208577169884</v>
      </c>
      <c r="R10" s="28">
        <f t="shared" si="6"/>
        <v>134.77278624125299</v>
      </c>
      <c r="S10" s="28">
        <f t="shared" si="6"/>
        <v>135.24330047488556</v>
      </c>
      <c r="T10" s="28">
        <f t="shared" si="6"/>
        <v>135.43984338147078</v>
      </c>
      <c r="U10" s="28">
        <f t="shared" si="6"/>
        <v>135.66790740229135</v>
      </c>
      <c r="V10" s="28">
        <f t="shared" si="6"/>
        <v>135.92744577431912</v>
      </c>
      <c r="W10" s="28">
        <f t="shared" si="6"/>
        <v>136.21980319636509</v>
      </c>
      <c r="X10" s="28">
        <f t="shared" si="6"/>
        <v>136.54029274426662</v>
      </c>
      <c r="Y10" s="28">
        <f t="shared" si="6"/>
        <v>136.73757850266969</v>
      </c>
      <c r="Z10" s="28">
        <f t="shared" si="6"/>
        <v>136.95795076822631</v>
      </c>
      <c r="AA10" s="28">
        <f t="shared" si="6"/>
        <v>137.20220925985299</v>
      </c>
      <c r="AB10" s="28">
        <f t="shared" si="6"/>
        <v>137.46660109068114</v>
      </c>
      <c r="AC10" s="28">
        <f t="shared" si="6"/>
        <v>137.75207161797405</v>
      </c>
      <c r="AD10" s="28">
        <f t="shared" si="6"/>
        <v>137.94000218541183</v>
      </c>
      <c r="AE10" s="28">
        <f t="shared" si="6"/>
        <v>138.14770015018067</v>
      </c>
      <c r="AF10" s="28">
        <f t="shared" si="6"/>
        <v>138.37329758077868</v>
      </c>
      <c r="AG10" s="28">
        <f t="shared" si="6"/>
        <v>138.59125347156044</v>
      </c>
      <c r="AH10" s="28">
        <f t="shared" si="6"/>
        <v>137.6594267769662</v>
      </c>
      <c r="AI10" s="28">
        <f t="shared" si="6"/>
        <v>137.79176090123983</v>
      </c>
      <c r="AJ10" s="28">
        <f t="shared" si="6"/>
        <v>137.93779226287748</v>
      </c>
      <c r="AK10" s="28">
        <f t="shared" si="6"/>
        <v>138.09700339174353</v>
      </c>
      <c r="AL10" s="28">
        <f t="shared" si="6"/>
        <v>138.26891681492259</v>
      </c>
      <c r="AM10" s="28">
        <f t="shared" si="6"/>
        <v>138.45309126128626</v>
      </c>
      <c r="AN10" s="28">
        <f t="shared" si="6"/>
        <v>138.54247128713709</v>
      </c>
      <c r="AO10" s="28">
        <f t="shared" si="6"/>
        <v>138.64265405515414</v>
      </c>
      <c r="AP10" s="28">
        <f t="shared" si="6"/>
        <v>138.75326360443952</v>
      </c>
      <c r="AQ10" s="28">
        <f t="shared" si="6"/>
        <v>138.87394970624567</v>
      </c>
      <c r="AR10" s="28">
        <f t="shared" si="6"/>
        <v>139.00438567790363</v>
      </c>
      <c r="AS10" s="28">
        <f t="shared" si="6"/>
        <v>139.03656264546001</v>
      </c>
      <c r="AT10" s="28">
        <f t="shared" si="6"/>
        <v>139.07739261805247</v>
      </c>
      <c r="AU10" s="28">
        <f t="shared" si="6"/>
        <v>139.1265890083165</v>
      </c>
      <c r="AV10" s="28">
        <f t="shared" si="6"/>
        <v>139.18388272915809</v>
      </c>
      <c r="AW10" s="28">
        <f t="shared" si="6"/>
        <v>139.24902084795488</v>
      </c>
      <c r="AY10" s="85"/>
    </row>
    <row r="11" spans="1:55" x14ac:dyDescent="0.25">
      <c r="A11" s="102" t="str">
        <f t="shared" si="0"/>
        <v>FS Sheep</v>
      </c>
      <c r="B11" s="102" t="s">
        <v>1005</v>
      </c>
      <c r="C11" s="102" t="s">
        <v>152</v>
      </c>
      <c r="D11" t="s">
        <v>15</v>
      </c>
      <c r="E11" t="s">
        <v>16</v>
      </c>
      <c r="F11" t="s">
        <v>18</v>
      </c>
      <c r="G11" t="s">
        <v>123</v>
      </c>
      <c r="H11" t="s">
        <v>1021</v>
      </c>
      <c r="I11" t="s">
        <v>121</v>
      </c>
      <c r="J11" t="s">
        <v>286</v>
      </c>
      <c r="K11" s="28">
        <f t="shared" ref="K11:Z53" si="7">K1386</f>
        <v>14.369021000318453</v>
      </c>
      <c r="L11" s="28">
        <f t="shared" si="7"/>
        <v>14.376867799816345</v>
      </c>
      <c r="M11" s="28">
        <f t="shared" si="7"/>
        <v>14.394438291211975</v>
      </c>
      <c r="N11" s="28">
        <f t="shared" si="7"/>
        <v>14.420885569469965</v>
      </c>
      <c r="O11" s="28">
        <f t="shared" si="7"/>
        <v>14.456563478322018</v>
      </c>
      <c r="P11" s="28">
        <f t="shared" si="7"/>
        <v>14.50150987548674</v>
      </c>
      <c r="Q11" s="28">
        <f t="shared" si="7"/>
        <v>14.55157833987502</v>
      </c>
      <c r="R11" s="28">
        <f t="shared" si="7"/>
        <v>14.60584116051756</v>
      </c>
      <c r="S11" s="28">
        <f t="shared" si="7"/>
        <v>14.656832583577541</v>
      </c>
      <c r="T11" s="28">
        <f t="shared" si="7"/>
        <v>14.678132688404874</v>
      </c>
      <c r="U11" s="28">
        <f t="shared" si="7"/>
        <v>14.702848856671748</v>
      </c>
      <c r="V11" s="28">
        <f t="shared" si="7"/>
        <v>14.730976020490347</v>
      </c>
      <c r="W11" s="28">
        <f t="shared" si="7"/>
        <v>14.762659910002416</v>
      </c>
      <c r="X11" s="28">
        <f t="shared" si="7"/>
        <v>14.797392585350364</v>
      </c>
      <c r="Y11" s="28">
        <f t="shared" si="7"/>
        <v>14.818773195864045</v>
      </c>
      <c r="Z11" s="28">
        <f t="shared" si="7"/>
        <v>14.842655779259934</v>
      </c>
      <c r="AA11" s="28">
        <f t="shared" si="6"/>
        <v>14.869127004128885</v>
      </c>
      <c r="AB11" s="28">
        <f t="shared" si="6"/>
        <v>14.897780155799289</v>
      </c>
      <c r="AC11" s="28">
        <f t="shared" si="6"/>
        <v>14.928717686245429</v>
      </c>
      <c r="AD11" s="28">
        <f t="shared" si="6"/>
        <v>14.949084439013225</v>
      </c>
      <c r="AE11" s="28">
        <f t="shared" si="6"/>
        <v>14.971593460065483</v>
      </c>
      <c r="AF11" s="28">
        <f t="shared" si="6"/>
        <v>14.996042314537018</v>
      </c>
      <c r="AG11" s="28">
        <f t="shared" si="6"/>
        <v>15.019663026177268</v>
      </c>
      <c r="AH11" s="28">
        <f t="shared" si="6"/>
        <v>14.918677411277161</v>
      </c>
      <c r="AI11" s="28">
        <f t="shared" si="6"/>
        <v>14.933018965333902</v>
      </c>
      <c r="AJ11" s="28">
        <f t="shared" si="6"/>
        <v>14.948844941274739</v>
      </c>
      <c r="AK11" s="28">
        <f t="shared" si="6"/>
        <v>14.966099258886322</v>
      </c>
      <c r="AL11" s="28">
        <f t="shared" si="6"/>
        <v>14.984730172606687</v>
      </c>
      <c r="AM11" s="28">
        <f t="shared" si="6"/>
        <v>15.004689860199688</v>
      </c>
      <c r="AN11" s="28">
        <f t="shared" si="6"/>
        <v>15.014376314690312</v>
      </c>
      <c r="AO11" s="28">
        <f t="shared" si="6"/>
        <v>15.025233503574562</v>
      </c>
      <c r="AP11" s="28">
        <f t="shared" si="6"/>
        <v>15.037220682535205</v>
      </c>
      <c r="AQ11" s="28">
        <f t="shared" si="6"/>
        <v>15.050299895946342</v>
      </c>
      <c r="AR11" s="28">
        <f t="shared" si="6"/>
        <v>15.064435739960453</v>
      </c>
      <c r="AS11" s="28">
        <f t="shared" si="6"/>
        <v>15.067922880727245</v>
      </c>
      <c r="AT11" s="28">
        <f t="shared" si="6"/>
        <v>15.072347780671114</v>
      </c>
      <c r="AU11" s="28">
        <f t="shared" si="6"/>
        <v>15.077679381225703</v>
      </c>
      <c r="AV11" s="28">
        <f t="shared" si="6"/>
        <v>15.083888520395751</v>
      </c>
      <c r="AW11" s="28">
        <f t="shared" si="6"/>
        <v>15.090947786907744</v>
      </c>
      <c r="AY11" s="85"/>
    </row>
    <row r="12" spans="1:55" x14ac:dyDescent="0.25">
      <c r="A12" s="102" t="str">
        <f t="shared" si="0"/>
        <v>FS Goats</v>
      </c>
      <c r="B12" s="102" t="s">
        <v>1005</v>
      </c>
      <c r="C12" s="102" t="s">
        <v>153</v>
      </c>
      <c r="D12" t="s">
        <v>15</v>
      </c>
      <c r="E12" t="s">
        <v>16</v>
      </c>
      <c r="F12" t="s">
        <v>19</v>
      </c>
      <c r="G12" t="s">
        <v>122</v>
      </c>
      <c r="H12" t="s">
        <v>1021</v>
      </c>
      <c r="I12" t="s">
        <v>121</v>
      </c>
      <c r="J12" t="s">
        <v>286</v>
      </c>
      <c r="K12" s="28">
        <f t="shared" si="7"/>
        <v>15.122912034052119</v>
      </c>
      <c r="L12" s="28">
        <f t="shared" si="6"/>
        <v>15.16235617086264</v>
      </c>
      <c r="M12" s="28">
        <f t="shared" si="6"/>
        <v>15.214918977175502</v>
      </c>
      <c r="N12" s="28">
        <f t="shared" si="6"/>
        <v>15.279431878529646</v>
      </c>
      <c r="O12" s="28">
        <f t="shared" si="6"/>
        <v>15.356670108197457</v>
      </c>
      <c r="P12" s="28">
        <f t="shared" si="6"/>
        <v>15.446839206530987</v>
      </c>
      <c r="Q12" s="28">
        <f t="shared" si="6"/>
        <v>15.543246595834415</v>
      </c>
      <c r="R12" s="28">
        <f t="shared" si="6"/>
        <v>15.644513729476552</v>
      </c>
      <c r="S12" s="28">
        <f t="shared" si="6"/>
        <v>15.738586448717601</v>
      </c>
      <c r="T12" s="28">
        <f t="shared" si="6"/>
        <v>15.782671791027241</v>
      </c>
      <c r="U12" s="28">
        <f t="shared" si="6"/>
        <v>15.831013812582922</v>
      </c>
      <c r="V12" s="28">
        <f t="shared" si="6"/>
        <v>15.883673860630685</v>
      </c>
      <c r="W12" s="28">
        <f t="shared" si="6"/>
        <v>15.940945806372881</v>
      </c>
      <c r="X12" s="28">
        <f t="shared" si="6"/>
        <v>16.002058548962822</v>
      </c>
      <c r="Y12" s="28">
        <f t="shared" si="6"/>
        <v>16.040687609599484</v>
      </c>
      <c r="Z12" s="28">
        <f t="shared" si="6"/>
        <v>16.082482288873532</v>
      </c>
      <c r="AA12" s="28">
        <f t="shared" si="6"/>
        <v>16.127615494082271</v>
      </c>
      <c r="AB12" s="28">
        <f t="shared" si="6"/>
        <v>16.175465875658951</v>
      </c>
      <c r="AC12" s="28">
        <f t="shared" si="6"/>
        <v>16.226224840403397</v>
      </c>
      <c r="AD12" s="28">
        <f t="shared" si="6"/>
        <v>16.259468591936052</v>
      </c>
      <c r="AE12" s="28">
        <f t="shared" si="6"/>
        <v>16.295521678721617</v>
      </c>
      <c r="AF12" s="28">
        <f t="shared" si="6"/>
        <v>16.334079311640636</v>
      </c>
      <c r="AG12" s="28">
        <f t="shared" si="6"/>
        <v>16.370780543129868</v>
      </c>
      <c r="AH12" s="28">
        <f t="shared" si="6"/>
        <v>16.210342962451882</v>
      </c>
      <c r="AI12" s="28">
        <f t="shared" si="6"/>
        <v>16.231809554619815</v>
      </c>
      <c r="AJ12" s="28">
        <f t="shared" si="6"/>
        <v>16.255200949759832</v>
      </c>
      <c r="AK12" s="28">
        <f t="shared" si="6"/>
        <v>16.280438980022009</v>
      </c>
      <c r="AL12" s="28">
        <f t="shared" si="6"/>
        <v>16.307451540692337</v>
      </c>
      <c r="AM12" s="28">
        <f t="shared" si="6"/>
        <v>16.33617200965886</v>
      </c>
      <c r="AN12" s="28">
        <f t="shared" si="6"/>
        <v>16.348500225303503</v>
      </c>
      <c r="AO12" s="28">
        <f t="shared" si="6"/>
        <v>16.362367038828094</v>
      </c>
      <c r="AP12" s="28">
        <f t="shared" si="6"/>
        <v>16.377714445166813</v>
      </c>
      <c r="AQ12" s="28">
        <f t="shared" si="6"/>
        <v>16.394488418537772</v>
      </c>
      <c r="AR12" s="28">
        <f t="shared" si="6"/>
        <v>16.412638571526305</v>
      </c>
      <c r="AS12" s="28">
        <f t="shared" si="6"/>
        <v>16.414054645399585</v>
      </c>
      <c r="AT12" s="28">
        <f t="shared" si="6"/>
        <v>16.416730079303285</v>
      </c>
      <c r="AU12" s="28">
        <f t="shared" si="6"/>
        <v>16.420619645756457</v>
      </c>
      <c r="AV12" s="28">
        <f t="shared" si="6"/>
        <v>16.425680885599256</v>
      </c>
      <c r="AW12" s="28">
        <f t="shared" si="6"/>
        <v>16.431873893524784</v>
      </c>
      <c r="AY12" s="85"/>
    </row>
    <row r="13" spans="1:55" x14ac:dyDescent="0.25">
      <c r="A13" s="102" t="str">
        <f t="shared" si="0"/>
        <v>FS Goats</v>
      </c>
      <c r="B13" s="102" t="s">
        <v>1005</v>
      </c>
      <c r="C13" s="102" t="s">
        <v>153</v>
      </c>
      <c r="D13" t="s">
        <v>15</v>
      </c>
      <c r="E13" t="s">
        <v>16</v>
      </c>
      <c r="F13" t="s">
        <v>19</v>
      </c>
      <c r="G13" t="s">
        <v>123</v>
      </c>
      <c r="H13" t="s">
        <v>1021</v>
      </c>
      <c r="I13" t="s">
        <v>121</v>
      </c>
      <c r="J13" t="s">
        <v>286</v>
      </c>
      <c r="K13" s="28">
        <f t="shared" si="7"/>
        <v>22.380358537009105</v>
      </c>
      <c r="L13" s="28">
        <f t="shared" si="6"/>
        <v>22.438731813400228</v>
      </c>
      <c r="M13" s="28">
        <f t="shared" si="6"/>
        <v>22.516519374971988</v>
      </c>
      <c r="N13" s="28">
        <f t="shared" si="6"/>
        <v>22.611991851391704</v>
      </c>
      <c r="O13" s="28">
        <f t="shared" si="6"/>
        <v>22.726296508380855</v>
      </c>
      <c r="P13" s="28">
        <f t="shared" si="6"/>
        <v>22.859737524576634</v>
      </c>
      <c r="Q13" s="28">
        <f t="shared" si="6"/>
        <v>23.002410571498377</v>
      </c>
      <c r="R13" s="28">
        <f t="shared" si="6"/>
        <v>23.152275541540064</v>
      </c>
      <c r="S13" s="28">
        <f t="shared" si="6"/>
        <v>23.291493516254551</v>
      </c>
      <c r="T13" s="28">
        <f t="shared" si="6"/>
        <v>23.356735300700223</v>
      </c>
      <c r="U13" s="28">
        <f t="shared" si="6"/>
        <v>23.428276533789713</v>
      </c>
      <c r="V13" s="28">
        <f t="shared" si="6"/>
        <v>23.506208003154299</v>
      </c>
      <c r="W13" s="28">
        <f t="shared" si="6"/>
        <v>23.590964608028823</v>
      </c>
      <c r="X13" s="28">
        <f t="shared" si="6"/>
        <v>23.681405198257956</v>
      </c>
      <c r="Y13" s="28">
        <f t="shared" si="6"/>
        <v>23.738572245520402</v>
      </c>
      <c r="Z13" s="28">
        <f t="shared" si="6"/>
        <v>23.800424083644316</v>
      </c>
      <c r="AA13" s="28">
        <f t="shared" si="6"/>
        <v>23.8672165976933</v>
      </c>
      <c r="AB13" s="28">
        <f t="shared" si="6"/>
        <v>23.938030254045156</v>
      </c>
      <c r="AC13" s="28">
        <f t="shared" si="6"/>
        <v>24.013148315129573</v>
      </c>
      <c r="AD13" s="28">
        <f t="shared" si="6"/>
        <v>24.062345657330646</v>
      </c>
      <c r="AE13" s="28">
        <f t="shared" si="6"/>
        <v>24.115700527530912</v>
      </c>
      <c r="AF13" s="28">
        <f t="shared" si="6"/>
        <v>24.172761869098128</v>
      </c>
      <c r="AG13" s="28">
        <f t="shared" si="6"/>
        <v>24.227075926974639</v>
      </c>
      <c r="AH13" s="28">
        <f t="shared" si="6"/>
        <v>23.989644764887686</v>
      </c>
      <c r="AI13" s="28">
        <f t="shared" si="6"/>
        <v>24.021413119302785</v>
      </c>
      <c r="AJ13" s="28">
        <f t="shared" si="6"/>
        <v>24.056029984674726</v>
      </c>
      <c r="AK13" s="28">
        <f t="shared" si="6"/>
        <v>24.093379680603892</v>
      </c>
      <c r="AL13" s="28">
        <f t="shared" si="6"/>
        <v>24.133355499509896</v>
      </c>
      <c r="AM13" s="28">
        <f t="shared" si="6"/>
        <v>24.175858847500976</v>
      </c>
      <c r="AN13" s="28">
        <f t="shared" si="6"/>
        <v>24.194103342055165</v>
      </c>
      <c r="AO13" s="28">
        <f t="shared" si="6"/>
        <v>24.214624803645847</v>
      </c>
      <c r="AP13" s="28">
        <f t="shared" si="6"/>
        <v>24.23733739072566</v>
      </c>
      <c r="AQ13" s="28">
        <f t="shared" si="6"/>
        <v>24.26216115067923</v>
      </c>
      <c r="AR13" s="28">
        <f t="shared" si="6"/>
        <v>24.289021515301489</v>
      </c>
      <c r="AS13" s="28">
        <f t="shared" si="6"/>
        <v>24.291117159376356</v>
      </c>
      <c r="AT13" s="28">
        <f t="shared" si="6"/>
        <v>24.295076527113999</v>
      </c>
      <c r="AU13" s="28">
        <f t="shared" si="6"/>
        <v>24.300832686481954</v>
      </c>
      <c r="AV13" s="28">
        <f t="shared" si="6"/>
        <v>24.308322802279001</v>
      </c>
      <c r="AW13" s="28">
        <f t="shared" si="6"/>
        <v>24.317487818744329</v>
      </c>
      <c r="AY13" s="85"/>
    </row>
    <row r="14" spans="1:55" x14ac:dyDescent="0.25">
      <c r="A14" s="102" t="str">
        <f t="shared" si="0"/>
        <v>FS Horses</v>
      </c>
      <c r="B14" s="102" t="s">
        <v>1005</v>
      </c>
      <c r="C14" s="102" t="s">
        <v>3</v>
      </c>
      <c r="D14" t="s">
        <v>15</v>
      </c>
      <c r="E14" t="s">
        <v>16</v>
      </c>
      <c r="F14" t="s">
        <v>20</v>
      </c>
      <c r="G14" t="s">
        <v>3</v>
      </c>
      <c r="H14" t="s">
        <v>1021</v>
      </c>
      <c r="I14" t="s">
        <v>121</v>
      </c>
      <c r="J14" t="s">
        <v>286</v>
      </c>
      <c r="K14" s="28">
        <f t="shared" si="7"/>
        <v>5.5696427744330439</v>
      </c>
      <c r="L14" s="28">
        <f t="shared" si="6"/>
        <v>5.6022840873497932</v>
      </c>
      <c r="M14" s="28">
        <f t="shared" si="6"/>
        <v>5.6103260601490881</v>
      </c>
      <c r="N14" s="28">
        <f t="shared" si="6"/>
        <v>5.5857580588048208</v>
      </c>
      <c r="O14" s="28">
        <f t="shared" si="6"/>
        <v>5.559765331848693</v>
      </c>
      <c r="P14" s="28">
        <f t="shared" si="6"/>
        <v>5.5473985576087426</v>
      </c>
      <c r="Q14" s="28">
        <f t="shared" si="6"/>
        <v>5.5391504700870771</v>
      </c>
      <c r="R14" s="28">
        <f t="shared" si="6"/>
        <v>5.4993657963463365</v>
      </c>
      <c r="S14" s="28">
        <f t="shared" si="6"/>
        <v>5.1779141846798922</v>
      </c>
      <c r="T14" s="28">
        <f t="shared" si="6"/>
        <v>5.2234365031656678</v>
      </c>
      <c r="U14" s="28">
        <f t="shared" si="6"/>
        <v>5.2607139869862687</v>
      </c>
      <c r="V14" s="28">
        <f t="shared" si="6"/>
        <v>5.2972378917474705</v>
      </c>
      <c r="W14" s="28">
        <f t="shared" si="6"/>
        <v>5.3445893517249541</v>
      </c>
      <c r="X14" s="28">
        <f t="shared" si="6"/>
        <v>5.391074742094033</v>
      </c>
      <c r="Y14" s="28">
        <f t="shared" si="6"/>
        <v>5.4443279456237095</v>
      </c>
      <c r="Z14" s="28">
        <f t="shared" si="6"/>
        <v>5.4941146702747297</v>
      </c>
      <c r="AA14" s="28">
        <f t="shared" si="6"/>
        <v>5.5476702009922301</v>
      </c>
      <c r="AB14" s="28">
        <f t="shared" si="6"/>
        <v>5.5951924858009336</v>
      </c>
      <c r="AC14" s="28">
        <f t="shared" si="6"/>
        <v>5.6435970948645044</v>
      </c>
      <c r="AD14" s="28">
        <f t="shared" si="6"/>
        <v>5.7106381367284076</v>
      </c>
      <c r="AE14" s="28">
        <f t="shared" si="6"/>
        <v>5.7837954436426573</v>
      </c>
      <c r="AF14" s="28">
        <f t="shared" si="6"/>
        <v>5.8590224803991617</v>
      </c>
      <c r="AG14" s="28">
        <f t="shared" si="6"/>
        <v>5.8483213454344947</v>
      </c>
      <c r="AH14" s="28">
        <f t="shared" si="6"/>
        <v>1.7304204380446728</v>
      </c>
      <c r="AI14" s="28">
        <f t="shared" si="6"/>
        <v>1.7304204380446728</v>
      </c>
      <c r="AJ14" s="28">
        <f t="shared" si="6"/>
        <v>1.7304204380446728</v>
      </c>
      <c r="AK14" s="28">
        <f t="shared" si="6"/>
        <v>1.7304204380446728</v>
      </c>
      <c r="AL14" s="28">
        <f t="shared" si="6"/>
        <v>1.7304204380446728</v>
      </c>
      <c r="AM14" s="28">
        <f t="shared" si="6"/>
        <v>1.7304204380446728</v>
      </c>
      <c r="AN14" s="28">
        <f t="shared" si="6"/>
        <v>1.7304204380446728</v>
      </c>
      <c r="AO14" s="28">
        <f t="shared" si="6"/>
        <v>1.7304204380446728</v>
      </c>
      <c r="AP14" s="28">
        <f t="shared" si="6"/>
        <v>1.7304204380446728</v>
      </c>
      <c r="AQ14" s="28">
        <f t="shared" si="6"/>
        <v>1.7304204380446728</v>
      </c>
      <c r="AR14" s="28">
        <f t="shared" si="6"/>
        <v>1.7304204380446728</v>
      </c>
      <c r="AS14" s="28">
        <f t="shared" si="6"/>
        <v>1.7304204380446728</v>
      </c>
      <c r="AT14" s="28">
        <f t="shared" si="6"/>
        <v>1.7304204380446728</v>
      </c>
      <c r="AU14" s="28">
        <f t="shared" si="6"/>
        <v>1.7304204380446728</v>
      </c>
      <c r="AV14" s="28">
        <f t="shared" si="6"/>
        <v>1.7304204380446728</v>
      </c>
      <c r="AW14" s="28">
        <f t="shared" si="6"/>
        <v>1.7304204380446728</v>
      </c>
      <c r="AY14" s="85"/>
    </row>
    <row r="15" spans="1:55" x14ac:dyDescent="0.25">
      <c r="A15" s="102" t="str">
        <f t="shared" si="0"/>
        <v>FS Mules&amp;Asses</v>
      </c>
      <c r="B15" s="102" t="s">
        <v>1005</v>
      </c>
      <c r="C15" s="102" t="s">
        <v>1324</v>
      </c>
      <c r="D15" t="s">
        <v>15</v>
      </c>
      <c r="E15" t="s">
        <v>16</v>
      </c>
      <c r="F15" t="s">
        <v>140</v>
      </c>
      <c r="G15" t="s">
        <v>124</v>
      </c>
      <c r="H15" t="s">
        <v>1021</v>
      </c>
      <c r="I15" t="s">
        <v>121</v>
      </c>
      <c r="J15" t="s">
        <v>286</v>
      </c>
      <c r="K15" s="28">
        <f t="shared" si="7"/>
        <v>1.67</v>
      </c>
      <c r="L15" s="28">
        <f t="shared" si="6"/>
        <v>1.67</v>
      </c>
      <c r="M15" s="28">
        <f t="shared" si="6"/>
        <v>1.67</v>
      </c>
      <c r="N15" s="28">
        <f t="shared" si="6"/>
        <v>1.67</v>
      </c>
      <c r="O15" s="28">
        <f t="shared" si="6"/>
        <v>1.67</v>
      </c>
      <c r="P15" s="28">
        <f t="shared" si="6"/>
        <v>1.67</v>
      </c>
      <c r="Q15" s="28">
        <f t="shared" si="6"/>
        <v>1.67</v>
      </c>
      <c r="R15" s="28">
        <f t="shared" si="6"/>
        <v>1.67</v>
      </c>
      <c r="S15" s="28">
        <f t="shared" si="6"/>
        <v>1.67</v>
      </c>
      <c r="T15" s="28">
        <f t="shared" si="6"/>
        <v>1.67</v>
      </c>
      <c r="U15" s="28">
        <f t="shared" si="6"/>
        <v>1.67</v>
      </c>
      <c r="V15" s="28">
        <f t="shared" si="6"/>
        <v>1.67</v>
      </c>
      <c r="W15" s="28">
        <f t="shared" si="6"/>
        <v>1.67</v>
      </c>
      <c r="X15" s="28">
        <f t="shared" si="6"/>
        <v>1.67</v>
      </c>
      <c r="Y15" s="28">
        <f t="shared" si="6"/>
        <v>1.67</v>
      </c>
      <c r="Z15" s="28">
        <f t="shared" si="6"/>
        <v>1.67</v>
      </c>
      <c r="AA15" s="28">
        <f t="shared" si="6"/>
        <v>1.67</v>
      </c>
      <c r="AB15" s="28">
        <f t="shared" si="6"/>
        <v>1.67</v>
      </c>
      <c r="AC15" s="28">
        <f t="shared" si="6"/>
        <v>1.67</v>
      </c>
      <c r="AD15" s="28">
        <f t="shared" si="6"/>
        <v>1.67</v>
      </c>
      <c r="AE15" s="28">
        <f t="shared" si="6"/>
        <v>1.67</v>
      </c>
      <c r="AF15" s="28">
        <f t="shared" si="6"/>
        <v>1.67</v>
      </c>
      <c r="AG15" s="28">
        <f t="shared" si="6"/>
        <v>1.67</v>
      </c>
      <c r="AH15" s="28">
        <f t="shared" si="6"/>
        <v>1.67</v>
      </c>
      <c r="AI15" s="28">
        <f t="shared" si="6"/>
        <v>1.67</v>
      </c>
      <c r="AJ15" s="28">
        <f t="shared" si="6"/>
        <v>1.67</v>
      </c>
      <c r="AK15" s="28">
        <f t="shared" si="6"/>
        <v>1.67</v>
      </c>
      <c r="AL15" s="28">
        <f t="shared" si="6"/>
        <v>1.67</v>
      </c>
      <c r="AM15" s="28">
        <f t="shared" si="6"/>
        <v>1.67</v>
      </c>
      <c r="AN15" s="28">
        <f t="shared" si="6"/>
        <v>1.67</v>
      </c>
      <c r="AO15" s="28">
        <f t="shared" si="6"/>
        <v>1.67</v>
      </c>
      <c r="AP15" s="28">
        <f t="shared" si="6"/>
        <v>1.67</v>
      </c>
      <c r="AQ15" s="28">
        <f t="shared" si="6"/>
        <v>1.67</v>
      </c>
      <c r="AR15" s="28">
        <f t="shared" si="6"/>
        <v>1.67</v>
      </c>
      <c r="AS15" s="28">
        <f t="shared" si="6"/>
        <v>1.67</v>
      </c>
      <c r="AT15" s="28">
        <f t="shared" si="6"/>
        <v>1.67</v>
      </c>
      <c r="AU15" s="28">
        <f t="shared" si="6"/>
        <v>1.67</v>
      </c>
      <c r="AV15" s="28">
        <f t="shared" si="6"/>
        <v>1.67</v>
      </c>
      <c r="AW15" s="28">
        <f t="shared" si="6"/>
        <v>1.67</v>
      </c>
      <c r="AY15" s="85"/>
    </row>
    <row r="16" spans="1:55" x14ac:dyDescent="0.25">
      <c r="A16" s="102" t="str">
        <f t="shared" si="0"/>
        <v>FS Swine</v>
      </c>
      <c r="B16" s="102" t="s">
        <v>1005</v>
      </c>
      <c r="C16" s="102" t="s">
        <v>155</v>
      </c>
      <c r="D16" t="s">
        <v>15</v>
      </c>
      <c r="E16" t="s">
        <v>16</v>
      </c>
      <c r="F16" t="s">
        <v>21</v>
      </c>
      <c r="G16" t="s">
        <v>122</v>
      </c>
      <c r="H16" t="s">
        <v>1021</v>
      </c>
      <c r="I16" t="s">
        <v>121</v>
      </c>
      <c r="J16" t="s">
        <v>286</v>
      </c>
      <c r="K16" s="28">
        <f t="shared" si="7"/>
        <v>1.8541666894574054</v>
      </c>
      <c r="L16" s="28">
        <f t="shared" si="6"/>
        <v>1.8483142649538657</v>
      </c>
      <c r="M16" s="28">
        <f t="shared" si="6"/>
        <v>1.8289603412170248</v>
      </c>
      <c r="N16" s="28">
        <f t="shared" si="6"/>
        <v>1.7913821949145237</v>
      </c>
      <c r="O16" s="28">
        <f t="shared" si="6"/>
        <v>1.7554482253507835</v>
      </c>
      <c r="P16" s="28">
        <f t="shared" si="6"/>
        <v>1.7302400840947183</v>
      </c>
      <c r="Q16" s="28">
        <f t="shared" si="6"/>
        <v>1.708890891068684</v>
      </c>
      <c r="R16" s="28">
        <f t="shared" si="6"/>
        <v>1.6695786047731636</v>
      </c>
      <c r="S16" s="28">
        <f t="shared" si="6"/>
        <v>1.4615896404106821</v>
      </c>
      <c r="T16" s="28">
        <f t="shared" si="6"/>
        <v>1.4708774478581006</v>
      </c>
      <c r="U16" s="28">
        <f t="shared" si="6"/>
        <v>1.475539546686083</v>
      </c>
      <c r="V16" s="28">
        <f t="shared" si="6"/>
        <v>1.4800720193256183</v>
      </c>
      <c r="W16" s="28">
        <f t="shared" si="6"/>
        <v>1.4911430483593251</v>
      </c>
      <c r="X16" s="28">
        <f t="shared" si="6"/>
        <v>1.5018418879535562</v>
      </c>
      <c r="Y16" s="28">
        <f t="shared" si="6"/>
        <v>1.5141161979930053</v>
      </c>
      <c r="Z16" s="28">
        <f t="shared" si="6"/>
        <v>1.5244186206157291</v>
      </c>
      <c r="AA16" s="28">
        <f t="shared" si="6"/>
        <v>1.5367997357970316</v>
      </c>
      <c r="AB16" s="28">
        <f t="shared" si="6"/>
        <v>1.5458124762264192</v>
      </c>
      <c r="AC16" s="28">
        <f t="shared" si="6"/>
        <v>1.5552930899763542</v>
      </c>
      <c r="AD16" s="28">
        <f t="shared" si="6"/>
        <v>1.5727795493180676</v>
      </c>
      <c r="AE16" s="28">
        <f t="shared" si="6"/>
        <v>1.5932065886725237</v>
      </c>
      <c r="AF16" s="28">
        <f t="shared" si="6"/>
        <v>1.61434489246593</v>
      </c>
      <c r="AG16" s="28">
        <f t="shared" si="6"/>
        <v>1.5905873244414643</v>
      </c>
      <c r="AH16" s="28">
        <f t="shared" si="6"/>
        <v>-0.53667602659003</v>
      </c>
      <c r="AI16" s="28">
        <f t="shared" si="6"/>
        <v>-0.53080565769123822</v>
      </c>
      <c r="AJ16" s="28">
        <f t="shared" si="6"/>
        <v>-0.52506102374348274</v>
      </c>
      <c r="AK16" s="28">
        <f t="shared" si="6"/>
        <v>-0.51943389932430173</v>
      </c>
      <c r="AL16" s="28">
        <f t="shared" si="6"/>
        <v>-0.51391666127760161</v>
      </c>
      <c r="AM16" s="28">
        <f t="shared" si="6"/>
        <v>-0.50850223047100296</v>
      </c>
      <c r="AN16" s="28">
        <f t="shared" si="6"/>
        <v>-0.50256367866010732</v>
      </c>
      <c r="AO16" s="28">
        <f t="shared" si="6"/>
        <v>-0.496729831902604</v>
      </c>
      <c r="AP16" s="28">
        <f t="shared" si="6"/>
        <v>-0.49099457494449417</v>
      </c>
      <c r="AQ16" s="28">
        <f t="shared" si="6"/>
        <v>-0.48535219196665164</v>
      </c>
      <c r="AR16" s="28">
        <f t="shared" si="6"/>
        <v>-0.47979733207264019</v>
      </c>
      <c r="AS16" s="28">
        <f t="shared" si="6"/>
        <v>-0.47374377836093629</v>
      </c>
      <c r="AT16" s="28">
        <f t="shared" si="6"/>
        <v>-0.46778268442640875</v>
      </c>
      <c r="AU16" s="28">
        <f t="shared" si="6"/>
        <v>-0.46190929102584166</v>
      </c>
      <c r="AV16" s="28">
        <f t="shared" si="6"/>
        <v>-0.45611912010876249</v>
      </c>
      <c r="AW16" s="28">
        <f t="shared" si="6"/>
        <v>-0.45040795289365548</v>
      </c>
      <c r="AY16" s="85"/>
    </row>
    <row r="17" spans="1:51" x14ac:dyDescent="0.25">
      <c r="A17" s="102" t="str">
        <f t="shared" si="0"/>
        <v>FS Swine</v>
      </c>
      <c r="B17" s="102" t="s">
        <v>1005</v>
      </c>
      <c r="C17" s="102" t="s">
        <v>155</v>
      </c>
      <c r="D17" t="s">
        <v>15</v>
      </c>
      <c r="E17" t="s">
        <v>16</v>
      </c>
      <c r="F17" t="s">
        <v>21</v>
      </c>
      <c r="G17" t="s">
        <v>123</v>
      </c>
      <c r="H17" t="s">
        <v>1021</v>
      </c>
      <c r="I17" t="s">
        <v>121</v>
      </c>
      <c r="J17" t="s">
        <v>286</v>
      </c>
      <c r="K17" s="28">
        <f t="shared" si="7"/>
        <v>0.2569163489011142</v>
      </c>
      <c r="L17" s="28">
        <f t="shared" si="6"/>
        <v>0.25610542745364245</v>
      </c>
      <c r="M17" s="28">
        <f t="shared" si="6"/>
        <v>0.25342371633691707</v>
      </c>
      <c r="N17" s="28">
        <f t="shared" si="6"/>
        <v>0.2482168273331373</v>
      </c>
      <c r="O17" s="28">
        <f t="shared" si="6"/>
        <v>0.24323775812952569</v>
      </c>
      <c r="P17" s="28">
        <f t="shared" ref="L17:AW23" si="8">P1392</f>
        <v>0.23974487712216219</v>
      </c>
      <c r="Q17" s="28">
        <f t="shared" si="8"/>
        <v>0.23678669825107104</v>
      </c>
      <c r="R17" s="28">
        <f t="shared" si="8"/>
        <v>0.23133952399245247</v>
      </c>
      <c r="S17" s="28">
        <f t="shared" si="8"/>
        <v>0.20252023517685527</v>
      </c>
      <c r="T17" s="28">
        <f t="shared" si="8"/>
        <v>0.20380716886639622</v>
      </c>
      <c r="U17" s="28">
        <f t="shared" si="8"/>
        <v>0.20445315685437584</v>
      </c>
      <c r="V17" s="28">
        <f t="shared" si="8"/>
        <v>0.20508118362708436</v>
      </c>
      <c r="W17" s="28">
        <f t="shared" si="8"/>
        <v>0.20661520339676887</v>
      </c>
      <c r="X17" s="28">
        <f t="shared" si="8"/>
        <v>0.20809765199303451</v>
      </c>
      <c r="Y17" s="28">
        <f t="shared" si="8"/>
        <v>0.20979840033380981</v>
      </c>
      <c r="Z17" s="28">
        <f t="shared" si="8"/>
        <v>0.21122592075045635</v>
      </c>
      <c r="AA17" s="28">
        <f t="shared" si="8"/>
        <v>0.21294146818521006</v>
      </c>
      <c r="AB17" s="28">
        <f t="shared" si="8"/>
        <v>0.21419028814183935</v>
      </c>
      <c r="AC17" s="28">
        <f t="shared" si="8"/>
        <v>0.21550393738590373</v>
      </c>
      <c r="AD17" s="28">
        <f t="shared" si="8"/>
        <v>0.21792688960202594</v>
      </c>
      <c r="AE17" s="28">
        <f t="shared" si="8"/>
        <v>0.22075729336218733</v>
      </c>
      <c r="AF17" s="28">
        <f t="shared" si="8"/>
        <v>0.22368625107857998</v>
      </c>
      <c r="AG17" s="28">
        <f t="shared" si="8"/>
        <v>0.22039436385489045</v>
      </c>
      <c r="AH17" s="28">
        <f t="shared" si="8"/>
        <v>-7.4362702166015399E-2</v>
      </c>
      <c r="AI17" s="28">
        <f t="shared" si="8"/>
        <v>-7.3549294313983729E-2</v>
      </c>
      <c r="AJ17" s="28">
        <f t="shared" si="8"/>
        <v>-7.2753308501045513E-2</v>
      </c>
      <c r="AK17" s="28">
        <f t="shared" si="8"/>
        <v>-7.1973604999300819E-2</v>
      </c>
      <c r="AL17" s="28">
        <f t="shared" si="8"/>
        <v>-7.1209127531856237E-2</v>
      </c>
      <c r="AM17" s="28">
        <f t="shared" si="8"/>
        <v>-7.0458895202628005E-2</v>
      </c>
      <c r="AN17" s="28">
        <f t="shared" si="8"/>
        <v>-6.9636039815520426E-2</v>
      </c>
      <c r="AO17" s="28">
        <f t="shared" si="8"/>
        <v>-6.8827692530722115E-2</v>
      </c>
      <c r="AP17" s="28">
        <f t="shared" si="8"/>
        <v>-6.8033006008703711E-2</v>
      </c>
      <c r="AQ17" s="28">
        <f t="shared" si="8"/>
        <v>-6.7251188256280764E-2</v>
      </c>
      <c r="AR17" s="28">
        <f t="shared" si="8"/>
        <v>-6.6481497844549611E-2</v>
      </c>
      <c r="AS17" s="28">
        <f t="shared" si="8"/>
        <v>-6.5642707607225875E-2</v>
      </c>
      <c r="AT17" s="28">
        <f t="shared" si="8"/>
        <v>-6.4816728746844354E-2</v>
      </c>
      <c r="AU17" s="28">
        <f t="shared" si="8"/>
        <v>-6.4002901814932872E-2</v>
      </c>
      <c r="AV17" s="28">
        <f t="shared" si="8"/>
        <v>-6.3200606325542585E-2</v>
      </c>
      <c r="AW17" s="28">
        <f t="shared" si="8"/>
        <v>-6.2409257717452565E-2</v>
      </c>
      <c r="AY17" s="85"/>
    </row>
    <row r="18" spans="1:51" x14ac:dyDescent="0.25">
      <c r="A18" s="102" t="str">
        <f t="shared" si="0"/>
        <v>FS Cattle MMCH4</v>
      </c>
      <c r="B18" s="102" t="s">
        <v>1005</v>
      </c>
      <c r="C18" s="102" t="s">
        <v>1230</v>
      </c>
      <c r="D18" t="s">
        <v>15</v>
      </c>
      <c r="E18" t="s">
        <v>22</v>
      </c>
      <c r="F18" t="s">
        <v>6</v>
      </c>
      <c r="G18" t="s">
        <v>136</v>
      </c>
      <c r="H18" t="s">
        <v>1228</v>
      </c>
      <c r="I18" t="s">
        <v>121</v>
      </c>
      <c r="J18" t="s">
        <v>286</v>
      </c>
      <c r="K18" s="28">
        <f t="shared" si="7"/>
        <v>7.3646534170257834</v>
      </c>
      <c r="L18" s="28">
        <f t="shared" si="8"/>
        <v>7.4104628035653102</v>
      </c>
      <c r="M18" s="28">
        <f t="shared" si="8"/>
        <v>7.4419573878579355</v>
      </c>
      <c r="N18" s="28">
        <f t="shared" si="8"/>
        <v>7.4518345531057086</v>
      </c>
      <c r="O18" s="28">
        <f t="shared" si="8"/>
        <v>7.4651968838323191</v>
      </c>
      <c r="P18" s="28">
        <f t="shared" si="8"/>
        <v>7.494465464758667</v>
      </c>
      <c r="Q18" s="28">
        <f t="shared" si="8"/>
        <v>7.5295555244972592</v>
      </c>
      <c r="R18" s="28">
        <f t="shared" si="8"/>
        <v>7.5400969444741763</v>
      </c>
      <c r="S18" s="28">
        <f t="shared" si="8"/>
        <v>7.3086176618997394</v>
      </c>
      <c r="T18" s="28">
        <f t="shared" si="8"/>
        <v>7.3688162835395774</v>
      </c>
      <c r="U18" s="28">
        <f t="shared" si="8"/>
        <v>7.4240167099951169</v>
      </c>
      <c r="V18" s="28">
        <f t="shared" si="8"/>
        <v>7.4806155410688238</v>
      </c>
      <c r="W18" s="28">
        <f t="shared" si="8"/>
        <v>7.5487965323768202</v>
      </c>
      <c r="X18" s="28">
        <f t="shared" si="8"/>
        <v>7.6182568990068642</v>
      </c>
      <c r="Y18" s="28">
        <f t="shared" si="8"/>
        <v>7.6858917367195918</v>
      </c>
      <c r="Z18" s="28">
        <f t="shared" si="8"/>
        <v>7.7521734876275126</v>
      </c>
      <c r="AA18" s="28">
        <f t="shared" si="8"/>
        <v>7.8235662027619757</v>
      </c>
      <c r="AB18" s="28">
        <f t="shared" si="8"/>
        <v>7.8911737006481246</v>
      </c>
      <c r="AC18" s="28">
        <f t="shared" si="8"/>
        <v>7.961206232365277</v>
      </c>
      <c r="AD18" s="28">
        <f t="shared" si="8"/>
        <v>8.0416672207979634</v>
      </c>
      <c r="AE18" s="28">
        <f t="shared" si="8"/>
        <v>8.1292976952055653</v>
      </c>
      <c r="AF18" s="28">
        <f t="shared" si="8"/>
        <v>8.2204064265450114</v>
      </c>
      <c r="AG18" s="28">
        <f t="shared" si="8"/>
        <v>8.2331329239754218</v>
      </c>
      <c r="AH18" s="28">
        <f t="shared" si="8"/>
        <v>4.4079390411250321</v>
      </c>
      <c r="AI18" s="28">
        <f t="shared" si="8"/>
        <v>4.4111810533822107</v>
      </c>
      <c r="AJ18" s="28">
        <f t="shared" si="8"/>
        <v>4.4148489430980264</v>
      </c>
      <c r="AK18" s="28">
        <f t="shared" si="8"/>
        <v>4.4189265228241794</v>
      </c>
      <c r="AL18" s="28">
        <f t="shared" si="8"/>
        <v>4.4233988518058229</v>
      </c>
      <c r="AM18" s="28">
        <f t="shared" si="8"/>
        <v>4.4282521178160774</v>
      </c>
      <c r="AN18" s="28">
        <f t="shared" si="8"/>
        <v>4.4303415938400539</v>
      </c>
      <c r="AO18" s="28">
        <f t="shared" si="8"/>
        <v>4.432766537435862</v>
      </c>
      <c r="AP18" s="28">
        <f t="shared" si="8"/>
        <v>4.4355152317525279</v>
      </c>
      <c r="AQ18" s="28">
        <f t="shared" si="8"/>
        <v>4.4385767594592709</v>
      </c>
      <c r="AR18" s="28">
        <f t="shared" si="8"/>
        <v>4.4419409348998142</v>
      </c>
      <c r="AS18" s="28">
        <f t="shared" si="8"/>
        <v>4.4424325568083702</v>
      </c>
      <c r="AT18" s="28">
        <f t="shared" si="8"/>
        <v>4.4431924834311589</v>
      </c>
      <c r="AU18" s="28">
        <f t="shared" si="8"/>
        <v>4.4442118217610558</v>
      </c>
      <c r="AV18" s="28">
        <f t="shared" si="8"/>
        <v>4.4454822205450464</v>
      </c>
      <c r="AW18" s="28">
        <f t="shared" si="8"/>
        <v>4.4469958286673741</v>
      </c>
      <c r="AY18" s="85"/>
    </row>
    <row r="19" spans="1:51" x14ac:dyDescent="0.25">
      <c r="A19" s="102" t="str">
        <f t="shared" si="0"/>
        <v>FS Cattle MMCH4</v>
      </c>
      <c r="B19" s="102" t="s">
        <v>1005</v>
      </c>
      <c r="C19" s="102" t="s">
        <v>1230</v>
      </c>
      <c r="D19" t="s">
        <v>15</v>
      </c>
      <c r="E19" t="s">
        <v>22</v>
      </c>
      <c r="F19" t="s">
        <v>6</v>
      </c>
      <c r="G19" t="s">
        <v>137</v>
      </c>
      <c r="H19" t="s">
        <v>1228</v>
      </c>
      <c r="I19" t="s">
        <v>121</v>
      </c>
      <c r="J19" t="s">
        <v>286</v>
      </c>
      <c r="K19" s="28">
        <f t="shared" si="7"/>
        <v>2.0982448441600319</v>
      </c>
      <c r="L19" s="28">
        <f t="shared" si="8"/>
        <v>2.1112962810271738</v>
      </c>
      <c r="M19" s="28">
        <f t="shared" si="8"/>
        <v>2.1202693236632593</v>
      </c>
      <c r="N19" s="28">
        <f t="shared" si="8"/>
        <v>2.1230834019209199</v>
      </c>
      <c r="O19" s="28">
        <f t="shared" si="8"/>
        <v>2.1268904298916125</v>
      </c>
      <c r="P19" s="28">
        <f t="shared" si="8"/>
        <v>2.1352292675187319</v>
      </c>
      <c r="Q19" s="28">
        <f t="shared" si="8"/>
        <v>2.1452266880025732</v>
      </c>
      <c r="R19" s="28">
        <f t="shared" si="8"/>
        <v>2.1482300174010156</v>
      </c>
      <c r="S19" s="28">
        <f t="shared" si="8"/>
        <v>2.0822798383920729</v>
      </c>
      <c r="T19" s="28">
        <f t="shared" si="8"/>
        <v>2.099430875966946</v>
      </c>
      <c r="U19" s="28">
        <f t="shared" si="8"/>
        <v>2.1151578903486419</v>
      </c>
      <c r="V19" s="28">
        <f t="shared" si="8"/>
        <v>2.1312833206657489</v>
      </c>
      <c r="W19" s="28">
        <f t="shared" si="8"/>
        <v>2.1507085950650837</v>
      </c>
      <c r="X19" s="28">
        <f t="shared" si="8"/>
        <v>2.1704983730630572</v>
      </c>
      <c r="Y19" s="28">
        <f t="shared" si="8"/>
        <v>2.1897680442180159</v>
      </c>
      <c r="Z19" s="28">
        <f t="shared" si="8"/>
        <v>2.2086522108215552</v>
      </c>
      <c r="AA19" s="28">
        <f t="shared" si="8"/>
        <v>2.2289925293618906</v>
      </c>
      <c r="AB19" s="28">
        <f t="shared" si="8"/>
        <v>2.2482544111957634</v>
      </c>
      <c r="AC19" s="28">
        <f t="shared" si="8"/>
        <v>2.2682072033066958</v>
      </c>
      <c r="AD19" s="28">
        <f t="shared" si="8"/>
        <v>2.2911311407379684</v>
      </c>
      <c r="AE19" s="28">
        <f t="shared" si="8"/>
        <v>2.3160977183493427</v>
      </c>
      <c r="AF19" s="28">
        <f t="shared" si="8"/>
        <v>2.3420552773770367</v>
      </c>
      <c r="AG19" s="28">
        <f t="shared" si="8"/>
        <v>2.3456811516857772</v>
      </c>
      <c r="AH19" s="28">
        <f t="shared" si="8"/>
        <v>1.2558548030285308</v>
      </c>
      <c r="AI19" s="28">
        <f t="shared" si="8"/>
        <v>1.2567784765699908</v>
      </c>
      <c r="AJ19" s="28">
        <f t="shared" si="8"/>
        <v>1.2578234857848665</v>
      </c>
      <c r="AK19" s="28">
        <f t="shared" si="8"/>
        <v>1.2589852187480597</v>
      </c>
      <c r="AL19" s="28">
        <f t="shared" si="8"/>
        <v>1.2602594187267613</v>
      </c>
      <c r="AM19" s="28">
        <f t="shared" si="8"/>
        <v>1.2616421505142221</v>
      </c>
      <c r="AN19" s="28">
        <f t="shared" si="8"/>
        <v>1.2622374578621782</v>
      </c>
      <c r="AO19" s="28">
        <f t="shared" si="8"/>
        <v>1.2629283424305575</v>
      </c>
      <c r="AP19" s="28">
        <f t="shared" si="8"/>
        <v>1.2637114660008781</v>
      </c>
      <c r="AQ19" s="28">
        <f t="shared" si="8"/>
        <v>1.2645837181439423</v>
      </c>
      <c r="AR19" s="28">
        <f t="shared" si="8"/>
        <v>1.2655421968900908</v>
      </c>
      <c r="AS19" s="28">
        <f t="shared" si="8"/>
        <v>1.2656822636490397</v>
      </c>
      <c r="AT19" s="28">
        <f t="shared" si="8"/>
        <v>1.2658987724279214</v>
      </c>
      <c r="AU19" s="28">
        <f t="shared" si="8"/>
        <v>1.2661891895424888</v>
      </c>
      <c r="AV19" s="28">
        <f t="shared" si="8"/>
        <v>1.2665511356582928</v>
      </c>
      <c r="AW19" s="28">
        <f t="shared" si="8"/>
        <v>1.2669823739337303</v>
      </c>
      <c r="AY19" s="85"/>
    </row>
    <row r="20" spans="1:51" x14ac:dyDescent="0.25">
      <c r="A20" s="102" t="str">
        <f t="shared" si="0"/>
        <v>FS Cattle MMCH4</v>
      </c>
      <c r="B20" s="102" t="s">
        <v>1005</v>
      </c>
      <c r="C20" s="102" t="s">
        <v>1230</v>
      </c>
      <c r="D20" t="s">
        <v>15</v>
      </c>
      <c r="E20" t="s">
        <v>22</v>
      </c>
      <c r="F20" t="s">
        <v>67</v>
      </c>
      <c r="G20" t="s">
        <v>307</v>
      </c>
      <c r="H20" t="s">
        <v>1228</v>
      </c>
      <c r="I20" t="s">
        <v>121</v>
      </c>
      <c r="J20" t="s">
        <v>286</v>
      </c>
      <c r="K20" s="28">
        <f t="shared" si="7"/>
        <v>0.43336774046245513</v>
      </c>
      <c r="L20" s="28">
        <f t="shared" si="8"/>
        <v>0.43606336090953701</v>
      </c>
      <c r="M20" s="28">
        <f t="shared" si="8"/>
        <v>0.43791663710039563</v>
      </c>
      <c r="N20" s="28">
        <f t="shared" si="8"/>
        <v>0.43849785179485851</v>
      </c>
      <c r="O20" s="28">
        <f t="shared" si="8"/>
        <v>0.43928414854860887</v>
      </c>
      <c r="P20" s="28">
        <f t="shared" si="8"/>
        <v>0.44100643717026611</v>
      </c>
      <c r="Q20" s="28">
        <f t="shared" si="8"/>
        <v>0.44307128653119471</v>
      </c>
      <c r="R20" s="28">
        <f t="shared" si="8"/>
        <v>0.44369158881807513</v>
      </c>
      <c r="S20" s="28">
        <f t="shared" si="8"/>
        <v>0.43007035670126681</v>
      </c>
      <c r="T20" s="28">
        <f t="shared" si="8"/>
        <v>0.43361270135236735</v>
      </c>
      <c r="U20" s="28">
        <f t="shared" si="8"/>
        <v>0.43686093079793747</v>
      </c>
      <c r="V20" s="28">
        <f t="shared" si="8"/>
        <v>0.44019144835882135</v>
      </c>
      <c r="W20" s="28">
        <f t="shared" si="8"/>
        <v>0.44420350981949086</v>
      </c>
      <c r="X20" s="28">
        <f t="shared" si="8"/>
        <v>0.44829085520204021</v>
      </c>
      <c r="Y20" s="28">
        <f t="shared" si="8"/>
        <v>0.45227077864668558</v>
      </c>
      <c r="Z20" s="28">
        <f t="shared" si="8"/>
        <v>0.45617108067019357</v>
      </c>
      <c r="AA20" s="28">
        <f t="shared" si="8"/>
        <v>0.46037213371252356</v>
      </c>
      <c r="AB20" s="28">
        <f t="shared" si="8"/>
        <v>0.46435044836471168</v>
      </c>
      <c r="AC20" s="28">
        <f t="shared" si="8"/>
        <v>0.46847146239083864</v>
      </c>
      <c r="AD20" s="28">
        <f t="shared" si="8"/>
        <v>0.47320613146186896</v>
      </c>
      <c r="AE20" s="28">
        <f t="shared" si="8"/>
        <v>0.47836268378541491</v>
      </c>
      <c r="AF20" s="28">
        <f t="shared" si="8"/>
        <v>0.4837239116397628</v>
      </c>
      <c r="AG20" s="28">
        <f t="shared" si="8"/>
        <v>0.48447279323990261</v>
      </c>
      <c r="AH20" s="28">
        <f t="shared" si="8"/>
        <v>0.25938200675301493</v>
      </c>
      <c r="AI20" s="28">
        <f t="shared" si="8"/>
        <v>0.25957278063562522</v>
      </c>
      <c r="AJ20" s="28">
        <f t="shared" si="8"/>
        <v>0.25978861497139094</v>
      </c>
      <c r="AK20" s="28">
        <f t="shared" si="8"/>
        <v>0.260028557221544</v>
      </c>
      <c r="AL20" s="28">
        <f t="shared" si="8"/>
        <v>0.26029172820809693</v>
      </c>
      <c r="AM20" s="28">
        <f t="shared" si="8"/>
        <v>0.26057731516048022</v>
      </c>
      <c r="AN20" s="28">
        <f t="shared" si="8"/>
        <v>0.26070026887628817</v>
      </c>
      <c r="AO20" s="28">
        <f t="shared" si="8"/>
        <v>0.26084296294040193</v>
      </c>
      <c r="AP20" s="28">
        <f t="shared" si="8"/>
        <v>0.26100470788314173</v>
      </c>
      <c r="AQ20" s="28">
        <f t="shared" si="8"/>
        <v>0.26118486128201956</v>
      </c>
      <c r="AR20" s="28">
        <f t="shared" si="8"/>
        <v>0.26138282376940786</v>
      </c>
      <c r="AS20" s="28">
        <f t="shared" si="8"/>
        <v>0.26141175290749602</v>
      </c>
      <c r="AT20" s="28">
        <f t="shared" si="8"/>
        <v>0.26145647024377611</v>
      </c>
      <c r="AU20" s="28">
        <f t="shared" si="8"/>
        <v>0.26151645247563149</v>
      </c>
      <c r="AV20" s="28">
        <f t="shared" si="8"/>
        <v>0.26159120817957698</v>
      </c>
      <c r="AW20" s="28">
        <f t="shared" si="8"/>
        <v>0.26168027536234517</v>
      </c>
      <c r="AY20" s="85"/>
    </row>
    <row r="21" spans="1:51" x14ac:dyDescent="0.25">
      <c r="A21" s="102" t="str">
        <f t="shared" si="0"/>
        <v>FS Cattle MMCH4</v>
      </c>
      <c r="B21" s="102" t="s">
        <v>1005</v>
      </c>
      <c r="C21" s="102" t="s">
        <v>1230</v>
      </c>
      <c r="D21" t="s">
        <v>15</v>
      </c>
      <c r="E21" t="s">
        <v>22</v>
      </c>
      <c r="F21" t="s">
        <v>67</v>
      </c>
      <c r="G21" t="s">
        <v>122</v>
      </c>
      <c r="H21" t="s">
        <v>1228</v>
      </c>
      <c r="I21" t="s">
        <v>121</v>
      </c>
      <c r="J21" t="s">
        <v>286</v>
      </c>
      <c r="K21" s="28">
        <f t="shared" si="7"/>
        <v>9.5707566285535867E-2</v>
      </c>
      <c r="L21" s="28">
        <f t="shared" si="8"/>
        <v>9.507317462688053E-2</v>
      </c>
      <c r="M21" s="28">
        <f t="shared" si="8"/>
        <v>9.3735602326843109E-2</v>
      </c>
      <c r="N21" s="28">
        <f t="shared" si="8"/>
        <v>9.1480938854138993E-2</v>
      </c>
      <c r="O21" s="28">
        <f t="shared" si="8"/>
        <v>8.9293409665024345E-2</v>
      </c>
      <c r="P21" s="28">
        <f t="shared" si="8"/>
        <v>8.7610892686618924E-2</v>
      </c>
      <c r="Q21" s="28">
        <f t="shared" si="8"/>
        <v>8.6089043126348228E-2</v>
      </c>
      <c r="R21" s="28">
        <f t="shared" si="8"/>
        <v>8.3696304621384818E-2</v>
      </c>
      <c r="S21" s="28">
        <f t="shared" si="8"/>
        <v>7.34067322961163E-2</v>
      </c>
      <c r="T21" s="28">
        <f t="shared" si="8"/>
        <v>7.4106416152148968E-2</v>
      </c>
      <c r="U21" s="28">
        <f t="shared" si="8"/>
        <v>7.4579873174536918E-2</v>
      </c>
      <c r="V21" s="28">
        <f t="shared" si="8"/>
        <v>7.5037930673723691E-2</v>
      </c>
      <c r="W21" s="28">
        <f t="shared" si="8"/>
        <v>7.5795447602904714E-2</v>
      </c>
      <c r="X21" s="28">
        <f t="shared" si="8"/>
        <v>7.6527998633535405E-2</v>
      </c>
      <c r="Y21" s="28">
        <f t="shared" si="8"/>
        <v>7.7297067256649366E-2</v>
      </c>
      <c r="Z21" s="28">
        <f t="shared" si="8"/>
        <v>7.7966609512140975E-2</v>
      </c>
      <c r="AA21" s="28">
        <f t="shared" si="8"/>
        <v>7.8728639390587538E-2</v>
      </c>
      <c r="AB21" s="28">
        <f t="shared" si="8"/>
        <v>7.9324953589457362E-2</v>
      </c>
      <c r="AC21" s="28">
        <f t="shared" si="8"/>
        <v>7.9937629648305739E-2</v>
      </c>
      <c r="AD21" s="28">
        <f t="shared" si="8"/>
        <v>8.0222991747189526E-2</v>
      </c>
      <c r="AE21" s="28">
        <f t="shared" si="8"/>
        <v>8.0614281081104813E-2</v>
      </c>
      <c r="AF21" s="28">
        <f t="shared" si="8"/>
        <v>8.100406028659024E-2</v>
      </c>
      <c r="AG21" s="28">
        <f t="shared" si="8"/>
        <v>7.9286126804775037E-2</v>
      </c>
      <c r="AH21" s="28">
        <f t="shared" si="8"/>
        <v>-1.8702500653157286E-2</v>
      </c>
      <c r="AI21" s="28">
        <f t="shared" si="8"/>
        <v>-1.8268667685025074E-2</v>
      </c>
      <c r="AJ21" s="28">
        <f t="shared" si="8"/>
        <v>-1.7841734022548978E-2</v>
      </c>
      <c r="AK21" s="28">
        <f t="shared" si="8"/>
        <v>-1.7421338317040982E-2</v>
      </c>
      <c r="AL21" s="28">
        <f t="shared" si="8"/>
        <v>-1.7007144202009699E-2</v>
      </c>
      <c r="AM21" s="28">
        <f t="shared" si="8"/>
        <v>-1.6598837978205473E-2</v>
      </c>
      <c r="AN21" s="28">
        <f t="shared" si="8"/>
        <v>-1.6267793993705613E-2</v>
      </c>
      <c r="AO21" s="28">
        <f t="shared" si="8"/>
        <v>-1.5941750028753716E-2</v>
      </c>
      <c r="AP21" s="28">
        <f t="shared" si="8"/>
        <v>-1.562047950725113E-2</v>
      </c>
      <c r="AQ21" s="28">
        <f t="shared" si="8"/>
        <v>-1.5303769944962587E-2</v>
      </c>
      <c r="AR21" s="28">
        <f t="shared" si="8"/>
        <v>-1.4991421781067962E-2</v>
      </c>
      <c r="AS21" s="28">
        <f t="shared" si="8"/>
        <v>-1.4673268106464171E-2</v>
      </c>
      <c r="AT21" s="28">
        <f t="shared" si="8"/>
        <v>-1.4359489450627001E-2</v>
      </c>
      <c r="AU21" s="28">
        <f t="shared" si="8"/>
        <v>-1.40499137071168E-2</v>
      </c>
      <c r="AV21" s="28">
        <f t="shared" si="8"/>
        <v>-1.3744378438980727E-2</v>
      </c>
      <c r="AW21" s="28">
        <f t="shared" si="8"/>
        <v>-1.3442730156179297E-2</v>
      </c>
      <c r="AY21" s="85"/>
    </row>
    <row r="22" spans="1:51" x14ac:dyDescent="0.25">
      <c r="A22" s="102" t="str">
        <f t="shared" si="0"/>
        <v>FS Cattle MMCH4</v>
      </c>
      <c r="B22" s="102" t="s">
        <v>1005</v>
      </c>
      <c r="C22" s="102" t="s">
        <v>1230</v>
      </c>
      <c r="D22" t="s">
        <v>15</v>
      </c>
      <c r="E22" t="s">
        <v>22</v>
      </c>
      <c r="F22" t="s">
        <v>67</v>
      </c>
      <c r="G22" t="s">
        <v>123</v>
      </c>
      <c r="H22" t="s">
        <v>1228</v>
      </c>
      <c r="I22" t="s">
        <v>121</v>
      </c>
      <c r="J22" t="s">
        <v>286</v>
      </c>
      <c r="K22" s="28">
        <f t="shared" si="7"/>
        <v>7.0303494563391522E-2</v>
      </c>
      <c r="L22" s="28">
        <f t="shared" si="8"/>
        <v>6.9837492216280578E-2</v>
      </c>
      <c r="M22" s="28">
        <f t="shared" si="8"/>
        <v>6.8854957495428151E-2</v>
      </c>
      <c r="N22" s="28">
        <f t="shared" si="8"/>
        <v>6.7198759063606908E-2</v>
      </c>
      <c r="O22" s="28">
        <f t="shared" si="8"/>
        <v>6.5591875173201017E-2</v>
      </c>
      <c r="P22" s="28">
        <f t="shared" si="8"/>
        <v>6.4355955926323108E-2</v>
      </c>
      <c r="Q22" s="28">
        <f t="shared" si="8"/>
        <v>6.3238057452470034E-2</v>
      </c>
      <c r="R22" s="28">
        <f t="shared" si="8"/>
        <v>6.1480433839166078E-2</v>
      </c>
      <c r="S22" s="28">
        <f t="shared" si="8"/>
        <v>5.392206703386089E-2</v>
      </c>
      <c r="T22" s="28">
        <f t="shared" si="8"/>
        <v>5.4436030789055859E-2</v>
      </c>
      <c r="U22" s="28">
        <f t="shared" si="8"/>
        <v>5.4783816073869653E-2</v>
      </c>
      <c r="V22" s="28">
        <f t="shared" si="8"/>
        <v>5.5120289397281967E-2</v>
      </c>
      <c r="W22" s="28">
        <f t="shared" si="8"/>
        <v>5.5676735343817389E-2</v>
      </c>
      <c r="X22" s="28">
        <f t="shared" si="8"/>
        <v>5.6214842197832481E-2</v>
      </c>
      <c r="Y22" s="28">
        <f t="shared" si="8"/>
        <v>5.6779773622404078E-2</v>
      </c>
      <c r="Z22" s="28">
        <f t="shared" si="8"/>
        <v>5.7271596391969458E-2</v>
      </c>
      <c r="AA22" s="28">
        <f t="shared" si="8"/>
        <v>5.7831357396200579E-2</v>
      </c>
      <c r="AB22" s="28">
        <f t="shared" si="8"/>
        <v>5.826938934775229E-2</v>
      </c>
      <c r="AC22" s="28">
        <f t="shared" si="8"/>
        <v>5.8719440160285359E-2</v>
      </c>
      <c r="AD22" s="28">
        <f t="shared" si="8"/>
        <v>5.8929057367639905E-2</v>
      </c>
      <c r="AE22" s="28">
        <f t="shared" si="8"/>
        <v>5.92164850875921E-2</v>
      </c>
      <c r="AF22" s="28">
        <f t="shared" si="8"/>
        <v>5.9502803519010737E-2</v>
      </c>
      <c r="AG22" s="28">
        <f t="shared" si="8"/>
        <v>5.8240868523832451E-2</v>
      </c>
      <c r="AH22" s="28">
        <f t="shared" si="8"/>
        <v>-1.3738215315895889E-2</v>
      </c>
      <c r="AI22" s="28">
        <f t="shared" si="8"/>
        <v>-1.3419536501877058E-2</v>
      </c>
      <c r="AJ22" s="28">
        <f t="shared" si="8"/>
        <v>-1.3105925681085005E-2</v>
      </c>
      <c r="AK22" s="28">
        <f t="shared" si="8"/>
        <v>-1.2797117419171011E-2</v>
      </c>
      <c r="AL22" s="28">
        <f t="shared" si="8"/>
        <v>-1.2492864632850905E-2</v>
      </c>
      <c r="AM22" s="28">
        <f t="shared" si="8"/>
        <v>-1.2192936889418591E-2</v>
      </c>
      <c r="AN22" s="28">
        <f t="shared" si="8"/>
        <v>-1.1949763336189845E-2</v>
      </c>
      <c r="AO22" s="28">
        <f t="shared" si="8"/>
        <v>-1.1710262625775411E-2</v>
      </c>
      <c r="AP22" s="28">
        <f t="shared" si="8"/>
        <v>-1.1474268323146819E-2</v>
      </c>
      <c r="AQ22" s="28">
        <f t="shared" si="8"/>
        <v>-1.1241624344674956E-2</v>
      </c>
      <c r="AR22" s="28">
        <f t="shared" si="8"/>
        <v>-1.1012184099828085E-2</v>
      </c>
      <c r="AS22" s="28">
        <f t="shared" si="8"/>
        <v>-1.0778479325995476E-2</v>
      </c>
      <c r="AT22" s="28">
        <f t="shared" si="8"/>
        <v>-1.0547988290846352E-2</v>
      </c>
      <c r="AU22" s="28">
        <f t="shared" si="8"/>
        <v>-1.032058457089494E-2</v>
      </c>
      <c r="AV22" s="28">
        <f t="shared" si="8"/>
        <v>-1.0096148845528728E-2</v>
      </c>
      <c r="AW22" s="28">
        <f t="shared" si="8"/>
        <v>-9.8745683662308046E-3</v>
      </c>
      <c r="AY22" s="85"/>
    </row>
    <row r="23" spans="1:51" x14ac:dyDescent="0.25">
      <c r="A23" s="102" t="str">
        <f t="shared" si="0"/>
        <v>FS Cattle MMCH4</v>
      </c>
      <c r="B23" s="102" t="s">
        <v>1005</v>
      </c>
      <c r="C23" s="102" t="s">
        <v>1230</v>
      </c>
      <c r="D23" t="s">
        <v>15</v>
      </c>
      <c r="E23" t="s">
        <v>22</v>
      </c>
      <c r="F23" t="s">
        <v>67</v>
      </c>
      <c r="G23" t="s">
        <v>135</v>
      </c>
      <c r="H23" t="s">
        <v>1228</v>
      </c>
      <c r="I23" t="s">
        <v>121</v>
      </c>
      <c r="J23" t="s">
        <v>286</v>
      </c>
      <c r="K23" s="28">
        <f t="shared" si="7"/>
        <v>0.47365013870542771</v>
      </c>
      <c r="L23" s="28">
        <f t="shared" si="8"/>
        <v>0.49051927106458876</v>
      </c>
      <c r="M23" s="28">
        <f t="shared" si="8"/>
        <v>0.50390876804084606</v>
      </c>
      <c r="N23" s="28">
        <f t="shared" si="8"/>
        <v>0.51218897212451775</v>
      </c>
      <c r="O23" s="28">
        <f t="shared" si="8"/>
        <v>0.5204864616851187</v>
      </c>
      <c r="P23" s="28">
        <f t="shared" si="8"/>
        <v>0.5315053909957832</v>
      </c>
      <c r="Q23" s="28">
        <f t="shared" si="8"/>
        <v>0.54344267992188611</v>
      </c>
      <c r="R23" s="28">
        <f t="shared" si="8"/>
        <v>0.54965498610396035</v>
      </c>
      <c r="S23" s="28">
        <f t="shared" si="8"/>
        <v>0.50146701948783567</v>
      </c>
      <c r="T23" s="28">
        <f t="shared" si="8"/>
        <v>0.51834473155778682</v>
      </c>
      <c r="U23" s="28">
        <f t="shared" si="8"/>
        <v>0.53395156186316528</v>
      </c>
      <c r="V23" s="28">
        <f t="shared" si="8"/>
        <v>0.54973255397230381</v>
      </c>
      <c r="W23" s="28">
        <f t="shared" si="8"/>
        <v>0.56805189648716081</v>
      </c>
      <c r="X23" s="28">
        <f t="shared" si="8"/>
        <v>0.58658806930488216</v>
      </c>
      <c r="Y23" s="28">
        <f t="shared" si="8"/>
        <v>0.60582393990405248</v>
      </c>
      <c r="Z23" s="28">
        <f t="shared" si="8"/>
        <v>0.62470251247800967</v>
      </c>
      <c r="AA23" s="28">
        <f t="shared" si="8"/>
        <v>0.64475774385290952</v>
      </c>
      <c r="AB23" s="28">
        <f t="shared" si="8"/>
        <v>0.66389235390041079</v>
      </c>
      <c r="AC23" s="28">
        <f t="shared" si="8"/>
        <v>0.68358758575882406</v>
      </c>
      <c r="AD23" s="28">
        <f t="shared" si="8"/>
        <v>0.7086584440058149</v>
      </c>
      <c r="AE23" s="28">
        <f t="shared" si="8"/>
        <v>0.73565241500726219</v>
      </c>
      <c r="AF23" s="28">
        <f t="shared" si="8"/>
        <v>0.76370616641189881</v>
      </c>
      <c r="AG23" s="28">
        <f t="shared" si="8"/>
        <v>0.77236145848334026</v>
      </c>
      <c r="AH23" s="28">
        <f t="shared" si="8"/>
        <v>-0.18826983110818521</v>
      </c>
      <c r="AI23" s="28">
        <f t="shared" si="8"/>
        <v>-0.19006759890243963</v>
      </c>
      <c r="AJ23" s="28">
        <f t="shared" si="8"/>
        <v>-0.19187998371586665</v>
      </c>
      <c r="AK23" s="28">
        <f t="shared" si="8"/>
        <v>-0.19370712387762709</v>
      </c>
      <c r="AL23" s="28">
        <f t="shared" si="8"/>
        <v>-0.19554915895887828</v>
      </c>
      <c r="AM23" s="28">
        <f t="shared" si="8"/>
        <v>-0.19740622978354522</v>
      </c>
      <c r="AN23" s="28">
        <f t="shared" si="8"/>
        <v>-0.19889654656389008</v>
      </c>
      <c r="AO23" s="28">
        <f t="shared" si="8"/>
        <v>-0.20039714352450921</v>
      </c>
      <c r="AP23" s="28">
        <f t="shared" si="8"/>
        <v>-0.20190810202695822</v>
      </c>
      <c r="AQ23" s="28">
        <f t="shared" ref="L23:AW30" si="9">AQ1398</f>
        <v>-0.20342950404688992</v>
      </c>
      <c r="AR23" s="28">
        <f t="shared" si="9"/>
        <v>-0.20496143217854407</v>
      </c>
      <c r="AS23" s="28">
        <f t="shared" si="9"/>
        <v>-0.20636362268300526</v>
      </c>
      <c r="AT23" s="28">
        <f t="shared" si="9"/>
        <v>-0.20777388296351235</v>
      </c>
      <c r="AU23" s="28">
        <f t="shared" si="9"/>
        <v>-0.20919226640364996</v>
      </c>
      <c r="AV23" s="28">
        <f t="shared" si="9"/>
        <v>-0.21061882672173884</v>
      </c>
      <c r="AW23" s="28">
        <f t="shared" si="9"/>
        <v>-0.2120536179728616</v>
      </c>
      <c r="AY23" s="85"/>
    </row>
    <row r="24" spans="1:51" x14ac:dyDescent="0.25">
      <c r="A24" s="102" t="str">
        <f t="shared" si="0"/>
        <v>FS Sheep MMCH4</v>
      </c>
      <c r="B24" s="102" t="s">
        <v>1005</v>
      </c>
      <c r="C24" s="102" t="s">
        <v>1325</v>
      </c>
      <c r="D24" t="s">
        <v>15</v>
      </c>
      <c r="E24" t="s">
        <v>22</v>
      </c>
      <c r="F24" t="s">
        <v>18</v>
      </c>
      <c r="G24" t="s">
        <v>122</v>
      </c>
      <c r="H24" t="s">
        <v>1228</v>
      </c>
      <c r="I24" t="s">
        <v>121</v>
      </c>
      <c r="J24" t="s">
        <v>286</v>
      </c>
      <c r="K24" s="28">
        <f t="shared" si="7"/>
        <v>3.6053921478906167E-2</v>
      </c>
      <c r="L24" s="28">
        <f t="shared" si="9"/>
        <v>3.6073610217126503E-2</v>
      </c>
      <c r="M24" s="28">
        <f t="shared" si="9"/>
        <v>3.6117697084082141E-2</v>
      </c>
      <c r="N24" s="28">
        <f t="shared" si="9"/>
        <v>3.618405707434337E-2</v>
      </c>
      <c r="O24" s="28">
        <f t="shared" si="9"/>
        <v>3.6273578032260737E-2</v>
      </c>
      <c r="P24" s="28">
        <f t="shared" si="9"/>
        <v>3.6386354948245533E-2</v>
      </c>
      <c r="Q24" s="28">
        <f t="shared" si="9"/>
        <v>3.6511983860861394E-2</v>
      </c>
      <c r="R24" s="28">
        <f t="shared" si="9"/>
        <v>3.6648137011074396E-2</v>
      </c>
      <c r="S24" s="28">
        <f t="shared" si="9"/>
        <v>3.6776081758532232E-2</v>
      </c>
      <c r="T24" s="28">
        <f t="shared" si="9"/>
        <v>3.6829526757110792E-2</v>
      </c>
      <c r="U24" s="28">
        <f t="shared" si="9"/>
        <v>3.6891543145696586E-2</v>
      </c>
      <c r="V24" s="28">
        <f t="shared" si="9"/>
        <v>3.6962118208236874E-2</v>
      </c>
      <c r="W24" s="28">
        <f t="shared" si="9"/>
        <v>3.7041617602425879E-2</v>
      </c>
      <c r="X24" s="28">
        <f t="shared" si="9"/>
        <v>3.71287668347723E-2</v>
      </c>
      <c r="Y24" s="28">
        <f t="shared" si="9"/>
        <v>3.7182413833591089E-2</v>
      </c>
      <c r="Z24" s="28">
        <f t="shared" si="9"/>
        <v>3.7242338638937944E-2</v>
      </c>
      <c r="AA24" s="28">
        <f t="shared" si="9"/>
        <v>3.7308758714658788E-2</v>
      </c>
      <c r="AB24" s="28">
        <f t="shared" si="9"/>
        <v>3.7380653555679967E-2</v>
      </c>
      <c r="AC24" s="28">
        <f t="shared" si="9"/>
        <v>3.7458280228605825E-2</v>
      </c>
      <c r="AD24" s="28">
        <f t="shared" si="9"/>
        <v>3.7509383313851091E-2</v>
      </c>
      <c r="AE24" s="28">
        <f t="shared" si="9"/>
        <v>3.7565861655525674E-2</v>
      </c>
      <c r="AF24" s="28">
        <f t="shared" si="9"/>
        <v>3.7627207315702967E-2</v>
      </c>
      <c r="AG24" s="28">
        <f t="shared" si="9"/>
        <v>3.7686475047494471E-2</v>
      </c>
      <c r="AH24" s="28">
        <f t="shared" si="9"/>
        <v>3.7433087747828976E-2</v>
      </c>
      <c r="AI24" s="28">
        <f t="shared" si="9"/>
        <v>3.7469072750832028E-2</v>
      </c>
      <c r="AJ24" s="28">
        <f t="shared" si="9"/>
        <v>3.750878237989342E-2</v>
      </c>
      <c r="AK24" s="28">
        <f t="shared" si="9"/>
        <v>3.7552075921765626E-2</v>
      </c>
      <c r="AL24" s="28">
        <f t="shared" si="9"/>
        <v>3.7598823539459238E-2</v>
      </c>
      <c r="AM24" s="28">
        <f t="shared" si="9"/>
        <v>3.7648905240168402E-2</v>
      </c>
      <c r="AN24" s="28">
        <f t="shared" si="9"/>
        <v>3.76732099349424E-2</v>
      </c>
      <c r="AO24" s="28">
        <f t="shared" si="9"/>
        <v>3.7700452169156254E-2</v>
      </c>
      <c r="AP24" s="28">
        <f t="shared" si="9"/>
        <v>3.7730529709511379E-2</v>
      </c>
      <c r="AQ24" s="28">
        <f t="shared" si="9"/>
        <v>3.7763347319933152E-2</v>
      </c>
      <c r="AR24" s="28">
        <f t="shared" si="9"/>
        <v>3.7798816167122655E-2</v>
      </c>
      <c r="AS24" s="28">
        <f t="shared" si="9"/>
        <v>3.7807565900273503E-2</v>
      </c>
      <c r="AT24" s="28">
        <f t="shared" si="9"/>
        <v>3.7818668604843612E-2</v>
      </c>
      <c r="AU24" s="28">
        <f t="shared" si="9"/>
        <v>3.7832046350463708E-2</v>
      </c>
      <c r="AV24" s="28">
        <f t="shared" si="9"/>
        <v>3.7847625965531671E-2</v>
      </c>
      <c r="AW24" s="28">
        <f t="shared" si="9"/>
        <v>3.7865338671255785E-2</v>
      </c>
      <c r="AY24" s="85"/>
    </row>
    <row r="25" spans="1:51" x14ac:dyDescent="0.25">
      <c r="A25" s="102" t="str">
        <f t="shared" si="0"/>
        <v>FS Sheep MMCH4</v>
      </c>
      <c r="B25" s="102" t="s">
        <v>1005</v>
      </c>
      <c r="C25" s="102" t="s">
        <v>1325</v>
      </c>
      <c r="D25" t="s">
        <v>15</v>
      </c>
      <c r="E25" t="s">
        <v>22</v>
      </c>
      <c r="F25" t="s">
        <v>18</v>
      </c>
      <c r="G25" t="s">
        <v>123</v>
      </c>
      <c r="H25" t="s">
        <v>1228</v>
      </c>
      <c r="I25" t="s">
        <v>121</v>
      </c>
      <c r="J25" t="s">
        <v>286</v>
      </c>
      <c r="K25" s="28">
        <f t="shared" si="7"/>
        <v>4.1175296849015851E-3</v>
      </c>
      <c r="L25" s="28">
        <f t="shared" si="9"/>
        <v>4.1197782326532605E-3</v>
      </c>
      <c r="M25" s="28">
        <f t="shared" si="9"/>
        <v>4.1248131630008617E-3</v>
      </c>
      <c r="N25" s="28">
        <f t="shared" si="9"/>
        <v>4.1323917901954152E-3</v>
      </c>
      <c r="O25" s="28">
        <f t="shared" si="9"/>
        <v>4.1426155102936933E-3</v>
      </c>
      <c r="P25" s="28">
        <f t="shared" si="9"/>
        <v>4.1554951716534349E-3</v>
      </c>
      <c r="Q25" s="28">
        <f t="shared" si="9"/>
        <v>4.1698425922878412E-3</v>
      </c>
      <c r="R25" s="28">
        <f t="shared" si="9"/>
        <v>4.1853919310199088E-3</v>
      </c>
      <c r="S25" s="28">
        <f t="shared" si="9"/>
        <v>4.2000038310317607E-3</v>
      </c>
      <c r="T25" s="28">
        <f t="shared" si="9"/>
        <v>4.2061075046164898E-3</v>
      </c>
      <c r="U25" s="28">
        <f t="shared" si="9"/>
        <v>4.2131900717958127E-3</v>
      </c>
      <c r="V25" s="28">
        <f t="shared" si="9"/>
        <v>4.2212500803358944E-3</v>
      </c>
      <c r="W25" s="28">
        <f t="shared" si="9"/>
        <v>4.2303292900883332E-3</v>
      </c>
      <c r="X25" s="28">
        <f t="shared" si="9"/>
        <v>4.2402821478215117E-3</v>
      </c>
      <c r="Y25" s="28">
        <f t="shared" si="9"/>
        <v>4.2464088907965165E-3</v>
      </c>
      <c r="Z25" s="28">
        <f t="shared" si="9"/>
        <v>4.2532525892003629E-3</v>
      </c>
      <c r="AA25" s="28">
        <f t="shared" si="9"/>
        <v>4.2608380784408054E-3</v>
      </c>
      <c r="AB25" s="28">
        <f t="shared" si="9"/>
        <v>4.2690488119741668E-3</v>
      </c>
      <c r="AC25" s="28">
        <f t="shared" si="9"/>
        <v>4.2779141480319745E-3</v>
      </c>
      <c r="AD25" s="28">
        <f t="shared" si="9"/>
        <v>4.2837503639512487E-3</v>
      </c>
      <c r="AE25" s="28">
        <f t="shared" si="9"/>
        <v>4.2902004597760585E-3</v>
      </c>
      <c r="AF25" s="28">
        <f t="shared" si="9"/>
        <v>4.2972064265740855E-3</v>
      </c>
      <c r="AG25" s="28">
        <f t="shared" si="9"/>
        <v>4.3039750840459523E-3</v>
      </c>
      <c r="AH25" s="28">
        <f t="shared" si="9"/>
        <v>4.2750370466466056E-3</v>
      </c>
      <c r="AI25" s="28">
        <f t="shared" si="9"/>
        <v>4.2791467055130613E-3</v>
      </c>
      <c r="AJ25" s="28">
        <f t="shared" si="9"/>
        <v>4.2836817344289136E-3</v>
      </c>
      <c r="AK25" s="28">
        <f t="shared" si="9"/>
        <v>4.2886260632705817E-3</v>
      </c>
      <c r="AL25" s="28">
        <f t="shared" si="9"/>
        <v>4.2939648640350006E-3</v>
      </c>
      <c r="AM25" s="28">
        <f t="shared" si="9"/>
        <v>4.2996844329717928E-3</v>
      </c>
      <c r="AN25" s="28">
        <f t="shared" si="9"/>
        <v>4.3024601449639811E-3</v>
      </c>
      <c r="AO25" s="28">
        <f t="shared" si="9"/>
        <v>4.3055713379620639E-3</v>
      </c>
      <c r="AP25" s="28">
        <f t="shared" si="9"/>
        <v>4.3090063364360429E-3</v>
      </c>
      <c r="AQ25" s="28">
        <f t="shared" si="9"/>
        <v>4.3127542639722558E-3</v>
      </c>
      <c r="AR25" s="28">
        <f t="shared" si="9"/>
        <v>4.3168049753845332E-3</v>
      </c>
      <c r="AS25" s="28">
        <f t="shared" si="9"/>
        <v>4.3178042366162055E-3</v>
      </c>
      <c r="AT25" s="28">
        <f t="shared" si="9"/>
        <v>4.3190722183994593E-3</v>
      </c>
      <c r="AU25" s="28">
        <f t="shared" si="9"/>
        <v>4.3206000207146669E-3</v>
      </c>
      <c r="AV25" s="28">
        <f t="shared" si="9"/>
        <v>4.3223792870160944E-3</v>
      </c>
      <c r="AW25" s="28">
        <f t="shared" si="9"/>
        <v>4.3244021624378867E-3</v>
      </c>
      <c r="AY25" s="85"/>
    </row>
    <row r="26" spans="1:51" x14ac:dyDescent="0.25">
      <c r="A26" s="102" t="str">
        <f t="shared" si="0"/>
        <v>FS Goats MMCH4</v>
      </c>
      <c r="B26" s="102" t="s">
        <v>1005</v>
      </c>
      <c r="C26" s="102" t="s">
        <v>1326</v>
      </c>
      <c r="D26" t="s">
        <v>15</v>
      </c>
      <c r="E26" t="s">
        <v>22</v>
      </c>
      <c r="F26" t="s">
        <v>19</v>
      </c>
      <c r="G26" t="s">
        <v>122</v>
      </c>
      <c r="H26" t="s">
        <v>1228</v>
      </c>
      <c r="I26" t="s">
        <v>121</v>
      </c>
      <c r="J26" t="s">
        <v>286</v>
      </c>
      <c r="K26" s="28">
        <f t="shared" si="7"/>
        <v>1.578914847670768E-2</v>
      </c>
      <c r="L26" s="28">
        <f t="shared" si="9"/>
        <v>1.5830330315974785E-2</v>
      </c>
      <c r="M26" s="28">
        <f t="shared" si="9"/>
        <v>1.5885208764738982E-2</v>
      </c>
      <c r="N26" s="28">
        <f t="shared" si="9"/>
        <v>1.5952563767257691E-2</v>
      </c>
      <c r="O26" s="28">
        <f t="shared" si="9"/>
        <v>1.6033204709528407E-2</v>
      </c>
      <c r="P26" s="28">
        <f t="shared" si="9"/>
        <v>1.6127346186936543E-2</v>
      </c>
      <c r="Q26" s="28">
        <f t="shared" si="9"/>
        <v>1.6228000781801349E-2</v>
      </c>
      <c r="R26" s="28">
        <f t="shared" si="9"/>
        <v>1.6333729215934008E-2</v>
      </c>
      <c r="S26" s="28">
        <f t="shared" si="9"/>
        <v>1.6431946287378985E-2</v>
      </c>
      <c r="T26" s="28">
        <f t="shared" si="9"/>
        <v>1.6477973799395588E-2</v>
      </c>
      <c r="U26" s="28">
        <f t="shared" si="9"/>
        <v>1.6528445517692184E-2</v>
      </c>
      <c r="V26" s="28">
        <f t="shared" si="9"/>
        <v>1.6583425492153747E-2</v>
      </c>
      <c r="W26" s="28">
        <f t="shared" si="9"/>
        <v>1.6643220540411473E-2</v>
      </c>
      <c r="X26" s="28">
        <f t="shared" si="9"/>
        <v>1.6707025590946629E-2</v>
      </c>
      <c r="Y26" s="28">
        <f t="shared" si="9"/>
        <v>1.6747356446044817E-2</v>
      </c>
      <c r="Z26" s="28">
        <f t="shared" si="9"/>
        <v>1.679099238038791E-2</v>
      </c>
      <c r="AA26" s="28">
        <f t="shared" si="9"/>
        <v>1.6838113918664795E-2</v>
      </c>
      <c r="AB26" s="28">
        <f t="shared" si="9"/>
        <v>1.6888072337895171E-2</v>
      </c>
      <c r="AC26" s="28">
        <f t="shared" si="9"/>
        <v>1.6941067477261811E-2</v>
      </c>
      <c r="AD26" s="28">
        <f t="shared" si="9"/>
        <v>1.6975775774690904E-2</v>
      </c>
      <c r="AE26" s="28">
        <f t="shared" si="9"/>
        <v>1.7013417171997135E-2</v>
      </c>
      <c r="AF26" s="28">
        <f t="shared" si="9"/>
        <v>1.7053673452645857E-2</v>
      </c>
      <c r="AG26" s="28">
        <f t="shared" si="9"/>
        <v>1.7091991548522943E-2</v>
      </c>
      <c r="AH26" s="28">
        <f t="shared" si="9"/>
        <v>1.6924485926797139E-2</v>
      </c>
      <c r="AI26" s="28">
        <f t="shared" si="9"/>
        <v>1.6946898224790095E-2</v>
      </c>
      <c r="AJ26" s="28">
        <f t="shared" si="9"/>
        <v>1.6971320122511346E-2</v>
      </c>
      <c r="AK26" s="28">
        <f t="shared" si="9"/>
        <v>1.6997670008444151E-2</v>
      </c>
      <c r="AL26" s="28">
        <f t="shared" si="9"/>
        <v>1.7025872601317771E-2</v>
      </c>
      <c r="AM26" s="28">
        <f t="shared" si="9"/>
        <v>1.7055858343998281E-2</v>
      </c>
      <c r="AN26" s="28">
        <f t="shared" si="9"/>
        <v>1.706872967637315E-2</v>
      </c>
      <c r="AO26" s="28">
        <f t="shared" si="9"/>
        <v>1.7083207389206864E-2</v>
      </c>
      <c r="AP26" s="28">
        <f t="shared" si="9"/>
        <v>1.7099230922033661E-2</v>
      </c>
      <c r="AQ26" s="28">
        <f t="shared" si="9"/>
        <v>1.7116743868978143E-2</v>
      </c>
      <c r="AR26" s="28">
        <f t="shared" si="9"/>
        <v>1.7135693622819574E-2</v>
      </c>
      <c r="AS26" s="28">
        <f t="shared" si="9"/>
        <v>1.7137172081504573E-2</v>
      </c>
      <c r="AT26" s="28">
        <f t="shared" si="9"/>
        <v>1.7139965381039082E-2</v>
      </c>
      <c r="AU26" s="28">
        <f t="shared" si="9"/>
        <v>1.7144026301455787E-2</v>
      </c>
      <c r="AV26" s="28">
        <f t="shared" si="9"/>
        <v>1.7149310513066243E-2</v>
      </c>
      <c r="AW26" s="28">
        <f t="shared" si="9"/>
        <v>1.7155776352544339E-2</v>
      </c>
      <c r="AY26" s="85"/>
    </row>
    <row r="27" spans="1:51" x14ac:dyDescent="0.25">
      <c r="A27" s="102" t="str">
        <f t="shared" si="0"/>
        <v>FS Goats MMCH4</v>
      </c>
      <c r="B27" s="102" t="s">
        <v>1005</v>
      </c>
      <c r="C27" s="102" t="s">
        <v>1326</v>
      </c>
      <c r="D27" t="s">
        <v>15</v>
      </c>
      <c r="E27" t="s">
        <v>22</v>
      </c>
      <c r="F27" t="s">
        <v>19</v>
      </c>
      <c r="G27" t="s">
        <v>123</v>
      </c>
      <c r="H27" t="s">
        <v>1228</v>
      </c>
      <c r="I27" t="s">
        <v>121</v>
      </c>
      <c r="J27" t="s">
        <v>286</v>
      </c>
      <c r="K27" s="28">
        <f t="shared" si="7"/>
        <v>2.6591335822255355E-2</v>
      </c>
      <c r="L27" s="28">
        <f t="shared" si="9"/>
        <v>2.6660692324877722E-2</v>
      </c>
      <c r="M27" s="28">
        <f t="shared" si="9"/>
        <v>2.6753116008311057E-2</v>
      </c>
      <c r="N27" s="28">
        <f t="shared" si="9"/>
        <v>2.6866552112476273E-2</v>
      </c>
      <c r="O27" s="28">
        <f t="shared" si="9"/>
        <v>2.7002363766924078E-2</v>
      </c>
      <c r="P27" s="28">
        <f t="shared" si="9"/>
        <v>2.7160912383035713E-2</v>
      </c>
      <c r="Q27" s="28">
        <f t="shared" si="9"/>
        <v>2.7330430082995998E-2</v>
      </c>
      <c r="R27" s="28">
        <f t="shared" si="9"/>
        <v>2.7508492902668026E-2</v>
      </c>
      <c r="S27" s="28">
        <f t="shared" si="9"/>
        <v>2.7673905441167147E-2</v>
      </c>
      <c r="T27" s="28">
        <f t="shared" si="9"/>
        <v>2.7751422796260871E-2</v>
      </c>
      <c r="U27" s="28">
        <f t="shared" si="9"/>
        <v>2.783642487301826E-2</v>
      </c>
      <c r="V27" s="28">
        <f t="shared" si="9"/>
        <v>2.7929019541221126E-2</v>
      </c>
      <c r="W27" s="28">
        <f t="shared" si="9"/>
        <v>2.8029723528587808E-2</v>
      </c>
      <c r="X27" s="28">
        <f t="shared" si="9"/>
        <v>2.813718097180834E-2</v>
      </c>
      <c r="Y27" s="28">
        <f t="shared" si="9"/>
        <v>2.8205104287210486E-2</v>
      </c>
      <c r="Z27" s="28">
        <f t="shared" si="9"/>
        <v>2.827859386049221E-2</v>
      </c>
      <c r="AA27" s="28">
        <f t="shared" si="9"/>
        <v>2.8357953722781829E-2</v>
      </c>
      <c r="AB27" s="28">
        <f t="shared" si="9"/>
        <v>2.8442091325570455E-2</v>
      </c>
      <c r="AC27" s="28">
        <f t="shared" si="9"/>
        <v>2.8531343228541953E-2</v>
      </c>
      <c r="AD27" s="28">
        <f t="shared" si="9"/>
        <v>2.8589797298697615E-2</v>
      </c>
      <c r="AE27" s="28">
        <f t="shared" si="9"/>
        <v>2.8653191156704935E-2</v>
      </c>
      <c r="AF27" s="28">
        <f t="shared" si="9"/>
        <v>2.8720988877352402E-2</v>
      </c>
      <c r="AG27" s="28">
        <f t="shared" si="9"/>
        <v>2.8785522399032822E-2</v>
      </c>
      <c r="AH27" s="28">
        <f t="shared" si="9"/>
        <v>2.8503417366833182E-2</v>
      </c>
      <c r="AI27" s="28">
        <f t="shared" si="9"/>
        <v>2.8541163097285861E-2</v>
      </c>
      <c r="AJ27" s="28">
        <f t="shared" si="9"/>
        <v>2.8582293300392164E-2</v>
      </c>
      <c r="AK27" s="28">
        <f t="shared" si="9"/>
        <v>2.8626670529902105E-2</v>
      </c>
      <c r="AL27" s="28">
        <f t="shared" si="9"/>
        <v>2.8674168000666096E-2</v>
      </c>
      <c r="AM27" s="28">
        <f t="shared" si="9"/>
        <v>2.8724668567854592E-2</v>
      </c>
      <c r="AN27" s="28">
        <f t="shared" si="9"/>
        <v>2.8746345856035454E-2</v>
      </c>
      <c r="AO27" s="28">
        <f t="shared" si="9"/>
        <v>2.8770728534079647E-2</v>
      </c>
      <c r="AP27" s="28">
        <f t="shared" si="9"/>
        <v>2.8797714608919899E-2</v>
      </c>
      <c r="AQ27" s="28">
        <f t="shared" si="9"/>
        <v>2.8827209084453208E-2</v>
      </c>
      <c r="AR27" s="28">
        <f t="shared" si="9"/>
        <v>2.8859123362090785E-2</v>
      </c>
      <c r="AS27" s="28">
        <f t="shared" si="9"/>
        <v>2.8861613312163151E-2</v>
      </c>
      <c r="AT27" s="28">
        <f t="shared" si="9"/>
        <v>2.8866317654901063E-2</v>
      </c>
      <c r="AU27" s="28">
        <f t="shared" si="9"/>
        <v>2.887315686467273E-2</v>
      </c>
      <c r="AV27" s="28">
        <f t="shared" si="9"/>
        <v>2.888205628351705E-2</v>
      </c>
      <c r="AW27" s="28">
        <f t="shared" si="9"/>
        <v>2.8892945744034091E-2</v>
      </c>
      <c r="AY27" s="85"/>
    </row>
    <row r="28" spans="1:51" x14ac:dyDescent="0.25">
      <c r="A28" s="102" t="str">
        <f t="shared" si="0"/>
        <v>FS Horses MMCH4</v>
      </c>
      <c r="B28" s="102" t="s">
        <v>1005</v>
      </c>
      <c r="C28" s="102" t="s">
        <v>1327</v>
      </c>
      <c r="D28" t="s">
        <v>15</v>
      </c>
      <c r="E28" t="s">
        <v>22</v>
      </c>
      <c r="F28" t="s">
        <v>20</v>
      </c>
      <c r="G28" t="s">
        <v>3</v>
      </c>
      <c r="H28" t="s">
        <v>1228</v>
      </c>
      <c r="I28" t="s">
        <v>121</v>
      </c>
      <c r="J28" t="s">
        <v>286</v>
      </c>
      <c r="K28" s="28">
        <f t="shared" si="7"/>
        <v>4.1462896209668214E-3</v>
      </c>
      <c r="L28" s="28">
        <f t="shared" si="9"/>
        <v>4.1705892650270686E-3</v>
      </c>
      <c r="M28" s="28">
        <f t="shared" si="9"/>
        <v>4.1765760669998774E-3</v>
      </c>
      <c r="N28" s="28">
        <f t="shared" si="9"/>
        <v>4.1582865548880337E-3</v>
      </c>
      <c r="O28" s="28">
        <f t="shared" si="9"/>
        <v>4.1389364137095824E-3</v>
      </c>
      <c r="P28" s="28">
        <f t="shared" si="9"/>
        <v>4.1297300373309533E-3</v>
      </c>
      <c r="Q28" s="28">
        <f t="shared" si="9"/>
        <v>4.1235897943981579E-3</v>
      </c>
      <c r="R28" s="28">
        <f t="shared" si="9"/>
        <v>4.0939723150578283E-3</v>
      </c>
      <c r="S28" s="28">
        <f t="shared" si="9"/>
        <v>3.8546694485950316E-3</v>
      </c>
      <c r="T28" s="28">
        <f t="shared" si="9"/>
        <v>3.8885582856899971E-3</v>
      </c>
      <c r="U28" s="28">
        <f t="shared" si="9"/>
        <v>3.9163093014231119E-3</v>
      </c>
      <c r="V28" s="28">
        <f t="shared" si="9"/>
        <v>3.943499319412006E-3</v>
      </c>
      <c r="W28" s="28">
        <f t="shared" si="9"/>
        <v>3.9787498507285772E-3</v>
      </c>
      <c r="X28" s="28">
        <f t="shared" si="9"/>
        <v>4.0133556413366692E-3</v>
      </c>
      <c r="Y28" s="28">
        <f t="shared" si="9"/>
        <v>4.0529996928532061E-3</v>
      </c>
      <c r="Z28" s="28">
        <f t="shared" si="9"/>
        <v>4.0900631434267433E-3</v>
      </c>
      <c r="AA28" s="28">
        <f t="shared" si="9"/>
        <v>4.1299322607386601E-3</v>
      </c>
      <c r="AB28" s="28">
        <f t="shared" si="9"/>
        <v>4.1653099616518066E-3</v>
      </c>
      <c r="AC28" s="28">
        <f t="shared" si="9"/>
        <v>4.2013445039546862E-3</v>
      </c>
      <c r="AD28" s="28">
        <f t="shared" si="9"/>
        <v>4.251252835120037E-3</v>
      </c>
      <c r="AE28" s="28">
        <f t="shared" si="9"/>
        <v>4.3057143858228663E-3</v>
      </c>
      <c r="AF28" s="28">
        <f t="shared" si="9"/>
        <v>4.3617167354082645E-3</v>
      </c>
      <c r="AG28" s="28">
        <f t="shared" si="9"/>
        <v>4.3537503349345688E-3</v>
      </c>
      <c r="AH28" s="28">
        <f t="shared" si="9"/>
        <v>1.2882018816554785E-3</v>
      </c>
      <c r="AI28" s="28">
        <f t="shared" si="9"/>
        <v>1.2882018816554785E-3</v>
      </c>
      <c r="AJ28" s="28">
        <f t="shared" si="9"/>
        <v>1.2882018816554785E-3</v>
      </c>
      <c r="AK28" s="28">
        <f t="shared" si="9"/>
        <v>1.2882018816554785E-3</v>
      </c>
      <c r="AL28" s="28">
        <f t="shared" si="9"/>
        <v>1.2882018816554785E-3</v>
      </c>
      <c r="AM28" s="28">
        <f t="shared" si="9"/>
        <v>1.2882018816554785E-3</v>
      </c>
      <c r="AN28" s="28">
        <f t="shared" si="9"/>
        <v>1.2882018816554785E-3</v>
      </c>
      <c r="AO28" s="28">
        <f t="shared" si="9"/>
        <v>1.2882018816554785E-3</v>
      </c>
      <c r="AP28" s="28">
        <f t="shared" si="9"/>
        <v>1.2882018816554785E-3</v>
      </c>
      <c r="AQ28" s="28">
        <f t="shared" si="9"/>
        <v>1.2882018816554785E-3</v>
      </c>
      <c r="AR28" s="28">
        <f t="shared" si="9"/>
        <v>1.2882018816554785E-3</v>
      </c>
      <c r="AS28" s="28">
        <f t="shared" si="9"/>
        <v>1.2882018816554785E-3</v>
      </c>
      <c r="AT28" s="28">
        <f t="shared" si="9"/>
        <v>1.2882018816554785E-3</v>
      </c>
      <c r="AU28" s="28">
        <f t="shared" si="9"/>
        <v>1.2882018816554785E-3</v>
      </c>
      <c r="AV28" s="28">
        <f t="shared" si="9"/>
        <v>1.2882018816554785E-3</v>
      </c>
      <c r="AW28" s="28">
        <f t="shared" si="9"/>
        <v>1.2882018816554785E-3</v>
      </c>
      <c r="AY28" s="85"/>
    </row>
    <row r="29" spans="1:51" x14ac:dyDescent="0.25">
      <c r="A29" s="102" t="str">
        <f t="shared" si="0"/>
        <v>FS Mules MMCH4</v>
      </c>
      <c r="B29" s="102" t="s">
        <v>1005</v>
      </c>
      <c r="C29" s="102" t="s">
        <v>1328</v>
      </c>
      <c r="D29" t="s">
        <v>15</v>
      </c>
      <c r="E29" t="s">
        <v>22</v>
      </c>
      <c r="F29" t="s">
        <v>140</v>
      </c>
      <c r="G29" t="s">
        <v>124</v>
      </c>
      <c r="H29" t="s">
        <v>1228</v>
      </c>
      <c r="I29" t="s">
        <v>121</v>
      </c>
      <c r="J29" t="s">
        <v>286</v>
      </c>
      <c r="K29" s="28">
        <f t="shared" si="7"/>
        <v>7.515E-4</v>
      </c>
      <c r="L29" s="28">
        <f t="shared" si="9"/>
        <v>7.515E-4</v>
      </c>
      <c r="M29" s="28">
        <f t="shared" si="9"/>
        <v>7.515E-4</v>
      </c>
      <c r="N29" s="28">
        <f t="shared" si="9"/>
        <v>7.515E-4</v>
      </c>
      <c r="O29" s="28">
        <f t="shared" si="9"/>
        <v>7.515E-4</v>
      </c>
      <c r="P29" s="28">
        <f t="shared" si="9"/>
        <v>7.515E-4</v>
      </c>
      <c r="Q29" s="28">
        <f t="shared" si="9"/>
        <v>7.515E-4</v>
      </c>
      <c r="R29" s="28">
        <f t="shared" si="9"/>
        <v>7.515E-4</v>
      </c>
      <c r="S29" s="28">
        <f t="shared" si="9"/>
        <v>7.515E-4</v>
      </c>
      <c r="T29" s="28">
        <f t="shared" si="9"/>
        <v>7.515E-4</v>
      </c>
      <c r="U29" s="28">
        <f t="shared" si="9"/>
        <v>7.515E-4</v>
      </c>
      <c r="V29" s="28">
        <f t="shared" si="9"/>
        <v>7.515E-4</v>
      </c>
      <c r="W29" s="28">
        <f t="shared" si="9"/>
        <v>7.515E-4</v>
      </c>
      <c r="X29" s="28">
        <f t="shared" si="9"/>
        <v>7.515E-4</v>
      </c>
      <c r="Y29" s="28">
        <f t="shared" si="9"/>
        <v>7.515E-4</v>
      </c>
      <c r="Z29" s="28">
        <f t="shared" si="9"/>
        <v>7.515E-4</v>
      </c>
      <c r="AA29" s="28">
        <f t="shared" si="9"/>
        <v>7.515E-4</v>
      </c>
      <c r="AB29" s="28">
        <f t="shared" si="9"/>
        <v>7.515E-4</v>
      </c>
      <c r="AC29" s="28">
        <f t="shared" si="9"/>
        <v>7.515E-4</v>
      </c>
      <c r="AD29" s="28">
        <f t="shared" si="9"/>
        <v>7.515E-4</v>
      </c>
      <c r="AE29" s="28">
        <f t="shared" si="9"/>
        <v>7.515E-4</v>
      </c>
      <c r="AF29" s="28">
        <f t="shared" si="9"/>
        <v>7.515E-4</v>
      </c>
      <c r="AG29" s="28">
        <f t="shared" si="9"/>
        <v>7.515E-4</v>
      </c>
      <c r="AH29" s="28">
        <f t="shared" si="9"/>
        <v>7.515E-4</v>
      </c>
      <c r="AI29" s="28">
        <f t="shared" si="9"/>
        <v>7.515E-4</v>
      </c>
      <c r="AJ29" s="28">
        <f t="shared" si="9"/>
        <v>7.515E-4</v>
      </c>
      <c r="AK29" s="28">
        <f t="shared" si="9"/>
        <v>7.515E-4</v>
      </c>
      <c r="AL29" s="28">
        <f t="shared" si="9"/>
        <v>7.515E-4</v>
      </c>
      <c r="AM29" s="28">
        <f t="shared" si="9"/>
        <v>7.515E-4</v>
      </c>
      <c r="AN29" s="28">
        <f t="shared" si="9"/>
        <v>7.515E-4</v>
      </c>
      <c r="AO29" s="28">
        <f t="shared" si="9"/>
        <v>7.515E-4</v>
      </c>
      <c r="AP29" s="28">
        <f t="shared" si="9"/>
        <v>7.515E-4</v>
      </c>
      <c r="AQ29" s="28">
        <f t="shared" si="9"/>
        <v>7.515E-4</v>
      </c>
      <c r="AR29" s="28">
        <f t="shared" si="9"/>
        <v>7.515E-4</v>
      </c>
      <c r="AS29" s="28">
        <f t="shared" si="9"/>
        <v>7.515E-4</v>
      </c>
      <c r="AT29" s="28">
        <f t="shared" si="9"/>
        <v>7.515E-4</v>
      </c>
      <c r="AU29" s="28">
        <f t="shared" si="9"/>
        <v>7.515E-4</v>
      </c>
      <c r="AV29" s="28">
        <f t="shared" si="9"/>
        <v>7.515E-4</v>
      </c>
      <c r="AW29" s="28">
        <f t="shared" si="9"/>
        <v>7.515E-4</v>
      </c>
      <c r="AY29" s="85"/>
    </row>
    <row r="30" spans="1:51" x14ac:dyDescent="0.25">
      <c r="A30" s="102" t="str">
        <f t="shared" si="0"/>
        <v>FS Swine MMCH4</v>
      </c>
      <c r="B30" s="102" t="s">
        <v>1005</v>
      </c>
      <c r="C30" s="102" t="s">
        <v>1231</v>
      </c>
      <c r="D30" t="s">
        <v>15</v>
      </c>
      <c r="E30" t="s">
        <v>22</v>
      </c>
      <c r="F30" t="s">
        <v>21</v>
      </c>
      <c r="G30" t="s">
        <v>122</v>
      </c>
      <c r="H30" t="s">
        <v>1228</v>
      </c>
      <c r="I30" t="s">
        <v>121</v>
      </c>
      <c r="J30" t="s">
        <v>286</v>
      </c>
      <c r="K30" s="28">
        <f t="shared" si="7"/>
        <v>23.457025843160746</v>
      </c>
      <c r="L30" s="28">
        <f t="shared" si="9"/>
        <v>23.382986937378849</v>
      </c>
      <c r="M30" s="28">
        <f t="shared" si="9"/>
        <v>23.13814083382033</v>
      </c>
      <c r="N30" s="28">
        <f t="shared" si="9"/>
        <v>22.662740453710065</v>
      </c>
      <c r="O30" s="28">
        <f t="shared" si="9"/>
        <v>22.20814052076085</v>
      </c>
      <c r="P30" s="28">
        <f t="shared" si="9"/>
        <v>21.88923282801473</v>
      </c>
      <c r="Q30" s="28">
        <f t="shared" si="9"/>
        <v>21.619144612435328</v>
      </c>
      <c r="R30" s="28">
        <f t="shared" si="9"/>
        <v>21.121805661826951</v>
      </c>
      <c r="S30" s="28">
        <f t="shared" si="9"/>
        <v>18.490541417957555</v>
      </c>
      <c r="T30" s="28">
        <f t="shared" si="9"/>
        <v>18.608041284910804</v>
      </c>
      <c r="U30" s="28">
        <f t="shared" si="9"/>
        <v>18.667021404289045</v>
      </c>
      <c r="V30" s="28">
        <f t="shared" si="9"/>
        <v>18.724361625340102</v>
      </c>
      <c r="W30" s="28">
        <f t="shared" si="9"/>
        <v>18.864420993049936</v>
      </c>
      <c r="X30" s="28">
        <f t="shared" si="9"/>
        <v>18.999771799577022</v>
      </c>
      <c r="Y30" s="28">
        <f t="shared" si="9"/>
        <v>19.155053851314552</v>
      </c>
      <c r="Z30" s="28">
        <f t="shared" si="9"/>
        <v>19.285389594633891</v>
      </c>
      <c r="AA30" s="28">
        <f t="shared" si="9"/>
        <v>19.442022836092864</v>
      </c>
      <c r="AB30" s="28">
        <f t="shared" si="9"/>
        <v>19.556042835681847</v>
      </c>
      <c r="AC30" s="28">
        <f t="shared" si="9"/>
        <v>19.675981891326479</v>
      </c>
      <c r="AD30" s="28">
        <f t="shared" si="9"/>
        <v>19.897202740032366</v>
      </c>
      <c r="AE30" s="28">
        <f t="shared" si="9"/>
        <v>20.155624807886987</v>
      </c>
      <c r="AF30" s="28">
        <f t="shared" ref="L30:AW38" si="10">AF1405</f>
        <v>20.423045067986479</v>
      </c>
      <c r="AG30" s="28">
        <f t="shared" si="10"/>
        <v>20.122488548289958</v>
      </c>
      <c r="AH30" s="28">
        <f t="shared" si="10"/>
        <v>-6.7894777188619928</v>
      </c>
      <c r="AI30" s="28">
        <f t="shared" si="10"/>
        <v>-6.7152117988933071</v>
      </c>
      <c r="AJ30" s="28">
        <f t="shared" si="10"/>
        <v>-6.6425365492848538</v>
      </c>
      <c r="AK30" s="28">
        <f t="shared" si="10"/>
        <v>-6.5713479103809611</v>
      </c>
      <c r="AL30" s="28">
        <f t="shared" si="10"/>
        <v>-6.5015494417857838</v>
      </c>
      <c r="AM30" s="28">
        <f t="shared" si="10"/>
        <v>-6.4330515855366484</v>
      </c>
      <c r="AN30" s="28">
        <f t="shared" si="10"/>
        <v>-6.3579230849055142</v>
      </c>
      <c r="AO30" s="28">
        <f t="shared" si="10"/>
        <v>-6.2841192058185475</v>
      </c>
      <c r="AP30" s="28">
        <f t="shared" si="10"/>
        <v>-6.2115625843192586</v>
      </c>
      <c r="AQ30" s="28">
        <f t="shared" si="10"/>
        <v>-6.1401809096937727</v>
      </c>
      <c r="AR30" s="28">
        <f t="shared" si="10"/>
        <v>-6.069906487857895</v>
      </c>
      <c r="AS30" s="28">
        <f t="shared" si="10"/>
        <v>-5.9933231004711045</v>
      </c>
      <c r="AT30" s="28">
        <f t="shared" si="10"/>
        <v>-5.917909419883066</v>
      </c>
      <c r="AU30" s="28">
        <f t="shared" si="10"/>
        <v>-5.8436052370026852</v>
      </c>
      <c r="AV30" s="28">
        <f t="shared" si="10"/>
        <v>-5.7703539001026636</v>
      </c>
      <c r="AW30" s="28">
        <f t="shared" si="10"/>
        <v>-5.6981020374621041</v>
      </c>
      <c r="AY30" s="85"/>
    </row>
    <row r="31" spans="1:51" x14ac:dyDescent="0.25">
      <c r="A31" s="102" t="str">
        <f t="shared" si="0"/>
        <v>FS Swine MMCH4</v>
      </c>
      <c r="B31" s="102" t="s">
        <v>1005</v>
      </c>
      <c r="C31" s="102" t="s">
        <v>1231</v>
      </c>
      <c r="D31" t="s">
        <v>15</v>
      </c>
      <c r="E31" t="s">
        <v>22</v>
      </c>
      <c r="F31" t="s">
        <v>21</v>
      </c>
      <c r="G31" t="s">
        <v>123</v>
      </c>
      <c r="H31" t="s">
        <v>1228</v>
      </c>
      <c r="I31" t="s">
        <v>121</v>
      </c>
      <c r="J31" t="s">
        <v>286</v>
      </c>
      <c r="K31" s="28">
        <f t="shared" si="7"/>
        <v>7.8527817196558602E-2</v>
      </c>
      <c r="L31" s="28">
        <f t="shared" si="10"/>
        <v>7.8279954841904253E-2</v>
      </c>
      <c r="M31" s="28">
        <f t="shared" si="10"/>
        <v>7.7460275902635017E-2</v>
      </c>
      <c r="N31" s="28">
        <f t="shared" si="10"/>
        <v>7.5868763219224714E-2</v>
      </c>
      <c r="O31" s="28">
        <f t="shared" si="10"/>
        <v>7.4346884841680436E-2</v>
      </c>
      <c r="P31" s="28">
        <f t="shared" si="10"/>
        <v>7.3279267609811918E-2</v>
      </c>
      <c r="Q31" s="28">
        <f t="shared" si="10"/>
        <v>7.2375084864660211E-2</v>
      </c>
      <c r="R31" s="28">
        <f t="shared" si="10"/>
        <v>7.0710127744382734E-2</v>
      </c>
      <c r="S31" s="28">
        <f t="shared" si="10"/>
        <v>6.1901362348463523E-2</v>
      </c>
      <c r="T31" s="28">
        <f t="shared" si="10"/>
        <v>6.2294720318669075E-2</v>
      </c>
      <c r="U31" s="28">
        <f t="shared" si="10"/>
        <v>6.2492169904295722E-2</v>
      </c>
      <c r="V31" s="28">
        <f t="shared" si="10"/>
        <v>6.2684129551133075E-2</v>
      </c>
      <c r="W31" s="28">
        <f t="shared" si="10"/>
        <v>6.3153010665803033E-2</v>
      </c>
      <c r="X31" s="28">
        <f t="shared" si="10"/>
        <v>6.360612878331004E-2</v>
      </c>
      <c r="Y31" s="28">
        <f t="shared" si="10"/>
        <v>6.4125971352196762E-2</v>
      </c>
      <c r="Z31" s="28">
        <f t="shared" si="10"/>
        <v>6.4562300386149837E-2</v>
      </c>
      <c r="AA31" s="28">
        <f t="shared" si="10"/>
        <v>6.5086666375019683E-2</v>
      </c>
      <c r="AB31" s="28">
        <f t="shared" si="10"/>
        <v>6.5468374684689551E-2</v>
      </c>
      <c r="AC31" s="28">
        <f t="shared" si="10"/>
        <v>6.5869898402971833E-2</v>
      </c>
      <c r="AD31" s="28">
        <f t="shared" si="10"/>
        <v>6.6610486339541322E-2</v>
      </c>
      <c r="AE31" s="28">
        <f t="shared" si="10"/>
        <v>6.7475613958009675E-2</v>
      </c>
      <c r="AF31" s="28">
        <f t="shared" si="10"/>
        <v>6.8370865105369938E-2</v>
      </c>
      <c r="AG31" s="28">
        <f t="shared" si="10"/>
        <v>6.7364682668015305E-2</v>
      </c>
      <c r="AH31" s="28">
        <f t="shared" si="10"/>
        <v>-2.2729346368621329E-2</v>
      </c>
      <c r="AI31" s="28">
        <f t="shared" si="10"/>
        <v>-2.2480724031491765E-2</v>
      </c>
      <c r="AJ31" s="28">
        <f t="shared" si="10"/>
        <v>-2.2237426831150792E-2</v>
      </c>
      <c r="AK31" s="28">
        <f t="shared" si="10"/>
        <v>-2.1999106403842797E-2</v>
      </c>
      <c r="AL31" s="28">
        <f t="shared" si="10"/>
        <v>-2.1765439893045996E-2</v>
      </c>
      <c r="AM31" s="28">
        <f t="shared" si="10"/>
        <v>-2.1536127482774822E-2</v>
      </c>
      <c r="AN31" s="28">
        <f t="shared" si="10"/>
        <v>-2.1284617457451926E-2</v>
      </c>
      <c r="AO31" s="28">
        <f t="shared" si="10"/>
        <v>-2.1037541908996236E-2</v>
      </c>
      <c r="AP31" s="28">
        <f t="shared" si="10"/>
        <v>-2.0794641843677117E-2</v>
      </c>
      <c r="AQ31" s="28">
        <f t="shared" si="10"/>
        <v>-2.0555675184661872E-2</v>
      </c>
      <c r="AR31" s="28">
        <f t="shared" si="10"/>
        <v>-2.0320415310353012E-2</v>
      </c>
      <c r="AS31" s="28">
        <f t="shared" si="10"/>
        <v>-2.0064034715250558E-2</v>
      </c>
      <c r="AT31" s="28">
        <f t="shared" si="10"/>
        <v>-1.9811569984089266E-2</v>
      </c>
      <c r="AU31" s="28">
        <f t="shared" si="10"/>
        <v>-1.9562819553016541E-2</v>
      </c>
      <c r="AV31" s="28">
        <f t="shared" si="10"/>
        <v>-1.9317593767277572E-2</v>
      </c>
      <c r="AW31" s="28">
        <f t="shared" si="10"/>
        <v>-1.907571395269729E-2</v>
      </c>
      <c r="AY31" s="85"/>
    </row>
    <row r="32" spans="1:51" x14ac:dyDescent="0.25">
      <c r="A32" s="102" t="str">
        <f t="shared" si="0"/>
        <v>FS Poultry MMCH4</v>
      </c>
      <c r="B32" s="102" t="s">
        <v>1005</v>
      </c>
      <c r="C32" s="102" t="s">
        <v>1232</v>
      </c>
      <c r="D32" t="s">
        <v>15</v>
      </c>
      <c r="E32" t="s">
        <v>22</v>
      </c>
      <c r="F32" t="s">
        <v>28</v>
      </c>
      <c r="G32" t="s">
        <v>131</v>
      </c>
      <c r="H32" t="s">
        <v>1228</v>
      </c>
      <c r="I32" t="s">
        <v>121</v>
      </c>
      <c r="J32" t="s">
        <v>286</v>
      </c>
      <c r="K32" s="28">
        <f t="shared" si="7"/>
        <v>0.55890468998141496</v>
      </c>
      <c r="L32" s="28">
        <f t="shared" si="10"/>
        <v>0.57100815822901829</v>
      </c>
      <c r="M32" s="28">
        <f t="shared" si="10"/>
        <v>0.58076061949579127</v>
      </c>
      <c r="N32" s="28">
        <f t="shared" si="10"/>
        <v>0.58713273634766394</v>
      </c>
      <c r="O32" s="28">
        <f t="shared" si="10"/>
        <v>0.59359134329353236</v>
      </c>
      <c r="P32" s="28">
        <f t="shared" si="10"/>
        <v>0.60191770622970409</v>
      </c>
      <c r="Q32" s="28">
        <f t="shared" si="10"/>
        <v>0.61082194696949044</v>
      </c>
      <c r="R32" s="28">
        <f t="shared" si="10"/>
        <v>0.61600023875173726</v>
      </c>
      <c r="S32" s="28">
        <f t="shared" si="10"/>
        <v>0.58621039395021657</v>
      </c>
      <c r="T32" s="28">
        <f t="shared" si="10"/>
        <v>0.59879553943192321</v>
      </c>
      <c r="U32" s="28">
        <f t="shared" si="10"/>
        <v>0.61054377323307962</v>
      </c>
      <c r="V32" s="28">
        <f t="shared" si="10"/>
        <v>0.62238475303160634</v>
      </c>
      <c r="W32" s="28">
        <f t="shared" si="10"/>
        <v>0.63582344873120078</v>
      </c>
      <c r="X32" s="28">
        <f t="shared" si="10"/>
        <v>0.6493737760577617</v>
      </c>
      <c r="Y32" s="28">
        <f t="shared" si="10"/>
        <v>0.66294132390021665</v>
      </c>
      <c r="Z32" s="28">
        <f t="shared" si="10"/>
        <v>0.67624718076087176</v>
      </c>
      <c r="AA32" s="28">
        <f t="shared" si="10"/>
        <v>0.69026013489965976</v>
      </c>
      <c r="AB32" s="28">
        <f t="shared" si="10"/>
        <v>0.70365733936336983</v>
      </c>
      <c r="AC32" s="28">
        <f t="shared" si="10"/>
        <v>0.71737227237227463</v>
      </c>
      <c r="AD32" s="28">
        <f t="shared" si="10"/>
        <v>0.7329223784090988</v>
      </c>
      <c r="AE32" s="28">
        <f t="shared" si="10"/>
        <v>0.74954420563381685</v>
      </c>
      <c r="AF32" s="28">
        <f t="shared" si="10"/>
        <v>0.76668896317960933</v>
      </c>
      <c r="AG32" s="28">
        <f t="shared" si="10"/>
        <v>0.77179208889456419</v>
      </c>
      <c r="AH32" s="28">
        <f t="shared" si="10"/>
        <v>0.1849915255736751</v>
      </c>
      <c r="AI32" s="28">
        <f t="shared" si="10"/>
        <v>0.18641334189853098</v>
      </c>
      <c r="AJ32" s="28">
        <f t="shared" si="10"/>
        <v>0.18784551012942485</v>
      </c>
      <c r="AK32" s="28">
        <f t="shared" si="10"/>
        <v>0.18928810909326649</v>
      </c>
      <c r="AL32" s="28">
        <f t="shared" si="10"/>
        <v>0.19074121797493229</v>
      </c>
      <c r="AM32" s="28">
        <f t="shared" si="10"/>
        <v>0.19220491634055523</v>
      </c>
      <c r="AN32" s="28">
        <f t="shared" si="10"/>
        <v>0.19345615565117347</v>
      </c>
      <c r="AO32" s="28">
        <f t="shared" si="10"/>
        <v>0.19471511856878457</v>
      </c>
      <c r="AP32" s="28">
        <f t="shared" si="10"/>
        <v>0.1959818552978623</v>
      </c>
      <c r="AQ32" s="28">
        <f t="shared" si="10"/>
        <v>0.19725641621087697</v>
      </c>
      <c r="AR32" s="28">
        <f t="shared" si="10"/>
        <v>0.19853885186147341</v>
      </c>
      <c r="AS32" s="28">
        <f t="shared" si="10"/>
        <v>0.19959990963889776</v>
      </c>
      <c r="AT32" s="28">
        <f t="shared" si="10"/>
        <v>0.20066634279480103</v>
      </c>
      <c r="AU32" s="28">
        <f t="shared" si="10"/>
        <v>0.20173818048457057</v>
      </c>
      <c r="AV32" s="28">
        <f t="shared" si="10"/>
        <v>0.20281545191264314</v>
      </c>
      <c r="AW32" s="28">
        <f t="shared" si="10"/>
        <v>0.20389818634036988</v>
      </c>
      <c r="AY32" s="85"/>
    </row>
    <row r="33" spans="1:51" x14ac:dyDescent="0.25">
      <c r="A33" s="102" t="str">
        <f t="shared" si="0"/>
        <v>FS Poultry MMCH4</v>
      </c>
      <c r="B33" s="102" t="s">
        <v>1005</v>
      </c>
      <c r="C33" s="102" t="s">
        <v>1232</v>
      </c>
      <c r="D33" t="s">
        <v>15</v>
      </c>
      <c r="E33" t="s">
        <v>22</v>
      </c>
      <c r="F33" t="s">
        <v>28</v>
      </c>
      <c r="G33" t="s">
        <v>132</v>
      </c>
      <c r="H33" t="s">
        <v>1228</v>
      </c>
      <c r="I33" t="s">
        <v>121</v>
      </c>
      <c r="J33" t="s">
        <v>286</v>
      </c>
      <c r="K33" s="28">
        <f t="shared" si="7"/>
        <v>2.2359130252274535</v>
      </c>
      <c r="L33" s="28">
        <f t="shared" si="10"/>
        <v>2.2721966041793928</v>
      </c>
      <c r="M33" s="28">
        <f t="shared" si="10"/>
        <v>2.2829699564071859</v>
      </c>
      <c r="N33" s="28">
        <f t="shared" si="10"/>
        <v>2.2588206467778473</v>
      </c>
      <c r="O33" s="28">
        <f t="shared" si="10"/>
        <v>2.2347231893932196</v>
      </c>
      <c r="P33" s="28">
        <f t="shared" si="10"/>
        <v>2.2277310720056978</v>
      </c>
      <c r="Q33" s="28">
        <f t="shared" si="10"/>
        <v>2.2262744989012253</v>
      </c>
      <c r="R33" s="28">
        <f t="shared" si="10"/>
        <v>2.1891395906785935</v>
      </c>
      <c r="S33" s="28">
        <f t="shared" si="10"/>
        <v>1.8240868851485099</v>
      </c>
      <c r="T33" s="28">
        <f t="shared" si="10"/>
        <v>1.8778928986212129</v>
      </c>
      <c r="U33" s="28">
        <f t="shared" si="10"/>
        <v>1.9228674992863757</v>
      </c>
      <c r="V33" s="28">
        <f t="shared" si="10"/>
        <v>1.9677329744500112</v>
      </c>
      <c r="W33" s="28">
        <f t="shared" si="10"/>
        <v>2.0261043748595982</v>
      </c>
      <c r="X33" s="28">
        <f t="shared" si="10"/>
        <v>2.0843005626552618</v>
      </c>
      <c r="Y33" s="28">
        <f t="shared" si="10"/>
        <v>2.1481960991761384</v>
      </c>
      <c r="Z33" s="28">
        <f t="shared" si="10"/>
        <v>2.208679923214985</v>
      </c>
      <c r="AA33" s="28">
        <f t="shared" si="10"/>
        <v>2.2743218882510807</v>
      </c>
      <c r="AB33" s="28">
        <f t="shared" si="10"/>
        <v>2.3335097773270199</v>
      </c>
      <c r="AC33" s="28">
        <f t="shared" si="10"/>
        <v>2.3944453885765151</v>
      </c>
      <c r="AD33" s="28">
        <f t="shared" si="10"/>
        <v>2.4754243930729589</v>
      </c>
      <c r="AE33" s="28">
        <f t="shared" si="10"/>
        <v>2.5643290582437364</v>
      </c>
      <c r="AF33" s="28">
        <f t="shared" si="10"/>
        <v>2.656369337897865</v>
      </c>
      <c r="AG33" s="28">
        <f t="shared" si="10"/>
        <v>2.6461200420455202</v>
      </c>
      <c r="AH33" s="28">
        <f t="shared" si="10"/>
        <v>-2.2948520289362109</v>
      </c>
      <c r="AI33" s="28">
        <f t="shared" si="10"/>
        <v>-2.2981400819551214</v>
      </c>
      <c r="AJ33" s="28">
        <f t="shared" si="10"/>
        <v>-2.3017063755775586</v>
      </c>
      <c r="AK33" s="28">
        <f t="shared" si="10"/>
        <v>-2.3055392982644372</v>
      </c>
      <c r="AL33" s="28">
        <f t="shared" si="10"/>
        <v>-2.3096281403729781</v>
      </c>
      <c r="AM33" s="28">
        <f t="shared" si="10"/>
        <v>-2.3139630075215134</v>
      </c>
      <c r="AN33" s="28">
        <f t="shared" si="10"/>
        <v>-2.3157471615489813</v>
      </c>
      <c r="AO33" s="28">
        <f t="shared" si="10"/>
        <v>-2.3177549214936723</v>
      </c>
      <c r="AP33" s="28">
        <f t="shared" si="10"/>
        <v>-2.3199776048516689</v>
      </c>
      <c r="AQ33" s="28">
        <f t="shared" si="10"/>
        <v>-2.3224071252966718</v>
      </c>
      <c r="AR33" s="28">
        <f t="shared" si="10"/>
        <v>-2.3250359414523776</v>
      </c>
      <c r="AS33" s="28">
        <f t="shared" si="10"/>
        <v>-2.3250730145110658</v>
      </c>
      <c r="AT33" s="28">
        <f t="shared" si="10"/>
        <v>-2.3252946526138598</v>
      </c>
      <c r="AU33" s="28">
        <f t="shared" si="10"/>
        <v>-2.3256940319059596</v>
      </c>
      <c r="AV33" s="28">
        <f t="shared" si="10"/>
        <v>-2.3262647465769009</v>
      </c>
      <c r="AW33" s="28">
        <f t="shared" si="10"/>
        <v>-2.3270007763918432</v>
      </c>
      <c r="AY33" s="85"/>
    </row>
    <row r="34" spans="1:51" x14ac:dyDescent="0.25">
      <c r="A34" s="102" t="str">
        <f t="shared" si="0"/>
        <v>FS Poultry MMCH4</v>
      </c>
      <c r="B34" s="102" t="s">
        <v>1005</v>
      </c>
      <c r="C34" s="102" t="s">
        <v>1232</v>
      </c>
      <c r="D34" t="s">
        <v>15</v>
      </c>
      <c r="E34" t="s">
        <v>22</v>
      </c>
      <c r="F34" t="s">
        <v>28</v>
      </c>
      <c r="G34" t="s">
        <v>134</v>
      </c>
      <c r="H34" t="s">
        <v>1228</v>
      </c>
      <c r="I34" t="s">
        <v>121</v>
      </c>
      <c r="J34" t="s">
        <v>286</v>
      </c>
      <c r="K34" s="28">
        <f t="shared" si="7"/>
        <v>2.3287695415892307E-2</v>
      </c>
      <c r="L34" s="28">
        <f t="shared" si="10"/>
        <v>2.3792006592875784E-2</v>
      </c>
      <c r="M34" s="28">
        <f t="shared" si="10"/>
        <v>2.4198359145657992E-2</v>
      </c>
      <c r="N34" s="28">
        <f t="shared" si="10"/>
        <v>2.4463864014486018E-2</v>
      </c>
      <c r="O34" s="28">
        <f t="shared" si="10"/>
        <v>2.4732972637230538E-2</v>
      </c>
      <c r="P34" s="28">
        <f t="shared" si="10"/>
        <v>2.5079904426237691E-2</v>
      </c>
      <c r="Q34" s="28">
        <f t="shared" si="10"/>
        <v>2.5450914457062126E-2</v>
      </c>
      <c r="R34" s="28">
        <f t="shared" si="10"/>
        <v>2.5666676614655742E-2</v>
      </c>
      <c r="S34" s="28">
        <f t="shared" si="10"/>
        <v>2.4425433081259044E-2</v>
      </c>
      <c r="T34" s="28">
        <f t="shared" si="10"/>
        <v>2.4949814142996823E-2</v>
      </c>
      <c r="U34" s="28">
        <f t="shared" si="10"/>
        <v>2.5439323884711679E-2</v>
      </c>
      <c r="V34" s="28">
        <f t="shared" si="10"/>
        <v>2.5932698042983617E-2</v>
      </c>
      <c r="W34" s="28">
        <f t="shared" si="10"/>
        <v>2.6492643697133385E-2</v>
      </c>
      <c r="X34" s="28">
        <f t="shared" si="10"/>
        <v>2.7057240669073435E-2</v>
      </c>
      <c r="Y34" s="28">
        <f t="shared" si="10"/>
        <v>2.7622555162509051E-2</v>
      </c>
      <c r="Z34" s="28">
        <f t="shared" si="10"/>
        <v>2.8176965865036346E-2</v>
      </c>
      <c r="AA34" s="28">
        <f t="shared" si="10"/>
        <v>2.8760838954152518E-2</v>
      </c>
      <c r="AB34" s="28">
        <f t="shared" si="10"/>
        <v>2.9319055806807104E-2</v>
      </c>
      <c r="AC34" s="28">
        <f t="shared" si="10"/>
        <v>2.9890511348844809E-2</v>
      </c>
      <c r="AD34" s="28">
        <f t="shared" si="10"/>
        <v>3.0538432433712476E-2</v>
      </c>
      <c r="AE34" s="28">
        <f t="shared" si="10"/>
        <v>3.123100856807573E-2</v>
      </c>
      <c r="AF34" s="28">
        <f t="shared" si="10"/>
        <v>3.1945373465817078E-2</v>
      </c>
      <c r="AG34" s="28">
        <f t="shared" si="10"/>
        <v>3.2158003703940202E-2</v>
      </c>
      <c r="AH34" s="28">
        <f t="shared" si="10"/>
        <v>7.7079802322364711E-3</v>
      </c>
      <c r="AI34" s="28">
        <f t="shared" si="10"/>
        <v>7.7672225791054648E-3</v>
      </c>
      <c r="AJ34" s="28">
        <f t="shared" si="10"/>
        <v>7.8268962553927103E-3</v>
      </c>
      <c r="AK34" s="28">
        <f t="shared" si="10"/>
        <v>7.8870045455527778E-3</v>
      </c>
      <c r="AL34" s="28">
        <f t="shared" si="10"/>
        <v>7.9475507489555203E-3</v>
      </c>
      <c r="AM34" s="28">
        <f t="shared" si="10"/>
        <v>8.0085381808564764E-3</v>
      </c>
      <c r="AN34" s="28">
        <f t="shared" si="10"/>
        <v>8.0606731521322347E-3</v>
      </c>
      <c r="AO34" s="28">
        <f t="shared" si="10"/>
        <v>8.1131299403660317E-3</v>
      </c>
      <c r="AP34" s="28">
        <f t="shared" si="10"/>
        <v>8.1659106374109367E-3</v>
      </c>
      <c r="AQ34" s="28">
        <f t="shared" si="10"/>
        <v>8.2190173421198831E-3</v>
      </c>
      <c r="AR34" s="28">
        <f t="shared" si="10"/>
        <v>8.2724521608947329E-3</v>
      </c>
      <c r="AS34" s="28">
        <f t="shared" si="10"/>
        <v>8.3166629016207475E-3</v>
      </c>
      <c r="AT34" s="28">
        <f t="shared" si="10"/>
        <v>8.3610976164500486E-3</v>
      </c>
      <c r="AU34" s="28">
        <f t="shared" si="10"/>
        <v>8.4057575201904496E-3</v>
      </c>
      <c r="AV34" s="28">
        <f t="shared" si="10"/>
        <v>8.4506438296934709E-3</v>
      </c>
      <c r="AW34" s="28">
        <f t="shared" si="10"/>
        <v>8.495757764182087E-3</v>
      </c>
      <c r="AY34" s="85"/>
    </row>
    <row r="35" spans="1:51" x14ac:dyDescent="0.25">
      <c r="A35" s="102" t="str">
        <f t="shared" si="0"/>
        <v>FS Poultry MMCH4</v>
      </c>
      <c r="B35" s="102" t="s">
        <v>1005</v>
      </c>
      <c r="C35" s="102" t="s">
        <v>1232</v>
      </c>
      <c r="D35" t="s">
        <v>15</v>
      </c>
      <c r="E35" t="s">
        <v>22</v>
      </c>
      <c r="F35" t="s">
        <v>28</v>
      </c>
      <c r="G35" t="s">
        <v>133</v>
      </c>
      <c r="H35" t="s">
        <v>1228</v>
      </c>
      <c r="I35" t="s">
        <v>121</v>
      </c>
      <c r="J35" t="s">
        <v>286</v>
      </c>
      <c r="K35" s="28">
        <f t="shared" si="7"/>
        <v>9.3163042717810632E-2</v>
      </c>
      <c r="L35" s="28">
        <f t="shared" si="10"/>
        <v>9.4674858507474813E-2</v>
      </c>
      <c r="M35" s="28">
        <f t="shared" si="10"/>
        <v>9.5123748183632839E-2</v>
      </c>
      <c r="N35" s="28">
        <f t="shared" si="10"/>
        <v>9.411752694907706E-2</v>
      </c>
      <c r="O35" s="28">
        <f t="shared" si="10"/>
        <v>9.3113466224717556E-2</v>
      </c>
      <c r="P35" s="28">
        <f t="shared" si="10"/>
        <v>9.2822128000237508E-2</v>
      </c>
      <c r="Q35" s="28">
        <f t="shared" si="10"/>
        <v>9.2761437454217818E-2</v>
      </c>
      <c r="R35" s="28">
        <f t="shared" si="10"/>
        <v>9.1214149611608147E-2</v>
      </c>
      <c r="S35" s="28">
        <f t="shared" si="10"/>
        <v>7.6003620214521325E-2</v>
      </c>
      <c r="T35" s="28">
        <f t="shared" si="10"/>
        <v>7.8245537442550611E-2</v>
      </c>
      <c r="U35" s="28">
        <f t="shared" si="10"/>
        <v>8.0119479136932389E-2</v>
      </c>
      <c r="V35" s="28">
        <f t="shared" si="10"/>
        <v>8.1988873935417206E-2</v>
      </c>
      <c r="W35" s="28">
        <f t="shared" si="10"/>
        <v>8.4421015619150011E-2</v>
      </c>
      <c r="X35" s="28">
        <f t="shared" si="10"/>
        <v>8.6845856777302652E-2</v>
      </c>
      <c r="Y35" s="28">
        <f t="shared" si="10"/>
        <v>8.9508170799005846E-2</v>
      </c>
      <c r="Z35" s="28">
        <f t="shared" si="10"/>
        <v>9.2028330133957781E-2</v>
      </c>
      <c r="AA35" s="28">
        <f t="shared" si="10"/>
        <v>9.4763412010461776E-2</v>
      </c>
      <c r="AB35" s="28">
        <f t="shared" si="10"/>
        <v>9.7229574055292575E-2</v>
      </c>
      <c r="AC35" s="28">
        <f t="shared" si="10"/>
        <v>9.9768557857354889E-2</v>
      </c>
      <c r="AD35" s="28">
        <f t="shared" si="10"/>
        <v>0.10314268304470672</v>
      </c>
      <c r="AE35" s="28">
        <f t="shared" si="10"/>
        <v>0.10684704409348912</v>
      </c>
      <c r="AF35" s="28">
        <f t="shared" si="10"/>
        <v>0.11068205574574447</v>
      </c>
      <c r="AG35" s="28">
        <f t="shared" si="10"/>
        <v>0.11025500175189677</v>
      </c>
      <c r="AH35" s="28">
        <f t="shared" si="10"/>
        <v>-9.5618834539008879E-2</v>
      </c>
      <c r="AI35" s="28">
        <f t="shared" si="10"/>
        <v>-9.5755836748130152E-2</v>
      </c>
      <c r="AJ35" s="28">
        <f t="shared" si="10"/>
        <v>-9.5904432315731702E-2</v>
      </c>
      <c r="AK35" s="28">
        <f t="shared" si="10"/>
        <v>-9.6064137427684965E-2</v>
      </c>
      <c r="AL35" s="28">
        <f t="shared" si="10"/>
        <v>-9.6234505848874163E-2</v>
      </c>
      <c r="AM35" s="28">
        <f t="shared" si="10"/>
        <v>-9.641512531339648E-2</v>
      </c>
      <c r="AN35" s="28">
        <f t="shared" si="10"/>
        <v>-9.6489465064540994E-2</v>
      </c>
      <c r="AO35" s="28">
        <f t="shared" si="10"/>
        <v>-9.6573121728903102E-2</v>
      </c>
      <c r="AP35" s="28">
        <f t="shared" si="10"/>
        <v>-9.6665733535486312E-2</v>
      </c>
      <c r="AQ35" s="28">
        <f t="shared" si="10"/>
        <v>-9.6766963554028085E-2</v>
      </c>
      <c r="AR35" s="28">
        <f t="shared" si="10"/>
        <v>-9.6876497560515806E-2</v>
      </c>
      <c r="AS35" s="28">
        <f t="shared" si="10"/>
        <v>-9.6878042271294512E-2</v>
      </c>
      <c r="AT35" s="28">
        <f t="shared" si="10"/>
        <v>-9.6887277192244256E-2</v>
      </c>
      <c r="AU35" s="28">
        <f t="shared" si="10"/>
        <v>-9.6903917996081751E-2</v>
      </c>
      <c r="AV35" s="28">
        <f t="shared" si="10"/>
        <v>-9.6927697774037633E-2</v>
      </c>
      <c r="AW35" s="28">
        <f t="shared" si="10"/>
        <v>-9.6958365682993541E-2</v>
      </c>
      <c r="AY35" s="85"/>
    </row>
    <row r="36" spans="1:51" x14ac:dyDescent="0.25">
      <c r="A36" s="102" t="str">
        <f t="shared" si="0"/>
        <v>FS Cattle MMN2O</v>
      </c>
      <c r="B36" s="102" t="s">
        <v>1005</v>
      </c>
      <c r="C36" s="102" t="s">
        <v>1233</v>
      </c>
      <c r="D36" t="s">
        <v>15</v>
      </c>
      <c r="E36" t="s">
        <v>657</v>
      </c>
      <c r="F36" t="s">
        <v>6</v>
      </c>
      <c r="G36" t="s">
        <v>136</v>
      </c>
      <c r="H36" t="s">
        <v>1228</v>
      </c>
      <c r="I36" t="s">
        <v>139</v>
      </c>
      <c r="J36" t="s">
        <v>287</v>
      </c>
      <c r="K36" s="28">
        <f>K1411</f>
        <v>5.9581863535910565E-2</v>
      </c>
      <c r="L36" s="28">
        <f t="shared" ref="L36:AW36" si="11">L1411</f>
        <v>5.9952472777501202E-2</v>
      </c>
      <c r="M36" s="28">
        <f t="shared" si="11"/>
        <v>6.0207271736418301E-2</v>
      </c>
      <c r="N36" s="28">
        <f t="shared" si="11"/>
        <v>6.0287180440683194E-2</v>
      </c>
      <c r="O36" s="28">
        <f t="shared" si="11"/>
        <v>6.0395284993714014E-2</v>
      </c>
      <c r="P36" s="28">
        <f t="shared" si="11"/>
        <v>6.0632075036082048E-2</v>
      </c>
      <c r="Q36" s="28">
        <f t="shared" si="11"/>
        <v>6.0915962278620638E-2</v>
      </c>
      <c r="R36" s="28">
        <f t="shared" si="11"/>
        <v>6.1001244967563928E-2</v>
      </c>
      <c r="S36" s="28">
        <f t="shared" si="11"/>
        <v>5.9128520448870917E-2</v>
      </c>
      <c r="T36" s="28">
        <f t="shared" si="11"/>
        <v>5.961554215328714E-2</v>
      </c>
      <c r="U36" s="28">
        <f t="shared" si="11"/>
        <v>6.0062127225246474E-2</v>
      </c>
      <c r="V36" s="28">
        <f t="shared" si="11"/>
        <v>6.0520025735654244E-2</v>
      </c>
      <c r="W36" s="28">
        <f t="shared" si="11"/>
        <v>6.107162678051329E-2</v>
      </c>
      <c r="X36" s="28">
        <f t="shared" si="11"/>
        <v>6.1633578287442058E-2</v>
      </c>
      <c r="Y36" s="28">
        <f t="shared" si="11"/>
        <v>6.2180760814939798E-2</v>
      </c>
      <c r="Z36" s="28">
        <f t="shared" si="11"/>
        <v>6.2716996536282391E-2</v>
      </c>
      <c r="AA36" s="28">
        <f t="shared" si="11"/>
        <v>6.3294581219461896E-2</v>
      </c>
      <c r="AB36" s="28">
        <f t="shared" si="11"/>
        <v>6.3841542561015929E-2</v>
      </c>
      <c r="AC36" s="28">
        <f t="shared" si="11"/>
        <v>6.4408123024693842E-2</v>
      </c>
      <c r="AD36" s="28">
        <f t="shared" si="11"/>
        <v>6.5059072276654292E-2</v>
      </c>
      <c r="AE36" s="28">
        <f t="shared" si="11"/>
        <v>6.5768024439382053E-2</v>
      </c>
      <c r="AF36" s="28">
        <f t="shared" si="11"/>
        <v>6.6505116559025759E-2</v>
      </c>
      <c r="AG36" s="28">
        <f t="shared" si="11"/>
        <v>6.6608077063784327E-2</v>
      </c>
      <c r="AH36" s="28">
        <f t="shared" si="11"/>
        <v>3.5661314599783112E-2</v>
      </c>
      <c r="AI36" s="28">
        <f t="shared" si="11"/>
        <v>3.5687543278982381E-2</v>
      </c>
      <c r="AJ36" s="28">
        <f t="shared" si="11"/>
        <v>3.5717217411916767E-2</v>
      </c>
      <c r="AK36" s="28">
        <f t="shared" si="11"/>
        <v>3.5750206038134905E-2</v>
      </c>
      <c r="AL36" s="28">
        <f t="shared" si="11"/>
        <v>3.5786388283243133E-2</v>
      </c>
      <c r="AM36" s="28">
        <f t="shared" si="11"/>
        <v>3.5825652402917518E-2</v>
      </c>
      <c r="AN36" s="28">
        <f t="shared" si="11"/>
        <v>3.5842556779576207E-2</v>
      </c>
      <c r="AO36" s="28">
        <f t="shared" si="11"/>
        <v>3.5862175171675115E-2</v>
      </c>
      <c r="AP36" s="28">
        <f t="shared" si="11"/>
        <v>3.588441278699845E-2</v>
      </c>
      <c r="AQ36" s="28">
        <f t="shared" si="11"/>
        <v>3.5909181301646116E-2</v>
      </c>
      <c r="AR36" s="28">
        <f t="shared" si="11"/>
        <v>3.5936398311145284E-2</v>
      </c>
      <c r="AS36" s="28">
        <f t="shared" si="11"/>
        <v>3.5940375653704157E-2</v>
      </c>
      <c r="AT36" s="28">
        <f t="shared" si="11"/>
        <v>3.5946523647611327E-2</v>
      </c>
      <c r="AU36" s="28">
        <f t="shared" si="11"/>
        <v>3.5954770346244613E-2</v>
      </c>
      <c r="AV36" s="28">
        <f t="shared" si="11"/>
        <v>3.5965048185906283E-2</v>
      </c>
      <c r="AW36" s="28">
        <f t="shared" si="11"/>
        <v>3.5977293649132408E-2</v>
      </c>
      <c r="AY36" s="85"/>
    </row>
    <row r="37" spans="1:51" x14ac:dyDescent="0.25">
      <c r="A37" s="102" t="str">
        <f t="shared" si="0"/>
        <v>FS Cattle MMN2O</v>
      </c>
      <c r="B37" s="102" t="s">
        <v>1005</v>
      </c>
      <c r="C37" s="102" t="s">
        <v>1233</v>
      </c>
      <c r="D37" t="s">
        <v>15</v>
      </c>
      <c r="E37" t="s">
        <v>657</v>
      </c>
      <c r="F37" t="s">
        <v>6</v>
      </c>
      <c r="G37" t="s">
        <v>137</v>
      </c>
      <c r="H37" t="s">
        <v>1228</v>
      </c>
      <c r="I37" t="s">
        <v>139</v>
      </c>
      <c r="J37" t="s">
        <v>287</v>
      </c>
      <c r="K37" s="28">
        <f t="shared" si="7"/>
        <v>0.26088706231871722</v>
      </c>
      <c r="L37" s="28">
        <f t="shared" si="10"/>
        <v>0.2625098238533321</v>
      </c>
      <c r="M37" s="28">
        <f t="shared" si="10"/>
        <v>0.26362549476271357</v>
      </c>
      <c r="N37" s="28">
        <f t="shared" si="10"/>
        <v>0.2639753855830434</v>
      </c>
      <c r="O37" s="28">
        <f t="shared" si="10"/>
        <v>0.26444873565284266</v>
      </c>
      <c r="P37" s="28">
        <f t="shared" si="10"/>
        <v>0.26548555214151259</v>
      </c>
      <c r="Q37" s="28">
        <f t="shared" si="10"/>
        <v>0.26672858994429993</v>
      </c>
      <c r="R37" s="28">
        <f t="shared" si="10"/>
        <v>0.26710201146663365</v>
      </c>
      <c r="S37" s="28">
        <f t="shared" si="10"/>
        <v>0.2589020397097988</v>
      </c>
      <c r="T37" s="28">
        <f t="shared" si="10"/>
        <v>0.26103452859501175</v>
      </c>
      <c r="U37" s="28">
        <f t="shared" si="10"/>
        <v>0.26298996034193323</v>
      </c>
      <c r="V37" s="28">
        <f t="shared" si="10"/>
        <v>0.26499492947399811</v>
      </c>
      <c r="W37" s="28">
        <f t="shared" si="10"/>
        <v>0.26741018753450635</v>
      </c>
      <c r="X37" s="28">
        <f t="shared" si="10"/>
        <v>0.26987076646084124</v>
      </c>
      <c r="Y37" s="28">
        <f t="shared" si="10"/>
        <v>0.27226667745924399</v>
      </c>
      <c r="Z37" s="28">
        <f t="shared" si="10"/>
        <v>0.27461465642044425</v>
      </c>
      <c r="AA37" s="28">
        <f t="shared" si="10"/>
        <v>0.27714368727467675</v>
      </c>
      <c r="AB37" s="28">
        <f t="shared" si="10"/>
        <v>0.2795386297811987</v>
      </c>
      <c r="AC37" s="28">
        <f t="shared" si="10"/>
        <v>0.2820194772063051</v>
      </c>
      <c r="AD37" s="28">
        <f t="shared" si="10"/>
        <v>0.28486974451894415</v>
      </c>
      <c r="AE37" s="28">
        <f t="shared" si="10"/>
        <v>0.28797398524057027</v>
      </c>
      <c r="AF37" s="28">
        <f t="shared" si="10"/>
        <v>0.2912014404818154</v>
      </c>
      <c r="AG37" s="28">
        <f t="shared" si="10"/>
        <v>0.29165226665654759</v>
      </c>
      <c r="AH37" s="28">
        <f t="shared" si="10"/>
        <v>0.1561477780693053</v>
      </c>
      <c r="AI37" s="28">
        <f t="shared" si="10"/>
        <v>0.15626262380689576</v>
      </c>
      <c r="AJ37" s="28">
        <f t="shared" si="10"/>
        <v>0.1563925559189292</v>
      </c>
      <c r="AK37" s="28">
        <f t="shared" si="10"/>
        <v>0.1565370009777648</v>
      </c>
      <c r="AL37" s="28">
        <f t="shared" si="10"/>
        <v>0.15669542971889827</v>
      </c>
      <c r="AM37" s="28">
        <f t="shared" si="10"/>
        <v>0.156867352855042</v>
      </c>
      <c r="AN37" s="28">
        <f t="shared" si="10"/>
        <v>0.15694137090189544</v>
      </c>
      <c r="AO37" s="28">
        <f t="shared" si="10"/>
        <v>0.15702727262396923</v>
      </c>
      <c r="AP37" s="28">
        <f t="shared" si="10"/>
        <v>0.15712464296102122</v>
      </c>
      <c r="AQ37" s="28">
        <f t="shared" si="10"/>
        <v>0.15723309517518419</v>
      </c>
      <c r="AR37" s="28">
        <f t="shared" si="10"/>
        <v>0.15735226844758546</v>
      </c>
      <c r="AS37" s="28">
        <f t="shared" si="10"/>
        <v>0.15736968376752411</v>
      </c>
      <c r="AT37" s="28">
        <f t="shared" si="10"/>
        <v>0.15739660357120949</v>
      </c>
      <c r="AU37" s="28">
        <f t="shared" si="10"/>
        <v>0.15743271283084972</v>
      </c>
      <c r="AV37" s="28">
        <f t="shared" si="10"/>
        <v>0.15747771570986671</v>
      </c>
      <c r="AW37" s="28">
        <f t="shared" si="10"/>
        <v>0.15753133408865197</v>
      </c>
      <c r="AY37" s="85"/>
    </row>
    <row r="38" spans="1:51" x14ac:dyDescent="0.25">
      <c r="A38" s="102" t="str">
        <f t="shared" si="0"/>
        <v>FS Cattle MMN2O</v>
      </c>
      <c r="B38" s="102" t="s">
        <v>1005</v>
      </c>
      <c r="C38" s="102" t="s">
        <v>1233</v>
      </c>
      <c r="D38" t="s">
        <v>15</v>
      </c>
      <c r="E38" t="s">
        <v>657</v>
      </c>
      <c r="F38" t="s">
        <v>67</v>
      </c>
      <c r="G38" t="s">
        <v>307</v>
      </c>
      <c r="H38" t="s">
        <v>1228</v>
      </c>
      <c r="I38" t="s">
        <v>139</v>
      </c>
      <c r="J38" t="s">
        <v>287</v>
      </c>
      <c r="K38" s="28">
        <f t="shared" si="7"/>
        <v>1.1607933720950987E-2</v>
      </c>
      <c r="L38" s="28">
        <f t="shared" si="10"/>
        <v>1.1680137026746603E-2</v>
      </c>
      <c r="M38" s="28">
        <f t="shared" si="10"/>
        <v>1.1729777794116936E-2</v>
      </c>
      <c r="N38" s="28">
        <f t="shared" si="10"/>
        <v>1.1745345869497372E-2</v>
      </c>
      <c r="O38" s="28">
        <f t="shared" si="10"/>
        <v>1.1766407152445642E-2</v>
      </c>
      <c r="P38" s="28">
        <f t="shared" si="10"/>
        <v>1.1812539363733939E-2</v>
      </c>
      <c r="Q38" s="28">
        <f t="shared" si="10"/>
        <v>1.186784720575243E-2</v>
      </c>
      <c r="R38" s="28">
        <f t="shared" si="10"/>
        <v>1.1884462258421965E-2</v>
      </c>
      <c r="S38" s="28">
        <f t="shared" si="10"/>
        <v>1.1519611936520126E-2</v>
      </c>
      <c r="T38" s="28">
        <f t="shared" si="10"/>
        <v>1.1614495099449744E-2</v>
      </c>
      <c r="U38" s="28">
        <f t="shared" ref="L38:AW44" si="12">U1413</f>
        <v>1.1701500265257389E-2</v>
      </c>
      <c r="V38" s="28">
        <f t="shared" si="12"/>
        <v>1.1790709552182964E-2</v>
      </c>
      <c r="W38" s="28">
        <f t="shared" si="12"/>
        <v>1.189817427364593E-2</v>
      </c>
      <c r="X38" s="28">
        <f t="shared" si="12"/>
        <v>1.2007655506016015E-2</v>
      </c>
      <c r="Y38" s="28">
        <f t="shared" si="12"/>
        <v>1.2114259397460733E-2</v>
      </c>
      <c r="Z38" s="28">
        <f t="shared" si="12"/>
        <v>1.221873059629122E-2</v>
      </c>
      <c r="AA38" s="28">
        <f t="shared" si="12"/>
        <v>1.2331257535240406E-2</v>
      </c>
      <c r="AB38" s="28">
        <f t="shared" si="12"/>
        <v>1.2437818334515426E-2</v>
      </c>
      <c r="AC38" s="28">
        <f t="shared" si="12"/>
        <v>1.2548201395394263E-2</v>
      </c>
      <c r="AD38" s="28">
        <f t="shared" si="12"/>
        <v>1.2675021459823859E-2</v>
      </c>
      <c r="AE38" s="28">
        <f t="shared" si="12"/>
        <v>1.2813141841226641E-2</v>
      </c>
      <c r="AF38" s="28">
        <f t="shared" si="12"/>
        <v>1.2956744541164057E-2</v>
      </c>
      <c r="AG38" s="28">
        <f t="shared" si="12"/>
        <v>1.2976803643786663E-2</v>
      </c>
      <c r="AH38" s="28">
        <f t="shared" si="12"/>
        <v>6.9476540629980453E-3</v>
      </c>
      <c r="AI38" s="28">
        <f t="shared" si="12"/>
        <v>6.9527640201505212E-3</v>
      </c>
      <c r="AJ38" s="28">
        <f t="shared" si="12"/>
        <v>6.9585452318798495E-3</v>
      </c>
      <c r="AK38" s="28">
        <f t="shared" si="12"/>
        <v>6.9649721840421407E-3</v>
      </c>
      <c r="AL38" s="28">
        <f t="shared" si="12"/>
        <v>6.9720213274922825E-3</v>
      </c>
      <c r="AM38" s="28">
        <f t="shared" si="12"/>
        <v>6.9796708918352492E-3</v>
      </c>
      <c r="AN38" s="28">
        <f t="shared" si="12"/>
        <v>6.9829642578396519E-3</v>
      </c>
      <c r="AO38" s="28">
        <f t="shared" si="12"/>
        <v>6.986786377217614E-3</v>
      </c>
      <c r="AP38" s="28">
        <f t="shared" si="12"/>
        <v>6.9911187822393143E-3</v>
      </c>
      <c r="AQ38" s="28">
        <f t="shared" si="12"/>
        <v>6.9959442653533691E-3</v>
      </c>
      <c r="AR38" s="28">
        <f t="shared" si="12"/>
        <v>7.0012467722505977E-3</v>
      </c>
      <c r="AS38" s="28">
        <f t="shared" si="12"/>
        <v>7.0020216511494588E-3</v>
      </c>
      <c r="AT38" s="28">
        <f t="shared" si="12"/>
        <v>7.00321942345056E-3</v>
      </c>
      <c r="AU38" s="28">
        <f t="shared" si="12"/>
        <v>7.0048260722774189E-3</v>
      </c>
      <c r="AV38" s="28">
        <f t="shared" si="12"/>
        <v>7.0068284346492373E-3</v>
      </c>
      <c r="AW38" s="28">
        <f t="shared" si="12"/>
        <v>7.0092141358857468E-3</v>
      </c>
      <c r="AY38" s="85"/>
    </row>
    <row r="39" spans="1:51" x14ac:dyDescent="0.25">
      <c r="A39" s="102" t="str">
        <f t="shared" si="0"/>
        <v>FS Cattle MMN2O</v>
      </c>
      <c r="B39" s="102" t="s">
        <v>1005</v>
      </c>
      <c r="C39" s="102" t="s">
        <v>1233</v>
      </c>
      <c r="D39" t="s">
        <v>15</v>
      </c>
      <c r="E39" t="s">
        <v>657</v>
      </c>
      <c r="F39" t="s">
        <v>67</v>
      </c>
      <c r="G39" t="s">
        <v>122</v>
      </c>
      <c r="H39" t="s">
        <v>1228</v>
      </c>
      <c r="I39" t="s">
        <v>139</v>
      </c>
      <c r="J39" t="s">
        <v>287</v>
      </c>
      <c r="K39" s="28">
        <f t="shared" si="7"/>
        <v>0.52988033061170758</v>
      </c>
      <c r="L39" s="28">
        <f t="shared" si="12"/>
        <v>0.52636805175151047</v>
      </c>
      <c r="M39" s="28">
        <f t="shared" si="12"/>
        <v>0.51896264714173934</v>
      </c>
      <c r="N39" s="28">
        <f t="shared" si="12"/>
        <v>0.50647981142977161</v>
      </c>
      <c r="O39" s="28">
        <f t="shared" si="12"/>
        <v>0.4943686614451126</v>
      </c>
      <c r="P39" s="28">
        <f t="shared" si="12"/>
        <v>0.48505348723916247</v>
      </c>
      <c r="Q39" s="28">
        <f t="shared" si="12"/>
        <v>0.47662784045454271</v>
      </c>
      <c r="R39" s="28">
        <f t="shared" si="12"/>
        <v>0.46338055897739389</v>
      </c>
      <c r="S39" s="28">
        <f t="shared" si="12"/>
        <v>0.40641283743592205</v>
      </c>
      <c r="T39" s="28">
        <f t="shared" si="12"/>
        <v>0.41028660340184542</v>
      </c>
      <c r="U39" s="28">
        <f t="shared" si="12"/>
        <v>0.41290787540039242</v>
      </c>
      <c r="V39" s="28">
        <f t="shared" si="12"/>
        <v>0.41544388868051429</v>
      </c>
      <c r="W39" s="28">
        <f t="shared" si="12"/>
        <v>0.41963784467016801</v>
      </c>
      <c r="X39" s="28">
        <f t="shared" si="12"/>
        <v>0.42369357816507769</v>
      </c>
      <c r="Y39" s="28">
        <f t="shared" si="12"/>
        <v>0.42795148955175888</v>
      </c>
      <c r="Z39" s="28">
        <f t="shared" si="12"/>
        <v>0.43165837799817441</v>
      </c>
      <c r="AA39" s="28">
        <f t="shared" si="12"/>
        <v>0.43587731971405297</v>
      </c>
      <c r="AB39" s="28">
        <f t="shared" si="12"/>
        <v>0.43917878455229692</v>
      </c>
      <c r="AC39" s="28">
        <f t="shared" si="12"/>
        <v>0.44257083604017933</v>
      </c>
      <c r="AD39" s="28">
        <f t="shared" si="12"/>
        <v>0.44415072955507112</v>
      </c>
      <c r="AE39" s="28">
        <f t="shared" si="12"/>
        <v>0.44631708410431642</v>
      </c>
      <c r="AF39" s="28">
        <f t="shared" si="12"/>
        <v>0.44847507790025098</v>
      </c>
      <c r="AG39" s="28">
        <f t="shared" si="12"/>
        <v>0.43896382192914674</v>
      </c>
      <c r="AH39" s="28">
        <f t="shared" si="12"/>
        <v>-0.10354549398732707</v>
      </c>
      <c r="AI39" s="28">
        <f t="shared" si="12"/>
        <v>-0.10114359865651981</v>
      </c>
      <c r="AJ39" s="28">
        <f t="shared" si="12"/>
        <v>-9.8779900999145701E-2</v>
      </c>
      <c r="AK39" s="28">
        <f t="shared" si="12"/>
        <v>-9.645240042559923E-2</v>
      </c>
      <c r="AL39" s="28">
        <f t="shared" si="12"/>
        <v>-9.4159234659003305E-2</v>
      </c>
      <c r="AM39" s="28">
        <f t="shared" si="12"/>
        <v>-9.1898666918572763E-2</v>
      </c>
      <c r="AN39" s="28">
        <f t="shared" si="12"/>
        <v>-9.0065857844413774E-2</v>
      </c>
      <c r="AO39" s="28">
        <f t="shared" si="12"/>
        <v>-8.8260731137636633E-2</v>
      </c>
      <c r="AP39" s="28">
        <f t="shared" si="12"/>
        <v>-8.6482032370585105E-2</v>
      </c>
      <c r="AQ39" s="28">
        <f t="shared" si="12"/>
        <v>-8.4728585134525733E-2</v>
      </c>
      <c r="AR39" s="28">
        <f t="shared" si="12"/>
        <v>-8.2999284570590512E-2</v>
      </c>
      <c r="AS39" s="28">
        <f t="shared" si="12"/>
        <v>-8.1237842076259073E-2</v>
      </c>
      <c r="AT39" s="28">
        <f t="shared" si="12"/>
        <v>-7.9500621662589185E-2</v>
      </c>
      <c r="AU39" s="28">
        <f t="shared" si="12"/>
        <v>-7.7786670470567892E-2</v>
      </c>
      <c r="AV39" s="28">
        <f t="shared" si="12"/>
        <v>-7.609508917583023E-2</v>
      </c>
      <c r="AW39" s="28">
        <f t="shared" si="12"/>
        <v>-7.4425027988165984E-2</v>
      </c>
      <c r="AY39" s="85"/>
    </row>
    <row r="40" spans="1:51" x14ac:dyDescent="0.25">
      <c r="A40" s="102" t="str">
        <f t="shared" si="0"/>
        <v>FS Cattle MMN2O</v>
      </c>
      <c r="B40" s="102" t="s">
        <v>1005</v>
      </c>
      <c r="C40" s="102" t="s">
        <v>1233</v>
      </c>
      <c r="D40" t="s">
        <v>15</v>
      </c>
      <c r="E40" t="s">
        <v>657</v>
      </c>
      <c r="F40" t="s">
        <v>67</v>
      </c>
      <c r="G40" t="s">
        <v>123</v>
      </c>
      <c r="H40" t="s">
        <v>1228</v>
      </c>
      <c r="I40" t="s">
        <v>139</v>
      </c>
      <c r="J40" t="s">
        <v>287</v>
      </c>
      <c r="K40" s="28">
        <f t="shared" si="7"/>
        <v>0.81161466909134916</v>
      </c>
      <c r="L40" s="28">
        <f t="shared" si="12"/>
        <v>0.80623493166726978</v>
      </c>
      <c r="M40" s="28">
        <f t="shared" si="12"/>
        <v>0.79489211581881503</v>
      </c>
      <c r="N40" s="28">
        <f t="shared" si="12"/>
        <v>0.77577222781694366</v>
      </c>
      <c r="O40" s="28">
        <f t="shared" si="12"/>
        <v>0.75722164871587128</v>
      </c>
      <c r="P40" s="28">
        <f t="shared" si="12"/>
        <v>0.74295364970944966</v>
      </c>
      <c r="Q40" s="28">
        <f t="shared" si="12"/>
        <v>0.73004813476216801</v>
      </c>
      <c r="R40" s="28">
        <f t="shared" si="12"/>
        <v>0.7097573495578483</v>
      </c>
      <c r="S40" s="28">
        <f t="shared" si="12"/>
        <v>0.62250021658521282</v>
      </c>
      <c r="T40" s="28">
        <f t="shared" si="12"/>
        <v>0.62843364173979577</v>
      </c>
      <c r="U40" s="28">
        <f t="shared" si="12"/>
        <v>0.63244862905446586</v>
      </c>
      <c r="V40" s="28">
        <f t="shared" si="12"/>
        <v>0.63633302607818865</v>
      </c>
      <c r="W40" s="28">
        <f t="shared" si="12"/>
        <v>0.64275688445918766</v>
      </c>
      <c r="X40" s="28">
        <f t="shared" si="12"/>
        <v>0.64896902823624347</v>
      </c>
      <c r="Y40" s="28">
        <f t="shared" si="12"/>
        <v>0.65549084673275582</v>
      </c>
      <c r="Z40" s="28">
        <f t="shared" si="12"/>
        <v>0.66116866654600104</v>
      </c>
      <c r="AA40" s="28">
        <f t="shared" si="12"/>
        <v>0.66763079542082715</v>
      </c>
      <c r="AB40" s="28">
        <f t="shared" si="12"/>
        <v>0.67268763021428868</v>
      </c>
      <c r="AC40" s="28">
        <f t="shared" si="12"/>
        <v>0.67788321606043689</v>
      </c>
      <c r="AD40" s="28">
        <f t="shared" si="12"/>
        <v>0.68030312991307629</v>
      </c>
      <c r="AE40" s="28">
        <f t="shared" si="12"/>
        <v>0.68362132277483145</v>
      </c>
      <c r="AF40" s="28">
        <f t="shared" si="12"/>
        <v>0.68692670951860213</v>
      </c>
      <c r="AG40" s="28">
        <f t="shared" si="12"/>
        <v>0.67235837319496583</v>
      </c>
      <c r="AH40" s="28">
        <f t="shared" si="12"/>
        <v>-0.1586000403929089</v>
      </c>
      <c r="AI40" s="28">
        <f t="shared" si="12"/>
        <v>-0.15492107106439137</v>
      </c>
      <c r="AJ40" s="28">
        <f t="shared" si="12"/>
        <v>-0.15130060889360838</v>
      </c>
      <c r="AK40" s="28">
        <f t="shared" si="12"/>
        <v>-0.14773558958891347</v>
      </c>
      <c r="AL40" s="28">
        <f t="shared" si="12"/>
        <v>-0.14422316071147476</v>
      </c>
      <c r="AM40" s="28">
        <f t="shared" si="12"/>
        <v>-0.1407606620441057</v>
      </c>
      <c r="AN40" s="28">
        <f t="shared" si="12"/>
        <v>-0.1379533588771549</v>
      </c>
      <c r="AO40" s="28">
        <f t="shared" si="12"/>
        <v>-0.13518845663385484</v>
      </c>
      <c r="AP40" s="28">
        <f t="shared" si="12"/>
        <v>-0.13246403391454542</v>
      </c>
      <c r="AQ40" s="28">
        <f t="shared" si="12"/>
        <v>-0.12977828882070402</v>
      </c>
      <c r="AR40" s="28">
        <f t="shared" si="12"/>
        <v>-0.12712952904632721</v>
      </c>
      <c r="AS40" s="28">
        <f t="shared" si="12"/>
        <v>-0.12443153766115941</v>
      </c>
      <c r="AT40" s="28">
        <f t="shared" si="12"/>
        <v>-0.12177064709828132</v>
      </c>
      <c r="AU40" s="28">
        <f t="shared" si="12"/>
        <v>-0.11914539786899743</v>
      </c>
      <c r="AV40" s="28">
        <f t="shared" si="12"/>
        <v>-0.11655441248332606</v>
      </c>
      <c r="AW40" s="28">
        <f t="shared" si="12"/>
        <v>-0.11399638932246699</v>
      </c>
      <c r="AY40" s="85"/>
    </row>
    <row r="41" spans="1:51" x14ac:dyDescent="0.25">
      <c r="A41" s="102" t="str">
        <f t="shared" si="0"/>
        <v>FS Cattle MMN2O</v>
      </c>
      <c r="B41" s="102" t="s">
        <v>1005</v>
      </c>
      <c r="C41" s="102" t="s">
        <v>1233</v>
      </c>
      <c r="D41" t="s">
        <v>15</v>
      </c>
      <c r="E41" t="s">
        <v>657</v>
      </c>
      <c r="F41" t="s">
        <v>67</v>
      </c>
      <c r="G41" t="s">
        <v>135</v>
      </c>
      <c r="H41" t="s">
        <v>1228</v>
      </c>
      <c r="I41" t="s">
        <v>139</v>
      </c>
      <c r="J41" t="s">
        <v>287</v>
      </c>
      <c r="K41" s="28">
        <f t="shared" si="7"/>
        <v>0.98462431665992833</v>
      </c>
      <c r="L41" s="28">
        <f t="shared" si="12"/>
        <v>1.0196918835505078</v>
      </c>
      <c r="M41" s="28">
        <f t="shared" si="12"/>
        <v>1.0475259814074214</v>
      </c>
      <c r="N41" s="28">
        <f t="shared" si="12"/>
        <v>1.0647388767946648</v>
      </c>
      <c r="O41" s="28">
        <f t="shared" si="12"/>
        <v>1.0819877052462501</v>
      </c>
      <c r="P41" s="28">
        <f t="shared" si="12"/>
        <v>1.1048938649963369</v>
      </c>
      <c r="Q41" s="28">
        <f t="shared" si="12"/>
        <v>1.1297091115066857</v>
      </c>
      <c r="R41" s="28">
        <f t="shared" si="12"/>
        <v>1.142623258953418</v>
      </c>
      <c r="S41" s="28">
        <f t="shared" si="12"/>
        <v>1.0424500724104675</v>
      </c>
      <c r="T41" s="28">
        <f t="shared" si="12"/>
        <v>1.0775354748112338</v>
      </c>
      <c r="U41" s="28">
        <f t="shared" si="12"/>
        <v>1.1099789671042184</v>
      </c>
      <c r="V41" s="28">
        <f t="shared" si="12"/>
        <v>1.1427845071049993</v>
      </c>
      <c r="W41" s="28">
        <f t="shared" si="12"/>
        <v>1.1808667721174206</v>
      </c>
      <c r="X41" s="28">
        <f t="shared" si="12"/>
        <v>1.219399784150359</v>
      </c>
      <c r="Y41" s="28">
        <f t="shared" si="12"/>
        <v>1.2593873285345614</v>
      </c>
      <c r="Z41" s="28">
        <f t="shared" si="12"/>
        <v>1.2986321214759353</v>
      </c>
      <c r="AA41" s="28">
        <f t="shared" si="12"/>
        <v>1.3403229537470696</v>
      </c>
      <c r="AB41" s="28">
        <f t="shared" si="12"/>
        <v>1.3800999976091688</v>
      </c>
      <c r="AC41" s="28">
        <f t="shared" si="12"/>
        <v>1.4210424625750864</v>
      </c>
      <c r="AD41" s="28">
        <f t="shared" si="12"/>
        <v>1.4731597843117399</v>
      </c>
      <c r="AE41" s="28">
        <f t="shared" si="12"/>
        <v>1.5292748745002132</v>
      </c>
      <c r="AF41" s="28">
        <f t="shared" si="12"/>
        <v>1.58759303710444</v>
      </c>
      <c r="AG41" s="28">
        <f t="shared" si="12"/>
        <v>1.6055856657240113</v>
      </c>
      <c r="AH41" s="28">
        <f t="shared" si="12"/>
        <v>-0.39137548720927395</v>
      </c>
      <c r="AI41" s="28">
        <f t="shared" si="12"/>
        <v>-0.39511268844976988</v>
      </c>
      <c r="AJ41" s="28">
        <f t="shared" si="12"/>
        <v>-0.39888027556232269</v>
      </c>
      <c r="AK41" s="28">
        <f t="shared" si="12"/>
        <v>-0.40267853610571114</v>
      </c>
      <c r="AL41" s="28">
        <f t="shared" si="12"/>
        <v>-0.40650776022057733</v>
      </c>
      <c r="AM41" s="28">
        <f t="shared" si="12"/>
        <v>-0.41036824065181815</v>
      </c>
      <c r="AN41" s="28">
        <f t="shared" si="12"/>
        <v>-0.41346631245955484</v>
      </c>
      <c r="AO41" s="28">
        <f t="shared" si="12"/>
        <v>-0.41658575471490794</v>
      </c>
      <c r="AP41" s="28">
        <f t="shared" si="12"/>
        <v>-0.41972673655234932</v>
      </c>
      <c r="AQ41" s="28">
        <f t="shared" si="12"/>
        <v>-0.42288942838293692</v>
      </c>
      <c r="AR41" s="28">
        <f t="shared" si="12"/>
        <v>-0.42607400190364725</v>
      </c>
      <c r="AS41" s="28">
        <f t="shared" si="12"/>
        <v>-0.42898887673310604</v>
      </c>
      <c r="AT41" s="28">
        <f t="shared" si="12"/>
        <v>-0.43192052701996581</v>
      </c>
      <c r="AU41" s="28">
        <f t="shared" si="12"/>
        <v>-0.43486906373806822</v>
      </c>
      <c r="AV41" s="28">
        <f t="shared" si="12"/>
        <v>-0.43783459855710477</v>
      </c>
      <c r="AW41" s="28">
        <f t="shared" si="12"/>
        <v>-0.4408172438468278</v>
      </c>
      <c r="AY41" s="85"/>
    </row>
    <row r="42" spans="1:51" x14ac:dyDescent="0.25">
      <c r="A42" s="102" t="str">
        <f t="shared" si="0"/>
        <v>FS Sheep MMN2O</v>
      </c>
      <c r="B42" s="102" t="s">
        <v>1005</v>
      </c>
      <c r="C42" s="102" t="s">
        <v>1329</v>
      </c>
      <c r="D42" t="s">
        <v>15</v>
      </c>
      <c r="E42" t="s">
        <v>657</v>
      </c>
      <c r="F42" t="s">
        <v>18</v>
      </c>
      <c r="G42" t="s">
        <v>122</v>
      </c>
      <c r="H42" t="s">
        <v>1228</v>
      </c>
      <c r="I42" t="s">
        <v>139</v>
      </c>
      <c r="J42" t="s">
        <v>287</v>
      </c>
      <c r="K42" s="28">
        <f t="shared" si="7"/>
        <v>0.1171858684484313</v>
      </c>
      <c r="L42" s="28">
        <f t="shared" si="12"/>
        <v>0.11724986264912746</v>
      </c>
      <c r="M42" s="28">
        <f t="shared" si="12"/>
        <v>0.11739315795736154</v>
      </c>
      <c r="N42" s="28">
        <f t="shared" si="12"/>
        <v>0.11760884747933324</v>
      </c>
      <c r="O42" s="28">
        <f t="shared" si="12"/>
        <v>0.11789981697079396</v>
      </c>
      <c r="P42" s="28">
        <f t="shared" si="12"/>
        <v>0.11826637517857025</v>
      </c>
      <c r="Q42" s="28">
        <f t="shared" si="12"/>
        <v>0.11867470616236446</v>
      </c>
      <c r="R42" s="28">
        <f t="shared" si="12"/>
        <v>0.11911724401941932</v>
      </c>
      <c r="S42" s="28">
        <f t="shared" si="12"/>
        <v>0.11953310214883348</v>
      </c>
      <c r="T42" s="28">
        <f t="shared" si="12"/>
        <v>0.11970681414230742</v>
      </c>
      <c r="U42" s="28">
        <f t="shared" si="12"/>
        <v>0.11990838567894911</v>
      </c>
      <c r="V42" s="28">
        <f t="shared" si="12"/>
        <v>0.12013777542784022</v>
      </c>
      <c r="W42" s="28">
        <f t="shared" si="12"/>
        <v>0.1203961718842316</v>
      </c>
      <c r="X42" s="28">
        <f t="shared" si="12"/>
        <v>0.12067943256873451</v>
      </c>
      <c r="Y42" s="28">
        <f t="shared" si="12"/>
        <v>0.12085380112251057</v>
      </c>
      <c r="Z42" s="28">
        <f t="shared" si="12"/>
        <v>0.12104857439732014</v>
      </c>
      <c r="AA42" s="28">
        <f t="shared" si="12"/>
        <v>0.1212644592147404</v>
      </c>
      <c r="AB42" s="28">
        <f t="shared" si="12"/>
        <v>0.12149813863258012</v>
      </c>
      <c r="AC42" s="28">
        <f t="shared" si="12"/>
        <v>0.12175044819305053</v>
      </c>
      <c r="AD42" s="28">
        <f t="shared" si="12"/>
        <v>0.12191654827812352</v>
      </c>
      <c r="AE42" s="28">
        <f t="shared" si="12"/>
        <v>0.12210011953046386</v>
      </c>
      <c r="AF42" s="28">
        <f t="shared" si="12"/>
        <v>0.12229951100214119</v>
      </c>
      <c r="AG42" s="28">
        <f t="shared" si="12"/>
        <v>0.12249214859428272</v>
      </c>
      <c r="AH42" s="28">
        <f t="shared" si="12"/>
        <v>0.12166856520731396</v>
      </c>
      <c r="AI42" s="28">
        <f t="shared" si="12"/>
        <v>0.12178552707040835</v>
      </c>
      <c r="AJ42" s="28">
        <f t="shared" si="12"/>
        <v>0.12191459506568997</v>
      </c>
      <c r="AK42" s="28">
        <f t="shared" si="12"/>
        <v>0.12205531183364191</v>
      </c>
      <c r="AL42" s="28">
        <f t="shared" si="12"/>
        <v>0.1222072553657907</v>
      </c>
      <c r="AM42" s="28">
        <f t="shared" si="12"/>
        <v>0.12237003565016037</v>
      </c>
      <c r="AN42" s="28">
        <f t="shared" si="12"/>
        <v>0.12244903306979282</v>
      </c>
      <c r="AO42" s="28">
        <f t="shared" si="12"/>
        <v>0.12253757835817966</v>
      </c>
      <c r="AP42" s="28">
        <f t="shared" si="12"/>
        <v>0.12263533922697641</v>
      </c>
      <c r="AQ42" s="28">
        <f t="shared" si="12"/>
        <v>0.12274200613087835</v>
      </c>
      <c r="AR42" s="28">
        <f t="shared" si="12"/>
        <v>0.12285729033548833</v>
      </c>
      <c r="AS42" s="28">
        <f t="shared" si="12"/>
        <v>0.12288572954642335</v>
      </c>
      <c r="AT42" s="28">
        <f t="shared" si="12"/>
        <v>0.12292181660779716</v>
      </c>
      <c r="AU42" s="28">
        <f t="shared" si="12"/>
        <v>0.12296529822294655</v>
      </c>
      <c r="AV42" s="28">
        <f t="shared" si="12"/>
        <v>0.12301593656260404</v>
      </c>
      <c r="AW42" s="28">
        <f t="shared" si="12"/>
        <v>0.12307350807543004</v>
      </c>
      <c r="AY42" s="85"/>
    </row>
    <row r="43" spans="1:51" x14ac:dyDescent="0.25">
      <c r="A43" s="102" t="str">
        <f t="shared" si="0"/>
        <v>FS Sheep MMN2O</v>
      </c>
      <c r="B43" s="102" t="s">
        <v>1005</v>
      </c>
      <c r="C43" s="102" t="s">
        <v>1329</v>
      </c>
      <c r="D43" t="s">
        <v>15</v>
      </c>
      <c r="E43" t="s">
        <v>657</v>
      </c>
      <c r="F43" t="s">
        <v>18</v>
      </c>
      <c r="G43" t="s">
        <v>123</v>
      </c>
      <c r="H43" t="s">
        <v>1228</v>
      </c>
      <c r="I43" t="s">
        <v>139</v>
      </c>
      <c r="J43" t="s">
        <v>287</v>
      </c>
      <c r="K43" s="28">
        <f t="shared" si="7"/>
        <v>6.266414044546309E-2</v>
      </c>
      <c r="L43" s="28">
        <f t="shared" si="12"/>
        <v>6.2698360796715452E-2</v>
      </c>
      <c r="M43" s="28">
        <f t="shared" si="12"/>
        <v>6.2774986736679445E-2</v>
      </c>
      <c r="N43" s="28">
        <f t="shared" si="12"/>
        <v>6.2890324862994521E-2</v>
      </c>
      <c r="O43" s="28">
        <f t="shared" si="12"/>
        <v>6.3045918308856697E-2</v>
      </c>
      <c r="P43" s="28">
        <f t="shared" si="12"/>
        <v>6.324193217398956E-2</v>
      </c>
      <c r="Q43" s="28">
        <f t="shared" si="12"/>
        <v>6.346028367366699E-2</v>
      </c>
      <c r="R43" s="28">
        <f t="shared" si="12"/>
        <v>6.3696927006127543E-2</v>
      </c>
      <c r="S43" s="28">
        <f t="shared" si="12"/>
        <v>6.3919303582518794E-2</v>
      </c>
      <c r="T43" s="28">
        <f t="shared" si="12"/>
        <v>6.401219458465271E-2</v>
      </c>
      <c r="U43" s="28">
        <f t="shared" si="12"/>
        <v>6.4119983239113915E-2</v>
      </c>
      <c r="V43" s="28">
        <f t="shared" si="12"/>
        <v>6.4242647444547399E-2</v>
      </c>
      <c r="W43" s="28">
        <f t="shared" si="12"/>
        <v>6.4380822738619198E-2</v>
      </c>
      <c r="X43" s="28">
        <f t="shared" si="12"/>
        <v>6.4532293965921486E-2</v>
      </c>
      <c r="Y43" s="28">
        <f t="shared" si="12"/>
        <v>6.462553605805911E-2</v>
      </c>
      <c r="Z43" s="28">
        <f t="shared" si="12"/>
        <v>6.4729689400175275E-2</v>
      </c>
      <c r="AA43" s="28">
        <f t="shared" si="12"/>
        <v>6.4845131959060415E-2</v>
      </c>
      <c r="AB43" s="28">
        <f t="shared" si="12"/>
        <v>6.4970090028259403E-2</v>
      </c>
      <c r="AC43" s="28">
        <f t="shared" si="12"/>
        <v>6.5105010406820332E-2</v>
      </c>
      <c r="AD43" s="28">
        <f t="shared" si="12"/>
        <v>6.5193831006068584E-2</v>
      </c>
      <c r="AE43" s="28">
        <f t="shared" si="12"/>
        <v>6.5291994162520045E-2</v>
      </c>
      <c r="AF43" s="28">
        <f t="shared" si="12"/>
        <v>6.5398617045895405E-2</v>
      </c>
      <c r="AG43" s="28">
        <f t="shared" si="12"/>
        <v>6.5501628349978927E-2</v>
      </c>
      <c r="AH43" s="28">
        <f t="shared" si="12"/>
        <v>6.506122418083396E-2</v>
      </c>
      <c r="AI43" s="28">
        <f t="shared" si="12"/>
        <v>6.512376853633306E-2</v>
      </c>
      <c r="AJ43" s="28">
        <f t="shared" si="12"/>
        <v>6.5192786542432504E-2</v>
      </c>
      <c r="AK43" s="28">
        <f t="shared" si="12"/>
        <v>6.5268033630044034E-2</v>
      </c>
      <c r="AL43" s="28">
        <f t="shared" si="12"/>
        <v>6.534928413374741E-2</v>
      </c>
      <c r="AM43" s="28">
        <f t="shared" si="12"/>
        <v>6.5436329497975634E-2</v>
      </c>
      <c r="AN43" s="28">
        <f t="shared" si="12"/>
        <v>6.54785726921783E-2</v>
      </c>
      <c r="AO43" s="28">
        <f t="shared" si="12"/>
        <v>6.552592152750053E-2</v>
      </c>
      <c r="AP43" s="28">
        <f t="shared" si="12"/>
        <v>6.557819831559332E-2</v>
      </c>
      <c r="AQ43" s="28">
        <f t="shared" si="12"/>
        <v>6.5635237529753657E-2</v>
      </c>
      <c r="AR43" s="28">
        <f t="shared" si="12"/>
        <v>6.5696884771733188E-2</v>
      </c>
      <c r="AS43" s="28">
        <f t="shared" si="12"/>
        <v>6.5712092396439034E-2</v>
      </c>
      <c r="AT43" s="28">
        <f t="shared" si="12"/>
        <v>6.5731389643727739E-2</v>
      </c>
      <c r="AU43" s="28">
        <f t="shared" si="12"/>
        <v>6.5754641065376054E-2</v>
      </c>
      <c r="AV43" s="28">
        <f t="shared" si="12"/>
        <v>6.578171948421814E-2</v>
      </c>
      <c r="AW43" s="28">
        <f t="shared" si="12"/>
        <v>6.5812505358088025E-2</v>
      </c>
      <c r="AY43" s="85"/>
    </row>
    <row r="44" spans="1:51" x14ac:dyDescent="0.25">
      <c r="A44" s="102" t="str">
        <f t="shared" si="0"/>
        <v>FS Goats MMN2O</v>
      </c>
      <c r="B44" s="102" t="s">
        <v>1005</v>
      </c>
      <c r="C44" s="102" t="s">
        <v>1330</v>
      </c>
      <c r="D44" t="s">
        <v>15</v>
      </c>
      <c r="E44" t="s">
        <v>657</v>
      </c>
      <c r="F44" t="s">
        <v>19</v>
      </c>
      <c r="G44" t="s">
        <v>122</v>
      </c>
      <c r="H44" t="s">
        <v>1228</v>
      </c>
      <c r="I44" t="s">
        <v>139</v>
      </c>
      <c r="J44" t="s">
        <v>287</v>
      </c>
      <c r="K44" s="28">
        <f t="shared" si="7"/>
        <v>1.4485648992970149E-2</v>
      </c>
      <c r="L44" s="28">
        <f t="shared" si="12"/>
        <v>1.4523430996818442E-2</v>
      </c>
      <c r="M44" s="28">
        <f t="shared" si="12"/>
        <v>1.4573778863725229E-2</v>
      </c>
      <c r="N44" s="28">
        <f t="shared" si="12"/>
        <v>1.4635573261684437E-2</v>
      </c>
      <c r="O44" s="28">
        <f t="shared" si="12"/>
        <v>1.4709556756482728E-2</v>
      </c>
      <c r="P44" s="28">
        <f t="shared" si="12"/>
        <v>1.4795926227225602E-2</v>
      </c>
      <c r="Q44" s="28">
        <f t="shared" si="12"/>
        <v>1.4888271114151717E-2</v>
      </c>
      <c r="R44" s="28">
        <f t="shared" si="12"/>
        <v>1.4985270961083385E-2</v>
      </c>
      <c r="S44" s="28">
        <f t="shared" si="12"/>
        <v>1.5075379558400602E-2</v>
      </c>
      <c r="T44" s="28">
        <f t="shared" si="12"/>
        <v>1.5117607192403527E-2</v>
      </c>
      <c r="U44" s="28">
        <f t="shared" si="12"/>
        <v>1.5163912133825485E-2</v>
      </c>
      <c r="V44" s="28">
        <f t="shared" si="12"/>
        <v>1.5214353144806386E-2</v>
      </c>
      <c r="W44" s="28">
        <f t="shared" si="12"/>
        <v>1.5269211713136204E-2</v>
      </c>
      <c r="X44" s="28">
        <f t="shared" si="12"/>
        <v>1.5327749231318039E-2</v>
      </c>
      <c r="Y44" s="28">
        <f t="shared" si="12"/>
        <v>1.5364750505414648E-2</v>
      </c>
      <c r="Z44" s="28">
        <f t="shared" si="12"/>
        <v>1.5404784002427285E-2</v>
      </c>
      <c r="AA44" s="28">
        <f t="shared" si="12"/>
        <v>1.5448015343528085E-2</v>
      </c>
      <c r="AB44" s="28">
        <f t="shared" si="12"/>
        <v>1.5493849362144254E-2</v>
      </c>
      <c r="AC44" s="28">
        <f t="shared" si="12"/>
        <v>1.5542469399401562E-2</v>
      </c>
      <c r="AD44" s="28">
        <f t="shared" si="12"/>
        <v>1.5574312295454071E-2</v>
      </c>
      <c r="AE44" s="28">
        <f t="shared" si="12"/>
        <v>1.5608846144431889E-2</v>
      </c>
      <c r="AF44" s="28">
        <f t="shared" si="12"/>
        <v>1.5645779000697076E-2</v>
      </c>
      <c r="AG44" s="28">
        <f t="shared" si="12"/>
        <v>1.5680933682266716E-2</v>
      </c>
      <c r="AH44" s="28">
        <f t="shared" si="12"/>
        <v>1.552725676648822E-2</v>
      </c>
      <c r="AI44" s="28">
        <f t="shared" si="12"/>
        <v>1.5547818779843832E-2</v>
      </c>
      <c r="AJ44" s="28">
        <f t="shared" si="12"/>
        <v>1.5570224487070797E-2</v>
      </c>
      <c r="AK44" s="28">
        <f t="shared" si="12"/>
        <v>1.5594399014227253E-2</v>
      </c>
      <c r="AL44" s="28">
        <f t="shared" si="12"/>
        <v>1.5620273295013296E-2</v>
      </c>
      <c r="AM44" s="28">
        <f t="shared" si="12"/>
        <v>1.5647783514700201E-2</v>
      </c>
      <c r="AN44" s="28">
        <f t="shared" si="12"/>
        <v>1.5659592232765602E-2</v>
      </c>
      <c r="AO44" s="28">
        <f t="shared" si="12"/>
        <v>1.5672874713872142E-2</v>
      </c>
      <c r="AP44" s="28">
        <f t="shared" si="12"/>
        <v>1.5687575397224301E-2</v>
      </c>
      <c r="AQ44" s="28">
        <f t="shared" si="12"/>
        <v>1.5703642533627795E-2</v>
      </c>
      <c r="AR44" s="28">
        <f t="shared" si="12"/>
        <v>1.5721027858938724E-2</v>
      </c>
      <c r="AS44" s="28">
        <f t="shared" si="12"/>
        <v>1.572238426100139E-2</v>
      </c>
      <c r="AT44" s="28">
        <f t="shared" si="12"/>
        <v>1.5724946955034496E-2</v>
      </c>
      <c r="AU44" s="28">
        <f t="shared" si="12"/>
        <v>1.5728672619393889E-2</v>
      </c>
      <c r="AV44" s="28">
        <f t="shared" ref="L44:AW51" si="13">AV1419</f>
        <v>1.5733520584102465E-2</v>
      </c>
      <c r="AW44" s="28">
        <f t="shared" si="13"/>
        <v>1.5739452625419498E-2</v>
      </c>
      <c r="AY44" s="85"/>
    </row>
    <row r="45" spans="1:51" x14ac:dyDescent="0.25">
      <c r="A45" s="102" t="str">
        <f t="shared" si="0"/>
        <v>FS Goats MMN2O</v>
      </c>
      <c r="B45" s="102" t="s">
        <v>1005</v>
      </c>
      <c r="C45" s="102" t="s">
        <v>1330</v>
      </c>
      <c r="D45" t="s">
        <v>15</v>
      </c>
      <c r="E45" t="s">
        <v>657</v>
      </c>
      <c r="F45" t="s">
        <v>19</v>
      </c>
      <c r="G45" t="s">
        <v>123</v>
      </c>
      <c r="H45" t="s">
        <v>1228</v>
      </c>
      <c r="I45" t="s">
        <v>139</v>
      </c>
      <c r="J45" t="s">
        <v>287</v>
      </c>
      <c r="K45" s="28">
        <f t="shared" si="7"/>
        <v>0.1148405820648936</v>
      </c>
      <c r="L45" s="28">
        <f t="shared" si="13"/>
        <v>0.11514011350567485</v>
      </c>
      <c r="M45" s="28">
        <f t="shared" si="13"/>
        <v>0.1155392656833997</v>
      </c>
      <c r="N45" s="28">
        <f t="shared" si="13"/>
        <v>0.11602916466089314</v>
      </c>
      <c r="O45" s="28">
        <f t="shared" si="13"/>
        <v>0.11661569741548039</v>
      </c>
      <c r="P45" s="28">
        <f t="shared" si="13"/>
        <v>0.11730042478237726</v>
      </c>
      <c r="Q45" s="28">
        <f t="shared" si="13"/>
        <v>0.11803252457096508</v>
      </c>
      <c r="R45" s="28">
        <f t="shared" si="13"/>
        <v>0.11880152835445074</v>
      </c>
      <c r="S45" s="28">
        <f t="shared" si="13"/>
        <v>0.11951589909268844</v>
      </c>
      <c r="T45" s="28">
        <f t="shared" si="13"/>
        <v>0.11985067498505422</v>
      </c>
      <c r="U45" s="28">
        <f t="shared" si="13"/>
        <v>0.12021777530813667</v>
      </c>
      <c r="V45" s="28">
        <f t="shared" si="13"/>
        <v>0.12061766592151543</v>
      </c>
      <c r="W45" s="28">
        <f t="shared" si="13"/>
        <v>0.12105257842845937</v>
      </c>
      <c r="X45" s="28">
        <f t="shared" si="13"/>
        <v>0.12151665723251566</v>
      </c>
      <c r="Y45" s="28">
        <f t="shared" si="13"/>
        <v>0.12180999913638614</v>
      </c>
      <c r="Z45" s="28">
        <f t="shared" si="13"/>
        <v>0.12212738015958056</v>
      </c>
      <c r="AA45" s="28">
        <f t="shared" si="13"/>
        <v>0.12247011332796476</v>
      </c>
      <c r="AB45" s="28">
        <f t="shared" si="13"/>
        <v>0.12283348022846115</v>
      </c>
      <c r="AC45" s="28">
        <f t="shared" si="13"/>
        <v>0.12321893436871788</v>
      </c>
      <c r="AD45" s="28">
        <f t="shared" si="13"/>
        <v>0.12347138123658526</v>
      </c>
      <c r="AE45" s="28">
        <f t="shared" si="13"/>
        <v>0.12374516167400154</v>
      </c>
      <c r="AF45" s="28">
        <f t="shared" si="13"/>
        <v>0.12403796116906533</v>
      </c>
      <c r="AG45" s="28">
        <f t="shared" si="13"/>
        <v>0.12431666349684663</v>
      </c>
      <c r="AH45" s="28">
        <f t="shared" si="13"/>
        <v>0.12309833034059625</v>
      </c>
      <c r="AI45" s="28">
        <f t="shared" si="13"/>
        <v>0.12326134365006759</v>
      </c>
      <c r="AJ45" s="28">
        <f t="shared" si="13"/>
        <v>0.12343897355541526</v>
      </c>
      <c r="AK45" s="28">
        <f t="shared" si="13"/>
        <v>0.12363062646452125</v>
      </c>
      <c r="AL45" s="28">
        <f t="shared" si="13"/>
        <v>0.12383575482759435</v>
      </c>
      <c r="AM45" s="28">
        <f t="shared" si="13"/>
        <v>0.12405385272870395</v>
      </c>
      <c r="AN45" s="28">
        <f t="shared" si="13"/>
        <v>0.12414747090602753</v>
      </c>
      <c r="AO45" s="28">
        <f t="shared" si="13"/>
        <v>0.12425277290956782</v>
      </c>
      <c r="AP45" s="28">
        <f t="shared" si="13"/>
        <v>0.12436931825964037</v>
      </c>
      <c r="AQ45" s="28">
        <f t="shared" si="13"/>
        <v>0.12449669669450293</v>
      </c>
      <c r="AR45" s="28">
        <f t="shared" si="13"/>
        <v>0.12463452558149747</v>
      </c>
      <c r="AS45" s="28">
        <f t="shared" si="13"/>
        <v>0.12464527898318946</v>
      </c>
      <c r="AT45" s="28">
        <f t="shared" si="13"/>
        <v>0.12466559573078972</v>
      </c>
      <c r="AU45" s="28">
        <f t="shared" si="13"/>
        <v>0.12469513237521754</v>
      </c>
      <c r="AV45" s="28">
        <f t="shared" si="13"/>
        <v>0.1247335664895077</v>
      </c>
      <c r="AW45" s="28">
        <f t="shared" si="13"/>
        <v>0.12478059504017958</v>
      </c>
      <c r="AY45" s="85"/>
    </row>
    <row r="46" spans="1:51" x14ac:dyDescent="0.25">
      <c r="A46" s="102" t="str">
        <f t="shared" si="0"/>
        <v>FS Horses MMN2O</v>
      </c>
      <c r="B46" s="102" t="s">
        <v>1005</v>
      </c>
      <c r="C46" s="102" t="s">
        <v>1331</v>
      </c>
      <c r="D46" t="s">
        <v>15</v>
      </c>
      <c r="E46" t="s">
        <v>657</v>
      </c>
      <c r="F46" t="s">
        <v>20</v>
      </c>
      <c r="G46" t="s">
        <v>3</v>
      </c>
      <c r="H46" t="s">
        <v>1228</v>
      </c>
      <c r="I46" t="s">
        <v>139</v>
      </c>
      <c r="J46" t="s">
        <v>287</v>
      </c>
      <c r="K46" s="28" t="str">
        <f t="shared" si="7"/>
        <v>NO</v>
      </c>
      <c r="L46" s="28" t="str">
        <f t="shared" si="13"/>
        <v>NO</v>
      </c>
      <c r="M46" s="28" t="str">
        <f t="shared" si="13"/>
        <v>NO</v>
      </c>
      <c r="N46" s="28" t="str">
        <f t="shared" si="13"/>
        <v>NO</v>
      </c>
      <c r="O46" s="28" t="str">
        <f t="shared" si="13"/>
        <v>NO</v>
      </c>
      <c r="P46" s="28" t="str">
        <f t="shared" si="13"/>
        <v>NO</v>
      </c>
      <c r="Q46" s="28" t="str">
        <f t="shared" si="13"/>
        <v>NO</v>
      </c>
      <c r="R46" s="28" t="str">
        <f t="shared" si="13"/>
        <v>NO</v>
      </c>
      <c r="S46" s="28" t="str">
        <f t="shared" si="13"/>
        <v>NO</v>
      </c>
      <c r="T46" s="28" t="str">
        <f t="shared" si="13"/>
        <v>NO</v>
      </c>
      <c r="U46" s="28" t="str">
        <f t="shared" si="13"/>
        <v>NO</v>
      </c>
      <c r="V46" s="28" t="str">
        <f t="shared" si="13"/>
        <v>NO</v>
      </c>
      <c r="W46" s="28" t="str">
        <f t="shared" si="13"/>
        <v>NO</v>
      </c>
      <c r="X46" s="28" t="str">
        <f t="shared" si="13"/>
        <v>NO</v>
      </c>
      <c r="Y46" s="28" t="str">
        <f t="shared" si="13"/>
        <v>NO</v>
      </c>
      <c r="Z46" s="28" t="str">
        <f t="shared" si="13"/>
        <v>NO</v>
      </c>
      <c r="AA46" s="28" t="str">
        <f t="shared" si="13"/>
        <v>NO</v>
      </c>
      <c r="AB46" s="28" t="str">
        <f t="shared" si="13"/>
        <v>NO</v>
      </c>
      <c r="AC46" s="28" t="str">
        <f t="shared" si="13"/>
        <v>NO</v>
      </c>
      <c r="AD46" s="28" t="str">
        <f t="shared" si="13"/>
        <v>NO</v>
      </c>
      <c r="AE46" s="28" t="str">
        <f t="shared" si="13"/>
        <v>NO</v>
      </c>
      <c r="AF46" s="28" t="str">
        <f t="shared" si="13"/>
        <v>NO</v>
      </c>
      <c r="AG46" s="28" t="str">
        <f t="shared" si="13"/>
        <v>NO</v>
      </c>
      <c r="AH46" s="28" t="str">
        <f t="shared" si="13"/>
        <v>NO</v>
      </c>
      <c r="AI46" s="28" t="str">
        <f t="shared" si="13"/>
        <v>NO</v>
      </c>
      <c r="AJ46" s="28" t="str">
        <f t="shared" si="13"/>
        <v>NO</v>
      </c>
      <c r="AK46" s="28" t="str">
        <f t="shared" si="13"/>
        <v>NO</v>
      </c>
      <c r="AL46" s="28" t="str">
        <f t="shared" si="13"/>
        <v>NO</v>
      </c>
      <c r="AM46" s="28" t="str">
        <f t="shared" si="13"/>
        <v>NO</v>
      </c>
      <c r="AN46" s="28" t="str">
        <f t="shared" si="13"/>
        <v>NO</v>
      </c>
      <c r="AO46" s="28" t="str">
        <f t="shared" si="13"/>
        <v>NO</v>
      </c>
      <c r="AP46" s="28" t="str">
        <f t="shared" si="13"/>
        <v>NO</v>
      </c>
      <c r="AQ46" s="28" t="str">
        <f t="shared" si="13"/>
        <v>NO</v>
      </c>
      <c r="AR46" s="28" t="str">
        <f t="shared" si="13"/>
        <v>NO</v>
      </c>
      <c r="AS46" s="28" t="str">
        <f t="shared" si="13"/>
        <v>NO</v>
      </c>
      <c r="AT46" s="28" t="str">
        <f t="shared" si="13"/>
        <v>NO</v>
      </c>
      <c r="AU46" s="28" t="str">
        <f t="shared" si="13"/>
        <v>NO</v>
      </c>
      <c r="AV46" s="28" t="str">
        <f t="shared" si="13"/>
        <v>NO</v>
      </c>
      <c r="AW46" s="28" t="str">
        <f t="shared" si="13"/>
        <v>NO</v>
      </c>
      <c r="AY46" s="85"/>
    </row>
    <row r="47" spans="1:51" x14ac:dyDescent="0.25">
      <c r="A47" s="102" t="str">
        <f t="shared" si="0"/>
        <v>FS Mules MMN2O</v>
      </c>
      <c r="B47" s="102" t="s">
        <v>1005</v>
      </c>
      <c r="C47" s="102" t="s">
        <v>1332</v>
      </c>
      <c r="D47" t="s">
        <v>15</v>
      </c>
      <c r="E47" t="s">
        <v>657</v>
      </c>
      <c r="F47" t="s">
        <v>140</v>
      </c>
      <c r="G47" t="s">
        <v>124</v>
      </c>
      <c r="H47" t="s">
        <v>1228</v>
      </c>
      <c r="I47" t="s">
        <v>139</v>
      </c>
      <c r="J47" t="s">
        <v>287</v>
      </c>
      <c r="K47" s="28" t="str">
        <f t="shared" si="7"/>
        <v>NO</v>
      </c>
      <c r="L47" s="28" t="str">
        <f t="shared" si="13"/>
        <v>NO</v>
      </c>
      <c r="M47" s="28" t="str">
        <f t="shared" si="13"/>
        <v>NO</v>
      </c>
      <c r="N47" s="28" t="str">
        <f t="shared" si="13"/>
        <v>NO</v>
      </c>
      <c r="O47" s="28" t="str">
        <f t="shared" si="13"/>
        <v>NO</v>
      </c>
      <c r="P47" s="28" t="str">
        <f t="shared" si="13"/>
        <v>NO</v>
      </c>
      <c r="Q47" s="28" t="str">
        <f t="shared" si="13"/>
        <v>NO</v>
      </c>
      <c r="R47" s="28" t="str">
        <f t="shared" si="13"/>
        <v>NO</v>
      </c>
      <c r="S47" s="28" t="str">
        <f t="shared" si="13"/>
        <v>NO</v>
      </c>
      <c r="T47" s="28" t="str">
        <f t="shared" si="13"/>
        <v>NO</v>
      </c>
      <c r="U47" s="28" t="str">
        <f t="shared" si="13"/>
        <v>NO</v>
      </c>
      <c r="V47" s="28" t="str">
        <f t="shared" si="13"/>
        <v>NO</v>
      </c>
      <c r="W47" s="28" t="str">
        <f t="shared" si="13"/>
        <v>NO</v>
      </c>
      <c r="X47" s="28" t="str">
        <f t="shared" si="13"/>
        <v>NO</v>
      </c>
      <c r="Y47" s="28" t="str">
        <f t="shared" si="13"/>
        <v>NO</v>
      </c>
      <c r="Z47" s="28" t="str">
        <f t="shared" si="13"/>
        <v>NO</v>
      </c>
      <c r="AA47" s="28" t="str">
        <f t="shared" si="13"/>
        <v>NO</v>
      </c>
      <c r="AB47" s="28" t="str">
        <f t="shared" si="13"/>
        <v>NO</v>
      </c>
      <c r="AC47" s="28" t="str">
        <f t="shared" si="13"/>
        <v>NO</v>
      </c>
      <c r="AD47" s="28" t="str">
        <f t="shared" si="13"/>
        <v>NO</v>
      </c>
      <c r="AE47" s="28" t="str">
        <f t="shared" si="13"/>
        <v>NO</v>
      </c>
      <c r="AF47" s="28" t="str">
        <f t="shared" si="13"/>
        <v>NO</v>
      </c>
      <c r="AG47" s="28" t="str">
        <f t="shared" si="13"/>
        <v>NO</v>
      </c>
      <c r="AH47" s="28" t="str">
        <f t="shared" si="13"/>
        <v>NO</v>
      </c>
      <c r="AI47" s="28" t="str">
        <f t="shared" si="13"/>
        <v>NO</v>
      </c>
      <c r="AJ47" s="28" t="str">
        <f t="shared" si="13"/>
        <v>NO</v>
      </c>
      <c r="AK47" s="28" t="str">
        <f t="shared" si="13"/>
        <v>NO</v>
      </c>
      <c r="AL47" s="28" t="str">
        <f t="shared" si="13"/>
        <v>NO</v>
      </c>
      <c r="AM47" s="28" t="str">
        <f t="shared" si="13"/>
        <v>NO</v>
      </c>
      <c r="AN47" s="28" t="str">
        <f t="shared" si="13"/>
        <v>NO</v>
      </c>
      <c r="AO47" s="28" t="str">
        <f t="shared" si="13"/>
        <v>NO</v>
      </c>
      <c r="AP47" s="28" t="str">
        <f t="shared" si="13"/>
        <v>NO</v>
      </c>
      <c r="AQ47" s="28" t="str">
        <f t="shared" si="13"/>
        <v>NO</v>
      </c>
      <c r="AR47" s="28" t="str">
        <f t="shared" si="13"/>
        <v>NO</v>
      </c>
      <c r="AS47" s="28" t="str">
        <f t="shared" si="13"/>
        <v>NO</v>
      </c>
      <c r="AT47" s="28" t="str">
        <f t="shared" si="13"/>
        <v>NO</v>
      </c>
      <c r="AU47" s="28" t="str">
        <f t="shared" si="13"/>
        <v>NO</v>
      </c>
      <c r="AV47" s="28" t="str">
        <f t="shared" si="13"/>
        <v>NO</v>
      </c>
      <c r="AW47" s="28" t="str">
        <f t="shared" si="13"/>
        <v>NO</v>
      </c>
      <c r="AY47" s="85"/>
    </row>
    <row r="48" spans="1:51" x14ac:dyDescent="0.25">
      <c r="A48" s="102" t="str">
        <f t="shared" si="0"/>
        <v>FS Swine MMN2O</v>
      </c>
      <c r="B48" s="102" t="s">
        <v>1005</v>
      </c>
      <c r="C48" s="102" t="s">
        <v>1234</v>
      </c>
      <c r="D48" t="s">
        <v>15</v>
      </c>
      <c r="E48" t="s">
        <v>657</v>
      </c>
      <c r="F48" t="s">
        <v>21</v>
      </c>
      <c r="G48" t="s">
        <v>122</v>
      </c>
      <c r="H48" t="s">
        <v>1228</v>
      </c>
      <c r="I48" t="s">
        <v>139</v>
      </c>
      <c r="J48" t="s">
        <v>287</v>
      </c>
      <c r="K48" s="28">
        <f t="shared" si="7"/>
        <v>9.8212070321961289E-2</v>
      </c>
      <c r="L48" s="28">
        <f t="shared" si="13"/>
        <v>9.7902077304524535E-2</v>
      </c>
      <c r="M48" s="28">
        <f t="shared" si="13"/>
        <v>9.6876932731570997E-2</v>
      </c>
      <c r="N48" s="28">
        <f t="shared" si="13"/>
        <v>9.4886481944047557E-2</v>
      </c>
      <c r="O48" s="28">
        <f t="shared" si="13"/>
        <v>9.2983120414683651E-2</v>
      </c>
      <c r="P48" s="28">
        <f t="shared" si="13"/>
        <v>9.1647887851288232E-2</v>
      </c>
      <c r="Q48" s="28">
        <f t="shared" si="13"/>
        <v>9.0517057242200105E-2</v>
      </c>
      <c r="R48" s="28">
        <f t="shared" si="13"/>
        <v>8.8434751995252456E-2</v>
      </c>
      <c r="S48" s="28">
        <f t="shared" si="13"/>
        <v>7.7417928691120311E-2</v>
      </c>
      <c r="T48" s="28">
        <f t="shared" si="13"/>
        <v>7.7909888126779042E-2</v>
      </c>
      <c r="U48" s="28">
        <f t="shared" si="13"/>
        <v>7.8156831608476335E-2</v>
      </c>
      <c r="V48" s="28">
        <f t="shared" si="13"/>
        <v>7.8396909010436708E-2</v>
      </c>
      <c r="W48" s="28">
        <f t="shared" si="13"/>
        <v>7.8983322674416961E-2</v>
      </c>
      <c r="X48" s="28">
        <f t="shared" si="13"/>
        <v>7.9550022093927919E-2</v>
      </c>
      <c r="Y48" s="28">
        <f t="shared" si="13"/>
        <v>8.0200171515553365E-2</v>
      </c>
      <c r="Z48" s="28">
        <f t="shared" si="13"/>
        <v>8.0745873399241927E-2</v>
      </c>
      <c r="AA48" s="28">
        <f t="shared" si="13"/>
        <v>8.1401680108403665E-2</v>
      </c>
      <c r="AB48" s="28">
        <f t="shared" si="13"/>
        <v>8.1879069709822755E-2</v>
      </c>
      <c r="AC48" s="28">
        <f t="shared" si="13"/>
        <v>8.2381241768892818E-2</v>
      </c>
      <c r="AD48" s="28">
        <f t="shared" si="13"/>
        <v>8.3307469914568902E-2</v>
      </c>
      <c r="AE48" s="28">
        <f t="shared" si="13"/>
        <v>8.4389455604936589E-2</v>
      </c>
      <c r="AF48" s="28">
        <f t="shared" si="13"/>
        <v>8.5509115768420865E-2</v>
      </c>
      <c r="AG48" s="28">
        <f t="shared" si="13"/>
        <v>8.4250717613193291E-2</v>
      </c>
      <c r="AH48" s="28">
        <f t="shared" si="13"/>
        <v>-2.8426820502850808E-2</v>
      </c>
      <c r="AI48" s="28">
        <f t="shared" si="13"/>
        <v>-2.8115877001178527E-2</v>
      </c>
      <c r="AJ48" s="28">
        <f t="shared" si="13"/>
        <v>-2.7811593466985605E-2</v>
      </c>
      <c r="AK48" s="28">
        <f t="shared" si="13"/>
        <v>-2.7513534213570397E-2</v>
      </c>
      <c r="AL48" s="28">
        <f t="shared" si="13"/>
        <v>-2.7221295455261082E-2</v>
      </c>
      <c r="AM48" s="28">
        <f t="shared" si="13"/>
        <v>-2.6934502222400951E-2</v>
      </c>
      <c r="AN48" s="28">
        <f t="shared" si="13"/>
        <v>-2.6619947187312407E-2</v>
      </c>
      <c r="AO48" s="28">
        <f t="shared" si="13"/>
        <v>-2.6310938201629927E-2</v>
      </c>
      <c r="AP48" s="28">
        <f t="shared" si="13"/>
        <v>-2.600715135070272E-2</v>
      </c>
      <c r="AQ48" s="28">
        <f t="shared" si="13"/>
        <v>-2.5708283877268884E-2</v>
      </c>
      <c r="AR48" s="28">
        <f t="shared" si="13"/>
        <v>-2.5414052353403601E-2</v>
      </c>
      <c r="AS48" s="28">
        <f t="shared" si="13"/>
        <v>-2.5093405862334557E-2</v>
      </c>
      <c r="AT48" s="28">
        <f t="shared" si="13"/>
        <v>-2.4777656809122427E-2</v>
      </c>
      <c r="AU48" s="28">
        <f t="shared" si="13"/>
        <v>-2.4466553104711776E-2</v>
      </c>
      <c r="AV48" s="28">
        <f t="shared" si="13"/>
        <v>-2.415985755435068E-2</v>
      </c>
      <c r="AW48" s="28">
        <f t="shared" si="13"/>
        <v>-2.3857346696324909E-2</v>
      </c>
      <c r="AY48" s="85"/>
    </row>
    <row r="49" spans="1:51" x14ac:dyDescent="0.25">
      <c r="A49" s="102" t="str">
        <f t="shared" si="0"/>
        <v>FS Swine MMN2O</v>
      </c>
      <c r="B49" s="102" t="s">
        <v>1005</v>
      </c>
      <c r="C49" s="102" t="s">
        <v>1234</v>
      </c>
      <c r="D49" t="s">
        <v>15</v>
      </c>
      <c r="E49" t="s">
        <v>657</v>
      </c>
      <c r="F49" t="s">
        <v>21</v>
      </c>
      <c r="G49" t="s">
        <v>123</v>
      </c>
      <c r="H49" t="s">
        <v>1228</v>
      </c>
      <c r="I49" t="s">
        <v>139</v>
      </c>
      <c r="J49" t="s">
        <v>287</v>
      </c>
      <c r="K49" s="28">
        <f t="shared" si="7"/>
        <v>3.8422550388835235E-2</v>
      </c>
      <c r="L49" s="28">
        <f t="shared" si="13"/>
        <v>3.8301274844051346E-2</v>
      </c>
      <c r="M49" s="28">
        <f t="shared" si="13"/>
        <v>3.7900217531227944E-2</v>
      </c>
      <c r="N49" s="28">
        <f t="shared" si="13"/>
        <v>3.712151288291534E-2</v>
      </c>
      <c r="O49" s="28">
        <f t="shared" si="13"/>
        <v>3.6376879315672413E-2</v>
      </c>
      <c r="P49" s="28">
        <f t="shared" si="13"/>
        <v>3.5854509302702606E-2</v>
      </c>
      <c r="Q49" s="28">
        <f t="shared" si="13"/>
        <v>3.5412105472740686E-2</v>
      </c>
      <c r="R49" s="28">
        <f t="shared" si="13"/>
        <v>3.4597465500143629E-2</v>
      </c>
      <c r="S49" s="28">
        <f t="shared" si="13"/>
        <v>3.0287461168290553E-2</v>
      </c>
      <c r="T49" s="28">
        <f t="shared" si="13"/>
        <v>3.0479925660118236E-2</v>
      </c>
      <c r="U49" s="28">
        <f t="shared" si="13"/>
        <v>3.0576534949970324E-2</v>
      </c>
      <c r="V49" s="28">
        <f t="shared" si="13"/>
        <v>3.0670458090413286E-2</v>
      </c>
      <c r="W49" s="28">
        <f t="shared" si="13"/>
        <v>3.0899874988755002E-2</v>
      </c>
      <c r="X49" s="28">
        <f t="shared" si="13"/>
        <v>3.1121579275510219E-2</v>
      </c>
      <c r="Y49" s="28">
        <f t="shared" si="13"/>
        <v>3.1375930892687053E-2</v>
      </c>
      <c r="Z49" s="28">
        <f t="shared" si="13"/>
        <v>3.1589420518295906E-2</v>
      </c>
      <c r="AA49" s="28">
        <f t="shared" si="13"/>
        <v>3.1845985380898841E-2</v>
      </c>
      <c r="AB49" s="28">
        <f t="shared" si="13"/>
        <v>3.2032749858579623E-2</v>
      </c>
      <c r="AC49" s="28">
        <f t="shared" si="13"/>
        <v>3.222920973545864E-2</v>
      </c>
      <c r="AD49" s="28">
        <f t="shared" si="13"/>
        <v>3.2591568939191247E-2</v>
      </c>
      <c r="AE49" s="28">
        <f t="shared" si="13"/>
        <v>3.3014863647997064E-2</v>
      </c>
      <c r="AF49" s="28">
        <f t="shared" si="13"/>
        <v>3.345289737347313E-2</v>
      </c>
      <c r="AG49" s="28">
        <f t="shared" si="13"/>
        <v>3.2960586536628499E-2</v>
      </c>
      <c r="AH49" s="28">
        <f t="shared" si="13"/>
        <v>-1.112114773249949E-2</v>
      </c>
      <c r="AI49" s="28">
        <f t="shared" si="13"/>
        <v>-1.0999500339038397E-2</v>
      </c>
      <c r="AJ49" s="28">
        <f t="shared" si="13"/>
        <v>-1.0880458459698174E-2</v>
      </c>
      <c r="AK49" s="28">
        <f t="shared" si="13"/>
        <v>-1.0763851645019877E-2</v>
      </c>
      <c r="AL49" s="28">
        <f t="shared" si="13"/>
        <v>-1.0649521925873338E-2</v>
      </c>
      <c r="AM49" s="28">
        <f t="shared" si="13"/>
        <v>-1.0537322606536911E-2</v>
      </c>
      <c r="AN49" s="28">
        <f t="shared" si="13"/>
        <v>-1.0414262308081425E-2</v>
      </c>
      <c r="AO49" s="28">
        <f t="shared" si="13"/>
        <v>-1.0293371736443279E-2</v>
      </c>
      <c r="AP49" s="28">
        <f t="shared" si="13"/>
        <v>-1.0174524169652843E-2</v>
      </c>
      <c r="AQ49" s="28">
        <f t="shared" si="13"/>
        <v>-1.0057601162939404E-2</v>
      </c>
      <c r="AR49" s="28">
        <f t="shared" si="13"/>
        <v>-9.9424918335602689E-3</v>
      </c>
      <c r="AS49" s="28">
        <f t="shared" si="13"/>
        <v>-9.8170484341927999E-3</v>
      </c>
      <c r="AT49" s="28">
        <f t="shared" si="13"/>
        <v>-9.6935210116723403E-3</v>
      </c>
      <c r="AU49" s="28">
        <f t="shared" si="13"/>
        <v>-9.5718109436564065E-3</v>
      </c>
      <c r="AV49" s="28">
        <f t="shared" si="13"/>
        <v>-9.4518254347556157E-3</v>
      </c>
      <c r="AW49" s="28">
        <f t="shared" si="13"/>
        <v>-9.3334770622229783E-3</v>
      </c>
      <c r="AY49" s="85"/>
    </row>
    <row r="50" spans="1:51" x14ac:dyDescent="0.25">
      <c r="A50" s="102" t="str">
        <f t="shared" si="0"/>
        <v>FS Poultry MMN2O</v>
      </c>
      <c r="B50" s="102" t="s">
        <v>1005</v>
      </c>
      <c r="C50" s="102" t="s">
        <v>1235</v>
      </c>
      <c r="D50" t="s">
        <v>15</v>
      </c>
      <c r="E50" t="s">
        <v>657</v>
      </c>
      <c r="F50" t="s">
        <v>28</v>
      </c>
      <c r="G50" t="s">
        <v>131</v>
      </c>
      <c r="H50" t="s">
        <v>1228</v>
      </c>
      <c r="I50" t="s">
        <v>139</v>
      </c>
      <c r="J50" t="s">
        <v>287</v>
      </c>
      <c r="K50" s="28">
        <f t="shared" si="7"/>
        <v>0.32963485119754937</v>
      </c>
      <c r="L50" s="28">
        <f t="shared" si="13"/>
        <v>0.3367733222576253</v>
      </c>
      <c r="M50" s="28">
        <f t="shared" si="13"/>
        <v>0.34252519941326248</v>
      </c>
      <c r="N50" s="28">
        <f t="shared" si="13"/>
        <v>0.34628339258632435</v>
      </c>
      <c r="O50" s="28">
        <f t="shared" si="13"/>
        <v>0.35009259651269609</v>
      </c>
      <c r="P50" s="28">
        <f t="shared" si="13"/>
        <v>0.35500337907845531</v>
      </c>
      <c r="Q50" s="28">
        <f t="shared" si="13"/>
        <v>0.36025498659562288</v>
      </c>
      <c r="R50" s="28">
        <f t="shared" si="13"/>
        <v>0.36330907698293946</v>
      </c>
      <c r="S50" s="28">
        <f t="shared" si="13"/>
        <v>0.34573940681489368</v>
      </c>
      <c r="T50" s="28">
        <f t="shared" si="13"/>
        <v>0.35316196495857255</v>
      </c>
      <c r="U50" s="28">
        <f t="shared" si="13"/>
        <v>0.36009092327704184</v>
      </c>
      <c r="V50" s="28">
        <f t="shared" si="13"/>
        <v>0.36707458200076865</v>
      </c>
      <c r="W50" s="28">
        <f t="shared" si="13"/>
        <v>0.37500055316657199</v>
      </c>
      <c r="X50" s="28">
        <f t="shared" si="13"/>
        <v>0.38299236324087566</v>
      </c>
      <c r="Y50" s="28">
        <f t="shared" si="13"/>
        <v>0.39099432975561715</v>
      </c>
      <c r="Z50" s="28">
        <f t="shared" si="13"/>
        <v>0.398841954270029</v>
      </c>
      <c r="AA50" s="28">
        <f t="shared" si="13"/>
        <v>0.40710661573230994</v>
      </c>
      <c r="AB50" s="28">
        <f t="shared" si="13"/>
        <v>0.41500811589686409</v>
      </c>
      <c r="AC50" s="28">
        <f t="shared" si="13"/>
        <v>0.42309700830126501</v>
      </c>
      <c r="AD50" s="28">
        <f t="shared" si="13"/>
        <v>0.43226826232979193</v>
      </c>
      <c r="AE50" s="28">
        <f t="shared" si="13"/>
        <v>0.44207160383339156</v>
      </c>
      <c r="AF50" s="28">
        <f t="shared" si="13"/>
        <v>0.45218336296465478</v>
      </c>
      <c r="AG50" s="28">
        <f t="shared" si="13"/>
        <v>0.4551931213650493</v>
      </c>
      <c r="AH50" s="28">
        <f t="shared" si="13"/>
        <v>0.10910564018941009</v>
      </c>
      <c r="AI50" s="28">
        <f t="shared" si="13"/>
        <v>0.10994420930696339</v>
      </c>
      <c r="AJ50" s="28">
        <f t="shared" si="13"/>
        <v>0.11078888384654588</v>
      </c>
      <c r="AK50" s="28">
        <f t="shared" si="13"/>
        <v>0.11163971029926273</v>
      </c>
      <c r="AL50" s="28">
        <f t="shared" si="13"/>
        <v>0.11249673536734303</v>
      </c>
      <c r="AM50" s="28">
        <f t="shared" si="13"/>
        <v>0.1133600059778764</v>
      </c>
      <c r="AN50" s="28">
        <f t="shared" si="13"/>
        <v>0.11409797095001123</v>
      </c>
      <c r="AO50" s="28">
        <f t="shared" si="13"/>
        <v>0.11484049120695125</v>
      </c>
      <c r="AP50" s="28">
        <f t="shared" si="13"/>
        <v>0.11558759635865411</v>
      </c>
      <c r="AQ50" s="28">
        <f t="shared" si="13"/>
        <v>0.11633931611415979</v>
      </c>
      <c r="AR50" s="28">
        <f t="shared" si="13"/>
        <v>0.11709568028936261</v>
      </c>
      <c r="AS50" s="28">
        <f t="shared" si="13"/>
        <v>0.11772147862106908</v>
      </c>
      <c r="AT50" s="28">
        <f t="shared" si="13"/>
        <v>0.11835044728238052</v>
      </c>
      <c r="AU50" s="28">
        <f t="shared" si="13"/>
        <v>0.11898260346877226</v>
      </c>
      <c r="AV50" s="28">
        <f t="shared" si="13"/>
        <v>0.11961796440464827</v>
      </c>
      <c r="AW50" s="28">
        <f t="shared" si="13"/>
        <v>0.12025654734797987</v>
      </c>
      <c r="AY50" s="85"/>
    </row>
    <row r="51" spans="1:51" x14ac:dyDescent="0.25">
      <c r="A51" s="102" t="str">
        <f t="shared" si="0"/>
        <v>FS Poultry MMN2O</v>
      </c>
      <c r="B51" s="102" t="s">
        <v>1005</v>
      </c>
      <c r="C51" s="102" t="s">
        <v>1235</v>
      </c>
      <c r="D51" t="s">
        <v>15</v>
      </c>
      <c r="E51" t="s">
        <v>657</v>
      </c>
      <c r="F51" t="s">
        <v>28</v>
      </c>
      <c r="G51" t="s">
        <v>132</v>
      </c>
      <c r="H51" t="s">
        <v>1228</v>
      </c>
      <c r="I51" t="s">
        <v>139</v>
      </c>
      <c r="J51" t="s">
        <v>287</v>
      </c>
      <c r="K51" s="28">
        <f t="shared" si="7"/>
        <v>1.7216530294251391</v>
      </c>
      <c r="L51" s="28">
        <f t="shared" si="13"/>
        <v>1.7495913852181326</v>
      </c>
      <c r="M51" s="28">
        <f t="shared" si="13"/>
        <v>1.7578868664335328</v>
      </c>
      <c r="N51" s="28">
        <f t="shared" si="13"/>
        <v>1.7392918980189422</v>
      </c>
      <c r="O51" s="28">
        <f t="shared" si="13"/>
        <v>1.7207368558327785</v>
      </c>
      <c r="P51" s="28">
        <f t="shared" si="13"/>
        <v>1.7153529254443873</v>
      </c>
      <c r="Q51" s="28">
        <f t="shared" si="13"/>
        <v>1.7142313641539435</v>
      </c>
      <c r="R51" s="28">
        <f t="shared" si="13"/>
        <v>1.6856374848225169</v>
      </c>
      <c r="S51" s="28">
        <f t="shared" si="13"/>
        <v>1.4045469015643526</v>
      </c>
      <c r="T51" s="28">
        <f t="shared" si="13"/>
        <v>1.4459775319383337</v>
      </c>
      <c r="U51" s="28">
        <f t="shared" si="13"/>
        <v>1.480607974450509</v>
      </c>
      <c r="V51" s="28">
        <f t="shared" si="13"/>
        <v>1.5151543903265086</v>
      </c>
      <c r="W51" s="28">
        <f t="shared" si="13"/>
        <v>1.5601003686418904</v>
      </c>
      <c r="X51" s="28">
        <f t="shared" si="13"/>
        <v>1.6049114332445515</v>
      </c>
      <c r="Y51" s="28">
        <f t="shared" si="13"/>
        <v>1.6541109963656262</v>
      </c>
      <c r="Z51" s="28">
        <f t="shared" si="13"/>
        <v>1.7006835408755379</v>
      </c>
      <c r="AA51" s="28">
        <f t="shared" si="13"/>
        <v>1.7512278539533319</v>
      </c>
      <c r="AB51" s="28">
        <f t="shared" si="13"/>
        <v>1.7968025285418052</v>
      </c>
      <c r="AC51" s="28">
        <f t="shared" si="13"/>
        <v>1.8437229492039162</v>
      </c>
      <c r="AD51" s="28">
        <f t="shared" si="13"/>
        <v>1.9060767826661782</v>
      </c>
      <c r="AE51" s="28">
        <f t="shared" si="13"/>
        <v>1.9745333748476768</v>
      </c>
      <c r="AF51" s="28">
        <f t="shared" si="13"/>
        <v>2.0454043901813557</v>
      </c>
      <c r="AG51" s="28">
        <f t="shared" si="13"/>
        <v>2.0375124323750504</v>
      </c>
      <c r="AH51" s="28">
        <f t="shared" si="13"/>
        <v>-1.7670360622808823</v>
      </c>
      <c r="AI51" s="28">
        <f t="shared" si="13"/>
        <v>-1.769567863105443</v>
      </c>
      <c r="AJ51" s="28">
        <f t="shared" si="13"/>
        <v>-1.7723139091947202</v>
      </c>
      <c r="AK51" s="28">
        <f t="shared" ref="L51:AW53" si="14">AK1426</f>
        <v>-1.775265259663616</v>
      </c>
      <c r="AL51" s="28">
        <f t="shared" si="14"/>
        <v>-1.7784136680871927</v>
      </c>
      <c r="AM51" s="28">
        <f t="shared" si="14"/>
        <v>-1.7817515157915651</v>
      </c>
      <c r="AN51" s="28">
        <f t="shared" si="14"/>
        <v>-1.7831253143927157</v>
      </c>
      <c r="AO51" s="28">
        <f t="shared" si="14"/>
        <v>-1.7846712895501273</v>
      </c>
      <c r="AP51" s="28">
        <f t="shared" si="14"/>
        <v>-1.7863827557357852</v>
      </c>
      <c r="AQ51" s="28">
        <f t="shared" si="14"/>
        <v>-1.788253486478437</v>
      </c>
      <c r="AR51" s="28">
        <f t="shared" si="14"/>
        <v>-1.79027767491833</v>
      </c>
      <c r="AS51" s="28">
        <f t="shared" si="14"/>
        <v>-1.7903062211735206</v>
      </c>
      <c r="AT51" s="28">
        <f t="shared" si="14"/>
        <v>-1.7904768825126722</v>
      </c>
      <c r="AU51" s="28">
        <f t="shared" si="14"/>
        <v>-1.7907844045675889</v>
      </c>
      <c r="AV51" s="28">
        <f t="shared" si="14"/>
        <v>-1.7912238548642139</v>
      </c>
      <c r="AW51" s="28">
        <f t="shared" si="14"/>
        <v>-1.7917905978217188</v>
      </c>
      <c r="AY51" s="85"/>
    </row>
    <row r="52" spans="1:51" x14ac:dyDescent="0.25">
      <c r="A52" s="102" t="str">
        <f t="shared" si="0"/>
        <v>FS Poultry MMN2O</v>
      </c>
      <c r="B52" s="102" t="s">
        <v>1005</v>
      </c>
      <c r="C52" s="102" t="s">
        <v>1235</v>
      </c>
      <c r="D52" t="s">
        <v>15</v>
      </c>
      <c r="E52" t="s">
        <v>657</v>
      </c>
      <c r="F52" t="s">
        <v>28</v>
      </c>
      <c r="G52" t="s">
        <v>134</v>
      </c>
      <c r="H52" t="s">
        <v>1228</v>
      </c>
      <c r="I52" t="s">
        <v>139</v>
      </c>
      <c r="J52" t="s">
        <v>287</v>
      </c>
      <c r="K52" s="28">
        <f t="shared" si="7"/>
        <v>1.3734785466564569E-2</v>
      </c>
      <c r="L52" s="28">
        <f t="shared" si="14"/>
        <v>1.40322217607344E-2</v>
      </c>
      <c r="M52" s="28">
        <f t="shared" si="14"/>
        <v>1.4271883308885947E-2</v>
      </c>
      <c r="N52" s="28">
        <f t="shared" si="14"/>
        <v>1.442847469109686E-2</v>
      </c>
      <c r="O52" s="28">
        <f t="shared" si="14"/>
        <v>1.4587191521362352E-2</v>
      </c>
      <c r="P52" s="28">
        <f t="shared" si="14"/>
        <v>1.4791807461602316E-2</v>
      </c>
      <c r="Q52" s="28">
        <f t="shared" si="14"/>
        <v>1.5010624441484299E-2</v>
      </c>
      <c r="R52" s="28">
        <f t="shared" si="14"/>
        <v>1.5137878207622494E-2</v>
      </c>
      <c r="S52" s="28">
        <f t="shared" si="14"/>
        <v>1.4405808617287252E-2</v>
      </c>
      <c r="T52" s="28">
        <f t="shared" si="14"/>
        <v>1.471508187327387E-2</v>
      </c>
      <c r="U52" s="28">
        <f t="shared" si="14"/>
        <v>1.5003788469876761E-2</v>
      </c>
      <c r="V52" s="28">
        <f t="shared" si="14"/>
        <v>1.5294774250032041E-2</v>
      </c>
      <c r="W52" s="28">
        <f t="shared" si="14"/>
        <v>1.5625023048607179E-2</v>
      </c>
      <c r="X52" s="28">
        <f t="shared" si="14"/>
        <v>1.5958015135036502E-2</v>
      </c>
      <c r="Y52" s="28">
        <f t="shared" si="14"/>
        <v>1.6291430406484061E-2</v>
      </c>
      <c r="Z52" s="28">
        <f t="shared" si="14"/>
        <v>1.6618414761251227E-2</v>
      </c>
      <c r="AA52" s="28">
        <f t="shared" si="14"/>
        <v>1.6962775655512932E-2</v>
      </c>
      <c r="AB52" s="28">
        <f t="shared" si="14"/>
        <v>1.7292004829036017E-2</v>
      </c>
      <c r="AC52" s="28">
        <f t="shared" si="14"/>
        <v>1.7629042012552724E-2</v>
      </c>
      <c r="AD52" s="28">
        <f t="shared" si="14"/>
        <v>1.8011177597074678E-2</v>
      </c>
      <c r="AE52" s="28">
        <f t="shared" si="14"/>
        <v>1.8419650159724663E-2</v>
      </c>
      <c r="AF52" s="28">
        <f t="shared" si="14"/>
        <v>1.884097345686063E-2</v>
      </c>
      <c r="AG52" s="28">
        <f t="shared" si="14"/>
        <v>1.8966380056877074E-2</v>
      </c>
      <c r="AH52" s="28">
        <f t="shared" si="14"/>
        <v>4.546068341225425E-3</v>
      </c>
      <c r="AI52" s="28">
        <f t="shared" si="14"/>
        <v>4.5810087211234788E-3</v>
      </c>
      <c r="AJ52" s="28">
        <f t="shared" si="14"/>
        <v>4.6162034936060832E-3</v>
      </c>
      <c r="AK52" s="28">
        <f t="shared" si="14"/>
        <v>4.651654595802618E-3</v>
      </c>
      <c r="AL52" s="28">
        <f t="shared" si="14"/>
        <v>4.6873639736392985E-3</v>
      </c>
      <c r="AM52" s="28">
        <f t="shared" si="14"/>
        <v>4.7233335824115215E-3</v>
      </c>
      <c r="AN52" s="28">
        <f t="shared" si="14"/>
        <v>4.7540821229171398E-3</v>
      </c>
      <c r="AO52" s="28">
        <f t="shared" si="14"/>
        <v>4.7850204669563062E-3</v>
      </c>
      <c r="AP52" s="28">
        <f t="shared" si="14"/>
        <v>4.8161498482772597E-3</v>
      </c>
      <c r="AQ52" s="28">
        <f t="shared" si="14"/>
        <v>4.8474715047566626E-3</v>
      </c>
      <c r="AR52" s="28">
        <f t="shared" si="14"/>
        <v>4.8789866787234456E-3</v>
      </c>
      <c r="AS52" s="28">
        <f t="shared" si="14"/>
        <v>4.9050616092112158E-3</v>
      </c>
      <c r="AT52" s="28">
        <f t="shared" si="14"/>
        <v>4.9312686367658596E-3</v>
      </c>
      <c r="AU52" s="28">
        <f t="shared" si="14"/>
        <v>4.9576084778655159E-3</v>
      </c>
      <c r="AV52" s="28">
        <f t="shared" si="14"/>
        <v>4.9840818501936824E-3</v>
      </c>
      <c r="AW52" s="28">
        <f t="shared" si="14"/>
        <v>5.0106894728324993E-3</v>
      </c>
      <c r="AY52" s="85"/>
    </row>
    <row r="53" spans="1:51" x14ac:dyDescent="0.25">
      <c r="A53" s="102" t="str">
        <f t="shared" si="0"/>
        <v>FS Poultry MMN2O</v>
      </c>
      <c r="B53" s="102" t="s">
        <v>1005</v>
      </c>
      <c r="C53" s="102" t="s">
        <v>1235</v>
      </c>
      <c r="D53" t="s">
        <v>15</v>
      </c>
      <c r="E53" t="s">
        <v>657</v>
      </c>
      <c r="F53" t="s">
        <v>28</v>
      </c>
      <c r="G53" t="s">
        <v>133</v>
      </c>
      <c r="H53" t="s">
        <v>1228</v>
      </c>
      <c r="I53" t="s">
        <v>139</v>
      </c>
      <c r="J53" t="s">
        <v>287</v>
      </c>
      <c r="K53" s="28">
        <f t="shared" si="7"/>
        <v>7.1735542892714194E-2</v>
      </c>
      <c r="L53" s="28">
        <f t="shared" si="14"/>
        <v>7.2899641050755595E-2</v>
      </c>
      <c r="M53" s="28">
        <f t="shared" si="14"/>
        <v>7.3245286101397272E-2</v>
      </c>
      <c r="N53" s="28">
        <f t="shared" si="14"/>
        <v>7.2470495750789329E-2</v>
      </c>
      <c r="O53" s="28">
        <f t="shared" si="14"/>
        <v>7.1697368993032501E-2</v>
      </c>
      <c r="P53" s="28">
        <f t="shared" si="14"/>
        <v>7.1473038560182875E-2</v>
      </c>
      <c r="Q53" s="28">
        <f t="shared" si="14"/>
        <v>7.1426306839747711E-2</v>
      </c>
      <c r="R53" s="28">
        <f t="shared" si="14"/>
        <v>7.0234895200938272E-2</v>
      </c>
      <c r="S53" s="28">
        <f t="shared" si="14"/>
        <v>5.8522787565181415E-2</v>
      </c>
      <c r="T53" s="28">
        <f t="shared" si="14"/>
        <v>6.0249063830763963E-2</v>
      </c>
      <c r="U53" s="28">
        <f t="shared" si="14"/>
        <v>6.1691998935437933E-2</v>
      </c>
      <c r="V53" s="28">
        <f t="shared" si="14"/>
        <v>6.313143293027125E-2</v>
      </c>
      <c r="W53" s="28">
        <f t="shared" si="14"/>
        <v>6.5004182026745502E-2</v>
      </c>
      <c r="X53" s="28">
        <f t="shared" si="14"/>
        <v>6.6871309718523023E-2</v>
      </c>
      <c r="Y53" s="28">
        <f t="shared" si="14"/>
        <v>6.8921291515234503E-2</v>
      </c>
      <c r="Z53" s="28">
        <f t="shared" si="14"/>
        <v>7.086181420314748E-2</v>
      </c>
      <c r="AA53" s="28">
        <f t="shared" si="14"/>
        <v>7.2967827248055561E-2</v>
      </c>
      <c r="AB53" s="28">
        <f t="shared" si="14"/>
        <v>7.4866772022575287E-2</v>
      </c>
      <c r="AC53" s="28">
        <f t="shared" si="14"/>
        <v>7.682178955016325E-2</v>
      </c>
      <c r="AD53" s="28">
        <f t="shared" si="14"/>
        <v>7.9419865944424156E-2</v>
      </c>
      <c r="AE53" s="28">
        <f t="shared" si="14"/>
        <v>8.2272223951986606E-2</v>
      </c>
      <c r="AF53" s="28">
        <f t="shared" si="14"/>
        <v>8.5225182924223236E-2</v>
      </c>
      <c r="AG53" s="28">
        <f t="shared" si="14"/>
        <v>8.4896351348960508E-2</v>
      </c>
      <c r="AH53" s="28">
        <f t="shared" si="14"/>
        <v>-7.3626502595036822E-2</v>
      </c>
      <c r="AI53" s="28">
        <f t="shared" si="14"/>
        <v>-7.3731994296060199E-2</v>
      </c>
      <c r="AJ53" s="28">
        <f t="shared" si="14"/>
        <v>-7.3846412883113402E-2</v>
      </c>
      <c r="AK53" s="28">
        <f t="shared" si="14"/>
        <v>-7.3969385819317404E-2</v>
      </c>
      <c r="AL53" s="28">
        <f t="shared" si="14"/>
        <v>-7.4100569503633099E-2</v>
      </c>
      <c r="AM53" s="28">
        <f t="shared" si="14"/>
        <v>-7.4239646491315286E-2</v>
      </c>
      <c r="AN53" s="28">
        <f t="shared" si="14"/>
        <v>-7.4296888099696562E-2</v>
      </c>
      <c r="AO53" s="28">
        <f t="shared" si="14"/>
        <v>-7.4361303731255379E-2</v>
      </c>
      <c r="AP53" s="28">
        <f t="shared" si="14"/>
        <v>-7.4432614822324453E-2</v>
      </c>
      <c r="AQ53" s="28">
        <f t="shared" si="14"/>
        <v>-7.4510561936601619E-2</v>
      </c>
      <c r="AR53" s="28">
        <f t="shared" si="14"/>
        <v>-7.4594903121597153E-2</v>
      </c>
      <c r="AS53" s="28">
        <f t="shared" si="14"/>
        <v>-7.4596092548896764E-2</v>
      </c>
      <c r="AT53" s="28">
        <f t="shared" si="14"/>
        <v>-7.4603203438028065E-2</v>
      </c>
      <c r="AU53" s="28">
        <f t="shared" si="14"/>
        <v>-7.4616016856982936E-2</v>
      </c>
      <c r="AV53" s="28">
        <f t="shared" si="14"/>
        <v>-7.4634327286008981E-2</v>
      </c>
      <c r="AW53" s="28">
        <f t="shared" si="14"/>
        <v>-7.465794157590501E-2</v>
      </c>
      <c r="AY53" s="85"/>
    </row>
    <row r="54" spans="1:51" x14ac:dyDescent="0.25">
      <c r="A54" s="102" t="str">
        <f t="shared" si="0"/>
        <v>FS Synthetic</v>
      </c>
      <c r="B54" s="102" t="s">
        <v>1005</v>
      </c>
      <c r="C54" s="102" t="s">
        <v>1127</v>
      </c>
      <c r="D54" t="s">
        <v>369</v>
      </c>
      <c r="E54" t="s">
        <v>55</v>
      </c>
      <c r="H54" t="s">
        <v>419</v>
      </c>
      <c r="I54" t="s">
        <v>139</v>
      </c>
      <c r="J54" t="s">
        <v>287</v>
      </c>
      <c r="K54" s="22">
        <f>K1463</f>
        <v>6.6064812063358538</v>
      </c>
      <c r="L54" s="22">
        <f t="shared" ref="L54:AW61" si="15">L1463</f>
        <v>6.6055332632324646</v>
      </c>
      <c r="M54" s="22">
        <f t="shared" si="15"/>
        <v>6.6042378924026437</v>
      </c>
      <c r="N54" s="22">
        <f t="shared" si="15"/>
        <v>6.6032976249569808</v>
      </c>
      <c r="O54" s="22">
        <f t="shared" si="15"/>
        <v>6.6028397217143464</v>
      </c>
      <c r="P54" s="22">
        <f t="shared" si="15"/>
        <v>6.6023877667619955</v>
      </c>
      <c r="Q54" s="22">
        <f t="shared" si="15"/>
        <v>6.6017040685586048</v>
      </c>
      <c r="R54" s="22">
        <f t="shared" si="15"/>
        <v>6.6009555191940086</v>
      </c>
      <c r="S54" s="22">
        <f t="shared" si="15"/>
        <v>6.6007105452260202</v>
      </c>
      <c r="T54" s="22">
        <f t="shared" si="15"/>
        <v>6.6052103201480445</v>
      </c>
      <c r="U54" s="22">
        <f t="shared" si="15"/>
        <v>6.6038066881148643</v>
      </c>
      <c r="V54" s="22">
        <f t="shared" si="15"/>
        <v>6.60254471504373</v>
      </c>
      <c r="W54" s="22">
        <f t="shared" si="15"/>
        <v>6.6012944407562824</v>
      </c>
      <c r="X54" s="22">
        <f t="shared" si="15"/>
        <v>6.5998592560706051</v>
      </c>
      <c r="Y54" s="22">
        <f t="shared" si="15"/>
        <v>6.5984396481179575</v>
      </c>
      <c r="Z54" s="22">
        <f t="shared" si="15"/>
        <v>6.5970003432051669</v>
      </c>
      <c r="AA54" s="22">
        <f t="shared" si="15"/>
        <v>6.595622302868513</v>
      </c>
      <c r="AB54" s="22">
        <f t="shared" si="15"/>
        <v>6.5941853622185969</v>
      </c>
      <c r="AC54" s="22">
        <f t="shared" si="15"/>
        <v>6.592850540390411</v>
      </c>
      <c r="AD54" s="22">
        <f t="shared" si="15"/>
        <v>6.5915038110737925</v>
      </c>
      <c r="AE54" s="22">
        <f t="shared" si="15"/>
        <v>6.5899366744546857</v>
      </c>
      <c r="AF54" s="22">
        <f t="shared" si="15"/>
        <v>6.5882822576482969</v>
      </c>
      <c r="AG54" s="22">
        <f t="shared" si="15"/>
        <v>6.5866069718802809</v>
      </c>
      <c r="AH54" s="22">
        <f t="shared" si="15"/>
        <v>6.5862744996812319</v>
      </c>
      <c r="AI54" s="22">
        <f t="shared" si="15"/>
        <v>6.7244352177988764</v>
      </c>
      <c r="AJ54" s="22">
        <f t="shared" si="15"/>
        <v>6.7246796459520661</v>
      </c>
      <c r="AK54" s="22">
        <f t="shared" si="15"/>
        <v>6.7249266471091245</v>
      </c>
      <c r="AL54" s="22">
        <f t="shared" si="15"/>
        <v>6.7251762567164626</v>
      </c>
      <c r="AM54" s="22">
        <f t="shared" si="15"/>
        <v>6.725428510887201</v>
      </c>
      <c r="AN54" s="22">
        <f t="shared" si="15"/>
        <v>6.7256834464178157</v>
      </c>
      <c r="AO54" s="22">
        <f t="shared" si="15"/>
        <v>6.7259019731905472</v>
      </c>
      <c r="AP54" s="22">
        <f t="shared" si="15"/>
        <v>6.7261224822219834</v>
      </c>
      <c r="AQ54" s="22">
        <f t="shared" si="15"/>
        <v>6.7263449972304938</v>
      </c>
      <c r="AR54" s="22">
        <f t="shared" si="15"/>
        <v>6.7265695423235661</v>
      </c>
      <c r="AS54" s="22">
        <f t="shared" si="15"/>
        <v>6.7267961420062665</v>
      </c>
      <c r="AT54" s="22">
        <f t="shared" si="15"/>
        <v>6.72698404674487</v>
      </c>
      <c r="AU54" s="22">
        <f t="shared" si="15"/>
        <v>6.7271733718738833</v>
      </c>
      <c r="AV54" s="22">
        <f t="shared" si="15"/>
        <v>6.7273641316511892</v>
      </c>
      <c r="AW54" s="22">
        <f t="shared" si="15"/>
        <v>6.7275563405315459</v>
      </c>
      <c r="AY54" s="85"/>
    </row>
    <row r="55" spans="1:51" x14ac:dyDescent="0.25">
      <c r="A55" s="102" t="str">
        <f t="shared" si="0"/>
        <v>FS Organic</v>
      </c>
      <c r="B55" s="102" t="s">
        <v>1005</v>
      </c>
      <c r="C55" s="102" t="s">
        <v>1128</v>
      </c>
      <c r="D55" t="s">
        <v>369</v>
      </c>
      <c r="E55" t="s">
        <v>55</v>
      </c>
      <c r="H55" t="s">
        <v>420</v>
      </c>
      <c r="I55" t="s">
        <v>139</v>
      </c>
      <c r="J55" t="s">
        <v>287</v>
      </c>
      <c r="K55" s="22">
        <f t="shared" ref="K55:Z118" si="16">K1464</f>
        <v>4.3602775961816637E-2</v>
      </c>
      <c r="L55" s="22">
        <f t="shared" si="16"/>
        <v>4.3596519537334268E-2</v>
      </c>
      <c r="M55" s="22">
        <f t="shared" si="16"/>
        <v>4.3587970089857465E-2</v>
      </c>
      <c r="N55" s="22">
        <f t="shared" si="16"/>
        <v>4.3581764324716096E-2</v>
      </c>
      <c r="O55" s="22">
        <f t="shared" si="16"/>
        <v>4.3578742163314678E-2</v>
      </c>
      <c r="P55" s="22">
        <f t="shared" si="16"/>
        <v>4.3575759260629177E-2</v>
      </c>
      <c r="Q55" s="22">
        <f t="shared" si="16"/>
        <v>4.3571246852486797E-2</v>
      </c>
      <c r="R55" s="22">
        <f t="shared" si="16"/>
        <v>4.3566306426680468E-2</v>
      </c>
      <c r="S55" s="22">
        <f t="shared" si="16"/>
        <v>4.3564689598491746E-2</v>
      </c>
      <c r="T55" s="22">
        <f t="shared" si="16"/>
        <v>4.3594388112977112E-2</v>
      </c>
      <c r="U55" s="22">
        <f t="shared" si="16"/>
        <v>4.3585124141558115E-2</v>
      </c>
      <c r="V55" s="22">
        <f t="shared" si="16"/>
        <v>4.3576795119288615E-2</v>
      </c>
      <c r="W55" s="22">
        <f t="shared" si="16"/>
        <v>4.3568543308991473E-2</v>
      </c>
      <c r="X55" s="22">
        <f t="shared" si="16"/>
        <v>4.3559071090065994E-2</v>
      </c>
      <c r="Y55" s="22">
        <f t="shared" si="16"/>
        <v>4.3549701677578524E-2</v>
      </c>
      <c r="Z55" s="22">
        <f t="shared" si="16"/>
        <v>4.3540202265154107E-2</v>
      </c>
      <c r="AA55" s="22">
        <f t="shared" si="15"/>
        <v>4.3531107198932197E-2</v>
      </c>
      <c r="AB55" s="22">
        <f t="shared" si="15"/>
        <v>4.352162339064275E-2</v>
      </c>
      <c r="AC55" s="22">
        <f t="shared" si="15"/>
        <v>4.351281356657672E-2</v>
      </c>
      <c r="AD55" s="22">
        <f t="shared" si="15"/>
        <v>4.3503925153087042E-2</v>
      </c>
      <c r="AE55" s="22">
        <f t="shared" si="15"/>
        <v>4.3493582051400928E-2</v>
      </c>
      <c r="AF55" s="22">
        <f t="shared" si="15"/>
        <v>4.3482662900478766E-2</v>
      </c>
      <c r="AG55" s="22">
        <f t="shared" si="15"/>
        <v>4.3471606014409865E-2</v>
      </c>
      <c r="AH55" s="22">
        <f t="shared" si="15"/>
        <v>4.3469411697896136E-2</v>
      </c>
      <c r="AI55" s="22">
        <f t="shared" si="15"/>
        <v>4.4381272437472585E-2</v>
      </c>
      <c r="AJ55" s="22">
        <f t="shared" si="15"/>
        <v>4.4382885663283633E-2</v>
      </c>
      <c r="AK55" s="22">
        <f t="shared" si="15"/>
        <v>4.4384515870920224E-2</v>
      </c>
      <c r="AL55" s="22">
        <f t="shared" si="15"/>
        <v>4.4386163294328665E-2</v>
      </c>
      <c r="AM55" s="22">
        <f t="shared" si="15"/>
        <v>4.4387828171855534E-2</v>
      </c>
      <c r="AN55" s="22">
        <f t="shared" si="15"/>
        <v>4.4389510746357594E-2</v>
      </c>
      <c r="AO55" s="22">
        <f t="shared" si="15"/>
        <v>4.4390953023057615E-2</v>
      </c>
      <c r="AP55" s="22">
        <f t="shared" si="15"/>
        <v>4.4392408382665088E-2</v>
      </c>
      <c r="AQ55" s="22">
        <f t="shared" si="15"/>
        <v>4.4393876981721259E-2</v>
      </c>
      <c r="AR55" s="22">
        <f t="shared" si="15"/>
        <v>4.4395358979335532E-2</v>
      </c>
      <c r="AS55" s="22">
        <f t="shared" si="15"/>
        <v>4.4396854537241355E-2</v>
      </c>
      <c r="AT55" s="22">
        <f t="shared" si="15"/>
        <v>4.4398094708516155E-2</v>
      </c>
      <c r="AU55" s="22">
        <f t="shared" si="15"/>
        <v>4.4399344254367645E-2</v>
      </c>
      <c r="AV55" s="22">
        <f t="shared" si="15"/>
        <v>4.4400603268897852E-2</v>
      </c>
      <c r="AW55" s="22">
        <f t="shared" si="15"/>
        <v>4.4401871847508219E-2</v>
      </c>
      <c r="AY55" s="85"/>
    </row>
    <row r="56" spans="1:51" x14ac:dyDescent="0.25">
      <c r="A56" s="102" t="str">
        <f t="shared" si="0"/>
        <v>FS Crop residues</v>
      </c>
      <c r="B56" s="102" t="s">
        <v>1005</v>
      </c>
      <c r="C56" s="102" t="s">
        <v>58</v>
      </c>
      <c r="D56" t="s">
        <v>369</v>
      </c>
      <c r="E56" t="s">
        <v>55</v>
      </c>
      <c r="H56" t="s">
        <v>58</v>
      </c>
      <c r="I56" t="s">
        <v>139</v>
      </c>
      <c r="J56" t="s">
        <v>287</v>
      </c>
      <c r="K56" s="22">
        <f t="shared" si="16"/>
        <v>2.94930909510781</v>
      </c>
      <c r="L56" s="22">
        <f t="shared" si="15"/>
        <v>2.9563860470471841</v>
      </c>
      <c r="M56" s="22">
        <f t="shared" si="15"/>
        <v>2.9660567509887259</v>
      </c>
      <c r="N56" s="22">
        <f t="shared" si="15"/>
        <v>2.9730763996357101</v>
      </c>
      <c r="O56" s="22">
        <f t="shared" si="15"/>
        <v>2.9764949162422756</v>
      </c>
      <c r="P56" s="22">
        <f t="shared" si="15"/>
        <v>2.9798690253687776</v>
      </c>
      <c r="Q56" s="22">
        <f t="shared" si="15"/>
        <v>2.9849732339537955</v>
      </c>
      <c r="R56" s="22">
        <f t="shared" si="15"/>
        <v>2.9905615945405919</v>
      </c>
      <c r="S56" s="22">
        <f t="shared" si="15"/>
        <v>2.9923904690707688</v>
      </c>
      <c r="T56" s="22">
        <f t="shared" si="15"/>
        <v>2.9587970068183171</v>
      </c>
      <c r="U56" s="22">
        <f t="shared" si="15"/>
        <v>2.9692759442185355</v>
      </c>
      <c r="V56" s="22">
        <f t="shared" si="15"/>
        <v>2.9786973142789162</v>
      </c>
      <c r="W56" s="22">
        <f t="shared" si="15"/>
        <v>2.9880313460490315</v>
      </c>
      <c r="X56" s="22">
        <f t="shared" si="15"/>
        <v>2.9987458425292064</v>
      </c>
      <c r="Y56" s="22">
        <f t="shared" si="15"/>
        <v>3.0093440495500001</v>
      </c>
      <c r="Z56" s="22">
        <f t="shared" si="15"/>
        <v>3.0200893059451359</v>
      </c>
      <c r="AA56" s="22">
        <f t="shared" si="15"/>
        <v>3.0303771863022528</v>
      </c>
      <c r="AB56" s="22">
        <f t="shared" si="15"/>
        <v>3.0411047920866441</v>
      </c>
      <c r="AC56" s="22">
        <f t="shared" si="15"/>
        <v>3.0510700208983077</v>
      </c>
      <c r="AD56" s="22">
        <f t="shared" si="15"/>
        <v>3.0611241461036762</v>
      </c>
      <c r="AE56" s="22">
        <f t="shared" si="15"/>
        <v>3.0728237412547079</v>
      </c>
      <c r="AF56" s="22">
        <f t="shared" si="15"/>
        <v>3.0851749342584296</v>
      </c>
      <c r="AG56" s="22">
        <f t="shared" si="15"/>
        <v>3.0976819263158513</v>
      </c>
      <c r="AH56" s="22">
        <f t="shared" si="15"/>
        <v>3.100164026523585</v>
      </c>
      <c r="AI56" s="22">
        <f t="shared" si="15"/>
        <v>2.0687131319155303</v>
      </c>
      <c r="AJ56" s="22">
        <f t="shared" si="15"/>
        <v>2.0668883322133484</v>
      </c>
      <c r="AK56" s="22">
        <f t="shared" si="15"/>
        <v>2.0650443235262905</v>
      </c>
      <c r="AL56" s="22">
        <f t="shared" si="15"/>
        <v>2.0631808412261146</v>
      </c>
      <c r="AM56" s="22">
        <f t="shared" si="15"/>
        <v>2.0612976157071592</v>
      </c>
      <c r="AN56" s="22">
        <f t="shared" si="15"/>
        <v>2.0593943722621146</v>
      </c>
      <c r="AO56" s="22">
        <f t="shared" si="15"/>
        <v>2.0577629415754459</v>
      </c>
      <c r="AP56" s="22">
        <f t="shared" si="15"/>
        <v>2.056116712163484</v>
      </c>
      <c r="AQ56" s="22">
        <f t="shared" si="15"/>
        <v>2.0544555069546533</v>
      </c>
      <c r="AR56" s="22">
        <f t="shared" si="15"/>
        <v>2.0527791459724298</v>
      </c>
      <c r="AS56" s="22">
        <f t="shared" si="15"/>
        <v>2.0510874462720836</v>
      </c>
      <c r="AT56" s="22">
        <f t="shared" si="15"/>
        <v>2.0496846270527396</v>
      </c>
      <c r="AU56" s="22">
        <f t="shared" si="15"/>
        <v>2.0482712037848629</v>
      </c>
      <c r="AV56" s="22">
        <f t="shared" si="15"/>
        <v>2.0468470700250148</v>
      </c>
      <c r="AW56" s="22">
        <f t="shared" si="15"/>
        <v>2.0454121178598972</v>
      </c>
      <c r="AY56" s="85"/>
    </row>
    <row r="57" spans="1:51" x14ac:dyDescent="0.25">
      <c r="A57" s="102" t="str">
        <f t="shared" si="0"/>
        <v>FS Organic</v>
      </c>
      <c r="B57" s="102" t="s">
        <v>1005</v>
      </c>
      <c r="C57" s="102" t="s">
        <v>1128</v>
      </c>
      <c r="D57" t="s">
        <v>369</v>
      </c>
      <c r="E57" t="s">
        <v>55</v>
      </c>
      <c r="F57" t="s">
        <v>421</v>
      </c>
      <c r="G57" t="s">
        <v>1153</v>
      </c>
      <c r="H57" t="s">
        <v>1154</v>
      </c>
      <c r="I57" t="s">
        <v>139</v>
      </c>
      <c r="J57" t="s">
        <v>287</v>
      </c>
      <c r="K57" s="22">
        <f t="shared" si="16"/>
        <v>0.31935878855248062</v>
      </c>
      <c r="L57" s="22">
        <f t="shared" si="15"/>
        <v>0.3213452540874065</v>
      </c>
      <c r="M57" s="22">
        <f t="shared" si="15"/>
        <v>0.32271097650720204</v>
      </c>
      <c r="N57" s="22">
        <f t="shared" si="15"/>
        <v>0.32313928716206192</v>
      </c>
      <c r="O57" s="22">
        <f t="shared" si="15"/>
        <v>0.32371872756630715</v>
      </c>
      <c r="P57" s="22">
        <f t="shared" si="15"/>
        <v>0.32498792219339984</v>
      </c>
      <c r="Q57" s="22">
        <f t="shared" si="15"/>
        <v>0.32650955781340663</v>
      </c>
      <c r="R57" s="22">
        <f t="shared" si="15"/>
        <v>0.32696667302614263</v>
      </c>
      <c r="S57" s="22">
        <f t="shared" si="15"/>
        <v>0.31692886960594807</v>
      </c>
      <c r="T57" s="22">
        <f t="shared" si="15"/>
        <v>0.319539305941619</v>
      </c>
      <c r="U57" s="22">
        <f t="shared" si="15"/>
        <v>0.32193300192732111</v>
      </c>
      <c r="V57" s="22">
        <f t="shared" si="15"/>
        <v>0.32438733794310681</v>
      </c>
      <c r="W57" s="22">
        <f t="shared" si="15"/>
        <v>0.32734391954355124</v>
      </c>
      <c r="X57" s="22">
        <f t="shared" si="15"/>
        <v>0.33035597962068947</v>
      </c>
      <c r="Y57" s="22">
        <f t="shared" si="15"/>
        <v>0.33328887796807738</v>
      </c>
      <c r="Z57" s="22">
        <f t="shared" si="15"/>
        <v>0.33616310143447364</v>
      </c>
      <c r="AA57" s="22">
        <f t="shared" si="15"/>
        <v>0.33925895533631584</v>
      </c>
      <c r="AB57" s="22">
        <f t="shared" si="15"/>
        <v>0.34219066812704535</v>
      </c>
      <c r="AC57" s="22">
        <f t="shared" si="15"/>
        <v>0.34522753941235912</v>
      </c>
      <c r="AD57" s="22">
        <f t="shared" si="15"/>
        <v>0.34871662740286707</v>
      </c>
      <c r="AE57" s="22">
        <f t="shared" si="15"/>
        <v>0.3525166109950878</v>
      </c>
      <c r="AF57" s="22">
        <f t="shared" si="15"/>
        <v>0.3564674247563781</v>
      </c>
      <c r="AG57" s="22">
        <f t="shared" si="15"/>
        <v>0.35701929306188401</v>
      </c>
      <c r="AH57" s="22">
        <f t="shared" si="15"/>
        <v>0.19114464625483749</v>
      </c>
      <c r="AI57" s="22">
        <f t="shared" si="15"/>
        <v>0.19128523197534555</v>
      </c>
      <c r="AJ57" s="22">
        <f t="shared" si="15"/>
        <v>0.19144428532787389</v>
      </c>
      <c r="AK57" s="22">
        <f t="shared" si="15"/>
        <v>0.19162110436440311</v>
      </c>
      <c r="AL57" s="22">
        <f t="shared" si="15"/>
        <v>0.19181504119818318</v>
      </c>
      <c r="AM57" s="22">
        <f t="shared" si="15"/>
        <v>0.19202549687963794</v>
      </c>
      <c r="AN57" s="22">
        <f t="shared" si="15"/>
        <v>0.19211610433852847</v>
      </c>
      <c r="AO57" s="22">
        <f t="shared" si="15"/>
        <v>0.19222125892017863</v>
      </c>
      <c r="AP57" s="22">
        <f t="shared" si="15"/>
        <v>0.1923404525383117</v>
      </c>
      <c r="AQ57" s="22">
        <f t="shared" si="15"/>
        <v>0.19247321177682317</v>
      </c>
      <c r="AR57" s="22">
        <f t="shared" si="15"/>
        <v>0.19261909494773871</v>
      </c>
      <c r="AS57" s="22">
        <f t="shared" si="15"/>
        <v>0.19264041350385425</v>
      </c>
      <c r="AT57" s="22">
        <f t="shared" si="15"/>
        <v>0.19267336675119676</v>
      </c>
      <c r="AU57" s="22">
        <f t="shared" si="15"/>
        <v>0.19271756905587112</v>
      </c>
      <c r="AV57" s="22">
        <f t="shared" si="15"/>
        <v>0.19277265827645768</v>
      </c>
      <c r="AW57" s="22">
        <f t="shared" si="15"/>
        <v>0.19283829395934973</v>
      </c>
      <c r="AY57" s="85"/>
    </row>
    <row r="58" spans="1:51" x14ac:dyDescent="0.25">
      <c r="A58" s="102" t="str">
        <f t="shared" si="0"/>
        <v>FS Organic</v>
      </c>
      <c r="B58" s="102" t="s">
        <v>1005</v>
      </c>
      <c r="C58" s="102" t="s">
        <v>1128</v>
      </c>
      <c r="D58" t="s">
        <v>369</v>
      </c>
      <c r="E58" t="s">
        <v>55</v>
      </c>
      <c r="F58" t="s">
        <v>421</v>
      </c>
      <c r="G58" t="s">
        <v>1155</v>
      </c>
      <c r="H58" t="s">
        <v>1156</v>
      </c>
      <c r="I58" t="s">
        <v>139</v>
      </c>
      <c r="J58" t="s">
        <v>287</v>
      </c>
      <c r="K58" s="22">
        <f t="shared" si="16"/>
        <v>0.93379576098906358</v>
      </c>
      <c r="L58" s="22">
        <f t="shared" si="15"/>
        <v>0.93960412813709904</v>
      </c>
      <c r="M58" s="22">
        <f t="shared" si="15"/>
        <v>0.94359746056447114</v>
      </c>
      <c r="N58" s="22">
        <f t="shared" si="15"/>
        <v>0.94484982839723786</v>
      </c>
      <c r="O58" s="22">
        <f t="shared" si="15"/>
        <v>0.94654409519879523</v>
      </c>
      <c r="P58" s="22">
        <f t="shared" si="15"/>
        <v>0.95025518318237956</v>
      </c>
      <c r="Q58" s="22">
        <f t="shared" si="15"/>
        <v>0.95470440124890821</v>
      </c>
      <c r="R58" s="22">
        <f t="shared" si="15"/>
        <v>0.95604099276677834</v>
      </c>
      <c r="S58" s="22">
        <f t="shared" si="15"/>
        <v>0.9266907490302454</v>
      </c>
      <c r="T58" s="22">
        <f t="shared" si="15"/>
        <v>0.93432358855731779</v>
      </c>
      <c r="U58" s="22">
        <f t="shared" si="15"/>
        <v>0.94132268563767829</v>
      </c>
      <c r="V58" s="22">
        <f t="shared" si="15"/>
        <v>0.94849909239313801</v>
      </c>
      <c r="W58" s="22">
        <f t="shared" si="15"/>
        <v>0.95714405055454344</v>
      </c>
      <c r="X58" s="22">
        <f t="shared" si="15"/>
        <v>0.96595122615983853</v>
      </c>
      <c r="Y58" s="22">
        <f t="shared" si="15"/>
        <v>0.97452693518170752</v>
      </c>
      <c r="Z58" s="22">
        <f t="shared" si="15"/>
        <v>0.98293108056696943</v>
      </c>
      <c r="AA58" s="22">
        <f t="shared" si="15"/>
        <v>0.99198326686591187</v>
      </c>
      <c r="AB58" s="22">
        <f t="shared" si="15"/>
        <v>1.0005555093547731</v>
      </c>
      <c r="AC58" s="22">
        <f t="shared" si="15"/>
        <v>1.0094352322073954</v>
      </c>
      <c r="AD58" s="22">
        <f t="shared" si="15"/>
        <v>1.0196372234850481</v>
      </c>
      <c r="AE58" s="22">
        <f t="shared" si="15"/>
        <v>1.0307482644127997</v>
      </c>
      <c r="AF58" s="22">
        <f t="shared" si="15"/>
        <v>1.0423003283452565</v>
      </c>
      <c r="AG58" s="22">
        <f t="shared" si="15"/>
        <v>1.0439139751361945</v>
      </c>
      <c r="AH58" s="22">
        <f t="shared" si="15"/>
        <v>0.55890135736530644</v>
      </c>
      <c r="AI58" s="22">
        <f t="shared" si="15"/>
        <v>0.55931242590192343</v>
      </c>
      <c r="AJ58" s="22">
        <f t="shared" si="15"/>
        <v>0.55977749325464987</v>
      </c>
      <c r="AK58" s="22">
        <f t="shared" si="15"/>
        <v>0.56029450694799943</v>
      </c>
      <c r="AL58" s="22">
        <f t="shared" si="15"/>
        <v>0.56086157258005664</v>
      </c>
      <c r="AM58" s="22">
        <f t="shared" si="15"/>
        <v>0.5614769388397709</v>
      </c>
      <c r="AN58" s="22">
        <f t="shared" si="15"/>
        <v>0.56174187240057738</v>
      </c>
      <c r="AO58" s="22">
        <f t="shared" si="15"/>
        <v>0.56204934132303475</v>
      </c>
      <c r="AP58" s="22">
        <f t="shared" si="15"/>
        <v>0.56239785997772429</v>
      </c>
      <c r="AQ58" s="22">
        <f t="shared" si="15"/>
        <v>0.56278604410979705</v>
      </c>
      <c r="AR58" s="22">
        <f t="shared" si="15"/>
        <v>0.56321260223652991</v>
      </c>
      <c r="AS58" s="22">
        <f t="shared" si="15"/>
        <v>0.56327493707134479</v>
      </c>
      <c r="AT58" s="22">
        <f t="shared" si="15"/>
        <v>0.56337129140315678</v>
      </c>
      <c r="AU58" s="22">
        <f t="shared" si="15"/>
        <v>0.56350053764973096</v>
      </c>
      <c r="AV58" s="22">
        <f t="shared" si="15"/>
        <v>0.5636616169201436</v>
      </c>
      <c r="AW58" s="22">
        <f t="shared" si="15"/>
        <v>0.56385353373800251</v>
      </c>
      <c r="AY58" s="85"/>
    </row>
    <row r="59" spans="1:51" x14ac:dyDescent="0.25">
      <c r="A59" s="102" t="str">
        <f t="shared" si="0"/>
        <v>FS Organic</v>
      </c>
      <c r="B59" s="102" t="s">
        <v>1005</v>
      </c>
      <c r="C59" s="102" t="s">
        <v>1128</v>
      </c>
      <c r="D59" t="s">
        <v>369</v>
      </c>
      <c r="E59" t="s">
        <v>55</v>
      </c>
      <c r="F59" t="s">
        <v>421</v>
      </c>
      <c r="G59" t="s">
        <v>1157</v>
      </c>
      <c r="H59" t="s">
        <v>1158</v>
      </c>
      <c r="I59" t="s">
        <v>139</v>
      </c>
      <c r="J59" t="s">
        <v>287</v>
      </c>
      <c r="K59" s="22">
        <f t="shared" si="16"/>
        <v>4.9952808112492433E-2</v>
      </c>
      <c r="L59" s="22">
        <f t="shared" si="15"/>
        <v>5.0263523005099557E-2</v>
      </c>
      <c r="M59" s="22">
        <f t="shared" si="15"/>
        <v>5.0477143774016554E-2</v>
      </c>
      <c r="N59" s="22">
        <f t="shared" si="15"/>
        <v>5.0544138391737034E-2</v>
      </c>
      <c r="O59" s="22">
        <f t="shared" si="15"/>
        <v>5.063477211269108E-2</v>
      </c>
      <c r="P59" s="22">
        <f t="shared" si="15"/>
        <v>5.0833294395268382E-2</v>
      </c>
      <c r="Q59" s="22">
        <f t="shared" si="15"/>
        <v>5.1071302475421292E-2</v>
      </c>
      <c r="R59" s="22">
        <f t="shared" si="15"/>
        <v>5.1142802585409194E-2</v>
      </c>
      <c r="S59" s="22">
        <f t="shared" si="15"/>
        <v>4.9572730033491622E-2</v>
      </c>
      <c r="T59" s="22">
        <f t="shared" si="15"/>
        <v>4.9981043911298741E-2</v>
      </c>
      <c r="U59" s="22">
        <f t="shared" si="15"/>
        <v>5.0355456141490972E-2</v>
      </c>
      <c r="V59" s="22">
        <f t="shared" si="15"/>
        <v>5.0739353439560694E-2</v>
      </c>
      <c r="W59" s="22">
        <f t="shared" si="15"/>
        <v>5.1201809957589661E-2</v>
      </c>
      <c r="X59" s="22">
        <f t="shared" si="15"/>
        <v>5.1672944194222255E-2</v>
      </c>
      <c r="Y59" s="22">
        <f t="shared" si="15"/>
        <v>5.2131696273739363E-2</v>
      </c>
      <c r="Z59" s="22">
        <f t="shared" si="15"/>
        <v>5.2581270666039896E-2</v>
      </c>
      <c r="AA59" s="22">
        <f t="shared" si="15"/>
        <v>5.3065511593317877E-2</v>
      </c>
      <c r="AB59" s="22">
        <f t="shared" si="15"/>
        <v>5.3524078232864716E-2</v>
      </c>
      <c r="AC59" s="22">
        <f t="shared" si="15"/>
        <v>5.3999093338179975E-2</v>
      </c>
      <c r="AD59" s="22">
        <f t="shared" si="15"/>
        <v>5.4544842348775345E-2</v>
      </c>
      <c r="AE59" s="22">
        <f t="shared" si="15"/>
        <v>5.5139220390078653E-2</v>
      </c>
      <c r="AF59" s="22">
        <f t="shared" si="15"/>
        <v>5.5757190675476007E-2</v>
      </c>
      <c r="AG59" s="22">
        <f t="shared" si="15"/>
        <v>5.5843511680428629E-2</v>
      </c>
      <c r="AH59" s="22">
        <f t="shared" si="15"/>
        <v>2.9898071317768258E-2</v>
      </c>
      <c r="AI59" s="22">
        <f t="shared" si="15"/>
        <v>2.9920061166714414E-2</v>
      </c>
      <c r="AJ59" s="22">
        <f t="shared" si="15"/>
        <v>2.994493964785629E-2</v>
      </c>
      <c r="AK59" s="22">
        <f t="shared" si="15"/>
        <v>2.9972596965328013E-2</v>
      </c>
      <c r="AL59" s="22">
        <f t="shared" si="15"/>
        <v>3.0002931779308462E-2</v>
      </c>
      <c r="AM59" s="22">
        <f t="shared" si="15"/>
        <v>3.0035850404531023E-2</v>
      </c>
      <c r="AN59" s="22">
        <f t="shared" si="15"/>
        <v>3.0050022856236633E-2</v>
      </c>
      <c r="AO59" s="22">
        <f t="shared" si="15"/>
        <v>3.0066470709959804E-2</v>
      </c>
      <c r="AP59" s="22">
        <f t="shared" si="15"/>
        <v>3.0085114492903187E-2</v>
      </c>
      <c r="AQ59" s="22">
        <f t="shared" si="15"/>
        <v>3.0105880155237338E-2</v>
      </c>
      <c r="AR59" s="22">
        <f t="shared" si="15"/>
        <v>3.0128698609918406E-2</v>
      </c>
      <c r="AS59" s="22">
        <f t="shared" si="15"/>
        <v>3.0132033172113177E-2</v>
      </c>
      <c r="AT59" s="22">
        <f t="shared" si="15"/>
        <v>3.0137187585582245E-2</v>
      </c>
      <c r="AU59" s="22">
        <f t="shared" si="15"/>
        <v>3.0144101531033828E-2</v>
      </c>
      <c r="AV59" s="22">
        <f t="shared" si="15"/>
        <v>3.0152718363773888E-2</v>
      </c>
      <c r="AW59" s="22">
        <f t="shared" si="15"/>
        <v>3.0162984831428343E-2</v>
      </c>
      <c r="AY59" s="85"/>
    </row>
    <row r="60" spans="1:51" x14ac:dyDescent="0.25">
      <c r="A60" s="102" t="str">
        <f t="shared" si="0"/>
        <v>FS Organic</v>
      </c>
      <c r="B60" s="102" t="s">
        <v>1005</v>
      </c>
      <c r="C60" s="102" t="s">
        <v>1128</v>
      </c>
      <c r="D60" t="s">
        <v>369</v>
      </c>
      <c r="E60" t="s">
        <v>55</v>
      </c>
      <c r="F60" t="s">
        <v>421</v>
      </c>
      <c r="G60" t="s">
        <v>1159</v>
      </c>
      <c r="H60" t="s">
        <v>1160</v>
      </c>
      <c r="I60" t="s">
        <v>139</v>
      </c>
      <c r="J60" t="s">
        <v>287</v>
      </c>
      <c r="K60" s="22">
        <f t="shared" si="16"/>
        <v>0.40352425177353124</v>
      </c>
      <c r="L60" s="22">
        <f t="shared" si="15"/>
        <v>0.40084951633384258</v>
      </c>
      <c r="M60" s="22">
        <f t="shared" si="15"/>
        <v>0.39521001590024774</v>
      </c>
      <c r="N60" s="22">
        <f t="shared" si="15"/>
        <v>0.3857038563965185</v>
      </c>
      <c r="O60" s="22">
        <f t="shared" si="15"/>
        <v>0.37648074986973956</v>
      </c>
      <c r="P60" s="22">
        <f t="shared" si="15"/>
        <v>0.36938688643597767</v>
      </c>
      <c r="Q60" s="22">
        <f t="shared" si="15"/>
        <v>0.36297043234615178</v>
      </c>
      <c r="R60" s="22">
        <f t="shared" si="15"/>
        <v>0.35288211799047686</v>
      </c>
      <c r="S60" s="22">
        <f t="shared" si="15"/>
        <v>0.30949900697043298</v>
      </c>
      <c r="T60" s="22">
        <f t="shared" si="15"/>
        <v>0.31244902874448233</v>
      </c>
      <c r="U60" s="22">
        <f t="shared" si="15"/>
        <v>0.31444522818952964</v>
      </c>
      <c r="V60" s="22">
        <f t="shared" si="15"/>
        <v>0.31637649984131477</v>
      </c>
      <c r="W60" s="22">
        <f t="shared" si="15"/>
        <v>0.31957035863343569</v>
      </c>
      <c r="X60" s="22">
        <f t="shared" si="15"/>
        <v>0.32265895567955921</v>
      </c>
      <c r="Y60" s="22">
        <f t="shared" si="15"/>
        <v>0.32590151896633945</v>
      </c>
      <c r="Z60" s="22">
        <f t="shared" si="15"/>
        <v>0.32872445709091741</v>
      </c>
      <c r="AA60" s="22">
        <f t="shared" si="15"/>
        <v>0.33193734347454801</v>
      </c>
      <c r="AB60" s="22">
        <f t="shared" si="15"/>
        <v>0.33445153592828769</v>
      </c>
      <c r="AC60" s="22">
        <f t="shared" si="15"/>
        <v>0.33703471359982889</v>
      </c>
      <c r="AD60" s="22">
        <f t="shared" si="15"/>
        <v>0.3382378632765542</v>
      </c>
      <c r="AE60" s="22">
        <f t="shared" si="15"/>
        <v>0.33988762558713326</v>
      </c>
      <c r="AF60" s="22">
        <f t="shared" si="15"/>
        <v>0.34153102086249887</v>
      </c>
      <c r="AG60" s="22">
        <f t="shared" si="15"/>
        <v>0.33428783362296566</v>
      </c>
      <c r="AH60" s="22">
        <f t="shared" si="15"/>
        <v>-7.8853876190349073E-2</v>
      </c>
      <c r="AI60" s="22">
        <f t="shared" si="15"/>
        <v>-7.7024740515349702E-2</v>
      </c>
      <c r="AJ60" s="22">
        <f t="shared" si="15"/>
        <v>-7.5224693837810969E-2</v>
      </c>
      <c r="AK60" s="22">
        <f t="shared" si="15"/>
        <v>-7.3452212631802502E-2</v>
      </c>
      <c r="AL60" s="22">
        <f t="shared" si="15"/>
        <v>-7.1705878701856365E-2</v>
      </c>
      <c r="AM60" s="22">
        <f t="shared" si="15"/>
        <v>-6.9984369422605414E-2</v>
      </c>
      <c r="AN60" s="22">
        <f t="shared" si="15"/>
        <v>-6.8588614819976648E-2</v>
      </c>
      <c r="AO60" s="22">
        <f t="shared" si="15"/>
        <v>-6.7213941404815583E-2</v>
      </c>
      <c r="AP60" s="22">
        <f t="shared" si="15"/>
        <v>-6.5859393882214817E-2</v>
      </c>
      <c r="AQ60" s="22">
        <f t="shared" si="15"/>
        <v>-6.45240763716773E-2</v>
      </c>
      <c r="AR60" s="22">
        <f t="shared" si="15"/>
        <v>-6.3207147480680487E-2</v>
      </c>
      <c r="AS60" s="22">
        <f t="shared" si="15"/>
        <v>-6.1865741273458848E-2</v>
      </c>
      <c r="AT60" s="22">
        <f t="shared" si="15"/>
        <v>-6.054278111227946E-2</v>
      </c>
      <c r="AU60" s="22">
        <f t="shared" si="15"/>
        <v>-5.9237541358355558E-2</v>
      </c>
      <c r="AV60" s="22">
        <f t="shared" si="15"/>
        <v>-5.7949337141593796E-2</v>
      </c>
      <c r="AW60" s="22">
        <f t="shared" si="15"/>
        <v>-5.667752131406488E-2</v>
      </c>
      <c r="AY60" s="85"/>
    </row>
    <row r="61" spans="1:51" x14ac:dyDescent="0.25">
      <c r="A61" s="102" t="str">
        <f t="shared" si="0"/>
        <v>FS Organic</v>
      </c>
      <c r="B61" s="102" t="s">
        <v>1005</v>
      </c>
      <c r="C61" s="102" t="s">
        <v>1128</v>
      </c>
      <c r="D61" t="s">
        <v>369</v>
      </c>
      <c r="E61" t="s">
        <v>55</v>
      </c>
      <c r="F61" t="s">
        <v>421</v>
      </c>
      <c r="G61" t="s">
        <v>1161</v>
      </c>
      <c r="H61" t="s">
        <v>1162</v>
      </c>
      <c r="I61" t="s">
        <v>139</v>
      </c>
      <c r="J61" t="s">
        <v>287</v>
      </c>
      <c r="K61" s="22">
        <f t="shared" si="16"/>
        <v>2.6837391724620612</v>
      </c>
      <c r="L61" s="22">
        <f t="shared" si="15"/>
        <v>2.6659501740464377</v>
      </c>
      <c r="M61" s="22">
        <f t="shared" si="15"/>
        <v>2.6284432629742147</v>
      </c>
      <c r="N61" s="22">
        <f t="shared" si="15"/>
        <v>2.5652201666480274</v>
      </c>
      <c r="O61" s="22">
        <f t="shared" si="15"/>
        <v>2.5038795850871476</v>
      </c>
      <c r="P61" s="22">
        <f t="shared" ref="L61:AW67" si="17">P1470</f>
        <v>2.4567000683725801</v>
      </c>
      <c r="Q61" s="22">
        <f t="shared" si="17"/>
        <v>2.414025832280235</v>
      </c>
      <c r="R61" s="22">
        <f t="shared" si="17"/>
        <v>2.3469309692046179</v>
      </c>
      <c r="S61" s="22">
        <f t="shared" si="17"/>
        <v>2.0584007161751039</v>
      </c>
      <c r="T61" s="22">
        <f t="shared" si="17"/>
        <v>2.0780205753529248</v>
      </c>
      <c r="U61" s="22">
        <f t="shared" si="17"/>
        <v>2.0912968000734335</v>
      </c>
      <c r="V61" s="22">
        <f t="shared" si="17"/>
        <v>2.1041412062318772</v>
      </c>
      <c r="W61" s="22">
        <f t="shared" si="17"/>
        <v>2.125382764611714</v>
      </c>
      <c r="X61" s="22">
        <f t="shared" si="17"/>
        <v>2.1459242533678449</v>
      </c>
      <c r="Y61" s="22">
        <f t="shared" si="17"/>
        <v>2.1674897331963128</v>
      </c>
      <c r="Z61" s="22">
        <f t="shared" si="17"/>
        <v>2.1862643907121093</v>
      </c>
      <c r="AA61" s="22">
        <f t="shared" si="17"/>
        <v>2.2076324968582024</v>
      </c>
      <c r="AB61" s="22">
        <f t="shared" si="17"/>
        <v>2.2243537639085806</v>
      </c>
      <c r="AC61" s="22">
        <f t="shared" si="17"/>
        <v>2.2415338344398443</v>
      </c>
      <c r="AD61" s="22">
        <f t="shared" si="17"/>
        <v>2.2495356829125717</v>
      </c>
      <c r="AE61" s="22">
        <f t="shared" si="17"/>
        <v>2.2605078406421084</v>
      </c>
      <c r="AF61" s="22">
        <f t="shared" si="17"/>
        <v>2.2714376528081774</v>
      </c>
      <c r="AG61" s="22">
        <f t="shared" si="17"/>
        <v>2.2232650206980202</v>
      </c>
      <c r="AH61" s="22">
        <f t="shared" si="17"/>
        <v>-0.52443746689921866</v>
      </c>
      <c r="AI61" s="22">
        <f t="shared" si="17"/>
        <v>-0.51227234165292079</v>
      </c>
      <c r="AJ61" s="22">
        <f t="shared" si="17"/>
        <v>-0.50030068007486495</v>
      </c>
      <c r="AK61" s="22">
        <f t="shared" si="17"/>
        <v>-0.48851234957400724</v>
      </c>
      <c r="AL61" s="22">
        <f t="shared" si="17"/>
        <v>-0.47689791808594317</v>
      </c>
      <c r="AM61" s="22">
        <f t="shared" si="17"/>
        <v>-0.46544858915917614</v>
      </c>
      <c r="AN61" s="22">
        <f t="shared" si="17"/>
        <v>-0.45616577335379221</v>
      </c>
      <c r="AO61" s="22">
        <f t="shared" si="17"/>
        <v>-0.44702316326928004</v>
      </c>
      <c r="AP61" s="22">
        <f t="shared" si="17"/>
        <v>-0.4380144054774302</v>
      </c>
      <c r="AQ61" s="22">
        <f t="shared" si="17"/>
        <v>-0.4291335417004612</v>
      </c>
      <c r="AR61" s="22">
        <f t="shared" si="17"/>
        <v>-0.42037497604652191</v>
      </c>
      <c r="AS61" s="22">
        <f t="shared" si="17"/>
        <v>-0.41145361786623369</v>
      </c>
      <c r="AT61" s="22">
        <f t="shared" si="17"/>
        <v>-0.40265493973831684</v>
      </c>
      <c r="AU61" s="22">
        <f t="shared" si="17"/>
        <v>-0.3939741156201515</v>
      </c>
      <c r="AV61" s="22">
        <f t="shared" si="17"/>
        <v>-0.38540659061153143</v>
      </c>
      <c r="AW61" s="22">
        <f t="shared" si="17"/>
        <v>-0.37694806069295739</v>
      </c>
      <c r="AY61" s="85"/>
    </row>
    <row r="62" spans="1:51" x14ac:dyDescent="0.25">
      <c r="A62" s="102" t="str">
        <f t="shared" si="0"/>
        <v>FS Organic</v>
      </c>
      <c r="B62" s="102" t="s">
        <v>1005</v>
      </c>
      <c r="C62" s="102" t="s">
        <v>1128</v>
      </c>
      <c r="D62" t="s">
        <v>369</v>
      </c>
      <c r="E62" t="s">
        <v>55</v>
      </c>
      <c r="F62" t="s">
        <v>421</v>
      </c>
      <c r="G62" t="s">
        <v>1163</v>
      </c>
      <c r="H62" t="s">
        <v>1164</v>
      </c>
      <c r="I62" t="s">
        <v>139</v>
      </c>
      <c r="J62" t="s">
        <v>287</v>
      </c>
      <c r="K62" s="22">
        <f t="shared" si="16"/>
        <v>0.34546247453096907</v>
      </c>
      <c r="L62" s="22">
        <f t="shared" si="17"/>
        <v>0.35776618085714956</v>
      </c>
      <c r="M62" s="22">
        <f t="shared" si="17"/>
        <v>0.36753197290523232</v>
      </c>
      <c r="N62" s="22">
        <f t="shared" si="17"/>
        <v>0.37357124020109944</v>
      </c>
      <c r="O62" s="22">
        <f t="shared" si="17"/>
        <v>0.37962311486925576</v>
      </c>
      <c r="P62" s="22">
        <f t="shared" si="17"/>
        <v>0.38765990463300043</v>
      </c>
      <c r="Q62" s="22">
        <f t="shared" si="17"/>
        <v>0.39636651112291715</v>
      </c>
      <c r="R62" s="22">
        <f t="shared" si="17"/>
        <v>0.40089753199851358</v>
      </c>
      <c r="S62" s="22">
        <f t="shared" si="17"/>
        <v>0.36575105397715829</v>
      </c>
      <c r="T62" s="22">
        <f t="shared" si="17"/>
        <v>0.37806101801948427</v>
      </c>
      <c r="U62" s="22">
        <f t="shared" si="17"/>
        <v>0.38944404902970864</v>
      </c>
      <c r="V62" s="22">
        <f t="shared" si="17"/>
        <v>0.40095410706426832</v>
      </c>
      <c r="W62" s="22">
        <f t="shared" si="17"/>
        <v>0.41431554176005497</v>
      </c>
      <c r="X62" s="22">
        <f t="shared" si="17"/>
        <v>0.42783512426761167</v>
      </c>
      <c r="Y62" s="22">
        <f t="shared" si="17"/>
        <v>0.44186503984012609</v>
      </c>
      <c r="Z62" s="22">
        <f t="shared" si="17"/>
        <v>0.45563435576355671</v>
      </c>
      <c r="AA62" s="22">
        <f t="shared" si="17"/>
        <v>0.47026188205754332</v>
      </c>
      <c r="AB62" s="22">
        <f t="shared" si="17"/>
        <v>0.48421794201830248</v>
      </c>
      <c r="AC62" s="22">
        <f t="shared" si="17"/>
        <v>0.49858289829777308</v>
      </c>
      <c r="AD62" s="22">
        <f t="shared" si="17"/>
        <v>0.51686863289566187</v>
      </c>
      <c r="AE62" s="22">
        <f t="shared" si="17"/>
        <v>0.53655701311036041</v>
      </c>
      <c r="AF62" s="22">
        <f t="shared" si="17"/>
        <v>0.55701835701835767</v>
      </c>
      <c r="AG62" s="22">
        <f t="shared" si="17"/>
        <v>0.56333119928831021</v>
      </c>
      <c r="AH62" s="22">
        <f t="shared" si="17"/>
        <v>-0.13731688522656813</v>
      </c>
      <c r="AI62" s="22">
        <f t="shared" si="17"/>
        <v>-0.13862810897609068</v>
      </c>
      <c r="AJ62" s="22">
        <f t="shared" si="17"/>
        <v>-0.13994999382586637</v>
      </c>
      <c r="AK62" s="22">
        <f t="shared" si="17"/>
        <v>-0.14128264066794663</v>
      </c>
      <c r="AL62" s="22">
        <f t="shared" si="17"/>
        <v>-0.14262615130024825</v>
      </c>
      <c r="AM62" s="22">
        <f t="shared" si="17"/>
        <v>-0.14398062843440931</v>
      </c>
      <c r="AN62" s="22">
        <f t="shared" si="17"/>
        <v>-0.14506760905723812</v>
      </c>
      <c r="AO62" s="22">
        <f t="shared" si="17"/>
        <v>-0.14616208765425914</v>
      </c>
      <c r="AP62" s="22">
        <f t="shared" si="17"/>
        <v>-0.14726412356751001</v>
      </c>
      <c r="AQ62" s="22">
        <f t="shared" si="17"/>
        <v>-0.14837377658692755</v>
      </c>
      <c r="AR62" s="22">
        <f t="shared" si="17"/>
        <v>-0.1494911069536225</v>
      </c>
      <c r="AS62" s="22">
        <f t="shared" si="17"/>
        <v>-0.15051381160807262</v>
      </c>
      <c r="AT62" s="22">
        <f t="shared" si="17"/>
        <v>-0.15154240205157654</v>
      </c>
      <c r="AU62" s="22">
        <f t="shared" si="17"/>
        <v>-0.15257691722009936</v>
      </c>
      <c r="AV62" s="22">
        <f t="shared" si="17"/>
        <v>-0.15361739629374987</v>
      </c>
      <c r="AW62" s="22">
        <f t="shared" si="17"/>
        <v>-0.15466387869825843</v>
      </c>
      <c r="AY62" s="85"/>
    </row>
    <row r="63" spans="1:51" x14ac:dyDescent="0.25">
      <c r="A63" s="102" t="str">
        <f t="shared" si="0"/>
        <v>FS Organic</v>
      </c>
      <c r="B63" s="102" t="s">
        <v>1005</v>
      </c>
      <c r="C63" s="102" t="s">
        <v>1128</v>
      </c>
      <c r="D63" t="s">
        <v>369</v>
      </c>
      <c r="E63" t="s">
        <v>55</v>
      </c>
      <c r="F63" t="s">
        <v>421</v>
      </c>
      <c r="G63" t="s">
        <v>1165</v>
      </c>
      <c r="H63" t="s">
        <v>1166</v>
      </c>
      <c r="I63" t="s">
        <v>139</v>
      </c>
      <c r="J63" t="s">
        <v>287</v>
      </c>
      <c r="K63" s="22">
        <f t="shared" si="16"/>
        <v>5.8358562487318792E-2</v>
      </c>
      <c r="L63" s="22">
        <f t="shared" si="17"/>
        <v>5.839043159926547E-2</v>
      </c>
      <c r="M63" s="22">
        <f t="shared" si="17"/>
        <v>5.8461792662766042E-2</v>
      </c>
      <c r="N63" s="22">
        <f t="shared" si="17"/>
        <v>5.8569206044707944E-2</v>
      </c>
      <c r="O63" s="22">
        <f t="shared" si="17"/>
        <v>5.87141088514554E-2</v>
      </c>
      <c r="P63" s="22">
        <f t="shared" si="17"/>
        <v>5.8896654838927982E-2</v>
      </c>
      <c r="Q63" s="22">
        <f t="shared" si="17"/>
        <v>5.9100003668857495E-2</v>
      </c>
      <c r="R63" s="22">
        <f t="shared" si="17"/>
        <v>5.9320387521670827E-2</v>
      </c>
      <c r="S63" s="22">
        <f t="shared" si="17"/>
        <v>5.9527484870119066E-2</v>
      </c>
      <c r="T63" s="22">
        <f t="shared" si="17"/>
        <v>5.9613993442869086E-2</v>
      </c>
      <c r="U63" s="22">
        <f t="shared" si="17"/>
        <v>5.9714376068116658E-2</v>
      </c>
      <c r="V63" s="22">
        <f t="shared" si="17"/>
        <v>5.9828612163064419E-2</v>
      </c>
      <c r="W63" s="22">
        <f t="shared" si="17"/>
        <v>5.9957293598347332E-2</v>
      </c>
      <c r="X63" s="22">
        <f t="shared" si="17"/>
        <v>6.0098357419229781E-2</v>
      </c>
      <c r="Y63" s="22">
        <f t="shared" si="17"/>
        <v>6.0185192959010252E-2</v>
      </c>
      <c r="Z63" s="22">
        <f t="shared" si="17"/>
        <v>6.0282190049865431E-2</v>
      </c>
      <c r="AA63" s="22">
        <f t="shared" si="17"/>
        <v>6.0389700688940708E-2</v>
      </c>
      <c r="AB63" s="22">
        <f t="shared" si="17"/>
        <v>6.0506073039024895E-2</v>
      </c>
      <c r="AC63" s="22">
        <f t="shared" si="17"/>
        <v>6.0631723200139168E-2</v>
      </c>
      <c r="AD63" s="22">
        <f t="shared" si="17"/>
        <v>6.0714441042505521E-2</v>
      </c>
      <c r="AE63" s="22">
        <f t="shared" si="17"/>
        <v>6.0805859526171006E-2</v>
      </c>
      <c r="AF63" s="22">
        <f t="shared" si="17"/>
        <v>6.0905156479066316E-2</v>
      </c>
      <c r="AG63" s="22">
        <f t="shared" si="17"/>
        <v>6.1001089999952796E-2</v>
      </c>
      <c r="AH63" s="22">
        <f t="shared" si="17"/>
        <v>6.0590945473242341E-2</v>
      </c>
      <c r="AI63" s="22">
        <f t="shared" si="17"/>
        <v>6.0649192481063346E-2</v>
      </c>
      <c r="AJ63" s="22">
        <f t="shared" si="17"/>
        <v>6.0713468342713614E-2</v>
      </c>
      <c r="AK63" s="22">
        <f t="shared" si="17"/>
        <v>6.0783545293153662E-2</v>
      </c>
      <c r="AL63" s="22">
        <f t="shared" si="17"/>
        <v>6.0859213172163779E-2</v>
      </c>
      <c r="AM63" s="22">
        <f t="shared" si="17"/>
        <v>6.0940277753779866E-2</v>
      </c>
      <c r="AN63" s="22">
        <f t="shared" si="17"/>
        <v>6.0979618468756831E-2</v>
      </c>
      <c r="AO63" s="22">
        <f t="shared" si="17"/>
        <v>6.1023714022373471E-2</v>
      </c>
      <c r="AP63" s="22">
        <f t="shared" si="17"/>
        <v>6.1072398935034244E-2</v>
      </c>
      <c r="AQ63" s="22">
        <f t="shared" si="17"/>
        <v>6.112551905317741E-2</v>
      </c>
      <c r="AR63" s="22">
        <f t="shared" si="17"/>
        <v>6.1182930587073178E-2</v>
      </c>
      <c r="AS63" s="22">
        <f t="shared" si="17"/>
        <v>6.1197093314118836E-2</v>
      </c>
      <c r="AT63" s="22">
        <f t="shared" si="17"/>
        <v>6.1215064670682988E-2</v>
      </c>
      <c r="AU63" s="22">
        <f t="shared" si="17"/>
        <v>6.1236718515027384E-2</v>
      </c>
      <c r="AV63" s="22">
        <f t="shared" si="17"/>
        <v>6.1261936408176808E-2</v>
      </c>
      <c r="AW63" s="22">
        <f t="shared" si="17"/>
        <v>6.1290607021564164E-2</v>
      </c>
      <c r="AY63" s="85"/>
    </row>
    <row r="64" spans="1:51" x14ac:dyDescent="0.25">
      <c r="A64" s="102" t="str">
        <f t="shared" si="0"/>
        <v>FS Organic</v>
      </c>
      <c r="B64" s="102" t="s">
        <v>1005</v>
      </c>
      <c r="C64" s="102" t="s">
        <v>1128</v>
      </c>
      <c r="D64" t="s">
        <v>369</v>
      </c>
      <c r="E64" t="s">
        <v>55</v>
      </c>
      <c r="F64" t="s">
        <v>421</v>
      </c>
      <c r="G64" t="s">
        <v>1167</v>
      </c>
      <c r="H64" t="s">
        <v>1168</v>
      </c>
      <c r="I64" t="s">
        <v>139</v>
      </c>
      <c r="J64" t="s">
        <v>287</v>
      </c>
      <c r="K64" s="22">
        <f t="shared" si="16"/>
        <v>4.7495937116525173E-2</v>
      </c>
      <c r="L64" s="22">
        <f t="shared" si="17"/>
        <v>4.7521874241643836E-2</v>
      </c>
      <c r="M64" s="22">
        <f t="shared" si="17"/>
        <v>4.7579952447139875E-2</v>
      </c>
      <c r="N64" s="22">
        <f t="shared" si="17"/>
        <v>4.7667372339213025E-2</v>
      </c>
      <c r="O64" s="22">
        <f t="shared" si="17"/>
        <v>4.7785303527096222E-2</v>
      </c>
      <c r="P64" s="22">
        <f t="shared" si="17"/>
        <v>4.7933871147207763E-2</v>
      </c>
      <c r="Q64" s="22">
        <f t="shared" si="17"/>
        <v>4.8099369453324381E-2</v>
      </c>
      <c r="R64" s="22">
        <f t="shared" si="17"/>
        <v>4.8278731952477678E-2</v>
      </c>
      <c r="S64" s="22">
        <f t="shared" si="17"/>
        <v>4.8447281043127996E-2</v>
      </c>
      <c r="T64" s="22">
        <f t="shared" si="17"/>
        <v>4.8517687262134283E-2</v>
      </c>
      <c r="U64" s="22">
        <f t="shared" si="17"/>
        <v>4.8599385073957294E-2</v>
      </c>
      <c r="V64" s="22">
        <f t="shared" si="17"/>
        <v>4.8692357726997801E-2</v>
      </c>
      <c r="W64" s="22">
        <f t="shared" si="17"/>
        <v>4.8797086923498996E-2</v>
      </c>
      <c r="X64" s="22">
        <f t="shared" si="17"/>
        <v>4.8911893698725943E-2</v>
      </c>
      <c r="Y64" s="22">
        <f t="shared" si="17"/>
        <v>4.8982566024450037E-2</v>
      </c>
      <c r="Z64" s="22">
        <f t="shared" si="17"/>
        <v>4.9061508471477298E-2</v>
      </c>
      <c r="AA64" s="22">
        <f t="shared" si="17"/>
        <v>4.9149007517636747E-2</v>
      </c>
      <c r="AB64" s="22">
        <f t="shared" si="17"/>
        <v>4.9243718791974624E-2</v>
      </c>
      <c r="AC64" s="22">
        <f t="shared" si="17"/>
        <v>4.9345980943347217E-2</v>
      </c>
      <c r="AD64" s="22">
        <f t="shared" si="17"/>
        <v>4.941330202309966E-2</v>
      </c>
      <c r="AE64" s="22">
        <f t="shared" si="17"/>
        <v>4.9487704242181185E-2</v>
      </c>
      <c r="AF64" s="22">
        <f t="shared" si="17"/>
        <v>4.9568518464286178E-2</v>
      </c>
      <c r="AG64" s="22">
        <f t="shared" si="17"/>
        <v>4.9646595309931256E-2</v>
      </c>
      <c r="AH64" s="22">
        <f t="shared" si="17"/>
        <v>4.9312793416617665E-2</v>
      </c>
      <c r="AI64" s="22">
        <f t="shared" si="17"/>
        <v>4.9360198563399564E-2</v>
      </c>
      <c r="AJ64" s="22">
        <f t="shared" si="17"/>
        <v>4.9412510377689269E-2</v>
      </c>
      <c r="AK64" s="22">
        <f t="shared" si="17"/>
        <v>4.9469543489705052E-2</v>
      </c>
      <c r="AL64" s="22">
        <f t="shared" si="17"/>
        <v>4.9531126857595344E-2</v>
      </c>
      <c r="AM64" s="22">
        <f t="shared" si="17"/>
        <v>4.9597102407826756E-2</v>
      </c>
      <c r="AN64" s="22">
        <f t="shared" si="17"/>
        <v>4.9629120402188261E-2</v>
      </c>
      <c r="AO64" s="22">
        <f t="shared" si="17"/>
        <v>4.9665008188871658E-2</v>
      </c>
      <c r="AP64" s="22">
        <f t="shared" si="17"/>
        <v>4.9704631089979995E-2</v>
      </c>
      <c r="AQ64" s="22">
        <f t="shared" si="17"/>
        <v>4.9747863645468307E-2</v>
      </c>
      <c r="AR64" s="22">
        <f t="shared" si="17"/>
        <v>4.9794588830042001E-2</v>
      </c>
      <c r="AS64" s="22">
        <f t="shared" si="17"/>
        <v>4.9806115364700997E-2</v>
      </c>
      <c r="AT64" s="22">
        <f t="shared" si="17"/>
        <v>4.9820741606076545E-2</v>
      </c>
      <c r="AU64" s="22">
        <f t="shared" si="17"/>
        <v>4.9838364891940323E-2</v>
      </c>
      <c r="AV64" s="22">
        <f t="shared" si="17"/>
        <v>4.9858888829066014E-2</v>
      </c>
      <c r="AW64" s="22">
        <f t="shared" si="17"/>
        <v>4.988222281113306E-2</v>
      </c>
      <c r="AY64" s="85"/>
    </row>
    <row r="65" spans="1:51" x14ac:dyDescent="0.25">
      <c r="A65" s="102" t="str">
        <f t="shared" si="0"/>
        <v>FS Organic</v>
      </c>
      <c r="B65" s="102" t="s">
        <v>1005</v>
      </c>
      <c r="C65" s="102" t="s">
        <v>1128</v>
      </c>
      <c r="D65" t="s">
        <v>369</v>
      </c>
      <c r="E65" t="s">
        <v>55</v>
      </c>
      <c r="F65" t="s">
        <v>421</v>
      </c>
      <c r="G65" t="s">
        <v>1169</v>
      </c>
      <c r="H65" t="s">
        <v>1170</v>
      </c>
      <c r="I65" t="s">
        <v>139</v>
      </c>
      <c r="J65" t="s">
        <v>287</v>
      </c>
      <c r="K65" s="22">
        <f t="shared" si="16"/>
        <v>7.2138531984991348E-3</v>
      </c>
      <c r="L65" s="22">
        <f t="shared" si="17"/>
        <v>7.2326686364155846E-3</v>
      </c>
      <c r="M65" s="22">
        <f t="shared" si="17"/>
        <v>7.2577418741351651E-3</v>
      </c>
      <c r="N65" s="22">
        <f t="shared" si="17"/>
        <v>7.2885154843188495E-3</v>
      </c>
      <c r="O65" s="22">
        <f t="shared" si="17"/>
        <v>7.3253592647283981E-3</v>
      </c>
      <c r="P65" s="22">
        <f t="shared" si="17"/>
        <v>7.3683712611583496E-3</v>
      </c>
      <c r="Q65" s="22">
        <f t="shared" si="17"/>
        <v>7.4143590148475543E-3</v>
      </c>
      <c r="R65" s="22">
        <f t="shared" si="17"/>
        <v>7.4626649386195258E-3</v>
      </c>
      <c r="S65" s="22">
        <f t="shared" si="17"/>
        <v>7.5075390200834997E-3</v>
      </c>
      <c r="T65" s="22">
        <f t="shared" si="17"/>
        <v>7.5285683818169559E-3</v>
      </c>
      <c r="U65" s="22">
        <f t="shared" si="17"/>
        <v>7.551628242645091E-3</v>
      </c>
      <c r="V65" s="22">
        <f t="shared" si="17"/>
        <v>7.5767478661135802E-3</v>
      </c>
      <c r="W65" s="22">
        <f t="shared" si="17"/>
        <v>7.6040674331418288E-3</v>
      </c>
      <c r="X65" s="22">
        <f t="shared" si="17"/>
        <v>7.6332191171963838E-3</v>
      </c>
      <c r="Y65" s="22">
        <f t="shared" si="17"/>
        <v>7.6516457516964944E-3</v>
      </c>
      <c r="Z65" s="22">
        <f t="shared" si="17"/>
        <v>7.671582433208788E-3</v>
      </c>
      <c r="AA65" s="22">
        <f t="shared" si="17"/>
        <v>7.6931116410769856E-3</v>
      </c>
      <c r="AB65" s="22">
        <f t="shared" si="17"/>
        <v>7.715936982347839E-3</v>
      </c>
      <c r="AC65" s="22">
        <f t="shared" si="17"/>
        <v>7.7401497609019794E-3</v>
      </c>
      <c r="AD65" s="22">
        <f t="shared" si="17"/>
        <v>7.7560075231361287E-3</v>
      </c>
      <c r="AE65" s="22">
        <f t="shared" si="17"/>
        <v>7.7732053799270803E-3</v>
      </c>
      <c r="AF65" s="22">
        <f t="shared" si="17"/>
        <v>7.791597942347143E-3</v>
      </c>
      <c r="AG65" s="22">
        <f t="shared" si="17"/>
        <v>7.8091049737688241E-3</v>
      </c>
      <c r="AH65" s="22">
        <f t="shared" si="17"/>
        <v>7.7325738697111325E-3</v>
      </c>
      <c r="AI65" s="22">
        <f t="shared" si="17"/>
        <v>7.7428137523622292E-3</v>
      </c>
      <c r="AJ65" s="22">
        <f t="shared" si="17"/>
        <v>7.7539717945612581E-3</v>
      </c>
      <c r="AK65" s="22">
        <f t="shared" si="17"/>
        <v>7.7660107090851711E-3</v>
      </c>
      <c r="AL65" s="22">
        <f t="shared" si="17"/>
        <v>7.7788961009166192E-3</v>
      </c>
      <c r="AM65" s="22">
        <f t="shared" si="17"/>
        <v>7.7925961903206999E-3</v>
      </c>
      <c r="AN65" s="22">
        <f t="shared" si="17"/>
        <v>7.7984769319172685E-3</v>
      </c>
      <c r="AO65" s="22">
        <f t="shared" si="17"/>
        <v>7.8050916075083259E-3</v>
      </c>
      <c r="AP65" s="22">
        <f t="shared" si="17"/>
        <v>7.8124125478177013E-3</v>
      </c>
      <c r="AQ65" s="22">
        <f t="shared" si="17"/>
        <v>7.8204139817466406E-3</v>
      </c>
      <c r="AR65" s="22">
        <f t="shared" si="17"/>
        <v>7.8290718737514843E-3</v>
      </c>
      <c r="AS65" s="22">
        <f t="shared" si="17"/>
        <v>7.8297473619786898E-3</v>
      </c>
      <c r="AT65" s="22">
        <f t="shared" si="17"/>
        <v>7.8310235836071794E-3</v>
      </c>
      <c r="AU65" s="22">
        <f t="shared" si="17"/>
        <v>7.8328789644581572E-3</v>
      </c>
      <c r="AV65" s="22">
        <f t="shared" si="17"/>
        <v>7.835293250883028E-3</v>
      </c>
      <c r="AW65" s="22">
        <f t="shared" si="17"/>
        <v>7.8382474074589117E-3</v>
      </c>
      <c r="AY65" s="85"/>
    </row>
    <row r="66" spans="1:51" x14ac:dyDescent="0.25">
      <c r="A66" s="102" t="str">
        <f t="shared" si="0"/>
        <v>FS Organic</v>
      </c>
      <c r="B66" s="102" t="s">
        <v>1005</v>
      </c>
      <c r="C66" s="102" t="s">
        <v>1128</v>
      </c>
      <c r="D66" t="s">
        <v>369</v>
      </c>
      <c r="E66" t="s">
        <v>55</v>
      </c>
      <c r="F66" t="s">
        <v>421</v>
      </c>
      <c r="G66" t="s">
        <v>1171</v>
      </c>
      <c r="H66" t="s">
        <v>1172</v>
      </c>
      <c r="I66" t="s">
        <v>139</v>
      </c>
      <c r="J66" t="s">
        <v>287</v>
      </c>
      <c r="K66" s="22">
        <f t="shared" si="16"/>
        <v>8.7042781172852426E-2</v>
      </c>
      <c r="L66" s="22">
        <f t="shared" si="17"/>
        <v>8.7269809364329015E-2</v>
      </c>
      <c r="M66" s="22">
        <f t="shared" si="17"/>
        <v>8.7572344539923463E-2</v>
      </c>
      <c r="N66" s="22">
        <f t="shared" si="17"/>
        <v>8.7943660748253619E-2</v>
      </c>
      <c r="O66" s="22">
        <f t="shared" si="17"/>
        <v>8.8388219991077738E-2</v>
      </c>
      <c r="P66" s="22">
        <f t="shared" si="17"/>
        <v>8.8907205294776276E-2</v>
      </c>
      <c r="Q66" s="22">
        <f t="shared" si="17"/>
        <v>8.9462096262315383E-2</v>
      </c>
      <c r="R66" s="22">
        <f t="shared" si="17"/>
        <v>9.0044958407765094E-2</v>
      </c>
      <c r="S66" s="22">
        <f t="shared" si="17"/>
        <v>9.058641174008604E-2</v>
      </c>
      <c r="T66" s="22">
        <f t="shared" si="17"/>
        <v>9.0840153267838591E-2</v>
      </c>
      <c r="U66" s="22">
        <f t="shared" si="17"/>
        <v>9.1118394918272713E-2</v>
      </c>
      <c r="V66" s="22">
        <f t="shared" si="17"/>
        <v>9.1421489787068641E-2</v>
      </c>
      <c r="W66" s="22">
        <f t="shared" si="17"/>
        <v>9.1751129305526188E-2</v>
      </c>
      <c r="X66" s="22">
        <f t="shared" si="17"/>
        <v>9.2102875256845074E-2</v>
      </c>
      <c r="Y66" s="22">
        <f t="shared" si="17"/>
        <v>9.232521212320649E-2</v>
      </c>
      <c r="Z66" s="22">
        <f t="shared" si="17"/>
        <v>9.2565769306508783E-2</v>
      </c>
      <c r="AA66" s="22">
        <f t="shared" si="17"/>
        <v>9.2825542007412429E-2</v>
      </c>
      <c r="AB66" s="22">
        <f t="shared" si="17"/>
        <v>9.3100953930938646E-2</v>
      </c>
      <c r="AC66" s="22">
        <f t="shared" si="17"/>
        <v>9.339310675513432E-2</v>
      </c>
      <c r="AD66" s="22">
        <f t="shared" si="17"/>
        <v>9.3584447456151826E-2</v>
      </c>
      <c r="AE66" s="22">
        <f t="shared" si="17"/>
        <v>9.3791957817689064E-2</v>
      </c>
      <c r="AF66" s="22">
        <f t="shared" si="17"/>
        <v>9.4013883568308809E-2</v>
      </c>
      <c r="AG66" s="22">
        <f t="shared" si="17"/>
        <v>9.4225124449304393E-2</v>
      </c>
      <c r="AH66" s="22">
        <f t="shared" si="17"/>
        <v>9.3301695602041948E-2</v>
      </c>
      <c r="AI66" s="22">
        <f t="shared" si="17"/>
        <v>9.342525063432626E-2</v>
      </c>
      <c r="AJ66" s="22">
        <f t="shared" si="17"/>
        <v>9.3559884234251725E-2</v>
      </c>
      <c r="AK66" s="22">
        <f t="shared" si="17"/>
        <v>9.370514649197019E-2</v>
      </c>
      <c r="AL66" s="22">
        <f t="shared" si="17"/>
        <v>9.3860622395159451E-2</v>
      </c>
      <c r="AM66" s="22">
        <f t="shared" si="17"/>
        <v>9.4025928487650484E-2</v>
      </c>
      <c r="AN66" s="22">
        <f t="shared" si="17"/>
        <v>9.4096885865051882E-2</v>
      </c>
      <c r="AO66" s="22">
        <f t="shared" si="17"/>
        <v>9.4176698933624112E-2</v>
      </c>
      <c r="AP66" s="22">
        <f t="shared" si="17"/>
        <v>9.4265033834237441E-2</v>
      </c>
      <c r="AQ66" s="22">
        <f t="shared" si="17"/>
        <v>9.4361579611283539E-2</v>
      </c>
      <c r="AR66" s="22">
        <f t="shared" si="17"/>
        <v>9.4466046250465022E-2</v>
      </c>
      <c r="AS66" s="22">
        <f t="shared" si="17"/>
        <v>9.4474196731536342E-2</v>
      </c>
      <c r="AT66" s="22">
        <f t="shared" si="17"/>
        <v>9.4489595697509143E-2</v>
      </c>
      <c r="AU66" s="22">
        <f t="shared" si="17"/>
        <v>9.4511982833060726E-2</v>
      </c>
      <c r="AV66" s="22">
        <f t="shared" si="17"/>
        <v>9.4541113756464096E-2</v>
      </c>
      <c r="AW66" s="22">
        <f t="shared" si="17"/>
        <v>9.4576758785176129E-2</v>
      </c>
      <c r="AY66" s="85"/>
    </row>
    <row r="67" spans="1:51" x14ac:dyDescent="0.25">
      <c r="A67" s="102" t="str">
        <f t="shared" si="0"/>
        <v>FS Organic</v>
      </c>
      <c r="B67" s="102" t="s">
        <v>1005</v>
      </c>
      <c r="C67" s="102" t="s">
        <v>1128</v>
      </c>
      <c r="D67" t="s">
        <v>369</v>
      </c>
      <c r="E67" t="s">
        <v>55</v>
      </c>
      <c r="F67" t="s">
        <v>421</v>
      </c>
      <c r="G67" t="s">
        <v>1173</v>
      </c>
      <c r="H67" t="s">
        <v>1174</v>
      </c>
      <c r="I67" t="s">
        <v>139</v>
      </c>
      <c r="J67" t="s">
        <v>287</v>
      </c>
      <c r="K67" s="22">
        <f t="shared" si="16"/>
        <v>0</v>
      </c>
      <c r="L67" s="22">
        <f t="shared" si="17"/>
        <v>0</v>
      </c>
      <c r="M67" s="22">
        <f t="shared" si="17"/>
        <v>0</v>
      </c>
      <c r="N67" s="22">
        <f t="shared" si="17"/>
        <v>0</v>
      </c>
      <c r="O67" s="22">
        <f t="shared" si="17"/>
        <v>0</v>
      </c>
      <c r="P67" s="22">
        <f t="shared" si="17"/>
        <v>0</v>
      </c>
      <c r="Q67" s="22">
        <f t="shared" si="17"/>
        <v>0</v>
      </c>
      <c r="R67" s="22">
        <f t="shared" si="17"/>
        <v>0</v>
      </c>
      <c r="S67" s="22">
        <f t="shared" si="17"/>
        <v>0</v>
      </c>
      <c r="T67" s="22">
        <f t="shared" si="17"/>
        <v>0</v>
      </c>
      <c r="U67" s="22">
        <f t="shared" si="17"/>
        <v>0</v>
      </c>
      <c r="V67" s="22">
        <f t="shared" si="17"/>
        <v>0</v>
      </c>
      <c r="W67" s="22">
        <f t="shared" si="17"/>
        <v>0</v>
      </c>
      <c r="X67" s="22">
        <f t="shared" si="17"/>
        <v>0</v>
      </c>
      <c r="Y67" s="22">
        <f t="shared" si="17"/>
        <v>0</v>
      </c>
      <c r="Z67" s="22">
        <f t="shared" si="17"/>
        <v>0</v>
      </c>
      <c r="AA67" s="22">
        <f t="shared" si="17"/>
        <v>0</v>
      </c>
      <c r="AB67" s="22">
        <f t="shared" si="17"/>
        <v>0</v>
      </c>
      <c r="AC67" s="22">
        <f t="shared" si="17"/>
        <v>0</v>
      </c>
      <c r="AD67" s="22">
        <f t="shared" si="17"/>
        <v>0</v>
      </c>
      <c r="AE67" s="22">
        <f t="shared" si="17"/>
        <v>0</v>
      </c>
      <c r="AF67" s="22">
        <f t="shared" si="17"/>
        <v>0</v>
      </c>
      <c r="AG67" s="22">
        <f t="shared" si="17"/>
        <v>0</v>
      </c>
      <c r="AH67" s="22">
        <f t="shared" si="17"/>
        <v>0</v>
      </c>
      <c r="AI67" s="22">
        <f t="shared" si="17"/>
        <v>0</v>
      </c>
      <c r="AJ67" s="22">
        <f t="shared" si="17"/>
        <v>0</v>
      </c>
      <c r="AK67" s="22">
        <f t="shared" si="17"/>
        <v>0</v>
      </c>
      <c r="AL67" s="22">
        <f t="shared" si="17"/>
        <v>0</v>
      </c>
      <c r="AM67" s="22">
        <f t="shared" si="17"/>
        <v>0</v>
      </c>
      <c r="AN67" s="22">
        <f t="shared" si="17"/>
        <v>0</v>
      </c>
      <c r="AO67" s="22">
        <f t="shared" si="17"/>
        <v>0</v>
      </c>
      <c r="AP67" s="22">
        <f t="shared" si="17"/>
        <v>0</v>
      </c>
      <c r="AQ67" s="22">
        <f t="shared" ref="L67:AW74" si="18">AQ1476</f>
        <v>0</v>
      </c>
      <c r="AR67" s="22">
        <f t="shared" si="18"/>
        <v>0</v>
      </c>
      <c r="AS67" s="22">
        <f t="shared" si="18"/>
        <v>0</v>
      </c>
      <c r="AT67" s="22">
        <f t="shared" si="18"/>
        <v>0</v>
      </c>
      <c r="AU67" s="22">
        <f t="shared" si="18"/>
        <v>0</v>
      </c>
      <c r="AV67" s="22">
        <f t="shared" si="18"/>
        <v>0</v>
      </c>
      <c r="AW67" s="22">
        <f t="shared" si="18"/>
        <v>0</v>
      </c>
      <c r="AY67" s="85"/>
    </row>
    <row r="68" spans="1:51" x14ac:dyDescent="0.25">
      <c r="A68" s="102" t="str">
        <f t="shared" si="0"/>
        <v>FS Organic</v>
      </c>
      <c r="B68" s="102" t="s">
        <v>1005</v>
      </c>
      <c r="C68" s="102" t="s">
        <v>1128</v>
      </c>
      <c r="D68" t="s">
        <v>369</v>
      </c>
      <c r="E68" t="s">
        <v>55</v>
      </c>
      <c r="F68" t="s">
        <v>421</v>
      </c>
      <c r="G68" t="s">
        <v>1175</v>
      </c>
      <c r="H68" t="s">
        <v>1176</v>
      </c>
      <c r="I68" t="s">
        <v>139</v>
      </c>
      <c r="J68" t="s">
        <v>287</v>
      </c>
      <c r="K68" s="22">
        <f t="shared" si="16"/>
        <v>0</v>
      </c>
      <c r="L68" s="22">
        <f t="shared" si="18"/>
        <v>0</v>
      </c>
      <c r="M68" s="22">
        <f t="shared" si="18"/>
        <v>0</v>
      </c>
      <c r="N68" s="22">
        <f t="shared" si="18"/>
        <v>0</v>
      </c>
      <c r="O68" s="22">
        <f t="shared" si="18"/>
        <v>0</v>
      </c>
      <c r="P68" s="22">
        <f t="shared" si="18"/>
        <v>0</v>
      </c>
      <c r="Q68" s="22">
        <f t="shared" si="18"/>
        <v>0</v>
      </c>
      <c r="R68" s="22">
        <f t="shared" si="18"/>
        <v>0</v>
      </c>
      <c r="S68" s="22">
        <f t="shared" si="18"/>
        <v>0</v>
      </c>
      <c r="T68" s="22">
        <f t="shared" si="18"/>
        <v>0</v>
      </c>
      <c r="U68" s="22">
        <f t="shared" si="18"/>
        <v>0</v>
      </c>
      <c r="V68" s="22">
        <f t="shared" si="18"/>
        <v>0</v>
      </c>
      <c r="W68" s="22">
        <f t="shared" si="18"/>
        <v>0</v>
      </c>
      <c r="X68" s="22">
        <f t="shared" si="18"/>
        <v>0</v>
      </c>
      <c r="Y68" s="22">
        <f t="shared" si="18"/>
        <v>0</v>
      </c>
      <c r="Z68" s="22">
        <f t="shared" si="18"/>
        <v>0</v>
      </c>
      <c r="AA68" s="22">
        <f t="shared" si="18"/>
        <v>0</v>
      </c>
      <c r="AB68" s="22">
        <f t="shared" si="18"/>
        <v>0</v>
      </c>
      <c r="AC68" s="22">
        <f t="shared" si="18"/>
        <v>0</v>
      </c>
      <c r="AD68" s="22">
        <f t="shared" si="18"/>
        <v>0</v>
      </c>
      <c r="AE68" s="22">
        <f t="shared" si="18"/>
        <v>0</v>
      </c>
      <c r="AF68" s="22">
        <f t="shared" si="18"/>
        <v>0</v>
      </c>
      <c r="AG68" s="22">
        <f t="shared" si="18"/>
        <v>0</v>
      </c>
      <c r="AH68" s="22">
        <f t="shared" si="18"/>
        <v>0</v>
      </c>
      <c r="AI68" s="22">
        <f t="shared" si="18"/>
        <v>0</v>
      </c>
      <c r="AJ68" s="22">
        <f t="shared" si="18"/>
        <v>0</v>
      </c>
      <c r="AK68" s="22">
        <f t="shared" si="18"/>
        <v>0</v>
      </c>
      <c r="AL68" s="22">
        <f t="shared" si="18"/>
        <v>0</v>
      </c>
      <c r="AM68" s="22">
        <f t="shared" si="18"/>
        <v>0</v>
      </c>
      <c r="AN68" s="22">
        <f t="shared" si="18"/>
        <v>0</v>
      </c>
      <c r="AO68" s="22">
        <f t="shared" si="18"/>
        <v>0</v>
      </c>
      <c r="AP68" s="22">
        <f t="shared" si="18"/>
        <v>0</v>
      </c>
      <c r="AQ68" s="22">
        <f t="shared" si="18"/>
        <v>0</v>
      </c>
      <c r="AR68" s="22">
        <f t="shared" si="18"/>
        <v>0</v>
      </c>
      <c r="AS68" s="22">
        <f t="shared" si="18"/>
        <v>0</v>
      </c>
      <c r="AT68" s="22">
        <f t="shared" si="18"/>
        <v>0</v>
      </c>
      <c r="AU68" s="22">
        <f t="shared" si="18"/>
        <v>0</v>
      </c>
      <c r="AV68" s="22">
        <f t="shared" si="18"/>
        <v>0</v>
      </c>
      <c r="AW68" s="22">
        <f t="shared" si="18"/>
        <v>0</v>
      </c>
      <c r="AY68" s="85"/>
    </row>
    <row r="69" spans="1:51" x14ac:dyDescent="0.25">
      <c r="A69" s="102" t="str">
        <f t="shared" si="0"/>
        <v>FS Organic</v>
      </c>
      <c r="B69" s="102" t="s">
        <v>1005</v>
      </c>
      <c r="C69" s="102" t="s">
        <v>1128</v>
      </c>
      <c r="D69" t="s">
        <v>369</v>
      </c>
      <c r="E69" t="s">
        <v>55</v>
      </c>
      <c r="F69" t="s">
        <v>421</v>
      </c>
      <c r="G69" t="s">
        <v>1177</v>
      </c>
      <c r="H69" t="s">
        <v>1178</v>
      </c>
      <c r="I69" t="s">
        <v>139</v>
      </c>
      <c r="J69" t="s">
        <v>287</v>
      </c>
      <c r="K69" s="22">
        <f t="shared" si="16"/>
        <v>0.125581463448449</v>
      </c>
      <c r="L69" s="22">
        <f t="shared" si="18"/>
        <v>0.125185082671006</v>
      </c>
      <c r="M69" s="22">
        <f t="shared" si="18"/>
        <v>0.12387425442661908</v>
      </c>
      <c r="N69" s="22">
        <f t="shared" si="18"/>
        <v>0.12132911183874903</v>
      </c>
      <c r="O69" s="22">
        <f t="shared" si="18"/>
        <v>0.1188953282361286</v>
      </c>
      <c r="P69" s="22">
        <f t="shared" si="18"/>
        <v>0.11718799777455163</v>
      </c>
      <c r="Q69" s="22">
        <f t="shared" si="18"/>
        <v>0.11574203128248971</v>
      </c>
      <c r="R69" s="22">
        <f t="shared" si="18"/>
        <v>0.11307943655863528</v>
      </c>
      <c r="S69" s="22">
        <f t="shared" si="18"/>
        <v>9.8992483819013391E-2</v>
      </c>
      <c r="T69" s="22">
        <f t="shared" si="18"/>
        <v>9.9621540773874098E-2</v>
      </c>
      <c r="U69" s="22">
        <f t="shared" si="18"/>
        <v>9.9937301593485559E-2</v>
      </c>
      <c r="V69" s="22">
        <f t="shared" si="18"/>
        <v>0.10024428291849223</v>
      </c>
      <c r="W69" s="22">
        <f t="shared" si="18"/>
        <v>0.10099411627265523</v>
      </c>
      <c r="X69" s="22">
        <f t="shared" si="18"/>
        <v>0.10171874148627991</v>
      </c>
      <c r="Y69" s="22">
        <f t="shared" si="18"/>
        <v>0.1025500722540789</v>
      </c>
      <c r="Z69" s="22">
        <f t="shared" si="18"/>
        <v>0.10324784841270714</v>
      </c>
      <c r="AA69" s="22">
        <f t="shared" si="18"/>
        <v>0.10408641302096616</v>
      </c>
      <c r="AB69" s="22">
        <f t="shared" si="18"/>
        <v>0.10469683987160423</v>
      </c>
      <c r="AC69" s="22">
        <f t="shared" si="18"/>
        <v>0.10533895546772398</v>
      </c>
      <c r="AD69" s="22">
        <f t="shared" si="18"/>
        <v>0.10652330160399656</v>
      </c>
      <c r="AE69" s="22">
        <f t="shared" si="18"/>
        <v>0.10790681124778287</v>
      </c>
      <c r="AF69" s="22">
        <f t="shared" si="18"/>
        <v>0.10933849435388519</v>
      </c>
      <c r="AG69" s="22">
        <f t="shared" si="18"/>
        <v>0.10772941024216406</v>
      </c>
      <c r="AH69" s="22">
        <f t="shared" si="18"/>
        <v>-3.634870651063056E-2</v>
      </c>
      <c r="AI69" s="22">
        <f t="shared" si="18"/>
        <v>-3.5951110371359889E-2</v>
      </c>
      <c r="AJ69" s="22">
        <f t="shared" si="18"/>
        <v>-3.5562030175799973E-2</v>
      </c>
      <c r="AK69" s="22">
        <f t="shared" si="18"/>
        <v>-3.5180908821616855E-2</v>
      </c>
      <c r="AL69" s="22">
        <f t="shared" si="18"/>
        <v>-3.4807229997572818E-2</v>
      </c>
      <c r="AM69" s="22">
        <f t="shared" si="18"/>
        <v>-3.4440514238790632E-2</v>
      </c>
      <c r="AN69" s="22">
        <f t="shared" si="18"/>
        <v>-3.4038300116717851E-2</v>
      </c>
      <c r="AO69" s="22">
        <f t="shared" si="18"/>
        <v>-3.3643177597525331E-2</v>
      </c>
      <c r="AP69" s="22">
        <f t="shared" si="18"/>
        <v>-3.325473249917061E-2</v>
      </c>
      <c r="AQ69" s="22">
        <f t="shared" si="18"/>
        <v>-3.2872577693066611E-2</v>
      </c>
      <c r="AR69" s="22">
        <f t="shared" si="18"/>
        <v>-3.2496350766594746E-2</v>
      </c>
      <c r="AS69" s="22">
        <f t="shared" si="18"/>
        <v>-3.2086347643088084E-2</v>
      </c>
      <c r="AT69" s="22">
        <f t="shared" si="18"/>
        <v>-3.1682606758135223E-2</v>
      </c>
      <c r="AU69" s="22">
        <f t="shared" si="18"/>
        <v>-3.1284805771392483E-2</v>
      </c>
      <c r="AV69" s="22">
        <f t="shared" si="18"/>
        <v>-3.0892641387511636E-2</v>
      </c>
      <c r="AW69" s="22">
        <f t="shared" si="18"/>
        <v>-3.0505827871256618E-2</v>
      </c>
      <c r="AY69" s="85"/>
    </row>
    <row r="70" spans="1:51" x14ac:dyDescent="0.25">
      <c r="A70" s="102" t="str">
        <f t="shared" si="0"/>
        <v>FS Organic</v>
      </c>
      <c r="B70" s="102" t="s">
        <v>1005</v>
      </c>
      <c r="C70" s="102" t="s">
        <v>1128</v>
      </c>
      <c r="D70" t="s">
        <v>369</v>
      </c>
      <c r="E70" t="s">
        <v>55</v>
      </c>
      <c r="F70" t="s">
        <v>421</v>
      </c>
      <c r="G70" t="s">
        <v>1179</v>
      </c>
      <c r="H70" t="s">
        <v>1180</v>
      </c>
      <c r="I70" t="s">
        <v>139</v>
      </c>
      <c r="J70" t="s">
        <v>287</v>
      </c>
      <c r="K70" s="22">
        <f t="shared" si="16"/>
        <v>3.1860496839281362E-2</v>
      </c>
      <c r="L70" s="22">
        <f t="shared" si="18"/>
        <v>3.1759933522370665E-2</v>
      </c>
      <c r="M70" s="22">
        <f t="shared" si="18"/>
        <v>3.1427371391063171E-2</v>
      </c>
      <c r="N70" s="22">
        <f t="shared" si="18"/>
        <v>3.0781658997293845E-2</v>
      </c>
      <c r="O70" s="22">
        <f t="shared" si="18"/>
        <v>3.0164198803332858E-2</v>
      </c>
      <c r="P70" s="22">
        <f t="shared" si="18"/>
        <v>2.973104254538711E-2</v>
      </c>
      <c r="Q70" s="22">
        <f t="shared" si="18"/>
        <v>2.9364195324587221E-2</v>
      </c>
      <c r="R70" s="22">
        <f t="shared" si="18"/>
        <v>2.8688684875400002E-2</v>
      </c>
      <c r="S70" s="22">
        <f t="shared" si="18"/>
        <v>2.5114771171009475E-2</v>
      </c>
      <c r="T70" s="22">
        <f t="shared" si="18"/>
        <v>2.5274365322659843E-2</v>
      </c>
      <c r="U70" s="22">
        <f t="shared" si="18"/>
        <v>2.535447504840236E-2</v>
      </c>
      <c r="V70" s="22">
        <f t="shared" si="18"/>
        <v>2.5432357382837084E-2</v>
      </c>
      <c r="W70" s="22">
        <f t="shared" si="18"/>
        <v>2.562259296820359E-2</v>
      </c>
      <c r="X70" s="22">
        <f t="shared" si="18"/>
        <v>2.5806433152052291E-2</v>
      </c>
      <c r="Y70" s="22">
        <f t="shared" si="18"/>
        <v>2.6017344942475328E-2</v>
      </c>
      <c r="Z70" s="22">
        <f t="shared" si="18"/>
        <v>2.6194373418542003E-2</v>
      </c>
      <c r="AA70" s="22">
        <f t="shared" si="18"/>
        <v>2.6407120461913867E-2</v>
      </c>
      <c r="AB70" s="22">
        <f t="shared" si="18"/>
        <v>2.6561988084979515E-2</v>
      </c>
      <c r="AC70" s="22">
        <f t="shared" si="18"/>
        <v>2.6724895263784808E-2</v>
      </c>
      <c r="AD70" s="22">
        <f t="shared" si="18"/>
        <v>2.7025368401261952E-2</v>
      </c>
      <c r="AE70" s="22">
        <f t="shared" si="18"/>
        <v>2.7376370081148127E-2</v>
      </c>
      <c r="AF70" s="22">
        <f t="shared" si="18"/>
        <v>2.7739593552385582E-2</v>
      </c>
      <c r="AG70" s="22">
        <f t="shared" si="18"/>
        <v>2.7331362768575094E-2</v>
      </c>
      <c r="AH70" s="22">
        <f t="shared" si="18"/>
        <v>-9.2218056478478912E-3</v>
      </c>
      <c r="AI70" s="22">
        <f t="shared" si="18"/>
        <v>-9.1209339890003793E-3</v>
      </c>
      <c r="AJ70" s="22">
        <f t="shared" si="18"/>
        <v>-9.0222228575924188E-3</v>
      </c>
      <c r="AK70" s="22">
        <f t="shared" si="18"/>
        <v>-8.9255309146344646E-3</v>
      </c>
      <c r="AL70" s="22">
        <f t="shared" si="18"/>
        <v>-8.8307271699938471E-3</v>
      </c>
      <c r="AM70" s="22">
        <f t="shared" si="18"/>
        <v>-8.7376899816002714E-3</v>
      </c>
      <c r="AN70" s="22">
        <f t="shared" si="18"/>
        <v>-8.6356467228810053E-3</v>
      </c>
      <c r="AO70" s="22">
        <f t="shared" si="18"/>
        <v>-8.5354026308934166E-3</v>
      </c>
      <c r="AP70" s="22">
        <f t="shared" si="18"/>
        <v>-8.436852626071684E-3</v>
      </c>
      <c r="AQ70" s="22">
        <f t="shared" si="18"/>
        <v>-8.3398984924149214E-3</v>
      </c>
      <c r="AR70" s="22">
        <f t="shared" si="18"/>
        <v>-8.2444482844578407E-3</v>
      </c>
      <c r="AS70" s="22">
        <f t="shared" si="18"/>
        <v>-8.1404289263306579E-3</v>
      </c>
      <c r="AT70" s="22">
        <f t="shared" si="18"/>
        <v>-8.0379983220384144E-3</v>
      </c>
      <c r="AU70" s="22">
        <f t="shared" si="18"/>
        <v>-7.9370746926049739E-3</v>
      </c>
      <c r="AV70" s="22">
        <f t="shared" si="18"/>
        <v>-7.8375810908422969E-3</v>
      </c>
      <c r="AW70" s="22">
        <f t="shared" si="18"/>
        <v>-7.7394450246298409E-3</v>
      </c>
      <c r="AY70" s="85"/>
    </row>
    <row r="71" spans="1:51" x14ac:dyDescent="0.25">
      <c r="A71" s="102" t="str">
        <f t="shared" si="0"/>
        <v>FS Organic</v>
      </c>
      <c r="B71" s="102" t="s">
        <v>1005</v>
      </c>
      <c r="C71" s="102" t="s">
        <v>1128</v>
      </c>
      <c r="D71" t="s">
        <v>369</v>
      </c>
      <c r="E71" t="s">
        <v>55</v>
      </c>
      <c r="F71" t="s">
        <v>421</v>
      </c>
      <c r="G71" t="s">
        <v>1181</v>
      </c>
      <c r="H71" t="s">
        <v>1182</v>
      </c>
      <c r="I71" t="s">
        <v>139</v>
      </c>
      <c r="J71" t="s">
        <v>287</v>
      </c>
      <c r="K71" s="22">
        <f t="shared" si="16"/>
        <v>0.1578659423422277</v>
      </c>
      <c r="L71" s="22">
        <f t="shared" si="18"/>
        <v>0.16128463868664497</v>
      </c>
      <c r="M71" s="22">
        <f t="shared" si="18"/>
        <v>0.16403927917478689</v>
      </c>
      <c r="N71" s="22">
        <f t="shared" si="18"/>
        <v>0.16583912134746412</v>
      </c>
      <c r="O71" s="22">
        <f t="shared" si="18"/>
        <v>0.16766339315982179</v>
      </c>
      <c r="P71" s="22">
        <f t="shared" si="18"/>
        <v>0.17001522372192687</v>
      </c>
      <c r="Q71" s="22">
        <f t="shared" si="18"/>
        <v>0.17253027929477446</v>
      </c>
      <c r="R71" s="22">
        <f t="shared" si="18"/>
        <v>0.17399291850067305</v>
      </c>
      <c r="S71" s="22">
        <f t="shared" si="18"/>
        <v>0.16557860027053409</v>
      </c>
      <c r="T71" s="22">
        <f t="shared" si="18"/>
        <v>0.1691333492046497</v>
      </c>
      <c r="U71" s="22">
        <f t="shared" si="18"/>
        <v>0.17245170747417515</v>
      </c>
      <c r="V71" s="22">
        <f t="shared" si="18"/>
        <v>0.17579626240036808</v>
      </c>
      <c r="W71" s="22">
        <f t="shared" si="18"/>
        <v>0.17959210165256231</v>
      </c>
      <c r="X71" s="22">
        <f t="shared" si="18"/>
        <v>0.18341947191943975</v>
      </c>
      <c r="Y71" s="22">
        <f t="shared" si="18"/>
        <v>0.18725170622309825</v>
      </c>
      <c r="Z71" s="22">
        <f t="shared" si="18"/>
        <v>0.19101002435789147</v>
      </c>
      <c r="AA71" s="22">
        <f t="shared" si="18"/>
        <v>0.19496806630989533</v>
      </c>
      <c r="AB71" s="22">
        <f t="shared" si="18"/>
        <v>0.1987521861165934</v>
      </c>
      <c r="AC71" s="22">
        <f t="shared" si="18"/>
        <v>0.20262605023407515</v>
      </c>
      <c r="AD71" s="22">
        <f t="shared" si="18"/>
        <v>0.20701826985045815</v>
      </c>
      <c r="AE71" s="22">
        <f t="shared" si="18"/>
        <v>0.21171320346850861</v>
      </c>
      <c r="AF71" s="22">
        <f t="shared" si="18"/>
        <v>0.21655584185518156</v>
      </c>
      <c r="AG71" s="22">
        <f t="shared" si="18"/>
        <v>0.21799724995986033</v>
      </c>
      <c r="AH71" s="22">
        <f t="shared" si="18"/>
        <v>5.2251952852615427E-2</v>
      </c>
      <c r="AI71" s="22">
        <f t="shared" si="18"/>
        <v>5.2653553300749806E-2</v>
      </c>
      <c r="AJ71" s="22">
        <f t="shared" si="18"/>
        <v>5.3058077706100888E-2</v>
      </c>
      <c r="AK71" s="22">
        <f t="shared" si="18"/>
        <v>5.3465548333796561E-2</v>
      </c>
      <c r="AL71" s="22">
        <f t="shared" si="18"/>
        <v>5.3875987550074486E-2</v>
      </c>
      <c r="AM71" s="22">
        <f t="shared" si="18"/>
        <v>5.4289417828860521E-2</v>
      </c>
      <c r="AN71" s="22">
        <f t="shared" si="18"/>
        <v>5.4642837788304699E-2</v>
      </c>
      <c r="AO71" s="22">
        <f t="shared" si="18"/>
        <v>5.4998439326322222E-2</v>
      </c>
      <c r="AP71" s="22">
        <f t="shared" si="18"/>
        <v>5.5356236623464276E-2</v>
      </c>
      <c r="AQ71" s="22">
        <f t="shared" si="18"/>
        <v>5.5716243907733665E-2</v>
      </c>
      <c r="AR71" s="22">
        <f t="shared" si="18"/>
        <v>5.6078475458306978E-2</v>
      </c>
      <c r="AS71" s="22">
        <f t="shared" si="18"/>
        <v>5.6378177516484766E-2</v>
      </c>
      <c r="AT71" s="22">
        <f t="shared" si="18"/>
        <v>5.6679397882174076E-2</v>
      </c>
      <c r="AU71" s="22">
        <f t="shared" si="18"/>
        <v>5.6982144790486855E-2</v>
      </c>
      <c r="AV71" s="22">
        <f t="shared" si="18"/>
        <v>5.7286426490389369E-2</v>
      </c>
      <c r="AW71" s="22">
        <f t="shared" si="18"/>
        <v>5.7592251246923687E-2</v>
      </c>
      <c r="AY71" s="85"/>
    </row>
    <row r="72" spans="1:51" x14ac:dyDescent="0.25">
      <c r="A72" s="102" t="str">
        <f t="shared" si="0"/>
        <v>FS Organic</v>
      </c>
      <c r="B72" s="102" t="s">
        <v>1005</v>
      </c>
      <c r="C72" s="102" t="s">
        <v>1128</v>
      </c>
      <c r="D72" t="s">
        <v>369</v>
      </c>
      <c r="E72" t="s">
        <v>55</v>
      </c>
      <c r="F72" t="s">
        <v>421</v>
      </c>
      <c r="G72" t="s">
        <v>1183</v>
      </c>
      <c r="H72" t="s">
        <v>1184</v>
      </c>
      <c r="I72" t="s">
        <v>139</v>
      </c>
      <c r="J72" t="s">
        <v>287</v>
      </c>
      <c r="K72" s="22">
        <f t="shared" si="16"/>
        <v>0.795414165570277</v>
      </c>
      <c r="L72" s="22">
        <f t="shared" si="18"/>
        <v>0.8083218557846692</v>
      </c>
      <c r="M72" s="22">
        <f t="shared" si="18"/>
        <v>0.81215441853464132</v>
      </c>
      <c r="N72" s="22">
        <f t="shared" si="18"/>
        <v>0.80356343008777875</v>
      </c>
      <c r="O72" s="22">
        <f t="shared" si="18"/>
        <v>0.79499088780116223</v>
      </c>
      <c r="P72" s="22">
        <f t="shared" si="18"/>
        <v>0.79250347923266529</v>
      </c>
      <c r="Q72" s="22">
        <f t="shared" si="18"/>
        <v>0.79198531109847847</v>
      </c>
      <c r="R72" s="22">
        <f t="shared" si="18"/>
        <v>0.77877476502438481</v>
      </c>
      <c r="S72" s="22">
        <f t="shared" si="18"/>
        <v>0.64890920680176789</v>
      </c>
      <c r="T72" s="22">
        <f t="shared" si="18"/>
        <v>0.66805040989248243</v>
      </c>
      <c r="U72" s="22">
        <f t="shared" si="18"/>
        <v>0.68404988485251483</v>
      </c>
      <c r="V72" s="22">
        <f t="shared" si="18"/>
        <v>0.70001053899583365</v>
      </c>
      <c r="W72" s="22">
        <f t="shared" si="18"/>
        <v>0.72077585420537182</v>
      </c>
      <c r="X72" s="22">
        <f t="shared" si="18"/>
        <v>0.74147883845948881</v>
      </c>
      <c r="Y72" s="22">
        <f t="shared" si="18"/>
        <v>0.76420933570691552</v>
      </c>
      <c r="Z72" s="22">
        <f t="shared" si="18"/>
        <v>0.78572613438626693</v>
      </c>
      <c r="AA72" s="22">
        <f t="shared" si="18"/>
        <v>0.80907791428846942</v>
      </c>
      <c r="AB72" s="22">
        <f t="shared" si="18"/>
        <v>0.8301336909980378</v>
      </c>
      <c r="AC72" s="22">
        <f t="shared" si="18"/>
        <v>0.85181121057445375</v>
      </c>
      <c r="AD72" s="22">
        <f t="shared" si="18"/>
        <v>0.88061906068467799</v>
      </c>
      <c r="AE72" s="22">
        <f t="shared" si="18"/>
        <v>0.91224642242202703</v>
      </c>
      <c r="AF72" s="22">
        <f t="shared" si="18"/>
        <v>0.9449892623330276</v>
      </c>
      <c r="AG72" s="22">
        <f t="shared" si="18"/>
        <v>0.94134312985108715</v>
      </c>
      <c r="AH72" s="22">
        <f t="shared" si="18"/>
        <v>-0.81638140263432868</v>
      </c>
      <c r="AI72" s="22">
        <f t="shared" si="18"/>
        <v>-0.81755111000616232</v>
      </c>
      <c r="AJ72" s="22">
        <f t="shared" si="18"/>
        <v>-0.81881979999269761</v>
      </c>
      <c r="AK72" s="22">
        <f t="shared" si="18"/>
        <v>-0.82018334185066777</v>
      </c>
      <c r="AL72" s="22">
        <f t="shared" si="18"/>
        <v>-0.82163792568162108</v>
      </c>
      <c r="AM72" s="22">
        <f t="shared" si="18"/>
        <v>-0.82318003161190867</v>
      </c>
      <c r="AN72" s="22">
        <f t="shared" si="18"/>
        <v>-0.82381473491699941</v>
      </c>
      <c r="AO72" s="22">
        <f t="shared" si="18"/>
        <v>-0.82452898483774906</v>
      </c>
      <c r="AP72" s="22">
        <f t="shared" si="18"/>
        <v>-0.82531969261957272</v>
      </c>
      <c r="AQ72" s="22">
        <f t="shared" si="18"/>
        <v>-0.82618398159490103</v>
      </c>
      <c r="AR72" s="22">
        <f t="shared" si="18"/>
        <v>-0.82711916895922855</v>
      </c>
      <c r="AS72" s="22">
        <f t="shared" si="18"/>
        <v>-0.82713235750266001</v>
      </c>
      <c r="AT72" s="22">
        <f t="shared" si="18"/>
        <v>-0.82721120407880289</v>
      </c>
      <c r="AU72" s="22">
        <f t="shared" si="18"/>
        <v>-0.82735328113760953</v>
      </c>
      <c r="AV72" s="22">
        <f t="shared" si="18"/>
        <v>-0.82755630984608064</v>
      </c>
      <c r="AW72" s="22">
        <f t="shared" si="18"/>
        <v>-0.82781814853769387</v>
      </c>
      <c r="AY72" s="85"/>
    </row>
    <row r="73" spans="1:51" x14ac:dyDescent="0.25">
      <c r="A73" s="102" t="str">
        <f t="shared" si="0"/>
        <v>FS U&amp;D</v>
      </c>
      <c r="B73" s="102" t="s">
        <v>1005</v>
      </c>
      <c r="C73" s="102" t="s">
        <v>1337</v>
      </c>
      <c r="D73" t="s">
        <v>369</v>
      </c>
      <c r="E73" t="s">
        <v>55</v>
      </c>
      <c r="F73" t="s">
        <v>422</v>
      </c>
      <c r="G73" t="s">
        <v>1153</v>
      </c>
      <c r="H73" t="s">
        <v>1241</v>
      </c>
      <c r="I73" t="s">
        <v>139</v>
      </c>
      <c r="J73" t="s">
        <v>287</v>
      </c>
      <c r="K73" s="22">
        <f t="shared" si="16"/>
        <v>0</v>
      </c>
      <c r="L73" s="22">
        <f t="shared" si="18"/>
        <v>0</v>
      </c>
      <c r="M73" s="22">
        <f t="shared" si="18"/>
        <v>0</v>
      </c>
      <c r="N73" s="22">
        <f t="shared" si="18"/>
        <v>0</v>
      </c>
      <c r="O73" s="22">
        <f t="shared" si="18"/>
        <v>0</v>
      </c>
      <c r="P73" s="22">
        <f t="shared" si="18"/>
        <v>0</v>
      </c>
      <c r="Q73" s="22">
        <f t="shared" si="18"/>
        <v>0</v>
      </c>
      <c r="R73" s="22">
        <f t="shared" si="18"/>
        <v>0</v>
      </c>
      <c r="S73" s="22">
        <f t="shared" si="18"/>
        <v>0</v>
      </c>
      <c r="T73" s="22">
        <f t="shared" si="18"/>
        <v>0</v>
      </c>
      <c r="U73" s="22">
        <f t="shared" si="18"/>
        <v>0</v>
      </c>
      <c r="V73" s="22">
        <f t="shared" si="18"/>
        <v>0</v>
      </c>
      <c r="W73" s="22">
        <f t="shared" si="18"/>
        <v>0</v>
      </c>
      <c r="X73" s="22">
        <f t="shared" si="18"/>
        <v>0</v>
      </c>
      <c r="Y73" s="22">
        <f t="shared" si="18"/>
        <v>0</v>
      </c>
      <c r="Z73" s="22">
        <f t="shared" si="18"/>
        <v>0</v>
      </c>
      <c r="AA73" s="22">
        <f t="shared" si="18"/>
        <v>0</v>
      </c>
      <c r="AB73" s="22">
        <f t="shared" si="18"/>
        <v>0</v>
      </c>
      <c r="AC73" s="22">
        <f t="shared" si="18"/>
        <v>0</v>
      </c>
      <c r="AD73" s="22">
        <f t="shared" si="18"/>
        <v>0</v>
      </c>
      <c r="AE73" s="22">
        <f t="shared" si="18"/>
        <v>0</v>
      </c>
      <c r="AF73" s="22">
        <f t="shared" si="18"/>
        <v>0</v>
      </c>
      <c r="AG73" s="22">
        <f t="shared" si="18"/>
        <v>0</v>
      </c>
      <c r="AH73" s="22">
        <f t="shared" si="18"/>
        <v>0</v>
      </c>
      <c r="AI73" s="22">
        <f t="shared" si="18"/>
        <v>0</v>
      </c>
      <c r="AJ73" s="22">
        <f t="shared" si="18"/>
        <v>0</v>
      </c>
      <c r="AK73" s="22">
        <f t="shared" si="18"/>
        <v>0</v>
      </c>
      <c r="AL73" s="22">
        <f t="shared" si="18"/>
        <v>0</v>
      </c>
      <c r="AM73" s="22">
        <f t="shared" si="18"/>
        <v>0</v>
      </c>
      <c r="AN73" s="22">
        <f t="shared" si="18"/>
        <v>0</v>
      </c>
      <c r="AO73" s="22">
        <f t="shared" si="18"/>
        <v>0</v>
      </c>
      <c r="AP73" s="22">
        <f t="shared" si="18"/>
        <v>0</v>
      </c>
      <c r="AQ73" s="22">
        <f t="shared" si="18"/>
        <v>0</v>
      </c>
      <c r="AR73" s="22">
        <f t="shared" si="18"/>
        <v>0</v>
      </c>
      <c r="AS73" s="22">
        <f t="shared" si="18"/>
        <v>0</v>
      </c>
      <c r="AT73" s="22">
        <f t="shared" si="18"/>
        <v>0</v>
      </c>
      <c r="AU73" s="22">
        <f t="shared" si="18"/>
        <v>0</v>
      </c>
      <c r="AV73" s="22">
        <f t="shared" si="18"/>
        <v>0</v>
      </c>
      <c r="AW73" s="22">
        <f t="shared" si="18"/>
        <v>0</v>
      </c>
      <c r="AY73" s="85"/>
    </row>
    <row r="74" spans="1:51" x14ac:dyDescent="0.25">
      <c r="A74" s="102" t="str">
        <f t="shared" si="0"/>
        <v>FS U&amp;D</v>
      </c>
      <c r="B74" s="102" t="s">
        <v>1005</v>
      </c>
      <c r="C74" s="102" t="s">
        <v>1337</v>
      </c>
      <c r="D74" t="s">
        <v>369</v>
      </c>
      <c r="E74" t="s">
        <v>55</v>
      </c>
      <c r="F74" t="s">
        <v>422</v>
      </c>
      <c r="G74" t="s">
        <v>1155</v>
      </c>
      <c r="H74" t="s">
        <v>1242</v>
      </c>
      <c r="I74" t="s">
        <v>139</v>
      </c>
      <c r="J74" t="s">
        <v>287</v>
      </c>
      <c r="K74" s="22">
        <f t="shared" si="16"/>
        <v>1.0795326716636573</v>
      </c>
      <c r="L74" s="22">
        <f t="shared" si="18"/>
        <v>1.0862475469793051</v>
      </c>
      <c r="M74" s="22">
        <f t="shared" si="18"/>
        <v>1.0908641162595043</v>
      </c>
      <c r="N74" s="22">
        <f t="shared" si="18"/>
        <v>1.0923119403436279</v>
      </c>
      <c r="O74" s="22">
        <f t="shared" si="18"/>
        <v>1.0942706302876248</v>
      </c>
      <c r="P74" s="22">
        <f t="shared" si="18"/>
        <v>1.0985609054131558</v>
      </c>
      <c r="Q74" s="22">
        <f t="shared" si="18"/>
        <v>1.1037045101143446</v>
      </c>
      <c r="R74" s="22">
        <f t="shared" si="18"/>
        <v>1.105249702620553</v>
      </c>
      <c r="S74" s="22">
        <f t="shared" si="18"/>
        <v>1.0713187850060639</v>
      </c>
      <c r="T74" s="22">
        <f t="shared" si="18"/>
        <v>1.0801428769448762</v>
      </c>
      <c r="U74" s="22">
        <f t="shared" si="18"/>
        <v>1.0882343186562755</v>
      </c>
      <c r="V74" s="22">
        <f t="shared" si="18"/>
        <v>1.0965307426510265</v>
      </c>
      <c r="W74" s="22">
        <f t="shared" si="18"/>
        <v>1.1065249139358884</v>
      </c>
      <c r="X74" s="22">
        <f t="shared" si="18"/>
        <v>1.1167066198379636</v>
      </c>
      <c r="Y74" s="22">
        <f t="shared" si="18"/>
        <v>1.1266207343141128</v>
      </c>
      <c r="Z74" s="22">
        <f t="shared" si="18"/>
        <v>1.1363365093259761</v>
      </c>
      <c r="AA74" s="22">
        <f t="shared" si="18"/>
        <v>1.146801464584869</v>
      </c>
      <c r="AB74" s="22">
        <f t="shared" si="18"/>
        <v>1.156711571508408</v>
      </c>
      <c r="AC74" s="22">
        <f t="shared" si="18"/>
        <v>1.1669771470605725</v>
      </c>
      <c r="AD74" s="22">
        <f t="shared" si="18"/>
        <v>1.1787713566301137</v>
      </c>
      <c r="AE74" s="22">
        <f t="shared" si="18"/>
        <v>1.1916164906506355</v>
      </c>
      <c r="AF74" s="22">
        <f t="shared" ref="L74:AW81" si="19">AF1483</f>
        <v>1.2049714778557878</v>
      </c>
      <c r="AG74" s="22">
        <f t="shared" si="19"/>
        <v>1.2068369654753692</v>
      </c>
      <c r="AH74" s="22">
        <f t="shared" si="19"/>
        <v>0.64612873683850436</v>
      </c>
      <c r="AI74" s="22">
        <f t="shared" si="19"/>
        <v>0.64660396058025826</v>
      </c>
      <c r="AJ74" s="22">
        <f t="shared" si="19"/>
        <v>0.64714161069901732</v>
      </c>
      <c r="AK74" s="22">
        <f t="shared" si="19"/>
        <v>0.64773931439075094</v>
      </c>
      <c r="AL74" s="22">
        <f t="shared" si="19"/>
        <v>0.64839488159544112</v>
      </c>
      <c r="AM74" s="22">
        <f t="shared" si="19"/>
        <v>0.64910628767603584</v>
      </c>
      <c r="AN74" s="22">
        <f t="shared" si="19"/>
        <v>0.64941256924922242</v>
      </c>
      <c r="AO74" s="22">
        <f t="shared" si="19"/>
        <v>0.64976802465090699</v>
      </c>
      <c r="AP74" s="22">
        <f t="shared" si="19"/>
        <v>0.65017093639043266</v>
      </c>
      <c r="AQ74" s="22">
        <f t="shared" si="19"/>
        <v>0.65061970417317594</v>
      </c>
      <c r="AR74" s="22">
        <f t="shared" si="19"/>
        <v>0.65111283495552585</v>
      </c>
      <c r="AS74" s="22">
        <f t="shared" si="19"/>
        <v>0.65118489834837545</v>
      </c>
      <c r="AT74" s="22">
        <f t="shared" si="19"/>
        <v>0.65129629063948757</v>
      </c>
      <c r="AU74" s="22">
        <f t="shared" si="19"/>
        <v>0.65144570826558501</v>
      </c>
      <c r="AV74" s="22">
        <f t="shared" si="19"/>
        <v>0.65163192707531048</v>
      </c>
      <c r="AW74" s="22">
        <f t="shared" si="19"/>
        <v>0.6518537962289046</v>
      </c>
      <c r="AY74" s="85"/>
    </row>
    <row r="75" spans="1:51" x14ac:dyDescent="0.25">
      <c r="A75" s="102" t="str">
        <f t="shared" si="0"/>
        <v>FS U&amp;D</v>
      </c>
      <c r="B75" s="102" t="s">
        <v>1005</v>
      </c>
      <c r="C75" s="102" t="s">
        <v>1337</v>
      </c>
      <c r="D75" t="s">
        <v>369</v>
      </c>
      <c r="E75" t="s">
        <v>55</v>
      </c>
      <c r="F75" t="s">
        <v>422</v>
      </c>
      <c r="G75" t="s">
        <v>1157</v>
      </c>
      <c r="H75" t="s">
        <v>1243</v>
      </c>
      <c r="I75" t="s">
        <v>139</v>
      </c>
      <c r="J75" t="s">
        <v>287</v>
      </c>
      <c r="K75" s="22">
        <f t="shared" si="16"/>
        <v>0.73516913566022923</v>
      </c>
      <c r="L75" s="22">
        <f t="shared" si="19"/>
        <v>0.7397420116939516</v>
      </c>
      <c r="M75" s="22">
        <f t="shared" si="19"/>
        <v>0.74288592696073941</v>
      </c>
      <c r="N75" s="22">
        <f t="shared" si="19"/>
        <v>0.74387190506816692</v>
      </c>
      <c r="O75" s="22">
        <f t="shared" si="19"/>
        <v>0.74520578632155732</v>
      </c>
      <c r="P75" s="22">
        <f t="shared" si="19"/>
        <v>0.74812749303648285</v>
      </c>
      <c r="Q75" s="22">
        <f t="shared" si="19"/>
        <v>0.7516303230309872</v>
      </c>
      <c r="R75" s="22">
        <f t="shared" si="19"/>
        <v>0.75268260970005785</v>
      </c>
      <c r="S75" s="22">
        <f t="shared" si="19"/>
        <v>0.72957542264627473</v>
      </c>
      <c r="T75" s="22">
        <f t="shared" si="19"/>
        <v>0.73558468963181722</v>
      </c>
      <c r="U75" s="22">
        <f t="shared" si="19"/>
        <v>0.74109501679963463</v>
      </c>
      <c r="V75" s="22">
        <f t="shared" si="19"/>
        <v>0.74674493830492128</v>
      </c>
      <c r="W75" s="22">
        <f t="shared" si="19"/>
        <v>0.753551037330909</v>
      </c>
      <c r="X75" s="22">
        <f t="shared" si="19"/>
        <v>0.76048484871434763</v>
      </c>
      <c r="Y75" s="22">
        <f t="shared" si="19"/>
        <v>0.7672364285058465</v>
      </c>
      <c r="Z75" s="22">
        <f t="shared" si="19"/>
        <v>0.77385293776511066</v>
      </c>
      <c r="AA75" s="22">
        <f t="shared" si="19"/>
        <v>0.78097964389855901</v>
      </c>
      <c r="AB75" s="22">
        <f t="shared" si="19"/>
        <v>0.78772849451931037</v>
      </c>
      <c r="AC75" s="22">
        <f t="shared" si="19"/>
        <v>0.79471942170830334</v>
      </c>
      <c r="AD75" s="22">
        <f t="shared" si="19"/>
        <v>0.80275135912217765</v>
      </c>
      <c r="AE75" s="22">
        <f t="shared" si="19"/>
        <v>0.81149898327768732</v>
      </c>
      <c r="AF75" s="22">
        <f t="shared" si="19"/>
        <v>0.82059382094039046</v>
      </c>
      <c r="AG75" s="22">
        <f t="shared" si="19"/>
        <v>0.8218642307731554</v>
      </c>
      <c r="AH75" s="22">
        <f t="shared" si="19"/>
        <v>0.4400180906565429</v>
      </c>
      <c r="AI75" s="22">
        <f t="shared" si="19"/>
        <v>0.44034172127619964</v>
      </c>
      <c r="AJ75" s="22">
        <f t="shared" si="19"/>
        <v>0.44070786468572382</v>
      </c>
      <c r="AK75" s="22">
        <f t="shared" si="19"/>
        <v>0.44111490498933553</v>
      </c>
      <c r="AL75" s="22">
        <f t="shared" si="19"/>
        <v>0.44156135074117797</v>
      </c>
      <c r="AM75" s="22">
        <f t="shared" si="19"/>
        <v>0.44204582314956586</v>
      </c>
      <c r="AN75" s="22">
        <f t="shared" si="19"/>
        <v>0.44225440299651131</v>
      </c>
      <c r="AO75" s="22">
        <f t="shared" si="19"/>
        <v>0.44249647055711561</v>
      </c>
      <c r="AP75" s="22">
        <f t="shared" si="19"/>
        <v>0.44277085620848994</v>
      </c>
      <c r="AQ75" s="22">
        <f t="shared" si="19"/>
        <v>0.44307647013904683</v>
      </c>
      <c r="AR75" s="22">
        <f t="shared" si="19"/>
        <v>0.4434122955758712</v>
      </c>
      <c r="AS75" s="22">
        <f t="shared" si="19"/>
        <v>0.44346137123946583</v>
      </c>
      <c r="AT75" s="22">
        <f t="shared" si="19"/>
        <v>0.4435372301518688</v>
      </c>
      <c r="AU75" s="22">
        <f t="shared" si="19"/>
        <v>0.44363898457756984</v>
      </c>
      <c r="AV75" s="22">
        <f t="shared" si="19"/>
        <v>0.44376580086111833</v>
      </c>
      <c r="AW75" s="22">
        <f t="shared" si="19"/>
        <v>0.44391689527276407</v>
      </c>
      <c r="AY75" s="85"/>
    </row>
    <row r="76" spans="1:51" x14ac:dyDescent="0.25">
      <c r="A76" s="102" t="str">
        <f t="shared" si="0"/>
        <v>FS U&amp;D</v>
      </c>
      <c r="B76" s="102" t="s">
        <v>1005</v>
      </c>
      <c r="C76" s="102" t="s">
        <v>1337</v>
      </c>
      <c r="D76" t="s">
        <v>369</v>
      </c>
      <c r="E76" t="s">
        <v>55</v>
      </c>
      <c r="F76" t="s">
        <v>422</v>
      </c>
      <c r="G76" t="s">
        <v>1159</v>
      </c>
      <c r="H76" t="s">
        <v>1244</v>
      </c>
      <c r="I76" t="s">
        <v>139</v>
      </c>
      <c r="J76" t="s">
        <v>287</v>
      </c>
      <c r="K76" s="22">
        <f t="shared" si="16"/>
        <v>15.48880966403453</v>
      </c>
      <c r="L76" s="22">
        <f t="shared" si="19"/>
        <v>15.386143051197998</v>
      </c>
      <c r="M76" s="22">
        <f t="shared" si="19"/>
        <v>15.169677377989304</v>
      </c>
      <c r="N76" s="22">
        <f t="shared" si="19"/>
        <v>14.804794487947174</v>
      </c>
      <c r="O76" s="22">
        <f t="shared" si="19"/>
        <v>14.450776257626368</v>
      </c>
      <c r="P76" s="22">
        <f t="shared" si="19"/>
        <v>14.178486550067829</v>
      </c>
      <c r="Q76" s="22">
        <f t="shared" si="19"/>
        <v>13.932198413286633</v>
      </c>
      <c r="R76" s="22">
        <f t="shared" si="19"/>
        <v>13.544970185493053</v>
      </c>
      <c r="S76" s="22">
        <f t="shared" si="19"/>
        <v>11.879759863511568</v>
      </c>
      <c r="T76" s="22">
        <f t="shared" si="19"/>
        <v>11.992993022515481</v>
      </c>
      <c r="U76" s="22">
        <f t="shared" si="19"/>
        <v>12.069614819396085</v>
      </c>
      <c r="V76" s="22">
        <f t="shared" si="19"/>
        <v>12.143744438353496</v>
      </c>
      <c r="W76" s="22">
        <f t="shared" si="19"/>
        <v>12.266336998051067</v>
      </c>
      <c r="X76" s="22">
        <f t="shared" si="19"/>
        <v>12.384889207902271</v>
      </c>
      <c r="Y76" s="22">
        <f t="shared" si="19"/>
        <v>12.509351233051413</v>
      </c>
      <c r="Z76" s="22">
        <f t="shared" si="19"/>
        <v>12.61770643379279</v>
      </c>
      <c r="AA76" s="22">
        <f t="shared" si="19"/>
        <v>12.7410293454877</v>
      </c>
      <c r="AB76" s="22">
        <f t="shared" si="19"/>
        <v>12.837533702297911</v>
      </c>
      <c r="AC76" s="22">
        <f t="shared" si="19"/>
        <v>12.936685976559087</v>
      </c>
      <c r="AD76" s="22">
        <f t="shared" si="19"/>
        <v>12.98286747930208</v>
      </c>
      <c r="AE76" s="22">
        <f t="shared" si="19"/>
        <v>13.046191689203091</v>
      </c>
      <c r="AF76" s="22">
        <f t="shared" si="19"/>
        <v>13.10927150785349</v>
      </c>
      <c r="AG76" s="22">
        <f t="shared" si="19"/>
        <v>12.831250179467366</v>
      </c>
      <c r="AH76" s="22">
        <f t="shared" si="19"/>
        <v>-3.0267144396295609</v>
      </c>
      <c r="AI76" s="22">
        <f t="shared" si="19"/>
        <v>-2.956505191498271</v>
      </c>
      <c r="AJ76" s="22">
        <f t="shared" si="19"/>
        <v>-2.8874124907442584</v>
      </c>
      <c r="AK76" s="22">
        <f t="shared" si="19"/>
        <v>-2.8193778585944393</v>
      </c>
      <c r="AL76" s="22">
        <f t="shared" si="19"/>
        <v>-2.7523468592631737</v>
      </c>
      <c r="AM76" s="22">
        <f t="shared" si="19"/>
        <v>-2.6862687253121265</v>
      </c>
      <c r="AN76" s="22">
        <f t="shared" si="19"/>
        <v>-2.6326943062213264</v>
      </c>
      <c r="AO76" s="22">
        <f t="shared" si="19"/>
        <v>-2.5799290640232249</v>
      </c>
      <c r="AP76" s="22">
        <f t="shared" si="19"/>
        <v>-2.5279363308324876</v>
      </c>
      <c r="AQ76" s="22">
        <f t="shared" si="19"/>
        <v>-2.4766817193169062</v>
      </c>
      <c r="AR76" s="22">
        <f t="shared" si="19"/>
        <v>-2.4261329336018767</v>
      </c>
      <c r="AS76" s="22">
        <f t="shared" si="19"/>
        <v>-2.3746446145368036</v>
      </c>
      <c r="AT76" s="22">
        <f t="shared" si="19"/>
        <v>-2.3238643255218379</v>
      </c>
      <c r="AU76" s="22">
        <f t="shared" si="19"/>
        <v>-2.2737642137550615</v>
      </c>
      <c r="AV76" s="22">
        <f t="shared" si="19"/>
        <v>-2.2243179912934989</v>
      </c>
      <c r="AW76" s="22">
        <f t="shared" si="19"/>
        <v>-2.1755008181156215</v>
      </c>
      <c r="AY76" s="85"/>
    </row>
    <row r="77" spans="1:51" x14ac:dyDescent="0.25">
      <c r="A77" s="102" t="str">
        <f t="shared" si="0"/>
        <v>FS U&amp;D</v>
      </c>
      <c r="B77" s="102" t="s">
        <v>1005</v>
      </c>
      <c r="C77" s="102" t="s">
        <v>1337</v>
      </c>
      <c r="D77" t="s">
        <v>369</v>
      </c>
      <c r="E77" t="s">
        <v>55</v>
      </c>
      <c r="F77" t="s">
        <v>422</v>
      </c>
      <c r="G77" t="s">
        <v>1161</v>
      </c>
      <c r="H77" t="s">
        <v>1245</v>
      </c>
      <c r="I77" t="s">
        <v>139</v>
      </c>
      <c r="J77" t="s">
        <v>287</v>
      </c>
      <c r="K77" s="22">
        <f t="shared" si="16"/>
        <v>9.7393760290961886</v>
      </c>
      <c r="L77" s="22">
        <f t="shared" si="19"/>
        <v>9.6748191800072334</v>
      </c>
      <c r="M77" s="22">
        <f t="shared" si="19"/>
        <v>9.538705389825779</v>
      </c>
      <c r="N77" s="22">
        <f t="shared" si="19"/>
        <v>9.3092667338033213</v>
      </c>
      <c r="O77" s="22">
        <f t="shared" si="19"/>
        <v>9.086659784590454</v>
      </c>
      <c r="P77" s="22">
        <f t="shared" si="19"/>
        <v>8.9154437965133955</v>
      </c>
      <c r="Q77" s="22">
        <f t="shared" si="19"/>
        <v>8.7605776171460139</v>
      </c>
      <c r="R77" s="22">
        <f t="shared" si="19"/>
        <v>8.5170881946941783</v>
      </c>
      <c r="S77" s="22">
        <f t="shared" si="19"/>
        <v>7.4700025990225534</v>
      </c>
      <c r="T77" s="22">
        <f t="shared" si="19"/>
        <v>7.5412037008775474</v>
      </c>
      <c r="U77" s="22">
        <f t="shared" si="19"/>
        <v>7.5893835486535881</v>
      </c>
      <c r="V77" s="22">
        <f t="shared" si="19"/>
        <v>7.6359963129382633</v>
      </c>
      <c r="W77" s="22">
        <f t="shared" si="19"/>
        <v>7.7130826135102524</v>
      </c>
      <c r="X77" s="22">
        <f t="shared" si="19"/>
        <v>7.7876283388349208</v>
      </c>
      <c r="Y77" s="22">
        <f t="shared" si="19"/>
        <v>7.8658901607930707</v>
      </c>
      <c r="Z77" s="22">
        <f t="shared" si="19"/>
        <v>7.9340239985520107</v>
      </c>
      <c r="AA77" s="22">
        <f t="shared" si="19"/>
        <v>8.0115695450499249</v>
      </c>
      <c r="AB77" s="22">
        <f t="shared" si="19"/>
        <v>8.072251562571461</v>
      </c>
      <c r="AC77" s="22">
        <f t="shared" si="19"/>
        <v>8.1345985927252418</v>
      </c>
      <c r="AD77" s="22">
        <f t="shared" si="19"/>
        <v>8.1636375589569159</v>
      </c>
      <c r="AE77" s="22">
        <f t="shared" si="19"/>
        <v>8.2034558732979743</v>
      </c>
      <c r="AF77" s="22">
        <f t="shared" si="19"/>
        <v>8.2431205142232233</v>
      </c>
      <c r="AG77" s="22">
        <f t="shared" si="19"/>
        <v>8.0683004783395891</v>
      </c>
      <c r="AH77" s="22">
        <f t="shared" si="19"/>
        <v>-1.9032004847149069</v>
      </c>
      <c r="AI77" s="22">
        <f t="shared" si="19"/>
        <v>-1.8590528527726964</v>
      </c>
      <c r="AJ77" s="22">
        <f t="shared" si="19"/>
        <v>-1.8156073067233001</v>
      </c>
      <c r="AK77" s="22">
        <f t="shared" si="19"/>
        <v>-1.7728270750669619</v>
      </c>
      <c r="AL77" s="22">
        <f t="shared" si="19"/>
        <v>-1.7306779285376968</v>
      </c>
      <c r="AM77" s="22">
        <f t="shared" si="19"/>
        <v>-1.689127944529268</v>
      </c>
      <c r="AN77" s="22">
        <f t="shared" si="19"/>
        <v>-1.6554403065258587</v>
      </c>
      <c r="AO77" s="22">
        <f t="shared" si="19"/>
        <v>-1.6222614796062582</v>
      </c>
      <c r="AP77" s="22">
        <f t="shared" si="19"/>
        <v>-1.589568406974545</v>
      </c>
      <c r="AQ77" s="22">
        <f t="shared" si="19"/>
        <v>-1.5573394658484478</v>
      </c>
      <c r="AR77" s="22">
        <f t="shared" si="19"/>
        <v>-1.5255543485559264</v>
      </c>
      <c r="AS77" s="22">
        <f t="shared" si="19"/>
        <v>-1.4931784519339129</v>
      </c>
      <c r="AT77" s="22">
        <f t="shared" si="19"/>
        <v>-1.4612477651793758</v>
      </c>
      <c r="AU77" s="22">
        <f t="shared" si="19"/>
        <v>-1.429744774427969</v>
      </c>
      <c r="AV77" s="22">
        <f t="shared" si="19"/>
        <v>-1.3986529497999127</v>
      </c>
      <c r="AW77" s="22">
        <f t="shared" si="19"/>
        <v>-1.3679566718696037</v>
      </c>
      <c r="AY77" s="85"/>
    </row>
    <row r="78" spans="1:51" x14ac:dyDescent="0.25">
      <c r="A78" s="102" t="str">
        <f t="shared" si="0"/>
        <v>FS U&amp;D</v>
      </c>
      <c r="B78" s="102" t="s">
        <v>1005</v>
      </c>
      <c r="C78" s="102" t="s">
        <v>1337</v>
      </c>
      <c r="D78" t="s">
        <v>369</v>
      </c>
      <c r="E78" t="s">
        <v>55</v>
      </c>
      <c r="F78" t="s">
        <v>422</v>
      </c>
      <c r="G78" t="s">
        <v>1163</v>
      </c>
      <c r="H78" t="s">
        <v>1246</v>
      </c>
      <c r="I78" t="s">
        <v>139</v>
      </c>
      <c r="J78" t="s">
        <v>287</v>
      </c>
      <c r="K78" s="22">
        <f t="shared" si="16"/>
        <v>0</v>
      </c>
      <c r="L78" s="22">
        <f t="shared" si="19"/>
        <v>0</v>
      </c>
      <c r="M78" s="22">
        <f t="shared" si="19"/>
        <v>0</v>
      </c>
      <c r="N78" s="22">
        <f t="shared" si="19"/>
        <v>0</v>
      </c>
      <c r="O78" s="22">
        <f t="shared" si="19"/>
        <v>0</v>
      </c>
      <c r="P78" s="22">
        <f t="shared" si="19"/>
        <v>0</v>
      </c>
      <c r="Q78" s="22">
        <f t="shared" si="19"/>
        <v>0</v>
      </c>
      <c r="R78" s="22">
        <f t="shared" si="19"/>
        <v>0</v>
      </c>
      <c r="S78" s="22">
        <f t="shared" si="19"/>
        <v>0</v>
      </c>
      <c r="T78" s="22">
        <f t="shared" si="19"/>
        <v>0</v>
      </c>
      <c r="U78" s="22">
        <f t="shared" si="19"/>
        <v>0</v>
      </c>
      <c r="V78" s="22">
        <f t="shared" si="19"/>
        <v>0</v>
      </c>
      <c r="W78" s="22">
        <f t="shared" si="19"/>
        <v>0</v>
      </c>
      <c r="X78" s="22">
        <f t="shared" si="19"/>
        <v>0</v>
      </c>
      <c r="Y78" s="22">
        <f t="shared" si="19"/>
        <v>0</v>
      </c>
      <c r="Z78" s="22">
        <f t="shared" si="19"/>
        <v>0</v>
      </c>
      <c r="AA78" s="22">
        <f t="shared" si="19"/>
        <v>0</v>
      </c>
      <c r="AB78" s="22">
        <f t="shared" si="19"/>
        <v>0</v>
      </c>
      <c r="AC78" s="22">
        <f t="shared" si="19"/>
        <v>0</v>
      </c>
      <c r="AD78" s="22">
        <f t="shared" si="19"/>
        <v>0</v>
      </c>
      <c r="AE78" s="22">
        <f t="shared" si="19"/>
        <v>0</v>
      </c>
      <c r="AF78" s="22">
        <f t="shared" si="19"/>
        <v>0</v>
      </c>
      <c r="AG78" s="22">
        <f t="shared" si="19"/>
        <v>0</v>
      </c>
      <c r="AH78" s="22">
        <f t="shared" si="19"/>
        <v>0</v>
      </c>
      <c r="AI78" s="22">
        <f t="shared" si="19"/>
        <v>0</v>
      </c>
      <c r="AJ78" s="22">
        <f t="shared" si="19"/>
        <v>0</v>
      </c>
      <c r="AK78" s="22">
        <f t="shared" si="19"/>
        <v>0</v>
      </c>
      <c r="AL78" s="22">
        <f t="shared" si="19"/>
        <v>0</v>
      </c>
      <c r="AM78" s="22">
        <f t="shared" si="19"/>
        <v>0</v>
      </c>
      <c r="AN78" s="22">
        <f t="shared" si="19"/>
        <v>0</v>
      </c>
      <c r="AO78" s="22">
        <f t="shared" si="19"/>
        <v>0</v>
      </c>
      <c r="AP78" s="22">
        <f t="shared" si="19"/>
        <v>0</v>
      </c>
      <c r="AQ78" s="22">
        <f t="shared" si="19"/>
        <v>0</v>
      </c>
      <c r="AR78" s="22">
        <f t="shared" si="19"/>
        <v>0</v>
      </c>
      <c r="AS78" s="22">
        <f t="shared" si="19"/>
        <v>0</v>
      </c>
      <c r="AT78" s="22">
        <f t="shared" si="19"/>
        <v>0</v>
      </c>
      <c r="AU78" s="22">
        <f t="shared" si="19"/>
        <v>0</v>
      </c>
      <c r="AV78" s="22">
        <f t="shared" si="19"/>
        <v>0</v>
      </c>
      <c r="AW78" s="22">
        <f t="shared" si="19"/>
        <v>0</v>
      </c>
      <c r="AY78" s="85"/>
    </row>
    <row r="79" spans="1:51" x14ac:dyDescent="0.25">
      <c r="A79" s="102" t="str">
        <f t="shared" si="0"/>
        <v>FS U&amp;D</v>
      </c>
      <c r="B79" s="102" t="s">
        <v>1005</v>
      </c>
      <c r="C79" s="102" t="s">
        <v>1337</v>
      </c>
      <c r="D79" t="s">
        <v>369</v>
      </c>
      <c r="E79" t="s">
        <v>55</v>
      </c>
      <c r="F79" t="s">
        <v>422</v>
      </c>
      <c r="G79" t="s">
        <v>1165</v>
      </c>
      <c r="H79" t="s">
        <v>1247</v>
      </c>
      <c r="I79" t="s">
        <v>139</v>
      </c>
      <c r="J79" t="s">
        <v>287</v>
      </c>
      <c r="K79" s="22">
        <f t="shared" si="16"/>
        <v>5.8007004881973501</v>
      </c>
      <c r="L79" s="22">
        <f t="shared" si="19"/>
        <v>5.8038682011318086</v>
      </c>
      <c r="M79" s="22">
        <f t="shared" si="19"/>
        <v>5.8109613188893956</v>
      </c>
      <c r="N79" s="22">
        <f t="shared" si="19"/>
        <v>5.8216379502269948</v>
      </c>
      <c r="O79" s="22">
        <f t="shared" si="19"/>
        <v>5.8360409400543007</v>
      </c>
      <c r="P79" s="22">
        <f t="shared" si="19"/>
        <v>5.8541855713392259</v>
      </c>
      <c r="Q79" s="22">
        <f t="shared" si="19"/>
        <v>5.8743979550370415</v>
      </c>
      <c r="R79" s="22">
        <f t="shared" si="19"/>
        <v>5.8963035789612563</v>
      </c>
      <c r="S79" s="22">
        <f t="shared" si="19"/>
        <v>5.9168885563672573</v>
      </c>
      <c r="T79" s="22">
        <f t="shared" si="19"/>
        <v>5.9254873000442174</v>
      </c>
      <c r="U79" s="22">
        <f t="shared" si="19"/>
        <v>5.9354650911079814</v>
      </c>
      <c r="V79" s="22">
        <f t="shared" si="19"/>
        <v>5.9468198836780894</v>
      </c>
      <c r="W79" s="22">
        <f t="shared" si="19"/>
        <v>5.9596105082694644</v>
      </c>
      <c r="X79" s="22">
        <f t="shared" si="19"/>
        <v>5.9736319121523582</v>
      </c>
      <c r="Y79" s="22">
        <f t="shared" si="19"/>
        <v>5.9822631555642722</v>
      </c>
      <c r="Z79" s="22">
        <f t="shared" si="19"/>
        <v>5.9919044326673472</v>
      </c>
      <c r="AA79" s="22">
        <f t="shared" si="19"/>
        <v>6.0025907311296489</v>
      </c>
      <c r="AB79" s="22">
        <f t="shared" si="19"/>
        <v>6.0141578623127154</v>
      </c>
      <c r="AC79" s="22">
        <f t="shared" si="19"/>
        <v>6.0266471855560004</v>
      </c>
      <c r="AD79" s="22">
        <f t="shared" si="19"/>
        <v>6.0348691397671148</v>
      </c>
      <c r="AE79" s="22">
        <f t="shared" si="19"/>
        <v>6.0439559167579606</v>
      </c>
      <c r="AF79" s="22">
        <f t="shared" si="19"/>
        <v>6.0538257946059888</v>
      </c>
      <c r="AG79" s="22">
        <f t="shared" si="19"/>
        <v>6.0633613554169949</v>
      </c>
      <c r="AH79" s="22">
        <f t="shared" si="19"/>
        <v>6.0225939777620399</v>
      </c>
      <c r="AI79" s="22">
        <f t="shared" si="19"/>
        <v>6.0283835899852134</v>
      </c>
      <c r="AJ79" s="22">
        <f t="shared" si="19"/>
        <v>6.0347724557516536</v>
      </c>
      <c r="AK79" s="22">
        <f t="shared" si="19"/>
        <v>6.0417379357652736</v>
      </c>
      <c r="AL79" s="22">
        <f t="shared" si="19"/>
        <v>6.0492591406066394</v>
      </c>
      <c r="AM79" s="22">
        <f t="shared" si="19"/>
        <v>6.0573167646829393</v>
      </c>
      <c r="AN79" s="22">
        <f t="shared" si="19"/>
        <v>6.061227136954745</v>
      </c>
      <c r="AO79" s="22">
        <f t="shared" si="19"/>
        <v>6.0656101287298938</v>
      </c>
      <c r="AP79" s="22">
        <f t="shared" si="19"/>
        <v>6.0704492917353319</v>
      </c>
      <c r="AQ79" s="22">
        <f t="shared" si="19"/>
        <v>6.0757293034784778</v>
      </c>
      <c r="AR79" s="22">
        <f t="shared" si="19"/>
        <v>6.0814358716066721</v>
      </c>
      <c r="AS79" s="22">
        <f t="shared" si="19"/>
        <v>6.082843612547955</v>
      </c>
      <c r="AT79" s="22">
        <f t="shared" si="19"/>
        <v>6.0846299220859592</v>
      </c>
      <c r="AU79" s="22">
        <f t="shared" si="19"/>
        <v>6.0867822620358538</v>
      </c>
      <c r="AV79" s="22">
        <f t="shared" si="19"/>
        <v>6.0892888598488994</v>
      </c>
      <c r="AW79" s="22">
        <f t="shared" si="19"/>
        <v>6.092138649733787</v>
      </c>
      <c r="AY79" s="85"/>
    </row>
    <row r="80" spans="1:51" x14ac:dyDescent="0.25">
      <c r="A80" s="102" t="str">
        <f t="shared" si="0"/>
        <v>FS U&amp;D</v>
      </c>
      <c r="B80" s="102" t="s">
        <v>1005</v>
      </c>
      <c r="C80" s="102" t="s">
        <v>1337</v>
      </c>
      <c r="D80" t="s">
        <v>369</v>
      </c>
      <c r="E80" t="s">
        <v>55</v>
      </c>
      <c r="F80" t="s">
        <v>422</v>
      </c>
      <c r="G80" t="s">
        <v>1167</v>
      </c>
      <c r="H80" t="s">
        <v>1248</v>
      </c>
      <c r="I80" t="s">
        <v>139</v>
      </c>
      <c r="J80" t="s">
        <v>287</v>
      </c>
      <c r="K80" s="22">
        <f t="shared" si="16"/>
        <v>0.64752945126978523</v>
      </c>
      <c r="L80" s="22">
        <f t="shared" si="19"/>
        <v>0.64788306156605957</v>
      </c>
      <c r="M80" s="22">
        <f t="shared" si="19"/>
        <v>0.64867486294568755</v>
      </c>
      <c r="N80" s="22">
        <f t="shared" si="19"/>
        <v>0.64986669025094335</v>
      </c>
      <c r="O80" s="22">
        <f t="shared" si="19"/>
        <v>0.65147448919151907</v>
      </c>
      <c r="P80" s="22">
        <f t="shared" si="19"/>
        <v>0.65349996579789205</v>
      </c>
      <c r="Q80" s="22">
        <f t="shared" si="19"/>
        <v>0.65575626462789216</v>
      </c>
      <c r="R80" s="22">
        <f t="shared" si="19"/>
        <v>0.65820157906331789</v>
      </c>
      <c r="S80" s="22">
        <f t="shared" si="19"/>
        <v>0.66049947035269418</v>
      </c>
      <c r="T80" s="22">
        <f t="shared" si="19"/>
        <v>0.66145934404141127</v>
      </c>
      <c r="U80" s="22">
        <f t="shared" si="19"/>
        <v>0.66257316013751044</v>
      </c>
      <c r="V80" s="22">
        <f t="shared" si="19"/>
        <v>0.66384069026032311</v>
      </c>
      <c r="W80" s="22">
        <f t="shared" si="19"/>
        <v>0.66526850163239837</v>
      </c>
      <c r="X80" s="22">
        <f t="shared" si="19"/>
        <v>0.66683370431452194</v>
      </c>
      <c r="Y80" s="22">
        <f t="shared" si="19"/>
        <v>0.66779720593327729</v>
      </c>
      <c r="Z80" s="22">
        <f t="shared" si="19"/>
        <v>0.66887345713514434</v>
      </c>
      <c r="AA80" s="22">
        <f t="shared" si="19"/>
        <v>0.6700663635769577</v>
      </c>
      <c r="AB80" s="22">
        <f t="shared" si="19"/>
        <v>0.67135759695868036</v>
      </c>
      <c r="AC80" s="22">
        <f t="shared" si="19"/>
        <v>0.67275177420381005</v>
      </c>
      <c r="AD80" s="22">
        <f t="shared" si="19"/>
        <v>0.67366958706270863</v>
      </c>
      <c r="AE80" s="22">
        <f t="shared" si="19"/>
        <v>0.67468393967937379</v>
      </c>
      <c r="AF80" s="22">
        <f t="shared" si="19"/>
        <v>0.67578570947425243</v>
      </c>
      <c r="AG80" s="22">
        <f t="shared" si="19"/>
        <v>0.6768501596164489</v>
      </c>
      <c r="AH80" s="22">
        <f t="shared" si="19"/>
        <v>0.6722993165352843</v>
      </c>
      <c r="AI80" s="22">
        <f t="shared" si="19"/>
        <v>0.67294560820877491</v>
      </c>
      <c r="AJ80" s="22">
        <f t="shared" si="19"/>
        <v>0.67365879427180253</v>
      </c>
      <c r="AK80" s="22">
        <f t="shared" si="19"/>
        <v>0.674436347510455</v>
      </c>
      <c r="AL80" s="22">
        <f t="shared" si="19"/>
        <v>0.67527593604872327</v>
      </c>
      <c r="AM80" s="22">
        <f t="shared" si="19"/>
        <v>0.67617540481241489</v>
      </c>
      <c r="AN80" s="22">
        <f t="shared" si="19"/>
        <v>0.67661191781917585</v>
      </c>
      <c r="AO80" s="22">
        <f t="shared" si="19"/>
        <v>0.67710118911750539</v>
      </c>
      <c r="AP80" s="22">
        <f t="shared" si="19"/>
        <v>0.67764138259446438</v>
      </c>
      <c r="AQ80" s="22">
        <f t="shared" si="19"/>
        <v>0.6782307878074546</v>
      </c>
      <c r="AR80" s="22">
        <f t="shared" si="19"/>
        <v>0.67886780930790958</v>
      </c>
      <c r="AS80" s="22">
        <f t="shared" si="19"/>
        <v>0.67902495476320335</v>
      </c>
      <c r="AT80" s="22">
        <f t="shared" si="19"/>
        <v>0.67922435965185335</v>
      </c>
      <c r="AU80" s="22">
        <f t="shared" si="19"/>
        <v>0.67946462434221933</v>
      </c>
      <c r="AV80" s="22">
        <f t="shared" si="19"/>
        <v>0.67974443467025414</v>
      </c>
      <c r="AW80" s="22">
        <f t="shared" si="19"/>
        <v>0.68006255536690974</v>
      </c>
      <c r="AY80" s="85"/>
    </row>
    <row r="81" spans="1:51" x14ac:dyDescent="0.25">
      <c r="A81" s="102" t="str">
        <f t="shared" si="0"/>
        <v>FS U&amp;D</v>
      </c>
      <c r="B81" s="102" t="s">
        <v>1005</v>
      </c>
      <c r="C81" s="102" t="s">
        <v>1337</v>
      </c>
      <c r="D81" t="s">
        <v>369</v>
      </c>
      <c r="E81" t="s">
        <v>55</v>
      </c>
      <c r="F81" t="s">
        <v>422</v>
      </c>
      <c r="G81" t="s">
        <v>1169</v>
      </c>
      <c r="H81" t="s">
        <v>1249</v>
      </c>
      <c r="I81" t="s">
        <v>139</v>
      </c>
      <c r="J81" t="s">
        <v>287</v>
      </c>
      <c r="K81" s="22">
        <f t="shared" si="16"/>
        <v>0.71703962515202246</v>
      </c>
      <c r="L81" s="22">
        <f t="shared" si="19"/>
        <v>0.71890983434251277</v>
      </c>
      <c r="M81" s="22">
        <f t="shared" si="19"/>
        <v>0.72140205375439892</v>
      </c>
      <c r="N81" s="22">
        <f t="shared" si="19"/>
        <v>0.72446087645337953</v>
      </c>
      <c r="O81" s="22">
        <f t="shared" si="19"/>
        <v>0.72812305944589495</v>
      </c>
      <c r="P81" s="22">
        <f t="shared" si="19"/>
        <v>0.73239834824766725</v>
      </c>
      <c r="Q81" s="22">
        <f t="shared" si="19"/>
        <v>0.73696942015050981</v>
      </c>
      <c r="R81" s="22">
        <f t="shared" si="19"/>
        <v>0.74177091257362759</v>
      </c>
      <c r="S81" s="22">
        <f t="shared" si="19"/>
        <v>0.74623128814082973</v>
      </c>
      <c r="T81" s="22">
        <f t="shared" si="19"/>
        <v>0.74832155602397465</v>
      </c>
      <c r="U81" s="22">
        <f t="shared" ref="L81:AW87" si="20">U1490</f>
        <v>0.75061365062436147</v>
      </c>
      <c r="V81" s="22">
        <f t="shared" si="20"/>
        <v>0.75311048066791608</v>
      </c>
      <c r="W81" s="22">
        <f t="shared" si="20"/>
        <v>0.75582597980024202</v>
      </c>
      <c r="X81" s="22">
        <f t="shared" si="20"/>
        <v>0.758723586950243</v>
      </c>
      <c r="Y81" s="22">
        <f t="shared" si="20"/>
        <v>0.76055515001802498</v>
      </c>
      <c r="Z81" s="22">
        <f t="shared" si="20"/>
        <v>0.76253680812015046</v>
      </c>
      <c r="AA81" s="22">
        <f t="shared" si="20"/>
        <v>0.7646767595046402</v>
      </c>
      <c r="AB81" s="22">
        <f t="shared" si="20"/>
        <v>0.76694554342614063</v>
      </c>
      <c r="AC81" s="22">
        <f t="shared" si="20"/>
        <v>0.76935223527037744</v>
      </c>
      <c r="AD81" s="22">
        <f t="shared" si="20"/>
        <v>0.7709284586249765</v>
      </c>
      <c r="AE81" s="22">
        <f t="shared" si="20"/>
        <v>0.77263788414937862</v>
      </c>
      <c r="AF81" s="22">
        <f t="shared" si="20"/>
        <v>0.77446606053450517</v>
      </c>
      <c r="AG81" s="22">
        <f t="shared" si="20"/>
        <v>0.7762062172722024</v>
      </c>
      <c r="AH81" s="22">
        <f t="shared" si="20"/>
        <v>0.76859920994116682</v>
      </c>
      <c r="AI81" s="22">
        <f t="shared" si="20"/>
        <v>0.76961702960226952</v>
      </c>
      <c r="AJ81" s="22">
        <f t="shared" si="20"/>
        <v>0.77072611211000452</v>
      </c>
      <c r="AK81" s="22">
        <f t="shared" si="20"/>
        <v>0.7719227512042488</v>
      </c>
      <c r="AL81" s="22">
        <f t="shared" si="20"/>
        <v>0.77320352810315807</v>
      </c>
      <c r="AM81" s="22">
        <f t="shared" si="20"/>
        <v>0.77456528397766</v>
      </c>
      <c r="AN81" s="22">
        <f t="shared" si="20"/>
        <v>0.7751498155218971</v>
      </c>
      <c r="AO81" s="22">
        <f t="shared" si="20"/>
        <v>0.77580729833667095</v>
      </c>
      <c r="AP81" s="22">
        <f t="shared" si="20"/>
        <v>0.77653498216260275</v>
      </c>
      <c r="AQ81" s="22">
        <f t="shared" si="20"/>
        <v>0.77733030541457571</v>
      </c>
      <c r="AR81" s="22">
        <f t="shared" si="20"/>
        <v>0.77819087901746686</v>
      </c>
      <c r="AS81" s="22">
        <f t="shared" si="20"/>
        <v>0.77825802091956864</v>
      </c>
      <c r="AT81" s="22">
        <f t="shared" si="20"/>
        <v>0.77838487427420744</v>
      </c>
      <c r="AU81" s="22">
        <f t="shared" si="20"/>
        <v>0.77856929465999758</v>
      </c>
      <c r="AV81" s="22">
        <f t="shared" si="20"/>
        <v>0.77880926891307201</v>
      </c>
      <c r="AW81" s="22">
        <f t="shared" si="20"/>
        <v>0.77910290495826517</v>
      </c>
      <c r="AY81" s="85"/>
    </row>
    <row r="82" spans="1:51" x14ac:dyDescent="0.25">
      <c r="A82" s="102" t="str">
        <f t="shared" si="0"/>
        <v>FS U&amp;D</v>
      </c>
      <c r="B82" s="102" t="s">
        <v>1005</v>
      </c>
      <c r="C82" s="102" t="s">
        <v>1337</v>
      </c>
      <c r="D82" t="s">
        <v>369</v>
      </c>
      <c r="E82" t="s">
        <v>55</v>
      </c>
      <c r="F82" t="s">
        <v>422</v>
      </c>
      <c r="G82" t="s">
        <v>1171</v>
      </c>
      <c r="H82" t="s">
        <v>1250</v>
      </c>
      <c r="I82" t="s">
        <v>139</v>
      </c>
      <c r="J82" t="s">
        <v>287</v>
      </c>
      <c r="K82" s="22">
        <f t="shared" si="16"/>
        <v>1.1866860146705673</v>
      </c>
      <c r="L82" s="22">
        <f t="shared" si="20"/>
        <v>1.1897811728919734</v>
      </c>
      <c r="M82" s="22">
        <f t="shared" si="20"/>
        <v>1.1939057453951301</v>
      </c>
      <c r="N82" s="22">
        <f t="shared" si="20"/>
        <v>1.1989680348292291</v>
      </c>
      <c r="O82" s="22">
        <f t="shared" si="20"/>
        <v>1.2050288732932972</v>
      </c>
      <c r="P82" s="22">
        <f t="shared" si="20"/>
        <v>1.2121043894178982</v>
      </c>
      <c r="Q82" s="22">
        <f t="shared" si="20"/>
        <v>1.2196694205666394</v>
      </c>
      <c r="R82" s="22">
        <f t="shared" si="20"/>
        <v>1.2276157929959912</v>
      </c>
      <c r="S82" s="22">
        <f t="shared" si="20"/>
        <v>1.2349976239577805</v>
      </c>
      <c r="T82" s="22">
        <f t="shared" si="20"/>
        <v>1.2384569748455603</v>
      </c>
      <c r="U82" s="22">
        <f t="shared" si="20"/>
        <v>1.2422503448507454</v>
      </c>
      <c r="V82" s="22">
        <f t="shared" si="20"/>
        <v>1.2463825478556594</v>
      </c>
      <c r="W82" s="22">
        <f t="shared" si="20"/>
        <v>1.2508766437607468</v>
      </c>
      <c r="X82" s="22">
        <f t="shared" si="20"/>
        <v>1.2556721247359952</v>
      </c>
      <c r="Y82" s="22">
        <f t="shared" si="20"/>
        <v>1.2587033244093235</v>
      </c>
      <c r="Z82" s="22">
        <f t="shared" si="20"/>
        <v>1.2619829283156658</v>
      </c>
      <c r="AA82" s="22">
        <f t="shared" si="20"/>
        <v>1.2655245043889694</v>
      </c>
      <c r="AB82" s="22">
        <f t="shared" si="20"/>
        <v>1.2692792956940984</v>
      </c>
      <c r="AC82" s="22">
        <f t="shared" si="20"/>
        <v>1.2732623218100843</v>
      </c>
      <c r="AD82" s="22">
        <f t="shared" si="20"/>
        <v>1.2758709394447143</v>
      </c>
      <c r="AE82" s="22">
        <f t="shared" si="20"/>
        <v>1.2787000039646823</v>
      </c>
      <c r="AF82" s="22">
        <f t="shared" si="20"/>
        <v>1.2817255987470082</v>
      </c>
      <c r="AG82" s="22">
        <f t="shared" si="20"/>
        <v>1.2846055228007487</v>
      </c>
      <c r="AH82" s="22">
        <f t="shared" si="20"/>
        <v>1.2720160801861611</v>
      </c>
      <c r="AI82" s="22">
        <f t="shared" si="20"/>
        <v>1.2737005510506982</v>
      </c>
      <c r="AJ82" s="22">
        <f t="shared" si="20"/>
        <v>1.2755360600726242</v>
      </c>
      <c r="AK82" s="22">
        <f t="shared" si="20"/>
        <v>1.2775164734667195</v>
      </c>
      <c r="AL82" s="22">
        <f t="shared" si="20"/>
        <v>1.2796361332184747</v>
      </c>
      <c r="AM82" s="22">
        <f t="shared" si="20"/>
        <v>1.2818898115299409</v>
      </c>
      <c r="AN82" s="22">
        <f t="shared" si="20"/>
        <v>1.2828571993622844</v>
      </c>
      <c r="AO82" s="22">
        <f t="shared" si="20"/>
        <v>1.283945320065534</v>
      </c>
      <c r="AP82" s="22">
        <f t="shared" si="20"/>
        <v>1.2851496220162837</v>
      </c>
      <c r="AQ82" s="22">
        <f t="shared" si="20"/>
        <v>1.2864658658431971</v>
      </c>
      <c r="AR82" s="22">
        <f t="shared" si="20"/>
        <v>1.2878900976754739</v>
      </c>
      <c r="AS82" s="22">
        <f t="shared" si="20"/>
        <v>1.2880012161596242</v>
      </c>
      <c r="AT82" s="22">
        <f t="shared" si="20"/>
        <v>1.288211155884827</v>
      </c>
      <c r="AU82" s="22">
        <f t="shared" si="20"/>
        <v>1.2885163678772478</v>
      </c>
      <c r="AV82" s="22">
        <f t="shared" si="20"/>
        <v>1.2889135203915794</v>
      </c>
      <c r="AW82" s="22">
        <f t="shared" si="20"/>
        <v>1.2893994820818555</v>
      </c>
      <c r="AY82" s="85"/>
    </row>
    <row r="83" spans="1:51" x14ac:dyDescent="0.25">
      <c r="A83" s="102" t="str">
        <f t="shared" si="0"/>
        <v>FS U&amp;D</v>
      </c>
      <c r="B83" s="102" t="s">
        <v>1005</v>
      </c>
      <c r="C83" s="102" t="s">
        <v>1337</v>
      </c>
      <c r="D83" t="s">
        <v>369</v>
      </c>
      <c r="E83" t="s">
        <v>55</v>
      </c>
      <c r="F83" t="s">
        <v>422</v>
      </c>
      <c r="G83" t="s">
        <v>1173</v>
      </c>
      <c r="H83" t="s">
        <v>1251</v>
      </c>
      <c r="I83" t="s">
        <v>139</v>
      </c>
      <c r="J83" t="s">
        <v>287</v>
      </c>
      <c r="K83" s="22">
        <f t="shared" si="16"/>
        <v>0.19206426868977441</v>
      </c>
      <c r="L83" s="22">
        <f t="shared" si="20"/>
        <v>0.19318987586932423</v>
      </c>
      <c r="M83" s="22">
        <f t="shared" si="20"/>
        <v>0.19346719628053802</v>
      </c>
      <c r="N83" s="22">
        <f t="shared" si="20"/>
        <v>0.19261999020243609</v>
      </c>
      <c r="O83" s="22">
        <f t="shared" si="20"/>
        <v>0.19172365370541722</v>
      </c>
      <c r="P83" s="22">
        <f t="shared" si="20"/>
        <v>0.19129719629214276</v>
      </c>
      <c r="Q83" s="22">
        <f t="shared" si="20"/>
        <v>0.19101276819466945</v>
      </c>
      <c r="R83" s="22">
        <f t="shared" si="20"/>
        <v>0.18964082845337171</v>
      </c>
      <c r="S83" s="22">
        <f t="shared" si="20"/>
        <v>0.17855585025741377</v>
      </c>
      <c r="T83" s="22">
        <f t="shared" si="20"/>
        <v>0.1801256476686891</v>
      </c>
      <c r="U83" s="22">
        <f t="shared" si="20"/>
        <v>0.18141112915440744</v>
      </c>
      <c r="V83" s="22">
        <f t="shared" si="20"/>
        <v>0.18267062412414889</v>
      </c>
      <c r="W83" s="22">
        <f t="shared" si="20"/>
        <v>0.18430349788289624</v>
      </c>
      <c r="X83" s="22">
        <f t="shared" si="20"/>
        <v>0.18590650598729025</v>
      </c>
      <c r="Y83" s="22">
        <f t="shared" si="20"/>
        <v>0.18774289622011922</v>
      </c>
      <c r="Z83" s="22">
        <f t="shared" si="20"/>
        <v>0.18945974795510873</v>
      </c>
      <c r="AA83" s="22">
        <f t="shared" si="20"/>
        <v>0.19130656367707333</v>
      </c>
      <c r="AB83" s="22">
        <f t="shared" si="20"/>
        <v>0.1929453281809925</v>
      </c>
      <c r="AC83" s="22">
        <f t="shared" si="20"/>
        <v>0.19461451886655767</v>
      </c>
      <c r="AD83" s="22">
        <f t="shared" si="20"/>
        <v>0.19692637066734073</v>
      </c>
      <c r="AE83" s="22">
        <f t="shared" si="20"/>
        <v>0.19944913652878843</v>
      </c>
      <c r="AF83" s="22">
        <f t="shared" si="20"/>
        <v>0.20204327521693932</v>
      </c>
      <c r="AG83" s="22">
        <f t="shared" si="20"/>
        <v>0.20167425591994353</v>
      </c>
      <c r="AH83" s="22">
        <f t="shared" si="20"/>
        <v>5.9672038121461136E-2</v>
      </c>
      <c r="AI83" s="22">
        <f t="shared" si="20"/>
        <v>5.9672038121461136E-2</v>
      </c>
      <c r="AJ83" s="22">
        <f t="shared" si="20"/>
        <v>5.9672038121461136E-2</v>
      </c>
      <c r="AK83" s="22">
        <f t="shared" si="20"/>
        <v>5.9672038121461136E-2</v>
      </c>
      <c r="AL83" s="22">
        <f t="shared" si="20"/>
        <v>5.9672038121461136E-2</v>
      </c>
      <c r="AM83" s="22">
        <f t="shared" si="20"/>
        <v>5.9672038121461136E-2</v>
      </c>
      <c r="AN83" s="22">
        <f t="shared" si="20"/>
        <v>5.9672038121461136E-2</v>
      </c>
      <c r="AO83" s="22">
        <f t="shared" si="20"/>
        <v>5.9672038121461136E-2</v>
      </c>
      <c r="AP83" s="22">
        <f t="shared" si="20"/>
        <v>5.9672038121461136E-2</v>
      </c>
      <c r="AQ83" s="22">
        <f t="shared" si="20"/>
        <v>5.9672038121461136E-2</v>
      </c>
      <c r="AR83" s="22">
        <f t="shared" si="20"/>
        <v>5.9672038121461136E-2</v>
      </c>
      <c r="AS83" s="22">
        <f t="shared" si="20"/>
        <v>5.9672038121461136E-2</v>
      </c>
      <c r="AT83" s="22">
        <f t="shared" si="20"/>
        <v>5.9672038121461136E-2</v>
      </c>
      <c r="AU83" s="22">
        <f t="shared" si="20"/>
        <v>5.9672038121461136E-2</v>
      </c>
      <c r="AV83" s="22">
        <f t="shared" si="20"/>
        <v>5.9672038121461136E-2</v>
      </c>
      <c r="AW83" s="22">
        <f t="shared" si="20"/>
        <v>5.9672038121461136E-2</v>
      </c>
      <c r="AY83" s="85"/>
    </row>
    <row r="84" spans="1:51" x14ac:dyDescent="0.25">
      <c r="A84" s="102" t="str">
        <f t="shared" si="0"/>
        <v>FS U&amp;D</v>
      </c>
      <c r="B84" s="102" t="s">
        <v>1005</v>
      </c>
      <c r="C84" s="102" t="s">
        <v>1337</v>
      </c>
      <c r="D84" t="s">
        <v>369</v>
      </c>
      <c r="E84" t="s">
        <v>55</v>
      </c>
      <c r="F84" t="s">
        <v>422</v>
      </c>
      <c r="G84" t="s">
        <v>1175</v>
      </c>
      <c r="H84" t="s">
        <v>1252</v>
      </c>
      <c r="I84" t="s">
        <v>139</v>
      </c>
      <c r="J84" t="s">
        <v>287</v>
      </c>
      <c r="K84" s="22">
        <f t="shared" si="16"/>
        <v>3.4640571428571423E-2</v>
      </c>
      <c r="L84" s="22">
        <f t="shared" si="20"/>
        <v>3.4640571428571423E-2</v>
      </c>
      <c r="M84" s="22">
        <f t="shared" si="20"/>
        <v>3.4640571428571423E-2</v>
      </c>
      <c r="N84" s="22">
        <f t="shared" si="20"/>
        <v>3.4640571428571423E-2</v>
      </c>
      <c r="O84" s="22">
        <f t="shared" si="20"/>
        <v>3.4640571428571423E-2</v>
      </c>
      <c r="P84" s="22">
        <f t="shared" si="20"/>
        <v>3.4640571428571423E-2</v>
      </c>
      <c r="Q84" s="22">
        <f t="shared" si="20"/>
        <v>3.4640571428571423E-2</v>
      </c>
      <c r="R84" s="22">
        <f t="shared" si="20"/>
        <v>3.4640571428571423E-2</v>
      </c>
      <c r="S84" s="22">
        <f t="shared" si="20"/>
        <v>3.4640571428571423E-2</v>
      </c>
      <c r="T84" s="22">
        <f t="shared" si="20"/>
        <v>3.4640571428571423E-2</v>
      </c>
      <c r="U84" s="22">
        <f t="shared" si="20"/>
        <v>3.4640571428571423E-2</v>
      </c>
      <c r="V84" s="22">
        <f t="shared" si="20"/>
        <v>3.4640571428571423E-2</v>
      </c>
      <c r="W84" s="22">
        <f t="shared" si="20"/>
        <v>3.4640571428571423E-2</v>
      </c>
      <c r="X84" s="22">
        <f t="shared" si="20"/>
        <v>3.4640571428571423E-2</v>
      </c>
      <c r="Y84" s="22">
        <f t="shared" si="20"/>
        <v>3.4640571428571423E-2</v>
      </c>
      <c r="Z84" s="22">
        <f t="shared" si="20"/>
        <v>3.4640571428571423E-2</v>
      </c>
      <c r="AA84" s="22">
        <f t="shared" si="20"/>
        <v>3.4640571428571423E-2</v>
      </c>
      <c r="AB84" s="22">
        <f t="shared" si="20"/>
        <v>3.4640571428571423E-2</v>
      </c>
      <c r="AC84" s="22">
        <f t="shared" si="20"/>
        <v>3.4640571428571423E-2</v>
      </c>
      <c r="AD84" s="22">
        <f t="shared" si="20"/>
        <v>3.4640571428571423E-2</v>
      </c>
      <c r="AE84" s="22">
        <f t="shared" si="20"/>
        <v>3.4640571428571423E-2</v>
      </c>
      <c r="AF84" s="22">
        <f t="shared" si="20"/>
        <v>3.4640571428571423E-2</v>
      </c>
      <c r="AG84" s="22">
        <f t="shared" si="20"/>
        <v>3.4640571428571423E-2</v>
      </c>
      <c r="AH84" s="22">
        <f t="shared" si="20"/>
        <v>3.4640571428571423E-2</v>
      </c>
      <c r="AI84" s="22">
        <f t="shared" si="20"/>
        <v>3.4640571428571423E-2</v>
      </c>
      <c r="AJ84" s="22">
        <f t="shared" si="20"/>
        <v>3.4640571428571423E-2</v>
      </c>
      <c r="AK84" s="22">
        <f t="shared" si="20"/>
        <v>3.4640571428571423E-2</v>
      </c>
      <c r="AL84" s="22">
        <f t="shared" si="20"/>
        <v>3.4640571428571423E-2</v>
      </c>
      <c r="AM84" s="22">
        <f t="shared" si="20"/>
        <v>3.4640571428571423E-2</v>
      </c>
      <c r="AN84" s="22">
        <f t="shared" si="20"/>
        <v>3.4640571428571423E-2</v>
      </c>
      <c r="AO84" s="22">
        <f t="shared" si="20"/>
        <v>3.4640571428571423E-2</v>
      </c>
      <c r="AP84" s="22">
        <f t="shared" si="20"/>
        <v>3.4640571428571423E-2</v>
      </c>
      <c r="AQ84" s="22">
        <f t="shared" si="20"/>
        <v>3.4640571428571423E-2</v>
      </c>
      <c r="AR84" s="22">
        <f t="shared" si="20"/>
        <v>3.4640571428571423E-2</v>
      </c>
      <c r="AS84" s="22">
        <f t="shared" si="20"/>
        <v>3.4640571428571423E-2</v>
      </c>
      <c r="AT84" s="22">
        <f t="shared" si="20"/>
        <v>3.4640571428571423E-2</v>
      </c>
      <c r="AU84" s="22">
        <f t="shared" si="20"/>
        <v>3.4640571428571423E-2</v>
      </c>
      <c r="AV84" s="22">
        <f t="shared" si="20"/>
        <v>3.4640571428571423E-2</v>
      </c>
      <c r="AW84" s="22">
        <f t="shared" si="20"/>
        <v>3.4640571428571423E-2</v>
      </c>
      <c r="AY84" s="85"/>
    </row>
    <row r="85" spans="1:51" x14ac:dyDescent="0.25">
      <c r="A85" s="102" t="str">
        <f t="shared" si="0"/>
        <v>FS U&amp;D</v>
      </c>
      <c r="B85" s="102" t="s">
        <v>1005</v>
      </c>
      <c r="C85" s="102" t="s">
        <v>1337</v>
      </c>
      <c r="D85" t="s">
        <v>369</v>
      </c>
      <c r="E85" t="s">
        <v>55</v>
      </c>
      <c r="F85" t="s">
        <v>422</v>
      </c>
      <c r="G85" t="s">
        <v>1177</v>
      </c>
      <c r="H85" t="s">
        <v>1253</v>
      </c>
      <c r="I85" t="s">
        <v>139</v>
      </c>
      <c r="J85" t="s">
        <v>287</v>
      </c>
      <c r="K85" s="22">
        <f t="shared" si="16"/>
        <v>0</v>
      </c>
      <c r="L85" s="22">
        <f t="shared" si="20"/>
        <v>0</v>
      </c>
      <c r="M85" s="22">
        <f t="shared" si="20"/>
        <v>0</v>
      </c>
      <c r="N85" s="22">
        <f t="shared" si="20"/>
        <v>0</v>
      </c>
      <c r="O85" s="22">
        <f t="shared" si="20"/>
        <v>0</v>
      </c>
      <c r="P85" s="22">
        <f t="shared" si="20"/>
        <v>0</v>
      </c>
      <c r="Q85" s="22">
        <f t="shared" si="20"/>
        <v>0</v>
      </c>
      <c r="R85" s="22">
        <f t="shared" si="20"/>
        <v>0</v>
      </c>
      <c r="S85" s="22">
        <f t="shared" si="20"/>
        <v>0</v>
      </c>
      <c r="T85" s="22">
        <f t="shared" si="20"/>
        <v>0</v>
      </c>
      <c r="U85" s="22">
        <f t="shared" si="20"/>
        <v>0</v>
      </c>
      <c r="V85" s="22">
        <f t="shared" si="20"/>
        <v>0</v>
      </c>
      <c r="W85" s="22">
        <f t="shared" si="20"/>
        <v>0</v>
      </c>
      <c r="X85" s="22">
        <f t="shared" si="20"/>
        <v>0</v>
      </c>
      <c r="Y85" s="22">
        <f t="shared" si="20"/>
        <v>0</v>
      </c>
      <c r="Z85" s="22">
        <f t="shared" si="20"/>
        <v>0</v>
      </c>
      <c r="AA85" s="22">
        <f t="shared" si="20"/>
        <v>0</v>
      </c>
      <c r="AB85" s="22">
        <f t="shared" si="20"/>
        <v>0</v>
      </c>
      <c r="AC85" s="22">
        <f t="shared" si="20"/>
        <v>0</v>
      </c>
      <c r="AD85" s="22">
        <f t="shared" si="20"/>
        <v>0</v>
      </c>
      <c r="AE85" s="22">
        <f t="shared" si="20"/>
        <v>0</v>
      </c>
      <c r="AF85" s="22">
        <f t="shared" si="20"/>
        <v>0</v>
      </c>
      <c r="AG85" s="22">
        <f t="shared" si="20"/>
        <v>0</v>
      </c>
      <c r="AH85" s="22">
        <f t="shared" si="20"/>
        <v>0</v>
      </c>
      <c r="AI85" s="22">
        <f t="shared" si="20"/>
        <v>0</v>
      </c>
      <c r="AJ85" s="22">
        <f t="shared" si="20"/>
        <v>0</v>
      </c>
      <c r="AK85" s="22">
        <f t="shared" si="20"/>
        <v>0</v>
      </c>
      <c r="AL85" s="22">
        <f t="shared" si="20"/>
        <v>0</v>
      </c>
      <c r="AM85" s="22">
        <f t="shared" si="20"/>
        <v>0</v>
      </c>
      <c r="AN85" s="22">
        <f t="shared" si="20"/>
        <v>0</v>
      </c>
      <c r="AO85" s="22">
        <f t="shared" si="20"/>
        <v>0</v>
      </c>
      <c r="AP85" s="22">
        <f t="shared" si="20"/>
        <v>0</v>
      </c>
      <c r="AQ85" s="22">
        <f t="shared" si="20"/>
        <v>0</v>
      </c>
      <c r="AR85" s="22">
        <f t="shared" si="20"/>
        <v>0</v>
      </c>
      <c r="AS85" s="22">
        <f t="shared" si="20"/>
        <v>0</v>
      </c>
      <c r="AT85" s="22">
        <f t="shared" si="20"/>
        <v>0</v>
      </c>
      <c r="AU85" s="22">
        <f t="shared" si="20"/>
        <v>0</v>
      </c>
      <c r="AV85" s="22">
        <f t="shared" si="20"/>
        <v>0</v>
      </c>
      <c r="AW85" s="22">
        <f t="shared" si="20"/>
        <v>0</v>
      </c>
      <c r="AY85" s="85"/>
    </row>
    <row r="86" spans="1:51" x14ac:dyDescent="0.25">
      <c r="A86" s="102" t="str">
        <f t="shared" si="0"/>
        <v>FS U&amp;D</v>
      </c>
      <c r="B86" s="102" t="s">
        <v>1005</v>
      </c>
      <c r="C86" s="102" t="s">
        <v>1337</v>
      </c>
      <c r="D86" t="s">
        <v>369</v>
      </c>
      <c r="E86" t="s">
        <v>55</v>
      </c>
      <c r="F86" t="s">
        <v>422</v>
      </c>
      <c r="G86" t="s">
        <v>1179</v>
      </c>
      <c r="H86" t="s">
        <v>1254</v>
      </c>
      <c r="I86" t="s">
        <v>139</v>
      </c>
      <c r="J86" t="s">
        <v>287</v>
      </c>
      <c r="K86" s="22">
        <f t="shared" si="16"/>
        <v>0</v>
      </c>
      <c r="L86" s="22">
        <f t="shared" si="20"/>
        <v>0</v>
      </c>
      <c r="M86" s="22">
        <f t="shared" si="20"/>
        <v>0</v>
      </c>
      <c r="N86" s="22">
        <f t="shared" si="20"/>
        <v>0</v>
      </c>
      <c r="O86" s="22">
        <f t="shared" si="20"/>
        <v>0</v>
      </c>
      <c r="P86" s="22">
        <f t="shared" si="20"/>
        <v>0</v>
      </c>
      <c r="Q86" s="22">
        <f t="shared" si="20"/>
        <v>0</v>
      </c>
      <c r="R86" s="22">
        <f t="shared" si="20"/>
        <v>0</v>
      </c>
      <c r="S86" s="22">
        <f t="shared" si="20"/>
        <v>0</v>
      </c>
      <c r="T86" s="22">
        <f t="shared" si="20"/>
        <v>0</v>
      </c>
      <c r="U86" s="22">
        <f t="shared" si="20"/>
        <v>0</v>
      </c>
      <c r="V86" s="22">
        <f t="shared" si="20"/>
        <v>0</v>
      </c>
      <c r="W86" s="22">
        <f t="shared" si="20"/>
        <v>0</v>
      </c>
      <c r="X86" s="22">
        <f t="shared" si="20"/>
        <v>0</v>
      </c>
      <c r="Y86" s="22">
        <f t="shared" si="20"/>
        <v>0</v>
      </c>
      <c r="Z86" s="22">
        <f t="shared" si="20"/>
        <v>0</v>
      </c>
      <c r="AA86" s="22">
        <f t="shared" si="20"/>
        <v>0</v>
      </c>
      <c r="AB86" s="22">
        <f t="shared" si="20"/>
        <v>0</v>
      </c>
      <c r="AC86" s="22">
        <f t="shared" si="20"/>
        <v>0</v>
      </c>
      <c r="AD86" s="22">
        <f t="shared" si="20"/>
        <v>0</v>
      </c>
      <c r="AE86" s="22">
        <f t="shared" si="20"/>
        <v>0</v>
      </c>
      <c r="AF86" s="22">
        <f t="shared" si="20"/>
        <v>0</v>
      </c>
      <c r="AG86" s="22">
        <f t="shared" si="20"/>
        <v>0</v>
      </c>
      <c r="AH86" s="22">
        <f t="shared" si="20"/>
        <v>0</v>
      </c>
      <c r="AI86" s="22">
        <f t="shared" si="20"/>
        <v>0</v>
      </c>
      <c r="AJ86" s="22">
        <f t="shared" si="20"/>
        <v>0</v>
      </c>
      <c r="AK86" s="22">
        <f t="shared" si="20"/>
        <v>0</v>
      </c>
      <c r="AL86" s="22">
        <f t="shared" si="20"/>
        <v>0</v>
      </c>
      <c r="AM86" s="22">
        <f t="shared" si="20"/>
        <v>0</v>
      </c>
      <c r="AN86" s="22">
        <f t="shared" si="20"/>
        <v>0</v>
      </c>
      <c r="AO86" s="22">
        <f t="shared" si="20"/>
        <v>0</v>
      </c>
      <c r="AP86" s="22">
        <f t="shared" si="20"/>
        <v>0</v>
      </c>
      <c r="AQ86" s="22">
        <f t="shared" si="20"/>
        <v>0</v>
      </c>
      <c r="AR86" s="22">
        <f t="shared" si="20"/>
        <v>0</v>
      </c>
      <c r="AS86" s="22">
        <f t="shared" si="20"/>
        <v>0</v>
      </c>
      <c r="AT86" s="22">
        <f t="shared" si="20"/>
        <v>0</v>
      </c>
      <c r="AU86" s="22">
        <f t="shared" si="20"/>
        <v>0</v>
      </c>
      <c r="AV86" s="22">
        <f t="shared" si="20"/>
        <v>0</v>
      </c>
      <c r="AW86" s="22">
        <f t="shared" si="20"/>
        <v>0</v>
      </c>
      <c r="AY86" s="85"/>
    </row>
    <row r="87" spans="1:51" x14ac:dyDescent="0.25">
      <c r="A87" s="102" t="str">
        <f t="shared" si="0"/>
        <v>FS U&amp;D</v>
      </c>
      <c r="B87" s="102" t="s">
        <v>1005</v>
      </c>
      <c r="C87" s="102" t="s">
        <v>1337</v>
      </c>
      <c r="D87" t="s">
        <v>369</v>
      </c>
      <c r="E87" t="s">
        <v>55</v>
      </c>
      <c r="F87" t="s">
        <v>422</v>
      </c>
      <c r="G87" t="s">
        <v>1181</v>
      </c>
      <c r="H87" t="s">
        <v>1255</v>
      </c>
      <c r="I87" t="s">
        <v>139</v>
      </c>
      <c r="J87" t="s">
        <v>287</v>
      </c>
      <c r="K87" s="22">
        <f t="shared" si="16"/>
        <v>0</v>
      </c>
      <c r="L87" s="22">
        <f t="shared" si="20"/>
        <v>0</v>
      </c>
      <c r="M87" s="22">
        <f t="shared" si="20"/>
        <v>0</v>
      </c>
      <c r="N87" s="22">
        <f t="shared" si="20"/>
        <v>0</v>
      </c>
      <c r="O87" s="22">
        <f t="shared" si="20"/>
        <v>0</v>
      </c>
      <c r="P87" s="22">
        <f t="shared" si="20"/>
        <v>0</v>
      </c>
      <c r="Q87" s="22">
        <f t="shared" si="20"/>
        <v>0</v>
      </c>
      <c r="R87" s="22">
        <f t="shared" si="20"/>
        <v>0</v>
      </c>
      <c r="S87" s="22">
        <f t="shared" si="20"/>
        <v>0</v>
      </c>
      <c r="T87" s="22">
        <f t="shared" si="20"/>
        <v>0</v>
      </c>
      <c r="U87" s="22">
        <f t="shared" si="20"/>
        <v>0</v>
      </c>
      <c r="V87" s="22">
        <f t="shared" si="20"/>
        <v>0</v>
      </c>
      <c r="W87" s="22">
        <f t="shared" si="20"/>
        <v>0</v>
      </c>
      <c r="X87" s="22">
        <f t="shared" si="20"/>
        <v>0</v>
      </c>
      <c r="Y87" s="22">
        <f t="shared" si="20"/>
        <v>0</v>
      </c>
      <c r="Z87" s="22">
        <f t="shared" si="20"/>
        <v>0</v>
      </c>
      <c r="AA87" s="22">
        <f t="shared" si="20"/>
        <v>0</v>
      </c>
      <c r="AB87" s="22">
        <f t="shared" si="20"/>
        <v>0</v>
      </c>
      <c r="AC87" s="22">
        <f t="shared" si="20"/>
        <v>0</v>
      </c>
      <c r="AD87" s="22">
        <f t="shared" si="20"/>
        <v>0</v>
      </c>
      <c r="AE87" s="22">
        <f t="shared" si="20"/>
        <v>0</v>
      </c>
      <c r="AF87" s="22">
        <f t="shared" si="20"/>
        <v>0</v>
      </c>
      <c r="AG87" s="22">
        <f t="shared" si="20"/>
        <v>0</v>
      </c>
      <c r="AH87" s="22">
        <f t="shared" si="20"/>
        <v>0</v>
      </c>
      <c r="AI87" s="22">
        <f t="shared" si="20"/>
        <v>0</v>
      </c>
      <c r="AJ87" s="22">
        <f t="shared" si="20"/>
        <v>0</v>
      </c>
      <c r="AK87" s="22">
        <f t="shared" si="20"/>
        <v>0</v>
      </c>
      <c r="AL87" s="22">
        <f t="shared" si="20"/>
        <v>0</v>
      </c>
      <c r="AM87" s="22">
        <f t="shared" si="20"/>
        <v>0</v>
      </c>
      <c r="AN87" s="22">
        <f t="shared" si="20"/>
        <v>0</v>
      </c>
      <c r="AO87" s="22">
        <f t="shared" si="20"/>
        <v>0</v>
      </c>
      <c r="AP87" s="22">
        <f t="shared" si="20"/>
        <v>0</v>
      </c>
      <c r="AQ87" s="22">
        <f t="shared" si="20"/>
        <v>0</v>
      </c>
      <c r="AR87" s="22">
        <f t="shared" si="20"/>
        <v>0</v>
      </c>
      <c r="AS87" s="22">
        <f t="shared" si="20"/>
        <v>0</v>
      </c>
      <c r="AT87" s="22">
        <f t="shared" si="20"/>
        <v>0</v>
      </c>
      <c r="AU87" s="22">
        <f t="shared" si="20"/>
        <v>0</v>
      </c>
      <c r="AV87" s="22">
        <f t="shared" ref="L87:AW94" si="21">AV1496</f>
        <v>0</v>
      </c>
      <c r="AW87" s="22">
        <f t="shared" si="21"/>
        <v>0</v>
      </c>
      <c r="AY87" s="85"/>
    </row>
    <row r="88" spans="1:51" x14ac:dyDescent="0.25">
      <c r="A88" s="102" t="str">
        <f t="shared" si="0"/>
        <v>FS U&amp;D</v>
      </c>
      <c r="B88" s="102" t="s">
        <v>1005</v>
      </c>
      <c r="C88" s="102" t="s">
        <v>1337</v>
      </c>
      <c r="D88" t="s">
        <v>369</v>
      </c>
      <c r="E88" t="s">
        <v>55</v>
      </c>
      <c r="F88" t="s">
        <v>422</v>
      </c>
      <c r="G88" t="s">
        <v>1183</v>
      </c>
      <c r="H88" t="s">
        <v>1256</v>
      </c>
      <c r="I88" t="s">
        <v>139</v>
      </c>
      <c r="J88" t="s">
        <v>287</v>
      </c>
      <c r="K88" s="22">
        <f t="shared" si="16"/>
        <v>0</v>
      </c>
      <c r="L88" s="22">
        <f t="shared" si="21"/>
        <v>0</v>
      </c>
      <c r="M88" s="22">
        <f t="shared" si="21"/>
        <v>0</v>
      </c>
      <c r="N88" s="22">
        <f t="shared" si="21"/>
        <v>0</v>
      </c>
      <c r="O88" s="22">
        <f t="shared" si="21"/>
        <v>0</v>
      </c>
      <c r="P88" s="22">
        <f t="shared" si="21"/>
        <v>0</v>
      </c>
      <c r="Q88" s="22">
        <f t="shared" si="21"/>
        <v>0</v>
      </c>
      <c r="R88" s="22">
        <f t="shared" si="21"/>
        <v>0</v>
      </c>
      <c r="S88" s="22">
        <f t="shared" si="21"/>
        <v>0</v>
      </c>
      <c r="T88" s="22">
        <f t="shared" si="21"/>
        <v>0</v>
      </c>
      <c r="U88" s="22">
        <f t="shared" si="21"/>
        <v>0</v>
      </c>
      <c r="V88" s="22">
        <f t="shared" si="21"/>
        <v>0</v>
      </c>
      <c r="W88" s="22">
        <f t="shared" si="21"/>
        <v>0</v>
      </c>
      <c r="X88" s="22">
        <f t="shared" si="21"/>
        <v>0</v>
      </c>
      <c r="Y88" s="22">
        <f t="shared" si="21"/>
        <v>0</v>
      </c>
      <c r="Z88" s="22">
        <f t="shared" si="21"/>
        <v>0</v>
      </c>
      <c r="AA88" s="22">
        <f t="shared" si="21"/>
        <v>0</v>
      </c>
      <c r="AB88" s="22">
        <f t="shared" si="21"/>
        <v>0</v>
      </c>
      <c r="AC88" s="22">
        <f t="shared" si="21"/>
        <v>0</v>
      </c>
      <c r="AD88" s="22">
        <f t="shared" si="21"/>
        <v>0</v>
      </c>
      <c r="AE88" s="22">
        <f t="shared" si="21"/>
        <v>0</v>
      </c>
      <c r="AF88" s="22">
        <f t="shared" si="21"/>
        <v>0</v>
      </c>
      <c r="AG88" s="22">
        <f t="shared" si="21"/>
        <v>0</v>
      </c>
      <c r="AH88" s="22">
        <f t="shared" si="21"/>
        <v>0</v>
      </c>
      <c r="AI88" s="22">
        <f t="shared" si="21"/>
        <v>0</v>
      </c>
      <c r="AJ88" s="22">
        <f t="shared" si="21"/>
        <v>0</v>
      </c>
      <c r="AK88" s="22">
        <f t="shared" si="21"/>
        <v>0</v>
      </c>
      <c r="AL88" s="22">
        <f t="shared" si="21"/>
        <v>0</v>
      </c>
      <c r="AM88" s="22">
        <f t="shared" si="21"/>
        <v>0</v>
      </c>
      <c r="AN88" s="22">
        <f t="shared" si="21"/>
        <v>0</v>
      </c>
      <c r="AO88" s="22">
        <f t="shared" si="21"/>
        <v>0</v>
      </c>
      <c r="AP88" s="22">
        <f t="shared" si="21"/>
        <v>0</v>
      </c>
      <c r="AQ88" s="22">
        <f t="shared" si="21"/>
        <v>0</v>
      </c>
      <c r="AR88" s="22">
        <f t="shared" si="21"/>
        <v>0</v>
      </c>
      <c r="AS88" s="22">
        <f t="shared" si="21"/>
        <v>0</v>
      </c>
      <c r="AT88" s="22">
        <f t="shared" si="21"/>
        <v>0</v>
      </c>
      <c r="AU88" s="22">
        <f t="shared" si="21"/>
        <v>0</v>
      </c>
      <c r="AV88" s="22">
        <f t="shared" si="21"/>
        <v>0</v>
      </c>
      <c r="AW88" s="22">
        <f t="shared" si="21"/>
        <v>0</v>
      </c>
      <c r="AY88" s="85"/>
    </row>
    <row r="89" spans="1:51" x14ac:dyDescent="0.25">
      <c r="A89" s="102" t="str">
        <f t="shared" si="0"/>
        <v>FS FSOM</v>
      </c>
      <c r="B89" s="102" t="s">
        <v>1005</v>
      </c>
      <c r="C89" s="102" t="s">
        <v>60</v>
      </c>
      <c r="D89" t="s">
        <v>369</v>
      </c>
      <c r="E89" t="s">
        <v>55</v>
      </c>
      <c r="F89" t="s">
        <v>60</v>
      </c>
      <c r="G89" t="s">
        <v>1267</v>
      </c>
      <c r="H89" t="s">
        <v>1268</v>
      </c>
      <c r="J89" t="s">
        <v>287</v>
      </c>
      <c r="K89" s="22" t="str">
        <f t="shared" si="16"/>
        <v>NO</v>
      </c>
      <c r="L89" s="22" t="str">
        <f t="shared" si="21"/>
        <v>NO</v>
      </c>
      <c r="M89" s="22" t="str">
        <f t="shared" si="21"/>
        <v>NO</v>
      </c>
      <c r="N89" s="22" t="str">
        <f t="shared" si="21"/>
        <v>NO</v>
      </c>
      <c r="O89" s="22" t="str">
        <f t="shared" si="21"/>
        <v>NO</v>
      </c>
      <c r="P89" s="22" t="str">
        <f t="shared" si="21"/>
        <v>NO</v>
      </c>
      <c r="Q89" s="22" t="str">
        <f t="shared" si="21"/>
        <v>NO</v>
      </c>
      <c r="R89" s="22" t="str">
        <f t="shared" si="21"/>
        <v>NO</v>
      </c>
      <c r="S89" s="22" t="str">
        <f t="shared" si="21"/>
        <v>NO</v>
      </c>
      <c r="T89" s="22" t="str">
        <f t="shared" si="21"/>
        <v>NO</v>
      </c>
      <c r="U89" s="22" t="str">
        <f t="shared" si="21"/>
        <v>NO</v>
      </c>
      <c r="V89" s="22" t="str">
        <f t="shared" si="21"/>
        <v>NO</v>
      </c>
      <c r="W89" s="22" t="str">
        <f t="shared" si="21"/>
        <v>NO</v>
      </c>
      <c r="X89" s="22" t="str">
        <f t="shared" si="21"/>
        <v>NO</v>
      </c>
      <c r="Y89" s="22" t="str">
        <f t="shared" si="21"/>
        <v>NO</v>
      </c>
      <c r="Z89" s="22" t="str">
        <f t="shared" si="21"/>
        <v>NO</v>
      </c>
      <c r="AA89" s="22" t="str">
        <f t="shared" si="21"/>
        <v>NO</v>
      </c>
      <c r="AB89" s="22" t="str">
        <f t="shared" si="21"/>
        <v>NO</v>
      </c>
      <c r="AC89" s="22" t="str">
        <f t="shared" si="21"/>
        <v>NO</v>
      </c>
      <c r="AD89" s="22" t="str">
        <f t="shared" si="21"/>
        <v>NO</v>
      </c>
      <c r="AE89" s="22" t="str">
        <f t="shared" si="21"/>
        <v>NO</v>
      </c>
      <c r="AF89" s="22" t="str">
        <f t="shared" si="21"/>
        <v>NO</v>
      </c>
      <c r="AG89" s="22" t="str">
        <f t="shared" si="21"/>
        <v>NO</v>
      </c>
      <c r="AH89" s="22" t="str">
        <f t="shared" si="21"/>
        <v>NO</v>
      </c>
      <c r="AI89" s="22" t="str">
        <f t="shared" si="21"/>
        <v>NO</v>
      </c>
      <c r="AJ89" s="22" t="str">
        <f t="shared" si="21"/>
        <v>NO</v>
      </c>
      <c r="AK89" s="22" t="str">
        <f t="shared" si="21"/>
        <v>NO</v>
      </c>
      <c r="AL89" s="22" t="str">
        <f t="shared" si="21"/>
        <v>NO</v>
      </c>
      <c r="AM89" s="22" t="str">
        <f t="shared" si="21"/>
        <v>NO</v>
      </c>
      <c r="AN89" s="22" t="str">
        <f t="shared" si="21"/>
        <v>NO</v>
      </c>
      <c r="AO89" s="22" t="str">
        <f t="shared" si="21"/>
        <v>NO</v>
      </c>
      <c r="AP89" s="22" t="str">
        <f t="shared" si="21"/>
        <v>NO</v>
      </c>
      <c r="AQ89" s="22" t="str">
        <f t="shared" si="21"/>
        <v>NO</v>
      </c>
      <c r="AR89" s="22" t="str">
        <f t="shared" si="21"/>
        <v>NO</v>
      </c>
      <c r="AS89" s="22" t="str">
        <f t="shared" si="21"/>
        <v>NO</v>
      </c>
      <c r="AT89" s="22" t="str">
        <f t="shared" si="21"/>
        <v>NO</v>
      </c>
      <c r="AU89" s="22" t="str">
        <f t="shared" si="21"/>
        <v>NO</v>
      </c>
      <c r="AV89" s="22" t="str">
        <f t="shared" si="21"/>
        <v>NO</v>
      </c>
      <c r="AW89" s="22" t="str">
        <f t="shared" si="21"/>
        <v>NO</v>
      </c>
      <c r="AY89" s="85"/>
    </row>
    <row r="90" spans="1:51" x14ac:dyDescent="0.25">
      <c r="A90" s="102" t="str">
        <f t="shared" si="0"/>
        <v>FS FSOM</v>
      </c>
      <c r="B90" s="102" t="s">
        <v>1005</v>
      </c>
      <c r="C90" s="102" t="s">
        <v>60</v>
      </c>
      <c r="D90" t="s">
        <v>369</v>
      </c>
      <c r="E90" t="s">
        <v>55</v>
      </c>
      <c r="F90" t="s">
        <v>60</v>
      </c>
      <c r="G90" t="s">
        <v>1269</v>
      </c>
      <c r="H90" t="s">
        <v>1270</v>
      </c>
      <c r="J90" t="s">
        <v>287</v>
      </c>
      <c r="K90" s="22" t="str">
        <f t="shared" si="16"/>
        <v>NO</v>
      </c>
      <c r="L90" s="22" t="str">
        <f t="shared" si="21"/>
        <v>NO</v>
      </c>
      <c r="M90" s="22" t="str">
        <f t="shared" si="21"/>
        <v>NO</v>
      </c>
      <c r="N90" s="22" t="str">
        <f t="shared" si="21"/>
        <v>NO</v>
      </c>
      <c r="O90" s="22" t="str">
        <f t="shared" si="21"/>
        <v>NO</v>
      </c>
      <c r="P90" s="22" t="str">
        <f t="shared" si="21"/>
        <v>NO</v>
      </c>
      <c r="Q90" s="22" t="str">
        <f t="shared" si="21"/>
        <v>NO</v>
      </c>
      <c r="R90" s="22" t="str">
        <f t="shared" si="21"/>
        <v>NO</v>
      </c>
      <c r="S90" s="22" t="str">
        <f t="shared" si="21"/>
        <v>NO</v>
      </c>
      <c r="T90" s="22" t="str">
        <f t="shared" si="21"/>
        <v>NO</v>
      </c>
      <c r="U90" s="22" t="str">
        <f t="shared" si="21"/>
        <v>NO</v>
      </c>
      <c r="V90" s="22" t="str">
        <f t="shared" si="21"/>
        <v>NO</v>
      </c>
      <c r="W90" s="22" t="str">
        <f t="shared" si="21"/>
        <v>NO</v>
      </c>
      <c r="X90" s="22" t="str">
        <f t="shared" si="21"/>
        <v>NO</v>
      </c>
      <c r="Y90" s="22" t="str">
        <f t="shared" si="21"/>
        <v>NO</v>
      </c>
      <c r="Z90" s="22" t="str">
        <f t="shared" si="21"/>
        <v>NO</v>
      </c>
      <c r="AA90" s="22" t="str">
        <f t="shared" si="21"/>
        <v>NO</v>
      </c>
      <c r="AB90" s="22" t="str">
        <f t="shared" si="21"/>
        <v>NO</v>
      </c>
      <c r="AC90" s="22" t="str">
        <f t="shared" si="21"/>
        <v>NO</v>
      </c>
      <c r="AD90" s="22" t="str">
        <f t="shared" si="21"/>
        <v>NO</v>
      </c>
      <c r="AE90" s="22" t="str">
        <f t="shared" si="21"/>
        <v>NO</v>
      </c>
      <c r="AF90" s="22" t="str">
        <f t="shared" si="21"/>
        <v>NO</v>
      </c>
      <c r="AG90" s="22" t="str">
        <f t="shared" si="21"/>
        <v>NO</v>
      </c>
      <c r="AH90" s="22" t="str">
        <f t="shared" si="21"/>
        <v>NO</v>
      </c>
      <c r="AI90" s="22" t="str">
        <f t="shared" si="21"/>
        <v>NO</v>
      </c>
      <c r="AJ90" s="22" t="str">
        <f t="shared" si="21"/>
        <v>NO</v>
      </c>
      <c r="AK90" s="22" t="str">
        <f t="shared" si="21"/>
        <v>NO</v>
      </c>
      <c r="AL90" s="22" t="str">
        <f t="shared" si="21"/>
        <v>NO</v>
      </c>
      <c r="AM90" s="22" t="str">
        <f t="shared" si="21"/>
        <v>NO</v>
      </c>
      <c r="AN90" s="22" t="str">
        <f t="shared" si="21"/>
        <v>NO</v>
      </c>
      <c r="AO90" s="22" t="str">
        <f t="shared" si="21"/>
        <v>NO</v>
      </c>
      <c r="AP90" s="22" t="str">
        <f t="shared" si="21"/>
        <v>NO</v>
      </c>
      <c r="AQ90" s="22" t="str">
        <f t="shared" si="21"/>
        <v>NO</v>
      </c>
      <c r="AR90" s="22" t="str">
        <f t="shared" si="21"/>
        <v>NO</v>
      </c>
      <c r="AS90" s="22" t="str">
        <f t="shared" si="21"/>
        <v>NO</v>
      </c>
      <c r="AT90" s="22" t="str">
        <f t="shared" si="21"/>
        <v>NO</v>
      </c>
      <c r="AU90" s="22" t="str">
        <f t="shared" si="21"/>
        <v>NO</v>
      </c>
      <c r="AV90" s="22" t="str">
        <f t="shared" si="21"/>
        <v>NO</v>
      </c>
      <c r="AW90" s="22" t="str">
        <f t="shared" si="21"/>
        <v>NO</v>
      </c>
      <c r="AY90" s="85"/>
    </row>
    <row r="91" spans="1:51" x14ac:dyDescent="0.25">
      <c r="A91" s="102" t="str">
        <f t="shared" si="0"/>
        <v>FS FSOM</v>
      </c>
      <c r="B91" s="102" t="s">
        <v>1005</v>
      </c>
      <c r="C91" s="102" t="s">
        <v>60</v>
      </c>
      <c r="D91" t="s">
        <v>369</v>
      </c>
      <c r="E91" t="s">
        <v>55</v>
      </c>
      <c r="F91" t="s">
        <v>60</v>
      </c>
      <c r="G91" t="s">
        <v>1271</v>
      </c>
      <c r="H91" t="s">
        <v>1272</v>
      </c>
      <c r="J91" t="s">
        <v>287</v>
      </c>
      <c r="K91" s="22">
        <f t="shared" si="16"/>
        <v>3.4398813895090996E-3</v>
      </c>
      <c r="L91" s="22">
        <f t="shared" si="21"/>
        <v>3.4358310252377683E-3</v>
      </c>
      <c r="M91" s="22">
        <f t="shared" si="21"/>
        <v>3.4317806609664363E-3</v>
      </c>
      <c r="N91" s="22">
        <f t="shared" si="21"/>
        <v>3.4277302966951037E-3</v>
      </c>
      <c r="O91" s="22">
        <f t="shared" si="21"/>
        <v>3.4236799324237725E-3</v>
      </c>
      <c r="P91" s="22">
        <f t="shared" si="21"/>
        <v>3.4196295681524396E-3</v>
      </c>
      <c r="Q91" s="22">
        <f t="shared" si="21"/>
        <v>3.4155792038811079E-3</v>
      </c>
      <c r="R91" s="22">
        <f t="shared" si="21"/>
        <v>3.4115288396097763E-3</v>
      </c>
      <c r="S91" s="22">
        <f t="shared" si="21"/>
        <v>3.4074784753384451E-3</v>
      </c>
      <c r="T91" s="22">
        <f t="shared" si="21"/>
        <v>3.4034281110671134E-3</v>
      </c>
      <c r="U91" s="22">
        <f t="shared" si="21"/>
        <v>3.39937774679578E-3</v>
      </c>
      <c r="V91" s="22">
        <f t="shared" si="21"/>
        <v>3.3953273825244488E-3</v>
      </c>
      <c r="W91" s="22">
        <f t="shared" si="21"/>
        <v>3.3912770182531172E-3</v>
      </c>
      <c r="X91" s="22">
        <f t="shared" si="21"/>
        <v>3.387226653981786E-3</v>
      </c>
      <c r="Y91" s="22">
        <f t="shared" si="21"/>
        <v>3.3831762897104547E-3</v>
      </c>
      <c r="Z91" s="22">
        <f t="shared" si="21"/>
        <v>3.3791259254391218E-3</v>
      </c>
      <c r="AA91" s="22">
        <f t="shared" si="21"/>
        <v>3.375075561167791E-3</v>
      </c>
      <c r="AB91" s="22">
        <f t="shared" si="21"/>
        <v>3.3710251968964585E-3</v>
      </c>
      <c r="AC91" s="22">
        <f t="shared" si="21"/>
        <v>3.3669748326251273E-3</v>
      </c>
      <c r="AD91" s="22">
        <f t="shared" si="21"/>
        <v>3.3629244683537943E-3</v>
      </c>
      <c r="AE91" s="22">
        <f t="shared" si="21"/>
        <v>3.358874104082464E-3</v>
      </c>
      <c r="AF91" s="22">
        <f t="shared" si="21"/>
        <v>3.3548237398111319E-3</v>
      </c>
      <c r="AG91" s="22">
        <f t="shared" si="21"/>
        <v>3.3507733755397998E-3</v>
      </c>
      <c r="AH91" s="22">
        <f t="shared" si="21"/>
        <v>3.3467230112684673E-3</v>
      </c>
      <c r="AI91" s="22">
        <f t="shared" si="21"/>
        <v>3.3426726469971361E-3</v>
      </c>
      <c r="AJ91" s="22">
        <f t="shared" si="21"/>
        <v>3.3386222827258044E-3</v>
      </c>
      <c r="AK91" s="22">
        <f t="shared" si="21"/>
        <v>3.3345719184544728E-3</v>
      </c>
      <c r="AL91" s="22">
        <f t="shared" si="21"/>
        <v>3.3305215541831416E-3</v>
      </c>
      <c r="AM91" s="22">
        <f t="shared" si="21"/>
        <v>3.3264711899118095E-3</v>
      </c>
      <c r="AN91" s="22">
        <f t="shared" si="21"/>
        <v>3.3224208256404765E-3</v>
      </c>
      <c r="AO91" s="22">
        <f t="shared" si="21"/>
        <v>3.3183704613691458E-3</v>
      </c>
      <c r="AP91" s="22">
        <f t="shared" si="21"/>
        <v>3.3143200970978137E-3</v>
      </c>
      <c r="AQ91" s="22">
        <f t="shared" si="21"/>
        <v>3.3102697328264833E-3</v>
      </c>
      <c r="AR91" s="22">
        <f t="shared" si="21"/>
        <v>3.3062193685551499E-3</v>
      </c>
      <c r="AS91" s="22">
        <f t="shared" si="21"/>
        <v>3.3021690042838187E-3</v>
      </c>
      <c r="AT91" s="22">
        <f t="shared" si="21"/>
        <v>3.2981186400124866E-3</v>
      </c>
      <c r="AU91" s="22">
        <f t="shared" si="21"/>
        <v>3.2940682757411541E-3</v>
      </c>
      <c r="AV91" s="22">
        <f t="shared" si="21"/>
        <v>3.2900179114698229E-3</v>
      </c>
      <c r="AW91" s="22">
        <f t="shared" si="21"/>
        <v>3.2859675471984908E-3</v>
      </c>
      <c r="AY91" s="85"/>
    </row>
    <row r="92" spans="1:51" x14ac:dyDescent="0.25">
      <c r="A92" s="102" t="str">
        <f t="shared" si="0"/>
        <v>FS FSOM</v>
      </c>
      <c r="B92" s="102" t="s">
        <v>1005</v>
      </c>
      <c r="C92" s="102" t="s">
        <v>60</v>
      </c>
      <c r="D92" t="s">
        <v>369</v>
      </c>
      <c r="E92" t="s">
        <v>55</v>
      </c>
      <c r="F92" t="s">
        <v>60</v>
      </c>
      <c r="G92" t="s">
        <v>1273</v>
      </c>
      <c r="H92" t="s">
        <v>1274</v>
      </c>
      <c r="J92" t="s">
        <v>287</v>
      </c>
      <c r="K92" s="22">
        <f t="shared" si="16"/>
        <v>0.49020960547040615</v>
      </c>
      <c r="L92" s="22">
        <f t="shared" si="21"/>
        <v>0.49134551154341793</v>
      </c>
      <c r="M92" s="22">
        <f t="shared" si="21"/>
        <v>0.49248141761642988</v>
      </c>
      <c r="N92" s="22">
        <f t="shared" si="21"/>
        <v>0.49361732368944172</v>
      </c>
      <c r="O92" s="22">
        <f t="shared" si="21"/>
        <v>0.49475322976245356</v>
      </c>
      <c r="P92" s="22">
        <f t="shared" si="21"/>
        <v>0.49588913583546534</v>
      </c>
      <c r="Q92" s="22">
        <f t="shared" si="21"/>
        <v>0.49702504190847724</v>
      </c>
      <c r="R92" s="22">
        <f t="shared" si="21"/>
        <v>0.49816094798148913</v>
      </c>
      <c r="S92" s="22">
        <f t="shared" si="21"/>
        <v>0.49929685405450086</v>
      </c>
      <c r="T92" s="22">
        <f t="shared" si="21"/>
        <v>0.50043276012751292</v>
      </c>
      <c r="U92" s="22">
        <f t="shared" si="21"/>
        <v>0.50156866620052454</v>
      </c>
      <c r="V92" s="22">
        <f t="shared" si="21"/>
        <v>0.50270457227353649</v>
      </c>
      <c r="W92" s="22">
        <f t="shared" si="21"/>
        <v>0.50384047834654833</v>
      </c>
      <c r="X92" s="22">
        <f t="shared" si="21"/>
        <v>0.50497638441956039</v>
      </c>
      <c r="Y92" s="22">
        <f t="shared" si="21"/>
        <v>0.506112290492572</v>
      </c>
      <c r="Z92" s="22">
        <f t="shared" si="21"/>
        <v>0.50724819656558406</v>
      </c>
      <c r="AA92" s="22">
        <f t="shared" si="21"/>
        <v>0.50838410263859568</v>
      </c>
      <c r="AB92" s="22">
        <f t="shared" si="21"/>
        <v>0.50952000871160763</v>
      </c>
      <c r="AC92" s="22">
        <f t="shared" si="21"/>
        <v>0.51065591478461958</v>
      </c>
      <c r="AD92" s="22">
        <f t="shared" si="21"/>
        <v>0.51179182085763142</v>
      </c>
      <c r="AE92" s="22">
        <f t="shared" si="21"/>
        <v>0.51292772693064326</v>
      </c>
      <c r="AF92" s="22">
        <f t="shared" si="21"/>
        <v>0.5140636330036551</v>
      </c>
      <c r="AG92" s="22">
        <f t="shared" si="21"/>
        <v>0.51519953907666705</v>
      </c>
      <c r="AH92" s="22">
        <f t="shared" si="21"/>
        <v>0.51633544514967877</v>
      </c>
      <c r="AI92" s="22">
        <f t="shared" si="21"/>
        <v>0.51747135122269072</v>
      </c>
      <c r="AJ92" s="22">
        <f t="shared" si="21"/>
        <v>0.51860725729570256</v>
      </c>
      <c r="AK92" s="22">
        <f t="shared" si="21"/>
        <v>0.5197431633687144</v>
      </c>
      <c r="AL92" s="22">
        <f t="shared" si="21"/>
        <v>0.52087906944172624</v>
      </c>
      <c r="AM92" s="22">
        <f t="shared" si="21"/>
        <v>0.52201497551473808</v>
      </c>
      <c r="AN92" s="22">
        <f t="shared" si="21"/>
        <v>0.52315088158774992</v>
      </c>
      <c r="AO92" s="22">
        <f t="shared" si="21"/>
        <v>0.52428678766076187</v>
      </c>
      <c r="AP92" s="22">
        <f t="shared" si="21"/>
        <v>0.52542269373377359</v>
      </c>
      <c r="AQ92" s="22">
        <f t="shared" si="21"/>
        <v>0.52655859980678543</v>
      </c>
      <c r="AR92" s="22">
        <f t="shared" si="21"/>
        <v>0.52769450587979749</v>
      </c>
      <c r="AS92" s="22">
        <f t="shared" si="21"/>
        <v>0.52883041195280922</v>
      </c>
      <c r="AT92" s="22">
        <f t="shared" si="21"/>
        <v>0.52996631802582106</v>
      </c>
      <c r="AU92" s="22">
        <f t="shared" si="21"/>
        <v>0.53110222409883301</v>
      </c>
      <c r="AV92" s="22">
        <f t="shared" si="21"/>
        <v>0.53223813017184474</v>
      </c>
      <c r="AW92" s="22">
        <f t="shared" si="21"/>
        <v>0.5333740362448568</v>
      </c>
      <c r="AY92" s="85"/>
    </row>
    <row r="93" spans="1:51" x14ac:dyDescent="0.25">
      <c r="A93" s="102" t="str">
        <f t="shared" si="0"/>
        <v>FS FSOM</v>
      </c>
      <c r="B93" s="102" t="s">
        <v>1005</v>
      </c>
      <c r="C93" s="102" t="s">
        <v>60</v>
      </c>
      <c r="D93" t="s">
        <v>369</v>
      </c>
      <c r="E93" t="s">
        <v>55</v>
      </c>
      <c r="F93" t="s">
        <v>60</v>
      </c>
      <c r="G93" t="s">
        <v>1275</v>
      </c>
      <c r="H93" t="s">
        <v>1276</v>
      </c>
      <c r="J93" t="s">
        <v>287</v>
      </c>
      <c r="K93" s="22">
        <f t="shared" si="16"/>
        <v>0.57597220909378744</v>
      </c>
      <c r="L93" s="22">
        <f t="shared" si="21"/>
        <v>0.57597220909378744</v>
      </c>
      <c r="M93" s="22">
        <f t="shared" si="21"/>
        <v>0.57597220909378744</v>
      </c>
      <c r="N93" s="22">
        <f t="shared" si="21"/>
        <v>0.57597220909378744</v>
      </c>
      <c r="O93" s="22">
        <f t="shared" si="21"/>
        <v>0.57597220909378744</v>
      </c>
      <c r="P93" s="22">
        <f t="shared" si="21"/>
        <v>0.57597220909378744</v>
      </c>
      <c r="Q93" s="22">
        <f t="shared" si="21"/>
        <v>0.57597220909378744</v>
      </c>
      <c r="R93" s="22">
        <f t="shared" si="21"/>
        <v>0.57597220909378744</v>
      </c>
      <c r="S93" s="22">
        <f t="shared" si="21"/>
        <v>0.57597220909378744</v>
      </c>
      <c r="T93" s="22">
        <f t="shared" si="21"/>
        <v>0.57597220909378744</v>
      </c>
      <c r="U93" s="22">
        <f t="shared" si="21"/>
        <v>0.57597220909378744</v>
      </c>
      <c r="V93" s="22">
        <f t="shared" si="21"/>
        <v>0.57597220909378744</v>
      </c>
      <c r="W93" s="22">
        <f t="shared" si="21"/>
        <v>0.57597220909378744</v>
      </c>
      <c r="X93" s="22">
        <f t="shared" si="21"/>
        <v>0.57597220909378744</v>
      </c>
      <c r="Y93" s="22">
        <f t="shared" si="21"/>
        <v>0.57597220909378744</v>
      </c>
      <c r="Z93" s="22">
        <f t="shared" si="21"/>
        <v>0.57597220909378744</v>
      </c>
      <c r="AA93" s="22">
        <f t="shared" si="21"/>
        <v>0.57597220909378744</v>
      </c>
      <c r="AB93" s="22">
        <f t="shared" si="21"/>
        <v>0.57597220909378744</v>
      </c>
      <c r="AC93" s="22">
        <f t="shared" si="21"/>
        <v>0.57597220909378744</v>
      </c>
      <c r="AD93" s="22">
        <f t="shared" si="21"/>
        <v>0.57597220909378744</v>
      </c>
      <c r="AE93" s="22">
        <f t="shared" si="21"/>
        <v>0.57597220909378744</v>
      </c>
      <c r="AF93" s="22">
        <f t="shared" si="21"/>
        <v>0.57597220909378744</v>
      </c>
      <c r="AG93" s="22">
        <f t="shared" si="21"/>
        <v>0.57597220909378744</v>
      </c>
      <c r="AH93" s="22">
        <f t="shared" si="21"/>
        <v>0.57597220909378744</v>
      </c>
      <c r="AI93" s="22">
        <f t="shared" si="21"/>
        <v>0.57597220909378744</v>
      </c>
      <c r="AJ93" s="22">
        <f t="shared" si="21"/>
        <v>0.57597220909378744</v>
      </c>
      <c r="AK93" s="22">
        <f t="shared" si="21"/>
        <v>0.57597220909378744</v>
      </c>
      <c r="AL93" s="22">
        <f t="shared" si="21"/>
        <v>0.57597220909378744</v>
      </c>
      <c r="AM93" s="22">
        <f t="shared" si="21"/>
        <v>0.57597220909378744</v>
      </c>
      <c r="AN93" s="22">
        <f t="shared" si="21"/>
        <v>0.57597220909378744</v>
      </c>
      <c r="AO93" s="22">
        <f t="shared" si="21"/>
        <v>0.57597220909378744</v>
      </c>
      <c r="AP93" s="22">
        <f t="shared" si="21"/>
        <v>0.57597220909378744</v>
      </c>
      <c r="AQ93" s="22">
        <f t="shared" si="21"/>
        <v>0.57597220909378744</v>
      </c>
      <c r="AR93" s="22">
        <f t="shared" si="21"/>
        <v>0.57597220909378744</v>
      </c>
      <c r="AS93" s="22">
        <f t="shared" si="21"/>
        <v>0.57597220909378744</v>
      </c>
      <c r="AT93" s="22">
        <f t="shared" si="21"/>
        <v>0.57597220909378744</v>
      </c>
      <c r="AU93" s="22">
        <f t="shared" si="21"/>
        <v>0.57597220909378744</v>
      </c>
      <c r="AV93" s="22">
        <f t="shared" si="21"/>
        <v>0.57597220909378744</v>
      </c>
      <c r="AW93" s="22">
        <f t="shared" si="21"/>
        <v>0.57597220909378744</v>
      </c>
      <c r="AY93" s="85"/>
    </row>
    <row r="94" spans="1:51" x14ac:dyDescent="0.25">
      <c r="A94" s="102" t="str">
        <f t="shared" si="0"/>
        <v>FS FSOM</v>
      </c>
      <c r="B94" s="102" t="s">
        <v>1005</v>
      </c>
      <c r="C94" s="102" t="s">
        <v>60</v>
      </c>
      <c r="D94" t="s">
        <v>369</v>
      </c>
      <c r="E94" t="s">
        <v>55</v>
      </c>
      <c r="F94" t="s">
        <v>60</v>
      </c>
      <c r="G94" t="s">
        <v>1277</v>
      </c>
      <c r="H94" t="s">
        <v>1278</v>
      </c>
      <c r="J94" t="s">
        <v>287</v>
      </c>
      <c r="K94" s="22" t="str">
        <f t="shared" si="16"/>
        <v>NO</v>
      </c>
      <c r="L94" s="22" t="str">
        <f t="shared" si="21"/>
        <v>NO</v>
      </c>
      <c r="M94" s="22" t="str">
        <f t="shared" si="21"/>
        <v>NO</v>
      </c>
      <c r="N94" s="22" t="str">
        <f t="shared" si="21"/>
        <v>NO</v>
      </c>
      <c r="O94" s="22" t="str">
        <f t="shared" si="21"/>
        <v>NO</v>
      </c>
      <c r="P94" s="22" t="str">
        <f t="shared" si="21"/>
        <v>NO</v>
      </c>
      <c r="Q94" s="22" t="str">
        <f t="shared" si="21"/>
        <v>NO</v>
      </c>
      <c r="R94" s="22" t="str">
        <f t="shared" si="21"/>
        <v>NO</v>
      </c>
      <c r="S94" s="22" t="str">
        <f t="shared" si="21"/>
        <v>NO</v>
      </c>
      <c r="T94" s="22" t="str">
        <f t="shared" si="21"/>
        <v>NO</v>
      </c>
      <c r="U94" s="22" t="str">
        <f t="shared" si="21"/>
        <v>NO</v>
      </c>
      <c r="V94" s="22" t="str">
        <f t="shared" si="21"/>
        <v>NO</v>
      </c>
      <c r="W94" s="22" t="str">
        <f t="shared" si="21"/>
        <v>NO</v>
      </c>
      <c r="X94" s="22" t="str">
        <f t="shared" si="21"/>
        <v>NO</v>
      </c>
      <c r="Y94" s="22" t="str">
        <f t="shared" si="21"/>
        <v>NO</v>
      </c>
      <c r="Z94" s="22" t="str">
        <f t="shared" si="21"/>
        <v>NO</v>
      </c>
      <c r="AA94" s="22" t="str">
        <f t="shared" si="21"/>
        <v>NO</v>
      </c>
      <c r="AB94" s="22" t="str">
        <f t="shared" si="21"/>
        <v>NO</v>
      </c>
      <c r="AC94" s="22" t="str">
        <f t="shared" si="21"/>
        <v>NO</v>
      </c>
      <c r="AD94" s="22" t="str">
        <f t="shared" si="21"/>
        <v>NO</v>
      </c>
      <c r="AE94" s="22" t="str">
        <f t="shared" si="21"/>
        <v>NO</v>
      </c>
      <c r="AF94" s="22" t="str">
        <f t="shared" si="21"/>
        <v>NO</v>
      </c>
      <c r="AG94" s="22" t="str">
        <f t="shared" si="21"/>
        <v>NO</v>
      </c>
      <c r="AH94" s="22" t="str">
        <f t="shared" si="21"/>
        <v>NO</v>
      </c>
      <c r="AI94" s="22" t="str">
        <f t="shared" si="21"/>
        <v>NO</v>
      </c>
      <c r="AJ94" s="22" t="str">
        <f t="shared" si="21"/>
        <v>NO</v>
      </c>
      <c r="AK94" s="22" t="str">
        <f t="shared" ref="L94:AW101" si="22">AK1503</f>
        <v>NO</v>
      </c>
      <c r="AL94" s="22" t="str">
        <f t="shared" si="22"/>
        <v>NO</v>
      </c>
      <c r="AM94" s="22" t="str">
        <f t="shared" si="22"/>
        <v>NO</v>
      </c>
      <c r="AN94" s="22" t="str">
        <f t="shared" si="22"/>
        <v>NO</v>
      </c>
      <c r="AO94" s="22" t="str">
        <f t="shared" si="22"/>
        <v>NO</v>
      </c>
      <c r="AP94" s="22" t="str">
        <f t="shared" si="22"/>
        <v>NO</v>
      </c>
      <c r="AQ94" s="22" t="str">
        <f t="shared" si="22"/>
        <v>NO</v>
      </c>
      <c r="AR94" s="22" t="str">
        <f t="shared" si="22"/>
        <v>NO</v>
      </c>
      <c r="AS94" s="22" t="str">
        <f t="shared" si="22"/>
        <v>NO</v>
      </c>
      <c r="AT94" s="22" t="str">
        <f t="shared" si="22"/>
        <v>NO</v>
      </c>
      <c r="AU94" s="22" t="str">
        <f t="shared" si="22"/>
        <v>NO</v>
      </c>
      <c r="AV94" s="22" t="str">
        <f t="shared" si="22"/>
        <v>NO</v>
      </c>
      <c r="AW94" s="22" t="str">
        <f t="shared" si="22"/>
        <v>NO</v>
      </c>
      <c r="AY94" s="85"/>
    </row>
    <row r="95" spans="1:51" x14ac:dyDescent="0.25">
      <c r="A95" s="102" t="str">
        <f t="shared" si="0"/>
        <v>FS FSOM</v>
      </c>
      <c r="B95" s="102" t="s">
        <v>1005</v>
      </c>
      <c r="C95" s="102" t="s">
        <v>60</v>
      </c>
      <c r="D95" t="s">
        <v>369</v>
      </c>
      <c r="E95" t="s">
        <v>55</v>
      </c>
      <c r="F95" t="s">
        <v>60</v>
      </c>
      <c r="G95" t="s">
        <v>1279</v>
      </c>
      <c r="H95" t="s">
        <v>1280</v>
      </c>
      <c r="J95" t="s">
        <v>287</v>
      </c>
      <c r="K95" s="22" t="str">
        <f t="shared" si="16"/>
        <v>NO</v>
      </c>
      <c r="L95" s="22" t="str">
        <f t="shared" si="22"/>
        <v>NO</v>
      </c>
      <c r="M95" s="22" t="str">
        <f t="shared" si="22"/>
        <v>NO</v>
      </c>
      <c r="N95" s="22" t="str">
        <f t="shared" si="22"/>
        <v>NO</v>
      </c>
      <c r="O95" s="22" t="str">
        <f t="shared" si="22"/>
        <v>NO</v>
      </c>
      <c r="P95" s="22" t="str">
        <f t="shared" si="22"/>
        <v>NO</v>
      </c>
      <c r="Q95" s="22" t="str">
        <f t="shared" si="22"/>
        <v>NO</v>
      </c>
      <c r="R95" s="22" t="str">
        <f t="shared" si="22"/>
        <v>NO</v>
      </c>
      <c r="S95" s="22" t="str">
        <f t="shared" si="22"/>
        <v>NO</v>
      </c>
      <c r="T95" s="22" t="str">
        <f t="shared" si="22"/>
        <v>NO</v>
      </c>
      <c r="U95" s="22" t="str">
        <f t="shared" si="22"/>
        <v>NO</v>
      </c>
      <c r="V95" s="22" t="str">
        <f t="shared" si="22"/>
        <v>NO</v>
      </c>
      <c r="W95" s="22" t="str">
        <f t="shared" si="22"/>
        <v>NO</v>
      </c>
      <c r="X95" s="22" t="str">
        <f t="shared" si="22"/>
        <v>NO</v>
      </c>
      <c r="Y95" s="22" t="str">
        <f t="shared" si="22"/>
        <v>NO</v>
      </c>
      <c r="Z95" s="22" t="str">
        <f t="shared" si="22"/>
        <v>NO</v>
      </c>
      <c r="AA95" s="22" t="str">
        <f t="shared" si="22"/>
        <v>NO</v>
      </c>
      <c r="AB95" s="22" t="str">
        <f t="shared" si="22"/>
        <v>NO</v>
      </c>
      <c r="AC95" s="22" t="str">
        <f t="shared" si="22"/>
        <v>NO</v>
      </c>
      <c r="AD95" s="22" t="str">
        <f t="shared" si="22"/>
        <v>NO</v>
      </c>
      <c r="AE95" s="22" t="str">
        <f t="shared" si="22"/>
        <v>NO</v>
      </c>
      <c r="AF95" s="22" t="str">
        <f t="shared" si="22"/>
        <v>NO</v>
      </c>
      <c r="AG95" s="22" t="str">
        <f t="shared" si="22"/>
        <v>NO</v>
      </c>
      <c r="AH95" s="22" t="str">
        <f t="shared" si="22"/>
        <v>NO</v>
      </c>
      <c r="AI95" s="22" t="str">
        <f t="shared" si="22"/>
        <v>NO</v>
      </c>
      <c r="AJ95" s="22" t="str">
        <f t="shared" si="22"/>
        <v>NO</v>
      </c>
      <c r="AK95" s="22" t="str">
        <f t="shared" si="22"/>
        <v>NO</v>
      </c>
      <c r="AL95" s="22" t="str">
        <f t="shared" si="22"/>
        <v>NO</v>
      </c>
      <c r="AM95" s="22" t="str">
        <f t="shared" si="22"/>
        <v>NO</v>
      </c>
      <c r="AN95" s="22" t="str">
        <f t="shared" si="22"/>
        <v>NO</v>
      </c>
      <c r="AO95" s="22" t="str">
        <f t="shared" si="22"/>
        <v>NO</v>
      </c>
      <c r="AP95" s="22" t="str">
        <f t="shared" si="22"/>
        <v>NO</v>
      </c>
      <c r="AQ95" s="22" t="str">
        <f t="shared" si="22"/>
        <v>NO</v>
      </c>
      <c r="AR95" s="22" t="str">
        <f t="shared" si="22"/>
        <v>NO</v>
      </c>
      <c r="AS95" s="22" t="str">
        <f t="shared" si="22"/>
        <v>NO</v>
      </c>
      <c r="AT95" s="22" t="str">
        <f t="shared" si="22"/>
        <v>NO</v>
      </c>
      <c r="AU95" s="22" t="str">
        <f t="shared" si="22"/>
        <v>NO</v>
      </c>
      <c r="AV95" s="22" t="str">
        <f t="shared" si="22"/>
        <v>NO</v>
      </c>
      <c r="AW95" s="22" t="str">
        <f t="shared" si="22"/>
        <v>NO</v>
      </c>
      <c r="AY95" s="85"/>
    </row>
    <row r="96" spans="1:51" x14ac:dyDescent="0.25">
      <c r="A96" s="102" t="str">
        <f t="shared" si="0"/>
        <v>FS FSOM</v>
      </c>
      <c r="B96" s="102" t="s">
        <v>1005</v>
      </c>
      <c r="C96" s="102" t="s">
        <v>60</v>
      </c>
      <c r="D96" t="s">
        <v>369</v>
      </c>
      <c r="E96" t="s">
        <v>55</v>
      </c>
      <c r="F96" t="s">
        <v>60</v>
      </c>
      <c r="G96" t="s">
        <v>1281</v>
      </c>
      <c r="H96" t="s">
        <v>1282</v>
      </c>
      <c r="J96" t="s">
        <v>287</v>
      </c>
      <c r="K96" s="22" t="str">
        <f t="shared" si="16"/>
        <v>NO</v>
      </c>
      <c r="L96" s="22" t="str">
        <f t="shared" si="22"/>
        <v>NO</v>
      </c>
      <c r="M96" s="22" t="str">
        <f t="shared" si="22"/>
        <v>NO</v>
      </c>
      <c r="N96" s="22" t="str">
        <f t="shared" si="22"/>
        <v>NO</v>
      </c>
      <c r="O96" s="22" t="str">
        <f t="shared" si="22"/>
        <v>NO</v>
      </c>
      <c r="P96" s="22" t="str">
        <f t="shared" si="22"/>
        <v>NO</v>
      </c>
      <c r="Q96" s="22" t="str">
        <f t="shared" si="22"/>
        <v>NO</v>
      </c>
      <c r="R96" s="22" t="str">
        <f t="shared" si="22"/>
        <v>NO</v>
      </c>
      <c r="S96" s="22" t="str">
        <f t="shared" si="22"/>
        <v>NO</v>
      </c>
      <c r="T96" s="22" t="str">
        <f t="shared" si="22"/>
        <v>NO</v>
      </c>
      <c r="U96" s="22" t="str">
        <f t="shared" si="22"/>
        <v>NO</v>
      </c>
      <c r="V96" s="22" t="str">
        <f t="shared" si="22"/>
        <v>NO</v>
      </c>
      <c r="W96" s="22" t="str">
        <f t="shared" si="22"/>
        <v>NO</v>
      </c>
      <c r="X96" s="22" t="str">
        <f t="shared" si="22"/>
        <v>NO</v>
      </c>
      <c r="Y96" s="22" t="str">
        <f t="shared" si="22"/>
        <v>NO</v>
      </c>
      <c r="Z96" s="22" t="str">
        <f t="shared" si="22"/>
        <v>NO</v>
      </c>
      <c r="AA96" s="22" t="str">
        <f t="shared" si="22"/>
        <v>NO</v>
      </c>
      <c r="AB96" s="22" t="str">
        <f t="shared" si="22"/>
        <v>NO</v>
      </c>
      <c r="AC96" s="22" t="str">
        <f t="shared" si="22"/>
        <v>NO</v>
      </c>
      <c r="AD96" s="22" t="str">
        <f t="shared" si="22"/>
        <v>NO</v>
      </c>
      <c r="AE96" s="22" t="str">
        <f t="shared" si="22"/>
        <v>NO</v>
      </c>
      <c r="AF96" s="22" t="str">
        <f t="shared" si="22"/>
        <v>NO</v>
      </c>
      <c r="AG96" s="22" t="str">
        <f t="shared" si="22"/>
        <v>NO</v>
      </c>
      <c r="AH96" s="22" t="str">
        <f t="shared" si="22"/>
        <v>NO</v>
      </c>
      <c r="AI96" s="22" t="str">
        <f t="shared" si="22"/>
        <v>NO</v>
      </c>
      <c r="AJ96" s="22" t="str">
        <f t="shared" si="22"/>
        <v>NO</v>
      </c>
      <c r="AK96" s="22" t="str">
        <f t="shared" si="22"/>
        <v>NO</v>
      </c>
      <c r="AL96" s="22" t="str">
        <f t="shared" si="22"/>
        <v>NO</v>
      </c>
      <c r="AM96" s="22" t="str">
        <f t="shared" si="22"/>
        <v>NO</v>
      </c>
      <c r="AN96" s="22" t="str">
        <f t="shared" si="22"/>
        <v>NO</v>
      </c>
      <c r="AO96" s="22" t="str">
        <f t="shared" si="22"/>
        <v>NO</v>
      </c>
      <c r="AP96" s="22" t="str">
        <f t="shared" si="22"/>
        <v>NO</v>
      </c>
      <c r="AQ96" s="22" t="str">
        <f t="shared" si="22"/>
        <v>NO</v>
      </c>
      <c r="AR96" s="22" t="str">
        <f t="shared" si="22"/>
        <v>NO</v>
      </c>
      <c r="AS96" s="22" t="str">
        <f t="shared" si="22"/>
        <v>NO</v>
      </c>
      <c r="AT96" s="22" t="str">
        <f t="shared" si="22"/>
        <v>NO</v>
      </c>
      <c r="AU96" s="22" t="str">
        <f t="shared" si="22"/>
        <v>NO</v>
      </c>
      <c r="AV96" s="22" t="str">
        <f t="shared" si="22"/>
        <v>NO</v>
      </c>
      <c r="AW96" s="22" t="str">
        <f t="shared" si="22"/>
        <v>NO</v>
      </c>
      <c r="AY96" s="85"/>
    </row>
    <row r="97" spans="1:51" x14ac:dyDescent="0.25">
      <c r="A97" s="102" t="str">
        <f t="shared" si="0"/>
        <v>FS FSOM</v>
      </c>
      <c r="B97" s="102" t="s">
        <v>1005</v>
      </c>
      <c r="C97" s="102" t="s">
        <v>60</v>
      </c>
      <c r="D97" t="s">
        <v>369</v>
      </c>
      <c r="E97" t="s">
        <v>55</v>
      </c>
      <c r="F97" t="s">
        <v>60</v>
      </c>
      <c r="G97" t="s">
        <v>1283</v>
      </c>
      <c r="H97" t="s">
        <v>1284</v>
      </c>
      <c r="J97" t="s">
        <v>287</v>
      </c>
      <c r="K97" s="22">
        <f t="shared" si="16"/>
        <v>5.604018730639919E-5</v>
      </c>
      <c r="L97" s="22">
        <f t="shared" si="22"/>
        <v>5.604018730639919E-5</v>
      </c>
      <c r="M97" s="22">
        <f t="shared" si="22"/>
        <v>5.604018730639919E-5</v>
      </c>
      <c r="N97" s="22">
        <f t="shared" si="22"/>
        <v>5.604018730639919E-5</v>
      </c>
      <c r="O97" s="22">
        <f t="shared" si="22"/>
        <v>5.604018730639919E-5</v>
      </c>
      <c r="P97" s="22">
        <f t="shared" si="22"/>
        <v>5.604018730639919E-5</v>
      </c>
      <c r="Q97" s="22">
        <f t="shared" si="22"/>
        <v>5.604018730639919E-5</v>
      </c>
      <c r="R97" s="22">
        <f t="shared" si="22"/>
        <v>5.604018730639919E-5</v>
      </c>
      <c r="S97" s="22">
        <f t="shared" si="22"/>
        <v>5.604018730639919E-5</v>
      </c>
      <c r="T97" s="22">
        <f t="shared" si="22"/>
        <v>5.604018730639919E-5</v>
      </c>
      <c r="U97" s="22">
        <f t="shared" si="22"/>
        <v>5.604018730639919E-5</v>
      </c>
      <c r="V97" s="22">
        <f t="shared" si="22"/>
        <v>5.604018730639919E-5</v>
      </c>
      <c r="W97" s="22">
        <f t="shared" si="22"/>
        <v>5.604018730639919E-5</v>
      </c>
      <c r="X97" s="22">
        <f t="shared" si="22"/>
        <v>5.604018730639919E-5</v>
      </c>
      <c r="Y97" s="22">
        <f t="shared" si="22"/>
        <v>5.604018730639919E-5</v>
      </c>
      <c r="Z97" s="22">
        <f t="shared" si="22"/>
        <v>5.604018730639919E-5</v>
      </c>
      <c r="AA97" s="22">
        <f t="shared" si="22"/>
        <v>5.604018730639919E-5</v>
      </c>
      <c r="AB97" s="22">
        <f t="shared" si="22"/>
        <v>5.604018730639919E-5</v>
      </c>
      <c r="AC97" s="22">
        <f t="shared" si="22"/>
        <v>5.604018730639919E-5</v>
      </c>
      <c r="AD97" s="22">
        <f t="shared" si="22"/>
        <v>5.604018730639919E-5</v>
      </c>
      <c r="AE97" s="22">
        <f t="shared" si="22"/>
        <v>5.604018730639919E-5</v>
      </c>
      <c r="AF97" s="22">
        <f t="shared" si="22"/>
        <v>5.604018730639919E-5</v>
      </c>
      <c r="AG97" s="22">
        <f t="shared" si="22"/>
        <v>5.604018730639919E-5</v>
      </c>
      <c r="AH97" s="22">
        <f t="shared" si="22"/>
        <v>5.604018730639919E-5</v>
      </c>
      <c r="AI97" s="22">
        <f t="shared" si="22"/>
        <v>5.604018730639919E-5</v>
      </c>
      <c r="AJ97" s="22">
        <f t="shared" si="22"/>
        <v>5.604018730639919E-5</v>
      </c>
      <c r="AK97" s="22">
        <f t="shared" si="22"/>
        <v>5.604018730639919E-5</v>
      </c>
      <c r="AL97" s="22">
        <f t="shared" si="22"/>
        <v>5.604018730639919E-5</v>
      </c>
      <c r="AM97" s="22">
        <f t="shared" si="22"/>
        <v>5.604018730639919E-5</v>
      </c>
      <c r="AN97" s="22">
        <f t="shared" si="22"/>
        <v>5.604018730639919E-5</v>
      </c>
      <c r="AO97" s="22">
        <f t="shared" si="22"/>
        <v>5.604018730639919E-5</v>
      </c>
      <c r="AP97" s="22">
        <f t="shared" si="22"/>
        <v>5.604018730639919E-5</v>
      </c>
      <c r="AQ97" s="22">
        <f t="shared" si="22"/>
        <v>5.604018730639919E-5</v>
      </c>
      <c r="AR97" s="22">
        <f t="shared" si="22"/>
        <v>5.604018730639919E-5</v>
      </c>
      <c r="AS97" s="22">
        <f t="shared" si="22"/>
        <v>5.604018730639919E-5</v>
      </c>
      <c r="AT97" s="22">
        <f t="shared" si="22"/>
        <v>5.604018730639919E-5</v>
      </c>
      <c r="AU97" s="22">
        <f t="shared" si="22"/>
        <v>5.604018730639919E-5</v>
      </c>
      <c r="AV97" s="22">
        <f t="shared" si="22"/>
        <v>5.604018730639919E-5</v>
      </c>
      <c r="AW97" s="22">
        <f t="shared" si="22"/>
        <v>5.604018730639919E-5</v>
      </c>
      <c r="AY97" s="85"/>
    </row>
    <row r="98" spans="1:51" x14ac:dyDescent="0.25">
      <c r="A98" s="102" t="str">
        <f t="shared" si="0"/>
        <v>FS FSOM</v>
      </c>
      <c r="B98" s="102" t="s">
        <v>1005</v>
      </c>
      <c r="C98" s="102" t="s">
        <v>60</v>
      </c>
      <c r="D98" t="s">
        <v>369</v>
      </c>
      <c r="E98" t="s">
        <v>55</v>
      </c>
      <c r="F98" t="s">
        <v>60</v>
      </c>
      <c r="G98" t="s">
        <v>1285</v>
      </c>
      <c r="H98" t="s">
        <v>1286</v>
      </c>
      <c r="J98" t="s">
        <v>287</v>
      </c>
      <c r="K98" s="22">
        <f t="shared" si="16"/>
        <v>6.110857899094551E-2</v>
      </c>
      <c r="L98" s="22">
        <f t="shared" si="22"/>
        <v>6.110857899094551E-2</v>
      </c>
      <c r="M98" s="22">
        <f t="shared" si="22"/>
        <v>6.110857899094551E-2</v>
      </c>
      <c r="N98" s="22">
        <f t="shared" si="22"/>
        <v>6.110857899094551E-2</v>
      </c>
      <c r="O98" s="22">
        <f t="shared" si="22"/>
        <v>6.110857899094551E-2</v>
      </c>
      <c r="P98" s="22">
        <f t="shared" si="22"/>
        <v>6.110857899094551E-2</v>
      </c>
      <c r="Q98" s="22">
        <f t="shared" si="22"/>
        <v>6.110857899094551E-2</v>
      </c>
      <c r="R98" s="22">
        <f t="shared" si="22"/>
        <v>6.110857899094551E-2</v>
      </c>
      <c r="S98" s="22">
        <f t="shared" si="22"/>
        <v>6.110857899094551E-2</v>
      </c>
      <c r="T98" s="22">
        <f t="shared" si="22"/>
        <v>6.110857899094551E-2</v>
      </c>
      <c r="U98" s="22">
        <f t="shared" si="22"/>
        <v>6.110857899094551E-2</v>
      </c>
      <c r="V98" s="22">
        <f t="shared" si="22"/>
        <v>6.110857899094551E-2</v>
      </c>
      <c r="W98" s="22">
        <f t="shared" si="22"/>
        <v>6.110857899094551E-2</v>
      </c>
      <c r="X98" s="22">
        <f t="shared" si="22"/>
        <v>6.110857899094551E-2</v>
      </c>
      <c r="Y98" s="22">
        <f t="shared" si="22"/>
        <v>6.110857899094551E-2</v>
      </c>
      <c r="Z98" s="22">
        <f t="shared" si="22"/>
        <v>6.110857899094551E-2</v>
      </c>
      <c r="AA98" s="22">
        <f t="shared" si="22"/>
        <v>6.110857899094551E-2</v>
      </c>
      <c r="AB98" s="22">
        <f t="shared" si="22"/>
        <v>6.110857899094551E-2</v>
      </c>
      <c r="AC98" s="22">
        <f t="shared" si="22"/>
        <v>6.110857899094551E-2</v>
      </c>
      <c r="AD98" s="22">
        <f t="shared" si="22"/>
        <v>6.110857899094551E-2</v>
      </c>
      <c r="AE98" s="22">
        <f t="shared" si="22"/>
        <v>6.110857899094551E-2</v>
      </c>
      <c r="AF98" s="22">
        <f t="shared" si="22"/>
        <v>6.110857899094551E-2</v>
      </c>
      <c r="AG98" s="22">
        <f t="shared" si="22"/>
        <v>6.110857899094551E-2</v>
      </c>
      <c r="AH98" s="22">
        <f t="shared" si="22"/>
        <v>6.110857899094551E-2</v>
      </c>
      <c r="AI98" s="22">
        <f t="shared" si="22"/>
        <v>6.110857899094551E-2</v>
      </c>
      <c r="AJ98" s="22">
        <f t="shared" si="22"/>
        <v>6.110857899094551E-2</v>
      </c>
      <c r="AK98" s="22">
        <f t="shared" si="22"/>
        <v>6.110857899094551E-2</v>
      </c>
      <c r="AL98" s="22">
        <f t="shared" si="22"/>
        <v>6.110857899094551E-2</v>
      </c>
      <c r="AM98" s="22">
        <f t="shared" si="22"/>
        <v>6.110857899094551E-2</v>
      </c>
      <c r="AN98" s="22">
        <f t="shared" si="22"/>
        <v>6.110857899094551E-2</v>
      </c>
      <c r="AO98" s="22">
        <f t="shared" si="22"/>
        <v>6.110857899094551E-2</v>
      </c>
      <c r="AP98" s="22">
        <f t="shared" si="22"/>
        <v>6.110857899094551E-2</v>
      </c>
      <c r="AQ98" s="22">
        <f t="shared" si="22"/>
        <v>6.110857899094551E-2</v>
      </c>
      <c r="AR98" s="22">
        <f t="shared" si="22"/>
        <v>6.110857899094551E-2</v>
      </c>
      <c r="AS98" s="22">
        <f t="shared" si="22"/>
        <v>6.110857899094551E-2</v>
      </c>
      <c r="AT98" s="22">
        <f t="shared" si="22"/>
        <v>6.110857899094551E-2</v>
      </c>
      <c r="AU98" s="22">
        <f t="shared" si="22"/>
        <v>6.110857899094551E-2</v>
      </c>
      <c r="AV98" s="22">
        <f t="shared" si="22"/>
        <v>6.110857899094551E-2</v>
      </c>
      <c r="AW98" s="22">
        <f t="shared" si="22"/>
        <v>6.110857899094551E-2</v>
      </c>
      <c r="AY98" s="85"/>
    </row>
    <row r="99" spans="1:51" x14ac:dyDescent="0.25">
      <c r="A99" s="102" t="str">
        <f t="shared" si="0"/>
        <v>FS FSOM</v>
      </c>
      <c r="B99" s="102" t="s">
        <v>1005</v>
      </c>
      <c r="C99" s="102" t="s">
        <v>60</v>
      </c>
      <c r="D99" t="s">
        <v>369</v>
      </c>
      <c r="E99" t="s">
        <v>55</v>
      </c>
      <c r="F99" t="s">
        <v>60</v>
      </c>
      <c r="G99" t="s">
        <v>1287</v>
      </c>
      <c r="H99" t="s">
        <v>1288</v>
      </c>
      <c r="J99" t="s">
        <v>287</v>
      </c>
      <c r="K99" s="22" t="str">
        <f t="shared" si="16"/>
        <v>NO</v>
      </c>
      <c r="L99" s="22" t="str">
        <f t="shared" si="22"/>
        <v>NO</v>
      </c>
      <c r="M99" s="22" t="str">
        <f t="shared" si="22"/>
        <v>NO</v>
      </c>
      <c r="N99" s="22" t="str">
        <f t="shared" si="22"/>
        <v>NO</v>
      </c>
      <c r="O99" s="22" t="str">
        <f t="shared" si="22"/>
        <v>NO</v>
      </c>
      <c r="P99" s="22" t="str">
        <f t="shared" si="22"/>
        <v>NO</v>
      </c>
      <c r="Q99" s="22" t="str">
        <f t="shared" si="22"/>
        <v>NO</v>
      </c>
      <c r="R99" s="22" t="str">
        <f t="shared" si="22"/>
        <v>NO</v>
      </c>
      <c r="S99" s="22" t="str">
        <f t="shared" si="22"/>
        <v>NO</v>
      </c>
      <c r="T99" s="22" t="str">
        <f t="shared" si="22"/>
        <v>NO</v>
      </c>
      <c r="U99" s="22" t="str">
        <f t="shared" si="22"/>
        <v>NO</v>
      </c>
      <c r="V99" s="22" t="str">
        <f t="shared" si="22"/>
        <v>NO</v>
      </c>
      <c r="W99" s="22" t="str">
        <f t="shared" si="22"/>
        <v>NO</v>
      </c>
      <c r="X99" s="22" t="str">
        <f t="shared" si="22"/>
        <v>NO</v>
      </c>
      <c r="Y99" s="22" t="str">
        <f t="shared" si="22"/>
        <v>NO</v>
      </c>
      <c r="Z99" s="22" t="str">
        <f t="shared" si="22"/>
        <v>NO</v>
      </c>
      <c r="AA99" s="22" t="str">
        <f t="shared" si="22"/>
        <v>NO</v>
      </c>
      <c r="AB99" s="22" t="str">
        <f t="shared" si="22"/>
        <v>NO</v>
      </c>
      <c r="AC99" s="22" t="str">
        <f t="shared" si="22"/>
        <v>NO</v>
      </c>
      <c r="AD99" s="22" t="str">
        <f t="shared" si="22"/>
        <v>NO</v>
      </c>
      <c r="AE99" s="22" t="str">
        <f t="shared" si="22"/>
        <v>NO</v>
      </c>
      <c r="AF99" s="22" t="str">
        <f t="shared" si="22"/>
        <v>NO</v>
      </c>
      <c r="AG99" s="22" t="str">
        <f t="shared" si="22"/>
        <v>NO</v>
      </c>
      <c r="AH99" s="22" t="str">
        <f t="shared" si="22"/>
        <v>NO</v>
      </c>
      <c r="AI99" s="22" t="str">
        <f t="shared" si="22"/>
        <v>NO</v>
      </c>
      <c r="AJ99" s="22" t="str">
        <f t="shared" si="22"/>
        <v>NO</v>
      </c>
      <c r="AK99" s="22" t="str">
        <f t="shared" si="22"/>
        <v>NO</v>
      </c>
      <c r="AL99" s="22" t="str">
        <f t="shared" si="22"/>
        <v>NO</v>
      </c>
      <c r="AM99" s="22" t="str">
        <f t="shared" si="22"/>
        <v>NO</v>
      </c>
      <c r="AN99" s="22" t="str">
        <f t="shared" si="22"/>
        <v>NO</v>
      </c>
      <c r="AO99" s="22" t="str">
        <f t="shared" si="22"/>
        <v>NO</v>
      </c>
      <c r="AP99" s="22" t="str">
        <f t="shared" si="22"/>
        <v>NO</v>
      </c>
      <c r="AQ99" s="22" t="str">
        <f t="shared" si="22"/>
        <v>NO</v>
      </c>
      <c r="AR99" s="22" t="str">
        <f t="shared" si="22"/>
        <v>NO</v>
      </c>
      <c r="AS99" s="22" t="str">
        <f t="shared" si="22"/>
        <v>NO</v>
      </c>
      <c r="AT99" s="22" t="str">
        <f t="shared" si="22"/>
        <v>NO</v>
      </c>
      <c r="AU99" s="22" t="str">
        <f t="shared" si="22"/>
        <v>NO</v>
      </c>
      <c r="AV99" s="22" t="str">
        <f t="shared" si="22"/>
        <v>NO</v>
      </c>
      <c r="AW99" s="22" t="str">
        <f t="shared" si="22"/>
        <v>NO</v>
      </c>
      <c r="AY99" s="85"/>
    </row>
    <row r="100" spans="1:51" x14ac:dyDescent="0.25">
      <c r="A100" s="102" t="str">
        <f t="shared" si="0"/>
        <v>FS FSOM</v>
      </c>
      <c r="B100" s="102" t="s">
        <v>1005</v>
      </c>
      <c r="C100" s="102" t="s">
        <v>60</v>
      </c>
      <c r="D100" t="s">
        <v>369</v>
      </c>
      <c r="E100" t="s">
        <v>55</v>
      </c>
      <c r="F100" t="s">
        <v>60</v>
      </c>
      <c r="G100" t="s">
        <v>1289</v>
      </c>
      <c r="H100" t="s">
        <v>1290</v>
      </c>
      <c r="J100" t="s">
        <v>287</v>
      </c>
      <c r="K100" s="22">
        <f t="shared" si="16"/>
        <v>3.1961717215001131</v>
      </c>
      <c r="L100" s="22">
        <f t="shared" si="22"/>
        <v>3.1961717215001131</v>
      </c>
      <c r="M100" s="22">
        <f t="shared" si="22"/>
        <v>3.1961717215001131</v>
      </c>
      <c r="N100" s="22">
        <f t="shared" si="22"/>
        <v>3.1961717215001131</v>
      </c>
      <c r="O100" s="22">
        <f t="shared" si="22"/>
        <v>3.1961717215001131</v>
      </c>
      <c r="P100" s="22">
        <f t="shared" si="22"/>
        <v>3.1961717215001131</v>
      </c>
      <c r="Q100" s="22">
        <f t="shared" si="22"/>
        <v>3.1961717215001131</v>
      </c>
      <c r="R100" s="22">
        <f t="shared" si="22"/>
        <v>3.1961717215001131</v>
      </c>
      <c r="S100" s="22">
        <f t="shared" si="22"/>
        <v>3.1961717215001131</v>
      </c>
      <c r="T100" s="22">
        <f t="shared" si="22"/>
        <v>3.1961717215001131</v>
      </c>
      <c r="U100" s="22">
        <f t="shared" si="22"/>
        <v>3.1961717215001131</v>
      </c>
      <c r="V100" s="22">
        <f t="shared" si="22"/>
        <v>3.1961717215001131</v>
      </c>
      <c r="W100" s="22">
        <f t="shared" si="22"/>
        <v>3.1961717215001131</v>
      </c>
      <c r="X100" s="22">
        <f t="shared" si="22"/>
        <v>3.1961717215001131</v>
      </c>
      <c r="Y100" s="22">
        <f t="shared" si="22"/>
        <v>3.1961717215001131</v>
      </c>
      <c r="Z100" s="22">
        <f t="shared" si="22"/>
        <v>3.1961717215001131</v>
      </c>
      <c r="AA100" s="22">
        <f t="shared" si="22"/>
        <v>3.1961717215001131</v>
      </c>
      <c r="AB100" s="22">
        <f t="shared" si="22"/>
        <v>3.1961717215001131</v>
      </c>
      <c r="AC100" s="22">
        <f t="shared" si="22"/>
        <v>3.1961717215001131</v>
      </c>
      <c r="AD100" s="22">
        <f t="shared" si="22"/>
        <v>3.1961717215001131</v>
      </c>
      <c r="AE100" s="22">
        <f t="shared" si="22"/>
        <v>3.1961717215001131</v>
      </c>
      <c r="AF100" s="22">
        <f t="shared" si="22"/>
        <v>3.1961717215001131</v>
      </c>
      <c r="AG100" s="22">
        <f t="shared" si="22"/>
        <v>3.1961717215001131</v>
      </c>
      <c r="AH100" s="22">
        <f t="shared" si="22"/>
        <v>3.1961717215001131</v>
      </c>
      <c r="AI100" s="22">
        <f t="shared" si="22"/>
        <v>3.1961717215001131</v>
      </c>
      <c r="AJ100" s="22">
        <f t="shared" si="22"/>
        <v>3.1961717215001131</v>
      </c>
      <c r="AK100" s="22">
        <f t="shared" si="22"/>
        <v>3.1961717215001131</v>
      </c>
      <c r="AL100" s="22">
        <f t="shared" si="22"/>
        <v>3.1961717215001131</v>
      </c>
      <c r="AM100" s="22">
        <f t="shared" si="22"/>
        <v>3.1961717215001131</v>
      </c>
      <c r="AN100" s="22">
        <f t="shared" si="22"/>
        <v>3.1961717215001131</v>
      </c>
      <c r="AO100" s="22">
        <f t="shared" si="22"/>
        <v>3.1961717215001131</v>
      </c>
      <c r="AP100" s="22">
        <f t="shared" si="22"/>
        <v>3.1961717215001131</v>
      </c>
      <c r="AQ100" s="22">
        <f t="shared" si="22"/>
        <v>3.1961717215001131</v>
      </c>
      <c r="AR100" s="22">
        <f t="shared" si="22"/>
        <v>3.1961717215001131</v>
      </c>
      <c r="AS100" s="22">
        <f t="shared" si="22"/>
        <v>3.1961717215001131</v>
      </c>
      <c r="AT100" s="22">
        <f t="shared" si="22"/>
        <v>3.1961717215001131</v>
      </c>
      <c r="AU100" s="22">
        <f t="shared" si="22"/>
        <v>3.1961717215001131</v>
      </c>
      <c r="AV100" s="22">
        <f t="shared" si="22"/>
        <v>3.1961717215001131</v>
      </c>
      <c r="AW100" s="22">
        <f t="shared" si="22"/>
        <v>3.1961717215001131</v>
      </c>
      <c r="AY100" s="85"/>
    </row>
    <row r="101" spans="1:51" x14ac:dyDescent="0.25">
      <c r="A101" s="102" t="str">
        <f t="shared" si="0"/>
        <v>FS Volatilisation</v>
      </c>
      <c r="B101" s="102" t="s">
        <v>1005</v>
      </c>
      <c r="C101" s="102" t="s">
        <v>62</v>
      </c>
      <c r="D101" t="s">
        <v>369</v>
      </c>
      <c r="E101" t="s">
        <v>61</v>
      </c>
      <c r="F101" t="s">
        <v>62</v>
      </c>
      <c r="G101" t="s">
        <v>435</v>
      </c>
      <c r="H101" t="s">
        <v>1185</v>
      </c>
      <c r="I101" t="s">
        <v>139</v>
      </c>
      <c r="J101" t="s">
        <v>287</v>
      </c>
      <c r="K101" s="22">
        <f t="shared" si="16"/>
        <v>0.66064812063358536</v>
      </c>
      <c r="L101" s="22">
        <f t="shared" si="22"/>
        <v>0.66055332632324659</v>
      </c>
      <c r="M101" s="22">
        <f t="shared" si="22"/>
        <v>0.66042378924026446</v>
      </c>
      <c r="N101" s="22">
        <f t="shared" si="22"/>
        <v>0.66032976249569819</v>
      </c>
      <c r="O101" s="22">
        <f t="shared" si="22"/>
        <v>0.66028397217143464</v>
      </c>
      <c r="P101" s="22">
        <f t="shared" si="22"/>
        <v>0.66023877667619957</v>
      </c>
      <c r="Q101" s="22">
        <f t="shared" si="22"/>
        <v>0.66017040685586048</v>
      </c>
      <c r="R101" s="22">
        <f t="shared" si="22"/>
        <v>0.66009555191940106</v>
      </c>
      <c r="S101" s="22">
        <f t="shared" si="22"/>
        <v>0.66007105452260206</v>
      </c>
      <c r="T101" s="22">
        <f t="shared" si="22"/>
        <v>0.6605210320148045</v>
      </c>
      <c r="U101" s="22">
        <f t="shared" si="22"/>
        <v>0.66038066881148649</v>
      </c>
      <c r="V101" s="22">
        <f t="shared" si="22"/>
        <v>0.660254471504373</v>
      </c>
      <c r="W101" s="22">
        <f t="shared" si="22"/>
        <v>0.66012944407562835</v>
      </c>
      <c r="X101" s="22">
        <f t="shared" si="22"/>
        <v>0.65998592560706049</v>
      </c>
      <c r="Y101" s="22">
        <f t="shared" si="22"/>
        <v>0.65984396481179586</v>
      </c>
      <c r="Z101" s="22">
        <f t="shared" ref="L101:AW108" si="23">Z1510</f>
        <v>0.65970003432051683</v>
      </c>
      <c r="AA101" s="22">
        <f t="shared" si="23"/>
        <v>0.65956223028685135</v>
      </c>
      <c r="AB101" s="22">
        <f t="shared" si="23"/>
        <v>0.65941853622185975</v>
      </c>
      <c r="AC101" s="22">
        <f t="shared" si="23"/>
        <v>0.65928505403904103</v>
      </c>
      <c r="AD101" s="22">
        <f t="shared" si="23"/>
        <v>0.65915038110737934</v>
      </c>
      <c r="AE101" s="22">
        <f t="shared" si="23"/>
        <v>0.65899366744546872</v>
      </c>
      <c r="AF101" s="22">
        <f t="shared" si="23"/>
        <v>0.65882822576482969</v>
      </c>
      <c r="AG101" s="22">
        <f t="shared" si="23"/>
        <v>0.65866069718802811</v>
      </c>
      <c r="AH101" s="22">
        <f t="shared" si="23"/>
        <v>0.65862744996812317</v>
      </c>
      <c r="AI101" s="22">
        <f t="shared" si="23"/>
        <v>0.67244352177988753</v>
      </c>
      <c r="AJ101" s="22">
        <f t="shared" si="23"/>
        <v>0.67246796459520652</v>
      </c>
      <c r="AK101" s="22">
        <f t="shared" si="23"/>
        <v>0.67249266471091262</v>
      </c>
      <c r="AL101" s="22">
        <f t="shared" si="23"/>
        <v>0.6725176256716463</v>
      </c>
      <c r="AM101" s="22">
        <f t="shared" si="23"/>
        <v>0.67254285108872014</v>
      </c>
      <c r="AN101" s="22">
        <f t="shared" si="23"/>
        <v>0.67256834464178161</v>
      </c>
      <c r="AO101" s="22">
        <f t="shared" si="23"/>
        <v>0.67259019731905478</v>
      </c>
      <c r="AP101" s="22">
        <f t="shared" si="23"/>
        <v>0.67261224822219834</v>
      </c>
      <c r="AQ101" s="22">
        <f t="shared" si="23"/>
        <v>0.67263449972304945</v>
      </c>
      <c r="AR101" s="22">
        <f t="shared" si="23"/>
        <v>0.67265695423235672</v>
      </c>
      <c r="AS101" s="22">
        <f t="shared" si="23"/>
        <v>0.67267961420062661</v>
      </c>
      <c r="AT101" s="22">
        <f t="shared" si="23"/>
        <v>0.67269840467448694</v>
      </c>
      <c r="AU101" s="22">
        <f t="shared" si="23"/>
        <v>0.67271733718738858</v>
      </c>
      <c r="AV101" s="22">
        <f t="shared" si="23"/>
        <v>0.67273641316511901</v>
      </c>
      <c r="AW101" s="22">
        <f t="shared" si="23"/>
        <v>0.67275563405315475</v>
      </c>
      <c r="AY101" s="85"/>
    </row>
    <row r="102" spans="1:51" x14ac:dyDescent="0.25">
      <c r="A102" s="102" t="str">
        <f t="shared" si="0"/>
        <v>FS Volatilisation</v>
      </c>
      <c r="B102" s="102" t="s">
        <v>1005</v>
      </c>
      <c r="C102" s="102" t="s">
        <v>62</v>
      </c>
      <c r="D102" t="s">
        <v>369</v>
      </c>
      <c r="E102" t="s">
        <v>61</v>
      </c>
      <c r="F102" t="s">
        <v>62</v>
      </c>
      <c r="G102" t="s">
        <v>436</v>
      </c>
      <c r="H102" t="s">
        <v>1186</v>
      </c>
      <c r="I102" t="s">
        <v>139</v>
      </c>
      <c r="J102" t="s">
        <v>287</v>
      </c>
      <c r="K102" s="22">
        <f t="shared" si="16"/>
        <v>8.720555192363328E-3</v>
      </c>
      <c r="L102" s="22">
        <f t="shared" si="23"/>
        <v>8.7193039074668528E-3</v>
      </c>
      <c r="M102" s="22">
        <f t="shared" si="23"/>
        <v>8.7175940179714945E-3</v>
      </c>
      <c r="N102" s="22">
        <f t="shared" si="23"/>
        <v>8.7163528649432196E-3</v>
      </c>
      <c r="O102" s="22">
        <f t="shared" si="23"/>
        <v>8.7157484326629356E-3</v>
      </c>
      <c r="P102" s="22">
        <f t="shared" si="23"/>
        <v>8.715151852125836E-3</v>
      </c>
      <c r="Q102" s="22">
        <f t="shared" si="23"/>
        <v>8.7142493704973605E-3</v>
      </c>
      <c r="R102" s="22">
        <f t="shared" si="23"/>
        <v>8.713261285336095E-3</v>
      </c>
      <c r="S102" s="22">
        <f t="shared" si="23"/>
        <v>8.7129379196983492E-3</v>
      </c>
      <c r="T102" s="22">
        <f t="shared" si="23"/>
        <v>8.7188776225954213E-3</v>
      </c>
      <c r="U102" s="22">
        <f t="shared" si="23"/>
        <v>8.7170248283116227E-3</v>
      </c>
      <c r="V102" s="22">
        <f t="shared" si="23"/>
        <v>8.7153590238577237E-3</v>
      </c>
      <c r="W102" s="22">
        <f t="shared" si="23"/>
        <v>8.7137086617982938E-3</v>
      </c>
      <c r="X102" s="22">
        <f t="shared" si="23"/>
        <v>8.7118142180131995E-3</v>
      </c>
      <c r="Y102" s="22">
        <f t="shared" si="23"/>
        <v>8.7099403355157048E-3</v>
      </c>
      <c r="Z102" s="22">
        <f t="shared" si="23"/>
        <v>8.7080404530308231E-3</v>
      </c>
      <c r="AA102" s="22">
        <f t="shared" si="23"/>
        <v>8.7062214397864383E-3</v>
      </c>
      <c r="AB102" s="22">
        <f t="shared" si="23"/>
        <v>8.704324678128551E-3</v>
      </c>
      <c r="AC102" s="22">
        <f t="shared" si="23"/>
        <v>8.7025627133153448E-3</v>
      </c>
      <c r="AD102" s="22">
        <f t="shared" si="23"/>
        <v>8.7007850306174105E-3</v>
      </c>
      <c r="AE102" s="22">
        <f t="shared" si="23"/>
        <v>8.698716410280187E-3</v>
      </c>
      <c r="AF102" s="22">
        <f t="shared" si="23"/>
        <v>8.6965325800957543E-3</v>
      </c>
      <c r="AG102" s="22">
        <f t="shared" si="23"/>
        <v>8.694321202881973E-3</v>
      </c>
      <c r="AH102" s="22">
        <f t="shared" si="23"/>
        <v>8.6938823395792293E-3</v>
      </c>
      <c r="AI102" s="22">
        <f t="shared" si="23"/>
        <v>8.8762544874945153E-3</v>
      </c>
      <c r="AJ102" s="22">
        <f t="shared" si="23"/>
        <v>8.876577132656726E-3</v>
      </c>
      <c r="AK102" s="22">
        <f t="shared" si="23"/>
        <v>8.8769031741840459E-3</v>
      </c>
      <c r="AL102" s="22">
        <f t="shared" si="23"/>
        <v>8.8772326588657333E-3</v>
      </c>
      <c r="AM102" s="22">
        <f t="shared" si="23"/>
        <v>8.8775656343711064E-3</v>
      </c>
      <c r="AN102" s="22">
        <f t="shared" si="23"/>
        <v>8.877902149271517E-3</v>
      </c>
      <c r="AO102" s="22">
        <f t="shared" si="23"/>
        <v>8.8781906046115251E-3</v>
      </c>
      <c r="AP102" s="22">
        <f t="shared" si="23"/>
        <v>8.8784816765330177E-3</v>
      </c>
      <c r="AQ102" s="22">
        <f t="shared" si="23"/>
        <v>8.8787753963442528E-3</v>
      </c>
      <c r="AR102" s="22">
        <f t="shared" si="23"/>
        <v>8.8790717958671054E-3</v>
      </c>
      <c r="AS102" s="22">
        <f t="shared" si="23"/>
        <v>8.8793709074482721E-3</v>
      </c>
      <c r="AT102" s="22">
        <f t="shared" si="23"/>
        <v>8.8796189417032281E-3</v>
      </c>
      <c r="AU102" s="22">
        <f t="shared" si="23"/>
        <v>8.8798688508735287E-3</v>
      </c>
      <c r="AV102" s="22">
        <f t="shared" si="23"/>
        <v>8.8801206537795687E-3</v>
      </c>
      <c r="AW102" s="22">
        <f t="shared" si="23"/>
        <v>8.8803743695016445E-3</v>
      </c>
      <c r="AY102" s="85"/>
    </row>
    <row r="103" spans="1:51" x14ac:dyDescent="0.25">
      <c r="A103" s="102" t="str">
        <f t="shared" si="0"/>
        <v>FS Volatilisation</v>
      </c>
      <c r="B103" s="102" t="s">
        <v>1005</v>
      </c>
      <c r="C103" s="102" t="s">
        <v>62</v>
      </c>
      <c r="D103" t="s">
        <v>369</v>
      </c>
      <c r="E103" t="s">
        <v>61</v>
      </c>
      <c r="F103" t="s">
        <v>62</v>
      </c>
      <c r="G103" t="s">
        <v>437</v>
      </c>
      <c r="H103" t="s">
        <v>1187</v>
      </c>
      <c r="I103" t="s">
        <v>139</v>
      </c>
      <c r="J103" t="s">
        <v>287</v>
      </c>
      <c r="K103" s="22">
        <f t="shared" si="16"/>
        <v>1.2093332917192059</v>
      </c>
      <c r="L103" s="22">
        <f t="shared" si="23"/>
        <v>1.212549014194676</v>
      </c>
      <c r="M103" s="22">
        <f t="shared" si="23"/>
        <v>1.2080675975352919</v>
      </c>
      <c r="N103" s="22">
        <f t="shared" si="23"/>
        <v>1.1932021188168924</v>
      </c>
      <c r="O103" s="22">
        <f t="shared" si="23"/>
        <v>1.1789615688677482</v>
      </c>
      <c r="P103" s="22">
        <f t="shared" si="23"/>
        <v>1.1704734210058418</v>
      </c>
      <c r="Q103" s="22">
        <f t="shared" si="23"/>
        <v>1.1638691365373428</v>
      </c>
      <c r="R103" s="22">
        <f t="shared" si="23"/>
        <v>1.1469007270703131</v>
      </c>
      <c r="S103" s="22">
        <f t="shared" si="23"/>
        <v>1.0343013809056243</v>
      </c>
      <c r="T103" s="22">
        <f t="shared" si="23"/>
        <v>1.0481909256150905</v>
      </c>
      <c r="U103" s="22">
        <f t="shared" si="23"/>
        <v>1.0595148748541463</v>
      </c>
      <c r="V103" s="22">
        <f t="shared" si="23"/>
        <v>1.0708200492308082</v>
      </c>
      <c r="W103" s="22">
        <f t="shared" si="23"/>
        <v>1.0860105374840394</v>
      </c>
      <c r="X103" s="22">
        <f t="shared" si="23"/>
        <v>1.1011136627598048</v>
      </c>
      <c r="Y103" s="22">
        <f t="shared" si="23"/>
        <v>1.1168753754822469</v>
      </c>
      <c r="Z103" s="22">
        <f t="shared" si="23"/>
        <v>1.1316116174141071</v>
      </c>
      <c r="AA103" s="22">
        <f t="shared" si="23"/>
        <v>1.1477472664244306</v>
      </c>
      <c r="AB103" s="22">
        <f t="shared" si="23"/>
        <v>1.162000977077071</v>
      </c>
      <c r="AC103" s="22">
        <f t="shared" si="23"/>
        <v>1.1766850766989885</v>
      </c>
      <c r="AD103" s="22">
        <f t="shared" si="23"/>
        <v>1.1920390141813535</v>
      </c>
      <c r="AE103" s="22">
        <f t="shared" si="23"/>
        <v>1.209291621864601</v>
      </c>
      <c r="AF103" s="22">
        <f t="shared" si="23"/>
        <v>1.2270828646029268</v>
      </c>
      <c r="AG103" s="22">
        <f t="shared" si="23"/>
        <v>1.2169487802084893</v>
      </c>
      <c r="AH103" s="22">
        <f t="shared" si="23"/>
        <v>-0.11188522139136049</v>
      </c>
      <c r="AI103" s="22">
        <f t="shared" si="23"/>
        <v>-0.10923992354699982</v>
      </c>
      <c r="AJ103" s="22">
        <f t="shared" si="23"/>
        <v>-0.10664295801578709</v>
      </c>
      <c r="AK103" s="22">
        <f t="shared" si="23"/>
        <v>-0.10409179637304686</v>
      </c>
      <c r="AL103" s="22">
        <f t="shared" si="23"/>
        <v>-0.10158408786075553</v>
      </c>
      <c r="AM103" s="22">
        <f t="shared" si="23"/>
        <v>-9.911764281122247E-2</v>
      </c>
      <c r="AN103" s="22">
        <f t="shared" si="23"/>
        <v>-9.7051147987208763E-2</v>
      </c>
      <c r="AO103" s="22">
        <f t="shared" si="23"/>
        <v>-9.5020146872529937E-2</v>
      </c>
      <c r="AP103" s="22">
        <f t="shared" si="23"/>
        <v>-9.3023012126499452E-2</v>
      </c>
      <c r="AQ103" s="22">
        <f t="shared" si="23"/>
        <v>-9.1058219239636279E-2</v>
      </c>
      <c r="AR103" s="22">
        <f t="shared" si="23"/>
        <v>-8.9124337939456066E-2</v>
      </c>
      <c r="AS103" s="22">
        <f t="shared" si="23"/>
        <v>-8.7091918156742387E-2</v>
      </c>
      <c r="AT103" s="22">
        <f t="shared" si="23"/>
        <v>-8.5090852576232723E-2</v>
      </c>
      <c r="AU103" s="22">
        <f t="shared" si="23"/>
        <v>-8.3119887513720792E-2</v>
      </c>
      <c r="AV103" s="22">
        <f t="shared" si="23"/>
        <v>-8.1177840815191041E-2</v>
      </c>
      <c r="AW103" s="22">
        <f t="shared" si="23"/>
        <v>-7.9263596467564895E-2</v>
      </c>
      <c r="AY103" s="85"/>
    </row>
    <row r="104" spans="1:51" x14ac:dyDescent="0.25">
      <c r="A104" s="102" t="str">
        <f t="shared" si="0"/>
        <v>FS Volatilisation</v>
      </c>
      <c r="B104" s="102" t="s">
        <v>1005</v>
      </c>
      <c r="C104" s="102" t="s">
        <v>62</v>
      </c>
      <c r="D104" t="s">
        <v>369</v>
      </c>
      <c r="E104" t="s">
        <v>61</v>
      </c>
      <c r="F104" t="s">
        <v>62</v>
      </c>
      <c r="G104" t="s">
        <v>438</v>
      </c>
      <c r="H104" t="s">
        <v>1266</v>
      </c>
      <c r="I104" t="s">
        <v>139</v>
      </c>
      <c r="J104" t="s">
        <v>287</v>
      </c>
      <c r="K104" s="22">
        <f t="shared" si="16"/>
        <v>4.4200208339270741</v>
      </c>
      <c r="L104" s="22">
        <f t="shared" si="23"/>
        <v>4.4063497224338981</v>
      </c>
      <c r="M104" s="22">
        <f t="shared" si="23"/>
        <v>4.3748236308422763</v>
      </c>
      <c r="N104" s="22">
        <f t="shared" si="23"/>
        <v>4.3194633293945399</v>
      </c>
      <c r="O104" s="22">
        <f t="shared" si="23"/>
        <v>4.2670975633063994</v>
      </c>
      <c r="P104" s="22">
        <f t="shared" si="23"/>
        <v>4.2296870830077653</v>
      </c>
      <c r="Q104" s="22">
        <f t="shared" si="23"/>
        <v>4.1973003663588617</v>
      </c>
      <c r="R104" s="22">
        <f t="shared" si="23"/>
        <v>4.1416337219460111</v>
      </c>
      <c r="S104" s="22">
        <f t="shared" si="23"/>
        <v>3.8694283391195556</v>
      </c>
      <c r="T104" s="22">
        <f t="shared" si="23"/>
        <v>3.892690707807458</v>
      </c>
      <c r="U104" s="22">
        <f t="shared" si="23"/>
        <v>3.910223559811274</v>
      </c>
      <c r="V104" s="22">
        <f t="shared" si="23"/>
        <v>3.9277946028277135</v>
      </c>
      <c r="W104" s="22">
        <f t="shared" si="23"/>
        <v>3.9540546968376762</v>
      </c>
      <c r="X104" s="22">
        <f t="shared" si="23"/>
        <v>3.9800525826427466</v>
      </c>
      <c r="Y104" s="22">
        <f t="shared" si="23"/>
        <v>4.0052503163811615</v>
      </c>
      <c r="Z104" s="22">
        <f t="shared" si="23"/>
        <v>4.0280715770679869</v>
      </c>
      <c r="AA104" s="22">
        <f t="shared" si="23"/>
        <v>4.0537990986432781</v>
      </c>
      <c r="AB104" s="22">
        <f t="shared" si="23"/>
        <v>4.0752877726899488</v>
      </c>
      <c r="AC104" s="22">
        <f t="shared" si="23"/>
        <v>4.0975518352324007</v>
      </c>
      <c r="AD104" s="22">
        <f t="shared" si="23"/>
        <v>4.1101837888002137</v>
      </c>
      <c r="AE104" s="22">
        <f t="shared" si="23"/>
        <v>4.1260897941446899</v>
      </c>
      <c r="AF104" s="22">
        <f t="shared" si="23"/>
        <v>4.1422931340887423</v>
      </c>
      <c r="AG104" s="22">
        <f t="shared" si="23"/>
        <v>4.1002928018965292</v>
      </c>
      <c r="AH104" s="22">
        <f t="shared" si="23"/>
        <v>1.3815874291099948</v>
      </c>
      <c r="AI104" s="22">
        <f t="shared" si="23"/>
        <v>1.3949306414379468</v>
      </c>
      <c r="AJ104" s="22">
        <f t="shared" si="23"/>
        <v>1.4082841741429419</v>
      </c>
      <c r="AK104" s="22">
        <f t="shared" si="23"/>
        <v>1.4216501520712144</v>
      </c>
      <c r="AL104" s="22">
        <f t="shared" si="23"/>
        <v>1.4350306139589808</v>
      </c>
      <c r="AM104" s="22">
        <f t="shared" si="23"/>
        <v>1.4484275190090183</v>
      </c>
      <c r="AN104" s="22">
        <f t="shared" si="23"/>
        <v>1.4583849717914823</v>
      </c>
      <c r="AO104" s="22">
        <f t="shared" si="23"/>
        <v>1.4683627043177812</v>
      </c>
      <c r="AP104" s="22">
        <f t="shared" si="23"/>
        <v>1.4783612830909323</v>
      </c>
      <c r="AQ104" s="22">
        <f t="shared" si="23"/>
        <v>1.4883812733334345</v>
      </c>
      <c r="AR104" s="22">
        <f t="shared" si="23"/>
        <v>1.4984232382688703</v>
      </c>
      <c r="AS104" s="22">
        <f t="shared" si="23"/>
        <v>1.5071704030997894</v>
      </c>
      <c r="AT104" s="22">
        <f t="shared" si="23"/>
        <v>1.5159247272983905</v>
      </c>
      <c r="AU104" s="22">
        <f t="shared" si="23"/>
        <v>1.5246866021590828</v>
      </c>
      <c r="AV104" s="22">
        <f t="shared" si="23"/>
        <v>1.5334564173590695</v>
      </c>
      <c r="AW104" s="22">
        <f t="shared" si="23"/>
        <v>1.5422345604898144</v>
      </c>
      <c r="AY104" s="85"/>
    </row>
    <row r="105" spans="1:51" x14ac:dyDescent="0.25">
      <c r="A105" s="102" t="str">
        <f t="shared" si="0"/>
        <v>FS Leaching</v>
      </c>
      <c r="B105" s="102" t="s">
        <v>1005</v>
      </c>
      <c r="C105" s="102" t="s">
        <v>1191</v>
      </c>
      <c r="D105" t="s">
        <v>369</v>
      </c>
      <c r="E105" t="s">
        <v>61</v>
      </c>
      <c r="F105" t="s">
        <v>63</v>
      </c>
      <c r="G105" t="s">
        <v>435</v>
      </c>
      <c r="H105" t="s">
        <v>1188</v>
      </c>
      <c r="I105" t="s">
        <v>139</v>
      </c>
      <c r="J105" t="s">
        <v>287</v>
      </c>
      <c r="K105" s="22">
        <f t="shared" si="16"/>
        <v>2.2792360161858692E-4</v>
      </c>
      <c r="L105" s="22">
        <f t="shared" si="23"/>
        <v>2.2789089758152E-4</v>
      </c>
      <c r="M105" s="22">
        <f t="shared" si="23"/>
        <v>2.2784620728789122E-4</v>
      </c>
      <c r="N105" s="22">
        <f t="shared" si="23"/>
        <v>2.2781376806101585E-4</v>
      </c>
      <c r="O105" s="22">
        <f t="shared" si="23"/>
        <v>2.277979703991449E-4</v>
      </c>
      <c r="P105" s="22">
        <f t="shared" si="23"/>
        <v>2.2778237795328883E-4</v>
      </c>
      <c r="Q105" s="22">
        <f t="shared" si="23"/>
        <v>2.2775879036527182E-4</v>
      </c>
      <c r="R105" s="22">
        <f t="shared" si="23"/>
        <v>2.2773296541219322E-4</v>
      </c>
      <c r="S105" s="22">
        <f t="shared" si="23"/>
        <v>2.2772451381029767E-4</v>
      </c>
      <c r="T105" s="22">
        <f t="shared" si="23"/>
        <v>2.2787975604510752E-4</v>
      </c>
      <c r="U105" s="22">
        <f t="shared" si="23"/>
        <v>2.2783133073996282E-4</v>
      </c>
      <c r="V105" s="22">
        <f t="shared" si="23"/>
        <v>2.2778779266900863E-4</v>
      </c>
      <c r="W105" s="22">
        <f t="shared" si="23"/>
        <v>2.2774465820609167E-4</v>
      </c>
      <c r="X105" s="22">
        <f t="shared" si="23"/>
        <v>2.2769514433443585E-4</v>
      </c>
      <c r="Y105" s="22">
        <f t="shared" si="23"/>
        <v>2.2764616786006951E-4</v>
      </c>
      <c r="Z105" s="22">
        <f t="shared" si="23"/>
        <v>2.2759651184057824E-4</v>
      </c>
      <c r="AA105" s="22">
        <f t="shared" si="23"/>
        <v>2.2754896944896373E-4</v>
      </c>
      <c r="AB105" s="22">
        <f t="shared" si="23"/>
        <v>2.2749939499654159E-4</v>
      </c>
      <c r="AC105" s="22">
        <f t="shared" si="23"/>
        <v>2.2745334364346914E-4</v>
      </c>
      <c r="AD105" s="22">
        <f t="shared" si="23"/>
        <v>2.2740688148204587E-4</v>
      </c>
      <c r="AE105" s="22">
        <f t="shared" si="23"/>
        <v>2.2735281526868665E-4</v>
      </c>
      <c r="AF105" s="22">
        <f t="shared" si="23"/>
        <v>2.2729573788886622E-4</v>
      </c>
      <c r="AG105" s="22">
        <f t="shared" si="23"/>
        <v>2.2723794052986968E-4</v>
      </c>
      <c r="AH105" s="22">
        <f t="shared" si="23"/>
        <v>2.2722647023900249E-4</v>
      </c>
      <c r="AI105" s="22">
        <f t="shared" si="23"/>
        <v>2.3199301501406117E-4</v>
      </c>
      <c r="AJ105" s="22">
        <f t="shared" si="23"/>
        <v>2.3200144778534623E-4</v>
      </c>
      <c r="AK105" s="22">
        <f t="shared" si="23"/>
        <v>2.3200996932526481E-4</v>
      </c>
      <c r="AL105" s="22">
        <f t="shared" si="23"/>
        <v>2.3201858085671791E-4</v>
      </c>
      <c r="AM105" s="22">
        <f t="shared" si="23"/>
        <v>2.3202728362560843E-4</v>
      </c>
      <c r="AN105" s="22">
        <f t="shared" si="23"/>
        <v>2.3203607890141459E-4</v>
      </c>
      <c r="AO105" s="22">
        <f t="shared" si="23"/>
        <v>2.3204361807507387E-4</v>
      </c>
      <c r="AP105" s="22">
        <f t="shared" si="23"/>
        <v>2.3205122563665836E-4</v>
      </c>
      <c r="AQ105" s="22">
        <f t="shared" si="23"/>
        <v>2.3205890240445205E-4</v>
      </c>
      <c r="AR105" s="22">
        <f t="shared" si="23"/>
        <v>2.3206664921016296E-4</v>
      </c>
      <c r="AS105" s="22">
        <f t="shared" si="23"/>
        <v>2.3207446689921618E-4</v>
      </c>
      <c r="AT105" s="22">
        <f t="shared" si="23"/>
        <v>2.3208094961269798E-4</v>
      </c>
      <c r="AU105" s="22">
        <f t="shared" si="23"/>
        <v>2.3208748132964898E-4</v>
      </c>
      <c r="AV105" s="22">
        <f t="shared" si="23"/>
        <v>2.3209406254196601E-4</v>
      </c>
      <c r="AW105" s="22">
        <f t="shared" si="23"/>
        <v>2.3210069374833838E-4</v>
      </c>
      <c r="AY105" s="85"/>
    </row>
    <row r="106" spans="1:51" x14ac:dyDescent="0.25">
      <c r="A106" s="102" t="str">
        <f t="shared" si="0"/>
        <v>FS Leaching</v>
      </c>
      <c r="B106" s="102" t="s">
        <v>1005</v>
      </c>
      <c r="C106" s="102" t="s">
        <v>1191</v>
      </c>
      <c r="D106" t="s">
        <v>369</v>
      </c>
      <c r="E106" t="s">
        <v>61</v>
      </c>
      <c r="F106" t="s">
        <v>63</v>
      </c>
      <c r="G106" t="s">
        <v>436</v>
      </c>
      <c r="H106" t="s">
        <v>1189</v>
      </c>
      <c r="I106" t="s">
        <v>139</v>
      </c>
      <c r="J106" t="s">
        <v>287</v>
      </c>
      <c r="K106" s="22">
        <f t="shared" si="16"/>
        <v>1.5042957706826741E-6</v>
      </c>
      <c r="L106" s="22">
        <f t="shared" si="23"/>
        <v>1.5040799240380321E-6</v>
      </c>
      <c r="M106" s="22">
        <f t="shared" si="23"/>
        <v>1.5037849681000825E-6</v>
      </c>
      <c r="N106" s="22">
        <f t="shared" si="23"/>
        <v>1.5035708692027049E-6</v>
      </c>
      <c r="O106" s="22">
        <f t="shared" si="23"/>
        <v>1.5034666046343562E-6</v>
      </c>
      <c r="P106" s="22">
        <f t="shared" si="23"/>
        <v>1.5033636944917065E-6</v>
      </c>
      <c r="Q106" s="22">
        <f t="shared" si="23"/>
        <v>1.5032080164107946E-6</v>
      </c>
      <c r="R106" s="22">
        <f t="shared" si="23"/>
        <v>1.5030375717204757E-6</v>
      </c>
      <c r="S106" s="22">
        <f t="shared" si="23"/>
        <v>1.5029817911479652E-6</v>
      </c>
      <c r="T106" s="22">
        <f t="shared" si="23"/>
        <v>1.5040063898977102E-6</v>
      </c>
      <c r="U106" s="22">
        <f t="shared" si="23"/>
        <v>1.503686782883755E-6</v>
      </c>
      <c r="V106" s="22">
        <f t="shared" si="23"/>
        <v>1.5033994316154569E-6</v>
      </c>
      <c r="W106" s="22">
        <f t="shared" si="23"/>
        <v>1.5031147441602057E-6</v>
      </c>
      <c r="X106" s="22">
        <f t="shared" si="23"/>
        <v>1.5027879526072768E-6</v>
      </c>
      <c r="Y106" s="22">
        <f t="shared" si="23"/>
        <v>1.5024647078764589E-6</v>
      </c>
      <c r="Z106" s="22">
        <f t="shared" si="23"/>
        <v>1.5021369781478169E-6</v>
      </c>
      <c r="AA106" s="22">
        <f t="shared" si="23"/>
        <v>1.5018231983631605E-6</v>
      </c>
      <c r="AB106" s="22">
        <f t="shared" si="23"/>
        <v>1.5014960069771748E-6</v>
      </c>
      <c r="AC106" s="22">
        <f t="shared" si="23"/>
        <v>1.5011920680468966E-6</v>
      </c>
      <c r="AD106" s="22">
        <f t="shared" si="23"/>
        <v>1.5008854177815029E-6</v>
      </c>
      <c r="AE106" s="22">
        <f t="shared" si="23"/>
        <v>1.5005285807733322E-6</v>
      </c>
      <c r="AF106" s="22">
        <f t="shared" si="23"/>
        <v>1.5001518700665174E-6</v>
      </c>
      <c r="AG106" s="22">
        <f t="shared" si="23"/>
        <v>1.4997704074971401E-6</v>
      </c>
      <c r="AH106" s="22">
        <f t="shared" si="23"/>
        <v>1.4996947035774166E-6</v>
      </c>
      <c r="AI106" s="22">
        <f t="shared" si="23"/>
        <v>1.5311538990928041E-6</v>
      </c>
      <c r="AJ106" s="22">
        <f t="shared" si="23"/>
        <v>1.531209555383285E-6</v>
      </c>
      <c r="AK106" s="22">
        <f t="shared" si="23"/>
        <v>1.5312657975467479E-6</v>
      </c>
      <c r="AL106" s="22">
        <f t="shared" si="23"/>
        <v>1.5313226336543386E-6</v>
      </c>
      <c r="AM106" s="22">
        <f t="shared" si="23"/>
        <v>1.5313800719290159E-6</v>
      </c>
      <c r="AN106" s="22">
        <f t="shared" si="23"/>
        <v>1.5314381207493371E-6</v>
      </c>
      <c r="AO106" s="22">
        <f t="shared" si="23"/>
        <v>1.5314878792954879E-6</v>
      </c>
      <c r="AP106" s="22">
        <f t="shared" si="23"/>
        <v>1.5315380892019456E-6</v>
      </c>
      <c r="AQ106" s="22">
        <f t="shared" si="23"/>
        <v>1.5315887558693837E-6</v>
      </c>
      <c r="AR106" s="22">
        <f t="shared" si="23"/>
        <v>1.5316398847870756E-6</v>
      </c>
      <c r="AS106" s="22">
        <f t="shared" si="23"/>
        <v>1.5316914815348266E-6</v>
      </c>
      <c r="AT106" s="22">
        <f t="shared" si="23"/>
        <v>1.5317342674438069E-6</v>
      </c>
      <c r="AU106" s="22">
        <f t="shared" si="23"/>
        <v>1.531777376775684E-6</v>
      </c>
      <c r="AV106" s="22">
        <f t="shared" si="23"/>
        <v>1.5318208127769759E-6</v>
      </c>
      <c r="AW106" s="22">
        <f t="shared" si="23"/>
        <v>1.5318645787390334E-6</v>
      </c>
      <c r="AY106" s="85"/>
    </row>
    <row r="107" spans="1:51" x14ac:dyDescent="0.25">
      <c r="A107" s="102" t="str">
        <f t="shared" si="0"/>
        <v>FS Leaching</v>
      </c>
      <c r="B107" s="102" t="s">
        <v>1005</v>
      </c>
      <c r="C107" s="102" t="s">
        <v>1191</v>
      </c>
      <c r="D107" t="s">
        <v>369</v>
      </c>
      <c r="E107" t="s">
        <v>61</v>
      </c>
      <c r="F107" t="s">
        <v>63</v>
      </c>
      <c r="G107" t="s">
        <v>437</v>
      </c>
      <c r="H107" t="s">
        <v>1190</v>
      </c>
      <c r="I107" t="s">
        <v>139</v>
      </c>
      <c r="J107" t="s">
        <v>287</v>
      </c>
      <c r="K107" s="22">
        <f t="shared" si="16"/>
        <v>0.20860999282156298</v>
      </c>
      <c r="L107" s="22">
        <f t="shared" si="23"/>
        <v>0.20916470494858161</v>
      </c>
      <c r="M107" s="22">
        <f t="shared" si="23"/>
        <v>0.20839166057483782</v>
      </c>
      <c r="N107" s="22">
        <f t="shared" si="23"/>
        <v>0.20582736549591388</v>
      </c>
      <c r="O107" s="22">
        <f t="shared" si="23"/>
        <v>0.20337087062968656</v>
      </c>
      <c r="P107" s="22">
        <f t="shared" si="23"/>
        <v>0.20190666512350769</v>
      </c>
      <c r="Q107" s="22">
        <f t="shared" si="23"/>
        <v>0.2007674260526916</v>
      </c>
      <c r="R107" s="22">
        <f t="shared" si="23"/>
        <v>0.19784037541962898</v>
      </c>
      <c r="S107" s="22">
        <f t="shared" si="23"/>
        <v>0.17841698820622015</v>
      </c>
      <c r="T107" s="22">
        <f t="shared" si="23"/>
        <v>0.18081293466860307</v>
      </c>
      <c r="U107" s="22">
        <f t="shared" si="23"/>
        <v>0.18276631591234022</v>
      </c>
      <c r="V107" s="22">
        <f t="shared" si="23"/>
        <v>0.18471645849231438</v>
      </c>
      <c r="W107" s="22">
        <f t="shared" si="23"/>
        <v>0.18733681771599675</v>
      </c>
      <c r="X107" s="22">
        <f t="shared" si="23"/>
        <v>0.18994210682606633</v>
      </c>
      <c r="Y107" s="22">
        <f t="shared" si="23"/>
        <v>0.19266100227068755</v>
      </c>
      <c r="Z107" s="22">
        <f t="shared" si="23"/>
        <v>0.19520300400393342</v>
      </c>
      <c r="AA107" s="22">
        <f t="shared" si="23"/>
        <v>0.19798640345821425</v>
      </c>
      <c r="AB107" s="22">
        <f t="shared" si="23"/>
        <v>0.20044516854579475</v>
      </c>
      <c r="AC107" s="22">
        <f t="shared" si="23"/>
        <v>0.20297817573057544</v>
      </c>
      <c r="AD107" s="22">
        <f t="shared" si="23"/>
        <v>0.2056267299462835</v>
      </c>
      <c r="AE107" s="22">
        <f t="shared" si="23"/>
        <v>0.20860280477164364</v>
      </c>
      <c r="AF107" s="22">
        <f t="shared" si="23"/>
        <v>0.21167179414400486</v>
      </c>
      <c r="AG107" s="22">
        <f t="shared" si="23"/>
        <v>0.20992366458596434</v>
      </c>
      <c r="AH107" s="22">
        <f t="shared" si="23"/>
        <v>-1.9300200690009681E-2</v>
      </c>
      <c r="AI107" s="22">
        <f t="shared" si="23"/>
        <v>-1.8843886811857471E-2</v>
      </c>
      <c r="AJ107" s="22">
        <f t="shared" si="23"/>
        <v>-1.8395910257723268E-2</v>
      </c>
      <c r="AK107" s="22">
        <f t="shared" si="23"/>
        <v>-1.7955834874350582E-2</v>
      </c>
      <c r="AL107" s="22">
        <f t="shared" si="23"/>
        <v>-1.7523255155980324E-2</v>
      </c>
      <c r="AM107" s="22">
        <f t="shared" si="23"/>
        <v>-1.7097793384935875E-2</v>
      </c>
      <c r="AN107" s="22">
        <f t="shared" si="23"/>
        <v>-1.6741323027793506E-2</v>
      </c>
      <c r="AO107" s="22">
        <f t="shared" si="23"/>
        <v>-1.6390975335511412E-2</v>
      </c>
      <c r="AP107" s="22">
        <f t="shared" si="23"/>
        <v>-1.6046469591821155E-2</v>
      </c>
      <c r="AQ107" s="22">
        <f t="shared" si="23"/>
        <v>-1.5707542818837256E-2</v>
      </c>
      <c r="AR107" s="22">
        <f t="shared" si="23"/>
        <v>-1.5373948294556171E-2</v>
      </c>
      <c r="AS107" s="22">
        <f t="shared" si="23"/>
        <v>-1.5023355882038061E-2</v>
      </c>
      <c r="AT107" s="22">
        <f t="shared" si="23"/>
        <v>-1.4678172069400145E-2</v>
      </c>
      <c r="AU107" s="22">
        <f t="shared" si="23"/>
        <v>-1.4338180596116832E-2</v>
      </c>
      <c r="AV107" s="22">
        <f t="shared" si="23"/>
        <v>-1.4003177540620452E-2</v>
      </c>
      <c r="AW107" s="22">
        <f t="shared" si="23"/>
        <v>-1.367297039065494E-2</v>
      </c>
      <c r="AY107" s="85"/>
    </row>
    <row r="108" spans="1:51" x14ac:dyDescent="0.25">
      <c r="A108" s="102" t="str">
        <f t="shared" si="0"/>
        <v>FS Leaching</v>
      </c>
      <c r="B108" s="102" t="s">
        <v>1005</v>
      </c>
      <c r="C108" s="102" t="s">
        <v>1191</v>
      </c>
      <c r="D108" t="s">
        <v>369</v>
      </c>
      <c r="E108" t="s">
        <v>61</v>
      </c>
      <c r="F108" t="s">
        <v>63</v>
      </c>
      <c r="G108" t="s">
        <v>438</v>
      </c>
      <c r="H108" t="s">
        <v>1192</v>
      </c>
      <c r="I108" t="s">
        <v>139</v>
      </c>
      <c r="J108" t="s">
        <v>287</v>
      </c>
      <c r="K108" s="22">
        <f t="shared" si="16"/>
        <v>0</v>
      </c>
      <c r="L108" s="22">
        <f t="shared" si="23"/>
        <v>0</v>
      </c>
      <c r="M108" s="22">
        <f t="shared" si="23"/>
        <v>0</v>
      </c>
      <c r="N108" s="22">
        <f t="shared" si="23"/>
        <v>0</v>
      </c>
      <c r="O108" s="22">
        <f t="shared" ref="L108:AW114" si="24">O1517</f>
        <v>0</v>
      </c>
      <c r="P108" s="22">
        <f t="shared" si="24"/>
        <v>0</v>
      </c>
      <c r="Q108" s="22">
        <f t="shared" si="24"/>
        <v>0</v>
      </c>
      <c r="R108" s="22">
        <f t="shared" si="24"/>
        <v>0</v>
      </c>
      <c r="S108" s="22">
        <f t="shared" si="24"/>
        <v>0</v>
      </c>
      <c r="T108" s="22">
        <f t="shared" si="24"/>
        <v>0</v>
      </c>
      <c r="U108" s="22">
        <f t="shared" si="24"/>
        <v>0</v>
      </c>
      <c r="V108" s="22">
        <f t="shared" si="24"/>
        <v>0</v>
      </c>
      <c r="W108" s="22">
        <f t="shared" si="24"/>
        <v>0</v>
      </c>
      <c r="X108" s="22">
        <f t="shared" si="24"/>
        <v>0</v>
      </c>
      <c r="Y108" s="22">
        <f t="shared" si="24"/>
        <v>0</v>
      </c>
      <c r="Z108" s="22">
        <f t="shared" si="24"/>
        <v>0</v>
      </c>
      <c r="AA108" s="22">
        <f t="shared" si="24"/>
        <v>0</v>
      </c>
      <c r="AB108" s="22">
        <f t="shared" si="24"/>
        <v>0</v>
      </c>
      <c r="AC108" s="22">
        <f t="shared" si="24"/>
        <v>0</v>
      </c>
      <c r="AD108" s="22">
        <f t="shared" si="24"/>
        <v>0</v>
      </c>
      <c r="AE108" s="22">
        <f t="shared" si="24"/>
        <v>0</v>
      </c>
      <c r="AF108" s="22">
        <f t="shared" si="24"/>
        <v>0</v>
      </c>
      <c r="AG108" s="22">
        <f t="shared" si="24"/>
        <v>0</v>
      </c>
      <c r="AH108" s="22">
        <f t="shared" si="24"/>
        <v>0</v>
      </c>
      <c r="AI108" s="22">
        <f t="shared" si="24"/>
        <v>0</v>
      </c>
      <c r="AJ108" s="22">
        <f t="shared" si="24"/>
        <v>0</v>
      </c>
      <c r="AK108" s="22">
        <f t="shared" si="24"/>
        <v>0</v>
      </c>
      <c r="AL108" s="22">
        <f t="shared" si="24"/>
        <v>0</v>
      </c>
      <c r="AM108" s="22">
        <f t="shared" si="24"/>
        <v>0</v>
      </c>
      <c r="AN108" s="22">
        <f t="shared" si="24"/>
        <v>0</v>
      </c>
      <c r="AO108" s="22">
        <f t="shared" si="24"/>
        <v>0</v>
      </c>
      <c r="AP108" s="22">
        <f t="shared" si="24"/>
        <v>0</v>
      </c>
      <c r="AQ108" s="22">
        <f t="shared" si="24"/>
        <v>0</v>
      </c>
      <c r="AR108" s="22">
        <f t="shared" si="24"/>
        <v>0</v>
      </c>
      <c r="AS108" s="22">
        <f t="shared" si="24"/>
        <v>0</v>
      </c>
      <c r="AT108" s="22">
        <f t="shared" si="24"/>
        <v>0</v>
      </c>
      <c r="AU108" s="22">
        <f t="shared" si="24"/>
        <v>0</v>
      </c>
      <c r="AV108" s="22">
        <f t="shared" si="24"/>
        <v>0</v>
      </c>
      <c r="AW108" s="22">
        <f t="shared" si="24"/>
        <v>0</v>
      </c>
      <c r="AY108" s="85"/>
    </row>
    <row r="109" spans="1:51" x14ac:dyDescent="0.25">
      <c r="A109" s="102" t="str">
        <f t="shared" si="0"/>
        <v>FS Leaching</v>
      </c>
      <c r="B109" s="102" t="s">
        <v>1005</v>
      </c>
      <c r="C109" s="102" t="s">
        <v>1191</v>
      </c>
      <c r="D109" t="s">
        <v>369</v>
      </c>
      <c r="E109" t="s">
        <v>61</v>
      </c>
      <c r="F109" t="s">
        <v>63</v>
      </c>
      <c r="G109" t="s">
        <v>439</v>
      </c>
      <c r="H109" t="s">
        <v>1193</v>
      </c>
      <c r="I109" t="s">
        <v>139</v>
      </c>
      <c r="J109" t="s">
        <v>287</v>
      </c>
      <c r="K109" s="22">
        <f t="shared" si="16"/>
        <v>0.10175116378121943</v>
      </c>
      <c r="L109" s="22">
        <f t="shared" si="24"/>
        <v>0.10199531862312783</v>
      </c>
      <c r="M109" s="22">
        <f t="shared" si="24"/>
        <v>0.10232895790911103</v>
      </c>
      <c r="N109" s="22">
        <f t="shared" si="24"/>
        <v>0.102571135787432</v>
      </c>
      <c r="O109" s="22">
        <f t="shared" si="24"/>
        <v>0.10268907461035851</v>
      </c>
      <c r="P109" s="22">
        <f t="shared" si="24"/>
        <v>0.10280548137522282</v>
      </c>
      <c r="Q109" s="22">
        <f t="shared" si="24"/>
        <v>0.10298157657140594</v>
      </c>
      <c r="R109" s="22">
        <f t="shared" si="24"/>
        <v>0.10317437501165042</v>
      </c>
      <c r="S109" s="22">
        <f t="shared" si="24"/>
        <v>0.10323747118294155</v>
      </c>
      <c r="T109" s="22">
        <f t="shared" si="24"/>
        <v>0.10207849673523195</v>
      </c>
      <c r="U109" s="22">
        <f t="shared" si="24"/>
        <v>0.10244002007553947</v>
      </c>
      <c r="V109" s="22">
        <f t="shared" si="24"/>
        <v>0.10276505734262262</v>
      </c>
      <c r="W109" s="22">
        <f t="shared" si="24"/>
        <v>0.10308708143869158</v>
      </c>
      <c r="X109" s="22">
        <f t="shared" si="24"/>
        <v>0.10345673156725761</v>
      </c>
      <c r="Y109" s="22">
        <f t="shared" si="24"/>
        <v>0.10382236970947499</v>
      </c>
      <c r="Z109" s="22">
        <f t="shared" si="24"/>
        <v>0.10419308105510718</v>
      </c>
      <c r="AA109" s="22">
        <f t="shared" si="24"/>
        <v>0.1045480129274277</v>
      </c>
      <c r="AB109" s="22">
        <f t="shared" si="24"/>
        <v>0.10491811532698922</v>
      </c>
      <c r="AC109" s="22">
        <f t="shared" si="24"/>
        <v>0.10526191572099161</v>
      </c>
      <c r="AD109" s="22">
        <f t="shared" si="24"/>
        <v>0.10560878304057683</v>
      </c>
      <c r="AE109" s="22">
        <f t="shared" si="24"/>
        <v>0.10601241907328743</v>
      </c>
      <c r="AF109" s="22">
        <f t="shared" si="24"/>
        <v>0.10643853523191582</v>
      </c>
      <c r="AG109" s="22">
        <f t="shared" si="24"/>
        <v>0.10687002645789688</v>
      </c>
      <c r="AH109" s="22">
        <f t="shared" si="24"/>
        <v>0.10695565891506367</v>
      </c>
      <c r="AI109" s="22">
        <f t="shared" si="24"/>
        <v>7.1370603051085779E-2</v>
      </c>
      <c r="AJ109" s="22">
        <f t="shared" si="24"/>
        <v>7.1307647461360521E-2</v>
      </c>
      <c r="AK109" s="22">
        <f t="shared" si="24"/>
        <v>7.1244029161657008E-2</v>
      </c>
      <c r="AL109" s="22">
        <f t="shared" si="24"/>
        <v>7.1179739022300959E-2</v>
      </c>
      <c r="AM109" s="22">
        <f t="shared" si="24"/>
        <v>7.1114767741896984E-2</v>
      </c>
      <c r="AN109" s="22">
        <f t="shared" si="24"/>
        <v>7.1049105843042956E-2</v>
      </c>
      <c r="AO109" s="22">
        <f t="shared" si="24"/>
        <v>7.0992821484352875E-2</v>
      </c>
      <c r="AP109" s="22">
        <f t="shared" si="24"/>
        <v>7.0936026569640209E-2</v>
      </c>
      <c r="AQ109" s="22">
        <f t="shared" si="24"/>
        <v>7.0878714989935504E-2</v>
      </c>
      <c r="AR109" s="22">
        <f t="shared" si="24"/>
        <v>7.0820880536048819E-2</v>
      </c>
      <c r="AS109" s="22">
        <f t="shared" si="24"/>
        <v>7.0762516896386879E-2</v>
      </c>
      <c r="AT109" s="22">
        <f t="shared" si="24"/>
        <v>7.0714119633319514E-2</v>
      </c>
      <c r="AU109" s="22">
        <f t="shared" si="24"/>
        <v>7.0665356530577775E-2</v>
      </c>
      <c r="AV109" s="22">
        <f t="shared" si="24"/>
        <v>7.0616223915862988E-2</v>
      </c>
      <c r="AW109" s="22">
        <f t="shared" si="24"/>
        <v>7.0566718066166448E-2</v>
      </c>
      <c r="AY109" s="85"/>
    </row>
    <row r="110" spans="1:51" x14ac:dyDescent="0.25">
      <c r="A110" s="102" t="str">
        <f t="shared" si="0"/>
        <v>FS Leaching</v>
      </c>
      <c r="B110" s="102" t="s">
        <v>1005</v>
      </c>
      <c r="C110" s="102" t="s">
        <v>1191</v>
      </c>
      <c r="D110" t="s">
        <v>369</v>
      </c>
      <c r="E110" t="s">
        <v>61</v>
      </c>
      <c r="F110" t="s">
        <v>63</v>
      </c>
      <c r="G110" t="s">
        <v>1194</v>
      </c>
      <c r="H110" t="s">
        <v>1195</v>
      </c>
      <c r="I110" t="s">
        <v>139</v>
      </c>
      <c r="J110" t="s">
        <v>287</v>
      </c>
      <c r="K110" s="22" t="str">
        <f t="shared" si="16"/>
        <v>NO</v>
      </c>
      <c r="L110" s="22" t="str">
        <f t="shared" si="24"/>
        <v>NO</v>
      </c>
      <c r="M110" s="22" t="str">
        <f t="shared" si="24"/>
        <v>NO</v>
      </c>
      <c r="N110" s="22" t="str">
        <f t="shared" si="24"/>
        <v>NO</v>
      </c>
      <c r="O110" s="22" t="str">
        <f t="shared" si="24"/>
        <v>NO</v>
      </c>
      <c r="P110" s="22" t="str">
        <f t="shared" si="24"/>
        <v>NO</v>
      </c>
      <c r="Q110" s="22" t="str">
        <f t="shared" si="24"/>
        <v>NO</v>
      </c>
      <c r="R110" s="22" t="str">
        <f t="shared" si="24"/>
        <v>NO</v>
      </c>
      <c r="S110" s="22" t="str">
        <f t="shared" si="24"/>
        <v>NO</v>
      </c>
      <c r="T110" s="22" t="str">
        <f t="shared" si="24"/>
        <v>NO</v>
      </c>
      <c r="U110" s="22" t="str">
        <f t="shared" si="24"/>
        <v>NO</v>
      </c>
      <c r="V110" s="22" t="str">
        <f t="shared" si="24"/>
        <v>NO</v>
      </c>
      <c r="W110" s="22" t="str">
        <f t="shared" si="24"/>
        <v>NO</v>
      </c>
      <c r="X110" s="22" t="str">
        <f t="shared" si="24"/>
        <v>NO</v>
      </c>
      <c r="Y110" s="22" t="str">
        <f t="shared" si="24"/>
        <v>NO</v>
      </c>
      <c r="Z110" s="22" t="str">
        <f t="shared" si="24"/>
        <v>NO</v>
      </c>
      <c r="AA110" s="22" t="str">
        <f t="shared" si="24"/>
        <v>NO</v>
      </c>
      <c r="AB110" s="22" t="str">
        <f t="shared" si="24"/>
        <v>NO</v>
      </c>
      <c r="AC110" s="22" t="str">
        <f t="shared" si="24"/>
        <v>NO</v>
      </c>
      <c r="AD110" s="22" t="str">
        <f t="shared" si="24"/>
        <v>NO</v>
      </c>
      <c r="AE110" s="22" t="str">
        <f t="shared" si="24"/>
        <v>NO</v>
      </c>
      <c r="AF110" s="22" t="str">
        <f t="shared" si="24"/>
        <v>NO</v>
      </c>
      <c r="AG110" s="22" t="str">
        <f t="shared" si="24"/>
        <v>NO</v>
      </c>
      <c r="AH110" s="22" t="str">
        <f t="shared" si="24"/>
        <v>NO</v>
      </c>
      <c r="AI110" s="22" t="str">
        <f t="shared" si="24"/>
        <v>NO</v>
      </c>
      <c r="AJ110" s="22" t="str">
        <f t="shared" si="24"/>
        <v>NO</v>
      </c>
      <c r="AK110" s="22" t="str">
        <f t="shared" si="24"/>
        <v>NO</v>
      </c>
      <c r="AL110" s="22" t="str">
        <f t="shared" si="24"/>
        <v>NO</v>
      </c>
      <c r="AM110" s="22" t="str">
        <f t="shared" si="24"/>
        <v>NO</v>
      </c>
      <c r="AN110" s="22" t="str">
        <f t="shared" si="24"/>
        <v>NO</v>
      </c>
      <c r="AO110" s="22" t="str">
        <f t="shared" si="24"/>
        <v>NO</v>
      </c>
      <c r="AP110" s="22" t="str">
        <f t="shared" si="24"/>
        <v>NO</v>
      </c>
      <c r="AQ110" s="22" t="str">
        <f t="shared" si="24"/>
        <v>NO</v>
      </c>
      <c r="AR110" s="22" t="str">
        <f t="shared" si="24"/>
        <v>NO</v>
      </c>
      <c r="AS110" s="22" t="str">
        <f t="shared" si="24"/>
        <v>NO</v>
      </c>
      <c r="AT110" s="22" t="str">
        <f t="shared" si="24"/>
        <v>NO</v>
      </c>
      <c r="AU110" s="22" t="str">
        <f t="shared" si="24"/>
        <v>NO</v>
      </c>
      <c r="AV110" s="22" t="str">
        <f t="shared" si="24"/>
        <v>NO</v>
      </c>
      <c r="AW110" s="22" t="str">
        <f t="shared" si="24"/>
        <v>NO</v>
      </c>
      <c r="AY110" s="85"/>
    </row>
    <row r="111" spans="1:51" x14ac:dyDescent="0.25">
      <c r="A111" s="102" t="str">
        <f t="shared" si="0"/>
        <v>FS Leaching</v>
      </c>
      <c r="B111" s="102" t="s">
        <v>1005</v>
      </c>
      <c r="C111" s="102" t="s">
        <v>1191</v>
      </c>
      <c r="D111" t="s">
        <v>369</v>
      </c>
      <c r="E111" t="s">
        <v>61</v>
      </c>
      <c r="F111" t="s">
        <v>63</v>
      </c>
      <c r="G111" t="s">
        <v>1196</v>
      </c>
      <c r="H111" t="s">
        <v>1197</v>
      </c>
      <c r="I111" t="s">
        <v>139</v>
      </c>
      <c r="J111" t="s">
        <v>287</v>
      </c>
      <c r="K111" s="22" t="str">
        <f t="shared" si="16"/>
        <v>NO</v>
      </c>
      <c r="L111" s="22" t="str">
        <f t="shared" si="24"/>
        <v>NO</v>
      </c>
      <c r="M111" s="22" t="str">
        <f t="shared" si="24"/>
        <v>NO</v>
      </c>
      <c r="N111" s="22" t="str">
        <f t="shared" si="24"/>
        <v>NO</v>
      </c>
      <c r="O111" s="22" t="str">
        <f t="shared" si="24"/>
        <v>NO</v>
      </c>
      <c r="P111" s="22" t="str">
        <f t="shared" si="24"/>
        <v>NO</v>
      </c>
      <c r="Q111" s="22" t="str">
        <f t="shared" si="24"/>
        <v>NO</v>
      </c>
      <c r="R111" s="22" t="str">
        <f t="shared" si="24"/>
        <v>NO</v>
      </c>
      <c r="S111" s="22" t="str">
        <f t="shared" si="24"/>
        <v>NO</v>
      </c>
      <c r="T111" s="22" t="str">
        <f t="shared" si="24"/>
        <v>NO</v>
      </c>
      <c r="U111" s="22" t="str">
        <f t="shared" si="24"/>
        <v>NO</v>
      </c>
      <c r="V111" s="22" t="str">
        <f t="shared" si="24"/>
        <v>NO</v>
      </c>
      <c r="W111" s="22" t="str">
        <f t="shared" si="24"/>
        <v>NO</v>
      </c>
      <c r="X111" s="22" t="str">
        <f t="shared" si="24"/>
        <v>NO</v>
      </c>
      <c r="Y111" s="22" t="str">
        <f t="shared" si="24"/>
        <v>NO</v>
      </c>
      <c r="Z111" s="22" t="str">
        <f t="shared" si="24"/>
        <v>NO</v>
      </c>
      <c r="AA111" s="22" t="str">
        <f t="shared" si="24"/>
        <v>NO</v>
      </c>
      <c r="AB111" s="22" t="str">
        <f t="shared" si="24"/>
        <v>NO</v>
      </c>
      <c r="AC111" s="22" t="str">
        <f t="shared" si="24"/>
        <v>NO</v>
      </c>
      <c r="AD111" s="22" t="str">
        <f t="shared" si="24"/>
        <v>NO</v>
      </c>
      <c r="AE111" s="22" t="str">
        <f t="shared" si="24"/>
        <v>NO</v>
      </c>
      <c r="AF111" s="22" t="str">
        <f t="shared" si="24"/>
        <v>NO</v>
      </c>
      <c r="AG111" s="22" t="str">
        <f t="shared" si="24"/>
        <v>NO</v>
      </c>
      <c r="AH111" s="22" t="str">
        <f t="shared" si="24"/>
        <v>NO</v>
      </c>
      <c r="AI111" s="22" t="str">
        <f t="shared" si="24"/>
        <v>NO</v>
      </c>
      <c r="AJ111" s="22" t="str">
        <f t="shared" si="24"/>
        <v>NO</v>
      </c>
      <c r="AK111" s="22" t="str">
        <f t="shared" si="24"/>
        <v>NO</v>
      </c>
      <c r="AL111" s="22" t="str">
        <f t="shared" si="24"/>
        <v>NO</v>
      </c>
      <c r="AM111" s="22" t="str">
        <f t="shared" si="24"/>
        <v>NO</v>
      </c>
      <c r="AN111" s="22" t="str">
        <f t="shared" si="24"/>
        <v>NO</v>
      </c>
      <c r="AO111" s="22" t="str">
        <f t="shared" si="24"/>
        <v>NO</v>
      </c>
      <c r="AP111" s="22" t="str">
        <f t="shared" si="24"/>
        <v>NO</v>
      </c>
      <c r="AQ111" s="22" t="str">
        <f t="shared" si="24"/>
        <v>NO</v>
      </c>
      <c r="AR111" s="22" t="str">
        <f t="shared" si="24"/>
        <v>NO</v>
      </c>
      <c r="AS111" s="22" t="str">
        <f t="shared" si="24"/>
        <v>NO</v>
      </c>
      <c r="AT111" s="22" t="str">
        <f t="shared" si="24"/>
        <v>NO</v>
      </c>
      <c r="AU111" s="22" t="str">
        <f t="shared" si="24"/>
        <v>NO</v>
      </c>
      <c r="AV111" s="22" t="str">
        <f t="shared" si="24"/>
        <v>NO</v>
      </c>
      <c r="AW111" s="22" t="str">
        <f t="shared" si="24"/>
        <v>NO</v>
      </c>
      <c r="AY111" s="85"/>
    </row>
    <row r="112" spans="1:51" x14ac:dyDescent="0.25">
      <c r="A112" s="102" t="str">
        <f t="shared" si="0"/>
        <v>FS Leaching</v>
      </c>
      <c r="B112" s="102" t="s">
        <v>1005</v>
      </c>
      <c r="C112" s="102" t="s">
        <v>1191</v>
      </c>
      <c r="D112" t="s">
        <v>369</v>
      </c>
      <c r="E112" t="s">
        <v>61</v>
      </c>
      <c r="F112" t="s">
        <v>63</v>
      </c>
      <c r="G112" t="s">
        <v>1198</v>
      </c>
      <c r="H112" t="s">
        <v>1199</v>
      </c>
      <c r="I112" t="s">
        <v>139</v>
      </c>
      <c r="J112" t="s">
        <v>287</v>
      </c>
      <c r="K112" s="22">
        <f t="shared" si="16"/>
        <v>1.1867590793806392E-4</v>
      </c>
      <c r="L112" s="22">
        <f t="shared" si="24"/>
        <v>1.1853617037070301E-4</v>
      </c>
      <c r="M112" s="22">
        <f t="shared" si="24"/>
        <v>1.1839643280334203E-4</v>
      </c>
      <c r="N112" s="22">
        <f t="shared" si="24"/>
        <v>1.1825669523598106E-4</v>
      </c>
      <c r="O112" s="22">
        <f t="shared" si="24"/>
        <v>1.1811695766862012E-4</v>
      </c>
      <c r="P112" s="22">
        <f t="shared" si="24"/>
        <v>1.1797722010125916E-4</v>
      </c>
      <c r="Q112" s="22">
        <f t="shared" si="24"/>
        <v>1.178374825338982E-4</v>
      </c>
      <c r="R112" s="22">
        <f t="shared" si="24"/>
        <v>1.1769774496653728E-4</v>
      </c>
      <c r="S112" s="22">
        <f t="shared" si="24"/>
        <v>1.1755800739917633E-4</v>
      </c>
      <c r="T112" s="22">
        <f t="shared" si="24"/>
        <v>1.174182698318154E-4</v>
      </c>
      <c r="U112" s="22">
        <f t="shared" si="24"/>
        <v>1.1727853226445441E-4</v>
      </c>
      <c r="V112" s="22">
        <f t="shared" si="24"/>
        <v>1.1713879469709348E-4</v>
      </c>
      <c r="W112" s="22">
        <f t="shared" si="24"/>
        <v>1.1699905712973254E-4</v>
      </c>
      <c r="X112" s="22">
        <f t="shared" si="24"/>
        <v>1.168593195623716E-4</v>
      </c>
      <c r="Y112" s="22">
        <f t="shared" si="24"/>
        <v>1.1671958199501069E-4</v>
      </c>
      <c r="Z112" s="22">
        <f t="shared" si="24"/>
        <v>1.1657984442764968E-4</v>
      </c>
      <c r="AA112" s="22">
        <f t="shared" si="24"/>
        <v>1.1644010686028878E-4</v>
      </c>
      <c r="AB112" s="22">
        <f t="shared" si="24"/>
        <v>1.1630036929292779E-4</v>
      </c>
      <c r="AC112" s="22">
        <f t="shared" si="24"/>
        <v>1.1616063172556689E-4</v>
      </c>
      <c r="AD112" s="22">
        <f t="shared" si="24"/>
        <v>1.1602089415820588E-4</v>
      </c>
      <c r="AE112" s="22">
        <f t="shared" si="24"/>
        <v>1.1588115659084502E-4</v>
      </c>
      <c r="AF112" s="22">
        <f t="shared" si="24"/>
        <v>1.1574141902348403E-4</v>
      </c>
      <c r="AG112" s="22">
        <f t="shared" si="24"/>
        <v>1.1560168145612309E-4</v>
      </c>
      <c r="AH112" s="22">
        <f t="shared" si="24"/>
        <v>1.154619438887621E-4</v>
      </c>
      <c r="AI112" s="22">
        <f t="shared" si="24"/>
        <v>1.1532220632140118E-4</v>
      </c>
      <c r="AJ112" s="22">
        <f t="shared" si="24"/>
        <v>1.1518246875404022E-4</v>
      </c>
      <c r="AK112" s="22">
        <f t="shared" si="24"/>
        <v>1.1504273118667928E-4</v>
      </c>
      <c r="AL112" s="22">
        <f t="shared" si="24"/>
        <v>1.1490299361931835E-4</v>
      </c>
      <c r="AM112" s="22">
        <f t="shared" si="24"/>
        <v>1.1476325605195744E-4</v>
      </c>
      <c r="AN112" s="22">
        <f t="shared" si="24"/>
        <v>1.1462351848459642E-4</v>
      </c>
      <c r="AO112" s="22">
        <f t="shared" si="24"/>
        <v>1.1448378091723552E-4</v>
      </c>
      <c r="AP112" s="22">
        <f t="shared" si="24"/>
        <v>1.1434404334987458E-4</v>
      </c>
      <c r="AQ112" s="22">
        <f t="shared" si="24"/>
        <v>1.1420430578251366E-4</v>
      </c>
      <c r="AR112" s="22">
        <f t="shared" si="24"/>
        <v>1.1406456821515268E-4</v>
      </c>
      <c r="AS112" s="22">
        <f t="shared" si="24"/>
        <v>1.1392483064779174E-4</v>
      </c>
      <c r="AT112" s="22">
        <f t="shared" si="24"/>
        <v>1.1378509308043078E-4</v>
      </c>
      <c r="AU112" s="22">
        <f t="shared" si="24"/>
        <v>1.136453555130698E-4</v>
      </c>
      <c r="AV112" s="22">
        <f t="shared" si="24"/>
        <v>1.1350561794570888E-4</v>
      </c>
      <c r="AW112" s="22">
        <f t="shared" si="24"/>
        <v>1.1336588037834792E-4</v>
      </c>
      <c r="AY112" s="85"/>
    </row>
    <row r="113" spans="1:51" x14ac:dyDescent="0.25">
      <c r="A113" s="102" t="str">
        <f t="shared" si="0"/>
        <v>FS Leaching</v>
      </c>
      <c r="B113" s="102" t="s">
        <v>1005</v>
      </c>
      <c r="C113" s="102" t="s">
        <v>1191</v>
      </c>
      <c r="D113" t="s">
        <v>369</v>
      </c>
      <c r="E113" t="s">
        <v>61</v>
      </c>
      <c r="F113" t="s">
        <v>63</v>
      </c>
      <c r="G113" t="s">
        <v>1200</v>
      </c>
      <c r="H113" t="s">
        <v>1201</v>
      </c>
      <c r="I113" t="s">
        <v>139</v>
      </c>
      <c r="J113" t="s">
        <v>287</v>
      </c>
      <c r="K113" s="22">
        <f t="shared" si="16"/>
        <v>1.6912231388729011E-2</v>
      </c>
      <c r="L113" s="22">
        <f t="shared" si="24"/>
        <v>1.6951420148247919E-2</v>
      </c>
      <c r="M113" s="22">
        <f t="shared" si="24"/>
        <v>1.6990608907766828E-2</v>
      </c>
      <c r="N113" s="22">
        <f t="shared" si="24"/>
        <v>1.702979766728574E-2</v>
      </c>
      <c r="O113" s="22">
        <f t="shared" si="24"/>
        <v>1.7068986426804648E-2</v>
      </c>
      <c r="P113" s="22">
        <f t="shared" si="24"/>
        <v>1.7108175186323554E-2</v>
      </c>
      <c r="Q113" s="22">
        <f t="shared" si="24"/>
        <v>1.7147363945842466E-2</v>
      </c>
      <c r="R113" s="22">
        <f t="shared" si="24"/>
        <v>1.7186552705361371E-2</v>
      </c>
      <c r="S113" s="22">
        <f t="shared" si="24"/>
        <v>1.7225741464880276E-2</v>
      </c>
      <c r="T113" s="22">
        <f t="shared" si="24"/>
        <v>1.7264930224399191E-2</v>
      </c>
      <c r="U113" s="22">
        <f t="shared" si="24"/>
        <v>1.7304118983918097E-2</v>
      </c>
      <c r="V113" s="22">
        <f t="shared" si="24"/>
        <v>1.7343307743437009E-2</v>
      </c>
      <c r="W113" s="22">
        <f t="shared" si="24"/>
        <v>1.7382496502955917E-2</v>
      </c>
      <c r="X113" s="22">
        <f t="shared" si="24"/>
        <v>1.7421685262474829E-2</v>
      </c>
      <c r="Y113" s="22">
        <f t="shared" si="24"/>
        <v>1.7460874021993734E-2</v>
      </c>
      <c r="Z113" s="22">
        <f t="shared" si="24"/>
        <v>1.750006278151265E-2</v>
      </c>
      <c r="AA113" s="22">
        <f t="shared" si="24"/>
        <v>1.7539251541031548E-2</v>
      </c>
      <c r="AB113" s="22">
        <f t="shared" si="24"/>
        <v>1.7578440300550464E-2</v>
      </c>
      <c r="AC113" s="22">
        <f t="shared" si="24"/>
        <v>1.7617629060069376E-2</v>
      </c>
      <c r="AD113" s="22">
        <f t="shared" si="24"/>
        <v>1.7656817819588281E-2</v>
      </c>
      <c r="AE113" s="22">
        <f t="shared" si="24"/>
        <v>1.769600657910719E-2</v>
      </c>
      <c r="AF113" s="22">
        <f t="shared" si="24"/>
        <v>1.7735195338626102E-2</v>
      </c>
      <c r="AG113" s="22">
        <f t="shared" si="24"/>
        <v>1.777438409814501E-2</v>
      </c>
      <c r="AH113" s="22">
        <f t="shared" si="24"/>
        <v>1.7813572857663919E-2</v>
      </c>
      <c r="AI113" s="22">
        <f t="shared" si="24"/>
        <v>1.7852761617182831E-2</v>
      </c>
      <c r="AJ113" s="22">
        <f t="shared" si="24"/>
        <v>1.7891950376701736E-2</v>
      </c>
      <c r="AK113" s="22">
        <f t="shared" si="24"/>
        <v>1.7931139136220645E-2</v>
      </c>
      <c r="AL113" s="22">
        <f t="shared" si="24"/>
        <v>1.7970327895739557E-2</v>
      </c>
      <c r="AM113" s="22">
        <f t="shared" si="24"/>
        <v>1.8009516655258465E-2</v>
      </c>
      <c r="AN113" s="22">
        <f t="shared" si="24"/>
        <v>1.8048705414777374E-2</v>
      </c>
      <c r="AO113" s="22">
        <f t="shared" si="24"/>
        <v>1.8087894174296286E-2</v>
      </c>
      <c r="AP113" s="22">
        <f t="shared" si="24"/>
        <v>1.8127082933815188E-2</v>
      </c>
      <c r="AQ113" s="22">
        <f t="shared" si="24"/>
        <v>1.8166271693334096E-2</v>
      </c>
      <c r="AR113" s="22">
        <f t="shared" si="24"/>
        <v>1.8205460452853015E-2</v>
      </c>
      <c r="AS113" s="22">
        <f t="shared" si="24"/>
        <v>1.8244649212371917E-2</v>
      </c>
      <c r="AT113" s="22">
        <f t="shared" si="24"/>
        <v>1.8283837971890825E-2</v>
      </c>
      <c r="AU113" s="22">
        <f t="shared" si="24"/>
        <v>1.8323026731409734E-2</v>
      </c>
      <c r="AV113" s="22">
        <f t="shared" si="24"/>
        <v>1.8362215490928643E-2</v>
      </c>
      <c r="AW113" s="22">
        <f t="shared" si="24"/>
        <v>1.8401404250447555E-2</v>
      </c>
      <c r="AY113" s="85"/>
    </row>
    <row r="114" spans="1:51" x14ac:dyDescent="0.25">
      <c r="A114" s="102" t="str">
        <f t="shared" si="0"/>
        <v>FS Leaching</v>
      </c>
      <c r="B114" s="102" t="s">
        <v>1005</v>
      </c>
      <c r="C114" s="102" t="s">
        <v>1191</v>
      </c>
      <c r="D114" t="s">
        <v>369</v>
      </c>
      <c r="E114" t="s">
        <v>61</v>
      </c>
      <c r="F114" t="s">
        <v>63</v>
      </c>
      <c r="G114" t="s">
        <v>1202</v>
      </c>
      <c r="H114" t="s">
        <v>1203</v>
      </c>
      <c r="I114" t="s">
        <v>139</v>
      </c>
      <c r="J114" t="s">
        <v>287</v>
      </c>
      <c r="K114" s="22">
        <f t="shared" si="16"/>
        <v>1.9871041213735664E-2</v>
      </c>
      <c r="L114" s="22">
        <f t="shared" si="24"/>
        <v>1.9871041213735664E-2</v>
      </c>
      <c r="M114" s="22">
        <f t="shared" si="24"/>
        <v>1.9871041213735664E-2</v>
      </c>
      <c r="N114" s="22">
        <f t="shared" si="24"/>
        <v>1.9871041213735664E-2</v>
      </c>
      <c r="O114" s="22">
        <f t="shared" si="24"/>
        <v>1.9871041213735664E-2</v>
      </c>
      <c r="P114" s="22">
        <f t="shared" si="24"/>
        <v>1.9871041213735664E-2</v>
      </c>
      <c r="Q114" s="22">
        <f t="shared" si="24"/>
        <v>1.9871041213735664E-2</v>
      </c>
      <c r="R114" s="22">
        <f t="shared" si="24"/>
        <v>1.9871041213735664E-2</v>
      </c>
      <c r="S114" s="22">
        <f t="shared" si="24"/>
        <v>1.9871041213735664E-2</v>
      </c>
      <c r="T114" s="22">
        <f t="shared" si="24"/>
        <v>1.9871041213735664E-2</v>
      </c>
      <c r="U114" s="22">
        <f t="shared" si="24"/>
        <v>1.9871041213735664E-2</v>
      </c>
      <c r="V114" s="22">
        <f t="shared" si="24"/>
        <v>1.9871041213735664E-2</v>
      </c>
      <c r="W114" s="22">
        <f t="shared" si="24"/>
        <v>1.9871041213735664E-2</v>
      </c>
      <c r="X114" s="22">
        <f t="shared" si="24"/>
        <v>1.9871041213735664E-2</v>
      </c>
      <c r="Y114" s="22">
        <f t="shared" si="24"/>
        <v>1.9871041213735664E-2</v>
      </c>
      <c r="Z114" s="22">
        <f t="shared" si="24"/>
        <v>1.9871041213735664E-2</v>
      </c>
      <c r="AA114" s="22">
        <f t="shared" si="24"/>
        <v>1.9871041213735664E-2</v>
      </c>
      <c r="AB114" s="22">
        <f t="shared" si="24"/>
        <v>1.9871041213735664E-2</v>
      </c>
      <c r="AC114" s="22">
        <f t="shared" si="24"/>
        <v>1.9871041213735664E-2</v>
      </c>
      <c r="AD114" s="22">
        <f t="shared" si="24"/>
        <v>1.9871041213735664E-2</v>
      </c>
      <c r="AE114" s="22">
        <f t="shared" si="24"/>
        <v>1.9871041213735664E-2</v>
      </c>
      <c r="AF114" s="22">
        <f t="shared" si="24"/>
        <v>1.9871041213735664E-2</v>
      </c>
      <c r="AG114" s="22">
        <f t="shared" si="24"/>
        <v>1.9871041213735664E-2</v>
      </c>
      <c r="AH114" s="22">
        <f t="shared" si="24"/>
        <v>1.9871041213735664E-2</v>
      </c>
      <c r="AI114" s="22">
        <f t="shared" si="24"/>
        <v>1.9871041213735664E-2</v>
      </c>
      <c r="AJ114" s="22">
        <f t="shared" si="24"/>
        <v>1.9871041213735664E-2</v>
      </c>
      <c r="AK114" s="22">
        <f t="shared" si="24"/>
        <v>1.9871041213735664E-2</v>
      </c>
      <c r="AL114" s="22">
        <f t="shared" si="24"/>
        <v>1.9871041213735664E-2</v>
      </c>
      <c r="AM114" s="22">
        <f t="shared" si="24"/>
        <v>1.9871041213735664E-2</v>
      </c>
      <c r="AN114" s="22">
        <f t="shared" si="24"/>
        <v>1.9871041213735664E-2</v>
      </c>
      <c r="AO114" s="22">
        <f t="shared" si="24"/>
        <v>1.9871041213735664E-2</v>
      </c>
      <c r="AP114" s="22">
        <f t="shared" ref="L114:AW121" si="25">AP1523</f>
        <v>1.9871041213735664E-2</v>
      </c>
      <c r="AQ114" s="22">
        <f t="shared" si="25"/>
        <v>1.9871041213735664E-2</v>
      </c>
      <c r="AR114" s="22">
        <f t="shared" si="25"/>
        <v>1.9871041213735664E-2</v>
      </c>
      <c r="AS114" s="22">
        <f t="shared" si="25"/>
        <v>1.9871041213735664E-2</v>
      </c>
      <c r="AT114" s="22">
        <f t="shared" si="25"/>
        <v>1.9871041213735664E-2</v>
      </c>
      <c r="AU114" s="22">
        <f t="shared" si="25"/>
        <v>1.9871041213735664E-2</v>
      </c>
      <c r="AV114" s="22">
        <f t="shared" si="25"/>
        <v>1.9871041213735664E-2</v>
      </c>
      <c r="AW114" s="22">
        <f t="shared" si="25"/>
        <v>1.9871041213735664E-2</v>
      </c>
      <c r="AY114" s="85"/>
    </row>
    <row r="115" spans="1:51" x14ac:dyDescent="0.25">
      <c r="A115" s="102" t="str">
        <f t="shared" si="0"/>
        <v>FS Leaching</v>
      </c>
      <c r="B115" s="102" t="s">
        <v>1005</v>
      </c>
      <c r="C115" s="102" t="s">
        <v>1191</v>
      </c>
      <c r="D115" t="s">
        <v>369</v>
      </c>
      <c r="E115" t="s">
        <v>61</v>
      </c>
      <c r="F115" t="s">
        <v>63</v>
      </c>
      <c r="G115" t="s">
        <v>1204</v>
      </c>
      <c r="H115" t="s">
        <v>1205</v>
      </c>
      <c r="I115" t="s">
        <v>139</v>
      </c>
      <c r="J115" t="s">
        <v>287</v>
      </c>
      <c r="K115" s="22" t="str">
        <f t="shared" si="16"/>
        <v>NO</v>
      </c>
      <c r="L115" s="22" t="str">
        <f t="shared" si="25"/>
        <v>NO</v>
      </c>
      <c r="M115" s="22" t="str">
        <f t="shared" si="25"/>
        <v>NO</v>
      </c>
      <c r="N115" s="22" t="str">
        <f t="shared" si="25"/>
        <v>NO</v>
      </c>
      <c r="O115" s="22" t="str">
        <f t="shared" si="25"/>
        <v>NO</v>
      </c>
      <c r="P115" s="22" t="str">
        <f t="shared" si="25"/>
        <v>NO</v>
      </c>
      <c r="Q115" s="22" t="str">
        <f t="shared" si="25"/>
        <v>NO</v>
      </c>
      <c r="R115" s="22" t="str">
        <f t="shared" si="25"/>
        <v>NO</v>
      </c>
      <c r="S115" s="22" t="str">
        <f t="shared" si="25"/>
        <v>NO</v>
      </c>
      <c r="T115" s="22" t="str">
        <f t="shared" si="25"/>
        <v>NO</v>
      </c>
      <c r="U115" s="22" t="str">
        <f t="shared" si="25"/>
        <v>NO</v>
      </c>
      <c r="V115" s="22" t="str">
        <f t="shared" si="25"/>
        <v>NO</v>
      </c>
      <c r="W115" s="22" t="str">
        <f t="shared" si="25"/>
        <v>NO</v>
      </c>
      <c r="X115" s="22" t="str">
        <f t="shared" si="25"/>
        <v>NO</v>
      </c>
      <c r="Y115" s="22" t="str">
        <f t="shared" si="25"/>
        <v>NO</v>
      </c>
      <c r="Z115" s="22" t="str">
        <f t="shared" si="25"/>
        <v>NO</v>
      </c>
      <c r="AA115" s="22" t="str">
        <f t="shared" si="25"/>
        <v>NO</v>
      </c>
      <c r="AB115" s="22" t="str">
        <f t="shared" si="25"/>
        <v>NO</v>
      </c>
      <c r="AC115" s="22" t="str">
        <f t="shared" si="25"/>
        <v>NO</v>
      </c>
      <c r="AD115" s="22" t="str">
        <f t="shared" si="25"/>
        <v>NO</v>
      </c>
      <c r="AE115" s="22" t="str">
        <f t="shared" si="25"/>
        <v>NO</v>
      </c>
      <c r="AF115" s="22" t="str">
        <f t="shared" si="25"/>
        <v>NO</v>
      </c>
      <c r="AG115" s="22" t="str">
        <f t="shared" si="25"/>
        <v>NO</v>
      </c>
      <c r="AH115" s="22" t="str">
        <f t="shared" si="25"/>
        <v>NO</v>
      </c>
      <c r="AI115" s="22" t="str">
        <f t="shared" si="25"/>
        <v>NO</v>
      </c>
      <c r="AJ115" s="22" t="str">
        <f t="shared" si="25"/>
        <v>NO</v>
      </c>
      <c r="AK115" s="22" t="str">
        <f t="shared" si="25"/>
        <v>NO</v>
      </c>
      <c r="AL115" s="22" t="str">
        <f t="shared" si="25"/>
        <v>NO</v>
      </c>
      <c r="AM115" s="22" t="str">
        <f t="shared" si="25"/>
        <v>NO</v>
      </c>
      <c r="AN115" s="22" t="str">
        <f t="shared" si="25"/>
        <v>NO</v>
      </c>
      <c r="AO115" s="22" t="str">
        <f t="shared" si="25"/>
        <v>NO</v>
      </c>
      <c r="AP115" s="22" t="str">
        <f t="shared" si="25"/>
        <v>NO</v>
      </c>
      <c r="AQ115" s="22" t="str">
        <f t="shared" si="25"/>
        <v>NO</v>
      </c>
      <c r="AR115" s="22" t="str">
        <f t="shared" si="25"/>
        <v>NO</v>
      </c>
      <c r="AS115" s="22" t="str">
        <f t="shared" si="25"/>
        <v>NO</v>
      </c>
      <c r="AT115" s="22" t="str">
        <f t="shared" si="25"/>
        <v>NO</v>
      </c>
      <c r="AU115" s="22" t="str">
        <f t="shared" si="25"/>
        <v>NO</v>
      </c>
      <c r="AV115" s="22" t="str">
        <f t="shared" si="25"/>
        <v>NO</v>
      </c>
      <c r="AW115" s="22" t="str">
        <f t="shared" si="25"/>
        <v>NO</v>
      </c>
      <c r="AY115" s="85"/>
    </row>
    <row r="116" spans="1:51" x14ac:dyDescent="0.25">
      <c r="A116" s="102" t="str">
        <f t="shared" si="0"/>
        <v>FS Leaching</v>
      </c>
      <c r="B116" s="102" t="s">
        <v>1005</v>
      </c>
      <c r="C116" s="102" t="s">
        <v>1191</v>
      </c>
      <c r="D116" t="s">
        <v>369</v>
      </c>
      <c r="E116" t="s">
        <v>61</v>
      </c>
      <c r="F116" t="s">
        <v>63</v>
      </c>
      <c r="G116" t="s">
        <v>1206</v>
      </c>
      <c r="H116" t="s">
        <v>1207</v>
      </c>
      <c r="I116" t="s">
        <v>139</v>
      </c>
      <c r="J116" t="s">
        <v>287</v>
      </c>
      <c r="K116" s="22" t="str">
        <f t="shared" si="16"/>
        <v>NO</v>
      </c>
      <c r="L116" s="22" t="str">
        <f t="shared" si="25"/>
        <v>NO</v>
      </c>
      <c r="M116" s="22" t="str">
        <f t="shared" si="25"/>
        <v>NO</v>
      </c>
      <c r="N116" s="22" t="str">
        <f t="shared" si="25"/>
        <v>NO</v>
      </c>
      <c r="O116" s="22" t="str">
        <f t="shared" si="25"/>
        <v>NO</v>
      </c>
      <c r="P116" s="22" t="str">
        <f t="shared" si="25"/>
        <v>NO</v>
      </c>
      <c r="Q116" s="22" t="str">
        <f t="shared" si="25"/>
        <v>NO</v>
      </c>
      <c r="R116" s="22" t="str">
        <f t="shared" si="25"/>
        <v>NO</v>
      </c>
      <c r="S116" s="22" t="str">
        <f t="shared" si="25"/>
        <v>NO</v>
      </c>
      <c r="T116" s="22" t="str">
        <f t="shared" si="25"/>
        <v>NO</v>
      </c>
      <c r="U116" s="22" t="str">
        <f t="shared" si="25"/>
        <v>NO</v>
      </c>
      <c r="V116" s="22" t="str">
        <f t="shared" si="25"/>
        <v>NO</v>
      </c>
      <c r="W116" s="22" t="str">
        <f t="shared" si="25"/>
        <v>NO</v>
      </c>
      <c r="X116" s="22" t="str">
        <f t="shared" si="25"/>
        <v>NO</v>
      </c>
      <c r="Y116" s="22" t="str">
        <f t="shared" si="25"/>
        <v>NO</v>
      </c>
      <c r="Z116" s="22" t="str">
        <f t="shared" si="25"/>
        <v>NO</v>
      </c>
      <c r="AA116" s="22" t="str">
        <f t="shared" si="25"/>
        <v>NO</v>
      </c>
      <c r="AB116" s="22" t="str">
        <f t="shared" si="25"/>
        <v>NO</v>
      </c>
      <c r="AC116" s="22" t="str">
        <f t="shared" si="25"/>
        <v>NO</v>
      </c>
      <c r="AD116" s="22" t="str">
        <f t="shared" si="25"/>
        <v>NO</v>
      </c>
      <c r="AE116" s="22" t="str">
        <f t="shared" si="25"/>
        <v>NO</v>
      </c>
      <c r="AF116" s="22" t="str">
        <f t="shared" si="25"/>
        <v>NO</v>
      </c>
      <c r="AG116" s="22" t="str">
        <f t="shared" si="25"/>
        <v>NO</v>
      </c>
      <c r="AH116" s="22" t="str">
        <f t="shared" si="25"/>
        <v>NO</v>
      </c>
      <c r="AI116" s="22" t="str">
        <f t="shared" si="25"/>
        <v>NO</v>
      </c>
      <c r="AJ116" s="22" t="str">
        <f t="shared" si="25"/>
        <v>NO</v>
      </c>
      <c r="AK116" s="22" t="str">
        <f t="shared" si="25"/>
        <v>NO</v>
      </c>
      <c r="AL116" s="22" t="str">
        <f t="shared" si="25"/>
        <v>NO</v>
      </c>
      <c r="AM116" s="22" t="str">
        <f t="shared" si="25"/>
        <v>NO</v>
      </c>
      <c r="AN116" s="22" t="str">
        <f t="shared" si="25"/>
        <v>NO</v>
      </c>
      <c r="AO116" s="22" t="str">
        <f t="shared" si="25"/>
        <v>NO</v>
      </c>
      <c r="AP116" s="22" t="str">
        <f t="shared" si="25"/>
        <v>NO</v>
      </c>
      <c r="AQ116" s="22" t="str">
        <f t="shared" si="25"/>
        <v>NO</v>
      </c>
      <c r="AR116" s="22" t="str">
        <f t="shared" si="25"/>
        <v>NO</v>
      </c>
      <c r="AS116" s="22" t="str">
        <f t="shared" si="25"/>
        <v>NO</v>
      </c>
      <c r="AT116" s="22" t="str">
        <f t="shared" si="25"/>
        <v>NO</v>
      </c>
      <c r="AU116" s="22" t="str">
        <f t="shared" si="25"/>
        <v>NO</v>
      </c>
      <c r="AV116" s="22" t="str">
        <f t="shared" si="25"/>
        <v>NO</v>
      </c>
      <c r="AW116" s="22" t="str">
        <f t="shared" si="25"/>
        <v>NO</v>
      </c>
      <c r="AY116" s="85"/>
    </row>
    <row r="117" spans="1:51" x14ac:dyDescent="0.25">
      <c r="A117" s="102" t="str">
        <f t="shared" si="0"/>
        <v>FS Leaching</v>
      </c>
      <c r="B117" s="102" t="s">
        <v>1005</v>
      </c>
      <c r="C117" s="102" t="s">
        <v>1191</v>
      </c>
      <c r="D117" t="s">
        <v>369</v>
      </c>
      <c r="E117" t="s">
        <v>61</v>
      </c>
      <c r="F117" t="s">
        <v>63</v>
      </c>
      <c r="G117" t="s">
        <v>1208</v>
      </c>
      <c r="H117" t="s">
        <v>1209</v>
      </c>
      <c r="I117" t="s">
        <v>139</v>
      </c>
      <c r="J117" t="s">
        <v>287</v>
      </c>
      <c r="K117" s="22" t="str">
        <f t="shared" si="16"/>
        <v>NO</v>
      </c>
      <c r="L117" s="22" t="str">
        <f t="shared" si="25"/>
        <v>NO</v>
      </c>
      <c r="M117" s="22" t="str">
        <f t="shared" si="25"/>
        <v>NO</v>
      </c>
      <c r="N117" s="22" t="str">
        <f t="shared" si="25"/>
        <v>NO</v>
      </c>
      <c r="O117" s="22" t="str">
        <f t="shared" si="25"/>
        <v>NO</v>
      </c>
      <c r="P117" s="22" t="str">
        <f t="shared" si="25"/>
        <v>NO</v>
      </c>
      <c r="Q117" s="22" t="str">
        <f t="shared" si="25"/>
        <v>NO</v>
      </c>
      <c r="R117" s="22" t="str">
        <f t="shared" si="25"/>
        <v>NO</v>
      </c>
      <c r="S117" s="22" t="str">
        <f t="shared" si="25"/>
        <v>NO</v>
      </c>
      <c r="T117" s="22" t="str">
        <f t="shared" si="25"/>
        <v>NO</v>
      </c>
      <c r="U117" s="22" t="str">
        <f t="shared" si="25"/>
        <v>NO</v>
      </c>
      <c r="V117" s="22" t="str">
        <f t="shared" si="25"/>
        <v>NO</v>
      </c>
      <c r="W117" s="22" t="str">
        <f t="shared" si="25"/>
        <v>NO</v>
      </c>
      <c r="X117" s="22" t="str">
        <f t="shared" si="25"/>
        <v>NO</v>
      </c>
      <c r="Y117" s="22" t="str">
        <f t="shared" si="25"/>
        <v>NO</v>
      </c>
      <c r="Z117" s="22" t="str">
        <f t="shared" si="25"/>
        <v>NO</v>
      </c>
      <c r="AA117" s="22" t="str">
        <f t="shared" si="25"/>
        <v>NO</v>
      </c>
      <c r="AB117" s="22" t="str">
        <f t="shared" si="25"/>
        <v>NO</v>
      </c>
      <c r="AC117" s="22" t="str">
        <f t="shared" si="25"/>
        <v>NO</v>
      </c>
      <c r="AD117" s="22" t="str">
        <f t="shared" si="25"/>
        <v>NO</v>
      </c>
      <c r="AE117" s="22" t="str">
        <f t="shared" si="25"/>
        <v>NO</v>
      </c>
      <c r="AF117" s="22" t="str">
        <f t="shared" si="25"/>
        <v>NO</v>
      </c>
      <c r="AG117" s="22" t="str">
        <f t="shared" si="25"/>
        <v>NO</v>
      </c>
      <c r="AH117" s="22" t="str">
        <f t="shared" si="25"/>
        <v>NO</v>
      </c>
      <c r="AI117" s="22" t="str">
        <f t="shared" si="25"/>
        <v>NO</v>
      </c>
      <c r="AJ117" s="22" t="str">
        <f t="shared" si="25"/>
        <v>NO</v>
      </c>
      <c r="AK117" s="22" t="str">
        <f t="shared" si="25"/>
        <v>NO</v>
      </c>
      <c r="AL117" s="22" t="str">
        <f t="shared" si="25"/>
        <v>NO</v>
      </c>
      <c r="AM117" s="22" t="str">
        <f t="shared" si="25"/>
        <v>NO</v>
      </c>
      <c r="AN117" s="22" t="str">
        <f t="shared" si="25"/>
        <v>NO</v>
      </c>
      <c r="AO117" s="22" t="str">
        <f t="shared" si="25"/>
        <v>NO</v>
      </c>
      <c r="AP117" s="22" t="str">
        <f t="shared" si="25"/>
        <v>NO</v>
      </c>
      <c r="AQ117" s="22" t="str">
        <f t="shared" si="25"/>
        <v>NO</v>
      </c>
      <c r="AR117" s="22" t="str">
        <f t="shared" si="25"/>
        <v>NO</v>
      </c>
      <c r="AS117" s="22" t="str">
        <f t="shared" si="25"/>
        <v>NO</v>
      </c>
      <c r="AT117" s="22" t="str">
        <f t="shared" si="25"/>
        <v>NO</v>
      </c>
      <c r="AU117" s="22" t="str">
        <f t="shared" si="25"/>
        <v>NO</v>
      </c>
      <c r="AV117" s="22" t="str">
        <f t="shared" si="25"/>
        <v>NO</v>
      </c>
      <c r="AW117" s="22" t="str">
        <f t="shared" si="25"/>
        <v>NO</v>
      </c>
      <c r="AY117" s="85"/>
    </row>
    <row r="118" spans="1:51" x14ac:dyDescent="0.25">
      <c r="A118" s="102" t="str">
        <f t="shared" si="0"/>
        <v>FS Leaching</v>
      </c>
      <c r="B118" s="102" t="s">
        <v>1005</v>
      </c>
      <c r="C118" s="102" t="s">
        <v>1191</v>
      </c>
      <c r="D118" t="s">
        <v>369</v>
      </c>
      <c r="E118" t="s">
        <v>61</v>
      </c>
      <c r="F118" t="s">
        <v>63</v>
      </c>
      <c r="G118" t="s">
        <v>1210</v>
      </c>
      <c r="H118" t="s">
        <v>1211</v>
      </c>
      <c r="I118" t="s">
        <v>139</v>
      </c>
      <c r="J118" t="s">
        <v>287</v>
      </c>
      <c r="K118" s="22">
        <f t="shared" si="16"/>
        <v>1.9333864620707719E-6</v>
      </c>
      <c r="L118" s="22">
        <f t="shared" si="25"/>
        <v>1.9333864620707719E-6</v>
      </c>
      <c r="M118" s="22">
        <f t="shared" si="25"/>
        <v>1.9333864620707719E-6</v>
      </c>
      <c r="N118" s="22">
        <f t="shared" si="25"/>
        <v>1.9333864620707719E-6</v>
      </c>
      <c r="O118" s="22">
        <f t="shared" si="25"/>
        <v>1.9333864620707719E-6</v>
      </c>
      <c r="P118" s="22">
        <f t="shared" si="25"/>
        <v>1.9333864620707719E-6</v>
      </c>
      <c r="Q118" s="22">
        <f t="shared" si="25"/>
        <v>1.9333864620707719E-6</v>
      </c>
      <c r="R118" s="22">
        <f t="shared" si="25"/>
        <v>1.9333864620707719E-6</v>
      </c>
      <c r="S118" s="22">
        <f t="shared" si="25"/>
        <v>1.9333864620707719E-6</v>
      </c>
      <c r="T118" s="22">
        <f t="shared" si="25"/>
        <v>1.9333864620707719E-6</v>
      </c>
      <c r="U118" s="22">
        <f t="shared" si="25"/>
        <v>1.9333864620707719E-6</v>
      </c>
      <c r="V118" s="22">
        <f t="shared" si="25"/>
        <v>1.9333864620707719E-6</v>
      </c>
      <c r="W118" s="22">
        <f t="shared" si="25"/>
        <v>1.9333864620707719E-6</v>
      </c>
      <c r="X118" s="22">
        <f t="shared" si="25"/>
        <v>1.9333864620707719E-6</v>
      </c>
      <c r="Y118" s="22">
        <f t="shared" si="25"/>
        <v>1.9333864620707719E-6</v>
      </c>
      <c r="Z118" s="22">
        <f t="shared" si="25"/>
        <v>1.9333864620707719E-6</v>
      </c>
      <c r="AA118" s="22">
        <f t="shared" si="25"/>
        <v>1.9333864620707719E-6</v>
      </c>
      <c r="AB118" s="22">
        <f t="shared" si="25"/>
        <v>1.9333864620707719E-6</v>
      </c>
      <c r="AC118" s="22">
        <f t="shared" si="25"/>
        <v>1.9333864620707719E-6</v>
      </c>
      <c r="AD118" s="22">
        <f t="shared" si="25"/>
        <v>1.9333864620707719E-6</v>
      </c>
      <c r="AE118" s="22">
        <f t="shared" si="25"/>
        <v>1.9333864620707719E-6</v>
      </c>
      <c r="AF118" s="22">
        <f t="shared" si="25"/>
        <v>1.9333864620707719E-6</v>
      </c>
      <c r="AG118" s="22">
        <f t="shared" si="25"/>
        <v>1.9333864620707719E-6</v>
      </c>
      <c r="AH118" s="22">
        <f t="shared" si="25"/>
        <v>1.9333864620707719E-6</v>
      </c>
      <c r="AI118" s="22">
        <f t="shared" si="25"/>
        <v>1.9333864620707719E-6</v>
      </c>
      <c r="AJ118" s="22">
        <f t="shared" si="25"/>
        <v>1.9333864620707719E-6</v>
      </c>
      <c r="AK118" s="22">
        <f t="shared" si="25"/>
        <v>1.9333864620707719E-6</v>
      </c>
      <c r="AL118" s="22">
        <f t="shared" si="25"/>
        <v>1.9333864620707719E-6</v>
      </c>
      <c r="AM118" s="22">
        <f t="shared" si="25"/>
        <v>1.9333864620707719E-6</v>
      </c>
      <c r="AN118" s="22">
        <f t="shared" si="25"/>
        <v>1.9333864620707719E-6</v>
      </c>
      <c r="AO118" s="22">
        <f t="shared" si="25"/>
        <v>1.9333864620707719E-6</v>
      </c>
      <c r="AP118" s="22">
        <f t="shared" si="25"/>
        <v>1.9333864620707719E-6</v>
      </c>
      <c r="AQ118" s="22">
        <f t="shared" si="25"/>
        <v>1.9333864620707719E-6</v>
      </c>
      <c r="AR118" s="22">
        <f t="shared" si="25"/>
        <v>1.9333864620707719E-6</v>
      </c>
      <c r="AS118" s="22">
        <f t="shared" si="25"/>
        <v>1.9333864620707719E-6</v>
      </c>
      <c r="AT118" s="22">
        <f t="shared" si="25"/>
        <v>1.9333864620707719E-6</v>
      </c>
      <c r="AU118" s="22">
        <f t="shared" si="25"/>
        <v>1.9333864620707719E-6</v>
      </c>
      <c r="AV118" s="22">
        <f t="shared" si="25"/>
        <v>1.9333864620707719E-6</v>
      </c>
      <c r="AW118" s="22">
        <f t="shared" si="25"/>
        <v>1.9333864620707719E-6</v>
      </c>
      <c r="AY118" s="85"/>
    </row>
    <row r="119" spans="1:51" x14ac:dyDescent="0.25">
      <c r="A119" s="102" t="str">
        <f t="shared" si="0"/>
        <v>FS Leaching</v>
      </c>
      <c r="B119" s="102" t="s">
        <v>1005</v>
      </c>
      <c r="C119" s="102" t="s">
        <v>1191</v>
      </c>
      <c r="D119" t="s">
        <v>369</v>
      </c>
      <c r="E119" t="s">
        <v>61</v>
      </c>
      <c r="F119" t="s">
        <v>63</v>
      </c>
      <c r="G119" t="s">
        <v>1212</v>
      </c>
      <c r="H119" t="s">
        <v>1213</v>
      </c>
      <c r="I119" t="s">
        <v>139</v>
      </c>
      <c r="J119" t="s">
        <v>287</v>
      </c>
      <c r="K119" s="22">
        <f t="shared" ref="K119:Z153" si="26">K1528</f>
        <v>2.1082459751876198E-3</v>
      </c>
      <c r="L119" s="22">
        <f t="shared" si="26"/>
        <v>2.1082459751876198E-3</v>
      </c>
      <c r="M119" s="22">
        <f t="shared" si="26"/>
        <v>2.1082459751876198E-3</v>
      </c>
      <c r="N119" s="22">
        <f t="shared" si="26"/>
        <v>2.1082459751876198E-3</v>
      </c>
      <c r="O119" s="22">
        <f t="shared" si="26"/>
        <v>2.1082459751876198E-3</v>
      </c>
      <c r="P119" s="22">
        <f t="shared" si="26"/>
        <v>2.1082459751876198E-3</v>
      </c>
      <c r="Q119" s="22">
        <f t="shared" si="26"/>
        <v>2.1082459751876198E-3</v>
      </c>
      <c r="R119" s="22">
        <f t="shared" si="26"/>
        <v>2.1082459751876198E-3</v>
      </c>
      <c r="S119" s="22">
        <f t="shared" si="26"/>
        <v>2.1082459751876198E-3</v>
      </c>
      <c r="T119" s="22">
        <f t="shared" si="26"/>
        <v>2.1082459751876198E-3</v>
      </c>
      <c r="U119" s="22">
        <f t="shared" si="26"/>
        <v>2.1082459751876198E-3</v>
      </c>
      <c r="V119" s="22">
        <f t="shared" si="26"/>
        <v>2.1082459751876198E-3</v>
      </c>
      <c r="W119" s="22">
        <f t="shared" si="26"/>
        <v>2.1082459751876198E-3</v>
      </c>
      <c r="X119" s="22">
        <f t="shared" si="26"/>
        <v>2.1082459751876198E-3</v>
      </c>
      <c r="Y119" s="22">
        <f t="shared" si="26"/>
        <v>2.1082459751876198E-3</v>
      </c>
      <c r="Z119" s="22">
        <f t="shared" si="26"/>
        <v>2.1082459751876198E-3</v>
      </c>
      <c r="AA119" s="22">
        <f t="shared" si="25"/>
        <v>2.1082459751876198E-3</v>
      </c>
      <c r="AB119" s="22">
        <f t="shared" si="25"/>
        <v>2.1082459751876198E-3</v>
      </c>
      <c r="AC119" s="22">
        <f t="shared" si="25"/>
        <v>2.1082459751876198E-3</v>
      </c>
      <c r="AD119" s="22">
        <f t="shared" si="25"/>
        <v>2.1082459751876198E-3</v>
      </c>
      <c r="AE119" s="22">
        <f t="shared" si="25"/>
        <v>2.1082459751876198E-3</v>
      </c>
      <c r="AF119" s="22">
        <f t="shared" si="25"/>
        <v>2.1082459751876198E-3</v>
      </c>
      <c r="AG119" s="22">
        <f t="shared" si="25"/>
        <v>2.1082459751876198E-3</v>
      </c>
      <c r="AH119" s="22">
        <f t="shared" si="25"/>
        <v>2.1082459751876198E-3</v>
      </c>
      <c r="AI119" s="22">
        <f t="shared" si="25"/>
        <v>2.1082459751876198E-3</v>
      </c>
      <c r="AJ119" s="22">
        <f t="shared" si="25"/>
        <v>2.1082459751876198E-3</v>
      </c>
      <c r="AK119" s="22">
        <f t="shared" si="25"/>
        <v>2.1082459751876198E-3</v>
      </c>
      <c r="AL119" s="22">
        <f t="shared" si="25"/>
        <v>2.1082459751876198E-3</v>
      </c>
      <c r="AM119" s="22">
        <f t="shared" si="25"/>
        <v>2.1082459751876198E-3</v>
      </c>
      <c r="AN119" s="22">
        <f t="shared" si="25"/>
        <v>2.1082459751876198E-3</v>
      </c>
      <c r="AO119" s="22">
        <f t="shared" si="25"/>
        <v>2.1082459751876198E-3</v>
      </c>
      <c r="AP119" s="22">
        <f t="shared" si="25"/>
        <v>2.1082459751876198E-3</v>
      </c>
      <c r="AQ119" s="22">
        <f t="shared" si="25"/>
        <v>2.1082459751876198E-3</v>
      </c>
      <c r="AR119" s="22">
        <f t="shared" si="25"/>
        <v>2.1082459751876198E-3</v>
      </c>
      <c r="AS119" s="22">
        <f t="shared" si="25"/>
        <v>2.1082459751876198E-3</v>
      </c>
      <c r="AT119" s="22">
        <f t="shared" si="25"/>
        <v>2.1082459751876198E-3</v>
      </c>
      <c r="AU119" s="22">
        <f t="shared" si="25"/>
        <v>2.1082459751876198E-3</v>
      </c>
      <c r="AV119" s="22">
        <f t="shared" si="25"/>
        <v>2.1082459751876198E-3</v>
      </c>
      <c r="AW119" s="22">
        <f t="shared" si="25"/>
        <v>2.1082459751876198E-3</v>
      </c>
      <c r="AY119" s="85"/>
    </row>
    <row r="120" spans="1:51" x14ac:dyDescent="0.25">
      <c r="A120" s="102" t="str">
        <f t="shared" si="0"/>
        <v>FS Leaching</v>
      </c>
      <c r="B120" s="102" t="s">
        <v>1005</v>
      </c>
      <c r="C120" s="102" t="s">
        <v>1191</v>
      </c>
      <c r="D120" t="s">
        <v>369</v>
      </c>
      <c r="E120" t="s">
        <v>61</v>
      </c>
      <c r="F120" t="s">
        <v>63</v>
      </c>
      <c r="G120" t="s">
        <v>1214</v>
      </c>
      <c r="H120" t="s">
        <v>1215</v>
      </c>
      <c r="I120" t="s">
        <v>139</v>
      </c>
      <c r="J120" t="s">
        <v>287</v>
      </c>
      <c r="K120" s="22" t="str">
        <f t="shared" si="26"/>
        <v>NO</v>
      </c>
      <c r="L120" s="22" t="str">
        <f t="shared" si="25"/>
        <v>NO</v>
      </c>
      <c r="M120" s="22" t="str">
        <f t="shared" si="25"/>
        <v>NO</v>
      </c>
      <c r="N120" s="22" t="str">
        <f t="shared" si="25"/>
        <v>NO</v>
      </c>
      <c r="O120" s="22" t="str">
        <f t="shared" si="25"/>
        <v>NO</v>
      </c>
      <c r="P120" s="22" t="str">
        <f t="shared" si="25"/>
        <v>NO</v>
      </c>
      <c r="Q120" s="22" t="str">
        <f t="shared" si="25"/>
        <v>NO</v>
      </c>
      <c r="R120" s="22" t="str">
        <f t="shared" si="25"/>
        <v>NO</v>
      </c>
      <c r="S120" s="22" t="str">
        <f t="shared" si="25"/>
        <v>NO</v>
      </c>
      <c r="T120" s="22" t="str">
        <f t="shared" si="25"/>
        <v>NO</v>
      </c>
      <c r="U120" s="22" t="str">
        <f t="shared" si="25"/>
        <v>NO</v>
      </c>
      <c r="V120" s="22" t="str">
        <f t="shared" si="25"/>
        <v>NO</v>
      </c>
      <c r="W120" s="22" t="str">
        <f t="shared" si="25"/>
        <v>NO</v>
      </c>
      <c r="X120" s="22" t="str">
        <f t="shared" si="25"/>
        <v>NO</v>
      </c>
      <c r="Y120" s="22" t="str">
        <f t="shared" si="25"/>
        <v>NO</v>
      </c>
      <c r="Z120" s="22" t="str">
        <f t="shared" si="25"/>
        <v>NO</v>
      </c>
      <c r="AA120" s="22" t="str">
        <f t="shared" si="25"/>
        <v>NO</v>
      </c>
      <c r="AB120" s="22" t="str">
        <f t="shared" si="25"/>
        <v>NO</v>
      </c>
      <c r="AC120" s="22" t="str">
        <f t="shared" si="25"/>
        <v>NO</v>
      </c>
      <c r="AD120" s="22" t="str">
        <f t="shared" si="25"/>
        <v>NO</v>
      </c>
      <c r="AE120" s="22" t="str">
        <f t="shared" si="25"/>
        <v>NO</v>
      </c>
      <c r="AF120" s="22" t="str">
        <f t="shared" si="25"/>
        <v>NO</v>
      </c>
      <c r="AG120" s="22" t="str">
        <f t="shared" si="25"/>
        <v>NO</v>
      </c>
      <c r="AH120" s="22" t="str">
        <f t="shared" si="25"/>
        <v>NO</v>
      </c>
      <c r="AI120" s="22" t="str">
        <f t="shared" si="25"/>
        <v>NO</v>
      </c>
      <c r="AJ120" s="22" t="str">
        <f t="shared" si="25"/>
        <v>NO</v>
      </c>
      <c r="AK120" s="22" t="str">
        <f t="shared" si="25"/>
        <v>NO</v>
      </c>
      <c r="AL120" s="22" t="str">
        <f t="shared" si="25"/>
        <v>NO</v>
      </c>
      <c r="AM120" s="22" t="str">
        <f t="shared" si="25"/>
        <v>NO</v>
      </c>
      <c r="AN120" s="22" t="str">
        <f t="shared" si="25"/>
        <v>NO</v>
      </c>
      <c r="AO120" s="22" t="str">
        <f t="shared" si="25"/>
        <v>NO</v>
      </c>
      <c r="AP120" s="22" t="str">
        <f t="shared" si="25"/>
        <v>NO</v>
      </c>
      <c r="AQ120" s="22" t="str">
        <f t="shared" si="25"/>
        <v>NO</v>
      </c>
      <c r="AR120" s="22" t="str">
        <f t="shared" si="25"/>
        <v>NO</v>
      </c>
      <c r="AS120" s="22" t="str">
        <f t="shared" si="25"/>
        <v>NO</v>
      </c>
      <c r="AT120" s="22" t="str">
        <f t="shared" si="25"/>
        <v>NO</v>
      </c>
      <c r="AU120" s="22" t="str">
        <f t="shared" si="25"/>
        <v>NO</v>
      </c>
      <c r="AV120" s="22" t="str">
        <f t="shared" si="25"/>
        <v>NO</v>
      </c>
      <c r="AW120" s="22" t="str">
        <f t="shared" si="25"/>
        <v>NO</v>
      </c>
      <c r="AY120" s="85"/>
    </row>
    <row r="121" spans="1:51" x14ac:dyDescent="0.25">
      <c r="A121" s="102" t="str">
        <f t="shared" si="0"/>
        <v xml:space="preserve">FS </v>
      </c>
      <c r="B121" s="102" t="s">
        <v>1005</v>
      </c>
      <c r="C121" s="102"/>
      <c r="D121" t="s">
        <v>369</v>
      </c>
      <c r="E121" t="s">
        <v>61</v>
      </c>
      <c r="F121" t="s">
        <v>63</v>
      </c>
      <c r="G121" t="s">
        <v>1216</v>
      </c>
      <c r="H121" t="s">
        <v>1217</v>
      </c>
      <c r="I121" t="s">
        <v>139</v>
      </c>
      <c r="J121" t="s">
        <v>287</v>
      </c>
      <c r="K121" s="22">
        <f t="shared" si="26"/>
        <v>0.11026792439175388</v>
      </c>
      <c r="L121" s="22">
        <f t="shared" si="25"/>
        <v>0.11026792439175388</v>
      </c>
      <c r="M121" s="22">
        <f t="shared" si="25"/>
        <v>0.11026792439175388</v>
      </c>
      <c r="N121" s="22">
        <f t="shared" si="25"/>
        <v>0.11026792439175388</v>
      </c>
      <c r="O121" s="22">
        <f t="shared" si="25"/>
        <v>0.11026792439175388</v>
      </c>
      <c r="P121" s="22">
        <f t="shared" si="25"/>
        <v>0.11026792439175388</v>
      </c>
      <c r="Q121" s="22">
        <f t="shared" si="25"/>
        <v>0.11026792439175388</v>
      </c>
      <c r="R121" s="22">
        <f t="shared" si="25"/>
        <v>0.11026792439175388</v>
      </c>
      <c r="S121" s="22">
        <f t="shared" si="25"/>
        <v>0.11026792439175388</v>
      </c>
      <c r="T121" s="22">
        <f t="shared" si="25"/>
        <v>0.11026792439175388</v>
      </c>
      <c r="U121" s="22">
        <f t="shared" si="25"/>
        <v>0.11026792439175388</v>
      </c>
      <c r="V121" s="22">
        <f t="shared" si="25"/>
        <v>0.11026792439175388</v>
      </c>
      <c r="W121" s="22">
        <f t="shared" si="25"/>
        <v>0.11026792439175388</v>
      </c>
      <c r="X121" s="22">
        <f t="shared" si="25"/>
        <v>0.11026792439175388</v>
      </c>
      <c r="Y121" s="22">
        <f t="shared" si="25"/>
        <v>0.11026792439175388</v>
      </c>
      <c r="Z121" s="22">
        <f t="shared" si="25"/>
        <v>0.11026792439175388</v>
      </c>
      <c r="AA121" s="22">
        <f t="shared" si="25"/>
        <v>0.11026792439175388</v>
      </c>
      <c r="AB121" s="22">
        <f t="shared" si="25"/>
        <v>0.11026792439175388</v>
      </c>
      <c r="AC121" s="22">
        <f t="shared" si="25"/>
        <v>0.11026792439175388</v>
      </c>
      <c r="AD121" s="22">
        <f t="shared" si="25"/>
        <v>0.11026792439175388</v>
      </c>
      <c r="AE121" s="22">
        <f t="shared" si="25"/>
        <v>0.11026792439175388</v>
      </c>
      <c r="AF121" s="22">
        <f t="shared" si="25"/>
        <v>0.11026792439175388</v>
      </c>
      <c r="AG121" s="22">
        <f t="shared" si="25"/>
        <v>0.11026792439175388</v>
      </c>
      <c r="AH121" s="22">
        <f t="shared" si="25"/>
        <v>0.11026792439175388</v>
      </c>
      <c r="AI121" s="22">
        <f t="shared" si="25"/>
        <v>0.11026792439175388</v>
      </c>
      <c r="AJ121" s="22">
        <f t="shared" si="25"/>
        <v>0.11026792439175388</v>
      </c>
      <c r="AK121" s="22">
        <f t="shared" si="25"/>
        <v>0.11026792439175388</v>
      </c>
      <c r="AL121" s="22">
        <f t="shared" si="25"/>
        <v>0.11026792439175388</v>
      </c>
      <c r="AM121" s="22">
        <f t="shared" si="25"/>
        <v>0.11026792439175388</v>
      </c>
      <c r="AN121" s="22">
        <f t="shared" si="25"/>
        <v>0.11026792439175388</v>
      </c>
      <c r="AO121" s="22">
        <f t="shared" si="25"/>
        <v>0.11026792439175388</v>
      </c>
      <c r="AP121" s="22">
        <f t="shared" si="25"/>
        <v>0.11026792439175388</v>
      </c>
      <c r="AQ121" s="22">
        <f t="shared" si="25"/>
        <v>0.11026792439175388</v>
      </c>
      <c r="AR121" s="22">
        <f t="shared" si="25"/>
        <v>0.11026792439175388</v>
      </c>
      <c r="AS121" s="22">
        <f t="shared" si="25"/>
        <v>0.11026792439175388</v>
      </c>
      <c r="AT121" s="22">
        <f t="shared" ref="L121:AW128" si="27">AT1530</f>
        <v>0.11026792439175388</v>
      </c>
      <c r="AU121" s="22">
        <f t="shared" si="27"/>
        <v>0.11026792439175388</v>
      </c>
      <c r="AV121" s="22">
        <f t="shared" si="27"/>
        <v>0.11026792439175388</v>
      </c>
      <c r="AW121" s="22">
        <f t="shared" si="27"/>
        <v>0.11026792439175388</v>
      </c>
      <c r="AY121" s="85"/>
    </row>
    <row r="122" spans="1:51" x14ac:dyDescent="0.25">
      <c r="A122" s="102" t="str">
        <f t="shared" si="0"/>
        <v>FS MM Volatilisation</v>
      </c>
      <c r="B122" s="102" t="s">
        <v>1005</v>
      </c>
      <c r="C122" s="102" t="s">
        <v>1333</v>
      </c>
      <c r="D122" t="s">
        <v>369</v>
      </c>
      <c r="E122" t="s">
        <v>64</v>
      </c>
      <c r="F122" t="s">
        <v>62</v>
      </c>
      <c r="G122" t="s">
        <v>1153</v>
      </c>
      <c r="H122" t="s">
        <v>1291</v>
      </c>
      <c r="I122" t="s">
        <v>139</v>
      </c>
      <c r="J122" t="s">
        <v>287</v>
      </c>
      <c r="K122" s="22">
        <f t="shared" si="26"/>
        <v>0.39681521114916435</v>
      </c>
      <c r="L122" s="22">
        <f t="shared" si="27"/>
        <v>0.39928346869815806</v>
      </c>
      <c r="M122" s="22">
        <f t="shared" si="27"/>
        <v>0.4009804297645459</v>
      </c>
      <c r="N122" s="22">
        <f t="shared" si="27"/>
        <v>0.40151262173495006</v>
      </c>
      <c r="O122" s="22">
        <f t="shared" si="27"/>
        <v>0.40223259805813538</v>
      </c>
      <c r="P122" s="22">
        <f t="shared" si="27"/>
        <v>0.40380961974030649</v>
      </c>
      <c r="Q122" s="22">
        <f t="shared" si="27"/>
        <v>0.40570030877561336</v>
      </c>
      <c r="R122" s="22">
        <f t="shared" si="27"/>
        <v>0.4062682914839757</v>
      </c>
      <c r="S122" s="22">
        <f t="shared" si="27"/>
        <v>0.39379594618948027</v>
      </c>
      <c r="T122" s="22">
        <f t="shared" si="27"/>
        <v>0.39703951074089222</v>
      </c>
      <c r="U122" s="22">
        <f t="shared" si="27"/>
        <v>0.40001376732014149</v>
      </c>
      <c r="V122" s="22">
        <f t="shared" si="27"/>
        <v>0.4030633713994573</v>
      </c>
      <c r="W122" s="22">
        <f t="shared" si="27"/>
        <v>0.40673703435821862</v>
      </c>
      <c r="X122" s="22">
        <f t="shared" si="27"/>
        <v>0.41047963139436411</v>
      </c>
      <c r="Y122" s="22">
        <f t="shared" si="27"/>
        <v>0.41412386702749909</v>
      </c>
      <c r="Z122" s="22">
        <f t="shared" si="27"/>
        <v>0.41769519693164076</v>
      </c>
      <c r="AA122" s="22">
        <f t="shared" si="27"/>
        <v>0.42154191092161625</v>
      </c>
      <c r="AB122" s="22">
        <f t="shared" si="27"/>
        <v>0.42518467345636607</v>
      </c>
      <c r="AC122" s="22">
        <f t="shared" si="27"/>
        <v>0.42895809934446105</v>
      </c>
      <c r="AD122" s="22">
        <f t="shared" si="27"/>
        <v>0.43329342136251764</v>
      </c>
      <c r="AE122" s="22">
        <f t="shared" si="27"/>
        <v>0.43801504276628445</v>
      </c>
      <c r="AF122" s="22">
        <f t="shared" si="27"/>
        <v>0.44292407628311159</v>
      </c>
      <c r="AG122" s="22">
        <f t="shared" si="27"/>
        <v>0.44360979324480354</v>
      </c>
      <c r="AH122" s="22">
        <f t="shared" si="27"/>
        <v>0.23750435523455551</v>
      </c>
      <c r="AI122" s="22">
        <f t="shared" si="27"/>
        <v>0.23767903823802267</v>
      </c>
      <c r="AJ122" s="22">
        <f t="shared" si="27"/>
        <v>0.23787666796336571</v>
      </c>
      <c r="AK122" s="22">
        <f t="shared" si="27"/>
        <v>0.23809637221397845</v>
      </c>
      <c r="AL122" s="22">
        <f t="shared" si="27"/>
        <v>0.2383373459663993</v>
      </c>
      <c r="AM122" s="22">
        <f t="shared" si="27"/>
        <v>0.23859884500343068</v>
      </c>
      <c r="AN122" s="22">
        <f t="shared" si="27"/>
        <v>0.23871142815197754</v>
      </c>
      <c r="AO122" s="22">
        <f t="shared" si="27"/>
        <v>0.23884208664335624</v>
      </c>
      <c r="AP122" s="22">
        <f t="shared" si="27"/>
        <v>0.23899018916140971</v>
      </c>
      <c r="AQ122" s="22">
        <f t="shared" si="27"/>
        <v>0.2391551474689631</v>
      </c>
      <c r="AR122" s="22">
        <f t="shared" si="27"/>
        <v>0.23933641275222764</v>
      </c>
      <c r="AS122" s="22">
        <f t="shared" si="27"/>
        <v>0.23936290185366965</v>
      </c>
      <c r="AT122" s="22">
        <f t="shared" si="27"/>
        <v>0.23940384749309143</v>
      </c>
      <c r="AU122" s="22">
        <f t="shared" si="27"/>
        <v>0.23945877050598915</v>
      </c>
      <c r="AV122" s="22">
        <f t="shared" si="27"/>
        <v>0.23952722091813589</v>
      </c>
      <c r="AW122" s="22">
        <f t="shared" si="27"/>
        <v>0.23960877570322184</v>
      </c>
      <c r="AY122" s="85"/>
    </row>
    <row r="123" spans="1:51" x14ac:dyDescent="0.25">
      <c r="A123" s="102" t="str">
        <f t="shared" si="0"/>
        <v>FS MM Volatilisation</v>
      </c>
      <c r="B123" s="102" t="s">
        <v>1005</v>
      </c>
      <c r="C123" s="102" t="s">
        <v>1333</v>
      </c>
      <c r="D123" t="s">
        <v>369</v>
      </c>
      <c r="E123" t="s">
        <v>64</v>
      </c>
      <c r="F123" t="s">
        <v>62</v>
      </c>
      <c r="G123" t="s">
        <v>1155</v>
      </c>
      <c r="H123" t="s">
        <v>1292</v>
      </c>
      <c r="I123" t="s">
        <v>139</v>
      </c>
      <c r="J123" t="s">
        <v>287</v>
      </c>
      <c r="K123" s="22">
        <f t="shared" si="26"/>
        <v>3.1306447478246062E-2</v>
      </c>
      <c r="L123" s="22">
        <f t="shared" si="27"/>
        <v>3.1501178862399851E-2</v>
      </c>
      <c r="M123" s="22">
        <f t="shared" si="27"/>
        <v>3.163505937152563E-2</v>
      </c>
      <c r="N123" s="22">
        <f t="shared" si="27"/>
        <v>3.167704626996521E-2</v>
      </c>
      <c r="O123" s="22">
        <f t="shared" si="27"/>
        <v>3.1733848278341123E-2</v>
      </c>
      <c r="P123" s="22">
        <f t="shared" si="27"/>
        <v>3.1858266256981516E-2</v>
      </c>
      <c r="Q123" s="22">
        <f t="shared" si="27"/>
        <v>3.2007430793315993E-2</v>
      </c>
      <c r="R123" s="22">
        <f t="shared" si="27"/>
        <v>3.2052241375996028E-2</v>
      </c>
      <c r="S123" s="22">
        <f t="shared" si="27"/>
        <v>3.1068244765175855E-2</v>
      </c>
      <c r="T123" s="22">
        <f t="shared" si="27"/>
        <v>3.1324143431401406E-2</v>
      </c>
      <c r="U123" s="22">
        <f t="shared" si="27"/>
        <v>3.1558795241031987E-2</v>
      </c>
      <c r="V123" s="22">
        <f t="shared" si="27"/>
        <v>3.1799391536879773E-2</v>
      </c>
      <c r="W123" s="22">
        <f t="shared" si="27"/>
        <v>3.2089222504140757E-2</v>
      </c>
      <c r="X123" s="22">
        <f t="shared" si="27"/>
        <v>3.2384491975300946E-2</v>
      </c>
      <c r="Y123" s="22">
        <f t="shared" si="27"/>
        <v>3.2672001295109276E-2</v>
      </c>
      <c r="Z123" s="22">
        <f t="shared" si="27"/>
        <v>3.2953758770453305E-2</v>
      </c>
      <c r="AA123" s="22">
        <f t="shared" si="27"/>
        <v>3.3257242472961211E-2</v>
      </c>
      <c r="AB123" s="22">
        <f t="shared" si="27"/>
        <v>3.3544635573743833E-2</v>
      </c>
      <c r="AC123" s="22">
        <f t="shared" si="27"/>
        <v>3.3842337264756606E-2</v>
      </c>
      <c r="AD123" s="22">
        <f t="shared" si="27"/>
        <v>3.4184369342273299E-2</v>
      </c>
      <c r="AE123" s="22">
        <f t="shared" si="27"/>
        <v>3.4556878228868437E-2</v>
      </c>
      <c r="AF123" s="22">
        <f t="shared" si="27"/>
        <v>3.494417285781784E-2</v>
      </c>
      <c r="AG123" s="22">
        <f t="shared" si="27"/>
        <v>3.4998271998785704E-2</v>
      </c>
      <c r="AH123" s="22">
        <f t="shared" si="27"/>
        <v>1.873773336831663E-2</v>
      </c>
      <c r="AI123" s="22">
        <f t="shared" si="27"/>
        <v>1.8751514856827491E-2</v>
      </c>
      <c r="AJ123" s="22">
        <f t="shared" si="27"/>
        <v>1.8767106710271497E-2</v>
      </c>
      <c r="AK123" s="22">
        <f t="shared" si="27"/>
        <v>1.8784440117331772E-2</v>
      </c>
      <c r="AL123" s="22">
        <f t="shared" si="27"/>
        <v>1.8803451566267792E-2</v>
      </c>
      <c r="AM123" s="22">
        <f t="shared" si="27"/>
        <v>1.882408234260504E-2</v>
      </c>
      <c r="AN123" s="22">
        <f t="shared" si="27"/>
        <v>1.883296450822745E-2</v>
      </c>
      <c r="AO123" s="22">
        <f t="shared" si="27"/>
        <v>1.8843272714876302E-2</v>
      </c>
      <c r="AP123" s="22">
        <f t="shared" si="27"/>
        <v>1.8854957155322545E-2</v>
      </c>
      <c r="AQ123" s="22">
        <f t="shared" si="27"/>
        <v>1.8867971421022103E-2</v>
      </c>
      <c r="AR123" s="22">
        <f t="shared" si="27"/>
        <v>1.8882272213710256E-2</v>
      </c>
      <c r="AS123" s="22">
        <f t="shared" si="27"/>
        <v>1.888436205210289E-2</v>
      </c>
      <c r="AT123" s="22">
        <f t="shared" si="27"/>
        <v>1.8887592428545139E-2</v>
      </c>
      <c r="AU123" s="22">
        <f t="shared" si="27"/>
        <v>1.8891925539701964E-2</v>
      </c>
      <c r="AV123" s="22">
        <f t="shared" si="27"/>
        <v>1.8897325885184005E-2</v>
      </c>
      <c r="AW123" s="22">
        <f t="shared" si="27"/>
        <v>1.8903760090638235E-2</v>
      </c>
      <c r="AY123" s="85"/>
    </row>
    <row r="124" spans="1:51" x14ac:dyDescent="0.25">
      <c r="A124" s="102" t="str">
        <f t="shared" si="0"/>
        <v>FS MM Volatilisation</v>
      </c>
      <c r="B124" s="102" t="s">
        <v>1005</v>
      </c>
      <c r="C124" s="102" t="s">
        <v>1333</v>
      </c>
      <c r="D124" t="s">
        <v>369</v>
      </c>
      <c r="E124" t="s">
        <v>64</v>
      </c>
      <c r="F124" t="s">
        <v>62</v>
      </c>
      <c r="G124" t="s">
        <v>1157</v>
      </c>
      <c r="H124" t="s">
        <v>1293</v>
      </c>
      <c r="I124" t="s">
        <v>139</v>
      </c>
      <c r="J124" t="s">
        <v>287</v>
      </c>
      <c r="K124" s="22">
        <f t="shared" si="26"/>
        <v>2.9019834302377478E-4</v>
      </c>
      <c r="L124" s="22">
        <f t="shared" si="27"/>
        <v>2.9200342566866507E-4</v>
      </c>
      <c r="M124" s="22">
        <f t="shared" si="27"/>
        <v>2.9324444485292345E-4</v>
      </c>
      <c r="N124" s="22">
        <f t="shared" si="27"/>
        <v>2.9363364673743434E-4</v>
      </c>
      <c r="O124" s="22">
        <f t="shared" si="27"/>
        <v>2.9416017881114109E-4</v>
      </c>
      <c r="P124" s="22">
        <f t="shared" si="27"/>
        <v>2.9531348409334853E-4</v>
      </c>
      <c r="Q124" s="22">
        <f t="shared" si="27"/>
        <v>2.9669618014381078E-4</v>
      </c>
      <c r="R124" s="22">
        <f t="shared" si="27"/>
        <v>2.971115564605491E-4</v>
      </c>
      <c r="S124" s="22">
        <f t="shared" si="27"/>
        <v>2.879902984130032E-4</v>
      </c>
      <c r="T124" s="22">
        <f t="shared" si="27"/>
        <v>2.9036237748624366E-4</v>
      </c>
      <c r="U124" s="22">
        <f t="shared" si="27"/>
        <v>2.9253750663143477E-4</v>
      </c>
      <c r="V124" s="22">
        <f t="shared" si="27"/>
        <v>2.9476773880457414E-4</v>
      </c>
      <c r="W124" s="22">
        <f t="shared" si="27"/>
        <v>2.9745435684114832E-4</v>
      </c>
      <c r="X124" s="22">
        <f t="shared" si="27"/>
        <v>3.0019138765040044E-4</v>
      </c>
      <c r="Y124" s="22">
        <f t="shared" si="27"/>
        <v>3.0285648493651841E-4</v>
      </c>
      <c r="Z124" s="22">
        <f t="shared" si="27"/>
        <v>3.0546826490728061E-4</v>
      </c>
      <c r="AA124" s="22">
        <f t="shared" si="27"/>
        <v>3.0828143838101019E-4</v>
      </c>
      <c r="AB124" s="22">
        <f t="shared" si="27"/>
        <v>3.1094545836288565E-4</v>
      </c>
      <c r="AC124" s="22">
        <f t="shared" si="27"/>
        <v>3.1370503488485662E-4</v>
      </c>
      <c r="AD124" s="22">
        <f t="shared" si="27"/>
        <v>3.1687553649559658E-4</v>
      </c>
      <c r="AE124" s="22">
        <f t="shared" si="27"/>
        <v>3.2032854603066614E-4</v>
      </c>
      <c r="AF124" s="22">
        <f t="shared" si="27"/>
        <v>3.2391861352910146E-4</v>
      </c>
      <c r="AG124" s="22">
        <f t="shared" si="27"/>
        <v>3.2442009109466666E-4</v>
      </c>
      <c r="AH124" s="22">
        <f t="shared" si="27"/>
        <v>1.7369135157495116E-4</v>
      </c>
      <c r="AI124" s="22">
        <f t="shared" si="27"/>
        <v>1.7381910050376308E-4</v>
      </c>
      <c r="AJ124" s="22">
        <f t="shared" si="27"/>
        <v>1.7396363079699625E-4</v>
      </c>
      <c r="AK124" s="22">
        <f t="shared" si="27"/>
        <v>1.7412430460105353E-4</v>
      </c>
      <c r="AL124" s="22">
        <f t="shared" si="27"/>
        <v>1.7430053318730711E-4</v>
      </c>
      <c r="AM124" s="22">
        <f t="shared" si="27"/>
        <v>1.7449177229588125E-4</v>
      </c>
      <c r="AN124" s="22">
        <f t="shared" si="27"/>
        <v>1.7457410644599133E-4</v>
      </c>
      <c r="AO124" s="22">
        <f t="shared" si="27"/>
        <v>1.7466965943044039E-4</v>
      </c>
      <c r="AP124" s="22">
        <f t="shared" si="27"/>
        <v>1.7477796955598287E-4</v>
      </c>
      <c r="AQ124" s="22">
        <f t="shared" si="27"/>
        <v>1.7489860663383425E-4</v>
      </c>
      <c r="AR124" s="22">
        <f t="shared" si="27"/>
        <v>1.7503116930626492E-4</v>
      </c>
      <c r="AS124" s="22">
        <f t="shared" si="27"/>
        <v>1.7505054127873651E-4</v>
      </c>
      <c r="AT124" s="22">
        <f t="shared" si="27"/>
        <v>1.7508048558626403E-4</v>
      </c>
      <c r="AU124" s="22">
        <f t="shared" si="27"/>
        <v>1.7512065180693548E-4</v>
      </c>
      <c r="AV124" s="22">
        <f t="shared" si="27"/>
        <v>1.7517071086623097E-4</v>
      </c>
      <c r="AW124" s="22">
        <f t="shared" si="27"/>
        <v>1.752303533971437E-4</v>
      </c>
      <c r="AY124" s="85"/>
    </row>
    <row r="125" spans="1:51" x14ac:dyDescent="0.25">
      <c r="A125" s="102" t="str">
        <f t="shared" si="0"/>
        <v>FS MM Volatilisation</v>
      </c>
      <c r="B125" s="102" t="s">
        <v>1005</v>
      </c>
      <c r="C125" s="102" t="s">
        <v>1333</v>
      </c>
      <c r="D125" t="s">
        <v>369</v>
      </c>
      <c r="E125" t="s">
        <v>64</v>
      </c>
      <c r="F125" t="s">
        <v>62</v>
      </c>
      <c r="G125" t="s">
        <v>1159</v>
      </c>
      <c r="H125" t="s">
        <v>1294</v>
      </c>
      <c r="I125" t="s">
        <v>139</v>
      </c>
      <c r="J125" t="s">
        <v>287</v>
      </c>
      <c r="K125" s="22">
        <f t="shared" si="26"/>
        <v>3.2608020345335862E-3</v>
      </c>
      <c r="L125" s="22">
        <f t="shared" si="27"/>
        <v>3.2391880107785257E-3</v>
      </c>
      <c r="M125" s="22">
        <f t="shared" si="27"/>
        <v>3.1936162901030117E-3</v>
      </c>
      <c r="N125" s="22">
        <f t="shared" si="27"/>
        <v>3.1167988395678259E-3</v>
      </c>
      <c r="O125" s="22">
        <f t="shared" si="27"/>
        <v>3.0422686858160779E-3</v>
      </c>
      <c r="P125" s="22">
        <f t="shared" si="27"/>
        <v>2.9849445368563851E-3</v>
      </c>
      <c r="Q125" s="22">
        <f t="shared" si="27"/>
        <v>2.9330944027971869E-3</v>
      </c>
      <c r="R125" s="22">
        <f t="shared" si="27"/>
        <v>2.8515726706301167E-3</v>
      </c>
      <c r="S125" s="22">
        <f t="shared" si="27"/>
        <v>2.5010020765287512E-3</v>
      </c>
      <c r="T125" s="22">
        <f t="shared" si="27"/>
        <v>2.5248406363190491E-3</v>
      </c>
      <c r="U125" s="22">
        <f t="shared" si="27"/>
        <v>2.5409715409254918E-3</v>
      </c>
      <c r="V125" s="22">
        <f t="shared" si="27"/>
        <v>2.5565777764954734E-3</v>
      </c>
      <c r="W125" s="22">
        <f t="shared" si="27"/>
        <v>2.5823867364318034E-3</v>
      </c>
      <c r="X125" s="22">
        <f t="shared" si="27"/>
        <v>2.6073450964004788E-3</v>
      </c>
      <c r="Y125" s="22">
        <f t="shared" si="27"/>
        <v>2.6335476280108239E-3</v>
      </c>
      <c r="Z125" s="22">
        <f t="shared" si="27"/>
        <v>2.6563592492195348E-3</v>
      </c>
      <c r="AA125" s="22">
        <f t="shared" si="27"/>
        <v>2.6823219674710947E-3</v>
      </c>
      <c r="AB125" s="22">
        <f t="shared" si="27"/>
        <v>2.7026386741679817E-3</v>
      </c>
      <c r="AC125" s="22">
        <f t="shared" si="27"/>
        <v>2.7235128371703343E-3</v>
      </c>
      <c r="AD125" s="22">
        <f t="shared" si="27"/>
        <v>2.7332352588004378E-3</v>
      </c>
      <c r="AE125" s="22">
        <f t="shared" si="27"/>
        <v>2.7465666714111786E-3</v>
      </c>
      <c r="AF125" s="22">
        <f t="shared" si="27"/>
        <v>2.7598466332323141E-3</v>
      </c>
      <c r="AG125" s="22">
        <f t="shared" si="27"/>
        <v>2.7013158272562879E-3</v>
      </c>
      <c r="AH125" s="22">
        <f t="shared" si="27"/>
        <v>-6.3720303992201288E-4</v>
      </c>
      <c r="AI125" s="22">
        <f t="shared" si="27"/>
        <v>-6.2242214557858356E-4</v>
      </c>
      <c r="AJ125" s="22">
        <f t="shared" si="27"/>
        <v>-6.0787631384089666E-4</v>
      </c>
      <c r="AK125" s="22">
        <f t="shared" si="27"/>
        <v>-5.9355323338830307E-4</v>
      </c>
      <c r="AL125" s="22">
        <f t="shared" si="27"/>
        <v>-5.7944144405540506E-4</v>
      </c>
      <c r="AM125" s="22">
        <f t="shared" si="27"/>
        <v>-5.6553025796044789E-4</v>
      </c>
      <c r="AN125" s="22">
        <f t="shared" si="27"/>
        <v>-5.5425143288870022E-4</v>
      </c>
      <c r="AO125" s="22">
        <f t="shared" si="27"/>
        <v>-5.4314296084699478E-4</v>
      </c>
      <c r="AP125" s="22">
        <f t="shared" si="27"/>
        <v>-5.3219712228052369E-4</v>
      </c>
      <c r="AQ125" s="22">
        <f t="shared" si="27"/>
        <v>-5.2140667775092773E-4</v>
      </c>
      <c r="AR125" s="22">
        <f t="shared" si="27"/>
        <v>-5.107648281267109E-4</v>
      </c>
      <c r="AS125" s="22">
        <f t="shared" si="27"/>
        <v>-4.999251820077483E-4</v>
      </c>
      <c r="AT125" s="22">
        <f t="shared" si="27"/>
        <v>-4.8923459484670278E-4</v>
      </c>
      <c r="AU125" s="22">
        <f t="shared" si="27"/>
        <v>-4.7868720289580258E-4</v>
      </c>
      <c r="AV125" s="22">
        <f t="shared" si="27"/>
        <v>-4.6827747185126305E-4</v>
      </c>
      <c r="AW125" s="22">
        <f t="shared" si="27"/>
        <v>-4.5800017223486766E-4</v>
      </c>
      <c r="AY125" s="85"/>
    </row>
    <row r="126" spans="1:51" x14ac:dyDescent="0.25">
      <c r="A126" s="102" t="str">
        <f t="shared" si="0"/>
        <v>FS MM Volatilisation</v>
      </c>
      <c r="B126" s="102" t="s">
        <v>1005</v>
      </c>
      <c r="C126" s="102" t="s">
        <v>1333</v>
      </c>
      <c r="D126" t="s">
        <v>369</v>
      </c>
      <c r="E126" t="s">
        <v>64</v>
      </c>
      <c r="F126" t="s">
        <v>62</v>
      </c>
      <c r="G126" t="s">
        <v>1161</v>
      </c>
      <c r="H126" t="s">
        <v>1295</v>
      </c>
      <c r="I126" t="s">
        <v>139</v>
      </c>
      <c r="J126" t="s">
        <v>287</v>
      </c>
      <c r="K126" s="22">
        <f t="shared" si="26"/>
        <v>1.6232293381826982E-2</v>
      </c>
      <c r="L126" s="22">
        <f t="shared" si="27"/>
        <v>1.612469863334539E-2</v>
      </c>
      <c r="M126" s="22">
        <f t="shared" si="27"/>
        <v>1.5897842316376299E-2</v>
      </c>
      <c r="N126" s="22">
        <f t="shared" si="27"/>
        <v>1.5515444556338871E-2</v>
      </c>
      <c r="O126" s="22">
        <f t="shared" si="27"/>
        <v>1.5144432974317425E-2</v>
      </c>
      <c r="P126" s="22">
        <f t="shared" si="27"/>
        <v>1.4859072994188992E-2</v>
      </c>
      <c r="Q126" s="22">
        <f t="shared" si="27"/>
        <v>1.4600962695243356E-2</v>
      </c>
      <c r="R126" s="22">
        <f t="shared" si="27"/>
        <v>1.4195146991156963E-2</v>
      </c>
      <c r="S126" s="22">
        <f t="shared" si="27"/>
        <v>1.2450004331704253E-2</v>
      </c>
      <c r="T126" s="22">
        <f t="shared" si="27"/>
        <v>1.2568672834795916E-2</v>
      </c>
      <c r="U126" s="22">
        <f t="shared" si="27"/>
        <v>1.2648972581089315E-2</v>
      </c>
      <c r="V126" s="22">
        <f t="shared" si="27"/>
        <v>1.2726660521563772E-2</v>
      </c>
      <c r="W126" s="22">
        <f t="shared" si="27"/>
        <v>1.2855137689183753E-2</v>
      </c>
      <c r="X126" s="22">
        <f t="shared" si="27"/>
        <v>1.297938056472487E-2</v>
      </c>
      <c r="Y126" s="22">
        <f t="shared" si="27"/>
        <v>1.3109816934655115E-2</v>
      </c>
      <c r="Z126" s="22">
        <f t="shared" si="27"/>
        <v>1.3223373330920015E-2</v>
      </c>
      <c r="AA126" s="22">
        <f t="shared" si="27"/>
        <v>1.3352615908416542E-2</v>
      </c>
      <c r="AB126" s="22">
        <f t="shared" si="27"/>
        <v>1.345375260428577E-2</v>
      </c>
      <c r="AC126" s="22">
        <f t="shared" si="27"/>
        <v>1.3557664321208735E-2</v>
      </c>
      <c r="AD126" s="22">
        <f t="shared" si="27"/>
        <v>1.3606062598261524E-2</v>
      </c>
      <c r="AE126" s="22">
        <f t="shared" si="27"/>
        <v>1.3672426455496624E-2</v>
      </c>
      <c r="AF126" s="22">
        <f t="shared" si="27"/>
        <v>1.3738534190372041E-2</v>
      </c>
      <c r="AG126" s="22">
        <f t="shared" si="27"/>
        <v>1.3447167463899316E-2</v>
      </c>
      <c r="AH126" s="22">
        <f t="shared" si="27"/>
        <v>-3.1720008078581774E-3</v>
      </c>
      <c r="AI126" s="22">
        <f t="shared" si="27"/>
        <v>-3.098421421287828E-3</v>
      </c>
      <c r="AJ126" s="22">
        <f t="shared" si="27"/>
        <v>-3.0260121778721673E-3</v>
      </c>
      <c r="AK126" s="22">
        <f t="shared" si="27"/>
        <v>-2.9547117917782697E-3</v>
      </c>
      <c r="AL126" s="22">
        <f t="shared" si="27"/>
        <v>-2.8844632142294947E-3</v>
      </c>
      <c r="AM126" s="22">
        <f t="shared" si="27"/>
        <v>-2.8152132408821133E-3</v>
      </c>
      <c r="AN126" s="22">
        <f t="shared" si="27"/>
        <v>-2.7590671775430979E-3</v>
      </c>
      <c r="AO126" s="22">
        <f t="shared" si="27"/>
        <v>-2.7037691326770971E-3</v>
      </c>
      <c r="AP126" s="22">
        <f t="shared" si="27"/>
        <v>-2.6492806782909082E-3</v>
      </c>
      <c r="AQ126" s="22">
        <f t="shared" si="27"/>
        <v>-2.5955657764140799E-3</v>
      </c>
      <c r="AR126" s="22">
        <f t="shared" si="27"/>
        <v>-2.5425905809265438E-3</v>
      </c>
      <c r="AS126" s="22">
        <f t="shared" si="27"/>
        <v>-2.4886307532231877E-3</v>
      </c>
      <c r="AT126" s="22">
        <f t="shared" si="27"/>
        <v>-2.4354129419656258E-3</v>
      </c>
      <c r="AU126" s="22">
        <f t="shared" si="27"/>
        <v>-2.3829079573799484E-3</v>
      </c>
      <c r="AV126" s="22">
        <f t="shared" si="27"/>
        <v>-2.3310882496665208E-3</v>
      </c>
      <c r="AW126" s="22">
        <f t="shared" si="27"/>
        <v>-2.279927786449339E-3</v>
      </c>
      <c r="AY126" s="85"/>
    </row>
    <row r="127" spans="1:51" x14ac:dyDescent="0.25">
      <c r="A127" s="102" t="str">
        <f t="shared" si="0"/>
        <v>FS MM Volatilisation</v>
      </c>
      <c r="B127" s="102" t="s">
        <v>1005</v>
      </c>
      <c r="C127" s="102" t="s">
        <v>1333</v>
      </c>
      <c r="D127" t="s">
        <v>369</v>
      </c>
      <c r="E127" t="s">
        <v>64</v>
      </c>
      <c r="F127" t="s">
        <v>62</v>
      </c>
      <c r="G127" t="s">
        <v>1163</v>
      </c>
      <c r="H127" t="s">
        <v>1296</v>
      </c>
      <c r="I127" t="s">
        <v>139</v>
      </c>
      <c r="J127" t="s">
        <v>287</v>
      </c>
      <c r="K127" s="22">
        <f t="shared" si="26"/>
        <v>0.15922781806557695</v>
      </c>
      <c r="L127" s="22">
        <f t="shared" si="27"/>
        <v>0.16489874459702494</v>
      </c>
      <c r="M127" s="22">
        <f t="shared" si="27"/>
        <v>0.16939991585045727</v>
      </c>
      <c r="N127" s="22">
        <f t="shared" si="27"/>
        <v>0.17218348693308003</v>
      </c>
      <c r="O127" s="22">
        <f t="shared" si="27"/>
        <v>0.17497286890553645</v>
      </c>
      <c r="P127" s="22">
        <f t="shared" si="27"/>
        <v>0.17867712216797899</v>
      </c>
      <c r="Q127" s="22">
        <f t="shared" si="27"/>
        <v>0.18269010203222399</v>
      </c>
      <c r="R127" s="22">
        <f t="shared" si="27"/>
        <v>0.18477850416218133</v>
      </c>
      <c r="S127" s="22">
        <f t="shared" si="27"/>
        <v>0.16857906885266413</v>
      </c>
      <c r="T127" s="22">
        <f t="shared" si="27"/>
        <v>0.17425287964090236</v>
      </c>
      <c r="U127" s="22">
        <f t="shared" si="27"/>
        <v>0.17949945582313931</v>
      </c>
      <c r="V127" s="22">
        <f t="shared" si="27"/>
        <v>0.18480458029183697</v>
      </c>
      <c r="W127" s="22">
        <f t="shared" si="27"/>
        <v>0.19096302657670283</v>
      </c>
      <c r="X127" s="22">
        <f t="shared" si="27"/>
        <v>0.19719436509402946</v>
      </c>
      <c r="Y127" s="22">
        <f t="shared" si="27"/>
        <v>0.20366092227158905</v>
      </c>
      <c r="Z127" s="22">
        <f t="shared" si="27"/>
        <v>0.21000736593010838</v>
      </c>
      <c r="AA127" s="22">
        <f t="shared" si="27"/>
        <v>0.21674936909166895</v>
      </c>
      <c r="AB127" s="22">
        <f t="shared" si="27"/>
        <v>0.22318188532765407</v>
      </c>
      <c r="AC127" s="22">
        <f t="shared" si="27"/>
        <v>0.22980286680499964</v>
      </c>
      <c r="AD127" s="22">
        <f t="shared" si="27"/>
        <v>0.2382309822629842</v>
      </c>
      <c r="AE127" s="22">
        <f t="shared" si="27"/>
        <v>0.24730559399060587</v>
      </c>
      <c r="AF127" s="22">
        <f t="shared" si="27"/>
        <v>0.25673647400031802</v>
      </c>
      <c r="AG127" s="22">
        <f t="shared" si="27"/>
        <v>0.25964613908565431</v>
      </c>
      <c r="AH127" s="22">
        <f t="shared" si="27"/>
        <v>-6.3291007360128299E-2</v>
      </c>
      <c r="AI127" s="22">
        <f t="shared" si="27"/>
        <v>-6.3895366189305636E-2</v>
      </c>
      <c r="AJ127" s="22">
        <f t="shared" si="27"/>
        <v>-6.4504638848078458E-2</v>
      </c>
      <c r="AK127" s="22">
        <f t="shared" si="27"/>
        <v>-6.5118871838809281E-2</v>
      </c>
      <c r="AL127" s="22">
        <f t="shared" si="27"/>
        <v>-6.5738112081384775E-2</v>
      </c>
      <c r="AM127" s="22">
        <f t="shared" si="27"/>
        <v>-6.6362406916836855E-2</v>
      </c>
      <c r="AN127" s="22">
        <f t="shared" si="27"/>
        <v>-6.6863409386316588E-2</v>
      </c>
      <c r="AO127" s="22">
        <f t="shared" si="27"/>
        <v>-6.7367867762467962E-2</v>
      </c>
      <c r="AP127" s="22">
        <f t="shared" si="27"/>
        <v>-6.7875809396751335E-2</v>
      </c>
      <c r="AQ127" s="22">
        <f t="shared" si="27"/>
        <v>-6.8387261847069211E-2</v>
      </c>
      <c r="AR127" s="22">
        <f t="shared" si="27"/>
        <v>-6.8902252879275511E-2</v>
      </c>
      <c r="AS127" s="22">
        <f t="shared" si="27"/>
        <v>-6.9373629780267981E-2</v>
      </c>
      <c r="AT127" s="22">
        <f t="shared" si="27"/>
        <v>-6.9847719512371606E-2</v>
      </c>
      <c r="AU127" s="22">
        <f t="shared" si="27"/>
        <v>-7.0324540021641888E-2</v>
      </c>
      <c r="AV127" s="22">
        <f t="shared" si="27"/>
        <v>-7.0804109366663218E-2</v>
      </c>
      <c r="AW127" s="22">
        <f t="shared" si="27"/>
        <v>-7.1286445719229846E-2</v>
      </c>
      <c r="AY127" s="85"/>
    </row>
    <row r="128" spans="1:51" x14ac:dyDescent="0.25">
      <c r="A128" s="102" t="str">
        <f t="shared" si="0"/>
        <v>FS MM Volatilisation</v>
      </c>
      <c r="B128" s="102" t="s">
        <v>1005</v>
      </c>
      <c r="C128" s="102" t="s">
        <v>1333</v>
      </c>
      <c r="D128" t="s">
        <v>369</v>
      </c>
      <c r="E128" t="s">
        <v>64</v>
      </c>
      <c r="F128" t="s">
        <v>62</v>
      </c>
      <c r="G128" t="s">
        <v>1165</v>
      </c>
      <c r="H128" t="s">
        <v>1297</v>
      </c>
      <c r="I128" t="s">
        <v>139</v>
      </c>
      <c r="J128" t="s">
        <v>287</v>
      </c>
      <c r="K128" s="22">
        <f t="shared" si="26"/>
        <v>1.171858684484313E-4</v>
      </c>
      <c r="L128" s="22">
        <f t="shared" si="27"/>
        <v>1.1724986264912743E-4</v>
      </c>
      <c r="M128" s="22">
        <f t="shared" si="27"/>
        <v>1.1739315795736154E-4</v>
      </c>
      <c r="N128" s="22">
        <f t="shared" si="27"/>
        <v>1.1760884747933323E-4</v>
      </c>
      <c r="O128" s="22">
        <f t="shared" si="27"/>
        <v>1.1789981697079396E-4</v>
      </c>
      <c r="P128" s="22">
        <f t="shared" si="27"/>
        <v>1.1826637517857024E-4</v>
      </c>
      <c r="Q128" s="22">
        <f t="shared" si="27"/>
        <v>1.1867470616236446E-4</v>
      </c>
      <c r="R128" s="22">
        <f t="shared" si="27"/>
        <v>1.1911724401941935E-4</v>
      </c>
      <c r="S128" s="22">
        <f t="shared" si="27"/>
        <v>1.1953310214883348E-4</v>
      </c>
      <c r="T128" s="22">
        <f t="shared" si="27"/>
        <v>1.197068141423074E-4</v>
      </c>
      <c r="U128" s="22">
        <f t="shared" si="27"/>
        <v>1.199083856789491E-4</v>
      </c>
      <c r="V128" s="22">
        <f t="shared" si="27"/>
        <v>1.201377754278402E-4</v>
      </c>
      <c r="W128" s="22">
        <f t="shared" si="27"/>
        <v>1.2039617188423161E-4</v>
      </c>
      <c r="X128" s="22">
        <f t="shared" si="27"/>
        <v>1.2067943256873451E-4</v>
      </c>
      <c r="Y128" s="22">
        <f t="shared" si="27"/>
        <v>1.2085380112251055E-4</v>
      </c>
      <c r="Z128" s="22">
        <f t="shared" si="27"/>
        <v>1.2104857439732012E-4</v>
      </c>
      <c r="AA128" s="22">
        <f t="shared" si="27"/>
        <v>1.2126445921474039E-4</v>
      </c>
      <c r="AB128" s="22">
        <f t="shared" si="27"/>
        <v>1.2149813863258011E-4</v>
      </c>
      <c r="AC128" s="22">
        <f t="shared" si="27"/>
        <v>1.2175044819305052E-4</v>
      </c>
      <c r="AD128" s="22">
        <f t="shared" si="27"/>
        <v>1.2191654827812353E-4</v>
      </c>
      <c r="AE128" s="22">
        <f t="shared" si="27"/>
        <v>1.2210011953046386E-4</v>
      </c>
      <c r="AF128" s="22">
        <f t="shared" si="27"/>
        <v>1.2229951100214118E-4</v>
      </c>
      <c r="AG128" s="22">
        <f t="shared" si="27"/>
        <v>1.2249214859428272E-4</v>
      </c>
      <c r="AH128" s="22">
        <f t="shared" si="27"/>
        <v>1.2166856520731395E-4</v>
      </c>
      <c r="AI128" s="22">
        <f t="shared" ref="L128:AW135" si="28">AI1537</f>
        <v>1.2178552707040833E-4</v>
      </c>
      <c r="AJ128" s="22">
        <f t="shared" si="28"/>
        <v>1.2191459506568997E-4</v>
      </c>
      <c r="AK128" s="22">
        <f t="shared" si="28"/>
        <v>1.220553118336419E-4</v>
      </c>
      <c r="AL128" s="22">
        <f t="shared" si="28"/>
        <v>1.2220725536579073E-4</v>
      </c>
      <c r="AM128" s="22">
        <f t="shared" si="28"/>
        <v>1.2237003565016038E-4</v>
      </c>
      <c r="AN128" s="22">
        <f t="shared" si="28"/>
        <v>1.2244903306979284E-4</v>
      </c>
      <c r="AO128" s="22">
        <f t="shared" si="28"/>
        <v>1.2253757835817969E-4</v>
      </c>
      <c r="AP128" s="22">
        <f t="shared" si="28"/>
        <v>1.226353392269764E-4</v>
      </c>
      <c r="AQ128" s="22">
        <f t="shared" si="28"/>
        <v>1.2274200613087834E-4</v>
      </c>
      <c r="AR128" s="22">
        <f t="shared" si="28"/>
        <v>1.228572903354883E-4</v>
      </c>
      <c r="AS128" s="22">
        <f t="shared" si="28"/>
        <v>1.2288572954642337E-4</v>
      </c>
      <c r="AT128" s="22">
        <f t="shared" si="28"/>
        <v>1.2292181660779718E-4</v>
      </c>
      <c r="AU128" s="22">
        <f t="shared" si="28"/>
        <v>1.2296529822294655E-4</v>
      </c>
      <c r="AV128" s="22">
        <f t="shared" si="28"/>
        <v>1.2301593656260403E-4</v>
      </c>
      <c r="AW128" s="22">
        <f t="shared" si="28"/>
        <v>1.2307350807543003E-4</v>
      </c>
      <c r="AY128" s="85"/>
    </row>
    <row r="129" spans="1:51" x14ac:dyDescent="0.25">
      <c r="A129" s="102" t="str">
        <f t="shared" si="0"/>
        <v>FS MM Volatilisation</v>
      </c>
      <c r="B129" s="102" t="s">
        <v>1005</v>
      </c>
      <c r="C129" s="102" t="s">
        <v>1333</v>
      </c>
      <c r="D129" t="s">
        <v>369</v>
      </c>
      <c r="E129" t="s">
        <v>64</v>
      </c>
      <c r="F129" t="s">
        <v>62</v>
      </c>
      <c r="G129" t="s">
        <v>1167</v>
      </c>
      <c r="H129" t="s">
        <v>1298</v>
      </c>
      <c r="I129" t="s">
        <v>139</v>
      </c>
      <c r="J129" t="s">
        <v>287</v>
      </c>
      <c r="K129" s="22">
        <f t="shared" si="26"/>
        <v>8.0418980238344318E-4</v>
      </c>
      <c r="L129" s="22">
        <f t="shared" si="28"/>
        <v>8.0462896355784847E-4</v>
      </c>
      <c r="M129" s="22">
        <f t="shared" si="28"/>
        <v>8.0561232978738613E-4</v>
      </c>
      <c r="N129" s="22">
        <f t="shared" si="28"/>
        <v>8.0709250240842989E-4</v>
      </c>
      <c r="O129" s="22">
        <f t="shared" si="28"/>
        <v>8.090892849636611E-4</v>
      </c>
      <c r="P129" s="22">
        <f t="shared" si="28"/>
        <v>8.1160479623286605E-4</v>
      </c>
      <c r="Q129" s="22">
        <f t="shared" si="28"/>
        <v>8.1440697381205979E-4</v>
      </c>
      <c r="R129" s="22">
        <f t="shared" si="28"/>
        <v>8.1744389657863702E-4</v>
      </c>
      <c r="S129" s="22">
        <f t="shared" si="28"/>
        <v>8.2029772930899112E-4</v>
      </c>
      <c r="T129" s="22">
        <f t="shared" si="28"/>
        <v>8.214898305030433E-4</v>
      </c>
      <c r="U129" s="22">
        <f t="shared" si="28"/>
        <v>8.2287311823529526E-4</v>
      </c>
      <c r="V129" s="22">
        <f t="shared" si="28"/>
        <v>8.2444730887169186E-4</v>
      </c>
      <c r="W129" s="22">
        <f t="shared" si="28"/>
        <v>8.2622055847894659E-4</v>
      </c>
      <c r="X129" s="22">
        <f t="shared" si="28"/>
        <v>8.2816443922932592E-4</v>
      </c>
      <c r="Y129" s="22">
        <f t="shared" si="28"/>
        <v>8.2936104607842529E-4</v>
      </c>
      <c r="Z129" s="22">
        <f t="shared" si="28"/>
        <v>8.3069768063558287E-4</v>
      </c>
      <c r="AA129" s="22">
        <f t="shared" si="28"/>
        <v>8.3217919347460879E-4</v>
      </c>
      <c r="AB129" s="22">
        <f t="shared" si="28"/>
        <v>8.337828220293293E-4</v>
      </c>
      <c r="AC129" s="22">
        <f t="shared" si="28"/>
        <v>8.3551430022086096E-4</v>
      </c>
      <c r="AD129" s="22">
        <f t="shared" si="28"/>
        <v>8.3665416457788034E-4</v>
      </c>
      <c r="AE129" s="22">
        <f t="shared" si="28"/>
        <v>8.3791392508567411E-4</v>
      </c>
      <c r="AF129" s="22">
        <f t="shared" si="28"/>
        <v>8.3928225208899118E-4</v>
      </c>
      <c r="AG129" s="22">
        <f t="shared" si="28"/>
        <v>8.4060423049139648E-4</v>
      </c>
      <c r="AH129" s="22">
        <f t="shared" si="28"/>
        <v>8.349523769873693E-4</v>
      </c>
      <c r="AI129" s="22">
        <f t="shared" si="28"/>
        <v>8.3575502954960786E-4</v>
      </c>
      <c r="AJ129" s="22">
        <f t="shared" si="28"/>
        <v>8.3664076062788407E-4</v>
      </c>
      <c r="AK129" s="22">
        <f t="shared" si="28"/>
        <v>8.3760643158556521E-4</v>
      </c>
      <c r="AL129" s="22">
        <f t="shared" si="28"/>
        <v>8.3864914638309197E-4</v>
      </c>
      <c r="AM129" s="22">
        <f t="shared" si="28"/>
        <v>8.3976622855735407E-4</v>
      </c>
      <c r="AN129" s="22">
        <f t="shared" si="28"/>
        <v>8.4030834954962157E-4</v>
      </c>
      <c r="AO129" s="22">
        <f t="shared" si="28"/>
        <v>8.40915992936257E-4</v>
      </c>
      <c r="AP129" s="22">
        <f t="shared" si="28"/>
        <v>8.4158687838344786E-4</v>
      </c>
      <c r="AQ129" s="22">
        <f t="shared" si="28"/>
        <v>8.4231888163183893E-4</v>
      </c>
      <c r="AR129" s="22">
        <f t="shared" si="28"/>
        <v>8.4311002123724286E-4</v>
      </c>
      <c r="AS129" s="22">
        <f t="shared" si="28"/>
        <v>8.4330518575430119E-4</v>
      </c>
      <c r="AT129" s="22">
        <f t="shared" si="28"/>
        <v>8.4355283376117286E-4</v>
      </c>
      <c r="AU129" s="22">
        <f t="shared" si="28"/>
        <v>8.4385122700565967E-4</v>
      </c>
      <c r="AV129" s="22">
        <f t="shared" si="28"/>
        <v>8.4419873338079966E-4</v>
      </c>
      <c r="AW129" s="22">
        <f t="shared" si="28"/>
        <v>8.4459381876212985E-4</v>
      </c>
      <c r="AY129" s="85"/>
    </row>
    <row r="130" spans="1:51" x14ac:dyDescent="0.25">
      <c r="A130" s="102" t="str">
        <f t="shared" si="0"/>
        <v>FS MM Volatilisation</v>
      </c>
      <c r="B130" s="102" t="s">
        <v>1005</v>
      </c>
      <c r="C130" s="102" t="s">
        <v>1333</v>
      </c>
      <c r="D130" t="s">
        <v>369</v>
      </c>
      <c r="E130" t="s">
        <v>64</v>
      </c>
      <c r="F130" t="s">
        <v>62</v>
      </c>
      <c r="G130" t="s">
        <v>1169</v>
      </c>
      <c r="H130" t="s">
        <v>1299</v>
      </c>
      <c r="I130" t="s">
        <v>139</v>
      </c>
      <c r="J130" t="s">
        <v>287</v>
      </c>
      <c r="K130" s="22">
        <f t="shared" si="26"/>
        <v>1.448564899297015E-5</v>
      </c>
      <c r="L130" s="22">
        <f t="shared" si="28"/>
        <v>1.4523430996818443E-5</v>
      </c>
      <c r="M130" s="22">
        <f t="shared" si="28"/>
        <v>1.4573778863725232E-5</v>
      </c>
      <c r="N130" s="22">
        <f t="shared" si="28"/>
        <v>1.4635573261684436E-5</v>
      </c>
      <c r="O130" s="22">
        <f t="shared" si="28"/>
        <v>1.4709556756482727E-5</v>
      </c>
      <c r="P130" s="22">
        <f t="shared" si="28"/>
        <v>1.4795926227225603E-5</v>
      </c>
      <c r="Q130" s="22">
        <f t="shared" si="28"/>
        <v>1.4888271114151717E-5</v>
      </c>
      <c r="R130" s="22">
        <f t="shared" si="28"/>
        <v>1.4985270961083386E-5</v>
      </c>
      <c r="S130" s="22">
        <f t="shared" si="28"/>
        <v>1.5075379558400601E-5</v>
      </c>
      <c r="T130" s="22">
        <f t="shared" si="28"/>
        <v>1.5117607192403529E-5</v>
      </c>
      <c r="U130" s="22">
        <f t="shared" si="28"/>
        <v>1.5163912133825485E-5</v>
      </c>
      <c r="V130" s="22">
        <f t="shared" si="28"/>
        <v>1.5214353144806387E-5</v>
      </c>
      <c r="W130" s="22">
        <f t="shared" si="28"/>
        <v>1.5269211713136201E-5</v>
      </c>
      <c r="X130" s="22">
        <f t="shared" si="28"/>
        <v>1.532774923131804E-5</v>
      </c>
      <c r="Y130" s="22">
        <f t="shared" si="28"/>
        <v>1.5364750505414648E-5</v>
      </c>
      <c r="Z130" s="22">
        <f t="shared" si="28"/>
        <v>1.5404784002427286E-5</v>
      </c>
      <c r="AA130" s="22">
        <f t="shared" si="28"/>
        <v>1.5448015343528086E-5</v>
      </c>
      <c r="AB130" s="22">
        <f t="shared" si="28"/>
        <v>1.5493849362144256E-5</v>
      </c>
      <c r="AC130" s="22">
        <f t="shared" si="28"/>
        <v>1.5542469399401565E-5</v>
      </c>
      <c r="AD130" s="22">
        <f t="shared" si="28"/>
        <v>1.5574312295454071E-5</v>
      </c>
      <c r="AE130" s="22">
        <f t="shared" si="28"/>
        <v>1.5608846144431889E-5</v>
      </c>
      <c r="AF130" s="22">
        <f t="shared" si="28"/>
        <v>1.5645779000697075E-5</v>
      </c>
      <c r="AG130" s="22">
        <f t="shared" si="28"/>
        <v>1.5680933682266714E-5</v>
      </c>
      <c r="AH130" s="22">
        <f t="shared" si="28"/>
        <v>1.5527256766488218E-5</v>
      </c>
      <c r="AI130" s="22">
        <f t="shared" si="28"/>
        <v>1.554781877984383E-5</v>
      </c>
      <c r="AJ130" s="22">
        <f t="shared" si="28"/>
        <v>1.55702244870708E-5</v>
      </c>
      <c r="AK130" s="22">
        <f t="shared" si="28"/>
        <v>1.5594399014227251E-5</v>
      </c>
      <c r="AL130" s="22">
        <f t="shared" si="28"/>
        <v>1.5620273295013295E-5</v>
      </c>
      <c r="AM130" s="22">
        <f t="shared" si="28"/>
        <v>1.5647783514700204E-5</v>
      </c>
      <c r="AN130" s="22">
        <f t="shared" si="28"/>
        <v>1.5659592232765599E-5</v>
      </c>
      <c r="AO130" s="22">
        <f t="shared" si="28"/>
        <v>1.567287471387214E-5</v>
      </c>
      <c r="AP130" s="22">
        <f t="shared" si="28"/>
        <v>1.5687575397224304E-5</v>
      </c>
      <c r="AQ130" s="22">
        <f t="shared" si="28"/>
        <v>1.5703642533627797E-5</v>
      </c>
      <c r="AR130" s="22">
        <f t="shared" si="28"/>
        <v>1.5721027858938722E-5</v>
      </c>
      <c r="AS130" s="22">
        <f t="shared" si="28"/>
        <v>1.5722384261001388E-5</v>
      </c>
      <c r="AT130" s="22">
        <f t="shared" si="28"/>
        <v>1.5724946955034498E-5</v>
      </c>
      <c r="AU130" s="22">
        <f t="shared" si="28"/>
        <v>1.572867261939389E-5</v>
      </c>
      <c r="AV130" s="22">
        <f t="shared" si="28"/>
        <v>1.5733520584102464E-5</v>
      </c>
      <c r="AW130" s="22">
        <f t="shared" si="28"/>
        <v>1.5739452625419502E-5</v>
      </c>
      <c r="AY130" s="85"/>
    </row>
    <row r="131" spans="1:51" x14ac:dyDescent="0.25">
      <c r="A131" s="102" t="str">
        <f t="shared" si="0"/>
        <v>FS MM Volatilisation</v>
      </c>
      <c r="B131" s="102" t="s">
        <v>1005</v>
      </c>
      <c r="C131" s="102" t="s">
        <v>1333</v>
      </c>
      <c r="D131" t="s">
        <v>369</v>
      </c>
      <c r="E131" t="s">
        <v>64</v>
      </c>
      <c r="F131" t="s">
        <v>62</v>
      </c>
      <c r="G131" t="s">
        <v>1171</v>
      </c>
      <c r="H131" t="s">
        <v>1300</v>
      </c>
      <c r="I131" t="s">
        <v>139</v>
      </c>
      <c r="J131" t="s">
        <v>287</v>
      </c>
      <c r="K131" s="22">
        <f t="shared" si="26"/>
        <v>1.4737874698328016E-3</v>
      </c>
      <c r="L131" s="22">
        <f t="shared" si="28"/>
        <v>1.4776314566561611E-3</v>
      </c>
      <c r="M131" s="22">
        <f t="shared" si="28"/>
        <v>1.4827539096036295E-3</v>
      </c>
      <c r="N131" s="22">
        <f t="shared" si="28"/>
        <v>1.4890409464814621E-3</v>
      </c>
      <c r="O131" s="22">
        <f t="shared" si="28"/>
        <v>1.4965681168319985E-3</v>
      </c>
      <c r="P131" s="22">
        <f t="shared" si="28"/>
        <v>1.5053554513738414E-3</v>
      </c>
      <c r="Q131" s="22">
        <f t="shared" si="28"/>
        <v>1.5147507319940522E-3</v>
      </c>
      <c r="R131" s="22">
        <f t="shared" si="28"/>
        <v>1.5246196138821182E-3</v>
      </c>
      <c r="S131" s="22">
        <f t="shared" si="28"/>
        <v>1.5337873716895019E-3</v>
      </c>
      <c r="T131" s="22">
        <f t="shared" si="28"/>
        <v>1.5380836623081961E-3</v>
      </c>
      <c r="U131" s="22">
        <f t="shared" si="28"/>
        <v>1.5427947831210876E-3</v>
      </c>
      <c r="V131" s="22">
        <f t="shared" si="28"/>
        <v>1.5479267126594486E-3</v>
      </c>
      <c r="W131" s="22">
        <f t="shared" si="28"/>
        <v>1.5535080898318955E-3</v>
      </c>
      <c r="X131" s="22">
        <f t="shared" si="28"/>
        <v>1.5594637678172844E-3</v>
      </c>
      <c r="Y131" s="22">
        <f t="shared" si="28"/>
        <v>1.5632283222502894E-3</v>
      </c>
      <c r="Z131" s="22">
        <f t="shared" si="28"/>
        <v>1.5673013787146175E-3</v>
      </c>
      <c r="AA131" s="22">
        <f t="shared" si="28"/>
        <v>1.5716997877088814E-3</v>
      </c>
      <c r="AB131" s="22">
        <f t="shared" si="28"/>
        <v>1.5763629962652517E-3</v>
      </c>
      <c r="AC131" s="22">
        <f t="shared" si="28"/>
        <v>1.5813096577318795E-3</v>
      </c>
      <c r="AD131" s="22">
        <f t="shared" si="28"/>
        <v>1.5845493925361778E-3</v>
      </c>
      <c r="AE131" s="22">
        <f t="shared" si="28"/>
        <v>1.5880629081496864E-3</v>
      </c>
      <c r="AF131" s="22">
        <f t="shared" si="28"/>
        <v>1.591820501669672E-3</v>
      </c>
      <c r="AG131" s="22">
        <f t="shared" si="28"/>
        <v>1.5953971815428655E-3</v>
      </c>
      <c r="AH131" s="22">
        <f t="shared" si="28"/>
        <v>1.5797619060376521E-3</v>
      </c>
      <c r="AI131" s="22">
        <f t="shared" si="28"/>
        <v>1.5818539101758679E-3</v>
      </c>
      <c r="AJ131" s="22">
        <f t="shared" si="28"/>
        <v>1.5841334939611631E-3</v>
      </c>
      <c r="AK131" s="22">
        <f t="shared" si="28"/>
        <v>1.5865930396280227E-3</v>
      </c>
      <c r="AL131" s="22">
        <f t="shared" si="28"/>
        <v>1.5892255202874612E-3</v>
      </c>
      <c r="AM131" s="22">
        <f t="shared" si="28"/>
        <v>1.5920244433517013E-3</v>
      </c>
      <c r="AN131" s="22">
        <f t="shared" si="28"/>
        <v>1.5932258766273534E-3</v>
      </c>
      <c r="AO131" s="22">
        <f t="shared" si="28"/>
        <v>1.5945772523394538E-3</v>
      </c>
      <c r="AP131" s="22">
        <f t="shared" si="28"/>
        <v>1.5960729176653851E-3</v>
      </c>
      <c r="AQ131" s="22">
        <f t="shared" si="28"/>
        <v>1.5977076075794545E-3</v>
      </c>
      <c r="AR131" s="22">
        <f t="shared" si="28"/>
        <v>1.599476411629218E-3</v>
      </c>
      <c r="AS131" s="22">
        <f t="shared" si="28"/>
        <v>1.5996144136175981E-3</v>
      </c>
      <c r="AT131" s="22">
        <f t="shared" si="28"/>
        <v>1.599875145211802E-3</v>
      </c>
      <c r="AU131" s="22">
        <f t="shared" si="28"/>
        <v>1.6002541988152919E-3</v>
      </c>
      <c r="AV131" s="22">
        <f t="shared" si="28"/>
        <v>1.6007474366153491E-3</v>
      </c>
      <c r="AW131" s="22">
        <f t="shared" si="28"/>
        <v>1.601350969682305E-3</v>
      </c>
      <c r="AY131" s="85"/>
    </row>
    <row r="132" spans="1:51" x14ac:dyDescent="0.25">
      <c r="A132" s="102" t="str">
        <f t="shared" si="0"/>
        <v>FS MM Volatilisation</v>
      </c>
      <c r="B132" s="102" t="s">
        <v>1005</v>
      </c>
      <c r="C132" s="102" t="s">
        <v>1333</v>
      </c>
      <c r="D132" t="s">
        <v>369</v>
      </c>
      <c r="E132" t="s">
        <v>64</v>
      </c>
      <c r="F132" t="s">
        <v>62</v>
      </c>
      <c r="G132" t="s">
        <v>1173</v>
      </c>
      <c r="H132" t="s">
        <v>1301</v>
      </c>
      <c r="I132" t="s">
        <v>139</v>
      </c>
      <c r="J132" t="s">
        <v>287</v>
      </c>
      <c r="K132" s="22">
        <f t="shared" si="26"/>
        <v>0</v>
      </c>
      <c r="L132" s="22">
        <f t="shared" si="28"/>
        <v>0</v>
      </c>
      <c r="M132" s="22">
        <f t="shared" si="28"/>
        <v>0</v>
      </c>
      <c r="N132" s="22">
        <f t="shared" si="28"/>
        <v>0</v>
      </c>
      <c r="O132" s="22">
        <f t="shared" si="28"/>
        <v>0</v>
      </c>
      <c r="P132" s="22">
        <f t="shared" si="28"/>
        <v>0</v>
      </c>
      <c r="Q132" s="22">
        <f t="shared" si="28"/>
        <v>0</v>
      </c>
      <c r="R132" s="22">
        <f t="shared" si="28"/>
        <v>0</v>
      </c>
      <c r="S132" s="22">
        <f t="shared" si="28"/>
        <v>0</v>
      </c>
      <c r="T132" s="22">
        <f t="shared" si="28"/>
        <v>0</v>
      </c>
      <c r="U132" s="22">
        <f t="shared" si="28"/>
        <v>0</v>
      </c>
      <c r="V132" s="22">
        <f t="shared" si="28"/>
        <v>0</v>
      </c>
      <c r="W132" s="22">
        <f t="shared" si="28"/>
        <v>0</v>
      </c>
      <c r="X132" s="22">
        <f t="shared" si="28"/>
        <v>0</v>
      </c>
      <c r="Y132" s="22">
        <f t="shared" si="28"/>
        <v>0</v>
      </c>
      <c r="Z132" s="22">
        <f t="shared" si="28"/>
        <v>0</v>
      </c>
      <c r="AA132" s="22">
        <f t="shared" si="28"/>
        <v>0</v>
      </c>
      <c r="AB132" s="22">
        <f t="shared" si="28"/>
        <v>0</v>
      </c>
      <c r="AC132" s="22">
        <f t="shared" si="28"/>
        <v>0</v>
      </c>
      <c r="AD132" s="22">
        <f t="shared" si="28"/>
        <v>0</v>
      </c>
      <c r="AE132" s="22">
        <f t="shared" si="28"/>
        <v>0</v>
      </c>
      <c r="AF132" s="22">
        <f t="shared" si="28"/>
        <v>0</v>
      </c>
      <c r="AG132" s="22">
        <f t="shared" si="28"/>
        <v>0</v>
      </c>
      <c r="AH132" s="22">
        <f t="shared" si="28"/>
        <v>0</v>
      </c>
      <c r="AI132" s="22">
        <f t="shared" si="28"/>
        <v>0</v>
      </c>
      <c r="AJ132" s="22">
        <f t="shared" si="28"/>
        <v>0</v>
      </c>
      <c r="AK132" s="22">
        <f t="shared" si="28"/>
        <v>0</v>
      </c>
      <c r="AL132" s="22">
        <f t="shared" si="28"/>
        <v>0</v>
      </c>
      <c r="AM132" s="22">
        <f t="shared" si="28"/>
        <v>0</v>
      </c>
      <c r="AN132" s="22">
        <f t="shared" si="28"/>
        <v>0</v>
      </c>
      <c r="AO132" s="22">
        <f t="shared" si="28"/>
        <v>0</v>
      </c>
      <c r="AP132" s="22">
        <f t="shared" si="28"/>
        <v>0</v>
      </c>
      <c r="AQ132" s="22">
        <f t="shared" si="28"/>
        <v>0</v>
      </c>
      <c r="AR132" s="22">
        <f t="shared" si="28"/>
        <v>0</v>
      </c>
      <c r="AS132" s="22">
        <f t="shared" si="28"/>
        <v>0</v>
      </c>
      <c r="AT132" s="22">
        <f t="shared" si="28"/>
        <v>0</v>
      </c>
      <c r="AU132" s="22">
        <f t="shared" si="28"/>
        <v>0</v>
      </c>
      <c r="AV132" s="22">
        <f t="shared" si="28"/>
        <v>0</v>
      </c>
      <c r="AW132" s="22">
        <f t="shared" si="28"/>
        <v>0</v>
      </c>
      <c r="AY132" s="85"/>
    </row>
    <row r="133" spans="1:51" x14ac:dyDescent="0.25">
      <c r="A133" s="102" t="str">
        <f t="shared" si="0"/>
        <v>FS MM Volatilisation</v>
      </c>
      <c r="B133" s="102" t="s">
        <v>1005</v>
      </c>
      <c r="C133" s="102" t="s">
        <v>1333</v>
      </c>
      <c r="D133" t="s">
        <v>369</v>
      </c>
      <c r="E133" t="s">
        <v>64</v>
      </c>
      <c r="F133" t="s">
        <v>62</v>
      </c>
      <c r="G133" t="s">
        <v>1175</v>
      </c>
      <c r="H133" t="s">
        <v>1302</v>
      </c>
      <c r="I133" t="s">
        <v>139</v>
      </c>
      <c r="J133" t="s">
        <v>287</v>
      </c>
      <c r="K133" s="22">
        <f t="shared" si="26"/>
        <v>0</v>
      </c>
      <c r="L133" s="22">
        <f t="shared" si="28"/>
        <v>0</v>
      </c>
      <c r="M133" s="22">
        <f t="shared" si="28"/>
        <v>0</v>
      </c>
      <c r="N133" s="22">
        <f t="shared" si="28"/>
        <v>0</v>
      </c>
      <c r="O133" s="22">
        <f t="shared" si="28"/>
        <v>0</v>
      </c>
      <c r="P133" s="22">
        <f t="shared" si="28"/>
        <v>0</v>
      </c>
      <c r="Q133" s="22">
        <f t="shared" si="28"/>
        <v>0</v>
      </c>
      <c r="R133" s="22">
        <f t="shared" si="28"/>
        <v>0</v>
      </c>
      <c r="S133" s="22">
        <f t="shared" si="28"/>
        <v>0</v>
      </c>
      <c r="T133" s="22">
        <f t="shared" si="28"/>
        <v>0</v>
      </c>
      <c r="U133" s="22">
        <f t="shared" si="28"/>
        <v>0</v>
      </c>
      <c r="V133" s="22">
        <f t="shared" si="28"/>
        <v>0</v>
      </c>
      <c r="W133" s="22">
        <f t="shared" si="28"/>
        <v>0</v>
      </c>
      <c r="X133" s="22">
        <f t="shared" si="28"/>
        <v>0</v>
      </c>
      <c r="Y133" s="22">
        <f t="shared" si="28"/>
        <v>0</v>
      </c>
      <c r="Z133" s="22">
        <f t="shared" si="28"/>
        <v>0</v>
      </c>
      <c r="AA133" s="22">
        <f t="shared" si="28"/>
        <v>0</v>
      </c>
      <c r="AB133" s="22">
        <f t="shared" si="28"/>
        <v>0</v>
      </c>
      <c r="AC133" s="22">
        <f t="shared" si="28"/>
        <v>0</v>
      </c>
      <c r="AD133" s="22">
        <f t="shared" si="28"/>
        <v>0</v>
      </c>
      <c r="AE133" s="22">
        <f t="shared" si="28"/>
        <v>0</v>
      </c>
      <c r="AF133" s="22">
        <f t="shared" si="28"/>
        <v>0</v>
      </c>
      <c r="AG133" s="22">
        <f t="shared" si="28"/>
        <v>0</v>
      </c>
      <c r="AH133" s="22">
        <f t="shared" si="28"/>
        <v>0</v>
      </c>
      <c r="AI133" s="22">
        <f t="shared" si="28"/>
        <v>0</v>
      </c>
      <c r="AJ133" s="22">
        <f t="shared" si="28"/>
        <v>0</v>
      </c>
      <c r="AK133" s="22">
        <f t="shared" si="28"/>
        <v>0</v>
      </c>
      <c r="AL133" s="22">
        <f t="shared" si="28"/>
        <v>0</v>
      </c>
      <c r="AM133" s="22">
        <f t="shared" si="28"/>
        <v>0</v>
      </c>
      <c r="AN133" s="22">
        <f t="shared" si="28"/>
        <v>0</v>
      </c>
      <c r="AO133" s="22">
        <f t="shared" si="28"/>
        <v>0</v>
      </c>
      <c r="AP133" s="22">
        <f t="shared" si="28"/>
        <v>0</v>
      </c>
      <c r="AQ133" s="22">
        <f t="shared" si="28"/>
        <v>0</v>
      </c>
      <c r="AR133" s="22">
        <f t="shared" si="28"/>
        <v>0</v>
      </c>
      <c r="AS133" s="22">
        <f t="shared" si="28"/>
        <v>0</v>
      </c>
      <c r="AT133" s="22">
        <f t="shared" si="28"/>
        <v>0</v>
      </c>
      <c r="AU133" s="22">
        <f t="shared" si="28"/>
        <v>0</v>
      </c>
      <c r="AV133" s="22">
        <f t="shared" si="28"/>
        <v>0</v>
      </c>
      <c r="AW133" s="22">
        <f t="shared" si="28"/>
        <v>0</v>
      </c>
      <c r="AY133" s="85"/>
    </row>
    <row r="134" spans="1:51" x14ac:dyDescent="0.25">
      <c r="A134" s="102" t="str">
        <f t="shared" si="0"/>
        <v>FS MM Volatilisation</v>
      </c>
      <c r="B134" s="102" t="s">
        <v>1005</v>
      </c>
      <c r="C134" s="102" t="s">
        <v>1333</v>
      </c>
      <c r="D134" t="s">
        <v>369</v>
      </c>
      <c r="E134" t="s">
        <v>64</v>
      </c>
      <c r="F134" t="s">
        <v>62</v>
      </c>
      <c r="G134" t="s">
        <v>1177</v>
      </c>
      <c r="H134" t="s">
        <v>1303</v>
      </c>
      <c r="I134" t="s">
        <v>139</v>
      </c>
      <c r="J134" t="s">
        <v>287</v>
      </c>
      <c r="K134" s="22">
        <f t="shared" si="26"/>
        <v>0.13175582522236642</v>
      </c>
      <c r="L134" s="22">
        <f t="shared" si="28"/>
        <v>0.13133995591331252</v>
      </c>
      <c r="M134" s="22">
        <f t="shared" si="28"/>
        <v>0.12996467924172889</v>
      </c>
      <c r="N134" s="22">
        <f t="shared" si="28"/>
        <v>0.12729440169626086</v>
      </c>
      <c r="O134" s="22">
        <f t="shared" si="28"/>
        <v>0.124740958232787</v>
      </c>
      <c r="P134" s="22">
        <f t="shared" si="28"/>
        <v>0.12294968484167307</v>
      </c>
      <c r="Q134" s="22">
        <f t="shared" si="28"/>
        <v>0.12143262568999565</v>
      </c>
      <c r="R134" s="22">
        <f t="shared" si="28"/>
        <v>0.11863912133480742</v>
      </c>
      <c r="S134" s="22">
        <f t="shared" si="28"/>
        <v>0.10385956683599189</v>
      </c>
      <c r="T134" s="22">
        <f t="shared" si="28"/>
        <v>0.10451955212302086</v>
      </c>
      <c r="U134" s="22">
        <f t="shared" si="28"/>
        <v>0.10485083769828313</v>
      </c>
      <c r="V134" s="22">
        <f t="shared" si="28"/>
        <v>0.10517291212466306</v>
      </c>
      <c r="W134" s="22">
        <f t="shared" si="28"/>
        <v>0.10595961192608362</v>
      </c>
      <c r="X134" s="22">
        <f t="shared" si="28"/>
        <v>0.10671986419880256</v>
      </c>
      <c r="Y134" s="22">
        <f t="shared" si="28"/>
        <v>0.10759206833097582</v>
      </c>
      <c r="Z134" s="22">
        <f t="shared" si="28"/>
        <v>0.10832415148302713</v>
      </c>
      <c r="AA134" s="22">
        <f t="shared" si="28"/>
        <v>0.10920394511601654</v>
      </c>
      <c r="AB134" s="22">
        <f t="shared" si="28"/>
        <v>0.10984438432762617</v>
      </c>
      <c r="AC134" s="22">
        <f t="shared" si="28"/>
        <v>0.11051807029951835</v>
      </c>
      <c r="AD134" s="22">
        <f t="shared" si="28"/>
        <v>0.11176064621994924</v>
      </c>
      <c r="AE134" s="22">
        <f t="shared" si="28"/>
        <v>0.11321217775824029</v>
      </c>
      <c r="AF134" s="22">
        <f t="shared" si="28"/>
        <v>0.11471425126432638</v>
      </c>
      <c r="AG134" s="22">
        <f t="shared" si="28"/>
        <v>0.11302605462152289</v>
      </c>
      <c r="AH134" s="22">
        <f t="shared" si="28"/>
        <v>-3.8135833829008307E-2</v>
      </c>
      <c r="AI134" s="22">
        <f t="shared" si="28"/>
        <v>-3.7718689403419284E-2</v>
      </c>
      <c r="AJ134" s="22">
        <f t="shared" si="28"/>
        <v>-3.7310479618025916E-2</v>
      </c>
      <c r="AK134" s="22">
        <f t="shared" si="28"/>
        <v>-3.6910619979896454E-2</v>
      </c>
      <c r="AL134" s="22">
        <f t="shared" si="28"/>
        <v>-3.6518568792738119E-2</v>
      </c>
      <c r="AM134" s="22">
        <f t="shared" si="28"/>
        <v>-3.6133823018213627E-2</v>
      </c>
      <c r="AN134" s="22">
        <f t="shared" si="28"/>
        <v>-3.5711833561214323E-2</v>
      </c>
      <c r="AO134" s="22">
        <f t="shared" si="28"/>
        <v>-3.5297284374171914E-2</v>
      </c>
      <c r="AP134" s="22">
        <f t="shared" si="28"/>
        <v>-3.4889740911291982E-2</v>
      </c>
      <c r="AQ134" s="22">
        <f t="shared" si="28"/>
        <v>-3.4488797010350791E-2</v>
      </c>
      <c r="AR134" s="22">
        <f t="shared" si="28"/>
        <v>-3.4094072440282994E-2</v>
      </c>
      <c r="AS134" s="22">
        <f t="shared" si="28"/>
        <v>-3.3663911026345139E-2</v>
      </c>
      <c r="AT134" s="22">
        <f t="shared" si="28"/>
        <v>-3.3240319741355787E-2</v>
      </c>
      <c r="AU134" s="22">
        <f t="shared" si="28"/>
        <v>-3.2822960396725463E-2</v>
      </c>
      <c r="AV134" s="22">
        <f t="shared" si="28"/>
        <v>-3.2411514785230008E-2</v>
      </c>
      <c r="AW134" s="22">
        <f t="shared" si="28"/>
        <v>-3.2005683123121166E-2</v>
      </c>
      <c r="AY134" s="85"/>
    </row>
    <row r="135" spans="1:51" x14ac:dyDescent="0.25">
      <c r="A135" s="102" t="str">
        <f t="shared" si="0"/>
        <v>FS MM Volatilisation</v>
      </c>
      <c r="B135" s="102" t="s">
        <v>1005</v>
      </c>
      <c r="C135" s="102" t="s">
        <v>1333</v>
      </c>
      <c r="D135" t="s">
        <v>369</v>
      </c>
      <c r="E135" t="s">
        <v>64</v>
      </c>
      <c r="F135" t="s">
        <v>62</v>
      </c>
      <c r="G135" t="s">
        <v>1179</v>
      </c>
      <c r="H135" t="s">
        <v>1304</v>
      </c>
      <c r="I135" t="s">
        <v>139</v>
      </c>
      <c r="J135" t="s">
        <v>287</v>
      </c>
      <c r="K135" s="22">
        <f t="shared" si="26"/>
        <v>1.2821907264588839E-2</v>
      </c>
      <c r="L135" s="22">
        <f t="shared" si="28"/>
        <v>1.2781436661441853E-2</v>
      </c>
      <c r="M135" s="22">
        <f t="shared" si="28"/>
        <v>1.2647600681769325E-2</v>
      </c>
      <c r="N135" s="22">
        <f t="shared" si="28"/>
        <v>1.2387740815984108E-2</v>
      </c>
      <c r="O135" s="22">
        <f t="shared" si="28"/>
        <v>1.2139250737926637E-2</v>
      </c>
      <c r="P135" s="22">
        <f t="shared" si="28"/>
        <v>1.196493175607042E-2</v>
      </c>
      <c r="Q135" s="22">
        <f t="shared" si="28"/>
        <v>1.1817298118431442E-2</v>
      </c>
      <c r="R135" s="22">
        <f t="shared" si="28"/>
        <v>1.1545446352295121E-2</v>
      </c>
      <c r="S135" s="22">
        <f t="shared" si="28"/>
        <v>1.0107164007845277E-2</v>
      </c>
      <c r="T135" s="22">
        <f t="shared" si="28"/>
        <v>1.0171390922533838E-2</v>
      </c>
      <c r="U135" s="22">
        <f t="shared" si="28"/>
        <v>1.020363020240583E-2</v>
      </c>
      <c r="V135" s="22">
        <f t="shared" si="28"/>
        <v>1.0234973093092974E-2</v>
      </c>
      <c r="W135" s="22">
        <f t="shared" si="28"/>
        <v>1.0311531316472175E-2</v>
      </c>
      <c r="X135" s="22">
        <f t="shared" ref="L135:AW142" si="29">X1544</f>
        <v>1.0385515780703972E-2</v>
      </c>
      <c r="Y135" s="22">
        <f t="shared" si="29"/>
        <v>1.0470394915874219E-2</v>
      </c>
      <c r="Z135" s="22">
        <f t="shared" si="29"/>
        <v>1.0541638083071781E-2</v>
      </c>
      <c r="AA135" s="22">
        <f t="shared" si="29"/>
        <v>1.0627255795648265E-2</v>
      </c>
      <c r="AB135" s="22">
        <f t="shared" si="29"/>
        <v>1.0689580570784438E-2</v>
      </c>
      <c r="AC135" s="22">
        <f t="shared" si="29"/>
        <v>1.0755140776889006E-2</v>
      </c>
      <c r="AD135" s="22">
        <f t="shared" si="29"/>
        <v>1.0876062893190786E-2</v>
      </c>
      <c r="AE135" s="22">
        <f t="shared" si="29"/>
        <v>1.1017319666803515E-2</v>
      </c>
      <c r="AF135" s="22">
        <f t="shared" si="29"/>
        <v>1.1163494966203955E-2</v>
      </c>
      <c r="AG135" s="22">
        <f t="shared" si="29"/>
        <v>1.0999206967841195E-2</v>
      </c>
      <c r="AH135" s="22">
        <f t="shared" si="29"/>
        <v>-3.7112144680363467E-3</v>
      </c>
      <c r="AI135" s="22">
        <f t="shared" si="29"/>
        <v>-3.6706197760611272E-3</v>
      </c>
      <c r="AJ135" s="22">
        <f t="shared" si="29"/>
        <v>-3.6308945646408518E-3</v>
      </c>
      <c r="AK135" s="22">
        <f t="shared" si="29"/>
        <v>-3.5919819534504542E-3</v>
      </c>
      <c r="AL135" s="22">
        <f t="shared" si="29"/>
        <v>-3.5538292269487438E-3</v>
      </c>
      <c r="AM135" s="22">
        <f t="shared" si="29"/>
        <v>-3.5163874316196208E-3</v>
      </c>
      <c r="AN135" s="22">
        <f t="shared" si="29"/>
        <v>-3.4753212421350377E-3</v>
      </c>
      <c r="AO135" s="22">
        <f t="shared" si="29"/>
        <v>-3.4349791075546665E-3</v>
      </c>
      <c r="AP135" s="22">
        <f t="shared" si="29"/>
        <v>-3.3953187397605549E-3</v>
      </c>
      <c r="AQ135" s="22">
        <f t="shared" si="29"/>
        <v>-3.3563006128011267E-3</v>
      </c>
      <c r="AR135" s="22">
        <f t="shared" si="29"/>
        <v>-3.3178877242330336E-3</v>
      </c>
      <c r="AS135" s="22">
        <f t="shared" si="29"/>
        <v>-3.2760262752306304E-3</v>
      </c>
      <c r="AT135" s="22">
        <f t="shared" si="29"/>
        <v>-3.2348042027715565E-3</v>
      </c>
      <c r="AU135" s="22">
        <f t="shared" si="29"/>
        <v>-3.1941885958044411E-3</v>
      </c>
      <c r="AV135" s="22">
        <f t="shared" si="29"/>
        <v>-3.1541484877779971E-3</v>
      </c>
      <c r="AW135" s="22">
        <f t="shared" si="29"/>
        <v>-3.1146547050339602E-3</v>
      </c>
      <c r="AY135" s="85"/>
    </row>
    <row r="136" spans="1:51" x14ac:dyDescent="0.25">
      <c r="A136" s="102" t="str">
        <f t="shared" si="0"/>
        <v>FS MM Volatilisation</v>
      </c>
      <c r="B136" s="102" t="s">
        <v>1005</v>
      </c>
      <c r="C136" s="102" t="s">
        <v>1333</v>
      </c>
      <c r="D136" t="s">
        <v>369</v>
      </c>
      <c r="E136" t="s">
        <v>64</v>
      </c>
      <c r="F136" t="s">
        <v>62</v>
      </c>
      <c r="G136" t="s">
        <v>1181</v>
      </c>
      <c r="H136" t="s">
        <v>1305</v>
      </c>
      <c r="I136" t="s">
        <v>139</v>
      </c>
      <c r="J136" t="s">
        <v>287</v>
      </c>
      <c r="K136" s="22">
        <f t="shared" si="26"/>
        <v>6.4805763262647462E-2</v>
      </c>
      <c r="L136" s="22">
        <f t="shared" si="29"/>
        <v>6.620917696085285E-2</v>
      </c>
      <c r="M136" s="22">
        <f t="shared" si="29"/>
        <v>6.7339988183967914E-2</v>
      </c>
      <c r="N136" s="22">
        <f t="shared" si="29"/>
        <v>6.8078843848603895E-2</v>
      </c>
      <c r="O136" s="22">
        <f t="shared" si="29"/>
        <v>6.8827728157938209E-2</v>
      </c>
      <c r="P136" s="22">
        <f t="shared" si="29"/>
        <v>6.9793181329029633E-2</v>
      </c>
      <c r="Q136" s="22">
        <f t="shared" si="29"/>
        <v>7.0825640221860539E-2</v>
      </c>
      <c r="R136" s="22">
        <f t="shared" si="29"/>
        <v>7.1426070236781977E-2</v>
      </c>
      <c r="S136" s="22">
        <f t="shared" si="29"/>
        <v>6.7971896986057309E-2</v>
      </c>
      <c r="T136" s="22">
        <f t="shared" si="29"/>
        <v>6.9431161818386017E-2</v>
      </c>
      <c r="U136" s="22">
        <f t="shared" si="29"/>
        <v>7.0793385596642902E-2</v>
      </c>
      <c r="V136" s="22">
        <f t="shared" si="29"/>
        <v>7.216636340015109E-2</v>
      </c>
      <c r="W136" s="22">
        <f t="shared" si="29"/>
        <v>7.3724598547713793E-2</v>
      </c>
      <c r="X136" s="22">
        <f t="shared" si="29"/>
        <v>7.5295777535110922E-2</v>
      </c>
      <c r="Y136" s="22">
        <f t="shared" si="29"/>
        <v>7.6868953264879816E-2</v>
      </c>
      <c r="Z136" s="22">
        <f t="shared" si="29"/>
        <v>7.8411785567373049E-2</v>
      </c>
      <c r="AA136" s="22">
        <f t="shared" si="29"/>
        <v>8.0036606766420104E-2</v>
      </c>
      <c r="AB136" s="22">
        <f t="shared" si="29"/>
        <v>8.1590030948431091E-2</v>
      </c>
      <c r="AC136" s="22">
        <f t="shared" si="29"/>
        <v>8.3180296189840519E-2</v>
      </c>
      <c r="AD136" s="22">
        <f t="shared" si="29"/>
        <v>8.498335225395226E-2</v>
      </c>
      <c r="AE136" s="22">
        <f t="shared" si="29"/>
        <v>8.691067585568038E-2</v>
      </c>
      <c r="AF136" s="22">
        <f t="shared" si="29"/>
        <v>8.8898633943391286E-2</v>
      </c>
      <c r="AG136" s="22">
        <f t="shared" si="29"/>
        <v>8.9490348349999485E-2</v>
      </c>
      <c r="AH136" s="22">
        <f t="shared" si="29"/>
        <v>2.1450020418190146E-2</v>
      </c>
      <c r="AI136" s="22">
        <f t="shared" si="29"/>
        <v>2.1614881965790762E-2</v>
      </c>
      <c r="AJ136" s="22">
        <f t="shared" si="29"/>
        <v>2.1780943831055617E-2</v>
      </c>
      <c r="AK136" s="22">
        <f t="shared" si="29"/>
        <v>2.1948215154072734E-2</v>
      </c>
      <c r="AL136" s="22">
        <f t="shared" si="29"/>
        <v>2.2116705116436826E-2</v>
      </c>
      <c r="AM136" s="22">
        <f t="shared" si="29"/>
        <v>2.2286422943949849E-2</v>
      </c>
      <c r="AN136" s="22">
        <f t="shared" si="29"/>
        <v>2.2431505853437582E-2</v>
      </c>
      <c r="AO136" s="22">
        <f t="shared" si="29"/>
        <v>2.2577484325720341E-2</v>
      </c>
      <c r="AP136" s="22">
        <f t="shared" si="29"/>
        <v>2.2724364182075539E-2</v>
      </c>
      <c r="AQ136" s="22">
        <f t="shared" si="29"/>
        <v>2.2872151263259987E-2</v>
      </c>
      <c r="AR136" s="22">
        <f t="shared" si="29"/>
        <v>2.3020851431037954E-2</v>
      </c>
      <c r="AS136" s="22">
        <f t="shared" si="29"/>
        <v>2.3143882531625137E-2</v>
      </c>
      <c r="AT136" s="22">
        <f t="shared" si="29"/>
        <v>2.3267536914699297E-2</v>
      </c>
      <c r="AU136" s="22">
        <f t="shared" si="29"/>
        <v>2.3391817960867468E-2</v>
      </c>
      <c r="AV136" s="22">
        <f t="shared" si="29"/>
        <v>2.3516729056424043E-2</v>
      </c>
      <c r="AW136" s="22">
        <f t="shared" si="29"/>
        <v>2.3642273594262703E-2</v>
      </c>
      <c r="AY136" s="85"/>
    </row>
    <row r="137" spans="1:51" x14ac:dyDescent="0.25">
      <c r="A137" s="102" t="str">
        <f t="shared" si="0"/>
        <v>FS MM Volatilisation</v>
      </c>
      <c r="B137" s="102" t="s">
        <v>1005</v>
      </c>
      <c r="C137" s="102" t="s">
        <v>1333</v>
      </c>
      <c r="D137" t="s">
        <v>369</v>
      </c>
      <c r="E137" t="s">
        <v>64</v>
      </c>
      <c r="F137" t="s">
        <v>62</v>
      </c>
      <c r="G137" t="s">
        <v>1183</v>
      </c>
      <c r="H137" t="s">
        <v>1306</v>
      </c>
      <c r="I137" t="s">
        <v>139</v>
      </c>
      <c r="J137" t="s">
        <v>287</v>
      </c>
      <c r="K137" s="22">
        <f t="shared" si="26"/>
        <v>0.31397927588300406</v>
      </c>
      <c r="L137" s="22">
        <f t="shared" si="29"/>
        <v>0.31907441675710629</v>
      </c>
      <c r="M137" s="22">
        <f t="shared" si="29"/>
        <v>0.3205872704742006</v>
      </c>
      <c r="N137" s="22">
        <f t="shared" si="29"/>
        <v>0.31719609082412314</v>
      </c>
      <c r="O137" s="22">
        <f t="shared" si="29"/>
        <v>0.3138121925530904</v>
      </c>
      <c r="P137" s="22">
        <f t="shared" si="29"/>
        <v>0.31283032074973627</v>
      </c>
      <c r="Q137" s="22">
        <f t="shared" si="29"/>
        <v>0.31262578069676783</v>
      </c>
      <c r="R137" s="22">
        <f t="shared" si="29"/>
        <v>0.30741109145699391</v>
      </c>
      <c r="S137" s="22">
        <f t="shared" si="29"/>
        <v>0.256148371105961</v>
      </c>
      <c r="T137" s="22">
        <f t="shared" si="29"/>
        <v>0.26370410916808512</v>
      </c>
      <c r="U137" s="22">
        <f t="shared" si="29"/>
        <v>0.27001969138915061</v>
      </c>
      <c r="V137" s="22">
        <f t="shared" si="29"/>
        <v>0.2763199496036185</v>
      </c>
      <c r="W137" s="22">
        <f t="shared" si="29"/>
        <v>0.28451678455475204</v>
      </c>
      <c r="X137" s="22">
        <f t="shared" si="29"/>
        <v>0.29268901518137719</v>
      </c>
      <c r="Y137" s="22">
        <f t="shared" si="29"/>
        <v>0.30166157988430881</v>
      </c>
      <c r="Z137" s="22">
        <f t="shared" si="29"/>
        <v>0.31015505304721058</v>
      </c>
      <c r="AA137" s="22">
        <f t="shared" si="29"/>
        <v>0.31937286090334316</v>
      </c>
      <c r="AB137" s="22">
        <f t="shared" si="29"/>
        <v>0.32768435170975169</v>
      </c>
      <c r="AC137" s="22">
        <f t="shared" si="29"/>
        <v>0.3362412673320212</v>
      </c>
      <c r="AD137" s="22">
        <f t="shared" si="29"/>
        <v>0.34761278711237292</v>
      </c>
      <c r="AE137" s="22">
        <f t="shared" si="29"/>
        <v>0.36009727200869485</v>
      </c>
      <c r="AF137" s="22">
        <f t="shared" si="29"/>
        <v>0.37302207723672137</v>
      </c>
      <c r="AG137" s="22">
        <f t="shared" si="29"/>
        <v>0.37158281441490282</v>
      </c>
      <c r="AH137" s="22">
        <f t="shared" si="29"/>
        <v>-0.32225581682934024</v>
      </c>
      <c r="AI137" s="22">
        <f t="shared" si="29"/>
        <v>-0.32271754342348513</v>
      </c>
      <c r="AJ137" s="22">
        <f t="shared" si="29"/>
        <v>-0.32321834210238065</v>
      </c>
      <c r="AK137" s="22">
        <f t="shared" si="29"/>
        <v>-0.32375658230947413</v>
      </c>
      <c r="AL137" s="22">
        <f t="shared" si="29"/>
        <v>-0.32433076013748197</v>
      </c>
      <c r="AM137" s="22">
        <f t="shared" si="29"/>
        <v>-0.32493948616259549</v>
      </c>
      <c r="AN137" s="22">
        <f t="shared" si="29"/>
        <v>-0.32519002694092081</v>
      </c>
      <c r="AO137" s="22">
        <f t="shared" si="29"/>
        <v>-0.32547196769911135</v>
      </c>
      <c r="AP137" s="22">
        <f t="shared" si="29"/>
        <v>-0.32578408919193652</v>
      </c>
      <c r="AQ137" s="22">
        <f t="shared" si="29"/>
        <v>-0.32612525589272406</v>
      </c>
      <c r="AR137" s="22">
        <f t="shared" si="29"/>
        <v>-0.32649440879969549</v>
      </c>
      <c r="AS137" s="22">
        <f t="shared" si="29"/>
        <v>-0.32649961480368156</v>
      </c>
      <c r="AT137" s="22">
        <f t="shared" si="29"/>
        <v>-0.32653073845215902</v>
      </c>
      <c r="AU137" s="22">
        <f t="shared" si="29"/>
        <v>-0.326586821501688</v>
      </c>
      <c r="AV137" s="22">
        <f t="shared" si="29"/>
        <v>-0.32666696441292659</v>
      </c>
      <c r="AW137" s="22">
        <f t="shared" si="29"/>
        <v>-0.32677032179119497</v>
      </c>
      <c r="AY137" s="85"/>
    </row>
    <row r="138" spans="1:51" x14ac:dyDescent="0.25">
      <c r="A138" s="102" t="str">
        <f t="shared" si="0"/>
        <v>FS MM Leaching</v>
      </c>
      <c r="B138" s="102" t="s">
        <v>1005</v>
      </c>
      <c r="C138" s="102" t="s">
        <v>1334</v>
      </c>
      <c r="D138" t="s">
        <v>369</v>
      </c>
      <c r="E138" t="s">
        <v>64</v>
      </c>
      <c r="F138" t="s">
        <v>63</v>
      </c>
      <c r="G138" t="s">
        <v>1153</v>
      </c>
      <c r="H138" t="s">
        <v>1307</v>
      </c>
      <c r="I138" t="s">
        <v>139</v>
      </c>
      <c r="J138" t="s">
        <v>287</v>
      </c>
      <c r="K138" s="22">
        <f t="shared" si="26"/>
        <v>8.937279530386584E-2</v>
      </c>
      <c r="L138" s="22">
        <f t="shared" si="29"/>
        <v>8.99287091662518E-2</v>
      </c>
      <c r="M138" s="22">
        <f t="shared" si="29"/>
        <v>9.0310907604627441E-2</v>
      </c>
      <c r="N138" s="22">
        <f t="shared" si="29"/>
        <v>9.0430770661024784E-2</v>
      </c>
      <c r="O138" s="22">
        <f t="shared" si="29"/>
        <v>9.0592927490571046E-2</v>
      </c>
      <c r="P138" s="22">
        <f t="shared" si="29"/>
        <v>9.0948112554123092E-2</v>
      </c>
      <c r="Q138" s="22">
        <f t="shared" si="29"/>
        <v>9.1373943417930939E-2</v>
      </c>
      <c r="R138" s="22">
        <f t="shared" si="29"/>
        <v>9.1501867451345892E-2</v>
      </c>
      <c r="S138" s="22">
        <f t="shared" si="29"/>
        <v>8.8692780673306368E-2</v>
      </c>
      <c r="T138" s="22">
        <f t="shared" si="29"/>
        <v>8.942331322993069E-2</v>
      </c>
      <c r="U138" s="22">
        <f t="shared" si="29"/>
        <v>9.0093190837869708E-2</v>
      </c>
      <c r="V138" s="22">
        <f t="shared" si="29"/>
        <v>9.0780038603481383E-2</v>
      </c>
      <c r="W138" s="22">
        <f t="shared" si="29"/>
        <v>9.1607440170769952E-2</v>
      </c>
      <c r="X138" s="22">
        <f t="shared" si="29"/>
        <v>9.2450367431163069E-2</v>
      </c>
      <c r="Y138" s="22">
        <f t="shared" si="29"/>
        <v>9.3271141222409717E-2</v>
      </c>
      <c r="Z138" s="22">
        <f t="shared" si="29"/>
        <v>9.4075494804423593E-2</v>
      </c>
      <c r="AA138" s="22">
        <f t="shared" si="29"/>
        <v>9.494187182919285E-2</v>
      </c>
      <c r="AB138" s="22">
        <f t="shared" si="29"/>
        <v>9.5762313841523894E-2</v>
      </c>
      <c r="AC138" s="22">
        <f t="shared" si="29"/>
        <v>9.6612184537040763E-2</v>
      </c>
      <c r="AD138" s="22">
        <f t="shared" si="29"/>
        <v>9.7588608414981418E-2</v>
      </c>
      <c r="AE138" s="22">
        <f t="shared" si="29"/>
        <v>9.8652036659073086E-2</v>
      </c>
      <c r="AF138" s="22">
        <f t="shared" si="29"/>
        <v>9.9757674838538646E-2</v>
      </c>
      <c r="AG138" s="22">
        <f t="shared" si="29"/>
        <v>9.9912115595676476E-2</v>
      </c>
      <c r="AH138" s="22">
        <f t="shared" si="29"/>
        <v>5.3491971899674674E-2</v>
      </c>
      <c r="AI138" s="22">
        <f t="shared" si="29"/>
        <v>5.3531314918473571E-2</v>
      </c>
      <c r="AJ138" s="22">
        <f t="shared" si="29"/>
        <v>5.357582611787514E-2</v>
      </c>
      <c r="AK138" s="22">
        <f t="shared" si="29"/>
        <v>5.3625309057202357E-2</v>
      </c>
      <c r="AL138" s="22">
        <f t="shared" si="29"/>
        <v>5.3679582424864689E-2</v>
      </c>
      <c r="AM138" s="22">
        <f t="shared" si="29"/>
        <v>5.3738478604376284E-2</v>
      </c>
      <c r="AN138" s="22">
        <f t="shared" si="29"/>
        <v>5.3763835169364317E-2</v>
      </c>
      <c r="AO138" s="22">
        <f t="shared" si="29"/>
        <v>5.3793262757512665E-2</v>
      </c>
      <c r="AP138" s="22">
        <f t="shared" si="29"/>
        <v>5.3826619180497665E-2</v>
      </c>
      <c r="AQ138" s="22">
        <f t="shared" si="29"/>
        <v>5.3863771952469164E-2</v>
      </c>
      <c r="AR138" s="22">
        <f t="shared" si="29"/>
        <v>5.3904597466717913E-2</v>
      </c>
      <c r="AS138" s="22">
        <f t="shared" si="29"/>
        <v>5.3910563480556228E-2</v>
      </c>
      <c r="AT138" s="22">
        <f t="shared" si="29"/>
        <v>5.3919785471416987E-2</v>
      </c>
      <c r="AU138" s="22">
        <f t="shared" si="29"/>
        <v>5.3932155519366927E-2</v>
      </c>
      <c r="AV138" s="22">
        <f t="shared" si="29"/>
        <v>5.3947572278859428E-2</v>
      </c>
      <c r="AW138" s="22">
        <f t="shared" si="29"/>
        <v>5.3965940473698626E-2</v>
      </c>
      <c r="AY138" s="85"/>
    </row>
    <row r="139" spans="1:51" x14ac:dyDescent="0.25">
      <c r="A139" s="102" t="str">
        <f t="shared" si="0"/>
        <v>FS MM Leaching</v>
      </c>
      <c r="B139" s="102" t="s">
        <v>1005</v>
      </c>
      <c r="C139" s="102" t="s">
        <v>1334</v>
      </c>
      <c r="D139" t="s">
        <v>369</v>
      </c>
      <c r="E139" t="s">
        <v>64</v>
      </c>
      <c r="F139" t="s">
        <v>63</v>
      </c>
      <c r="G139" t="s">
        <v>1155</v>
      </c>
      <c r="H139" t="s">
        <v>1308</v>
      </c>
      <c r="I139" t="s">
        <v>139</v>
      </c>
      <c r="J139" t="s">
        <v>287</v>
      </c>
      <c r="K139" s="22">
        <f t="shared" si="26"/>
        <v>2.6988316791591433E-2</v>
      </c>
      <c r="L139" s="22">
        <f t="shared" si="29"/>
        <v>2.7156188674482627E-2</v>
      </c>
      <c r="M139" s="22">
        <f t="shared" si="29"/>
        <v>2.7271602906487613E-2</v>
      </c>
      <c r="N139" s="22">
        <f t="shared" si="29"/>
        <v>2.7307798508590695E-2</v>
      </c>
      <c r="O139" s="22">
        <f t="shared" si="29"/>
        <v>2.7356765757190617E-2</v>
      </c>
      <c r="P139" s="22">
        <f t="shared" si="29"/>
        <v>2.7464022635328895E-2</v>
      </c>
      <c r="Q139" s="22">
        <f t="shared" si="29"/>
        <v>2.7592612752858615E-2</v>
      </c>
      <c r="R139" s="22">
        <f t="shared" si="29"/>
        <v>2.7631242565513824E-2</v>
      </c>
      <c r="S139" s="22">
        <f t="shared" si="29"/>
        <v>2.6782969625151597E-2</v>
      </c>
      <c r="T139" s="22">
        <f t="shared" si="29"/>
        <v>2.7003571923621898E-2</v>
      </c>
      <c r="U139" s="22">
        <f t="shared" si="29"/>
        <v>2.7205857966406888E-2</v>
      </c>
      <c r="V139" s="22">
        <f t="shared" si="29"/>
        <v>2.7413268566275666E-2</v>
      </c>
      <c r="W139" s="22">
        <f t="shared" si="29"/>
        <v>2.7663122848397212E-2</v>
      </c>
      <c r="X139" s="22">
        <f t="shared" si="29"/>
        <v>2.7917665495949085E-2</v>
      </c>
      <c r="Y139" s="22">
        <f t="shared" si="29"/>
        <v>2.8165518357852821E-2</v>
      </c>
      <c r="Z139" s="22">
        <f t="shared" si="29"/>
        <v>2.8408412733149407E-2</v>
      </c>
      <c r="AA139" s="22">
        <f t="shared" si="29"/>
        <v>2.8670036614621735E-2</v>
      </c>
      <c r="AB139" s="22">
        <f t="shared" si="29"/>
        <v>2.8917789287710199E-2</v>
      </c>
      <c r="AC139" s="22">
        <f t="shared" si="29"/>
        <v>2.9174428676514319E-2</v>
      </c>
      <c r="AD139" s="22">
        <f t="shared" si="29"/>
        <v>2.9469283915752844E-2</v>
      </c>
      <c r="AE139" s="22">
        <f t="shared" si="29"/>
        <v>2.979041226626589E-2</v>
      </c>
      <c r="AF139" s="22">
        <f t="shared" si="29"/>
        <v>3.0124286946394699E-2</v>
      </c>
      <c r="AG139" s="22">
        <f t="shared" si="29"/>
        <v>3.0170924136884231E-2</v>
      </c>
      <c r="AH139" s="22">
        <f t="shared" si="29"/>
        <v>1.6153218420962612E-2</v>
      </c>
      <c r="AI139" s="22">
        <f t="shared" si="29"/>
        <v>1.6165099014506461E-2</v>
      </c>
      <c r="AJ139" s="22">
        <f t="shared" si="29"/>
        <v>1.6178540267475436E-2</v>
      </c>
      <c r="AK139" s="22">
        <f t="shared" si="29"/>
        <v>1.6193482859768772E-2</v>
      </c>
      <c r="AL139" s="22">
        <f t="shared" si="29"/>
        <v>1.6209872039886029E-2</v>
      </c>
      <c r="AM139" s="22">
        <f t="shared" si="29"/>
        <v>1.6227657191900897E-2</v>
      </c>
      <c r="AN139" s="22">
        <f t="shared" si="29"/>
        <v>1.6235314231230563E-2</v>
      </c>
      <c r="AO139" s="22">
        <f t="shared" si="29"/>
        <v>1.6244200616272676E-2</v>
      </c>
      <c r="AP139" s="22">
        <f t="shared" si="29"/>
        <v>1.6254273409760815E-2</v>
      </c>
      <c r="AQ139" s="22">
        <f t="shared" si="29"/>
        <v>1.6265492604329402E-2</v>
      </c>
      <c r="AR139" s="22">
        <f t="shared" si="29"/>
        <v>1.6277820873888151E-2</v>
      </c>
      <c r="AS139" s="22">
        <f t="shared" si="29"/>
        <v>1.6279622458709387E-2</v>
      </c>
      <c r="AT139" s="22">
        <f t="shared" si="29"/>
        <v>1.6282407265987193E-2</v>
      </c>
      <c r="AU139" s="22">
        <f t="shared" si="29"/>
        <v>1.6286142706639629E-2</v>
      </c>
      <c r="AV139" s="22">
        <f t="shared" si="29"/>
        <v>1.6290798176882768E-2</v>
      </c>
      <c r="AW139" s="22">
        <f t="shared" si="29"/>
        <v>1.6296344905722616E-2</v>
      </c>
      <c r="AY139" s="85"/>
    </row>
    <row r="140" spans="1:51" x14ac:dyDescent="0.25">
      <c r="A140" s="102" t="str">
        <f t="shared" si="0"/>
        <v>FS MM Leaching</v>
      </c>
      <c r="B140" s="102" t="s">
        <v>1005</v>
      </c>
      <c r="C140" s="102" t="s">
        <v>1334</v>
      </c>
      <c r="D140" t="s">
        <v>369</v>
      </c>
      <c r="E140" t="s">
        <v>64</v>
      </c>
      <c r="F140" t="s">
        <v>63</v>
      </c>
      <c r="G140" t="s">
        <v>1157</v>
      </c>
      <c r="H140" t="s">
        <v>1309</v>
      </c>
      <c r="I140" t="s">
        <v>139</v>
      </c>
      <c r="J140" t="s">
        <v>287</v>
      </c>
      <c r="K140" s="22">
        <f t="shared" si="26"/>
        <v>1.4509917151188738E-3</v>
      </c>
      <c r="L140" s="22">
        <f t="shared" si="29"/>
        <v>1.4600171283433256E-3</v>
      </c>
      <c r="M140" s="22">
        <f t="shared" si="29"/>
        <v>1.4662222242646174E-3</v>
      </c>
      <c r="N140" s="22">
        <f t="shared" si="29"/>
        <v>1.4681682336871716E-3</v>
      </c>
      <c r="O140" s="22">
        <f t="shared" si="29"/>
        <v>1.4708008940557055E-3</v>
      </c>
      <c r="P140" s="22">
        <f t="shared" si="29"/>
        <v>1.4765674204667426E-3</v>
      </c>
      <c r="Q140" s="22">
        <f t="shared" si="29"/>
        <v>1.4834809007190539E-3</v>
      </c>
      <c r="R140" s="22">
        <f t="shared" si="29"/>
        <v>1.485557782302746E-3</v>
      </c>
      <c r="S140" s="22">
        <f t="shared" si="29"/>
        <v>1.439951492065016E-3</v>
      </c>
      <c r="T140" s="22">
        <f t="shared" si="29"/>
        <v>1.4518118874312183E-3</v>
      </c>
      <c r="U140" s="22">
        <f t="shared" si="29"/>
        <v>1.4626875331571739E-3</v>
      </c>
      <c r="V140" s="22">
        <f t="shared" si="29"/>
        <v>1.4738386940228707E-3</v>
      </c>
      <c r="W140" s="22">
        <f t="shared" si="29"/>
        <v>1.4872717842057417E-3</v>
      </c>
      <c r="X140" s="22">
        <f t="shared" si="29"/>
        <v>1.5009569382520018E-3</v>
      </c>
      <c r="Y140" s="22">
        <f t="shared" si="29"/>
        <v>1.5142824246825921E-3</v>
      </c>
      <c r="Z140" s="22">
        <f t="shared" si="29"/>
        <v>1.5273413245364029E-3</v>
      </c>
      <c r="AA140" s="22">
        <f t="shared" si="29"/>
        <v>1.5414071919050509E-3</v>
      </c>
      <c r="AB140" s="22">
        <f t="shared" si="29"/>
        <v>1.5547272918144282E-3</v>
      </c>
      <c r="AC140" s="22">
        <f t="shared" si="29"/>
        <v>1.568525174424283E-3</v>
      </c>
      <c r="AD140" s="22">
        <f t="shared" si="29"/>
        <v>1.5843776824779826E-3</v>
      </c>
      <c r="AE140" s="22">
        <f t="shared" si="29"/>
        <v>1.6016427301533305E-3</v>
      </c>
      <c r="AF140" s="22">
        <f t="shared" si="29"/>
        <v>1.6195930676455074E-3</v>
      </c>
      <c r="AG140" s="22">
        <f t="shared" si="29"/>
        <v>1.6221004554733333E-3</v>
      </c>
      <c r="AH140" s="22">
        <f t="shared" si="29"/>
        <v>8.6845675787475588E-4</v>
      </c>
      <c r="AI140" s="22">
        <f t="shared" si="29"/>
        <v>8.6909550251881536E-4</v>
      </c>
      <c r="AJ140" s="22">
        <f t="shared" si="29"/>
        <v>8.6981815398498119E-4</v>
      </c>
      <c r="AK140" s="22">
        <f t="shared" si="29"/>
        <v>8.7062152300526781E-4</v>
      </c>
      <c r="AL140" s="22">
        <f t="shared" si="29"/>
        <v>8.7150266593653532E-4</v>
      </c>
      <c r="AM140" s="22">
        <f t="shared" si="29"/>
        <v>8.7245886147940626E-4</v>
      </c>
      <c r="AN140" s="22">
        <f t="shared" si="29"/>
        <v>8.728705322299566E-4</v>
      </c>
      <c r="AO140" s="22">
        <f t="shared" si="29"/>
        <v>8.7334829715220207E-4</v>
      </c>
      <c r="AP140" s="22">
        <f t="shared" si="29"/>
        <v>8.7388984777991429E-4</v>
      </c>
      <c r="AQ140" s="22">
        <f t="shared" si="29"/>
        <v>8.7449303316917135E-4</v>
      </c>
      <c r="AR140" s="22">
        <f t="shared" si="29"/>
        <v>8.7515584653132471E-4</v>
      </c>
      <c r="AS140" s="22">
        <f t="shared" si="29"/>
        <v>8.7525270639368256E-4</v>
      </c>
      <c r="AT140" s="22">
        <f t="shared" si="29"/>
        <v>8.7540242793132E-4</v>
      </c>
      <c r="AU140" s="22">
        <f t="shared" si="29"/>
        <v>8.7560325903467736E-4</v>
      </c>
      <c r="AV140" s="22">
        <f t="shared" si="29"/>
        <v>8.7585355433115466E-4</v>
      </c>
      <c r="AW140" s="22">
        <f t="shared" si="29"/>
        <v>8.7615176698571857E-4</v>
      </c>
      <c r="AY140" s="85"/>
    </row>
    <row r="141" spans="1:51" x14ac:dyDescent="0.25">
      <c r="A141" s="102" t="str">
        <f t="shared" si="0"/>
        <v>FS MM Leaching</v>
      </c>
      <c r="B141" s="102" t="s">
        <v>1005</v>
      </c>
      <c r="C141" s="102" t="s">
        <v>1334</v>
      </c>
      <c r="D141" t="s">
        <v>369</v>
      </c>
      <c r="E141" t="s">
        <v>64</v>
      </c>
      <c r="F141" t="s">
        <v>63</v>
      </c>
      <c r="G141" t="s">
        <v>1159</v>
      </c>
      <c r="H141" t="s">
        <v>1310</v>
      </c>
      <c r="I141" t="s">
        <v>139</v>
      </c>
      <c r="J141" t="s">
        <v>287</v>
      </c>
      <c r="K141" s="22">
        <f t="shared" si="26"/>
        <v>3.0570019073752373E-2</v>
      </c>
      <c r="L141" s="22">
        <f t="shared" si="29"/>
        <v>3.0367387601048686E-2</v>
      </c>
      <c r="M141" s="22">
        <f t="shared" si="29"/>
        <v>2.9940152719715736E-2</v>
      </c>
      <c r="N141" s="22">
        <f t="shared" si="29"/>
        <v>2.9219989120948371E-2</v>
      </c>
      <c r="O141" s="22">
        <f t="shared" si="29"/>
        <v>2.852126892952573E-2</v>
      </c>
      <c r="P141" s="22">
        <f t="shared" si="29"/>
        <v>2.7983855033028606E-2</v>
      </c>
      <c r="Q141" s="22">
        <f t="shared" si="29"/>
        <v>2.749776002622362E-2</v>
      </c>
      <c r="R141" s="22">
        <f t="shared" si="29"/>
        <v>2.6733493787157343E-2</v>
      </c>
      <c r="S141" s="22">
        <f t="shared" si="29"/>
        <v>2.3446894467457041E-2</v>
      </c>
      <c r="T141" s="22">
        <f t="shared" si="29"/>
        <v>2.3670380965491088E-2</v>
      </c>
      <c r="U141" s="22">
        <f t="shared" si="29"/>
        <v>2.3821608196176489E-2</v>
      </c>
      <c r="V141" s="22">
        <f t="shared" si="29"/>
        <v>2.3967916654645059E-2</v>
      </c>
      <c r="W141" s="22">
        <f t="shared" si="29"/>
        <v>2.4209875654048162E-2</v>
      </c>
      <c r="X141" s="22">
        <f t="shared" si="29"/>
        <v>2.4443860278754486E-2</v>
      </c>
      <c r="Y141" s="22">
        <f t="shared" si="29"/>
        <v>2.4689509012601481E-2</v>
      </c>
      <c r="Z141" s="22">
        <f t="shared" si="29"/>
        <v>2.4903367961433137E-2</v>
      </c>
      <c r="AA141" s="22">
        <f t="shared" si="29"/>
        <v>2.5146768445041517E-2</v>
      </c>
      <c r="AB141" s="22">
        <f t="shared" si="29"/>
        <v>2.5337237570324824E-2</v>
      </c>
      <c r="AC141" s="22">
        <f t="shared" si="29"/>
        <v>2.5532932848471888E-2</v>
      </c>
      <c r="AD141" s="22">
        <f t="shared" si="29"/>
        <v>2.5624080551254102E-2</v>
      </c>
      <c r="AE141" s="22">
        <f t="shared" si="29"/>
        <v>2.5749062544479791E-2</v>
      </c>
      <c r="AF141" s="22">
        <f t="shared" si="29"/>
        <v>2.5873562186552946E-2</v>
      </c>
      <c r="AG141" s="22">
        <f t="shared" si="29"/>
        <v>2.53248358805277E-2</v>
      </c>
      <c r="AH141" s="22">
        <f t="shared" si="29"/>
        <v>-5.9737784992688692E-3</v>
      </c>
      <c r="AI141" s="22">
        <f t="shared" si="29"/>
        <v>-5.8352076147992196E-3</v>
      </c>
      <c r="AJ141" s="22">
        <f t="shared" si="29"/>
        <v>-5.6988404422584063E-3</v>
      </c>
      <c r="AK141" s="22">
        <f t="shared" si="29"/>
        <v>-5.5645615630153409E-3</v>
      </c>
      <c r="AL141" s="22">
        <f t="shared" si="29"/>
        <v>-5.4322635380194221E-3</v>
      </c>
      <c r="AM141" s="22">
        <f t="shared" si="29"/>
        <v>-5.3018461683791993E-3</v>
      </c>
      <c r="AN141" s="22">
        <f t="shared" si="29"/>
        <v>-5.1961071833315654E-3</v>
      </c>
      <c r="AO141" s="22">
        <f t="shared" si="29"/>
        <v>-5.0919652579405755E-3</v>
      </c>
      <c r="AP141" s="22">
        <f t="shared" si="29"/>
        <v>-4.9893480213799102E-3</v>
      </c>
      <c r="AQ141" s="22">
        <f t="shared" si="29"/>
        <v>-4.8881876039149471E-3</v>
      </c>
      <c r="AR141" s="22">
        <f t="shared" si="29"/>
        <v>-4.7884202636879142E-3</v>
      </c>
      <c r="AS141" s="22">
        <f t="shared" si="29"/>
        <v>-4.6867985813226392E-3</v>
      </c>
      <c r="AT141" s="22">
        <f t="shared" si="29"/>
        <v>-4.5865743266878378E-3</v>
      </c>
      <c r="AU141" s="22">
        <f t="shared" si="29"/>
        <v>-4.4876925271481486E-3</v>
      </c>
      <c r="AV141" s="22">
        <f t="shared" si="29"/>
        <v>-4.3901012986055903E-3</v>
      </c>
      <c r="AW141" s="22">
        <f t="shared" si="29"/>
        <v>-4.2937516147018842E-3</v>
      </c>
      <c r="AY141" s="85"/>
    </row>
    <row r="142" spans="1:51" x14ac:dyDescent="0.25">
      <c r="A142" s="102" t="str">
        <f t="shared" si="0"/>
        <v>FS MM Leaching</v>
      </c>
      <c r="B142" s="102" t="s">
        <v>1005</v>
      </c>
      <c r="C142" s="102" t="s">
        <v>1334</v>
      </c>
      <c r="D142" t="s">
        <v>369</v>
      </c>
      <c r="E142" t="s">
        <v>64</v>
      </c>
      <c r="F142" t="s">
        <v>63</v>
      </c>
      <c r="G142" t="s">
        <v>1161</v>
      </c>
      <c r="H142" t="s">
        <v>1311</v>
      </c>
      <c r="I142" t="s">
        <v>139</v>
      </c>
      <c r="J142" t="s">
        <v>287</v>
      </c>
      <c r="K142" s="22">
        <f t="shared" si="26"/>
        <v>4.0580733454567468E-2</v>
      </c>
      <c r="L142" s="22">
        <f t="shared" si="29"/>
        <v>4.0311746583363478E-2</v>
      </c>
      <c r="M142" s="22">
        <f t="shared" ref="L142:AW148" si="30">M1551</f>
        <v>3.9744605790940746E-2</v>
      </c>
      <c r="N142" s="22">
        <f t="shared" si="30"/>
        <v>3.8788611390847182E-2</v>
      </c>
      <c r="O142" s="22">
        <f t="shared" si="30"/>
        <v>3.7861082435793565E-2</v>
      </c>
      <c r="P142" s="22">
        <f t="shared" si="30"/>
        <v>3.7147682485472483E-2</v>
      </c>
      <c r="Q142" s="22">
        <f t="shared" si="30"/>
        <v>3.6502406738108395E-2</v>
      </c>
      <c r="R142" s="22">
        <f t="shared" si="30"/>
        <v>3.5487867477892406E-2</v>
      </c>
      <c r="S142" s="22">
        <f t="shared" si="30"/>
        <v>3.1125010829260641E-2</v>
      </c>
      <c r="T142" s="22">
        <f t="shared" si="30"/>
        <v>3.142168208698979E-2</v>
      </c>
      <c r="U142" s="22">
        <f t="shared" si="30"/>
        <v>3.1622431452723296E-2</v>
      </c>
      <c r="V142" s="22">
        <f t="shared" si="30"/>
        <v>3.1816651303909434E-2</v>
      </c>
      <c r="W142" s="22">
        <f t="shared" si="30"/>
        <v>3.2137844222959386E-2</v>
      </c>
      <c r="X142" s="22">
        <f t="shared" si="30"/>
        <v>3.2448451411812178E-2</v>
      </c>
      <c r="Y142" s="22">
        <f t="shared" si="30"/>
        <v>3.2774542336637791E-2</v>
      </c>
      <c r="Z142" s="22">
        <f t="shared" si="30"/>
        <v>3.3058433327300053E-2</v>
      </c>
      <c r="AA142" s="22">
        <f t="shared" si="30"/>
        <v>3.3381539771041358E-2</v>
      </c>
      <c r="AB142" s="22">
        <f t="shared" si="30"/>
        <v>3.3634381510714434E-2</v>
      </c>
      <c r="AC142" s="22">
        <f t="shared" si="30"/>
        <v>3.3894160803021843E-2</v>
      </c>
      <c r="AD142" s="22">
        <f t="shared" si="30"/>
        <v>3.4015156495653814E-2</v>
      </c>
      <c r="AE142" s="22">
        <f t="shared" si="30"/>
        <v>3.4181066138741563E-2</v>
      </c>
      <c r="AF142" s="22">
        <f t="shared" si="30"/>
        <v>3.4346335475930106E-2</v>
      </c>
      <c r="AG142" s="22">
        <f t="shared" si="30"/>
        <v>3.3617918659748287E-2</v>
      </c>
      <c r="AH142" s="22">
        <f t="shared" si="30"/>
        <v>-7.9300020196454452E-3</v>
      </c>
      <c r="AI142" s="22">
        <f t="shared" si="30"/>
        <v>-7.7460535532195693E-3</v>
      </c>
      <c r="AJ142" s="22">
        <f t="shared" si="30"/>
        <v>-7.565030444680417E-3</v>
      </c>
      <c r="AK142" s="22">
        <f t="shared" si="30"/>
        <v>-7.3867794794456746E-3</v>
      </c>
      <c r="AL142" s="22">
        <f t="shared" si="30"/>
        <v>-7.211158035573738E-3</v>
      </c>
      <c r="AM142" s="22">
        <f t="shared" si="30"/>
        <v>-7.038033102205285E-3</v>
      </c>
      <c r="AN142" s="22">
        <f t="shared" si="30"/>
        <v>-6.8976679438577443E-3</v>
      </c>
      <c r="AO142" s="22">
        <f t="shared" si="30"/>
        <v>-6.7594228316927426E-3</v>
      </c>
      <c r="AP142" s="22">
        <f t="shared" si="30"/>
        <v>-6.6232016957272714E-3</v>
      </c>
      <c r="AQ142" s="22">
        <f t="shared" si="30"/>
        <v>-6.4889144410352007E-3</v>
      </c>
      <c r="AR142" s="22">
        <f t="shared" si="30"/>
        <v>-6.3564764523163604E-3</v>
      </c>
      <c r="AS142" s="22">
        <f t="shared" si="30"/>
        <v>-6.2215768830579691E-3</v>
      </c>
      <c r="AT142" s="22">
        <f t="shared" si="30"/>
        <v>-6.0885323549140658E-3</v>
      </c>
      <c r="AU142" s="22">
        <f t="shared" si="30"/>
        <v>-5.9572698934498708E-3</v>
      </c>
      <c r="AV142" s="22">
        <f t="shared" si="30"/>
        <v>-5.8277206241663026E-3</v>
      </c>
      <c r="AW142" s="22">
        <f t="shared" si="30"/>
        <v>-5.6998194661233492E-3</v>
      </c>
      <c r="AY142" s="85"/>
    </row>
    <row r="143" spans="1:51" x14ac:dyDescent="0.25">
      <c r="A143" s="102" t="str">
        <f t="shared" si="0"/>
        <v>FS MM Leaching</v>
      </c>
      <c r="B143" s="102" t="s">
        <v>1005</v>
      </c>
      <c r="C143" s="102" t="s">
        <v>1334</v>
      </c>
      <c r="D143" t="s">
        <v>369</v>
      </c>
      <c r="E143" t="s">
        <v>64</v>
      </c>
      <c r="F143" t="s">
        <v>63</v>
      </c>
      <c r="G143" t="s">
        <v>1163</v>
      </c>
      <c r="H143" t="s">
        <v>1312</v>
      </c>
      <c r="I143" t="s">
        <v>139</v>
      </c>
      <c r="J143" t="s">
        <v>287</v>
      </c>
      <c r="K143" s="22">
        <f t="shared" si="26"/>
        <v>4.2198184999711216E-2</v>
      </c>
      <c r="L143" s="22">
        <f t="shared" si="30"/>
        <v>4.3701080723593189E-2</v>
      </c>
      <c r="M143" s="22">
        <f t="shared" si="30"/>
        <v>4.4893970631746632E-2</v>
      </c>
      <c r="N143" s="22">
        <f t="shared" si="30"/>
        <v>4.5631666148342777E-2</v>
      </c>
      <c r="O143" s="22">
        <f t="shared" si="30"/>
        <v>4.6370901653410727E-2</v>
      </c>
      <c r="P143" s="22">
        <f t="shared" si="30"/>
        <v>4.7352594214128713E-2</v>
      </c>
      <c r="Q143" s="22">
        <f t="shared" si="30"/>
        <v>4.8416104778857959E-2</v>
      </c>
      <c r="R143" s="22">
        <f t="shared" si="30"/>
        <v>4.8969568240860781E-2</v>
      </c>
      <c r="S143" s="22">
        <f t="shared" si="30"/>
        <v>4.467643167473432E-2</v>
      </c>
      <c r="T143" s="22">
        <f t="shared" si="30"/>
        <v>4.6180091777624298E-2</v>
      </c>
      <c r="U143" s="22">
        <f t="shared" si="30"/>
        <v>4.7570527161609366E-2</v>
      </c>
      <c r="V143" s="22">
        <f t="shared" si="30"/>
        <v>4.8976478875928542E-2</v>
      </c>
      <c r="W143" s="22">
        <f t="shared" si="30"/>
        <v>5.0608575947889443E-2</v>
      </c>
      <c r="X143" s="22">
        <f t="shared" si="30"/>
        <v>5.2259990749301093E-2</v>
      </c>
      <c r="Y143" s="22">
        <f t="shared" si="30"/>
        <v>5.3973742651481194E-2</v>
      </c>
      <c r="Z143" s="22">
        <f t="shared" si="30"/>
        <v>5.5655662348968654E-2</v>
      </c>
      <c r="AA143" s="22">
        <f t="shared" si="30"/>
        <v>5.7442412303445836E-2</v>
      </c>
      <c r="AB143" s="22">
        <f t="shared" si="30"/>
        <v>5.9147142754678653E-2</v>
      </c>
      <c r="AC143" s="22">
        <f t="shared" si="30"/>
        <v>6.0901819824646548E-2</v>
      </c>
      <c r="AD143" s="22">
        <f t="shared" si="30"/>
        <v>6.3135419327645992E-2</v>
      </c>
      <c r="AE143" s="22">
        <f t="shared" si="30"/>
        <v>6.5540351764294846E-2</v>
      </c>
      <c r="AF143" s="22">
        <f t="shared" si="30"/>
        <v>6.8039701590190294E-2</v>
      </c>
      <c r="AG143" s="22">
        <f t="shared" si="30"/>
        <v>6.8810814245314753E-2</v>
      </c>
      <c r="AH143" s="22">
        <f t="shared" si="30"/>
        <v>-1.6773235166111743E-2</v>
      </c>
      <c r="AI143" s="22">
        <f t="shared" si="30"/>
        <v>-1.6933400933561566E-2</v>
      </c>
      <c r="AJ143" s="22">
        <f t="shared" si="30"/>
        <v>-1.7094868952670969E-2</v>
      </c>
      <c r="AK143" s="22">
        <f t="shared" si="30"/>
        <v>-1.7257651547387617E-2</v>
      </c>
      <c r="AL143" s="22">
        <f t="shared" si="30"/>
        <v>-1.7421761152310457E-2</v>
      </c>
      <c r="AM143" s="22">
        <f t="shared" si="30"/>
        <v>-1.7587210313649345E-2</v>
      </c>
      <c r="AN143" s="22">
        <f t="shared" si="30"/>
        <v>-1.7719984819695212E-2</v>
      </c>
      <c r="AO143" s="22">
        <f t="shared" si="30"/>
        <v>-1.7853675202067487E-2</v>
      </c>
      <c r="AP143" s="22">
        <f t="shared" si="30"/>
        <v>-1.7988288709386402E-2</v>
      </c>
      <c r="AQ143" s="22">
        <f t="shared" si="30"/>
        <v>-1.8123832644983004E-2</v>
      </c>
      <c r="AR143" s="22">
        <f t="shared" si="30"/>
        <v>-1.8260314367299166E-2</v>
      </c>
      <c r="AS143" s="22">
        <f t="shared" si="30"/>
        <v>-1.8385237574275969E-2</v>
      </c>
      <c r="AT143" s="22">
        <f t="shared" si="30"/>
        <v>-1.8510879729427106E-2</v>
      </c>
      <c r="AU143" s="22">
        <f t="shared" si="30"/>
        <v>-1.8637245588774352E-2</v>
      </c>
      <c r="AV143" s="22">
        <f t="shared" si="30"/>
        <v>-1.8764339938161633E-2</v>
      </c>
      <c r="AW143" s="22">
        <f t="shared" si="30"/>
        <v>-1.8892167593435472E-2</v>
      </c>
      <c r="AY143" s="85"/>
    </row>
    <row r="144" spans="1:51" x14ac:dyDescent="0.25">
      <c r="A144" s="102" t="str">
        <f t="shared" si="0"/>
        <v>FS MM Leaching</v>
      </c>
      <c r="B144" s="102" t="s">
        <v>1005</v>
      </c>
      <c r="C144" s="102" t="s">
        <v>1334</v>
      </c>
      <c r="D144" t="s">
        <v>369</v>
      </c>
      <c r="E144" t="s">
        <v>64</v>
      </c>
      <c r="F144" t="s">
        <v>63</v>
      </c>
      <c r="G144" t="s">
        <v>1165</v>
      </c>
      <c r="H144" t="s">
        <v>1313</v>
      </c>
      <c r="I144" t="s">
        <v>139</v>
      </c>
      <c r="J144" t="s">
        <v>287</v>
      </c>
      <c r="K144" s="22">
        <f t="shared" si="26"/>
        <v>4.3944700668161743E-3</v>
      </c>
      <c r="L144" s="22">
        <f t="shared" si="30"/>
        <v>4.3968698493422791E-3</v>
      </c>
      <c r="M144" s="22">
        <f t="shared" si="30"/>
        <v>4.4022434234010565E-3</v>
      </c>
      <c r="N144" s="22">
        <f t="shared" si="30"/>
        <v>4.4103317804749962E-3</v>
      </c>
      <c r="O144" s="22">
        <f t="shared" si="30"/>
        <v>4.4212431364047738E-3</v>
      </c>
      <c r="P144" s="22">
        <f t="shared" si="30"/>
        <v>4.4349890691963833E-3</v>
      </c>
      <c r="Q144" s="22">
        <f t="shared" si="30"/>
        <v>4.4503014810886657E-3</v>
      </c>
      <c r="R144" s="22">
        <f t="shared" si="30"/>
        <v>4.4668966507282254E-3</v>
      </c>
      <c r="S144" s="22">
        <f t="shared" si="30"/>
        <v>4.4824913305812559E-3</v>
      </c>
      <c r="T144" s="22">
        <f t="shared" si="30"/>
        <v>4.4890055303365281E-3</v>
      </c>
      <c r="U144" s="22">
        <f t="shared" si="30"/>
        <v>4.4965644629605924E-3</v>
      </c>
      <c r="V144" s="22">
        <f t="shared" si="30"/>
        <v>4.5051665785440084E-3</v>
      </c>
      <c r="W144" s="22">
        <f t="shared" si="30"/>
        <v>4.5148564456586847E-3</v>
      </c>
      <c r="X144" s="22">
        <f t="shared" si="30"/>
        <v>4.525478721327544E-3</v>
      </c>
      <c r="Y144" s="22">
        <f t="shared" si="30"/>
        <v>4.5320175420941466E-3</v>
      </c>
      <c r="Z144" s="22">
        <f t="shared" si="30"/>
        <v>4.5393215398995043E-3</v>
      </c>
      <c r="AA144" s="22">
        <f t="shared" si="30"/>
        <v>4.5474172205527642E-3</v>
      </c>
      <c r="AB144" s="22">
        <f t="shared" si="30"/>
        <v>4.5561801987217551E-3</v>
      </c>
      <c r="AC144" s="22">
        <f t="shared" si="30"/>
        <v>4.5656418072393947E-3</v>
      </c>
      <c r="AD144" s="22">
        <f t="shared" si="30"/>
        <v>4.5718705604296328E-3</v>
      </c>
      <c r="AE144" s="22">
        <f t="shared" si="30"/>
        <v>4.5787544823923942E-3</v>
      </c>
      <c r="AF144" s="22">
        <f t="shared" si="30"/>
        <v>4.586231662580295E-3</v>
      </c>
      <c r="AG144" s="22">
        <f t="shared" si="30"/>
        <v>4.5934555722856032E-3</v>
      </c>
      <c r="AH144" s="22">
        <f t="shared" si="30"/>
        <v>4.562571195274273E-3</v>
      </c>
      <c r="AI144" s="22">
        <f t="shared" si="30"/>
        <v>4.5669572651403133E-3</v>
      </c>
      <c r="AJ144" s="22">
        <f t="shared" si="30"/>
        <v>4.5717973149633755E-3</v>
      </c>
      <c r="AK144" s="22">
        <f t="shared" si="30"/>
        <v>4.5770741937615714E-3</v>
      </c>
      <c r="AL144" s="22">
        <f t="shared" si="30"/>
        <v>4.5827720762171521E-3</v>
      </c>
      <c r="AM144" s="22">
        <f t="shared" si="30"/>
        <v>4.5888763368810139E-3</v>
      </c>
      <c r="AN144" s="22">
        <f t="shared" si="30"/>
        <v>4.5918387401172314E-3</v>
      </c>
      <c r="AO144" s="22">
        <f t="shared" si="30"/>
        <v>4.5951591884317378E-3</v>
      </c>
      <c r="AP144" s="22">
        <f t="shared" si="30"/>
        <v>4.5988252210116161E-3</v>
      </c>
      <c r="AQ144" s="22">
        <f t="shared" si="30"/>
        <v>4.6028252299079387E-3</v>
      </c>
      <c r="AR144" s="22">
        <f t="shared" si="30"/>
        <v>4.6071483875808113E-3</v>
      </c>
      <c r="AS144" s="22">
        <f t="shared" si="30"/>
        <v>4.6082148579908756E-3</v>
      </c>
      <c r="AT144" s="22">
        <f t="shared" si="30"/>
        <v>4.609568122792394E-3</v>
      </c>
      <c r="AU144" s="22">
        <f t="shared" si="30"/>
        <v>4.6111986833604953E-3</v>
      </c>
      <c r="AV144" s="22">
        <f t="shared" si="30"/>
        <v>4.6130976210976499E-3</v>
      </c>
      <c r="AW144" s="22">
        <f t="shared" si="30"/>
        <v>4.6152565528286265E-3</v>
      </c>
      <c r="AY144" s="85"/>
    </row>
    <row r="145" spans="1:51" x14ac:dyDescent="0.25">
      <c r="A145" s="102" t="str">
        <f t="shared" si="0"/>
        <v>FS MM Leaching</v>
      </c>
      <c r="B145" s="102" t="s">
        <v>1005</v>
      </c>
      <c r="C145" s="102" t="s">
        <v>1334</v>
      </c>
      <c r="D145" t="s">
        <v>369</v>
      </c>
      <c r="E145" t="s">
        <v>64</v>
      </c>
      <c r="F145" t="s">
        <v>63</v>
      </c>
      <c r="G145" t="s">
        <v>1167</v>
      </c>
      <c r="H145" t="s">
        <v>1314</v>
      </c>
      <c r="I145" t="s">
        <v>139</v>
      </c>
      <c r="J145" t="s">
        <v>287</v>
      </c>
      <c r="K145" s="22">
        <f t="shared" si="26"/>
        <v>3.6554081926520139E-3</v>
      </c>
      <c r="L145" s="22">
        <f t="shared" si="30"/>
        <v>3.6574043798084017E-3</v>
      </c>
      <c r="M145" s="22">
        <f t="shared" si="30"/>
        <v>3.6618742263063008E-3</v>
      </c>
      <c r="N145" s="22">
        <f t="shared" si="30"/>
        <v>3.6686022836746814E-3</v>
      </c>
      <c r="O145" s="22">
        <f t="shared" si="30"/>
        <v>3.6776785680166413E-3</v>
      </c>
      <c r="P145" s="22">
        <f t="shared" si="30"/>
        <v>3.6891127101493907E-3</v>
      </c>
      <c r="Q145" s="22">
        <f t="shared" si="30"/>
        <v>3.7018498809639078E-3</v>
      </c>
      <c r="R145" s="22">
        <f t="shared" si="30"/>
        <v>3.7156540753574409E-3</v>
      </c>
      <c r="S145" s="22">
        <f t="shared" si="30"/>
        <v>3.7286260423135963E-3</v>
      </c>
      <c r="T145" s="22">
        <f t="shared" si="30"/>
        <v>3.7340446841047422E-3</v>
      </c>
      <c r="U145" s="22">
        <f t="shared" si="30"/>
        <v>3.7403323556149792E-3</v>
      </c>
      <c r="V145" s="22">
        <f t="shared" si="30"/>
        <v>3.7474877675985991E-3</v>
      </c>
      <c r="W145" s="22">
        <f t="shared" si="30"/>
        <v>3.7555479930861213E-3</v>
      </c>
      <c r="X145" s="22">
        <f t="shared" si="30"/>
        <v>3.7643838146787538E-3</v>
      </c>
      <c r="Y145" s="22">
        <f t="shared" si="30"/>
        <v>3.769822936720115E-3</v>
      </c>
      <c r="Z145" s="22">
        <f t="shared" si="30"/>
        <v>3.7758985483435582E-3</v>
      </c>
      <c r="AA145" s="22">
        <f t="shared" si="30"/>
        <v>3.7826326976118578E-3</v>
      </c>
      <c r="AB145" s="22">
        <f t="shared" si="30"/>
        <v>3.7899219183151331E-3</v>
      </c>
      <c r="AC145" s="22">
        <f t="shared" si="30"/>
        <v>3.7977922737311865E-3</v>
      </c>
      <c r="AD145" s="22">
        <f t="shared" si="30"/>
        <v>3.8029734753540017E-3</v>
      </c>
      <c r="AE145" s="22">
        <f t="shared" si="30"/>
        <v>3.8086996594803367E-3</v>
      </c>
      <c r="AF145" s="22">
        <f t="shared" si="30"/>
        <v>3.8149193276772325E-3</v>
      </c>
      <c r="AG145" s="22">
        <f t="shared" si="30"/>
        <v>3.8209283204154385E-3</v>
      </c>
      <c r="AH145" s="22">
        <f t="shared" si="30"/>
        <v>3.7952380772153156E-3</v>
      </c>
      <c r="AI145" s="22">
        <f t="shared" si="30"/>
        <v>3.7988864979527624E-3</v>
      </c>
      <c r="AJ145" s="22">
        <f t="shared" si="30"/>
        <v>3.8029125483085634E-3</v>
      </c>
      <c r="AK145" s="22">
        <f t="shared" si="30"/>
        <v>3.8073019617525694E-3</v>
      </c>
      <c r="AL145" s="22">
        <f t="shared" si="30"/>
        <v>3.8120415744685989E-3</v>
      </c>
      <c r="AM145" s="22">
        <f t="shared" si="30"/>
        <v>3.8171192207152455E-3</v>
      </c>
      <c r="AN145" s="22">
        <f t="shared" si="30"/>
        <v>3.8195834070437343E-3</v>
      </c>
      <c r="AO145" s="22">
        <f t="shared" si="30"/>
        <v>3.8223454224375316E-3</v>
      </c>
      <c r="AP145" s="22">
        <f t="shared" si="30"/>
        <v>3.8253949017429448E-3</v>
      </c>
      <c r="AQ145" s="22">
        <f t="shared" si="30"/>
        <v>3.8287221892356308E-3</v>
      </c>
      <c r="AR145" s="22">
        <f t="shared" si="30"/>
        <v>3.8323182783511038E-3</v>
      </c>
      <c r="AS145" s="22">
        <f t="shared" si="30"/>
        <v>3.833205389792278E-3</v>
      </c>
      <c r="AT145" s="22">
        <f t="shared" si="30"/>
        <v>3.8343310625507851E-3</v>
      </c>
      <c r="AU145" s="22">
        <f t="shared" si="30"/>
        <v>3.8356873954802709E-3</v>
      </c>
      <c r="AV145" s="22">
        <f t="shared" si="30"/>
        <v>3.8372669699127259E-3</v>
      </c>
      <c r="AW145" s="22">
        <f t="shared" si="30"/>
        <v>3.8390628125551359E-3</v>
      </c>
      <c r="AY145" s="85"/>
    </row>
    <row r="146" spans="1:51" x14ac:dyDescent="0.25">
      <c r="A146" s="102" t="str">
        <f t="shared" si="0"/>
        <v>FS MM Leaching</v>
      </c>
      <c r="B146" s="102" t="s">
        <v>1005</v>
      </c>
      <c r="C146" s="102" t="s">
        <v>1334</v>
      </c>
      <c r="D146" t="s">
        <v>369</v>
      </c>
      <c r="E146" t="s">
        <v>64</v>
      </c>
      <c r="F146" t="s">
        <v>63</v>
      </c>
      <c r="G146" t="s">
        <v>1169</v>
      </c>
      <c r="H146" t="s">
        <v>1315</v>
      </c>
      <c r="I146" t="s">
        <v>139</v>
      </c>
      <c r="J146" t="s">
        <v>287</v>
      </c>
      <c r="K146" s="22">
        <f t="shared" si="26"/>
        <v>5.4321183723638063E-4</v>
      </c>
      <c r="L146" s="22">
        <f t="shared" si="30"/>
        <v>5.4462866238069155E-4</v>
      </c>
      <c r="M146" s="22">
        <f t="shared" si="30"/>
        <v>5.4651670738969612E-4</v>
      </c>
      <c r="N146" s="22">
        <f t="shared" si="30"/>
        <v>5.4883399731316639E-4</v>
      </c>
      <c r="O146" s="22">
        <f t="shared" si="30"/>
        <v>5.5160837836810213E-4</v>
      </c>
      <c r="P146" s="22">
        <f t="shared" si="30"/>
        <v>5.5484723352096008E-4</v>
      </c>
      <c r="Q146" s="22">
        <f t="shared" si="30"/>
        <v>5.5831016678068942E-4</v>
      </c>
      <c r="R146" s="22">
        <f t="shared" si="30"/>
        <v>5.61947661040627E-4</v>
      </c>
      <c r="S146" s="22">
        <f t="shared" si="30"/>
        <v>5.6532673344002258E-4</v>
      </c>
      <c r="T146" s="22">
        <f t="shared" si="30"/>
        <v>5.6691026971513229E-4</v>
      </c>
      <c r="U146" s="22">
        <f t="shared" si="30"/>
        <v>5.6864670501845574E-4</v>
      </c>
      <c r="V146" s="22">
        <f t="shared" si="30"/>
        <v>5.7053824293023939E-4</v>
      </c>
      <c r="W146" s="22">
        <f t="shared" si="30"/>
        <v>5.7259543924260763E-4</v>
      </c>
      <c r="X146" s="22">
        <f t="shared" si="30"/>
        <v>5.7479059617442649E-4</v>
      </c>
      <c r="Y146" s="22">
        <f t="shared" si="30"/>
        <v>5.7617814395304924E-4</v>
      </c>
      <c r="Z146" s="22">
        <f t="shared" si="30"/>
        <v>5.7767940009102313E-4</v>
      </c>
      <c r="AA146" s="22">
        <f t="shared" si="30"/>
        <v>5.7930057538230326E-4</v>
      </c>
      <c r="AB146" s="22">
        <f t="shared" si="30"/>
        <v>5.8101935108040965E-4</v>
      </c>
      <c r="AC146" s="22">
        <f t="shared" si="30"/>
        <v>5.8284260247755859E-4</v>
      </c>
      <c r="AD146" s="22">
        <f t="shared" si="30"/>
        <v>5.8403671107952763E-4</v>
      </c>
      <c r="AE146" s="22">
        <f t="shared" si="30"/>
        <v>5.8533173041619576E-4</v>
      </c>
      <c r="AF146" s="22">
        <f t="shared" si="30"/>
        <v>5.8671671252614034E-4</v>
      </c>
      <c r="AG146" s="22">
        <f t="shared" si="30"/>
        <v>5.8803501308500182E-4</v>
      </c>
      <c r="AH146" s="22">
        <f t="shared" si="30"/>
        <v>5.8227212874330822E-4</v>
      </c>
      <c r="AI146" s="22">
        <f t="shared" si="30"/>
        <v>5.8304320424414362E-4</v>
      </c>
      <c r="AJ146" s="22">
        <f t="shared" si="30"/>
        <v>5.8388341826515493E-4</v>
      </c>
      <c r="AK146" s="22">
        <f t="shared" si="30"/>
        <v>5.847899630335218E-4</v>
      </c>
      <c r="AL146" s="22">
        <f t="shared" si="30"/>
        <v>5.8576024856299858E-4</v>
      </c>
      <c r="AM146" s="22">
        <f t="shared" si="30"/>
        <v>5.8679188180125747E-4</v>
      </c>
      <c r="AN146" s="22">
        <f t="shared" si="30"/>
        <v>5.8723470872871001E-4</v>
      </c>
      <c r="AO146" s="22">
        <f t="shared" si="30"/>
        <v>5.8773280177020523E-4</v>
      </c>
      <c r="AP146" s="22">
        <f t="shared" si="30"/>
        <v>5.8828407739591119E-4</v>
      </c>
      <c r="AQ146" s="22">
        <f t="shared" si="30"/>
        <v>5.8888659501104234E-4</v>
      </c>
      <c r="AR146" s="22">
        <f t="shared" si="30"/>
        <v>5.895385447102022E-4</v>
      </c>
      <c r="AS146" s="22">
        <f t="shared" si="30"/>
        <v>5.8958940978755205E-4</v>
      </c>
      <c r="AT146" s="22">
        <f t="shared" si="30"/>
        <v>5.8968551081379366E-4</v>
      </c>
      <c r="AU146" s="22">
        <f t="shared" si="30"/>
        <v>5.8982522322727085E-4</v>
      </c>
      <c r="AV146" s="22">
        <f t="shared" si="30"/>
        <v>5.9000702190384238E-4</v>
      </c>
      <c r="AW146" s="22">
        <f t="shared" si="30"/>
        <v>5.9022947345323132E-4</v>
      </c>
      <c r="AY146" s="85"/>
    </row>
    <row r="147" spans="1:51" x14ac:dyDescent="0.25">
      <c r="A147" s="102" t="str">
        <f t="shared" si="0"/>
        <v>FS MM Leaching</v>
      </c>
      <c r="B147" s="102" t="s">
        <v>1005</v>
      </c>
      <c r="C147" s="102" t="s">
        <v>1334</v>
      </c>
      <c r="D147" t="s">
        <v>369</v>
      </c>
      <c r="E147" t="s">
        <v>64</v>
      </c>
      <c r="F147" t="s">
        <v>63</v>
      </c>
      <c r="G147" t="s">
        <v>1171</v>
      </c>
      <c r="H147" t="s">
        <v>1316</v>
      </c>
      <c r="I147" t="s">
        <v>139</v>
      </c>
      <c r="J147" t="s">
        <v>287</v>
      </c>
      <c r="K147" s="22">
        <f t="shared" si="26"/>
        <v>6.6990339537854613E-3</v>
      </c>
      <c r="L147" s="22">
        <f t="shared" si="30"/>
        <v>6.7165066211643688E-3</v>
      </c>
      <c r="M147" s="22">
        <f t="shared" si="30"/>
        <v>6.7397904981983149E-3</v>
      </c>
      <c r="N147" s="22">
        <f t="shared" si="30"/>
        <v>6.7683679385521006E-3</v>
      </c>
      <c r="O147" s="22">
        <f t="shared" si="30"/>
        <v>6.8025823492363574E-3</v>
      </c>
      <c r="P147" s="22">
        <f t="shared" si="30"/>
        <v>6.8425247789720067E-3</v>
      </c>
      <c r="Q147" s="22">
        <f t="shared" si="30"/>
        <v>6.8852305999729637E-3</v>
      </c>
      <c r="R147" s="22">
        <f t="shared" si="30"/>
        <v>6.9300891540096266E-3</v>
      </c>
      <c r="S147" s="22">
        <f t="shared" si="30"/>
        <v>6.9717607804068256E-3</v>
      </c>
      <c r="T147" s="22">
        <f t="shared" si="30"/>
        <v>6.9912893741281628E-3</v>
      </c>
      <c r="U147" s="22">
        <f t="shared" si="30"/>
        <v>7.0127035596413059E-3</v>
      </c>
      <c r="V147" s="22">
        <f t="shared" si="30"/>
        <v>7.0360305120884007E-3</v>
      </c>
      <c r="W147" s="22">
        <f t="shared" si="30"/>
        <v>7.0614004083267975E-3</v>
      </c>
      <c r="X147" s="22">
        <f t="shared" si="30"/>
        <v>7.0884716718967464E-3</v>
      </c>
      <c r="Y147" s="22">
        <f t="shared" si="30"/>
        <v>7.1055832829558596E-3</v>
      </c>
      <c r="Z147" s="22">
        <f t="shared" si="30"/>
        <v>7.1240971759755339E-3</v>
      </c>
      <c r="AA147" s="22">
        <f t="shared" si="30"/>
        <v>7.1440899441312785E-3</v>
      </c>
      <c r="AB147" s="22">
        <f t="shared" si="30"/>
        <v>7.1652863466602334E-3</v>
      </c>
      <c r="AC147" s="22">
        <f t="shared" si="30"/>
        <v>7.1877711715085417E-3</v>
      </c>
      <c r="AD147" s="22">
        <f t="shared" si="30"/>
        <v>7.2024972388008085E-3</v>
      </c>
      <c r="AE147" s="22">
        <f t="shared" si="30"/>
        <v>7.2184677643167576E-3</v>
      </c>
      <c r="AF147" s="22">
        <f t="shared" si="30"/>
        <v>7.2355477348621461E-3</v>
      </c>
      <c r="AG147" s="22">
        <f t="shared" si="30"/>
        <v>7.251805370649388E-3</v>
      </c>
      <c r="AH147" s="22">
        <f t="shared" si="30"/>
        <v>7.1807359365347809E-3</v>
      </c>
      <c r="AI147" s="22">
        <f t="shared" si="30"/>
        <v>7.190245046253943E-3</v>
      </c>
      <c r="AJ147" s="22">
        <f t="shared" si="30"/>
        <v>7.2006067907325584E-3</v>
      </c>
      <c r="AK147" s="22">
        <f t="shared" si="30"/>
        <v>7.2117865437637393E-3</v>
      </c>
      <c r="AL147" s="22">
        <f t="shared" si="30"/>
        <v>7.2237523649430046E-3</v>
      </c>
      <c r="AM147" s="22">
        <f t="shared" si="30"/>
        <v>7.2364747425077329E-3</v>
      </c>
      <c r="AN147" s="22">
        <f t="shared" si="30"/>
        <v>7.2419358028516061E-3</v>
      </c>
      <c r="AO147" s="22">
        <f t="shared" si="30"/>
        <v>7.2480784197247895E-3</v>
      </c>
      <c r="AP147" s="22">
        <f t="shared" si="30"/>
        <v>7.2548768984790225E-3</v>
      </c>
      <c r="AQ147" s="22">
        <f t="shared" si="30"/>
        <v>7.2623073071793384E-3</v>
      </c>
      <c r="AR147" s="22">
        <f t="shared" si="30"/>
        <v>7.2703473255873539E-3</v>
      </c>
      <c r="AS147" s="22">
        <f t="shared" si="30"/>
        <v>7.2709746073527197E-3</v>
      </c>
      <c r="AT147" s="22">
        <f t="shared" si="30"/>
        <v>7.272159750962735E-3</v>
      </c>
      <c r="AU147" s="22">
        <f t="shared" si="30"/>
        <v>7.2738827218876909E-3</v>
      </c>
      <c r="AV147" s="22">
        <f t="shared" si="30"/>
        <v>7.2761247118879498E-3</v>
      </c>
      <c r="AW147" s="22">
        <f t="shared" si="30"/>
        <v>7.2788680440104758E-3</v>
      </c>
      <c r="AY147" s="85"/>
    </row>
    <row r="148" spans="1:51" x14ac:dyDescent="0.25">
      <c r="A148" s="102" t="str">
        <f t="shared" si="0"/>
        <v>FS MM Leaching</v>
      </c>
      <c r="B148" s="102" t="s">
        <v>1005</v>
      </c>
      <c r="C148" s="102" t="s">
        <v>1334</v>
      </c>
      <c r="D148" t="s">
        <v>369</v>
      </c>
      <c r="E148" t="s">
        <v>64</v>
      </c>
      <c r="F148" t="s">
        <v>63</v>
      </c>
      <c r="G148" t="s">
        <v>1173</v>
      </c>
      <c r="H148" t="s">
        <v>1317</v>
      </c>
      <c r="I148" t="s">
        <v>139</v>
      </c>
      <c r="J148" t="s">
        <v>287</v>
      </c>
      <c r="K148" s="22">
        <f t="shared" si="26"/>
        <v>0</v>
      </c>
      <c r="L148" s="22">
        <f t="shared" si="30"/>
        <v>0</v>
      </c>
      <c r="M148" s="22">
        <f t="shared" si="30"/>
        <v>0</v>
      </c>
      <c r="N148" s="22">
        <f t="shared" si="30"/>
        <v>0</v>
      </c>
      <c r="O148" s="22">
        <f t="shared" si="30"/>
        <v>0</v>
      </c>
      <c r="P148" s="22">
        <f t="shared" si="30"/>
        <v>0</v>
      </c>
      <c r="Q148" s="22">
        <f t="shared" si="30"/>
        <v>0</v>
      </c>
      <c r="R148" s="22">
        <f t="shared" si="30"/>
        <v>0</v>
      </c>
      <c r="S148" s="22">
        <f t="shared" si="30"/>
        <v>0</v>
      </c>
      <c r="T148" s="22">
        <f t="shared" si="30"/>
        <v>0</v>
      </c>
      <c r="U148" s="22">
        <f t="shared" si="30"/>
        <v>0</v>
      </c>
      <c r="V148" s="22">
        <f t="shared" si="30"/>
        <v>0</v>
      </c>
      <c r="W148" s="22">
        <f t="shared" si="30"/>
        <v>0</v>
      </c>
      <c r="X148" s="22">
        <f t="shared" si="30"/>
        <v>0</v>
      </c>
      <c r="Y148" s="22">
        <f t="shared" si="30"/>
        <v>0</v>
      </c>
      <c r="Z148" s="22">
        <f t="shared" si="30"/>
        <v>0</v>
      </c>
      <c r="AA148" s="22">
        <f t="shared" si="30"/>
        <v>0</v>
      </c>
      <c r="AB148" s="22">
        <f t="shared" si="30"/>
        <v>0</v>
      </c>
      <c r="AC148" s="22">
        <f t="shared" si="30"/>
        <v>0</v>
      </c>
      <c r="AD148" s="22">
        <f t="shared" si="30"/>
        <v>0</v>
      </c>
      <c r="AE148" s="22">
        <f t="shared" si="30"/>
        <v>0</v>
      </c>
      <c r="AF148" s="22">
        <f t="shared" si="30"/>
        <v>0</v>
      </c>
      <c r="AG148" s="22">
        <f t="shared" si="30"/>
        <v>0</v>
      </c>
      <c r="AH148" s="22">
        <f t="shared" si="30"/>
        <v>0</v>
      </c>
      <c r="AI148" s="22">
        <f t="shared" si="30"/>
        <v>0</v>
      </c>
      <c r="AJ148" s="22">
        <f t="shared" si="30"/>
        <v>0</v>
      </c>
      <c r="AK148" s="22">
        <f t="shared" si="30"/>
        <v>0</v>
      </c>
      <c r="AL148" s="22">
        <f t="shared" si="30"/>
        <v>0</v>
      </c>
      <c r="AM148" s="22">
        <f t="shared" si="30"/>
        <v>0</v>
      </c>
      <c r="AN148" s="22">
        <f t="shared" ref="L148:AW153" si="31">AN1557</f>
        <v>0</v>
      </c>
      <c r="AO148" s="22">
        <f t="shared" si="31"/>
        <v>0</v>
      </c>
      <c r="AP148" s="22">
        <f t="shared" si="31"/>
        <v>0</v>
      </c>
      <c r="AQ148" s="22">
        <f t="shared" si="31"/>
        <v>0</v>
      </c>
      <c r="AR148" s="22">
        <f t="shared" si="31"/>
        <v>0</v>
      </c>
      <c r="AS148" s="22">
        <f t="shared" si="31"/>
        <v>0</v>
      </c>
      <c r="AT148" s="22">
        <f t="shared" si="31"/>
        <v>0</v>
      </c>
      <c r="AU148" s="22">
        <f t="shared" si="31"/>
        <v>0</v>
      </c>
      <c r="AV148" s="22">
        <f t="shared" si="31"/>
        <v>0</v>
      </c>
      <c r="AW148" s="22">
        <f t="shared" si="31"/>
        <v>0</v>
      </c>
      <c r="AY148" s="85"/>
    </row>
    <row r="149" spans="1:51" x14ac:dyDescent="0.25">
      <c r="A149" s="102" t="str">
        <f t="shared" si="0"/>
        <v>FS MM Leaching</v>
      </c>
      <c r="B149" s="102" t="s">
        <v>1005</v>
      </c>
      <c r="C149" s="102" t="s">
        <v>1334</v>
      </c>
      <c r="D149" t="s">
        <v>369</v>
      </c>
      <c r="E149" t="s">
        <v>64</v>
      </c>
      <c r="F149" t="s">
        <v>63</v>
      </c>
      <c r="G149" t="s">
        <v>1175</v>
      </c>
      <c r="H149" t="s">
        <v>1318</v>
      </c>
      <c r="I149" t="s">
        <v>139</v>
      </c>
      <c r="J149" t="s">
        <v>287</v>
      </c>
      <c r="K149" s="22">
        <f t="shared" si="26"/>
        <v>0</v>
      </c>
      <c r="L149" s="22">
        <f t="shared" si="31"/>
        <v>0</v>
      </c>
      <c r="M149" s="22">
        <f t="shared" si="31"/>
        <v>0</v>
      </c>
      <c r="N149" s="22">
        <f t="shared" si="31"/>
        <v>0</v>
      </c>
      <c r="O149" s="22">
        <f t="shared" si="31"/>
        <v>0</v>
      </c>
      <c r="P149" s="22">
        <f t="shared" si="31"/>
        <v>0</v>
      </c>
      <c r="Q149" s="22">
        <f t="shared" si="31"/>
        <v>0</v>
      </c>
      <c r="R149" s="22">
        <f t="shared" si="31"/>
        <v>0</v>
      </c>
      <c r="S149" s="22">
        <f t="shared" si="31"/>
        <v>0</v>
      </c>
      <c r="T149" s="22">
        <f t="shared" si="31"/>
        <v>0</v>
      </c>
      <c r="U149" s="22">
        <f t="shared" si="31"/>
        <v>0</v>
      </c>
      <c r="V149" s="22">
        <f t="shared" si="31"/>
        <v>0</v>
      </c>
      <c r="W149" s="22">
        <f t="shared" si="31"/>
        <v>0</v>
      </c>
      <c r="X149" s="22">
        <f t="shared" si="31"/>
        <v>0</v>
      </c>
      <c r="Y149" s="22">
        <f t="shared" si="31"/>
        <v>0</v>
      </c>
      <c r="Z149" s="22">
        <f t="shared" si="31"/>
        <v>0</v>
      </c>
      <c r="AA149" s="22">
        <f t="shared" si="31"/>
        <v>0</v>
      </c>
      <c r="AB149" s="22">
        <f t="shared" si="31"/>
        <v>0</v>
      </c>
      <c r="AC149" s="22">
        <f t="shared" si="31"/>
        <v>0</v>
      </c>
      <c r="AD149" s="22">
        <f t="shared" si="31"/>
        <v>0</v>
      </c>
      <c r="AE149" s="22">
        <f t="shared" si="31"/>
        <v>0</v>
      </c>
      <c r="AF149" s="22">
        <f t="shared" si="31"/>
        <v>0</v>
      </c>
      <c r="AG149" s="22">
        <f t="shared" si="31"/>
        <v>0</v>
      </c>
      <c r="AH149" s="22">
        <f t="shared" si="31"/>
        <v>0</v>
      </c>
      <c r="AI149" s="22">
        <f t="shared" si="31"/>
        <v>0</v>
      </c>
      <c r="AJ149" s="22">
        <f t="shared" si="31"/>
        <v>0</v>
      </c>
      <c r="AK149" s="22">
        <f t="shared" si="31"/>
        <v>0</v>
      </c>
      <c r="AL149" s="22">
        <f t="shared" si="31"/>
        <v>0</v>
      </c>
      <c r="AM149" s="22">
        <f t="shared" si="31"/>
        <v>0</v>
      </c>
      <c r="AN149" s="22">
        <f t="shared" si="31"/>
        <v>0</v>
      </c>
      <c r="AO149" s="22">
        <f t="shared" si="31"/>
        <v>0</v>
      </c>
      <c r="AP149" s="22">
        <f t="shared" si="31"/>
        <v>0</v>
      </c>
      <c r="AQ149" s="22">
        <f t="shared" si="31"/>
        <v>0</v>
      </c>
      <c r="AR149" s="22">
        <f t="shared" si="31"/>
        <v>0</v>
      </c>
      <c r="AS149" s="22">
        <f t="shared" si="31"/>
        <v>0</v>
      </c>
      <c r="AT149" s="22">
        <f t="shared" si="31"/>
        <v>0</v>
      </c>
      <c r="AU149" s="22">
        <f t="shared" si="31"/>
        <v>0</v>
      </c>
      <c r="AV149" s="22">
        <f t="shared" si="31"/>
        <v>0</v>
      </c>
      <c r="AW149" s="22">
        <f t="shared" si="31"/>
        <v>0</v>
      </c>
      <c r="AY149" s="85"/>
    </row>
    <row r="150" spans="1:51" x14ac:dyDescent="0.25">
      <c r="A150" s="102" t="str">
        <f t="shared" si="0"/>
        <v>FS MM Leaching</v>
      </c>
      <c r="B150" s="102" t="s">
        <v>1005</v>
      </c>
      <c r="C150" s="102" t="s">
        <v>1334</v>
      </c>
      <c r="D150" t="s">
        <v>369</v>
      </c>
      <c r="E150" t="s">
        <v>64</v>
      </c>
      <c r="F150" t="s">
        <v>63</v>
      </c>
      <c r="G150" t="s">
        <v>1177</v>
      </c>
      <c r="H150" t="s">
        <v>1319</v>
      </c>
      <c r="I150" t="s">
        <v>139</v>
      </c>
      <c r="J150" t="s">
        <v>287</v>
      </c>
      <c r="K150" s="22">
        <f t="shared" si="26"/>
        <v>2.7080534096129025E-2</v>
      </c>
      <c r="L150" s="22">
        <f t="shared" si="31"/>
        <v>2.6995058080291692E-2</v>
      </c>
      <c r="M150" s="22">
        <f t="shared" si="31"/>
        <v>2.6712389539955236E-2</v>
      </c>
      <c r="N150" s="22">
        <f t="shared" si="31"/>
        <v>2.6163552006630762E-2</v>
      </c>
      <c r="O150" s="22">
        <f t="shared" si="31"/>
        <v>2.5638728055519384E-2</v>
      </c>
      <c r="P150" s="22">
        <f t="shared" si="31"/>
        <v>2.5270557311936091E-2</v>
      </c>
      <c r="Q150" s="22">
        <f t="shared" si="31"/>
        <v>2.4958747401341939E-2</v>
      </c>
      <c r="R150" s="22">
        <f t="shared" si="31"/>
        <v>2.4384582351632111E-2</v>
      </c>
      <c r="S150" s="22">
        <f t="shared" si="31"/>
        <v>2.1346855337625082E-2</v>
      </c>
      <c r="T150" s="22">
        <f t="shared" si="31"/>
        <v>2.1482505917310397E-2</v>
      </c>
      <c r="U150" s="22">
        <f t="shared" si="31"/>
        <v>2.1550596950866634E-2</v>
      </c>
      <c r="V150" s="22">
        <f t="shared" si="31"/>
        <v>2.1616794763907179E-2</v>
      </c>
      <c r="W150" s="22">
        <f t="shared" si="31"/>
        <v>2.1778489708019384E-2</v>
      </c>
      <c r="X150" s="22">
        <f t="shared" si="31"/>
        <v>2.1934748739134539E-2</v>
      </c>
      <c r="Y150" s="22">
        <f t="shared" si="31"/>
        <v>2.2114017881126848E-2</v>
      </c>
      <c r="Z150" s="22">
        <f t="shared" si="31"/>
        <v>2.2264487150526265E-2</v>
      </c>
      <c r="AA150" s="22">
        <f t="shared" si="31"/>
        <v>2.2445316206361306E-2</v>
      </c>
      <c r="AB150" s="22">
        <f t="shared" si="31"/>
        <v>2.2576949368517302E-2</v>
      </c>
      <c r="AC150" s="22">
        <f t="shared" si="31"/>
        <v>2.271541592892265E-2</v>
      </c>
      <c r="AD150" s="22">
        <f t="shared" si="31"/>
        <v>2.2970809719090692E-2</v>
      </c>
      <c r="AE150" s="22">
        <f t="shared" si="31"/>
        <v>2.3269151361655305E-2</v>
      </c>
      <c r="AF150" s="22">
        <f t="shared" si="31"/>
        <v>2.3577881186145462E-2</v>
      </c>
      <c r="AG150" s="22">
        <f t="shared" si="31"/>
        <v>2.3230896400696678E-2</v>
      </c>
      <c r="AH150" s="22">
        <f t="shared" si="31"/>
        <v>-7.8382777121831278E-3</v>
      </c>
      <c r="AI150" s="22">
        <f t="shared" si="31"/>
        <v>-7.7525396142955495E-3</v>
      </c>
      <c r="AJ150" s="22">
        <f t="shared" si="31"/>
        <v>-7.6686379044997068E-3</v>
      </c>
      <c r="AK150" s="22">
        <f t="shared" si="31"/>
        <v>-7.586452448594779E-3</v>
      </c>
      <c r="AL150" s="22">
        <f t="shared" si="31"/>
        <v>-7.5058719086197852E-3</v>
      </c>
      <c r="AM150" s="22">
        <f t="shared" si="31"/>
        <v>-7.4267928922061455E-3</v>
      </c>
      <c r="AN150" s="22">
        <f t="shared" si="31"/>
        <v>-7.3400589670898171E-3</v>
      </c>
      <c r="AO150" s="22">
        <f t="shared" si="31"/>
        <v>-7.2548542835376628E-3</v>
      </c>
      <c r="AP150" s="22">
        <f t="shared" si="31"/>
        <v>-7.1710895268481756E-3</v>
      </c>
      <c r="AQ150" s="22">
        <f t="shared" si="31"/>
        <v>-7.0886812161586998E-3</v>
      </c>
      <c r="AR150" s="22">
        <f t="shared" si="31"/>
        <v>-7.0075512003870211E-3</v>
      </c>
      <c r="AS150" s="22">
        <f t="shared" si="31"/>
        <v>-6.9191376458643079E-3</v>
      </c>
      <c r="AT150" s="22">
        <f t="shared" si="31"/>
        <v>-6.8320744878094938E-3</v>
      </c>
      <c r="AU150" s="22">
        <f t="shared" si="31"/>
        <v>-6.7462922163727323E-3</v>
      </c>
      <c r="AV150" s="22">
        <f t="shared" si="31"/>
        <v>-6.6617254285893414E-3</v>
      </c>
      <c r="AW150" s="22">
        <f t="shared" si="31"/>
        <v>-6.5783125081778221E-3</v>
      </c>
      <c r="AY150" s="85"/>
    </row>
    <row r="151" spans="1:51" x14ac:dyDescent="0.25">
      <c r="A151" s="102" t="str">
        <f t="shared" si="0"/>
        <v>FS MM Leaching</v>
      </c>
      <c r="B151" s="102" t="s">
        <v>1005</v>
      </c>
      <c r="C151" s="102" t="s">
        <v>1334</v>
      </c>
      <c r="D151" t="s">
        <v>369</v>
      </c>
      <c r="E151" t="s">
        <v>64</v>
      </c>
      <c r="F151" t="s">
        <v>63</v>
      </c>
      <c r="G151" t="s">
        <v>1179</v>
      </c>
      <c r="H151" t="s">
        <v>1320</v>
      </c>
      <c r="I151" t="s">
        <v>139</v>
      </c>
      <c r="J151" t="s">
        <v>287</v>
      </c>
      <c r="K151" s="22">
        <f t="shared" si="26"/>
        <v>4.0473192123070822E-3</v>
      </c>
      <c r="L151" s="22">
        <f t="shared" si="31"/>
        <v>4.0345444007076556E-3</v>
      </c>
      <c r="M151" s="22">
        <f t="shared" si="31"/>
        <v>3.9922981950029426E-3</v>
      </c>
      <c r="N151" s="22">
        <f t="shared" si="31"/>
        <v>3.9102717222172061E-3</v>
      </c>
      <c r="O151" s="22">
        <f t="shared" si="31"/>
        <v>3.8318341975778526E-3</v>
      </c>
      <c r="P151" s="22">
        <f t="shared" si="31"/>
        <v>3.7768092664363703E-3</v>
      </c>
      <c r="Q151" s="22">
        <f t="shared" si="31"/>
        <v>3.7302077394038642E-3</v>
      </c>
      <c r="R151" s="22">
        <f t="shared" si="31"/>
        <v>3.6443959445376013E-3</v>
      </c>
      <c r="S151" s="22">
        <f t="shared" si="31"/>
        <v>3.1903926792440892E-3</v>
      </c>
      <c r="T151" s="22">
        <f t="shared" si="31"/>
        <v>3.2106663265573984E-3</v>
      </c>
      <c r="U151" s="22">
        <f t="shared" si="31"/>
        <v>3.2208428669210313E-3</v>
      </c>
      <c r="V151" s="22">
        <f t="shared" si="31"/>
        <v>3.2307364561530842E-3</v>
      </c>
      <c r="W151" s="22">
        <f t="shared" si="31"/>
        <v>3.254902562017731E-3</v>
      </c>
      <c r="X151" s="22">
        <f t="shared" si="31"/>
        <v>3.2782562439090815E-3</v>
      </c>
      <c r="Y151" s="22">
        <f t="shared" si="31"/>
        <v>3.3050489002128215E-3</v>
      </c>
      <c r="Z151" s="22">
        <f t="shared" si="31"/>
        <v>3.3275372736969E-3</v>
      </c>
      <c r="AA151" s="22">
        <f t="shared" si="31"/>
        <v>3.3545630668081641E-3</v>
      </c>
      <c r="AB151" s="22">
        <f t="shared" si="31"/>
        <v>3.374236291282967E-3</v>
      </c>
      <c r="AC151" s="22">
        <f t="shared" si="31"/>
        <v>3.3949308007856708E-3</v>
      </c>
      <c r="AD151" s="22">
        <f t="shared" si="31"/>
        <v>3.4331006607294153E-3</v>
      </c>
      <c r="AE151" s="22">
        <f t="shared" si="31"/>
        <v>3.4776892887637355E-3</v>
      </c>
      <c r="AF151" s="22">
        <f t="shared" si="31"/>
        <v>3.5238304817562988E-3</v>
      </c>
      <c r="AG151" s="22">
        <f t="shared" si="31"/>
        <v>3.4719718964145189E-3</v>
      </c>
      <c r="AH151" s="22">
        <f t="shared" si="31"/>
        <v>-1.1714692133953115E-3</v>
      </c>
      <c r="AI151" s="22">
        <f t="shared" si="31"/>
        <v>-1.1586552323425276E-3</v>
      </c>
      <c r="AJ151" s="22">
        <f t="shared" si="31"/>
        <v>-1.1461157085356224E-3</v>
      </c>
      <c r="AK151" s="22">
        <f t="shared" si="31"/>
        <v>-1.133832687326532E-3</v>
      </c>
      <c r="AL151" s="22">
        <f t="shared" si="31"/>
        <v>-1.1217895287085682E-3</v>
      </c>
      <c r="AM151" s="22">
        <f t="shared" si="31"/>
        <v>-1.109970780182961E-3</v>
      </c>
      <c r="AN151" s="22">
        <f t="shared" si="31"/>
        <v>-1.0970079678456562E-3</v>
      </c>
      <c r="AO151" s="22">
        <f t="shared" si="31"/>
        <v>-1.0842737081927609E-3</v>
      </c>
      <c r="AP151" s="22">
        <f t="shared" si="31"/>
        <v>-1.0717546527021955E-3</v>
      </c>
      <c r="AQ151" s="22">
        <f t="shared" si="31"/>
        <v>-1.0594383247478308E-3</v>
      </c>
      <c r="AR151" s="22">
        <f t="shared" si="31"/>
        <v>-1.0473130442654776E-3</v>
      </c>
      <c r="AS151" s="22">
        <f t="shared" si="31"/>
        <v>-1.0340992030399717E-3</v>
      </c>
      <c r="AT151" s="22">
        <f t="shared" si="31"/>
        <v>-1.0210871852182944E-3</v>
      </c>
      <c r="AU151" s="22">
        <f t="shared" si="31"/>
        <v>-1.0082666022109977E-3</v>
      </c>
      <c r="AV151" s="22">
        <f t="shared" si="31"/>
        <v>-9.9562767922285289E-4</v>
      </c>
      <c r="AW151" s="22">
        <f t="shared" si="31"/>
        <v>-9.8316120739708342E-4</v>
      </c>
      <c r="AY151" s="85"/>
    </row>
    <row r="152" spans="1:51" x14ac:dyDescent="0.25">
      <c r="A152" s="102" t="str">
        <f t="shared" si="0"/>
        <v>FS MM Leaching</v>
      </c>
      <c r="B152" s="102" t="s">
        <v>1005</v>
      </c>
      <c r="C152" s="102" t="s">
        <v>1334</v>
      </c>
      <c r="D152" t="s">
        <v>369</v>
      </c>
      <c r="E152" t="s">
        <v>64</v>
      </c>
      <c r="F152" t="s">
        <v>63</v>
      </c>
      <c r="G152" t="s">
        <v>1181</v>
      </c>
      <c r="H152" t="s">
        <v>1321</v>
      </c>
      <c r="I152" t="s">
        <v>139</v>
      </c>
      <c r="J152" t="s">
        <v>287</v>
      </c>
      <c r="K152" s="22">
        <f t="shared" si="26"/>
        <v>1.6818104652936192E-2</v>
      </c>
      <c r="L152" s="22">
        <f t="shared" si="31"/>
        <v>1.718231236008292E-2</v>
      </c>
      <c r="M152" s="22">
        <f t="shared" si="31"/>
        <v>1.7475775480268494E-2</v>
      </c>
      <c r="N152" s="22">
        <f t="shared" si="31"/>
        <v>1.7667520029914504E-2</v>
      </c>
      <c r="O152" s="22">
        <f t="shared" si="31"/>
        <v>1.7861867169015104E-2</v>
      </c>
      <c r="P152" s="22">
        <f t="shared" si="31"/>
        <v>1.8112417299921187E-2</v>
      </c>
      <c r="Q152" s="22">
        <f t="shared" si="31"/>
        <v>1.8380356458960346E-2</v>
      </c>
      <c r="R152" s="22">
        <f t="shared" si="31"/>
        <v>1.8536177397088752E-2</v>
      </c>
      <c r="S152" s="22">
        <f t="shared" si="31"/>
        <v>1.76397656538211E-2</v>
      </c>
      <c r="T152" s="22">
        <f t="shared" si="31"/>
        <v>1.801846759992717E-2</v>
      </c>
      <c r="U152" s="22">
        <f t="shared" si="31"/>
        <v>1.8371985881481728E-2</v>
      </c>
      <c r="V152" s="22">
        <f t="shared" si="31"/>
        <v>1.8728295000039214E-2</v>
      </c>
      <c r="W152" s="22">
        <f t="shared" si="31"/>
        <v>1.9132681284008777E-2</v>
      </c>
      <c r="X152" s="22">
        <f t="shared" si="31"/>
        <v>1.9540426695963047E-2</v>
      </c>
      <c r="Y152" s="22">
        <f t="shared" si="31"/>
        <v>1.9948690293653936E-2</v>
      </c>
      <c r="Z152" s="22">
        <f t="shared" si="31"/>
        <v>2.0349079299491275E-2</v>
      </c>
      <c r="AA152" s="22">
        <f t="shared" si="31"/>
        <v>2.0770745700628056E-2</v>
      </c>
      <c r="AB152" s="22">
        <f t="shared" si="31"/>
        <v>2.1173883464125715E-2</v>
      </c>
      <c r="AC152" s="22">
        <f t="shared" si="31"/>
        <v>2.1586582056186982E-2</v>
      </c>
      <c r="AD152" s="22">
        <f t="shared" si="31"/>
        <v>2.2054503180091424E-2</v>
      </c>
      <c r="AE152" s="22">
        <f t="shared" si="31"/>
        <v>2.2554673664968956E-2</v>
      </c>
      <c r="AF152" s="22">
        <f t="shared" si="31"/>
        <v>2.3070579743094625E-2</v>
      </c>
      <c r="AG152" s="22">
        <f t="shared" si="31"/>
        <v>2.3224138845155579E-2</v>
      </c>
      <c r="AH152" s="22">
        <f t="shared" si="31"/>
        <v>5.566614295378065E-3</v>
      </c>
      <c r="AI152" s="22">
        <f t="shared" si="31"/>
        <v>5.6093984340287433E-3</v>
      </c>
      <c r="AJ152" s="22">
        <f t="shared" si="31"/>
        <v>5.652494073803362E-3</v>
      </c>
      <c r="AK152" s="22">
        <f t="shared" si="31"/>
        <v>5.6959035866970768E-3</v>
      </c>
      <c r="AL152" s="22">
        <f t="shared" si="31"/>
        <v>5.7396293554766858E-3</v>
      </c>
      <c r="AM152" s="22">
        <f t="shared" si="31"/>
        <v>5.7836737743814492E-3</v>
      </c>
      <c r="AN152" s="22">
        <f t="shared" si="31"/>
        <v>5.821325048469962E-3</v>
      </c>
      <c r="AO152" s="22">
        <f t="shared" si="31"/>
        <v>5.8592087350485328E-3</v>
      </c>
      <c r="AP152" s="22">
        <f t="shared" si="31"/>
        <v>5.8973263448292906E-3</v>
      </c>
      <c r="AQ152" s="22">
        <f t="shared" si="31"/>
        <v>5.9356793935795814E-3</v>
      </c>
      <c r="AR152" s="22">
        <f t="shared" si="31"/>
        <v>5.9742694025184985E-3</v>
      </c>
      <c r="AS152" s="22">
        <f t="shared" si="31"/>
        <v>6.0061978888300534E-3</v>
      </c>
      <c r="AT152" s="22">
        <f t="shared" si="31"/>
        <v>6.0382881266520675E-3</v>
      </c>
      <c r="AU152" s="22">
        <f t="shared" si="31"/>
        <v>6.0705409933047069E-3</v>
      </c>
      <c r="AV152" s="22">
        <f t="shared" si="31"/>
        <v>6.1029573675840942E-3</v>
      </c>
      <c r="AW152" s="22">
        <f t="shared" si="31"/>
        <v>6.1355381299989719E-3</v>
      </c>
      <c r="AY152" s="85"/>
    </row>
    <row r="153" spans="1:51" x14ac:dyDescent="0.25">
      <c r="A153" s="102" t="str">
        <f t="shared" si="0"/>
        <v>FS MM Leaching</v>
      </c>
      <c r="B153" s="102" t="s">
        <v>1005</v>
      </c>
      <c r="C153" s="102" t="s">
        <v>1334</v>
      </c>
      <c r="D153" t="s">
        <v>369</v>
      </c>
      <c r="E153" t="s">
        <v>64</v>
      </c>
      <c r="F153" t="s">
        <v>63</v>
      </c>
      <c r="G153" t="s">
        <v>1183</v>
      </c>
      <c r="H153" t="s">
        <v>1322</v>
      </c>
      <c r="I153" t="s">
        <v>139</v>
      </c>
      <c r="J153" t="s">
        <v>287</v>
      </c>
      <c r="K153" s="22">
        <f t="shared" si="26"/>
        <v>7.8494818970751015E-2</v>
      </c>
      <c r="L153" s="22">
        <f t="shared" si="31"/>
        <v>7.9768604189276573E-2</v>
      </c>
      <c r="M153" s="22">
        <f t="shared" si="31"/>
        <v>8.0146817618550151E-2</v>
      </c>
      <c r="N153" s="22">
        <f t="shared" si="31"/>
        <v>7.92990227060308E-2</v>
      </c>
      <c r="O153" s="22">
        <f t="shared" si="31"/>
        <v>7.8453048138272599E-2</v>
      </c>
      <c r="P153" s="22">
        <f t="shared" si="31"/>
        <v>7.8207580187434067E-2</v>
      </c>
      <c r="Q153" s="22">
        <f t="shared" si="31"/>
        <v>7.8156445174191957E-2</v>
      </c>
      <c r="R153" s="22">
        <f t="shared" si="31"/>
        <v>7.6852772864248492E-2</v>
      </c>
      <c r="S153" s="22">
        <f t="shared" si="31"/>
        <v>6.4037092776490251E-2</v>
      </c>
      <c r="T153" s="22">
        <f t="shared" si="31"/>
        <v>6.592602729202128E-2</v>
      </c>
      <c r="U153" s="22">
        <f t="shared" si="31"/>
        <v>6.7504922847287652E-2</v>
      </c>
      <c r="V153" s="22">
        <f t="shared" si="31"/>
        <v>6.9079987400904638E-2</v>
      </c>
      <c r="W153" s="22">
        <f t="shared" si="31"/>
        <v>7.1129196138688011E-2</v>
      </c>
      <c r="X153" s="22">
        <f t="shared" si="31"/>
        <v>7.3172253795344297E-2</v>
      </c>
      <c r="Y153" s="22">
        <f t="shared" si="31"/>
        <v>7.5415394971077201E-2</v>
      </c>
      <c r="Z153" s="22">
        <f t="shared" si="31"/>
        <v>7.7538763261802646E-2</v>
      </c>
      <c r="AA153" s="22">
        <f t="shared" si="31"/>
        <v>7.984321522583579E-2</v>
      </c>
      <c r="AB153" s="22">
        <f t="shared" si="31"/>
        <v>8.1921087927437922E-2</v>
      </c>
      <c r="AC153" s="22">
        <f t="shared" si="31"/>
        <v>8.4060316833005314E-2</v>
      </c>
      <c r="AD153" s="22">
        <f t="shared" si="31"/>
        <v>8.6903196778093231E-2</v>
      </c>
      <c r="AE153" s="22">
        <f t="shared" si="31"/>
        <v>9.0024318002173712E-2</v>
      </c>
      <c r="AF153" s="22">
        <f t="shared" si="31"/>
        <v>9.3255519309180357E-2</v>
      </c>
      <c r="AG153" s="22">
        <f t="shared" si="31"/>
        <v>9.2895703603725718E-2</v>
      </c>
      <c r="AH153" s="22">
        <f t="shared" si="31"/>
        <v>-8.0563954207335059E-2</v>
      </c>
      <c r="AI153" s="22">
        <f t="shared" si="31"/>
        <v>-8.0679385855871269E-2</v>
      </c>
      <c r="AJ153" s="22">
        <f t="shared" si="31"/>
        <v>-8.0804585525595149E-2</v>
      </c>
      <c r="AK153" s="22">
        <f t="shared" si="31"/>
        <v>-8.0939145577368532E-2</v>
      </c>
      <c r="AL153" s="22">
        <f t="shared" si="31"/>
        <v>-8.1082690034370505E-2</v>
      </c>
      <c r="AM153" s="22">
        <f t="shared" si="31"/>
        <v>-8.1234871540648887E-2</v>
      </c>
      <c r="AN153" s="22">
        <f t="shared" si="31"/>
        <v>-8.1297506735230202E-2</v>
      </c>
      <c r="AO153" s="22">
        <f t="shared" si="31"/>
        <v>-8.1367991924777852E-2</v>
      </c>
      <c r="AP153" s="22">
        <f t="shared" si="31"/>
        <v>-8.144602229798413E-2</v>
      </c>
      <c r="AQ153" s="22">
        <f t="shared" si="31"/>
        <v>-8.1531313973181002E-2</v>
      </c>
      <c r="AR153" s="22">
        <f t="shared" si="31"/>
        <v>-8.1623602199923873E-2</v>
      </c>
      <c r="AS153" s="22">
        <f t="shared" si="31"/>
        <v>-8.1624903700920404E-2</v>
      </c>
      <c r="AT153" s="22">
        <f t="shared" si="31"/>
        <v>-8.1632684613039755E-2</v>
      </c>
      <c r="AU153" s="22">
        <f t="shared" si="31"/>
        <v>-8.1646705375421999E-2</v>
      </c>
      <c r="AV153" s="22">
        <f t="shared" si="31"/>
        <v>-8.1666741103231646E-2</v>
      </c>
      <c r="AW153" s="22">
        <f t="shared" si="31"/>
        <v>-8.1692580447798743E-2</v>
      </c>
      <c r="AY153" s="85"/>
    </row>
    <row r="154" spans="1:51" x14ac:dyDescent="0.25">
      <c r="A154" s="102"/>
      <c r="B154" s="102"/>
      <c r="C154" s="102"/>
    </row>
    <row r="155" spans="1:51" x14ac:dyDescent="0.25">
      <c r="A155" s="102"/>
      <c r="B155" s="102"/>
      <c r="C155" s="102"/>
    </row>
    <row r="156" spans="1:51" x14ac:dyDescent="0.25">
      <c r="A156" s="102"/>
      <c r="B156" s="102"/>
      <c r="C156" s="102"/>
    </row>
    <row r="157" spans="1:51" x14ac:dyDescent="0.25">
      <c r="A157" s="102" t="str">
        <f t="shared" si="0"/>
        <v>FA Cattle</v>
      </c>
      <c r="B157" s="102" t="s">
        <v>963</v>
      </c>
      <c r="C157" s="102" t="s">
        <v>1109</v>
      </c>
      <c r="D157" t="str">
        <f>D8</f>
        <v>3A Livestock</v>
      </c>
      <c r="E157" t="str">
        <f>E8</f>
        <v>3A1 Enteric fermentation (CH4)</v>
      </c>
      <c r="F157" t="s">
        <v>6</v>
      </c>
      <c r="G157" t="s">
        <v>136</v>
      </c>
      <c r="H157" t="s">
        <v>1021</v>
      </c>
      <c r="I157" t="s">
        <v>121</v>
      </c>
      <c r="J157" t="s">
        <v>286</v>
      </c>
      <c r="K157" s="100">
        <f>IF('Net zero activities &amp; levers'!$C$6="Off",('Activity data'!AD5*EF!$H4)*kgtoGg,IF('Net zero activities &amp; levers'!$C$6="On",(('Net zero supporting data'!B40*EF!$H4)+('Net zero supporting data'!B38*'Net zero supporting data'!B42))*kgtoGg,"ERROR"))</f>
        <v>72.376996171709351</v>
      </c>
      <c r="L157" s="100">
        <f>IF('Net zero activities &amp; levers'!$C$6="Off",('Activity data'!AE5*EF!$H4)*kgtoGg,IF('Net zero activities &amp; levers'!$C$6="On",(('Net zero supporting data'!C40*EF!$H4)+('Net zero supporting data'!C38*'Net zero supporting data'!C42))*kgtoGg,"ERROR"))</f>
        <v>72.827193296605245</v>
      </c>
      <c r="M157" s="100">
        <f>IF('Net zero activities &amp; levers'!$C$6="Off",('Activity data'!AF5*EF!$H4)*kgtoGg,IF('Net zero activities &amp; levers'!$C$6="On",(('Net zero supporting data'!D40*EF!$H4)+('Net zero supporting data'!D38*'Net zero supporting data'!D42))*kgtoGg,"ERROR"))</f>
        <v>73.136710021656683</v>
      </c>
      <c r="N157" s="100">
        <f>IF('Net zero activities &amp; levers'!$C$6="Off",('Activity data'!AG5*EF!$H4)*kgtoGg,IF('Net zero activities &amp; levers'!$C$6="On",(('Net zero supporting data'!E40*EF!$H4)+('Net zero supporting data'!E38*'Net zero supporting data'!E42))*kgtoGg,"ERROR"))</f>
        <v>73.233779022849987</v>
      </c>
      <c r="O157" s="100">
        <f>IF('Net zero activities &amp; levers'!$C$6="Off",('Activity data'!AH5*EF!$H4)*kgtoGg,IF('Net zero activities &amp; levers'!$C$6="On",(('Net zero supporting data'!F40*EF!$H4)+('Net zero supporting data'!F38*'Net zero supporting data'!F42))*kgtoGg,"ERROR"))</f>
        <v>73.365098896994937</v>
      </c>
      <c r="P157" s="100">
        <f>IF('Net zero activities &amp; levers'!$C$6="Off",('Activity data'!AI5*EF!$H4)*kgtoGg,IF('Net zero activities &amp; levers'!$C$6="On",(('Net zero supporting data'!G40*EF!$H4)+('Net zero supporting data'!G38*'Net zero supporting data'!G42))*kgtoGg,"ERROR"))</f>
        <v>73.652739312599607</v>
      </c>
      <c r="Q157" s="100">
        <f>IF('Net zero activities &amp; levers'!$C$6="Off",('Activity data'!AJ5*EF!$H4)*kgtoGg,IF('Net zero activities &amp; levers'!$C$6="On",(('Net zero supporting data'!H40*EF!$H4)+('Net zero supporting data'!H38*'Net zero supporting data'!H42))*kgtoGg,"ERROR"))</f>
        <v>73.997590994756678</v>
      </c>
      <c r="R157" s="100">
        <f>IF('Net zero activities &amp; levers'!$C$6="Off",('Activity data'!AK5*EF!$H4)*kgtoGg,IF('Net zero activities &amp; levers'!$C$6="On",(('Net zero supporting data'!I40*EF!$H4)+('Net zero supporting data'!I38*'Net zero supporting data'!I42))*kgtoGg,"ERROR"))</f>
        <v>74.101188037293639</v>
      </c>
      <c r="S157" s="100">
        <f>IF('Net zero activities &amp; levers'!$C$6="Off",('Activity data'!AL5*EF!$H4)*kgtoGg,IF('Net zero activities &amp; levers'!$C$6="On",(('Net zero supporting data'!J40*EF!$H4)+('Net zero supporting data'!J38*'Net zero supporting data'!J42))*kgtoGg,"ERROR"))</f>
        <v>71.826298208807202</v>
      </c>
      <c r="T157" s="100">
        <f>IF('Net zero activities &amp; levers'!$C$6="Off",('Activity data'!AM5*EF!$H4)*kgtoGg,IF('Net zero activities &amp; levers'!$C$6="On",(('Net zero supporting data'!K40*EF!$H4)+('Net zero supporting data'!K38*'Net zero supporting data'!K42))*kgtoGg,"ERROR"))</f>
        <v>71.738014425240323</v>
      </c>
      <c r="U157" s="100">
        <f>IF('Net zero activities &amp; levers'!$C$6="Off",('Activity data'!AN5*EF!$H4)*kgtoGg,IF('Net zero activities &amp; levers'!$C$6="On",(('Net zero supporting data'!L40*EF!$H4)+('Net zero supporting data'!L38*'Net zero supporting data'!L42))*kgtoGg,"ERROR"))</f>
        <v>71.391036458457734</v>
      </c>
      <c r="V157" s="100">
        <f>IF('Net zero activities &amp; levers'!$C$6="Off",('Activity data'!AO5*EF!$H4)*kgtoGg,IF('Net zero activities &amp; levers'!$C$6="On",(('Net zero supporting data'!M40*EF!$H4)+('Net zero supporting data'!M38*'Net zero supporting data'!M42))*kgtoGg,"ERROR"))</f>
        <v>70.848220667920856</v>
      </c>
      <c r="W157" s="100">
        <f>IF('Net zero activities &amp; levers'!$C$6="Off",('Activity data'!AP5*EF!$H4)*kgtoGg,IF('Net zero activities &amp; levers'!$C$6="On",(('Net zero supporting data'!N40*EF!$H4)+('Net zero supporting data'!N38*'Net zero supporting data'!N42))*kgtoGg,"ERROR"))</f>
        <v>70.204197397747663</v>
      </c>
      <c r="X157" s="100">
        <f>IF('Net zero activities &amp; levers'!$C$6="Off",('Activity data'!AQ5*EF!$H4)*kgtoGg,IF('Net zero activities &amp; levers'!$C$6="On",(('Net zero supporting data'!O40*EF!$H4)+('Net zero supporting data'!O38*'Net zero supporting data'!O42))*kgtoGg,"ERROR"))</f>
        <v>69.359044932406803</v>
      </c>
      <c r="Y157" s="100">
        <f>IF('Net zero activities &amp; levers'!$C$6="Off",('Activity data'!AR5*EF!$H4)*kgtoGg,IF('Net zero activities &amp; levers'!$C$6="On",(('Net zero supporting data'!P40*EF!$H4)+('Net zero supporting data'!P38*'Net zero supporting data'!P42))*kgtoGg,"ERROR"))</f>
        <v>68.284321208377094</v>
      </c>
      <c r="Z157" s="100">
        <f>IF('Net zero activities &amp; levers'!$C$6="Off",('Activity data'!AS5*EF!$H4)*kgtoGg,IF('Net zero activities &amp; levers'!$C$6="On",(('Net zero supporting data'!Q40*EF!$H4)+('Net zero supporting data'!Q38*'Net zero supporting data'!Q42))*kgtoGg,"ERROR"))</f>
        <v>66.985519051119311</v>
      </c>
      <c r="AA157" s="100">
        <f>IF('Net zero activities &amp; levers'!$C$6="Off",('Activity data'!AT5*EF!$H4)*kgtoGg,IF('Net zero activities &amp; levers'!$C$6="On",(('Net zero supporting data'!R40*EF!$H4)+('Net zero supporting data'!R38*'Net zero supporting data'!R42))*kgtoGg,"ERROR"))</f>
        <v>65.518238680519076</v>
      </c>
      <c r="AB157" s="100">
        <f>IF('Net zero activities &amp; levers'!$C$6="Off",('Activity data'!AU5*EF!$H4)*kgtoGg,IF('Net zero activities &amp; levers'!$C$6="On",(('Net zero supporting data'!S40*EF!$H4)+('Net zero supporting data'!S38*'Net zero supporting data'!S42))*kgtoGg,"ERROR"))</f>
        <v>63.806776186497579</v>
      </c>
      <c r="AC157" s="100">
        <f>IF('Net zero activities &amp; levers'!$C$6="Off",('Activity data'!AV5*EF!$H4)*kgtoGg,IF('Net zero activities &amp; levers'!$C$6="On",(('Net zero supporting data'!T40*EF!$H4)+('Net zero supporting data'!T38*'Net zero supporting data'!T42))*kgtoGg,"ERROR"))</f>
        <v>61.903441860058386</v>
      </c>
      <c r="AD157" s="100">
        <f>IF('Net zero activities &amp; levers'!$C$6="Off",('Activity data'!AW5*EF!$H4)*kgtoGg,IF('Net zero activities &amp; levers'!$C$6="On",(('Net zero supporting data'!U40*EF!$H4)+('Net zero supporting data'!U38*'Net zero supporting data'!U42))*kgtoGg,"ERROR"))</f>
        <v>61.991599583775191</v>
      </c>
      <c r="AE157" s="100">
        <f>IF('Net zero activities &amp; levers'!$C$6="Off",('Activity data'!AX5*EF!$H4)*kgtoGg,IF('Net zero activities &amp; levers'!$C$6="On",(('Net zero supporting data'!V40*EF!$H4)+('Net zero supporting data'!V38*'Net zero supporting data'!V42))*kgtoGg,"ERROR"))</f>
        <v>62.125228796954332</v>
      </c>
      <c r="AF157" s="100">
        <f>IF('Net zero activities &amp; levers'!$C$6="Off",('Activity data'!AY5*EF!$H4)*kgtoGg,IF('Net zero activities &amp; levers'!$C$6="On",(('Net zero supporting data'!W40*EF!$H4)+('Net zero supporting data'!W38*'Net zero supporting data'!W42))*kgtoGg,"ERROR"))</f>
        <v>62.274978771260614</v>
      </c>
      <c r="AG157" s="100">
        <f>IF('Net zero activities &amp; levers'!$C$6="Off",('Activity data'!AZ5*EF!$H4)*kgtoGg,IF('Net zero activities &amp; levers'!$C$6="On",(('Net zero supporting data'!X40*EF!$H4)+('Net zero supporting data'!X38*'Net zero supporting data'!X42))*kgtoGg,"ERROR"))</f>
        <v>61.825484964669421</v>
      </c>
      <c r="AH157" s="100">
        <f>IF('Net zero activities &amp; levers'!$C$6="Off",('Activity data'!BA5*EF!$H4)*kgtoGg,IF('Net zero activities &amp; levers'!$C$6="On",(('Net zero supporting data'!Y40*EF!$H4)+('Net zero supporting data'!Y38*'Net zero supporting data'!Y42))*kgtoGg,"ERROR"))</f>
        <v>32.809268770467838</v>
      </c>
      <c r="AI157" s="100">
        <f>IF('Net zero activities &amp; levers'!$C$6="Off",('Activity data'!BB5*EF!$H4)*kgtoGg,IF('Net zero activities &amp; levers'!$C$6="On",(('Net zero supporting data'!Z40*EF!$H4)+('Net zero supporting data'!Z38*'Net zero supporting data'!Z42))*kgtoGg,"ERROR"))</f>
        <v>32.542473025298484</v>
      </c>
      <c r="AJ157" s="100">
        <f>IF('Net zero activities &amp; levers'!$C$6="Off",('Activity data'!BC5*EF!$H4)*kgtoGg,IF('Net zero activities &amp; levers'!$C$6="On",(('Net zero supporting data'!AA40*EF!$H4)+('Net zero supporting data'!AA38*'Net zero supporting data'!AA42))*kgtoGg,"ERROR"))</f>
        <v>32.279144328893999</v>
      </c>
      <c r="AK157" s="100">
        <f>IF('Net zero activities &amp; levers'!$C$6="Off",('Activity data'!BD5*EF!$H4)*kgtoGg,IF('Net zero activities &amp; levers'!$C$6="On",(('Net zero supporting data'!AB40*EF!$H4)+('Net zero supporting data'!AB38*'Net zero supporting data'!AB42))*kgtoGg,"ERROR"))</f>
        <v>32.019083298596925</v>
      </c>
      <c r="AL157" s="100">
        <f>IF('Net zero activities &amp; levers'!$C$6="Off",('Activity data'!BE5*EF!$H4)*kgtoGg,IF('Net zero activities &amp; levers'!$C$6="On",(('Net zero supporting data'!AC40*EF!$H4)+('Net zero supporting data'!AC38*'Net zero supporting data'!AC42))*kgtoGg,"ERROR"))</f>
        <v>31.762104191635764</v>
      </c>
      <c r="AM157" s="100">
        <f>IF('Net zero activities &amp; levers'!$C$6="Off",('Activity data'!BF5*EF!$H4)*kgtoGg,IF('Net zero activities &amp; levers'!$C$6="On",(('Net zero supporting data'!AD40*EF!$H4)+('Net zero supporting data'!AD38*'Net zero supporting data'!AD42))*kgtoGg,"ERROR"))</f>
        <v>31.50803362901598</v>
      </c>
      <c r="AN157" s="100">
        <f>IF('Net zero activities &amp; levers'!$C$6="Off",('Activity data'!BG5*EF!$H4)*kgtoGg,IF('Net zero activities &amp; levers'!$C$6="On",(('Net zero supporting data'!AE40*EF!$H4)+('Net zero supporting data'!AE38*'Net zero supporting data'!AE42))*kgtoGg,"ERROR"))</f>
        <v>31.470652830359537</v>
      </c>
      <c r="AO157" s="100">
        <f>IF('Net zero activities &amp; levers'!$C$6="Off",('Activity data'!BH5*EF!$H4)*kgtoGg,IF('Net zero activities &amp; levers'!$C$6="On",(('Net zero supporting data'!AF40*EF!$H4)+('Net zero supporting data'!AF38*'Net zero supporting data'!AF42))*kgtoGg,"ERROR"))</f>
        <v>31.435601765047011</v>
      </c>
      <c r="AP157" s="100">
        <f>IF('Net zero activities &amp; levers'!$C$6="Off",('Activity data'!BI5*EF!$H4)*kgtoGg,IF('Net zero activities &amp; levers'!$C$6="On",(('Net zero supporting data'!AG40*EF!$H4)+('Net zero supporting data'!AG38*'Net zero supporting data'!AG42))*kgtoGg,"ERROR"))</f>
        <v>31.402785610814984</v>
      </c>
      <c r="AQ157" s="100">
        <f>IF('Net zero activities &amp; levers'!$C$6="Off",('Activity data'!BJ5*EF!$H4)*kgtoGg,IF('Net zero activities &amp; levers'!$C$6="On",(('Net zero supporting data'!AH40*EF!$H4)+('Net zero supporting data'!AH38*'Net zero supporting data'!AH42))*kgtoGg,"ERROR"))</f>
        <v>31.372115749171325</v>
      </c>
      <c r="AR157" s="100">
        <f>IF('Net zero activities &amp; levers'!$C$6="Off",('Activity data'!BK5*EF!$H4)*kgtoGg,IF('Net zero activities &amp; levers'!$C$6="On",(('Net zero supporting data'!AI40*EF!$H4)+('Net zero supporting data'!AI38*'Net zero supporting data'!AI42))*kgtoGg,"ERROR"))</f>
        <v>31.343509239513669</v>
      </c>
      <c r="AS157" s="100">
        <f>IF('Net zero activities &amp; levers'!$C$6="Off",('Activity data'!BL5*EF!$H4)*kgtoGg,IF('Net zero activities &amp; levers'!$C$6="On",(('Net zero supporting data'!AJ40*EF!$H4)+('Net zero supporting data'!AJ38*'Net zero supporting data'!AJ42))*kgtoGg,"ERROR"))</f>
        <v>31.294587760732863</v>
      </c>
      <c r="AT157" s="100">
        <f>IF('Net zero activities &amp; levers'!$C$6="Off",('Activity data'!BM5*EF!$H4)*kgtoGg,IF('Net zero activities &amp; levers'!$C$6="On",(('Net zero supporting data'!AK40*EF!$H4)+('Net zero supporting data'!AK38*'Net zero supporting data'!AK42))*kgtoGg,"ERROR"))</f>
        <v>31.247541586996128</v>
      </c>
      <c r="AU157" s="100">
        <f>IF('Net zero activities &amp; levers'!$C$6="Off",('Activity data'!BN5*EF!$H4)*kgtoGg,IF('Net zero activities &amp; levers'!$C$6="On",(('Net zero supporting data'!AL40*EF!$H4)+('Net zero supporting data'!AL38*'Net zero supporting data'!AL42))*kgtoGg,"ERROR"))</f>
        <v>31.202298789012819</v>
      </c>
      <c r="AV157" s="100">
        <f>IF('Net zero activities &amp; levers'!$C$6="Off",('Activity data'!BO5*EF!$H4)*kgtoGg,IF('Net zero activities &amp; levers'!$C$6="On",(('Net zero supporting data'!AM40*EF!$H4)+('Net zero supporting data'!AM38*'Net zero supporting data'!AM42))*kgtoGg,"ERROR"))</f>
        <v>31.15879165420445</v>
      </c>
      <c r="AW157" s="100">
        <f>IF('Net zero activities &amp; levers'!$C$6="Off",('Activity data'!BP5*EF!$H4)*kgtoGg,IF('Net zero activities &amp; levers'!$C$6="On",(('Net zero supporting data'!AN40*EF!$H4)+('Net zero supporting data'!AN38*'Net zero supporting data'!AN42))*kgtoGg,"ERROR"))</f>
        <v>31.116956363554078</v>
      </c>
      <c r="AY157" s="85"/>
    </row>
    <row r="158" spans="1:51" x14ac:dyDescent="0.25">
      <c r="A158" s="102" t="str">
        <f t="shared" si="0"/>
        <v>FA Cattle</v>
      </c>
      <c r="B158" s="102" t="s">
        <v>963</v>
      </c>
      <c r="C158" s="102" t="s">
        <v>1109</v>
      </c>
      <c r="D158" t="str">
        <f>D9</f>
        <v>3A Livestock</v>
      </c>
      <c r="E158" t="str">
        <f>E9</f>
        <v>3A1 Enteric fermentation (CH4)</v>
      </c>
      <c r="F158" t="s">
        <v>6</v>
      </c>
      <c r="G158" t="s">
        <v>137</v>
      </c>
      <c r="H158" t="s">
        <v>1021</v>
      </c>
      <c r="I158" t="str">
        <f t="shared" ref="I158:J158" si="32">I157</f>
        <v>CH4</v>
      </c>
      <c r="J158" t="str">
        <f t="shared" si="32"/>
        <v>Gg CH4</v>
      </c>
      <c r="K158" s="28">
        <f t="shared" ref="K158:Z161" si="33">K1380</f>
        <v>57.888319714675518</v>
      </c>
      <c r="L158" s="28">
        <f t="shared" si="33"/>
        <v>58.248394828027457</v>
      </c>
      <c r="M158" s="28">
        <f t="shared" si="33"/>
        <v>58.495951428667674</v>
      </c>
      <c r="N158" s="28">
        <f t="shared" si="33"/>
        <v>58.573588822766354</v>
      </c>
      <c r="O158" s="28">
        <f t="shared" si="33"/>
        <v>58.678620632063321</v>
      </c>
      <c r="P158" s="28">
        <f t="shared" si="33"/>
        <v>58.908680198253116</v>
      </c>
      <c r="Q158" s="28">
        <f t="shared" si="33"/>
        <v>59.184498282544595</v>
      </c>
      <c r="R158" s="28">
        <f t="shared" si="33"/>
        <v>59.267356912179451</v>
      </c>
      <c r="S158" s="28">
        <f t="shared" si="33"/>
        <v>57.447862367329009</v>
      </c>
      <c r="T158" s="28">
        <f t="shared" si="33"/>
        <v>57.921041057287908</v>
      </c>
      <c r="U158" s="28">
        <f t="shared" si="33"/>
        <v>58.354932478119395</v>
      </c>
      <c r="V158" s="28">
        <f t="shared" si="33"/>
        <v>58.799815766326432</v>
      </c>
      <c r="W158" s="28">
        <f t="shared" si="33"/>
        <v>59.33573820555165</v>
      </c>
      <c r="X158" s="28">
        <f t="shared" si="33"/>
        <v>59.881716907235422</v>
      </c>
      <c r="Y158" s="28">
        <f t="shared" si="33"/>
        <v>60.413346420216044</v>
      </c>
      <c r="Z158" s="28">
        <f t="shared" si="33"/>
        <v>60.934340277026173</v>
      </c>
      <c r="AA158" s="28">
        <f t="shared" ref="L158:AW161" si="34">AA1380</f>
        <v>61.495507800462953</v>
      </c>
      <c r="AB158" s="28">
        <f t="shared" si="34"/>
        <v>62.026922414448045</v>
      </c>
      <c r="AC158" s="28">
        <f t="shared" si="34"/>
        <v>62.577398500274199</v>
      </c>
      <c r="AD158" s="28">
        <f t="shared" si="34"/>
        <v>63.209845291617057</v>
      </c>
      <c r="AE158" s="28">
        <f t="shared" si="34"/>
        <v>63.898646329766187</v>
      </c>
      <c r="AF158" s="28">
        <f t="shared" si="34"/>
        <v>64.614787479923166</v>
      </c>
      <c r="AG158" s="28">
        <f t="shared" si="34"/>
        <v>64.714821454420374</v>
      </c>
      <c r="AH158" s="28">
        <f t="shared" si="34"/>
        <v>34.647684018034326</v>
      </c>
      <c r="AI158" s="28">
        <f t="shared" si="34"/>
        <v>34.67316717812826</v>
      </c>
      <c r="AJ158" s="28">
        <f t="shared" si="34"/>
        <v>34.701997859020388</v>
      </c>
      <c r="AK158" s="28">
        <f t="shared" si="34"/>
        <v>34.734048822654856</v>
      </c>
      <c r="AL158" s="28">
        <f t="shared" si="34"/>
        <v>34.769202630349326</v>
      </c>
      <c r="AM158" s="28">
        <f t="shared" si="34"/>
        <v>34.80735071397978</v>
      </c>
      <c r="AN158" s="28">
        <f t="shared" si="34"/>
        <v>34.823774603776485</v>
      </c>
      <c r="AO158" s="28">
        <f t="shared" si="34"/>
        <v>34.842835366342669</v>
      </c>
      <c r="AP158" s="28">
        <f t="shared" si="34"/>
        <v>34.86444090381891</v>
      </c>
      <c r="AQ158" s="28">
        <f t="shared" si="34"/>
        <v>34.888505402807219</v>
      </c>
      <c r="AR158" s="28">
        <f t="shared" si="34"/>
        <v>34.914948801084201</v>
      </c>
      <c r="AS158" s="28">
        <f t="shared" si="34"/>
        <v>34.918813092397009</v>
      </c>
      <c r="AT158" s="28">
        <f t="shared" si="34"/>
        <v>34.92478633686742</v>
      </c>
      <c r="AU158" s="28">
        <f t="shared" si="34"/>
        <v>34.932798632870664</v>
      </c>
      <c r="AV158" s="28">
        <f t="shared" si="34"/>
        <v>34.942784337126994</v>
      </c>
      <c r="AW158" s="28">
        <f t="shared" si="34"/>
        <v>34.954681737581105</v>
      </c>
      <c r="AY158" s="85"/>
    </row>
    <row r="159" spans="1:51" x14ac:dyDescent="0.25">
      <c r="A159" s="102" t="str">
        <f t="shared" si="0"/>
        <v>FA Cattle</v>
      </c>
      <c r="B159" s="102" t="s">
        <v>963</v>
      </c>
      <c r="C159" s="102" t="s">
        <v>1109</v>
      </c>
      <c r="D159" t="str">
        <f t="shared" ref="D159:E159" si="35">D157</f>
        <v>3A Livestock</v>
      </c>
      <c r="E159" t="str">
        <f t="shared" si="35"/>
        <v>3A1 Enteric fermentation (CH4)</v>
      </c>
      <c r="F159" t="s">
        <v>67</v>
      </c>
      <c r="G159" t="s">
        <v>307</v>
      </c>
      <c r="H159" t="s">
        <v>1021</v>
      </c>
      <c r="I159" t="str">
        <f t="shared" ref="I159:J160" si="36">I158</f>
        <v>CH4</v>
      </c>
      <c r="J159" t="str">
        <f t="shared" si="36"/>
        <v>Gg CH4</v>
      </c>
      <c r="K159" s="28">
        <f t="shared" si="33"/>
        <v>26.173540124634229</v>
      </c>
      <c r="L159" s="28">
        <f t="shared" si="34"/>
        <v>26.336343959218663</v>
      </c>
      <c r="M159" s="28">
        <f t="shared" si="34"/>
        <v>26.448273838197906</v>
      </c>
      <c r="N159" s="28">
        <f t="shared" si="34"/>
        <v>26.483376695900965</v>
      </c>
      <c r="O159" s="28">
        <f t="shared" si="34"/>
        <v>26.530865624385104</v>
      </c>
      <c r="P159" s="28">
        <f t="shared" si="34"/>
        <v>26.634884419824388</v>
      </c>
      <c r="Q159" s="28">
        <f t="shared" si="34"/>
        <v>26.759592404645588</v>
      </c>
      <c r="R159" s="28">
        <f t="shared" si="34"/>
        <v>26.797055984139856</v>
      </c>
      <c r="S159" s="28">
        <f t="shared" si="34"/>
        <v>25.97439238445476</v>
      </c>
      <c r="T159" s="28">
        <f t="shared" si="34"/>
        <v>26.188334704577446</v>
      </c>
      <c r="U159" s="28">
        <f t="shared" si="34"/>
        <v>26.384513736355224</v>
      </c>
      <c r="V159" s="28">
        <f t="shared" si="34"/>
        <v>26.585662614955584</v>
      </c>
      <c r="W159" s="28">
        <f t="shared" si="34"/>
        <v>26.827973802011808</v>
      </c>
      <c r="X159" s="28">
        <f t="shared" si="34"/>
        <v>27.074831812853205</v>
      </c>
      <c r="Y159" s="28">
        <f t="shared" si="34"/>
        <v>27.315202002522234</v>
      </c>
      <c r="Z159" s="28">
        <f t="shared" si="34"/>
        <v>27.550763402181431</v>
      </c>
      <c r="AA159" s="28">
        <f t="shared" si="34"/>
        <v>27.804488864653102</v>
      </c>
      <c r="AB159" s="28">
        <f t="shared" si="34"/>
        <v>28.044761890204914</v>
      </c>
      <c r="AC159" s="28">
        <f t="shared" si="34"/>
        <v>28.293653341728078</v>
      </c>
      <c r="AD159" s="28">
        <f t="shared" si="34"/>
        <v>28.579606908034688</v>
      </c>
      <c r="AE159" s="28">
        <f t="shared" si="34"/>
        <v>28.891040400987077</v>
      </c>
      <c r="AF159" s="28">
        <f t="shared" si="34"/>
        <v>29.214835412155512</v>
      </c>
      <c r="AG159" s="28">
        <f t="shared" si="34"/>
        <v>29.260064626930344</v>
      </c>
      <c r="AH159" s="28">
        <f t="shared" si="34"/>
        <v>15.665553126113098</v>
      </c>
      <c r="AI159" s="28">
        <f t="shared" si="34"/>
        <v>15.677075044809452</v>
      </c>
      <c r="AJ159" s="28">
        <f t="shared" si="34"/>
        <v>15.690110506658574</v>
      </c>
      <c r="AK159" s="28">
        <f t="shared" si="34"/>
        <v>15.704601982432184</v>
      </c>
      <c r="AL159" s="28">
        <f t="shared" si="34"/>
        <v>15.720496373576371</v>
      </c>
      <c r="AM159" s="28">
        <f t="shared" si="34"/>
        <v>15.737744592258499</v>
      </c>
      <c r="AN159" s="28">
        <f t="shared" si="34"/>
        <v>15.745170465745849</v>
      </c>
      <c r="AO159" s="28">
        <f t="shared" si="34"/>
        <v>15.753788571026694</v>
      </c>
      <c r="AP159" s="28">
        <f t="shared" si="34"/>
        <v>15.7635572671097</v>
      </c>
      <c r="AQ159" s="28">
        <f t="shared" si="34"/>
        <v>15.774437754450743</v>
      </c>
      <c r="AR159" s="28">
        <f t="shared" si="34"/>
        <v>15.786393833833351</v>
      </c>
      <c r="AS159" s="28">
        <f t="shared" si="34"/>
        <v>15.788141028850022</v>
      </c>
      <c r="AT159" s="28">
        <f t="shared" si="34"/>
        <v>15.790841762859769</v>
      </c>
      <c r="AU159" s="28">
        <f t="shared" si="34"/>
        <v>15.794464430644307</v>
      </c>
      <c r="AV159" s="28">
        <f t="shared" si="34"/>
        <v>15.798979352347233</v>
      </c>
      <c r="AW159" s="28">
        <f t="shared" si="34"/>
        <v>15.804358625570211</v>
      </c>
      <c r="AY159" s="85"/>
    </row>
    <row r="160" spans="1:51" x14ac:dyDescent="0.25">
      <c r="A160" s="102" t="str">
        <f t="shared" si="0"/>
        <v>FA Cattle</v>
      </c>
      <c r="B160" s="102" t="s">
        <v>963</v>
      </c>
      <c r="C160" s="102" t="s">
        <v>1109</v>
      </c>
      <c r="D160" t="str">
        <f t="shared" ref="D160:E160" si="37">D158</f>
        <v>3A Livestock</v>
      </c>
      <c r="E160" t="str">
        <f t="shared" si="37"/>
        <v>3A1 Enteric fermentation (CH4)</v>
      </c>
      <c r="F160" t="s">
        <v>67</v>
      </c>
      <c r="G160" t="s">
        <v>122</v>
      </c>
      <c r="H160" t="s">
        <v>1021</v>
      </c>
      <c r="I160" t="str">
        <f t="shared" si="36"/>
        <v>CH4</v>
      </c>
      <c r="J160" t="str">
        <f t="shared" si="36"/>
        <v>Gg CH4</v>
      </c>
      <c r="K160" s="28">
        <f t="shared" si="33"/>
        <v>467.31662309373525</v>
      </c>
      <c r="L160" s="28">
        <f t="shared" si="34"/>
        <v>464.21904388294246</v>
      </c>
      <c r="M160" s="28">
        <f t="shared" si="34"/>
        <v>457.68800569383677</v>
      </c>
      <c r="N160" s="28">
        <f t="shared" si="34"/>
        <v>446.67903575374419</v>
      </c>
      <c r="O160" s="28">
        <f t="shared" si="34"/>
        <v>435.99786609024881</v>
      </c>
      <c r="P160" s="28">
        <f t="shared" si="34"/>
        <v>427.78254745702264</v>
      </c>
      <c r="Q160" s="28">
        <f t="shared" si="34"/>
        <v>420.35172850546115</v>
      </c>
      <c r="R160" s="28">
        <f t="shared" si="34"/>
        <v>408.66857197476548</v>
      </c>
      <c r="S160" s="28">
        <f t="shared" si="34"/>
        <v>358.42710853834808</v>
      </c>
      <c r="T160" s="28">
        <f t="shared" si="34"/>
        <v>361.84349356958882</v>
      </c>
      <c r="U160" s="28">
        <f t="shared" si="34"/>
        <v>364.15526833797293</v>
      </c>
      <c r="V160" s="28">
        <f t="shared" si="34"/>
        <v>366.39185100338204</v>
      </c>
      <c r="W160" s="28">
        <f t="shared" si="34"/>
        <v>370.09062077697638</v>
      </c>
      <c r="X160" s="28">
        <f t="shared" si="34"/>
        <v>373.66748817800135</v>
      </c>
      <c r="Y160" s="28">
        <f t="shared" si="34"/>
        <v>377.42266204595586</v>
      </c>
      <c r="Z160" s="28">
        <f t="shared" si="34"/>
        <v>380.69187301848672</v>
      </c>
      <c r="AA160" s="28">
        <f t="shared" si="34"/>
        <v>384.41267841886389</v>
      </c>
      <c r="AB160" s="28">
        <f t="shared" si="34"/>
        <v>387.32433471244582</v>
      </c>
      <c r="AC160" s="28">
        <f t="shared" si="34"/>
        <v>390.31588196396831</v>
      </c>
      <c r="AD160" s="28">
        <f t="shared" si="34"/>
        <v>391.70923525446432</v>
      </c>
      <c r="AE160" s="28">
        <f t="shared" si="34"/>
        <v>393.61980530942054</v>
      </c>
      <c r="AF160" s="28">
        <f t="shared" si="34"/>
        <v>395.52300177683651</v>
      </c>
      <c r="AG160" s="28">
        <f t="shared" si="34"/>
        <v>387.13475302515064</v>
      </c>
      <c r="AH160" s="28">
        <f t="shared" si="34"/>
        <v>-91.319733515809844</v>
      </c>
      <c r="AI160" s="28">
        <f t="shared" si="34"/>
        <v>-89.201433306927441</v>
      </c>
      <c r="AJ160" s="28">
        <f t="shared" si="34"/>
        <v>-87.116820719055994</v>
      </c>
      <c r="AK160" s="28">
        <f t="shared" si="34"/>
        <v>-85.0641313749869</v>
      </c>
      <c r="AL160" s="28">
        <f t="shared" si="34"/>
        <v>-83.041722879463705</v>
      </c>
      <c r="AM160" s="28">
        <f t="shared" si="34"/>
        <v>-81.048063515823799</v>
      </c>
      <c r="AN160" s="28">
        <f t="shared" si="34"/>
        <v>-79.431656757862484</v>
      </c>
      <c r="AO160" s="28">
        <f t="shared" si="34"/>
        <v>-77.839663871669529</v>
      </c>
      <c r="AP160" s="28">
        <f t="shared" si="34"/>
        <v>-76.270978541606539</v>
      </c>
      <c r="AQ160" s="28">
        <f t="shared" si="34"/>
        <v>-74.724563259155232</v>
      </c>
      <c r="AR160" s="28">
        <f t="shared" si="34"/>
        <v>-73.199443617670568</v>
      </c>
      <c r="AS160" s="28">
        <f t="shared" si="34"/>
        <v>-71.645977088210017</v>
      </c>
      <c r="AT160" s="28">
        <f t="shared" si="34"/>
        <v>-70.113872704662668</v>
      </c>
      <c r="AU160" s="28">
        <f t="shared" si="34"/>
        <v>-68.602290113404337</v>
      </c>
      <c r="AV160" s="28">
        <f t="shared" si="34"/>
        <v>-67.110436174548425</v>
      </c>
      <c r="AW160" s="28">
        <f t="shared" si="34"/>
        <v>-65.637561433796705</v>
      </c>
      <c r="AY160" s="85"/>
    </row>
    <row r="161" spans="1:51" x14ac:dyDescent="0.25">
      <c r="A161" s="102" t="str">
        <f t="shared" si="0"/>
        <v>FA Cattle</v>
      </c>
      <c r="B161" s="102" t="s">
        <v>963</v>
      </c>
      <c r="C161" s="102" t="s">
        <v>1109</v>
      </c>
      <c r="D161" t="str">
        <f t="shared" ref="D161:E161" si="38">D159</f>
        <v>3A Livestock</v>
      </c>
      <c r="E161" t="str">
        <f t="shared" si="38"/>
        <v>3A1 Enteric fermentation (CH4)</v>
      </c>
      <c r="F161" t="s">
        <v>67</v>
      </c>
      <c r="G161" t="s">
        <v>123</v>
      </c>
      <c r="H161" t="s">
        <v>1021</v>
      </c>
      <c r="I161" t="str">
        <f t="shared" ref="I161:J161" si="39">I160</f>
        <v>CH4</v>
      </c>
      <c r="J161" t="str">
        <f t="shared" si="39"/>
        <v>Gg CH4</v>
      </c>
      <c r="K161" s="28">
        <f t="shared" si="33"/>
        <v>329.0746130615014</v>
      </c>
      <c r="L161" s="28">
        <f t="shared" si="34"/>
        <v>326.8933624278929</v>
      </c>
      <c r="M161" s="28">
        <f t="shared" si="34"/>
        <v>322.29434163821571</v>
      </c>
      <c r="N161" s="28">
        <f t="shared" si="34"/>
        <v>314.54205476415126</v>
      </c>
      <c r="O161" s="28">
        <f t="shared" si="34"/>
        <v>307.02059800365856</v>
      </c>
      <c r="P161" s="28">
        <f t="shared" si="34"/>
        <v>301.23554207624824</v>
      </c>
      <c r="Q161" s="28">
        <f t="shared" si="34"/>
        <v>296.00291445211866</v>
      </c>
      <c r="R161" s="28">
        <f t="shared" si="34"/>
        <v>287.77587945125919</v>
      </c>
      <c r="S161" s="28">
        <f t="shared" si="34"/>
        <v>252.39688944116838</v>
      </c>
      <c r="T161" s="28">
        <f t="shared" si="34"/>
        <v>254.80263648004308</v>
      </c>
      <c r="U161" s="28">
        <f t="shared" si="34"/>
        <v>256.43054002508501</v>
      </c>
      <c r="V161" s="28">
        <f t="shared" si="34"/>
        <v>258.00549486047498</v>
      </c>
      <c r="W161" s="28">
        <f t="shared" si="34"/>
        <v>260.61009134153147</v>
      </c>
      <c r="X161" s="28">
        <f t="shared" si="34"/>
        <v>263.12884671593309</v>
      </c>
      <c r="Y161" s="28">
        <f t="shared" si="34"/>
        <v>265.77316178308178</v>
      </c>
      <c r="Z161" s="28">
        <f t="shared" si="34"/>
        <v>268.07527192134285</v>
      </c>
      <c r="AA161" s="28">
        <f t="shared" si="34"/>
        <v>270.6953854308951</v>
      </c>
      <c r="AB161" s="28">
        <f t="shared" si="34"/>
        <v>272.7457130264242</v>
      </c>
      <c r="AC161" s="28">
        <f t="shared" si="34"/>
        <v>274.85229816720681</v>
      </c>
      <c r="AD161" s="28">
        <f t="shared" si="34"/>
        <v>275.83346847502179</v>
      </c>
      <c r="AE161" s="28">
        <f t="shared" si="34"/>
        <v>277.17885203403011</v>
      </c>
      <c r="AF161" s="28">
        <f t="shared" si="34"/>
        <v>278.51904326657984</v>
      </c>
      <c r="AG161" s="28">
        <f t="shared" si="34"/>
        <v>272.6122135588102</v>
      </c>
      <c r="AH161" s="28">
        <f t="shared" si="34"/>
        <v>-64.305450494464566</v>
      </c>
      <c r="AI161" s="28">
        <f t="shared" si="34"/>
        <v>-62.813787696400013</v>
      </c>
      <c r="AJ161" s="28">
        <f t="shared" si="34"/>
        <v>-61.345847017989065</v>
      </c>
      <c r="AK161" s="28">
        <f t="shared" si="34"/>
        <v>-59.900386021624051</v>
      </c>
      <c r="AL161" s="28">
        <f t="shared" si="34"/>
        <v>-58.476248166842247</v>
      </c>
      <c r="AM161" s="28">
        <f t="shared" si="34"/>
        <v>-57.072354850736843</v>
      </c>
      <c r="AN161" s="28">
        <f t="shared" si="34"/>
        <v>-55.934114946269716</v>
      </c>
      <c r="AO161" s="28">
        <f t="shared" si="34"/>
        <v>-54.81306678078316</v>
      </c>
      <c r="AP161" s="28">
        <f t="shared" si="34"/>
        <v>-53.708431309893463</v>
      </c>
      <c r="AQ161" s="28">
        <f t="shared" si="34"/>
        <v>-52.619477941754887</v>
      </c>
      <c r="AR161" s="28">
        <f t="shared" si="34"/>
        <v>-51.54552051954397</v>
      </c>
      <c r="AS161" s="28">
        <f t="shared" si="34"/>
        <v>-50.451601810421387</v>
      </c>
      <c r="AT161" s="28">
        <f t="shared" si="34"/>
        <v>-49.372725878621843</v>
      </c>
      <c r="AU161" s="28">
        <f t="shared" si="34"/>
        <v>-48.308300964661392</v>
      </c>
      <c r="AV161" s="28">
        <f t="shared" si="34"/>
        <v>-47.257768555984775</v>
      </c>
      <c r="AW161" s="28">
        <f t="shared" si="34"/>
        <v>-46.22060090251631</v>
      </c>
      <c r="AY161" s="85"/>
    </row>
    <row r="162" spans="1:51" x14ac:dyDescent="0.25">
      <c r="A162" s="102" t="str">
        <f t="shared" si="0"/>
        <v>FA Cattle</v>
      </c>
      <c r="B162" s="102" t="s">
        <v>963</v>
      </c>
      <c r="C162" s="102" t="s">
        <v>1109</v>
      </c>
      <c r="D162" t="str">
        <f t="shared" ref="D162:E162" si="40">D160</f>
        <v>3A Livestock</v>
      </c>
      <c r="E162" t="str">
        <f t="shared" si="40"/>
        <v>3A1 Enteric fermentation (CH4)</v>
      </c>
      <c r="F162" t="s">
        <v>67</v>
      </c>
      <c r="G162" t="s">
        <v>135</v>
      </c>
      <c r="H162" t="s">
        <v>1021</v>
      </c>
      <c r="I162" t="str">
        <f>I159</f>
        <v>CH4</v>
      </c>
      <c r="J162" t="str">
        <f>J159</f>
        <v>Gg CH4</v>
      </c>
      <c r="K162" s="100">
        <f>IF('Net zero activities &amp; levers'!$C$6="Off",('Activity data'!AD10*EF!$H9)*kgtoGg,IF('Net zero activities &amp; levers'!$C$6="On",(('Net zero supporting data'!B41*EF!$H9)+('Net zero supporting data'!B39*'Net zero supporting data'!B43))*kgtoGg,"ERROR"))</f>
        <v>32.066658815804246</v>
      </c>
      <c r="L162" s="100">
        <f>IF('Net zero activities &amp; levers'!$C$6="Off",('Activity data'!AE10*EF!$H9)*kgtoGg,IF('Net zero activities &amp; levers'!$C$6="On",(('Net zero supporting data'!C41*EF!$H9)+('Net zero supporting data'!C39*'Net zero supporting data'!C43))*kgtoGg,"ERROR"))</f>
        <v>33.208718466326758</v>
      </c>
      <c r="M162" s="100">
        <f>IF('Net zero activities &amp; levers'!$C$6="Off",('Activity data'!AF10*EF!$H9)*kgtoGg,IF('Net zero activities &amp; levers'!$C$6="On",(('Net zero supporting data'!D41*EF!$H9)+('Net zero supporting data'!D39*'Net zero supporting data'!D43))*kgtoGg,"ERROR"))</f>
        <v>34.11520280184579</v>
      </c>
      <c r="N162" s="100">
        <f>IF('Net zero activities &amp; levers'!$C$6="Off",('Activity data'!AG10*EF!$H9)*kgtoGg,IF('Net zero activities &amp; levers'!$C$6="On",(('Net zero supporting data'!E41*EF!$H9)+('Net zero supporting data'!E39*'Net zero supporting data'!E43))*kgtoGg,"ERROR"))</f>
        <v>34.675782135786314</v>
      </c>
      <c r="O162" s="100">
        <f>IF('Net zero activities &amp; levers'!$C$6="Off",('Activity data'!AH10*EF!$H9)*kgtoGg,IF('Net zero activities &amp; levers'!$C$6="On",(('Net zero supporting data'!F41*EF!$H9)+('Net zero supporting data'!F39*'Net zero supporting data'!F43))*kgtoGg,"ERROR"))</f>
        <v>35.237531716383323</v>
      </c>
      <c r="P162" s="100">
        <f>IF('Net zero activities &amp; levers'!$C$6="Off",('Activity data'!AI10*EF!$H9)*kgtoGg,IF('Net zero activities &amp; levers'!$C$6="On",(('Net zero supporting data'!G41*EF!$H9)+('Net zero supporting data'!G39*'Net zero supporting data'!G43))*kgtoGg,"ERROR"))</f>
        <v>35.983525896151299</v>
      </c>
      <c r="Q162" s="100">
        <f>IF('Net zero activities &amp; levers'!$C$6="Off",('Activity data'!AJ10*EF!$H9)*kgtoGg,IF('Net zero activities &amp; levers'!$C$6="On",(('Net zero supporting data'!H41*EF!$H9)+('Net zero supporting data'!H39*'Net zero supporting data'!H43))*kgtoGg,"ERROR"))</f>
        <v>36.791694077470218</v>
      </c>
      <c r="R162" s="100">
        <f>IF('Net zero activities &amp; levers'!$C$6="Off",('Activity data'!AK10*EF!$H9)*kgtoGg,IF('Net zero activities &amp; levers'!$C$6="On",(('Net zero supporting data'!I41*EF!$H9)+('Net zero supporting data'!I39*'Net zero supporting data'!I43))*kgtoGg,"ERROR"))</f>
        <v>37.212274346578468</v>
      </c>
      <c r="S162" s="100">
        <f>IF('Net zero activities &amp; levers'!$C$6="Off",('Activity data'!AL10*EF!$H9)*kgtoGg,IF('Net zero activities &amp; levers'!$C$6="On",(('Net zero supporting data'!J41*EF!$H9)+('Net zero supporting data'!J39*'Net zero supporting data'!J43))*kgtoGg,"ERROR"))</f>
        <v>33.949893618199454</v>
      </c>
      <c r="T162" s="100">
        <f>IF('Net zero activities &amp; levers'!$C$6="Off",('Activity data'!AM10*EF!$H9)*kgtoGg,IF('Net zero activities &amp; levers'!$C$6="On",(('Net zero supporting data'!K41*EF!$H9)+('Net zero supporting data'!K39*'Net zero supporting data'!K43))*kgtoGg,"ERROR"))</f>
        <v>35.139326207048832</v>
      </c>
      <c r="U162" s="100">
        <f>IF('Net zero activities &amp; levers'!$C$6="Off",('Activity data'!AN10*EF!$H9)*kgtoGg,IF('Net zero activities &amp; levers'!$C$6="On",(('Net zero supporting data'!L41*EF!$H9)+('Net zero supporting data'!L39*'Net zero supporting data'!L43))*kgtoGg,"ERROR"))</f>
        <v>36.144027284996447</v>
      </c>
      <c r="V162" s="100">
        <f>IF('Net zero activities &amp; levers'!$C$6="Off",('Activity data'!AO10*EF!$H9)*kgtoGg,IF('Net zero activities &amp; levers'!$C$6="On",(('Net zero supporting data'!M41*EF!$H9)+('Net zero supporting data'!M39*'Net zero supporting data'!M43))*kgtoGg,"ERROR"))</f>
        <v>37.052011984682174</v>
      </c>
      <c r="W162" s="100">
        <f>IF('Net zero activities &amp; levers'!$C$6="Off",('Activity data'!AP10*EF!$H9)*kgtoGg,IF('Net zero activities &amp; levers'!$C$6="On",(('Net zero supporting data'!N41*EF!$H9)+('Net zero supporting data'!N39*'Net zero supporting data'!N43))*kgtoGg,"ERROR"))</f>
        <v>38.011356062731913</v>
      </c>
      <c r="X162" s="100">
        <f>IF('Net zero activities &amp; levers'!$C$6="Off",('Activity data'!AQ10*EF!$H9)*kgtoGg,IF('Net zero activities &amp; levers'!$C$6="On",(('Net zero supporting data'!O41*EF!$H9)+('Net zero supporting data'!O39*'Net zero supporting data'!O43))*kgtoGg,"ERROR"))</f>
        <v>38.853034187556517</v>
      </c>
      <c r="Y162" s="100">
        <f>IF('Net zero activities &amp; levers'!$C$6="Off",('Activity data'!AR10*EF!$H9)*kgtoGg,IF('Net zero activities &amp; levers'!$C$6="On",(('Net zero supporting data'!P41*EF!$H9)+('Net zero supporting data'!P39*'Net zero supporting data'!P43))*kgtoGg,"ERROR"))</f>
        <v>39.596345811719914</v>
      </c>
      <c r="Z162" s="100">
        <f>IF('Net zero activities &amp; levers'!$C$6="Off",('Activity data'!AS10*EF!$H9)*kgtoGg,IF('Net zero activities &amp; levers'!$C$6="On",(('Net zero supporting data'!Q41*EF!$H9)+('Net zero supporting data'!Q39*'Net zero supporting data'!Q43))*kgtoGg,"ERROR"))</f>
        <v>40.159137123628867</v>
      </c>
      <c r="AA162" s="100">
        <f>IF('Net zero activities &amp; levers'!$C$6="Off",('Activity data'!AT10*EF!$H9)*kgtoGg,IF('Net zero activities &amp; levers'!$C$6="On",(('Net zero supporting data'!R41*EF!$H9)+('Net zero supporting data'!R39*'Net zero supporting data'!R43))*kgtoGg,"ERROR"))</f>
        <v>40.626927818575197</v>
      </c>
      <c r="AB162" s="100">
        <f>IF('Net zero activities &amp; levers'!$C$6="Off",('Activity data'!AU10*EF!$H9)*kgtoGg,IF('Net zero activities &amp; levers'!$C$6="On",(('Net zero supporting data'!S41*EF!$H9)+('Net zero supporting data'!S39*'Net zero supporting data'!S43))*kgtoGg,"ERROR"))</f>
        <v>40.853025531877876</v>
      </c>
      <c r="AC162" s="100">
        <f>IF('Net zero activities &amp; levers'!$C$6="Off",('Activity data'!AV10*EF!$H9)*kgtoGg,IF('Net zero activities &amp; levers'!$C$6="On",(('Net zero supporting data'!T41*EF!$H9)+('Net zero supporting data'!T39*'Net zero supporting data'!T43))*kgtoGg,"ERROR"))</f>
        <v>40.91744627665863</v>
      </c>
      <c r="AD162" s="100">
        <f>IF('Net zero activities &amp; levers'!$C$6="Off",('Activity data'!AW10*EF!$H9)*kgtoGg,IF('Net zero activities &amp; levers'!$C$6="On",(('Net zero supporting data'!U41*EF!$H9)+('Net zero supporting data'!U39*'Net zero supporting data'!U43))*kgtoGg,"ERROR"))</f>
        <v>42.077900655192167</v>
      </c>
      <c r="AE162" s="100">
        <f>IF('Net zero activities &amp; levers'!$C$6="Off",('Activity data'!AX10*EF!$H9)*kgtoGg,IF('Net zero activities &amp; levers'!$C$6="On",(('Net zero supporting data'!V41*EF!$H9)+('Net zero supporting data'!V39*'Net zero supporting data'!V43))*kgtoGg,"ERROR"))</f>
        <v>43.328290002899969</v>
      </c>
      <c r="AF162" s="100">
        <f>IF('Net zero activities &amp; levers'!$C$6="Off",('Activity data'!AY10*EF!$H9)*kgtoGg,IF('Net zero activities &amp; levers'!$C$6="On",(('Net zero supporting data'!W41*EF!$H9)+('Net zero supporting data'!W39*'Net zero supporting data'!W43))*kgtoGg,"ERROR"))</f>
        <v>44.61549400849789</v>
      </c>
      <c r="AG162" s="100">
        <f>IF('Net zero activities &amp; levers'!$C$6="Off",('Activity data'!AZ10*EF!$H9)*kgtoGg,IF('Net zero activities &amp; levers'!$C$6="On",(('Net zero supporting data'!X41*EF!$H9)+('Net zero supporting data'!X39*'Net zero supporting data'!X43))*kgtoGg,"ERROR"))</f>
        <v>44.752670188028233</v>
      </c>
      <c r="AH162" s="100">
        <f>IF('Net zero activities &amp; levers'!$C$6="Off",('Activity data'!BA10*EF!$H9)*kgtoGg,IF('Net zero activities &amp; levers'!$C$6="On",(('Net zero supporting data'!Y41*EF!$H9)+('Net zero supporting data'!Y39*'Net zero supporting data'!Y43))*kgtoGg,"ERROR"))</f>
        <v>-10.819224902860009</v>
      </c>
      <c r="AI162" s="100">
        <f>IF('Net zero activities &amp; levers'!$C$6="Off",('Activity data'!BB10*EF!$H9)*kgtoGg,IF('Net zero activities &amp; levers'!$C$6="On",(('Net zero supporting data'!Z41*EF!$H9)+('Net zero supporting data'!Z39*'Net zero supporting data'!Z43))*kgtoGg,"ERROR"))</f>
        <v>-10.832241709589791</v>
      </c>
      <c r="AJ162" s="100">
        <f>IF('Net zero activities &amp; levers'!$C$6="Off",('Activity data'!BC10*EF!$H9)*kgtoGg,IF('Net zero activities &amp; levers'!$C$6="On",(('Net zero supporting data'!AA41*EF!$H9)+('Net zero supporting data'!AA39*'Net zero supporting data'!AA43))*kgtoGg,"ERROR"))</f>
        <v>-10.84456693400127</v>
      </c>
      <c r="AK162" s="100">
        <f>IF('Net zero activities &amp; levers'!$C$6="Off",('Activity data'!BD10*EF!$H9)*kgtoGg,IF('Net zero activities &amp; levers'!$C$6="On",(('Net zero supporting data'!AB41*EF!$H9)+('Net zero supporting data'!AB39*'Net zero supporting data'!AB43))*kgtoGg,"ERROR"))</f>
        <v>-10.856192334395425</v>
      </c>
      <c r="AL162" s="100">
        <f>IF('Net zero activities &amp; levers'!$C$6="Off",('Activity data'!BE10*EF!$H9)*kgtoGg,IF('Net zero activities &amp; levers'!$C$6="On",(('Net zero supporting data'!AC41*EF!$H9)+('Net zero supporting data'!AC39*'Net zero supporting data'!AC43))*kgtoGg,"ERROR"))</f>
        <v>-10.867109543562117</v>
      </c>
      <c r="AM162" s="100">
        <f>IF('Net zero activities &amp; levers'!$C$6="Off",('Activity data'!BF10*EF!$H9)*kgtoGg,IF('Net zero activities &amp; levers'!$C$6="On",(('Net zero supporting data'!AD41*EF!$H9)+('Net zero supporting data'!AD39*'Net zero supporting data'!AD43))*kgtoGg,"ERROR"))</f>
        <v>-10.877310067460783</v>
      </c>
      <c r="AN162" s="100">
        <f>IF('Net zero activities &amp; levers'!$C$6="Off",('Activity data'!BG10*EF!$H9)*kgtoGg,IF('Net zero activities &amp; levers'!$C$6="On",(('Net zero supporting data'!AE41*EF!$H9)+('Net zero supporting data'!AE39*'Net zero supporting data'!AE43))*kgtoGg,"ERROR"))</f>
        <v>-10.948028133222621</v>
      </c>
      <c r="AO162" s="100">
        <f>IF('Net zero activities &amp; levers'!$C$6="Off",('Activity data'!BH10*EF!$H9)*kgtoGg,IF('Net zero activities &amp; levers'!$C$6="On",(('Net zero supporting data'!AF41*EF!$H9)+('Net zero supporting data'!AF39*'Net zero supporting data'!AF43))*kgtoGg,"ERROR"))</f>
        <v>-11.019164501176155</v>
      </c>
      <c r="AP162" s="100">
        <f>IF('Net zero activities &amp; levers'!$C$6="Off",('Activity data'!BI10*EF!$H9)*kgtoGg,IF('Net zero activities &amp; levers'!$C$6="On",(('Net zero supporting data'!AG41*EF!$H9)+('Net zero supporting data'!AG39*'Net zero supporting data'!AG43))*kgtoGg,"ERROR"))</f>
        <v>-11.090722337819832</v>
      </c>
      <c r="AQ162" s="100">
        <f>IF('Net zero activities &amp; levers'!$C$6="Off",('Activity data'!BJ10*EF!$H9)*kgtoGg,IF('Net zero activities &amp; levers'!$C$6="On",(('Net zero supporting data'!AH41*EF!$H9)+('Net zero supporting data'!AH39*'Net zero supporting data'!AH43))*kgtoGg,"ERROR"))</f>
        <v>-11.162704830214942</v>
      </c>
      <c r="AR162" s="100">
        <f>IF('Net zero activities &amp; levers'!$C$6="Off",('Activity data'!BK10*EF!$H9)*kgtoGg,IF('Net zero activities &amp; levers'!$C$6="On",(('Net zero supporting data'!AI41*EF!$H9)+('Net zero supporting data'!AI39*'Net zero supporting data'!AI43))*kgtoGg,"ERROR"))</f>
        <v>-11.235115186125139</v>
      </c>
      <c r="AS162" s="100">
        <f>IF('Net zero activities &amp; levers'!$C$6="Off",('Activity data'!BL10*EF!$H9)*kgtoGg,IF('Net zero activities &amp; levers'!$C$6="On",(('Net zero supporting data'!AJ41*EF!$H9)+('Net zero supporting data'!AJ39*'Net zero supporting data'!AJ43))*kgtoGg,"ERROR"))</f>
        <v>-11.300271371263811</v>
      </c>
      <c r="AT162" s="100">
        <f>IF('Net zero activities &amp; levers'!$C$6="Off",('Activity data'!BM10*EF!$H9)*kgtoGg,IF('Net zero activities &amp; levers'!$C$6="On",(('Net zero supporting data'!AK41*EF!$H9)+('Net zero supporting data'!AK39*'Net zero supporting data'!AK43))*kgtoGg,"ERROR"))</f>
        <v>-11.365734281289706</v>
      </c>
      <c r="AU162" s="100">
        <f>IF('Net zero activities &amp; levers'!$C$6="Off",('Activity data'!BN10*EF!$H9)*kgtoGg,IF('Net zero activities &amp; levers'!$C$6="On",(('Net zero supporting data'!AL41*EF!$H9)+('Net zero supporting data'!AL39*'Net zero supporting data'!AL43))*kgtoGg,"ERROR"))</f>
        <v>-11.431505883143291</v>
      </c>
      <c r="AV162" s="100">
        <f>IF('Net zero activities &amp; levers'!$C$6="Off",('Activity data'!BO10*EF!$H9)*kgtoGg,IF('Net zero activities &amp; levers'!$C$6="On",(('Net zero supporting data'!AM41*EF!$H9)+('Net zero supporting data'!AM39*'Net zero supporting data'!AM43))*kgtoGg,"ERROR"))</f>
        <v>-11.497588153921535</v>
      </c>
      <c r="AW162" s="100">
        <f>IF('Net zero activities &amp; levers'!$C$6="Off",('Activity data'!BP10*EF!$H9)*kgtoGg,IF('Net zero activities &amp; levers'!$C$6="On",(('Net zero supporting data'!AN41*EF!$H9)+('Net zero supporting data'!AN39*'Net zero supporting data'!AN43))*kgtoGg,"ERROR"))</f>
        <v>-11.563983080936081</v>
      </c>
      <c r="AY162" s="85"/>
    </row>
    <row r="163" spans="1:51" x14ac:dyDescent="0.25">
      <c r="A163" s="102" t="str">
        <f t="shared" si="0"/>
        <v>FA Sheep</v>
      </c>
      <c r="B163" s="102" t="s">
        <v>963</v>
      </c>
      <c r="C163" s="102" t="s">
        <v>152</v>
      </c>
      <c r="D163" t="str">
        <f t="shared" ref="D163:E163" si="41">D162</f>
        <v>3A Livestock</v>
      </c>
      <c r="E163" t="str">
        <f t="shared" si="41"/>
        <v>3A1 Enteric fermentation (CH4)</v>
      </c>
      <c r="F163" t="s">
        <v>18</v>
      </c>
      <c r="G163" t="s">
        <v>122</v>
      </c>
      <c r="H163" t="s">
        <v>1021</v>
      </c>
      <c r="I163" t="s">
        <v>121</v>
      </c>
      <c r="J163" t="s">
        <v>286</v>
      </c>
      <c r="K163" s="28">
        <f t="shared" ref="K163:Z164" si="42">K1385</f>
        <v>132.58757058147904</v>
      </c>
      <c r="L163" s="28">
        <f t="shared" si="42"/>
        <v>132.65997552000914</v>
      </c>
      <c r="M163" s="28">
        <f t="shared" si="42"/>
        <v>132.82210408590223</v>
      </c>
      <c r="N163" s="28">
        <f t="shared" si="42"/>
        <v>133.06614161446052</v>
      </c>
      <c r="O163" s="28">
        <f t="shared" si="42"/>
        <v>133.3953531354135</v>
      </c>
      <c r="P163" s="28">
        <f t="shared" si="42"/>
        <v>133.81008797408685</v>
      </c>
      <c r="Q163" s="28">
        <f t="shared" si="42"/>
        <v>134.27208577169884</v>
      </c>
      <c r="R163" s="28">
        <f t="shared" si="42"/>
        <v>134.77278624125299</v>
      </c>
      <c r="S163" s="28">
        <f t="shared" si="42"/>
        <v>135.24330047488556</v>
      </c>
      <c r="T163" s="28">
        <f t="shared" si="42"/>
        <v>135.43984338147078</v>
      </c>
      <c r="U163" s="28">
        <f t="shared" si="42"/>
        <v>135.66790740229135</v>
      </c>
      <c r="V163" s="28">
        <f t="shared" si="42"/>
        <v>135.92744577431912</v>
      </c>
      <c r="W163" s="28">
        <f t="shared" si="42"/>
        <v>136.21980319636509</v>
      </c>
      <c r="X163" s="28">
        <f t="shared" si="42"/>
        <v>136.54029274426662</v>
      </c>
      <c r="Y163" s="28">
        <f t="shared" si="42"/>
        <v>136.73757850266969</v>
      </c>
      <c r="Z163" s="28">
        <f t="shared" si="42"/>
        <v>136.95795076822631</v>
      </c>
      <c r="AA163" s="28">
        <f t="shared" ref="L163:AW164" si="43">AA1385</f>
        <v>137.20220925985299</v>
      </c>
      <c r="AB163" s="28">
        <f t="shared" si="43"/>
        <v>137.46660109068114</v>
      </c>
      <c r="AC163" s="28">
        <f t="shared" si="43"/>
        <v>137.75207161797405</v>
      </c>
      <c r="AD163" s="28">
        <f t="shared" si="43"/>
        <v>137.94000218541183</v>
      </c>
      <c r="AE163" s="28">
        <f t="shared" si="43"/>
        <v>138.14770015018067</v>
      </c>
      <c r="AF163" s="28">
        <f t="shared" si="43"/>
        <v>138.37329758077868</v>
      </c>
      <c r="AG163" s="28">
        <f t="shared" si="43"/>
        <v>138.59125347156044</v>
      </c>
      <c r="AH163" s="28">
        <f t="shared" si="43"/>
        <v>137.6594267769662</v>
      </c>
      <c r="AI163" s="28">
        <f t="shared" si="43"/>
        <v>137.79176090123983</v>
      </c>
      <c r="AJ163" s="28">
        <f t="shared" si="43"/>
        <v>137.93779226287748</v>
      </c>
      <c r="AK163" s="28">
        <f t="shared" si="43"/>
        <v>138.09700339174353</v>
      </c>
      <c r="AL163" s="28">
        <f t="shared" si="43"/>
        <v>138.26891681492259</v>
      </c>
      <c r="AM163" s="28">
        <f t="shared" si="43"/>
        <v>138.45309126128626</v>
      </c>
      <c r="AN163" s="28">
        <f t="shared" si="43"/>
        <v>138.54247128713709</v>
      </c>
      <c r="AO163" s="28">
        <f t="shared" si="43"/>
        <v>138.64265405515414</v>
      </c>
      <c r="AP163" s="28">
        <f t="shared" si="43"/>
        <v>138.75326360443952</v>
      </c>
      <c r="AQ163" s="28">
        <f t="shared" si="43"/>
        <v>138.87394970624567</v>
      </c>
      <c r="AR163" s="28">
        <f t="shared" si="43"/>
        <v>139.00438567790363</v>
      </c>
      <c r="AS163" s="28">
        <f t="shared" si="43"/>
        <v>139.03656264546001</v>
      </c>
      <c r="AT163" s="28">
        <f t="shared" si="43"/>
        <v>139.07739261805247</v>
      </c>
      <c r="AU163" s="28">
        <f t="shared" si="43"/>
        <v>139.1265890083165</v>
      </c>
      <c r="AV163" s="28">
        <f t="shared" si="43"/>
        <v>139.18388272915809</v>
      </c>
      <c r="AW163" s="28">
        <f t="shared" si="43"/>
        <v>139.24902084795488</v>
      </c>
      <c r="AY163" s="85"/>
    </row>
    <row r="164" spans="1:51" x14ac:dyDescent="0.25">
      <c r="A164" s="102" t="str">
        <f t="shared" si="0"/>
        <v>FA Sheep</v>
      </c>
      <c r="B164" s="102" t="s">
        <v>963</v>
      </c>
      <c r="C164" s="102" t="s">
        <v>152</v>
      </c>
      <c r="D164" t="str">
        <f t="shared" ref="D164:E164" si="44">D163</f>
        <v>3A Livestock</v>
      </c>
      <c r="E164" t="str">
        <f t="shared" si="44"/>
        <v>3A1 Enteric fermentation (CH4)</v>
      </c>
      <c r="F164" t="s">
        <v>18</v>
      </c>
      <c r="G164" t="s">
        <v>123</v>
      </c>
      <c r="H164" t="s">
        <v>1021</v>
      </c>
      <c r="I164" t="s">
        <v>121</v>
      </c>
      <c r="J164" t="s">
        <v>286</v>
      </c>
      <c r="K164" s="28">
        <f t="shared" si="42"/>
        <v>14.369021000318453</v>
      </c>
      <c r="L164" s="28">
        <f t="shared" si="43"/>
        <v>14.376867799816345</v>
      </c>
      <c r="M164" s="28">
        <f t="shared" si="43"/>
        <v>14.394438291211975</v>
      </c>
      <c r="N164" s="28">
        <f t="shared" si="43"/>
        <v>14.420885569469965</v>
      </c>
      <c r="O164" s="28">
        <f t="shared" si="43"/>
        <v>14.456563478322018</v>
      </c>
      <c r="P164" s="28">
        <f t="shared" si="43"/>
        <v>14.50150987548674</v>
      </c>
      <c r="Q164" s="28">
        <f t="shared" si="43"/>
        <v>14.55157833987502</v>
      </c>
      <c r="R164" s="28">
        <f t="shared" si="43"/>
        <v>14.60584116051756</v>
      </c>
      <c r="S164" s="28">
        <f t="shared" si="43"/>
        <v>14.656832583577541</v>
      </c>
      <c r="T164" s="28">
        <f t="shared" si="43"/>
        <v>14.678132688404874</v>
      </c>
      <c r="U164" s="28">
        <f t="shared" si="43"/>
        <v>14.702848856671748</v>
      </c>
      <c r="V164" s="28">
        <f t="shared" si="43"/>
        <v>14.730976020490347</v>
      </c>
      <c r="W164" s="28">
        <f t="shared" si="43"/>
        <v>14.762659910002416</v>
      </c>
      <c r="X164" s="28">
        <f t="shared" si="43"/>
        <v>14.797392585350364</v>
      </c>
      <c r="Y164" s="28">
        <f t="shared" si="43"/>
        <v>14.818773195864045</v>
      </c>
      <c r="Z164" s="28">
        <f t="shared" si="43"/>
        <v>14.842655779259934</v>
      </c>
      <c r="AA164" s="28">
        <f t="shared" si="43"/>
        <v>14.869127004128885</v>
      </c>
      <c r="AB164" s="28">
        <f t="shared" si="43"/>
        <v>14.897780155799289</v>
      </c>
      <c r="AC164" s="28">
        <f t="shared" si="43"/>
        <v>14.928717686245429</v>
      </c>
      <c r="AD164" s="28">
        <f t="shared" si="43"/>
        <v>14.949084439013225</v>
      </c>
      <c r="AE164" s="28">
        <f t="shared" si="43"/>
        <v>14.971593460065483</v>
      </c>
      <c r="AF164" s="28">
        <f t="shared" si="43"/>
        <v>14.996042314537018</v>
      </c>
      <c r="AG164" s="28">
        <f t="shared" si="43"/>
        <v>15.019663026177268</v>
      </c>
      <c r="AH164" s="28">
        <f t="shared" si="43"/>
        <v>14.918677411277161</v>
      </c>
      <c r="AI164" s="28">
        <f t="shared" si="43"/>
        <v>14.933018965333902</v>
      </c>
      <c r="AJ164" s="28">
        <f t="shared" si="43"/>
        <v>14.948844941274739</v>
      </c>
      <c r="AK164" s="28">
        <f t="shared" si="43"/>
        <v>14.966099258886322</v>
      </c>
      <c r="AL164" s="28">
        <f t="shared" si="43"/>
        <v>14.984730172606687</v>
      </c>
      <c r="AM164" s="28">
        <f t="shared" si="43"/>
        <v>15.004689860199688</v>
      </c>
      <c r="AN164" s="28">
        <f t="shared" si="43"/>
        <v>15.014376314690312</v>
      </c>
      <c r="AO164" s="28">
        <f t="shared" si="43"/>
        <v>15.025233503574562</v>
      </c>
      <c r="AP164" s="28">
        <f t="shared" si="43"/>
        <v>15.037220682535205</v>
      </c>
      <c r="AQ164" s="28">
        <f t="shared" si="43"/>
        <v>15.050299895946342</v>
      </c>
      <c r="AR164" s="28">
        <f t="shared" si="43"/>
        <v>15.064435739960453</v>
      </c>
      <c r="AS164" s="28">
        <f t="shared" si="43"/>
        <v>15.067922880727245</v>
      </c>
      <c r="AT164" s="28">
        <f t="shared" si="43"/>
        <v>15.072347780671114</v>
      </c>
      <c r="AU164" s="28">
        <f t="shared" si="43"/>
        <v>15.077679381225703</v>
      </c>
      <c r="AV164" s="28">
        <f t="shared" si="43"/>
        <v>15.083888520395751</v>
      </c>
      <c r="AW164" s="28">
        <f t="shared" si="43"/>
        <v>15.090947786907744</v>
      </c>
      <c r="AY164" s="85"/>
    </row>
    <row r="165" spans="1:51" x14ac:dyDescent="0.25">
      <c r="A165" s="102" t="str">
        <f t="shared" ref="A165:A306" si="45">B165&amp;" "&amp;C165</f>
        <v>FA Goats</v>
      </c>
      <c r="B165" s="102" t="s">
        <v>963</v>
      </c>
      <c r="C165" s="102" t="s">
        <v>153</v>
      </c>
      <c r="D165" t="s">
        <v>15</v>
      </c>
      <c r="E165" t="s">
        <v>16</v>
      </c>
      <c r="F165" t="s">
        <v>19</v>
      </c>
      <c r="G165" t="s">
        <v>122</v>
      </c>
      <c r="H165" t="s">
        <v>1021</v>
      </c>
      <c r="I165" t="s">
        <v>121</v>
      </c>
      <c r="J165" t="s">
        <v>286</v>
      </c>
      <c r="K165" s="28">
        <f>K1387</f>
        <v>15.122912034052119</v>
      </c>
      <c r="L165" s="28">
        <f t="shared" ref="L165:AW172" si="46">L1387</f>
        <v>15.16235617086264</v>
      </c>
      <c r="M165" s="28">
        <f t="shared" si="46"/>
        <v>15.214918977175502</v>
      </c>
      <c r="N165" s="28">
        <f t="shared" si="46"/>
        <v>15.279431878529646</v>
      </c>
      <c r="O165" s="28">
        <f t="shared" si="46"/>
        <v>15.356670108197457</v>
      </c>
      <c r="P165" s="28">
        <f t="shared" si="46"/>
        <v>15.446839206530987</v>
      </c>
      <c r="Q165" s="28">
        <f t="shared" si="46"/>
        <v>15.543246595834415</v>
      </c>
      <c r="R165" s="28">
        <f t="shared" si="46"/>
        <v>15.644513729476552</v>
      </c>
      <c r="S165" s="28">
        <f t="shared" si="46"/>
        <v>15.738586448717601</v>
      </c>
      <c r="T165" s="28">
        <f t="shared" si="46"/>
        <v>15.782671791027241</v>
      </c>
      <c r="U165" s="28">
        <f t="shared" si="46"/>
        <v>15.831013812582922</v>
      </c>
      <c r="V165" s="28">
        <f t="shared" si="46"/>
        <v>15.883673860630685</v>
      </c>
      <c r="W165" s="28">
        <f t="shared" si="46"/>
        <v>15.940945806372881</v>
      </c>
      <c r="X165" s="28">
        <f t="shared" si="46"/>
        <v>16.002058548962822</v>
      </c>
      <c r="Y165" s="28">
        <f t="shared" si="46"/>
        <v>16.040687609599484</v>
      </c>
      <c r="Z165" s="28">
        <f t="shared" si="46"/>
        <v>16.082482288873532</v>
      </c>
      <c r="AA165" s="28">
        <f t="shared" si="46"/>
        <v>16.127615494082271</v>
      </c>
      <c r="AB165" s="28">
        <f t="shared" si="46"/>
        <v>16.175465875658951</v>
      </c>
      <c r="AC165" s="28">
        <f t="shared" si="46"/>
        <v>16.226224840403397</v>
      </c>
      <c r="AD165" s="28">
        <f t="shared" si="46"/>
        <v>16.259468591936052</v>
      </c>
      <c r="AE165" s="28">
        <f t="shared" si="46"/>
        <v>16.295521678721617</v>
      </c>
      <c r="AF165" s="28">
        <f t="shared" si="46"/>
        <v>16.334079311640636</v>
      </c>
      <c r="AG165" s="28">
        <f t="shared" si="46"/>
        <v>16.370780543129868</v>
      </c>
      <c r="AH165" s="28">
        <f t="shared" si="46"/>
        <v>16.210342962451882</v>
      </c>
      <c r="AI165" s="28">
        <f t="shared" si="46"/>
        <v>16.231809554619815</v>
      </c>
      <c r="AJ165" s="28">
        <f t="shared" si="46"/>
        <v>16.255200949759832</v>
      </c>
      <c r="AK165" s="28">
        <f t="shared" si="46"/>
        <v>16.280438980022009</v>
      </c>
      <c r="AL165" s="28">
        <f t="shared" si="46"/>
        <v>16.307451540692337</v>
      </c>
      <c r="AM165" s="28">
        <f t="shared" si="46"/>
        <v>16.33617200965886</v>
      </c>
      <c r="AN165" s="28">
        <f t="shared" si="46"/>
        <v>16.348500225303503</v>
      </c>
      <c r="AO165" s="28">
        <f t="shared" si="46"/>
        <v>16.362367038828094</v>
      </c>
      <c r="AP165" s="28">
        <f t="shared" si="46"/>
        <v>16.377714445166813</v>
      </c>
      <c r="AQ165" s="28">
        <f t="shared" si="46"/>
        <v>16.394488418537772</v>
      </c>
      <c r="AR165" s="28">
        <f t="shared" si="46"/>
        <v>16.412638571526305</v>
      </c>
      <c r="AS165" s="28">
        <f t="shared" si="46"/>
        <v>16.414054645399585</v>
      </c>
      <c r="AT165" s="28">
        <f t="shared" si="46"/>
        <v>16.416730079303285</v>
      </c>
      <c r="AU165" s="28">
        <f t="shared" si="46"/>
        <v>16.420619645756457</v>
      </c>
      <c r="AV165" s="28">
        <f t="shared" si="46"/>
        <v>16.425680885599256</v>
      </c>
      <c r="AW165" s="28">
        <f t="shared" si="46"/>
        <v>16.431873893524784</v>
      </c>
      <c r="AY165" s="85"/>
    </row>
    <row r="166" spans="1:51" x14ac:dyDescent="0.25">
      <c r="A166" s="102" t="str">
        <f t="shared" si="45"/>
        <v>FA Goats</v>
      </c>
      <c r="B166" s="102" t="s">
        <v>963</v>
      </c>
      <c r="C166" s="102" t="s">
        <v>153</v>
      </c>
      <c r="D166" t="s">
        <v>15</v>
      </c>
      <c r="E166" t="s">
        <v>16</v>
      </c>
      <c r="F166" t="s">
        <v>19</v>
      </c>
      <c r="G166" t="s">
        <v>123</v>
      </c>
      <c r="H166" t="s">
        <v>1021</v>
      </c>
      <c r="I166" t="s">
        <v>121</v>
      </c>
      <c r="J166" t="s">
        <v>286</v>
      </c>
      <c r="K166" s="28">
        <f t="shared" ref="K166:Z206" si="47">K1388</f>
        <v>22.380358537009105</v>
      </c>
      <c r="L166" s="28">
        <f t="shared" si="47"/>
        <v>22.438731813400228</v>
      </c>
      <c r="M166" s="28">
        <f t="shared" si="47"/>
        <v>22.516519374971988</v>
      </c>
      <c r="N166" s="28">
        <f t="shared" si="47"/>
        <v>22.611991851391704</v>
      </c>
      <c r="O166" s="28">
        <f t="shared" si="47"/>
        <v>22.726296508380855</v>
      </c>
      <c r="P166" s="28">
        <f t="shared" si="47"/>
        <v>22.859737524576634</v>
      </c>
      <c r="Q166" s="28">
        <f t="shared" si="47"/>
        <v>23.002410571498377</v>
      </c>
      <c r="R166" s="28">
        <f t="shared" si="47"/>
        <v>23.152275541540064</v>
      </c>
      <c r="S166" s="28">
        <f t="shared" si="47"/>
        <v>23.291493516254551</v>
      </c>
      <c r="T166" s="28">
        <f t="shared" si="47"/>
        <v>23.356735300700223</v>
      </c>
      <c r="U166" s="28">
        <f t="shared" si="47"/>
        <v>23.428276533789713</v>
      </c>
      <c r="V166" s="28">
        <f t="shared" si="47"/>
        <v>23.506208003154299</v>
      </c>
      <c r="W166" s="28">
        <f t="shared" si="47"/>
        <v>23.590964608028823</v>
      </c>
      <c r="X166" s="28">
        <f t="shared" si="47"/>
        <v>23.681405198257956</v>
      </c>
      <c r="Y166" s="28">
        <f t="shared" si="47"/>
        <v>23.738572245520402</v>
      </c>
      <c r="Z166" s="28">
        <f t="shared" si="47"/>
        <v>23.800424083644316</v>
      </c>
      <c r="AA166" s="28">
        <f t="shared" si="46"/>
        <v>23.8672165976933</v>
      </c>
      <c r="AB166" s="28">
        <f t="shared" si="46"/>
        <v>23.938030254045156</v>
      </c>
      <c r="AC166" s="28">
        <f t="shared" si="46"/>
        <v>24.013148315129573</v>
      </c>
      <c r="AD166" s="28">
        <f t="shared" si="46"/>
        <v>24.062345657330646</v>
      </c>
      <c r="AE166" s="28">
        <f t="shared" si="46"/>
        <v>24.115700527530912</v>
      </c>
      <c r="AF166" s="28">
        <f t="shared" si="46"/>
        <v>24.172761869098128</v>
      </c>
      <c r="AG166" s="28">
        <f t="shared" si="46"/>
        <v>24.227075926974639</v>
      </c>
      <c r="AH166" s="28">
        <f t="shared" si="46"/>
        <v>23.989644764887686</v>
      </c>
      <c r="AI166" s="28">
        <f t="shared" si="46"/>
        <v>24.021413119302785</v>
      </c>
      <c r="AJ166" s="28">
        <f t="shared" si="46"/>
        <v>24.056029984674726</v>
      </c>
      <c r="AK166" s="28">
        <f t="shared" si="46"/>
        <v>24.093379680603892</v>
      </c>
      <c r="AL166" s="28">
        <f t="shared" si="46"/>
        <v>24.133355499509896</v>
      </c>
      <c r="AM166" s="28">
        <f t="shared" si="46"/>
        <v>24.175858847500976</v>
      </c>
      <c r="AN166" s="28">
        <f t="shared" si="46"/>
        <v>24.194103342055165</v>
      </c>
      <c r="AO166" s="28">
        <f t="shared" si="46"/>
        <v>24.214624803645847</v>
      </c>
      <c r="AP166" s="28">
        <f t="shared" si="46"/>
        <v>24.23733739072566</v>
      </c>
      <c r="AQ166" s="28">
        <f t="shared" si="46"/>
        <v>24.26216115067923</v>
      </c>
      <c r="AR166" s="28">
        <f t="shared" si="46"/>
        <v>24.289021515301489</v>
      </c>
      <c r="AS166" s="28">
        <f t="shared" si="46"/>
        <v>24.291117159376356</v>
      </c>
      <c r="AT166" s="28">
        <f t="shared" si="46"/>
        <v>24.295076527113999</v>
      </c>
      <c r="AU166" s="28">
        <f t="shared" si="46"/>
        <v>24.300832686481954</v>
      </c>
      <c r="AV166" s="28">
        <f t="shared" si="46"/>
        <v>24.308322802279001</v>
      </c>
      <c r="AW166" s="28">
        <f t="shared" si="46"/>
        <v>24.317487818744329</v>
      </c>
      <c r="AY166" s="85"/>
    </row>
    <row r="167" spans="1:51" x14ac:dyDescent="0.25">
      <c r="A167" s="102" t="str">
        <f t="shared" si="45"/>
        <v>FA Horses</v>
      </c>
      <c r="B167" s="102" t="s">
        <v>963</v>
      </c>
      <c r="C167" s="102" t="s">
        <v>3</v>
      </c>
      <c r="D167" t="s">
        <v>15</v>
      </c>
      <c r="E167" t="s">
        <v>16</v>
      </c>
      <c r="F167" t="s">
        <v>20</v>
      </c>
      <c r="G167" t="s">
        <v>3</v>
      </c>
      <c r="H167" t="s">
        <v>1021</v>
      </c>
      <c r="I167" t="s">
        <v>121</v>
      </c>
      <c r="J167" t="s">
        <v>286</v>
      </c>
      <c r="K167" s="28">
        <f t="shared" si="47"/>
        <v>5.5696427744330439</v>
      </c>
      <c r="L167" s="28">
        <f t="shared" si="46"/>
        <v>5.6022840873497932</v>
      </c>
      <c r="M167" s="28">
        <f t="shared" si="46"/>
        <v>5.6103260601490881</v>
      </c>
      <c r="N167" s="28">
        <f t="shared" si="46"/>
        <v>5.5857580588048208</v>
      </c>
      <c r="O167" s="28">
        <f t="shared" si="46"/>
        <v>5.559765331848693</v>
      </c>
      <c r="P167" s="28">
        <f t="shared" si="46"/>
        <v>5.5473985576087426</v>
      </c>
      <c r="Q167" s="28">
        <f t="shared" si="46"/>
        <v>5.5391504700870771</v>
      </c>
      <c r="R167" s="28">
        <f t="shared" si="46"/>
        <v>5.4993657963463365</v>
      </c>
      <c r="S167" s="28">
        <f t="shared" si="46"/>
        <v>5.1779141846798922</v>
      </c>
      <c r="T167" s="28">
        <f t="shared" si="46"/>
        <v>5.2234365031656678</v>
      </c>
      <c r="U167" s="28">
        <f t="shared" si="46"/>
        <v>5.2607139869862687</v>
      </c>
      <c r="V167" s="28">
        <f t="shared" si="46"/>
        <v>5.2972378917474705</v>
      </c>
      <c r="W167" s="28">
        <f t="shared" si="46"/>
        <v>5.3445893517249541</v>
      </c>
      <c r="X167" s="28">
        <f t="shared" si="46"/>
        <v>5.391074742094033</v>
      </c>
      <c r="Y167" s="28">
        <f t="shared" si="46"/>
        <v>5.4443279456237095</v>
      </c>
      <c r="Z167" s="28">
        <f t="shared" si="46"/>
        <v>5.4941146702747297</v>
      </c>
      <c r="AA167" s="28">
        <f t="shared" si="46"/>
        <v>5.5476702009922301</v>
      </c>
      <c r="AB167" s="28">
        <f t="shared" si="46"/>
        <v>5.5951924858009336</v>
      </c>
      <c r="AC167" s="28">
        <f t="shared" si="46"/>
        <v>5.6435970948645044</v>
      </c>
      <c r="AD167" s="28">
        <f t="shared" si="46"/>
        <v>5.7106381367284076</v>
      </c>
      <c r="AE167" s="28">
        <f t="shared" si="46"/>
        <v>5.7837954436426573</v>
      </c>
      <c r="AF167" s="28">
        <f t="shared" si="46"/>
        <v>5.8590224803991617</v>
      </c>
      <c r="AG167" s="28">
        <f t="shared" si="46"/>
        <v>5.8483213454344947</v>
      </c>
      <c r="AH167" s="28">
        <f t="shared" si="46"/>
        <v>1.7304204380446728</v>
      </c>
      <c r="AI167" s="28">
        <f t="shared" si="46"/>
        <v>1.7304204380446728</v>
      </c>
      <c r="AJ167" s="28">
        <f t="shared" si="46"/>
        <v>1.7304204380446728</v>
      </c>
      <c r="AK167" s="28">
        <f t="shared" si="46"/>
        <v>1.7304204380446728</v>
      </c>
      <c r="AL167" s="28">
        <f t="shared" si="46"/>
        <v>1.7304204380446728</v>
      </c>
      <c r="AM167" s="28">
        <f t="shared" si="46"/>
        <v>1.7304204380446728</v>
      </c>
      <c r="AN167" s="28">
        <f t="shared" si="46"/>
        <v>1.7304204380446728</v>
      </c>
      <c r="AO167" s="28">
        <f t="shared" si="46"/>
        <v>1.7304204380446728</v>
      </c>
      <c r="AP167" s="28">
        <f t="shared" si="46"/>
        <v>1.7304204380446728</v>
      </c>
      <c r="AQ167" s="28">
        <f t="shared" si="46"/>
        <v>1.7304204380446728</v>
      </c>
      <c r="AR167" s="28">
        <f t="shared" si="46"/>
        <v>1.7304204380446728</v>
      </c>
      <c r="AS167" s="28">
        <f t="shared" si="46"/>
        <v>1.7304204380446728</v>
      </c>
      <c r="AT167" s="28">
        <f t="shared" si="46"/>
        <v>1.7304204380446728</v>
      </c>
      <c r="AU167" s="28">
        <f t="shared" si="46"/>
        <v>1.7304204380446728</v>
      </c>
      <c r="AV167" s="28">
        <f t="shared" si="46"/>
        <v>1.7304204380446728</v>
      </c>
      <c r="AW167" s="28">
        <f t="shared" si="46"/>
        <v>1.7304204380446728</v>
      </c>
      <c r="AY167" s="85"/>
    </row>
    <row r="168" spans="1:51" x14ac:dyDescent="0.25">
      <c r="A168" s="102" t="str">
        <f t="shared" si="45"/>
        <v>FA Mules&amp;Asses</v>
      </c>
      <c r="B168" s="102" t="s">
        <v>963</v>
      </c>
      <c r="C168" s="102" t="s">
        <v>1324</v>
      </c>
      <c r="D168" t="s">
        <v>15</v>
      </c>
      <c r="E168" t="s">
        <v>16</v>
      </c>
      <c r="F168" t="s">
        <v>140</v>
      </c>
      <c r="G168" t="s">
        <v>124</v>
      </c>
      <c r="H168" t="s">
        <v>1021</v>
      </c>
      <c r="I168" t="s">
        <v>121</v>
      </c>
      <c r="J168" t="s">
        <v>286</v>
      </c>
      <c r="K168" s="28">
        <f t="shared" si="47"/>
        <v>1.67</v>
      </c>
      <c r="L168" s="28">
        <f t="shared" si="46"/>
        <v>1.67</v>
      </c>
      <c r="M168" s="28">
        <f t="shared" si="46"/>
        <v>1.67</v>
      </c>
      <c r="N168" s="28">
        <f t="shared" si="46"/>
        <v>1.67</v>
      </c>
      <c r="O168" s="28">
        <f t="shared" si="46"/>
        <v>1.67</v>
      </c>
      <c r="P168" s="28">
        <f t="shared" si="46"/>
        <v>1.67</v>
      </c>
      <c r="Q168" s="28">
        <f t="shared" si="46"/>
        <v>1.67</v>
      </c>
      <c r="R168" s="28">
        <f t="shared" si="46"/>
        <v>1.67</v>
      </c>
      <c r="S168" s="28">
        <f t="shared" si="46"/>
        <v>1.67</v>
      </c>
      <c r="T168" s="28">
        <f t="shared" si="46"/>
        <v>1.67</v>
      </c>
      <c r="U168" s="28">
        <f t="shared" si="46"/>
        <v>1.67</v>
      </c>
      <c r="V168" s="28">
        <f t="shared" si="46"/>
        <v>1.67</v>
      </c>
      <c r="W168" s="28">
        <f t="shared" si="46"/>
        <v>1.67</v>
      </c>
      <c r="X168" s="28">
        <f t="shared" si="46"/>
        <v>1.67</v>
      </c>
      <c r="Y168" s="28">
        <f t="shared" si="46"/>
        <v>1.67</v>
      </c>
      <c r="Z168" s="28">
        <f t="shared" si="46"/>
        <v>1.67</v>
      </c>
      <c r="AA168" s="28">
        <f t="shared" si="46"/>
        <v>1.67</v>
      </c>
      <c r="AB168" s="28">
        <f t="shared" si="46"/>
        <v>1.67</v>
      </c>
      <c r="AC168" s="28">
        <f t="shared" si="46"/>
        <v>1.67</v>
      </c>
      <c r="AD168" s="28">
        <f t="shared" si="46"/>
        <v>1.67</v>
      </c>
      <c r="AE168" s="28">
        <f t="shared" si="46"/>
        <v>1.67</v>
      </c>
      <c r="AF168" s="28">
        <f t="shared" si="46"/>
        <v>1.67</v>
      </c>
      <c r="AG168" s="28">
        <f t="shared" si="46"/>
        <v>1.67</v>
      </c>
      <c r="AH168" s="28">
        <f t="shared" si="46"/>
        <v>1.67</v>
      </c>
      <c r="AI168" s="28">
        <f t="shared" si="46"/>
        <v>1.67</v>
      </c>
      <c r="AJ168" s="28">
        <f t="shared" si="46"/>
        <v>1.67</v>
      </c>
      <c r="AK168" s="28">
        <f t="shared" si="46"/>
        <v>1.67</v>
      </c>
      <c r="AL168" s="28">
        <f t="shared" si="46"/>
        <v>1.67</v>
      </c>
      <c r="AM168" s="28">
        <f t="shared" si="46"/>
        <v>1.67</v>
      </c>
      <c r="AN168" s="28">
        <f t="shared" si="46"/>
        <v>1.67</v>
      </c>
      <c r="AO168" s="28">
        <f t="shared" si="46"/>
        <v>1.67</v>
      </c>
      <c r="AP168" s="28">
        <f t="shared" si="46"/>
        <v>1.67</v>
      </c>
      <c r="AQ168" s="28">
        <f t="shared" si="46"/>
        <v>1.67</v>
      </c>
      <c r="AR168" s="28">
        <f t="shared" si="46"/>
        <v>1.67</v>
      </c>
      <c r="AS168" s="28">
        <f t="shared" si="46"/>
        <v>1.67</v>
      </c>
      <c r="AT168" s="28">
        <f t="shared" si="46"/>
        <v>1.67</v>
      </c>
      <c r="AU168" s="28">
        <f t="shared" si="46"/>
        <v>1.67</v>
      </c>
      <c r="AV168" s="28">
        <f t="shared" si="46"/>
        <v>1.67</v>
      </c>
      <c r="AW168" s="28">
        <f t="shared" si="46"/>
        <v>1.67</v>
      </c>
      <c r="AY168" s="85"/>
    </row>
    <row r="169" spans="1:51" x14ac:dyDescent="0.25">
      <c r="A169" s="102" t="str">
        <f t="shared" si="45"/>
        <v>FA Swine</v>
      </c>
      <c r="B169" s="102" t="s">
        <v>963</v>
      </c>
      <c r="C169" s="102" t="s">
        <v>155</v>
      </c>
      <c r="D169" t="s">
        <v>15</v>
      </c>
      <c r="E169" t="s">
        <v>16</v>
      </c>
      <c r="F169" t="s">
        <v>21</v>
      </c>
      <c r="G169" t="s">
        <v>122</v>
      </c>
      <c r="H169" t="s">
        <v>1021</v>
      </c>
      <c r="I169" t="s">
        <v>121</v>
      </c>
      <c r="J169" t="s">
        <v>286</v>
      </c>
      <c r="K169" s="28">
        <f t="shared" si="47"/>
        <v>1.8541666894574054</v>
      </c>
      <c r="L169" s="28">
        <f t="shared" si="46"/>
        <v>1.8483142649538657</v>
      </c>
      <c r="M169" s="28">
        <f t="shared" si="46"/>
        <v>1.8289603412170248</v>
      </c>
      <c r="N169" s="28">
        <f t="shared" si="46"/>
        <v>1.7913821949145237</v>
      </c>
      <c r="O169" s="28">
        <f t="shared" si="46"/>
        <v>1.7554482253507835</v>
      </c>
      <c r="P169" s="28">
        <f t="shared" si="46"/>
        <v>1.7302400840947183</v>
      </c>
      <c r="Q169" s="28">
        <f t="shared" si="46"/>
        <v>1.708890891068684</v>
      </c>
      <c r="R169" s="28">
        <f t="shared" si="46"/>
        <v>1.6695786047731636</v>
      </c>
      <c r="S169" s="28">
        <f t="shared" si="46"/>
        <v>1.4615896404106821</v>
      </c>
      <c r="T169" s="28">
        <f t="shared" si="46"/>
        <v>1.4708774478581006</v>
      </c>
      <c r="U169" s="28">
        <f t="shared" si="46"/>
        <v>1.475539546686083</v>
      </c>
      <c r="V169" s="28">
        <f t="shared" si="46"/>
        <v>1.4800720193256183</v>
      </c>
      <c r="W169" s="28">
        <f t="shared" si="46"/>
        <v>1.4911430483593251</v>
      </c>
      <c r="X169" s="28">
        <f t="shared" si="46"/>
        <v>1.5018418879535562</v>
      </c>
      <c r="Y169" s="28">
        <f t="shared" si="46"/>
        <v>1.5141161979930053</v>
      </c>
      <c r="Z169" s="28">
        <f t="shared" si="46"/>
        <v>1.5244186206157291</v>
      </c>
      <c r="AA169" s="28">
        <f t="shared" si="46"/>
        <v>1.5367997357970316</v>
      </c>
      <c r="AB169" s="28">
        <f t="shared" si="46"/>
        <v>1.5458124762264192</v>
      </c>
      <c r="AC169" s="28">
        <f t="shared" si="46"/>
        <v>1.5552930899763542</v>
      </c>
      <c r="AD169" s="28">
        <f t="shared" si="46"/>
        <v>1.5727795493180676</v>
      </c>
      <c r="AE169" s="28">
        <f t="shared" si="46"/>
        <v>1.5932065886725237</v>
      </c>
      <c r="AF169" s="28">
        <f t="shared" si="46"/>
        <v>1.61434489246593</v>
      </c>
      <c r="AG169" s="28">
        <f t="shared" si="46"/>
        <v>1.5905873244414643</v>
      </c>
      <c r="AH169" s="28">
        <f t="shared" si="46"/>
        <v>-0.53667602659003</v>
      </c>
      <c r="AI169" s="28">
        <f t="shared" si="46"/>
        <v>-0.53080565769123822</v>
      </c>
      <c r="AJ169" s="28">
        <f t="shared" si="46"/>
        <v>-0.52506102374348274</v>
      </c>
      <c r="AK169" s="28">
        <f t="shared" si="46"/>
        <v>-0.51943389932430173</v>
      </c>
      <c r="AL169" s="28">
        <f t="shared" si="46"/>
        <v>-0.51391666127760161</v>
      </c>
      <c r="AM169" s="28">
        <f t="shared" si="46"/>
        <v>-0.50850223047100296</v>
      </c>
      <c r="AN169" s="28">
        <f t="shared" si="46"/>
        <v>-0.50256367866010732</v>
      </c>
      <c r="AO169" s="28">
        <f t="shared" si="46"/>
        <v>-0.496729831902604</v>
      </c>
      <c r="AP169" s="28">
        <f t="shared" si="46"/>
        <v>-0.49099457494449417</v>
      </c>
      <c r="AQ169" s="28">
        <f t="shared" si="46"/>
        <v>-0.48535219196665164</v>
      </c>
      <c r="AR169" s="28">
        <f t="shared" si="46"/>
        <v>-0.47979733207264019</v>
      </c>
      <c r="AS169" s="28">
        <f t="shared" si="46"/>
        <v>-0.47374377836093629</v>
      </c>
      <c r="AT169" s="28">
        <f t="shared" si="46"/>
        <v>-0.46778268442640875</v>
      </c>
      <c r="AU169" s="28">
        <f t="shared" si="46"/>
        <v>-0.46190929102584166</v>
      </c>
      <c r="AV169" s="28">
        <f t="shared" si="46"/>
        <v>-0.45611912010876249</v>
      </c>
      <c r="AW169" s="28">
        <f t="shared" si="46"/>
        <v>-0.45040795289365548</v>
      </c>
      <c r="AY169" s="85"/>
    </row>
    <row r="170" spans="1:51" x14ac:dyDescent="0.25">
      <c r="A170" s="102" t="str">
        <f t="shared" si="45"/>
        <v>FA Swine</v>
      </c>
      <c r="B170" s="102" t="s">
        <v>963</v>
      </c>
      <c r="C170" s="102" t="s">
        <v>155</v>
      </c>
      <c r="D170" t="s">
        <v>15</v>
      </c>
      <c r="E170" t="s">
        <v>16</v>
      </c>
      <c r="F170" t="s">
        <v>21</v>
      </c>
      <c r="G170" t="s">
        <v>123</v>
      </c>
      <c r="H170" t="s">
        <v>1021</v>
      </c>
      <c r="I170" t="s">
        <v>121</v>
      </c>
      <c r="J170" t="s">
        <v>286</v>
      </c>
      <c r="K170" s="28">
        <f t="shared" si="47"/>
        <v>0.2569163489011142</v>
      </c>
      <c r="L170" s="28">
        <f t="shared" si="46"/>
        <v>0.25610542745364245</v>
      </c>
      <c r="M170" s="28">
        <f t="shared" si="46"/>
        <v>0.25342371633691707</v>
      </c>
      <c r="N170" s="28">
        <f t="shared" si="46"/>
        <v>0.2482168273331373</v>
      </c>
      <c r="O170" s="28">
        <f t="shared" si="46"/>
        <v>0.24323775812952569</v>
      </c>
      <c r="P170" s="28">
        <f t="shared" si="46"/>
        <v>0.23974487712216219</v>
      </c>
      <c r="Q170" s="28">
        <f t="shared" si="46"/>
        <v>0.23678669825107104</v>
      </c>
      <c r="R170" s="28">
        <f t="shared" si="46"/>
        <v>0.23133952399245247</v>
      </c>
      <c r="S170" s="28">
        <f t="shared" si="46"/>
        <v>0.20252023517685527</v>
      </c>
      <c r="T170" s="28">
        <f t="shared" si="46"/>
        <v>0.20380716886639622</v>
      </c>
      <c r="U170" s="28">
        <f t="shared" si="46"/>
        <v>0.20445315685437584</v>
      </c>
      <c r="V170" s="28">
        <f t="shared" si="46"/>
        <v>0.20508118362708436</v>
      </c>
      <c r="W170" s="28">
        <f t="shared" si="46"/>
        <v>0.20661520339676887</v>
      </c>
      <c r="X170" s="28">
        <f t="shared" si="46"/>
        <v>0.20809765199303451</v>
      </c>
      <c r="Y170" s="28">
        <f t="shared" si="46"/>
        <v>0.20979840033380981</v>
      </c>
      <c r="Z170" s="28">
        <f t="shared" si="46"/>
        <v>0.21122592075045635</v>
      </c>
      <c r="AA170" s="28">
        <f t="shared" si="46"/>
        <v>0.21294146818521006</v>
      </c>
      <c r="AB170" s="28">
        <f t="shared" si="46"/>
        <v>0.21419028814183935</v>
      </c>
      <c r="AC170" s="28">
        <f t="shared" si="46"/>
        <v>0.21550393738590373</v>
      </c>
      <c r="AD170" s="28">
        <f t="shared" si="46"/>
        <v>0.21792688960202594</v>
      </c>
      <c r="AE170" s="28">
        <f t="shared" si="46"/>
        <v>0.22075729336218733</v>
      </c>
      <c r="AF170" s="28">
        <f t="shared" si="46"/>
        <v>0.22368625107857998</v>
      </c>
      <c r="AG170" s="28">
        <f t="shared" si="46"/>
        <v>0.22039436385489045</v>
      </c>
      <c r="AH170" s="28">
        <f t="shared" si="46"/>
        <v>-7.4362702166015399E-2</v>
      </c>
      <c r="AI170" s="28">
        <f t="shared" si="46"/>
        <v>-7.3549294313983729E-2</v>
      </c>
      <c r="AJ170" s="28">
        <f t="shared" si="46"/>
        <v>-7.2753308501045513E-2</v>
      </c>
      <c r="AK170" s="28">
        <f t="shared" si="46"/>
        <v>-7.1973604999300819E-2</v>
      </c>
      <c r="AL170" s="28">
        <f t="shared" si="46"/>
        <v>-7.1209127531856237E-2</v>
      </c>
      <c r="AM170" s="28">
        <f t="shared" si="46"/>
        <v>-7.0458895202628005E-2</v>
      </c>
      <c r="AN170" s="28">
        <f t="shared" si="46"/>
        <v>-6.9636039815520426E-2</v>
      </c>
      <c r="AO170" s="28">
        <f t="shared" si="46"/>
        <v>-6.8827692530722115E-2</v>
      </c>
      <c r="AP170" s="28">
        <f t="shared" si="46"/>
        <v>-6.8033006008703711E-2</v>
      </c>
      <c r="AQ170" s="28">
        <f t="shared" si="46"/>
        <v>-6.7251188256280764E-2</v>
      </c>
      <c r="AR170" s="28">
        <f t="shared" si="46"/>
        <v>-6.6481497844549611E-2</v>
      </c>
      <c r="AS170" s="28">
        <f t="shared" si="46"/>
        <v>-6.5642707607225875E-2</v>
      </c>
      <c r="AT170" s="28">
        <f t="shared" si="46"/>
        <v>-6.4816728746844354E-2</v>
      </c>
      <c r="AU170" s="28">
        <f t="shared" si="46"/>
        <v>-6.4002901814932872E-2</v>
      </c>
      <c r="AV170" s="28">
        <f t="shared" si="46"/>
        <v>-6.3200606325542585E-2</v>
      </c>
      <c r="AW170" s="28">
        <f t="shared" si="46"/>
        <v>-6.2409257717452565E-2</v>
      </c>
      <c r="AY170" s="85"/>
    </row>
    <row r="171" spans="1:51" x14ac:dyDescent="0.25">
      <c r="A171" s="102" t="str">
        <f t="shared" si="45"/>
        <v>FA Cattle MMCH4</v>
      </c>
      <c r="B171" s="102" t="s">
        <v>963</v>
      </c>
      <c r="C171" s="102" t="s">
        <v>1230</v>
      </c>
      <c r="D171" t="s">
        <v>15</v>
      </c>
      <c r="E171" t="s">
        <v>22</v>
      </c>
      <c r="F171" t="s">
        <v>6</v>
      </c>
      <c r="G171" t="s">
        <v>136</v>
      </c>
      <c r="H171" t="s">
        <v>1228</v>
      </c>
      <c r="I171" t="s">
        <v>121</v>
      </c>
      <c r="J171" t="s">
        <v>286</v>
      </c>
      <c r="K171" s="28">
        <f t="shared" si="47"/>
        <v>7.3646534170257834</v>
      </c>
      <c r="L171" s="28">
        <f t="shared" si="46"/>
        <v>7.4104628035653102</v>
      </c>
      <c r="M171" s="28">
        <f t="shared" si="46"/>
        <v>7.4419573878579355</v>
      </c>
      <c r="N171" s="28">
        <f t="shared" si="46"/>
        <v>7.4518345531057086</v>
      </c>
      <c r="O171" s="28">
        <f t="shared" si="46"/>
        <v>7.4651968838323191</v>
      </c>
      <c r="P171" s="28">
        <f t="shared" si="46"/>
        <v>7.494465464758667</v>
      </c>
      <c r="Q171" s="28">
        <f t="shared" si="46"/>
        <v>7.5295555244972592</v>
      </c>
      <c r="R171" s="28">
        <f t="shared" si="46"/>
        <v>7.5400969444741763</v>
      </c>
      <c r="S171" s="28">
        <f t="shared" si="46"/>
        <v>7.3086176618997394</v>
      </c>
      <c r="T171" s="28">
        <f t="shared" si="46"/>
        <v>7.3688162835395774</v>
      </c>
      <c r="U171" s="28">
        <f t="shared" si="46"/>
        <v>7.4240167099951169</v>
      </c>
      <c r="V171" s="28">
        <f t="shared" si="46"/>
        <v>7.4806155410688238</v>
      </c>
      <c r="W171" s="28">
        <f t="shared" si="46"/>
        <v>7.5487965323768202</v>
      </c>
      <c r="X171" s="28">
        <f t="shared" si="46"/>
        <v>7.6182568990068642</v>
      </c>
      <c r="Y171" s="28">
        <f t="shared" si="46"/>
        <v>7.6858917367195918</v>
      </c>
      <c r="Z171" s="28">
        <f t="shared" si="46"/>
        <v>7.7521734876275126</v>
      </c>
      <c r="AA171" s="28">
        <f t="shared" si="46"/>
        <v>7.8235662027619757</v>
      </c>
      <c r="AB171" s="28">
        <f t="shared" si="46"/>
        <v>7.8911737006481246</v>
      </c>
      <c r="AC171" s="28">
        <f t="shared" si="46"/>
        <v>7.961206232365277</v>
      </c>
      <c r="AD171" s="28">
        <f t="shared" si="46"/>
        <v>8.0416672207979634</v>
      </c>
      <c r="AE171" s="28">
        <f t="shared" si="46"/>
        <v>8.1292976952055653</v>
      </c>
      <c r="AF171" s="28">
        <f t="shared" si="46"/>
        <v>8.2204064265450114</v>
      </c>
      <c r="AG171" s="28">
        <f t="shared" si="46"/>
        <v>8.2331329239754218</v>
      </c>
      <c r="AH171" s="28">
        <f t="shared" si="46"/>
        <v>4.4079390411250321</v>
      </c>
      <c r="AI171" s="28">
        <f t="shared" si="46"/>
        <v>4.4111810533822107</v>
      </c>
      <c r="AJ171" s="28">
        <f t="shared" si="46"/>
        <v>4.4148489430980264</v>
      </c>
      <c r="AK171" s="28">
        <f t="shared" si="46"/>
        <v>4.4189265228241794</v>
      </c>
      <c r="AL171" s="28">
        <f t="shared" si="46"/>
        <v>4.4233988518058229</v>
      </c>
      <c r="AM171" s="28">
        <f t="shared" si="46"/>
        <v>4.4282521178160774</v>
      </c>
      <c r="AN171" s="28">
        <f t="shared" si="46"/>
        <v>4.4303415938400539</v>
      </c>
      <c r="AO171" s="28">
        <f t="shared" si="46"/>
        <v>4.432766537435862</v>
      </c>
      <c r="AP171" s="28">
        <f t="shared" si="46"/>
        <v>4.4355152317525279</v>
      </c>
      <c r="AQ171" s="28">
        <f t="shared" si="46"/>
        <v>4.4385767594592709</v>
      </c>
      <c r="AR171" s="28">
        <f t="shared" si="46"/>
        <v>4.4419409348998142</v>
      </c>
      <c r="AS171" s="28">
        <f t="shared" si="46"/>
        <v>4.4424325568083702</v>
      </c>
      <c r="AT171" s="28">
        <f t="shared" si="46"/>
        <v>4.4431924834311589</v>
      </c>
      <c r="AU171" s="28">
        <f t="shared" si="46"/>
        <v>4.4442118217610558</v>
      </c>
      <c r="AV171" s="28">
        <f t="shared" si="46"/>
        <v>4.4454822205450464</v>
      </c>
      <c r="AW171" s="28">
        <f t="shared" si="46"/>
        <v>4.4469958286673741</v>
      </c>
      <c r="AY171" s="85"/>
    </row>
    <row r="172" spans="1:51" x14ac:dyDescent="0.25">
      <c r="A172" s="102" t="str">
        <f t="shared" si="45"/>
        <v>FA Cattle MMCH4</v>
      </c>
      <c r="B172" s="102" t="s">
        <v>963</v>
      </c>
      <c r="C172" s="102" t="s">
        <v>1230</v>
      </c>
      <c r="D172" t="s">
        <v>15</v>
      </c>
      <c r="E172" t="s">
        <v>22</v>
      </c>
      <c r="F172" t="s">
        <v>6</v>
      </c>
      <c r="G172" t="s">
        <v>137</v>
      </c>
      <c r="H172" t="s">
        <v>1228</v>
      </c>
      <c r="I172" t="s">
        <v>121</v>
      </c>
      <c r="J172" t="s">
        <v>286</v>
      </c>
      <c r="K172" s="28">
        <f t="shared" si="47"/>
        <v>2.0982448441600319</v>
      </c>
      <c r="L172" s="28">
        <f t="shared" si="46"/>
        <v>2.1112962810271738</v>
      </c>
      <c r="M172" s="28">
        <f t="shared" si="46"/>
        <v>2.1202693236632593</v>
      </c>
      <c r="N172" s="28">
        <f t="shared" si="46"/>
        <v>2.1230834019209199</v>
      </c>
      <c r="O172" s="28">
        <f t="shared" si="46"/>
        <v>2.1268904298916125</v>
      </c>
      <c r="P172" s="28">
        <f t="shared" ref="L172:AW178" si="48">P1394</f>
        <v>2.1352292675187319</v>
      </c>
      <c r="Q172" s="28">
        <f t="shared" si="48"/>
        <v>2.1452266880025732</v>
      </c>
      <c r="R172" s="28">
        <f t="shared" si="48"/>
        <v>2.1482300174010156</v>
      </c>
      <c r="S172" s="28">
        <f t="shared" si="48"/>
        <v>2.0822798383920729</v>
      </c>
      <c r="T172" s="28">
        <f t="shared" si="48"/>
        <v>2.099430875966946</v>
      </c>
      <c r="U172" s="28">
        <f t="shared" si="48"/>
        <v>2.1151578903486419</v>
      </c>
      <c r="V172" s="28">
        <f t="shared" si="48"/>
        <v>2.1312833206657489</v>
      </c>
      <c r="W172" s="28">
        <f t="shared" si="48"/>
        <v>2.1507085950650837</v>
      </c>
      <c r="X172" s="28">
        <f t="shared" si="48"/>
        <v>2.1704983730630572</v>
      </c>
      <c r="Y172" s="28">
        <f t="shared" si="48"/>
        <v>2.1897680442180159</v>
      </c>
      <c r="Z172" s="28">
        <f t="shared" si="48"/>
        <v>2.2086522108215552</v>
      </c>
      <c r="AA172" s="28">
        <f t="shared" si="48"/>
        <v>2.2289925293618906</v>
      </c>
      <c r="AB172" s="28">
        <f t="shared" si="48"/>
        <v>2.2482544111957634</v>
      </c>
      <c r="AC172" s="28">
        <f t="shared" si="48"/>
        <v>2.2682072033066958</v>
      </c>
      <c r="AD172" s="28">
        <f t="shared" si="48"/>
        <v>2.2911311407379684</v>
      </c>
      <c r="AE172" s="28">
        <f t="shared" si="48"/>
        <v>2.3160977183493427</v>
      </c>
      <c r="AF172" s="28">
        <f t="shared" si="48"/>
        <v>2.3420552773770367</v>
      </c>
      <c r="AG172" s="28">
        <f t="shared" si="48"/>
        <v>2.3456811516857772</v>
      </c>
      <c r="AH172" s="28">
        <f t="shared" si="48"/>
        <v>1.2558548030285308</v>
      </c>
      <c r="AI172" s="28">
        <f t="shared" si="48"/>
        <v>1.2567784765699908</v>
      </c>
      <c r="AJ172" s="28">
        <f t="shared" si="48"/>
        <v>1.2578234857848665</v>
      </c>
      <c r="AK172" s="28">
        <f t="shared" si="48"/>
        <v>1.2589852187480597</v>
      </c>
      <c r="AL172" s="28">
        <f t="shared" si="48"/>
        <v>1.2602594187267613</v>
      </c>
      <c r="AM172" s="28">
        <f t="shared" si="48"/>
        <v>1.2616421505142221</v>
      </c>
      <c r="AN172" s="28">
        <f t="shared" si="48"/>
        <v>1.2622374578621782</v>
      </c>
      <c r="AO172" s="28">
        <f t="shared" si="48"/>
        <v>1.2629283424305575</v>
      </c>
      <c r="AP172" s="28">
        <f t="shared" si="48"/>
        <v>1.2637114660008781</v>
      </c>
      <c r="AQ172" s="28">
        <f t="shared" si="48"/>
        <v>1.2645837181439423</v>
      </c>
      <c r="AR172" s="28">
        <f t="shared" si="48"/>
        <v>1.2655421968900908</v>
      </c>
      <c r="AS172" s="28">
        <f t="shared" si="48"/>
        <v>1.2656822636490397</v>
      </c>
      <c r="AT172" s="28">
        <f t="shared" si="48"/>
        <v>1.2658987724279214</v>
      </c>
      <c r="AU172" s="28">
        <f t="shared" si="48"/>
        <v>1.2661891895424888</v>
      </c>
      <c r="AV172" s="28">
        <f t="shared" si="48"/>
        <v>1.2665511356582928</v>
      </c>
      <c r="AW172" s="28">
        <f t="shared" si="48"/>
        <v>1.2669823739337303</v>
      </c>
      <c r="AY172" s="85"/>
    </row>
    <row r="173" spans="1:51" x14ac:dyDescent="0.25">
      <c r="A173" s="102" t="str">
        <f t="shared" si="45"/>
        <v>FA Cattle MMCH4</v>
      </c>
      <c r="B173" s="102" t="s">
        <v>963</v>
      </c>
      <c r="C173" s="102" t="s">
        <v>1230</v>
      </c>
      <c r="D173" t="s">
        <v>15</v>
      </c>
      <c r="E173" t="s">
        <v>22</v>
      </c>
      <c r="F173" t="s">
        <v>67</v>
      </c>
      <c r="G173" t="s">
        <v>307</v>
      </c>
      <c r="H173" t="s">
        <v>1228</v>
      </c>
      <c r="I173" t="s">
        <v>121</v>
      </c>
      <c r="J173" t="s">
        <v>286</v>
      </c>
      <c r="K173" s="28">
        <f t="shared" si="47"/>
        <v>0.43336774046245513</v>
      </c>
      <c r="L173" s="28">
        <f t="shared" si="48"/>
        <v>0.43606336090953701</v>
      </c>
      <c r="M173" s="28">
        <f t="shared" si="48"/>
        <v>0.43791663710039563</v>
      </c>
      <c r="N173" s="28">
        <f t="shared" si="48"/>
        <v>0.43849785179485851</v>
      </c>
      <c r="O173" s="28">
        <f t="shared" si="48"/>
        <v>0.43928414854860887</v>
      </c>
      <c r="P173" s="28">
        <f t="shared" si="48"/>
        <v>0.44100643717026611</v>
      </c>
      <c r="Q173" s="28">
        <f t="shared" si="48"/>
        <v>0.44307128653119471</v>
      </c>
      <c r="R173" s="28">
        <f t="shared" si="48"/>
        <v>0.44369158881807513</v>
      </c>
      <c r="S173" s="28">
        <f t="shared" si="48"/>
        <v>0.43007035670126681</v>
      </c>
      <c r="T173" s="28">
        <f t="shared" si="48"/>
        <v>0.43361270135236735</v>
      </c>
      <c r="U173" s="28">
        <f t="shared" si="48"/>
        <v>0.43686093079793747</v>
      </c>
      <c r="V173" s="28">
        <f t="shared" si="48"/>
        <v>0.44019144835882135</v>
      </c>
      <c r="W173" s="28">
        <f t="shared" si="48"/>
        <v>0.44420350981949086</v>
      </c>
      <c r="X173" s="28">
        <f t="shared" si="48"/>
        <v>0.44829085520204021</v>
      </c>
      <c r="Y173" s="28">
        <f t="shared" si="48"/>
        <v>0.45227077864668558</v>
      </c>
      <c r="Z173" s="28">
        <f t="shared" si="48"/>
        <v>0.45617108067019357</v>
      </c>
      <c r="AA173" s="28">
        <f t="shared" si="48"/>
        <v>0.46037213371252356</v>
      </c>
      <c r="AB173" s="28">
        <f t="shared" si="48"/>
        <v>0.46435044836471168</v>
      </c>
      <c r="AC173" s="28">
        <f t="shared" si="48"/>
        <v>0.46847146239083864</v>
      </c>
      <c r="AD173" s="28">
        <f t="shared" si="48"/>
        <v>0.47320613146186896</v>
      </c>
      <c r="AE173" s="28">
        <f t="shared" si="48"/>
        <v>0.47836268378541491</v>
      </c>
      <c r="AF173" s="28">
        <f t="shared" si="48"/>
        <v>0.4837239116397628</v>
      </c>
      <c r="AG173" s="28">
        <f t="shared" si="48"/>
        <v>0.48447279323990261</v>
      </c>
      <c r="AH173" s="28">
        <f t="shared" si="48"/>
        <v>0.25938200675301493</v>
      </c>
      <c r="AI173" s="28">
        <f t="shared" si="48"/>
        <v>0.25957278063562522</v>
      </c>
      <c r="AJ173" s="28">
        <f t="shared" si="48"/>
        <v>0.25978861497139094</v>
      </c>
      <c r="AK173" s="28">
        <f t="shared" si="48"/>
        <v>0.260028557221544</v>
      </c>
      <c r="AL173" s="28">
        <f t="shared" si="48"/>
        <v>0.26029172820809693</v>
      </c>
      <c r="AM173" s="28">
        <f t="shared" si="48"/>
        <v>0.26057731516048022</v>
      </c>
      <c r="AN173" s="28">
        <f t="shared" si="48"/>
        <v>0.26070026887628817</v>
      </c>
      <c r="AO173" s="28">
        <f t="shared" si="48"/>
        <v>0.26084296294040193</v>
      </c>
      <c r="AP173" s="28">
        <f t="shared" si="48"/>
        <v>0.26100470788314173</v>
      </c>
      <c r="AQ173" s="28">
        <f t="shared" si="48"/>
        <v>0.26118486128201956</v>
      </c>
      <c r="AR173" s="28">
        <f t="shared" si="48"/>
        <v>0.26138282376940786</v>
      </c>
      <c r="AS173" s="28">
        <f t="shared" si="48"/>
        <v>0.26141175290749602</v>
      </c>
      <c r="AT173" s="28">
        <f t="shared" si="48"/>
        <v>0.26145647024377611</v>
      </c>
      <c r="AU173" s="28">
        <f t="shared" si="48"/>
        <v>0.26151645247563149</v>
      </c>
      <c r="AV173" s="28">
        <f t="shared" si="48"/>
        <v>0.26159120817957698</v>
      </c>
      <c r="AW173" s="28">
        <f t="shared" si="48"/>
        <v>0.26168027536234517</v>
      </c>
      <c r="AY173" s="85"/>
    </row>
    <row r="174" spans="1:51" x14ac:dyDescent="0.25">
      <c r="A174" s="102" t="str">
        <f t="shared" si="45"/>
        <v>FA Cattle MMCH4</v>
      </c>
      <c r="B174" s="102" t="s">
        <v>963</v>
      </c>
      <c r="C174" s="102" t="s">
        <v>1230</v>
      </c>
      <c r="D174" t="s">
        <v>15</v>
      </c>
      <c r="E174" t="s">
        <v>22</v>
      </c>
      <c r="F174" t="s">
        <v>67</v>
      </c>
      <c r="G174" t="s">
        <v>122</v>
      </c>
      <c r="H174" t="s">
        <v>1228</v>
      </c>
      <c r="I174" t="s">
        <v>121</v>
      </c>
      <c r="J174" t="s">
        <v>286</v>
      </c>
      <c r="K174" s="28">
        <f t="shared" si="47"/>
        <v>9.5707566285535867E-2</v>
      </c>
      <c r="L174" s="28">
        <f t="shared" si="48"/>
        <v>9.507317462688053E-2</v>
      </c>
      <c r="M174" s="28">
        <f t="shared" si="48"/>
        <v>9.3735602326843109E-2</v>
      </c>
      <c r="N174" s="28">
        <f t="shared" si="48"/>
        <v>9.1480938854138993E-2</v>
      </c>
      <c r="O174" s="28">
        <f t="shared" si="48"/>
        <v>8.9293409665024345E-2</v>
      </c>
      <c r="P174" s="28">
        <f t="shared" si="48"/>
        <v>8.7610892686618924E-2</v>
      </c>
      <c r="Q174" s="28">
        <f t="shared" si="48"/>
        <v>8.6089043126348228E-2</v>
      </c>
      <c r="R174" s="28">
        <f t="shared" si="48"/>
        <v>8.3696304621384818E-2</v>
      </c>
      <c r="S174" s="28">
        <f t="shared" si="48"/>
        <v>7.34067322961163E-2</v>
      </c>
      <c r="T174" s="28">
        <f t="shared" si="48"/>
        <v>7.4106416152148968E-2</v>
      </c>
      <c r="U174" s="28">
        <f t="shared" si="48"/>
        <v>7.4579873174536918E-2</v>
      </c>
      <c r="V174" s="28">
        <f t="shared" si="48"/>
        <v>7.5037930673723691E-2</v>
      </c>
      <c r="W174" s="28">
        <f t="shared" si="48"/>
        <v>7.5795447602904714E-2</v>
      </c>
      <c r="X174" s="28">
        <f t="shared" si="48"/>
        <v>7.6527998633535405E-2</v>
      </c>
      <c r="Y174" s="28">
        <f t="shared" si="48"/>
        <v>7.7297067256649366E-2</v>
      </c>
      <c r="Z174" s="28">
        <f t="shared" si="48"/>
        <v>7.7966609512140975E-2</v>
      </c>
      <c r="AA174" s="28">
        <f t="shared" si="48"/>
        <v>7.8728639390587538E-2</v>
      </c>
      <c r="AB174" s="28">
        <f t="shared" si="48"/>
        <v>7.9324953589457362E-2</v>
      </c>
      <c r="AC174" s="28">
        <f t="shared" si="48"/>
        <v>7.9937629648305739E-2</v>
      </c>
      <c r="AD174" s="28">
        <f t="shared" si="48"/>
        <v>8.0222991747189526E-2</v>
      </c>
      <c r="AE174" s="28">
        <f t="shared" si="48"/>
        <v>8.0614281081104813E-2</v>
      </c>
      <c r="AF174" s="28">
        <f t="shared" si="48"/>
        <v>8.100406028659024E-2</v>
      </c>
      <c r="AG174" s="28">
        <f t="shared" si="48"/>
        <v>7.9286126804775037E-2</v>
      </c>
      <c r="AH174" s="28">
        <f t="shared" si="48"/>
        <v>-1.8702500653157286E-2</v>
      </c>
      <c r="AI174" s="28">
        <f t="shared" si="48"/>
        <v>-1.8268667685025074E-2</v>
      </c>
      <c r="AJ174" s="28">
        <f t="shared" si="48"/>
        <v>-1.7841734022548978E-2</v>
      </c>
      <c r="AK174" s="28">
        <f t="shared" si="48"/>
        <v>-1.7421338317040982E-2</v>
      </c>
      <c r="AL174" s="28">
        <f t="shared" si="48"/>
        <v>-1.7007144202009699E-2</v>
      </c>
      <c r="AM174" s="28">
        <f t="shared" si="48"/>
        <v>-1.6598837978205473E-2</v>
      </c>
      <c r="AN174" s="28">
        <f t="shared" si="48"/>
        <v>-1.6267793993705613E-2</v>
      </c>
      <c r="AO174" s="28">
        <f t="shared" si="48"/>
        <v>-1.5941750028753716E-2</v>
      </c>
      <c r="AP174" s="28">
        <f t="shared" si="48"/>
        <v>-1.562047950725113E-2</v>
      </c>
      <c r="AQ174" s="28">
        <f t="shared" si="48"/>
        <v>-1.5303769944962587E-2</v>
      </c>
      <c r="AR174" s="28">
        <f t="shared" si="48"/>
        <v>-1.4991421781067962E-2</v>
      </c>
      <c r="AS174" s="28">
        <f t="shared" si="48"/>
        <v>-1.4673268106464171E-2</v>
      </c>
      <c r="AT174" s="28">
        <f t="shared" si="48"/>
        <v>-1.4359489450627001E-2</v>
      </c>
      <c r="AU174" s="28">
        <f t="shared" si="48"/>
        <v>-1.40499137071168E-2</v>
      </c>
      <c r="AV174" s="28">
        <f t="shared" si="48"/>
        <v>-1.3744378438980727E-2</v>
      </c>
      <c r="AW174" s="28">
        <f t="shared" si="48"/>
        <v>-1.3442730156179297E-2</v>
      </c>
      <c r="AY174" s="85"/>
    </row>
    <row r="175" spans="1:51" x14ac:dyDescent="0.25">
      <c r="A175" s="102" t="str">
        <f t="shared" si="45"/>
        <v>FA Cattle MMCH4</v>
      </c>
      <c r="B175" s="102" t="s">
        <v>963</v>
      </c>
      <c r="C175" s="102" t="s">
        <v>1230</v>
      </c>
      <c r="D175" t="s">
        <v>15</v>
      </c>
      <c r="E175" t="s">
        <v>22</v>
      </c>
      <c r="F175" t="s">
        <v>67</v>
      </c>
      <c r="G175" t="s">
        <v>123</v>
      </c>
      <c r="H175" t="s">
        <v>1228</v>
      </c>
      <c r="I175" t="s">
        <v>121</v>
      </c>
      <c r="J175" t="s">
        <v>286</v>
      </c>
      <c r="K175" s="28">
        <f t="shared" si="47"/>
        <v>7.0303494563391522E-2</v>
      </c>
      <c r="L175" s="28">
        <f t="shared" si="48"/>
        <v>6.9837492216280578E-2</v>
      </c>
      <c r="M175" s="28">
        <f t="shared" si="48"/>
        <v>6.8854957495428151E-2</v>
      </c>
      <c r="N175" s="28">
        <f t="shared" si="48"/>
        <v>6.7198759063606908E-2</v>
      </c>
      <c r="O175" s="28">
        <f t="shared" si="48"/>
        <v>6.5591875173201017E-2</v>
      </c>
      <c r="P175" s="28">
        <f t="shared" si="48"/>
        <v>6.4355955926323108E-2</v>
      </c>
      <c r="Q175" s="28">
        <f t="shared" si="48"/>
        <v>6.3238057452470034E-2</v>
      </c>
      <c r="R175" s="28">
        <f t="shared" si="48"/>
        <v>6.1480433839166078E-2</v>
      </c>
      <c r="S175" s="28">
        <f t="shared" si="48"/>
        <v>5.392206703386089E-2</v>
      </c>
      <c r="T175" s="28">
        <f t="shared" si="48"/>
        <v>5.4436030789055859E-2</v>
      </c>
      <c r="U175" s="28">
        <f t="shared" si="48"/>
        <v>5.4783816073869653E-2</v>
      </c>
      <c r="V175" s="28">
        <f t="shared" si="48"/>
        <v>5.5120289397281967E-2</v>
      </c>
      <c r="W175" s="28">
        <f t="shared" si="48"/>
        <v>5.5676735343817389E-2</v>
      </c>
      <c r="X175" s="28">
        <f t="shared" si="48"/>
        <v>5.6214842197832481E-2</v>
      </c>
      <c r="Y175" s="28">
        <f t="shared" si="48"/>
        <v>5.6779773622404078E-2</v>
      </c>
      <c r="Z175" s="28">
        <f t="shared" si="48"/>
        <v>5.7271596391969458E-2</v>
      </c>
      <c r="AA175" s="28">
        <f t="shared" si="48"/>
        <v>5.7831357396200579E-2</v>
      </c>
      <c r="AB175" s="28">
        <f t="shared" si="48"/>
        <v>5.826938934775229E-2</v>
      </c>
      <c r="AC175" s="28">
        <f t="shared" si="48"/>
        <v>5.8719440160285359E-2</v>
      </c>
      <c r="AD175" s="28">
        <f t="shared" si="48"/>
        <v>5.8929057367639905E-2</v>
      </c>
      <c r="AE175" s="28">
        <f t="shared" si="48"/>
        <v>5.92164850875921E-2</v>
      </c>
      <c r="AF175" s="28">
        <f t="shared" si="48"/>
        <v>5.9502803519010737E-2</v>
      </c>
      <c r="AG175" s="28">
        <f t="shared" si="48"/>
        <v>5.8240868523832451E-2</v>
      </c>
      <c r="AH175" s="28">
        <f t="shared" si="48"/>
        <v>-1.3738215315895889E-2</v>
      </c>
      <c r="AI175" s="28">
        <f t="shared" si="48"/>
        <v>-1.3419536501877058E-2</v>
      </c>
      <c r="AJ175" s="28">
        <f t="shared" si="48"/>
        <v>-1.3105925681085005E-2</v>
      </c>
      <c r="AK175" s="28">
        <f t="shared" si="48"/>
        <v>-1.2797117419171011E-2</v>
      </c>
      <c r="AL175" s="28">
        <f t="shared" si="48"/>
        <v>-1.2492864632850905E-2</v>
      </c>
      <c r="AM175" s="28">
        <f t="shared" si="48"/>
        <v>-1.2192936889418591E-2</v>
      </c>
      <c r="AN175" s="28">
        <f t="shared" si="48"/>
        <v>-1.1949763336189845E-2</v>
      </c>
      <c r="AO175" s="28">
        <f t="shared" si="48"/>
        <v>-1.1710262625775411E-2</v>
      </c>
      <c r="AP175" s="28">
        <f t="shared" si="48"/>
        <v>-1.1474268323146819E-2</v>
      </c>
      <c r="AQ175" s="28">
        <f t="shared" si="48"/>
        <v>-1.1241624344674956E-2</v>
      </c>
      <c r="AR175" s="28">
        <f t="shared" si="48"/>
        <v>-1.1012184099828085E-2</v>
      </c>
      <c r="AS175" s="28">
        <f t="shared" si="48"/>
        <v>-1.0778479325995476E-2</v>
      </c>
      <c r="AT175" s="28">
        <f t="shared" si="48"/>
        <v>-1.0547988290846352E-2</v>
      </c>
      <c r="AU175" s="28">
        <f t="shared" si="48"/>
        <v>-1.032058457089494E-2</v>
      </c>
      <c r="AV175" s="28">
        <f t="shared" si="48"/>
        <v>-1.0096148845528728E-2</v>
      </c>
      <c r="AW175" s="28">
        <f t="shared" si="48"/>
        <v>-9.8745683662308046E-3</v>
      </c>
      <c r="AY175" s="85"/>
    </row>
    <row r="176" spans="1:51" x14ac:dyDescent="0.25">
      <c r="A176" s="102" t="str">
        <f t="shared" si="45"/>
        <v>FA Cattle MMCH4</v>
      </c>
      <c r="B176" s="102" t="s">
        <v>963</v>
      </c>
      <c r="C176" s="102" t="s">
        <v>1230</v>
      </c>
      <c r="D176" t="s">
        <v>15</v>
      </c>
      <c r="E176" t="s">
        <v>22</v>
      </c>
      <c r="F176" t="s">
        <v>67</v>
      </c>
      <c r="G176" t="s">
        <v>135</v>
      </c>
      <c r="H176" t="s">
        <v>1228</v>
      </c>
      <c r="I176" t="s">
        <v>121</v>
      </c>
      <c r="J176" t="s">
        <v>286</v>
      </c>
      <c r="K176" s="28">
        <f t="shared" si="47"/>
        <v>0.47365013870542771</v>
      </c>
      <c r="L176" s="28">
        <f t="shared" si="48"/>
        <v>0.49051927106458876</v>
      </c>
      <c r="M176" s="28">
        <f t="shared" si="48"/>
        <v>0.50390876804084606</v>
      </c>
      <c r="N176" s="28">
        <f t="shared" si="48"/>
        <v>0.51218897212451775</v>
      </c>
      <c r="O176" s="28">
        <f t="shared" si="48"/>
        <v>0.5204864616851187</v>
      </c>
      <c r="P176" s="28">
        <f t="shared" si="48"/>
        <v>0.5315053909957832</v>
      </c>
      <c r="Q176" s="28">
        <f t="shared" si="48"/>
        <v>0.54344267992188611</v>
      </c>
      <c r="R176" s="28">
        <f t="shared" si="48"/>
        <v>0.54965498610396035</v>
      </c>
      <c r="S176" s="28">
        <f t="shared" si="48"/>
        <v>0.50146701948783567</v>
      </c>
      <c r="T176" s="28">
        <f t="shared" si="48"/>
        <v>0.51834473155778682</v>
      </c>
      <c r="U176" s="28">
        <f t="shared" si="48"/>
        <v>0.53395156186316528</v>
      </c>
      <c r="V176" s="28">
        <f t="shared" si="48"/>
        <v>0.54973255397230381</v>
      </c>
      <c r="W176" s="28">
        <f t="shared" si="48"/>
        <v>0.56805189648716081</v>
      </c>
      <c r="X176" s="28">
        <f t="shared" si="48"/>
        <v>0.58658806930488216</v>
      </c>
      <c r="Y176" s="28">
        <f t="shared" si="48"/>
        <v>0.60582393990405248</v>
      </c>
      <c r="Z176" s="28">
        <f t="shared" si="48"/>
        <v>0.62470251247800967</v>
      </c>
      <c r="AA176" s="28">
        <f t="shared" si="48"/>
        <v>0.64475774385290952</v>
      </c>
      <c r="AB176" s="28">
        <f t="shared" si="48"/>
        <v>0.66389235390041079</v>
      </c>
      <c r="AC176" s="28">
        <f t="shared" si="48"/>
        <v>0.68358758575882406</v>
      </c>
      <c r="AD176" s="28">
        <f t="shared" si="48"/>
        <v>0.7086584440058149</v>
      </c>
      <c r="AE176" s="28">
        <f t="shared" si="48"/>
        <v>0.73565241500726219</v>
      </c>
      <c r="AF176" s="28">
        <f t="shared" si="48"/>
        <v>0.76370616641189881</v>
      </c>
      <c r="AG176" s="28">
        <f t="shared" si="48"/>
        <v>0.77236145848334026</v>
      </c>
      <c r="AH176" s="28">
        <f t="shared" si="48"/>
        <v>-0.18826983110818521</v>
      </c>
      <c r="AI176" s="28">
        <f t="shared" si="48"/>
        <v>-0.19006759890243963</v>
      </c>
      <c r="AJ176" s="28">
        <f t="shared" si="48"/>
        <v>-0.19187998371586665</v>
      </c>
      <c r="AK176" s="28">
        <f t="shared" si="48"/>
        <v>-0.19370712387762709</v>
      </c>
      <c r="AL176" s="28">
        <f t="shared" si="48"/>
        <v>-0.19554915895887828</v>
      </c>
      <c r="AM176" s="28">
        <f t="shared" si="48"/>
        <v>-0.19740622978354522</v>
      </c>
      <c r="AN176" s="28">
        <f t="shared" si="48"/>
        <v>-0.19889654656389008</v>
      </c>
      <c r="AO176" s="28">
        <f t="shared" si="48"/>
        <v>-0.20039714352450921</v>
      </c>
      <c r="AP176" s="28">
        <f t="shared" si="48"/>
        <v>-0.20190810202695822</v>
      </c>
      <c r="AQ176" s="28">
        <f t="shared" si="48"/>
        <v>-0.20342950404688992</v>
      </c>
      <c r="AR176" s="28">
        <f t="shared" si="48"/>
        <v>-0.20496143217854407</v>
      </c>
      <c r="AS176" s="28">
        <f t="shared" si="48"/>
        <v>-0.20636362268300526</v>
      </c>
      <c r="AT176" s="28">
        <f t="shared" si="48"/>
        <v>-0.20777388296351235</v>
      </c>
      <c r="AU176" s="28">
        <f t="shared" si="48"/>
        <v>-0.20919226640364996</v>
      </c>
      <c r="AV176" s="28">
        <f t="shared" si="48"/>
        <v>-0.21061882672173884</v>
      </c>
      <c r="AW176" s="28">
        <f t="shared" si="48"/>
        <v>-0.2120536179728616</v>
      </c>
      <c r="AY176" s="85"/>
    </row>
    <row r="177" spans="1:51" x14ac:dyDescent="0.25">
      <c r="A177" s="102" t="str">
        <f t="shared" si="45"/>
        <v>FA Sheep MMCH4</v>
      </c>
      <c r="B177" s="102" t="s">
        <v>963</v>
      </c>
      <c r="C177" s="102" t="s">
        <v>1325</v>
      </c>
      <c r="D177" t="s">
        <v>15</v>
      </c>
      <c r="E177" t="s">
        <v>22</v>
      </c>
      <c r="F177" t="s">
        <v>18</v>
      </c>
      <c r="G177" t="s">
        <v>122</v>
      </c>
      <c r="H177" t="s">
        <v>1228</v>
      </c>
      <c r="I177" t="s">
        <v>121</v>
      </c>
      <c r="J177" t="s">
        <v>286</v>
      </c>
      <c r="K177" s="28">
        <f t="shared" si="47"/>
        <v>3.6053921478906167E-2</v>
      </c>
      <c r="L177" s="28">
        <f t="shared" si="48"/>
        <v>3.6073610217126503E-2</v>
      </c>
      <c r="M177" s="28">
        <f t="shared" si="48"/>
        <v>3.6117697084082141E-2</v>
      </c>
      <c r="N177" s="28">
        <f t="shared" si="48"/>
        <v>3.618405707434337E-2</v>
      </c>
      <c r="O177" s="28">
        <f t="shared" si="48"/>
        <v>3.6273578032260737E-2</v>
      </c>
      <c r="P177" s="28">
        <f t="shared" si="48"/>
        <v>3.6386354948245533E-2</v>
      </c>
      <c r="Q177" s="28">
        <f t="shared" si="48"/>
        <v>3.6511983860861394E-2</v>
      </c>
      <c r="R177" s="28">
        <f t="shared" si="48"/>
        <v>3.6648137011074396E-2</v>
      </c>
      <c r="S177" s="28">
        <f t="shared" si="48"/>
        <v>3.6776081758532232E-2</v>
      </c>
      <c r="T177" s="28">
        <f t="shared" si="48"/>
        <v>3.6829526757110792E-2</v>
      </c>
      <c r="U177" s="28">
        <f t="shared" si="48"/>
        <v>3.6891543145696586E-2</v>
      </c>
      <c r="V177" s="28">
        <f t="shared" si="48"/>
        <v>3.6962118208236874E-2</v>
      </c>
      <c r="W177" s="28">
        <f t="shared" si="48"/>
        <v>3.7041617602425879E-2</v>
      </c>
      <c r="X177" s="28">
        <f t="shared" si="48"/>
        <v>3.71287668347723E-2</v>
      </c>
      <c r="Y177" s="28">
        <f t="shared" si="48"/>
        <v>3.7182413833591089E-2</v>
      </c>
      <c r="Z177" s="28">
        <f t="shared" si="48"/>
        <v>3.7242338638937944E-2</v>
      </c>
      <c r="AA177" s="28">
        <f t="shared" si="48"/>
        <v>3.7308758714658788E-2</v>
      </c>
      <c r="AB177" s="28">
        <f t="shared" si="48"/>
        <v>3.7380653555679967E-2</v>
      </c>
      <c r="AC177" s="28">
        <f t="shared" si="48"/>
        <v>3.7458280228605825E-2</v>
      </c>
      <c r="AD177" s="28">
        <f t="shared" si="48"/>
        <v>3.7509383313851091E-2</v>
      </c>
      <c r="AE177" s="28">
        <f t="shared" si="48"/>
        <v>3.7565861655525674E-2</v>
      </c>
      <c r="AF177" s="28">
        <f t="shared" si="48"/>
        <v>3.7627207315702967E-2</v>
      </c>
      <c r="AG177" s="28">
        <f t="shared" si="48"/>
        <v>3.7686475047494471E-2</v>
      </c>
      <c r="AH177" s="28">
        <f t="shared" si="48"/>
        <v>3.7433087747828976E-2</v>
      </c>
      <c r="AI177" s="28">
        <f t="shared" si="48"/>
        <v>3.7469072750832028E-2</v>
      </c>
      <c r="AJ177" s="28">
        <f t="shared" si="48"/>
        <v>3.750878237989342E-2</v>
      </c>
      <c r="AK177" s="28">
        <f t="shared" si="48"/>
        <v>3.7552075921765626E-2</v>
      </c>
      <c r="AL177" s="28">
        <f t="shared" si="48"/>
        <v>3.7598823539459238E-2</v>
      </c>
      <c r="AM177" s="28">
        <f t="shared" si="48"/>
        <v>3.7648905240168402E-2</v>
      </c>
      <c r="AN177" s="28">
        <f t="shared" si="48"/>
        <v>3.76732099349424E-2</v>
      </c>
      <c r="AO177" s="28">
        <f t="shared" si="48"/>
        <v>3.7700452169156254E-2</v>
      </c>
      <c r="AP177" s="28">
        <f t="shared" si="48"/>
        <v>3.7730529709511379E-2</v>
      </c>
      <c r="AQ177" s="28">
        <f t="shared" si="48"/>
        <v>3.7763347319933152E-2</v>
      </c>
      <c r="AR177" s="28">
        <f t="shared" si="48"/>
        <v>3.7798816167122655E-2</v>
      </c>
      <c r="AS177" s="28">
        <f t="shared" si="48"/>
        <v>3.7807565900273503E-2</v>
      </c>
      <c r="AT177" s="28">
        <f t="shared" si="48"/>
        <v>3.7818668604843612E-2</v>
      </c>
      <c r="AU177" s="28">
        <f t="shared" si="48"/>
        <v>3.7832046350463708E-2</v>
      </c>
      <c r="AV177" s="28">
        <f t="shared" si="48"/>
        <v>3.7847625965531671E-2</v>
      </c>
      <c r="AW177" s="28">
        <f t="shared" si="48"/>
        <v>3.7865338671255785E-2</v>
      </c>
      <c r="AY177" s="85"/>
    </row>
    <row r="178" spans="1:51" x14ac:dyDescent="0.25">
      <c r="A178" s="102" t="str">
        <f t="shared" si="45"/>
        <v>FA Sheep MMCH4</v>
      </c>
      <c r="B178" s="102" t="s">
        <v>963</v>
      </c>
      <c r="C178" s="102" t="s">
        <v>1325</v>
      </c>
      <c r="D178" t="s">
        <v>15</v>
      </c>
      <c r="E178" t="s">
        <v>22</v>
      </c>
      <c r="F178" t="s">
        <v>18</v>
      </c>
      <c r="G178" t="s">
        <v>123</v>
      </c>
      <c r="H178" t="s">
        <v>1228</v>
      </c>
      <c r="I178" t="s">
        <v>121</v>
      </c>
      <c r="J178" t="s">
        <v>286</v>
      </c>
      <c r="K178" s="28">
        <f t="shared" si="47"/>
        <v>4.1175296849015851E-3</v>
      </c>
      <c r="L178" s="28">
        <f t="shared" si="48"/>
        <v>4.1197782326532605E-3</v>
      </c>
      <c r="M178" s="28">
        <f t="shared" si="48"/>
        <v>4.1248131630008617E-3</v>
      </c>
      <c r="N178" s="28">
        <f t="shared" si="48"/>
        <v>4.1323917901954152E-3</v>
      </c>
      <c r="O178" s="28">
        <f t="shared" si="48"/>
        <v>4.1426155102936933E-3</v>
      </c>
      <c r="P178" s="28">
        <f t="shared" si="48"/>
        <v>4.1554951716534349E-3</v>
      </c>
      <c r="Q178" s="28">
        <f t="shared" si="48"/>
        <v>4.1698425922878412E-3</v>
      </c>
      <c r="R178" s="28">
        <f t="shared" si="48"/>
        <v>4.1853919310199088E-3</v>
      </c>
      <c r="S178" s="28">
        <f t="shared" si="48"/>
        <v>4.2000038310317607E-3</v>
      </c>
      <c r="T178" s="28">
        <f t="shared" si="48"/>
        <v>4.2061075046164898E-3</v>
      </c>
      <c r="U178" s="28">
        <f t="shared" si="48"/>
        <v>4.2131900717958127E-3</v>
      </c>
      <c r="V178" s="28">
        <f t="shared" si="48"/>
        <v>4.2212500803358944E-3</v>
      </c>
      <c r="W178" s="28">
        <f t="shared" si="48"/>
        <v>4.2303292900883332E-3</v>
      </c>
      <c r="X178" s="28">
        <f t="shared" si="48"/>
        <v>4.2402821478215117E-3</v>
      </c>
      <c r="Y178" s="28">
        <f t="shared" si="48"/>
        <v>4.2464088907965165E-3</v>
      </c>
      <c r="Z178" s="28">
        <f t="shared" si="48"/>
        <v>4.2532525892003629E-3</v>
      </c>
      <c r="AA178" s="28">
        <f t="shared" si="48"/>
        <v>4.2608380784408054E-3</v>
      </c>
      <c r="AB178" s="28">
        <f t="shared" si="48"/>
        <v>4.2690488119741668E-3</v>
      </c>
      <c r="AC178" s="28">
        <f t="shared" si="48"/>
        <v>4.2779141480319745E-3</v>
      </c>
      <c r="AD178" s="28">
        <f t="shared" si="48"/>
        <v>4.2837503639512487E-3</v>
      </c>
      <c r="AE178" s="28">
        <f t="shared" si="48"/>
        <v>4.2902004597760585E-3</v>
      </c>
      <c r="AF178" s="28">
        <f t="shared" si="48"/>
        <v>4.2972064265740855E-3</v>
      </c>
      <c r="AG178" s="28">
        <f t="shared" si="48"/>
        <v>4.3039750840459523E-3</v>
      </c>
      <c r="AH178" s="28">
        <f t="shared" si="48"/>
        <v>4.2750370466466056E-3</v>
      </c>
      <c r="AI178" s="28">
        <f t="shared" si="48"/>
        <v>4.2791467055130613E-3</v>
      </c>
      <c r="AJ178" s="28">
        <f t="shared" si="48"/>
        <v>4.2836817344289136E-3</v>
      </c>
      <c r="AK178" s="28">
        <f t="shared" si="48"/>
        <v>4.2886260632705817E-3</v>
      </c>
      <c r="AL178" s="28">
        <f t="shared" si="48"/>
        <v>4.2939648640350006E-3</v>
      </c>
      <c r="AM178" s="28">
        <f t="shared" si="48"/>
        <v>4.2996844329717928E-3</v>
      </c>
      <c r="AN178" s="28">
        <f t="shared" si="48"/>
        <v>4.3024601449639811E-3</v>
      </c>
      <c r="AO178" s="28">
        <f t="shared" si="48"/>
        <v>4.3055713379620639E-3</v>
      </c>
      <c r="AP178" s="28">
        <f t="shared" si="48"/>
        <v>4.3090063364360429E-3</v>
      </c>
      <c r="AQ178" s="28">
        <f t="shared" ref="L178:AW185" si="49">AQ1400</f>
        <v>4.3127542639722558E-3</v>
      </c>
      <c r="AR178" s="28">
        <f t="shared" si="49"/>
        <v>4.3168049753845332E-3</v>
      </c>
      <c r="AS178" s="28">
        <f t="shared" si="49"/>
        <v>4.3178042366162055E-3</v>
      </c>
      <c r="AT178" s="28">
        <f t="shared" si="49"/>
        <v>4.3190722183994593E-3</v>
      </c>
      <c r="AU178" s="28">
        <f t="shared" si="49"/>
        <v>4.3206000207146669E-3</v>
      </c>
      <c r="AV178" s="28">
        <f t="shared" si="49"/>
        <v>4.3223792870160944E-3</v>
      </c>
      <c r="AW178" s="28">
        <f t="shared" si="49"/>
        <v>4.3244021624378867E-3</v>
      </c>
      <c r="AY178" s="85"/>
    </row>
    <row r="179" spans="1:51" x14ac:dyDescent="0.25">
      <c r="A179" s="102" t="str">
        <f t="shared" si="45"/>
        <v>FA Goats MMCH4</v>
      </c>
      <c r="B179" s="102" t="s">
        <v>963</v>
      </c>
      <c r="C179" s="102" t="s">
        <v>1326</v>
      </c>
      <c r="D179" t="s">
        <v>15</v>
      </c>
      <c r="E179" t="s">
        <v>22</v>
      </c>
      <c r="F179" t="s">
        <v>19</v>
      </c>
      <c r="G179" t="s">
        <v>122</v>
      </c>
      <c r="H179" t="s">
        <v>1228</v>
      </c>
      <c r="I179" t="s">
        <v>121</v>
      </c>
      <c r="J179" t="s">
        <v>286</v>
      </c>
      <c r="K179" s="28">
        <f t="shared" si="47"/>
        <v>1.578914847670768E-2</v>
      </c>
      <c r="L179" s="28">
        <f t="shared" si="49"/>
        <v>1.5830330315974785E-2</v>
      </c>
      <c r="M179" s="28">
        <f t="shared" si="49"/>
        <v>1.5885208764738982E-2</v>
      </c>
      <c r="N179" s="28">
        <f t="shared" si="49"/>
        <v>1.5952563767257691E-2</v>
      </c>
      <c r="O179" s="28">
        <f t="shared" si="49"/>
        <v>1.6033204709528407E-2</v>
      </c>
      <c r="P179" s="28">
        <f t="shared" si="49"/>
        <v>1.6127346186936543E-2</v>
      </c>
      <c r="Q179" s="28">
        <f t="shared" si="49"/>
        <v>1.6228000781801349E-2</v>
      </c>
      <c r="R179" s="28">
        <f t="shared" si="49"/>
        <v>1.6333729215934008E-2</v>
      </c>
      <c r="S179" s="28">
        <f t="shared" si="49"/>
        <v>1.6431946287378985E-2</v>
      </c>
      <c r="T179" s="28">
        <f t="shared" si="49"/>
        <v>1.6477973799395588E-2</v>
      </c>
      <c r="U179" s="28">
        <f t="shared" si="49"/>
        <v>1.6528445517692184E-2</v>
      </c>
      <c r="V179" s="28">
        <f t="shared" si="49"/>
        <v>1.6583425492153747E-2</v>
      </c>
      <c r="W179" s="28">
        <f t="shared" si="49"/>
        <v>1.6643220540411473E-2</v>
      </c>
      <c r="X179" s="28">
        <f t="shared" si="49"/>
        <v>1.6707025590946629E-2</v>
      </c>
      <c r="Y179" s="28">
        <f t="shared" si="49"/>
        <v>1.6747356446044817E-2</v>
      </c>
      <c r="Z179" s="28">
        <f t="shared" si="49"/>
        <v>1.679099238038791E-2</v>
      </c>
      <c r="AA179" s="28">
        <f t="shared" si="49"/>
        <v>1.6838113918664795E-2</v>
      </c>
      <c r="AB179" s="28">
        <f t="shared" si="49"/>
        <v>1.6888072337895171E-2</v>
      </c>
      <c r="AC179" s="28">
        <f t="shared" si="49"/>
        <v>1.6941067477261811E-2</v>
      </c>
      <c r="AD179" s="28">
        <f t="shared" si="49"/>
        <v>1.6975775774690904E-2</v>
      </c>
      <c r="AE179" s="28">
        <f t="shared" si="49"/>
        <v>1.7013417171997135E-2</v>
      </c>
      <c r="AF179" s="28">
        <f t="shared" si="49"/>
        <v>1.7053673452645857E-2</v>
      </c>
      <c r="AG179" s="28">
        <f t="shared" si="49"/>
        <v>1.7091991548522943E-2</v>
      </c>
      <c r="AH179" s="28">
        <f t="shared" si="49"/>
        <v>1.6924485926797139E-2</v>
      </c>
      <c r="AI179" s="28">
        <f t="shared" si="49"/>
        <v>1.6946898224790095E-2</v>
      </c>
      <c r="AJ179" s="28">
        <f t="shared" si="49"/>
        <v>1.6971320122511346E-2</v>
      </c>
      <c r="AK179" s="28">
        <f t="shared" si="49"/>
        <v>1.6997670008444151E-2</v>
      </c>
      <c r="AL179" s="28">
        <f t="shared" si="49"/>
        <v>1.7025872601317771E-2</v>
      </c>
      <c r="AM179" s="28">
        <f t="shared" si="49"/>
        <v>1.7055858343998281E-2</v>
      </c>
      <c r="AN179" s="28">
        <f t="shared" si="49"/>
        <v>1.706872967637315E-2</v>
      </c>
      <c r="AO179" s="28">
        <f t="shared" si="49"/>
        <v>1.7083207389206864E-2</v>
      </c>
      <c r="AP179" s="28">
        <f t="shared" si="49"/>
        <v>1.7099230922033661E-2</v>
      </c>
      <c r="AQ179" s="28">
        <f t="shared" si="49"/>
        <v>1.7116743868978143E-2</v>
      </c>
      <c r="AR179" s="28">
        <f t="shared" si="49"/>
        <v>1.7135693622819574E-2</v>
      </c>
      <c r="AS179" s="28">
        <f t="shared" si="49"/>
        <v>1.7137172081504573E-2</v>
      </c>
      <c r="AT179" s="28">
        <f t="shared" si="49"/>
        <v>1.7139965381039082E-2</v>
      </c>
      <c r="AU179" s="28">
        <f t="shared" si="49"/>
        <v>1.7144026301455787E-2</v>
      </c>
      <c r="AV179" s="28">
        <f t="shared" si="49"/>
        <v>1.7149310513066243E-2</v>
      </c>
      <c r="AW179" s="28">
        <f t="shared" si="49"/>
        <v>1.7155776352544339E-2</v>
      </c>
      <c r="AY179" s="85"/>
    </row>
    <row r="180" spans="1:51" x14ac:dyDescent="0.25">
      <c r="A180" s="102" t="str">
        <f t="shared" si="45"/>
        <v>FA Goats MMCH4</v>
      </c>
      <c r="B180" s="102" t="s">
        <v>963</v>
      </c>
      <c r="C180" s="102" t="s">
        <v>1326</v>
      </c>
      <c r="D180" t="s">
        <v>15</v>
      </c>
      <c r="E180" t="s">
        <v>22</v>
      </c>
      <c r="F180" t="s">
        <v>19</v>
      </c>
      <c r="G180" t="s">
        <v>123</v>
      </c>
      <c r="H180" t="s">
        <v>1228</v>
      </c>
      <c r="I180" t="s">
        <v>121</v>
      </c>
      <c r="J180" t="s">
        <v>286</v>
      </c>
      <c r="K180" s="28">
        <f t="shared" si="47"/>
        <v>2.6591335822255355E-2</v>
      </c>
      <c r="L180" s="28">
        <f t="shared" si="49"/>
        <v>2.6660692324877722E-2</v>
      </c>
      <c r="M180" s="28">
        <f t="shared" si="49"/>
        <v>2.6753116008311057E-2</v>
      </c>
      <c r="N180" s="28">
        <f t="shared" si="49"/>
        <v>2.6866552112476273E-2</v>
      </c>
      <c r="O180" s="28">
        <f t="shared" si="49"/>
        <v>2.7002363766924078E-2</v>
      </c>
      <c r="P180" s="28">
        <f t="shared" si="49"/>
        <v>2.7160912383035713E-2</v>
      </c>
      <c r="Q180" s="28">
        <f t="shared" si="49"/>
        <v>2.7330430082995998E-2</v>
      </c>
      <c r="R180" s="28">
        <f t="shared" si="49"/>
        <v>2.7508492902668026E-2</v>
      </c>
      <c r="S180" s="28">
        <f t="shared" si="49"/>
        <v>2.7673905441167147E-2</v>
      </c>
      <c r="T180" s="28">
        <f t="shared" si="49"/>
        <v>2.7751422796260871E-2</v>
      </c>
      <c r="U180" s="28">
        <f t="shared" si="49"/>
        <v>2.783642487301826E-2</v>
      </c>
      <c r="V180" s="28">
        <f t="shared" si="49"/>
        <v>2.7929019541221126E-2</v>
      </c>
      <c r="W180" s="28">
        <f t="shared" si="49"/>
        <v>2.8029723528587808E-2</v>
      </c>
      <c r="X180" s="28">
        <f t="shared" si="49"/>
        <v>2.813718097180834E-2</v>
      </c>
      <c r="Y180" s="28">
        <f t="shared" si="49"/>
        <v>2.8205104287210486E-2</v>
      </c>
      <c r="Z180" s="28">
        <f t="shared" si="49"/>
        <v>2.827859386049221E-2</v>
      </c>
      <c r="AA180" s="28">
        <f t="shared" si="49"/>
        <v>2.8357953722781829E-2</v>
      </c>
      <c r="AB180" s="28">
        <f t="shared" si="49"/>
        <v>2.8442091325570455E-2</v>
      </c>
      <c r="AC180" s="28">
        <f t="shared" si="49"/>
        <v>2.8531343228541953E-2</v>
      </c>
      <c r="AD180" s="28">
        <f t="shared" si="49"/>
        <v>2.8589797298697615E-2</v>
      </c>
      <c r="AE180" s="28">
        <f t="shared" si="49"/>
        <v>2.8653191156704935E-2</v>
      </c>
      <c r="AF180" s="28">
        <f t="shared" si="49"/>
        <v>2.8720988877352402E-2</v>
      </c>
      <c r="AG180" s="28">
        <f t="shared" si="49"/>
        <v>2.8785522399032822E-2</v>
      </c>
      <c r="AH180" s="28">
        <f t="shared" si="49"/>
        <v>2.8503417366833182E-2</v>
      </c>
      <c r="AI180" s="28">
        <f t="shared" si="49"/>
        <v>2.8541163097285861E-2</v>
      </c>
      <c r="AJ180" s="28">
        <f t="shared" si="49"/>
        <v>2.8582293300392164E-2</v>
      </c>
      <c r="AK180" s="28">
        <f t="shared" si="49"/>
        <v>2.8626670529902105E-2</v>
      </c>
      <c r="AL180" s="28">
        <f t="shared" si="49"/>
        <v>2.8674168000666096E-2</v>
      </c>
      <c r="AM180" s="28">
        <f t="shared" si="49"/>
        <v>2.8724668567854592E-2</v>
      </c>
      <c r="AN180" s="28">
        <f t="shared" si="49"/>
        <v>2.8746345856035454E-2</v>
      </c>
      <c r="AO180" s="28">
        <f t="shared" si="49"/>
        <v>2.8770728534079647E-2</v>
      </c>
      <c r="AP180" s="28">
        <f t="shared" si="49"/>
        <v>2.8797714608919899E-2</v>
      </c>
      <c r="AQ180" s="28">
        <f t="shared" si="49"/>
        <v>2.8827209084453208E-2</v>
      </c>
      <c r="AR180" s="28">
        <f t="shared" si="49"/>
        <v>2.8859123362090785E-2</v>
      </c>
      <c r="AS180" s="28">
        <f t="shared" si="49"/>
        <v>2.8861613312163151E-2</v>
      </c>
      <c r="AT180" s="28">
        <f t="shared" si="49"/>
        <v>2.8866317654901063E-2</v>
      </c>
      <c r="AU180" s="28">
        <f t="shared" si="49"/>
        <v>2.887315686467273E-2</v>
      </c>
      <c r="AV180" s="28">
        <f t="shared" si="49"/>
        <v>2.888205628351705E-2</v>
      </c>
      <c r="AW180" s="28">
        <f t="shared" si="49"/>
        <v>2.8892945744034091E-2</v>
      </c>
      <c r="AY180" s="85"/>
    </row>
    <row r="181" spans="1:51" x14ac:dyDescent="0.25">
      <c r="A181" s="102" t="str">
        <f t="shared" si="45"/>
        <v>FA Horses MMCH4</v>
      </c>
      <c r="B181" s="102" t="s">
        <v>963</v>
      </c>
      <c r="C181" s="102" t="s">
        <v>1327</v>
      </c>
      <c r="D181" t="s">
        <v>15</v>
      </c>
      <c r="E181" t="s">
        <v>22</v>
      </c>
      <c r="F181" t="s">
        <v>20</v>
      </c>
      <c r="G181" t="s">
        <v>3</v>
      </c>
      <c r="H181" t="s">
        <v>1228</v>
      </c>
      <c r="I181" t="s">
        <v>121</v>
      </c>
      <c r="J181" t="s">
        <v>286</v>
      </c>
      <c r="K181" s="28">
        <f t="shared" si="47"/>
        <v>4.1462896209668214E-3</v>
      </c>
      <c r="L181" s="28">
        <f t="shared" si="49"/>
        <v>4.1705892650270686E-3</v>
      </c>
      <c r="M181" s="28">
        <f t="shared" si="49"/>
        <v>4.1765760669998774E-3</v>
      </c>
      <c r="N181" s="28">
        <f t="shared" si="49"/>
        <v>4.1582865548880337E-3</v>
      </c>
      <c r="O181" s="28">
        <f t="shared" si="49"/>
        <v>4.1389364137095824E-3</v>
      </c>
      <c r="P181" s="28">
        <f t="shared" si="49"/>
        <v>4.1297300373309533E-3</v>
      </c>
      <c r="Q181" s="28">
        <f t="shared" si="49"/>
        <v>4.1235897943981579E-3</v>
      </c>
      <c r="R181" s="28">
        <f t="shared" si="49"/>
        <v>4.0939723150578283E-3</v>
      </c>
      <c r="S181" s="28">
        <f t="shared" si="49"/>
        <v>3.8546694485950316E-3</v>
      </c>
      <c r="T181" s="28">
        <f t="shared" si="49"/>
        <v>3.8885582856899971E-3</v>
      </c>
      <c r="U181" s="28">
        <f t="shared" si="49"/>
        <v>3.9163093014231119E-3</v>
      </c>
      <c r="V181" s="28">
        <f t="shared" si="49"/>
        <v>3.943499319412006E-3</v>
      </c>
      <c r="W181" s="28">
        <f t="shared" si="49"/>
        <v>3.9787498507285772E-3</v>
      </c>
      <c r="X181" s="28">
        <f t="shared" si="49"/>
        <v>4.0133556413366692E-3</v>
      </c>
      <c r="Y181" s="28">
        <f t="shared" si="49"/>
        <v>4.0529996928532061E-3</v>
      </c>
      <c r="Z181" s="28">
        <f t="shared" si="49"/>
        <v>4.0900631434267433E-3</v>
      </c>
      <c r="AA181" s="28">
        <f t="shared" si="49"/>
        <v>4.1299322607386601E-3</v>
      </c>
      <c r="AB181" s="28">
        <f t="shared" si="49"/>
        <v>4.1653099616518066E-3</v>
      </c>
      <c r="AC181" s="28">
        <f t="shared" si="49"/>
        <v>4.2013445039546862E-3</v>
      </c>
      <c r="AD181" s="28">
        <f t="shared" si="49"/>
        <v>4.251252835120037E-3</v>
      </c>
      <c r="AE181" s="28">
        <f t="shared" si="49"/>
        <v>4.3057143858228663E-3</v>
      </c>
      <c r="AF181" s="28">
        <f t="shared" si="49"/>
        <v>4.3617167354082645E-3</v>
      </c>
      <c r="AG181" s="28">
        <f t="shared" si="49"/>
        <v>4.3537503349345688E-3</v>
      </c>
      <c r="AH181" s="28">
        <f t="shared" si="49"/>
        <v>1.2882018816554785E-3</v>
      </c>
      <c r="AI181" s="28">
        <f t="shared" si="49"/>
        <v>1.2882018816554785E-3</v>
      </c>
      <c r="AJ181" s="28">
        <f t="shared" si="49"/>
        <v>1.2882018816554785E-3</v>
      </c>
      <c r="AK181" s="28">
        <f t="shared" si="49"/>
        <v>1.2882018816554785E-3</v>
      </c>
      <c r="AL181" s="28">
        <f t="shared" si="49"/>
        <v>1.2882018816554785E-3</v>
      </c>
      <c r="AM181" s="28">
        <f t="shared" si="49"/>
        <v>1.2882018816554785E-3</v>
      </c>
      <c r="AN181" s="28">
        <f t="shared" si="49"/>
        <v>1.2882018816554785E-3</v>
      </c>
      <c r="AO181" s="28">
        <f t="shared" si="49"/>
        <v>1.2882018816554785E-3</v>
      </c>
      <c r="AP181" s="28">
        <f t="shared" si="49"/>
        <v>1.2882018816554785E-3</v>
      </c>
      <c r="AQ181" s="28">
        <f t="shared" si="49"/>
        <v>1.2882018816554785E-3</v>
      </c>
      <c r="AR181" s="28">
        <f t="shared" si="49"/>
        <v>1.2882018816554785E-3</v>
      </c>
      <c r="AS181" s="28">
        <f t="shared" si="49"/>
        <v>1.2882018816554785E-3</v>
      </c>
      <c r="AT181" s="28">
        <f t="shared" si="49"/>
        <v>1.2882018816554785E-3</v>
      </c>
      <c r="AU181" s="28">
        <f t="shared" si="49"/>
        <v>1.2882018816554785E-3</v>
      </c>
      <c r="AV181" s="28">
        <f t="shared" si="49"/>
        <v>1.2882018816554785E-3</v>
      </c>
      <c r="AW181" s="28">
        <f t="shared" si="49"/>
        <v>1.2882018816554785E-3</v>
      </c>
      <c r="AY181" s="85"/>
    </row>
    <row r="182" spans="1:51" x14ac:dyDescent="0.25">
      <c r="A182" s="102" t="str">
        <f t="shared" si="45"/>
        <v>FA Mules MMCH4</v>
      </c>
      <c r="B182" s="102" t="s">
        <v>963</v>
      </c>
      <c r="C182" s="102" t="s">
        <v>1328</v>
      </c>
      <c r="D182" t="s">
        <v>15</v>
      </c>
      <c r="E182" t="s">
        <v>22</v>
      </c>
      <c r="F182" t="s">
        <v>140</v>
      </c>
      <c r="G182" t="s">
        <v>124</v>
      </c>
      <c r="H182" t="s">
        <v>1228</v>
      </c>
      <c r="I182" t="s">
        <v>121</v>
      </c>
      <c r="J182" t="s">
        <v>286</v>
      </c>
      <c r="K182" s="28">
        <f t="shared" si="47"/>
        <v>7.515E-4</v>
      </c>
      <c r="L182" s="28">
        <f t="shared" si="49"/>
        <v>7.515E-4</v>
      </c>
      <c r="M182" s="28">
        <f t="shared" si="49"/>
        <v>7.515E-4</v>
      </c>
      <c r="N182" s="28">
        <f t="shared" si="49"/>
        <v>7.515E-4</v>
      </c>
      <c r="O182" s="28">
        <f t="shared" si="49"/>
        <v>7.515E-4</v>
      </c>
      <c r="P182" s="28">
        <f t="shared" si="49"/>
        <v>7.515E-4</v>
      </c>
      <c r="Q182" s="28">
        <f t="shared" si="49"/>
        <v>7.515E-4</v>
      </c>
      <c r="R182" s="28">
        <f t="shared" si="49"/>
        <v>7.515E-4</v>
      </c>
      <c r="S182" s="28">
        <f t="shared" si="49"/>
        <v>7.515E-4</v>
      </c>
      <c r="T182" s="28">
        <f t="shared" si="49"/>
        <v>7.515E-4</v>
      </c>
      <c r="U182" s="28">
        <f t="shared" si="49"/>
        <v>7.515E-4</v>
      </c>
      <c r="V182" s="28">
        <f t="shared" si="49"/>
        <v>7.515E-4</v>
      </c>
      <c r="W182" s="28">
        <f t="shared" si="49"/>
        <v>7.515E-4</v>
      </c>
      <c r="X182" s="28">
        <f t="shared" si="49"/>
        <v>7.515E-4</v>
      </c>
      <c r="Y182" s="28">
        <f t="shared" si="49"/>
        <v>7.515E-4</v>
      </c>
      <c r="Z182" s="28">
        <f t="shared" si="49"/>
        <v>7.515E-4</v>
      </c>
      <c r="AA182" s="28">
        <f t="shared" si="49"/>
        <v>7.515E-4</v>
      </c>
      <c r="AB182" s="28">
        <f t="shared" si="49"/>
        <v>7.515E-4</v>
      </c>
      <c r="AC182" s="28">
        <f t="shared" si="49"/>
        <v>7.515E-4</v>
      </c>
      <c r="AD182" s="28">
        <f t="shared" si="49"/>
        <v>7.515E-4</v>
      </c>
      <c r="AE182" s="28">
        <f t="shared" si="49"/>
        <v>7.515E-4</v>
      </c>
      <c r="AF182" s="28">
        <f t="shared" si="49"/>
        <v>7.515E-4</v>
      </c>
      <c r="AG182" s="28">
        <f t="shared" si="49"/>
        <v>7.515E-4</v>
      </c>
      <c r="AH182" s="28">
        <f t="shared" si="49"/>
        <v>7.515E-4</v>
      </c>
      <c r="AI182" s="28">
        <f t="shared" si="49"/>
        <v>7.515E-4</v>
      </c>
      <c r="AJ182" s="28">
        <f t="shared" si="49"/>
        <v>7.515E-4</v>
      </c>
      <c r="AK182" s="28">
        <f t="shared" si="49"/>
        <v>7.515E-4</v>
      </c>
      <c r="AL182" s="28">
        <f t="shared" si="49"/>
        <v>7.515E-4</v>
      </c>
      <c r="AM182" s="28">
        <f t="shared" si="49"/>
        <v>7.515E-4</v>
      </c>
      <c r="AN182" s="28">
        <f t="shared" si="49"/>
        <v>7.515E-4</v>
      </c>
      <c r="AO182" s="28">
        <f t="shared" si="49"/>
        <v>7.515E-4</v>
      </c>
      <c r="AP182" s="28">
        <f t="shared" si="49"/>
        <v>7.515E-4</v>
      </c>
      <c r="AQ182" s="28">
        <f t="shared" si="49"/>
        <v>7.515E-4</v>
      </c>
      <c r="AR182" s="28">
        <f t="shared" si="49"/>
        <v>7.515E-4</v>
      </c>
      <c r="AS182" s="28">
        <f t="shared" si="49"/>
        <v>7.515E-4</v>
      </c>
      <c r="AT182" s="28">
        <f t="shared" si="49"/>
        <v>7.515E-4</v>
      </c>
      <c r="AU182" s="28">
        <f t="shared" si="49"/>
        <v>7.515E-4</v>
      </c>
      <c r="AV182" s="28">
        <f t="shared" si="49"/>
        <v>7.515E-4</v>
      </c>
      <c r="AW182" s="28">
        <f t="shared" si="49"/>
        <v>7.515E-4</v>
      </c>
      <c r="AY182" s="85"/>
    </row>
    <row r="183" spans="1:51" x14ac:dyDescent="0.25">
      <c r="A183" s="102" t="str">
        <f t="shared" si="45"/>
        <v>FA Swine MMCH4</v>
      </c>
      <c r="B183" s="102" t="s">
        <v>963</v>
      </c>
      <c r="C183" s="102" t="s">
        <v>1231</v>
      </c>
      <c r="D183" t="s">
        <v>15</v>
      </c>
      <c r="E183" t="s">
        <v>22</v>
      </c>
      <c r="F183" t="s">
        <v>21</v>
      </c>
      <c r="G183" t="s">
        <v>122</v>
      </c>
      <c r="H183" t="s">
        <v>1228</v>
      </c>
      <c r="I183" t="s">
        <v>121</v>
      </c>
      <c r="J183" t="s">
        <v>286</v>
      </c>
      <c r="K183" s="28">
        <f t="shared" si="47"/>
        <v>23.457025843160746</v>
      </c>
      <c r="L183" s="28">
        <f t="shared" si="49"/>
        <v>23.382986937378849</v>
      </c>
      <c r="M183" s="28">
        <f t="shared" si="49"/>
        <v>23.13814083382033</v>
      </c>
      <c r="N183" s="28">
        <f t="shared" si="49"/>
        <v>22.662740453710065</v>
      </c>
      <c r="O183" s="28">
        <f t="shared" si="49"/>
        <v>22.20814052076085</v>
      </c>
      <c r="P183" s="28">
        <f t="shared" si="49"/>
        <v>21.88923282801473</v>
      </c>
      <c r="Q183" s="28">
        <f t="shared" si="49"/>
        <v>21.619144612435328</v>
      </c>
      <c r="R183" s="28">
        <f t="shared" si="49"/>
        <v>21.121805661826951</v>
      </c>
      <c r="S183" s="28">
        <f t="shared" si="49"/>
        <v>18.490541417957555</v>
      </c>
      <c r="T183" s="28">
        <f t="shared" si="49"/>
        <v>18.608041284910804</v>
      </c>
      <c r="U183" s="28">
        <f t="shared" si="49"/>
        <v>18.667021404289045</v>
      </c>
      <c r="V183" s="28">
        <f t="shared" si="49"/>
        <v>18.724361625340102</v>
      </c>
      <c r="W183" s="28">
        <f t="shared" si="49"/>
        <v>18.864420993049936</v>
      </c>
      <c r="X183" s="28">
        <f t="shared" si="49"/>
        <v>18.999771799577022</v>
      </c>
      <c r="Y183" s="28">
        <f t="shared" si="49"/>
        <v>19.155053851314552</v>
      </c>
      <c r="Z183" s="28">
        <f t="shared" si="49"/>
        <v>19.285389594633891</v>
      </c>
      <c r="AA183" s="28">
        <f t="shared" si="49"/>
        <v>19.442022836092864</v>
      </c>
      <c r="AB183" s="28">
        <f t="shared" si="49"/>
        <v>19.556042835681847</v>
      </c>
      <c r="AC183" s="28">
        <f t="shared" si="49"/>
        <v>19.675981891326479</v>
      </c>
      <c r="AD183" s="28">
        <f t="shared" si="49"/>
        <v>19.897202740032366</v>
      </c>
      <c r="AE183" s="28">
        <f t="shared" si="49"/>
        <v>20.155624807886987</v>
      </c>
      <c r="AF183" s="28">
        <f t="shared" si="49"/>
        <v>20.423045067986479</v>
      </c>
      <c r="AG183" s="28">
        <f t="shared" si="49"/>
        <v>20.122488548289958</v>
      </c>
      <c r="AH183" s="28">
        <f t="shared" si="49"/>
        <v>-6.7894777188619928</v>
      </c>
      <c r="AI183" s="28">
        <f t="shared" si="49"/>
        <v>-6.7152117988933071</v>
      </c>
      <c r="AJ183" s="28">
        <f t="shared" si="49"/>
        <v>-6.6425365492848538</v>
      </c>
      <c r="AK183" s="28">
        <f t="shared" si="49"/>
        <v>-6.5713479103809611</v>
      </c>
      <c r="AL183" s="28">
        <f t="shared" si="49"/>
        <v>-6.5015494417857838</v>
      </c>
      <c r="AM183" s="28">
        <f t="shared" si="49"/>
        <v>-6.4330515855366484</v>
      </c>
      <c r="AN183" s="28">
        <f t="shared" si="49"/>
        <v>-6.3579230849055142</v>
      </c>
      <c r="AO183" s="28">
        <f t="shared" si="49"/>
        <v>-6.2841192058185475</v>
      </c>
      <c r="AP183" s="28">
        <f t="shared" si="49"/>
        <v>-6.2115625843192586</v>
      </c>
      <c r="AQ183" s="28">
        <f t="shared" si="49"/>
        <v>-6.1401809096937727</v>
      </c>
      <c r="AR183" s="28">
        <f t="shared" si="49"/>
        <v>-6.069906487857895</v>
      </c>
      <c r="AS183" s="28">
        <f t="shared" si="49"/>
        <v>-5.9933231004711045</v>
      </c>
      <c r="AT183" s="28">
        <f t="shared" si="49"/>
        <v>-5.917909419883066</v>
      </c>
      <c r="AU183" s="28">
        <f t="shared" si="49"/>
        <v>-5.8436052370026852</v>
      </c>
      <c r="AV183" s="28">
        <f t="shared" si="49"/>
        <v>-5.7703539001026636</v>
      </c>
      <c r="AW183" s="28">
        <f t="shared" si="49"/>
        <v>-5.6981020374621041</v>
      </c>
      <c r="AY183" s="85"/>
    </row>
    <row r="184" spans="1:51" x14ac:dyDescent="0.25">
      <c r="A184" s="102" t="str">
        <f t="shared" si="45"/>
        <v>FA Swine MMCH4</v>
      </c>
      <c r="B184" s="102" t="s">
        <v>963</v>
      </c>
      <c r="C184" s="102" t="s">
        <v>1231</v>
      </c>
      <c r="D184" t="s">
        <v>15</v>
      </c>
      <c r="E184" t="s">
        <v>22</v>
      </c>
      <c r="F184" t="s">
        <v>21</v>
      </c>
      <c r="G184" t="s">
        <v>123</v>
      </c>
      <c r="H184" t="s">
        <v>1228</v>
      </c>
      <c r="I184" t="s">
        <v>121</v>
      </c>
      <c r="J184" t="s">
        <v>286</v>
      </c>
      <c r="K184" s="28">
        <f t="shared" si="47"/>
        <v>7.8527817196558602E-2</v>
      </c>
      <c r="L184" s="28">
        <f t="shared" si="49"/>
        <v>7.8279954841904253E-2</v>
      </c>
      <c r="M184" s="28">
        <f t="shared" si="49"/>
        <v>7.7460275902635017E-2</v>
      </c>
      <c r="N184" s="28">
        <f t="shared" si="49"/>
        <v>7.5868763219224714E-2</v>
      </c>
      <c r="O184" s="28">
        <f t="shared" si="49"/>
        <v>7.4346884841680436E-2</v>
      </c>
      <c r="P184" s="28">
        <f t="shared" si="49"/>
        <v>7.3279267609811918E-2</v>
      </c>
      <c r="Q184" s="28">
        <f t="shared" si="49"/>
        <v>7.2375084864660211E-2</v>
      </c>
      <c r="R184" s="28">
        <f t="shared" si="49"/>
        <v>7.0710127744382734E-2</v>
      </c>
      <c r="S184" s="28">
        <f t="shared" si="49"/>
        <v>6.1901362348463523E-2</v>
      </c>
      <c r="T184" s="28">
        <f t="shared" si="49"/>
        <v>6.2294720318669075E-2</v>
      </c>
      <c r="U184" s="28">
        <f t="shared" si="49"/>
        <v>6.2492169904295722E-2</v>
      </c>
      <c r="V184" s="28">
        <f t="shared" si="49"/>
        <v>6.2684129551133075E-2</v>
      </c>
      <c r="W184" s="28">
        <f t="shared" si="49"/>
        <v>6.3153010665803033E-2</v>
      </c>
      <c r="X184" s="28">
        <f t="shared" si="49"/>
        <v>6.360612878331004E-2</v>
      </c>
      <c r="Y184" s="28">
        <f t="shared" si="49"/>
        <v>6.4125971352196762E-2</v>
      </c>
      <c r="Z184" s="28">
        <f t="shared" si="49"/>
        <v>6.4562300386149837E-2</v>
      </c>
      <c r="AA184" s="28">
        <f t="shared" si="49"/>
        <v>6.5086666375019683E-2</v>
      </c>
      <c r="AB184" s="28">
        <f t="shared" si="49"/>
        <v>6.5468374684689551E-2</v>
      </c>
      <c r="AC184" s="28">
        <f t="shared" si="49"/>
        <v>6.5869898402971833E-2</v>
      </c>
      <c r="AD184" s="28">
        <f t="shared" si="49"/>
        <v>6.6610486339541322E-2</v>
      </c>
      <c r="AE184" s="28">
        <f t="shared" si="49"/>
        <v>6.7475613958009675E-2</v>
      </c>
      <c r="AF184" s="28">
        <f t="shared" si="49"/>
        <v>6.8370865105369938E-2</v>
      </c>
      <c r="AG184" s="28">
        <f t="shared" si="49"/>
        <v>6.7364682668015305E-2</v>
      </c>
      <c r="AH184" s="28">
        <f t="shared" si="49"/>
        <v>-2.2729346368621329E-2</v>
      </c>
      <c r="AI184" s="28">
        <f t="shared" si="49"/>
        <v>-2.2480724031491765E-2</v>
      </c>
      <c r="AJ184" s="28">
        <f t="shared" si="49"/>
        <v>-2.2237426831150792E-2</v>
      </c>
      <c r="AK184" s="28">
        <f t="shared" si="49"/>
        <v>-2.1999106403842797E-2</v>
      </c>
      <c r="AL184" s="28">
        <f t="shared" si="49"/>
        <v>-2.1765439893045996E-2</v>
      </c>
      <c r="AM184" s="28">
        <f t="shared" si="49"/>
        <v>-2.1536127482774822E-2</v>
      </c>
      <c r="AN184" s="28">
        <f t="shared" si="49"/>
        <v>-2.1284617457451926E-2</v>
      </c>
      <c r="AO184" s="28">
        <f t="shared" si="49"/>
        <v>-2.1037541908996236E-2</v>
      </c>
      <c r="AP184" s="28">
        <f t="shared" si="49"/>
        <v>-2.0794641843677117E-2</v>
      </c>
      <c r="AQ184" s="28">
        <f t="shared" si="49"/>
        <v>-2.0555675184661872E-2</v>
      </c>
      <c r="AR184" s="28">
        <f t="shared" si="49"/>
        <v>-2.0320415310353012E-2</v>
      </c>
      <c r="AS184" s="28">
        <f t="shared" si="49"/>
        <v>-2.0064034715250558E-2</v>
      </c>
      <c r="AT184" s="28">
        <f t="shared" si="49"/>
        <v>-1.9811569984089266E-2</v>
      </c>
      <c r="AU184" s="28">
        <f t="shared" si="49"/>
        <v>-1.9562819553016541E-2</v>
      </c>
      <c r="AV184" s="28">
        <f t="shared" si="49"/>
        <v>-1.9317593767277572E-2</v>
      </c>
      <c r="AW184" s="28">
        <f t="shared" si="49"/>
        <v>-1.907571395269729E-2</v>
      </c>
      <c r="AY184" s="85"/>
    </row>
    <row r="185" spans="1:51" x14ac:dyDescent="0.25">
      <c r="A185" s="102" t="str">
        <f t="shared" si="45"/>
        <v>FA Poultry MMCH4</v>
      </c>
      <c r="B185" s="102" t="s">
        <v>963</v>
      </c>
      <c r="C185" s="102" t="s">
        <v>1232</v>
      </c>
      <c r="D185" t="s">
        <v>15</v>
      </c>
      <c r="E185" t="s">
        <v>22</v>
      </c>
      <c r="F185" t="s">
        <v>28</v>
      </c>
      <c r="G185" t="s">
        <v>131</v>
      </c>
      <c r="H185" t="s">
        <v>1228</v>
      </c>
      <c r="I185" t="s">
        <v>121</v>
      </c>
      <c r="J185" t="s">
        <v>286</v>
      </c>
      <c r="K185" s="28">
        <f t="shared" si="47"/>
        <v>0.55890468998141496</v>
      </c>
      <c r="L185" s="28">
        <f t="shared" si="49"/>
        <v>0.57100815822901829</v>
      </c>
      <c r="M185" s="28">
        <f t="shared" si="49"/>
        <v>0.58076061949579127</v>
      </c>
      <c r="N185" s="28">
        <f t="shared" si="49"/>
        <v>0.58713273634766394</v>
      </c>
      <c r="O185" s="28">
        <f t="shared" si="49"/>
        <v>0.59359134329353236</v>
      </c>
      <c r="P185" s="28">
        <f t="shared" si="49"/>
        <v>0.60191770622970409</v>
      </c>
      <c r="Q185" s="28">
        <f t="shared" si="49"/>
        <v>0.61082194696949044</v>
      </c>
      <c r="R185" s="28">
        <f t="shared" si="49"/>
        <v>0.61600023875173726</v>
      </c>
      <c r="S185" s="28">
        <f t="shared" si="49"/>
        <v>0.58621039395021657</v>
      </c>
      <c r="T185" s="28">
        <f t="shared" si="49"/>
        <v>0.59879553943192321</v>
      </c>
      <c r="U185" s="28">
        <f t="shared" si="49"/>
        <v>0.61054377323307962</v>
      </c>
      <c r="V185" s="28">
        <f t="shared" si="49"/>
        <v>0.62238475303160634</v>
      </c>
      <c r="W185" s="28">
        <f t="shared" si="49"/>
        <v>0.63582344873120078</v>
      </c>
      <c r="X185" s="28">
        <f t="shared" si="49"/>
        <v>0.6493737760577617</v>
      </c>
      <c r="Y185" s="28">
        <f t="shared" si="49"/>
        <v>0.66294132390021665</v>
      </c>
      <c r="Z185" s="28">
        <f t="shared" si="49"/>
        <v>0.67624718076087176</v>
      </c>
      <c r="AA185" s="28">
        <f t="shared" si="49"/>
        <v>0.69026013489965976</v>
      </c>
      <c r="AB185" s="28">
        <f t="shared" si="49"/>
        <v>0.70365733936336983</v>
      </c>
      <c r="AC185" s="28">
        <f t="shared" si="49"/>
        <v>0.71737227237227463</v>
      </c>
      <c r="AD185" s="28">
        <f t="shared" si="49"/>
        <v>0.7329223784090988</v>
      </c>
      <c r="AE185" s="28">
        <f t="shared" si="49"/>
        <v>0.74954420563381685</v>
      </c>
      <c r="AF185" s="28">
        <f t="shared" ref="L185:AW192" si="50">AF1407</f>
        <v>0.76668896317960933</v>
      </c>
      <c r="AG185" s="28">
        <f t="shared" si="50"/>
        <v>0.77179208889456419</v>
      </c>
      <c r="AH185" s="28">
        <f t="shared" si="50"/>
        <v>0.1849915255736751</v>
      </c>
      <c r="AI185" s="28">
        <f t="shared" si="50"/>
        <v>0.18641334189853098</v>
      </c>
      <c r="AJ185" s="28">
        <f t="shared" si="50"/>
        <v>0.18784551012942485</v>
      </c>
      <c r="AK185" s="28">
        <f t="shared" si="50"/>
        <v>0.18928810909326649</v>
      </c>
      <c r="AL185" s="28">
        <f t="shared" si="50"/>
        <v>0.19074121797493229</v>
      </c>
      <c r="AM185" s="28">
        <f t="shared" si="50"/>
        <v>0.19220491634055523</v>
      </c>
      <c r="AN185" s="28">
        <f t="shared" si="50"/>
        <v>0.19345615565117347</v>
      </c>
      <c r="AO185" s="28">
        <f t="shared" si="50"/>
        <v>0.19471511856878457</v>
      </c>
      <c r="AP185" s="28">
        <f t="shared" si="50"/>
        <v>0.1959818552978623</v>
      </c>
      <c r="AQ185" s="28">
        <f t="shared" si="50"/>
        <v>0.19725641621087697</v>
      </c>
      <c r="AR185" s="28">
        <f t="shared" si="50"/>
        <v>0.19853885186147341</v>
      </c>
      <c r="AS185" s="28">
        <f t="shared" si="50"/>
        <v>0.19959990963889776</v>
      </c>
      <c r="AT185" s="28">
        <f t="shared" si="50"/>
        <v>0.20066634279480103</v>
      </c>
      <c r="AU185" s="28">
        <f t="shared" si="50"/>
        <v>0.20173818048457057</v>
      </c>
      <c r="AV185" s="28">
        <f t="shared" si="50"/>
        <v>0.20281545191264314</v>
      </c>
      <c r="AW185" s="28">
        <f t="shared" si="50"/>
        <v>0.20389818634036988</v>
      </c>
      <c r="AY185" s="85"/>
    </row>
    <row r="186" spans="1:51" x14ac:dyDescent="0.25">
      <c r="A186" s="102" t="str">
        <f t="shared" si="45"/>
        <v>FA Poultry MMCH4</v>
      </c>
      <c r="B186" s="102" t="s">
        <v>963</v>
      </c>
      <c r="C186" s="102" t="s">
        <v>1232</v>
      </c>
      <c r="D186" t="s">
        <v>15</v>
      </c>
      <c r="E186" t="s">
        <v>22</v>
      </c>
      <c r="F186" t="s">
        <v>28</v>
      </c>
      <c r="G186" t="s">
        <v>132</v>
      </c>
      <c r="H186" t="s">
        <v>1228</v>
      </c>
      <c r="I186" t="s">
        <v>121</v>
      </c>
      <c r="J186" t="s">
        <v>286</v>
      </c>
      <c r="K186" s="28">
        <f t="shared" si="47"/>
        <v>2.2359130252274535</v>
      </c>
      <c r="L186" s="28">
        <f t="shared" si="50"/>
        <v>2.2721966041793928</v>
      </c>
      <c r="M186" s="28">
        <f t="shared" si="50"/>
        <v>2.2829699564071859</v>
      </c>
      <c r="N186" s="28">
        <f t="shared" si="50"/>
        <v>2.2588206467778473</v>
      </c>
      <c r="O186" s="28">
        <f t="shared" si="50"/>
        <v>2.2347231893932196</v>
      </c>
      <c r="P186" s="28">
        <f t="shared" si="50"/>
        <v>2.2277310720056978</v>
      </c>
      <c r="Q186" s="28">
        <f t="shared" si="50"/>
        <v>2.2262744989012253</v>
      </c>
      <c r="R186" s="28">
        <f t="shared" si="50"/>
        <v>2.1891395906785935</v>
      </c>
      <c r="S186" s="28">
        <f t="shared" si="50"/>
        <v>1.8240868851485099</v>
      </c>
      <c r="T186" s="28">
        <f t="shared" si="50"/>
        <v>1.8778928986212129</v>
      </c>
      <c r="U186" s="28">
        <f t="shared" si="50"/>
        <v>1.9228674992863757</v>
      </c>
      <c r="V186" s="28">
        <f t="shared" si="50"/>
        <v>1.9677329744500112</v>
      </c>
      <c r="W186" s="28">
        <f t="shared" si="50"/>
        <v>2.0261043748595982</v>
      </c>
      <c r="X186" s="28">
        <f t="shared" si="50"/>
        <v>2.0843005626552618</v>
      </c>
      <c r="Y186" s="28">
        <f t="shared" si="50"/>
        <v>2.1481960991761384</v>
      </c>
      <c r="Z186" s="28">
        <f t="shared" si="50"/>
        <v>2.208679923214985</v>
      </c>
      <c r="AA186" s="28">
        <f t="shared" si="50"/>
        <v>2.2743218882510807</v>
      </c>
      <c r="AB186" s="28">
        <f t="shared" si="50"/>
        <v>2.3335097773270199</v>
      </c>
      <c r="AC186" s="28">
        <f t="shared" si="50"/>
        <v>2.3944453885765151</v>
      </c>
      <c r="AD186" s="28">
        <f t="shared" si="50"/>
        <v>2.4754243930729589</v>
      </c>
      <c r="AE186" s="28">
        <f t="shared" si="50"/>
        <v>2.5643290582437364</v>
      </c>
      <c r="AF186" s="28">
        <f t="shared" si="50"/>
        <v>2.656369337897865</v>
      </c>
      <c r="AG186" s="28">
        <f t="shared" si="50"/>
        <v>2.6461200420455202</v>
      </c>
      <c r="AH186" s="28">
        <f t="shared" si="50"/>
        <v>-2.2948520289362109</v>
      </c>
      <c r="AI186" s="28">
        <f t="shared" si="50"/>
        <v>-2.2981400819551214</v>
      </c>
      <c r="AJ186" s="28">
        <f t="shared" si="50"/>
        <v>-2.3017063755775586</v>
      </c>
      <c r="AK186" s="28">
        <f t="shared" si="50"/>
        <v>-2.3055392982644372</v>
      </c>
      <c r="AL186" s="28">
        <f t="shared" si="50"/>
        <v>-2.3096281403729781</v>
      </c>
      <c r="AM186" s="28">
        <f t="shared" si="50"/>
        <v>-2.3139630075215134</v>
      </c>
      <c r="AN186" s="28">
        <f t="shared" si="50"/>
        <v>-2.3157471615489813</v>
      </c>
      <c r="AO186" s="28">
        <f t="shared" si="50"/>
        <v>-2.3177549214936723</v>
      </c>
      <c r="AP186" s="28">
        <f t="shared" si="50"/>
        <v>-2.3199776048516689</v>
      </c>
      <c r="AQ186" s="28">
        <f t="shared" si="50"/>
        <v>-2.3224071252966718</v>
      </c>
      <c r="AR186" s="28">
        <f t="shared" si="50"/>
        <v>-2.3250359414523776</v>
      </c>
      <c r="AS186" s="28">
        <f t="shared" si="50"/>
        <v>-2.3250730145110658</v>
      </c>
      <c r="AT186" s="28">
        <f t="shared" si="50"/>
        <v>-2.3252946526138598</v>
      </c>
      <c r="AU186" s="28">
        <f t="shared" si="50"/>
        <v>-2.3256940319059596</v>
      </c>
      <c r="AV186" s="28">
        <f t="shared" si="50"/>
        <v>-2.3262647465769009</v>
      </c>
      <c r="AW186" s="28">
        <f t="shared" si="50"/>
        <v>-2.3270007763918432</v>
      </c>
      <c r="AY186" s="85"/>
    </row>
    <row r="187" spans="1:51" x14ac:dyDescent="0.25">
      <c r="A187" s="102" t="str">
        <f t="shared" si="45"/>
        <v>FA Poultry MMCH4</v>
      </c>
      <c r="B187" s="102" t="s">
        <v>963</v>
      </c>
      <c r="C187" s="102" t="s">
        <v>1232</v>
      </c>
      <c r="D187" t="s">
        <v>15</v>
      </c>
      <c r="E187" t="s">
        <v>22</v>
      </c>
      <c r="F187" t="s">
        <v>28</v>
      </c>
      <c r="G187" t="s">
        <v>134</v>
      </c>
      <c r="H187" t="s">
        <v>1228</v>
      </c>
      <c r="I187" t="s">
        <v>121</v>
      </c>
      <c r="J187" t="s">
        <v>286</v>
      </c>
      <c r="K187" s="28">
        <f t="shared" si="47"/>
        <v>2.3287695415892307E-2</v>
      </c>
      <c r="L187" s="28">
        <f t="shared" si="50"/>
        <v>2.3792006592875784E-2</v>
      </c>
      <c r="M187" s="28">
        <f t="shared" si="50"/>
        <v>2.4198359145657992E-2</v>
      </c>
      <c r="N187" s="28">
        <f t="shared" si="50"/>
        <v>2.4463864014486018E-2</v>
      </c>
      <c r="O187" s="28">
        <f t="shared" si="50"/>
        <v>2.4732972637230538E-2</v>
      </c>
      <c r="P187" s="28">
        <f t="shared" si="50"/>
        <v>2.5079904426237691E-2</v>
      </c>
      <c r="Q187" s="28">
        <f t="shared" si="50"/>
        <v>2.5450914457062126E-2</v>
      </c>
      <c r="R187" s="28">
        <f t="shared" si="50"/>
        <v>2.5666676614655742E-2</v>
      </c>
      <c r="S187" s="28">
        <f t="shared" si="50"/>
        <v>2.4425433081259044E-2</v>
      </c>
      <c r="T187" s="28">
        <f t="shared" si="50"/>
        <v>2.4949814142996823E-2</v>
      </c>
      <c r="U187" s="28">
        <f t="shared" si="50"/>
        <v>2.5439323884711679E-2</v>
      </c>
      <c r="V187" s="28">
        <f t="shared" si="50"/>
        <v>2.5932698042983617E-2</v>
      </c>
      <c r="W187" s="28">
        <f t="shared" si="50"/>
        <v>2.6492643697133385E-2</v>
      </c>
      <c r="X187" s="28">
        <f t="shared" si="50"/>
        <v>2.7057240669073435E-2</v>
      </c>
      <c r="Y187" s="28">
        <f t="shared" si="50"/>
        <v>2.7622555162509051E-2</v>
      </c>
      <c r="Z187" s="28">
        <f t="shared" si="50"/>
        <v>2.8176965865036346E-2</v>
      </c>
      <c r="AA187" s="28">
        <f t="shared" si="50"/>
        <v>2.8760838954152518E-2</v>
      </c>
      <c r="AB187" s="28">
        <f t="shared" si="50"/>
        <v>2.9319055806807104E-2</v>
      </c>
      <c r="AC187" s="28">
        <f t="shared" si="50"/>
        <v>2.9890511348844809E-2</v>
      </c>
      <c r="AD187" s="28">
        <f t="shared" si="50"/>
        <v>3.0538432433712476E-2</v>
      </c>
      <c r="AE187" s="28">
        <f t="shared" si="50"/>
        <v>3.123100856807573E-2</v>
      </c>
      <c r="AF187" s="28">
        <f t="shared" si="50"/>
        <v>3.1945373465817078E-2</v>
      </c>
      <c r="AG187" s="28">
        <f t="shared" si="50"/>
        <v>3.2158003703940202E-2</v>
      </c>
      <c r="AH187" s="28">
        <f t="shared" si="50"/>
        <v>7.7079802322364711E-3</v>
      </c>
      <c r="AI187" s="28">
        <f t="shared" si="50"/>
        <v>7.7672225791054648E-3</v>
      </c>
      <c r="AJ187" s="28">
        <f t="shared" si="50"/>
        <v>7.8268962553927103E-3</v>
      </c>
      <c r="AK187" s="28">
        <f t="shared" si="50"/>
        <v>7.8870045455527778E-3</v>
      </c>
      <c r="AL187" s="28">
        <f t="shared" si="50"/>
        <v>7.9475507489555203E-3</v>
      </c>
      <c r="AM187" s="28">
        <f t="shared" si="50"/>
        <v>8.0085381808564764E-3</v>
      </c>
      <c r="AN187" s="28">
        <f t="shared" si="50"/>
        <v>8.0606731521322347E-3</v>
      </c>
      <c r="AO187" s="28">
        <f t="shared" si="50"/>
        <v>8.1131299403660317E-3</v>
      </c>
      <c r="AP187" s="28">
        <f t="shared" si="50"/>
        <v>8.1659106374109367E-3</v>
      </c>
      <c r="AQ187" s="28">
        <f t="shared" si="50"/>
        <v>8.2190173421198831E-3</v>
      </c>
      <c r="AR187" s="28">
        <f t="shared" si="50"/>
        <v>8.2724521608947329E-3</v>
      </c>
      <c r="AS187" s="28">
        <f t="shared" si="50"/>
        <v>8.3166629016207475E-3</v>
      </c>
      <c r="AT187" s="28">
        <f t="shared" si="50"/>
        <v>8.3610976164500486E-3</v>
      </c>
      <c r="AU187" s="28">
        <f t="shared" si="50"/>
        <v>8.4057575201904496E-3</v>
      </c>
      <c r="AV187" s="28">
        <f t="shared" si="50"/>
        <v>8.4506438296934709E-3</v>
      </c>
      <c r="AW187" s="28">
        <f t="shared" si="50"/>
        <v>8.495757764182087E-3</v>
      </c>
      <c r="AY187" s="85"/>
    </row>
    <row r="188" spans="1:51" x14ac:dyDescent="0.25">
      <c r="A188" s="102" t="str">
        <f t="shared" si="45"/>
        <v>FA Poultry MMCH4</v>
      </c>
      <c r="B188" s="102" t="s">
        <v>963</v>
      </c>
      <c r="C188" s="102" t="s">
        <v>1232</v>
      </c>
      <c r="D188" t="s">
        <v>15</v>
      </c>
      <c r="E188" t="s">
        <v>22</v>
      </c>
      <c r="F188" t="s">
        <v>28</v>
      </c>
      <c r="G188" t="s">
        <v>133</v>
      </c>
      <c r="H188" t="s">
        <v>1228</v>
      </c>
      <c r="I188" t="s">
        <v>121</v>
      </c>
      <c r="J188" t="s">
        <v>286</v>
      </c>
      <c r="K188" s="28">
        <f t="shared" si="47"/>
        <v>9.3163042717810632E-2</v>
      </c>
      <c r="L188" s="28">
        <f t="shared" si="50"/>
        <v>9.4674858507474813E-2</v>
      </c>
      <c r="M188" s="28">
        <f t="shared" si="50"/>
        <v>9.5123748183632839E-2</v>
      </c>
      <c r="N188" s="28">
        <f t="shared" si="50"/>
        <v>9.411752694907706E-2</v>
      </c>
      <c r="O188" s="28">
        <f t="shared" si="50"/>
        <v>9.3113466224717556E-2</v>
      </c>
      <c r="P188" s="28">
        <f t="shared" si="50"/>
        <v>9.2822128000237508E-2</v>
      </c>
      <c r="Q188" s="28">
        <f t="shared" si="50"/>
        <v>9.2761437454217818E-2</v>
      </c>
      <c r="R188" s="28">
        <f t="shared" si="50"/>
        <v>9.1214149611608147E-2</v>
      </c>
      <c r="S188" s="28">
        <f t="shared" si="50"/>
        <v>7.6003620214521325E-2</v>
      </c>
      <c r="T188" s="28">
        <f t="shared" si="50"/>
        <v>7.8245537442550611E-2</v>
      </c>
      <c r="U188" s="28">
        <f t="shared" si="50"/>
        <v>8.0119479136932389E-2</v>
      </c>
      <c r="V188" s="28">
        <f t="shared" si="50"/>
        <v>8.1988873935417206E-2</v>
      </c>
      <c r="W188" s="28">
        <f t="shared" si="50"/>
        <v>8.4421015619150011E-2</v>
      </c>
      <c r="X188" s="28">
        <f t="shared" si="50"/>
        <v>8.6845856777302652E-2</v>
      </c>
      <c r="Y188" s="28">
        <f t="shared" si="50"/>
        <v>8.9508170799005846E-2</v>
      </c>
      <c r="Z188" s="28">
        <f t="shared" si="50"/>
        <v>9.2028330133957781E-2</v>
      </c>
      <c r="AA188" s="28">
        <f t="shared" si="50"/>
        <v>9.4763412010461776E-2</v>
      </c>
      <c r="AB188" s="28">
        <f t="shared" si="50"/>
        <v>9.7229574055292575E-2</v>
      </c>
      <c r="AC188" s="28">
        <f t="shared" si="50"/>
        <v>9.9768557857354889E-2</v>
      </c>
      <c r="AD188" s="28">
        <f t="shared" si="50"/>
        <v>0.10314268304470672</v>
      </c>
      <c r="AE188" s="28">
        <f t="shared" si="50"/>
        <v>0.10684704409348912</v>
      </c>
      <c r="AF188" s="28">
        <f t="shared" si="50"/>
        <v>0.11068205574574447</v>
      </c>
      <c r="AG188" s="28">
        <f t="shared" si="50"/>
        <v>0.11025500175189677</v>
      </c>
      <c r="AH188" s="28">
        <f t="shared" si="50"/>
        <v>-9.5618834539008879E-2</v>
      </c>
      <c r="AI188" s="28">
        <f t="shared" si="50"/>
        <v>-9.5755836748130152E-2</v>
      </c>
      <c r="AJ188" s="28">
        <f t="shared" si="50"/>
        <v>-9.5904432315731702E-2</v>
      </c>
      <c r="AK188" s="28">
        <f t="shared" si="50"/>
        <v>-9.6064137427684965E-2</v>
      </c>
      <c r="AL188" s="28">
        <f t="shared" si="50"/>
        <v>-9.6234505848874163E-2</v>
      </c>
      <c r="AM188" s="28">
        <f t="shared" si="50"/>
        <v>-9.641512531339648E-2</v>
      </c>
      <c r="AN188" s="28">
        <f t="shared" si="50"/>
        <v>-9.6489465064540994E-2</v>
      </c>
      <c r="AO188" s="28">
        <f t="shared" si="50"/>
        <v>-9.6573121728903102E-2</v>
      </c>
      <c r="AP188" s="28">
        <f t="shared" si="50"/>
        <v>-9.6665733535486312E-2</v>
      </c>
      <c r="AQ188" s="28">
        <f t="shared" si="50"/>
        <v>-9.6766963554028085E-2</v>
      </c>
      <c r="AR188" s="28">
        <f t="shared" si="50"/>
        <v>-9.6876497560515806E-2</v>
      </c>
      <c r="AS188" s="28">
        <f t="shared" si="50"/>
        <v>-9.6878042271294512E-2</v>
      </c>
      <c r="AT188" s="28">
        <f t="shared" si="50"/>
        <v>-9.6887277192244256E-2</v>
      </c>
      <c r="AU188" s="28">
        <f t="shared" si="50"/>
        <v>-9.6903917996081751E-2</v>
      </c>
      <c r="AV188" s="28">
        <f t="shared" si="50"/>
        <v>-9.6927697774037633E-2</v>
      </c>
      <c r="AW188" s="28">
        <f t="shared" si="50"/>
        <v>-9.6958365682993541E-2</v>
      </c>
      <c r="AY188" s="85"/>
    </row>
    <row r="189" spans="1:51" x14ac:dyDescent="0.25">
      <c r="A189" s="102" t="str">
        <f t="shared" si="45"/>
        <v>FA Cattle MMN2O</v>
      </c>
      <c r="B189" s="102" t="s">
        <v>963</v>
      </c>
      <c r="C189" s="102" t="s">
        <v>1233</v>
      </c>
      <c r="D189" t="s">
        <v>15</v>
      </c>
      <c r="E189" t="s">
        <v>657</v>
      </c>
      <c r="F189" t="s">
        <v>6</v>
      </c>
      <c r="G189" t="s">
        <v>136</v>
      </c>
      <c r="H189" t="s">
        <v>1228</v>
      </c>
      <c r="I189" t="s">
        <v>139</v>
      </c>
      <c r="J189" t="s">
        <v>287</v>
      </c>
      <c r="K189" s="28">
        <f t="shared" si="47"/>
        <v>5.9581863535910565E-2</v>
      </c>
      <c r="L189" s="28">
        <f t="shared" si="50"/>
        <v>5.9952472777501202E-2</v>
      </c>
      <c r="M189" s="28">
        <f t="shared" si="50"/>
        <v>6.0207271736418301E-2</v>
      </c>
      <c r="N189" s="28">
        <f t="shared" si="50"/>
        <v>6.0287180440683194E-2</v>
      </c>
      <c r="O189" s="28">
        <f t="shared" si="50"/>
        <v>6.0395284993714014E-2</v>
      </c>
      <c r="P189" s="28">
        <f t="shared" si="50"/>
        <v>6.0632075036082048E-2</v>
      </c>
      <c r="Q189" s="28">
        <f t="shared" si="50"/>
        <v>6.0915962278620638E-2</v>
      </c>
      <c r="R189" s="28">
        <f t="shared" si="50"/>
        <v>6.1001244967563928E-2</v>
      </c>
      <c r="S189" s="28">
        <f t="shared" si="50"/>
        <v>5.9128520448870917E-2</v>
      </c>
      <c r="T189" s="28">
        <f t="shared" si="50"/>
        <v>5.961554215328714E-2</v>
      </c>
      <c r="U189" s="28">
        <f t="shared" si="50"/>
        <v>6.0062127225246474E-2</v>
      </c>
      <c r="V189" s="28">
        <f t="shared" si="50"/>
        <v>6.0520025735654244E-2</v>
      </c>
      <c r="W189" s="28">
        <f t="shared" si="50"/>
        <v>6.107162678051329E-2</v>
      </c>
      <c r="X189" s="28">
        <f t="shared" si="50"/>
        <v>6.1633578287442058E-2</v>
      </c>
      <c r="Y189" s="28">
        <f t="shared" si="50"/>
        <v>6.2180760814939798E-2</v>
      </c>
      <c r="Z189" s="28">
        <f t="shared" si="50"/>
        <v>6.2716996536282391E-2</v>
      </c>
      <c r="AA189" s="28">
        <f t="shared" si="50"/>
        <v>6.3294581219461896E-2</v>
      </c>
      <c r="AB189" s="28">
        <f t="shared" si="50"/>
        <v>6.3841542561015929E-2</v>
      </c>
      <c r="AC189" s="28">
        <f t="shared" si="50"/>
        <v>6.4408123024693842E-2</v>
      </c>
      <c r="AD189" s="28">
        <f t="shared" si="50"/>
        <v>6.5059072276654292E-2</v>
      </c>
      <c r="AE189" s="28">
        <f t="shared" si="50"/>
        <v>6.5768024439382053E-2</v>
      </c>
      <c r="AF189" s="28">
        <f t="shared" si="50"/>
        <v>6.6505116559025759E-2</v>
      </c>
      <c r="AG189" s="28">
        <f t="shared" si="50"/>
        <v>6.6608077063784327E-2</v>
      </c>
      <c r="AH189" s="28">
        <f t="shared" si="50"/>
        <v>3.5661314599783112E-2</v>
      </c>
      <c r="AI189" s="28">
        <f t="shared" si="50"/>
        <v>3.5687543278982381E-2</v>
      </c>
      <c r="AJ189" s="28">
        <f t="shared" si="50"/>
        <v>3.5717217411916767E-2</v>
      </c>
      <c r="AK189" s="28">
        <f t="shared" si="50"/>
        <v>3.5750206038134905E-2</v>
      </c>
      <c r="AL189" s="28">
        <f t="shared" si="50"/>
        <v>3.5786388283243133E-2</v>
      </c>
      <c r="AM189" s="28">
        <f t="shared" si="50"/>
        <v>3.5825652402917518E-2</v>
      </c>
      <c r="AN189" s="28">
        <f t="shared" si="50"/>
        <v>3.5842556779576207E-2</v>
      </c>
      <c r="AO189" s="28">
        <f t="shared" si="50"/>
        <v>3.5862175171675115E-2</v>
      </c>
      <c r="AP189" s="28">
        <f t="shared" si="50"/>
        <v>3.588441278699845E-2</v>
      </c>
      <c r="AQ189" s="28">
        <f t="shared" si="50"/>
        <v>3.5909181301646116E-2</v>
      </c>
      <c r="AR189" s="28">
        <f t="shared" si="50"/>
        <v>3.5936398311145284E-2</v>
      </c>
      <c r="AS189" s="28">
        <f t="shared" si="50"/>
        <v>3.5940375653704157E-2</v>
      </c>
      <c r="AT189" s="28">
        <f t="shared" si="50"/>
        <v>3.5946523647611327E-2</v>
      </c>
      <c r="AU189" s="28">
        <f t="shared" si="50"/>
        <v>3.5954770346244613E-2</v>
      </c>
      <c r="AV189" s="28">
        <f t="shared" si="50"/>
        <v>3.5965048185906283E-2</v>
      </c>
      <c r="AW189" s="28">
        <f t="shared" si="50"/>
        <v>3.5977293649132408E-2</v>
      </c>
      <c r="AY189" s="85"/>
    </row>
    <row r="190" spans="1:51" x14ac:dyDescent="0.25">
      <c r="A190" s="102" t="str">
        <f t="shared" si="45"/>
        <v>FA Cattle MMN2O</v>
      </c>
      <c r="B190" s="102" t="s">
        <v>963</v>
      </c>
      <c r="C190" s="102" t="s">
        <v>1233</v>
      </c>
      <c r="D190" t="s">
        <v>15</v>
      </c>
      <c r="E190" t="s">
        <v>657</v>
      </c>
      <c r="F190" t="s">
        <v>6</v>
      </c>
      <c r="G190" t="s">
        <v>137</v>
      </c>
      <c r="H190" t="s">
        <v>1228</v>
      </c>
      <c r="I190" t="s">
        <v>139</v>
      </c>
      <c r="J190" t="s">
        <v>287</v>
      </c>
      <c r="K190" s="28">
        <f t="shared" si="47"/>
        <v>0.26088706231871722</v>
      </c>
      <c r="L190" s="28">
        <f t="shared" si="50"/>
        <v>0.2625098238533321</v>
      </c>
      <c r="M190" s="28">
        <f t="shared" si="50"/>
        <v>0.26362549476271357</v>
      </c>
      <c r="N190" s="28">
        <f t="shared" si="50"/>
        <v>0.2639753855830434</v>
      </c>
      <c r="O190" s="28">
        <f t="shared" si="50"/>
        <v>0.26444873565284266</v>
      </c>
      <c r="P190" s="28">
        <f t="shared" si="50"/>
        <v>0.26548555214151259</v>
      </c>
      <c r="Q190" s="28">
        <f t="shared" si="50"/>
        <v>0.26672858994429993</v>
      </c>
      <c r="R190" s="28">
        <f t="shared" si="50"/>
        <v>0.26710201146663365</v>
      </c>
      <c r="S190" s="28">
        <f t="shared" si="50"/>
        <v>0.2589020397097988</v>
      </c>
      <c r="T190" s="28">
        <f t="shared" si="50"/>
        <v>0.26103452859501175</v>
      </c>
      <c r="U190" s="28">
        <f t="shared" si="50"/>
        <v>0.26298996034193323</v>
      </c>
      <c r="V190" s="28">
        <f t="shared" si="50"/>
        <v>0.26499492947399811</v>
      </c>
      <c r="W190" s="28">
        <f t="shared" si="50"/>
        <v>0.26741018753450635</v>
      </c>
      <c r="X190" s="28">
        <f t="shared" si="50"/>
        <v>0.26987076646084124</v>
      </c>
      <c r="Y190" s="28">
        <f t="shared" si="50"/>
        <v>0.27226667745924399</v>
      </c>
      <c r="Z190" s="28">
        <f t="shared" si="50"/>
        <v>0.27461465642044425</v>
      </c>
      <c r="AA190" s="28">
        <f t="shared" si="50"/>
        <v>0.27714368727467675</v>
      </c>
      <c r="AB190" s="28">
        <f t="shared" si="50"/>
        <v>0.2795386297811987</v>
      </c>
      <c r="AC190" s="28">
        <f t="shared" si="50"/>
        <v>0.2820194772063051</v>
      </c>
      <c r="AD190" s="28">
        <f t="shared" si="50"/>
        <v>0.28486974451894415</v>
      </c>
      <c r="AE190" s="28">
        <f t="shared" si="50"/>
        <v>0.28797398524057027</v>
      </c>
      <c r="AF190" s="28">
        <f t="shared" si="50"/>
        <v>0.2912014404818154</v>
      </c>
      <c r="AG190" s="28">
        <f t="shared" si="50"/>
        <v>0.29165226665654759</v>
      </c>
      <c r="AH190" s="28">
        <f t="shared" si="50"/>
        <v>0.1561477780693053</v>
      </c>
      <c r="AI190" s="28">
        <f t="shared" si="50"/>
        <v>0.15626262380689576</v>
      </c>
      <c r="AJ190" s="28">
        <f t="shared" si="50"/>
        <v>0.1563925559189292</v>
      </c>
      <c r="AK190" s="28">
        <f t="shared" si="50"/>
        <v>0.1565370009777648</v>
      </c>
      <c r="AL190" s="28">
        <f t="shared" si="50"/>
        <v>0.15669542971889827</v>
      </c>
      <c r="AM190" s="28">
        <f t="shared" si="50"/>
        <v>0.156867352855042</v>
      </c>
      <c r="AN190" s="28">
        <f t="shared" si="50"/>
        <v>0.15694137090189544</v>
      </c>
      <c r="AO190" s="28">
        <f t="shared" si="50"/>
        <v>0.15702727262396923</v>
      </c>
      <c r="AP190" s="28">
        <f t="shared" si="50"/>
        <v>0.15712464296102122</v>
      </c>
      <c r="AQ190" s="28">
        <f t="shared" si="50"/>
        <v>0.15723309517518419</v>
      </c>
      <c r="AR190" s="28">
        <f t="shared" si="50"/>
        <v>0.15735226844758546</v>
      </c>
      <c r="AS190" s="28">
        <f t="shared" si="50"/>
        <v>0.15736968376752411</v>
      </c>
      <c r="AT190" s="28">
        <f t="shared" si="50"/>
        <v>0.15739660357120949</v>
      </c>
      <c r="AU190" s="28">
        <f t="shared" si="50"/>
        <v>0.15743271283084972</v>
      </c>
      <c r="AV190" s="28">
        <f t="shared" si="50"/>
        <v>0.15747771570986671</v>
      </c>
      <c r="AW190" s="28">
        <f t="shared" si="50"/>
        <v>0.15753133408865197</v>
      </c>
      <c r="AY190" s="85"/>
    </row>
    <row r="191" spans="1:51" x14ac:dyDescent="0.25">
      <c r="A191" s="102" t="str">
        <f t="shared" si="45"/>
        <v>FA Cattle MMN2O</v>
      </c>
      <c r="B191" s="102" t="s">
        <v>963</v>
      </c>
      <c r="C191" s="102" t="s">
        <v>1233</v>
      </c>
      <c r="D191" t="s">
        <v>15</v>
      </c>
      <c r="E191" t="s">
        <v>657</v>
      </c>
      <c r="F191" t="s">
        <v>67</v>
      </c>
      <c r="G191" t="s">
        <v>307</v>
      </c>
      <c r="H191" t="s">
        <v>1228</v>
      </c>
      <c r="I191" t="s">
        <v>139</v>
      </c>
      <c r="J191" t="s">
        <v>287</v>
      </c>
      <c r="K191" s="28">
        <f t="shared" si="47"/>
        <v>1.1607933720950987E-2</v>
      </c>
      <c r="L191" s="28">
        <f t="shared" si="50"/>
        <v>1.1680137026746603E-2</v>
      </c>
      <c r="M191" s="28">
        <f t="shared" si="50"/>
        <v>1.1729777794116936E-2</v>
      </c>
      <c r="N191" s="28">
        <f t="shared" si="50"/>
        <v>1.1745345869497372E-2</v>
      </c>
      <c r="O191" s="28">
        <f t="shared" si="50"/>
        <v>1.1766407152445642E-2</v>
      </c>
      <c r="P191" s="28">
        <f t="shared" si="50"/>
        <v>1.1812539363733939E-2</v>
      </c>
      <c r="Q191" s="28">
        <f t="shared" si="50"/>
        <v>1.186784720575243E-2</v>
      </c>
      <c r="R191" s="28">
        <f t="shared" si="50"/>
        <v>1.1884462258421965E-2</v>
      </c>
      <c r="S191" s="28">
        <f t="shared" si="50"/>
        <v>1.1519611936520126E-2</v>
      </c>
      <c r="T191" s="28">
        <f t="shared" si="50"/>
        <v>1.1614495099449744E-2</v>
      </c>
      <c r="U191" s="28">
        <f t="shared" si="50"/>
        <v>1.1701500265257389E-2</v>
      </c>
      <c r="V191" s="28">
        <f t="shared" si="50"/>
        <v>1.1790709552182964E-2</v>
      </c>
      <c r="W191" s="28">
        <f t="shared" si="50"/>
        <v>1.189817427364593E-2</v>
      </c>
      <c r="X191" s="28">
        <f t="shared" si="50"/>
        <v>1.2007655506016015E-2</v>
      </c>
      <c r="Y191" s="28">
        <f t="shared" si="50"/>
        <v>1.2114259397460733E-2</v>
      </c>
      <c r="Z191" s="28">
        <f t="shared" si="50"/>
        <v>1.221873059629122E-2</v>
      </c>
      <c r="AA191" s="28">
        <f t="shared" si="50"/>
        <v>1.2331257535240406E-2</v>
      </c>
      <c r="AB191" s="28">
        <f t="shared" si="50"/>
        <v>1.2437818334515426E-2</v>
      </c>
      <c r="AC191" s="28">
        <f t="shared" si="50"/>
        <v>1.2548201395394263E-2</v>
      </c>
      <c r="AD191" s="28">
        <f t="shared" si="50"/>
        <v>1.2675021459823859E-2</v>
      </c>
      <c r="AE191" s="28">
        <f t="shared" si="50"/>
        <v>1.2813141841226641E-2</v>
      </c>
      <c r="AF191" s="28">
        <f t="shared" si="50"/>
        <v>1.2956744541164057E-2</v>
      </c>
      <c r="AG191" s="28">
        <f t="shared" si="50"/>
        <v>1.2976803643786663E-2</v>
      </c>
      <c r="AH191" s="28">
        <f t="shared" si="50"/>
        <v>6.9476540629980453E-3</v>
      </c>
      <c r="AI191" s="28">
        <f t="shared" si="50"/>
        <v>6.9527640201505212E-3</v>
      </c>
      <c r="AJ191" s="28">
        <f t="shared" si="50"/>
        <v>6.9585452318798495E-3</v>
      </c>
      <c r="AK191" s="28">
        <f t="shared" si="50"/>
        <v>6.9649721840421407E-3</v>
      </c>
      <c r="AL191" s="28">
        <f t="shared" si="50"/>
        <v>6.9720213274922825E-3</v>
      </c>
      <c r="AM191" s="28">
        <f t="shared" si="50"/>
        <v>6.9796708918352492E-3</v>
      </c>
      <c r="AN191" s="28">
        <f t="shared" si="50"/>
        <v>6.9829642578396519E-3</v>
      </c>
      <c r="AO191" s="28">
        <f t="shared" si="50"/>
        <v>6.986786377217614E-3</v>
      </c>
      <c r="AP191" s="28">
        <f t="shared" si="50"/>
        <v>6.9911187822393143E-3</v>
      </c>
      <c r="AQ191" s="28">
        <f t="shared" si="50"/>
        <v>6.9959442653533691E-3</v>
      </c>
      <c r="AR191" s="28">
        <f t="shared" si="50"/>
        <v>7.0012467722505977E-3</v>
      </c>
      <c r="AS191" s="28">
        <f t="shared" si="50"/>
        <v>7.0020216511494588E-3</v>
      </c>
      <c r="AT191" s="28">
        <f t="shared" si="50"/>
        <v>7.00321942345056E-3</v>
      </c>
      <c r="AU191" s="28">
        <f t="shared" si="50"/>
        <v>7.0048260722774189E-3</v>
      </c>
      <c r="AV191" s="28">
        <f t="shared" si="50"/>
        <v>7.0068284346492373E-3</v>
      </c>
      <c r="AW191" s="28">
        <f t="shared" si="50"/>
        <v>7.0092141358857468E-3</v>
      </c>
      <c r="AY191" s="85"/>
    </row>
    <row r="192" spans="1:51" x14ac:dyDescent="0.25">
      <c r="A192" s="102" t="str">
        <f t="shared" si="45"/>
        <v>FA Cattle MMN2O</v>
      </c>
      <c r="B192" s="102" t="s">
        <v>963</v>
      </c>
      <c r="C192" s="102" t="s">
        <v>1233</v>
      </c>
      <c r="D192" t="s">
        <v>15</v>
      </c>
      <c r="E192" t="s">
        <v>657</v>
      </c>
      <c r="F192" t="s">
        <v>67</v>
      </c>
      <c r="G192" t="s">
        <v>122</v>
      </c>
      <c r="H192" t="s">
        <v>1228</v>
      </c>
      <c r="I192" t="s">
        <v>139</v>
      </c>
      <c r="J192" t="s">
        <v>287</v>
      </c>
      <c r="K192" s="28">
        <f t="shared" si="47"/>
        <v>0.52988033061170758</v>
      </c>
      <c r="L192" s="28">
        <f t="shared" si="50"/>
        <v>0.52636805175151047</v>
      </c>
      <c r="M192" s="28">
        <f t="shared" si="50"/>
        <v>0.51896264714173934</v>
      </c>
      <c r="N192" s="28">
        <f t="shared" si="50"/>
        <v>0.50647981142977161</v>
      </c>
      <c r="O192" s="28">
        <f t="shared" si="50"/>
        <v>0.4943686614451126</v>
      </c>
      <c r="P192" s="28">
        <f t="shared" si="50"/>
        <v>0.48505348723916247</v>
      </c>
      <c r="Q192" s="28">
        <f t="shared" si="50"/>
        <v>0.47662784045454271</v>
      </c>
      <c r="R192" s="28">
        <f t="shared" si="50"/>
        <v>0.46338055897739389</v>
      </c>
      <c r="S192" s="28">
        <f t="shared" si="50"/>
        <v>0.40641283743592205</v>
      </c>
      <c r="T192" s="28">
        <f t="shared" si="50"/>
        <v>0.41028660340184542</v>
      </c>
      <c r="U192" s="28">
        <f t="shared" ref="L192:AW198" si="51">U1414</f>
        <v>0.41290787540039242</v>
      </c>
      <c r="V192" s="28">
        <f t="shared" si="51"/>
        <v>0.41544388868051429</v>
      </c>
      <c r="W192" s="28">
        <f t="shared" si="51"/>
        <v>0.41963784467016801</v>
      </c>
      <c r="X192" s="28">
        <f t="shared" si="51"/>
        <v>0.42369357816507769</v>
      </c>
      <c r="Y192" s="28">
        <f t="shared" si="51"/>
        <v>0.42795148955175888</v>
      </c>
      <c r="Z192" s="28">
        <f t="shared" si="51"/>
        <v>0.43165837799817441</v>
      </c>
      <c r="AA192" s="28">
        <f t="shared" si="51"/>
        <v>0.43587731971405297</v>
      </c>
      <c r="AB192" s="28">
        <f t="shared" si="51"/>
        <v>0.43917878455229692</v>
      </c>
      <c r="AC192" s="28">
        <f t="shared" si="51"/>
        <v>0.44257083604017933</v>
      </c>
      <c r="AD192" s="28">
        <f t="shared" si="51"/>
        <v>0.44415072955507112</v>
      </c>
      <c r="AE192" s="28">
        <f t="shared" si="51"/>
        <v>0.44631708410431642</v>
      </c>
      <c r="AF192" s="28">
        <f t="shared" si="51"/>
        <v>0.44847507790025098</v>
      </c>
      <c r="AG192" s="28">
        <f t="shared" si="51"/>
        <v>0.43896382192914674</v>
      </c>
      <c r="AH192" s="28">
        <f t="shared" si="51"/>
        <v>-0.10354549398732707</v>
      </c>
      <c r="AI192" s="28">
        <f t="shared" si="51"/>
        <v>-0.10114359865651981</v>
      </c>
      <c r="AJ192" s="28">
        <f t="shared" si="51"/>
        <v>-9.8779900999145701E-2</v>
      </c>
      <c r="AK192" s="28">
        <f t="shared" si="51"/>
        <v>-9.645240042559923E-2</v>
      </c>
      <c r="AL192" s="28">
        <f t="shared" si="51"/>
        <v>-9.4159234659003305E-2</v>
      </c>
      <c r="AM192" s="28">
        <f t="shared" si="51"/>
        <v>-9.1898666918572763E-2</v>
      </c>
      <c r="AN192" s="28">
        <f t="shared" si="51"/>
        <v>-9.0065857844413774E-2</v>
      </c>
      <c r="AO192" s="28">
        <f t="shared" si="51"/>
        <v>-8.8260731137636633E-2</v>
      </c>
      <c r="AP192" s="28">
        <f t="shared" si="51"/>
        <v>-8.6482032370585105E-2</v>
      </c>
      <c r="AQ192" s="28">
        <f t="shared" si="51"/>
        <v>-8.4728585134525733E-2</v>
      </c>
      <c r="AR192" s="28">
        <f t="shared" si="51"/>
        <v>-8.2999284570590512E-2</v>
      </c>
      <c r="AS192" s="28">
        <f t="shared" si="51"/>
        <v>-8.1237842076259073E-2</v>
      </c>
      <c r="AT192" s="28">
        <f t="shared" si="51"/>
        <v>-7.9500621662589185E-2</v>
      </c>
      <c r="AU192" s="28">
        <f t="shared" si="51"/>
        <v>-7.7786670470567892E-2</v>
      </c>
      <c r="AV192" s="28">
        <f t="shared" si="51"/>
        <v>-7.609508917583023E-2</v>
      </c>
      <c r="AW192" s="28">
        <f t="shared" si="51"/>
        <v>-7.4425027988165984E-2</v>
      </c>
      <c r="AY192" s="85"/>
    </row>
    <row r="193" spans="1:51" x14ac:dyDescent="0.25">
      <c r="A193" s="102" t="str">
        <f t="shared" si="45"/>
        <v>FA Cattle MMN2O</v>
      </c>
      <c r="B193" s="102" t="s">
        <v>963</v>
      </c>
      <c r="C193" s="102" t="s">
        <v>1233</v>
      </c>
      <c r="D193" t="s">
        <v>15</v>
      </c>
      <c r="E193" t="s">
        <v>657</v>
      </c>
      <c r="F193" t="s">
        <v>67</v>
      </c>
      <c r="G193" t="s">
        <v>123</v>
      </c>
      <c r="H193" t="s">
        <v>1228</v>
      </c>
      <c r="I193" t="s">
        <v>139</v>
      </c>
      <c r="J193" t="s">
        <v>287</v>
      </c>
      <c r="K193" s="28">
        <f t="shared" si="47"/>
        <v>0.81161466909134916</v>
      </c>
      <c r="L193" s="28">
        <f t="shared" si="51"/>
        <v>0.80623493166726978</v>
      </c>
      <c r="M193" s="28">
        <f t="shared" si="51"/>
        <v>0.79489211581881503</v>
      </c>
      <c r="N193" s="28">
        <f t="shared" si="51"/>
        <v>0.77577222781694366</v>
      </c>
      <c r="O193" s="28">
        <f t="shared" si="51"/>
        <v>0.75722164871587128</v>
      </c>
      <c r="P193" s="28">
        <f t="shared" si="51"/>
        <v>0.74295364970944966</v>
      </c>
      <c r="Q193" s="28">
        <f t="shared" si="51"/>
        <v>0.73004813476216801</v>
      </c>
      <c r="R193" s="28">
        <f t="shared" si="51"/>
        <v>0.7097573495578483</v>
      </c>
      <c r="S193" s="28">
        <f t="shared" si="51"/>
        <v>0.62250021658521282</v>
      </c>
      <c r="T193" s="28">
        <f t="shared" si="51"/>
        <v>0.62843364173979577</v>
      </c>
      <c r="U193" s="28">
        <f t="shared" si="51"/>
        <v>0.63244862905446586</v>
      </c>
      <c r="V193" s="28">
        <f t="shared" si="51"/>
        <v>0.63633302607818865</v>
      </c>
      <c r="W193" s="28">
        <f t="shared" si="51"/>
        <v>0.64275688445918766</v>
      </c>
      <c r="X193" s="28">
        <f t="shared" si="51"/>
        <v>0.64896902823624347</v>
      </c>
      <c r="Y193" s="28">
        <f t="shared" si="51"/>
        <v>0.65549084673275582</v>
      </c>
      <c r="Z193" s="28">
        <f t="shared" si="51"/>
        <v>0.66116866654600104</v>
      </c>
      <c r="AA193" s="28">
        <f t="shared" si="51"/>
        <v>0.66763079542082715</v>
      </c>
      <c r="AB193" s="28">
        <f t="shared" si="51"/>
        <v>0.67268763021428868</v>
      </c>
      <c r="AC193" s="28">
        <f t="shared" si="51"/>
        <v>0.67788321606043689</v>
      </c>
      <c r="AD193" s="28">
        <f t="shared" si="51"/>
        <v>0.68030312991307629</v>
      </c>
      <c r="AE193" s="28">
        <f t="shared" si="51"/>
        <v>0.68362132277483145</v>
      </c>
      <c r="AF193" s="28">
        <f t="shared" si="51"/>
        <v>0.68692670951860213</v>
      </c>
      <c r="AG193" s="28">
        <f t="shared" si="51"/>
        <v>0.67235837319496583</v>
      </c>
      <c r="AH193" s="28">
        <f t="shared" si="51"/>
        <v>-0.1586000403929089</v>
      </c>
      <c r="AI193" s="28">
        <f t="shared" si="51"/>
        <v>-0.15492107106439137</v>
      </c>
      <c r="AJ193" s="28">
        <f t="shared" si="51"/>
        <v>-0.15130060889360838</v>
      </c>
      <c r="AK193" s="28">
        <f t="shared" si="51"/>
        <v>-0.14773558958891347</v>
      </c>
      <c r="AL193" s="28">
        <f t="shared" si="51"/>
        <v>-0.14422316071147476</v>
      </c>
      <c r="AM193" s="28">
        <f t="shared" si="51"/>
        <v>-0.1407606620441057</v>
      </c>
      <c r="AN193" s="28">
        <f t="shared" si="51"/>
        <v>-0.1379533588771549</v>
      </c>
      <c r="AO193" s="28">
        <f t="shared" si="51"/>
        <v>-0.13518845663385484</v>
      </c>
      <c r="AP193" s="28">
        <f t="shared" si="51"/>
        <v>-0.13246403391454542</v>
      </c>
      <c r="AQ193" s="28">
        <f t="shared" si="51"/>
        <v>-0.12977828882070402</v>
      </c>
      <c r="AR193" s="28">
        <f t="shared" si="51"/>
        <v>-0.12712952904632721</v>
      </c>
      <c r="AS193" s="28">
        <f t="shared" si="51"/>
        <v>-0.12443153766115941</v>
      </c>
      <c r="AT193" s="28">
        <f t="shared" si="51"/>
        <v>-0.12177064709828132</v>
      </c>
      <c r="AU193" s="28">
        <f t="shared" si="51"/>
        <v>-0.11914539786899743</v>
      </c>
      <c r="AV193" s="28">
        <f t="shared" si="51"/>
        <v>-0.11655441248332606</v>
      </c>
      <c r="AW193" s="28">
        <f t="shared" si="51"/>
        <v>-0.11399638932246699</v>
      </c>
      <c r="AY193" s="85"/>
    </row>
    <row r="194" spans="1:51" x14ac:dyDescent="0.25">
      <c r="A194" s="102" t="str">
        <f t="shared" si="45"/>
        <v>FA Cattle MMN2O</v>
      </c>
      <c r="B194" s="102" t="s">
        <v>963</v>
      </c>
      <c r="C194" s="102" t="s">
        <v>1233</v>
      </c>
      <c r="D194" t="s">
        <v>15</v>
      </c>
      <c r="E194" t="s">
        <v>657</v>
      </c>
      <c r="F194" t="s">
        <v>67</v>
      </c>
      <c r="G194" t="s">
        <v>135</v>
      </c>
      <c r="H194" t="s">
        <v>1228</v>
      </c>
      <c r="I194" t="s">
        <v>139</v>
      </c>
      <c r="J194" t="s">
        <v>287</v>
      </c>
      <c r="K194" s="28">
        <f t="shared" si="47"/>
        <v>0.98462431665992833</v>
      </c>
      <c r="L194" s="28">
        <f t="shared" si="51"/>
        <v>1.0196918835505078</v>
      </c>
      <c r="M194" s="28">
        <f t="shared" si="51"/>
        <v>1.0475259814074214</v>
      </c>
      <c r="N194" s="28">
        <f t="shared" si="51"/>
        <v>1.0647388767946648</v>
      </c>
      <c r="O194" s="28">
        <f t="shared" si="51"/>
        <v>1.0819877052462501</v>
      </c>
      <c r="P194" s="28">
        <f t="shared" si="51"/>
        <v>1.1048938649963369</v>
      </c>
      <c r="Q194" s="28">
        <f t="shared" si="51"/>
        <v>1.1297091115066857</v>
      </c>
      <c r="R194" s="28">
        <f t="shared" si="51"/>
        <v>1.142623258953418</v>
      </c>
      <c r="S194" s="28">
        <f t="shared" si="51"/>
        <v>1.0424500724104675</v>
      </c>
      <c r="T194" s="28">
        <f t="shared" si="51"/>
        <v>1.0775354748112338</v>
      </c>
      <c r="U194" s="28">
        <f t="shared" si="51"/>
        <v>1.1099789671042184</v>
      </c>
      <c r="V194" s="28">
        <f t="shared" si="51"/>
        <v>1.1427845071049993</v>
      </c>
      <c r="W194" s="28">
        <f t="shared" si="51"/>
        <v>1.1808667721174206</v>
      </c>
      <c r="X194" s="28">
        <f t="shared" si="51"/>
        <v>1.219399784150359</v>
      </c>
      <c r="Y194" s="28">
        <f t="shared" si="51"/>
        <v>1.2593873285345614</v>
      </c>
      <c r="Z194" s="28">
        <f t="shared" si="51"/>
        <v>1.2986321214759353</v>
      </c>
      <c r="AA194" s="28">
        <f t="shared" si="51"/>
        <v>1.3403229537470696</v>
      </c>
      <c r="AB194" s="28">
        <f t="shared" si="51"/>
        <v>1.3800999976091688</v>
      </c>
      <c r="AC194" s="28">
        <f t="shared" si="51"/>
        <v>1.4210424625750864</v>
      </c>
      <c r="AD194" s="28">
        <f t="shared" si="51"/>
        <v>1.4731597843117399</v>
      </c>
      <c r="AE194" s="28">
        <f t="shared" si="51"/>
        <v>1.5292748745002132</v>
      </c>
      <c r="AF194" s="28">
        <f t="shared" si="51"/>
        <v>1.58759303710444</v>
      </c>
      <c r="AG194" s="28">
        <f t="shared" si="51"/>
        <v>1.6055856657240113</v>
      </c>
      <c r="AH194" s="28">
        <f t="shared" si="51"/>
        <v>-0.39137548720927395</v>
      </c>
      <c r="AI194" s="28">
        <f t="shared" si="51"/>
        <v>-0.39511268844976988</v>
      </c>
      <c r="AJ194" s="28">
        <f t="shared" si="51"/>
        <v>-0.39888027556232269</v>
      </c>
      <c r="AK194" s="28">
        <f t="shared" si="51"/>
        <v>-0.40267853610571114</v>
      </c>
      <c r="AL194" s="28">
        <f t="shared" si="51"/>
        <v>-0.40650776022057733</v>
      </c>
      <c r="AM194" s="28">
        <f t="shared" si="51"/>
        <v>-0.41036824065181815</v>
      </c>
      <c r="AN194" s="28">
        <f t="shared" si="51"/>
        <v>-0.41346631245955484</v>
      </c>
      <c r="AO194" s="28">
        <f t="shared" si="51"/>
        <v>-0.41658575471490794</v>
      </c>
      <c r="AP194" s="28">
        <f t="shared" si="51"/>
        <v>-0.41972673655234932</v>
      </c>
      <c r="AQ194" s="28">
        <f t="shared" si="51"/>
        <v>-0.42288942838293692</v>
      </c>
      <c r="AR194" s="28">
        <f t="shared" si="51"/>
        <v>-0.42607400190364725</v>
      </c>
      <c r="AS194" s="28">
        <f t="shared" si="51"/>
        <v>-0.42898887673310604</v>
      </c>
      <c r="AT194" s="28">
        <f t="shared" si="51"/>
        <v>-0.43192052701996581</v>
      </c>
      <c r="AU194" s="28">
        <f t="shared" si="51"/>
        <v>-0.43486906373806822</v>
      </c>
      <c r="AV194" s="28">
        <f t="shared" si="51"/>
        <v>-0.43783459855710477</v>
      </c>
      <c r="AW194" s="28">
        <f t="shared" si="51"/>
        <v>-0.4408172438468278</v>
      </c>
      <c r="AY194" s="85"/>
    </row>
    <row r="195" spans="1:51" x14ac:dyDescent="0.25">
      <c r="A195" s="102" t="str">
        <f t="shared" si="45"/>
        <v>FA Sheep MMN2O</v>
      </c>
      <c r="B195" s="102" t="s">
        <v>963</v>
      </c>
      <c r="C195" s="102" t="s">
        <v>1329</v>
      </c>
      <c r="D195" t="s">
        <v>15</v>
      </c>
      <c r="E195" t="s">
        <v>657</v>
      </c>
      <c r="F195" t="s">
        <v>18</v>
      </c>
      <c r="G195" t="s">
        <v>122</v>
      </c>
      <c r="H195" t="s">
        <v>1228</v>
      </c>
      <c r="I195" t="s">
        <v>139</v>
      </c>
      <c r="J195" t="s">
        <v>287</v>
      </c>
      <c r="K195" s="28">
        <f t="shared" si="47"/>
        <v>0.1171858684484313</v>
      </c>
      <c r="L195" s="28">
        <f t="shared" si="51"/>
        <v>0.11724986264912746</v>
      </c>
      <c r="M195" s="28">
        <f t="shared" si="51"/>
        <v>0.11739315795736154</v>
      </c>
      <c r="N195" s="28">
        <f t="shared" si="51"/>
        <v>0.11760884747933324</v>
      </c>
      <c r="O195" s="28">
        <f t="shared" si="51"/>
        <v>0.11789981697079396</v>
      </c>
      <c r="P195" s="28">
        <f t="shared" si="51"/>
        <v>0.11826637517857025</v>
      </c>
      <c r="Q195" s="28">
        <f t="shared" si="51"/>
        <v>0.11867470616236446</v>
      </c>
      <c r="R195" s="28">
        <f t="shared" si="51"/>
        <v>0.11911724401941932</v>
      </c>
      <c r="S195" s="28">
        <f t="shared" si="51"/>
        <v>0.11953310214883348</v>
      </c>
      <c r="T195" s="28">
        <f t="shared" si="51"/>
        <v>0.11970681414230742</v>
      </c>
      <c r="U195" s="28">
        <f t="shared" si="51"/>
        <v>0.11990838567894911</v>
      </c>
      <c r="V195" s="28">
        <f t="shared" si="51"/>
        <v>0.12013777542784022</v>
      </c>
      <c r="W195" s="28">
        <f t="shared" si="51"/>
        <v>0.1203961718842316</v>
      </c>
      <c r="X195" s="28">
        <f t="shared" si="51"/>
        <v>0.12067943256873451</v>
      </c>
      <c r="Y195" s="28">
        <f t="shared" si="51"/>
        <v>0.12085380112251057</v>
      </c>
      <c r="Z195" s="28">
        <f t="shared" si="51"/>
        <v>0.12104857439732014</v>
      </c>
      <c r="AA195" s="28">
        <f t="shared" si="51"/>
        <v>0.1212644592147404</v>
      </c>
      <c r="AB195" s="28">
        <f t="shared" si="51"/>
        <v>0.12149813863258012</v>
      </c>
      <c r="AC195" s="28">
        <f t="shared" si="51"/>
        <v>0.12175044819305053</v>
      </c>
      <c r="AD195" s="28">
        <f t="shared" si="51"/>
        <v>0.12191654827812352</v>
      </c>
      <c r="AE195" s="28">
        <f t="shared" si="51"/>
        <v>0.12210011953046386</v>
      </c>
      <c r="AF195" s="28">
        <f t="shared" si="51"/>
        <v>0.12229951100214119</v>
      </c>
      <c r="AG195" s="28">
        <f t="shared" si="51"/>
        <v>0.12249214859428272</v>
      </c>
      <c r="AH195" s="28">
        <f t="shared" si="51"/>
        <v>0.12166856520731396</v>
      </c>
      <c r="AI195" s="28">
        <f t="shared" si="51"/>
        <v>0.12178552707040835</v>
      </c>
      <c r="AJ195" s="28">
        <f t="shared" si="51"/>
        <v>0.12191459506568997</v>
      </c>
      <c r="AK195" s="28">
        <f t="shared" si="51"/>
        <v>0.12205531183364191</v>
      </c>
      <c r="AL195" s="28">
        <f t="shared" si="51"/>
        <v>0.1222072553657907</v>
      </c>
      <c r="AM195" s="28">
        <f t="shared" si="51"/>
        <v>0.12237003565016037</v>
      </c>
      <c r="AN195" s="28">
        <f t="shared" si="51"/>
        <v>0.12244903306979282</v>
      </c>
      <c r="AO195" s="28">
        <f t="shared" si="51"/>
        <v>0.12253757835817966</v>
      </c>
      <c r="AP195" s="28">
        <f t="shared" si="51"/>
        <v>0.12263533922697641</v>
      </c>
      <c r="AQ195" s="28">
        <f t="shared" si="51"/>
        <v>0.12274200613087835</v>
      </c>
      <c r="AR195" s="28">
        <f t="shared" si="51"/>
        <v>0.12285729033548833</v>
      </c>
      <c r="AS195" s="28">
        <f t="shared" si="51"/>
        <v>0.12288572954642335</v>
      </c>
      <c r="AT195" s="28">
        <f t="shared" si="51"/>
        <v>0.12292181660779716</v>
      </c>
      <c r="AU195" s="28">
        <f t="shared" si="51"/>
        <v>0.12296529822294655</v>
      </c>
      <c r="AV195" s="28">
        <f t="shared" si="51"/>
        <v>0.12301593656260404</v>
      </c>
      <c r="AW195" s="28">
        <f t="shared" si="51"/>
        <v>0.12307350807543004</v>
      </c>
      <c r="AY195" s="85"/>
    </row>
    <row r="196" spans="1:51" x14ac:dyDescent="0.25">
      <c r="A196" s="102" t="str">
        <f t="shared" si="45"/>
        <v>FA Sheep MMN2O</v>
      </c>
      <c r="B196" s="102" t="s">
        <v>963</v>
      </c>
      <c r="C196" s="102" t="s">
        <v>1329</v>
      </c>
      <c r="D196" t="s">
        <v>15</v>
      </c>
      <c r="E196" t="s">
        <v>657</v>
      </c>
      <c r="F196" t="s">
        <v>18</v>
      </c>
      <c r="G196" t="s">
        <v>123</v>
      </c>
      <c r="H196" t="s">
        <v>1228</v>
      </c>
      <c r="I196" t="s">
        <v>139</v>
      </c>
      <c r="J196" t="s">
        <v>287</v>
      </c>
      <c r="K196" s="28">
        <f t="shared" si="47"/>
        <v>6.266414044546309E-2</v>
      </c>
      <c r="L196" s="28">
        <f t="shared" si="51"/>
        <v>6.2698360796715452E-2</v>
      </c>
      <c r="M196" s="28">
        <f t="shared" si="51"/>
        <v>6.2774986736679445E-2</v>
      </c>
      <c r="N196" s="28">
        <f t="shared" si="51"/>
        <v>6.2890324862994521E-2</v>
      </c>
      <c r="O196" s="28">
        <f t="shared" si="51"/>
        <v>6.3045918308856697E-2</v>
      </c>
      <c r="P196" s="28">
        <f t="shared" si="51"/>
        <v>6.324193217398956E-2</v>
      </c>
      <c r="Q196" s="28">
        <f t="shared" si="51"/>
        <v>6.346028367366699E-2</v>
      </c>
      <c r="R196" s="28">
        <f t="shared" si="51"/>
        <v>6.3696927006127543E-2</v>
      </c>
      <c r="S196" s="28">
        <f t="shared" si="51"/>
        <v>6.3919303582518794E-2</v>
      </c>
      <c r="T196" s="28">
        <f t="shared" si="51"/>
        <v>6.401219458465271E-2</v>
      </c>
      <c r="U196" s="28">
        <f t="shared" si="51"/>
        <v>6.4119983239113915E-2</v>
      </c>
      <c r="V196" s="28">
        <f t="shared" si="51"/>
        <v>6.4242647444547399E-2</v>
      </c>
      <c r="W196" s="28">
        <f t="shared" si="51"/>
        <v>6.4380822738619198E-2</v>
      </c>
      <c r="X196" s="28">
        <f t="shared" si="51"/>
        <v>6.4532293965921486E-2</v>
      </c>
      <c r="Y196" s="28">
        <f t="shared" si="51"/>
        <v>6.462553605805911E-2</v>
      </c>
      <c r="Z196" s="28">
        <f t="shared" si="51"/>
        <v>6.4729689400175275E-2</v>
      </c>
      <c r="AA196" s="28">
        <f t="shared" si="51"/>
        <v>6.4845131959060415E-2</v>
      </c>
      <c r="AB196" s="28">
        <f t="shared" si="51"/>
        <v>6.4970090028259403E-2</v>
      </c>
      <c r="AC196" s="28">
        <f t="shared" si="51"/>
        <v>6.5105010406820332E-2</v>
      </c>
      <c r="AD196" s="28">
        <f t="shared" si="51"/>
        <v>6.5193831006068584E-2</v>
      </c>
      <c r="AE196" s="28">
        <f t="shared" si="51"/>
        <v>6.5291994162520045E-2</v>
      </c>
      <c r="AF196" s="28">
        <f t="shared" si="51"/>
        <v>6.5398617045895405E-2</v>
      </c>
      <c r="AG196" s="28">
        <f t="shared" si="51"/>
        <v>6.5501628349978927E-2</v>
      </c>
      <c r="AH196" s="28">
        <f t="shared" si="51"/>
        <v>6.506122418083396E-2</v>
      </c>
      <c r="AI196" s="28">
        <f t="shared" si="51"/>
        <v>6.512376853633306E-2</v>
      </c>
      <c r="AJ196" s="28">
        <f t="shared" si="51"/>
        <v>6.5192786542432504E-2</v>
      </c>
      <c r="AK196" s="28">
        <f t="shared" si="51"/>
        <v>6.5268033630044034E-2</v>
      </c>
      <c r="AL196" s="28">
        <f t="shared" si="51"/>
        <v>6.534928413374741E-2</v>
      </c>
      <c r="AM196" s="28">
        <f t="shared" si="51"/>
        <v>6.5436329497975634E-2</v>
      </c>
      <c r="AN196" s="28">
        <f t="shared" si="51"/>
        <v>6.54785726921783E-2</v>
      </c>
      <c r="AO196" s="28">
        <f t="shared" si="51"/>
        <v>6.552592152750053E-2</v>
      </c>
      <c r="AP196" s="28">
        <f t="shared" si="51"/>
        <v>6.557819831559332E-2</v>
      </c>
      <c r="AQ196" s="28">
        <f t="shared" si="51"/>
        <v>6.5635237529753657E-2</v>
      </c>
      <c r="AR196" s="28">
        <f t="shared" si="51"/>
        <v>6.5696884771733188E-2</v>
      </c>
      <c r="AS196" s="28">
        <f t="shared" si="51"/>
        <v>6.5712092396439034E-2</v>
      </c>
      <c r="AT196" s="28">
        <f t="shared" si="51"/>
        <v>6.5731389643727739E-2</v>
      </c>
      <c r="AU196" s="28">
        <f t="shared" si="51"/>
        <v>6.5754641065376054E-2</v>
      </c>
      <c r="AV196" s="28">
        <f t="shared" si="51"/>
        <v>6.578171948421814E-2</v>
      </c>
      <c r="AW196" s="28">
        <f t="shared" si="51"/>
        <v>6.5812505358088025E-2</v>
      </c>
      <c r="AY196" s="85"/>
    </row>
    <row r="197" spans="1:51" x14ac:dyDescent="0.25">
      <c r="A197" s="102" t="str">
        <f t="shared" si="45"/>
        <v>FA Goats MMN2O</v>
      </c>
      <c r="B197" s="102" t="s">
        <v>963</v>
      </c>
      <c r="C197" s="102" t="s">
        <v>1330</v>
      </c>
      <c r="D197" t="s">
        <v>15</v>
      </c>
      <c r="E197" t="s">
        <v>657</v>
      </c>
      <c r="F197" t="s">
        <v>19</v>
      </c>
      <c r="G197" t="s">
        <v>122</v>
      </c>
      <c r="H197" t="s">
        <v>1228</v>
      </c>
      <c r="I197" t="s">
        <v>139</v>
      </c>
      <c r="J197" t="s">
        <v>287</v>
      </c>
      <c r="K197" s="28">
        <f t="shared" si="47"/>
        <v>1.4485648992970149E-2</v>
      </c>
      <c r="L197" s="28">
        <f t="shared" si="51"/>
        <v>1.4523430996818442E-2</v>
      </c>
      <c r="M197" s="28">
        <f t="shared" si="51"/>
        <v>1.4573778863725229E-2</v>
      </c>
      <c r="N197" s="28">
        <f t="shared" si="51"/>
        <v>1.4635573261684437E-2</v>
      </c>
      <c r="O197" s="28">
        <f t="shared" si="51"/>
        <v>1.4709556756482728E-2</v>
      </c>
      <c r="P197" s="28">
        <f t="shared" si="51"/>
        <v>1.4795926227225602E-2</v>
      </c>
      <c r="Q197" s="28">
        <f t="shared" si="51"/>
        <v>1.4888271114151717E-2</v>
      </c>
      <c r="R197" s="28">
        <f t="shared" si="51"/>
        <v>1.4985270961083385E-2</v>
      </c>
      <c r="S197" s="28">
        <f t="shared" si="51"/>
        <v>1.5075379558400602E-2</v>
      </c>
      <c r="T197" s="28">
        <f t="shared" si="51"/>
        <v>1.5117607192403527E-2</v>
      </c>
      <c r="U197" s="28">
        <f t="shared" si="51"/>
        <v>1.5163912133825485E-2</v>
      </c>
      <c r="V197" s="28">
        <f t="shared" si="51"/>
        <v>1.5214353144806386E-2</v>
      </c>
      <c r="W197" s="28">
        <f t="shared" si="51"/>
        <v>1.5269211713136204E-2</v>
      </c>
      <c r="X197" s="28">
        <f t="shared" si="51"/>
        <v>1.5327749231318039E-2</v>
      </c>
      <c r="Y197" s="28">
        <f t="shared" si="51"/>
        <v>1.5364750505414648E-2</v>
      </c>
      <c r="Z197" s="28">
        <f t="shared" si="51"/>
        <v>1.5404784002427285E-2</v>
      </c>
      <c r="AA197" s="28">
        <f t="shared" si="51"/>
        <v>1.5448015343528085E-2</v>
      </c>
      <c r="AB197" s="28">
        <f t="shared" si="51"/>
        <v>1.5493849362144254E-2</v>
      </c>
      <c r="AC197" s="28">
        <f t="shared" si="51"/>
        <v>1.5542469399401562E-2</v>
      </c>
      <c r="AD197" s="28">
        <f t="shared" si="51"/>
        <v>1.5574312295454071E-2</v>
      </c>
      <c r="AE197" s="28">
        <f t="shared" si="51"/>
        <v>1.5608846144431889E-2</v>
      </c>
      <c r="AF197" s="28">
        <f t="shared" si="51"/>
        <v>1.5645779000697076E-2</v>
      </c>
      <c r="AG197" s="28">
        <f t="shared" si="51"/>
        <v>1.5680933682266716E-2</v>
      </c>
      <c r="AH197" s="28">
        <f t="shared" si="51"/>
        <v>1.552725676648822E-2</v>
      </c>
      <c r="AI197" s="28">
        <f t="shared" si="51"/>
        <v>1.5547818779843832E-2</v>
      </c>
      <c r="AJ197" s="28">
        <f t="shared" si="51"/>
        <v>1.5570224487070797E-2</v>
      </c>
      <c r="AK197" s="28">
        <f t="shared" si="51"/>
        <v>1.5594399014227253E-2</v>
      </c>
      <c r="AL197" s="28">
        <f t="shared" si="51"/>
        <v>1.5620273295013296E-2</v>
      </c>
      <c r="AM197" s="28">
        <f t="shared" si="51"/>
        <v>1.5647783514700201E-2</v>
      </c>
      <c r="AN197" s="28">
        <f t="shared" si="51"/>
        <v>1.5659592232765602E-2</v>
      </c>
      <c r="AO197" s="28">
        <f t="shared" si="51"/>
        <v>1.5672874713872142E-2</v>
      </c>
      <c r="AP197" s="28">
        <f t="shared" si="51"/>
        <v>1.5687575397224301E-2</v>
      </c>
      <c r="AQ197" s="28">
        <f t="shared" si="51"/>
        <v>1.5703642533627795E-2</v>
      </c>
      <c r="AR197" s="28">
        <f t="shared" si="51"/>
        <v>1.5721027858938724E-2</v>
      </c>
      <c r="AS197" s="28">
        <f t="shared" si="51"/>
        <v>1.572238426100139E-2</v>
      </c>
      <c r="AT197" s="28">
        <f t="shared" si="51"/>
        <v>1.5724946955034496E-2</v>
      </c>
      <c r="AU197" s="28">
        <f t="shared" si="51"/>
        <v>1.5728672619393889E-2</v>
      </c>
      <c r="AV197" s="28">
        <f t="shared" si="51"/>
        <v>1.5733520584102465E-2</v>
      </c>
      <c r="AW197" s="28">
        <f t="shared" si="51"/>
        <v>1.5739452625419498E-2</v>
      </c>
      <c r="AY197" s="85"/>
    </row>
    <row r="198" spans="1:51" x14ac:dyDescent="0.25">
      <c r="A198" s="102" t="str">
        <f t="shared" si="45"/>
        <v>FA Goats MMN2O</v>
      </c>
      <c r="B198" s="102" t="s">
        <v>963</v>
      </c>
      <c r="C198" s="102" t="s">
        <v>1330</v>
      </c>
      <c r="D198" t="s">
        <v>15</v>
      </c>
      <c r="E198" t="s">
        <v>657</v>
      </c>
      <c r="F198" t="s">
        <v>19</v>
      </c>
      <c r="G198" t="s">
        <v>123</v>
      </c>
      <c r="H198" t="s">
        <v>1228</v>
      </c>
      <c r="I198" t="s">
        <v>139</v>
      </c>
      <c r="J198" t="s">
        <v>287</v>
      </c>
      <c r="K198" s="28">
        <f t="shared" si="47"/>
        <v>0.1148405820648936</v>
      </c>
      <c r="L198" s="28">
        <f t="shared" si="51"/>
        <v>0.11514011350567485</v>
      </c>
      <c r="M198" s="28">
        <f t="shared" si="51"/>
        <v>0.1155392656833997</v>
      </c>
      <c r="N198" s="28">
        <f t="shared" si="51"/>
        <v>0.11602916466089314</v>
      </c>
      <c r="O198" s="28">
        <f t="shared" si="51"/>
        <v>0.11661569741548039</v>
      </c>
      <c r="P198" s="28">
        <f t="shared" si="51"/>
        <v>0.11730042478237726</v>
      </c>
      <c r="Q198" s="28">
        <f t="shared" si="51"/>
        <v>0.11803252457096508</v>
      </c>
      <c r="R198" s="28">
        <f t="shared" si="51"/>
        <v>0.11880152835445074</v>
      </c>
      <c r="S198" s="28">
        <f t="shared" si="51"/>
        <v>0.11951589909268844</v>
      </c>
      <c r="T198" s="28">
        <f t="shared" si="51"/>
        <v>0.11985067498505422</v>
      </c>
      <c r="U198" s="28">
        <f t="shared" si="51"/>
        <v>0.12021777530813667</v>
      </c>
      <c r="V198" s="28">
        <f t="shared" si="51"/>
        <v>0.12061766592151543</v>
      </c>
      <c r="W198" s="28">
        <f t="shared" si="51"/>
        <v>0.12105257842845937</v>
      </c>
      <c r="X198" s="28">
        <f t="shared" si="51"/>
        <v>0.12151665723251566</v>
      </c>
      <c r="Y198" s="28">
        <f t="shared" si="51"/>
        <v>0.12180999913638614</v>
      </c>
      <c r="Z198" s="28">
        <f t="shared" si="51"/>
        <v>0.12212738015958056</v>
      </c>
      <c r="AA198" s="28">
        <f t="shared" si="51"/>
        <v>0.12247011332796476</v>
      </c>
      <c r="AB198" s="28">
        <f t="shared" si="51"/>
        <v>0.12283348022846115</v>
      </c>
      <c r="AC198" s="28">
        <f t="shared" si="51"/>
        <v>0.12321893436871788</v>
      </c>
      <c r="AD198" s="28">
        <f t="shared" si="51"/>
        <v>0.12347138123658526</v>
      </c>
      <c r="AE198" s="28">
        <f t="shared" si="51"/>
        <v>0.12374516167400154</v>
      </c>
      <c r="AF198" s="28">
        <f t="shared" si="51"/>
        <v>0.12403796116906533</v>
      </c>
      <c r="AG198" s="28">
        <f t="shared" si="51"/>
        <v>0.12431666349684663</v>
      </c>
      <c r="AH198" s="28">
        <f t="shared" si="51"/>
        <v>0.12309833034059625</v>
      </c>
      <c r="AI198" s="28">
        <f t="shared" si="51"/>
        <v>0.12326134365006759</v>
      </c>
      <c r="AJ198" s="28">
        <f t="shared" si="51"/>
        <v>0.12343897355541526</v>
      </c>
      <c r="AK198" s="28">
        <f t="shared" si="51"/>
        <v>0.12363062646452125</v>
      </c>
      <c r="AL198" s="28">
        <f t="shared" si="51"/>
        <v>0.12383575482759435</v>
      </c>
      <c r="AM198" s="28">
        <f t="shared" si="51"/>
        <v>0.12405385272870395</v>
      </c>
      <c r="AN198" s="28">
        <f t="shared" si="51"/>
        <v>0.12414747090602753</v>
      </c>
      <c r="AO198" s="28">
        <f t="shared" si="51"/>
        <v>0.12425277290956782</v>
      </c>
      <c r="AP198" s="28">
        <f t="shared" si="51"/>
        <v>0.12436931825964037</v>
      </c>
      <c r="AQ198" s="28">
        <f t="shared" si="51"/>
        <v>0.12449669669450293</v>
      </c>
      <c r="AR198" s="28">
        <f t="shared" si="51"/>
        <v>0.12463452558149747</v>
      </c>
      <c r="AS198" s="28">
        <f t="shared" si="51"/>
        <v>0.12464527898318946</v>
      </c>
      <c r="AT198" s="28">
        <f t="shared" si="51"/>
        <v>0.12466559573078972</v>
      </c>
      <c r="AU198" s="28">
        <f t="shared" si="51"/>
        <v>0.12469513237521754</v>
      </c>
      <c r="AV198" s="28">
        <f t="shared" ref="L198:AW205" si="52">AV1420</f>
        <v>0.1247335664895077</v>
      </c>
      <c r="AW198" s="28">
        <f t="shared" si="52"/>
        <v>0.12478059504017958</v>
      </c>
      <c r="AY198" s="85"/>
    </row>
    <row r="199" spans="1:51" x14ac:dyDescent="0.25">
      <c r="A199" s="102" t="str">
        <f t="shared" si="45"/>
        <v>FA Horses MMN2O</v>
      </c>
      <c r="B199" s="102" t="s">
        <v>963</v>
      </c>
      <c r="C199" s="102" t="s">
        <v>1331</v>
      </c>
      <c r="D199" t="s">
        <v>15</v>
      </c>
      <c r="E199" t="s">
        <v>657</v>
      </c>
      <c r="F199" t="s">
        <v>20</v>
      </c>
      <c r="G199" t="s">
        <v>3</v>
      </c>
      <c r="H199" t="s">
        <v>1228</v>
      </c>
      <c r="I199" t="s">
        <v>139</v>
      </c>
      <c r="J199" t="s">
        <v>287</v>
      </c>
      <c r="K199" s="28" t="str">
        <f t="shared" si="47"/>
        <v>NO</v>
      </c>
      <c r="L199" s="28" t="str">
        <f t="shared" si="52"/>
        <v>NO</v>
      </c>
      <c r="M199" s="28" t="str">
        <f t="shared" si="52"/>
        <v>NO</v>
      </c>
      <c r="N199" s="28" t="str">
        <f t="shared" si="52"/>
        <v>NO</v>
      </c>
      <c r="O199" s="28" t="str">
        <f t="shared" si="52"/>
        <v>NO</v>
      </c>
      <c r="P199" s="28" t="str">
        <f t="shared" si="52"/>
        <v>NO</v>
      </c>
      <c r="Q199" s="28" t="str">
        <f t="shared" si="52"/>
        <v>NO</v>
      </c>
      <c r="R199" s="28" t="str">
        <f t="shared" si="52"/>
        <v>NO</v>
      </c>
      <c r="S199" s="28" t="str">
        <f t="shared" si="52"/>
        <v>NO</v>
      </c>
      <c r="T199" s="28" t="str">
        <f t="shared" si="52"/>
        <v>NO</v>
      </c>
      <c r="U199" s="28" t="str">
        <f t="shared" si="52"/>
        <v>NO</v>
      </c>
      <c r="V199" s="28" t="str">
        <f t="shared" si="52"/>
        <v>NO</v>
      </c>
      <c r="W199" s="28" t="str">
        <f t="shared" si="52"/>
        <v>NO</v>
      </c>
      <c r="X199" s="28" t="str">
        <f t="shared" si="52"/>
        <v>NO</v>
      </c>
      <c r="Y199" s="28" t="str">
        <f t="shared" si="52"/>
        <v>NO</v>
      </c>
      <c r="Z199" s="28" t="str">
        <f t="shared" si="52"/>
        <v>NO</v>
      </c>
      <c r="AA199" s="28" t="str">
        <f t="shared" si="52"/>
        <v>NO</v>
      </c>
      <c r="AB199" s="28" t="str">
        <f t="shared" si="52"/>
        <v>NO</v>
      </c>
      <c r="AC199" s="28" t="str">
        <f t="shared" si="52"/>
        <v>NO</v>
      </c>
      <c r="AD199" s="28" t="str">
        <f t="shared" si="52"/>
        <v>NO</v>
      </c>
      <c r="AE199" s="28" t="str">
        <f t="shared" si="52"/>
        <v>NO</v>
      </c>
      <c r="AF199" s="28" t="str">
        <f t="shared" si="52"/>
        <v>NO</v>
      </c>
      <c r="AG199" s="28" t="str">
        <f t="shared" si="52"/>
        <v>NO</v>
      </c>
      <c r="AH199" s="28" t="str">
        <f t="shared" si="52"/>
        <v>NO</v>
      </c>
      <c r="AI199" s="28" t="str">
        <f t="shared" si="52"/>
        <v>NO</v>
      </c>
      <c r="AJ199" s="28" t="str">
        <f t="shared" si="52"/>
        <v>NO</v>
      </c>
      <c r="AK199" s="28" t="str">
        <f t="shared" si="52"/>
        <v>NO</v>
      </c>
      <c r="AL199" s="28" t="str">
        <f t="shared" si="52"/>
        <v>NO</v>
      </c>
      <c r="AM199" s="28" t="str">
        <f t="shared" si="52"/>
        <v>NO</v>
      </c>
      <c r="AN199" s="28" t="str">
        <f t="shared" si="52"/>
        <v>NO</v>
      </c>
      <c r="AO199" s="28" t="str">
        <f t="shared" si="52"/>
        <v>NO</v>
      </c>
      <c r="AP199" s="28" t="str">
        <f t="shared" si="52"/>
        <v>NO</v>
      </c>
      <c r="AQ199" s="28" t="str">
        <f t="shared" si="52"/>
        <v>NO</v>
      </c>
      <c r="AR199" s="28" t="str">
        <f t="shared" si="52"/>
        <v>NO</v>
      </c>
      <c r="AS199" s="28" t="str">
        <f t="shared" si="52"/>
        <v>NO</v>
      </c>
      <c r="AT199" s="28" t="str">
        <f t="shared" si="52"/>
        <v>NO</v>
      </c>
      <c r="AU199" s="28" t="str">
        <f t="shared" si="52"/>
        <v>NO</v>
      </c>
      <c r="AV199" s="28" t="str">
        <f t="shared" si="52"/>
        <v>NO</v>
      </c>
      <c r="AW199" s="28" t="str">
        <f t="shared" si="52"/>
        <v>NO</v>
      </c>
      <c r="AY199" s="85"/>
    </row>
    <row r="200" spans="1:51" x14ac:dyDescent="0.25">
      <c r="A200" s="102" t="str">
        <f t="shared" si="45"/>
        <v>FA Mules MMN2O</v>
      </c>
      <c r="B200" s="102" t="s">
        <v>963</v>
      </c>
      <c r="C200" s="102" t="s">
        <v>1332</v>
      </c>
      <c r="D200" t="s">
        <v>15</v>
      </c>
      <c r="E200" t="s">
        <v>657</v>
      </c>
      <c r="F200" t="s">
        <v>140</v>
      </c>
      <c r="G200" t="s">
        <v>124</v>
      </c>
      <c r="H200" t="s">
        <v>1228</v>
      </c>
      <c r="I200" t="s">
        <v>139</v>
      </c>
      <c r="J200" t="s">
        <v>287</v>
      </c>
      <c r="K200" s="28" t="str">
        <f t="shared" si="47"/>
        <v>NO</v>
      </c>
      <c r="L200" s="28" t="str">
        <f t="shared" si="52"/>
        <v>NO</v>
      </c>
      <c r="M200" s="28" t="str">
        <f t="shared" si="52"/>
        <v>NO</v>
      </c>
      <c r="N200" s="28" t="str">
        <f t="shared" si="52"/>
        <v>NO</v>
      </c>
      <c r="O200" s="28" t="str">
        <f t="shared" si="52"/>
        <v>NO</v>
      </c>
      <c r="P200" s="28" t="str">
        <f t="shared" si="52"/>
        <v>NO</v>
      </c>
      <c r="Q200" s="28" t="str">
        <f t="shared" si="52"/>
        <v>NO</v>
      </c>
      <c r="R200" s="28" t="str">
        <f t="shared" si="52"/>
        <v>NO</v>
      </c>
      <c r="S200" s="28" t="str">
        <f t="shared" si="52"/>
        <v>NO</v>
      </c>
      <c r="T200" s="28" t="str">
        <f t="shared" si="52"/>
        <v>NO</v>
      </c>
      <c r="U200" s="28" t="str">
        <f t="shared" si="52"/>
        <v>NO</v>
      </c>
      <c r="V200" s="28" t="str">
        <f t="shared" si="52"/>
        <v>NO</v>
      </c>
      <c r="W200" s="28" t="str">
        <f t="shared" si="52"/>
        <v>NO</v>
      </c>
      <c r="X200" s="28" t="str">
        <f t="shared" si="52"/>
        <v>NO</v>
      </c>
      <c r="Y200" s="28" t="str">
        <f t="shared" si="52"/>
        <v>NO</v>
      </c>
      <c r="Z200" s="28" t="str">
        <f t="shared" si="52"/>
        <v>NO</v>
      </c>
      <c r="AA200" s="28" t="str">
        <f t="shared" si="52"/>
        <v>NO</v>
      </c>
      <c r="AB200" s="28" t="str">
        <f t="shared" si="52"/>
        <v>NO</v>
      </c>
      <c r="AC200" s="28" t="str">
        <f t="shared" si="52"/>
        <v>NO</v>
      </c>
      <c r="AD200" s="28" t="str">
        <f t="shared" si="52"/>
        <v>NO</v>
      </c>
      <c r="AE200" s="28" t="str">
        <f t="shared" si="52"/>
        <v>NO</v>
      </c>
      <c r="AF200" s="28" t="str">
        <f t="shared" si="52"/>
        <v>NO</v>
      </c>
      <c r="AG200" s="28" t="str">
        <f t="shared" si="52"/>
        <v>NO</v>
      </c>
      <c r="AH200" s="28" t="str">
        <f t="shared" si="52"/>
        <v>NO</v>
      </c>
      <c r="AI200" s="28" t="str">
        <f t="shared" si="52"/>
        <v>NO</v>
      </c>
      <c r="AJ200" s="28" t="str">
        <f t="shared" si="52"/>
        <v>NO</v>
      </c>
      <c r="AK200" s="28" t="str">
        <f t="shared" si="52"/>
        <v>NO</v>
      </c>
      <c r="AL200" s="28" t="str">
        <f t="shared" si="52"/>
        <v>NO</v>
      </c>
      <c r="AM200" s="28" t="str">
        <f t="shared" si="52"/>
        <v>NO</v>
      </c>
      <c r="AN200" s="28" t="str">
        <f t="shared" si="52"/>
        <v>NO</v>
      </c>
      <c r="AO200" s="28" t="str">
        <f t="shared" si="52"/>
        <v>NO</v>
      </c>
      <c r="AP200" s="28" t="str">
        <f t="shared" si="52"/>
        <v>NO</v>
      </c>
      <c r="AQ200" s="28" t="str">
        <f t="shared" si="52"/>
        <v>NO</v>
      </c>
      <c r="AR200" s="28" t="str">
        <f t="shared" si="52"/>
        <v>NO</v>
      </c>
      <c r="AS200" s="28" t="str">
        <f t="shared" si="52"/>
        <v>NO</v>
      </c>
      <c r="AT200" s="28" t="str">
        <f t="shared" si="52"/>
        <v>NO</v>
      </c>
      <c r="AU200" s="28" t="str">
        <f t="shared" si="52"/>
        <v>NO</v>
      </c>
      <c r="AV200" s="28" t="str">
        <f t="shared" si="52"/>
        <v>NO</v>
      </c>
      <c r="AW200" s="28" t="str">
        <f t="shared" si="52"/>
        <v>NO</v>
      </c>
      <c r="AY200" s="85"/>
    </row>
    <row r="201" spans="1:51" x14ac:dyDescent="0.25">
      <c r="A201" s="102" t="str">
        <f t="shared" si="45"/>
        <v>FA Swine MMN2O</v>
      </c>
      <c r="B201" s="102" t="s">
        <v>963</v>
      </c>
      <c r="C201" s="102" t="s">
        <v>1234</v>
      </c>
      <c r="D201" t="s">
        <v>15</v>
      </c>
      <c r="E201" t="s">
        <v>657</v>
      </c>
      <c r="F201" t="s">
        <v>21</v>
      </c>
      <c r="G201" t="s">
        <v>122</v>
      </c>
      <c r="H201" t="s">
        <v>1228</v>
      </c>
      <c r="I201" t="s">
        <v>139</v>
      </c>
      <c r="J201" t="s">
        <v>287</v>
      </c>
      <c r="K201" s="28">
        <f t="shared" si="47"/>
        <v>9.8212070321961289E-2</v>
      </c>
      <c r="L201" s="28">
        <f t="shared" si="52"/>
        <v>9.7902077304524535E-2</v>
      </c>
      <c r="M201" s="28">
        <f t="shared" si="52"/>
        <v>9.6876932731570997E-2</v>
      </c>
      <c r="N201" s="28">
        <f t="shared" si="52"/>
        <v>9.4886481944047557E-2</v>
      </c>
      <c r="O201" s="28">
        <f t="shared" si="52"/>
        <v>9.2983120414683651E-2</v>
      </c>
      <c r="P201" s="28">
        <f t="shared" si="52"/>
        <v>9.1647887851288232E-2</v>
      </c>
      <c r="Q201" s="28">
        <f t="shared" si="52"/>
        <v>9.0517057242200105E-2</v>
      </c>
      <c r="R201" s="28">
        <f t="shared" si="52"/>
        <v>8.8434751995252456E-2</v>
      </c>
      <c r="S201" s="28">
        <f t="shared" si="52"/>
        <v>7.7417928691120311E-2</v>
      </c>
      <c r="T201" s="28">
        <f t="shared" si="52"/>
        <v>7.7909888126779042E-2</v>
      </c>
      <c r="U201" s="28">
        <f t="shared" si="52"/>
        <v>7.8156831608476335E-2</v>
      </c>
      <c r="V201" s="28">
        <f t="shared" si="52"/>
        <v>7.8396909010436708E-2</v>
      </c>
      <c r="W201" s="28">
        <f t="shared" si="52"/>
        <v>7.8983322674416961E-2</v>
      </c>
      <c r="X201" s="28">
        <f t="shared" si="52"/>
        <v>7.9550022093927919E-2</v>
      </c>
      <c r="Y201" s="28">
        <f t="shared" si="52"/>
        <v>8.0200171515553365E-2</v>
      </c>
      <c r="Z201" s="28">
        <f t="shared" si="52"/>
        <v>8.0745873399241927E-2</v>
      </c>
      <c r="AA201" s="28">
        <f t="shared" si="52"/>
        <v>8.1401680108403665E-2</v>
      </c>
      <c r="AB201" s="28">
        <f t="shared" si="52"/>
        <v>8.1879069709822755E-2</v>
      </c>
      <c r="AC201" s="28">
        <f t="shared" si="52"/>
        <v>8.2381241768892818E-2</v>
      </c>
      <c r="AD201" s="28">
        <f t="shared" si="52"/>
        <v>8.3307469914568902E-2</v>
      </c>
      <c r="AE201" s="28">
        <f t="shared" si="52"/>
        <v>8.4389455604936589E-2</v>
      </c>
      <c r="AF201" s="28">
        <f t="shared" si="52"/>
        <v>8.5509115768420865E-2</v>
      </c>
      <c r="AG201" s="28">
        <f t="shared" si="52"/>
        <v>8.4250717613193291E-2</v>
      </c>
      <c r="AH201" s="28">
        <f t="shared" si="52"/>
        <v>-2.8426820502850808E-2</v>
      </c>
      <c r="AI201" s="28">
        <f t="shared" si="52"/>
        <v>-2.8115877001178527E-2</v>
      </c>
      <c r="AJ201" s="28">
        <f t="shared" si="52"/>
        <v>-2.7811593466985605E-2</v>
      </c>
      <c r="AK201" s="28">
        <f t="shared" si="52"/>
        <v>-2.7513534213570397E-2</v>
      </c>
      <c r="AL201" s="28">
        <f t="shared" si="52"/>
        <v>-2.7221295455261082E-2</v>
      </c>
      <c r="AM201" s="28">
        <f t="shared" si="52"/>
        <v>-2.6934502222400951E-2</v>
      </c>
      <c r="AN201" s="28">
        <f t="shared" si="52"/>
        <v>-2.6619947187312407E-2</v>
      </c>
      <c r="AO201" s="28">
        <f t="shared" si="52"/>
        <v>-2.6310938201629927E-2</v>
      </c>
      <c r="AP201" s="28">
        <f t="shared" si="52"/>
        <v>-2.600715135070272E-2</v>
      </c>
      <c r="AQ201" s="28">
        <f t="shared" si="52"/>
        <v>-2.5708283877268884E-2</v>
      </c>
      <c r="AR201" s="28">
        <f t="shared" si="52"/>
        <v>-2.5414052353403601E-2</v>
      </c>
      <c r="AS201" s="28">
        <f t="shared" si="52"/>
        <v>-2.5093405862334557E-2</v>
      </c>
      <c r="AT201" s="28">
        <f t="shared" si="52"/>
        <v>-2.4777656809122427E-2</v>
      </c>
      <c r="AU201" s="28">
        <f t="shared" si="52"/>
        <v>-2.4466553104711776E-2</v>
      </c>
      <c r="AV201" s="28">
        <f t="shared" si="52"/>
        <v>-2.415985755435068E-2</v>
      </c>
      <c r="AW201" s="28">
        <f t="shared" si="52"/>
        <v>-2.3857346696324909E-2</v>
      </c>
      <c r="AY201" s="85"/>
    </row>
    <row r="202" spans="1:51" x14ac:dyDescent="0.25">
      <c r="A202" s="102" t="str">
        <f t="shared" si="45"/>
        <v>FA Swine MMN2O</v>
      </c>
      <c r="B202" s="102" t="s">
        <v>963</v>
      </c>
      <c r="C202" s="102" t="s">
        <v>1234</v>
      </c>
      <c r="D202" t="s">
        <v>15</v>
      </c>
      <c r="E202" t="s">
        <v>657</v>
      </c>
      <c r="F202" t="s">
        <v>21</v>
      </c>
      <c r="G202" t="s">
        <v>123</v>
      </c>
      <c r="H202" t="s">
        <v>1228</v>
      </c>
      <c r="I202" t="s">
        <v>139</v>
      </c>
      <c r="J202" t="s">
        <v>287</v>
      </c>
      <c r="K202" s="28">
        <f t="shared" si="47"/>
        <v>3.8422550388835235E-2</v>
      </c>
      <c r="L202" s="28">
        <f t="shared" si="52"/>
        <v>3.8301274844051346E-2</v>
      </c>
      <c r="M202" s="28">
        <f t="shared" si="52"/>
        <v>3.7900217531227944E-2</v>
      </c>
      <c r="N202" s="28">
        <f t="shared" si="52"/>
        <v>3.712151288291534E-2</v>
      </c>
      <c r="O202" s="28">
        <f t="shared" si="52"/>
        <v>3.6376879315672413E-2</v>
      </c>
      <c r="P202" s="28">
        <f t="shared" si="52"/>
        <v>3.5854509302702606E-2</v>
      </c>
      <c r="Q202" s="28">
        <f t="shared" si="52"/>
        <v>3.5412105472740686E-2</v>
      </c>
      <c r="R202" s="28">
        <f t="shared" si="52"/>
        <v>3.4597465500143629E-2</v>
      </c>
      <c r="S202" s="28">
        <f t="shared" si="52"/>
        <v>3.0287461168290553E-2</v>
      </c>
      <c r="T202" s="28">
        <f t="shared" si="52"/>
        <v>3.0479925660118236E-2</v>
      </c>
      <c r="U202" s="28">
        <f t="shared" si="52"/>
        <v>3.0576534949970324E-2</v>
      </c>
      <c r="V202" s="28">
        <f t="shared" si="52"/>
        <v>3.0670458090413286E-2</v>
      </c>
      <c r="W202" s="28">
        <f t="shared" si="52"/>
        <v>3.0899874988755002E-2</v>
      </c>
      <c r="X202" s="28">
        <f t="shared" si="52"/>
        <v>3.1121579275510219E-2</v>
      </c>
      <c r="Y202" s="28">
        <f t="shared" si="52"/>
        <v>3.1375930892687053E-2</v>
      </c>
      <c r="Z202" s="28">
        <f t="shared" si="52"/>
        <v>3.1589420518295906E-2</v>
      </c>
      <c r="AA202" s="28">
        <f t="shared" si="52"/>
        <v>3.1845985380898841E-2</v>
      </c>
      <c r="AB202" s="28">
        <f t="shared" si="52"/>
        <v>3.2032749858579623E-2</v>
      </c>
      <c r="AC202" s="28">
        <f t="shared" si="52"/>
        <v>3.222920973545864E-2</v>
      </c>
      <c r="AD202" s="28">
        <f t="shared" si="52"/>
        <v>3.2591568939191247E-2</v>
      </c>
      <c r="AE202" s="28">
        <f t="shared" si="52"/>
        <v>3.3014863647997064E-2</v>
      </c>
      <c r="AF202" s="28">
        <f t="shared" si="52"/>
        <v>3.345289737347313E-2</v>
      </c>
      <c r="AG202" s="28">
        <f t="shared" si="52"/>
        <v>3.2960586536628499E-2</v>
      </c>
      <c r="AH202" s="28">
        <f t="shared" si="52"/>
        <v>-1.112114773249949E-2</v>
      </c>
      <c r="AI202" s="28">
        <f t="shared" si="52"/>
        <v>-1.0999500339038397E-2</v>
      </c>
      <c r="AJ202" s="28">
        <f t="shared" si="52"/>
        <v>-1.0880458459698174E-2</v>
      </c>
      <c r="AK202" s="28">
        <f t="shared" si="52"/>
        <v>-1.0763851645019877E-2</v>
      </c>
      <c r="AL202" s="28">
        <f t="shared" si="52"/>
        <v>-1.0649521925873338E-2</v>
      </c>
      <c r="AM202" s="28">
        <f t="shared" si="52"/>
        <v>-1.0537322606536911E-2</v>
      </c>
      <c r="AN202" s="28">
        <f t="shared" si="52"/>
        <v>-1.0414262308081425E-2</v>
      </c>
      <c r="AO202" s="28">
        <f t="shared" si="52"/>
        <v>-1.0293371736443279E-2</v>
      </c>
      <c r="AP202" s="28">
        <f t="shared" si="52"/>
        <v>-1.0174524169652843E-2</v>
      </c>
      <c r="AQ202" s="28">
        <f t="shared" si="52"/>
        <v>-1.0057601162939404E-2</v>
      </c>
      <c r="AR202" s="28">
        <f t="shared" si="52"/>
        <v>-9.9424918335602689E-3</v>
      </c>
      <c r="AS202" s="28">
        <f t="shared" si="52"/>
        <v>-9.8170484341927999E-3</v>
      </c>
      <c r="AT202" s="28">
        <f t="shared" si="52"/>
        <v>-9.6935210116723403E-3</v>
      </c>
      <c r="AU202" s="28">
        <f t="shared" si="52"/>
        <v>-9.5718109436564065E-3</v>
      </c>
      <c r="AV202" s="28">
        <f t="shared" si="52"/>
        <v>-9.4518254347556157E-3</v>
      </c>
      <c r="AW202" s="28">
        <f t="shared" si="52"/>
        <v>-9.3334770622229783E-3</v>
      </c>
      <c r="AY202" s="85"/>
    </row>
    <row r="203" spans="1:51" x14ac:dyDescent="0.25">
      <c r="A203" s="102" t="str">
        <f t="shared" si="45"/>
        <v>FA Poultry MMN2O</v>
      </c>
      <c r="B203" s="102" t="s">
        <v>963</v>
      </c>
      <c r="C203" s="102" t="s">
        <v>1235</v>
      </c>
      <c r="D203" t="s">
        <v>15</v>
      </c>
      <c r="E203" t="s">
        <v>657</v>
      </c>
      <c r="F203" t="s">
        <v>28</v>
      </c>
      <c r="G203" t="s">
        <v>131</v>
      </c>
      <c r="H203" t="s">
        <v>1228</v>
      </c>
      <c r="I203" t="s">
        <v>139</v>
      </c>
      <c r="J203" t="s">
        <v>287</v>
      </c>
      <c r="K203" s="28">
        <f t="shared" si="47"/>
        <v>0.32963485119754937</v>
      </c>
      <c r="L203" s="28">
        <f t="shared" si="52"/>
        <v>0.3367733222576253</v>
      </c>
      <c r="M203" s="28">
        <f t="shared" si="52"/>
        <v>0.34252519941326248</v>
      </c>
      <c r="N203" s="28">
        <f t="shared" si="52"/>
        <v>0.34628339258632435</v>
      </c>
      <c r="O203" s="28">
        <f t="shared" si="52"/>
        <v>0.35009259651269609</v>
      </c>
      <c r="P203" s="28">
        <f t="shared" si="52"/>
        <v>0.35500337907845531</v>
      </c>
      <c r="Q203" s="28">
        <f t="shared" si="52"/>
        <v>0.36025498659562288</v>
      </c>
      <c r="R203" s="28">
        <f t="shared" si="52"/>
        <v>0.36330907698293946</v>
      </c>
      <c r="S203" s="28">
        <f t="shared" si="52"/>
        <v>0.34573940681489368</v>
      </c>
      <c r="T203" s="28">
        <f t="shared" si="52"/>
        <v>0.35316196495857255</v>
      </c>
      <c r="U203" s="28">
        <f t="shared" si="52"/>
        <v>0.36009092327704184</v>
      </c>
      <c r="V203" s="28">
        <f t="shared" si="52"/>
        <v>0.36707458200076865</v>
      </c>
      <c r="W203" s="28">
        <f t="shared" si="52"/>
        <v>0.37500055316657199</v>
      </c>
      <c r="X203" s="28">
        <f t="shared" si="52"/>
        <v>0.38299236324087566</v>
      </c>
      <c r="Y203" s="28">
        <f t="shared" si="52"/>
        <v>0.39099432975561715</v>
      </c>
      <c r="Z203" s="28">
        <f t="shared" si="52"/>
        <v>0.398841954270029</v>
      </c>
      <c r="AA203" s="28">
        <f t="shared" si="52"/>
        <v>0.40710661573230994</v>
      </c>
      <c r="AB203" s="28">
        <f t="shared" si="52"/>
        <v>0.41500811589686409</v>
      </c>
      <c r="AC203" s="28">
        <f t="shared" si="52"/>
        <v>0.42309700830126501</v>
      </c>
      <c r="AD203" s="28">
        <f t="shared" si="52"/>
        <v>0.43226826232979193</v>
      </c>
      <c r="AE203" s="28">
        <f t="shared" si="52"/>
        <v>0.44207160383339156</v>
      </c>
      <c r="AF203" s="28">
        <f t="shared" si="52"/>
        <v>0.45218336296465478</v>
      </c>
      <c r="AG203" s="28">
        <f t="shared" si="52"/>
        <v>0.4551931213650493</v>
      </c>
      <c r="AH203" s="28">
        <f t="shared" si="52"/>
        <v>0.10910564018941009</v>
      </c>
      <c r="AI203" s="28">
        <f t="shared" si="52"/>
        <v>0.10994420930696339</v>
      </c>
      <c r="AJ203" s="28">
        <f t="shared" si="52"/>
        <v>0.11078888384654588</v>
      </c>
      <c r="AK203" s="28">
        <f t="shared" si="52"/>
        <v>0.11163971029926273</v>
      </c>
      <c r="AL203" s="28">
        <f t="shared" si="52"/>
        <v>0.11249673536734303</v>
      </c>
      <c r="AM203" s="28">
        <f t="shared" si="52"/>
        <v>0.1133600059778764</v>
      </c>
      <c r="AN203" s="28">
        <f t="shared" si="52"/>
        <v>0.11409797095001123</v>
      </c>
      <c r="AO203" s="28">
        <f t="shared" si="52"/>
        <v>0.11484049120695125</v>
      </c>
      <c r="AP203" s="28">
        <f t="shared" si="52"/>
        <v>0.11558759635865411</v>
      </c>
      <c r="AQ203" s="28">
        <f t="shared" si="52"/>
        <v>0.11633931611415979</v>
      </c>
      <c r="AR203" s="28">
        <f t="shared" si="52"/>
        <v>0.11709568028936261</v>
      </c>
      <c r="AS203" s="28">
        <f t="shared" si="52"/>
        <v>0.11772147862106908</v>
      </c>
      <c r="AT203" s="28">
        <f t="shared" si="52"/>
        <v>0.11835044728238052</v>
      </c>
      <c r="AU203" s="28">
        <f t="shared" si="52"/>
        <v>0.11898260346877226</v>
      </c>
      <c r="AV203" s="28">
        <f t="shared" si="52"/>
        <v>0.11961796440464827</v>
      </c>
      <c r="AW203" s="28">
        <f t="shared" si="52"/>
        <v>0.12025654734797987</v>
      </c>
      <c r="AY203" s="85"/>
    </row>
    <row r="204" spans="1:51" x14ac:dyDescent="0.25">
      <c r="A204" s="102" t="str">
        <f t="shared" si="45"/>
        <v>FA Poultry MMN2O</v>
      </c>
      <c r="B204" s="102" t="s">
        <v>963</v>
      </c>
      <c r="C204" s="102" t="s">
        <v>1235</v>
      </c>
      <c r="D204" t="s">
        <v>15</v>
      </c>
      <c r="E204" t="s">
        <v>657</v>
      </c>
      <c r="F204" t="s">
        <v>28</v>
      </c>
      <c r="G204" t="s">
        <v>132</v>
      </c>
      <c r="H204" t="s">
        <v>1228</v>
      </c>
      <c r="I204" t="s">
        <v>139</v>
      </c>
      <c r="J204" t="s">
        <v>287</v>
      </c>
      <c r="K204" s="28">
        <f t="shared" si="47"/>
        <v>1.7216530294251391</v>
      </c>
      <c r="L204" s="28">
        <f t="shared" si="52"/>
        <v>1.7495913852181326</v>
      </c>
      <c r="M204" s="28">
        <f t="shared" si="52"/>
        <v>1.7578868664335328</v>
      </c>
      <c r="N204" s="28">
        <f t="shared" si="52"/>
        <v>1.7392918980189422</v>
      </c>
      <c r="O204" s="28">
        <f t="shared" si="52"/>
        <v>1.7207368558327785</v>
      </c>
      <c r="P204" s="28">
        <f t="shared" si="52"/>
        <v>1.7153529254443873</v>
      </c>
      <c r="Q204" s="28">
        <f t="shared" si="52"/>
        <v>1.7142313641539435</v>
      </c>
      <c r="R204" s="28">
        <f t="shared" si="52"/>
        <v>1.6856374848225169</v>
      </c>
      <c r="S204" s="28">
        <f t="shared" si="52"/>
        <v>1.4045469015643526</v>
      </c>
      <c r="T204" s="28">
        <f t="shared" si="52"/>
        <v>1.4459775319383337</v>
      </c>
      <c r="U204" s="28">
        <f t="shared" si="52"/>
        <v>1.480607974450509</v>
      </c>
      <c r="V204" s="28">
        <f t="shared" si="52"/>
        <v>1.5151543903265086</v>
      </c>
      <c r="W204" s="28">
        <f t="shared" si="52"/>
        <v>1.5601003686418904</v>
      </c>
      <c r="X204" s="28">
        <f t="shared" si="52"/>
        <v>1.6049114332445515</v>
      </c>
      <c r="Y204" s="28">
        <f t="shared" si="52"/>
        <v>1.6541109963656262</v>
      </c>
      <c r="Z204" s="28">
        <f t="shared" si="52"/>
        <v>1.7006835408755379</v>
      </c>
      <c r="AA204" s="28">
        <f t="shared" si="52"/>
        <v>1.7512278539533319</v>
      </c>
      <c r="AB204" s="28">
        <f t="shared" si="52"/>
        <v>1.7968025285418052</v>
      </c>
      <c r="AC204" s="28">
        <f t="shared" si="52"/>
        <v>1.8437229492039162</v>
      </c>
      <c r="AD204" s="28">
        <f t="shared" si="52"/>
        <v>1.9060767826661782</v>
      </c>
      <c r="AE204" s="28">
        <f t="shared" si="52"/>
        <v>1.9745333748476768</v>
      </c>
      <c r="AF204" s="28">
        <f t="shared" si="52"/>
        <v>2.0454043901813557</v>
      </c>
      <c r="AG204" s="28">
        <f t="shared" si="52"/>
        <v>2.0375124323750504</v>
      </c>
      <c r="AH204" s="28">
        <f t="shared" si="52"/>
        <v>-1.7670360622808823</v>
      </c>
      <c r="AI204" s="28">
        <f t="shared" si="52"/>
        <v>-1.769567863105443</v>
      </c>
      <c r="AJ204" s="28">
        <f t="shared" si="52"/>
        <v>-1.7723139091947202</v>
      </c>
      <c r="AK204" s="28">
        <f t="shared" si="52"/>
        <v>-1.775265259663616</v>
      </c>
      <c r="AL204" s="28">
        <f t="shared" si="52"/>
        <v>-1.7784136680871927</v>
      </c>
      <c r="AM204" s="28">
        <f t="shared" si="52"/>
        <v>-1.7817515157915651</v>
      </c>
      <c r="AN204" s="28">
        <f t="shared" si="52"/>
        <v>-1.7831253143927157</v>
      </c>
      <c r="AO204" s="28">
        <f t="shared" si="52"/>
        <v>-1.7846712895501273</v>
      </c>
      <c r="AP204" s="28">
        <f t="shared" si="52"/>
        <v>-1.7863827557357852</v>
      </c>
      <c r="AQ204" s="28">
        <f t="shared" si="52"/>
        <v>-1.788253486478437</v>
      </c>
      <c r="AR204" s="28">
        <f t="shared" si="52"/>
        <v>-1.79027767491833</v>
      </c>
      <c r="AS204" s="28">
        <f t="shared" si="52"/>
        <v>-1.7903062211735206</v>
      </c>
      <c r="AT204" s="28">
        <f t="shared" si="52"/>
        <v>-1.7904768825126722</v>
      </c>
      <c r="AU204" s="28">
        <f t="shared" si="52"/>
        <v>-1.7907844045675889</v>
      </c>
      <c r="AV204" s="28">
        <f t="shared" si="52"/>
        <v>-1.7912238548642139</v>
      </c>
      <c r="AW204" s="28">
        <f t="shared" si="52"/>
        <v>-1.7917905978217188</v>
      </c>
      <c r="AY204" s="85"/>
    </row>
    <row r="205" spans="1:51" x14ac:dyDescent="0.25">
      <c r="A205" s="102" t="str">
        <f t="shared" si="45"/>
        <v>FA Poultry MMN2O</v>
      </c>
      <c r="B205" s="102" t="s">
        <v>963</v>
      </c>
      <c r="C205" s="102" t="s">
        <v>1235</v>
      </c>
      <c r="D205" t="s">
        <v>15</v>
      </c>
      <c r="E205" t="s">
        <v>657</v>
      </c>
      <c r="F205" t="s">
        <v>28</v>
      </c>
      <c r="G205" t="s">
        <v>134</v>
      </c>
      <c r="H205" t="s">
        <v>1228</v>
      </c>
      <c r="I205" t="s">
        <v>139</v>
      </c>
      <c r="J205" t="s">
        <v>287</v>
      </c>
      <c r="K205" s="28">
        <f t="shared" si="47"/>
        <v>1.3734785466564569E-2</v>
      </c>
      <c r="L205" s="28">
        <f t="shared" si="52"/>
        <v>1.40322217607344E-2</v>
      </c>
      <c r="M205" s="28">
        <f t="shared" si="52"/>
        <v>1.4271883308885947E-2</v>
      </c>
      <c r="N205" s="28">
        <f t="shared" si="52"/>
        <v>1.442847469109686E-2</v>
      </c>
      <c r="O205" s="28">
        <f t="shared" si="52"/>
        <v>1.4587191521362352E-2</v>
      </c>
      <c r="P205" s="28">
        <f t="shared" si="52"/>
        <v>1.4791807461602316E-2</v>
      </c>
      <c r="Q205" s="28">
        <f t="shared" si="52"/>
        <v>1.5010624441484299E-2</v>
      </c>
      <c r="R205" s="28">
        <f t="shared" si="52"/>
        <v>1.5137878207622494E-2</v>
      </c>
      <c r="S205" s="28">
        <f t="shared" si="52"/>
        <v>1.4405808617287252E-2</v>
      </c>
      <c r="T205" s="28">
        <f t="shared" si="52"/>
        <v>1.471508187327387E-2</v>
      </c>
      <c r="U205" s="28">
        <f t="shared" si="52"/>
        <v>1.5003788469876761E-2</v>
      </c>
      <c r="V205" s="28">
        <f t="shared" si="52"/>
        <v>1.5294774250032041E-2</v>
      </c>
      <c r="W205" s="28">
        <f t="shared" si="52"/>
        <v>1.5625023048607179E-2</v>
      </c>
      <c r="X205" s="28">
        <f t="shared" si="52"/>
        <v>1.5958015135036502E-2</v>
      </c>
      <c r="Y205" s="28">
        <f t="shared" si="52"/>
        <v>1.6291430406484061E-2</v>
      </c>
      <c r="Z205" s="28">
        <f t="shared" si="52"/>
        <v>1.6618414761251227E-2</v>
      </c>
      <c r="AA205" s="28">
        <f t="shared" si="52"/>
        <v>1.6962775655512932E-2</v>
      </c>
      <c r="AB205" s="28">
        <f t="shared" si="52"/>
        <v>1.7292004829036017E-2</v>
      </c>
      <c r="AC205" s="28">
        <f t="shared" si="52"/>
        <v>1.7629042012552724E-2</v>
      </c>
      <c r="AD205" s="28">
        <f t="shared" si="52"/>
        <v>1.8011177597074678E-2</v>
      </c>
      <c r="AE205" s="28">
        <f t="shared" si="52"/>
        <v>1.8419650159724663E-2</v>
      </c>
      <c r="AF205" s="28">
        <f t="shared" si="52"/>
        <v>1.884097345686063E-2</v>
      </c>
      <c r="AG205" s="28">
        <f t="shared" si="52"/>
        <v>1.8966380056877074E-2</v>
      </c>
      <c r="AH205" s="28">
        <f t="shared" si="52"/>
        <v>4.546068341225425E-3</v>
      </c>
      <c r="AI205" s="28">
        <f t="shared" si="52"/>
        <v>4.5810087211234788E-3</v>
      </c>
      <c r="AJ205" s="28">
        <f t="shared" si="52"/>
        <v>4.6162034936060832E-3</v>
      </c>
      <c r="AK205" s="28">
        <f t="shared" ref="L205:AW206" si="53">AK1427</f>
        <v>4.651654595802618E-3</v>
      </c>
      <c r="AL205" s="28">
        <f t="shared" si="53"/>
        <v>4.6873639736392985E-3</v>
      </c>
      <c r="AM205" s="28">
        <f t="shared" si="53"/>
        <v>4.7233335824115215E-3</v>
      </c>
      <c r="AN205" s="28">
        <f t="shared" si="53"/>
        <v>4.7540821229171398E-3</v>
      </c>
      <c r="AO205" s="28">
        <f t="shared" si="53"/>
        <v>4.7850204669563062E-3</v>
      </c>
      <c r="AP205" s="28">
        <f t="shared" si="53"/>
        <v>4.8161498482772597E-3</v>
      </c>
      <c r="AQ205" s="28">
        <f t="shared" si="53"/>
        <v>4.8474715047566626E-3</v>
      </c>
      <c r="AR205" s="28">
        <f t="shared" si="53"/>
        <v>4.8789866787234456E-3</v>
      </c>
      <c r="AS205" s="28">
        <f t="shared" si="53"/>
        <v>4.9050616092112158E-3</v>
      </c>
      <c r="AT205" s="28">
        <f t="shared" si="53"/>
        <v>4.9312686367658596E-3</v>
      </c>
      <c r="AU205" s="28">
        <f t="shared" si="53"/>
        <v>4.9576084778655159E-3</v>
      </c>
      <c r="AV205" s="28">
        <f t="shared" si="53"/>
        <v>4.9840818501936824E-3</v>
      </c>
      <c r="AW205" s="28">
        <f t="shared" si="53"/>
        <v>5.0106894728324993E-3</v>
      </c>
      <c r="AY205" s="85"/>
    </row>
    <row r="206" spans="1:51" x14ac:dyDescent="0.25">
      <c r="A206" s="102" t="str">
        <f t="shared" si="45"/>
        <v>FA Poultry MMN2O</v>
      </c>
      <c r="B206" s="102" t="s">
        <v>963</v>
      </c>
      <c r="C206" s="102" t="s">
        <v>1235</v>
      </c>
      <c r="D206" t="s">
        <v>15</v>
      </c>
      <c r="E206" t="s">
        <v>657</v>
      </c>
      <c r="F206" t="s">
        <v>28</v>
      </c>
      <c r="G206" t="s">
        <v>133</v>
      </c>
      <c r="H206" t="s">
        <v>1228</v>
      </c>
      <c r="I206" t="s">
        <v>139</v>
      </c>
      <c r="J206" t="s">
        <v>287</v>
      </c>
      <c r="K206" s="28">
        <f t="shared" si="47"/>
        <v>7.1735542892714194E-2</v>
      </c>
      <c r="L206" s="28">
        <f t="shared" si="53"/>
        <v>7.2899641050755595E-2</v>
      </c>
      <c r="M206" s="28">
        <f t="shared" si="53"/>
        <v>7.3245286101397272E-2</v>
      </c>
      <c r="N206" s="28">
        <f t="shared" si="53"/>
        <v>7.2470495750789329E-2</v>
      </c>
      <c r="O206" s="28">
        <f t="shared" si="53"/>
        <v>7.1697368993032501E-2</v>
      </c>
      <c r="P206" s="28">
        <f t="shared" si="53"/>
        <v>7.1473038560182875E-2</v>
      </c>
      <c r="Q206" s="28">
        <f t="shared" si="53"/>
        <v>7.1426306839747711E-2</v>
      </c>
      <c r="R206" s="28">
        <f t="shared" si="53"/>
        <v>7.0234895200938272E-2</v>
      </c>
      <c r="S206" s="28">
        <f t="shared" si="53"/>
        <v>5.8522787565181415E-2</v>
      </c>
      <c r="T206" s="28">
        <f t="shared" si="53"/>
        <v>6.0249063830763963E-2</v>
      </c>
      <c r="U206" s="28">
        <f t="shared" si="53"/>
        <v>6.1691998935437933E-2</v>
      </c>
      <c r="V206" s="28">
        <f t="shared" si="53"/>
        <v>6.313143293027125E-2</v>
      </c>
      <c r="W206" s="28">
        <f t="shared" si="53"/>
        <v>6.5004182026745502E-2</v>
      </c>
      <c r="X206" s="28">
        <f t="shared" si="53"/>
        <v>6.6871309718523023E-2</v>
      </c>
      <c r="Y206" s="28">
        <f t="shared" si="53"/>
        <v>6.8921291515234503E-2</v>
      </c>
      <c r="Z206" s="28">
        <f t="shared" si="53"/>
        <v>7.086181420314748E-2</v>
      </c>
      <c r="AA206" s="28">
        <f t="shared" si="53"/>
        <v>7.2967827248055561E-2</v>
      </c>
      <c r="AB206" s="28">
        <f t="shared" si="53"/>
        <v>7.4866772022575287E-2</v>
      </c>
      <c r="AC206" s="28">
        <f t="shared" si="53"/>
        <v>7.682178955016325E-2</v>
      </c>
      <c r="AD206" s="28">
        <f t="shared" si="53"/>
        <v>7.9419865944424156E-2</v>
      </c>
      <c r="AE206" s="28">
        <f t="shared" si="53"/>
        <v>8.2272223951986606E-2</v>
      </c>
      <c r="AF206" s="28">
        <f t="shared" si="53"/>
        <v>8.5225182924223236E-2</v>
      </c>
      <c r="AG206" s="28">
        <f t="shared" si="53"/>
        <v>8.4896351348960508E-2</v>
      </c>
      <c r="AH206" s="28">
        <f t="shared" si="53"/>
        <v>-7.3626502595036822E-2</v>
      </c>
      <c r="AI206" s="28">
        <f t="shared" si="53"/>
        <v>-7.3731994296060199E-2</v>
      </c>
      <c r="AJ206" s="28">
        <f t="shared" si="53"/>
        <v>-7.3846412883113402E-2</v>
      </c>
      <c r="AK206" s="28">
        <f t="shared" si="53"/>
        <v>-7.3969385819317404E-2</v>
      </c>
      <c r="AL206" s="28">
        <f t="shared" si="53"/>
        <v>-7.4100569503633099E-2</v>
      </c>
      <c r="AM206" s="28">
        <f t="shared" si="53"/>
        <v>-7.4239646491315286E-2</v>
      </c>
      <c r="AN206" s="28">
        <f t="shared" si="53"/>
        <v>-7.4296888099696562E-2</v>
      </c>
      <c r="AO206" s="28">
        <f t="shared" si="53"/>
        <v>-7.4361303731255379E-2</v>
      </c>
      <c r="AP206" s="28">
        <f t="shared" si="53"/>
        <v>-7.4432614822324453E-2</v>
      </c>
      <c r="AQ206" s="28">
        <f t="shared" si="53"/>
        <v>-7.4510561936601619E-2</v>
      </c>
      <c r="AR206" s="28">
        <f t="shared" si="53"/>
        <v>-7.4594903121597153E-2</v>
      </c>
      <c r="AS206" s="28">
        <f t="shared" si="53"/>
        <v>-7.4596092548896764E-2</v>
      </c>
      <c r="AT206" s="28">
        <f t="shared" si="53"/>
        <v>-7.4603203438028065E-2</v>
      </c>
      <c r="AU206" s="28">
        <f t="shared" si="53"/>
        <v>-7.4616016856982936E-2</v>
      </c>
      <c r="AV206" s="28">
        <f t="shared" si="53"/>
        <v>-7.4634327286008981E-2</v>
      </c>
      <c r="AW206" s="28">
        <f t="shared" si="53"/>
        <v>-7.465794157590501E-2</v>
      </c>
      <c r="AY206" s="85"/>
    </row>
    <row r="207" spans="1:51" x14ac:dyDescent="0.25">
      <c r="A207" s="102" t="str">
        <f t="shared" si="45"/>
        <v>FA Synthetic</v>
      </c>
      <c r="B207" s="102" t="s">
        <v>963</v>
      </c>
      <c r="C207" s="102" t="s">
        <v>1127</v>
      </c>
      <c r="D207" t="s">
        <v>369</v>
      </c>
      <c r="E207" t="s">
        <v>55</v>
      </c>
      <c r="H207" t="s">
        <v>419</v>
      </c>
      <c r="I207" t="s">
        <v>139</v>
      </c>
      <c r="J207" t="s">
        <v>287</v>
      </c>
      <c r="K207" s="22">
        <f>K1463</f>
        <v>6.6064812063358538</v>
      </c>
      <c r="L207" s="22">
        <f t="shared" ref="L207:AW214" si="54">L1463</f>
        <v>6.6055332632324646</v>
      </c>
      <c r="M207" s="22">
        <f t="shared" si="54"/>
        <v>6.6042378924026437</v>
      </c>
      <c r="N207" s="22">
        <f t="shared" si="54"/>
        <v>6.6032976249569808</v>
      </c>
      <c r="O207" s="22">
        <f t="shared" si="54"/>
        <v>6.6028397217143464</v>
      </c>
      <c r="P207" s="22">
        <f t="shared" si="54"/>
        <v>6.6023877667619955</v>
      </c>
      <c r="Q207" s="22">
        <f t="shared" si="54"/>
        <v>6.6017040685586048</v>
      </c>
      <c r="R207" s="22">
        <f t="shared" si="54"/>
        <v>6.6009555191940086</v>
      </c>
      <c r="S207" s="22">
        <f t="shared" si="54"/>
        <v>6.6007105452260202</v>
      </c>
      <c r="T207" s="22">
        <f t="shared" si="54"/>
        <v>6.6052103201480445</v>
      </c>
      <c r="U207" s="22">
        <f t="shared" si="54"/>
        <v>6.6038066881148643</v>
      </c>
      <c r="V207" s="22">
        <f t="shared" si="54"/>
        <v>6.60254471504373</v>
      </c>
      <c r="W207" s="22">
        <f t="shared" si="54"/>
        <v>6.6012944407562824</v>
      </c>
      <c r="X207" s="22">
        <f t="shared" si="54"/>
        <v>6.5998592560706051</v>
      </c>
      <c r="Y207" s="22">
        <f t="shared" si="54"/>
        <v>6.5984396481179575</v>
      </c>
      <c r="Z207" s="22">
        <f t="shared" si="54"/>
        <v>6.5970003432051669</v>
      </c>
      <c r="AA207" s="22">
        <f t="shared" si="54"/>
        <v>6.595622302868513</v>
      </c>
      <c r="AB207" s="22">
        <f t="shared" si="54"/>
        <v>6.5941853622185969</v>
      </c>
      <c r="AC207" s="22">
        <f t="shared" si="54"/>
        <v>6.592850540390411</v>
      </c>
      <c r="AD207" s="22">
        <f t="shared" si="54"/>
        <v>6.5915038110737925</v>
      </c>
      <c r="AE207" s="22">
        <f t="shared" si="54"/>
        <v>6.5899366744546857</v>
      </c>
      <c r="AF207" s="22">
        <f t="shared" si="54"/>
        <v>6.5882822576482969</v>
      </c>
      <c r="AG207" s="22">
        <f t="shared" si="54"/>
        <v>6.5866069718802809</v>
      </c>
      <c r="AH207" s="22">
        <f t="shared" si="54"/>
        <v>6.5862744996812319</v>
      </c>
      <c r="AI207" s="22">
        <f t="shared" si="54"/>
        <v>6.7244352177988764</v>
      </c>
      <c r="AJ207" s="22">
        <f t="shared" si="54"/>
        <v>6.7246796459520661</v>
      </c>
      <c r="AK207" s="22">
        <f t="shared" si="54"/>
        <v>6.7249266471091245</v>
      </c>
      <c r="AL207" s="22">
        <f t="shared" si="54"/>
        <v>6.7251762567164626</v>
      </c>
      <c r="AM207" s="22">
        <f t="shared" si="54"/>
        <v>6.725428510887201</v>
      </c>
      <c r="AN207" s="22">
        <f t="shared" si="54"/>
        <v>6.7256834464178157</v>
      </c>
      <c r="AO207" s="22">
        <f t="shared" si="54"/>
        <v>6.7259019731905472</v>
      </c>
      <c r="AP207" s="22">
        <f t="shared" si="54"/>
        <v>6.7261224822219834</v>
      </c>
      <c r="AQ207" s="22">
        <f t="shared" si="54"/>
        <v>6.7263449972304938</v>
      </c>
      <c r="AR207" s="22">
        <f t="shared" si="54"/>
        <v>6.7265695423235661</v>
      </c>
      <c r="AS207" s="22">
        <f t="shared" si="54"/>
        <v>6.7267961420062665</v>
      </c>
      <c r="AT207" s="22">
        <f t="shared" si="54"/>
        <v>6.72698404674487</v>
      </c>
      <c r="AU207" s="22">
        <f t="shared" si="54"/>
        <v>6.7271733718738833</v>
      </c>
      <c r="AV207" s="22">
        <f t="shared" si="54"/>
        <v>6.7273641316511892</v>
      </c>
      <c r="AW207" s="22">
        <f t="shared" si="54"/>
        <v>6.7275563405315459</v>
      </c>
      <c r="AY207" s="85"/>
    </row>
    <row r="208" spans="1:51" x14ac:dyDescent="0.25">
      <c r="A208" s="102" t="str">
        <f t="shared" si="45"/>
        <v>FA Organic</v>
      </c>
      <c r="B208" s="102" t="s">
        <v>963</v>
      </c>
      <c r="C208" s="102" t="s">
        <v>1128</v>
      </c>
      <c r="D208" t="s">
        <v>369</v>
      </c>
      <c r="E208" t="s">
        <v>55</v>
      </c>
      <c r="H208" t="s">
        <v>420</v>
      </c>
      <c r="I208" t="s">
        <v>139</v>
      </c>
      <c r="J208" t="s">
        <v>287</v>
      </c>
      <c r="K208" s="22">
        <f t="shared" ref="K208:Z271" si="55">K1464</f>
        <v>4.3602775961816637E-2</v>
      </c>
      <c r="L208" s="22">
        <f t="shared" si="55"/>
        <v>4.3596519537334268E-2</v>
      </c>
      <c r="M208" s="22">
        <f t="shared" si="55"/>
        <v>4.3587970089857465E-2</v>
      </c>
      <c r="N208" s="22">
        <f t="shared" si="55"/>
        <v>4.3581764324716096E-2</v>
      </c>
      <c r="O208" s="22">
        <f t="shared" si="55"/>
        <v>4.3578742163314678E-2</v>
      </c>
      <c r="P208" s="22">
        <f t="shared" si="55"/>
        <v>4.3575759260629177E-2</v>
      </c>
      <c r="Q208" s="22">
        <f t="shared" si="55"/>
        <v>4.3571246852486797E-2</v>
      </c>
      <c r="R208" s="22">
        <f t="shared" si="55"/>
        <v>4.3566306426680468E-2</v>
      </c>
      <c r="S208" s="22">
        <f t="shared" si="55"/>
        <v>4.3564689598491746E-2</v>
      </c>
      <c r="T208" s="22">
        <f t="shared" si="55"/>
        <v>4.3594388112977112E-2</v>
      </c>
      <c r="U208" s="22">
        <f t="shared" si="55"/>
        <v>4.3585124141558115E-2</v>
      </c>
      <c r="V208" s="22">
        <f t="shared" si="55"/>
        <v>4.3576795119288615E-2</v>
      </c>
      <c r="W208" s="22">
        <f t="shared" si="55"/>
        <v>4.3568543308991473E-2</v>
      </c>
      <c r="X208" s="22">
        <f t="shared" si="55"/>
        <v>4.3559071090065994E-2</v>
      </c>
      <c r="Y208" s="22">
        <f t="shared" si="55"/>
        <v>4.3549701677578524E-2</v>
      </c>
      <c r="Z208" s="22">
        <f t="shared" si="55"/>
        <v>4.3540202265154107E-2</v>
      </c>
      <c r="AA208" s="22">
        <f t="shared" si="54"/>
        <v>4.3531107198932197E-2</v>
      </c>
      <c r="AB208" s="22">
        <f t="shared" si="54"/>
        <v>4.352162339064275E-2</v>
      </c>
      <c r="AC208" s="22">
        <f t="shared" si="54"/>
        <v>4.351281356657672E-2</v>
      </c>
      <c r="AD208" s="22">
        <f t="shared" si="54"/>
        <v>4.3503925153087042E-2</v>
      </c>
      <c r="AE208" s="22">
        <f t="shared" si="54"/>
        <v>4.3493582051400928E-2</v>
      </c>
      <c r="AF208" s="22">
        <f t="shared" si="54"/>
        <v>4.3482662900478766E-2</v>
      </c>
      <c r="AG208" s="22">
        <f t="shared" si="54"/>
        <v>4.3471606014409865E-2</v>
      </c>
      <c r="AH208" s="22">
        <f t="shared" si="54"/>
        <v>4.3469411697896136E-2</v>
      </c>
      <c r="AI208" s="22">
        <f t="shared" si="54"/>
        <v>4.4381272437472585E-2</v>
      </c>
      <c r="AJ208" s="22">
        <f t="shared" si="54"/>
        <v>4.4382885663283633E-2</v>
      </c>
      <c r="AK208" s="22">
        <f t="shared" si="54"/>
        <v>4.4384515870920224E-2</v>
      </c>
      <c r="AL208" s="22">
        <f t="shared" si="54"/>
        <v>4.4386163294328665E-2</v>
      </c>
      <c r="AM208" s="22">
        <f t="shared" si="54"/>
        <v>4.4387828171855534E-2</v>
      </c>
      <c r="AN208" s="22">
        <f t="shared" si="54"/>
        <v>4.4389510746357594E-2</v>
      </c>
      <c r="AO208" s="22">
        <f t="shared" si="54"/>
        <v>4.4390953023057615E-2</v>
      </c>
      <c r="AP208" s="22">
        <f t="shared" si="54"/>
        <v>4.4392408382665088E-2</v>
      </c>
      <c r="AQ208" s="22">
        <f t="shared" si="54"/>
        <v>4.4393876981721259E-2</v>
      </c>
      <c r="AR208" s="22">
        <f t="shared" si="54"/>
        <v>4.4395358979335532E-2</v>
      </c>
      <c r="AS208" s="22">
        <f t="shared" si="54"/>
        <v>4.4396854537241355E-2</v>
      </c>
      <c r="AT208" s="22">
        <f t="shared" si="54"/>
        <v>4.4398094708516155E-2</v>
      </c>
      <c r="AU208" s="22">
        <f t="shared" si="54"/>
        <v>4.4399344254367645E-2</v>
      </c>
      <c r="AV208" s="22">
        <f t="shared" si="54"/>
        <v>4.4400603268897852E-2</v>
      </c>
      <c r="AW208" s="22">
        <f t="shared" si="54"/>
        <v>4.4401871847508219E-2</v>
      </c>
      <c r="AY208" s="85"/>
    </row>
    <row r="209" spans="1:51" x14ac:dyDescent="0.25">
      <c r="A209" s="102" t="str">
        <f t="shared" si="45"/>
        <v>FA Crop residues</v>
      </c>
      <c r="B209" s="102" t="s">
        <v>963</v>
      </c>
      <c r="C209" s="102" t="s">
        <v>58</v>
      </c>
      <c r="D209" t="s">
        <v>369</v>
      </c>
      <c r="E209" t="s">
        <v>55</v>
      </c>
      <c r="H209" t="s">
        <v>58</v>
      </c>
      <c r="I209" t="s">
        <v>139</v>
      </c>
      <c r="J209" t="s">
        <v>287</v>
      </c>
      <c r="K209" s="22">
        <f t="shared" si="55"/>
        <v>2.94930909510781</v>
      </c>
      <c r="L209" s="22">
        <f t="shared" si="54"/>
        <v>2.9563860470471841</v>
      </c>
      <c r="M209" s="22">
        <f t="shared" si="54"/>
        <v>2.9660567509887259</v>
      </c>
      <c r="N209" s="22">
        <f t="shared" si="54"/>
        <v>2.9730763996357101</v>
      </c>
      <c r="O209" s="22">
        <f t="shared" si="54"/>
        <v>2.9764949162422756</v>
      </c>
      <c r="P209" s="22">
        <f t="shared" si="54"/>
        <v>2.9798690253687776</v>
      </c>
      <c r="Q209" s="22">
        <f t="shared" si="54"/>
        <v>2.9849732339537955</v>
      </c>
      <c r="R209" s="22">
        <f t="shared" si="54"/>
        <v>2.9905615945405919</v>
      </c>
      <c r="S209" s="22">
        <f t="shared" si="54"/>
        <v>2.9923904690707688</v>
      </c>
      <c r="T209" s="22">
        <f t="shared" si="54"/>
        <v>2.9587970068183171</v>
      </c>
      <c r="U209" s="22">
        <f t="shared" si="54"/>
        <v>2.9692759442185355</v>
      </c>
      <c r="V209" s="22">
        <f t="shared" si="54"/>
        <v>2.9786973142789162</v>
      </c>
      <c r="W209" s="22">
        <f t="shared" si="54"/>
        <v>2.9880313460490315</v>
      </c>
      <c r="X209" s="22">
        <f t="shared" si="54"/>
        <v>2.9987458425292064</v>
      </c>
      <c r="Y209" s="22">
        <f t="shared" si="54"/>
        <v>3.0093440495500001</v>
      </c>
      <c r="Z209" s="22">
        <f t="shared" si="54"/>
        <v>3.0200893059451359</v>
      </c>
      <c r="AA209" s="22">
        <f t="shared" si="54"/>
        <v>3.0303771863022528</v>
      </c>
      <c r="AB209" s="22">
        <f t="shared" si="54"/>
        <v>3.0411047920866441</v>
      </c>
      <c r="AC209" s="22">
        <f t="shared" si="54"/>
        <v>3.0510700208983077</v>
      </c>
      <c r="AD209" s="22">
        <f t="shared" si="54"/>
        <v>3.0611241461036762</v>
      </c>
      <c r="AE209" s="22">
        <f t="shared" si="54"/>
        <v>3.0728237412547079</v>
      </c>
      <c r="AF209" s="22">
        <f t="shared" si="54"/>
        <v>3.0851749342584296</v>
      </c>
      <c r="AG209" s="22">
        <f t="shared" si="54"/>
        <v>3.0976819263158513</v>
      </c>
      <c r="AH209" s="22">
        <f t="shared" si="54"/>
        <v>3.100164026523585</v>
      </c>
      <c r="AI209" s="22">
        <f t="shared" si="54"/>
        <v>2.0687131319155303</v>
      </c>
      <c r="AJ209" s="22">
        <f t="shared" si="54"/>
        <v>2.0668883322133484</v>
      </c>
      <c r="AK209" s="22">
        <f t="shared" si="54"/>
        <v>2.0650443235262905</v>
      </c>
      <c r="AL209" s="22">
        <f t="shared" si="54"/>
        <v>2.0631808412261146</v>
      </c>
      <c r="AM209" s="22">
        <f t="shared" si="54"/>
        <v>2.0612976157071592</v>
      </c>
      <c r="AN209" s="22">
        <f t="shared" si="54"/>
        <v>2.0593943722621146</v>
      </c>
      <c r="AO209" s="22">
        <f t="shared" si="54"/>
        <v>2.0577629415754459</v>
      </c>
      <c r="AP209" s="22">
        <f t="shared" si="54"/>
        <v>2.056116712163484</v>
      </c>
      <c r="AQ209" s="22">
        <f t="shared" si="54"/>
        <v>2.0544555069546533</v>
      </c>
      <c r="AR209" s="22">
        <f t="shared" si="54"/>
        <v>2.0527791459724298</v>
      </c>
      <c r="AS209" s="22">
        <f t="shared" si="54"/>
        <v>2.0510874462720836</v>
      </c>
      <c r="AT209" s="22">
        <f t="shared" si="54"/>
        <v>2.0496846270527396</v>
      </c>
      <c r="AU209" s="22">
        <f t="shared" si="54"/>
        <v>2.0482712037848629</v>
      </c>
      <c r="AV209" s="22">
        <f t="shared" si="54"/>
        <v>2.0468470700250148</v>
      </c>
      <c r="AW209" s="22">
        <f t="shared" si="54"/>
        <v>2.0454121178598972</v>
      </c>
      <c r="AY209" s="85"/>
    </row>
    <row r="210" spans="1:51" x14ac:dyDescent="0.25">
      <c r="A210" s="102" t="str">
        <f t="shared" si="45"/>
        <v>FA Organic</v>
      </c>
      <c r="B210" s="102" t="s">
        <v>963</v>
      </c>
      <c r="C210" s="102" t="s">
        <v>1128</v>
      </c>
      <c r="D210" t="s">
        <v>369</v>
      </c>
      <c r="E210" t="s">
        <v>55</v>
      </c>
      <c r="F210" t="s">
        <v>421</v>
      </c>
      <c r="G210" t="s">
        <v>1153</v>
      </c>
      <c r="H210" t="s">
        <v>1154</v>
      </c>
      <c r="I210" t="s">
        <v>139</v>
      </c>
      <c r="J210" t="s">
        <v>287</v>
      </c>
      <c r="K210" s="22">
        <f t="shared" si="55"/>
        <v>0.31935878855248062</v>
      </c>
      <c r="L210" s="22">
        <f t="shared" si="54"/>
        <v>0.3213452540874065</v>
      </c>
      <c r="M210" s="22">
        <f t="shared" si="54"/>
        <v>0.32271097650720204</v>
      </c>
      <c r="N210" s="22">
        <f t="shared" si="54"/>
        <v>0.32313928716206192</v>
      </c>
      <c r="O210" s="22">
        <f t="shared" si="54"/>
        <v>0.32371872756630715</v>
      </c>
      <c r="P210" s="22">
        <f t="shared" si="54"/>
        <v>0.32498792219339984</v>
      </c>
      <c r="Q210" s="22">
        <f t="shared" si="54"/>
        <v>0.32650955781340663</v>
      </c>
      <c r="R210" s="22">
        <f t="shared" si="54"/>
        <v>0.32696667302614263</v>
      </c>
      <c r="S210" s="22">
        <f t="shared" si="54"/>
        <v>0.31692886960594807</v>
      </c>
      <c r="T210" s="22">
        <f t="shared" si="54"/>
        <v>0.319539305941619</v>
      </c>
      <c r="U210" s="22">
        <f t="shared" si="54"/>
        <v>0.32193300192732111</v>
      </c>
      <c r="V210" s="22">
        <f t="shared" si="54"/>
        <v>0.32438733794310681</v>
      </c>
      <c r="W210" s="22">
        <f t="shared" si="54"/>
        <v>0.32734391954355124</v>
      </c>
      <c r="X210" s="22">
        <f t="shared" si="54"/>
        <v>0.33035597962068947</v>
      </c>
      <c r="Y210" s="22">
        <f t="shared" si="54"/>
        <v>0.33328887796807738</v>
      </c>
      <c r="Z210" s="22">
        <f t="shared" si="54"/>
        <v>0.33616310143447364</v>
      </c>
      <c r="AA210" s="22">
        <f t="shared" si="54"/>
        <v>0.33925895533631584</v>
      </c>
      <c r="AB210" s="22">
        <f t="shared" si="54"/>
        <v>0.34219066812704535</v>
      </c>
      <c r="AC210" s="22">
        <f t="shared" si="54"/>
        <v>0.34522753941235912</v>
      </c>
      <c r="AD210" s="22">
        <f t="shared" si="54"/>
        <v>0.34871662740286707</v>
      </c>
      <c r="AE210" s="22">
        <f t="shared" si="54"/>
        <v>0.3525166109950878</v>
      </c>
      <c r="AF210" s="22">
        <f t="shared" si="54"/>
        <v>0.3564674247563781</v>
      </c>
      <c r="AG210" s="22">
        <f t="shared" si="54"/>
        <v>0.35701929306188401</v>
      </c>
      <c r="AH210" s="22">
        <f t="shared" si="54"/>
        <v>0.19114464625483749</v>
      </c>
      <c r="AI210" s="22">
        <f t="shared" si="54"/>
        <v>0.19128523197534555</v>
      </c>
      <c r="AJ210" s="22">
        <f t="shared" si="54"/>
        <v>0.19144428532787389</v>
      </c>
      <c r="AK210" s="22">
        <f t="shared" si="54"/>
        <v>0.19162110436440311</v>
      </c>
      <c r="AL210" s="22">
        <f t="shared" si="54"/>
        <v>0.19181504119818318</v>
      </c>
      <c r="AM210" s="22">
        <f t="shared" si="54"/>
        <v>0.19202549687963794</v>
      </c>
      <c r="AN210" s="22">
        <f t="shared" si="54"/>
        <v>0.19211610433852847</v>
      </c>
      <c r="AO210" s="22">
        <f t="shared" si="54"/>
        <v>0.19222125892017863</v>
      </c>
      <c r="AP210" s="22">
        <f t="shared" si="54"/>
        <v>0.1923404525383117</v>
      </c>
      <c r="AQ210" s="22">
        <f t="shared" si="54"/>
        <v>0.19247321177682317</v>
      </c>
      <c r="AR210" s="22">
        <f t="shared" si="54"/>
        <v>0.19261909494773871</v>
      </c>
      <c r="AS210" s="22">
        <f t="shared" si="54"/>
        <v>0.19264041350385425</v>
      </c>
      <c r="AT210" s="22">
        <f t="shared" si="54"/>
        <v>0.19267336675119676</v>
      </c>
      <c r="AU210" s="22">
        <f t="shared" si="54"/>
        <v>0.19271756905587112</v>
      </c>
      <c r="AV210" s="22">
        <f t="shared" si="54"/>
        <v>0.19277265827645768</v>
      </c>
      <c r="AW210" s="22">
        <f t="shared" si="54"/>
        <v>0.19283829395934973</v>
      </c>
      <c r="AY210" s="85"/>
    </row>
    <row r="211" spans="1:51" x14ac:dyDescent="0.25">
      <c r="A211" s="102" t="str">
        <f t="shared" si="45"/>
        <v>FA Organic</v>
      </c>
      <c r="B211" s="102" t="s">
        <v>963</v>
      </c>
      <c r="C211" s="102" t="s">
        <v>1128</v>
      </c>
      <c r="D211" t="s">
        <v>369</v>
      </c>
      <c r="E211" t="s">
        <v>55</v>
      </c>
      <c r="F211" t="s">
        <v>421</v>
      </c>
      <c r="G211" t="s">
        <v>1155</v>
      </c>
      <c r="H211" t="s">
        <v>1156</v>
      </c>
      <c r="I211" t="s">
        <v>139</v>
      </c>
      <c r="J211" t="s">
        <v>287</v>
      </c>
      <c r="K211" s="22">
        <f t="shared" si="55"/>
        <v>0.93379576098906358</v>
      </c>
      <c r="L211" s="22">
        <f t="shared" si="54"/>
        <v>0.93960412813709904</v>
      </c>
      <c r="M211" s="22">
        <f t="shared" si="54"/>
        <v>0.94359746056447114</v>
      </c>
      <c r="N211" s="22">
        <f t="shared" si="54"/>
        <v>0.94484982839723786</v>
      </c>
      <c r="O211" s="22">
        <f t="shared" si="54"/>
        <v>0.94654409519879523</v>
      </c>
      <c r="P211" s="22">
        <f t="shared" si="54"/>
        <v>0.95025518318237956</v>
      </c>
      <c r="Q211" s="22">
        <f t="shared" si="54"/>
        <v>0.95470440124890821</v>
      </c>
      <c r="R211" s="22">
        <f t="shared" si="54"/>
        <v>0.95604099276677834</v>
      </c>
      <c r="S211" s="22">
        <f t="shared" si="54"/>
        <v>0.9266907490302454</v>
      </c>
      <c r="T211" s="22">
        <f t="shared" si="54"/>
        <v>0.93432358855731779</v>
      </c>
      <c r="U211" s="22">
        <f t="shared" si="54"/>
        <v>0.94132268563767829</v>
      </c>
      <c r="V211" s="22">
        <f t="shared" si="54"/>
        <v>0.94849909239313801</v>
      </c>
      <c r="W211" s="22">
        <f t="shared" si="54"/>
        <v>0.95714405055454344</v>
      </c>
      <c r="X211" s="22">
        <f t="shared" si="54"/>
        <v>0.96595122615983853</v>
      </c>
      <c r="Y211" s="22">
        <f t="shared" si="54"/>
        <v>0.97452693518170752</v>
      </c>
      <c r="Z211" s="22">
        <f t="shared" si="54"/>
        <v>0.98293108056696943</v>
      </c>
      <c r="AA211" s="22">
        <f t="shared" si="54"/>
        <v>0.99198326686591187</v>
      </c>
      <c r="AB211" s="22">
        <f t="shared" si="54"/>
        <v>1.0005555093547731</v>
      </c>
      <c r="AC211" s="22">
        <f t="shared" si="54"/>
        <v>1.0094352322073954</v>
      </c>
      <c r="AD211" s="22">
        <f t="shared" si="54"/>
        <v>1.0196372234850481</v>
      </c>
      <c r="AE211" s="22">
        <f t="shared" si="54"/>
        <v>1.0307482644127997</v>
      </c>
      <c r="AF211" s="22">
        <f t="shared" si="54"/>
        <v>1.0423003283452565</v>
      </c>
      <c r="AG211" s="22">
        <f t="shared" si="54"/>
        <v>1.0439139751361945</v>
      </c>
      <c r="AH211" s="22">
        <f t="shared" si="54"/>
        <v>0.55890135736530644</v>
      </c>
      <c r="AI211" s="22">
        <f t="shared" si="54"/>
        <v>0.55931242590192343</v>
      </c>
      <c r="AJ211" s="22">
        <f t="shared" si="54"/>
        <v>0.55977749325464987</v>
      </c>
      <c r="AK211" s="22">
        <f t="shared" si="54"/>
        <v>0.56029450694799943</v>
      </c>
      <c r="AL211" s="22">
        <f t="shared" si="54"/>
        <v>0.56086157258005664</v>
      </c>
      <c r="AM211" s="22">
        <f t="shared" si="54"/>
        <v>0.5614769388397709</v>
      </c>
      <c r="AN211" s="22">
        <f t="shared" si="54"/>
        <v>0.56174187240057738</v>
      </c>
      <c r="AO211" s="22">
        <f t="shared" si="54"/>
        <v>0.56204934132303475</v>
      </c>
      <c r="AP211" s="22">
        <f t="shared" si="54"/>
        <v>0.56239785997772429</v>
      </c>
      <c r="AQ211" s="22">
        <f t="shared" si="54"/>
        <v>0.56278604410979705</v>
      </c>
      <c r="AR211" s="22">
        <f t="shared" si="54"/>
        <v>0.56321260223652991</v>
      </c>
      <c r="AS211" s="22">
        <f t="shared" si="54"/>
        <v>0.56327493707134479</v>
      </c>
      <c r="AT211" s="22">
        <f t="shared" si="54"/>
        <v>0.56337129140315678</v>
      </c>
      <c r="AU211" s="22">
        <f t="shared" si="54"/>
        <v>0.56350053764973096</v>
      </c>
      <c r="AV211" s="22">
        <f t="shared" si="54"/>
        <v>0.5636616169201436</v>
      </c>
      <c r="AW211" s="22">
        <f t="shared" si="54"/>
        <v>0.56385353373800251</v>
      </c>
      <c r="AY211" s="85"/>
    </row>
    <row r="212" spans="1:51" x14ac:dyDescent="0.25">
      <c r="A212" s="102" t="str">
        <f t="shared" si="45"/>
        <v>FA Organic</v>
      </c>
      <c r="B212" s="102" t="s">
        <v>963</v>
      </c>
      <c r="C212" s="102" t="s">
        <v>1128</v>
      </c>
      <c r="D212" t="s">
        <v>369</v>
      </c>
      <c r="E212" t="s">
        <v>55</v>
      </c>
      <c r="F212" t="s">
        <v>421</v>
      </c>
      <c r="G212" t="s">
        <v>1157</v>
      </c>
      <c r="H212" t="s">
        <v>1158</v>
      </c>
      <c r="I212" t="s">
        <v>139</v>
      </c>
      <c r="J212" t="s">
        <v>287</v>
      </c>
      <c r="K212" s="22">
        <f t="shared" si="55"/>
        <v>4.9952808112492433E-2</v>
      </c>
      <c r="L212" s="22">
        <f t="shared" si="54"/>
        <v>5.0263523005099557E-2</v>
      </c>
      <c r="M212" s="22">
        <f t="shared" si="54"/>
        <v>5.0477143774016554E-2</v>
      </c>
      <c r="N212" s="22">
        <f t="shared" si="54"/>
        <v>5.0544138391737034E-2</v>
      </c>
      <c r="O212" s="22">
        <f t="shared" si="54"/>
        <v>5.063477211269108E-2</v>
      </c>
      <c r="P212" s="22">
        <f t="shared" si="54"/>
        <v>5.0833294395268382E-2</v>
      </c>
      <c r="Q212" s="22">
        <f t="shared" si="54"/>
        <v>5.1071302475421292E-2</v>
      </c>
      <c r="R212" s="22">
        <f t="shared" si="54"/>
        <v>5.1142802585409194E-2</v>
      </c>
      <c r="S212" s="22">
        <f t="shared" si="54"/>
        <v>4.9572730033491622E-2</v>
      </c>
      <c r="T212" s="22">
        <f t="shared" si="54"/>
        <v>4.9981043911298741E-2</v>
      </c>
      <c r="U212" s="22">
        <f t="shared" si="54"/>
        <v>5.0355456141490972E-2</v>
      </c>
      <c r="V212" s="22">
        <f t="shared" si="54"/>
        <v>5.0739353439560694E-2</v>
      </c>
      <c r="W212" s="22">
        <f t="shared" si="54"/>
        <v>5.1201809957589661E-2</v>
      </c>
      <c r="X212" s="22">
        <f t="shared" si="54"/>
        <v>5.1672944194222255E-2</v>
      </c>
      <c r="Y212" s="22">
        <f t="shared" si="54"/>
        <v>5.2131696273739363E-2</v>
      </c>
      <c r="Z212" s="22">
        <f t="shared" si="54"/>
        <v>5.2581270666039896E-2</v>
      </c>
      <c r="AA212" s="22">
        <f t="shared" si="54"/>
        <v>5.3065511593317877E-2</v>
      </c>
      <c r="AB212" s="22">
        <f t="shared" si="54"/>
        <v>5.3524078232864716E-2</v>
      </c>
      <c r="AC212" s="22">
        <f t="shared" si="54"/>
        <v>5.3999093338179975E-2</v>
      </c>
      <c r="AD212" s="22">
        <f t="shared" si="54"/>
        <v>5.4544842348775345E-2</v>
      </c>
      <c r="AE212" s="22">
        <f t="shared" si="54"/>
        <v>5.5139220390078653E-2</v>
      </c>
      <c r="AF212" s="22">
        <f t="shared" si="54"/>
        <v>5.5757190675476007E-2</v>
      </c>
      <c r="AG212" s="22">
        <f t="shared" si="54"/>
        <v>5.5843511680428629E-2</v>
      </c>
      <c r="AH212" s="22">
        <f t="shared" si="54"/>
        <v>2.9898071317768258E-2</v>
      </c>
      <c r="AI212" s="22">
        <f t="shared" si="54"/>
        <v>2.9920061166714414E-2</v>
      </c>
      <c r="AJ212" s="22">
        <f t="shared" si="54"/>
        <v>2.994493964785629E-2</v>
      </c>
      <c r="AK212" s="22">
        <f t="shared" si="54"/>
        <v>2.9972596965328013E-2</v>
      </c>
      <c r="AL212" s="22">
        <f t="shared" si="54"/>
        <v>3.0002931779308462E-2</v>
      </c>
      <c r="AM212" s="22">
        <f t="shared" si="54"/>
        <v>3.0035850404531023E-2</v>
      </c>
      <c r="AN212" s="22">
        <f t="shared" si="54"/>
        <v>3.0050022856236633E-2</v>
      </c>
      <c r="AO212" s="22">
        <f t="shared" si="54"/>
        <v>3.0066470709959804E-2</v>
      </c>
      <c r="AP212" s="22">
        <f t="shared" si="54"/>
        <v>3.0085114492903187E-2</v>
      </c>
      <c r="AQ212" s="22">
        <f t="shared" si="54"/>
        <v>3.0105880155237338E-2</v>
      </c>
      <c r="AR212" s="22">
        <f t="shared" si="54"/>
        <v>3.0128698609918406E-2</v>
      </c>
      <c r="AS212" s="22">
        <f t="shared" si="54"/>
        <v>3.0132033172113177E-2</v>
      </c>
      <c r="AT212" s="22">
        <f t="shared" si="54"/>
        <v>3.0137187585582245E-2</v>
      </c>
      <c r="AU212" s="22">
        <f t="shared" si="54"/>
        <v>3.0144101531033828E-2</v>
      </c>
      <c r="AV212" s="22">
        <f t="shared" si="54"/>
        <v>3.0152718363773888E-2</v>
      </c>
      <c r="AW212" s="22">
        <f t="shared" si="54"/>
        <v>3.0162984831428343E-2</v>
      </c>
      <c r="AY212" s="85"/>
    </row>
    <row r="213" spans="1:51" x14ac:dyDescent="0.25">
      <c r="A213" s="102" t="str">
        <f t="shared" si="45"/>
        <v>FA Organic</v>
      </c>
      <c r="B213" s="102" t="s">
        <v>963</v>
      </c>
      <c r="C213" s="102" t="s">
        <v>1128</v>
      </c>
      <c r="D213" t="s">
        <v>369</v>
      </c>
      <c r="E213" t="s">
        <v>55</v>
      </c>
      <c r="F213" t="s">
        <v>421</v>
      </c>
      <c r="G213" t="s">
        <v>1159</v>
      </c>
      <c r="H213" t="s">
        <v>1160</v>
      </c>
      <c r="I213" t="s">
        <v>139</v>
      </c>
      <c r="J213" t="s">
        <v>287</v>
      </c>
      <c r="K213" s="22">
        <f t="shared" si="55"/>
        <v>0.40352425177353124</v>
      </c>
      <c r="L213" s="22">
        <f t="shared" si="54"/>
        <v>0.40084951633384258</v>
      </c>
      <c r="M213" s="22">
        <f t="shared" si="54"/>
        <v>0.39521001590024774</v>
      </c>
      <c r="N213" s="22">
        <f t="shared" si="54"/>
        <v>0.3857038563965185</v>
      </c>
      <c r="O213" s="22">
        <f t="shared" si="54"/>
        <v>0.37648074986973956</v>
      </c>
      <c r="P213" s="22">
        <f t="shared" si="54"/>
        <v>0.36938688643597767</v>
      </c>
      <c r="Q213" s="22">
        <f t="shared" si="54"/>
        <v>0.36297043234615178</v>
      </c>
      <c r="R213" s="22">
        <f t="shared" si="54"/>
        <v>0.35288211799047686</v>
      </c>
      <c r="S213" s="22">
        <f t="shared" si="54"/>
        <v>0.30949900697043298</v>
      </c>
      <c r="T213" s="22">
        <f t="shared" si="54"/>
        <v>0.31244902874448233</v>
      </c>
      <c r="U213" s="22">
        <f t="shared" si="54"/>
        <v>0.31444522818952964</v>
      </c>
      <c r="V213" s="22">
        <f t="shared" si="54"/>
        <v>0.31637649984131477</v>
      </c>
      <c r="W213" s="22">
        <f t="shared" si="54"/>
        <v>0.31957035863343569</v>
      </c>
      <c r="X213" s="22">
        <f t="shared" si="54"/>
        <v>0.32265895567955921</v>
      </c>
      <c r="Y213" s="22">
        <f t="shared" si="54"/>
        <v>0.32590151896633945</v>
      </c>
      <c r="Z213" s="22">
        <f t="shared" si="54"/>
        <v>0.32872445709091741</v>
      </c>
      <c r="AA213" s="22">
        <f t="shared" si="54"/>
        <v>0.33193734347454801</v>
      </c>
      <c r="AB213" s="22">
        <f t="shared" si="54"/>
        <v>0.33445153592828769</v>
      </c>
      <c r="AC213" s="22">
        <f t="shared" si="54"/>
        <v>0.33703471359982889</v>
      </c>
      <c r="AD213" s="22">
        <f t="shared" si="54"/>
        <v>0.3382378632765542</v>
      </c>
      <c r="AE213" s="22">
        <f t="shared" si="54"/>
        <v>0.33988762558713326</v>
      </c>
      <c r="AF213" s="22">
        <f t="shared" si="54"/>
        <v>0.34153102086249887</v>
      </c>
      <c r="AG213" s="22">
        <f t="shared" si="54"/>
        <v>0.33428783362296566</v>
      </c>
      <c r="AH213" s="22">
        <f t="shared" si="54"/>
        <v>-7.8853876190349073E-2</v>
      </c>
      <c r="AI213" s="22">
        <f t="shared" si="54"/>
        <v>-7.7024740515349702E-2</v>
      </c>
      <c r="AJ213" s="22">
        <f t="shared" si="54"/>
        <v>-7.5224693837810969E-2</v>
      </c>
      <c r="AK213" s="22">
        <f t="shared" si="54"/>
        <v>-7.3452212631802502E-2</v>
      </c>
      <c r="AL213" s="22">
        <f t="shared" si="54"/>
        <v>-7.1705878701856365E-2</v>
      </c>
      <c r="AM213" s="22">
        <f t="shared" si="54"/>
        <v>-6.9984369422605414E-2</v>
      </c>
      <c r="AN213" s="22">
        <f t="shared" si="54"/>
        <v>-6.8588614819976648E-2</v>
      </c>
      <c r="AO213" s="22">
        <f t="shared" si="54"/>
        <v>-6.7213941404815583E-2</v>
      </c>
      <c r="AP213" s="22">
        <f t="shared" si="54"/>
        <v>-6.5859393882214817E-2</v>
      </c>
      <c r="AQ213" s="22">
        <f t="shared" si="54"/>
        <v>-6.45240763716773E-2</v>
      </c>
      <c r="AR213" s="22">
        <f t="shared" si="54"/>
        <v>-6.3207147480680487E-2</v>
      </c>
      <c r="AS213" s="22">
        <f t="shared" si="54"/>
        <v>-6.1865741273458848E-2</v>
      </c>
      <c r="AT213" s="22">
        <f t="shared" si="54"/>
        <v>-6.054278111227946E-2</v>
      </c>
      <c r="AU213" s="22">
        <f t="shared" si="54"/>
        <v>-5.9237541358355558E-2</v>
      </c>
      <c r="AV213" s="22">
        <f t="shared" si="54"/>
        <v>-5.7949337141593796E-2</v>
      </c>
      <c r="AW213" s="22">
        <f t="shared" si="54"/>
        <v>-5.667752131406488E-2</v>
      </c>
      <c r="AY213" s="85"/>
    </row>
    <row r="214" spans="1:51" x14ac:dyDescent="0.25">
      <c r="A214" s="102" t="str">
        <f t="shared" si="45"/>
        <v>FA Organic</v>
      </c>
      <c r="B214" s="102" t="s">
        <v>963</v>
      </c>
      <c r="C214" s="102" t="s">
        <v>1128</v>
      </c>
      <c r="D214" t="s">
        <v>369</v>
      </c>
      <c r="E214" t="s">
        <v>55</v>
      </c>
      <c r="F214" t="s">
        <v>421</v>
      </c>
      <c r="G214" t="s">
        <v>1161</v>
      </c>
      <c r="H214" t="s">
        <v>1162</v>
      </c>
      <c r="I214" t="s">
        <v>139</v>
      </c>
      <c r="J214" t="s">
        <v>287</v>
      </c>
      <c r="K214" s="22">
        <f t="shared" si="55"/>
        <v>2.6837391724620612</v>
      </c>
      <c r="L214" s="22">
        <f t="shared" si="54"/>
        <v>2.6659501740464377</v>
      </c>
      <c r="M214" s="22">
        <f t="shared" si="54"/>
        <v>2.6284432629742147</v>
      </c>
      <c r="N214" s="22">
        <f t="shared" si="54"/>
        <v>2.5652201666480274</v>
      </c>
      <c r="O214" s="22">
        <f t="shared" si="54"/>
        <v>2.5038795850871476</v>
      </c>
      <c r="P214" s="22">
        <f t="shared" ref="L214:AW220" si="56">P1470</f>
        <v>2.4567000683725801</v>
      </c>
      <c r="Q214" s="22">
        <f t="shared" si="56"/>
        <v>2.414025832280235</v>
      </c>
      <c r="R214" s="22">
        <f t="shared" si="56"/>
        <v>2.3469309692046179</v>
      </c>
      <c r="S214" s="22">
        <f t="shared" si="56"/>
        <v>2.0584007161751039</v>
      </c>
      <c r="T214" s="22">
        <f t="shared" si="56"/>
        <v>2.0780205753529248</v>
      </c>
      <c r="U214" s="22">
        <f t="shared" si="56"/>
        <v>2.0912968000734335</v>
      </c>
      <c r="V214" s="22">
        <f t="shared" si="56"/>
        <v>2.1041412062318772</v>
      </c>
      <c r="W214" s="22">
        <f t="shared" si="56"/>
        <v>2.125382764611714</v>
      </c>
      <c r="X214" s="22">
        <f t="shared" si="56"/>
        <v>2.1459242533678449</v>
      </c>
      <c r="Y214" s="22">
        <f t="shared" si="56"/>
        <v>2.1674897331963128</v>
      </c>
      <c r="Z214" s="22">
        <f t="shared" si="56"/>
        <v>2.1862643907121093</v>
      </c>
      <c r="AA214" s="22">
        <f t="shared" si="56"/>
        <v>2.2076324968582024</v>
      </c>
      <c r="AB214" s="22">
        <f t="shared" si="56"/>
        <v>2.2243537639085806</v>
      </c>
      <c r="AC214" s="22">
        <f t="shared" si="56"/>
        <v>2.2415338344398443</v>
      </c>
      <c r="AD214" s="22">
        <f t="shared" si="56"/>
        <v>2.2495356829125717</v>
      </c>
      <c r="AE214" s="22">
        <f t="shared" si="56"/>
        <v>2.2605078406421084</v>
      </c>
      <c r="AF214" s="22">
        <f t="shared" si="56"/>
        <v>2.2714376528081774</v>
      </c>
      <c r="AG214" s="22">
        <f t="shared" si="56"/>
        <v>2.2232650206980202</v>
      </c>
      <c r="AH214" s="22">
        <f t="shared" si="56"/>
        <v>-0.52443746689921866</v>
      </c>
      <c r="AI214" s="22">
        <f t="shared" si="56"/>
        <v>-0.51227234165292079</v>
      </c>
      <c r="AJ214" s="22">
        <f t="shared" si="56"/>
        <v>-0.50030068007486495</v>
      </c>
      <c r="AK214" s="22">
        <f t="shared" si="56"/>
        <v>-0.48851234957400724</v>
      </c>
      <c r="AL214" s="22">
        <f t="shared" si="56"/>
        <v>-0.47689791808594317</v>
      </c>
      <c r="AM214" s="22">
        <f t="shared" si="56"/>
        <v>-0.46544858915917614</v>
      </c>
      <c r="AN214" s="22">
        <f t="shared" si="56"/>
        <v>-0.45616577335379221</v>
      </c>
      <c r="AO214" s="22">
        <f t="shared" si="56"/>
        <v>-0.44702316326928004</v>
      </c>
      <c r="AP214" s="22">
        <f t="shared" si="56"/>
        <v>-0.4380144054774302</v>
      </c>
      <c r="AQ214" s="22">
        <f t="shared" si="56"/>
        <v>-0.4291335417004612</v>
      </c>
      <c r="AR214" s="22">
        <f t="shared" si="56"/>
        <v>-0.42037497604652191</v>
      </c>
      <c r="AS214" s="22">
        <f t="shared" si="56"/>
        <v>-0.41145361786623369</v>
      </c>
      <c r="AT214" s="22">
        <f t="shared" si="56"/>
        <v>-0.40265493973831684</v>
      </c>
      <c r="AU214" s="22">
        <f t="shared" si="56"/>
        <v>-0.3939741156201515</v>
      </c>
      <c r="AV214" s="22">
        <f t="shared" si="56"/>
        <v>-0.38540659061153143</v>
      </c>
      <c r="AW214" s="22">
        <f t="shared" si="56"/>
        <v>-0.37694806069295739</v>
      </c>
      <c r="AY214" s="85"/>
    </row>
    <row r="215" spans="1:51" x14ac:dyDescent="0.25">
      <c r="A215" s="102" t="str">
        <f t="shared" si="45"/>
        <v>FA Organic</v>
      </c>
      <c r="B215" s="102" t="s">
        <v>963</v>
      </c>
      <c r="C215" s="102" t="s">
        <v>1128</v>
      </c>
      <c r="D215" t="s">
        <v>369</v>
      </c>
      <c r="E215" t="s">
        <v>55</v>
      </c>
      <c r="F215" t="s">
        <v>421</v>
      </c>
      <c r="G215" t="s">
        <v>1163</v>
      </c>
      <c r="H215" t="s">
        <v>1164</v>
      </c>
      <c r="I215" t="s">
        <v>139</v>
      </c>
      <c r="J215" t="s">
        <v>287</v>
      </c>
      <c r="K215" s="22">
        <f t="shared" si="55"/>
        <v>0.34546247453096907</v>
      </c>
      <c r="L215" s="22">
        <f t="shared" si="56"/>
        <v>0.35776618085714956</v>
      </c>
      <c r="M215" s="22">
        <f t="shared" si="56"/>
        <v>0.36753197290523232</v>
      </c>
      <c r="N215" s="22">
        <f t="shared" si="56"/>
        <v>0.37357124020109944</v>
      </c>
      <c r="O215" s="22">
        <f t="shared" si="56"/>
        <v>0.37962311486925576</v>
      </c>
      <c r="P215" s="22">
        <f t="shared" si="56"/>
        <v>0.38765990463300043</v>
      </c>
      <c r="Q215" s="22">
        <f t="shared" si="56"/>
        <v>0.39636651112291715</v>
      </c>
      <c r="R215" s="22">
        <f t="shared" si="56"/>
        <v>0.40089753199851358</v>
      </c>
      <c r="S215" s="22">
        <f t="shared" si="56"/>
        <v>0.36575105397715829</v>
      </c>
      <c r="T215" s="22">
        <f t="shared" si="56"/>
        <v>0.37806101801948427</v>
      </c>
      <c r="U215" s="22">
        <f t="shared" si="56"/>
        <v>0.38944404902970864</v>
      </c>
      <c r="V215" s="22">
        <f t="shared" si="56"/>
        <v>0.40095410706426832</v>
      </c>
      <c r="W215" s="22">
        <f t="shared" si="56"/>
        <v>0.41431554176005497</v>
      </c>
      <c r="X215" s="22">
        <f t="shared" si="56"/>
        <v>0.42783512426761167</v>
      </c>
      <c r="Y215" s="22">
        <f t="shared" si="56"/>
        <v>0.44186503984012609</v>
      </c>
      <c r="Z215" s="22">
        <f t="shared" si="56"/>
        <v>0.45563435576355671</v>
      </c>
      <c r="AA215" s="22">
        <f t="shared" si="56"/>
        <v>0.47026188205754332</v>
      </c>
      <c r="AB215" s="22">
        <f t="shared" si="56"/>
        <v>0.48421794201830248</v>
      </c>
      <c r="AC215" s="22">
        <f t="shared" si="56"/>
        <v>0.49858289829777308</v>
      </c>
      <c r="AD215" s="22">
        <f t="shared" si="56"/>
        <v>0.51686863289566187</v>
      </c>
      <c r="AE215" s="22">
        <f t="shared" si="56"/>
        <v>0.53655701311036041</v>
      </c>
      <c r="AF215" s="22">
        <f t="shared" si="56"/>
        <v>0.55701835701835767</v>
      </c>
      <c r="AG215" s="22">
        <f t="shared" si="56"/>
        <v>0.56333119928831021</v>
      </c>
      <c r="AH215" s="22">
        <f t="shared" si="56"/>
        <v>-0.13731688522656813</v>
      </c>
      <c r="AI215" s="22">
        <f t="shared" si="56"/>
        <v>-0.13862810897609068</v>
      </c>
      <c r="AJ215" s="22">
        <f t="shared" si="56"/>
        <v>-0.13994999382586637</v>
      </c>
      <c r="AK215" s="22">
        <f t="shared" si="56"/>
        <v>-0.14128264066794663</v>
      </c>
      <c r="AL215" s="22">
        <f t="shared" si="56"/>
        <v>-0.14262615130024825</v>
      </c>
      <c r="AM215" s="22">
        <f t="shared" si="56"/>
        <v>-0.14398062843440931</v>
      </c>
      <c r="AN215" s="22">
        <f t="shared" si="56"/>
        <v>-0.14506760905723812</v>
      </c>
      <c r="AO215" s="22">
        <f t="shared" si="56"/>
        <v>-0.14616208765425914</v>
      </c>
      <c r="AP215" s="22">
        <f t="shared" si="56"/>
        <v>-0.14726412356751001</v>
      </c>
      <c r="AQ215" s="22">
        <f t="shared" si="56"/>
        <v>-0.14837377658692755</v>
      </c>
      <c r="AR215" s="22">
        <f t="shared" si="56"/>
        <v>-0.1494911069536225</v>
      </c>
      <c r="AS215" s="22">
        <f t="shared" si="56"/>
        <v>-0.15051381160807262</v>
      </c>
      <c r="AT215" s="22">
        <f t="shared" si="56"/>
        <v>-0.15154240205157654</v>
      </c>
      <c r="AU215" s="22">
        <f t="shared" si="56"/>
        <v>-0.15257691722009936</v>
      </c>
      <c r="AV215" s="22">
        <f t="shared" si="56"/>
        <v>-0.15361739629374987</v>
      </c>
      <c r="AW215" s="22">
        <f t="shared" si="56"/>
        <v>-0.15466387869825843</v>
      </c>
      <c r="AY215" s="85"/>
    </row>
    <row r="216" spans="1:51" x14ac:dyDescent="0.25">
      <c r="A216" s="102" t="str">
        <f t="shared" si="45"/>
        <v>FA Organic</v>
      </c>
      <c r="B216" s="102" t="s">
        <v>963</v>
      </c>
      <c r="C216" s="102" t="s">
        <v>1128</v>
      </c>
      <c r="D216" t="s">
        <v>369</v>
      </c>
      <c r="E216" t="s">
        <v>55</v>
      </c>
      <c r="F216" t="s">
        <v>421</v>
      </c>
      <c r="G216" t="s">
        <v>1165</v>
      </c>
      <c r="H216" t="s">
        <v>1166</v>
      </c>
      <c r="I216" t="s">
        <v>139</v>
      </c>
      <c r="J216" t="s">
        <v>287</v>
      </c>
      <c r="K216" s="22">
        <f t="shared" si="55"/>
        <v>5.8358562487318792E-2</v>
      </c>
      <c r="L216" s="22">
        <f t="shared" si="56"/>
        <v>5.839043159926547E-2</v>
      </c>
      <c r="M216" s="22">
        <f t="shared" si="56"/>
        <v>5.8461792662766042E-2</v>
      </c>
      <c r="N216" s="22">
        <f t="shared" si="56"/>
        <v>5.8569206044707944E-2</v>
      </c>
      <c r="O216" s="22">
        <f t="shared" si="56"/>
        <v>5.87141088514554E-2</v>
      </c>
      <c r="P216" s="22">
        <f t="shared" si="56"/>
        <v>5.8896654838927982E-2</v>
      </c>
      <c r="Q216" s="22">
        <f t="shared" si="56"/>
        <v>5.9100003668857495E-2</v>
      </c>
      <c r="R216" s="22">
        <f t="shared" si="56"/>
        <v>5.9320387521670827E-2</v>
      </c>
      <c r="S216" s="22">
        <f t="shared" si="56"/>
        <v>5.9527484870119066E-2</v>
      </c>
      <c r="T216" s="22">
        <f t="shared" si="56"/>
        <v>5.9613993442869086E-2</v>
      </c>
      <c r="U216" s="22">
        <f t="shared" si="56"/>
        <v>5.9714376068116658E-2</v>
      </c>
      <c r="V216" s="22">
        <f t="shared" si="56"/>
        <v>5.9828612163064419E-2</v>
      </c>
      <c r="W216" s="22">
        <f t="shared" si="56"/>
        <v>5.9957293598347332E-2</v>
      </c>
      <c r="X216" s="22">
        <f t="shared" si="56"/>
        <v>6.0098357419229781E-2</v>
      </c>
      <c r="Y216" s="22">
        <f t="shared" si="56"/>
        <v>6.0185192959010252E-2</v>
      </c>
      <c r="Z216" s="22">
        <f t="shared" si="56"/>
        <v>6.0282190049865431E-2</v>
      </c>
      <c r="AA216" s="22">
        <f t="shared" si="56"/>
        <v>6.0389700688940708E-2</v>
      </c>
      <c r="AB216" s="22">
        <f t="shared" si="56"/>
        <v>6.0506073039024895E-2</v>
      </c>
      <c r="AC216" s="22">
        <f t="shared" si="56"/>
        <v>6.0631723200139168E-2</v>
      </c>
      <c r="AD216" s="22">
        <f t="shared" si="56"/>
        <v>6.0714441042505521E-2</v>
      </c>
      <c r="AE216" s="22">
        <f t="shared" si="56"/>
        <v>6.0805859526171006E-2</v>
      </c>
      <c r="AF216" s="22">
        <f t="shared" si="56"/>
        <v>6.0905156479066316E-2</v>
      </c>
      <c r="AG216" s="22">
        <f t="shared" si="56"/>
        <v>6.1001089999952796E-2</v>
      </c>
      <c r="AH216" s="22">
        <f t="shared" si="56"/>
        <v>6.0590945473242341E-2</v>
      </c>
      <c r="AI216" s="22">
        <f t="shared" si="56"/>
        <v>6.0649192481063346E-2</v>
      </c>
      <c r="AJ216" s="22">
        <f t="shared" si="56"/>
        <v>6.0713468342713614E-2</v>
      </c>
      <c r="AK216" s="22">
        <f t="shared" si="56"/>
        <v>6.0783545293153662E-2</v>
      </c>
      <c r="AL216" s="22">
        <f t="shared" si="56"/>
        <v>6.0859213172163779E-2</v>
      </c>
      <c r="AM216" s="22">
        <f t="shared" si="56"/>
        <v>6.0940277753779866E-2</v>
      </c>
      <c r="AN216" s="22">
        <f t="shared" si="56"/>
        <v>6.0979618468756831E-2</v>
      </c>
      <c r="AO216" s="22">
        <f t="shared" si="56"/>
        <v>6.1023714022373471E-2</v>
      </c>
      <c r="AP216" s="22">
        <f t="shared" si="56"/>
        <v>6.1072398935034244E-2</v>
      </c>
      <c r="AQ216" s="22">
        <f t="shared" si="56"/>
        <v>6.112551905317741E-2</v>
      </c>
      <c r="AR216" s="22">
        <f t="shared" si="56"/>
        <v>6.1182930587073178E-2</v>
      </c>
      <c r="AS216" s="22">
        <f t="shared" si="56"/>
        <v>6.1197093314118836E-2</v>
      </c>
      <c r="AT216" s="22">
        <f t="shared" si="56"/>
        <v>6.1215064670682988E-2</v>
      </c>
      <c r="AU216" s="22">
        <f t="shared" si="56"/>
        <v>6.1236718515027384E-2</v>
      </c>
      <c r="AV216" s="22">
        <f t="shared" si="56"/>
        <v>6.1261936408176808E-2</v>
      </c>
      <c r="AW216" s="22">
        <f t="shared" si="56"/>
        <v>6.1290607021564164E-2</v>
      </c>
      <c r="AY216" s="85"/>
    </row>
    <row r="217" spans="1:51" x14ac:dyDescent="0.25">
      <c r="A217" s="102" t="str">
        <f t="shared" si="45"/>
        <v>FA Organic</v>
      </c>
      <c r="B217" s="102" t="s">
        <v>963</v>
      </c>
      <c r="C217" s="102" t="s">
        <v>1128</v>
      </c>
      <c r="D217" t="s">
        <v>369</v>
      </c>
      <c r="E217" t="s">
        <v>55</v>
      </c>
      <c r="F217" t="s">
        <v>421</v>
      </c>
      <c r="G217" t="s">
        <v>1167</v>
      </c>
      <c r="H217" t="s">
        <v>1168</v>
      </c>
      <c r="I217" t="s">
        <v>139</v>
      </c>
      <c r="J217" t="s">
        <v>287</v>
      </c>
      <c r="K217" s="22">
        <f t="shared" si="55"/>
        <v>4.7495937116525173E-2</v>
      </c>
      <c r="L217" s="22">
        <f t="shared" si="56"/>
        <v>4.7521874241643836E-2</v>
      </c>
      <c r="M217" s="22">
        <f t="shared" si="56"/>
        <v>4.7579952447139875E-2</v>
      </c>
      <c r="N217" s="22">
        <f t="shared" si="56"/>
        <v>4.7667372339213025E-2</v>
      </c>
      <c r="O217" s="22">
        <f t="shared" si="56"/>
        <v>4.7785303527096222E-2</v>
      </c>
      <c r="P217" s="22">
        <f t="shared" si="56"/>
        <v>4.7933871147207763E-2</v>
      </c>
      <c r="Q217" s="22">
        <f t="shared" si="56"/>
        <v>4.8099369453324381E-2</v>
      </c>
      <c r="R217" s="22">
        <f t="shared" si="56"/>
        <v>4.8278731952477678E-2</v>
      </c>
      <c r="S217" s="22">
        <f t="shared" si="56"/>
        <v>4.8447281043127996E-2</v>
      </c>
      <c r="T217" s="22">
        <f t="shared" si="56"/>
        <v>4.8517687262134283E-2</v>
      </c>
      <c r="U217" s="22">
        <f t="shared" si="56"/>
        <v>4.8599385073957294E-2</v>
      </c>
      <c r="V217" s="22">
        <f t="shared" si="56"/>
        <v>4.8692357726997801E-2</v>
      </c>
      <c r="W217" s="22">
        <f t="shared" si="56"/>
        <v>4.8797086923498996E-2</v>
      </c>
      <c r="X217" s="22">
        <f t="shared" si="56"/>
        <v>4.8911893698725943E-2</v>
      </c>
      <c r="Y217" s="22">
        <f t="shared" si="56"/>
        <v>4.8982566024450037E-2</v>
      </c>
      <c r="Z217" s="22">
        <f t="shared" si="56"/>
        <v>4.9061508471477298E-2</v>
      </c>
      <c r="AA217" s="22">
        <f t="shared" si="56"/>
        <v>4.9149007517636747E-2</v>
      </c>
      <c r="AB217" s="22">
        <f t="shared" si="56"/>
        <v>4.9243718791974624E-2</v>
      </c>
      <c r="AC217" s="22">
        <f t="shared" si="56"/>
        <v>4.9345980943347217E-2</v>
      </c>
      <c r="AD217" s="22">
        <f t="shared" si="56"/>
        <v>4.941330202309966E-2</v>
      </c>
      <c r="AE217" s="22">
        <f t="shared" si="56"/>
        <v>4.9487704242181185E-2</v>
      </c>
      <c r="AF217" s="22">
        <f t="shared" si="56"/>
        <v>4.9568518464286178E-2</v>
      </c>
      <c r="AG217" s="22">
        <f t="shared" si="56"/>
        <v>4.9646595309931256E-2</v>
      </c>
      <c r="AH217" s="22">
        <f t="shared" si="56"/>
        <v>4.9312793416617665E-2</v>
      </c>
      <c r="AI217" s="22">
        <f t="shared" si="56"/>
        <v>4.9360198563399564E-2</v>
      </c>
      <c r="AJ217" s="22">
        <f t="shared" si="56"/>
        <v>4.9412510377689269E-2</v>
      </c>
      <c r="AK217" s="22">
        <f t="shared" si="56"/>
        <v>4.9469543489705052E-2</v>
      </c>
      <c r="AL217" s="22">
        <f t="shared" si="56"/>
        <v>4.9531126857595344E-2</v>
      </c>
      <c r="AM217" s="22">
        <f t="shared" si="56"/>
        <v>4.9597102407826756E-2</v>
      </c>
      <c r="AN217" s="22">
        <f t="shared" si="56"/>
        <v>4.9629120402188261E-2</v>
      </c>
      <c r="AO217" s="22">
        <f t="shared" si="56"/>
        <v>4.9665008188871658E-2</v>
      </c>
      <c r="AP217" s="22">
        <f t="shared" si="56"/>
        <v>4.9704631089979995E-2</v>
      </c>
      <c r="AQ217" s="22">
        <f t="shared" si="56"/>
        <v>4.9747863645468307E-2</v>
      </c>
      <c r="AR217" s="22">
        <f t="shared" si="56"/>
        <v>4.9794588830042001E-2</v>
      </c>
      <c r="AS217" s="22">
        <f t="shared" si="56"/>
        <v>4.9806115364700997E-2</v>
      </c>
      <c r="AT217" s="22">
        <f t="shared" si="56"/>
        <v>4.9820741606076545E-2</v>
      </c>
      <c r="AU217" s="22">
        <f t="shared" si="56"/>
        <v>4.9838364891940323E-2</v>
      </c>
      <c r="AV217" s="22">
        <f t="shared" si="56"/>
        <v>4.9858888829066014E-2</v>
      </c>
      <c r="AW217" s="22">
        <f t="shared" si="56"/>
        <v>4.988222281113306E-2</v>
      </c>
      <c r="AY217" s="85"/>
    </row>
    <row r="218" spans="1:51" x14ac:dyDescent="0.25">
      <c r="A218" s="102" t="str">
        <f t="shared" si="45"/>
        <v>FA Organic</v>
      </c>
      <c r="B218" s="102" t="s">
        <v>963</v>
      </c>
      <c r="C218" s="102" t="s">
        <v>1128</v>
      </c>
      <c r="D218" t="s">
        <v>369</v>
      </c>
      <c r="E218" t="s">
        <v>55</v>
      </c>
      <c r="F218" t="s">
        <v>421</v>
      </c>
      <c r="G218" t="s">
        <v>1169</v>
      </c>
      <c r="H218" t="s">
        <v>1170</v>
      </c>
      <c r="I218" t="s">
        <v>139</v>
      </c>
      <c r="J218" t="s">
        <v>287</v>
      </c>
      <c r="K218" s="22">
        <f t="shared" si="55"/>
        <v>7.2138531984991348E-3</v>
      </c>
      <c r="L218" s="22">
        <f t="shared" si="56"/>
        <v>7.2326686364155846E-3</v>
      </c>
      <c r="M218" s="22">
        <f t="shared" si="56"/>
        <v>7.2577418741351651E-3</v>
      </c>
      <c r="N218" s="22">
        <f t="shared" si="56"/>
        <v>7.2885154843188495E-3</v>
      </c>
      <c r="O218" s="22">
        <f t="shared" si="56"/>
        <v>7.3253592647283981E-3</v>
      </c>
      <c r="P218" s="22">
        <f t="shared" si="56"/>
        <v>7.3683712611583496E-3</v>
      </c>
      <c r="Q218" s="22">
        <f t="shared" si="56"/>
        <v>7.4143590148475543E-3</v>
      </c>
      <c r="R218" s="22">
        <f t="shared" si="56"/>
        <v>7.4626649386195258E-3</v>
      </c>
      <c r="S218" s="22">
        <f t="shared" si="56"/>
        <v>7.5075390200834997E-3</v>
      </c>
      <c r="T218" s="22">
        <f t="shared" si="56"/>
        <v>7.5285683818169559E-3</v>
      </c>
      <c r="U218" s="22">
        <f t="shared" si="56"/>
        <v>7.551628242645091E-3</v>
      </c>
      <c r="V218" s="22">
        <f t="shared" si="56"/>
        <v>7.5767478661135802E-3</v>
      </c>
      <c r="W218" s="22">
        <f t="shared" si="56"/>
        <v>7.6040674331418288E-3</v>
      </c>
      <c r="X218" s="22">
        <f t="shared" si="56"/>
        <v>7.6332191171963838E-3</v>
      </c>
      <c r="Y218" s="22">
        <f t="shared" si="56"/>
        <v>7.6516457516964944E-3</v>
      </c>
      <c r="Z218" s="22">
        <f t="shared" si="56"/>
        <v>7.671582433208788E-3</v>
      </c>
      <c r="AA218" s="22">
        <f t="shared" si="56"/>
        <v>7.6931116410769856E-3</v>
      </c>
      <c r="AB218" s="22">
        <f t="shared" si="56"/>
        <v>7.715936982347839E-3</v>
      </c>
      <c r="AC218" s="22">
        <f t="shared" si="56"/>
        <v>7.7401497609019794E-3</v>
      </c>
      <c r="AD218" s="22">
        <f t="shared" si="56"/>
        <v>7.7560075231361287E-3</v>
      </c>
      <c r="AE218" s="22">
        <f t="shared" si="56"/>
        <v>7.7732053799270803E-3</v>
      </c>
      <c r="AF218" s="22">
        <f t="shared" si="56"/>
        <v>7.791597942347143E-3</v>
      </c>
      <c r="AG218" s="22">
        <f t="shared" si="56"/>
        <v>7.8091049737688241E-3</v>
      </c>
      <c r="AH218" s="22">
        <f t="shared" si="56"/>
        <v>7.7325738697111325E-3</v>
      </c>
      <c r="AI218" s="22">
        <f t="shared" si="56"/>
        <v>7.7428137523622292E-3</v>
      </c>
      <c r="AJ218" s="22">
        <f t="shared" si="56"/>
        <v>7.7539717945612581E-3</v>
      </c>
      <c r="AK218" s="22">
        <f t="shared" si="56"/>
        <v>7.7660107090851711E-3</v>
      </c>
      <c r="AL218" s="22">
        <f t="shared" si="56"/>
        <v>7.7788961009166192E-3</v>
      </c>
      <c r="AM218" s="22">
        <f t="shared" si="56"/>
        <v>7.7925961903206999E-3</v>
      </c>
      <c r="AN218" s="22">
        <f t="shared" si="56"/>
        <v>7.7984769319172685E-3</v>
      </c>
      <c r="AO218" s="22">
        <f t="shared" si="56"/>
        <v>7.8050916075083259E-3</v>
      </c>
      <c r="AP218" s="22">
        <f t="shared" si="56"/>
        <v>7.8124125478177013E-3</v>
      </c>
      <c r="AQ218" s="22">
        <f t="shared" si="56"/>
        <v>7.8204139817466406E-3</v>
      </c>
      <c r="AR218" s="22">
        <f t="shared" si="56"/>
        <v>7.8290718737514843E-3</v>
      </c>
      <c r="AS218" s="22">
        <f t="shared" si="56"/>
        <v>7.8297473619786898E-3</v>
      </c>
      <c r="AT218" s="22">
        <f t="shared" si="56"/>
        <v>7.8310235836071794E-3</v>
      </c>
      <c r="AU218" s="22">
        <f t="shared" si="56"/>
        <v>7.8328789644581572E-3</v>
      </c>
      <c r="AV218" s="22">
        <f t="shared" si="56"/>
        <v>7.835293250883028E-3</v>
      </c>
      <c r="AW218" s="22">
        <f t="shared" si="56"/>
        <v>7.8382474074589117E-3</v>
      </c>
      <c r="AY218" s="85"/>
    </row>
    <row r="219" spans="1:51" x14ac:dyDescent="0.25">
      <c r="A219" s="102" t="str">
        <f t="shared" si="45"/>
        <v>FA Organic</v>
      </c>
      <c r="B219" s="102" t="s">
        <v>963</v>
      </c>
      <c r="C219" s="102" t="s">
        <v>1128</v>
      </c>
      <c r="D219" t="s">
        <v>369</v>
      </c>
      <c r="E219" t="s">
        <v>55</v>
      </c>
      <c r="F219" t="s">
        <v>421</v>
      </c>
      <c r="G219" t="s">
        <v>1171</v>
      </c>
      <c r="H219" t="s">
        <v>1172</v>
      </c>
      <c r="I219" t="s">
        <v>139</v>
      </c>
      <c r="J219" t="s">
        <v>287</v>
      </c>
      <c r="K219" s="22">
        <f t="shared" si="55"/>
        <v>8.7042781172852426E-2</v>
      </c>
      <c r="L219" s="22">
        <f t="shared" si="56"/>
        <v>8.7269809364329015E-2</v>
      </c>
      <c r="M219" s="22">
        <f t="shared" si="56"/>
        <v>8.7572344539923463E-2</v>
      </c>
      <c r="N219" s="22">
        <f t="shared" si="56"/>
        <v>8.7943660748253619E-2</v>
      </c>
      <c r="O219" s="22">
        <f t="shared" si="56"/>
        <v>8.8388219991077738E-2</v>
      </c>
      <c r="P219" s="22">
        <f t="shared" si="56"/>
        <v>8.8907205294776276E-2</v>
      </c>
      <c r="Q219" s="22">
        <f t="shared" si="56"/>
        <v>8.9462096262315383E-2</v>
      </c>
      <c r="R219" s="22">
        <f t="shared" si="56"/>
        <v>9.0044958407765094E-2</v>
      </c>
      <c r="S219" s="22">
        <f t="shared" si="56"/>
        <v>9.058641174008604E-2</v>
      </c>
      <c r="T219" s="22">
        <f t="shared" si="56"/>
        <v>9.0840153267838591E-2</v>
      </c>
      <c r="U219" s="22">
        <f t="shared" si="56"/>
        <v>9.1118394918272713E-2</v>
      </c>
      <c r="V219" s="22">
        <f t="shared" si="56"/>
        <v>9.1421489787068641E-2</v>
      </c>
      <c r="W219" s="22">
        <f t="shared" si="56"/>
        <v>9.1751129305526188E-2</v>
      </c>
      <c r="X219" s="22">
        <f t="shared" si="56"/>
        <v>9.2102875256845074E-2</v>
      </c>
      <c r="Y219" s="22">
        <f t="shared" si="56"/>
        <v>9.232521212320649E-2</v>
      </c>
      <c r="Z219" s="22">
        <f t="shared" si="56"/>
        <v>9.2565769306508783E-2</v>
      </c>
      <c r="AA219" s="22">
        <f t="shared" si="56"/>
        <v>9.2825542007412429E-2</v>
      </c>
      <c r="AB219" s="22">
        <f t="shared" si="56"/>
        <v>9.3100953930938646E-2</v>
      </c>
      <c r="AC219" s="22">
        <f t="shared" si="56"/>
        <v>9.339310675513432E-2</v>
      </c>
      <c r="AD219" s="22">
        <f t="shared" si="56"/>
        <v>9.3584447456151826E-2</v>
      </c>
      <c r="AE219" s="22">
        <f t="shared" si="56"/>
        <v>9.3791957817689064E-2</v>
      </c>
      <c r="AF219" s="22">
        <f t="shared" si="56"/>
        <v>9.4013883568308809E-2</v>
      </c>
      <c r="AG219" s="22">
        <f t="shared" si="56"/>
        <v>9.4225124449304393E-2</v>
      </c>
      <c r="AH219" s="22">
        <f t="shared" si="56"/>
        <v>9.3301695602041948E-2</v>
      </c>
      <c r="AI219" s="22">
        <f t="shared" si="56"/>
        <v>9.342525063432626E-2</v>
      </c>
      <c r="AJ219" s="22">
        <f t="shared" si="56"/>
        <v>9.3559884234251725E-2</v>
      </c>
      <c r="AK219" s="22">
        <f t="shared" si="56"/>
        <v>9.370514649197019E-2</v>
      </c>
      <c r="AL219" s="22">
        <f t="shared" si="56"/>
        <v>9.3860622395159451E-2</v>
      </c>
      <c r="AM219" s="22">
        <f t="shared" si="56"/>
        <v>9.4025928487650484E-2</v>
      </c>
      <c r="AN219" s="22">
        <f t="shared" si="56"/>
        <v>9.4096885865051882E-2</v>
      </c>
      <c r="AO219" s="22">
        <f t="shared" si="56"/>
        <v>9.4176698933624112E-2</v>
      </c>
      <c r="AP219" s="22">
        <f t="shared" si="56"/>
        <v>9.4265033834237441E-2</v>
      </c>
      <c r="AQ219" s="22">
        <f t="shared" si="56"/>
        <v>9.4361579611283539E-2</v>
      </c>
      <c r="AR219" s="22">
        <f t="shared" si="56"/>
        <v>9.4466046250465022E-2</v>
      </c>
      <c r="AS219" s="22">
        <f t="shared" si="56"/>
        <v>9.4474196731536342E-2</v>
      </c>
      <c r="AT219" s="22">
        <f t="shared" si="56"/>
        <v>9.4489595697509143E-2</v>
      </c>
      <c r="AU219" s="22">
        <f t="shared" si="56"/>
        <v>9.4511982833060726E-2</v>
      </c>
      <c r="AV219" s="22">
        <f t="shared" si="56"/>
        <v>9.4541113756464096E-2</v>
      </c>
      <c r="AW219" s="22">
        <f t="shared" si="56"/>
        <v>9.4576758785176129E-2</v>
      </c>
      <c r="AY219" s="85"/>
    </row>
    <row r="220" spans="1:51" x14ac:dyDescent="0.25">
      <c r="A220" s="102" t="str">
        <f t="shared" si="45"/>
        <v>FA Organic</v>
      </c>
      <c r="B220" s="102" t="s">
        <v>963</v>
      </c>
      <c r="C220" s="102" t="s">
        <v>1128</v>
      </c>
      <c r="D220" t="s">
        <v>369</v>
      </c>
      <c r="E220" t="s">
        <v>55</v>
      </c>
      <c r="F220" t="s">
        <v>421</v>
      </c>
      <c r="G220" t="s">
        <v>1173</v>
      </c>
      <c r="H220" t="s">
        <v>1174</v>
      </c>
      <c r="I220" t="s">
        <v>139</v>
      </c>
      <c r="J220" t="s">
        <v>287</v>
      </c>
      <c r="K220" s="22">
        <f t="shared" si="55"/>
        <v>0</v>
      </c>
      <c r="L220" s="22">
        <f t="shared" si="56"/>
        <v>0</v>
      </c>
      <c r="M220" s="22">
        <f t="shared" si="56"/>
        <v>0</v>
      </c>
      <c r="N220" s="22">
        <f t="shared" si="56"/>
        <v>0</v>
      </c>
      <c r="O220" s="22">
        <f t="shared" si="56"/>
        <v>0</v>
      </c>
      <c r="P220" s="22">
        <f t="shared" si="56"/>
        <v>0</v>
      </c>
      <c r="Q220" s="22">
        <f t="shared" si="56"/>
        <v>0</v>
      </c>
      <c r="R220" s="22">
        <f t="shared" si="56"/>
        <v>0</v>
      </c>
      <c r="S220" s="22">
        <f t="shared" si="56"/>
        <v>0</v>
      </c>
      <c r="T220" s="22">
        <f t="shared" si="56"/>
        <v>0</v>
      </c>
      <c r="U220" s="22">
        <f t="shared" si="56"/>
        <v>0</v>
      </c>
      <c r="V220" s="22">
        <f t="shared" si="56"/>
        <v>0</v>
      </c>
      <c r="W220" s="22">
        <f t="shared" si="56"/>
        <v>0</v>
      </c>
      <c r="X220" s="22">
        <f t="shared" si="56"/>
        <v>0</v>
      </c>
      <c r="Y220" s="22">
        <f t="shared" si="56"/>
        <v>0</v>
      </c>
      <c r="Z220" s="22">
        <f t="shared" si="56"/>
        <v>0</v>
      </c>
      <c r="AA220" s="22">
        <f t="shared" si="56"/>
        <v>0</v>
      </c>
      <c r="AB220" s="22">
        <f t="shared" si="56"/>
        <v>0</v>
      </c>
      <c r="AC220" s="22">
        <f t="shared" si="56"/>
        <v>0</v>
      </c>
      <c r="AD220" s="22">
        <f t="shared" si="56"/>
        <v>0</v>
      </c>
      <c r="AE220" s="22">
        <f t="shared" si="56"/>
        <v>0</v>
      </c>
      <c r="AF220" s="22">
        <f t="shared" si="56"/>
        <v>0</v>
      </c>
      <c r="AG220" s="22">
        <f t="shared" si="56"/>
        <v>0</v>
      </c>
      <c r="AH220" s="22">
        <f t="shared" si="56"/>
        <v>0</v>
      </c>
      <c r="AI220" s="22">
        <f t="shared" si="56"/>
        <v>0</v>
      </c>
      <c r="AJ220" s="22">
        <f t="shared" si="56"/>
        <v>0</v>
      </c>
      <c r="AK220" s="22">
        <f t="shared" si="56"/>
        <v>0</v>
      </c>
      <c r="AL220" s="22">
        <f t="shared" si="56"/>
        <v>0</v>
      </c>
      <c r="AM220" s="22">
        <f t="shared" si="56"/>
        <v>0</v>
      </c>
      <c r="AN220" s="22">
        <f t="shared" si="56"/>
        <v>0</v>
      </c>
      <c r="AO220" s="22">
        <f t="shared" si="56"/>
        <v>0</v>
      </c>
      <c r="AP220" s="22">
        <f t="shared" si="56"/>
        <v>0</v>
      </c>
      <c r="AQ220" s="22">
        <f t="shared" ref="L220:AW227" si="57">AQ1476</f>
        <v>0</v>
      </c>
      <c r="AR220" s="22">
        <f t="shared" si="57"/>
        <v>0</v>
      </c>
      <c r="AS220" s="22">
        <f t="shared" si="57"/>
        <v>0</v>
      </c>
      <c r="AT220" s="22">
        <f t="shared" si="57"/>
        <v>0</v>
      </c>
      <c r="AU220" s="22">
        <f t="shared" si="57"/>
        <v>0</v>
      </c>
      <c r="AV220" s="22">
        <f t="shared" si="57"/>
        <v>0</v>
      </c>
      <c r="AW220" s="22">
        <f t="shared" si="57"/>
        <v>0</v>
      </c>
      <c r="AY220" s="85"/>
    </row>
    <row r="221" spans="1:51" x14ac:dyDescent="0.25">
      <c r="A221" s="102" t="str">
        <f t="shared" si="45"/>
        <v>FA Organic</v>
      </c>
      <c r="B221" s="102" t="s">
        <v>963</v>
      </c>
      <c r="C221" s="102" t="s">
        <v>1128</v>
      </c>
      <c r="D221" t="s">
        <v>369</v>
      </c>
      <c r="E221" t="s">
        <v>55</v>
      </c>
      <c r="F221" t="s">
        <v>421</v>
      </c>
      <c r="G221" t="s">
        <v>1175</v>
      </c>
      <c r="H221" t="s">
        <v>1176</v>
      </c>
      <c r="I221" t="s">
        <v>139</v>
      </c>
      <c r="J221" t="s">
        <v>287</v>
      </c>
      <c r="K221" s="22">
        <f t="shared" si="55"/>
        <v>0</v>
      </c>
      <c r="L221" s="22">
        <f t="shared" si="57"/>
        <v>0</v>
      </c>
      <c r="M221" s="22">
        <f t="shared" si="57"/>
        <v>0</v>
      </c>
      <c r="N221" s="22">
        <f t="shared" si="57"/>
        <v>0</v>
      </c>
      <c r="O221" s="22">
        <f t="shared" si="57"/>
        <v>0</v>
      </c>
      <c r="P221" s="22">
        <f t="shared" si="57"/>
        <v>0</v>
      </c>
      <c r="Q221" s="22">
        <f t="shared" si="57"/>
        <v>0</v>
      </c>
      <c r="R221" s="22">
        <f t="shared" si="57"/>
        <v>0</v>
      </c>
      <c r="S221" s="22">
        <f t="shared" si="57"/>
        <v>0</v>
      </c>
      <c r="T221" s="22">
        <f t="shared" si="57"/>
        <v>0</v>
      </c>
      <c r="U221" s="22">
        <f t="shared" si="57"/>
        <v>0</v>
      </c>
      <c r="V221" s="22">
        <f t="shared" si="57"/>
        <v>0</v>
      </c>
      <c r="W221" s="22">
        <f t="shared" si="57"/>
        <v>0</v>
      </c>
      <c r="X221" s="22">
        <f t="shared" si="57"/>
        <v>0</v>
      </c>
      <c r="Y221" s="22">
        <f t="shared" si="57"/>
        <v>0</v>
      </c>
      <c r="Z221" s="22">
        <f t="shared" si="57"/>
        <v>0</v>
      </c>
      <c r="AA221" s="22">
        <f t="shared" si="57"/>
        <v>0</v>
      </c>
      <c r="AB221" s="22">
        <f t="shared" si="57"/>
        <v>0</v>
      </c>
      <c r="AC221" s="22">
        <f t="shared" si="57"/>
        <v>0</v>
      </c>
      <c r="AD221" s="22">
        <f t="shared" si="57"/>
        <v>0</v>
      </c>
      <c r="AE221" s="22">
        <f t="shared" si="57"/>
        <v>0</v>
      </c>
      <c r="AF221" s="22">
        <f t="shared" si="57"/>
        <v>0</v>
      </c>
      <c r="AG221" s="22">
        <f t="shared" si="57"/>
        <v>0</v>
      </c>
      <c r="AH221" s="22">
        <f t="shared" si="57"/>
        <v>0</v>
      </c>
      <c r="AI221" s="22">
        <f t="shared" si="57"/>
        <v>0</v>
      </c>
      <c r="AJ221" s="22">
        <f t="shared" si="57"/>
        <v>0</v>
      </c>
      <c r="AK221" s="22">
        <f t="shared" si="57"/>
        <v>0</v>
      </c>
      <c r="AL221" s="22">
        <f t="shared" si="57"/>
        <v>0</v>
      </c>
      <c r="AM221" s="22">
        <f t="shared" si="57"/>
        <v>0</v>
      </c>
      <c r="AN221" s="22">
        <f t="shared" si="57"/>
        <v>0</v>
      </c>
      <c r="AO221" s="22">
        <f t="shared" si="57"/>
        <v>0</v>
      </c>
      <c r="AP221" s="22">
        <f t="shared" si="57"/>
        <v>0</v>
      </c>
      <c r="AQ221" s="22">
        <f t="shared" si="57"/>
        <v>0</v>
      </c>
      <c r="AR221" s="22">
        <f t="shared" si="57"/>
        <v>0</v>
      </c>
      <c r="AS221" s="22">
        <f t="shared" si="57"/>
        <v>0</v>
      </c>
      <c r="AT221" s="22">
        <f t="shared" si="57"/>
        <v>0</v>
      </c>
      <c r="AU221" s="22">
        <f t="shared" si="57"/>
        <v>0</v>
      </c>
      <c r="AV221" s="22">
        <f t="shared" si="57"/>
        <v>0</v>
      </c>
      <c r="AW221" s="22">
        <f t="shared" si="57"/>
        <v>0</v>
      </c>
      <c r="AY221" s="85"/>
    </row>
    <row r="222" spans="1:51" x14ac:dyDescent="0.25">
      <c r="A222" s="102" t="str">
        <f t="shared" si="45"/>
        <v>FA Organic</v>
      </c>
      <c r="B222" s="102" t="s">
        <v>963</v>
      </c>
      <c r="C222" s="102" t="s">
        <v>1128</v>
      </c>
      <c r="D222" t="s">
        <v>369</v>
      </c>
      <c r="E222" t="s">
        <v>55</v>
      </c>
      <c r="F222" t="s">
        <v>421</v>
      </c>
      <c r="G222" t="s">
        <v>1177</v>
      </c>
      <c r="H222" t="s">
        <v>1178</v>
      </c>
      <c r="I222" t="s">
        <v>139</v>
      </c>
      <c r="J222" t="s">
        <v>287</v>
      </c>
      <c r="K222" s="22">
        <f t="shared" si="55"/>
        <v>0.125581463448449</v>
      </c>
      <c r="L222" s="22">
        <f t="shared" si="57"/>
        <v>0.125185082671006</v>
      </c>
      <c r="M222" s="22">
        <f t="shared" si="57"/>
        <v>0.12387425442661908</v>
      </c>
      <c r="N222" s="22">
        <f t="shared" si="57"/>
        <v>0.12132911183874903</v>
      </c>
      <c r="O222" s="22">
        <f t="shared" si="57"/>
        <v>0.1188953282361286</v>
      </c>
      <c r="P222" s="22">
        <f t="shared" si="57"/>
        <v>0.11718799777455163</v>
      </c>
      <c r="Q222" s="22">
        <f t="shared" si="57"/>
        <v>0.11574203128248971</v>
      </c>
      <c r="R222" s="22">
        <f t="shared" si="57"/>
        <v>0.11307943655863528</v>
      </c>
      <c r="S222" s="22">
        <f t="shared" si="57"/>
        <v>9.8992483819013391E-2</v>
      </c>
      <c r="T222" s="22">
        <f t="shared" si="57"/>
        <v>9.9621540773874098E-2</v>
      </c>
      <c r="U222" s="22">
        <f t="shared" si="57"/>
        <v>9.9937301593485559E-2</v>
      </c>
      <c r="V222" s="22">
        <f t="shared" si="57"/>
        <v>0.10024428291849223</v>
      </c>
      <c r="W222" s="22">
        <f t="shared" si="57"/>
        <v>0.10099411627265523</v>
      </c>
      <c r="X222" s="22">
        <f t="shared" si="57"/>
        <v>0.10171874148627991</v>
      </c>
      <c r="Y222" s="22">
        <f t="shared" si="57"/>
        <v>0.1025500722540789</v>
      </c>
      <c r="Z222" s="22">
        <f t="shared" si="57"/>
        <v>0.10324784841270714</v>
      </c>
      <c r="AA222" s="22">
        <f t="shared" si="57"/>
        <v>0.10408641302096616</v>
      </c>
      <c r="AB222" s="22">
        <f t="shared" si="57"/>
        <v>0.10469683987160423</v>
      </c>
      <c r="AC222" s="22">
        <f t="shared" si="57"/>
        <v>0.10533895546772398</v>
      </c>
      <c r="AD222" s="22">
        <f t="shared" si="57"/>
        <v>0.10652330160399656</v>
      </c>
      <c r="AE222" s="22">
        <f t="shared" si="57"/>
        <v>0.10790681124778287</v>
      </c>
      <c r="AF222" s="22">
        <f t="shared" si="57"/>
        <v>0.10933849435388519</v>
      </c>
      <c r="AG222" s="22">
        <f t="shared" si="57"/>
        <v>0.10772941024216406</v>
      </c>
      <c r="AH222" s="22">
        <f t="shared" si="57"/>
        <v>-3.634870651063056E-2</v>
      </c>
      <c r="AI222" s="22">
        <f t="shared" si="57"/>
        <v>-3.5951110371359889E-2</v>
      </c>
      <c r="AJ222" s="22">
        <f t="shared" si="57"/>
        <v>-3.5562030175799973E-2</v>
      </c>
      <c r="AK222" s="22">
        <f t="shared" si="57"/>
        <v>-3.5180908821616855E-2</v>
      </c>
      <c r="AL222" s="22">
        <f t="shared" si="57"/>
        <v>-3.4807229997572818E-2</v>
      </c>
      <c r="AM222" s="22">
        <f t="shared" si="57"/>
        <v>-3.4440514238790632E-2</v>
      </c>
      <c r="AN222" s="22">
        <f t="shared" si="57"/>
        <v>-3.4038300116717851E-2</v>
      </c>
      <c r="AO222" s="22">
        <f t="shared" si="57"/>
        <v>-3.3643177597525331E-2</v>
      </c>
      <c r="AP222" s="22">
        <f t="shared" si="57"/>
        <v>-3.325473249917061E-2</v>
      </c>
      <c r="AQ222" s="22">
        <f t="shared" si="57"/>
        <v>-3.2872577693066611E-2</v>
      </c>
      <c r="AR222" s="22">
        <f t="shared" si="57"/>
        <v>-3.2496350766594746E-2</v>
      </c>
      <c r="AS222" s="22">
        <f t="shared" si="57"/>
        <v>-3.2086347643088084E-2</v>
      </c>
      <c r="AT222" s="22">
        <f t="shared" si="57"/>
        <v>-3.1682606758135223E-2</v>
      </c>
      <c r="AU222" s="22">
        <f t="shared" si="57"/>
        <v>-3.1284805771392483E-2</v>
      </c>
      <c r="AV222" s="22">
        <f t="shared" si="57"/>
        <v>-3.0892641387511636E-2</v>
      </c>
      <c r="AW222" s="22">
        <f t="shared" si="57"/>
        <v>-3.0505827871256618E-2</v>
      </c>
      <c r="AY222" s="85"/>
    </row>
    <row r="223" spans="1:51" x14ac:dyDescent="0.25">
      <c r="A223" s="102" t="str">
        <f t="shared" si="45"/>
        <v>FA Organic</v>
      </c>
      <c r="B223" s="102" t="s">
        <v>963</v>
      </c>
      <c r="C223" s="102" t="s">
        <v>1128</v>
      </c>
      <c r="D223" t="s">
        <v>369</v>
      </c>
      <c r="E223" t="s">
        <v>55</v>
      </c>
      <c r="F223" t="s">
        <v>421</v>
      </c>
      <c r="G223" t="s">
        <v>1179</v>
      </c>
      <c r="H223" t="s">
        <v>1180</v>
      </c>
      <c r="I223" t="s">
        <v>139</v>
      </c>
      <c r="J223" t="s">
        <v>287</v>
      </c>
      <c r="K223" s="22">
        <f t="shared" si="55"/>
        <v>3.1860496839281362E-2</v>
      </c>
      <c r="L223" s="22">
        <f t="shared" si="57"/>
        <v>3.1759933522370665E-2</v>
      </c>
      <c r="M223" s="22">
        <f t="shared" si="57"/>
        <v>3.1427371391063171E-2</v>
      </c>
      <c r="N223" s="22">
        <f t="shared" si="57"/>
        <v>3.0781658997293845E-2</v>
      </c>
      <c r="O223" s="22">
        <f t="shared" si="57"/>
        <v>3.0164198803332858E-2</v>
      </c>
      <c r="P223" s="22">
        <f t="shared" si="57"/>
        <v>2.973104254538711E-2</v>
      </c>
      <c r="Q223" s="22">
        <f t="shared" si="57"/>
        <v>2.9364195324587221E-2</v>
      </c>
      <c r="R223" s="22">
        <f t="shared" si="57"/>
        <v>2.8688684875400002E-2</v>
      </c>
      <c r="S223" s="22">
        <f t="shared" si="57"/>
        <v>2.5114771171009475E-2</v>
      </c>
      <c r="T223" s="22">
        <f t="shared" si="57"/>
        <v>2.5274365322659843E-2</v>
      </c>
      <c r="U223" s="22">
        <f t="shared" si="57"/>
        <v>2.535447504840236E-2</v>
      </c>
      <c r="V223" s="22">
        <f t="shared" si="57"/>
        <v>2.5432357382837084E-2</v>
      </c>
      <c r="W223" s="22">
        <f t="shared" si="57"/>
        <v>2.562259296820359E-2</v>
      </c>
      <c r="X223" s="22">
        <f t="shared" si="57"/>
        <v>2.5806433152052291E-2</v>
      </c>
      <c r="Y223" s="22">
        <f t="shared" si="57"/>
        <v>2.6017344942475328E-2</v>
      </c>
      <c r="Z223" s="22">
        <f t="shared" si="57"/>
        <v>2.6194373418542003E-2</v>
      </c>
      <c r="AA223" s="22">
        <f t="shared" si="57"/>
        <v>2.6407120461913867E-2</v>
      </c>
      <c r="AB223" s="22">
        <f t="shared" si="57"/>
        <v>2.6561988084979515E-2</v>
      </c>
      <c r="AC223" s="22">
        <f t="shared" si="57"/>
        <v>2.6724895263784808E-2</v>
      </c>
      <c r="AD223" s="22">
        <f t="shared" si="57"/>
        <v>2.7025368401261952E-2</v>
      </c>
      <c r="AE223" s="22">
        <f t="shared" si="57"/>
        <v>2.7376370081148127E-2</v>
      </c>
      <c r="AF223" s="22">
        <f t="shared" si="57"/>
        <v>2.7739593552385582E-2</v>
      </c>
      <c r="AG223" s="22">
        <f t="shared" si="57"/>
        <v>2.7331362768575094E-2</v>
      </c>
      <c r="AH223" s="22">
        <f t="shared" si="57"/>
        <v>-9.2218056478478912E-3</v>
      </c>
      <c r="AI223" s="22">
        <f t="shared" si="57"/>
        <v>-9.1209339890003793E-3</v>
      </c>
      <c r="AJ223" s="22">
        <f t="shared" si="57"/>
        <v>-9.0222228575924188E-3</v>
      </c>
      <c r="AK223" s="22">
        <f t="shared" si="57"/>
        <v>-8.9255309146344646E-3</v>
      </c>
      <c r="AL223" s="22">
        <f t="shared" si="57"/>
        <v>-8.8307271699938471E-3</v>
      </c>
      <c r="AM223" s="22">
        <f t="shared" si="57"/>
        <v>-8.7376899816002714E-3</v>
      </c>
      <c r="AN223" s="22">
        <f t="shared" si="57"/>
        <v>-8.6356467228810053E-3</v>
      </c>
      <c r="AO223" s="22">
        <f t="shared" si="57"/>
        <v>-8.5354026308934166E-3</v>
      </c>
      <c r="AP223" s="22">
        <f t="shared" si="57"/>
        <v>-8.436852626071684E-3</v>
      </c>
      <c r="AQ223" s="22">
        <f t="shared" si="57"/>
        <v>-8.3398984924149214E-3</v>
      </c>
      <c r="AR223" s="22">
        <f t="shared" si="57"/>
        <v>-8.2444482844578407E-3</v>
      </c>
      <c r="AS223" s="22">
        <f t="shared" si="57"/>
        <v>-8.1404289263306579E-3</v>
      </c>
      <c r="AT223" s="22">
        <f t="shared" si="57"/>
        <v>-8.0379983220384144E-3</v>
      </c>
      <c r="AU223" s="22">
        <f t="shared" si="57"/>
        <v>-7.9370746926049739E-3</v>
      </c>
      <c r="AV223" s="22">
        <f t="shared" si="57"/>
        <v>-7.8375810908422969E-3</v>
      </c>
      <c r="AW223" s="22">
        <f t="shared" si="57"/>
        <v>-7.7394450246298409E-3</v>
      </c>
      <c r="AY223" s="85"/>
    </row>
    <row r="224" spans="1:51" x14ac:dyDescent="0.25">
      <c r="A224" s="102" t="str">
        <f t="shared" si="45"/>
        <v>FA Organic</v>
      </c>
      <c r="B224" s="102" t="s">
        <v>963</v>
      </c>
      <c r="C224" s="102" t="s">
        <v>1128</v>
      </c>
      <c r="D224" t="s">
        <v>369</v>
      </c>
      <c r="E224" t="s">
        <v>55</v>
      </c>
      <c r="F224" t="s">
        <v>421</v>
      </c>
      <c r="G224" t="s">
        <v>1181</v>
      </c>
      <c r="H224" t="s">
        <v>1182</v>
      </c>
      <c r="I224" t="s">
        <v>139</v>
      </c>
      <c r="J224" t="s">
        <v>287</v>
      </c>
      <c r="K224" s="22">
        <f t="shared" si="55"/>
        <v>0.1578659423422277</v>
      </c>
      <c r="L224" s="22">
        <f t="shared" si="57"/>
        <v>0.16128463868664497</v>
      </c>
      <c r="M224" s="22">
        <f t="shared" si="57"/>
        <v>0.16403927917478689</v>
      </c>
      <c r="N224" s="22">
        <f t="shared" si="57"/>
        <v>0.16583912134746412</v>
      </c>
      <c r="O224" s="22">
        <f t="shared" si="57"/>
        <v>0.16766339315982179</v>
      </c>
      <c r="P224" s="22">
        <f t="shared" si="57"/>
        <v>0.17001522372192687</v>
      </c>
      <c r="Q224" s="22">
        <f t="shared" si="57"/>
        <v>0.17253027929477446</v>
      </c>
      <c r="R224" s="22">
        <f t="shared" si="57"/>
        <v>0.17399291850067305</v>
      </c>
      <c r="S224" s="22">
        <f t="shared" si="57"/>
        <v>0.16557860027053409</v>
      </c>
      <c r="T224" s="22">
        <f t="shared" si="57"/>
        <v>0.1691333492046497</v>
      </c>
      <c r="U224" s="22">
        <f t="shared" si="57"/>
        <v>0.17245170747417515</v>
      </c>
      <c r="V224" s="22">
        <f t="shared" si="57"/>
        <v>0.17579626240036808</v>
      </c>
      <c r="W224" s="22">
        <f t="shared" si="57"/>
        <v>0.17959210165256231</v>
      </c>
      <c r="X224" s="22">
        <f t="shared" si="57"/>
        <v>0.18341947191943975</v>
      </c>
      <c r="Y224" s="22">
        <f t="shared" si="57"/>
        <v>0.18725170622309825</v>
      </c>
      <c r="Z224" s="22">
        <f t="shared" si="57"/>
        <v>0.19101002435789147</v>
      </c>
      <c r="AA224" s="22">
        <f t="shared" si="57"/>
        <v>0.19496806630989533</v>
      </c>
      <c r="AB224" s="22">
        <f t="shared" si="57"/>
        <v>0.1987521861165934</v>
      </c>
      <c r="AC224" s="22">
        <f t="shared" si="57"/>
        <v>0.20262605023407515</v>
      </c>
      <c r="AD224" s="22">
        <f t="shared" si="57"/>
        <v>0.20701826985045815</v>
      </c>
      <c r="AE224" s="22">
        <f t="shared" si="57"/>
        <v>0.21171320346850861</v>
      </c>
      <c r="AF224" s="22">
        <f t="shared" si="57"/>
        <v>0.21655584185518156</v>
      </c>
      <c r="AG224" s="22">
        <f t="shared" si="57"/>
        <v>0.21799724995986033</v>
      </c>
      <c r="AH224" s="22">
        <f t="shared" si="57"/>
        <v>5.2251952852615427E-2</v>
      </c>
      <c r="AI224" s="22">
        <f t="shared" si="57"/>
        <v>5.2653553300749806E-2</v>
      </c>
      <c r="AJ224" s="22">
        <f t="shared" si="57"/>
        <v>5.3058077706100888E-2</v>
      </c>
      <c r="AK224" s="22">
        <f t="shared" si="57"/>
        <v>5.3465548333796561E-2</v>
      </c>
      <c r="AL224" s="22">
        <f t="shared" si="57"/>
        <v>5.3875987550074486E-2</v>
      </c>
      <c r="AM224" s="22">
        <f t="shared" si="57"/>
        <v>5.4289417828860521E-2</v>
      </c>
      <c r="AN224" s="22">
        <f t="shared" si="57"/>
        <v>5.4642837788304699E-2</v>
      </c>
      <c r="AO224" s="22">
        <f t="shared" si="57"/>
        <v>5.4998439326322222E-2</v>
      </c>
      <c r="AP224" s="22">
        <f t="shared" si="57"/>
        <v>5.5356236623464276E-2</v>
      </c>
      <c r="AQ224" s="22">
        <f t="shared" si="57"/>
        <v>5.5716243907733665E-2</v>
      </c>
      <c r="AR224" s="22">
        <f t="shared" si="57"/>
        <v>5.6078475458306978E-2</v>
      </c>
      <c r="AS224" s="22">
        <f t="shared" si="57"/>
        <v>5.6378177516484766E-2</v>
      </c>
      <c r="AT224" s="22">
        <f t="shared" si="57"/>
        <v>5.6679397882174076E-2</v>
      </c>
      <c r="AU224" s="22">
        <f t="shared" si="57"/>
        <v>5.6982144790486855E-2</v>
      </c>
      <c r="AV224" s="22">
        <f t="shared" si="57"/>
        <v>5.7286426490389369E-2</v>
      </c>
      <c r="AW224" s="22">
        <f t="shared" si="57"/>
        <v>5.7592251246923687E-2</v>
      </c>
      <c r="AY224" s="85"/>
    </row>
    <row r="225" spans="1:51" x14ac:dyDescent="0.25">
      <c r="A225" s="102" t="str">
        <f t="shared" si="45"/>
        <v>FA Organic</v>
      </c>
      <c r="B225" s="102" t="s">
        <v>963</v>
      </c>
      <c r="C225" s="102" t="s">
        <v>1128</v>
      </c>
      <c r="D225" t="s">
        <v>369</v>
      </c>
      <c r="E225" t="s">
        <v>55</v>
      </c>
      <c r="F225" t="s">
        <v>421</v>
      </c>
      <c r="G225" t="s">
        <v>1183</v>
      </c>
      <c r="H225" t="s">
        <v>1184</v>
      </c>
      <c r="I225" t="s">
        <v>139</v>
      </c>
      <c r="J225" t="s">
        <v>287</v>
      </c>
      <c r="K225" s="22">
        <f t="shared" si="55"/>
        <v>0.795414165570277</v>
      </c>
      <c r="L225" s="22">
        <f t="shared" si="57"/>
        <v>0.8083218557846692</v>
      </c>
      <c r="M225" s="22">
        <f t="shared" si="57"/>
        <v>0.81215441853464132</v>
      </c>
      <c r="N225" s="22">
        <f t="shared" si="57"/>
        <v>0.80356343008777875</v>
      </c>
      <c r="O225" s="22">
        <f t="shared" si="57"/>
        <v>0.79499088780116223</v>
      </c>
      <c r="P225" s="22">
        <f t="shared" si="57"/>
        <v>0.79250347923266529</v>
      </c>
      <c r="Q225" s="22">
        <f t="shared" si="57"/>
        <v>0.79198531109847847</v>
      </c>
      <c r="R225" s="22">
        <f t="shared" si="57"/>
        <v>0.77877476502438481</v>
      </c>
      <c r="S225" s="22">
        <f t="shared" si="57"/>
        <v>0.64890920680176789</v>
      </c>
      <c r="T225" s="22">
        <f t="shared" si="57"/>
        <v>0.66805040989248243</v>
      </c>
      <c r="U225" s="22">
        <f t="shared" si="57"/>
        <v>0.68404988485251483</v>
      </c>
      <c r="V225" s="22">
        <f t="shared" si="57"/>
        <v>0.70001053899583365</v>
      </c>
      <c r="W225" s="22">
        <f t="shared" si="57"/>
        <v>0.72077585420537182</v>
      </c>
      <c r="X225" s="22">
        <f t="shared" si="57"/>
        <v>0.74147883845948881</v>
      </c>
      <c r="Y225" s="22">
        <f t="shared" si="57"/>
        <v>0.76420933570691552</v>
      </c>
      <c r="Z225" s="22">
        <f t="shared" si="57"/>
        <v>0.78572613438626693</v>
      </c>
      <c r="AA225" s="22">
        <f t="shared" si="57"/>
        <v>0.80907791428846942</v>
      </c>
      <c r="AB225" s="22">
        <f t="shared" si="57"/>
        <v>0.8301336909980378</v>
      </c>
      <c r="AC225" s="22">
        <f t="shared" si="57"/>
        <v>0.85181121057445375</v>
      </c>
      <c r="AD225" s="22">
        <f t="shared" si="57"/>
        <v>0.88061906068467799</v>
      </c>
      <c r="AE225" s="22">
        <f t="shared" si="57"/>
        <v>0.91224642242202703</v>
      </c>
      <c r="AF225" s="22">
        <f t="shared" si="57"/>
        <v>0.9449892623330276</v>
      </c>
      <c r="AG225" s="22">
        <f t="shared" si="57"/>
        <v>0.94134312985108715</v>
      </c>
      <c r="AH225" s="22">
        <f t="shared" si="57"/>
        <v>-0.81638140263432868</v>
      </c>
      <c r="AI225" s="22">
        <f t="shared" si="57"/>
        <v>-0.81755111000616232</v>
      </c>
      <c r="AJ225" s="22">
        <f t="shared" si="57"/>
        <v>-0.81881979999269761</v>
      </c>
      <c r="AK225" s="22">
        <f t="shared" si="57"/>
        <v>-0.82018334185066777</v>
      </c>
      <c r="AL225" s="22">
        <f t="shared" si="57"/>
        <v>-0.82163792568162108</v>
      </c>
      <c r="AM225" s="22">
        <f t="shared" si="57"/>
        <v>-0.82318003161190867</v>
      </c>
      <c r="AN225" s="22">
        <f t="shared" si="57"/>
        <v>-0.82381473491699941</v>
      </c>
      <c r="AO225" s="22">
        <f t="shared" si="57"/>
        <v>-0.82452898483774906</v>
      </c>
      <c r="AP225" s="22">
        <f t="shared" si="57"/>
        <v>-0.82531969261957272</v>
      </c>
      <c r="AQ225" s="22">
        <f t="shared" si="57"/>
        <v>-0.82618398159490103</v>
      </c>
      <c r="AR225" s="22">
        <f t="shared" si="57"/>
        <v>-0.82711916895922855</v>
      </c>
      <c r="AS225" s="22">
        <f t="shared" si="57"/>
        <v>-0.82713235750266001</v>
      </c>
      <c r="AT225" s="22">
        <f t="shared" si="57"/>
        <v>-0.82721120407880289</v>
      </c>
      <c r="AU225" s="22">
        <f t="shared" si="57"/>
        <v>-0.82735328113760953</v>
      </c>
      <c r="AV225" s="22">
        <f t="shared" si="57"/>
        <v>-0.82755630984608064</v>
      </c>
      <c r="AW225" s="22">
        <f t="shared" si="57"/>
        <v>-0.82781814853769387</v>
      </c>
      <c r="AY225" s="85"/>
    </row>
    <row r="226" spans="1:51" x14ac:dyDescent="0.25">
      <c r="A226" s="102" t="str">
        <f t="shared" si="45"/>
        <v>FA U&amp;D</v>
      </c>
      <c r="B226" s="102" t="s">
        <v>963</v>
      </c>
      <c r="C226" s="102" t="s">
        <v>1337</v>
      </c>
      <c r="D226" t="s">
        <v>369</v>
      </c>
      <c r="E226" t="s">
        <v>55</v>
      </c>
      <c r="F226" t="s">
        <v>422</v>
      </c>
      <c r="G226" t="s">
        <v>1153</v>
      </c>
      <c r="H226" t="s">
        <v>1241</v>
      </c>
      <c r="I226" t="s">
        <v>139</v>
      </c>
      <c r="J226" t="s">
        <v>287</v>
      </c>
      <c r="K226" s="22">
        <f t="shared" si="55"/>
        <v>0</v>
      </c>
      <c r="L226" s="22">
        <f t="shared" si="57"/>
        <v>0</v>
      </c>
      <c r="M226" s="22">
        <f t="shared" si="57"/>
        <v>0</v>
      </c>
      <c r="N226" s="22">
        <f t="shared" si="57"/>
        <v>0</v>
      </c>
      <c r="O226" s="22">
        <f t="shared" si="57"/>
        <v>0</v>
      </c>
      <c r="P226" s="22">
        <f t="shared" si="57"/>
        <v>0</v>
      </c>
      <c r="Q226" s="22">
        <f t="shared" si="57"/>
        <v>0</v>
      </c>
      <c r="R226" s="22">
        <f t="shared" si="57"/>
        <v>0</v>
      </c>
      <c r="S226" s="22">
        <f t="shared" si="57"/>
        <v>0</v>
      </c>
      <c r="T226" s="22">
        <f t="shared" si="57"/>
        <v>0</v>
      </c>
      <c r="U226" s="22">
        <f t="shared" si="57"/>
        <v>0</v>
      </c>
      <c r="V226" s="22">
        <f t="shared" si="57"/>
        <v>0</v>
      </c>
      <c r="W226" s="22">
        <f t="shared" si="57"/>
        <v>0</v>
      </c>
      <c r="X226" s="22">
        <f t="shared" si="57"/>
        <v>0</v>
      </c>
      <c r="Y226" s="22">
        <f t="shared" si="57"/>
        <v>0</v>
      </c>
      <c r="Z226" s="22">
        <f t="shared" si="57"/>
        <v>0</v>
      </c>
      <c r="AA226" s="22">
        <f t="shared" si="57"/>
        <v>0</v>
      </c>
      <c r="AB226" s="22">
        <f t="shared" si="57"/>
        <v>0</v>
      </c>
      <c r="AC226" s="22">
        <f t="shared" si="57"/>
        <v>0</v>
      </c>
      <c r="AD226" s="22">
        <f t="shared" si="57"/>
        <v>0</v>
      </c>
      <c r="AE226" s="22">
        <f t="shared" si="57"/>
        <v>0</v>
      </c>
      <c r="AF226" s="22">
        <f t="shared" si="57"/>
        <v>0</v>
      </c>
      <c r="AG226" s="22">
        <f t="shared" si="57"/>
        <v>0</v>
      </c>
      <c r="AH226" s="22">
        <f t="shared" si="57"/>
        <v>0</v>
      </c>
      <c r="AI226" s="22">
        <f t="shared" si="57"/>
        <v>0</v>
      </c>
      <c r="AJ226" s="22">
        <f t="shared" si="57"/>
        <v>0</v>
      </c>
      <c r="AK226" s="22">
        <f t="shared" si="57"/>
        <v>0</v>
      </c>
      <c r="AL226" s="22">
        <f t="shared" si="57"/>
        <v>0</v>
      </c>
      <c r="AM226" s="22">
        <f t="shared" si="57"/>
        <v>0</v>
      </c>
      <c r="AN226" s="22">
        <f t="shared" si="57"/>
        <v>0</v>
      </c>
      <c r="AO226" s="22">
        <f t="shared" si="57"/>
        <v>0</v>
      </c>
      <c r="AP226" s="22">
        <f t="shared" si="57"/>
        <v>0</v>
      </c>
      <c r="AQ226" s="22">
        <f t="shared" si="57"/>
        <v>0</v>
      </c>
      <c r="AR226" s="22">
        <f t="shared" si="57"/>
        <v>0</v>
      </c>
      <c r="AS226" s="22">
        <f t="shared" si="57"/>
        <v>0</v>
      </c>
      <c r="AT226" s="22">
        <f t="shared" si="57"/>
        <v>0</v>
      </c>
      <c r="AU226" s="22">
        <f t="shared" si="57"/>
        <v>0</v>
      </c>
      <c r="AV226" s="22">
        <f t="shared" si="57"/>
        <v>0</v>
      </c>
      <c r="AW226" s="22">
        <f t="shared" si="57"/>
        <v>0</v>
      </c>
      <c r="AY226" s="85"/>
    </row>
    <row r="227" spans="1:51" x14ac:dyDescent="0.25">
      <c r="A227" s="102" t="str">
        <f t="shared" si="45"/>
        <v>FA U&amp;D</v>
      </c>
      <c r="B227" s="102" t="s">
        <v>963</v>
      </c>
      <c r="C227" s="102" t="s">
        <v>1337</v>
      </c>
      <c r="D227" t="s">
        <v>369</v>
      </c>
      <c r="E227" t="s">
        <v>55</v>
      </c>
      <c r="F227" t="s">
        <v>422</v>
      </c>
      <c r="G227" t="s">
        <v>1155</v>
      </c>
      <c r="H227" t="s">
        <v>1242</v>
      </c>
      <c r="I227" t="s">
        <v>139</v>
      </c>
      <c r="J227" t="s">
        <v>287</v>
      </c>
      <c r="K227" s="22">
        <f t="shared" si="55"/>
        <v>1.0795326716636573</v>
      </c>
      <c r="L227" s="22">
        <f t="shared" si="57"/>
        <v>1.0862475469793051</v>
      </c>
      <c r="M227" s="22">
        <f t="shared" si="57"/>
        <v>1.0908641162595043</v>
      </c>
      <c r="N227" s="22">
        <f t="shared" si="57"/>
        <v>1.0923119403436279</v>
      </c>
      <c r="O227" s="22">
        <f t="shared" si="57"/>
        <v>1.0942706302876248</v>
      </c>
      <c r="P227" s="22">
        <f t="shared" si="57"/>
        <v>1.0985609054131558</v>
      </c>
      <c r="Q227" s="22">
        <f t="shared" si="57"/>
        <v>1.1037045101143446</v>
      </c>
      <c r="R227" s="22">
        <f t="shared" si="57"/>
        <v>1.105249702620553</v>
      </c>
      <c r="S227" s="22">
        <f t="shared" si="57"/>
        <v>1.0713187850060639</v>
      </c>
      <c r="T227" s="22">
        <f t="shared" si="57"/>
        <v>1.0801428769448762</v>
      </c>
      <c r="U227" s="22">
        <f t="shared" si="57"/>
        <v>1.0882343186562755</v>
      </c>
      <c r="V227" s="22">
        <f t="shared" si="57"/>
        <v>1.0965307426510265</v>
      </c>
      <c r="W227" s="22">
        <f t="shared" si="57"/>
        <v>1.1065249139358884</v>
      </c>
      <c r="X227" s="22">
        <f t="shared" si="57"/>
        <v>1.1167066198379636</v>
      </c>
      <c r="Y227" s="22">
        <f t="shared" si="57"/>
        <v>1.1266207343141128</v>
      </c>
      <c r="Z227" s="22">
        <f t="shared" si="57"/>
        <v>1.1363365093259761</v>
      </c>
      <c r="AA227" s="22">
        <f t="shared" si="57"/>
        <v>1.146801464584869</v>
      </c>
      <c r="AB227" s="22">
        <f t="shared" si="57"/>
        <v>1.156711571508408</v>
      </c>
      <c r="AC227" s="22">
        <f t="shared" si="57"/>
        <v>1.1669771470605725</v>
      </c>
      <c r="AD227" s="22">
        <f t="shared" si="57"/>
        <v>1.1787713566301137</v>
      </c>
      <c r="AE227" s="22">
        <f t="shared" si="57"/>
        <v>1.1916164906506355</v>
      </c>
      <c r="AF227" s="22">
        <f t="shared" ref="L227:AW234" si="58">AF1483</f>
        <v>1.2049714778557878</v>
      </c>
      <c r="AG227" s="22">
        <f t="shared" si="58"/>
        <v>1.2068369654753692</v>
      </c>
      <c r="AH227" s="22">
        <f t="shared" si="58"/>
        <v>0.64612873683850436</v>
      </c>
      <c r="AI227" s="22">
        <f t="shared" si="58"/>
        <v>0.64660396058025826</v>
      </c>
      <c r="AJ227" s="22">
        <f t="shared" si="58"/>
        <v>0.64714161069901732</v>
      </c>
      <c r="AK227" s="22">
        <f t="shared" si="58"/>
        <v>0.64773931439075094</v>
      </c>
      <c r="AL227" s="22">
        <f t="shared" si="58"/>
        <v>0.64839488159544112</v>
      </c>
      <c r="AM227" s="22">
        <f t="shared" si="58"/>
        <v>0.64910628767603584</v>
      </c>
      <c r="AN227" s="22">
        <f t="shared" si="58"/>
        <v>0.64941256924922242</v>
      </c>
      <c r="AO227" s="22">
        <f t="shared" si="58"/>
        <v>0.64976802465090699</v>
      </c>
      <c r="AP227" s="22">
        <f t="shared" si="58"/>
        <v>0.65017093639043266</v>
      </c>
      <c r="AQ227" s="22">
        <f t="shared" si="58"/>
        <v>0.65061970417317594</v>
      </c>
      <c r="AR227" s="22">
        <f t="shared" si="58"/>
        <v>0.65111283495552585</v>
      </c>
      <c r="AS227" s="22">
        <f t="shared" si="58"/>
        <v>0.65118489834837545</v>
      </c>
      <c r="AT227" s="22">
        <f t="shared" si="58"/>
        <v>0.65129629063948757</v>
      </c>
      <c r="AU227" s="22">
        <f t="shared" si="58"/>
        <v>0.65144570826558501</v>
      </c>
      <c r="AV227" s="22">
        <f t="shared" si="58"/>
        <v>0.65163192707531048</v>
      </c>
      <c r="AW227" s="22">
        <f t="shared" si="58"/>
        <v>0.6518537962289046</v>
      </c>
      <c r="AY227" s="85"/>
    </row>
    <row r="228" spans="1:51" x14ac:dyDescent="0.25">
      <c r="A228" s="102" t="str">
        <f t="shared" si="45"/>
        <v>FA U&amp;D</v>
      </c>
      <c r="B228" s="102" t="s">
        <v>963</v>
      </c>
      <c r="C228" s="102" t="s">
        <v>1337</v>
      </c>
      <c r="D228" t="s">
        <v>369</v>
      </c>
      <c r="E228" t="s">
        <v>55</v>
      </c>
      <c r="F228" t="s">
        <v>422</v>
      </c>
      <c r="G228" t="s">
        <v>1157</v>
      </c>
      <c r="H228" t="s">
        <v>1243</v>
      </c>
      <c r="I228" t="s">
        <v>139</v>
      </c>
      <c r="J228" t="s">
        <v>287</v>
      </c>
      <c r="K228" s="22">
        <f t="shared" si="55"/>
        <v>0.73516913566022923</v>
      </c>
      <c r="L228" s="22">
        <f t="shared" si="58"/>
        <v>0.7397420116939516</v>
      </c>
      <c r="M228" s="22">
        <f t="shared" si="58"/>
        <v>0.74288592696073941</v>
      </c>
      <c r="N228" s="22">
        <f t="shared" si="58"/>
        <v>0.74387190506816692</v>
      </c>
      <c r="O228" s="22">
        <f t="shared" si="58"/>
        <v>0.74520578632155732</v>
      </c>
      <c r="P228" s="22">
        <f t="shared" si="58"/>
        <v>0.74812749303648285</v>
      </c>
      <c r="Q228" s="22">
        <f t="shared" si="58"/>
        <v>0.7516303230309872</v>
      </c>
      <c r="R228" s="22">
        <f t="shared" si="58"/>
        <v>0.75268260970005785</v>
      </c>
      <c r="S228" s="22">
        <f t="shared" si="58"/>
        <v>0.72957542264627473</v>
      </c>
      <c r="T228" s="22">
        <f t="shared" si="58"/>
        <v>0.73558468963181722</v>
      </c>
      <c r="U228" s="22">
        <f t="shared" si="58"/>
        <v>0.74109501679963463</v>
      </c>
      <c r="V228" s="22">
        <f t="shared" si="58"/>
        <v>0.74674493830492128</v>
      </c>
      <c r="W228" s="22">
        <f t="shared" si="58"/>
        <v>0.753551037330909</v>
      </c>
      <c r="X228" s="22">
        <f t="shared" si="58"/>
        <v>0.76048484871434763</v>
      </c>
      <c r="Y228" s="22">
        <f t="shared" si="58"/>
        <v>0.7672364285058465</v>
      </c>
      <c r="Z228" s="22">
        <f t="shared" si="58"/>
        <v>0.77385293776511066</v>
      </c>
      <c r="AA228" s="22">
        <f t="shared" si="58"/>
        <v>0.78097964389855901</v>
      </c>
      <c r="AB228" s="22">
        <f t="shared" si="58"/>
        <v>0.78772849451931037</v>
      </c>
      <c r="AC228" s="22">
        <f t="shared" si="58"/>
        <v>0.79471942170830334</v>
      </c>
      <c r="AD228" s="22">
        <f t="shared" si="58"/>
        <v>0.80275135912217765</v>
      </c>
      <c r="AE228" s="22">
        <f t="shared" si="58"/>
        <v>0.81149898327768732</v>
      </c>
      <c r="AF228" s="22">
        <f t="shared" si="58"/>
        <v>0.82059382094039046</v>
      </c>
      <c r="AG228" s="22">
        <f t="shared" si="58"/>
        <v>0.8218642307731554</v>
      </c>
      <c r="AH228" s="22">
        <f t="shared" si="58"/>
        <v>0.4400180906565429</v>
      </c>
      <c r="AI228" s="22">
        <f t="shared" si="58"/>
        <v>0.44034172127619964</v>
      </c>
      <c r="AJ228" s="22">
        <f t="shared" si="58"/>
        <v>0.44070786468572382</v>
      </c>
      <c r="AK228" s="22">
        <f t="shared" si="58"/>
        <v>0.44111490498933553</v>
      </c>
      <c r="AL228" s="22">
        <f t="shared" si="58"/>
        <v>0.44156135074117797</v>
      </c>
      <c r="AM228" s="22">
        <f t="shared" si="58"/>
        <v>0.44204582314956586</v>
      </c>
      <c r="AN228" s="22">
        <f t="shared" si="58"/>
        <v>0.44225440299651131</v>
      </c>
      <c r="AO228" s="22">
        <f t="shared" si="58"/>
        <v>0.44249647055711561</v>
      </c>
      <c r="AP228" s="22">
        <f t="shared" si="58"/>
        <v>0.44277085620848994</v>
      </c>
      <c r="AQ228" s="22">
        <f t="shared" si="58"/>
        <v>0.44307647013904683</v>
      </c>
      <c r="AR228" s="22">
        <f t="shared" si="58"/>
        <v>0.4434122955758712</v>
      </c>
      <c r="AS228" s="22">
        <f t="shared" si="58"/>
        <v>0.44346137123946583</v>
      </c>
      <c r="AT228" s="22">
        <f t="shared" si="58"/>
        <v>0.4435372301518688</v>
      </c>
      <c r="AU228" s="22">
        <f t="shared" si="58"/>
        <v>0.44363898457756984</v>
      </c>
      <c r="AV228" s="22">
        <f t="shared" si="58"/>
        <v>0.44376580086111833</v>
      </c>
      <c r="AW228" s="22">
        <f t="shared" si="58"/>
        <v>0.44391689527276407</v>
      </c>
      <c r="AY228" s="85"/>
    </row>
    <row r="229" spans="1:51" x14ac:dyDescent="0.25">
      <c r="A229" s="102" t="str">
        <f t="shared" si="45"/>
        <v>FA U&amp;D</v>
      </c>
      <c r="B229" s="102" t="s">
        <v>963</v>
      </c>
      <c r="C229" s="102" t="s">
        <v>1337</v>
      </c>
      <c r="D229" t="s">
        <v>369</v>
      </c>
      <c r="E229" t="s">
        <v>55</v>
      </c>
      <c r="F229" t="s">
        <v>422</v>
      </c>
      <c r="G229" t="s">
        <v>1159</v>
      </c>
      <c r="H229" t="s">
        <v>1244</v>
      </c>
      <c r="I229" t="s">
        <v>139</v>
      </c>
      <c r="J229" t="s">
        <v>287</v>
      </c>
      <c r="K229" s="22">
        <f t="shared" si="55"/>
        <v>15.48880966403453</v>
      </c>
      <c r="L229" s="22">
        <f t="shared" si="58"/>
        <v>15.386143051197998</v>
      </c>
      <c r="M229" s="22">
        <f t="shared" si="58"/>
        <v>15.169677377989304</v>
      </c>
      <c r="N229" s="22">
        <f t="shared" si="58"/>
        <v>14.804794487947174</v>
      </c>
      <c r="O229" s="22">
        <f t="shared" si="58"/>
        <v>14.450776257626368</v>
      </c>
      <c r="P229" s="22">
        <f t="shared" si="58"/>
        <v>14.178486550067829</v>
      </c>
      <c r="Q229" s="22">
        <f t="shared" si="58"/>
        <v>13.932198413286633</v>
      </c>
      <c r="R229" s="22">
        <f t="shared" si="58"/>
        <v>13.544970185493053</v>
      </c>
      <c r="S229" s="22">
        <f t="shared" si="58"/>
        <v>11.879759863511568</v>
      </c>
      <c r="T229" s="22">
        <f t="shared" si="58"/>
        <v>11.992993022515481</v>
      </c>
      <c r="U229" s="22">
        <f t="shared" si="58"/>
        <v>12.069614819396085</v>
      </c>
      <c r="V229" s="22">
        <f t="shared" si="58"/>
        <v>12.143744438353496</v>
      </c>
      <c r="W229" s="22">
        <f t="shared" si="58"/>
        <v>12.266336998051067</v>
      </c>
      <c r="X229" s="22">
        <f t="shared" si="58"/>
        <v>12.384889207902271</v>
      </c>
      <c r="Y229" s="22">
        <f t="shared" si="58"/>
        <v>12.509351233051413</v>
      </c>
      <c r="Z229" s="22">
        <f t="shared" si="58"/>
        <v>12.61770643379279</v>
      </c>
      <c r="AA229" s="22">
        <f t="shared" si="58"/>
        <v>12.7410293454877</v>
      </c>
      <c r="AB229" s="22">
        <f t="shared" si="58"/>
        <v>12.837533702297911</v>
      </c>
      <c r="AC229" s="22">
        <f t="shared" si="58"/>
        <v>12.936685976559087</v>
      </c>
      <c r="AD229" s="22">
        <f t="shared" si="58"/>
        <v>12.98286747930208</v>
      </c>
      <c r="AE229" s="22">
        <f t="shared" si="58"/>
        <v>13.046191689203091</v>
      </c>
      <c r="AF229" s="22">
        <f t="shared" si="58"/>
        <v>13.10927150785349</v>
      </c>
      <c r="AG229" s="22">
        <f t="shared" si="58"/>
        <v>12.831250179467366</v>
      </c>
      <c r="AH229" s="22">
        <f t="shared" si="58"/>
        <v>-3.0267144396295609</v>
      </c>
      <c r="AI229" s="22">
        <f t="shared" si="58"/>
        <v>-2.956505191498271</v>
      </c>
      <c r="AJ229" s="22">
        <f t="shared" si="58"/>
        <v>-2.8874124907442584</v>
      </c>
      <c r="AK229" s="22">
        <f t="shared" si="58"/>
        <v>-2.8193778585944393</v>
      </c>
      <c r="AL229" s="22">
        <f t="shared" si="58"/>
        <v>-2.7523468592631737</v>
      </c>
      <c r="AM229" s="22">
        <f t="shared" si="58"/>
        <v>-2.6862687253121265</v>
      </c>
      <c r="AN229" s="22">
        <f t="shared" si="58"/>
        <v>-2.6326943062213264</v>
      </c>
      <c r="AO229" s="22">
        <f t="shared" si="58"/>
        <v>-2.5799290640232249</v>
      </c>
      <c r="AP229" s="22">
        <f t="shared" si="58"/>
        <v>-2.5279363308324876</v>
      </c>
      <c r="AQ229" s="22">
        <f t="shared" si="58"/>
        <v>-2.4766817193169062</v>
      </c>
      <c r="AR229" s="22">
        <f t="shared" si="58"/>
        <v>-2.4261329336018767</v>
      </c>
      <c r="AS229" s="22">
        <f t="shared" si="58"/>
        <v>-2.3746446145368036</v>
      </c>
      <c r="AT229" s="22">
        <f t="shared" si="58"/>
        <v>-2.3238643255218379</v>
      </c>
      <c r="AU229" s="22">
        <f t="shared" si="58"/>
        <v>-2.2737642137550615</v>
      </c>
      <c r="AV229" s="22">
        <f t="shared" si="58"/>
        <v>-2.2243179912934989</v>
      </c>
      <c r="AW229" s="22">
        <f t="shared" si="58"/>
        <v>-2.1755008181156215</v>
      </c>
      <c r="AY229" s="85"/>
    </row>
    <row r="230" spans="1:51" x14ac:dyDescent="0.25">
      <c r="A230" s="102" t="str">
        <f t="shared" si="45"/>
        <v>FA U&amp;D</v>
      </c>
      <c r="B230" s="102" t="s">
        <v>963</v>
      </c>
      <c r="C230" s="102" t="s">
        <v>1337</v>
      </c>
      <c r="D230" t="s">
        <v>369</v>
      </c>
      <c r="E230" t="s">
        <v>55</v>
      </c>
      <c r="F230" t="s">
        <v>422</v>
      </c>
      <c r="G230" t="s">
        <v>1161</v>
      </c>
      <c r="H230" t="s">
        <v>1245</v>
      </c>
      <c r="I230" t="s">
        <v>139</v>
      </c>
      <c r="J230" t="s">
        <v>287</v>
      </c>
      <c r="K230" s="22">
        <f t="shared" si="55"/>
        <v>9.7393760290961886</v>
      </c>
      <c r="L230" s="22">
        <f t="shared" si="58"/>
        <v>9.6748191800072334</v>
      </c>
      <c r="M230" s="22">
        <f t="shared" si="58"/>
        <v>9.538705389825779</v>
      </c>
      <c r="N230" s="22">
        <f t="shared" si="58"/>
        <v>9.3092667338033213</v>
      </c>
      <c r="O230" s="22">
        <f t="shared" si="58"/>
        <v>9.086659784590454</v>
      </c>
      <c r="P230" s="22">
        <f t="shared" si="58"/>
        <v>8.9154437965133955</v>
      </c>
      <c r="Q230" s="22">
        <f t="shared" si="58"/>
        <v>8.7605776171460139</v>
      </c>
      <c r="R230" s="22">
        <f t="shared" si="58"/>
        <v>8.5170881946941783</v>
      </c>
      <c r="S230" s="22">
        <f t="shared" si="58"/>
        <v>7.4700025990225534</v>
      </c>
      <c r="T230" s="22">
        <f t="shared" si="58"/>
        <v>7.5412037008775474</v>
      </c>
      <c r="U230" s="22">
        <f t="shared" si="58"/>
        <v>7.5893835486535881</v>
      </c>
      <c r="V230" s="22">
        <f t="shared" si="58"/>
        <v>7.6359963129382633</v>
      </c>
      <c r="W230" s="22">
        <f t="shared" si="58"/>
        <v>7.7130826135102524</v>
      </c>
      <c r="X230" s="22">
        <f t="shared" si="58"/>
        <v>7.7876283388349208</v>
      </c>
      <c r="Y230" s="22">
        <f t="shared" si="58"/>
        <v>7.8658901607930707</v>
      </c>
      <c r="Z230" s="22">
        <f t="shared" si="58"/>
        <v>7.9340239985520107</v>
      </c>
      <c r="AA230" s="22">
        <f t="shared" si="58"/>
        <v>8.0115695450499249</v>
      </c>
      <c r="AB230" s="22">
        <f t="shared" si="58"/>
        <v>8.072251562571461</v>
      </c>
      <c r="AC230" s="22">
        <f t="shared" si="58"/>
        <v>8.1345985927252418</v>
      </c>
      <c r="AD230" s="22">
        <f t="shared" si="58"/>
        <v>8.1636375589569159</v>
      </c>
      <c r="AE230" s="22">
        <f t="shared" si="58"/>
        <v>8.2034558732979743</v>
      </c>
      <c r="AF230" s="22">
        <f t="shared" si="58"/>
        <v>8.2431205142232233</v>
      </c>
      <c r="AG230" s="22">
        <f t="shared" si="58"/>
        <v>8.0683004783395891</v>
      </c>
      <c r="AH230" s="22">
        <f t="shared" si="58"/>
        <v>-1.9032004847149069</v>
      </c>
      <c r="AI230" s="22">
        <f t="shared" si="58"/>
        <v>-1.8590528527726964</v>
      </c>
      <c r="AJ230" s="22">
        <f t="shared" si="58"/>
        <v>-1.8156073067233001</v>
      </c>
      <c r="AK230" s="22">
        <f t="shared" si="58"/>
        <v>-1.7728270750669619</v>
      </c>
      <c r="AL230" s="22">
        <f t="shared" si="58"/>
        <v>-1.7306779285376968</v>
      </c>
      <c r="AM230" s="22">
        <f t="shared" si="58"/>
        <v>-1.689127944529268</v>
      </c>
      <c r="AN230" s="22">
        <f t="shared" si="58"/>
        <v>-1.6554403065258587</v>
      </c>
      <c r="AO230" s="22">
        <f t="shared" si="58"/>
        <v>-1.6222614796062582</v>
      </c>
      <c r="AP230" s="22">
        <f t="shared" si="58"/>
        <v>-1.589568406974545</v>
      </c>
      <c r="AQ230" s="22">
        <f t="shared" si="58"/>
        <v>-1.5573394658484478</v>
      </c>
      <c r="AR230" s="22">
        <f t="shared" si="58"/>
        <v>-1.5255543485559264</v>
      </c>
      <c r="AS230" s="22">
        <f t="shared" si="58"/>
        <v>-1.4931784519339129</v>
      </c>
      <c r="AT230" s="22">
        <f t="shared" si="58"/>
        <v>-1.4612477651793758</v>
      </c>
      <c r="AU230" s="22">
        <f t="shared" si="58"/>
        <v>-1.429744774427969</v>
      </c>
      <c r="AV230" s="22">
        <f t="shared" si="58"/>
        <v>-1.3986529497999127</v>
      </c>
      <c r="AW230" s="22">
        <f t="shared" si="58"/>
        <v>-1.3679566718696037</v>
      </c>
      <c r="AY230" s="85"/>
    </row>
    <row r="231" spans="1:51" x14ac:dyDescent="0.25">
      <c r="A231" s="102" t="str">
        <f t="shared" si="45"/>
        <v>FA U&amp;D</v>
      </c>
      <c r="B231" s="102" t="s">
        <v>963</v>
      </c>
      <c r="C231" s="102" t="s">
        <v>1337</v>
      </c>
      <c r="D231" t="s">
        <v>369</v>
      </c>
      <c r="E231" t="s">
        <v>55</v>
      </c>
      <c r="F231" t="s">
        <v>422</v>
      </c>
      <c r="G231" t="s">
        <v>1163</v>
      </c>
      <c r="H231" t="s">
        <v>1246</v>
      </c>
      <c r="I231" t="s">
        <v>139</v>
      </c>
      <c r="J231" t="s">
        <v>287</v>
      </c>
      <c r="K231" s="22">
        <f t="shared" si="55"/>
        <v>0</v>
      </c>
      <c r="L231" s="22">
        <f t="shared" si="58"/>
        <v>0</v>
      </c>
      <c r="M231" s="22">
        <f t="shared" si="58"/>
        <v>0</v>
      </c>
      <c r="N231" s="22">
        <f t="shared" si="58"/>
        <v>0</v>
      </c>
      <c r="O231" s="22">
        <f t="shared" si="58"/>
        <v>0</v>
      </c>
      <c r="P231" s="22">
        <f t="shared" si="58"/>
        <v>0</v>
      </c>
      <c r="Q231" s="22">
        <f t="shared" si="58"/>
        <v>0</v>
      </c>
      <c r="R231" s="22">
        <f t="shared" si="58"/>
        <v>0</v>
      </c>
      <c r="S231" s="22">
        <f t="shared" si="58"/>
        <v>0</v>
      </c>
      <c r="T231" s="22">
        <f t="shared" si="58"/>
        <v>0</v>
      </c>
      <c r="U231" s="22">
        <f t="shared" si="58"/>
        <v>0</v>
      </c>
      <c r="V231" s="22">
        <f t="shared" si="58"/>
        <v>0</v>
      </c>
      <c r="W231" s="22">
        <f t="shared" si="58"/>
        <v>0</v>
      </c>
      <c r="X231" s="22">
        <f t="shared" si="58"/>
        <v>0</v>
      </c>
      <c r="Y231" s="22">
        <f t="shared" si="58"/>
        <v>0</v>
      </c>
      <c r="Z231" s="22">
        <f t="shared" si="58"/>
        <v>0</v>
      </c>
      <c r="AA231" s="22">
        <f t="shared" si="58"/>
        <v>0</v>
      </c>
      <c r="AB231" s="22">
        <f t="shared" si="58"/>
        <v>0</v>
      </c>
      <c r="AC231" s="22">
        <f t="shared" si="58"/>
        <v>0</v>
      </c>
      <c r="AD231" s="22">
        <f t="shared" si="58"/>
        <v>0</v>
      </c>
      <c r="AE231" s="22">
        <f t="shared" si="58"/>
        <v>0</v>
      </c>
      <c r="AF231" s="22">
        <f t="shared" si="58"/>
        <v>0</v>
      </c>
      <c r="AG231" s="22">
        <f t="shared" si="58"/>
        <v>0</v>
      </c>
      <c r="AH231" s="22">
        <f t="shared" si="58"/>
        <v>0</v>
      </c>
      <c r="AI231" s="22">
        <f t="shared" si="58"/>
        <v>0</v>
      </c>
      <c r="AJ231" s="22">
        <f t="shared" si="58"/>
        <v>0</v>
      </c>
      <c r="AK231" s="22">
        <f t="shared" si="58"/>
        <v>0</v>
      </c>
      <c r="AL231" s="22">
        <f t="shared" si="58"/>
        <v>0</v>
      </c>
      <c r="AM231" s="22">
        <f t="shared" si="58"/>
        <v>0</v>
      </c>
      <c r="AN231" s="22">
        <f t="shared" si="58"/>
        <v>0</v>
      </c>
      <c r="AO231" s="22">
        <f t="shared" si="58"/>
        <v>0</v>
      </c>
      <c r="AP231" s="22">
        <f t="shared" si="58"/>
        <v>0</v>
      </c>
      <c r="AQ231" s="22">
        <f t="shared" si="58"/>
        <v>0</v>
      </c>
      <c r="AR231" s="22">
        <f t="shared" si="58"/>
        <v>0</v>
      </c>
      <c r="AS231" s="22">
        <f t="shared" si="58"/>
        <v>0</v>
      </c>
      <c r="AT231" s="22">
        <f t="shared" si="58"/>
        <v>0</v>
      </c>
      <c r="AU231" s="22">
        <f t="shared" si="58"/>
        <v>0</v>
      </c>
      <c r="AV231" s="22">
        <f t="shared" si="58"/>
        <v>0</v>
      </c>
      <c r="AW231" s="22">
        <f t="shared" si="58"/>
        <v>0</v>
      </c>
      <c r="AY231" s="85"/>
    </row>
    <row r="232" spans="1:51" x14ac:dyDescent="0.25">
      <c r="A232" s="102" t="str">
        <f t="shared" si="45"/>
        <v>FA U&amp;D</v>
      </c>
      <c r="B232" s="102" t="s">
        <v>963</v>
      </c>
      <c r="C232" s="102" t="s">
        <v>1337</v>
      </c>
      <c r="D232" t="s">
        <v>369</v>
      </c>
      <c r="E232" t="s">
        <v>55</v>
      </c>
      <c r="F232" t="s">
        <v>422</v>
      </c>
      <c r="G232" t="s">
        <v>1165</v>
      </c>
      <c r="H232" t="s">
        <v>1247</v>
      </c>
      <c r="I232" t="s">
        <v>139</v>
      </c>
      <c r="J232" t="s">
        <v>287</v>
      </c>
      <c r="K232" s="22">
        <f t="shared" si="55"/>
        <v>5.8007004881973501</v>
      </c>
      <c r="L232" s="22">
        <f t="shared" si="58"/>
        <v>5.8038682011318086</v>
      </c>
      <c r="M232" s="22">
        <f t="shared" si="58"/>
        <v>5.8109613188893956</v>
      </c>
      <c r="N232" s="22">
        <f t="shared" si="58"/>
        <v>5.8216379502269948</v>
      </c>
      <c r="O232" s="22">
        <f t="shared" si="58"/>
        <v>5.8360409400543007</v>
      </c>
      <c r="P232" s="22">
        <f t="shared" si="58"/>
        <v>5.8541855713392259</v>
      </c>
      <c r="Q232" s="22">
        <f t="shared" si="58"/>
        <v>5.8743979550370415</v>
      </c>
      <c r="R232" s="22">
        <f t="shared" si="58"/>
        <v>5.8963035789612563</v>
      </c>
      <c r="S232" s="22">
        <f t="shared" si="58"/>
        <v>5.9168885563672573</v>
      </c>
      <c r="T232" s="22">
        <f t="shared" si="58"/>
        <v>5.9254873000442174</v>
      </c>
      <c r="U232" s="22">
        <f t="shared" si="58"/>
        <v>5.9354650911079814</v>
      </c>
      <c r="V232" s="22">
        <f t="shared" si="58"/>
        <v>5.9468198836780894</v>
      </c>
      <c r="W232" s="22">
        <f t="shared" si="58"/>
        <v>5.9596105082694644</v>
      </c>
      <c r="X232" s="22">
        <f t="shared" si="58"/>
        <v>5.9736319121523582</v>
      </c>
      <c r="Y232" s="22">
        <f t="shared" si="58"/>
        <v>5.9822631555642722</v>
      </c>
      <c r="Z232" s="22">
        <f t="shared" si="58"/>
        <v>5.9919044326673472</v>
      </c>
      <c r="AA232" s="22">
        <f t="shared" si="58"/>
        <v>6.0025907311296489</v>
      </c>
      <c r="AB232" s="22">
        <f t="shared" si="58"/>
        <v>6.0141578623127154</v>
      </c>
      <c r="AC232" s="22">
        <f t="shared" si="58"/>
        <v>6.0266471855560004</v>
      </c>
      <c r="AD232" s="22">
        <f t="shared" si="58"/>
        <v>6.0348691397671148</v>
      </c>
      <c r="AE232" s="22">
        <f t="shared" si="58"/>
        <v>6.0439559167579606</v>
      </c>
      <c r="AF232" s="22">
        <f t="shared" si="58"/>
        <v>6.0538257946059888</v>
      </c>
      <c r="AG232" s="22">
        <f t="shared" si="58"/>
        <v>6.0633613554169949</v>
      </c>
      <c r="AH232" s="22">
        <f t="shared" si="58"/>
        <v>6.0225939777620399</v>
      </c>
      <c r="AI232" s="22">
        <f t="shared" si="58"/>
        <v>6.0283835899852134</v>
      </c>
      <c r="AJ232" s="22">
        <f t="shared" si="58"/>
        <v>6.0347724557516536</v>
      </c>
      <c r="AK232" s="22">
        <f t="shared" si="58"/>
        <v>6.0417379357652736</v>
      </c>
      <c r="AL232" s="22">
        <f t="shared" si="58"/>
        <v>6.0492591406066394</v>
      </c>
      <c r="AM232" s="22">
        <f t="shared" si="58"/>
        <v>6.0573167646829393</v>
      </c>
      <c r="AN232" s="22">
        <f t="shared" si="58"/>
        <v>6.061227136954745</v>
      </c>
      <c r="AO232" s="22">
        <f t="shared" si="58"/>
        <v>6.0656101287298938</v>
      </c>
      <c r="AP232" s="22">
        <f t="shared" si="58"/>
        <v>6.0704492917353319</v>
      </c>
      <c r="AQ232" s="22">
        <f t="shared" si="58"/>
        <v>6.0757293034784778</v>
      </c>
      <c r="AR232" s="22">
        <f t="shared" si="58"/>
        <v>6.0814358716066721</v>
      </c>
      <c r="AS232" s="22">
        <f t="shared" si="58"/>
        <v>6.082843612547955</v>
      </c>
      <c r="AT232" s="22">
        <f t="shared" si="58"/>
        <v>6.0846299220859592</v>
      </c>
      <c r="AU232" s="22">
        <f t="shared" si="58"/>
        <v>6.0867822620358538</v>
      </c>
      <c r="AV232" s="22">
        <f t="shared" si="58"/>
        <v>6.0892888598488994</v>
      </c>
      <c r="AW232" s="22">
        <f t="shared" si="58"/>
        <v>6.092138649733787</v>
      </c>
      <c r="AY232" s="85"/>
    </row>
    <row r="233" spans="1:51" x14ac:dyDescent="0.25">
      <c r="A233" s="102" t="str">
        <f t="shared" si="45"/>
        <v>FA U&amp;D</v>
      </c>
      <c r="B233" s="102" t="s">
        <v>963</v>
      </c>
      <c r="C233" s="102" t="s">
        <v>1337</v>
      </c>
      <c r="D233" t="s">
        <v>369</v>
      </c>
      <c r="E233" t="s">
        <v>55</v>
      </c>
      <c r="F233" t="s">
        <v>422</v>
      </c>
      <c r="G233" t="s">
        <v>1167</v>
      </c>
      <c r="H233" t="s">
        <v>1248</v>
      </c>
      <c r="I233" t="s">
        <v>139</v>
      </c>
      <c r="J233" t="s">
        <v>287</v>
      </c>
      <c r="K233" s="22">
        <f t="shared" si="55"/>
        <v>0.64752945126978523</v>
      </c>
      <c r="L233" s="22">
        <f t="shared" si="58"/>
        <v>0.64788306156605957</v>
      </c>
      <c r="M233" s="22">
        <f t="shared" si="58"/>
        <v>0.64867486294568755</v>
      </c>
      <c r="N233" s="22">
        <f t="shared" si="58"/>
        <v>0.64986669025094335</v>
      </c>
      <c r="O233" s="22">
        <f t="shared" si="58"/>
        <v>0.65147448919151907</v>
      </c>
      <c r="P233" s="22">
        <f t="shared" si="58"/>
        <v>0.65349996579789205</v>
      </c>
      <c r="Q233" s="22">
        <f t="shared" si="58"/>
        <v>0.65575626462789216</v>
      </c>
      <c r="R233" s="22">
        <f t="shared" si="58"/>
        <v>0.65820157906331789</v>
      </c>
      <c r="S233" s="22">
        <f t="shared" si="58"/>
        <v>0.66049947035269418</v>
      </c>
      <c r="T233" s="22">
        <f t="shared" si="58"/>
        <v>0.66145934404141127</v>
      </c>
      <c r="U233" s="22">
        <f t="shared" si="58"/>
        <v>0.66257316013751044</v>
      </c>
      <c r="V233" s="22">
        <f t="shared" si="58"/>
        <v>0.66384069026032311</v>
      </c>
      <c r="W233" s="22">
        <f t="shared" si="58"/>
        <v>0.66526850163239837</v>
      </c>
      <c r="X233" s="22">
        <f t="shared" si="58"/>
        <v>0.66683370431452194</v>
      </c>
      <c r="Y233" s="22">
        <f t="shared" si="58"/>
        <v>0.66779720593327729</v>
      </c>
      <c r="Z233" s="22">
        <f t="shared" si="58"/>
        <v>0.66887345713514434</v>
      </c>
      <c r="AA233" s="22">
        <f t="shared" si="58"/>
        <v>0.6700663635769577</v>
      </c>
      <c r="AB233" s="22">
        <f t="shared" si="58"/>
        <v>0.67135759695868036</v>
      </c>
      <c r="AC233" s="22">
        <f t="shared" si="58"/>
        <v>0.67275177420381005</v>
      </c>
      <c r="AD233" s="22">
        <f t="shared" si="58"/>
        <v>0.67366958706270863</v>
      </c>
      <c r="AE233" s="22">
        <f t="shared" si="58"/>
        <v>0.67468393967937379</v>
      </c>
      <c r="AF233" s="22">
        <f t="shared" si="58"/>
        <v>0.67578570947425243</v>
      </c>
      <c r="AG233" s="22">
        <f t="shared" si="58"/>
        <v>0.6768501596164489</v>
      </c>
      <c r="AH233" s="22">
        <f t="shared" si="58"/>
        <v>0.6722993165352843</v>
      </c>
      <c r="AI233" s="22">
        <f t="shared" si="58"/>
        <v>0.67294560820877491</v>
      </c>
      <c r="AJ233" s="22">
        <f t="shared" si="58"/>
        <v>0.67365879427180253</v>
      </c>
      <c r="AK233" s="22">
        <f t="shared" si="58"/>
        <v>0.674436347510455</v>
      </c>
      <c r="AL233" s="22">
        <f t="shared" si="58"/>
        <v>0.67527593604872327</v>
      </c>
      <c r="AM233" s="22">
        <f t="shared" si="58"/>
        <v>0.67617540481241489</v>
      </c>
      <c r="AN233" s="22">
        <f t="shared" si="58"/>
        <v>0.67661191781917585</v>
      </c>
      <c r="AO233" s="22">
        <f t="shared" si="58"/>
        <v>0.67710118911750539</v>
      </c>
      <c r="AP233" s="22">
        <f t="shared" si="58"/>
        <v>0.67764138259446438</v>
      </c>
      <c r="AQ233" s="22">
        <f t="shared" si="58"/>
        <v>0.6782307878074546</v>
      </c>
      <c r="AR233" s="22">
        <f t="shared" si="58"/>
        <v>0.67886780930790958</v>
      </c>
      <c r="AS233" s="22">
        <f t="shared" si="58"/>
        <v>0.67902495476320335</v>
      </c>
      <c r="AT233" s="22">
        <f t="shared" si="58"/>
        <v>0.67922435965185335</v>
      </c>
      <c r="AU233" s="22">
        <f t="shared" si="58"/>
        <v>0.67946462434221933</v>
      </c>
      <c r="AV233" s="22">
        <f t="shared" si="58"/>
        <v>0.67974443467025414</v>
      </c>
      <c r="AW233" s="22">
        <f t="shared" si="58"/>
        <v>0.68006255536690974</v>
      </c>
      <c r="AY233" s="85"/>
    </row>
    <row r="234" spans="1:51" x14ac:dyDescent="0.25">
      <c r="A234" s="102" t="str">
        <f t="shared" si="45"/>
        <v>FA U&amp;D</v>
      </c>
      <c r="B234" s="102" t="s">
        <v>963</v>
      </c>
      <c r="C234" s="102" t="s">
        <v>1337</v>
      </c>
      <c r="D234" t="s">
        <v>369</v>
      </c>
      <c r="E234" t="s">
        <v>55</v>
      </c>
      <c r="F234" t="s">
        <v>422</v>
      </c>
      <c r="G234" t="s">
        <v>1169</v>
      </c>
      <c r="H234" t="s">
        <v>1249</v>
      </c>
      <c r="I234" t="s">
        <v>139</v>
      </c>
      <c r="J234" t="s">
        <v>287</v>
      </c>
      <c r="K234" s="22">
        <f t="shared" si="55"/>
        <v>0.71703962515202246</v>
      </c>
      <c r="L234" s="22">
        <f t="shared" si="58"/>
        <v>0.71890983434251277</v>
      </c>
      <c r="M234" s="22">
        <f t="shared" si="58"/>
        <v>0.72140205375439892</v>
      </c>
      <c r="N234" s="22">
        <f t="shared" si="58"/>
        <v>0.72446087645337953</v>
      </c>
      <c r="O234" s="22">
        <f t="shared" si="58"/>
        <v>0.72812305944589495</v>
      </c>
      <c r="P234" s="22">
        <f t="shared" si="58"/>
        <v>0.73239834824766725</v>
      </c>
      <c r="Q234" s="22">
        <f t="shared" si="58"/>
        <v>0.73696942015050981</v>
      </c>
      <c r="R234" s="22">
        <f t="shared" si="58"/>
        <v>0.74177091257362759</v>
      </c>
      <c r="S234" s="22">
        <f t="shared" si="58"/>
        <v>0.74623128814082973</v>
      </c>
      <c r="T234" s="22">
        <f t="shared" si="58"/>
        <v>0.74832155602397465</v>
      </c>
      <c r="U234" s="22">
        <f t="shared" ref="L234:AW240" si="59">U1490</f>
        <v>0.75061365062436147</v>
      </c>
      <c r="V234" s="22">
        <f t="shared" si="59"/>
        <v>0.75311048066791608</v>
      </c>
      <c r="W234" s="22">
        <f t="shared" si="59"/>
        <v>0.75582597980024202</v>
      </c>
      <c r="X234" s="22">
        <f t="shared" si="59"/>
        <v>0.758723586950243</v>
      </c>
      <c r="Y234" s="22">
        <f t="shared" si="59"/>
        <v>0.76055515001802498</v>
      </c>
      <c r="Z234" s="22">
        <f t="shared" si="59"/>
        <v>0.76253680812015046</v>
      </c>
      <c r="AA234" s="22">
        <f t="shared" si="59"/>
        <v>0.7646767595046402</v>
      </c>
      <c r="AB234" s="22">
        <f t="shared" si="59"/>
        <v>0.76694554342614063</v>
      </c>
      <c r="AC234" s="22">
        <f t="shared" si="59"/>
        <v>0.76935223527037744</v>
      </c>
      <c r="AD234" s="22">
        <f t="shared" si="59"/>
        <v>0.7709284586249765</v>
      </c>
      <c r="AE234" s="22">
        <f t="shared" si="59"/>
        <v>0.77263788414937862</v>
      </c>
      <c r="AF234" s="22">
        <f t="shared" si="59"/>
        <v>0.77446606053450517</v>
      </c>
      <c r="AG234" s="22">
        <f t="shared" si="59"/>
        <v>0.7762062172722024</v>
      </c>
      <c r="AH234" s="22">
        <f t="shared" si="59"/>
        <v>0.76859920994116682</v>
      </c>
      <c r="AI234" s="22">
        <f t="shared" si="59"/>
        <v>0.76961702960226952</v>
      </c>
      <c r="AJ234" s="22">
        <f t="shared" si="59"/>
        <v>0.77072611211000452</v>
      </c>
      <c r="AK234" s="22">
        <f t="shared" si="59"/>
        <v>0.7719227512042488</v>
      </c>
      <c r="AL234" s="22">
        <f t="shared" si="59"/>
        <v>0.77320352810315807</v>
      </c>
      <c r="AM234" s="22">
        <f t="shared" si="59"/>
        <v>0.77456528397766</v>
      </c>
      <c r="AN234" s="22">
        <f t="shared" si="59"/>
        <v>0.7751498155218971</v>
      </c>
      <c r="AO234" s="22">
        <f t="shared" si="59"/>
        <v>0.77580729833667095</v>
      </c>
      <c r="AP234" s="22">
        <f t="shared" si="59"/>
        <v>0.77653498216260275</v>
      </c>
      <c r="AQ234" s="22">
        <f t="shared" si="59"/>
        <v>0.77733030541457571</v>
      </c>
      <c r="AR234" s="22">
        <f t="shared" si="59"/>
        <v>0.77819087901746686</v>
      </c>
      <c r="AS234" s="22">
        <f t="shared" si="59"/>
        <v>0.77825802091956864</v>
      </c>
      <c r="AT234" s="22">
        <f t="shared" si="59"/>
        <v>0.77838487427420744</v>
      </c>
      <c r="AU234" s="22">
        <f t="shared" si="59"/>
        <v>0.77856929465999758</v>
      </c>
      <c r="AV234" s="22">
        <f t="shared" si="59"/>
        <v>0.77880926891307201</v>
      </c>
      <c r="AW234" s="22">
        <f t="shared" si="59"/>
        <v>0.77910290495826517</v>
      </c>
      <c r="AY234" s="85"/>
    </row>
    <row r="235" spans="1:51" x14ac:dyDescent="0.25">
      <c r="A235" s="102" t="str">
        <f t="shared" si="45"/>
        <v>FA U&amp;D</v>
      </c>
      <c r="B235" s="102" t="s">
        <v>963</v>
      </c>
      <c r="C235" s="102" t="s">
        <v>1337</v>
      </c>
      <c r="D235" t="s">
        <v>369</v>
      </c>
      <c r="E235" t="s">
        <v>55</v>
      </c>
      <c r="F235" t="s">
        <v>422</v>
      </c>
      <c r="G235" t="s">
        <v>1171</v>
      </c>
      <c r="H235" t="s">
        <v>1250</v>
      </c>
      <c r="I235" t="s">
        <v>139</v>
      </c>
      <c r="J235" t="s">
        <v>287</v>
      </c>
      <c r="K235" s="22">
        <f t="shared" si="55"/>
        <v>1.1866860146705673</v>
      </c>
      <c r="L235" s="22">
        <f t="shared" si="59"/>
        <v>1.1897811728919734</v>
      </c>
      <c r="M235" s="22">
        <f t="shared" si="59"/>
        <v>1.1939057453951301</v>
      </c>
      <c r="N235" s="22">
        <f t="shared" si="59"/>
        <v>1.1989680348292291</v>
      </c>
      <c r="O235" s="22">
        <f t="shared" si="59"/>
        <v>1.2050288732932972</v>
      </c>
      <c r="P235" s="22">
        <f t="shared" si="59"/>
        <v>1.2121043894178982</v>
      </c>
      <c r="Q235" s="22">
        <f t="shared" si="59"/>
        <v>1.2196694205666394</v>
      </c>
      <c r="R235" s="22">
        <f t="shared" si="59"/>
        <v>1.2276157929959912</v>
      </c>
      <c r="S235" s="22">
        <f t="shared" si="59"/>
        <v>1.2349976239577805</v>
      </c>
      <c r="T235" s="22">
        <f t="shared" si="59"/>
        <v>1.2384569748455603</v>
      </c>
      <c r="U235" s="22">
        <f t="shared" si="59"/>
        <v>1.2422503448507454</v>
      </c>
      <c r="V235" s="22">
        <f t="shared" si="59"/>
        <v>1.2463825478556594</v>
      </c>
      <c r="W235" s="22">
        <f t="shared" si="59"/>
        <v>1.2508766437607468</v>
      </c>
      <c r="X235" s="22">
        <f t="shared" si="59"/>
        <v>1.2556721247359952</v>
      </c>
      <c r="Y235" s="22">
        <f t="shared" si="59"/>
        <v>1.2587033244093235</v>
      </c>
      <c r="Z235" s="22">
        <f t="shared" si="59"/>
        <v>1.2619829283156658</v>
      </c>
      <c r="AA235" s="22">
        <f t="shared" si="59"/>
        <v>1.2655245043889694</v>
      </c>
      <c r="AB235" s="22">
        <f t="shared" si="59"/>
        <v>1.2692792956940984</v>
      </c>
      <c r="AC235" s="22">
        <f t="shared" si="59"/>
        <v>1.2732623218100843</v>
      </c>
      <c r="AD235" s="22">
        <f t="shared" si="59"/>
        <v>1.2758709394447143</v>
      </c>
      <c r="AE235" s="22">
        <f t="shared" si="59"/>
        <v>1.2787000039646823</v>
      </c>
      <c r="AF235" s="22">
        <f t="shared" si="59"/>
        <v>1.2817255987470082</v>
      </c>
      <c r="AG235" s="22">
        <f t="shared" si="59"/>
        <v>1.2846055228007487</v>
      </c>
      <c r="AH235" s="22">
        <f t="shared" si="59"/>
        <v>1.2720160801861611</v>
      </c>
      <c r="AI235" s="22">
        <f t="shared" si="59"/>
        <v>1.2737005510506982</v>
      </c>
      <c r="AJ235" s="22">
        <f t="shared" si="59"/>
        <v>1.2755360600726242</v>
      </c>
      <c r="AK235" s="22">
        <f t="shared" si="59"/>
        <v>1.2775164734667195</v>
      </c>
      <c r="AL235" s="22">
        <f t="shared" si="59"/>
        <v>1.2796361332184747</v>
      </c>
      <c r="AM235" s="22">
        <f t="shared" si="59"/>
        <v>1.2818898115299409</v>
      </c>
      <c r="AN235" s="22">
        <f t="shared" si="59"/>
        <v>1.2828571993622844</v>
      </c>
      <c r="AO235" s="22">
        <f t="shared" si="59"/>
        <v>1.283945320065534</v>
      </c>
      <c r="AP235" s="22">
        <f t="shared" si="59"/>
        <v>1.2851496220162837</v>
      </c>
      <c r="AQ235" s="22">
        <f t="shared" si="59"/>
        <v>1.2864658658431971</v>
      </c>
      <c r="AR235" s="22">
        <f t="shared" si="59"/>
        <v>1.2878900976754739</v>
      </c>
      <c r="AS235" s="22">
        <f t="shared" si="59"/>
        <v>1.2880012161596242</v>
      </c>
      <c r="AT235" s="22">
        <f t="shared" si="59"/>
        <v>1.288211155884827</v>
      </c>
      <c r="AU235" s="22">
        <f t="shared" si="59"/>
        <v>1.2885163678772478</v>
      </c>
      <c r="AV235" s="22">
        <f t="shared" si="59"/>
        <v>1.2889135203915794</v>
      </c>
      <c r="AW235" s="22">
        <f t="shared" si="59"/>
        <v>1.2893994820818555</v>
      </c>
      <c r="AY235" s="85"/>
    </row>
    <row r="236" spans="1:51" x14ac:dyDescent="0.25">
      <c r="A236" s="102" t="str">
        <f t="shared" si="45"/>
        <v>FA U&amp;D</v>
      </c>
      <c r="B236" s="102" t="s">
        <v>963</v>
      </c>
      <c r="C236" s="102" t="s">
        <v>1337</v>
      </c>
      <c r="D236" t="s">
        <v>369</v>
      </c>
      <c r="E236" t="s">
        <v>55</v>
      </c>
      <c r="F236" t="s">
        <v>422</v>
      </c>
      <c r="G236" t="s">
        <v>1173</v>
      </c>
      <c r="H236" t="s">
        <v>1251</v>
      </c>
      <c r="I236" t="s">
        <v>139</v>
      </c>
      <c r="J236" t="s">
        <v>287</v>
      </c>
      <c r="K236" s="22">
        <f t="shared" si="55"/>
        <v>0.19206426868977441</v>
      </c>
      <c r="L236" s="22">
        <f t="shared" si="59"/>
        <v>0.19318987586932423</v>
      </c>
      <c r="M236" s="22">
        <f t="shared" si="59"/>
        <v>0.19346719628053802</v>
      </c>
      <c r="N236" s="22">
        <f t="shared" si="59"/>
        <v>0.19261999020243609</v>
      </c>
      <c r="O236" s="22">
        <f t="shared" si="59"/>
        <v>0.19172365370541722</v>
      </c>
      <c r="P236" s="22">
        <f t="shared" si="59"/>
        <v>0.19129719629214276</v>
      </c>
      <c r="Q236" s="22">
        <f t="shared" si="59"/>
        <v>0.19101276819466945</v>
      </c>
      <c r="R236" s="22">
        <f t="shared" si="59"/>
        <v>0.18964082845337171</v>
      </c>
      <c r="S236" s="22">
        <f t="shared" si="59"/>
        <v>0.17855585025741377</v>
      </c>
      <c r="T236" s="22">
        <f t="shared" si="59"/>
        <v>0.1801256476686891</v>
      </c>
      <c r="U236" s="22">
        <f t="shared" si="59"/>
        <v>0.18141112915440744</v>
      </c>
      <c r="V236" s="22">
        <f t="shared" si="59"/>
        <v>0.18267062412414889</v>
      </c>
      <c r="W236" s="22">
        <f t="shared" si="59"/>
        <v>0.18430349788289624</v>
      </c>
      <c r="X236" s="22">
        <f t="shared" si="59"/>
        <v>0.18590650598729025</v>
      </c>
      <c r="Y236" s="22">
        <f t="shared" si="59"/>
        <v>0.18774289622011922</v>
      </c>
      <c r="Z236" s="22">
        <f t="shared" si="59"/>
        <v>0.18945974795510873</v>
      </c>
      <c r="AA236" s="22">
        <f t="shared" si="59"/>
        <v>0.19130656367707333</v>
      </c>
      <c r="AB236" s="22">
        <f t="shared" si="59"/>
        <v>0.1929453281809925</v>
      </c>
      <c r="AC236" s="22">
        <f t="shared" si="59"/>
        <v>0.19461451886655767</v>
      </c>
      <c r="AD236" s="22">
        <f t="shared" si="59"/>
        <v>0.19692637066734073</v>
      </c>
      <c r="AE236" s="22">
        <f t="shared" si="59"/>
        <v>0.19944913652878843</v>
      </c>
      <c r="AF236" s="22">
        <f t="shared" si="59"/>
        <v>0.20204327521693932</v>
      </c>
      <c r="AG236" s="22">
        <f t="shared" si="59"/>
        <v>0.20167425591994353</v>
      </c>
      <c r="AH236" s="22">
        <f t="shared" si="59"/>
        <v>5.9672038121461136E-2</v>
      </c>
      <c r="AI236" s="22">
        <f t="shared" si="59"/>
        <v>5.9672038121461136E-2</v>
      </c>
      <c r="AJ236" s="22">
        <f t="shared" si="59"/>
        <v>5.9672038121461136E-2</v>
      </c>
      <c r="AK236" s="22">
        <f t="shared" si="59"/>
        <v>5.9672038121461136E-2</v>
      </c>
      <c r="AL236" s="22">
        <f t="shared" si="59"/>
        <v>5.9672038121461136E-2</v>
      </c>
      <c r="AM236" s="22">
        <f t="shared" si="59"/>
        <v>5.9672038121461136E-2</v>
      </c>
      <c r="AN236" s="22">
        <f t="shared" si="59"/>
        <v>5.9672038121461136E-2</v>
      </c>
      <c r="AO236" s="22">
        <f t="shared" si="59"/>
        <v>5.9672038121461136E-2</v>
      </c>
      <c r="AP236" s="22">
        <f t="shared" si="59"/>
        <v>5.9672038121461136E-2</v>
      </c>
      <c r="AQ236" s="22">
        <f t="shared" si="59"/>
        <v>5.9672038121461136E-2</v>
      </c>
      <c r="AR236" s="22">
        <f t="shared" si="59"/>
        <v>5.9672038121461136E-2</v>
      </c>
      <c r="AS236" s="22">
        <f t="shared" si="59"/>
        <v>5.9672038121461136E-2</v>
      </c>
      <c r="AT236" s="22">
        <f t="shared" si="59"/>
        <v>5.9672038121461136E-2</v>
      </c>
      <c r="AU236" s="22">
        <f t="shared" si="59"/>
        <v>5.9672038121461136E-2</v>
      </c>
      <c r="AV236" s="22">
        <f t="shared" si="59"/>
        <v>5.9672038121461136E-2</v>
      </c>
      <c r="AW236" s="22">
        <f t="shared" si="59"/>
        <v>5.9672038121461136E-2</v>
      </c>
      <c r="AY236" s="85"/>
    </row>
    <row r="237" spans="1:51" x14ac:dyDescent="0.25">
      <c r="A237" s="102" t="str">
        <f t="shared" si="45"/>
        <v>FA U&amp;D</v>
      </c>
      <c r="B237" s="102" t="s">
        <v>963</v>
      </c>
      <c r="C237" s="102" t="s">
        <v>1337</v>
      </c>
      <c r="D237" t="s">
        <v>369</v>
      </c>
      <c r="E237" t="s">
        <v>55</v>
      </c>
      <c r="F237" t="s">
        <v>422</v>
      </c>
      <c r="G237" t="s">
        <v>1175</v>
      </c>
      <c r="H237" t="s">
        <v>1252</v>
      </c>
      <c r="I237" t="s">
        <v>139</v>
      </c>
      <c r="J237" t="s">
        <v>287</v>
      </c>
      <c r="K237" s="22">
        <f t="shared" si="55"/>
        <v>3.4640571428571423E-2</v>
      </c>
      <c r="L237" s="22">
        <f t="shared" si="59"/>
        <v>3.4640571428571423E-2</v>
      </c>
      <c r="M237" s="22">
        <f t="shared" si="59"/>
        <v>3.4640571428571423E-2</v>
      </c>
      <c r="N237" s="22">
        <f t="shared" si="59"/>
        <v>3.4640571428571423E-2</v>
      </c>
      <c r="O237" s="22">
        <f t="shared" si="59"/>
        <v>3.4640571428571423E-2</v>
      </c>
      <c r="P237" s="22">
        <f t="shared" si="59"/>
        <v>3.4640571428571423E-2</v>
      </c>
      <c r="Q237" s="22">
        <f t="shared" si="59"/>
        <v>3.4640571428571423E-2</v>
      </c>
      <c r="R237" s="22">
        <f t="shared" si="59"/>
        <v>3.4640571428571423E-2</v>
      </c>
      <c r="S237" s="22">
        <f t="shared" si="59"/>
        <v>3.4640571428571423E-2</v>
      </c>
      <c r="T237" s="22">
        <f t="shared" si="59"/>
        <v>3.4640571428571423E-2</v>
      </c>
      <c r="U237" s="22">
        <f t="shared" si="59"/>
        <v>3.4640571428571423E-2</v>
      </c>
      <c r="V237" s="22">
        <f t="shared" si="59"/>
        <v>3.4640571428571423E-2</v>
      </c>
      <c r="W237" s="22">
        <f t="shared" si="59"/>
        <v>3.4640571428571423E-2</v>
      </c>
      <c r="X237" s="22">
        <f t="shared" si="59"/>
        <v>3.4640571428571423E-2</v>
      </c>
      <c r="Y237" s="22">
        <f t="shared" si="59"/>
        <v>3.4640571428571423E-2</v>
      </c>
      <c r="Z237" s="22">
        <f t="shared" si="59"/>
        <v>3.4640571428571423E-2</v>
      </c>
      <c r="AA237" s="22">
        <f t="shared" si="59"/>
        <v>3.4640571428571423E-2</v>
      </c>
      <c r="AB237" s="22">
        <f t="shared" si="59"/>
        <v>3.4640571428571423E-2</v>
      </c>
      <c r="AC237" s="22">
        <f t="shared" si="59"/>
        <v>3.4640571428571423E-2</v>
      </c>
      <c r="AD237" s="22">
        <f t="shared" si="59"/>
        <v>3.4640571428571423E-2</v>
      </c>
      <c r="AE237" s="22">
        <f t="shared" si="59"/>
        <v>3.4640571428571423E-2</v>
      </c>
      <c r="AF237" s="22">
        <f t="shared" si="59"/>
        <v>3.4640571428571423E-2</v>
      </c>
      <c r="AG237" s="22">
        <f t="shared" si="59"/>
        <v>3.4640571428571423E-2</v>
      </c>
      <c r="AH237" s="22">
        <f t="shared" si="59"/>
        <v>3.4640571428571423E-2</v>
      </c>
      <c r="AI237" s="22">
        <f t="shared" si="59"/>
        <v>3.4640571428571423E-2</v>
      </c>
      <c r="AJ237" s="22">
        <f t="shared" si="59"/>
        <v>3.4640571428571423E-2</v>
      </c>
      <c r="AK237" s="22">
        <f t="shared" si="59"/>
        <v>3.4640571428571423E-2</v>
      </c>
      <c r="AL237" s="22">
        <f t="shared" si="59"/>
        <v>3.4640571428571423E-2</v>
      </c>
      <c r="AM237" s="22">
        <f t="shared" si="59"/>
        <v>3.4640571428571423E-2</v>
      </c>
      <c r="AN237" s="22">
        <f t="shared" si="59"/>
        <v>3.4640571428571423E-2</v>
      </c>
      <c r="AO237" s="22">
        <f t="shared" si="59"/>
        <v>3.4640571428571423E-2</v>
      </c>
      <c r="AP237" s="22">
        <f t="shared" si="59"/>
        <v>3.4640571428571423E-2</v>
      </c>
      <c r="AQ237" s="22">
        <f t="shared" si="59"/>
        <v>3.4640571428571423E-2</v>
      </c>
      <c r="AR237" s="22">
        <f t="shared" si="59"/>
        <v>3.4640571428571423E-2</v>
      </c>
      <c r="AS237" s="22">
        <f t="shared" si="59"/>
        <v>3.4640571428571423E-2</v>
      </c>
      <c r="AT237" s="22">
        <f t="shared" si="59"/>
        <v>3.4640571428571423E-2</v>
      </c>
      <c r="AU237" s="22">
        <f t="shared" si="59"/>
        <v>3.4640571428571423E-2</v>
      </c>
      <c r="AV237" s="22">
        <f t="shared" si="59"/>
        <v>3.4640571428571423E-2</v>
      </c>
      <c r="AW237" s="22">
        <f t="shared" si="59"/>
        <v>3.4640571428571423E-2</v>
      </c>
      <c r="AY237" s="85"/>
    </row>
    <row r="238" spans="1:51" x14ac:dyDescent="0.25">
      <c r="A238" s="102" t="str">
        <f t="shared" si="45"/>
        <v>FA U&amp;D</v>
      </c>
      <c r="B238" s="102" t="s">
        <v>963</v>
      </c>
      <c r="C238" s="102" t="s">
        <v>1337</v>
      </c>
      <c r="D238" t="s">
        <v>369</v>
      </c>
      <c r="E238" t="s">
        <v>55</v>
      </c>
      <c r="F238" t="s">
        <v>422</v>
      </c>
      <c r="G238" t="s">
        <v>1177</v>
      </c>
      <c r="H238" t="s">
        <v>1253</v>
      </c>
      <c r="I238" t="s">
        <v>139</v>
      </c>
      <c r="J238" t="s">
        <v>287</v>
      </c>
      <c r="K238" s="22">
        <f t="shared" si="55"/>
        <v>0</v>
      </c>
      <c r="L238" s="22">
        <f t="shared" si="59"/>
        <v>0</v>
      </c>
      <c r="M238" s="22">
        <f t="shared" si="59"/>
        <v>0</v>
      </c>
      <c r="N238" s="22">
        <f t="shared" si="59"/>
        <v>0</v>
      </c>
      <c r="O238" s="22">
        <f t="shared" si="59"/>
        <v>0</v>
      </c>
      <c r="P238" s="22">
        <f t="shared" si="59"/>
        <v>0</v>
      </c>
      <c r="Q238" s="22">
        <f t="shared" si="59"/>
        <v>0</v>
      </c>
      <c r="R238" s="22">
        <f t="shared" si="59"/>
        <v>0</v>
      </c>
      <c r="S238" s="22">
        <f t="shared" si="59"/>
        <v>0</v>
      </c>
      <c r="T238" s="22">
        <f t="shared" si="59"/>
        <v>0</v>
      </c>
      <c r="U238" s="22">
        <f t="shared" si="59"/>
        <v>0</v>
      </c>
      <c r="V238" s="22">
        <f t="shared" si="59"/>
        <v>0</v>
      </c>
      <c r="W238" s="22">
        <f t="shared" si="59"/>
        <v>0</v>
      </c>
      <c r="X238" s="22">
        <f t="shared" si="59"/>
        <v>0</v>
      </c>
      <c r="Y238" s="22">
        <f t="shared" si="59"/>
        <v>0</v>
      </c>
      <c r="Z238" s="22">
        <f t="shared" si="59"/>
        <v>0</v>
      </c>
      <c r="AA238" s="22">
        <f t="shared" si="59"/>
        <v>0</v>
      </c>
      <c r="AB238" s="22">
        <f t="shared" si="59"/>
        <v>0</v>
      </c>
      <c r="AC238" s="22">
        <f t="shared" si="59"/>
        <v>0</v>
      </c>
      <c r="AD238" s="22">
        <f t="shared" si="59"/>
        <v>0</v>
      </c>
      <c r="AE238" s="22">
        <f t="shared" si="59"/>
        <v>0</v>
      </c>
      <c r="AF238" s="22">
        <f t="shared" si="59"/>
        <v>0</v>
      </c>
      <c r="AG238" s="22">
        <f t="shared" si="59"/>
        <v>0</v>
      </c>
      <c r="AH238" s="22">
        <f t="shared" si="59"/>
        <v>0</v>
      </c>
      <c r="AI238" s="22">
        <f t="shared" si="59"/>
        <v>0</v>
      </c>
      <c r="AJ238" s="22">
        <f t="shared" si="59"/>
        <v>0</v>
      </c>
      <c r="AK238" s="22">
        <f t="shared" si="59"/>
        <v>0</v>
      </c>
      <c r="AL238" s="22">
        <f t="shared" si="59"/>
        <v>0</v>
      </c>
      <c r="AM238" s="22">
        <f t="shared" si="59"/>
        <v>0</v>
      </c>
      <c r="AN238" s="22">
        <f t="shared" si="59"/>
        <v>0</v>
      </c>
      <c r="AO238" s="22">
        <f t="shared" si="59"/>
        <v>0</v>
      </c>
      <c r="AP238" s="22">
        <f t="shared" si="59"/>
        <v>0</v>
      </c>
      <c r="AQ238" s="22">
        <f t="shared" si="59"/>
        <v>0</v>
      </c>
      <c r="AR238" s="22">
        <f t="shared" si="59"/>
        <v>0</v>
      </c>
      <c r="AS238" s="22">
        <f t="shared" si="59"/>
        <v>0</v>
      </c>
      <c r="AT238" s="22">
        <f t="shared" si="59"/>
        <v>0</v>
      </c>
      <c r="AU238" s="22">
        <f t="shared" si="59"/>
        <v>0</v>
      </c>
      <c r="AV238" s="22">
        <f t="shared" si="59"/>
        <v>0</v>
      </c>
      <c r="AW238" s="22">
        <f t="shared" si="59"/>
        <v>0</v>
      </c>
      <c r="AY238" s="85"/>
    </row>
    <row r="239" spans="1:51" x14ac:dyDescent="0.25">
      <c r="A239" s="102" t="str">
        <f t="shared" si="45"/>
        <v>FA U&amp;D</v>
      </c>
      <c r="B239" s="102" t="s">
        <v>963</v>
      </c>
      <c r="C239" s="102" t="s">
        <v>1337</v>
      </c>
      <c r="D239" t="s">
        <v>369</v>
      </c>
      <c r="E239" t="s">
        <v>55</v>
      </c>
      <c r="F239" t="s">
        <v>422</v>
      </c>
      <c r="G239" t="s">
        <v>1179</v>
      </c>
      <c r="H239" t="s">
        <v>1254</v>
      </c>
      <c r="I239" t="s">
        <v>139</v>
      </c>
      <c r="J239" t="s">
        <v>287</v>
      </c>
      <c r="K239" s="22">
        <f t="shared" si="55"/>
        <v>0</v>
      </c>
      <c r="L239" s="22">
        <f t="shared" si="59"/>
        <v>0</v>
      </c>
      <c r="M239" s="22">
        <f t="shared" si="59"/>
        <v>0</v>
      </c>
      <c r="N239" s="22">
        <f t="shared" si="59"/>
        <v>0</v>
      </c>
      <c r="O239" s="22">
        <f t="shared" si="59"/>
        <v>0</v>
      </c>
      <c r="P239" s="22">
        <f t="shared" si="59"/>
        <v>0</v>
      </c>
      <c r="Q239" s="22">
        <f t="shared" si="59"/>
        <v>0</v>
      </c>
      <c r="R239" s="22">
        <f t="shared" si="59"/>
        <v>0</v>
      </c>
      <c r="S239" s="22">
        <f t="shared" si="59"/>
        <v>0</v>
      </c>
      <c r="T239" s="22">
        <f t="shared" si="59"/>
        <v>0</v>
      </c>
      <c r="U239" s="22">
        <f t="shared" si="59"/>
        <v>0</v>
      </c>
      <c r="V239" s="22">
        <f t="shared" si="59"/>
        <v>0</v>
      </c>
      <c r="W239" s="22">
        <f t="shared" si="59"/>
        <v>0</v>
      </c>
      <c r="X239" s="22">
        <f t="shared" si="59"/>
        <v>0</v>
      </c>
      <c r="Y239" s="22">
        <f t="shared" si="59"/>
        <v>0</v>
      </c>
      <c r="Z239" s="22">
        <f t="shared" si="59"/>
        <v>0</v>
      </c>
      <c r="AA239" s="22">
        <f t="shared" si="59"/>
        <v>0</v>
      </c>
      <c r="AB239" s="22">
        <f t="shared" si="59"/>
        <v>0</v>
      </c>
      <c r="AC239" s="22">
        <f t="shared" si="59"/>
        <v>0</v>
      </c>
      <c r="AD239" s="22">
        <f t="shared" si="59"/>
        <v>0</v>
      </c>
      <c r="AE239" s="22">
        <f t="shared" si="59"/>
        <v>0</v>
      </c>
      <c r="AF239" s="22">
        <f t="shared" si="59"/>
        <v>0</v>
      </c>
      <c r="AG239" s="22">
        <f t="shared" si="59"/>
        <v>0</v>
      </c>
      <c r="AH239" s="22">
        <f t="shared" si="59"/>
        <v>0</v>
      </c>
      <c r="AI239" s="22">
        <f t="shared" si="59"/>
        <v>0</v>
      </c>
      <c r="AJ239" s="22">
        <f t="shared" si="59"/>
        <v>0</v>
      </c>
      <c r="AK239" s="22">
        <f t="shared" si="59"/>
        <v>0</v>
      </c>
      <c r="AL239" s="22">
        <f t="shared" si="59"/>
        <v>0</v>
      </c>
      <c r="AM239" s="22">
        <f t="shared" si="59"/>
        <v>0</v>
      </c>
      <c r="AN239" s="22">
        <f t="shared" si="59"/>
        <v>0</v>
      </c>
      <c r="AO239" s="22">
        <f t="shared" si="59"/>
        <v>0</v>
      </c>
      <c r="AP239" s="22">
        <f t="shared" si="59"/>
        <v>0</v>
      </c>
      <c r="AQ239" s="22">
        <f t="shared" si="59"/>
        <v>0</v>
      </c>
      <c r="AR239" s="22">
        <f t="shared" si="59"/>
        <v>0</v>
      </c>
      <c r="AS239" s="22">
        <f t="shared" si="59"/>
        <v>0</v>
      </c>
      <c r="AT239" s="22">
        <f t="shared" si="59"/>
        <v>0</v>
      </c>
      <c r="AU239" s="22">
        <f t="shared" si="59"/>
        <v>0</v>
      </c>
      <c r="AV239" s="22">
        <f t="shared" si="59"/>
        <v>0</v>
      </c>
      <c r="AW239" s="22">
        <f t="shared" si="59"/>
        <v>0</v>
      </c>
      <c r="AY239" s="85"/>
    </row>
    <row r="240" spans="1:51" x14ac:dyDescent="0.25">
      <c r="A240" s="102" t="str">
        <f t="shared" si="45"/>
        <v>FA U&amp;D</v>
      </c>
      <c r="B240" s="102" t="s">
        <v>963</v>
      </c>
      <c r="C240" s="102" t="s">
        <v>1337</v>
      </c>
      <c r="D240" t="s">
        <v>369</v>
      </c>
      <c r="E240" t="s">
        <v>55</v>
      </c>
      <c r="F240" t="s">
        <v>422</v>
      </c>
      <c r="G240" t="s">
        <v>1181</v>
      </c>
      <c r="H240" t="s">
        <v>1255</v>
      </c>
      <c r="I240" t="s">
        <v>139</v>
      </c>
      <c r="J240" t="s">
        <v>287</v>
      </c>
      <c r="K240" s="22">
        <f t="shared" si="55"/>
        <v>0</v>
      </c>
      <c r="L240" s="22">
        <f t="shared" si="59"/>
        <v>0</v>
      </c>
      <c r="M240" s="22">
        <f t="shared" si="59"/>
        <v>0</v>
      </c>
      <c r="N240" s="22">
        <f t="shared" si="59"/>
        <v>0</v>
      </c>
      <c r="O240" s="22">
        <f t="shared" si="59"/>
        <v>0</v>
      </c>
      <c r="P240" s="22">
        <f t="shared" si="59"/>
        <v>0</v>
      </c>
      <c r="Q240" s="22">
        <f t="shared" si="59"/>
        <v>0</v>
      </c>
      <c r="R240" s="22">
        <f t="shared" si="59"/>
        <v>0</v>
      </c>
      <c r="S240" s="22">
        <f t="shared" si="59"/>
        <v>0</v>
      </c>
      <c r="T240" s="22">
        <f t="shared" si="59"/>
        <v>0</v>
      </c>
      <c r="U240" s="22">
        <f t="shared" si="59"/>
        <v>0</v>
      </c>
      <c r="V240" s="22">
        <f t="shared" si="59"/>
        <v>0</v>
      </c>
      <c r="W240" s="22">
        <f t="shared" si="59"/>
        <v>0</v>
      </c>
      <c r="X240" s="22">
        <f t="shared" si="59"/>
        <v>0</v>
      </c>
      <c r="Y240" s="22">
        <f t="shared" si="59"/>
        <v>0</v>
      </c>
      <c r="Z240" s="22">
        <f t="shared" si="59"/>
        <v>0</v>
      </c>
      <c r="AA240" s="22">
        <f t="shared" si="59"/>
        <v>0</v>
      </c>
      <c r="AB240" s="22">
        <f t="shared" si="59"/>
        <v>0</v>
      </c>
      <c r="AC240" s="22">
        <f t="shared" si="59"/>
        <v>0</v>
      </c>
      <c r="AD240" s="22">
        <f t="shared" si="59"/>
        <v>0</v>
      </c>
      <c r="AE240" s="22">
        <f t="shared" si="59"/>
        <v>0</v>
      </c>
      <c r="AF240" s="22">
        <f t="shared" si="59"/>
        <v>0</v>
      </c>
      <c r="AG240" s="22">
        <f t="shared" si="59"/>
        <v>0</v>
      </c>
      <c r="AH240" s="22">
        <f t="shared" si="59"/>
        <v>0</v>
      </c>
      <c r="AI240" s="22">
        <f t="shared" si="59"/>
        <v>0</v>
      </c>
      <c r="AJ240" s="22">
        <f t="shared" si="59"/>
        <v>0</v>
      </c>
      <c r="AK240" s="22">
        <f t="shared" si="59"/>
        <v>0</v>
      </c>
      <c r="AL240" s="22">
        <f t="shared" si="59"/>
        <v>0</v>
      </c>
      <c r="AM240" s="22">
        <f t="shared" si="59"/>
        <v>0</v>
      </c>
      <c r="AN240" s="22">
        <f t="shared" si="59"/>
        <v>0</v>
      </c>
      <c r="AO240" s="22">
        <f t="shared" si="59"/>
        <v>0</v>
      </c>
      <c r="AP240" s="22">
        <f t="shared" si="59"/>
        <v>0</v>
      </c>
      <c r="AQ240" s="22">
        <f t="shared" si="59"/>
        <v>0</v>
      </c>
      <c r="AR240" s="22">
        <f t="shared" si="59"/>
        <v>0</v>
      </c>
      <c r="AS240" s="22">
        <f t="shared" si="59"/>
        <v>0</v>
      </c>
      <c r="AT240" s="22">
        <f t="shared" si="59"/>
        <v>0</v>
      </c>
      <c r="AU240" s="22">
        <f t="shared" si="59"/>
        <v>0</v>
      </c>
      <c r="AV240" s="22">
        <f t="shared" ref="L240:AW247" si="60">AV1496</f>
        <v>0</v>
      </c>
      <c r="AW240" s="22">
        <f t="shared" si="60"/>
        <v>0</v>
      </c>
      <c r="AY240" s="85"/>
    </row>
    <row r="241" spans="1:51" x14ac:dyDescent="0.25">
      <c r="A241" s="102" t="str">
        <f t="shared" si="45"/>
        <v>FA U&amp;D</v>
      </c>
      <c r="B241" s="102" t="s">
        <v>963</v>
      </c>
      <c r="C241" s="102" t="s">
        <v>1337</v>
      </c>
      <c r="D241" t="s">
        <v>369</v>
      </c>
      <c r="E241" t="s">
        <v>55</v>
      </c>
      <c r="F241" t="s">
        <v>422</v>
      </c>
      <c r="G241" t="s">
        <v>1183</v>
      </c>
      <c r="H241" t="s">
        <v>1256</v>
      </c>
      <c r="I241" t="s">
        <v>139</v>
      </c>
      <c r="J241" t="s">
        <v>287</v>
      </c>
      <c r="K241" s="22">
        <f t="shared" si="55"/>
        <v>0</v>
      </c>
      <c r="L241" s="22">
        <f t="shared" si="60"/>
        <v>0</v>
      </c>
      <c r="M241" s="22">
        <f t="shared" si="60"/>
        <v>0</v>
      </c>
      <c r="N241" s="22">
        <f t="shared" si="60"/>
        <v>0</v>
      </c>
      <c r="O241" s="22">
        <f t="shared" si="60"/>
        <v>0</v>
      </c>
      <c r="P241" s="22">
        <f t="shared" si="60"/>
        <v>0</v>
      </c>
      <c r="Q241" s="22">
        <f t="shared" si="60"/>
        <v>0</v>
      </c>
      <c r="R241" s="22">
        <f t="shared" si="60"/>
        <v>0</v>
      </c>
      <c r="S241" s="22">
        <f t="shared" si="60"/>
        <v>0</v>
      </c>
      <c r="T241" s="22">
        <f t="shared" si="60"/>
        <v>0</v>
      </c>
      <c r="U241" s="22">
        <f t="shared" si="60"/>
        <v>0</v>
      </c>
      <c r="V241" s="22">
        <f t="shared" si="60"/>
        <v>0</v>
      </c>
      <c r="W241" s="22">
        <f t="shared" si="60"/>
        <v>0</v>
      </c>
      <c r="X241" s="22">
        <f t="shared" si="60"/>
        <v>0</v>
      </c>
      <c r="Y241" s="22">
        <f t="shared" si="60"/>
        <v>0</v>
      </c>
      <c r="Z241" s="22">
        <f t="shared" si="60"/>
        <v>0</v>
      </c>
      <c r="AA241" s="22">
        <f t="shared" si="60"/>
        <v>0</v>
      </c>
      <c r="AB241" s="22">
        <f t="shared" si="60"/>
        <v>0</v>
      </c>
      <c r="AC241" s="22">
        <f t="shared" si="60"/>
        <v>0</v>
      </c>
      <c r="AD241" s="22">
        <f t="shared" si="60"/>
        <v>0</v>
      </c>
      <c r="AE241" s="22">
        <f t="shared" si="60"/>
        <v>0</v>
      </c>
      <c r="AF241" s="22">
        <f t="shared" si="60"/>
        <v>0</v>
      </c>
      <c r="AG241" s="22">
        <f t="shared" si="60"/>
        <v>0</v>
      </c>
      <c r="AH241" s="22">
        <f t="shared" si="60"/>
        <v>0</v>
      </c>
      <c r="AI241" s="22">
        <f t="shared" si="60"/>
        <v>0</v>
      </c>
      <c r="AJ241" s="22">
        <f t="shared" si="60"/>
        <v>0</v>
      </c>
      <c r="AK241" s="22">
        <f t="shared" si="60"/>
        <v>0</v>
      </c>
      <c r="AL241" s="22">
        <f t="shared" si="60"/>
        <v>0</v>
      </c>
      <c r="AM241" s="22">
        <f t="shared" si="60"/>
        <v>0</v>
      </c>
      <c r="AN241" s="22">
        <f t="shared" si="60"/>
        <v>0</v>
      </c>
      <c r="AO241" s="22">
        <f t="shared" si="60"/>
        <v>0</v>
      </c>
      <c r="AP241" s="22">
        <f t="shared" si="60"/>
        <v>0</v>
      </c>
      <c r="AQ241" s="22">
        <f t="shared" si="60"/>
        <v>0</v>
      </c>
      <c r="AR241" s="22">
        <f t="shared" si="60"/>
        <v>0</v>
      </c>
      <c r="AS241" s="22">
        <f t="shared" si="60"/>
        <v>0</v>
      </c>
      <c r="AT241" s="22">
        <f t="shared" si="60"/>
        <v>0</v>
      </c>
      <c r="AU241" s="22">
        <f t="shared" si="60"/>
        <v>0</v>
      </c>
      <c r="AV241" s="22">
        <f t="shared" si="60"/>
        <v>0</v>
      </c>
      <c r="AW241" s="22">
        <f t="shared" si="60"/>
        <v>0</v>
      </c>
      <c r="AY241" s="85"/>
    </row>
    <row r="242" spans="1:51" x14ac:dyDescent="0.25">
      <c r="A242" s="102" t="str">
        <f t="shared" si="45"/>
        <v>FA FSOM</v>
      </c>
      <c r="B242" s="102" t="s">
        <v>963</v>
      </c>
      <c r="C242" s="102" t="s">
        <v>60</v>
      </c>
      <c r="D242" t="s">
        <v>369</v>
      </c>
      <c r="E242" t="s">
        <v>55</v>
      </c>
      <c r="F242" t="s">
        <v>60</v>
      </c>
      <c r="G242" t="s">
        <v>1267</v>
      </c>
      <c r="H242" t="s">
        <v>1268</v>
      </c>
      <c r="J242" t="s">
        <v>287</v>
      </c>
      <c r="K242" s="22" t="str">
        <f t="shared" si="55"/>
        <v>NO</v>
      </c>
      <c r="L242" s="22" t="str">
        <f t="shared" si="60"/>
        <v>NO</v>
      </c>
      <c r="M242" s="22" t="str">
        <f t="shared" si="60"/>
        <v>NO</v>
      </c>
      <c r="N242" s="22" t="str">
        <f t="shared" si="60"/>
        <v>NO</v>
      </c>
      <c r="O242" s="22" t="str">
        <f t="shared" si="60"/>
        <v>NO</v>
      </c>
      <c r="P242" s="22" t="str">
        <f t="shared" si="60"/>
        <v>NO</v>
      </c>
      <c r="Q242" s="22" t="str">
        <f t="shared" si="60"/>
        <v>NO</v>
      </c>
      <c r="R242" s="22" t="str">
        <f t="shared" si="60"/>
        <v>NO</v>
      </c>
      <c r="S242" s="22" t="str">
        <f t="shared" si="60"/>
        <v>NO</v>
      </c>
      <c r="T242" s="22" t="str">
        <f t="shared" si="60"/>
        <v>NO</v>
      </c>
      <c r="U242" s="22" t="str">
        <f t="shared" si="60"/>
        <v>NO</v>
      </c>
      <c r="V242" s="22" t="str">
        <f t="shared" si="60"/>
        <v>NO</v>
      </c>
      <c r="W242" s="22" t="str">
        <f t="shared" si="60"/>
        <v>NO</v>
      </c>
      <c r="X242" s="22" t="str">
        <f t="shared" si="60"/>
        <v>NO</v>
      </c>
      <c r="Y242" s="22" t="str">
        <f t="shared" si="60"/>
        <v>NO</v>
      </c>
      <c r="Z242" s="22" t="str">
        <f t="shared" si="60"/>
        <v>NO</v>
      </c>
      <c r="AA242" s="22" t="str">
        <f t="shared" si="60"/>
        <v>NO</v>
      </c>
      <c r="AB242" s="22" t="str">
        <f t="shared" si="60"/>
        <v>NO</v>
      </c>
      <c r="AC242" s="22" t="str">
        <f t="shared" si="60"/>
        <v>NO</v>
      </c>
      <c r="AD242" s="22" t="str">
        <f t="shared" si="60"/>
        <v>NO</v>
      </c>
      <c r="AE242" s="22" t="str">
        <f t="shared" si="60"/>
        <v>NO</v>
      </c>
      <c r="AF242" s="22" t="str">
        <f t="shared" si="60"/>
        <v>NO</v>
      </c>
      <c r="AG242" s="22" t="str">
        <f t="shared" si="60"/>
        <v>NO</v>
      </c>
      <c r="AH242" s="22" t="str">
        <f t="shared" si="60"/>
        <v>NO</v>
      </c>
      <c r="AI242" s="22" t="str">
        <f t="shared" si="60"/>
        <v>NO</v>
      </c>
      <c r="AJ242" s="22" t="str">
        <f t="shared" si="60"/>
        <v>NO</v>
      </c>
      <c r="AK242" s="22" t="str">
        <f t="shared" si="60"/>
        <v>NO</v>
      </c>
      <c r="AL242" s="22" t="str">
        <f t="shared" si="60"/>
        <v>NO</v>
      </c>
      <c r="AM242" s="22" t="str">
        <f t="shared" si="60"/>
        <v>NO</v>
      </c>
      <c r="AN242" s="22" t="str">
        <f t="shared" si="60"/>
        <v>NO</v>
      </c>
      <c r="AO242" s="22" t="str">
        <f t="shared" si="60"/>
        <v>NO</v>
      </c>
      <c r="AP242" s="22" t="str">
        <f t="shared" si="60"/>
        <v>NO</v>
      </c>
      <c r="AQ242" s="22" t="str">
        <f t="shared" si="60"/>
        <v>NO</v>
      </c>
      <c r="AR242" s="22" t="str">
        <f t="shared" si="60"/>
        <v>NO</v>
      </c>
      <c r="AS242" s="22" t="str">
        <f t="shared" si="60"/>
        <v>NO</v>
      </c>
      <c r="AT242" s="22" t="str">
        <f t="shared" si="60"/>
        <v>NO</v>
      </c>
      <c r="AU242" s="22" t="str">
        <f t="shared" si="60"/>
        <v>NO</v>
      </c>
      <c r="AV242" s="22" t="str">
        <f t="shared" si="60"/>
        <v>NO</v>
      </c>
      <c r="AW242" s="22" t="str">
        <f t="shared" si="60"/>
        <v>NO</v>
      </c>
      <c r="AY242" s="85"/>
    </row>
    <row r="243" spans="1:51" x14ac:dyDescent="0.25">
      <c r="A243" s="102" t="str">
        <f t="shared" si="45"/>
        <v>FA FSOM</v>
      </c>
      <c r="B243" s="102" t="s">
        <v>963</v>
      </c>
      <c r="C243" s="102" t="s">
        <v>60</v>
      </c>
      <c r="D243" t="s">
        <v>369</v>
      </c>
      <c r="E243" t="s">
        <v>55</v>
      </c>
      <c r="F243" t="s">
        <v>60</v>
      </c>
      <c r="G243" t="s">
        <v>1269</v>
      </c>
      <c r="H243" t="s">
        <v>1270</v>
      </c>
      <c r="J243" t="s">
        <v>287</v>
      </c>
      <c r="K243" s="22" t="str">
        <f t="shared" si="55"/>
        <v>NO</v>
      </c>
      <c r="L243" s="22" t="str">
        <f t="shared" si="60"/>
        <v>NO</v>
      </c>
      <c r="M243" s="22" t="str">
        <f t="shared" si="60"/>
        <v>NO</v>
      </c>
      <c r="N243" s="22" t="str">
        <f t="shared" si="60"/>
        <v>NO</v>
      </c>
      <c r="O243" s="22" t="str">
        <f t="shared" si="60"/>
        <v>NO</v>
      </c>
      <c r="P243" s="22" t="str">
        <f t="shared" si="60"/>
        <v>NO</v>
      </c>
      <c r="Q243" s="22" t="str">
        <f t="shared" si="60"/>
        <v>NO</v>
      </c>
      <c r="R243" s="22" t="str">
        <f t="shared" si="60"/>
        <v>NO</v>
      </c>
      <c r="S243" s="22" t="str">
        <f t="shared" si="60"/>
        <v>NO</v>
      </c>
      <c r="T243" s="22" t="str">
        <f t="shared" si="60"/>
        <v>NO</v>
      </c>
      <c r="U243" s="22" t="str">
        <f t="shared" si="60"/>
        <v>NO</v>
      </c>
      <c r="V243" s="22" t="str">
        <f t="shared" si="60"/>
        <v>NO</v>
      </c>
      <c r="W243" s="22" t="str">
        <f t="shared" si="60"/>
        <v>NO</v>
      </c>
      <c r="X243" s="22" t="str">
        <f t="shared" si="60"/>
        <v>NO</v>
      </c>
      <c r="Y243" s="22" t="str">
        <f t="shared" si="60"/>
        <v>NO</v>
      </c>
      <c r="Z243" s="22" t="str">
        <f t="shared" si="60"/>
        <v>NO</v>
      </c>
      <c r="AA243" s="22" t="str">
        <f t="shared" si="60"/>
        <v>NO</v>
      </c>
      <c r="AB243" s="22" t="str">
        <f t="shared" si="60"/>
        <v>NO</v>
      </c>
      <c r="AC243" s="22" t="str">
        <f t="shared" si="60"/>
        <v>NO</v>
      </c>
      <c r="AD243" s="22" t="str">
        <f t="shared" si="60"/>
        <v>NO</v>
      </c>
      <c r="AE243" s="22" t="str">
        <f t="shared" si="60"/>
        <v>NO</v>
      </c>
      <c r="AF243" s="22" t="str">
        <f t="shared" si="60"/>
        <v>NO</v>
      </c>
      <c r="AG243" s="22" t="str">
        <f t="shared" si="60"/>
        <v>NO</v>
      </c>
      <c r="AH243" s="22" t="str">
        <f t="shared" si="60"/>
        <v>NO</v>
      </c>
      <c r="AI243" s="22" t="str">
        <f t="shared" si="60"/>
        <v>NO</v>
      </c>
      <c r="AJ243" s="22" t="str">
        <f t="shared" si="60"/>
        <v>NO</v>
      </c>
      <c r="AK243" s="22" t="str">
        <f t="shared" si="60"/>
        <v>NO</v>
      </c>
      <c r="AL243" s="22" t="str">
        <f t="shared" si="60"/>
        <v>NO</v>
      </c>
      <c r="AM243" s="22" t="str">
        <f t="shared" si="60"/>
        <v>NO</v>
      </c>
      <c r="AN243" s="22" t="str">
        <f t="shared" si="60"/>
        <v>NO</v>
      </c>
      <c r="AO243" s="22" t="str">
        <f t="shared" si="60"/>
        <v>NO</v>
      </c>
      <c r="AP243" s="22" t="str">
        <f t="shared" si="60"/>
        <v>NO</v>
      </c>
      <c r="AQ243" s="22" t="str">
        <f t="shared" si="60"/>
        <v>NO</v>
      </c>
      <c r="AR243" s="22" t="str">
        <f t="shared" si="60"/>
        <v>NO</v>
      </c>
      <c r="AS243" s="22" t="str">
        <f t="shared" si="60"/>
        <v>NO</v>
      </c>
      <c r="AT243" s="22" t="str">
        <f t="shared" si="60"/>
        <v>NO</v>
      </c>
      <c r="AU243" s="22" t="str">
        <f t="shared" si="60"/>
        <v>NO</v>
      </c>
      <c r="AV243" s="22" t="str">
        <f t="shared" si="60"/>
        <v>NO</v>
      </c>
      <c r="AW243" s="22" t="str">
        <f t="shared" si="60"/>
        <v>NO</v>
      </c>
      <c r="AY243" s="85"/>
    </row>
    <row r="244" spans="1:51" x14ac:dyDescent="0.25">
      <c r="A244" s="102" t="str">
        <f t="shared" si="45"/>
        <v>FA FSOM</v>
      </c>
      <c r="B244" s="102" t="s">
        <v>963</v>
      </c>
      <c r="C244" s="102" t="s">
        <v>60</v>
      </c>
      <c r="D244" t="s">
        <v>369</v>
      </c>
      <c r="E244" t="s">
        <v>55</v>
      </c>
      <c r="F244" t="s">
        <v>60</v>
      </c>
      <c r="G244" t="s">
        <v>1271</v>
      </c>
      <c r="H244" t="s">
        <v>1272</v>
      </c>
      <c r="J244" t="s">
        <v>287</v>
      </c>
      <c r="K244" s="22">
        <f t="shared" si="55"/>
        <v>3.4398813895090996E-3</v>
      </c>
      <c r="L244" s="22">
        <f t="shared" si="60"/>
        <v>3.4358310252377683E-3</v>
      </c>
      <c r="M244" s="22">
        <f t="shared" si="60"/>
        <v>3.4317806609664363E-3</v>
      </c>
      <c r="N244" s="22">
        <f t="shared" si="60"/>
        <v>3.4277302966951037E-3</v>
      </c>
      <c r="O244" s="22">
        <f t="shared" si="60"/>
        <v>3.4236799324237725E-3</v>
      </c>
      <c r="P244" s="22">
        <f t="shared" si="60"/>
        <v>3.4196295681524396E-3</v>
      </c>
      <c r="Q244" s="22">
        <f t="shared" si="60"/>
        <v>3.4155792038811079E-3</v>
      </c>
      <c r="R244" s="22">
        <f t="shared" si="60"/>
        <v>3.4115288396097763E-3</v>
      </c>
      <c r="S244" s="22">
        <f t="shared" si="60"/>
        <v>3.4074784753384451E-3</v>
      </c>
      <c r="T244" s="22">
        <f t="shared" si="60"/>
        <v>3.4034281110671134E-3</v>
      </c>
      <c r="U244" s="22">
        <f t="shared" si="60"/>
        <v>3.39937774679578E-3</v>
      </c>
      <c r="V244" s="22">
        <f t="shared" si="60"/>
        <v>3.3953273825244488E-3</v>
      </c>
      <c r="W244" s="22">
        <f t="shared" si="60"/>
        <v>3.3912770182531172E-3</v>
      </c>
      <c r="X244" s="22">
        <f t="shared" si="60"/>
        <v>3.387226653981786E-3</v>
      </c>
      <c r="Y244" s="22">
        <f t="shared" si="60"/>
        <v>3.3831762897104547E-3</v>
      </c>
      <c r="Z244" s="22">
        <f t="shared" si="60"/>
        <v>3.3791259254391218E-3</v>
      </c>
      <c r="AA244" s="22">
        <f t="shared" si="60"/>
        <v>3.375075561167791E-3</v>
      </c>
      <c r="AB244" s="22">
        <f t="shared" si="60"/>
        <v>3.3710251968964585E-3</v>
      </c>
      <c r="AC244" s="22">
        <f t="shared" si="60"/>
        <v>3.3669748326251273E-3</v>
      </c>
      <c r="AD244" s="22">
        <f t="shared" si="60"/>
        <v>3.3629244683537943E-3</v>
      </c>
      <c r="AE244" s="22">
        <f t="shared" si="60"/>
        <v>3.358874104082464E-3</v>
      </c>
      <c r="AF244" s="22">
        <f t="shared" si="60"/>
        <v>3.3548237398111319E-3</v>
      </c>
      <c r="AG244" s="22">
        <f t="shared" si="60"/>
        <v>3.3507733755397998E-3</v>
      </c>
      <c r="AH244" s="22">
        <f t="shared" si="60"/>
        <v>3.3467230112684673E-3</v>
      </c>
      <c r="AI244" s="22">
        <f t="shared" si="60"/>
        <v>3.3426726469971361E-3</v>
      </c>
      <c r="AJ244" s="22">
        <f t="shared" si="60"/>
        <v>3.3386222827258044E-3</v>
      </c>
      <c r="AK244" s="22">
        <f t="shared" si="60"/>
        <v>3.3345719184544728E-3</v>
      </c>
      <c r="AL244" s="22">
        <f t="shared" si="60"/>
        <v>3.3305215541831416E-3</v>
      </c>
      <c r="AM244" s="22">
        <f t="shared" si="60"/>
        <v>3.3264711899118095E-3</v>
      </c>
      <c r="AN244" s="22">
        <f t="shared" si="60"/>
        <v>3.3224208256404765E-3</v>
      </c>
      <c r="AO244" s="22">
        <f t="shared" si="60"/>
        <v>3.3183704613691458E-3</v>
      </c>
      <c r="AP244" s="22">
        <f t="shared" si="60"/>
        <v>3.3143200970978137E-3</v>
      </c>
      <c r="AQ244" s="22">
        <f t="shared" si="60"/>
        <v>3.3102697328264833E-3</v>
      </c>
      <c r="AR244" s="22">
        <f t="shared" si="60"/>
        <v>3.3062193685551499E-3</v>
      </c>
      <c r="AS244" s="22">
        <f t="shared" si="60"/>
        <v>3.3021690042838187E-3</v>
      </c>
      <c r="AT244" s="22">
        <f t="shared" si="60"/>
        <v>3.2981186400124866E-3</v>
      </c>
      <c r="AU244" s="22">
        <f t="shared" si="60"/>
        <v>3.2940682757411541E-3</v>
      </c>
      <c r="AV244" s="22">
        <f t="shared" si="60"/>
        <v>3.2900179114698229E-3</v>
      </c>
      <c r="AW244" s="22">
        <f t="shared" si="60"/>
        <v>3.2859675471984908E-3</v>
      </c>
      <c r="AY244" s="85"/>
    </row>
    <row r="245" spans="1:51" x14ac:dyDescent="0.25">
      <c r="A245" s="102" t="str">
        <f t="shared" si="45"/>
        <v>FA FSOM</v>
      </c>
      <c r="B245" s="102" t="s">
        <v>963</v>
      </c>
      <c r="C245" s="102" t="s">
        <v>60</v>
      </c>
      <c r="D245" t="s">
        <v>369</v>
      </c>
      <c r="E245" t="s">
        <v>55</v>
      </c>
      <c r="F245" t="s">
        <v>60</v>
      </c>
      <c r="G245" t="s">
        <v>1273</v>
      </c>
      <c r="H245" t="s">
        <v>1274</v>
      </c>
      <c r="J245" t="s">
        <v>287</v>
      </c>
      <c r="K245" s="22">
        <f t="shared" si="55"/>
        <v>0.49020960547040615</v>
      </c>
      <c r="L245" s="22">
        <f t="shared" si="60"/>
        <v>0.49134551154341793</v>
      </c>
      <c r="M245" s="22">
        <f t="shared" si="60"/>
        <v>0.49248141761642988</v>
      </c>
      <c r="N245" s="22">
        <f t="shared" si="60"/>
        <v>0.49361732368944172</v>
      </c>
      <c r="O245" s="22">
        <f t="shared" si="60"/>
        <v>0.49475322976245356</v>
      </c>
      <c r="P245" s="22">
        <f t="shared" si="60"/>
        <v>0.49588913583546534</v>
      </c>
      <c r="Q245" s="22">
        <f t="shared" si="60"/>
        <v>0.49702504190847724</v>
      </c>
      <c r="R245" s="22">
        <f t="shared" si="60"/>
        <v>0.49816094798148913</v>
      </c>
      <c r="S245" s="22">
        <f t="shared" si="60"/>
        <v>0.49929685405450086</v>
      </c>
      <c r="T245" s="22">
        <f t="shared" si="60"/>
        <v>0.50043276012751292</v>
      </c>
      <c r="U245" s="22">
        <f t="shared" si="60"/>
        <v>0.50156866620052454</v>
      </c>
      <c r="V245" s="22">
        <f t="shared" si="60"/>
        <v>0.50270457227353649</v>
      </c>
      <c r="W245" s="22">
        <f t="shared" si="60"/>
        <v>0.50384047834654833</v>
      </c>
      <c r="X245" s="22">
        <f t="shared" si="60"/>
        <v>0.50497638441956039</v>
      </c>
      <c r="Y245" s="22">
        <f t="shared" si="60"/>
        <v>0.506112290492572</v>
      </c>
      <c r="Z245" s="22">
        <f t="shared" si="60"/>
        <v>0.50724819656558406</v>
      </c>
      <c r="AA245" s="22">
        <f t="shared" si="60"/>
        <v>0.50838410263859568</v>
      </c>
      <c r="AB245" s="22">
        <f t="shared" si="60"/>
        <v>0.50952000871160763</v>
      </c>
      <c r="AC245" s="22">
        <f t="shared" si="60"/>
        <v>0.51065591478461958</v>
      </c>
      <c r="AD245" s="22">
        <f t="shared" si="60"/>
        <v>0.51179182085763142</v>
      </c>
      <c r="AE245" s="22">
        <f t="shared" si="60"/>
        <v>0.51292772693064326</v>
      </c>
      <c r="AF245" s="22">
        <f t="shared" si="60"/>
        <v>0.5140636330036551</v>
      </c>
      <c r="AG245" s="22">
        <f t="shared" si="60"/>
        <v>0.51519953907666705</v>
      </c>
      <c r="AH245" s="22">
        <f t="shared" si="60"/>
        <v>0.51633544514967877</v>
      </c>
      <c r="AI245" s="22">
        <f t="shared" si="60"/>
        <v>0.51747135122269072</v>
      </c>
      <c r="AJ245" s="22">
        <f t="shared" si="60"/>
        <v>0.51860725729570256</v>
      </c>
      <c r="AK245" s="22">
        <f t="shared" si="60"/>
        <v>0.5197431633687144</v>
      </c>
      <c r="AL245" s="22">
        <f t="shared" si="60"/>
        <v>0.52087906944172624</v>
      </c>
      <c r="AM245" s="22">
        <f t="shared" si="60"/>
        <v>0.52201497551473808</v>
      </c>
      <c r="AN245" s="22">
        <f t="shared" si="60"/>
        <v>0.52315088158774992</v>
      </c>
      <c r="AO245" s="22">
        <f t="shared" si="60"/>
        <v>0.52428678766076187</v>
      </c>
      <c r="AP245" s="22">
        <f t="shared" si="60"/>
        <v>0.52542269373377359</v>
      </c>
      <c r="AQ245" s="22">
        <f t="shared" si="60"/>
        <v>0.52655859980678543</v>
      </c>
      <c r="AR245" s="22">
        <f t="shared" si="60"/>
        <v>0.52769450587979749</v>
      </c>
      <c r="AS245" s="22">
        <f t="shared" si="60"/>
        <v>0.52883041195280922</v>
      </c>
      <c r="AT245" s="22">
        <f t="shared" si="60"/>
        <v>0.52996631802582106</v>
      </c>
      <c r="AU245" s="22">
        <f t="shared" si="60"/>
        <v>0.53110222409883301</v>
      </c>
      <c r="AV245" s="22">
        <f t="shared" si="60"/>
        <v>0.53223813017184474</v>
      </c>
      <c r="AW245" s="22">
        <f t="shared" si="60"/>
        <v>0.5333740362448568</v>
      </c>
      <c r="AY245" s="85"/>
    </row>
    <row r="246" spans="1:51" x14ac:dyDescent="0.25">
      <c r="A246" s="102" t="str">
        <f t="shared" si="45"/>
        <v>FA FSOM</v>
      </c>
      <c r="B246" s="102" t="s">
        <v>963</v>
      </c>
      <c r="C246" s="102" t="s">
        <v>60</v>
      </c>
      <c r="D246" t="s">
        <v>369</v>
      </c>
      <c r="E246" t="s">
        <v>55</v>
      </c>
      <c r="F246" t="s">
        <v>60</v>
      </c>
      <c r="G246" t="s">
        <v>1275</v>
      </c>
      <c r="H246" t="s">
        <v>1276</v>
      </c>
      <c r="J246" t="s">
        <v>287</v>
      </c>
      <c r="K246" s="22">
        <f t="shared" si="55"/>
        <v>0.57597220909378744</v>
      </c>
      <c r="L246" s="22">
        <f t="shared" si="60"/>
        <v>0.57597220909378744</v>
      </c>
      <c r="M246" s="22">
        <f t="shared" si="60"/>
        <v>0.57597220909378744</v>
      </c>
      <c r="N246" s="22">
        <f t="shared" si="60"/>
        <v>0.57597220909378744</v>
      </c>
      <c r="O246" s="22">
        <f t="shared" si="60"/>
        <v>0.57597220909378744</v>
      </c>
      <c r="P246" s="22">
        <f t="shared" si="60"/>
        <v>0.57597220909378744</v>
      </c>
      <c r="Q246" s="22">
        <f t="shared" si="60"/>
        <v>0.57597220909378744</v>
      </c>
      <c r="R246" s="22">
        <f t="shared" si="60"/>
        <v>0.57597220909378744</v>
      </c>
      <c r="S246" s="22">
        <f t="shared" si="60"/>
        <v>0.57597220909378744</v>
      </c>
      <c r="T246" s="22">
        <f t="shared" si="60"/>
        <v>0.57597220909378744</v>
      </c>
      <c r="U246" s="22">
        <f t="shared" si="60"/>
        <v>0.57597220909378744</v>
      </c>
      <c r="V246" s="22">
        <f t="shared" si="60"/>
        <v>0.57597220909378744</v>
      </c>
      <c r="W246" s="22">
        <f t="shared" si="60"/>
        <v>0.57597220909378744</v>
      </c>
      <c r="X246" s="22">
        <f t="shared" si="60"/>
        <v>0.57597220909378744</v>
      </c>
      <c r="Y246" s="22">
        <f t="shared" si="60"/>
        <v>0.57597220909378744</v>
      </c>
      <c r="Z246" s="22">
        <f t="shared" si="60"/>
        <v>0.57597220909378744</v>
      </c>
      <c r="AA246" s="22">
        <f t="shared" si="60"/>
        <v>0.57597220909378744</v>
      </c>
      <c r="AB246" s="22">
        <f t="shared" si="60"/>
        <v>0.57597220909378744</v>
      </c>
      <c r="AC246" s="22">
        <f t="shared" si="60"/>
        <v>0.57597220909378744</v>
      </c>
      <c r="AD246" s="22">
        <f t="shared" si="60"/>
        <v>0.57597220909378744</v>
      </c>
      <c r="AE246" s="22">
        <f t="shared" si="60"/>
        <v>0.57597220909378744</v>
      </c>
      <c r="AF246" s="22">
        <f t="shared" si="60"/>
        <v>0.57597220909378744</v>
      </c>
      <c r="AG246" s="22">
        <f t="shared" si="60"/>
        <v>0.57597220909378744</v>
      </c>
      <c r="AH246" s="22">
        <f t="shared" si="60"/>
        <v>0.57597220909378744</v>
      </c>
      <c r="AI246" s="22">
        <f t="shared" si="60"/>
        <v>0.57597220909378744</v>
      </c>
      <c r="AJ246" s="22">
        <f t="shared" si="60"/>
        <v>0.57597220909378744</v>
      </c>
      <c r="AK246" s="22">
        <f t="shared" si="60"/>
        <v>0.57597220909378744</v>
      </c>
      <c r="AL246" s="22">
        <f t="shared" si="60"/>
        <v>0.57597220909378744</v>
      </c>
      <c r="AM246" s="22">
        <f t="shared" si="60"/>
        <v>0.57597220909378744</v>
      </c>
      <c r="AN246" s="22">
        <f t="shared" si="60"/>
        <v>0.57597220909378744</v>
      </c>
      <c r="AO246" s="22">
        <f t="shared" si="60"/>
        <v>0.57597220909378744</v>
      </c>
      <c r="AP246" s="22">
        <f t="shared" si="60"/>
        <v>0.57597220909378744</v>
      </c>
      <c r="AQ246" s="22">
        <f t="shared" si="60"/>
        <v>0.57597220909378744</v>
      </c>
      <c r="AR246" s="22">
        <f t="shared" si="60"/>
        <v>0.57597220909378744</v>
      </c>
      <c r="AS246" s="22">
        <f t="shared" si="60"/>
        <v>0.57597220909378744</v>
      </c>
      <c r="AT246" s="22">
        <f t="shared" si="60"/>
        <v>0.57597220909378744</v>
      </c>
      <c r="AU246" s="22">
        <f t="shared" si="60"/>
        <v>0.57597220909378744</v>
      </c>
      <c r="AV246" s="22">
        <f t="shared" si="60"/>
        <v>0.57597220909378744</v>
      </c>
      <c r="AW246" s="22">
        <f t="shared" si="60"/>
        <v>0.57597220909378744</v>
      </c>
      <c r="AY246" s="85"/>
    </row>
    <row r="247" spans="1:51" x14ac:dyDescent="0.25">
      <c r="A247" s="102" t="str">
        <f t="shared" si="45"/>
        <v>FA FSOM</v>
      </c>
      <c r="B247" s="102" t="s">
        <v>963</v>
      </c>
      <c r="C247" s="102" t="s">
        <v>60</v>
      </c>
      <c r="D247" t="s">
        <v>369</v>
      </c>
      <c r="E247" t="s">
        <v>55</v>
      </c>
      <c r="F247" t="s">
        <v>60</v>
      </c>
      <c r="G247" t="s">
        <v>1277</v>
      </c>
      <c r="H247" t="s">
        <v>1278</v>
      </c>
      <c r="J247" t="s">
        <v>287</v>
      </c>
      <c r="K247" s="22" t="str">
        <f t="shared" si="55"/>
        <v>NO</v>
      </c>
      <c r="L247" s="22" t="str">
        <f t="shared" si="60"/>
        <v>NO</v>
      </c>
      <c r="M247" s="22" t="str">
        <f t="shared" si="60"/>
        <v>NO</v>
      </c>
      <c r="N247" s="22" t="str">
        <f t="shared" si="60"/>
        <v>NO</v>
      </c>
      <c r="O247" s="22" t="str">
        <f t="shared" si="60"/>
        <v>NO</v>
      </c>
      <c r="P247" s="22" t="str">
        <f t="shared" si="60"/>
        <v>NO</v>
      </c>
      <c r="Q247" s="22" t="str">
        <f t="shared" si="60"/>
        <v>NO</v>
      </c>
      <c r="R247" s="22" t="str">
        <f t="shared" si="60"/>
        <v>NO</v>
      </c>
      <c r="S247" s="22" t="str">
        <f t="shared" si="60"/>
        <v>NO</v>
      </c>
      <c r="T247" s="22" t="str">
        <f t="shared" si="60"/>
        <v>NO</v>
      </c>
      <c r="U247" s="22" t="str">
        <f t="shared" si="60"/>
        <v>NO</v>
      </c>
      <c r="V247" s="22" t="str">
        <f t="shared" si="60"/>
        <v>NO</v>
      </c>
      <c r="W247" s="22" t="str">
        <f t="shared" si="60"/>
        <v>NO</v>
      </c>
      <c r="X247" s="22" t="str">
        <f t="shared" si="60"/>
        <v>NO</v>
      </c>
      <c r="Y247" s="22" t="str">
        <f t="shared" si="60"/>
        <v>NO</v>
      </c>
      <c r="Z247" s="22" t="str">
        <f t="shared" si="60"/>
        <v>NO</v>
      </c>
      <c r="AA247" s="22" t="str">
        <f t="shared" si="60"/>
        <v>NO</v>
      </c>
      <c r="AB247" s="22" t="str">
        <f t="shared" si="60"/>
        <v>NO</v>
      </c>
      <c r="AC247" s="22" t="str">
        <f t="shared" si="60"/>
        <v>NO</v>
      </c>
      <c r="AD247" s="22" t="str">
        <f t="shared" si="60"/>
        <v>NO</v>
      </c>
      <c r="AE247" s="22" t="str">
        <f t="shared" si="60"/>
        <v>NO</v>
      </c>
      <c r="AF247" s="22" t="str">
        <f t="shared" si="60"/>
        <v>NO</v>
      </c>
      <c r="AG247" s="22" t="str">
        <f t="shared" si="60"/>
        <v>NO</v>
      </c>
      <c r="AH247" s="22" t="str">
        <f t="shared" si="60"/>
        <v>NO</v>
      </c>
      <c r="AI247" s="22" t="str">
        <f t="shared" si="60"/>
        <v>NO</v>
      </c>
      <c r="AJ247" s="22" t="str">
        <f t="shared" si="60"/>
        <v>NO</v>
      </c>
      <c r="AK247" s="22" t="str">
        <f t="shared" ref="L247:AW254" si="61">AK1503</f>
        <v>NO</v>
      </c>
      <c r="AL247" s="22" t="str">
        <f t="shared" si="61"/>
        <v>NO</v>
      </c>
      <c r="AM247" s="22" t="str">
        <f t="shared" si="61"/>
        <v>NO</v>
      </c>
      <c r="AN247" s="22" t="str">
        <f t="shared" si="61"/>
        <v>NO</v>
      </c>
      <c r="AO247" s="22" t="str">
        <f t="shared" si="61"/>
        <v>NO</v>
      </c>
      <c r="AP247" s="22" t="str">
        <f t="shared" si="61"/>
        <v>NO</v>
      </c>
      <c r="AQ247" s="22" t="str">
        <f t="shared" si="61"/>
        <v>NO</v>
      </c>
      <c r="AR247" s="22" t="str">
        <f t="shared" si="61"/>
        <v>NO</v>
      </c>
      <c r="AS247" s="22" t="str">
        <f t="shared" si="61"/>
        <v>NO</v>
      </c>
      <c r="AT247" s="22" t="str">
        <f t="shared" si="61"/>
        <v>NO</v>
      </c>
      <c r="AU247" s="22" t="str">
        <f t="shared" si="61"/>
        <v>NO</v>
      </c>
      <c r="AV247" s="22" t="str">
        <f t="shared" si="61"/>
        <v>NO</v>
      </c>
      <c r="AW247" s="22" t="str">
        <f t="shared" si="61"/>
        <v>NO</v>
      </c>
      <c r="AY247" s="85"/>
    </row>
    <row r="248" spans="1:51" x14ac:dyDescent="0.25">
      <c r="A248" s="102" t="str">
        <f t="shared" si="45"/>
        <v>FA FSOM</v>
      </c>
      <c r="B248" s="102" t="s">
        <v>963</v>
      </c>
      <c r="C248" s="102" t="s">
        <v>60</v>
      </c>
      <c r="D248" t="s">
        <v>369</v>
      </c>
      <c r="E248" t="s">
        <v>55</v>
      </c>
      <c r="F248" t="s">
        <v>60</v>
      </c>
      <c r="G248" t="s">
        <v>1279</v>
      </c>
      <c r="H248" t="s">
        <v>1280</v>
      </c>
      <c r="J248" t="s">
        <v>287</v>
      </c>
      <c r="K248" s="22" t="str">
        <f t="shared" si="55"/>
        <v>NO</v>
      </c>
      <c r="L248" s="22" t="str">
        <f t="shared" si="61"/>
        <v>NO</v>
      </c>
      <c r="M248" s="22" t="str">
        <f t="shared" si="61"/>
        <v>NO</v>
      </c>
      <c r="N248" s="22" t="str">
        <f t="shared" si="61"/>
        <v>NO</v>
      </c>
      <c r="O248" s="22" t="str">
        <f t="shared" si="61"/>
        <v>NO</v>
      </c>
      <c r="P248" s="22" t="str">
        <f t="shared" si="61"/>
        <v>NO</v>
      </c>
      <c r="Q248" s="22" t="str">
        <f t="shared" si="61"/>
        <v>NO</v>
      </c>
      <c r="R248" s="22" t="str">
        <f t="shared" si="61"/>
        <v>NO</v>
      </c>
      <c r="S248" s="22" t="str">
        <f t="shared" si="61"/>
        <v>NO</v>
      </c>
      <c r="T248" s="22" t="str">
        <f t="shared" si="61"/>
        <v>NO</v>
      </c>
      <c r="U248" s="22" t="str">
        <f t="shared" si="61"/>
        <v>NO</v>
      </c>
      <c r="V248" s="22" t="str">
        <f t="shared" si="61"/>
        <v>NO</v>
      </c>
      <c r="W248" s="22" t="str">
        <f t="shared" si="61"/>
        <v>NO</v>
      </c>
      <c r="X248" s="22" t="str">
        <f t="shared" si="61"/>
        <v>NO</v>
      </c>
      <c r="Y248" s="22" t="str">
        <f t="shared" si="61"/>
        <v>NO</v>
      </c>
      <c r="Z248" s="22" t="str">
        <f t="shared" si="61"/>
        <v>NO</v>
      </c>
      <c r="AA248" s="22" t="str">
        <f t="shared" si="61"/>
        <v>NO</v>
      </c>
      <c r="AB248" s="22" t="str">
        <f t="shared" si="61"/>
        <v>NO</v>
      </c>
      <c r="AC248" s="22" t="str">
        <f t="shared" si="61"/>
        <v>NO</v>
      </c>
      <c r="AD248" s="22" t="str">
        <f t="shared" si="61"/>
        <v>NO</v>
      </c>
      <c r="AE248" s="22" t="str">
        <f t="shared" si="61"/>
        <v>NO</v>
      </c>
      <c r="AF248" s="22" t="str">
        <f t="shared" si="61"/>
        <v>NO</v>
      </c>
      <c r="AG248" s="22" t="str">
        <f t="shared" si="61"/>
        <v>NO</v>
      </c>
      <c r="AH248" s="22" t="str">
        <f t="shared" si="61"/>
        <v>NO</v>
      </c>
      <c r="AI248" s="22" t="str">
        <f t="shared" si="61"/>
        <v>NO</v>
      </c>
      <c r="AJ248" s="22" t="str">
        <f t="shared" si="61"/>
        <v>NO</v>
      </c>
      <c r="AK248" s="22" t="str">
        <f t="shared" si="61"/>
        <v>NO</v>
      </c>
      <c r="AL248" s="22" t="str">
        <f t="shared" si="61"/>
        <v>NO</v>
      </c>
      <c r="AM248" s="22" t="str">
        <f t="shared" si="61"/>
        <v>NO</v>
      </c>
      <c r="AN248" s="22" t="str">
        <f t="shared" si="61"/>
        <v>NO</v>
      </c>
      <c r="AO248" s="22" t="str">
        <f t="shared" si="61"/>
        <v>NO</v>
      </c>
      <c r="AP248" s="22" t="str">
        <f t="shared" si="61"/>
        <v>NO</v>
      </c>
      <c r="AQ248" s="22" t="str">
        <f t="shared" si="61"/>
        <v>NO</v>
      </c>
      <c r="AR248" s="22" t="str">
        <f t="shared" si="61"/>
        <v>NO</v>
      </c>
      <c r="AS248" s="22" t="str">
        <f t="shared" si="61"/>
        <v>NO</v>
      </c>
      <c r="AT248" s="22" t="str">
        <f t="shared" si="61"/>
        <v>NO</v>
      </c>
      <c r="AU248" s="22" t="str">
        <f t="shared" si="61"/>
        <v>NO</v>
      </c>
      <c r="AV248" s="22" t="str">
        <f t="shared" si="61"/>
        <v>NO</v>
      </c>
      <c r="AW248" s="22" t="str">
        <f t="shared" si="61"/>
        <v>NO</v>
      </c>
      <c r="AY248" s="85"/>
    </row>
    <row r="249" spans="1:51" x14ac:dyDescent="0.25">
      <c r="A249" s="102" t="str">
        <f t="shared" si="45"/>
        <v>FA FSOM</v>
      </c>
      <c r="B249" s="102" t="s">
        <v>963</v>
      </c>
      <c r="C249" s="102" t="s">
        <v>60</v>
      </c>
      <c r="D249" t="s">
        <v>369</v>
      </c>
      <c r="E249" t="s">
        <v>55</v>
      </c>
      <c r="F249" t="s">
        <v>60</v>
      </c>
      <c r="G249" t="s">
        <v>1281</v>
      </c>
      <c r="H249" t="s">
        <v>1282</v>
      </c>
      <c r="J249" t="s">
        <v>287</v>
      </c>
      <c r="K249" s="22" t="str">
        <f t="shared" si="55"/>
        <v>NO</v>
      </c>
      <c r="L249" s="22" t="str">
        <f t="shared" si="61"/>
        <v>NO</v>
      </c>
      <c r="M249" s="22" t="str">
        <f t="shared" si="61"/>
        <v>NO</v>
      </c>
      <c r="N249" s="22" t="str">
        <f t="shared" si="61"/>
        <v>NO</v>
      </c>
      <c r="O249" s="22" t="str">
        <f t="shared" si="61"/>
        <v>NO</v>
      </c>
      <c r="P249" s="22" t="str">
        <f t="shared" si="61"/>
        <v>NO</v>
      </c>
      <c r="Q249" s="22" t="str">
        <f t="shared" si="61"/>
        <v>NO</v>
      </c>
      <c r="R249" s="22" t="str">
        <f t="shared" si="61"/>
        <v>NO</v>
      </c>
      <c r="S249" s="22" t="str">
        <f t="shared" si="61"/>
        <v>NO</v>
      </c>
      <c r="T249" s="22" t="str">
        <f t="shared" si="61"/>
        <v>NO</v>
      </c>
      <c r="U249" s="22" t="str">
        <f t="shared" si="61"/>
        <v>NO</v>
      </c>
      <c r="V249" s="22" t="str">
        <f t="shared" si="61"/>
        <v>NO</v>
      </c>
      <c r="W249" s="22" t="str">
        <f t="shared" si="61"/>
        <v>NO</v>
      </c>
      <c r="X249" s="22" t="str">
        <f t="shared" si="61"/>
        <v>NO</v>
      </c>
      <c r="Y249" s="22" t="str">
        <f t="shared" si="61"/>
        <v>NO</v>
      </c>
      <c r="Z249" s="22" t="str">
        <f t="shared" si="61"/>
        <v>NO</v>
      </c>
      <c r="AA249" s="22" t="str">
        <f t="shared" si="61"/>
        <v>NO</v>
      </c>
      <c r="AB249" s="22" t="str">
        <f t="shared" si="61"/>
        <v>NO</v>
      </c>
      <c r="AC249" s="22" t="str">
        <f t="shared" si="61"/>
        <v>NO</v>
      </c>
      <c r="AD249" s="22" t="str">
        <f t="shared" si="61"/>
        <v>NO</v>
      </c>
      <c r="AE249" s="22" t="str">
        <f t="shared" si="61"/>
        <v>NO</v>
      </c>
      <c r="AF249" s="22" t="str">
        <f t="shared" si="61"/>
        <v>NO</v>
      </c>
      <c r="AG249" s="22" t="str">
        <f t="shared" si="61"/>
        <v>NO</v>
      </c>
      <c r="AH249" s="22" t="str">
        <f t="shared" si="61"/>
        <v>NO</v>
      </c>
      <c r="AI249" s="22" t="str">
        <f t="shared" si="61"/>
        <v>NO</v>
      </c>
      <c r="AJ249" s="22" t="str">
        <f t="shared" si="61"/>
        <v>NO</v>
      </c>
      <c r="AK249" s="22" t="str">
        <f t="shared" si="61"/>
        <v>NO</v>
      </c>
      <c r="AL249" s="22" t="str">
        <f t="shared" si="61"/>
        <v>NO</v>
      </c>
      <c r="AM249" s="22" t="str">
        <f t="shared" si="61"/>
        <v>NO</v>
      </c>
      <c r="AN249" s="22" t="str">
        <f t="shared" si="61"/>
        <v>NO</v>
      </c>
      <c r="AO249" s="22" t="str">
        <f t="shared" si="61"/>
        <v>NO</v>
      </c>
      <c r="AP249" s="22" t="str">
        <f t="shared" si="61"/>
        <v>NO</v>
      </c>
      <c r="AQ249" s="22" t="str">
        <f t="shared" si="61"/>
        <v>NO</v>
      </c>
      <c r="AR249" s="22" t="str">
        <f t="shared" si="61"/>
        <v>NO</v>
      </c>
      <c r="AS249" s="22" t="str">
        <f t="shared" si="61"/>
        <v>NO</v>
      </c>
      <c r="AT249" s="22" t="str">
        <f t="shared" si="61"/>
        <v>NO</v>
      </c>
      <c r="AU249" s="22" t="str">
        <f t="shared" si="61"/>
        <v>NO</v>
      </c>
      <c r="AV249" s="22" t="str">
        <f t="shared" si="61"/>
        <v>NO</v>
      </c>
      <c r="AW249" s="22" t="str">
        <f t="shared" si="61"/>
        <v>NO</v>
      </c>
      <c r="AY249" s="85"/>
    </row>
    <row r="250" spans="1:51" x14ac:dyDescent="0.25">
      <c r="A250" s="102" t="str">
        <f t="shared" si="45"/>
        <v>FA FSOM</v>
      </c>
      <c r="B250" s="102" t="s">
        <v>963</v>
      </c>
      <c r="C250" s="102" t="s">
        <v>60</v>
      </c>
      <c r="D250" t="s">
        <v>369</v>
      </c>
      <c r="E250" t="s">
        <v>55</v>
      </c>
      <c r="F250" t="s">
        <v>60</v>
      </c>
      <c r="G250" t="s">
        <v>1283</v>
      </c>
      <c r="H250" t="s">
        <v>1284</v>
      </c>
      <c r="J250" t="s">
        <v>287</v>
      </c>
      <c r="K250" s="22">
        <f t="shared" si="55"/>
        <v>5.604018730639919E-5</v>
      </c>
      <c r="L250" s="22">
        <f t="shared" si="61"/>
        <v>5.604018730639919E-5</v>
      </c>
      <c r="M250" s="22">
        <f t="shared" si="61"/>
        <v>5.604018730639919E-5</v>
      </c>
      <c r="N250" s="22">
        <f t="shared" si="61"/>
        <v>5.604018730639919E-5</v>
      </c>
      <c r="O250" s="22">
        <f t="shared" si="61"/>
        <v>5.604018730639919E-5</v>
      </c>
      <c r="P250" s="22">
        <f t="shared" si="61"/>
        <v>5.604018730639919E-5</v>
      </c>
      <c r="Q250" s="22">
        <f t="shared" si="61"/>
        <v>5.604018730639919E-5</v>
      </c>
      <c r="R250" s="22">
        <f t="shared" si="61"/>
        <v>5.604018730639919E-5</v>
      </c>
      <c r="S250" s="22">
        <f t="shared" si="61"/>
        <v>5.604018730639919E-5</v>
      </c>
      <c r="T250" s="22">
        <f t="shared" si="61"/>
        <v>5.604018730639919E-5</v>
      </c>
      <c r="U250" s="22">
        <f t="shared" si="61"/>
        <v>5.604018730639919E-5</v>
      </c>
      <c r="V250" s="22">
        <f t="shared" si="61"/>
        <v>5.604018730639919E-5</v>
      </c>
      <c r="W250" s="22">
        <f t="shared" si="61"/>
        <v>5.604018730639919E-5</v>
      </c>
      <c r="X250" s="22">
        <f t="shared" si="61"/>
        <v>5.604018730639919E-5</v>
      </c>
      <c r="Y250" s="22">
        <f t="shared" si="61"/>
        <v>5.604018730639919E-5</v>
      </c>
      <c r="Z250" s="22">
        <f t="shared" si="61"/>
        <v>5.604018730639919E-5</v>
      </c>
      <c r="AA250" s="22">
        <f t="shared" si="61"/>
        <v>5.604018730639919E-5</v>
      </c>
      <c r="AB250" s="22">
        <f t="shared" si="61"/>
        <v>5.604018730639919E-5</v>
      </c>
      <c r="AC250" s="22">
        <f t="shared" si="61"/>
        <v>5.604018730639919E-5</v>
      </c>
      <c r="AD250" s="22">
        <f t="shared" si="61"/>
        <v>5.604018730639919E-5</v>
      </c>
      <c r="AE250" s="22">
        <f t="shared" si="61"/>
        <v>5.604018730639919E-5</v>
      </c>
      <c r="AF250" s="22">
        <f t="shared" si="61"/>
        <v>5.604018730639919E-5</v>
      </c>
      <c r="AG250" s="22">
        <f t="shared" si="61"/>
        <v>5.604018730639919E-5</v>
      </c>
      <c r="AH250" s="22">
        <f t="shared" si="61"/>
        <v>5.604018730639919E-5</v>
      </c>
      <c r="AI250" s="22">
        <f t="shared" si="61"/>
        <v>5.604018730639919E-5</v>
      </c>
      <c r="AJ250" s="22">
        <f t="shared" si="61"/>
        <v>5.604018730639919E-5</v>
      </c>
      <c r="AK250" s="22">
        <f t="shared" si="61"/>
        <v>5.604018730639919E-5</v>
      </c>
      <c r="AL250" s="22">
        <f t="shared" si="61"/>
        <v>5.604018730639919E-5</v>
      </c>
      <c r="AM250" s="22">
        <f t="shared" si="61"/>
        <v>5.604018730639919E-5</v>
      </c>
      <c r="AN250" s="22">
        <f t="shared" si="61"/>
        <v>5.604018730639919E-5</v>
      </c>
      <c r="AO250" s="22">
        <f t="shared" si="61"/>
        <v>5.604018730639919E-5</v>
      </c>
      <c r="AP250" s="22">
        <f t="shared" si="61"/>
        <v>5.604018730639919E-5</v>
      </c>
      <c r="AQ250" s="22">
        <f t="shared" si="61"/>
        <v>5.604018730639919E-5</v>
      </c>
      <c r="AR250" s="22">
        <f t="shared" si="61"/>
        <v>5.604018730639919E-5</v>
      </c>
      <c r="AS250" s="22">
        <f t="shared" si="61"/>
        <v>5.604018730639919E-5</v>
      </c>
      <c r="AT250" s="22">
        <f t="shared" si="61"/>
        <v>5.604018730639919E-5</v>
      </c>
      <c r="AU250" s="22">
        <f t="shared" si="61"/>
        <v>5.604018730639919E-5</v>
      </c>
      <c r="AV250" s="22">
        <f t="shared" si="61"/>
        <v>5.604018730639919E-5</v>
      </c>
      <c r="AW250" s="22">
        <f t="shared" si="61"/>
        <v>5.604018730639919E-5</v>
      </c>
      <c r="AY250" s="85"/>
    </row>
    <row r="251" spans="1:51" x14ac:dyDescent="0.25">
      <c r="A251" s="102" t="str">
        <f t="shared" si="45"/>
        <v>FA FSOM</v>
      </c>
      <c r="B251" s="102" t="s">
        <v>963</v>
      </c>
      <c r="C251" s="102" t="s">
        <v>60</v>
      </c>
      <c r="D251" t="s">
        <v>369</v>
      </c>
      <c r="E251" t="s">
        <v>55</v>
      </c>
      <c r="F251" t="s">
        <v>60</v>
      </c>
      <c r="G251" t="s">
        <v>1285</v>
      </c>
      <c r="H251" t="s">
        <v>1286</v>
      </c>
      <c r="J251" t="s">
        <v>287</v>
      </c>
      <c r="K251" s="22">
        <f t="shared" si="55"/>
        <v>6.110857899094551E-2</v>
      </c>
      <c r="L251" s="22">
        <f t="shared" si="61"/>
        <v>6.110857899094551E-2</v>
      </c>
      <c r="M251" s="22">
        <f t="shared" si="61"/>
        <v>6.110857899094551E-2</v>
      </c>
      <c r="N251" s="22">
        <f t="shared" si="61"/>
        <v>6.110857899094551E-2</v>
      </c>
      <c r="O251" s="22">
        <f t="shared" si="61"/>
        <v>6.110857899094551E-2</v>
      </c>
      <c r="P251" s="22">
        <f t="shared" si="61"/>
        <v>6.110857899094551E-2</v>
      </c>
      <c r="Q251" s="22">
        <f t="shared" si="61"/>
        <v>6.110857899094551E-2</v>
      </c>
      <c r="R251" s="22">
        <f t="shared" si="61"/>
        <v>6.110857899094551E-2</v>
      </c>
      <c r="S251" s="22">
        <f t="shared" si="61"/>
        <v>6.110857899094551E-2</v>
      </c>
      <c r="T251" s="22">
        <f t="shared" si="61"/>
        <v>6.110857899094551E-2</v>
      </c>
      <c r="U251" s="22">
        <f t="shared" si="61"/>
        <v>6.110857899094551E-2</v>
      </c>
      <c r="V251" s="22">
        <f t="shared" si="61"/>
        <v>6.110857899094551E-2</v>
      </c>
      <c r="W251" s="22">
        <f t="shared" si="61"/>
        <v>6.110857899094551E-2</v>
      </c>
      <c r="X251" s="22">
        <f t="shared" si="61"/>
        <v>6.110857899094551E-2</v>
      </c>
      <c r="Y251" s="22">
        <f t="shared" si="61"/>
        <v>6.110857899094551E-2</v>
      </c>
      <c r="Z251" s="22">
        <f t="shared" si="61"/>
        <v>6.110857899094551E-2</v>
      </c>
      <c r="AA251" s="22">
        <f t="shared" si="61"/>
        <v>6.110857899094551E-2</v>
      </c>
      <c r="AB251" s="22">
        <f t="shared" si="61"/>
        <v>6.110857899094551E-2</v>
      </c>
      <c r="AC251" s="22">
        <f t="shared" si="61"/>
        <v>6.110857899094551E-2</v>
      </c>
      <c r="AD251" s="22">
        <f t="shared" si="61"/>
        <v>6.110857899094551E-2</v>
      </c>
      <c r="AE251" s="22">
        <f t="shared" si="61"/>
        <v>6.110857899094551E-2</v>
      </c>
      <c r="AF251" s="22">
        <f t="shared" si="61"/>
        <v>6.110857899094551E-2</v>
      </c>
      <c r="AG251" s="22">
        <f t="shared" si="61"/>
        <v>6.110857899094551E-2</v>
      </c>
      <c r="AH251" s="22">
        <f t="shared" si="61"/>
        <v>6.110857899094551E-2</v>
      </c>
      <c r="AI251" s="22">
        <f t="shared" si="61"/>
        <v>6.110857899094551E-2</v>
      </c>
      <c r="AJ251" s="22">
        <f t="shared" si="61"/>
        <v>6.110857899094551E-2</v>
      </c>
      <c r="AK251" s="22">
        <f t="shared" si="61"/>
        <v>6.110857899094551E-2</v>
      </c>
      <c r="AL251" s="22">
        <f t="shared" si="61"/>
        <v>6.110857899094551E-2</v>
      </c>
      <c r="AM251" s="22">
        <f t="shared" si="61"/>
        <v>6.110857899094551E-2</v>
      </c>
      <c r="AN251" s="22">
        <f t="shared" si="61"/>
        <v>6.110857899094551E-2</v>
      </c>
      <c r="AO251" s="22">
        <f t="shared" si="61"/>
        <v>6.110857899094551E-2</v>
      </c>
      <c r="AP251" s="22">
        <f t="shared" si="61"/>
        <v>6.110857899094551E-2</v>
      </c>
      <c r="AQ251" s="22">
        <f t="shared" si="61"/>
        <v>6.110857899094551E-2</v>
      </c>
      <c r="AR251" s="22">
        <f t="shared" si="61"/>
        <v>6.110857899094551E-2</v>
      </c>
      <c r="AS251" s="22">
        <f t="shared" si="61"/>
        <v>6.110857899094551E-2</v>
      </c>
      <c r="AT251" s="22">
        <f t="shared" si="61"/>
        <v>6.110857899094551E-2</v>
      </c>
      <c r="AU251" s="22">
        <f t="shared" si="61"/>
        <v>6.110857899094551E-2</v>
      </c>
      <c r="AV251" s="22">
        <f t="shared" si="61"/>
        <v>6.110857899094551E-2</v>
      </c>
      <c r="AW251" s="22">
        <f t="shared" si="61"/>
        <v>6.110857899094551E-2</v>
      </c>
      <c r="AY251" s="85"/>
    </row>
    <row r="252" spans="1:51" x14ac:dyDescent="0.25">
      <c r="A252" s="102" t="str">
        <f t="shared" si="45"/>
        <v>FA FSOM</v>
      </c>
      <c r="B252" s="102" t="s">
        <v>963</v>
      </c>
      <c r="C252" s="102" t="s">
        <v>60</v>
      </c>
      <c r="D252" t="s">
        <v>369</v>
      </c>
      <c r="E252" t="s">
        <v>55</v>
      </c>
      <c r="F252" t="s">
        <v>60</v>
      </c>
      <c r="G252" t="s">
        <v>1287</v>
      </c>
      <c r="H252" t="s">
        <v>1288</v>
      </c>
      <c r="J252" t="s">
        <v>287</v>
      </c>
      <c r="K252" s="22" t="str">
        <f t="shared" si="55"/>
        <v>NO</v>
      </c>
      <c r="L252" s="22" t="str">
        <f t="shared" si="61"/>
        <v>NO</v>
      </c>
      <c r="M252" s="22" t="str">
        <f t="shared" si="61"/>
        <v>NO</v>
      </c>
      <c r="N252" s="22" t="str">
        <f t="shared" si="61"/>
        <v>NO</v>
      </c>
      <c r="O252" s="22" t="str">
        <f t="shared" si="61"/>
        <v>NO</v>
      </c>
      <c r="P252" s="22" t="str">
        <f t="shared" si="61"/>
        <v>NO</v>
      </c>
      <c r="Q252" s="22" t="str">
        <f t="shared" si="61"/>
        <v>NO</v>
      </c>
      <c r="R252" s="22" t="str">
        <f t="shared" si="61"/>
        <v>NO</v>
      </c>
      <c r="S252" s="22" t="str">
        <f t="shared" si="61"/>
        <v>NO</v>
      </c>
      <c r="T252" s="22" t="str">
        <f t="shared" si="61"/>
        <v>NO</v>
      </c>
      <c r="U252" s="22" t="str">
        <f t="shared" si="61"/>
        <v>NO</v>
      </c>
      <c r="V252" s="22" t="str">
        <f t="shared" si="61"/>
        <v>NO</v>
      </c>
      <c r="W252" s="22" t="str">
        <f t="shared" si="61"/>
        <v>NO</v>
      </c>
      <c r="X252" s="22" t="str">
        <f t="shared" si="61"/>
        <v>NO</v>
      </c>
      <c r="Y252" s="22" t="str">
        <f t="shared" si="61"/>
        <v>NO</v>
      </c>
      <c r="Z252" s="22" t="str">
        <f t="shared" si="61"/>
        <v>NO</v>
      </c>
      <c r="AA252" s="22" t="str">
        <f t="shared" si="61"/>
        <v>NO</v>
      </c>
      <c r="AB252" s="22" t="str">
        <f t="shared" si="61"/>
        <v>NO</v>
      </c>
      <c r="AC252" s="22" t="str">
        <f t="shared" si="61"/>
        <v>NO</v>
      </c>
      <c r="AD252" s="22" t="str">
        <f t="shared" si="61"/>
        <v>NO</v>
      </c>
      <c r="AE252" s="22" t="str">
        <f t="shared" si="61"/>
        <v>NO</v>
      </c>
      <c r="AF252" s="22" t="str">
        <f t="shared" si="61"/>
        <v>NO</v>
      </c>
      <c r="AG252" s="22" t="str">
        <f t="shared" si="61"/>
        <v>NO</v>
      </c>
      <c r="AH252" s="22" t="str">
        <f t="shared" si="61"/>
        <v>NO</v>
      </c>
      <c r="AI252" s="22" t="str">
        <f t="shared" si="61"/>
        <v>NO</v>
      </c>
      <c r="AJ252" s="22" t="str">
        <f t="shared" si="61"/>
        <v>NO</v>
      </c>
      <c r="AK252" s="22" t="str">
        <f t="shared" si="61"/>
        <v>NO</v>
      </c>
      <c r="AL252" s="22" t="str">
        <f t="shared" si="61"/>
        <v>NO</v>
      </c>
      <c r="AM252" s="22" t="str">
        <f t="shared" si="61"/>
        <v>NO</v>
      </c>
      <c r="AN252" s="22" t="str">
        <f t="shared" si="61"/>
        <v>NO</v>
      </c>
      <c r="AO252" s="22" t="str">
        <f t="shared" si="61"/>
        <v>NO</v>
      </c>
      <c r="AP252" s="22" t="str">
        <f t="shared" si="61"/>
        <v>NO</v>
      </c>
      <c r="AQ252" s="22" t="str">
        <f t="shared" si="61"/>
        <v>NO</v>
      </c>
      <c r="AR252" s="22" t="str">
        <f t="shared" si="61"/>
        <v>NO</v>
      </c>
      <c r="AS252" s="22" t="str">
        <f t="shared" si="61"/>
        <v>NO</v>
      </c>
      <c r="AT252" s="22" t="str">
        <f t="shared" si="61"/>
        <v>NO</v>
      </c>
      <c r="AU252" s="22" t="str">
        <f t="shared" si="61"/>
        <v>NO</v>
      </c>
      <c r="AV252" s="22" t="str">
        <f t="shared" si="61"/>
        <v>NO</v>
      </c>
      <c r="AW252" s="22" t="str">
        <f t="shared" si="61"/>
        <v>NO</v>
      </c>
      <c r="AY252" s="85"/>
    </row>
    <row r="253" spans="1:51" x14ac:dyDescent="0.25">
      <c r="A253" s="102" t="str">
        <f t="shared" si="45"/>
        <v>FA FSOM</v>
      </c>
      <c r="B253" s="102" t="s">
        <v>963</v>
      </c>
      <c r="C253" s="102" t="s">
        <v>60</v>
      </c>
      <c r="D253" t="s">
        <v>369</v>
      </c>
      <c r="E253" t="s">
        <v>55</v>
      </c>
      <c r="F253" t="s">
        <v>60</v>
      </c>
      <c r="G253" t="s">
        <v>1289</v>
      </c>
      <c r="H253" t="s">
        <v>1290</v>
      </c>
      <c r="J253" t="s">
        <v>287</v>
      </c>
      <c r="K253" s="22">
        <f t="shared" si="55"/>
        <v>3.1961717215001131</v>
      </c>
      <c r="L253" s="22">
        <f t="shared" si="61"/>
        <v>3.1961717215001131</v>
      </c>
      <c r="M253" s="22">
        <f t="shared" si="61"/>
        <v>3.1961717215001131</v>
      </c>
      <c r="N253" s="22">
        <f t="shared" si="61"/>
        <v>3.1961717215001131</v>
      </c>
      <c r="O253" s="22">
        <f t="shared" si="61"/>
        <v>3.1961717215001131</v>
      </c>
      <c r="P253" s="22">
        <f t="shared" si="61"/>
        <v>3.1961717215001131</v>
      </c>
      <c r="Q253" s="22">
        <f t="shared" si="61"/>
        <v>3.1961717215001131</v>
      </c>
      <c r="R253" s="22">
        <f t="shared" si="61"/>
        <v>3.1961717215001131</v>
      </c>
      <c r="S253" s="22">
        <f t="shared" si="61"/>
        <v>3.1961717215001131</v>
      </c>
      <c r="T253" s="22">
        <f t="shared" si="61"/>
        <v>3.1961717215001131</v>
      </c>
      <c r="U253" s="22">
        <f t="shared" si="61"/>
        <v>3.1961717215001131</v>
      </c>
      <c r="V253" s="22">
        <f t="shared" si="61"/>
        <v>3.1961717215001131</v>
      </c>
      <c r="W253" s="22">
        <f t="shared" si="61"/>
        <v>3.1961717215001131</v>
      </c>
      <c r="X253" s="22">
        <f t="shared" si="61"/>
        <v>3.1961717215001131</v>
      </c>
      <c r="Y253" s="22">
        <f t="shared" si="61"/>
        <v>3.1961717215001131</v>
      </c>
      <c r="Z253" s="22">
        <f t="shared" si="61"/>
        <v>3.1961717215001131</v>
      </c>
      <c r="AA253" s="22">
        <f t="shared" si="61"/>
        <v>3.1961717215001131</v>
      </c>
      <c r="AB253" s="22">
        <f t="shared" si="61"/>
        <v>3.1961717215001131</v>
      </c>
      <c r="AC253" s="22">
        <f t="shared" si="61"/>
        <v>3.1961717215001131</v>
      </c>
      <c r="AD253" s="22">
        <f t="shared" si="61"/>
        <v>3.1961717215001131</v>
      </c>
      <c r="AE253" s="22">
        <f t="shared" si="61"/>
        <v>3.1961717215001131</v>
      </c>
      <c r="AF253" s="22">
        <f t="shared" si="61"/>
        <v>3.1961717215001131</v>
      </c>
      <c r="AG253" s="22">
        <f t="shared" si="61"/>
        <v>3.1961717215001131</v>
      </c>
      <c r="AH253" s="22">
        <f t="shared" si="61"/>
        <v>3.1961717215001131</v>
      </c>
      <c r="AI253" s="22">
        <f t="shared" si="61"/>
        <v>3.1961717215001131</v>
      </c>
      <c r="AJ253" s="22">
        <f t="shared" si="61"/>
        <v>3.1961717215001131</v>
      </c>
      <c r="AK253" s="22">
        <f t="shared" si="61"/>
        <v>3.1961717215001131</v>
      </c>
      <c r="AL253" s="22">
        <f t="shared" si="61"/>
        <v>3.1961717215001131</v>
      </c>
      <c r="AM253" s="22">
        <f t="shared" si="61"/>
        <v>3.1961717215001131</v>
      </c>
      <c r="AN253" s="22">
        <f t="shared" si="61"/>
        <v>3.1961717215001131</v>
      </c>
      <c r="AO253" s="22">
        <f t="shared" si="61"/>
        <v>3.1961717215001131</v>
      </c>
      <c r="AP253" s="22">
        <f t="shared" si="61"/>
        <v>3.1961717215001131</v>
      </c>
      <c r="AQ253" s="22">
        <f t="shared" si="61"/>
        <v>3.1961717215001131</v>
      </c>
      <c r="AR253" s="22">
        <f t="shared" si="61"/>
        <v>3.1961717215001131</v>
      </c>
      <c r="AS253" s="22">
        <f t="shared" si="61"/>
        <v>3.1961717215001131</v>
      </c>
      <c r="AT253" s="22">
        <f t="shared" si="61"/>
        <v>3.1961717215001131</v>
      </c>
      <c r="AU253" s="22">
        <f t="shared" si="61"/>
        <v>3.1961717215001131</v>
      </c>
      <c r="AV253" s="22">
        <f t="shared" si="61"/>
        <v>3.1961717215001131</v>
      </c>
      <c r="AW253" s="22">
        <f t="shared" si="61"/>
        <v>3.1961717215001131</v>
      </c>
      <c r="AY253" s="85"/>
    </row>
    <row r="254" spans="1:51" x14ac:dyDescent="0.25">
      <c r="A254" s="102" t="str">
        <f t="shared" si="45"/>
        <v>FA Volatilisation</v>
      </c>
      <c r="B254" s="102" t="s">
        <v>963</v>
      </c>
      <c r="C254" s="102" t="s">
        <v>62</v>
      </c>
      <c r="D254" t="s">
        <v>369</v>
      </c>
      <c r="E254" t="s">
        <v>61</v>
      </c>
      <c r="F254" t="s">
        <v>62</v>
      </c>
      <c r="G254" t="s">
        <v>435</v>
      </c>
      <c r="H254" t="s">
        <v>1185</v>
      </c>
      <c r="I254" t="s">
        <v>139</v>
      </c>
      <c r="J254" t="s">
        <v>287</v>
      </c>
      <c r="K254" s="22">
        <f t="shared" si="55"/>
        <v>0.66064812063358536</v>
      </c>
      <c r="L254" s="22">
        <f t="shared" si="61"/>
        <v>0.66055332632324659</v>
      </c>
      <c r="M254" s="22">
        <f t="shared" si="61"/>
        <v>0.66042378924026446</v>
      </c>
      <c r="N254" s="22">
        <f t="shared" si="61"/>
        <v>0.66032976249569819</v>
      </c>
      <c r="O254" s="22">
        <f t="shared" si="61"/>
        <v>0.66028397217143464</v>
      </c>
      <c r="P254" s="22">
        <f t="shared" si="61"/>
        <v>0.66023877667619957</v>
      </c>
      <c r="Q254" s="22">
        <f t="shared" si="61"/>
        <v>0.66017040685586048</v>
      </c>
      <c r="R254" s="22">
        <f t="shared" si="61"/>
        <v>0.66009555191940106</v>
      </c>
      <c r="S254" s="22">
        <f t="shared" si="61"/>
        <v>0.66007105452260206</v>
      </c>
      <c r="T254" s="22">
        <f t="shared" si="61"/>
        <v>0.6605210320148045</v>
      </c>
      <c r="U254" s="22">
        <f t="shared" si="61"/>
        <v>0.66038066881148649</v>
      </c>
      <c r="V254" s="22">
        <f t="shared" si="61"/>
        <v>0.660254471504373</v>
      </c>
      <c r="W254" s="22">
        <f t="shared" si="61"/>
        <v>0.66012944407562835</v>
      </c>
      <c r="X254" s="22">
        <f t="shared" si="61"/>
        <v>0.65998592560706049</v>
      </c>
      <c r="Y254" s="22">
        <f t="shared" si="61"/>
        <v>0.65984396481179586</v>
      </c>
      <c r="Z254" s="22">
        <f t="shared" ref="L254:AW261" si="62">Z1510</f>
        <v>0.65970003432051683</v>
      </c>
      <c r="AA254" s="22">
        <f t="shared" si="62"/>
        <v>0.65956223028685135</v>
      </c>
      <c r="AB254" s="22">
        <f t="shared" si="62"/>
        <v>0.65941853622185975</v>
      </c>
      <c r="AC254" s="22">
        <f t="shared" si="62"/>
        <v>0.65928505403904103</v>
      </c>
      <c r="AD254" s="22">
        <f t="shared" si="62"/>
        <v>0.65915038110737934</v>
      </c>
      <c r="AE254" s="22">
        <f t="shared" si="62"/>
        <v>0.65899366744546872</v>
      </c>
      <c r="AF254" s="22">
        <f t="shared" si="62"/>
        <v>0.65882822576482969</v>
      </c>
      <c r="AG254" s="22">
        <f t="shared" si="62"/>
        <v>0.65866069718802811</v>
      </c>
      <c r="AH254" s="22">
        <f t="shared" si="62"/>
        <v>0.65862744996812317</v>
      </c>
      <c r="AI254" s="22">
        <f t="shared" si="62"/>
        <v>0.67244352177988753</v>
      </c>
      <c r="AJ254" s="22">
        <f t="shared" si="62"/>
        <v>0.67246796459520652</v>
      </c>
      <c r="AK254" s="22">
        <f t="shared" si="62"/>
        <v>0.67249266471091262</v>
      </c>
      <c r="AL254" s="22">
        <f t="shared" si="62"/>
        <v>0.6725176256716463</v>
      </c>
      <c r="AM254" s="22">
        <f t="shared" si="62"/>
        <v>0.67254285108872014</v>
      </c>
      <c r="AN254" s="22">
        <f t="shared" si="62"/>
        <v>0.67256834464178161</v>
      </c>
      <c r="AO254" s="22">
        <f t="shared" si="62"/>
        <v>0.67259019731905478</v>
      </c>
      <c r="AP254" s="22">
        <f t="shared" si="62"/>
        <v>0.67261224822219834</v>
      </c>
      <c r="AQ254" s="22">
        <f t="shared" si="62"/>
        <v>0.67263449972304945</v>
      </c>
      <c r="AR254" s="22">
        <f t="shared" si="62"/>
        <v>0.67265695423235672</v>
      </c>
      <c r="AS254" s="22">
        <f t="shared" si="62"/>
        <v>0.67267961420062661</v>
      </c>
      <c r="AT254" s="22">
        <f t="shared" si="62"/>
        <v>0.67269840467448694</v>
      </c>
      <c r="AU254" s="22">
        <f t="shared" si="62"/>
        <v>0.67271733718738858</v>
      </c>
      <c r="AV254" s="22">
        <f t="shared" si="62"/>
        <v>0.67273641316511901</v>
      </c>
      <c r="AW254" s="22">
        <f t="shared" si="62"/>
        <v>0.67275563405315475</v>
      </c>
      <c r="AY254" s="85"/>
    </row>
    <row r="255" spans="1:51" x14ac:dyDescent="0.25">
      <c r="A255" s="102" t="str">
        <f t="shared" si="45"/>
        <v>FA Volatilisation</v>
      </c>
      <c r="B255" s="102" t="s">
        <v>963</v>
      </c>
      <c r="C255" s="102" t="s">
        <v>62</v>
      </c>
      <c r="D255" t="s">
        <v>369</v>
      </c>
      <c r="E255" t="s">
        <v>61</v>
      </c>
      <c r="F255" t="s">
        <v>62</v>
      </c>
      <c r="G255" t="s">
        <v>436</v>
      </c>
      <c r="H255" t="s">
        <v>1186</v>
      </c>
      <c r="I255" t="s">
        <v>139</v>
      </c>
      <c r="J255" t="s">
        <v>287</v>
      </c>
      <c r="K255" s="22">
        <f t="shared" si="55"/>
        <v>8.720555192363328E-3</v>
      </c>
      <c r="L255" s="22">
        <f t="shared" si="62"/>
        <v>8.7193039074668528E-3</v>
      </c>
      <c r="M255" s="22">
        <f t="shared" si="62"/>
        <v>8.7175940179714945E-3</v>
      </c>
      <c r="N255" s="22">
        <f t="shared" si="62"/>
        <v>8.7163528649432196E-3</v>
      </c>
      <c r="O255" s="22">
        <f t="shared" si="62"/>
        <v>8.7157484326629356E-3</v>
      </c>
      <c r="P255" s="22">
        <f t="shared" si="62"/>
        <v>8.715151852125836E-3</v>
      </c>
      <c r="Q255" s="22">
        <f t="shared" si="62"/>
        <v>8.7142493704973605E-3</v>
      </c>
      <c r="R255" s="22">
        <f t="shared" si="62"/>
        <v>8.713261285336095E-3</v>
      </c>
      <c r="S255" s="22">
        <f t="shared" si="62"/>
        <v>8.7129379196983492E-3</v>
      </c>
      <c r="T255" s="22">
        <f t="shared" si="62"/>
        <v>8.7188776225954213E-3</v>
      </c>
      <c r="U255" s="22">
        <f t="shared" si="62"/>
        <v>8.7170248283116227E-3</v>
      </c>
      <c r="V255" s="22">
        <f t="shared" si="62"/>
        <v>8.7153590238577237E-3</v>
      </c>
      <c r="W255" s="22">
        <f t="shared" si="62"/>
        <v>8.7137086617982938E-3</v>
      </c>
      <c r="X255" s="22">
        <f t="shared" si="62"/>
        <v>8.7118142180131995E-3</v>
      </c>
      <c r="Y255" s="22">
        <f t="shared" si="62"/>
        <v>8.7099403355157048E-3</v>
      </c>
      <c r="Z255" s="22">
        <f t="shared" si="62"/>
        <v>8.7080404530308231E-3</v>
      </c>
      <c r="AA255" s="22">
        <f t="shared" si="62"/>
        <v>8.7062214397864383E-3</v>
      </c>
      <c r="AB255" s="22">
        <f t="shared" si="62"/>
        <v>8.704324678128551E-3</v>
      </c>
      <c r="AC255" s="22">
        <f t="shared" si="62"/>
        <v>8.7025627133153448E-3</v>
      </c>
      <c r="AD255" s="22">
        <f t="shared" si="62"/>
        <v>8.7007850306174105E-3</v>
      </c>
      <c r="AE255" s="22">
        <f t="shared" si="62"/>
        <v>8.698716410280187E-3</v>
      </c>
      <c r="AF255" s="22">
        <f t="shared" si="62"/>
        <v>8.6965325800957543E-3</v>
      </c>
      <c r="AG255" s="22">
        <f t="shared" si="62"/>
        <v>8.694321202881973E-3</v>
      </c>
      <c r="AH255" s="22">
        <f t="shared" si="62"/>
        <v>8.6938823395792293E-3</v>
      </c>
      <c r="AI255" s="22">
        <f t="shared" si="62"/>
        <v>8.8762544874945153E-3</v>
      </c>
      <c r="AJ255" s="22">
        <f t="shared" si="62"/>
        <v>8.876577132656726E-3</v>
      </c>
      <c r="AK255" s="22">
        <f t="shared" si="62"/>
        <v>8.8769031741840459E-3</v>
      </c>
      <c r="AL255" s="22">
        <f t="shared" si="62"/>
        <v>8.8772326588657333E-3</v>
      </c>
      <c r="AM255" s="22">
        <f t="shared" si="62"/>
        <v>8.8775656343711064E-3</v>
      </c>
      <c r="AN255" s="22">
        <f t="shared" si="62"/>
        <v>8.877902149271517E-3</v>
      </c>
      <c r="AO255" s="22">
        <f t="shared" si="62"/>
        <v>8.8781906046115251E-3</v>
      </c>
      <c r="AP255" s="22">
        <f t="shared" si="62"/>
        <v>8.8784816765330177E-3</v>
      </c>
      <c r="AQ255" s="22">
        <f t="shared" si="62"/>
        <v>8.8787753963442528E-3</v>
      </c>
      <c r="AR255" s="22">
        <f t="shared" si="62"/>
        <v>8.8790717958671054E-3</v>
      </c>
      <c r="AS255" s="22">
        <f t="shared" si="62"/>
        <v>8.8793709074482721E-3</v>
      </c>
      <c r="AT255" s="22">
        <f t="shared" si="62"/>
        <v>8.8796189417032281E-3</v>
      </c>
      <c r="AU255" s="22">
        <f t="shared" si="62"/>
        <v>8.8798688508735287E-3</v>
      </c>
      <c r="AV255" s="22">
        <f t="shared" si="62"/>
        <v>8.8801206537795687E-3</v>
      </c>
      <c r="AW255" s="22">
        <f t="shared" si="62"/>
        <v>8.8803743695016445E-3</v>
      </c>
      <c r="AY255" s="85"/>
    </row>
    <row r="256" spans="1:51" x14ac:dyDescent="0.25">
      <c r="A256" s="102" t="str">
        <f t="shared" si="45"/>
        <v>FA Volatilisation</v>
      </c>
      <c r="B256" s="102" t="s">
        <v>963</v>
      </c>
      <c r="C256" s="102" t="s">
        <v>62</v>
      </c>
      <c r="D256" t="s">
        <v>369</v>
      </c>
      <c r="E256" t="s">
        <v>61</v>
      </c>
      <c r="F256" t="s">
        <v>62</v>
      </c>
      <c r="G256" t="s">
        <v>437</v>
      </c>
      <c r="H256" t="s">
        <v>1187</v>
      </c>
      <c r="I256" t="s">
        <v>139</v>
      </c>
      <c r="J256" t="s">
        <v>287</v>
      </c>
      <c r="K256" s="22">
        <f t="shared" si="55"/>
        <v>1.2093332917192059</v>
      </c>
      <c r="L256" s="22">
        <f t="shared" si="62"/>
        <v>1.212549014194676</v>
      </c>
      <c r="M256" s="22">
        <f t="shared" si="62"/>
        <v>1.2080675975352919</v>
      </c>
      <c r="N256" s="22">
        <f t="shared" si="62"/>
        <v>1.1932021188168924</v>
      </c>
      <c r="O256" s="22">
        <f t="shared" si="62"/>
        <v>1.1789615688677482</v>
      </c>
      <c r="P256" s="22">
        <f t="shared" si="62"/>
        <v>1.1704734210058418</v>
      </c>
      <c r="Q256" s="22">
        <f t="shared" si="62"/>
        <v>1.1638691365373428</v>
      </c>
      <c r="R256" s="22">
        <f t="shared" si="62"/>
        <v>1.1469007270703131</v>
      </c>
      <c r="S256" s="22">
        <f t="shared" si="62"/>
        <v>1.0343013809056243</v>
      </c>
      <c r="T256" s="22">
        <f t="shared" si="62"/>
        <v>1.0481909256150905</v>
      </c>
      <c r="U256" s="22">
        <f t="shared" si="62"/>
        <v>1.0595148748541463</v>
      </c>
      <c r="V256" s="22">
        <f t="shared" si="62"/>
        <v>1.0708200492308082</v>
      </c>
      <c r="W256" s="22">
        <f t="shared" si="62"/>
        <v>1.0860105374840394</v>
      </c>
      <c r="X256" s="22">
        <f t="shared" si="62"/>
        <v>1.1011136627598048</v>
      </c>
      <c r="Y256" s="22">
        <f t="shared" si="62"/>
        <v>1.1168753754822469</v>
      </c>
      <c r="Z256" s="22">
        <f t="shared" si="62"/>
        <v>1.1316116174141071</v>
      </c>
      <c r="AA256" s="22">
        <f t="shared" si="62"/>
        <v>1.1477472664244306</v>
      </c>
      <c r="AB256" s="22">
        <f t="shared" si="62"/>
        <v>1.162000977077071</v>
      </c>
      <c r="AC256" s="22">
        <f t="shared" si="62"/>
        <v>1.1766850766989885</v>
      </c>
      <c r="AD256" s="22">
        <f t="shared" si="62"/>
        <v>1.1920390141813535</v>
      </c>
      <c r="AE256" s="22">
        <f t="shared" si="62"/>
        <v>1.209291621864601</v>
      </c>
      <c r="AF256" s="22">
        <f t="shared" si="62"/>
        <v>1.2270828646029268</v>
      </c>
      <c r="AG256" s="22">
        <f t="shared" si="62"/>
        <v>1.2169487802084893</v>
      </c>
      <c r="AH256" s="22">
        <f t="shared" si="62"/>
        <v>-0.11188522139136049</v>
      </c>
      <c r="AI256" s="22">
        <f t="shared" si="62"/>
        <v>-0.10923992354699982</v>
      </c>
      <c r="AJ256" s="22">
        <f t="shared" si="62"/>
        <v>-0.10664295801578709</v>
      </c>
      <c r="AK256" s="22">
        <f t="shared" si="62"/>
        <v>-0.10409179637304686</v>
      </c>
      <c r="AL256" s="22">
        <f t="shared" si="62"/>
        <v>-0.10158408786075553</v>
      </c>
      <c r="AM256" s="22">
        <f t="shared" si="62"/>
        <v>-9.911764281122247E-2</v>
      </c>
      <c r="AN256" s="22">
        <f t="shared" si="62"/>
        <v>-9.7051147987208763E-2</v>
      </c>
      <c r="AO256" s="22">
        <f t="shared" si="62"/>
        <v>-9.5020146872529937E-2</v>
      </c>
      <c r="AP256" s="22">
        <f t="shared" si="62"/>
        <v>-9.3023012126499452E-2</v>
      </c>
      <c r="AQ256" s="22">
        <f t="shared" si="62"/>
        <v>-9.1058219239636279E-2</v>
      </c>
      <c r="AR256" s="22">
        <f t="shared" si="62"/>
        <v>-8.9124337939456066E-2</v>
      </c>
      <c r="AS256" s="22">
        <f t="shared" si="62"/>
        <v>-8.7091918156742387E-2</v>
      </c>
      <c r="AT256" s="22">
        <f t="shared" si="62"/>
        <v>-8.5090852576232723E-2</v>
      </c>
      <c r="AU256" s="22">
        <f t="shared" si="62"/>
        <v>-8.3119887513720792E-2</v>
      </c>
      <c r="AV256" s="22">
        <f t="shared" si="62"/>
        <v>-8.1177840815191041E-2</v>
      </c>
      <c r="AW256" s="22">
        <f t="shared" si="62"/>
        <v>-7.9263596467564895E-2</v>
      </c>
      <c r="AY256" s="85"/>
    </row>
    <row r="257" spans="1:51" x14ac:dyDescent="0.25">
      <c r="A257" s="102" t="str">
        <f t="shared" si="45"/>
        <v>FA Volatilisation</v>
      </c>
      <c r="B257" s="102" t="s">
        <v>963</v>
      </c>
      <c r="C257" s="102" t="s">
        <v>62</v>
      </c>
      <c r="D257" t="s">
        <v>369</v>
      </c>
      <c r="E257" t="s">
        <v>61</v>
      </c>
      <c r="F257" t="s">
        <v>62</v>
      </c>
      <c r="G257" t="s">
        <v>438</v>
      </c>
      <c r="H257" t="s">
        <v>1266</v>
      </c>
      <c r="I257" t="s">
        <v>139</v>
      </c>
      <c r="J257" t="s">
        <v>287</v>
      </c>
      <c r="K257" s="22">
        <f t="shared" si="55"/>
        <v>4.4200208339270741</v>
      </c>
      <c r="L257" s="22">
        <f t="shared" si="62"/>
        <v>4.4063497224338981</v>
      </c>
      <c r="M257" s="22">
        <f t="shared" si="62"/>
        <v>4.3748236308422763</v>
      </c>
      <c r="N257" s="22">
        <f t="shared" si="62"/>
        <v>4.3194633293945399</v>
      </c>
      <c r="O257" s="22">
        <f t="shared" si="62"/>
        <v>4.2670975633063994</v>
      </c>
      <c r="P257" s="22">
        <f t="shared" si="62"/>
        <v>4.2296870830077653</v>
      </c>
      <c r="Q257" s="22">
        <f t="shared" si="62"/>
        <v>4.1973003663588617</v>
      </c>
      <c r="R257" s="22">
        <f t="shared" si="62"/>
        <v>4.1416337219460111</v>
      </c>
      <c r="S257" s="22">
        <f t="shared" si="62"/>
        <v>3.8694283391195556</v>
      </c>
      <c r="T257" s="22">
        <f t="shared" si="62"/>
        <v>3.892690707807458</v>
      </c>
      <c r="U257" s="22">
        <f t="shared" si="62"/>
        <v>3.910223559811274</v>
      </c>
      <c r="V257" s="22">
        <f t="shared" si="62"/>
        <v>3.9277946028277135</v>
      </c>
      <c r="W257" s="22">
        <f t="shared" si="62"/>
        <v>3.9540546968376762</v>
      </c>
      <c r="X257" s="22">
        <f t="shared" si="62"/>
        <v>3.9800525826427466</v>
      </c>
      <c r="Y257" s="22">
        <f t="shared" si="62"/>
        <v>4.0052503163811615</v>
      </c>
      <c r="Z257" s="22">
        <f t="shared" si="62"/>
        <v>4.0280715770679869</v>
      </c>
      <c r="AA257" s="22">
        <f t="shared" si="62"/>
        <v>4.0537990986432781</v>
      </c>
      <c r="AB257" s="22">
        <f t="shared" si="62"/>
        <v>4.0752877726899488</v>
      </c>
      <c r="AC257" s="22">
        <f t="shared" si="62"/>
        <v>4.0975518352324007</v>
      </c>
      <c r="AD257" s="22">
        <f t="shared" si="62"/>
        <v>4.1101837888002137</v>
      </c>
      <c r="AE257" s="22">
        <f t="shared" si="62"/>
        <v>4.1260897941446899</v>
      </c>
      <c r="AF257" s="22">
        <f t="shared" si="62"/>
        <v>4.1422931340887423</v>
      </c>
      <c r="AG257" s="22">
        <f t="shared" si="62"/>
        <v>4.1002928018965292</v>
      </c>
      <c r="AH257" s="22">
        <f t="shared" si="62"/>
        <v>1.3815874291099948</v>
      </c>
      <c r="AI257" s="22">
        <f t="shared" si="62"/>
        <v>1.3949306414379468</v>
      </c>
      <c r="AJ257" s="22">
        <f t="shared" si="62"/>
        <v>1.4082841741429419</v>
      </c>
      <c r="AK257" s="22">
        <f t="shared" si="62"/>
        <v>1.4216501520712144</v>
      </c>
      <c r="AL257" s="22">
        <f t="shared" si="62"/>
        <v>1.4350306139589808</v>
      </c>
      <c r="AM257" s="22">
        <f t="shared" si="62"/>
        <v>1.4484275190090183</v>
      </c>
      <c r="AN257" s="22">
        <f t="shared" si="62"/>
        <v>1.4583849717914823</v>
      </c>
      <c r="AO257" s="22">
        <f t="shared" si="62"/>
        <v>1.4683627043177812</v>
      </c>
      <c r="AP257" s="22">
        <f t="shared" si="62"/>
        <v>1.4783612830909323</v>
      </c>
      <c r="AQ257" s="22">
        <f t="shared" si="62"/>
        <v>1.4883812733334345</v>
      </c>
      <c r="AR257" s="22">
        <f t="shared" si="62"/>
        <v>1.4984232382688703</v>
      </c>
      <c r="AS257" s="22">
        <f t="shared" si="62"/>
        <v>1.5071704030997894</v>
      </c>
      <c r="AT257" s="22">
        <f t="shared" si="62"/>
        <v>1.5159247272983905</v>
      </c>
      <c r="AU257" s="22">
        <f t="shared" si="62"/>
        <v>1.5246866021590828</v>
      </c>
      <c r="AV257" s="22">
        <f t="shared" si="62"/>
        <v>1.5334564173590695</v>
      </c>
      <c r="AW257" s="22">
        <f t="shared" si="62"/>
        <v>1.5422345604898144</v>
      </c>
      <c r="AY257" s="85"/>
    </row>
    <row r="258" spans="1:51" x14ac:dyDescent="0.25">
      <c r="A258" s="102" t="str">
        <f t="shared" si="45"/>
        <v>FA Leaching</v>
      </c>
      <c r="B258" s="102" t="s">
        <v>963</v>
      </c>
      <c r="C258" s="102" t="s">
        <v>1191</v>
      </c>
      <c r="D258" t="s">
        <v>369</v>
      </c>
      <c r="E258" t="s">
        <v>61</v>
      </c>
      <c r="F258" t="s">
        <v>63</v>
      </c>
      <c r="G258" t="s">
        <v>435</v>
      </c>
      <c r="H258" t="s">
        <v>1188</v>
      </c>
      <c r="I258" t="s">
        <v>139</v>
      </c>
      <c r="J258" t="s">
        <v>287</v>
      </c>
      <c r="K258" s="22">
        <f t="shared" si="55"/>
        <v>2.2792360161858692E-4</v>
      </c>
      <c r="L258" s="22">
        <f t="shared" si="62"/>
        <v>2.2789089758152E-4</v>
      </c>
      <c r="M258" s="22">
        <f t="shared" si="62"/>
        <v>2.2784620728789122E-4</v>
      </c>
      <c r="N258" s="22">
        <f t="shared" si="62"/>
        <v>2.2781376806101585E-4</v>
      </c>
      <c r="O258" s="22">
        <f t="shared" si="62"/>
        <v>2.277979703991449E-4</v>
      </c>
      <c r="P258" s="22">
        <f t="shared" si="62"/>
        <v>2.2778237795328883E-4</v>
      </c>
      <c r="Q258" s="22">
        <f t="shared" si="62"/>
        <v>2.2775879036527182E-4</v>
      </c>
      <c r="R258" s="22">
        <f t="shared" si="62"/>
        <v>2.2773296541219322E-4</v>
      </c>
      <c r="S258" s="22">
        <f t="shared" si="62"/>
        <v>2.2772451381029767E-4</v>
      </c>
      <c r="T258" s="22">
        <f t="shared" si="62"/>
        <v>2.2787975604510752E-4</v>
      </c>
      <c r="U258" s="22">
        <f t="shared" si="62"/>
        <v>2.2783133073996282E-4</v>
      </c>
      <c r="V258" s="22">
        <f t="shared" si="62"/>
        <v>2.2778779266900863E-4</v>
      </c>
      <c r="W258" s="22">
        <f t="shared" si="62"/>
        <v>2.2774465820609167E-4</v>
      </c>
      <c r="X258" s="22">
        <f t="shared" si="62"/>
        <v>2.2769514433443585E-4</v>
      </c>
      <c r="Y258" s="22">
        <f t="shared" si="62"/>
        <v>2.2764616786006951E-4</v>
      </c>
      <c r="Z258" s="22">
        <f t="shared" si="62"/>
        <v>2.2759651184057824E-4</v>
      </c>
      <c r="AA258" s="22">
        <f t="shared" si="62"/>
        <v>2.2754896944896373E-4</v>
      </c>
      <c r="AB258" s="22">
        <f t="shared" si="62"/>
        <v>2.2749939499654159E-4</v>
      </c>
      <c r="AC258" s="22">
        <f t="shared" si="62"/>
        <v>2.2745334364346914E-4</v>
      </c>
      <c r="AD258" s="22">
        <f t="shared" si="62"/>
        <v>2.2740688148204587E-4</v>
      </c>
      <c r="AE258" s="22">
        <f t="shared" si="62"/>
        <v>2.2735281526868665E-4</v>
      </c>
      <c r="AF258" s="22">
        <f t="shared" si="62"/>
        <v>2.2729573788886622E-4</v>
      </c>
      <c r="AG258" s="22">
        <f t="shared" si="62"/>
        <v>2.2723794052986968E-4</v>
      </c>
      <c r="AH258" s="22">
        <f t="shared" si="62"/>
        <v>2.2722647023900249E-4</v>
      </c>
      <c r="AI258" s="22">
        <f t="shared" si="62"/>
        <v>2.3199301501406117E-4</v>
      </c>
      <c r="AJ258" s="22">
        <f t="shared" si="62"/>
        <v>2.3200144778534623E-4</v>
      </c>
      <c r="AK258" s="22">
        <f t="shared" si="62"/>
        <v>2.3200996932526481E-4</v>
      </c>
      <c r="AL258" s="22">
        <f t="shared" si="62"/>
        <v>2.3201858085671791E-4</v>
      </c>
      <c r="AM258" s="22">
        <f t="shared" si="62"/>
        <v>2.3202728362560843E-4</v>
      </c>
      <c r="AN258" s="22">
        <f t="shared" si="62"/>
        <v>2.3203607890141459E-4</v>
      </c>
      <c r="AO258" s="22">
        <f t="shared" si="62"/>
        <v>2.3204361807507387E-4</v>
      </c>
      <c r="AP258" s="22">
        <f t="shared" si="62"/>
        <v>2.3205122563665836E-4</v>
      </c>
      <c r="AQ258" s="22">
        <f t="shared" si="62"/>
        <v>2.3205890240445205E-4</v>
      </c>
      <c r="AR258" s="22">
        <f t="shared" si="62"/>
        <v>2.3206664921016296E-4</v>
      </c>
      <c r="AS258" s="22">
        <f t="shared" si="62"/>
        <v>2.3207446689921618E-4</v>
      </c>
      <c r="AT258" s="22">
        <f t="shared" si="62"/>
        <v>2.3208094961269798E-4</v>
      </c>
      <c r="AU258" s="22">
        <f t="shared" si="62"/>
        <v>2.3208748132964898E-4</v>
      </c>
      <c r="AV258" s="22">
        <f t="shared" si="62"/>
        <v>2.3209406254196601E-4</v>
      </c>
      <c r="AW258" s="22">
        <f t="shared" si="62"/>
        <v>2.3210069374833838E-4</v>
      </c>
      <c r="AY258" s="85"/>
    </row>
    <row r="259" spans="1:51" x14ac:dyDescent="0.25">
      <c r="A259" s="102" t="str">
        <f t="shared" si="45"/>
        <v>FA Leaching</v>
      </c>
      <c r="B259" s="102" t="s">
        <v>963</v>
      </c>
      <c r="C259" s="102" t="s">
        <v>1191</v>
      </c>
      <c r="D259" t="s">
        <v>369</v>
      </c>
      <c r="E259" t="s">
        <v>61</v>
      </c>
      <c r="F259" t="s">
        <v>63</v>
      </c>
      <c r="G259" t="s">
        <v>436</v>
      </c>
      <c r="H259" t="s">
        <v>1189</v>
      </c>
      <c r="I259" t="s">
        <v>139</v>
      </c>
      <c r="J259" t="s">
        <v>287</v>
      </c>
      <c r="K259" s="22">
        <f t="shared" si="55"/>
        <v>1.5042957706826741E-6</v>
      </c>
      <c r="L259" s="22">
        <f t="shared" si="62"/>
        <v>1.5040799240380321E-6</v>
      </c>
      <c r="M259" s="22">
        <f t="shared" si="62"/>
        <v>1.5037849681000825E-6</v>
      </c>
      <c r="N259" s="22">
        <f t="shared" si="62"/>
        <v>1.5035708692027049E-6</v>
      </c>
      <c r="O259" s="22">
        <f t="shared" si="62"/>
        <v>1.5034666046343562E-6</v>
      </c>
      <c r="P259" s="22">
        <f t="shared" si="62"/>
        <v>1.5033636944917065E-6</v>
      </c>
      <c r="Q259" s="22">
        <f t="shared" si="62"/>
        <v>1.5032080164107946E-6</v>
      </c>
      <c r="R259" s="22">
        <f t="shared" si="62"/>
        <v>1.5030375717204757E-6</v>
      </c>
      <c r="S259" s="22">
        <f t="shared" si="62"/>
        <v>1.5029817911479652E-6</v>
      </c>
      <c r="T259" s="22">
        <f t="shared" si="62"/>
        <v>1.5040063898977102E-6</v>
      </c>
      <c r="U259" s="22">
        <f t="shared" si="62"/>
        <v>1.503686782883755E-6</v>
      </c>
      <c r="V259" s="22">
        <f t="shared" si="62"/>
        <v>1.5033994316154569E-6</v>
      </c>
      <c r="W259" s="22">
        <f t="shared" si="62"/>
        <v>1.5031147441602057E-6</v>
      </c>
      <c r="X259" s="22">
        <f t="shared" si="62"/>
        <v>1.5027879526072768E-6</v>
      </c>
      <c r="Y259" s="22">
        <f t="shared" si="62"/>
        <v>1.5024647078764589E-6</v>
      </c>
      <c r="Z259" s="22">
        <f t="shared" si="62"/>
        <v>1.5021369781478169E-6</v>
      </c>
      <c r="AA259" s="22">
        <f t="shared" si="62"/>
        <v>1.5018231983631605E-6</v>
      </c>
      <c r="AB259" s="22">
        <f t="shared" si="62"/>
        <v>1.5014960069771748E-6</v>
      </c>
      <c r="AC259" s="22">
        <f t="shared" si="62"/>
        <v>1.5011920680468966E-6</v>
      </c>
      <c r="AD259" s="22">
        <f t="shared" si="62"/>
        <v>1.5008854177815029E-6</v>
      </c>
      <c r="AE259" s="22">
        <f t="shared" si="62"/>
        <v>1.5005285807733322E-6</v>
      </c>
      <c r="AF259" s="22">
        <f t="shared" si="62"/>
        <v>1.5001518700665174E-6</v>
      </c>
      <c r="AG259" s="22">
        <f t="shared" si="62"/>
        <v>1.4997704074971401E-6</v>
      </c>
      <c r="AH259" s="22">
        <f t="shared" si="62"/>
        <v>1.4996947035774166E-6</v>
      </c>
      <c r="AI259" s="22">
        <f t="shared" si="62"/>
        <v>1.5311538990928041E-6</v>
      </c>
      <c r="AJ259" s="22">
        <f t="shared" si="62"/>
        <v>1.531209555383285E-6</v>
      </c>
      <c r="AK259" s="22">
        <f t="shared" si="62"/>
        <v>1.5312657975467479E-6</v>
      </c>
      <c r="AL259" s="22">
        <f t="shared" si="62"/>
        <v>1.5313226336543386E-6</v>
      </c>
      <c r="AM259" s="22">
        <f t="shared" si="62"/>
        <v>1.5313800719290159E-6</v>
      </c>
      <c r="AN259" s="22">
        <f t="shared" si="62"/>
        <v>1.5314381207493371E-6</v>
      </c>
      <c r="AO259" s="22">
        <f t="shared" si="62"/>
        <v>1.5314878792954879E-6</v>
      </c>
      <c r="AP259" s="22">
        <f t="shared" si="62"/>
        <v>1.5315380892019456E-6</v>
      </c>
      <c r="AQ259" s="22">
        <f t="shared" si="62"/>
        <v>1.5315887558693837E-6</v>
      </c>
      <c r="AR259" s="22">
        <f t="shared" si="62"/>
        <v>1.5316398847870756E-6</v>
      </c>
      <c r="AS259" s="22">
        <f t="shared" si="62"/>
        <v>1.5316914815348266E-6</v>
      </c>
      <c r="AT259" s="22">
        <f t="shared" si="62"/>
        <v>1.5317342674438069E-6</v>
      </c>
      <c r="AU259" s="22">
        <f t="shared" si="62"/>
        <v>1.531777376775684E-6</v>
      </c>
      <c r="AV259" s="22">
        <f t="shared" si="62"/>
        <v>1.5318208127769759E-6</v>
      </c>
      <c r="AW259" s="22">
        <f t="shared" si="62"/>
        <v>1.5318645787390334E-6</v>
      </c>
      <c r="AY259" s="85"/>
    </row>
    <row r="260" spans="1:51" x14ac:dyDescent="0.25">
      <c r="A260" s="102" t="str">
        <f t="shared" si="45"/>
        <v>FA Leaching</v>
      </c>
      <c r="B260" s="102" t="s">
        <v>963</v>
      </c>
      <c r="C260" s="102" t="s">
        <v>1191</v>
      </c>
      <c r="D260" t="s">
        <v>369</v>
      </c>
      <c r="E260" t="s">
        <v>61</v>
      </c>
      <c r="F260" t="s">
        <v>63</v>
      </c>
      <c r="G260" t="s">
        <v>437</v>
      </c>
      <c r="H260" t="s">
        <v>1190</v>
      </c>
      <c r="I260" t="s">
        <v>139</v>
      </c>
      <c r="J260" t="s">
        <v>287</v>
      </c>
      <c r="K260" s="22">
        <f t="shared" si="55"/>
        <v>0.20860999282156298</v>
      </c>
      <c r="L260" s="22">
        <f t="shared" si="62"/>
        <v>0.20916470494858161</v>
      </c>
      <c r="M260" s="22">
        <f t="shared" si="62"/>
        <v>0.20839166057483782</v>
      </c>
      <c r="N260" s="22">
        <f t="shared" si="62"/>
        <v>0.20582736549591388</v>
      </c>
      <c r="O260" s="22">
        <f t="shared" si="62"/>
        <v>0.20337087062968656</v>
      </c>
      <c r="P260" s="22">
        <f t="shared" si="62"/>
        <v>0.20190666512350769</v>
      </c>
      <c r="Q260" s="22">
        <f t="shared" si="62"/>
        <v>0.2007674260526916</v>
      </c>
      <c r="R260" s="22">
        <f t="shared" si="62"/>
        <v>0.19784037541962898</v>
      </c>
      <c r="S260" s="22">
        <f t="shared" si="62"/>
        <v>0.17841698820622015</v>
      </c>
      <c r="T260" s="22">
        <f t="shared" si="62"/>
        <v>0.18081293466860307</v>
      </c>
      <c r="U260" s="22">
        <f t="shared" si="62"/>
        <v>0.18276631591234022</v>
      </c>
      <c r="V260" s="22">
        <f t="shared" si="62"/>
        <v>0.18471645849231438</v>
      </c>
      <c r="W260" s="22">
        <f t="shared" si="62"/>
        <v>0.18733681771599675</v>
      </c>
      <c r="X260" s="22">
        <f t="shared" si="62"/>
        <v>0.18994210682606633</v>
      </c>
      <c r="Y260" s="22">
        <f t="shared" si="62"/>
        <v>0.19266100227068755</v>
      </c>
      <c r="Z260" s="22">
        <f t="shared" si="62"/>
        <v>0.19520300400393342</v>
      </c>
      <c r="AA260" s="22">
        <f t="shared" si="62"/>
        <v>0.19798640345821425</v>
      </c>
      <c r="AB260" s="22">
        <f t="shared" si="62"/>
        <v>0.20044516854579475</v>
      </c>
      <c r="AC260" s="22">
        <f t="shared" si="62"/>
        <v>0.20297817573057544</v>
      </c>
      <c r="AD260" s="22">
        <f t="shared" si="62"/>
        <v>0.2056267299462835</v>
      </c>
      <c r="AE260" s="22">
        <f t="shared" si="62"/>
        <v>0.20860280477164364</v>
      </c>
      <c r="AF260" s="22">
        <f t="shared" si="62"/>
        <v>0.21167179414400486</v>
      </c>
      <c r="AG260" s="22">
        <f t="shared" si="62"/>
        <v>0.20992366458596434</v>
      </c>
      <c r="AH260" s="22">
        <f t="shared" si="62"/>
        <v>-1.9300200690009681E-2</v>
      </c>
      <c r="AI260" s="22">
        <f t="shared" si="62"/>
        <v>-1.8843886811857471E-2</v>
      </c>
      <c r="AJ260" s="22">
        <f t="shared" si="62"/>
        <v>-1.8395910257723268E-2</v>
      </c>
      <c r="AK260" s="22">
        <f t="shared" si="62"/>
        <v>-1.7955834874350582E-2</v>
      </c>
      <c r="AL260" s="22">
        <f t="shared" si="62"/>
        <v>-1.7523255155980324E-2</v>
      </c>
      <c r="AM260" s="22">
        <f t="shared" si="62"/>
        <v>-1.7097793384935875E-2</v>
      </c>
      <c r="AN260" s="22">
        <f t="shared" si="62"/>
        <v>-1.6741323027793506E-2</v>
      </c>
      <c r="AO260" s="22">
        <f t="shared" si="62"/>
        <v>-1.6390975335511412E-2</v>
      </c>
      <c r="AP260" s="22">
        <f t="shared" si="62"/>
        <v>-1.6046469591821155E-2</v>
      </c>
      <c r="AQ260" s="22">
        <f t="shared" si="62"/>
        <v>-1.5707542818837256E-2</v>
      </c>
      <c r="AR260" s="22">
        <f t="shared" si="62"/>
        <v>-1.5373948294556171E-2</v>
      </c>
      <c r="AS260" s="22">
        <f t="shared" si="62"/>
        <v>-1.5023355882038061E-2</v>
      </c>
      <c r="AT260" s="22">
        <f t="shared" si="62"/>
        <v>-1.4678172069400145E-2</v>
      </c>
      <c r="AU260" s="22">
        <f t="shared" si="62"/>
        <v>-1.4338180596116832E-2</v>
      </c>
      <c r="AV260" s="22">
        <f t="shared" si="62"/>
        <v>-1.4003177540620452E-2</v>
      </c>
      <c r="AW260" s="22">
        <f t="shared" si="62"/>
        <v>-1.367297039065494E-2</v>
      </c>
      <c r="AY260" s="85"/>
    </row>
    <row r="261" spans="1:51" x14ac:dyDescent="0.25">
      <c r="A261" s="102" t="str">
        <f t="shared" si="45"/>
        <v>FA Leaching</v>
      </c>
      <c r="B261" s="102" t="s">
        <v>963</v>
      </c>
      <c r="C261" s="102" t="s">
        <v>1191</v>
      </c>
      <c r="D261" t="s">
        <v>369</v>
      </c>
      <c r="E261" t="s">
        <v>61</v>
      </c>
      <c r="F261" t="s">
        <v>63</v>
      </c>
      <c r="G261" t="s">
        <v>438</v>
      </c>
      <c r="H261" t="s">
        <v>1192</v>
      </c>
      <c r="I261" t="s">
        <v>139</v>
      </c>
      <c r="J261" t="s">
        <v>287</v>
      </c>
      <c r="K261" s="22">
        <f t="shared" si="55"/>
        <v>0</v>
      </c>
      <c r="L261" s="22">
        <f t="shared" si="62"/>
        <v>0</v>
      </c>
      <c r="M261" s="22">
        <f t="shared" si="62"/>
        <v>0</v>
      </c>
      <c r="N261" s="22">
        <f t="shared" si="62"/>
        <v>0</v>
      </c>
      <c r="O261" s="22">
        <f t="shared" ref="L261:AW267" si="63">O1517</f>
        <v>0</v>
      </c>
      <c r="P261" s="22">
        <f t="shared" si="63"/>
        <v>0</v>
      </c>
      <c r="Q261" s="22">
        <f t="shared" si="63"/>
        <v>0</v>
      </c>
      <c r="R261" s="22">
        <f t="shared" si="63"/>
        <v>0</v>
      </c>
      <c r="S261" s="22">
        <f t="shared" si="63"/>
        <v>0</v>
      </c>
      <c r="T261" s="22">
        <f t="shared" si="63"/>
        <v>0</v>
      </c>
      <c r="U261" s="22">
        <f t="shared" si="63"/>
        <v>0</v>
      </c>
      <c r="V261" s="22">
        <f t="shared" si="63"/>
        <v>0</v>
      </c>
      <c r="W261" s="22">
        <f t="shared" si="63"/>
        <v>0</v>
      </c>
      <c r="X261" s="22">
        <f t="shared" si="63"/>
        <v>0</v>
      </c>
      <c r="Y261" s="22">
        <f t="shared" si="63"/>
        <v>0</v>
      </c>
      <c r="Z261" s="22">
        <f t="shared" si="63"/>
        <v>0</v>
      </c>
      <c r="AA261" s="22">
        <f t="shared" si="63"/>
        <v>0</v>
      </c>
      <c r="AB261" s="22">
        <f t="shared" si="63"/>
        <v>0</v>
      </c>
      <c r="AC261" s="22">
        <f t="shared" si="63"/>
        <v>0</v>
      </c>
      <c r="AD261" s="22">
        <f t="shared" si="63"/>
        <v>0</v>
      </c>
      <c r="AE261" s="22">
        <f t="shared" si="63"/>
        <v>0</v>
      </c>
      <c r="AF261" s="22">
        <f t="shared" si="63"/>
        <v>0</v>
      </c>
      <c r="AG261" s="22">
        <f t="shared" si="63"/>
        <v>0</v>
      </c>
      <c r="AH261" s="22">
        <f t="shared" si="63"/>
        <v>0</v>
      </c>
      <c r="AI261" s="22">
        <f t="shared" si="63"/>
        <v>0</v>
      </c>
      <c r="AJ261" s="22">
        <f t="shared" si="63"/>
        <v>0</v>
      </c>
      <c r="AK261" s="22">
        <f t="shared" si="63"/>
        <v>0</v>
      </c>
      <c r="AL261" s="22">
        <f t="shared" si="63"/>
        <v>0</v>
      </c>
      <c r="AM261" s="22">
        <f t="shared" si="63"/>
        <v>0</v>
      </c>
      <c r="AN261" s="22">
        <f t="shared" si="63"/>
        <v>0</v>
      </c>
      <c r="AO261" s="22">
        <f t="shared" si="63"/>
        <v>0</v>
      </c>
      <c r="AP261" s="22">
        <f t="shared" si="63"/>
        <v>0</v>
      </c>
      <c r="AQ261" s="22">
        <f t="shared" si="63"/>
        <v>0</v>
      </c>
      <c r="AR261" s="22">
        <f t="shared" si="63"/>
        <v>0</v>
      </c>
      <c r="AS261" s="22">
        <f t="shared" si="63"/>
        <v>0</v>
      </c>
      <c r="AT261" s="22">
        <f t="shared" si="63"/>
        <v>0</v>
      </c>
      <c r="AU261" s="22">
        <f t="shared" si="63"/>
        <v>0</v>
      </c>
      <c r="AV261" s="22">
        <f t="shared" si="63"/>
        <v>0</v>
      </c>
      <c r="AW261" s="22">
        <f t="shared" si="63"/>
        <v>0</v>
      </c>
      <c r="AY261" s="85"/>
    </row>
    <row r="262" spans="1:51" x14ac:dyDescent="0.25">
      <c r="A262" s="102" t="str">
        <f t="shared" si="45"/>
        <v>FA Leaching</v>
      </c>
      <c r="B262" s="102" t="s">
        <v>963</v>
      </c>
      <c r="C262" s="102" t="s">
        <v>1191</v>
      </c>
      <c r="D262" t="s">
        <v>369</v>
      </c>
      <c r="E262" t="s">
        <v>61</v>
      </c>
      <c r="F262" t="s">
        <v>63</v>
      </c>
      <c r="G262" t="s">
        <v>439</v>
      </c>
      <c r="H262" t="s">
        <v>1193</v>
      </c>
      <c r="I262" t="s">
        <v>139</v>
      </c>
      <c r="J262" t="s">
        <v>287</v>
      </c>
      <c r="K262" s="22">
        <f t="shared" si="55"/>
        <v>0.10175116378121943</v>
      </c>
      <c r="L262" s="22">
        <f t="shared" si="63"/>
        <v>0.10199531862312783</v>
      </c>
      <c r="M262" s="22">
        <f t="shared" si="63"/>
        <v>0.10232895790911103</v>
      </c>
      <c r="N262" s="22">
        <f t="shared" si="63"/>
        <v>0.102571135787432</v>
      </c>
      <c r="O262" s="22">
        <f t="shared" si="63"/>
        <v>0.10268907461035851</v>
      </c>
      <c r="P262" s="22">
        <f t="shared" si="63"/>
        <v>0.10280548137522282</v>
      </c>
      <c r="Q262" s="22">
        <f t="shared" si="63"/>
        <v>0.10298157657140594</v>
      </c>
      <c r="R262" s="22">
        <f t="shared" si="63"/>
        <v>0.10317437501165042</v>
      </c>
      <c r="S262" s="22">
        <f t="shared" si="63"/>
        <v>0.10323747118294155</v>
      </c>
      <c r="T262" s="22">
        <f t="shared" si="63"/>
        <v>0.10207849673523195</v>
      </c>
      <c r="U262" s="22">
        <f t="shared" si="63"/>
        <v>0.10244002007553947</v>
      </c>
      <c r="V262" s="22">
        <f t="shared" si="63"/>
        <v>0.10276505734262262</v>
      </c>
      <c r="W262" s="22">
        <f t="shared" si="63"/>
        <v>0.10308708143869158</v>
      </c>
      <c r="X262" s="22">
        <f t="shared" si="63"/>
        <v>0.10345673156725761</v>
      </c>
      <c r="Y262" s="22">
        <f t="shared" si="63"/>
        <v>0.10382236970947499</v>
      </c>
      <c r="Z262" s="22">
        <f t="shared" si="63"/>
        <v>0.10419308105510718</v>
      </c>
      <c r="AA262" s="22">
        <f t="shared" si="63"/>
        <v>0.1045480129274277</v>
      </c>
      <c r="AB262" s="22">
        <f t="shared" si="63"/>
        <v>0.10491811532698922</v>
      </c>
      <c r="AC262" s="22">
        <f t="shared" si="63"/>
        <v>0.10526191572099161</v>
      </c>
      <c r="AD262" s="22">
        <f t="shared" si="63"/>
        <v>0.10560878304057683</v>
      </c>
      <c r="AE262" s="22">
        <f t="shared" si="63"/>
        <v>0.10601241907328743</v>
      </c>
      <c r="AF262" s="22">
        <f t="shared" si="63"/>
        <v>0.10643853523191582</v>
      </c>
      <c r="AG262" s="22">
        <f t="shared" si="63"/>
        <v>0.10687002645789688</v>
      </c>
      <c r="AH262" s="22">
        <f t="shared" si="63"/>
        <v>0.10695565891506367</v>
      </c>
      <c r="AI262" s="22">
        <f t="shared" si="63"/>
        <v>7.1370603051085779E-2</v>
      </c>
      <c r="AJ262" s="22">
        <f t="shared" si="63"/>
        <v>7.1307647461360521E-2</v>
      </c>
      <c r="AK262" s="22">
        <f t="shared" si="63"/>
        <v>7.1244029161657008E-2</v>
      </c>
      <c r="AL262" s="22">
        <f t="shared" si="63"/>
        <v>7.1179739022300959E-2</v>
      </c>
      <c r="AM262" s="22">
        <f t="shared" si="63"/>
        <v>7.1114767741896984E-2</v>
      </c>
      <c r="AN262" s="22">
        <f t="shared" si="63"/>
        <v>7.1049105843042956E-2</v>
      </c>
      <c r="AO262" s="22">
        <f t="shared" si="63"/>
        <v>7.0992821484352875E-2</v>
      </c>
      <c r="AP262" s="22">
        <f t="shared" si="63"/>
        <v>7.0936026569640209E-2</v>
      </c>
      <c r="AQ262" s="22">
        <f t="shared" si="63"/>
        <v>7.0878714989935504E-2</v>
      </c>
      <c r="AR262" s="22">
        <f t="shared" si="63"/>
        <v>7.0820880536048819E-2</v>
      </c>
      <c r="AS262" s="22">
        <f t="shared" si="63"/>
        <v>7.0762516896386879E-2</v>
      </c>
      <c r="AT262" s="22">
        <f t="shared" si="63"/>
        <v>7.0714119633319514E-2</v>
      </c>
      <c r="AU262" s="22">
        <f t="shared" si="63"/>
        <v>7.0665356530577775E-2</v>
      </c>
      <c r="AV262" s="22">
        <f t="shared" si="63"/>
        <v>7.0616223915862988E-2</v>
      </c>
      <c r="AW262" s="22">
        <f t="shared" si="63"/>
        <v>7.0566718066166448E-2</v>
      </c>
      <c r="AY262" s="85"/>
    </row>
    <row r="263" spans="1:51" x14ac:dyDescent="0.25">
      <c r="A263" s="102" t="str">
        <f t="shared" si="45"/>
        <v>FA Leaching</v>
      </c>
      <c r="B263" s="102" t="s">
        <v>963</v>
      </c>
      <c r="C263" s="102" t="s">
        <v>1191</v>
      </c>
      <c r="D263" t="s">
        <v>369</v>
      </c>
      <c r="E263" t="s">
        <v>61</v>
      </c>
      <c r="F263" t="s">
        <v>63</v>
      </c>
      <c r="G263" t="s">
        <v>1194</v>
      </c>
      <c r="H263" t="s">
        <v>1195</v>
      </c>
      <c r="I263" t="s">
        <v>139</v>
      </c>
      <c r="J263" t="s">
        <v>287</v>
      </c>
      <c r="K263" s="22" t="str">
        <f t="shared" si="55"/>
        <v>NO</v>
      </c>
      <c r="L263" s="22" t="str">
        <f t="shared" si="63"/>
        <v>NO</v>
      </c>
      <c r="M263" s="22" t="str">
        <f t="shared" si="63"/>
        <v>NO</v>
      </c>
      <c r="N263" s="22" t="str">
        <f t="shared" si="63"/>
        <v>NO</v>
      </c>
      <c r="O263" s="22" t="str">
        <f t="shared" si="63"/>
        <v>NO</v>
      </c>
      <c r="P263" s="22" t="str">
        <f t="shared" si="63"/>
        <v>NO</v>
      </c>
      <c r="Q263" s="22" t="str">
        <f t="shared" si="63"/>
        <v>NO</v>
      </c>
      <c r="R263" s="22" t="str">
        <f t="shared" si="63"/>
        <v>NO</v>
      </c>
      <c r="S263" s="22" t="str">
        <f t="shared" si="63"/>
        <v>NO</v>
      </c>
      <c r="T263" s="22" t="str">
        <f t="shared" si="63"/>
        <v>NO</v>
      </c>
      <c r="U263" s="22" t="str">
        <f t="shared" si="63"/>
        <v>NO</v>
      </c>
      <c r="V263" s="22" t="str">
        <f t="shared" si="63"/>
        <v>NO</v>
      </c>
      <c r="W263" s="22" t="str">
        <f t="shared" si="63"/>
        <v>NO</v>
      </c>
      <c r="X263" s="22" t="str">
        <f t="shared" si="63"/>
        <v>NO</v>
      </c>
      <c r="Y263" s="22" t="str">
        <f t="shared" si="63"/>
        <v>NO</v>
      </c>
      <c r="Z263" s="22" t="str">
        <f t="shared" si="63"/>
        <v>NO</v>
      </c>
      <c r="AA263" s="22" t="str">
        <f t="shared" si="63"/>
        <v>NO</v>
      </c>
      <c r="AB263" s="22" t="str">
        <f t="shared" si="63"/>
        <v>NO</v>
      </c>
      <c r="AC263" s="22" t="str">
        <f t="shared" si="63"/>
        <v>NO</v>
      </c>
      <c r="AD263" s="22" t="str">
        <f t="shared" si="63"/>
        <v>NO</v>
      </c>
      <c r="AE263" s="22" t="str">
        <f t="shared" si="63"/>
        <v>NO</v>
      </c>
      <c r="AF263" s="22" t="str">
        <f t="shared" si="63"/>
        <v>NO</v>
      </c>
      <c r="AG263" s="22" t="str">
        <f t="shared" si="63"/>
        <v>NO</v>
      </c>
      <c r="AH263" s="22" t="str">
        <f t="shared" si="63"/>
        <v>NO</v>
      </c>
      <c r="AI263" s="22" t="str">
        <f t="shared" si="63"/>
        <v>NO</v>
      </c>
      <c r="AJ263" s="22" t="str">
        <f t="shared" si="63"/>
        <v>NO</v>
      </c>
      <c r="AK263" s="22" t="str">
        <f t="shared" si="63"/>
        <v>NO</v>
      </c>
      <c r="AL263" s="22" t="str">
        <f t="shared" si="63"/>
        <v>NO</v>
      </c>
      <c r="AM263" s="22" t="str">
        <f t="shared" si="63"/>
        <v>NO</v>
      </c>
      <c r="AN263" s="22" t="str">
        <f t="shared" si="63"/>
        <v>NO</v>
      </c>
      <c r="AO263" s="22" t="str">
        <f t="shared" si="63"/>
        <v>NO</v>
      </c>
      <c r="AP263" s="22" t="str">
        <f t="shared" si="63"/>
        <v>NO</v>
      </c>
      <c r="AQ263" s="22" t="str">
        <f t="shared" si="63"/>
        <v>NO</v>
      </c>
      <c r="AR263" s="22" t="str">
        <f t="shared" si="63"/>
        <v>NO</v>
      </c>
      <c r="AS263" s="22" t="str">
        <f t="shared" si="63"/>
        <v>NO</v>
      </c>
      <c r="AT263" s="22" t="str">
        <f t="shared" si="63"/>
        <v>NO</v>
      </c>
      <c r="AU263" s="22" t="str">
        <f t="shared" si="63"/>
        <v>NO</v>
      </c>
      <c r="AV263" s="22" t="str">
        <f t="shared" si="63"/>
        <v>NO</v>
      </c>
      <c r="AW263" s="22" t="str">
        <f t="shared" si="63"/>
        <v>NO</v>
      </c>
      <c r="AY263" s="85"/>
    </row>
    <row r="264" spans="1:51" x14ac:dyDescent="0.25">
      <c r="A264" s="102" t="str">
        <f t="shared" si="45"/>
        <v>FA Leaching</v>
      </c>
      <c r="B264" s="102" t="s">
        <v>963</v>
      </c>
      <c r="C264" s="102" t="s">
        <v>1191</v>
      </c>
      <c r="D264" t="s">
        <v>369</v>
      </c>
      <c r="E264" t="s">
        <v>61</v>
      </c>
      <c r="F264" t="s">
        <v>63</v>
      </c>
      <c r="G264" t="s">
        <v>1196</v>
      </c>
      <c r="H264" t="s">
        <v>1197</v>
      </c>
      <c r="I264" t="s">
        <v>139</v>
      </c>
      <c r="J264" t="s">
        <v>287</v>
      </c>
      <c r="K264" s="22" t="str">
        <f t="shared" si="55"/>
        <v>NO</v>
      </c>
      <c r="L264" s="22" t="str">
        <f t="shared" si="63"/>
        <v>NO</v>
      </c>
      <c r="M264" s="22" t="str">
        <f t="shared" si="63"/>
        <v>NO</v>
      </c>
      <c r="N264" s="22" t="str">
        <f t="shared" si="63"/>
        <v>NO</v>
      </c>
      <c r="O264" s="22" t="str">
        <f t="shared" si="63"/>
        <v>NO</v>
      </c>
      <c r="P264" s="22" t="str">
        <f t="shared" si="63"/>
        <v>NO</v>
      </c>
      <c r="Q264" s="22" t="str">
        <f t="shared" si="63"/>
        <v>NO</v>
      </c>
      <c r="R264" s="22" t="str">
        <f t="shared" si="63"/>
        <v>NO</v>
      </c>
      <c r="S264" s="22" t="str">
        <f t="shared" si="63"/>
        <v>NO</v>
      </c>
      <c r="T264" s="22" t="str">
        <f t="shared" si="63"/>
        <v>NO</v>
      </c>
      <c r="U264" s="22" t="str">
        <f t="shared" si="63"/>
        <v>NO</v>
      </c>
      <c r="V264" s="22" t="str">
        <f t="shared" si="63"/>
        <v>NO</v>
      </c>
      <c r="W264" s="22" t="str">
        <f t="shared" si="63"/>
        <v>NO</v>
      </c>
      <c r="X264" s="22" t="str">
        <f t="shared" si="63"/>
        <v>NO</v>
      </c>
      <c r="Y264" s="22" t="str">
        <f t="shared" si="63"/>
        <v>NO</v>
      </c>
      <c r="Z264" s="22" t="str">
        <f t="shared" si="63"/>
        <v>NO</v>
      </c>
      <c r="AA264" s="22" t="str">
        <f t="shared" si="63"/>
        <v>NO</v>
      </c>
      <c r="AB264" s="22" t="str">
        <f t="shared" si="63"/>
        <v>NO</v>
      </c>
      <c r="AC264" s="22" t="str">
        <f t="shared" si="63"/>
        <v>NO</v>
      </c>
      <c r="AD264" s="22" t="str">
        <f t="shared" si="63"/>
        <v>NO</v>
      </c>
      <c r="AE264" s="22" t="str">
        <f t="shared" si="63"/>
        <v>NO</v>
      </c>
      <c r="AF264" s="22" t="str">
        <f t="shared" si="63"/>
        <v>NO</v>
      </c>
      <c r="AG264" s="22" t="str">
        <f t="shared" si="63"/>
        <v>NO</v>
      </c>
      <c r="AH264" s="22" t="str">
        <f t="shared" si="63"/>
        <v>NO</v>
      </c>
      <c r="AI264" s="22" t="str">
        <f t="shared" si="63"/>
        <v>NO</v>
      </c>
      <c r="AJ264" s="22" t="str">
        <f t="shared" si="63"/>
        <v>NO</v>
      </c>
      <c r="AK264" s="22" t="str">
        <f t="shared" si="63"/>
        <v>NO</v>
      </c>
      <c r="AL264" s="22" t="str">
        <f t="shared" si="63"/>
        <v>NO</v>
      </c>
      <c r="AM264" s="22" t="str">
        <f t="shared" si="63"/>
        <v>NO</v>
      </c>
      <c r="AN264" s="22" t="str">
        <f t="shared" si="63"/>
        <v>NO</v>
      </c>
      <c r="AO264" s="22" t="str">
        <f t="shared" si="63"/>
        <v>NO</v>
      </c>
      <c r="AP264" s="22" t="str">
        <f t="shared" si="63"/>
        <v>NO</v>
      </c>
      <c r="AQ264" s="22" t="str">
        <f t="shared" si="63"/>
        <v>NO</v>
      </c>
      <c r="AR264" s="22" t="str">
        <f t="shared" si="63"/>
        <v>NO</v>
      </c>
      <c r="AS264" s="22" t="str">
        <f t="shared" si="63"/>
        <v>NO</v>
      </c>
      <c r="AT264" s="22" t="str">
        <f t="shared" si="63"/>
        <v>NO</v>
      </c>
      <c r="AU264" s="22" t="str">
        <f t="shared" si="63"/>
        <v>NO</v>
      </c>
      <c r="AV264" s="22" t="str">
        <f t="shared" si="63"/>
        <v>NO</v>
      </c>
      <c r="AW264" s="22" t="str">
        <f t="shared" si="63"/>
        <v>NO</v>
      </c>
      <c r="AY264" s="85"/>
    </row>
    <row r="265" spans="1:51" x14ac:dyDescent="0.25">
      <c r="A265" s="102" t="str">
        <f t="shared" si="45"/>
        <v>FA Leaching</v>
      </c>
      <c r="B265" s="102" t="s">
        <v>963</v>
      </c>
      <c r="C265" s="102" t="s">
        <v>1191</v>
      </c>
      <c r="D265" t="s">
        <v>369</v>
      </c>
      <c r="E265" t="s">
        <v>61</v>
      </c>
      <c r="F265" t="s">
        <v>63</v>
      </c>
      <c r="G265" t="s">
        <v>1198</v>
      </c>
      <c r="H265" t="s">
        <v>1199</v>
      </c>
      <c r="I265" t="s">
        <v>139</v>
      </c>
      <c r="J265" t="s">
        <v>287</v>
      </c>
      <c r="K265" s="22">
        <f t="shared" si="55"/>
        <v>1.1867590793806392E-4</v>
      </c>
      <c r="L265" s="22">
        <f t="shared" si="63"/>
        <v>1.1853617037070301E-4</v>
      </c>
      <c r="M265" s="22">
        <f t="shared" si="63"/>
        <v>1.1839643280334203E-4</v>
      </c>
      <c r="N265" s="22">
        <f t="shared" si="63"/>
        <v>1.1825669523598106E-4</v>
      </c>
      <c r="O265" s="22">
        <f t="shared" si="63"/>
        <v>1.1811695766862012E-4</v>
      </c>
      <c r="P265" s="22">
        <f t="shared" si="63"/>
        <v>1.1797722010125916E-4</v>
      </c>
      <c r="Q265" s="22">
        <f t="shared" si="63"/>
        <v>1.178374825338982E-4</v>
      </c>
      <c r="R265" s="22">
        <f t="shared" si="63"/>
        <v>1.1769774496653728E-4</v>
      </c>
      <c r="S265" s="22">
        <f t="shared" si="63"/>
        <v>1.1755800739917633E-4</v>
      </c>
      <c r="T265" s="22">
        <f t="shared" si="63"/>
        <v>1.174182698318154E-4</v>
      </c>
      <c r="U265" s="22">
        <f t="shared" si="63"/>
        <v>1.1727853226445441E-4</v>
      </c>
      <c r="V265" s="22">
        <f t="shared" si="63"/>
        <v>1.1713879469709348E-4</v>
      </c>
      <c r="W265" s="22">
        <f t="shared" si="63"/>
        <v>1.1699905712973254E-4</v>
      </c>
      <c r="X265" s="22">
        <f t="shared" si="63"/>
        <v>1.168593195623716E-4</v>
      </c>
      <c r="Y265" s="22">
        <f t="shared" si="63"/>
        <v>1.1671958199501069E-4</v>
      </c>
      <c r="Z265" s="22">
        <f t="shared" si="63"/>
        <v>1.1657984442764968E-4</v>
      </c>
      <c r="AA265" s="22">
        <f t="shared" si="63"/>
        <v>1.1644010686028878E-4</v>
      </c>
      <c r="AB265" s="22">
        <f t="shared" si="63"/>
        <v>1.1630036929292779E-4</v>
      </c>
      <c r="AC265" s="22">
        <f t="shared" si="63"/>
        <v>1.1616063172556689E-4</v>
      </c>
      <c r="AD265" s="22">
        <f t="shared" si="63"/>
        <v>1.1602089415820588E-4</v>
      </c>
      <c r="AE265" s="22">
        <f t="shared" si="63"/>
        <v>1.1588115659084502E-4</v>
      </c>
      <c r="AF265" s="22">
        <f t="shared" si="63"/>
        <v>1.1574141902348403E-4</v>
      </c>
      <c r="AG265" s="22">
        <f t="shared" si="63"/>
        <v>1.1560168145612309E-4</v>
      </c>
      <c r="AH265" s="22">
        <f t="shared" si="63"/>
        <v>1.154619438887621E-4</v>
      </c>
      <c r="AI265" s="22">
        <f t="shared" si="63"/>
        <v>1.1532220632140118E-4</v>
      </c>
      <c r="AJ265" s="22">
        <f t="shared" si="63"/>
        <v>1.1518246875404022E-4</v>
      </c>
      <c r="AK265" s="22">
        <f t="shared" si="63"/>
        <v>1.1504273118667928E-4</v>
      </c>
      <c r="AL265" s="22">
        <f t="shared" si="63"/>
        <v>1.1490299361931835E-4</v>
      </c>
      <c r="AM265" s="22">
        <f t="shared" si="63"/>
        <v>1.1476325605195744E-4</v>
      </c>
      <c r="AN265" s="22">
        <f t="shared" si="63"/>
        <v>1.1462351848459642E-4</v>
      </c>
      <c r="AO265" s="22">
        <f t="shared" si="63"/>
        <v>1.1448378091723552E-4</v>
      </c>
      <c r="AP265" s="22">
        <f t="shared" si="63"/>
        <v>1.1434404334987458E-4</v>
      </c>
      <c r="AQ265" s="22">
        <f t="shared" si="63"/>
        <v>1.1420430578251366E-4</v>
      </c>
      <c r="AR265" s="22">
        <f t="shared" si="63"/>
        <v>1.1406456821515268E-4</v>
      </c>
      <c r="AS265" s="22">
        <f t="shared" si="63"/>
        <v>1.1392483064779174E-4</v>
      </c>
      <c r="AT265" s="22">
        <f t="shared" si="63"/>
        <v>1.1378509308043078E-4</v>
      </c>
      <c r="AU265" s="22">
        <f t="shared" si="63"/>
        <v>1.136453555130698E-4</v>
      </c>
      <c r="AV265" s="22">
        <f t="shared" si="63"/>
        <v>1.1350561794570888E-4</v>
      </c>
      <c r="AW265" s="22">
        <f t="shared" si="63"/>
        <v>1.1336588037834792E-4</v>
      </c>
      <c r="AY265" s="85"/>
    </row>
    <row r="266" spans="1:51" x14ac:dyDescent="0.25">
      <c r="A266" s="102" t="str">
        <f t="shared" si="45"/>
        <v>FA Leaching</v>
      </c>
      <c r="B266" s="102" t="s">
        <v>963</v>
      </c>
      <c r="C266" s="102" t="s">
        <v>1191</v>
      </c>
      <c r="D266" t="s">
        <v>369</v>
      </c>
      <c r="E266" t="s">
        <v>61</v>
      </c>
      <c r="F266" t="s">
        <v>63</v>
      </c>
      <c r="G266" t="s">
        <v>1200</v>
      </c>
      <c r="H266" t="s">
        <v>1201</v>
      </c>
      <c r="I266" t="s">
        <v>139</v>
      </c>
      <c r="J266" t="s">
        <v>287</v>
      </c>
      <c r="K266" s="22">
        <f t="shared" si="55"/>
        <v>1.6912231388729011E-2</v>
      </c>
      <c r="L266" s="22">
        <f t="shared" si="63"/>
        <v>1.6951420148247919E-2</v>
      </c>
      <c r="M266" s="22">
        <f t="shared" si="63"/>
        <v>1.6990608907766828E-2</v>
      </c>
      <c r="N266" s="22">
        <f t="shared" si="63"/>
        <v>1.702979766728574E-2</v>
      </c>
      <c r="O266" s="22">
        <f t="shared" si="63"/>
        <v>1.7068986426804648E-2</v>
      </c>
      <c r="P266" s="22">
        <f t="shared" si="63"/>
        <v>1.7108175186323554E-2</v>
      </c>
      <c r="Q266" s="22">
        <f t="shared" si="63"/>
        <v>1.7147363945842466E-2</v>
      </c>
      <c r="R266" s="22">
        <f t="shared" si="63"/>
        <v>1.7186552705361371E-2</v>
      </c>
      <c r="S266" s="22">
        <f t="shared" si="63"/>
        <v>1.7225741464880276E-2</v>
      </c>
      <c r="T266" s="22">
        <f t="shared" si="63"/>
        <v>1.7264930224399191E-2</v>
      </c>
      <c r="U266" s="22">
        <f t="shared" si="63"/>
        <v>1.7304118983918097E-2</v>
      </c>
      <c r="V266" s="22">
        <f t="shared" si="63"/>
        <v>1.7343307743437009E-2</v>
      </c>
      <c r="W266" s="22">
        <f t="shared" si="63"/>
        <v>1.7382496502955917E-2</v>
      </c>
      <c r="X266" s="22">
        <f t="shared" si="63"/>
        <v>1.7421685262474829E-2</v>
      </c>
      <c r="Y266" s="22">
        <f t="shared" si="63"/>
        <v>1.7460874021993734E-2</v>
      </c>
      <c r="Z266" s="22">
        <f t="shared" si="63"/>
        <v>1.750006278151265E-2</v>
      </c>
      <c r="AA266" s="22">
        <f t="shared" si="63"/>
        <v>1.7539251541031548E-2</v>
      </c>
      <c r="AB266" s="22">
        <f t="shared" si="63"/>
        <v>1.7578440300550464E-2</v>
      </c>
      <c r="AC266" s="22">
        <f t="shared" si="63"/>
        <v>1.7617629060069376E-2</v>
      </c>
      <c r="AD266" s="22">
        <f t="shared" si="63"/>
        <v>1.7656817819588281E-2</v>
      </c>
      <c r="AE266" s="22">
        <f t="shared" si="63"/>
        <v>1.769600657910719E-2</v>
      </c>
      <c r="AF266" s="22">
        <f t="shared" si="63"/>
        <v>1.7735195338626102E-2</v>
      </c>
      <c r="AG266" s="22">
        <f t="shared" si="63"/>
        <v>1.777438409814501E-2</v>
      </c>
      <c r="AH266" s="22">
        <f t="shared" si="63"/>
        <v>1.7813572857663919E-2</v>
      </c>
      <c r="AI266" s="22">
        <f t="shared" si="63"/>
        <v>1.7852761617182831E-2</v>
      </c>
      <c r="AJ266" s="22">
        <f t="shared" si="63"/>
        <v>1.7891950376701736E-2</v>
      </c>
      <c r="AK266" s="22">
        <f t="shared" si="63"/>
        <v>1.7931139136220645E-2</v>
      </c>
      <c r="AL266" s="22">
        <f t="shared" si="63"/>
        <v>1.7970327895739557E-2</v>
      </c>
      <c r="AM266" s="22">
        <f t="shared" si="63"/>
        <v>1.8009516655258465E-2</v>
      </c>
      <c r="AN266" s="22">
        <f t="shared" si="63"/>
        <v>1.8048705414777374E-2</v>
      </c>
      <c r="AO266" s="22">
        <f t="shared" si="63"/>
        <v>1.8087894174296286E-2</v>
      </c>
      <c r="AP266" s="22">
        <f t="shared" si="63"/>
        <v>1.8127082933815188E-2</v>
      </c>
      <c r="AQ266" s="22">
        <f t="shared" si="63"/>
        <v>1.8166271693334096E-2</v>
      </c>
      <c r="AR266" s="22">
        <f t="shared" si="63"/>
        <v>1.8205460452853015E-2</v>
      </c>
      <c r="AS266" s="22">
        <f t="shared" si="63"/>
        <v>1.8244649212371917E-2</v>
      </c>
      <c r="AT266" s="22">
        <f t="shared" si="63"/>
        <v>1.8283837971890825E-2</v>
      </c>
      <c r="AU266" s="22">
        <f t="shared" si="63"/>
        <v>1.8323026731409734E-2</v>
      </c>
      <c r="AV266" s="22">
        <f t="shared" si="63"/>
        <v>1.8362215490928643E-2</v>
      </c>
      <c r="AW266" s="22">
        <f t="shared" si="63"/>
        <v>1.8401404250447555E-2</v>
      </c>
      <c r="AY266" s="85"/>
    </row>
    <row r="267" spans="1:51" x14ac:dyDescent="0.25">
      <c r="A267" s="102" t="str">
        <f t="shared" si="45"/>
        <v>FA Leaching</v>
      </c>
      <c r="B267" s="102" t="s">
        <v>963</v>
      </c>
      <c r="C267" s="102" t="s">
        <v>1191</v>
      </c>
      <c r="D267" t="s">
        <v>369</v>
      </c>
      <c r="E267" t="s">
        <v>61</v>
      </c>
      <c r="F267" t="s">
        <v>63</v>
      </c>
      <c r="G267" t="s">
        <v>1202</v>
      </c>
      <c r="H267" t="s">
        <v>1203</v>
      </c>
      <c r="I267" t="s">
        <v>139</v>
      </c>
      <c r="J267" t="s">
        <v>287</v>
      </c>
      <c r="K267" s="22">
        <f t="shared" si="55"/>
        <v>1.9871041213735664E-2</v>
      </c>
      <c r="L267" s="22">
        <f t="shared" si="63"/>
        <v>1.9871041213735664E-2</v>
      </c>
      <c r="M267" s="22">
        <f t="shared" si="63"/>
        <v>1.9871041213735664E-2</v>
      </c>
      <c r="N267" s="22">
        <f t="shared" si="63"/>
        <v>1.9871041213735664E-2</v>
      </c>
      <c r="O267" s="22">
        <f t="shared" si="63"/>
        <v>1.9871041213735664E-2</v>
      </c>
      <c r="P267" s="22">
        <f t="shared" si="63"/>
        <v>1.9871041213735664E-2</v>
      </c>
      <c r="Q267" s="22">
        <f t="shared" si="63"/>
        <v>1.9871041213735664E-2</v>
      </c>
      <c r="R267" s="22">
        <f t="shared" si="63"/>
        <v>1.9871041213735664E-2</v>
      </c>
      <c r="S267" s="22">
        <f t="shared" si="63"/>
        <v>1.9871041213735664E-2</v>
      </c>
      <c r="T267" s="22">
        <f t="shared" si="63"/>
        <v>1.9871041213735664E-2</v>
      </c>
      <c r="U267" s="22">
        <f t="shared" si="63"/>
        <v>1.9871041213735664E-2</v>
      </c>
      <c r="V267" s="22">
        <f t="shared" si="63"/>
        <v>1.9871041213735664E-2</v>
      </c>
      <c r="W267" s="22">
        <f t="shared" si="63"/>
        <v>1.9871041213735664E-2</v>
      </c>
      <c r="X267" s="22">
        <f t="shared" si="63"/>
        <v>1.9871041213735664E-2</v>
      </c>
      <c r="Y267" s="22">
        <f t="shared" si="63"/>
        <v>1.9871041213735664E-2</v>
      </c>
      <c r="Z267" s="22">
        <f t="shared" si="63"/>
        <v>1.9871041213735664E-2</v>
      </c>
      <c r="AA267" s="22">
        <f t="shared" si="63"/>
        <v>1.9871041213735664E-2</v>
      </c>
      <c r="AB267" s="22">
        <f t="shared" si="63"/>
        <v>1.9871041213735664E-2</v>
      </c>
      <c r="AC267" s="22">
        <f t="shared" si="63"/>
        <v>1.9871041213735664E-2</v>
      </c>
      <c r="AD267" s="22">
        <f t="shared" si="63"/>
        <v>1.9871041213735664E-2</v>
      </c>
      <c r="AE267" s="22">
        <f t="shared" si="63"/>
        <v>1.9871041213735664E-2</v>
      </c>
      <c r="AF267" s="22">
        <f t="shared" si="63"/>
        <v>1.9871041213735664E-2</v>
      </c>
      <c r="AG267" s="22">
        <f t="shared" si="63"/>
        <v>1.9871041213735664E-2</v>
      </c>
      <c r="AH267" s="22">
        <f t="shared" si="63"/>
        <v>1.9871041213735664E-2</v>
      </c>
      <c r="AI267" s="22">
        <f t="shared" si="63"/>
        <v>1.9871041213735664E-2</v>
      </c>
      <c r="AJ267" s="22">
        <f t="shared" si="63"/>
        <v>1.9871041213735664E-2</v>
      </c>
      <c r="AK267" s="22">
        <f t="shared" si="63"/>
        <v>1.9871041213735664E-2</v>
      </c>
      <c r="AL267" s="22">
        <f t="shared" si="63"/>
        <v>1.9871041213735664E-2</v>
      </c>
      <c r="AM267" s="22">
        <f t="shared" si="63"/>
        <v>1.9871041213735664E-2</v>
      </c>
      <c r="AN267" s="22">
        <f t="shared" si="63"/>
        <v>1.9871041213735664E-2</v>
      </c>
      <c r="AO267" s="22">
        <f t="shared" si="63"/>
        <v>1.9871041213735664E-2</v>
      </c>
      <c r="AP267" s="22">
        <f t="shared" ref="L267:AW274" si="64">AP1523</f>
        <v>1.9871041213735664E-2</v>
      </c>
      <c r="AQ267" s="22">
        <f t="shared" si="64"/>
        <v>1.9871041213735664E-2</v>
      </c>
      <c r="AR267" s="22">
        <f t="shared" si="64"/>
        <v>1.9871041213735664E-2</v>
      </c>
      <c r="AS267" s="22">
        <f t="shared" si="64"/>
        <v>1.9871041213735664E-2</v>
      </c>
      <c r="AT267" s="22">
        <f t="shared" si="64"/>
        <v>1.9871041213735664E-2</v>
      </c>
      <c r="AU267" s="22">
        <f t="shared" si="64"/>
        <v>1.9871041213735664E-2</v>
      </c>
      <c r="AV267" s="22">
        <f t="shared" si="64"/>
        <v>1.9871041213735664E-2</v>
      </c>
      <c r="AW267" s="22">
        <f t="shared" si="64"/>
        <v>1.9871041213735664E-2</v>
      </c>
      <c r="AY267" s="85"/>
    </row>
    <row r="268" spans="1:51" x14ac:dyDescent="0.25">
      <c r="A268" s="102" t="str">
        <f t="shared" si="45"/>
        <v>FA Leaching</v>
      </c>
      <c r="B268" s="102" t="s">
        <v>963</v>
      </c>
      <c r="C268" s="102" t="s">
        <v>1191</v>
      </c>
      <c r="D268" t="s">
        <v>369</v>
      </c>
      <c r="E268" t="s">
        <v>61</v>
      </c>
      <c r="F268" t="s">
        <v>63</v>
      </c>
      <c r="G268" t="s">
        <v>1204</v>
      </c>
      <c r="H268" t="s">
        <v>1205</v>
      </c>
      <c r="I268" t="s">
        <v>139</v>
      </c>
      <c r="J268" t="s">
        <v>287</v>
      </c>
      <c r="K268" s="22" t="str">
        <f t="shared" si="55"/>
        <v>NO</v>
      </c>
      <c r="L268" s="22" t="str">
        <f t="shared" si="64"/>
        <v>NO</v>
      </c>
      <c r="M268" s="22" t="str">
        <f t="shared" si="64"/>
        <v>NO</v>
      </c>
      <c r="N268" s="22" t="str">
        <f t="shared" si="64"/>
        <v>NO</v>
      </c>
      <c r="O268" s="22" t="str">
        <f t="shared" si="64"/>
        <v>NO</v>
      </c>
      <c r="P268" s="22" t="str">
        <f t="shared" si="64"/>
        <v>NO</v>
      </c>
      <c r="Q268" s="22" t="str">
        <f t="shared" si="64"/>
        <v>NO</v>
      </c>
      <c r="R268" s="22" t="str">
        <f t="shared" si="64"/>
        <v>NO</v>
      </c>
      <c r="S268" s="22" t="str">
        <f t="shared" si="64"/>
        <v>NO</v>
      </c>
      <c r="T268" s="22" t="str">
        <f t="shared" si="64"/>
        <v>NO</v>
      </c>
      <c r="U268" s="22" t="str">
        <f t="shared" si="64"/>
        <v>NO</v>
      </c>
      <c r="V268" s="22" t="str">
        <f t="shared" si="64"/>
        <v>NO</v>
      </c>
      <c r="W268" s="22" t="str">
        <f t="shared" si="64"/>
        <v>NO</v>
      </c>
      <c r="X268" s="22" t="str">
        <f t="shared" si="64"/>
        <v>NO</v>
      </c>
      <c r="Y268" s="22" t="str">
        <f t="shared" si="64"/>
        <v>NO</v>
      </c>
      <c r="Z268" s="22" t="str">
        <f t="shared" si="64"/>
        <v>NO</v>
      </c>
      <c r="AA268" s="22" t="str">
        <f t="shared" si="64"/>
        <v>NO</v>
      </c>
      <c r="AB268" s="22" t="str">
        <f t="shared" si="64"/>
        <v>NO</v>
      </c>
      <c r="AC268" s="22" t="str">
        <f t="shared" si="64"/>
        <v>NO</v>
      </c>
      <c r="AD268" s="22" t="str">
        <f t="shared" si="64"/>
        <v>NO</v>
      </c>
      <c r="AE268" s="22" t="str">
        <f t="shared" si="64"/>
        <v>NO</v>
      </c>
      <c r="AF268" s="22" t="str">
        <f t="shared" si="64"/>
        <v>NO</v>
      </c>
      <c r="AG268" s="22" t="str">
        <f t="shared" si="64"/>
        <v>NO</v>
      </c>
      <c r="AH268" s="22" t="str">
        <f t="shared" si="64"/>
        <v>NO</v>
      </c>
      <c r="AI268" s="22" t="str">
        <f t="shared" si="64"/>
        <v>NO</v>
      </c>
      <c r="AJ268" s="22" t="str">
        <f t="shared" si="64"/>
        <v>NO</v>
      </c>
      <c r="AK268" s="22" t="str">
        <f t="shared" si="64"/>
        <v>NO</v>
      </c>
      <c r="AL268" s="22" t="str">
        <f t="shared" si="64"/>
        <v>NO</v>
      </c>
      <c r="AM268" s="22" t="str">
        <f t="shared" si="64"/>
        <v>NO</v>
      </c>
      <c r="AN268" s="22" t="str">
        <f t="shared" si="64"/>
        <v>NO</v>
      </c>
      <c r="AO268" s="22" t="str">
        <f t="shared" si="64"/>
        <v>NO</v>
      </c>
      <c r="AP268" s="22" t="str">
        <f t="shared" si="64"/>
        <v>NO</v>
      </c>
      <c r="AQ268" s="22" t="str">
        <f t="shared" si="64"/>
        <v>NO</v>
      </c>
      <c r="AR268" s="22" t="str">
        <f t="shared" si="64"/>
        <v>NO</v>
      </c>
      <c r="AS268" s="22" t="str">
        <f t="shared" si="64"/>
        <v>NO</v>
      </c>
      <c r="AT268" s="22" t="str">
        <f t="shared" si="64"/>
        <v>NO</v>
      </c>
      <c r="AU268" s="22" t="str">
        <f t="shared" si="64"/>
        <v>NO</v>
      </c>
      <c r="AV268" s="22" t="str">
        <f t="shared" si="64"/>
        <v>NO</v>
      </c>
      <c r="AW268" s="22" t="str">
        <f t="shared" si="64"/>
        <v>NO</v>
      </c>
      <c r="AY268" s="85"/>
    </row>
    <row r="269" spans="1:51" x14ac:dyDescent="0.25">
      <c r="A269" s="102" t="str">
        <f t="shared" si="45"/>
        <v>FA Leaching</v>
      </c>
      <c r="B269" s="102" t="s">
        <v>963</v>
      </c>
      <c r="C269" s="102" t="s">
        <v>1191</v>
      </c>
      <c r="D269" t="s">
        <v>369</v>
      </c>
      <c r="E269" t="s">
        <v>61</v>
      </c>
      <c r="F269" t="s">
        <v>63</v>
      </c>
      <c r="G269" t="s">
        <v>1206</v>
      </c>
      <c r="H269" t="s">
        <v>1207</v>
      </c>
      <c r="I269" t="s">
        <v>139</v>
      </c>
      <c r="J269" t="s">
        <v>287</v>
      </c>
      <c r="K269" s="22" t="str">
        <f t="shared" si="55"/>
        <v>NO</v>
      </c>
      <c r="L269" s="22" t="str">
        <f t="shared" si="64"/>
        <v>NO</v>
      </c>
      <c r="M269" s="22" t="str">
        <f t="shared" si="64"/>
        <v>NO</v>
      </c>
      <c r="N269" s="22" t="str">
        <f t="shared" si="64"/>
        <v>NO</v>
      </c>
      <c r="O269" s="22" t="str">
        <f t="shared" si="64"/>
        <v>NO</v>
      </c>
      <c r="P269" s="22" t="str">
        <f t="shared" si="64"/>
        <v>NO</v>
      </c>
      <c r="Q269" s="22" t="str">
        <f t="shared" si="64"/>
        <v>NO</v>
      </c>
      <c r="R269" s="22" t="str">
        <f t="shared" si="64"/>
        <v>NO</v>
      </c>
      <c r="S269" s="22" t="str">
        <f t="shared" si="64"/>
        <v>NO</v>
      </c>
      <c r="T269" s="22" t="str">
        <f t="shared" si="64"/>
        <v>NO</v>
      </c>
      <c r="U269" s="22" t="str">
        <f t="shared" si="64"/>
        <v>NO</v>
      </c>
      <c r="V269" s="22" t="str">
        <f t="shared" si="64"/>
        <v>NO</v>
      </c>
      <c r="W269" s="22" t="str">
        <f t="shared" si="64"/>
        <v>NO</v>
      </c>
      <c r="X269" s="22" t="str">
        <f t="shared" si="64"/>
        <v>NO</v>
      </c>
      <c r="Y269" s="22" t="str">
        <f t="shared" si="64"/>
        <v>NO</v>
      </c>
      <c r="Z269" s="22" t="str">
        <f t="shared" si="64"/>
        <v>NO</v>
      </c>
      <c r="AA269" s="22" t="str">
        <f t="shared" si="64"/>
        <v>NO</v>
      </c>
      <c r="AB269" s="22" t="str">
        <f t="shared" si="64"/>
        <v>NO</v>
      </c>
      <c r="AC269" s="22" t="str">
        <f t="shared" si="64"/>
        <v>NO</v>
      </c>
      <c r="AD269" s="22" t="str">
        <f t="shared" si="64"/>
        <v>NO</v>
      </c>
      <c r="AE269" s="22" t="str">
        <f t="shared" si="64"/>
        <v>NO</v>
      </c>
      <c r="AF269" s="22" t="str">
        <f t="shared" si="64"/>
        <v>NO</v>
      </c>
      <c r="AG269" s="22" t="str">
        <f t="shared" si="64"/>
        <v>NO</v>
      </c>
      <c r="AH269" s="22" t="str">
        <f t="shared" si="64"/>
        <v>NO</v>
      </c>
      <c r="AI269" s="22" t="str">
        <f t="shared" si="64"/>
        <v>NO</v>
      </c>
      <c r="AJ269" s="22" t="str">
        <f t="shared" si="64"/>
        <v>NO</v>
      </c>
      <c r="AK269" s="22" t="str">
        <f t="shared" si="64"/>
        <v>NO</v>
      </c>
      <c r="AL269" s="22" t="str">
        <f t="shared" si="64"/>
        <v>NO</v>
      </c>
      <c r="AM269" s="22" t="str">
        <f t="shared" si="64"/>
        <v>NO</v>
      </c>
      <c r="AN269" s="22" t="str">
        <f t="shared" si="64"/>
        <v>NO</v>
      </c>
      <c r="AO269" s="22" t="str">
        <f t="shared" si="64"/>
        <v>NO</v>
      </c>
      <c r="AP269" s="22" t="str">
        <f t="shared" si="64"/>
        <v>NO</v>
      </c>
      <c r="AQ269" s="22" t="str">
        <f t="shared" si="64"/>
        <v>NO</v>
      </c>
      <c r="AR269" s="22" t="str">
        <f t="shared" si="64"/>
        <v>NO</v>
      </c>
      <c r="AS269" s="22" t="str">
        <f t="shared" si="64"/>
        <v>NO</v>
      </c>
      <c r="AT269" s="22" t="str">
        <f t="shared" si="64"/>
        <v>NO</v>
      </c>
      <c r="AU269" s="22" t="str">
        <f t="shared" si="64"/>
        <v>NO</v>
      </c>
      <c r="AV269" s="22" t="str">
        <f t="shared" si="64"/>
        <v>NO</v>
      </c>
      <c r="AW269" s="22" t="str">
        <f t="shared" si="64"/>
        <v>NO</v>
      </c>
      <c r="AY269" s="85"/>
    </row>
    <row r="270" spans="1:51" x14ac:dyDescent="0.25">
      <c r="A270" s="102" t="str">
        <f t="shared" si="45"/>
        <v>FA Leaching</v>
      </c>
      <c r="B270" s="102" t="s">
        <v>963</v>
      </c>
      <c r="C270" s="102" t="s">
        <v>1191</v>
      </c>
      <c r="D270" t="s">
        <v>369</v>
      </c>
      <c r="E270" t="s">
        <v>61</v>
      </c>
      <c r="F270" t="s">
        <v>63</v>
      </c>
      <c r="G270" t="s">
        <v>1208</v>
      </c>
      <c r="H270" t="s">
        <v>1209</v>
      </c>
      <c r="I270" t="s">
        <v>139</v>
      </c>
      <c r="J270" t="s">
        <v>287</v>
      </c>
      <c r="K270" s="22" t="str">
        <f t="shared" si="55"/>
        <v>NO</v>
      </c>
      <c r="L270" s="22" t="str">
        <f t="shared" si="64"/>
        <v>NO</v>
      </c>
      <c r="M270" s="22" t="str">
        <f t="shared" si="64"/>
        <v>NO</v>
      </c>
      <c r="N270" s="22" t="str">
        <f t="shared" si="64"/>
        <v>NO</v>
      </c>
      <c r="O270" s="22" t="str">
        <f t="shared" si="64"/>
        <v>NO</v>
      </c>
      <c r="P270" s="22" t="str">
        <f t="shared" si="64"/>
        <v>NO</v>
      </c>
      <c r="Q270" s="22" t="str">
        <f t="shared" si="64"/>
        <v>NO</v>
      </c>
      <c r="R270" s="22" t="str">
        <f t="shared" si="64"/>
        <v>NO</v>
      </c>
      <c r="S270" s="22" t="str">
        <f t="shared" si="64"/>
        <v>NO</v>
      </c>
      <c r="T270" s="22" t="str">
        <f t="shared" si="64"/>
        <v>NO</v>
      </c>
      <c r="U270" s="22" t="str">
        <f t="shared" si="64"/>
        <v>NO</v>
      </c>
      <c r="V270" s="22" t="str">
        <f t="shared" si="64"/>
        <v>NO</v>
      </c>
      <c r="W270" s="22" t="str">
        <f t="shared" si="64"/>
        <v>NO</v>
      </c>
      <c r="X270" s="22" t="str">
        <f t="shared" si="64"/>
        <v>NO</v>
      </c>
      <c r="Y270" s="22" t="str">
        <f t="shared" si="64"/>
        <v>NO</v>
      </c>
      <c r="Z270" s="22" t="str">
        <f t="shared" si="64"/>
        <v>NO</v>
      </c>
      <c r="AA270" s="22" t="str">
        <f t="shared" si="64"/>
        <v>NO</v>
      </c>
      <c r="AB270" s="22" t="str">
        <f t="shared" si="64"/>
        <v>NO</v>
      </c>
      <c r="AC270" s="22" t="str">
        <f t="shared" si="64"/>
        <v>NO</v>
      </c>
      <c r="AD270" s="22" t="str">
        <f t="shared" si="64"/>
        <v>NO</v>
      </c>
      <c r="AE270" s="22" t="str">
        <f t="shared" si="64"/>
        <v>NO</v>
      </c>
      <c r="AF270" s="22" t="str">
        <f t="shared" si="64"/>
        <v>NO</v>
      </c>
      <c r="AG270" s="22" t="str">
        <f t="shared" si="64"/>
        <v>NO</v>
      </c>
      <c r="AH270" s="22" t="str">
        <f t="shared" si="64"/>
        <v>NO</v>
      </c>
      <c r="AI270" s="22" t="str">
        <f t="shared" si="64"/>
        <v>NO</v>
      </c>
      <c r="AJ270" s="22" t="str">
        <f t="shared" si="64"/>
        <v>NO</v>
      </c>
      <c r="AK270" s="22" t="str">
        <f t="shared" si="64"/>
        <v>NO</v>
      </c>
      <c r="AL270" s="22" t="str">
        <f t="shared" si="64"/>
        <v>NO</v>
      </c>
      <c r="AM270" s="22" t="str">
        <f t="shared" si="64"/>
        <v>NO</v>
      </c>
      <c r="AN270" s="22" t="str">
        <f t="shared" si="64"/>
        <v>NO</v>
      </c>
      <c r="AO270" s="22" t="str">
        <f t="shared" si="64"/>
        <v>NO</v>
      </c>
      <c r="AP270" s="22" t="str">
        <f t="shared" si="64"/>
        <v>NO</v>
      </c>
      <c r="AQ270" s="22" t="str">
        <f t="shared" si="64"/>
        <v>NO</v>
      </c>
      <c r="AR270" s="22" t="str">
        <f t="shared" si="64"/>
        <v>NO</v>
      </c>
      <c r="AS270" s="22" t="str">
        <f t="shared" si="64"/>
        <v>NO</v>
      </c>
      <c r="AT270" s="22" t="str">
        <f t="shared" si="64"/>
        <v>NO</v>
      </c>
      <c r="AU270" s="22" t="str">
        <f t="shared" si="64"/>
        <v>NO</v>
      </c>
      <c r="AV270" s="22" t="str">
        <f t="shared" si="64"/>
        <v>NO</v>
      </c>
      <c r="AW270" s="22" t="str">
        <f t="shared" si="64"/>
        <v>NO</v>
      </c>
      <c r="AY270" s="85"/>
    </row>
    <row r="271" spans="1:51" x14ac:dyDescent="0.25">
      <c r="A271" s="102" t="str">
        <f t="shared" si="45"/>
        <v>FA Leaching</v>
      </c>
      <c r="B271" s="102" t="s">
        <v>963</v>
      </c>
      <c r="C271" s="102" t="s">
        <v>1191</v>
      </c>
      <c r="D271" t="s">
        <v>369</v>
      </c>
      <c r="E271" t="s">
        <v>61</v>
      </c>
      <c r="F271" t="s">
        <v>63</v>
      </c>
      <c r="G271" t="s">
        <v>1210</v>
      </c>
      <c r="H271" t="s">
        <v>1211</v>
      </c>
      <c r="I271" t="s">
        <v>139</v>
      </c>
      <c r="J271" t="s">
        <v>287</v>
      </c>
      <c r="K271" s="22">
        <f t="shared" si="55"/>
        <v>1.9333864620707719E-6</v>
      </c>
      <c r="L271" s="22">
        <f t="shared" si="64"/>
        <v>1.9333864620707719E-6</v>
      </c>
      <c r="M271" s="22">
        <f t="shared" si="64"/>
        <v>1.9333864620707719E-6</v>
      </c>
      <c r="N271" s="22">
        <f t="shared" si="64"/>
        <v>1.9333864620707719E-6</v>
      </c>
      <c r="O271" s="22">
        <f t="shared" si="64"/>
        <v>1.9333864620707719E-6</v>
      </c>
      <c r="P271" s="22">
        <f t="shared" si="64"/>
        <v>1.9333864620707719E-6</v>
      </c>
      <c r="Q271" s="22">
        <f t="shared" si="64"/>
        <v>1.9333864620707719E-6</v>
      </c>
      <c r="R271" s="22">
        <f t="shared" si="64"/>
        <v>1.9333864620707719E-6</v>
      </c>
      <c r="S271" s="22">
        <f t="shared" si="64"/>
        <v>1.9333864620707719E-6</v>
      </c>
      <c r="T271" s="22">
        <f t="shared" si="64"/>
        <v>1.9333864620707719E-6</v>
      </c>
      <c r="U271" s="22">
        <f t="shared" si="64"/>
        <v>1.9333864620707719E-6</v>
      </c>
      <c r="V271" s="22">
        <f t="shared" si="64"/>
        <v>1.9333864620707719E-6</v>
      </c>
      <c r="W271" s="22">
        <f t="shared" si="64"/>
        <v>1.9333864620707719E-6</v>
      </c>
      <c r="X271" s="22">
        <f t="shared" si="64"/>
        <v>1.9333864620707719E-6</v>
      </c>
      <c r="Y271" s="22">
        <f t="shared" si="64"/>
        <v>1.9333864620707719E-6</v>
      </c>
      <c r="Z271" s="22">
        <f t="shared" si="64"/>
        <v>1.9333864620707719E-6</v>
      </c>
      <c r="AA271" s="22">
        <f t="shared" si="64"/>
        <v>1.9333864620707719E-6</v>
      </c>
      <c r="AB271" s="22">
        <f t="shared" si="64"/>
        <v>1.9333864620707719E-6</v>
      </c>
      <c r="AC271" s="22">
        <f t="shared" si="64"/>
        <v>1.9333864620707719E-6</v>
      </c>
      <c r="AD271" s="22">
        <f t="shared" si="64"/>
        <v>1.9333864620707719E-6</v>
      </c>
      <c r="AE271" s="22">
        <f t="shared" si="64"/>
        <v>1.9333864620707719E-6</v>
      </c>
      <c r="AF271" s="22">
        <f t="shared" si="64"/>
        <v>1.9333864620707719E-6</v>
      </c>
      <c r="AG271" s="22">
        <f t="shared" si="64"/>
        <v>1.9333864620707719E-6</v>
      </c>
      <c r="AH271" s="22">
        <f t="shared" si="64"/>
        <v>1.9333864620707719E-6</v>
      </c>
      <c r="AI271" s="22">
        <f t="shared" si="64"/>
        <v>1.9333864620707719E-6</v>
      </c>
      <c r="AJ271" s="22">
        <f t="shared" si="64"/>
        <v>1.9333864620707719E-6</v>
      </c>
      <c r="AK271" s="22">
        <f t="shared" si="64"/>
        <v>1.9333864620707719E-6</v>
      </c>
      <c r="AL271" s="22">
        <f t="shared" si="64"/>
        <v>1.9333864620707719E-6</v>
      </c>
      <c r="AM271" s="22">
        <f t="shared" si="64"/>
        <v>1.9333864620707719E-6</v>
      </c>
      <c r="AN271" s="22">
        <f t="shared" si="64"/>
        <v>1.9333864620707719E-6</v>
      </c>
      <c r="AO271" s="22">
        <f t="shared" si="64"/>
        <v>1.9333864620707719E-6</v>
      </c>
      <c r="AP271" s="22">
        <f t="shared" si="64"/>
        <v>1.9333864620707719E-6</v>
      </c>
      <c r="AQ271" s="22">
        <f t="shared" si="64"/>
        <v>1.9333864620707719E-6</v>
      </c>
      <c r="AR271" s="22">
        <f t="shared" si="64"/>
        <v>1.9333864620707719E-6</v>
      </c>
      <c r="AS271" s="22">
        <f t="shared" si="64"/>
        <v>1.9333864620707719E-6</v>
      </c>
      <c r="AT271" s="22">
        <f t="shared" si="64"/>
        <v>1.9333864620707719E-6</v>
      </c>
      <c r="AU271" s="22">
        <f t="shared" si="64"/>
        <v>1.9333864620707719E-6</v>
      </c>
      <c r="AV271" s="22">
        <f t="shared" si="64"/>
        <v>1.9333864620707719E-6</v>
      </c>
      <c r="AW271" s="22">
        <f t="shared" si="64"/>
        <v>1.9333864620707719E-6</v>
      </c>
      <c r="AY271" s="85"/>
    </row>
    <row r="272" spans="1:51" x14ac:dyDescent="0.25">
      <c r="A272" s="102" t="str">
        <f t="shared" si="45"/>
        <v>FA Leaching</v>
      </c>
      <c r="B272" s="102" t="s">
        <v>963</v>
      </c>
      <c r="C272" s="102" t="s">
        <v>1191</v>
      </c>
      <c r="D272" t="s">
        <v>369</v>
      </c>
      <c r="E272" t="s">
        <v>61</v>
      </c>
      <c r="F272" t="s">
        <v>63</v>
      </c>
      <c r="G272" t="s">
        <v>1212</v>
      </c>
      <c r="H272" t="s">
        <v>1213</v>
      </c>
      <c r="I272" t="s">
        <v>139</v>
      </c>
      <c r="J272" t="s">
        <v>287</v>
      </c>
      <c r="K272" s="22">
        <f t="shared" ref="K272:Z306" si="65">K1528</f>
        <v>2.1082459751876198E-3</v>
      </c>
      <c r="L272" s="22">
        <f t="shared" si="65"/>
        <v>2.1082459751876198E-3</v>
      </c>
      <c r="M272" s="22">
        <f t="shared" si="65"/>
        <v>2.1082459751876198E-3</v>
      </c>
      <c r="N272" s="22">
        <f t="shared" si="65"/>
        <v>2.1082459751876198E-3</v>
      </c>
      <c r="O272" s="22">
        <f t="shared" si="65"/>
        <v>2.1082459751876198E-3</v>
      </c>
      <c r="P272" s="22">
        <f t="shared" si="65"/>
        <v>2.1082459751876198E-3</v>
      </c>
      <c r="Q272" s="22">
        <f t="shared" si="65"/>
        <v>2.1082459751876198E-3</v>
      </c>
      <c r="R272" s="22">
        <f t="shared" si="65"/>
        <v>2.1082459751876198E-3</v>
      </c>
      <c r="S272" s="22">
        <f t="shared" si="65"/>
        <v>2.1082459751876198E-3</v>
      </c>
      <c r="T272" s="22">
        <f t="shared" si="65"/>
        <v>2.1082459751876198E-3</v>
      </c>
      <c r="U272" s="22">
        <f t="shared" si="65"/>
        <v>2.1082459751876198E-3</v>
      </c>
      <c r="V272" s="22">
        <f t="shared" si="65"/>
        <v>2.1082459751876198E-3</v>
      </c>
      <c r="W272" s="22">
        <f t="shared" si="65"/>
        <v>2.1082459751876198E-3</v>
      </c>
      <c r="X272" s="22">
        <f t="shared" si="65"/>
        <v>2.1082459751876198E-3</v>
      </c>
      <c r="Y272" s="22">
        <f t="shared" si="65"/>
        <v>2.1082459751876198E-3</v>
      </c>
      <c r="Z272" s="22">
        <f t="shared" si="65"/>
        <v>2.1082459751876198E-3</v>
      </c>
      <c r="AA272" s="22">
        <f t="shared" si="64"/>
        <v>2.1082459751876198E-3</v>
      </c>
      <c r="AB272" s="22">
        <f t="shared" si="64"/>
        <v>2.1082459751876198E-3</v>
      </c>
      <c r="AC272" s="22">
        <f t="shared" si="64"/>
        <v>2.1082459751876198E-3</v>
      </c>
      <c r="AD272" s="22">
        <f t="shared" si="64"/>
        <v>2.1082459751876198E-3</v>
      </c>
      <c r="AE272" s="22">
        <f t="shared" si="64"/>
        <v>2.1082459751876198E-3</v>
      </c>
      <c r="AF272" s="22">
        <f t="shared" si="64"/>
        <v>2.1082459751876198E-3</v>
      </c>
      <c r="AG272" s="22">
        <f t="shared" si="64"/>
        <v>2.1082459751876198E-3</v>
      </c>
      <c r="AH272" s="22">
        <f t="shared" si="64"/>
        <v>2.1082459751876198E-3</v>
      </c>
      <c r="AI272" s="22">
        <f t="shared" si="64"/>
        <v>2.1082459751876198E-3</v>
      </c>
      <c r="AJ272" s="22">
        <f t="shared" si="64"/>
        <v>2.1082459751876198E-3</v>
      </c>
      <c r="AK272" s="22">
        <f t="shared" si="64"/>
        <v>2.1082459751876198E-3</v>
      </c>
      <c r="AL272" s="22">
        <f t="shared" si="64"/>
        <v>2.1082459751876198E-3</v>
      </c>
      <c r="AM272" s="22">
        <f t="shared" si="64"/>
        <v>2.1082459751876198E-3</v>
      </c>
      <c r="AN272" s="22">
        <f t="shared" si="64"/>
        <v>2.1082459751876198E-3</v>
      </c>
      <c r="AO272" s="22">
        <f t="shared" si="64"/>
        <v>2.1082459751876198E-3</v>
      </c>
      <c r="AP272" s="22">
        <f t="shared" si="64"/>
        <v>2.1082459751876198E-3</v>
      </c>
      <c r="AQ272" s="22">
        <f t="shared" si="64"/>
        <v>2.1082459751876198E-3</v>
      </c>
      <c r="AR272" s="22">
        <f t="shared" si="64"/>
        <v>2.1082459751876198E-3</v>
      </c>
      <c r="AS272" s="22">
        <f t="shared" si="64"/>
        <v>2.1082459751876198E-3</v>
      </c>
      <c r="AT272" s="22">
        <f t="shared" si="64"/>
        <v>2.1082459751876198E-3</v>
      </c>
      <c r="AU272" s="22">
        <f t="shared" si="64"/>
        <v>2.1082459751876198E-3</v>
      </c>
      <c r="AV272" s="22">
        <f t="shared" si="64"/>
        <v>2.1082459751876198E-3</v>
      </c>
      <c r="AW272" s="22">
        <f t="shared" si="64"/>
        <v>2.1082459751876198E-3</v>
      </c>
      <c r="AY272" s="85"/>
    </row>
    <row r="273" spans="1:51" x14ac:dyDescent="0.25">
      <c r="A273" s="102" t="str">
        <f t="shared" si="45"/>
        <v>FA Leaching</v>
      </c>
      <c r="B273" s="102" t="s">
        <v>963</v>
      </c>
      <c r="C273" s="102" t="s">
        <v>1191</v>
      </c>
      <c r="D273" t="s">
        <v>369</v>
      </c>
      <c r="E273" t="s">
        <v>61</v>
      </c>
      <c r="F273" t="s">
        <v>63</v>
      </c>
      <c r="G273" t="s">
        <v>1214</v>
      </c>
      <c r="H273" t="s">
        <v>1215</v>
      </c>
      <c r="I273" t="s">
        <v>139</v>
      </c>
      <c r="J273" t="s">
        <v>287</v>
      </c>
      <c r="K273" s="22" t="str">
        <f t="shared" si="65"/>
        <v>NO</v>
      </c>
      <c r="L273" s="22" t="str">
        <f t="shared" si="64"/>
        <v>NO</v>
      </c>
      <c r="M273" s="22" t="str">
        <f t="shared" si="64"/>
        <v>NO</v>
      </c>
      <c r="N273" s="22" t="str">
        <f t="shared" si="64"/>
        <v>NO</v>
      </c>
      <c r="O273" s="22" t="str">
        <f t="shared" si="64"/>
        <v>NO</v>
      </c>
      <c r="P273" s="22" t="str">
        <f t="shared" si="64"/>
        <v>NO</v>
      </c>
      <c r="Q273" s="22" t="str">
        <f t="shared" si="64"/>
        <v>NO</v>
      </c>
      <c r="R273" s="22" t="str">
        <f t="shared" si="64"/>
        <v>NO</v>
      </c>
      <c r="S273" s="22" t="str">
        <f t="shared" si="64"/>
        <v>NO</v>
      </c>
      <c r="T273" s="22" t="str">
        <f t="shared" si="64"/>
        <v>NO</v>
      </c>
      <c r="U273" s="22" t="str">
        <f t="shared" si="64"/>
        <v>NO</v>
      </c>
      <c r="V273" s="22" t="str">
        <f t="shared" si="64"/>
        <v>NO</v>
      </c>
      <c r="W273" s="22" t="str">
        <f t="shared" si="64"/>
        <v>NO</v>
      </c>
      <c r="X273" s="22" t="str">
        <f t="shared" si="64"/>
        <v>NO</v>
      </c>
      <c r="Y273" s="22" t="str">
        <f t="shared" si="64"/>
        <v>NO</v>
      </c>
      <c r="Z273" s="22" t="str">
        <f t="shared" si="64"/>
        <v>NO</v>
      </c>
      <c r="AA273" s="22" t="str">
        <f t="shared" si="64"/>
        <v>NO</v>
      </c>
      <c r="AB273" s="22" t="str">
        <f t="shared" si="64"/>
        <v>NO</v>
      </c>
      <c r="AC273" s="22" t="str">
        <f t="shared" si="64"/>
        <v>NO</v>
      </c>
      <c r="AD273" s="22" t="str">
        <f t="shared" si="64"/>
        <v>NO</v>
      </c>
      <c r="AE273" s="22" t="str">
        <f t="shared" si="64"/>
        <v>NO</v>
      </c>
      <c r="AF273" s="22" t="str">
        <f t="shared" si="64"/>
        <v>NO</v>
      </c>
      <c r="AG273" s="22" t="str">
        <f t="shared" si="64"/>
        <v>NO</v>
      </c>
      <c r="AH273" s="22" t="str">
        <f t="shared" si="64"/>
        <v>NO</v>
      </c>
      <c r="AI273" s="22" t="str">
        <f t="shared" si="64"/>
        <v>NO</v>
      </c>
      <c r="AJ273" s="22" t="str">
        <f t="shared" si="64"/>
        <v>NO</v>
      </c>
      <c r="AK273" s="22" t="str">
        <f t="shared" si="64"/>
        <v>NO</v>
      </c>
      <c r="AL273" s="22" t="str">
        <f t="shared" si="64"/>
        <v>NO</v>
      </c>
      <c r="AM273" s="22" t="str">
        <f t="shared" si="64"/>
        <v>NO</v>
      </c>
      <c r="AN273" s="22" t="str">
        <f t="shared" si="64"/>
        <v>NO</v>
      </c>
      <c r="AO273" s="22" t="str">
        <f t="shared" si="64"/>
        <v>NO</v>
      </c>
      <c r="AP273" s="22" t="str">
        <f t="shared" si="64"/>
        <v>NO</v>
      </c>
      <c r="AQ273" s="22" t="str">
        <f t="shared" si="64"/>
        <v>NO</v>
      </c>
      <c r="AR273" s="22" t="str">
        <f t="shared" si="64"/>
        <v>NO</v>
      </c>
      <c r="AS273" s="22" t="str">
        <f t="shared" si="64"/>
        <v>NO</v>
      </c>
      <c r="AT273" s="22" t="str">
        <f t="shared" si="64"/>
        <v>NO</v>
      </c>
      <c r="AU273" s="22" t="str">
        <f t="shared" si="64"/>
        <v>NO</v>
      </c>
      <c r="AV273" s="22" t="str">
        <f t="shared" si="64"/>
        <v>NO</v>
      </c>
      <c r="AW273" s="22" t="str">
        <f t="shared" si="64"/>
        <v>NO</v>
      </c>
      <c r="AY273" s="85"/>
    </row>
    <row r="274" spans="1:51" x14ac:dyDescent="0.25">
      <c r="A274" s="102" t="str">
        <f t="shared" si="45"/>
        <v xml:space="preserve">FA </v>
      </c>
      <c r="B274" s="102" t="s">
        <v>963</v>
      </c>
      <c r="C274" s="102"/>
      <c r="D274" t="s">
        <v>369</v>
      </c>
      <c r="E274" t="s">
        <v>61</v>
      </c>
      <c r="F274" t="s">
        <v>63</v>
      </c>
      <c r="G274" t="s">
        <v>1216</v>
      </c>
      <c r="H274" t="s">
        <v>1217</v>
      </c>
      <c r="I274" t="s">
        <v>139</v>
      </c>
      <c r="J274" t="s">
        <v>287</v>
      </c>
      <c r="K274" s="22">
        <f t="shared" si="65"/>
        <v>0.11026792439175388</v>
      </c>
      <c r="L274" s="22">
        <f t="shared" si="64"/>
        <v>0.11026792439175388</v>
      </c>
      <c r="M274" s="22">
        <f t="shared" si="64"/>
        <v>0.11026792439175388</v>
      </c>
      <c r="N274" s="22">
        <f t="shared" si="64"/>
        <v>0.11026792439175388</v>
      </c>
      <c r="O274" s="22">
        <f t="shared" si="64"/>
        <v>0.11026792439175388</v>
      </c>
      <c r="P274" s="22">
        <f t="shared" si="64"/>
        <v>0.11026792439175388</v>
      </c>
      <c r="Q274" s="22">
        <f t="shared" si="64"/>
        <v>0.11026792439175388</v>
      </c>
      <c r="R274" s="22">
        <f t="shared" si="64"/>
        <v>0.11026792439175388</v>
      </c>
      <c r="S274" s="22">
        <f t="shared" si="64"/>
        <v>0.11026792439175388</v>
      </c>
      <c r="T274" s="22">
        <f t="shared" si="64"/>
        <v>0.11026792439175388</v>
      </c>
      <c r="U274" s="22">
        <f t="shared" si="64"/>
        <v>0.11026792439175388</v>
      </c>
      <c r="V274" s="22">
        <f t="shared" si="64"/>
        <v>0.11026792439175388</v>
      </c>
      <c r="W274" s="22">
        <f t="shared" si="64"/>
        <v>0.11026792439175388</v>
      </c>
      <c r="X274" s="22">
        <f t="shared" si="64"/>
        <v>0.11026792439175388</v>
      </c>
      <c r="Y274" s="22">
        <f t="shared" si="64"/>
        <v>0.11026792439175388</v>
      </c>
      <c r="Z274" s="22">
        <f t="shared" si="64"/>
        <v>0.11026792439175388</v>
      </c>
      <c r="AA274" s="22">
        <f t="shared" si="64"/>
        <v>0.11026792439175388</v>
      </c>
      <c r="AB274" s="22">
        <f t="shared" si="64"/>
        <v>0.11026792439175388</v>
      </c>
      <c r="AC274" s="22">
        <f t="shared" si="64"/>
        <v>0.11026792439175388</v>
      </c>
      <c r="AD274" s="22">
        <f t="shared" si="64"/>
        <v>0.11026792439175388</v>
      </c>
      <c r="AE274" s="22">
        <f t="shared" si="64"/>
        <v>0.11026792439175388</v>
      </c>
      <c r="AF274" s="22">
        <f t="shared" si="64"/>
        <v>0.11026792439175388</v>
      </c>
      <c r="AG274" s="22">
        <f t="shared" si="64"/>
        <v>0.11026792439175388</v>
      </c>
      <c r="AH274" s="22">
        <f t="shared" si="64"/>
        <v>0.11026792439175388</v>
      </c>
      <c r="AI274" s="22">
        <f t="shared" si="64"/>
        <v>0.11026792439175388</v>
      </c>
      <c r="AJ274" s="22">
        <f t="shared" si="64"/>
        <v>0.11026792439175388</v>
      </c>
      <c r="AK274" s="22">
        <f t="shared" si="64"/>
        <v>0.11026792439175388</v>
      </c>
      <c r="AL274" s="22">
        <f t="shared" si="64"/>
        <v>0.11026792439175388</v>
      </c>
      <c r="AM274" s="22">
        <f t="shared" si="64"/>
        <v>0.11026792439175388</v>
      </c>
      <c r="AN274" s="22">
        <f t="shared" si="64"/>
        <v>0.11026792439175388</v>
      </c>
      <c r="AO274" s="22">
        <f t="shared" si="64"/>
        <v>0.11026792439175388</v>
      </c>
      <c r="AP274" s="22">
        <f t="shared" si="64"/>
        <v>0.11026792439175388</v>
      </c>
      <c r="AQ274" s="22">
        <f t="shared" si="64"/>
        <v>0.11026792439175388</v>
      </c>
      <c r="AR274" s="22">
        <f t="shared" si="64"/>
        <v>0.11026792439175388</v>
      </c>
      <c r="AS274" s="22">
        <f t="shared" si="64"/>
        <v>0.11026792439175388</v>
      </c>
      <c r="AT274" s="22">
        <f t="shared" ref="L274:AW281" si="66">AT1530</f>
        <v>0.11026792439175388</v>
      </c>
      <c r="AU274" s="22">
        <f t="shared" si="66"/>
        <v>0.11026792439175388</v>
      </c>
      <c r="AV274" s="22">
        <f t="shared" si="66"/>
        <v>0.11026792439175388</v>
      </c>
      <c r="AW274" s="22">
        <f t="shared" si="66"/>
        <v>0.11026792439175388</v>
      </c>
      <c r="AY274" s="85"/>
    </row>
    <row r="275" spans="1:51" x14ac:dyDescent="0.25">
      <c r="A275" s="102" t="str">
        <f t="shared" si="45"/>
        <v>FA MM Volatilisation</v>
      </c>
      <c r="B275" s="102" t="s">
        <v>963</v>
      </c>
      <c r="C275" s="102" t="s">
        <v>1333</v>
      </c>
      <c r="D275" t="s">
        <v>369</v>
      </c>
      <c r="E275" t="s">
        <v>64</v>
      </c>
      <c r="F275" t="s">
        <v>62</v>
      </c>
      <c r="G275" t="s">
        <v>1153</v>
      </c>
      <c r="H275" t="s">
        <v>1291</v>
      </c>
      <c r="I275" t="s">
        <v>139</v>
      </c>
      <c r="J275" t="s">
        <v>287</v>
      </c>
      <c r="K275" s="22">
        <f t="shared" si="65"/>
        <v>0.39681521114916435</v>
      </c>
      <c r="L275" s="22">
        <f t="shared" si="66"/>
        <v>0.39928346869815806</v>
      </c>
      <c r="M275" s="22">
        <f t="shared" si="66"/>
        <v>0.4009804297645459</v>
      </c>
      <c r="N275" s="22">
        <f t="shared" si="66"/>
        <v>0.40151262173495006</v>
      </c>
      <c r="O275" s="22">
        <f t="shared" si="66"/>
        <v>0.40223259805813538</v>
      </c>
      <c r="P275" s="22">
        <f t="shared" si="66"/>
        <v>0.40380961974030649</v>
      </c>
      <c r="Q275" s="22">
        <f t="shared" si="66"/>
        <v>0.40570030877561336</v>
      </c>
      <c r="R275" s="22">
        <f t="shared" si="66"/>
        <v>0.4062682914839757</v>
      </c>
      <c r="S275" s="22">
        <f t="shared" si="66"/>
        <v>0.39379594618948027</v>
      </c>
      <c r="T275" s="22">
        <f t="shared" si="66"/>
        <v>0.39703951074089222</v>
      </c>
      <c r="U275" s="22">
        <f t="shared" si="66"/>
        <v>0.40001376732014149</v>
      </c>
      <c r="V275" s="22">
        <f t="shared" si="66"/>
        <v>0.4030633713994573</v>
      </c>
      <c r="W275" s="22">
        <f t="shared" si="66"/>
        <v>0.40673703435821862</v>
      </c>
      <c r="X275" s="22">
        <f t="shared" si="66"/>
        <v>0.41047963139436411</v>
      </c>
      <c r="Y275" s="22">
        <f t="shared" si="66"/>
        <v>0.41412386702749909</v>
      </c>
      <c r="Z275" s="22">
        <f t="shared" si="66"/>
        <v>0.41769519693164076</v>
      </c>
      <c r="AA275" s="22">
        <f t="shared" si="66"/>
        <v>0.42154191092161625</v>
      </c>
      <c r="AB275" s="22">
        <f t="shared" si="66"/>
        <v>0.42518467345636607</v>
      </c>
      <c r="AC275" s="22">
        <f t="shared" si="66"/>
        <v>0.42895809934446105</v>
      </c>
      <c r="AD275" s="22">
        <f t="shared" si="66"/>
        <v>0.43329342136251764</v>
      </c>
      <c r="AE275" s="22">
        <f t="shared" si="66"/>
        <v>0.43801504276628445</v>
      </c>
      <c r="AF275" s="22">
        <f t="shared" si="66"/>
        <v>0.44292407628311159</v>
      </c>
      <c r="AG275" s="22">
        <f t="shared" si="66"/>
        <v>0.44360979324480354</v>
      </c>
      <c r="AH275" s="22">
        <f t="shared" si="66"/>
        <v>0.23750435523455551</v>
      </c>
      <c r="AI275" s="22">
        <f t="shared" si="66"/>
        <v>0.23767903823802267</v>
      </c>
      <c r="AJ275" s="22">
        <f t="shared" si="66"/>
        <v>0.23787666796336571</v>
      </c>
      <c r="AK275" s="22">
        <f t="shared" si="66"/>
        <v>0.23809637221397845</v>
      </c>
      <c r="AL275" s="22">
        <f t="shared" si="66"/>
        <v>0.2383373459663993</v>
      </c>
      <c r="AM275" s="22">
        <f t="shared" si="66"/>
        <v>0.23859884500343068</v>
      </c>
      <c r="AN275" s="22">
        <f t="shared" si="66"/>
        <v>0.23871142815197754</v>
      </c>
      <c r="AO275" s="22">
        <f t="shared" si="66"/>
        <v>0.23884208664335624</v>
      </c>
      <c r="AP275" s="22">
        <f t="shared" si="66"/>
        <v>0.23899018916140971</v>
      </c>
      <c r="AQ275" s="22">
        <f t="shared" si="66"/>
        <v>0.2391551474689631</v>
      </c>
      <c r="AR275" s="22">
        <f t="shared" si="66"/>
        <v>0.23933641275222764</v>
      </c>
      <c r="AS275" s="22">
        <f t="shared" si="66"/>
        <v>0.23936290185366965</v>
      </c>
      <c r="AT275" s="22">
        <f t="shared" si="66"/>
        <v>0.23940384749309143</v>
      </c>
      <c r="AU275" s="22">
        <f t="shared" si="66"/>
        <v>0.23945877050598915</v>
      </c>
      <c r="AV275" s="22">
        <f t="shared" si="66"/>
        <v>0.23952722091813589</v>
      </c>
      <c r="AW275" s="22">
        <f t="shared" si="66"/>
        <v>0.23960877570322184</v>
      </c>
      <c r="AY275" s="85"/>
    </row>
    <row r="276" spans="1:51" x14ac:dyDescent="0.25">
      <c r="A276" s="102" t="str">
        <f t="shared" si="45"/>
        <v>FA MM Volatilisation</v>
      </c>
      <c r="B276" s="102" t="s">
        <v>963</v>
      </c>
      <c r="C276" s="102" t="s">
        <v>1333</v>
      </c>
      <c r="D276" t="s">
        <v>369</v>
      </c>
      <c r="E276" t="s">
        <v>64</v>
      </c>
      <c r="F276" t="s">
        <v>62</v>
      </c>
      <c r="G276" t="s">
        <v>1155</v>
      </c>
      <c r="H276" t="s">
        <v>1292</v>
      </c>
      <c r="I276" t="s">
        <v>139</v>
      </c>
      <c r="J276" t="s">
        <v>287</v>
      </c>
      <c r="K276" s="22">
        <f t="shared" si="65"/>
        <v>3.1306447478246062E-2</v>
      </c>
      <c r="L276" s="22">
        <f t="shared" si="66"/>
        <v>3.1501178862399851E-2</v>
      </c>
      <c r="M276" s="22">
        <f t="shared" si="66"/>
        <v>3.163505937152563E-2</v>
      </c>
      <c r="N276" s="22">
        <f t="shared" si="66"/>
        <v>3.167704626996521E-2</v>
      </c>
      <c r="O276" s="22">
        <f t="shared" si="66"/>
        <v>3.1733848278341123E-2</v>
      </c>
      <c r="P276" s="22">
        <f t="shared" si="66"/>
        <v>3.1858266256981516E-2</v>
      </c>
      <c r="Q276" s="22">
        <f t="shared" si="66"/>
        <v>3.2007430793315993E-2</v>
      </c>
      <c r="R276" s="22">
        <f t="shared" si="66"/>
        <v>3.2052241375996028E-2</v>
      </c>
      <c r="S276" s="22">
        <f t="shared" si="66"/>
        <v>3.1068244765175855E-2</v>
      </c>
      <c r="T276" s="22">
        <f t="shared" si="66"/>
        <v>3.1324143431401406E-2</v>
      </c>
      <c r="U276" s="22">
        <f t="shared" si="66"/>
        <v>3.1558795241031987E-2</v>
      </c>
      <c r="V276" s="22">
        <f t="shared" si="66"/>
        <v>3.1799391536879773E-2</v>
      </c>
      <c r="W276" s="22">
        <f t="shared" si="66"/>
        <v>3.2089222504140757E-2</v>
      </c>
      <c r="X276" s="22">
        <f t="shared" si="66"/>
        <v>3.2384491975300946E-2</v>
      </c>
      <c r="Y276" s="22">
        <f t="shared" si="66"/>
        <v>3.2672001295109276E-2</v>
      </c>
      <c r="Z276" s="22">
        <f t="shared" si="66"/>
        <v>3.2953758770453305E-2</v>
      </c>
      <c r="AA276" s="22">
        <f t="shared" si="66"/>
        <v>3.3257242472961211E-2</v>
      </c>
      <c r="AB276" s="22">
        <f t="shared" si="66"/>
        <v>3.3544635573743833E-2</v>
      </c>
      <c r="AC276" s="22">
        <f t="shared" si="66"/>
        <v>3.3842337264756606E-2</v>
      </c>
      <c r="AD276" s="22">
        <f t="shared" si="66"/>
        <v>3.4184369342273299E-2</v>
      </c>
      <c r="AE276" s="22">
        <f t="shared" si="66"/>
        <v>3.4556878228868437E-2</v>
      </c>
      <c r="AF276" s="22">
        <f t="shared" si="66"/>
        <v>3.494417285781784E-2</v>
      </c>
      <c r="AG276" s="22">
        <f t="shared" si="66"/>
        <v>3.4998271998785704E-2</v>
      </c>
      <c r="AH276" s="22">
        <f t="shared" si="66"/>
        <v>1.873773336831663E-2</v>
      </c>
      <c r="AI276" s="22">
        <f t="shared" si="66"/>
        <v>1.8751514856827491E-2</v>
      </c>
      <c r="AJ276" s="22">
        <f t="shared" si="66"/>
        <v>1.8767106710271497E-2</v>
      </c>
      <c r="AK276" s="22">
        <f t="shared" si="66"/>
        <v>1.8784440117331772E-2</v>
      </c>
      <c r="AL276" s="22">
        <f t="shared" si="66"/>
        <v>1.8803451566267792E-2</v>
      </c>
      <c r="AM276" s="22">
        <f t="shared" si="66"/>
        <v>1.882408234260504E-2</v>
      </c>
      <c r="AN276" s="22">
        <f t="shared" si="66"/>
        <v>1.883296450822745E-2</v>
      </c>
      <c r="AO276" s="22">
        <f t="shared" si="66"/>
        <v>1.8843272714876302E-2</v>
      </c>
      <c r="AP276" s="22">
        <f t="shared" si="66"/>
        <v>1.8854957155322545E-2</v>
      </c>
      <c r="AQ276" s="22">
        <f t="shared" si="66"/>
        <v>1.8867971421022103E-2</v>
      </c>
      <c r="AR276" s="22">
        <f t="shared" si="66"/>
        <v>1.8882272213710256E-2</v>
      </c>
      <c r="AS276" s="22">
        <f t="shared" si="66"/>
        <v>1.888436205210289E-2</v>
      </c>
      <c r="AT276" s="22">
        <f t="shared" si="66"/>
        <v>1.8887592428545139E-2</v>
      </c>
      <c r="AU276" s="22">
        <f t="shared" si="66"/>
        <v>1.8891925539701964E-2</v>
      </c>
      <c r="AV276" s="22">
        <f t="shared" si="66"/>
        <v>1.8897325885184005E-2</v>
      </c>
      <c r="AW276" s="22">
        <f t="shared" si="66"/>
        <v>1.8903760090638235E-2</v>
      </c>
      <c r="AY276" s="85"/>
    </row>
    <row r="277" spans="1:51" x14ac:dyDescent="0.25">
      <c r="A277" s="102" t="str">
        <f t="shared" si="45"/>
        <v>FA MM Volatilisation</v>
      </c>
      <c r="B277" s="102" t="s">
        <v>963</v>
      </c>
      <c r="C277" s="102" t="s">
        <v>1333</v>
      </c>
      <c r="D277" t="s">
        <v>369</v>
      </c>
      <c r="E277" t="s">
        <v>64</v>
      </c>
      <c r="F277" t="s">
        <v>62</v>
      </c>
      <c r="G277" t="s">
        <v>1157</v>
      </c>
      <c r="H277" t="s">
        <v>1293</v>
      </c>
      <c r="I277" t="s">
        <v>139</v>
      </c>
      <c r="J277" t="s">
        <v>287</v>
      </c>
      <c r="K277" s="22">
        <f t="shared" si="65"/>
        <v>2.9019834302377478E-4</v>
      </c>
      <c r="L277" s="22">
        <f t="shared" si="66"/>
        <v>2.9200342566866507E-4</v>
      </c>
      <c r="M277" s="22">
        <f t="shared" si="66"/>
        <v>2.9324444485292345E-4</v>
      </c>
      <c r="N277" s="22">
        <f t="shared" si="66"/>
        <v>2.9363364673743434E-4</v>
      </c>
      <c r="O277" s="22">
        <f t="shared" si="66"/>
        <v>2.9416017881114109E-4</v>
      </c>
      <c r="P277" s="22">
        <f t="shared" si="66"/>
        <v>2.9531348409334853E-4</v>
      </c>
      <c r="Q277" s="22">
        <f t="shared" si="66"/>
        <v>2.9669618014381078E-4</v>
      </c>
      <c r="R277" s="22">
        <f t="shared" si="66"/>
        <v>2.971115564605491E-4</v>
      </c>
      <c r="S277" s="22">
        <f t="shared" si="66"/>
        <v>2.879902984130032E-4</v>
      </c>
      <c r="T277" s="22">
        <f t="shared" si="66"/>
        <v>2.9036237748624366E-4</v>
      </c>
      <c r="U277" s="22">
        <f t="shared" si="66"/>
        <v>2.9253750663143477E-4</v>
      </c>
      <c r="V277" s="22">
        <f t="shared" si="66"/>
        <v>2.9476773880457414E-4</v>
      </c>
      <c r="W277" s="22">
        <f t="shared" si="66"/>
        <v>2.9745435684114832E-4</v>
      </c>
      <c r="X277" s="22">
        <f t="shared" si="66"/>
        <v>3.0019138765040044E-4</v>
      </c>
      <c r="Y277" s="22">
        <f t="shared" si="66"/>
        <v>3.0285648493651841E-4</v>
      </c>
      <c r="Z277" s="22">
        <f t="shared" si="66"/>
        <v>3.0546826490728061E-4</v>
      </c>
      <c r="AA277" s="22">
        <f t="shared" si="66"/>
        <v>3.0828143838101019E-4</v>
      </c>
      <c r="AB277" s="22">
        <f t="shared" si="66"/>
        <v>3.1094545836288565E-4</v>
      </c>
      <c r="AC277" s="22">
        <f t="shared" si="66"/>
        <v>3.1370503488485662E-4</v>
      </c>
      <c r="AD277" s="22">
        <f t="shared" si="66"/>
        <v>3.1687553649559658E-4</v>
      </c>
      <c r="AE277" s="22">
        <f t="shared" si="66"/>
        <v>3.2032854603066614E-4</v>
      </c>
      <c r="AF277" s="22">
        <f t="shared" si="66"/>
        <v>3.2391861352910146E-4</v>
      </c>
      <c r="AG277" s="22">
        <f t="shared" si="66"/>
        <v>3.2442009109466666E-4</v>
      </c>
      <c r="AH277" s="22">
        <f t="shared" si="66"/>
        <v>1.7369135157495116E-4</v>
      </c>
      <c r="AI277" s="22">
        <f t="shared" si="66"/>
        <v>1.7381910050376308E-4</v>
      </c>
      <c r="AJ277" s="22">
        <f t="shared" si="66"/>
        <v>1.7396363079699625E-4</v>
      </c>
      <c r="AK277" s="22">
        <f t="shared" si="66"/>
        <v>1.7412430460105353E-4</v>
      </c>
      <c r="AL277" s="22">
        <f t="shared" si="66"/>
        <v>1.7430053318730711E-4</v>
      </c>
      <c r="AM277" s="22">
        <f t="shared" si="66"/>
        <v>1.7449177229588125E-4</v>
      </c>
      <c r="AN277" s="22">
        <f t="shared" si="66"/>
        <v>1.7457410644599133E-4</v>
      </c>
      <c r="AO277" s="22">
        <f t="shared" si="66"/>
        <v>1.7466965943044039E-4</v>
      </c>
      <c r="AP277" s="22">
        <f t="shared" si="66"/>
        <v>1.7477796955598287E-4</v>
      </c>
      <c r="AQ277" s="22">
        <f t="shared" si="66"/>
        <v>1.7489860663383425E-4</v>
      </c>
      <c r="AR277" s="22">
        <f t="shared" si="66"/>
        <v>1.7503116930626492E-4</v>
      </c>
      <c r="AS277" s="22">
        <f t="shared" si="66"/>
        <v>1.7505054127873651E-4</v>
      </c>
      <c r="AT277" s="22">
        <f t="shared" si="66"/>
        <v>1.7508048558626403E-4</v>
      </c>
      <c r="AU277" s="22">
        <f t="shared" si="66"/>
        <v>1.7512065180693548E-4</v>
      </c>
      <c r="AV277" s="22">
        <f t="shared" si="66"/>
        <v>1.7517071086623097E-4</v>
      </c>
      <c r="AW277" s="22">
        <f t="shared" si="66"/>
        <v>1.752303533971437E-4</v>
      </c>
      <c r="AY277" s="85"/>
    </row>
    <row r="278" spans="1:51" x14ac:dyDescent="0.25">
      <c r="A278" s="102" t="str">
        <f t="shared" si="45"/>
        <v>FA MM Volatilisation</v>
      </c>
      <c r="B278" s="102" t="s">
        <v>963</v>
      </c>
      <c r="C278" s="102" t="s">
        <v>1333</v>
      </c>
      <c r="D278" t="s">
        <v>369</v>
      </c>
      <c r="E278" t="s">
        <v>64</v>
      </c>
      <c r="F278" t="s">
        <v>62</v>
      </c>
      <c r="G278" t="s">
        <v>1159</v>
      </c>
      <c r="H278" t="s">
        <v>1294</v>
      </c>
      <c r="I278" t="s">
        <v>139</v>
      </c>
      <c r="J278" t="s">
        <v>287</v>
      </c>
      <c r="K278" s="22">
        <f t="shared" si="65"/>
        <v>3.2608020345335862E-3</v>
      </c>
      <c r="L278" s="22">
        <f t="shared" si="66"/>
        <v>3.2391880107785257E-3</v>
      </c>
      <c r="M278" s="22">
        <f t="shared" si="66"/>
        <v>3.1936162901030117E-3</v>
      </c>
      <c r="N278" s="22">
        <f t="shared" si="66"/>
        <v>3.1167988395678259E-3</v>
      </c>
      <c r="O278" s="22">
        <f t="shared" si="66"/>
        <v>3.0422686858160779E-3</v>
      </c>
      <c r="P278" s="22">
        <f t="shared" si="66"/>
        <v>2.9849445368563851E-3</v>
      </c>
      <c r="Q278" s="22">
        <f t="shared" si="66"/>
        <v>2.9330944027971869E-3</v>
      </c>
      <c r="R278" s="22">
        <f t="shared" si="66"/>
        <v>2.8515726706301167E-3</v>
      </c>
      <c r="S278" s="22">
        <f t="shared" si="66"/>
        <v>2.5010020765287512E-3</v>
      </c>
      <c r="T278" s="22">
        <f t="shared" si="66"/>
        <v>2.5248406363190491E-3</v>
      </c>
      <c r="U278" s="22">
        <f t="shared" si="66"/>
        <v>2.5409715409254918E-3</v>
      </c>
      <c r="V278" s="22">
        <f t="shared" si="66"/>
        <v>2.5565777764954734E-3</v>
      </c>
      <c r="W278" s="22">
        <f t="shared" si="66"/>
        <v>2.5823867364318034E-3</v>
      </c>
      <c r="X278" s="22">
        <f t="shared" si="66"/>
        <v>2.6073450964004788E-3</v>
      </c>
      <c r="Y278" s="22">
        <f t="shared" si="66"/>
        <v>2.6335476280108239E-3</v>
      </c>
      <c r="Z278" s="22">
        <f t="shared" si="66"/>
        <v>2.6563592492195348E-3</v>
      </c>
      <c r="AA278" s="22">
        <f t="shared" si="66"/>
        <v>2.6823219674710947E-3</v>
      </c>
      <c r="AB278" s="22">
        <f t="shared" si="66"/>
        <v>2.7026386741679817E-3</v>
      </c>
      <c r="AC278" s="22">
        <f t="shared" si="66"/>
        <v>2.7235128371703343E-3</v>
      </c>
      <c r="AD278" s="22">
        <f t="shared" si="66"/>
        <v>2.7332352588004378E-3</v>
      </c>
      <c r="AE278" s="22">
        <f t="shared" si="66"/>
        <v>2.7465666714111786E-3</v>
      </c>
      <c r="AF278" s="22">
        <f t="shared" si="66"/>
        <v>2.7598466332323141E-3</v>
      </c>
      <c r="AG278" s="22">
        <f t="shared" si="66"/>
        <v>2.7013158272562879E-3</v>
      </c>
      <c r="AH278" s="22">
        <f t="shared" si="66"/>
        <v>-6.3720303992201288E-4</v>
      </c>
      <c r="AI278" s="22">
        <f t="shared" si="66"/>
        <v>-6.2242214557858356E-4</v>
      </c>
      <c r="AJ278" s="22">
        <f t="shared" si="66"/>
        <v>-6.0787631384089666E-4</v>
      </c>
      <c r="AK278" s="22">
        <f t="shared" si="66"/>
        <v>-5.9355323338830307E-4</v>
      </c>
      <c r="AL278" s="22">
        <f t="shared" si="66"/>
        <v>-5.7944144405540506E-4</v>
      </c>
      <c r="AM278" s="22">
        <f t="shared" si="66"/>
        <v>-5.6553025796044789E-4</v>
      </c>
      <c r="AN278" s="22">
        <f t="shared" si="66"/>
        <v>-5.5425143288870022E-4</v>
      </c>
      <c r="AO278" s="22">
        <f t="shared" si="66"/>
        <v>-5.4314296084699478E-4</v>
      </c>
      <c r="AP278" s="22">
        <f t="shared" si="66"/>
        <v>-5.3219712228052369E-4</v>
      </c>
      <c r="AQ278" s="22">
        <f t="shared" si="66"/>
        <v>-5.2140667775092773E-4</v>
      </c>
      <c r="AR278" s="22">
        <f t="shared" si="66"/>
        <v>-5.107648281267109E-4</v>
      </c>
      <c r="AS278" s="22">
        <f t="shared" si="66"/>
        <v>-4.999251820077483E-4</v>
      </c>
      <c r="AT278" s="22">
        <f t="shared" si="66"/>
        <v>-4.8923459484670278E-4</v>
      </c>
      <c r="AU278" s="22">
        <f t="shared" si="66"/>
        <v>-4.7868720289580258E-4</v>
      </c>
      <c r="AV278" s="22">
        <f t="shared" si="66"/>
        <v>-4.6827747185126305E-4</v>
      </c>
      <c r="AW278" s="22">
        <f t="shared" si="66"/>
        <v>-4.5800017223486766E-4</v>
      </c>
      <c r="AY278" s="85"/>
    </row>
    <row r="279" spans="1:51" x14ac:dyDescent="0.25">
      <c r="A279" s="102" t="str">
        <f t="shared" si="45"/>
        <v>FA MM Volatilisation</v>
      </c>
      <c r="B279" s="102" t="s">
        <v>963</v>
      </c>
      <c r="C279" s="102" t="s">
        <v>1333</v>
      </c>
      <c r="D279" t="s">
        <v>369</v>
      </c>
      <c r="E279" t="s">
        <v>64</v>
      </c>
      <c r="F279" t="s">
        <v>62</v>
      </c>
      <c r="G279" t="s">
        <v>1161</v>
      </c>
      <c r="H279" t="s">
        <v>1295</v>
      </c>
      <c r="I279" t="s">
        <v>139</v>
      </c>
      <c r="J279" t="s">
        <v>287</v>
      </c>
      <c r="K279" s="22">
        <f t="shared" si="65"/>
        <v>1.6232293381826982E-2</v>
      </c>
      <c r="L279" s="22">
        <f t="shared" si="66"/>
        <v>1.612469863334539E-2</v>
      </c>
      <c r="M279" s="22">
        <f t="shared" si="66"/>
        <v>1.5897842316376299E-2</v>
      </c>
      <c r="N279" s="22">
        <f t="shared" si="66"/>
        <v>1.5515444556338871E-2</v>
      </c>
      <c r="O279" s="22">
        <f t="shared" si="66"/>
        <v>1.5144432974317425E-2</v>
      </c>
      <c r="P279" s="22">
        <f t="shared" si="66"/>
        <v>1.4859072994188992E-2</v>
      </c>
      <c r="Q279" s="22">
        <f t="shared" si="66"/>
        <v>1.4600962695243356E-2</v>
      </c>
      <c r="R279" s="22">
        <f t="shared" si="66"/>
        <v>1.4195146991156963E-2</v>
      </c>
      <c r="S279" s="22">
        <f t="shared" si="66"/>
        <v>1.2450004331704253E-2</v>
      </c>
      <c r="T279" s="22">
        <f t="shared" si="66"/>
        <v>1.2568672834795916E-2</v>
      </c>
      <c r="U279" s="22">
        <f t="shared" si="66"/>
        <v>1.2648972581089315E-2</v>
      </c>
      <c r="V279" s="22">
        <f t="shared" si="66"/>
        <v>1.2726660521563772E-2</v>
      </c>
      <c r="W279" s="22">
        <f t="shared" si="66"/>
        <v>1.2855137689183753E-2</v>
      </c>
      <c r="X279" s="22">
        <f t="shared" si="66"/>
        <v>1.297938056472487E-2</v>
      </c>
      <c r="Y279" s="22">
        <f t="shared" si="66"/>
        <v>1.3109816934655115E-2</v>
      </c>
      <c r="Z279" s="22">
        <f t="shared" si="66"/>
        <v>1.3223373330920015E-2</v>
      </c>
      <c r="AA279" s="22">
        <f t="shared" si="66"/>
        <v>1.3352615908416542E-2</v>
      </c>
      <c r="AB279" s="22">
        <f t="shared" si="66"/>
        <v>1.345375260428577E-2</v>
      </c>
      <c r="AC279" s="22">
        <f t="shared" si="66"/>
        <v>1.3557664321208735E-2</v>
      </c>
      <c r="AD279" s="22">
        <f t="shared" si="66"/>
        <v>1.3606062598261524E-2</v>
      </c>
      <c r="AE279" s="22">
        <f t="shared" si="66"/>
        <v>1.3672426455496624E-2</v>
      </c>
      <c r="AF279" s="22">
        <f t="shared" si="66"/>
        <v>1.3738534190372041E-2</v>
      </c>
      <c r="AG279" s="22">
        <f t="shared" si="66"/>
        <v>1.3447167463899316E-2</v>
      </c>
      <c r="AH279" s="22">
        <f t="shared" si="66"/>
        <v>-3.1720008078581774E-3</v>
      </c>
      <c r="AI279" s="22">
        <f t="shared" si="66"/>
        <v>-3.098421421287828E-3</v>
      </c>
      <c r="AJ279" s="22">
        <f t="shared" si="66"/>
        <v>-3.0260121778721673E-3</v>
      </c>
      <c r="AK279" s="22">
        <f t="shared" si="66"/>
        <v>-2.9547117917782697E-3</v>
      </c>
      <c r="AL279" s="22">
        <f t="shared" si="66"/>
        <v>-2.8844632142294947E-3</v>
      </c>
      <c r="AM279" s="22">
        <f t="shared" si="66"/>
        <v>-2.8152132408821133E-3</v>
      </c>
      <c r="AN279" s="22">
        <f t="shared" si="66"/>
        <v>-2.7590671775430979E-3</v>
      </c>
      <c r="AO279" s="22">
        <f t="shared" si="66"/>
        <v>-2.7037691326770971E-3</v>
      </c>
      <c r="AP279" s="22">
        <f t="shared" si="66"/>
        <v>-2.6492806782909082E-3</v>
      </c>
      <c r="AQ279" s="22">
        <f t="shared" si="66"/>
        <v>-2.5955657764140799E-3</v>
      </c>
      <c r="AR279" s="22">
        <f t="shared" si="66"/>
        <v>-2.5425905809265438E-3</v>
      </c>
      <c r="AS279" s="22">
        <f t="shared" si="66"/>
        <v>-2.4886307532231877E-3</v>
      </c>
      <c r="AT279" s="22">
        <f t="shared" si="66"/>
        <v>-2.4354129419656258E-3</v>
      </c>
      <c r="AU279" s="22">
        <f t="shared" si="66"/>
        <v>-2.3829079573799484E-3</v>
      </c>
      <c r="AV279" s="22">
        <f t="shared" si="66"/>
        <v>-2.3310882496665208E-3</v>
      </c>
      <c r="AW279" s="22">
        <f t="shared" si="66"/>
        <v>-2.279927786449339E-3</v>
      </c>
      <c r="AY279" s="85"/>
    </row>
    <row r="280" spans="1:51" x14ac:dyDescent="0.25">
      <c r="A280" s="102" t="str">
        <f t="shared" si="45"/>
        <v>FA MM Volatilisation</v>
      </c>
      <c r="B280" s="102" t="s">
        <v>963</v>
      </c>
      <c r="C280" s="102" t="s">
        <v>1333</v>
      </c>
      <c r="D280" t="s">
        <v>369</v>
      </c>
      <c r="E280" t="s">
        <v>64</v>
      </c>
      <c r="F280" t="s">
        <v>62</v>
      </c>
      <c r="G280" t="s">
        <v>1163</v>
      </c>
      <c r="H280" t="s">
        <v>1296</v>
      </c>
      <c r="I280" t="s">
        <v>139</v>
      </c>
      <c r="J280" t="s">
        <v>287</v>
      </c>
      <c r="K280" s="22">
        <f t="shared" si="65"/>
        <v>0.15922781806557695</v>
      </c>
      <c r="L280" s="22">
        <f t="shared" si="66"/>
        <v>0.16489874459702494</v>
      </c>
      <c r="M280" s="22">
        <f t="shared" si="66"/>
        <v>0.16939991585045727</v>
      </c>
      <c r="N280" s="22">
        <f t="shared" si="66"/>
        <v>0.17218348693308003</v>
      </c>
      <c r="O280" s="22">
        <f t="shared" si="66"/>
        <v>0.17497286890553645</v>
      </c>
      <c r="P280" s="22">
        <f t="shared" si="66"/>
        <v>0.17867712216797899</v>
      </c>
      <c r="Q280" s="22">
        <f t="shared" si="66"/>
        <v>0.18269010203222399</v>
      </c>
      <c r="R280" s="22">
        <f t="shared" si="66"/>
        <v>0.18477850416218133</v>
      </c>
      <c r="S280" s="22">
        <f t="shared" si="66"/>
        <v>0.16857906885266413</v>
      </c>
      <c r="T280" s="22">
        <f t="shared" si="66"/>
        <v>0.17425287964090236</v>
      </c>
      <c r="U280" s="22">
        <f t="shared" si="66"/>
        <v>0.17949945582313931</v>
      </c>
      <c r="V280" s="22">
        <f t="shared" si="66"/>
        <v>0.18480458029183697</v>
      </c>
      <c r="W280" s="22">
        <f t="shared" si="66"/>
        <v>0.19096302657670283</v>
      </c>
      <c r="X280" s="22">
        <f t="shared" si="66"/>
        <v>0.19719436509402946</v>
      </c>
      <c r="Y280" s="22">
        <f t="shared" si="66"/>
        <v>0.20366092227158905</v>
      </c>
      <c r="Z280" s="22">
        <f t="shared" si="66"/>
        <v>0.21000736593010838</v>
      </c>
      <c r="AA280" s="22">
        <f t="shared" si="66"/>
        <v>0.21674936909166895</v>
      </c>
      <c r="AB280" s="22">
        <f t="shared" si="66"/>
        <v>0.22318188532765407</v>
      </c>
      <c r="AC280" s="22">
        <f t="shared" si="66"/>
        <v>0.22980286680499964</v>
      </c>
      <c r="AD280" s="22">
        <f t="shared" si="66"/>
        <v>0.2382309822629842</v>
      </c>
      <c r="AE280" s="22">
        <f t="shared" si="66"/>
        <v>0.24730559399060587</v>
      </c>
      <c r="AF280" s="22">
        <f t="shared" si="66"/>
        <v>0.25673647400031802</v>
      </c>
      <c r="AG280" s="22">
        <f t="shared" si="66"/>
        <v>0.25964613908565431</v>
      </c>
      <c r="AH280" s="22">
        <f t="shared" si="66"/>
        <v>-6.3291007360128299E-2</v>
      </c>
      <c r="AI280" s="22">
        <f t="shared" si="66"/>
        <v>-6.3895366189305636E-2</v>
      </c>
      <c r="AJ280" s="22">
        <f t="shared" si="66"/>
        <v>-6.4504638848078458E-2</v>
      </c>
      <c r="AK280" s="22">
        <f t="shared" si="66"/>
        <v>-6.5118871838809281E-2</v>
      </c>
      <c r="AL280" s="22">
        <f t="shared" si="66"/>
        <v>-6.5738112081384775E-2</v>
      </c>
      <c r="AM280" s="22">
        <f t="shared" si="66"/>
        <v>-6.6362406916836855E-2</v>
      </c>
      <c r="AN280" s="22">
        <f t="shared" si="66"/>
        <v>-6.6863409386316588E-2</v>
      </c>
      <c r="AO280" s="22">
        <f t="shared" si="66"/>
        <v>-6.7367867762467962E-2</v>
      </c>
      <c r="AP280" s="22">
        <f t="shared" si="66"/>
        <v>-6.7875809396751335E-2</v>
      </c>
      <c r="AQ280" s="22">
        <f t="shared" si="66"/>
        <v>-6.8387261847069211E-2</v>
      </c>
      <c r="AR280" s="22">
        <f t="shared" si="66"/>
        <v>-6.8902252879275511E-2</v>
      </c>
      <c r="AS280" s="22">
        <f t="shared" si="66"/>
        <v>-6.9373629780267981E-2</v>
      </c>
      <c r="AT280" s="22">
        <f t="shared" si="66"/>
        <v>-6.9847719512371606E-2</v>
      </c>
      <c r="AU280" s="22">
        <f t="shared" si="66"/>
        <v>-7.0324540021641888E-2</v>
      </c>
      <c r="AV280" s="22">
        <f t="shared" si="66"/>
        <v>-7.0804109366663218E-2</v>
      </c>
      <c r="AW280" s="22">
        <f t="shared" si="66"/>
        <v>-7.1286445719229846E-2</v>
      </c>
      <c r="AY280" s="85"/>
    </row>
    <row r="281" spans="1:51" x14ac:dyDescent="0.25">
      <c r="A281" s="102" t="str">
        <f t="shared" si="45"/>
        <v>FA MM Volatilisation</v>
      </c>
      <c r="B281" s="102" t="s">
        <v>963</v>
      </c>
      <c r="C281" s="102" t="s">
        <v>1333</v>
      </c>
      <c r="D281" t="s">
        <v>369</v>
      </c>
      <c r="E281" t="s">
        <v>64</v>
      </c>
      <c r="F281" t="s">
        <v>62</v>
      </c>
      <c r="G281" t="s">
        <v>1165</v>
      </c>
      <c r="H281" t="s">
        <v>1297</v>
      </c>
      <c r="I281" t="s">
        <v>139</v>
      </c>
      <c r="J281" t="s">
        <v>287</v>
      </c>
      <c r="K281" s="22">
        <f t="shared" si="65"/>
        <v>1.171858684484313E-4</v>
      </c>
      <c r="L281" s="22">
        <f t="shared" si="66"/>
        <v>1.1724986264912743E-4</v>
      </c>
      <c r="M281" s="22">
        <f t="shared" si="66"/>
        <v>1.1739315795736154E-4</v>
      </c>
      <c r="N281" s="22">
        <f t="shared" si="66"/>
        <v>1.1760884747933323E-4</v>
      </c>
      <c r="O281" s="22">
        <f t="shared" si="66"/>
        <v>1.1789981697079396E-4</v>
      </c>
      <c r="P281" s="22">
        <f t="shared" si="66"/>
        <v>1.1826637517857024E-4</v>
      </c>
      <c r="Q281" s="22">
        <f t="shared" si="66"/>
        <v>1.1867470616236446E-4</v>
      </c>
      <c r="R281" s="22">
        <f t="shared" si="66"/>
        <v>1.1911724401941935E-4</v>
      </c>
      <c r="S281" s="22">
        <f t="shared" si="66"/>
        <v>1.1953310214883348E-4</v>
      </c>
      <c r="T281" s="22">
        <f t="shared" si="66"/>
        <v>1.197068141423074E-4</v>
      </c>
      <c r="U281" s="22">
        <f t="shared" si="66"/>
        <v>1.199083856789491E-4</v>
      </c>
      <c r="V281" s="22">
        <f t="shared" si="66"/>
        <v>1.201377754278402E-4</v>
      </c>
      <c r="W281" s="22">
        <f t="shared" si="66"/>
        <v>1.2039617188423161E-4</v>
      </c>
      <c r="X281" s="22">
        <f t="shared" si="66"/>
        <v>1.2067943256873451E-4</v>
      </c>
      <c r="Y281" s="22">
        <f t="shared" si="66"/>
        <v>1.2085380112251055E-4</v>
      </c>
      <c r="Z281" s="22">
        <f t="shared" si="66"/>
        <v>1.2104857439732012E-4</v>
      </c>
      <c r="AA281" s="22">
        <f t="shared" si="66"/>
        <v>1.2126445921474039E-4</v>
      </c>
      <c r="AB281" s="22">
        <f t="shared" si="66"/>
        <v>1.2149813863258011E-4</v>
      </c>
      <c r="AC281" s="22">
        <f t="shared" si="66"/>
        <v>1.2175044819305052E-4</v>
      </c>
      <c r="AD281" s="22">
        <f t="shared" si="66"/>
        <v>1.2191654827812353E-4</v>
      </c>
      <c r="AE281" s="22">
        <f t="shared" si="66"/>
        <v>1.2210011953046386E-4</v>
      </c>
      <c r="AF281" s="22">
        <f t="shared" si="66"/>
        <v>1.2229951100214118E-4</v>
      </c>
      <c r="AG281" s="22">
        <f t="shared" si="66"/>
        <v>1.2249214859428272E-4</v>
      </c>
      <c r="AH281" s="22">
        <f t="shared" si="66"/>
        <v>1.2166856520731395E-4</v>
      </c>
      <c r="AI281" s="22">
        <f t="shared" ref="L281:AW288" si="67">AI1537</f>
        <v>1.2178552707040833E-4</v>
      </c>
      <c r="AJ281" s="22">
        <f t="shared" si="67"/>
        <v>1.2191459506568997E-4</v>
      </c>
      <c r="AK281" s="22">
        <f t="shared" si="67"/>
        <v>1.220553118336419E-4</v>
      </c>
      <c r="AL281" s="22">
        <f t="shared" si="67"/>
        <v>1.2220725536579073E-4</v>
      </c>
      <c r="AM281" s="22">
        <f t="shared" si="67"/>
        <v>1.2237003565016038E-4</v>
      </c>
      <c r="AN281" s="22">
        <f t="shared" si="67"/>
        <v>1.2244903306979284E-4</v>
      </c>
      <c r="AO281" s="22">
        <f t="shared" si="67"/>
        <v>1.2253757835817969E-4</v>
      </c>
      <c r="AP281" s="22">
        <f t="shared" si="67"/>
        <v>1.226353392269764E-4</v>
      </c>
      <c r="AQ281" s="22">
        <f t="shared" si="67"/>
        <v>1.2274200613087834E-4</v>
      </c>
      <c r="AR281" s="22">
        <f t="shared" si="67"/>
        <v>1.228572903354883E-4</v>
      </c>
      <c r="AS281" s="22">
        <f t="shared" si="67"/>
        <v>1.2288572954642337E-4</v>
      </c>
      <c r="AT281" s="22">
        <f t="shared" si="67"/>
        <v>1.2292181660779718E-4</v>
      </c>
      <c r="AU281" s="22">
        <f t="shared" si="67"/>
        <v>1.2296529822294655E-4</v>
      </c>
      <c r="AV281" s="22">
        <f t="shared" si="67"/>
        <v>1.2301593656260403E-4</v>
      </c>
      <c r="AW281" s="22">
        <f t="shared" si="67"/>
        <v>1.2307350807543003E-4</v>
      </c>
      <c r="AY281" s="85"/>
    </row>
    <row r="282" spans="1:51" x14ac:dyDescent="0.25">
      <c r="A282" s="102" t="str">
        <f t="shared" si="45"/>
        <v>FA MM Volatilisation</v>
      </c>
      <c r="B282" s="102" t="s">
        <v>963</v>
      </c>
      <c r="C282" s="102" t="s">
        <v>1333</v>
      </c>
      <c r="D282" t="s">
        <v>369</v>
      </c>
      <c r="E282" t="s">
        <v>64</v>
      </c>
      <c r="F282" t="s">
        <v>62</v>
      </c>
      <c r="G282" t="s">
        <v>1167</v>
      </c>
      <c r="H282" t="s">
        <v>1298</v>
      </c>
      <c r="I282" t="s">
        <v>139</v>
      </c>
      <c r="J282" t="s">
        <v>287</v>
      </c>
      <c r="K282" s="22">
        <f t="shared" si="65"/>
        <v>8.0418980238344318E-4</v>
      </c>
      <c r="L282" s="22">
        <f t="shared" si="67"/>
        <v>8.0462896355784847E-4</v>
      </c>
      <c r="M282" s="22">
        <f t="shared" si="67"/>
        <v>8.0561232978738613E-4</v>
      </c>
      <c r="N282" s="22">
        <f t="shared" si="67"/>
        <v>8.0709250240842989E-4</v>
      </c>
      <c r="O282" s="22">
        <f t="shared" si="67"/>
        <v>8.090892849636611E-4</v>
      </c>
      <c r="P282" s="22">
        <f t="shared" si="67"/>
        <v>8.1160479623286605E-4</v>
      </c>
      <c r="Q282" s="22">
        <f t="shared" si="67"/>
        <v>8.1440697381205979E-4</v>
      </c>
      <c r="R282" s="22">
        <f t="shared" si="67"/>
        <v>8.1744389657863702E-4</v>
      </c>
      <c r="S282" s="22">
        <f t="shared" si="67"/>
        <v>8.2029772930899112E-4</v>
      </c>
      <c r="T282" s="22">
        <f t="shared" si="67"/>
        <v>8.214898305030433E-4</v>
      </c>
      <c r="U282" s="22">
        <f t="shared" si="67"/>
        <v>8.2287311823529526E-4</v>
      </c>
      <c r="V282" s="22">
        <f t="shared" si="67"/>
        <v>8.2444730887169186E-4</v>
      </c>
      <c r="W282" s="22">
        <f t="shared" si="67"/>
        <v>8.2622055847894659E-4</v>
      </c>
      <c r="X282" s="22">
        <f t="shared" si="67"/>
        <v>8.2816443922932592E-4</v>
      </c>
      <c r="Y282" s="22">
        <f t="shared" si="67"/>
        <v>8.2936104607842529E-4</v>
      </c>
      <c r="Z282" s="22">
        <f t="shared" si="67"/>
        <v>8.3069768063558287E-4</v>
      </c>
      <c r="AA282" s="22">
        <f t="shared" si="67"/>
        <v>8.3217919347460879E-4</v>
      </c>
      <c r="AB282" s="22">
        <f t="shared" si="67"/>
        <v>8.337828220293293E-4</v>
      </c>
      <c r="AC282" s="22">
        <f t="shared" si="67"/>
        <v>8.3551430022086096E-4</v>
      </c>
      <c r="AD282" s="22">
        <f t="shared" si="67"/>
        <v>8.3665416457788034E-4</v>
      </c>
      <c r="AE282" s="22">
        <f t="shared" si="67"/>
        <v>8.3791392508567411E-4</v>
      </c>
      <c r="AF282" s="22">
        <f t="shared" si="67"/>
        <v>8.3928225208899118E-4</v>
      </c>
      <c r="AG282" s="22">
        <f t="shared" si="67"/>
        <v>8.4060423049139648E-4</v>
      </c>
      <c r="AH282" s="22">
        <f t="shared" si="67"/>
        <v>8.349523769873693E-4</v>
      </c>
      <c r="AI282" s="22">
        <f t="shared" si="67"/>
        <v>8.3575502954960786E-4</v>
      </c>
      <c r="AJ282" s="22">
        <f t="shared" si="67"/>
        <v>8.3664076062788407E-4</v>
      </c>
      <c r="AK282" s="22">
        <f t="shared" si="67"/>
        <v>8.3760643158556521E-4</v>
      </c>
      <c r="AL282" s="22">
        <f t="shared" si="67"/>
        <v>8.3864914638309197E-4</v>
      </c>
      <c r="AM282" s="22">
        <f t="shared" si="67"/>
        <v>8.3976622855735407E-4</v>
      </c>
      <c r="AN282" s="22">
        <f t="shared" si="67"/>
        <v>8.4030834954962157E-4</v>
      </c>
      <c r="AO282" s="22">
        <f t="shared" si="67"/>
        <v>8.40915992936257E-4</v>
      </c>
      <c r="AP282" s="22">
        <f t="shared" si="67"/>
        <v>8.4158687838344786E-4</v>
      </c>
      <c r="AQ282" s="22">
        <f t="shared" si="67"/>
        <v>8.4231888163183893E-4</v>
      </c>
      <c r="AR282" s="22">
        <f t="shared" si="67"/>
        <v>8.4311002123724286E-4</v>
      </c>
      <c r="AS282" s="22">
        <f t="shared" si="67"/>
        <v>8.4330518575430119E-4</v>
      </c>
      <c r="AT282" s="22">
        <f t="shared" si="67"/>
        <v>8.4355283376117286E-4</v>
      </c>
      <c r="AU282" s="22">
        <f t="shared" si="67"/>
        <v>8.4385122700565967E-4</v>
      </c>
      <c r="AV282" s="22">
        <f t="shared" si="67"/>
        <v>8.4419873338079966E-4</v>
      </c>
      <c r="AW282" s="22">
        <f t="shared" si="67"/>
        <v>8.4459381876212985E-4</v>
      </c>
      <c r="AY282" s="85"/>
    </row>
    <row r="283" spans="1:51" x14ac:dyDescent="0.25">
      <c r="A283" s="102" t="str">
        <f t="shared" si="45"/>
        <v>FA MM Volatilisation</v>
      </c>
      <c r="B283" s="102" t="s">
        <v>963</v>
      </c>
      <c r="C283" s="102" t="s">
        <v>1333</v>
      </c>
      <c r="D283" t="s">
        <v>369</v>
      </c>
      <c r="E283" t="s">
        <v>64</v>
      </c>
      <c r="F283" t="s">
        <v>62</v>
      </c>
      <c r="G283" t="s">
        <v>1169</v>
      </c>
      <c r="H283" t="s">
        <v>1299</v>
      </c>
      <c r="I283" t="s">
        <v>139</v>
      </c>
      <c r="J283" t="s">
        <v>287</v>
      </c>
      <c r="K283" s="22">
        <f t="shared" si="65"/>
        <v>1.448564899297015E-5</v>
      </c>
      <c r="L283" s="22">
        <f t="shared" si="67"/>
        <v>1.4523430996818443E-5</v>
      </c>
      <c r="M283" s="22">
        <f t="shared" si="67"/>
        <v>1.4573778863725232E-5</v>
      </c>
      <c r="N283" s="22">
        <f t="shared" si="67"/>
        <v>1.4635573261684436E-5</v>
      </c>
      <c r="O283" s="22">
        <f t="shared" si="67"/>
        <v>1.4709556756482727E-5</v>
      </c>
      <c r="P283" s="22">
        <f t="shared" si="67"/>
        <v>1.4795926227225603E-5</v>
      </c>
      <c r="Q283" s="22">
        <f t="shared" si="67"/>
        <v>1.4888271114151717E-5</v>
      </c>
      <c r="R283" s="22">
        <f t="shared" si="67"/>
        <v>1.4985270961083386E-5</v>
      </c>
      <c r="S283" s="22">
        <f t="shared" si="67"/>
        <v>1.5075379558400601E-5</v>
      </c>
      <c r="T283" s="22">
        <f t="shared" si="67"/>
        <v>1.5117607192403529E-5</v>
      </c>
      <c r="U283" s="22">
        <f t="shared" si="67"/>
        <v>1.5163912133825485E-5</v>
      </c>
      <c r="V283" s="22">
        <f t="shared" si="67"/>
        <v>1.5214353144806387E-5</v>
      </c>
      <c r="W283" s="22">
        <f t="shared" si="67"/>
        <v>1.5269211713136201E-5</v>
      </c>
      <c r="X283" s="22">
        <f t="shared" si="67"/>
        <v>1.532774923131804E-5</v>
      </c>
      <c r="Y283" s="22">
        <f t="shared" si="67"/>
        <v>1.5364750505414648E-5</v>
      </c>
      <c r="Z283" s="22">
        <f t="shared" si="67"/>
        <v>1.5404784002427286E-5</v>
      </c>
      <c r="AA283" s="22">
        <f t="shared" si="67"/>
        <v>1.5448015343528086E-5</v>
      </c>
      <c r="AB283" s="22">
        <f t="shared" si="67"/>
        <v>1.5493849362144256E-5</v>
      </c>
      <c r="AC283" s="22">
        <f t="shared" si="67"/>
        <v>1.5542469399401565E-5</v>
      </c>
      <c r="AD283" s="22">
        <f t="shared" si="67"/>
        <v>1.5574312295454071E-5</v>
      </c>
      <c r="AE283" s="22">
        <f t="shared" si="67"/>
        <v>1.5608846144431889E-5</v>
      </c>
      <c r="AF283" s="22">
        <f t="shared" si="67"/>
        <v>1.5645779000697075E-5</v>
      </c>
      <c r="AG283" s="22">
        <f t="shared" si="67"/>
        <v>1.5680933682266714E-5</v>
      </c>
      <c r="AH283" s="22">
        <f t="shared" si="67"/>
        <v>1.5527256766488218E-5</v>
      </c>
      <c r="AI283" s="22">
        <f t="shared" si="67"/>
        <v>1.554781877984383E-5</v>
      </c>
      <c r="AJ283" s="22">
        <f t="shared" si="67"/>
        <v>1.55702244870708E-5</v>
      </c>
      <c r="AK283" s="22">
        <f t="shared" si="67"/>
        <v>1.5594399014227251E-5</v>
      </c>
      <c r="AL283" s="22">
        <f t="shared" si="67"/>
        <v>1.5620273295013295E-5</v>
      </c>
      <c r="AM283" s="22">
        <f t="shared" si="67"/>
        <v>1.5647783514700204E-5</v>
      </c>
      <c r="AN283" s="22">
        <f t="shared" si="67"/>
        <v>1.5659592232765599E-5</v>
      </c>
      <c r="AO283" s="22">
        <f t="shared" si="67"/>
        <v>1.567287471387214E-5</v>
      </c>
      <c r="AP283" s="22">
        <f t="shared" si="67"/>
        <v>1.5687575397224304E-5</v>
      </c>
      <c r="AQ283" s="22">
        <f t="shared" si="67"/>
        <v>1.5703642533627797E-5</v>
      </c>
      <c r="AR283" s="22">
        <f t="shared" si="67"/>
        <v>1.5721027858938722E-5</v>
      </c>
      <c r="AS283" s="22">
        <f t="shared" si="67"/>
        <v>1.5722384261001388E-5</v>
      </c>
      <c r="AT283" s="22">
        <f t="shared" si="67"/>
        <v>1.5724946955034498E-5</v>
      </c>
      <c r="AU283" s="22">
        <f t="shared" si="67"/>
        <v>1.572867261939389E-5</v>
      </c>
      <c r="AV283" s="22">
        <f t="shared" si="67"/>
        <v>1.5733520584102464E-5</v>
      </c>
      <c r="AW283" s="22">
        <f t="shared" si="67"/>
        <v>1.5739452625419502E-5</v>
      </c>
      <c r="AY283" s="85"/>
    </row>
    <row r="284" spans="1:51" x14ac:dyDescent="0.25">
      <c r="A284" s="102" t="str">
        <f t="shared" si="45"/>
        <v>FA MM Volatilisation</v>
      </c>
      <c r="B284" s="102" t="s">
        <v>963</v>
      </c>
      <c r="C284" s="102" t="s">
        <v>1333</v>
      </c>
      <c r="D284" t="s">
        <v>369</v>
      </c>
      <c r="E284" t="s">
        <v>64</v>
      </c>
      <c r="F284" t="s">
        <v>62</v>
      </c>
      <c r="G284" t="s">
        <v>1171</v>
      </c>
      <c r="H284" t="s">
        <v>1300</v>
      </c>
      <c r="I284" t="s">
        <v>139</v>
      </c>
      <c r="J284" t="s">
        <v>287</v>
      </c>
      <c r="K284" s="22">
        <f t="shared" si="65"/>
        <v>1.4737874698328016E-3</v>
      </c>
      <c r="L284" s="22">
        <f t="shared" si="67"/>
        <v>1.4776314566561611E-3</v>
      </c>
      <c r="M284" s="22">
        <f t="shared" si="67"/>
        <v>1.4827539096036295E-3</v>
      </c>
      <c r="N284" s="22">
        <f t="shared" si="67"/>
        <v>1.4890409464814621E-3</v>
      </c>
      <c r="O284" s="22">
        <f t="shared" si="67"/>
        <v>1.4965681168319985E-3</v>
      </c>
      <c r="P284" s="22">
        <f t="shared" si="67"/>
        <v>1.5053554513738414E-3</v>
      </c>
      <c r="Q284" s="22">
        <f t="shared" si="67"/>
        <v>1.5147507319940522E-3</v>
      </c>
      <c r="R284" s="22">
        <f t="shared" si="67"/>
        <v>1.5246196138821182E-3</v>
      </c>
      <c r="S284" s="22">
        <f t="shared" si="67"/>
        <v>1.5337873716895019E-3</v>
      </c>
      <c r="T284" s="22">
        <f t="shared" si="67"/>
        <v>1.5380836623081961E-3</v>
      </c>
      <c r="U284" s="22">
        <f t="shared" si="67"/>
        <v>1.5427947831210876E-3</v>
      </c>
      <c r="V284" s="22">
        <f t="shared" si="67"/>
        <v>1.5479267126594486E-3</v>
      </c>
      <c r="W284" s="22">
        <f t="shared" si="67"/>
        <v>1.5535080898318955E-3</v>
      </c>
      <c r="X284" s="22">
        <f t="shared" si="67"/>
        <v>1.5594637678172844E-3</v>
      </c>
      <c r="Y284" s="22">
        <f t="shared" si="67"/>
        <v>1.5632283222502894E-3</v>
      </c>
      <c r="Z284" s="22">
        <f t="shared" si="67"/>
        <v>1.5673013787146175E-3</v>
      </c>
      <c r="AA284" s="22">
        <f t="shared" si="67"/>
        <v>1.5716997877088814E-3</v>
      </c>
      <c r="AB284" s="22">
        <f t="shared" si="67"/>
        <v>1.5763629962652517E-3</v>
      </c>
      <c r="AC284" s="22">
        <f t="shared" si="67"/>
        <v>1.5813096577318795E-3</v>
      </c>
      <c r="AD284" s="22">
        <f t="shared" si="67"/>
        <v>1.5845493925361778E-3</v>
      </c>
      <c r="AE284" s="22">
        <f t="shared" si="67"/>
        <v>1.5880629081496864E-3</v>
      </c>
      <c r="AF284" s="22">
        <f t="shared" si="67"/>
        <v>1.591820501669672E-3</v>
      </c>
      <c r="AG284" s="22">
        <f t="shared" si="67"/>
        <v>1.5953971815428655E-3</v>
      </c>
      <c r="AH284" s="22">
        <f t="shared" si="67"/>
        <v>1.5797619060376521E-3</v>
      </c>
      <c r="AI284" s="22">
        <f t="shared" si="67"/>
        <v>1.5818539101758679E-3</v>
      </c>
      <c r="AJ284" s="22">
        <f t="shared" si="67"/>
        <v>1.5841334939611631E-3</v>
      </c>
      <c r="AK284" s="22">
        <f t="shared" si="67"/>
        <v>1.5865930396280227E-3</v>
      </c>
      <c r="AL284" s="22">
        <f t="shared" si="67"/>
        <v>1.5892255202874612E-3</v>
      </c>
      <c r="AM284" s="22">
        <f t="shared" si="67"/>
        <v>1.5920244433517013E-3</v>
      </c>
      <c r="AN284" s="22">
        <f t="shared" si="67"/>
        <v>1.5932258766273534E-3</v>
      </c>
      <c r="AO284" s="22">
        <f t="shared" si="67"/>
        <v>1.5945772523394538E-3</v>
      </c>
      <c r="AP284" s="22">
        <f t="shared" si="67"/>
        <v>1.5960729176653851E-3</v>
      </c>
      <c r="AQ284" s="22">
        <f t="shared" si="67"/>
        <v>1.5977076075794545E-3</v>
      </c>
      <c r="AR284" s="22">
        <f t="shared" si="67"/>
        <v>1.599476411629218E-3</v>
      </c>
      <c r="AS284" s="22">
        <f t="shared" si="67"/>
        <v>1.5996144136175981E-3</v>
      </c>
      <c r="AT284" s="22">
        <f t="shared" si="67"/>
        <v>1.599875145211802E-3</v>
      </c>
      <c r="AU284" s="22">
        <f t="shared" si="67"/>
        <v>1.6002541988152919E-3</v>
      </c>
      <c r="AV284" s="22">
        <f t="shared" si="67"/>
        <v>1.6007474366153491E-3</v>
      </c>
      <c r="AW284" s="22">
        <f t="shared" si="67"/>
        <v>1.601350969682305E-3</v>
      </c>
      <c r="AY284" s="85"/>
    </row>
    <row r="285" spans="1:51" x14ac:dyDescent="0.25">
      <c r="A285" s="102" t="str">
        <f t="shared" si="45"/>
        <v>FA MM Volatilisation</v>
      </c>
      <c r="B285" s="102" t="s">
        <v>963</v>
      </c>
      <c r="C285" s="102" t="s">
        <v>1333</v>
      </c>
      <c r="D285" t="s">
        <v>369</v>
      </c>
      <c r="E285" t="s">
        <v>64</v>
      </c>
      <c r="F285" t="s">
        <v>62</v>
      </c>
      <c r="G285" t="s">
        <v>1173</v>
      </c>
      <c r="H285" t="s">
        <v>1301</v>
      </c>
      <c r="I285" t="s">
        <v>139</v>
      </c>
      <c r="J285" t="s">
        <v>287</v>
      </c>
      <c r="K285" s="22">
        <f t="shared" si="65"/>
        <v>0</v>
      </c>
      <c r="L285" s="22">
        <f t="shared" si="67"/>
        <v>0</v>
      </c>
      <c r="M285" s="22">
        <f t="shared" si="67"/>
        <v>0</v>
      </c>
      <c r="N285" s="22">
        <f t="shared" si="67"/>
        <v>0</v>
      </c>
      <c r="O285" s="22">
        <f t="shared" si="67"/>
        <v>0</v>
      </c>
      <c r="P285" s="22">
        <f t="shared" si="67"/>
        <v>0</v>
      </c>
      <c r="Q285" s="22">
        <f t="shared" si="67"/>
        <v>0</v>
      </c>
      <c r="R285" s="22">
        <f t="shared" si="67"/>
        <v>0</v>
      </c>
      <c r="S285" s="22">
        <f t="shared" si="67"/>
        <v>0</v>
      </c>
      <c r="T285" s="22">
        <f t="shared" si="67"/>
        <v>0</v>
      </c>
      <c r="U285" s="22">
        <f t="shared" si="67"/>
        <v>0</v>
      </c>
      <c r="V285" s="22">
        <f t="shared" si="67"/>
        <v>0</v>
      </c>
      <c r="W285" s="22">
        <f t="shared" si="67"/>
        <v>0</v>
      </c>
      <c r="X285" s="22">
        <f t="shared" si="67"/>
        <v>0</v>
      </c>
      <c r="Y285" s="22">
        <f t="shared" si="67"/>
        <v>0</v>
      </c>
      <c r="Z285" s="22">
        <f t="shared" si="67"/>
        <v>0</v>
      </c>
      <c r="AA285" s="22">
        <f t="shared" si="67"/>
        <v>0</v>
      </c>
      <c r="AB285" s="22">
        <f t="shared" si="67"/>
        <v>0</v>
      </c>
      <c r="AC285" s="22">
        <f t="shared" si="67"/>
        <v>0</v>
      </c>
      <c r="AD285" s="22">
        <f t="shared" si="67"/>
        <v>0</v>
      </c>
      <c r="AE285" s="22">
        <f t="shared" si="67"/>
        <v>0</v>
      </c>
      <c r="AF285" s="22">
        <f t="shared" si="67"/>
        <v>0</v>
      </c>
      <c r="AG285" s="22">
        <f t="shared" si="67"/>
        <v>0</v>
      </c>
      <c r="AH285" s="22">
        <f t="shared" si="67"/>
        <v>0</v>
      </c>
      <c r="AI285" s="22">
        <f t="shared" si="67"/>
        <v>0</v>
      </c>
      <c r="AJ285" s="22">
        <f t="shared" si="67"/>
        <v>0</v>
      </c>
      <c r="AK285" s="22">
        <f t="shared" si="67"/>
        <v>0</v>
      </c>
      <c r="AL285" s="22">
        <f t="shared" si="67"/>
        <v>0</v>
      </c>
      <c r="AM285" s="22">
        <f t="shared" si="67"/>
        <v>0</v>
      </c>
      <c r="AN285" s="22">
        <f t="shared" si="67"/>
        <v>0</v>
      </c>
      <c r="AO285" s="22">
        <f t="shared" si="67"/>
        <v>0</v>
      </c>
      <c r="AP285" s="22">
        <f t="shared" si="67"/>
        <v>0</v>
      </c>
      <c r="AQ285" s="22">
        <f t="shared" si="67"/>
        <v>0</v>
      </c>
      <c r="AR285" s="22">
        <f t="shared" si="67"/>
        <v>0</v>
      </c>
      <c r="AS285" s="22">
        <f t="shared" si="67"/>
        <v>0</v>
      </c>
      <c r="AT285" s="22">
        <f t="shared" si="67"/>
        <v>0</v>
      </c>
      <c r="AU285" s="22">
        <f t="shared" si="67"/>
        <v>0</v>
      </c>
      <c r="AV285" s="22">
        <f t="shared" si="67"/>
        <v>0</v>
      </c>
      <c r="AW285" s="22">
        <f t="shared" si="67"/>
        <v>0</v>
      </c>
      <c r="AY285" s="85"/>
    </row>
    <row r="286" spans="1:51" x14ac:dyDescent="0.25">
      <c r="A286" s="102" t="str">
        <f t="shared" si="45"/>
        <v>FA MM Volatilisation</v>
      </c>
      <c r="B286" s="102" t="s">
        <v>963</v>
      </c>
      <c r="C286" s="102" t="s">
        <v>1333</v>
      </c>
      <c r="D286" t="s">
        <v>369</v>
      </c>
      <c r="E286" t="s">
        <v>64</v>
      </c>
      <c r="F286" t="s">
        <v>62</v>
      </c>
      <c r="G286" t="s">
        <v>1175</v>
      </c>
      <c r="H286" t="s">
        <v>1302</v>
      </c>
      <c r="I286" t="s">
        <v>139</v>
      </c>
      <c r="J286" t="s">
        <v>287</v>
      </c>
      <c r="K286" s="22">
        <f t="shared" si="65"/>
        <v>0</v>
      </c>
      <c r="L286" s="22">
        <f t="shared" si="67"/>
        <v>0</v>
      </c>
      <c r="M286" s="22">
        <f t="shared" si="67"/>
        <v>0</v>
      </c>
      <c r="N286" s="22">
        <f t="shared" si="67"/>
        <v>0</v>
      </c>
      <c r="O286" s="22">
        <f t="shared" si="67"/>
        <v>0</v>
      </c>
      <c r="P286" s="22">
        <f t="shared" si="67"/>
        <v>0</v>
      </c>
      <c r="Q286" s="22">
        <f t="shared" si="67"/>
        <v>0</v>
      </c>
      <c r="R286" s="22">
        <f t="shared" si="67"/>
        <v>0</v>
      </c>
      <c r="S286" s="22">
        <f t="shared" si="67"/>
        <v>0</v>
      </c>
      <c r="T286" s="22">
        <f t="shared" si="67"/>
        <v>0</v>
      </c>
      <c r="U286" s="22">
        <f t="shared" si="67"/>
        <v>0</v>
      </c>
      <c r="V286" s="22">
        <f t="shared" si="67"/>
        <v>0</v>
      </c>
      <c r="W286" s="22">
        <f t="shared" si="67"/>
        <v>0</v>
      </c>
      <c r="X286" s="22">
        <f t="shared" si="67"/>
        <v>0</v>
      </c>
      <c r="Y286" s="22">
        <f t="shared" si="67"/>
        <v>0</v>
      </c>
      <c r="Z286" s="22">
        <f t="shared" si="67"/>
        <v>0</v>
      </c>
      <c r="AA286" s="22">
        <f t="shared" si="67"/>
        <v>0</v>
      </c>
      <c r="AB286" s="22">
        <f t="shared" si="67"/>
        <v>0</v>
      </c>
      <c r="AC286" s="22">
        <f t="shared" si="67"/>
        <v>0</v>
      </c>
      <c r="AD286" s="22">
        <f t="shared" si="67"/>
        <v>0</v>
      </c>
      <c r="AE286" s="22">
        <f t="shared" si="67"/>
        <v>0</v>
      </c>
      <c r="AF286" s="22">
        <f t="shared" si="67"/>
        <v>0</v>
      </c>
      <c r="AG286" s="22">
        <f t="shared" si="67"/>
        <v>0</v>
      </c>
      <c r="AH286" s="22">
        <f t="shared" si="67"/>
        <v>0</v>
      </c>
      <c r="AI286" s="22">
        <f t="shared" si="67"/>
        <v>0</v>
      </c>
      <c r="AJ286" s="22">
        <f t="shared" si="67"/>
        <v>0</v>
      </c>
      <c r="AK286" s="22">
        <f t="shared" si="67"/>
        <v>0</v>
      </c>
      <c r="AL286" s="22">
        <f t="shared" si="67"/>
        <v>0</v>
      </c>
      <c r="AM286" s="22">
        <f t="shared" si="67"/>
        <v>0</v>
      </c>
      <c r="AN286" s="22">
        <f t="shared" si="67"/>
        <v>0</v>
      </c>
      <c r="AO286" s="22">
        <f t="shared" si="67"/>
        <v>0</v>
      </c>
      <c r="AP286" s="22">
        <f t="shared" si="67"/>
        <v>0</v>
      </c>
      <c r="AQ286" s="22">
        <f t="shared" si="67"/>
        <v>0</v>
      </c>
      <c r="AR286" s="22">
        <f t="shared" si="67"/>
        <v>0</v>
      </c>
      <c r="AS286" s="22">
        <f t="shared" si="67"/>
        <v>0</v>
      </c>
      <c r="AT286" s="22">
        <f t="shared" si="67"/>
        <v>0</v>
      </c>
      <c r="AU286" s="22">
        <f t="shared" si="67"/>
        <v>0</v>
      </c>
      <c r="AV286" s="22">
        <f t="shared" si="67"/>
        <v>0</v>
      </c>
      <c r="AW286" s="22">
        <f t="shared" si="67"/>
        <v>0</v>
      </c>
      <c r="AY286" s="85"/>
    </row>
    <row r="287" spans="1:51" x14ac:dyDescent="0.25">
      <c r="A287" s="102" t="str">
        <f t="shared" si="45"/>
        <v>FA MM Volatilisation</v>
      </c>
      <c r="B287" s="102" t="s">
        <v>963</v>
      </c>
      <c r="C287" s="102" t="s">
        <v>1333</v>
      </c>
      <c r="D287" t="s">
        <v>369</v>
      </c>
      <c r="E287" t="s">
        <v>64</v>
      </c>
      <c r="F287" t="s">
        <v>62</v>
      </c>
      <c r="G287" t="s">
        <v>1177</v>
      </c>
      <c r="H287" t="s">
        <v>1303</v>
      </c>
      <c r="I287" t="s">
        <v>139</v>
      </c>
      <c r="J287" t="s">
        <v>287</v>
      </c>
      <c r="K287" s="22">
        <f t="shared" si="65"/>
        <v>0.13175582522236642</v>
      </c>
      <c r="L287" s="22">
        <f t="shared" si="67"/>
        <v>0.13133995591331252</v>
      </c>
      <c r="M287" s="22">
        <f t="shared" si="67"/>
        <v>0.12996467924172889</v>
      </c>
      <c r="N287" s="22">
        <f t="shared" si="67"/>
        <v>0.12729440169626086</v>
      </c>
      <c r="O287" s="22">
        <f t="shared" si="67"/>
        <v>0.124740958232787</v>
      </c>
      <c r="P287" s="22">
        <f t="shared" si="67"/>
        <v>0.12294968484167307</v>
      </c>
      <c r="Q287" s="22">
        <f t="shared" si="67"/>
        <v>0.12143262568999565</v>
      </c>
      <c r="R287" s="22">
        <f t="shared" si="67"/>
        <v>0.11863912133480742</v>
      </c>
      <c r="S287" s="22">
        <f t="shared" si="67"/>
        <v>0.10385956683599189</v>
      </c>
      <c r="T287" s="22">
        <f t="shared" si="67"/>
        <v>0.10451955212302086</v>
      </c>
      <c r="U287" s="22">
        <f t="shared" si="67"/>
        <v>0.10485083769828313</v>
      </c>
      <c r="V287" s="22">
        <f t="shared" si="67"/>
        <v>0.10517291212466306</v>
      </c>
      <c r="W287" s="22">
        <f t="shared" si="67"/>
        <v>0.10595961192608362</v>
      </c>
      <c r="X287" s="22">
        <f t="shared" si="67"/>
        <v>0.10671986419880256</v>
      </c>
      <c r="Y287" s="22">
        <f t="shared" si="67"/>
        <v>0.10759206833097582</v>
      </c>
      <c r="Z287" s="22">
        <f t="shared" si="67"/>
        <v>0.10832415148302713</v>
      </c>
      <c r="AA287" s="22">
        <f t="shared" si="67"/>
        <v>0.10920394511601654</v>
      </c>
      <c r="AB287" s="22">
        <f t="shared" si="67"/>
        <v>0.10984438432762617</v>
      </c>
      <c r="AC287" s="22">
        <f t="shared" si="67"/>
        <v>0.11051807029951835</v>
      </c>
      <c r="AD287" s="22">
        <f t="shared" si="67"/>
        <v>0.11176064621994924</v>
      </c>
      <c r="AE287" s="22">
        <f t="shared" si="67"/>
        <v>0.11321217775824029</v>
      </c>
      <c r="AF287" s="22">
        <f t="shared" si="67"/>
        <v>0.11471425126432638</v>
      </c>
      <c r="AG287" s="22">
        <f t="shared" si="67"/>
        <v>0.11302605462152289</v>
      </c>
      <c r="AH287" s="22">
        <f t="shared" si="67"/>
        <v>-3.8135833829008307E-2</v>
      </c>
      <c r="AI287" s="22">
        <f t="shared" si="67"/>
        <v>-3.7718689403419284E-2</v>
      </c>
      <c r="AJ287" s="22">
        <f t="shared" si="67"/>
        <v>-3.7310479618025916E-2</v>
      </c>
      <c r="AK287" s="22">
        <f t="shared" si="67"/>
        <v>-3.6910619979896454E-2</v>
      </c>
      <c r="AL287" s="22">
        <f t="shared" si="67"/>
        <v>-3.6518568792738119E-2</v>
      </c>
      <c r="AM287" s="22">
        <f t="shared" si="67"/>
        <v>-3.6133823018213627E-2</v>
      </c>
      <c r="AN287" s="22">
        <f t="shared" si="67"/>
        <v>-3.5711833561214323E-2</v>
      </c>
      <c r="AO287" s="22">
        <f t="shared" si="67"/>
        <v>-3.5297284374171914E-2</v>
      </c>
      <c r="AP287" s="22">
        <f t="shared" si="67"/>
        <v>-3.4889740911291982E-2</v>
      </c>
      <c r="AQ287" s="22">
        <f t="shared" si="67"/>
        <v>-3.4488797010350791E-2</v>
      </c>
      <c r="AR287" s="22">
        <f t="shared" si="67"/>
        <v>-3.4094072440282994E-2</v>
      </c>
      <c r="AS287" s="22">
        <f t="shared" si="67"/>
        <v>-3.3663911026345139E-2</v>
      </c>
      <c r="AT287" s="22">
        <f t="shared" si="67"/>
        <v>-3.3240319741355787E-2</v>
      </c>
      <c r="AU287" s="22">
        <f t="shared" si="67"/>
        <v>-3.2822960396725463E-2</v>
      </c>
      <c r="AV287" s="22">
        <f t="shared" si="67"/>
        <v>-3.2411514785230008E-2</v>
      </c>
      <c r="AW287" s="22">
        <f t="shared" si="67"/>
        <v>-3.2005683123121166E-2</v>
      </c>
      <c r="AY287" s="85"/>
    </row>
    <row r="288" spans="1:51" x14ac:dyDescent="0.25">
      <c r="A288" s="102" t="str">
        <f t="shared" si="45"/>
        <v>FA MM Volatilisation</v>
      </c>
      <c r="B288" s="102" t="s">
        <v>963</v>
      </c>
      <c r="C288" s="102" t="s">
        <v>1333</v>
      </c>
      <c r="D288" t="s">
        <v>369</v>
      </c>
      <c r="E288" t="s">
        <v>64</v>
      </c>
      <c r="F288" t="s">
        <v>62</v>
      </c>
      <c r="G288" t="s">
        <v>1179</v>
      </c>
      <c r="H288" t="s">
        <v>1304</v>
      </c>
      <c r="I288" t="s">
        <v>139</v>
      </c>
      <c r="J288" t="s">
        <v>287</v>
      </c>
      <c r="K288" s="22">
        <f t="shared" si="65"/>
        <v>1.2821907264588839E-2</v>
      </c>
      <c r="L288" s="22">
        <f t="shared" si="67"/>
        <v>1.2781436661441853E-2</v>
      </c>
      <c r="M288" s="22">
        <f t="shared" si="67"/>
        <v>1.2647600681769325E-2</v>
      </c>
      <c r="N288" s="22">
        <f t="shared" si="67"/>
        <v>1.2387740815984108E-2</v>
      </c>
      <c r="O288" s="22">
        <f t="shared" si="67"/>
        <v>1.2139250737926637E-2</v>
      </c>
      <c r="P288" s="22">
        <f t="shared" si="67"/>
        <v>1.196493175607042E-2</v>
      </c>
      <c r="Q288" s="22">
        <f t="shared" si="67"/>
        <v>1.1817298118431442E-2</v>
      </c>
      <c r="R288" s="22">
        <f t="shared" si="67"/>
        <v>1.1545446352295121E-2</v>
      </c>
      <c r="S288" s="22">
        <f t="shared" si="67"/>
        <v>1.0107164007845277E-2</v>
      </c>
      <c r="T288" s="22">
        <f t="shared" si="67"/>
        <v>1.0171390922533838E-2</v>
      </c>
      <c r="U288" s="22">
        <f t="shared" si="67"/>
        <v>1.020363020240583E-2</v>
      </c>
      <c r="V288" s="22">
        <f t="shared" si="67"/>
        <v>1.0234973093092974E-2</v>
      </c>
      <c r="W288" s="22">
        <f t="shared" si="67"/>
        <v>1.0311531316472175E-2</v>
      </c>
      <c r="X288" s="22">
        <f t="shared" ref="L288:AW295" si="68">X1544</f>
        <v>1.0385515780703972E-2</v>
      </c>
      <c r="Y288" s="22">
        <f t="shared" si="68"/>
        <v>1.0470394915874219E-2</v>
      </c>
      <c r="Z288" s="22">
        <f t="shared" si="68"/>
        <v>1.0541638083071781E-2</v>
      </c>
      <c r="AA288" s="22">
        <f t="shared" si="68"/>
        <v>1.0627255795648265E-2</v>
      </c>
      <c r="AB288" s="22">
        <f t="shared" si="68"/>
        <v>1.0689580570784438E-2</v>
      </c>
      <c r="AC288" s="22">
        <f t="shared" si="68"/>
        <v>1.0755140776889006E-2</v>
      </c>
      <c r="AD288" s="22">
        <f t="shared" si="68"/>
        <v>1.0876062893190786E-2</v>
      </c>
      <c r="AE288" s="22">
        <f t="shared" si="68"/>
        <v>1.1017319666803515E-2</v>
      </c>
      <c r="AF288" s="22">
        <f t="shared" si="68"/>
        <v>1.1163494966203955E-2</v>
      </c>
      <c r="AG288" s="22">
        <f t="shared" si="68"/>
        <v>1.0999206967841195E-2</v>
      </c>
      <c r="AH288" s="22">
        <f t="shared" si="68"/>
        <v>-3.7112144680363467E-3</v>
      </c>
      <c r="AI288" s="22">
        <f t="shared" si="68"/>
        <v>-3.6706197760611272E-3</v>
      </c>
      <c r="AJ288" s="22">
        <f t="shared" si="68"/>
        <v>-3.6308945646408518E-3</v>
      </c>
      <c r="AK288" s="22">
        <f t="shared" si="68"/>
        <v>-3.5919819534504542E-3</v>
      </c>
      <c r="AL288" s="22">
        <f t="shared" si="68"/>
        <v>-3.5538292269487438E-3</v>
      </c>
      <c r="AM288" s="22">
        <f t="shared" si="68"/>
        <v>-3.5163874316196208E-3</v>
      </c>
      <c r="AN288" s="22">
        <f t="shared" si="68"/>
        <v>-3.4753212421350377E-3</v>
      </c>
      <c r="AO288" s="22">
        <f t="shared" si="68"/>
        <v>-3.4349791075546665E-3</v>
      </c>
      <c r="AP288" s="22">
        <f t="shared" si="68"/>
        <v>-3.3953187397605549E-3</v>
      </c>
      <c r="AQ288" s="22">
        <f t="shared" si="68"/>
        <v>-3.3563006128011267E-3</v>
      </c>
      <c r="AR288" s="22">
        <f t="shared" si="68"/>
        <v>-3.3178877242330336E-3</v>
      </c>
      <c r="AS288" s="22">
        <f t="shared" si="68"/>
        <v>-3.2760262752306304E-3</v>
      </c>
      <c r="AT288" s="22">
        <f t="shared" si="68"/>
        <v>-3.2348042027715565E-3</v>
      </c>
      <c r="AU288" s="22">
        <f t="shared" si="68"/>
        <v>-3.1941885958044411E-3</v>
      </c>
      <c r="AV288" s="22">
        <f t="shared" si="68"/>
        <v>-3.1541484877779971E-3</v>
      </c>
      <c r="AW288" s="22">
        <f t="shared" si="68"/>
        <v>-3.1146547050339602E-3</v>
      </c>
      <c r="AY288" s="85"/>
    </row>
    <row r="289" spans="1:51" x14ac:dyDescent="0.25">
      <c r="A289" s="102" t="str">
        <f t="shared" si="45"/>
        <v>FA MM Volatilisation</v>
      </c>
      <c r="B289" s="102" t="s">
        <v>963</v>
      </c>
      <c r="C289" s="102" t="s">
        <v>1333</v>
      </c>
      <c r="D289" t="s">
        <v>369</v>
      </c>
      <c r="E289" t="s">
        <v>64</v>
      </c>
      <c r="F289" t="s">
        <v>62</v>
      </c>
      <c r="G289" t="s">
        <v>1181</v>
      </c>
      <c r="H289" t="s">
        <v>1305</v>
      </c>
      <c r="I289" t="s">
        <v>139</v>
      </c>
      <c r="J289" t="s">
        <v>287</v>
      </c>
      <c r="K289" s="22">
        <f t="shared" si="65"/>
        <v>6.4805763262647462E-2</v>
      </c>
      <c r="L289" s="22">
        <f t="shared" si="68"/>
        <v>6.620917696085285E-2</v>
      </c>
      <c r="M289" s="22">
        <f t="shared" si="68"/>
        <v>6.7339988183967914E-2</v>
      </c>
      <c r="N289" s="22">
        <f t="shared" si="68"/>
        <v>6.8078843848603895E-2</v>
      </c>
      <c r="O289" s="22">
        <f t="shared" si="68"/>
        <v>6.8827728157938209E-2</v>
      </c>
      <c r="P289" s="22">
        <f t="shared" si="68"/>
        <v>6.9793181329029633E-2</v>
      </c>
      <c r="Q289" s="22">
        <f t="shared" si="68"/>
        <v>7.0825640221860539E-2</v>
      </c>
      <c r="R289" s="22">
        <f t="shared" si="68"/>
        <v>7.1426070236781977E-2</v>
      </c>
      <c r="S289" s="22">
        <f t="shared" si="68"/>
        <v>6.7971896986057309E-2</v>
      </c>
      <c r="T289" s="22">
        <f t="shared" si="68"/>
        <v>6.9431161818386017E-2</v>
      </c>
      <c r="U289" s="22">
        <f t="shared" si="68"/>
        <v>7.0793385596642902E-2</v>
      </c>
      <c r="V289" s="22">
        <f t="shared" si="68"/>
        <v>7.216636340015109E-2</v>
      </c>
      <c r="W289" s="22">
        <f t="shared" si="68"/>
        <v>7.3724598547713793E-2</v>
      </c>
      <c r="X289" s="22">
        <f t="shared" si="68"/>
        <v>7.5295777535110922E-2</v>
      </c>
      <c r="Y289" s="22">
        <f t="shared" si="68"/>
        <v>7.6868953264879816E-2</v>
      </c>
      <c r="Z289" s="22">
        <f t="shared" si="68"/>
        <v>7.8411785567373049E-2</v>
      </c>
      <c r="AA289" s="22">
        <f t="shared" si="68"/>
        <v>8.0036606766420104E-2</v>
      </c>
      <c r="AB289" s="22">
        <f t="shared" si="68"/>
        <v>8.1590030948431091E-2</v>
      </c>
      <c r="AC289" s="22">
        <f t="shared" si="68"/>
        <v>8.3180296189840519E-2</v>
      </c>
      <c r="AD289" s="22">
        <f t="shared" si="68"/>
        <v>8.498335225395226E-2</v>
      </c>
      <c r="AE289" s="22">
        <f t="shared" si="68"/>
        <v>8.691067585568038E-2</v>
      </c>
      <c r="AF289" s="22">
        <f t="shared" si="68"/>
        <v>8.8898633943391286E-2</v>
      </c>
      <c r="AG289" s="22">
        <f t="shared" si="68"/>
        <v>8.9490348349999485E-2</v>
      </c>
      <c r="AH289" s="22">
        <f t="shared" si="68"/>
        <v>2.1450020418190146E-2</v>
      </c>
      <c r="AI289" s="22">
        <f t="shared" si="68"/>
        <v>2.1614881965790762E-2</v>
      </c>
      <c r="AJ289" s="22">
        <f t="shared" si="68"/>
        <v>2.1780943831055617E-2</v>
      </c>
      <c r="AK289" s="22">
        <f t="shared" si="68"/>
        <v>2.1948215154072734E-2</v>
      </c>
      <c r="AL289" s="22">
        <f t="shared" si="68"/>
        <v>2.2116705116436826E-2</v>
      </c>
      <c r="AM289" s="22">
        <f t="shared" si="68"/>
        <v>2.2286422943949849E-2</v>
      </c>
      <c r="AN289" s="22">
        <f t="shared" si="68"/>
        <v>2.2431505853437582E-2</v>
      </c>
      <c r="AO289" s="22">
        <f t="shared" si="68"/>
        <v>2.2577484325720341E-2</v>
      </c>
      <c r="AP289" s="22">
        <f t="shared" si="68"/>
        <v>2.2724364182075539E-2</v>
      </c>
      <c r="AQ289" s="22">
        <f t="shared" si="68"/>
        <v>2.2872151263259987E-2</v>
      </c>
      <c r="AR289" s="22">
        <f t="shared" si="68"/>
        <v>2.3020851431037954E-2</v>
      </c>
      <c r="AS289" s="22">
        <f t="shared" si="68"/>
        <v>2.3143882531625137E-2</v>
      </c>
      <c r="AT289" s="22">
        <f t="shared" si="68"/>
        <v>2.3267536914699297E-2</v>
      </c>
      <c r="AU289" s="22">
        <f t="shared" si="68"/>
        <v>2.3391817960867468E-2</v>
      </c>
      <c r="AV289" s="22">
        <f t="shared" si="68"/>
        <v>2.3516729056424043E-2</v>
      </c>
      <c r="AW289" s="22">
        <f t="shared" si="68"/>
        <v>2.3642273594262703E-2</v>
      </c>
      <c r="AY289" s="85"/>
    </row>
    <row r="290" spans="1:51" x14ac:dyDescent="0.25">
      <c r="A290" s="102" t="str">
        <f t="shared" si="45"/>
        <v>FA MM Volatilisation</v>
      </c>
      <c r="B290" s="102" t="s">
        <v>963</v>
      </c>
      <c r="C290" s="102" t="s">
        <v>1333</v>
      </c>
      <c r="D290" t="s">
        <v>369</v>
      </c>
      <c r="E290" t="s">
        <v>64</v>
      </c>
      <c r="F290" t="s">
        <v>62</v>
      </c>
      <c r="G290" t="s">
        <v>1183</v>
      </c>
      <c r="H290" t="s">
        <v>1306</v>
      </c>
      <c r="I290" t="s">
        <v>139</v>
      </c>
      <c r="J290" t="s">
        <v>287</v>
      </c>
      <c r="K290" s="22">
        <f t="shared" si="65"/>
        <v>0.31397927588300406</v>
      </c>
      <c r="L290" s="22">
        <f t="shared" si="68"/>
        <v>0.31907441675710629</v>
      </c>
      <c r="M290" s="22">
        <f t="shared" si="68"/>
        <v>0.3205872704742006</v>
      </c>
      <c r="N290" s="22">
        <f t="shared" si="68"/>
        <v>0.31719609082412314</v>
      </c>
      <c r="O290" s="22">
        <f t="shared" si="68"/>
        <v>0.3138121925530904</v>
      </c>
      <c r="P290" s="22">
        <f t="shared" si="68"/>
        <v>0.31283032074973627</v>
      </c>
      <c r="Q290" s="22">
        <f t="shared" si="68"/>
        <v>0.31262578069676783</v>
      </c>
      <c r="R290" s="22">
        <f t="shared" si="68"/>
        <v>0.30741109145699391</v>
      </c>
      <c r="S290" s="22">
        <f t="shared" si="68"/>
        <v>0.256148371105961</v>
      </c>
      <c r="T290" s="22">
        <f t="shared" si="68"/>
        <v>0.26370410916808512</v>
      </c>
      <c r="U290" s="22">
        <f t="shared" si="68"/>
        <v>0.27001969138915061</v>
      </c>
      <c r="V290" s="22">
        <f t="shared" si="68"/>
        <v>0.2763199496036185</v>
      </c>
      <c r="W290" s="22">
        <f t="shared" si="68"/>
        <v>0.28451678455475204</v>
      </c>
      <c r="X290" s="22">
        <f t="shared" si="68"/>
        <v>0.29268901518137719</v>
      </c>
      <c r="Y290" s="22">
        <f t="shared" si="68"/>
        <v>0.30166157988430881</v>
      </c>
      <c r="Z290" s="22">
        <f t="shared" si="68"/>
        <v>0.31015505304721058</v>
      </c>
      <c r="AA290" s="22">
        <f t="shared" si="68"/>
        <v>0.31937286090334316</v>
      </c>
      <c r="AB290" s="22">
        <f t="shared" si="68"/>
        <v>0.32768435170975169</v>
      </c>
      <c r="AC290" s="22">
        <f t="shared" si="68"/>
        <v>0.3362412673320212</v>
      </c>
      <c r="AD290" s="22">
        <f t="shared" si="68"/>
        <v>0.34761278711237292</v>
      </c>
      <c r="AE290" s="22">
        <f t="shared" si="68"/>
        <v>0.36009727200869485</v>
      </c>
      <c r="AF290" s="22">
        <f t="shared" si="68"/>
        <v>0.37302207723672137</v>
      </c>
      <c r="AG290" s="22">
        <f t="shared" si="68"/>
        <v>0.37158281441490282</v>
      </c>
      <c r="AH290" s="22">
        <f t="shared" si="68"/>
        <v>-0.32225581682934024</v>
      </c>
      <c r="AI290" s="22">
        <f t="shared" si="68"/>
        <v>-0.32271754342348513</v>
      </c>
      <c r="AJ290" s="22">
        <f t="shared" si="68"/>
        <v>-0.32321834210238065</v>
      </c>
      <c r="AK290" s="22">
        <f t="shared" si="68"/>
        <v>-0.32375658230947413</v>
      </c>
      <c r="AL290" s="22">
        <f t="shared" si="68"/>
        <v>-0.32433076013748197</v>
      </c>
      <c r="AM290" s="22">
        <f t="shared" si="68"/>
        <v>-0.32493948616259549</v>
      </c>
      <c r="AN290" s="22">
        <f t="shared" si="68"/>
        <v>-0.32519002694092081</v>
      </c>
      <c r="AO290" s="22">
        <f t="shared" si="68"/>
        <v>-0.32547196769911135</v>
      </c>
      <c r="AP290" s="22">
        <f t="shared" si="68"/>
        <v>-0.32578408919193652</v>
      </c>
      <c r="AQ290" s="22">
        <f t="shared" si="68"/>
        <v>-0.32612525589272406</v>
      </c>
      <c r="AR290" s="22">
        <f t="shared" si="68"/>
        <v>-0.32649440879969549</v>
      </c>
      <c r="AS290" s="22">
        <f t="shared" si="68"/>
        <v>-0.32649961480368156</v>
      </c>
      <c r="AT290" s="22">
        <f t="shared" si="68"/>
        <v>-0.32653073845215902</v>
      </c>
      <c r="AU290" s="22">
        <f t="shared" si="68"/>
        <v>-0.326586821501688</v>
      </c>
      <c r="AV290" s="22">
        <f t="shared" si="68"/>
        <v>-0.32666696441292659</v>
      </c>
      <c r="AW290" s="22">
        <f t="shared" si="68"/>
        <v>-0.32677032179119497</v>
      </c>
      <c r="AY290" s="85"/>
    </row>
    <row r="291" spans="1:51" x14ac:dyDescent="0.25">
      <c r="A291" s="102" t="str">
        <f t="shared" si="45"/>
        <v>FA MM Leaching</v>
      </c>
      <c r="B291" s="102" t="s">
        <v>963</v>
      </c>
      <c r="C291" s="102" t="s">
        <v>1334</v>
      </c>
      <c r="D291" t="s">
        <v>369</v>
      </c>
      <c r="E291" t="s">
        <v>64</v>
      </c>
      <c r="F291" t="s">
        <v>63</v>
      </c>
      <c r="G291" t="s">
        <v>1153</v>
      </c>
      <c r="H291" t="s">
        <v>1307</v>
      </c>
      <c r="I291" t="s">
        <v>139</v>
      </c>
      <c r="J291" t="s">
        <v>287</v>
      </c>
      <c r="K291" s="22">
        <f t="shared" si="65"/>
        <v>8.937279530386584E-2</v>
      </c>
      <c r="L291" s="22">
        <f t="shared" si="68"/>
        <v>8.99287091662518E-2</v>
      </c>
      <c r="M291" s="22">
        <f t="shared" si="68"/>
        <v>9.0310907604627441E-2</v>
      </c>
      <c r="N291" s="22">
        <f t="shared" si="68"/>
        <v>9.0430770661024784E-2</v>
      </c>
      <c r="O291" s="22">
        <f t="shared" si="68"/>
        <v>9.0592927490571046E-2</v>
      </c>
      <c r="P291" s="22">
        <f t="shared" si="68"/>
        <v>9.0948112554123092E-2</v>
      </c>
      <c r="Q291" s="22">
        <f t="shared" si="68"/>
        <v>9.1373943417930939E-2</v>
      </c>
      <c r="R291" s="22">
        <f t="shared" si="68"/>
        <v>9.1501867451345892E-2</v>
      </c>
      <c r="S291" s="22">
        <f t="shared" si="68"/>
        <v>8.8692780673306368E-2</v>
      </c>
      <c r="T291" s="22">
        <f t="shared" si="68"/>
        <v>8.942331322993069E-2</v>
      </c>
      <c r="U291" s="22">
        <f t="shared" si="68"/>
        <v>9.0093190837869708E-2</v>
      </c>
      <c r="V291" s="22">
        <f t="shared" si="68"/>
        <v>9.0780038603481383E-2</v>
      </c>
      <c r="W291" s="22">
        <f t="shared" si="68"/>
        <v>9.1607440170769952E-2</v>
      </c>
      <c r="X291" s="22">
        <f t="shared" si="68"/>
        <v>9.2450367431163069E-2</v>
      </c>
      <c r="Y291" s="22">
        <f t="shared" si="68"/>
        <v>9.3271141222409717E-2</v>
      </c>
      <c r="Z291" s="22">
        <f t="shared" si="68"/>
        <v>9.4075494804423593E-2</v>
      </c>
      <c r="AA291" s="22">
        <f t="shared" si="68"/>
        <v>9.494187182919285E-2</v>
      </c>
      <c r="AB291" s="22">
        <f t="shared" si="68"/>
        <v>9.5762313841523894E-2</v>
      </c>
      <c r="AC291" s="22">
        <f t="shared" si="68"/>
        <v>9.6612184537040763E-2</v>
      </c>
      <c r="AD291" s="22">
        <f t="shared" si="68"/>
        <v>9.7588608414981418E-2</v>
      </c>
      <c r="AE291" s="22">
        <f t="shared" si="68"/>
        <v>9.8652036659073086E-2</v>
      </c>
      <c r="AF291" s="22">
        <f t="shared" si="68"/>
        <v>9.9757674838538646E-2</v>
      </c>
      <c r="AG291" s="22">
        <f t="shared" si="68"/>
        <v>9.9912115595676476E-2</v>
      </c>
      <c r="AH291" s="22">
        <f t="shared" si="68"/>
        <v>5.3491971899674674E-2</v>
      </c>
      <c r="AI291" s="22">
        <f t="shared" si="68"/>
        <v>5.3531314918473571E-2</v>
      </c>
      <c r="AJ291" s="22">
        <f t="shared" si="68"/>
        <v>5.357582611787514E-2</v>
      </c>
      <c r="AK291" s="22">
        <f t="shared" si="68"/>
        <v>5.3625309057202357E-2</v>
      </c>
      <c r="AL291" s="22">
        <f t="shared" si="68"/>
        <v>5.3679582424864689E-2</v>
      </c>
      <c r="AM291" s="22">
        <f t="shared" si="68"/>
        <v>5.3738478604376284E-2</v>
      </c>
      <c r="AN291" s="22">
        <f t="shared" si="68"/>
        <v>5.3763835169364317E-2</v>
      </c>
      <c r="AO291" s="22">
        <f t="shared" si="68"/>
        <v>5.3793262757512665E-2</v>
      </c>
      <c r="AP291" s="22">
        <f t="shared" si="68"/>
        <v>5.3826619180497665E-2</v>
      </c>
      <c r="AQ291" s="22">
        <f t="shared" si="68"/>
        <v>5.3863771952469164E-2</v>
      </c>
      <c r="AR291" s="22">
        <f t="shared" si="68"/>
        <v>5.3904597466717913E-2</v>
      </c>
      <c r="AS291" s="22">
        <f t="shared" si="68"/>
        <v>5.3910563480556228E-2</v>
      </c>
      <c r="AT291" s="22">
        <f t="shared" si="68"/>
        <v>5.3919785471416987E-2</v>
      </c>
      <c r="AU291" s="22">
        <f t="shared" si="68"/>
        <v>5.3932155519366927E-2</v>
      </c>
      <c r="AV291" s="22">
        <f t="shared" si="68"/>
        <v>5.3947572278859428E-2</v>
      </c>
      <c r="AW291" s="22">
        <f t="shared" si="68"/>
        <v>5.3965940473698626E-2</v>
      </c>
      <c r="AY291" s="85"/>
    </row>
    <row r="292" spans="1:51" x14ac:dyDescent="0.25">
      <c r="A292" s="102" t="str">
        <f t="shared" si="45"/>
        <v>FA MM Leaching</v>
      </c>
      <c r="B292" s="102" t="s">
        <v>963</v>
      </c>
      <c r="C292" s="102" t="s">
        <v>1334</v>
      </c>
      <c r="D292" t="s">
        <v>369</v>
      </c>
      <c r="E292" t="s">
        <v>64</v>
      </c>
      <c r="F292" t="s">
        <v>63</v>
      </c>
      <c r="G292" t="s">
        <v>1155</v>
      </c>
      <c r="H292" t="s">
        <v>1308</v>
      </c>
      <c r="I292" t="s">
        <v>139</v>
      </c>
      <c r="J292" t="s">
        <v>287</v>
      </c>
      <c r="K292" s="22">
        <f t="shared" si="65"/>
        <v>2.6988316791591433E-2</v>
      </c>
      <c r="L292" s="22">
        <f t="shared" si="68"/>
        <v>2.7156188674482627E-2</v>
      </c>
      <c r="M292" s="22">
        <f t="shared" si="68"/>
        <v>2.7271602906487613E-2</v>
      </c>
      <c r="N292" s="22">
        <f t="shared" si="68"/>
        <v>2.7307798508590695E-2</v>
      </c>
      <c r="O292" s="22">
        <f t="shared" si="68"/>
        <v>2.7356765757190617E-2</v>
      </c>
      <c r="P292" s="22">
        <f t="shared" si="68"/>
        <v>2.7464022635328895E-2</v>
      </c>
      <c r="Q292" s="22">
        <f t="shared" si="68"/>
        <v>2.7592612752858615E-2</v>
      </c>
      <c r="R292" s="22">
        <f t="shared" si="68"/>
        <v>2.7631242565513824E-2</v>
      </c>
      <c r="S292" s="22">
        <f t="shared" si="68"/>
        <v>2.6782969625151597E-2</v>
      </c>
      <c r="T292" s="22">
        <f t="shared" si="68"/>
        <v>2.7003571923621898E-2</v>
      </c>
      <c r="U292" s="22">
        <f t="shared" si="68"/>
        <v>2.7205857966406888E-2</v>
      </c>
      <c r="V292" s="22">
        <f t="shared" si="68"/>
        <v>2.7413268566275666E-2</v>
      </c>
      <c r="W292" s="22">
        <f t="shared" si="68"/>
        <v>2.7663122848397212E-2</v>
      </c>
      <c r="X292" s="22">
        <f t="shared" si="68"/>
        <v>2.7917665495949085E-2</v>
      </c>
      <c r="Y292" s="22">
        <f t="shared" si="68"/>
        <v>2.8165518357852821E-2</v>
      </c>
      <c r="Z292" s="22">
        <f t="shared" si="68"/>
        <v>2.8408412733149407E-2</v>
      </c>
      <c r="AA292" s="22">
        <f t="shared" si="68"/>
        <v>2.8670036614621735E-2</v>
      </c>
      <c r="AB292" s="22">
        <f t="shared" si="68"/>
        <v>2.8917789287710199E-2</v>
      </c>
      <c r="AC292" s="22">
        <f t="shared" si="68"/>
        <v>2.9174428676514319E-2</v>
      </c>
      <c r="AD292" s="22">
        <f t="shared" si="68"/>
        <v>2.9469283915752844E-2</v>
      </c>
      <c r="AE292" s="22">
        <f t="shared" si="68"/>
        <v>2.979041226626589E-2</v>
      </c>
      <c r="AF292" s="22">
        <f t="shared" si="68"/>
        <v>3.0124286946394699E-2</v>
      </c>
      <c r="AG292" s="22">
        <f t="shared" si="68"/>
        <v>3.0170924136884231E-2</v>
      </c>
      <c r="AH292" s="22">
        <f t="shared" si="68"/>
        <v>1.6153218420962612E-2</v>
      </c>
      <c r="AI292" s="22">
        <f t="shared" si="68"/>
        <v>1.6165099014506461E-2</v>
      </c>
      <c r="AJ292" s="22">
        <f t="shared" si="68"/>
        <v>1.6178540267475436E-2</v>
      </c>
      <c r="AK292" s="22">
        <f t="shared" si="68"/>
        <v>1.6193482859768772E-2</v>
      </c>
      <c r="AL292" s="22">
        <f t="shared" si="68"/>
        <v>1.6209872039886029E-2</v>
      </c>
      <c r="AM292" s="22">
        <f t="shared" si="68"/>
        <v>1.6227657191900897E-2</v>
      </c>
      <c r="AN292" s="22">
        <f t="shared" si="68"/>
        <v>1.6235314231230563E-2</v>
      </c>
      <c r="AO292" s="22">
        <f t="shared" si="68"/>
        <v>1.6244200616272676E-2</v>
      </c>
      <c r="AP292" s="22">
        <f t="shared" si="68"/>
        <v>1.6254273409760815E-2</v>
      </c>
      <c r="AQ292" s="22">
        <f t="shared" si="68"/>
        <v>1.6265492604329402E-2</v>
      </c>
      <c r="AR292" s="22">
        <f t="shared" si="68"/>
        <v>1.6277820873888151E-2</v>
      </c>
      <c r="AS292" s="22">
        <f t="shared" si="68"/>
        <v>1.6279622458709387E-2</v>
      </c>
      <c r="AT292" s="22">
        <f t="shared" si="68"/>
        <v>1.6282407265987193E-2</v>
      </c>
      <c r="AU292" s="22">
        <f t="shared" si="68"/>
        <v>1.6286142706639629E-2</v>
      </c>
      <c r="AV292" s="22">
        <f t="shared" si="68"/>
        <v>1.6290798176882768E-2</v>
      </c>
      <c r="AW292" s="22">
        <f t="shared" si="68"/>
        <v>1.6296344905722616E-2</v>
      </c>
      <c r="AY292" s="85"/>
    </row>
    <row r="293" spans="1:51" x14ac:dyDescent="0.25">
      <c r="A293" s="102" t="str">
        <f t="shared" si="45"/>
        <v>FA MM Leaching</v>
      </c>
      <c r="B293" s="102" t="s">
        <v>963</v>
      </c>
      <c r="C293" s="102" t="s">
        <v>1334</v>
      </c>
      <c r="D293" t="s">
        <v>369</v>
      </c>
      <c r="E293" t="s">
        <v>64</v>
      </c>
      <c r="F293" t="s">
        <v>63</v>
      </c>
      <c r="G293" t="s">
        <v>1157</v>
      </c>
      <c r="H293" t="s">
        <v>1309</v>
      </c>
      <c r="I293" t="s">
        <v>139</v>
      </c>
      <c r="J293" t="s">
        <v>287</v>
      </c>
      <c r="K293" s="22">
        <f t="shared" si="65"/>
        <v>1.4509917151188738E-3</v>
      </c>
      <c r="L293" s="22">
        <f t="shared" si="68"/>
        <v>1.4600171283433256E-3</v>
      </c>
      <c r="M293" s="22">
        <f t="shared" si="68"/>
        <v>1.4662222242646174E-3</v>
      </c>
      <c r="N293" s="22">
        <f t="shared" si="68"/>
        <v>1.4681682336871716E-3</v>
      </c>
      <c r="O293" s="22">
        <f t="shared" si="68"/>
        <v>1.4708008940557055E-3</v>
      </c>
      <c r="P293" s="22">
        <f t="shared" si="68"/>
        <v>1.4765674204667426E-3</v>
      </c>
      <c r="Q293" s="22">
        <f t="shared" si="68"/>
        <v>1.4834809007190539E-3</v>
      </c>
      <c r="R293" s="22">
        <f t="shared" si="68"/>
        <v>1.485557782302746E-3</v>
      </c>
      <c r="S293" s="22">
        <f t="shared" si="68"/>
        <v>1.439951492065016E-3</v>
      </c>
      <c r="T293" s="22">
        <f t="shared" si="68"/>
        <v>1.4518118874312183E-3</v>
      </c>
      <c r="U293" s="22">
        <f t="shared" si="68"/>
        <v>1.4626875331571739E-3</v>
      </c>
      <c r="V293" s="22">
        <f t="shared" si="68"/>
        <v>1.4738386940228707E-3</v>
      </c>
      <c r="W293" s="22">
        <f t="shared" si="68"/>
        <v>1.4872717842057417E-3</v>
      </c>
      <c r="X293" s="22">
        <f t="shared" si="68"/>
        <v>1.5009569382520018E-3</v>
      </c>
      <c r="Y293" s="22">
        <f t="shared" si="68"/>
        <v>1.5142824246825921E-3</v>
      </c>
      <c r="Z293" s="22">
        <f t="shared" si="68"/>
        <v>1.5273413245364029E-3</v>
      </c>
      <c r="AA293" s="22">
        <f t="shared" si="68"/>
        <v>1.5414071919050509E-3</v>
      </c>
      <c r="AB293" s="22">
        <f t="shared" si="68"/>
        <v>1.5547272918144282E-3</v>
      </c>
      <c r="AC293" s="22">
        <f t="shared" si="68"/>
        <v>1.568525174424283E-3</v>
      </c>
      <c r="AD293" s="22">
        <f t="shared" si="68"/>
        <v>1.5843776824779826E-3</v>
      </c>
      <c r="AE293" s="22">
        <f t="shared" si="68"/>
        <v>1.6016427301533305E-3</v>
      </c>
      <c r="AF293" s="22">
        <f t="shared" si="68"/>
        <v>1.6195930676455074E-3</v>
      </c>
      <c r="AG293" s="22">
        <f t="shared" si="68"/>
        <v>1.6221004554733333E-3</v>
      </c>
      <c r="AH293" s="22">
        <f t="shared" si="68"/>
        <v>8.6845675787475588E-4</v>
      </c>
      <c r="AI293" s="22">
        <f t="shared" si="68"/>
        <v>8.6909550251881536E-4</v>
      </c>
      <c r="AJ293" s="22">
        <f t="shared" si="68"/>
        <v>8.6981815398498119E-4</v>
      </c>
      <c r="AK293" s="22">
        <f t="shared" si="68"/>
        <v>8.7062152300526781E-4</v>
      </c>
      <c r="AL293" s="22">
        <f t="shared" si="68"/>
        <v>8.7150266593653532E-4</v>
      </c>
      <c r="AM293" s="22">
        <f t="shared" si="68"/>
        <v>8.7245886147940626E-4</v>
      </c>
      <c r="AN293" s="22">
        <f t="shared" si="68"/>
        <v>8.728705322299566E-4</v>
      </c>
      <c r="AO293" s="22">
        <f t="shared" si="68"/>
        <v>8.7334829715220207E-4</v>
      </c>
      <c r="AP293" s="22">
        <f t="shared" si="68"/>
        <v>8.7388984777991429E-4</v>
      </c>
      <c r="AQ293" s="22">
        <f t="shared" si="68"/>
        <v>8.7449303316917135E-4</v>
      </c>
      <c r="AR293" s="22">
        <f t="shared" si="68"/>
        <v>8.7515584653132471E-4</v>
      </c>
      <c r="AS293" s="22">
        <f t="shared" si="68"/>
        <v>8.7525270639368256E-4</v>
      </c>
      <c r="AT293" s="22">
        <f t="shared" si="68"/>
        <v>8.7540242793132E-4</v>
      </c>
      <c r="AU293" s="22">
        <f t="shared" si="68"/>
        <v>8.7560325903467736E-4</v>
      </c>
      <c r="AV293" s="22">
        <f t="shared" si="68"/>
        <v>8.7585355433115466E-4</v>
      </c>
      <c r="AW293" s="22">
        <f t="shared" si="68"/>
        <v>8.7615176698571857E-4</v>
      </c>
      <c r="AY293" s="85"/>
    </row>
    <row r="294" spans="1:51" x14ac:dyDescent="0.25">
      <c r="A294" s="102" t="str">
        <f t="shared" si="45"/>
        <v>FA MM Leaching</v>
      </c>
      <c r="B294" s="102" t="s">
        <v>963</v>
      </c>
      <c r="C294" s="102" t="s">
        <v>1334</v>
      </c>
      <c r="D294" t="s">
        <v>369</v>
      </c>
      <c r="E294" t="s">
        <v>64</v>
      </c>
      <c r="F294" t="s">
        <v>63</v>
      </c>
      <c r="G294" t="s">
        <v>1159</v>
      </c>
      <c r="H294" t="s">
        <v>1310</v>
      </c>
      <c r="I294" t="s">
        <v>139</v>
      </c>
      <c r="J294" t="s">
        <v>287</v>
      </c>
      <c r="K294" s="22">
        <f t="shared" si="65"/>
        <v>3.0570019073752373E-2</v>
      </c>
      <c r="L294" s="22">
        <f t="shared" si="68"/>
        <v>3.0367387601048686E-2</v>
      </c>
      <c r="M294" s="22">
        <f t="shared" si="68"/>
        <v>2.9940152719715736E-2</v>
      </c>
      <c r="N294" s="22">
        <f t="shared" si="68"/>
        <v>2.9219989120948371E-2</v>
      </c>
      <c r="O294" s="22">
        <f t="shared" si="68"/>
        <v>2.852126892952573E-2</v>
      </c>
      <c r="P294" s="22">
        <f t="shared" si="68"/>
        <v>2.7983855033028606E-2</v>
      </c>
      <c r="Q294" s="22">
        <f t="shared" si="68"/>
        <v>2.749776002622362E-2</v>
      </c>
      <c r="R294" s="22">
        <f t="shared" si="68"/>
        <v>2.6733493787157343E-2</v>
      </c>
      <c r="S294" s="22">
        <f t="shared" si="68"/>
        <v>2.3446894467457041E-2</v>
      </c>
      <c r="T294" s="22">
        <f t="shared" si="68"/>
        <v>2.3670380965491088E-2</v>
      </c>
      <c r="U294" s="22">
        <f t="shared" si="68"/>
        <v>2.3821608196176489E-2</v>
      </c>
      <c r="V294" s="22">
        <f t="shared" si="68"/>
        <v>2.3967916654645059E-2</v>
      </c>
      <c r="W294" s="22">
        <f t="shared" si="68"/>
        <v>2.4209875654048162E-2</v>
      </c>
      <c r="X294" s="22">
        <f t="shared" si="68"/>
        <v>2.4443860278754486E-2</v>
      </c>
      <c r="Y294" s="22">
        <f t="shared" si="68"/>
        <v>2.4689509012601481E-2</v>
      </c>
      <c r="Z294" s="22">
        <f t="shared" si="68"/>
        <v>2.4903367961433137E-2</v>
      </c>
      <c r="AA294" s="22">
        <f t="shared" si="68"/>
        <v>2.5146768445041517E-2</v>
      </c>
      <c r="AB294" s="22">
        <f t="shared" si="68"/>
        <v>2.5337237570324824E-2</v>
      </c>
      <c r="AC294" s="22">
        <f t="shared" si="68"/>
        <v>2.5532932848471888E-2</v>
      </c>
      <c r="AD294" s="22">
        <f t="shared" si="68"/>
        <v>2.5624080551254102E-2</v>
      </c>
      <c r="AE294" s="22">
        <f t="shared" si="68"/>
        <v>2.5749062544479791E-2</v>
      </c>
      <c r="AF294" s="22">
        <f t="shared" si="68"/>
        <v>2.5873562186552946E-2</v>
      </c>
      <c r="AG294" s="22">
        <f t="shared" si="68"/>
        <v>2.53248358805277E-2</v>
      </c>
      <c r="AH294" s="22">
        <f t="shared" si="68"/>
        <v>-5.9737784992688692E-3</v>
      </c>
      <c r="AI294" s="22">
        <f t="shared" si="68"/>
        <v>-5.8352076147992196E-3</v>
      </c>
      <c r="AJ294" s="22">
        <f t="shared" si="68"/>
        <v>-5.6988404422584063E-3</v>
      </c>
      <c r="AK294" s="22">
        <f t="shared" si="68"/>
        <v>-5.5645615630153409E-3</v>
      </c>
      <c r="AL294" s="22">
        <f t="shared" si="68"/>
        <v>-5.4322635380194221E-3</v>
      </c>
      <c r="AM294" s="22">
        <f t="shared" si="68"/>
        <v>-5.3018461683791993E-3</v>
      </c>
      <c r="AN294" s="22">
        <f t="shared" si="68"/>
        <v>-5.1961071833315654E-3</v>
      </c>
      <c r="AO294" s="22">
        <f t="shared" si="68"/>
        <v>-5.0919652579405755E-3</v>
      </c>
      <c r="AP294" s="22">
        <f t="shared" si="68"/>
        <v>-4.9893480213799102E-3</v>
      </c>
      <c r="AQ294" s="22">
        <f t="shared" si="68"/>
        <v>-4.8881876039149471E-3</v>
      </c>
      <c r="AR294" s="22">
        <f t="shared" si="68"/>
        <v>-4.7884202636879142E-3</v>
      </c>
      <c r="AS294" s="22">
        <f t="shared" si="68"/>
        <v>-4.6867985813226392E-3</v>
      </c>
      <c r="AT294" s="22">
        <f t="shared" si="68"/>
        <v>-4.5865743266878378E-3</v>
      </c>
      <c r="AU294" s="22">
        <f t="shared" si="68"/>
        <v>-4.4876925271481486E-3</v>
      </c>
      <c r="AV294" s="22">
        <f t="shared" si="68"/>
        <v>-4.3901012986055903E-3</v>
      </c>
      <c r="AW294" s="22">
        <f t="shared" si="68"/>
        <v>-4.2937516147018842E-3</v>
      </c>
      <c r="AY294" s="85"/>
    </row>
    <row r="295" spans="1:51" x14ac:dyDescent="0.25">
      <c r="A295" s="102" t="str">
        <f t="shared" si="45"/>
        <v>FA MM Leaching</v>
      </c>
      <c r="B295" s="102" t="s">
        <v>963</v>
      </c>
      <c r="C295" s="102" t="s">
        <v>1334</v>
      </c>
      <c r="D295" t="s">
        <v>369</v>
      </c>
      <c r="E295" t="s">
        <v>64</v>
      </c>
      <c r="F295" t="s">
        <v>63</v>
      </c>
      <c r="G295" t="s">
        <v>1161</v>
      </c>
      <c r="H295" t="s">
        <v>1311</v>
      </c>
      <c r="I295" t="s">
        <v>139</v>
      </c>
      <c r="J295" t="s">
        <v>287</v>
      </c>
      <c r="K295" s="22">
        <f t="shared" si="65"/>
        <v>4.0580733454567468E-2</v>
      </c>
      <c r="L295" s="22">
        <f t="shared" si="68"/>
        <v>4.0311746583363478E-2</v>
      </c>
      <c r="M295" s="22">
        <f t="shared" ref="L295:AW301" si="69">M1551</f>
        <v>3.9744605790940746E-2</v>
      </c>
      <c r="N295" s="22">
        <f t="shared" si="69"/>
        <v>3.8788611390847182E-2</v>
      </c>
      <c r="O295" s="22">
        <f t="shared" si="69"/>
        <v>3.7861082435793565E-2</v>
      </c>
      <c r="P295" s="22">
        <f t="shared" si="69"/>
        <v>3.7147682485472483E-2</v>
      </c>
      <c r="Q295" s="22">
        <f t="shared" si="69"/>
        <v>3.6502406738108395E-2</v>
      </c>
      <c r="R295" s="22">
        <f t="shared" si="69"/>
        <v>3.5487867477892406E-2</v>
      </c>
      <c r="S295" s="22">
        <f t="shared" si="69"/>
        <v>3.1125010829260641E-2</v>
      </c>
      <c r="T295" s="22">
        <f t="shared" si="69"/>
        <v>3.142168208698979E-2</v>
      </c>
      <c r="U295" s="22">
        <f t="shared" si="69"/>
        <v>3.1622431452723296E-2</v>
      </c>
      <c r="V295" s="22">
        <f t="shared" si="69"/>
        <v>3.1816651303909434E-2</v>
      </c>
      <c r="W295" s="22">
        <f t="shared" si="69"/>
        <v>3.2137844222959386E-2</v>
      </c>
      <c r="X295" s="22">
        <f t="shared" si="69"/>
        <v>3.2448451411812178E-2</v>
      </c>
      <c r="Y295" s="22">
        <f t="shared" si="69"/>
        <v>3.2774542336637791E-2</v>
      </c>
      <c r="Z295" s="22">
        <f t="shared" si="69"/>
        <v>3.3058433327300053E-2</v>
      </c>
      <c r="AA295" s="22">
        <f t="shared" si="69"/>
        <v>3.3381539771041358E-2</v>
      </c>
      <c r="AB295" s="22">
        <f t="shared" si="69"/>
        <v>3.3634381510714434E-2</v>
      </c>
      <c r="AC295" s="22">
        <f t="shared" si="69"/>
        <v>3.3894160803021843E-2</v>
      </c>
      <c r="AD295" s="22">
        <f t="shared" si="69"/>
        <v>3.4015156495653814E-2</v>
      </c>
      <c r="AE295" s="22">
        <f t="shared" si="69"/>
        <v>3.4181066138741563E-2</v>
      </c>
      <c r="AF295" s="22">
        <f t="shared" si="69"/>
        <v>3.4346335475930106E-2</v>
      </c>
      <c r="AG295" s="22">
        <f t="shared" si="69"/>
        <v>3.3617918659748287E-2</v>
      </c>
      <c r="AH295" s="22">
        <f t="shared" si="69"/>
        <v>-7.9300020196454452E-3</v>
      </c>
      <c r="AI295" s="22">
        <f t="shared" si="69"/>
        <v>-7.7460535532195693E-3</v>
      </c>
      <c r="AJ295" s="22">
        <f t="shared" si="69"/>
        <v>-7.565030444680417E-3</v>
      </c>
      <c r="AK295" s="22">
        <f t="shared" si="69"/>
        <v>-7.3867794794456746E-3</v>
      </c>
      <c r="AL295" s="22">
        <f t="shared" si="69"/>
        <v>-7.211158035573738E-3</v>
      </c>
      <c r="AM295" s="22">
        <f t="shared" si="69"/>
        <v>-7.038033102205285E-3</v>
      </c>
      <c r="AN295" s="22">
        <f t="shared" si="69"/>
        <v>-6.8976679438577443E-3</v>
      </c>
      <c r="AO295" s="22">
        <f t="shared" si="69"/>
        <v>-6.7594228316927426E-3</v>
      </c>
      <c r="AP295" s="22">
        <f t="shared" si="69"/>
        <v>-6.6232016957272714E-3</v>
      </c>
      <c r="AQ295" s="22">
        <f t="shared" si="69"/>
        <v>-6.4889144410352007E-3</v>
      </c>
      <c r="AR295" s="22">
        <f t="shared" si="69"/>
        <v>-6.3564764523163604E-3</v>
      </c>
      <c r="AS295" s="22">
        <f t="shared" si="69"/>
        <v>-6.2215768830579691E-3</v>
      </c>
      <c r="AT295" s="22">
        <f t="shared" si="69"/>
        <v>-6.0885323549140658E-3</v>
      </c>
      <c r="AU295" s="22">
        <f t="shared" si="69"/>
        <v>-5.9572698934498708E-3</v>
      </c>
      <c r="AV295" s="22">
        <f t="shared" si="69"/>
        <v>-5.8277206241663026E-3</v>
      </c>
      <c r="AW295" s="22">
        <f t="shared" si="69"/>
        <v>-5.6998194661233492E-3</v>
      </c>
      <c r="AY295" s="85"/>
    </row>
    <row r="296" spans="1:51" x14ac:dyDescent="0.25">
      <c r="A296" s="102" t="str">
        <f t="shared" si="45"/>
        <v>FA MM Leaching</v>
      </c>
      <c r="B296" s="102" t="s">
        <v>963</v>
      </c>
      <c r="C296" s="102" t="s">
        <v>1334</v>
      </c>
      <c r="D296" t="s">
        <v>369</v>
      </c>
      <c r="E296" t="s">
        <v>64</v>
      </c>
      <c r="F296" t="s">
        <v>63</v>
      </c>
      <c r="G296" t="s">
        <v>1163</v>
      </c>
      <c r="H296" t="s">
        <v>1312</v>
      </c>
      <c r="I296" t="s">
        <v>139</v>
      </c>
      <c r="J296" t="s">
        <v>287</v>
      </c>
      <c r="K296" s="22">
        <f t="shared" si="65"/>
        <v>4.2198184999711216E-2</v>
      </c>
      <c r="L296" s="22">
        <f t="shared" si="69"/>
        <v>4.3701080723593189E-2</v>
      </c>
      <c r="M296" s="22">
        <f t="shared" si="69"/>
        <v>4.4893970631746632E-2</v>
      </c>
      <c r="N296" s="22">
        <f t="shared" si="69"/>
        <v>4.5631666148342777E-2</v>
      </c>
      <c r="O296" s="22">
        <f t="shared" si="69"/>
        <v>4.6370901653410727E-2</v>
      </c>
      <c r="P296" s="22">
        <f t="shared" si="69"/>
        <v>4.7352594214128713E-2</v>
      </c>
      <c r="Q296" s="22">
        <f t="shared" si="69"/>
        <v>4.8416104778857959E-2</v>
      </c>
      <c r="R296" s="22">
        <f t="shared" si="69"/>
        <v>4.8969568240860781E-2</v>
      </c>
      <c r="S296" s="22">
        <f t="shared" si="69"/>
        <v>4.467643167473432E-2</v>
      </c>
      <c r="T296" s="22">
        <f t="shared" si="69"/>
        <v>4.6180091777624298E-2</v>
      </c>
      <c r="U296" s="22">
        <f t="shared" si="69"/>
        <v>4.7570527161609366E-2</v>
      </c>
      <c r="V296" s="22">
        <f t="shared" si="69"/>
        <v>4.8976478875928542E-2</v>
      </c>
      <c r="W296" s="22">
        <f t="shared" si="69"/>
        <v>5.0608575947889443E-2</v>
      </c>
      <c r="X296" s="22">
        <f t="shared" si="69"/>
        <v>5.2259990749301093E-2</v>
      </c>
      <c r="Y296" s="22">
        <f t="shared" si="69"/>
        <v>5.3973742651481194E-2</v>
      </c>
      <c r="Z296" s="22">
        <f t="shared" si="69"/>
        <v>5.5655662348968654E-2</v>
      </c>
      <c r="AA296" s="22">
        <f t="shared" si="69"/>
        <v>5.7442412303445836E-2</v>
      </c>
      <c r="AB296" s="22">
        <f t="shared" si="69"/>
        <v>5.9147142754678653E-2</v>
      </c>
      <c r="AC296" s="22">
        <f t="shared" si="69"/>
        <v>6.0901819824646548E-2</v>
      </c>
      <c r="AD296" s="22">
        <f t="shared" si="69"/>
        <v>6.3135419327645992E-2</v>
      </c>
      <c r="AE296" s="22">
        <f t="shared" si="69"/>
        <v>6.5540351764294846E-2</v>
      </c>
      <c r="AF296" s="22">
        <f t="shared" si="69"/>
        <v>6.8039701590190294E-2</v>
      </c>
      <c r="AG296" s="22">
        <f t="shared" si="69"/>
        <v>6.8810814245314753E-2</v>
      </c>
      <c r="AH296" s="22">
        <f t="shared" si="69"/>
        <v>-1.6773235166111743E-2</v>
      </c>
      <c r="AI296" s="22">
        <f t="shared" si="69"/>
        <v>-1.6933400933561566E-2</v>
      </c>
      <c r="AJ296" s="22">
        <f t="shared" si="69"/>
        <v>-1.7094868952670969E-2</v>
      </c>
      <c r="AK296" s="22">
        <f t="shared" si="69"/>
        <v>-1.7257651547387617E-2</v>
      </c>
      <c r="AL296" s="22">
        <f t="shared" si="69"/>
        <v>-1.7421761152310457E-2</v>
      </c>
      <c r="AM296" s="22">
        <f t="shared" si="69"/>
        <v>-1.7587210313649345E-2</v>
      </c>
      <c r="AN296" s="22">
        <f t="shared" si="69"/>
        <v>-1.7719984819695212E-2</v>
      </c>
      <c r="AO296" s="22">
        <f t="shared" si="69"/>
        <v>-1.7853675202067487E-2</v>
      </c>
      <c r="AP296" s="22">
        <f t="shared" si="69"/>
        <v>-1.7988288709386402E-2</v>
      </c>
      <c r="AQ296" s="22">
        <f t="shared" si="69"/>
        <v>-1.8123832644983004E-2</v>
      </c>
      <c r="AR296" s="22">
        <f t="shared" si="69"/>
        <v>-1.8260314367299166E-2</v>
      </c>
      <c r="AS296" s="22">
        <f t="shared" si="69"/>
        <v>-1.8385237574275969E-2</v>
      </c>
      <c r="AT296" s="22">
        <f t="shared" si="69"/>
        <v>-1.8510879729427106E-2</v>
      </c>
      <c r="AU296" s="22">
        <f t="shared" si="69"/>
        <v>-1.8637245588774352E-2</v>
      </c>
      <c r="AV296" s="22">
        <f t="shared" si="69"/>
        <v>-1.8764339938161633E-2</v>
      </c>
      <c r="AW296" s="22">
        <f t="shared" si="69"/>
        <v>-1.8892167593435472E-2</v>
      </c>
      <c r="AY296" s="85"/>
    </row>
    <row r="297" spans="1:51" x14ac:dyDescent="0.25">
      <c r="A297" s="102" t="str">
        <f t="shared" si="45"/>
        <v>FA MM Leaching</v>
      </c>
      <c r="B297" s="102" t="s">
        <v>963</v>
      </c>
      <c r="C297" s="102" t="s">
        <v>1334</v>
      </c>
      <c r="D297" t="s">
        <v>369</v>
      </c>
      <c r="E297" t="s">
        <v>64</v>
      </c>
      <c r="F297" t="s">
        <v>63</v>
      </c>
      <c r="G297" t="s">
        <v>1165</v>
      </c>
      <c r="H297" t="s">
        <v>1313</v>
      </c>
      <c r="I297" t="s">
        <v>139</v>
      </c>
      <c r="J297" t="s">
        <v>287</v>
      </c>
      <c r="K297" s="22">
        <f t="shared" si="65"/>
        <v>4.3944700668161743E-3</v>
      </c>
      <c r="L297" s="22">
        <f t="shared" si="69"/>
        <v>4.3968698493422791E-3</v>
      </c>
      <c r="M297" s="22">
        <f t="shared" si="69"/>
        <v>4.4022434234010565E-3</v>
      </c>
      <c r="N297" s="22">
        <f t="shared" si="69"/>
        <v>4.4103317804749962E-3</v>
      </c>
      <c r="O297" s="22">
        <f t="shared" si="69"/>
        <v>4.4212431364047738E-3</v>
      </c>
      <c r="P297" s="22">
        <f t="shared" si="69"/>
        <v>4.4349890691963833E-3</v>
      </c>
      <c r="Q297" s="22">
        <f t="shared" si="69"/>
        <v>4.4503014810886657E-3</v>
      </c>
      <c r="R297" s="22">
        <f t="shared" si="69"/>
        <v>4.4668966507282254E-3</v>
      </c>
      <c r="S297" s="22">
        <f t="shared" si="69"/>
        <v>4.4824913305812559E-3</v>
      </c>
      <c r="T297" s="22">
        <f t="shared" si="69"/>
        <v>4.4890055303365281E-3</v>
      </c>
      <c r="U297" s="22">
        <f t="shared" si="69"/>
        <v>4.4965644629605924E-3</v>
      </c>
      <c r="V297" s="22">
        <f t="shared" si="69"/>
        <v>4.5051665785440084E-3</v>
      </c>
      <c r="W297" s="22">
        <f t="shared" si="69"/>
        <v>4.5148564456586847E-3</v>
      </c>
      <c r="X297" s="22">
        <f t="shared" si="69"/>
        <v>4.525478721327544E-3</v>
      </c>
      <c r="Y297" s="22">
        <f t="shared" si="69"/>
        <v>4.5320175420941466E-3</v>
      </c>
      <c r="Z297" s="22">
        <f t="shared" si="69"/>
        <v>4.5393215398995043E-3</v>
      </c>
      <c r="AA297" s="22">
        <f t="shared" si="69"/>
        <v>4.5474172205527642E-3</v>
      </c>
      <c r="AB297" s="22">
        <f t="shared" si="69"/>
        <v>4.5561801987217551E-3</v>
      </c>
      <c r="AC297" s="22">
        <f t="shared" si="69"/>
        <v>4.5656418072393947E-3</v>
      </c>
      <c r="AD297" s="22">
        <f t="shared" si="69"/>
        <v>4.5718705604296328E-3</v>
      </c>
      <c r="AE297" s="22">
        <f t="shared" si="69"/>
        <v>4.5787544823923942E-3</v>
      </c>
      <c r="AF297" s="22">
        <f t="shared" si="69"/>
        <v>4.586231662580295E-3</v>
      </c>
      <c r="AG297" s="22">
        <f t="shared" si="69"/>
        <v>4.5934555722856032E-3</v>
      </c>
      <c r="AH297" s="22">
        <f t="shared" si="69"/>
        <v>4.562571195274273E-3</v>
      </c>
      <c r="AI297" s="22">
        <f t="shared" si="69"/>
        <v>4.5669572651403133E-3</v>
      </c>
      <c r="AJ297" s="22">
        <f t="shared" si="69"/>
        <v>4.5717973149633755E-3</v>
      </c>
      <c r="AK297" s="22">
        <f t="shared" si="69"/>
        <v>4.5770741937615714E-3</v>
      </c>
      <c r="AL297" s="22">
        <f t="shared" si="69"/>
        <v>4.5827720762171521E-3</v>
      </c>
      <c r="AM297" s="22">
        <f t="shared" si="69"/>
        <v>4.5888763368810139E-3</v>
      </c>
      <c r="AN297" s="22">
        <f t="shared" si="69"/>
        <v>4.5918387401172314E-3</v>
      </c>
      <c r="AO297" s="22">
        <f t="shared" si="69"/>
        <v>4.5951591884317378E-3</v>
      </c>
      <c r="AP297" s="22">
        <f t="shared" si="69"/>
        <v>4.5988252210116161E-3</v>
      </c>
      <c r="AQ297" s="22">
        <f t="shared" si="69"/>
        <v>4.6028252299079387E-3</v>
      </c>
      <c r="AR297" s="22">
        <f t="shared" si="69"/>
        <v>4.6071483875808113E-3</v>
      </c>
      <c r="AS297" s="22">
        <f t="shared" si="69"/>
        <v>4.6082148579908756E-3</v>
      </c>
      <c r="AT297" s="22">
        <f t="shared" si="69"/>
        <v>4.609568122792394E-3</v>
      </c>
      <c r="AU297" s="22">
        <f t="shared" si="69"/>
        <v>4.6111986833604953E-3</v>
      </c>
      <c r="AV297" s="22">
        <f t="shared" si="69"/>
        <v>4.6130976210976499E-3</v>
      </c>
      <c r="AW297" s="22">
        <f t="shared" si="69"/>
        <v>4.6152565528286265E-3</v>
      </c>
      <c r="AY297" s="85"/>
    </row>
    <row r="298" spans="1:51" x14ac:dyDescent="0.25">
      <c r="A298" s="102" t="str">
        <f t="shared" si="45"/>
        <v>FA MM Leaching</v>
      </c>
      <c r="B298" s="102" t="s">
        <v>963</v>
      </c>
      <c r="C298" s="102" t="s">
        <v>1334</v>
      </c>
      <c r="D298" t="s">
        <v>369</v>
      </c>
      <c r="E298" t="s">
        <v>64</v>
      </c>
      <c r="F298" t="s">
        <v>63</v>
      </c>
      <c r="G298" t="s">
        <v>1167</v>
      </c>
      <c r="H298" t="s">
        <v>1314</v>
      </c>
      <c r="I298" t="s">
        <v>139</v>
      </c>
      <c r="J298" t="s">
        <v>287</v>
      </c>
      <c r="K298" s="22">
        <f t="shared" si="65"/>
        <v>3.6554081926520139E-3</v>
      </c>
      <c r="L298" s="22">
        <f t="shared" si="69"/>
        <v>3.6574043798084017E-3</v>
      </c>
      <c r="M298" s="22">
        <f t="shared" si="69"/>
        <v>3.6618742263063008E-3</v>
      </c>
      <c r="N298" s="22">
        <f t="shared" si="69"/>
        <v>3.6686022836746814E-3</v>
      </c>
      <c r="O298" s="22">
        <f t="shared" si="69"/>
        <v>3.6776785680166413E-3</v>
      </c>
      <c r="P298" s="22">
        <f t="shared" si="69"/>
        <v>3.6891127101493907E-3</v>
      </c>
      <c r="Q298" s="22">
        <f t="shared" si="69"/>
        <v>3.7018498809639078E-3</v>
      </c>
      <c r="R298" s="22">
        <f t="shared" si="69"/>
        <v>3.7156540753574409E-3</v>
      </c>
      <c r="S298" s="22">
        <f t="shared" si="69"/>
        <v>3.7286260423135963E-3</v>
      </c>
      <c r="T298" s="22">
        <f t="shared" si="69"/>
        <v>3.7340446841047422E-3</v>
      </c>
      <c r="U298" s="22">
        <f t="shared" si="69"/>
        <v>3.7403323556149792E-3</v>
      </c>
      <c r="V298" s="22">
        <f t="shared" si="69"/>
        <v>3.7474877675985991E-3</v>
      </c>
      <c r="W298" s="22">
        <f t="shared" si="69"/>
        <v>3.7555479930861213E-3</v>
      </c>
      <c r="X298" s="22">
        <f t="shared" si="69"/>
        <v>3.7643838146787538E-3</v>
      </c>
      <c r="Y298" s="22">
        <f t="shared" si="69"/>
        <v>3.769822936720115E-3</v>
      </c>
      <c r="Z298" s="22">
        <f t="shared" si="69"/>
        <v>3.7758985483435582E-3</v>
      </c>
      <c r="AA298" s="22">
        <f t="shared" si="69"/>
        <v>3.7826326976118578E-3</v>
      </c>
      <c r="AB298" s="22">
        <f t="shared" si="69"/>
        <v>3.7899219183151331E-3</v>
      </c>
      <c r="AC298" s="22">
        <f t="shared" si="69"/>
        <v>3.7977922737311865E-3</v>
      </c>
      <c r="AD298" s="22">
        <f t="shared" si="69"/>
        <v>3.8029734753540017E-3</v>
      </c>
      <c r="AE298" s="22">
        <f t="shared" si="69"/>
        <v>3.8086996594803367E-3</v>
      </c>
      <c r="AF298" s="22">
        <f t="shared" si="69"/>
        <v>3.8149193276772325E-3</v>
      </c>
      <c r="AG298" s="22">
        <f t="shared" si="69"/>
        <v>3.8209283204154385E-3</v>
      </c>
      <c r="AH298" s="22">
        <f t="shared" si="69"/>
        <v>3.7952380772153156E-3</v>
      </c>
      <c r="AI298" s="22">
        <f t="shared" si="69"/>
        <v>3.7988864979527624E-3</v>
      </c>
      <c r="AJ298" s="22">
        <f t="shared" si="69"/>
        <v>3.8029125483085634E-3</v>
      </c>
      <c r="AK298" s="22">
        <f t="shared" si="69"/>
        <v>3.8073019617525694E-3</v>
      </c>
      <c r="AL298" s="22">
        <f t="shared" si="69"/>
        <v>3.8120415744685989E-3</v>
      </c>
      <c r="AM298" s="22">
        <f t="shared" si="69"/>
        <v>3.8171192207152455E-3</v>
      </c>
      <c r="AN298" s="22">
        <f t="shared" si="69"/>
        <v>3.8195834070437343E-3</v>
      </c>
      <c r="AO298" s="22">
        <f t="shared" si="69"/>
        <v>3.8223454224375316E-3</v>
      </c>
      <c r="AP298" s="22">
        <f t="shared" si="69"/>
        <v>3.8253949017429448E-3</v>
      </c>
      <c r="AQ298" s="22">
        <f t="shared" si="69"/>
        <v>3.8287221892356308E-3</v>
      </c>
      <c r="AR298" s="22">
        <f t="shared" si="69"/>
        <v>3.8323182783511038E-3</v>
      </c>
      <c r="AS298" s="22">
        <f t="shared" si="69"/>
        <v>3.833205389792278E-3</v>
      </c>
      <c r="AT298" s="22">
        <f t="shared" si="69"/>
        <v>3.8343310625507851E-3</v>
      </c>
      <c r="AU298" s="22">
        <f t="shared" si="69"/>
        <v>3.8356873954802709E-3</v>
      </c>
      <c r="AV298" s="22">
        <f t="shared" si="69"/>
        <v>3.8372669699127259E-3</v>
      </c>
      <c r="AW298" s="22">
        <f t="shared" si="69"/>
        <v>3.8390628125551359E-3</v>
      </c>
      <c r="AY298" s="85"/>
    </row>
    <row r="299" spans="1:51" x14ac:dyDescent="0.25">
      <c r="A299" s="102" t="str">
        <f t="shared" si="45"/>
        <v>FA MM Leaching</v>
      </c>
      <c r="B299" s="102" t="s">
        <v>963</v>
      </c>
      <c r="C299" s="102" t="s">
        <v>1334</v>
      </c>
      <c r="D299" t="s">
        <v>369</v>
      </c>
      <c r="E299" t="s">
        <v>64</v>
      </c>
      <c r="F299" t="s">
        <v>63</v>
      </c>
      <c r="G299" t="s">
        <v>1169</v>
      </c>
      <c r="H299" t="s">
        <v>1315</v>
      </c>
      <c r="I299" t="s">
        <v>139</v>
      </c>
      <c r="J299" t="s">
        <v>287</v>
      </c>
      <c r="K299" s="22">
        <f t="shared" si="65"/>
        <v>5.4321183723638063E-4</v>
      </c>
      <c r="L299" s="22">
        <f t="shared" si="69"/>
        <v>5.4462866238069155E-4</v>
      </c>
      <c r="M299" s="22">
        <f t="shared" si="69"/>
        <v>5.4651670738969612E-4</v>
      </c>
      <c r="N299" s="22">
        <f t="shared" si="69"/>
        <v>5.4883399731316639E-4</v>
      </c>
      <c r="O299" s="22">
        <f t="shared" si="69"/>
        <v>5.5160837836810213E-4</v>
      </c>
      <c r="P299" s="22">
        <f t="shared" si="69"/>
        <v>5.5484723352096008E-4</v>
      </c>
      <c r="Q299" s="22">
        <f t="shared" si="69"/>
        <v>5.5831016678068942E-4</v>
      </c>
      <c r="R299" s="22">
        <f t="shared" si="69"/>
        <v>5.61947661040627E-4</v>
      </c>
      <c r="S299" s="22">
        <f t="shared" si="69"/>
        <v>5.6532673344002258E-4</v>
      </c>
      <c r="T299" s="22">
        <f t="shared" si="69"/>
        <v>5.6691026971513229E-4</v>
      </c>
      <c r="U299" s="22">
        <f t="shared" si="69"/>
        <v>5.6864670501845574E-4</v>
      </c>
      <c r="V299" s="22">
        <f t="shared" si="69"/>
        <v>5.7053824293023939E-4</v>
      </c>
      <c r="W299" s="22">
        <f t="shared" si="69"/>
        <v>5.7259543924260763E-4</v>
      </c>
      <c r="X299" s="22">
        <f t="shared" si="69"/>
        <v>5.7479059617442649E-4</v>
      </c>
      <c r="Y299" s="22">
        <f t="shared" si="69"/>
        <v>5.7617814395304924E-4</v>
      </c>
      <c r="Z299" s="22">
        <f t="shared" si="69"/>
        <v>5.7767940009102313E-4</v>
      </c>
      <c r="AA299" s="22">
        <f t="shared" si="69"/>
        <v>5.7930057538230326E-4</v>
      </c>
      <c r="AB299" s="22">
        <f t="shared" si="69"/>
        <v>5.8101935108040965E-4</v>
      </c>
      <c r="AC299" s="22">
        <f t="shared" si="69"/>
        <v>5.8284260247755859E-4</v>
      </c>
      <c r="AD299" s="22">
        <f t="shared" si="69"/>
        <v>5.8403671107952763E-4</v>
      </c>
      <c r="AE299" s="22">
        <f t="shared" si="69"/>
        <v>5.8533173041619576E-4</v>
      </c>
      <c r="AF299" s="22">
        <f t="shared" si="69"/>
        <v>5.8671671252614034E-4</v>
      </c>
      <c r="AG299" s="22">
        <f t="shared" si="69"/>
        <v>5.8803501308500182E-4</v>
      </c>
      <c r="AH299" s="22">
        <f t="shared" si="69"/>
        <v>5.8227212874330822E-4</v>
      </c>
      <c r="AI299" s="22">
        <f t="shared" si="69"/>
        <v>5.8304320424414362E-4</v>
      </c>
      <c r="AJ299" s="22">
        <f t="shared" si="69"/>
        <v>5.8388341826515493E-4</v>
      </c>
      <c r="AK299" s="22">
        <f t="shared" si="69"/>
        <v>5.847899630335218E-4</v>
      </c>
      <c r="AL299" s="22">
        <f t="shared" si="69"/>
        <v>5.8576024856299858E-4</v>
      </c>
      <c r="AM299" s="22">
        <f t="shared" si="69"/>
        <v>5.8679188180125747E-4</v>
      </c>
      <c r="AN299" s="22">
        <f t="shared" si="69"/>
        <v>5.8723470872871001E-4</v>
      </c>
      <c r="AO299" s="22">
        <f t="shared" si="69"/>
        <v>5.8773280177020523E-4</v>
      </c>
      <c r="AP299" s="22">
        <f t="shared" si="69"/>
        <v>5.8828407739591119E-4</v>
      </c>
      <c r="AQ299" s="22">
        <f t="shared" si="69"/>
        <v>5.8888659501104234E-4</v>
      </c>
      <c r="AR299" s="22">
        <f t="shared" si="69"/>
        <v>5.895385447102022E-4</v>
      </c>
      <c r="AS299" s="22">
        <f t="shared" si="69"/>
        <v>5.8958940978755205E-4</v>
      </c>
      <c r="AT299" s="22">
        <f t="shared" si="69"/>
        <v>5.8968551081379366E-4</v>
      </c>
      <c r="AU299" s="22">
        <f t="shared" si="69"/>
        <v>5.8982522322727085E-4</v>
      </c>
      <c r="AV299" s="22">
        <f t="shared" si="69"/>
        <v>5.9000702190384238E-4</v>
      </c>
      <c r="AW299" s="22">
        <f t="shared" si="69"/>
        <v>5.9022947345323132E-4</v>
      </c>
      <c r="AY299" s="85"/>
    </row>
    <row r="300" spans="1:51" x14ac:dyDescent="0.25">
      <c r="A300" s="102" t="str">
        <f t="shared" si="45"/>
        <v>FA MM Leaching</v>
      </c>
      <c r="B300" s="102" t="s">
        <v>963</v>
      </c>
      <c r="C300" s="102" t="s">
        <v>1334</v>
      </c>
      <c r="D300" t="s">
        <v>369</v>
      </c>
      <c r="E300" t="s">
        <v>64</v>
      </c>
      <c r="F300" t="s">
        <v>63</v>
      </c>
      <c r="G300" t="s">
        <v>1171</v>
      </c>
      <c r="H300" t="s">
        <v>1316</v>
      </c>
      <c r="I300" t="s">
        <v>139</v>
      </c>
      <c r="J300" t="s">
        <v>287</v>
      </c>
      <c r="K300" s="22">
        <f t="shared" si="65"/>
        <v>6.6990339537854613E-3</v>
      </c>
      <c r="L300" s="22">
        <f t="shared" si="69"/>
        <v>6.7165066211643688E-3</v>
      </c>
      <c r="M300" s="22">
        <f t="shared" si="69"/>
        <v>6.7397904981983149E-3</v>
      </c>
      <c r="N300" s="22">
        <f t="shared" si="69"/>
        <v>6.7683679385521006E-3</v>
      </c>
      <c r="O300" s="22">
        <f t="shared" si="69"/>
        <v>6.8025823492363574E-3</v>
      </c>
      <c r="P300" s="22">
        <f t="shared" si="69"/>
        <v>6.8425247789720067E-3</v>
      </c>
      <c r="Q300" s="22">
        <f t="shared" si="69"/>
        <v>6.8852305999729637E-3</v>
      </c>
      <c r="R300" s="22">
        <f t="shared" si="69"/>
        <v>6.9300891540096266E-3</v>
      </c>
      <c r="S300" s="22">
        <f t="shared" si="69"/>
        <v>6.9717607804068256E-3</v>
      </c>
      <c r="T300" s="22">
        <f t="shared" si="69"/>
        <v>6.9912893741281628E-3</v>
      </c>
      <c r="U300" s="22">
        <f t="shared" si="69"/>
        <v>7.0127035596413059E-3</v>
      </c>
      <c r="V300" s="22">
        <f t="shared" si="69"/>
        <v>7.0360305120884007E-3</v>
      </c>
      <c r="W300" s="22">
        <f t="shared" si="69"/>
        <v>7.0614004083267975E-3</v>
      </c>
      <c r="X300" s="22">
        <f t="shared" si="69"/>
        <v>7.0884716718967464E-3</v>
      </c>
      <c r="Y300" s="22">
        <f t="shared" si="69"/>
        <v>7.1055832829558596E-3</v>
      </c>
      <c r="Z300" s="22">
        <f t="shared" si="69"/>
        <v>7.1240971759755339E-3</v>
      </c>
      <c r="AA300" s="22">
        <f t="shared" si="69"/>
        <v>7.1440899441312785E-3</v>
      </c>
      <c r="AB300" s="22">
        <f t="shared" si="69"/>
        <v>7.1652863466602334E-3</v>
      </c>
      <c r="AC300" s="22">
        <f t="shared" si="69"/>
        <v>7.1877711715085417E-3</v>
      </c>
      <c r="AD300" s="22">
        <f t="shared" si="69"/>
        <v>7.2024972388008085E-3</v>
      </c>
      <c r="AE300" s="22">
        <f t="shared" si="69"/>
        <v>7.2184677643167576E-3</v>
      </c>
      <c r="AF300" s="22">
        <f t="shared" si="69"/>
        <v>7.2355477348621461E-3</v>
      </c>
      <c r="AG300" s="22">
        <f t="shared" si="69"/>
        <v>7.251805370649388E-3</v>
      </c>
      <c r="AH300" s="22">
        <f t="shared" si="69"/>
        <v>7.1807359365347809E-3</v>
      </c>
      <c r="AI300" s="22">
        <f t="shared" si="69"/>
        <v>7.190245046253943E-3</v>
      </c>
      <c r="AJ300" s="22">
        <f t="shared" si="69"/>
        <v>7.2006067907325584E-3</v>
      </c>
      <c r="AK300" s="22">
        <f t="shared" si="69"/>
        <v>7.2117865437637393E-3</v>
      </c>
      <c r="AL300" s="22">
        <f t="shared" si="69"/>
        <v>7.2237523649430046E-3</v>
      </c>
      <c r="AM300" s="22">
        <f t="shared" si="69"/>
        <v>7.2364747425077329E-3</v>
      </c>
      <c r="AN300" s="22">
        <f t="shared" si="69"/>
        <v>7.2419358028516061E-3</v>
      </c>
      <c r="AO300" s="22">
        <f t="shared" si="69"/>
        <v>7.2480784197247895E-3</v>
      </c>
      <c r="AP300" s="22">
        <f t="shared" si="69"/>
        <v>7.2548768984790225E-3</v>
      </c>
      <c r="AQ300" s="22">
        <f t="shared" si="69"/>
        <v>7.2623073071793384E-3</v>
      </c>
      <c r="AR300" s="22">
        <f t="shared" si="69"/>
        <v>7.2703473255873539E-3</v>
      </c>
      <c r="AS300" s="22">
        <f t="shared" si="69"/>
        <v>7.2709746073527197E-3</v>
      </c>
      <c r="AT300" s="22">
        <f t="shared" si="69"/>
        <v>7.272159750962735E-3</v>
      </c>
      <c r="AU300" s="22">
        <f t="shared" si="69"/>
        <v>7.2738827218876909E-3</v>
      </c>
      <c r="AV300" s="22">
        <f t="shared" si="69"/>
        <v>7.2761247118879498E-3</v>
      </c>
      <c r="AW300" s="22">
        <f t="shared" si="69"/>
        <v>7.2788680440104758E-3</v>
      </c>
      <c r="AY300" s="85"/>
    </row>
    <row r="301" spans="1:51" x14ac:dyDescent="0.25">
      <c r="A301" s="102" t="str">
        <f t="shared" si="45"/>
        <v>FA MM Leaching</v>
      </c>
      <c r="B301" s="102" t="s">
        <v>963</v>
      </c>
      <c r="C301" s="102" t="s">
        <v>1334</v>
      </c>
      <c r="D301" t="s">
        <v>369</v>
      </c>
      <c r="E301" t="s">
        <v>64</v>
      </c>
      <c r="F301" t="s">
        <v>63</v>
      </c>
      <c r="G301" t="s">
        <v>1173</v>
      </c>
      <c r="H301" t="s">
        <v>1317</v>
      </c>
      <c r="I301" t="s">
        <v>139</v>
      </c>
      <c r="J301" t="s">
        <v>287</v>
      </c>
      <c r="K301" s="22">
        <f t="shared" si="65"/>
        <v>0</v>
      </c>
      <c r="L301" s="22">
        <f t="shared" si="69"/>
        <v>0</v>
      </c>
      <c r="M301" s="22">
        <f t="shared" si="69"/>
        <v>0</v>
      </c>
      <c r="N301" s="22">
        <f t="shared" si="69"/>
        <v>0</v>
      </c>
      <c r="O301" s="22">
        <f t="shared" si="69"/>
        <v>0</v>
      </c>
      <c r="P301" s="22">
        <f t="shared" si="69"/>
        <v>0</v>
      </c>
      <c r="Q301" s="22">
        <f t="shared" si="69"/>
        <v>0</v>
      </c>
      <c r="R301" s="22">
        <f t="shared" si="69"/>
        <v>0</v>
      </c>
      <c r="S301" s="22">
        <f t="shared" si="69"/>
        <v>0</v>
      </c>
      <c r="T301" s="22">
        <f t="shared" si="69"/>
        <v>0</v>
      </c>
      <c r="U301" s="22">
        <f t="shared" si="69"/>
        <v>0</v>
      </c>
      <c r="V301" s="22">
        <f t="shared" si="69"/>
        <v>0</v>
      </c>
      <c r="W301" s="22">
        <f t="shared" si="69"/>
        <v>0</v>
      </c>
      <c r="X301" s="22">
        <f t="shared" si="69"/>
        <v>0</v>
      </c>
      <c r="Y301" s="22">
        <f t="shared" si="69"/>
        <v>0</v>
      </c>
      <c r="Z301" s="22">
        <f t="shared" si="69"/>
        <v>0</v>
      </c>
      <c r="AA301" s="22">
        <f t="shared" si="69"/>
        <v>0</v>
      </c>
      <c r="AB301" s="22">
        <f t="shared" si="69"/>
        <v>0</v>
      </c>
      <c r="AC301" s="22">
        <f t="shared" si="69"/>
        <v>0</v>
      </c>
      <c r="AD301" s="22">
        <f t="shared" si="69"/>
        <v>0</v>
      </c>
      <c r="AE301" s="22">
        <f t="shared" si="69"/>
        <v>0</v>
      </c>
      <c r="AF301" s="22">
        <f t="shared" si="69"/>
        <v>0</v>
      </c>
      <c r="AG301" s="22">
        <f t="shared" si="69"/>
        <v>0</v>
      </c>
      <c r="AH301" s="22">
        <f t="shared" si="69"/>
        <v>0</v>
      </c>
      <c r="AI301" s="22">
        <f t="shared" si="69"/>
        <v>0</v>
      </c>
      <c r="AJ301" s="22">
        <f t="shared" si="69"/>
        <v>0</v>
      </c>
      <c r="AK301" s="22">
        <f t="shared" si="69"/>
        <v>0</v>
      </c>
      <c r="AL301" s="22">
        <f t="shared" si="69"/>
        <v>0</v>
      </c>
      <c r="AM301" s="22">
        <f t="shared" si="69"/>
        <v>0</v>
      </c>
      <c r="AN301" s="22">
        <f t="shared" ref="L301:AW306" si="70">AN1557</f>
        <v>0</v>
      </c>
      <c r="AO301" s="22">
        <f t="shared" si="70"/>
        <v>0</v>
      </c>
      <c r="AP301" s="22">
        <f t="shared" si="70"/>
        <v>0</v>
      </c>
      <c r="AQ301" s="22">
        <f t="shared" si="70"/>
        <v>0</v>
      </c>
      <c r="AR301" s="22">
        <f t="shared" si="70"/>
        <v>0</v>
      </c>
      <c r="AS301" s="22">
        <f t="shared" si="70"/>
        <v>0</v>
      </c>
      <c r="AT301" s="22">
        <f t="shared" si="70"/>
        <v>0</v>
      </c>
      <c r="AU301" s="22">
        <f t="shared" si="70"/>
        <v>0</v>
      </c>
      <c r="AV301" s="22">
        <f t="shared" si="70"/>
        <v>0</v>
      </c>
      <c r="AW301" s="22">
        <f t="shared" si="70"/>
        <v>0</v>
      </c>
      <c r="AY301" s="85"/>
    </row>
    <row r="302" spans="1:51" x14ac:dyDescent="0.25">
      <c r="A302" s="102" t="str">
        <f t="shared" si="45"/>
        <v>FA MM Leaching</v>
      </c>
      <c r="B302" s="102" t="s">
        <v>963</v>
      </c>
      <c r="C302" s="102" t="s">
        <v>1334</v>
      </c>
      <c r="D302" t="s">
        <v>369</v>
      </c>
      <c r="E302" t="s">
        <v>64</v>
      </c>
      <c r="F302" t="s">
        <v>63</v>
      </c>
      <c r="G302" t="s">
        <v>1175</v>
      </c>
      <c r="H302" t="s">
        <v>1318</v>
      </c>
      <c r="I302" t="s">
        <v>139</v>
      </c>
      <c r="J302" t="s">
        <v>287</v>
      </c>
      <c r="K302" s="22">
        <f t="shared" si="65"/>
        <v>0</v>
      </c>
      <c r="L302" s="22">
        <f t="shared" si="70"/>
        <v>0</v>
      </c>
      <c r="M302" s="22">
        <f t="shared" si="70"/>
        <v>0</v>
      </c>
      <c r="N302" s="22">
        <f t="shared" si="70"/>
        <v>0</v>
      </c>
      <c r="O302" s="22">
        <f t="shared" si="70"/>
        <v>0</v>
      </c>
      <c r="P302" s="22">
        <f t="shared" si="70"/>
        <v>0</v>
      </c>
      <c r="Q302" s="22">
        <f t="shared" si="70"/>
        <v>0</v>
      </c>
      <c r="R302" s="22">
        <f t="shared" si="70"/>
        <v>0</v>
      </c>
      <c r="S302" s="22">
        <f t="shared" si="70"/>
        <v>0</v>
      </c>
      <c r="T302" s="22">
        <f t="shared" si="70"/>
        <v>0</v>
      </c>
      <c r="U302" s="22">
        <f t="shared" si="70"/>
        <v>0</v>
      </c>
      <c r="V302" s="22">
        <f t="shared" si="70"/>
        <v>0</v>
      </c>
      <c r="W302" s="22">
        <f t="shared" si="70"/>
        <v>0</v>
      </c>
      <c r="X302" s="22">
        <f t="shared" si="70"/>
        <v>0</v>
      </c>
      <c r="Y302" s="22">
        <f t="shared" si="70"/>
        <v>0</v>
      </c>
      <c r="Z302" s="22">
        <f t="shared" si="70"/>
        <v>0</v>
      </c>
      <c r="AA302" s="22">
        <f t="shared" si="70"/>
        <v>0</v>
      </c>
      <c r="AB302" s="22">
        <f t="shared" si="70"/>
        <v>0</v>
      </c>
      <c r="AC302" s="22">
        <f t="shared" si="70"/>
        <v>0</v>
      </c>
      <c r="AD302" s="22">
        <f t="shared" si="70"/>
        <v>0</v>
      </c>
      <c r="AE302" s="22">
        <f t="shared" si="70"/>
        <v>0</v>
      </c>
      <c r="AF302" s="22">
        <f t="shared" si="70"/>
        <v>0</v>
      </c>
      <c r="AG302" s="22">
        <f t="shared" si="70"/>
        <v>0</v>
      </c>
      <c r="AH302" s="22">
        <f t="shared" si="70"/>
        <v>0</v>
      </c>
      <c r="AI302" s="22">
        <f t="shared" si="70"/>
        <v>0</v>
      </c>
      <c r="AJ302" s="22">
        <f t="shared" si="70"/>
        <v>0</v>
      </c>
      <c r="AK302" s="22">
        <f t="shared" si="70"/>
        <v>0</v>
      </c>
      <c r="AL302" s="22">
        <f t="shared" si="70"/>
        <v>0</v>
      </c>
      <c r="AM302" s="22">
        <f t="shared" si="70"/>
        <v>0</v>
      </c>
      <c r="AN302" s="22">
        <f t="shared" si="70"/>
        <v>0</v>
      </c>
      <c r="AO302" s="22">
        <f t="shared" si="70"/>
        <v>0</v>
      </c>
      <c r="AP302" s="22">
        <f t="shared" si="70"/>
        <v>0</v>
      </c>
      <c r="AQ302" s="22">
        <f t="shared" si="70"/>
        <v>0</v>
      </c>
      <c r="AR302" s="22">
        <f t="shared" si="70"/>
        <v>0</v>
      </c>
      <c r="AS302" s="22">
        <f t="shared" si="70"/>
        <v>0</v>
      </c>
      <c r="AT302" s="22">
        <f t="shared" si="70"/>
        <v>0</v>
      </c>
      <c r="AU302" s="22">
        <f t="shared" si="70"/>
        <v>0</v>
      </c>
      <c r="AV302" s="22">
        <f t="shared" si="70"/>
        <v>0</v>
      </c>
      <c r="AW302" s="22">
        <f t="shared" si="70"/>
        <v>0</v>
      </c>
      <c r="AY302" s="85"/>
    </row>
    <row r="303" spans="1:51" x14ac:dyDescent="0.25">
      <c r="A303" s="102" t="str">
        <f t="shared" si="45"/>
        <v>FA MM Leaching</v>
      </c>
      <c r="B303" s="102" t="s">
        <v>963</v>
      </c>
      <c r="C303" s="102" t="s">
        <v>1334</v>
      </c>
      <c r="D303" t="s">
        <v>369</v>
      </c>
      <c r="E303" t="s">
        <v>64</v>
      </c>
      <c r="F303" t="s">
        <v>63</v>
      </c>
      <c r="G303" t="s">
        <v>1177</v>
      </c>
      <c r="H303" t="s">
        <v>1319</v>
      </c>
      <c r="I303" t="s">
        <v>139</v>
      </c>
      <c r="J303" t="s">
        <v>287</v>
      </c>
      <c r="K303" s="22">
        <f t="shared" si="65"/>
        <v>2.7080534096129025E-2</v>
      </c>
      <c r="L303" s="22">
        <f t="shared" si="70"/>
        <v>2.6995058080291692E-2</v>
      </c>
      <c r="M303" s="22">
        <f t="shared" si="70"/>
        <v>2.6712389539955236E-2</v>
      </c>
      <c r="N303" s="22">
        <f t="shared" si="70"/>
        <v>2.6163552006630762E-2</v>
      </c>
      <c r="O303" s="22">
        <f t="shared" si="70"/>
        <v>2.5638728055519384E-2</v>
      </c>
      <c r="P303" s="22">
        <f t="shared" si="70"/>
        <v>2.5270557311936091E-2</v>
      </c>
      <c r="Q303" s="22">
        <f t="shared" si="70"/>
        <v>2.4958747401341939E-2</v>
      </c>
      <c r="R303" s="22">
        <f t="shared" si="70"/>
        <v>2.4384582351632111E-2</v>
      </c>
      <c r="S303" s="22">
        <f t="shared" si="70"/>
        <v>2.1346855337625082E-2</v>
      </c>
      <c r="T303" s="22">
        <f t="shared" si="70"/>
        <v>2.1482505917310397E-2</v>
      </c>
      <c r="U303" s="22">
        <f t="shared" si="70"/>
        <v>2.1550596950866634E-2</v>
      </c>
      <c r="V303" s="22">
        <f t="shared" si="70"/>
        <v>2.1616794763907179E-2</v>
      </c>
      <c r="W303" s="22">
        <f t="shared" si="70"/>
        <v>2.1778489708019384E-2</v>
      </c>
      <c r="X303" s="22">
        <f t="shared" si="70"/>
        <v>2.1934748739134539E-2</v>
      </c>
      <c r="Y303" s="22">
        <f t="shared" si="70"/>
        <v>2.2114017881126848E-2</v>
      </c>
      <c r="Z303" s="22">
        <f t="shared" si="70"/>
        <v>2.2264487150526265E-2</v>
      </c>
      <c r="AA303" s="22">
        <f t="shared" si="70"/>
        <v>2.2445316206361306E-2</v>
      </c>
      <c r="AB303" s="22">
        <f t="shared" si="70"/>
        <v>2.2576949368517302E-2</v>
      </c>
      <c r="AC303" s="22">
        <f t="shared" si="70"/>
        <v>2.271541592892265E-2</v>
      </c>
      <c r="AD303" s="22">
        <f t="shared" si="70"/>
        <v>2.2970809719090692E-2</v>
      </c>
      <c r="AE303" s="22">
        <f t="shared" si="70"/>
        <v>2.3269151361655305E-2</v>
      </c>
      <c r="AF303" s="22">
        <f t="shared" si="70"/>
        <v>2.3577881186145462E-2</v>
      </c>
      <c r="AG303" s="22">
        <f t="shared" si="70"/>
        <v>2.3230896400696678E-2</v>
      </c>
      <c r="AH303" s="22">
        <f t="shared" si="70"/>
        <v>-7.8382777121831278E-3</v>
      </c>
      <c r="AI303" s="22">
        <f t="shared" si="70"/>
        <v>-7.7525396142955495E-3</v>
      </c>
      <c r="AJ303" s="22">
        <f t="shared" si="70"/>
        <v>-7.6686379044997068E-3</v>
      </c>
      <c r="AK303" s="22">
        <f t="shared" si="70"/>
        <v>-7.586452448594779E-3</v>
      </c>
      <c r="AL303" s="22">
        <f t="shared" si="70"/>
        <v>-7.5058719086197852E-3</v>
      </c>
      <c r="AM303" s="22">
        <f t="shared" si="70"/>
        <v>-7.4267928922061455E-3</v>
      </c>
      <c r="AN303" s="22">
        <f t="shared" si="70"/>
        <v>-7.3400589670898171E-3</v>
      </c>
      <c r="AO303" s="22">
        <f t="shared" si="70"/>
        <v>-7.2548542835376628E-3</v>
      </c>
      <c r="AP303" s="22">
        <f t="shared" si="70"/>
        <v>-7.1710895268481756E-3</v>
      </c>
      <c r="AQ303" s="22">
        <f t="shared" si="70"/>
        <v>-7.0886812161586998E-3</v>
      </c>
      <c r="AR303" s="22">
        <f t="shared" si="70"/>
        <v>-7.0075512003870211E-3</v>
      </c>
      <c r="AS303" s="22">
        <f t="shared" si="70"/>
        <v>-6.9191376458643079E-3</v>
      </c>
      <c r="AT303" s="22">
        <f t="shared" si="70"/>
        <v>-6.8320744878094938E-3</v>
      </c>
      <c r="AU303" s="22">
        <f t="shared" si="70"/>
        <v>-6.7462922163727323E-3</v>
      </c>
      <c r="AV303" s="22">
        <f t="shared" si="70"/>
        <v>-6.6617254285893414E-3</v>
      </c>
      <c r="AW303" s="22">
        <f t="shared" si="70"/>
        <v>-6.5783125081778221E-3</v>
      </c>
      <c r="AY303" s="85"/>
    </row>
    <row r="304" spans="1:51" x14ac:dyDescent="0.25">
      <c r="A304" s="102" t="str">
        <f t="shared" si="45"/>
        <v>FA MM Leaching</v>
      </c>
      <c r="B304" s="102" t="s">
        <v>963</v>
      </c>
      <c r="C304" s="102" t="s">
        <v>1334</v>
      </c>
      <c r="D304" t="s">
        <v>369</v>
      </c>
      <c r="E304" t="s">
        <v>64</v>
      </c>
      <c r="F304" t="s">
        <v>63</v>
      </c>
      <c r="G304" t="s">
        <v>1179</v>
      </c>
      <c r="H304" t="s">
        <v>1320</v>
      </c>
      <c r="I304" t="s">
        <v>139</v>
      </c>
      <c r="J304" t="s">
        <v>287</v>
      </c>
      <c r="K304" s="22">
        <f t="shared" si="65"/>
        <v>4.0473192123070822E-3</v>
      </c>
      <c r="L304" s="22">
        <f t="shared" si="70"/>
        <v>4.0345444007076556E-3</v>
      </c>
      <c r="M304" s="22">
        <f t="shared" si="70"/>
        <v>3.9922981950029426E-3</v>
      </c>
      <c r="N304" s="22">
        <f t="shared" si="70"/>
        <v>3.9102717222172061E-3</v>
      </c>
      <c r="O304" s="22">
        <f t="shared" si="70"/>
        <v>3.8318341975778526E-3</v>
      </c>
      <c r="P304" s="22">
        <f t="shared" si="70"/>
        <v>3.7768092664363703E-3</v>
      </c>
      <c r="Q304" s="22">
        <f t="shared" si="70"/>
        <v>3.7302077394038642E-3</v>
      </c>
      <c r="R304" s="22">
        <f t="shared" si="70"/>
        <v>3.6443959445376013E-3</v>
      </c>
      <c r="S304" s="22">
        <f t="shared" si="70"/>
        <v>3.1903926792440892E-3</v>
      </c>
      <c r="T304" s="22">
        <f t="shared" si="70"/>
        <v>3.2106663265573984E-3</v>
      </c>
      <c r="U304" s="22">
        <f t="shared" si="70"/>
        <v>3.2208428669210313E-3</v>
      </c>
      <c r="V304" s="22">
        <f t="shared" si="70"/>
        <v>3.2307364561530842E-3</v>
      </c>
      <c r="W304" s="22">
        <f t="shared" si="70"/>
        <v>3.254902562017731E-3</v>
      </c>
      <c r="X304" s="22">
        <f t="shared" si="70"/>
        <v>3.2782562439090815E-3</v>
      </c>
      <c r="Y304" s="22">
        <f t="shared" si="70"/>
        <v>3.3050489002128215E-3</v>
      </c>
      <c r="Z304" s="22">
        <f t="shared" si="70"/>
        <v>3.3275372736969E-3</v>
      </c>
      <c r="AA304" s="22">
        <f t="shared" si="70"/>
        <v>3.3545630668081641E-3</v>
      </c>
      <c r="AB304" s="22">
        <f t="shared" si="70"/>
        <v>3.374236291282967E-3</v>
      </c>
      <c r="AC304" s="22">
        <f t="shared" si="70"/>
        <v>3.3949308007856708E-3</v>
      </c>
      <c r="AD304" s="22">
        <f t="shared" si="70"/>
        <v>3.4331006607294153E-3</v>
      </c>
      <c r="AE304" s="22">
        <f t="shared" si="70"/>
        <v>3.4776892887637355E-3</v>
      </c>
      <c r="AF304" s="22">
        <f t="shared" si="70"/>
        <v>3.5238304817562988E-3</v>
      </c>
      <c r="AG304" s="22">
        <f t="shared" si="70"/>
        <v>3.4719718964145189E-3</v>
      </c>
      <c r="AH304" s="22">
        <f t="shared" si="70"/>
        <v>-1.1714692133953115E-3</v>
      </c>
      <c r="AI304" s="22">
        <f t="shared" si="70"/>
        <v>-1.1586552323425276E-3</v>
      </c>
      <c r="AJ304" s="22">
        <f t="shared" si="70"/>
        <v>-1.1461157085356224E-3</v>
      </c>
      <c r="AK304" s="22">
        <f t="shared" si="70"/>
        <v>-1.133832687326532E-3</v>
      </c>
      <c r="AL304" s="22">
        <f t="shared" si="70"/>
        <v>-1.1217895287085682E-3</v>
      </c>
      <c r="AM304" s="22">
        <f t="shared" si="70"/>
        <v>-1.109970780182961E-3</v>
      </c>
      <c r="AN304" s="22">
        <f t="shared" si="70"/>
        <v>-1.0970079678456562E-3</v>
      </c>
      <c r="AO304" s="22">
        <f t="shared" si="70"/>
        <v>-1.0842737081927609E-3</v>
      </c>
      <c r="AP304" s="22">
        <f t="shared" si="70"/>
        <v>-1.0717546527021955E-3</v>
      </c>
      <c r="AQ304" s="22">
        <f t="shared" si="70"/>
        <v>-1.0594383247478308E-3</v>
      </c>
      <c r="AR304" s="22">
        <f t="shared" si="70"/>
        <v>-1.0473130442654776E-3</v>
      </c>
      <c r="AS304" s="22">
        <f t="shared" si="70"/>
        <v>-1.0340992030399717E-3</v>
      </c>
      <c r="AT304" s="22">
        <f t="shared" si="70"/>
        <v>-1.0210871852182944E-3</v>
      </c>
      <c r="AU304" s="22">
        <f t="shared" si="70"/>
        <v>-1.0082666022109977E-3</v>
      </c>
      <c r="AV304" s="22">
        <f t="shared" si="70"/>
        <v>-9.9562767922285289E-4</v>
      </c>
      <c r="AW304" s="22">
        <f t="shared" si="70"/>
        <v>-9.8316120739708342E-4</v>
      </c>
      <c r="AY304" s="85"/>
    </row>
    <row r="305" spans="1:51" x14ac:dyDescent="0.25">
      <c r="A305" s="102" t="str">
        <f t="shared" si="45"/>
        <v>FA MM Leaching</v>
      </c>
      <c r="B305" s="102" t="s">
        <v>963</v>
      </c>
      <c r="C305" s="102" t="s">
        <v>1334</v>
      </c>
      <c r="D305" t="s">
        <v>369</v>
      </c>
      <c r="E305" t="s">
        <v>64</v>
      </c>
      <c r="F305" t="s">
        <v>63</v>
      </c>
      <c r="G305" t="s">
        <v>1181</v>
      </c>
      <c r="H305" t="s">
        <v>1321</v>
      </c>
      <c r="I305" t="s">
        <v>139</v>
      </c>
      <c r="J305" t="s">
        <v>287</v>
      </c>
      <c r="K305" s="22">
        <f t="shared" si="65"/>
        <v>1.6818104652936192E-2</v>
      </c>
      <c r="L305" s="22">
        <f t="shared" si="70"/>
        <v>1.718231236008292E-2</v>
      </c>
      <c r="M305" s="22">
        <f t="shared" si="70"/>
        <v>1.7475775480268494E-2</v>
      </c>
      <c r="N305" s="22">
        <f t="shared" si="70"/>
        <v>1.7667520029914504E-2</v>
      </c>
      <c r="O305" s="22">
        <f t="shared" si="70"/>
        <v>1.7861867169015104E-2</v>
      </c>
      <c r="P305" s="22">
        <f t="shared" si="70"/>
        <v>1.8112417299921187E-2</v>
      </c>
      <c r="Q305" s="22">
        <f t="shared" si="70"/>
        <v>1.8380356458960346E-2</v>
      </c>
      <c r="R305" s="22">
        <f t="shared" si="70"/>
        <v>1.8536177397088752E-2</v>
      </c>
      <c r="S305" s="22">
        <f t="shared" si="70"/>
        <v>1.76397656538211E-2</v>
      </c>
      <c r="T305" s="22">
        <f t="shared" si="70"/>
        <v>1.801846759992717E-2</v>
      </c>
      <c r="U305" s="22">
        <f t="shared" si="70"/>
        <v>1.8371985881481728E-2</v>
      </c>
      <c r="V305" s="22">
        <f t="shared" si="70"/>
        <v>1.8728295000039214E-2</v>
      </c>
      <c r="W305" s="22">
        <f t="shared" si="70"/>
        <v>1.9132681284008777E-2</v>
      </c>
      <c r="X305" s="22">
        <f t="shared" si="70"/>
        <v>1.9540426695963047E-2</v>
      </c>
      <c r="Y305" s="22">
        <f t="shared" si="70"/>
        <v>1.9948690293653936E-2</v>
      </c>
      <c r="Z305" s="22">
        <f t="shared" si="70"/>
        <v>2.0349079299491275E-2</v>
      </c>
      <c r="AA305" s="22">
        <f t="shared" si="70"/>
        <v>2.0770745700628056E-2</v>
      </c>
      <c r="AB305" s="22">
        <f t="shared" si="70"/>
        <v>2.1173883464125715E-2</v>
      </c>
      <c r="AC305" s="22">
        <f t="shared" si="70"/>
        <v>2.1586582056186982E-2</v>
      </c>
      <c r="AD305" s="22">
        <f t="shared" si="70"/>
        <v>2.2054503180091424E-2</v>
      </c>
      <c r="AE305" s="22">
        <f t="shared" si="70"/>
        <v>2.2554673664968956E-2</v>
      </c>
      <c r="AF305" s="22">
        <f t="shared" si="70"/>
        <v>2.3070579743094625E-2</v>
      </c>
      <c r="AG305" s="22">
        <f t="shared" si="70"/>
        <v>2.3224138845155579E-2</v>
      </c>
      <c r="AH305" s="22">
        <f t="shared" si="70"/>
        <v>5.566614295378065E-3</v>
      </c>
      <c r="AI305" s="22">
        <f t="shared" si="70"/>
        <v>5.6093984340287433E-3</v>
      </c>
      <c r="AJ305" s="22">
        <f t="shared" si="70"/>
        <v>5.652494073803362E-3</v>
      </c>
      <c r="AK305" s="22">
        <f t="shared" si="70"/>
        <v>5.6959035866970768E-3</v>
      </c>
      <c r="AL305" s="22">
        <f t="shared" si="70"/>
        <v>5.7396293554766858E-3</v>
      </c>
      <c r="AM305" s="22">
        <f t="shared" si="70"/>
        <v>5.7836737743814492E-3</v>
      </c>
      <c r="AN305" s="22">
        <f t="shared" si="70"/>
        <v>5.821325048469962E-3</v>
      </c>
      <c r="AO305" s="22">
        <f t="shared" si="70"/>
        <v>5.8592087350485328E-3</v>
      </c>
      <c r="AP305" s="22">
        <f t="shared" si="70"/>
        <v>5.8973263448292906E-3</v>
      </c>
      <c r="AQ305" s="22">
        <f t="shared" si="70"/>
        <v>5.9356793935795814E-3</v>
      </c>
      <c r="AR305" s="22">
        <f t="shared" si="70"/>
        <v>5.9742694025184985E-3</v>
      </c>
      <c r="AS305" s="22">
        <f t="shared" si="70"/>
        <v>6.0061978888300534E-3</v>
      </c>
      <c r="AT305" s="22">
        <f t="shared" si="70"/>
        <v>6.0382881266520675E-3</v>
      </c>
      <c r="AU305" s="22">
        <f t="shared" si="70"/>
        <v>6.0705409933047069E-3</v>
      </c>
      <c r="AV305" s="22">
        <f t="shared" si="70"/>
        <v>6.1029573675840942E-3</v>
      </c>
      <c r="AW305" s="22">
        <f t="shared" si="70"/>
        <v>6.1355381299989719E-3</v>
      </c>
      <c r="AY305" s="85"/>
    </row>
    <row r="306" spans="1:51" x14ac:dyDescent="0.25">
      <c r="A306" s="102" t="str">
        <f t="shared" si="45"/>
        <v>FA MM Leaching</v>
      </c>
      <c r="B306" s="102" t="s">
        <v>963</v>
      </c>
      <c r="C306" s="102" t="s">
        <v>1334</v>
      </c>
      <c r="D306" t="s">
        <v>369</v>
      </c>
      <c r="E306" t="s">
        <v>64</v>
      </c>
      <c r="F306" t="s">
        <v>63</v>
      </c>
      <c r="G306" t="s">
        <v>1183</v>
      </c>
      <c r="H306" t="s">
        <v>1322</v>
      </c>
      <c r="I306" t="s">
        <v>139</v>
      </c>
      <c r="J306" t="s">
        <v>287</v>
      </c>
      <c r="K306" s="22">
        <f t="shared" si="65"/>
        <v>7.8494818970751015E-2</v>
      </c>
      <c r="L306" s="22">
        <f t="shared" si="70"/>
        <v>7.9768604189276573E-2</v>
      </c>
      <c r="M306" s="22">
        <f t="shared" si="70"/>
        <v>8.0146817618550151E-2</v>
      </c>
      <c r="N306" s="22">
        <f t="shared" si="70"/>
        <v>7.92990227060308E-2</v>
      </c>
      <c r="O306" s="22">
        <f t="shared" si="70"/>
        <v>7.8453048138272599E-2</v>
      </c>
      <c r="P306" s="22">
        <f t="shared" si="70"/>
        <v>7.8207580187434067E-2</v>
      </c>
      <c r="Q306" s="22">
        <f t="shared" si="70"/>
        <v>7.8156445174191957E-2</v>
      </c>
      <c r="R306" s="22">
        <f t="shared" si="70"/>
        <v>7.6852772864248492E-2</v>
      </c>
      <c r="S306" s="22">
        <f t="shared" si="70"/>
        <v>6.4037092776490251E-2</v>
      </c>
      <c r="T306" s="22">
        <f t="shared" si="70"/>
        <v>6.592602729202128E-2</v>
      </c>
      <c r="U306" s="22">
        <f t="shared" si="70"/>
        <v>6.7504922847287652E-2</v>
      </c>
      <c r="V306" s="22">
        <f t="shared" si="70"/>
        <v>6.9079987400904638E-2</v>
      </c>
      <c r="W306" s="22">
        <f t="shared" si="70"/>
        <v>7.1129196138688011E-2</v>
      </c>
      <c r="X306" s="22">
        <f t="shared" si="70"/>
        <v>7.3172253795344297E-2</v>
      </c>
      <c r="Y306" s="22">
        <f t="shared" si="70"/>
        <v>7.5415394971077201E-2</v>
      </c>
      <c r="Z306" s="22">
        <f t="shared" si="70"/>
        <v>7.7538763261802646E-2</v>
      </c>
      <c r="AA306" s="22">
        <f t="shared" si="70"/>
        <v>7.984321522583579E-2</v>
      </c>
      <c r="AB306" s="22">
        <f t="shared" si="70"/>
        <v>8.1921087927437922E-2</v>
      </c>
      <c r="AC306" s="22">
        <f t="shared" si="70"/>
        <v>8.4060316833005314E-2</v>
      </c>
      <c r="AD306" s="22">
        <f t="shared" si="70"/>
        <v>8.6903196778093231E-2</v>
      </c>
      <c r="AE306" s="22">
        <f t="shared" si="70"/>
        <v>9.0024318002173712E-2</v>
      </c>
      <c r="AF306" s="22">
        <f t="shared" si="70"/>
        <v>9.3255519309180357E-2</v>
      </c>
      <c r="AG306" s="22">
        <f t="shared" si="70"/>
        <v>9.2895703603725718E-2</v>
      </c>
      <c r="AH306" s="22">
        <f t="shared" si="70"/>
        <v>-8.0563954207335059E-2</v>
      </c>
      <c r="AI306" s="22">
        <f t="shared" si="70"/>
        <v>-8.0679385855871269E-2</v>
      </c>
      <c r="AJ306" s="22">
        <f t="shared" si="70"/>
        <v>-8.0804585525595149E-2</v>
      </c>
      <c r="AK306" s="22">
        <f t="shared" si="70"/>
        <v>-8.0939145577368532E-2</v>
      </c>
      <c r="AL306" s="22">
        <f t="shared" si="70"/>
        <v>-8.1082690034370505E-2</v>
      </c>
      <c r="AM306" s="22">
        <f t="shared" si="70"/>
        <v>-8.1234871540648887E-2</v>
      </c>
      <c r="AN306" s="22">
        <f t="shared" si="70"/>
        <v>-8.1297506735230202E-2</v>
      </c>
      <c r="AO306" s="22">
        <f t="shared" si="70"/>
        <v>-8.1367991924777852E-2</v>
      </c>
      <c r="AP306" s="22">
        <f t="shared" si="70"/>
        <v>-8.144602229798413E-2</v>
      </c>
      <c r="AQ306" s="22">
        <f t="shared" si="70"/>
        <v>-8.1531313973181002E-2</v>
      </c>
      <c r="AR306" s="22">
        <f t="shared" si="70"/>
        <v>-8.1623602199923873E-2</v>
      </c>
      <c r="AS306" s="22">
        <f t="shared" si="70"/>
        <v>-8.1624903700920404E-2</v>
      </c>
      <c r="AT306" s="22">
        <f t="shared" si="70"/>
        <v>-8.1632684613039755E-2</v>
      </c>
      <c r="AU306" s="22">
        <f t="shared" si="70"/>
        <v>-8.1646705375421999E-2</v>
      </c>
      <c r="AV306" s="22">
        <f t="shared" si="70"/>
        <v>-8.1666741103231646E-2</v>
      </c>
      <c r="AW306" s="22">
        <f t="shared" si="70"/>
        <v>-8.1692580447798743E-2</v>
      </c>
      <c r="AY306" s="85"/>
    </row>
    <row r="307" spans="1:51" x14ac:dyDescent="0.25">
      <c r="B307" s="109"/>
    </row>
    <row r="308" spans="1:51" x14ac:dyDescent="0.25">
      <c r="B308" s="109"/>
    </row>
    <row r="309" spans="1:51" x14ac:dyDescent="0.25">
      <c r="B309" s="109"/>
    </row>
    <row r="310" spans="1:51" x14ac:dyDescent="0.25">
      <c r="A310" s="102" t="str">
        <f t="shared" ref="A310:A373" si="71">B310&amp;" "&amp;C310</f>
        <v>GS Cattle</v>
      </c>
      <c r="B310" s="102" t="s">
        <v>1022</v>
      </c>
      <c r="C310" s="102" t="s">
        <v>1109</v>
      </c>
      <c r="D310" t="s">
        <v>15</v>
      </c>
      <c r="E310" t="s">
        <v>16</v>
      </c>
      <c r="F310" t="s">
        <v>6</v>
      </c>
      <c r="G310" t="s">
        <v>136</v>
      </c>
      <c r="H310" t="s">
        <v>1021</v>
      </c>
      <c r="I310" t="s">
        <v>121</v>
      </c>
      <c r="J310" t="s">
        <v>286</v>
      </c>
      <c r="K310" s="100">
        <f>IF('Net zero activities &amp; levers'!$C$7="Off",(('Activity data'!AD5*EF!$H4)*kgtoGg),IF('Net zero activities &amp; levers'!$C$7="On",((('Net zero supporting data'!B76*EF!$H4)+('Net zero supporting data'!B71*'Net zero supporting data'!B56))*kgtoGg),"ERROR"))</f>
        <v>72.376996171709351</v>
      </c>
      <c r="L310" s="100">
        <f>IF('Net zero activities &amp; levers'!$C$7="Off",(('Activity data'!AE5*EF!$H4)*kgtoGg),IF('Net zero activities &amp; levers'!$C$7="On",((('Net zero supporting data'!C76*EF!$H4)+('Net zero supporting data'!C71*'Net zero supporting data'!C56))*kgtoGg),"ERROR"))</f>
        <v>72.827193296605245</v>
      </c>
      <c r="M310" s="100">
        <f>IF('Net zero activities &amp; levers'!$C$7="Off",(('Activity data'!AF5*EF!$H4)*kgtoGg),IF('Net zero activities &amp; levers'!$C$7="On",((('Net zero supporting data'!D76*EF!$H4)+('Net zero supporting data'!D71*'Net zero supporting data'!D56))*kgtoGg),"ERROR"))</f>
        <v>73.136710021656683</v>
      </c>
      <c r="N310" s="100">
        <f>IF('Net zero activities &amp; levers'!$C$7="Off",(('Activity data'!AG5*EF!$H4)*kgtoGg),IF('Net zero activities &amp; levers'!$C$7="On",((('Net zero supporting data'!E76*EF!$H4)+('Net zero supporting data'!E71*'Net zero supporting data'!E56))*kgtoGg),"ERROR"))</f>
        <v>73.233779022849987</v>
      </c>
      <c r="O310" s="100">
        <f>IF('Net zero activities &amp; levers'!$C$7="Off",(('Activity data'!AH5*EF!$H4)*kgtoGg),IF('Net zero activities &amp; levers'!$C$7="On",((('Net zero supporting data'!F76*EF!$H4)+('Net zero supporting data'!F71*'Net zero supporting data'!F56))*kgtoGg),"ERROR"))</f>
        <v>73.365098896994937</v>
      </c>
      <c r="P310" s="100">
        <f>IF('Net zero activities &amp; levers'!$C$7="Off",(('Activity data'!AI5*EF!$H4)*kgtoGg),IF('Net zero activities &amp; levers'!$C$7="On",((('Net zero supporting data'!G76*EF!$H4)+('Net zero supporting data'!G71*'Net zero supporting data'!G56))*kgtoGg),"ERROR"))</f>
        <v>73.652739312599607</v>
      </c>
      <c r="Q310" s="100">
        <f>IF('Net zero activities &amp; levers'!$C$7="Off",(('Activity data'!AJ5*EF!$H4)*kgtoGg),IF('Net zero activities &amp; levers'!$C$7="On",((('Net zero supporting data'!H76*EF!$H4)+('Net zero supporting data'!H71*'Net zero supporting data'!H56))*kgtoGg),"ERROR"))</f>
        <v>73.997590994756678</v>
      </c>
      <c r="R310" s="100">
        <f>IF('Net zero activities &amp; levers'!$C$7="Off",(('Activity data'!AK5*EF!$H4)*kgtoGg),IF('Net zero activities &amp; levers'!$C$7="On",((('Net zero supporting data'!I76*EF!$H4)+('Net zero supporting data'!I71*'Net zero supporting data'!I56))*kgtoGg),"ERROR"))</f>
        <v>74.101188037293639</v>
      </c>
      <c r="S310" s="100">
        <f>IF('Net zero activities &amp; levers'!$C$7="Off",(('Activity data'!AL5*EF!$H4)*kgtoGg),IF('Net zero activities &amp; levers'!$C$7="On",((('Net zero supporting data'!J76*EF!$H4)+('Net zero supporting data'!J71*'Net zero supporting data'!J56))*kgtoGg),"ERROR"))</f>
        <v>71.826298208807202</v>
      </c>
      <c r="T310" s="100">
        <f>IF('Net zero activities &amp; levers'!$C$7="Off",(('Activity data'!AM5*EF!$H4)*kgtoGg),IF('Net zero activities &amp; levers'!$C$7="On",((('Net zero supporting data'!K76*EF!$H4)+('Net zero supporting data'!K71*'Net zero supporting data'!K56))*kgtoGg),"ERROR"))</f>
        <v>71.809842656801791</v>
      </c>
      <c r="U310" s="100">
        <f>IF('Net zero activities &amp; levers'!$C$7="Off",(('Activity data'!AN5*EF!$H4)*kgtoGg),IF('Net zero activities &amp; levers'!$C$7="On",((('Net zero supporting data'!L76*EF!$H4)+('Net zero supporting data'!L71*'Net zero supporting data'!L56))*kgtoGg),"ERROR"))</f>
        <v>71.678188637136856</v>
      </c>
      <c r="V310" s="100">
        <f>IF('Net zero activities &amp; levers'!$C$7="Off",(('Activity data'!AO5*EF!$H4)*kgtoGg),IF('Net zero activities &amp; levers'!$C$7="On",((('Net zero supporting data'!M76*EF!$H4)+('Net zero supporting data'!M71*'Net zero supporting data'!M56))*kgtoGg),"ERROR"))</f>
        <v>71.493961899608038</v>
      </c>
      <c r="W310" s="100">
        <f>IF('Net zero activities &amp; levers'!$C$7="Off",(('Activity data'!AP5*EF!$H4)*kgtoGg),IF('Net zero activities &amp; levers'!$C$7="On",((('Net zero supporting data'!N76*EF!$H4)+('Net zero supporting data'!N71*'Net zero supporting data'!N56))*kgtoGg),"ERROR"))</f>
        <v>71.353163722717639</v>
      </c>
      <c r="X310" s="100">
        <f>IF('Net zero activities &amp; levers'!$C$7="Off",(('Activity data'!AQ5*EF!$H4)*kgtoGg),IF('Net zero activities &amp; levers'!$C$7="On",((('Net zero supporting data'!O76*EF!$H4)+('Net zero supporting data'!O71*'Net zero supporting data'!O56))*kgtoGg),"ERROR"))</f>
        <v>71.155863913866156</v>
      </c>
      <c r="Y310" s="100">
        <f>IF('Net zero activities &amp; levers'!$C$7="Off",(('Activity data'!AR5*EF!$H4)*kgtoGg),IF('Net zero activities &amp; levers'!$C$7="On",((('Net zero supporting data'!P76*EF!$H4)+('Net zero supporting data'!P71*'Net zero supporting data'!P56))*kgtoGg),"ERROR"))</f>
        <v>70.872971219899014</v>
      </c>
      <c r="Z310" s="100">
        <f>IF('Net zero activities &amp; levers'!$C$7="Off",(('Activity data'!AS5*EF!$H4)*kgtoGg),IF('Net zero activities &amp; levers'!$C$7="On",((('Net zero supporting data'!Q76*EF!$H4)+('Net zero supporting data'!Q71*'Net zero supporting data'!Q56))*kgtoGg),"ERROR"))</f>
        <v>70.509493262977685</v>
      </c>
      <c r="AA310" s="100">
        <f>IF('Net zero activities &amp; levers'!$C$7="Off",(('Activity data'!AT5*EF!$H4)*kgtoGg),IF('Net zero activities &amp; levers'!$C$7="On",((('Net zero supporting data'!R76*EF!$H4)+('Net zero supporting data'!R71*'Net zero supporting data'!R56))*kgtoGg),"ERROR"))</f>
        <v>70.124015635919932</v>
      </c>
      <c r="AB310" s="100">
        <f>IF('Net zero activities &amp; levers'!$C$7="Off",(('Activity data'!AU5*EF!$H4)*kgtoGg),IF('Net zero activities &amp; levers'!$C$7="On",((('Net zero supporting data'!S76*EF!$H4)+('Net zero supporting data'!S71*'Net zero supporting data'!S56))*kgtoGg),"ERROR"))</f>
        <v>69.636095073861952</v>
      </c>
      <c r="AC310" s="100">
        <f>IF('Net zero activities &amp; levers'!$C$7="Off",(('Activity data'!AV5*EF!$H4)*kgtoGg),IF('Net zero activities &amp; levers'!$C$7="On",((('Net zero supporting data'!T76*EF!$H4)+('Net zero supporting data'!T71*'Net zero supporting data'!T56))*kgtoGg),"ERROR"))</f>
        <v>69.101421850007654</v>
      </c>
      <c r="AD310" s="100">
        <f>IF('Net zero activities &amp; levers'!$C$7="Off",(('Activity data'!AW5*EF!$H4)*kgtoGg),IF('Net zero activities &amp; levers'!$C$7="On",((('Net zero supporting data'!U76*EF!$H4)+('Net zero supporting data'!U71*'Net zero supporting data'!U56))*kgtoGg),"ERROR"))</f>
        <v>69.388389504747963</v>
      </c>
      <c r="AE310" s="100">
        <f>IF('Net zero activities &amp; levers'!$C$7="Off",(('Activity data'!AX5*EF!$H4)*kgtoGg),IF('Net zero activities &amp; levers'!$C$7="On",((('Net zero supporting data'!V76*EF!$H4)+('Net zero supporting data'!V71*'Net zero supporting data'!V56))*kgtoGg),"ERROR"))</f>
        <v>69.714950661098499</v>
      </c>
      <c r="AF310" s="100">
        <f>IF('Net zero activities &amp; levers'!$C$7="Off",(('Activity data'!AY5*EF!$H4)*kgtoGg),IF('Net zero activities &amp; levers'!$C$7="On",((('Net zero supporting data'!W76*EF!$H4)+('Net zero supporting data'!W71*'Net zero supporting data'!W56))*kgtoGg),"ERROR"))</f>
        <v>70.048145566823123</v>
      </c>
      <c r="AG310" s="100">
        <f>IF('Net zero activities &amp; levers'!$C$7="Off",(('Activity data'!AZ5*EF!$H4)*kgtoGg),IF('Net zero activities &amp; levers'!$C$7="On",((('Net zero supporting data'!X76*EF!$H4)+('Net zero supporting data'!X71*'Net zero supporting data'!X56))*kgtoGg),"ERROR"))</f>
        <v>69.6940667484822</v>
      </c>
      <c r="AH310" s="100">
        <f>IF('Net zero activities &amp; levers'!$C$7="Off",(('Activity data'!BA5*EF!$H4)*kgtoGg),IF('Net zero activities &amp; levers'!$C$7="On",((('Net zero supporting data'!Y76*EF!$H4)+('Net zero supporting data'!Y71*'Net zero supporting data'!Y56))*kgtoGg),"ERROR"))</f>
        <v>37.058597206747969</v>
      </c>
      <c r="AI310" s="100">
        <f>IF('Net zero activities &amp; levers'!$C$7="Off",(('Activity data'!BB5*EF!$H4)*kgtoGg),IF('Net zero activities &amp; levers'!$C$7="On",((('Net zero supporting data'!Z76*EF!$H4)+('Net zero supporting data'!Z71*'Net zero supporting data'!Z56))*kgtoGg),"ERROR"))</f>
        <v>36.823478511934212</v>
      </c>
      <c r="AJ310" s="100">
        <f>IF('Net zero activities &amp; levers'!$C$7="Off",(('Activity data'!BC5*EF!$H4)*kgtoGg),IF('Net zero activities &amp; levers'!$C$7="On",((('Net zero supporting data'!AA76*EF!$H4)+('Net zero supporting data'!AA71*'Net zero supporting data'!AA56))*kgtoGg),"ERROR"))</f>
        <v>36.584275544530762</v>
      </c>
      <c r="AK310" s="100">
        <f>IF('Net zero activities &amp; levers'!$C$7="Off",(('Activity data'!BD5*EF!$H4)*kgtoGg),IF('Net zero activities &amp; levers'!$C$7="On",((('Net zero supporting data'!AB76*EF!$H4)+('Net zero supporting data'!AB71*'Net zero supporting data'!AB56))*kgtoGg),"ERROR"))</f>
        <v>36.340798164650927</v>
      </c>
      <c r="AL310" s="100">
        <f>IF('Net zero activities &amp; levers'!$C$7="Off",(('Activity data'!BE5*EF!$H4)*kgtoGg),IF('Net zero activities &amp; levers'!$C$7="On",((('Net zero supporting data'!AC76*EF!$H4)+('Net zero supporting data'!AC71*'Net zero supporting data'!AC56))*kgtoGg),"ERROR"))</f>
        <v>36.092866548645702</v>
      </c>
      <c r="AM310" s="100">
        <f>IF('Net zero activities &amp; levers'!$C$7="Off",(('Activity data'!BF5*EF!$H4)*kgtoGg),IF('Net zero activities &amp; levers'!$C$7="On",((('Net zero supporting data'!AD76*EF!$H4)+('Net zero supporting data'!AD71*'Net zero supporting data'!AD56))*kgtoGg),"ERROR"))</f>
        <v>35.840310119876449</v>
      </c>
      <c r="AN310" s="100">
        <f>IF('Net zero activities &amp; levers'!$C$7="Off",(('Activity data'!BG5*EF!$H4)*kgtoGg),IF('Net zero activities &amp; levers'!$C$7="On",((('Net zero supporting data'!AE76*EF!$H4)+('Net zero supporting data'!AE71*'Net zero supporting data'!AE56))*kgtoGg),"ERROR"))</f>
        <v>35.557829728291217</v>
      </c>
      <c r="AO310" s="100">
        <f>IF('Net zero activities &amp; levers'!$C$7="Off",(('Activity data'!BH5*EF!$H4)*kgtoGg),IF('Net zero activities &amp; levers'!$C$7="On",((('Net zero supporting data'!AF76*EF!$H4)+('Net zero supporting data'!AF71*'Net zero supporting data'!AF56))*kgtoGg),"ERROR"))</f>
        <v>35.27067502222031</v>
      </c>
      <c r="AP310" s="100">
        <f>IF('Net zero activities &amp; levers'!$C$7="Off",(('Activity data'!BI5*EF!$H4)*kgtoGg),IF('Net zero activities &amp; levers'!$C$7="On",((('Net zero supporting data'!AG76*EF!$H4)+('Net zero supporting data'!AG71*'Net zero supporting data'!AG56))*kgtoGg),"ERROR"))</f>
        <v>34.978711630930221</v>
      </c>
      <c r="AQ310" s="100">
        <f>IF('Net zero activities &amp; levers'!$C$7="Off",(('Activity data'!BJ5*EF!$H4)*kgtoGg),IF('Net zero activities &amp; levers'!$C$7="On",((('Net zero supporting data'!AH76*EF!$H4)+('Net zero supporting data'!AH71*'Net zero supporting data'!AH56))*kgtoGg),"ERROR"))</f>
        <v>34.681811723843147</v>
      </c>
      <c r="AR310" s="100">
        <f>IF('Net zero activities &amp; levers'!$C$7="Off",(('Activity data'!BK5*EF!$H4)*kgtoGg),IF('Net zero activities &amp; levers'!$C$7="On",((('Net zero supporting data'!AI76*EF!$H4)+('Net zero supporting data'!AI71*'Net zero supporting data'!AI56))*kgtoGg),"ERROR"))</f>
        <v>34.37985340323339</v>
      </c>
      <c r="AS310" s="100">
        <f>IF('Net zero activities &amp; levers'!$C$7="Off",(('Activity data'!BL5*EF!$H4)*kgtoGg),IF('Net zero activities &amp; levers'!$C$7="On",((('Net zero supporting data'!AJ76*EF!$H4)+('Net zero supporting data'!AJ71*'Net zero supporting data'!AJ56))*kgtoGg),"ERROR"))</f>
        <v>34.048457160996698</v>
      </c>
      <c r="AT310" s="100">
        <f>IF('Net zero activities &amp; levers'!$C$7="Off",(('Activity data'!BM5*EF!$H4)*kgtoGg),IF('Net zero activities &amp; levers'!$C$7="On",((('Net zero supporting data'!AK76*EF!$H4)+('Net zero supporting data'!AK71*'Net zero supporting data'!AK56))*kgtoGg),"ERROR"))</f>
        <v>33.712141063013114</v>
      </c>
      <c r="AU310" s="100">
        <f>IF('Net zero activities &amp; levers'!$C$7="Off",(('Activity data'!BN5*EF!$H4)*kgtoGg),IF('Net zero activities &amp; levers'!$C$7="On",((('Net zero supporting data'!AL76*EF!$H4)+('Net zero supporting data'!AL71*'Net zero supporting data'!AL56))*kgtoGg),"ERROR"))</f>
        <v>33.370812129865556</v>
      </c>
      <c r="AV310" s="100">
        <f>IF('Net zero activities &amp; levers'!$C$7="Off",(('Activity data'!BO5*EF!$H4)*kgtoGg),IF('Net zero activities &amp; levers'!$C$7="On",((('Net zero supporting data'!AM76*EF!$H4)+('Net zero supporting data'!AM71*'Net zero supporting data'!AM56))*kgtoGg),"ERROR"))</f>
        <v>33.024381807603497</v>
      </c>
      <c r="AW310" s="100">
        <f>IF('Net zero activities &amp; levers'!$C$7="Off",(('Activity data'!BP5*EF!$H4)*kgtoGg),IF('Net zero activities &amp; levers'!$C$7="On",((('Net zero supporting data'!AN76*EF!$H4)+('Net zero supporting data'!AN71*'Net zero supporting data'!AN56))*kgtoGg),"ERROR"))</f>
        <v>32.672765600060814</v>
      </c>
      <c r="AY310" s="85"/>
    </row>
    <row r="311" spans="1:51" x14ac:dyDescent="0.25">
      <c r="A311" s="102" t="str">
        <f t="shared" si="71"/>
        <v>GS Cattle</v>
      </c>
      <c r="B311" s="102" t="s">
        <v>1022</v>
      </c>
      <c r="C311" s="102" t="s">
        <v>1109</v>
      </c>
      <c r="D311" t="s">
        <v>15</v>
      </c>
      <c r="E311" t="s">
        <v>16</v>
      </c>
      <c r="F311" t="s">
        <v>6</v>
      </c>
      <c r="G311" t="s">
        <v>137</v>
      </c>
      <c r="H311" t="s">
        <v>1021</v>
      </c>
      <c r="I311" t="s">
        <v>121</v>
      </c>
      <c r="J311" t="s">
        <v>286</v>
      </c>
      <c r="K311" s="100">
        <f>IF('Net zero activities &amp; levers'!$C$7="Off",(('Activity data'!AD6*EF!$H5)*kgtoGg),IF('Net zero activities &amp; levers'!$C$7="On",((('Net zero supporting data'!B77*EF!$H5)+('Net zero supporting data'!B72*'Net zero supporting data'!B52))*kgtoGg),"ERROR"))</f>
        <v>57.888319714675518</v>
      </c>
      <c r="L311" s="100">
        <f>IF('Net zero activities &amp; levers'!$C$7="Off",(('Activity data'!AE6*EF!$H5)*kgtoGg),IF('Net zero activities &amp; levers'!$C$7="On",((('Net zero supporting data'!C77*EF!$H5)+('Net zero supporting data'!C72*'Net zero supporting data'!C52))*kgtoGg),"ERROR"))</f>
        <v>58.248394828027457</v>
      </c>
      <c r="M311" s="100">
        <f>IF('Net zero activities &amp; levers'!$C$7="Off",(('Activity data'!AF6*EF!$H5)*kgtoGg),IF('Net zero activities &amp; levers'!$C$7="On",((('Net zero supporting data'!D77*EF!$H5)+('Net zero supporting data'!D72*'Net zero supporting data'!D52))*kgtoGg),"ERROR"))</f>
        <v>58.495951428667674</v>
      </c>
      <c r="N311" s="100">
        <f>IF('Net zero activities &amp; levers'!$C$7="Off",(('Activity data'!AG6*EF!$H5)*kgtoGg),IF('Net zero activities &amp; levers'!$C$7="On",((('Net zero supporting data'!E77*EF!$H5)+('Net zero supporting data'!E72*'Net zero supporting data'!E52))*kgtoGg),"ERROR"))</f>
        <v>58.573588822766354</v>
      </c>
      <c r="O311" s="100">
        <f>IF('Net zero activities &amp; levers'!$C$7="Off",(('Activity data'!AH6*EF!$H5)*kgtoGg),IF('Net zero activities &amp; levers'!$C$7="On",((('Net zero supporting data'!F77*EF!$H5)+('Net zero supporting data'!F72*'Net zero supporting data'!F52))*kgtoGg),"ERROR"))</f>
        <v>58.678620632063321</v>
      </c>
      <c r="P311" s="100">
        <f>IF('Net zero activities &amp; levers'!$C$7="Off",(('Activity data'!AI6*EF!$H5)*kgtoGg),IF('Net zero activities &amp; levers'!$C$7="On",((('Net zero supporting data'!G77*EF!$H5)+('Net zero supporting data'!G72*'Net zero supporting data'!G52))*kgtoGg),"ERROR"))</f>
        <v>58.908680198253116</v>
      </c>
      <c r="Q311" s="100">
        <f>IF('Net zero activities &amp; levers'!$C$7="Off",(('Activity data'!AJ6*EF!$H5)*kgtoGg),IF('Net zero activities &amp; levers'!$C$7="On",((('Net zero supporting data'!H77*EF!$H5)+('Net zero supporting data'!H72*'Net zero supporting data'!H52))*kgtoGg),"ERROR"))</f>
        <v>59.184498282544595</v>
      </c>
      <c r="R311" s="100">
        <f>IF('Net zero activities &amp; levers'!$C$7="Off",(('Activity data'!AK6*EF!$H5)*kgtoGg),IF('Net zero activities &amp; levers'!$C$7="On",((('Net zero supporting data'!I77*EF!$H5)+('Net zero supporting data'!I72*'Net zero supporting data'!I52))*kgtoGg),"ERROR"))</f>
        <v>59.267356912179451</v>
      </c>
      <c r="S311" s="100">
        <f>IF('Net zero activities &amp; levers'!$C$7="Off",(('Activity data'!AL6*EF!$H5)*kgtoGg),IF('Net zero activities &amp; levers'!$C$7="On",((('Net zero supporting data'!J77*EF!$H5)+('Net zero supporting data'!J72*'Net zero supporting data'!J52))*kgtoGg),"ERROR"))</f>
        <v>57.447862367329009</v>
      </c>
      <c r="T311" s="100">
        <f>IF('Net zero activities &amp; levers'!$C$7="Off",(('Activity data'!AM6*EF!$H5)*kgtoGg),IF('Net zero activities &amp; levers'!$C$7="On",((('Net zero supporting data'!K77*EF!$H5)+('Net zero supporting data'!K72*'Net zero supporting data'!K52))*kgtoGg),"ERROR"))</f>
        <v>55.561502712432784</v>
      </c>
      <c r="U311" s="100">
        <f>IF('Net zero activities &amp; levers'!$C$7="Off",(('Activity data'!AN6*EF!$H5)*kgtoGg),IF('Net zero activities &amp; levers'!$C$7="On",((('Net zero supporting data'!L77*EF!$H5)+('Net zero supporting data'!L72*'Net zero supporting data'!L52))*kgtoGg),"ERROR"))</f>
        <v>53.623198447320512</v>
      </c>
      <c r="V311" s="100">
        <f>IF('Net zero activities &amp; levers'!$C$7="Off",(('Activity data'!AO6*EF!$H5)*kgtoGg),IF('Net zero activities &amp; levers'!$C$7="On",((('Net zero supporting data'!M77*EF!$H5)+('Net zero supporting data'!M72*'Net zero supporting data'!M52))*kgtoGg),"ERROR"))</f>
        <v>51.682603938448466</v>
      </c>
      <c r="W311" s="100">
        <f>IF('Net zero activities &amp; levers'!$C$7="Off",(('Activity data'!AP6*EF!$H5)*kgtoGg),IF('Net zero activities &amp; levers'!$C$7="On",((('Net zero supporting data'!N77*EF!$H5)+('Net zero supporting data'!N72*'Net zero supporting data'!N52))*kgtoGg),"ERROR"))</f>
        <v>49.806317805214547</v>
      </c>
      <c r="X311" s="100">
        <f>IF('Net zero activities &amp; levers'!$C$7="Off",(('Activity data'!AQ6*EF!$H5)*kgtoGg),IF('Net zero activities &amp; levers'!$C$7="On",((('Net zero supporting data'!O77*EF!$H5)+('Net zero supporting data'!O72*'Net zero supporting data'!O52))*kgtoGg),"ERROR"))</f>
        <v>47.919569561616925</v>
      </c>
      <c r="Y311" s="100">
        <f>IF('Net zero activities &amp; levers'!$C$7="Off",(('Activity data'!AR6*EF!$H5)*kgtoGg),IF('Net zero activities &amp; levers'!$C$7="On",((('Net zero supporting data'!P77*EF!$H5)+('Net zero supporting data'!P72*'Net zero supporting data'!P52))*kgtoGg),"ERROR"))</f>
        <v>46.003452279018063</v>
      </c>
      <c r="Z311" s="100">
        <f>IF('Net zero activities &amp; levers'!$C$7="Off",(('Activity data'!AS6*EF!$H5)*kgtoGg),IF('Net zero activities &amp; levers'!$C$7="On",((('Net zero supporting data'!Q77*EF!$H5)+('Net zero supporting data'!Q72*'Net zero supporting data'!Q52))*kgtoGg),"ERROR"))</f>
        <v>44.063168422989662</v>
      </c>
      <c r="AA311" s="100">
        <f>IF('Net zero activities &amp; levers'!$C$7="Off",(('Activity data'!AT6*EF!$H5)*kgtoGg),IF('Net zero activities &amp; levers'!$C$7="On",((('Net zero supporting data'!R77*EF!$H5)+('Net zero supporting data'!R72*'Net zero supporting data'!R52))*kgtoGg),"ERROR"))</f>
        <v>42.135598190264105</v>
      </c>
      <c r="AB311" s="100">
        <f>IF('Net zero activities &amp; levers'!$C$7="Off",(('Activity data'!AU6*EF!$H5)*kgtoGg),IF('Net zero activities &amp; levers'!$C$7="On",((('Net zero supporting data'!S77*EF!$H5)+('Net zero supporting data'!S72*'Net zero supporting data'!S52))*kgtoGg),"ERROR"))</f>
        <v>40.171780268420228</v>
      </c>
      <c r="AC311" s="100">
        <f>IF('Net zero activities &amp; levers'!$C$7="Off",(('Activity data'!AV6*EF!$H5)*kgtoGg),IF('Net zero activities &amp; levers'!$C$7="On",((('Net zero supporting data'!T77*EF!$H5)+('Net zero supporting data'!T72*'Net zero supporting data'!T52))*kgtoGg),"ERROR"))</f>
        <v>38.205737590061339</v>
      </c>
      <c r="AD311" s="100">
        <f>IF('Net zero activities &amp; levers'!$C$7="Off",(('Activity data'!AW6*EF!$H5)*kgtoGg),IF('Net zero activities &amp; levers'!$C$7="On",((('Net zero supporting data'!U77*EF!$H5)+('Net zero supporting data'!U72*'Net zero supporting data'!U52))*kgtoGg),"ERROR"))</f>
        <v>37.530934310344009</v>
      </c>
      <c r="AE311" s="100">
        <f>IF('Net zero activities &amp; levers'!$C$7="Off",(('Activity data'!AX6*EF!$H5)*kgtoGg),IF('Net zero activities &amp; levers'!$C$7="On",((('Net zero supporting data'!V77*EF!$H5)+('Net zero supporting data'!V72*'Net zero supporting data'!V52))*kgtoGg),"ERROR"))</f>
        <v>36.86863921775393</v>
      </c>
      <c r="AF311" s="100">
        <f>IF('Net zero activities &amp; levers'!$C$7="Off",(('Activity data'!AY6*EF!$H5)*kgtoGg),IF('Net zero activities &amp; levers'!$C$7="On",((('Net zero supporting data'!W77*EF!$H5)+('Net zero supporting data'!W72*'Net zero supporting data'!W52))*kgtoGg),"ERROR"))</f>
        <v>36.199812922948801</v>
      </c>
      <c r="AG311" s="100">
        <f>IF('Net zero activities &amp; levers'!$C$7="Off",(('Activity data'!AZ6*EF!$H5)*kgtoGg),IF('Net zero activities &amp; levers'!$C$7="On",((('Net zero supporting data'!X77*EF!$H5)+('Net zero supporting data'!X72*'Net zero supporting data'!X52))*kgtoGg),"ERROR"))</f>
        <v>35.173411211331128</v>
      </c>
      <c r="AH311" s="100">
        <f>IF('Net zero activities &amp; levers'!$C$7="Off",(('Activity data'!BA6*EF!$H5)*kgtoGg),IF('Net zero activities &amp; levers'!$C$7="On",((('Net zero supporting data'!Y77*EF!$H5)+('Net zero supporting data'!Y72*'Net zero supporting data'!Y52))*kgtoGg),"ERROR"))</f>
        <v>18.25265105480333</v>
      </c>
      <c r="AI311" s="100">
        <f>IF('Net zero activities &amp; levers'!$C$7="Off",(('Activity data'!BB6*EF!$H5)*kgtoGg),IF('Net zero activities &amp; levers'!$C$7="On",((('Net zero supporting data'!Z77*EF!$H5)+('Net zero supporting data'!Z72*'Net zero supporting data'!Z52))*kgtoGg),"ERROR"))</f>
        <v>17.687486140832664</v>
      </c>
      <c r="AJ311" s="100">
        <f>IF('Net zero activities &amp; levers'!$C$7="Off",(('Activity data'!BC6*EF!$H5)*kgtoGg),IF('Net zero activities &amp; levers'!$C$7="On",((('Net zero supporting data'!AA77*EF!$H5)+('Net zero supporting data'!AA72*'Net zero supporting data'!AA52))*kgtoGg),"ERROR"))</f>
        <v>17.123814875436992</v>
      </c>
      <c r="AK311" s="100">
        <f>IF('Net zero activities &amp; levers'!$C$7="Off",(('Activity data'!BD6*EF!$H5)*kgtoGg),IF('Net zero activities &amp; levers'!$C$7="On",((('Net zero supporting data'!AB77*EF!$H5)+('Net zero supporting data'!AB72*'Net zero supporting data'!AB52))*kgtoGg),"ERROR"))</f>
        <v>16.561416461842814</v>
      </c>
      <c r="AL311" s="100">
        <f>IF('Net zero activities &amp; levers'!$C$7="Off",(('Activity data'!BE6*EF!$H5)*kgtoGg),IF('Net zero activities &amp; levers'!$C$7="On",((('Net zero supporting data'!AC77*EF!$H5)+('Net zero supporting data'!AC72*'Net zero supporting data'!AC52))*kgtoGg),"ERROR"))</f>
        <v>16.000083498232076</v>
      </c>
      <c r="AM311" s="100">
        <f>IF('Net zero activities &amp; levers'!$C$7="Off",(('Activity data'!BF6*EF!$H5)*kgtoGg),IF('Net zero activities &amp; levers'!$C$7="On",((('Net zero supporting data'!AD77*EF!$H5)+('Net zero supporting data'!AD72*'Net zero supporting data'!AD52))*kgtoGg),"ERROR"))</f>
        <v>15.439620731424792</v>
      </c>
      <c r="AN311" s="100">
        <f>IF('Net zero activities &amp; levers'!$C$7="Off",(('Activity data'!BG6*EF!$H5)*kgtoGg),IF('Net zero activities &amp; levers'!$C$7="On",((('Net zero supporting data'!AE77*EF!$H5)+('Net zero supporting data'!AE72*'Net zero supporting data'!AE52))*kgtoGg),"ERROR"))</f>
        <v>14.869332382951475</v>
      </c>
      <c r="AO311" s="100">
        <f>IF('Net zero activities &amp; levers'!$C$7="Off",(('Activity data'!BH6*EF!$H5)*kgtoGg),IF('Net zero activities &amp; levers'!$C$7="On",((('Net zero supporting data'!AF77*EF!$H5)+('Net zero supporting data'!AF72*'Net zero supporting data'!AF52))*kgtoGg),"ERROR"))</f>
        <v>14.300304276917638</v>
      </c>
      <c r="AP311" s="100">
        <f>IF('Net zero activities &amp; levers'!$C$7="Off",(('Activity data'!BI6*EF!$H5)*kgtoGg),IF('Net zero activities &amp; levers'!$C$7="On",((('Net zero supporting data'!AG77*EF!$H5)+('Net zero supporting data'!AG72*'Net zero supporting data'!AG52))*kgtoGg),"ERROR"))</f>
        <v>13.732375831619859</v>
      </c>
      <c r="AQ311" s="100">
        <f>IF('Net zero activities &amp; levers'!$C$7="Off",(('Activity data'!BJ6*EF!$H5)*kgtoGg),IF('Net zero activities &amp; levers'!$C$7="On",((('Net zero supporting data'!AH77*EF!$H5)+('Net zero supporting data'!AH72*'Net zero supporting data'!AH52))*kgtoGg),"ERROR"))</f>
        <v>13.165395267445122</v>
      </c>
      <c r="AR311" s="100">
        <f>IF('Net zero activities &amp; levers'!$C$7="Off",(('Activity data'!BK6*EF!$H5)*kgtoGg),IF('Net zero activities &amp; levers'!$C$7="On",((('Net zero supporting data'!AI77*EF!$H5)+('Net zero supporting data'!AI72*'Net zero supporting data'!AI52))*kgtoGg),"ERROR"))</f>
        <v>12.599218880559116</v>
      </c>
      <c r="AS311" s="100">
        <f>IF('Net zero activities &amp; levers'!$C$7="Off",(('Activity data'!BL6*EF!$H5)*kgtoGg),IF('Net zero activities &amp; levers'!$C$7="On",((('Net zero supporting data'!AJ77*EF!$H5)+('Net zero supporting data'!AJ72*'Net zero supporting data'!AJ52))*kgtoGg),"ERROR"))</f>
        <v>12.025141249985452</v>
      </c>
      <c r="AT311" s="100">
        <f>IF('Net zero activities &amp; levers'!$C$7="Off",(('Activity data'!BM6*EF!$H5)*kgtoGg),IF('Net zero activities &amp; levers'!$C$7="On",((('Net zero supporting data'!AK77*EF!$H5)+('Net zero supporting data'!AK72*'Net zero supporting data'!AK52))*kgtoGg),"ERROR"))</f>
        <v>11.452380104016378</v>
      </c>
      <c r="AU311" s="100">
        <f>IF('Net zero activities &amp; levers'!$C$7="Off",(('Activity data'!BN6*EF!$H5)*kgtoGg),IF('Net zero activities &amp; levers'!$C$7="On",((('Net zero supporting data'!AL77*EF!$H5)+('Net zero supporting data'!AL72*'Net zero supporting data'!AL52))*kgtoGg),"ERROR"))</f>
        <v>10.880815480228714</v>
      </c>
      <c r="AV311" s="100">
        <f>IF('Net zero activities &amp; levers'!$C$7="Off",(('Activity data'!BO6*EF!$H5)*kgtoGg),IF('Net zero activities &amp; levers'!$C$7="On",((('Net zero supporting data'!AM77*EF!$H5)+('Net zero supporting data'!AM72*'Net zero supporting data'!AM52))*kgtoGg),"ERROR"))</f>
        <v>10.310333541540448</v>
      </c>
      <c r="AW311" s="100">
        <f>IF('Net zero activities &amp; levers'!$C$7="Off",(('Activity data'!BP6*EF!$H5)*kgtoGg),IF('Net zero activities &amp; levers'!$C$7="On",((('Net zero supporting data'!AN77*EF!$H5)+('Net zero supporting data'!AN72*'Net zero supporting data'!AN52))*kgtoGg),"ERROR"))</f>
        <v>9.7408261239761984</v>
      </c>
      <c r="AY311" s="85"/>
    </row>
    <row r="312" spans="1:51" x14ac:dyDescent="0.25">
      <c r="A312" s="102" t="str">
        <f t="shared" si="71"/>
        <v>GS Cattle</v>
      </c>
      <c r="B312" s="102" t="s">
        <v>1022</v>
      </c>
      <c r="C312" s="102" t="s">
        <v>1109</v>
      </c>
      <c r="D312" t="s">
        <v>15</v>
      </c>
      <c r="E312" t="s">
        <v>16</v>
      </c>
      <c r="F312" t="s">
        <v>67</v>
      </c>
      <c r="G312" t="s">
        <v>307</v>
      </c>
      <c r="H312" t="s">
        <v>1021</v>
      </c>
      <c r="I312" t="s">
        <v>121</v>
      </c>
      <c r="J312" t="s">
        <v>286</v>
      </c>
      <c r="K312" s="100">
        <f>IF('Net zero activities &amp; levers'!$C$7="Off",(('Activity data'!AD7*EF!$H6)*kgtoGg),IF('Net zero activities &amp; levers'!$C$7="On",((('Net zero supporting data'!B78*EF!$H6)+('Net zero supporting data'!B73*'Net zero supporting data'!B58))*kgtoGg),"ERROR"))</f>
        <v>26.173540124634229</v>
      </c>
      <c r="L312" s="100">
        <f>IF('Net zero activities &amp; levers'!$C$7="Off",(('Activity data'!AE7*EF!$H6)*kgtoGg),IF('Net zero activities &amp; levers'!$C$7="On",((('Net zero supporting data'!C78*EF!$H6)+('Net zero supporting data'!C73*'Net zero supporting data'!C58))*kgtoGg),"ERROR"))</f>
        <v>26.336343959218663</v>
      </c>
      <c r="M312" s="100">
        <f>IF('Net zero activities &amp; levers'!$C$7="Off",(('Activity data'!AF7*EF!$H6)*kgtoGg),IF('Net zero activities &amp; levers'!$C$7="On",((('Net zero supporting data'!D78*EF!$H6)+('Net zero supporting data'!D73*'Net zero supporting data'!D58))*kgtoGg),"ERROR"))</f>
        <v>26.448273838197906</v>
      </c>
      <c r="N312" s="100">
        <f>IF('Net zero activities &amp; levers'!$C$7="Off",(('Activity data'!AG7*EF!$H6)*kgtoGg),IF('Net zero activities &amp; levers'!$C$7="On",((('Net zero supporting data'!E78*EF!$H6)+('Net zero supporting data'!E73*'Net zero supporting data'!E58))*kgtoGg),"ERROR"))</f>
        <v>26.483376695900965</v>
      </c>
      <c r="O312" s="100">
        <f>IF('Net zero activities &amp; levers'!$C$7="Off",(('Activity data'!AH7*EF!$H6)*kgtoGg),IF('Net zero activities &amp; levers'!$C$7="On",((('Net zero supporting data'!F78*EF!$H6)+('Net zero supporting data'!F73*'Net zero supporting data'!F58))*kgtoGg),"ERROR"))</f>
        <v>26.530865624385104</v>
      </c>
      <c r="P312" s="100">
        <f>IF('Net zero activities &amp; levers'!$C$7="Off",(('Activity data'!AI7*EF!$H6)*kgtoGg),IF('Net zero activities &amp; levers'!$C$7="On",((('Net zero supporting data'!G78*EF!$H6)+('Net zero supporting data'!G73*'Net zero supporting data'!G58))*kgtoGg),"ERROR"))</f>
        <v>26.634884419824388</v>
      </c>
      <c r="Q312" s="100">
        <f>IF('Net zero activities &amp; levers'!$C$7="Off",(('Activity data'!AJ7*EF!$H6)*kgtoGg),IF('Net zero activities &amp; levers'!$C$7="On",((('Net zero supporting data'!H78*EF!$H6)+('Net zero supporting data'!H73*'Net zero supporting data'!H58))*kgtoGg),"ERROR"))</f>
        <v>26.759592404645588</v>
      </c>
      <c r="R312" s="100">
        <f>IF('Net zero activities &amp; levers'!$C$7="Off",(('Activity data'!AK7*EF!$H6)*kgtoGg),IF('Net zero activities &amp; levers'!$C$7="On",((('Net zero supporting data'!I78*EF!$H6)+('Net zero supporting data'!I73*'Net zero supporting data'!I58))*kgtoGg),"ERROR"))</f>
        <v>26.797055984139856</v>
      </c>
      <c r="S312" s="100">
        <f>IF('Net zero activities &amp; levers'!$C$7="Off",(('Activity data'!AL7*EF!$H6)*kgtoGg),IF('Net zero activities &amp; levers'!$C$7="On",((('Net zero supporting data'!J78*EF!$H6)+('Net zero supporting data'!J73*'Net zero supporting data'!J58))*kgtoGg),"ERROR"))</f>
        <v>25.97439238445476</v>
      </c>
      <c r="T312" s="100">
        <f>IF('Net zero activities &amp; levers'!$C$7="Off",(('Activity data'!AM7*EF!$H6)*kgtoGg),IF('Net zero activities &amp; levers'!$C$7="On",((('Net zero supporting data'!K78*EF!$H6)+('Net zero supporting data'!K73*'Net zero supporting data'!K58))*kgtoGg),"ERROR"))</f>
        <v>25.968441597969175</v>
      </c>
      <c r="U312" s="100">
        <f>IF('Net zero activities &amp; levers'!$C$7="Off",(('Activity data'!AN7*EF!$H6)*kgtoGg),IF('Net zero activities &amp; levers'!$C$7="On",((('Net zero supporting data'!L78*EF!$H6)+('Net zero supporting data'!L73*'Net zero supporting data'!L58))*kgtoGg),"ERROR"))</f>
        <v>25.920831833147009</v>
      </c>
      <c r="V312" s="100">
        <f>IF('Net zero activities &amp; levers'!$C$7="Off",(('Activity data'!AO7*EF!$H6)*kgtoGg),IF('Net zero activities &amp; levers'!$C$7="On",((('Net zero supporting data'!M78*EF!$H6)+('Net zero supporting data'!M73*'Net zero supporting data'!M58))*kgtoGg),"ERROR"))</f>
        <v>25.854210307499535</v>
      </c>
      <c r="W312" s="100">
        <f>IF('Net zero activities &amp; levers'!$C$7="Off",(('Activity data'!AP7*EF!$H6)*kgtoGg),IF('Net zero activities &amp; levers'!$C$7="On",((('Net zero supporting data'!N78*EF!$H6)+('Net zero supporting data'!N73*'Net zero supporting data'!N58))*kgtoGg),"ERROR"))</f>
        <v>25.803293760430158</v>
      </c>
      <c r="X312" s="100">
        <f>IF('Net zero activities &amp; levers'!$C$7="Off",(('Activity data'!AQ7*EF!$H6)*kgtoGg),IF('Net zero activities &amp; levers'!$C$7="On",((('Net zero supporting data'!O78*EF!$H6)+('Net zero supporting data'!O73*'Net zero supporting data'!O58))*kgtoGg),"ERROR"))</f>
        <v>25.731944647636013</v>
      </c>
      <c r="Y312" s="100">
        <f>IF('Net zero activities &amp; levers'!$C$7="Off",(('Activity data'!AR7*EF!$H6)*kgtoGg),IF('Net zero activities &amp; levers'!$C$7="On",((('Net zero supporting data'!P78*EF!$H6)+('Net zero supporting data'!P73*'Net zero supporting data'!P58))*kgtoGg),"ERROR"))</f>
        <v>25.629642760736079</v>
      </c>
      <c r="Z312" s="100">
        <f>IF('Net zero activities &amp; levers'!$C$7="Off",(('Activity data'!AS7*EF!$H6)*kgtoGg),IF('Net zero activities &amp; levers'!$C$7="On",((('Net zero supporting data'!Q78*EF!$H6)+('Net zero supporting data'!Q73*'Net zero supporting data'!Q58))*kgtoGg),"ERROR"))</f>
        <v>25.49819899554679</v>
      </c>
      <c r="AA312" s="100">
        <f>IF('Net zero activities &amp; levers'!$C$7="Off",(('Activity data'!AT7*EF!$H6)*kgtoGg),IF('Net zero activities &amp; levers'!$C$7="On",((('Net zero supporting data'!R78*EF!$H6)+('Net zero supporting data'!R73*'Net zero supporting data'!R58))*kgtoGg),"ERROR"))</f>
        <v>25.358799536152137</v>
      </c>
      <c r="AB312" s="100">
        <f>IF('Net zero activities &amp; levers'!$C$7="Off",(('Activity data'!AU7*EF!$H6)*kgtoGg),IF('Net zero activities &amp; levers'!$C$7="On",((('Net zero supporting data'!S78*EF!$H6)+('Net zero supporting data'!S73*'Net zero supporting data'!S58))*kgtoGg),"ERROR"))</f>
        <v>25.182353854732018</v>
      </c>
      <c r="AC312" s="100">
        <f>IF('Net zero activities &amp; levers'!$C$7="Off",(('Activity data'!AV7*EF!$H6)*kgtoGg),IF('Net zero activities &amp; levers'!$C$7="On",((('Net zero supporting data'!T78*EF!$H6)+('Net zero supporting data'!T73*'Net zero supporting data'!T58))*kgtoGg),"ERROR"))</f>
        <v>24.989001107059014</v>
      </c>
      <c r="AD312" s="100">
        <f>IF('Net zero activities &amp; levers'!$C$7="Off",(('Activity data'!AW7*EF!$H6)*kgtoGg),IF('Net zero activities &amp; levers'!$C$7="On",((('Net zero supporting data'!U78*EF!$H6)+('Net zero supporting data'!U73*'Net zero supporting data'!U58))*kgtoGg),"ERROR"))</f>
        <v>25.092776613409114</v>
      </c>
      <c r="AE312" s="100">
        <f>IF('Net zero activities &amp; levers'!$C$7="Off",(('Activity data'!AX7*EF!$H6)*kgtoGg),IF('Net zero activities &amp; levers'!$C$7="On",((('Net zero supporting data'!V78*EF!$H6)+('Net zero supporting data'!V73*'Net zero supporting data'!V58))*kgtoGg),"ERROR"))</f>
        <v>25.210870234048052</v>
      </c>
      <c r="AF312" s="100">
        <f>IF('Net zero activities &amp; levers'!$C$7="Off",(('Activity data'!AY7*EF!$H6)*kgtoGg),IF('Net zero activities &amp; levers'!$C$7="On",((('Net zero supporting data'!W78*EF!$H6)+('Net zero supporting data'!W73*'Net zero supporting data'!W58))*kgtoGg),"ERROR"))</f>
        <v>25.331362803449757</v>
      </c>
      <c r="AG312" s="100">
        <f>IF('Net zero activities &amp; levers'!$C$7="Off",(('Activity data'!AZ7*EF!$H6)*kgtoGg),IF('Net zero activities &amp; levers'!$C$7="On",((('Net zero supporting data'!X78*EF!$H6)+('Net zero supporting data'!X73*'Net zero supporting data'!X58))*kgtoGg),"ERROR"))</f>
        <v>25.203318028876044</v>
      </c>
      <c r="AH312" s="100">
        <f>IF('Net zero activities &amp; levers'!$C$7="Off",(('Activity data'!BA7*EF!$H6)*kgtoGg),IF('Net zero activities &amp; levers'!$C$7="On",((('Net zero supporting data'!Y78*EF!$H6)+('Net zero supporting data'!Y73*'Net zero supporting data'!Y58))*kgtoGg),"ERROR"))</f>
        <v>13.40142216806465</v>
      </c>
      <c r="AI312" s="100">
        <f>IF('Net zero activities &amp; levers'!$C$7="Off",(('Activity data'!BB7*EF!$H6)*kgtoGg),IF('Net zero activities &amp; levers'!$C$7="On",((('Net zero supporting data'!Z78*EF!$H6)+('Net zero supporting data'!Z73*'Net zero supporting data'!Z58))*kgtoGg),"ERROR"))</f>
        <v>13.316396691486984</v>
      </c>
      <c r="AJ312" s="100">
        <f>IF('Net zero activities &amp; levers'!$C$7="Off",(('Activity data'!BC7*EF!$H6)*kgtoGg),IF('Net zero activities &amp; levers'!$C$7="On",((('Net zero supporting data'!AA78*EF!$H6)+('Net zero supporting data'!AA73*'Net zero supporting data'!AA58))*kgtoGg),"ERROR"))</f>
        <v>13.229894228046629</v>
      </c>
      <c r="AK312" s="100">
        <f>IF('Net zero activities &amp; levers'!$C$7="Off",(('Activity data'!BD7*EF!$H6)*kgtoGg),IF('Net zero activities &amp; levers'!$C$7="On",((('Net zero supporting data'!AB78*EF!$H6)+('Net zero supporting data'!AB73*'Net zero supporting data'!AB58))*kgtoGg),"ERROR"))</f>
        <v>13.141846017858319</v>
      </c>
      <c r="AL312" s="100">
        <f>IF('Net zero activities &amp; levers'!$C$7="Off",(('Activity data'!BE7*EF!$H6)*kgtoGg),IF('Net zero activities &amp; levers'!$C$7="On",((('Net zero supporting data'!AC78*EF!$H6)+('Net zero supporting data'!AC73*'Net zero supporting data'!AC58))*kgtoGg),"ERROR"))</f>
        <v>13.052187031675983</v>
      </c>
      <c r="AM312" s="100">
        <f>IF('Net zero activities &amp; levers'!$C$7="Off",(('Activity data'!BF7*EF!$H6)*kgtoGg),IF('Net zero activities &amp; levers'!$C$7="On",((('Net zero supporting data'!AD78*EF!$H6)+('Net zero supporting data'!AD73*'Net zero supporting data'!AD58))*kgtoGg),"ERROR"))</f>
        <v>12.960855584230385</v>
      </c>
      <c r="AN312" s="100">
        <f>IF('Net zero activities &amp; levers'!$C$7="Off",(('Activity data'!BG7*EF!$H6)*kgtoGg),IF('Net zero activities &amp; levers'!$C$7="On",((('Net zero supporting data'!AE78*EF!$H6)+('Net zero supporting data'!AE73*'Net zero supporting data'!AE58))*kgtoGg),"ERROR"))</f>
        <v>12.858702797369238</v>
      </c>
      <c r="AO312" s="100">
        <f>IF('Net zero activities &amp; levers'!$C$7="Off",(('Activity data'!BH7*EF!$H6)*kgtoGg),IF('Net zero activities &amp; levers'!$C$7="On",((('Net zero supporting data'!AF78*EF!$H6)+('Net zero supporting data'!AF73*'Net zero supporting data'!AF58))*kgtoGg),"ERROR"))</f>
        <v>12.754859648041881</v>
      </c>
      <c r="AP312" s="100">
        <f>IF('Net zero activities &amp; levers'!$C$7="Off",(('Activity data'!BI7*EF!$H6)*kgtoGg),IF('Net zero activities &amp; levers'!$C$7="On",((('Net zero supporting data'!AG78*EF!$H6)+('Net zero supporting data'!AG73*'Net zero supporting data'!AG58))*kgtoGg),"ERROR"))</f>
        <v>12.649277544044006</v>
      </c>
      <c r="AQ312" s="100">
        <f>IF('Net zero activities &amp; levers'!$C$7="Off",(('Activity data'!BJ7*EF!$H6)*kgtoGg),IF('Net zero activities &amp; levers'!$C$7="On",((('Net zero supporting data'!AH78*EF!$H6)+('Net zero supporting data'!AH73*'Net zero supporting data'!AH58))*kgtoGg),"ERROR"))</f>
        <v>12.541910258273983</v>
      </c>
      <c r="AR312" s="100">
        <f>IF('Net zero activities &amp; levers'!$C$7="Off",(('Activity data'!BK7*EF!$H6)*kgtoGg),IF('Net zero activities &amp; levers'!$C$7="On",((('Net zero supporting data'!AI78*EF!$H6)+('Net zero supporting data'!AI73*'Net zero supporting data'!AI58))*kgtoGg),"ERROR"))</f>
        <v>12.432713709114958</v>
      </c>
      <c r="AS312" s="100">
        <f>IF('Net zero activities &amp; levers'!$C$7="Off",(('Activity data'!BL7*EF!$H6)*kgtoGg),IF('Net zero activities &amp; levers'!$C$7="On",((('Net zero supporting data'!AJ78*EF!$H6)+('Net zero supporting data'!AJ73*'Net zero supporting data'!AJ58))*kgtoGg),"ERROR"))</f>
        <v>12.312871586588114</v>
      </c>
      <c r="AT312" s="100">
        <f>IF('Net zero activities &amp; levers'!$C$7="Off",(('Activity data'!BM7*EF!$H6)*kgtoGg),IF('Net zero activities &amp; levers'!$C$7="On",((('Net zero supporting data'!AK78*EF!$H6)+('Net zero supporting data'!AK73*'Net zero supporting data'!AK58))*kgtoGg),"ERROR"))</f>
        <v>12.191250307027813</v>
      </c>
      <c r="AU312" s="100">
        <f>IF('Net zero activities &amp; levers'!$C$7="Off",(('Activity data'!BN7*EF!$H6)*kgtoGg),IF('Net zero activities &amp; levers'!$C$7="On",((('Net zero supporting data'!AL78*EF!$H6)+('Net zero supporting data'!AL73*'Net zero supporting data'!AL58))*kgtoGg),"ERROR"))</f>
        <v>12.06781624648403</v>
      </c>
      <c r="AV312" s="100">
        <f>IF('Net zero activities &amp; levers'!$C$7="Off",(('Activity data'!BO7*EF!$H6)*kgtoGg),IF('Net zero activities &amp; levers'!$C$7="On",((('Net zero supporting data'!AM78*EF!$H6)+('Net zero supporting data'!AM73*'Net zero supporting data'!AM58))*kgtoGg),"ERROR"))</f>
        <v>11.942537381378822</v>
      </c>
      <c r="AW312" s="100">
        <f>IF('Net zero activities &amp; levers'!$C$7="Off",(('Activity data'!BP7*EF!$H6)*kgtoGg),IF('Net zero activities &amp; levers'!$C$7="On",((('Net zero supporting data'!AN78*EF!$H6)+('Net zero supporting data'!AN73*'Net zero supporting data'!AN58))*kgtoGg),"ERROR"))</f>
        <v>11.815383155542248</v>
      </c>
      <c r="AY312" s="85"/>
    </row>
    <row r="313" spans="1:51" x14ac:dyDescent="0.25">
      <c r="A313" s="102" t="str">
        <f t="shared" si="71"/>
        <v>GS Cattle</v>
      </c>
      <c r="B313" s="102" t="s">
        <v>1022</v>
      </c>
      <c r="C313" s="102" t="s">
        <v>1109</v>
      </c>
      <c r="D313" t="s">
        <v>15</v>
      </c>
      <c r="E313" t="s">
        <v>16</v>
      </c>
      <c r="F313" t="s">
        <v>67</v>
      </c>
      <c r="G313" t="s">
        <v>122</v>
      </c>
      <c r="H313" t="s">
        <v>1021</v>
      </c>
      <c r="I313" t="s">
        <v>121</v>
      </c>
      <c r="J313" t="s">
        <v>286</v>
      </c>
      <c r="K313" s="100">
        <f>IF('Net zero activities &amp; levers'!$C$7="Off",(('Activity data'!AD8*EF!$H7)*kgtoGg),IF('Net zero activities &amp; levers'!$C$7="On",((('Net zero supporting data'!B79*EF!$H7)+('Net zero supporting data'!B74*'Net zero supporting data'!B59))*kgtoGg),"ERROR"))</f>
        <v>467.31662309373525</v>
      </c>
      <c r="L313" s="100">
        <f>IF('Net zero activities &amp; levers'!$C$7="Off",(('Activity data'!AE8*EF!$H7)*kgtoGg),IF('Net zero activities &amp; levers'!$C$7="On",((('Net zero supporting data'!C79*EF!$H7)+('Net zero supporting data'!C74*'Net zero supporting data'!C59))*kgtoGg),"ERROR"))</f>
        <v>464.21904388294246</v>
      </c>
      <c r="M313" s="100">
        <f>IF('Net zero activities &amp; levers'!$C$7="Off",(('Activity data'!AF8*EF!$H7)*kgtoGg),IF('Net zero activities &amp; levers'!$C$7="On",((('Net zero supporting data'!D79*EF!$H7)+('Net zero supporting data'!D74*'Net zero supporting data'!D59))*kgtoGg),"ERROR"))</f>
        <v>457.68800569383677</v>
      </c>
      <c r="N313" s="100">
        <f>IF('Net zero activities &amp; levers'!$C$7="Off",(('Activity data'!AG8*EF!$H7)*kgtoGg),IF('Net zero activities &amp; levers'!$C$7="On",((('Net zero supporting data'!E79*EF!$H7)+('Net zero supporting data'!E74*'Net zero supporting data'!E59))*kgtoGg),"ERROR"))</f>
        <v>446.67903575374419</v>
      </c>
      <c r="O313" s="100">
        <f>IF('Net zero activities &amp; levers'!$C$7="Off",(('Activity data'!AH8*EF!$H7)*kgtoGg),IF('Net zero activities &amp; levers'!$C$7="On",((('Net zero supporting data'!F79*EF!$H7)+('Net zero supporting data'!F74*'Net zero supporting data'!F59))*kgtoGg),"ERROR"))</f>
        <v>435.99786609024881</v>
      </c>
      <c r="P313" s="100">
        <f>IF('Net zero activities &amp; levers'!$C$7="Off",(('Activity data'!AI8*EF!$H7)*kgtoGg),IF('Net zero activities &amp; levers'!$C$7="On",((('Net zero supporting data'!G79*EF!$H7)+('Net zero supporting data'!G74*'Net zero supporting data'!G59))*kgtoGg),"ERROR"))</f>
        <v>427.78254745702264</v>
      </c>
      <c r="Q313" s="100">
        <f>IF('Net zero activities &amp; levers'!$C$7="Off",(('Activity data'!AJ8*EF!$H7)*kgtoGg),IF('Net zero activities &amp; levers'!$C$7="On",((('Net zero supporting data'!H79*EF!$H7)+('Net zero supporting data'!H74*'Net zero supporting data'!H59))*kgtoGg),"ERROR"))</f>
        <v>420.35172850546115</v>
      </c>
      <c r="R313" s="100">
        <f>IF('Net zero activities &amp; levers'!$C$7="Off",(('Activity data'!AK8*EF!$H7)*kgtoGg),IF('Net zero activities &amp; levers'!$C$7="On",((('Net zero supporting data'!I79*EF!$H7)+('Net zero supporting data'!I74*'Net zero supporting data'!I59))*kgtoGg),"ERROR"))</f>
        <v>408.66857197476548</v>
      </c>
      <c r="S313" s="100">
        <f>IF('Net zero activities &amp; levers'!$C$7="Off",(('Activity data'!AL8*EF!$H7)*kgtoGg),IF('Net zero activities &amp; levers'!$C$7="On",((('Net zero supporting data'!J79*EF!$H7)+('Net zero supporting data'!J74*'Net zero supporting data'!J59))*kgtoGg),"ERROR"))</f>
        <v>358.42710853834808</v>
      </c>
      <c r="T313" s="100">
        <f>IF('Net zero activities &amp; levers'!$C$7="Off",(('Activity data'!AM8*EF!$H7)*kgtoGg),IF('Net zero activities &amp; levers'!$C$7="On",((('Net zero supporting data'!K79*EF!$H7)+('Net zero supporting data'!K74*'Net zero supporting data'!K59))*kgtoGg),"ERROR"))</f>
        <v>358.80523662028003</v>
      </c>
      <c r="U313" s="100">
        <f>IF('Net zero activities &amp; levers'!$C$7="Off",(('Activity data'!AN8*EF!$H7)*kgtoGg),IF('Net zero activities &amp; levers'!$C$7="On",((('Net zero supporting data'!L79*EF!$H7)+('Net zero supporting data'!L74*'Net zero supporting data'!L59))*kgtoGg),"ERROR"))</f>
        <v>357.75559731983373</v>
      </c>
      <c r="V313" s="100">
        <f>IF('Net zero activities &amp; levers'!$C$7="Off",(('Activity data'!AO8*EF!$H7)*kgtoGg),IF('Net zero activities &amp; levers'!$C$7="On",((('Net zero supporting data'!M79*EF!$H7)+('Net zero supporting data'!M74*'Net zero supporting data'!M59))*kgtoGg),"ERROR"))</f>
        <v>356.3112986120056</v>
      </c>
      <c r="W313" s="100">
        <f>IF('Net zero activities &amp; levers'!$C$7="Off",(('Activity data'!AP8*EF!$H7)*kgtoGg),IF('Net zero activities &amp; levers'!$C$7="On",((('Net zero supporting data'!N79*EF!$H7)+('Net zero supporting data'!N74*'Net zero supporting data'!N59))*kgtoGg),"ERROR"))</f>
        <v>355.95520840907358</v>
      </c>
      <c r="X313" s="100">
        <f>IF('Net zero activities &amp; levers'!$C$7="Off",(('Activity data'!AQ8*EF!$H7)*kgtoGg),IF('Net zero activities &amp; levers'!$C$7="On",((('Net zero supporting data'!O79*EF!$H7)+('Net zero supporting data'!O74*'Net zero supporting data'!O59))*kgtoGg),"ERROR"))</f>
        <v>355.13391879512636</v>
      </c>
      <c r="Y313" s="100">
        <f>IF('Net zero activities &amp; levers'!$C$7="Off",(('Activity data'!AR8*EF!$H7)*kgtoGg),IF('Net zero activities &amp; levers'!$C$7="On",((('Net zero supporting data'!P79*EF!$H7)+('Net zero supporting data'!P74*'Net zero supporting data'!P59))*kgtoGg),"ERROR"))</f>
        <v>354.13276450053951</v>
      </c>
      <c r="Z313" s="100">
        <f>IF('Net zero activities &amp; levers'!$C$7="Off",(('Activity data'!AS8*EF!$H7)*kgtoGg),IF('Net zero activities &amp; levers'!$C$7="On",((('Net zero supporting data'!Q79*EF!$H7)+('Net zero supporting data'!Q74*'Net zero supporting data'!Q59))*kgtoGg),"ERROR"))</f>
        <v>352.32987894064019</v>
      </c>
      <c r="AA313" s="100">
        <f>IF('Net zero activities &amp; levers'!$C$7="Off",(('Activity data'!AT8*EF!$H7)*kgtoGg),IF('Net zero activities &amp; levers'!$C$7="On",((('Net zero supporting data'!R79*EF!$H7)+('Net zero supporting data'!R74*'Net zero supporting data'!R59))*kgtoGg),"ERROR"))</f>
        <v>350.59964952536484</v>
      </c>
      <c r="AB313" s="100">
        <f>IF('Net zero activities &amp; levers'!$C$7="Off",(('Activity data'!AU8*EF!$H7)*kgtoGg),IF('Net zero activities &amp; levers'!$C$7="On",((('Net zero supporting data'!S79*EF!$H7)+('Net zero supporting data'!S74*'Net zero supporting data'!S59))*kgtoGg),"ERROR"))</f>
        <v>347.7918083763131</v>
      </c>
      <c r="AC313" s="100">
        <f>IF('Net zero activities &amp; levers'!$C$7="Off",(('Activity data'!AV8*EF!$H7)*kgtoGg),IF('Net zero activities &amp; levers'!$C$7="On",((('Net zero supporting data'!T79*EF!$H7)+('Net zero supporting data'!T74*'Net zero supporting data'!T59))*kgtoGg),"ERROR"))</f>
        <v>344.72762809020134</v>
      </c>
      <c r="AD313" s="100">
        <f>IF('Net zero activities &amp; levers'!$C$7="Off",(('Activity data'!AW8*EF!$H7)*kgtoGg),IF('Net zero activities &amp; levers'!$C$7="On",((('Net zero supporting data'!U79*EF!$H7)+('Net zero supporting data'!U74*'Net zero supporting data'!U59))*kgtoGg),"ERROR"))</f>
        <v>343.9190878054489</v>
      </c>
      <c r="AE313" s="100">
        <f>IF('Net zero activities &amp; levers'!$C$7="Off",(('Activity data'!AX8*EF!$H7)*kgtoGg),IF('Net zero activities &amp; levers'!$C$7="On",((('Net zero supporting data'!V79*EF!$H7)+('Net zero supporting data'!V74*'Net zero supporting data'!V59))*kgtoGg),"ERROR"))</f>
        <v>343.48011340110895</v>
      </c>
      <c r="AF313" s="100">
        <f>IF('Net zero activities &amp; levers'!$C$7="Off",(('Activity data'!AY8*EF!$H7)*kgtoGg),IF('Net zero activities &amp; levers'!$C$7="On",((('Net zero supporting data'!W79*EF!$H7)+('Net zero supporting data'!W74*'Net zero supporting data'!W59))*kgtoGg),"ERROR"))</f>
        <v>342.94688002759909</v>
      </c>
      <c r="AG313" s="100">
        <f>IF('Net zero activities &amp; levers'!$C$7="Off",(('Activity data'!AZ8*EF!$H7)*kgtoGg),IF('Net zero activities &amp; levers'!$C$7="On",((('Net zero supporting data'!X79*EF!$H7)+('Net zero supporting data'!X74*'Net zero supporting data'!X59))*kgtoGg),"ERROR"))</f>
        <v>333.46065447658134</v>
      </c>
      <c r="AH313" s="100">
        <f>IF('Net zero activities &amp; levers'!$C$7="Off",(('Activity data'!BA8*EF!$H7)*kgtoGg),IF('Net zero activities &amp; levers'!$C$7="On",((('Net zero supporting data'!Y79*EF!$H7)+('Net zero supporting data'!Y74*'Net zero supporting data'!Y59))*kgtoGg),"ERROR"))</f>
        <v>-78.121359090764514</v>
      </c>
      <c r="AI313" s="100">
        <f>IF('Net zero activities &amp; levers'!$C$7="Off",(('Activity data'!BB8*EF!$H7)*kgtoGg),IF('Net zero activities &amp; levers'!$C$7="On",((('Net zero supporting data'!Z79*EF!$H7)+('Net zero supporting data'!Z74*'Net zero supporting data'!Z59))*kgtoGg),"ERROR"))</f>
        <v>-75.76934268472165</v>
      </c>
      <c r="AJ313" s="100">
        <f>IF('Net zero activities &amp; levers'!$C$7="Off",(('Activity data'!BC8*EF!$H7)*kgtoGg),IF('Net zero activities &amp; levers'!$C$7="On",((('Net zero supporting data'!AA79*EF!$H7)+('Net zero supporting data'!AA74*'Net zero supporting data'!AA59))*kgtoGg),"ERROR"))</f>
        <v>-73.456864635063837</v>
      </c>
      <c r="AK313" s="100">
        <f>IF('Net zero activities &amp; levers'!$C$7="Off",(('Activity data'!BD8*EF!$H7)*kgtoGg),IF('Net zero activities &amp; levers'!$C$7="On",((('Net zero supporting data'!AB79*EF!$H7)+('Net zero supporting data'!AB74*'Net zero supporting data'!AB59))*kgtoGg),"ERROR"))</f>
        <v>-71.18293844208705</v>
      </c>
      <c r="AL313" s="100">
        <f>IF('Net zero activities &amp; levers'!$C$7="Off",(('Activity data'!BE8*EF!$H7)*kgtoGg),IF('Net zero activities &amp; levers'!$C$7="On",((('Net zero supporting data'!AC79*EF!$H7)+('Net zero supporting data'!AC74*'Net zero supporting data'!AC59))*kgtoGg),"ERROR"))</f>
        <v>-68.946684169412634</v>
      </c>
      <c r="AM313" s="100">
        <f>IF('Net zero activities &amp; levers'!$C$7="Off",(('Activity data'!BF8*EF!$H7)*kgtoGg),IF('Net zero activities &amp; levers'!$C$7="On",((('Net zero supporting data'!AD79*EF!$H7)+('Net zero supporting data'!AD74*'Net zero supporting data'!AD59))*kgtoGg),"ERROR"))</f>
        <v>-66.747318235603345</v>
      </c>
      <c r="AN313" s="100">
        <f>IF('Net zero activities &amp; levers'!$C$7="Off",(('Activity data'!BG8*EF!$H7)*kgtoGg),IF('Net zero activities &amp; levers'!$C$7="On",((('Net zero supporting data'!AE79*EF!$H7)+('Net zero supporting data'!AE74*'Net zero supporting data'!AE59))*kgtoGg),"ERROR"))</f>
        <v>-64.869927523113475</v>
      </c>
      <c r="AO313" s="100">
        <f>IF('Net zero activities &amp; levers'!$C$7="Off",(('Activity data'!BH8*EF!$H7)*kgtoGg),IF('Net zero activities &amp; levers'!$C$7="On",((('Net zero supporting data'!AF79*EF!$H7)+('Net zero supporting data'!AF74*'Net zero supporting data'!AF59))*kgtoGg),"ERROR"))</f>
        <v>-63.021919029677399</v>
      </c>
      <c r="AP313" s="100">
        <f>IF('Net zero activities &amp; levers'!$C$7="Off",(('Activity data'!BI8*EF!$H7)*kgtoGg),IF('Net zero activities &amp; levers'!$C$7="On",((('Net zero supporting data'!AG79*EF!$H7)+('Net zero supporting data'!AG74*'Net zero supporting data'!AG59))*kgtoGg),"ERROR"))</f>
        <v>-61.202732338948771</v>
      </c>
      <c r="AQ313" s="100">
        <f>IF('Net zero activities &amp; levers'!$C$7="Off",(('Activity data'!BJ8*EF!$H7)*kgtoGg),IF('Net zero activities &amp; levers'!$C$7="On",((('Net zero supporting data'!AH79*EF!$H7)+('Net zero supporting data'!AH74*'Net zero supporting data'!AH59))*kgtoGg),"ERROR"))</f>
        <v>-59.411865010568434</v>
      </c>
      <c r="AR313" s="100">
        <f>IF('Net zero activities &amp; levers'!$C$7="Off",(('Activity data'!BK8*EF!$H7)*kgtoGg),IF('Net zero activities &amp; levers'!$C$7="On",((('Net zero supporting data'!AI79*EF!$H7)+('Net zero supporting data'!AI74*'Net zero supporting data'!AI59))*kgtoGg),"ERROR"))</f>
        <v>-57.648867483246605</v>
      </c>
      <c r="AS313" s="100">
        <f>IF('Net zero activities &amp; levers'!$C$7="Off",(('Activity data'!BL8*EF!$H7)*kgtoGg),IF('Net zero activities &amp; levers'!$C$7="On",((('Net zero supporting data'!AJ79*EF!$H7)+('Net zero supporting data'!AJ74*'Net zero supporting data'!AJ59))*kgtoGg),"ERROR"))</f>
        <v>-55.87533794958884</v>
      </c>
      <c r="AT313" s="100">
        <f>IF('Net zero activities &amp; levers'!$C$7="Off",(('Activity data'!BM8*EF!$H7)*kgtoGg),IF('Net zero activities &amp; levers'!$C$7="On",((('Net zero supporting data'!AK79*EF!$H7)+('Net zero supporting data'!AK74*'Net zero supporting data'!AK59))*kgtoGg),"ERROR"))</f>
        <v>-54.131108713157396</v>
      </c>
      <c r="AU313" s="100">
        <f>IF('Net zero activities &amp; levers'!$C$7="Off",(('Activity data'!BN8*EF!$H7)*kgtoGg),IF('Net zero activities &amp; levers'!$C$7="On",((('Net zero supporting data'!AL79*EF!$H7)+('Net zero supporting data'!AL74*'Net zero supporting data'!AL59))*kgtoGg),"ERROR"))</f>
        <v>-52.415821683089504</v>
      </c>
      <c r="AV313" s="100">
        <f>IF('Net zero activities &amp; levers'!$C$7="Off",(('Activity data'!BO8*EF!$H7)*kgtoGg),IF('Net zero activities &amp; levers'!$C$7="On",((('Net zero supporting data'!AM79*EF!$H7)+('Net zero supporting data'!AM74*'Net zero supporting data'!AM59))*kgtoGg),"ERROR"))</f>
        <v>-50.729156284143698</v>
      </c>
      <c r="AW313" s="100">
        <f>IF('Net zero activities &amp; levers'!$C$7="Off",(('Activity data'!BP8*EF!$H7)*kgtoGg),IF('Net zero activities &amp; levers'!$C$7="On",((('Net zero supporting data'!AN79*EF!$H7)+('Net zero supporting data'!AN74*'Net zero supporting data'!AN59))*kgtoGg),"ERROR"))</f>
        <v>-49.070826352990977</v>
      </c>
      <c r="AY313" s="85"/>
    </row>
    <row r="314" spans="1:51" x14ac:dyDescent="0.25">
      <c r="A314" s="102" t="str">
        <f t="shared" si="71"/>
        <v>GS Cattle</v>
      </c>
      <c r="B314" s="102" t="s">
        <v>1022</v>
      </c>
      <c r="C314" s="102" t="s">
        <v>1109</v>
      </c>
      <c r="D314" t="s">
        <v>15</v>
      </c>
      <c r="E314" t="s">
        <v>16</v>
      </c>
      <c r="F314" t="s">
        <v>67</v>
      </c>
      <c r="G314" t="s">
        <v>123</v>
      </c>
      <c r="H314" t="s">
        <v>1021</v>
      </c>
      <c r="I314" t="s">
        <v>121</v>
      </c>
      <c r="J314" t="s">
        <v>286</v>
      </c>
      <c r="K314" s="28">
        <f t="shared" ref="K314:Z323" si="72">K1383</f>
        <v>329.0746130615014</v>
      </c>
      <c r="L314" s="28">
        <f t="shared" si="72"/>
        <v>326.8933624278929</v>
      </c>
      <c r="M314" s="28">
        <f t="shared" si="72"/>
        <v>322.29434163821571</v>
      </c>
      <c r="N314" s="28">
        <f t="shared" si="72"/>
        <v>314.54205476415126</v>
      </c>
      <c r="O314" s="28">
        <f t="shared" si="72"/>
        <v>307.02059800365856</v>
      </c>
      <c r="P314" s="28">
        <f t="shared" si="72"/>
        <v>301.23554207624824</v>
      </c>
      <c r="Q314" s="28">
        <f t="shared" si="72"/>
        <v>296.00291445211866</v>
      </c>
      <c r="R314" s="28">
        <f t="shared" si="72"/>
        <v>287.77587945125919</v>
      </c>
      <c r="S314" s="28">
        <f t="shared" si="72"/>
        <v>252.39688944116838</v>
      </c>
      <c r="T314" s="28">
        <f t="shared" si="72"/>
        <v>254.80263648004308</v>
      </c>
      <c r="U314" s="28">
        <f t="shared" si="72"/>
        <v>256.43054002508501</v>
      </c>
      <c r="V314" s="28">
        <f t="shared" si="72"/>
        <v>258.00549486047498</v>
      </c>
      <c r="W314" s="28">
        <f t="shared" si="72"/>
        <v>260.61009134153147</v>
      </c>
      <c r="X314" s="28">
        <f t="shared" si="72"/>
        <v>263.12884671593309</v>
      </c>
      <c r="Y314" s="28">
        <f t="shared" si="72"/>
        <v>265.77316178308178</v>
      </c>
      <c r="Z314" s="28">
        <f t="shared" si="72"/>
        <v>268.07527192134285</v>
      </c>
      <c r="AA314" s="28">
        <f t="shared" ref="AA314:AW314" si="73">AA1383</f>
        <v>270.6953854308951</v>
      </c>
      <c r="AB314" s="28">
        <f t="shared" si="73"/>
        <v>272.7457130264242</v>
      </c>
      <c r="AC314" s="28">
        <f t="shared" si="73"/>
        <v>274.85229816720681</v>
      </c>
      <c r="AD314" s="28">
        <f t="shared" si="73"/>
        <v>275.83346847502179</v>
      </c>
      <c r="AE314" s="28">
        <f t="shared" si="73"/>
        <v>277.17885203403011</v>
      </c>
      <c r="AF314" s="28">
        <f t="shared" si="73"/>
        <v>278.51904326657984</v>
      </c>
      <c r="AG314" s="28">
        <f t="shared" si="73"/>
        <v>272.6122135588102</v>
      </c>
      <c r="AH314" s="28">
        <f t="shared" si="73"/>
        <v>-64.305450494464566</v>
      </c>
      <c r="AI314" s="28">
        <f t="shared" si="73"/>
        <v>-62.813787696400013</v>
      </c>
      <c r="AJ314" s="28">
        <f t="shared" si="73"/>
        <v>-61.345847017989065</v>
      </c>
      <c r="AK314" s="28">
        <f t="shared" si="73"/>
        <v>-59.900386021624051</v>
      </c>
      <c r="AL314" s="28">
        <f t="shared" si="73"/>
        <v>-58.476248166842247</v>
      </c>
      <c r="AM314" s="28">
        <f t="shared" si="73"/>
        <v>-57.072354850736843</v>
      </c>
      <c r="AN314" s="28">
        <f t="shared" si="73"/>
        <v>-55.934114946269716</v>
      </c>
      <c r="AO314" s="28">
        <f t="shared" si="73"/>
        <v>-54.81306678078316</v>
      </c>
      <c r="AP314" s="28">
        <f t="shared" si="73"/>
        <v>-53.708431309893463</v>
      </c>
      <c r="AQ314" s="28">
        <f t="shared" si="73"/>
        <v>-52.619477941754887</v>
      </c>
      <c r="AR314" s="28">
        <f t="shared" si="73"/>
        <v>-51.54552051954397</v>
      </c>
      <c r="AS314" s="28">
        <f t="shared" si="73"/>
        <v>-50.451601810421387</v>
      </c>
      <c r="AT314" s="28">
        <f t="shared" si="73"/>
        <v>-49.372725878621843</v>
      </c>
      <c r="AU314" s="28">
        <f t="shared" si="73"/>
        <v>-48.308300964661392</v>
      </c>
      <c r="AV314" s="28">
        <f t="shared" si="73"/>
        <v>-47.257768555984775</v>
      </c>
      <c r="AW314" s="28">
        <f t="shared" si="73"/>
        <v>-46.22060090251631</v>
      </c>
      <c r="AY314" s="85"/>
    </row>
    <row r="315" spans="1:51" x14ac:dyDescent="0.25">
      <c r="A315" s="102" t="str">
        <f t="shared" si="71"/>
        <v>GS Cattle</v>
      </c>
      <c r="B315" s="102" t="s">
        <v>1022</v>
      </c>
      <c r="C315" s="102" t="s">
        <v>1109</v>
      </c>
      <c r="D315" t="s">
        <v>15</v>
      </c>
      <c r="E315" t="s">
        <v>16</v>
      </c>
      <c r="F315" t="s">
        <v>67</v>
      </c>
      <c r="G315" t="s">
        <v>135</v>
      </c>
      <c r="H315" t="s">
        <v>1021</v>
      </c>
      <c r="I315" t="s">
        <v>121</v>
      </c>
      <c r="J315" t="s">
        <v>286</v>
      </c>
      <c r="K315" s="100">
        <f>IF('Net zero activities &amp; levers'!$C$7="Off",(('Activity data'!AD10*EF!$H9)*kgtoGg),IF('Net zero activities &amp; levers'!$C$7="On",((('Net zero supporting data'!B80*EF!$H9)+('Net zero supporting data'!B75*'Net zero supporting data'!B60))*kgtoGg),"ERROR"))</f>
        <v>32.066658815804246</v>
      </c>
      <c r="L315" s="100">
        <f>IF('Net zero activities &amp; levers'!$C$7="Off",(('Activity data'!AE10*EF!$H9)*kgtoGg),IF('Net zero activities &amp; levers'!$C$7="On",((('Net zero supporting data'!C80*EF!$H9)+('Net zero supporting data'!C75*'Net zero supporting data'!C60))*kgtoGg),"ERROR"))</f>
        <v>33.208718466326758</v>
      </c>
      <c r="M315" s="100">
        <f>IF('Net zero activities &amp; levers'!$C$7="Off",(('Activity data'!AF10*EF!$H9)*kgtoGg),IF('Net zero activities &amp; levers'!$C$7="On",((('Net zero supporting data'!D80*EF!$H9)+('Net zero supporting data'!D75*'Net zero supporting data'!D60))*kgtoGg),"ERROR"))</f>
        <v>34.11520280184579</v>
      </c>
      <c r="N315" s="100">
        <f>IF('Net zero activities &amp; levers'!$C$7="Off",(('Activity data'!AG10*EF!$H9)*kgtoGg),IF('Net zero activities &amp; levers'!$C$7="On",((('Net zero supporting data'!E80*EF!$H9)+('Net zero supporting data'!E75*'Net zero supporting data'!E60))*kgtoGg),"ERROR"))</f>
        <v>34.675782135786314</v>
      </c>
      <c r="O315" s="100">
        <f>IF('Net zero activities &amp; levers'!$C$7="Off",(('Activity data'!AH10*EF!$H9)*kgtoGg),IF('Net zero activities &amp; levers'!$C$7="On",((('Net zero supporting data'!F80*EF!$H9)+('Net zero supporting data'!F75*'Net zero supporting data'!F60))*kgtoGg),"ERROR"))</f>
        <v>35.237531716383323</v>
      </c>
      <c r="P315" s="100">
        <f>IF('Net zero activities &amp; levers'!$C$7="Off",(('Activity data'!AI10*EF!$H9)*kgtoGg),IF('Net zero activities &amp; levers'!$C$7="On",((('Net zero supporting data'!G80*EF!$H9)+('Net zero supporting data'!G75*'Net zero supporting data'!G60))*kgtoGg),"ERROR"))</f>
        <v>35.983525896151299</v>
      </c>
      <c r="Q315" s="100">
        <f>IF('Net zero activities &amp; levers'!$C$7="Off",(('Activity data'!AJ10*EF!$H9)*kgtoGg),IF('Net zero activities &amp; levers'!$C$7="On",((('Net zero supporting data'!H80*EF!$H9)+('Net zero supporting data'!H75*'Net zero supporting data'!H60))*kgtoGg),"ERROR"))</f>
        <v>36.791694077470218</v>
      </c>
      <c r="R315" s="100">
        <f>IF('Net zero activities &amp; levers'!$C$7="Off",(('Activity data'!AK10*EF!$H9)*kgtoGg),IF('Net zero activities &amp; levers'!$C$7="On",((('Net zero supporting data'!I80*EF!$H9)+('Net zero supporting data'!I75*'Net zero supporting data'!I60))*kgtoGg),"ERROR"))</f>
        <v>37.212274346578468</v>
      </c>
      <c r="S315" s="100">
        <f>IF('Net zero activities &amp; levers'!$C$7="Off",(('Activity data'!AL10*EF!$H9)*kgtoGg),IF('Net zero activities &amp; levers'!$C$7="On",((('Net zero supporting data'!J80*EF!$H9)+('Net zero supporting data'!J75*'Net zero supporting data'!J60))*kgtoGg),"ERROR"))</f>
        <v>33.949893618199454</v>
      </c>
      <c r="T315" s="100">
        <f>IF('Net zero activities &amp; levers'!$C$7="Off",(('Activity data'!AM10*EF!$H9)*kgtoGg),IF('Net zero activities &amp; levers'!$C$7="On",((('Net zero supporting data'!K80*EF!$H9)+('Net zero supporting data'!K75*'Net zero supporting data'!K60))*kgtoGg),"ERROR"))</f>
        <v>35.174509724183174</v>
      </c>
      <c r="U315" s="100">
        <f>IF('Net zero activities &amp; levers'!$C$7="Off",(('Activity data'!AN10*EF!$H9)*kgtoGg),IF('Net zero activities &amp; levers'!$C$7="On",((('Net zero supporting data'!L80*EF!$H9)+('Net zero supporting data'!L75*'Net zero supporting data'!L60))*kgtoGg),"ERROR"))</f>
        <v>36.289407387261306</v>
      </c>
      <c r="V315" s="100">
        <f>IF('Net zero activities &amp; levers'!$C$7="Off",(('Activity data'!AO10*EF!$H9)*kgtoGg),IF('Net zero activities &amp; levers'!$C$7="On",((('Net zero supporting data'!M80*EF!$H9)+('Net zero supporting data'!M75*'Net zero supporting data'!M60))*kgtoGg),"ERROR"))</f>
        <v>37.389719998093291</v>
      </c>
      <c r="W315" s="100">
        <f>IF('Net zero activities &amp; levers'!$C$7="Off",(('Activity data'!AP10*EF!$H9)*kgtoGg),IF('Net zero activities &amp; levers'!$C$7="On",((('Net zero supporting data'!N80*EF!$H9)+('Net zero supporting data'!N75*'Net zero supporting data'!N60))*kgtoGg),"ERROR"))</f>
        <v>38.633452314827565</v>
      </c>
      <c r="X315" s="100">
        <f>IF('Net zero activities &amp; levers'!$C$7="Off",(('Activity data'!AQ10*EF!$H9)*kgtoGg),IF('Net zero activities &amp; levers'!$C$7="On",((('Net zero supporting data'!O80*EF!$H9)+('Net zero supporting data'!O75*'Net zero supporting data'!O60))*kgtoGg),"ERROR"))</f>
        <v>39.85956288736093</v>
      </c>
      <c r="Y315" s="100">
        <f>IF('Net zero activities &amp; levers'!$C$7="Off",(('Activity data'!AR10*EF!$H9)*kgtoGg),IF('Net zero activities &amp; levers'!$C$7="On",((('Net zero supporting data'!P80*EF!$H9)+('Net zero supporting data'!P75*'Net zero supporting data'!P60))*kgtoGg),"ERROR"))</f>
        <v>41.097438291338193</v>
      </c>
      <c r="Z315" s="100">
        <f>IF('Net zero activities &amp; levers'!$C$7="Off",(('Activity data'!AS10*EF!$H9)*kgtoGg),IF('Net zero activities &amp; levers'!$C$7="On",((('Net zero supporting data'!Q80*EF!$H9)+('Net zero supporting data'!Q75*'Net zero supporting data'!Q60))*kgtoGg),"ERROR"))</f>
        <v>42.271829024786676</v>
      </c>
      <c r="AA315" s="100">
        <f>IF('Net zero activities &amp; levers'!$C$7="Off",(('Activity data'!AT10*EF!$H9)*kgtoGg),IF('Net zero activities &amp; levers'!$C$7="On",((('Net zero supporting data'!R80*EF!$H9)+('Net zero supporting data'!R75*'Net zero supporting data'!R60))*kgtoGg),"ERROR"))</f>
        <v>43.482904592126097</v>
      </c>
      <c r="AB315" s="100">
        <f>IF('Net zero activities &amp; levers'!$C$7="Off",(('Activity data'!AU10*EF!$H9)*kgtoGg),IF('Net zero activities &amp; levers'!$C$7="On",((('Net zero supporting data'!S80*EF!$H9)+('Net zero supporting data'!S75*'Net zero supporting data'!S60))*kgtoGg),"ERROR"))</f>
        <v>44.585314288214526</v>
      </c>
      <c r="AC315" s="100">
        <f>IF('Net zero activities &amp; levers'!$C$7="Off",(('Activity data'!AV10*EF!$H9)*kgtoGg),IF('Net zero activities &amp; levers'!$C$7="On",((('Net zero supporting data'!T80*EF!$H9)+('Net zero supporting data'!T75*'Net zero supporting data'!T60))*kgtoGg),"ERROR"))</f>
        <v>45.675226307775851</v>
      </c>
      <c r="AD315" s="100">
        <f>IF('Net zero activities &amp; levers'!$C$7="Off",(('Activity data'!AW10*EF!$H9)*kgtoGg),IF('Net zero activities &amp; levers'!$C$7="On",((('Net zero supporting data'!U80*EF!$H9)+('Net zero supporting data'!U75*'Net zero supporting data'!U60))*kgtoGg),"ERROR"))</f>
        <v>47.098603356070335</v>
      </c>
      <c r="AE315" s="100">
        <f>IF('Net zero activities &amp; levers'!$C$7="Off",(('Activity data'!AX10*EF!$H9)*kgtoGg),IF('Net zero activities &amp; levers'!$C$7="On",((('Net zero supporting data'!V80*EF!$H9)+('Net zero supporting data'!V75*'Net zero supporting data'!V60))*kgtoGg),"ERROR"))</f>
        <v>48.621625356976132</v>
      </c>
      <c r="AF315" s="100">
        <f>IF('Net zero activities &amp; levers'!$C$7="Off",(('Activity data'!AY10*EF!$H9)*kgtoGg),IF('Net zero activities &amp; levers'!$C$7="On",((('Net zero supporting data'!W80*EF!$H9)+('Net zero supporting data'!W75*'Net zero supporting data'!W60))*kgtoGg),"ERROR"))</f>
        <v>50.184402797183331</v>
      </c>
      <c r="AG315" s="100">
        <f>IF('Net zero activities &amp; levers'!$C$7="Off",(('Activity data'!AZ10*EF!$H9)*kgtoGg),IF('Net zero activities &amp; levers'!$C$7="On",((('Net zero supporting data'!X80*EF!$H9)+('Net zero supporting data'!X75*'Net zero supporting data'!X60))*kgtoGg),"ERROR"))</f>
        <v>50.448380389407674</v>
      </c>
      <c r="AH315" s="100">
        <f>IF('Net zero activities &amp; levers'!$C$7="Off",(('Activity data'!BA10*EF!$H9)*kgtoGg),IF('Net zero activities &amp; levers'!$C$7="On",((('Net zero supporting data'!Y80*EF!$H9)+('Net zero supporting data'!Y75*'Net zero supporting data'!Y60))*kgtoGg),"ERROR"))</f>
        <v>-12.220488684746407</v>
      </c>
      <c r="AI315" s="100">
        <f>IF('Net zero activities &amp; levers'!$C$7="Off",(('Activity data'!BB10*EF!$H9)*kgtoGg),IF('Net zero activities &amp; levers'!$C$7="On",((('Net zero supporting data'!Z80*EF!$H9)+('Net zero supporting data'!Z75*'Net zero supporting data'!Z60))*kgtoGg),"ERROR"))</f>
        <v>-12.257237472980853</v>
      </c>
      <c r="AJ315" s="100">
        <f>IF('Net zero activities &amp; levers'!$C$7="Off",(('Activity data'!BC10*EF!$H9)*kgtoGg),IF('Net zero activities &amp; levers'!$C$7="On",((('Net zero supporting data'!AA80*EF!$H9)+('Net zero supporting data'!AA75*'Net zero supporting data'!AA60))*kgtoGg),"ERROR"))</f>
        <v>-12.290927567106399</v>
      </c>
      <c r="AK315" s="100">
        <f>IF('Net zero activities &amp; levers'!$C$7="Off",(('Activity data'!BD10*EF!$H9)*kgtoGg),IF('Net zero activities &amp; levers'!$C$7="On",((('Net zero supporting data'!AB80*EF!$H9)+('Net zero supporting data'!AB75*'Net zero supporting data'!AB60))*kgtoGg),"ERROR"))</f>
        <v>-12.321486245615988</v>
      </c>
      <c r="AL315" s="100">
        <f>IF('Net zero activities &amp; levers'!$C$7="Off",(('Activity data'!BE10*EF!$H9)*kgtoGg),IF('Net zero activities &amp; levers'!$C$7="On",((('Net zero supporting data'!AC80*EF!$H9)+('Net zero supporting data'!AC75*'Net zero supporting data'!AC60))*kgtoGg),"ERROR"))</f>
        <v>-12.348839741813771</v>
      </c>
      <c r="AM315" s="100">
        <f>IF('Net zero activities &amp; levers'!$C$7="Off",(('Activity data'!BF10*EF!$H9)*kgtoGg),IF('Net zero activities &amp; levers'!$C$7="On",((('Net zero supporting data'!AD80*EF!$H9)+('Net zero supporting data'!AD75*'Net zero supporting data'!AD60))*kgtoGg),"ERROR"))</f>
        <v>-12.372913228353175</v>
      </c>
      <c r="AN315" s="100">
        <f>IF('Net zero activities &amp; levers'!$C$7="Off",(('Activity data'!BG10*EF!$H9)*kgtoGg),IF('Net zero activities &amp; levers'!$C$7="On",((('Net zero supporting data'!AE80*EF!$H9)+('Net zero supporting data'!AE75*'Net zero supporting data'!AE60))*kgtoGg),"ERROR"))</f>
        <v>-12.369877495713341</v>
      </c>
      <c r="AO315" s="100">
        <f>IF('Net zero activities &amp; levers'!$C$7="Off",(('Activity data'!BH10*EF!$H9)*kgtoGg),IF('Net zero activities &amp; levers'!$C$7="On",((('Net zero supporting data'!AF80*EF!$H9)+('Net zero supporting data'!AF75*'Net zero supporting data'!AF60))*kgtoGg),"ERROR"))</f>
        <v>-12.36347797768296</v>
      </c>
      <c r="AP315" s="100">
        <f>IF('Net zero activities &amp; levers'!$C$7="Off",(('Activity data'!BI10*EF!$H9)*kgtoGg),IF('Net zero activities &amp; levers'!$C$7="On",((('Net zero supporting data'!AG80*EF!$H9)+('Net zero supporting data'!AG75*'Net zero supporting data'!AG60))*kgtoGg),"ERROR"))</f>
        <v>-12.353654966829168</v>
      </c>
      <c r="AQ315" s="100">
        <f>IF('Net zero activities &amp; levers'!$C$7="Off",(('Activity data'!BJ10*EF!$H9)*kgtoGg),IF('Net zero activities &amp; levers'!$C$7="On",((('Net zero supporting data'!AH80*EF!$H9)+('Net zero supporting data'!AH75*'Net zero supporting data'!AH60))*kgtoGg),"ERROR"))</f>
        <v>-12.340348044921869</v>
      </c>
      <c r="AR315" s="100">
        <f>IF('Net zero activities &amp; levers'!$C$7="Off",(('Activity data'!BK10*EF!$H9)*kgtoGg),IF('Net zero activities &amp; levers'!$C$7="On",((('Net zero supporting data'!AI80*EF!$H9)+('Net zero supporting data'!AI75*'Net zero supporting data'!AI60))*kgtoGg),"ERROR"))</f>
        <v>-12.323496074283756</v>
      </c>
      <c r="AS315" s="100">
        <f>IF('Net zero activities &amp; levers'!$C$7="Off",(('Activity data'!BL10*EF!$H9)*kgtoGg),IF('Net zero activities &amp; levers'!$C$7="On",((('Net zero supporting data'!AJ80*EF!$H9)+('Net zero supporting data'!AJ75*'Net zero supporting data'!AJ60))*kgtoGg),"ERROR"))</f>
        <v>-12.294675636369618</v>
      </c>
      <c r="AT315" s="100">
        <f>IF('Net zero activities &amp; levers'!$C$7="Off",(('Activity data'!BM10*EF!$H9)*kgtoGg),IF('Net zero activities &amp; levers'!$C$7="On",((('Net zero supporting data'!AK80*EF!$H9)+('Net zero supporting data'!AK75*'Net zero supporting data'!AK60))*kgtoGg),"ERROR"))</f>
        <v>-12.262188252755802</v>
      </c>
      <c r="AU315" s="100">
        <f>IF('Net zero activities &amp; levers'!$C$7="Off",(('Activity data'!BN10*EF!$H9)*kgtoGg),IF('Net zero activities &amp; levers'!$C$7="On",((('Net zero supporting data'!AL80*EF!$H9)+('Net zero supporting data'!AL75*'Net zero supporting data'!AL60))*kgtoGg),"ERROR"))</f>
        <v>-12.225978533419999</v>
      </c>
      <c r="AV315" s="100">
        <f>IF('Net zero activities &amp; levers'!$C$7="Off",(('Activity data'!BO10*EF!$H9)*kgtoGg),IF('Net zero activities &amp; levers'!$C$7="On",((('Net zero supporting data'!AM80*EF!$H9)+('Net zero supporting data'!AM75*'Net zero supporting data'!AM60))*kgtoGg),"ERROR"))</f>
        <v>-12.185990563290932</v>
      </c>
      <c r="AW315" s="100">
        <f>IF('Net zero activities &amp; levers'!$C$7="Off",(('Activity data'!BP10*EF!$H9)*kgtoGg),IF('Net zero activities &amp; levers'!$C$7="On",((('Net zero supporting data'!AN80*EF!$H9)+('Net zero supporting data'!AN75*'Net zero supporting data'!AN60))*kgtoGg),"ERROR"))</f>
        <v>-12.142167896890651</v>
      </c>
      <c r="AY315" s="85"/>
    </row>
    <row r="316" spans="1:51" x14ac:dyDescent="0.25">
      <c r="A316" s="102" t="str">
        <f t="shared" si="71"/>
        <v>GS Sheep</v>
      </c>
      <c r="B316" s="102" t="s">
        <v>1022</v>
      </c>
      <c r="C316" s="102" t="s">
        <v>152</v>
      </c>
      <c r="D316" t="s">
        <v>15</v>
      </c>
      <c r="E316" t="s">
        <v>16</v>
      </c>
      <c r="F316" t="s">
        <v>18</v>
      </c>
      <c r="G316" t="s">
        <v>122</v>
      </c>
      <c r="H316" t="s">
        <v>1021</v>
      </c>
      <c r="I316" t="s">
        <v>121</v>
      </c>
      <c r="J316" t="s">
        <v>286</v>
      </c>
      <c r="K316" s="28">
        <f t="shared" si="72"/>
        <v>132.58757058147904</v>
      </c>
      <c r="L316" s="28">
        <f t="shared" ref="L316:AW316" si="74">L1385</f>
        <v>132.65997552000914</v>
      </c>
      <c r="M316" s="28">
        <f t="shared" si="74"/>
        <v>132.82210408590223</v>
      </c>
      <c r="N316" s="28">
        <f t="shared" si="74"/>
        <v>133.06614161446052</v>
      </c>
      <c r="O316" s="28">
        <f t="shared" si="74"/>
        <v>133.3953531354135</v>
      </c>
      <c r="P316" s="28">
        <f t="shared" si="74"/>
        <v>133.81008797408685</v>
      </c>
      <c r="Q316" s="28">
        <f t="shared" si="74"/>
        <v>134.27208577169884</v>
      </c>
      <c r="R316" s="28">
        <f t="shared" si="74"/>
        <v>134.77278624125299</v>
      </c>
      <c r="S316" s="28">
        <f t="shared" si="74"/>
        <v>135.24330047488556</v>
      </c>
      <c r="T316" s="28">
        <f t="shared" si="74"/>
        <v>135.43984338147078</v>
      </c>
      <c r="U316" s="28">
        <f t="shared" si="74"/>
        <v>135.66790740229135</v>
      </c>
      <c r="V316" s="28">
        <f t="shared" si="74"/>
        <v>135.92744577431912</v>
      </c>
      <c r="W316" s="28">
        <f t="shared" si="74"/>
        <v>136.21980319636509</v>
      </c>
      <c r="X316" s="28">
        <f t="shared" si="74"/>
        <v>136.54029274426662</v>
      </c>
      <c r="Y316" s="28">
        <f t="shared" si="74"/>
        <v>136.73757850266969</v>
      </c>
      <c r="Z316" s="28">
        <f t="shared" si="74"/>
        <v>136.95795076822631</v>
      </c>
      <c r="AA316" s="28">
        <f t="shared" si="74"/>
        <v>137.20220925985299</v>
      </c>
      <c r="AB316" s="28">
        <f t="shared" si="74"/>
        <v>137.46660109068114</v>
      </c>
      <c r="AC316" s="28">
        <f t="shared" si="74"/>
        <v>137.75207161797405</v>
      </c>
      <c r="AD316" s="28">
        <f t="shared" si="74"/>
        <v>137.94000218541183</v>
      </c>
      <c r="AE316" s="28">
        <f t="shared" si="74"/>
        <v>138.14770015018067</v>
      </c>
      <c r="AF316" s="28">
        <f t="shared" si="74"/>
        <v>138.37329758077868</v>
      </c>
      <c r="AG316" s="28">
        <f t="shared" si="74"/>
        <v>138.59125347156044</v>
      </c>
      <c r="AH316" s="28">
        <f t="shared" si="74"/>
        <v>137.6594267769662</v>
      </c>
      <c r="AI316" s="28">
        <f t="shared" si="74"/>
        <v>137.79176090123983</v>
      </c>
      <c r="AJ316" s="28">
        <f t="shared" si="74"/>
        <v>137.93779226287748</v>
      </c>
      <c r="AK316" s="28">
        <f t="shared" si="74"/>
        <v>138.09700339174353</v>
      </c>
      <c r="AL316" s="28">
        <f t="shared" si="74"/>
        <v>138.26891681492259</v>
      </c>
      <c r="AM316" s="28">
        <f t="shared" si="74"/>
        <v>138.45309126128626</v>
      </c>
      <c r="AN316" s="28">
        <f t="shared" si="74"/>
        <v>138.54247128713709</v>
      </c>
      <c r="AO316" s="28">
        <f t="shared" si="74"/>
        <v>138.64265405515414</v>
      </c>
      <c r="AP316" s="28">
        <f t="shared" si="74"/>
        <v>138.75326360443952</v>
      </c>
      <c r="AQ316" s="28">
        <f t="shared" si="74"/>
        <v>138.87394970624567</v>
      </c>
      <c r="AR316" s="28">
        <f t="shared" si="74"/>
        <v>139.00438567790363</v>
      </c>
      <c r="AS316" s="28">
        <f t="shared" si="74"/>
        <v>139.03656264546001</v>
      </c>
      <c r="AT316" s="28">
        <f t="shared" si="74"/>
        <v>139.07739261805247</v>
      </c>
      <c r="AU316" s="28">
        <f t="shared" si="74"/>
        <v>139.1265890083165</v>
      </c>
      <c r="AV316" s="28">
        <f t="shared" si="74"/>
        <v>139.18388272915809</v>
      </c>
      <c r="AW316" s="28">
        <f t="shared" si="74"/>
        <v>139.24902084795488</v>
      </c>
      <c r="AY316" s="85"/>
    </row>
    <row r="317" spans="1:51" x14ac:dyDescent="0.25">
      <c r="A317" s="102" t="str">
        <f t="shared" si="71"/>
        <v>GS Sheep</v>
      </c>
      <c r="B317" s="102" t="s">
        <v>1022</v>
      </c>
      <c r="C317" s="102" t="s">
        <v>152</v>
      </c>
      <c r="D317" t="s">
        <v>15</v>
      </c>
      <c r="E317" t="s">
        <v>16</v>
      </c>
      <c r="F317" t="s">
        <v>18</v>
      </c>
      <c r="G317" t="s">
        <v>123</v>
      </c>
      <c r="H317" t="s">
        <v>1021</v>
      </c>
      <c r="I317" t="s">
        <v>121</v>
      </c>
      <c r="J317" t="s">
        <v>286</v>
      </c>
      <c r="K317" s="28">
        <f t="shared" si="72"/>
        <v>14.369021000318453</v>
      </c>
      <c r="L317" s="28">
        <f t="shared" ref="L317:AW317" si="75">L1386</f>
        <v>14.376867799816345</v>
      </c>
      <c r="M317" s="28">
        <f t="shared" si="75"/>
        <v>14.394438291211975</v>
      </c>
      <c r="N317" s="28">
        <f t="shared" si="75"/>
        <v>14.420885569469965</v>
      </c>
      <c r="O317" s="28">
        <f t="shared" si="75"/>
        <v>14.456563478322018</v>
      </c>
      <c r="P317" s="28">
        <f t="shared" si="75"/>
        <v>14.50150987548674</v>
      </c>
      <c r="Q317" s="28">
        <f t="shared" si="75"/>
        <v>14.55157833987502</v>
      </c>
      <c r="R317" s="28">
        <f t="shared" si="75"/>
        <v>14.60584116051756</v>
      </c>
      <c r="S317" s="28">
        <f t="shared" si="75"/>
        <v>14.656832583577541</v>
      </c>
      <c r="T317" s="28">
        <f t="shared" si="75"/>
        <v>14.678132688404874</v>
      </c>
      <c r="U317" s="28">
        <f t="shared" si="75"/>
        <v>14.702848856671748</v>
      </c>
      <c r="V317" s="28">
        <f t="shared" si="75"/>
        <v>14.730976020490347</v>
      </c>
      <c r="W317" s="28">
        <f t="shared" si="75"/>
        <v>14.762659910002416</v>
      </c>
      <c r="X317" s="28">
        <f t="shared" si="75"/>
        <v>14.797392585350364</v>
      </c>
      <c r="Y317" s="28">
        <f t="shared" si="75"/>
        <v>14.818773195864045</v>
      </c>
      <c r="Z317" s="28">
        <f t="shared" si="75"/>
        <v>14.842655779259934</v>
      </c>
      <c r="AA317" s="28">
        <f t="shared" si="75"/>
        <v>14.869127004128885</v>
      </c>
      <c r="AB317" s="28">
        <f t="shared" si="75"/>
        <v>14.897780155799289</v>
      </c>
      <c r="AC317" s="28">
        <f t="shared" si="75"/>
        <v>14.928717686245429</v>
      </c>
      <c r="AD317" s="28">
        <f t="shared" si="75"/>
        <v>14.949084439013225</v>
      </c>
      <c r="AE317" s="28">
        <f t="shared" si="75"/>
        <v>14.971593460065483</v>
      </c>
      <c r="AF317" s="28">
        <f t="shared" si="75"/>
        <v>14.996042314537018</v>
      </c>
      <c r="AG317" s="28">
        <f t="shared" si="75"/>
        <v>15.019663026177268</v>
      </c>
      <c r="AH317" s="28">
        <f t="shared" si="75"/>
        <v>14.918677411277161</v>
      </c>
      <c r="AI317" s="28">
        <f t="shared" si="75"/>
        <v>14.933018965333902</v>
      </c>
      <c r="AJ317" s="28">
        <f t="shared" si="75"/>
        <v>14.948844941274739</v>
      </c>
      <c r="AK317" s="28">
        <f t="shared" si="75"/>
        <v>14.966099258886322</v>
      </c>
      <c r="AL317" s="28">
        <f t="shared" si="75"/>
        <v>14.984730172606687</v>
      </c>
      <c r="AM317" s="28">
        <f t="shared" si="75"/>
        <v>15.004689860199688</v>
      </c>
      <c r="AN317" s="28">
        <f t="shared" si="75"/>
        <v>15.014376314690312</v>
      </c>
      <c r="AO317" s="28">
        <f t="shared" si="75"/>
        <v>15.025233503574562</v>
      </c>
      <c r="AP317" s="28">
        <f t="shared" si="75"/>
        <v>15.037220682535205</v>
      </c>
      <c r="AQ317" s="28">
        <f t="shared" si="75"/>
        <v>15.050299895946342</v>
      </c>
      <c r="AR317" s="28">
        <f t="shared" si="75"/>
        <v>15.064435739960453</v>
      </c>
      <c r="AS317" s="28">
        <f t="shared" si="75"/>
        <v>15.067922880727245</v>
      </c>
      <c r="AT317" s="28">
        <f t="shared" si="75"/>
        <v>15.072347780671114</v>
      </c>
      <c r="AU317" s="28">
        <f t="shared" si="75"/>
        <v>15.077679381225703</v>
      </c>
      <c r="AV317" s="28">
        <f t="shared" si="75"/>
        <v>15.083888520395751</v>
      </c>
      <c r="AW317" s="28">
        <f t="shared" si="75"/>
        <v>15.090947786907744</v>
      </c>
      <c r="AY317" s="85"/>
    </row>
    <row r="318" spans="1:51" x14ac:dyDescent="0.25">
      <c r="A318" s="102" t="str">
        <f t="shared" si="71"/>
        <v>GS Goats</v>
      </c>
      <c r="B318" s="102" t="s">
        <v>1022</v>
      </c>
      <c r="C318" s="102" t="s">
        <v>153</v>
      </c>
      <c r="D318" t="s">
        <v>15</v>
      </c>
      <c r="E318" t="s">
        <v>16</v>
      </c>
      <c r="F318" t="s">
        <v>19</v>
      </c>
      <c r="G318" t="s">
        <v>122</v>
      </c>
      <c r="H318" t="s">
        <v>1021</v>
      </c>
      <c r="I318" t="s">
        <v>121</v>
      </c>
      <c r="J318" t="s">
        <v>286</v>
      </c>
      <c r="K318" s="28">
        <f t="shared" si="72"/>
        <v>15.122912034052119</v>
      </c>
      <c r="L318" s="28">
        <f t="shared" ref="L318:AW318" si="76">L1387</f>
        <v>15.16235617086264</v>
      </c>
      <c r="M318" s="28">
        <f t="shared" si="76"/>
        <v>15.214918977175502</v>
      </c>
      <c r="N318" s="28">
        <f t="shared" si="76"/>
        <v>15.279431878529646</v>
      </c>
      <c r="O318" s="28">
        <f t="shared" si="76"/>
        <v>15.356670108197457</v>
      </c>
      <c r="P318" s="28">
        <f t="shared" si="76"/>
        <v>15.446839206530987</v>
      </c>
      <c r="Q318" s="28">
        <f t="shared" si="76"/>
        <v>15.543246595834415</v>
      </c>
      <c r="R318" s="28">
        <f t="shared" si="76"/>
        <v>15.644513729476552</v>
      </c>
      <c r="S318" s="28">
        <f t="shared" si="76"/>
        <v>15.738586448717601</v>
      </c>
      <c r="T318" s="28">
        <f t="shared" si="76"/>
        <v>15.782671791027241</v>
      </c>
      <c r="U318" s="28">
        <f t="shared" si="76"/>
        <v>15.831013812582922</v>
      </c>
      <c r="V318" s="28">
        <f t="shared" si="76"/>
        <v>15.883673860630685</v>
      </c>
      <c r="W318" s="28">
        <f t="shared" si="76"/>
        <v>15.940945806372881</v>
      </c>
      <c r="X318" s="28">
        <f t="shared" si="76"/>
        <v>16.002058548962822</v>
      </c>
      <c r="Y318" s="28">
        <f t="shared" si="76"/>
        <v>16.040687609599484</v>
      </c>
      <c r="Z318" s="28">
        <f t="shared" si="76"/>
        <v>16.082482288873532</v>
      </c>
      <c r="AA318" s="28">
        <f t="shared" si="76"/>
        <v>16.127615494082271</v>
      </c>
      <c r="AB318" s="28">
        <f t="shared" si="76"/>
        <v>16.175465875658951</v>
      </c>
      <c r="AC318" s="28">
        <f t="shared" si="76"/>
        <v>16.226224840403397</v>
      </c>
      <c r="AD318" s="28">
        <f t="shared" si="76"/>
        <v>16.259468591936052</v>
      </c>
      <c r="AE318" s="28">
        <f t="shared" si="76"/>
        <v>16.295521678721617</v>
      </c>
      <c r="AF318" s="28">
        <f t="shared" si="76"/>
        <v>16.334079311640636</v>
      </c>
      <c r="AG318" s="28">
        <f t="shared" si="76"/>
        <v>16.370780543129868</v>
      </c>
      <c r="AH318" s="28">
        <f t="shared" si="76"/>
        <v>16.210342962451882</v>
      </c>
      <c r="AI318" s="28">
        <f t="shared" si="76"/>
        <v>16.231809554619815</v>
      </c>
      <c r="AJ318" s="28">
        <f t="shared" si="76"/>
        <v>16.255200949759832</v>
      </c>
      <c r="AK318" s="28">
        <f t="shared" si="76"/>
        <v>16.280438980022009</v>
      </c>
      <c r="AL318" s="28">
        <f t="shared" si="76"/>
        <v>16.307451540692337</v>
      </c>
      <c r="AM318" s="28">
        <f t="shared" si="76"/>
        <v>16.33617200965886</v>
      </c>
      <c r="AN318" s="28">
        <f t="shared" si="76"/>
        <v>16.348500225303503</v>
      </c>
      <c r="AO318" s="28">
        <f t="shared" si="76"/>
        <v>16.362367038828094</v>
      </c>
      <c r="AP318" s="28">
        <f t="shared" si="76"/>
        <v>16.377714445166813</v>
      </c>
      <c r="AQ318" s="28">
        <f t="shared" si="76"/>
        <v>16.394488418537772</v>
      </c>
      <c r="AR318" s="28">
        <f t="shared" si="76"/>
        <v>16.412638571526305</v>
      </c>
      <c r="AS318" s="28">
        <f t="shared" si="76"/>
        <v>16.414054645399585</v>
      </c>
      <c r="AT318" s="28">
        <f t="shared" si="76"/>
        <v>16.416730079303285</v>
      </c>
      <c r="AU318" s="28">
        <f t="shared" si="76"/>
        <v>16.420619645756457</v>
      </c>
      <c r="AV318" s="28">
        <f t="shared" si="76"/>
        <v>16.425680885599256</v>
      </c>
      <c r="AW318" s="28">
        <f t="shared" si="76"/>
        <v>16.431873893524784</v>
      </c>
      <c r="AY318" s="85"/>
    </row>
    <row r="319" spans="1:51" x14ac:dyDescent="0.25">
      <c r="A319" s="102" t="str">
        <f t="shared" si="71"/>
        <v>GS Goats</v>
      </c>
      <c r="B319" s="102" t="s">
        <v>1022</v>
      </c>
      <c r="C319" s="102" t="s">
        <v>153</v>
      </c>
      <c r="D319" t="s">
        <v>15</v>
      </c>
      <c r="E319" t="s">
        <v>16</v>
      </c>
      <c r="F319" t="s">
        <v>19</v>
      </c>
      <c r="G319" t="s">
        <v>123</v>
      </c>
      <c r="H319" t="s">
        <v>1021</v>
      </c>
      <c r="I319" t="s">
        <v>121</v>
      </c>
      <c r="J319" t="s">
        <v>286</v>
      </c>
      <c r="K319" s="28">
        <f t="shared" si="72"/>
        <v>22.380358537009105</v>
      </c>
      <c r="L319" s="28">
        <f t="shared" ref="L319:AW319" si="77">L1388</f>
        <v>22.438731813400228</v>
      </c>
      <c r="M319" s="28">
        <f t="shared" si="77"/>
        <v>22.516519374971988</v>
      </c>
      <c r="N319" s="28">
        <f t="shared" si="77"/>
        <v>22.611991851391704</v>
      </c>
      <c r="O319" s="28">
        <f t="shared" si="77"/>
        <v>22.726296508380855</v>
      </c>
      <c r="P319" s="28">
        <f t="shared" si="77"/>
        <v>22.859737524576634</v>
      </c>
      <c r="Q319" s="28">
        <f t="shared" si="77"/>
        <v>23.002410571498377</v>
      </c>
      <c r="R319" s="28">
        <f t="shared" si="77"/>
        <v>23.152275541540064</v>
      </c>
      <c r="S319" s="28">
        <f t="shared" si="77"/>
        <v>23.291493516254551</v>
      </c>
      <c r="T319" s="28">
        <f t="shared" si="77"/>
        <v>23.356735300700223</v>
      </c>
      <c r="U319" s="28">
        <f t="shared" si="77"/>
        <v>23.428276533789713</v>
      </c>
      <c r="V319" s="28">
        <f t="shared" si="77"/>
        <v>23.506208003154299</v>
      </c>
      <c r="W319" s="28">
        <f t="shared" si="77"/>
        <v>23.590964608028823</v>
      </c>
      <c r="X319" s="28">
        <f t="shared" si="77"/>
        <v>23.681405198257956</v>
      </c>
      <c r="Y319" s="28">
        <f t="shared" si="77"/>
        <v>23.738572245520402</v>
      </c>
      <c r="Z319" s="28">
        <f t="shared" si="77"/>
        <v>23.800424083644316</v>
      </c>
      <c r="AA319" s="28">
        <f t="shared" si="77"/>
        <v>23.8672165976933</v>
      </c>
      <c r="AB319" s="28">
        <f t="shared" si="77"/>
        <v>23.938030254045156</v>
      </c>
      <c r="AC319" s="28">
        <f t="shared" si="77"/>
        <v>24.013148315129573</v>
      </c>
      <c r="AD319" s="28">
        <f t="shared" si="77"/>
        <v>24.062345657330646</v>
      </c>
      <c r="AE319" s="28">
        <f t="shared" si="77"/>
        <v>24.115700527530912</v>
      </c>
      <c r="AF319" s="28">
        <f t="shared" si="77"/>
        <v>24.172761869098128</v>
      </c>
      <c r="AG319" s="28">
        <f t="shared" si="77"/>
        <v>24.227075926974639</v>
      </c>
      <c r="AH319" s="28">
        <f t="shared" si="77"/>
        <v>23.989644764887686</v>
      </c>
      <c r="AI319" s="28">
        <f t="shared" si="77"/>
        <v>24.021413119302785</v>
      </c>
      <c r="AJ319" s="28">
        <f t="shared" si="77"/>
        <v>24.056029984674726</v>
      </c>
      <c r="AK319" s="28">
        <f t="shared" si="77"/>
        <v>24.093379680603892</v>
      </c>
      <c r="AL319" s="28">
        <f t="shared" si="77"/>
        <v>24.133355499509896</v>
      </c>
      <c r="AM319" s="28">
        <f t="shared" si="77"/>
        <v>24.175858847500976</v>
      </c>
      <c r="AN319" s="28">
        <f t="shared" si="77"/>
        <v>24.194103342055165</v>
      </c>
      <c r="AO319" s="28">
        <f t="shared" si="77"/>
        <v>24.214624803645847</v>
      </c>
      <c r="AP319" s="28">
        <f t="shared" si="77"/>
        <v>24.23733739072566</v>
      </c>
      <c r="AQ319" s="28">
        <f t="shared" si="77"/>
        <v>24.26216115067923</v>
      </c>
      <c r="AR319" s="28">
        <f t="shared" si="77"/>
        <v>24.289021515301489</v>
      </c>
      <c r="AS319" s="28">
        <f t="shared" si="77"/>
        <v>24.291117159376356</v>
      </c>
      <c r="AT319" s="28">
        <f t="shared" si="77"/>
        <v>24.295076527113999</v>
      </c>
      <c r="AU319" s="28">
        <f t="shared" si="77"/>
        <v>24.300832686481954</v>
      </c>
      <c r="AV319" s="28">
        <f t="shared" si="77"/>
        <v>24.308322802279001</v>
      </c>
      <c r="AW319" s="28">
        <f t="shared" si="77"/>
        <v>24.317487818744329</v>
      </c>
      <c r="AY319" s="85"/>
    </row>
    <row r="320" spans="1:51" x14ac:dyDescent="0.25">
      <c r="A320" s="102" t="str">
        <f t="shared" si="71"/>
        <v>GS Horses</v>
      </c>
      <c r="B320" s="102" t="s">
        <v>1022</v>
      </c>
      <c r="C320" s="102" t="s">
        <v>3</v>
      </c>
      <c r="D320" t="s">
        <v>15</v>
      </c>
      <c r="E320" t="s">
        <v>16</v>
      </c>
      <c r="F320" t="s">
        <v>20</v>
      </c>
      <c r="G320" t="s">
        <v>3</v>
      </c>
      <c r="H320" t="s">
        <v>1021</v>
      </c>
      <c r="I320" t="s">
        <v>121</v>
      </c>
      <c r="J320" t="s">
        <v>286</v>
      </c>
      <c r="K320" s="28">
        <f t="shared" si="72"/>
        <v>5.5696427744330439</v>
      </c>
      <c r="L320" s="28">
        <f t="shared" ref="L320:AW320" si="78">L1389</f>
        <v>5.6022840873497932</v>
      </c>
      <c r="M320" s="28">
        <f t="shared" si="78"/>
        <v>5.6103260601490881</v>
      </c>
      <c r="N320" s="28">
        <f t="shared" si="78"/>
        <v>5.5857580588048208</v>
      </c>
      <c r="O320" s="28">
        <f t="shared" si="78"/>
        <v>5.559765331848693</v>
      </c>
      <c r="P320" s="28">
        <f t="shared" si="78"/>
        <v>5.5473985576087426</v>
      </c>
      <c r="Q320" s="28">
        <f t="shared" si="78"/>
        <v>5.5391504700870771</v>
      </c>
      <c r="R320" s="28">
        <f t="shared" si="78"/>
        <v>5.4993657963463365</v>
      </c>
      <c r="S320" s="28">
        <f t="shared" si="78"/>
        <v>5.1779141846798922</v>
      </c>
      <c r="T320" s="28">
        <f t="shared" si="78"/>
        <v>5.2234365031656678</v>
      </c>
      <c r="U320" s="28">
        <f t="shared" si="78"/>
        <v>5.2607139869862687</v>
      </c>
      <c r="V320" s="28">
        <f t="shared" si="78"/>
        <v>5.2972378917474705</v>
      </c>
      <c r="W320" s="28">
        <f t="shared" si="78"/>
        <v>5.3445893517249541</v>
      </c>
      <c r="X320" s="28">
        <f t="shared" si="78"/>
        <v>5.391074742094033</v>
      </c>
      <c r="Y320" s="28">
        <f t="shared" si="78"/>
        <v>5.4443279456237095</v>
      </c>
      <c r="Z320" s="28">
        <f t="shared" si="78"/>
        <v>5.4941146702747297</v>
      </c>
      <c r="AA320" s="28">
        <f t="shared" si="78"/>
        <v>5.5476702009922301</v>
      </c>
      <c r="AB320" s="28">
        <f t="shared" si="78"/>
        <v>5.5951924858009336</v>
      </c>
      <c r="AC320" s="28">
        <f t="shared" si="78"/>
        <v>5.6435970948645044</v>
      </c>
      <c r="AD320" s="28">
        <f t="shared" si="78"/>
        <v>5.7106381367284076</v>
      </c>
      <c r="AE320" s="28">
        <f t="shared" si="78"/>
        <v>5.7837954436426573</v>
      </c>
      <c r="AF320" s="28">
        <f t="shared" si="78"/>
        <v>5.8590224803991617</v>
      </c>
      <c r="AG320" s="28">
        <f t="shared" si="78"/>
        <v>5.8483213454344947</v>
      </c>
      <c r="AH320" s="28">
        <f t="shared" si="78"/>
        <v>1.7304204380446728</v>
      </c>
      <c r="AI320" s="28">
        <f t="shared" si="78"/>
        <v>1.7304204380446728</v>
      </c>
      <c r="AJ320" s="28">
        <f t="shared" si="78"/>
        <v>1.7304204380446728</v>
      </c>
      <c r="AK320" s="28">
        <f t="shared" si="78"/>
        <v>1.7304204380446728</v>
      </c>
      <c r="AL320" s="28">
        <f t="shared" si="78"/>
        <v>1.7304204380446728</v>
      </c>
      <c r="AM320" s="28">
        <f t="shared" si="78"/>
        <v>1.7304204380446728</v>
      </c>
      <c r="AN320" s="28">
        <f t="shared" si="78"/>
        <v>1.7304204380446728</v>
      </c>
      <c r="AO320" s="28">
        <f t="shared" si="78"/>
        <v>1.7304204380446728</v>
      </c>
      <c r="AP320" s="28">
        <f t="shared" si="78"/>
        <v>1.7304204380446728</v>
      </c>
      <c r="AQ320" s="28">
        <f t="shared" si="78"/>
        <v>1.7304204380446728</v>
      </c>
      <c r="AR320" s="28">
        <f t="shared" si="78"/>
        <v>1.7304204380446728</v>
      </c>
      <c r="AS320" s="28">
        <f t="shared" si="78"/>
        <v>1.7304204380446728</v>
      </c>
      <c r="AT320" s="28">
        <f t="shared" si="78"/>
        <v>1.7304204380446728</v>
      </c>
      <c r="AU320" s="28">
        <f t="shared" si="78"/>
        <v>1.7304204380446728</v>
      </c>
      <c r="AV320" s="28">
        <f t="shared" si="78"/>
        <v>1.7304204380446728</v>
      </c>
      <c r="AW320" s="28">
        <f t="shared" si="78"/>
        <v>1.7304204380446728</v>
      </c>
      <c r="AY320" s="85"/>
    </row>
    <row r="321" spans="1:51" x14ac:dyDescent="0.25">
      <c r="A321" s="102" t="str">
        <f t="shared" si="71"/>
        <v>GS Mules&amp;Asses</v>
      </c>
      <c r="B321" s="102" t="s">
        <v>1022</v>
      </c>
      <c r="C321" s="102" t="s">
        <v>1324</v>
      </c>
      <c r="D321" t="s">
        <v>15</v>
      </c>
      <c r="E321" t="s">
        <v>16</v>
      </c>
      <c r="F321" t="s">
        <v>140</v>
      </c>
      <c r="G321" t="s">
        <v>124</v>
      </c>
      <c r="H321" t="s">
        <v>1021</v>
      </c>
      <c r="I321" t="s">
        <v>121</v>
      </c>
      <c r="J321" t="s">
        <v>286</v>
      </c>
      <c r="K321" s="28">
        <f t="shared" si="72"/>
        <v>1.67</v>
      </c>
      <c r="L321" s="28">
        <f t="shared" ref="L321:AW321" si="79">L1390</f>
        <v>1.67</v>
      </c>
      <c r="M321" s="28">
        <f t="shared" si="79"/>
        <v>1.67</v>
      </c>
      <c r="N321" s="28">
        <f t="shared" si="79"/>
        <v>1.67</v>
      </c>
      <c r="O321" s="28">
        <f t="shared" si="79"/>
        <v>1.67</v>
      </c>
      <c r="P321" s="28">
        <f t="shared" si="79"/>
        <v>1.67</v>
      </c>
      <c r="Q321" s="28">
        <f t="shared" si="79"/>
        <v>1.67</v>
      </c>
      <c r="R321" s="28">
        <f t="shared" si="79"/>
        <v>1.67</v>
      </c>
      <c r="S321" s="28">
        <f t="shared" si="79"/>
        <v>1.67</v>
      </c>
      <c r="T321" s="28">
        <f t="shared" si="79"/>
        <v>1.67</v>
      </c>
      <c r="U321" s="28">
        <f t="shared" si="79"/>
        <v>1.67</v>
      </c>
      <c r="V321" s="28">
        <f t="shared" si="79"/>
        <v>1.67</v>
      </c>
      <c r="W321" s="28">
        <f t="shared" si="79"/>
        <v>1.67</v>
      </c>
      <c r="X321" s="28">
        <f t="shared" si="79"/>
        <v>1.67</v>
      </c>
      <c r="Y321" s="28">
        <f t="shared" si="79"/>
        <v>1.67</v>
      </c>
      <c r="Z321" s="28">
        <f t="shared" si="79"/>
        <v>1.67</v>
      </c>
      <c r="AA321" s="28">
        <f t="shared" si="79"/>
        <v>1.67</v>
      </c>
      <c r="AB321" s="28">
        <f t="shared" si="79"/>
        <v>1.67</v>
      </c>
      <c r="AC321" s="28">
        <f t="shared" si="79"/>
        <v>1.67</v>
      </c>
      <c r="AD321" s="28">
        <f t="shared" si="79"/>
        <v>1.67</v>
      </c>
      <c r="AE321" s="28">
        <f t="shared" si="79"/>
        <v>1.67</v>
      </c>
      <c r="AF321" s="28">
        <f t="shared" si="79"/>
        <v>1.67</v>
      </c>
      <c r="AG321" s="28">
        <f t="shared" si="79"/>
        <v>1.67</v>
      </c>
      <c r="AH321" s="28">
        <f t="shared" si="79"/>
        <v>1.67</v>
      </c>
      <c r="AI321" s="28">
        <f t="shared" si="79"/>
        <v>1.67</v>
      </c>
      <c r="AJ321" s="28">
        <f t="shared" si="79"/>
        <v>1.67</v>
      </c>
      <c r="AK321" s="28">
        <f t="shared" si="79"/>
        <v>1.67</v>
      </c>
      <c r="AL321" s="28">
        <f t="shared" si="79"/>
        <v>1.67</v>
      </c>
      <c r="AM321" s="28">
        <f t="shared" si="79"/>
        <v>1.67</v>
      </c>
      <c r="AN321" s="28">
        <f t="shared" si="79"/>
        <v>1.67</v>
      </c>
      <c r="AO321" s="28">
        <f t="shared" si="79"/>
        <v>1.67</v>
      </c>
      <c r="AP321" s="28">
        <f t="shared" si="79"/>
        <v>1.67</v>
      </c>
      <c r="AQ321" s="28">
        <f t="shared" si="79"/>
        <v>1.67</v>
      </c>
      <c r="AR321" s="28">
        <f t="shared" si="79"/>
        <v>1.67</v>
      </c>
      <c r="AS321" s="28">
        <f t="shared" si="79"/>
        <v>1.67</v>
      </c>
      <c r="AT321" s="28">
        <f t="shared" si="79"/>
        <v>1.67</v>
      </c>
      <c r="AU321" s="28">
        <f t="shared" si="79"/>
        <v>1.67</v>
      </c>
      <c r="AV321" s="28">
        <f t="shared" si="79"/>
        <v>1.67</v>
      </c>
      <c r="AW321" s="28">
        <f t="shared" si="79"/>
        <v>1.67</v>
      </c>
      <c r="AY321" s="85"/>
    </row>
    <row r="322" spans="1:51" x14ac:dyDescent="0.25">
      <c r="A322" s="102" t="str">
        <f t="shared" si="71"/>
        <v>GS Swine</v>
      </c>
      <c r="B322" s="102" t="s">
        <v>1022</v>
      </c>
      <c r="C322" s="102" t="s">
        <v>155</v>
      </c>
      <c r="D322" t="s">
        <v>15</v>
      </c>
      <c r="E322" t="s">
        <v>16</v>
      </c>
      <c r="F322" t="s">
        <v>21</v>
      </c>
      <c r="G322" t="s">
        <v>122</v>
      </c>
      <c r="H322" t="s">
        <v>1021</v>
      </c>
      <c r="I322" t="s">
        <v>121</v>
      </c>
      <c r="J322" t="s">
        <v>286</v>
      </c>
      <c r="K322" s="28">
        <f t="shared" si="72"/>
        <v>1.8541666894574054</v>
      </c>
      <c r="L322" s="28">
        <f t="shared" ref="L322:AW322" si="80">L1391</f>
        <v>1.8483142649538657</v>
      </c>
      <c r="M322" s="28">
        <f t="shared" si="80"/>
        <v>1.8289603412170248</v>
      </c>
      <c r="N322" s="28">
        <f t="shared" si="80"/>
        <v>1.7913821949145237</v>
      </c>
      <c r="O322" s="28">
        <f t="shared" si="80"/>
        <v>1.7554482253507835</v>
      </c>
      <c r="P322" s="28">
        <f t="shared" si="80"/>
        <v>1.7302400840947183</v>
      </c>
      <c r="Q322" s="28">
        <f t="shared" si="80"/>
        <v>1.708890891068684</v>
      </c>
      <c r="R322" s="28">
        <f t="shared" si="80"/>
        <v>1.6695786047731636</v>
      </c>
      <c r="S322" s="28">
        <f t="shared" si="80"/>
        <v>1.4615896404106821</v>
      </c>
      <c r="T322" s="28">
        <f t="shared" si="80"/>
        <v>1.4708774478581006</v>
      </c>
      <c r="U322" s="28">
        <f t="shared" si="80"/>
        <v>1.475539546686083</v>
      </c>
      <c r="V322" s="28">
        <f t="shared" si="80"/>
        <v>1.4800720193256183</v>
      </c>
      <c r="W322" s="28">
        <f t="shared" si="80"/>
        <v>1.4911430483593251</v>
      </c>
      <c r="X322" s="28">
        <f t="shared" si="80"/>
        <v>1.5018418879535562</v>
      </c>
      <c r="Y322" s="28">
        <f t="shared" si="80"/>
        <v>1.5141161979930053</v>
      </c>
      <c r="Z322" s="28">
        <f t="shared" si="80"/>
        <v>1.5244186206157291</v>
      </c>
      <c r="AA322" s="28">
        <f t="shared" si="80"/>
        <v>1.5367997357970316</v>
      </c>
      <c r="AB322" s="28">
        <f t="shared" si="80"/>
        <v>1.5458124762264192</v>
      </c>
      <c r="AC322" s="28">
        <f t="shared" si="80"/>
        <v>1.5552930899763542</v>
      </c>
      <c r="AD322" s="28">
        <f t="shared" si="80"/>
        <v>1.5727795493180676</v>
      </c>
      <c r="AE322" s="28">
        <f t="shared" si="80"/>
        <v>1.5932065886725237</v>
      </c>
      <c r="AF322" s="28">
        <f t="shared" si="80"/>
        <v>1.61434489246593</v>
      </c>
      <c r="AG322" s="28">
        <f t="shared" si="80"/>
        <v>1.5905873244414643</v>
      </c>
      <c r="AH322" s="28">
        <f t="shared" si="80"/>
        <v>-0.53667602659003</v>
      </c>
      <c r="AI322" s="28">
        <f t="shared" si="80"/>
        <v>-0.53080565769123822</v>
      </c>
      <c r="AJ322" s="28">
        <f t="shared" si="80"/>
        <v>-0.52506102374348274</v>
      </c>
      <c r="AK322" s="28">
        <f t="shared" si="80"/>
        <v>-0.51943389932430173</v>
      </c>
      <c r="AL322" s="28">
        <f t="shared" si="80"/>
        <v>-0.51391666127760161</v>
      </c>
      <c r="AM322" s="28">
        <f t="shared" si="80"/>
        <v>-0.50850223047100296</v>
      </c>
      <c r="AN322" s="28">
        <f t="shared" si="80"/>
        <v>-0.50256367866010732</v>
      </c>
      <c r="AO322" s="28">
        <f t="shared" si="80"/>
        <v>-0.496729831902604</v>
      </c>
      <c r="AP322" s="28">
        <f t="shared" si="80"/>
        <v>-0.49099457494449417</v>
      </c>
      <c r="AQ322" s="28">
        <f t="shared" si="80"/>
        <v>-0.48535219196665164</v>
      </c>
      <c r="AR322" s="28">
        <f t="shared" si="80"/>
        <v>-0.47979733207264019</v>
      </c>
      <c r="AS322" s="28">
        <f t="shared" si="80"/>
        <v>-0.47374377836093629</v>
      </c>
      <c r="AT322" s="28">
        <f t="shared" si="80"/>
        <v>-0.46778268442640875</v>
      </c>
      <c r="AU322" s="28">
        <f t="shared" si="80"/>
        <v>-0.46190929102584166</v>
      </c>
      <c r="AV322" s="28">
        <f t="shared" si="80"/>
        <v>-0.45611912010876249</v>
      </c>
      <c r="AW322" s="28">
        <f t="shared" si="80"/>
        <v>-0.45040795289365548</v>
      </c>
      <c r="AY322" s="85"/>
    </row>
    <row r="323" spans="1:51" x14ac:dyDescent="0.25">
      <c r="A323" s="102" t="str">
        <f t="shared" si="71"/>
        <v>GS Swine</v>
      </c>
      <c r="B323" s="102" t="s">
        <v>1022</v>
      </c>
      <c r="C323" s="102" t="s">
        <v>155</v>
      </c>
      <c r="D323" t="s">
        <v>15</v>
      </c>
      <c r="E323" t="s">
        <v>16</v>
      </c>
      <c r="F323" t="s">
        <v>21</v>
      </c>
      <c r="G323" t="s">
        <v>123</v>
      </c>
      <c r="H323" t="s">
        <v>1021</v>
      </c>
      <c r="I323" t="s">
        <v>121</v>
      </c>
      <c r="J323" t="s">
        <v>286</v>
      </c>
      <c r="K323" s="28">
        <f t="shared" si="72"/>
        <v>0.2569163489011142</v>
      </c>
      <c r="L323" s="28">
        <f t="shared" ref="L323:AW323" si="81">L1392</f>
        <v>0.25610542745364245</v>
      </c>
      <c r="M323" s="28">
        <f t="shared" si="81"/>
        <v>0.25342371633691707</v>
      </c>
      <c r="N323" s="28">
        <f t="shared" si="81"/>
        <v>0.2482168273331373</v>
      </c>
      <c r="O323" s="28">
        <f t="shared" si="81"/>
        <v>0.24323775812952569</v>
      </c>
      <c r="P323" s="28">
        <f t="shared" si="81"/>
        <v>0.23974487712216219</v>
      </c>
      <c r="Q323" s="28">
        <f t="shared" si="81"/>
        <v>0.23678669825107104</v>
      </c>
      <c r="R323" s="28">
        <f t="shared" si="81"/>
        <v>0.23133952399245247</v>
      </c>
      <c r="S323" s="28">
        <f t="shared" si="81"/>
        <v>0.20252023517685527</v>
      </c>
      <c r="T323" s="28">
        <f t="shared" si="81"/>
        <v>0.20380716886639622</v>
      </c>
      <c r="U323" s="28">
        <f t="shared" si="81"/>
        <v>0.20445315685437584</v>
      </c>
      <c r="V323" s="28">
        <f t="shared" si="81"/>
        <v>0.20508118362708436</v>
      </c>
      <c r="W323" s="28">
        <f t="shared" si="81"/>
        <v>0.20661520339676887</v>
      </c>
      <c r="X323" s="28">
        <f t="shared" si="81"/>
        <v>0.20809765199303451</v>
      </c>
      <c r="Y323" s="28">
        <f t="shared" si="81"/>
        <v>0.20979840033380981</v>
      </c>
      <c r="Z323" s="28">
        <f t="shared" si="81"/>
        <v>0.21122592075045635</v>
      </c>
      <c r="AA323" s="28">
        <f t="shared" si="81"/>
        <v>0.21294146818521006</v>
      </c>
      <c r="AB323" s="28">
        <f t="shared" si="81"/>
        <v>0.21419028814183935</v>
      </c>
      <c r="AC323" s="28">
        <f t="shared" si="81"/>
        <v>0.21550393738590373</v>
      </c>
      <c r="AD323" s="28">
        <f t="shared" si="81"/>
        <v>0.21792688960202594</v>
      </c>
      <c r="AE323" s="28">
        <f t="shared" si="81"/>
        <v>0.22075729336218733</v>
      </c>
      <c r="AF323" s="28">
        <f t="shared" si="81"/>
        <v>0.22368625107857998</v>
      </c>
      <c r="AG323" s="28">
        <f t="shared" si="81"/>
        <v>0.22039436385489045</v>
      </c>
      <c r="AH323" s="28">
        <f t="shared" si="81"/>
        <v>-7.4362702166015399E-2</v>
      </c>
      <c r="AI323" s="28">
        <f t="shared" si="81"/>
        <v>-7.3549294313983729E-2</v>
      </c>
      <c r="AJ323" s="28">
        <f t="shared" si="81"/>
        <v>-7.2753308501045513E-2</v>
      </c>
      <c r="AK323" s="28">
        <f t="shared" si="81"/>
        <v>-7.1973604999300819E-2</v>
      </c>
      <c r="AL323" s="28">
        <f t="shared" si="81"/>
        <v>-7.1209127531856237E-2</v>
      </c>
      <c r="AM323" s="28">
        <f t="shared" si="81"/>
        <v>-7.0458895202628005E-2</v>
      </c>
      <c r="AN323" s="28">
        <f t="shared" si="81"/>
        <v>-6.9636039815520426E-2</v>
      </c>
      <c r="AO323" s="28">
        <f t="shared" si="81"/>
        <v>-6.8827692530722115E-2</v>
      </c>
      <c r="AP323" s="28">
        <f t="shared" si="81"/>
        <v>-6.8033006008703711E-2</v>
      </c>
      <c r="AQ323" s="28">
        <f t="shared" si="81"/>
        <v>-6.7251188256280764E-2</v>
      </c>
      <c r="AR323" s="28">
        <f t="shared" si="81"/>
        <v>-6.6481497844549611E-2</v>
      </c>
      <c r="AS323" s="28">
        <f t="shared" si="81"/>
        <v>-6.5642707607225875E-2</v>
      </c>
      <c r="AT323" s="28">
        <f t="shared" si="81"/>
        <v>-6.4816728746844354E-2</v>
      </c>
      <c r="AU323" s="28">
        <f t="shared" si="81"/>
        <v>-6.4002901814932872E-2</v>
      </c>
      <c r="AV323" s="28">
        <f t="shared" si="81"/>
        <v>-6.3200606325542585E-2</v>
      </c>
      <c r="AW323" s="28">
        <f t="shared" si="81"/>
        <v>-6.2409257717452565E-2</v>
      </c>
      <c r="AY323" s="85"/>
    </row>
    <row r="324" spans="1:51" x14ac:dyDescent="0.25">
      <c r="A324" s="102" t="str">
        <f t="shared" si="71"/>
        <v>GS Cattle MMCH4</v>
      </c>
      <c r="B324" s="102" t="s">
        <v>1022</v>
      </c>
      <c r="C324" s="102" t="s">
        <v>1230</v>
      </c>
      <c r="D324" t="s">
        <v>15</v>
      </c>
      <c r="E324" t="s">
        <v>22</v>
      </c>
      <c r="F324" t="s">
        <v>6</v>
      </c>
      <c r="G324" t="s">
        <v>136</v>
      </c>
      <c r="H324" t="s">
        <v>1228</v>
      </c>
      <c r="I324" t="s">
        <v>121</v>
      </c>
      <c r="J324" t="s">
        <v>286</v>
      </c>
      <c r="K324" s="28">
        <f>K1393</f>
        <v>7.3646534170257834</v>
      </c>
      <c r="L324" s="28">
        <f t="shared" ref="L324:AW331" si="82">L1393</f>
        <v>7.4104628035653102</v>
      </c>
      <c r="M324" s="28">
        <f t="shared" si="82"/>
        <v>7.4419573878579355</v>
      </c>
      <c r="N324" s="28">
        <f t="shared" si="82"/>
        <v>7.4518345531057086</v>
      </c>
      <c r="O324" s="28">
        <f t="shared" si="82"/>
        <v>7.4651968838323191</v>
      </c>
      <c r="P324" s="28">
        <f t="shared" si="82"/>
        <v>7.494465464758667</v>
      </c>
      <c r="Q324" s="28">
        <f t="shared" si="82"/>
        <v>7.5295555244972592</v>
      </c>
      <c r="R324" s="28">
        <f t="shared" si="82"/>
        <v>7.5400969444741763</v>
      </c>
      <c r="S324" s="28">
        <f t="shared" si="82"/>
        <v>7.3086176618997394</v>
      </c>
      <c r="T324" s="28">
        <f t="shared" si="82"/>
        <v>7.3688162835395774</v>
      </c>
      <c r="U324" s="28">
        <f t="shared" si="82"/>
        <v>7.4240167099951169</v>
      </c>
      <c r="V324" s="28">
        <f t="shared" si="82"/>
        <v>7.4806155410688238</v>
      </c>
      <c r="W324" s="28">
        <f t="shared" si="82"/>
        <v>7.5487965323768202</v>
      </c>
      <c r="X324" s="28">
        <f t="shared" si="82"/>
        <v>7.6182568990068642</v>
      </c>
      <c r="Y324" s="28">
        <f t="shared" si="82"/>
        <v>7.6858917367195918</v>
      </c>
      <c r="Z324" s="28">
        <f t="shared" si="82"/>
        <v>7.7521734876275126</v>
      </c>
      <c r="AA324" s="28">
        <f t="shared" si="82"/>
        <v>7.8235662027619757</v>
      </c>
      <c r="AB324" s="28">
        <f t="shared" si="82"/>
        <v>7.8911737006481246</v>
      </c>
      <c r="AC324" s="28">
        <f t="shared" si="82"/>
        <v>7.961206232365277</v>
      </c>
      <c r="AD324" s="28">
        <f t="shared" si="82"/>
        <v>8.0416672207979634</v>
      </c>
      <c r="AE324" s="28">
        <f t="shared" si="82"/>
        <v>8.1292976952055653</v>
      </c>
      <c r="AF324" s="28">
        <f t="shared" si="82"/>
        <v>8.2204064265450114</v>
      </c>
      <c r="AG324" s="28">
        <f t="shared" si="82"/>
        <v>8.2331329239754218</v>
      </c>
      <c r="AH324" s="28">
        <f t="shared" si="82"/>
        <v>4.4079390411250321</v>
      </c>
      <c r="AI324" s="28">
        <f t="shared" si="82"/>
        <v>4.4111810533822107</v>
      </c>
      <c r="AJ324" s="28">
        <f t="shared" si="82"/>
        <v>4.4148489430980264</v>
      </c>
      <c r="AK324" s="28">
        <f t="shared" si="82"/>
        <v>4.4189265228241794</v>
      </c>
      <c r="AL324" s="28">
        <f t="shared" si="82"/>
        <v>4.4233988518058229</v>
      </c>
      <c r="AM324" s="28">
        <f t="shared" si="82"/>
        <v>4.4282521178160774</v>
      </c>
      <c r="AN324" s="28">
        <f t="shared" si="82"/>
        <v>4.4303415938400539</v>
      </c>
      <c r="AO324" s="28">
        <f t="shared" si="82"/>
        <v>4.432766537435862</v>
      </c>
      <c r="AP324" s="28">
        <f t="shared" si="82"/>
        <v>4.4355152317525279</v>
      </c>
      <c r="AQ324" s="28">
        <f t="shared" si="82"/>
        <v>4.4385767594592709</v>
      </c>
      <c r="AR324" s="28">
        <f t="shared" si="82"/>
        <v>4.4419409348998142</v>
      </c>
      <c r="AS324" s="28">
        <f t="shared" si="82"/>
        <v>4.4424325568083702</v>
      </c>
      <c r="AT324" s="28">
        <f t="shared" si="82"/>
        <v>4.4431924834311589</v>
      </c>
      <c r="AU324" s="28">
        <f t="shared" si="82"/>
        <v>4.4442118217610558</v>
      </c>
      <c r="AV324" s="28">
        <f t="shared" si="82"/>
        <v>4.4454822205450464</v>
      </c>
      <c r="AW324" s="28">
        <f t="shared" si="82"/>
        <v>4.4469958286673741</v>
      </c>
      <c r="AY324" s="85"/>
    </row>
    <row r="325" spans="1:51" x14ac:dyDescent="0.25">
      <c r="A325" s="102" t="str">
        <f t="shared" si="71"/>
        <v>GS Cattle MMCH4</v>
      </c>
      <c r="B325" s="102" t="s">
        <v>1022</v>
      </c>
      <c r="C325" s="102" t="s">
        <v>1230</v>
      </c>
      <c r="D325" t="s">
        <v>15</v>
      </c>
      <c r="E325" t="s">
        <v>22</v>
      </c>
      <c r="F325" t="s">
        <v>6</v>
      </c>
      <c r="G325" t="s">
        <v>137</v>
      </c>
      <c r="H325" t="s">
        <v>1228</v>
      </c>
      <c r="I325" t="s">
        <v>121</v>
      </c>
      <c r="J325" t="s">
        <v>286</v>
      </c>
      <c r="K325" s="28">
        <f t="shared" ref="K325:Z359" si="83">K1394</f>
        <v>2.0982448441600319</v>
      </c>
      <c r="L325" s="28">
        <f t="shared" si="83"/>
        <v>2.1112962810271738</v>
      </c>
      <c r="M325" s="28">
        <f t="shared" si="83"/>
        <v>2.1202693236632593</v>
      </c>
      <c r="N325" s="28">
        <f t="shared" si="83"/>
        <v>2.1230834019209199</v>
      </c>
      <c r="O325" s="28">
        <f t="shared" si="83"/>
        <v>2.1268904298916125</v>
      </c>
      <c r="P325" s="28">
        <f t="shared" si="83"/>
        <v>2.1352292675187319</v>
      </c>
      <c r="Q325" s="28">
        <f t="shared" si="83"/>
        <v>2.1452266880025732</v>
      </c>
      <c r="R325" s="28">
        <f t="shared" si="83"/>
        <v>2.1482300174010156</v>
      </c>
      <c r="S325" s="28">
        <f t="shared" si="83"/>
        <v>2.0822798383920729</v>
      </c>
      <c r="T325" s="28">
        <f t="shared" si="83"/>
        <v>2.099430875966946</v>
      </c>
      <c r="U325" s="28">
        <f t="shared" si="83"/>
        <v>2.1151578903486419</v>
      </c>
      <c r="V325" s="28">
        <f t="shared" si="83"/>
        <v>2.1312833206657489</v>
      </c>
      <c r="W325" s="28">
        <f t="shared" si="83"/>
        <v>2.1507085950650837</v>
      </c>
      <c r="X325" s="28">
        <f t="shared" si="83"/>
        <v>2.1704983730630572</v>
      </c>
      <c r="Y325" s="28">
        <f t="shared" si="83"/>
        <v>2.1897680442180159</v>
      </c>
      <c r="Z325" s="28">
        <f t="shared" si="83"/>
        <v>2.2086522108215552</v>
      </c>
      <c r="AA325" s="28">
        <f t="shared" si="82"/>
        <v>2.2289925293618906</v>
      </c>
      <c r="AB325" s="28">
        <f t="shared" si="82"/>
        <v>2.2482544111957634</v>
      </c>
      <c r="AC325" s="28">
        <f t="shared" si="82"/>
        <v>2.2682072033066958</v>
      </c>
      <c r="AD325" s="28">
        <f t="shared" si="82"/>
        <v>2.2911311407379684</v>
      </c>
      <c r="AE325" s="28">
        <f t="shared" si="82"/>
        <v>2.3160977183493427</v>
      </c>
      <c r="AF325" s="28">
        <f t="shared" si="82"/>
        <v>2.3420552773770367</v>
      </c>
      <c r="AG325" s="28">
        <f t="shared" si="82"/>
        <v>2.3456811516857772</v>
      </c>
      <c r="AH325" s="28">
        <f t="shared" si="82"/>
        <v>1.2558548030285308</v>
      </c>
      <c r="AI325" s="28">
        <f t="shared" si="82"/>
        <v>1.2567784765699908</v>
      </c>
      <c r="AJ325" s="28">
        <f t="shared" si="82"/>
        <v>1.2578234857848665</v>
      </c>
      <c r="AK325" s="28">
        <f t="shared" si="82"/>
        <v>1.2589852187480597</v>
      </c>
      <c r="AL325" s="28">
        <f t="shared" si="82"/>
        <v>1.2602594187267613</v>
      </c>
      <c r="AM325" s="28">
        <f t="shared" si="82"/>
        <v>1.2616421505142221</v>
      </c>
      <c r="AN325" s="28">
        <f t="shared" si="82"/>
        <v>1.2622374578621782</v>
      </c>
      <c r="AO325" s="28">
        <f t="shared" si="82"/>
        <v>1.2629283424305575</v>
      </c>
      <c r="AP325" s="28">
        <f t="shared" si="82"/>
        <v>1.2637114660008781</v>
      </c>
      <c r="AQ325" s="28">
        <f t="shared" si="82"/>
        <v>1.2645837181439423</v>
      </c>
      <c r="AR325" s="28">
        <f t="shared" si="82"/>
        <v>1.2655421968900908</v>
      </c>
      <c r="AS325" s="28">
        <f t="shared" si="82"/>
        <v>1.2656822636490397</v>
      </c>
      <c r="AT325" s="28">
        <f t="shared" si="82"/>
        <v>1.2658987724279214</v>
      </c>
      <c r="AU325" s="28">
        <f t="shared" si="82"/>
        <v>1.2661891895424888</v>
      </c>
      <c r="AV325" s="28">
        <f t="shared" si="82"/>
        <v>1.2665511356582928</v>
      </c>
      <c r="AW325" s="28">
        <f t="shared" si="82"/>
        <v>1.2669823739337303</v>
      </c>
      <c r="AY325" s="85"/>
    </row>
    <row r="326" spans="1:51" x14ac:dyDescent="0.25">
      <c r="A326" s="102" t="str">
        <f t="shared" si="71"/>
        <v>GS Cattle MMCH4</v>
      </c>
      <c r="B326" s="102" t="s">
        <v>1022</v>
      </c>
      <c r="C326" s="102" t="s">
        <v>1230</v>
      </c>
      <c r="D326" t="s">
        <v>15</v>
      </c>
      <c r="E326" t="s">
        <v>22</v>
      </c>
      <c r="F326" t="s">
        <v>67</v>
      </c>
      <c r="G326" t="s">
        <v>307</v>
      </c>
      <c r="H326" t="s">
        <v>1228</v>
      </c>
      <c r="I326" t="s">
        <v>121</v>
      </c>
      <c r="J326" t="s">
        <v>286</v>
      </c>
      <c r="K326" s="28">
        <f t="shared" si="83"/>
        <v>0.43336774046245513</v>
      </c>
      <c r="L326" s="28">
        <f t="shared" si="82"/>
        <v>0.43606336090953701</v>
      </c>
      <c r="M326" s="28">
        <f t="shared" si="82"/>
        <v>0.43791663710039563</v>
      </c>
      <c r="N326" s="28">
        <f t="shared" si="82"/>
        <v>0.43849785179485851</v>
      </c>
      <c r="O326" s="28">
        <f t="shared" si="82"/>
        <v>0.43928414854860887</v>
      </c>
      <c r="P326" s="28">
        <f t="shared" si="82"/>
        <v>0.44100643717026611</v>
      </c>
      <c r="Q326" s="28">
        <f t="shared" si="82"/>
        <v>0.44307128653119471</v>
      </c>
      <c r="R326" s="28">
        <f t="shared" si="82"/>
        <v>0.44369158881807513</v>
      </c>
      <c r="S326" s="28">
        <f t="shared" si="82"/>
        <v>0.43007035670126681</v>
      </c>
      <c r="T326" s="28">
        <f t="shared" si="82"/>
        <v>0.43361270135236735</v>
      </c>
      <c r="U326" s="28">
        <f t="shared" si="82"/>
        <v>0.43686093079793747</v>
      </c>
      <c r="V326" s="28">
        <f t="shared" si="82"/>
        <v>0.44019144835882135</v>
      </c>
      <c r="W326" s="28">
        <f t="shared" si="82"/>
        <v>0.44420350981949086</v>
      </c>
      <c r="X326" s="28">
        <f t="shared" si="82"/>
        <v>0.44829085520204021</v>
      </c>
      <c r="Y326" s="28">
        <f t="shared" si="82"/>
        <v>0.45227077864668558</v>
      </c>
      <c r="Z326" s="28">
        <f t="shared" si="82"/>
        <v>0.45617108067019357</v>
      </c>
      <c r="AA326" s="28">
        <f t="shared" si="82"/>
        <v>0.46037213371252356</v>
      </c>
      <c r="AB326" s="28">
        <f t="shared" si="82"/>
        <v>0.46435044836471168</v>
      </c>
      <c r="AC326" s="28">
        <f t="shared" si="82"/>
        <v>0.46847146239083864</v>
      </c>
      <c r="AD326" s="28">
        <f t="shared" si="82"/>
        <v>0.47320613146186896</v>
      </c>
      <c r="AE326" s="28">
        <f t="shared" si="82"/>
        <v>0.47836268378541491</v>
      </c>
      <c r="AF326" s="28">
        <f t="shared" si="82"/>
        <v>0.4837239116397628</v>
      </c>
      <c r="AG326" s="28">
        <f t="shared" si="82"/>
        <v>0.48447279323990261</v>
      </c>
      <c r="AH326" s="28">
        <f t="shared" si="82"/>
        <v>0.25938200675301493</v>
      </c>
      <c r="AI326" s="28">
        <f t="shared" si="82"/>
        <v>0.25957278063562522</v>
      </c>
      <c r="AJ326" s="28">
        <f t="shared" si="82"/>
        <v>0.25978861497139094</v>
      </c>
      <c r="AK326" s="28">
        <f t="shared" si="82"/>
        <v>0.260028557221544</v>
      </c>
      <c r="AL326" s="28">
        <f t="shared" si="82"/>
        <v>0.26029172820809693</v>
      </c>
      <c r="AM326" s="28">
        <f t="shared" si="82"/>
        <v>0.26057731516048022</v>
      </c>
      <c r="AN326" s="28">
        <f t="shared" si="82"/>
        <v>0.26070026887628817</v>
      </c>
      <c r="AO326" s="28">
        <f t="shared" si="82"/>
        <v>0.26084296294040193</v>
      </c>
      <c r="AP326" s="28">
        <f t="shared" si="82"/>
        <v>0.26100470788314173</v>
      </c>
      <c r="AQ326" s="28">
        <f t="shared" si="82"/>
        <v>0.26118486128201956</v>
      </c>
      <c r="AR326" s="28">
        <f t="shared" si="82"/>
        <v>0.26138282376940786</v>
      </c>
      <c r="AS326" s="28">
        <f t="shared" si="82"/>
        <v>0.26141175290749602</v>
      </c>
      <c r="AT326" s="28">
        <f t="shared" si="82"/>
        <v>0.26145647024377611</v>
      </c>
      <c r="AU326" s="28">
        <f t="shared" si="82"/>
        <v>0.26151645247563149</v>
      </c>
      <c r="AV326" s="28">
        <f t="shared" si="82"/>
        <v>0.26159120817957698</v>
      </c>
      <c r="AW326" s="28">
        <f t="shared" si="82"/>
        <v>0.26168027536234517</v>
      </c>
      <c r="AY326" s="85"/>
    </row>
    <row r="327" spans="1:51" x14ac:dyDescent="0.25">
      <c r="A327" s="102" t="str">
        <f t="shared" si="71"/>
        <v>GS Cattle MMCH4</v>
      </c>
      <c r="B327" s="102" t="s">
        <v>1022</v>
      </c>
      <c r="C327" s="102" t="s">
        <v>1230</v>
      </c>
      <c r="D327" t="s">
        <v>15</v>
      </c>
      <c r="E327" t="s">
        <v>22</v>
      </c>
      <c r="F327" t="s">
        <v>67</v>
      </c>
      <c r="G327" t="s">
        <v>122</v>
      </c>
      <c r="H327" t="s">
        <v>1228</v>
      </c>
      <c r="I327" t="s">
        <v>121</v>
      </c>
      <c r="J327" t="s">
        <v>286</v>
      </c>
      <c r="K327" s="28">
        <f t="shared" si="83"/>
        <v>9.5707566285535867E-2</v>
      </c>
      <c r="L327" s="28">
        <f t="shared" si="82"/>
        <v>9.507317462688053E-2</v>
      </c>
      <c r="M327" s="28">
        <f t="shared" si="82"/>
        <v>9.3735602326843109E-2</v>
      </c>
      <c r="N327" s="28">
        <f t="shared" si="82"/>
        <v>9.1480938854138993E-2</v>
      </c>
      <c r="O327" s="28">
        <f t="shared" si="82"/>
        <v>8.9293409665024345E-2</v>
      </c>
      <c r="P327" s="28">
        <f t="shared" si="82"/>
        <v>8.7610892686618924E-2</v>
      </c>
      <c r="Q327" s="28">
        <f t="shared" si="82"/>
        <v>8.6089043126348228E-2</v>
      </c>
      <c r="R327" s="28">
        <f t="shared" si="82"/>
        <v>8.3696304621384818E-2</v>
      </c>
      <c r="S327" s="28">
        <f t="shared" si="82"/>
        <v>7.34067322961163E-2</v>
      </c>
      <c r="T327" s="28">
        <f t="shared" si="82"/>
        <v>7.4106416152148968E-2</v>
      </c>
      <c r="U327" s="28">
        <f t="shared" si="82"/>
        <v>7.4579873174536918E-2</v>
      </c>
      <c r="V327" s="28">
        <f t="shared" si="82"/>
        <v>7.5037930673723691E-2</v>
      </c>
      <c r="W327" s="28">
        <f t="shared" si="82"/>
        <v>7.5795447602904714E-2</v>
      </c>
      <c r="X327" s="28">
        <f t="shared" si="82"/>
        <v>7.6527998633535405E-2</v>
      </c>
      <c r="Y327" s="28">
        <f t="shared" si="82"/>
        <v>7.7297067256649366E-2</v>
      </c>
      <c r="Z327" s="28">
        <f t="shared" si="82"/>
        <v>7.7966609512140975E-2</v>
      </c>
      <c r="AA327" s="28">
        <f t="shared" si="82"/>
        <v>7.8728639390587538E-2</v>
      </c>
      <c r="AB327" s="28">
        <f t="shared" si="82"/>
        <v>7.9324953589457362E-2</v>
      </c>
      <c r="AC327" s="28">
        <f t="shared" si="82"/>
        <v>7.9937629648305739E-2</v>
      </c>
      <c r="AD327" s="28">
        <f t="shared" si="82"/>
        <v>8.0222991747189526E-2</v>
      </c>
      <c r="AE327" s="28">
        <f t="shared" si="82"/>
        <v>8.0614281081104813E-2</v>
      </c>
      <c r="AF327" s="28">
        <f t="shared" si="82"/>
        <v>8.100406028659024E-2</v>
      </c>
      <c r="AG327" s="28">
        <f t="shared" si="82"/>
        <v>7.9286126804775037E-2</v>
      </c>
      <c r="AH327" s="28">
        <f t="shared" si="82"/>
        <v>-1.8702500653157286E-2</v>
      </c>
      <c r="AI327" s="28">
        <f t="shared" si="82"/>
        <v>-1.8268667685025074E-2</v>
      </c>
      <c r="AJ327" s="28">
        <f t="shared" si="82"/>
        <v>-1.7841734022548978E-2</v>
      </c>
      <c r="AK327" s="28">
        <f t="shared" si="82"/>
        <v>-1.7421338317040982E-2</v>
      </c>
      <c r="AL327" s="28">
        <f t="shared" si="82"/>
        <v>-1.7007144202009699E-2</v>
      </c>
      <c r="AM327" s="28">
        <f t="shared" si="82"/>
        <v>-1.6598837978205473E-2</v>
      </c>
      <c r="AN327" s="28">
        <f t="shared" si="82"/>
        <v>-1.6267793993705613E-2</v>
      </c>
      <c r="AO327" s="28">
        <f t="shared" si="82"/>
        <v>-1.5941750028753716E-2</v>
      </c>
      <c r="AP327" s="28">
        <f t="shared" si="82"/>
        <v>-1.562047950725113E-2</v>
      </c>
      <c r="AQ327" s="28">
        <f t="shared" si="82"/>
        <v>-1.5303769944962587E-2</v>
      </c>
      <c r="AR327" s="28">
        <f t="shared" si="82"/>
        <v>-1.4991421781067962E-2</v>
      </c>
      <c r="AS327" s="28">
        <f t="shared" si="82"/>
        <v>-1.4673268106464171E-2</v>
      </c>
      <c r="AT327" s="28">
        <f t="shared" si="82"/>
        <v>-1.4359489450627001E-2</v>
      </c>
      <c r="AU327" s="28">
        <f t="shared" si="82"/>
        <v>-1.40499137071168E-2</v>
      </c>
      <c r="AV327" s="28">
        <f t="shared" si="82"/>
        <v>-1.3744378438980727E-2</v>
      </c>
      <c r="AW327" s="28">
        <f t="shared" si="82"/>
        <v>-1.3442730156179297E-2</v>
      </c>
      <c r="AY327" s="85"/>
    </row>
    <row r="328" spans="1:51" x14ac:dyDescent="0.25">
      <c r="A328" s="102" t="str">
        <f t="shared" si="71"/>
        <v>GS Cattle MMCH4</v>
      </c>
      <c r="B328" s="102" t="s">
        <v>1022</v>
      </c>
      <c r="C328" s="102" t="s">
        <v>1230</v>
      </c>
      <c r="D328" t="s">
        <v>15</v>
      </c>
      <c r="E328" t="s">
        <v>22</v>
      </c>
      <c r="F328" t="s">
        <v>67</v>
      </c>
      <c r="G328" t="s">
        <v>123</v>
      </c>
      <c r="H328" t="s">
        <v>1228</v>
      </c>
      <c r="I328" t="s">
        <v>121</v>
      </c>
      <c r="J328" t="s">
        <v>286</v>
      </c>
      <c r="K328" s="28">
        <f t="shared" si="83"/>
        <v>7.0303494563391522E-2</v>
      </c>
      <c r="L328" s="28">
        <f t="shared" si="82"/>
        <v>6.9837492216280578E-2</v>
      </c>
      <c r="M328" s="28">
        <f t="shared" si="82"/>
        <v>6.8854957495428151E-2</v>
      </c>
      <c r="N328" s="28">
        <f t="shared" si="82"/>
        <v>6.7198759063606908E-2</v>
      </c>
      <c r="O328" s="28">
        <f t="shared" si="82"/>
        <v>6.5591875173201017E-2</v>
      </c>
      <c r="P328" s="28">
        <f t="shared" si="82"/>
        <v>6.4355955926323108E-2</v>
      </c>
      <c r="Q328" s="28">
        <f t="shared" si="82"/>
        <v>6.3238057452470034E-2</v>
      </c>
      <c r="R328" s="28">
        <f t="shared" si="82"/>
        <v>6.1480433839166078E-2</v>
      </c>
      <c r="S328" s="28">
        <f t="shared" si="82"/>
        <v>5.392206703386089E-2</v>
      </c>
      <c r="T328" s="28">
        <f t="shared" si="82"/>
        <v>5.4436030789055859E-2</v>
      </c>
      <c r="U328" s="28">
        <f t="shared" si="82"/>
        <v>5.4783816073869653E-2</v>
      </c>
      <c r="V328" s="28">
        <f t="shared" si="82"/>
        <v>5.5120289397281967E-2</v>
      </c>
      <c r="W328" s="28">
        <f t="shared" si="82"/>
        <v>5.5676735343817389E-2</v>
      </c>
      <c r="X328" s="28">
        <f t="shared" si="82"/>
        <v>5.6214842197832481E-2</v>
      </c>
      <c r="Y328" s="28">
        <f t="shared" si="82"/>
        <v>5.6779773622404078E-2</v>
      </c>
      <c r="Z328" s="28">
        <f t="shared" si="82"/>
        <v>5.7271596391969458E-2</v>
      </c>
      <c r="AA328" s="28">
        <f t="shared" si="82"/>
        <v>5.7831357396200579E-2</v>
      </c>
      <c r="AB328" s="28">
        <f t="shared" si="82"/>
        <v>5.826938934775229E-2</v>
      </c>
      <c r="AC328" s="28">
        <f t="shared" si="82"/>
        <v>5.8719440160285359E-2</v>
      </c>
      <c r="AD328" s="28">
        <f t="shared" si="82"/>
        <v>5.8929057367639905E-2</v>
      </c>
      <c r="AE328" s="28">
        <f t="shared" si="82"/>
        <v>5.92164850875921E-2</v>
      </c>
      <c r="AF328" s="28">
        <f t="shared" si="82"/>
        <v>5.9502803519010737E-2</v>
      </c>
      <c r="AG328" s="28">
        <f t="shared" si="82"/>
        <v>5.8240868523832451E-2</v>
      </c>
      <c r="AH328" s="28">
        <f t="shared" si="82"/>
        <v>-1.3738215315895889E-2</v>
      </c>
      <c r="AI328" s="28">
        <f t="shared" si="82"/>
        <v>-1.3419536501877058E-2</v>
      </c>
      <c r="AJ328" s="28">
        <f t="shared" si="82"/>
        <v>-1.3105925681085005E-2</v>
      </c>
      <c r="AK328" s="28">
        <f t="shared" si="82"/>
        <v>-1.2797117419171011E-2</v>
      </c>
      <c r="AL328" s="28">
        <f t="shared" si="82"/>
        <v>-1.2492864632850905E-2</v>
      </c>
      <c r="AM328" s="28">
        <f t="shared" si="82"/>
        <v>-1.2192936889418591E-2</v>
      </c>
      <c r="AN328" s="28">
        <f t="shared" si="82"/>
        <v>-1.1949763336189845E-2</v>
      </c>
      <c r="AO328" s="28">
        <f t="shared" si="82"/>
        <v>-1.1710262625775411E-2</v>
      </c>
      <c r="AP328" s="28">
        <f t="shared" si="82"/>
        <v>-1.1474268323146819E-2</v>
      </c>
      <c r="AQ328" s="28">
        <f t="shared" si="82"/>
        <v>-1.1241624344674956E-2</v>
      </c>
      <c r="AR328" s="28">
        <f t="shared" si="82"/>
        <v>-1.1012184099828085E-2</v>
      </c>
      <c r="AS328" s="28">
        <f t="shared" si="82"/>
        <v>-1.0778479325995476E-2</v>
      </c>
      <c r="AT328" s="28">
        <f t="shared" si="82"/>
        <v>-1.0547988290846352E-2</v>
      </c>
      <c r="AU328" s="28">
        <f t="shared" si="82"/>
        <v>-1.032058457089494E-2</v>
      </c>
      <c r="AV328" s="28">
        <f t="shared" si="82"/>
        <v>-1.0096148845528728E-2</v>
      </c>
      <c r="AW328" s="28">
        <f t="shared" si="82"/>
        <v>-9.8745683662308046E-3</v>
      </c>
      <c r="AY328" s="85"/>
    </row>
    <row r="329" spans="1:51" x14ac:dyDescent="0.25">
      <c r="A329" s="102" t="str">
        <f t="shared" si="71"/>
        <v>GS Cattle MMCH4</v>
      </c>
      <c r="B329" s="102" t="s">
        <v>1022</v>
      </c>
      <c r="C329" s="102" t="s">
        <v>1230</v>
      </c>
      <c r="D329" t="s">
        <v>15</v>
      </c>
      <c r="E329" t="s">
        <v>22</v>
      </c>
      <c r="F329" t="s">
        <v>67</v>
      </c>
      <c r="G329" t="s">
        <v>135</v>
      </c>
      <c r="H329" t="s">
        <v>1228</v>
      </c>
      <c r="I329" t="s">
        <v>121</v>
      </c>
      <c r="J329" t="s">
        <v>286</v>
      </c>
      <c r="K329" s="28">
        <f t="shared" si="83"/>
        <v>0.47365013870542771</v>
      </c>
      <c r="L329" s="28">
        <f t="shared" si="82"/>
        <v>0.49051927106458876</v>
      </c>
      <c r="M329" s="28">
        <f t="shared" si="82"/>
        <v>0.50390876804084606</v>
      </c>
      <c r="N329" s="28">
        <f t="shared" si="82"/>
        <v>0.51218897212451775</v>
      </c>
      <c r="O329" s="28">
        <f t="shared" si="82"/>
        <v>0.5204864616851187</v>
      </c>
      <c r="P329" s="28">
        <f t="shared" si="82"/>
        <v>0.5315053909957832</v>
      </c>
      <c r="Q329" s="28">
        <f t="shared" si="82"/>
        <v>0.54344267992188611</v>
      </c>
      <c r="R329" s="28">
        <f t="shared" si="82"/>
        <v>0.54965498610396035</v>
      </c>
      <c r="S329" s="28">
        <f t="shared" si="82"/>
        <v>0.50146701948783567</v>
      </c>
      <c r="T329" s="28">
        <f t="shared" si="82"/>
        <v>0.51834473155778682</v>
      </c>
      <c r="U329" s="28">
        <f t="shared" si="82"/>
        <v>0.53395156186316528</v>
      </c>
      <c r="V329" s="28">
        <f t="shared" si="82"/>
        <v>0.54973255397230381</v>
      </c>
      <c r="W329" s="28">
        <f t="shared" si="82"/>
        <v>0.56805189648716081</v>
      </c>
      <c r="X329" s="28">
        <f t="shared" si="82"/>
        <v>0.58658806930488216</v>
      </c>
      <c r="Y329" s="28">
        <f t="shared" si="82"/>
        <v>0.60582393990405248</v>
      </c>
      <c r="Z329" s="28">
        <f t="shared" si="82"/>
        <v>0.62470251247800967</v>
      </c>
      <c r="AA329" s="28">
        <f t="shared" si="82"/>
        <v>0.64475774385290952</v>
      </c>
      <c r="AB329" s="28">
        <f t="shared" si="82"/>
        <v>0.66389235390041079</v>
      </c>
      <c r="AC329" s="28">
        <f t="shared" si="82"/>
        <v>0.68358758575882406</v>
      </c>
      <c r="AD329" s="28">
        <f t="shared" si="82"/>
        <v>0.7086584440058149</v>
      </c>
      <c r="AE329" s="28">
        <f t="shared" si="82"/>
        <v>0.73565241500726219</v>
      </c>
      <c r="AF329" s="28">
        <f t="shared" si="82"/>
        <v>0.76370616641189881</v>
      </c>
      <c r="AG329" s="28">
        <f t="shared" si="82"/>
        <v>0.77236145848334026</v>
      </c>
      <c r="AH329" s="28">
        <f t="shared" si="82"/>
        <v>-0.18826983110818521</v>
      </c>
      <c r="AI329" s="28">
        <f t="shared" si="82"/>
        <v>-0.19006759890243963</v>
      </c>
      <c r="AJ329" s="28">
        <f t="shared" si="82"/>
        <v>-0.19187998371586665</v>
      </c>
      <c r="AK329" s="28">
        <f t="shared" si="82"/>
        <v>-0.19370712387762709</v>
      </c>
      <c r="AL329" s="28">
        <f t="shared" si="82"/>
        <v>-0.19554915895887828</v>
      </c>
      <c r="AM329" s="28">
        <f t="shared" si="82"/>
        <v>-0.19740622978354522</v>
      </c>
      <c r="AN329" s="28">
        <f t="shared" si="82"/>
        <v>-0.19889654656389008</v>
      </c>
      <c r="AO329" s="28">
        <f t="shared" si="82"/>
        <v>-0.20039714352450921</v>
      </c>
      <c r="AP329" s="28">
        <f t="shared" si="82"/>
        <v>-0.20190810202695822</v>
      </c>
      <c r="AQ329" s="28">
        <f t="shared" si="82"/>
        <v>-0.20342950404688992</v>
      </c>
      <c r="AR329" s="28">
        <f t="shared" si="82"/>
        <v>-0.20496143217854407</v>
      </c>
      <c r="AS329" s="28">
        <f t="shared" si="82"/>
        <v>-0.20636362268300526</v>
      </c>
      <c r="AT329" s="28">
        <f t="shared" si="82"/>
        <v>-0.20777388296351235</v>
      </c>
      <c r="AU329" s="28">
        <f t="shared" si="82"/>
        <v>-0.20919226640364996</v>
      </c>
      <c r="AV329" s="28">
        <f t="shared" si="82"/>
        <v>-0.21061882672173884</v>
      </c>
      <c r="AW329" s="28">
        <f t="shared" si="82"/>
        <v>-0.2120536179728616</v>
      </c>
      <c r="AY329" s="85"/>
    </row>
    <row r="330" spans="1:51" x14ac:dyDescent="0.25">
      <c r="A330" s="102" t="str">
        <f t="shared" si="71"/>
        <v>GS Sheep MMCH4</v>
      </c>
      <c r="B330" s="102" t="s">
        <v>1022</v>
      </c>
      <c r="C330" s="102" t="s">
        <v>1325</v>
      </c>
      <c r="D330" t="s">
        <v>15</v>
      </c>
      <c r="E330" t="s">
        <v>22</v>
      </c>
      <c r="F330" t="s">
        <v>18</v>
      </c>
      <c r="G330" t="s">
        <v>122</v>
      </c>
      <c r="H330" t="s">
        <v>1228</v>
      </c>
      <c r="I330" t="s">
        <v>121</v>
      </c>
      <c r="J330" t="s">
        <v>286</v>
      </c>
      <c r="K330" s="28">
        <f t="shared" si="83"/>
        <v>3.6053921478906167E-2</v>
      </c>
      <c r="L330" s="28">
        <f t="shared" si="82"/>
        <v>3.6073610217126503E-2</v>
      </c>
      <c r="M330" s="28">
        <f t="shared" si="82"/>
        <v>3.6117697084082141E-2</v>
      </c>
      <c r="N330" s="28">
        <f t="shared" si="82"/>
        <v>3.618405707434337E-2</v>
      </c>
      <c r="O330" s="28">
        <f t="shared" si="82"/>
        <v>3.6273578032260737E-2</v>
      </c>
      <c r="P330" s="28">
        <f t="shared" si="82"/>
        <v>3.6386354948245533E-2</v>
      </c>
      <c r="Q330" s="28">
        <f t="shared" si="82"/>
        <v>3.6511983860861394E-2</v>
      </c>
      <c r="R330" s="28">
        <f t="shared" si="82"/>
        <v>3.6648137011074396E-2</v>
      </c>
      <c r="S330" s="28">
        <f t="shared" si="82"/>
        <v>3.6776081758532232E-2</v>
      </c>
      <c r="T330" s="28">
        <f t="shared" si="82"/>
        <v>3.6829526757110792E-2</v>
      </c>
      <c r="U330" s="28">
        <f t="shared" si="82"/>
        <v>3.6891543145696586E-2</v>
      </c>
      <c r="V330" s="28">
        <f t="shared" si="82"/>
        <v>3.6962118208236874E-2</v>
      </c>
      <c r="W330" s="28">
        <f t="shared" si="82"/>
        <v>3.7041617602425879E-2</v>
      </c>
      <c r="X330" s="28">
        <f t="shared" si="82"/>
        <v>3.71287668347723E-2</v>
      </c>
      <c r="Y330" s="28">
        <f t="shared" si="82"/>
        <v>3.7182413833591089E-2</v>
      </c>
      <c r="Z330" s="28">
        <f t="shared" si="82"/>
        <v>3.7242338638937944E-2</v>
      </c>
      <c r="AA330" s="28">
        <f t="shared" si="82"/>
        <v>3.7308758714658788E-2</v>
      </c>
      <c r="AB330" s="28">
        <f t="shared" si="82"/>
        <v>3.7380653555679967E-2</v>
      </c>
      <c r="AC330" s="28">
        <f t="shared" si="82"/>
        <v>3.7458280228605825E-2</v>
      </c>
      <c r="AD330" s="28">
        <f t="shared" si="82"/>
        <v>3.7509383313851091E-2</v>
      </c>
      <c r="AE330" s="28">
        <f t="shared" si="82"/>
        <v>3.7565861655525674E-2</v>
      </c>
      <c r="AF330" s="28">
        <f t="shared" si="82"/>
        <v>3.7627207315702967E-2</v>
      </c>
      <c r="AG330" s="28">
        <f t="shared" si="82"/>
        <v>3.7686475047494471E-2</v>
      </c>
      <c r="AH330" s="28">
        <f t="shared" si="82"/>
        <v>3.7433087747828976E-2</v>
      </c>
      <c r="AI330" s="28">
        <f t="shared" si="82"/>
        <v>3.7469072750832028E-2</v>
      </c>
      <c r="AJ330" s="28">
        <f t="shared" si="82"/>
        <v>3.750878237989342E-2</v>
      </c>
      <c r="AK330" s="28">
        <f t="shared" si="82"/>
        <v>3.7552075921765626E-2</v>
      </c>
      <c r="AL330" s="28">
        <f t="shared" si="82"/>
        <v>3.7598823539459238E-2</v>
      </c>
      <c r="AM330" s="28">
        <f t="shared" si="82"/>
        <v>3.7648905240168402E-2</v>
      </c>
      <c r="AN330" s="28">
        <f t="shared" si="82"/>
        <v>3.76732099349424E-2</v>
      </c>
      <c r="AO330" s="28">
        <f t="shared" si="82"/>
        <v>3.7700452169156254E-2</v>
      </c>
      <c r="AP330" s="28">
        <f t="shared" si="82"/>
        <v>3.7730529709511379E-2</v>
      </c>
      <c r="AQ330" s="28">
        <f t="shared" si="82"/>
        <v>3.7763347319933152E-2</v>
      </c>
      <c r="AR330" s="28">
        <f t="shared" si="82"/>
        <v>3.7798816167122655E-2</v>
      </c>
      <c r="AS330" s="28">
        <f t="shared" si="82"/>
        <v>3.7807565900273503E-2</v>
      </c>
      <c r="AT330" s="28">
        <f t="shared" si="82"/>
        <v>3.7818668604843612E-2</v>
      </c>
      <c r="AU330" s="28">
        <f t="shared" si="82"/>
        <v>3.7832046350463708E-2</v>
      </c>
      <c r="AV330" s="28">
        <f t="shared" si="82"/>
        <v>3.7847625965531671E-2</v>
      </c>
      <c r="AW330" s="28">
        <f t="shared" si="82"/>
        <v>3.7865338671255785E-2</v>
      </c>
      <c r="AY330" s="85"/>
    </row>
    <row r="331" spans="1:51" x14ac:dyDescent="0.25">
      <c r="A331" s="102" t="str">
        <f t="shared" si="71"/>
        <v>GS Sheep MMCH4</v>
      </c>
      <c r="B331" s="102" t="s">
        <v>1022</v>
      </c>
      <c r="C331" s="102" t="s">
        <v>1325</v>
      </c>
      <c r="D331" t="s">
        <v>15</v>
      </c>
      <c r="E331" t="s">
        <v>22</v>
      </c>
      <c r="F331" t="s">
        <v>18</v>
      </c>
      <c r="G331" t="s">
        <v>123</v>
      </c>
      <c r="H331" t="s">
        <v>1228</v>
      </c>
      <c r="I331" t="s">
        <v>121</v>
      </c>
      <c r="J331" t="s">
        <v>286</v>
      </c>
      <c r="K331" s="28">
        <f t="shared" si="83"/>
        <v>4.1175296849015851E-3</v>
      </c>
      <c r="L331" s="28">
        <f t="shared" si="82"/>
        <v>4.1197782326532605E-3</v>
      </c>
      <c r="M331" s="28">
        <f t="shared" si="82"/>
        <v>4.1248131630008617E-3</v>
      </c>
      <c r="N331" s="28">
        <f t="shared" si="82"/>
        <v>4.1323917901954152E-3</v>
      </c>
      <c r="O331" s="28">
        <f t="shared" si="82"/>
        <v>4.1426155102936933E-3</v>
      </c>
      <c r="P331" s="28">
        <f t="shared" ref="L331:AW337" si="84">P1400</f>
        <v>4.1554951716534349E-3</v>
      </c>
      <c r="Q331" s="28">
        <f t="shared" si="84"/>
        <v>4.1698425922878412E-3</v>
      </c>
      <c r="R331" s="28">
        <f t="shared" si="84"/>
        <v>4.1853919310199088E-3</v>
      </c>
      <c r="S331" s="28">
        <f t="shared" si="84"/>
        <v>4.2000038310317607E-3</v>
      </c>
      <c r="T331" s="28">
        <f t="shared" si="84"/>
        <v>4.2061075046164898E-3</v>
      </c>
      <c r="U331" s="28">
        <f t="shared" si="84"/>
        <v>4.2131900717958127E-3</v>
      </c>
      <c r="V331" s="28">
        <f t="shared" si="84"/>
        <v>4.2212500803358944E-3</v>
      </c>
      <c r="W331" s="28">
        <f t="shared" si="84"/>
        <v>4.2303292900883332E-3</v>
      </c>
      <c r="X331" s="28">
        <f t="shared" si="84"/>
        <v>4.2402821478215117E-3</v>
      </c>
      <c r="Y331" s="28">
        <f t="shared" si="84"/>
        <v>4.2464088907965165E-3</v>
      </c>
      <c r="Z331" s="28">
        <f t="shared" si="84"/>
        <v>4.2532525892003629E-3</v>
      </c>
      <c r="AA331" s="28">
        <f t="shared" si="84"/>
        <v>4.2608380784408054E-3</v>
      </c>
      <c r="AB331" s="28">
        <f t="shared" si="84"/>
        <v>4.2690488119741668E-3</v>
      </c>
      <c r="AC331" s="28">
        <f t="shared" si="84"/>
        <v>4.2779141480319745E-3</v>
      </c>
      <c r="AD331" s="28">
        <f t="shared" si="84"/>
        <v>4.2837503639512487E-3</v>
      </c>
      <c r="AE331" s="28">
        <f t="shared" si="84"/>
        <v>4.2902004597760585E-3</v>
      </c>
      <c r="AF331" s="28">
        <f t="shared" si="84"/>
        <v>4.2972064265740855E-3</v>
      </c>
      <c r="AG331" s="28">
        <f t="shared" si="84"/>
        <v>4.3039750840459523E-3</v>
      </c>
      <c r="AH331" s="28">
        <f t="shared" si="84"/>
        <v>4.2750370466466056E-3</v>
      </c>
      <c r="AI331" s="28">
        <f t="shared" si="84"/>
        <v>4.2791467055130613E-3</v>
      </c>
      <c r="AJ331" s="28">
        <f t="shared" si="84"/>
        <v>4.2836817344289136E-3</v>
      </c>
      <c r="AK331" s="28">
        <f t="shared" si="84"/>
        <v>4.2886260632705817E-3</v>
      </c>
      <c r="AL331" s="28">
        <f t="shared" si="84"/>
        <v>4.2939648640350006E-3</v>
      </c>
      <c r="AM331" s="28">
        <f t="shared" si="84"/>
        <v>4.2996844329717928E-3</v>
      </c>
      <c r="AN331" s="28">
        <f t="shared" si="84"/>
        <v>4.3024601449639811E-3</v>
      </c>
      <c r="AO331" s="28">
        <f t="shared" si="84"/>
        <v>4.3055713379620639E-3</v>
      </c>
      <c r="AP331" s="28">
        <f t="shared" si="84"/>
        <v>4.3090063364360429E-3</v>
      </c>
      <c r="AQ331" s="28">
        <f t="shared" si="84"/>
        <v>4.3127542639722558E-3</v>
      </c>
      <c r="AR331" s="28">
        <f t="shared" si="84"/>
        <v>4.3168049753845332E-3</v>
      </c>
      <c r="AS331" s="28">
        <f t="shared" si="84"/>
        <v>4.3178042366162055E-3</v>
      </c>
      <c r="AT331" s="28">
        <f t="shared" si="84"/>
        <v>4.3190722183994593E-3</v>
      </c>
      <c r="AU331" s="28">
        <f t="shared" si="84"/>
        <v>4.3206000207146669E-3</v>
      </c>
      <c r="AV331" s="28">
        <f t="shared" si="84"/>
        <v>4.3223792870160944E-3</v>
      </c>
      <c r="AW331" s="28">
        <f t="shared" si="84"/>
        <v>4.3244021624378867E-3</v>
      </c>
      <c r="AY331" s="85"/>
    </row>
    <row r="332" spans="1:51" x14ac:dyDescent="0.25">
      <c r="A332" s="102" t="str">
        <f t="shared" si="71"/>
        <v>GS Goats MMCH4</v>
      </c>
      <c r="B332" s="102" t="s">
        <v>1022</v>
      </c>
      <c r="C332" s="102" t="s">
        <v>1326</v>
      </c>
      <c r="D332" t="s">
        <v>15</v>
      </c>
      <c r="E332" t="s">
        <v>22</v>
      </c>
      <c r="F332" t="s">
        <v>19</v>
      </c>
      <c r="G332" t="s">
        <v>122</v>
      </c>
      <c r="H332" t="s">
        <v>1228</v>
      </c>
      <c r="I332" t="s">
        <v>121</v>
      </c>
      <c r="J332" t="s">
        <v>286</v>
      </c>
      <c r="K332" s="28">
        <f t="shared" si="83"/>
        <v>1.578914847670768E-2</v>
      </c>
      <c r="L332" s="28">
        <f t="shared" si="84"/>
        <v>1.5830330315974785E-2</v>
      </c>
      <c r="M332" s="28">
        <f t="shared" si="84"/>
        <v>1.5885208764738982E-2</v>
      </c>
      <c r="N332" s="28">
        <f t="shared" si="84"/>
        <v>1.5952563767257691E-2</v>
      </c>
      <c r="O332" s="28">
        <f t="shared" si="84"/>
        <v>1.6033204709528407E-2</v>
      </c>
      <c r="P332" s="28">
        <f t="shared" si="84"/>
        <v>1.6127346186936543E-2</v>
      </c>
      <c r="Q332" s="28">
        <f t="shared" si="84"/>
        <v>1.6228000781801349E-2</v>
      </c>
      <c r="R332" s="28">
        <f t="shared" si="84"/>
        <v>1.6333729215934008E-2</v>
      </c>
      <c r="S332" s="28">
        <f t="shared" si="84"/>
        <v>1.6431946287378985E-2</v>
      </c>
      <c r="T332" s="28">
        <f t="shared" si="84"/>
        <v>1.6477973799395588E-2</v>
      </c>
      <c r="U332" s="28">
        <f t="shared" si="84"/>
        <v>1.6528445517692184E-2</v>
      </c>
      <c r="V332" s="28">
        <f t="shared" si="84"/>
        <v>1.6583425492153747E-2</v>
      </c>
      <c r="W332" s="28">
        <f t="shared" si="84"/>
        <v>1.6643220540411473E-2</v>
      </c>
      <c r="X332" s="28">
        <f t="shared" si="84"/>
        <v>1.6707025590946629E-2</v>
      </c>
      <c r="Y332" s="28">
        <f t="shared" si="84"/>
        <v>1.6747356446044817E-2</v>
      </c>
      <c r="Z332" s="28">
        <f t="shared" si="84"/>
        <v>1.679099238038791E-2</v>
      </c>
      <c r="AA332" s="28">
        <f t="shared" si="84"/>
        <v>1.6838113918664795E-2</v>
      </c>
      <c r="AB332" s="28">
        <f t="shared" si="84"/>
        <v>1.6888072337895171E-2</v>
      </c>
      <c r="AC332" s="28">
        <f t="shared" si="84"/>
        <v>1.6941067477261811E-2</v>
      </c>
      <c r="AD332" s="28">
        <f t="shared" si="84"/>
        <v>1.6975775774690904E-2</v>
      </c>
      <c r="AE332" s="28">
        <f t="shared" si="84"/>
        <v>1.7013417171997135E-2</v>
      </c>
      <c r="AF332" s="28">
        <f t="shared" si="84"/>
        <v>1.7053673452645857E-2</v>
      </c>
      <c r="AG332" s="28">
        <f t="shared" si="84"/>
        <v>1.7091991548522943E-2</v>
      </c>
      <c r="AH332" s="28">
        <f t="shared" si="84"/>
        <v>1.6924485926797139E-2</v>
      </c>
      <c r="AI332" s="28">
        <f t="shared" si="84"/>
        <v>1.6946898224790095E-2</v>
      </c>
      <c r="AJ332" s="28">
        <f t="shared" si="84"/>
        <v>1.6971320122511346E-2</v>
      </c>
      <c r="AK332" s="28">
        <f t="shared" si="84"/>
        <v>1.6997670008444151E-2</v>
      </c>
      <c r="AL332" s="28">
        <f t="shared" si="84"/>
        <v>1.7025872601317771E-2</v>
      </c>
      <c r="AM332" s="28">
        <f t="shared" si="84"/>
        <v>1.7055858343998281E-2</v>
      </c>
      <c r="AN332" s="28">
        <f t="shared" si="84"/>
        <v>1.706872967637315E-2</v>
      </c>
      <c r="AO332" s="28">
        <f t="shared" si="84"/>
        <v>1.7083207389206864E-2</v>
      </c>
      <c r="AP332" s="28">
        <f t="shared" si="84"/>
        <v>1.7099230922033661E-2</v>
      </c>
      <c r="AQ332" s="28">
        <f t="shared" si="84"/>
        <v>1.7116743868978143E-2</v>
      </c>
      <c r="AR332" s="28">
        <f t="shared" si="84"/>
        <v>1.7135693622819574E-2</v>
      </c>
      <c r="AS332" s="28">
        <f t="shared" si="84"/>
        <v>1.7137172081504573E-2</v>
      </c>
      <c r="AT332" s="28">
        <f t="shared" si="84"/>
        <v>1.7139965381039082E-2</v>
      </c>
      <c r="AU332" s="28">
        <f t="shared" si="84"/>
        <v>1.7144026301455787E-2</v>
      </c>
      <c r="AV332" s="28">
        <f t="shared" si="84"/>
        <v>1.7149310513066243E-2</v>
      </c>
      <c r="AW332" s="28">
        <f t="shared" si="84"/>
        <v>1.7155776352544339E-2</v>
      </c>
      <c r="AY332" s="85"/>
    </row>
    <row r="333" spans="1:51" x14ac:dyDescent="0.25">
      <c r="A333" s="102" t="str">
        <f t="shared" si="71"/>
        <v>GS Goats MMCH4</v>
      </c>
      <c r="B333" s="102" t="s">
        <v>1022</v>
      </c>
      <c r="C333" s="102" t="s">
        <v>1326</v>
      </c>
      <c r="D333" t="s">
        <v>15</v>
      </c>
      <c r="E333" t="s">
        <v>22</v>
      </c>
      <c r="F333" t="s">
        <v>19</v>
      </c>
      <c r="G333" t="s">
        <v>123</v>
      </c>
      <c r="H333" t="s">
        <v>1228</v>
      </c>
      <c r="I333" t="s">
        <v>121</v>
      </c>
      <c r="J333" t="s">
        <v>286</v>
      </c>
      <c r="K333" s="28">
        <f t="shared" si="83"/>
        <v>2.6591335822255355E-2</v>
      </c>
      <c r="L333" s="28">
        <f t="shared" si="84"/>
        <v>2.6660692324877722E-2</v>
      </c>
      <c r="M333" s="28">
        <f t="shared" si="84"/>
        <v>2.6753116008311057E-2</v>
      </c>
      <c r="N333" s="28">
        <f t="shared" si="84"/>
        <v>2.6866552112476273E-2</v>
      </c>
      <c r="O333" s="28">
        <f t="shared" si="84"/>
        <v>2.7002363766924078E-2</v>
      </c>
      <c r="P333" s="28">
        <f t="shared" si="84"/>
        <v>2.7160912383035713E-2</v>
      </c>
      <c r="Q333" s="28">
        <f t="shared" si="84"/>
        <v>2.7330430082995998E-2</v>
      </c>
      <c r="R333" s="28">
        <f t="shared" si="84"/>
        <v>2.7508492902668026E-2</v>
      </c>
      <c r="S333" s="28">
        <f t="shared" si="84"/>
        <v>2.7673905441167147E-2</v>
      </c>
      <c r="T333" s="28">
        <f t="shared" si="84"/>
        <v>2.7751422796260871E-2</v>
      </c>
      <c r="U333" s="28">
        <f t="shared" si="84"/>
        <v>2.783642487301826E-2</v>
      </c>
      <c r="V333" s="28">
        <f t="shared" si="84"/>
        <v>2.7929019541221126E-2</v>
      </c>
      <c r="W333" s="28">
        <f t="shared" si="84"/>
        <v>2.8029723528587808E-2</v>
      </c>
      <c r="X333" s="28">
        <f t="shared" si="84"/>
        <v>2.813718097180834E-2</v>
      </c>
      <c r="Y333" s="28">
        <f t="shared" si="84"/>
        <v>2.8205104287210486E-2</v>
      </c>
      <c r="Z333" s="28">
        <f t="shared" si="84"/>
        <v>2.827859386049221E-2</v>
      </c>
      <c r="AA333" s="28">
        <f t="shared" si="84"/>
        <v>2.8357953722781829E-2</v>
      </c>
      <c r="AB333" s="28">
        <f t="shared" si="84"/>
        <v>2.8442091325570455E-2</v>
      </c>
      <c r="AC333" s="28">
        <f t="shared" si="84"/>
        <v>2.8531343228541953E-2</v>
      </c>
      <c r="AD333" s="28">
        <f t="shared" si="84"/>
        <v>2.8589797298697615E-2</v>
      </c>
      <c r="AE333" s="28">
        <f t="shared" si="84"/>
        <v>2.8653191156704935E-2</v>
      </c>
      <c r="AF333" s="28">
        <f t="shared" si="84"/>
        <v>2.8720988877352402E-2</v>
      </c>
      <c r="AG333" s="28">
        <f t="shared" si="84"/>
        <v>2.8785522399032822E-2</v>
      </c>
      <c r="AH333" s="28">
        <f t="shared" si="84"/>
        <v>2.8503417366833182E-2</v>
      </c>
      <c r="AI333" s="28">
        <f t="shared" si="84"/>
        <v>2.8541163097285861E-2</v>
      </c>
      <c r="AJ333" s="28">
        <f t="shared" si="84"/>
        <v>2.8582293300392164E-2</v>
      </c>
      <c r="AK333" s="28">
        <f t="shared" si="84"/>
        <v>2.8626670529902105E-2</v>
      </c>
      <c r="AL333" s="28">
        <f t="shared" si="84"/>
        <v>2.8674168000666096E-2</v>
      </c>
      <c r="AM333" s="28">
        <f t="shared" si="84"/>
        <v>2.8724668567854592E-2</v>
      </c>
      <c r="AN333" s="28">
        <f t="shared" si="84"/>
        <v>2.8746345856035454E-2</v>
      </c>
      <c r="AO333" s="28">
        <f t="shared" si="84"/>
        <v>2.8770728534079647E-2</v>
      </c>
      <c r="AP333" s="28">
        <f t="shared" si="84"/>
        <v>2.8797714608919899E-2</v>
      </c>
      <c r="AQ333" s="28">
        <f t="shared" si="84"/>
        <v>2.8827209084453208E-2</v>
      </c>
      <c r="AR333" s="28">
        <f t="shared" si="84"/>
        <v>2.8859123362090785E-2</v>
      </c>
      <c r="AS333" s="28">
        <f t="shared" si="84"/>
        <v>2.8861613312163151E-2</v>
      </c>
      <c r="AT333" s="28">
        <f t="shared" si="84"/>
        <v>2.8866317654901063E-2</v>
      </c>
      <c r="AU333" s="28">
        <f t="shared" si="84"/>
        <v>2.887315686467273E-2</v>
      </c>
      <c r="AV333" s="28">
        <f t="shared" si="84"/>
        <v>2.888205628351705E-2</v>
      </c>
      <c r="AW333" s="28">
        <f t="shared" si="84"/>
        <v>2.8892945744034091E-2</v>
      </c>
      <c r="AY333" s="85"/>
    </row>
    <row r="334" spans="1:51" x14ac:dyDescent="0.25">
      <c r="A334" s="102" t="str">
        <f t="shared" si="71"/>
        <v>GS Horses MMCH4</v>
      </c>
      <c r="B334" s="102" t="s">
        <v>1022</v>
      </c>
      <c r="C334" s="102" t="s">
        <v>1327</v>
      </c>
      <c r="D334" t="s">
        <v>15</v>
      </c>
      <c r="E334" t="s">
        <v>22</v>
      </c>
      <c r="F334" t="s">
        <v>20</v>
      </c>
      <c r="G334" t="s">
        <v>3</v>
      </c>
      <c r="H334" t="s">
        <v>1228</v>
      </c>
      <c r="I334" t="s">
        <v>121</v>
      </c>
      <c r="J334" t="s">
        <v>286</v>
      </c>
      <c r="K334" s="28">
        <f t="shared" si="83"/>
        <v>4.1462896209668214E-3</v>
      </c>
      <c r="L334" s="28">
        <f t="shared" si="84"/>
        <v>4.1705892650270686E-3</v>
      </c>
      <c r="M334" s="28">
        <f t="shared" si="84"/>
        <v>4.1765760669998774E-3</v>
      </c>
      <c r="N334" s="28">
        <f t="shared" si="84"/>
        <v>4.1582865548880337E-3</v>
      </c>
      <c r="O334" s="28">
        <f t="shared" si="84"/>
        <v>4.1389364137095824E-3</v>
      </c>
      <c r="P334" s="28">
        <f t="shared" si="84"/>
        <v>4.1297300373309533E-3</v>
      </c>
      <c r="Q334" s="28">
        <f t="shared" si="84"/>
        <v>4.1235897943981579E-3</v>
      </c>
      <c r="R334" s="28">
        <f t="shared" si="84"/>
        <v>4.0939723150578283E-3</v>
      </c>
      <c r="S334" s="28">
        <f t="shared" si="84"/>
        <v>3.8546694485950316E-3</v>
      </c>
      <c r="T334" s="28">
        <f t="shared" si="84"/>
        <v>3.8885582856899971E-3</v>
      </c>
      <c r="U334" s="28">
        <f t="shared" si="84"/>
        <v>3.9163093014231119E-3</v>
      </c>
      <c r="V334" s="28">
        <f t="shared" si="84"/>
        <v>3.943499319412006E-3</v>
      </c>
      <c r="W334" s="28">
        <f t="shared" si="84"/>
        <v>3.9787498507285772E-3</v>
      </c>
      <c r="X334" s="28">
        <f t="shared" si="84"/>
        <v>4.0133556413366692E-3</v>
      </c>
      <c r="Y334" s="28">
        <f t="shared" si="84"/>
        <v>4.0529996928532061E-3</v>
      </c>
      <c r="Z334" s="28">
        <f t="shared" si="84"/>
        <v>4.0900631434267433E-3</v>
      </c>
      <c r="AA334" s="28">
        <f t="shared" si="84"/>
        <v>4.1299322607386601E-3</v>
      </c>
      <c r="AB334" s="28">
        <f t="shared" si="84"/>
        <v>4.1653099616518066E-3</v>
      </c>
      <c r="AC334" s="28">
        <f t="shared" si="84"/>
        <v>4.2013445039546862E-3</v>
      </c>
      <c r="AD334" s="28">
        <f t="shared" si="84"/>
        <v>4.251252835120037E-3</v>
      </c>
      <c r="AE334" s="28">
        <f t="shared" si="84"/>
        <v>4.3057143858228663E-3</v>
      </c>
      <c r="AF334" s="28">
        <f t="shared" si="84"/>
        <v>4.3617167354082645E-3</v>
      </c>
      <c r="AG334" s="28">
        <f t="shared" si="84"/>
        <v>4.3537503349345688E-3</v>
      </c>
      <c r="AH334" s="28">
        <f t="shared" si="84"/>
        <v>1.2882018816554785E-3</v>
      </c>
      <c r="AI334" s="28">
        <f t="shared" si="84"/>
        <v>1.2882018816554785E-3</v>
      </c>
      <c r="AJ334" s="28">
        <f t="shared" si="84"/>
        <v>1.2882018816554785E-3</v>
      </c>
      <c r="AK334" s="28">
        <f t="shared" si="84"/>
        <v>1.2882018816554785E-3</v>
      </c>
      <c r="AL334" s="28">
        <f t="shared" si="84"/>
        <v>1.2882018816554785E-3</v>
      </c>
      <c r="AM334" s="28">
        <f t="shared" si="84"/>
        <v>1.2882018816554785E-3</v>
      </c>
      <c r="AN334" s="28">
        <f t="shared" si="84"/>
        <v>1.2882018816554785E-3</v>
      </c>
      <c r="AO334" s="28">
        <f t="shared" si="84"/>
        <v>1.2882018816554785E-3</v>
      </c>
      <c r="AP334" s="28">
        <f t="shared" si="84"/>
        <v>1.2882018816554785E-3</v>
      </c>
      <c r="AQ334" s="28">
        <f t="shared" si="84"/>
        <v>1.2882018816554785E-3</v>
      </c>
      <c r="AR334" s="28">
        <f t="shared" si="84"/>
        <v>1.2882018816554785E-3</v>
      </c>
      <c r="AS334" s="28">
        <f t="shared" si="84"/>
        <v>1.2882018816554785E-3</v>
      </c>
      <c r="AT334" s="28">
        <f t="shared" si="84"/>
        <v>1.2882018816554785E-3</v>
      </c>
      <c r="AU334" s="28">
        <f t="shared" si="84"/>
        <v>1.2882018816554785E-3</v>
      </c>
      <c r="AV334" s="28">
        <f t="shared" si="84"/>
        <v>1.2882018816554785E-3</v>
      </c>
      <c r="AW334" s="28">
        <f t="shared" si="84"/>
        <v>1.2882018816554785E-3</v>
      </c>
      <c r="AY334" s="85"/>
    </row>
    <row r="335" spans="1:51" x14ac:dyDescent="0.25">
      <c r="A335" s="102" t="str">
        <f t="shared" si="71"/>
        <v>GS Mules MMCH4</v>
      </c>
      <c r="B335" s="102" t="s">
        <v>1022</v>
      </c>
      <c r="C335" s="102" t="s">
        <v>1328</v>
      </c>
      <c r="D335" t="s">
        <v>15</v>
      </c>
      <c r="E335" t="s">
        <v>22</v>
      </c>
      <c r="F335" t="s">
        <v>140</v>
      </c>
      <c r="G335" t="s">
        <v>124</v>
      </c>
      <c r="H335" t="s">
        <v>1228</v>
      </c>
      <c r="I335" t="s">
        <v>121</v>
      </c>
      <c r="J335" t="s">
        <v>286</v>
      </c>
      <c r="K335" s="28">
        <f t="shared" si="83"/>
        <v>7.515E-4</v>
      </c>
      <c r="L335" s="28">
        <f t="shared" si="84"/>
        <v>7.515E-4</v>
      </c>
      <c r="M335" s="28">
        <f t="shared" si="84"/>
        <v>7.515E-4</v>
      </c>
      <c r="N335" s="28">
        <f t="shared" si="84"/>
        <v>7.515E-4</v>
      </c>
      <c r="O335" s="28">
        <f t="shared" si="84"/>
        <v>7.515E-4</v>
      </c>
      <c r="P335" s="28">
        <f t="shared" si="84"/>
        <v>7.515E-4</v>
      </c>
      <c r="Q335" s="28">
        <f t="shared" si="84"/>
        <v>7.515E-4</v>
      </c>
      <c r="R335" s="28">
        <f t="shared" si="84"/>
        <v>7.515E-4</v>
      </c>
      <c r="S335" s="28">
        <f t="shared" si="84"/>
        <v>7.515E-4</v>
      </c>
      <c r="T335" s="28">
        <f t="shared" si="84"/>
        <v>7.515E-4</v>
      </c>
      <c r="U335" s="28">
        <f t="shared" si="84"/>
        <v>7.515E-4</v>
      </c>
      <c r="V335" s="28">
        <f t="shared" si="84"/>
        <v>7.515E-4</v>
      </c>
      <c r="W335" s="28">
        <f t="shared" si="84"/>
        <v>7.515E-4</v>
      </c>
      <c r="X335" s="28">
        <f t="shared" si="84"/>
        <v>7.515E-4</v>
      </c>
      <c r="Y335" s="28">
        <f t="shared" si="84"/>
        <v>7.515E-4</v>
      </c>
      <c r="Z335" s="28">
        <f t="shared" si="84"/>
        <v>7.515E-4</v>
      </c>
      <c r="AA335" s="28">
        <f t="shared" si="84"/>
        <v>7.515E-4</v>
      </c>
      <c r="AB335" s="28">
        <f t="shared" si="84"/>
        <v>7.515E-4</v>
      </c>
      <c r="AC335" s="28">
        <f t="shared" si="84"/>
        <v>7.515E-4</v>
      </c>
      <c r="AD335" s="28">
        <f t="shared" si="84"/>
        <v>7.515E-4</v>
      </c>
      <c r="AE335" s="28">
        <f t="shared" si="84"/>
        <v>7.515E-4</v>
      </c>
      <c r="AF335" s="28">
        <f t="shared" si="84"/>
        <v>7.515E-4</v>
      </c>
      <c r="AG335" s="28">
        <f t="shared" si="84"/>
        <v>7.515E-4</v>
      </c>
      <c r="AH335" s="28">
        <f t="shared" si="84"/>
        <v>7.515E-4</v>
      </c>
      <c r="AI335" s="28">
        <f t="shared" si="84"/>
        <v>7.515E-4</v>
      </c>
      <c r="AJ335" s="28">
        <f t="shared" si="84"/>
        <v>7.515E-4</v>
      </c>
      <c r="AK335" s="28">
        <f t="shared" si="84"/>
        <v>7.515E-4</v>
      </c>
      <c r="AL335" s="28">
        <f t="shared" si="84"/>
        <v>7.515E-4</v>
      </c>
      <c r="AM335" s="28">
        <f t="shared" si="84"/>
        <v>7.515E-4</v>
      </c>
      <c r="AN335" s="28">
        <f t="shared" si="84"/>
        <v>7.515E-4</v>
      </c>
      <c r="AO335" s="28">
        <f t="shared" si="84"/>
        <v>7.515E-4</v>
      </c>
      <c r="AP335" s="28">
        <f t="shared" si="84"/>
        <v>7.515E-4</v>
      </c>
      <c r="AQ335" s="28">
        <f t="shared" si="84"/>
        <v>7.515E-4</v>
      </c>
      <c r="AR335" s="28">
        <f t="shared" si="84"/>
        <v>7.515E-4</v>
      </c>
      <c r="AS335" s="28">
        <f t="shared" si="84"/>
        <v>7.515E-4</v>
      </c>
      <c r="AT335" s="28">
        <f t="shared" si="84"/>
        <v>7.515E-4</v>
      </c>
      <c r="AU335" s="28">
        <f t="shared" si="84"/>
        <v>7.515E-4</v>
      </c>
      <c r="AV335" s="28">
        <f t="shared" si="84"/>
        <v>7.515E-4</v>
      </c>
      <c r="AW335" s="28">
        <f t="shared" si="84"/>
        <v>7.515E-4</v>
      </c>
      <c r="AY335" s="85"/>
    </row>
    <row r="336" spans="1:51" x14ac:dyDescent="0.25">
      <c r="A336" s="102" t="str">
        <f t="shared" si="71"/>
        <v>GS Swine MMCH4</v>
      </c>
      <c r="B336" s="102" t="s">
        <v>1022</v>
      </c>
      <c r="C336" s="102" t="s">
        <v>1231</v>
      </c>
      <c r="D336" t="s">
        <v>15</v>
      </c>
      <c r="E336" t="s">
        <v>22</v>
      </c>
      <c r="F336" t="s">
        <v>21</v>
      </c>
      <c r="G336" t="s">
        <v>122</v>
      </c>
      <c r="H336" t="s">
        <v>1228</v>
      </c>
      <c r="I336" t="s">
        <v>121</v>
      </c>
      <c r="J336" t="s">
        <v>286</v>
      </c>
      <c r="K336" s="28">
        <f t="shared" si="83"/>
        <v>23.457025843160746</v>
      </c>
      <c r="L336" s="28">
        <f t="shared" si="84"/>
        <v>23.382986937378849</v>
      </c>
      <c r="M336" s="28">
        <f t="shared" si="84"/>
        <v>23.13814083382033</v>
      </c>
      <c r="N336" s="28">
        <f t="shared" si="84"/>
        <v>22.662740453710065</v>
      </c>
      <c r="O336" s="28">
        <f t="shared" si="84"/>
        <v>22.20814052076085</v>
      </c>
      <c r="P336" s="28">
        <f t="shared" si="84"/>
        <v>21.88923282801473</v>
      </c>
      <c r="Q336" s="28">
        <f t="shared" si="84"/>
        <v>21.619144612435328</v>
      </c>
      <c r="R336" s="28">
        <f t="shared" si="84"/>
        <v>21.121805661826951</v>
      </c>
      <c r="S336" s="28">
        <f t="shared" si="84"/>
        <v>18.490541417957555</v>
      </c>
      <c r="T336" s="28">
        <f t="shared" si="84"/>
        <v>18.608041284910804</v>
      </c>
      <c r="U336" s="28">
        <f t="shared" si="84"/>
        <v>18.667021404289045</v>
      </c>
      <c r="V336" s="28">
        <f t="shared" si="84"/>
        <v>18.724361625340102</v>
      </c>
      <c r="W336" s="28">
        <f t="shared" si="84"/>
        <v>18.864420993049936</v>
      </c>
      <c r="X336" s="28">
        <f t="shared" si="84"/>
        <v>18.999771799577022</v>
      </c>
      <c r="Y336" s="28">
        <f t="shared" si="84"/>
        <v>19.155053851314552</v>
      </c>
      <c r="Z336" s="28">
        <f t="shared" si="84"/>
        <v>19.285389594633891</v>
      </c>
      <c r="AA336" s="28">
        <f t="shared" si="84"/>
        <v>19.442022836092864</v>
      </c>
      <c r="AB336" s="28">
        <f t="shared" si="84"/>
        <v>19.556042835681847</v>
      </c>
      <c r="AC336" s="28">
        <f t="shared" si="84"/>
        <v>19.675981891326479</v>
      </c>
      <c r="AD336" s="28">
        <f t="shared" si="84"/>
        <v>19.897202740032366</v>
      </c>
      <c r="AE336" s="28">
        <f t="shared" si="84"/>
        <v>20.155624807886987</v>
      </c>
      <c r="AF336" s="28">
        <f t="shared" si="84"/>
        <v>20.423045067986479</v>
      </c>
      <c r="AG336" s="28">
        <f t="shared" si="84"/>
        <v>20.122488548289958</v>
      </c>
      <c r="AH336" s="28">
        <f t="shared" si="84"/>
        <v>-6.7894777188619928</v>
      </c>
      <c r="AI336" s="28">
        <f t="shared" si="84"/>
        <v>-6.7152117988933071</v>
      </c>
      <c r="AJ336" s="28">
        <f t="shared" si="84"/>
        <v>-6.6425365492848538</v>
      </c>
      <c r="AK336" s="28">
        <f t="shared" si="84"/>
        <v>-6.5713479103809611</v>
      </c>
      <c r="AL336" s="28">
        <f t="shared" si="84"/>
        <v>-6.5015494417857838</v>
      </c>
      <c r="AM336" s="28">
        <f t="shared" si="84"/>
        <v>-6.4330515855366484</v>
      </c>
      <c r="AN336" s="28">
        <f t="shared" si="84"/>
        <v>-6.3579230849055142</v>
      </c>
      <c r="AO336" s="28">
        <f t="shared" si="84"/>
        <v>-6.2841192058185475</v>
      </c>
      <c r="AP336" s="28">
        <f t="shared" si="84"/>
        <v>-6.2115625843192586</v>
      </c>
      <c r="AQ336" s="28">
        <f t="shared" si="84"/>
        <v>-6.1401809096937727</v>
      </c>
      <c r="AR336" s="28">
        <f t="shared" si="84"/>
        <v>-6.069906487857895</v>
      </c>
      <c r="AS336" s="28">
        <f t="shared" si="84"/>
        <v>-5.9933231004711045</v>
      </c>
      <c r="AT336" s="28">
        <f t="shared" si="84"/>
        <v>-5.917909419883066</v>
      </c>
      <c r="AU336" s="28">
        <f t="shared" si="84"/>
        <v>-5.8436052370026852</v>
      </c>
      <c r="AV336" s="28">
        <f t="shared" si="84"/>
        <v>-5.7703539001026636</v>
      </c>
      <c r="AW336" s="28">
        <f t="shared" si="84"/>
        <v>-5.6981020374621041</v>
      </c>
      <c r="AY336" s="85"/>
    </row>
    <row r="337" spans="1:51" x14ac:dyDescent="0.25">
      <c r="A337" s="102" t="str">
        <f t="shared" si="71"/>
        <v>GS Swine MMCH4</v>
      </c>
      <c r="B337" s="102" t="s">
        <v>1022</v>
      </c>
      <c r="C337" s="102" t="s">
        <v>1231</v>
      </c>
      <c r="D337" t="s">
        <v>15</v>
      </c>
      <c r="E337" t="s">
        <v>22</v>
      </c>
      <c r="F337" t="s">
        <v>21</v>
      </c>
      <c r="G337" t="s">
        <v>123</v>
      </c>
      <c r="H337" t="s">
        <v>1228</v>
      </c>
      <c r="I337" t="s">
        <v>121</v>
      </c>
      <c r="J337" t="s">
        <v>286</v>
      </c>
      <c r="K337" s="28">
        <f t="shared" si="83"/>
        <v>7.8527817196558602E-2</v>
      </c>
      <c r="L337" s="28">
        <f t="shared" si="84"/>
        <v>7.8279954841904253E-2</v>
      </c>
      <c r="M337" s="28">
        <f t="shared" si="84"/>
        <v>7.7460275902635017E-2</v>
      </c>
      <c r="N337" s="28">
        <f t="shared" si="84"/>
        <v>7.5868763219224714E-2</v>
      </c>
      <c r="O337" s="28">
        <f t="shared" si="84"/>
        <v>7.4346884841680436E-2</v>
      </c>
      <c r="P337" s="28">
        <f t="shared" si="84"/>
        <v>7.3279267609811918E-2</v>
      </c>
      <c r="Q337" s="28">
        <f t="shared" si="84"/>
        <v>7.2375084864660211E-2</v>
      </c>
      <c r="R337" s="28">
        <f t="shared" si="84"/>
        <v>7.0710127744382734E-2</v>
      </c>
      <c r="S337" s="28">
        <f t="shared" si="84"/>
        <v>6.1901362348463523E-2</v>
      </c>
      <c r="T337" s="28">
        <f t="shared" si="84"/>
        <v>6.2294720318669075E-2</v>
      </c>
      <c r="U337" s="28">
        <f t="shared" si="84"/>
        <v>6.2492169904295722E-2</v>
      </c>
      <c r="V337" s="28">
        <f t="shared" si="84"/>
        <v>6.2684129551133075E-2</v>
      </c>
      <c r="W337" s="28">
        <f t="shared" si="84"/>
        <v>6.3153010665803033E-2</v>
      </c>
      <c r="X337" s="28">
        <f t="shared" si="84"/>
        <v>6.360612878331004E-2</v>
      </c>
      <c r="Y337" s="28">
        <f t="shared" si="84"/>
        <v>6.4125971352196762E-2</v>
      </c>
      <c r="Z337" s="28">
        <f t="shared" si="84"/>
        <v>6.4562300386149837E-2</v>
      </c>
      <c r="AA337" s="28">
        <f t="shared" si="84"/>
        <v>6.5086666375019683E-2</v>
      </c>
      <c r="AB337" s="28">
        <f t="shared" si="84"/>
        <v>6.5468374684689551E-2</v>
      </c>
      <c r="AC337" s="28">
        <f t="shared" si="84"/>
        <v>6.5869898402971833E-2</v>
      </c>
      <c r="AD337" s="28">
        <f t="shared" si="84"/>
        <v>6.6610486339541322E-2</v>
      </c>
      <c r="AE337" s="28">
        <f t="shared" si="84"/>
        <v>6.7475613958009675E-2</v>
      </c>
      <c r="AF337" s="28">
        <f t="shared" si="84"/>
        <v>6.8370865105369938E-2</v>
      </c>
      <c r="AG337" s="28">
        <f t="shared" si="84"/>
        <v>6.7364682668015305E-2</v>
      </c>
      <c r="AH337" s="28">
        <f t="shared" si="84"/>
        <v>-2.2729346368621329E-2</v>
      </c>
      <c r="AI337" s="28">
        <f t="shared" si="84"/>
        <v>-2.2480724031491765E-2</v>
      </c>
      <c r="AJ337" s="28">
        <f t="shared" si="84"/>
        <v>-2.2237426831150792E-2</v>
      </c>
      <c r="AK337" s="28">
        <f t="shared" si="84"/>
        <v>-2.1999106403842797E-2</v>
      </c>
      <c r="AL337" s="28">
        <f t="shared" si="84"/>
        <v>-2.1765439893045996E-2</v>
      </c>
      <c r="AM337" s="28">
        <f t="shared" si="84"/>
        <v>-2.1536127482774822E-2</v>
      </c>
      <c r="AN337" s="28">
        <f t="shared" si="84"/>
        <v>-2.1284617457451926E-2</v>
      </c>
      <c r="AO337" s="28">
        <f t="shared" si="84"/>
        <v>-2.1037541908996236E-2</v>
      </c>
      <c r="AP337" s="28">
        <f t="shared" si="84"/>
        <v>-2.0794641843677117E-2</v>
      </c>
      <c r="AQ337" s="28">
        <f t="shared" ref="L337:AW344" si="85">AQ1406</f>
        <v>-2.0555675184661872E-2</v>
      </c>
      <c r="AR337" s="28">
        <f t="shared" si="85"/>
        <v>-2.0320415310353012E-2</v>
      </c>
      <c r="AS337" s="28">
        <f t="shared" si="85"/>
        <v>-2.0064034715250558E-2</v>
      </c>
      <c r="AT337" s="28">
        <f t="shared" si="85"/>
        <v>-1.9811569984089266E-2</v>
      </c>
      <c r="AU337" s="28">
        <f t="shared" si="85"/>
        <v>-1.9562819553016541E-2</v>
      </c>
      <c r="AV337" s="28">
        <f t="shared" si="85"/>
        <v>-1.9317593767277572E-2</v>
      </c>
      <c r="AW337" s="28">
        <f t="shared" si="85"/>
        <v>-1.907571395269729E-2</v>
      </c>
      <c r="AY337" s="85"/>
    </row>
    <row r="338" spans="1:51" x14ac:dyDescent="0.25">
      <c r="A338" s="102" t="str">
        <f t="shared" si="71"/>
        <v>GS Poultry MMCH4</v>
      </c>
      <c r="B338" s="102" t="s">
        <v>1022</v>
      </c>
      <c r="C338" s="102" t="s">
        <v>1232</v>
      </c>
      <c r="D338" t="s">
        <v>15</v>
      </c>
      <c r="E338" t="s">
        <v>22</v>
      </c>
      <c r="F338" t="s">
        <v>28</v>
      </c>
      <c r="G338" t="s">
        <v>131</v>
      </c>
      <c r="H338" t="s">
        <v>1228</v>
      </c>
      <c r="I338" t="s">
        <v>121</v>
      </c>
      <c r="J338" t="s">
        <v>286</v>
      </c>
      <c r="K338" s="28">
        <f t="shared" si="83"/>
        <v>0.55890468998141496</v>
      </c>
      <c r="L338" s="28">
        <f t="shared" si="85"/>
        <v>0.57100815822901829</v>
      </c>
      <c r="M338" s="28">
        <f t="shared" si="85"/>
        <v>0.58076061949579127</v>
      </c>
      <c r="N338" s="28">
        <f t="shared" si="85"/>
        <v>0.58713273634766394</v>
      </c>
      <c r="O338" s="28">
        <f t="shared" si="85"/>
        <v>0.59359134329353236</v>
      </c>
      <c r="P338" s="28">
        <f t="shared" si="85"/>
        <v>0.60191770622970409</v>
      </c>
      <c r="Q338" s="28">
        <f t="shared" si="85"/>
        <v>0.61082194696949044</v>
      </c>
      <c r="R338" s="28">
        <f t="shared" si="85"/>
        <v>0.61600023875173726</v>
      </c>
      <c r="S338" s="28">
        <f t="shared" si="85"/>
        <v>0.58621039395021657</v>
      </c>
      <c r="T338" s="28">
        <f t="shared" si="85"/>
        <v>0.59879553943192321</v>
      </c>
      <c r="U338" s="28">
        <f t="shared" si="85"/>
        <v>0.61054377323307962</v>
      </c>
      <c r="V338" s="28">
        <f t="shared" si="85"/>
        <v>0.62238475303160634</v>
      </c>
      <c r="W338" s="28">
        <f t="shared" si="85"/>
        <v>0.63582344873120078</v>
      </c>
      <c r="X338" s="28">
        <f t="shared" si="85"/>
        <v>0.6493737760577617</v>
      </c>
      <c r="Y338" s="28">
        <f t="shared" si="85"/>
        <v>0.66294132390021665</v>
      </c>
      <c r="Z338" s="28">
        <f t="shared" si="85"/>
        <v>0.67624718076087176</v>
      </c>
      <c r="AA338" s="28">
        <f t="shared" si="85"/>
        <v>0.69026013489965976</v>
      </c>
      <c r="AB338" s="28">
        <f t="shared" si="85"/>
        <v>0.70365733936336983</v>
      </c>
      <c r="AC338" s="28">
        <f t="shared" si="85"/>
        <v>0.71737227237227463</v>
      </c>
      <c r="AD338" s="28">
        <f t="shared" si="85"/>
        <v>0.7329223784090988</v>
      </c>
      <c r="AE338" s="28">
        <f t="shared" si="85"/>
        <v>0.74954420563381685</v>
      </c>
      <c r="AF338" s="28">
        <f t="shared" si="85"/>
        <v>0.76668896317960933</v>
      </c>
      <c r="AG338" s="28">
        <f t="shared" si="85"/>
        <v>0.77179208889456419</v>
      </c>
      <c r="AH338" s="28">
        <f t="shared" si="85"/>
        <v>0.1849915255736751</v>
      </c>
      <c r="AI338" s="28">
        <f t="shared" si="85"/>
        <v>0.18641334189853098</v>
      </c>
      <c r="AJ338" s="28">
        <f t="shared" si="85"/>
        <v>0.18784551012942485</v>
      </c>
      <c r="AK338" s="28">
        <f t="shared" si="85"/>
        <v>0.18928810909326649</v>
      </c>
      <c r="AL338" s="28">
        <f t="shared" si="85"/>
        <v>0.19074121797493229</v>
      </c>
      <c r="AM338" s="28">
        <f t="shared" si="85"/>
        <v>0.19220491634055523</v>
      </c>
      <c r="AN338" s="28">
        <f t="shared" si="85"/>
        <v>0.19345615565117347</v>
      </c>
      <c r="AO338" s="28">
        <f t="shared" si="85"/>
        <v>0.19471511856878457</v>
      </c>
      <c r="AP338" s="28">
        <f t="shared" si="85"/>
        <v>0.1959818552978623</v>
      </c>
      <c r="AQ338" s="28">
        <f t="shared" si="85"/>
        <v>0.19725641621087697</v>
      </c>
      <c r="AR338" s="28">
        <f t="shared" si="85"/>
        <v>0.19853885186147341</v>
      </c>
      <c r="AS338" s="28">
        <f t="shared" si="85"/>
        <v>0.19959990963889776</v>
      </c>
      <c r="AT338" s="28">
        <f t="shared" si="85"/>
        <v>0.20066634279480103</v>
      </c>
      <c r="AU338" s="28">
        <f t="shared" si="85"/>
        <v>0.20173818048457057</v>
      </c>
      <c r="AV338" s="28">
        <f t="shared" si="85"/>
        <v>0.20281545191264314</v>
      </c>
      <c r="AW338" s="28">
        <f t="shared" si="85"/>
        <v>0.20389818634036988</v>
      </c>
      <c r="AY338" s="85"/>
    </row>
    <row r="339" spans="1:51" x14ac:dyDescent="0.25">
      <c r="A339" s="102" t="str">
        <f t="shared" si="71"/>
        <v>GS Poultry MMCH4</v>
      </c>
      <c r="B339" s="102" t="s">
        <v>1022</v>
      </c>
      <c r="C339" s="102" t="s">
        <v>1232</v>
      </c>
      <c r="D339" t="s">
        <v>15</v>
      </c>
      <c r="E339" t="s">
        <v>22</v>
      </c>
      <c r="F339" t="s">
        <v>28</v>
      </c>
      <c r="G339" t="s">
        <v>132</v>
      </c>
      <c r="H339" t="s">
        <v>1228</v>
      </c>
      <c r="I339" t="s">
        <v>121</v>
      </c>
      <c r="J339" t="s">
        <v>286</v>
      </c>
      <c r="K339" s="28">
        <f t="shared" si="83"/>
        <v>2.2359130252274535</v>
      </c>
      <c r="L339" s="28">
        <f t="shared" si="85"/>
        <v>2.2721966041793928</v>
      </c>
      <c r="M339" s="28">
        <f t="shared" si="85"/>
        <v>2.2829699564071859</v>
      </c>
      <c r="N339" s="28">
        <f t="shared" si="85"/>
        <v>2.2588206467778473</v>
      </c>
      <c r="O339" s="28">
        <f t="shared" si="85"/>
        <v>2.2347231893932196</v>
      </c>
      <c r="P339" s="28">
        <f t="shared" si="85"/>
        <v>2.2277310720056978</v>
      </c>
      <c r="Q339" s="28">
        <f t="shared" si="85"/>
        <v>2.2262744989012253</v>
      </c>
      <c r="R339" s="28">
        <f t="shared" si="85"/>
        <v>2.1891395906785935</v>
      </c>
      <c r="S339" s="28">
        <f t="shared" si="85"/>
        <v>1.8240868851485099</v>
      </c>
      <c r="T339" s="28">
        <f t="shared" si="85"/>
        <v>1.8778928986212129</v>
      </c>
      <c r="U339" s="28">
        <f t="shared" si="85"/>
        <v>1.9228674992863757</v>
      </c>
      <c r="V339" s="28">
        <f t="shared" si="85"/>
        <v>1.9677329744500112</v>
      </c>
      <c r="W339" s="28">
        <f t="shared" si="85"/>
        <v>2.0261043748595982</v>
      </c>
      <c r="X339" s="28">
        <f t="shared" si="85"/>
        <v>2.0843005626552618</v>
      </c>
      <c r="Y339" s="28">
        <f t="shared" si="85"/>
        <v>2.1481960991761384</v>
      </c>
      <c r="Z339" s="28">
        <f t="shared" si="85"/>
        <v>2.208679923214985</v>
      </c>
      <c r="AA339" s="28">
        <f t="shared" si="85"/>
        <v>2.2743218882510807</v>
      </c>
      <c r="AB339" s="28">
        <f t="shared" si="85"/>
        <v>2.3335097773270199</v>
      </c>
      <c r="AC339" s="28">
        <f t="shared" si="85"/>
        <v>2.3944453885765151</v>
      </c>
      <c r="AD339" s="28">
        <f t="shared" si="85"/>
        <v>2.4754243930729589</v>
      </c>
      <c r="AE339" s="28">
        <f t="shared" si="85"/>
        <v>2.5643290582437364</v>
      </c>
      <c r="AF339" s="28">
        <f t="shared" si="85"/>
        <v>2.656369337897865</v>
      </c>
      <c r="AG339" s="28">
        <f t="shared" si="85"/>
        <v>2.6461200420455202</v>
      </c>
      <c r="AH339" s="28">
        <f t="shared" si="85"/>
        <v>-2.2948520289362109</v>
      </c>
      <c r="AI339" s="28">
        <f t="shared" si="85"/>
        <v>-2.2981400819551214</v>
      </c>
      <c r="AJ339" s="28">
        <f t="shared" si="85"/>
        <v>-2.3017063755775586</v>
      </c>
      <c r="AK339" s="28">
        <f t="shared" si="85"/>
        <v>-2.3055392982644372</v>
      </c>
      <c r="AL339" s="28">
        <f t="shared" si="85"/>
        <v>-2.3096281403729781</v>
      </c>
      <c r="AM339" s="28">
        <f t="shared" si="85"/>
        <v>-2.3139630075215134</v>
      </c>
      <c r="AN339" s="28">
        <f t="shared" si="85"/>
        <v>-2.3157471615489813</v>
      </c>
      <c r="AO339" s="28">
        <f t="shared" si="85"/>
        <v>-2.3177549214936723</v>
      </c>
      <c r="AP339" s="28">
        <f t="shared" si="85"/>
        <v>-2.3199776048516689</v>
      </c>
      <c r="AQ339" s="28">
        <f t="shared" si="85"/>
        <v>-2.3224071252966718</v>
      </c>
      <c r="AR339" s="28">
        <f t="shared" si="85"/>
        <v>-2.3250359414523776</v>
      </c>
      <c r="AS339" s="28">
        <f t="shared" si="85"/>
        <v>-2.3250730145110658</v>
      </c>
      <c r="AT339" s="28">
        <f t="shared" si="85"/>
        <v>-2.3252946526138598</v>
      </c>
      <c r="AU339" s="28">
        <f t="shared" si="85"/>
        <v>-2.3256940319059596</v>
      </c>
      <c r="AV339" s="28">
        <f t="shared" si="85"/>
        <v>-2.3262647465769009</v>
      </c>
      <c r="AW339" s="28">
        <f t="shared" si="85"/>
        <v>-2.3270007763918432</v>
      </c>
      <c r="AY339" s="85"/>
    </row>
    <row r="340" spans="1:51" x14ac:dyDescent="0.25">
      <c r="A340" s="102" t="str">
        <f t="shared" si="71"/>
        <v>GS Poultry MMCH4</v>
      </c>
      <c r="B340" s="102" t="s">
        <v>1022</v>
      </c>
      <c r="C340" s="102" t="s">
        <v>1232</v>
      </c>
      <c r="D340" t="s">
        <v>15</v>
      </c>
      <c r="E340" t="s">
        <v>22</v>
      </c>
      <c r="F340" t="s">
        <v>28</v>
      </c>
      <c r="G340" t="s">
        <v>134</v>
      </c>
      <c r="H340" t="s">
        <v>1228</v>
      </c>
      <c r="I340" t="s">
        <v>121</v>
      </c>
      <c r="J340" t="s">
        <v>286</v>
      </c>
      <c r="K340" s="28">
        <f t="shared" si="83"/>
        <v>2.3287695415892307E-2</v>
      </c>
      <c r="L340" s="28">
        <f t="shared" si="85"/>
        <v>2.3792006592875784E-2</v>
      </c>
      <c r="M340" s="28">
        <f t="shared" si="85"/>
        <v>2.4198359145657992E-2</v>
      </c>
      <c r="N340" s="28">
        <f t="shared" si="85"/>
        <v>2.4463864014486018E-2</v>
      </c>
      <c r="O340" s="28">
        <f t="shared" si="85"/>
        <v>2.4732972637230538E-2</v>
      </c>
      <c r="P340" s="28">
        <f t="shared" si="85"/>
        <v>2.5079904426237691E-2</v>
      </c>
      <c r="Q340" s="28">
        <f t="shared" si="85"/>
        <v>2.5450914457062126E-2</v>
      </c>
      <c r="R340" s="28">
        <f t="shared" si="85"/>
        <v>2.5666676614655742E-2</v>
      </c>
      <c r="S340" s="28">
        <f t="shared" si="85"/>
        <v>2.4425433081259044E-2</v>
      </c>
      <c r="T340" s="28">
        <f t="shared" si="85"/>
        <v>2.4949814142996823E-2</v>
      </c>
      <c r="U340" s="28">
        <f t="shared" si="85"/>
        <v>2.5439323884711679E-2</v>
      </c>
      <c r="V340" s="28">
        <f t="shared" si="85"/>
        <v>2.5932698042983617E-2</v>
      </c>
      <c r="W340" s="28">
        <f t="shared" si="85"/>
        <v>2.6492643697133385E-2</v>
      </c>
      <c r="X340" s="28">
        <f t="shared" si="85"/>
        <v>2.7057240669073435E-2</v>
      </c>
      <c r="Y340" s="28">
        <f t="shared" si="85"/>
        <v>2.7622555162509051E-2</v>
      </c>
      <c r="Z340" s="28">
        <f t="shared" si="85"/>
        <v>2.8176965865036346E-2</v>
      </c>
      <c r="AA340" s="28">
        <f t="shared" si="85"/>
        <v>2.8760838954152518E-2</v>
      </c>
      <c r="AB340" s="28">
        <f t="shared" si="85"/>
        <v>2.9319055806807104E-2</v>
      </c>
      <c r="AC340" s="28">
        <f t="shared" si="85"/>
        <v>2.9890511348844809E-2</v>
      </c>
      <c r="AD340" s="28">
        <f t="shared" si="85"/>
        <v>3.0538432433712476E-2</v>
      </c>
      <c r="AE340" s="28">
        <f t="shared" si="85"/>
        <v>3.123100856807573E-2</v>
      </c>
      <c r="AF340" s="28">
        <f t="shared" si="85"/>
        <v>3.1945373465817078E-2</v>
      </c>
      <c r="AG340" s="28">
        <f t="shared" si="85"/>
        <v>3.2158003703940202E-2</v>
      </c>
      <c r="AH340" s="28">
        <f t="shared" si="85"/>
        <v>7.7079802322364711E-3</v>
      </c>
      <c r="AI340" s="28">
        <f t="shared" si="85"/>
        <v>7.7672225791054648E-3</v>
      </c>
      <c r="AJ340" s="28">
        <f t="shared" si="85"/>
        <v>7.8268962553927103E-3</v>
      </c>
      <c r="AK340" s="28">
        <f t="shared" si="85"/>
        <v>7.8870045455527778E-3</v>
      </c>
      <c r="AL340" s="28">
        <f t="shared" si="85"/>
        <v>7.9475507489555203E-3</v>
      </c>
      <c r="AM340" s="28">
        <f t="shared" si="85"/>
        <v>8.0085381808564764E-3</v>
      </c>
      <c r="AN340" s="28">
        <f t="shared" si="85"/>
        <v>8.0606731521322347E-3</v>
      </c>
      <c r="AO340" s="28">
        <f t="shared" si="85"/>
        <v>8.1131299403660317E-3</v>
      </c>
      <c r="AP340" s="28">
        <f t="shared" si="85"/>
        <v>8.1659106374109367E-3</v>
      </c>
      <c r="AQ340" s="28">
        <f t="shared" si="85"/>
        <v>8.2190173421198831E-3</v>
      </c>
      <c r="AR340" s="28">
        <f t="shared" si="85"/>
        <v>8.2724521608947329E-3</v>
      </c>
      <c r="AS340" s="28">
        <f t="shared" si="85"/>
        <v>8.3166629016207475E-3</v>
      </c>
      <c r="AT340" s="28">
        <f t="shared" si="85"/>
        <v>8.3610976164500486E-3</v>
      </c>
      <c r="AU340" s="28">
        <f t="shared" si="85"/>
        <v>8.4057575201904496E-3</v>
      </c>
      <c r="AV340" s="28">
        <f t="shared" si="85"/>
        <v>8.4506438296934709E-3</v>
      </c>
      <c r="AW340" s="28">
        <f t="shared" si="85"/>
        <v>8.495757764182087E-3</v>
      </c>
      <c r="AY340" s="85"/>
    </row>
    <row r="341" spans="1:51" x14ac:dyDescent="0.25">
      <c r="A341" s="102" t="str">
        <f t="shared" si="71"/>
        <v>GS Poultry MMCH4</v>
      </c>
      <c r="B341" s="102" t="s">
        <v>1022</v>
      </c>
      <c r="C341" s="102" t="s">
        <v>1232</v>
      </c>
      <c r="D341" t="s">
        <v>15</v>
      </c>
      <c r="E341" t="s">
        <v>22</v>
      </c>
      <c r="F341" t="s">
        <v>28</v>
      </c>
      <c r="G341" t="s">
        <v>133</v>
      </c>
      <c r="H341" t="s">
        <v>1228</v>
      </c>
      <c r="I341" t="s">
        <v>121</v>
      </c>
      <c r="J341" t="s">
        <v>286</v>
      </c>
      <c r="K341" s="28">
        <f t="shared" si="83"/>
        <v>9.3163042717810632E-2</v>
      </c>
      <c r="L341" s="28">
        <f t="shared" si="85"/>
        <v>9.4674858507474813E-2</v>
      </c>
      <c r="M341" s="28">
        <f t="shared" si="85"/>
        <v>9.5123748183632839E-2</v>
      </c>
      <c r="N341" s="28">
        <f t="shared" si="85"/>
        <v>9.411752694907706E-2</v>
      </c>
      <c r="O341" s="28">
        <f t="shared" si="85"/>
        <v>9.3113466224717556E-2</v>
      </c>
      <c r="P341" s="28">
        <f t="shared" si="85"/>
        <v>9.2822128000237508E-2</v>
      </c>
      <c r="Q341" s="28">
        <f t="shared" si="85"/>
        <v>9.2761437454217818E-2</v>
      </c>
      <c r="R341" s="28">
        <f t="shared" si="85"/>
        <v>9.1214149611608147E-2</v>
      </c>
      <c r="S341" s="28">
        <f t="shared" si="85"/>
        <v>7.6003620214521325E-2</v>
      </c>
      <c r="T341" s="28">
        <f t="shared" si="85"/>
        <v>7.8245537442550611E-2</v>
      </c>
      <c r="U341" s="28">
        <f t="shared" si="85"/>
        <v>8.0119479136932389E-2</v>
      </c>
      <c r="V341" s="28">
        <f t="shared" si="85"/>
        <v>8.1988873935417206E-2</v>
      </c>
      <c r="W341" s="28">
        <f t="shared" si="85"/>
        <v>8.4421015619150011E-2</v>
      </c>
      <c r="X341" s="28">
        <f t="shared" si="85"/>
        <v>8.6845856777302652E-2</v>
      </c>
      <c r="Y341" s="28">
        <f t="shared" si="85"/>
        <v>8.9508170799005846E-2</v>
      </c>
      <c r="Z341" s="28">
        <f t="shared" si="85"/>
        <v>9.2028330133957781E-2</v>
      </c>
      <c r="AA341" s="28">
        <f t="shared" si="85"/>
        <v>9.4763412010461776E-2</v>
      </c>
      <c r="AB341" s="28">
        <f t="shared" si="85"/>
        <v>9.7229574055292575E-2</v>
      </c>
      <c r="AC341" s="28">
        <f t="shared" si="85"/>
        <v>9.9768557857354889E-2</v>
      </c>
      <c r="AD341" s="28">
        <f t="shared" si="85"/>
        <v>0.10314268304470672</v>
      </c>
      <c r="AE341" s="28">
        <f t="shared" si="85"/>
        <v>0.10684704409348912</v>
      </c>
      <c r="AF341" s="28">
        <f t="shared" si="85"/>
        <v>0.11068205574574447</v>
      </c>
      <c r="AG341" s="28">
        <f t="shared" si="85"/>
        <v>0.11025500175189677</v>
      </c>
      <c r="AH341" s="28">
        <f t="shared" si="85"/>
        <v>-9.5618834539008879E-2</v>
      </c>
      <c r="AI341" s="28">
        <f t="shared" si="85"/>
        <v>-9.5755836748130152E-2</v>
      </c>
      <c r="AJ341" s="28">
        <f t="shared" si="85"/>
        <v>-9.5904432315731702E-2</v>
      </c>
      <c r="AK341" s="28">
        <f t="shared" si="85"/>
        <v>-9.6064137427684965E-2</v>
      </c>
      <c r="AL341" s="28">
        <f t="shared" si="85"/>
        <v>-9.6234505848874163E-2</v>
      </c>
      <c r="AM341" s="28">
        <f t="shared" si="85"/>
        <v>-9.641512531339648E-2</v>
      </c>
      <c r="AN341" s="28">
        <f t="shared" si="85"/>
        <v>-9.6489465064540994E-2</v>
      </c>
      <c r="AO341" s="28">
        <f t="shared" si="85"/>
        <v>-9.6573121728903102E-2</v>
      </c>
      <c r="AP341" s="28">
        <f t="shared" si="85"/>
        <v>-9.6665733535486312E-2</v>
      </c>
      <c r="AQ341" s="28">
        <f t="shared" si="85"/>
        <v>-9.6766963554028085E-2</v>
      </c>
      <c r="AR341" s="28">
        <f t="shared" si="85"/>
        <v>-9.6876497560515806E-2</v>
      </c>
      <c r="AS341" s="28">
        <f t="shared" si="85"/>
        <v>-9.6878042271294512E-2</v>
      </c>
      <c r="AT341" s="28">
        <f t="shared" si="85"/>
        <v>-9.6887277192244256E-2</v>
      </c>
      <c r="AU341" s="28">
        <f t="shared" si="85"/>
        <v>-9.6903917996081751E-2</v>
      </c>
      <c r="AV341" s="28">
        <f t="shared" si="85"/>
        <v>-9.6927697774037633E-2</v>
      </c>
      <c r="AW341" s="28">
        <f t="shared" si="85"/>
        <v>-9.6958365682993541E-2</v>
      </c>
      <c r="AY341" s="85"/>
    </row>
    <row r="342" spans="1:51" x14ac:dyDescent="0.25">
      <c r="A342" s="102" t="str">
        <f t="shared" si="71"/>
        <v>GS Cattle MMN2O</v>
      </c>
      <c r="B342" s="102" t="s">
        <v>1022</v>
      </c>
      <c r="C342" s="102" t="s">
        <v>1233</v>
      </c>
      <c r="D342" t="s">
        <v>15</v>
      </c>
      <c r="E342" t="s">
        <v>657</v>
      </c>
      <c r="F342" t="s">
        <v>6</v>
      </c>
      <c r="G342" t="s">
        <v>136</v>
      </c>
      <c r="H342" t="s">
        <v>1228</v>
      </c>
      <c r="I342" t="s">
        <v>139</v>
      </c>
      <c r="J342" t="s">
        <v>287</v>
      </c>
      <c r="K342" s="28">
        <f t="shared" si="83"/>
        <v>5.9581863535910565E-2</v>
      </c>
      <c r="L342" s="28">
        <f t="shared" si="85"/>
        <v>5.9952472777501202E-2</v>
      </c>
      <c r="M342" s="28">
        <f t="shared" si="85"/>
        <v>6.0207271736418301E-2</v>
      </c>
      <c r="N342" s="28">
        <f t="shared" si="85"/>
        <v>6.0287180440683194E-2</v>
      </c>
      <c r="O342" s="28">
        <f t="shared" si="85"/>
        <v>6.0395284993714014E-2</v>
      </c>
      <c r="P342" s="28">
        <f t="shared" si="85"/>
        <v>6.0632075036082048E-2</v>
      </c>
      <c r="Q342" s="28">
        <f t="shared" si="85"/>
        <v>6.0915962278620638E-2</v>
      </c>
      <c r="R342" s="28">
        <f t="shared" si="85"/>
        <v>6.1001244967563928E-2</v>
      </c>
      <c r="S342" s="28">
        <f t="shared" si="85"/>
        <v>5.9128520448870917E-2</v>
      </c>
      <c r="T342" s="28">
        <f t="shared" si="85"/>
        <v>5.961554215328714E-2</v>
      </c>
      <c r="U342" s="28">
        <f t="shared" si="85"/>
        <v>6.0062127225246474E-2</v>
      </c>
      <c r="V342" s="28">
        <f t="shared" si="85"/>
        <v>6.0520025735654244E-2</v>
      </c>
      <c r="W342" s="28">
        <f t="shared" si="85"/>
        <v>6.107162678051329E-2</v>
      </c>
      <c r="X342" s="28">
        <f t="shared" si="85"/>
        <v>6.1633578287442058E-2</v>
      </c>
      <c r="Y342" s="28">
        <f t="shared" si="85"/>
        <v>6.2180760814939798E-2</v>
      </c>
      <c r="Z342" s="28">
        <f t="shared" si="85"/>
        <v>6.2716996536282391E-2</v>
      </c>
      <c r="AA342" s="28">
        <f t="shared" si="85"/>
        <v>6.3294581219461896E-2</v>
      </c>
      <c r="AB342" s="28">
        <f t="shared" si="85"/>
        <v>6.3841542561015929E-2</v>
      </c>
      <c r="AC342" s="28">
        <f t="shared" si="85"/>
        <v>6.4408123024693842E-2</v>
      </c>
      <c r="AD342" s="28">
        <f t="shared" si="85"/>
        <v>6.5059072276654292E-2</v>
      </c>
      <c r="AE342" s="28">
        <f t="shared" si="85"/>
        <v>6.5768024439382053E-2</v>
      </c>
      <c r="AF342" s="28">
        <f t="shared" si="85"/>
        <v>6.6505116559025759E-2</v>
      </c>
      <c r="AG342" s="28">
        <f t="shared" si="85"/>
        <v>6.6608077063784327E-2</v>
      </c>
      <c r="AH342" s="28">
        <f t="shared" si="85"/>
        <v>3.5661314599783112E-2</v>
      </c>
      <c r="AI342" s="28">
        <f t="shared" si="85"/>
        <v>3.5687543278982381E-2</v>
      </c>
      <c r="AJ342" s="28">
        <f t="shared" si="85"/>
        <v>3.5717217411916767E-2</v>
      </c>
      <c r="AK342" s="28">
        <f t="shared" si="85"/>
        <v>3.5750206038134905E-2</v>
      </c>
      <c r="AL342" s="28">
        <f t="shared" si="85"/>
        <v>3.5786388283243133E-2</v>
      </c>
      <c r="AM342" s="28">
        <f t="shared" si="85"/>
        <v>3.5825652402917518E-2</v>
      </c>
      <c r="AN342" s="28">
        <f t="shared" si="85"/>
        <v>3.5842556779576207E-2</v>
      </c>
      <c r="AO342" s="28">
        <f t="shared" si="85"/>
        <v>3.5862175171675115E-2</v>
      </c>
      <c r="AP342" s="28">
        <f t="shared" si="85"/>
        <v>3.588441278699845E-2</v>
      </c>
      <c r="AQ342" s="28">
        <f t="shared" si="85"/>
        <v>3.5909181301646116E-2</v>
      </c>
      <c r="AR342" s="28">
        <f t="shared" si="85"/>
        <v>3.5936398311145284E-2</v>
      </c>
      <c r="AS342" s="28">
        <f t="shared" si="85"/>
        <v>3.5940375653704157E-2</v>
      </c>
      <c r="AT342" s="28">
        <f t="shared" si="85"/>
        <v>3.5946523647611327E-2</v>
      </c>
      <c r="AU342" s="28">
        <f t="shared" si="85"/>
        <v>3.5954770346244613E-2</v>
      </c>
      <c r="AV342" s="28">
        <f t="shared" si="85"/>
        <v>3.5965048185906283E-2</v>
      </c>
      <c r="AW342" s="28">
        <f t="shared" si="85"/>
        <v>3.5977293649132408E-2</v>
      </c>
      <c r="AY342" s="85"/>
    </row>
    <row r="343" spans="1:51" x14ac:dyDescent="0.25">
      <c r="A343" s="102" t="str">
        <f t="shared" si="71"/>
        <v>GS Cattle MMN2O</v>
      </c>
      <c r="B343" s="102" t="s">
        <v>1022</v>
      </c>
      <c r="C343" s="102" t="s">
        <v>1233</v>
      </c>
      <c r="D343" t="s">
        <v>15</v>
      </c>
      <c r="E343" t="s">
        <v>657</v>
      </c>
      <c r="F343" t="s">
        <v>6</v>
      </c>
      <c r="G343" t="s">
        <v>137</v>
      </c>
      <c r="H343" t="s">
        <v>1228</v>
      </c>
      <c r="I343" t="s">
        <v>139</v>
      </c>
      <c r="J343" t="s">
        <v>287</v>
      </c>
      <c r="K343" s="28">
        <f t="shared" si="83"/>
        <v>0.26088706231871722</v>
      </c>
      <c r="L343" s="28">
        <f t="shared" si="85"/>
        <v>0.2625098238533321</v>
      </c>
      <c r="M343" s="28">
        <f t="shared" si="85"/>
        <v>0.26362549476271357</v>
      </c>
      <c r="N343" s="28">
        <f t="shared" si="85"/>
        <v>0.2639753855830434</v>
      </c>
      <c r="O343" s="28">
        <f t="shared" si="85"/>
        <v>0.26444873565284266</v>
      </c>
      <c r="P343" s="28">
        <f t="shared" si="85"/>
        <v>0.26548555214151259</v>
      </c>
      <c r="Q343" s="28">
        <f t="shared" si="85"/>
        <v>0.26672858994429993</v>
      </c>
      <c r="R343" s="28">
        <f t="shared" si="85"/>
        <v>0.26710201146663365</v>
      </c>
      <c r="S343" s="28">
        <f t="shared" si="85"/>
        <v>0.2589020397097988</v>
      </c>
      <c r="T343" s="28">
        <f t="shared" si="85"/>
        <v>0.26103452859501175</v>
      </c>
      <c r="U343" s="28">
        <f t="shared" si="85"/>
        <v>0.26298996034193323</v>
      </c>
      <c r="V343" s="28">
        <f t="shared" si="85"/>
        <v>0.26499492947399811</v>
      </c>
      <c r="W343" s="28">
        <f t="shared" si="85"/>
        <v>0.26741018753450635</v>
      </c>
      <c r="X343" s="28">
        <f t="shared" si="85"/>
        <v>0.26987076646084124</v>
      </c>
      <c r="Y343" s="28">
        <f t="shared" si="85"/>
        <v>0.27226667745924399</v>
      </c>
      <c r="Z343" s="28">
        <f t="shared" si="85"/>
        <v>0.27461465642044425</v>
      </c>
      <c r="AA343" s="28">
        <f t="shared" si="85"/>
        <v>0.27714368727467675</v>
      </c>
      <c r="AB343" s="28">
        <f t="shared" si="85"/>
        <v>0.2795386297811987</v>
      </c>
      <c r="AC343" s="28">
        <f t="shared" si="85"/>
        <v>0.2820194772063051</v>
      </c>
      <c r="AD343" s="28">
        <f t="shared" si="85"/>
        <v>0.28486974451894415</v>
      </c>
      <c r="AE343" s="28">
        <f t="shared" si="85"/>
        <v>0.28797398524057027</v>
      </c>
      <c r="AF343" s="28">
        <f t="shared" si="85"/>
        <v>0.2912014404818154</v>
      </c>
      <c r="AG343" s="28">
        <f t="shared" si="85"/>
        <v>0.29165226665654759</v>
      </c>
      <c r="AH343" s="28">
        <f t="shared" si="85"/>
        <v>0.1561477780693053</v>
      </c>
      <c r="AI343" s="28">
        <f t="shared" si="85"/>
        <v>0.15626262380689576</v>
      </c>
      <c r="AJ343" s="28">
        <f t="shared" si="85"/>
        <v>0.1563925559189292</v>
      </c>
      <c r="AK343" s="28">
        <f t="shared" si="85"/>
        <v>0.1565370009777648</v>
      </c>
      <c r="AL343" s="28">
        <f t="shared" si="85"/>
        <v>0.15669542971889827</v>
      </c>
      <c r="AM343" s="28">
        <f t="shared" si="85"/>
        <v>0.156867352855042</v>
      </c>
      <c r="AN343" s="28">
        <f t="shared" si="85"/>
        <v>0.15694137090189544</v>
      </c>
      <c r="AO343" s="28">
        <f t="shared" si="85"/>
        <v>0.15702727262396923</v>
      </c>
      <c r="AP343" s="28">
        <f t="shared" si="85"/>
        <v>0.15712464296102122</v>
      </c>
      <c r="AQ343" s="28">
        <f t="shared" si="85"/>
        <v>0.15723309517518419</v>
      </c>
      <c r="AR343" s="28">
        <f t="shared" si="85"/>
        <v>0.15735226844758546</v>
      </c>
      <c r="AS343" s="28">
        <f t="shared" si="85"/>
        <v>0.15736968376752411</v>
      </c>
      <c r="AT343" s="28">
        <f t="shared" si="85"/>
        <v>0.15739660357120949</v>
      </c>
      <c r="AU343" s="28">
        <f t="shared" si="85"/>
        <v>0.15743271283084972</v>
      </c>
      <c r="AV343" s="28">
        <f t="shared" si="85"/>
        <v>0.15747771570986671</v>
      </c>
      <c r="AW343" s="28">
        <f t="shared" si="85"/>
        <v>0.15753133408865197</v>
      </c>
      <c r="AY343" s="85"/>
    </row>
    <row r="344" spans="1:51" x14ac:dyDescent="0.25">
      <c r="A344" s="102" t="str">
        <f t="shared" si="71"/>
        <v>GS Cattle MMN2O</v>
      </c>
      <c r="B344" s="102" t="s">
        <v>1022</v>
      </c>
      <c r="C344" s="102" t="s">
        <v>1233</v>
      </c>
      <c r="D344" t="s">
        <v>15</v>
      </c>
      <c r="E344" t="s">
        <v>657</v>
      </c>
      <c r="F344" t="s">
        <v>67</v>
      </c>
      <c r="G344" t="s">
        <v>307</v>
      </c>
      <c r="H344" t="s">
        <v>1228</v>
      </c>
      <c r="I344" t="s">
        <v>139</v>
      </c>
      <c r="J344" t="s">
        <v>287</v>
      </c>
      <c r="K344" s="28">
        <f t="shared" si="83"/>
        <v>1.1607933720950987E-2</v>
      </c>
      <c r="L344" s="28">
        <f t="shared" si="85"/>
        <v>1.1680137026746603E-2</v>
      </c>
      <c r="M344" s="28">
        <f t="shared" si="85"/>
        <v>1.1729777794116936E-2</v>
      </c>
      <c r="N344" s="28">
        <f t="shared" si="85"/>
        <v>1.1745345869497372E-2</v>
      </c>
      <c r="O344" s="28">
        <f t="shared" si="85"/>
        <v>1.1766407152445642E-2</v>
      </c>
      <c r="P344" s="28">
        <f t="shared" si="85"/>
        <v>1.1812539363733939E-2</v>
      </c>
      <c r="Q344" s="28">
        <f t="shared" si="85"/>
        <v>1.186784720575243E-2</v>
      </c>
      <c r="R344" s="28">
        <f t="shared" si="85"/>
        <v>1.1884462258421965E-2</v>
      </c>
      <c r="S344" s="28">
        <f t="shared" si="85"/>
        <v>1.1519611936520126E-2</v>
      </c>
      <c r="T344" s="28">
        <f t="shared" si="85"/>
        <v>1.1614495099449744E-2</v>
      </c>
      <c r="U344" s="28">
        <f t="shared" si="85"/>
        <v>1.1701500265257389E-2</v>
      </c>
      <c r="V344" s="28">
        <f t="shared" si="85"/>
        <v>1.1790709552182964E-2</v>
      </c>
      <c r="W344" s="28">
        <f t="shared" si="85"/>
        <v>1.189817427364593E-2</v>
      </c>
      <c r="X344" s="28">
        <f t="shared" si="85"/>
        <v>1.2007655506016015E-2</v>
      </c>
      <c r="Y344" s="28">
        <f t="shared" si="85"/>
        <v>1.2114259397460733E-2</v>
      </c>
      <c r="Z344" s="28">
        <f t="shared" si="85"/>
        <v>1.221873059629122E-2</v>
      </c>
      <c r="AA344" s="28">
        <f t="shared" si="85"/>
        <v>1.2331257535240406E-2</v>
      </c>
      <c r="AB344" s="28">
        <f t="shared" si="85"/>
        <v>1.2437818334515426E-2</v>
      </c>
      <c r="AC344" s="28">
        <f t="shared" si="85"/>
        <v>1.2548201395394263E-2</v>
      </c>
      <c r="AD344" s="28">
        <f t="shared" si="85"/>
        <v>1.2675021459823859E-2</v>
      </c>
      <c r="AE344" s="28">
        <f t="shared" si="85"/>
        <v>1.2813141841226641E-2</v>
      </c>
      <c r="AF344" s="28">
        <f t="shared" ref="L344:AW351" si="86">AF1413</f>
        <v>1.2956744541164057E-2</v>
      </c>
      <c r="AG344" s="28">
        <f t="shared" si="86"/>
        <v>1.2976803643786663E-2</v>
      </c>
      <c r="AH344" s="28">
        <f t="shared" si="86"/>
        <v>6.9476540629980453E-3</v>
      </c>
      <c r="AI344" s="28">
        <f t="shared" si="86"/>
        <v>6.9527640201505212E-3</v>
      </c>
      <c r="AJ344" s="28">
        <f t="shared" si="86"/>
        <v>6.9585452318798495E-3</v>
      </c>
      <c r="AK344" s="28">
        <f t="shared" si="86"/>
        <v>6.9649721840421407E-3</v>
      </c>
      <c r="AL344" s="28">
        <f t="shared" si="86"/>
        <v>6.9720213274922825E-3</v>
      </c>
      <c r="AM344" s="28">
        <f t="shared" si="86"/>
        <v>6.9796708918352492E-3</v>
      </c>
      <c r="AN344" s="28">
        <f t="shared" si="86"/>
        <v>6.9829642578396519E-3</v>
      </c>
      <c r="AO344" s="28">
        <f t="shared" si="86"/>
        <v>6.986786377217614E-3</v>
      </c>
      <c r="AP344" s="28">
        <f t="shared" si="86"/>
        <v>6.9911187822393143E-3</v>
      </c>
      <c r="AQ344" s="28">
        <f t="shared" si="86"/>
        <v>6.9959442653533691E-3</v>
      </c>
      <c r="AR344" s="28">
        <f t="shared" si="86"/>
        <v>7.0012467722505977E-3</v>
      </c>
      <c r="AS344" s="28">
        <f t="shared" si="86"/>
        <v>7.0020216511494588E-3</v>
      </c>
      <c r="AT344" s="28">
        <f t="shared" si="86"/>
        <v>7.00321942345056E-3</v>
      </c>
      <c r="AU344" s="28">
        <f t="shared" si="86"/>
        <v>7.0048260722774189E-3</v>
      </c>
      <c r="AV344" s="28">
        <f t="shared" si="86"/>
        <v>7.0068284346492373E-3</v>
      </c>
      <c r="AW344" s="28">
        <f t="shared" si="86"/>
        <v>7.0092141358857468E-3</v>
      </c>
      <c r="AY344" s="85"/>
    </row>
    <row r="345" spans="1:51" x14ac:dyDescent="0.25">
      <c r="A345" s="102" t="str">
        <f t="shared" si="71"/>
        <v>GS Cattle MMN2O</v>
      </c>
      <c r="B345" s="102" t="s">
        <v>1022</v>
      </c>
      <c r="C345" s="102" t="s">
        <v>1233</v>
      </c>
      <c r="D345" t="s">
        <v>15</v>
      </c>
      <c r="E345" t="s">
        <v>657</v>
      </c>
      <c r="F345" t="s">
        <v>67</v>
      </c>
      <c r="G345" t="s">
        <v>122</v>
      </c>
      <c r="H345" t="s">
        <v>1228</v>
      </c>
      <c r="I345" t="s">
        <v>139</v>
      </c>
      <c r="J345" t="s">
        <v>287</v>
      </c>
      <c r="K345" s="28">
        <f t="shared" si="83"/>
        <v>0.52988033061170758</v>
      </c>
      <c r="L345" s="28">
        <f t="shared" si="86"/>
        <v>0.52636805175151047</v>
      </c>
      <c r="M345" s="28">
        <f t="shared" si="86"/>
        <v>0.51896264714173934</v>
      </c>
      <c r="N345" s="28">
        <f t="shared" si="86"/>
        <v>0.50647981142977161</v>
      </c>
      <c r="O345" s="28">
        <f t="shared" si="86"/>
        <v>0.4943686614451126</v>
      </c>
      <c r="P345" s="28">
        <f t="shared" si="86"/>
        <v>0.48505348723916247</v>
      </c>
      <c r="Q345" s="28">
        <f t="shared" si="86"/>
        <v>0.47662784045454271</v>
      </c>
      <c r="R345" s="28">
        <f t="shared" si="86"/>
        <v>0.46338055897739389</v>
      </c>
      <c r="S345" s="28">
        <f t="shared" si="86"/>
        <v>0.40641283743592205</v>
      </c>
      <c r="T345" s="28">
        <f t="shared" si="86"/>
        <v>0.41028660340184542</v>
      </c>
      <c r="U345" s="28">
        <f t="shared" si="86"/>
        <v>0.41290787540039242</v>
      </c>
      <c r="V345" s="28">
        <f t="shared" si="86"/>
        <v>0.41544388868051429</v>
      </c>
      <c r="W345" s="28">
        <f t="shared" si="86"/>
        <v>0.41963784467016801</v>
      </c>
      <c r="X345" s="28">
        <f t="shared" si="86"/>
        <v>0.42369357816507769</v>
      </c>
      <c r="Y345" s="28">
        <f t="shared" si="86"/>
        <v>0.42795148955175888</v>
      </c>
      <c r="Z345" s="28">
        <f t="shared" si="86"/>
        <v>0.43165837799817441</v>
      </c>
      <c r="AA345" s="28">
        <f t="shared" si="86"/>
        <v>0.43587731971405297</v>
      </c>
      <c r="AB345" s="28">
        <f t="shared" si="86"/>
        <v>0.43917878455229692</v>
      </c>
      <c r="AC345" s="28">
        <f t="shared" si="86"/>
        <v>0.44257083604017933</v>
      </c>
      <c r="AD345" s="28">
        <f t="shared" si="86"/>
        <v>0.44415072955507112</v>
      </c>
      <c r="AE345" s="28">
        <f t="shared" si="86"/>
        <v>0.44631708410431642</v>
      </c>
      <c r="AF345" s="28">
        <f t="shared" si="86"/>
        <v>0.44847507790025098</v>
      </c>
      <c r="AG345" s="28">
        <f t="shared" si="86"/>
        <v>0.43896382192914674</v>
      </c>
      <c r="AH345" s="28">
        <f t="shared" si="86"/>
        <v>-0.10354549398732707</v>
      </c>
      <c r="AI345" s="28">
        <f t="shared" si="86"/>
        <v>-0.10114359865651981</v>
      </c>
      <c r="AJ345" s="28">
        <f t="shared" si="86"/>
        <v>-9.8779900999145701E-2</v>
      </c>
      <c r="AK345" s="28">
        <f t="shared" si="86"/>
        <v>-9.645240042559923E-2</v>
      </c>
      <c r="AL345" s="28">
        <f t="shared" si="86"/>
        <v>-9.4159234659003305E-2</v>
      </c>
      <c r="AM345" s="28">
        <f t="shared" si="86"/>
        <v>-9.1898666918572763E-2</v>
      </c>
      <c r="AN345" s="28">
        <f t="shared" si="86"/>
        <v>-9.0065857844413774E-2</v>
      </c>
      <c r="AO345" s="28">
        <f t="shared" si="86"/>
        <v>-8.8260731137636633E-2</v>
      </c>
      <c r="AP345" s="28">
        <f t="shared" si="86"/>
        <v>-8.6482032370585105E-2</v>
      </c>
      <c r="AQ345" s="28">
        <f t="shared" si="86"/>
        <v>-8.4728585134525733E-2</v>
      </c>
      <c r="AR345" s="28">
        <f t="shared" si="86"/>
        <v>-8.2999284570590512E-2</v>
      </c>
      <c r="AS345" s="28">
        <f t="shared" si="86"/>
        <v>-8.1237842076259073E-2</v>
      </c>
      <c r="AT345" s="28">
        <f t="shared" si="86"/>
        <v>-7.9500621662589185E-2</v>
      </c>
      <c r="AU345" s="28">
        <f t="shared" si="86"/>
        <v>-7.7786670470567892E-2</v>
      </c>
      <c r="AV345" s="28">
        <f t="shared" si="86"/>
        <v>-7.609508917583023E-2</v>
      </c>
      <c r="AW345" s="28">
        <f t="shared" si="86"/>
        <v>-7.4425027988165984E-2</v>
      </c>
      <c r="AY345" s="85"/>
    </row>
    <row r="346" spans="1:51" x14ac:dyDescent="0.25">
      <c r="A346" s="102" t="str">
        <f t="shared" si="71"/>
        <v>GS Cattle MMN2O</v>
      </c>
      <c r="B346" s="102" t="s">
        <v>1022</v>
      </c>
      <c r="C346" s="102" t="s">
        <v>1233</v>
      </c>
      <c r="D346" t="s">
        <v>15</v>
      </c>
      <c r="E346" t="s">
        <v>657</v>
      </c>
      <c r="F346" t="s">
        <v>67</v>
      </c>
      <c r="G346" t="s">
        <v>123</v>
      </c>
      <c r="H346" t="s">
        <v>1228</v>
      </c>
      <c r="I346" t="s">
        <v>139</v>
      </c>
      <c r="J346" t="s">
        <v>287</v>
      </c>
      <c r="K346" s="28">
        <f t="shared" si="83"/>
        <v>0.81161466909134916</v>
      </c>
      <c r="L346" s="28">
        <f t="shared" si="86"/>
        <v>0.80623493166726978</v>
      </c>
      <c r="M346" s="28">
        <f t="shared" si="86"/>
        <v>0.79489211581881503</v>
      </c>
      <c r="N346" s="28">
        <f t="shared" si="86"/>
        <v>0.77577222781694366</v>
      </c>
      <c r="O346" s="28">
        <f t="shared" si="86"/>
        <v>0.75722164871587128</v>
      </c>
      <c r="P346" s="28">
        <f t="shared" si="86"/>
        <v>0.74295364970944966</v>
      </c>
      <c r="Q346" s="28">
        <f t="shared" si="86"/>
        <v>0.73004813476216801</v>
      </c>
      <c r="R346" s="28">
        <f t="shared" si="86"/>
        <v>0.7097573495578483</v>
      </c>
      <c r="S346" s="28">
        <f t="shared" si="86"/>
        <v>0.62250021658521282</v>
      </c>
      <c r="T346" s="28">
        <f t="shared" si="86"/>
        <v>0.62843364173979577</v>
      </c>
      <c r="U346" s="28">
        <f t="shared" si="86"/>
        <v>0.63244862905446586</v>
      </c>
      <c r="V346" s="28">
        <f t="shared" si="86"/>
        <v>0.63633302607818865</v>
      </c>
      <c r="W346" s="28">
        <f t="shared" si="86"/>
        <v>0.64275688445918766</v>
      </c>
      <c r="X346" s="28">
        <f t="shared" si="86"/>
        <v>0.64896902823624347</v>
      </c>
      <c r="Y346" s="28">
        <f t="shared" si="86"/>
        <v>0.65549084673275582</v>
      </c>
      <c r="Z346" s="28">
        <f t="shared" si="86"/>
        <v>0.66116866654600104</v>
      </c>
      <c r="AA346" s="28">
        <f t="shared" si="86"/>
        <v>0.66763079542082715</v>
      </c>
      <c r="AB346" s="28">
        <f t="shared" si="86"/>
        <v>0.67268763021428868</v>
      </c>
      <c r="AC346" s="28">
        <f t="shared" si="86"/>
        <v>0.67788321606043689</v>
      </c>
      <c r="AD346" s="28">
        <f t="shared" si="86"/>
        <v>0.68030312991307629</v>
      </c>
      <c r="AE346" s="28">
        <f t="shared" si="86"/>
        <v>0.68362132277483145</v>
      </c>
      <c r="AF346" s="28">
        <f t="shared" si="86"/>
        <v>0.68692670951860213</v>
      </c>
      <c r="AG346" s="28">
        <f t="shared" si="86"/>
        <v>0.67235837319496583</v>
      </c>
      <c r="AH346" s="28">
        <f t="shared" si="86"/>
        <v>-0.1586000403929089</v>
      </c>
      <c r="AI346" s="28">
        <f t="shared" si="86"/>
        <v>-0.15492107106439137</v>
      </c>
      <c r="AJ346" s="28">
        <f t="shared" si="86"/>
        <v>-0.15130060889360838</v>
      </c>
      <c r="AK346" s="28">
        <f t="shared" si="86"/>
        <v>-0.14773558958891347</v>
      </c>
      <c r="AL346" s="28">
        <f t="shared" si="86"/>
        <v>-0.14422316071147476</v>
      </c>
      <c r="AM346" s="28">
        <f t="shared" si="86"/>
        <v>-0.1407606620441057</v>
      </c>
      <c r="AN346" s="28">
        <f t="shared" si="86"/>
        <v>-0.1379533588771549</v>
      </c>
      <c r="AO346" s="28">
        <f t="shared" si="86"/>
        <v>-0.13518845663385484</v>
      </c>
      <c r="AP346" s="28">
        <f t="shared" si="86"/>
        <v>-0.13246403391454542</v>
      </c>
      <c r="AQ346" s="28">
        <f t="shared" si="86"/>
        <v>-0.12977828882070402</v>
      </c>
      <c r="AR346" s="28">
        <f t="shared" si="86"/>
        <v>-0.12712952904632721</v>
      </c>
      <c r="AS346" s="28">
        <f t="shared" si="86"/>
        <v>-0.12443153766115941</v>
      </c>
      <c r="AT346" s="28">
        <f t="shared" si="86"/>
        <v>-0.12177064709828132</v>
      </c>
      <c r="AU346" s="28">
        <f t="shared" si="86"/>
        <v>-0.11914539786899743</v>
      </c>
      <c r="AV346" s="28">
        <f t="shared" si="86"/>
        <v>-0.11655441248332606</v>
      </c>
      <c r="AW346" s="28">
        <f t="shared" si="86"/>
        <v>-0.11399638932246699</v>
      </c>
      <c r="AY346" s="85"/>
    </row>
    <row r="347" spans="1:51" x14ac:dyDescent="0.25">
      <c r="A347" s="102" t="str">
        <f t="shared" si="71"/>
        <v>GS Cattle MMN2O</v>
      </c>
      <c r="B347" s="102" t="s">
        <v>1022</v>
      </c>
      <c r="C347" s="102" t="s">
        <v>1233</v>
      </c>
      <c r="D347" t="s">
        <v>15</v>
      </c>
      <c r="E347" t="s">
        <v>657</v>
      </c>
      <c r="F347" t="s">
        <v>67</v>
      </c>
      <c r="G347" t="s">
        <v>135</v>
      </c>
      <c r="H347" t="s">
        <v>1228</v>
      </c>
      <c r="I347" t="s">
        <v>139</v>
      </c>
      <c r="J347" t="s">
        <v>287</v>
      </c>
      <c r="K347" s="28">
        <f t="shared" si="83"/>
        <v>0.98462431665992833</v>
      </c>
      <c r="L347" s="28">
        <f t="shared" si="86"/>
        <v>1.0196918835505078</v>
      </c>
      <c r="M347" s="28">
        <f t="shared" si="86"/>
        <v>1.0475259814074214</v>
      </c>
      <c r="N347" s="28">
        <f t="shared" si="86"/>
        <v>1.0647388767946648</v>
      </c>
      <c r="O347" s="28">
        <f t="shared" si="86"/>
        <v>1.0819877052462501</v>
      </c>
      <c r="P347" s="28">
        <f t="shared" si="86"/>
        <v>1.1048938649963369</v>
      </c>
      <c r="Q347" s="28">
        <f t="shared" si="86"/>
        <v>1.1297091115066857</v>
      </c>
      <c r="R347" s="28">
        <f t="shared" si="86"/>
        <v>1.142623258953418</v>
      </c>
      <c r="S347" s="28">
        <f t="shared" si="86"/>
        <v>1.0424500724104675</v>
      </c>
      <c r="T347" s="28">
        <f t="shared" si="86"/>
        <v>1.0775354748112338</v>
      </c>
      <c r="U347" s="28">
        <f t="shared" si="86"/>
        <v>1.1099789671042184</v>
      </c>
      <c r="V347" s="28">
        <f t="shared" si="86"/>
        <v>1.1427845071049993</v>
      </c>
      <c r="W347" s="28">
        <f t="shared" si="86"/>
        <v>1.1808667721174206</v>
      </c>
      <c r="X347" s="28">
        <f t="shared" si="86"/>
        <v>1.219399784150359</v>
      </c>
      <c r="Y347" s="28">
        <f t="shared" si="86"/>
        <v>1.2593873285345614</v>
      </c>
      <c r="Z347" s="28">
        <f t="shared" si="86"/>
        <v>1.2986321214759353</v>
      </c>
      <c r="AA347" s="28">
        <f t="shared" si="86"/>
        <v>1.3403229537470696</v>
      </c>
      <c r="AB347" s="28">
        <f t="shared" si="86"/>
        <v>1.3800999976091688</v>
      </c>
      <c r="AC347" s="28">
        <f t="shared" si="86"/>
        <v>1.4210424625750864</v>
      </c>
      <c r="AD347" s="28">
        <f t="shared" si="86"/>
        <v>1.4731597843117399</v>
      </c>
      <c r="AE347" s="28">
        <f t="shared" si="86"/>
        <v>1.5292748745002132</v>
      </c>
      <c r="AF347" s="28">
        <f t="shared" si="86"/>
        <v>1.58759303710444</v>
      </c>
      <c r="AG347" s="28">
        <f t="shared" si="86"/>
        <v>1.6055856657240113</v>
      </c>
      <c r="AH347" s="28">
        <f t="shared" si="86"/>
        <v>-0.39137548720927395</v>
      </c>
      <c r="AI347" s="28">
        <f t="shared" si="86"/>
        <v>-0.39511268844976988</v>
      </c>
      <c r="AJ347" s="28">
        <f t="shared" si="86"/>
        <v>-0.39888027556232269</v>
      </c>
      <c r="AK347" s="28">
        <f t="shared" si="86"/>
        <v>-0.40267853610571114</v>
      </c>
      <c r="AL347" s="28">
        <f t="shared" si="86"/>
        <v>-0.40650776022057733</v>
      </c>
      <c r="AM347" s="28">
        <f t="shared" si="86"/>
        <v>-0.41036824065181815</v>
      </c>
      <c r="AN347" s="28">
        <f t="shared" si="86"/>
        <v>-0.41346631245955484</v>
      </c>
      <c r="AO347" s="28">
        <f t="shared" si="86"/>
        <v>-0.41658575471490794</v>
      </c>
      <c r="AP347" s="28">
        <f t="shared" si="86"/>
        <v>-0.41972673655234932</v>
      </c>
      <c r="AQ347" s="28">
        <f t="shared" si="86"/>
        <v>-0.42288942838293692</v>
      </c>
      <c r="AR347" s="28">
        <f t="shared" si="86"/>
        <v>-0.42607400190364725</v>
      </c>
      <c r="AS347" s="28">
        <f t="shared" si="86"/>
        <v>-0.42898887673310604</v>
      </c>
      <c r="AT347" s="28">
        <f t="shared" si="86"/>
        <v>-0.43192052701996581</v>
      </c>
      <c r="AU347" s="28">
        <f t="shared" si="86"/>
        <v>-0.43486906373806822</v>
      </c>
      <c r="AV347" s="28">
        <f t="shared" si="86"/>
        <v>-0.43783459855710477</v>
      </c>
      <c r="AW347" s="28">
        <f t="shared" si="86"/>
        <v>-0.4408172438468278</v>
      </c>
      <c r="AY347" s="85"/>
    </row>
    <row r="348" spans="1:51" x14ac:dyDescent="0.25">
      <c r="A348" s="102" t="str">
        <f t="shared" si="71"/>
        <v>GS Sheep MMN2O</v>
      </c>
      <c r="B348" s="102" t="s">
        <v>1022</v>
      </c>
      <c r="C348" s="102" t="s">
        <v>1329</v>
      </c>
      <c r="D348" t="s">
        <v>15</v>
      </c>
      <c r="E348" t="s">
        <v>657</v>
      </c>
      <c r="F348" t="s">
        <v>18</v>
      </c>
      <c r="G348" t="s">
        <v>122</v>
      </c>
      <c r="H348" t="s">
        <v>1228</v>
      </c>
      <c r="I348" t="s">
        <v>139</v>
      </c>
      <c r="J348" t="s">
        <v>287</v>
      </c>
      <c r="K348" s="28">
        <f t="shared" si="83"/>
        <v>0.1171858684484313</v>
      </c>
      <c r="L348" s="28">
        <f t="shared" si="86"/>
        <v>0.11724986264912746</v>
      </c>
      <c r="M348" s="28">
        <f t="shared" si="86"/>
        <v>0.11739315795736154</v>
      </c>
      <c r="N348" s="28">
        <f t="shared" si="86"/>
        <v>0.11760884747933324</v>
      </c>
      <c r="O348" s="28">
        <f t="shared" si="86"/>
        <v>0.11789981697079396</v>
      </c>
      <c r="P348" s="28">
        <f t="shared" si="86"/>
        <v>0.11826637517857025</v>
      </c>
      <c r="Q348" s="28">
        <f t="shared" si="86"/>
        <v>0.11867470616236446</v>
      </c>
      <c r="R348" s="28">
        <f t="shared" si="86"/>
        <v>0.11911724401941932</v>
      </c>
      <c r="S348" s="28">
        <f t="shared" si="86"/>
        <v>0.11953310214883348</v>
      </c>
      <c r="T348" s="28">
        <f t="shared" si="86"/>
        <v>0.11970681414230742</v>
      </c>
      <c r="U348" s="28">
        <f t="shared" si="86"/>
        <v>0.11990838567894911</v>
      </c>
      <c r="V348" s="28">
        <f t="shared" si="86"/>
        <v>0.12013777542784022</v>
      </c>
      <c r="W348" s="28">
        <f t="shared" si="86"/>
        <v>0.1203961718842316</v>
      </c>
      <c r="X348" s="28">
        <f t="shared" si="86"/>
        <v>0.12067943256873451</v>
      </c>
      <c r="Y348" s="28">
        <f t="shared" si="86"/>
        <v>0.12085380112251057</v>
      </c>
      <c r="Z348" s="28">
        <f t="shared" si="86"/>
        <v>0.12104857439732014</v>
      </c>
      <c r="AA348" s="28">
        <f t="shared" si="86"/>
        <v>0.1212644592147404</v>
      </c>
      <c r="AB348" s="28">
        <f t="shared" si="86"/>
        <v>0.12149813863258012</v>
      </c>
      <c r="AC348" s="28">
        <f t="shared" si="86"/>
        <v>0.12175044819305053</v>
      </c>
      <c r="AD348" s="28">
        <f t="shared" si="86"/>
        <v>0.12191654827812352</v>
      </c>
      <c r="AE348" s="28">
        <f t="shared" si="86"/>
        <v>0.12210011953046386</v>
      </c>
      <c r="AF348" s="28">
        <f t="shared" si="86"/>
        <v>0.12229951100214119</v>
      </c>
      <c r="AG348" s="28">
        <f t="shared" si="86"/>
        <v>0.12249214859428272</v>
      </c>
      <c r="AH348" s="28">
        <f t="shared" si="86"/>
        <v>0.12166856520731396</v>
      </c>
      <c r="AI348" s="28">
        <f t="shared" si="86"/>
        <v>0.12178552707040835</v>
      </c>
      <c r="AJ348" s="28">
        <f t="shared" si="86"/>
        <v>0.12191459506568997</v>
      </c>
      <c r="AK348" s="28">
        <f t="shared" si="86"/>
        <v>0.12205531183364191</v>
      </c>
      <c r="AL348" s="28">
        <f t="shared" si="86"/>
        <v>0.1222072553657907</v>
      </c>
      <c r="AM348" s="28">
        <f t="shared" si="86"/>
        <v>0.12237003565016037</v>
      </c>
      <c r="AN348" s="28">
        <f t="shared" si="86"/>
        <v>0.12244903306979282</v>
      </c>
      <c r="AO348" s="28">
        <f t="shared" si="86"/>
        <v>0.12253757835817966</v>
      </c>
      <c r="AP348" s="28">
        <f t="shared" si="86"/>
        <v>0.12263533922697641</v>
      </c>
      <c r="AQ348" s="28">
        <f t="shared" si="86"/>
        <v>0.12274200613087835</v>
      </c>
      <c r="AR348" s="28">
        <f t="shared" si="86"/>
        <v>0.12285729033548833</v>
      </c>
      <c r="AS348" s="28">
        <f t="shared" si="86"/>
        <v>0.12288572954642335</v>
      </c>
      <c r="AT348" s="28">
        <f t="shared" si="86"/>
        <v>0.12292181660779716</v>
      </c>
      <c r="AU348" s="28">
        <f t="shared" si="86"/>
        <v>0.12296529822294655</v>
      </c>
      <c r="AV348" s="28">
        <f t="shared" si="86"/>
        <v>0.12301593656260404</v>
      </c>
      <c r="AW348" s="28">
        <f t="shared" si="86"/>
        <v>0.12307350807543004</v>
      </c>
      <c r="AY348" s="85"/>
    </row>
    <row r="349" spans="1:51" x14ac:dyDescent="0.25">
      <c r="A349" s="102" t="str">
        <f t="shared" si="71"/>
        <v>GS Sheep MMN2O</v>
      </c>
      <c r="B349" s="102" t="s">
        <v>1022</v>
      </c>
      <c r="C349" s="102" t="s">
        <v>1329</v>
      </c>
      <c r="D349" t="s">
        <v>15</v>
      </c>
      <c r="E349" t="s">
        <v>657</v>
      </c>
      <c r="F349" t="s">
        <v>18</v>
      </c>
      <c r="G349" t="s">
        <v>123</v>
      </c>
      <c r="H349" t="s">
        <v>1228</v>
      </c>
      <c r="I349" t="s">
        <v>139</v>
      </c>
      <c r="J349" t="s">
        <v>287</v>
      </c>
      <c r="K349" s="28">
        <f t="shared" si="83"/>
        <v>6.266414044546309E-2</v>
      </c>
      <c r="L349" s="28">
        <f t="shared" si="86"/>
        <v>6.2698360796715452E-2</v>
      </c>
      <c r="M349" s="28">
        <f t="shared" si="86"/>
        <v>6.2774986736679445E-2</v>
      </c>
      <c r="N349" s="28">
        <f t="shared" si="86"/>
        <v>6.2890324862994521E-2</v>
      </c>
      <c r="O349" s="28">
        <f t="shared" si="86"/>
        <v>6.3045918308856697E-2</v>
      </c>
      <c r="P349" s="28">
        <f t="shared" si="86"/>
        <v>6.324193217398956E-2</v>
      </c>
      <c r="Q349" s="28">
        <f t="shared" si="86"/>
        <v>6.346028367366699E-2</v>
      </c>
      <c r="R349" s="28">
        <f t="shared" si="86"/>
        <v>6.3696927006127543E-2</v>
      </c>
      <c r="S349" s="28">
        <f t="shared" si="86"/>
        <v>6.3919303582518794E-2</v>
      </c>
      <c r="T349" s="28">
        <f t="shared" si="86"/>
        <v>6.401219458465271E-2</v>
      </c>
      <c r="U349" s="28">
        <f t="shared" si="86"/>
        <v>6.4119983239113915E-2</v>
      </c>
      <c r="V349" s="28">
        <f t="shared" si="86"/>
        <v>6.4242647444547399E-2</v>
      </c>
      <c r="W349" s="28">
        <f t="shared" si="86"/>
        <v>6.4380822738619198E-2</v>
      </c>
      <c r="X349" s="28">
        <f t="shared" si="86"/>
        <v>6.4532293965921486E-2</v>
      </c>
      <c r="Y349" s="28">
        <f t="shared" si="86"/>
        <v>6.462553605805911E-2</v>
      </c>
      <c r="Z349" s="28">
        <f t="shared" si="86"/>
        <v>6.4729689400175275E-2</v>
      </c>
      <c r="AA349" s="28">
        <f t="shared" si="86"/>
        <v>6.4845131959060415E-2</v>
      </c>
      <c r="AB349" s="28">
        <f t="shared" si="86"/>
        <v>6.4970090028259403E-2</v>
      </c>
      <c r="AC349" s="28">
        <f t="shared" si="86"/>
        <v>6.5105010406820332E-2</v>
      </c>
      <c r="AD349" s="28">
        <f t="shared" si="86"/>
        <v>6.5193831006068584E-2</v>
      </c>
      <c r="AE349" s="28">
        <f t="shared" si="86"/>
        <v>6.5291994162520045E-2</v>
      </c>
      <c r="AF349" s="28">
        <f t="shared" si="86"/>
        <v>6.5398617045895405E-2</v>
      </c>
      <c r="AG349" s="28">
        <f t="shared" si="86"/>
        <v>6.5501628349978927E-2</v>
      </c>
      <c r="AH349" s="28">
        <f t="shared" si="86"/>
        <v>6.506122418083396E-2</v>
      </c>
      <c r="AI349" s="28">
        <f t="shared" si="86"/>
        <v>6.512376853633306E-2</v>
      </c>
      <c r="AJ349" s="28">
        <f t="shared" si="86"/>
        <v>6.5192786542432504E-2</v>
      </c>
      <c r="AK349" s="28">
        <f t="shared" si="86"/>
        <v>6.5268033630044034E-2</v>
      </c>
      <c r="AL349" s="28">
        <f t="shared" si="86"/>
        <v>6.534928413374741E-2</v>
      </c>
      <c r="AM349" s="28">
        <f t="shared" si="86"/>
        <v>6.5436329497975634E-2</v>
      </c>
      <c r="AN349" s="28">
        <f t="shared" si="86"/>
        <v>6.54785726921783E-2</v>
      </c>
      <c r="AO349" s="28">
        <f t="shared" si="86"/>
        <v>6.552592152750053E-2</v>
      </c>
      <c r="AP349" s="28">
        <f t="shared" si="86"/>
        <v>6.557819831559332E-2</v>
      </c>
      <c r="AQ349" s="28">
        <f t="shared" si="86"/>
        <v>6.5635237529753657E-2</v>
      </c>
      <c r="AR349" s="28">
        <f t="shared" si="86"/>
        <v>6.5696884771733188E-2</v>
      </c>
      <c r="AS349" s="28">
        <f t="shared" si="86"/>
        <v>6.5712092396439034E-2</v>
      </c>
      <c r="AT349" s="28">
        <f t="shared" si="86"/>
        <v>6.5731389643727739E-2</v>
      </c>
      <c r="AU349" s="28">
        <f t="shared" si="86"/>
        <v>6.5754641065376054E-2</v>
      </c>
      <c r="AV349" s="28">
        <f t="shared" si="86"/>
        <v>6.578171948421814E-2</v>
      </c>
      <c r="AW349" s="28">
        <f t="shared" si="86"/>
        <v>6.5812505358088025E-2</v>
      </c>
      <c r="AY349" s="85"/>
    </row>
    <row r="350" spans="1:51" x14ac:dyDescent="0.25">
      <c r="A350" s="102" t="str">
        <f t="shared" si="71"/>
        <v>GS Goats MMN2O</v>
      </c>
      <c r="B350" s="102" t="s">
        <v>1022</v>
      </c>
      <c r="C350" s="102" t="s">
        <v>1330</v>
      </c>
      <c r="D350" t="s">
        <v>15</v>
      </c>
      <c r="E350" t="s">
        <v>657</v>
      </c>
      <c r="F350" t="s">
        <v>19</v>
      </c>
      <c r="G350" t="s">
        <v>122</v>
      </c>
      <c r="H350" t="s">
        <v>1228</v>
      </c>
      <c r="I350" t="s">
        <v>139</v>
      </c>
      <c r="J350" t="s">
        <v>287</v>
      </c>
      <c r="K350" s="28">
        <f t="shared" si="83"/>
        <v>1.4485648992970149E-2</v>
      </c>
      <c r="L350" s="28">
        <f t="shared" si="86"/>
        <v>1.4523430996818442E-2</v>
      </c>
      <c r="M350" s="28">
        <f t="shared" si="86"/>
        <v>1.4573778863725229E-2</v>
      </c>
      <c r="N350" s="28">
        <f t="shared" si="86"/>
        <v>1.4635573261684437E-2</v>
      </c>
      <c r="O350" s="28">
        <f t="shared" si="86"/>
        <v>1.4709556756482728E-2</v>
      </c>
      <c r="P350" s="28">
        <f t="shared" si="86"/>
        <v>1.4795926227225602E-2</v>
      </c>
      <c r="Q350" s="28">
        <f t="shared" si="86"/>
        <v>1.4888271114151717E-2</v>
      </c>
      <c r="R350" s="28">
        <f t="shared" si="86"/>
        <v>1.4985270961083385E-2</v>
      </c>
      <c r="S350" s="28">
        <f t="shared" si="86"/>
        <v>1.5075379558400602E-2</v>
      </c>
      <c r="T350" s="28">
        <f t="shared" si="86"/>
        <v>1.5117607192403527E-2</v>
      </c>
      <c r="U350" s="28">
        <f t="shared" si="86"/>
        <v>1.5163912133825485E-2</v>
      </c>
      <c r="V350" s="28">
        <f t="shared" si="86"/>
        <v>1.5214353144806386E-2</v>
      </c>
      <c r="W350" s="28">
        <f t="shared" si="86"/>
        <v>1.5269211713136204E-2</v>
      </c>
      <c r="X350" s="28">
        <f t="shared" si="86"/>
        <v>1.5327749231318039E-2</v>
      </c>
      <c r="Y350" s="28">
        <f t="shared" si="86"/>
        <v>1.5364750505414648E-2</v>
      </c>
      <c r="Z350" s="28">
        <f t="shared" si="86"/>
        <v>1.5404784002427285E-2</v>
      </c>
      <c r="AA350" s="28">
        <f t="shared" si="86"/>
        <v>1.5448015343528085E-2</v>
      </c>
      <c r="AB350" s="28">
        <f t="shared" si="86"/>
        <v>1.5493849362144254E-2</v>
      </c>
      <c r="AC350" s="28">
        <f t="shared" si="86"/>
        <v>1.5542469399401562E-2</v>
      </c>
      <c r="AD350" s="28">
        <f t="shared" si="86"/>
        <v>1.5574312295454071E-2</v>
      </c>
      <c r="AE350" s="28">
        <f t="shared" si="86"/>
        <v>1.5608846144431889E-2</v>
      </c>
      <c r="AF350" s="28">
        <f t="shared" si="86"/>
        <v>1.5645779000697076E-2</v>
      </c>
      <c r="AG350" s="28">
        <f t="shared" si="86"/>
        <v>1.5680933682266716E-2</v>
      </c>
      <c r="AH350" s="28">
        <f t="shared" si="86"/>
        <v>1.552725676648822E-2</v>
      </c>
      <c r="AI350" s="28">
        <f t="shared" si="86"/>
        <v>1.5547818779843832E-2</v>
      </c>
      <c r="AJ350" s="28">
        <f t="shared" si="86"/>
        <v>1.5570224487070797E-2</v>
      </c>
      <c r="AK350" s="28">
        <f t="shared" si="86"/>
        <v>1.5594399014227253E-2</v>
      </c>
      <c r="AL350" s="28">
        <f t="shared" si="86"/>
        <v>1.5620273295013296E-2</v>
      </c>
      <c r="AM350" s="28">
        <f t="shared" si="86"/>
        <v>1.5647783514700201E-2</v>
      </c>
      <c r="AN350" s="28">
        <f t="shared" si="86"/>
        <v>1.5659592232765602E-2</v>
      </c>
      <c r="AO350" s="28">
        <f t="shared" si="86"/>
        <v>1.5672874713872142E-2</v>
      </c>
      <c r="AP350" s="28">
        <f t="shared" si="86"/>
        <v>1.5687575397224301E-2</v>
      </c>
      <c r="AQ350" s="28">
        <f t="shared" si="86"/>
        <v>1.5703642533627795E-2</v>
      </c>
      <c r="AR350" s="28">
        <f t="shared" si="86"/>
        <v>1.5721027858938724E-2</v>
      </c>
      <c r="AS350" s="28">
        <f t="shared" si="86"/>
        <v>1.572238426100139E-2</v>
      </c>
      <c r="AT350" s="28">
        <f t="shared" si="86"/>
        <v>1.5724946955034496E-2</v>
      </c>
      <c r="AU350" s="28">
        <f t="shared" si="86"/>
        <v>1.5728672619393889E-2</v>
      </c>
      <c r="AV350" s="28">
        <f t="shared" si="86"/>
        <v>1.5733520584102465E-2</v>
      </c>
      <c r="AW350" s="28">
        <f t="shared" si="86"/>
        <v>1.5739452625419498E-2</v>
      </c>
      <c r="AY350" s="85"/>
    </row>
    <row r="351" spans="1:51" x14ac:dyDescent="0.25">
      <c r="A351" s="102" t="str">
        <f t="shared" si="71"/>
        <v>GS Goats MMN2O</v>
      </c>
      <c r="B351" s="102" t="s">
        <v>1022</v>
      </c>
      <c r="C351" s="102" t="s">
        <v>1330</v>
      </c>
      <c r="D351" t="s">
        <v>15</v>
      </c>
      <c r="E351" t="s">
        <v>657</v>
      </c>
      <c r="F351" t="s">
        <v>19</v>
      </c>
      <c r="G351" t="s">
        <v>123</v>
      </c>
      <c r="H351" t="s">
        <v>1228</v>
      </c>
      <c r="I351" t="s">
        <v>139</v>
      </c>
      <c r="J351" t="s">
        <v>287</v>
      </c>
      <c r="K351" s="28">
        <f t="shared" si="83"/>
        <v>0.1148405820648936</v>
      </c>
      <c r="L351" s="28">
        <f t="shared" si="86"/>
        <v>0.11514011350567485</v>
      </c>
      <c r="M351" s="28">
        <f t="shared" si="86"/>
        <v>0.1155392656833997</v>
      </c>
      <c r="N351" s="28">
        <f t="shared" si="86"/>
        <v>0.11602916466089314</v>
      </c>
      <c r="O351" s="28">
        <f t="shared" si="86"/>
        <v>0.11661569741548039</v>
      </c>
      <c r="P351" s="28">
        <f t="shared" si="86"/>
        <v>0.11730042478237726</v>
      </c>
      <c r="Q351" s="28">
        <f t="shared" si="86"/>
        <v>0.11803252457096508</v>
      </c>
      <c r="R351" s="28">
        <f t="shared" si="86"/>
        <v>0.11880152835445074</v>
      </c>
      <c r="S351" s="28">
        <f t="shared" si="86"/>
        <v>0.11951589909268844</v>
      </c>
      <c r="T351" s="28">
        <f t="shared" si="86"/>
        <v>0.11985067498505422</v>
      </c>
      <c r="U351" s="28">
        <f t="shared" ref="L351:AW357" si="87">U1420</f>
        <v>0.12021777530813667</v>
      </c>
      <c r="V351" s="28">
        <f t="shared" si="87"/>
        <v>0.12061766592151543</v>
      </c>
      <c r="W351" s="28">
        <f t="shared" si="87"/>
        <v>0.12105257842845937</v>
      </c>
      <c r="X351" s="28">
        <f t="shared" si="87"/>
        <v>0.12151665723251566</v>
      </c>
      <c r="Y351" s="28">
        <f t="shared" si="87"/>
        <v>0.12180999913638614</v>
      </c>
      <c r="Z351" s="28">
        <f t="shared" si="87"/>
        <v>0.12212738015958056</v>
      </c>
      <c r="AA351" s="28">
        <f t="shared" si="87"/>
        <v>0.12247011332796476</v>
      </c>
      <c r="AB351" s="28">
        <f t="shared" si="87"/>
        <v>0.12283348022846115</v>
      </c>
      <c r="AC351" s="28">
        <f t="shared" si="87"/>
        <v>0.12321893436871788</v>
      </c>
      <c r="AD351" s="28">
        <f t="shared" si="87"/>
        <v>0.12347138123658526</v>
      </c>
      <c r="AE351" s="28">
        <f t="shared" si="87"/>
        <v>0.12374516167400154</v>
      </c>
      <c r="AF351" s="28">
        <f t="shared" si="87"/>
        <v>0.12403796116906533</v>
      </c>
      <c r="AG351" s="28">
        <f t="shared" si="87"/>
        <v>0.12431666349684663</v>
      </c>
      <c r="AH351" s="28">
        <f t="shared" si="87"/>
        <v>0.12309833034059625</v>
      </c>
      <c r="AI351" s="28">
        <f t="shared" si="87"/>
        <v>0.12326134365006759</v>
      </c>
      <c r="AJ351" s="28">
        <f t="shared" si="87"/>
        <v>0.12343897355541526</v>
      </c>
      <c r="AK351" s="28">
        <f t="shared" si="87"/>
        <v>0.12363062646452125</v>
      </c>
      <c r="AL351" s="28">
        <f t="shared" si="87"/>
        <v>0.12383575482759435</v>
      </c>
      <c r="AM351" s="28">
        <f t="shared" si="87"/>
        <v>0.12405385272870395</v>
      </c>
      <c r="AN351" s="28">
        <f t="shared" si="87"/>
        <v>0.12414747090602753</v>
      </c>
      <c r="AO351" s="28">
        <f t="shared" si="87"/>
        <v>0.12425277290956782</v>
      </c>
      <c r="AP351" s="28">
        <f t="shared" si="87"/>
        <v>0.12436931825964037</v>
      </c>
      <c r="AQ351" s="28">
        <f t="shared" si="87"/>
        <v>0.12449669669450293</v>
      </c>
      <c r="AR351" s="28">
        <f t="shared" si="87"/>
        <v>0.12463452558149747</v>
      </c>
      <c r="AS351" s="28">
        <f t="shared" si="87"/>
        <v>0.12464527898318946</v>
      </c>
      <c r="AT351" s="28">
        <f t="shared" si="87"/>
        <v>0.12466559573078972</v>
      </c>
      <c r="AU351" s="28">
        <f t="shared" si="87"/>
        <v>0.12469513237521754</v>
      </c>
      <c r="AV351" s="28">
        <f t="shared" si="87"/>
        <v>0.1247335664895077</v>
      </c>
      <c r="AW351" s="28">
        <f t="shared" si="87"/>
        <v>0.12478059504017958</v>
      </c>
      <c r="AY351" s="85"/>
    </row>
    <row r="352" spans="1:51" x14ac:dyDescent="0.25">
      <c r="A352" s="102" t="str">
        <f t="shared" si="71"/>
        <v>GS Horses MMN2O</v>
      </c>
      <c r="B352" s="102" t="s">
        <v>1022</v>
      </c>
      <c r="C352" s="102" t="s">
        <v>1331</v>
      </c>
      <c r="D352" t="s">
        <v>15</v>
      </c>
      <c r="E352" t="s">
        <v>657</v>
      </c>
      <c r="F352" t="s">
        <v>20</v>
      </c>
      <c r="G352" t="s">
        <v>3</v>
      </c>
      <c r="H352" t="s">
        <v>1228</v>
      </c>
      <c r="I352" t="s">
        <v>139</v>
      </c>
      <c r="J352" t="s">
        <v>287</v>
      </c>
      <c r="K352" s="28" t="str">
        <f t="shared" si="83"/>
        <v>NO</v>
      </c>
      <c r="L352" s="28" t="str">
        <f t="shared" si="87"/>
        <v>NO</v>
      </c>
      <c r="M352" s="28" t="str">
        <f t="shared" si="87"/>
        <v>NO</v>
      </c>
      <c r="N352" s="28" t="str">
        <f t="shared" si="87"/>
        <v>NO</v>
      </c>
      <c r="O352" s="28" t="str">
        <f t="shared" si="87"/>
        <v>NO</v>
      </c>
      <c r="P352" s="28" t="str">
        <f t="shared" si="87"/>
        <v>NO</v>
      </c>
      <c r="Q352" s="28" t="str">
        <f t="shared" si="87"/>
        <v>NO</v>
      </c>
      <c r="R352" s="28" t="str">
        <f t="shared" si="87"/>
        <v>NO</v>
      </c>
      <c r="S352" s="28" t="str">
        <f t="shared" si="87"/>
        <v>NO</v>
      </c>
      <c r="T352" s="28" t="str">
        <f t="shared" si="87"/>
        <v>NO</v>
      </c>
      <c r="U352" s="28" t="str">
        <f t="shared" si="87"/>
        <v>NO</v>
      </c>
      <c r="V352" s="28" t="str">
        <f t="shared" si="87"/>
        <v>NO</v>
      </c>
      <c r="W352" s="28" t="str">
        <f t="shared" si="87"/>
        <v>NO</v>
      </c>
      <c r="X352" s="28" t="str">
        <f t="shared" si="87"/>
        <v>NO</v>
      </c>
      <c r="Y352" s="28" t="str">
        <f t="shared" si="87"/>
        <v>NO</v>
      </c>
      <c r="Z352" s="28" t="str">
        <f t="shared" si="87"/>
        <v>NO</v>
      </c>
      <c r="AA352" s="28" t="str">
        <f t="shared" si="87"/>
        <v>NO</v>
      </c>
      <c r="AB352" s="28" t="str">
        <f t="shared" si="87"/>
        <v>NO</v>
      </c>
      <c r="AC352" s="28" t="str">
        <f t="shared" si="87"/>
        <v>NO</v>
      </c>
      <c r="AD352" s="28" t="str">
        <f t="shared" si="87"/>
        <v>NO</v>
      </c>
      <c r="AE352" s="28" t="str">
        <f t="shared" si="87"/>
        <v>NO</v>
      </c>
      <c r="AF352" s="28" t="str">
        <f t="shared" si="87"/>
        <v>NO</v>
      </c>
      <c r="AG352" s="28" t="str">
        <f t="shared" si="87"/>
        <v>NO</v>
      </c>
      <c r="AH352" s="28" t="str">
        <f t="shared" si="87"/>
        <v>NO</v>
      </c>
      <c r="AI352" s="28" t="str">
        <f t="shared" si="87"/>
        <v>NO</v>
      </c>
      <c r="AJ352" s="28" t="str">
        <f t="shared" si="87"/>
        <v>NO</v>
      </c>
      <c r="AK352" s="28" t="str">
        <f t="shared" si="87"/>
        <v>NO</v>
      </c>
      <c r="AL352" s="28" t="str">
        <f t="shared" si="87"/>
        <v>NO</v>
      </c>
      <c r="AM352" s="28" t="str">
        <f t="shared" si="87"/>
        <v>NO</v>
      </c>
      <c r="AN352" s="28" t="str">
        <f t="shared" si="87"/>
        <v>NO</v>
      </c>
      <c r="AO352" s="28" t="str">
        <f t="shared" si="87"/>
        <v>NO</v>
      </c>
      <c r="AP352" s="28" t="str">
        <f t="shared" si="87"/>
        <v>NO</v>
      </c>
      <c r="AQ352" s="28" t="str">
        <f t="shared" si="87"/>
        <v>NO</v>
      </c>
      <c r="AR352" s="28" t="str">
        <f t="shared" si="87"/>
        <v>NO</v>
      </c>
      <c r="AS352" s="28" t="str">
        <f t="shared" si="87"/>
        <v>NO</v>
      </c>
      <c r="AT352" s="28" t="str">
        <f t="shared" si="87"/>
        <v>NO</v>
      </c>
      <c r="AU352" s="28" t="str">
        <f t="shared" si="87"/>
        <v>NO</v>
      </c>
      <c r="AV352" s="28" t="str">
        <f t="shared" si="87"/>
        <v>NO</v>
      </c>
      <c r="AW352" s="28" t="str">
        <f t="shared" si="87"/>
        <v>NO</v>
      </c>
      <c r="AY352" s="85"/>
    </row>
    <row r="353" spans="1:51" x14ac:dyDescent="0.25">
      <c r="A353" s="102" t="str">
        <f t="shared" si="71"/>
        <v>GS Mules MMN2O</v>
      </c>
      <c r="B353" s="102" t="s">
        <v>1022</v>
      </c>
      <c r="C353" s="102" t="s">
        <v>1332</v>
      </c>
      <c r="D353" t="s">
        <v>15</v>
      </c>
      <c r="E353" t="s">
        <v>657</v>
      </c>
      <c r="F353" t="s">
        <v>140</v>
      </c>
      <c r="G353" t="s">
        <v>124</v>
      </c>
      <c r="H353" t="s">
        <v>1228</v>
      </c>
      <c r="I353" t="s">
        <v>139</v>
      </c>
      <c r="J353" t="s">
        <v>287</v>
      </c>
      <c r="K353" s="28" t="str">
        <f t="shared" si="83"/>
        <v>NO</v>
      </c>
      <c r="L353" s="28" t="str">
        <f t="shared" si="87"/>
        <v>NO</v>
      </c>
      <c r="M353" s="28" t="str">
        <f t="shared" si="87"/>
        <v>NO</v>
      </c>
      <c r="N353" s="28" t="str">
        <f t="shared" si="87"/>
        <v>NO</v>
      </c>
      <c r="O353" s="28" t="str">
        <f t="shared" si="87"/>
        <v>NO</v>
      </c>
      <c r="P353" s="28" t="str">
        <f t="shared" si="87"/>
        <v>NO</v>
      </c>
      <c r="Q353" s="28" t="str">
        <f t="shared" si="87"/>
        <v>NO</v>
      </c>
      <c r="R353" s="28" t="str">
        <f t="shared" si="87"/>
        <v>NO</v>
      </c>
      <c r="S353" s="28" t="str">
        <f t="shared" si="87"/>
        <v>NO</v>
      </c>
      <c r="T353" s="28" t="str">
        <f t="shared" si="87"/>
        <v>NO</v>
      </c>
      <c r="U353" s="28" t="str">
        <f t="shared" si="87"/>
        <v>NO</v>
      </c>
      <c r="V353" s="28" t="str">
        <f t="shared" si="87"/>
        <v>NO</v>
      </c>
      <c r="W353" s="28" t="str">
        <f t="shared" si="87"/>
        <v>NO</v>
      </c>
      <c r="X353" s="28" t="str">
        <f t="shared" si="87"/>
        <v>NO</v>
      </c>
      <c r="Y353" s="28" t="str">
        <f t="shared" si="87"/>
        <v>NO</v>
      </c>
      <c r="Z353" s="28" t="str">
        <f t="shared" si="87"/>
        <v>NO</v>
      </c>
      <c r="AA353" s="28" t="str">
        <f t="shared" si="87"/>
        <v>NO</v>
      </c>
      <c r="AB353" s="28" t="str">
        <f t="shared" si="87"/>
        <v>NO</v>
      </c>
      <c r="AC353" s="28" t="str">
        <f t="shared" si="87"/>
        <v>NO</v>
      </c>
      <c r="AD353" s="28" t="str">
        <f t="shared" si="87"/>
        <v>NO</v>
      </c>
      <c r="AE353" s="28" t="str">
        <f t="shared" si="87"/>
        <v>NO</v>
      </c>
      <c r="AF353" s="28" t="str">
        <f t="shared" si="87"/>
        <v>NO</v>
      </c>
      <c r="AG353" s="28" t="str">
        <f t="shared" si="87"/>
        <v>NO</v>
      </c>
      <c r="AH353" s="28" t="str">
        <f t="shared" si="87"/>
        <v>NO</v>
      </c>
      <c r="AI353" s="28" t="str">
        <f t="shared" si="87"/>
        <v>NO</v>
      </c>
      <c r="AJ353" s="28" t="str">
        <f t="shared" si="87"/>
        <v>NO</v>
      </c>
      <c r="AK353" s="28" t="str">
        <f t="shared" si="87"/>
        <v>NO</v>
      </c>
      <c r="AL353" s="28" t="str">
        <f t="shared" si="87"/>
        <v>NO</v>
      </c>
      <c r="AM353" s="28" t="str">
        <f t="shared" si="87"/>
        <v>NO</v>
      </c>
      <c r="AN353" s="28" t="str">
        <f t="shared" si="87"/>
        <v>NO</v>
      </c>
      <c r="AO353" s="28" t="str">
        <f t="shared" si="87"/>
        <v>NO</v>
      </c>
      <c r="AP353" s="28" t="str">
        <f t="shared" si="87"/>
        <v>NO</v>
      </c>
      <c r="AQ353" s="28" t="str">
        <f t="shared" si="87"/>
        <v>NO</v>
      </c>
      <c r="AR353" s="28" t="str">
        <f t="shared" si="87"/>
        <v>NO</v>
      </c>
      <c r="AS353" s="28" t="str">
        <f t="shared" si="87"/>
        <v>NO</v>
      </c>
      <c r="AT353" s="28" t="str">
        <f t="shared" si="87"/>
        <v>NO</v>
      </c>
      <c r="AU353" s="28" t="str">
        <f t="shared" si="87"/>
        <v>NO</v>
      </c>
      <c r="AV353" s="28" t="str">
        <f t="shared" si="87"/>
        <v>NO</v>
      </c>
      <c r="AW353" s="28" t="str">
        <f t="shared" si="87"/>
        <v>NO</v>
      </c>
      <c r="AY353" s="85"/>
    </row>
    <row r="354" spans="1:51" x14ac:dyDescent="0.25">
      <c r="A354" s="102" t="str">
        <f t="shared" si="71"/>
        <v>GS Swine MMN2O</v>
      </c>
      <c r="B354" s="102" t="s">
        <v>1022</v>
      </c>
      <c r="C354" s="102" t="s">
        <v>1234</v>
      </c>
      <c r="D354" t="s">
        <v>15</v>
      </c>
      <c r="E354" t="s">
        <v>657</v>
      </c>
      <c r="F354" t="s">
        <v>21</v>
      </c>
      <c r="G354" t="s">
        <v>122</v>
      </c>
      <c r="H354" t="s">
        <v>1228</v>
      </c>
      <c r="I354" t="s">
        <v>139</v>
      </c>
      <c r="J354" t="s">
        <v>287</v>
      </c>
      <c r="K354" s="28">
        <f t="shared" si="83"/>
        <v>9.8212070321961289E-2</v>
      </c>
      <c r="L354" s="28">
        <f t="shared" si="87"/>
        <v>9.7902077304524535E-2</v>
      </c>
      <c r="M354" s="28">
        <f t="shared" si="87"/>
        <v>9.6876932731570997E-2</v>
      </c>
      <c r="N354" s="28">
        <f t="shared" si="87"/>
        <v>9.4886481944047557E-2</v>
      </c>
      <c r="O354" s="28">
        <f t="shared" si="87"/>
        <v>9.2983120414683651E-2</v>
      </c>
      <c r="P354" s="28">
        <f t="shared" si="87"/>
        <v>9.1647887851288232E-2</v>
      </c>
      <c r="Q354" s="28">
        <f t="shared" si="87"/>
        <v>9.0517057242200105E-2</v>
      </c>
      <c r="R354" s="28">
        <f t="shared" si="87"/>
        <v>8.8434751995252456E-2</v>
      </c>
      <c r="S354" s="28">
        <f t="shared" si="87"/>
        <v>7.7417928691120311E-2</v>
      </c>
      <c r="T354" s="28">
        <f t="shared" si="87"/>
        <v>7.7909888126779042E-2</v>
      </c>
      <c r="U354" s="28">
        <f t="shared" si="87"/>
        <v>7.8156831608476335E-2</v>
      </c>
      <c r="V354" s="28">
        <f t="shared" si="87"/>
        <v>7.8396909010436708E-2</v>
      </c>
      <c r="W354" s="28">
        <f t="shared" si="87"/>
        <v>7.8983322674416961E-2</v>
      </c>
      <c r="X354" s="28">
        <f t="shared" si="87"/>
        <v>7.9550022093927919E-2</v>
      </c>
      <c r="Y354" s="28">
        <f t="shared" si="87"/>
        <v>8.0200171515553365E-2</v>
      </c>
      <c r="Z354" s="28">
        <f t="shared" si="87"/>
        <v>8.0745873399241927E-2</v>
      </c>
      <c r="AA354" s="28">
        <f t="shared" si="87"/>
        <v>8.1401680108403665E-2</v>
      </c>
      <c r="AB354" s="28">
        <f t="shared" si="87"/>
        <v>8.1879069709822755E-2</v>
      </c>
      <c r="AC354" s="28">
        <f t="shared" si="87"/>
        <v>8.2381241768892818E-2</v>
      </c>
      <c r="AD354" s="28">
        <f t="shared" si="87"/>
        <v>8.3307469914568902E-2</v>
      </c>
      <c r="AE354" s="28">
        <f t="shared" si="87"/>
        <v>8.4389455604936589E-2</v>
      </c>
      <c r="AF354" s="28">
        <f t="shared" si="87"/>
        <v>8.5509115768420865E-2</v>
      </c>
      <c r="AG354" s="28">
        <f t="shared" si="87"/>
        <v>8.4250717613193291E-2</v>
      </c>
      <c r="AH354" s="28">
        <f t="shared" si="87"/>
        <v>-2.8426820502850808E-2</v>
      </c>
      <c r="AI354" s="28">
        <f t="shared" si="87"/>
        <v>-2.8115877001178527E-2</v>
      </c>
      <c r="AJ354" s="28">
        <f t="shared" si="87"/>
        <v>-2.7811593466985605E-2</v>
      </c>
      <c r="AK354" s="28">
        <f t="shared" si="87"/>
        <v>-2.7513534213570397E-2</v>
      </c>
      <c r="AL354" s="28">
        <f t="shared" si="87"/>
        <v>-2.7221295455261082E-2</v>
      </c>
      <c r="AM354" s="28">
        <f t="shared" si="87"/>
        <v>-2.6934502222400951E-2</v>
      </c>
      <c r="AN354" s="28">
        <f t="shared" si="87"/>
        <v>-2.6619947187312407E-2</v>
      </c>
      <c r="AO354" s="28">
        <f t="shared" si="87"/>
        <v>-2.6310938201629927E-2</v>
      </c>
      <c r="AP354" s="28">
        <f t="shared" si="87"/>
        <v>-2.600715135070272E-2</v>
      </c>
      <c r="AQ354" s="28">
        <f t="shared" si="87"/>
        <v>-2.5708283877268884E-2</v>
      </c>
      <c r="AR354" s="28">
        <f t="shared" si="87"/>
        <v>-2.5414052353403601E-2</v>
      </c>
      <c r="AS354" s="28">
        <f t="shared" si="87"/>
        <v>-2.5093405862334557E-2</v>
      </c>
      <c r="AT354" s="28">
        <f t="shared" si="87"/>
        <v>-2.4777656809122427E-2</v>
      </c>
      <c r="AU354" s="28">
        <f t="shared" si="87"/>
        <v>-2.4466553104711776E-2</v>
      </c>
      <c r="AV354" s="28">
        <f t="shared" si="87"/>
        <v>-2.415985755435068E-2</v>
      </c>
      <c r="AW354" s="28">
        <f t="shared" si="87"/>
        <v>-2.3857346696324909E-2</v>
      </c>
      <c r="AY354" s="85"/>
    </row>
    <row r="355" spans="1:51" x14ac:dyDescent="0.25">
      <c r="A355" s="102" t="str">
        <f t="shared" si="71"/>
        <v>GS Swine MMN2O</v>
      </c>
      <c r="B355" s="102" t="s">
        <v>1022</v>
      </c>
      <c r="C355" s="102" t="s">
        <v>1234</v>
      </c>
      <c r="D355" t="s">
        <v>15</v>
      </c>
      <c r="E355" t="s">
        <v>657</v>
      </c>
      <c r="F355" t="s">
        <v>21</v>
      </c>
      <c r="G355" t="s">
        <v>123</v>
      </c>
      <c r="H355" t="s">
        <v>1228</v>
      </c>
      <c r="I355" t="s">
        <v>139</v>
      </c>
      <c r="J355" t="s">
        <v>287</v>
      </c>
      <c r="K355" s="28">
        <f t="shared" si="83"/>
        <v>3.8422550388835235E-2</v>
      </c>
      <c r="L355" s="28">
        <f t="shared" si="87"/>
        <v>3.8301274844051346E-2</v>
      </c>
      <c r="M355" s="28">
        <f t="shared" si="87"/>
        <v>3.7900217531227944E-2</v>
      </c>
      <c r="N355" s="28">
        <f t="shared" si="87"/>
        <v>3.712151288291534E-2</v>
      </c>
      <c r="O355" s="28">
        <f t="shared" si="87"/>
        <v>3.6376879315672413E-2</v>
      </c>
      <c r="P355" s="28">
        <f t="shared" si="87"/>
        <v>3.5854509302702606E-2</v>
      </c>
      <c r="Q355" s="28">
        <f t="shared" si="87"/>
        <v>3.5412105472740686E-2</v>
      </c>
      <c r="R355" s="28">
        <f t="shared" si="87"/>
        <v>3.4597465500143629E-2</v>
      </c>
      <c r="S355" s="28">
        <f t="shared" si="87"/>
        <v>3.0287461168290553E-2</v>
      </c>
      <c r="T355" s="28">
        <f t="shared" si="87"/>
        <v>3.0479925660118236E-2</v>
      </c>
      <c r="U355" s="28">
        <f t="shared" si="87"/>
        <v>3.0576534949970324E-2</v>
      </c>
      <c r="V355" s="28">
        <f t="shared" si="87"/>
        <v>3.0670458090413286E-2</v>
      </c>
      <c r="W355" s="28">
        <f t="shared" si="87"/>
        <v>3.0899874988755002E-2</v>
      </c>
      <c r="X355" s="28">
        <f t="shared" si="87"/>
        <v>3.1121579275510219E-2</v>
      </c>
      <c r="Y355" s="28">
        <f t="shared" si="87"/>
        <v>3.1375930892687053E-2</v>
      </c>
      <c r="Z355" s="28">
        <f t="shared" si="87"/>
        <v>3.1589420518295906E-2</v>
      </c>
      <c r="AA355" s="28">
        <f t="shared" si="87"/>
        <v>3.1845985380898841E-2</v>
      </c>
      <c r="AB355" s="28">
        <f t="shared" si="87"/>
        <v>3.2032749858579623E-2</v>
      </c>
      <c r="AC355" s="28">
        <f t="shared" si="87"/>
        <v>3.222920973545864E-2</v>
      </c>
      <c r="AD355" s="28">
        <f t="shared" si="87"/>
        <v>3.2591568939191247E-2</v>
      </c>
      <c r="AE355" s="28">
        <f t="shared" si="87"/>
        <v>3.3014863647997064E-2</v>
      </c>
      <c r="AF355" s="28">
        <f t="shared" si="87"/>
        <v>3.345289737347313E-2</v>
      </c>
      <c r="AG355" s="28">
        <f t="shared" si="87"/>
        <v>3.2960586536628499E-2</v>
      </c>
      <c r="AH355" s="28">
        <f t="shared" si="87"/>
        <v>-1.112114773249949E-2</v>
      </c>
      <c r="AI355" s="28">
        <f t="shared" si="87"/>
        <v>-1.0999500339038397E-2</v>
      </c>
      <c r="AJ355" s="28">
        <f t="shared" si="87"/>
        <v>-1.0880458459698174E-2</v>
      </c>
      <c r="AK355" s="28">
        <f t="shared" si="87"/>
        <v>-1.0763851645019877E-2</v>
      </c>
      <c r="AL355" s="28">
        <f t="shared" si="87"/>
        <v>-1.0649521925873338E-2</v>
      </c>
      <c r="AM355" s="28">
        <f t="shared" si="87"/>
        <v>-1.0537322606536911E-2</v>
      </c>
      <c r="AN355" s="28">
        <f t="shared" si="87"/>
        <v>-1.0414262308081425E-2</v>
      </c>
      <c r="AO355" s="28">
        <f t="shared" si="87"/>
        <v>-1.0293371736443279E-2</v>
      </c>
      <c r="AP355" s="28">
        <f t="shared" si="87"/>
        <v>-1.0174524169652843E-2</v>
      </c>
      <c r="AQ355" s="28">
        <f t="shared" si="87"/>
        <v>-1.0057601162939404E-2</v>
      </c>
      <c r="AR355" s="28">
        <f t="shared" si="87"/>
        <v>-9.9424918335602689E-3</v>
      </c>
      <c r="AS355" s="28">
        <f t="shared" si="87"/>
        <v>-9.8170484341927999E-3</v>
      </c>
      <c r="AT355" s="28">
        <f t="shared" si="87"/>
        <v>-9.6935210116723403E-3</v>
      </c>
      <c r="AU355" s="28">
        <f t="shared" si="87"/>
        <v>-9.5718109436564065E-3</v>
      </c>
      <c r="AV355" s="28">
        <f t="shared" si="87"/>
        <v>-9.4518254347556157E-3</v>
      </c>
      <c r="AW355" s="28">
        <f t="shared" si="87"/>
        <v>-9.3334770622229783E-3</v>
      </c>
      <c r="AY355" s="85"/>
    </row>
    <row r="356" spans="1:51" x14ac:dyDescent="0.25">
      <c r="A356" s="102" t="str">
        <f t="shared" si="71"/>
        <v>GS Poultry MMN2O</v>
      </c>
      <c r="B356" s="102" t="s">
        <v>1022</v>
      </c>
      <c r="C356" s="102" t="s">
        <v>1235</v>
      </c>
      <c r="D356" t="s">
        <v>15</v>
      </c>
      <c r="E356" t="s">
        <v>657</v>
      </c>
      <c r="F356" t="s">
        <v>28</v>
      </c>
      <c r="G356" t="s">
        <v>131</v>
      </c>
      <c r="H356" t="s">
        <v>1228</v>
      </c>
      <c r="I356" t="s">
        <v>139</v>
      </c>
      <c r="J356" t="s">
        <v>287</v>
      </c>
      <c r="K356" s="28">
        <f t="shared" si="83"/>
        <v>0.32963485119754937</v>
      </c>
      <c r="L356" s="28">
        <f t="shared" si="87"/>
        <v>0.3367733222576253</v>
      </c>
      <c r="M356" s="28">
        <f t="shared" si="87"/>
        <v>0.34252519941326248</v>
      </c>
      <c r="N356" s="28">
        <f t="shared" si="87"/>
        <v>0.34628339258632435</v>
      </c>
      <c r="O356" s="28">
        <f t="shared" si="87"/>
        <v>0.35009259651269609</v>
      </c>
      <c r="P356" s="28">
        <f t="shared" si="87"/>
        <v>0.35500337907845531</v>
      </c>
      <c r="Q356" s="28">
        <f t="shared" si="87"/>
        <v>0.36025498659562288</v>
      </c>
      <c r="R356" s="28">
        <f t="shared" si="87"/>
        <v>0.36330907698293946</v>
      </c>
      <c r="S356" s="28">
        <f t="shared" si="87"/>
        <v>0.34573940681489368</v>
      </c>
      <c r="T356" s="28">
        <f t="shared" si="87"/>
        <v>0.35316196495857255</v>
      </c>
      <c r="U356" s="28">
        <f t="shared" si="87"/>
        <v>0.36009092327704184</v>
      </c>
      <c r="V356" s="28">
        <f t="shared" si="87"/>
        <v>0.36707458200076865</v>
      </c>
      <c r="W356" s="28">
        <f t="shared" si="87"/>
        <v>0.37500055316657199</v>
      </c>
      <c r="X356" s="28">
        <f t="shared" si="87"/>
        <v>0.38299236324087566</v>
      </c>
      <c r="Y356" s="28">
        <f t="shared" si="87"/>
        <v>0.39099432975561715</v>
      </c>
      <c r="Z356" s="28">
        <f t="shared" si="87"/>
        <v>0.398841954270029</v>
      </c>
      <c r="AA356" s="28">
        <f t="shared" si="87"/>
        <v>0.40710661573230994</v>
      </c>
      <c r="AB356" s="28">
        <f t="shared" si="87"/>
        <v>0.41500811589686409</v>
      </c>
      <c r="AC356" s="28">
        <f t="shared" si="87"/>
        <v>0.42309700830126501</v>
      </c>
      <c r="AD356" s="28">
        <f t="shared" si="87"/>
        <v>0.43226826232979193</v>
      </c>
      <c r="AE356" s="28">
        <f t="shared" si="87"/>
        <v>0.44207160383339156</v>
      </c>
      <c r="AF356" s="28">
        <f t="shared" si="87"/>
        <v>0.45218336296465478</v>
      </c>
      <c r="AG356" s="28">
        <f t="shared" si="87"/>
        <v>0.4551931213650493</v>
      </c>
      <c r="AH356" s="28">
        <f t="shared" si="87"/>
        <v>0.10910564018941009</v>
      </c>
      <c r="AI356" s="28">
        <f t="shared" si="87"/>
        <v>0.10994420930696339</v>
      </c>
      <c r="AJ356" s="28">
        <f t="shared" si="87"/>
        <v>0.11078888384654588</v>
      </c>
      <c r="AK356" s="28">
        <f t="shared" si="87"/>
        <v>0.11163971029926273</v>
      </c>
      <c r="AL356" s="28">
        <f t="shared" si="87"/>
        <v>0.11249673536734303</v>
      </c>
      <c r="AM356" s="28">
        <f t="shared" si="87"/>
        <v>0.1133600059778764</v>
      </c>
      <c r="AN356" s="28">
        <f t="shared" si="87"/>
        <v>0.11409797095001123</v>
      </c>
      <c r="AO356" s="28">
        <f t="shared" si="87"/>
        <v>0.11484049120695125</v>
      </c>
      <c r="AP356" s="28">
        <f t="shared" si="87"/>
        <v>0.11558759635865411</v>
      </c>
      <c r="AQ356" s="28">
        <f t="shared" si="87"/>
        <v>0.11633931611415979</v>
      </c>
      <c r="AR356" s="28">
        <f t="shared" si="87"/>
        <v>0.11709568028936261</v>
      </c>
      <c r="AS356" s="28">
        <f t="shared" si="87"/>
        <v>0.11772147862106908</v>
      </c>
      <c r="AT356" s="28">
        <f t="shared" si="87"/>
        <v>0.11835044728238052</v>
      </c>
      <c r="AU356" s="28">
        <f t="shared" si="87"/>
        <v>0.11898260346877226</v>
      </c>
      <c r="AV356" s="28">
        <f t="shared" si="87"/>
        <v>0.11961796440464827</v>
      </c>
      <c r="AW356" s="28">
        <f t="shared" si="87"/>
        <v>0.12025654734797987</v>
      </c>
      <c r="AY356" s="85"/>
    </row>
    <row r="357" spans="1:51" x14ac:dyDescent="0.25">
      <c r="A357" s="102" t="str">
        <f t="shared" si="71"/>
        <v>GS Poultry MMN2O</v>
      </c>
      <c r="B357" s="102" t="s">
        <v>1022</v>
      </c>
      <c r="C357" s="102" t="s">
        <v>1235</v>
      </c>
      <c r="D357" t="s">
        <v>15</v>
      </c>
      <c r="E357" t="s">
        <v>657</v>
      </c>
      <c r="F357" t="s">
        <v>28</v>
      </c>
      <c r="G357" t="s">
        <v>132</v>
      </c>
      <c r="H357" t="s">
        <v>1228</v>
      </c>
      <c r="I357" t="s">
        <v>139</v>
      </c>
      <c r="J357" t="s">
        <v>287</v>
      </c>
      <c r="K357" s="28">
        <f t="shared" si="83"/>
        <v>1.7216530294251391</v>
      </c>
      <c r="L357" s="28">
        <f t="shared" si="87"/>
        <v>1.7495913852181326</v>
      </c>
      <c r="M357" s="28">
        <f t="shared" si="87"/>
        <v>1.7578868664335328</v>
      </c>
      <c r="N357" s="28">
        <f t="shared" si="87"/>
        <v>1.7392918980189422</v>
      </c>
      <c r="O357" s="28">
        <f t="shared" si="87"/>
        <v>1.7207368558327785</v>
      </c>
      <c r="P357" s="28">
        <f t="shared" si="87"/>
        <v>1.7153529254443873</v>
      </c>
      <c r="Q357" s="28">
        <f t="shared" si="87"/>
        <v>1.7142313641539435</v>
      </c>
      <c r="R357" s="28">
        <f t="shared" si="87"/>
        <v>1.6856374848225169</v>
      </c>
      <c r="S357" s="28">
        <f t="shared" si="87"/>
        <v>1.4045469015643526</v>
      </c>
      <c r="T357" s="28">
        <f t="shared" si="87"/>
        <v>1.4459775319383337</v>
      </c>
      <c r="U357" s="28">
        <f t="shared" si="87"/>
        <v>1.480607974450509</v>
      </c>
      <c r="V357" s="28">
        <f t="shared" si="87"/>
        <v>1.5151543903265086</v>
      </c>
      <c r="W357" s="28">
        <f t="shared" si="87"/>
        <v>1.5601003686418904</v>
      </c>
      <c r="X357" s="28">
        <f t="shared" si="87"/>
        <v>1.6049114332445515</v>
      </c>
      <c r="Y357" s="28">
        <f t="shared" si="87"/>
        <v>1.6541109963656262</v>
      </c>
      <c r="Z357" s="28">
        <f t="shared" si="87"/>
        <v>1.7006835408755379</v>
      </c>
      <c r="AA357" s="28">
        <f t="shared" si="87"/>
        <v>1.7512278539533319</v>
      </c>
      <c r="AB357" s="28">
        <f t="shared" si="87"/>
        <v>1.7968025285418052</v>
      </c>
      <c r="AC357" s="28">
        <f t="shared" si="87"/>
        <v>1.8437229492039162</v>
      </c>
      <c r="AD357" s="28">
        <f t="shared" si="87"/>
        <v>1.9060767826661782</v>
      </c>
      <c r="AE357" s="28">
        <f t="shared" si="87"/>
        <v>1.9745333748476768</v>
      </c>
      <c r="AF357" s="28">
        <f t="shared" si="87"/>
        <v>2.0454043901813557</v>
      </c>
      <c r="AG357" s="28">
        <f t="shared" si="87"/>
        <v>2.0375124323750504</v>
      </c>
      <c r="AH357" s="28">
        <f t="shared" si="87"/>
        <v>-1.7670360622808823</v>
      </c>
      <c r="AI357" s="28">
        <f t="shared" si="87"/>
        <v>-1.769567863105443</v>
      </c>
      <c r="AJ357" s="28">
        <f t="shared" si="87"/>
        <v>-1.7723139091947202</v>
      </c>
      <c r="AK357" s="28">
        <f t="shared" si="87"/>
        <v>-1.775265259663616</v>
      </c>
      <c r="AL357" s="28">
        <f t="shared" si="87"/>
        <v>-1.7784136680871927</v>
      </c>
      <c r="AM357" s="28">
        <f t="shared" si="87"/>
        <v>-1.7817515157915651</v>
      </c>
      <c r="AN357" s="28">
        <f t="shared" si="87"/>
        <v>-1.7831253143927157</v>
      </c>
      <c r="AO357" s="28">
        <f t="shared" si="87"/>
        <v>-1.7846712895501273</v>
      </c>
      <c r="AP357" s="28">
        <f t="shared" si="87"/>
        <v>-1.7863827557357852</v>
      </c>
      <c r="AQ357" s="28">
        <f t="shared" si="87"/>
        <v>-1.788253486478437</v>
      </c>
      <c r="AR357" s="28">
        <f t="shared" si="87"/>
        <v>-1.79027767491833</v>
      </c>
      <c r="AS357" s="28">
        <f t="shared" si="87"/>
        <v>-1.7903062211735206</v>
      </c>
      <c r="AT357" s="28">
        <f t="shared" si="87"/>
        <v>-1.7904768825126722</v>
      </c>
      <c r="AU357" s="28">
        <f t="shared" si="87"/>
        <v>-1.7907844045675889</v>
      </c>
      <c r="AV357" s="28">
        <f t="shared" ref="L357:AW359" si="88">AV1426</f>
        <v>-1.7912238548642139</v>
      </c>
      <c r="AW357" s="28">
        <f t="shared" si="88"/>
        <v>-1.7917905978217188</v>
      </c>
      <c r="AY357" s="85"/>
    </row>
    <row r="358" spans="1:51" x14ac:dyDescent="0.25">
      <c r="A358" s="102" t="str">
        <f t="shared" si="71"/>
        <v>GS Poultry MMN2O</v>
      </c>
      <c r="B358" s="102" t="s">
        <v>1022</v>
      </c>
      <c r="C358" s="102" t="s">
        <v>1235</v>
      </c>
      <c r="D358" t="s">
        <v>15</v>
      </c>
      <c r="E358" t="s">
        <v>657</v>
      </c>
      <c r="F358" t="s">
        <v>28</v>
      </c>
      <c r="G358" t="s">
        <v>134</v>
      </c>
      <c r="H358" t="s">
        <v>1228</v>
      </c>
      <c r="I358" t="s">
        <v>139</v>
      </c>
      <c r="J358" t="s">
        <v>287</v>
      </c>
      <c r="K358" s="28">
        <f t="shared" si="83"/>
        <v>1.3734785466564569E-2</v>
      </c>
      <c r="L358" s="28">
        <f t="shared" si="88"/>
        <v>1.40322217607344E-2</v>
      </c>
      <c r="M358" s="28">
        <f t="shared" si="88"/>
        <v>1.4271883308885947E-2</v>
      </c>
      <c r="N358" s="28">
        <f t="shared" si="88"/>
        <v>1.442847469109686E-2</v>
      </c>
      <c r="O358" s="28">
        <f t="shared" si="88"/>
        <v>1.4587191521362352E-2</v>
      </c>
      <c r="P358" s="28">
        <f t="shared" si="88"/>
        <v>1.4791807461602316E-2</v>
      </c>
      <c r="Q358" s="28">
        <f t="shared" si="88"/>
        <v>1.5010624441484299E-2</v>
      </c>
      <c r="R358" s="28">
        <f t="shared" si="88"/>
        <v>1.5137878207622494E-2</v>
      </c>
      <c r="S358" s="28">
        <f t="shared" si="88"/>
        <v>1.4405808617287252E-2</v>
      </c>
      <c r="T358" s="28">
        <f t="shared" si="88"/>
        <v>1.471508187327387E-2</v>
      </c>
      <c r="U358" s="28">
        <f t="shared" si="88"/>
        <v>1.5003788469876761E-2</v>
      </c>
      <c r="V358" s="28">
        <f t="shared" si="88"/>
        <v>1.5294774250032041E-2</v>
      </c>
      <c r="W358" s="28">
        <f t="shared" si="88"/>
        <v>1.5625023048607179E-2</v>
      </c>
      <c r="X358" s="28">
        <f t="shared" si="88"/>
        <v>1.5958015135036502E-2</v>
      </c>
      <c r="Y358" s="28">
        <f t="shared" si="88"/>
        <v>1.6291430406484061E-2</v>
      </c>
      <c r="Z358" s="28">
        <f t="shared" si="88"/>
        <v>1.6618414761251227E-2</v>
      </c>
      <c r="AA358" s="28">
        <f t="shared" si="88"/>
        <v>1.6962775655512932E-2</v>
      </c>
      <c r="AB358" s="28">
        <f t="shared" si="88"/>
        <v>1.7292004829036017E-2</v>
      </c>
      <c r="AC358" s="28">
        <f t="shared" si="88"/>
        <v>1.7629042012552724E-2</v>
      </c>
      <c r="AD358" s="28">
        <f t="shared" si="88"/>
        <v>1.8011177597074678E-2</v>
      </c>
      <c r="AE358" s="28">
        <f t="shared" si="88"/>
        <v>1.8419650159724663E-2</v>
      </c>
      <c r="AF358" s="28">
        <f t="shared" si="88"/>
        <v>1.884097345686063E-2</v>
      </c>
      <c r="AG358" s="28">
        <f t="shared" si="88"/>
        <v>1.8966380056877074E-2</v>
      </c>
      <c r="AH358" s="28">
        <f t="shared" si="88"/>
        <v>4.546068341225425E-3</v>
      </c>
      <c r="AI358" s="28">
        <f t="shared" si="88"/>
        <v>4.5810087211234788E-3</v>
      </c>
      <c r="AJ358" s="28">
        <f t="shared" si="88"/>
        <v>4.6162034936060832E-3</v>
      </c>
      <c r="AK358" s="28">
        <f t="shared" si="88"/>
        <v>4.651654595802618E-3</v>
      </c>
      <c r="AL358" s="28">
        <f t="shared" si="88"/>
        <v>4.6873639736392985E-3</v>
      </c>
      <c r="AM358" s="28">
        <f t="shared" si="88"/>
        <v>4.7233335824115215E-3</v>
      </c>
      <c r="AN358" s="28">
        <f t="shared" si="88"/>
        <v>4.7540821229171398E-3</v>
      </c>
      <c r="AO358" s="28">
        <f t="shared" si="88"/>
        <v>4.7850204669563062E-3</v>
      </c>
      <c r="AP358" s="28">
        <f t="shared" si="88"/>
        <v>4.8161498482772597E-3</v>
      </c>
      <c r="AQ358" s="28">
        <f t="shared" si="88"/>
        <v>4.8474715047566626E-3</v>
      </c>
      <c r="AR358" s="28">
        <f t="shared" si="88"/>
        <v>4.8789866787234456E-3</v>
      </c>
      <c r="AS358" s="28">
        <f t="shared" si="88"/>
        <v>4.9050616092112158E-3</v>
      </c>
      <c r="AT358" s="28">
        <f t="shared" si="88"/>
        <v>4.9312686367658596E-3</v>
      </c>
      <c r="AU358" s="28">
        <f t="shared" si="88"/>
        <v>4.9576084778655159E-3</v>
      </c>
      <c r="AV358" s="28">
        <f t="shared" si="88"/>
        <v>4.9840818501936824E-3</v>
      </c>
      <c r="AW358" s="28">
        <f t="shared" si="88"/>
        <v>5.0106894728324993E-3</v>
      </c>
      <c r="AY358" s="85"/>
    </row>
    <row r="359" spans="1:51" x14ac:dyDescent="0.25">
      <c r="A359" s="102" t="str">
        <f t="shared" si="71"/>
        <v>GS Poultry MMN2O</v>
      </c>
      <c r="B359" s="102" t="s">
        <v>1022</v>
      </c>
      <c r="C359" s="102" t="s">
        <v>1235</v>
      </c>
      <c r="D359" t="s">
        <v>15</v>
      </c>
      <c r="E359" t="s">
        <v>657</v>
      </c>
      <c r="F359" t="s">
        <v>28</v>
      </c>
      <c r="G359" t="s">
        <v>133</v>
      </c>
      <c r="H359" t="s">
        <v>1228</v>
      </c>
      <c r="I359" t="s">
        <v>139</v>
      </c>
      <c r="J359" t="s">
        <v>287</v>
      </c>
      <c r="K359" s="28">
        <f t="shared" si="83"/>
        <v>7.1735542892714194E-2</v>
      </c>
      <c r="L359" s="28">
        <f t="shared" si="88"/>
        <v>7.2899641050755595E-2</v>
      </c>
      <c r="M359" s="28">
        <f t="shared" si="88"/>
        <v>7.3245286101397272E-2</v>
      </c>
      <c r="N359" s="28">
        <f t="shared" si="88"/>
        <v>7.2470495750789329E-2</v>
      </c>
      <c r="O359" s="28">
        <f t="shared" si="88"/>
        <v>7.1697368993032501E-2</v>
      </c>
      <c r="P359" s="28">
        <f t="shared" si="88"/>
        <v>7.1473038560182875E-2</v>
      </c>
      <c r="Q359" s="28">
        <f t="shared" si="88"/>
        <v>7.1426306839747711E-2</v>
      </c>
      <c r="R359" s="28">
        <f t="shared" si="88"/>
        <v>7.0234895200938272E-2</v>
      </c>
      <c r="S359" s="28">
        <f t="shared" si="88"/>
        <v>5.8522787565181415E-2</v>
      </c>
      <c r="T359" s="28">
        <f t="shared" si="88"/>
        <v>6.0249063830763963E-2</v>
      </c>
      <c r="U359" s="28">
        <f t="shared" si="88"/>
        <v>6.1691998935437933E-2</v>
      </c>
      <c r="V359" s="28">
        <f t="shared" si="88"/>
        <v>6.313143293027125E-2</v>
      </c>
      <c r="W359" s="28">
        <f t="shared" si="88"/>
        <v>6.5004182026745502E-2</v>
      </c>
      <c r="X359" s="28">
        <f t="shared" si="88"/>
        <v>6.6871309718523023E-2</v>
      </c>
      <c r="Y359" s="28">
        <f t="shared" si="88"/>
        <v>6.8921291515234503E-2</v>
      </c>
      <c r="Z359" s="28">
        <f t="shared" si="88"/>
        <v>7.086181420314748E-2</v>
      </c>
      <c r="AA359" s="28">
        <f t="shared" si="88"/>
        <v>7.2967827248055561E-2</v>
      </c>
      <c r="AB359" s="28">
        <f t="shared" si="88"/>
        <v>7.4866772022575287E-2</v>
      </c>
      <c r="AC359" s="28">
        <f t="shared" si="88"/>
        <v>7.682178955016325E-2</v>
      </c>
      <c r="AD359" s="28">
        <f t="shared" si="88"/>
        <v>7.9419865944424156E-2</v>
      </c>
      <c r="AE359" s="28">
        <f t="shared" si="88"/>
        <v>8.2272223951986606E-2</v>
      </c>
      <c r="AF359" s="28">
        <f t="shared" si="88"/>
        <v>8.5225182924223236E-2</v>
      </c>
      <c r="AG359" s="28">
        <f t="shared" si="88"/>
        <v>8.4896351348960508E-2</v>
      </c>
      <c r="AH359" s="28">
        <f t="shared" si="88"/>
        <v>-7.3626502595036822E-2</v>
      </c>
      <c r="AI359" s="28">
        <f t="shared" si="88"/>
        <v>-7.3731994296060199E-2</v>
      </c>
      <c r="AJ359" s="28">
        <f t="shared" si="88"/>
        <v>-7.3846412883113402E-2</v>
      </c>
      <c r="AK359" s="28">
        <f t="shared" si="88"/>
        <v>-7.3969385819317404E-2</v>
      </c>
      <c r="AL359" s="28">
        <f t="shared" si="88"/>
        <v>-7.4100569503633099E-2</v>
      </c>
      <c r="AM359" s="28">
        <f t="shared" si="88"/>
        <v>-7.4239646491315286E-2</v>
      </c>
      <c r="AN359" s="28">
        <f t="shared" si="88"/>
        <v>-7.4296888099696562E-2</v>
      </c>
      <c r="AO359" s="28">
        <f t="shared" si="88"/>
        <v>-7.4361303731255379E-2</v>
      </c>
      <c r="AP359" s="28">
        <f t="shared" si="88"/>
        <v>-7.4432614822324453E-2</v>
      </c>
      <c r="AQ359" s="28">
        <f t="shared" si="88"/>
        <v>-7.4510561936601619E-2</v>
      </c>
      <c r="AR359" s="28">
        <f t="shared" si="88"/>
        <v>-7.4594903121597153E-2</v>
      </c>
      <c r="AS359" s="28">
        <f t="shared" si="88"/>
        <v>-7.4596092548896764E-2</v>
      </c>
      <c r="AT359" s="28">
        <f t="shared" si="88"/>
        <v>-7.4603203438028065E-2</v>
      </c>
      <c r="AU359" s="28">
        <f t="shared" si="88"/>
        <v>-7.4616016856982936E-2</v>
      </c>
      <c r="AV359" s="28">
        <f t="shared" si="88"/>
        <v>-7.4634327286008981E-2</v>
      </c>
      <c r="AW359" s="28">
        <f t="shared" si="88"/>
        <v>-7.465794157590501E-2</v>
      </c>
      <c r="AY359" s="85"/>
    </row>
    <row r="360" spans="1:51" x14ac:dyDescent="0.25">
      <c r="A360" s="102" t="str">
        <f t="shared" si="71"/>
        <v>GS Synthetic</v>
      </c>
      <c r="B360" s="102" t="s">
        <v>1022</v>
      </c>
      <c r="C360" s="102" t="s">
        <v>1127</v>
      </c>
      <c r="D360" t="s">
        <v>369</v>
      </c>
      <c r="E360" t="s">
        <v>55</v>
      </c>
      <c r="H360" t="s">
        <v>419</v>
      </c>
      <c r="I360" t="s">
        <v>139</v>
      </c>
      <c r="J360" t="s">
        <v>287</v>
      </c>
      <c r="K360" s="22">
        <f>K1463</f>
        <v>6.6064812063358538</v>
      </c>
      <c r="L360" s="22">
        <f t="shared" ref="L360:AW367" si="89">L1463</f>
        <v>6.6055332632324646</v>
      </c>
      <c r="M360" s="22">
        <f t="shared" si="89"/>
        <v>6.6042378924026437</v>
      </c>
      <c r="N360" s="22">
        <f t="shared" si="89"/>
        <v>6.6032976249569808</v>
      </c>
      <c r="O360" s="22">
        <f t="shared" si="89"/>
        <v>6.6028397217143464</v>
      </c>
      <c r="P360" s="22">
        <f t="shared" si="89"/>
        <v>6.6023877667619955</v>
      </c>
      <c r="Q360" s="22">
        <f t="shared" si="89"/>
        <v>6.6017040685586048</v>
      </c>
      <c r="R360" s="22">
        <f t="shared" si="89"/>
        <v>6.6009555191940086</v>
      </c>
      <c r="S360" s="22">
        <f t="shared" si="89"/>
        <v>6.6007105452260202</v>
      </c>
      <c r="T360" s="22">
        <f t="shared" si="89"/>
        <v>6.6052103201480445</v>
      </c>
      <c r="U360" s="22">
        <f t="shared" si="89"/>
        <v>6.6038066881148643</v>
      </c>
      <c r="V360" s="22">
        <f t="shared" si="89"/>
        <v>6.60254471504373</v>
      </c>
      <c r="W360" s="22">
        <f t="shared" si="89"/>
        <v>6.6012944407562824</v>
      </c>
      <c r="X360" s="22">
        <f t="shared" si="89"/>
        <v>6.5998592560706051</v>
      </c>
      <c r="Y360" s="22">
        <f t="shared" si="89"/>
        <v>6.5984396481179575</v>
      </c>
      <c r="Z360" s="22">
        <f t="shared" si="89"/>
        <v>6.5970003432051669</v>
      </c>
      <c r="AA360" s="22">
        <f t="shared" si="89"/>
        <v>6.595622302868513</v>
      </c>
      <c r="AB360" s="22">
        <f t="shared" si="89"/>
        <v>6.5941853622185969</v>
      </c>
      <c r="AC360" s="22">
        <f t="shared" si="89"/>
        <v>6.592850540390411</v>
      </c>
      <c r="AD360" s="22">
        <f t="shared" si="89"/>
        <v>6.5915038110737925</v>
      </c>
      <c r="AE360" s="22">
        <f t="shared" si="89"/>
        <v>6.5899366744546857</v>
      </c>
      <c r="AF360" s="22">
        <f t="shared" si="89"/>
        <v>6.5882822576482969</v>
      </c>
      <c r="AG360" s="22">
        <f t="shared" si="89"/>
        <v>6.5866069718802809</v>
      </c>
      <c r="AH360" s="22">
        <f t="shared" si="89"/>
        <v>6.5862744996812319</v>
      </c>
      <c r="AI360" s="22">
        <f t="shared" si="89"/>
        <v>6.7244352177988764</v>
      </c>
      <c r="AJ360" s="22">
        <f t="shared" si="89"/>
        <v>6.7246796459520661</v>
      </c>
      <c r="AK360" s="22">
        <f t="shared" si="89"/>
        <v>6.7249266471091245</v>
      </c>
      <c r="AL360" s="22">
        <f t="shared" si="89"/>
        <v>6.7251762567164626</v>
      </c>
      <c r="AM360" s="22">
        <f t="shared" si="89"/>
        <v>6.725428510887201</v>
      </c>
      <c r="AN360" s="22">
        <f t="shared" si="89"/>
        <v>6.7256834464178157</v>
      </c>
      <c r="AO360" s="22">
        <f t="shared" si="89"/>
        <v>6.7259019731905472</v>
      </c>
      <c r="AP360" s="22">
        <f t="shared" si="89"/>
        <v>6.7261224822219834</v>
      </c>
      <c r="AQ360" s="22">
        <f t="shared" si="89"/>
        <v>6.7263449972304938</v>
      </c>
      <c r="AR360" s="22">
        <f t="shared" si="89"/>
        <v>6.7265695423235661</v>
      </c>
      <c r="AS360" s="22">
        <f t="shared" si="89"/>
        <v>6.7267961420062665</v>
      </c>
      <c r="AT360" s="22">
        <f t="shared" si="89"/>
        <v>6.72698404674487</v>
      </c>
      <c r="AU360" s="22">
        <f t="shared" si="89"/>
        <v>6.7271733718738833</v>
      </c>
      <c r="AV360" s="22">
        <f t="shared" si="89"/>
        <v>6.7273641316511892</v>
      </c>
      <c r="AW360" s="22">
        <f t="shared" si="89"/>
        <v>6.7275563405315459</v>
      </c>
      <c r="AY360" s="85"/>
    </row>
    <row r="361" spans="1:51" x14ac:dyDescent="0.25">
      <c r="A361" s="102" t="str">
        <f t="shared" si="71"/>
        <v>GS Organic</v>
      </c>
      <c r="B361" s="102" t="s">
        <v>1022</v>
      </c>
      <c r="C361" s="102" t="s">
        <v>1128</v>
      </c>
      <c r="D361" t="s">
        <v>369</v>
      </c>
      <c r="E361" t="s">
        <v>55</v>
      </c>
      <c r="H361" t="s">
        <v>420</v>
      </c>
      <c r="I361" t="s">
        <v>139</v>
      </c>
      <c r="J361" t="s">
        <v>287</v>
      </c>
      <c r="K361" s="22">
        <f t="shared" ref="K361:Z424" si="90">K1464</f>
        <v>4.3602775961816637E-2</v>
      </c>
      <c r="L361" s="22">
        <f t="shared" si="90"/>
        <v>4.3596519537334268E-2</v>
      </c>
      <c r="M361" s="22">
        <f t="shared" si="90"/>
        <v>4.3587970089857465E-2</v>
      </c>
      <c r="N361" s="22">
        <f t="shared" si="90"/>
        <v>4.3581764324716096E-2</v>
      </c>
      <c r="O361" s="22">
        <f t="shared" si="90"/>
        <v>4.3578742163314678E-2</v>
      </c>
      <c r="P361" s="22">
        <f t="shared" si="90"/>
        <v>4.3575759260629177E-2</v>
      </c>
      <c r="Q361" s="22">
        <f t="shared" si="90"/>
        <v>4.3571246852486797E-2</v>
      </c>
      <c r="R361" s="22">
        <f t="shared" si="90"/>
        <v>4.3566306426680468E-2</v>
      </c>
      <c r="S361" s="22">
        <f t="shared" si="90"/>
        <v>4.3564689598491746E-2</v>
      </c>
      <c r="T361" s="22">
        <f t="shared" si="90"/>
        <v>4.3594388112977112E-2</v>
      </c>
      <c r="U361" s="22">
        <f t="shared" si="90"/>
        <v>4.3585124141558115E-2</v>
      </c>
      <c r="V361" s="22">
        <f t="shared" si="90"/>
        <v>4.3576795119288615E-2</v>
      </c>
      <c r="W361" s="22">
        <f t="shared" si="90"/>
        <v>4.3568543308991473E-2</v>
      </c>
      <c r="X361" s="22">
        <f t="shared" si="90"/>
        <v>4.3559071090065994E-2</v>
      </c>
      <c r="Y361" s="22">
        <f t="shared" si="90"/>
        <v>4.3549701677578524E-2</v>
      </c>
      <c r="Z361" s="22">
        <f t="shared" si="90"/>
        <v>4.3540202265154107E-2</v>
      </c>
      <c r="AA361" s="22">
        <f t="shared" si="89"/>
        <v>4.3531107198932197E-2</v>
      </c>
      <c r="AB361" s="22">
        <f t="shared" si="89"/>
        <v>4.352162339064275E-2</v>
      </c>
      <c r="AC361" s="22">
        <f t="shared" si="89"/>
        <v>4.351281356657672E-2</v>
      </c>
      <c r="AD361" s="22">
        <f t="shared" si="89"/>
        <v>4.3503925153087042E-2</v>
      </c>
      <c r="AE361" s="22">
        <f t="shared" si="89"/>
        <v>4.3493582051400928E-2</v>
      </c>
      <c r="AF361" s="22">
        <f t="shared" si="89"/>
        <v>4.3482662900478766E-2</v>
      </c>
      <c r="AG361" s="22">
        <f t="shared" si="89"/>
        <v>4.3471606014409865E-2</v>
      </c>
      <c r="AH361" s="22">
        <f t="shared" si="89"/>
        <v>4.3469411697896136E-2</v>
      </c>
      <c r="AI361" s="22">
        <f t="shared" si="89"/>
        <v>4.4381272437472585E-2</v>
      </c>
      <c r="AJ361" s="22">
        <f t="shared" si="89"/>
        <v>4.4382885663283633E-2</v>
      </c>
      <c r="AK361" s="22">
        <f t="shared" si="89"/>
        <v>4.4384515870920224E-2</v>
      </c>
      <c r="AL361" s="22">
        <f t="shared" si="89"/>
        <v>4.4386163294328665E-2</v>
      </c>
      <c r="AM361" s="22">
        <f t="shared" si="89"/>
        <v>4.4387828171855534E-2</v>
      </c>
      <c r="AN361" s="22">
        <f t="shared" si="89"/>
        <v>4.4389510746357594E-2</v>
      </c>
      <c r="AO361" s="22">
        <f t="shared" si="89"/>
        <v>4.4390953023057615E-2</v>
      </c>
      <c r="AP361" s="22">
        <f t="shared" si="89"/>
        <v>4.4392408382665088E-2</v>
      </c>
      <c r="AQ361" s="22">
        <f t="shared" si="89"/>
        <v>4.4393876981721259E-2</v>
      </c>
      <c r="AR361" s="22">
        <f t="shared" si="89"/>
        <v>4.4395358979335532E-2</v>
      </c>
      <c r="AS361" s="22">
        <f t="shared" si="89"/>
        <v>4.4396854537241355E-2</v>
      </c>
      <c r="AT361" s="22">
        <f t="shared" si="89"/>
        <v>4.4398094708516155E-2</v>
      </c>
      <c r="AU361" s="22">
        <f t="shared" si="89"/>
        <v>4.4399344254367645E-2</v>
      </c>
      <c r="AV361" s="22">
        <f t="shared" si="89"/>
        <v>4.4400603268897852E-2</v>
      </c>
      <c r="AW361" s="22">
        <f t="shared" si="89"/>
        <v>4.4401871847508219E-2</v>
      </c>
      <c r="AY361" s="85"/>
    </row>
    <row r="362" spans="1:51" x14ac:dyDescent="0.25">
      <c r="A362" s="102" t="str">
        <f t="shared" si="71"/>
        <v>GS Crop residues</v>
      </c>
      <c r="B362" s="102" t="s">
        <v>1022</v>
      </c>
      <c r="C362" s="102" t="s">
        <v>58</v>
      </c>
      <c r="D362" t="s">
        <v>369</v>
      </c>
      <c r="E362" t="s">
        <v>55</v>
      </c>
      <c r="H362" t="s">
        <v>58</v>
      </c>
      <c r="I362" t="s">
        <v>139</v>
      </c>
      <c r="J362" t="s">
        <v>287</v>
      </c>
      <c r="K362" s="22">
        <f t="shared" si="90"/>
        <v>2.94930909510781</v>
      </c>
      <c r="L362" s="22">
        <f t="shared" si="89"/>
        <v>2.9563860470471841</v>
      </c>
      <c r="M362" s="22">
        <f t="shared" si="89"/>
        <v>2.9660567509887259</v>
      </c>
      <c r="N362" s="22">
        <f t="shared" si="89"/>
        <v>2.9730763996357101</v>
      </c>
      <c r="O362" s="22">
        <f t="shared" si="89"/>
        <v>2.9764949162422756</v>
      </c>
      <c r="P362" s="22">
        <f t="shared" si="89"/>
        <v>2.9798690253687776</v>
      </c>
      <c r="Q362" s="22">
        <f t="shared" si="89"/>
        <v>2.9849732339537955</v>
      </c>
      <c r="R362" s="22">
        <f t="shared" si="89"/>
        <v>2.9905615945405919</v>
      </c>
      <c r="S362" s="22">
        <f t="shared" si="89"/>
        <v>2.9923904690707688</v>
      </c>
      <c r="T362" s="22">
        <f t="shared" si="89"/>
        <v>2.9587970068183171</v>
      </c>
      <c r="U362" s="22">
        <f t="shared" si="89"/>
        <v>2.9692759442185355</v>
      </c>
      <c r="V362" s="22">
        <f t="shared" si="89"/>
        <v>2.9786973142789162</v>
      </c>
      <c r="W362" s="22">
        <f t="shared" si="89"/>
        <v>2.9880313460490315</v>
      </c>
      <c r="X362" s="22">
        <f t="shared" si="89"/>
        <v>2.9987458425292064</v>
      </c>
      <c r="Y362" s="22">
        <f t="shared" si="89"/>
        <v>3.0093440495500001</v>
      </c>
      <c r="Z362" s="22">
        <f t="shared" si="89"/>
        <v>3.0200893059451359</v>
      </c>
      <c r="AA362" s="22">
        <f t="shared" si="89"/>
        <v>3.0303771863022528</v>
      </c>
      <c r="AB362" s="22">
        <f t="shared" si="89"/>
        <v>3.0411047920866441</v>
      </c>
      <c r="AC362" s="22">
        <f t="shared" si="89"/>
        <v>3.0510700208983077</v>
      </c>
      <c r="AD362" s="22">
        <f t="shared" si="89"/>
        <v>3.0611241461036762</v>
      </c>
      <c r="AE362" s="22">
        <f t="shared" si="89"/>
        <v>3.0728237412547079</v>
      </c>
      <c r="AF362" s="22">
        <f t="shared" si="89"/>
        <v>3.0851749342584296</v>
      </c>
      <c r="AG362" s="22">
        <f t="shared" si="89"/>
        <v>3.0976819263158513</v>
      </c>
      <c r="AH362" s="22">
        <f t="shared" si="89"/>
        <v>3.100164026523585</v>
      </c>
      <c r="AI362" s="22">
        <f t="shared" si="89"/>
        <v>2.0687131319155303</v>
      </c>
      <c r="AJ362" s="22">
        <f t="shared" si="89"/>
        <v>2.0668883322133484</v>
      </c>
      <c r="AK362" s="22">
        <f t="shared" si="89"/>
        <v>2.0650443235262905</v>
      </c>
      <c r="AL362" s="22">
        <f t="shared" si="89"/>
        <v>2.0631808412261146</v>
      </c>
      <c r="AM362" s="22">
        <f t="shared" si="89"/>
        <v>2.0612976157071592</v>
      </c>
      <c r="AN362" s="22">
        <f t="shared" si="89"/>
        <v>2.0593943722621146</v>
      </c>
      <c r="AO362" s="22">
        <f t="shared" si="89"/>
        <v>2.0577629415754459</v>
      </c>
      <c r="AP362" s="22">
        <f t="shared" si="89"/>
        <v>2.056116712163484</v>
      </c>
      <c r="AQ362" s="22">
        <f t="shared" si="89"/>
        <v>2.0544555069546533</v>
      </c>
      <c r="AR362" s="22">
        <f t="shared" si="89"/>
        <v>2.0527791459724298</v>
      </c>
      <c r="AS362" s="22">
        <f t="shared" si="89"/>
        <v>2.0510874462720836</v>
      </c>
      <c r="AT362" s="22">
        <f t="shared" si="89"/>
        <v>2.0496846270527396</v>
      </c>
      <c r="AU362" s="22">
        <f t="shared" si="89"/>
        <v>2.0482712037848629</v>
      </c>
      <c r="AV362" s="22">
        <f t="shared" si="89"/>
        <v>2.0468470700250148</v>
      </c>
      <c r="AW362" s="22">
        <f t="shared" si="89"/>
        <v>2.0454121178598972</v>
      </c>
      <c r="AY362" s="85"/>
    </row>
    <row r="363" spans="1:51" x14ac:dyDescent="0.25">
      <c r="A363" s="102" t="str">
        <f t="shared" si="71"/>
        <v>GS Organic</v>
      </c>
      <c r="B363" s="102" t="s">
        <v>1022</v>
      </c>
      <c r="C363" s="102" t="s">
        <v>1128</v>
      </c>
      <c r="D363" t="s">
        <v>369</v>
      </c>
      <c r="E363" t="s">
        <v>55</v>
      </c>
      <c r="F363" t="s">
        <v>421</v>
      </c>
      <c r="G363" t="s">
        <v>1153</v>
      </c>
      <c r="H363" t="s">
        <v>1154</v>
      </c>
      <c r="I363" t="s">
        <v>139</v>
      </c>
      <c r="J363" t="s">
        <v>287</v>
      </c>
      <c r="K363" s="22">
        <f t="shared" si="90"/>
        <v>0.31935878855248062</v>
      </c>
      <c r="L363" s="22">
        <f t="shared" si="89"/>
        <v>0.3213452540874065</v>
      </c>
      <c r="M363" s="22">
        <f t="shared" si="89"/>
        <v>0.32271097650720204</v>
      </c>
      <c r="N363" s="22">
        <f t="shared" si="89"/>
        <v>0.32313928716206192</v>
      </c>
      <c r="O363" s="22">
        <f t="shared" si="89"/>
        <v>0.32371872756630715</v>
      </c>
      <c r="P363" s="22">
        <f t="shared" si="89"/>
        <v>0.32498792219339984</v>
      </c>
      <c r="Q363" s="22">
        <f t="shared" si="89"/>
        <v>0.32650955781340663</v>
      </c>
      <c r="R363" s="22">
        <f t="shared" si="89"/>
        <v>0.32696667302614263</v>
      </c>
      <c r="S363" s="22">
        <f t="shared" si="89"/>
        <v>0.31692886960594807</v>
      </c>
      <c r="T363" s="22">
        <f t="shared" si="89"/>
        <v>0.319539305941619</v>
      </c>
      <c r="U363" s="22">
        <f t="shared" si="89"/>
        <v>0.32193300192732111</v>
      </c>
      <c r="V363" s="22">
        <f t="shared" si="89"/>
        <v>0.32438733794310681</v>
      </c>
      <c r="W363" s="22">
        <f t="shared" si="89"/>
        <v>0.32734391954355124</v>
      </c>
      <c r="X363" s="22">
        <f t="shared" si="89"/>
        <v>0.33035597962068947</v>
      </c>
      <c r="Y363" s="22">
        <f t="shared" si="89"/>
        <v>0.33328887796807738</v>
      </c>
      <c r="Z363" s="22">
        <f t="shared" si="89"/>
        <v>0.33616310143447364</v>
      </c>
      <c r="AA363" s="22">
        <f t="shared" si="89"/>
        <v>0.33925895533631584</v>
      </c>
      <c r="AB363" s="22">
        <f t="shared" si="89"/>
        <v>0.34219066812704535</v>
      </c>
      <c r="AC363" s="22">
        <f t="shared" si="89"/>
        <v>0.34522753941235912</v>
      </c>
      <c r="AD363" s="22">
        <f t="shared" si="89"/>
        <v>0.34871662740286707</v>
      </c>
      <c r="AE363" s="22">
        <f t="shared" si="89"/>
        <v>0.3525166109950878</v>
      </c>
      <c r="AF363" s="22">
        <f t="shared" si="89"/>
        <v>0.3564674247563781</v>
      </c>
      <c r="AG363" s="22">
        <f t="shared" si="89"/>
        <v>0.35701929306188401</v>
      </c>
      <c r="AH363" s="22">
        <f t="shared" si="89"/>
        <v>0.19114464625483749</v>
      </c>
      <c r="AI363" s="22">
        <f t="shared" si="89"/>
        <v>0.19128523197534555</v>
      </c>
      <c r="AJ363" s="22">
        <f t="shared" si="89"/>
        <v>0.19144428532787389</v>
      </c>
      <c r="AK363" s="22">
        <f t="shared" si="89"/>
        <v>0.19162110436440311</v>
      </c>
      <c r="AL363" s="22">
        <f t="shared" si="89"/>
        <v>0.19181504119818318</v>
      </c>
      <c r="AM363" s="22">
        <f t="shared" si="89"/>
        <v>0.19202549687963794</v>
      </c>
      <c r="AN363" s="22">
        <f t="shared" si="89"/>
        <v>0.19211610433852847</v>
      </c>
      <c r="AO363" s="22">
        <f t="shared" si="89"/>
        <v>0.19222125892017863</v>
      </c>
      <c r="AP363" s="22">
        <f t="shared" si="89"/>
        <v>0.1923404525383117</v>
      </c>
      <c r="AQ363" s="22">
        <f t="shared" si="89"/>
        <v>0.19247321177682317</v>
      </c>
      <c r="AR363" s="22">
        <f t="shared" si="89"/>
        <v>0.19261909494773871</v>
      </c>
      <c r="AS363" s="22">
        <f t="shared" si="89"/>
        <v>0.19264041350385425</v>
      </c>
      <c r="AT363" s="22">
        <f t="shared" si="89"/>
        <v>0.19267336675119676</v>
      </c>
      <c r="AU363" s="22">
        <f t="shared" si="89"/>
        <v>0.19271756905587112</v>
      </c>
      <c r="AV363" s="22">
        <f t="shared" si="89"/>
        <v>0.19277265827645768</v>
      </c>
      <c r="AW363" s="22">
        <f t="shared" si="89"/>
        <v>0.19283829395934973</v>
      </c>
      <c r="AY363" s="85"/>
    </row>
    <row r="364" spans="1:51" x14ac:dyDescent="0.25">
      <c r="A364" s="102" t="str">
        <f t="shared" si="71"/>
        <v>GS Organic</v>
      </c>
      <c r="B364" s="102" t="s">
        <v>1022</v>
      </c>
      <c r="C364" s="102" t="s">
        <v>1128</v>
      </c>
      <c r="D364" t="s">
        <v>369</v>
      </c>
      <c r="E364" t="s">
        <v>55</v>
      </c>
      <c r="F364" t="s">
        <v>421</v>
      </c>
      <c r="G364" t="s">
        <v>1155</v>
      </c>
      <c r="H364" t="s">
        <v>1156</v>
      </c>
      <c r="I364" t="s">
        <v>139</v>
      </c>
      <c r="J364" t="s">
        <v>287</v>
      </c>
      <c r="K364" s="22">
        <f t="shared" si="90"/>
        <v>0.93379576098906358</v>
      </c>
      <c r="L364" s="22">
        <f t="shared" si="89"/>
        <v>0.93960412813709904</v>
      </c>
      <c r="M364" s="22">
        <f t="shared" si="89"/>
        <v>0.94359746056447114</v>
      </c>
      <c r="N364" s="22">
        <f t="shared" si="89"/>
        <v>0.94484982839723786</v>
      </c>
      <c r="O364" s="22">
        <f t="shared" si="89"/>
        <v>0.94654409519879523</v>
      </c>
      <c r="P364" s="22">
        <f t="shared" si="89"/>
        <v>0.95025518318237956</v>
      </c>
      <c r="Q364" s="22">
        <f t="shared" si="89"/>
        <v>0.95470440124890821</v>
      </c>
      <c r="R364" s="22">
        <f t="shared" si="89"/>
        <v>0.95604099276677834</v>
      </c>
      <c r="S364" s="22">
        <f t="shared" si="89"/>
        <v>0.9266907490302454</v>
      </c>
      <c r="T364" s="22">
        <f t="shared" si="89"/>
        <v>0.93432358855731779</v>
      </c>
      <c r="U364" s="22">
        <f t="shared" si="89"/>
        <v>0.94132268563767829</v>
      </c>
      <c r="V364" s="22">
        <f t="shared" si="89"/>
        <v>0.94849909239313801</v>
      </c>
      <c r="W364" s="22">
        <f t="shared" si="89"/>
        <v>0.95714405055454344</v>
      </c>
      <c r="X364" s="22">
        <f t="shared" si="89"/>
        <v>0.96595122615983853</v>
      </c>
      <c r="Y364" s="22">
        <f t="shared" si="89"/>
        <v>0.97452693518170752</v>
      </c>
      <c r="Z364" s="22">
        <f t="shared" si="89"/>
        <v>0.98293108056696943</v>
      </c>
      <c r="AA364" s="22">
        <f t="shared" si="89"/>
        <v>0.99198326686591187</v>
      </c>
      <c r="AB364" s="22">
        <f t="shared" si="89"/>
        <v>1.0005555093547731</v>
      </c>
      <c r="AC364" s="22">
        <f t="shared" si="89"/>
        <v>1.0094352322073954</v>
      </c>
      <c r="AD364" s="22">
        <f t="shared" si="89"/>
        <v>1.0196372234850481</v>
      </c>
      <c r="AE364" s="22">
        <f t="shared" si="89"/>
        <v>1.0307482644127997</v>
      </c>
      <c r="AF364" s="22">
        <f t="shared" si="89"/>
        <v>1.0423003283452565</v>
      </c>
      <c r="AG364" s="22">
        <f t="shared" si="89"/>
        <v>1.0439139751361945</v>
      </c>
      <c r="AH364" s="22">
        <f t="shared" si="89"/>
        <v>0.55890135736530644</v>
      </c>
      <c r="AI364" s="22">
        <f t="shared" si="89"/>
        <v>0.55931242590192343</v>
      </c>
      <c r="AJ364" s="22">
        <f t="shared" si="89"/>
        <v>0.55977749325464987</v>
      </c>
      <c r="AK364" s="22">
        <f t="shared" si="89"/>
        <v>0.56029450694799943</v>
      </c>
      <c r="AL364" s="22">
        <f t="shared" si="89"/>
        <v>0.56086157258005664</v>
      </c>
      <c r="AM364" s="22">
        <f t="shared" si="89"/>
        <v>0.5614769388397709</v>
      </c>
      <c r="AN364" s="22">
        <f t="shared" si="89"/>
        <v>0.56174187240057738</v>
      </c>
      <c r="AO364" s="22">
        <f t="shared" si="89"/>
        <v>0.56204934132303475</v>
      </c>
      <c r="AP364" s="22">
        <f t="shared" si="89"/>
        <v>0.56239785997772429</v>
      </c>
      <c r="AQ364" s="22">
        <f t="shared" si="89"/>
        <v>0.56278604410979705</v>
      </c>
      <c r="AR364" s="22">
        <f t="shared" si="89"/>
        <v>0.56321260223652991</v>
      </c>
      <c r="AS364" s="22">
        <f t="shared" si="89"/>
        <v>0.56327493707134479</v>
      </c>
      <c r="AT364" s="22">
        <f t="shared" si="89"/>
        <v>0.56337129140315678</v>
      </c>
      <c r="AU364" s="22">
        <f t="shared" si="89"/>
        <v>0.56350053764973096</v>
      </c>
      <c r="AV364" s="22">
        <f t="shared" si="89"/>
        <v>0.5636616169201436</v>
      </c>
      <c r="AW364" s="22">
        <f t="shared" si="89"/>
        <v>0.56385353373800251</v>
      </c>
      <c r="AY364" s="85"/>
    </row>
    <row r="365" spans="1:51" x14ac:dyDescent="0.25">
      <c r="A365" s="102" t="str">
        <f t="shared" si="71"/>
        <v>GS Organic</v>
      </c>
      <c r="B365" s="102" t="s">
        <v>1022</v>
      </c>
      <c r="C365" s="102" t="s">
        <v>1128</v>
      </c>
      <c r="D365" t="s">
        <v>369</v>
      </c>
      <c r="E365" t="s">
        <v>55</v>
      </c>
      <c r="F365" t="s">
        <v>421</v>
      </c>
      <c r="G365" t="s">
        <v>1157</v>
      </c>
      <c r="H365" t="s">
        <v>1158</v>
      </c>
      <c r="I365" t="s">
        <v>139</v>
      </c>
      <c r="J365" t="s">
        <v>287</v>
      </c>
      <c r="K365" s="22">
        <f t="shared" si="90"/>
        <v>4.9952808112492433E-2</v>
      </c>
      <c r="L365" s="22">
        <f t="shared" si="89"/>
        <v>5.0263523005099557E-2</v>
      </c>
      <c r="M365" s="22">
        <f t="shared" si="89"/>
        <v>5.0477143774016554E-2</v>
      </c>
      <c r="N365" s="22">
        <f t="shared" si="89"/>
        <v>5.0544138391737034E-2</v>
      </c>
      <c r="O365" s="22">
        <f t="shared" si="89"/>
        <v>5.063477211269108E-2</v>
      </c>
      <c r="P365" s="22">
        <f t="shared" si="89"/>
        <v>5.0833294395268382E-2</v>
      </c>
      <c r="Q365" s="22">
        <f t="shared" si="89"/>
        <v>5.1071302475421292E-2</v>
      </c>
      <c r="R365" s="22">
        <f t="shared" si="89"/>
        <v>5.1142802585409194E-2</v>
      </c>
      <c r="S365" s="22">
        <f t="shared" si="89"/>
        <v>4.9572730033491622E-2</v>
      </c>
      <c r="T365" s="22">
        <f t="shared" si="89"/>
        <v>4.9981043911298741E-2</v>
      </c>
      <c r="U365" s="22">
        <f t="shared" si="89"/>
        <v>5.0355456141490972E-2</v>
      </c>
      <c r="V365" s="22">
        <f t="shared" si="89"/>
        <v>5.0739353439560694E-2</v>
      </c>
      <c r="W365" s="22">
        <f t="shared" si="89"/>
        <v>5.1201809957589661E-2</v>
      </c>
      <c r="X365" s="22">
        <f t="shared" si="89"/>
        <v>5.1672944194222255E-2</v>
      </c>
      <c r="Y365" s="22">
        <f t="shared" si="89"/>
        <v>5.2131696273739363E-2</v>
      </c>
      <c r="Z365" s="22">
        <f t="shared" si="89"/>
        <v>5.2581270666039896E-2</v>
      </c>
      <c r="AA365" s="22">
        <f t="shared" si="89"/>
        <v>5.3065511593317877E-2</v>
      </c>
      <c r="AB365" s="22">
        <f t="shared" si="89"/>
        <v>5.3524078232864716E-2</v>
      </c>
      <c r="AC365" s="22">
        <f t="shared" si="89"/>
        <v>5.3999093338179975E-2</v>
      </c>
      <c r="AD365" s="22">
        <f t="shared" si="89"/>
        <v>5.4544842348775345E-2</v>
      </c>
      <c r="AE365" s="22">
        <f t="shared" si="89"/>
        <v>5.5139220390078653E-2</v>
      </c>
      <c r="AF365" s="22">
        <f t="shared" si="89"/>
        <v>5.5757190675476007E-2</v>
      </c>
      <c r="AG365" s="22">
        <f t="shared" si="89"/>
        <v>5.5843511680428629E-2</v>
      </c>
      <c r="AH365" s="22">
        <f t="shared" si="89"/>
        <v>2.9898071317768258E-2</v>
      </c>
      <c r="AI365" s="22">
        <f t="shared" si="89"/>
        <v>2.9920061166714414E-2</v>
      </c>
      <c r="AJ365" s="22">
        <f t="shared" si="89"/>
        <v>2.994493964785629E-2</v>
      </c>
      <c r="AK365" s="22">
        <f t="shared" si="89"/>
        <v>2.9972596965328013E-2</v>
      </c>
      <c r="AL365" s="22">
        <f t="shared" si="89"/>
        <v>3.0002931779308462E-2</v>
      </c>
      <c r="AM365" s="22">
        <f t="shared" si="89"/>
        <v>3.0035850404531023E-2</v>
      </c>
      <c r="AN365" s="22">
        <f t="shared" si="89"/>
        <v>3.0050022856236633E-2</v>
      </c>
      <c r="AO365" s="22">
        <f t="shared" si="89"/>
        <v>3.0066470709959804E-2</v>
      </c>
      <c r="AP365" s="22">
        <f t="shared" si="89"/>
        <v>3.0085114492903187E-2</v>
      </c>
      <c r="AQ365" s="22">
        <f t="shared" si="89"/>
        <v>3.0105880155237338E-2</v>
      </c>
      <c r="AR365" s="22">
        <f t="shared" si="89"/>
        <v>3.0128698609918406E-2</v>
      </c>
      <c r="AS365" s="22">
        <f t="shared" si="89"/>
        <v>3.0132033172113177E-2</v>
      </c>
      <c r="AT365" s="22">
        <f t="shared" si="89"/>
        <v>3.0137187585582245E-2</v>
      </c>
      <c r="AU365" s="22">
        <f t="shared" si="89"/>
        <v>3.0144101531033828E-2</v>
      </c>
      <c r="AV365" s="22">
        <f t="shared" si="89"/>
        <v>3.0152718363773888E-2</v>
      </c>
      <c r="AW365" s="22">
        <f t="shared" si="89"/>
        <v>3.0162984831428343E-2</v>
      </c>
      <c r="AY365" s="85"/>
    </row>
    <row r="366" spans="1:51" x14ac:dyDescent="0.25">
      <c r="A366" s="102" t="str">
        <f t="shared" si="71"/>
        <v>GS Organic</v>
      </c>
      <c r="B366" s="102" t="s">
        <v>1022</v>
      </c>
      <c r="C366" s="102" t="s">
        <v>1128</v>
      </c>
      <c r="D366" t="s">
        <v>369</v>
      </c>
      <c r="E366" t="s">
        <v>55</v>
      </c>
      <c r="F366" t="s">
        <v>421</v>
      </c>
      <c r="G366" t="s">
        <v>1159</v>
      </c>
      <c r="H366" t="s">
        <v>1160</v>
      </c>
      <c r="I366" t="s">
        <v>139</v>
      </c>
      <c r="J366" t="s">
        <v>287</v>
      </c>
      <c r="K366" s="22">
        <f t="shared" si="90"/>
        <v>0.40352425177353124</v>
      </c>
      <c r="L366" s="22">
        <f t="shared" si="89"/>
        <v>0.40084951633384258</v>
      </c>
      <c r="M366" s="22">
        <f t="shared" si="89"/>
        <v>0.39521001590024774</v>
      </c>
      <c r="N366" s="22">
        <f t="shared" si="89"/>
        <v>0.3857038563965185</v>
      </c>
      <c r="O366" s="22">
        <f t="shared" si="89"/>
        <v>0.37648074986973956</v>
      </c>
      <c r="P366" s="22">
        <f t="shared" si="89"/>
        <v>0.36938688643597767</v>
      </c>
      <c r="Q366" s="22">
        <f t="shared" si="89"/>
        <v>0.36297043234615178</v>
      </c>
      <c r="R366" s="22">
        <f t="shared" si="89"/>
        <v>0.35288211799047686</v>
      </c>
      <c r="S366" s="22">
        <f t="shared" si="89"/>
        <v>0.30949900697043298</v>
      </c>
      <c r="T366" s="22">
        <f t="shared" si="89"/>
        <v>0.31244902874448233</v>
      </c>
      <c r="U366" s="22">
        <f t="shared" si="89"/>
        <v>0.31444522818952964</v>
      </c>
      <c r="V366" s="22">
        <f t="shared" si="89"/>
        <v>0.31637649984131477</v>
      </c>
      <c r="W366" s="22">
        <f t="shared" si="89"/>
        <v>0.31957035863343569</v>
      </c>
      <c r="X366" s="22">
        <f t="shared" si="89"/>
        <v>0.32265895567955921</v>
      </c>
      <c r="Y366" s="22">
        <f t="shared" si="89"/>
        <v>0.32590151896633945</v>
      </c>
      <c r="Z366" s="22">
        <f t="shared" si="89"/>
        <v>0.32872445709091741</v>
      </c>
      <c r="AA366" s="22">
        <f t="shared" si="89"/>
        <v>0.33193734347454801</v>
      </c>
      <c r="AB366" s="22">
        <f t="shared" si="89"/>
        <v>0.33445153592828769</v>
      </c>
      <c r="AC366" s="22">
        <f t="shared" si="89"/>
        <v>0.33703471359982889</v>
      </c>
      <c r="AD366" s="22">
        <f t="shared" si="89"/>
        <v>0.3382378632765542</v>
      </c>
      <c r="AE366" s="22">
        <f t="shared" si="89"/>
        <v>0.33988762558713326</v>
      </c>
      <c r="AF366" s="22">
        <f t="shared" si="89"/>
        <v>0.34153102086249887</v>
      </c>
      <c r="AG366" s="22">
        <f t="shared" si="89"/>
        <v>0.33428783362296566</v>
      </c>
      <c r="AH366" s="22">
        <f t="shared" si="89"/>
        <v>-7.8853876190349073E-2</v>
      </c>
      <c r="AI366" s="22">
        <f t="shared" si="89"/>
        <v>-7.7024740515349702E-2</v>
      </c>
      <c r="AJ366" s="22">
        <f t="shared" si="89"/>
        <v>-7.5224693837810969E-2</v>
      </c>
      <c r="AK366" s="22">
        <f t="shared" si="89"/>
        <v>-7.3452212631802502E-2</v>
      </c>
      <c r="AL366" s="22">
        <f t="shared" si="89"/>
        <v>-7.1705878701856365E-2</v>
      </c>
      <c r="AM366" s="22">
        <f t="shared" si="89"/>
        <v>-6.9984369422605414E-2</v>
      </c>
      <c r="AN366" s="22">
        <f t="shared" si="89"/>
        <v>-6.8588614819976648E-2</v>
      </c>
      <c r="AO366" s="22">
        <f t="shared" si="89"/>
        <v>-6.7213941404815583E-2</v>
      </c>
      <c r="AP366" s="22">
        <f t="shared" si="89"/>
        <v>-6.5859393882214817E-2</v>
      </c>
      <c r="AQ366" s="22">
        <f t="shared" si="89"/>
        <v>-6.45240763716773E-2</v>
      </c>
      <c r="AR366" s="22">
        <f t="shared" si="89"/>
        <v>-6.3207147480680487E-2</v>
      </c>
      <c r="AS366" s="22">
        <f t="shared" si="89"/>
        <v>-6.1865741273458848E-2</v>
      </c>
      <c r="AT366" s="22">
        <f t="shared" si="89"/>
        <v>-6.054278111227946E-2</v>
      </c>
      <c r="AU366" s="22">
        <f t="shared" si="89"/>
        <v>-5.9237541358355558E-2</v>
      </c>
      <c r="AV366" s="22">
        <f t="shared" si="89"/>
        <v>-5.7949337141593796E-2</v>
      </c>
      <c r="AW366" s="22">
        <f t="shared" si="89"/>
        <v>-5.667752131406488E-2</v>
      </c>
      <c r="AY366" s="85"/>
    </row>
    <row r="367" spans="1:51" x14ac:dyDescent="0.25">
      <c r="A367" s="102" t="str">
        <f t="shared" si="71"/>
        <v>GS Organic</v>
      </c>
      <c r="B367" s="102" t="s">
        <v>1022</v>
      </c>
      <c r="C367" s="102" t="s">
        <v>1128</v>
      </c>
      <c r="D367" t="s">
        <v>369</v>
      </c>
      <c r="E367" t="s">
        <v>55</v>
      </c>
      <c r="F367" t="s">
        <v>421</v>
      </c>
      <c r="G367" t="s">
        <v>1161</v>
      </c>
      <c r="H367" t="s">
        <v>1162</v>
      </c>
      <c r="I367" t="s">
        <v>139</v>
      </c>
      <c r="J367" t="s">
        <v>287</v>
      </c>
      <c r="K367" s="22">
        <f t="shared" si="90"/>
        <v>2.6837391724620612</v>
      </c>
      <c r="L367" s="22">
        <f t="shared" si="89"/>
        <v>2.6659501740464377</v>
      </c>
      <c r="M367" s="22">
        <f t="shared" si="89"/>
        <v>2.6284432629742147</v>
      </c>
      <c r="N367" s="22">
        <f t="shared" si="89"/>
        <v>2.5652201666480274</v>
      </c>
      <c r="O367" s="22">
        <f t="shared" si="89"/>
        <v>2.5038795850871476</v>
      </c>
      <c r="P367" s="22">
        <f t="shared" ref="L367:AW373" si="91">P1470</f>
        <v>2.4567000683725801</v>
      </c>
      <c r="Q367" s="22">
        <f t="shared" si="91"/>
        <v>2.414025832280235</v>
      </c>
      <c r="R367" s="22">
        <f t="shared" si="91"/>
        <v>2.3469309692046179</v>
      </c>
      <c r="S367" s="22">
        <f t="shared" si="91"/>
        <v>2.0584007161751039</v>
      </c>
      <c r="T367" s="22">
        <f t="shared" si="91"/>
        <v>2.0780205753529248</v>
      </c>
      <c r="U367" s="22">
        <f t="shared" si="91"/>
        <v>2.0912968000734335</v>
      </c>
      <c r="V367" s="22">
        <f t="shared" si="91"/>
        <v>2.1041412062318772</v>
      </c>
      <c r="W367" s="22">
        <f t="shared" si="91"/>
        <v>2.125382764611714</v>
      </c>
      <c r="X367" s="22">
        <f t="shared" si="91"/>
        <v>2.1459242533678449</v>
      </c>
      <c r="Y367" s="22">
        <f t="shared" si="91"/>
        <v>2.1674897331963128</v>
      </c>
      <c r="Z367" s="22">
        <f t="shared" si="91"/>
        <v>2.1862643907121093</v>
      </c>
      <c r="AA367" s="22">
        <f t="shared" si="91"/>
        <v>2.2076324968582024</v>
      </c>
      <c r="AB367" s="22">
        <f t="shared" si="91"/>
        <v>2.2243537639085806</v>
      </c>
      <c r="AC367" s="22">
        <f t="shared" si="91"/>
        <v>2.2415338344398443</v>
      </c>
      <c r="AD367" s="22">
        <f t="shared" si="91"/>
        <v>2.2495356829125717</v>
      </c>
      <c r="AE367" s="22">
        <f t="shared" si="91"/>
        <v>2.2605078406421084</v>
      </c>
      <c r="AF367" s="22">
        <f t="shared" si="91"/>
        <v>2.2714376528081774</v>
      </c>
      <c r="AG367" s="22">
        <f t="shared" si="91"/>
        <v>2.2232650206980202</v>
      </c>
      <c r="AH367" s="22">
        <f t="shared" si="91"/>
        <v>-0.52443746689921866</v>
      </c>
      <c r="AI367" s="22">
        <f t="shared" si="91"/>
        <v>-0.51227234165292079</v>
      </c>
      <c r="AJ367" s="22">
        <f t="shared" si="91"/>
        <v>-0.50030068007486495</v>
      </c>
      <c r="AK367" s="22">
        <f t="shared" si="91"/>
        <v>-0.48851234957400724</v>
      </c>
      <c r="AL367" s="22">
        <f t="shared" si="91"/>
        <v>-0.47689791808594317</v>
      </c>
      <c r="AM367" s="22">
        <f t="shared" si="91"/>
        <v>-0.46544858915917614</v>
      </c>
      <c r="AN367" s="22">
        <f t="shared" si="91"/>
        <v>-0.45616577335379221</v>
      </c>
      <c r="AO367" s="22">
        <f t="shared" si="91"/>
        <v>-0.44702316326928004</v>
      </c>
      <c r="AP367" s="22">
        <f t="shared" si="91"/>
        <v>-0.4380144054774302</v>
      </c>
      <c r="AQ367" s="22">
        <f t="shared" si="91"/>
        <v>-0.4291335417004612</v>
      </c>
      <c r="AR367" s="22">
        <f t="shared" si="91"/>
        <v>-0.42037497604652191</v>
      </c>
      <c r="AS367" s="22">
        <f t="shared" si="91"/>
        <v>-0.41145361786623369</v>
      </c>
      <c r="AT367" s="22">
        <f t="shared" si="91"/>
        <v>-0.40265493973831684</v>
      </c>
      <c r="AU367" s="22">
        <f t="shared" si="91"/>
        <v>-0.3939741156201515</v>
      </c>
      <c r="AV367" s="22">
        <f t="shared" si="91"/>
        <v>-0.38540659061153143</v>
      </c>
      <c r="AW367" s="22">
        <f t="shared" si="91"/>
        <v>-0.37694806069295739</v>
      </c>
      <c r="AY367" s="85"/>
    </row>
    <row r="368" spans="1:51" x14ac:dyDescent="0.25">
      <c r="A368" s="102" t="str">
        <f t="shared" si="71"/>
        <v>GS Organic</v>
      </c>
      <c r="B368" s="102" t="s">
        <v>1022</v>
      </c>
      <c r="C368" s="102" t="s">
        <v>1128</v>
      </c>
      <c r="D368" t="s">
        <v>369</v>
      </c>
      <c r="E368" t="s">
        <v>55</v>
      </c>
      <c r="F368" t="s">
        <v>421</v>
      </c>
      <c r="G368" t="s">
        <v>1163</v>
      </c>
      <c r="H368" t="s">
        <v>1164</v>
      </c>
      <c r="I368" t="s">
        <v>139</v>
      </c>
      <c r="J368" t="s">
        <v>287</v>
      </c>
      <c r="K368" s="22">
        <f t="shared" si="90"/>
        <v>0.34546247453096907</v>
      </c>
      <c r="L368" s="22">
        <f t="shared" si="91"/>
        <v>0.35776618085714956</v>
      </c>
      <c r="M368" s="22">
        <f t="shared" si="91"/>
        <v>0.36753197290523232</v>
      </c>
      <c r="N368" s="22">
        <f t="shared" si="91"/>
        <v>0.37357124020109944</v>
      </c>
      <c r="O368" s="22">
        <f t="shared" si="91"/>
        <v>0.37962311486925576</v>
      </c>
      <c r="P368" s="22">
        <f t="shared" si="91"/>
        <v>0.38765990463300043</v>
      </c>
      <c r="Q368" s="22">
        <f t="shared" si="91"/>
        <v>0.39636651112291715</v>
      </c>
      <c r="R368" s="22">
        <f t="shared" si="91"/>
        <v>0.40089753199851358</v>
      </c>
      <c r="S368" s="22">
        <f t="shared" si="91"/>
        <v>0.36575105397715829</v>
      </c>
      <c r="T368" s="22">
        <f t="shared" si="91"/>
        <v>0.37806101801948427</v>
      </c>
      <c r="U368" s="22">
        <f t="shared" si="91"/>
        <v>0.38944404902970864</v>
      </c>
      <c r="V368" s="22">
        <f t="shared" si="91"/>
        <v>0.40095410706426832</v>
      </c>
      <c r="W368" s="22">
        <f t="shared" si="91"/>
        <v>0.41431554176005497</v>
      </c>
      <c r="X368" s="22">
        <f t="shared" si="91"/>
        <v>0.42783512426761167</v>
      </c>
      <c r="Y368" s="22">
        <f t="shared" si="91"/>
        <v>0.44186503984012609</v>
      </c>
      <c r="Z368" s="22">
        <f t="shared" si="91"/>
        <v>0.45563435576355671</v>
      </c>
      <c r="AA368" s="22">
        <f t="shared" si="91"/>
        <v>0.47026188205754332</v>
      </c>
      <c r="AB368" s="22">
        <f t="shared" si="91"/>
        <v>0.48421794201830248</v>
      </c>
      <c r="AC368" s="22">
        <f t="shared" si="91"/>
        <v>0.49858289829777308</v>
      </c>
      <c r="AD368" s="22">
        <f t="shared" si="91"/>
        <v>0.51686863289566187</v>
      </c>
      <c r="AE368" s="22">
        <f t="shared" si="91"/>
        <v>0.53655701311036041</v>
      </c>
      <c r="AF368" s="22">
        <f t="shared" si="91"/>
        <v>0.55701835701835767</v>
      </c>
      <c r="AG368" s="22">
        <f t="shared" si="91"/>
        <v>0.56333119928831021</v>
      </c>
      <c r="AH368" s="22">
        <f t="shared" si="91"/>
        <v>-0.13731688522656813</v>
      </c>
      <c r="AI368" s="22">
        <f t="shared" si="91"/>
        <v>-0.13862810897609068</v>
      </c>
      <c r="AJ368" s="22">
        <f t="shared" si="91"/>
        <v>-0.13994999382586637</v>
      </c>
      <c r="AK368" s="22">
        <f t="shared" si="91"/>
        <v>-0.14128264066794663</v>
      </c>
      <c r="AL368" s="22">
        <f t="shared" si="91"/>
        <v>-0.14262615130024825</v>
      </c>
      <c r="AM368" s="22">
        <f t="shared" si="91"/>
        <v>-0.14398062843440931</v>
      </c>
      <c r="AN368" s="22">
        <f t="shared" si="91"/>
        <v>-0.14506760905723812</v>
      </c>
      <c r="AO368" s="22">
        <f t="shared" si="91"/>
        <v>-0.14616208765425914</v>
      </c>
      <c r="AP368" s="22">
        <f t="shared" si="91"/>
        <v>-0.14726412356751001</v>
      </c>
      <c r="AQ368" s="22">
        <f t="shared" si="91"/>
        <v>-0.14837377658692755</v>
      </c>
      <c r="AR368" s="22">
        <f t="shared" si="91"/>
        <v>-0.1494911069536225</v>
      </c>
      <c r="AS368" s="22">
        <f t="shared" si="91"/>
        <v>-0.15051381160807262</v>
      </c>
      <c r="AT368" s="22">
        <f t="shared" si="91"/>
        <v>-0.15154240205157654</v>
      </c>
      <c r="AU368" s="22">
        <f t="shared" si="91"/>
        <v>-0.15257691722009936</v>
      </c>
      <c r="AV368" s="22">
        <f t="shared" si="91"/>
        <v>-0.15361739629374987</v>
      </c>
      <c r="AW368" s="22">
        <f t="shared" si="91"/>
        <v>-0.15466387869825843</v>
      </c>
      <c r="AY368" s="85"/>
    </row>
    <row r="369" spans="1:51" x14ac:dyDescent="0.25">
      <c r="A369" s="102" t="str">
        <f t="shared" si="71"/>
        <v>GS Organic</v>
      </c>
      <c r="B369" s="102" t="s">
        <v>1022</v>
      </c>
      <c r="C369" s="102" t="s">
        <v>1128</v>
      </c>
      <c r="D369" t="s">
        <v>369</v>
      </c>
      <c r="E369" t="s">
        <v>55</v>
      </c>
      <c r="F369" t="s">
        <v>421</v>
      </c>
      <c r="G369" t="s">
        <v>1165</v>
      </c>
      <c r="H369" t="s">
        <v>1166</v>
      </c>
      <c r="I369" t="s">
        <v>139</v>
      </c>
      <c r="J369" t="s">
        <v>287</v>
      </c>
      <c r="K369" s="22">
        <f t="shared" si="90"/>
        <v>5.8358562487318792E-2</v>
      </c>
      <c r="L369" s="22">
        <f t="shared" si="91"/>
        <v>5.839043159926547E-2</v>
      </c>
      <c r="M369" s="22">
        <f t="shared" si="91"/>
        <v>5.8461792662766042E-2</v>
      </c>
      <c r="N369" s="22">
        <f t="shared" si="91"/>
        <v>5.8569206044707944E-2</v>
      </c>
      <c r="O369" s="22">
        <f t="shared" si="91"/>
        <v>5.87141088514554E-2</v>
      </c>
      <c r="P369" s="22">
        <f t="shared" si="91"/>
        <v>5.8896654838927982E-2</v>
      </c>
      <c r="Q369" s="22">
        <f t="shared" si="91"/>
        <v>5.9100003668857495E-2</v>
      </c>
      <c r="R369" s="22">
        <f t="shared" si="91"/>
        <v>5.9320387521670827E-2</v>
      </c>
      <c r="S369" s="22">
        <f t="shared" si="91"/>
        <v>5.9527484870119066E-2</v>
      </c>
      <c r="T369" s="22">
        <f t="shared" si="91"/>
        <v>5.9613993442869086E-2</v>
      </c>
      <c r="U369" s="22">
        <f t="shared" si="91"/>
        <v>5.9714376068116658E-2</v>
      </c>
      <c r="V369" s="22">
        <f t="shared" si="91"/>
        <v>5.9828612163064419E-2</v>
      </c>
      <c r="W369" s="22">
        <f t="shared" si="91"/>
        <v>5.9957293598347332E-2</v>
      </c>
      <c r="X369" s="22">
        <f t="shared" si="91"/>
        <v>6.0098357419229781E-2</v>
      </c>
      <c r="Y369" s="22">
        <f t="shared" si="91"/>
        <v>6.0185192959010252E-2</v>
      </c>
      <c r="Z369" s="22">
        <f t="shared" si="91"/>
        <v>6.0282190049865431E-2</v>
      </c>
      <c r="AA369" s="22">
        <f t="shared" si="91"/>
        <v>6.0389700688940708E-2</v>
      </c>
      <c r="AB369" s="22">
        <f t="shared" si="91"/>
        <v>6.0506073039024895E-2</v>
      </c>
      <c r="AC369" s="22">
        <f t="shared" si="91"/>
        <v>6.0631723200139168E-2</v>
      </c>
      <c r="AD369" s="22">
        <f t="shared" si="91"/>
        <v>6.0714441042505521E-2</v>
      </c>
      <c r="AE369" s="22">
        <f t="shared" si="91"/>
        <v>6.0805859526171006E-2</v>
      </c>
      <c r="AF369" s="22">
        <f t="shared" si="91"/>
        <v>6.0905156479066316E-2</v>
      </c>
      <c r="AG369" s="22">
        <f t="shared" si="91"/>
        <v>6.1001089999952796E-2</v>
      </c>
      <c r="AH369" s="22">
        <f t="shared" si="91"/>
        <v>6.0590945473242341E-2</v>
      </c>
      <c r="AI369" s="22">
        <f t="shared" si="91"/>
        <v>6.0649192481063346E-2</v>
      </c>
      <c r="AJ369" s="22">
        <f t="shared" si="91"/>
        <v>6.0713468342713614E-2</v>
      </c>
      <c r="AK369" s="22">
        <f t="shared" si="91"/>
        <v>6.0783545293153662E-2</v>
      </c>
      <c r="AL369" s="22">
        <f t="shared" si="91"/>
        <v>6.0859213172163779E-2</v>
      </c>
      <c r="AM369" s="22">
        <f t="shared" si="91"/>
        <v>6.0940277753779866E-2</v>
      </c>
      <c r="AN369" s="22">
        <f t="shared" si="91"/>
        <v>6.0979618468756831E-2</v>
      </c>
      <c r="AO369" s="22">
        <f t="shared" si="91"/>
        <v>6.1023714022373471E-2</v>
      </c>
      <c r="AP369" s="22">
        <f t="shared" si="91"/>
        <v>6.1072398935034244E-2</v>
      </c>
      <c r="AQ369" s="22">
        <f t="shared" si="91"/>
        <v>6.112551905317741E-2</v>
      </c>
      <c r="AR369" s="22">
        <f t="shared" si="91"/>
        <v>6.1182930587073178E-2</v>
      </c>
      <c r="AS369" s="22">
        <f t="shared" si="91"/>
        <v>6.1197093314118836E-2</v>
      </c>
      <c r="AT369" s="22">
        <f t="shared" si="91"/>
        <v>6.1215064670682988E-2</v>
      </c>
      <c r="AU369" s="22">
        <f t="shared" si="91"/>
        <v>6.1236718515027384E-2</v>
      </c>
      <c r="AV369" s="22">
        <f t="shared" si="91"/>
        <v>6.1261936408176808E-2</v>
      </c>
      <c r="AW369" s="22">
        <f t="shared" si="91"/>
        <v>6.1290607021564164E-2</v>
      </c>
      <c r="AY369" s="85"/>
    </row>
    <row r="370" spans="1:51" x14ac:dyDescent="0.25">
      <c r="A370" s="102" t="str">
        <f t="shared" si="71"/>
        <v>GS Organic</v>
      </c>
      <c r="B370" s="102" t="s">
        <v>1022</v>
      </c>
      <c r="C370" s="102" t="s">
        <v>1128</v>
      </c>
      <c r="D370" t="s">
        <v>369</v>
      </c>
      <c r="E370" t="s">
        <v>55</v>
      </c>
      <c r="F370" t="s">
        <v>421</v>
      </c>
      <c r="G370" t="s">
        <v>1167</v>
      </c>
      <c r="H370" t="s">
        <v>1168</v>
      </c>
      <c r="I370" t="s">
        <v>139</v>
      </c>
      <c r="J370" t="s">
        <v>287</v>
      </c>
      <c r="K370" s="22">
        <f t="shared" si="90"/>
        <v>4.7495937116525173E-2</v>
      </c>
      <c r="L370" s="22">
        <f t="shared" si="91"/>
        <v>4.7521874241643836E-2</v>
      </c>
      <c r="M370" s="22">
        <f t="shared" si="91"/>
        <v>4.7579952447139875E-2</v>
      </c>
      <c r="N370" s="22">
        <f t="shared" si="91"/>
        <v>4.7667372339213025E-2</v>
      </c>
      <c r="O370" s="22">
        <f t="shared" si="91"/>
        <v>4.7785303527096222E-2</v>
      </c>
      <c r="P370" s="22">
        <f t="shared" si="91"/>
        <v>4.7933871147207763E-2</v>
      </c>
      <c r="Q370" s="22">
        <f t="shared" si="91"/>
        <v>4.8099369453324381E-2</v>
      </c>
      <c r="R370" s="22">
        <f t="shared" si="91"/>
        <v>4.8278731952477678E-2</v>
      </c>
      <c r="S370" s="22">
        <f t="shared" si="91"/>
        <v>4.8447281043127996E-2</v>
      </c>
      <c r="T370" s="22">
        <f t="shared" si="91"/>
        <v>4.8517687262134283E-2</v>
      </c>
      <c r="U370" s="22">
        <f t="shared" si="91"/>
        <v>4.8599385073957294E-2</v>
      </c>
      <c r="V370" s="22">
        <f t="shared" si="91"/>
        <v>4.8692357726997801E-2</v>
      </c>
      <c r="W370" s="22">
        <f t="shared" si="91"/>
        <v>4.8797086923498996E-2</v>
      </c>
      <c r="X370" s="22">
        <f t="shared" si="91"/>
        <v>4.8911893698725943E-2</v>
      </c>
      <c r="Y370" s="22">
        <f t="shared" si="91"/>
        <v>4.8982566024450037E-2</v>
      </c>
      <c r="Z370" s="22">
        <f t="shared" si="91"/>
        <v>4.9061508471477298E-2</v>
      </c>
      <c r="AA370" s="22">
        <f t="shared" si="91"/>
        <v>4.9149007517636747E-2</v>
      </c>
      <c r="AB370" s="22">
        <f t="shared" si="91"/>
        <v>4.9243718791974624E-2</v>
      </c>
      <c r="AC370" s="22">
        <f t="shared" si="91"/>
        <v>4.9345980943347217E-2</v>
      </c>
      <c r="AD370" s="22">
        <f t="shared" si="91"/>
        <v>4.941330202309966E-2</v>
      </c>
      <c r="AE370" s="22">
        <f t="shared" si="91"/>
        <v>4.9487704242181185E-2</v>
      </c>
      <c r="AF370" s="22">
        <f t="shared" si="91"/>
        <v>4.9568518464286178E-2</v>
      </c>
      <c r="AG370" s="22">
        <f t="shared" si="91"/>
        <v>4.9646595309931256E-2</v>
      </c>
      <c r="AH370" s="22">
        <f t="shared" si="91"/>
        <v>4.9312793416617665E-2</v>
      </c>
      <c r="AI370" s="22">
        <f t="shared" si="91"/>
        <v>4.9360198563399564E-2</v>
      </c>
      <c r="AJ370" s="22">
        <f t="shared" si="91"/>
        <v>4.9412510377689269E-2</v>
      </c>
      <c r="AK370" s="22">
        <f t="shared" si="91"/>
        <v>4.9469543489705052E-2</v>
      </c>
      <c r="AL370" s="22">
        <f t="shared" si="91"/>
        <v>4.9531126857595344E-2</v>
      </c>
      <c r="AM370" s="22">
        <f t="shared" si="91"/>
        <v>4.9597102407826756E-2</v>
      </c>
      <c r="AN370" s="22">
        <f t="shared" si="91"/>
        <v>4.9629120402188261E-2</v>
      </c>
      <c r="AO370" s="22">
        <f t="shared" si="91"/>
        <v>4.9665008188871658E-2</v>
      </c>
      <c r="AP370" s="22">
        <f t="shared" si="91"/>
        <v>4.9704631089979995E-2</v>
      </c>
      <c r="AQ370" s="22">
        <f t="shared" si="91"/>
        <v>4.9747863645468307E-2</v>
      </c>
      <c r="AR370" s="22">
        <f t="shared" si="91"/>
        <v>4.9794588830042001E-2</v>
      </c>
      <c r="AS370" s="22">
        <f t="shared" si="91"/>
        <v>4.9806115364700997E-2</v>
      </c>
      <c r="AT370" s="22">
        <f t="shared" si="91"/>
        <v>4.9820741606076545E-2</v>
      </c>
      <c r="AU370" s="22">
        <f t="shared" si="91"/>
        <v>4.9838364891940323E-2</v>
      </c>
      <c r="AV370" s="22">
        <f t="shared" si="91"/>
        <v>4.9858888829066014E-2</v>
      </c>
      <c r="AW370" s="22">
        <f t="shared" si="91"/>
        <v>4.988222281113306E-2</v>
      </c>
      <c r="AY370" s="85"/>
    </row>
    <row r="371" spans="1:51" x14ac:dyDescent="0.25">
      <c r="A371" s="102" t="str">
        <f t="shared" si="71"/>
        <v>GS Organic</v>
      </c>
      <c r="B371" s="102" t="s">
        <v>1022</v>
      </c>
      <c r="C371" s="102" t="s">
        <v>1128</v>
      </c>
      <c r="D371" t="s">
        <v>369</v>
      </c>
      <c r="E371" t="s">
        <v>55</v>
      </c>
      <c r="F371" t="s">
        <v>421</v>
      </c>
      <c r="G371" t="s">
        <v>1169</v>
      </c>
      <c r="H371" t="s">
        <v>1170</v>
      </c>
      <c r="I371" t="s">
        <v>139</v>
      </c>
      <c r="J371" t="s">
        <v>287</v>
      </c>
      <c r="K371" s="22">
        <f t="shared" si="90"/>
        <v>7.2138531984991348E-3</v>
      </c>
      <c r="L371" s="22">
        <f t="shared" si="91"/>
        <v>7.2326686364155846E-3</v>
      </c>
      <c r="M371" s="22">
        <f t="shared" si="91"/>
        <v>7.2577418741351651E-3</v>
      </c>
      <c r="N371" s="22">
        <f t="shared" si="91"/>
        <v>7.2885154843188495E-3</v>
      </c>
      <c r="O371" s="22">
        <f t="shared" si="91"/>
        <v>7.3253592647283981E-3</v>
      </c>
      <c r="P371" s="22">
        <f t="shared" si="91"/>
        <v>7.3683712611583496E-3</v>
      </c>
      <c r="Q371" s="22">
        <f t="shared" si="91"/>
        <v>7.4143590148475543E-3</v>
      </c>
      <c r="R371" s="22">
        <f t="shared" si="91"/>
        <v>7.4626649386195258E-3</v>
      </c>
      <c r="S371" s="22">
        <f t="shared" si="91"/>
        <v>7.5075390200834997E-3</v>
      </c>
      <c r="T371" s="22">
        <f t="shared" si="91"/>
        <v>7.5285683818169559E-3</v>
      </c>
      <c r="U371" s="22">
        <f t="shared" si="91"/>
        <v>7.551628242645091E-3</v>
      </c>
      <c r="V371" s="22">
        <f t="shared" si="91"/>
        <v>7.5767478661135802E-3</v>
      </c>
      <c r="W371" s="22">
        <f t="shared" si="91"/>
        <v>7.6040674331418288E-3</v>
      </c>
      <c r="X371" s="22">
        <f t="shared" si="91"/>
        <v>7.6332191171963838E-3</v>
      </c>
      <c r="Y371" s="22">
        <f t="shared" si="91"/>
        <v>7.6516457516964944E-3</v>
      </c>
      <c r="Z371" s="22">
        <f t="shared" si="91"/>
        <v>7.671582433208788E-3</v>
      </c>
      <c r="AA371" s="22">
        <f t="shared" si="91"/>
        <v>7.6931116410769856E-3</v>
      </c>
      <c r="AB371" s="22">
        <f t="shared" si="91"/>
        <v>7.715936982347839E-3</v>
      </c>
      <c r="AC371" s="22">
        <f t="shared" si="91"/>
        <v>7.7401497609019794E-3</v>
      </c>
      <c r="AD371" s="22">
        <f t="shared" si="91"/>
        <v>7.7560075231361287E-3</v>
      </c>
      <c r="AE371" s="22">
        <f t="shared" si="91"/>
        <v>7.7732053799270803E-3</v>
      </c>
      <c r="AF371" s="22">
        <f t="shared" si="91"/>
        <v>7.791597942347143E-3</v>
      </c>
      <c r="AG371" s="22">
        <f t="shared" si="91"/>
        <v>7.8091049737688241E-3</v>
      </c>
      <c r="AH371" s="22">
        <f t="shared" si="91"/>
        <v>7.7325738697111325E-3</v>
      </c>
      <c r="AI371" s="22">
        <f t="shared" si="91"/>
        <v>7.7428137523622292E-3</v>
      </c>
      <c r="AJ371" s="22">
        <f t="shared" si="91"/>
        <v>7.7539717945612581E-3</v>
      </c>
      <c r="AK371" s="22">
        <f t="shared" si="91"/>
        <v>7.7660107090851711E-3</v>
      </c>
      <c r="AL371" s="22">
        <f t="shared" si="91"/>
        <v>7.7788961009166192E-3</v>
      </c>
      <c r="AM371" s="22">
        <f t="shared" si="91"/>
        <v>7.7925961903206999E-3</v>
      </c>
      <c r="AN371" s="22">
        <f t="shared" si="91"/>
        <v>7.7984769319172685E-3</v>
      </c>
      <c r="AO371" s="22">
        <f t="shared" si="91"/>
        <v>7.8050916075083259E-3</v>
      </c>
      <c r="AP371" s="22">
        <f t="shared" si="91"/>
        <v>7.8124125478177013E-3</v>
      </c>
      <c r="AQ371" s="22">
        <f t="shared" si="91"/>
        <v>7.8204139817466406E-3</v>
      </c>
      <c r="AR371" s="22">
        <f t="shared" si="91"/>
        <v>7.8290718737514843E-3</v>
      </c>
      <c r="AS371" s="22">
        <f t="shared" si="91"/>
        <v>7.8297473619786898E-3</v>
      </c>
      <c r="AT371" s="22">
        <f t="shared" si="91"/>
        <v>7.8310235836071794E-3</v>
      </c>
      <c r="AU371" s="22">
        <f t="shared" si="91"/>
        <v>7.8328789644581572E-3</v>
      </c>
      <c r="AV371" s="22">
        <f t="shared" si="91"/>
        <v>7.835293250883028E-3</v>
      </c>
      <c r="AW371" s="22">
        <f t="shared" si="91"/>
        <v>7.8382474074589117E-3</v>
      </c>
      <c r="AY371" s="85"/>
    </row>
    <row r="372" spans="1:51" x14ac:dyDescent="0.25">
      <c r="A372" s="102" t="str">
        <f t="shared" si="71"/>
        <v>GS Organic</v>
      </c>
      <c r="B372" s="102" t="s">
        <v>1022</v>
      </c>
      <c r="C372" s="102" t="s">
        <v>1128</v>
      </c>
      <c r="D372" t="s">
        <v>369</v>
      </c>
      <c r="E372" t="s">
        <v>55</v>
      </c>
      <c r="F372" t="s">
        <v>421</v>
      </c>
      <c r="G372" t="s">
        <v>1171</v>
      </c>
      <c r="H372" t="s">
        <v>1172</v>
      </c>
      <c r="I372" t="s">
        <v>139</v>
      </c>
      <c r="J372" t="s">
        <v>287</v>
      </c>
      <c r="K372" s="22">
        <f t="shared" si="90"/>
        <v>8.7042781172852426E-2</v>
      </c>
      <c r="L372" s="22">
        <f t="shared" si="91"/>
        <v>8.7269809364329015E-2</v>
      </c>
      <c r="M372" s="22">
        <f t="shared" si="91"/>
        <v>8.7572344539923463E-2</v>
      </c>
      <c r="N372" s="22">
        <f t="shared" si="91"/>
        <v>8.7943660748253619E-2</v>
      </c>
      <c r="O372" s="22">
        <f t="shared" si="91"/>
        <v>8.8388219991077738E-2</v>
      </c>
      <c r="P372" s="22">
        <f t="shared" si="91"/>
        <v>8.8907205294776276E-2</v>
      </c>
      <c r="Q372" s="22">
        <f t="shared" si="91"/>
        <v>8.9462096262315383E-2</v>
      </c>
      <c r="R372" s="22">
        <f t="shared" si="91"/>
        <v>9.0044958407765094E-2</v>
      </c>
      <c r="S372" s="22">
        <f t="shared" si="91"/>
        <v>9.058641174008604E-2</v>
      </c>
      <c r="T372" s="22">
        <f t="shared" si="91"/>
        <v>9.0840153267838591E-2</v>
      </c>
      <c r="U372" s="22">
        <f t="shared" si="91"/>
        <v>9.1118394918272713E-2</v>
      </c>
      <c r="V372" s="22">
        <f t="shared" si="91"/>
        <v>9.1421489787068641E-2</v>
      </c>
      <c r="W372" s="22">
        <f t="shared" si="91"/>
        <v>9.1751129305526188E-2</v>
      </c>
      <c r="X372" s="22">
        <f t="shared" si="91"/>
        <v>9.2102875256845074E-2</v>
      </c>
      <c r="Y372" s="22">
        <f t="shared" si="91"/>
        <v>9.232521212320649E-2</v>
      </c>
      <c r="Z372" s="22">
        <f t="shared" si="91"/>
        <v>9.2565769306508783E-2</v>
      </c>
      <c r="AA372" s="22">
        <f t="shared" si="91"/>
        <v>9.2825542007412429E-2</v>
      </c>
      <c r="AB372" s="22">
        <f t="shared" si="91"/>
        <v>9.3100953930938646E-2</v>
      </c>
      <c r="AC372" s="22">
        <f t="shared" si="91"/>
        <v>9.339310675513432E-2</v>
      </c>
      <c r="AD372" s="22">
        <f t="shared" si="91"/>
        <v>9.3584447456151826E-2</v>
      </c>
      <c r="AE372" s="22">
        <f t="shared" si="91"/>
        <v>9.3791957817689064E-2</v>
      </c>
      <c r="AF372" s="22">
        <f t="shared" si="91"/>
        <v>9.4013883568308809E-2</v>
      </c>
      <c r="AG372" s="22">
        <f t="shared" si="91"/>
        <v>9.4225124449304393E-2</v>
      </c>
      <c r="AH372" s="22">
        <f t="shared" si="91"/>
        <v>9.3301695602041948E-2</v>
      </c>
      <c r="AI372" s="22">
        <f t="shared" si="91"/>
        <v>9.342525063432626E-2</v>
      </c>
      <c r="AJ372" s="22">
        <f t="shared" si="91"/>
        <v>9.3559884234251725E-2</v>
      </c>
      <c r="AK372" s="22">
        <f t="shared" si="91"/>
        <v>9.370514649197019E-2</v>
      </c>
      <c r="AL372" s="22">
        <f t="shared" si="91"/>
        <v>9.3860622395159451E-2</v>
      </c>
      <c r="AM372" s="22">
        <f t="shared" si="91"/>
        <v>9.4025928487650484E-2</v>
      </c>
      <c r="AN372" s="22">
        <f t="shared" si="91"/>
        <v>9.4096885865051882E-2</v>
      </c>
      <c r="AO372" s="22">
        <f t="shared" si="91"/>
        <v>9.4176698933624112E-2</v>
      </c>
      <c r="AP372" s="22">
        <f t="shared" si="91"/>
        <v>9.4265033834237441E-2</v>
      </c>
      <c r="AQ372" s="22">
        <f t="shared" si="91"/>
        <v>9.4361579611283539E-2</v>
      </c>
      <c r="AR372" s="22">
        <f t="shared" si="91"/>
        <v>9.4466046250465022E-2</v>
      </c>
      <c r="AS372" s="22">
        <f t="shared" si="91"/>
        <v>9.4474196731536342E-2</v>
      </c>
      <c r="AT372" s="22">
        <f t="shared" si="91"/>
        <v>9.4489595697509143E-2</v>
      </c>
      <c r="AU372" s="22">
        <f t="shared" si="91"/>
        <v>9.4511982833060726E-2</v>
      </c>
      <c r="AV372" s="22">
        <f t="shared" si="91"/>
        <v>9.4541113756464096E-2</v>
      </c>
      <c r="AW372" s="22">
        <f t="shared" si="91"/>
        <v>9.4576758785176129E-2</v>
      </c>
      <c r="AY372" s="85"/>
    </row>
    <row r="373" spans="1:51" x14ac:dyDescent="0.25">
      <c r="A373" s="102" t="str">
        <f t="shared" si="71"/>
        <v>GS Organic</v>
      </c>
      <c r="B373" s="102" t="s">
        <v>1022</v>
      </c>
      <c r="C373" s="102" t="s">
        <v>1128</v>
      </c>
      <c r="D373" t="s">
        <v>369</v>
      </c>
      <c r="E373" t="s">
        <v>55</v>
      </c>
      <c r="F373" t="s">
        <v>421</v>
      </c>
      <c r="G373" t="s">
        <v>1173</v>
      </c>
      <c r="H373" t="s">
        <v>1174</v>
      </c>
      <c r="I373" t="s">
        <v>139</v>
      </c>
      <c r="J373" t="s">
        <v>287</v>
      </c>
      <c r="K373" s="22">
        <f t="shared" si="90"/>
        <v>0</v>
      </c>
      <c r="L373" s="22">
        <f t="shared" si="91"/>
        <v>0</v>
      </c>
      <c r="M373" s="22">
        <f t="shared" si="91"/>
        <v>0</v>
      </c>
      <c r="N373" s="22">
        <f t="shared" si="91"/>
        <v>0</v>
      </c>
      <c r="O373" s="22">
        <f t="shared" si="91"/>
        <v>0</v>
      </c>
      <c r="P373" s="22">
        <f t="shared" si="91"/>
        <v>0</v>
      </c>
      <c r="Q373" s="22">
        <f t="shared" si="91"/>
        <v>0</v>
      </c>
      <c r="R373" s="22">
        <f t="shared" si="91"/>
        <v>0</v>
      </c>
      <c r="S373" s="22">
        <f t="shared" si="91"/>
        <v>0</v>
      </c>
      <c r="T373" s="22">
        <f t="shared" si="91"/>
        <v>0</v>
      </c>
      <c r="U373" s="22">
        <f t="shared" si="91"/>
        <v>0</v>
      </c>
      <c r="V373" s="22">
        <f t="shared" si="91"/>
        <v>0</v>
      </c>
      <c r="W373" s="22">
        <f t="shared" si="91"/>
        <v>0</v>
      </c>
      <c r="X373" s="22">
        <f t="shared" si="91"/>
        <v>0</v>
      </c>
      <c r="Y373" s="22">
        <f t="shared" si="91"/>
        <v>0</v>
      </c>
      <c r="Z373" s="22">
        <f t="shared" si="91"/>
        <v>0</v>
      </c>
      <c r="AA373" s="22">
        <f t="shared" si="91"/>
        <v>0</v>
      </c>
      <c r="AB373" s="22">
        <f t="shared" si="91"/>
        <v>0</v>
      </c>
      <c r="AC373" s="22">
        <f t="shared" si="91"/>
        <v>0</v>
      </c>
      <c r="AD373" s="22">
        <f t="shared" si="91"/>
        <v>0</v>
      </c>
      <c r="AE373" s="22">
        <f t="shared" si="91"/>
        <v>0</v>
      </c>
      <c r="AF373" s="22">
        <f t="shared" si="91"/>
        <v>0</v>
      </c>
      <c r="AG373" s="22">
        <f t="shared" si="91"/>
        <v>0</v>
      </c>
      <c r="AH373" s="22">
        <f t="shared" si="91"/>
        <v>0</v>
      </c>
      <c r="AI373" s="22">
        <f t="shared" si="91"/>
        <v>0</v>
      </c>
      <c r="AJ373" s="22">
        <f t="shared" si="91"/>
        <v>0</v>
      </c>
      <c r="AK373" s="22">
        <f t="shared" si="91"/>
        <v>0</v>
      </c>
      <c r="AL373" s="22">
        <f t="shared" si="91"/>
        <v>0</v>
      </c>
      <c r="AM373" s="22">
        <f t="shared" si="91"/>
        <v>0</v>
      </c>
      <c r="AN373" s="22">
        <f t="shared" si="91"/>
        <v>0</v>
      </c>
      <c r="AO373" s="22">
        <f t="shared" si="91"/>
        <v>0</v>
      </c>
      <c r="AP373" s="22">
        <f t="shared" si="91"/>
        <v>0</v>
      </c>
      <c r="AQ373" s="22">
        <f t="shared" ref="L373:AW380" si="92">AQ1476</f>
        <v>0</v>
      </c>
      <c r="AR373" s="22">
        <f t="shared" si="92"/>
        <v>0</v>
      </c>
      <c r="AS373" s="22">
        <f t="shared" si="92"/>
        <v>0</v>
      </c>
      <c r="AT373" s="22">
        <f t="shared" si="92"/>
        <v>0</v>
      </c>
      <c r="AU373" s="22">
        <f t="shared" si="92"/>
        <v>0</v>
      </c>
      <c r="AV373" s="22">
        <f t="shared" si="92"/>
        <v>0</v>
      </c>
      <c r="AW373" s="22">
        <f t="shared" si="92"/>
        <v>0</v>
      </c>
      <c r="AY373" s="85"/>
    </row>
    <row r="374" spans="1:51" x14ac:dyDescent="0.25">
      <c r="A374" s="102" t="str">
        <f t="shared" ref="A374:A437" si="93">B374&amp;" "&amp;C374</f>
        <v>GS Organic</v>
      </c>
      <c r="B374" s="102" t="s">
        <v>1022</v>
      </c>
      <c r="C374" s="102" t="s">
        <v>1128</v>
      </c>
      <c r="D374" t="s">
        <v>369</v>
      </c>
      <c r="E374" t="s">
        <v>55</v>
      </c>
      <c r="F374" t="s">
        <v>421</v>
      </c>
      <c r="G374" t="s">
        <v>1175</v>
      </c>
      <c r="H374" t="s">
        <v>1176</v>
      </c>
      <c r="I374" t="s">
        <v>139</v>
      </c>
      <c r="J374" t="s">
        <v>287</v>
      </c>
      <c r="K374" s="22">
        <f t="shared" si="90"/>
        <v>0</v>
      </c>
      <c r="L374" s="22">
        <f t="shared" si="92"/>
        <v>0</v>
      </c>
      <c r="M374" s="22">
        <f t="shared" si="92"/>
        <v>0</v>
      </c>
      <c r="N374" s="22">
        <f t="shared" si="92"/>
        <v>0</v>
      </c>
      <c r="O374" s="22">
        <f t="shared" si="92"/>
        <v>0</v>
      </c>
      <c r="P374" s="22">
        <f t="shared" si="92"/>
        <v>0</v>
      </c>
      <c r="Q374" s="22">
        <f t="shared" si="92"/>
        <v>0</v>
      </c>
      <c r="R374" s="22">
        <f t="shared" si="92"/>
        <v>0</v>
      </c>
      <c r="S374" s="22">
        <f t="shared" si="92"/>
        <v>0</v>
      </c>
      <c r="T374" s="22">
        <f t="shared" si="92"/>
        <v>0</v>
      </c>
      <c r="U374" s="22">
        <f t="shared" si="92"/>
        <v>0</v>
      </c>
      <c r="V374" s="22">
        <f t="shared" si="92"/>
        <v>0</v>
      </c>
      <c r="W374" s="22">
        <f t="shared" si="92"/>
        <v>0</v>
      </c>
      <c r="X374" s="22">
        <f t="shared" si="92"/>
        <v>0</v>
      </c>
      <c r="Y374" s="22">
        <f t="shared" si="92"/>
        <v>0</v>
      </c>
      <c r="Z374" s="22">
        <f t="shared" si="92"/>
        <v>0</v>
      </c>
      <c r="AA374" s="22">
        <f t="shared" si="92"/>
        <v>0</v>
      </c>
      <c r="AB374" s="22">
        <f t="shared" si="92"/>
        <v>0</v>
      </c>
      <c r="AC374" s="22">
        <f t="shared" si="92"/>
        <v>0</v>
      </c>
      <c r="AD374" s="22">
        <f t="shared" si="92"/>
        <v>0</v>
      </c>
      <c r="AE374" s="22">
        <f t="shared" si="92"/>
        <v>0</v>
      </c>
      <c r="AF374" s="22">
        <f t="shared" si="92"/>
        <v>0</v>
      </c>
      <c r="AG374" s="22">
        <f t="shared" si="92"/>
        <v>0</v>
      </c>
      <c r="AH374" s="22">
        <f t="shared" si="92"/>
        <v>0</v>
      </c>
      <c r="AI374" s="22">
        <f t="shared" si="92"/>
        <v>0</v>
      </c>
      <c r="AJ374" s="22">
        <f t="shared" si="92"/>
        <v>0</v>
      </c>
      <c r="AK374" s="22">
        <f t="shared" si="92"/>
        <v>0</v>
      </c>
      <c r="AL374" s="22">
        <f t="shared" si="92"/>
        <v>0</v>
      </c>
      <c r="AM374" s="22">
        <f t="shared" si="92"/>
        <v>0</v>
      </c>
      <c r="AN374" s="22">
        <f t="shared" si="92"/>
        <v>0</v>
      </c>
      <c r="AO374" s="22">
        <f t="shared" si="92"/>
        <v>0</v>
      </c>
      <c r="AP374" s="22">
        <f t="shared" si="92"/>
        <v>0</v>
      </c>
      <c r="AQ374" s="22">
        <f t="shared" si="92"/>
        <v>0</v>
      </c>
      <c r="AR374" s="22">
        <f t="shared" si="92"/>
        <v>0</v>
      </c>
      <c r="AS374" s="22">
        <f t="shared" si="92"/>
        <v>0</v>
      </c>
      <c r="AT374" s="22">
        <f t="shared" si="92"/>
        <v>0</v>
      </c>
      <c r="AU374" s="22">
        <f t="shared" si="92"/>
        <v>0</v>
      </c>
      <c r="AV374" s="22">
        <f t="shared" si="92"/>
        <v>0</v>
      </c>
      <c r="AW374" s="22">
        <f t="shared" si="92"/>
        <v>0</v>
      </c>
      <c r="AY374" s="85"/>
    </row>
    <row r="375" spans="1:51" x14ac:dyDescent="0.25">
      <c r="A375" s="102" t="str">
        <f t="shared" si="93"/>
        <v>GS Organic</v>
      </c>
      <c r="B375" s="102" t="s">
        <v>1022</v>
      </c>
      <c r="C375" s="102" t="s">
        <v>1128</v>
      </c>
      <c r="D375" t="s">
        <v>369</v>
      </c>
      <c r="E375" t="s">
        <v>55</v>
      </c>
      <c r="F375" t="s">
        <v>421</v>
      </c>
      <c r="G375" t="s">
        <v>1177</v>
      </c>
      <c r="H375" t="s">
        <v>1178</v>
      </c>
      <c r="I375" t="s">
        <v>139</v>
      </c>
      <c r="J375" t="s">
        <v>287</v>
      </c>
      <c r="K375" s="22">
        <f t="shared" si="90"/>
        <v>0.125581463448449</v>
      </c>
      <c r="L375" s="22">
        <f t="shared" si="92"/>
        <v>0.125185082671006</v>
      </c>
      <c r="M375" s="22">
        <f t="shared" si="92"/>
        <v>0.12387425442661908</v>
      </c>
      <c r="N375" s="22">
        <f t="shared" si="92"/>
        <v>0.12132911183874903</v>
      </c>
      <c r="O375" s="22">
        <f t="shared" si="92"/>
        <v>0.1188953282361286</v>
      </c>
      <c r="P375" s="22">
        <f t="shared" si="92"/>
        <v>0.11718799777455163</v>
      </c>
      <c r="Q375" s="22">
        <f t="shared" si="92"/>
        <v>0.11574203128248971</v>
      </c>
      <c r="R375" s="22">
        <f t="shared" si="92"/>
        <v>0.11307943655863528</v>
      </c>
      <c r="S375" s="22">
        <f t="shared" si="92"/>
        <v>9.8992483819013391E-2</v>
      </c>
      <c r="T375" s="22">
        <f t="shared" si="92"/>
        <v>9.9621540773874098E-2</v>
      </c>
      <c r="U375" s="22">
        <f t="shared" si="92"/>
        <v>9.9937301593485559E-2</v>
      </c>
      <c r="V375" s="22">
        <f t="shared" si="92"/>
        <v>0.10024428291849223</v>
      </c>
      <c r="W375" s="22">
        <f t="shared" si="92"/>
        <v>0.10099411627265523</v>
      </c>
      <c r="X375" s="22">
        <f t="shared" si="92"/>
        <v>0.10171874148627991</v>
      </c>
      <c r="Y375" s="22">
        <f t="shared" si="92"/>
        <v>0.1025500722540789</v>
      </c>
      <c r="Z375" s="22">
        <f t="shared" si="92"/>
        <v>0.10324784841270714</v>
      </c>
      <c r="AA375" s="22">
        <f t="shared" si="92"/>
        <v>0.10408641302096616</v>
      </c>
      <c r="AB375" s="22">
        <f t="shared" si="92"/>
        <v>0.10469683987160423</v>
      </c>
      <c r="AC375" s="22">
        <f t="shared" si="92"/>
        <v>0.10533895546772398</v>
      </c>
      <c r="AD375" s="22">
        <f t="shared" si="92"/>
        <v>0.10652330160399656</v>
      </c>
      <c r="AE375" s="22">
        <f t="shared" si="92"/>
        <v>0.10790681124778287</v>
      </c>
      <c r="AF375" s="22">
        <f t="shared" si="92"/>
        <v>0.10933849435388519</v>
      </c>
      <c r="AG375" s="22">
        <f t="shared" si="92"/>
        <v>0.10772941024216406</v>
      </c>
      <c r="AH375" s="22">
        <f t="shared" si="92"/>
        <v>-3.634870651063056E-2</v>
      </c>
      <c r="AI375" s="22">
        <f t="shared" si="92"/>
        <v>-3.5951110371359889E-2</v>
      </c>
      <c r="AJ375" s="22">
        <f t="shared" si="92"/>
        <v>-3.5562030175799973E-2</v>
      </c>
      <c r="AK375" s="22">
        <f t="shared" si="92"/>
        <v>-3.5180908821616855E-2</v>
      </c>
      <c r="AL375" s="22">
        <f t="shared" si="92"/>
        <v>-3.4807229997572818E-2</v>
      </c>
      <c r="AM375" s="22">
        <f t="shared" si="92"/>
        <v>-3.4440514238790632E-2</v>
      </c>
      <c r="AN375" s="22">
        <f t="shared" si="92"/>
        <v>-3.4038300116717851E-2</v>
      </c>
      <c r="AO375" s="22">
        <f t="shared" si="92"/>
        <v>-3.3643177597525331E-2</v>
      </c>
      <c r="AP375" s="22">
        <f t="shared" si="92"/>
        <v>-3.325473249917061E-2</v>
      </c>
      <c r="AQ375" s="22">
        <f t="shared" si="92"/>
        <v>-3.2872577693066611E-2</v>
      </c>
      <c r="AR375" s="22">
        <f t="shared" si="92"/>
        <v>-3.2496350766594746E-2</v>
      </c>
      <c r="AS375" s="22">
        <f t="shared" si="92"/>
        <v>-3.2086347643088084E-2</v>
      </c>
      <c r="AT375" s="22">
        <f t="shared" si="92"/>
        <v>-3.1682606758135223E-2</v>
      </c>
      <c r="AU375" s="22">
        <f t="shared" si="92"/>
        <v>-3.1284805771392483E-2</v>
      </c>
      <c r="AV375" s="22">
        <f t="shared" si="92"/>
        <v>-3.0892641387511636E-2</v>
      </c>
      <c r="AW375" s="22">
        <f t="shared" si="92"/>
        <v>-3.0505827871256618E-2</v>
      </c>
      <c r="AY375" s="85"/>
    </row>
    <row r="376" spans="1:51" x14ac:dyDescent="0.25">
      <c r="A376" s="102" t="str">
        <f t="shared" si="93"/>
        <v>GS Organic</v>
      </c>
      <c r="B376" s="102" t="s">
        <v>1022</v>
      </c>
      <c r="C376" s="102" t="s">
        <v>1128</v>
      </c>
      <c r="D376" t="s">
        <v>369</v>
      </c>
      <c r="E376" t="s">
        <v>55</v>
      </c>
      <c r="F376" t="s">
        <v>421</v>
      </c>
      <c r="G376" t="s">
        <v>1179</v>
      </c>
      <c r="H376" t="s">
        <v>1180</v>
      </c>
      <c r="I376" t="s">
        <v>139</v>
      </c>
      <c r="J376" t="s">
        <v>287</v>
      </c>
      <c r="K376" s="22">
        <f t="shared" si="90"/>
        <v>3.1860496839281362E-2</v>
      </c>
      <c r="L376" s="22">
        <f t="shared" si="92"/>
        <v>3.1759933522370665E-2</v>
      </c>
      <c r="M376" s="22">
        <f t="shared" si="92"/>
        <v>3.1427371391063171E-2</v>
      </c>
      <c r="N376" s="22">
        <f t="shared" si="92"/>
        <v>3.0781658997293845E-2</v>
      </c>
      <c r="O376" s="22">
        <f t="shared" si="92"/>
        <v>3.0164198803332858E-2</v>
      </c>
      <c r="P376" s="22">
        <f t="shared" si="92"/>
        <v>2.973104254538711E-2</v>
      </c>
      <c r="Q376" s="22">
        <f t="shared" si="92"/>
        <v>2.9364195324587221E-2</v>
      </c>
      <c r="R376" s="22">
        <f t="shared" si="92"/>
        <v>2.8688684875400002E-2</v>
      </c>
      <c r="S376" s="22">
        <f t="shared" si="92"/>
        <v>2.5114771171009475E-2</v>
      </c>
      <c r="T376" s="22">
        <f t="shared" si="92"/>
        <v>2.5274365322659843E-2</v>
      </c>
      <c r="U376" s="22">
        <f t="shared" si="92"/>
        <v>2.535447504840236E-2</v>
      </c>
      <c r="V376" s="22">
        <f t="shared" si="92"/>
        <v>2.5432357382837084E-2</v>
      </c>
      <c r="W376" s="22">
        <f t="shared" si="92"/>
        <v>2.562259296820359E-2</v>
      </c>
      <c r="X376" s="22">
        <f t="shared" si="92"/>
        <v>2.5806433152052291E-2</v>
      </c>
      <c r="Y376" s="22">
        <f t="shared" si="92"/>
        <v>2.6017344942475328E-2</v>
      </c>
      <c r="Z376" s="22">
        <f t="shared" si="92"/>
        <v>2.6194373418542003E-2</v>
      </c>
      <c r="AA376" s="22">
        <f t="shared" si="92"/>
        <v>2.6407120461913867E-2</v>
      </c>
      <c r="AB376" s="22">
        <f t="shared" si="92"/>
        <v>2.6561988084979515E-2</v>
      </c>
      <c r="AC376" s="22">
        <f t="shared" si="92"/>
        <v>2.6724895263784808E-2</v>
      </c>
      <c r="AD376" s="22">
        <f t="shared" si="92"/>
        <v>2.7025368401261952E-2</v>
      </c>
      <c r="AE376" s="22">
        <f t="shared" si="92"/>
        <v>2.7376370081148127E-2</v>
      </c>
      <c r="AF376" s="22">
        <f t="shared" si="92"/>
        <v>2.7739593552385582E-2</v>
      </c>
      <c r="AG376" s="22">
        <f t="shared" si="92"/>
        <v>2.7331362768575094E-2</v>
      </c>
      <c r="AH376" s="22">
        <f t="shared" si="92"/>
        <v>-9.2218056478478912E-3</v>
      </c>
      <c r="AI376" s="22">
        <f t="shared" si="92"/>
        <v>-9.1209339890003793E-3</v>
      </c>
      <c r="AJ376" s="22">
        <f t="shared" si="92"/>
        <v>-9.0222228575924188E-3</v>
      </c>
      <c r="AK376" s="22">
        <f t="shared" si="92"/>
        <v>-8.9255309146344646E-3</v>
      </c>
      <c r="AL376" s="22">
        <f t="shared" si="92"/>
        <v>-8.8307271699938471E-3</v>
      </c>
      <c r="AM376" s="22">
        <f t="shared" si="92"/>
        <v>-8.7376899816002714E-3</v>
      </c>
      <c r="AN376" s="22">
        <f t="shared" si="92"/>
        <v>-8.6356467228810053E-3</v>
      </c>
      <c r="AO376" s="22">
        <f t="shared" si="92"/>
        <v>-8.5354026308934166E-3</v>
      </c>
      <c r="AP376" s="22">
        <f t="shared" si="92"/>
        <v>-8.436852626071684E-3</v>
      </c>
      <c r="AQ376" s="22">
        <f t="shared" si="92"/>
        <v>-8.3398984924149214E-3</v>
      </c>
      <c r="AR376" s="22">
        <f t="shared" si="92"/>
        <v>-8.2444482844578407E-3</v>
      </c>
      <c r="AS376" s="22">
        <f t="shared" si="92"/>
        <v>-8.1404289263306579E-3</v>
      </c>
      <c r="AT376" s="22">
        <f t="shared" si="92"/>
        <v>-8.0379983220384144E-3</v>
      </c>
      <c r="AU376" s="22">
        <f t="shared" si="92"/>
        <v>-7.9370746926049739E-3</v>
      </c>
      <c r="AV376" s="22">
        <f t="shared" si="92"/>
        <v>-7.8375810908422969E-3</v>
      </c>
      <c r="AW376" s="22">
        <f t="shared" si="92"/>
        <v>-7.7394450246298409E-3</v>
      </c>
      <c r="AY376" s="85"/>
    </row>
    <row r="377" spans="1:51" x14ac:dyDescent="0.25">
      <c r="A377" s="102" t="str">
        <f t="shared" si="93"/>
        <v>GS Organic</v>
      </c>
      <c r="B377" s="102" t="s">
        <v>1022</v>
      </c>
      <c r="C377" s="102" t="s">
        <v>1128</v>
      </c>
      <c r="D377" t="s">
        <v>369</v>
      </c>
      <c r="E377" t="s">
        <v>55</v>
      </c>
      <c r="F377" t="s">
        <v>421</v>
      </c>
      <c r="G377" t="s">
        <v>1181</v>
      </c>
      <c r="H377" t="s">
        <v>1182</v>
      </c>
      <c r="I377" t="s">
        <v>139</v>
      </c>
      <c r="J377" t="s">
        <v>287</v>
      </c>
      <c r="K377" s="22">
        <f t="shared" si="90"/>
        <v>0.1578659423422277</v>
      </c>
      <c r="L377" s="22">
        <f t="shared" si="92"/>
        <v>0.16128463868664497</v>
      </c>
      <c r="M377" s="22">
        <f t="shared" si="92"/>
        <v>0.16403927917478689</v>
      </c>
      <c r="N377" s="22">
        <f t="shared" si="92"/>
        <v>0.16583912134746412</v>
      </c>
      <c r="O377" s="22">
        <f t="shared" si="92"/>
        <v>0.16766339315982179</v>
      </c>
      <c r="P377" s="22">
        <f t="shared" si="92"/>
        <v>0.17001522372192687</v>
      </c>
      <c r="Q377" s="22">
        <f t="shared" si="92"/>
        <v>0.17253027929477446</v>
      </c>
      <c r="R377" s="22">
        <f t="shared" si="92"/>
        <v>0.17399291850067305</v>
      </c>
      <c r="S377" s="22">
        <f t="shared" si="92"/>
        <v>0.16557860027053409</v>
      </c>
      <c r="T377" s="22">
        <f t="shared" si="92"/>
        <v>0.1691333492046497</v>
      </c>
      <c r="U377" s="22">
        <f t="shared" si="92"/>
        <v>0.17245170747417515</v>
      </c>
      <c r="V377" s="22">
        <f t="shared" si="92"/>
        <v>0.17579626240036808</v>
      </c>
      <c r="W377" s="22">
        <f t="shared" si="92"/>
        <v>0.17959210165256231</v>
      </c>
      <c r="X377" s="22">
        <f t="shared" si="92"/>
        <v>0.18341947191943975</v>
      </c>
      <c r="Y377" s="22">
        <f t="shared" si="92"/>
        <v>0.18725170622309825</v>
      </c>
      <c r="Z377" s="22">
        <f t="shared" si="92"/>
        <v>0.19101002435789147</v>
      </c>
      <c r="AA377" s="22">
        <f t="shared" si="92"/>
        <v>0.19496806630989533</v>
      </c>
      <c r="AB377" s="22">
        <f t="shared" si="92"/>
        <v>0.1987521861165934</v>
      </c>
      <c r="AC377" s="22">
        <f t="shared" si="92"/>
        <v>0.20262605023407515</v>
      </c>
      <c r="AD377" s="22">
        <f t="shared" si="92"/>
        <v>0.20701826985045815</v>
      </c>
      <c r="AE377" s="22">
        <f t="shared" si="92"/>
        <v>0.21171320346850861</v>
      </c>
      <c r="AF377" s="22">
        <f t="shared" si="92"/>
        <v>0.21655584185518156</v>
      </c>
      <c r="AG377" s="22">
        <f t="shared" si="92"/>
        <v>0.21799724995986033</v>
      </c>
      <c r="AH377" s="22">
        <f t="shared" si="92"/>
        <v>5.2251952852615427E-2</v>
      </c>
      <c r="AI377" s="22">
        <f t="shared" si="92"/>
        <v>5.2653553300749806E-2</v>
      </c>
      <c r="AJ377" s="22">
        <f t="shared" si="92"/>
        <v>5.3058077706100888E-2</v>
      </c>
      <c r="AK377" s="22">
        <f t="shared" si="92"/>
        <v>5.3465548333796561E-2</v>
      </c>
      <c r="AL377" s="22">
        <f t="shared" si="92"/>
        <v>5.3875987550074486E-2</v>
      </c>
      <c r="AM377" s="22">
        <f t="shared" si="92"/>
        <v>5.4289417828860521E-2</v>
      </c>
      <c r="AN377" s="22">
        <f t="shared" si="92"/>
        <v>5.4642837788304699E-2</v>
      </c>
      <c r="AO377" s="22">
        <f t="shared" si="92"/>
        <v>5.4998439326322222E-2</v>
      </c>
      <c r="AP377" s="22">
        <f t="shared" si="92"/>
        <v>5.5356236623464276E-2</v>
      </c>
      <c r="AQ377" s="22">
        <f t="shared" si="92"/>
        <v>5.5716243907733665E-2</v>
      </c>
      <c r="AR377" s="22">
        <f t="shared" si="92"/>
        <v>5.6078475458306978E-2</v>
      </c>
      <c r="AS377" s="22">
        <f t="shared" si="92"/>
        <v>5.6378177516484766E-2</v>
      </c>
      <c r="AT377" s="22">
        <f t="shared" si="92"/>
        <v>5.6679397882174076E-2</v>
      </c>
      <c r="AU377" s="22">
        <f t="shared" si="92"/>
        <v>5.6982144790486855E-2</v>
      </c>
      <c r="AV377" s="22">
        <f t="shared" si="92"/>
        <v>5.7286426490389369E-2</v>
      </c>
      <c r="AW377" s="22">
        <f t="shared" si="92"/>
        <v>5.7592251246923687E-2</v>
      </c>
      <c r="AY377" s="85"/>
    </row>
    <row r="378" spans="1:51" x14ac:dyDescent="0.25">
      <c r="A378" s="102" t="str">
        <f t="shared" si="93"/>
        <v>GS Organic</v>
      </c>
      <c r="B378" s="102" t="s">
        <v>1022</v>
      </c>
      <c r="C378" s="102" t="s">
        <v>1128</v>
      </c>
      <c r="D378" t="s">
        <v>369</v>
      </c>
      <c r="E378" t="s">
        <v>55</v>
      </c>
      <c r="F378" t="s">
        <v>421</v>
      </c>
      <c r="G378" t="s">
        <v>1183</v>
      </c>
      <c r="H378" t="s">
        <v>1184</v>
      </c>
      <c r="I378" t="s">
        <v>139</v>
      </c>
      <c r="J378" t="s">
        <v>287</v>
      </c>
      <c r="K378" s="22">
        <f t="shared" si="90"/>
        <v>0.795414165570277</v>
      </c>
      <c r="L378" s="22">
        <f t="shared" si="92"/>
        <v>0.8083218557846692</v>
      </c>
      <c r="M378" s="22">
        <f t="shared" si="92"/>
        <v>0.81215441853464132</v>
      </c>
      <c r="N378" s="22">
        <f t="shared" si="92"/>
        <v>0.80356343008777875</v>
      </c>
      <c r="O378" s="22">
        <f t="shared" si="92"/>
        <v>0.79499088780116223</v>
      </c>
      <c r="P378" s="22">
        <f t="shared" si="92"/>
        <v>0.79250347923266529</v>
      </c>
      <c r="Q378" s="22">
        <f t="shared" si="92"/>
        <v>0.79198531109847847</v>
      </c>
      <c r="R378" s="22">
        <f t="shared" si="92"/>
        <v>0.77877476502438481</v>
      </c>
      <c r="S378" s="22">
        <f t="shared" si="92"/>
        <v>0.64890920680176789</v>
      </c>
      <c r="T378" s="22">
        <f t="shared" si="92"/>
        <v>0.66805040989248243</v>
      </c>
      <c r="U378" s="22">
        <f t="shared" si="92"/>
        <v>0.68404988485251483</v>
      </c>
      <c r="V378" s="22">
        <f t="shared" si="92"/>
        <v>0.70001053899583365</v>
      </c>
      <c r="W378" s="22">
        <f t="shared" si="92"/>
        <v>0.72077585420537182</v>
      </c>
      <c r="X378" s="22">
        <f t="shared" si="92"/>
        <v>0.74147883845948881</v>
      </c>
      <c r="Y378" s="22">
        <f t="shared" si="92"/>
        <v>0.76420933570691552</v>
      </c>
      <c r="Z378" s="22">
        <f t="shared" si="92"/>
        <v>0.78572613438626693</v>
      </c>
      <c r="AA378" s="22">
        <f t="shared" si="92"/>
        <v>0.80907791428846942</v>
      </c>
      <c r="AB378" s="22">
        <f t="shared" si="92"/>
        <v>0.8301336909980378</v>
      </c>
      <c r="AC378" s="22">
        <f t="shared" si="92"/>
        <v>0.85181121057445375</v>
      </c>
      <c r="AD378" s="22">
        <f t="shared" si="92"/>
        <v>0.88061906068467799</v>
      </c>
      <c r="AE378" s="22">
        <f t="shared" si="92"/>
        <v>0.91224642242202703</v>
      </c>
      <c r="AF378" s="22">
        <f t="shared" si="92"/>
        <v>0.9449892623330276</v>
      </c>
      <c r="AG378" s="22">
        <f t="shared" si="92"/>
        <v>0.94134312985108715</v>
      </c>
      <c r="AH378" s="22">
        <f t="shared" si="92"/>
        <v>-0.81638140263432868</v>
      </c>
      <c r="AI378" s="22">
        <f t="shared" si="92"/>
        <v>-0.81755111000616232</v>
      </c>
      <c r="AJ378" s="22">
        <f t="shared" si="92"/>
        <v>-0.81881979999269761</v>
      </c>
      <c r="AK378" s="22">
        <f t="shared" si="92"/>
        <v>-0.82018334185066777</v>
      </c>
      <c r="AL378" s="22">
        <f t="shared" si="92"/>
        <v>-0.82163792568162108</v>
      </c>
      <c r="AM378" s="22">
        <f t="shared" si="92"/>
        <v>-0.82318003161190867</v>
      </c>
      <c r="AN378" s="22">
        <f t="shared" si="92"/>
        <v>-0.82381473491699941</v>
      </c>
      <c r="AO378" s="22">
        <f t="shared" si="92"/>
        <v>-0.82452898483774906</v>
      </c>
      <c r="AP378" s="22">
        <f t="shared" si="92"/>
        <v>-0.82531969261957272</v>
      </c>
      <c r="AQ378" s="22">
        <f t="shared" si="92"/>
        <v>-0.82618398159490103</v>
      </c>
      <c r="AR378" s="22">
        <f t="shared" si="92"/>
        <v>-0.82711916895922855</v>
      </c>
      <c r="AS378" s="22">
        <f t="shared" si="92"/>
        <v>-0.82713235750266001</v>
      </c>
      <c r="AT378" s="22">
        <f t="shared" si="92"/>
        <v>-0.82721120407880289</v>
      </c>
      <c r="AU378" s="22">
        <f t="shared" si="92"/>
        <v>-0.82735328113760953</v>
      </c>
      <c r="AV378" s="22">
        <f t="shared" si="92"/>
        <v>-0.82755630984608064</v>
      </c>
      <c r="AW378" s="22">
        <f t="shared" si="92"/>
        <v>-0.82781814853769387</v>
      </c>
      <c r="AY378" s="85"/>
    </row>
    <row r="379" spans="1:51" x14ac:dyDescent="0.25">
      <c r="A379" s="102" t="str">
        <f t="shared" si="93"/>
        <v>GS U&amp;D</v>
      </c>
      <c r="B379" s="102" t="s">
        <v>1022</v>
      </c>
      <c r="C379" s="102" t="s">
        <v>1337</v>
      </c>
      <c r="D379" t="s">
        <v>369</v>
      </c>
      <c r="E379" t="s">
        <v>55</v>
      </c>
      <c r="F379" t="s">
        <v>422</v>
      </c>
      <c r="G379" t="s">
        <v>1153</v>
      </c>
      <c r="H379" t="s">
        <v>1241</v>
      </c>
      <c r="I379" t="s">
        <v>139</v>
      </c>
      <c r="J379" t="s">
        <v>287</v>
      </c>
      <c r="K379" s="22">
        <f t="shared" si="90"/>
        <v>0</v>
      </c>
      <c r="L379" s="22">
        <f t="shared" si="92"/>
        <v>0</v>
      </c>
      <c r="M379" s="22">
        <f t="shared" si="92"/>
        <v>0</v>
      </c>
      <c r="N379" s="22">
        <f t="shared" si="92"/>
        <v>0</v>
      </c>
      <c r="O379" s="22">
        <f t="shared" si="92"/>
        <v>0</v>
      </c>
      <c r="P379" s="22">
        <f t="shared" si="92"/>
        <v>0</v>
      </c>
      <c r="Q379" s="22">
        <f t="shared" si="92"/>
        <v>0</v>
      </c>
      <c r="R379" s="22">
        <f t="shared" si="92"/>
        <v>0</v>
      </c>
      <c r="S379" s="22">
        <f t="shared" si="92"/>
        <v>0</v>
      </c>
      <c r="T379" s="22">
        <f t="shared" si="92"/>
        <v>0</v>
      </c>
      <c r="U379" s="22">
        <f t="shared" si="92"/>
        <v>0</v>
      </c>
      <c r="V379" s="22">
        <f t="shared" si="92"/>
        <v>0</v>
      </c>
      <c r="W379" s="22">
        <f t="shared" si="92"/>
        <v>0</v>
      </c>
      <c r="X379" s="22">
        <f t="shared" si="92"/>
        <v>0</v>
      </c>
      <c r="Y379" s="22">
        <f t="shared" si="92"/>
        <v>0</v>
      </c>
      <c r="Z379" s="22">
        <f t="shared" si="92"/>
        <v>0</v>
      </c>
      <c r="AA379" s="22">
        <f t="shared" si="92"/>
        <v>0</v>
      </c>
      <c r="AB379" s="22">
        <f t="shared" si="92"/>
        <v>0</v>
      </c>
      <c r="AC379" s="22">
        <f t="shared" si="92"/>
        <v>0</v>
      </c>
      <c r="AD379" s="22">
        <f t="shared" si="92"/>
        <v>0</v>
      </c>
      <c r="AE379" s="22">
        <f t="shared" si="92"/>
        <v>0</v>
      </c>
      <c r="AF379" s="22">
        <f t="shared" si="92"/>
        <v>0</v>
      </c>
      <c r="AG379" s="22">
        <f t="shared" si="92"/>
        <v>0</v>
      </c>
      <c r="AH379" s="22">
        <f t="shared" si="92"/>
        <v>0</v>
      </c>
      <c r="AI379" s="22">
        <f t="shared" si="92"/>
        <v>0</v>
      </c>
      <c r="AJ379" s="22">
        <f t="shared" si="92"/>
        <v>0</v>
      </c>
      <c r="AK379" s="22">
        <f t="shared" si="92"/>
        <v>0</v>
      </c>
      <c r="AL379" s="22">
        <f t="shared" si="92"/>
        <v>0</v>
      </c>
      <c r="AM379" s="22">
        <f t="shared" si="92"/>
        <v>0</v>
      </c>
      <c r="AN379" s="22">
        <f t="shared" si="92"/>
        <v>0</v>
      </c>
      <c r="AO379" s="22">
        <f t="shared" si="92"/>
        <v>0</v>
      </c>
      <c r="AP379" s="22">
        <f t="shared" si="92"/>
        <v>0</v>
      </c>
      <c r="AQ379" s="22">
        <f t="shared" si="92"/>
        <v>0</v>
      </c>
      <c r="AR379" s="22">
        <f t="shared" si="92"/>
        <v>0</v>
      </c>
      <c r="AS379" s="22">
        <f t="shared" si="92"/>
        <v>0</v>
      </c>
      <c r="AT379" s="22">
        <f t="shared" si="92"/>
        <v>0</v>
      </c>
      <c r="AU379" s="22">
        <f t="shared" si="92"/>
        <v>0</v>
      </c>
      <c r="AV379" s="22">
        <f t="shared" si="92"/>
        <v>0</v>
      </c>
      <c r="AW379" s="22">
        <f t="shared" si="92"/>
        <v>0</v>
      </c>
      <c r="AY379" s="85"/>
    </row>
    <row r="380" spans="1:51" x14ac:dyDescent="0.25">
      <c r="A380" s="102" t="str">
        <f t="shared" si="93"/>
        <v>GS U&amp;D</v>
      </c>
      <c r="B380" s="102" t="s">
        <v>1022</v>
      </c>
      <c r="C380" s="102" t="s">
        <v>1337</v>
      </c>
      <c r="D380" t="s">
        <v>369</v>
      </c>
      <c r="E380" t="s">
        <v>55</v>
      </c>
      <c r="F380" t="s">
        <v>422</v>
      </c>
      <c r="G380" t="s">
        <v>1155</v>
      </c>
      <c r="H380" t="s">
        <v>1242</v>
      </c>
      <c r="I380" t="s">
        <v>139</v>
      </c>
      <c r="J380" t="s">
        <v>287</v>
      </c>
      <c r="K380" s="22">
        <f t="shared" si="90"/>
        <v>1.0795326716636573</v>
      </c>
      <c r="L380" s="22">
        <f t="shared" si="92"/>
        <v>1.0862475469793051</v>
      </c>
      <c r="M380" s="22">
        <f t="shared" si="92"/>
        <v>1.0908641162595043</v>
      </c>
      <c r="N380" s="22">
        <f t="shared" si="92"/>
        <v>1.0923119403436279</v>
      </c>
      <c r="O380" s="22">
        <f t="shared" si="92"/>
        <v>1.0942706302876248</v>
      </c>
      <c r="P380" s="22">
        <f t="shared" si="92"/>
        <v>1.0985609054131558</v>
      </c>
      <c r="Q380" s="22">
        <f t="shared" si="92"/>
        <v>1.1037045101143446</v>
      </c>
      <c r="R380" s="22">
        <f t="shared" si="92"/>
        <v>1.105249702620553</v>
      </c>
      <c r="S380" s="22">
        <f t="shared" si="92"/>
        <v>1.0713187850060639</v>
      </c>
      <c r="T380" s="22">
        <f t="shared" si="92"/>
        <v>1.0801428769448762</v>
      </c>
      <c r="U380" s="22">
        <f t="shared" si="92"/>
        <v>1.0882343186562755</v>
      </c>
      <c r="V380" s="22">
        <f t="shared" si="92"/>
        <v>1.0965307426510265</v>
      </c>
      <c r="W380" s="22">
        <f t="shared" si="92"/>
        <v>1.1065249139358884</v>
      </c>
      <c r="X380" s="22">
        <f t="shared" si="92"/>
        <v>1.1167066198379636</v>
      </c>
      <c r="Y380" s="22">
        <f t="shared" si="92"/>
        <v>1.1266207343141128</v>
      </c>
      <c r="Z380" s="22">
        <f t="shared" si="92"/>
        <v>1.1363365093259761</v>
      </c>
      <c r="AA380" s="22">
        <f t="shared" si="92"/>
        <v>1.146801464584869</v>
      </c>
      <c r="AB380" s="22">
        <f t="shared" si="92"/>
        <v>1.156711571508408</v>
      </c>
      <c r="AC380" s="22">
        <f t="shared" si="92"/>
        <v>1.1669771470605725</v>
      </c>
      <c r="AD380" s="22">
        <f t="shared" si="92"/>
        <v>1.1787713566301137</v>
      </c>
      <c r="AE380" s="22">
        <f t="shared" si="92"/>
        <v>1.1916164906506355</v>
      </c>
      <c r="AF380" s="22">
        <f t="shared" ref="L380:AW387" si="94">AF1483</f>
        <v>1.2049714778557878</v>
      </c>
      <c r="AG380" s="22">
        <f t="shared" si="94"/>
        <v>1.2068369654753692</v>
      </c>
      <c r="AH380" s="22">
        <f t="shared" si="94"/>
        <v>0.64612873683850436</v>
      </c>
      <c r="AI380" s="22">
        <f t="shared" si="94"/>
        <v>0.64660396058025826</v>
      </c>
      <c r="AJ380" s="22">
        <f t="shared" si="94"/>
        <v>0.64714161069901732</v>
      </c>
      <c r="AK380" s="22">
        <f t="shared" si="94"/>
        <v>0.64773931439075094</v>
      </c>
      <c r="AL380" s="22">
        <f t="shared" si="94"/>
        <v>0.64839488159544112</v>
      </c>
      <c r="AM380" s="22">
        <f t="shared" si="94"/>
        <v>0.64910628767603584</v>
      </c>
      <c r="AN380" s="22">
        <f t="shared" si="94"/>
        <v>0.64941256924922242</v>
      </c>
      <c r="AO380" s="22">
        <f t="shared" si="94"/>
        <v>0.64976802465090699</v>
      </c>
      <c r="AP380" s="22">
        <f t="shared" si="94"/>
        <v>0.65017093639043266</v>
      </c>
      <c r="AQ380" s="22">
        <f t="shared" si="94"/>
        <v>0.65061970417317594</v>
      </c>
      <c r="AR380" s="22">
        <f t="shared" si="94"/>
        <v>0.65111283495552585</v>
      </c>
      <c r="AS380" s="22">
        <f t="shared" si="94"/>
        <v>0.65118489834837545</v>
      </c>
      <c r="AT380" s="22">
        <f t="shared" si="94"/>
        <v>0.65129629063948757</v>
      </c>
      <c r="AU380" s="22">
        <f t="shared" si="94"/>
        <v>0.65144570826558501</v>
      </c>
      <c r="AV380" s="22">
        <f t="shared" si="94"/>
        <v>0.65163192707531048</v>
      </c>
      <c r="AW380" s="22">
        <f t="shared" si="94"/>
        <v>0.6518537962289046</v>
      </c>
      <c r="AY380" s="85"/>
    </row>
    <row r="381" spans="1:51" x14ac:dyDescent="0.25">
      <c r="A381" s="102" t="str">
        <f t="shared" si="93"/>
        <v>GS U&amp;D</v>
      </c>
      <c r="B381" s="102" t="s">
        <v>1022</v>
      </c>
      <c r="C381" s="102" t="s">
        <v>1337</v>
      </c>
      <c r="D381" t="s">
        <v>369</v>
      </c>
      <c r="E381" t="s">
        <v>55</v>
      </c>
      <c r="F381" t="s">
        <v>422</v>
      </c>
      <c r="G381" t="s">
        <v>1157</v>
      </c>
      <c r="H381" t="s">
        <v>1243</v>
      </c>
      <c r="I381" t="s">
        <v>139</v>
      </c>
      <c r="J381" t="s">
        <v>287</v>
      </c>
      <c r="K381" s="22">
        <f t="shared" si="90"/>
        <v>0.73516913566022923</v>
      </c>
      <c r="L381" s="22">
        <f t="shared" si="94"/>
        <v>0.7397420116939516</v>
      </c>
      <c r="M381" s="22">
        <f t="shared" si="94"/>
        <v>0.74288592696073941</v>
      </c>
      <c r="N381" s="22">
        <f t="shared" si="94"/>
        <v>0.74387190506816692</v>
      </c>
      <c r="O381" s="22">
        <f t="shared" si="94"/>
        <v>0.74520578632155732</v>
      </c>
      <c r="P381" s="22">
        <f t="shared" si="94"/>
        <v>0.74812749303648285</v>
      </c>
      <c r="Q381" s="22">
        <f t="shared" si="94"/>
        <v>0.7516303230309872</v>
      </c>
      <c r="R381" s="22">
        <f t="shared" si="94"/>
        <v>0.75268260970005785</v>
      </c>
      <c r="S381" s="22">
        <f t="shared" si="94"/>
        <v>0.72957542264627473</v>
      </c>
      <c r="T381" s="22">
        <f t="shared" si="94"/>
        <v>0.73558468963181722</v>
      </c>
      <c r="U381" s="22">
        <f t="shared" si="94"/>
        <v>0.74109501679963463</v>
      </c>
      <c r="V381" s="22">
        <f t="shared" si="94"/>
        <v>0.74674493830492128</v>
      </c>
      <c r="W381" s="22">
        <f t="shared" si="94"/>
        <v>0.753551037330909</v>
      </c>
      <c r="X381" s="22">
        <f t="shared" si="94"/>
        <v>0.76048484871434763</v>
      </c>
      <c r="Y381" s="22">
        <f t="shared" si="94"/>
        <v>0.7672364285058465</v>
      </c>
      <c r="Z381" s="22">
        <f t="shared" si="94"/>
        <v>0.77385293776511066</v>
      </c>
      <c r="AA381" s="22">
        <f t="shared" si="94"/>
        <v>0.78097964389855901</v>
      </c>
      <c r="AB381" s="22">
        <f t="shared" si="94"/>
        <v>0.78772849451931037</v>
      </c>
      <c r="AC381" s="22">
        <f t="shared" si="94"/>
        <v>0.79471942170830334</v>
      </c>
      <c r="AD381" s="22">
        <f t="shared" si="94"/>
        <v>0.80275135912217765</v>
      </c>
      <c r="AE381" s="22">
        <f t="shared" si="94"/>
        <v>0.81149898327768732</v>
      </c>
      <c r="AF381" s="22">
        <f t="shared" si="94"/>
        <v>0.82059382094039046</v>
      </c>
      <c r="AG381" s="22">
        <f t="shared" si="94"/>
        <v>0.8218642307731554</v>
      </c>
      <c r="AH381" s="22">
        <f t="shared" si="94"/>
        <v>0.4400180906565429</v>
      </c>
      <c r="AI381" s="22">
        <f t="shared" si="94"/>
        <v>0.44034172127619964</v>
      </c>
      <c r="AJ381" s="22">
        <f t="shared" si="94"/>
        <v>0.44070786468572382</v>
      </c>
      <c r="AK381" s="22">
        <f t="shared" si="94"/>
        <v>0.44111490498933553</v>
      </c>
      <c r="AL381" s="22">
        <f t="shared" si="94"/>
        <v>0.44156135074117797</v>
      </c>
      <c r="AM381" s="22">
        <f t="shared" si="94"/>
        <v>0.44204582314956586</v>
      </c>
      <c r="AN381" s="22">
        <f t="shared" si="94"/>
        <v>0.44225440299651131</v>
      </c>
      <c r="AO381" s="22">
        <f t="shared" si="94"/>
        <v>0.44249647055711561</v>
      </c>
      <c r="AP381" s="22">
        <f t="shared" si="94"/>
        <v>0.44277085620848994</v>
      </c>
      <c r="AQ381" s="22">
        <f t="shared" si="94"/>
        <v>0.44307647013904683</v>
      </c>
      <c r="AR381" s="22">
        <f t="shared" si="94"/>
        <v>0.4434122955758712</v>
      </c>
      <c r="AS381" s="22">
        <f t="shared" si="94"/>
        <v>0.44346137123946583</v>
      </c>
      <c r="AT381" s="22">
        <f t="shared" si="94"/>
        <v>0.4435372301518688</v>
      </c>
      <c r="AU381" s="22">
        <f t="shared" si="94"/>
        <v>0.44363898457756984</v>
      </c>
      <c r="AV381" s="22">
        <f t="shared" si="94"/>
        <v>0.44376580086111833</v>
      </c>
      <c r="AW381" s="22">
        <f t="shared" si="94"/>
        <v>0.44391689527276407</v>
      </c>
      <c r="AY381" s="85"/>
    </row>
    <row r="382" spans="1:51" x14ac:dyDescent="0.25">
      <c r="A382" s="102" t="str">
        <f t="shared" si="93"/>
        <v>GS U&amp;D</v>
      </c>
      <c r="B382" s="102" t="s">
        <v>1022</v>
      </c>
      <c r="C382" s="102" t="s">
        <v>1337</v>
      </c>
      <c r="D382" t="s">
        <v>369</v>
      </c>
      <c r="E382" t="s">
        <v>55</v>
      </c>
      <c r="F382" t="s">
        <v>422</v>
      </c>
      <c r="G382" t="s">
        <v>1159</v>
      </c>
      <c r="H382" t="s">
        <v>1244</v>
      </c>
      <c r="I382" t="s">
        <v>139</v>
      </c>
      <c r="J382" t="s">
        <v>287</v>
      </c>
      <c r="K382" s="22">
        <f t="shared" si="90"/>
        <v>15.48880966403453</v>
      </c>
      <c r="L382" s="22">
        <f t="shared" si="94"/>
        <v>15.386143051197998</v>
      </c>
      <c r="M382" s="22">
        <f t="shared" si="94"/>
        <v>15.169677377989304</v>
      </c>
      <c r="N382" s="22">
        <f t="shared" si="94"/>
        <v>14.804794487947174</v>
      </c>
      <c r="O382" s="22">
        <f t="shared" si="94"/>
        <v>14.450776257626368</v>
      </c>
      <c r="P382" s="22">
        <f t="shared" si="94"/>
        <v>14.178486550067829</v>
      </c>
      <c r="Q382" s="22">
        <f t="shared" si="94"/>
        <v>13.932198413286633</v>
      </c>
      <c r="R382" s="22">
        <f t="shared" si="94"/>
        <v>13.544970185493053</v>
      </c>
      <c r="S382" s="22">
        <f t="shared" si="94"/>
        <v>11.879759863511568</v>
      </c>
      <c r="T382" s="22">
        <f t="shared" si="94"/>
        <v>11.992993022515481</v>
      </c>
      <c r="U382" s="22">
        <f t="shared" si="94"/>
        <v>12.069614819396085</v>
      </c>
      <c r="V382" s="22">
        <f t="shared" si="94"/>
        <v>12.143744438353496</v>
      </c>
      <c r="W382" s="22">
        <f t="shared" si="94"/>
        <v>12.266336998051067</v>
      </c>
      <c r="X382" s="22">
        <f t="shared" si="94"/>
        <v>12.384889207902271</v>
      </c>
      <c r="Y382" s="22">
        <f t="shared" si="94"/>
        <v>12.509351233051413</v>
      </c>
      <c r="Z382" s="22">
        <f t="shared" si="94"/>
        <v>12.61770643379279</v>
      </c>
      <c r="AA382" s="22">
        <f t="shared" si="94"/>
        <v>12.7410293454877</v>
      </c>
      <c r="AB382" s="22">
        <f t="shared" si="94"/>
        <v>12.837533702297911</v>
      </c>
      <c r="AC382" s="22">
        <f t="shared" si="94"/>
        <v>12.936685976559087</v>
      </c>
      <c r="AD382" s="22">
        <f t="shared" si="94"/>
        <v>12.98286747930208</v>
      </c>
      <c r="AE382" s="22">
        <f t="shared" si="94"/>
        <v>13.046191689203091</v>
      </c>
      <c r="AF382" s="22">
        <f t="shared" si="94"/>
        <v>13.10927150785349</v>
      </c>
      <c r="AG382" s="22">
        <f t="shared" si="94"/>
        <v>12.831250179467366</v>
      </c>
      <c r="AH382" s="22">
        <f t="shared" si="94"/>
        <v>-3.0267144396295609</v>
      </c>
      <c r="AI382" s="22">
        <f t="shared" si="94"/>
        <v>-2.956505191498271</v>
      </c>
      <c r="AJ382" s="22">
        <f t="shared" si="94"/>
        <v>-2.8874124907442584</v>
      </c>
      <c r="AK382" s="22">
        <f t="shared" si="94"/>
        <v>-2.8193778585944393</v>
      </c>
      <c r="AL382" s="22">
        <f t="shared" si="94"/>
        <v>-2.7523468592631737</v>
      </c>
      <c r="AM382" s="22">
        <f t="shared" si="94"/>
        <v>-2.6862687253121265</v>
      </c>
      <c r="AN382" s="22">
        <f t="shared" si="94"/>
        <v>-2.6326943062213264</v>
      </c>
      <c r="AO382" s="22">
        <f t="shared" si="94"/>
        <v>-2.5799290640232249</v>
      </c>
      <c r="AP382" s="22">
        <f t="shared" si="94"/>
        <v>-2.5279363308324876</v>
      </c>
      <c r="AQ382" s="22">
        <f t="shared" si="94"/>
        <v>-2.4766817193169062</v>
      </c>
      <c r="AR382" s="22">
        <f t="shared" si="94"/>
        <v>-2.4261329336018767</v>
      </c>
      <c r="AS382" s="22">
        <f t="shared" si="94"/>
        <v>-2.3746446145368036</v>
      </c>
      <c r="AT382" s="22">
        <f t="shared" si="94"/>
        <v>-2.3238643255218379</v>
      </c>
      <c r="AU382" s="22">
        <f t="shared" si="94"/>
        <v>-2.2737642137550615</v>
      </c>
      <c r="AV382" s="22">
        <f t="shared" si="94"/>
        <v>-2.2243179912934989</v>
      </c>
      <c r="AW382" s="22">
        <f t="shared" si="94"/>
        <v>-2.1755008181156215</v>
      </c>
      <c r="AY382" s="85"/>
    </row>
    <row r="383" spans="1:51" x14ac:dyDescent="0.25">
      <c r="A383" s="102" t="str">
        <f t="shared" si="93"/>
        <v>GS U&amp;D</v>
      </c>
      <c r="B383" s="102" t="s">
        <v>1022</v>
      </c>
      <c r="C383" s="102" t="s">
        <v>1337</v>
      </c>
      <c r="D383" t="s">
        <v>369</v>
      </c>
      <c r="E383" t="s">
        <v>55</v>
      </c>
      <c r="F383" t="s">
        <v>422</v>
      </c>
      <c r="G383" t="s">
        <v>1161</v>
      </c>
      <c r="H383" t="s">
        <v>1245</v>
      </c>
      <c r="I383" t="s">
        <v>139</v>
      </c>
      <c r="J383" t="s">
        <v>287</v>
      </c>
      <c r="K383" s="22">
        <f t="shared" si="90"/>
        <v>9.7393760290961886</v>
      </c>
      <c r="L383" s="22">
        <f t="shared" si="94"/>
        <v>9.6748191800072334</v>
      </c>
      <c r="M383" s="22">
        <f t="shared" si="94"/>
        <v>9.538705389825779</v>
      </c>
      <c r="N383" s="22">
        <f t="shared" si="94"/>
        <v>9.3092667338033213</v>
      </c>
      <c r="O383" s="22">
        <f t="shared" si="94"/>
        <v>9.086659784590454</v>
      </c>
      <c r="P383" s="22">
        <f t="shared" si="94"/>
        <v>8.9154437965133955</v>
      </c>
      <c r="Q383" s="22">
        <f t="shared" si="94"/>
        <v>8.7605776171460139</v>
      </c>
      <c r="R383" s="22">
        <f t="shared" si="94"/>
        <v>8.5170881946941783</v>
      </c>
      <c r="S383" s="22">
        <f t="shared" si="94"/>
        <v>7.4700025990225534</v>
      </c>
      <c r="T383" s="22">
        <f t="shared" si="94"/>
        <v>7.5412037008775474</v>
      </c>
      <c r="U383" s="22">
        <f t="shared" si="94"/>
        <v>7.5893835486535881</v>
      </c>
      <c r="V383" s="22">
        <f t="shared" si="94"/>
        <v>7.6359963129382633</v>
      </c>
      <c r="W383" s="22">
        <f t="shared" si="94"/>
        <v>7.7130826135102524</v>
      </c>
      <c r="X383" s="22">
        <f t="shared" si="94"/>
        <v>7.7876283388349208</v>
      </c>
      <c r="Y383" s="22">
        <f t="shared" si="94"/>
        <v>7.8658901607930707</v>
      </c>
      <c r="Z383" s="22">
        <f t="shared" si="94"/>
        <v>7.9340239985520107</v>
      </c>
      <c r="AA383" s="22">
        <f t="shared" si="94"/>
        <v>8.0115695450499249</v>
      </c>
      <c r="AB383" s="22">
        <f t="shared" si="94"/>
        <v>8.072251562571461</v>
      </c>
      <c r="AC383" s="22">
        <f t="shared" si="94"/>
        <v>8.1345985927252418</v>
      </c>
      <c r="AD383" s="22">
        <f t="shared" si="94"/>
        <v>8.1636375589569159</v>
      </c>
      <c r="AE383" s="22">
        <f t="shared" si="94"/>
        <v>8.2034558732979743</v>
      </c>
      <c r="AF383" s="22">
        <f t="shared" si="94"/>
        <v>8.2431205142232233</v>
      </c>
      <c r="AG383" s="22">
        <f t="shared" si="94"/>
        <v>8.0683004783395891</v>
      </c>
      <c r="AH383" s="22">
        <f t="shared" si="94"/>
        <v>-1.9032004847149069</v>
      </c>
      <c r="AI383" s="22">
        <f t="shared" si="94"/>
        <v>-1.8590528527726964</v>
      </c>
      <c r="AJ383" s="22">
        <f t="shared" si="94"/>
        <v>-1.8156073067233001</v>
      </c>
      <c r="AK383" s="22">
        <f t="shared" si="94"/>
        <v>-1.7728270750669619</v>
      </c>
      <c r="AL383" s="22">
        <f t="shared" si="94"/>
        <v>-1.7306779285376968</v>
      </c>
      <c r="AM383" s="22">
        <f t="shared" si="94"/>
        <v>-1.689127944529268</v>
      </c>
      <c r="AN383" s="22">
        <f t="shared" si="94"/>
        <v>-1.6554403065258587</v>
      </c>
      <c r="AO383" s="22">
        <f t="shared" si="94"/>
        <v>-1.6222614796062582</v>
      </c>
      <c r="AP383" s="22">
        <f t="shared" si="94"/>
        <v>-1.589568406974545</v>
      </c>
      <c r="AQ383" s="22">
        <f t="shared" si="94"/>
        <v>-1.5573394658484478</v>
      </c>
      <c r="AR383" s="22">
        <f t="shared" si="94"/>
        <v>-1.5255543485559264</v>
      </c>
      <c r="AS383" s="22">
        <f t="shared" si="94"/>
        <v>-1.4931784519339129</v>
      </c>
      <c r="AT383" s="22">
        <f t="shared" si="94"/>
        <v>-1.4612477651793758</v>
      </c>
      <c r="AU383" s="22">
        <f t="shared" si="94"/>
        <v>-1.429744774427969</v>
      </c>
      <c r="AV383" s="22">
        <f t="shared" si="94"/>
        <v>-1.3986529497999127</v>
      </c>
      <c r="AW383" s="22">
        <f t="shared" si="94"/>
        <v>-1.3679566718696037</v>
      </c>
      <c r="AY383" s="85"/>
    </row>
    <row r="384" spans="1:51" x14ac:dyDescent="0.25">
      <c r="A384" s="102" t="str">
        <f t="shared" si="93"/>
        <v>GS U&amp;D</v>
      </c>
      <c r="B384" s="102" t="s">
        <v>1022</v>
      </c>
      <c r="C384" s="102" t="s">
        <v>1337</v>
      </c>
      <c r="D384" t="s">
        <v>369</v>
      </c>
      <c r="E384" t="s">
        <v>55</v>
      </c>
      <c r="F384" t="s">
        <v>422</v>
      </c>
      <c r="G384" t="s">
        <v>1163</v>
      </c>
      <c r="H384" t="s">
        <v>1246</v>
      </c>
      <c r="I384" t="s">
        <v>139</v>
      </c>
      <c r="J384" t="s">
        <v>287</v>
      </c>
      <c r="K384" s="22">
        <f t="shared" si="90"/>
        <v>0</v>
      </c>
      <c r="L384" s="22">
        <f t="shared" si="94"/>
        <v>0</v>
      </c>
      <c r="M384" s="22">
        <f t="shared" si="94"/>
        <v>0</v>
      </c>
      <c r="N384" s="22">
        <f t="shared" si="94"/>
        <v>0</v>
      </c>
      <c r="O384" s="22">
        <f t="shared" si="94"/>
        <v>0</v>
      </c>
      <c r="P384" s="22">
        <f t="shared" si="94"/>
        <v>0</v>
      </c>
      <c r="Q384" s="22">
        <f t="shared" si="94"/>
        <v>0</v>
      </c>
      <c r="R384" s="22">
        <f t="shared" si="94"/>
        <v>0</v>
      </c>
      <c r="S384" s="22">
        <f t="shared" si="94"/>
        <v>0</v>
      </c>
      <c r="T384" s="22">
        <f t="shared" si="94"/>
        <v>0</v>
      </c>
      <c r="U384" s="22">
        <f t="shared" si="94"/>
        <v>0</v>
      </c>
      <c r="V384" s="22">
        <f t="shared" si="94"/>
        <v>0</v>
      </c>
      <c r="W384" s="22">
        <f t="shared" si="94"/>
        <v>0</v>
      </c>
      <c r="X384" s="22">
        <f t="shared" si="94"/>
        <v>0</v>
      </c>
      <c r="Y384" s="22">
        <f t="shared" si="94"/>
        <v>0</v>
      </c>
      <c r="Z384" s="22">
        <f t="shared" si="94"/>
        <v>0</v>
      </c>
      <c r="AA384" s="22">
        <f t="shared" si="94"/>
        <v>0</v>
      </c>
      <c r="AB384" s="22">
        <f t="shared" si="94"/>
        <v>0</v>
      </c>
      <c r="AC384" s="22">
        <f t="shared" si="94"/>
        <v>0</v>
      </c>
      <c r="AD384" s="22">
        <f t="shared" si="94"/>
        <v>0</v>
      </c>
      <c r="AE384" s="22">
        <f t="shared" si="94"/>
        <v>0</v>
      </c>
      <c r="AF384" s="22">
        <f t="shared" si="94"/>
        <v>0</v>
      </c>
      <c r="AG384" s="22">
        <f t="shared" si="94"/>
        <v>0</v>
      </c>
      <c r="AH384" s="22">
        <f t="shared" si="94"/>
        <v>0</v>
      </c>
      <c r="AI384" s="22">
        <f t="shared" si="94"/>
        <v>0</v>
      </c>
      <c r="AJ384" s="22">
        <f t="shared" si="94"/>
        <v>0</v>
      </c>
      <c r="AK384" s="22">
        <f t="shared" si="94"/>
        <v>0</v>
      </c>
      <c r="AL384" s="22">
        <f t="shared" si="94"/>
        <v>0</v>
      </c>
      <c r="AM384" s="22">
        <f t="shared" si="94"/>
        <v>0</v>
      </c>
      <c r="AN384" s="22">
        <f t="shared" si="94"/>
        <v>0</v>
      </c>
      <c r="AO384" s="22">
        <f t="shared" si="94"/>
        <v>0</v>
      </c>
      <c r="AP384" s="22">
        <f t="shared" si="94"/>
        <v>0</v>
      </c>
      <c r="AQ384" s="22">
        <f t="shared" si="94"/>
        <v>0</v>
      </c>
      <c r="AR384" s="22">
        <f t="shared" si="94"/>
        <v>0</v>
      </c>
      <c r="AS384" s="22">
        <f t="shared" si="94"/>
        <v>0</v>
      </c>
      <c r="AT384" s="22">
        <f t="shared" si="94"/>
        <v>0</v>
      </c>
      <c r="AU384" s="22">
        <f t="shared" si="94"/>
        <v>0</v>
      </c>
      <c r="AV384" s="22">
        <f t="shared" si="94"/>
        <v>0</v>
      </c>
      <c r="AW384" s="22">
        <f t="shared" si="94"/>
        <v>0</v>
      </c>
      <c r="AY384" s="85"/>
    </row>
    <row r="385" spans="1:51" x14ac:dyDescent="0.25">
      <c r="A385" s="102" t="str">
        <f t="shared" si="93"/>
        <v>GS U&amp;D</v>
      </c>
      <c r="B385" s="102" t="s">
        <v>1022</v>
      </c>
      <c r="C385" s="102" t="s">
        <v>1337</v>
      </c>
      <c r="D385" t="s">
        <v>369</v>
      </c>
      <c r="E385" t="s">
        <v>55</v>
      </c>
      <c r="F385" t="s">
        <v>422</v>
      </c>
      <c r="G385" t="s">
        <v>1165</v>
      </c>
      <c r="H385" t="s">
        <v>1247</v>
      </c>
      <c r="I385" t="s">
        <v>139</v>
      </c>
      <c r="J385" t="s">
        <v>287</v>
      </c>
      <c r="K385" s="22">
        <f t="shared" si="90"/>
        <v>5.8007004881973501</v>
      </c>
      <c r="L385" s="22">
        <f t="shared" si="94"/>
        <v>5.8038682011318086</v>
      </c>
      <c r="M385" s="22">
        <f t="shared" si="94"/>
        <v>5.8109613188893956</v>
      </c>
      <c r="N385" s="22">
        <f t="shared" si="94"/>
        <v>5.8216379502269948</v>
      </c>
      <c r="O385" s="22">
        <f t="shared" si="94"/>
        <v>5.8360409400543007</v>
      </c>
      <c r="P385" s="22">
        <f t="shared" si="94"/>
        <v>5.8541855713392259</v>
      </c>
      <c r="Q385" s="22">
        <f t="shared" si="94"/>
        <v>5.8743979550370415</v>
      </c>
      <c r="R385" s="22">
        <f t="shared" si="94"/>
        <v>5.8963035789612563</v>
      </c>
      <c r="S385" s="22">
        <f t="shared" si="94"/>
        <v>5.9168885563672573</v>
      </c>
      <c r="T385" s="22">
        <f t="shared" si="94"/>
        <v>5.9254873000442174</v>
      </c>
      <c r="U385" s="22">
        <f t="shared" si="94"/>
        <v>5.9354650911079814</v>
      </c>
      <c r="V385" s="22">
        <f t="shared" si="94"/>
        <v>5.9468198836780894</v>
      </c>
      <c r="W385" s="22">
        <f t="shared" si="94"/>
        <v>5.9596105082694644</v>
      </c>
      <c r="X385" s="22">
        <f t="shared" si="94"/>
        <v>5.9736319121523582</v>
      </c>
      <c r="Y385" s="22">
        <f t="shared" si="94"/>
        <v>5.9822631555642722</v>
      </c>
      <c r="Z385" s="22">
        <f t="shared" si="94"/>
        <v>5.9919044326673472</v>
      </c>
      <c r="AA385" s="22">
        <f t="shared" si="94"/>
        <v>6.0025907311296489</v>
      </c>
      <c r="AB385" s="22">
        <f t="shared" si="94"/>
        <v>6.0141578623127154</v>
      </c>
      <c r="AC385" s="22">
        <f t="shared" si="94"/>
        <v>6.0266471855560004</v>
      </c>
      <c r="AD385" s="22">
        <f t="shared" si="94"/>
        <v>6.0348691397671148</v>
      </c>
      <c r="AE385" s="22">
        <f t="shared" si="94"/>
        <v>6.0439559167579606</v>
      </c>
      <c r="AF385" s="22">
        <f t="shared" si="94"/>
        <v>6.0538257946059888</v>
      </c>
      <c r="AG385" s="22">
        <f t="shared" si="94"/>
        <v>6.0633613554169949</v>
      </c>
      <c r="AH385" s="22">
        <f t="shared" si="94"/>
        <v>6.0225939777620399</v>
      </c>
      <c r="AI385" s="22">
        <f t="shared" si="94"/>
        <v>6.0283835899852134</v>
      </c>
      <c r="AJ385" s="22">
        <f t="shared" si="94"/>
        <v>6.0347724557516536</v>
      </c>
      <c r="AK385" s="22">
        <f t="shared" si="94"/>
        <v>6.0417379357652736</v>
      </c>
      <c r="AL385" s="22">
        <f t="shared" si="94"/>
        <v>6.0492591406066394</v>
      </c>
      <c r="AM385" s="22">
        <f t="shared" si="94"/>
        <v>6.0573167646829393</v>
      </c>
      <c r="AN385" s="22">
        <f t="shared" si="94"/>
        <v>6.061227136954745</v>
      </c>
      <c r="AO385" s="22">
        <f t="shared" si="94"/>
        <v>6.0656101287298938</v>
      </c>
      <c r="AP385" s="22">
        <f t="shared" si="94"/>
        <v>6.0704492917353319</v>
      </c>
      <c r="AQ385" s="22">
        <f t="shared" si="94"/>
        <v>6.0757293034784778</v>
      </c>
      <c r="AR385" s="22">
        <f t="shared" si="94"/>
        <v>6.0814358716066721</v>
      </c>
      <c r="AS385" s="22">
        <f t="shared" si="94"/>
        <v>6.082843612547955</v>
      </c>
      <c r="AT385" s="22">
        <f t="shared" si="94"/>
        <v>6.0846299220859592</v>
      </c>
      <c r="AU385" s="22">
        <f t="shared" si="94"/>
        <v>6.0867822620358538</v>
      </c>
      <c r="AV385" s="22">
        <f t="shared" si="94"/>
        <v>6.0892888598488994</v>
      </c>
      <c r="AW385" s="22">
        <f t="shared" si="94"/>
        <v>6.092138649733787</v>
      </c>
      <c r="AY385" s="85"/>
    </row>
    <row r="386" spans="1:51" x14ac:dyDescent="0.25">
      <c r="A386" s="102" t="str">
        <f t="shared" si="93"/>
        <v>GS U&amp;D</v>
      </c>
      <c r="B386" s="102" t="s">
        <v>1022</v>
      </c>
      <c r="C386" s="102" t="s">
        <v>1337</v>
      </c>
      <c r="D386" t="s">
        <v>369</v>
      </c>
      <c r="E386" t="s">
        <v>55</v>
      </c>
      <c r="F386" t="s">
        <v>422</v>
      </c>
      <c r="G386" t="s">
        <v>1167</v>
      </c>
      <c r="H386" t="s">
        <v>1248</v>
      </c>
      <c r="I386" t="s">
        <v>139</v>
      </c>
      <c r="J386" t="s">
        <v>287</v>
      </c>
      <c r="K386" s="22">
        <f t="shared" si="90"/>
        <v>0.64752945126978523</v>
      </c>
      <c r="L386" s="22">
        <f t="shared" si="94"/>
        <v>0.64788306156605957</v>
      </c>
      <c r="M386" s="22">
        <f t="shared" si="94"/>
        <v>0.64867486294568755</v>
      </c>
      <c r="N386" s="22">
        <f t="shared" si="94"/>
        <v>0.64986669025094335</v>
      </c>
      <c r="O386" s="22">
        <f t="shared" si="94"/>
        <v>0.65147448919151907</v>
      </c>
      <c r="P386" s="22">
        <f t="shared" si="94"/>
        <v>0.65349996579789205</v>
      </c>
      <c r="Q386" s="22">
        <f t="shared" si="94"/>
        <v>0.65575626462789216</v>
      </c>
      <c r="R386" s="22">
        <f t="shared" si="94"/>
        <v>0.65820157906331789</v>
      </c>
      <c r="S386" s="22">
        <f t="shared" si="94"/>
        <v>0.66049947035269418</v>
      </c>
      <c r="T386" s="22">
        <f t="shared" si="94"/>
        <v>0.66145934404141127</v>
      </c>
      <c r="U386" s="22">
        <f t="shared" si="94"/>
        <v>0.66257316013751044</v>
      </c>
      <c r="V386" s="22">
        <f t="shared" si="94"/>
        <v>0.66384069026032311</v>
      </c>
      <c r="W386" s="22">
        <f t="shared" si="94"/>
        <v>0.66526850163239837</v>
      </c>
      <c r="X386" s="22">
        <f t="shared" si="94"/>
        <v>0.66683370431452194</v>
      </c>
      <c r="Y386" s="22">
        <f t="shared" si="94"/>
        <v>0.66779720593327729</v>
      </c>
      <c r="Z386" s="22">
        <f t="shared" si="94"/>
        <v>0.66887345713514434</v>
      </c>
      <c r="AA386" s="22">
        <f t="shared" si="94"/>
        <v>0.6700663635769577</v>
      </c>
      <c r="AB386" s="22">
        <f t="shared" si="94"/>
        <v>0.67135759695868036</v>
      </c>
      <c r="AC386" s="22">
        <f t="shared" si="94"/>
        <v>0.67275177420381005</v>
      </c>
      <c r="AD386" s="22">
        <f t="shared" si="94"/>
        <v>0.67366958706270863</v>
      </c>
      <c r="AE386" s="22">
        <f t="shared" si="94"/>
        <v>0.67468393967937379</v>
      </c>
      <c r="AF386" s="22">
        <f t="shared" si="94"/>
        <v>0.67578570947425243</v>
      </c>
      <c r="AG386" s="22">
        <f t="shared" si="94"/>
        <v>0.6768501596164489</v>
      </c>
      <c r="AH386" s="22">
        <f t="shared" si="94"/>
        <v>0.6722993165352843</v>
      </c>
      <c r="AI386" s="22">
        <f t="shared" si="94"/>
        <v>0.67294560820877491</v>
      </c>
      <c r="AJ386" s="22">
        <f t="shared" si="94"/>
        <v>0.67365879427180253</v>
      </c>
      <c r="AK386" s="22">
        <f t="shared" si="94"/>
        <v>0.674436347510455</v>
      </c>
      <c r="AL386" s="22">
        <f t="shared" si="94"/>
        <v>0.67527593604872327</v>
      </c>
      <c r="AM386" s="22">
        <f t="shared" si="94"/>
        <v>0.67617540481241489</v>
      </c>
      <c r="AN386" s="22">
        <f t="shared" si="94"/>
        <v>0.67661191781917585</v>
      </c>
      <c r="AO386" s="22">
        <f t="shared" si="94"/>
        <v>0.67710118911750539</v>
      </c>
      <c r="AP386" s="22">
        <f t="shared" si="94"/>
        <v>0.67764138259446438</v>
      </c>
      <c r="AQ386" s="22">
        <f t="shared" si="94"/>
        <v>0.6782307878074546</v>
      </c>
      <c r="AR386" s="22">
        <f t="shared" si="94"/>
        <v>0.67886780930790958</v>
      </c>
      <c r="AS386" s="22">
        <f t="shared" si="94"/>
        <v>0.67902495476320335</v>
      </c>
      <c r="AT386" s="22">
        <f t="shared" si="94"/>
        <v>0.67922435965185335</v>
      </c>
      <c r="AU386" s="22">
        <f t="shared" si="94"/>
        <v>0.67946462434221933</v>
      </c>
      <c r="AV386" s="22">
        <f t="shared" si="94"/>
        <v>0.67974443467025414</v>
      </c>
      <c r="AW386" s="22">
        <f t="shared" si="94"/>
        <v>0.68006255536690974</v>
      </c>
      <c r="AY386" s="85"/>
    </row>
    <row r="387" spans="1:51" x14ac:dyDescent="0.25">
      <c r="A387" s="102" t="str">
        <f t="shared" si="93"/>
        <v>GS U&amp;D</v>
      </c>
      <c r="B387" s="102" t="s">
        <v>1022</v>
      </c>
      <c r="C387" s="102" t="s">
        <v>1337</v>
      </c>
      <c r="D387" t="s">
        <v>369</v>
      </c>
      <c r="E387" t="s">
        <v>55</v>
      </c>
      <c r="F387" t="s">
        <v>422</v>
      </c>
      <c r="G387" t="s">
        <v>1169</v>
      </c>
      <c r="H387" t="s">
        <v>1249</v>
      </c>
      <c r="I387" t="s">
        <v>139</v>
      </c>
      <c r="J387" t="s">
        <v>287</v>
      </c>
      <c r="K387" s="22">
        <f t="shared" si="90"/>
        <v>0.71703962515202246</v>
      </c>
      <c r="L387" s="22">
        <f t="shared" si="94"/>
        <v>0.71890983434251277</v>
      </c>
      <c r="M387" s="22">
        <f t="shared" si="94"/>
        <v>0.72140205375439892</v>
      </c>
      <c r="N387" s="22">
        <f t="shared" si="94"/>
        <v>0.72446087645337953</v>
      </c>
      <c r="O387" s="22">
        <f t="shared" si="94"/>
        <v>0.72812305944589495</v>
      </c>
      <c r="P387" s="22">
        <f t="shared" si="94"/>
        <v>0.73239834824766725</v>
      </c>
      <c r="Q387" s="22">
        <f t="shared" si="94"/>
        <v>0.73696942015050981</v>
      </c>
      <c r="R387" s="22">
        <f t="shared" si="94"/>
        <v>0.74177091257362759</v>
      </c>
      <c r="S387" s="22">
        <f t="shared" si="94"/>
        <v>0.74623128814082973</v>
      </c>
      <c r="T387" s="22">
        <f t="shared" si="94"/>
        <v>0.74832155602397465</v>
      </c>
      <c r="U387" s="22">
        <f t="shared" ref="L387:AW393" si="95">U1490</f>
        <v>0.75061365062436147</v>
      </c>
      <c r="V387" s="22">
        <f t="shared" si="95"/>
        <v>0.75311048066791608</v>
      </c>
      <c r="W387" s="22">
        <f t="shared" si="95"/>
        <v>0.75582597980024202</v>
      </c>
      <c r="X387" s="22">
        <f t="shared" si="95"/>
        <v>0.758723586950243</v>
      </c>
      <c r="Y387" s="22">
        <f t="shared" si="95"/>
        <v>0.76055515001802498</v>
      </c>
      <c r="Z387" s="22">
        <f t="shared" si="95"/>
        <v>0.76253680812015046</v>
      </c>
      <c r="AA387" s="22">
        <f t="shared" si="95"/>
        <v>0.7646767595046402</v>
      </c>
      <c r="AB387" s="22">
        <f t="shared" si="95"/>
        <v>0.76694554342614063</v>
      </c>
      <c r="AC387" s="22">
        <f t="shared" si="95"/>
        <v>0.76935223527037744</v>
      </c>
      <c r="AD387" s="22">
        <f t="shared" si="95"/>
        <v>0.7709284586249765</v>
      </c>
      <c r="AE387" s="22">
        <f t="shared" si="95"/>
        <v>0.77263788414937862</v>
      </c>
      <c r="AF387" s="22">
        <f t="shared" si="95"/>
        <v>0.77446606053450517</v>
      </c>
      <c r="AG387" s="22">
        <f t="shared" si="95"/>
        <v>0.7762062172722024</v>
      </c>
      <c r="AH387" s="22">
        <f t="shared" si="95"/>
        <v>0.76859920994116682</v>
      </c>
      <c r="AI387" s="22">
        <f t="shared" si="95"/>
        <v>0.76961702960226952</v>
      </c>
      <c r="AJ387" s="22">
        <f t="shared" si="95"/>
        <v>0.77072611211000452</v>
      </c>
      <c r="AK387" s="22">
        <f t="shared" si="95"/>
        <v>0.7719227512042488</v>
      </c>
      <c r="AL387" s="22">
        <f t="shared" si="95"/>
        <v>0.77320352810315807</v>
      </c>
      <c r="AM387" s="22">
        <f t="shared" si="95"/>
        <v>0.77456528397766</v>
      </c>
      <c r="AN387" s="22">
        <f t="shared" si="95"/>
        <v>0.7751498155218971</v>
      </c>
      <c r="AO387" s="22">
        <f t="shared" si="95"/>
        <v>0.77580729833667095</v>
      </c>
      <c r="AP387" s="22">
        <f t="shared" si="95"/>
        <v>0.77653498216260275</v>
      </c>
      <c r="AQ387" s="22">
        <f t="shared" si="95"/>
        <v>0.77733030541457571</v>
      </c>
      <c r="AR387" s="22">
        <f t="shared" si="95"/>
        <v>0.77819087901746686</v>
      </c>
      <c r="AS387" s="22">
        <f t="shared" si="95"/>
        <v>0.77825802091956864</v>
      </c>
      <c r="AT387" s="22">
        <f t="shared" si="95"/>
        <v>0.77838487427420744</v>
      </c>
      <c r="AU387" s="22">
        <f t="shared" si="95"/>
        <v>0.77856929465999758</v>
      </c>
      <c r="AV387" s="22">
        <f t="shared" si="95"/>
        <v>0.77880926891307201</v>
      </c>
      <c r="AW387" s="22">
        <f t="shared" si="95"/>
        <v>0.77910290495826517</v>
      </c>
      <c r="AY387" s="85"/>
    </row>
    <row r="388" spans="1:51" x14ac:dyDescent="0.25">
      <c r="A388" s="102" t="str">
        <f t="shared" si="93"/>
        <v>GS U&amp;D</v>
      </c>
      <c r="B388" s="102" t="s">
        <v>1022</v>
      </c>
      <c r="C388" s="102" t="s">
        <v>1337</v>
      </c>
      <c r="D388" t="s">
        <v>369</v>
      </c>
      <c r="E388" t="s">
        <v>55</v>
      </c>
      <c r="F388" t="s">
        <v>422</v>
      </c>
      <c r="G388" t="s">
        <v>1171</v>
      </c>
      <c r="H388" t="s">
        <v>1250</v>
      </c>
      <c r="I388" t="s">
        <v>139</v>
      </c>
      <c r="J388" t="s">
        <v>287</v>
      </c>
      <c r="K388" s="22">
        <f t="shared" si="90"/>
        <v>1.1866860146705673</v>
      </c>
      <c r="L388" s="22">
        <f t="shared" si="95"/>
        <v>1.1897811728919734</v>
      </c>
      <c r="M388" s="22">
        <f t="shared" si="95"/>
        <v>1.1939057453951301</v>
      </c>
      <c r="N388" s="22">
        <f t="shared" si="95"/>
        <v>1.1989680348292291</v>
      </c>
      <c r="O388" s="22">
        <f t="shared" si="95"/>
        <v>1.2050288732932972</v>
      </c>
      <c r="P388" s="22">
        <f t="shared" si="95"/>
        <v>1.2121043894178982</v>
      </c>
      <c r="Q388" s="22">
        <f t="shared" si="95"/>
        <v>1.2196694205666394</v>
      </c>
      <c r="R388" s="22">
        <f t="shared" si="95"/>
        <v>1.2276157929959912</v>
      </c>
      <c r="S388" s="22">
        <f t="shared" si="95"/>
        <v>1.2349976239577805</v>
      </c>
      <c r="T388" s="22">
        <f t="shared" si="95"/>
        <v>1.2384569748455603</v>
      </c>
      <c r="U388" s="22">
        <f t="shared" si="95"/>
        <v>1.2422503448507454</v>
      </c>
      <c r="V388" s="22">
        <f t="shared" si="95"/>
        <v>1.2463825478556594</v>
      </c>
      <c r="W388" s="22">
        <f t="shared" si="95"/>
        <v>1.2508766437607468</v>
      </c>
      <c r="X388" s="22">
        <f t="shared" si="95"/>
        <v>1.2556721247359952</v>
      </c>
      <c r="Y388" s="22">
        <f t="shared" si="95"/>
        <v>1.2587033244093235</v>
      </c>
      <c r="Z388" s="22">
        <f t="shared" si="95"/>
        <v>1.2619829283156658</v>
      </c>
      <c r="AA388" s="22">
        <f t="shared" si="95"/>
        <v>1.2655245043889694</v>
      </c>
      <c r="AB388" s="22">
        <f t="shared" si="95"/>
        <v>1.2692792956940984</v>
      </c>
      <c r="AC388" s="22">
        <f t="shared" si="95"/>
        <v>1.2732623218100843</v>
      </c>
      <c r="AD388" s="22">
        <f t="shared" si="95"/>
        <v>1.2758709394447143</v>
      </c>
      <c r="AE388" s="22">
        <f t="shared" si="95"/>
        <v>1.2787000039646823</v>
      </c>
      <c r="AF388" s="22">
        <f t="shared" si="95"/>
        <v>1.2817255987470082</v>
      </c>
      <c r="AG388" s="22">
        <f t="shared" si="95"/>
        <v>1.2846055228007487</v>
      </c>
      <c r="AH388" s="22">
        <f t="shared" si="95"/>
        <v>1.2720160801861611</v>
      </c>
      <c r="AI388" s="22">
        <f t="shared" si="95"/>
        <v>1.2737005510506982</v>
      </c>
      <c r="AJ388" s="22">
        <f t="shared" si="95"/>
        <v>1.2755360600726242</v>
      </c>
      <c r="AK388" s="22">
        <f t="shared" si="95"/>
        <v>1.2775164734667195</v>
      </c>
      <c r="AL388" s="22">
        <f t="shared" si="95"/>
        <v>1.2796361332184747</v>
      </c>
      <c r="AM388" s="22">
        <f t="shared" si="95"/>
        <v>1.2818898115299409</v>
      </c>
      <c r="AN388" s="22">
        <f t="shared" si="95"/>
        <v>1.2828571993622844</v>
      </c>
      <c r="AO388" s="22">
        <f t="shared" si="95"/>
        <v>1.283945320065534</v>
      </c>
      <c r="AP388" s="22">
        <f t="shared" si="95"/>
        <v>1.2851496220162837</v>
      </c>
      <c r="AQ388" s="22">
        <f t="shared" si="95"/>
        <v>1.2864658658431971</v>
      </c>
      <c r="AR388" s="22">
        <f t="shared" si="95"/>
        <v>1.2878900976754739</v>
      </c>
      <c r="AS388" s="22">
        <f t="shared" si="95"/>
        <v>1.2880012161596242</v>
      </c>
      <c r="AT388" s="22">
        <f t="shared" si="95"/>
        <v>1.288211155884827</v>
      </c>
      <c r="AU388" s="22">
        <f t="shared" si="95"/>
        <v>1.2885163678772478</v>
      </c>
      <c r="AV388" s="22">
        <f t="shared" si="95"/>
        <v>1.2889135203915794</v>
      </c>
      <c r="AW388" s="22">
        <f t="shared" si="95"/>
        <v>1.2893994820818555</v>
      </c>
      <c r="AY388" s="85"/>
    </row>
    <row r="389" spans="1:51" x14ac:dyDescent="0.25">
      <c r="A389" s="102" t="str">
        <f t="shared" si="93"/>
        <v>GS U&amp;D</v>
      </c>
      <c r="B389" s="102" t="s">
        <v>1022</v>
      </c>
      <c r="C389" s="102" t="s">
        <v>1337</v>
      </c>
      <c r="D389" t="s">
        <v>369</v>
      </c>
      <c r="E389" t="s">
        <v>55</v>
      </c>
      <c r="F389" t="s">
        <v>422</v>
      </c>
      <c r="G389" t="s">
        <v>1173</v>
      </c>
      <c r="H389" t="s">
        <v>1251</v>
      </c>
      <c r="I389" t="s">
        <v>139</v>
      </c>
      <c r="J389" t="s">
        <v>287</v>
      </c>
      <c r="K389" s="22">
        <f t="shared" si="90"/>
        <v>0.19206426868977441</v>
      </c>
      <c r="L389" s="22">
        <f t="shared" si="95"/>
        <v>0.19318987586932423</v>
      </c>
      <c r="M389" s="22">
        <f t="shared" si="95"/>
        <v>0.19346719628053802</v>
      </c>
      <c r="N389" s="22">
        <f t="shared" si="95"/>
        <v>0.19261999020243609</v>
      </c>
      <c r="O389" s="22">
        <f t="shared" si="95"/>
        <v>0.19172365370541722</v>
      </c>
      <c r="P389" s="22">
        <f t="shared" si="95"/>
        <v>0.19129719629214276</v>
      </c>
      <c r="Q389" s="22">
        <f t="shared" si="95"/>
        <v>0.19101276819466945</v>
      </c>
      <c r="R389" s="22">
        <f t="shared" si="95"/>
        <v>0.18964082845337171</v>
      </c>
      <c r="S389" s="22">
        <f t="shared" si="95"/>
        <v>0.17855585025741377</v>
      </c>
      <c r="T389" s="22">
        <f t="shared" si="95"/>
        <v>0.1801256476686891</v>
      </c>
      <c r="U389" s="22">
        <f t="shared" si="95"/>
        <v>0.18141112915440744</v>
      </c>
      <c r="V389" s="22">
        <f t="shared" si="95"/>
        <v>0.18267062412414889</v>
      </c>
      <c r="W389" s="22">
        <f t="shared" si="95"/>
        <v>0.18430349788289624</v>
      </c>
      <c r="X389" s="22">
        <f t="shared" si="95"/>
        <v>0.18590650598729025</v>
      </c>
      <c r="Y389" s="22">
        <f t="shared" si="95"/>
        <v>0.18774289622011922</v>
      </c>
      <c r="Z389" s="22">
        <f t="shared" si="95"/>
        <v>0.18945974795510873</v>
      </c>
      <c r="AA389" s="22">
        <f t="shared" si="95"/>
        <v>0.19130656367707333</v>
      </c>
      <c r="AB389" s="22">
        <f t="shared" si="95"/>
        <v>0.1929453281809925</v>
      </c>
      <c r="AC389" s="22">
        <f t="shared" si="95"/>
        <v>0.19461451886655767</v>
      </c>
      <c r="AD389" s="22">
        <f t="shared" si="95"/>
        <v>0.19692637066734073</v>
      </c>
      <c r="AE389" s="22">
        <f t="shared" si="95"/>
        <v>0.19944913652878843</v>
      </c>
      <c r="AF389" s="22">
        <f t="shared" si="95"/>
        <v>0.20204327521693932</v>
      </c>
      <c r="AG389" s="22">
        <f t="shared" si="95"/>
        <v>0.20167425591994353</v>
      </c>
      <c r="AH389" s="22">
        <f t="shared" si="95"/>
        <v>5.9672038121461136E-2</v>
      </c>
      <c r="AI389" s="22">
        <f t="shared" si="95"/>
        <v>5.9672038121461136E-2</v>
      </c>
      <c r="AJ389" s="22">
        <f t="shared" si="95"/>
        <v>5.9672038121461136E-2</v>
      </c>
      <c r="AK389" s="22">
        <f t="shared" si="95"/>
        <v>5.9672038121461136E-2</v>
      </c>
      <c r="AL389" s="22">
        <f t="shared" si="95"/>
        <v>5.9672038121461136E-2</v>
      </c>
      <c r="AM389" s="22">
        <f t="shared" si="95"/>
        <v>5.9672038121461136E-2</v>
      </c>
      <c r="AN389" s="22">
        <f t="shared" si="95"/>
        <v>5.9672038121461136E-2</v>
      </c>
      <c r="AO389" s="22">
        <f t="shared" si="95"/>
        <v>5.9672038121461136E-2</v>
      </c>
      <c r="AP389" s="22">
        <f t="shared" si="95"/>
        <v>5.9672038121461136E-2</v>
      </c>
      <c r="AQ389" s="22">
        <f t="shared" si="95"/>
        <v>5.9672038121461136E-2</v>
      </c>
      <c r="AR389" s="22">
        <f t="shared" si="95"/>
        <v>5.9672038121461136E-2</v>
      </c>
      <c r="AS389" s="22">
        <f t="shared" si="95"/>
        <v>5.9672038121461136E-2</v>
      </c>
      <c r="AT389" s="22">
        <f t="shared" si="95"/>
        <v>5.9672038121461136E-2</v>
      </c>
      <c r="AU389" s="22">
        <f t="shared" si="95"/>
        <v>5.9672038121461136E-2</v>
      </c>
      <c r="AV389" s="22">
        <f t="shared" si="95"/>
        <v>5.9672038121461136E-2</v>
      </c>
      <c r="AW389" s="22">
        <f t="shared" si="95"/>
        <v>5.9672038121461136E-2</v>
      </c>
      <c r="AY389" s="85"/>
    </row>
    <row r="390" spans="1:51" x14ac:dyDescent="0.25">
      <c r="A390" s="102" t="str">
        <f t="shared" si="93"/>
        <v>GS U&amp;D</v>
      </c>
      <c r="B390" s="102" t="s">
        <v>1022</v>
      </c>
      <c r="C390" s="102" t="s">
        <v>1337</v>
      </c>
      <c r="D390" t="s">
        <v>369</v>
      </c>
      <c r="E390" t="s">
        <v>55</v>
      </c>
      <c r="F390" t="s">
        <v>422</v>
      </c>
      <c r="G390" t="s">
        <v>1175</v>
      </c>
      <c r="H390" t="s">
        <v>1252</v>
      </c>
      <c r="I390" t="s">
        <v>139</v>
      </c>
      <c r="J390" t="s">
        <v>287</v>
      </c>
      <c r="K390" s="22">
        <f t="shared" si="90"/>
        <v>3.4640571428571423E-2</v>
      </c>
      <c r="L390" s="22">
        <f t="shared" si="95"/>
        <v>3.4640571428571423E-2</v>
      </c>
      <c r="M390" s="22">
        <f t="shared" si="95"/>
        <v>3.4640571428571423E-2</v>
      </c>
      <c r="N390" s="22">
        <f t="shared" si="95"/>
        <v>3.4640571428571423E-2</v>
      </c>
      <c r="O390" s="22">
        <f t="shared" si="95"/>
        <v>3.4640571428571423E-2</v>
      </c>
      <c r="P390" s="22">
        <f t="shared" si="95"/>
        <v>3.4640571428571423E-2</v>
      </c>
      <c r="Q390" s="22">
        <f t="shared" si="95"/>
        <v>3.4640571428571423E-2</v>
      </c>
      <c r="R390" s="22">
        <f t="shared" si="95"/>
        <v>3.4640571428571423E-2</v>
      </c>
      <c r="S390" s="22">
        <f t="shared" si="95"/>
        <v>3.4640571428571423E-2</v>
      </c>
      <c r="T390" s="22">
        <f t="shared" si="95"/>
        <v>3.4640571428571423E-2</v>
      </c>
      <c r="U390" s="22">
        <f t="shared" si="95"/>
        <v>3.4640571428571423E-2</v>
      </c>
      <c r="V390" s="22">
        <f t="shared" si="95"/>
        <v>3.4640571428571423E-2</v>
      </c>
      <c r="W390" s="22">
        <f t="shared" si="95"/>
        <v>3.4640571428571423E-2</v>
      </c>
      <c r="X390" s="22">
        <f t="shared" si="95"/>
        <v>3.4640571428571423E-2</v>
      </c>
      <c r="Y390" s="22">
        <f t="shared" si="95"/>
        <v>3.4640571428571423E-2</v>
      </c>
      <c r="Z390" s="22">
        <f t="shared" si="95"/>
        <v>3.4640571428571423E-2</v>
      </c>
      <c r="AA390" s="22">
        <f t="shared" si="95"/>
        <v>3.4640571428571423E-2</v>
      </c>
      <c r="AB390" s="22">
        <f t="shared" si="95"/>
        <v>3.4640571428571423E-2</v>
      </c>
      <c r="AC390" s="22">
        <f t="shared" si="95"/>
        <v>3.4640571428571423E-2</v>
      </c>
      <c r="AD390" s="22">
        <f t="shared" si="95"/>
        <v>3.4640571428571423E-2</v>
      </c>
      <c r="AE390" s="22">
        <f t="shared" si="95"/>
        <v>3.4640571428571423E-2</v>
      </c>
      <c r="AF390" s="22">
        <f t="shared" si="95"/>
        <v>3.4640571428571423E-2</v>
      </c>
      <c r="AG390" s="22">
        <f t="shared" si="95"/>
        <v>3.4640571428571423E-2</v>
      </c>
      <c r="AH390" s="22">
        <f t="shared" si="95"/>
        <v>3.4640571428571423E-2</v>
      </c>
      <c r="AI390" s="22">
        <f t="shared" si="95"/>
        <v>3.4640571428571423E-2</v>
      </c>
      <c r="AJ390" s="22">
        <f t="shared" si="95"/>
        <v>3.4640571428571423E-2</v>
      </c>
      <c r="AK390" s="22">
        <f t="shared" si="95"/>
        <v>3.4640571428571423E-2</v>
      </c>
      <c r="AL390" s="22">
        <f t="shared" si="95"/>
        <v>3.4640571428571423E-2</v>
      </c>
      <c r="AM390" s="22">
        <f t="shared" si="95"/>
        <v>3.4640571428571423E-2</v>
      </c>
      <c r="AN390" s="22">
        <f t="shared" si="95"/>
        <v>3.4640571428571423E-2</v>
      </c>
      <c r="AO390" s="22">
        <f t="shared" si="95"/>
        <v>3.4640571428571423E-2</v>
      </c>
      <c r="AP390" s="22">
        <f t="shared" si="95"/>
        <v>3.4640571428571423E-2</v>
      </c>
      <c r="AQ390" s="22">
        <f t="shared" si="95"/>
        <v>3.4640571428571423E-2</v>
      </c>
      <c r="AR390" s="22">
        <f t="shared" si="95"/>
        <v>3.4640571428571423E-2</v>
      </c>
      <c r="AS390" s="22">
        <f t="shared" si="95"/>
        <v>3.4640571428571423E-2</v>
      </c>
      <c r="AT390" s="22">
        <f t="shared" si="95"/>
        <v>3.4640571428571423E-2</v>
      </c>
      <c r="AU390" s="22">
        <f t="shared" si="95"/>
        <v>3.4640571428571423E-2</v>
      </c>
      <c r="AV390" s="22">
        <f t="shared" si="95"/>
        <v>3.4640571428571423E-2</v>
      </c>
      <c r="AW390" s="22">
        <f t="shared" si="95"/>
        <v>3.4640571428571423E-2</v>
      </c>
      <c r="AY390" s="85"/>
    </row>
    <row r="391" spans="1:51" x14ac:dyDescent="0.25">
      <c r="A391" s="102" t="str">
        <f t="shared" si="93"/>
        <v>GS U&amp;D</v>
      </c>
      <c r="B391" s="102" t="s">
        <v>1022</v>
      </c>
      <c r="C391" s="102" t="s">
        <v>1337</v>
      </c>
      <c r="D391" t="s">
        <v>369</v>
      </c>
      <c r="E391" t="s">
        <v>55</v>
      </c>
      <c r="F391" t="s">
        <v>422</v>
      </c>
      <c r="G391" t="s">
        <v>1177</v>
      </c>
      <c r="H391" t="s">
        <v>1253</v>
      </c>
      <c r="I391" t="s">
        <v>139</v>
      </c>
      <c r="J391" t="s">
        <v>287</v>
      </c>
      <c r="K391" s="22">
        <f t="shared" si="90"/>
        <v>0</v>
      </c>
      <c r="L391" s="22">
        <f t="shared" si="95"/>
        <v>0</v>
      </c>
      <c r="M391" s="22">
        <f t="shared" si="95"/>
        <v>0</v>
      </c>
      <c r="N391" s="22">
        <f t="shared" si="95"/>
        <v>0</v>
      </c>
      <c r="O391" s="22">
        <f t="shared" si="95"/>
        <v>0</v>
      </c>
      <c r="P391" s="22">
        <f t="shared" si="95"/>
        <v>0</v>
      </c>
      <c r="Q391" s="22">
        <f t="shared" si="95"/>
        <v>0</v>
      </c>
      <c r="R391" s="22">
        <f t="shared" si="95"/>
        <v>0</v>
      </c>
      <c r="S391" s="22">
        <f t="shared" si="95"/>
        <v>0</v>
      </c>
      <c r="T391" s="22">
        <f t="shared" si="95"/>
        <v>0</v>
      </c>
      <c r="U391" s="22">
        <f t="shared" si="95"/>
        <v>0</v>
      </c>
      <c r="V391" s="22">
        <f t="shared" si="95"/>
        <v>0</v>
      </c>
      <c r="W391" s="22">
        <f t="shared" si="95"/>
        <v>0</v>
      </c>
      <c r="X391" s="22">
        <f t="shared" si="95"/>
        <v>0</v>
      </c>
      <c r="Y391" s="22">
        <f t="shared" si="95"/>
        <v>0</v>
      </c>
      <c r="Z391" s="22">
        <f t="shared" si="95"/>
        <v>0</v>
      </c>
      <c r="AA391" s="22">
        <f t="shared" si="95"/>
        <v>0</v>
      </c>
      <c r="AB391" s="22">
        <f t="shared" si="95"/>
        <v>0</v>
      </c>
      <c r="AC391" s="22">
        <f t="shared" si="95"/>
        <v>0</v>
      </c>
      <c r="AD391" s="22">
        <f t="shared" si="95"/>
        <v>0</v>
      </c>
      <c r="AE391" s="22">
        <f t="shared" si="95"/>
        <v>0</v>
      </c>
      <c r="AF391" s="22">
        <f t="shared" si="95"/>
        <v>0</v>
      </c>
      <c r="AG391" s="22">
        <f t="shared" si="95"/>
        <v>0</v>
      </c>
      <c r="AH391" s="22">
        <f t="shared" si="95"/>
        <v>0</v>
      </c>
      <c r="AI391" s="22">
        <f t="shared" si="95"/>
        <v>0</v>
      </c>
      <c r="AJ391" s="22">
        <f t="shared" si="95"/>
        <v>0</v>
      </c>
      <c r="AK391" s="22">
        <f t="shared" si="95"/>
        <v>0</v>
      </c>
      <c r="AL391" s="22">
        <f t="shared" si="95"/>
        <v>0</v>
      </c>
      <c r="AM391" s="22">
        <f t="shared" si="95"/>
        <v>0</v>
      </c>
      <c r="AN391" s="22">
        <f t="shared" si="95"/>
        <v>0</v>
      </c>
      <c r="AO391" s="22">
        <f t="shared" si="95"/>
        <v>0</v>
      </c>
      <c r="AP391" s="22">
        <f t="shared" si="95"/>
        <v>0</v>
      </c>
      <c r="AQ391" s="22">
        <f t="shared" si="95"/>
        <v>0</v>
      </c>
      <c r="AR391" s="22">
        <f t="shared" si="95"/>
        <v>0</v>
      </c>
      <c r="AS391" s="22">
        <f t="shared" si="95"/>
        <v>0</v>
      </c>
      <c r="AT391" s="22">
        <f t="shared" si="95"/>
        <v>0</v>
      </c>
      <c r="AU391" s="22">
        <f t="shared" si="95"/>
        <v>0</v>
      </c>
      <c r="AV391" s="22">
        <f t="shared" si="95"/>
        <v>0</v>
      </c>
      <c r="AW391" s="22">
        <f t="shared" si="95"/>
        <v>0</v>
      </c>
      <c r="AY391" s="85"/>
    </row>
    <row r="392" spans="1:51" x14ac:dyDescent="0.25">
      <c r="A392" s="102" t="str">
        <f t="shared" si="93"/>
        <v>GS U&amp;D</v>
      </c>
      <c r="B392" s="102" t="s">
        <v>1022</v>
      </c>
      <c r="C392" s="102" t="s">
        <v>1337</v>
      </c>
      <c r="D392" t="s">
        <v>369</v>
      </c>
      <c r="E392" t="s">
        <v>55</v>
      </c>
      <c r="F392" t="s">
        <v>422</v>
      </c>
      <c r="G392" t="s">
        <v>1179</v>
      </c>
      <c r="H392" t="s">
        <v>1254</v>
      </c>
      <c r="I392" t="s">
        <v>139</v>
      </c>
      <c r="J392" t="s">
        <v>287</v>
      </c>
      <c r="K392" s="22">
        <f t="shared" si="90"/>
        <v>0</v>
      </c>
      <c r="L392" s="22">
        <f t="shared" si="95"/>
        <v>0</v>
      </c>
      <c r="M392" s="22">
        <f t="shared" si="95"/>
        <v>0</v>
      </c>
      <c r="N392" s="22">
        <f t="shared" si="95"/>
        <v>0</v>
      </c>
      <c r="O392" s="22">
        <f t="shared" si="95"/>
        <v>0</v>
      </c>
      <c r="P392" s="22">
        <f t="shared" si="95"/>
        <v>0</v>
      </c>
      <c r="Q392" s="22">
        <f t="shared" si="95"/>
        <v>0</v>
      </c>
      <c r="R392" s="22">
        <f t="shared" si="95"/>
        <v>0</v>
      </c>
      <c r="S392" s="22">
        <f t="shared" si="95"/>
        <v>0</v>
      </c>
      <c r="T392" s="22">
        <f t="shared" si="95"/>
        <v>0</v>
      </c>
      <c r="U392" s="22">
        <f t="shared" si="95"/>
        <v>0</v>
      </c>
      <c r="V392" s="22">
        <f t="shared" si="95"/>
        <v>0</v>
      </c>
      <c r="W392" s="22">
        <f t="shared" si="95"/>
        <v>0</v>
      </c>
      <c r="X392" s="22">
        <f t="shared" si="95"/>
        <v>0</v>
      </c>
      <c r="Y392" s="22">
        <f t="shared" si="95"/>
        <v>0</v>
      </c>
      <c r="Z392" s="22">
        <f t="shared" si="95"/>
        <v>0</v>
      </c>
      <c r="AA392" s="22">
        <f t="shared" si="95"/>
        <v>0</v>
      </c>
      <c r="AB392" s="22">
        <f t="shared" si="95"/>
        <v>0</v>
      </c>
      <c r="AC392" s="22">
        <f t="shared" si="95"/>
        <v>0</v>
      </c>
      <c r="AD392" s="22">
        <f t="shared" si="95"/>
        <v>0</v>
      </c>
      <c r="AE392" s="22">
        <f t="shared" si="95"/>
        <v>0</v>
      </c>
      <c r="AF392" s="22">
        <f t="shared" si="95"/>
        <v>0</v>
      </c>
      <c r="AG392" s="22">
        <f t="shared" si="95"/>
        <v>0</v>
      </c>
      <c r="AH392" s="22">
        <f t="shared" si="95"/>
        <v>0</v>
      </c>
      <c r="AI392" s="22">
        <f t="shared" si="95"/>
        <v>0</v>
      </c>
      <c r="AJ392" s="22">
        <f t="shared" si="95"/>
        <v>0</v>
      </c>
      <c r="AK392" s="22">
        <f t="shared" si="95"/>
        <v>0</v>
      </c>
      <c r="AL392" s="22">
        <f t="shared" si="95"/>
        <v>0</v>
      </c>
      <c r="AM392" s="22">
        <f t="shared" si="95"/>
        <v>0</v>
      </c>
      <c r="AN392" s="22">
        <f t="shared" si="95"/>
        <v>0</v>
      </c>
      <c r="AO392" s="22">
        <f t="shared" si="95"/>
        <v>0</v>
      </c>
      <c r="AP392" s="22">
        <f t="shared" si="95"/>
        <v>0</v>
      </c>
      <c r="AQ392" s="22">
        <f t="shared" si="95"/>
        <v>0</v>
      </c>
      <c r="AR392" s="22">
        <f t="shared" si="95"/>
        <v>0</v>
      </c>
      <c r="AS392" s="22">
        <f t="shared" si="95"/>
        <v>0</v>
      </c>
      <c r="AT392" s="22">
        <f t="shared" si="95"/>
        <v>0</v>
      </c>
      <c r="AU392" s="22">
        <f t="shared" si="95"/>
        <v>0</v>
      </c>
      <c r="AV392" s="22">
        <f t="shared" si="95"/>
        <v>0</v>
      </c>
      <c r="AW392" s="22">
        <f t="shared" si="95"/>
        <v>0</v>
      </c>
      <c r="AY392" s="85"/>
    </row>
    <row r="393" spans="1:51" x14ac:dyDescent="0.25">
      <c r="A393" s="102" t="str">
        <f t="shared" si="93"/>
        <v>GS U&amp;D</v>
      </c>
      <c r="B393" s="102" t="s">
        <v>1022</v>
      </c>
      <c r="C393" s="102" t="s">
        <v>1337</v>
      </c>
      <c r="D393" t="s">
        <v>369</v>
      </c>
      <c r="E393" t="s">
        <v>55</v>
      </c>
      <c r="F393" t="s">
        <v>422</v>
      </c>
      <c r="G393" t="s">
        <v>1181</v>
      </c>
      <c r="H393" t="s">
        <v>1255</v>
      </c>
      <c r="I393" t="s">
        <v>139</v>
      </c>
      <c r="J393" t="s">
        <v>287</v>
      </c>
      <c r="K393" s="22">
        <f t="shared" si="90"/>
        <v>0</v>
      </c>
      <c r="L393" s="22">
        <f t="shared" si="95"/>
        <v>0</v>
      </c>
      <c r="M393" s="22">
        <f t="shared" si="95"/>
        <v>0</v>
      </c>
      <c r="N393" s="22">
        <f t="shared" si="95"/>
        <v>0</v>
      </c>
      <c r="O393" s="22">
        <f t="shared" si="95"/>
        <v>0</v>
      </c>
      <c r="P393" s="22">
        <f t="shared" si="95"/>
        <v>0</v>
      </c>
      <c r="Q393" s="22">
        <f t="shared" si="95"/>
        <v>0</v>
      </c>
      <c r="R393" s="22">
        <f t="shared" si="95"/>
        <v>0</v>
      </c>
      <c r="S393" s="22">
        <f t="shared" si="95"/>
        <v>0</v>
      </c>
      <c r="T393" s="22">
        <f t="shared" si="95"/>
        <v>0</v>
      </c>
      <c r="U393" s="22">
        <f t="shared" si="95"/>
        <v>0</v>
      </c>
      <c r="V393" s="22">
        <f t="shared" si="95"/>
        <v>0</v>
      </c>
      <c r="W393" s="22">
        <f t="shared" si="95"/>
        <v>0</v>
      </c>
      <c r="X393" s="22">
        <f t="shared" si="95"/>
        <v>0</v>
      </c>
      <c r="Y393" s="22">
        <f t="shared" si="95"/>
        <v>0</v>
      </c>
      <c r="Z393" s="22">
        <f t="shared" si="95"/>
        <v>0</v>
      </c>
      <c r="AA393" s="22">
        <f t="shared" si="95"/>
        <v>0</v>
      </c>
      <c r="AB393" s="22">
        <f t="shared" si="95"/>
        <v>0</v>
      </c>
      <c r="AC393" s="22">
        <f t="shared" si="95"/>
        <v>0</v>
      </c>
      <c r="AD393" s="22">
        <f t="shared" si="95"/>
        <v>0</v>
      </c>
      <c r="AE393" s="22">
        <f t="shared" si="95"/>
        <v>0</v>
      </c>
      <c r="AF393" s="22">
        <f t="shared" si="95"/>
        <v>0</v>
      </c>
      <c r="AG393" s="22">
        <f t="shared" si="95"/>
        <v>0</v>
      </c>
      <c r="AH393" s="22">
        <f t="shared" si="95"/>
        <v>0</v>
      </c>
      <c r="AI393" s="22">
        <f t="shared" si="95"/>
        <v>0</v>
      </c>
      <c r="AJ393" s="22">
        <f t="shared" si="95"/>
        <v>0</v>
      </c>
      <c r="AK393" s="22">
        <f t="shared" si="95"/>
        <v>0</v>
      </c>
      <c r="AL393" s="22">
        <f t="shared" si="95"/>
        <v>0</v>
      </c>
      <c r="AM393" s="22">
        <f t="shared" si="95"/>
        <v>0</v>
      </c>
      <c r="AN393" s="22">
        <f t="shared" si="95"/>
        <v>0</v>
      </c>
      <c r="AO393" s="22">
        <f t="shared" si="95"/>
        <v>0</v>
      </c>
      <c r="AP393" s="22">
        <f t="shared" si="95"/>
        <v>0</v>
      </c>
      <c r="AQ393" s="22">
        <f t="shared" si="95"/>
        <v>0</v>
      </c>
      <c r="AR393" s="22">
        <f t="shared" si="95"/>
        <v>0</v>
      </c>
      <c r="AS393" s="22">
        <f t="shared" si="95"/>
        <v>0</v>
      </c>
      <c r="AT393" s="22">
        <f t="shared" si="95"/>
        <v>0</v>
      </c>
      <c r="AU393" s="22">
        <f t="shared" si="95"/>
        <v>0</v>
      </c>
      <c r="AV393" s="22">
        <f t="shared" ref="L393:AW400" si="96">AV1496</f>
        <v>0</v>
      </c>
      <c r="AW393" s="22">
        <f t="shared" si="96"/>
        <v>0</v>
      </c>
      <c r="AY393" s="85"/>
    </row>
    <row r="394" spans="1:51" x14ac:dyDescent="0.25">
      <c r="A394" s="102" t="str">
        <f t="shared" si="93"/>
        <v>GS U&amp;D</v>
      </c>
      <c r="B394" s="102" t="s">
        <v>1022</v>
      </c>
      <c r="C394" s="102" t="s">
        <v>1337</v>
      </c>
      <c r="D394" t="s">
        <v>369</v>
      </c>
      <c r="E394" t="s">
        <v>55</v>
      </c>
      <c r="F394" t="s">
        <v>422</v>
      </c>
      <c r="G394" t="s">
        <v>1183</v>
      </c>
      <c r="H394" t="s">
        <v>1256</v>
      </c>
      <c r="I394" t="s">
        <v>139</v>
      </c>
      <c r="J394" t="s">
        <v>287</v>
      </c>
      <c r="K394" s="22">
        <f t="shared" si="90"/>
        <v>0</v>
      </c>
      <c r="L394" s="22">
        <f t="shared" si="96"/>
        <v>0</v>
      </c>
      <c r="M394" s="22">
        <f t="shared" si="96"/>
        <v>0</v>
      </c>
      <c r="N394" s="22">
        <f t="shared" si="96"/>
        <v>0</v>
      </c>
      <c r="O394" s="22">
        <f t="shared" si="96"/>
        <v>0</v>
      </c>
      <c r="P394" s="22">
        <f t="shared" si="96"/>
        <v>0</v>
      </c>
      <c r="Q394" s="22">
        <f t="shared" si="96"/>
        <v>0</v>
      </c>
      <c r="R394" s="22">
        <f t="shared" si="96"/>
        <v>0</v>
      </c>
      <c r="S394" s="22">
        <f t="shared" si="96"/>
        <v>0</v>
      </c>
      <c r="T394" s="22">
        <f t="shared" si="96"/>
        <v>0</v>
      </c>
      <c r="U394" s="22">
        <f t="shared" si="96"/>
        <v>0</v>
      </c>
      <c r="V394" s="22">
        <f t="shared" si="96"/>
        <v>0</v>
      </c>
      <c r="W394" s="22">
        <f t="shared" si="96"/>
        <v>0</v>
      </c>
      <c r="X394" s="22">
        <f t="shared" si="96"/>
        <v>0</v>
      </c>
      <c r="Y394" s="22">
        <f t="shared" si="96"/>
        <v>0</v>
      </c>
      <c r="Z394" s="22">
        <f t="shared" si="96"/>
        <v>0</v>
      </c>
      <c r="AA394" s="22">
        <f t="shared" si="96"/>
        <v>0</v>
      </c>
      <c r="AB394" s="22">
        <f t="shared" si="96"/>
        <v>0</v>
      </c>
      <c r="AC394" s="22">
        <f t="shared" si="96"/>
        <v>0</v>
      </c>
      <c r="AD394" s="22">
        <f t="shared" si="96"/>
        <v>0</v>
      </c>
      <c r="AE394" s="22">
        <f t="shared" si="96"/>
        <v>0</v>
      </c>
      <c r="AF394" s="22">
        <f t="shared" si="96"/>
        <v>0</v>
      </c>
      <c r="AG394" s="22">
        <f t="shared" si="96"/>
        <v>0</v>
      </c>
      <c r="AH394" s="22">
        <f t="shared" si="96"/>
        <v>0</v>
      </c>
      <c r="AI394" s="22">
        <f t="shared" si="96"/>
        <v>0</v>
      </c>
      <c r="AJ394" s="22">
        <f t="shared" si="96"/>
        <v>0</v>
      </c>
      <c r="AK394" s="22">
        <f t="shared" si="96"/>
        <v>0</v>
      </c>
      <c r="AL394" s="22">
        <f t="shared" si="96"/>
        <v>0</v>
      </c>
      <c r="AM394" s="22">
        <f t="shared" si="96"/>
        <v>0</v>
      </c>
      <c r="AN394" s="22">
        <f t="shared" si="96"/>
        <v>0</v>
      </c>
      <c r="AO394" s="22">
        <f t="shared" si="96"/>
        <v>0</v>
      </c>
      <c r="AP394" s="22">
        <f t="shared" si="96"/>
        <v>0</v>
      </c>
      <c r="AQ394" s="22">
        <f t="shared" si="96"/>
        <v>0</v>
      </c>
      <c r="AR394" s="22">
        <f t="shared" si="96"/>
        <v>0</v>
      </c>
      <c r="AS394" s="22">
        <f t="shared" si="96"/>
        <v>0</v>
      </c>
      <c r="AT394" s="22">
        <f t="shared" si="96"/>
        <v>0</v>
      </c>
      <c r="AU394" s="22">
        <f t="shared" si="96"/>
        <v>0</v>
      </c>
      <c r="AV394" s="22">
        <f t="shared" si="96"/>
        <v>0</v>
      </c>
      <c r="AW394" s="22">
        <f t="shared" si="96"/>
        <v>0</v>
      </c>
      <c r="AY394" s="85"/>
    </row>
    <row r="395" spans="1:51" x14ac:dyDescent="0.25">
      <c r="A395" s="102" t="str">
        <f t="shared" si="93"/>
        <v>GS FSOM</v>
      </c>
      <c r="B395" s="102" t="s">
        <v>1022</v>
      </c>
      <c r="C395" s="102" t="s">
        <v>60</v>
      </c>
      <c r="D395" t="s">
        <v>369</v>
      </c>
      <c r="E395" t="s">
        <v>55</v>
      </c>
      <c r="F395" t="s">
        <v>60</v>
      </c>
      <c r="G395" t="s">
        <v>1267</v>
      </c>
      <c r="H395" t="s">
        <v>1268</v>
      </c>
      <c r="J395" t="s">
        <v>287</v>
      </c>
      <c r="K395" s="22" t="str">
        <f t="shared" si="90"/>
        <v>NO</v>
      </c>
      <c r="L395" s="22" t="str">
        <f t="shared" si="96"/>
        <v>NO</v>
      </c>
      <c r="M395" s="22" t="str">
        <f t="shared" si="96"/>
        <v>NO</v>
      </c>
      <c r="N395" s="22" t="str">
        <f t="shared" si="96"/>
        <v>NO</v>
      </c>
      <c r="O395" s="22" t="str">
        <f t="shared" si="96"/>
        <v>NO</v>
      </c>
      <c r="P395" s="22" t="str">
        <f t="shared" si="96"/>
        <v>NO</v>
      </c>
      <c r="Q395" s="22" t="str">
        <f t="shared" si="96"/>
        <v>NO</v>
      </c>
      <c r="R395" s="22" t="str">
        <f t="shared" si="96"/>
        <v>NO</v>
      </c>
      <c r="S395" s="22" t="str">
        <f t="shared" si="96"/>
        <v>NO</v>
      </c>
      <c r="T395" s="22" t="str">
        <f t="shared" si="96"/>
        <v>NO</v>
      </c>
      <c r="U395" s="22" t="str">
        <f t="shared" si="96"/>
        <v>NO</v>
      </c>
      <c r="V395" s="22" t="str">
        <f t="shared" si="96"/>
        <v>NO</v>
      </c>
      <c r="W395" s="22" t="str">
        <f t="shared" si="96"/>
        <v>NO</v>
      </c>
      <c r="X395" s="22" t="str">
        <f t="shared" si="96"/>
        <v>NO</v>
      </c>
      <c r="Y395" s="22" t="str">
        <f t="shared" si="96"/>
        <v>NO</v>
      </c>
      <c r="Z395" s="22" t="str">
        <f t="shared" si="96"/>
        <v>NO</v>
      </c>
      <c r="AA395" s="22" t="str">
        <f t="shared" si="96"/>
        <v>NO</v>
      </c>
      <c r="AB395" s="22" t="str">
        <f t="shared" si="96"/>
        <v>NO</v>
      </c>
      <c r="AC395" s="22" t="str">
        <f t="shared" si="96"/>
        <v>NO</v>
      </c>
      <c r="AD395" s="22" t="str">
        <f t="shared" si="96"/>
        <v>NO</v>
      </c>
      <c r="AE395" s="22" t="str">
        <f t="shared" si="96"/>
        <v>NO</v>
      </c>
      <c r="AF395" s="22" t="str">
        <f t="shared" si="96"/>
        <v>NO</v>
      </c>
      <c r="AG395" s="22" t="str">
        <f t="shared" si="96"/>
        <v>NO</v>
      </c>
      <c r="AH395" s="22" t="str">
        <f t="shared" si="96"/>
        <v>NO</v>
      </c>
      <c r="AI395" s="22" t="str">
        <f t="shared" si="96"/>
        <v>NO</v>
      </c>
      <c r="AJ395" s="22" t="str">
        <f t="shared" si="96"/>
        <v>NO</v>
      </c>
      <c r="AK395" s="22" t="str">
        <f t="shared" si="96"/>
        <v>NO</v>
      </c>
      <c r="AL395" s="22" t="str">
        <f t="shared" si="96"/>
        <v>NO</v>
      </c>
      <c r="AM395" s="22" t="str">
        <f t="shared" si="96"/>
        <v>NO</v>
      </c>
      <c r="AN395" s="22" t="str">
        <f t="shared" si="96"/>
        <v>NO</v>
      </c>
      <c r="AO395" s="22" t="str">
        <f t="shared" si="96"/>
        <v>NO</v>
      </c>
      <c r="AP395" s="22" t="str">
        <f t="shared" si="96"/>
        <v>NO</v>
      </c>
      <c r="AQ395" s="22" t="str">
        <f t="shared" si="96"/>
        <v>NO</v>
      </c>
      <c r="AR395" s="22" t="str">
        <f t="shared" si="96"/>
        <v>NO</v>
      </c>
      <c r="AS395" s="22" t="str">
        <f t="shared" si="96"/>
        <v>NO</v>
      </c>
      <c r="AT395" s="22" t="str">
        <f t="shared" si="96"/>
        <v>NO</v>
      </c>
      <c r="AU395" s="22" t="str">
        <f t="shared" si="96"/>
        <v>NO</v>
      </c>
      <c r="AV395" s="22" t="str">
        <f t="shared" si="96"/>
        <v>NO</v>
      </c>
      <c r="AW395" s="22" t="str">
        <f t="shared" si="96"/>
        <v>NO</v>
      </c>
      <c r="AY395" s="85"/>
    </row>
    <row r="396" spans="1:51" x14ac:dyDescent="0.25">
      <c r="A396" s="102" t="str">
        <f t="shared" si="93"/>
        <v>GS FSOM</v>
      </c>
      <c r="B396" s="102" t="s">
        <v>1022</v>
      </c>
      <c r="C396" s="102" t="s">
        <v>60</v>
      </c>
      <c r="D396" t="s">
        <v>369</v>
      </c>
      <c r="E396" t="s">
        <v>55</v>
      </c>
      <c r="F396" t="s">
        <v>60</v>
      </c>
      <c r="G396" t="s">
        <v>1269</v>
      </c>
      <c r="H396" t="s">
        <v>1270</v>
      </c>
      <c r="J396" t="s">
        <v>287</v>
      </c>
      <c r="K396" s="22" t="str">
        <f t="shared" si="90"/>
        <v>NO</v>
      </c>
      <c r="L396" s="22" t="str">
        <f t="shared" si="96"/>
        <v>NO</v>
      </c>
      <c r="M396" s="22" t="str">
        <f t="shared" si="96"/>
        <v>NO</v>
      </c>
      <c r="N396" s="22" t="str">
        <f t="shared" si="96"/>
        <v>NO</v>
      </c>
      <c r="O396" s="22" t="str">
        <f t="shared" si="96"/>
        <v>NO</v>
      </c>
      <c r="P396" s="22" t="str">
        <f t="shared" si="96"/>
        <v>NO</v>
      </c>
      <c r="Q396" s="22" t="str">
        <f t="shared" si="96"/>
        <v>NO</v>
      </c>
      <c r="R396" s="22" t="str">
        <f t="shared" si="96"/>
        <v>NO</v>
      </c>
      <c r="S396" s="22" t="str">
        <f t="shared" si="96"/>
        <v>NO</v>
      </c>
      <c r="T396" s="22" t="str">
        <f t="shared" si="96"/>
        <v>NO</v>
      </c>
      <c r="U396" s="22" t="str">
        <f t="shared" si="96"/>
        <v>NO</v>
      </c>
      <c r="V396" s="22" t="str">
        <f t="shared" si="96"/>
        <v>NO</v>
      </c>
      <c r="W396" s="22" t="str">
        <f t="shared" si="96"/>
        <v>NO</v>
      </c>
      <c r="X396" s="22" t="str">
        <f t="shared" si="96"/>
        <v>NO</v>
      </c>
      <c r="Y396" s="22" t="str">
        <f t="shared" si="96"/>
        <v>NO</v>
      </c>
      <c r="Z396" s="22" t="str">
        <f t="shared" si="96"/>
        <v>NO</v>
      </c>
      <c r="AA396" s="22" t="str">
        <f t="shared" si="96"/>
        <v>NO</v>
      </c>
      <c r="AB396" s="22" t="str">
        <f t="shared" si="96"/>
        <v>NO</v>
      </c>
      <c r="AC396" s="22" t="str">
        <f t="shared" si="96"/>
        <v>NO</v>
      </c>
      <c r="AD396" s="22" t="str">
        <f t="shared" si="96"/>
        <v>NO</v>
      </c>
      <c r="AE396" s="22" t="str">
        <f t="shared" si="96"/>
        <v>NO</v>
      </c>
      <c r="AF396" s="22" t="str">
        <f t="shared" si="96"/>
        <v>NO</v>
      </c>
      <c r="AG396" s="22" t="str">
        <f t="shared" si="96"/>
        <v>NO</v>
      </c>
      <c r="AH396" s="22" t="str">
        <f t="shared" si="96"/>
        <v>NO</v>
      </c>
      <c r="AI396" s="22" t="str">
        <f t="shared" si="96"/>
        <v>NO</v>
      </c>
      <c r="AJ396" s="22" t="str">
        <f t="shared" si="96"/>
        <v>NO</v>
      </c>
      <c r="AK396" s="22" t="str">
        <f t="shared" si="96"/>
        <v>NO</v>
      </c>
      <c r="AL396" s="22" t="str">
        <f t="shared" si="96"/>
        <v>NO</v>
      </c>
      <c r="AM396" s="22" t="str">
        <f t="shared" si="96"/>
        <v>NO</v>
      </c>
      <c r="AN396" s="22" t="str">
        <f t="shared" si="96"/>
        <v>NO</v>
      </c>
      <c r="AO396" s="22" t="str">
        <f t="shared" si="96"/>
        <v>NO</v>
      </c>
      <c r="AP396" s="22" t="str">
        <f t="shared" si="96"/>
        <v>NO</v>
      </c>
      <c r="AQ396" s="22" t="str">
        <f t="shared" si="96"/>
        <v>NO</v>
      </c>
      <c r="AR396" s="22" t="str">
        <f t="shared" si="96"/>
        <v>NO</v>
      </c>
      <c r="AS396" s="22" t="str">
        <f t="shared" si="96"/>
        <v>NO</v>
      </c>
      <c r="AT396" s="22" t="str">
        <f t="shared" si="96"/>
        <v>NO</v>
      </c>
      <c r="AU396" s="22" t="str">
        <f t="shared" si="96"/>
        <v>NO</v>
      </c>
      <c r="AV396" s="22" t="str">
        <f t="shared" si="96"/>
        <v>NO</v>
      </c>
      <c r="AW396" s="22" t="str">
        <f t="shared" si="96"/>
        <v>NO</v>
      </c>
      <c r="AY396" s="85"/>
    </row>
    <row r="397" spans="1:51" x14ac:dyDescent="0.25">
      <c r="A397" s="102" t="str">
        <f t="shared" si="93"/>
        <v>GS FSOM</v>
      </c>
      <c r="B397" s="102" t="s">
        <v>1022</v>
      </c>
      <c r="C397" s="102" t="s">
        <v>60</v>
      </c>
      <c r="D397" t="s">
        <v>369</v>
      </c>
      <c r="E397" t="s">
        <v>55</v>
      </c>
      <c r="F397" t="s">
        <v>60</v>
      </c>
      <c r="G397" t="s">
        <v>1271</v>
      </c>
      <c r="H397" t="s">
        <v>1272</v>
      </c>
      <c r="J397" t="s">
        <v>287</v>
      </c>
      <c r="K397" s="22">
        <f t="shared" si="90"/>
        <v>3.4398813895090996E-3</v>
      </c>
      <c r="L397" s="22">
        <f t="shared" si="96"/>
        <v>3.4358310252377683E-3</v>
      </c>
      <c r="M397" s="22">
        <f t="shared" si="96"/>
        <v>3.4317806609664363E-3</v>
      </c>
      <c r="N397" s="22">
        <f t="shared" si="96"/>
        <v>3.4277302966951037E-3</v>
      </c>
      <c r="O397" s="22">
        <f t="shared" si="96"/>
        <v>3.4236799324237725E-3</v>
      </c>
      <c r="P397" s="22">
        <f t="shared" si="96"/>
        <v>3.4196295681524396E-3</v>
      </c>
      <c r="Q397" s="22">
        <f t="shared" si="96"/>
        <v>3.4155792038811079E-3</v>
      </c>
      <c r="R397" s="22">
        <f t="shared" si="96"/>
        <v>3.4115288396097763E-3</v>
      </c>
      <c r="S397" s="22">
        <f t="shared" si="96"/>
        <v>3.4074784753384451E-3</v>
      </c>
      <c r="T397" s="22">
        <f t="shared" si="96"/>
        <v>3.4034281110671134E-3</v>
      </c>
      <c r="U397" s="22">
        <f t="shared" si="96"/>
        <v>3.39937774679578E-3</v>
      </c>
      <c r="V397" s="22">
        <f t="shared" si="96"/>
        <v>3.3953273825244488E-3</v>
      </c>
      <c r="W397" s="22">
        <f t="shared" si="96"/>
        <v>3.3912770182531172E-3</v>
      </c>
      <c r="X397" s="22">
        <f t="shared" si="96"/>
        <v>3.387226653981786E-3</v>
      </c>
      <c r="Y397" s="22">
        <f t="shared" si="96"/>
        <v>3.3831762897104547E-3</v>
      </c>
      <c r="Z397" s="22">
        <f t="shared" si="96"/>
        <v>3.3791259254391218E-3</v>
      </c>
      <c r="AA397" s="22">
        <f t="shared" si="96"/>
        <v>3.375075561167791E-3</v>
      </c>
      <c r="AB397" s="22">
        <f t="shared" si="96"/>
        <v>3.3710251968964585E-3</v>
      </c>
      <c r="AC397" s="22">
        <f t="shared" si="96"/>
        <v>3.3669748326251273E-3</v>
      </c>
      <c r="AD397" s="22">
        <f t="shared" si="96"/>
        <v>3.3629244683537943E-3</v>
      </c>
      <c r="AE397" s="22">
        <f t="shared" si="96"/>
        <v>3.358874104082464E-3</v>
      </c>
      <c r="AF397" s="22">
        <f t="shared" si="96"/>
        <v>3.3548237398111319E-3</v>
      </c>
      <c r="AG397" s="22">
        <f t="shared" si="96"/>
        <v>3.3507733755397998E-3</v>
      </c>
      <c r="AH397" s="22">
        <f t="shared" si="96"/>
        <v>3.3467230112684673E-3</v>
      </c>
      <c r="AI397" s="22">
        <f t="shared" si="96"/>
        <v>3.3426726469971361E-3</v>
      </c>
      <c r="AJ397" s="22">
        <f t="shared" si="96"/>
        <v>3.3386222827258044E-3</v>
      </c>
      <c r="AK397" s="22">
        <f t="shared" si="96"/>
        <v>3.3345719184544728E-3</v>
      </c>
      <c r="AL397" s="22">
        <f t="shared" si="96"/>
        <v>3.3305215541831416E-3</v>
      </c>
      <c r="AM397" s="22">
        <f t="shared" si="96"/>
        <v>3.3264711899118095E-3</v>
      </c>
      <c r="AN397" s="22">
        <f t="shared" si="96"/>
        <v>3.3224208256404765E-3</v>
      </c>
      <c r="AO397" s="22">
        <f t="shared" si="96"/>
        <v>3.3183704613691458E-3</v>
      </c>
      <c r="AP397" s="22">
        <f t="shared" si="96"/>
        <v>3.3143200970978137E-3</v>
      </c>
      <c r="AQ397" s="22">
        <f t="shared" si="96"/>
        <v>3.3102697328264833E-3</v>
      </c>
      <c r="AR397" s="22">
        <f t="shared" si="96"/>
        <v>3.3062193685551499E-3</v>
      </c>
      <c r="AS397" s="22">
        <f t="shared" si="96"/>
        <v>3.3021690042838187E-3</v>
      </c>
      <c r="AT397" s="22">
        <f t="shared" si="96"/>
        <v>3.2981186400124866E-3</v>
      </c>
      <c r="AU397" s="22">
        <f t="shared" si="96"/>
        <v>3.2940682757411541E-3</v>
      </c>
      <c r="AV397" s="22">
        <f t="shared" si="96"/>
        <v>3.2900179114698229E-3</v>
      </c>
      <c r="AW397" s="22">
        <f t="shared" si="96"/>
        <v>3.2859675471984908E-3</v>
      </c>
      <c r="AY397" s="85"/>
    </row>
    <row r="398" spans="1:51" x14ac:dyDescent="0.25">
      <c r="A398" s="102" t="str">
        <f t="shared" si="93"/>
        <v>GS FSOM</v>
      </c>
      <c r="B398" s="102" t="s">
        <v>1022</v>
      </c>
      <c r="C398" s="102" t="s">
        <v>60</v>
      </c>
      <c r="D398" t="s">
        <v>369</v>
      </c>
      <c r="E398" t="s">
        <v>55</v>
      </c>
      <c r="F398" t="s">
        <v>60</v>
      </c>
      <c r="G398" t="s">
        <v>1273</v>
      </c>
      <c r="H398" t="s">
        <v>1274</v>
      </c>
      <c r="J398" t="s">
        <v>287</v>
      </c>
      <c r="K398" s="22">
        <f t="shared" si="90"/>
        <v>0.49020960547040615</v>
      </c>
      <c r="L398" s="22">
        <f t="shared" si="96"/>
        <v>0.49134551154341793</v>
      </c>
      <c r="M398" s="22">
        <f t="shared" si="96"/>
        <v>0.49248141761642988</v>
      </c>
      <c r="N398" s="22">
        <f t="shared" si="96"/>
        <v>0.49361732368944172</v>
      </c>
      <c r="O398" s="22">
        <f t="shared" si="96"/>
        <v>0.49475322976245356</v>
      </c>
      <c r="P398" s="22">
        <f t="shared" si="96"/>
        <v>0.49588913583546534</v>
      </c>
      <c r="Q398" s="22">
        <f t="shared" si="96"/>
        <v>0.49702504190847724</v>
      </c>
      <c r="R398" s="22">
        <f t="shared" si="96"/>
        <v>0.49816094798148913</v>
      </c>
      <c r="S398" s="22">
        <f t="shared" si="96"/>
        <v>0.49929685405450086</v>
      </c>
      <c r="T398" s="22">
        <f t="shared" si="96"/>
        <v>0.50043276012751292</v>
      </c>
      <c r="U398" s="22">
        <f t="shared" si="96"/>
        <v>0.50156866620052454</v>
      </c>
      <c r="V398" s="22">
        <f t="shared" si="96"/>
        <v>0.50270457227353649</v>
      </c>
      <c r="W398" s="22">
        <f t="shared" si="96"/>
        <v>0.50384047834654833</v>
      </c>
      <c r="X398" s="22">
        <f t="shared" si="96"/>
        <v>0.50497638441956039</v>
      </c>
      <c r="Y398" s="22">
        <f t="shared" si="96"/>
        <v>0.506112290492572</v>
      </c>
      <c r="Z398" s="22">
        <f t="shared" si="96"/>
        <v>0.50724819656558406</v>
      </c>
      <c r="AA398" s="22">
        <f t="shared" si="96"/>
        <v>0.50838410263859568</v>
      </c>
      <c r="AB398" s="22">
        <f t="shared" si="96"/>
        <v>0.50952000871160763</v>
      </c>
      <c r="AC398" s="22">
        <f t="shared" si="96"/>
        <v>0.51065591478461958</v>
      </c>
      <c r="AD398" s="22">
        <f t="shared" si="96"/>
        <v>0.51179182085763142</v>
      </c>
      <c r="AE398" s="22">
        <f t="shared" si="96"/>
        <v>0.51292772693064326</v>
      </c>
      <c r="AF398" s="22">
        <f t="shared" si="96"/>
        <v>0.5140636330036551</v>
      </c>
      <c r="AG398" s="22">
        <f t="shared" si="96"/>
        <v>0.51519953907666705</v>
      </c>
      <c r="AH398" s="22">
        <f t="shared" si="96"/>
        <v>0.51633544514967877</v>
      </c>
      <c r="AI398" s="22">
        <f t="shared" si="96"/>
        <v>0.51747135122269072</v>
      </c>
      <c r="AJ398" s="22">
        <f t="shared" si="96"/>
        <v>0.51860725729570256</v>
      </c>
      <c r="AK398" s="22">
        <f t="shared" si="96"/>
        <v>0.5197431633687144</v>
      </c>
      <c r="AL398" s="22">
        <f t="shared" si="96"/>
        <v>0.52087906944172624</v>
      </c>
      <c r="AM398" s="22">
        <f t="shared" si="96"/>
        <v>0.52201497551473808</v>
      </c>
      <c r="AN398" s="22">
        <f t="shared" si="96"/>
        <v>0.52315088158774992</v>
      </c>
      <c r="AO398" s="22">
        <f t="shared" si="96"/>
        <v>0.52428678766076187</v>
      </c>
      <c r="AP398" s="22">
        <f t="shared" si="96"/>
        <v>0.52542269373377359</v>
      </c>
      <c r="AQ398" s="22">
        <f t="shared" si="96"/>
        <v>0.52655859980678543</v>
      </c>
      <c r="AR398" s="22">
        <f t="shared" si="96"/>
        <v>0.52769450587979749</v>
      </c>
      <c r="AS398" s="22">
        <f t="shared" si="96"/>
        <v>0.52883041195280922</v>
      </c>
      <c r="AT398" s="22">
        <f t="shared" si="96"/>
        <v>0.52996631802582106</v>
      </c>
      <c r="AU398" s="22">
        <f t="shared" si="96"/>
        <v>0.53110222409883301</v>
      </c>
      <c r="AV398" s="22">
        <f t="shared" si="96"/>
        <v>0.53223813017184474</v>
      </c>
      <c r="AW398" s="22">
        <f t="shared" si="96"/>
        <v>0.5333740362448568</v>
      </c>
      <c r="AY398" s="85"/>
    </row>
    <row r="399" spans="1:51" x14ac:dyDescent="0.25">
      <c r="A399" s="102" t="str">
        <f t="shared" si="93"/>
        <v>GS FSOM</v>
      </c>
      <c r="B399" s="102" t="s">
        <v>1022</v>
      </c>
      <c r="C399" s="102" t="s">
        <v>60</v>
      </c>
      <c r="D399" t="s">
        <v>369</v>
      </c>
      <c r="E399" t="s">
        <v>55</v>
      </c>
      <c r="F399" t="s">
        <v>60</v>
      </c>
      <c r="G399" t="s">
        <v>1275</v>
      </c>
      <c r="H399" t="s">
        <v>1276</v>
      </c>
      <c r="J399" t="s">
        <v>287</v>
      </c>
      <c r="K399" s="22">
        <f t="shared" si="90"/>
        <v>0.57597220909378744</v>
      </c>
      <c r="L399" s="22">
        <f t="shared" si="96"/>
        <v>0.57597220909378744</v>
      </c>
      <c r="M399" s="22">
        <f t="shared" si="96"/>
        <v>0.57597220909378744</v>
      </c>
      <c r="N399" s="22">
        <f t="shared" si="96"/>
        <v>0.57597220909378744</v>
      </c>
      <c r="O399" s="22">
        <f t="shared" si="96"/>
        <v>0.57597220909378744</v>
      </c>
      <c r="P399" s="22">
        <f t="shared" si="96"/>
        <v>0.57597220909378744</v>
      </c>
      <c r="Q399" s="22">
        <f t="shared" si="96"/>
        <v>0.57597220909378744</v>
      </c>
      <c r="R399" s="22">
        <f t="shared" si="96"/>
        <v>0.57597220909378744</v>
      </c>
      <c r="S399" s="22">
        <f t="shared" si="96"/>
        <v>0.57597220909378744</v>
      </c>
      <c r="T399" s="22">
        <f t="shared" si="96"/>
        <v>0.57597220909378744</v>
      </c>
      <c r="U399" s="22">
        <f t="shared" si="96"/>
        <v>0.57597220909378744</v>
      </c>
      <c r="V399" s="22">
        <f t="shared" si="96"/>
        <v>0.57597220909378744</v>
      </c>
      <c r="W399" s="22">
        <f t="shared" si="96"/>
        <v>0.57597220909378744</v>
      </c>
      <c r="X399" s="22">
        <f t="shared" si="96"/>
        <v>0.57597220909378744</v>
      </c>
      <c r="Y399" s="22">
        <f t="shared" si="96"/>
        <v>0.57597220909378744</v>
      </c>
      <c r="Z399" s="22">
        <f t="shared" si="96"/>
        <v>0.57597220909378744</v>
      </c>
      <c r="AA399" s="22">
        <f t="shared" si="96"/>
        <v>0.57597220909378744</v>
      </c>
      <c r="AB399" s="22">
        <f t="shared" si="96"/>
        <v>0.57597220909378744</v>
      </c>
      <c r="AC399" s="22">
        <f t="shared" si="96"/>
        <v>0.57597220909378744</v>
      </c>
      <c r="AD399" s="22">
        <f t="shared" si="96"/>
        <v>0.57597220909378744</v>
      </c>
      <c r="AE399" s="22">
        <f t="shared" si="96"/>
        <v>0.57597220909378744</v>
      </c>
      <c r="AF399" s="22">
        <f t="shared" si="96"/>
        <v>0.57597220909378744</v>
      </c>
      <c r="AG399" s="22">
        <f t="shared" si="96"/>
        <v>0.57597220909378744</v>
      </c>
      <c r="AH399" s="22">
        <f t="shared" si="96"/>
        <v>0.57597220909378744</v>
      </c>
      <c r="AI399" s="22">
        <f t="shared" si="96"/>
        <v>0.57597220909378744</v>
      </c>
      <c r="AJ399" s="22">
        <f t="shared" si="96"/>
        <v>0.57597220909378744</v>
      </c>
      <c r="AK399" s="22">
        <f t="shared" si="96"/>
        <v>0.57597220909378744</v>
      </c>
      <c r="AL399" s="22">
        <f t="shared" si="96"/>
        <v>0.57597220909378744</v>
      </c>
      <c r="AM399" s="22">
        <f t="shared" si="96"/>
        <v>0.57597220909378744</v>
      </c>
      <c r="AN399" s="22">
        <f t="shared" si="96"/>
        <v>0.57597220909378744</v>
      </c>
      <c r="AO399" s="22">
        <f t="shared" si="96"/>
        <v>0.57597220909378744</v>
      </c>
      <c r="AP399" s="22">
        <f t="shared" si="96"/>
        <v>0.57597220909378744</v>
      </c>
      <c r="AQ399" s="22">
        <f t="shared" si="96"/>
        <v>0.57597220909378744</v>
      </c>
      <c r="AR399" s="22">
        <f t="shared" si="96"/>
        <v>0.57597220909378744</v>
      </c>
      <c r="AS399" s="22">
        <f t="shared" si="96"/>
        <v>0.57597220909378744</v>
      </c>
      <c r="AT399" s="22">
        <f t="shared" si="96"/>
        <v>0.57597220909378744</v>
      </c>
      <c r="AU399" s="22">
        <f t="shared" si="96"/>
        <v>0.57597220909378744</v>
      </c>
      <c r="AV399" s="22">
        <f t="shared" si="96"/>
        <v>0.57597220909378744</v>
      </c>
      <c r="AW399" s="22">
        <f t="shared" si="96"/>
        <v>0.57597220909378744</v>
      </c>
      <c r="AY399" s="85"/>
    </row>
    <row r="400" spans="1:51" x14ac:dyDescent="0.25">
      <c r="A400" s="102" t="str">
        <f t="shared" si="93"/>
        <v>GS FSOM</v>
      </c>
      <c r="B400" s="102" t="s">
        <v>1022</v>
      </c>
      <c r="C400" s="102" t="s">
        <v>60</v>
      </c>
      <c r="D400" t="s">
        <v>369</v>
      </c>
      <c r="E400" t="s">
        <v>55</v>
      </c>
      <c r="F400" t="s">
        <v>60</v>
      </c>
      <c r="G400" t="s">
        <v>1277</v>
      </c>
      <c r="H400" t="s">
        <v>1278</v>
      </c>
      <c r="J400" t="s">
        <v>287</v>
      </c>
      <c r="K400" s="22" t="str">
        <f t="shared" si="90"/>
        <v>NO</v>
      </c>
      <c r="L400" s="22" t="str">
        <f t="shared" si="96"/>
        <v>NO</v>
      </c>
      <c r="M400" s="22" t="str">
        <f t="shared" si="96"/>
        <v>NO</v>
      </c>
      <c r="N400" s="22" t="str">
        <f t="shared" si="96"/>
        <v>NO</v>
      </c>
      <c r="O400" s="22" t="str">
        <f t="shared" si="96"/>
        <v>NO</v>
      </c>
      <c r="P400" s="22" t="str">
        <f t="shared" si="96"/>
        <v>NO</v>
      </c>
      <c r="Q400" s="22" t="str">
        <f t="shared" si="96"/>
        <v>NO</v>
      </c>
      <c r="R400" s="22" t="str">
        <f t="shared" si="96"/>
        <v>NO</v>
      </c>
      <c r="S400" s="22" t="str">
        <f t="shared" si="96"/>
        <v>NO</v>
      </c>
      <c r="T400" s="22" t="str">
        <f t="shared" si="96"/>
        <v>NO</v>
      </c>
      <c r="U400" s="22" t="str">
        <f t="shared" si="96"/>
        <v>NO</v>
      </c>
      <c r="V400" s="22" t="str">
        <f t="shared" si="96"/>
        <v>NO</v>
      </c>
      <c r="W400" s="22" t="str">
        <f t="shared" si="96"/>
        <v>NO</v>
      </c>
      <c r="X400" s="22" t="str">
        <f t="shared" si="96"/>
        <v>NO</v>
      </c>
      <c r="Y400" s="22" t="str">
        <f t="shared" si="96"/>
        <v>NO</v>
      </c>
      <c r="Z400" s="22" t="str">
        <f t="shared" si="96"/>
        <v>NO</v>
      </c>
      <c r="AA400" s="22" t="str">
        <f t="shared" si="96"/>
        <v>NO</v>
      </c>
      <c r="AB400" s="22" t="str">
        <f t="shared" si="96"/>
        <v>NO</v>
      </c>
      <c r="AC400" s="22" t="str">
        <f t="shared" si="96"/>
        <v>NO</v>
      </c>
      <c r="AD400" s="22" t="str">
        <f t="shared" si="96"/>
        <v>NO</v>
      </c>
      <c r="AE400" s="22" t="str">
        <f t="shared" si="96"/>
        <v>NO</v>
      </c>
      <c r="AF400" s="22" t="str">
        <f t="shared" si="96"/>
        <v>NO</v>
      </c>
      <c r="AG400" s="22" t="str">
        <f t="shared" si="96"/>
        <v>NO</v>
      </c>
      <c r="AH400" s="22" t="str">
        <f t="shared" si="96"/>
        <v>NO</v>
      </c>
      <c r="AI400" s="22" t="str">
        <f t="shared" si="96"/>
        <v>NO</v>
      </c>
      <c r="AJ400" s="22" t="str">
        <f t="shared" si="96"/>
        <v>NO</v>
      </c>
      <c r="AK400" s="22" t="str">
        <f t="shared" ref="L400:AW407" si="97">AK1503</f>
        <v>NO</v>
      </c>
      <c r="AL400" s="22" t="str">
        <f t="shared" si="97"/>
        <v>NO</v>
      </c>
      <c r="AM400" s="22" t="str">
        <f t="shared" si="97"/>
        <v>NO</v>
      </c>
      <c r="AN400" s="22" t="str">
        <f t="shared" si="97"/>
        <v>NO</v>
      </c>
      <c r="AO400" s="22" t="str">
        <f t="shared" si="97"/>
        <v>NO</v>
      </c>
      <c r="AP400" s="22" t="str">
        <f t="shared" si="97"/>
        <v>NO</v>
      </c>
      <c r="AQ400" s="22" t="str">
        <f t="shared" si="97"/>
        <v>NO</v>
      </c>
      <c r="AR400" s="22" t="str">
        <f t="shared" si="97"/>
        <v>NO</v>
      </c>
      <c r="AS400" s="22" t="str">
        <f t="shared" si="97"/>
        <v>NO</v>
      </c>
      <c r="AT400" s="22" t="str">
        <f t="shared" si="97"/>
        <v>NO</v>
      </c>
      <c r="AU400" s="22" t="str">
        <f t="shared" si="97"/>
        <v>NO</v>
      </c>
      <c r="AV400" s="22" t="str">
        <f t="shared" si="97"/>
        <v>NO</v>
      </c>
      <c r="AW400" s="22" t="str">
        <f t="shared" si="97"/>
        <v>NO</v>
      </c>
      <c r="AY400" s="85"/>
    </row>
    <row r="401" spans="1:51" x14ac:dyDescent="0.25">
      <c r="A401" s="102" t="str">
        <f t="shared" si="93"/>
        <v>GS FSOM</v>
      </c>
      <c r="B401" s="102" t="s">
        <v>1022</v>
      </c>
      <c r="C401" s="102" t="s">
        <v>60</v>
      </c>
      <c r="D401" t="s">
        <v>369</v>
      </c>
      <c r="E401" t="s">
        <v>55</v>
      </c>
      <c r="F401" t="s">
        <v>60</v>
      </c>
      <c r="G401" t="s">
        <v>1279</v>
      </c>
      <c r="H401" t="s">
        <v>1280</v>
      </c>
      <c r="J401" t="s">
        <v>287</v>
      </c>
      <c r="K401" s="22" t="str">
        <f t="shared" si="90"/>
        <v>NO</v>
      </c>
      <c r="L401" s="22" t="str">
        <f t="shared" si="97"/>
        <v>NO</v>
      </c>
      <c r="M401" s="22" t="str">
        <f t="shared" si="97"/>
        <v>NO</v>
      </c>
      <c r="N401" s="22" t="str">
        <f t="shared" si="97"/>
        <v>NO</v>
      </c>
      <c r="O401" s="22" t="str">
        <f t="shared" si="97"/>
        <v>NO</v>
      </c>
      <c r="P401" s="22" t="str">
        <f t="shared" si="97"/>
        <v>NO</v>
      </c>
      <c r="Q401" s="22" t="str">
        <f t="shared" si="97"/>
        <v>NO</v>
      </c>
      <c r="R401" s="22" t="str">
        <f t="shared" si="97"/>
        <v>NO</v>
      </c>
      <c r="S401" s="22" t="str">
        <f t="shared" si="97"/>
        <v>NO</v>
      </c>
      <c r="T401" s="22" t="str">
        <f t="shared" si="97"/>
        <v>NO</v>
      </c>
      <c r="U401" s="22" t="str">
        <f t="shared" si="97"/>
        <v>NO</v>
      </c>
      <c r="V401" s="22" t="str">
        <f t="shared" si="97"/>
        <v>NO</v>
      </c>
      <c r="W401" s="22" t="str">
        <f t="shared" si="97"/>
        <v>NO</v>
      </c>
      <c r="X401" s="22" t="str">
        <f t="shared" si="97"/>
        <v>NO</v>
      </c>
      <c r="Y401" s="22" t="str">
        <f t="shared" si="97"/>
        <v>NO</v>
      </c>
      <c r="Z401" s="22" t="str">
        <f t="shared" si="97"/>
        <v>NO</v>
      </c>
      <c r="AA401" s="22" t="str">
        <f t="shared" si="97"/>
        <v>NO</v>
      </c>
      <c r="AB401" s="22" t="str">
        <f t="shared" si="97"/>
        <v>NO</v>
      </c>
      <c r="AC401" s="22" t="str">
        <f t="shared" si="97"/>
        <v>NO</v>
      </c>
      <c r="AD401" s="22" t="str">
        <f t="shared" si="97"/>
        <v>NO</v>
      </c>
      <c r="AE401" s="22" t="str">
        <f t="shared" si="97"/>
        <v>NO</v>
      </c>
      <c r="AF401" s="22" t="str">
        <f t="shared" si="97"/>
        <v>NO</v>
      </c>
      <c r="AG401" s="22" t="str">
        <f t="shared" si="97"/>
        <v>NO</v>
      </c>
      <c r="AH401" s="22" t="str">
        <f t="shared" si="97"/>
        <v>NO</v>
      </c>
      <c r="AI401" s="22" t="str">
        <f t="shared" si="97"/>
        <v>NO</v>
      </c>
      <c r="AJ401" s="22" t="str">
        <f t="shared" si="97"/>
        <v>NO</v>
      </c>
      <c r="AK401" s="22" t="str">
        <f t="shared" si="97"/>
        <v>NO</v>
      </c>
      <c r="AL401" s="22" t="str">
        <f t="shared" si="97"/>
        <v>NO</v>
      </c>
      <c r="AM401" s="22" t="str">
        <f t="shared" si="97"/>
        <v>NO</v>
      </c>
      <c r="AN401" s="22" t="str">
        <f t="shared" si="97"/>
        <v>NO</v>
      </c>
      <c r="AO401" s="22" t="str">
        <f t="shared" si="97"/>
        <v>NO</v>
      </c>
      <c r="AP401" s="22" t="str">
        <f t="shared" si="97"/>
        <v>NO</v>
      </c>
      <c r="AQ401" s="22" t="str">
        <f t="shared" si="97"/>
        <v>NO</v>
      </c>
      <c r="AR401" s="22" t="str">
        <f t="shared" si="97"/>
        <v>NO</v>
      </c>
      <c r="AS401" s="22" t="str">
        <f t="shared" si="97"/>
        <v>NO</v>
      </c>
      <c r="AT401" s="22" t="str">
        <f t="shared" si="97"/>
        <v>NO</v>
      </c>
      <c r="AU401" s="22" t="str">
        <f t="shared" si="97"/>
        <v>NO</v>
      </c>
      <c r="AV401" s="22" t="str">
        <f t="shared" si="97"/>
        <v>NO</v>
      </c>
      <c r="AW401" s="22" t="str">
        <f t="shared" si="97"/>
        <v>NO</v>
      </c>
      <c r="AY401" s="85"/>
    </row>
    <row r="402" spans="1:51" x14ac:dyDescent="0.25">
      <c r="A402" s="102" t="str">
        <f t="shared" si="93"/>
        <v>GS FSOM</v>
      </c>
      <c r="B402" s="102" t="s">
        <v>1022</v>
      </c>
      <c r="C402" s="102" t="s">
        <v>60</v>
      </c>
      <c r="D402" t="s">
        <v>369</v>
      </c>
      <c r="E402" t="s">
        <v>55</v>
      </c>
      <c r="F402" t="s">
        <v>60</v>
      </c>
      <c r="G402" t="s">
        <v>1281</v>
      </c>
      <c r="H402" t="s">
        <v>1282</v>
      </c>
      <c r="J402" t="s">
        <v>287</v>
      </c>
      <c r="K402" s="22" t="str">
        <f t="shared" si="90"/>
        <v>NO</v>
      </c>
      <c r="L402" s="22" t="str">
        <f t="shared" si="97"/>
        <v>NO</v>
      </c>
      <c r="M402" s="22" t="str">
        <f t="shared" si="97"/>
        <v>NO</v>
      </c>
      <c r="N402" s="22" t="str">
        <f t="shared" si="97"/>
        <v>NO</v>
      </c>
      <c r="O402" s="22" t="str">
        <f t="shared" si="97"/>
        <v>NO</v>
      </c>
      <c r="P402" s="22" t="str">
        <f t="shared" si="97"/>
        <v>NO</v>
      </c>
      <c r="Q402" s="22" t="str">
        <f t="shared" si="97"/>
        <v>NO</v>
      </c>
      <c r="R402" s="22" t="str">
        <f t="shared" si="97"/>
        <v>NO</v>
      </c>
      <c r="S402" s="22" t="str">
        <f t="shared" si="97"/>
        <v>NO</v>
      </c>
      <c r="T402" s="22" t="str">
        <f t="shared" si="97"/>
        <v>NO</v>
      </c>
      <c r="U402" s="22" t="str">
        <f t="shared" si="97"/>
        <v>NO</v>
      </c>
      <c r="V402" s="22" t="str">
        <f t="shared" si="97"/>
        <v>NO</v>
      </c>
      <c r="W402" s="22" t="str">
        <f t="shared" si="97"/>
        <v>NO</v>
      </c>
      <c r="X402" s="22" t="str">
        <f t="shared" si="97"/>
        <v>NO</v>
      </c>
      <c r="Y402" s="22" t="str">
        <f t="shared" si="97"/>
        <v>NO</v>
      </c>
      <c r="Z402" s="22" t="str">
        <f t="shared" si="97"/>
        <v>NO</v>
      </c>
      <c r="AA402" s="22" t="str">
        <f t="shared" si="97"/>
        <v>NO</v>
      </c>
      <c r="AB402" s="22" t="str">
        <f t="shared" si="97"/>
        <v>NO</v>
      </c>
      <c r="AC402" s="22" t="str">
        <f t="shared" si="97"/>
        <v>NO</v>
      </c>
      <c r="AD402" s="22" t="str">
        <f t="shared" si="97"/>
        <v>NO</v>
      </c>
      <c r="AE402" s="22" t="str">
        <f t="shared" si="97"/>
        <v>NO</v>
      </c>
      <c r="AF402" s="22" t="str">
        <f t="shared" si="97"/>
        <v>NO</v>
      </c>
      <c r="AG402" s="22" t="str">
        <f t="shared" si="97"/>
        <v>NO</v>
      </c>
      <c r="AH402" s="22" t="str">
        <f t="shared" si="97"/>
        <v>NO</v>
      </c>
      <c r="AI402" s="22" t="str">
        <f t="shared" si="97"/>
        <v>NO</v>
      </c>
      <c r="AJ402" s="22" t="str">
        <f t="shared" si="97"/>
        <v>NO</v>
      </c>
      <c r="AK402" s="22" t="str">
        <f t="shared" si="97"/>
        <v>NO</v>
      </c>
      <c r="AL402" s="22" t="str">
        <f t="shared" si="97"/>
        <v>NO</v>
      </c>
      <c r="AM402" s="22" t="str">
        <f t="shared" si="97"/>
        <v>NO</v>
      </c>
      <c r="AN402" s="22" t="str">
        <f t="shared" si="97"/>
        <v>NO</v>
      </c>
      <c r="AO402" s="22" t="str">
        <f t="shared" si="97"/>
        <v>NO</v>
      </c>
      <c r="AP402" s="22" t="str">
        <f t="shared" si="97"/>
        <v>NO</v>
      </c>
      <c r="AQ402" s="22" t="str">
        <f t="shared" si="97"/>
        <v>NO</v>
      </c>
      <c r="AR402" s="22" t="str">
        <f t="shared" si="97"/>
        <v>NO</v>
      </c>
      <c r="AS402" s="22" t="str">
        <f t="shared" si="97"/>
        <v>NO</v>
      </c>
      <c r="AT402" s="22" t="str">
        <f t="shared" si="97"/>
        <v>NO</v>
      </c>
      <c r="AU402" s="22" t="str">
        <f t="shared" si="97"/>
        <v>NO</v>
      </c>
      <c r="AV402" s="22" t="str">
        <f t="shared" si="97"/>
        <v>NO</v>
      </c>
      <c r="AW402" s="22" t="str">
        <f t="shared" si="97"/>
        <v>NO</v>
      </c>
      <c r="AY402" s="85"/>
    </row>
    <row r="403" spans="1:51" x14ac:dyDescent="0.25">
      <c r="A403" s="102" t="str">
        <f t="shared" si="93"/>
        <v>GS FSOM</v>
      </c>
      <c r="B403" s="102" t="s">
        <v>1022</v>
      </c>
      <c r="C403" s="102" t="s">
        <v>60</v>
      </c>
      <c r="D403" t="s">
        <v>369</v>
      </c>
      <c r="E403" t="s">
        <v>55</v>
      </c>
      <c r="F403" t="s">
        <v>60</v>
      </c>
      <c r="G403" t="s">
        <v>1283</v>
      </c>
      <c r="H403" t="s">
        <v>1284</v>
      </c>
      <c r="J403" t="s">
        <v>287</v>
      </c>
      <c r="K403" s="22">
        <f t="shared" si="90"/>
        <v>5.604018730639919E-5</v>
      </c>
      <c r="L403" s="22">
        <f t="shared" si="97"/>
        <v>5.604018730639919E-5</v>
      </c>
      <c r="M403" s="22">
        <f t="shared" si="97"/>
        <v>5.604018730639919E-5</v>
      </c>
      <c r="N403" s="22">
        <f t="shared" si="97"/>
        <v>5.604018730639919E-5</v>
      </c>
      <c r="O403" s="22">
        <f t="shared" si="97"/>
        <v>5.604018730639919E-5</v>
      </c>
      <c r="P403" s="22">
        <f t="shared" si="97"/>
        <v>5.604018730639919E-5</v>
      </c>
      <c r="Q403" s="22">
        <f t="shared" si="97"/>
        <v>5.604018730639919E-5</v>
      </c>
      <c r="R403" s="22">
        <f t="shared" si="97"/>
        <v>5.604018730639919E-5</v>
      </c>
      <c r="S403" s="22">
        <f t="shared" si="97"/>
        <v>5.604018730639919E-5</v>
      </c>
      <c r="T403" s="22">
        <f t="shared" si="97"/>
        <v>5.604018730639919E-5</v>
      </c>
      <c r="U403" s="22">
        <f t="shared" si="97"/>
        <v>5.604018730639919E-5</v>
      </c>
      <c r="V403" s="22">
        <f t="shared" si="97"/>
        <v>5.604018730639919E-5</v>
      </c>
      <c r="W403" s="22">
        <f t="shared" si="97"/>
        <v>5.604018730639919E-5</v>
      </c>
      <c r="X403" s="22">
        <f t="shared" si="97"/>
        <v>5.604018730639919E-5</v>
      </c>
      <c r="Y403" s="22">
        <f t="shared" si="97"/>
        <v>5.604018730639919E-5</v>
      </c>
      <c r="Z403" s="22">
        <f t="shared" si="97"/>
        <v>5.604018730639919E-5</v>
      </c>
      <c r="AA403" s="22">
        <f t="shared" si="97"/>
        <v>5.604018730639919E-5</v>
      </c>
      <c r="AB403" s="22">
        <f t="shared" si="97"/>
        <v>5.604018730639919E-5</v>
      </c>
      <c r="AC403" s="22">
        <f t="shared" si="97"/>
        <v>5.604018730639919E-5</v>
      </c>
      <c r="AD403" s="22">
        <f t="shared" si="97"/>
        <v>5.604018730639919E-5</v>
      </c>
      <c r="AE403" s="22">
        <f t="shared" si="97"/>
        <v>5.604018730639919E-5</v>
      </c>
      <c r="AF403" s="22">
        <f t="shared" si="97"/>
        <v>5.604018730639919E-5</v>
      </c>
      <c r="AG403" s="22">
        <f t="shared" si="97"/>
        <v>5.604018730639919E-5</v>
      </c>
      <c r="AH403" s="22">
        <f t="shared" si="97"/>
        <v>5.604018730639919E-5</v>
      </c>
      <c r="AI403" s="22">
        <f t="shared" si="97"/>
        <v>5.604018730639919E-5</v>
      </c>
      <c r="AJ403" s="22">
        <f t="shared" si="97"/>
        <v>5.604018730639919E-5</v>
      </c>
      <c r="AK403" s="22">
        <f t="shared" si="97"/>
        <v>5.604018730639919E-5</v>
      </c>
      <c r="AL403" s="22">
        <f t="shared" si="97"/>
        <v>5.604018730639919E-5</v>
      </c>
      <c r="AM403" s="22">
        <f t="shared" si="97"/>
        <v>5.604018730639919E-5</v>
      </c>
      <c r="AN403" s="22">
        <f t="shared" si="97"/>
        <v>5.604018730639919E-5</v>
      </c>
      <c r="AO403" s="22">
        <f t="shared" si="97"/>
        <v>5.604018730639919E-5</v>
      </c>
      <c r="AP403" s="22">
        <f t="shared" si="97"/>
        <v>5.604018730639919E-5</v>
      </c>
      <c r="AQ403" s="22">
        <f t="shared" si="97"/>
        <v>5.604018730639919E-5</v>
      </c>
      <c r="AR403" s="22">
        <f t="shared" si="97"/>
        <v>5.604018730639919E-5</v>
      </c>
      <c r="AS403" s="22">
        <f t="shared" si="97"/>
        <v>5.604018730639919E-5</v>
      </c>
      <c r="AT403" s="22">
        <f t="shared" si="97"/>
        <v>5.604018730639919E-5</v>
      </c>
      <c r="AU403" s="22">
        <f t="shared" si="97"/>
        <v>5.604018730639919E-5</v>
      </c>
      <c r="AV403" s="22">
        <f t="shared" si="97"/>
        <v>5.604018730639919E-5</v>
      </c>
      <c r="AW403" s="22">
        <f t="shared" si="97"/>
        <v>5.604018730639919E-5</v>
      </c>
      <c r="AY403" s="85"/>
    </row>
    <row r="404" spans="1:51" x14ac:dyDescent="0.25">
      <c r="A404" s="102" t="str">
        <f t="shared" si="93"/>
        <v>GS FSOM</v>
      </c>
      <c r="B404" s="102" t="s">
        <v>1022</v>
      </c>
      <c r="C404" s="102" t="s">
        <v>60</v>
      </c>
      <c r="D404" t="s">
        <v>369</v>
      </c>
      <c r="E404" t="s">
        <v>55</v>
      </c>
      <c r="F404" t="s">
        <v>60</v>
      </c>
      <c r="G404" t="s">
        <v>1285</v>
      </c>
      <c r="H404" t="s">
        <v>1286</v>
      </c>
      <c r="J404" t="s">
        <v>287</v>
      </c>
      <c r="K404" s="22">
        <f t="shared" si="90"/>
        <v>6.110857899094551E-2</v>
      </c>
      <c r="L404" s="22">
        <f t="shared" si="97"/>
        <v>6.110857899094551E-2</v>
      </c>
      <c r="M404" s="22">
        <f t="shared" si="97"/>
        <v>6.110857899094551E-2</v>
      </c>
      <c r="N404" s="22">
        <f t="shared" si="97"/>
        <v>6.110857899094551E-2</v>
      </c>
      <c r="O404" s="22">
        <f t="shared" si="97"/>
        <v>6.110857899094551E-2</v>
      </c>
      <c r="P404" s="22">
        <f t="shared" si="97"/>
        <v>6.110857899094551E-2</v>
      </c>
      <c r="Q404" s="22">
        <f t="shared" si="97"/>
        <v>6.110857899094551E-2</v>
      </c>
      <c r="R404" s="22">
        <f t="shared" si="97"/>
        <v>6.110857899094551E-2</v>
      </c>
      <c r="S404" s="22">
        <f t="shared" si="97"/>
        <v>6.110857899094551E-2</v>
      </c>
      <c r="T404" s="22">
        <f t="shared" si="97"/>
        <v>6.110857899094551E-2</v>
      </c>
      <c r="U404" s="22">
        <f t="shared" si="97"/>
        <v>6.110857899094551E-2</v>
      </c>
      <c r="V404" s="22">
        <f t="shared" si="97"/>
        <v>6.110857899094551E-2</v>
      </c>
      <c r="W404" s="22">
        <f t="shared" si="97"/>
        <v>6.110857899094551E-2</v>
      </c>
      <c r="X404" s="22">
        <f t="shared" si="97"/>
        <v>6.110857899094551E-2</v>
      </c>
      <c r="Y404" s="22">
        <f t="shared" si="97"/>
        <v>6.110857899094551E-2</v>
      </c>
      <c r="Z404" s="22">
        <f t="shared" si="97"/>
        <v>6.110857899094551E-2</v>
      </c>
      <c r="AA404" s="22">
        <f t="shared" si="97"/>
        <v>6.110857899094551E-2</v>
      </c>
      <c r="AB404" s="22">
        <f t="shared" si="97"/>
        <v>6.110857899094551E-2</v>
      </c>
      <c r="AC404" s="22">
        <f t="shared" si="97"/>
        <v>6.110857899094551E-2</v>
      </c>
      <c r="AD404" s="22">
        <f t="shared" si="97"/>
        <v>6.110857899094551E-2</v>
      </c>
      <c r="AE404" s="22">
        <f t="shared" si="97"/>
        <v>6.110857899094551E-2</v>
      </c>
      <c r="AF404" s="22">
        <f t="shared" si="97"/>
        <v>6.110857899094551E-2</v>
      </c>
      <c r="AG404" s="22">
        <f t="shared" si="97"/>
        <v>6.110857899094551E-2</v>
      </c>
      <c r="AH404" s="22">
        <f t="shared" si="97"/>
        <v>6.110857899094551E-2</v>
      </c>
      <c r="AI404" s="22">
        <f t="shared" si="97"/>
        <v>6.110857899094551E-2</v>
      </c>
      <c r="AJ404" s="22">
        <f t="shared" si="97"/>
        <v>6.110857899094551E-2</v>
      </c>
      <c r="AK404" s="22">
        <f t="shared" si="97"/>
        <v>6.110857899094551E-2</v>
      </c>
      <c r="AL404" s="22">
        <f t="shared" si="97"/>
        <v>6.110857899094551E-2</v>
      </c>
      <c r="AM404" s="22">
        <f t="shared" si="97"/>
        <v>6.110857899094551E-2</v>
      </c>
      <c r="AN404" s="22">
        <f t="shared" si="97"/>
        <v>6.110857899094551E-2</v>
      </c>
      <c r="AO404" s="22">
        <f t="shared" si="97"/>
        <v>6.110857899094551E-2</v>
      </c>
      <c r="AP404" s="22">
        <f t="shared" si="97"/>
        <v>6.110857899094551E-2</v>
      </c>
      <c r="AQ404" s="22">
        <f t="shared" si="97"/>
        <v>6.110857899094551E-2</v>
      </c>
      <c r="AR404" s="22">
        <f t="shared" si="97"/>
        <v>6.110857899094551E-2</v>
      </c>
      <c r="AS404" s="22">
        <f t="shared" si="97"/>
        <v>6.110857899094551E-2</v>
      </c>
      <c r="AT404" s="22">
        <f t="shared" si="97"/>
        <v>6.110857899094551E-2</v>
      </c>
      <c r="AU404" s="22">
        <f t="shared" si="97"/>
        <v>6.110857899094551E-2</v>
      </c>
      <c r="AV404" s="22">
        <f t="shared" si="97"/>
        <v>6.110857899094551E-2</v>
      </c>
      <c r="AW404" s="22">
        <f t="shared" si="97"/>
        <v>6.110857899094551E-2</v>
      </c>
      <c r="AY404" s="85"/>
    </row>
    <row r="405" spans="1:51" x14ac:dyDescent="0.25">
      <c r="A405" s="102" t="str">
        <f t="shared" si="93"/>
        <v>GS FSOM</v>
      </c>
      <c r="B405" s="102" t="s">
        <v>1022</v>
      </c>
      <c r="C405" s="102" t="s">
        <v>60</v>
      </c>
      <c r="D405" t="s">
        <v>369</v>
      </c>
      <c r="E405" t="s">
        <v>55</v>
      </c>
      <c r="F405" t="s">
        <v>60</v>
      </c>
      <c r="G405" t="s">
        <v>1287</v>
      </c>
      <c r="H405" t="s">
        <v>1288</v>
      </c>
      <c r="J405" t="s">
        <v>287</v>
      </c>
      <c r="K405" s="22" t="str">
        <f t="shared" si="90"/>
        <v>NO</v>
      </c>
      <c r="L405" s="22" t="str">
        <f t="shared" si="97"/>
        <v>NO</v>
      </c>
      <c r="M405" s="22" t="str">
        <f t="shared" si="97"/>
        <v>NO</v>
      </c>
      <c r="N405" s="22" t="str">
        <f t="shared" si="97"/>
        <v>NO</v>
      </c>
      <c r="O405" s="22" t="str">
        <f t="shared" si="97"/>
        <v>NO</v>
      </c>
      <c r="P405" s="22" t="str">
        <f t="shared" si="97"/>
        <v>NO</v>
      </c>
      <c r="Q405" s="22" t="str">
        <f t="shared" si="97"/>
        <v>NO</v>
      </c>
      <c r="R405" s="22" t="str">
        <f t="shared" si="97"/>
        <v>NO</v>
      </c>
      <c r="S405" s="22" t="str">
        <f t="shared" si="97"/>
        <v>NO</v>
      </c>
      <c r="T405" s="22" t="str">
        <f t="shared" si="97"/>
        <v>NO</v>
      </c>
      <c r="U405" s="22" t="str">
        <f t="shared" si="97"/>
        <v>NO</v>
      </c>
      <c r="V405" s="22" t="str">
        <f t="shared" si="97"/>
        <v>NO</v>
      </c>
      <c r="W405" s="22" t="str">
        <f t="shared" si="97"/>
        <v>NO</v>
      </c>
      <c r="X405" s="22" t="str">
        <f t="shared" si="97"/>
        <v>NO</v>
      </c>
      <c r="Y405" s="22" t="str">
        <f t="shared" si="97"/>
        <v>NO</v>
      </c>
      <c r="Z405" s="22" t="str">
        <f t="shared" si="97"/>
        <v>NO</v>
      </c>
      <c r="AA405" s="22" t="str">
        <f t="shared" si="97"/>
        <v>NO</v>
      </c>
      <c r="AB405" s="22" t="str">
        <f t="shared" si="97"/>
        <v>NO</v>
      </c>
      <c r="AC405" s="22" t="str">
        <f t="shared" si="97"/>
        <v>NO</v>
      </c>
      <c r="AD405" s="22" t="str">
        <f t="shared" si="97"/>
        <v>NO</v>
      </c>
      <c r="AE405" s="22" t="str">
        <f t="shared" si="97"/>
        <v>NO</v>
      </c>
      <c r="AF405" s="22" t="str">
        <f t="shared" si="97"/>
        <v>NO</v>
      </c>
      <c r="AG405" s="22" t="str">
        <f t="shared" si="97"/>
        <v>NO</v>
      </c>
      <c r="AH405" s="22" t="str">
        <f t="shared" si="97"/>
        <v>NO</v>
      </c>
      <c r="AI405" s="22" t="str">
        <f t="shared" si="97"/>
        <v>NO</v>
      </c>
      <c r="AJ405" s="22" t="str">
        <f t="shared" si="97"/>
        <v>NO</v>
      </c>
      <c r="AK405" s="22" t="str">
        <f t="shared" si="97"/>
        <v>NO</v>
      </c>
      <c r="AL405" s="22" t="str">
        <f t="shared" si="97"/>
        <v>NO</v>
      </c>
      <c r="AM405" s="22" t="str">
        <f t="shared" si="97"/>
        <v>NO</v>
      </c>
      <c r="AN405" s="22" t="str">
        <f t="shared" si="97"/>
        <v>NO</v>
      </c>
      <c r="AO405" s="22" t="str">
        <f t="shared" si="97"/>
        <v>NO</v>
      </c>
      <c r="AP405" s="22" t="str">
        <f t="shared" si="97"/>
        <v>NO</v>
      </c>
      <c r="AQ405" s="22" t="str">
        <f t="shared" si="97"/>
        <v>NO</v>
      </c>
      <c r="AR405" s="22" t="str">
        <f t="shared" si="97"/>
        <v>NO</v>
      </c>
      <c r="AS405" s="22" t="str">
        <f t="shared" si="97"/>
        <v>NO</v>
      </c>
      <c r="AT405" s="22" t="str">
        <f t="shared" si="97"/>
        <v>NO</v>
      </c>
      <c r="AU405" s="22" t="str">
        <f t="shared" si="97"/>
        <v>NO</v>
      </c>
      <c r="AV405" s="22" t="str">
        <f t="shared" si="97"/>
        <v>NO</v>
      </c>
      <c r="AW405" s="22" t="str">
        <f t="shared" si="97"/>
        <v>NO</v>
      </c>
      <c r="AY405" s="85"/>
    </row>
    <row r="406" spans="1:51" x14ac:dyDescent="0.25">
      <c r="A406" s="102" t="str">
        <f t="shared" si="93"/>
        <v>GS FSOM</v>
      </c>
      <c r="B406" s="102" t="s">
        <v>1022</v>
      </c>
      <c r="C406" s="102" t="s">
        <v>60</v>
      </c>
      <c r="D406" t="s">
        <v>369</v>
      </c>
      <c r="E406" t="s">
        <v>55</v>
      </c>
      <c r="F406" t="s">
        <v>60</v>
      </c>
      <c r="G406" t="s">
        <v>1289</v>
      </c>
      <c r="H406" t="s">
        <v>1290</v>
      </c>
      <c r="J406" t="s">
        <v>287</v>
      </c>
      <c r="K406" s="22">
        <f t="shared" si="90"/>
        <v>3.1961717215001131</v>
      </c>
      <c r="L406" s="22">
        <f t="shared" si="97"/>
        <v>3.1961717215001131</v>
      </c>
      <c r="M406" s="22">
        <f t="shared" si="97"/>
        <v>3.1961717215001131</v>
      </c>
      <c r="N406" s="22">
        <f t="shared" si="97"/>
        <v>3.1961717215001131</v>
      </c>
      <c r="O406" s="22">
        <f t="shared" si="97"/>
        <v>3.1961717215001131</v>
      </c>
      <c r="P406" s="22">
        <f t="shared" si="97"/>
        <v>3.1961717215001131</v>
      </c>
      <c r="Q406" s="22">
        <f t="shared" si="97"/>
        <v>3.1961717215001131</v>
      </c>
      <c r="R406" s="22">
        <f t="shared" si="97"/>
        <v>3.1961717215001131</v>
      </c>
      <c r="S406" s="22">
        <f t="shared" si="97"/>
        <v>3.1961717215001131</v>
      </c>
      <c r="T406" s="22">
        <f t="shared" si="97"/>
        <v>3.1961717215001131</v>
      </c>
      <c r="U406" s="22">
        <f t="shared" si="97"/>
        <v>3.1961717215001131</v>
      </c>
      <c r="V406" s="22">
        <f t="shared" si="97"/>
        <v>3.1961717215001131</v>
      </c>
      <c r="W406" s="22">
        <f t="shared" si="97"/>
        <v>3.1961717215001131</v>
      </c>
      <c r="X406" s="22">
        <f t="shared" si="97"/>
        <v>3.1961717215001131</v>
      </c>
      <c r="Y406" s="22">
        <f t="shared" si="97"/>
        <v>3.1961717215001131</v>
      </c>
      <c r="Z406" s="22">
        <f t="shared" si="97"/>
        <v>3.1961717215001131</v>
      </c>
      <c r="AA406" s="22">
        <f t="shared" si="97"/>
        <v>3.1961717215001131</v>
      </c>
      <c r="AB406" s="22">
        <f t="shared" si="97"/>
        <v>3.1961717215001131</v>
      </c>
      <c r="AC406" s="22">
        <f t="shared" si="97"/>
        <v>3.1961717215001131</v>
      </c>
      <c r="AD406" s="22">
        <f t="shared" si="97"/>
        <v>3.1961717215001131</v>
      </c>
      <c r="AE406" s="22">
        <f t="shared" si="97"/>
        <v>3.1961717215001131</v>
      </c>
      <c r="AF406" s="22">
        <f t="shared" si="97"/>
        <v>3.1961717215001131</v>
      </c>
      <c r="AG406" s="22">
        <f t="shared" si="97"/>
        <v>3.1961717215001131</v>
      </c>
      <c r="AH406" s="22">
        <f t="shared" si="97"/>
        <v>3.1961717215001131</v>
      </c>
      <c r="AI406" s="22">
        <f t="shared" si="97"/>
        <v>3.1961717215001131</v>
      </c>
      <c r="AJ406" s="22">
        <f t="shared" si="97"/>
        <v>3.1961717215001131</v>
      </c>
      <c r="AK406" s="22">
        <f t="shared" si="97"/>
        <v>3.1961717215001131</v>
      </c>
      <c r="AL406" s="22">
        <f t="shared" si="97"/>
        <v>3.1961717215001131</v>
      </c>
      <c r="AM406" s="22">
        <f t="shared" si="97"/>
        <v>3.1961717215001131</v>
      </c>
      <c r="AN406" s="22">
        <f t="shared" si="97"/>
        <v>3.1961717215001131</v>
      </c>
      <c r="AO406" s="22">
        <f t="shared" si="97"/>
        <v>3.1961717215001131</v>
      </c>
      <c r="AP406" s="22">
        <f t="shared" si="97"/>
        <v>3.1961717215001131</v>
      </c>
      <c r="AQ406" s="22">
        <f t="shared" si="97"/>
        <v>3.1961717215001131</v>
      </c>
      <c r="AR406" s="22">
        <f t="shared" si="97"/>
        <v>3.1961717215001131</v>
      </c>
      <c r="AS406" s="22">
        <f t="shared" si="97"/>
        <v>3.1961717215001131</v>
      </c>
      <c r="AT406" s="22">
        <f t="shared" si="97"/>
        <v>3.1961717215001131</v>
      </c>
      <c r="AU406" s="22">
        <f t="shared" si="97"/>
        <v>3.1961717215001131</v>
      </c>
      <c r="AV406" s="22">
        <f t="shared" si="97"/>
        <v>3.1961717215001131</v>
      </c>
      <c r="AW406" s="22">
        <f t="shared" si="97"/>
        <v>3.1961717215001131</v>
      </c>
      <c r="AY406" s="85"/>
    </row>
    <row r="407" spans="1:51" x14ac:dyDescent="0.25">
      <c r="A407" s="102" t="str">
        <f t="shared" si="93"/>
        <v>GS Volatilisation</v>
      </c>
      <c r="B407" s="102" t="s">
        <v>1022</v>
      </c>
      <c r="C407" s="102" t="s">
        <v>62</v>
      </c>
      <c r="D407" t="s">
        <v>369</v>
      </c>
      <c r="E407" t="s">
        <v>61</v>
      </c>
      <c r="F407" t="s">
        <v>62</v>
      </c>
      <c r="G407" t="s">
        <v>435</v>
      </c>
      <c r="H407" t="s">
        <v>1185</v>
      </c>
      <c r="I407" t="s">
        <v>139</v>
      </c>
      <c r="J407" t="s">
        <v>287</v>
      </c>
      <c r="K407" s="22">
        <f t="shared" si="90"/>
        <v>0.66064812063358536</v>
      </c>
      <c r="L407" s="22">
        <f t="shared" si="97"/>
        <v>0.66055332632324659</v>
      </c>
      <c r="M407" s="22">
        <f t="shared" si="97"/>
        <v>0.66042378924026446</v>
      </c>
      <c r="N407" s="22">
        <f t="shared" si="97"/>
        <v>0.66032976249569819</v>
      </c>
      <c r="O407" s="22">
        <f t="shared" si="97"/>
        <v>0.66028397217143464</v>
      </c>
      <c r="P407" s="22">
        <f t="shared" si="97"/>
        <v>0.66023877667619957</v>
      </c>
      <c r="Q407" s="22">
        <f t="shared" si="97"/>
        <v>0.66017040685586048</v>
      </c>
      <c r="R407" s="22">
        <f t="shared" si="97"/>
        <v>0.66009555191940106</v>
      </c>
      <c r="S407" s="22">
        <f t="shared" si="97"/>
        <v>0.66007105452260206</v>
      </c>
      <c r="T407" s="22">
        <f t="shared" si="97"/>
        <v>0.6605210320148045</v>
      </c>
      <c r="U407" s="22">
        <f t="shared" si="97"/>
        <v>0.66038066881148649</v>
      </c>
      <c r="V407" s="22">
        <f t="shared" si="97"/>
        <v>0.660254471504373</v>
      </c>
      <c r="W407" s="22">
        <f t="shared" si="97"/>
        <v>0.66012944407562835</v>
      </c>
      <c r="X407" s="22">
        <f t="shared" si="97"/>
        <v>0.65998592560706049</v>
      </c>
      <c r="Y407" s="22">
        <f t="shared" si="97"/>
        <v>0.65984396481179586</v>
      </c>
      <c r="Z407" s="22">
        <f t="shared" ref="L407:AW414" si="98">Z1510</f>
        <v>0.65970003432051683</v>
      </c>
      <c r="AA407" s="22">
        <f t="shared" si="98"/>
        <v>0.65956223028685135</v>
      </c>
      <c r="AB407" s="22">
        <f t="shared" si="98"/>
        <v>0.65941853622185975</v>
      </c>
      <c r="AC407" s="22">
        <f t="shared" si="98"/>
        <v>0.65928505403904103</v>
      </c>
      <c r="AD407" s="22">
        <f t="shared" si="98"/>
        <v>0.65915038110737934</v>
      </c>
      <c r="AE407" s="22">
        <f t="shared" si="98"/>
        <v>0.65899366744546872</v>
      </c>
      <c r="AF407" s="22">
        <f t="shared" si="98"/>
        <v>0.65882822576482969</v>
      </c>
      <c r="AG407" s="22">
        <f t="shared" si="98"/>
        <v>0.65866069718802811</v>
      </c>
      <c r="AH407" s="22">
        <f t="shared" si="98"/>
        <v>0.65862744996812317</v>
      </c>
      <c r="AI407" s="22">
        <f t="shared" si="98"/>
        <v>0.67244352177988753</v>
      </c>
      <c r="AJ407" s="22">
        <f t="shared" si="98"/>
        <v>0.67246796459520652</v>
      </c>
      <c r="AK407" s="22">
        <f t="shared" si="98"/>
        <v>0.67249266471091262</v>
      </c>
      <c r="AL407" s="22">
        <f t="shared" si="98"/>
        <v>0.6725176256716463</v>
      </c>
      <c r="AM407" s="22">
        <f t="shared" si="98"/>
        <v>0.67254285108872014</v>
      </c>
      <c r="AN407" s="22">
        <f t="shared" si="98"/>
        <v>0.67256834464178161</v>
      </c>
      <c r="AO407" s="22">
        <f t="shared" si="98"/>
        <v>0.67259019731905478</v>
      </c>
      <c r="AP407" s="22">
        <f t="shared" si="98"/>
        <v>0.67261224822219834</v>
      </c>
      <c r="AQ407" s="22">
        <f t="shared" si="98"/>
        <v>0.67263449972304945</v>
      </c>
      <c r="AR407" s="22">
        <f t="shared" si="98"/>
        <v>0.67265695423235672</v>
      </c>
      <c r="AS407" s="22">
        <f t="shared" si="98"/>
        <v>0.67267961420062661</v>
      </c>
      <c r="AT407" s="22">
        <f t="shared" si="98"/>
        <v>0.67269840467448694</v>
      </c>
      <c r="AU407" s="22">
        <f t="shared" si="98"/>
        <v>0.67271733718738858</v>
      </c>
      <c r="AV407" s="22">
        <f t="shared" si="98"/>
        <v>0.67273641316511901</v>
      </c>
      <c r="AW407" s="22">
        <f t="shared" si="98"/>
        <v>0.67275563405315475</v>
      </c>
      <c r="AY407" s="85"/>
    </row>
    <row r="408" spans="1:51" x14ac:dyDescent="0.25">
      <c r="A408" s="102" t="str">
        <f t="shared" si="93"/>
        <v>GS Volatilisation</v>
      </c>
      <c r="B408" s="102" t="s">
        <v>1022</v>
      </c>
      <c r="C408" s="102" t="s">
        <v>62</v>
      </c>
      <c r="D408" t="s">
        <v>369</v>
      </c>
      <c r="E408" t="s">
        <v>61</v>
      </c>
      <c r="F408" t="s">
        <v>62</v>
      </c>
      <c r="G408" t="s">
        <v>436</v>
      </c>
      <c r="H408" t="s">
        <v>1186</v>
      </c>
      <c r="I408" t="s">
        <v>139</v>
      </c>
      <c r="J408" t="s">
        <v>287</v>
      </c>
      <c r="K408" s="22">
        <f t="shared" si="90"/>
        <v>8.720555192363328E-3</v>
      </c>
      <c r="L408" s="22">
        <f t="shared" si="98"/>
        <v>8.7193039074668528E-3</v>
      </c>
      <c r="M408" s="22">
        <f t="shared" si="98"/>
        <v>8.7175940179714945E-3</v>
      </c>
      <c r="N408" s="22">
        <f t="shared" si="98"/>
        <v>8.7163528649432196E-3</v>
      </c>
      <c r="O408" s="22">
        <f t="shared" si="98"/>
        <v>8.7157484326629356E-3</v>
      </c>
      <c r="P408" s="22">
        <f t="shared" si="98"/>
        <v>8.715151852125836E-3</v>
      </c>
      <c r="Q408" s="22">
        <f t="shared" si="98"/>
        <v>8.7142493704973605E-3</v>
      </c>
      <c r="R408" s="22">
        <f t="shared" si="98"/>
        <v>8.713261285336095E-3</v>
      </c>
      <c r="S408" s="22">
        <f t="shared" si="98"/>
        <v>8.7129379196983492E-3</v>
      </c>
      <c r="T408" s="22">
        <f t="shared" si="98"/>
        <v>8.7188776225954213E-3</v>
      </c>
      <c r="U408" s="22">
        <f t="shared" si="98"/>
        <v>8.7170248283116227E-3</v>
      </c>
      <c r="V408" s="22">
        <f t="shared" si="98"/>
        <v>8.7153590238577237E-3</v>
      </c>
      <c r="W408" s="22">
        <f t="shared" si="98"/>
        <v>8.7137086617982938E-3</v>
      </c>
      <c r="X408" s="22">
        <f t="shared" si="98"/>
        <v>8.7118142180131995E-3</v>
      </c>
      <c r="Y408" s="22">
        <f t="shared" si="98"/>
        <v>8.7099403355157048E-3</v>
      </c>
      <c r="Z408" s="22">
        <f t="shared" si="98"/>
        <v>8.7080404530308231E-3</v>
      </c>
      <c r="AA408" s="22">
        <f t="shared" si="98"/>
        <v>8.7062214397864383E-3</v>
      </c>
      <c r="AB408" s="22">
        <f t="shared" si="98"/>
        <v>8.704324678128551E-3</v>
      </c>
      <c r="AC408" s="22">
        <f t="shared" si="98"/>
        <v>8.7025627133153448E-3</v>
      </c>
      <c r="AD408" s="22">
        <f t="shared" si="98"/>
        <v>8.7007850306174105E-3</v>
      </c>
      <c r="AE408" s="22">
        <f t="shared" si="98"/>
        <v>8.698716410280187E-3</v>
      </c>
      <c r="AF408" s="22">
        <f t="shared" si="98"/>
        <v>8.6965325800957543E-3</v>
      </c>
      <c r="AG408" s="22">
        <f t="shared" si="98"/>
        <v>8.694321202881973E-3</v>
      </c>
      <c r="AH408" s="22">
        <f t="shared" si="98"/>
        <v>8.6938823395792293E-3</v>
      </c>
      <c r="AI408" s="22">
        <f t="shared" si="98"/>
        <v>8.8762544874945153E-3</v>
      </c>
      <c r="AJ408" s="22">
        <f t="shared" si="98"/>
        <v>8.876577132656726E-3</v>
      </c>
      <c r="AK408" s="22">
        <f t="shared" si="98"/>
        <v>8.8769031741840459E-3</v>
      </c>
      <c r="AL408" s="22">
        <f t="shared" si="98"/>
        <v>8.8772326588657333E-3</v>
      </c>
      <c r="AM408" s="22">
        <f t="shared" si="98"/>
        <v>8.8775656343711064E-3</v>
      </c>
      <c r="AN408" s="22">
        <f t="shared" si="98"/>
        <v>8.877902149271517E-3</v>
      </c>
      <c r="AO408" s="22">
        <f t="shared" si="98"/>
        <v>8.8781906046115251E-3</v>
      </c>
      <c r="AP408" s="22">
        <f t="shared" si="98"/>
        <v>8.8784816765330177E-3</v>
      </c>
      <c r="AQ408" s="22">
        <f t="shared" si="98"/>
        <v>8.8787753963442528E-3</v>
      </c>
      <c r="AR408" s="22">
        <f t="shared" si="98"/>
        <v>8.8790717958671054E-3</v>
      </c>
      <c r="AS408" s="22">
        <f t="shared" si="98"/>
        <v>8.8793709074482721E-3</v>
      </c>
      <c r="AT408" s="22">
        <f t="shared" si="98"/>
        <v>8.8796189417032281E-3</v>
      </c>
      <c r="AU408" s="22">
        <f t="shared" si="98"/>
        <v>8.8798688508735287E-3</v>
      </c>
      <c r="AV408" s="22">
        <f t="shared" si="98"/>
        <v>8.8801206537795687E-3</v>
      </c>
      <c r="AW408" s="22">
        <f t="shared" si="98"/>
        <v>8.8803743695016445E-3</v>
      </c>
      <c r="AY408" s="85"/>
    </row>
    <row r="409" spans="1:51" x14ac:dyDescent="0.25">
      <c r="A409" s="102" t="str">
        <f t="shared" si="93"/>
        <v>GS Volatilisation</v>
      </c>
      <c r="B409" s="102" t="s">
        <v>1022</v>
      </c>
      <c r="C409" s="102" t="s">
        <v>62</v>
      </c>
      <c r="D409" t="s">
        <v>369</v>
      </c>
      <c r="E409" t="s">
        <v>61</v>
      </c>
      <c r="F409" t="s">
        <v>62</v>
      </c>
      <c r="G409" t="s">
        <v>437</v>
      </c>
      <c r="H409" t="s">
        <v>1187</v>
      </c>
      <c r="I409" t="s">
        <v>139</v>
      </c>
      <c r="J409" t="s">
        <v>287</v>
      </c>
      <c r="K409" s="22">
        <f t="shared" si="90"/>
        <v>1.2093332917192059</v>
      </c>
      <c r="L409" s="22">
        <f t="shared" si="98"/>
        <v>1.212549014194676</v>
      </c>
      <c r="M409" s="22">
        <f t="shared" si="98"/>
        <v>1.2080675975352919</v>
      </c>
      <c r="N409" s="22">
        <f t="shared" si="98"/>
        <v>1.1932021188168924</v>
      </c>
      <c r="O409" s="22">
        <f t="shared" si="98"/>
        <v>1.1789615688677482</v>
      </c>
      <c r="P409" s="22">
        <f t="shared" si="98"/>
        <v>1.1704734210058418</v>
      </c>
      <c r="Q409" s="22">
        <f t="shared" si="98"/>
        <v>1.1638691365373428</v>
      </c>
      <c r="R409" s="22">
        <f t="shared" si="98"/>
        <v>1.1469007270703131</v>
      </c>
      <c r="S409" s="22">
        <f t="shared" si="98"/>
        <v>1.0343013809056243</v>
      </c>
      <c r="T409" s="22">
        <f t="shared" si="98"/>
        <v>1.0481909256150905</v>
      </c>
      <c r="U409" s="22">
        <f t="shared" si="98"/>
        <v>1.0595148748541463</v>
      </c>
      <c r="V409" s="22">
        <f t="shared" si="98"/>
        <v>1.0708200492308082</v>
      </c>
      <c r="W409" s="22">
        <f t="shared" si="98"/>
        <v>1.0860105374840394</v>
      </c>
      <c r="X409" s="22">
        <f t="shared" si="98"/>
        <v>1.1011136627598048</v>
      </c>
      <c r="Y409" s="22">
        <f t="shared" si="98"/>
        <v>1.1168753754822469</v>
      </c>
      <c r="Z409" s="22">
        <f t="shared" si="98"/>
        <v>1.1316116174141071</v>
      </c>
      <c r="AA409" s="22">
        <f t="shared" si="98"/>
        <v>1.1477472664244306</v>
      </c>
      <c r="AB409" s="22">
        <f t="shared" si="98"/>
        <v>1.162000977077071</v>
      </c>
      <c r="AC409" s="22">
        <f t="shared" si="98"/>
        <v>1.1766850766989885</v>
      </c>
      <c r="AD409" s="22">
        <f t="shared" si="98"/>
        <v>1.1920390141813535</v>
      </c>
      <c r="AE409" s="22">
        <f t="shared" si="98"/>
        <v>1.209291621864601</v>
      </c>
      <c r="AF409" s="22">
        <f t="shared" si="98"/>
        <v>1.2270828646029268</v>
      </c>
      <c r="AG409" s="22">
        <f t="shared" si="98"/>
        <v>1.2169487802084893</v>
      </c>
      <c r="AH409" s="22">
        <f t="shared" si="98"/>
        <v>-0.11188522139136049</v>
      </c>
      <c r="AI409" s="22">
        <f t="shared" si="98"/>
        <v>-0.10923992354699982</v>
      </c>
      <c r="AJ409" s="22">
        <f t="shared" si="98"/>
        <v>-0.10664295801578709</v>
      </c>
      <c r="AK409" s="22">
        <f t="shared" si="98"/>
        <v>-0.10409179637304686</v>
      </c>
      <c r="AL409" s="22">
        <f t="shared" si="98"/>
        <v>-0.10158408786075553</v>
      </c>
      <c r="AM409" s="22">
        <f t="shared" si="98"/>
        <v>-9.911764281122247E-2</v>
      </c>
      <c r="AN409" s="22">
        <f t="shared" si="98"/>
        <v>-9.7051147987208763E-2</v>
      </c>
      <c r="AO409" s="22">
        <f t="shared" si="98"/>
        <v>-9.5020146872529937E-2</v>
      </c>
      <c r="AP409" s="22">
        <f t="shared" si="98"/>
        <v>-9.3023012126499452E-2</v>
      </c>
      <c r="AQ409" s="22">
        <f t="shared" si="98"/>
        <v>-9.1058219239636279E-2</v>
      </c>
      <c r="AR409" s="22">
        <f t="shared" si="98"/>
        <v>-8.9124337939456066E-2</v>
      </c>
      <c r="AS409" s="22">
        <f t="shared" si="98"/>
        <v>-8.7091918156742387E-2</v>
      </c>
      <c r="AT409" s="22">
        <f t="shared" si="98"/>
        <v>-8.5090852576232723E-2</v>
      </c>
      <c r="AU409" s="22">
        <f t="shared" si="98"/>
        <v>-8.3119887513720792E-2</v>
      </c>
      <c r="AV409" s="22">
        <f t="shared" si="98"/>
        <v>-8.1177840815191041E-2</v>
      </c>
      <c r="AW409" s="22">
        <f t="shared" si="98"/>
        <v>-7.9263596467564895E-2</v>
      </c>
      <c r="AY409" s="85"/>
    </row>
    <row r="410" spans="1:51" x14ac:dyDescent="0.25">
      <c r="A410" s="102" t="str">
        <f t="shared" si="93"/>
        <v>GS Volatilisation</v>
      </c>
      <c r="B410" s="102" t="s">
        <v>1022</v>
      </c>
      <c r="C410" s="102" t="s">
        <v>62</v>
      </c>
      <c r="D410" t="s">
        <v>369</v>
      </c>
      <c r="E410" t="s">
        <v>61</v>
      </c>
      <c r="F410" t="s">
        <v>62</v>
      </c>
      <c r="G410" t="s">
        <v>438</v>
      </c>
      <c r="H410" t="s">
        <v>1266</v>
      </c>
      <c r="I410" t="s">
        <v>139</v>
      </c>
      <c r="J410" t="s">
        <v>287</v>
      </c>
      <c r="K410" s="22">
        <f t="shared" si="90"/>
        <v>4.4200208339270741</v>
      </c>
      <c r="L410" s="22">
        <f t="shared" si="98"/>
        <v>4.4063497224338981</v>
      </c>
      <c r="M410" s="22">
        <f t="shared" si="98"/>
        <v>4.3748236308422763</v>
      </c>
      <c r="N410" s="22">
        <f t="shared" si="98"/>
        <v>4.3194633293945399</v>
      </c>
      <c r="O410" s="22">
        <f t="shared" si="98"/>
        <v>4.2670975633063994</v>
      </c>
      <c r="P410" s="22">
        <f t="shared" si="98"/>
        <v>4.2296870830077653</v>
      </c>
      <c r="Q410" s="22">
        <f t="shared" si="98"/>
        <v>4.1973003663588617</v>
      </c>
      <c r="R410" s="22">
        <f t="shared" si="98"/>
        <v>4.1416337219460111</v>
      </c>
      <c r="S410" s="22">
        <f t="shared" si="98"/>
        <v>3.8694283391195556</v>
      </c>
      <c r="T410" s="22">
        <f t="shared" si="98"/>
        <v>3.892690707807458</v>
      </c>
      <c r="U410" s="22">
        <f t="shared" si="98"/>
        <v>3.910223559811274</v>
      </c>
      <c r="V410" s="22">
        <f t="shared" si="98"/>
        <v>3.9277946028277135</v>
      </c>
      <c r="W410" s="22">
        <f t="shared" si="98"/>
        <v>3.9540546968376762</v>
      </c>
      <c r="X410" s="22">
        <f t="shared" si="98"/>
        <v>3.9800525826427466</v>
      </c>
      <c r="Y410" s="22">
        <f t="shared" si="98"/>
        <v>4.0052503163811615</v>
      </c>
      <c r="Z410" s="22">
        <f t="shared" si="98"/>
        <v>4.0280715770679869</v>
      </c>
      <c r="AA410" s="22">
        <f t="shared" si="98"/>
        <v>4.0537990986432781</v>
      </c>
      <c r="AB410" s="22">
        <f t="shared" si="98"/>
        <v>4.0752877726899488</v>
      </c>
      <c r="AC410" s="22">
        <f t="shared" si="98"/>
        <v>4.0975518352324007</v>
      </c>
      <c r="AD410" s="22">
        <f t="shared" si="98"/>
        <v>4.1101837888002137</v>
      </c>
      <c r="AE410" s="22">
        <f t="shared" si="98"/>
        <v>4.1260897941446899</v>
      </c>
      <c r="AF410" s="22">
        <f t="shared" si="98"/>
        <v>4.1422931340887423</v>
      </c>
      <c r="AG410" s="22">
        <f t="shared" si="98"/>
        <v>4.1002928018965292</v>
      </c>
      <c r="AH410" s="22">
        <f t="shared" si="98"/>
        <v>1.3815874291099948</v>
      </c>
      <c r="AI410" s="22">
        <f t="shared" si="98"/>
        <v>1.3949306414379468</v>
      </c>
      <c r="AJ410" s="22">
        <f t="shared" si="98"/>
        <v>1.4082841741429419</v>
      </c>
      <c r="AK410" s="22">
        <f t="shared" si="98"/>
        <v>1.4216501520712144</v>
      </c>
      <c r="AL410" s="22">
        <f t="shared" si="98"/>
        <v>1.4350306139589808</v>
      </c>
      <c r="AM410" s="22">
        <f t="shared" si="98"/>
        <v>1.4484275190090183</v>
      </c>
      <c r="AN410" s="22">
        <f t="shared" si="98"/>
        <v>1.4583849717914823</v>
      </c>
      <c r="AO410" s="22">
        <f t="shared" si="98"/>
        <v>1.4683627043177812</v>
      </c>
      <c r="AP410" s="22">
        <f t="shared" si="98"/>
        <v>1.4783612830909323</v>
      </c>
      <c r="AQ410" s="22">
        <f t="shared" si="98"/>
        <v>1.4883812733334345</v>
      </c>
      <c r="AR410" s="22">
        <f t="shared" si="98"/>
        <v>1.4984232382688703</v>
      </c>
      <c r="AS410" s="22">
        <f t="shared" si="98"/>
        <v>1.5071704030997894</v>
      </c>
      <c r="AT410" s="22">
        <f t="shared" si="98"/>
        <v>1.5159247272983905</v>
      </c>
      <c r="AU410" s="22">
        <f t="shared" si="98"/>
        <v>1.5246866021590828</v>
      </c>
      <c r="AV410" s="22">
        <f t="shared" si="98"/>
        <v>1.5334564173590695</v>
      </c>
      <c r="AW410" s="22">
        <f t="shared" si="98"/>
        <v>1.5422345604898144</v>
      </c>
      <c r="AY410" s="85"/>
    </row>
    <row r="411" spans="1:51" x14ac:dyDescent="0.25">
      <c r="A411" s="102" t="str">
        <f t="shared" si="93"/>
        <v>GS Leaching</v>
      </c>
      <c r="B411" s="102" t="s">
        <v>1022</v>
      </c>
      <c r="C411" s="102" t="s">
        <v>1191</v>
      </c>
      <c r="D411" t="s">
        <v>369</v>
      </c>
      <c r="E411" t="s">
        <v>61</v>
      </c>
      <c r="F411" t="s">
        <v>63</v>
      </c>
      <c r="G411" t="s">
        <v>435</v>
      </c>
      <c r="H411" t="s">
        <v>1188</v>
      </c>
      <c r="I411" t="s">
        <v>139</v>
      </c>
      <c r="J411" t="s">
        <v>287</v>
      </c>
      <c r="K411" s="22">
        <f t="shared" si="90"/>
        <v>2.2792360161858692E-4</v>
      </c>
      <c r="L411" s="22">
        <f t="shared" si="98"/>
        <v>2.2789089758152E-4</v>
      </c>
      <c r="M411" s="22">
        <f t="shared" si="98"/>
        <v>2.2784620728789122E-4</v>
      </c>
      <c r="N411" s="22">
        <f t="shared" si="98"/>
        <v>2.2781376806101585E-4</v>
      </c>
      <c r="O411" s="22">
        <f t="shared" si="98"/>
        <v>2.277979703991449E-4</v>
      </c>
      <c r="P411" s="22">
        <f t="shared" si="98"/>
        <v>2.2778237795328883E-4</v>
      </c>
      <c r="Q411" s="22">
        <f t="shared" si="98"/>
        <v>2.2775879036527182E-4</v>
      </c>
      <c r="R411" s="22">
        <f t="shared" si="98"/>
        <v>2.2773296541219322E-4</v>
      </c>
      <c r="S411" s="22">
        <f t="shared" si="98"/>
        <v>2.2772451381029767E-4</v>
      </c>
      <c r="T411" s="22">
        <f t="shared" si="98"/>
        <v>2.2787975604510752E-4</v>
      </c>
      <c r="U411" s="22">
        <f t="shared" si="98"/>
        <v>2.2783133073996282E-4</v>
      </c>
      <c r="V411" s="22">
        <f t="shared" si="98"/>
        <v>2.2778779266900863E-4</v>
      </c>
      <c r="W411" s="22">
        <f t="shared" si="98"/>
        <v>2.2774465820609167E-4</v>
      </c>
      <c r="X411" s="22">
        <f t="shared" si="98"/>
        <v>2.2769514433443585E-4</v>
      </c>
      <c r="Y411" s="22">
        <f t="shared" si="98"/>
        <v>2.2764616786006951E-4</v>
      </c>
      <c r="Z411" s="22">
        <f t="shared" si="98"/>
        <v>2.2759651184057824E-4</v>
      </c>
      <c r="AA411" s="22">
        <f t="shared" si="98"/>
        <v>2.2754896944896373E-4</v>
      </c>
      <c r="AB411" s="22">
        <f t="shared" si="98"/>
        <v>2.2749939499654159E-4</v>
      </c>
      <c r="AC411" s="22">
        <f t="shared" si="98"/>
        <v>2.2745334364346914E-4</v>
      </c>
      <c r="AD411" s="22">
        <f t="shared" si="98"/>
        <v>2.2740688148204587E-4</v>
      </c>
      <c r="AE411" s="22">
        <f t="shared" si="98"/>
        <v>2.2735281526868665E-4</v>
      </c>
      <c r="AF411" s="22">
        <f t="shared" si="98"/>
        <v>2.2729573788886622E-4</v>
      </c>
      <c r="AG411" s="22">
        <f t="shared" si="98"/>
        <v>2.2723794052986968E-4</v>
      </c>
      <c r="AH411" s="22">
        <f t="shared" si="98"/>
        <v>2.2722647023900249E-4</v>
      </c>
      <c r="AI411" s="22">
        <f t="shared" si="98"/>
        <v>2.3199301501406117E-4</v>
      </c>
      <c r="AJ411" s="22">
        <f t="shared" si="98"/>
        <v>2.3200144778534623E-4</v>
      </c>
      <c r="AK411" s="22">
        <f t="shared" si="98"/>
        <v>2.3200996932526481E-4</v>
      </c>
      <c r="AL411" s="22">
        <f t="shared" si="98"/>
        <v>2.3201858085671791E-4</v>
      </c>
      <c r="AM411" s="22">
        <f t="shared" si="98"/>
        <v>2.3202728362560843E-4</v>
      </c>
      <c r="AN411" s="22">
        <f t="shared" si="98"/>
        <v>2.3203607890141459E-4</v>
      </c>
      <c r="AO411" s="22">
        <f t="shared" si="98"/>
        <v>2.3204361807507387E-4</v>
      </c>
      <c r="AP411" s="22">
        <f t="shared" si="98"/>
        <v>2.3205122563665836E-4</v>
      </c>
      <c r="AQ411" s="22">
        <f t="shared" si="98"/>
        <v>2.3205890240445205E-4</v>
      </c>
      <c r="AR411" s="22">
        <f t="shared" si="98"/>
        <v>2.3206664921016296E-4</v>
      </c>
      <c r="AS411" s="22">
        <f t="shared" si="98"/>
        <v>2.3207446689921618E-4</v>
      </c>
      <c r="AT411" s="22">
        <f t="shared" si="98"/>
        <v>2.3208094961269798E-4</v>
      </c>
      <c r="AU411" s="22">
        <f t="shared" si="98"/>
        <v>2.3208748132964898E-4</v>
      </c>
      <c r="AV411" s="22">
        <f t="shared" si="98"/>
        <v>2.3209406254196601E-4</v>
      </c>
      <c r="AW411" s="22">
        <f t="shared" si="98"/>
        <v>2.3210069374833838E-4</v>
      </c>
      <c r="AY411" s="85"/>
    </row>
    <row r="412" spans="1:51" x14ac:dyDescent="0.25">
      <c r="A412" s="102" t="str">
        <f t="shared" si="93"/>
        <v>GS Leaching</v>
      </c>
      <c r="B412" s="102" t="s">
        <v>1022</v>
      </c>
      <c r="C412" s="102" t="s">
        <v>1191</v>
      </c>
      <c r="D412" t="s">
        <v>369</v>
      </c>
      <c r="E412" t="s">
        <v>61</v>
      </c>
      <c r="F412" t="s">
        <v>63</v>
      </c>
      <c r="G412" t="s">
        <v>436</v>
      </c>
      <c r="H412" t="s">
        <v>1189</v>
      </c>
      <c r="I412" t="s">
        <v>139</v>
      </c>
      <c r="J412" t="s">
        <v>287</v>
      </c>
      <c r="K412" s="22">
        <f t="shared" si="90"/>
        <v>1.5042957706826741E-6</v>
      </c>
      <c r="L412" s="22">
        <f t="shared" si="98"/>
        <v>1.5040799240380321E-6</v>
      </c>
      <c r="M412" s="22">
        <f t="shared" si="98"/>
        <v>1.5037849681000825E-6</v>
      </c>
      <c r="N412" s="22">
        <f t="shared" si="98"/>
        <v>1.5035708692027049E-6</v>
      </c>
      <c r="O412" s="22">
        <f t="shared" si="98"/>
        <v>1.5034666046343562E-6</v>
      </c>
      <c r="P412" s="22">
        <f t="shared" si="98"/>
        <v>1.5033636944917065E-6</v>
      </c>
      <c r="Q412" s="22">
        <f t="shared" si="98"/>
        <v>1.5032080164107946E-6</v>
      </c>
      <c r="R412" s="22">
        <f t="shared" si="98"/>
        <v>1.5030375717204757E-6</v>
      </c>
      <c r="S412" s="22">
        <f t="shared" si="98"/>
        <v>1.5029817911479652E-6</v>
      </c>
      <c r="T412" s="22">
        <f t="shared" si="98"/>
        <v>1.5040063898977102E-6</v>
      </c>
      <c r="U412" s="22">
        <f t="shared" si="98"/>
        <v>1.503686782883755E-6</v>
      </c>
      <c r="V412" s="22">
        <f t="shared" si="98"/>
        <v>1.5033994316154569E-6</v>
      </c>
      <c r="W412" s="22">
        <f t="shared" si="98"/>
        <v>1.5031147441602057E-6</v>
      </c>
      <c r="X412" s="22">
        <f t="shared" si="98"/>
        <v>1.5027879526072768E-6</v>
      </c>
      <c r="Y412" s="22">
        <f t="shared" si="98"/>
        <v>1.5024647078764589E-6</v>
      </c>
      <c r="Z412" s="22">
        <f t="shared" si="98"/>
        <v>1.5021369781478169E-6</v>
      </c>
      <c r="AA412" s="22">
        <f t="shared" si="98"/>
        <v>1.5018231983631605E-6</v>
      </c>
      <c r="AB412" s="22">
        <f t="shared" si="98"/>
        <v>1.5014960069771748E-6</v>
      </c>
      <c r="AC412" s="22">
        <f t="shared" si="98"/>
        <v>1.5011920680468966E-6</v>
      </c>
      <c r="AD412" s="22">
        <f t="shared" si="98"/>
        <v>1.5008854177815029E-6</v>
      </c>
      <c r="AE412" s="22">
        <f t="shared" si="98"/>
        <v>1.5005285807733322E-6</v>
      </c>
      <c r="AF412" s="22">
        <f t="shared" si="98"/>
        <v>1.5001518700665174E-6</v>
      </c>
      <c r="AG412" s="22">
        <f t="shared" si="98"/>
        <v>1.4997704074971401E-6</v>
      </c>
      <c r="AH412" s="22">
        <f t="shared" si="98"/>
        <v>1.4996947035774166E-6</v>
      </c>
      <c r="AI412" s="22">
        <f t="shared" si="98"/>
        <v>1.5311538990928041E-6</v>
      </c>
      <c r="AJ412" s="22">
        <f t="shared" si="98"/>
        <v>1.531209555383285E-6</v>
      </c>
      <c r="AK412" s="22">
        <f t="shared" si="98"/>
        <v>1.5312657975467479E-6</v>
      </c>
      <c r="AL412" s="22">
        <f t="shared" si="98"/>
        <v>1.5313226336543386E-6</v>
      </c>
      <c r="AM412" s="22">
        <f t="shared" si="98"/>
        <v>1.5313800719290159E-6</v>
      </c>
      <c r="AN412" s="22">
        <f t="shared" si="98"/>
        <v>1.5314381207493371E-6</v>
      </c>
      <c r="AO412" s="22">
        <f t="shared" si="98"/>
        <v>1.5314878792954879E-6</v>
      </c>
      <c r="AP412" s="22">
        <f t="shared" si="98"/>
        <v>1.5315380892019456E-6</v>
      </c>
      <c r="AQ412" s="22">
        <f t="shared" si="98"/>
        <v>1.5315887558693837E-6</v>
      </c>
      <c r="AR412" s="22">
        <f t="shared" si="98"/>
        <v>1.5316398847870756E-6</v>
      </c>
      <c r="AS412" s="22">
        <f t="shared" si="98"/>
        <v>1.5316914815348266E-6</v>
      </c>
      <c r="AT412" s="22">
        <f t="shared" si="98"/>
        <v>1.5317342674438069E-6</v>
      </c>
      <c r="AU412" s="22">
        <f t="shared" si="98"/>
        <v>1.531777376775684E-6</v>
      </c>
      <c r="AV412" s="22">
        <f t="shared" si="98"/>
        <v>1.5318208127769759E-6</v>
      </c>
      <c r="AW412" s="22">
        <f t="shared" si="98"/>
        <v>1.5318645787390334E-6</v>
      </c>
      <c r="AY412" s="85"/>
    </row>
    <row r="413" spans="1:51" x14ac:dyDescent="0.25">
      <c r="A413" s="102" t="str">
        <f t="shared" si="93"/>
        <v>GS Leaching</v>
      </c>
      <c r="B413" s="102" t="s">
        <v>1022</v>
      </c>
      <c r="C413" s="102" t="s">
        <v>1191</v>
      </c>
      <c r="D413" t="s">
        <v>369</v>
      </c>
      <c r="E413" t="s">
        <v>61</v>
      </c>
      <c r="F413" t="s">
        <v>63</v>
      </c>
      <c r="G413" t="s">
        <v>437</v>
      </c>
      <c r="H413" t="s">
        <v>1190</v>
      </c>
      <c r="I413" t="s">
        <v>139</v>
      </c>
      <c r="J413" t="s">
        <v>287</v>
      </c>
      <c r="K413" s="22">
        <f t="shared" si="90"/>
        <v>0.20860999282156298</v>
      </c>
      <c r="L413" s="22">
        <f t="shared" si="98"/>
        <v>0.20916470494858161</v>
      </c>
      <c r="M413" s="22">
        <f t="shared" si="98"/>
        <v>0.20839166057483782</v>
      </c>
      <c r="N413" s="22">
        <f t="shared" si="98"/>
        <v>0.20582736549591388</v>
      </c>
      <c r="O413" s="22">
        <f t="shared" si="98"/>
        <v>0.20337087062968656</v>
      </c>
      <c r="P413" s="22">
        <f t="shared" si="98"/>
        <v>0.20190666512350769</v>
      </c>
      <c r="Q413" s="22">
        <f t="shared" si="98"/>
        <v>0.2007674260526916</v>
      </c>
      <c r="R413" s="22">
        <f t="shared" si="98"/>
        <v>0.19784037541962898</v>
      </c>
      <c r="S413" s="22">
        <f t="shared" si="98"/>
        <v>0.17841698820622015</v>
      </c>
      <c r="T413" s="22">
        <f t="shared" si="98"/>
        <v>0.18081293466860307</v>
      </c>
      <c r="U413" s="22">
        <f t="shared" si="98"/>
        <v>0.18276631591234022</v>
      </c>
      <c r="V413" s="22">
        <f t="shared" si="98"/>
        <v>0.18471645849231438</v>
      </c>
      <c r="W413" s="22">
        <f t="shared" si="98"/>
        <v>0.18733681771599675</v>
      </c>
      <c r="X413" s="22">
        <f t="shared" si="98"/>
        <v>0.18994210682606633</v>
      </c>
      <c r="Y413" s="22">
        <f t="shared" si="98"/>
        <v>0.19266100227068755</v>
      </c>
      <c r="Z413" s="22">
        <f t="shared" si="98"/>
        <v>0.19520300400393342</v>
      </c>
      <c r="AA413" s="22">
        <f t="shared" si="98"/>
        <v>0.19798640345821425</v>
      </c>
      <c r="AB413" s="22">
        <f t="shared" si="98"/>
        <v>0.20044516854579475</v>
      </c>
      <c r="AC413" s="22">
        <f t="shared" si="98"/>
        <v>0.20297817573057544</v>
      </c>
      <c r="AD413" s="22">
        <f t="shared" si="98"/>
        <v>0.2056267299462835</v>
      </c>
      <c r="AE413" s="22">
        <f t="shared" si="98"/>
        <v>0.20860280477164364</v>
      </c>
      <c r="AF413" s="22">
        <f t="shared" si="98"/>
        <v>0.21167179414400486</v>
      </c>
      <c r="AG413" s="22">
        <f t="shared" si="98"/>
        <v>0.20992366458596434</v>
      </c>
      <c r="AH413" s="22">
        <f t="shared" si="98"/>
        <v>-1.9300200690009681E-2</v>
      </c>
      <c r="AI413" s="22">
        <f t="shared" si="98"/>
        <v>-1.8843886811857471E-2</v>
      </c>
      <c r="AJ413" s="22">
        <f t="shared" si="98"/>
        <v>-1.8395910257723268E-2</v>
      </c>
      <c r="AK413" s="22">
        <f t="shared" si="98"/>
        <v>-1.7955834874350582E-2</v>
      </c>
      <c r="AL413" s="22">
        <f t="shared" si="98"/>
        <v>-1.7523255155980324E-2</v>
      </c>
      <c r="AM413" s="22">
        <f t="shared" si="98"/>
        <v>-1.7097793384935875E-2</v>
      </c>
      <c r="AN413" s="22">
        <f t="shared" si="98"/>
        <v>-1.6741323027793506E-2</v>
      </c>
      <c r="AO413" s="22">
        <f t="shared" si="98"/>
        <v>-1.6390975335511412E-2</v>
      </c>
      <c r="AP413" s="22">
        <f t="shared" si="98"/>
        <v>-1.6046469591821155E-2</v>
      </c>
      <c r="AQ413" s="22">
        <f t="shared" si="98"/>
        <v>-1.5707542818837256E-2</v>
      </c>
      <c r="AR413" s="22">
        <f t="shared" si="98"/>
        <v>-1.5373948294556171E-2</v>
      </c>
      <c r="AS413" s="22">
        <f t="shared" si="98"/>
        <v>-1.5023355882038061E-2</v>
      </c>
      <c r="AT413" s="22">
        <f t="shared" si="98"/>
        <v>-1.4678172069400145E-2</v>
      </c>
      <c r="AU413" s="22">
        <f t="shared" si="98"/>
        <v>-1.4338180596116832E-2</v>
      </c>
      <c r="AV413" s="22">
        <f t="shared" si="98"/>
        <v>-1.4003177540620452E-2</v>
      </c>
      <c r="AW413" s="22">
        <f t="shared" si="98"/>
        <v>-1.367297039065494E-2</v>
      </c>
      <c r="AY413" s="85"/>
    </row>
    <row r="414" spans="1:51" x14ac:dyDescent="0.25">
      <c r="A414" s="102" t="str">
        <f t="shared" si="93"/>
        <v>GS Leaching</v>
      </c>
      <c r="B414" s="102" t="s">
        <v>1022</v>
      </c>
      <c r="C414" s="102" t="s">
        <v>1191</v>
      </c>
      <c r="D414" t="s">
        <v>369</v>
      </c>
      <c r="E414" t="s">
        <v>61</v>
      </c>
      <c r="F414" t="s">
        <v>63</v>
      </c>
      <c r="G414" t="s">
        <v>438</v>
      </c>
      <c r="H414" t="s">
        <v>1192</v>
      </c>
      <c r="I414" t="s">
        <v>139</v>
      </c>
      <c r="J414" t="s">
        <v>287</v>
      </c>
      <c r="K414" s="22">
        <f t="shared" si="90"/>
        <v>0</v>
      </c>
      <c r="L414" s="22">
        <f t="shared" si="98"/>
        <v>0</v>
      </c>
      <c r="M414" s="22">
        <f t="shared" si="98"/>
        <v>0</v>
      </c>
      <c r="N414" s="22">
        <f t="shared" si="98"/>
        <v>0</v>
      </c>
      <c r="O414" s="22">
        <f t="shared" ref="L414:AW420" si="99">O1517</f>
        <v>0</v>
      </c>
      <c r="P414" s="22">
        <f t="shared" si="99"/>
        <v>0</v>
      </c>
      <c r="Q414" s="22">
        <f t="shared" si="99"/>
        <v>0</v>
      </c>
      <c r="R414" s="22">
        <f t="shared" si="99"/>
        <v>0</v>
      </c>
      <c r="S414" s="22">
        <f t="shared" si="99"/>
        <v>0</v>
      </c>
      <c r="T414" s="22">
        <f t="shared" si="99"/>
        <v>0</v>
      </c>
      <c r="U414" s="22">
        <f t="shared" si="99"/>
        <v>0</v>
      </c>
      <c r="V414" s="22">
        <f t="shared" si="99"/>
        <v>0</v>
      </c>
      <c r="W414" s="22">
        <f t="shared" si="99"/>
        <v>0</v>
      </c>
      <c r="X414" s="22">
        <f t="shared" si="99"/>
        <v>0</v>
      </c>
      <c r="Y414" s="22">
        <f t="shared" si="99"/>
        <v>0</v>
      </c>
      <c r="Z414" s="22">
        <f t="shared" si="99"/>
        <v>0</v>
      </c>
      <c r="AA414" s="22">
        <f t="shared" si="99"/>
        <v>0</v>
      </c>
      <c r="AB414" s="22">
        <f t="shared" si="99"/>
        <v>0</v>
      </c>
      <c r="AC414" s="22">
        <f t="shared" si="99"/>
        <v>0</v>
      </c>
      <c r="AD414" s="22">
        <f t="shared" si="99"/>
        <v>0</v>
      </c>
      <c r="AE414" s="22">
        <f t="shared" si="99"/>
        <v>0</v>
      </c>
      <c r="AF414" s="22">
        <f t="shared" si="99"/>
        <v>0</v>
      </c>
      <c r="AG414" s="22">
        <f t="shared" si="99"/>
        <v>0</v>
      </c>
      <c r="AH414" s="22">
        <f t="shared" si="99"/>
        <v>0</v>
      </c>
      <c r="AI414" s="22">
        <f t="shared" si="99"/>
        <v>0</v>
      </c>
      <c r="AJ414" s="22">
        <f t="shared" si="99"/>
        <v>0</v>
      </c>
      <c r="AK414" s="22">
        <f t="shared" si="99"/>
        <v>0</v>
      </c>
      <c r="AL414" s="22">
        <f t="shared" si="99"/>
        <v>0</v>
      </c>
      <c r="AM414" s="22">
        <f t="shared" si="99"/>
        <v>0</v>
      </c>
      <c r="AN414" s="22">
        <f t="shared" si="99"/>
        <v>0</v>
      </c>
      <c r="AO414" s="22">
        <f t="shared" si="99"/>
        <v>0</v>
      </c>
      <c r="AP414" s="22">
        <f t="shared" si="99"/>
        <v>0</v>
      </c>
      <c r="AQ414" s="22">
        <f t="shared" si="99"/>
        <v>0</v>
      </c>
      <c r="AR414" s="22">
        <f t="shared" si="99"/>
        <v>0</v>
      </c>
      <c r="AS414" s="22">
        <f t="shared" si="99"/>
        <v>0</v>
      </c>
      <c r="AT414" s="22">
        <f t="shared" si="99"/>
        <v>0</v>
      </c>
      <c r="AU414" s="22">
        <f t="shared" si="99"/>
        <v>0</v>
      </c>
      <c r="AV414" s="22">
        <f t="shared" si="99"/>
        <v>0</v>
      </c>
      <c r="AW414" s="22">
        <f t="shared" si="99"/>
        <v>0</v>
      </c>
      <c r="AY414" s="85"/>
    </row>
    <row r="415" spans="1:51" x14ac:dyDescent="0.25">
      <c r="A415" s="102" t="str">
        <f t="shared" si="93"/>
        <v>GS Leaching</v>
      </c>
      <c r="B415" s="102" t="s">
        <v>1022</v>
      </c>
      <c r="C415" s="102" t="s">
        <v>1191</v>
      </c>
      <c r="D415" t="s">
        <v>369</v>
      </c>
      <c r="E415" t="s">
        <v>61</v>
      </c>
      <c r="F415" t="s">
        <v>63</v>
      </c>
      <c r="G415" t="s">
        <v>439</v>
      </c>
      <c r="H415" t="s">
        <v>1193</v>
      </c>
      <c r="I415" t="s">
        <v>139</v>
      </c>
      <c r="J415" t="s">
        <v>287</v>
      </c>
      <c r="K415" s="22">
        <f t="shared" si="90"/>
        <v>0.10175116378121943</v>
      </c>
      <c r="L415" s="22">
        <f t="shared" si="99"/>
        <v>0.10199531862312783</v>
      </c>
      <c r="M415" s="22">
        <f t="shared" si="99"/>
        <v>0.10232895790911103</v>
      </c>
      <c r="N415" s="22">
        <f t="shared" si="99"/>
        <v>0.102571135787432</v>
      </c>
      <c r="O415" s="22">
        <f t="shared" si="99"/>
        <v>0.10268907461035851</v>
      </c>
      <c r="P415" s="22">
        <f t="shared" si="99"/>
        <v>0.10280548137522282</v>
      </c>
      <c r="Q415" s="22">
        <f t="shared" si="99"/>
        <v>0.10298157657140594</v>
      </c>
      <c r="R415" s="22">
        <f t="shared" si="99"/>
        <v>0.10317437501165042</v>
      </c>
      <c r="S415" s="22">
        <f t="shared" si="99"/>
        <v>0.10323747118294155</v>
      </c>
      <c r="T415" s="22">
        <f t="shared" si="99"/>
        <v>0.10207849673523195</v>
      </c>
      <c r="U415" s="22">
        <f t="shared" si="99"/>
        <v>0.10244002007553947</v>
      </c>
      <c r="V415" s="22">
        <f t="shared" si="99"/>
        <v>0.10276505734262262</v>
      </c>
      <c r="W415" s="22">
        <f t="shared" si="99"/>
        <v>0.10308708143869158</v>
      </c>
      <c r="X415" s="22">
        <f t="shared" si="99"/>
        <v>0.10345673156725761</v>
      </c>
      <c r="Y415" s="22">
        <f t="shared" si="99"/>
        <v>0.10382236970947499</v>
      </c>
      <c r="Z415" s="22">
        <f t="shared" si="99"/>
        <v>0.10419308105510718</v>
      </c>
      <c r="AA415" s="22">
        <f t="shared" si="99"/>
        <v>0.1045480129274277</v>
      </c>
      <c r="AB415" s="22">
        <f t="shared" si="99"/>
        <v>0.10491811532698922</v>
      </c>
      <c r="AC415" s="22">
        <f t="shared" si="99"/>
        <v>0.10526191572099161</v>
      </c>
      <c r="AD415" s="22">
        <f t="shared" si="99"/>
        <v>0.10560878304057683</v>
      </c>
      <c r="AE415" s="22">
        <f t="shared" si="99"/>
        <v>0.10601241907328743</v>
      </c>
      <c r="AF415" s="22">
        <f t="shared" si="99"/>
        <v>0.10643853523191582</v>
      </c>
      <c r="AG415" s="22">
        <f t="shared" si="99"/>
        <v>0.10687002645789688</v>
      </c>
      <c r="AH415" s="22">
        <f t="shared" si="99"/>
        <v>0.10695565891506367</v>
      </c>
      <c r="AI415" s="22">
        <f t="shared" si="99"/>
        <v>7.1370603051085779E-2</v>
      </c>
      <c r="AJ415" s="22">
        <f t="shared" si="99"/>
        <v>7.1307647461360521E-2</v>
      </c>
      <c r="AK415" s="22">
        <f t="shared" si="99"/>
        <v>7.1244029161657008E-2</v>
      </c>
      <c r="AL415" s="22">
        <f t="shared" si="99"/>
        <v>7.1179739022300959E-2</v>
      </c>
      <c r="AM415" s="22">
        <f t="shared" si="99"/>
        <v>7.1114767741896984E-2</v>
      </c>
      <c r="AN415" s="22">
        <f t="shared" si="99"/>
        <v>7.1049105843042956E-2</v>
      </c>
      <c r="AO415" s="22">
        <f t="shared" si="99"/>
        <v>7.0992821484352875E-2</v>
      </c>
      <c r="AP415" s="22">
        <f t="shared" si="99"/>
        <v>7.0936026569640209E-2</v>
      </c>
      <c r="AQ415" s="22">
        <f t="shared" si="99"/>
        <v>7.0878714989935504E-2</v>
      </c>
      <c r="AR415" s="22">
        <f t="shared" si="99"/>
        <v>7.0820880536048819E-2</v>
      </c>
      <c r="AS415" s="22">
        <f t="shared" si="99"/>
        <v>7.0762516896386879E-2</v>
      </c>
      <c r="AT415" s="22">
        <f t="shared" si="99"/>
        <v>7.0714119633319514E-2</v>
      </c>
      <c r="AU415" s="22">
        <f t="shared" si="99"/>
        <v>7.0665356530577775E-2</v>
      </c>
      <c r="AV415" s="22">
        <f t="shared" si="99"/>
        <v>7.0616223915862988E-2</v>
      </c>
      <c r="AW415" s="22">
        <f t="shared" si="99"/>
        <v>7.0566718066166448E-2</v>
      </c>
      <c r="AY415" s="85"/>
    </row>
    <row r="416" spans="1:51" x14ac:dyDescent="0.25">
      <c r="A416" s="102" t="str">
        <f t="shared" si="93"/>
        <v>GS Leaching</v>
      </c>
      <c r="B416" s="102" t="s">
        <v>1022</v>
      </c>
      <c r="C416" s="102" t="s">
        <v>1191</v>
      </c>
      <c r="D416" t="s">
        <v>369</v>
      </c>
      <c r="E416" t="s">
        <v>61</v>
      </c>
      <c r="F416" t="s">
        <v>63</v>
      </c>
      <c r="G416" t="s">
        <v>1194</v>
      </c>
      <c r="H416" t="s">
        <v>1195</v>
      </c>
      <c r="I416" t="s">
        <v>139</v>
      </c>
      <c r="J416" t="s">
        <v>287</v>
      </c>
      <c r="K416" s="22" t="str">
        <f t="shared" si="90"/>
        <v>NO</v>
      </c>
      <c r="L416" s="22" t="str">
        <f t="shared" si="99"/>
        <v>NO</v>
      </c>
      <c r="M416" s="22" t="str">
        <f t="shared" si="99"/>
        <v>NO</v>
      </c>
      <c r="N416" s="22" t="str">
        <f t="shared" si="99"/>
        <v>NO</v>
      </c>
      <c r="O416" s="22" t="str">
        <f t="shared" si="99"/>
        <v>NO</v>
      </c>
      <c r="P416" s="22" t="str">
        <f t="shared" si="99"/>
        <v>NO</v>
      </c>
      <c r="Q416" s="22" t="str">
        <f t="shared" si="99"/>
        <v>NO</v>
      </c>
      <c r="R416" s="22" t="str">
        <f t="shared" si="99"/>
        <v>NO</v>
      </c>
      <c r="S416" s="22" t="str">
        <f t="shared" si="99"/>
        <v>NO</v>
      </c>
      <c r="T416" s="22" t="str">
        <f t="shared" si="99"/>
        <v>NO</v>
      </c>
      <c r="U416" s="22" t="str">
        <f t="shared" si="99"/>
        <v>NO</v>
      </c>
      <c r="V416" s="22" t="str">
        <f t="shared" si="99"/>
        <v>NO</v>
      </c>
      <c r="W416" s="22" t="str">
        <f t="shared" si="99"/>
        <v>NO</v>
      </c>
      <c r="X416" s="22" t="str">
        <f t="shared" si="99"/>
        <v>NO</v>
      </c>
      <c r="Y416" s="22" t="str">
        <f t="shared" si="99"/>
        <v>NO</v>
      </c>
      <c r="Z416" s="22" t="str">
        <f t="shared" si="99"/>
        <v>NO</v>
      </c>
      <c r="AA416" s="22" t="str">
        <f t="shared" si="99"/>
        <v>NO</v>
      </c>
      <c r="AB416" s="22" t="str">
        <f t="shared" si="99"/>
        <v>NO</v>
      </c>
      <c r="AC416" s="22" t="str">
        <f t="shared" si="99"/>
        <v>NO</v>
      </c>
      <c r="AD416" s="22" t="str">
        <f t="shared" si="99"/>
        <v>NO</v>
      </c>
      <c r="AE416" s="22" t="str">
        <f t="shared" si="99"/>
        <v>NO</v>
      </c>
      <c r="AF416" s="22" t="str">
        <f t="shared" si="99"/>
        <v>NO</v>
      </c>
      <c r="AG416" s="22" t="str">
        <f t="shared" si="99"/>
        <v>NO</v>
      </c>
      <c r="AH416" s="22" t="str">
        <f t="shared" si="99"/>
        <v>NO</v>
      </c>
      <c r="AI416" s="22" t="str">
        <f t="shared" si="99"/>
        <v>NO</v>
      </c>
      <c r="AJ416" s="22" t="str">
        <f t="shared" si="99"/>
        <v>NO</v>
      </c>
      <c r="AK416" s="22" t="str">
        <f t="shared" si="99"/>
        <v>NO</v>
      </c>
      <c r="AL416" s="22" t="str">
        <f t="shared" si="99"/>
        <v>NO</v>
      </c>
      <c r="AM416" s="22" t="str">
        <f t="shared" si="99"/>
        <v>NO</v>
      </c>
      <c r="AN416" s="22" t="str">
        <f t="shared" si="99"/>
        <v>NO</v>
      </c>
      <c r="AO416" s="22" t="str">
        <f t="shared" si="99"/>
        <v>NO</v>
      </c>
      <c r="AP416" s="22" t="str">
        <f t="shared" si="99"/>
        <v>NO</v>
      </c>
      <c r="AQ416" s="22" t="str">
        <f t="shared" si="99"/>
        <v>NO</v>
      </c>
      <c r="AR416" s="22" t="str">
        <f t="shared" si="99"/>
        <v>NO</v>
      </c>
      <c r="AS416" s="22" t="str">
        <f t="shared" si="99"/>
        <v>NO</v>
      </c>
      <c r="AT416" s="22" t="str">
        <f t="shared" si="99"/>
        <v>NO</v>
      </c>
      <c r="AU416" s="22" t="str">
        <f t="shared" si="99"/>
        <v>NO</v>
      </c>
      <c r="AV416" s="22" t="str">
        <f t="shared" si="99"/>
        <v>NO</v>
      </c>
      <c r="AW416" s="22" t="str">
        <f t="shared" si="99"/>
        <v>NO</v>
      </c>
      <c r="AY416" s="85"/>
    </row>
    <row r="417" spans="1:51" x14ac:dyDescent="0.25">
      <c r="A417" s="102" t="str">
        <f t="shared" si="93"/>
        <v>GS Leaching</v>
      </c>
      <c r="B417" s="102" t="s">
        <v>1022</v>
      </c>
      <c r="C417" s="102" t="s">
        <v>1191</v>
      </c>
      <c r="D417" t="s">
        <v>369</v>
      </c>
      <c r="E417" t="s">
        <v>61</v>
      </c>
      <c r="F417" t="s">
        <v>63</v>
      </c>
      <c r="G417" t="s">
        <v>1196</v>
      </c>
      <c r="H417" t="s">
        <v>1197</v>
      </c>
      <c r="I417" t="s">
        <v>139</v>
      </c>
      <c r="J417" t="s">
        <v>287</v>
      </c>
      <c r="K417" s="22" t="str">
        <f t="shared" si="90"/>
        <v>NO</v>
      </c>
      <c r="L417" s="22" t="str">
        <f t="shared" si="99"/>
        <v>NO</v>
      </c>
      <c r="M417" s="22" t="str">
        <f t="shared" si="99"/>
        <v>NO</v>
      </c>
      <c r="N417" s="22" t="str">
        <f t="shared" si="99"/>
        <v>NO</v>
      </c>
      <c r="O417" s="22" t="str">
        <f t="shared" si="99"/>
        <v>NO</v>
      </c>
      <c r="P417" s="22" t="str">
        <f t="shared" si="99"/>
        <v>NO</v>
      </c>
      <c r="Q417" s="22" t="str">
        <f t="shared" si="99"/>
        <v>NO</v>
      </c>
      <c r="R417" s="22" t="str">
        <f t="shared" si="99"/>
        <v>NO</v>
      </c>
      <c r="S417" s="22" t="str">
        <f t="shared" si="99"/>
        <v>NO</v>
      </c>
      <c r="T417" s="22" t="str">
        <f t="shared" si="99"/>
        <v>NO</v>
      </c>
      <c r="U417" s="22" t="str">
        <f t="shared" si="99"/>
        <v>NO</v>
      </c>
      <c r="V417" s="22" t="str">
        <f t="shared" si="99"/>
        <v>NO</v>
      </c>
      <c r="W417" s="22" t="str">
        <f t="shared" si="99"/>
        <v>NO</v>
      </c>
      <c r="X417" s="22" t="str">
        <f t="shared" si="99"/>
        <v>NO</v>
      </c>
      <c r="Y417" s="22" t="str">
        <f t="shared" si="99"/>
        <v>NO</v>
      </c>
      <c r="Z417" s="22" t="str">
        <f t="shared" si="99"/>
        <v>NO</v>
      </c>
      <c r="AA417" s="22" t="str">
        <f t="shared" si="99"/>
        <v>NO</v>
      </c>
      <c r="AB417" s="22" t="str">
        <f t="shared" si="99"/>
        <v>NO</v>
      </c>
      <c r="AC417" s="22" t="str">
        <f t="shared" si="99"/>
        <v>NO</v>
      </c>
      <c r="AD417" s="22" t="str">
        <f t="shared" si="99"/>
        <v>NO</v>
      </c>
      <c r="AE417" s="22" t="str">
        <f t="shared" si="99"/>
        <v>NO</v>
      </c>
      <c r="AF417" s="22" t="str">
        <f t="shared" si="99"/>
        <v>NO</v>
      </c>
      <c r="AG417" s="22" t="str">
        <f t="shared" si="99"/>
        <v>NO</v>
      </c>
      <c r="AH417" s="22" t="str">
        <f t="shared" si="99"/>
        <v>NO</v>
      </c>
      <c r="AI417" s="22" t="str">
        <f t="shared" si="99"/>
        <v>NO</v>
      </c>
      <c r="AJ417" s="22" t="str">
        <f t="shared" si="99"/>
        <v>NO</v>
      </c>
      <c r="AK417" s="22" t="str">
        <f t="shared" si="99"/>
        <v>NO</v>
      </c>
      <c r="AL417" s="22" t="str">
        <f t="shared" si="99"/>
        <v>NO</v>
      </c>
      <c r="AM417" s="22" t="str">
        <f t="shared" si="99"/>
        <v>NO</v>
      </c>
      <c r="AN417" s="22" t="str">
        <f t="shared" si="99"/>
        <v>NO</v>
      </c>
      <c r="AO417" s="22" t="str">
        <f t="shared" si="99"/>
        <v>NO</v>
      </c>
      <c r="AP417" s="22" t="str">
        <f t="shared" si="99"/>
        <v>NO</v>
      </c>
      <c r="AQ417" s="22" t="str">
        <f t="shared" si="99"/>
        <v>NO</v>
      </c>
      <c r="AR417" s="22" t="str">
        <f t="shared" si="99"/>
        <v>NO</v>
      </c>
      <c r="AS417" s="22" t="str">
        <f t="shared" si="99"/>
        <v>NO</v>
      </c>
      <c r="AT417" s="22" t="str">
        <f t="shared" si="99"/>
        <v>NO</v>
      </c>
      <c r="AU417" s="22" t="str">
        <f t="shared" si="99"/>
        <v>NO</v>
      </c>
      <c r="AV417" s="22" t="str">
        <f t="shared" si="99"/>
        <v>NO</v>
      </c>
      <c r="AW417" s="22" t="str">
        <f t="shared" si="99"/>
        <v>NO</v>
      </c>
      <c r="AY417" s="85"/>
    </row>
    <row r="418" spans="1:51" x14ac:dyDescent="0.25">
      <c r="A418" s="102" t="str">
        <f t="shared" si="93"/>
        <v>GS Leaching</v>
      </c>
      <c r="B418" s="102" t="s">
        <v>1022</v>
      </c>
      <c r="C418" s="102" t="s">
        <v>1191</v>
      </c>
      <c r="D418" t="s">
        <v>369</v>
      </c>
      <c r="E418" t="s">
        <v>61</v>
      </c>
      <c r="F418" t="s">
        <v>63</v>
      </c>
      <c r="G418" t="s">
        <v>1198</v>
      </c>
      <c r="H418" t="s">
        <v>1199</v>
      </c>
      <c r="I418" t="s">
        <v>139</v>
      </c>
      <c r="J418" t="s">
        <v>287</v>
      </c>
      <c r="K418" s="22">
        <f t="shared" si="90"/>
        <v>1.1867590793806392E-4</v>
      </c>
      <c r="L418" s="22">
        <f t="shared" si="99"/>
        <v>1.1853617037070301E-4</v>
      </c>
      <c r="M418" s="22">
        <f t="shared" si="99"/>
        <v>1.1839643280334203E-4</v>
      </c>
      <c r="N418" s="22">
        <f t="shared" si="99"/>
        <v>1.1825669523598106E-4</v>
      </c>
      <c r="O418" s="22">
        <f t="shared" si="99"/>
        <v>1.1811695766862012E-4</v>
      </c>
      <c r="P418" s="22">
        <f t="shared" si="99"/>
        <v>1.1797722010125916E-4</v>
      </c>
      <c r="Q418" s="22">
        <f t="shared" si="99"/>
        <v>1.178374825338982E-4</v>
      </c>
      <c r="R418" s="22">
        <f t="shared" si="99"/>
        <v>1.1769774496653728E-4</v>
      </c>
      <c r="S418" s="22">
        <f t="shared" si="99"/>
        <v>1.1755800739917633E-4</v>
      </c>
      <c r="T418" s="22">
        <f t="shared" si="99"/>
        <v>1.174182698318154E-4</v>
      </c>
      <c r="U418" s="22">
        <f t="shared" si="99"/>
        <v>1.1727853226445441E-4</v>
      </c>
      <c r="V418" s="22">
        <f t="shared" si="99"/>
        <v>1.1713879469709348E-4</v>
      </c>
      <c r="W418" s="22">
        <f t="shared" si="99"/>
        <v>1.1699905712973254E-4</v>
      </c>
      <c r="X418" s="22">
        <f t="shared" si="99"/>
        <v>1.168593195623716E-4</v>
      </c>
      <c r="Y418" s="22">
        <f t="shared" si="99"/>
        <v>1.1671958199501069E-4</v>
      </c>
      <c r="Z418" s="22">
        <f t="shared" si="99"/>
        <v>1.1657984442764968E-4</v>
      </c>
      <c r="AA418" s="22">
        <f t="shared" si="99"/>
        <v>1.1644010686028878E-4</v>
      </c>
      <c r="AB418" s="22">
        <f t="shared" si="99"/>
        <v>1.1630036929292779E-4</v>
      </c>
      <c r="AC418" s="22">
        <f t="shared" si="99"/>
        <v>1.1616063172556689E-4</v>
      </c>
      <c r="AD418" s="22">
        <f t="shared" si="99"/>
        <v>1.1602089415820588E-4</v>
      </c>
      <c r="AE418" s="22">
        <f t="shared" si="99"/>
        <v>1.1588115659084502E-4</v>
      </c>
      <c r="AF418" s="22">
        <f t="shared" si="99"/>
        <v>1.1574141902348403E-4</v>
      </c>
      <c r="AG418" s="22">
        <f t="shared" si="99"/>
        <v>1.1560168145612309E-4</v>
      </c>
      <c r="AH418" s="22">
        <f t="shared" si="99"/>
        <v>1.154619438887621E-4</v>
      </c>
      <c r="AI418" s="22">
        <f t="shared" si="99"/>
        <v>1.1532220632140118E-4</v>
      </c>
      <c r="AJ418" s="22">
        <f t="shared" si="99"/>
        <v>1.1518246875404022E-4</v>
      </c>
      <c r="AK418" s="22">
        <f t="shared" si="99"/>
        <v>1.1504273118667928E-4</v>
      </c>
      <c r="AL418" s="22">
        <f t="shared" si="99"/>
        <v>1.1490299361931835E-4</v>
      </c>
      <c r="AM418" s="22">
        <f t="shared" si="99"/>
        <v>1.1476325605195744E-4</v>
      </c>
      <c r="AN418" s="22">
        <f t="shared" si="99"/>
        <v>1.1462351848459642E-4</v>
      </c>
      <c r="AO418" s="22">
        <f t="shared" si="99"/>
        <v>1.1448378091723552E-4</v>
      </c>
      <c r="AP418" s="22">
        <f t="shared" si="99"/>
        <v>1.1434404334987458E-4</v>
      </c>
      <c r="AQ418" s="22">
        <f t="shared" si="99"/>
        <v>1.1420430578251366E-4</v>
      </c>
      <c r="AR418" s="22">
        <f t="shared" si="99"/>
        <v>1.1406456821515268E-4</v>
      </c>
      <c r="AS418" s="22">
        <f t="shared" si="99"/>
        <v>1.1392483064779174E-4</v>
      </c>
      <c r="AT418" s="22">
        <f t="shared" si="99"/>
        <v>1.1378509308043078E-4</v>
      </c>
      <c r="AU418" s="22">
        <f t="shared" si="99"/>
        <v>1.136453555130698E-4</v>
      </c>
      <c r="AV418" s="22">
        <f t="shared" si="99"/>
        <v>1.1350561794570888E-4</v>
      </c>
      <c r="AW418" s="22">
        <f t="shared" si="99"/>
        <v>1.1336588037834792E-4</v>
      </c>
      <c r="AY418" s="85"/>
    </row>
    <row r="419" spans="1:51" x14ac:dyDescent="0.25">
      <c r="A419" s="102" t="str">
        <f t="shared" si="93"/>
        <v>GS Leaching</v>
      </c>
      <c r="B419" s="102" t="s">
        <v>1022</v>
      </c>
      <c r="C419" s="102" t="s">
        <v>1191</v>
      </c>
      <c r="D419" t="s">
        <v>369</v>
      </c>
      <c r="E419" t="s">
        <v>61</v>
      </c>
      <c r="F419" t="s">
        <v>63</v>
      </c>
      <c r="G419" t="s">
        <v>1200</v>
      </c>
      <c r="H419" t="s">
        <v>1201</v>
      </c>
      <c r="I419" t="s">
        <v>139</v>
      </c>
      <c r="J419" t="s">
        <v>287</v>
      </c>
      <c r="K419" s="22">
        <f t="shared" si="90"/>
        <v>1.6912231388729011E-2</v>
      </c>
      <c r="L419" s="22">
        <f t="shared" si="99"/>
        <v>1.6951420148247919E-2</v>
      </c>
      <c r="M419" s="22">
        <f t="shared" si="99"/>
        <v>1.6990608907766828E-2</v>
      </c>
      <c r="N419" s="22">
        <f t="shared" si="99"/>
        <v>1.702979766728574E-2</v>
      </c>
      <c r="O419" s="22">
        <f t="shared" si="99"/>
        <v>1.7068986426804648E-2</v>
      </c>
      <c r="P419" s="22">
        <f t="shared" si="99"/>
        <v>1.7108175186323554E-2</v>
      </c>
      <c r="Q419" s="22">
        <f t="shared" si="99"/>
        <v>1.7147363945842466E-2</v>
      </c>
      <c r="R419" s="22">
        <f t="shared" si="99"/>
        <v>1.7186552705361371E-2</v>
      </c>
      <c r="S419" s="22">
        <f t="shared" si="99"/>
        <v>1.7225741464880276E-2</v>
      </c>
      <c r="T419" s="22">
        <f t="shared" si="99"/>
        <v>1.7264930224399191E-2</v>
      </c>
      <c r="U419" s="22">
        <f t="shared" si="99"/>
        <v>1.7304118983918097E-2</v>
      </c>
      <c r="V419" s="22">
        <f t="shared" si="99"/>
        <v>1.7343307743437009E-2</v>
      </c>
      <c r="W419" s="22">
        <f t="shared" si="99"/>
        <v>1.7382496502955917E-2</v>
      </c>
      <c r="X419" s="22">
        <f t="shared" si="99"/>
        <v>1.7421685262474829E-2</v>
      </c>
      <c r="Y419" s="22">
        <f t="shared" si="99"/>
        <v>1.7460874021993734E-2</v>
      </c>
      <c r="Z419" s="22">
        <f t="shared" si="99"/>
        <v>1.750006278151265E-2</v>
      </c>
      <c r="AA419" s="22">
        <f t="shared" si="99"/>
        <v>1.7539251541031548E-2</v>
      </c>
      <c r="AB419" s="22">
        <f t="shared" si="99"/>
        <v>1.7578440300550464E-2</v>
      </c>
      <c r="AC419" s="22">
        <f t="shared" si="99"/>
        <v>1.7617629060069376E-2</v>
      </c>
      <c r="AD419" s="22">
        <f t="shared" si="99"/>
        <v>1.7656817819588281E-2</v>
      </c>
      <c r="AE419" s="22">
        <f t="shared" si="99"/>
        <v>1.769600657910719E-2</v>
      </c>
      <c r="AF419" s="22">
        <f t="shared" si="99"/>
        <v>1.7735195338626102E-2</v>
      </c>
      <c r="AG419" s="22">
        <f t="shared" si="99"/>
        <v>1.777438409814501E-2</v>
      </c>
      <c r="AH419" s="22">
        <f t="shared" si="99"/>
        <v>1.7813572857663919E-2</v>
      </c>
      <c r="AI419" s="22">
        <f t="shared" si="99"/>
        <v>1.7852761617182831E-2</v>
      </c>
      <c r="AJ419" s="22">
        <f t="shared" si="99"/>
        <v>1.7891950376701736E-2</v>
      </c>
      <c r="AK419" s="22">
        <f t="shared" si="99"/>
        <v>1.7931139136220645E-2</v>
      </c>
      <c r="AL419" s="22">
        <f t="shared" si="99"/>
        <v>1.7970327895739557E-2</v>
      </c>
      <c r="AM419" s="22">
        <f t="shared" si="99"/>
        <v>1.8009516655258465E-2</v>
      </c>
      <c r="AN419" s="22">
        <f t="shared" si="99"/>
        <v>1.8048705414777374E-2</v>
      </c>
      <c r="AO419" s="22">
        <f t="shared" si="99"/>
        <v>1.8087894174296286E-2</v>
      </c>
      <c r="AP419" s="22">
        <f t="shared" si="99"/>
        <v>1.8127082933815188E-2</v>
      </c>
      <c r="AQ419" s="22">
        <f t="shared" si="99"/>
        <v>1.8166271693334096E-2</v>
      </c>
      <c r="AR419" s="22">
        <f t="shared" si="99"/>
        <v>1.8205460452853015E-2</v>
      </c>
      <c r="AS419" s="22">
        <f t="shared" si="99"/>
        <v>1.8244649212371917E-2</v>
      </c>
      <c r="AT419" s="22">
        <f t="shared" si="99"/>
        <v>1.8283837971890825E-2</v>
      </c>
      <c r="AU419" s="22">
        <f t="shared" si="99"/>
        <v>1.8323026731409734E-2</v>
      </c>
      <c r="AV419" s="22">
        <f t="shared" si="99"/>
        <v>1.8362215490928643E-2</v>
      </c>
      <c r="AW419" s="22">
        <f t="shared" si="99"/>
        <v>1.8401404250447555E-2</v>
      </c>
      <c r="AY419" s="85"/>
    </row>
    <row r="420" spans="1:51" x14ac:dyDescent="0.25">
      <c r="A420" s="102" t="str">
        <f t="shared" si="93"/>
        <v>GS Leaching</v>
      </c>
      <c r="B420" s="102" t="s">
        <v>1022</v>
      </c>
      <c r="C420" s="102" t="s">
        <v>1191</v>
      </c>
      <c r="D420" t="s">
        <v>369</v>
      </c>
      <c r="E420" t="s">
        <v>61</v>
      </c>
      <c r="F420" t="s">
        <v>63</v>
      </c>
      <c r="G420" t="s">
        <v>1202</v>
      </c>
      <c r="H420" t="s">
        <v>1203</v>
      </c>
      <c r="I420" t="s">
        <v>139</v>
      </c>
      <c r="J420" t="s">
        <v>287</v>
      </c>
      <c r="K420" s="22">
        <f t="shared" si="90"/>
        <v>1.9871041213735664E-2</v>
      </c>
      <c r="L420" s="22">
        <f t="shared" si="99"/>
        <v>1.9871041213735664E-2</v>
      </c>
      <c r="M420" s="22">
        <f t="shared" si="99"/>
        <v>1.9871041213735664E-2</v>
      </c>
      <c r="N420" s="22">
        <f t="shared" si="99"/>
        <v>1.9871041213735664E-2</v>
      </c>
      <c r="O420" s="22">
        <f t="shared" si="99"/>
        <v>1.9871041213735664E-2</v>
      </c>
      <c r="P420" s="22">
        <f t="shared" si="99"/>
        <v>1.9871041213735664E-2</v>
      </c>
      <c r="Q420" s="22">
        <f t="shared" si="99"/>
        <v>1.9871041213735664E-2</v>
      </c>
      <c r="R420" s="22">
        <f t="shared" si="99"/>
        <v>1.9871041213735664E-2</v>
      </c>
      <c r="S420" s="22">
        <f t="shared" si="99"/>
        <v>1.9871041213735664E-2</v>
      </c>
      <c r="T420" s="22">
        <f t="shared" si="99"/>
        <v>1.9871041213735664E-2</v>
      </c>
      <c r="U420" s="22">
        <f t="shared" si="99"/>
        <v>1.9871041213735664E-2</v>
      </c>
      <c r="V420" s="22">
        <f t="shared" si="99"/>
        <v>1.9871041213735664E-2</v>
      </c>
      <c r="W420" s="22">
        <f t="shared" si="99"/>
        <v>1.9871041213735664E-2</v>
      </c>
      <c r="X420" s="22">
        <f t="shared" si="99"/>
        <v>1.9871041213735664E-2</v>
      </c>
      <c r="Y420" s="22">
        <f t="shared" si="99"/>
        <v>1.9871041213735664E-2</v>
      </c>
      <c r="Z420" s="22">
        <f t="shared" si="99"/>
        <v>1.9871041213735664E-2</v>
      </c>
      <c r="AA420" s="22">
        <f t="shared" si="99"/>
        <v>1.9871041213735664E-2</v>
      </c>
      <c r="AB420" s="22">
        <f t="shared" si="99"/>
        <v>1.9871041213735664E-2</v>
      </c>
      <c r="AC420" s="22">
        <f t="shared" si="99"/>
        <v>1.9871041213735664E-2</v>
      </c>
      <c r="AD420" s="22">
        <f t="shared" si="99"/>
        <v>1.9871041213735664E-2</v>
      </c>
      <c r="AE420" s="22">
        <f t="shared" si="99"/>
        <v>1.9871041213735664E-2</v>
      </c>
      <c r="AF420" s="22">
        <f t="shared" si="99"/>
        <v>1.9871041213735664E-2</v>
      </c>
      <c r="AG420" s="22">
        <f t="shared" si="99"/>
        <v>1.9871041213735664E-2</v>
      </c>
      <c r="AH420" s="22">
        <f t="shared" si="99"/>
        <v>1.9871041213735664E-2</v>
      </c>
      <c r="AI420" s="22">
        <f t="shared" si="99"/>
        <v>1.9871041213735664E-2</v>
      </c>
      <c r="AJ420" s="22">
        <f t="shared" si="99"/>
        <v>1.9871041213735664E-2</v>
      </c>
      <c r="AK420" s="22">
        <f t="shared" si="99"/>
        <v>1.9871041213735664E-2</v>
      </c>
      <c r="AL420" s="22">
        <f t="shared" si="99"/>
        <v>1.9871041213735664E-2</v>
      </c>
      <c r="AM420" s="22">
        <f t="shared" si="99"/>
        <v>1.9871041213735664E-2</v>
      </c>
      <c r="AN420" s="22">
        <f t="shared" si="99"/>
        <v>1.9871041213735664E-2</v>
      </c>
      <c r="AO420" s="22">
        <f t="shared" si="99"/>
        <v>1.9871041213735664E-2</v>
      </c>
      <c r="AP420" s="22">
        <f t="shared" ref="L420:AW427" si="100">AP1523</f>
        <v>1.9871041213735664E-2</v>
      </c>
      <c r="AQ420" s="22">
        <f t="shared" si="100"/>
        <v>1.9871041213735664E-2</v>
      </c>
      <c r="AR420" s="22">
        <f t="shared" si="100"/>
        <v>1.9871041213735664E-2</v>
      </c>
      <c r="AS420" s="22">
        <f t="shared" si="100"/>
        <v>1.9871041213735664E-2</v>
      </c>
      <c r="AT420" s="22">
        <f t="shared" si="100"/>
        <v>1.9871041213735664E-2</v>
      </c>
      <c r="AU420" s="22">
        <f t="shared" si="100"/>
        <v>1.9871041213735664E-2</v>
      </c>
      <c r="AV420" s="22">
        <f t="shared" si="100"/>
        <v>1.9871041213735664E-2</v>
      </c>
      <c r="AW420" s="22">
        <f t="shared" si="100"/>
        <v>1.9871041213735664E-2</v>
      </c>
      <c r="AY420" s="85"/>
    </row>
    <row r="421" spans="1:51" x14ac:dyDescent="0.25">
      <c r="A421" s="102" t="str">
        <f t="shared" si="93"/>
        <v>GS Leaching</v>
      </c>
      <c r="B421" s="102" t="s">
        <v>1022</v>
      </c>
      <c r="C421" s="102" t="s">
        <v>1191</v>
      </c>
      <c r="D421" t="s">
        <v>369</v>
      </c>
      <c r="E421" t="s">
        <v>61</v>
      </c>
      <c r="F421" t="s">
        <v>63</v>
      </c>
      <c r="G421" t="s">
        <v>1204</v>
      </c>
      <c r="H421" t="s">
        <v>1205</v>
      </c>
      <c r="I421" t="s">
        <v>139</v>
      </c>
      <c r="J421" t="s">
        <v>287</v>
      </c>
      <c r="K421" s="22" t="str">
        <f t="shared" si="90"/>
        <v>NO</v>
      </c>
      <c r="L421" s="22" t="str">
        <f t="shared" si="100"/>
        <v>NO</v>
      </c>
      <c r="M421" s="22" t="str">
        <f t="shared" si="100"/>
        <v>NO</v>
      </c>
      <c r="N421" s="22" t="str">
        <f t="shared" si="100"/>
        <v>NO</v>
      </c>
      <c r="O421" s="22" t="str">
        <f t="shared" si="100"/>
        <v>NO</v>
      </c>
      <c r="P421" s="22" t="str">
        <f t="shared" si="100"/>
        <v>NO</v>
      </c>
      <c r="Q421" s="22" t="str">
        <f t="shared" si="100"/>
        <v>NO</v>
      </c>
      <c r="R421" s="22" t="str">
        <f t="shared" si="100"/>
        <v>NO</v>
      </c>
      <c r="S421" s="22" t="str">
        <f t="shared" si="100"/>
        <v>NO</v>
      </c>
      <c r="T421" s="22" t="str">
        <f t="shared" si="100"/>
        <v>NO</v>
      </c>
      <c r="U421" s="22" t="str">
        <f t="shared" si="100"/>
        <v>NO</v>
      </c>
      <c r="V421" s="22" t="str">
        <f t="shared" si="100"/>
        <v>NO</v>
      </c>
      <c r="W421" s="22" t="str">
        <f t="shared" si="100"/>
        <v>NO</v>
      </c>
      <c r="X421" s="22" t="str">
        <f t="shared" si="100"/>
        <v>NO</v>
      </c>
      <c r="Y421" s="22" t="str">
        <f t="shared" si="100"/>
        <v>NO</v>
      </c>
      <c r="Z421" s="22" t="str">
        <f t="shared" si="100"/>
        <v>NO</v>
      </c>
      <c r="AA421" s="22" t="str">
        <f t="shared" si="100"/>
        <v>NO</v>
      </c>
      <c r="AB421" s="22" t="str">
        <f t="shared" si="100"/>
        <v>NO</v>
      </c>
      <c r="AC421" s="22" t="str">
        <f t="shared" si="100"/>
        <v>NO</v>
      </c>
      <c r="AD421" s="22" t="str">
        <f t="shared" si="100"/>
        <v>NO</v>
      </c>
      <c r="AE421" s="22" t="str">
        <f t="shared" si="100"/>
        <v>NO</v>
      </c>
      <c r="AF421" s="22" t="str">
        <f t="shared" si="100"/>
        <v>NO</v>
      </c>
      <c r="AG421" s="22" t="str">
        <f t="shared" si="100"/>
        <v>NO</v>
      </c>
      <c r="AH421" s="22" t="str">
        <f t="shared" si="100"/>
        <v>NO</v>
      </c>
      <c r="AI421" s="22" t="str">
        <f t="shared" si="100"/>
        <v>NO</v>
      </c>
      <c r="AJ421" s="22" t="str">
        <f t="shared" si="100"/>
        <v>NO</v>
      </c>
      <c r="AK421" s="22" t="str">
        <f t="shared" si="100"/>
        <v>NO</v>
      </c>
      <c r="AL421" s="22" t="str">
        <f t="shared" si="100"/>
        <v>NO</v>
      </c>
      <c r="AM421" s="22" t="str">
        <f t="shared" si="100"/>
        <v>NO</v>
      </c>
      <c r="AN421" s="22" t="str">
        <f t="shared" si="100"/>
        <v>NO</v>
      </c>
      <c r="AO421" s="22" t="str">
        <f t="shared" si="100"/>
        <v>NO</v>
      </c>
      <c r="AP421" s="22" t="str">
        <f t="shared" si="100"/>
        <v>NO</v>
      </c>
      <c r="AQ421" s="22" t="str">
        <f t="shared" si="100"/>
        <v>NO</v>
      </c>
      <c r="AR421" s="22" t="str">
        <f t="shared" si="100"/>
        <v>NO</v>
      </c>
      <c r="AS421" s="22" t="str">
        <f t="shared" si="100"/>
        <v>NO</v>
      </c>
      <c r="AT421" s="22" t="str">
        <f t="shared" si="100"/>
        <v>NO</v>
      </c>
      <c r="AU421" s="22" t="str">
        <f t="shared" si="100"/>
        <v>NO</v>
      </c>
      <c r="AV421" s="22" t="str">
        <f t="shared" si="100"/>
        <v>NO</v>
      </c>
      <c r="AW421" s="22" t="str">
        <f t="shared" si="100"/>
        <v>NO</v>
      </c>
      <c r="AY421" s="85"/>
    </row>
    <row r="422" spans="1:51" x14ac:dyDescent="0.25">
      <c r="A422" s="102" t="str">
        <f t="shared" si="93"/>
        <v>GS Leaching</v>
      </c>
      <c r="B422" s="102" t="s">
        <v>1022</v>
      </c>
      <c r="C422" s="102" t="s">
        <v>1191</v>
      </c>
      <c r="D422" t="s">
        <v>369</v>
      </c>
      <c r="E422" t="s">
        <v>61</v>
      </c>
      <c r="F422" t="s">
        <v>63</v>
      </c>
      <c r="G422" t="s">
        <v>1206</v>
      </c>
      <c r="H422" t="s">
        <v>1207</v>
      </c>
      <c r="I422" t="s">
        <v>139</v>
      </c>
      <c r="J422" t="s">
        <v>287</v>
      </c>
      <c r="K422" s="22" t="str">
        <f t="shared" si="90"/>
        <v>NO</v>
      </c>
      <c r="L422" s="22" t="str">
        <f t="shared" si="100"/>
        <v>NO</v>
      </c>
      <c r="M422" s="22" t="str">
        <f t="shared" si="100"/>
        <v>NO</v>
      </c>
      <c r="N422" s="22" t="str">
        <f t="shared" si="100"/>
        <v>NO</v>
      </c>
      <c r="O422" s="22" t="str">
        <f t="shared" si="100"/>
        <v>NO</v>
      </c>
      <c r="P422" s="22" t="str">
        <f t="shared" si="100"/>
        <v>NO</v>
      </c>
      <c r="Q422" s="22" t="str">
        <f t="shared" si="100"/>
        <v>NO</v>
      </c>
      <c r="R422" s="22" t="str">
        <f t="shared" si="100"/>
        <v>NO</v>
      </c>
      <c r="S422" s="22" t="str">
        <f t="shared" si="100"/>
        <v>NO</v>
      </c>
      <c r="T422" s="22" t="str">
        <f t="shared" si="100"/>
        <v>NO</v>
      </c>
      <c r="U422" s="22" t="str">
        <f t="shared" si="100"/>
        <v>NO</v>
      </c>
      <c r="V422" s="22" t="str">
        <f t="shared" si="100"/>
        <v>NO</v>
      </c>
      <c r="W422" s="22" t="str">
        <f t="shared" si="100"/>
        <v>NO</v>
      </c>
      <c r="X422" s="22" t="str">
        <f t="shared" si="100"/>
        <v>NO</v>
      </c>
      <c r="Y422" s="22" t="str">
        <f t="shared" si="100"/>
        <v>NO</v>
      </c>
      <c r="Z422" s="22" t="str">
        <f t="shared" si="100"/>
        <v>NO</v>
      </c>
      <c r="AA422" s="22" t="str">
        <f t="shared" si="100"/>
        <v>NO</v>
      </c>
      <c r="AB422" s="22" t="str">
        <f t="shared" si="100"/>
        <v>NO</v>
      </c>
      <c r="AC422" s="22" t="str">
        <f t="shared" si="100"/>
        <v>NO</v>
      </c>
      <c r="AD422" s="22" t="str">
        <f t="shared" si="100"/>
        <v>NO</v>
      </c>
      <c r="AE422" s="22" t="str">
        <f t="shared" si="100"/>
        <v>NO</v>
      </c>
      <c r="AF422" s="22" t="str">
        <f t="shared" si="100"/>
        <v>NO</v>
      </c>
      <c r="AG422" s="22" t="str">
        <f t="shared" si="100"/>
        <v>NO</v>
      </c>
      <c r="AH422" s="22" t="str">
        <f t="shared" si="100"/>
        <v>NO</v>
      </c>
      <c r="AI422" s="22" t="str">
        <f t="shared" si="100"/>
        <v>NO</v>
      </c>
      <c r="AJ422" s="22" t="str">
        <f t="shared" si="100"/>
        <v>NO</v>
      </c>
      <c r="AK422" s="22" t="str">
        <f t="shared" si="100"/>
        <v>NO</v>
      </c>
      <c r="AL422" s="22" t="str">
        <f t="shared" si="100"/>
        <v>NO</v>
      </c>
      <c r="AM422" s="22" t="str">
        <f t="shared" si="100"/>
        <v>NO</v>
      </c>
      <c r="AN422" s="22" t="str">
        <f t="shared" si="100"/>
        <v>NO</v>
      </c>
      <c r="AO422" s="22" t="str">
        <f t="shared" si="100"/>
        <v>NO</v>
      </c>
      <c r="AP422" s="22" t="str">
        <f t="shared" si="100"/>
        <v>NO</v>
      </c>
      <c r="AQ422" s="22" t="str">
        <f t="shared" si="100"/>
        <v>NO</v>
      </c>
      <c r="AR422" s="22" t="str">
        <f t="shared" si="100"/>
        <v>NO</v>
      </c>
      <c r="AS422" s="22" t="str">
        <f t="shared" si="100"/>
        <v>NO</v>
      </c>
      <c r="AT422" s="22" t="str">
        <f t="shared" si="100"/>
        <v>NO</v>
      </c>
      <c r="AU422" s="22" t="str">
        <f t="shared" si="100"/>
        <v>NO</v>
      </c>
      <c r="AV422" s="22" t="str">
        <f t="shared" si="100"/>
        <v>NO</v>
      </c>
      <c r="AW422" s="22" t="str">
        <f t="shared" si="100"/>
        <v>NO</v>
      </c>
      <c r="AY422" s="85"/>
    </row>
    <row r="423" spans="1:51" x14ac:dyDescent="0.25">
      <c r="A423" s="102" t="str">
        <f t="shared" si="93"/>
        <v>GS Leaching</v>
      </c>
      <c r="B423" s="102" t="s">
        <v>1022</v>
      </c>
      <c r="C423" s="102" t="s">
        <v>1191</v>
      </c>
      <c r="D423" t="s">
        <v>369</v>
      </c>
      <c r="E423" t="s">
        <v>61</v>
      </c>
      <c r="F423" t="s">
        <v>63</v>
      </c>
      <c r="G423" t="s">
        <v>1208</v>
      </c>
      <c r="H423" t="s">
        <v>1209</v>
      </c>
      <c r="I423" t="s">
        <v>139</v>
      </c>
      <c r="J423" t="s">
        <v>287</v>
      </c>
      <c r="K423" s="22" t="str">
        <f t="shared" si="90"/>
        <v>NO</v>
      </c>
      <c r="L423" s="22" t="str">
        <f t="shared" si="100"/>
        <v>NO</v>
      </c>
      <c r="M423" s="22" t="str">
        <f t="shared" si="100"/>
        <v>NO</v>
      </c>
      <c r="N423" s="22" t="str">
        <f t="shared" si="100"/>
        <v>NO</v>
      </c>
      <c r="O423" s="22" t="str">
        <f t="shared" si="100"/>
        <v>NO</v>
      </c>
      <c r="P423" s="22" t="str">
        <f t="shared" si="100"/>
        <v>NO</v>
      </c>
      <c r="Q423" s="22" t="str">
        <f t="shared" si="100"/>
        <v>NO</v>
      </c>
      <c r="R423" s="22" t="str">
        <f t="shared" si="100"/>
        <v>NO</v>
      </c>
      <c r="S423" s="22" t="str">
        <f t="shared" si="100"/>
        <v>NO</v>
      </c>
      <c r="T423" s="22" t="str">
        <f t="shared" si="100"/>
        <v>NO</v>
      </c>
      <c r="U423" s="22" t="str">
        <f t="shared" si="100"/>
        <v>NO</v>
      </c>
      <c r="V423" s="22" t="str">
        <f t="shared" si="100"/>
        <v>NO</v>
      </c>
      <c r="W423" s="22" t="str">
        <f t="shared" si="100"/>
        <v>NO</v>
      </c>
      <c r="X423" s="22" t="str">
        <f t="shared" si="100"/>
        <v>NO</v>
      </c>
      <c r="Y423" s="22" t="str">
        <f t="shared" si="100"/>
        <v>NO</v>
      </c>
      <c r="Z423" s="22" t="str">
        <f t="shared" si="100"/>
        <v>NO</v>
      </c>
      <c r="AA423" s="22" t="str">
        <f t="shared" si="100"/>
        <v>NO</v>
      </c>
      <c r="AB423" s="22" t="str">
        <f t="shared" si="100"/>
        <v>NO</v>
      </c>
      <c r="AC423" s="22" t="str">
        <f t="shared" si="100"/>
        <v>NO</v>
      </c>
      <c r="AD423" s="22" t="str">
        <f t="shared" si="100"/>
        <v>NO</v>
      </c>
      <c r="AE423" s="22" t="str">
        <f t="shared" si="100"/>
        <v>NO</v>
      </c>
      <c r="AF423" s="22" t="str">
        <f t="shared" si="100"/>
        <v>NO</v>
      </c>
      <c r="AG423" s="22" t="str">
        <f t="shared" si="100"/>
        <v>NO</v>
      </c>
      <c r="AH423" s="22" t="str">
        <f t="shared" si="100"/>
        <v>NO</v>
      </c>
      <c r="AI423" s="22" t="str">
        <f t="shared" si="100"/>
        <v>NO</v>
      </c>
      <c r="AJ423" s="22" t="str">
        <f t="shared" si="100"/>
        <v>NO</v>
      </c>
      <c r="AK423" s="22" t="str">
        <f t="shared" si="100"/>
        <v>NO</v>
      </c>
      <c r="AL423" s="22" t="str">
        <f t="shared" si="100"/>
        <v>NO</v>
      </c>
      <c r="AM423" s="22" t="str">
        <f t="shared" si="100"/>
        <v>NO</v>
      </c>
      <c r="AN423" s="22" t="str">
        <f t="shared" si="100"/>
        <v>NO</v>
      </c>
      <c r="AO423" s="22" t="str">
        <f t="shared" si="100"/>
        <v>NO</v>
      </c>
      <c r="AP423" s="22" t="str">
        <f t="shared" si="100"/>
        <v>NO</v>
      </c>
      <c r="AQ423" s="22" t="str">
        <f t="shared" si="100"/>
        <v>NO</v>
      </c>
      <c r="AR423" s="22" t="str">
        <f t="shared" si="100"/>
        <v>NO</v>
      </c>
      <c r="AS423" s="22" t="str">
        <f t="shared" si="100"/>
        <v>NO</v>
      </c>
      <c r="AT423" s="22" t="str">
        <f t="shared" si="100"/>
        <v>NO</v>
      </c>
      <c r="AU423" s="22" t="str">
        <f t="shared" si="100"/>
        <v>NO</v>
      </c>
      <c r="AV423" s="22" t="str">
        <f t="shared" si="100"/>
        <v>NO</v>
      </c>
      <c r="AW423" s="22" t="str">
        <f t="shared" si="100"/>
        <v>NO</v>
      </c>
      <c r="AY423" s="85"/>
    </row>
    <row r="424" spans="1:51" x14ac:dyDescent="0.25">
      <c r="A424" s="102" t="str">
        <f t="shared" si="93"/>
        <v>GS Leaching</v>
      </c>
      <c r="B424" s="102" t="s">
        <v>1022</v>
      </c>
      <c r="C424" s="102" t="s">
        <v>1191</v>
      </c>
      <c r="D424" t="s">
        <v>369</v>
      </c>
      <c r="E424" t="s">
        <v>61</v>
      </c>
      <c r="F424" t="s">
        <v>63</v>
      </c>
      <c r="G424" t="s">
        <v>1210</v>
      </c>
      <c r="H424" t="s">
        <v>1211</v>
      </c>
      <c r="I424" t="s">
        <v>139</v>
      </c>
      <c r="J424" t="s">
        <v>287</v>
      </c>
      <c r="K424" s="22">
        <f t="shared" si="90"/>
        <v>1.9333864620707719E-6</v>
      </c>
      <c r="L424" s="22">
        <f t="shared" si="100"/>
        <v>1.9333864620707719E-6</v>
      </c>
      <c r="M424" s="22">
        <f t="shared" si="100"/>
        <v>1.9333864620707719E-6</v>
      </c>
      <c r="N424" s="22">
        <f t="shared" si="100"/>
        <v>1.9333864620707719E-6</v>
      </c>
      <c r="O424" s="22">
        <f t="shared" si="100"/>
        <v>1.9333864620707719E-6</v>
      </c>
      <c r="P424" s="22">
        <f t="shared" si="100"/>
        <v>1.9333864620707719E-6</v>
      </c>
      <c r="Q424" s="22">
        <f t="shared" si="100"/>
        <v>1.9333864620707719E-6</v>
      </c>
      <c r="R424" s="22">
        <f t="shared" si="100"/>
        <v>1.9333864620707719E-6</v>
      </c>
      <c r="S424" s="22">
        <f t="shared" si="100"/>
        <v>1.9333864620707719E-6</v>
      </c>
      <c r="T424" s="22">
        <f t="shared" si="100"/>
        <v>1.9333864620707719E-6</v>
      </c>
      <c r="U424" s="22">
        <f t="shared" si="100"/>
        <v>1.9333864620707719E-6</v>
      </c>
      <c r="V424" s="22">
        <f t="shared" si="100"/>
        <v>1.9333864620707719E-6</v>
      </c>
      <c r="W424" s="22">
        <f t="shared" si="100"/>
        <v>1.9333864620707719E-6</v>
      </c>
      <c r="X424" s="22">
        <f t="shared" si="100"/>
        <v>1.9333864620707719E-6</v>
      </c>
      <c r="Y424" s="22">
        <f t="shared" si="100"/>
        <v>1.9333864620707719E-6</v>
      </c>
      <c r="Z424" s="22">
        <f t="shared" si="100"/>
        <v>1.9333864620707719E-6</v>
      </c>
      <c r="AA424" s="22">
        <f t="shared" si="100"/>
        <v>1.9333864620707719E-6</v>
      </c>
      <c r="AB424" s="22">
        <f t="shared" si="100"/>
        <v>1.9333864620707719E-6</v>
      </c>
      <c r="AC424" s="22">
        <f t="shared" si="100"/>
        <v>1.9333864620707719E-6</v>
      </c>
      <c r="AD424" s="22">
        <f t="shared" si="100"/>
        <v>1.9333864620707719E-6</v>
      </c>
      <c r="AE424" s="22">
        <f t="shared" si="100"/>
        <v>1.9333864620707719E-6</v>
      </c>
      <c r="AF424" s="22">
        <f t="shared" si="100"/>
        <v>1.9333864620707719E-6</v>
      </c>
      <c r="AG424" s="22">
        <f t="shared" si="100"/>
        <v>1.9333864620707719E-6</v>
      </c>
      <c r="AH424" s="22">
        <f t="shared" si="100"/>
        <v>1.9333864620707719E-6</v>
      </c>
      <c r="AI424" s="22">
        <f t="shared" si="100"/>
        <v>1.9333864620707719E-6</v>
      </c>
      <c r="AJ424" s="22">
        <f t="shared" si="100"/>
        <v>1.9333864620707719E-6</v>
      </c>
      <c r="AK424" s="22">
        <f t="shared" si="100"/>
        <v>1.9333864620707719E-6</v>
      </c>
      <c r="AL424" s="22">
        <f t="shared" si="100"/>
        <v>1.9333864620707719E-6</v>
      </c>
      <c r="AM424" s="22">
        <f t="shared" si="100"/>
        <v>1.9333864620707719E-6</v>
      </c>
      <c r="AN424" s="22">
        <f t="shared" si="100"/>
        <v>1.9333864620707719E-6</v>
      </c>
      <c r="AO424" s="22">
        <f t="shared" si="100"/>
        <v>1.9333864620707719E-6</v>
      </c>
      <c r="AP424" s="22">
        <f t="shared" si="100"/>
        <v>1.9333864620707719E-6</v>
      </c>
      <c r="AQ424" s="22">
        <f t="shared" si="100"/>
        <v>1.9333864620707719E-6</v>
      </c>
      <c r="AR424" s="22">
        <f t="shared" si="100"/>
        <v>1.9333864620707719E-6</v>
      </c>
      <c r="AS424" s="22">
        <f t="shared" si="100"/>
        <v>1.9333864620707719E-6</v>
      </c>
      <c r="AT424" s="22">
        <f t="shared" si="100"/>
        <v>1.9333864620707719E-6</v>
      </c>
      <c r="AU424" s="22">
        <f t="shared" si="100"/>
        <v>1.9333864620707719E-6</v>
      </c>
      <c r="AV424" s="22">
        <f t="shared" si="100"/>
        <v>1.9333864620707719E-6</v>
      </c>
      <c r="AW424" s="22">
        <f t="shared" si="100"/>
        <v>1.9333864620707719E-6</v>
      </c>
      <c r="AY424" s="85"/>
    </row>
    <row r="425" spans="1:51" x14ac:dyDescent="0.25">
      <c r="A425" s="102" t="str">
        <f t="shared" si="93"/>
        <v>GS Leaching</v>
      </c>
      <c r="B425" s="102" t="s">
        <v>1022</v>
      </c>
      <c r="C425" s="102" t="s">
        <v>1191</v>
      </c>
      <c r="D425" t="s">
        <v>369</v>
      </c>
      <c r="E425" t="s">
        <v>61</v>
      </c>
      <c r="F425" t="s">
        <v>63</v>
      </c>
      <c r="G425" t="s">
        <v>1212</v>
      </c>
      <c r="H425" t="s">
        <v>1213</v>
      </c>
      <c r="I425" t="s">
        <v>139</v>
      </c>
      <c r="J425" t="s">
        <v>287</v>
      </c>
      <c r="K425" s="22">
        <f t="shared" ref="K425:Z459" si="101">K1528</f>
        <v>2.1082459751876198E-3</v>
      </c>
      <c r="L425" s="22">
        <f t="shared" si="101"/>
        <v>2.1082459751876198E-3</v>
      </c>
      <c r="M425" s="22">
        <f t="shared" si="101"/>
        <v>2.1082459751876198E-3</v>
      </c>
      <c r="N425" s="22">
        <f t="shared" si="101"/>
        <v>2.1082459751876198E-3</v>
      </c>
      <c r="O425" s="22">
        <f t="shared" si="101"/>
        <v>2.1082459751876198E-3</v>
      </c>
      <c r="P425" s="22">
        <f t="shared" si="101"/>
        <v>2.1082459751876198E-3</v>
      </c>
      <c r="Q425" s="22">
        <f t="shared" si="101"/>
        <v>2.1082459751876198E-3</v>
      </c>
      <c r="R425" s="22">
        <f t="shared" si="101"/>
        <v>2.1082459751876198E-3</v>
      </c>
      <c r="S425" s="22">
        <f t="shared" si="101"/>
        <v>2.1082459751876198E-3</v>
      </c>
      <c r="T425" s="22">
        <f t="shared" si="101"/>
        <v>2.1082459751876198E-3</v>
      </c>
      <c r="U425" s="22">
        <f t="shared" si="101"/>
        <v>2.1082459751876198E-3</v>
      </c>
      <c r="V425" s="22">
        <f t="shared" si="101"/>
        <v>2.1082459751876198E-3</v>
      </c>
      <c r="W425" s="22">
        <f t="shared" si="101"/>
        <v>2.1082459751876198E-3</v>
      </c>
      <c r="X425" s="22">
        <f t="shared" si="101"/>
        <v>2.1082459751876198E-3</v>
      </c>
      <c r="Y425" s="22">
        <f t="shared" si="101"/>
        <v>2.1082459751876198E-3</v>
      </c>
      <c r="Z425" s="22">
        <f t="shared" si="101"/>
        <v>2.1082459751876198E-3</v>
      </c>
      <c r="AA425" s="22">
        <f t="shared" si="100"/>
        <v>2.1082459751876198E-3</v>
      </c>
      <c r="AB425" s="22">
        <f t="shared" si="100"/>
        <v>2.1082459751876198E-3</v>
      </c>
      <c r="AC425" s="22">
        <f t="shared" si="100"/>
        <v>2.1082459751876198E-3</v>
      </c>
      <c r="AD425" s="22">
        <f t="shared" si="100"/>
        <v>2.1082459751876198E-3</v>
      </c>
      <c r="AE425" s="22">
        <f t="shared" si="100"/>
        <v>2.1082459751876198E-3</v>
      </c>
      <c r="AF425" s="22">
        <f t="shared" si="100"/>
        <v>2.1082459751876198E-3</v>
      </c>
      <c r="AG425" s="22">
        <f t="shared" si="100"/>
        <v>2.1082459751876198E-3</v>
      </c>
      <c r="AH425" s="22">
        <f t="shared" si="100"/>
        <v>2.1082459751876198E-3</v>
      </c>
      <c r="AI425" s="22">
        <f t="shared" si="100"/>
        <v>2.1082459751876198E-3</v>
      </c>
      <c r="AJ425" s="22">
        <f t="shared" si="100"/>
        <v>2.1082459751876198E-3</v>
      </c>
      <c r="AK425" s="22">
        <f t="shared" si="100"/>
        <v>2.1082459751876198E-3</v>
      </c>
      <c r="AL425" s="22">
        <f t="shared" si="100"/>
        <v>2.1082459751876198E-3</v>
      </c>
      <c r="AM425" s="22">
        <f t="shared" si="100"/>
        <v>2.1082459751876198E-3</v>
      </c>
      <c r="AN425" s="22">
        <f t="shared" si="100"/>
        <v>2.1082459751876198E-3</v>
      </c>
      <c r="AO425" s="22">
        <f t="shared" si="100"/>
        <v>2.1082459751876198E-3</v>
      </c>
      <c r="AP425" s="22">
        <f t="shared" si="100"/>
        <v>2.1082459751876198E-3</v>
      </c>
      <c r="AQ425" s="22">
        <f t="shared" si="100"/>
        <v>2.1082459751876198E-3</v>
      </c>
      <c r="AR425" s="22">
        <f t="shared" si="100"/>
        <v>2.1082459751876198E-3</v>
      </c>
      <c r="AS425" s="22">
        <f t="shared" si="100"/>
        <v>2.1082459751876198E-3</v>
      </c>
      <c r="AT425" s="22">
        <f t="shared" si="100"/>
        <v>2.1082459751876198E-3</v>
      </c>
      <c r="AU425" s="22">
        <f t="shared" si="100"/>
        <v>2.1082459751876198E-3</v>
      </c>
      <c r="AV425" s="22">
        <f t="shared" si="100"/>
        <v>2.1082459751876198E-3</v>
      </c>
      <c r="AW425" s="22">
        <f t="shared" si="100"/>
        <v>2.1082459751876198E-3</v>
      </c>
      <c r="AY425" s="85"/>
    </row>
    <row r="426" spans="1:51" x14ac:dyDescent="0.25">
      <c r="A426" s="102" t="str">
        <f t="shared" si="93"/>
        <v>GS Leaching</v>
      </c>
      <c r="B426" s="102" t="s">
        <v>1022</v>
      </c>
      <c r="C426" s="102" t="s">
        <v>1191</v>
      </c>
      <c r="D426" t="s">
        <v>369</v>
      </c>
      <c r="E426" t="s">
        <v>61</v>
      </c>
      <c r="F426" t="s">
        <v>63</v>
      </c>
      <c r="G426" t="s">
        <v>1214</v>
      </c>
      <c r="H426" t="s">
        <v>1215</v>
      </c>
      <c r="I426" t="s">
        <v>139</v>
      </c>
      <c r="J426" t="s">
        <v>287</v>
      </c>
      <c r="K426" s="22" t="str">
        <f t="shared" si="101"/>
        <v>NO</v>
      </c>
      <c r="L426" s="22" t="str">
        <f t="shared" si="100"/>
        <v>NO</v>
      </c>
      <c r="M426" s="22" t="str">
        <f t="shared" si="100"/>
        <v>NO</v>
      </c>
      <c r="N426" s="22" t="str">
        <f t="shared" si="100"/>
        <v>NO</v>
      </c>
      <c r="O426" s="22" t="str">
        <f t="shared" si="100"/>
        <v>NO</v>
      </c>
      <c r="P426" s="22" t="str">
        <f t="shared" si="100"/>
        <v>NO</v>
      </c>
      <c r="Q426" s="22" t="str">
        <f t="shared" si="100"/>
        <v>NO</v>
      </c>
      <c r="R426" s="22" t="str">
        <f t="shared" si="100"/>
        <v>NO</v>
      </c>
      <c r="S426" s="22" t="str">
        <f t="shared" si="100"/>
        <v>NO</v>
      </c>
      <c r="T426" s="22" t="str">
        <f t="shared" si="100"/>
        <v>NO</v>
      </c>
      <c r="U426" s="22" t="str">
        <f t="shared" si="100"/>
        <v>NO</v>
      </c>
      <c r="V426" s="22" t="str">
        <f t="shared" si="100"/>
        <v>NO</v>
      </c>
      <c r="W426" s="22" t="str">
        <f t="shared" si="100"/>
        <v>NO</v>
      </c>
      <c r="X426" s="22" t="str">
        <f t="shared" si="100"/>
        <v>NO</v>
      </c>
      <c r="Y426" s="22" t="str">
        <f t="shared" si="100"/>
        <v>NO</v>
      </c>
      <c r="Z426" s="22" t="str">
        <f t="shared" si="100"/>
        <v>NO</v>
      </c>
      <c r="AA426" s="22" t="str">
        <f t="shared" si="100"/>
        <v>NO</v>
      </c>
      <c r="AB426" s="22" t="str">
        <f t="shared" si="100"/>
        <v>NO</v>
      </c>
      <c r="AC426" s="22" t="str">
        <f t="shared" si="100"/>
        <v>NO</v>
      </c>
      <c r="AD426" s="22" t="str">
        <f t="shared" si="100"/>
        <v>NO</v>
      </c>
      <c r="AE426" s="22" t="str">
        <f t="shared" si="100"/>
        <v>NO</v>
      </c>
      <c r="AF426" s="22" t="str">
        <f t="shared" si="100"/>
        <v>NO</v>
      </c>
      <c r="AG426" s="22" t="str">
        <f t="shared" si="100"/>
        <v>NO</v>
      </c>
      <c r="AH426" s="22" t="str">
        <f t="shared" si="100"/>
        <v>NO</v>
      </c>
      <c r="AI426" s="22" t="str">
        <f t="shared" si="100"/>
        <v>NO</v>
      </c>
      <c r="AJ426" s="22" t="str">
        <f t="shared" si="100"/>
        <v>NO</v>
      </c>
      <c r="AK426" s="22" t="str">
        <f t="shared" si="100"/>
        <v>NO</v>
      </c>
      <c r="AL426" s="22" t="str">
        <f t="shared" si="100"/>
        <v>NO</v>
      </c>
      <c r="AM426" s="22" t="str">
        <f t="shared" si="100"/>
        <v>NO</v>
      </c>
      <c r="AN426" s="22" t="str">
        <f t="shared" si="100"/>
        <v>NO</v>
      </c>
      <c r="AO426" s="22" t="str">
        <f t="shared" si="100"/>
        <v>NO</v>
      </c>
      <c r="AP426" s="22" t="str">
        <f t="shared" si="100"/>
        <v>NO</v>
      </c>
      <c r="AQ426" s="22" t="str">
        <f t="shared" si="100"/>
        <v>NO</v>
      </c>
      <c r="AR426" s="22" t="str">
        <f t="shared" si="100"/>
        <v>NO</v>
      </c>
      <c r="AS426" s="22" t="str">
        <f t="shared" si="100"/>
        <v>NO</v>
      </c>
      <c r="AT426" s="22" t="str">
        <f t="shared" si="100"/>
        <v>NO</v>
      </c>
      <c r="AU426" s="22" t="str">
        <f t="shared" si="100"/>
        <v>NO</v>
      </c>
      <c r="AV426" s="22" t="str">
        <f t="shared" si="100"/>
        <v>NO</v>
      </c>
      <c r="AW426" s="22" t="str">
        <f t="shared" si="100"/>
        <v>NO</v>
      </c>
      <c r="AY426" s="85"/>
    </row>
    <row r="427" spans="1:51" x14ac:dyDescent="0.25">
      <c r="A427" s="102"/>
      <c r="B427" s="102" t="s">
        <v>1022</v>
      </c>
      <c r="C427" s="102"/>
      <c r="D427" t="s">
        <v>369</v>
      </c>
      <c r="E427" t="s">
        <v>61</v>
      </c>
      <c r="F427" t="s">
        <v>63</v>
      </c>
      <c r="G427" t="s">
        <v>1216</v>
      </c>
      <c r="H427" t="s">
        <v>1217</v>
      </c>
      <c r="I427" t="s">
        <v>139</v>
      </c>
      <c r="J427" t="s">
        <v>287</v>
      </c>
      <c r="K427" s="22">
        <f t="shared" si="101"/>
        <v>0.11026792439175388</v>
      </c>
      <c r="L427" s="22">
        <f t="shared" si="100"/>
        <v>0.11026792439175388</v>
      </c>
      <c r="M427" s="22">
        <f t="shared" si="100"/>
        <v>0.11026792439175388</v>
      </c>
      <c r="N427" s="22">
        <f t="shared" si="100"/>
        <v>0.11026792439175388</v>
      </c>
      <c r="O427" s="22">
        <f t="shared" si="100"/>
        <v>0.11026792439175388</v>
      </c>
      <c r="P427" s="22">
        <f t="shared" si="100"/>
        <v>0.11026792439175388</v>
      </c>
      <c r="Q427" s="22">
        <f t="shared" si="100"/>
        <v>0.11026792439175388</v>
      </c>
      <c r="R427" s="22">
        <f t="shared" si="100"/>
        <v>0.11026792439175388</v>
      </c>
      <c r="S427" s="22">
        <f t="shared" si="100"/>
        <v>0.11026792439175388</v>
      </c>
      <c r="T427" s="22">
        <f t="shared" si="100"/>
        <v>0.11026792439175388</v>
      </c>
      <c r="U427" s="22">
        <f t="shared" si="100"/>
        <v>0.11026792439175388</v>
      </c>
      <c r="V427" s="22">
        <f t="shared" si="100"/>
        <v>0.11026792439175388</v>
      </c>
      <c r="W427" s="22">
        <f t="shared" si="100"/>
        <v>0.11026792439175388</v>
      </c>
      <c r="X427" s="22">
        <f t="shared" si="100"/>
        <v>0.11026792439175388</v>
      </c>
      <c r="Y427" s="22">
        <f t="shared" si="100"/>
        <v>0.11026792439175388</v>
      </c>
      <c r="Z427" s="22">
        <f t="shared" si="100"/>
        <v>0.11026792439175388</v>
      </c>
      <c r="AA427" s="22">
        <f t="shared" si="100"/>
        <v>0.11026792439175388</v>
      </c>
      <c r="AB427" s="22">
        <f t="shared" si="100"/>
        <v>0.11026792439175388</v>
      </c>
      <c r="AC427" s="22">
        <f t="shared" si="100"/>
        <v>0.11026792439175388</v>
      </c>
      <c r="AD427" s="22">
        <f t="shared" si="100"/>
        <v>0.11026792439175388</v>
      </c>
      <c r="AE427" s="22">
        <f t="shared" si="100"/>
        <v>0.11026792439175388</v>
      </c>
      <c r="AF427" s="22">
        <f t="shared" si="100"/>
        <v>0.11026792439175388</v>
      </c>
      <c r="AG427" s="22">
        <f t="shared" si="100"/>
        <v>0.11026792439175388</v>
      </c>
      <c r="AH427" s="22">
        <f t="shared" si="100"/>
        <v>0.11026792439175388</v>
      </c>
      <c r="AI427" s="22">
        <f t="shared" si="100"/>
        <v>0.11026792439175388</v>
      </c>
      <c r="AJ427" s="22">
        <f t="shared" si="100"/>
        <v>0.11026792439175388</v>
      </c>
      <c r="AK427" s="22">
        <f t="shared" si="100"/>
        <v>0.11026792439175388</v>
      </c>
      <c r="AL427" s="22">
        <f t="shared" si="100"/>
        <v>0.11026792439175388</v>
      </c>
      <c r="AM427" s="22">
        <f t="shared" si="100"/>
        <v>0.11026792439175388</v>
      </c>
      <c r="AN427" s="22">
        <f t="shared" si="100"/>
        <v>0.11026792439175388</v>
      </c>
      <c r="AO427" s="22">
        <f t="shared" si="100"/>
        <v>0.11026792439175388</v>
      </c>
      <c r="AP427" s="22">
        <f t="shared" si="100"/>
        <v>0.11026792439175388</v>
      </c>
      <c r="AQ427" s="22">
        <f t="shared" si="100"/>
        <v>0.11026792439175388</v>
      </c>
      <c r="AR427" s="22">
        <f t="shared" si="100"/>
        <v>0.11026792439175388</v>
      </c>
      <c r="AS427" s="22">
        <f t="shared" si="100"/>
        <v>0.11026792439175388</v>
      </c>
      <c r="AT427" s="22">
        <f t="shared" ref="L427:AW434" si="102">AT1530</f>
        <v>0.11026792439175388</v>
      </c>
      <c r="AU427" s="22">
        <f t="shared" si="102"/>
        <v>0.11026792439175388</v>
      </c>
      <c r="AV427" s="22">
        <f t="shared" si="102"/>
        <v>0.11026792439175388</v>
      </c>
      <c r="AW427" s="22">
        <f t="shared" si="102"/>
        <v>0.11026792439175388</v>
      </c>
      <c r="AY427" s="85"/>
    </row>
    <row r="428" spans="1:51" x14ac:dyDescent="0.25">
      <c r="A428" s="102" t="str">
        <f t="shared" si="93"/>
        <v>GS MM Volatilisation</v>
      </c>
      <c r="B428" s="102" t="s">
        <v>1022</v>
      </c>
      <c r="C428" s="102" t="s">
        <v>1333</v>
      </c>
      <c r="D428" t="s">
        <v>369</v>
      </c>
      <c r="E428" t="s">
        <v>64</v>
      </c>
      <c r="F428" t="s">
        <v>62</v>
      </c>
      <c r="G428" t="s">
        <v>1153</v>
      </c>
      <c r="H428" t="s">
        <v>1291</v>
      </c>
      <c r="I428" t="s">
        <v>139</v>
      </c>
      <c r="J428" t="s">
        <v>287</v>
      </c>
      <c r="K428" s="22">
        <f t="shared" si="101"/>
        <v>0.39681521114916435</v>
      </c>
      <c r="L428" s="22">
        <f t="shared" si="102"/>
        <v>0.39928346869815806</v>
      </c>
      <c r="M428" s="22">
        <f t="shared" si="102"/>
        <v>0.4009804297645459</v>
      </c>
      <c r="N428" s="22">
        <f t="shared" si="102"/>
        <v>0.40151262173495006</v>
      </c>
      <c r="O428" s="22">
        <f t="shared" si="102"/>
        <v>0.40223259805813538</v>
      </c>
      <c r="P428" s="22">
        <f t="shared" si="102"/>
        <v>0.40380961974030649</v>
      </c>
      <c r="Q428" s="22">
        <f t="shared" si="102"/>
        <v>0.40570030877561336</v>
      </c>
      <c r="R428" s="22">
        <f t="shared" si="102"/>
        <v>0.4062682914839757</v>
      </c>
      <c r="S428" s="22">
        <f t="shared" si="102"/>
        <v>0.39379594618948027</v>
      </c>
      <c r="T428" s="22">
        <f t="shared" si="102"/>
        <v>0.39703951074089222</v>
      </c>
      <c r="U428" s="22">
        <f t="shared" si="102"/>
        <v>0.40001376732014149</v>
      </c>
      <c r="V428" s="22">
        <f t="shared" si="102"/>
        <v>0.4030633713994573</v>
      </c>
      <c r="W428" s="22">
        <f t="shared" si="102"/>
        <v>0.40673703435821862</v>
      </c>
      <c r="X428" s="22">
        <f t="shared" si="102"/>
        <v>0.41047963139436411</v>
      </c>
      <c r="Y428" s="22">
        <f t="shared" si="102"/>
        <v>0.41412386702749909</v>
      </c>
      <c r="Z428" s="22">
        <f t="shared" si="102"/>
        <v>0.41769519693164076</v>
      </c>
      <c r="AA428" s="22">
        <f t="shared" si="102"/>
        <v>0.42154191092161625</v>
      </c>
      <c r="AB428" s="22">
        <f t="shared" si="102"/>
        <v>0.42518467345636607</v>
      </c>
      <c r="AC428" s="22">
        <f t="shared" si="102"/>
        <v>0.42895809934446105</v>
      </c>
      <c r="AD428" s="22">
        <f t="shared" si="102"/>
        <v>0.43329342136251764</v>
      </c>
      <c r="AE428" s="22">
        <f t="shared" si="102"/>
        <v>0.43801504276628445</v>
      </c>
      <c r="AF428" s="22">
        <f t="shared" si="102"/>
        <v>0.44292407628311159</v>
      </c>
      <c r="AG428" s="22">
        <f t="shared" si="102"/>
        <v>0.44360979324480354</v>
      </c>
      <c r="AH428" s="22">
        <f t="shared" si="102"/>
        <v>0.23750435523455551</v>
      </c>
      <c r="AI428" s="22">
        <f t="shared" si="102"/>
        <v>0.23767903823802267</v>
      </c>
      <c r="AJ428" s="22">
        <f t="shared" si="102"/>
        <v>0.23787666796336571</v>
      </c>
      <c r="AK428" s="22">
        <f t="shared" si="102"/>
        <v>0.23809637221397845</v>
      </c>
      <c r="AL428" s="22">
        <f t="shared" si="102"/>
        <v>0.2383373459663993</v>
      </c>
      <c r="AM428" s="22">
        <f t="shared" si="102"/>
        <v>0.23859884500343068</v>
      </c>
      <c r="AN428" s="22">
        <f t="shared" si="102"/>
        <v>0.23871142815197754</v>
      </c>
      <c r="AO428" s="22">
        <f t="shared" si="102"/>
        <v>0.23884208664335624</v>
      </c>
      <c r="AP428" s="22">
        <f t="shared" si="102"/>
        <v>0.23899018916140971</v>
      </c>
      <c r="AQ428" s="22">
        <f t="shared" si="102"/>
        <v>0.2391551474689631</v>
      </c>
      <c r="AR428" s="22">
        <f t="shared" si="102"/>
        <v>0.23933641275222764</v>
      </c>
      <c r="AS428" s="22">
        <f t="shared" si="102"/>
        <v>0.23936290185366965</v>
      </c>
      <c r="AT428" s="22">
        <f t="shared" si="102"/>
        <v>0.23940384749309143</v>
      </c>
      <c r="AU428" s="22">
        <f t="shared" si="102"/>
        <v>0.23945877050598915</v>
      </c>
      <c r="AV428" s="22">
        <f t="shared" si="102"/>
        <v>0.23952722091813589</v>
      </c>
      <c r="AW428" s="22">
        <f t="shared" si="102"/>
        <v>0.23960877570322184</v>
      </c>
      <c r="AY428" s="85"/>
    </row>
    <row r="429" spans="1:51" x14ac:dyDescent="0.25">
      <c r="A429" s="102" t="str">
        <f t="shared" si="93"/>
        <v>GS MM Volatilisation</v>
      </c>
      <c r="B429" s="102" t="s">
        <v>1022</v>
      </c>
      <c r="C429" s="102" t="s">
        <v>1333</v>
      </c>
      <c r="D429" t="s">
        <v>369</v>
      </c>
      <c r="E429" t="s">
        <v>64</v>
      </c>
      <c r="F429" t="s">
        <v>62</v>
      </c>
      <c r="G429" t="s">
        <v>1155</v>
      </c>
      <c r="H429" t="s">
        <v>1292</v>
      </c>
      <c r="I429" t="s">
        <v>139</v>
      </c>
      <c r="J429" t="s">
        <v>287</v>
      </c>
      <c r="K429" s="22">
        <f t="shared" si="101"/>
        <v>3.1306447478246062E-2</v>
      </c>
      <c r="L429" s="22">
        <f t="shared" si="102"/>
        <v>3.1501178862399851E-2</v>
      </c>
      <c r="M429" s="22">
        <f t="shared" si="102"/>
        <v>3.163505937152563E-2</v>
      </c>
      <c r="N429" s="22">
        <f t="shared" si="102"/>
        <v>3.167704626996521E-2</v>
      </c>
      <c r="O429" s="22">
        <f t="shared" si="102"/>
        <v>3.1733848278341123E-2</v>
      </c>
      <c r="P429" s="22">
        <f t="shared" si="102"/>
        <v>3.1858266256981516E-2</v>
      </c>
      <c r="Q429" s="22">
        <f t="shared" si="102"/>
        <v>3.2007430793315993E-2</v>
      </c>
      <c r="R429" s="22">
        <f t="shared" si="102"/>
        <v>3.2052241375996028E-2</v>
      </c>
      <c r="S429" s="22">
        <f t="shared" si="102"/>
        <v>3.1068244765175855E-2</v>
      </c>
      <c r="T429" s="22">
        <f t="shared" si="102"/>
        <v>3.1324143431401406E-2</v>
      </c>
      <c r="U429" s="22">
        <f t="shared" si="102"/>
        <v>3.1558795241031987E-2</v>
      </c>
      <c r="V429" s="22">
        <f t="shared" si="102"/>
        <v>3.1799391536879773E-2</v>
      </c>
      <c r="W429" s="22">
        <f t="shared" si="102"/>
        <v>3.2089222504140757E-2</v>
      </c>
      <c r="X429" s="22">
        <f t="shared" si="102"/>
        <v>3.2384491975300946E-2</v>
      </c>
      <c r="Y429" s="22">
        <f t="shared" si="102"/>
        <v>3.2672001295109276E-2</v>
      </c>
      <c r="Z429" s="22">
        <f t="shared" si="102"/>
        <v>3.2953758770453305E-2</v>
      </c>
      <c r="AA429" s="22">
        <f t="shared" si="102"/>
        <v>3.3257242472961211E-2</v>
      </c>
      <c r="AB429" s="22">
        <f t="shared" si="102"/>
        <v>3.3544635573743833E-2</v>
      </c>
      <c r="AC429" s="22">
        <f t="shared" si="102"/>
        <v>3.3842337264756606E-2</v>
      </c>
      <c r="AD429" s="22">
        <f t="shared" si="102"/>
        <v>3.4184369342273299E-2</v>
      </c>
      <c r="AE429" s="22">
        <f t="shared" si="102"/>
        <v>3.4556878228868437E-2</v>
      </c>
      <c r="AF429" s="22">
        <f t="shared" si="102"/>
        <v>3.494417285781784E-2</v>
      </c>
      <c r="AG429" s="22">
        <f t="shared" si="102"/>
        <v>3.4998271998785704E-2</v>
      </c>
      <c r="AH429" s="22">
        <f t="shared" si="102"/>
        <v>1.873773336831663E-2</v>
      </c>
      <c r="AI429" s="22">
        <f t="shared" si="102"/>
        <v>1.8751514856827491E-2</v>
      </c>
      <c r="AJ429" s="22">
        <f t="shared" si="102"/>
        <v>1.8767106710271497E-2</v>
      </c>
      <c r="AK429" s="22">
        <f t="shared" si="102"/>
        <v>1.8784440117331772E-2</v>
      </c>
      <c r="AL429" s="22">
        <f t="shared" si="102"/>
        <v>1.8803451566267792E-2</v>
      </c>
      <c r="AM429" s="22">
        <f t="shared" si="102"/>
        <v>1.882408234260504E-2</v>
      </c>
      <c r="AN429" s="22">
        <f t="shared" si="102"/>
        <v>1.883296450822745E-2</v>
      </c>
      <c r="AO429" s="22">
        <f t="shared" si="102"/>
        <v>1.8843272714876302E-2</v>
      </c>
      <c r="AP429" s="22">
        <f t="shared" si="102"/>
        <v>1.8854957155322545E-2</v>
      </c>
      <c r="AQ429" s="22">
        <f t="shared" si="102"/>
        <v>1.8867971421022103E-2</v>
      </c>
      <c r="AR429" s="22">
        <f t="shared" si="102"/>
        <v>1.8882272213710256E-2</v>
      </c>
      <c r="AS429" s="22">
        <f t="shared" si="102"/>
        <v>1.888436205210289E-2</v>
      </c>
      <c r="AT429" s="22">
        <f t="shared" si="102"/>
        <v>1.8887592428545139E-2</v>
      </c>
      <c r="AU429" s="22">
        <f t="shared" si="102"/>
        <v>1.8891925539701964E-2</v>
      </c>
      <c r="AV429" s="22">
        <f t="shared" si="102"/>
        <v>1.8897325885184005E-2</v>
      </c>
      <c r="AW429" s="22">
        <f t="shared" si="102"/>
        <v>1.8903760090638235E-2</v>
      </c>
      <c r="AY429" s="85"/>
    </row>
    <row r="430" spans="1:51" x14ac:dyDescent="0.25">
      <c r="A430" s="102" t="str">
        <f t="shared" si="93"/>
        <v>GS MM Volatilisation</v>
      </c>
      <c r="B430" s="102" t="s">
        <v>1022</v>
      </c>
      <c r="C430" s="102" t="s">
        <v>1333</v>
      </c>
      <c r="D430" t="s">
        <v>369</v>
      </c>
      <c r="E430" t="s">
        <v>64</v>
      </c>
      <c r="F430" t="s">
        <v>62</v>
      </c>
      <c r="G430" t="s">
        <v>1157</v>
      </c>
      <c r="H430" t="s">
        <v>1293</v>
      </c>
      <c r="I430" t="s">
        <v>139</v>
      </c>
      <c r="J430" t="s">
        <v>287</v>
      </c>
      <c r="K430" s="22">
        <f t="shared" si="101"/>
        <v>2.9019834302377478E-4</v>
      </c>
      <c r="L430" s="22">
        <f t="shared" si="102"/>
        <v>2.9200342566866507E-4</v>
      </c>
      <c r="M430" s="22">
        <f t="shared" si="102"/>
        <v>2.9324444485292345E-4</v>
      </c>
      <c r="N430" s="22">
        <f t="shared" si="102"/>
        <v>2.9363364673743434E-4</v>
      </c>
      <c r="O430" s="22">
        <f t="shared" si="102"/>
        <v>2.9416017881114109E-4</v>
      </c>
      <c r="P430" s="22">
        <f t="shared" si="102"/>
        <v>2.9531348409334853E-4</v>
      </c>
      <c r="Q430" s="22">
        <f t="shared" si="102"/>
        <v>2.9669618014381078E-4</v>
      </c>
      <c r="R430" s="22">
        <f t="shared" si="102"/>
        <v>2.971115564605491E-4</v>
      </c>
      <c r="S430" s="22">
        <f t="shared" si="102"/>
        <v>2.879902984130032E-4</v>
      </c>
      <c r="T430" s="22">
        <f t="shared" si="102"/>
        <v>2.9036237748624366E-4</v>
      </c>
      <c r="U430" s="22">
        <f t="shared" si="102"/>
        <v>2.9253750663143477E-4</v>
      </c>
      <c r="V430" s="22">
        <f t="shared" si="102"/>
        <v>2.9476773880457414E-4</v>
      </c>
      <c r="W430" s="22">
        <f t="shared" si="102"/>
        <v>2.9745435684114832E-4</v>
      </c>
      <c r="X430" s="22">
        <f t="shared" si="102"/>
        <v>3.0019138765040044E-4</v>
      </c>
      <c r="Y430" s="22">
        <f t="shared" si="102"/>
        <v>3.0285648493651841E-4</v>
      </c>
      <c r="Z430" s="22">
        <f t="shared" si="102"/>
        <v>3.0546826490728061E-4</v>
      </c>
      <c r="AA430" s="22">
        <f t="shared" si="102"/>
        <v>3.0828143838101019E-4</v>
      </c>
      <c r="AB430" s="22">
        <f t="shared" si="102"/>
        <v>3.1094545836288565E-4</v>
      </c>
      <c r="AC430" s="22">
        <f t="shared" si="102"/>
        <v>3.1370503488485662E-4</v>
      </c>
      <c r="AD430" s="22">
        <f t="shared" si="102"/>
        <v>3.1687553649559658E-4</v>
      </c>
      <c r="AE430" s="22">
        <f t="shared" si="102"/>
        <v>3.2032854603066614E-4</v>
      </c>
      <c r="AF430" s="22">
        <f t="shared" si="102"/>
        <v>3.2391861352910146E-4</v>
      </c>
      <c r="AG430" s="22">
        <f t="shared" si="102"/>
        <v>3.2442009109466666E-4</v>
      </c>
      <c r="AH430" s="22">
        <f t="shared" si="102"/>
        <v>1.7369135157495116E-4</v>
      </c>
      <c r="AI430" s="22">
        <f t="shared" si="102"/>
        <v>1.7381910050376308E-4</v>
      </c>
      <c r="AJ430" s="22">
        <f t="shared" si="102"/>
        <v>1.7396363079699625E-4</v>
      </c>
      <c r="AK430" s="22">
        <f t="shared" si="102"/>
        <v>1.7412430460105353E-4</v>
      </c>
      <c r="AL430" s="22">
        <f t="shared" si="102"/>
        <v>1.7430053318730711E-4</v>
      </c>
      <c r="AM430" s="22">
        <f t="shared" si="102"/>
        <v>1.7449177229588125E-4</v>
      </c>
      <c r="AN430" s="22">
        <f t="shared" si="102"/>
        <v>1.7457410644599133E-4</v>
      </c>
      <c r="AO430" s="22">
        <f t="shared" si="102"/>
        <v>1.7466965943044039E-4</v>
      </c>
      <c r="AP430" s="22">
        <f t="shared" si="102"/>
        <v>1.7477796955598287E-4</v>
      </c>
      <c r="AQ430" s="22">
        <f t="shared" si="102"/>
        <v>1.7489860663383425E-4</v>
      </c>
      <c r="AR430" s="22">
        <f t="shared" si="102"/>
        <v>1.7503116930626492E-4</v>
      </c>
      <c r="AS430" s="22">
        <f t="shared" si="102"/>
        <v>1.7505054127873651E-4</v>
      </c>
      <c r="AT430" s="22">
        <f t="shared" si="102"/>
        <v>1.7508048558626403E-4</v>
      </c>
      <c r="AU430" s="22">
        <f t="shared" si="102"/>
        <v>1.7512065180693548E-4</v>
      </c>
      <c r="AV430" s="22">
        <f t="shared" si="102"/>
        <v>1.7517071086623097E-4</v>
      </c>
      <c r="AW430" s="22">
        <f t="shared" si="102"/>
        <v>1.752303533971437E-4</v>
      </c>
      <c r="AY430" s="85"/>
    </row>
    <row r="431" spans="1:51" x14ac:dyDescent="0.25">
      <c r="A431" s="102" t="str">
        <f t="shared" si="93"/>
        <v>GS MM Volatilisation</v>
      </c>
      <c r="B431" s="102" t="s">
        <v>1022</v>
      </c>
      <c r="C431" s="102" t="s">
        <v>1333</v>
      </c>
      <c r="D431" t="s">
        <v>369</v>
      </c>
      <c r="E431" t="s">
        <v>64</v>
      </c>
      <c r="F431" t="s">
        <v>62</v>
      </c>
      <c r="G431" t="s">
        <v>1159</v>
      </c>
      <c r="H431" t="s">
        <v>1294</v>
      </c>
      <c r="I431" t="s">
        <v>139</v>
      </c>
      <c r="J431" t="s">
        <v>287</v>
      </c>
      <c r="K431" s="22">
        <f t="shared" si="101"/>
        <v>3.2608020345335862E-3</v>
      </c>
      <c r="L431" s="22">
        <f t="shared" si="102"/>
        <v>3.2391880107785257E-3</v>
      </c>
      <c r="M431" s="22">
        <f t="shared" si="102"/>
        <v>3.1936162901030117E-3</v>
      </c>
      <c r="N431" s="22">
        <f t="shared" si="102"/>
        <v>3.1167988395678259E-3</v>
      </c>
      <c r="O431" s="22">
        <f t="shared" si="102"/>
        <v>3.0422686858160779E-3</v>
      </c>
      <c r="P431" s="22">
        <f t="shared" si="102"/>
        <v>2.9849445368563851E-3</v>
      </c>
      <c r="Q431" s="22">
        <f t="shared" si="102"/>
        <v>2.9330944027971869E-3</v>
      </c>
      <c r="R431" s="22">
        <f t="shared" si="102"/>
        <v>2.8515726706301167E-3</v>
      </c>
      <c r="S431" s="22">
        <f t="shared" si="102"/>
        <v>2.5010020765287512E-3</v>
      </c>
      <c r="T431" s="22">
        <f t="shared" si="102"/>
        <v>2.5248406363190491E-3</v>
      </c>
      <c r="U431" s="22">
        <f t="shared" si="102"/>
        <v>2.5409715409254918E-3</v>
      </c>
      <c r="V431" s="22">
        <f t="shared" si="102"/>
        <v>2.5565777764954734E-3</v>
      </c>
      <c r="W431" s="22">
        <f t="shared" si="102"/>
        <v>2.5823867364318034E-3</v>
      </c>
      <c r="X431" s="22">
        <f t="shared" si="102"/>
        <v>2.6073450964004788E-3</v>
      </c>
      <c r="Y431" s="22">
        <f t="shared" si="102"/>
        <v>2.6335476280108239E-3</v>
      </c>
      <c r="Z431" s="22">
        <f t="shared" si="102"/>
        <v>2.6563592492195348E-3</v>
      </c>
      <c r="AA431" s="22">
        <f t="shared" si="102"/>
        <v>2.6823219674710947E-3</v>
      </c>
      <c r="AB431" s="22">
        <f t="shared" si="102"/>
        <v>2.7026386741679817E-3</v>
      </c>
      <c r="AC431" s="22">
        <f t="shared" si="102"/>
        <v>2.7235128371703343E-3</v>
      </c>
      <c r="AD431" s="22">
        <f t="shared" si="102"/>
        <v>2.7332352588004378E-3</v>
      </c>
      <c r="AE431" s="22">
        <f t="shared" si="102"/>
        <v>2.7465666714111786E-3</v>
      </c>
      <c r="AF431" s="22">
        <f t="shared" si="102"/>
        <v>2.7598466332323141E-3</v>
      </c>
      <c r="AG431" s="22">
        <f t="shared" si="102"/>
        <v>2.7013158272562879E-3</v>
      </c>
      <c r="AH431" s="22">
        <f t="shared" si="102"/>
        <v>-6.3720303992201288E-4</v>
      </c>
      <c r="AI431" s="22">
        <f t="shared" si="102"/>
        <v>-6.2242214557858356E-4</v>
      </c>
      <c r="AJ431" s="22">
        <f t="shared" si="102"/>
        <v>-6.0787631384089666E-4</v>
      </c>
      <c r="AK431" s="22">
        <f t="shared" si="102"/>
        <v>-5.9355323338830307E-4</v>
      </c>
      <c r="AL431" s="22">
        <f t="shared" si="102"/>
        <v>-5.7944144405540506E-4</v>
      </c>
      <c r="AM431" s="22">
        <f t="shared" si="102"/>
        <v>-5.6553025796044789E-4</v>
      </c>
      <c r="AN431" s="22">
        <f t="shared" si="102"/>
        <v>-5.5425143288870022E-4</v>
      </c>
      <c r="AO431" s="22">
        <f t="shared" si="102"/>
        <v>-5.4314296084699478E-4</v>
      </c>
      <c r="AP431" s="22">
        <f t="shared" si="102"/>
        <v>-5.3219712228052369E-4</v>
      </c>
      <c r="AQ431" s="22">
        <f t="shared" si="102"/>
        <v>-5.2140667775092773E-4</v>
      </c>
      <c r="AR431" s="22">
        <f t="shared" si="102"/>
        <v>-5.107648281267109E-4</v>
      </c>
      <c r="AS431" s="22">
        <f t="shared" si="102"/>
        <v>-4.999251820077483E-4</v>
      </c>
      <c r="AT431" s="22">
        <f t="shared" si="102"/>
        <v>-4.8923459484670278E-4</v>
      </c>
      <c r="AU431" s="22">
        <f t="shared" si="102"/>
        <v>-4.7868720289580258E-4</v>
      </c>
      <c r="AV431" s="22">
        <f t="shared" si="102"/>
        <v>-4.6827747185126305E-4</v>
      </c>
      <c r="AW431" s="22">
        <f t="shared" si="102"/>
        <v>-4.5800017223486766E-4</v>
      </c>
      <c r="AY431" s="85"/>
    </row>
    <row r="432" spans="1:51" x14ac:dyDescent="0.25">
      <c r="A432" s="102" t="str">
        <f t="shared" si="93"/>
        <v>GS MM Volatilisation</v>
      </c>
      <c r="B432" s="102" t="s">
        <v>1022</v>
      </c>
      <c r="C432" s="102" t="s">
        <v>1333</v>
      </c>
      <c r="D432" t="s">
        <v>369</v>
      </c>
      <c r="E432" t="s">
        <v>64</v>
      </c>
      <c r="F432" t="s">
        <v>62</v>
      </c>
      <c r="G432" t="s">
        <v>1161</v>
      </c>
      <c r="H432" t="s">
        <v>1295</v>
      </c>
      <c r="I432" t="s">
        <v>139</v>
      </c>
      <c r="J432" t="s">
        <v>287</v>
      </c>
      <c r="K432" s="22">
        <f t="shared" si="101"/>
        <v>1.6232293381826982E-2</v>
      </c>
      <c r="L432" s="22">
        <f t="shared" si="102"/>
        <v>1.612469863334539E-2</v>
      </c>
      <c r="M432" s="22">
        <f t="shared" si="102"/>
        <v>1.5897842316376299E-2</v>
      </c>
      <c r="N432" s="22">
        <f t="shared" si="102"/>
        <v>1.5515444556338871E-2</v>
      </c>
      <c r="O432" s="22">
        <f t="shared" si="102"/>
        <v>1.5144432974317425E-2</v>
      </c>
      <c r="P432" s="22">
        <f t="shared" si="102"/>
        <v>1.4859072994188992E-2</v>
      </c>
      <c r="Q432" s="22">
        <f t="shared" si="102"/>
        <v>1.4600962695243356E-2</v>
      </c>
      <c r="R432" s="22">
        <f t="shared" si="102"/>
        <v>1.4195146991156963E-2</v>
      </c>
      <c r="S432" s="22">
        <f t="shared" si="102"/>
        <v>1.2450004331704253E-2</v>
      </c>
      <c r="T432" s="22">
        <f t="shared" si="102"/>
        <v>1.2568672834795916E-2</v>
      </c>
      <c r="U432" s="22">
        <f t="shared" si="102"/>
        <v>1.2648972581089315E-2</v>
      </c>
      <c r="V432" s="22">
        <f t="shared" si="102"/>
        <v>1.2726660521563772E-2</v>
      </c>
      <c r="W432" s="22">
        <f t="shared" si="102"/>
        <v>1.2855137689183753E-2</v>
      </c>
      <c r="X432" s="22">
        <f t="shared" si="102"/>
        <v>1.297938056472487E-2</v>
      </c>
      <c r="Y432" s="22">
        <f t="shared" si="102"/>
        <v>1.3109816934655115E-2</v>
      </c>
      <c r="Z432" s="22">
        <f t="shared" si="102"/>
        <v>1.3223373330920015E-2</v>
      </c>
      <c r="AA432" s="22">
        <f t="shared" si="102"/>
        <v>1.3352615908416542E-2</v>
      </c>
      <c r="AB432" s="22">
        <f t="shared" si="102"/>
        <v>1.345375260428577E-2</v>
      </c>
      <c r="AC432" s="22">
        <f t="shared" si="102"/>
        <v>1.3557664321208735E-2</v>
      </c>
      <c r="AD432" s="22">
        <f t="shared" si="102"/>
        <v>1.3606062598261524E-2</v>
      </c>
      <c r="AE432" s="22">
        <f t="shared" si="102"/>
        <v>1.3672426455496624E-2</v>
      </c>
      <c r="AF432" s="22">
        <f t="shared" si="102"/>
        <v>1.3738534190372041E-2</v>
      </c>
      <c r="AG432" s="22">
        <f t="shared" si="102"/>
        <v>1.3447167463899316E-2</v>
      </c>
      <c r="AH432" s="22">
        <f t="shared" si="102"/>
        <v>-3.1720008078581774E-3</v>
      </c>
      <c r="AI432" s="22">
        <f t="shared" si="102"/>
        <v>-3.098421421287828E-3</v>
      </c>
      <c r="AJ432" s="22">
        <f t="shared" si="102"/>
        <v>-3.0260121778721673E-3</v>
      </c>
      <c r="AK432" s="22">
        <f t="shared" si="102"/>
        <v>-2.9547117917782697E-3</v>
      </c>
      <c r="AL432" s="22">
        <f t="shared" si="102"/>
        <v>-2.8844632142294947E-3</v>
      </c>
      <c r="AM432" s="22">
        <f t="shared" si="102"/>
        <v>-2.8152132408821133E-3</v>
      </c>
      <c r="AN432" s="22">
        <f t="shared" si="102"/>
        <v>-2.7590671775430979E-3</v>
      </c>
      <c r="AO432" s="22">
        <f t="shared" si="102"/>
        <v>-2.7037691326770971E-3</v>
      </c>
      <c r="AP432" s="22">
        <f t="shared" si="102"/>
        <v>-2.6492806782909082E-3</v>
      </c>
      <c r="AQ432" s="22">
        <f t="shared" si="102"/>
        <v>-2.5955657764140799E-3</v>
      </c>
      <c r="AR432" s="22">
        <f t="shared" si="102"/>
        <v>-2.5425905809265438E-3</v>
      </c>
      <c r="AS432" s="22">
        <f t="shared" si="102"/>
        <v>-2.4886307532231877E-3</v>
      </c>
      <c r="AT432" s="22">
        <f t="shared" si="102"/>
        <v>-2.4354129419656258E-3</v>
      </c>
      <c r="AU432" s="22">
        <f t="shared" si="102"/>
        <v>-2.3829079573799484E-3</v>
      </c>
      <c r="AV432" s="22">
        <f t="shared" si="102"/>
        <v>-2.3310882496665208E-3</v>
      </c>
      <c r="AW432" s="22">
        <f t="shared" si="102"/>
        <v>-2.279927786449339E-3</v>
      </c>
      <c r="AY432" s="85"/>
    </row>
    <row r="433" spans="1:51" x14ac:dyDescent="0.25">
      <c r="A433" s="102" t="str">
        <f t="shared" si="93"/>
        <v>GS MM Volatilisation</v>
      </c>
      <c r="B433" s="102" t="s">
        <v>1022</v>
      </c>
      <c r="C433" s="102" t="s">
        <v>1333</v>
      </c>
      <c r="D433" t="s">
        <v>369</v>
      </c>
      <c r="E433" t="s">
        <v>64</v>
      </c>
      <c r="F433" t="s">
        <v>62</v>
      </c>
      <c r="G433" t="s">
        <v>1163</v>
      </c>
      <c r="H433" t="s">
        <v>1296</v>
      </c>
      <c r="I433" t="s">
        <v>139</v>
      </c>
      <c r="J433" t="s">
        <v>287</v>
      </c>
      <c r="K433" s="22">
        <f t="shared" si="101"/>
        <v>0.15922781806557695</v>
      </c>
      <c r="L433" s="22">
        <f t="shared" si="102"/>
        <v>0.16489874459702494</v>
      </c>
      <c r="M433" s="22">
        <f t="shared" si="102"/>
        <v>0.16939991585045727</v>
      </c>
      <c r="N433" s="22">
        <f t="shared" si="102"/>
        <v>0.17218348693308003</v>
      </c>
      <c r="O433" s="22">
        <f t="shared" si="102"/>
        <v>0.17497286890553645</v>
      </c>
      <c r="P433" s="22">
        <f t="shared" si="102"/>
        <v>0.17867712216797899</v>
      </c>
      <c r="Q433" s="22">
        <f t="shared" si="102"/>
        <v>0.18269010203222399</v>
      </c>
      <c r="R433" s="22">
        <f t="shared" si="102"/>
        <v>0.18477850416218133</v>
      </c>
      <c r="S433" s="22">
        <f t="shared" si="102"/>
        <v>0.16857906885266413</v>
      </c>
      <c r="T433" s="22">
        <f t="shared" si="102"/>
        <v>0.17425287964090236</v>
      </c>
      <c r="U433" s="22">
        <f t="shared" si="102"/>
        <v>0.17949945582313931</v>
      </c>
      <c r="V433" s="22">
        <f t="shared" si="102"/>
        <v>0.18480458029183697</v>
      </c>
      <c r="W433" s="22">
        <f t="shared" si="102"/>
        <v>0.19096302657670283</v>
      </c>
      <c r="X433" s="22">
        <f t="shared" si="102"/>
        <v>0.19719436509402946</v>
      </c>
      <c r="Y433" s="22">
        <f t="shared" si="102"/>
        <v>0.20366092227158905</v>
      </c>
      <c r="Z433" s="22">
        <f t="shared" si="102"/>
        <v>0.21000736593010838</v>
      </c>
      <c r="AA433" s="22">
        <f t="shared" si="102"/>
        <v>0.21674936909166895</v>
      </c>
      <c r="AB433" s="22">
        <f t="shared" si="102"/>
        <v>0.22318188532765407</v>
      </c>
      <c r="AC433" s="22">
        <f t="shared" si="102"/>
        <v>0.22980286680499964</v>
      </c>
      <c r="AD433" s="22">
        <f t="shared" si="102"/>
        <v>0.2382309822629842</v>
      </c>
      <c r="AE433" s="22">
        <f t="shared" si="102"/>
        <v>0.24730559399060587</v>
      </c>
      <c r="AF433" s="22">
        <f t="shared" si="102"/>
        <v>0.25673647400031802</v>
      </c>
      <c r="AG433" s="22">
        <f t="shared" si="102"/>
        <v>0.25964613908565431</v>
      </c>
      <c r="AH433" s="22">
        <f t="shared" si="102"/>
        <v>-6.3291007360128299E-2</v>
      </c>
      <c r="AI433" s="22">
        <f t="shared" si="102"/>
        <v>-6.3895366189305636E-2</v>
      </c>
      <c r="AJ433" s="22">
        <f t="shared" si="102"/>
        <v>-6.4504638848078458E-2</v>
      </c>
      <c r="AK433" s="22">
        <f t="shared" si="102"/>
        <v>-6.5118871838809281E-2</v>
      </c>
      <c r="AL433" s="22">
        <f t="shared" si="102"/>
        <v>-6.5738112081384775E-2</v>
      </c>
      <c r="AM433" s="22">
        <f t="shared" si="102"/>
        <v>-6.6362406916836855E-2</v>
      </c>
      <c r="AN433" s="22">
        <f t="shared" si="102"/>
        <v>-6.6863409386316588E-2</v>
      </c>
      <c r="AO433" s="22">
        <f t="shared" si="102"/>
        <v>-6.7367867762467962E-2</v>
      </c>
      <c r="AP433" s="22">
        <f t="shared" si="102"/>
        <v>-6.7875809396751335E-2</v>
      </c>
      <c r="AQ433" s="22">
        <f t="shared" si="102"/>
        <v>-6.8387261847069211E-2</v>
      </c>
      <c r="AR433" s="22">
        <f t="shared" si="102"/>
        <v>-6.8902252879275511E-2</v>
      </c>
      <c r="AS433" s="22">
        <f t="shared" si="102"/>
        <v>-6.9373629780267981E-2</v>
      </c>
      <c r="AT433" s="22">
        <f t="shared" si="102"/>
        <v>-6.9847719512371606E-2</v>
      </c>
      <c r="AU433" s="22">
        <f t="shared" si="102"/>
        <v>-7.0324540021641888E-2</v>
      </c>
      <c r="AV433" s="22">
        <f t="shared" si="102"/>
        <v>-7.0804109366663218E-2</v>
      </c>
      <c r="AW433" s="22">
        <f t="shared" si="102"/>
        <v>-7.1286445719229846E-2</v>
      </c>
      <c r="AY433" s="85"/>
    </row>
    <row r="434" spans="1:51" x14ac:dyDescent="0.25">
      <c r="A434" s="102" t="str">
        <f t="shared" si="93"/>
        <v>GS MM Volatilisation</v>
      </c>
      <c r="B434" s="102" t="s">
        <v>1022</v>
      </c>
      <c r="C434" s="102" t="s">
        <v>1333</v>
      </c>
      <c r="D434" t="s">
        <v>369</v>
      </c>
      <c r="E434" t="s">
        <v>64</v>
      </c>
      <c r="F434" t="s">
        <v>62</v>
      </c>
      <c r="G434" t="s">
        <v>1165</v>
      </c>
      <c r="H434" t="s">
        <v>1297</v>
      </c>
      <c r="I434" t="s">
        <v>139</v>
      </c>
      <c r="J434" t="s">
        <v>287</v>
      </c>
      <c r="K434" s="22">
        <f t="shared" si="101"/>
        <v>1.171858684484313E-4</v>
      </c>
      <c r="L434" s="22">
        <f t="shared" si="102"/>
        <v>1.1724986264912743E-4</v>
      </c>
      <c r="M434" s="22">
        <f t="shared" si="102"/>
        <v>1.1739315795736154E-4</v>
      </c>
      <c r="N434" s="22">
        <f t="shared" si="102"/>
        <v>1.1760884747933323E-4</v>
      </c>
      <c r="O434" s="22">
        <f t="shared" si="102"/>
        <v>1.1789981697079396E-4</v>
      </c>
      <c r="P434" s="22">
        <f t="shared" si="102"/>
        <v>1.1826637517857024E-4</v>
      </c>
      <c r="Q434" s="22">
        <f t="shared" si="102"/>
        <v>1.1867470616236446E-4</v>
      </c>
      <c r="R434" s="22">
        <f t="shared" si="102"/>
        <v>1.1911724401941935E-4</v>
      </c>
      <c r="S434" s="22">
        <f t="shared" si="102"/>
        <v>1.1953310214883348E-4</v>
      </c>
      <c r="T434" s="22">
        <f t="shared" si="102"/>
        <v>1.197068141423074E-4</v>
      </c>
      <c r="U434" s="22">
        <f t="shared" si="102"/>
        <v>1.199083856789491E-4</v>
      </c>
      <c r="V434" s="22">
        <f t="shared" si="102"/>
        <v>1.201377754278402E-4</v>
      </c>
      <c r="W434" s="22">
        <f t="shared" si="102"/>
        <v>1.2039617188423161E-4</v>
      </c>
      <c r="X434" s="22">
        <f t="shared" si="102"/>
        <v>1.2067943256873451E-4</v>
      </c>
      <c r="Y434" s="22">
        <f t="shared" si="102"/>
        <v>1.2085380112251055E-4</v>
      </c>
      <c r="Z434" s="22">
        <f t="shared" si="102"/>
        <v>1.2104857439732012E-4</v>
      </c>
      <c r="AA434" s="22">
        <f t="shared" si="102"/>
        <v>1.2126445921474039E-4</v>
      </c>
      <c r="AB434" s="22">
        <f t="shared" si="102"/>
        <v>1.2149813863258011E-4</v>
      </c>
      <c r="AC434" s="22">
        <f t="shared" si="102"/>
        <v>1.2175044819305052E-4</v>
      </c>
      <c r="AD434" s="22">
        <f t="shared" si="102"/>
        <v>1.2191654827812353E-4</v>
      </c>
      <c r="AE434" s="22">
        <f t="shared" si="102"/>
        <v>1.2210011953046386E-4</v>
      </c>
      <c r="AF434" s="22">
        <f t="shared" si="102"/>
        <v>1.2229951100214118E-4</v>
      </c>
      <c r="AG434" s="22">
        <f t="shared" si="102"/>
        <v>1.2249214859428272E-4</v>
      </c>
      <c r="AH434" s="22">
        <f t="shared" si="102"/>
        <v>1.2166856520731395E-4</v>
      </c>
      <c r="AI434" s="22">
        <f t="shared" ref="L434:AW441" si="103">AI1537</f>
        <v>1.2178552707040833E-4</v>
      </c>
      <c r="AJ434" s="22">
        <f t="shared" si="103"/>
        <v>1.2191459506568997E-4</v>
      </c>
      <c r="AK434" s="22">
        <f t="shared" si="103"/>
        <v>1.220553118336419E-4</v>
      </c>
      <c r="AL434" s="22">
        <f t="shared" si="103"/>
        <v>1.2220725536579073E-4</v>
      </c>
      <c r="AM434" s="22">
        <f t="shared" si="103"/>
        <v>1.2237003565016038E-4</v>
      </c>
      <c r="AN434" s="22">
        <f t="shared" si="103"/>
        <v>1.2244903306979284E-4</v>
      </c>
      <c r="AO434" s="22">
        <f t="shared" si="103"/>
        <v>1.2253757835817969E-4</v>
      </c>
      <c r="AP434" s="22">
        <f t="shared" si="103"/>
        <v>1.226353392269764E-4</v>
      </c>
      <c r="AQ434" s="22">
        <f t="shared" si="103"/>
        <v>1.2274200613087834E-4</v>
      </c>
      <c r="AR434" s="22">
        <f t="shared" si="103"/>
        <v>1.228572903354883E-4</v>
      </c>
      <c r="AS434" s="22">
        <f t="shared" si="103"/>
        <v>1.2288572954642337E-4</v>
      </c>
      <c r="AT434" s="22">
        <f t="shared" si="103"/>
        <v>1.2292181660779718E-4</v>
      </c>
      <c r="AU434" s="22">
        <f t="shared" si="103"/>
        <v>1.2296529822294655E-4</v>
      </c>
      <c r="AV434" s="22">
        <f t="shared" si="103"/>
        <v>1.2301593656260403E-4</v>
      </c>
      <c r="AW434" s="22">
        <f t="shared" si="103"/>
        <v>1.2307350807543003E-4</v>
      </c>
      <c r="AY434" s="85"/>
    </row>
    <row r="435" spans="1:51" x14ac:dyDescent="0.25">
      <c r="A435" s="102" t="str">
        <f t="shared" si="93"/>
        <v>GS MM Volatilisation</v>
      </c>
      <c r="B435" s="102" t="s">
        <v>1022</v>
      </c>
      <c r="C435" s="102" t="s">
        <v>1333</v>
      </c>
      <c r="D435" t="s">
        <v>369</v>
      </c>
      <c r="E435" t="s">
        <v>64</v>
      </c>
      <c r="F435" t="s">
        <v>62</v>
      </c>
      <c r="G435" t="s">
        <v>1167</v>
      </c>
      <c r="H435" t="s">
        <v>1298</v>
      </c>
      <c r="I435" t="s">
        <v>139</v>
      </c>
      <c r="J435" t="s">
        <v>287</v>
      </c>
      <c r="K435" s="22">
        <f t="shared" si="101"/>
        <v>8.0418980238344318E-4</v>
      </c>
      <c r="L435" s="22">
        <f t="shared" si="103"/>
        <v>8.0462896355784847E-4</v>
      </c>
      <c r="M435" s="22">
        <f t="shared" si="103"/>
        <v>8.0561232978738613E-4</v>
      </c>
      <c r="N435" s="22">
        <f t="shared" si="103"/>
        <v>8.0709250240842989E-4</v>
      </c>
      <c r="O435" s="22">
        <f t="shared" si="103"/>
        <v>8.090892849636611E-4</v>
      </c>
      <c r="P435" s="22">
        <f t="shared" si="103"/>
        <v>8.1160479623286605E-4</v>
      </c>
      <c r="Q435" s="22">
        <f t="shared" si="103"/>
        <v>8.1440697381205979E-4</v>
      </c>
      <c r="R435" s="22">
        <f t="shared" si="103"/>
        <v>8.1744389657863702E-4</v>
      </c>
      <c r="S435" s="22">
        <f t="shared" si="103"/>
        <v>8.2029772930899112E-4</v>
      </c>
      <c r="T435" s="22">
        <f t="shared" si="103"/>
        <v>8.214898305030433E-4</v>
      </c>
      <c r="U435" s="22">
        <f t="shared" si="103"/>
        <v>8.2287311823529526E-4</v>
      </c>
      <c r="V435" s="22">
        <f t="shared" si="103"/>
        <v>8.2444730887169186E-4</v>
      </c>
      <c r="W435" s="22">
        <f t="shared" si="103"/>
        <v>8.2622055847894659E-4</v>
      </c>
      <c r="X435" s="22">
        <f t="shared" si="103"/>
        <v>8.2816443922932592E-4</v>
      </c>
      <c r="Y435" s="22">
        <f t="shared" si="103"/>
        <v>8.2936104607842529E-4</v>
      </c>
      <c r="Z435" s="22">
        <f t="shared" si="103"/>
        <v>8.3069768063558287E-4</v>
      </c>
      <c r="AA435" s="22">
        <f t="shared" si="103"/>
        <v>8.3217919347460879E-4</v>
      </c>
      <c r="AB435" s="22">
        <f t="shared" si="103"/>
        <v>8.337828220293293E-4</v>
      </c>
      <c r="AC435" s="22">
        <f t="shared" si="103"/>
        <v>8.3551430022086096E-4</v>
      </c>
      <c r="AD435" s="22">
        <f t="shared" si="103"/>
        <v>8.3665416457788034E-4</v>
      </c>
      <c r="AE435" s="22">
        <f t="shared" si="103"/>
        <v>8.3791392508567411E-4</v>
      </c>
      <c r="AF435" s="22">
        <f t="shared" si="103"/>
        <v>8.3928225208899118E-4</v>
      </c>
      <c r="AG435" s="22">
        <f t="shared" si="103"/>
        <v>8.4060423049139648E-4</v>
      </c>
      <c r="AH435" s="22">
        <f t="shared" si="103"/>
        <v>8.349523769873693E-4</v>
      </c>
      <c r="AI435" s="22">
        <f t="shared" si="103"/>
        <v>8.3575502954960786E-4</v>
      </c>
      <c r="AJ435" s="22">
        <f t="shared" si="103"/>
        <v>8.3664076062788407E-4</v>
      </c>
      <c r="AK435" s="22">
        <f t="shared" si="103"/>
        <v>8.3760643158556521E-4</v>
      </c>
      <c r="AL435" s="22">
        <f t="shared" si="103"/>
        <v>8.3864914638309197E-4</v>
      </c>
      <c r="AM435" s="22">
        <f t="shared" si="103"/>
        <v>8.3976622855735407E-4</v>
      </c>
      <c r="AN435" s="22">
        <f t="shared" si="103"/>
        <v>8.4030834954962157E-4</v>
      </c>
      <c r="AO435" s="22">
        <f t="shared" si="103"/>
        <v>8.40915992936257E-4</v>
      </c>
      <c r="AP435" s="22">
        <f t="shared" si="103"/>
        <v>8.4158687838344786E-4</v>
      </c>
      <c r="AQ435" s="22">
        <f t="shared" si="103"/>
        <v>8.4231888163183893E-4</v>
      </c>
      <c r="AR435" s="22">
        <f t="shared" si="103"/>
        <v>8.4311002123724286E-4</v>
      </c>
      <c r="AS435" s="22">
        <f t="shared" si="103"/>
        <v>8.4330518575430119E-4</v>
      </c>
      <c r="AT435" s="22">
        <f t="shared" si="103"/>
        <v>8.4355283376117286E-4</v>
      </c>
      <c r="AU435" s="22">
        <f t="shared" si="103"/>
        <v>8.4385122700565967E-4</v>
      </c>
      <c r="AV435" s="22">
        <f t="shared" si="103"/>
        <v>8.4419873338079966E-4</v>
      </c>
      <c r="AW435" s="22">
        <f t="shared" si="103"/>
        <v>8.4459381876212985E-4</v>
      </c>
      <c r="AY435" s="85"/>
    </row>
    <row r="436" spans="1:51" x14ac:dyDescent="0.25">
      <c r="A436" s="102" t="str">
        <f t="shared" si="93"/>
        <v>GS MM Volatilisation</v>
      </c>
      <c r="B436" s="102" t="s">
        <v>1022</v>
      </c>
      <c r="C436" s="102" t="s">
        <v>1333</v>
      </c>
      <c r="D436" t="s">
        <v>369</v>
      </c>
      <c r="E436" t="s">
        <v>64</v>
      </c>
      <c r="F436" t="s">
        <v>62</v>
      </c>
      <c r="G436" t="s">
        <v>1169</v>
      </c>
      <c r="H436" t="s">
        <v>1299</v>
      </c>
      <c r="I436" t="s">
        <v>139</v>
      </c>
      <c r="J436" t="s">
        <v>287</v>
      </c>
      <c r="K436" s="22">
        <f t="shared" si="101"/>
        <v>1.448564899297015E-5</v>
      </c>
      <c r="L436" s="22">
        <f t="shared" si="103"/>
        <v>1.4523430996818443E-5</v>
      </c>
      <c r="M436" s="22">
        <f t="shared" si="103"/>
        <v>1.4573778863725232E-5</v>
      </c>
      <c r="N436" s="22">
        <f t="shared" si="103"/>
        <v>1.4635573261684436E-5</v>
      </c>
      <c r="O436" s="22">
        <f t="shared" si="103"/>
        <v>1.4709556756482727E-5</v>
      </c>
      <c r="P436" s="22">
        <f t="shared" si="103"/>
        <v>1.4795926227225603E-5</v>
      </c>
      <c r="Q436" s="22">
        <f t="shared" si="103"/>
        <v>1.4888271114151717E-5</v>
      </c>
      <c r="R436" s="22">
        <f t="shared" si="103"/>
        <v>1.4985270961083386E-5</v>
      </c>
      <c r="S436" s="22">
        <f t="shared" si="103"/>
        <v>1.5075379558400601E-5</v>
      </c>
      <c r="T436" s="22">
        <f t="shared" si="103"/>
        <v>1.5117607192403529E-5</v>
      </c>
      <c r="U436" s="22">
        <f t="shared" si="103"/>
        <v>1.5163912133825485E-5</v>
      </c>
      <c r="V436" s="22">
        <f t="shared" si="103"/>
        <v>1.5214353144806387E-5</v>
      </c>
      <c r="W436" s="22">
        <f t="shared" si="103"/>
        <v>1.5269211713136201E-5</v>
      </c>
      <c r="X436" s="22">
        <f t="shared" si="103"/>
        <v>1.532774923131804E-5</v>
      </c>
      <c r="Y436" s="22">
        <f t="shared" si="103"/>
        <v>1.5364750505414648E-5</v>
      </c>
      <c r="Z436" s="22">
        <f t="shared" si="103"/>
        <v>1.5404784002427286E-5</v>
      </c>
      <c r="AA436" s="22">
        <f t="shared" si="103"/>
        <v>1.5448015343528086E-5</v>
      </c>
      <c r="AB436" s="22">
        <f t="shared" si="103"/>
        <v>1.5493849362144256E-5</v>
      </c>
      <c r="AC436" s="22">
        <f t="shared" si="103"/>
        <v>1.5542469399401565E-5</v>
      </c>
      <c r="AD436" s="22">
        <f t="shared" si="103"/>
        <v>1.5574312295454071E-5</v>
      </c>
      <c r="AE436" s="22">
        <f t="shared" si="103"/>
        <v>1.5608846144431889E-5</v>
      </c>
      <c r="AF436" s="22">
        <f t="shared" si="103"/>
        <v>1.5645779000697075E-5</v>
      </c>
      <c r="AG436" s="22">
        <f t="shared" si="103"/>
        <v>1.5680933682266714E-5</v>
      </c>
      <c r="AH436" s="22">
        <f t="shared" si="103"/>
        <v>1.5527256766488218E-5</v>
      </c>
      <c r="AI436" s="22">
        <f t="shared" si="103"/>
        <v>1.554781877984383E-5</v>
      </c>
      <c r="AJ436" s="22">
        <f t="shared" si="103"/>
        <v>1.55702244870708E-5</v>
      </c>
      <c r="AK436" s="22">
        <f t="shared" si="103"/>
        <v>1.5594399014227251E-5</v>
      </c>
      <c r="AL436" s="22">
        <f t="shared" si="103"/>
        <v>1.5620273295013295E-5</v>
      </c>
      <c r="AM436" s="22">
        <f t="shared" si="103"/>
        <v>1.5647783514700204E-5</v>
      </c>
      <c r="AN436" s="22">
        <f t="shared" si="103"/>
        <v>1.5659592232765599E-5</v>
      </c>
      <c r="AO436" s="22">
        <f t="shared" si="103"/>
        <v>1.567287471387214E-5</v>
      </c>
      <c r="AP436" s="22">
        <f t="shared" si="103"/>
        <v>1.5687575397224304E-5</v>
      </c>
      <c r="AQ436" s="22">
        <f t="shared" si="103"/>
        <v>1.5703642533627797E-5</v>
      </c>
      <c r="AR436" s="22">
        <f t="shared" si="103"/>
        <v>1.5721027858938722E-5</v>
      </c>
      <c r="AS436" s="22">
        <f t="shared" si="103"/>
        <v>1.5722384261001388E-5</v>
      </c>
      <c r="AT436" s="22">
        <f t="shared" si="103"/>
        <v>1.5724946955034498E-5</v>
      </c>
      <c r="AU436" s="22">
        <f t="shared" si="103"/>
        <v>1.572867261939389E-5</v>
      </c>
      <c r="AV436" s="22">
        <f t="shared" si="103"/>
        <v>1.5733520584102464E-5</v>
      </c>
      <c r="AW436" s="22">
        <f t="shared" si="103"/>
        <v>1.5739452625419502E-5</v>
      </c>
      <c r="AY436" s="85"/>
    </row>
    <row r="437" spans="1:51" x14ac:dyDescent="0.25">
      <c r="A437" s="102" t="str">
        <f t="shared" si="93"/>
        <v>GS MM Volatilisation</v>
      </c>
      <c r="B437" s="102" t="s">
        <v>1022</v>
      </c>
      <c r="C437" s="102" t="s">
        <v>1333</v>
      </c>
      <c r="D437" t="s">
        <v>369</v>
      </c>
      <c r="E437" t="s">
        <v>64</v>
      </c>
      <c r="F437" t="s">
        <v>62</v>
      </c>
      <c r="G437" t="s">
        <v>1171</v>
      </c>
      <c r="H437" t="s">
        <v>1300</v>
      </c>
      <c r="I437" t="s">
        <v>139</v>
      </c>
      <c r="J437" t="s">
        <v>287</v>
      </c>
      <c r="K437" s="22">
        <f t="shared" si="101"/>
        <v>1.4737874698328016E-3</v>
      </c>
      <c r="L437" s="22">
        <f t="shared" si="103"/>
        <v>1.4776314566561611E-3</v>
      </c>
      <c r="M437" s="22">
        <f t="shared" si="103"/>
        <v>1.4827539096036295E-3</v>
      </c>
      <c r="N437" s="22">
        <f t="shared" si="103"/>
        <v>1.4890409464814621E-3</v>
      </c>
      <c r="O437" s="22">
        <f t="shared" si="103"/>
        <v>1.4965681168319985E-3</v>
      </c>
      <c r="P437" s="22">
        <f t="shared" si="103"/>
        <v>1.5053554513738414E-3</v>
      </c>
      <c r="Q437" s="22">
        <f t="shared" si="103"/>
        <v>1.5147507319940522E-3</v>
      </c>
      <c r="R437" s="22">
        <f t="shared" si="103"/>
        <v>1.5246196138821182E-3</v>
      </c>
      <c r="S437" s="22">
        <f t="shared" si="103"/>
        <v>1.5337873716895019E-3</v>
      </c>
      <c r="T437" s="22">
        <f t="shared" si="103"/>
        <v>1.5380836623081961E-3</v>
      </c>
      <c r="U437" s="22">
        <f t="shared" si="103"/>
        <v>1.5427947831210876E-3</v>
      </c>
      <c r="V437" s="22">
        <f t="shared" si="103"/>
        <v>1.5479267126594486E-3</v>
      </c>
      <c r="W437" s="22">
        <f t="shared" si="103"/>
        <v>1.5535080898318955E-3</v>
      </c>
      <c r="X437" s="22">
        <f t="shared" si="103"/>
        <v>1.5594637678172844E-3</v>
      </c>
      <c r="Y437" s="22">
        <f t="shared" si="103"/>
        <v>1.5632283222502894E-3</v>
      </c>
      <c r="Z437" s="22">
        <f t="shared" si="103"/>
        <v>1.5673013787146175E-3</v>
      </c>
      <c r="AA437" s="22">
        <f t="shared" si="103"/>
        <v>1.5716997877088814E-3</v>
      </c>
      <c r="AB437" s="22">
        <f t="shared" si="103"/>
        <v>1.5763629962652517E-3</v>
      </c>
      <c r="AC437" s="22">
        <f t="shared" si="103"/>
        <v>1.5813096577318795E-3</v>
      </c>
      <c r="AD437" s="22">
        <f t="shared" si="103"/>
        <v>1.5845493925361778E-3</v>
      </c>
      <c r="AE437" s="22">
        <f t="shared" si="103"/>
        <v>1.5880629081496864E-3</v>
      </c>
      <c r="AF437" s="22">
        <f t="shared" si="103"/>
        <v>1.591820501669672E-3</v>
      </c>
      <c r="AG437" s="22">
        <f t="shared" si="103"/>
        <v>1.5953971815428655E-3</v>
      </c>
      <c r="AH437" s="22">
        <f t="shared" si="103"/>
        <v>1.5797619060376521E-3</v>
      </c>
      <c r="AI437" s="22">
        <f t="shared" si="103"/>
        <v>1.5818539101758679E-3</v>
      </c>
      <c r="AJ437" s="22">
        <f t="shared" si="103"/>
        <v>1.5841334939611631E-3</v>
      </c>
      <c r="AK437" s="22">
        <f t="shared" si="103"/>
        <v>1.5865930396280227E-3</v>
      </c>
      <c r="AL437" s="22">
        <f t="shared" si="103"/>
        <v>1.5892255202874612E-3</v>
      </c>
      <c r="AM437" s="22">
        <f t="shared" si="103"/>
        <v>1.5920244433517013E-3</v>
      </c>
      <c r="AN437" s="22">
        <f t="shared" si="103"/>
        <v>1.5932258766273534E-3</v>
      </c>
      <c r="AO437" s="22">
        <f t="shared" si="103"/>
        <v>1.5945772523394538E-3</v>
      </c>
      <c r="AP437" s="22">
        <f t="shared" si="103"/>
        <v>1.5960729176653851E-3</v>
      </c>
      <c r="AQ437" s="22">
        <f t="shared" si="103"/>
        <v>1.5977076075794545E-3</v>
      </c>
      <c r="AR437" s="22">
        <f t="shared" si="103"/>
        <v>1.599476411629218E-3</v>
      </c>
      <c r="AS437" s="22">
        <f t="shared" si="103"/>
        <v>1.5996144136175981E-3</v>
      </c>
      <c r="AT437" s="22">
        <f t="shared" si="103"/>
        <v>1.599875145211802E-3</v>
      </c>
      <c r="AU437" s="22">
        <f t="shared" si="103"/>
        <v>1.6002541988152919E-3</v>
      </c>
      <c r="AV437" s="22">
        <f t="shared" si="103"/>
        <v>1.6007474366153491E-3</v>
      </c>
      <c r="AW437" s="22">
        <f t="shared" si="103"/>
        <v>1.601350969682305E-3</v>
      </c>
      <c r="AY437" s="85"/>
    </row>
    <row r="438" spans="1:51" x14ac:dyDescent="0.25">
      <c r="A438" s="102" t="str">
        <f t="shared" ref="A438:A459" si="104">B438&amp;" "&amp;C438</f>
        <v>GS MM Volatilisation</v>
      </c>
      <c r="B438" s="102" t="s">
        <v>1022</v>
      </c>
      <c r="C438" s="102" t="s">
        <v>1333</v>
      </c>
      <c r="D438" t="s">
        <v>369</v>
      </c>
      <c r="E438" t="s">
        <v>64</v>
      </c>
      <c r="F438" t="s">
        <v>62</v>
      </c>
      <c r="G438" t="s">
        <v>1173</v>
      </c>
      <c r="H438" t="s">
        <v>1301</v>
      </c>
      <c r="I438" t="s">
        <v>139</v>
      </c>
      <c r="J438" t="s">
        <v>287</v>
      </c>
      <c r="K438" s="22">
        <f t="shared" si="101"/>
        <v>0</v>
      </c>
      <c r="L438" s="22">
        <f t="shared" si="103"/>
        <v>0</v>
      </c>
      <c r="M438" s="22">
        <f t="shared" si="103"/>
        <v>0</v>
      </c>
      <c r="N438" s="22">
        <f t="shared" si="103"/>
        <v>0</v>
      </c>
      <c r="O438" s="22">
        <f t="shared" si="103"/>
        <v>0</v>
      </c>
      <c r="P438" s="22">
        <f t="shared" si="103"/>
        <v>0</v>
      </c>
      <c r="Q438" s="22">
        <f t="shared" si="103"/>
        <v>0</v>
      </c>
      <c r="R438" s="22">
        <f t="shared" si="103"/>
        <v>0</v>
      </c>
      <c r="S438" s="22">
        <f t="shared" si="103"/>
        <v>0</v>
      </c>
      <c r="T438" s="22">
        <f t="shared" si="103"/>
        <v>0</v>
      </c>
      <c r="U438" s="22">
        <f t="shared" si="103"/>
        <v>0</v>
      </c>
      <c r="V438" s="22">
        <f t="shared" si="103"/>
        <v>0</v>
      </c>
      <c r="W438" s="22">
        <f t="shared" si="103"/>
        <v>0</v>
      </c>
      <c r="X438" s="22">
        <f t="shared" si="103"/>
        <v>0</v>
      </c>
      <c r="Y438" s="22">
        <f t="shared" si="103"/>
        <v>0</v>
      </c>
      <c r="Z438" s="22">
        <f t="shared" si="103"/>
        <v>0</v>
      </c>
      <c r="AA438" s="22">
        <f t="shared" si="103"/>
        <v>0</v>
      </c>
      <c r="AB438" s="22">
        <f t="shared" si="103"/>
        <v>0</v>
      </c>
      <c r="AC438" s="22">
        <f t="shared" si="103"/>
        <v>0</v>
      </c>
      <c r="AD438" s="22">
        <f t="shared" si="103"/>
        <v>0</v>
      </c>
      <c r="AE438" s="22">
        <f t="shared" si="103"/>
        <v>0</v>
      </c>
      <c r="AF438" s="22">
        <f t="shared" si="103"/>
        <v>0</v>
      </c>
      <c r="AG438" s="22">
        <f t="shared" si="103"/>
        <v>0</v>
      </c>
      <c r="AH438" s="22">
        <f t="shared" si="103"/>
        <v>0</v>
      </c>
      <c r="AI438" s="22">
        <f t="shared" si="103"/>
        <v>0</v>
      </c>
      <c r="AJ438" s="22">
        <f t="shared" si="103"/>
        <v>0</v>
      </c>
      <c r="AK438" s="22">
        <f t="shared" si="103"/>
        <v>0</v>
      </c>
      <c r="AL438" s="22">
        <f t="shared" si="103"/>
        <v>0</v>
      </c>
      <c r="AM438" s="22">
        <f t="shared" si="103"/>
        <v>0</v>
      </c>
      <c r="AN438" s="22">
        <f t="shared" si="103"/>
        <v>0</v>
      </c>
      <c r="AO438" s="22">
        <f t="shared" si="103"/>
        <v>0</v>
      </c>
      <c r="AP438" s="22">
        <f t="shared" si="103"/>
        <v>0</v>
      </c>
      <c r="AQ438" s="22">
        <f t="shared" si="103"/>
        <v>0</v>
      </c>
      <c r="AR438" s="22">
        <f t="shared" si="103"/>
        <v>0</v>
      </c>
      <c r="AS438" s="22">
        <f t="shared" si="103"/>
        <v>0</v>
      </c>
      <c r="AT438" s="22">
        <f t="shared" si="103"/>
        <v>0</v>
      </c>
      <c r="AU438" s="22">
        <f t="shared" si="103"/>
        <v>0</v>
      </c>
      <c r="AV438" s="22">
        <f t="shared" si="103"/>
        <v>0</v>
      </c>
      <c r="AW438" s="22">
        <f t="shared" si="103"/>
        <v>0</v>
      </c>
      <c r="AY438" s="85"/>
    </row>
    <row r="439" spans="1:51" x14ac:dyDescent="0.25">
      <c r="A439" s="102" t="str">
        <f t="shared" si="104"/>
        <v>GS MM Volatilisation</v>
      </c>
      <c r="B439" s="102" t="s">
        <v>1022</v>
      </c>
      <c r="C439" s="102" t="s">
        <v>1333</v>
      </c>
      <c r="D439" t="s">
        <v>369</v>
      </c>
      <c r="E439" t="s">
        <v>64</v>
      </c>
      <c r="F439" t="s">
        <v>62</v>
      </c>
      <c r="G439" t="s">
        <v>1175</v>
      </c>
      <c r="H439" t="s">
        <v>1302</v>
      </c>
      <c r="I439" t="s">
        <v>139</v>
      </c>
      <c r="J439" t="s">
        <v>287</v>
      </c>
      <c r="K439" s="22">
        <f t="shared" si="101"/>
        <v>0</v>
      </c>
      <c r="L439" s="22">
        <f t="shared" si="103"/>
        <v>0</v>
      </c>
      <c r="M439" s="22">
        <f t="shared" si="103"/>
        <v>0</v>
      </c>
      <c r="N439" s="22">
        <f t="shared" si="103"/>
        <v>0</v>
      </c>
      <c r="O439" s="22">
        <f t="shared" si="103"/>
        <v>0</v>
      </c>
      <c r="P439" s="22">
        <f t="shared" si="103"/>
        <v>0</v>
      </c>
      <c r="Q439" s="22">
        <f t="shared" si="103"/>
        <v>0</v>
      </c>
      <c r="R439" s="22">
        <f t="shared" si="103"/>
        <v>0</v>
      </c>
      <c r="S439" s="22">
        <f t="shared" si="103"/>
        <v>0</v>
      </c>
      <c r="T439" s="22">
        <f t="shared" si="103"/>
        <v>0</v>
      </c>
      <c r="U439" s="22">
        <f t="shared" si="103"/>
        <v>0</v>
      </c>
      <c r="V439" s="22">
        <f t="shared" si="103"/>
        <v>0</v>
      </c>
      <c r="W439" s="22">
        <f t="shared" si="103"/>
        <v>0</v>
      </c>
      <c r="X439" s="22">
        <f t="shared" si="103"/>
        <v>0</v>
      </c>
      <c r="Y439" s="22">
        <f t="shared" si="103"/>
        <v>0</v>
      </c>
      <c r="Z439" s="22">
        <f t="shared" si="103"/>
        <v>0</v>
      </c>
      <c r="AA439" s="22">
        <f t="shared" si="103"/>
        <v>0</v>
      </c>
      <c r="AB439" s="22">
        <f t="shared" si="103"/>
        <v>0</v>
      </c>
      <c r="AC439" s="22">
        <f t="shared" si="103"/>
        <v>0</v>
      </c>
      <c r="AD439" s="22">
        <f t="shared" si="103"/>
        <v>0</v>
      </c>
      <c r="AE439" s="22">
        <f t="shared" si="103"/>
        <v>0</v>
      </c>
      <c r="AF439" s="22">
        <f t="shared" si="103"/>
        <v>0</v>
      </c>
      <c r="AG439" s="22">
        <f t="shared" si="103"/>
        <v>0</v>
      </c>
      <c r="AH439" s="22">
        <f t="shared" si="103"/>
        <v>0</v>
      </c>
      <c r="AI439" s="22">
        <f t="shared" si="103"/>
        <v>0</v>
      </c>
      <c r="AJ439" s="22">
        <f t="shared" si="103"/>
        <v>0</v>
      </c>
      <c r="AK439" s="22">
        <f t="shared" si="103"/>
        <v>0</v>
      </c>
      <c r="AL439" s="22">
        <f t="shared" si="103"/>
        <v>0</v>
      </c>
      <c r="AM439" s="22">
        <f t="shared" si="103"/>
        <v>0</v>
      </c>
      <c r="AN439" s="22">
        <f t="shared" si="103"/>
        <v>0</v>
      </c>
      <c r="AO439" s="22">
        <f t="shared" si="103"/>
        <v>0</v>
      </c>
      <c r="AP439" s="22">
        <f t="shared" si="103"/>
        <v>0</v>
      </c>
      <c r="AQ439" s="22">
        <f t="shared" si="103"/>
        <v>0</v>
      </c>
      <c r="AR439" s="22">
        <f t="shared" si="103"/>
        <v>0</v>
      </c>
      <c r="AS439" s="22">
        <f t="shared" si="103"/>
        <v>0</v>
      </c>
      <c r="AT439" s="22">
        <f t="shared" si="103"/>
        <v>0</v>
      </c>
      <c r="AU439" s="22">
        <f t="shared" si="103"/>
        <v>0</v>
      </c>
      <c r="AV439" s="22">
        <f t="shared" si="103"/>
        <v>0</v>
      </c>
      <c r="AW439" s="22">
        <f t="shared" si="103"/>
        <v>0</v>
      </c>
      <c r="AY439" s="85"/>
    </row>
    <row r="440" spans="1:51" x14ac:dyDescent="0.25">
      <c r="A440" s="102" t="str">
        <f t="shared" si="104"/>
        <v>GS MM Volatilisation</v>
      </c>
      <c r="B440" s="102" t="s">
        <v>1022</v>
      </c>
      <c r="C440" s="102" t="s">
        <v>1333</v>
      </c>
      <c r="D440" t="s">
        <v>369</v>
      </c>
      <c r="E440" t="s">
        <v>64</v>
      </c>
      <c r="F440" t="s">
        <v>62</v>
      </c>
      <c r="G440" t="s">
        <v>1177</v>
      </c>
      <c r="H440" t="s">
        <v>1303</v>
      </c>
      <c r="I440" t="s">
        <v>139</v>
      </c>
      <c r="J440" t="s">
        <v>287</v>
      </c>
      <c r="K440" s="22">
        <f t="shared" si="101"/>
        <v>0.13175582522236642</v>
      </c>
      <c r="L440" s="22">
        <f t="shared" si="103"/>
        <v>0.13133995591331252</v>
      </c>
      <c r="M440" s="22">
        <f t="shared" si="103"/>
        <v>0.12996467924172889</v>
      </c>
      <c r="N440" s="22">
        <f t="shared" si="103"/>
        <v>0.12729440169626086</v>
      </c>
      <c r="O440" s="22">
        <f t="shared" si="103"/>
        <v>0.124740958232787</v>
      </c>
      <c r="P440" s="22">
        <f t="shared" si="103"/>
        <v>0.12294968484167307</v>
      </c>
      <c r="Q440" s="22">
        <f t="shared" si="103"/>
        <v>0.12143262568999565</v>
      </c>
      <c r="R440" s="22">
        <f t="shared" si="103"/>
        <v>0.11863912133480742</v>
      </c>
      <c r="S440" s="22">
        <f t="shared" si="103"/>
        <v>0.10385956683599189</v>
      </c>
      <c r="T440" s="22">
        <f t="shared" si="103"/>
        <v>0.10451955212302086</v>
      </c>
      <c r="U440" s="22">
        <f t="shared" si="103"/>
        <v>0.10485083769828313</v>
      </c>
      <c r="V440" s="22">
        <f t="shared" si="103"/>
        <v>0.10517291212466306</v>
      </c>
      <c r="W440" s="22">
        <f t="shared" si="103"/>
        <v>0.10595961192608362</v>
      </c>
      <c r="X440" s="22">
        <f t="shared" si="103"/>
        <v>0.10671986419880256</v>
      </c>
      <c r="Y440" s="22">
        <f t="shared" si="103"/>
        <v>0.10759206833097582</v>
      </c>
      <c r="Z440" s="22">
        <f t="shared" si="103"/>
        <v>0.10832415148302713</v>
      </c>
      <c r="AA440" s="22">
        <f t="shared" si="103"/>
        <v>0.10920394511601654</v>
      </c>
      <c r="AB440" s="22">
        <f t="shared" si="103"/>
        <v>0.10984438432762617</v>
      </c>
      <c r="AC440" s="22">
        <f t="shared" si="103"/>
        <v>0.11051807029951835</v>
      </c>
      <c r="AD440" s="22">
        <f t="shared" si="103"/>
        <v>0.11176064621994924</v>
      </c>
      <c r="AE440" s="22">
        <f t="shared" si="103"/>
        <v>0.11321217775824029</v>
      </c>
      <c r="AF440" s="22">
        <f t="shared" si="103"/>
        <v>0.11471425126432638</v>
      </c>
      <c r="AG440" s="22">
        <f t="shared" si="103"/>
        <v>0.11302605462152289</v>
      </c>
      <c r="AH440" s="22">
        <f t="shared" si="103"/>
        <v>-3.8135833829008307E-2</v>
      </c>
      <c r="AI440" s="22">
        <f t="shared" si="103"/>
        <v>-3.7718689403419284E-2</v>
      </c>
      <c r="AJ440" s="22">
        <f t="shared" si="103"/>
        <v>-3.7310479618025916E-2</v>
      </c>
      <c r="AK440" s="22">
        <f t="shared" si="103"/>
        <v>-3.6910619979896454E-2</v>
      </c>
      <c r="AL440" s="22">
        <f t="shared" si="103"/>
        <v>-3.6518568792738119E-2</v>
      </c>
      <c r="AM440" s="22">
        <f t="shared" si="103"/>
        <v>-3.6133823018213627E-2</v>
      </c>
      <c r="AN440" s="22">
        <f t="shared" si="103"/>
        <v>-3.5711833561214323E-2</v>
      </c>
      <c r="AO440" s="22">
        <f t="shared" si="103"/>
        <v>-3.5297284374171914E-2</v>
      </c>
      <c r="AP440" s="22">
        <f t="shared" si="103"/>
        <v>-3.4889740911291982E-2</v>
      </c>
      <c r="AQ440" s="22">
        <f t="shared" si="103"/>
        <v>-3.4488797010350791E-2</v>
      </c>
      <c r="AR440" s="22">
        <f t="shared" si="103"/>
        <v>-3.4094072440282994E-2</v>
      </c>
      <c r="AS440" s="22">
        <f t="shared" si="103"/>
        <v>-3.3663911026345139E-2</v>
      </c>
      <c r="AT440" s="22">
        <f t="shared" si="103"/>
        <v>-3.3240319741355787E-2</v>
      </c>
      <c r="AU440" s="22">
        <f t="shared" si="103"/>
        <v>-3.2822960396725463E-2</v>
      </c>
      <c r="AV440" s="22">
        <f t="shared" si="103"/>
        <v>-3.2411514785230008E-2</v>
      </c>
      <c r="AW440" s="22">
        <f t="shared" si="103"/>
        <v>-3.2005683123121166E-2</v>
      </c>
      <c r="AY440" s="85"/>
    </row>
    <row r="441" spans="1:51" x14ac:dyDescent="0.25">
      <c r="A441" s="102" t="str">
        <f t="shared" si="104"/>
        <v>GS MM Volatilisation</v>
      </c>
      <c r="B441" s="102" t="s">
        <v>1022</v>
      </c>
      <c r="C441" s="102" t="s">
        <v>1333</v>
      </c>
      <c r="D441" t="s">
        <v>369</v>
      </c>
      <c r="E441" t="s">
        <v>64</v>
      </c>
      <c r="F441" t="s">
        <v>62</v>
      </c>
      <c r="G441" t="s">
        <v>1179</v>
      </c>
      <c r="H441" t="s">
        <v>1304</v>
      </c>
      <c r="I441" t="s">
        <v>139</v>
      </c>
      <c r="J441" t="s">
        <v>287</v>
      </c>
      <c r="K441" s="22">
        <f t="shared" si="101"/>
        <v>1.2821907264588839E-2</v>
      </c>
      <c r="L441" s="22">
        <f t="shared" si="103"/>
        <v>1.2781436661441853E-2</v>
      </c>
      <c r="M441" s="22">
        <f t="shared" si="103"/>
        <v>1.2647600681769325E-2</v>
      </c>
      <c r="N441" s="22">
        <f t="shared" si="103"/>
        <v>1.2387740815984108E-2</v>
      </c>
      <c r="O441" s="22">
        <f t="shared" si="103"/>
        <v>1.2139250737926637E-2</v>
      </c>
      <c r="P441" s="22">
        <f t="shared" si="103"/>
        <v>1.196493175607042E-2</v>
      </c>
      <c r="Q441" s="22">
        <f t="shared" si="103"/>
        <v>1.1817298118431442E-2</v>
      </c>
      <c r="R441" s="22">
        <f t="shared" si="103"/>
        <v>1.1545446352295121E-2</v>
      </c>
      <c r="S441" s="22">
        <f t="shared" si="103"/>
        <v>1.0107164007845277E-2</v>
      </c>
      <c r="T441" s="22">
        <f t="shared" si="103"/>
        <v>1.0171390922533838E-2</v>
      </c>
      <c r="U441" s="22">
        <f t="shared" si="103"/>
        <v>1.020363020240583E-2</v>
      </c>
      <c r="V441" s="22">
        <f t="shared" si="103"/>
        <v>1.0234973093092974E-2</v>
      </c>
      <c r="W441" s="22">
        <f t="shared" si="103"/>
        <v>1.0311531316472175E-2</v>
      </c>
      <c r="X441" s="22">
        <f t="shared" ref="L441:AW448" si="105">X1544</f>
        <v>1.0385515780703972E-2</v>
      </c>
      <c r="Y441" s="22">
        <f t="shared" si="105"/>
        <v>1.0470394915874219E-2</v>
      </c>
      <c r="Z441" s="22">
        <f t="shared" si="105"/>
        <v>1.0541638083071781E-2</v>
      </c>
      <c r="AA441" s="22">
        <f t="shared" si="105"/>
        <v>1.0627255795648265E-2</v>
      </c>
      <c r="AB441" s="22">
        <f t="shared" si="105"/>
        <v>1.0689580570784438E-2</v>
      </c>
      <c r="AC441" s="22">
        <f t="shared" si="105"/>
        <v>1.0755140776889006E-2</v>
      </c>
      <c r="AD441" s="22">
        <f t="shared" si="105"/>
        <v>1.0876062893190786E-2</v>
      </c>
      <c r="AE441" s="22">
        <f t="shared" si="105"/>
        <v>1.1017319666803515E-2</v>
      </c>
      <c r="AF441" s="22">
        <f t="shared" si="105"/>
        <v>1.1163494966203955E-2</v>
      </c>
      <c r="AG441" s="22">
        <f t="shared" si="105"/>
        <v>1.0999206967841195E-2</v>
      </c>
      <c r="AH441" s="22">
        <f t="shared" si="105"/>
        <v>-3.7112144680363467E-3</v>
      </c>
      <c r="AI441" s="22">
        <f t="shared" si="105"/>
        <v>-3.6706197760611272E-3</v>
      </c>
      <c r="AJ441" s="22">
        <f t="shared" si="105"/>
        <v>-3.6308945646408518E-3</v>
      </c>
      <c r="AK441" s="22">
        <f t="shared" si="105"/>
        <v>-3.5919819534504542E-3</v>
      </c>
      <c r="AL441" s="22">
        <f t="shared" si="105"/>
        <v>-3.5538292269487438E-3</v>
      </c>
      <c r="AM441" s="22">
        <f t="shared" si="105"/>
        <v>-3.5163874316196208E-3</v>
      </c>
      <c r="AN441" s="22">
        <f t="shared" si="105"/>
        <v>-3.4753212421350377E-3</v>
      </c>
      <c r="AO441" s="22">
        <f t="shared" si="105"/>
        <v>-3.4349791075546665E-3</v>
      </c>
      <c r="AP441" s="22">
        <f t="shared" si="105"/>
        <v>-3.3953187397605549E-3</v>
      </c>
      <c r="AQ441" s="22">
        <f t="shared" si="105"/>
        <v>-3.3563006128011267E-3</v>
      </c>
      <c r="AR441" s="22">
        <f t="shared" si="105"/>
        <v>-3.3178877242330336E-3</v>
      </c>
      <c r="AS441" s="22">
        <f t="shared" si="105"/>
        <v>-3.2760262752306304E-3</v>
      </c>
      <c r="AT441" s="22">
        <f t="shared" si="105"/>
        <v>-3.2348042027715565E-3</v>
      </c>
      <c r="AU441" s="22">
        <f t="shared" si="105"/>
        <v>-3.1941885958044411E-3</v>
      </c>
      <c r="AV441" s="22">
        <f t="shared" si="105"/>
        <v>-3.1541484877779971E-3</v>
      </c>
      <c r="AW441" s="22">
        <f t="shared" si="105"/>
        <v>-3.1146547050339602E-3</v>
      </c>
      <c r="AY441" s="85"/>
    </row>
    <row r="442" spans="1:51" x14ac:dyDescent="0.25">
      <c r="A442" s="102" t="str">
        <f t="shared" si="104"/>
        <v>GS MM Volatilisation</v>
      </c>
      <c r="B442" s="102" t="s">
        <v>1022</v>
      </c>
      <c r="C442" s="102" t="s">
        <v>1333</v>
      </c>
      <c r="D442" t="s">
        <v>369</v>
      </c>
      <c r="E442" t="s">
        <v>64</v>
      </c>
      <c r="F442" t="s">
        <v>62</v>
      </c>
      <c r="G442" t="s">
        <v>1181</v>
      </c>
      <c r="H442" t="s">
        <v>1305</v>
      </c>
      <c r="I442" t="s">
        <v>139</v>
      </c>
      <c r="J442" t="s">
        <v>287</v>
      </c>
      <c r="K442" s="22">
        <f t="shared" si="101"/>
        <v>6.4805763262647462E-2</v>
      </c>
      <c r="L442" s="22">
        <f t="shared" si="105"/>
        <v>6.620917696085285E-2</v>
      </c>
      <c r="M442" s="22">
        <f t="shared" si="105"/>
        <v>6.7339988183967914E-2</v>
      </c>
      <c r="N442" s="22">
        <f t="shared" si="105"/>
        <v>6.8078843848603895E-2</v>
      </c>
      <c r="O442" s="22">
        <f t="shared" si="105"/>
        <v>6.8827728157938209E-2</v>
      </c>
      <c r="P442" s="22">
        <f t="shared" si="105"/>
        <v>6.9793181329029633E-2</v>
      </c>
      <c r="Q442" s="22">
        <f t="shared" si="105"/>
        <v>7.0825640221860539E-2</v>
      </c>
      <c r="R442" s="22">
        <f t="shared" si="105"/>
        <v>7.1426070236781977E-2</v>
      </c>
      <c r="S442" s="22">
        <f t="shared" si="105"/>
        <v>6.7971896986057309E-2</v>
      </c>
      <c r="T442" s="22">
        <f t="shared" si="105"/>
        <v>6.9431161818386017E-2</v>
      </c>
      <c r="U442" s="22">
        <f t="shared" si="105"/>
        <v>7.0793385596642902E-2</v>
      </c>
      <c r="V442" s="22">
        <f t="shared" si="105"/>
        <v>7.216636340015109E-2</v>
      </c>
      <c r="W442" s="22">
        <f t="shared" si="105"/>
        <v>7.3724598547713793E-2</v>
      </c>
      <c r="X442" s="22">
        <f t="shared" si="105"/>
        <v>7.5295777535110922E-2</v>
      </c>
      <c r="Y442" s="22">
        <f t="shared" si="105"/>
        <v>7.6868953264879816E-2</v>
      </c>
      <c r="Z442" s="22">
        <f t="shared" si="105"/>
        <v>7.8411785567373049E-2</v>
      </c>
      <c r="AA442" s="22">
        <f t="shared" si="105"/>
        <v>8.0036606766420104E-2</v>
      </c>
      <c r="AB442" s="22">
        <f t="shared" si="105"/>
        <v>8.1590030948431091E-2</v>
      </c>
      <c r="AC442" s="22">
        <f t="shared" si="105"/>
        <v>8.3180296189840519E-2</v>
      </c>
      <c r="AD442" s="22">
        <f t="shared" si="105"/>
        <v>8.498335225395226E-2</v>
      </c>
      <c r="AE442" s="22">
        <f t="shared" si="105"/>
        <v>8.691067585568038E-2</v>
      </c>
      <c r="AF442" s="22">
        <f t="shared" si="105"/>
        <v>8.8898633943391286E-2</v>
      </c>
      <c r="AG442" s="22">
        <f t="shared" si="105"/>
        <v>8.9490348349999485E-2</v>
      </c>
      <c r="AH442" s="22">
        <f t="shared" si="105"/>
        <v>2.1450020418190146E-2</v>
      </c>
      <c r="AI442" s="22">
        <f t="shared" si="105"/>
        <v>2.1614881965790762E-2</v>
      </c>
      <c r="AJ442" s="22">
        <f t="shared" si="105"/>
        <v>2.1780943831055617E-2</v>
      </c>
      <c r="AK442" s="22">
        <f t="shared" si="105"/>
        <v>2.1948215154072734E-2</v>
      </c>
      <c r="AL442" s="22">
        <f t="shared" si="105"/>
        <v>2.2116705116436826E-2</v>
      </c>
      <c r="AM442" s="22">
        <f t="shared" si="105"/>
        <v>2.2286422943949849E-2</v>
      </c>
      <c r="AN442" s="22">
        <f t="shared" si="105"/>
        <v>2.2431505853437582E-2</v>
      </c>
      <c r="AO442" s="22">
        <f t="shared" si="105"/>
        <v>2.2577484325720341E-2</v>
      </c>
      <c r="AP442" s="22">
        <f t="shared" si="105"/>
        <v>2.2724364182075539E-2</v>
      </c>
      <c r="AQ442" s="22">
        <f t="shared" si="105"/>
        <v>2.2872151263259987E-2</v>
      </c>
      <c r="AR442" s="22">
        <f t="shared" si="105"/>
        <v>2.3020851431037954E-2</v>
      </c>
      <c r="AS442" s="22">
        <f t="shared" si="105"/>
        <v>2.3143882531625137E-2</v>
      </c>
      <c r="AT442" s="22">
        <f t="shared" si="105"/>
        <v>2.3267536914699297E-2</v>
      </c>
      <c r="AU442" s="22">
        <f t="shared" si="105"/>
        <v>2.3391817960867468E-2</v>
      </c>
      <c r="AV442" s="22">
        <f t="shared" si="105"/>
        <v>2.3516729056424043E-2</v>
      </c>
      <c r="AW442" s="22">
        <f t="shared" si="105"/>
        <v>2.3642273594262703E-2</v>
      </c>
      <c r="AY442" s="85"/>
    </row>
    <row r="443" spans="1:51" x14ac:dyDescent="0.25">
      <c r="A443" s="102" t="str">
        <f t="shared" si="104"/>
        <v>GS MM Volatilisation</v>
      </c>
      <c r="B443" s="102" t="s">
        <v>1022</v>
      </c>
      <c r="C443" s="102" t="s">
        <v>1333</v>
      </c>
      <c r="D443" t="s">
        <v>369</v>
      </c>
      <c r="E443" t="s">
        <v>64</v>
      </c>
      <c r="F443" t="s">
        <v>62</v>
      </c>
      <c r="G443" t="s">
        <v>1183</v>
      </c>
      <c r="H443" t="s">
        <v>1306</v>
      </c>
      <c r="I443" t="s">
        <v>139</v>
      </c>
      <c r="J443" t="s">
        <v>287</v>
      </c>
      <c r="K443" s="22">
        <f t="shared" si="101"/>
        <v>0.31397927588300406</v>
      </c>
      <c r="L443" s="22">
        <f t="shared" si="105"/>
        <v>0.31907441675710629</v>
      </c>
      <c r="M443" s="22">
        <f t="shared" si="105"/>
        <v>0.3205872704742006</v>
      </c>
      <c r="N443" s="22">
        <f t="shared" si="105"/>
        <v>0.31719609082412314</v>
      </c>
      <c r="O443" s="22">
        <f t="shared" si="105"/>
        <v>0.3138121925530904</v>
      </c>
      <c r="P443" s="22">
        <f t="shared" si="105"/>
        <v>0.31283032074973627</v>
      </c>
      <c r="Q443" s="22">
        <f t="shared" si="105"/>
        <v>0.31262578069676783</v>
      </c>
      <c r="R443" s="22">
        <f t="shared" si="105"/>
        <v>0.30741109145699391</v>
      </c>
      <c r="S443" s="22">
        <f t="shared" si="105"/>
        <v>0.256148371105961</v>
      </c>
      <c r="T443" s="22">
        <f t="shared" si="105"/>
        <v>0.26370410916808512</v>
      </c>
      <c r="U443" s="22">
        <f t="shared" si="105"/>
        <v>0.27001969138915061</v>
      </c>
      <c r="V443" s="22">
        <f t="shared" si="105"/>
        <v>0.2763199496036185</v>
      </c>
      <c r="W443" s="22">
        <f t="shared" si="105"/>
        <v>0.28451678455475204</v>
      </c>
      <c r="X443" s="22">
        <f t="shared" si="105"/>
        <v>0.29268901518137719</v>
      </c>
      <c r="Y443" s="22">
        <f t="shared" si="105"/>
        <v>0.30166157988430881</v>
      </c>
      <c r="Z443" s="22">
        <f t="shared" si="105"/>
        <v>0.31015505304721058</v>
      </c>
      <c r="AA443" s="22">
        <f t="shared" si="105"/>
        <v>0.31937286090334316</v>
      </c>
      <c r="AB443" s="22">
        <f t="shared" si="105"/>
        <v>0.32768435170975169</v>
      </c>
      <c r="AC443" s="22">
        <f t="shared" si="105"/>
        <v>0.3362412673320212</v>
      </c>
      <c r="AD443" s="22">
        <f t="shared" si="105"/>
        <v>0.34761278711237292</v>
      </c>
      <c r="AE443" s="22">
        <f t="shared" si="105"/>
        <v>0.36009727200869485</v>
      </c>
      <c r="AF443" s="22">
        <f t="shared" si="105"/>
        <v>0.37302207723672137</v>
      </c>
      <c r="AG443" s="22">
        <f t="shared" si="105"/>
        <v>0.37158281441490282</v>
      </c>
      <c r="AH443" s="22">
        <f t="shared" si="105"/>
        <v>-0.32225581682934024</v>
      </c>
      <c r="AI443" s="22">
        <f t="shared" si="105"/>
        <v>-0.32271754342348513</v>
      </c>
      <c r="AJ443" s="22">
        <f t="shared" si="105"/>
        <v>-0.32321834210238065</v>
      </c>
      <c r="AK443" s="22">
        <f t="shared" si="105"/>
        <v>-0.32375658230947413</v>
      </c>
      <c r="AL443" s="22">
        <f t="shared" si="105"/>
        <v>-0.32433076013748197</v>
      </c>
      <c r="AM443" s="22">
        <f t="shared" si="105"/>
        <v>-0.32493948616259549</v>
      </c>
      <c r="AN443" s="22">
        <f t="shared" si="105"/>
        <v>-0.32519002694092081</v>
      </c>
      <c r="AO443" s="22">
        <f t="shared" si="105"/>
        <v>-0.32547196769911135</v>
      </c>
      <c r="AP443" s="22">
        <f t="shared" si="105"/>
        <v>-0.32578408919193652</v>
      </c>
      <c r="AQ443" s="22">
        <f t="shared" si="105"/>
        <v>-0.32612525589272406</v>
      </c>
      <c r="AR443" s="22">
        <f t="shared" si="105"/>
        <v>-0.32649440879969549</v>
      </c>
      <c r="AS443" s="22">
        <f t="shared" si="105"/>
        <v>-0.32649961480368156</v>
      </c>
      <c r="AT443" s="22">
        <f t="shared" si="105"/>
        <v>-0.32653073845215902</v>
      </c>
      <c r="AU443" s="22">
        <f t="shared" si="105"/>
        <v>-0.326586821501688</v>
      </c>
      <c r="AV443" s="22">
        <f t="shared" si="105"/>
        <v>-0.32666696441292659</v>
      </c>
      <c r="AW443" s="22">
        <f t="shared" si="105"/>
        <v>-0.32677032179119497</v>
      </c>
      <c r="AY443" s="85"/>
    </row>
    <row r="444" spans="1:51" x14ac:dyDescent="0.25">
      <c r="A444" s="102" t="str">
        <f t="shared" si="104"/>
        <v>GS MM Leaching</v>
      </c>
      <c r="B444" s="102" t="s">
        <v>1022</v>
      </c>
      <c r="C444" s="102" t="s">
        <v>1334</v>
      </c>
      <c r="D444" t="s">
        <v>369</v>
      </c>
      <c r="E444" t="s">
        <v>64</v>
      </c>
      <c r="F444" t="s">
        <v>63</v>
      </c>
      <c r="G444" t="s">
        <v>1153</v>
      </c>
      <c r="H444" t="s">
        <v>1307</v>
      </c>
      <c r="I444" t="s">
        <v>139</v>
      </c>
      <c r="J444" t="s">
        <v>287</v>
      </c>
      <c r="K444" s="22">
        <f t="shared" si="101"/>
        <v>8.937279530386584E-2</v>
      </c>
      <c r="L444" s="22">
        <f t="shared" si="105"/>
        <v>8.99287091662518E-2</v>
      </c>
      <c r="M444" s="22">
        <f t="shared" si="105"/>
        <v>9.0310907604627441E-2</v>
      </c>
      <c r="N444" s="22">
        <f t="shared" si="105"/>
        <v>9.0430770661024784E-2</v>
      </c>
      <c r="O444" s="22">
        <f t="shared" si="105"/>
        <v>9.0592927490571046E-2</v>
      </c>
      <c r="P444" s="22">
        <f t="shared" si="105"/>
        <v>9.0948112554123092E-2</v>
      </c>
      <c r="Q444" s="22">
        <f t="shared" si="105"/>
        <v>9.1373943417930939E-2</v>
      </c>
      <c r="R444" s="22">
        <f t="shared" si="105"/>
        <v>9.1501867451345892E-2</v>
      </c>
      <c r="S444" s="22">
        <f t="shared" si="105"/>
        <v>8.8692780673306368E-2</v>
      </c>
      <c r="T444" s="22">
        <f t="shared" si="105"/>
        <v>8.942331322993069E-2</v>
      </c>
      <c r="U444" s="22">
        <f t="shared" si="105"/>
        <v>9.0093190837869708E-2</v>
      </c>
      <c r="V444" s="22">
        <f t="shared" si="105"/>
        <v>9.0780038603481383E-2</v>
      </c>
      <c r="W444" s="22">
        <f t="shared" si="105"/>
        <v>9.1607440170769952E-2</v>
      </c>
      <c r="X444" s="22">
        <f t="shared" si="105"/>
        <v>9.2450367431163069E-2</v>
      </c>
      <c r="Y444" s="22">
        <f t="shared" si="105"/>
        <v>9.3271141222409717E-2</v>
      </c>
      <c r="Z444" s="22">
        <f t="shared" si="105"/>
        <v>9.4075494804423593E-2</v>
      </c>
      <c r="AA444" s="22">
        <f t="shared" si="105"/>
        <v>9.494187182919285E-2</v>
      </c>
      <c r="AB444" s="22">
        <f t="shared" si="105"/>
        <v>9.5762313841523894E-2</v>
      </c>
      <c r="AC444" s="22">
        <f t="shared" si="105"/>
        <v>9.6612184537040763E-2</v>
      </c>
      <c r="AD444" s="22">
        <f t="shared" si="105"/>
        <v>9.7588608414981418E-2</v>
      </c>
      <c r="AE444" s="22">
        <f t="shared" si="105"/>
        <v>9.8652036659073086E-2</v>
      </c>
      <c r="AF444" s="22">
        <f t="shared" si="105"/>
        <v>9.9757674838538646E-2</v>
      </c>
      <c r="AG444" s="22">
        <f t="shared" si="105"/>
        <v>9.9912115595676476E-2</v>
      </c>
      <c r="AH444" s="22">
        <f t="shared" si="105"/>
        <v>5.3491971899674674E-2</v>
      </c>
      <c r="AI444" s="22">
        <f t="shared" si="105"/>
        <v>5.3531314918473571E-2</v>
      </c>
      <c r="AJ444" s="22">
        <f t="shared" si="105"/>
        <v>5.357582611787514E-2</v>
      </c>
      <c r="AK444" s="22">
        <f t="shared" si="105"/>
        <v>5.3625309057202357E-2</v>
      </c>
      <c r="AL444" s="22">
        <f t="shared" si="105"/>
        <v>5.3679582424864689E-2</v>
      </c>
      <c r="AM444" s="22">
        <f t="shared" si="105"/>
        <v>5.3738478604376284E-2</v>
      </c>
      <c r="AN444" s="22">
        <f t="shared" si="105"/>
        <v>5.3763835169364317E-2</v>
      </c>
      <c r="AO444" s="22">
        <f t="shared" si="105"/>
        <v>5.3793262757512665E-2</v>
      </c>
      <c r="AP444" s="22">
        <f t="shared" si="105"/>
        <v>5.3826619180497665E-2</v>
      </c>
      <c r="AQ444" s="22">
        <f t="shared" si="105"/>
        <v>5.3863771952469164E-2</v>
      </c>
      <c r="AR444" s="22">
        <f t="shared" si="105"/>
        <v>5.3904597466717913E-2</v>
      </c>
      <c r="AS444" s="22">
        <f t="shared" si="105"/>
        <v>5.3910563480556228E-2</v>
      </c>
      <c r="AT444" s="22">
        <f t="shared" si="105"/>
        <v>5.3919785471416987E-2</v>
      </c>
      <c r="AU444" s="22">
        <f t="shared" si="105"/>
        <v>5.3932155519366927E-2</v>
      </c>
      <c r="AV444" s="22">
        <f t="shared" si="105"/>
        <v>5.3947572278859428E-2</v>
      </c>
      <c r="AW444" s="22">
        <f t="shared" si="105"/>
        <v>5.3965940473698626E-2</v>
      </c>
      <c r="AY444" s="85"/>
    </row>
    <row r="445" spans="1:51" x14ac:dyDescent="0.25">
      <c r="A445" s="102" t="str">
        <f t="shared" si="104"/>
        <v>GS MM Leaching</v>
      </c>
      <c r="B445" s="102" t="s">
        <v>1022</v>
      </c>
      <c r="C445" s="102" t="s">
        <v>1334</v>
      </c>
      <c r="D445" t="s">
        <v>369</v>
      </c>
      <c r="E445" t="s">
        <v>64</v>
      </c>
      <c r="F445" t="s">
        <v>63</v>
      </c>
      <c r="G445" t="s">
        <v>1155</v>
      </c>
      <c r="H445" t="s">
        <v>1308</v>
      </c>
      <c r="I445" t="s">
        <v>139</v>
      </c>
      <c r="J445" t="s">
        <v>287</v>
      </c>
      <c r="K445" s="22">
        <f t="shared" si="101"/>
        <v>2.6988316791591433E-2</v>
      </c>
      <c r="L445" s="22">
        <f t="shared" si="105"/>
        <v>2.7156188674482627E-2</v>
      </c>
      <c r="M445" s="22">
        <f t="shared" si="105"/>
        <v>2.7271602906487613E-2</v>
      </c>
      <c r="N445" s="22">
        <f t="shared" si="105"/>
        <v>2.7307798508590695E-2</v>
      </c>
      <c r="O445" s="22">
        <f t="shared" si="105"/>
        <v>2.7356765757190617E-2</v>
      </c>
      <c r="P445" s="22">
        <f t="shared" si="105"/>
        <v>2.7464022635328895E-2</v>
      </c>
      <c r="Q445" s="22">
        <f t="shared" si="105"/>
        <v>2.7592612752858615E-2</v>
      </c>
      <c r="R445" s="22">
        <f t="shared" si="105"/>
        <v>2.7631242565513824E-2</v>
      </c>
      <c r="S445" s="22">
        <f t="shared" si="105"/>
        <v>2.6782969625151597E-2</v>
      </c>
      <c r="T445" s="22">
        <f t="shared" si="105"/>
        <v>2.7003571923621898E-2</v>
      </c>
      <c r="U445" s="22">
        <f t="shared" si="105"/>
        <v>2.7205857966406888E-2</v>
      </c>
      <c r="V445" s="22">
        <f t="shared" si="105"/>
        <v>2.7413268566275666E-2</v>
      </c>
      <c r="W445" s="22">
        <f t="shared" si="105"/>
        <v>2.7663122848397212E-2</v>
      </c>
      <c r="X445" s="22">
        <f t="shared" si="105"/>
        <v>2.7917665495949085E-2</v>
      </c>
      <c r="Y445" s="22">
        <f t="shared" si="105"/>
        <v>2.8165518357852821E-2</v>
      </c>
      <c r="Z445" s="22">
        <f t="shared" si="105"/>
        <v>2.8408412733149407E-2</v>
      </c>
      <c r="AA445" s="22">
        <f t="shared" si="105"/>
        <v>2.8670036614621735E-2</v>
      </c>
      <c r="AB445" s="22">
        <f t="shared" si="105"/>
        <v>2.8917789287710199E-2</v>
      </c>
      <c r="AC445" s="22">
        <f t="shared" si="105"/>
        <v>2.9174428676514319E-2</v>
      </c>
      <c r="AD445" s="22">
        <f t="shared" si="105"/>
        <v>2.9469283915752844E-2</v>
      </c>
      <c r="AE445" s="22">
        <f t="shared" si="105"/>
        <v>2.979041226626589E-2</v>
      </c>
      <c r="AF445" s="22">
        <f t="shared" si="105"/>
        <v>3.0124286946394699E-2</v>
      </c>
      <c r="AG445" s="22">
        <f t="shared" si="105"/>
        <v>3.0170924136884231E-2</v>
      </c>
      <c r="AH445" s="22">
        <f t="shared" si="105"/>
        <v>1.6153218420962612E-2</v>
      </c>
      <c r="AI445" s="22">
        <f t="shared" si="105"/>
        <v>1.6165099014506461E-2</v>
      </c>
      <c r="AJ445" s="22">
        <f t="shared" si="105"/>
        <v>1.6178540267475436E-2</v>
      </c>
      <c r="AK445" s="22">
        <f t="shared" si="105"/>
        <v>1.6193482859768772E-2</v>
      </c>
      <c r="AL445" s="22">
        <f t="shared" si="105"/>
        <v>1.6209872039886029E-2</v>
      </c>
      <c r="AM445" s="22">
        <f t="shared" si="105"/>
        <v>1.6227657191900897E-2</v>
      </c>
      <c r="AN445" s="22">
        <f t="shared" si="105"/>
        <v>1.6235314231230563E-2</v>
      </c>
      <c r="AO445" s="22">
        <f t="shared" si="105"/>
        <v>1.6244200616272676E-2</v>
      </c>
      <c r="AP445" s="22">
        <f t="shared" si="105"/>
        <v>1.6254273409760815E-2</v>
      </c>
      <c r="AQ445" s="22">
        <f t="shared" si="105"/>
        <v>1.6265492604329402E-2</v>
      </c>
      <c r="AR445" s="22">
        <f t="shared" si="105"/>
        <v>1.6277820873888151E-2</v>
      </c>
      <c r="AS445" s="22">
        <f t="shared" si="105"/>
        <v>1.6279622458709387E-2</v>
      </c>
      <c r="AT445" s="22">
        <f t="shared" si="105"/>
        <v>1.6282407265987193E-2</v>
      </c>
      <c r="AU445" s="22">
        <f t="shared" si="105"/>
        <v>1.6286142706639629E-2</v>
      </c>
      <c r="AV445" s="22">
        <f t="shared" si="105"/>
        <v>1.6290798176882768E-2</v>
      </c>
      <c r="AW445" s="22">
        <f t="shared" si="105"/>
        <v>1.6296344905722616E-2</v>
      </c>
      <c r="AY445" s="85"/>
    </row>
    <row r="446" spans="1:51" x14ac:dyDescent="0.25">
      <c r="A446" s="102" t="str">
        <f t="shared" si="104"/>
        <v>GS MM Leaching</v>
      </c>
      <c r="B446" s="102" t="s">
        <v>1022</v>
      </c>
      <c r="C446" s="102" t="s">
        <v>1334</v>
      </c>
      <c r="D446" t="s">
        <v>369</v>
      </c>
      <c r="E446" t="s">
        <v>64</v>
      </c>
      <c r="F446" t="s">
        <v>63</v>
      </c>
      <c r="G446" t="s">
        <v>1157</v>
      </c>
      <c r="H446" t="s">
        <v>1309</v>
      </c>
      <c r="I446" t="s">
        <v>139</v>
      </c>
      <c r="J446" t="s">
        <v>287</v>
      </c>
      <c r="K446" s="22">
        <f t="shared" si="101"/>
        <v>1.4509917151188738E-3</v>
      </c>
      <c r="L446" s="22">
        <f t="shared" si="105"/>
        <v>1.4600171283433256E-3</v>
      </c>
      <c r="M446" s="22">
        <f t="shared" si="105"/>
        <v>1.4662222242646174E-3</v>
      </c>
      <c r="N446" s="22">
        <f t="shared" si="105"/>
        <v>1.4681682336871716E-3</v>
      </c>
      <c r="O446" s="22">
        <f t="shared" si="105"/>
        <v>1.4708008940557055E-3</v>
      </c>
      <c r="P446" s="22">
        <f t="shared" si="105"/>
        <v>1.4765674204667426E-3</v>
      </c>
      <c r="Q446" s="22">
        <f t="shared" si="105"/>
        <v>1.4834809007190539E-3</v>
      </c>
      <c r="R446" s="22">
        <f t="shared" si="105"/>
        <v>1.485557782302746E-3</v>
      </c>
      <c r="S446" s="22">
        <f t="shared" si="105"/>
        <v>1.439951492065016E-3</v>
      </c>
      <c r="T446" s="22">
        <f t="shared" si="105"/>
        <v>1.4518118874312183E-3</v>
      </c>
      <c r="U446" s="22">
        <f t="shared" si="105"/>
        <v>1.4626875331571739E-3</v>
      </c>
      <c r="V446" s="22">
        <f t="shared" si="105"/>
        <v>1.4738386940228707E-3</v>
      </c>
      <c r="W446" s="22">
        <f t="shared" si="105"/>
        <v>1.4872717842057417E-3</v>
      </c>
      <c r="X446" s="22">
        <f t="shared" si="105"/>
        <v>1.5009569382520018E-3</v>
      </c>
      <c r="Y446" s="22">
        <f t="shared" si="105"/>
        <v>1.5142824246825921E-3</v>
      </c>
      <c r="Z446" s="22">
        <f t="shared" si="105"/>
        <v>1.5273413245364029E-3</v>
      </c>
      <c r="AA446" s="22">
        <f t="shared" si="105"/>
        <v>1.5414071919050509E-3</v>
      </c>
      <c r="AB446" s="22">
        <f t="shared" si="105"/>
        <v>1.5547272918144282E-3</v>
      </c>
      <c r="AC446" s="22">
        <f t="shared" si="105"/>
        <v>1.568525174424283E-3</v>
      </c>
      <c r="AD446" s="22">
        <f t="shared" si="105"/>
        <v>1.5843776824779826E-3</v>
      </c>
      <c r="AE446" s="22">
        <f t="shared" si="105"/>
        <v>1.6016427301533305E-3</v>
      </c>
      <c r="AF446" s="22">
        <f t="shared" si="105"/>
        <v>1.6195930676455074E-3</v>
      </c>
      <c r="AG446" s="22">
        <f t="shared" si="105"/>
        <v>1.6221004554733333E-3</v>
      </c>
      <c r="AH446" s="22">
        <f t="shared" si="105"/>
        <v>8.6845675787475588E-4</v>
      </c>
      <c r="AI446" s="22">
        <f t="shared" si="105"/>
        <v>8.6909550251881536E-4</v>
      </c>
      <c r="AJ446" s="22">
        <f t="shared" si="105"/>
        <v>8.6981815398498119E-4</v>
      </c>
      <c r="AK446" s="22">
        <f t="shared" si="105"/>
        <v>8.7062152300526781E-4</v>
      </c>
      <c r="AL446" s="22">
        <f t="shared" si="105"/>
        <v>8.7150266593653532E-4</v>
      </c>
      <c r="AM446" s="22">
        <f t="shared" si="105"/>
        <v>8.7245886147940626E-4</v>
      </c>
      <c r="AN446" s="22">
        <f t="shared" si="105"/>
        <v>8.728705322299566E-4</v>
      </c>
      <c r="AO446" s="22">
        <f t="shared" si="105"/>
        <v>8.7334829715220207E-4</v>
      </c>
      <c r="AP446" s="22">
        <f t="shared" si="105"/>
        <v>8.7388984777991429E-4</v>
      </c>
      <c r="AQ446" s="22">
        <f t="shared" si="105"/>
        <v>8.7449303316917135E-4</v>
      </c>
      <c r="AR446" s="22">
        <f t="shared" si="105"/>
        <v>8.7515584653132471E-4</v>
      </c>
      <c r="AS446" s="22">
        <f t="shared" si="105"/>
        <v>8.7525270639368256E-4</v>
      </c>
      <c r="AT446" s="22">
        <f t="shared" si="105"/>
        <v>8.7540242793132E-4</v>
      </c>
      <c r="AU446" s="22">
        <f t="shared" si="105"/>
        <v>8.7560325903467736E-4</v>
      </c>
      <c r="AV446" s="22">
        <f t="shared" si="105"/>
        <v>8.7585355433115466E-4</v>
      </c>
      <c r="AW446" s="22">
        <f t="shared" si="105"/>
        <v>8.7615176698571857E-4</v>
      </c>
      <c r="AY446" s="85"/>
    </row>
    <row r="447" spans="1:51" x14ac:dyDescent="0.25">
      <c r="A447" s="102" t="str">
        <f t="shared" si="104"/>
        <v>GS MM Leaching</v>
      </c>
      <c r="B447" s="102" t="s">
        <v>1022</v>
      </c>
      <c r="C447" s="102" t="s">
        <v>1334</v>
      </c>
      <c r="D447" t="s">
        <v>369</v>
      </c>
      <c r="E447" t="s">
        <v>64</v>
      </c>
      <c r="F447" t="s">
        <v>63</v>
      </c>
      <c r="G447" t="s">
        <v>1159</v>
      </c>
      <c r="H447" t="s">
        <v>1310</v>
      </c>
      <c r="I447" t="s">
        <v>139</v>
      </c>
      <c r="J447" t="s">
        <v>287</v>
      </c>
      <c r="K447" s="22">
        <f t="shared" si="101"/>
        <v>3.0570019073752373E-2</v>
      </c>
      <c r="L447" s="22">
        <f t="shared" si="105"/>
        <v>3.0367387601048686E-2</v>
      </c>
      <c r="M447" s="22">
        <f t="shared" si="105"/>
        <v>2.9940152719715736E-2</v>
      </c>
      <c r="N447" s="22">
        <f t="shared" si="105"/>
        <v>2.9219989120948371E-2</v>
      </c>
      <c r="O447" s="22">
        <f t="shared" si="105"/>
        <v>2.852126892952573E-2</v>
      </c>
      <c r="P447" s="22">
        <f t="shared" si="105"/>
        <v>2.7983855033028606E-2</v>
      </c>
      <c r="Q447" s="22">
        <f t="shared" si="105"/>
        <v>2.749776002622362E-2</v>
      </c>
      <c r="R447" s="22">
        <f t="shared" si="105"/>
        <v>2.6733493787157343E-2</v>
      </c>
      <c r="S447" s="22">
        <f t="shared" si="105"/>
        <v>2.3446894467457041E-2</v>
      </c>
      <c r="T447" s="22">
        <f t="shared" si="105"/>
        <v>2.3670380965491088E-2</v>
      </c>
      <c r="U447" s="22">
        <f t="shared" si="105"/>
        <v>2.3821608196176489E-2</v>
      </c>
      <c r="V447" s="22">
        <f t="shared" si="105"/>
        <v>2.3967916654645059E-2</v>
      </c>
      <c r="W447" s="22">
        <f t="shared" si="105"/>
        <v>2.4209875654048162E-2</v>
      </c>
      <c r="X447" s="22">
        <f t="shared" si="105"/>
        <v>2.4443860278754486E-2</v>
      </c>
      <c r="Y447" s="22">
        <f t="shared" si="105"/>
        <v>2.4689509012601481E-2</v>
      </c>
      <c r="Z447" s="22">
        <f t="shared" si="105"/>
        <v>2.4903367961433137E-2</v>
      </c>
      <c r="AA447" s="22">
        <f t="shared" si="105"/>
        <v>2.5146768445041517E-2</v>
      </c>
      <c r="AB447" s="22">
        <f t="shared" si="105"/>
        <v>2.5337237570324824E-2</v>
      </c>
      <c r="AC447" s="22">
        <f t="shared" si="105"/>
        <v>2.5532932848471888E-2</v>
      </c>
      <c r="AD447" s="22">
        <f t="shared" si="105"/>
        <v>2.5624080551254102E-2</v>
      </c>
      <c r="AE447" s="22">
        <f t="shared" si="105"/>
        <v>2.5749062544479791E-2</v>
      </c>
      <c r="AF447" s="22">
        <f t="shared" si="105"/>
        <v>2.5873562186552946E-2</v>
      </c>
      <c r="AG447" s="22">
        <f t="shared" si="105"/>
        <v>2.53248358805277E-2</v>
      </c>
      <c r="AH447" s="22">
        <f t="shared" si="105"/>
        <v>-5.9737784992688692E-3</v>
      </c>
      <c r="AI447" s="22">
        <f t="shared" si="105"/>
        <v>-5.8352076147992196E-3</v>
      </c>
      <c r="AJ447" s="22">
        <f t="shared" si="105"/>
        <v>-5.6988404422584063E-3</v>
      </c>
      <c r="AK447" s="22">
        <f t="shared" si="105"/>
        <v>-5.5645615630153409E-3</v>
      </c>
      <c r="AL447" s="22">
        <f t="shared" si="105"/>
        <v>-5.4322635380194221E-3</v>
      </c>
      <c r="AM447" s="22">
        <f t="shared" si="105"/>
        <v>-5.3018461683791993E-3</v>
      </c>
      <c r="AN447" s="22">
        <f t="shared" si="105"/>
        <v>-5.1961071833315654E-3</v>
      </c>
      <c r="AO447" s="22">
        <f t="shared" si="105"/>
        <v>-5.0919652579405755E-3</v>
      </c>
      <c r="AP447" s="22">
        <f t="shared" si="105"/>
        <v>-4.9893480213799102E-3</v>
      </c>
      <c r="AQ447" s="22">
        <f t="shared" si="105"/>
        <v>-4.8881876039149471E-3</v>
      </c>
      <c r="AR447" s="22">
        <f t="shared" si="105"/>
        <v>-4.7884202636879142E-3</v>
      </c>
      <c r="AS447" s="22">
        <f t="shared" si="105"/>
        <v>-4.6867985813226392E-3</v>
      </c>
      <c r="AT447" s="22">
        <f t="shared" si="105"/>
        <v>-4.5865743266878378E-3</v>
      </c>
      <c r="AU447" s="22">
        <f t="shared" si="105"/>
        <v>-4.4876925271481486E-3</v>
      </c>
      <c r="AV447" s="22">
        <f t="shared" si="105"/>
        <v>-4.3901012986055903E-3</v>
      </c>
      <c r="AW447" s="22">
        <f t="shared" si="105"/>
        <v>-4.2937516147018842E-3</v>
      </c>
      <c r="AY447" s="85"/>
    </row>
    <row r="448" spans="1:51" x14ac:dyDescent="0.25">
      <c r="A448" s="102" t="str">
        <f t="shared" si="104"/>
        <v>GS MM Leaching</v>
      </c>
      <c r="B448" s="102" t="s">
        <v>1022</v>
      </c>
      <c r="C448" s="102" t="s">
        <v>1334</v>
      </c>
      <c r="D448" t="s">
        <v>369</v>
      </c>
      <c r="E448" t="s">
        <v>64</v>
      </c>
      <c r="F448" t="s">
        <v>63</v>
      </c>
      <c r="G448" t="s">
        <v>1161</v>
      </c>
      <c r="H448" t="s">
        <v>1311</v>
      </c>
      <c r="I448" t="s">
        <v>139</v>
      </c>
      <c r="J448" t="s">
        <v>287</v>
      </c>
      <c r="K448" s="22">
        <f t="shared" si="101"/>
        <v>4.0580733454567468E-2</v>
      </c>
      <c r="L448" s="22">
        <f t="shared" si="105"/>
        <v>4.0311746583363478E-2</v>
      </c>
      <c r="M448" s="22">
        <f t="shared" ref="L448:AW454" si="106">M1551</f>
        <v>3.9744605790940746E-2</v>
      </c>
      <c r="N448" s="22">
        <f t="shared" si="106"/>
        <v>3.8788611390847182E-2</v>
      </c>
      <c r="O448" s="22">
        <f t="shared" si="106"/>
        <v>3.7861082435793565E-2</v>
      </c>
      <c r="P448" s="22">
        <f t="shared" si="106"/>
        <v>3.7147682485472483E-2</v>
      </c>
      <c r="Q448" s="22">
        <f t="shared" si="106"/>
        <v>3.6502406738108395E-2</v>
      </c>
      <c r="R448" s="22">
        <f t="shared" si="106"/>
        <v>3.5487867477892406E-2</v>
      </c>
      <c r="S448" s="22">
        <f t="shared" si="106"/>
        <v>3.1125010829260641E-2</v>
      </c>
      <c r="T448" s="22">
        <f t="shared" si="106"/>
        <v>3.142168208698979E-2</v>
      </c>
      <c r="U448" s="22">
        <f t="shared" si="106"/>
        <v>3.1622431452723296E-2</v>
      </c>
      <c r="V448" s="22">
        <f t="shared" si="106"/>
        <v>3.1816651303909434E-2</v>
      </c>
      <c r="W448" s="22">
        <f t="shared" si="106"/>
        <v>3.2137844222959386E-2</v>
      </c>
      <c r="X448" s="22">
        <f t="shared" si="106"/>
        <v>3.2448451411812178E-2</v>
      </c>
      <c r="Y448" s="22">
        <f t="shared" si="106"/>
        <v>3.2774542336637791E-2</v>
      </c>
      <c r="Z448" s="22">
        <f t="shared" si="106"/>
        <v>3.3058433327300053E-2</v>
      </c>
      <c r="AA448" s="22">
        <f t="shared" si="106"/>
        <v>3.3381539771041358E-2</v>
      </c>
      <c r="AB448" s="22">
        <f t="shared" si="106"/>
        <v>3.3634381510714434E-2</v>
      </c>
      <c r="AC448" s="22">
        <f t="shared" si="106"/>
        <v>3.3894160803021843E-2</v>
      </c>
      <c r="AD448" s="22">
        <f t="shared" si="106"/>
        <v>3.4015156495653814E-2</v>
      </c>
      <c r="AE448" s="22">
        <f t="shared" si="106"/>
        <v>3.4181066138741563E-2</v>
      </c>
      <c r="AF448" s="22">
        <f t="shared" si="106"/>
        <v>3.4346335475930106E-2</v>
      </c>
      <c r="AG448" s="22">
        <f t="shared" si="106"/>
        <v>3.3617918659748287E-2</v>
      </c>
      <c r="AH448" s="22">
        <f t="shared" si="106"/>
        <v>-7.9300020196454452E-3</v>
      </c>
      <c r="AI448" s="22">
        <f t="shared" si="106"/>
        <v>-7.7460535532195693E-3</v>
      </c>
      <c r="AJ448" s="22">
        <f t="shared" si="106"/>
        <v>-7.565030444680417E-3</v>
      </c>
      <c r="AK448" s="22">
        <f t="shared" si="106"/>
        <v>-7.3867794794456746E-3</v>
      </c>
      <c r="AL448" s="22">
        <f t="shared" si="106"/>
        <v>-7.211158035573738E-3</v>
      </c>
      <c r="AM448" s="22">
        <f t="shared" si="106"/>
        <v>-7.038033102205285E-3</v>
      </c>
      <c r="AN448" s="22">
        <f t="shared" si="106"/>
        <v>-6.8976679438577443E-3</v>
      </c>
      <c r="AO448" s="22">
        <f t="shared" si="106"/>
        <v>-6.7594228316927426E-3</v>
      </c>
      <c r="AP448" s="22">
        <f t="shared" si="106"/>
        <v>-6.6232016957272714E-3</v>
      </c>
      <c r="AQ448" s="22">
        <f t="shared" si="106"/>
        <v>-6.4889144410352007E-3</v>
      </c>
      <c r="AR448" s="22">
        <f t="shared" si="106"/>
        <v>-6.3564764523163604E-3</v>
      </c>
      <c r="AS448" s="22">
        <f t="shared" si="106"/>
        <v>-6.2215768830579691E-3</v>
      </c>
      <c r="AT448" s="22">
        <f t="shared" si="106"/>
        <v>-6.0885323549140658E-3</v>
      </c>
      <c r="AU448" s="22">
        <f t="shared" si="106"/>
        <v>-5.9572698934498708E-3</v>
      </c>
      <c r="AV448" s="22">
        <f t="shared" si="106"/>
        <v>-5.8277206241663026E-3</v>
      </c>
      <c r="AW448" s="22">
        <f t="shared" si="106"/>
        <v>-5.6998194661233492E-3</v>
      </c>
      <c r="AY448" s="85"/>
    </row>
    <row r="449" spans="1:51" x14ac:dyDescent="0.25">
      <c r="A449" s="102" t="str">
        <f t="shared" si="104"/>
        <v>GS MM Leaching</v>
      </c>
      <c r="B449" s="102" t="s">
        <v>1022</v>
      </c>
      <c r="C449" s="102" t="s">
        <v>1334</v>
      </c>
      <c r="D449" t="s">
        <v>369</v>
      </c>
      <c r="E449" t="s">
        <v>64</v>
      </c>
      <c r="F449" t="s">
        <v>63</v>
      </c>
      <c r="G449" t="s">
        <v>1163</v>
      </c>
      <c r="H449" t="s">
        <v>1312</v>
      </c>
      <c r="I449" t="s">
        <v>139</v>
      </c>
      <c r="J449" t="s">
        <v>287</v>
      </c>
      <c r="K449" s="22">
        <f t="shared" si="101"/>
        <v>4.2198184999711216E-2</v>
      </c>
      <c r="L449" s="22">
        <f t="shared" si="106"/>
        <v>4.3701080723593189E-2</v>
      </c>
      <c r="M449" s="22">
        <f t="shared" si="106"/>
        <v>4.4893970631746632E-2</v>
      </c>
      <c r="N449" s="22">
        <f t="shared" si="106"/>
        <v>4.5631666148342777E-2</v>
      </c>
      <c r="O449" s="22">
        <f t="shared" si="106"/>
        <v>4.6370901653410727E-2</v>
      </c>
      <c r="P449" s="22">
        <f t="shared" si="106"/>
        <v>4.7352594214128713E-2</v>
      </c>
      <c r="Q449" s="22">
        <f t="shared" si="106"/>
        <v>4.8416104778857959E-2</v>
      </c>
      <c r="R449" s="22">
        <f t="shared" si="106"/>
        <v>4.8969568240860781E-2</v>
      </c>
      <c r="S449" s="22">
        <f t="shared" si="106"/>
        <v>4.467643167473432E-2</v>
      </c>
      <c r="T449" s="22">
        <f t="shared" si="106"/>
        <v>4.6180091777624298E-2</v>
      </c>
      <c r="U449" s="22">
        <f t="shared" si="106"/>
        <v>4.7570527161609366E-2</v>
      </c>
      <c r="V449" s="22">
        <f t="shared" si="106"/>
        <v>4.8976478875928542E-2</v>
      </c>
      <c r="W449" s="22">
        <f t="shared" si="106"/>
        <v>5.0608575947889443E-2</v>
      </c>
      <c r="X449" s="22">
        <f t="shared" si="106"/>
        <v>5.2259990749301093E-2</v>
      </c>
      <c r="Y449" s="22">
        <f t="shared" si="106"/>
        <v>5.3973742651481194E-2</v>
      </c>
      <c r="Z449" s="22">
        <f t="shared" si="106"/>
        <v>5.5655662348968654E-2</v>
      </c>
      <c r="AA449" s="22">
        <f t="shared" si="106"/>
        <v>5.7442412303445836E-2</v>
      </c>
      <c r="AB449" s="22">
        <f t="shared" si="106"/>
        <v>5.9147142754678653E-2</v>
      </c>
      <c r="AC449" s="22">
        <f t="shared" si="106"/>
        <v>6.0901819824646548E-2</v>
      </c>
      <c r="AD449" s="22">
        <f t="shared" si="106"/>
        <v>6.3135419327645992E-2</v>
      </c>
      <c r="AE449" s="22">
        <f t="shared" si="106"/>
        <v>6.5540351764294846E-2</v>
      </c>
      <c r="AF449" s="22">
        <f t="shared" si="106"/>
        <v>6.8039701590190294E-2</v>
      </c>
      <c r="AG449" s="22">
        <f t="shared" si="106"/>
        <v>6.8810814245314753E-2</v>
      </c>
      <c r="AH449" s="22">
        <f t="shared" si="106"/>
        <v>-1.6773235166111743E-2</v>
      </c>
      <c r="AI449" s="22">
        <f t="shared" si="106"/>
        <v>-1.6933400933561566E-2</v>
      </c>
      <c r="AJ449" s="22">
        <f t="shared" si="106"/>
        <v>-1.7094868952670969E-2</v>
      </c>
      <c r="AK449" s="22">
        <f t="shared" si="106"/>
        <v>-1.7257651547387617E-2</v>
      </c>
      <c r="AL449" s="22">
        <f t="shared" si="106"/>
        <v>-1.7421761152310457E-2</v>
      </c>
      <c r="AM449" s="22">
        <f t="shared" si="106"/>
        <v>-1.7587210313649345E-2</v>
      </c>
      <c r="AN449" s="22">
        <f t="shared" si="106"/>
        <v>-1.7719984819695212E-2</v>
      </c>
      <c r="AO449" s="22">
        <f t="shared" si="106"/>
        <v>-1.7853675202067487E-2</v>
      </c>
      <c r="AP449" s="22">
        <f t="shared" si="106"/>
        <v>-1.7988288709386402E-2</v>
      </c>
      <c r="AQ449" s="22">
        <f t="shared" si="106"/>
        <v>-1.8123832644983004E-2</v>
      </c>
      <c r="AR449" s="22">
        <f t="shared" si="106"/>
        <v>-1.8260314367299166E-2</v>
      </c>
      <c r="AS449" s="22">
        <f t="shared" si="106"/>
        <v>-1.8385237574275969E-2</v>
      </c>
      <c r="AT449" s="22">
        <f t="shared" si="106"/>
        <v>-1.8510879729427106E-2</v>
      </c>
      <c r="AU449" s="22">
        <f t="shared" si="106"/>
        <v>-1.8637245588774352E-2</v>
      </c>
      <c r="AV449" s="22">
        <f t="shared" si="106"/>
        <v>-1.8764339938161633E-2</v>
      </c>
      <c r="AW449" s="22">
        <f t="shared" si="106"/>
        <v>-1.8892167593435472E-2</v>
      </c>
      <c r="AY449" s="85"/>
    </row>
    <row r="450" spans="1:51" x14ac:dyDescent="0.25">
      <c r="A450" s="102" t="str">
        <f t="shared" si="104"/>
        <v>GS MM Leaching</v>
      </c>
      <c r="B450" s="102" t="s">
        <v>1022</v>
      </c>
      <c r="C450" s="102" t="s">
        <v>1334</v>
      </c>
      <c r="D450" t="s">
        <v>369</v>
      </c>
      <c r="E450" t="s">
        <v>64</v>
      </c>
      <c r="F450" t="s">
        <v>63</v>
      </c>
      <c r="G450" t="s">
        <v>1165</v>
      </c>
      <c r="H450" t="s">
        <v>1313</v>
      </c>
      <c r="I450" t="s">
        <v>139</v>
      </c>
      <c r="J450" t="s">
        <v>287</v>
      </c>
      <c r="K450" s="22">
        <f t="shared" si="101"/>
        <v>4.3944700668161743E-3</v>
      </c>
      <c r="L450" s="22">
        <f t="shared" si="106"/>
        <v>4.3968698493422791E-3</v>
      </c>
      <c r="M450" s="22">
        <f t="shared" si="106"/>
        <v>4.4022434234010565E-3</v>
      </c>
      <c r="N450" s="22">
        <f t="shared" si="106"/>
        <v>4.4103317804749962E-3</v>
      </c>
      <c r="O450" s="22">
        <f t="shared" si="106"/>
        <v>4.4212431364047738E-3</v>
      </c>
      <c r="P450" s="22">
        <f t="shared" si="106"/>
        <v>4.4349890691963833E-3</v>
      </c>
      <c r="Q450" s="22">
        <f t="shared" si="106"/>
        <v>4.4503014810886657E-3</v>
      </c>
      <c r="R450" s="22">
        <f t="shared" si="106"/>
        <v>4.4668966507282254E-3</v>
      </c>
      <c r="S450" s="22">
        <f t="shared" si="106"/>
        <v>4.4824913305812559E-3</v>
      </c>
      <c r="T450" s="22">
        <f t="shared" si="106"/>
        <v>4.4890055303365281E-3</v>
      </c>
      <c r="U450" s="22">
        <f t="shared" si="106"/>
        <v>4.4965644629605924E-3</v>
      </c>
      <c r="V450" s="22">
        <f t="shared" si="106"/>
        <v>4.5051665785440084E-3</v>
      </c>
      <c r="W450" s="22">
        <f t="shared" si="106"/>
        <v>4.5148564456586847E-3</v>
      </c>
      <c r="X450" s="22">
        <f t="shared" si="106"/>
        <v>4.525478721327544E-3</v>
      </c>
      <c r="Y450" s="22">
        <f t="shared" si="106"/>
        <v>4.5320175420941466E-3</v>
      </c>
      <c r="Z450" s="22">
        <f t="shared" si="106"/>
        <v>4.5393215398995043E-3</v>
      </c>
      <c r="AA450" s="22">
        <f t="shared" si="106"/>
        <v>4.5474172205527642E-3</v>
      </c>
      <c r="AB450" s="22">
        <f t="shared" si="106"/>
        <v>4.5561801987217551E-3</v>
      </c>
      <c r="AC450" s="22">
        <f t="shared" si="106"/>
        <v>4.5656418072393947E-3</v>
      </c>
      <c r="AD450" s="22">
        <f t="shared" si="106"/>
        <v>4.5718705604296328E-3</v>
      </c>
      <c r="AE450" s="22">
        <f t="shared" si="106"/>
        <v>4.5787544823923942E-3</v>
      </c>
      <c r="AF450" s="22">
        <f t="shared" si="106"/>
        <v>4.586231662580295E-3</v>
      </c>
      <c r="AG450" s="22">
        <f t="shared" si="106"/>
        <v>4.5934555722856032E-3</v>
      </c>
      <c r="AH450" s="22">
        <f t="shared" si="106"/>
        <v>4.562571195274273E-3</v>
      </c>
      <c r="AI450" s="22">
        <f t="shared" si="106"/>
        <v>4.5669572651403133E-3</v>
      </c>
      <c r="AJ450" s="22">
        <f t="shared" si="106"/>
        <v>4.5717973149633755E-3</v>
      </c>
      <c r="AK450" s="22">
        <f t="shared" si="106"/>
        <v>4.5770741937615714E-3</v>
      </c>
      <c r="AL450" s="22">
        <f t="shared" si="106"/>
        <v>4.5827720762171521E-3</v>
      </c>
      <c r="AM450" s="22">
        <f t="shared" si="106"/>
        <v>4.5888763368810139E-3</v>
      </c>
      <c r="AN450" s="22">
        <f t="shared" si="106"/>
        <v>4.5918387401172314E-3</v>
      </c>
      <c r="AO450" s="22">
        <f t="shared" si="106"/>
        <v>4.5951591884317378E-3</v>
      </c>
      <c r="AP450" s="22">
        <f t="shared" si="106"/>
        <v>4.5988252210116161E-3</v>
      </c>
      <c r="AQ450" s="22">
        <f t="shared" si="106"/>
        <v>4.6028252299079387E-3</v>
      </c>
      <c r="AR450" s="22">
        <f t="shared" si="106"/>
        <v>4.6071483875808113E-3</v>
      </c>
      <c r="AS450" s="22">
        <f t="shared" si="106"/>
        <v>4.6082148579908756E-3</v>
      </c>
      <c r="AT450" s="22">
        <f t="shared" si="106"/>
        <v>4.609568122792394E-3</v>
      </c>
      <c r="AU450" s="22">
        <f t="shared" si="106"/>
        <v>4.6111986833604953E-3</v>
      </c>
      <c r="AV450" s="22">
        <f t="shared" si="106"/>
        <v>4.6130976210976499E-3</v>
      </c>
      <c r="AW450" s="22">
        <f t="shared" si="106"/>
        <v>4.6152565528286265E-3</v>
      </c>
      <c r="AY450" s="85"/>
    </row>
    <row r="451" spans="1:51" x14ac:dyDescent="0.25">
      <c r="A451" s="102" t="str">
        <f t="shared" si="104"/>
        <v>GS MM Leaching</v>
      </c>
      <c r="B451" s="102" t="s">
        <v>1022</v>
      </c>
      <c r="C451" s="102" t="s">
        <v>1334</v>
      </c>
      <c r="D451" t="s">
        <v>369</v>
      </c>
      <c r="E451" t="s">
        <v>64</v>
      </c>
      <c r="F451" t="s">
        <v>63</v>
      </c>
      <c r="G451" t="s">
        <v>1167</v>
      </c>
      <c r="H451" t="s">
        <v>1314</v>
      </c>
      <c r="I451" t="s">
        <v>139</v>
      </c>
      <c r="J451" t="s">
        <v>287</v>
      </c>
      <c r="K451" s="22">
        <f t="shared" si="101"/>
        <v>3.6554081926520139E-3</v>
      </c>
      <c r="L451" s="22">
        <f t="shared" si="106"/>
        <v>3.6574043798084017E-3</v>
      </c>
      <c r="M451" s="22">
        <f t="shared" si="106"/>
        <v>3.6618742263063008E-3</v>
      </c>
      <c r="N451" s="22">
        <f t="shared" si="106"/>
        <v>3.6686022836746814E-3</v>
      </c>
      <c r="O451" s="22">
        <f t="shared" si="106"/>
        <v>3.6776785680166413E-3</v>
      </c>
      <c r="P451" s="22">
        <f t="shared" si="106"/>
        <v>3.6891127101493907E-3</v>
      </c>
      <c r="Q451" s="22">
        <f t="shared" si="106"/>
        <v>3.7018498809639078E-3</v>
      </c>
      <c r="R451" s="22">
        <f t="shared" si="106"/>
        <v>3.7156540753574409E-3</v>
      </c>
      <c r="S451" s="22">
        <f t="shared" si="106"/>
        <v>3.7286260423135963E-3</v>
      </c>
      <c r="T451" s="22">
        <f t="shared" si="106"/>
        <v>3.7340446841047422E-3</v>
      </c>
      <c r="U451" s="22">
        <f t="shared" si="106"/>
        <v>3.7403323556149792E-3</v>
      </c>
      <c r="V451" s="22">
        <f t="shared" si="106"/>
        <v>3.7474877675985991E-3</v>
      </c>
      <c r="W451" s="22">
        <f t="shared" si="106"/>
        <v>3.7555479930861213E-3</v>
      </c>
      <c r="X451" s="22">
        <f t="shared" si="106"/>
        <v>3.7643838146787538E-3</v>
      </c>
      <c r="Y451" s="22">
        <f t="shared" si="106"/>
        <v>3.769822936720115E-3</v>
      </c>
      <c r="Z451" s="22">
        <f t="shared" si="106"/>
        <v>3.7758985483435582E-3</v>
      </c>
      <c r="AA451" s="22">
        <f t="shared" si="106"/>
        <v>3.7826326976118578E-3</v>
      </c>
      <c r="AB451" s="22">
        <f t="shared" si="106"/>
        <v>3.7899219183151331E-3</v>
      </c>
      <c r="AC451" s="22">
        <f t="shared" si="106"/>
        <v>3.7977922737311865E-3</v>
      </c>
      <c r="AD451" s="22">
        <f t="shared" si="106"/>
        <v>3.8029734753540017E-3</v>
      </c>
      <c r="AE451" s="22">
        <f t="shared" si="106"/>
        <v>3.8086996594803367E-3</v>
      </c>
      <c r="AF451" s="22">
        <f t="shared" si="106"/>
        <v>3.8149193276772325E-3</v>
      </c>
      <c r="AG451" s="22">
        <f t="shared" si="106"/>
        <v>3.8209283204154385E-3</v>
      </c>
      <c r="AH451" s="22">
        <f t="shared" si="106"/>
        <v>3.7952380772153156E-3</v>
      </c>
      <c r="AI451" s="22">
        <f t="shared" si="106"/>
        <v>3.7988864979527624E-3</v>
      </c>
      <c r="AJ451" s="22">
        <f t="shared" si="106"/>
        <v>3.8029125483085634E-3</v>
      </c>
      <c r="AK451" s="22">
        <f t="shared" si="106"/>
        <v>3.8073019617525694E-3</v>
      </c>
      <c r="AL451" s="22">
        <f t="shared" si="106"/>
        <v>3.8120415744685989E-3</v>
      </c>
      <c r="AM451" s="22">
        <f t="shared" si="106"/>
        <v>3.8171192207152455E-3</v>
      </c>
      <c r="AN451" s="22">
        <f t="shared" si="106"/>
        <v>3.8195834070437343E-3</v>
      </c>
      <c r="AO451" s="22">
        <f t="shared" si="106"/>
        <v>3.8223454224375316E-3</v>
      </c>
      <c r="AP451" s="22">
        <f t="shared" si="106"/>
        <v>3.8253949017429448E-3</v>
      </c>
      <c r="AQ451" s="22">
        <f t="shared" si="106"/>
        <v>3.8287221892356308E-3</v>
      </c>
      <c r="AR451" s="22">
        <f t="shared" si="106"/>
        <v>3.8323182783511038E-3</v>
      </c>
      <c r="AS451" s="22">
        <f t="shared" si="106"/>
        <v>3.833205389792278E-3</v>
      </c>
      <c r="AT451" s="22">
        <f t="shared" si="106"/>
        <v>3.8343310625507851E-3</v>
      </c>
      <c r="AU451" s="22">
        <f t="shared" si="106"/>
        <v>3.8356873954802709E-3</v>
      </c>
      <c r="AV451" s="22">
        <f t="shared" si="106"/>
        <v>3.8372669699127259E-3</v>
      </c>
      <c r="AW451" s="22">
        <f t="shared" si="106"/>
        <v>3.8390628125551359E-3</v>
      </c>
      <c r="AY451" s="85"/>
    </row>
    <row r="452" spans="1:51" x14ac:dyDescent="0.25">
      <c r="A452" s="102" t="str">
        <f t="shared" si="104"/>
        <v>GS MM Leaching</v>
      </c>
      <c r="B452" s="102" t="s">
        <v>1022</v>
      </c>
      <c r="C452" s="102" t="s">
        <v>1334</v>
      </c>
      <c r="D452" t="s">
        <v>369</v>
      </c>
      <c r="E452" t="s">
        <v>64</v>
      </c>
      <c r="F452" t="s">
        <v>63</v>
      </c>
      <c r="G452" t="s">
        <v>1169</v>
      </c>
      <c r="H452" t="s">
        <v>1315</v>
      </c>
      <c r="I452" t="s">
        <v>139</v>
      </c>
      <c r="J452" t="s">
        <v>287</v>
      </c>
      <c r="K452" s="22">
        <f t="shared" si="101"/>
        <v>5.4321183723638063E-4</v>
      </c>
      <c r="L452" s="22">
        <f t="shared" si="106"/>
        <v>5.4462866238069155E-4</v>
      </c>
      <c r="M452" s="22">
        <f t="shared" si="106"/>
        <v>5.4651670738969612E-4</v>
      </c>
      <c r="N452" s="22">
        <f t="shared" si="106"/>
        <v>5.4883399731316639E-4</v>
      </c>
      <c r="O452" s="22">
        <f t="shared" si="106"/>
        <v>5.5160837836810213E-4</v>
      </c>
      <c r="P452" s="22">
        <f t="shared" si="106"/>
        <v>5.5484723352096008E-4</v>
      </c>
      <c r="Q452" s="22">
        <f t="shared" si="106"/>
        <v>5.5831016678068942E-4</v>
      </c>
      <c r="R452" s="22">
        <f t="shared" si="106"/>
        <v>5.61947661040627E-4</v>
      </c>
      <c r="S452" s="22">
        <f t="shared" si="106"/>
        <v>5.6532673344002258E-4</v>
      </c>
      <c r="T452" s="22">
        <f t="shared" si="106"/>
        <v>5.6691026971513229E-4</v>
      </c>
      <c r="U452" s="22">
        <f t="shared" si="106"/>
        <v>5.6864670501845574E-4</v>
      </c>
      <c r="V452" s="22">
        <f t="shared" si="106"/>
        <v>5.7053824293023939E-4</v>
      </c>
      <c r="W452" s="22">
        <f t="shared" si="106"/>
        <v>5.7259543924260763E-4</v>
      </c>
      <c r="X452" s="22">
        <f t="shared" si="106"/>
        <v>5.7479059617442649E-4</v>
      </c>
      <c r="Y452" s="22">
        <f t="shared" si="106"/>
        <v>5.7617814395304924E-4</v>
      </c>
      <c r="Z452" s="22">
        <f t="shared" si="106"/>
        <v>5.7767940009102313E-4</v>
      </c>
      <c r="AA452" s="22">
        <f t="shared" si="106"/>
        <v>5.7930057538230326E-4</v>
      </c>
      <c r="AB452" s="22">
        <f t="shared" si="106"/>
        <v>5.8101935108040965E-4</v>
      </c>
      <c r="AC452" s="22">
        <f t="shared" si="106"/>
        <v>5.8284260247755859E-4</v>
      </c>
      <c r="AD452" s="22">
        <f t="shared" si="106"/>
        <v>5.8403671107952763E-4</v>
      </c>
      <c r="AE452" s="22">
        <f t="shared" si="106"/>
        <v>5.8533173041619576E-4</v>
      </c>
      <c r="AF452" s="22">
        <f t="shared" si="106"/>
        <v>5.8671671252614034E-4</v>
      </c>
      <c r="AG452" s="22">
        <f t="shared" si="106"/>
        <v>5.8803501308500182E-4</v>
      </c>
      <c r="AH452" s="22">
        <f t="shared" si="106"/>
        <v>5.8227212874330822E-4</v>
      </c>
      <c r="AI452" s="22">
        <f t="shared" si="106"/>
        <v>5.8304320424414362E-4</v>
      </c>
      <c r="AJ452" s="22">
        <f t="shared" si="106"/>
        <v>5.8388341826515493E-4</v>
      </c>
      <c r="AK452" s="22">
        <f t="shared" si="106"/>
        <v>5.847899630335218E-4</v>
      </c>
      <c r="AL452" s="22">
        <f t="shared" si="106"/>
        <v>5.8576024856299858E-4</v>
      </c>
      <c r="AM452" s="22">
        <f t="shared" si="106"/>
        <v>5.8679188180125747E-4</v>
      </c>
      <c r="AN452" s="22">
        <f t="shared" si="106"/>
        <v>5.8723470872871001E-4</v>
      </c>
      <c r="AO452" s="22">
        <f t="shared" si="106"/>
        <v>5.8773280177020523E-4</v>
      </c>
      <c r="AP452" s="22">
        <f t="shared" si="106"/>
        <v>5.8828407739591119E-4</v>
      </c>
      <c r="AQ452" s="22">
        <f t="shared" si="106"/>
        <v>5.8888659501104234E-4</v>
      </c>
      <c r="AR452" s="22">
        <f t="shared" si="106"/>
        <v>5.895385447102022E-4</v>
      </c>
      <c r="AS452" s="22">
        <f t="shared" si="106"/>
        <v>5.8958940978755205E-4</v>
      </c>
      <c r="AT452" s="22">
        <f t="shared" si="106"/>
        <v>5.8968551081379366E-4</v>
      </c>
      <c r="AU452" s="22">
        <f t="shared" si="106"/>
        <v>5.8982522322727085E-4</v>
      </c>
      <c r="AV452" s="22">
        <f t="shared" si="106"/>
        <v>5.9000702190384238E-4</v>
      </c>
      <c r="AW452" s="22">
        <f t="shared" si="106"/>
        <v>5.9022947345323132E-4</v>
      </c>
      <c r="AY452" s="85"/>
    </row>
    <row r="453" spans="1:51" x14ac:dyDescent="0.25">
      <c r="A453" s="102" t="str">
        <f t="shared" si="104"/>
        <v>GS MM Leaching</v>
      </c>
      <c r="B453" s="102" t="s">
        <v>1022</v>
      </c>
      <c r="C453" s="102" t="s">
        <v>1334</v>
      </c>
      <c r="D453" t="s">
        <v>369</v>
      </c>
      <c r="E453" t="s">
        <v>64</v>
      </c>
      <c r="F453" t="s">
        <v>63</v>
      </c>
      <c r="G453" t="s">
        <v>1171</v>
      </c>
      <c r="H453" t="s">
        <v>1316</v>
      </c>
      <c r="I453" t="s">
        <v>139</v>
      </c>
      <c r="J453" t="s">
        <v>287</v>
      </c>
      <c r="K453" s="22">
        <f t="shared" si="101"/>
        <v>6.6990339537854613E-3</v>
      </c>
      <c r="L453" s="22">
        <f t="shared" si="106"/>
        <v>6.7165066211643688E-3</v>
      </c>
      <c r="M453" s="22">
        <f t="shared" si="106"/>
        <v>6.7397904981983149E-3</v>
      </c>
      <c r="N453" s="22">
        <f t="shared" si="106"/>
        <v>6.7683679385521006E-3</v>
      </c>
      <c r="O453" s="22">
        <f t="shared" si="106"/>
        <v>6.8025823492363574E-3</v>
      </c>
      <c r="P453" s="22">
        <f t="shared" si="106"/>
        <v>6.8425247789720067E-3</v>
      </c>
      <c r="Q453" s="22">
        <f t="shared" si="106"/>
        <v>6.8852305999729637E-3</v>
      </c>
      <c r="R453" s="22">
        <f t="shared" si="106"/>
        <v>6.9300891540096266E-3</v>
      </c>
      <c r="S453" s="22">
        <f t="shared" si="106"/>
        <v>6.9717607804068256E-3</v>
      </c>
      <c r="T453" s="22">
        <f t="shared" si="106"/>
        <v>6.9912893741281628E-3</v>
      </c>
      <c r="U453" s="22">
        <f t="shared" si="106"/>
        <v>7.0127035596413059E-3</v>
      </c>
      <c r="V453" s="22">
        <f t="shared" si="106"/>
        <v>7.0360305120884007E-3</v>
      </c>
      <c r="W453" s="22">
        <f t="shared" si="106"/>
        <v>7.0614004083267975E-3</v>
      </c>
      <c r="X453" s="22">
        <f t="shared" si="106"/>
        <v>7.0884716718967464E-3</v>
      </c>
      <c r="Y453" s="22">
        <f t="shared" si="106"/>
        <v>7.1055832829558596E-3</v>
      </c>
      <c r="Z453" s="22">
        <f t="shared" si="106"/>
        <v>7.1240971759755339E-3</v>
      </c>
      <c r="AA453" s="22">
        <f t="shared" si="106"/>
        <v>7.1440899441312785E-3</v>
      </c>
      <c r="AB453" s="22">
        <f t="shared" si="106"/>
        <v>7.1652863466602334E-3</v>
      </c>
      <c r="AC453" s="22">
        <f t="shared" si="106"/>
        <v>7.1877711715085417E-3</v>
      </c>
      <c r="AD453" s="22">
        <f t="shared" si="106"/>
        <v>7.2024972388008085E-3</v>
      </c>
      <c r="AE453" s="22">
        <f t="shared" si="106"/>
        <v>7.2184677643167576E-3</v>
      </c>
      <c r="AF453" s="22">
        <f t="shared" si="106"/>
        <v>7.2355477348621461E-3</v>
      </c>
      <c r="AG453" s="22">
        <f t="shared" si="106"/>
        <v>7.251805370649388E-3</v>
      </c>
      <c r="AH453" s="22">
        <f t="shared" si="106"/>
        <v>7.1807359365347809E-3</v>
      </c>
      <c r="AI453" s="22">
        <f t="shared" si="106"/>
        <v>7.190245046253943E-3</v>
      </c>
      <c r="AJ453" s="22">
        <f t="shared" si="106"/>
        <v>7.2006067907325584E-3</v>
      </c>
      <c r="AK453" s="22">
        <f t="shared" si="106"/>
        <v>7.2117865437637393E-3</v>
      </c>
      <c r="AL453" s="22">
        <f t="shared" si="106"/>
        <v>7.2237523649430046E-3</v>
      </c>
      <c r="AM453" s="22">
        <f t="shared" si="106"/>
        <v>7.2364747425077329E-3</v>
      </c>
      <c r="AN453" s="22">
        <f t="shared" si="106"/>
        <v>7.2419358028516061E-3</v>
      </c>
      <c r="AO453" s="22">
        <f t="shared" si="106"/>
        <v>7.2480784197247895E-3</v>
      </c>
      <c r="AP453" s="22">
        <f t="shared" si="106"/>
        <v>7.2548768984790225E-3</v>
      </c>
      <c r="AQ453" s="22">
        <f t="shared" si="106"/>
        <v>7.2623073071793384E-3</v>
      </c>
      <c r="AR453" s="22">
        <f t="shared" si="106"/>
        <v>7.2703473255873539E-3</v>
      </c>
      <c r="AS453" s="22">
        <f t="shared" si="106"/>
        <v>7.2709746073527197E-3</v>
      </c>
      <c r="AT453" s="22">
        <f t="shared" si="106"/>
        <v>7.272159750962735E-3</v>
      </c>
      <c r="AU453" s="22">
        <f t="shared" si="106"/>
        <v>7.2738827218876909E-3</v>
      </c>
      <c r="AV453" s="22">
        <f t="shared" si="106"/>
        <v>7.2761247118879498E-3</v>
      </c>
      <c r="AW453" s="22">
        <f t="shared" si="106"/>
        <v>7.2788680440104758E-3</v>
      </c>
      <c r="AY453" s="85"/>
    </row>
    <row r="454" spans="1:51" x14ac:dyDescent="0.25">
      <c r="A454" s="102" t="str">
        <f t="shared" si="104"/>
        <v>GS MM Leaching</v>
      </c>
      <c r="B454" s="102" t="s">
        <v>1022</v>
      </c>
      <c r="C454" s="102" t="s">
        <v>1334</v>
      </c>
      <c r="D454" t="s">
        <v>369</v>
      </c>
      <c r="E454" t="s">
        <v>64</v>
      </c>
      <c r="F454" t="s">
        <v>63</v>
      </c>
      <c r="G454" t="s">
        <v>1173</v>
      </c>
      <c r="H454" t="s">
        <v>1317</v>
      </c>
      <c r="I454" t="s">
        <v>139</v>
      </c>
      <c r="J454" t="s">
        <v>287</v>
      </c>
      <c r="K454" s="22">
        <f t="shared" si="101"/>
        <v>0</v>
      </c>
      <c r="L454" s="22">
        <f t="shared" si="106"/>
        <v>0</v>
      </c>
      <c r="M454" s="22">
        <f t="shared" si="106"/>
        <v>0</v>
      </c>
      <c r="N454" s="22">
        <f t="shared" si="106"/>
        <v>0</v>
      </c>
      <c r="O454" s="22">
        <f t="shared" si="106"/>
        <v>0</v>
      </c>
      <c r="P454" s="22">
        <f t="shared" si="106"/>
        <v>0</v>
      </c>
      <c r="Q454" s="22">
        <f t="shared" si="106"/>
        <v>0</v>
      </c>
      <c r="R454" s="22">
        <f t="shared" si="106"/>
        <v>0</v>
      </c>
      <c r="S454" s="22">
        <f t="shared" si="106"/>
        <v>0</v>
      </c>
      <c r="T454" s="22">
        <f t="shared" si="106"/>
        <v>0</v>
      </c>
      <c r="U454" s="22">
        <f t="shared" si="106"/>
        <v>0</v>
      </c>
      <c r="V454" s="22">
        <f t="shared" si="106"/>
        <v>0</v>
      </c>
      <c r="W454" s="22">
        <f t="shared" si="106"/>
        <v>0</v>
      </c>
      <c r="X454" s="22">
        <f t="shared" si="106"/>
        <v>0</v>
      </c>
      <c r="Y454" s="22">
        <f t="shared" si="106"/>
        <v>0</v>
      </c>
      <c r="Z454" s="22">
        <f t="shared" si="106"/>
        <v>0</v>
      </c>
      <c r="AA454" s="22">
        <f t="shared" si="106"/>
        <v>0</v>
      </c>
      <c r="AB454" s="22">
        <f t="shared" si="106"/>
        <v>0</v>
      </c>
      <c r="AC454" s="22">
        <f t="shared" si="106"/>
        <v>0</v>
      </c>
      <c r="AD454" s="22">
        <f t="shared" si="106"/>
        <v>0</v>
      </c>
      <c r="AE454" s="22">
        <f t="shared" si="106"/>
        <v>0</v>
      </c>
      <c r="AF454" s="22">
        <f t="shared" si="106"/>
        <v>0</v>
      </c>
      <c r="AG454" s="22">
        <f t="shared" si="106"/>
        <v>0</v>
      </c>
      <c r="AH454" s="22">
        <f t="shared" si="106"/>
        <v>0</v>
      </c>
      <c r="AI454" s="22">
        <f t="shared" si="106"/>
        <v>0</v>
      </c>
      <c r="AJ454" s="22">
        <f t="shared" si="106"/>
        <v>0</v>
      </c>
      <c r="AK454" s="22">
        <f t="shared" si="106"/>
        <v>0</v>
      </c>
      <c r="AL454" s="22">
        <f t="shared" si="106"/>
        <v>0</v>
      </c>
      <c r="AM454" s="22">
        <f t="shared" si="106"/>
        <v>0</v>
      </c>
      <c r="AN454" s="22">
        <f t="shared" ref="L454:AW459" si="107">AN1557</f>
        <v>0</v>
      </c>
      <c r="AO454" s="22">
        <f t="shared" si="107"/>
        <v>0</v>
      </c>
      <c r="AP454" s="22">
        <f t="shared" si="107"/>
        <v>0</v>
      </c>
      <c r="AQ454" s="22">
        <f t="shared" si="107"/>
        <v>0</v>
      </c>
      <c r="AR454" s="22">
        <f t="shared" si="107"/>
        <v>0</v>
      </c>
      <c r="AS454" s="22">
        <f t="shared" si="107"/>
        <v>0</v>
      </c>
      <c r="AT454" s="22">
        <f t="shared" si="107"/>
        <v>0</v>
      </c>
      <c r="AU454" s="22">
        <f t="shared" si="107"/>
        <v>0</v>
      </c>
      <c r="AV454" s="22">
        <f t="shared" si="107"/>
        <v>0</v>
      </c>
      <c r="AW454" s="22">
        <f t="shared" si="107"/>
        <v>0</v>
      </c>
      <c r="AY454" s="85"/>
    </row>
    <row r="455" spans="1:51" x14ac:dyDescent="0.25">
      <c r="A455" s="102" t="str">
        <f t="shared" si="104"/>
        <v>GS MM Leaching</v>
      </c>
      <c r="B455" s="102" t="s">
        <v>1022</v>
      </c>
      <c r="C455" s="102" t="s">
        <v>1334</v>
      </c>
      <c r="D455" t="s">
        <v>369</v>
      </c>
      <c r="E455" t="s">
        <v>64</v>
      </c>
      <c r="F455" t="s">
        <v>63</v>
      </c>
      <c r="G455" t="s">
        <v>1175</v>
      </c>
      <c r="H455" t="s">
        <v>1318</v>
      </c>
      <c r="I455" t="s">
        <v>139</v>
      </c>
      <c r="J455" t="s">
        <v>287</v>
      </c>
      <c r="K455" s="22">
        <f t="shared" si="101"/>
        <v>0</v>
      </c>
      <c r="L455" s="22">
        <f t="shared" si="107"/>
        <v>0</v>
      </c>
      <c r="M455" s="22">
        <f t="shared" si="107"/>
        <v>0</v>
      </c>
      <c r="N455" s="22">
        <f t="shared" si="107"/>
        <v>0</v>
      </c>
      <c r="O455" s="22">
        <f t="shared" si="107"/>
        <v>0</v>
      </c>
      <c r="P455" s="22">
        <f t="shared" si="107"/>
        <v>0</v>
      </c>
      <c r="Q455" s="22">
        <f t="shared" si="107"/>
        <v>0</v>
      </c>
      <c r="R455" s="22">
        <f t="shared" si="107"/>
        <v>0</v>
      </c>
      <c r="S455" s="22">
        <f t="shared" si="107"/>
        <v>0</v>
      </c>
      <c r="T455" s="22">
        <f t="shared" si="107"/>
        <v>0</v>
      </c>
      <c r="U455" s="22">
        <f t="shared" si="107"/>
        <v>0</v>
      </c>
      <c r="V455" s="22">
        <f t="shared" si="107"/>
        <v>0</v>
      </c>
      <c r="W455" s="22">
        <f t="shared" si="107"/>
        <v>0</v>
      </c>
      <c r="X455" s="22">
        <f t="shared" si="107"/>
        <v>0</v>
      </c>
      <c r="Y455" s="22">
        <f t="shared" si="107"/>
        <v>0</v>
      </c>
      <c r="Z455" s="22">
        <f t="shared" si="107"/>
        <v>0</v>
      </c>
      <c r="AA455" s="22">
        <f t="shared" si="107"/>
        <v>0</v>
      </c>
      <c r="AB455" s="22">
        <f t="shared" si="107"/>
        <v>0</v>
      </c>
      <c r="AC455" s="22">
        <f t="shared" si="107"/>
        <v>0</v>
      </c>
      <c r="AD455" s="22">
        <f t="shared" si="107"/>
        <v>0</v>
      </c>
      <c r="AE455" s="22">
        <f t="shared" si="107"/>
        <v>0</v>
      </c>
      <c r="AF455" s="22">
        <f t="shared" si="107"/>
        <v>0</v>
      </c>
      <c r="AG455" s="22">
        <f t="shared" si="107"/>
        <v>0</v>
      </c>
      <c r="AH455" s="22">
        <f t="shared" si="107"/>
        <v>0</v>
      </c>
      <c r="AI455" s="22">
        <f t="shared" si="107"/>
        <v>0</v>
      </c>
      <c r="AJ455" s="22">
        <f t="shared" si="107"/>
        <v>0</v>
      </c>
      <c r="AK455" s="22">
        <f t="shared" si="107"/>
        <v>0</v>
      </c>
      <c r="AL455" s="22">
        <f t="shared" si="107"/>
        <v>0</v>
      </c>
      <c r="AM455" s="22">
        <f t="shared" si="107"/>
        <v>0</v>
      </c>
      <c r="AN455" s="22">
        <f t="shared" si="107"/>
        <v>0</v>
      </c>
      <c r="AO455" s="22">
        <f t="shared" si="107"/>
        <v>0</v>
      </c>
      <c r="AP455" s="22">
        <f t="shared" si="107"/>
        <v>0</v>
      </c>
      <c r="AQ455" s="22">
        <f t="shared" si="107"/>
        <v>0</v>
      </c>
      <c r="AR455" s="22">
        <f t="shared" si="107"/>
        <v>0</v>
      </c>
      <c r="AS455" s="22">
        <f t="shared" si="107"/>
        <v>0</v>
      </c>
      <c r="AT455" s="22">
        <f t="shared" si="107"/>
        <v>0</v>
      </c>
      <c r="AU455" s="22">
        <f t="shared" si="107"/>
        <v>0</v>
      </c>
      <c r="AV455" s="22">
        <f t="shared" si="107"/>
        <v>0</v>
      </c>
      <c r="AW455" s="22">
        <f t="shared" si="107"/>
        <v>0</v>
      </c>
      <c r="AY455" s="85"/>
    </row>
    <row r="456" spans="1:51" x14ac:dyDescent="0.25">
      <c r="A456" s="102" t="str">
        <f t="shared" si="104"/>
        <v>GS MM Leaching</v>
      </c>
      <c r="B456" s="102" t="s">
        <v>1022</v>
      </c>
      <c r="C456" s="102" t="s">
        <v>1334</v>
      </c>
      <c r="D456" t="s">
        <v>369</v>
      </c>
      <c r="E456" t="s">
        <v>64</v>
      </c>
      <c r="F456" t="s">
        <v>63</v>
      </c>
      <c r="G456" t="s">
        <v>1177</v>
      </c>
      <c r="H456" t="s">
        <v>1319</v>
      </c>
      <c r="I456" t="s">
        <v>139</v>
      </c>
      <c r="J456" t="s">
        <v>287</v>
      </c>
      <c r="K456" s="22">
        <f t="shared" si="101"/>
        <v>2.7080534096129025E-2</v>
      </c>
      <c r="L456" s="22">
        <f t="shared" si="107"/>
        <v>2.6995058080291692E-2</v>
      </c>
      <c r="M456" s="22">
        <f t="shared" si="107"/>
        <v>2.6712389539955236E-2</v>
      </c>
      <c r="N456" s="22">
        <f t="shared" si="107"/>
        <v>2.6163552006630762E-2</v>
      </c>
      <c r="O456" s="22">
        <f t="shared" si="107"/>
        <v>2.5638728055519384E-2</v>
      </c>
      <c r="P456" s="22">
        <f t="shared" si="107"/>
        <v>2.5270557311936091E-2</v>
      </c>
      <c r="Q456" s="22">
        <f t="shared" si="107"/>
        <v>2.4958747401341939E-2</v>
      </c>
      <c r="R456" s="22">
        <f t="shared" si="107"/>
        <v>2.4384582351632111E-2</v>
      </c>
      <c r="S456" s="22">
        <f t="shared" si="107"/>
        <v>2.1346855337625082E-2</v>
      </c>
      <c r="T456" s="22">
        <f t="shared" si="107"/>
        <v>2.1482505917310397E-2</v>
      </c>
      <c r="U456" s="22">
        <f t="shared" si="107"/>
        <v>2.1550596950866634E-2</v>
      </c>
      <c r="V456" s="22">
        <f t="shared" si="107"/>
        <v>2.1616794763907179E-2</v>
      </c>
      <c r="W456" s="22">
        <f t="shared" si="107"/>
        <v>2.1778489708019384E-2</v>
      </c>
      <c r="X456" s="22">
        <f t="shared" si="107"/>
        <v>2.1934748739134539E-2</v>
      </c>
      <c r="Y456" s="22">
        <f t="shared" si="107"/>
        <v>2.2114017881126848E-2</v>
      </c>
      <c r="Z456" s="22">
        <f t="shared" si="107"/>
        <v>2.2264487150526265E-2</v>
      </c>
      <c r="AA456" s="22">
        <f t="shared" si="107"/>
        <v>2.2445316206361306E-2</v>
      </c>
      <c r="AB456" s="22">
        <f t="shared" si="107"/>
        <v>2.2576949368517302E-2</v>
      </c>
      <c r="AC456" s="22">
        <f t="shared" si="107"/>
        <v>2.271541592892265E-2</v>
      </c>
      <c r="AD456" s="22">
        <f t="shared" si="107"/>
        <v>2.2970809719090692E-2</v>
      </c>
      <c r="AE456" s="22">
        <f t="shared" si="107"/>
        <v>2.3269151361655305E-2</v>
      </c>
      <c r="AF456" s="22">
        <f t="shared" si="107"/>
        <v>2.3577881186145462E-2</v>
      </c>
      <c r="AG456" s="22">
        <f t="shared" si="107"/>
        <v>2.3230896400696678E-2</v>
      </c>
      <c r="AH456" s="22">
        <f t="shared" si="107"/>
        <v>-7.8382777121831278E-3</v>
      </c>
      <c r="AI456" s="22">
        <f t="shared" si="107"/>
        <v>-7.7525396142955495E-3</v>
      </c>
      <c r="AJ456" s="22">
        <f t="shared" si="107"/>
        <v>-7.6686379044997068E-3</v>
      </c>
      <c r="AK456" s="22">
        <f t="shared" si="107"/>
        <v>-7.586452448594779E-3</v>
      </c>
      <c r="AL456" s="22">
        <f t="shared" si="107"/>
        <v>-7.5058719086197852E-3</v>
      </c>
      <c r="AM456" s="22">
        <f t="shared" si="107"/>
        <v>-7.4267928922061455E-3</v>
      </c>
      <c r="AN456" s="22">
        <f t="shared" si="107"/>
        <v>-7.3400589670898171E-3</v>
      </c>
      <c r="AO456" s="22">
        <f t="shared" si="107"/>
        <v>-7.2548542835376628E-3</v>
      </c>
      <c r="AP456" s="22">
        <f t="shared" si="107"/>
        <v>-7.1710895268481756E-3</v>
      </c>
      <c r="AQ456" s="22">
        <f t="shared" si="107"/>
        <v>-7.0886812161586998E-3</v>
      </c>
      <c r="AR456" s="22">
        <f t="shared" si="107"/>
        <v>-7.0075512003870211E-3</v>
      </c>
      <c r="AS456" s="22">
        <f t="shared" si="107"/>
        <v>-6.9191376458643079E-3</v>
      </c>
      <c r="AT456" s="22">
        <f t="shared" si="107"/>
        <v>-6.8320744878094938E-3</v>
      </c>
      <c r="AU456" s="22">
        <f t="shared" si="107"/>
        <v>-6.7462922163727323E-3</v>
      </c>
      <c r="AV456" s="22">
        <f t="shared" si="107"/>
        <v>-6.6617254285893414E-3</v>
      </c>
      <c r="AW456" s="22">
        <f t="shared" si="107"/>
        <v>-6.5783125081778221E-3</v>
      </c>
      <c r="AY456" s="85"/>
    </row>
    <row r="457" spans="1:51" x14ac:dyDescent="0.25">
      <c r="A457" s="102" t="str">
        <f t="shared" si="104"/>
        <v>GS MM Leaching</v>
      </c>
      <c r="B457" s="102" t="s">
        <v>1022</v>
      </c>
      <c r="C457" s="102" t="s">
        <v>1334</v>
      </c>
      <c r="D457" t="s">
        <v>369</v>
      </c>
      <c r="E457" t="s">
        <v>64</v>
      </c>
      <c r="F457" t="s">
        <v>63</v>
      </c>
      <c r="G457" t="s">
        <v>1179</v>
      </c>
      <c r="H457" t="s">
        <v>1320</v>
      </c>
      <c r="I457" t="s">
        <v>139</v>
      </c>
      <c r="J457" t="s">
        <v>287</v>
      </c>
      <c r="K457" s="22">
        <f t="shared" si="101"/>
        <v>4.0473192123070822E-3</v>
      </c>
      <c r="L457" s="22">
        <f t="shared" si="107"/>
        <v>4.0345444007076556E-3</v>
      </c>
      <c r="M457" s="22">
        <f t="shared" si="107"/>
        <v>3.9922981950029426E-3</v>
      </c>
      <c r="N457" s="22">
        <f t="shared" si="107"/>
        <v>3.9102717222172061E-3</v>
      </c>
      <c r="O457" s="22">
        <f t="shared" si="107"/>
        <v>3.8318341975778526E-3</v>
      </c>
      <c r="P457" s="22">
        <f t="shared" si="107"/>
        <v>3.7768092664363703E-3</v>
      </c>
      <c r="Q457" s="22">
        <f t="shared" si="107"/>
        <v>3.7302077394038642E-3</v>
      </c>
      <c r="R457" s="22">
        <f t="shared" si="107"/>
        <v>3.6443959445376013E-3</v>
      </c>
      <c r="S457" s="22">
        <f t="shared" si="107"/>
        <v>3.1903926792440892E-3</v>
      </c>
      <c r="T457" s="22">
        <f t="shared" si="107"/>
        <v>3.2106663265573984E-3</v>
      </c>
      <c r="U457" s="22">
        <f t="shared" si="107"/>
        <v>3.2208428669210313E-3</v>
      </c>
      <c r="V457" s="22">
        <f t="shared" si="107"/>
        <v>3.2307364561530842E-3</v>
      </c>
      <c r="W457" s="22">
        <f t="shared" si="107"/>
        <v>3.254902562017731E-3</v>
      </c>
      <c r="X457" s="22">
        <f t="shared" si="107"/>
        <v>3.2782562439090815E-3</v>
      </c>
      <c r="Y457" s="22">
        <f t="shared" si="107"/>
        <v>3.3050489002128215E-3</v>
      </c>
      <c r="Z457" s="22">
        <f t="shared" si="107"/>
        <v>3.3275372736969E-3</v>
      </c>
      <c r="AA457" s="22">
        <f t="shared" si="107"/>
        <v>3.3545630668081641E-3</v>
      </c>
      <c r="AB457" s="22">
        <f t="shared" si="107"/>
        <v>3.374236291282967E-3</v>
      </c>
      <c r="AC457" s="22">
        <f t="shared" si="107"/>
        <v>3.3949308007856708E-3</v>
      </c>
      <c r="AD457" s="22">
        <f t="shared" si="107"/>
        <v>3.4331006607294153E-3</v>
      </c>
      <c r="AE457" s="22">
        <f t="shared" si="107"/>
        <v>3.4776892887637355E-3</v>
      </c>
      <c r="AF457" s="22">
        <f t="shared" si="107"/>
        <v>3.5238304817562988E-3</v>
      </c>
      <c r="AG457" s="22">
        <f t="shared" si="107"/>
        <v>3.4719718964145189E-3</v>
      </c>
      <c r="AH457" s="22">
        <f t="shared" si="107"/>
        <v>-1.1714692133953115E-3</v>
      </c>
      <c r="AI457" s="22">
        <f t="shared" si="107"/>
        <v>-1.1586552323425276E-3</v>
      </c>
      <c r="AJ457" s="22">
        <f t="shared" si="107"/>
        <v>-1.1461157085356224E-3</v>
      </c>
      <c r="AK457" s="22">
        <f t="shared" si="107"/>
        <v>-1.133832687326532E-3</v>
      </c>
      <c r="AL457" s="22">
        <f t="shared" si="107"/>
        <v>-1.1217895287085682E-3</v>
      </c>
      <c r="AM457" s="22">
        <f t="shared" si="107"/>
        <v>-1.109970780182961E-3</v>
      </c>
      <c r="AN457" s="22">
        <f t="shared" si="107"/>
        <v>-1.0970079678456562E-3</v>
      </c>
      <c r="AO457" s="22">
        <f t="shared" si="107"/>
        <v>-1.0842737081927609E-3</v>
      </c>
      <c r="AP457" s="22">
        <f t="shared" si="107"/>
        <v>-1.0717546527021955E-3</v>
      </c>
      <c r="AQ457" s="22">
        <f t="shared" si="107"/>
        <v>-1.0594383247478308E-3</v>
      </c>
      <c r="AR457" s="22">
        <f t="shared" si="107"/>
        <v>-1.0473130442654776E-3</v>
      </c>
      <c r="AS457" s="22">
        <f t="shared" si="107"/>
        <v>-1.0340992030399717E-3</v>
      </c>
      <c r="AT457" s="22">
        <f t="shared" si="107"/>
        <v>-1.0210871852182944E-3</v>
      </c>
      <c r="AU457" s="22">
        <f t="shared" si="107"/>
        <v>-1.0082666022109977E-3</v>
      </c>
      <c r="AV457" s="22">
        <f t="shared" si="107"/>
        <v>-9.9562767922285289E-4</v>
      </c>
      <c r="AW457" s="22">
        <f t="shared" si="107"/>
        <v>-9.8316120739708342E-4</v>
      </c>
      <c r="AY457" s="85"/>
    </row>
    <row r="458" spans="1:51" x14ac:dyDescent="0.25">
      <c r="A458" s="102" t="str">
        <f t="shared" si="104"/>
        <v>GS MM Leaching</v>
      </c>
      <c r="B458" s="102" t="s">
        <v>1022</v>
      </c>
      <c r="C458" s="102" t="s">
        <v>1334</v>
      </c>
      <c r="D458" t="s">
        <v>369</v>
      </c>
      <c r="E458" t="s">
        <v>64</v>
      </c>
      <c r="F458" t="s">
        <v>63</v>
      </c>
      <c r="G458" t="s">
        <v>1181</v>
      </c>
      <c r="H458" t="s">
        <v>1321</v>
      </c>
      <c r="I458" t="s">
        <v>139</v>
      </c>
      <c r="J458" t="s">
        <v>287</v>
      </c>
      <c r="K458" s="22">
        <f t="shared" si="101"/>
        <v>1.6818104652936192E-2</v>
      </c>
      <c r="L458" s="22">
        <f t="shared" si="107"/>
        <v>1.718231236008292E-2</v>
      </c>
      <c r="M458" s="22">
        <f t="shared" si="107"/>
        <v>1.7475775480268494E-2</v>
      </c>
      <c r="N458" s="22">
        <f t="shared" si="107"/>
        <v>1.7667520029914504E-2</v>
      </c>
      <c r="O458" s="22">
        <f t="shared" si="107"/>
        <v>1.7861867169015104E-2</v>
      </c>
      <c r="P458" s="22">
        <f t="shared" si="107"/>
        <v>1.8112417299921187E-2</v>
      </c>
      <c r="Q458" s="22">
        <f t="shared" si="107"/>
        <v>1.8380356458960346E-2</v>
      </c>
      <c r="R458" s="22">
        <f t="shared" si="107"/>
        <v>1.8536177397088752E-2</v>
      </c>
      <c r="S458" s="22">
        <f t="shared" si="107"/>
        <v>1.76397656538211E-2</v>
      </c>
      <c r="T458" s="22">
        <f t="shared" si="107"/>
        <v>1.801846759992717E-2</v>
      </c>
      <c r="U458" s="22">
        <f t="shared" si="107"/>
        <v>1.8371985881481728E-2</v>
      </c>
      <c r="V458" s="22">
        <f t="shared" si="107"/>
        <v>1.8728295000039214E-2</v>
      </c>
      <c r="W458" s="22">
        <f t="shared" si="107"/>
        <v>1.9132681284008777E-2</v>
      </c>
      <c r="X458" s="22">
        <f t="shared" si="107"/>
        <v>1.9540426695963047E-2</v>
      </c>
      <c r="Y458" s="22">
        <f t="shared" si="107"/>
        <v>1.9948690293653936E-2</v>
      </c>
      <c r="Z458" s="22">
        <f t="shared" si="107"/>
        <v>2.0349079299491275E-2</v>
      </c>
      <c r="AA458" s="22">
        <f t="shared" si="107"/>
        <v>2.0770745700628056E-2</v>
      </c>
      <c r="AB458" s="22">
        <f t="shared" si="107"/>
        <v>2.1173883464125715E-2</v>
      </c>
      <c r="AC458" s="22">
        <f t="shared" si="107"/>
        <v>2.1586582056186982E-2</v>
      </c>
      <c r="AD458" s="22">
        <f t="shared" si="107"/>
        <v>2.2054503180091424E-2</v>
      </c>
      <c r="AE458" s="22">
        <f t="shared" si="107"/>
        <v>2.2554673664968956E-2</v>
      </c>
      <c r="AF458" s="22">
        <f t="shared" si="107"/>
        <v>2.3070579743094625E-2</v>
      </c>
      <c r="AG458" s="22">
        <f t="shared" si="107"/>
        <v>2.3224138845155579E-2</v>
      </c>
      <c r="AH458" s="22">
        <f t="shared" si="107"/>
        <v>5.566614295378065E-3</v>
      </c>
      <c r="AI458" s="22">
        <f t="shared" si="107"/>
        <v>5.6093984340287433E-3</v>
      </c>
      <c r="AJ458" s="22">
        <f t="shared" si="107"/>
        <v>5.652494073803362E-3</v>
      </c>
      <c r="AK458" s="22">
        <f t="shared" si="107"/>
        <v>5.6959035866970768E-3</v>
      </c>
      <c r="AL458" s="22">
        <f t="shared" si="107"/>
        <v>5.7396293554766858E-3</v>
      </c>
      <c r="AM458" s="22">
        <f t="shared" si="107"/>
        <v>5.7836737743814492E-3</v>
      </c>
      <c r="AN458" s="22">
        <f t="shared" si="107"/>
        <v>5.821325048469962E-3</v>
      </c>
      <c r="AO458" s="22">
        <f t="shared" si="107"/>
        <v>5.8592087350485328E-3</v>
      </c>
      <c r="AP458" s="22">
        <f t="shared" si="107"/>
        <v>5.8973263448292906E-3</v>
      </c>
      <c r="AQ458" s="22">
        <f t="shared" si="107"/>
        <v>5.9356793935795814E-3</v>
      </c>
      <c r="AR458" s="22">
        <f t="shared" si="107"/>
        <v>5.9742694025184985E-3</v>
      </c>
      <c r="AS458" s="22">
        <f t="shared" si="107"/>
        <v>6.0061978888300534E-3</v>
      </c>
      <c r="AT458" s="22">
        <f t="shared" si="107"/>
        <v>6.0382881266520675E-3</v>
      </c>
      <c r="AU458" s="22">
        <f t="shared" si="107"/>
        <v>6.0705409933047069E-3</v>
      </c>
      <c r="AV458" s="22">
        <f t="shared" si="107"/>
        <v>6.1029573675840942E-3</v>
      </c>
      <c r="AW458" s="22">
        <f t="shared" si="107"/>
        <v>6.1355381299989719E-3</v>
      </c>
      <c r="AY458" s="85"/>
    </row>
    <row r="459" spans="1:51" x14ac:dyDescent="0.25">
      <c r="A459" s="102" t="str">
        <f t="shared" si="104"/>
        <v>GS MM Leaching</v>
      </c>
      <c r="B459" s="102" t="s">
        <v>1022</v>
      </c>
      <c r="C459" s="102" t="s">
        <v>1334</v>
      </c>
      <c r="D459" t="s">
        <v>369</v>
      </c>
      <c r="E459" t="s">
        <v>64</v>
      </c>
      <c r="F459" t="s">
        <v>63</v>
      </c>
      <c r="G459" t="s">
        <v>1183</v>
      </c>
      <c r="H459" t="s">
        <v>1322</v>
      </c>
      <c r="I459" t="s">
        <v>139</v>
      </c>
      <c r="J459" t="s">
        <v>287</v>
      </c>
      <c r="K459" s="22">
        <f t="shared" si="101"/>
        <v>7.8494818970751015E-2</v>
      </c>
      <c r="L459" s="22">
        <f t="shared" si="107"/>
        <v>7.9768604189276573E-2</v>
      </c>
      <c r="M459" s="22">
        <f t="shared" si="107"/>
        <v>8.0146817618550151E-2</v>
      </c>
      <c r="N459" s="22">
        <f t="shared" si="107"/>
        <v>7.92990227060308E-2</v>
      </c>
      <c r="O459" s="22">
        <f t="shared" si="107"/>
        <v>7.8453048138272599E-2</v>
      </c>
      <c r="P459" s="22">
        <f t="shared" si="107"/>
        <v>7.8207580187434067E-2</v>
      </c>
      <c r="Q459" s="22">
        <f t="shared" si="107"/>
        <v>7.8156445174191957E-2</v>
      </c>
      <c r="R459" s="22">
        <f t="shared" si="107"/>
        <v>7.6852772864248492E-2</v>
      </c>
      <c r="S459" s="22">
        <f t="shared" si="107"/>
        <v>6.4037092776490251E-2</v>
      </c>
      <c r="T459" s="22">
        <f t="shared" si="107"/>
        <v>6.592602729202128E-2</v>
      </c>
      <c r="U459" s="22">
        <f t="shared" si="107"/>
        <v>6.7504922847287652E-2</v>
      </c>
      <c r="V459" s="22">
        <f t="shared" si="107"/>
        <v>6.9079987400904638E-2</v>
      </c>
      <c r="W459" s="22">
        <f t="shared" si="107"/>
        <v>7.1129196138688011E-2</v>
      </c>
      <c r="X459" s="22">
        <f t="shared" si="107"/>
        <v>7.3172253795344297E-2</v>
      </c>
      <c r="Y459" s="22">
        <f t="shared" si="107"/>
        <v>7.5415394971077201E-2</v>
      </c>
      <c r="Z459" s="22">
        <f t="shared" si="107"/>
        <v>7.7538763261802646E-2</v>
      </c>
      <c r="AA459" s="22">
        <f t="shared" si="107"/>
        <v>7.984321522583579E-2</v>
      </c>
      <c r="AB459" s="22">
        <f t="shared" si="107"/>
        <v>8.1921087927437922E-2</v>
      </c>
      <c r="AC459" s="22">
        <f t="shared" si="107"/>
        <v>8.4060316833005314E-2</v>
      </c>
      <c r="AD459" s="22">
        <f t="shared" si="107"/>
        <v>8.6903196778093231E-2</v>
      </c>
      <c r="AE459" s="22">
        <f t="shared" si="107"/>
        <v>9.0024318002173712E-2</v>
      </c>
      <c r="AF459" s="22">
        <f t="shared" si="107"/>
        <v>9.3255519309180357E-2</v>
      </c>
      <c r="AG459" s="22">
        <f t="shared" si="107"/>
        <v>9.2895703603725718E-2</v>
      </c>
      <c r="AH459" s="22">
        <f t="shared" si="107"/>
        <v>-8.0563954207335059E-2</v>
      </c>
      <c r="AI459" s="22">
        <f t="shared" si="107"/>
        <v>-8.0679385855871269E-2</v>
      </c>
      <c r="AJ459" s="22">
        <f t="shared" si="107"/>
        <v>-8.0804585525595149E-2</v>
      </c>
      <c r="AK459" s="22">
        <f t="shared" si="107"/>
        <v>-8.0939145577368532E-2</v>
      </c>
      <c r="AL459" s="22">
        <f t="shared" si="107"/>
        <v>-8.1082690034370505E-2</v>
      </c>
      <c r="AM459" s="22">
        <f t="shared" si="107"/>
        <v>-8.1234871540648887E-2</v>
      </c>
      <c r="AN459" s="22">
        <f t="shared" si="107"/>
        <v>-8.1297506735230202E-2</v>
      </c>
      <c r="AO459" s="22">
        <f t="shared" si="107"/>
        <v>-8.1367991924777852E-2</v>
      </c>
      <c r="AP459" s="22">
        <f t="shared" si="107"/>
        <v>-8.144602229798413E-2</v>
      </c>
      <c r="AQ459" s="22">
        <f t="shared" si="107"/>
        <v>-8.1531313973181002E-2</v>
      </c>
      <c r="AR459" s="22">
        <f t="shared" si="107"/>
        <v>-8.1623602199923873E-2</v>
      </c>
      <c r="AS459" s="22">
        <f t="shared" si="107"/>
        <v>-8.1624903700920404E-2</v>
      </c>
      <c r="AT459" s="22">
        <f t="shared" si="107"/>
        <v>-8.1632684613039755E-2</v>
      </c>
      <c r="AU459" s="22">
        <f t="shared" si="107"/>
        <v>-8.1646705375421999E-2</v>
      </c>
      <c r="AV459" s="22">
        <f t="shared" si="107"/>
        <v>-8.1666741103231646E-2</v>
      </c>
      <c r="AW459" s="22">
        <f t="shared" si="107"/>
        <v>-8.1692580447798743E-2</v>
      </c>
      <c r="AY459" s="85"/>
    </row>
    <row r="462" spans="1:51" x14ac:dyDescent="0.25">
      <c r="A462" s="102" t="str">
        <f t="shared" si="0"/>
        <v>PQ Cattle</v>
      </c>
      <c r="B462" s="102" t="s">
        <v>969</v>
      </c>
      <c r="C462" s="102" t="s">
        <v>1109</v>
      </c>
      <c r="D462" t="s">
        <v>15</v>
      </c>
      <c r="E462" t="s">
        <v>16</v>
      </c>
      <c r="F462" t="s">
        <v>6</v>
      </c>
      <c r="G462" t="s">
        <v>136</v>
      </c>
      <c r="H462" t="s">
        <v>1021</v>
      </c>
      <c r="I462" t="s">
        <v>121</v>
      </c>
      <c r="J462" t="s">
        <v>286</v>
      </c>
      <c r="K462" s="100">
        <f>IF('Net zero activities &amp; levers'!$C$8="Off",('Activity data'!AD5*EF!$H4)*kgtoGg,IF('Net zero activities &amp; levers'!$C$8="On",(('Net zero supporting data'!B132*EF!$H4)+('Net zero supporting data'!B122*'Net zero supporting data'!B142))*kgtoGg,"ERROR"))</f>
        <v>72.376996171709351</v>
      </c>
      <c r="L462" s="100">
        <f>IF('Net zero activities &amp; levers'!$C$8="Off",('Activity data'!AE5*EF!$H4)*kgtoGg,IF('Net zero activities &amp; levers'!$C$8="On",(('Net zero supporting data'!C132*EF!$H4)+('Net zero supporting data'!C122*'Net zero supporting data'!C142))*kgtoGg,"ERROR"))</f>
        <v>72.827193296605245</v>
      </c>
      <c r="M462" s="100">
        <f>IF('Net zero activities &amp; levers'!$C$8="Off",('Activity data'!AF5*EF!$H4)*kgtoGg,IF('Net zero activities &amp; levers'!$C$8="On",(('Net zero supporting data'!D132*EF!$H4)+('Net zero supporting data'!D122*'Net zero supporting data'!D142))*kgtoGg,"ERROR"))</f>
        <v>73.136710021656683</v>
      </c>
      <c r="N462" s="100">
        <f>IF('Net zero activities &amp; levers'!$C$8="Off",('Activity data'!AG5*EF!$H4)*kgtoGg,IF('Net zero activities &amp; levers'!$C$8="On",(('Net zero supporting data'!E132*EF!$H4)+('Net zero supporting data'!E122*'Net zero supporting data'!E142))*kgtoGg,"ERROR"))</f>
        <v>73.233779022849987</v>
      </c>
      <c r="O462" s="100">
        <f>IF('Net zero activities &amp; levers'!$C$8="Off",('Activity data'!AH5*EF!$H4)*kgtoGg,IF('Net zero activities &amp; levers'!$C$8="On",(('Net zero supporting data'!F132*EF!$H4)+('Net zero supporting data'!F122*'Net zero supporting data'!F142))*kgtoGg,"ERROR"))</f>
        <v>73.365098896994937</v>
      </c>
      <c r="P462" s="100">
        <f>IF('Net zero activities &amp; levers'!$C$8="Off",('Activity data'!AI5*EF!$H4)*kgtoGg,IF('Net zero activities &amp; levers'!$C$8="On",(('Net zero supporting data'!G132*EF!$H4)+('Net zero supporting data'!G122*'Net zero supporting data'!G142))*kgtoGg,"ERROR"))</f>
        <v>73.652739312599607</v>
      </c>
      <c r="Q462" s="100">
        <f>IF('Net zero activities &amp; levers'!$C$8="Off",('Activity data'!AJ5*EF!$H4)*kgtoGg,IF('Net zero activities &amp; levers'!$C$8="On",(('Net zero supporting data'!H132*EF!$H4)+('Net zero supporting data'!H122*'Net zero supporting data'!H142))*kgtoGg,"ERROR"))</f>
        <v>73.997590994756678</v>
      </c>
      <c r="R462" s="100">
        <f>IF('Net zero activities &amp; levers'!$C$8="Off",('Activity data'!AK5*EF!$H4)*kgtoGg,IF('Net zero activities &amp; levers'!$C$8="On",(('Net zero supporting data'!I132*EF!$H4)+('Net zero supporting data'!I122*'Net zero supporting data'!I142))*kgtoGg,"ERROR"))</f>
        <v>74.101188037293639</v>
      </c>
      <c r="S462" s="100">
        <f>IF('Net zero activities &amp; levers'!$C$8="Off",('Activity data'!AL5*EF!$H4)*kgtoGg,IF('Net zero activities &amp; levers'!$C$8="On",(('Net zero supporting data'!J132*EF!$H4)+('Net zero supporting data'!J122*'Net zero supporting data'!J142))*kgtoGg,"ERROR"))</f>
        <v>71.826298208807202</v>
      </c>
      <c r="T462" s="100">
        <f>IF('Net zero activities &amp; levers'!$C$8="Off",('Activity data'!AM5*EF!$H4)*kgtoGg,IF('Net zero activities &amp; levers'!$C$8="On",(('Net zero supporting data'!K132*EF!$H4)+('Net zero supporting data'!K122*'Net zero supporting data'!K142))*kgtoGg,"ERROR"))</f>
        <v>72.326342892473392</v>
      </c>
      <c r="U462" s="100">
        <f>IF('Net zero activities &amp; levers'!$C$8="Off",('Activity data'!AN5*EF!$H4)*kgtoGg,IF('Net zero activities &amp; levers'!$C$8="On",(('Net zero supporting data'!L132*EF!$H4)+('Net zero supporting data'!L122*'Net zero supporting data'!L142))*kgtoGg,"ERROR"))</f>
        <v>72.59705626465724</v>
      </c>
      <c r="V462" s="100">
        <f>IF('Net zero activities &amp; levers'!$C$8="Off",('Activity data'!AO5*EF!$H4)*kgtoGg,IF('Net zero activities &amp; levers'!$C$8="On",(('Net zero supporting data'!M132*EF!$H4)+('Net zero supporting data'!M122*'Net zero supporting data'!M142))*kgtoGg,"ERROR"))</f>
        <v>72.705646062100115</v>
      </c>
      <c r="W462" s="100">
        <f>IF('Net zero activities &amp; levers'!$C$8="Off",('Activity data'!AP5*EF!$H4)*kgtoGg,IF('Net zero activities &amp; levers'!$C$8="On",(('Net zero supporting data'!N132*EF!$H4)+('Net zero supporting data'!N122*'Net zero supporting data'!N142))*kgtoGg,"ERROR"))</f>
        <v>72.754452608432246</v>
      </c>
      <c r="X462" s="100">
        <f>IF('Net zero activities &amp; levers'!$C$8="Off",('Activity data'!AQ5*EF!$H4)*kgtoGg,IF('Net zero activities &amp; levers'!$C$8="On",(('Net zero supporting data'!O132*EF!$H4)+('Net zero supporting data'!O122*'Net zero supporting data'!O142))*kgtoGg,"ERROR"))</f>
        <v>72.64616041539324</v>
      </c>
      <c r="Y462" s="100">
        <f>IF('Net zero activities &amp; levers'!$C$8="Off",('Activity data'!AR5*EF!$H4)*kgtoGg,IF('Net zero activities &amp; levers'!$C$8="On",(('Net zero supporting data'!P132*EF!$H4)+('Net zero supporting data'!P122*'Net zero supporting data'!P142))*kgtoGg,"ERROR"))</f>
        <v>72.35489987051362</v>
      </c>
      <c r="Z462" s="100">
        <f>IF('Net zero activities &amp; levers'!$C$8="Off",('Activity data'!AS5*EF!$H4)*kgtoGg,IF('Net zero activities &amp; levers'!$C$8="On",(('Net zero supporting data'!Q132*EF!$H4)+('Net zero supporting data'!Q122*'Net zero supporting data'!Q142))*kgtoGg,"ERROR"))</f>
        <v>71.889657425570093</v>
      </c>
      <c r="AA462" s="100">
        <f>IF('Net zero activities &amp; levers'!$C$8="Off",('Activity data'!AT5*EF!$H4)*kgtoGg,IF('Net zero activities &amp; levers'!$C$8="On",(('Net zero supporting data'!R132*EF!$H4)+('Net zero supporting data'!R122*'Net zero supporting data'!R142))*kgtoGg,"ERROR"))</f>
        <v>71.314010464718663</v>
      </c>
      <c r="AB462" s="100">
        <f>IF('Net zero activities &amp; levers'!$C$8="Off",('Activity data'!AU5*EF!$H4)*kgtoGg,IF('Net zero activities &amp; levers'!$C$8="On",(('Net zero supporting data'!S132*EF!$H4)+('Net zero supporting data'!S122*'Net zero supporting data'!S142))*kgtoGg,"ERROR"))</f>
        <v>70.549892655554387</v>
      </c>
      <c r="AC462" s="100">
        <f>IF('Net zero activities &amp; levers'!$C$8="Off",('Activity data'!AV5*EF!$H4)*kgtoGg,IF('Net zero activities &amp; levers'!$C$8="On",(('Net zero supporting data'!T132*EF!$H4)+('Net zero supporting data'!T122*'Net zero supporting data'!T142))*kgtoGg,"ERROR"))</f>
        <v>69.657776267552109</v>
      </c>
      <c r="AD462" s="100">
        <f>IF('Net zero activities &amp; levers'!$C$8="Off",('Activity data'!AW5*EF!$H4)*kgtoGg,IF('Net zero activities &amp; levers'!$C$8="On",(('Net zero supporting data'!U132*EF!$H4)+('Net zero supporting data'!U122*'Net zero supporting data'!U142))*kgtoGg,"ERROR"))</f>
        <v>69.978066614322785</v>
      </c>
      <c r="AE462" s="100">
        <f>IF('Net zero activities &amp; levers'!$C$8="Off",('Activity data'!AX5*EF!$H4)*kgtoGg,IF('Net zero activities &amp; levers'!$C$8="On",(('Net zero supporting data'!V132*EF!$H4)+('Net zero supporting data'!V122*'Net zero supporting data'!V142))*kgtoGg,"ERROR"))</f>
        <v>70.357049799258576</v>
      </c>
      <c r="AF462" s="100">
        <f>IF('Net zero activities &amp; levers'!$C$8="Off",('Activity data'!AY5*EF!$H4)*kgtoGg,IF('Net zero activities &amp; levers'!$C$8="On",(('Net zero supporting data'!W132*EF!$H4)+('Net zero supporting data'!W122*'Net zero supporting data'!W142))*kgtoGg,"ERROR"))</f>
        <v>70.762038625672247</v>
      </c>
      <c r="AG462" s="100">
        <f>IF('Net zero activities &amp; levers'!$C$8="Off",('Activity data'!AZ5*EF!$H4)*kgtoGg,IF('Net zero activities &amp; levers'!$C$8="On",(('Net zero supporting data'!X132*EF!$H4)+('Net zero supporting data'!X122*'Net zero supporting data'!X142))*kgtoGg,"ERROR"))</f>
        <v>70.491766191057152</v>
      </c>
      <c r="AH462" s="100">
        <f>IF('Net zero activities &amp; levers'!$C$8="Off",('Activity data'!BA5*EF!$H4)*kgtoGg,IF('Net zero activities &amp; levers'!$C$8="On",(('Net zero supporting data'!Y132*EF!$H4)+('Net zero supporting data'!Y122*'Net zero supporting data'!Y142))*kgtoGg,"ERROR"))</f>
        <v>37.539535131531387</v>
      </c>
      <c r="AI462" s="100">
        <f>IF('Net zero activities &amp; levers'!$C$8="Off",('Activity data'!BB5*EF!$H4)*kgtoGg,IF('Net zero activities &amp; levers'!$C$8="On",(('Net zero supporting data'!Z132*EF!$H4)+('Net zero supporting data'!Z122*'Net zero supporting data'!Z142))*kgtoGg,"ERROR"))</f>
        <v>37.368195517216805</v>
      </c>
      <c r="AJ462" s="100">
        <f>IF('Net zero activities &amp; levers'!$C$8="Off",('Activity data'!BC5*EF!$H4)*kgtoGg,IF('Net zero activities &amp; levers'!$C$8="On",(('Net zero supporting data'!AA132*EF!$H4)+('Net zero supporting data'!AA122*'Net zero supporting data'!AA142))*kgtoGg,"ERROR"))</f>
        <v>37.202401170121014</v>
      </c>
      <c r="AK462" s="100">
        <f>IF('Net zero activities &amp; levers'!$C$8="Off",('Activity data'!BD5*EF!$H4)*kgtoGg,IF('Net zero activities &amp; levers'!$C$8="On",(('Net zero supporting data'!AB132*EF!$H4)+('Net zero supporting data'!AB122*'Net zero supporting data'!AB142))*kgtoGg,"ERROR"))</f>
        <v>37.041945587852638</v>
      </c>
      <c r="AL462" s="100">
        <f>IF('Net zero activities &amp; levers'!$C$8="Off",('Activity data'!BE5*EF!$H4)*kgtoGg,IF('Net zero activities &amp; levers'!$C$8="On",(('Net zero supporting data'!AC132*EF!$H4)+('Net zero supporting data'!AC122*'Net zero supporting data'!AC142))*kgtoGg,"ERROR"))</f>
        <v>36.886636873816023</v>
      </c>
      <c r="AM462" s="100">
        <f>IF('Net zero activities &amp; levers'!$C$8="Off",('Activity data'!BF5*EF!$H4)*kgtoGg,IF('Net zero activities &amp; levers'!$C$8="On",(('Net zero supporting data'!AD132*EF!$H4)+('Net zero supporting data'!AD122*'Net zero supporting data'!AD142))*kgtoGg,"ERROR"))</f>
        <v>36.736296388774768</v>
      </c>
      <c r="AN462" s="100">
        <f>IF('Net zero activities &amp; levers'!$C$8="Off",('Activity data'!BG5*EF!$H4)*kgtoGg,IF('Net zero activities &amp; levers'!$C$8="On",(('Net zero supporting data'!AE132*EF!$H4)+('Net zero supporting data'!AE122*'Net zero supporting data'!AE142))*kgtoGg,"ERROR"))</f>
        <v>36.764878086607169</v>
      </c>
      <c r="AO462" s="100">
        <f>IF('Net zero activities &amp; levers'!$C$8="Off",('Activity data'!BH5*EF!$H4)*kgtoGg,IF('Net zero activities &amp; levers'!$C$8="On",(('Net zero supporting data'!AF132*EF!$H4)+('Net zero supporting data'!AF122*'Net zero supporting data'!AF142))*kgtoGg,"ERROR"))</f>
        <v>36.796255099575426</v>
      </c>
      <c r="AP462" s="100">
        <f>IF('Net zero activities &amp; levers'!$C$8="Off",('Activity data'!BI5*EF!$H4)*kgtoGg,IF('Net zero activities &amp; levers'!$C$8="On",(('Net zero supporting data'!AG132*EF!$H4)+('Net zero supporting data'!AG122*'Net zero supporting data'!AG142))*kgtoGg,"ERROR"))</f>
        <v>36.830332691751323</v>
      </c>
      <c r="AQ462" s="100">
        <f>IF('Net zero activities &amp; levers'!$C$8="Off",('Activity data'!BJ5*EF!$H4)*kgtoGg,IF('Net zero activities &amp; levers'!$C$8="On",(('Net zero supporting data'!AH132*EF!$H4)+('Net zero supporting data'!AH122*'Net zero supporting data'!AH142))*kgtoGg,"ERROR"))</f>
        <v>36.867022649072439</v>
      </c>
      <c r="AR462" s="100">
        <f>IF('Net zero activities &amp; levers'!$C$8="Off",('Activity data'!BK5*EF!$H4)*kgtoGg,IF('Net zero activities &amp; levers'!$C$8="On",(('Net zero supporting data'!AI132*EF!$H4)+('Net zero supporting data'!AI122*'Net zero supporting data'!AI142))*kgtoGg,"ERROR"))</f>
        <v>36.906242725789454</v>
      </c>
      <c r="AS462" s="100">
        <f>IF('Net zero activities &amp; levers'!$C$8="Off",('Activity data'!BL5*EF!$H4)*kgtoGg,IF('Net zero activities &amp; levers'!$C$8="On",(('Net zero supporting data'!AJ132*EF!$H4)+('Net zero supporting data'!AJ122*'Net zero supporting data'!AJ142))*kgtoGg,"ERROR"))</f>
        <v>36.921605737023363</v>
      </c>
      <c r="AT462" s="100">
        <f>IF('Net zero activities &amp; levers'!$C$8="Off",('Activity data'!BM5*EF!$H4)*kgtoGg,IF('Net zero activities &amp; levers'!$C$8="On",(('Net zero supporting data'!AK132*EF!$H4)+('Net zero supporting data'!AK122*'Net zero supporting data'!AK142))*kgtoGg,"ERROR"))</f>
        <v>36.939201839277892</v>
      </c>
      <c r="AU462" s="100">
        <f>IF('Net zero activities &amp; levers'!$C$8="Off",('Activity data'!BN5*EF!$H4)*kgtoGg,IF('Net zero activities &amp; levers'!$C$8="On",(('Net zero supporting data'!AL132*EF!$H4)+('Net zero supporting data'!AL122*'Net zero supporting data'!AL142))*kgtoGg,"ERROR"))</f>
        <v>36.958959120012132</v>
      </c>
      <c r="AV462" s="100">
        <f>IF('Net zero activities &amp; levers'!$C$8="Off",('Activity data'!BO5*EF!$H4)*kgtoGg,IF('Net zero activities &amp; levers'!$C$8="On",(('Net zero supporting data'!AM132*EF!$H4)+('Net zero supporting data'!AM122*'Net zero supporting data'!AM142))*kgtoGg,"ERROR"))</f>
        <v>36.980810083087391</v>
      </c>
      <c r="AW462" s="100">
        <f>IF('Net zero activities &amp; levers'!$C$8="Off",('Activity data'!BP5*EF!$H4)*kgtoGg,IF('Net zero activities &amp; levers'!$C$8="On",(('Net zero supporting data'!AN132*EF!$H4)+('Net zero supporting data'!AN122*'Net zero supporting data'!AN142))*kgtoGg,"ERROR"))</f>
        <v>37.004691309338675</v>
      </c>
      <c r="AY462" s="85"/>
    </row>
    <row r="463" spans="1:51" x14ac:dyDescent="0.25">
      <c r="A463" s="102" t="str">
        <f t="shared" si="0"/>
        <v>PQ Cattle</v>
      </c>
      <c r="B463" s="102" t="s">
        <v>969</v>
      </c>
      <c r="C463" s="102" t="s">
        <v>1109</v>
      </c>
      <c r="D463" t="s">
        <v>15</v>
      </c>
      <c r="E463" t="s">
        <v>16</v>
      </c>
      <c r="F463" t="s">
        <v>6</v>
      </c>
      <c r="G463" t="s">
        <v>137</v>
      </c>
      <c r="H463" t="s">
        <v>1021</v>
      </c>
      <c r="I463" t="s">
        <v>121</v>
      </c>
      <c r="J463" t="s">
        <v>286</v>
      </c>
      <c r="K463" s="100">
        <f>IF('Net zero activities &amp; levers'!$C$8="Off",('Activity data'!AD6*EF!$H5)*kgtoGg,IF('Net zero activities &amp; levers'!$C$8="On",(('Net zero supporting data'!B133*EF!$H5)+('Net zero supporting data'!B123*'Net zero supporting data'!B143))*kgtoGg,"ERROR"))</f>
        <v>57.888319714675518</v>
      </c>
      <c r="L463" s="100">
        <f>IF('Net zero activities &amp; levers'!$C$8="Off",('Activity data'!AE6*EF!$H5)*kgtoGg,IF('Net zero activities &amp; levers'!$C$8="On",(('Net zero supporting data'!C133*EF!$H5)+('Net zero supporting data'!C123*'Net zero supporting data'!C143))*kgtoGg,"ERROR"))</f>
        <v>58.248394828027457</v>
      </c>
      <c r="M463" s="100">
        <f>IF('Net zero activities &amp; levers'!$C$8="Off",('Activity data'!AF6*EF!$H5)*kgtoGg,IF('Net zero activities &amp; levers'!$C$8="On",(('Net zero supporting data'!D133*EF!$H5)+('Net zero supporting data'!D123*'Net zero supporting data'!D143))*kgtoGg,"ERROR"))</f>
        <v>58.495951428667674</v>
      </c>
      <c r="N463" s="100">
        <f>IF('Net zero activities &amp; levers'!$C$8="Off",('Activity data'!AG6*EF!$H5)*kgtoGg,IF('Net zero activities &amp; levers'!$C$8="On",(('Net zero supporting data'!E133*EF!$H5)+('Net zero supporting data'!E123*'Net zero supporting data'!E143))*kgtoGg,"ERROR"))</f>
        <v>58.573588822766354</v>
      </c>
      <c r="O463" s="100">
        <f>IF('Net zero activities &amp; levers'!$C$8="Off",('Activity data'!AH6*EF!$H5)*kgtoGg,IF('Net zero activities &amp; levers'!$C$8="On",(('Net zero supporting data'!F133*EF!$H5)+('Net zero supporting data'!F123*'Net zero supporting data'!F143))*kgtoGg,"ERROR"))</f>
        <v>58.678620632063321</v>
      </c>
      <c r="P463" s="100">
        <f>IF('Net zero activities &amp; levers'!$C$8="Off",('Activity data'!AI6*EF!$H5)*kgtoGg,IF('Net zero activities &amp; levers'!$C$8="On",(('Net zero supporting data'!G133*EF!$H5)+('Net zero supporting data'!G123*'Net zero supporting data'!G143))*kgtoGg,"ERROR"))</f>
        <v>58.908680198253116</v>
      </c>
      <c r="Q463" s="100">
        <f>IF('Net zero activities &amp; levers'!$C$8="Off",('Activity data'!AJ6*EF!$H5)*kgtoGg,IF('Net zero activities &amp; levers'!$C$8="On",(('Net zero supporting data'!H133*EF!$H5)+('Net zero supporting data'!H123*'Net zero supporting data'!H143))*kgtoGg,"ERROR"))</f>
        <v>59.184498282544595</v>
      </c>
      <c r="R463" s="100">
        <f>IF('Net zero activities &amp; levers'!$C$8="Off",('Activity data'!AK6*EF!$H5)*kgtoGg,IF('Net zero activities &amp; levers'!$C$8="On",(('Net zero supporting data'!I133*EF!$H5)+('Net zero supporting data'!I123*'Net zero supporting data'!I143))*kgtoGg,"ERROR"))</f>
        <v>59.267356912179451</v>
      </c>
      <c r="S463" s="100">
        <f>IF('Net zero activities &amp; levers'!$C$8="Off",('Activity data'!AL6*EF!$H5)*kgtoGg,IF('Net zero activities &amp; levers'!$C$8="On",(('Net zero supporting data'!J133*EF!$H5)+('Net zero supporting data'!J123*'Net zero supporting data'!J143))*kgtoGg,"ERROR"))</f>
        <v>57.447862367329009</v>
      </c>
      <c r="T463" s="100">
        <f>IF('Net zero activities &amp; levers'!$C$8="Off",('Activity data'!AM6*EF!$H5)*kgtoGg,IF('Net zero activities &amp; levers'!$C$8="On",(('Net zero supporting data'!K133*EF!$H5)+('Net zero supporting data'!K123*'Net zero supporting data'!K143))*kgtoGg,"ERROR"))</f>
        <v>57.847806383394811</v>
      </c>
      <c r="U463" s="100">
        <f>IF('Net zero activities &amp; levers'!$C$8="Off",('Activity data'!AN6*EF!$H5)*kgtoGg,IF('Net zero activities &amp; levers'!$C$8="On",(('Net zero supporting data'!L133*EF!$H5)+('Net zero supporting data'!L123*'Net zero supporting data'!L143))*kgtoGg,"ERROR"))</f>
        <v>58.064327420035191</v>
      </c>
      <c r="V463" s="100">
        <f>IF('Net zero activities &amp; levers'!$C$8="Off",('Activity data'!AO6*EF!$H5)*kgtoGg,IF('Net zero activities &amp; levers'!$C$8="On",(('Net zero supporting data'!M133*EF!$H5)+('Net zero supporting data'!M123*'Net zero supporting data'!M143))*kgtoGg,"ERROR"))</f>
        <v>58.151179337697151</v>
      </c>
      <c r="W463" s="100">
        <f>IF('Net zero activities &amp; levers'!$C$8="Off",('Activity data'!AP6*EF!$H5)*kgtoGg,IF('Net zero activities &amp; levers'!$C$8="On",(('Net zero supporting data'!N133*EF!$H5)+('Net zero supporting data'!N123*'Net zero supporting data'!N143))*kgtoGg,"ERROR"))</f>
        <v>58.190215621429367</v>
      </c>
      <c r="X463" s="100">
        <f>IF('Net zero activities &amp; levers'!$C$8="Off",('Activity data'!AQ6*EF!$H5)*kgtoGg,IF('Net zero activities &amp; levers'!$C$8="On",(('Net zero supporting data'!O133*EF!$H5)+('Net zero supporting data'!O123*'Net zero supporting data'!O143))*kgtoGg,"ERROR"))</f>
        <v>58.103601732696369</v>
      </c>
      <c r="Y463" s="100">
        <f>IF('Net zero activities &amp; levers'!$C$8="Off",('Activity data'!AR6*EF!$H5)*kgtoGg,IF('Net zero activities &amp; levers'!$C$8="On",(('Net zero supporting data'!P133*EF!$H5)+('Net zero supporting data'!P123*'Net zero supporting data'!P143))*kgtoGg,"ERROR"))</f>
        <v>57.870646727182425</v>
      </c>
      <c r="Z463" s="100">
        <f>IF('Net zero activities &amp; levers'!$C$8="Off",('Activity data'!AS6*EF!$H5)*kgtoGg,IF('Net zero activities &amp; levers'!$C$8="On",(('Net zero supporting data'!Q133*EF!$H5)+('Net zero supporting data'!Q123*'Net zero supporting data'!Q143))*kgtoGg,"ERROR"))</f>
        <v>57.498538117786246</v>
      </c>
      <c r="AA463" s="100">
        <f>IF('Net zero activities &amp; levers'!$C$8="Off",('Activity data'!AT6*EF!$H5)*kgtoGg,IF('Net zero activities &amp; levers'!$C$8="On",(('Net zero supporting data'!R133*EF!$H5)+('Net zero supporting data'!R123*'Net zero supporting data'!R143))*kgtoGg,"ERROR"))</f>
        <v>57.0381261488577</v>
      </c>
      <c r="AB463" s="100">
        <f>IF('Net zero activities &amp; levers'!$C$8="Off",('Activity data'!AU6*EF!$H5)*kgtoGg,IF('Net zero activities &amp; levers'!$C$8="On",(('Net zero supporting data'!S133*EF!$H5)+('Net zero supporting data'!S123*'Net zero supporting data'!S143))*kgtoGg,"ERROR"))</f>
        <v>56.426972075377833</v>
      </c>
      <c r="AC463" s="100">
        <f>IF('Net zero activities &amp; levers'!$C$8="Off",('Activity data'!AV6*EF!$H5)*kgtoGg,IF('Net zero activities &amp; levers'!$C$8="On",(('Net zero supporting data'!T133*EF!$H5)+('Net zero supporting data'!T123*'Net zero supporting data'!T143))*kgtoGg,"ERROR"))</f>
        <v>55.713442619570365</v>
      </c>
      <c r="AD463" s="100">
        <f>IF('Net zero activities &amp; levers'!$C$8="Off",('Activity data'!AW6*EF!$H5)*kgtoGg,IF('Net zero activities &amp; levers'!$C$8="On",(('Net zero supporting data'!U133*EF!$H5)+('Net zero supporting data'!U123*'Net zero supporting data'!U143))*kgtoGg,"ERROR"))</f>
        <v>56.287822267020523</v>
      </c>
      <c r="AE463" s="100">
        <f>IF('Net zero activities &amp; levers'!$C$8="Off",('Activity data'!AX6*EF!$H5)*kgtoGg,IF('Net zero activities &amp; levers'!$C$8="On",(('Net zero supporting data'!V133*EF!$H5)+('Net zero supporting data'!V123*'Net zero supporting data'!V143))*kgtoGg,"ERROR"))</f>
        <v>56.912621175041345</v>
      </c>
      <c r="AF463" s="100">
        <f>IF('Net zero activities &amp; levers'!$C$8="Off",('Activity data'!AY6*EF!$H5)*kgtoGg,IF('Net zero activities &amp; levers'!$C$8="On",(('Net zero supporting data'!W133*EF!$H5)+('Net zero supporting data'!W123*'Net zero supporting data'!W143))*kgtoGg,"ERROR"))</f>
        <v>57.562022363951321</v>
      </c>
      <c r="AG463" s="100">
        <f>IF('Net zero activities &amp; levers'!$C$8="Off",('Activity data'!AZ6*EF!$H5)*kgtoGg,IF('Net zero activities &amp; levers'!$C$8="On",(('Net zero supporting data'!X133*EF!$H5)+('Net zero supporting data'!X123*'Net zero supporting data'!X143))*kgtoGg,"ERROR"))</f>
        <v>57.662711020991658</v>
      </c>
      <c r="AH463" s="100">
        <f>IF('Net zero activities &amp; levers'!$C$8="Off",('Activity data'!BA6*EF!$H5)*kgtoGg,IF('Net zero activities &amp; levers'!$C$8="On",(('Net zero supporting data'!Y133*EF!$H5)+('Net zero supporting data'!Y123*'Net zero supporting data'!Y143))*kgtoGg,"ERROR"))</f>
        <v>30.878249226892834</v>
      </c>
      <c r="AI463" s="100">
        <f>IF('Net zero activities &amp; levers'!$C$8="Off",('Activity data'!BB6*EF!$H5)*kgtoGg,IF('Net zero activities &amp; levers'!$C$8="On",(('Net zero supporting data'!Z133*EF!$H5)+('Net zero supporting data'!Z123*'Net zero supporting data'!Z143))*kgtoGg,"ERROR"))</f>
        <v>30.907160879235079</v>
      </c>
      <c r="AJ463" s="100">
        <f>IF('Net zero activities &amp; levers'!$C$8="Off",('Activity data'!BC6*EF!$H5)*kgtoGg,IF('Net zero activities &amp; levers'!$C$8="On",(('Net zero supporting data'!AA133*EF!$H5)+('Net zero supporting data'!AA123*'Net zero supporting data'!AA143))*kgtoGg,"ERROR"))</f>
        <v>30.939066176703424</v>
      </c>
      <c r="AK463" s="100">
        <f>IF('Net zero activities &amp; levers'!$C$8="Off",('Activity data'!BD6*EF!$H5)*kgtoGg,IF('Net zero activities &amp; levers'!$C$8="On",(('Net zero supporting data'!AB133*EF!$H5)+('Net zero supporting data'!AB123*'Net zero supporting data'!AB143))*kgtoGg,"ERROR"))</f>
        <v>30.973853451615213</v>
      </c>
      <c r="AL463" s="100">
        <f>IF('Net zero activities &amp; levers'!$C$8="Off",('Activity data'!BE6*EF!$H5)*kgtoGg,IF('Net zero activities &amp; levers'!$C$8="On",(('Net zero supporting data'!AC133*EF!$H5)+('Net zero supporting data'!AC123*'Net zero supporting data'!AC143))*kgtoGg,"ERROR"))</f>
        <v>31.011419685545253</v>
      </c>
      <c r="AM463" s="100">
        <f>IF('Net zero activities &amp; levers'!$C$8="Off",('Activity data'!BF6*EF!$H5)*kgtoGg,IF('Net zero activities &amp; levers'!$C$8="On",(('Net zero supporting data'!AD133*EF!$H5)+('Net zero supporting data'!AD123*'Net zero supporting data'!AD143))*kgtoGg,"ERROR"))</f>
        <v>31.051669689491543</v>
      </c>
      <c r="AN463" s="100">
        <f>IF('Net zero activities &amp; levers'!$C$8="Off",('Activity data'!BG6*EF!$H5)*kgtoGg,IF('Net zero activities &amp; levers'!$C$8="On",(('Net zero supporting data'!AE133*EF!$H5)+('Net zero supporting data'!AE123*'Net zero supporting data'!AE143))*kgtoGg,"ERROR"))</f>
        <v>31.072549279629534</v>
      </c>
      <c r="AO463" s="100">
        <f>IF('Net zero activities &amp; levers'!$C$8="Off",('Activity data'!BH6*EF!$H5)*kgtoGg,IF('Net zero activities &amp; levers'!$C$8="On",(('Net zero supporting data'!AF133*EF!$H5)+('Net zero supporting data'!AF123*'Net zero supporting data'!AF143))*kgtoGg,"ERROR"))</f>
        <v>31.095788043985124</v>
      </c>
      <c r="AP463" s="100">
        <f>IF('Net zero activities &amp; levers'!$C$8="Off",('Activity data'!BI6*EF!$H5)*kgtoGg,IF('Net zero activities &amp; levers'!$C$8="On",(('Net zero supporting data'!AG133*EF!$H5)+('Net zero supporting data'!AG123*'Net zero supporting data'!AG143))*kgtoGg,"ERROR"))</f>
        <v>31.121305187282182</v>
      </c>
      <c r="AQ463" s="100">
        <f>IF('Net zero activities &amp; levers'!$C$8="Off",('Activity data'!BJ6*EF!$H5)*kgtoGg,IF('Net zero activities &amp; levers'!$C$8="On",(('Net zero supporting data'!AH133*EF!$H5)+('Net zero supporting data'!AH123*'Net zero supporting data'!AH143))*kgtoGg,"ERROR"))</f>
        <v>31.149025459231598</v>
      </c>
      <c r="AR463" s="100">
        <f>IF('Net zero activities &amp; levers'!$C$8="Off",('Activity data'!BK6*EF!$H5)*kgtoGg,IF('Net zero activities &amp; levers'!$C$8="On",(('Net zero supporting data'!AI133*EF!$H5)+('Net zero supporting data'!AI123*'Net zero supporting data'!AI143))*kgtoGg,"ERROR"))</f>
        <v>31.178878683928197</v>
      </c>
      <c r="AS463" s="100">
        <f>IF('Net zero activities &amp; levers'!$C$8="Off",('Activity data'!BL6*EF!$H5)*kgtoGg,IF('Net zero activities &amp; levers'!$C$8="On",(('Net zero supporting data'!AJ133*EF!$H5)+('Net zero supporting data'!AJ123*'Net zero supporting data'!AJ143))*kgtoGg,"ERROR"))</f>
        <v>31.188574296602098</v>
      </c>
      <c r="AT463" s="100">
        <f>IF('Net zero activities &amp; levers'!$C$8="Off",('Activity data'!BM6*EF!$H5)*kgtoGg,IF('Net zero activities &amp; levers'!$C$8="On",(('Net zero supporting data'!AK133*EF!$H5)+('Net zero supporting data'!AK123*'Net zero supporting data'!AK143))*kgtoGg,"ERROR"))</f>
        <v>31.200155330630508</v>
      </c>
      <c r="AU463" s="100">
        <f>IF('Net zero activities &amp; levers'!$C$8="Off",('Activity data'!BN6*EF!$H5)*kgtoGg,IF('Net zero activities &amp; levers'!$C$8="On",(('Net zero supporting data'!AL133*EF!$H5)+('Net zero supporting data'!AL123*'Net zero supporting data'!AL143))*kgtoGg,"ERROR"))</f>
        <v>31.213560458185263</v>
      </c>
      <c r="AV463" s="100">
        <f>IF('Net zero activities &amp; levers'!$C$8="Off",('Activity data'!BO6*EF!$H5)*kgtoGg,IF('Net zero activities &amp; levers'!$C$8="On",(('Net zero supporting data'!AM133*EF!$H5)+('Net zero supporting data'!AM123*'Net zero supporting data'!AM143))*kgtoGg,"ERROR"))</f>
        <v>31.228732107161388</v>
      </c>
      <c r="AW463" s="100">
        <f>IF('Net zero activities &amp; levers'!$C$8="Off",('Activity data'!BP6*EF!$H5)*kgtoGg,IF('Net zero activities &amp; levers'!$C$8="On",(('Net zero supporting data'!AN133*EF!$H5)+('Net zero supporting data'!AN123*'Net zero supporting data'!AN143))*kgtoGg,"ERROR"))</f>
        <v>31.245616172575279</v>
      </c>
      <c r="AY463" s="85"/>
    </row>
    <row r="464" spans="1:51" x14ac:dyDescent="0.25">
      <c r="A464" s="102" t="str">
        <f t="shared" si="0"/>
        <v>PQ Cattle</v>
      </c>
      <c r="B464" s="102" t="s">
        <v>969</v>
      </c>
      <c r="C464" s="102" t="s">
        <v>1109</v>
      </c>
      <c r="D464" t="s">
        <v>15</v>
      </c>
      <c r="E464" t="s">
        <v>16</v>
      </c>
      <c r="F464" t="s">
        <v>67</v>
      </c>
      <c r="G464" t="s">
        <v>307</v>
      </c>
      <c r="H464" t="s">
        <v>1021</v>
      </c>
      <c r="I464" t="s">
        <v>121</v>
      </c>
      <c r="J464" t="s">
        <v>286</v>
      </c>
      <c r="K464" s="100">
        <f>IF('Net zero activities &amp; levers'!$C$8="Off",('Activity data'!AD7*EF!$H6)*kgtoGg,IF('Net zero activities &amp; levers'!$C$8="On",(('Net zero supporting data'!B134*EF!$H6)+('Net zero supporting data'!B124*'Net zero supporting data'!B144))*kgtoGg,"ERROR"))</f>
        <v>26.173540124634229</v>
      </c>
      <c r="L464" s="100">
        <f>IF('Net zero activities &amp; levers'!$C$8="Off",('Activity data'!AE7*EF!$H6)*kgtoGg,IF('Net zero activities &amp; levers'!$C$8="On",(('Net zero supporting data'!C134*EF!$H6)+('Net zero supporting data'!C124*'Net zero supporting data'!C144))*kgtoGg,"ERROR"))</f>
        <v>26.336343959218663</v>
      </c>
      <c r="M464" s="100">
        <f>IF('Net zero activities &amp; levers'!$C$8="Off",('Activity data'!AF7*EF!$H6)*kgtoGg,IF('Net zero activities &amp; levers'!$C$8="On",(('Net zero supporting data'!D134*EF!$H6)+('Net zero supporting data'!D124*'Net zero supporting data'!D144))*kgtoGg,"ERROR"))</f>
        <v>26.448273838197906</v>
      </c>
      <c r="N464" s="100">
        <f>IF('Net zero activities &amp; levers'!$C$8="Off",('Activity data'!AG7*EF!$H6)*kgtoGg,IF('Net zero activities &amp; levers'!$C$8="On",(('Net zero supporting data'!E134*EF!$H6)+('Net zero supporting data'!E124*'Net zero supporting data'!E144))*kgtoGg,"ERROR"))</f>
        <v>26.483376695900965</v>
      </c>
      <c r="O464" s="100">
        <f>IF('Net zero activities &amp; levers'!$C$8="Off",('Activity data'!AH7*EF!$H6)*kgtoGg,IF('Net zero activities &amp; levers'!$C$8="On",(('Net zero supporting data'!F134*EF!$H6)+('Net zero supporting data'!F124*'Net zero supporting data'!F144))*kgtoGg,"ERROR"))</f>
        <v>26.530865624385104</v>
      </c>
      <c r="P464" s="100">
        <f>IF('Net zero activities &amp; levers'!$C$8="Off",('Activity data'!AI7*EF!$H6)*kgtoGg,IF('Net zero activities &amp; levers'!$C$8="On",(('Net zero supporting data'!G134*EF!$H6)+('Net zero supporting data'!G124*'Net zero supporting data'!G144))*kgtoGg,"ERROR"))</f>
        <v>26.634884419824388</v>
      </c>
      <c r="Q464" s="100">
        <f>IF('Net zero activities &amp; levers'!$C$8="Off",('Activity data'!AJ7*EF!$H6)*kgtoGg,IF('Net zero activities &amp; levers'!$C$8="On",(('Net zero supporting data'!H134*EF!$H6)+('Net zero supporting data'!H124*'Net zero supporting data'!H144))*kgtoGg,"ERROR"))</f>
        <v>26.759592404645588</v>
      </c>
      <c r="R464" s="100">
        <f>IF('Net zero activities &amp; levers'!$C$8="Off",('Activity data'!AK7*EF!$H6)*kgtoGg,IF('Net zero activities &amp; levers'!$C$8="On",(('Net zero supporting data'!I134*EF!$H6)+('Net zero supporting data'!I124*'Net zero supporting data'!I144))*kgtoGg,"ERROR"))</f>
        <v>26.797055984139856</v>
      </c>
      <c r="S464" s="100">
        <f>IF('Net zero activities &amp; levers'!$C$8="Off",('Activity data'!AL7*EF!$H6)*kgtoGg,IF('Net zero activities &amp; levers'!$C$8="On",(('Net zero supporting data'!J134*EF!$H6)+('Net zero supporting data'!J124*'Net zero supporting data'!J144))*kgtoGg,"ERROR"))</f>
        <v>25.97439238445476</v>
      </c>
      <c r="T464" s="100">
        <f>IF('Net zero activities &amp; levers'!$C$8="Off",('Activity data'!AM7*EF!$H6)*kgtoGg,IF('Net zero activities &amp; levers'!$C$8="On",(('Net zero supporting data'!K134*EF!$H6)+('Net zero supporting data'!K124*'Net zero supporting data'!K144))*kgtoGg,"ERROR"))</f>
        <v>26.164961374058549</v>
      </c>
      <c r="U464" s="100">
        <f>IF('Net zero activities &amp; levers'!$C$8="Off",('Activity data'!AN7*EF!$H6)*kgtoGg,IF('Net zero activities &amp; levers'!$C$8="On",(('Net zero supporting data'!L134*EF!$H6)+('Net zero supporting data'!L124*'Net zero supporting data'!L144))*kgtoGg,"ERROR"))</f>
        <v>26.291765210117788</v>
      </c>
      <c r="V464" s="100">
        <f>IF('Net zero activities &amp; levers'!$C$8="Off",('Activity data'!AO7*EF!$H6)*kgtoGg,IF('Net zero activities &amp; levers'!$C$8="On",(('Net zero supporting data'!M134*EF!$H6)+('Net zero supporting data'!M124*'Net zero supporting data'!M144))*kgtoGg,"ERROR"))</f>
        <v>26.378646008927173</v>
      </c>
      <c r="W464" s="100">
        <f>IF('Net zero activities &amp; levers'!$C$8="Off",('Activity data'!AP7*EF!$H6)*kgtoGg,IF('Net zero activities &amp; levers'!$C$8="On",(('Net zero supporting data'!N134*EF!$H6)+('Net zero supporting data'!N124*'Net zero supporting data'!N144))*kgtoGg,"ERROR"))</f>
        <v>26.462372693244248</v>
      </c>
      <c r="X464" s="100">
        <f>IF('Net zero activities &amp; levers'!$C$8="Off",('Activity data'!AQ7*EF!$H6)*kgtoGg,IF('Net zero activities &amp; levers'!$C$8="On",(('Net zero supporting data'!O134*EF!$H6)+('Net zero supporting data'!O124*'Net zero supporting data'!O144))*kgtoGg,"ERROR"))</f>
        <v>26.507334595130523</v>
      </c>
      <c r="Y464" s="100">
        <f>IF('Net zero activities &amp; levers'!$C$8="Off",('Activity data'!AR7*EF!$H6)*kgtoGg,IF('Net zero activities &amp; levers'!$C$8="On",(('Net zero supporting data'!P134*EF!$H6)+('Net zero supporting data'!P124*'Net zero supporting data'!P144))*kgtoGg,"ERROR"))</f>
        <v>26.503682579054651</v>
      </c>
      <c r="Z464" s="100">
        <f>IF('Net zero activities &amp; levers'!$C$8="Off",('Activity data'!AS7*EF!$H6)*kgtoGg,IF('Net zero activities &amp; levers'!$C$8="On",(('Net zero supporting data'!Q134*EF!$H6)+('Net zero supporting data'!Q124*'Net zero supporting data'!Q144))*kgtoGg,"ERROR"))</f>
        <v>26.45420441998856</v>
      </c>
      <c r="AA464" s="100">
        <f>IF('Net zero activities &amp; levers'!$C$8="Off",('Activity data'!AT7*EF!$H6)*kgtoGg,IF('Net zero activities &amp; levers'!$C$8="On",(('Net zero supporting data'!R134*EF!$H6)+('Net zero supporting data'!R124*'Net zero supporting data'!R144))*kgtoGg,"ERROR"))</f>
        <v>26.381886031138762</v>
      </c>
      <c r="AB464" s="100">
        <f>IF('Net zero activities &amp; levers'!$C$8="Off",('Activity data'!AU7*EF!$H6)*kgtoGg,IF('Net zero activities &amp; levers'!$C$8="On",(('Net zero supporting data'!S134*EF!$H6)+('Net zero supporting data'!S124*'Net zero supporting data'!S144))*kgtoGg,"ERROR"))</f>
        <v>26.257500703577133</v>
      </c>
      <c r="AC464" s="100">
        <f>IF('Net zero activities &amp; levers'!$C$8="Off",('Activity data'!AV7*EF!$H6)*kgtoGg,IF('Net zero activities &amp; levers'!$C$8="On",(('Net zero supporting data'!T134*EF!$H6)+('Net zero supporting data'!T124*'Net zero supporting data'!T144))*kgtoGg,"ERROR"))</f>
        <v>26.102976426842382</v>
      </c>
      <c r="AD464" s="100">
        <f>IF('Net zero activities &amp; levers'!$C$8="Off",('Activity data'!AW7*EF!$H6)*kgtoGg,IF('Net zero activities &amp; levers'!$C$8="On",(('Net zero supporting data'!U134*EF!$H6)+('Net zero supporting data'!U124*'Net zero supporting data'!U144))*kgtoGg,"ERROR"))</f>
        <v>26.370397480141925</v>
      </c>
      <c r="AE464" s="100">
        <f>IF('Net zero activities &amp; levers'!$C$8="Off",('Activity data'!AX7*EF!$H6)*kgtoGg,IF('Net zero activities &amp; levers'!$C$8="On",(('Net zero supporting data'!V134*EF!$H6)+('Net zero supporting data'!V124*'Net zero supporting data'!V144))*kgtoGg,"ERROR"))</f>
        <v>26.661404269978441</v>
      </c>
      <c r="AF464" s="100">
        <f>IF('Net zero activities &amp; levers'!$C$8="Off",('Activity data'!AY7*EF!$H6)*kgtoGg,IF('Net zero activities &amp; levers'!$C$8="On",(('Net zero supporting data'!W134*EF!$H6)+('Net zero supporting data'!W124*'Net zero supporting data'!W144))*kgtoGg,"ERROR"))</f>
        <v>26.963898781122509</v>
      </c>
      <c r="AG464" s="100">
        <f>IF('Net zero activities &amp; levers'!$C$8="Off",('Activity data'!AZ7*EF!$H6)*kgtoGg,IF('Net zero activities &amp; levers'!$C$8="On",(('Net zero supporting data'!X134*EF!$H6)+('Net zero supporting data'!X124*'Net zero supporting data'!X144))*kgtoGg,"ERROR"))</f>
        <v>27.0093369421608</v>
      </c>
      <c r="AH464" s="100">
        <f>IF('Net zero activities &amp; levers'!$C$8="Off",('Activity data'!BA7*EF!$H6)*kgtoGg,IF('Net zero activities &amp; levers'!$C$8="On",(('Net zero supporting data'!Y134*EF!$H6)+('Net zero supporting data'!Y124*'Net zero supporting data'!Y144))*kgtoGg,"ERROR"))</f>
        <v>14.462513082931192</v>
      </c>
      <c r="AI464" s="100">
        <f>IF('Net zero activities &amp; levers'!$C$8="Off",('Activity data'!BB7*EF!$H6)*kgtoGg,IF('Net zero activities &amp; levers'!$C$8="On",(('Net zero supporting data'!Z134*EF!$H6)+('Net zero supporting data'!Z124*'Net zero supporting data'!Z144))*kgtoGg,"ERROR"))</f>
        <v>14.475129227603322</v>
      </c>
      <c r="AJ464" s="100">
        <f>IF('Net zero activities &amp; levers'!$C$8="Off",('Activity data'!BC7*EF!$H6)*kgtoGg,IF('Net zero activities &amp; levers'!$C$8="On",(('Net zero supporting data'!AA134*EF!$H6)+('Net zero supporting data'!AA124*'Net zero supporting data'!AA144))*kgtoGg,"ERROR"))</f>
        <v>14.489145973667073</v>
      </c>
      <c r="AK464" s="100">
        <f>IF('Net zero activities &amp; levers'!$C$8="Off",('Activity data'!BD7*EF!$H6)*kgtoGg,IF('Net zero activities &amp; levers'!$C$8="On",(('Net zero supporting data'!AB134*EF!$H6)+('Net zero supporting data'!AB124*'Net zero supporting data'!AB144))*kgtoGg,"ERROR"))</f>
        <v>14.504510761281745</v>
      </c>
      <c r="AL464" s="100">
        <f>IF('Net zero activities &amp; levers'!$C$8="Off",('Activity data'!BE7*EF!$H6)*kgtoGg,IF('Net zero activities &amp; levers'!$C$8="On",(('Net zero supporting data'!AC134*EF!$H6)+('Net zero supporting data'!AC124*'Net zero supporting data'!AC144))*kgtoGg,"ERROR"))</f>
        <v>14.521175094213872</v>
      </c>
      <c r="AM464" s="100">
        <f>IF('Net zero activities &amp; levers'!$C$8="Off",('Activity data'!BF7*EF!$H6)*kgtoGg,IF('Net zero activities &amp; levers'!$C$8="On",(('Net zero supporting data'!AD134*EF!$H6)+('Net zero supporting data'!AD124*'Net zero supporting data'!AD144))*kgtoGg,"ERROR"))</f>
        <v>14.539094154666092</v>
      </c>
      <c r="AN464" s="100">
        <f>IF('Net zero activities &amp; levers'!$C$8="Off",('Activity data'!BG7*EF!$H6)*kgtoGg,IF('Net zero activities &amp; levers'!$C$8="On",(('Net zero supporting data'!AE134*EF!$H6)+('Net zero supporting data'!AE124*'Net zero supporting data'!AE144))*kgtoGg,"ERROR"))</f>
        <v>14.547942094385649</v>
      </c>
      <c r="AO464" s="100">
        <f>IF('Net zero activities &amp; levers'!$C$8="Off",('Activity data'!BH7*EF!$H6)*kgtoGg,IF('Net zero activities &amp; levers'!$C$8="On",(('Net zero supporting data'!AF134*EF!$H6)+('Net zero supporting data'!AF124*'Net zero supporting data'!AF144))*kgtoGg,"ERROR"))</f>
        <v>14.557893636569275</v>
      </c>
      <c r="AP464" s="100">
        <f>IF('Net zero activities &amp; levers'!$C$8="Off",('Activity data'!BI7*EF!$H6)*kgtoGg,IF('Net zero activities &amp; levers'!$C$8="On",(('Net zero supporting data'!AG134*EF!$H6)+('Net zero supporting data'!AG124*'Net zero supporting data'!AG144))*kgtoGg,"ERROR"))</f>
        <v>14.568910747519849</v>
      </c>
      <c r="AQ464" s="100">
        <f>IF('Net zero activities &amp; levers'!$C$8="Off",('Activity data'!BJ7*EF!$H6)*kgtoGg,IF('Net zero activities &amp; levers'!$C$8="On",(('Net zero supporting data'!AH134*EF!$H6)+('Net zero supporting data'!AH124*'Net zero supporting data'!AH144))*kgtoGg,"ERROR"))</f>
        <v>14.580957998979303</v>
      </c>
      <c r="AR464" s="100">
        <f>IF('Net zero activities &amp; levers'!$C$8="Off",('Activity data'!BK7*EF!$H6)*kgtoGg,IF('Net zero activities &amp; levers'!$C$8="On",(('Net zero supporting data'!AI134*EF!$H6)+('Net zero supporting data'!AI124*'Net zero supporting data'!AI144))*kgtoGg,"ERROR"))</f>
        <v>14.594002347015008</v>
      </c>
      <c r="AS464" s="100">
        <f>IF('Net zero activities &amp; levers'!$C$8="Off",('Activity data'!BL7*EF!$H6)*kgtoGg,IF('Net zero activities &amp; levers'!$C$8="On",(('Net zero supporting data'!AJ134*EF!$H6)+('Net zero supporting data'!AJ124*'Net zero supporting data'!AJ144))*kgtoGg,"ERROR"))</f>
        <v>14.597610646810185</v>
      </c>
      <c r="AT464" s="100">
        <f>IF('Net zero activities &amp; levers'!$C$8="Off",('Activity data'!BM7*EF!$H6)*kgtoGg,IF('Net zero activities &amp; levers'!$C$8="On",(('Net zero supporting data'!AK134*EF!$H6)+('Net zero supporting data'!AK124*'Net zero supporting data'!AK144))*kgtoGg,"ERROR"))</f>
        <v>14.602101143945124</v>
      </c>
      <c r="AU464" s="100">
        <f>IF('Net zero activities &amp; levers'!$C$8="Off",('Activity data'!BN7*EF!$H6)*kgtoGg,IF('Net zero activities &amp; levers'!$C$8="On",(('Net zero supporting data'!AL134*EF!$H6)+('Net zero supporting data'!AL124*'Net zero supporting data'!AL144))*kgtoGg,"ERROR"))</f>
        <v>14.607444969585439</v>
      </c>
      <c r="AV464" s="100">
        <f>IF('Net zero activities &amp; levers'!$C$8="Off",('Activity data'!BO7*EF!$H6)*kgtoGg,IF('Net zero activities &amp; levers'!$C$8="On",(('Net zero supporting data'!AM134*EF!$H6)+('Net zero supporting data'!AM124*'Net zero supporting data'!AM144))*kgtoGg,"ERROR"))</f>
        <v>14.613615019843529</v>
      </c>
      <c r="AW464" s="100">
        <f>IF('Net zero activities &amp; levers'!$C$8="Off",('Activity data'!BP7*EF!$H6)*kgtoGg,IF('Net zero activities &amp; levers'!$C$8="On",(('Net zero supporting data'!AN134*EF!$H6)+('Net zero supporting data'!AN124*'Net zero supporting data'!AN144))*kgtoGg,"ERROR"))</f>
        <v>14.620585820168301</v>
      </c>
      <c r="AY464" s="85"/>
    </row>
    <row r="465" spans="1:51" x14ac:dyDescent="0.25">
      <c r="A465" s="102" t="str">
        <f t="shared" si="0"/>
        <v>PQ Cattle</v>
      </c>
      <c r="B465" s="102" t="s">
        <v>969</v>
      </c>
      <c r="C465" s="102" t="s">
        <v>1109</v>
      </c>
      <c r="D465" t="s">
        <v>15</v>
      </c>
      <c r="E465" t="s">
        <v>16</v>
      </c>
      <c r="F465" t="s">
        <v>67</v>
      </c>
      <c r="G465" t="s">
        <v>122</v>
      </c>
      <c r="H465" t="s">
        <v>1021</v>
      </c>
      <c r="I465" t="s">
        <v>121</v>
      </c>
      <c r="J465" t="s">
        <v>286</v>
      </c>
      <c r="K465" s="100">
        <f>IF('Net zero activities &amp; levers'!$C$8="Off",('Activity data'!AD8*EF!$H7)*kgtoGg,IF('Net zero activities &amp; levers'!$C$8="On",(('Net zero supporting data'!B135*EF!$H7)+('Net zero supporting data'!B125*'Net zero supporting data'!B145))*kgtoGg,"ERROR"))</f>
        <v>467.31662309373525</v>
      </c>
      <c r="L465" s="100">
        <f>IF('Net zero activities &amp; levers'!$C$8="Off",('Activity data'!AE8*EF!$H7)*kgtoGg,IF('Net zero activities &amp; levers'!$C$8="On",(('Net zero supporting data'!C135*EF!$H7)+('Net zero supporting data'!C125*'Net zero supporting data'!C145))*kgtoGg,"ERROR"))</f>
        <v>464.21904388294246</v>
      </c>
      <c r="M465" s="100">
        <f>IF('Net zero activities &amp; levers'!$C$8="Off",('Activity data'!AF8*EF!$H7)*kgtoGg,IF('Net zero activities &amp; levers'!$C$8="On",(('Net zero supporting data'!D135*EF!$H7)+('Net zero supporting data'!D125*'Net zero supporting data'!D145))*kgtoGg,"ERROR"))</f>
        <v>457.68800569383677</v>
      </c>
      <c r="N465" s="100">
        <f>IF('Net zero activities &amp; levers'!$C$8="Off",('Activity data'!AG8*EF!$H7)*kgtoGg,IF('Net zero activities &amp; levers'!$C$8="On",(('Net zero supporting data'!E135*EF!$H7)+('Net zero supporting data'!E125*'Net zero supporting data'!E145))*kgtoGg,"ERROR"))</f>
        <v>446.67903575374419</v>
      </c>
      <c r="O465" s="100">
        <f>IF('Net zero activities &amp; levers'!$C$8="Off",('Activity data'!AH8*EF!$H7)*kgtoGg,IF('Net zero activities &amp; levers'!$C$8="On",(('Net zero supporting data'!F135*EF!$H7)+('Net zero supporting data'!F125*'Net zero supporting data'!F145))*kgtoGg,"ERROR"))</f>
        <v>435.99786609024881</v>
      </c>
      <c r="P465" s="100">
        <f>IF('Net zero activities &amp; levers'!$C$8="Off",('Activity data'!AI8*EF!$H7)*kgtoGg,IF('Net zero activities &amp; levers'!$C$8="On",(('Net zero supporting data'!G135*EF!$H7)+('Net zero supporting data'!G125*'Net zero supporting data'!G145))*kgtoGg,"ERROR"))</f>
        <v>427.78254745702264</v>
      </c>
      <c r="Q465" s="100">
        <f>IF('Net zero activities &amp; levers'!$C$8="Off",('Activity data'!AJ8*EF!$H7)*kgtoGg,IF('Net zero activities &amp; levers'!$C$8="On",(('Net zero supporting data'!H135*EF!$H7)+('Net zero supporting data'!H125*'Net zero supporting data'!H145))*kgtoGg,"ERROR"))</f>
        <v>420.35172850546115</v>
      </c>
      <c r="R465" s="100">
        <f>IF('Net zero activities &amp; levers'!$C$8="Off",('Activity data'!AK8*EF!$H7)*kgtoGg,IF('Net zero activities &amp; levers'!$C$8="On",(('Net zero supporting data'!I135*EF!$H7)+('Net zero supporting data'!I125*'Net zero supporting data'!I145))*kgtoGg,"ERROR"))</f>
        <v>408.66857197476548</v>
      </c>
      <c r="S465" s="100">
        <f>IF('Net zero activities &amp; levers'!$C$8="Off",('Activity data'!AL8*EF!$H7)*kgtoGg,IF('Net zero activities &amp; levers'!$C$8="On",(('Net zero supporting data'!J135*EF!$H7)+('Net zero supporting data'!J125*'Net zero supporting data'!J145))*kgtoGg,"ERROR"))</f>
        <v>358.42710853834808</v>
      </c>
      <c r="T465" s="100">
        <f>IF('Net zero activities &amp; levers'!$C$8="Off",('Activity data'!AM8*EF!$H7)*kgtoGg,IF('Net zero activities &amp; levers'!$C$8="On",(('Net zero supporting data'!K135*EF!$H7)+('Net zero supporting data'!K125*'Net zero supporting data'!K145))*kgtoGg,"ERROR"))</f>
        <v>361.52054491070231</v>
      </c>
      <c r="U465" s="100">
        <f>IF('Net zero activities &amp; levers'!$C$8="Off",('Activity data'!AN8*EF!$H7)*kgtoGg,IF('Net zero activities &amp; levers'!$C$8="On",(('Net zero supporting data'!L135*EF!$H7)+('Net zero supporting data'!L125*'Net zero supporting data'!L145))*kgtoGg,"ERROR"))</f>
        <v>362.87516650257669</v>
      </c>
      <c r="V465" s="100">
        <f>IF('Net zero activities &amp; levers'!$C$8="Off",('Activity data'!AO8*EF!$H7)*kgtoGg,IF('Net zero activities &amp; levers'!$C$8="On",(('Net zero supporting data'!M135*EF!$H7)+('Net zero supporting data'!M125*'Net zero supporting data'!M145))*kgtoGg,"ERROR"))</f>
        <v>363.5388396427204</v>
      </c>
      <c r="W465" s="100">
        <f>IF('Net zero activities &amp; levers'!$C$8="Off",('Activity data'!AP8*EF!$H7)*kgtoGg,IF('Net zero activities &amp; levers'!$C$8="On",(('Net zero supporting data'!N135*EF!$H7)+('Net zero supporting data'!N125*'Net zero supporting data'!N145))*kgtoGg,"ERROR"))</f>
        <v>365.04717089518215</v>
      </c>
      <c r="X465" s="100">
        <f>IF('Net zero activities &amp; levers'!$C$8="Off",('Activity data'!AQ8*EF!$H7)*kgtoGg,IF('Net zero activities &amp; levers'!$C$8="On",(('Net zero supporting data'!O135*EF!$H7)+('Net zero supporting data'!O125*'Net zero supporting data'!O145))*kgtoGg,"ERROR"))</f>
        <v>365.83529696218113</v>
      </c>
      <c r="Y465" s="100">
        <f>IF('Net zero activities &amp; levers'!$C$8="Off",('Activity data'!AR8*EF!$H7)*kgtoGg,IF('Net zero activities &amp; levers'!$C$8="On",(('Net zero supporting data'!P135*EF!$H7)+('Net zero supporting data'!P125*'Net zero supporting data'!P145))*kgtoGg,"ERROR"))</f>
        <v>366.20964516697211</v>
      </c>
      <c r="Z465" s="100">
        <f>IF('Net zero activities &amp; levers'!$C$8="Off",('Activity data'!AS8*EF!$H7)*kgtoGg,IF('Net zero activities &amp; levers'!$C$8="On",(('Net zero supporting data'!Q135*EF!$H7)+('Net zero supporting data'!Q125*'Net zero supporting data'!Q145))*kgtoGg,"ERROR"))</f>
        <v>365.53980312073588</v>
      </c>
      <c r="AA465" s="100">
        <f>IF('Net zero activities &amp; levers'!$C$8="Off",('Activity data'!AT8*EF!$H7)*kgtoGg,IF('Net zero activities &amp; levers'!$C$8="On",(('Net zero supporting data'!R135*EF!$H7)+('Net zero supporting data'!R125*'Net zero supporting data'!R145))*kgtoGg,"ERROR"))</f>
        <v>364.74439506290821</v>
      </c>
      <c r="AB465" s="100">
        <f>IF('Net zero activities &amp; levers'!$C$8="Off",('Activity data'!AU8*EF!$H7)*kgtoGg,IF('Net zero activities &amp; levers'!$C$8="On",(('Net zero supporting data'!S135*EF!$H7)+('Net zero supporting data'!S125*'Net zero supporting data'!S145))*kgtoGg,"ERROR"))</f>
        <v>362.64058974865782</v>
      </c>
      <c r="AC465" s="100">
        <f>IF('Net zero activities &amp; levers'!$C$8="Off",('Activity data'!AV8*EF!$H7)*kgtoGg,IF('Net zero activities &amp; levers'!$C$8="On",(('Net zero supporting data'!T135*EF!$H7)+('Net zero supporting data'!T125*'Net zero supporting data'!T145))*kgtoGg,"ERROR"))</f>
        <v>360.09511189216352</v>
      </c>
      <c r="AD465" s="100">
        <f>IF('Net zero activities &amp; levers'!$C$8="Off",('Activity data'!AW8*EF!$H7)*kgtoGg,IF('Net zero activities &amp; levers'!$C$8="On",(('Net zero supporting data'!U135*EF!$H7)+('Net zero supporting data'!U125*'Net zero supporting data'!U145))*kgtoGg,"ERROR"))</f>
        <v>361.43003168453896</v>
      </c>
      <c r="AE465" s="100">
        <f>IF('Net zero activities &amp; levers'!$C$8="Off",('Activity data'!AX8*EF!$H7)*kgtoGg,IF('Net zero activities &amp; levers'!$C$8="On",(('Net zero supporting data'!V135*EF!$H7)+('Net zero supporting data'!V125*'Net zero supporting data'!V145))*kgtoGg,"ERROR"))</f>
        <v>363.24260436346623</v>
      </c>
      <c r="AF465" s="100">
        <f>IF('Net zero activities &amp; levers'!$C$8="Off",('Activity data'!AY8*EF!$H7)*kgtoGg,IF('Net zero activities &amp; levers'!$C$8="On",(('Net zero supporting data'!W135*EF!$H7)+('Net zero supporting data'!W125*'Net zero supporting data'!W145))*kgtoGg,"ERROR"))</f>
        <v>365.04885394901117</v>
      </c>
      <c r="AG465" s="100">
        <f>IF('Net zero activities &amp; levers'!$C$8="Off",('Activity data'!AZ8*EF!$H7)*kgtoGg,IF('Net zero activities &amp; levers'!$C$8="On",(('Net zero supporting data'!X135*EF!$H7)+('Net zero supporting data'!X125*'Net zero supporting data'!X145))*kgtoGg,"ERROR"))</f>
        <v>357.35577210081703</v>
      </c>
      <c r="AH465" s="100">
        <f>IF('Net zero activities &amp; levers'!$C$8="Off",('Activity data'!BA8*EF!$H7)*kgtoGg,IF('Net zero activities &amp; levers'!$C$8="On",(('Net zero supporting data'!Y135*EF!$H7)+('Net zero supporting data'!Y125*'Net zero supporting data'!Y145))*kgtoGg,"ERROR"))</f>
        <v>-84.306811899330768</v>
      </c>
      <c r="AI465" s="100">
        <f>IF('Net zero activities &amp; levers'!$C$8="Off",('Activity data'!BB8*EF!$H7)*kgtoGg,IF('Net zero activities &amp; levers'!$C$8="On",(('Net zero supporting data'!Z135*EF!$H7)+('Net zero supporting data'!Z125*'Net zero supporting data'!Z145))*kgtoGg,"ERROR"))</f>
        <v>-82.362447759840236</v>
      </c>
      <c r="AJ465" s="100">
        <f>IF('Net zero activities &amp; levers'!$C$8="Off",('Activity data'!BC8*EF!$H7)*kgtoGg,IF('Net zero activities &amp; levers'!$C$8="On",(('Net zero supporting data'!AA135*EF!$H7)+('Net zero supporting data'!AA125*'Net zero supporting data'!AA145))*kgtoGg,"ERROR"))</f>
        <v>-80.448657874303237</v>
      </c>
      <c r="AK465" s="100">
        <f>IF('Net zero activities &amp; levers'!$C$8="Off",('Activity data'!BD8*EF!$H7)*kgtoGg,IF('Net zero activities &amp; levers'!$C$8="On",(('Net zero supporting data'!AB135*EF!$H7)+('Net zero supporting data'!AB125*'Net zero supporting data'!AB145))*kgtoGg,"ERROR"))</f>
        <v>-78.563825451149683</v>
      </c>
      <c r="AL465" s="100">
        <f>IF('Net zero activities &amp; levers'!$C$8="Off",('Activity data'!BE8*EF!$H7)*kgtoGg,IF('Net zero activities &amp; levers'!$C$8="On",(('Net zero supporting data'!AC135*EF!$H7)+('Net zero supporting data'!AC125*'Net zero supporting data'!AC145))*kgtoGg,"ERROR"))</f>
        <v>-76.706445483791526</v>
      </c>
      <c r="AM465" s="100">
        <f>IF('Net zero activities &amp; levers'!$C$8="Off",('Activity data'!BF8*EF!$H7)*kgtoGg,IF('Net zero activities &amp; levers'!$C$8="On",(('Net zero supporting data'!AD135*EF!$H7)+('Net zero supporting data'!AD125*'Net zero supporting data'!AD145))*kgtoGg,"ERROR"))</f>
        <v>-74.875114385168345</v>
      </c>
      <c r="AN465" s="100">
        <f>IF('Net zero activities &amp; levers'!$C$8="Off",('Activity data'!BG8*EF!$H7)*kgtoGg,IF('Net zero activities &amp; levers'!$C$8="On",(('Net zero supporting data'!AE135*EF!$H7)+('Net zero supporting data'!AE125*'Net zero supporting data'!AE145))*kgtoGg,"ERROR"))</f>
        <v>-73.391847073899612</v>
      </c>
      <c r="AO465" s="100">
        <f>IF('Net zero activities &amp; levers'!$C$8="Off",('Activity data'!BH8*EF!$H7)*kgtoGg,IF('Net zero activities &amp; levers'!$C$8="On",(('Net zero supporting data'!AF135*EF!$H7)+('Net zero supporting data'!AF125*'Net zero supporting data'!AF145))*kgtoGg,"ERROR"))</f>
        <v>-71.930732232508191</v>
      </c>
      <c r="AP465" s="100">
        <f>IF('Net zero activities &amp; levers'!$C$8="Off",('Activity data'!BI8*EF!$H7)*kgtoGg,IF('Net zero activities &amp; levers'!$C$8="On",(('Net zero supporting data'!AG135*EF!$H7)+('Net zero supporting data'!AG125*'Net zero supporting data'!AG145))*kgtoGg,"ERROR"))</f>
        <v>-70.490756633791619</v>
      </c>
      <c r="AQ465" s="100">
        <f>IF('Net zero activities &amp; levers'!$C$8="Off",('Activity data'!BJ8*EF!$H7)*kgtoGg,IF('Net zero activities &amp; levers'!$C$8="On",(('Net zero supporting data'!AH135*EF!$H7)+('Net zero supporting data'!AH125*'Net zero supporting data'!AH145))*kgtoGg,"ERROR"))</f>
        <v>-69.070970093143075</v>
      </c>
      <c r="AR465" s="100">
        <f>IF('Net zero activities &amp; levers'!$C$8="Off",('Activity data'!BK8*EF!$H7)*kgtoGg,IF('Net zero activities &amp; levers'!$C$8="On",(('Net zero supporting data'!AI135*EF!$H7)+('Net zero supporting data'!AI125*'Net zero supporting data'!AI145))*kgtoGg,"ERROR"))</f>
        <v>-67.670480237668812</v>
      </c>
      <c r="AS465" s="100">
        <f>IF('Net zero activities &amp; levers'!$C$8="Off",('Activity data'!BL8*EF!$H7)*kgtoGg,IF('Net zero activities &amp; levers'!$C$8="On",(('Net zero supporting data'!AJ135*EF!$H7)+('Net zero supporting data'!AJ125*'Net zero supporting data'!AJ145))*kgtoGg,"ERROR"))</f>
        <v>-66.24339597884574</v>
      </c>
      <c r="AT465" s="100">
        <f>IF('Net zero activities &amp; levers'!$C$8="Off",('Activity data'!BM8*EF!$H7)*kgtoGg,IF('Net zero activities &amp; levers'!$C$8="On",(('Net zero supporting data'!AK135*EF!$H7)+('Net zero supporting data'!AK125*'Net zero supporting data'!AK145))*kgtoGg,"ERROR"))</f>
        <v>-64.835673500015019</v>
      </c>
      <c r="AU465" s="100">
        <f>IF('Net zero activities &amp; levers'!$C$8="Off",('Activity data'!BN8*EF!$H7)*kgtoGg,IF('Net zero activities &amp; levers'!$C$8="On",(('Net zero supporting data'!AL135*EF!$H7)+('Net zero supporting data'!AL125*'Net zero supporting data'!AL145))*kgtoGg,"ERROR"))</f>
        <v>-63.446543693802845</v>
      </c>
      <c r="AV465" s="100">
        <f>IF('Net zero activities &amp; levers'!$C$8="Off",('Activity data'!BO8*EF!$H7)*kgtoGg,IF('Net zero activities &amp; levers'!$C$8="On",(('Net zero supporting data'!AM135*EF!$H7)+('Net zero supporting data'!AM125*'Net zero supporting data'!AM145))*kgtoGg,"ERROR"))</f>
        <v>-62.075280699884338</v>
      </c>
      <c r="AW465" s="100">
        <f>IF('Net zero activities &amp; levers'!$C$8="Off",('Activity data'!BP8*EF!$H7)*kgtoGg,IF('Net zero activities &amp; levers'!$C$8="On",(('Net zero supporting data'!AN135*EF!$H7)+('Net zero supporting data'!AN125*'Net zero supporting data'!AN145))*kgtoGg,"ERROR"))</f>
        <v>-60.721198670899554</v>
      </c>
      <c r="AY465" s="85"/>
    </row>
    <row r="466" spans="1:51" x14ac:dyDescent="0.25">
      <c r="A466" s="102" t="str">
        <f t="shared" si="0"/>
        <v>PQ Cattle</v>
      </c>
      <c r="B466" s="102" t="s">
        <v>969</v>
      </c>
      <c r="C466" s="102" t="s">
        <v>1109</v>
      </c>
      <c r="D466" t="s">
        <v>15</v>
      </c>
      <c r="E466" t="s">
        <v>16</v>
      </c>
      <c r="F466" t="s">
        <v>67</v>
      </c>
      <c r="G466" t="s">
        <v>123</v>
      </c>
      <c r="H466" t="s">
        <v>1021</v>
      </c>
      <c r="I466" t="s">
        <v>121</v>
      </c>
      <c r="J466" t="s">
        <v>286</v>
      </c>
      <c r="K466" s="100">
        <f>IF('Net zero activities &amp; levers'!$C$8="Off",('Activity data'!AD9*EF!$H8)*kgtoGg,IF('Net zero activities &amp; levers'!$C$8="On",(('Net zero supporting data'!B136*EF!$H8)+('Net zero supporting data'!B126*'Net zero supporting data'!B146))*kgtoGg,"ERROR"))</f>
        <v>329.0746130615014</v>
      </c>
      <c r="L466" s="100">
        <f>IF('Net zero activities &amp; levers'!$C$8="Off",('Activity data'!AE9*EF!$H8)*kgtoGg,IF('Net zero activities &amp; levers'!$C$8="On",(('Net zero supporting data'!C136*EF!$H8)+('Net zero supporting data'!C126*'Net zero supporting data'!C146))*kgtoGg,"ERROR"))</f>
        <v>326.8933624278929</v>
      </c>
      <c r="M466" s="100">
        <f>IF('Net zero activities &amp; levers'!$C$8="Off",('Activity data'!AF9*EF!$H8)*kgtoGg,IF('Net zero activities &amp; levers'!$C$8="On",(('Net zero supporting data'!D136*EF!$H8)+('Net zero supporting data'!D126*'Net zero supporting data'!D146))*kgtoGg,"ERROR"))</f>
        <v>322.29434163821571</v>
      </c>
      <c r="N466" s="100">
        <f>IF('Net zero activities &amp; levers'!$C$8="Off",('Activity data'!AG9*EF!$H8)*kgtoGg,IF('Net zero activities &amp; levers'!$C$8="On",(('Net zero supporting data'!E136*EF!$H8)+('Net zero supporting data'!E126*'Net zero supporting data'!E146))*kgtoGg,"ERROR"))</f>
        <v>314.54205476415126</v>
      </c>
      <c r="O466" s="100">
        <f>IF('Net zero activities &amp; levers'!$C$8="Off",('Activity data'!AH9*EF!$H8)*kgtoGg,IF('Net zero activities &amp; levers'!$C$8="On",(('Net zero supporting data'!F136*EF!$H8)+('Net zero supporting data'!F126*'Net zero supporting data'!F146))*kgtoGg,"ERROR"))</f>
        <v>307.02059800365856</v>
      </c>
      <c r="P466" s="100">
        <f>IF('Net zero activities &amp; levers'!$C$8="Off",('Activity data'!AI9*EF!$H8)*kgtoGg,IF('Net zero activities &amp; levers'!$C$8="On",(('Net zero supporting data'!G136*EF!$H8)+('Net zero supporting data'!G126*'Net zero supporting data'!G146))*kgtoGg,"ERROR"))</f>
        <v>301.23554207624824</v>
      </c>
      <c r="Q466" s="100">
        <f>IF('Net zero activities &amp; levers'!$C$8="Off",('Activity data'!AJ9*EF!$H8)*kgtoGg,IF('Net zero activities &amp; levers'!$C$8="On",(('Net zero supporting data'!H136*EF!$H8)+('Net zero supporting data'!H126*'Net zero supporting data'!H146))*kgtoGg,"ERROR"))</f>
        <v>296.00291445211866</v>
      </c>
      <c r="R466" s="100">
        <f>IF('Net zero activities &amp; levers'!$C$8="Off",('Activity data'!AK9*EF!$H8)*kgtoGg,IF('Net zero activities &amp; levers'!$C$8="On",(('Net zero supporting data'!I136*EF!$H8)+('Net zero supporting data'!I126*'Net zero supporting data'!I146))*kgtoGg,"ERROR"))</f>
        <v>287.77587945125919</v>
      </c>
      <c r="S466" s="100">
        <f>IF('Net zero activities &amp; levers'!$C$8="Off",('Activity data'!AL9*EF!$H8)*kgtoGg,IF('Net zero activities &amp; levers'!$C$8="On",(('Net zero supporting data'!J136*EF!$H8)+('Net zero supporting data'!J126*'Net zero supporting data'!J146))*kgtoGg,"ERROR"))</f>
        <v>252.39688944116838</v>
      </c>
      <c r="T466" s="100">
        <f>IF('Net zero activities &amp; levers'!$C$8="Off",('Activity data'!AM9*EF!$H8)*kgtoGg,IF('Net zero activities &amp; levers'!$C$8="On",(('Net zero supporting data'!K136*EF!$H8)+('Net zero supporting data'!K126*'Net zero supporting data'!K146))*kgtoGg,"ERROR"))</f>
        <v>254.68896723545794</v>
      </c>
      <c r="U466" s="100">
        <f>IF('Net zero activities &amp; levers'!$C$8="Off",('Activity data'!AN9*EF!$H8)*kgtoGg,IF('Net zero activities &amp; levers'!$C$8="On",(('Net zero supporting data'!L136*EF!$H8)+('Net zero supporting data'!L126*'Net zero supporting data'!L146))*kgtoGg,"ERROR"))</f>
        <v>255.97820139319455</v>
      </c>
      <c r="V466" s="100">
        <f>IF('Net zero activities &amp; levers'!$C$8="Off",('Activity data'!AO9*EF!$H8)*kgtoGg,IF('Net zero activities &amp; levers'!$C$8="On",(('Net zero supporting data'!M136*EF!$H8)+('Net zero supporting data'!M126*'Net zero supporting data'!M146))*kgtoGg,"ERROR"))</f>
        <v>256.99350022957969</v>
      </c>
      <c r="W466" s="100">
        <f>IF('Net zero activities &amp; levers'!$C$8="Off",('Activity data'!AP9*EF!$H8)*kgtoGg,IF('Net zero activities &amp; levers'!$C$8="On",(('Net zero supporting data'!N136*EF!$H8)+('Net zero supporting data'!N126*'Net zero supporting data'!N146))*kgtoGg,"ERROR"))</f>
        <v>258.8143665577004</v>
      </c>
      <c r="X466" s="100">
        <f>IF('Net zero activities &amp; levers'!$C$8="Off",('Activity data'!AQ9*EF!$H8)*kgtoGg,IF('Net zero activities &amp; levers'!$C$8="On",(('Net zero supporting data'!O136*EF!$H8)+('Net zero supporting data'!O126*'Net zero supporting data'!O146))*kgtoGg,"ERROR"))</f>
        <v>260.32972549928178</v>
      </c>
      <c r="Y466" s="100">
        <f>IF('Net zero activities &amp; levers'!$C$8="Off",('Activity data'!AR9*EF!$H8)*kgtoGg,IF('Net zero activities &amp; levers'!$C$8="On",(('Net zero supporting data'!P136*EF!$H8)+('Net zero supporting data'!P126*'Net zero supporting data'!P146))*kgtoGg,"ERROR"))</f>
        <v>261.75082296891372</v>
      </c>
      <c r="Z466" s="100">
        <f>IF('Net zero activities &amp; levers'!$C$8="Off",('Activity data'!AS9*EF!$H8)*kgtoGg,IF('Net zero activities &amp; levers'!$C$8="On",(('Net zero supporting data'!Q136*EF!$H8)+('Net zero supporting data'!Q126*'Net zero supporting data'!Q146))*kgtoGg,"ERROR"))</f>
        <v>262.6197248394098</v>
      </c>
      <c r="AA466" s="100">
        <f>IF('Net zero activities &amp; levers'!$C$8="Off",('Activity data'!AT9*EF!$H8)*kgtoGg,IF('Net zero activities &amp; levers'!$C$8="On",(('Net zero supporting data'!R136*EF!$H8)+('Net zero supporting data'!R126*'Net zero supporting data'!R146))*kgtoGg,"ERROR"))</f>
        <v>263.5875739217218</v>
      </c>
      <c r="AB466" s="100">
        <f>IF('Net zero activities &amp; levers'!$C$8="Off",('Activity data'!AU9*EF!$H8)*kgtoGg,IF('Net zero activities &amp; levers'!$C$8="On",(('Net zero supporting data'!S136*EF!$H8)+('Net zero supporting data'!S126*'Net zero supporting data'!S146))*kgtoGg,"ERROR"))</f>
        <v>263.7925432641037</v>
      </c>
      <c r="AC466" s="100">
        <f>IF('Net zero activities &amp; levers'!$C$8="Off",('Activity data'!AV9*EF!$H8)*kgtoGg,IF('Net zero activities &amp; levers'!$C$8="On",(('Net zero supporting data'!T136*EF!$H8)+('Net zero supporting data'!T126*'Net zero supporting data'!T146))*kgtoGg,"ERROR"))</f>
        <v>263.85056745172835</v>
      </c>
      <c r="AD466" s="100">
        <f>IF('Net zero activities &amp; levers'!$C$8="Off",('Activity data'!AW9*EF!$H8)*kgtoGg,IF('Net zero activities &amp; levers'!$C$8="On",(('Net zero supporting data'!U136*EF!$H8)+('Net zero supporting data'!U126*'Net zero supporting data'!U146))*kgtoGg,"ERROR"))</f>
        <v>263.75304915658137</v>
      </c>
      <c r="AE466" s="100">
        <f>IF('Net zero activities &amp; levers'!$C$8="Off",('Activity data'!AX9*EF!$H8)*kgtoGg,IF('Net zero activities &amp; levers'!$C$8="On",(('Net zero supporting data'!V136*EF!$H8)+('Net zero supporting data'!V126*'Net zero supporting data'!V146))*kgtoGg,"ERROR"))</f>
        <v>264.0064527889474</v>
      </c>
      <c r="AF466" s="100">
        <f>IF('Net zero activities &amp; levers'!$C$8="Off",('Activity data'!AY9*EF!$H8)*kgtoGg,IF('Net zero activities &amp; levers'!$C$8="On",(('Net zero supporting data'!W136*EF!$H8)+('Net zero supporting data'!W126*'Net zero supporting data'!W146))*kgtoGg,"ERROR"))</f>
        <v>264.25628461435042</v>
      </c>
      <c r="AG466" s="100">
        <f>IF('Net zero activities &amp; levers'!$C$8="Off",('Activity data'!AZ9*EF!$H8)*kgtoGg,IF('Net zero activities &amp; levers'!$C$8="On",(('Net zero supporting data'!X136*EF!$H8)+('Net zero supporting data'!X126*'Net zero supporting data'!X146))*kgtoGg,"ERROR"))</f>
        <v>257.65808905072078</v>
      </c>
      <c r="AH466" s="100">
        <f>IF('Net zero activities &amp; levers'!$C$8="Off",('Activity data'!BA9*EF!$H8)*kgtoGg,IF('Net zero activities &amp; levers'!$C$8="On",(('Net zero supporting data'!Y136*EF!$H8)+('Net zero supporting data'!Y126*'Net zero supporting data'!Y146))*kgtoGg,"ERROR"))</f>
        <v>-60.546126789422523</v>
      </c>
      <c r="AI466" s="100">
        <f>IF('Net zero activities &amp; levers'!$C$8="Off",('Activity data'!BB9*EF!$H8)*kgtoGg,IF('Net zero activities &amp; levers'!$C$8="On",(('Net zero supporting data'!Z136*EF!$H8)+('Net zero supporting data'!Z126*'Net zero supporting data'!Z146))*kgtoGg,"ERROR"))</f>
        <v>-58.917694097004158</v>
      </c>
      <c r="AJ466" s="100">
        <f>IF('Net zero activities &amp; levers'!$C$8="Off",('Activity data'!BC9*EF!$H8)*kgtoGg,IF('Net zero activities &amp; levers'!$C$8="On",(('Net zero supporting data'!AA136*EF!$H8)+('Net zero supporting data'!AA126*'Net zero supporting data'!AA146))*kgtoGg,"ERROR"))</f>
        <v>-57.324486820378432</v>
      </c>
      <c r="AK466" s="100">
        <f>IF('Net zero activities &amp; levers'!$C$8="Off",('Activity data'!BD9*EF!$H8)*kgtoGg,IF('Net zero activities &amp; levers'!$C$8="On",(('Net zero supporting data'!AB136*EF!$H8)+('Net zero supporting data'!AB126*'Net zero supporting data'!AB146))*kgtoGg,"ERROR"))</f>
        <v>-55.764903081368104</v>
      </c>
      <c r="AL466" s="100">
        <f>IF('Net zero activities &amp; levers'!$C$8="Off",('Activity data'!BE9*EF!$H8)*kgtoGg,IF('Net zero activities &amp; levers'!$C$8="On",(('Net zero supporting data'!AC136*EF!$H8)+('Net zero supporting data'!AC126*'Net zero supporting data'!AC146))*kgtoGg,"ERROR"))</f>
        <v>-54.237445534780534</v>
      </c>
      <c r="AM466" s="100">
        <f>IF('Net zero activities &amp; levers'!$C$8="Off",('Activity data'!BF9*EF!$H8)*kgtoGg,IF('Net zero activities &amp; levers'!$C$8="On",(('Net zero supporting data'!AD136*EF!$H8)+('Net zero supporting data'!AD126*'Net zero supporting data'!AD146))*kgtoGg,"ERROR"))</f>
        <v>-52.740711968127108</v>
      </c>
      <c r="AN466" s="100">
        <f>IF('Net zero activities &amp; levers'!$C$8="Off",('Activity data'!BG9*EF!$H8)*kgtoGg,IF('Net zero activities &amp; levers'!$C$8="On",(('Net zero supporting data'!AE136*EF!$H8)+('Net zero supporting data'!AE126*'Net zero supporting data'!AE146))*kgtoGg,"ERROR"))</f>
        <v>-51.695897835435154</v>
      </c>
      <c r="AO466" s="100">
        <f>IF('Net zero activities &amp; levers'!$C$8="Off",('Activity data'!BH9*EF!$H8)*kgtoGg,IF('Net zero activities &amp; levers'!$C$8="On",(('Net zero supporting data'!AF136*EF!$H8)+('Net zero supporting data'!AF126*'Net zero supporting data'!AF146))*kgtoGg,"ERROR"))</f>
        <v>-50.666688585069267</v>
      </c>
      <c r="AP466" s="100">
        <f>IF('Net zero activities &amp; levers'!$C$8="Off",('Activity data'!BI9*EF!$H8)*kgtoGg,IF('Net zero activities &amp; levers'!$C$8="On",(('Net zero supporting data'!AG136*EF!$H8)+('Net zero supporting data'!AG126*'Net zero supporting data'!AG146))*kgtoGg,"ERROR"))</f>
        <v>-49.652370494075122</v>
      </c>
      <c r="AQ466" s="100">
        <f>IF('Net zero activities &amp; levers'!$C$8="Off",('Activity data'!BJ9*EF!$H8)*kgtoGg,IF('Net zero activities &amp; levers'!$C$8="On",(('Net zero supporting data'!AH136*EF!$H8)+('Net zero supporting data'!AH126*'Net zero supporting data'!AH146))*kgtoGg,"ERROR"))</f>
        <v>-48.652274246990714</v>
      </c>
      <c r="AR466" s="100">
        <f>IF('Net zero activities &amp; levers'!$C$8="Off",('Activity data'!BK9*EF!$H8)*kgtoGg,IF('Net zero activities &amp; levers'!$C$8="On",(('Net zero supporting data'!AI136*EF!$H8)+('Net zero supporting data'!AI126*'Net zero supporting data'!AI146))*kgtoGg,"ERROR"))</f>
        <v>-47.665771251198478</v>
      </c>
      <c r="AS466" s="100">
        <f>IF('Net zero activities &amp; levers'!$C$8="Off",('Activity data'!BL9*EF!$H8)*kgtoGg,IF('Net zero activities &amp; levers'!$C$8="On",(('Net zero supporting data'!AJ136*EF!$H8)+('Net zero supporting data'!AJ126*'Net zero supporting data'!AJ146))*kgtoGg,"ERROR"))</f>
        <v>-46.660536710940356</v>
      </c>
      <c r="AT466" s="100">
        <f>IF('Net zero activities &amp; levers'!$C$8="Off",('Activity data'!BM9*EF!$H8)*kgtoGg,IF('Net zero activities &amp; levers'!$C$8="On",(('Net zero supporting data'!AK136*EF!$H8)+('Net zero supporting data'!AK126*'Net zero supporting data'!AK146))*kgtoGg,"ERROR"))</f>
        <v>-45.66894126386336</v>
      </c>
      <c r="AU466" s="100">
        <f>IF('Net zero activities &amp; levers'!$C$8="Off",('Activity data'!BN9*EF!$H8)*kgtoGg,IF('Net zero activities &amp; levers'!$C$8="On",(('Net zero supporting data'!AL136*EF!$H8)+('Net zero supporting data'!AL126*'Net zero supporting data'!AL146))*kgtoGg,"ERROR"))</f>
        <v>-44.690443144952432</v>
      </c>
      <c r="AV466" s="100">
        <f>IF('Net zero activities &amp; levers'!$C$8="Off",('Activity data'!BO9*EF!$H8)*kgtoGg,IF('Net zero activities &amp; levers'!$C$8="On",(('Net zero supporting data'!AM136*EF!$H8)+('Net zero supporting data'!AM126*'Net zero supporting data'!AM146))*kgtoGg,"ERROR"))</f>
        <v>-43.724531052641481</v>
      </c>
      <c r="AW466" s="100">
        <f>IF('Net zero activities &amp; levers'!$C$8="Off",('Activity data'!BP9*EF!$H8)*kgtoGg,IF('Net zero activities &amp; levers'!$C$8="On",(('Net zero supporting data'!AN136*EF!$H8)+('Net zero supporting data'!AN126*'Net zero supporting data'!AN146))*kgtoGg,"ERROR"))</f>
        <v>-42.770721870713921</v>
      </c>
      <c r="AY466" s="85"/>
    </row>
    <row r="467" spans="1:51" x14ac:dyDescent="0.25">
      <c r="A467" s="102" t="str">
        <f t="shared" si="0"/>
        <v>PQ Cattle</v>
      </c>
      <c r="B467" s="102" t="s">
        <v>969</v>
      </c>
      <c r="C467" s="102" t="s">
        <v>1109</v>
      </c>
      <c r="D467" t="s">
        <v>15</v>
      </c>
      <c r="E467" t="s">
        <v>16</v>
      </c>
      <c r="F467" t="s">
        <v>67</v>
      </c>
      <c r="G467" t="s">
        <v>135</v>
      </c>
      <c r="H467" t="s">
        <v>1021</v>
      </c>
      <c r="I467" t="s">
        <v>121</v>
      </c>
      <c r="J467" t="s">
        <v>286</v>
      </c>
      <c r="K467" s="100">
        <f>IF('Net zero activities &amp; levers'!$C$8="Off",('Activity data'!AD10*EF!$H9)*kgtoGg,IF('Net zero activities &amp; levers'!$C$8="On",(('Net zero supporting data'!B137*EF!$H9)+('Net zero supporting data'!B127*'Net zero supporting data'!B147))*kgtoGg,"ERROR"))</f>
        <v>32.066658815804246</v>
      </c>
      <c r="L467" s="100">
        <f>IF('Net zero activities &amp; levers'!$C$8="Off",('Activity data'!AE10*EF!$H9)*kgtoGg,IF('Net zero activities &amp; levers'!$C$8="On",(('Net zero supporting data'!C137*EF!$H9)+('Net zero supporting data'!C127*'Net zero supporting data'!C147))*kgtoGg,"ERROR"))</f>
        <v>33.208718466326758</v>
      </c>
      <c r="M467" s="100">
        <f>IF('Net zero activities &amp; levers'!$C$8="Off",('Activity data'!AF10*EF!$H9)*kgtoGg,IF('Net zero activities &amp; levers'!$C$8="On",(('Net zero supporting data'!D137*EF!$H9)+('Net zero supporting data'!D127*'Net zero supporting data'!D147))*kgtoGg,"ERROR"))</f>
        <v>34.11520280184579</v>
      </c>
      <c r="N467" s="100">
        <f>IF('Net zero activities &amp; levers'!$C$8="Off",('Activity data'!AG10*EF!$H9)*kgtoGg,IF('Net zero activities &amp; levers'!$C$8="On",(('Net zero supporting data'!E137*EF!$H9)+('Net zero supporting data'!E127*'Net zero supporting data'!E147))*kgtoGg,"ERROR"))</f>
        <v>34.675782135786314</v>
      </c>
      <c r="O467" s="100">
        <f>IF('Net zero activities &amp; levers'!$C$8="Off",('Activity data'!AH10*EF!$H9)*kgtoGg,IF('Net zero activities &amp; levers'!$C$8="On",(('Net zero supporting data'!F137*EF!$H9)+('Net zero supporting data'!F127*'Net zero supporting data'!F147))*kgtoGg,"ERROR"))</f>
        <v>35.237531716383323</v>
      </c>
      <c r="P467" s="100">
        <f>IF('Net zero activities &amp; levers'!$C$8="Off",('Activity data'!AI10*EF!$H9)*kgtoGg,IF('Net zero activities &amp; levers'!$C$8="On",(('Net zero supporting data'!G137*EF!$H9)+('Net zero supporting data'!G127*'Net zero supporting data'!G147))*kgtoGg,"ERROR"))</f>
        <v>35.983525896151299</v>
      </c>
      <c r="Q467" s="100">
        <f>IF('Net zero activities &amp; levers'!$C$8="Off",('Activity data'!AJ10*EF!$H9)*kgtoGg,IF('Net zero activities &amp; levers'!$C$8="On",(('Net zero supporting data'!H137*EF!$H9)+('Net zero supporting data'!H127*'Net zero supporting data'!H147))*kgtoGg,"ERROR"))</f>
        <v>36.791694077470218</v>
      </c>
      <c r="R467" s="100">
        <f>IF('Net zero activities &amp; levers'!$C$8="Off",('Activity data'!AK10*EF!$H9)*kgtoGg,IF('Net zero activities &amp; levers'!$C$8="On",(('Net zero supporting data'!I137*EF!$H9)+('Net zero supporting data'!I127*'Net zero supporting data'!I147))*kgtoGg,"ERROR"))</f>
        <v>37.212274346578468</v>
      </c>
      <c r="S467" s="100">
        <f>IF('Net zero activities &amp; levers'!$C$8="Off",('Activity data'!AL10*EF!$H9)*kgtoGg,IF('Net zero activities &amp; levers'!$C$8="On",(('Net zero supporting data'!J137*EF!$H9)+('Net zero supporting data'!J127*'Net zero supporting data'!J147))*kgtoGg,"ERROR"))</f>
        <v>33.949893618199454</v>
      </c>
      <c r="T467" s="100">
        <f>IF('Net zero activities &amp; levers'!$C$8="Off",('Activity data'!AM10*EF!$H9)*kgtoGg,IF('Net zero activities &amp; levers'!$C$8="On",(('Net zero supporting data'!K137*EF!$H9)+('Net zero supporting data'!K127*'Net zero supporting data'!K147))*kgtoGg,"ERROR"))</f>
        <v>35.047683299516429</v>
      </c>
      <c r="U467" s="100">
        <f>IF('Net zero activities &amp; levers'!$C$8="Off",('Activity data'!AN10*EF!$H9)*kgtoGg,IF('Net zero activities &amp; levers'!$C$8="On",(('Net zero supporting data'!L137*EF!$H9)+('Net zero supporting data'!L127*'Net zero supporting data'!L147))*kgtoGg,"ERROR"))</f>
        <v>35.96518200099073</v>
      </c>
      <c r="V467" s="100">
        <f>IF('Net zero activities &amp; levers'!$C$8="Off",('Activity data'!AO10*EF!$H9)*kgtoGg,IF('Net zero activities &amp; levers'!$C$8="On",(('Net zero supporting data'!M137*EF!$H9)+('Net zero supporting data'!M127*'Net zero supporting data'!M147))*kgtoGg,"ERROR"))</f>
        <v>36.793400856091466</v>
      </c>
      <c r="W467" s="100">
        <f>IF('Net zero activities &amp; levers'!$C$8="Off",('Activity data'!AP10*EF!$H9)*kgtoGg,IF('Net zero activities &amp; levers'!$C$8="On",(('Net zero supporting data'!N137*EF!$H9)+('Net zero supporting data'!N127*'Net zero supporting data'!N147))*kgtoGg,"ERROR"))</f>
        <v>37.682298913946717</v>
      </c>
      <c r="X467" s="100">
        <f>IF('Net zero activities &amp; levers'!$C$8="Off",('Activity data'!AQ10*EF!$H9)*kgtoGg,IF('Net zero activities &amp; levers'!$C$8="On",(('Net zero supporting data'!O137*EF!$H9)+('Net zero supporting data'!O127*'Net zero supporting data'!O147))*kgtoGg,"ERROR"))</f>
        <v>38.467336788735906</v>
      </c>
      <c r="Y467" s="100">
        <f>IF('Net zero activities &amp; levers'!$C$8="Off",('Activity data'!AR10*EF!$H9)*kgtoGg,IF('Net zero activities &amp; levers'!$C$8="On",(('Net zero supporting data'!P137*EF!$H9)+('Net zero supporting data'!P127*'Net zero supporting data'!P147))*kgtoGg,"ERROR"))</f>
        <v>39.171495538894952</v>
      </c>
      <c r="Z467" s="100">
        <f>IF('Net zero activities &amp; levers'!$C$8="Off",('Activity data'!AS10*EF!$H9)*kgtoGg,IF('Net zero activities &amp; levers'!$C$8="On",(('Net zero supporting data'!Q137*EF!$H9)+('Net zero supporting data'!Q127*'Net zero supporting data'!Q147))*kgtoGg,"ERROR"))</f>
        <v>39.717698816763118</v>
      </c>
      <c r="AA467" s="100">
        <f>IF('Net zero activities &amp; levers'!$C$8="Off",('Activity data'!AT10*EF!$H9)*kgtoGg,IF('Net zero activities &amp; levers'!$C$8="On",(('Net zero supporting data'!R137*EF!$H9)+('Net zero supporting data'!R127*'Net zero supporting data'!R147))*kgtoGg,"ERROR"))</f>
        <v>40.195099239479305</v>
      </c>
      <c r="AB467" s="100">
        <f>IF('Net zero activities &amp; levers'!$C$8="Off",('Activity data'!AU10*EF!$H9)*kgtoGg,IF('Net zero activities &amp; levers'!$C$8="On",(('Net zero supporting data'!S137*EF!$H9)+('Net zero supporting data'!S127*'Net zero supporting data'!S147))*kgtoGg,"ERROR"))</f>
        <v>40.46345639627264</v>
      </c>
      <c r="AC467" s="100">
        <f>IF('Net zero activities &amp; levers'!$C$8="Off",('Activity data'!AV10*EF!$H9)*kgtoGg,IF('Net zero activities &amp; levers'!$C$8="On",(('Net zero supporting data'!T137*EF!$H9)+('Net zero supporting data'!T127*'Net zero supporting data'!T147))*kgtoGg,"ERROR"))</f>
        <v>40.607122002448556</v>
      </c>
      <c r="AD467" s="100">
        <f>IF('Net zero activities &amp; levers'!$C$8="Off",('Activity data'!AW10*EF!$H9)*kgtoGg,IF('Net zero activities &amp; levers'!$C$8="On",(('Net zero supporting data'!U137*EF!$H9)+('Net zero supporting data'!U127*'Net zero supporting data'!U147))*kgtoGg,"ERROR"))</f>
        <v>42.102586385303944</v>
      </c>
      <c r="AE467" s="100">
        <f>IF('Net zero activities &amp; levers'!$C$8="Off",('Activity data'!AX10*EF!$H9)*kgtoGg,IF('Net zero activities &amp; levers'!$C$8="On",(('Net zero supporting data'!V137*EF!$H9)+('Net zero supporting data'!V127*'Net zero supporting data'!V147))*kgtoGg,"ERROR"))</f>
        <v>43.712746786051035</v>
      </c>
      <c r="AF467" s="100">
        <f>IF('Net zero activities &amp; levers'!$C$8="Off",('Activity data'!AY10*EF!$H9)*kgtoGg,IF('Net zero activities &amp; levers'!$C$8="On",(('Net zero supporting data'!W137*EF!$H9)+('Net zero supporting data'!W127*'Net zero supporting data'!W147))*kgtoGg,"ERROR"))</f>
        <v>45.386344947075912</v>
      </c>
      <c r="AG467" s="100">
        <f>IF('Net zero activities &amp; levers'!$C$8="Off",('Activity data'!AZ10*EF!$H9)*kgtoGg,IF('Net zero activities &amp; levers'!$C$8="On",(('Net zero supporting data'!X137*EF!$H9)+('Net zero supporting data'!X127*'Net zero supporting data'!X147))*kgtoGg,"ERROR"))</f>
        <v>45.907415564276612</v>
      </c>
      <c r="AH467" s="100">
        <f>IF('Net zero activities &amp; levers'!$C$8="Off",('Activity data'!BA10*EF!$H9)*kgtoGg,IF('Net zero activities &amp; levers'!$C$8="On",(('Net zero supporting data'!Y137*EF!$H9)+('Net zero supporting data'!Y127*'Net zero supporting data'!Y147))*kgtoGg,"ERROR"))</f>
        <v>-11.191960769730573</v>
      </c>
      <c r="AI467" s="100">
        <f>IF('Net zero activities &amp; levers'!$C$8="Off",('Activity data'!BB10*EF!$H9)*kgtoGg,IF('Net zero activities &amp; levers'!$C$8="On",(('Net zero supporting data'!Z137*EF!$H9)+('Net zero supporting data'!Z127*'Net zero supporting data'!Z147))*kgtoGg,"ERROR"))</f>
        <v>-11.300472148564364</v>
      </c>
      <c r="AJ467" s="100">
        <f>IF('Net zero activities &amp; levers'!$C$8="Off",('Activity data'!BC10*EF!$H9)*kgtoGg,IF('Net zero activities &amp; levers'!$C$8="On",(('Net zero supporting data'!AA137*EF!$H9)+('Net zero supporting data'!AA127*'Net zero supporting data'!AA147))*kgtoGg,"ERROR"))</f>
        <v>-11.409880283778914</v>
      </c>
      <c r="AK467" s="100">
        <f>IF('Net zero activities &amp; levers'!$C$8="Off",('Activity data'!BD10*EF!$H9)*kgtoGg,IF('Net zero activities &amp; levers'!$C$8="On",(('Net zero supporting data'!AB137*EF!$H9)+('Net zero supporting data'!AB127*'Net zero supporting data'!AB147))*kgtoGg,"ERROR"))</f>
        <v>-11.520193692720202</v>
      </c>
      <c r="AL467" s="100">
        <f>IF('Net zero activities &amp; levers'!$C$8="Off",('Activity data'!BE10*EF!$H9)*kgtoGg,IF('Net zero activities &amp; levers'!$C$8="On",(('Net zero supporting data'!AC137*EF!$H9)+('Net zero supporting data'!AC127*'Net zero supporting data'!AC147))*kgtoGg,"ERROR"))</f>
        <v>-11.631420970143628</v>
      </c>
      <c r="AM467" s="100">
        <f>IF('Net zero activities &amp; levers'!$C$8="Off",('Activity data'!BF10*EF!$H9)*kgtoGg,IF('Net zero activities &amp; levers'!$C$8="On",(('Net zero supporting data'!AD137*EF!$H9)+('Net zero supporting data'!AD127*'Net zero supporting data'!AD147))*kgtoGg,"ERROR"))</f>
        <v>-11.743570788889567</v>
      </c>
      <c r="AN467" s="100">
        <f>IF('Net zero activities &amp; levers'!$C$8="Off",('Activity data'!BG10*EF!$H9)*kgtoGg,IF('Net zero activities &amp; levers'!$C$8="On",(('Net zero supporting data'!AE137*EF!$H9)+('Net zero supporting data'!AE127*'Net zero supporting data'!AE147))*kgtoGg,"ERROR"))</f>
        <v>-11.833927754281767</v>
      </c>
      <c r="AO467" s="100">
        <f>IF('Net zero activities &amp; levers'!$C$8="Off",('Activity data'!BH10*EF!$H9)*kgtoGg,IF('Net zero activities &amp; levers'!$C$8="On",(('Net zero supporting data'!AF137*EF!$H9)+('Net zero supporting data'!AF127*'Net zero supporting data'!AF147))*kgtoGg,"ERROR"))</f>
        <v>-11.924918359644195</v>
      </c>
      <c r="AP467" s="100">
        <f>IF('Net zero activities &amp; levers'!$C$8="Off",('Activity data'!BI10*EF!$H9)*kgtoGg,IF('Net zero activities &amp; levers'!$C$8="On",(('Net zero supporting data'!AG137*EF!$H9)+('Net zero supporting data'!AG127*'Net zero supporting data'!AG147))*kgtoGg,"ERROR"))</f>
        <v>-12.016547641340829</v>
      </c>
      <c r="AQ467" s="100">
        <f>IF('Net zero activities &amp; levers'!$C$8="Off",('Activity data'!BJ10*EF!$H9)*kgtoGg,IF('Net zero activities &amp; levers'!$C$8="On",(('Net zero supporting data'!AH137*EF!$H9)+('Net zero supporting data'!AH127*'Net zero supporting data'!AH147))*kgtoGg,"ERROR"))</f>
        <v>-12.10882067424623</v>
      </c>
      <c r="AR467" s="100">
        <f>IF('Net zero activities &amp; levers'!$C$8="Off",('Activity data'!BK10*EF!$H9)*kgtoGg,IF('Net zero activities &amp; levers'!$C$8="On",(('Net zero supporting data'!AI137*EF!$H9)+('Net zero supporting data'!AI127*'Net zero supporting data'!AI147))*kgtoGg,"ERROR"))</f>
        <v>-12.201742572028703</v>
      </c>
      <c r="AS467" s="100">
        <f>IF('Net zero activities &amp; levers'!$C$8="Off",('Activity data'!BL10*EF!$H9)*kgtoGg,IF('Net zero activities &amp; levers'!$C$8="On",(('Net zero supporting data'!AJ137*EF!$H9)+('Net zero supporting data'!AJ127*'Net zero supporting data'!AJ147))*kgtoGg,"ERROR"))</f>
        <v>-12.286962180634113</v>
      </c>
      <c r="AT467" s="100">
        <f>IF('Net zero activities &amp; levers'!$C$8="Off",('Activity data'!BM10*EF!$H9)*kgtoGg,IF('Net zero activities &amp; levers'!$C$8="On",(('Net zero supporting data'!AK137*EF!$H9)+('Net zero supporting data'!AK127*'Net zero supporting data'!AK147))*kgtoGg,"ERROR"))</f>
        <v>-12.372682410795191</v>
      </c>
      <c r="AU467" s="100">
        <f>IF('Net zero activities &amp; levers'!$C$8="Off",('Activity data'!BN10*EF!$H9)*kgtoGg,IF('Net zero activities &amp; levers'!$C$8="On",(('Net zero supporting data'!AL137*EF!$H9)+('Net zero supporting data'!AL127*'Net zero supporting data'!AL147))*kgtoGg,"ERROR"))</f>
        <v>-12.458906583506597</v>
      </c>
      <c r="AV467" s="100">
        <f>IF('Net zero activities &amp; levers'!$C$8="Off",('Activity data'!BO10*EF!$H9)*kgtoGg,IF('Net zero activities &amp; levers'!$C$8="On",(('Net zero supporting data'!AM137*EF!$H9)+('Net zero supporting data'!AM127*'Net zero supporting data'!AM147))*kgtoGg,"ERROR"))</f>
        <v>-12.545638040911392</v>
      </c>
      <c r="AW467" s="100">
        <f>IF('Net zero activities &amp; levers'!$C$8="Off",('Activity data'!BP10*EF!$H9)*kgtoGg,IF('Net zero activities &amp; levers'!$C$8="On",(('Net zero supporting data'!AN137*EF!$H9)+('Net zero supporting data'!AN127*'Net zero supporting data'!AN147))*kgtoGg,"ERROR"))</f>
        <v>-12.632880146429489</v>
      </c>
      <c r="AY467" s="85"/>
    </row>
    <row r="468" spans="1:51" x14ac:dyDescent="0.25">
      <c r="A468" s="102" t="str">
        <f t="shared" si="0"/>
        <v>PQ Sheep</v>
      </c>
      <c r="B468" s="102" t="s">
        <v>969</v>
      </c>
      <c r="C468" s="102" t="s">
        <v>152</v>
      </c>
      <c r="D468" t="s">
        <v>15</v>
      </c>
      <c r="E468" t="s">
        <v>16</v>
      </c>
      <c r="F468" t="s">
        <v>18</v>
      </c>
      <c r="G468" t="s">
        <v>122</v>
      </c>
      <c r="H468" t="s">
        <v>1021</v>
      </c>
      <c r="I468" t="s">
        <v>121</v>
      </c>
      <c r="J468" t="s">
        <v>286</v>
      </c>
      <c r="K468" s="100">
        <f>IF('Net zero activities &amp; levers'!$C$8="Off",('Activity data'!AD11*EF!$H10)*kgtoGg,IF('Net zero activities &amp; levers'!$C$8="On",(('Net zero supporting data'!B138*EF!$H10)+('Net zero supporting data'!B128*'Net zero supporting data'!B148))*kgtoGg,"ERROR"))</f>
        <v>132.58757058147904</v>
      </c>
      <c r="L468" s="100">
        <f>IF('Net zero activities &amp; levers'!$C$8="Off",('Activity data'!AE11*EF!$H10)*kgtoGg,IF('Net zero activities &amp; levers'!$C$8="On",(('Net zero supporting data'!C138*EF!$H10)+('Net zero supporting data'!C128*'Net zero supporting data'!C148))*kgtoGg,"ERROR"))</f>
        <v>132.65997552000914</v>
      </c>
      <c r="M468" s="100">
        <f>IF('Net zero activities &amp; levers'!$C$8="Off",('Activity data'!AF11*EF!$H10)*kgtoGg,IF('Net zero activities &amp; levers'!$C$8="On",(('Net zero supporting data'!D138*EF!$H10)+('Net zero supporting data'!D128*'Net zero supporting data'!D148))*kgtoGg,"ERROR"))</f>
        <v>132.82210408590223</v>
      </c>
      <c r="N468" s="100">
        <f>IF('Net zero activities &amp; levers'!$C$8="Off",('Activity data'!AG11*EF!$H10)*kgtoGg,IF('Net zero activities &amp; levers'!$C$8="On",(('Net zero supporting data'!E138*EF!$H10)+('Net zero supporting data'!E128*'Net zero supporting data'!E148))*kgtoGg,"ERROR"))</f>
        <v>133.06614161446052</v>
      </c>
      <c r="O468" s="100">
        <f>IF('Net zero activities &amp; levers'!$C$8="Off",('Activity data'!AH11*EF!$H10)*kgtoGg,IF('Net zero activities &amp; levers'!$C$8="On",(('Net zero supporting data'!F138*EF!$H10)+('Net zero supporting data'!F128*'Net zero supporting data'!F148))*kgtoGg,"ERROR"))</f>
        <v>133.3953531354135</v>
      </c>
      <c r="P468" s="100">
        <f>IF('Net zero activities &amp; levers'!$C$8="Off",('Activity data'!AI11*EF!$H10)*kgtoGg,IF('Net zero activities &amp; levers'!$C$8="On",(('Net zero supporting data'!G138*EF!$H10)+('Net zero supporting data'!G128*'Net zero supporting data'!G148))*kgtoGg,"ERROR"))</f>
        <v>133.81008797408685</v>
      </c>
      <c r="Q468" s="100">
        <f>IF('Net zero activities &amp; levers'!$C$8="Off",('Activity data'!AJ11*EF!$H10)*kgtoGg,IF('Net zero activities &amp; levers'!$C$8="On",(('Net zero supporting data'!H138*EF!$H10)+('Net zero supporting data'!H128*'Net zero supporting data'!H148))*kgtoGg,"ERROR"))</f>
        <v>134.27208577169884</v>
      </c>
      <c r="R468" s="100">
        <f>IF('Net zero activities &amp; levers'!$C$8="Off",('Activity data'!AK11*EF!$H10)*kgtoGg,IF('Net zero activities &amp; levers'!$C$8="On",(('Net zero supporting data'!I138*EF!$H10)+('Net zero supporting data'!I128*'Net zero supporting data'!I148))*kgtoGg,"ERROR"))</f>
        <v>134.77278624125299</v>
      </c>
      <c r="S468" s="100">
        <f>IF('Net zero activities &amp; levers'!$C$8="Off",('Activity data'!AL11*EF!$H10)*kgtoGg,IF('Net zero activities &amp; levers'!$C$8="On",(('Net zero supporting data'!J138*EF!$H10)+('Net zero supporting data'!J128*'Net zero supporting data'!J148))*kgtoGg,"ERROR"))</f>
        <v>135.24330047488556</v>
      </c>
      <c r="T468" s="100">
        <f>IF('Net zero activities &amp; levers'!$C$8="Off",('Activity data'!AM11*EF!$H10)*kgtoGg,IF('Net zero activities &amp; levers'!$C$8="On",(('Net zero supporting data'!K138*EF!$H10)+('Net zero supporting data'!K128*'Net zero supporting data'!K148))*kgtoGg,"ERROR"))</f>
        <v>135.31798722146624</v>
      </c>
      <c r="U468" s="100">
        <f>IF('Net zero activities &amp; levers'!$C$8="Off",('Activity data'!AN11*EF!$H10)*kgtoGg,IF('Net zero activities &amp; levers'!$C$8="On",(('Net zero supporting data'!L138*EF!$H10)+('Net zero supporting data'!L128*'Net zero supporting data'!L148))*kgtoGg,"ERROR"))</f>
        <v>135.18324430794047</v>
      </c>
      <c r="V468" s="100">
        <f>IF('Net zero activities &amp; levers'!$C$8="Off",('Activity data'!AO11*EF!$H10)*kgtoGg,IF('Net zero activities &amp; levers'!$C$8="On",(('Net zero supporting data'!M138*EF!$H10)+('Net zero supporting data'!M128*'Net zero supporting data'!M148))*kgtoGg,"ERROR"))</f>
        <v>134.84298203928481</v>
      </c>
      <c r="W468" s="100">
        <f>IF('Net zero activities &amp; levers'!$C$8="Off",('Activity data'!AP11*EF!$H10)*kgtoGg,IF('Net zero activities &amp; levers'!$C$8="On",(('Net zero supporting data'!N138*EF!$H10)+('Net zero supporting data'!N128*'Net zero supporting data'!N148))*kgtoGg,"ERROR"))</f>
        <v>134.3020861803864</v>
      </c>
      <c r="X468" s="100">
        <f>IF('Net zero activities &amp; levers'!$C$8="Off",('Activity data'!AQ11*EF!$H10)*kgtoGg,IF('Net zero activities &amp; levers'!$C$8="On",(('Net zero supporting data'!O138*EF!$H10)+('Net zero supporting data'!O128*'Net zero supporting data'!O148))*kgtoGg,"ERROR"))</f>
        <v>133.55911709102637</v>
      </c>
      <c r="Y468" s="100">
        <f>IF('Net zero activities &amp; levers'!$C$8="Off",('Activity data'!AR11*EF!$H10)*kgtoGg,IF('Net zero activities &amp; levers'!$C$8="On",(('Net zero supporting data'!P138*EF!$H10)+('Net zero supporting data'!P128*'Net zero supporting data'!P148))*kgtoGg,"ERROR"))</f>
        <v>132.47035452461901</v>
      </c>
      <c r="Z468" s="100">
        <f>IF('Net zero activities &amp; levers'!$C$8="Off",('Activity data'!AS11*EF!$H10)*kgtoGg,IF('Net zero activities &amp; levers'!$C$8="On",(('Net zero supporting data'!Q138*EF!$H10)+('Net zero supporting data'!Q128*'Net zero supporting data'!Q148))*kgtoGg,"ERROR"))</f>
        <v>131.18346102300151</v>
      </c>
      <c r="AA468" s="100">
        <f>IF('Net zero activities &amp; levers'!$C$8="Off",('Activity data'!AT11*EF!$H10)*kgtoGg,IF('Net zero activities &amp; levers'!$C$8="On",(('Net zero supporting data'!R138*EF!$H10)+('Net zero supporting data'!R128*'Net zero supporting data'!R148))*kgtoGg,"ERROR"))</f>
        <v>129.70233453063776</v>
      </c>
      <c r="AB468" s="100">
        <f>IF('Net zero activities &amp; levers'!$C$8="Off",('Activity data'!AU11*EF!$H10)*kgtoGg,IF('Net zero activities &amp; levers'!$C$8="On",(('Net zero supporting data'!S138*EF!$H10)+('Net zero supporting data'!S128*'Net zero supporting data'!S148))*kgtoGg,"ERROR"))</f>
        <v>128.02630783623565</v>
      </c>
      <c r="AC468" s="100">
        <f>IF('Net zero activities &amp; levers'!$C$8="Off",('Activity data'!AV11*EF!$H10)*kgtoGg,IF('Net zero activities &amp; levers'!$C$8="On",(('Net zero supporting data'!T138*EF!$H10)+('Net zero supporting data'!T128*'Net zero supporting data'!T148))*kgtoGg,"ERROR"))</f>
        <v>126.15897073746982</v>
      </c>
      <c r="AD468" s="100">
        <f>IF('Net zero activities &amp; levers'!$C$8="Off",('Activity data'!AW11*EF!$H10)*kgtoGg,IF('Net zero activities &amp; levers'!$C$8="On",(('Net zero supporting data'!U138*EF!$H10)+('Net zero supporting data'!U128*'Net zero supporting data'!U148))*kgtoGg,"ERROR"))</f>
        <v>126.33108522315111</v>
      </c>
      <c r="AE468" s="100">
        <f>IF('Net zero activities &amp; levers'!$C$8="Off",('Activity data'!AX11*EF!$H10)*kgtoGg,IF('Net zero activities &amp; levers'!$C$8="On",(('Net zero supporting data'!V138*EF!$H10)+('Net zero supporting data'!V128*'Net zero supporting data'!V148))*kgtoGg,"ERROR"))</f>
        <v>126.52130349828651</v>
      </c>
      <c r="AF468" s="100">
        <f>IF('Net zero activities &amp; levers'!$C$8="Off",('Activity data'!AY11*EF!$H10)*kgtoGg,IF('Net zero activities &amp; levers'!$C$8="On",(('Net zero supporting data'!W138*EF!$H10)+('Net zero supporting data'!W128*'Net zero supporting data'!W148))*kgtoGg,"ERROR"))</f>
        <v>126.72791483495081</v>
      </c>
      <c r="AG468" s="100">
        <f>IF('Net zero activities &amp; levers'!$C$8="Off",('Activity data'!AZ11*EF!$H10)*kgtoGg,IF('Net zero activities &amp; levers'!$C$8="On",(('Net zero supporting data'!X138*EF!$H10)+('Net zero supporting data'!X128*'Net zero supporting data'!X148))*kgtoGg,"ERROR"))</f>
        <v>126.92752773749541</v>
      </c>
      <c r="AH468" s="100">
        <f>IF('Net zero activities &amp; levers'!$C$8="Off",('Activity data'!BA11*EF!$H10)*kgtoGg,IF('Net zero activities &amp; levers'!$C$8="On",(('Net zero supporting data'!Y138*EF!$H10)+('Net zero supporting data'!Y128*'Net zero supporting data'!Y148))*kgtoGg,"ERROR"))</f>
        <v>126.0741228099693</v>
      </c>
      <c r="AI468" s="100">
        <f>IF('Net zero activities &amp; levers'!$C$8="Off",('Activity data'!BB11*EF!$H10)*kgtoGg,IF('Net zero activities &amp; levers'!$C$8="On",(('Net zero supporting data'!Z138*EF!$H10)+('Net zero supporting data'!Z128*'Net zero supporting data'!Z148))*kgtoGg,"ERROR"))</f>
        <v>126.19531980334814</v>
      </c>
      <c r="AJ468" s="100">
        <f>IF('Net zero activities &amp; levers'!$C$8="Off",('Activity data'!BC11*EF!$H10)*kgtoGg,IF('Net zero activities &amp; levers'!$C$8="On",(('Net zero supporting data'!AA138*EF!$H10)+('Net zero supporting data'!AA128*'Net zero supporting data'!AA148))*kgtoGg,"ERROR"))</f>
        <v>126.32906128587692</v>
      </c>
      <c r="AK468" s="100">
        <f>IF('Net zero activities &amp; levers'!$C$8="Off",('Activity data'!BD11*EF!$H10)*kgtoGg,IF('Net zero activities &amp; levers'!$C$8="On",(('Net zero supporting data'!AB138*EF!$H10)+('Net zero supporting data'!AB128*'Net zero supporting data'!AB148))*kgtoGg,"ERROR"))</f>
        <v>126.47487333728039</v>
      </c>
      <c r="AL468" s="100">
        <f>IF('Net zero activities &amp; levers'!$C$8="Off",('Activity data'!BE11*EF!$H10)*kgtoGg,IF('Net zero activities &amp; levers'!$C$8="On",(('Net zero supporting data'!AC138*EF!$H10)+('Net zero supporting data'!AC128*'Net zero supporting data'!AC148))*kgtoGg,"ERROR"))</f>
        <v>126.63231866837037</v>
      </c>
      <c r="AM468" s="100">
        <f>IF('Net zero activities &amp; levers'!$C$8="Off",('Activity data'!BF11*EF!$H10)*kgtoGg,IF('Net zero activities &amp; levers'!$C$8="On",(('Net zero supporting data'!AD138*EF!$H10)+('Net zero supporting data'!AD128*'Net zero supporting data'!AD148))*kgtoGg,"ERROR"))</f>
        <v>126.8009931450332</v>
      </c>
      <c r="AN468" s="100">
        <f>IF('Net zero activities &amp; levers'!$C$8="Off",('Activity data'!BG11*EF!$H10)*kgtoGg,IF('Net zero activities &amp; levers'!$C$8="On",(('Net zero supporting data'!AE138*EF!$H10)+('Net zero supporting data'!AE128*'Net zero supporting data'!AE148))*kgtoGg,"ERROR"))</f>
        <v>126.88285102153107</v>
      </c>
      <c r="AO468" s="100">
        <f>IF('Net zero activities &amp; levers'!$C$8="Off",('Activity data'!BH11*EF!$H10)*kgtoGg,IF('Net zero activities &amp; levers'!$C$8="On",(('Net zero supporting data'!AF138*EF!$H10)+('Net zero supporting data'!AF128*'Net zero supporting data'!AF148))*kgtoGg,"ERROR"))</f>
        <v>126.97460249031272</v>
      </c>
      <c r="AP468" s="100">
        <f>IF('Net zero activities &amp; levers'!$C$8="Off",('Activity data'!BI11*EF!$H10)*kgtoGg,IF('Net zero activities &amp; levers'!$C$8="On",(('Net zero supporting data'!AG138*EF!$H10)+('Net zero supporting data'!AG128*'Net zero supporting data'!AG148))*kgtoGg,"ERROR"))</f>
        <v>127.0759032310397</v>
      </c>
      <c r="AQ468" s="100">
        <f>IF('Net zero activities &amp; levers'!$C$8="Off",('Activity data'!BJ11*EF!$H10)*kgtoGg,IF('Net zero activities &amp; levers'!$C$8="On",(('Net zero supporting data'!AH138*EF!$H10)+('Net zero supporting data'!AH128*'Net zero supporting data'!AH148))*kgtoGg,"ERROR"))</f>
        <v>127.18643248992738</v>
      </c>
      <c r="AR468" s="100">
        <f>IF('Net zero activities &amp; levers'!$C$8="Off",('Activity data'!BK11*EF!$H10)*kgtoGg,IF('Net zero activities &amp; levers'!$C$8="On",(('Net zero supporting data'!AI138*EF!$H10)+('Net zero supporting data'!AI128*'Net zero supporting data'!AI148))*kgtoGg,"ERROR"))</f>
        <v>127.30589107765118</v>
      </c>
      <c r="AS468" s="100">
        <f>IF('Net zero activities &amp; levers'!$C$8="Off",('Activity data'!BL11*EF!$H10)*kgtoGg,IF('Net zero activities &amp; levers'!$C$8="On",(('Net zero supporting data'!AJ138*EF!$H10)+('Net zero supporting data'!AJ128*'Net zero supporting data'!AJ148))*kgtoGg,"ERROR"))</f>
        <v>127.3353600581223</v>
      </c>
      <c r="AT468" s="100">
        <f>IF('Net zero activities &amp; levers'!$C$8="Off",('Activity data'!BM11*EF!$H10)*kgtoGg,IF('Net zero activities &amp; levers'!$C$8="On",(('Net zero supporting data'!AK138*EF!$H10)+('Net zero supporting data'!AK128*'Net zero supporting data'!AK148))*kgtoGg,"ERROR"))</f>
        <v>127.37275381385319</v>
      </c>
      <c r="AU468" s="100">
        <f>IF('Net zero activities &amp; levers'!$C$8="Off",('Activity data'!BN11*EF!$H10)*kgtoGg,IF('Net zero activities &amp; levers'!$C$8="On",(('Net zero supporting data'!AL138*EF!$H10)+('Net zero supporting data'!AL128*'Net zero supporting data'!AL148))*kgtoGg,"ERROR"))</f>
        <v>127.41780987643584</v>
      </c>
      <c r="AV468" s="100">
        <f>IF('Net zero activities &amp; levers'!$C$8="Off",('Activity data'!BO11*EF!$H10)*kgtoGg,IF('Net zero activities &amp; levers'!$C$8="On",(('Net zero supporting data'!AM138*EF!$H10)+('Net zero supporting data'!AM128*'Net zero supporting data'!AM148))*kgtoGg,"ERROR"))</f>
        <v>127.47028180492443</v>
      </c>
      <c r="AW468" s="100">
        <f>IF('Net zero activities &amp; levers'!$C$8="Off",('Activity data'!BP11*EF!$H10)*kgtoGg,IF('Net zero activities &amp; levers'!$C$8="On",(('Net zero supporting data'!AN138*EF!$H10)+('Net zero supporting data'!AN128*'Net zero supporting data'!AN148))*kgtoGg,"ERROR"))</f>
        <v>127.52993795329782</v>
      </c>
      <c r="AY468" s="85"/>
    </row>
    <row r="469" spans="1:51" x14ac:dyDescent="0.25">
      <c r="A469" s="102" t="str">
        <f t="shared" si="0"/>
        <v>PQ Sheep</v>
      </c>
      <c r="B469" s="102" t="s">
        <v>969</v>
      </c>
      <c r="C469" s="102" t="s">
        <v>152</v>
      </c>
      <c r="D469" t="s">
        <v>15</v>
      </c>
      <c r="E469" t="s">
        <v>16</v>
      </c>
      <c r="F469" t="s">
        <v>18</v>
      </c>
      <c r="G469" t="s">
        <v>123</v>
      </c>
      <c r="H469" t="s">
        <v>1021</v>
      </c>
      <c r="I469" t="s">
        <v>121</v>
      </c>
      <c r="J469" t="s">
        <v>286</v>
      </c>
      <c r="K469" s="100">
        <f>IF('Net zero activities &amp; levers'!$C$8="Off",('Activity data'!AD12*EF!$H11)*kgtoGg,IF('Net zero activities &amp; levers'!$C$8="On",(('Net zero supporting data'!B139*EF!$H11)+('Net zero supporting data'!B129*'Net zero supporting data'!B149))*kgtoGg,"ERROR"))</f>
        <v>14.369021000318453</v>
      </c>
      <c r="L469" s="100">
        <f>IF('Net zero activities &amp; levers'!$C$8="Off",('Activity data'!AE12*EF!$H11)*kgtoGg,IF('Net zero activities &amp; levers'!$C$8="On",(('Net zero supporting data'!C139*EF!$H11)+('Net zero supporting data'!C129*'Net zero supporting data'!C149))*kgtoGg,"ERROR"))</f>
        <v>14.376867799816345</v>
      </c>
      <c r="M469" s="100">
        <f>IF('Net zero activities &amp; levers'!$C$8="Off",('Activity data'!AF12*EF!$H11)*kgtoGg,IF('Net zero activities &amp; levers'!$C$8="On",(('Net zero supporting data'!D139*EF!$H11)+('Net zero supporting data'!D129*'Net zero supporting data'!D149))*kgtoGg,"ERROR"))</f>
        <v>14.394438291211975</v>
      </c>
      <c r="N469" s="100">
        <f>IF('Net zero activities &amp; levers'!$C$8="Off",('Activity data'!AG12*EF!$H11)*kgtoGg,IF('Net zero activities &amp; levers'!$C$8="On",(('Net zero supporting data'!E139*EF!$H11)+('Net zero supporting data'!E129*'Net zero supporting data'!E149))*kgtoGg,"ERROR"))</f>
        <v>14.420885569469965</v>
      </c>
      <c r="O469" s="100">
        <f>IF('Net zero activities &amp; levers'!$C$8="Off",('Activity data'!AH12*EF!$H11)*kgtoGg,IF('Net zero activities &amp; levers'!$C$8="On",(('Net zero supporting data'!F139*EF!$H11)+('Net zero supporting data'!F129*'Net zero supporting data'!F149))*kgtoGg,"ERROR"))</f>
        <v>14.456563478322018</v>
      </c>
      <c r="P469" s="100">
        <f>IF('Net zero activities &amp; levers'!$C$8="Off",('Activity data'!AI12*EF!$H11)*kgtoGg,IF('Net zero activities &amp; levers'!$C$8="On",(('Net zero supporting data'!G139*EF!$H11)+('Net zero supporting data'!G129*'Net zero supporting data'!G149))*kgtoGg,"ERROR"))</f>
        <v>14.50150987548674</v>
      </c>
      <c r="Q469" s="100">
        <f>IF('Net zero activities &amp; levers'!$C$8="Off",('Activity data'!AJ12*EF!$H11)*kgtoGg,IF('Net zero activities &amp; levers'!$C$8="On",(('Net zero supporting data'!H139*EF!$H11)+('Net zero supporting data'!H129*'Net zero supporting data'!H149))*kgtoGg,"ERROR"))</f>
        <v>14.55157833987502</v>
      </c>
      <c r="R469" s="100">
        <f>IF('Net zero activities &amp; levers'!$C$8="Off",('Activity data'!AK12*EF!$H11)*kgtoGg,IF('Net zero activities &amp; levers'!$C$8="On",(('Net zero supporting data'!I139*EF!$H11)+('Net zero supporting data'!I129*'Net zero supporting data'!I149))*kgtoGg,"ERROR"))</f>
        <v>14.60584116051756</v>
      </c>
      <c r="S469" s="100">
        <f>IF('Net zero activities &amp; levers'!$C$8="Off",('Activity data'!AL12*EF!$H11)*kgtoGg,IF('Net zero activities &amp; levers'!$C$8="On",(('Net zero supporting data'!J139*EF!$H11)+('Net zero supporting data'!J129*'Net zero supporting data'!J149))*kgtoGg,"ERROR"))</f>
        <v>14.656832583577541</v>
      </c>
      <c r="T469" s="100">
        <f>IF('Net zero activities &amp; levers'!$C$8="Off",('Activity data'!AM12*EF!$H11)*kgtoGg,IF('Net zero activities &amp; levers'!$C$8="On",(('Net zero supporting data'!K139*EF!$H11)+('Net zero supporting data'!K129*'Net zero supporting data'!K149))*kgtoGg,"ERROR"))</f>
        <v>14.669328677016049</v>
      </c>
      <c r="U469" s="100">
        <f>IF('Net zero activities &amp; levers'!$C$8="Off",('Activity data'!AN12*EF!$H11)*kgtoGg,IF('Net zero activities &amp; levers'!$C$8="On",(('Net zero supporting data'!L139*EF!$H11)+('Net zero supporting data'!L129*'Net zero supporting data'!L149))*kgtoGg,"ERROR"))</f>
        <v>14.667832330611448</v>
      </c>
      <c r="V469" s="100">
        <f>IF('Net zero activities &amp; levers'!$C$8="Off",('Activity data'!AO12*EF!$H11)*kgtoGg,IF('Net zero activities &amp; levers'!$C$8="On",(('Net zero supporting data'!M139*EF!$H11)+('Net zero supporting data'!M129*'Net zero supporting data'!M149))*kgtoGg,"ERROR"))</f>
        <v>14.652624371516252</v>
      </c>
      <c r="W469" s="100">
        <f>IF('Net zero activities &amp; levers'!$C$8="Off",('Activity data'!AP12*EF!$H11)*kgtoGg,IF('Net zero activities &amp; levers'!$C$8="On",(('Net zero supporting data'!N139*EF!$H11)+('Net zero supporting data'!N129*'Net zero supporting data'!N149))*kgtoGg,"ERROR"))</f>
        <v>14.624106369101527</v>
      </c>
      <c r="X469" s="100">
        <f>IF('Net zero activities &amp; levers'!$C$8="Off",('Activity data'!AQ12*EF!$H11)*kgtoGg,IF('Net zero activities &amp; levers'!$C$8="On",(('Net zero supporting data'!O139*EF!$H11)+('Net zero supporting data'!O129*'Net zero supporting data'!O149))*kgtoGg,"ERROR"))</f>
        <v>14.582004997211786</v>
      </c>
      <c r="Y469" s="100">
        <f>IF('Net zero activities &amp; levers'!$C$8="Off",('Activity data'!AR12*EF!$H11)*kgtoGg,IF('Net zero activities &amp; levers'!$C$8="On",(('Net zero supporting data'!P139*EF!$H11)+('Net zero supporting data'!P129*'Net zero supporting data'!P149))*kgtoGg,"ERROR"))</f>
        <v>14.510469631234949</v>
      </c>
      <c r="Z469" s="100">
        <f>IF('Net zero activities &amp; levers'!$C$8="Off",('Activity data'!AS12*EF!$H11)*kgtoGg,IF('Net zero activities &amp; levers'!$C$8="On",(('Net zero supporting data'!Q139*EF!$H11)+('Net zero supporting data'!Q129*'Net zero supporting data'!Q149))*kgtoGg,"ERROR"))</f>
        <v>14.425453452519115</v>
      </c>
      <c r="AA469" s="100">
        <f>IF('Net zero activities &amp; levers'!$C$8="Off",('Activity data'!AT12*EF!$H11)*kgtoGg,IF('Net zero activities &amp; levers'!$C$8="On",(('Net zero supporting data'!R139*EF!$H11)+('Net zero supporting data'!R129*'Net zero supporting data'!R149))*kgtoGg,"ERROR"))</f>
        <v>14.327266974005745</v>
      </c>
      <c r="AB469" s="100">
        <f>IF('Net zero activities &amp; levers'!$C$8="Off",('Activity data'!AU12*EF!$H11)*kgtoGg,IF('Net zero activities &amp; levers'!$C$8="On",(('Net zero supporting data'!S139*EF!$H11)+('Net zero supporting data'!S129*'Net zero supporting data'!S149))*kgtoGg,"ERROR"))</f>
        <v>14.215726418648353</v>
      </c>
      <c r="AC469" s="100">
        <f>IF('Net zero activities &amp; levers'!$C$8="Off",('Activity data'!AV12*EF!$H11)*kgtoGg,IF('Net zero activities &amp; levers'!$C$8="On",(('Net zero supporting data'!T139*EF!$H11)+('Net zero supporting data'!T129*'Net zero supporting data'!T149))*kgtoGg,"ERROR"))</f>
        <v>14.091125297153893</v>
      </c>
      <c r="AD469" s="100">
        <f>IF('Net zero activities &amp; levers'!$C$8="Off",('Activity data'!AW12*EF!$H11)*kgtoGg,IF('Net zero activities &amp; levers'!$C$8="On",(('Net zero supporting data'!U139*EF!$H11)+('Net zero supporting data'!U129*'Net zero supporting data'!U149))*kgtoGg,"ERROR"))</f>
        <v>14.110349350497174</v>
      </c>
      <c r="AE469" s="100">
        <f>IF('Net zero activities &amp; levers'!$C$8="Off",('Activity data'!AX12*EF!$H11)*kgtoGg,IF('Net zero activities &amp; levers'!$C$8="On",(('Net zero supporting data'!V139*EF!$H11)+('Net zero supporting data'!V129*'Net zero supporting data'!V149))*kgtoGg,"ERROR"))</f>
        <v>14.131595477768766</v>
      </c>
      <c r="AF469" s="100">
        <f>IF('Net zero activities &amp; levers'!$C$8="Off",('Activity data'!AY12*EF!$H11)*kgtoGg,IF('Net zero activities &amp; levers'!$C$8="On",(('Net zero supporting data'!W139*EF!$H11)+('Net zero supporting data'!W129*'Net zero supporting data'!W149))*kgtoGg,"ERROR"))</f>
        <v>14.154672601937822</v>
      </c>
      <c r="AG469" s="100">
        <f>IF('Net zero activities &amp; levers'!$C$8="Off",('Activity data'!AZ12*EF!$H11)*kgtoGg,IF('Net zero activities &amp; levers'!$C$8="On",(('Net zero supporting data'!X139*EF!$H11)+('Net zero supporting data'!X129*'Net zero supporting data'!X149))*kgtoGg,"ERROR"))</f>
        <v>14.17696804715462</v>
      </c>
      <c r="AH469" s="100">
        <f>IF('Net zero activities &amp; levers'!$C$8="Off",('Activity data'!BA12*EF!$H11)*kgtoGg,IF('Net zero activities &amp; levers'!$C$8="On",(('Net zero supporting data'!Y139*EF!$H11)+('Net zero supporting data'!Y129*'Net zero supporting data'!Y149))*kgtoGg,"ERROR"))</f>
        <v>14.081648343033038</v>
      </c>
      <c r="AI469" s="100">
        <f>IF('Net zero activities &amp; levers'!$C$8="Off",('Activity data'!BB12*EF!$H11)*kgtoGg,IF('Net zero activities &amp; levers'!$C$8="On",(('Net zero supporting data'!Z139*EF!$H11)+('Net zero supporting data'!Z129*'Net zero supporting data'!Z149))*kgtoGg,"ERROR"))</f>
        <v>14.095185248172294</v>
      </c>
      <c r="AJ469" s="100">
        <f>IF('Net zero activities &amp; levers'!$C$8="Off",('Activity data'!BC12*EF!$H11)*kgtoGg,IF('Net zero activities &amp; levers'!$C$8="On",(('Net zero supporting data'!AA139*EF!$H11)+('Net zero supporting data'!AA129*'Net zero supporting data'!AA149))*kgtoGg,"ERROR"))</f>
        <v>14.110123290046952</v>
      </c>
      <c r="AK469" s="100">
        <f>IF('Net zero activities &amp; levers'!$C$8="Off",('Activity data'!BD12*EF!$H11)*kgtoGg,IF('Net zero activities &amp; levers'!$C$8="On",(('Net zero supporting data'!AB139*EF!$H11)+('Net zero supporting data'!AB129*'Net zero supporting data'!AB149))*kgtoGg,"ERROR"))</f>
        <v>14.126409534886701</v>
      </c>
      <c r="AL469" s="100">
        <f>IF('Net zero activities &amp; levers'!$C$8="Off",('Activity data'!BE12*EF!$H11)*kgtoGg,IF('Net zero activities &amp; levers'!$C$8="On",(('Net zero supporting data'!AC139*EF!$H11)+('Net zero supporting data'!AC129*'Net zero supporting data'!AC149))*kgtoGg,"ERROR"))</f>
        <v>14.143995140372164</v>
      </c>
      <c r="AM469" s="100">
        <f>IF('Net zero activities &amp; levers'!$C$8="Off",('Activity data'!BF12*EF!$H11)*kgtoGg,IF('Net zero activities &amp; levers'!$C$8="On",(('Net zero supporting data'!AD139*EF!$H11)+('Net zero supporting data'!AD129*'Net zero supporting data'!AD149))*kgtoGg,"ERROR"))</f>
        <v>14.162834967387189</v>
      </c>
      <c r="AN469" s="100">
        <f>IF('Net zero activities &amp; levers'!$C$8="Off",('Activity data'!BG12*EF!$H11)*kgtoGg,IF('Net zero activities &amp; levers'!$C$8="On",(('Net zero supporting data'!AE139*EF!$H11)+('Net zero supporting data'!AE129*'Net zero supporting data'!AE149))*kgtoGg,"ERROR"))</f>
        <v>14.171977952523703</v>
      </c>
      <c r="AO469" s="100">
        <f>IF('Net zero activities &amp; levers'!$C$8="Off",('Activity data'!BH12*EF!$H11)*kgtoGg,IF('Net zero activities &amp; levers'!$C$8="On",(('Net zero supporting data'!AF139*EF!$H11)+('Net zero supporting data'!AF129*'Net zero supporting data'!AF149))*kgtoGg,"ERROR"))</f>
        <v>14.182225986692357</v>
      </c>
      <c r="AP469" s="100">
        <f>IF('Net zero activities &amp; levers'!$C$8="Off",('Activity data'!BI12*EF!$H11)*kgtoGg,IF('Net zero activities &amp; levers'!$C$8="On",(('Net zero supporting data'!AG139*EF!$H11)+('Net zero supporting data'!AG129*'Net zero supporting data'!AG149))*kgtoGg,"ERROR"))</f>
        <v>14.193540611581369</v>
      </c>
      <c r="AQ469" s="100">
        <f>IF('Net zero activities &amp; levers'!$C$8="Off",('Activity data'!BJ12*EF!$H11)*kgtoGg,IF('Net zero activities &amp; levers'!$C$8="On",(('Net zero supporting data'!AH139*EF!$H11)+('Net zero supporting data'!AH129*'Net zero supporting data'!AH149))*kgtoGg,"ERROR"))</f>
        <v>14.205886001107647</v>
      </c>
      <c r="AR469" s="100">
        <f>IF('Net zero activities &amp; levers'!$C$8="Off",('Activity data'!BK12*EF!$H11)*kgtoGg,IF('Net zero activities &amp; levers'!$C$8="On",(('Net zero supporting data'!AI139*EF!$H11)+('Net zero supporting data'!AI129*'Net zero supporting data'!AI149))*kgtoGg,"ERROR"))</f>
        <v>14.219228737796103</v>
      </c>
      <c r="AS469" s="100">
        <f>IF('Net zero activities &amp; levers'!$C$8="Off",('Activity data'!BL12*EF!$H11)*kgtoGg,IF('Net zero activities &amp; levers'!$C$8="On",(('Net zero supporting data'!AJ139*EF!$H11)+('Net zero supporting data'!AJ129*'Net zero supporting data'!AJ149))*kgtoGg,"ERROR"))</f>
        <v>14.222520228633186</v>
      </c>
      <c r="AT469" s="100">
        <f>IF('Net zero activities &amp; levers'!$C$8="Off",('Activity data'!BM12*EF!$H11)*kgtoGg,IF('Net zero activities &amp; levers'!$C$8="On",(('Net zero supporting data'!AK139*EF!$H11)+('Net zero supporting data'!AK129*'Net zero supporting data'!AK149))*kgtoGg,"ERROR"))</f>
        <v>14.226696864620742</v>
      </c>
      <c r="AU469" s="100">
        <f>IF('Net zero activities &amp; levers'!$C$8="Off",('Activity data'!BN12*EF!$H11)*kgtoGg,IF('Net zero activities &amp; levers'!$C$8="On",(('Net zero supporting data'!AL139*EF!$H11)+('Net zero supporting data'!AL129*'Net zero supporting data'!AL149))*kgtoGg,"ERROR"))</f>
        <v>14.231729329767987</v>
      </c>
      <c r="AV469" s="100">
        <f>IF('Net zero activities &amp; levers'!$C$8="Off",('Activity data'!BO12*EF!$H11)*kgtoGg,IF('Net zero activities &amp; levers'!$C$8="On",(('Net zero supporting data'!AM139*EF!$H11)+('Net zero supporting data'!AM129*'Net zero supporting data'!AM149))*kgtoGg,"ERROR"))</f>
        <v>14.237590098245995</v>
      </c>
      <c r="AW469" s="100">
        <f>IF('Net zero activities &amp; levers'!$C$8="Off",('Activity data'!BP12*EF!$H11)*kgtoGg,IF('Net zero activities &amp; levers'!$C$8="On",(('Net zero supporting data'!AN139*EF!$H11)+('Net zero supporting data'!AN129*'Net zero supporting data'!AN149))*kgtoGg,"ERROR"))</f>
        <v>14.244253296721384</v>
      </c>
      <c r="AY469" s="85"/>
    </row>
    <row r="470" spans="1:51" x14ac:dyDescent="0.25">
      <c r="A470" s="102" t="str">
        <f t="shared" si="0"/>
        <v>PQ Goats</v>
      </c>
      <c r="B470" s="102" t="s">
        <v>969</v>
      </c>
      <c r="C470" s="102" t="s">
        <v>153</v>
      </c>
      <c r="D470" t="s">
        <v>15</v>
      </c>
      <c r="E470" t="s">
        <v>16</v>
      </c>
      <c r="F470" t="s">
        <v>19</v>
      </c>
      <c r="G470" t="s">
        <v>122</v>
      </c>
      <c r="H470" t="s">
        <v>1021</v>
      </c>
      <c r="I470" t="s">
        <v>121</v>
      </c>
      <c r="J470" t="s">
        <v>286</v>
      </c>
      <c r="K470" s="100">
        <f>IF('Net zero activities &amp; levers'!$C$8="Off",('Activity data'!AD13*EF!$H12)*kgtoGg,IF('Net zero activities &amp; levers'!$C$8="On",(('Net zero supporting data'!B140*EF!$H12)+('Net zero supporting data'!B130*'Net zero supporting data'!B150))*kgtoGg,"ERROR"))</f>
        <v>15.122912034052119</v>
      </c>
      <c r="L470" s="100">
        <f>IF('Net zero activities &amp; levers'!$C$8="Off",('Activity data'!AE13*EF!$H12)*kgtoGg,IF('Net zero activities &amp; levers'!$C$8="On",(('Net zero supporting data'!C140*EF!$H12)+('Net zero supporting data'!C130*'Net zero supporting data'!C150))*kgtoGg,"ERROR"))</f>
        <v>15.16235617086264</v>
      </c>
      <c r="M470" s="100">
        <f>IF('Net zero activities &amp; levers'!$C$8="Off",('Activity data'!AF13*EF!$H12)*kgtoGg,IF('Net zero activities &amp; levers'!$C$8="On",(('Net zero supporting data'!D140*EF!$H12)+('Net zero supporting data'!D130*'Net zero supporting data'!D150))*kgtoGg,"ERROR"))</f>
        <v>15.214918977175502</v>
      </c>
      <c r="N470" s="100">
        <f>IF('Net zero activities &amp; levers'!$C$8="Off",('Activity data'!AG13*EF!$H12)*kgtoGg,IF('Net zero activities &amp; levers'!$C$8="On",(('Net zero supporting data'!E140*EF!$H12)+('Net zero supporting data'!E130*'Net zero supporting data'!E150))*kgtoGg,"ERROR"))</f>
        <v>15.279431878529646</v>
      </c>
      <c r="O470" s="100">
        <f>IF('Net zero activities &amp; levers'!$C$8="Off",('Activity data'!AH13*EF!$H12)*kgtoGg,IF('Net zero activities &amp; levers'!$C$8="On",(('Net zero supporting data'!F140*EF!$H12)+('Net zero supporting data'!F130*'Net zero supporting data'!F150))*kgtoGg,"ERROR"))</f>
        <v>15.356670108197457</v>
      </c>
      <c r="P470" s="100">
        <f>IF('Net zero activities &amp; levers'!$C$8="Off",('Activity data'!AI13*EF!$H12)*kgtoGg,IF('Net zero activities &amp; levers'!$C$8="On",(('Net zero supporting data'!G140*EF!$H12)+('Net zero supporting data'!G130*'Net zero supporting data'!G150))*kgtoGg,"ERROR"))</f>
        <v>15.446839206530987</v>
      </c>
      <c r="Q470" s="100">
        <f>IF('Net zero activities &amp; levers'!$C$8="Off",('Activity data'!AJ13*EF!$H12)*kgtoGg,IF('Net zero activities &amp; levers'!$C$8="On",(('Net zero supporting data'!H140*EF!$H12)+('Net zero supporting data'!H130*'Net zero supporting data'!H150))*kgtoGg,"ERROR"))</f>
        <v>15.543246595834415</v>
      </c>
      <c r="R470" s="100">
        <f>IF('Net zero activities &amp; levers'!$C$8="Off",('Activity data'!AK13*EF!$H12)*kgtoGg,IF('Net zero activities &amp; levers'!$C$8="On",(('Net zero supporting data'!I140*EF!$H12)+('Net zero supporting data'!I130*'Net zero supporting data'!I150))*kgtoGg,"ERROR"))</f>
        <v>15.644513729476552</v>
      </c>
      <c r="S470" s="100">
        <f>IF('Net zero activities &amp; levers'!$C$8="Off",('Activity data'!AL13*EF!$H12)*kgtoGg,IF('Net zero activities &amp; levers'!$C$8="On",(('Net zero supporting data'!J140*EF!$H12)+('Net zero supporting data'!J130*'Net zero supporting data'!J150))*kgtoGg,"ERROR"))</f>
        <v>15.738586448717601</v>
      </c>
      <c r="T470" s="100">
        <f>IF('Net zero activities &amp; levers'!$C$8="Off",('Activity data'!AM13*EF!$H12)*kgtoGg,IF('Net zero activities &amp; levers'!$C$8="On",(('Net zero supporting data'!K140*EF!$H12)+('Net zero supporting data'!K130*'Net zero supporting data'!K150))*kgtoGg,"ERROR"))</f>
        <v>15.782671791027241</v>
      </c>
      <c r="U470" s="100">
        <f>IF('Net zero activities &amp; levers'!$C$8="Off",('Activity data'!AN13*EF!$H12)*kgtoGg,IF('Net zero activities &amp; levers'!$C$8="On",(('Net zero supporting data'!L140*EF!$H12)+('Net zero supporting data'!L130*'Net zero supporting data'!L150))*kgtoGg,"ERROR"))</f>
        <v>15.831013812582922</v>
      </c>
      <c r="V470" s="100">
        <f>IF('Net zero activities &amp; levers'!$C$8="Off",('Activity data'!AO13*EF!$H12)*kgtoGg,IF('Net zero activities &amp; levers'!$C$8="On",(('Net zero supporting data'!M140*EF!$H12)+('Net zero supporting data'!M130*'Net zero supporting data'!M150))*kgtoGg,"ERROR"))</f>
        <v>15.883673860630685</v>
      </c>
      <c r="W470" s="100">
        <f>IF('Net zero activities &amp; levers'!$C$8="Off",('Activity data'!AP13*EF!$H12)*kgtoGg,IF('Net zero activities &amp; levers'!$C$8="On",(('Net zero supporting data'!N140*EF!$H12)+('Net zero supporting data'!N130*'Net zero supporting data'!N150))*kgtoGg,"ERROR"))</f>
        <v>15.940945806372881</v>
      </c>
      <c r="X470" s="100">
        <f>IF('Net zero activities &amp; levers'!$C$8="Off",('Activity data'!AQ13*EF!$H12)*kgtoGg,IF('Net zero activities &amp; levers'!$C$8="On",(('Net zero supporting data'!O140*EF!$H12)+('Net zero supporting data'!O130*'Net zero supporting data'!O150))*kgtoGg,"ERROR"))</f>
        <v>16.002058548962822</v>
      </c>
      <c r="Y470" s="100">
        <f>IF('Net zero activities &amp; levers'!$C$8="Off",('Activity data'!AR13*EF!$H12)*kgtoGg,IF('Net zero activities &amp; levers'!$C$8="On",(('Net zero supporting data'!P140*EF!$H12)+('Net zero supporting data'!P130*'Net zero supporting data'!P150))*kgtoGg,"ERROR"))</f>
        <v>16.040687609599484</v>
      </c>
      <c r="Z470" s="100">
        <f>IF('Net zero activities &amp; levers'!$C$8="Off",('Activity data'!AS13*EF!$H12)*kgtoGg,IF('Net zero activities &amp; levers'!$C$8="On",(('Net zero supporting data'!Q140*EF!$H12)+('Net zero supporting data'!Q130*'Net zero supporting data'!Q150))*kgtoGg,"ERROR"))</f>
        <v>16.082482288873532</v>
      </c>
      <c r="AA470" s="100">
        <f>IF('Net zero activities &amp; levers'!$C$8="Off",('Activity data'!AT13*EF!$H12)*kgtoGg,IF('Net zero activities &amp; levers'!$C$8="On",(('Net zero supporting data'!R140*EF!$H12)+('Net zero supporting data'!R130*'Net zero supporting data'!R150))*kgtoGg,"ERROR"))</f>
        <v>16.127615494082271</v>
      </c>
      <c r="AB470" s="100">
        <f>IF('Net zero activities &amp; levers'!$C$8="Off",('Activity data'!AU13*EF!$H12)*kgtoGg,IF('Net zero activities &amp; levers'!$C$8="On",(('Net zero supporting data'!S140*EF!$H12)+('Net zero supporting data'!S130*'Net zero supporting data'!S150))*kgtoGg,"ERROR"))</f>
        <v>16.175465875658951</v>
      </c>
      <c r="AC470" s="100">
        <f>IF('Net zero activities &amp; levers'!$C$8="Off",('Activity data'!AV13*EF!$H12)*kgtoGg,IF('Net zero activities &amp; levers'!$C$8="On",(('Net zero supporting data'!T140*EF!$H12)+('Net zero supporting data'!T130*'Net zero supporting data'!T150))*kgtoGg,"ERROR"))</f>
        <v>16.226224840403397</v>
      </c>
      <c r="AD470" s="100">
        <f>IF('Net zero activities &amp; levers'!$C$8="Off",('Activity data'!AW13*EF!$H12)*kgtoGg,IF('Net zero activities &amp; levers'!$C$8="On",(('Net zero supporting data'!U140*EF!$H12)+('Net zero supporting data'!U130*'Net zero supporting data'!U150))*kgtoGg,"ERROR"))</f>
        <v>16.168243026354983</v>
      </c>
      <c r="AE470" s="100">
        <f>IF('Net zero activities &amp; levers'!$C$8="Off",('Activity data'!AX13*EF!$H12)*kgtoGg,IF('Net zero activities &amp; levers'!$C$8="On",(('Net zero supporting data'!V140*EF!$H12)+('Net zero supporting data'!V130*'Net zero supporting data'!V150))*kgtoGg,"ERROR"))</f>
        <v>16.112665987814566</v>
      </c>
      <c r="AF470" s="100">
        <f>IF('Net zero activities &amp; levers'!$C$8="Off",('Activity data'!AY13*EF!$H12)*kgtoGg,IF('Net zero activities &amp; levers'!$C$8="On",(('Net zero supporting data'!W140*EF!$H12)+('Net zero supporting data'!W130*'Net zero supporting data'!W150))*kgtoGg,"ERROR"))</f>
        <v>16.05914677955478</v>
      </c>
      <c r="AG470" s="100">
        <f>IF('Net zero activities &amp; levers'!$C$8="Off",('Activity data'!AZ13*EF!$H12)*kgtoGg,IF('Net zero activities &amp; levers'!$C$8="On",(('Net zero supporting data'!X140*EF!$H12)+('Net zero supporting data'!X130*'Net zero supporting data'!X150))*kgtoGg,"ERROR"))</f>
        <v>16.003380168239076</v>
      </c>
      <c r="AH470" s="100">
        <f>IF('Net zero activities &amp; levers'!$C$8="Off",('Activity data'!BA13*EF!$H12)*kgtoGg,IF('Net zero activities &amp; levers'!$C$8="On",(('Net zero supporting data'!Y140*EF!$H12)+('Net zero supporting data'!Y130*'Net zero supporting data'!Y150))*kgtoGg,"ERROR"))</f>
        <v>15.755593258717346</v>
      </c>
      <c r="AI470" s="100">
        <f>IF('Net zero activities &amp; levers'!$C$8="Off",('Activity data'!BB13*EF!$H12)*kgtoGg,IF('Net zero activities &amp; levers'!$C$8="On",(('Net zero supporting data'!Z140*EF!$H12)+('Net zero supporting data'!Z130*'Net zero supporting data'!Z150))*kgtoGg,"ERROR"))</f>
        <v>15.685387265852475</v>
      </c>
      <c r="AJ470" s="100">
        <f>IF('Net zero activities &amp; levers'!$C$8="Off",('Activity data'!BC13*EF!$H12)*kgtoGg,IF('Net zero activities &amp; levers'!$C$8="On",(('Net zero supporting data'!AA140*EF!$H12)+('Net zero supporting data'!AA130*'Net zero supporting data'!AA150))*kgtoGg,"ERROR"))</f>
        <v>15.616789599275808</v>
      </c>
      <c r="AK470" s="100">
        <f>IF('Net zero activities &amp; levers'!$C$8="Off",('Activity data'!BD13*EF!$H12)*kgtoGg,IF('Net zero activities &amp; levers'!$C$8="On",(('Net zero supporting data'!AB140*EF!$H12)+('Net zero supporting data'!AB130*'Net zero supporting data'!AB150))*kgtoGg,"ERROR"))</f>
        <v>15.549693201726555</v>
      </c>
      <c r="AL470" s="100">
        <f>IF('Net zero activities &amp; levers'!$C$8="Off",('Activity data'!BE13*EF!$H12)*kgtoGg,IF('Net zero activities &amp; levers'!$C$8="On",(('Net zero supporting data'!AC140*EF!$H12)+('Net zero supporting data'!AC130*'Net zero supporting data'!AC150))*kgtoGg,"ERROR"))</f>
        <v>15.483998527196547</v>
      </c>
      <c r="AM470" s="100">
        <f>IF('Net zero activities &amp; levers'!$C$8="Off",('Activity data'!BF13*EF!$H12)*kgtoGg,IF('Net zero activities &amp; levers'!$C$8="On",(('Net zero supporting data'!AD140*EF!$H12)+('Net zero supporting data'!AD130*'Net zero supporting data'!AD150))*kgtoGg,"ERROR"))</f>
        <v>15.419612822878383</v>
      </c>
      <c r="AN470" s="100">
        <f>IF('Net zero activities &amp; levers'!$C$8="Off",('Activity data'!BG13*EF!$H12)*kgtoGg,IF('Net zero activities &amp; levers'!$C$8="On",(('Net zero supporting data'!AE140*EF!$H12)+('Net zero supporting data'!AE130*'Net zero supporting data'!AE150))*kgtoGg,"ERROR"))</f>
        <v>15.43124935020712</v>
      </c>
      <c r="AO470" s="100">
        <f>IF('Net zero activities &amp; levers'!$C$8="Off",('Activity data'!BH13*EF!$H12)*kgtoGg,IF('Net zero activities &amp; levers'!$C$8="On",(('Net zero supporting data'!AF140*EF!$H12)+('Net zero supporting data'!AF130*'Net zero supporting data'!AF150))*kgtoGg,"ERROR"))</f>
        <v>15.444338150662317</v>
      </c>
      <c r="AP470" s="100">
        <f>IF('Net zero activities &amp; levers'!$C$8="Off",('Activity data'!BI13*EF!$H12)*kgtoGg,IF('Net zero activities &amp; levers'!$C$8="On",(('Net zero supporting data'!AG140*EF!$H12)+('Net zero supporting data'!AG130*'Net zero supporting data'!AG150))*kgtoGg,"ERROR"))</f>
        <v>15.458824473617199</v>
      </c>
      <c r="AQ470" s="100">
        <f>IF('Net zero activities &amp; levers'!$C$8="Off",('Activity data'!BJ13*EF!$H12)*kgtoGg,IF('Net zero activities &amp; levers'!$C$8="On",(('Net zero supporting data'!AH140*EF!$H12)+('Net zero supporting data'!AH130*'Net zero supporting data'!AH150))*kgtoGg,"ERROR"))</f>
        <v>15.474657324466746</v>
      </c>
      <c r="AR470" s="100">
        <f>IF('Net zero activities &amp; levers'!$C$8="Off",('Activity data'!BK13*EF!$H12)*kgtoGg,IF('Net zero activities &amp; levers'!$C$8="On",(('Net zero supporting data'!AI140*EF!$H12)+('Net zero supporting data'!AI130*'Net zero supporting data'!AI150))*kgtoGg,"ERROR"))</f>
        <v>15.491789142838496</v>
      </c>
      <c r="AS470" s="100">
        <f>IF('Net zero activities &amp; levers'!$C$8="Off",('Activity data'!BL13*EF!$H12)*kgtoGg,IF('Net zero activities &amp; levers'!$C$8="On",(('Net zero supporting data'!AJ140*EF!$H12)+('Net zero supporting data'!AJ130*'Net zero supporting data'!AJ150))*kgtoGg,"ERROR"))</f>
        <v>15.493125766304614</v>
      </c>
      <c r="AT470" s="100">
        <f>IF('Net zero activities &amp; levers'!$C$8="Off",('Activity data'!BM13*EF!$H12)*kgtoGg,IF('Net zero activities &amp; levers'!$C$8="On",(('Net zero supporting data'!AK140*EF!$H12)+('Net zero supporting data'!AK130*'Net zero supporting data'!AK150))*kgtoGg,"ERROR"))</f>
        <v>15.495651091999266</v>
      </c>
      <c r="AU470" s="100">
        <f>IF('Net zero activities &amp; levers'!$C$8="Off",('Activity data'!BN13*EF!$H12)*kgtoGg,IF('Net zero activities &amp; levers'!$C$8="On",(('Net zero supporting data'!AL140*EF!$H12)+('Net zero supporting data'!AL130*'Net zero supporting data'!AL150))*kgtoGg,"ERROR"))</f>
        <v>15.499322429979872</v>
      </c>
      <c r="AV470" s="100">
        <f>IF('Net zero activities &amp; levers'!$C$8="Off",('Activity data'!BO13*EF!$H12)*kgtoGg,IF('Net zero activities &amp; levers'!$C$8="On",(('Net zero supporting data'!AM140*EF!$H12)+('Net zero supporting data'!AM130*'Net zero supporting data'!AM150))*kgtoGg,"ERROR"))</f>
        <v>15.504099703305199</v>
      </c>
      <c r="AW470" s="100">
        <f>IF('Net zero activities &amp; levers'!$C$8="Off",('Activity data'!BP13*EF!$H12)*kgtoGg,IF('Net zero activities &amp; levers'!$C$8="On",(('Net zero supporting data'!AN140*EF!$H12)+('Net zero supporting data'!AN130*'Net zero supporting data'!AN150))*kgtoGg,"ERROR"))</f>
        <v>15.509945245600184</v>
      </c>
      <c r="AY470" s="85"/>
    </row>
    <row r="471" spans="1:51" x14ac:dyDescent="0.25">
      <c r="A471" s="102" t="str">
        <f t="shared" si="0"/>
        <v>PQ Goats</v>
      </c>
      <c r="B471" s="102" t="s">
        <v>969</v>
      </c>
      <c r="C471" s="102" t="s">
        <v>153</v>
      </c>
      <c r="D471" t="s">
        <v>15</v>
      </c>
      <c r="E471" t="s">
        <v>16</v>
      </c>
      <c r="F471" t="s">
        <v>19</v>
      </c>
      <c r="G471" t="s">
        <v>123</v>
      </c>
      <c r="H471" t="s">
        <v>1021</v>
      </c>
      <c r="I471" t="s">
        <v>121</v>
      </c>
      <c r="J471" t="s">
        <v>286</v>
      </c>
      <c r="K471" s="100">
        <f>IF('Net zero activities &amp; levers'!$C$8="Off",('Activity data'!AD14*EF!$H13)*kgtoGg,IF('Net zero activities &amp; levers'!$C$8="On",(('Net zero supporting data'!B141*EF!$H13)+('Net zero supporting data'!B131*'Net zero supporting data'!B151))*kgtoGg,"ERROR"))</f>
        <v>22.380358537009105</v>
      </c>
      <c r="L471" s="100">
        <f>IF('Net zero activities &amp; levers'!$C$8="Off",('Activity data'!AE14*EF!$H13)*kgtoGg,IF('Net zero activities &amp; levers'!$C$8="On",(('Net zero supporting data'!C141*EF!$H13)+('Net zero supporting data'!C131*'Net zero supporting data'!C151))*kgtoGg,"ERROR"))</f>
        <v>22.438731813400228</v>
      </c>
      <c r="M471" s="100">
        <f>IF('Net zero activities &amp; levers'!$C$8="Off",('Activity data'!AF14*EF!$H13)*kgtoGg,IF('Net zero activities &amp; levers'!$C$8="On",(('Net zero supporting data'!D141*EF!$H13)+('Net zero supporting data'!D131*'Net zero supporting data'!D151))*kgtoGg,"ERROR"))</f>
        <v>22.516519374971988</v>
      </c>
      <c r="N471" s="100">
        <f>IF('Net zero activities &amp; levers'!$C$8="Off",('Activity data'!AG14*EF!$H13)*kgtoGg,IF('Net zero activities &amp; levers'!$C$8="On",(('Net zero supporting data'!E141*EF!$H13)+('Net zero supporting data'!E131*'Net zero supporting data'!E151))*kgtoGg,"ERROR"))</f>
        <v>22.611991851391704</v>
      </c>
      <c r="O471" s="100">
        <f>IF('Net zero activities &amp; levers'!$C$8="Off",('Activity data'!AH14*EF!$H13)*kgtoGg,IF('Net zero activities &amp; levers'!$C$8="On",(('Net zero supporting data'!F141*EF!$H13)+('Net zero supporting data'!F131*'Net zero supporting data'!F151))*kgtoGg,"ERROR"))</f>
        <v>22.726296508380855</v>
      </c>
      <c r="P471" s="100">
        <f>IF('Net zero activities &amp; levers'!$C$8="Off",('Activity data'!AI14*EF!$H13)*kgtoGg,IF('Net zero activities &amp; levers'!$C$8="On",(('Net zero supporting data'!G141*EF!$H13)+('Net zero supporting data'!G131*'Net zero supporting data'!G151))*kgtoGg,"ERROR"))</f>
        <v>22.859737524576634</v>
      </c>
      <c r="Q471" s="100">
        <f>IF('Net zero activities &amp; levers'!$C$8="Off",('Activity data'!AJ14*EF!$H13)*kgtoGg,IF('Net zero activities &amp; levers'!$C$8="On",(('Net zero supporting data'!H141*EF!$H13)+('Net zero supporting data'!H131*'Net zero supporting data'!H151))*kgtoGg,"ERROR"))</f>
        <v>23.002410571498377</v>
      </c>
      <c r="R471" s="100">
        <f>IF('Net zero activities &amp; levers'!$C$8="Off",('Activity data'!AK14*EF!$H13)*kgtoGg,IF('Net zero activities &amp; levers'!$C$8="On",(('Net zero supporting data'!I141*EF!$H13)+('Net zero supporting data'!I131*'Net zero supporting data'!I151))*kgtoGg,"ERROR"))</f>
        <v>23.152275541540064</v>
      </c>
      <c r="S471" s="100">
        <f>IF('Net zero activities &amp; levers'!$C$8="Off",('Activity data'!AL14*EF!$H13)*kgtoGg,IF('Net zero activities &amp; levers'!$C$8="On",(('Net zero supporting data'!J141*EF!$H13)+('Net zero supporting data'!J131*'Net zero supporting data'!J151))*kgtoGg,"ERROR"))</f>
        <v>23.291493516254551</v>
      </c>
      <c r="T471" s="100">
        <f>IF('Net zero activities &amp; levers'!$C$8="Off",('Activity data'!AM14*EF!$H13)*kgtoGg,IF('Net zero activities &amp; levers'!$C$8="On",(('Net zero supporting data'!K141*EF!$H13)+('Net zero supporting data'!K131*'Net zero supporting data'!K151))*kgtoGg,"ERROR"))</f>
        <v>23.356735300700223</v>
      </c>
      <c r="U471" s="100">
        <f>IF('Net zero activities &amp; levers'!$C$8="Off",('Activity data'!AN14*EF!$H13)*kgtoGg,IF('Net zero activities &amp; levers'!$C$8="On",(('Net zero supporting data'!L141*EF!$H13)+('Net zero supporting data'!L131*'Net zero supporting data'!L151))*kgtoGg,"ERROR"))</f>
        <v>23.428276533789713</v>
      </c>
      <c r="V471" s="100">
        <f>IF('Net zero activities &amp; levers'!$C$8="Off",('Activity data'!AO14*EF!$H13)*kgtoGg,IF('Net zero activities &amp; levers'!$C$8="On",(('Net zero supporting data'!M141*EF!$H13)+('Net zero supporting data'!M131*'Net zero supporting data'!M151))*kgtoGg,"ERROR"))</f>
        <v>23.506208003154299</v>
      </c>
      <c r="W471" s="100">
        <f>IF('Net zero activities &amp; levers'!$C$8="Off",('Activity data'!AP14*EF!$H13)*kgtoGg,IF('Net zero activities &amp; levers'!$C$8="On",(('Net zero supporting data'!N141*EF!$H13)+('Net zero supporting data'!N131*'Net zero supporting data'!N151))*kgtoGg,"ERROR"))</f>
        <v>23.590964608028823</v>
      </c>
      <c r="X471" s="100">
        <f>IF('Net zero activities &amp; levers'!$C$8="Off",('Activity data'!AQ14*EF!$H13)*kgtoGg,IF('Net zero activities &amp; levers'!$C$8="On",(('Net zero supporting data'!O141*EF!$H13)+('Net zero supporting data'!O131*'Net zero supporting data'!O151))*kgtoGg,"ERROR"))</f>
        <v>23.681405198257956</v>
      </c>
      <c r="Y471" s="100">
        <f>IF('Net zero activities &amp; levers'!$C$8="Off",('Activity data'!AR14*EF!$H13)*kgtoGg,IF('Net zero activities &amp; levers'!$C$8="On",(('Net zero supporting data'!P141*EF!$H13)+('Net zero supporting data'!P131*'Net zero supporting data'!P151))*kgtoGg,"ERROR"))</f>
        <v>23.738572245520402</v>
      </c>
      <c r="Z471" s="100">
        <f>IF('Net zero activities &amp; levers'!$C$8="Off",('Activity data'!AS14*EF!$H13)*kgtoGg,IF('Net zero activities &amp; levers'!$C$8="On",(('Net zero supporting data'!Q141*EF!$H13)+('Net zero supporting data'!Q131*'Net zero supporting data'!Q151))*kgtoGg,"ERROR"))</f>
        <v>23.800424083644316</v>
      </c>
      <c r="AA471" s="100">
        <f>IF('Net zero activities &amp; levers'!$C$8="Off",('Activity data'!AT14*EF!$H13)*kgtoGg,IF('Net zero activities &amp; levers'!$C$8="On",(('Net zero supporting data'!R141*EF!$H13)+('Net zero supporting data'!R131*'Net zero supporting data'!R151))*kgtoGg,"ERROR"))</f>
        <v>23.8672165976933</v>
      </c>
      <c r="AB471" s="100">
        <f>IF('Net zero activities &amp; levers'!$C$8="Off",('Activity data'!AU14*EF!$H13)*kgtoGg,IF('Net zero activities &amp; levers'!$C$8="On",(('Net zero supporting data'!S141*EF!$H13)+('Net zero supporting data'!S131*'Net zero supporting data'!S151))*kgtoGg,"ERROR"))</f>
        <v>23.938030254045156</v>
      </c>
      <c r="AC471" s="100">
        <f>IF('Net zero activities &amp; levers'!$C$8="Off",('Activity data'!AV14*EF!$H13)*kgtoGg,IF('Net zero activities &amp; levers'!$C$8="On",(('Net zero supporting data'!T141*EF!$H13)+('Net zero supporting data'!T131*'Net zero supporting data'!T151))*kgtoGg,"ERROR"))</f>
        <v>24.013148315129573</v>
      </c>
      <c r="AD471" s="100">
        <f>IF('Net zero activities &amp; levers'!$C$8="Off",('Activity data'!AW14*EF!$H13)*kgtoGg,IF('Net zero activities &amp; levers'!$C$8="On",(('Net zero supporting data'!U141*EF!$H13)+('Net zero supporting data'!U131*'Net zero supporting data'!U151))*kgtoGg,"ERROR"))</f>
        <v>23.994843417654565</v>
      </c>
      <c r="AE471" s="100">
        <f>IF('Net zero activities &amp; levers'!$C$8="Off",('Activity data'!AX14*EF!$H13)*kgtoGg,IF('Net zero activities &amp; levers'!$C$8="On",(('Net zero supporting data'!V141*EF!$H13)+('Net zero supporting data'!V131*'Net zero supporting data'!V151))*kgtoGg,"ERROR"))</f>
        <v>23.980396694716923</v>
      </c>
      <c r="AF471" s="100">
        <f>IF('Net zero activities &amp; levers'!$C$8="Off",('Activity data'!AY14*EF!$H13)*kgtoGg,IF('Net zero activities &amp; levers'!$C$8="On",(('Net zero supporting data'!W141*EF!$H13)+('Net zero supporting data'!W131*'Net zero supporting data'!W151))*kgtoGg,"ERROR"))</f>
        <v>23.969325896326666</v>
      </c>
      <c r="AG471" s="100">
        <f>IF('Net zero activities &amp; levers'!$C$8="Off",('Activity data'!AZ14*EF!$H13)*kgtoGg,IF('Net zero activities &amp; levers'!$C$8="On",(('Net zero supporting data'!X141*EF!$H13)+('Net zero supporting data'!X131*'Net zero supporting data'!X151))*kgtoGg,"ERROR"))</f>
        <v>23.9552184930964</v>
      </c>
      <c r="AH471" s="100">
        <f>IF('Net zero activities &amp; levers'!$C$8="Off",('Activity data'!BA14*EF!$H13)*kgtoGg,IF('Net zero activities &amp; levers'!$C$8="On",(('Net zero supporting data'!Y141*EF!$H13)+('Net zero supporting data'!Y131*'Net zero supporting data'!Y151))*kgtoGg,"ERROR"))</f>
        <v>23.653153307711278</v>
      </c>
      <c r="AI471" s="100">
        <f>IF('Net zero activities &amp; levers'!$C$8="Off",('Activity data'!BB14*EF!$H13)*kgtoGg,IF('Net zero activities &amp; levers'!$C$8="On",(('Net zero supporting data'!Z141*EF!$H13)+('Net zero supporting data'!Z131*'Net zero supporting data'!Z151))*kgtoGg,"ERROR"))</f>
        <v>23.617088650983124</v>
      </c>
      <c r="AJ471" s="100">
        <f>IF('Net zero activities &amp; levers'!$C$8="Off",('Activity data'!BC14*EF!$H13)*kgtoGg,IF('Net zero activities &amp; levers'!$C$8="On",(('Net zero supporting data'!AA141*EF!$H13)+('Net zero supporting data'!AA131*'Net zero supporting data'!AA151))*kgtoGg,"ERROR"))</f>
        <v>23.583638328697464</v>
      </c>
      <c r="AK471" s="100">
        <f>IF('Net zero activities &amp; levers'!$C$8="Off",('Activity data'!BD14*EF!$H13)*kgtoGg,IF('Net zero activities &amp; levers'!$C$8="On",(('Net zero supporting data'!AB141*EF!$H13)+('Net zero supporting data'!AB131*'Net zero supporting data'!AB151))*kgtoGg,"ERROR"))</f>
        <v>23.552665283772349</v>
      </c>
      <c r="AL471" s="100">
        <f>IF('Net zero activities &amp; levers'!$C$8="Off",('Activity data'!BE14*EF!$H13)*kgtoGg,IF('Net zero activities &amp; levers'!$C$8="On",(('Net zero supporting data'!AC141*EF!$H13)+('Net zero supporting data'!AC131*'Net zero supporting data'!AC151))*kgtoGg,"ERROR"))</f>
        <v>23.524042503477133</v>
      </c>
      <c r="AM471" s="100">
        <f>IF('Net zero activities &amp; levers'!$C$8="Off",('Activity data'!BF14*EF!$H13)*kgtoGg,IF('Net zero activities &amp; levers'!$C$8="On",(('Net zero supporting data'!AD141*EF!$H13)+('Net zero supporting data'!AD131*'Net zero supporting data'!AD151))*kgtoGg,"ERROR"))</f>
        <v>23.497652058545647</v>
      </c>
      <c r="AN471" s="100">
        <f>IF('Net zero activities &amp; levers'!$C$8="Off",('Activity data'!BG14*EF!$H13)*kgtoGg,IF('Net zero activities &amp; levers'!$C$8="On",(('Net zero supporting data'!AE141*EF!$H13)+('Net zero supporting data'!AE131*'Net zero supporting data'!AE151))*kgtoGg,"ERROR"))</f>
        <v>23.515384739221957</v>
      </c>
      <c r="AO471" s="100">
        <f>IF('Net zero activities &amp; levers'!$C$8="Off",('Activity data'!BH14*EF!$H13)*kgtoGg,IF('Net zero activities &amp; levers'!$C$8="On",(('Net zero supporting data'!AF141*EF!$H13)+('Net zero supporting data'!AF131*'Net zero supporting data'!AF151))*kgtoGg,"ERROR"))</f>
        <v>23.535330511044691</v>
      </c>
      <c r="AP471" s="100">
        <f>IF('Net zero activities &amp; levers'!$C$8="Off",('Activity data'!BI14*EF!$H13)*kgtoGg,IF('Net zero activities &amp; levers'!$C$8="On",(('Net zero supporting data'!AG141*EF!$H13)+('Net zero supporting data'!AG131*'Net zero supporting data'!AG151))*kgtoGg,"ERROR"))</f>
        <v>23.557405940584434</v>
      </c>
      <c r="AQ471" s="100">
        <f>IF('Net zero activities &amp; levers'!$C$8="Off",('Activity data'!BJ14*EF!$H13)*kgtoGg,IF('Net zero activities &amp; levers'!$C$8="On",(('Net zero supporting data'!AH141*EF!$H13)+('Net zero supporting data'!AH131*'Net zero supporting data'!AH151))*kgtoGg,"ERROR"))</f>
        <v>23.581533318141247</v>
      </c>
      <c r="AR471" s="100">
        <f>IF('Net zero activities &amp; levers'!$C$8="Off",('Activity data'!BK14*EF!$H13)*kgtoGg,IF('Net zero activities &amp; levers'!$C$8="On",(('Net zero supporting data'!AI141*EF!$H13)+('Net zero supporting data'!AI131*'Net zero supporting data'!AI151))*kgtoGg,"ERROR"))</f>
        <v>23.607640167376289</v>
      </c>
      <c r="AS471" s="100">
        <f>IF('Net zero activities &amp; levers'!$C$8="Off",('Activity data'!BL14*EF!$H13)*kgtoGg,IF('Net zero activities &amp; levers'!$C$8="On",(('Net zero supporting data'!AJ141*EF!$H13)+('Net zero supporting data'!AJ131*'Net zero supporting data'!AJ151))*kgtoGg,"ERROR"))</f>
        <v>23.609677022224776</v>
      </c>
      <c r="AT471" s="100">
        <f>IF('Net zero activities &amp; levers'!$C$8="Off",('Activity data'!BM14*EF!$H13)*kgtoGg,IF('Net zero activities &amp; levers'!$C$8="On",(('Net zero supporting data'!AK141*EF!$H13)+('Net zero supporting data'!AK131*'Net zero supporting data'!AK151))*kgtoGg,"ERROR"))</f>
        <v>23.613525317586607</v>
      </c>
      <c r="AU471" s="100">
        <f>IF('Net zero activities &amp; levers'!$C$8="Off",('Activity data'!BN14*EF!$H13)*kgtoGg,IF('Net zero activities &amp; levers'!$C$8="On",(('Net zero supporting data'!AL141*EF!$H13)+('Net zero supporting data'!AL131*'Net zero supporting data'!AL151))*kgtoGg,"ERROR"))</f>
        <v>23.619119999077547</v>
      </c>
      <c r="AV471" s="100">
        <f>IF('Net zero activities &amp; levers'!$C$8="Off",('Activity data'!BO14*EF!$H13)*kgtoGg,IF('Net zero activities &amp; levers'!$C$8="On",(('Net zero supporting data'!AM141*EF!$H13)+('Net zero supporting data'!AM131*'Net zero supporting data'!AM151))*kgtoGg,"ERROR"))</f>
        <v>23.626399994215976</v>
      </c>
      <c r="AW471" s="100">
        <f>IF('Net zero activities &amp; levers'!$C$8="Off",('Activity data'!BP14*EF!$H13)*kgtoGg,IF('Net zero activities &amp; levers'!$C$8="On",(('Net zero supporting data'!AN141*EF!$H13)+('Net zero supporting data'!AN131*'Net zero supporting data'!AN151))*kgtoGg,"ERROR"))</f>
        <v>23.635307903935818</v>
      </c>
      <c r="AY471" s="85"/>
    </row>
    <row r="472" spans="1:51" x14ac:dyDescent="0.25">
      <c r="A472" s="102" t="str">
        <f t="shared" ref="A472:A611" si="108">B472&amp;" "&amp;C472</f>
        <v>PQ Horses</v>
      </c>
      <c r="B472" s="102" t="s">
        <v>969</v>
      </c>
      <c r="C472" s="102" t="s">
        <v>3</v>
      </c>
      <c r="D472" t="s">
        <v>15</v>
      </c>
      <c r="E472" t="s">
        <v>16</v>
      </c>
      <c r="F472" t="s">
        <v>20</v>
      </c>
      <c r="G472" t="s">
        <v>3</v>
      </c>
      <c r="H472" t="s">
        <v>1021</v>
      </c>
      <c r="I472" t="s">
        <v>121</v>
      </c>
      <c r="J472" t="s">
        <v>286</v>
      </c>
      <c r="K472" s="28">
        <f>K1389</f>
        <v>5.5696427744330439</v>
      </c>
      <c r="L472" s="28">
        <f t="shared" ref="L472:AW479" si="109">L1389</f>
        <v>5.6022840873497932</v>
      </c>
      <c r="M472" s="28">
        <f t="shared" si="109"/>
        <v>5.6103260601490881</v>
      </c>
      <c r="N472" s="28">
        <f t="shared" si="109"/>
        <v>5.5857580588048208</v>
      </c>
      <c r="O472" s="28">
        <f t="shared" si="109"/>
        <v>5.559765331848693</v>
      </c>
      <c r="P472" s="28">
        <f t="shared" si="109"/>
        <v>5.5473985576087426</v>
      </c>
      <c r="Q472" s="28">
        <f t="shared" si="109"/>
        <v>5.5391504700870771</v>
      </c>
      <c r="R472" s="28">
        <f t="shared" si="109"/>
        <v>5.4993657963463365</v>
      </c>
      <c r="S472" s="28">
        <f t="shared" si="109"/>
        <v>5.1779141846798922</v>
      </c>
      <c r="T472" s="28">
        <f t="shared" si="109"/>
        <v>5.2234365031656678</v>
      </c>
      <c r="U472" s="28">
        <f t="shared" si="109"/>
        <v>5.2607139869862687</v>
      </c>
      <c r="V472" s="28">
        <f t="shared" si="109"/>
        <v>5.2972378917474705</v>
      </c>
      <c r="W472" s="28">
        <f t="shared" si="109"/>
        <v>5.3445893517249541</v>
      </c>
      <c r="X472" s="28">
        <f t="shared" si="109"/>
        <v>5.391074742094033</v>
      </c>
      <c r="Y472" s="28">
        <f t="shared" si="109"/>
        <v>5.4443279456237095</v>
      </c>
      <c r="Z472" s="28">
        <f t="shared" si="109"/>
        <v>5.4941146702747297</v>
      </c>
      <c r="AA472" s="28">
        <f t="shared" si="109"/>
        <v>5.5476702009922301</v>
      </c>
      <c r="AB472" s="28">
        <f t="shared" si="109"/>
        <v>5.5951924858009336</v>
      </c>
      <c r="AC472" s="28">
        <f t="shared" si="109"/>
        <v>5.6435970948645044</v>
      </c>
      <c r="AD472" s="28">
        <f t="shared" si="109"/>
        <v>5.7106381367284076</v>
      </c>
      <c r="AE472" s="28">
        <f t="shared" si="109"/>
        <v>5.7837954436426573</v>
      </c>
      <c r="AF472" s="28">
        <f t="shared" si="109"/>
        <v>5.8590224803991617</v>
      </c>
      <c r="AG472" s="28">
        <f t="shared" si="109"/>
        <v>5.8483213454344947</v>
      </c>
      <c r="AH472" s="28">
        <f t="shared" si="109"/>
        <v>1.7304204380446728</v>
      </c>
      <c r="AI472" s="28">
        <f t="shared" si="109"/>
        <v>1.7304204380446728</v>
      </c>
      <c r="AJ472" s="28">
        <f t="shared" si="109"/>
        <v>1.7304204380446728</v>
      </c>
      <c r="AK472" s="28">
        <f t="shared" si="109"/>
        <v>1.7304204380446728</v>
      </c>
      <c r="AL472" s="28">
        <f t="shared" si="109"/>
        <v>1.7304204380446728</v>
      </c>
      <c r="AM472" s="28">
        <f t="shared" si="109"/>
        <v>1.7304204380446728</v>
      </c>
      <c r="AN472" s="28">
        <f t="shared" si="109"/>
        <v>1.7304204380446728</v>
      </c>
      <c r="AO472" s="28">
        <f t="shared" si="109"/>
        <v>1.7304204380446728</v>
      </c>
      <c r="AP472" s="28">
        <f t="shared" si="109"/>
        <v>1.7304204380446728</v>
      </c>
      <c r="AQ472" s="28">
        <f t="shared" si="109"/>
        <v>1.7304204380446728</v>
      </c>
      <c r="AR472" s="28">
        <f t="shared" si="109"/>
        <v>1.7304204380446728</v>
      </c>
      <c r="AS472" s="28">
        <f t="shared" si="109"/>
        <v>1.7304204380446728</v>
      </c>
      <c r="AT472" s="28">
        <f t="shared" si="109"/>
        <v>1.7304204380446728</v>
      </c>
      <c r="AU472" s="28">
        <f t="shared" si="109"/>
        <v>1.7304204380446728</v>
      </c>
      <c r="AV472" s="28">
        <f t="shared" si="109"/>
        <v>1.7304204380446728</v>
      </c>
      <c r="AW472" s="28">
        <f t="shared" si="109"/>
        <v>1.7304204380446728</v>
      </c>
      <c r="AY472" s="85"/>
    </row>
    <row r="473" spans="1:51" x14ac:dyDescent="0.25">
      <c r="A473" s="102" t="str">
        <f t="shared" si="108"/>
        <v>PQ Mules&amp;Asses</v>
      </c>
      <c r="B473" s="102" t="s">
        <v>969</v>
      </c>
      <c r="C473" s="102" t="s">
        <v>1324</v>
      </c>
      <c r="D473" t="s">
        <v>15</v>
      </c>
      <c r="E473" t="s">
        <v>16</v>
      </c>
      <c r="F473" t="s">
        <v>140</v>
      </c>
      <c r="G473" t="s">
        <v>124</v>
      </c>
      <c r="H473" t="s">
        <v>1021</v>
      </c>
      <c r="I473" t="s">
        <v>121</v>
      </c>
      <c r="J473" t="s">
        <v>286</v>
      </c>
      <c r="K473" s="28">
        <f t="shared" ref="K473:Z511" si="110">K1390</f>
        <v>1.67</v>
      </c>
      <c r="L473" s="28">
        <f t="shared" si="110"/>
        <v>1.67</v>
      </c>
      <c r="M473" s="28">
        <f t="shared" si="110"/>
        <v>1.67</v>
      </c>
      <c r="N473" s="28">
        <f t="shared" si="110"/>
        <v>1.67</v>
      </c>
      <c r="O473" s="28">
        <f t="shared" si="110"/>
        <v>1.67</v>
      </c>
      <c r="P473" s="28">
        <f t="shared" si="110"/>
        <v>1.67</v>
      </c>
      <c r="Q473" s="28">
        <f t="shared" si="110"/>
        <v>1.67</v>
      </c>
      <c r="R473" s="28">
        <f t="shared" si="110"/>
        <v>1.67</v>
      </c>
      <c r="S473" s="28">
        <f t="shared" si="110"/>
        <v>1.67</v>
      </c>
      <c r="T473" s="28">
        <f t="shared" si="110"/>
        <v>1.67</v>
      </c>
      <c r="U473" s="28">
        <f t="shared" si="110"/>
        <v>1.67</v>
      </c>
      <c r="V473" s="28">
        <f t="shared" si="110"/>
        <v>1.67</v>
      </c>
      <c r="W473" s="28">
        <f t="shared" si="110"/>
        <v>1.67</v>
      </c>
      <c r="X473" s="28">
        <f t="shared" si="110"/>
        <v>1.67</v>
      </c>
      <c r="Y473" s="28">
        <f t="shared" si="110"/>
        <v>1.67</v>
      </c>
      <c r="Z473" s="28">
        <f t="shared" si="110"/>
        <v>1.67</v>
      </c>
      <c r="AA473" s="28">
        <f t="shared" si="109"/>
        <v>1.67</v>
      </c>
      <c r="AB473" s="28">
        <f t="shared" si="109"/>
        <v>1.67</v>
      </c>
      <c r="AC473" s="28">
        <f t="shared" si="109"/>
        <v>1.67</v>
      </c>
      <c r="AD473" s="28">
        <f t="shared" si="109"/>
        <v>1.67</v>
      </c>
      <c r="AE473" s="28">
        <f t="shared" si="109"/>
        <v>1.67</v>
      </c>
      <c r="AF473" s="28">
        <f t="shared" si="109"/>
        <v>1.67</v>
      </c>
      <c r="AG473" s="28">
        <f t="shared" si="109"/>
        <v>1.67</v>
      </c>
      <c r="AH473" s="28">
        <f t="shared" si="109"/>
        <v>1.67</v>
      </c>
      <c r="AI473" s="28">
        <f t="shared" si="109"/>
        <v>1.67</v>
      </c>
      <c r="AJ473" s="28">
        <f t="shared" si="109"/>
        <v>1.67</v>
      </c>
      <c r="AK473" s="28">
        <f t="shared" si="109"/>
        <v>1.67</v>
      </c>
      <c r="AL473" s="28">
        <f t="shared" si="109"/>
        <v>1.67</v>
      </c>
      <c r="AM473" s="28">
        <f t="shared" si="109"/>
        <v>1.67</v>
      </c>
      <c r="AN473" s="28">
        <f t="shared" si="109"/>
        <v>1.67</v>
      </c>
      <c r="AO473" s="28">
        <f t="shared" si="109"/>
        <v>1.67</v>
      </c>
      <c r="AP473" s="28">
        <f t="shared" si="109"/>
        <v>1.67</v>
      </c>
      <c r="AQ473" s="28">
        <f t="shared" si="109"/>
        <v>1.67</v>
      </c>
      <c r="AR473" s="28">
        <f t="shared" si="109"/>
        <v>1.67</v>
      </c>
      <c r="AS473" s="28">
        <f t="shared" si="109"/>
        <v>1.67</v>
      </c>
      <c r="AT473" s="28">
        <f t="shared" si="109"/>
        <v>1.67</v>
      </c>
      <c r="AU473" s="28">
        <f t="shared" si="109"/>
        <v>1.67</v>
      </c>
      <c r="AV473" s="28">
        <f t="shared" si="109"/>
        <v>1.67</v>
      </c>
      <c r="AW473" s="28">
        <f t="shared" si="109"/>
        <v>1.67</v>
      </c>
      <c r="AY473" s="85"/>
    </row>
    <row r="474" spans="1:51" x14ac:dyDescent="0.25">
      <c r="A474" s="102" t="str">
        <f t="shared" si="108"/>
        <v>PQ Swine</v>
      </c>
      <c r="B474" s="102" t="s">
        <v>969</v>
      </c>
      <c r="C474" s="102" t="s">
        <v>155</v>
      </c>
      <c r="D474" t="s">
        <v>15</v>
      </c>
      <c r="E474" t="s">
        <v>16</v>
      </c>
      <c r="F474" t="s">
        <v>21</v>
      </c>
      <c r="G474" t="s">
        <v>122</v>
      </c>
      <c r="H474" t="s">
        <v>1021</v>
      </c>
      <c r="I474" t="s">
        <v>121</v>
      </c>
      <c r="J474" t="s">
        <v>286</v>
      </c>
      <c r="K474" s="28">
        <f t="shared" si="110"/>
        <v>1.8541666894574054</v>
      </c>
      <c r="L474" s="28">
        <f t="shared" si="109"/>
        <v>1.8483142649538657</v>
      </c>
      <c r="M474" s="28">
        <f t="shared" si="109"/>
        <v>1.8289603412170248</v>
      </c>
      <c r="N474" s="28">
        <f t="shared" si="109"/>
        <v>1.7913821949145237</v>
      </c>
      <c r="O474" s="28">
        <f t="shared" si="109"/>
        <v>1.7554482253507835</v>
      </c>
      <c r="P474" s="28">
        <f t="shared" si="109"/>
        <v>1.7302400840947183</v>
      </c>
      <c r="Q474" s="28">
        <f t="shared" si="109"/>
        <v>1.708890891068684</v>
      </c>
      <c r="R474" s="28">
        <f t="shared" si="109"/>
        <v>1.6695786047731636</v>
      </c>
      <c r="S474" s="28">
        <f t="shared" si="109"/>
        <v>1.4615896404106821</v>
      </c>
      <c r="T474" s="28">
        <f t="shared" si="109"/>
        <v>1.4708774478581006</v>
      </c>
      <c r="U474" s="28">
        <f t="shared" si="109"/>
        <v>1.475539546686083</v>
      </c>
      <c r="V474" s="28">
        <f t="shared" si="109"/>
        <v>1.4800720193256183</v>
      </c>
      <c r="W474" s="28">
        <f t="shared" si="109"/>
        <v>1.4911430483593251</v>
      </c>
      <c r="X474" s="28">
        <f t="shared" si="109"/>
        <v>1.5018418879535562</v>
      </c>
      <c r="Y474" s="28">
        <f t="shared" si="109"/>
        <v>1.5141161979930053</v>
      </c>
      <c r="Z474" s="28">
        <f t="shared" si="109"/>
        <v>1.5244186206157291</v>
      </c>
      <c r="AA474" s="28">
        <f t="shared" si="109"/>
        <v>1.5367997357970316</v>
      </c>
      <c r="AB474" s="28">
        <f t="shared" si="109"/>
        <v>1.5458124762264192</v>
      </c>
      <c r="AC474" s="28">
        <f t="shared" si="109"/>
        <v>1.5552930899763542</v>
      </c>
      <c r="AD474" s="28">
        <f t="shared" si="109"/>
        <v>1.5727795493180676</v>
      </c>
      <c r="AE474" s="28">
        <f t="shared" si="109"/>
        <v>1.5932065886725237</v>
      </c>
      <c r="AF474" s="28">
        <f t="shared" si="109"/>
        <v>1.61434489246593</v>
      </c>
      <c r="AG474" s="28">
        <f t="shared" si="109"/>
        <v>1.5905873244414643</v>
      </c>
      <c r="AH474" s="28">
        <f t="shared" si="109"/>
        <v>-0.53667602659003</v>
      </c>
      <c r="AI474" s="28">
        <f t="shared" si="109"/>
        <v>-0.53080565769123822</v>
      </c>
      <c r="AJ474" s="28">
        <f t="shared" si="109"/>
        <v>-0.52506102374348274</v>
      </c>
      <c r="AK474" s="28">
        <f t="shared" si="109"/>
        <v>-0.51943389932430173</v>
      </c>
      <c r="AL474" s="28">
        <f t="shared" si="109"/>
        <v>-0.51391666127760161</v>
      </c>
      <c r="AM474" s="28">
        <f t="shared" si="109"/>
        <v>-0.50850223047100296</v>
      </c>
      <c r="AN474" s="28">
        <f t="shared" si="109"/>
        <v>-0.50256367866010732</v>
      </c>
      <c r="AO474" s="28">
        <f t="shared" si="109"/>
        <v>-0.496729831902604</v>
      </c>
      <c r="AP474" s="28">
        <f t="shared" si="109"/>
        <v>-0.49099457494449417</v>
      </c>
      <c r="AQ474" s="28">
        <f t="shared" si="109"/>
        <v>-0.48535219196665164</v>
      </c>
      <c r="AR474" s="28">
        <f t="shared" si="109"/>
        <v>-0.47979733207264019</v>
      </c>
      <c r="AS474" s="28">
        <f t="shared" si="109"/>
        <v>-0.47374377836093629</v>
      </c>
      <c r="AT474" s="28">
        <f t="shared" si="109"/>
        <v>-0.46778268442640875</v>
      </c>
      <c r="AU474" s="28">
        <f t="shared" si="109"/>
        <v>-0.46190929102584166</v>
      </c>
      <c r="AV474" s="28">
        <f t="shared" si="109"/>
        <v>-0.45611912010876249</v>
      </c>
      <c r="AW474" s="28">
        <f t="shared" si="109"/>
        <v>-0.45040795289365548</v>
      </c>
      <c r="AY474" s="85"/>
    </row>
    <row r="475" spans="1:51" x14ac:dyDescent="0.25">
      <c r="A475" s="102" t="str">
        <f t="shared" si="108"/>
        <v>PQ Swine</v>
      </c>
      <c r="B475" s="102" t="s">
        <v>969</v>
      </c>
      <c r="C475" s="102" t="s">
        <v>155</v>
      </c>
      <c r="D475" t="s">
        <v>15</v>
      </c>
      <c r="E475" t="s">
        <v>16</v>
      </c>
      <c r="F475" t="s">
        <v>21</v>
      </c>
      <c r="G475" t="s">
        <v>123</v>
      </c>
      <c r="H475" t="s">
        <v>1021</v>
      </c>
      <c r="I475" t="s">
        <v>121</v>
      </c>
      <c r="J475" t="s">
        <v>286</v>
      </c>
      <c r="K475" s="28">
        <f t="shared" si="110"/>
        <v>0.2569163489011142</v>
      </c>
      <c r="L475" s="28">
        <f t="shared" si="109"/>
        <v>0.25610542745364245</v>
      </c>
      <c r="M475" s="28">
        <f t="shared" si="109"/>
        <v>0.25342371633691707</v>
      </c>
      <c r="N475" s="28">
        <f t="shared" si="109"/>
        <v>0.2482168273331373</v>
      </c>
      <c r="O475" s="28">
        <f t="shared" si="109"/>
        <v>0.24323775812952569</v>
      </c>
      <c r="P475" s="28">
        <f t="shared" si="109"/>
        <v>0.23974487712216219</v>
      </c>
      <c r="Q475" s="28">
        <f t="shared" si="109"/>
        <v>0.23678669825107104</v>
      </c>
      <c r="R475" s="28">
        <f t="shared" si="109"/>
        <v>0.23133952399245247</v>
      </c>
      <c r="S475" s="28">
        <f t="shared" si="109"/>
        <v>0.20252023517685527</v>
      </c>
      <c r="T475" s="28">
        <f t="shared" si="109"/>
        <v>0.20380716886639622</v>
      </c>
      <c r="U475" s="28">
        <f t="shared" si="109"/>
        <v>0.20445315685437584</v>
      </c>
      <c r="V475" s="28">
        <f t="shared" si="109"/>
        <v>0.20508118362708436</v>
      </c>
      <c r="W475" s="28">
        <f t="shared" si="109"/>
        <v>0.20661520339676887</v>
      </c>
      <c r="X475" s="28">
        <f t="shared" si="109"/>
        <v>0.20809765199303451</v>
      </c>
      <c r="Y475" s="28">
        <f t="shared" si="109"/>
        <v>0.20979840033380981</v>
      </c>
      <c r="Z475" s="28">
        <f t="shared" si="109"/>
        <v>0.21122592075045635</v>
      </c>
      <c r="AA475" s="28">
        <f t="shared" si="109"/>
        <v>0.21294146818521006</v>
      </c>
      <c r="AB475" s="28">
        <f t="shared" si="109"/>
        <v>0.21419028814183935</v>
      </c>
      <c r="AC475" s="28">
        <f t="shared" si="109"/>
        <v>0.21550393738590373</v>
      </c>
      <c r="AD475" s="28">
        <f t="shared" si="109"/>
        <v>0.21792688960202594</v>
      </c>
      <c r="AE475" s="28">
        <f t="shared" si="109"/>
        <v>0.22075729336218733</v>
      </c>
      <c r="AF475" s="28">
        <f t="shared" si="109"/>
        <v>0.22368625107857998</v>
      </c>
      <c r="AG475" s="28">
        <f t="shared" si="109"/>
        <v>0.22039436385489045</v>
      </c>
      <c r="AH475" s="28">
        <f t="shared" si="109"/>
        <v>-7.4362702166015399E-2</v>
      </c>
      <c r="AI475" s="28">
        <f t="shared" si="109"/>
        <v>-7.3549294313983729E-2</v>
      </c>
      <c r="AJ475" s="28">
        <f t="shared" si="109"/>
        <v>-7.2753308501045513E-2</v>
      </c>
      <c r="AK475" s="28">
        <f t="shared" si="109"/>
        <v>-7.1973604999300819E-2</v>
      </c>
      <c r="AL475" s="28">
        <f t="shared" si="109"/>
        <v>-7.1209127531856237E-2</v>
      </c>
      <c r="AM475" s="28">
        <f t="shared" si="109"/>
        <v>-7.0458895202628005E-2</v>
      </c>
      <c r="AN475" s="28">
        <f t="shared" si="109"/>
        <v>-6.9636039815520426E-2</v>
      </c>
      <c r="AO475" s="28">
        <f t="shared" si="109"/>
        <v>-6.8827692530722115E-2</v>
      </c>
      <c r="AP475" s="28">
        <f t="shared" si="109"/>
        <v>-6.8033006008703711E-2</v>
      </c>
      <c r="AQ475" s="28">
        <f t="shared" si="109"/>
        <v>-6.7251188256280764E-2</v>
      </c>
      <c r="AR475" s="28">
        <f t="shared" si="109"/>
        <v>-6.6481497844549611E-2</v>
      </c>
      <c r="AS475" s="28">
        <f t="shared" si="109"/>
        <v>-6.5642707607225875E-2</v>
      </c>
      <c r="AT475" s="28">
        <f t="shared" si="109"/>
        <v>-6.4816728746844354E-2</v>
      </c>
      <c r="AU475" s="28">
        <f t="shared" si="109"/>
        <v>-6.4002901814932872E-2</v>
      </c>
      <c r="AV475" s="28">
        <f t="shared" si="109"/>
        <v>-6.3200606325542585E-2</v>
      </c>
      <c r="AW475" s="28">
        <f t="shared" si="109"/>
        <v>-6.2409257717452565E-2</v>
      </c>
      <c r="AY475" s="85"/>
    </row>
    <row r="476" spans="1:51" x14ac:dyDescent="0.25">
      <c r="A476" s="102" t="str">
        <f t="shared" si="108"/>
        <v>PQ Cattle MMCH4</v>
      </c>
      <c r="B476" s="102" t="s">
        <v>969</v>
      </c>
      <c r="C476" s="102" t="s">
        <v>1230</v>
      </c>
      <c r="D476" t="s">
        <v>15</v>
      </c>
      <c r="E476" t="s">
        <v>22</v>
      </c>
      <c r="F476" t="s">
        <v>6</v>
      </c>
      <c r="G476" t="s">
        <v>136</v>
      </c>
      <c r="H476" t="s">
        <v>1228</v>
      </c>
      <c r="I476" t="s">
        <v>121</v>
      </c>
      <c r="J476" t="s">
        <v>286</v>
      </c>
      <c r="K476" s="28">
        <f t="shared" si="110"/>
        <v>7.3646534170257834</v>
      </c>
      <c r="L476" s="28">
        <f t="shared" si="109"/>
        <v>7.4104628035653102</v>
      </c>
      <c r="M476" s="28">
        <f t="shared" si="109"/>
        <v>7.4419573878579355</v>
      </c>
      <c r="N476" s="28">
        <f t="shared" si="109"/>
        <v>7.4518345531057086</v>
      </c>
      <c r="O476" s="28">
        <f t="shared" si="109"/>
        <v>7.4651968838323191</v>
      </c>
      <c r="P476" s="28">
        <f t="shared" si="109"/>
        <v>7.494465464758667</v>
      </c>
      <c r="Q476" s="28">
        <f t="shared" si="109"/>
        <v>7.5295555244972592</v>
      </c>
      <c r="R476" s="28">
        <f t="shared" si="109"/>
        <v>7.5400969444741763</v>
      </c>
      <c r="S476" s="28">
        <f t="shared" si="109"/>
        <v>7.3086176618997394</v>
      </c>
      <c r="T476" s="28">
        <f t="shared" si="109"/>
        <v>7.3688162835395774</v>
      </c>
      <c r="U476" s="28">
        <f t="shared" si="109"/>
        <v>7.4240167099951169</v>
      </c>
      <c r="V476" s="28">
        <f t="shared" si="109"/>
        <v>7.4806155410688238</v>
      </c>
      <c r="W476" s="28">
        <f t="shared" si="109"/>
        <v>7.5487965323768202</v>
      </c>
      <c r="X476" s="28">
        <f t="shared" si="109"/>
        <v>7.6182568990068642</v>
      </c>
      <c r="Y476" s="28">
        <f t="shared" si="109"/>
        <v>7.6858917367195918</v>
      </c>
      <c r="Z476" s="28">
        <f t="shared" si="109"/>
        <v>7.7521734876275126</v>
      </c>
      <c r="AA476" s="28">
        <f t="shared" si="109"/>
        <v>7.8235662027619757</v>
      </c>
      <c r="AB476" s="28">
        <f t="shared" si="109"/>
        <v>7.8911737006481246</v>
      </c>
      <c r="AC476" s="28">
        <f t="shared" si="109"/>
        <v>7.961206232365277</v>
      </c>
      <c r="AD476" s="28">
        <f t="shared" si="109"/>
        <v>8.0416672207979634</v>
      </c>
      <c r="AE476" s="28">
        <f t="shared" si="109"/>
        <v>8.1292976952055653</v>
      </c>
      <c r="AF476" s="28">
        <f t="shared" si="109"/>
        <v>8.2204064265450114</v>
      </c>
      <c r="AG476" s="28">
        <f t="shared" si="109"/>
        <v>8.2331329239754218</v>
      </c>
      <c r="AH476" s="28">
        <f t="shared" si="109"/>
        <v>4.4079390411250321</v>
      </c>
      <c r="AI476" s="28">
        <f t="shared" si="109"/>
        <v>4.4111810533822107</v>
      </c>
      <c r="AJ476" s="28">
        <f t="shared" si="109"/>
        <v>4.4148489430980264</v>
      </c>
      <c r="AK476" s="28">
        <f t="shared" si="109"/>
        <v>4.4189265228241794</v>
      </c>
      <c r="AL476" s="28">
        <f t="shared" si="109"/>
        <v>4.4233988518058229</v>
      </c>
      <c r="AM476" s="28">
        <f t="shared" si="109"/>
        <v>4.4282521178160774</v>
      </c>
      <c r="AN476" s="28">
        <f t="shared" si="109"/>
        <v>4.4303415938400539</v>
      </c>
      <c r="AO476" s="28">
        <f t="shared" si="109"/>
        <v>4.432766537435862</v>
      </c>
      <c r="AP476" s="28">
        <f t="shared" si="109"/>
        <v>4.4355152317525279</v>
      </c>
      <c r="AQ476" s="28">
        <f t="shared" si="109"/>
        <v>4.4385767594592709</v>
      </c>
      <c r="AR476" s="28">
        <f t="shared" si="109"/>
        <v>4.4419409348998142</v>
      </c>
      <c r="AS476" s="28">
        <f t="shared" si="109"/>
        <v>4.4424325568083702</v>
      </c>
      <c r="AT476" s="28">
        <f t="shared" si="109"/>
        <v>4.4431924834311589</v>
      </c>
      <c r="AU476" s="28">
        <f t="shared" si="109"/>
        <v>4.4442118217610558</v>
      </c>
      <c r="AV476" s="28">
        <f t="shared" si="109"/>
        <v>4.4454822205450464</v>
      </c>
      <c r="AW476" s="28">
        <f t="shared" si="109"/>
        <v>4.4469958286673741</v>
      </c>
      <c r="AY476" s="85"/>
    </row>
    <row r="477" spans="1:51" x14ac:dyDescent="0.25">
      <c r="A477" s="102" t="str">
        <f t="shared" si="108"/>
        <v>PQ Cattle MMCH4</v>
      </c>
      <c r="B477" s="102" t="s">
        <v>969</v>
      </c>
      <c r="C477" s="102" t="s">
        <v>1230</v>
      </c>
      <c r="D477" t="s">
        <v>15</v>
      </c>
      <c r="E477" t="s">
        <v>22</v>
      </c>
      <c r="F477" t="s">
        <v>6</v>
      </c>
      <c r="G477" t="s">
        <v>137</v>
      </c>
      <c r="H477" t="s">
        <v>1228</v>
      </c>
      <c r="I477" t="s">
        <v>121</v>
      </c>
      <c r="J477" t="s">
        <v>286</v>
      </c>
      <c r="K477" s="28">
        <f t="shared" si="110"/>
        <v>2.0982448441600319</v>
      </c>
      <c r="L477" s="28">
        <f t="shared" si="109"/>
        <v>2.1112962810271738</v>
      </c>
      <c r="M477" s="28">
        <f t="shared" si="109"/>
        <v>2.1202693236632593</v>
      </c>
      <c r="N477" s="28">
        <f t="shared" si="109"/>
        <v>2.1230834019209199</v>
      </c>
      <c r="O477" s="28">
        <f t="shared" si="109"/>
        <v>2.1268904298916125</v>
      </c>
      <c r="P477" s="28">
        <f t="shared" si="109"/>
        <v>2.1352292675187319</v>
      </c>
      <c r="Q477" s="28">
        <f t="shared" si="109"/>
        <v>2.1452266880025732</v>
      </c>
      <c r="R477" s="28">
        <f t="shared" si="109"/>
        <v>2.1482300174010156</v>
      </c>
      <c r="S477" s="28">
        <f t="shared" si="109"/>
        <v>2.0822798383920729</v>
      </c>
      <c r="T477" s="28">
        <f t="shared" si="109"/>
        <v>2.099430875966946</v>
      </c>
      <c r="U477" s="28">
        <f t="shared" si="109"/>
        <v>2.1151578903486419</v>
      </c>
      <c r="V477" s="28">
        <f t="shared" si="109"/>
        <v>2.1312833206657489</v>
      </c>
      <c r="W477" s="28">
        <f t="shared" si="109"/>
        <v>2.1507085950650837</v>
      </c>
      <c r="X477" s="28">
        <f t="shared" si="109"/>
        <v>2.1704983730630572</v>
      </c>
      <c r="Y477" s="28">
        <f t="shared" si="109"/>
        <v>2.1897680442180159</v>
      </c>
      <c r="Z477" s="28">
        <f t="shared" si="109"/>
        <v>2.2086522108215552</v>
      </c>
      <c r="AA477" s="28">
        <f t="shared" si="109"/>
        <v>2.2289925293618906</v>
      </c>
      <c r="AB477" s="28">
        <f t="shared" si="109"/>
        <v>2.2482544111957634</v>
      </c>
      <c r="AC477" s="28">
        <f t="shared" si="109"/>
        <v>2.2682072033066958</v>
      </c>
      <c r="AD477" s="28">
        <f t="shared" si="109"/>
        <v>2.2911311407379684</v>
      </c>
      <c r="AE477" s="28">
        <f t="shared" si="109"/>
        <v>2.3160977183493427</v>
      </c>
      <c r="AF477" s="28">
        <f t="shared" si="109"/>
        <v>2.3420552773770367</v>
      </c>
      <c r="AG477" s="28">
        <f t="shared" si="109"/>
        <v>2.3456811516857772</v>
      </c>
      <c r="AH477" s="28">
        <f t="shared" si="109"/>
        <v>1.2558548030285308</v>
      </c>
      <c r="AI477" s="28">
        <f t="shared" si="109"/>
        <v>1.2567784765699908</v>
      </c>
      <c r="AJ477" s="28">
        <f t="shared" si="109"/>
        <v>1.2578234857848665</v>
      </c>
      <c r="AK477" s="28">
        <f t="shared" si="109"/>
        <v>1.2589852187480597</v>
      </c>
      <c r="AL477" s="28">
        <f t="shared" si="109"/>
        <v>1.2602594187267613</v>
      </c>
      <c r="AM477" s="28">
        <f t="shared" si="109"/>
        <v>1.2616421505142221</v>
      </c>
      <c r="AN477" s="28">
        <f t="shared" si="109"/>
        <v>1.2622374578621782</v>
      </c>
      <c r="AO477" s="28">
        <f t="shared" si="109"/>
        <v>1.2629283424305575</v>
      </c>
      <c r="AP477" s="28">
        <f t="shared" si="109"/>
        <v>1.2637114660008781</v>
      </c>
      <c r="AQ477" s="28">
        <f t="shared" si="109"/>
        <v>1.2645837181439423</v>
      </c>
      <c r="AR477" s="28">
        <f t="shared" si="109"/>
        <v>1.2655421968900908</v>
      </c>
      <c r="AS477" s="28">
        <f t="shared" si="109"/>
        <v>1.2656822636490397</v>
      </c>
      <c r="AT477" s="28">
        <f t="shared" si="109"/>
        <v>1.2658987724279214</v>
      </c>
      <c r="AU477" s="28">
        <f t="shared" si="109"/>
        <v>1.2661891895424888</v>
      </c>
      <c r="AV477" s="28">
        <f t="shared" si="109"/>
        <v>1.2665511356582928</v>
      </c>
      <c r="AW477" s="28">
        <f t="shared" si="109"/>
        <v>1.2669823739337303</v>
      </c>
      <c r="AY477" s="85"/>
    </row>
    <row r="478" spans="1:51" x14ac:dyDescent="0.25">
      <c r="A478" s="102" t="str">
        <f t="shared" si="108"/>
        <v>PQ Cattle MMCH4</v>
      </c>
      <c r="B478" s="102" t="s">
        <v>969</v>
      </c>
      <c r="C478" s="102" t="s">
        <v>1230</v>
      </c>
      <c r="D478" t="s">
        <v>15</v>
      </c>
      <c r="E478" t="s">
        <v>22</v>
      </c>
      <c r="F478" t="s">
        <v>67</v>
      </c>
      <c r="G478" t="s">
        <v>307</v>
      </c>
      <c r="H478" t="s">
        <v>1228</v>
      </c>
      <c r="I478" t="s">
        <v>121</v>
      </c>
      <c r="J478" t="s">
        <v>286</v>
      </c>
      <c r="K478" s="28">
        <f t="shared" si="110"/>
        <v>0.43336774046245513</v>
      </c>
      <c r="L478" s="28">
        <f t="shared" si="109"/>
        <v>0.43606336090953701</v>
      </c>
      <c r="M478" s="28">
        <f t="shared" si="109"/>
        <v>0.43791663710039563</v>
      </c>
      <c r="N478" s="28">
        <f t="shared" si="109"/>
        <v>0.43849785179485851</v>
      </c>
      <c r="O478" s="28">
        <f t="shared" si="109"/>
        <v>0.43928414854860887</v>
      </c>
      <c r="P478" s="28">
        <f t="shared" si="109"/>
        <v>0.44100643717026611</v>
      </c>
      <c r="Q478" s="28">
        <f t="shared" si="109"/>
        <v>0.44307128653119471</v>
      </c>
      <c r="R478" s="28">
        <f t="shared" si="109"/>
        <v>0.44369158881807513</v>
      </c>
      <c r="S478" s="28">
        <f t="shared" si="109"/>
        <v>0.43007035670126681</v>
      </c>
      <c r="T478" s="28">
        <f t="shared" si="109"/>
        <v>0.43361270135236735</v>
      </c>
      <c r="U478" s="28">
        <f t="shared" si="109"/>
        <v>0.43686093079793747</v>
      </c>
      <c r="V478" s="28">
        <f t="shared" si="109"/>
        <v>0.44019144835882135</v>
      </c>
      <c r="W478" s="28">
        <f t="shared" si="109"/>
        <v>0.44420350981949086</v>
      </c>
      <c r="X478" s="28">
        <f t="shared" si="109"/>
        <v>0.44829085520204021</v>
      </c>
      <c r="Y478" s="28">
        <f t="shared" si="109"/>
        <v>0.45227077864668558</v>
      </c>
      <c r="Z478" s="28">
        <f t="shared" si="109"/>
        <v>0.45617108067019357</v>
      </c>
      <c r="AA478" s="28">
        <f t="shared" si="109"/>
        <v>0.46037213371252356</v>
      </c>
      <c r="AB478" s="28">
        <f t="shared" si="109"/>
        <v>0.46435044836471168</v>
      </c>
      <c r="AC478" s="28">
        <f t="shared" si="109"/>
        <v>0.46847146239083864</v>
      </c>
      <c r="AD478" s="28">
        <f t="shared" si="109"/>
        <v>0.47320613146186896</v>
      </c>
      <c r="AE478" s="28">
        <f t="shared" si="109"/>
        <v>0.47836268378541491</v>
      </c>
      <c r="AF478" s="28">
        <f t="shared" si="109"/>
        <v>0.4837239116397628</v>
      </c>
      <c r="AG478" s="28">
        <f t="shared" si="109"/>
        <v>0.48447279323990261</v>
      </c>
      <c r="AH478" s="28">
        <f t="shared" si="109"/>
        <v>0.25938200675301493</v>
      </c>
      <c r="AI478" s="28">
        <f t="shared" si="109"/>
        <v>0.25957278063562522</v>
      </c>
      <c r="AJ478" s="28">
        <f t="shared" si="109"/>
        <v>0.25978861497139094</v>
      </c>
      <c r="AK478" s="28">
        <f t="shared" si="109"/>
        <v>0.260028557221544</v>
      </c>
      <c r="AL478" s="28">
        <f t="shared" si="109"/>
        <v>0.26029172820809693</v>
      </c>
      <c r="AM478" s="28">
        <f t="shared" si="109"/>
        <v>0.26057731516048022</v>
      </c>
      <c r="AN478" s="28">
        <f t="shared" si="109"/>
        <v>0.26070026887628817</v>
      </c>
      <c r="AO478" s="28">
        <f t="shared" si="109"/>
        <v>0.26084296294040193</v>
      </c>
      <c r="AP478" s="28">
        <f t="shared" si="109"/>
        <v>0.26100470788314173</v>
      </c>
      <c r="AQ478" s="28">
        <f t="shared" si="109"/>
        <v>0.26118486128201956</v>
      </c>
      <c r="AR478" s="28">
        <f t="shared" si="109"/>
        <v>0.26138282376940786</v>
      </c>
      <c r="AS478" s="28">
        <f t="shared" si="109"/>
        <v>0.26141175290749602</v>
      </c>
      <c r="AT478" s="28">
        <f t="shared" si="109"/>
        <v>0.26145647024377611</v>
      </c>
      <c r="AU478" s="28">
        <f t="shared" si="109"/>
        <v>0.26151645247563149</v>
      </c>
      <c r="AV478" s="28">
        <f t="shared" si="109"/>
        <v>0.26159120817957698</v>
      </c>
      <c r="AW478" s="28">
        <f t="shared" si="109"/>
        <v>0.26168027536234517</v>
      </c>
      <c r="AY478" s="85"/>
    </row>
    <row r="479" spans="1:51" x14ac:dyDescent="0.25">
      <c r="A479" s="102" t="str">
        <f t="shared" si="108"/>
        <v>PQ Cattle MMCH4</v>
      </c>
      <c r="B479" s="102" t="s">
        <v>969</v>
      </c>
      <c r="C479" s="102" t="s">
        <v>1230</v>
      </c>
      <c r="D479" t="s">
        <v>15</v>
      </c>
      <c r="E479" t="s">
        <v>22</v>
      </c>
      <c r="F479" t="s">
        <v>67</v>
      </c>
      <c r="G479" t="s">
        <v>122</v>
      </c>
      <c r="H479" t="s">
        <v>1228</v>
      </c>
      <c r="I479" t="s">
        <v>121</v>
      </c>
      <c r="J479" t="s">
        <v>286</v>
      </c>
      <c r="K479" s="28">
        <f t="shared" si="110"/>
        <v>9.5707566285535867E-2</v>
      </c>
      <c r="L479" s="28">
        <f t="shared" si="109"/>
        <v>9.507317462688053E-2</v>
      </c>
      <c r="M479" s="28">
        <f t="shared" si="109"/>
        <v>9.3735602326843109E-2</v>
      </c>
      <c r="N479" s="28">
        <f t="shared" si="109"/>
        <v>9.1480938854138993E-2</v>
      </c>
      <c r="O479" s="28">
        <f t="shared" si="109"/>
        <v>8.9293409665024345E-2</v>
      </c>
      <c r="P479" s="28">
        <f t="shared" ref="L479:AW485" si="111">P1396</f>
        <v>8.7610892686618924E-2</v>
      </c>
      <c r="Q479" s="28">
        <f t="shared" si="111"/>
        <v>8.6089043126348228E-2</v>
      </c>
      <c r="R479" s="28">
        <f t="shared" si="111"/>
        <v>8.3696304621384818E-2</v>
      </c>
      <c r="S479" s="28">
        <f t="shared" si="111"/>
        <v>7.34067322961163E-2</v>
      </c>
      <c r="T479" s="28">
        <f t="shared" si="111"/>
        <v>7.4106416152148968E-2</v>
      </c>
      <c r="U479" s="28">
        <f t="shared" si="111"/>
        <v>7.4579873174536918E-2</v>
      </c>
      <c r="V479" s="28">
        <f t="shared" si="111"/>
        <v>7.5037930673723691E-2</v>
      </c>
      <c r="W479" s="28">
        <f t="shared" si="111"/>
        <v>7.5795447602904714E-2</v>
      </c>
      <c r="X479" s="28">
        <f t="shared" si="111"/>
        <v>7.6527998633535405E-2</v>
      </c>
      <c r="Y479" s="28">
        <f t="shared" si="111"/>
        <v>7.7297067256649366E-2</v>
      </c>
      <c r="Z479" s="28">
        <f t="shared" si="111"/>
        <v>7.7966609512140975E-2</v>
      </c>
      <c r="AA479" s="28">
        <f t="shared" si="111"/>
        <v>7.8728639390587538E-2</v>
      </c>
      <c r="AB479" s="28">
        <f t="shared" si="111"/>
        <v>7.9324953589457362E-2</v>
      </c>
      <c r="AC479" s="28">
        <f t="shared" si="111"/>
        <v>7.9937629648305739E-2</v>
      </c>
      <c r="AD479" s="28">
        <f t="shared" si="111"/>
        <v>8.0222991747189526E-2</v>
      </c>
      <c r="AE479" s="28">
        <f t="shared" si="111"/>
        <v>8.0614281081104813E-2</v>
      </c>
      <c r="AF479" s="28">
        <f t="shared" si="111"/>
        <v>8.100406028659024E-2</v>
      </c>
      <c r="AG479" s="28">
        <f t="shared" si="111"/>
        <v>7.9286126804775037E-2</v>
      </c>
      <c r="AH479" s="28">
        <f t="shared" si="111"/>
        <v>-1.8702500653157286E-2</v>
      </c>
      <c r="AI479" s="28">
        <f t="shared" si="111"/>
        <v>-1.8268667685025074E-2</v>
      </c>
      <c r="AJ479" s="28">
        <f t="shared" si="111"/>
        <v>-1.7841734022548978E-2</v>
      </c>
      <c r="AK479" s="28">
        <f t="shared" si="111"/>
        <v>-1.7421338317040982E-2</v>
      </c>
      <c r="AL479" s="28">
        <f t="shared" si="111"/>
        <v>-1.7007144202009699E-2</v>
      </c>
      <c r="AM479" s="28">
        <f t="shared" si="111"/>
        <v>-1.6598837978205473E-2</v>
      </c>
      <c r="AN479" s="28">
        <f t="shared" si="111"/>
        <v>-1.6267793993705613E-2</v>
      </c>
      <c r="AO479" s="28">
        <f t="shared" si="111"/>
        <v>-1.5941750028753716E-2</v>
      </c>
      <c r="AP479" s="28">
        <f t="shared" si="111"/>
        <v>-1.562047950725113E-2</v>
      </c>
      <c r="AQ479" s="28">
        <f t="shared" si="111"/>
        <v>-1.5303769944962587E-2</v>
      </c>
      <c r="AR479" s="28">
        <f t="shared" si="111"/>
        <v>-1.4991421781067962E-2</v>
      </c>
      <c r="AS479" s="28">
        <f t="shared" si="111"/>
        <v>-1.4673268106464171E-2</v>
      </c>
      <c r="AT479" s="28">
        <f t="shared" si="111"/>
        <v>-1.4359489450627001E-2</v>
      </c>
      <c r="AU479" s="28">
        <f t="shared" si="111"/>
        <v>-1.40499137071168E-2</v>
      </c>
      <c r="AV479" s="28">
        <f t="shared" si="111"/>
        <v>-1.3744378438980727E-2</v>
      </c>
      <c r="AW479" s="28">
        <f t="shared" si="111"/>
        <v>-1.3442730156179297E-2</v>
      </c>
      <c r="AY479" s="85"/>
    </row>
    <row r="480" spans="1:51" x14ac:dyDescent="0.25">
      <c r="A480" s="102" t="str">
        <f t="shared" si="108"/>
        <v>PQ Cattle MMCH4</v>
      </c>
      <c r="B480" s="102" t="s">
        <v>969</v>
      </c>
      <c r="C480" s="102" t="s">
        <v>1230</v>
      </c>
      <c r="D480" t="s">
        <v>15</v>
      </c>
      <c r="E480" t="s">
        <v>22</v>
      </c>
      <c r="F480" t="s">
        <v>67</v>
      </c>
      <c r="G480" t="s">
        <v>123</v>
      </c>
      <c r="H480" t="s">
        <v>1228</v>
      </c>
      <c r="I480" t="s">
        <v>121</v>
      </c>
      <c r="J480" t="s">
        <v>286</v>
      </c>
      <c r="K480" s="28">
        <f t="shared" si="110"/>
        <v>7.0303494563391522E-2</v>
      </c>
      <c r="L480" s="28">
        <f t="shared" si="111"/>
        <v>6.9837492216280578E-2</v>
      </c>
      <c r="M480" s="28">
        <f t="shared" si="111"/>
        <v>6.8854957495428151E-2</v>
      </c>
      <c r="N480" s="28">
        <f t="shared" si="111"/>
        <v>6.7198759063606908E-2</v>
      </c>
      <c r="O480" s="28">
        <f t="shared" si="111"/>
        <v>6.5591875173201017E-2</v>
      </c>
      <c r="P480" s="28">
        <f t="shared" si="111"/>
        <v>6.4355955926323108E-2</v>
      </c>
      <c r="Q480" s="28">
        <f t="shared" si="111"/>
        <v>6.3238057452470034E-2</v>
      </c>
      <c r="R480" s="28">
        <f t="shared" si="111"/>
        <v>6.1480433839166078E-2</v>
      </c>
      <c r="S480" s="28">
        <f t="shared" si="111"/>
        <v>5.392206703386089E-2</v>
      </c>
      <c r="T480" s="28">
        <f t="shared" si="111"/>
        <v>5.4436030789055859E-2</v>
      </c>
      <c r="U480" s="28">
        <f t="shared" si="111"/>
        <v>5.4783816073869653E-2</v>
      </c>
      <c r="V480" s="28">
        <f t="shared" si="111"/>
        <v>5.5120289397281967E-2</v>
      </c>
      <c r="W480" s="28">
        <f t="shared" si="111"/>
        <v>5.5676735343817389E-2</v>
      </c>
      <c r="X480" s="28">
        <f t="shared" si="111"/>
        <v>5.6214842197832481E-2</v>
      </c>
      <c r="Y480" s="28">
        <f t="shared" si="111"/>
        <v>5.6779773622404078E-2</v>
      </c>
      <c r="Z480" s="28">
        <f t="shared" si="111"/>
        <v>5.7271596391969458E-2</v>
      </c>
      <c r="AA480" s="28">
        <f t="shared" si="111"/>
        <v>5.7831357396200579E-2</v>
      </c>
      <c r="AB480" s="28">
        <f t="shared" si="111"/>
        <v>5.826938934775229E-2</v>
      </c>
      <c r="AC480" s="28">
        <f t="shared" si="111"/>
        <v>5.8719440160285359E-2</v>
      </c>
      <c r="AD480" s="28">
        <f t="shared" si="111"/>
        <v>5.8929057367639905E-2</v>
      </c>
      <c r="AE480" s="28">
        <f t="shared" si="111"/>
        <v>5.92164850875921E-2</v>
      </c>
      <c r="AF480" s="28">
        <f t="shared" si="111"/>
        <v>5.9502803519010737E-2</v>
      </c>
      <c r="AG480" s="28">
        <f t="shared" si="111"/>
        <v>5.8240868523832451E-2</v>
      </c>
      <c r="AH480" s="28">
        <f t="shared" si="111"/>
        <v>-1.3738215315895889E-2</v>
      </c>
      <c r="AI480" s="28">
        <f t="shared" si="111"/>
        <v>-1.3419536501877058E-2</v>
      </c>
      <c r="AJ480" s="28">
        <f t="shared" si="111"/>
        <v>-1.3105925681085005E-2</v>
      </c>
      <c r="AK480" s="28">
        <f t="shared" si="111"/>
        <v>-1.2797117419171011E-2</v>
      </c>
      <c r="AL480" s="28">
        <f t="shared" si="111"/>
        <v>-1.2492864632850905E-2</v>
      </c>
      <c r="AM480" s="28">
        <f t="shared" si="111"/>
        <v>-1.2192936889418591E-2</v>
      </c>
      <c r="AN480" s="28">
        <f t="shared" si="111"/>
        <v>-1.1949763336189845E-2</v>
      </c>
      <c r="AO480" s="28">
        <f t="shared" si="111"/>
        <v>-1.1710262625775411E-2</v>
      </c>
      <c r="AP480" s="28">
        <f t="shared" si="111"/>
        <v>-1.1474268323146819E-2</v>
      </c>
      <c r="AQ480" s="28">
        <f t="shared" si="111"/>
        <v>-1.1241624344674956E-2</v>
      </c>
      <c r="AR480" s="28">
        <f t="shared" si="111"/>
        <v>-1.1012184099828085E-2</v>
      </c>
      <c r="AS480" s="28">
        <f t="shared" si="111"/>
        <v>-1.0778479325995476E-2</v>
      </c>
      <c r="AT480" s="28">
        <f t="shared" si="111"/>
        <v>-1.0547988290846352E-2</v>
      </c>
      <c r="AU480" s="28">
        <f t="shared" si="111"/>
        <v>-1.032058457089494E-2</v>
      </c>
      <c r="AV480" s="28">
        <f t="shared" si="111"/>
        <v>-1.0096148845528728E-2</v>
      </c>
      <c r="AW480" s="28">
        <f t="shared" si="111"/>
        <v>-9.8745683662308046E-3</v>
      </c>
      <c r="AY480" s="85"/>
    </row>
    <row r="481" spans="1:51" x14ac:dyDescent="0.25">
      <c r="A481" s="102" t="str">
        <f t="shared" si="108"/>
        <v>PQ Cattle MMCH4</v>
      </c>
      <c r="B481" s="102" t="s">
        <v>969</v>
      </c>
      <c r="C481" s="102" t="s">
        <v>1230</v>
      </c>
      <c r="D481" t="s">
        <v>15</v>
      </c>
      <c r="E481" t="s">
        <v>22</v>
      </c>
      <c r="F481" t="s">
        <v>67</v>
      </c>
      <c r="G481" t="s">
        <v>135</v>
      </c>
      <c r="H481" t="s">
        <v>1228</v>
      </c>
      <c r="I481" t="s">
        <v>121</v>
      </c>
      <c r="J481" t="s">
        <v>286</v>
      </c>
      <c r="K481" s="28">
        <f t="shared" si="110"/>
        <v>0.47365013870542771</v>
      </c>
      <c r="L481" s="28">
        <f t="shared" si="111"/>
        <v>0.49051927106458876</v>
      </c>
      <c r="M481" s="28">
        <f t="shared" si="111"/>
        <v>0.50390876804084606</v>
      </c>
      <c r="N481" s="28">
        <f t="shared" si="111"/>
        <v>0.51218897212451775</v>
      </c>
      <c r="O481" s="28">
        <f t="shared" si="111"/>
        <v>0.5204864616851187</v>
      </c>
      <c r="P481" s="28">
        <f t="shared" si="111"/>
        <v>0.5315053909957832</v>
      </c>
      <c r="Q481" s="28">
        <f t="shared" si="111"/>
        <v>0.54344267992188611</v>
      </c>
      <c r="R481" s="28">
        <f t="shared" si="111"/>
        <v>0.54965498610396035</v>
      </c>
      <c r="S481" s="28">
        <f t="shared" si="111"/>
        <v>0.50146701948783567</v>
      </c>
      <c r="T481" s="28">
        <f t="shared" si="111"/>
        <v>0.51834473155778682</v>
      </c>
      <c r="U481" s="28">
        <f t="shared" si="111"/>
        <v>0.53395156186316528</v>
      </c>
      <c r="V481" s="28">
        <f t="shared" si="111"/>
        <v>0.54973255397230381</v>
      </c>
      <c r="W481" s="28">
        <f t="shared" si="111"/>
        <v>0.56805189648716081</v>
      </c>
      <c r="X481" s="28">
        <f t="shared" si="111"/>
        <v>0.58658806930488216</v>
      </c>
      <c r="Y481" s="28">
        <f t="shared" si="111"/>
        <v>0.60582393990405248</v>
      </c>
      <c r="Z481" s="28">
        <f t="shared" si="111"/>
        <v>0.62470251247800967</v>
      </c>
      <c r="AA481" s="28">
        <f t="shared" si="111"/>
        <v>0.64475774385290952</v>
      </c>
      <c r="AB481" s="28">
        <f t="shared" si="111"/>
        <v>0.66389235390041079</v>
      </c>
      <c r="AC481" s="28">
        <f t="shared" si="111"/>
        <v>0.68358758575882406</v>
      </c>
      <c r="AD481" s="28">
        <f t="shared" si="111"/>
        <v>0.7086584440058149</v>
      </c>
      <c r="AE481" s="28">
        <f t="shared" si="111"/>
        <v>0.73565241500726219</v>
      </c>
      <c r="AF481" s="28">
        <f t="shared" si="111"/>
        <v>0.76370616641189881</v>
      </c>
      <c r="AG481" s="28">
        <f t="shared" si="111"/>
        <v>0.77236145848334026</v>
      </c>
      <c r="AH481" s="28">
        <f t="shared" si="111"/>
        <v>-0.18826983110818521</v>
      </c>
      <c r="AI481" s="28">
        <f t="shared" si="111"/>
        <v>-0.19006759890243963</v>
      </c>
      <c r="AJ481" s="28">
        <f t="shared" si="111"/>
        <v>-0.19187998371586665</v>
      </c>
      <c r="AK481" s="28">
        <f t="shared" si="111"/>
        <v>-0.19370712387762709</v>
      </c>
      <c r="AL481" s="28">
        <f t="shared" si="111"/>
        <v>-0.19554915895887828</v>
      </c>
      <c r="AM481" s="28">
        <f t="shared" si="111"/>
        <v>-0.19740622978354522</v>
      </c>
      <c r="AN481" s="28">
        <f t="shared" si="111"/>
        <v>-0.19889654656389008</v>
      </c>
      <c r="AO481" s="28">
        <f t="shared" si="111"/>
        <v>-0.20039714352450921</v>
      </c>
      <c r="AP481" s="28">
        <f t="shared" si="111"/>
        <v>-0.20190810202695822</v>
      </c>
      <c r="AQ481" s="28">
        <f t="shared" si="111"/>
        <v>-0.20342950404688992</v>
      </c>
      <c r="AR481" s="28">
        <f t="shared" si="111"/>
        <v>-0.20496143217854407</v>
      </c>
      <c r="AS481" s="28">
        <f t="shared" si="111"/>
        <v>-0.20636362268300526</v>
      </c>
      <c r="AT481" s="28">
        <f t="shared" si="111"/>
        <v>-0.20777388296351235</v>
      </c>
      <c r="AU481" s="28">
        <f t="shared" si="111"/>
        <v>-0.20919226640364996</v>
      </c>
      <c r="AV481" s="28">
        <f t="shared" si="111"/>
        <v>-0.21061882672173884</v>
      </c>
      <c r="AW481" s="28">
        <f t="shared" si="111"/>
        <v>-0.2120536179728616</v>
      </c>
      <c r="AY481" s="85"/>
    </row>
    <row r="482" spans="1:51" x14ac:dyDescent="0.25">
      <c r="A482" s="102" t="str">
        <f t="shared" si="108"/>
        <v>PQ Sheep MMCH4</v>
      </c>
      <c r="B482" s="102" t="s">
        <v>969</v>
      </c>
      <c r="C482" s="102" t="s">
        <v>1325</v>
      </c>
      <c r="D482" t="s">
        <v>15</v>
      </c>
      <c r="E482" t="s">
        <v>22</v>
      </c>
      <c r="F482" t="s">
        <v>18</v>
      </c>
      <c r="G482" t="s">
        <v>122</v>
      </c>
      <c r="H482" t="s">
        <v>1228</v>
      </c>
      <c r="I482" t="s">
        <v>121</v>
      </c>
      <c r="J482" t="s">
        <v>286</v>
      </c>
      <c r="K482" s="28">
        <f t="shared" si="110"/>
        <v>3.6053921478906167E-2</v>
      </c>
      <c r="L482" s="28">
        <f t="shared" si="111"/>
        <v>3.6073610217126503E-2</v>
      </c>
      <c r="M482" s="28">
        <f t="shared" si="111"/>
        <v>3.6117697084082141E-2</v>
      </c>
      <c r="N482" s="28">
        <f t="shared" si="111"/>
        <v>3.618405707434337E-2</v>
      </c>
      <c r="O482" s="28">
        <f t="shared" si="111"/>
        <v>3.6273578032260737E-2</v>
      </c>
      <c r="P482" s="28">
        <f t="shared" si="111"/>
        <v>3.6386354948245533E-2</v>
      </c>
      <c r="Q482" s="28">
        <f t="shared" si="111"/>
        <v>3.6511983860861394E-2</v>
      </c>
      <c r="R482" s="28">
        <f t="shared" si="111"/>
        <v>3.6648137011074396E-2</v>
      </c>
      <c r="S482" s="28">
        <f t="shared" si="111"/>
        <v>3.6776081758532232E-2</v>
      </c>
      <c r="T482" s="28">
        <f t="shared" si="111"/>
        <v>3.6829526757110792E-2</v>
      </c>
      <c r="U482" s="28">
        <f t="shared" si="111"/>
        <v>3.6891543145696586E-2</v>
      </c>
      <c r="V482" s="28">
        <f t="shared" si="111"/>
        <v>3.6962118208236874E-2</v>
      </c>
      <c r="W482" s="28">
        <f t="shared" si="111"/>
        <v>3.7041617602425879E-2</v>
      </c>
      <c r="X482" s="28">
        <f t="shared" si="111"/>
        <v>3.71287668347723E-2</v>
      </c>
      <c r="Y482" s="28">
        <f t="shared" si="111"/>
        <v>3.7182413833591089E-2</v>
      </c>
      <c r="Z482" s="28">
        <f t="shared" si="111"/>
        <v>3.7242338638937944E-2</v>
      </c>
      <c r="AA482" s="28">
        <f t="shared" si="111"/>
        <v>3.7308758714658788E-2</v>
      </c>
      <c r="AB482" s="28">
        <f t="shared" si="111"/>
        <v>3.7380653555679967E-2</v>
      </c>
      <c r="AC482" s="28">
        <f t="shared" si="111"/>
        <v>3.7458280228605825E-2</v>
      </c>
      <c r="AD482" s="28">
        <f t="shared" si="111"/>
        <v>3.7509383313851091E-2</v>
      </c>
      <c r="AE482" s="28">
        <f t="shared" si="111"/>
        <v>3.7565861655525674E-2</v>
      </c>
      <c r="AF482" s="28">
        <f t="shared" si="111"/>
        <v>3.7627207315702967E-2</v>
      </c>
      <c r="AG482" s="28">
        <f t="shared" si="111"/>
        <v>3.7686475047494471E-2</v>
      </c>
      <c r="AH482" s="28">
        <f t="shared" si="111"/>
        <v>3.7433087747828976E-2</v>
      </c>
      <c r="AI482" s="28">
        <f t="shared" si="111"/>
        <v>3.7469072750832028E-2</v>
      </c>
      <c r="AJ482" s="28">
        <f t="shared" si="111"/>
        <v>3.750878237989342E-2</v>
      </c>
      <c r="AK482" s="28">
        <f t="shared" si="111"/>
        <v>3.7552075921765626E-2</v>
      </c>
      <c r="AL482" s="28">
        <f t="shared" si="111"/>
        <v>3.7598823539459238E-2</v>
      </c>
      <c r="AM482" s="28">
        <f t="shared" si="111"/>
        <v>3.7648905240168402E-2</v>
      </c>
      <c r="AN482" s="28">
        <f t="shared" si="111"/>
        <v>3.76732099349424E-2</v>
      </c>
      <c r="AO482" s="28">
        <f t="shared" si="111"/>
        <v>3.7700452169156254E-2</v>
      </c>
      <c r="AP482" s="28">
        <f t="shared" si="111"/>
        <v>3.7730529709511379E-2</v>
      </c>
      <c r="AQ482" s="28">
        <f t="shared" si="111"/>
        <v>3.7763347319933152E-2</v>
      </c>
      <c r="AR482" s="28">
        <f t="shared" si="111"/>
        <v>3.7798816167122655E-2</v>
      </c>
      <c r="AS482" s="28">
        <f t="shared" si="111"/>
        <v>3.7807565900273503E-2</v>
      </c>
      <c r="AT482" s="28">
        <f t="shared" si="111"/>
        <v>3.7818668604843612E-2</v>
      </c>
      <c r="AU482" s="28">
        <f t="shared" si="111"/>
        <v>3.7832046350463708E-2</v>
      </c>
      <c r="AV482" s="28">
        <f t="shared" si="111"/>
        <v>3.7847625965531671E-2</v>
      </c>
      <c r="AW482" s="28">
        <f t="shared" si="111"/>
        <v>3.7865338671255785E-2</v>
      </c>
      <c r="AY482" s="85"/>
    </row>
    <row r="483" spans="1:51" x14ac:dyDescent="0.25">
      <c r="A483" s="102" t="str">
        <f t="shared" si="108"/>
        <v>PQ Sheep MMCH4</v>
      </c>
      <c r="B483" s="102" t="s">
        <v>969</v>
      </c>
      <c r="C483" s="102" t="s">
        <v>1325</v>
      </c>
      <c r="D483" t="s">
        <v>15</v>
      </c>
      <c r="E483" t="s">
        <v>22</v>
      </c>
      <c r="F483" t="s">
        <v>18</v>
      </c>
      <c r="G483" t="s">
        <v>123</v>
      </c>
      <c r="H483" t="s">
        <v>1228</v>
      </c>
      <c r="I483" t="s">
        <v>121</v>
      </c>
      <c r="J483" t="s">
        <v>286</v>
      </c>
      <c r="K483" s="28">
        <f t="shared" si="110"/>
        <v>4.1175296849015851E-3</v>
      </c>
      <c r="L483" s="28">
        <f t="shared" si="111"/>
        <v>4.1197782326532605E-3</v>
      </c>
      <c r="M483" s="28">
        <f t="shared" si="111"/>
        <v>4.1248131630008617E-3</v>
      </c>
      <c r="N483" s="28">
        <f t="shared" si="111"/>
        <v>4.1323917901954152E-3</v>
      </c>
      <c r="O483" s="28">
        <f t="shared" si="111"/>
        <v>4.1426155102936933E-3</v>
      </c>
      <c r="P483" s="28">
        <f t="shared" si="111"/>
        <v>4.1554951716534349E-3</v>
      </c>
      <c r="Q483" s="28">
        <f t="shared" si="111"/>
        <v>4.1698425922878412E-3</v>
      </c>
      <c r="R483" s="28">
        <f t="shared" si="111"/>
        <v>4.1853919310199088E-3</v>
      </c>
      <c r="S483" s="28">
        <f t="shared" si="111"/>
        <v>4.2000038310317607E-3</v>
      </c>
      <c r="T483" s="28">
        <f t="shared" si="111"/>
        <v>4.2061075046164898E-3</v>
      </c>
      <c r="U483" s="28">
        <f t="shared" si="111"/>
        <v>4.2131900717958127E-3</v>
      </c>
      <c r="V483" s="28">
        <f t="shared" si="111"/>
        <v>4.2212500803358944E-3</v>
      </c>
      <c r="W483" s="28">
        <f t="shared" si="111"/>
        <v>4.2303292900883332E-3</v>
      </c>
      <c r="X483" s="28">
        <f t="shared" si="111"/>
        <v>4.2402821478215117E-3</v>
      </c>
      <c r="Y483" s="28">
        <f t="shared" si="111"/>
        <v>4.2464088907965165E-3</v>
      </c>
      <c r="Z483" s="28">
        <f t="shared" si="111"/>
        <v>4.2532525892003629E-3</v>
      </c>
      <c r="AA483" s="28">
        <f t="shared" si="111"/>
        <v>4.2608380784408054E-3</v>
      </c>
      <c r="AB483" s="28">
        <f t="shared" si="111"/>
        <v>4.2690488119741668E-3</v>
      </c>
      <c r="AC483" s="28">
        <f t="shared" si="111"/>
        <v>4.2779141480319745E-3</v>
      </c>
      <c r="AD483" s="28">
        <f t="shared" si="111"/>
        <v>4.2837503639512487E-3</v>
      </c>
      <c r="AE483" s="28">
        <f t="shared" si="111"/>
        <v>4.2902004597760585E-3</v>
      </c>
      <c r="AF483" s="28">
        <f t="shared" si="111"/>
        <v>4.2972064265740855E-3</v>
      </c>
      <c r="AG483" s="28">
        <f t="shared" si="111"/>
        <v>4.3039750840459523E-3</v>
      </c>
      <c r="AH483" s="28">
        <f t="shared" si="111"/>
        <v>4.2750370466466056E-3</v>
      </c>
      <c r="AI483" s="28">
        <f t="shared" si="111"/>
        <v>4.2791467055130613E-3</v>
      </c>
      <c r="AJ483" s="28">
        <f t="shared" si="111"/>
        <v>4.2836817344289136E-3</v>
      </c>
      <c r="AK483" s="28">
        <f t="shared" si="111"/>
        <v>4.2886260632705817E-3</v>
      </c>
      <c r="AL483" s="28">
        <f t="shared" si="111"/>
        <v>4.2939648640350006E-3</v>
      </c>
      <c r="AM483" s="28">
        <f t="shared" si="111"/>
        <v>4.2996844329717928E-3</v>
      </c>
      <c r="AN483" s="28">
        <f t="shared" si="111"/>
        <v>4.3024601449639811E-3</v>
      </c>
      <c r="AO483" s="28">
        <f t="shared" si="111"/>
        <v>4.3055713379620639E-3</v>
      </c>
      <c r="AP483" s="28">
        <f t="shared" si="111"/>
        <v>4.3090063364360429E-3</v>
      </c>
      <c r="AQ483" s="28">
        <f t="shared" si="111"/>
        <v>4.3127542639722558E-3</v>
      </c>
      <c r="AR483" s="28">
        <f t="shared" si="111"/>
        <v>4.3168049753845332E-3</v>
      </c>
      <c r="AS483" s="28">
        <f t="shared" si="111"/>
        <v>4.3178042366162055E-3</v>
      </c>
      <c r="AT483" s="28">
        <f t="shared" si="111"/>
        <v>4.3190722183994593E-3</v>
      </c>
      <c r="AU483" s="28">
        <f t="shared" si="111"/>
        <v>4.3206000207146669E-3</v>
      </c>
      <c r="AV483" s="28">
        <f t="shared" si="111"/>
        <v>4.3223792870160944E-3</v>
      </c>
      <c r="AW483" s="28">
        <f t="shared" si="111"/>
        <v>4.3244021624378867E-3</v>
      </c>
      <c r="AY483" s="85"/>
    </row>
    <row r="484" spans="1:51" x14ac:dyDescent="0.25">
      <c r="A484" s="102" t="str">
        <f t="shared" si="108"/>
        <v>PQ Goats MMCH4</v>
      </c>
      <c r="B484" s="102" t="s">
        <v>969</v>
      </c>
      <c r="C484" s="102" t="s">
        <v>1326</v>
      </c>
      <c r="D484" t="s">
        <v>15</v>
      </c>
      <c r="E484" t="s">
        <v>22</v>
      </c>
      <c r="F484" t="s">
        <v>19</v>
      </c>
      <c r="G484" t="s">
        <v>122</v>
      </c>
      <c r="H484" t="s">
        <v>1228</v>
      </c>
      <c r="I484" t="s">
        <v>121</v>
      </c>
      <c r="J484" t="s">
        <v>286</v>
      </c>
      <c r="K484" s="28">
        <f t="shared" si="110"/>
        <v>1.578914847670768E-2</v>
      </c>
      <c r="L484" s="28">
        <f t="shared" si="111"/>
        <v>1.5830330315974785E-2</v>
      </c>
      <c r="M484" s="28">
        <f t="shared" si="111"/>
        <v>1.5885208764738982E-2</v>
      </c>
      <c r="N484" s="28">
        <f t="shared" si="111"/>
        <v>1.5952563767257691E-2</v>
      </c>
      <c r="O484" s="28">
        <f t="shared" si="111"/>
        <v>1.6033204709528407E-2</v>
      </c>
      <c r="P484" s="28">
        <f t="shared" si="111"/>
        <v>1.6127346186936543E-2</v>
      </c>
      <c r="Q484" s="28">
        <f t="shared" si="111"/>
        <v>1.6228000781801349E-2</v>
      </c>
      <c r="R484" s="28">
        <f t="shared" si="111"/>
        <v>1.6333729215934008E-2</v>
      </c>
      <c r="S484" s="28">
        <f t="shared" si="111"/>
        <v>1.6431946287378985E-2</v>
      </c>
      <c r="T484" s="28">
        <f t="shared" si="111"/>
        <v>1.6477973799395588E-2</v>
      </c>
      <c r="U484" s="28">
        <f t="shared" si="111"/>
        <v>1.6528445517692184E-2</v>
      </c>
      <c r="V484" s="28">
        <f t="shared" si="111"/>
        <v>1.6583425492153747E-2</v>
      </c>
      <c r="W484" s="28">
        <f t="shared" si="111"/>
        <v>1.6643220540411473E-2</v>
      </c>
      <c r="X484" s="28">
        <f t="shared" si="111"/>
        <v>1.6707025590946629E-2</v>
      </c>
      <c r="Y484" s="28">
        <f t="shared" si="111"/>
        <v>1.6747356446044817E-2</v>
      </c>
      <c r="Z484" s="28">
        <f t="shared" si="111"/>
        <v>1.679099238038791E-2</v>
      </c>
      <c r="AA484" s="28">
        <f t="shared" si="111"/>
        <v>1.6838113918664795E-2</v>
      </c>
      <c r="AB484" s="28">
        <f t="shared" si="111"/>
        <v>1.6888072337895171E-2</v>
      </c>
      <c r="AC484" s="28">
        <f t="shared" si="111"/>
        <v>1.6941067477261811E-2</v>
      </c>
      <c r="AD484" s="28">
        <f t="shared" si="111"/>
        <v>1.6975775774690904E-2</v>
      </c>
      <c r="AE484" s="28">
        <f t="shared" si="111"/>
        <v>1.7013417171997135E-2</v>
      </c>
      <c r="AF484" s="28">
        <f t="shared" si="111"/>
        <v>1.7053673452645857E-2</v>
      </c>
      <c r="AG484" s="28">
        <f t="shared" si="111"/>
        <v>1.7091991548522943E-2</v>
      </c>
      <c r="AH484" s="28">
        <f t="shared" si="111"/>
        <v>1.6924485926797139E-2</v>
      </c>
      <c r="AI484" s="28">
        <f t="shared" si="111"/>
        <v>1.6946898224790095E-2</v>
      </c>
      <c r="AJ484" s="28">
        <f t="shared" si="111"/>
        <v>1.6971320122511346E-2</v>
      </c>
      <c r="AK484" s="28">
        <f t="shared" si="111"/>
        <v>1.6997670008444151E-2</v>
      </c>
      <c r="AL484" s="28">
        <f t="shared" si="111"/>
        <v>1.7025872601317771E-2</v>
      </c>
      <c r="AM484" s="28">
        <f t="shared" si="111"/>
        <v>1.7055858343998281E-2</v>
      </c>
      <c r="AN484" s="28">
        <f t="shared" si="111"/>
        <v>1.706872967637315E-2</v>
      </c>
      <c r="AO484" s="28">
        <f t="shared" si="111"/>
        <v>1.7083207389206864E-2</v>
      </c>
      <c r="AP484" s="28">
        <f t="shared" si="111"/>
        <v>1.7099230922033661E-2</v>
      </c>
      <c r="AQ484" s="28">
        <f t="shared" si="111"/>
        <v>1.7116743868978143E-2</v>
      </c>
      <c r="AR484" s="28">
        <f t="shared" si="111"/>
        <v>1.7135693622819574E-2</v>
      </c>
      <c r="AS484" s="28">
        <f t="shared" si="111"/>
        <v>1.7137172081504573E-2</v>
      </c>
      <c r="AT484" s="28">
        <f t="shared" si="111"/>
        <v>1.7139965381039082E-2</v>
      </c>
      <c r="AU484" s="28">
        <f t="shared" si="111"/>
        <v>1.7144026301455787E-2</v>
      </c>
      <c r="AV484" s="28">
        <f t="shared" si="111"/>
        <v>1.7149310513066243E-2</v>
      </c>
      <c r="AW484" s="28">
        <f t="shared" si="111"/>
        <v>1.7155776352544339E-2</v>
      </c>
      <c r="AY484" s="85"/>
    </row>
    <row r="485" spans="1:51" x14ac:dyDescent="0.25">
      <c r="A485" s="102" t="str">
        <f t="shared" si="108"/>
        <v>PQ Goats MMCH4</v>
      </c>
      <c r="B485" s="102" t="s">
        <v>969</v>
      </c>
      <c r="C485" s="102" t="s">
        <v>1326</v>
      </c>
      <c r="D485" t="s">
        <v>15</v>
      </c>
      <c r="E485" t="s">
        <v>22</v>
      </c>
      <c r="F485" t="s">
        <v>19</v>
      </c>
      <c r="G485" t="s">
        <v>123</v>
      </c>
      <c r="H485" t="s">
        <v>1228</v>
      </c>
      <c r="I485" t="s">
        <v>121</v>
      </c>
      <c r="J485" t="s">
        <v>286</v>
      </c>
      <c r="K485" s="28">
        <f t="shared" si="110"/>
        <v>2.6591335822255355E-2</v>
      </c>
      <c r="L485" s="28">
        <f t="shared" si="111"/>
        <v>2.6660692324877722E-2</v>
      </c>
      <c r="M485" s="28">
        <f t="shared" si="111"/>
        <v>2.6753116008311057E-2</v>
      </c>
      <c r="N485" s="28">
        <f t="shared" si="111"/>
        <v>2.6866552112476273E-2</v>
      </c>
      <c r="O485" s="28">
        <f t="shared" si="111"/>
        <v>2.7002363766924078E-2</v>
      </c>
      <c r="P485" s="28">
        <f t="shared" si="111"/>
        <v>2.7160912383035713E-2</v>
      </c>
      <c r="Q485" s="28">
        <f t="shared" si="111"/>
        <v>2.7330430082995998E-2</v>
      </c>
      <c r="R485" s="28">
        <f t="shared" si="111"/>
        <v>2.7508492902668026E-2</v>
      </c>
      <c r="S485" s="28">
        <f t="shared" si="111"/>
        <v>2.7673905441167147E-2</v>
      </c>
      <c r="T485" s="28">
        <f t="shared" si="111"/>
        <v>2.7751422796260871E-2</v>
      </c>
      <c r="U485" s="28">
        <f t="shared" si="111"/>
        <v>2.783642487301826E-2</v>
      </c>
      <c r="V485" s="28">
        <f t="shared" si="111"/>
        <v>2.7929019541221126E-2</v>
      </c>
      <c r="W485" s="28">
        <f t="shared" si="111"/>
        <v>2.8029723528587808E-2</v>
      </c>
      <c r="X485" s="28">
        <f t="shared" si="111"/>
        <v>2.813718097180834E-2</v>
      </c>
      <c r="Y485" s="28">
        <f t="shared" si="111"/>
        <v>2.8205104287210486E-2</v>
      </c>
      <c r="Z485" s="28">
        <f t="shared" si="111"/>
        <v>2.827859386049221E-2</v>
      </c>
      <c r="AA485" s="28">
        <f t="shared" si="111"/>
        <v>2.8357953722781829E-2</v>
      </c>
      <c r="AB485" s="28">
        <f t="shared" si="111"/>
        <v>2.8442091325570455E-2</v>
      </c>
      <c r="AC485" s="28">
        <f t="shared" si="111"/>
        <v>2.8531343228541953E-2</v>
      </c>
      <c r="AD485" s="28">
        <f t="shared" si="111"/>
        <v>2.8589797298697615E-2</v>
      </c>
      <c r="AE485" s="28">
        <f t="shared" si="111"/>
        <v>2.8653191156704935E-2</v>
      </c>
      <c r="AF485" s="28">
        <f t="shared" si="111"/>
        <v>2.8720988877352402E-2</v>
      </c>
      <c r="AG485" s="28">
        <f t="shared" si="111"/>
        <v>2.8785522399032822E-2</v>
      </c>
      <c r="AH485" s="28">
        <f t="shared" si="111"/>
        <v>2.8503417366833182E-2</v>
      </c>
      <c r="AI485" s="28">
        <f t="shared" si="111"/>
        <v>2.8541163097285861E-2</v>
      </c>
      <c r="AJ485" s="28">
        <f t="shared" si="111"/>
        <v>2.8582293300392164E-2</v>
      </c>
      <c r="AK485" s="28">
        <f t="shared" si="111"/>
        <v>2.8626670529902105E-2</v>
      </c>
      <c r="AL485" s="28">
        <f t="shared" si="111"/>
        <v>2.8674168000666096E-2</v>
      </c>
      <c r="AM485" s="28">
        <f t="shared" si="111"/>
        <v>2.8724668567854592E-2</v>
      </c>
      <c r="AN485" s="28">
        <f t="shared" si="111"/>
        <v>2.8746345856035454E-2</v>
      </c>
      <c r="AO485" s="28">
        <f t="shared" si="111"/>
        <v>2.8770728534079647E-2</v>
      </c>
      <c r="AP485" s="28">
        <f t="shared" si="111"/>
        <v>2.8797714608919899E-2</v>
      </c>
      <c r="AQ485" s="28">
        <f t="shared" ref="L485:AW492" si="112">AQ1402</f>
        <v>2.8827209084453208E-2</v>
      </c>
      <c r="AR485" s="28">
        <f t="shared" si="112"/>
        <v>2.8859123362090785E-2</v>
      </c>
      <c r="AS485" s="28">
        <f t="shared" si="112"/>
        <v>2.8861613312163151E-2</v>
      </c>
      <c r="AT485" s="28">
        <f t="shared" si="112"/>
        <v>2.8866317654901063E-2</v>
      </c>
      <c r="AU485" s="28">
        <f t="shared" si="112"/>
        <v>2.887315686467273E-2</v>
      </c>
      <c r="AV485" s="28">
        <f t="shared" si="112"/>
        <v>2.888205628351705E-2</v>
      </c>
      <c r="AW485" s="28">
        <f t="shared" si="112"/>
        <v>2.8892945744034091E-2</v>
      </c>
      <c r="AY485" s="85"/>
    </row>
    <row r="486" spans="1:51" x14ac:dyDescent="0.25">
      <c r="A486" s="102" t="str">
        <f t="shared" si="108"/>
        <v>PQ Horses MMCH4</v>
      </c>
      <c r="B486" s="102" t="s">
        <v>969</v>
      </c>
      <c r="C486" s="102" t="s">
        <v>1327</v>
      </c>
      <c r="D486" t="s">
        <v>15</v>
      </c>
      <c r="E486" t="s">
        <v>22</v>
      </c>
      <c r="F486" t="s">
        <v>20</v>
      </c>
      <c r="G486" t="s">
        <v>3</v>
      </c>
      <c r="H486" t="s">
        <v>1228</v>
      </c>
      <c r="I486" t="s">
        <v>121</v>
      </c>
      <c r="J486" t="s">
        <v>286</v>
      </c>
      <c r="K486" s="28">
        <f t="shared" si="110"/>
        <v>4.1462896209668214E-3</v>
      </c>
      <c r="L486" s="28">
        <f t="shared" si="112"/>
        <v>4.1705892650270686E-3</v>
      </c>
      <c r="M486" s="28">
        <f t="shared" si="112"/>
        <v>4.1765760669998774E-3</v>
      </c>
      <c r="N486" s="28">
        <f t="shared" si="112"/>
        <v>4.1582865548880337E-3</v>
      </c>
      <c r="O486" s="28">
        <f t="shared" si="112"/>
        <v>4.1389364137095824E-3</v>
      </c>
      <c r="P486" s="28">
        <f t="shared" si="112"/>
        <v>4.1297300373309533E-3</v>
      </c>
      <c r="Q486" s="28">
        <f t="shared" si="112"/>
        <v>4.1235897943981579E-3</v>
      </c>
      <c r="R486" s="28">
        <f t="shared" si="112"/>
        <v>4.0939723150578283E-3</v>
      </c>
      <c r="S486" s="28">
        <f t="shared" si="112"/>
        <v>3.8546694485950316E-3</v>
      </c>
      <c r="T486" s="28">
        <f t="shared" si="112"/>
        <v>3.8885582856899971E-3</v>
      </c>
      <c r="U486" s="28">
        <f t="shared" si="112"/>
        <v>3.9163093014231119E-3</v>
      </c>
      <c r="V486" s="28">
        <f t="shared" si="112"/>
        <v>3.943499319412006E-3</v>
      </c>
      <c r="W486" s="28">
        <f t="shared" si="112"/>
        <v>3.9787498507285772E-3</v>
      </c>
      <c r="X486" s="28">
        <f t="shared" si="112"/>
        <v>4.0133556413366692E-3</v>
      </c>
      <c r="Y486" s="28">
        <f t="shared" si="112"/>
        <v>4.0529996928532061E-3</v>
      </c>
      <c r="Z486" s="28">
        <f t="shared" si="112"/>
        <v>4.0900631434267433E-3</v>
      </c>
      <c r="AA486" s="28">
        <f t="shared" si="112"/>
        <v>4.1299322607386601E-3</v>
      </c>
      <c r="AB486" s="28">
        <f t="shared" si="112"/>
        <v>4.1653099616518066E-3</v>
      </c>
      <c r="AC486" s="28">
        <f t="shared" si="112"/>
        <v>4.2013445039546862E-3</v>
      </c>
      <c r="AD486" s="28">
        <f t="shared" si="112"/>
        <v>4.251252835120037E-3</v>
      </c>
      <c r="AE486" s="28">
        <f t="shared" si="112"/>
        <v>4.3057143858228663E-3</v>
      </c>
      <c r="AF486" s="28">
        <f t="shared" si="112"/>
        <v>4.3617167354082645E-3</v>
      </c>
      <c r="AG486" s="28">
        <f t="shared" si="112"/>
        <v>4.3537503349345688E-3</v>
      </c>
      <c r="AH486" s="28">
        <f t="shared" si="112"/>
        <v>1.2882018816554785E-3</v>
      </c>
      <c r="AI486" s="28">
        <f t="shared" si="112"/>
        <v>1.2882018816554785E-3</v>
      </c>
      <c r="AJ486" s="28">
        <f t="shared" si="112"/>
        <v>1.2882018816554785E-3</v>
      </c>
      <c r="AK486" s="28">
        <f t="shared" si="112"/>
        <v>1.2882018816554785E-3</v>
      </c>
      <c r="AL486" s="28">
        <f t="shared" si="112"/>
        <v>1.2882018816554785E-3</v>
      </c>
      <c r="AM486" s="28">
        <f t="shared" si="112"/>
        <v>1.2882018816554785E-3</v>
      </c>
      <c r="AN486" s="28">
        <f t="shared" si="112"/>
        <v>1.2882018816554785E-3</v>
      </c>
      <c r="AO486" s="28">
        <f t="shared" si="112"/>
        <v>1.2882018816554785E-3</v>
      </c>
      <c r="AP486" s="28">
        <f t="shared" si="112"/>
        <v>1.2882018816554785E-3</v>
      </c>
      <c r="AQ486" s="28">
        <f t="shared" si="112"/>
        <v>1.2882018816554785E-3</v>
      </c>
      <c r="AR486" s="28">
        <f t="shared" si="112"/>
        <v>1.2882018816554785E-3</v>
      </c>
      <c r="AS486" s="28">
        <f t="shared" si="112"/>
        <v>1.2882018816554785E-3</v>
      </c>
      <c r="AT486" s="28">
        <f t="shared" si="112"/>
        <v>1.2882018816554785E-3</v>
      </c>
      <c r="AU486" s="28">
        <f t="shared" si="112"/>
        <v>1.2882018816554785E-3</v>
      </c>
      <c r="AV486" s="28">
        <f t="shared" si="112"/>
        <v>1.2882018816554785E-3</v>
      </c>
      <c r="AW486" s="28">
        <f t="shared" si="112"/>
        <v>1.2882018816554785E-3</v>
      </c>
      <c r="AY486" s="85"/>
    </row>
    <row r="487" spans="1:51" x14ac:dyDescent="0.25">
      <c r="A487" s="102" t="str">
        <f t="shared" si="108"/>
        <v>PQ Mules MMCH4</v>
      </c>
      <c r="B487" s="102" t="s">
        <v>969</v>
      </c>
      <c r="C487" s="102" t="s">
        <v>1328</v>
      </c>
      <c r="D487" t="s">
        <v>15</v>
      </c>
      <c r="E487" t="s">
        <v>22</v>
      </c>
      <c r="F487" t="s">
        <v>140</v>
      </c>
      <c r="G487" t="s">
        <v>124</v>
      </c>
      <c r="H487" t="s">
        <v>1228</v>
      </c>
      <c r="I487" t="s">
        <v>121</v>
      </c>
      <c r="J487" t="s">
        <v>286</v>
      </c>
      <c r="K487" s="28">
        <f t="shared" si="110"/>
        <v>7.515E-4</v>
      </c>
      <c r="L487" s="28">
        <f t="shared" si="112"/>
        <v>7.515E-4</v>
      </c>
      <c r="M487" s="28">
        <f t="shared" si="112"/>
        <v>7.515E-4</v>
      </c>
      <c r="N487" s="28">
        <f t="shared" si="112"/>
        <v>7.515E-4</v>
      </c>
      <c r="O487" s="28">
        <f t="shared" si="112"/>
        <v>7.515E-4</v>
      </c>
      <c r="P487" s="28">
        <f t="shared" si="112"/>
        <v>7.515E-4</v>
      </c>
      <c r="Q487" s="28">
        <f t="shared" si="112"/>
        <v>7.515E-4</v>
      </c>
      <c r="R487" s="28">
        <f t="shared" si="112"/>
        <v>7.515E-4</v>
      </c>
      <c r="S487" s="28">
        <f t="shared" si="112"/>
        <v>7.515E-4</v>
      </c>
      <c r="T487" s="28">
        <f t="shared" si="112"/>
        <v>7.515E-4</v>
      </c>
      <c r="U487" s="28">
        <f t="shared" si="112"/>
        <v>7.515E-4</v>
      </c>
      <c r="V487" s="28">
        <f t="shared" si="112"/>
        <v>7.515E-4</v>
      </c>
      <c r="W487" s="28">
        <f t="shared" si="112"/>
        <v>7.515E-4</v>
      </c>
      <c r="X487" s="28">
        <f t="shared" si="112"/>
        <v>7.515E-4</v>
      </c>
      <c r="Y487" s="28">
        <f t="shared" si="112"/>
        <v>7.515E-4</v>
      </c>
      <c r="Z487" s="28">
        <f t="shared" si="112"/>
        <v>7.515E-4</v>
      </c>
      <c r="AA487" s="28">
        <f t="shared" si="112"/>
        <v>7.515E-4</v>
      </c>
      <c r="AB487" s="28">
        <f t="shared" si="112"/>
        <v>7.515E-4</v>
      </c>
      <c r="AC487" s="28">
        <f t="shared" si="112"/>
        <v>7.515E-4</v>
      </c>
      <c r="AD487" s="28">
        <f t="shared" si="112"/>
        <v>7.515E-4</v>
      </c>
      <c r="AE487" s="28">
        <f t="shared" si="112"/>
        <v>7.515E-4</v>
      </c>
      <c r="AF487" s="28">
        <f t="shared" si="112"/>
        <v>7.515E-4</v>
      </c>
      <c r="AG487" s="28">
        <f t="shared" si="112"/>
        <v>7.515E-4</v>
      </c>
      <c r="AH487" s="28">
        <f t="shared" si="112"/>
        <v>7.515E-4</v>
      </c>
      <c r="AI487" s="28">
        <f t="shared" si="112"/>
        <v>7.515E-4</v>
      </c>
      <c r="AJ487" s="28">
        <f t="shared" si="112"/>
        <v>7.515E-4</v>
      </c>
      <c r="AK487" s="28">
        <f t="shared" si="112"/>
        <v>7.515E-4</v>
      </c>
      <c r="AL487" s="28">
        <f t="shared" si="112"/>
        <v>7.515E-4</v>
      </c>
      <c r="AM487" s="28">
        <f t="shared" si="112"/>
        <v>7.515E-4</v>
      </c>
      <c r="AN487" s="28">
        <f t="shared" si="112"/>
        <v>7.515E-4</v>
      </c>
      <c r="AO487" s="28">
        <f t="shared" si="112"/>
        <v>7.515E-4</v>
      </c>
      <c r="AP487" s="28">
        <f t="shared" si="112"/>
        <v>7.515E-4</v>
      </c>
      <c r="AQ487" s="28">
        <f t="shared" si="112"/>
        <v>7.515E-4</v>
      </c>
      <c r="AR487" s="28">
        <f t="shared" si="112"/>
        <v>7.515E-4</v>
      </c>
      <c r="AS487" s="28">
        <f t="shared" si="112"/>
        <v>7.515E-4</v>
      </c>
      <c r="AT487" s="28">
        <f t="shared" si="112"/>
        <v>7.515E-4</v>
      </c>
      <c r="AU487" s="28">
        <f t="shared" si="112"/>
        <v>7.515E-4</v>
      </c>
      <c r="AV487" s="28">
        <f t="shared" si="112"/>
        <v>7.515E-4</v>
      </c>
      <c r="AW487" s="28">
        <f t="shared" si="112"/>
        <v>7.515E-4</v>
      </c>
      <c r="AY487" s="85"/>
    </row>
    <row r="488" spans="1:51" x14ac:dyDescent="0.25">
      <c r="A488" s="102" t="str">
        <f t="shared" si="108"/>
        <v>PQ Swine MMCH4</v>
      </c>
      <c r="B488" s="102" t="s">
        <v>969</v>
      </c>
      <c r="C488" s="102" t="s">
        <v>1231</v>
      </c>
      <c r="D488" t="s">
        <v>15</v>
      </c>
      <c r="E488" t="s">
        <v>22</v>
      </c>
      <c r="F488" t="s">
        <v>21</v>
      </c>
      <c r="G488" t="s">
        <v>122</v>
      </c>
      <c r="H488" t="s">
        <v>1228</v>
      </c>
      <c r="I488" t="s">
        <v>121</v>
      </c>
      <c r="J488" t="s">
        <v>286</v>
      </c>
      <c r="K488" s="28">
        <f t="shared" si="110"/>
        <v>23.457025843160746</v>
      </c>
      <c r="L488" s="28">
        <f t="shared" si="112"/>
        <v>23.382986937378849</v>
      </c>
      <c r="M488" s="28">
        <f t="shared" si="112"/>
        <v>23.13814083382033</v>
      </c>
      <c r="N488" s="28">
        <f t="shared" si="112"/>
        <v>22.662740453710065</v>
      </c>
      <c r="O488" s="28">
        <f t="shared" si="112"/>
        <v>22.20814052076085</v>
      </c>
      <c r="P488" s="28">
        <f t="shared" si="112"/>
        <v>21.88923282801473</v>
      </c>
      <c r="Q488" s="28">
        <f t="shared" si="112"/>
        <v>21.619144612435328</v>
      </c>
      <c r="R488" s="28">
        <f t="shared" si="112"/>
        <v>21.121805661826951</v>
      </c>
      <c r="S488" s="28">
        <f t="shared" si="112"/>
        <v>18.490541417957555</v>
      </c>
      <c r="T488" s="28">
        <f t="shared" si="112"/>
        <v>18.608041284910804</v>
      </c>
      <c r="U488" s="28">
        <f t="shared" si="112"/>
        <v>18.667021404289045</v>
      </c>
      <c r="V488" s="28">
        <f t="shared" si="112"/>
        <v>18.724361625340102</v>
      </c>
      <c r="W488" s="28">
        <f t="shared" si="112"/>
        <v>18.864420993049936</v>
      </c>
      <c r="X488" s="28">
        <f t="shared" si="112"/>
        <v>18.999771799577022</v>
      </c>
      <c r="Y488" s="28">
        <f t="shared" si="112"/>
        <v>19.155053851314552</v>
      </c>
      <c r="Z488" s="28">
        <f t="shared" si="112"/>
        <v>19.285389594633891</v>
      </c>
      <c r="AA488" s="28">
        <f t="shared" si="112"/>
        <v>19.442022836092864</v>
      </c>
      <c r="AB488" s="28">
        <f t="shared" si="112"/>
        <v>19.556042835681847</v>
      </c>
      <c r="AC488" s="28">
        <f t="shared" si="112"/>
        <v>19.675981891326479</v>
      </c>
      <c r="AD488" s="28">
        <f t="shared" si="112"/>
        <v>19.897202740032366</v>
      </c>
      <c r="AE488" s="28">
        <f t="shared" si="112"/>
        <v>20.155624807886987</v>
      </c>
      <c r="AF488" s="28">
        <f t="shared" si="112"/>
        <v>20.423045067986479</v>
      </c>
      <c r="AG488" s="28">
        <f t="shared" si="112"/>
        <v>20.122488548289958</v>
      </c>
      <c r="AH488" s="28">
        <f t="shared" si="112"/>
        <v>-6.7894777188619928</v>
      </c>
      <c r="AI488" s="28">
        <f t="shared" si="112"/>
        <v>-6.7152117988933071</v>
      </c>
      <c r="AJ488" s="28">
        <f t="shared" si="112"/>
        <v>-6.6425365492848538</v>
      </c>
      <c r="AK488" s="28">
        <f t="shared" si="112"/>
        <v>-6.5713479103809611</v>
      </c>
      <c r="AL488" s="28">
        <f t="shared" si="112"/>
        <v>-6.5015494417857838</v>
      </c>
      <c r="AM488" s="28">
        <f t="shared" si="112"/>
        <v>-6.4330515855366484</v>
      </c>
      <c r="AN488" s="28">
        <f t="shared" si="112"/>
        <v>-6.3579230849055142</v>
      </c>
      <c r="AO488" s="28">
        <f t="shared" si="112"/>
        <v>-6.2841192058185475</v>
      </c>
      <c r="AP488" s="28">
        <f t="shared" si="112"/>
        <v>-6.2115625843192586</v>
      </c>
      <c r="AQ488" s="28">
        <f t="shared" si="112"/>
        <v>-6.1401809096937727</v>
      </c>
      <c r="AR488" s="28">
        <f t="shared" si="112"/>
        <v>-6.069906487857895</v>
      </c>
      <c r="AS488" s="28">
        <f t="shared" si="112"/>
        <v>-5.9933231004711045</v>
      </c>
      <c r="AT488" s="28">
        <f t="shared" si="112"/>
        <v>-5.917909419883066</v>
      </c>
      <c r="AU488" s="28">
        <f t="shared" si="112"/>
        <v>-5.8436052370026852</v>
      </c>
      <c r="AV488" s="28">
        <f t="shared" si="112"/>
        <v>-5.7703539001026636</v>
      </c>
      <c r="AW488" s="28">
        <f t="shared" si="112"/>
        <v>-5.6981020374621041</v>
      </c>
      <c r="AY488" s="85"/>
    </row>
    <row r="489" spans="1:51" x14ac:dyDescent="0.25">
      <c r="A489" s="102" t="str">
        <f t="shared" si="108"/>
        <v>PQ Swine MMCH4</v>
      </c>
      <c r="B489" s="102" t="s">
        <v>969</v>
      </c>
      <c r="C489" s="102" t="s">
        <v>1231</v>
      </c>
      <c r="D489" t="s">
        <v>15</v>
      </c>
      <c r="E489" t="s">
        <v>22</v>
      </c>
      <c r="F489" t="s">
        <v>21</v>
      </c>
      <c r="G489" t="s">
        <v>123</v>
      </c>
      <c r="H489" t="s">
        <v>1228</v>
      </c>
      <c r="I489" t="s">
        <v>121</v>
      </c>
      <c r="J489" t="s">
        <v>286</v>
      </c>
      <c r="K489" s="28">
        <f t="shared" si="110"/>
        <v>7.8527817196558602E-2</v>
      </c>
      <c r="L489" s="28">
        <f t="shared" si="112"/>
        <v>7.8279954841904253E-2</v>
      </c>
      <c r="M489" s="28">
        <f t="shared" si="112"/>
        <v>7.7460275902635017E-2</v>
      </c>
      <c r="N489" s="28">
        <f t="shared" si="112"/>
        <v>7.5868763219224714E-2</v>
      </c>
      <c r="O489" s="28">
        <f t="shared" si="112"/>
        <v>7.4346884841680436E-2</v>
      </c>
      <c r="P489" s="28">
        <f t="shared" si="112"/>
        <v>7.3279267609811918E-2</v>
      </c>
      <c r="Q489" s="28">
        <f t="shared" si="112"/>
        <v>7.2375084864660211E-2</v>
      </c>
      <c r="R489" s="28">
        <f t="shared" si="112"/>
        <v>7.0710127744382734E-2</v>
      </c>
      <c r="S489" s="28">
        <f t="shared" si="112"/>
        <v>6.1901362348463523E-2</v>
      </c>
      <c r="T489" s="28">
        <f t="shared" si="112"/>
        <v>6.2294720318669075E-2</v>
      </c>
      <c r="U489" s="28">
        <f t="shared" si="112"/>
        <v>6.2492169904295722E-2</v>
      </c>
      <c r="V489" s="28">
        <f t="shared" si="112"/>
        <v>6.2684129551133075E-2</v>
      </c>
      <c r="W489" s="28">
        <f t="shared" si="112"/>
        <v>6.3153010665803033E-2</v>
      </c>
      <c r="X489" s="28">
        <f t="shared" si="112"/>
        <v>6.360612878331004E-2</v>
      </c>
      <c r="Y489" s="28">
        <f t="shared" si="112"/>
        <v>6.4125971352196762E-2</v>
      </c>
      <c r="Z489" s="28">
        <f t="shared" si="112"/>
        <v>6.4562300386149837E-2</v>
      </c>
      <c r="AA489" s="28">
        <f t="shared" si="112"/>
        <v>6.5086666375019683E-2</v>
      </c>
      <c r="AB489" s="28">
        <f t="shared" si="112"/>
        <v>6.5468374684689551E-2</v>
      </c>
      <c r="AC489" s="28">
        <f t="shared" si="112"/>
        <v>6.5869898402971833E-2</v>
      </c>
      <c r="AD489" s="28">
        <f t="shared" si="112"/>
        <v>6.6610486339541322E-2</v>
      </c>
      <c r="AE489" s="28">
        <f t="shared" si="112"/>
        <v>6.7475613958009675E-2</v>
      </c>
      <c r="AF489" s="28">
        <f t="shared" si="112"/>
        <v>6.8370865105369938E-2</v>
      </c>
      <c r="AG489" s="28">
        <f t="shared" si="112"/>
        <v>6.7364682668015305E-2</v>
      </c>
      <c r="AH489" s="28">
        <f t="shared" si="112"/>
        <v>-2.2729346368621329E-2</v>
      </c>
      <c r="AI489" s="28">
        <f t="shared" si="112"/>
        <v>-2.2480724031491765E-2</v>
      </c>
      <c r="AJ489" s="28">
        <f t="shared" si="112"/>
        <v>-2.2237426831150792E-2</v>
      </c>
      <c r="AK489" s="28">
        <f t="shared" si="112"/>
        <v>-2.1999106403842797E-2</v>
      </c>
      <c r="AL489" s="28">
        <f t="shared" si="112"/>
        <v>-2.1765439893045996E-2</v>
      </c>
      <c r="AM489" s="28">
        <f t="shared" si="112"/>
        <v>-2.1536127482774822E-2</v>
      </c>
      <c r="AN489" s="28">
        <f t="shared" si="112"/>
        <v>-2.1284617457451926E-2</v>
      </c>
      <c r="AO489" s="28">
        <f t="shared" si="112"/>
        <v>-2.1037541908996236E-2</v>
      </c>
      <c r="AP489" s="28">
        <f t="shared" si="112"/>
        <v>-2.0794641843677117E-2</v>
      </c>
      <c r="AQ489" s="28">
        <f t="shared" si="112"/>
        <v>-2.0555675184661872E-2</v>
      </c>
      <c r="AR489" s="28">
        <f t="shared" si="112"/>
        <v>-2.0320415310353012E-2</v>
      </c>
      <c r="AS489" s="28">
        <f t="shared" si="112"/>
        <v>-2.0064034715250558E-2</v>
      </c>
      <c r="AT489" s="28">
        <f t="shared" si="112"/>
        <v>-1.9811569984089266E-2</v>
      </c>
      <c r="AU489" s="28">
        <f t="shared" si="112"/>
        <v>-1.9562819553016541E-2</v>
      </c>
      <c r="AV489" s="28">
        <f t="shared" si="112"/>
        <v>-1.9317593767277572E-2</v>
      </c>
      <c r="AW489" s="28">
        <f t="shared" si="112"/>
        <v>-1.907571395269729E-2</v>
      </c>
      <c r="AY489" s="85"/>
    </row>
    <row r="490" spans="1:51" x14ac:dyDescent="0.25">
      <c r="A490" s="102" t="str">
        <f t="shared" si="108"/>
        <v>PQ Poultry MMCH4</v>
      </c>
      <c r="B490" s="102" t="s">
        <v>969</v>
      </c>
      <c r="C490" s="102" t="s">
        <v>1232</v>
      </c>
      <c r="D490" t="s">
        <v>15</v>
      </c>
      <c r="E490" t="s">
        <v>22</v>
      </c>
      <c r="F490" t="s">
        <v>28</v>
      </c>
      <c r="G490" t="s">
        <v>131</v>
      </c>
      <c r="H490" t="s">
        <v>1228</v>
      </c>
      <c r="I490" t="s">
        <v>121</v>
      </c>
      <c r="J490" t="s">
        <v>286</v>
      </c>
      <c r="K490" s="28">
        <f t="shared" si="110"/>
        <v>0.55890468998141496</v>
      </c>
      <c r="L490" s="28">
        <f t="shared" si="112"/>
        <v>0.57100815822901829</v>
      </c>
      <c r="M490" s="28">
        <f t="shared" si="112"/>
        <v>0.58076061949579127</v>
      </c>
      <c r="N490" s="28">
        <f t="shared" si="112"/>
        <v>0.58713273634766394</v>
      </c>
      <c r="O490" s="28">
        <f t="shared" si="112"/>
        <v>0.59359134329353236</v>
      </c>
      <c r="P490" s="28">
        <f t="shared" si="112"/>
        <v>0.60191770622970409</v>
      </c>
      <c r="Q490" s="28">
        <f t="shared" si="112"/>
        <v>0.61082194696949044</v>
      </c>
      <c r="R490" s="28">
        <f t="shared" si="112"/>
        <v>0.61600023875173726</v>
      </c>
      <c r="S490" s="28">
        <f t="shared" si="112"/>
        <v>0.58621039395021657</v>
      </c>
      <c r="T490" s="28">
        <f t="shared" si="112"/>
        <v>0.59879553943192321</v>
      </c>
      <c r="U490" s="28">
        <f t="shared" si="112"/>
        <v>0.61054377323307962</v>
      </c>
      <c r="V490" s="28">
        <f t="shared" si="112"/>
        <v>0.62238475303160634</v>
      </c>
      <c r="W490" s="28">
        <f t="shared" si="112"/>
        <v>0.63582344873120078</v>
      </c>
      <c r="X490" s="28">
        <f t="shared" si="112"/>
        <v>0.6493737760577617</v>
      </c>
      <c r="Y490" s="28">
        <f t="shared" si="112"/>
        <v>0.66294132390021665</v>
      </c>
      <c r="Z490" s="28">
        <f t="shared" si="112"/>
        <v>0.67624718076087176</v>
      </c>
      <c r="AA490" s="28">
        <f t="shared" si="112"/>
        <v>0.69026013489965976</v>
      </c>
      <c r="AB490" s="28">
        <f t="shared" si="112"/>
        <v>0.70365733936336983</v>
      </c>
      <c r="AC490" s="28">
        <f t="shared" si="112"/>
        <v>0.71737227237227463</v>
      </c>
      <c r="AD490" s="28">
        <f t="shared" si="112"/>
        <v>0.7329223784090988</v>
      </c>
      <c r="AE490" s="28">
        <f t="shared" si="112"/>
        <v>0.74954420563381685</v>
      </c>
      <c r="AF490" s="28">
        <f t="shared" si="112"/>
        <v>0.76668896317960933</v>
      </c>
      <c r="AG490" s="28">
        <f t="shared" si="112"/>
        <v>0.77179208889456419</v>
      </c>
      <c r="AH490" s="28">
        <f t="shared" si="112"/>
        <v>0.1849915255736751</v>
      </c>
      <c r="AI490" s="28">
        <f t="shared" si="112"/>
        <v>0.18641334189853098</v>
      </c>
      <c r="AJ490" s="28">
        <f t="shared" si="112"/>
        <v>0.18784551012942485</v>
      </c>
      <c r="AK490" s="28">
        <f t="shared" si="112"/>
        <v>0.18928810909326649</v>
      </c>
      <c r="AL490" s="28">
        <f t="shared" si="112"/>
        <v>0.19074121797493229</v>
      </c>
      <c r="AM490" s="28">
        <f t="shared" si="112"/>
        <v>0.19220491634055523</v>
      </c>
      <c r="AN490" s="28">
        <f t="shared" si="112"/>
        <v>0.19345615565117347</v>
      </c>
      <c r="AO490" s="28">
        <f t="shared" si="112"/>
        <v>0.19471511856878457</v>
      </c>
      <c r="AP490" s="28">
        <f t="shared" si="112"/>
        <v>0.1959818552978623</v>
      </c>
      <c r="AQ490" s="28">
        <f t="shared" si="112"/>
        <v>0.19725641621087697</v>
      </c>
      <c r="AR490" s="28">
        <f t="shared" si="112"/>
        <v>0.19853885186147341</v>
      </c>
      <c r="AS490" s="28">
        <f t="shared" si="112"/>
        <v>0.19959990963889776</v>
      </c>
      <c r="AT490" s="28">
        <f t="shared" si="112"/>
        <v>0.20066634279480103</v>
      </c>
      <c r="AU490" s="28">
        <f t="shared" si="112"/>
        <v>0.20173818048457057</v>
      </c>
      <c r="AV490" s="28">
        <f t="shared" si="112"/>
        <v>0.20281545191264314</v>
      </c>
      <c r="AW490" s="28">
        <f t="shared" si="112"/>
        <v>0.20389818634036988</v>
      </c>
      <c r="AY490" s="85"/>
    </row>
    <row r="491" spans="1:51" x14ac:dyDescent="0.25">
      <c r="A491" s="102" t="str">
        <f t="shared" si="108"/>
        <v>PQ Poultry MMCH4</v>
      </c>
      <c r="B491" s="102" t="s">
        <v>969</v>
      </c>
      <c r="C491" s="102" t="s">
        <v>1232</v>
      </c>
      <c r="D491" t="s">
        <v>15</v>
      </c>
      <c r="E491" t="s">
        <v>22</v>
      </c>
      <c r="F491" t="s">
        <v>28</v>
      </c>
      <c r="G491" t="s">
        <v>132</v>
      </c>
      <c r="H491" t="s">
        <v>1228</v>
      </c>
      <c r="I491" t="s">
        <v>121</v>
      </c>
      <c r="J491" t="s">
        <v>286</v>
      </c>
      <c r="K491" s="28">
        <f t="shared" si="110"/>
        <v>2.2359130252274535</v>
      </c>
      <c r="L491" s="28">
        <f t="shared" si="112"/>
        <v>2.2721966041793928</v>
      </c>
      <c r="M491" s="28">
        <f t="shared" si="112"/>
        <v>2.2829699564071859</v>
      </c>
      <c r="N491" s="28">
        <f t="shared" si="112"/>
        <v>2.2588206467778473</v>
      </c>
      <c r="O491" s="28">
        <f t="shared" si="112"/>
        <v>2.2347231893932196</v>
      </c>
      <c r="P491" s="28">
        <f t="shared" si="112"/>
        <v>2.2277310720056978</v>
      </c>
      <c r="Q491" s="28">
        <f t="shared" si="112"/>
        <v>2.2262744989012253</v>
      </c>
      <c r="R491" s="28">
        <f t="shared" si="112"/>
        <v>2.1891395906785935</v>
      </c>
      <c r="S491" s="28">
        <f t="shared" si="112"/>
        <v>1.8240868851485099</v>
      </c>
      <c r="T491" s="28">
        <f t="shared" si="112"/>
        <v>1.8778928986212129</v>
      </c>
      <c r="U491" s="28">
        <f t="shared" si="112"/>
        <v>1.9228674992863757</v>
      </c>
      <c r="V491" s="28">
        <f t="shared" si="112"/>
        <v>1.9677329744500112</v>
      </c>
      <c r="W491" s="28">
        <f t="shared" si="112"/>
        <v>2.0261043748595982</v>
      </c>
      <c r="X491" s="28">
        <f t="shared" si="112"/>
        <v>2.0843005626552618</v>
      </c>
      <c r="Y491" s="28">
        <f t="shared" si="112"/>
        <v>2.1481960991761384</v>
      </c>
      <c r="Z491" s="28">
        <f t="shared" si="112"/>
        <v>2.208679923214985</v>
      </c>
      <c r="AA491" s="28">
        <f t="shared" si="112"/>
        <v>2.2743218882510807</v>
      </c>
      <c r="AB491" s="28">
        <f t="shared" si="112"/>
        <v>2.3335097773270199</v>
      </c>
      <c r="AC491" s="28">
        <f t="shared" si="112"/>
        <v>2.3944453885765151</v>
      </c>
      <c r="AD491" s="28">
        <f t="shared" si="112"/>
        <v>2.4754243930729589</v>
      </c>
      <c r="AE491" s="28">
        <f t="shared" si="112"/>
        <v>2.5643290582437364</v>
      </c>
      <c r="AF491" s="28">
        <f t="shared" si="112"/>
        <v>2.656369337897865</v>
      </c>
      <c r="AG491" s="28">
        <f t="shared" si="112"/>
        <v>2.6461200420455202</v>
      </c>
      <c r="AH491" s="28">
        <f t="shared" si="112"/>
        <v>-2.2948520289362109</v>
      </c>
      <c r="AI491" s="28">
        <f t="shared" si="112"/>
        <v>-2.2981400819551214</v>
      </c>
      <c r="AJ491" s="28">
        <f t="shared" si="112"/>
        <v>-2.3017063755775586</v>
      </c>
      <c r="AK491" s="28">
        <f t="shared" si="112"/>
        <v>-2.3055392982644372</v>
      </c>
      <c r="AL491" s="28">
        <f t="shared" si="112"/>
        <v>-2.3096281403729781</v>
      </c>
      <c r="AM491" s="28">
        <f t="shared" si="112"/>
        <v>-2.3139630075215134</v>
      </c>
      <c r="AN491" s="28">
        <f t="shared" si="112"/>
        <v>-2.3157471615489813</v>
      </c>
      <c r="AO491" s="28">
        <f t="shared" si="112"/>
        <v>-2.3177549214936723</v>
      </c>
      <c r="AP491" s="28">
        <f t="shared" si="112"/>
        <v>-2.3199776048516689</v>
      </c>
      <c r="AQ491" s="28">
        <f t="shared" si="112"/>
        <v>-2.3224071252966718</v>
      </c>
      <c r="AR491" s="28">
        <f t="shared" si="112"/>
        <v>-2.3250359414523776</v>
      </c>
      <c r="AS491" s="28">
        <f t="shared" si="112"/>
        <v>-2.3250730145110658</v>
      </c>
      <c r="AT491" s="28">
        <f t="shared" si="112"/>
        <v>-2.3252946526138598</v>
      </c>
      <c r="AU491" s="28">
        <f t="shared" si="112"/>
        <v>-2.3256940319059596</v>
      </c>
      <c r="AV491" s="28">
        <f t="shared" si="112"/>
        <v>-2.3262647465769009</v>
      </c>
      <c r="AW491" s="28">
        <f t="shared" si="112"/>
        <v>-2.3270007763918432</v>
      </c>
      <c r="AY491" s="85"/>
    </row>
    <row r="492" spans="1:51" x14ac:dyDescent="0.25">
      <c r="A492" s="102" t="str">
        <f t="shared" si="108"/>
        <v>PQ Poultry MMCH4</v>
      </c>
      <c r="B492" s="102" t="s">
        <v>969</v>
      </c>
      <c r="C492" s="102" t="s">
        <v>1232</v>
      </c>
      <c r="D492" t="s">
        <v>15</v>
      </c>
      <c r="E492" t="s">
        <v>22</v>
      </c>
      <c r="F492" t="s">
        <v>28</v>
      </c>
      <c r="G492" t="s">
        <v>134</v>
      </c>
      <c r="H492" t="s">
        <v>1228</v>
      </c>
      <c r="I492" t="s">
        <v>121</v>
      </c>
      <c r="J492" t="s">
        <v>286</v>
      </c>
      <c r="K492" s="28">
        <f t="shared" si="110"/>
        <v>2.3287695415892307E-2</v>
      </c>
      <c r="L492" s="28">
        <f t="shared" si="112"/>
        <v>2.3792006592875784E-2</v>
      </c>
      <c r="M492" s="28">
        <f t="shared" si="112"/>
        <v>2.4198359145657992E-2</v>
      </c>
      <c r="N492" s="28">
        <f t="shared" si="112"/>
        <v>2.4463864014486018E-2</v>
      </c>
      <c r="O492" s="28">
        <f t="shared" si="112"/>
        <v>2.4732972637230538E-2</v>
      </c>
      <c r="P492" s="28">
        <f t="shared" si="112"/>
        <v>2.5079904426237691E-2</v>
      </c>
      <c r="Q492" s="28">
        <f t="shared" si="112"/>
        <v>2.5450914457062126E-2</v>
      </c>
      <c r="R492" s="28">
        <f t="shared" si="112"/>
        <v>2.5666676614655742E-2</v>
      </c>
      <c r="S492" s="28">
        <f t="shared" si="112"/>
        <v>2.4425433081259044E-2</v>
      </c>
      <c r="T492" s="28">
        <f t="shared" si="112"/>
        <v>2.4949814142996823E-2</v>
      </c>
      <c r="U492" s="28">
        <f t="shared" si="112"/>
        <v>2.5439323884711679E-2</v>
      </c>
      <c r="V492" s="28">
        <f t="shared" si="112"/>
        <v>2.5932698042983617E-2</v>
      </c>
      <c r="W492" s="28">
        <f t="shared" si="112"/>
        <v>2.6492643697133385E-2</v>
      </c>
      <c r="X492" s="28">
        <f t="shared" si="112"/>
        <v>2.7057240669073435E-2</v>
      </c>
      <c r="Y492" s="28">
        <f t="shared" si="112"/>
        <v>2.7622555162509051E-2</v>
      </c>
      <c r="Z492" s="28">
        <f t="shared" si="112"/>
        <v>2.8176965865036346E-2</v>
      </c>
      <c r="AA492" s="28">
        <f t="shared" si="112"/>
        <v>2.8760838954152518E-2</v>
      </c>
      <c r="AB492" s="28">
        <f t="shared" si="112"/>
        <v>2.9319055806807104E-2</v>
      </c>
      <c r="AC492" s="28">
        <f t="shared" si="112"/>
        <v>2.9890511348844809E-2</v>
      </c>
      <c r="AD492" s="28">
        <f t="shared" si="112"/>
        <v>3.0538432433712476E-2</v>
      </c>
      <c r="AE492" s="28">
        <f t="shared" si="112"/>
        <v>3.123100856807573E-2</v>
      </c>
      <c r="AF492" s="28">
        <f t="shared" ref="L492:AW499" si="113">AF1409</f>
        <v>3.1945373465817078E-2</v>
      </c>
      <c r="AG492" s="28">
        <f t="shared" si="113"/>
        <v>3.2158003703940202E-2</v>
      </c>
      <c r="AH492" s="28">
        <f t="shared" si="113"/>
        <v>7.7079802322364711E-3</v>
      </c>
      <c r="AI492" s="28">
        <f t="shared" si="113"/>
        <v>7.7672225791054648E-3</v>
      </c>
      <c r="AJ492" s="28">
        <f t="shared" si="113"/>
        <v>7.8268962553927103E-3</v>
      </c>
      <c r="AK492" s="28">
        <f t="shared" si="113"/>
        <v>7.8870045455527778E-3</v>
      </c>
      <c r="AL492" s="28">
        <f t="shared" si="113"/>
        <v>7.9475507489555203E-3</v>
      </c>
      <c r="AM492" s="28">
        <f t="shared" si="113"/>
        <v>8.0085381808564764E-3</v>
      </c>
      <c r="AN492" s="28">
        <f t="shared" si="113"/>
        <v>8.0606731521322347E-3</v>
      </c>
      <c r="AO492" s="28">
        <f t="shared" si="113"/>
        <v>8.1131299403660317E-3</v>
      </c>
      <c r="AP492" s="28">
        <f t="shared" si="113"/>
        <v>8.1659106374109367E-3</v>
      </c>
      <c r="AQ492" s="28">
        <f t="shared" si="113"/>
        <v>8.2190173421198831E-3</v>
      </c>
      <c r="AR492" s="28">
        <f t="shared" si="113"/>
        <v>8.2724521608947329E-3</v>
      </c>
      <c r="AS492" s="28">
        <f t="shared" si="113"/>
        <v>8.3166629016207475E-3</v>
      </c>
      <c r="AT492" s="28">
        <f t="shared" si="113"/>
        <v>8.3610976164500486E-3</v>
      </c>
      <c r="AU492" s="28">
        <f t="shared" si="113"/>
        <v>8.4057575201904496E-3</v>
      </c>
      <c r="AV492" s="28">
        <f t="shared" si="113"/>
        <v>8.4506438296934709E-3</v>
      </c>
      <c r="AW492" s="28">
        <f t="shared" si="113"/>
        <v>8.495757764182087E-3</v>
      </c>
      <c r="AY492" s="85"/>
    </row>
    <row r="493" spans="1:51" x14ac:dyDescent="0.25">
      <c r="A493" s="102" t="str">
        <f t="shared" si="108"/>
        <v>PQ Poultry MMCH4</v>
      </c>
      <c r="B493" s="102" t="s">
        <v>969</v>
      </c>
      <c r="C493" s="102" t="s">
        <v>1232</v>
      </c>
      <c r="D493" t="s">
        <v>15</v>
      </c>
      <c r="E493" t="s">
        <v>22</v>
      </c>
      <c r="F493" t="s">
        <v>28</v>
      </c>
      <c r="G493" t="s">
        <v>133</v>
      </c>
      <c r="H493" t="s">
        <v>1228</v>
      </c>
      <c r="I493" t="s">
        <v>121</v>
      </c>
      <c r="J493" t="s">
        <v>286</v>
      </c>
      <c r="K493" s="28">
        <f t="shared" si="110"/>
        <v>9.3163042717810632E-2</v>
      </c>
      <c r="L493" s="28">
        <f t="shared" si="113"/>
        <v>9.4674858507474813E-2</v>
      </c>
      <c r="M493" s="28">
        <f t="shared" si="113"/>
        <v>9.5123748183632839E-2</v>
      </c>
      <c r="N493" s="28">
        <f t="shared" si="113"/>
        <v>9.411752694907706E-2</v>
      </c>
      <c r="O493" s="28">
        <f t="shared" si="113"/>
        <v>9.3113466224717556E-2</v>
      </c>
      <c r="P493" s="28">
        <f t="shared" si="113"/>
        <v>9.2822128000237508E-2</v>
      </c>
      <c r="Q493" s="28">
        <f t="shared" si="113"/>
        <v>9.2761437454217818E-2</v>
      </c>
      <c r="R493" s="28">
        <f t="shared" si="113"/>
        <v>9.1214149611608147E-2</v>
      </c>
      <c r="S493" s="28">
        <f t="shared" si="113"/>
        <v>7.6003620214521325E-2</v>
      </c>
      <c r="T493" s="28">
        <f t="shared" si="113"/>
        <v>7.8245537442550611E-2</v>
      </c>
      <c r="U493" s="28">
        <f t="shared" si="113"/>
        <v>8.0119479136932389E-2</v>
      </c>
      <c r="V493" s="28">
        <f t="shared" si="113"/>
        <v>8.1988873935417206E-2</v>
      </c>
      <c r="W493" s="28">
        <f t="shared" si="113"/>
        <v>8.4421015619150011E-2</v>
      </c>
      <c r="X493" s="28">
        <f t="shared" si="113"/>
        <v>8.6845856777302652E-2</v>
      </c>
      <c r="Y493" s="28">
        <f t="shared" si="113"/>
        <v>8.9508170799005846E-2</v>
      </c>
      <c r="Z493" s="28">
        <f t="shared" si="113"/>
        <v>9.2028330133957781E-2</v>
      </c>
      <c r="AA493" s="28">
        <f t="shared" si="113"/>
        <v>9.4763412010461776E-2</v>
      </c>
      <c r="AB493" s="28">
        <f t="shared" si="113"/>
        <v>9.7229574055292575E-2</v>
      </c>
      <c r="AC493" s="28">
        <f t="shared" si="113"/>
        <v>9.9768557857354889E-2</v>
      </c>
      <c r="AD493" s="28">
        <f t="shared" si="113"/>
        <v>0.10314268304470672</v>
      </c>
      <c r="AE493" s="28">
        <f t="shared" si="113"/>
        <v>0.10684704409348912</v>
      </c>
      <c r="AF493" s="28">
        <f t="shared" si="113"/>
        <v>0.11068205574574447</v>
      </c>
      <c r="AG493" s="28">
        <f t="shared" si="113"/>
        <v>0.11025500175189677</v>
      </c>
      <c r="AH493" s="28">
        <f t="shared" si="113"/>
        <v>-9.5618834539008879E-2</v>
      </c>
      <c r="AI493" s="28">
        <f t="shared" si="113"/>
        <v>-9.5755836748130152E-2</v>
      </c>
      <c r="AJ493" s="28">
        <f t="shared" si="113"/>
        <v>-9.5904432315731702E-2</v>
      </c>
      <c r="AK493" s="28">
        <f t="shared" si="113"/>
        <v>-9.6064137427684965E-2</v>
      </c>
      <c r="AL493" s="28">
        <f t="shared" si="113"/>
        <v>-9.6234505848874163E-2</v>
      </c>
      <c r="AM493" s="28">
        <f t="shared" si="113"/>
        <v>-9.641512531339648E-2</v>
      </c>
      <c r="AN493" s="28">
        <f t="shared" si="113"/>
        <v>-9.6489465064540994E-2</v>
      </c>
      <c r="AO493" s="28">
        <f t="shared" si="113"/>
        <v>-9.6573121728903102E-2</v>
      </c>
      <c r="AP493" s="28">
        <f t="shared" si="113"/>
        <v>-9.6665733535486312E-2</v>
      </c>
      <c r="AQ493" s="28">
        <f t="shared" si="113"/>
        <v>-9.6766963554028085E-2</v>
      </c>
      <c r="AR493" s="28">
        <f t="shared" si="113"/>
        <v>-9.6876497560515806E-2</v>
      </c>
      <c r="AS493" s="28">
        <f t="shared" si="113"/>
        <v>-9.6878042271294512E-2</v>
      </c>
      <c r="AT493" s="28">
        <f t="shared" si="113"/>
        <v>-9.6887277192244256E-2</v>
      </c>
      <c r="AU493" s="28">
        <f t="shared" si="113"/>
        <v>-9.6903917996081751E-2</v>
      </c>
      <c r="AV493" s="28">
        <f t="shared" si="113"/>
        <v>-9.6927697774037633E-2</v>
      </c>
      <c r="AW493" s="28">
        <f t="shared" si="113"/>
        <v>-9.6958365682993541E-2</v>
      </c>
      <c r="AY493" s="85"/>
    </row>
    <row r="494" spans="1:51" x14ac:dyDescent="0.25">
      <c r="A494" s="102" t="str">
        <f t="shared" si="108"/>
        <v>PQ Cattle MMN2O</v>
      </c>
      <c r="B494" s="102" t="s">
        <v>969</v>
      </c>
      <c r="C494" s="102" t="s">
        <v>1233</v>
      </c>
      <c r="D494" t="s">
        <v>15</v>
      </c>
      <c r="E494" t="s">
        <v>657</v>
      </c>
      <c r="F494" t="s">
        <v>6</v>
      </c>
      <c r="G494" t="s">
        <v>136</v>
      </c>
      <c r="H494" t="s">
        <v>1228</v>
      </c>
      <c r="I494" t="s">
        <v>139</v>
      </c>
      <c r="J494" t="s">
        <v>287</v>
      </c>
      <c r="K494" s="28">
        <f t="shared" si="110"/>
        <v>5.9581863535910565E-2</v>
      </c>
      <c r="L494" s="28">
        <f t="shared" si="113"/>
        <v>5.9952472777501202E-2</v>
      </c>
      <c r="M494" s="28">
        <f t="shared" si="113"/>
        <v>6.0207271736418301E-2</v>
      </c>
      <c r="N494" s="28">
        <f t="shared" si="113"/>
        <v>6.0287180440683194E-2</v>
      </c>
      <c r="O494" s="28">
        <f t="shared" si="113"/>
        <v>6.0395284993714014E-2</v>
      </c>
      <c r="P494" s="28">
        <f t="shared" si="113"/>
        <v>6.0632075036082048E-2</v>
      </c>
      <c r="Q494" s="28">
        <f t="shared" si="113"/>
        <v>6.0915962278620638E-2</v>
      </c>
      <c r="R494" s="28">
        <f t="shared" si="113"/>
        <v>6.1001244967563928E-2</v>
      </c>
      <c r="S494" s="28">
        <f t="shared" si="113"/>
        <v>5.9128520448870917E-2</v>
      </c>
      <c r="T494" s="28">
        <f t="shared" si="113"/>
        <v>5.961554215328714E-2</v>
      </c>
      <c r="U494" s="28">
        <f t="shared" si="113"/>
        <v>6.0062127225246474E-2</v>
      </c>
      <c r="V494" s="28">
        <f t="shared" si="113"/>
        <v>6.0520025735654244E-2</v>
      </c>
      <c r="W494" s="28">
        <f t="shared" si="113"/>
        <v>6.107162678051329E-2</v>
      </c>
      <c r="X494" s="28">
        <f t="shared" si="113"/>
        <v>6.1633578287442058E-2</v>
      </c>
      <c r="Y494" s="28">
        <f t="shared" si="113"/>
        <v>6.2180760814939798E-2</v>
      </c>
      <c r="Z494" s="28">
        <f t="shared" si="113"/>
        <v>6.2716996536282391E-2</v>
      </c>
      <c r="AA494" s="28">
        <f t="shared" si="113"/>
        <v>6.3294581219461896E-2</v>
      </c>
      <c r="AB494" s="28">
        <f t="shared" si="113"/>
        <v>6.3841542561015929E-2</v>
      </c>
      <c r="AC494" s="28">
        <f t="shared" si="113"/>
        <v>6.4408123024693842E-2</v>
      </c>
      <c r="AD494" s="28">
        <f t="shared" si="113"/>
        <v>6.5059072276654292E-2</v>
      </c>
      <c r="AE494" s="28">
        <f t="shared" si="113"/>
        <v>6.5768024439382053E-2</v>
      </c>
      <c r="AF494" s="28">
        <f t="shared" si="113"/>
        <v>6.6505116559025759E-2</v>
      </c>
      <c r="AG494" s="28">
        <f t="shared" si="113"/>
        <v>6.6608077063784327E-2</v>
      </c>
      <c r="AH494" s="28">
        <f t="shared" si="113"/>
        <v>3.5661314599783112E-2</v>
      </c>
      <c r="AI494" s="28">
        <f t="shared" si="113"/>
        <v>3.5687543278982381E-2</v>
      </c>
      <c r="AJ494" s="28">
        <f t="shared" si="113"/>
        <v>3.5717217411916767E-2</v>
      </c>
      <c r="AK494" s="28">
        <f t="shared" si="113"/>
        <v>3.5750206038134905E-2</v>
      </c>
      <c r="AL494" s="28">
        <f t="shared" si="113"/>
        <v>3.5786388283243133E-2</v>
      </c>
      <c r="AM494" s="28">
        <f t="shared" si="113"/>
        <v>3.5825652402917518E-2</v>
      </c>
      <c r="AN494" s="28">
        <f t="shared" si="113"/>
        <v>3.5842556779576207E-2</v>
      </c>
      <c r="AO494" s="28">
        <f t="shared" si="113"/>
        <v>3.5862175171675115E-2</v>
      </c>
      <c r="AP494" s="28">
        <f t="shared" si="113"/>
        <v>3.588441278699845E-2</v>
      </c>
      <c r="AQ494" s="28">
        <f t="shared" si="113"/>
        <v>3.5909181301646116E-2</v>
      </c>
      <c r="AR494" s="28">
        <f t="shared" si="113"/>
        <v>3.5936398311145284E-2</v>
      </c>
      <c r="AS494" s="28">
        <f t="shared" si="113"/>
        <v>3.5940375653704157E-2</v>
      </c>
      <c r="AT494" s="28">
        <f t="shared" si="113"/>
        <v>3.5946523647611327E-2</v>
      </c>
      <c r="AU494" s="28">
        <f t="shared" si="113"/>
        <v>3.5954770346244613E-2</v>
      </c>
      <c r="AV494" s="28">
        <f t="shared" si="113"/>
        <v>3.5965048185906283E-2</v>
      </c>
      <c r="AW494" s="28">
        <f t="shared" si="113"/>
        <v>3.5977293649132408E-2</v>
      </c>
      <c r="AY494" s="85"/>
    </row>
    <row r="495" spans="1:51" x14ac:dyDescent="0.25">
      <c r="A495" s="102" t="str">
        <f t="shared" si="108"/>
        <v>PQ Cattle MMN2O</v>
      </c>
      <c r="B495" s="102" t="s">
        <v>969</v>
      </c>
      <c r="C495" s="102" t="s">
        <v>1233</v>
      </c>
      <c r="D495" t="s">
        <v>15</v>
      </c>
      <c r="E495" t="s">
        <v>657</v>
      </c>
      <c r="F495" t="s">
        <v>6</v>
      </c>
      <c r="G495" t="s">
        <v>137</v>
      </c>
      <c r="H495" t="s">
        <v>1228</v>
      </c>
      <c r="I495" t="s">
        <v>139</v>
      </c>
      <c r="J495" t="s">
        <v>287</v>
      </c>
      <c r="K495" s="28">
        <f t="shared" si="110"/>
        <v>0.26088706231871722</v>
      </c>
      <c r="L495" s="28">
        <f t="shared" si="113"/>
        <v>0.2625098238533321</v>
      </c>
      <c r="M495" s="28">
        <f t="shared" si="113"/>
        <v>0.26362549476271357</v>
      </c>
      <c r="N495" s="28">
        <f t="shared" si="113"/>
        <v>0.2639753855830434</v>
      </c>
      <c r="O495" s="28">
        <f t="shared" si="113"/>
        <v>0.26444873565284266</v>
      </c>
      <c r="P495" s="28">
        <f t="shared" si="113"/>
        <v>0.26548555214151259</v>
      </c>
      <c r="Q495" s="28">
        <f t="shared" si="113"/>
        <v>0.26672858994429993</v>
      </c>
      <c r="R495" s="28">
        <f t="shared" si="113"/>
        <v>0.26710201146663365</v>
      </c>
      <c r="S495" s="28">
        <f t="shared" si="113"/>
        <v>0.2589020397097988</v>
      </c>
      <c r="T495" s="28">
        <f t="shared" si="113"/>
        <v>0.26103452859501175</v>
      </c>
      <c r="U495" s="28">
        <f t="shared" si="113"/>
        <v>0.26298996034193323</v>
      </c>
      <c r="V495" s="28">
        <f t="shared" si="113"/>
        <v>0.26499492947399811</v>
      </c>
      <c r="W495" s="28">
        <f t="shared" si="113"/>
        <v>0.26741018753450635</v>
      </c>
      <c r="X495" s="28">
        <f t="shared" si="113"/>
        <v>0.26987076646084124</v>
      </c>
      <c r="Y495" s="28">
        <f t="shared" si="113"/>
        <v>0.27226667745924399</v>
      </c>
      <c r="Z495" s="28">
        <f t="shared" si="113"/>
        <v>0.27461465642044425</v>
      </c>
      <c r="AA495" s="28">
        <f t="shared" si="113"/>
        <v>0.27714368727467675</v>
      </c>
      <c r="AB495" s="28">
        <f t="shared" si="113"/>
        <v>0.2795386297811987</v>
      </c>
      <c r="AC495" s="28">
        <f t="shared" si="113"/>
        <v>0.2820194772063051</v>
      </c>
      <c r="AD495" s="28">
        <f t="shared" si="113"/>
        <v>0.28486974451894415</v>
      </c>
      <c r="AE495" s="28">
        <f t="shared" si="113"/>
        <v>0.28797398524057027</v>
      </c>
      <c r="AF495" s="28">
        <f t="shared" si="113"/>
        <v>0.2912014404818154</v>
      </c>
      <c r="AG495" s="28">
        <f t="shared" si="113"/>
        <v>0.29165226665654759</v>
      </c>
      <c r="AH495" s="28">
        <f t="shared" si="113"/>
        <v>0.1561477780693053</v>
      </c>
      <c r="AI495" s="28">
        <f t="shared" si="113"/>
        <v>0.15626262380689576</v>
      </c>
      <c r="AJ495" s="28">
        <f t="shared" si="113"/>
        <v>0.1563925559189292</v>
      </c>
      <c r="AK495" s="28">
        <f t="shared" si="113"/>
        <v>0.1565370009777648</v>
      </c>
      <c r="AL495" s="28">
        <f t="shared" si="113"/>
        <v>0.15669542971889827</v>
      </c>
      <c r="AM495" s="28">
        <f t="shared" si="113"/>
        <v>0.156867352855042</v>
      </c>
      <c r="AN495" s="28">
        <f t="shared" si="113"/>
        <v>0.15694137090189544</v>
      </c>
      <c r="AO495" s="28">
        <f t="shared" si="113"/>
        <v>0.15702727262396923</v>
      </c>
      <c r="AP495" s="28">
        <f t="shared" si="113"/>
        <v>0.15712464296102122</v>
      </c>
      <c r="AQ495" s="28">
        <f t="shared" si="113"/>
        <v>0.15723309517518419</v>
      </c>
      <c r="AR495" s="28">
        <f t="shared" si="113"/>
        <v>0.15735226844758546</v>
      </c>
      <c r="AS495" s="28">
        <f t="shared" si="113"/>
        <v>0.15736968376752411</v>
      </c>
      <c r="AT495" s="28">
        <f t="shared" si="113"/>
        <v>0.15739660357120949</v>
      </c>
      <c r="AU495" s="28">
        <f t="shared" si="113"/>
        <v>0.15743271283084972</v>
      </c>
      <c r="AV495" s="28">
        <f t="shared" si="113"/>
        <v>0.15747771570986671</v>
      </c>
      <c r="AW495" s="28">
        <f t="shared" si="113"/>
        <v>0.15753133408865197</v>
      </c>
      <c r="AY495" s="85"/>
    </row>
    <row r="496" spans="1:51" x14ac:dyDescent="0.25">
      <c r="A496" s="102" t="str">
        <f t="shared" si="108"/>
        <v>PQ Cattle MMN2O</v>
      </c>
      <c r="B496" s="102" t="s">
        <v>969</v>
      </c>
      <c r="C496" s="102" t="s">
        <v>1233</v>
      </c>
      <c r="D496" t="s">
        <v>15</v>
      </c>
      <c r="E496" t="s">
        <v>657</v>
      </c>
      <c r="F496" t="s">
        <v>67</v>
      </c>
      <c r="G496" t="s">
        <v>307</v>
      </c>
      <c r="H496" t="s">
        <v>1228</v>
      </c>
      <c r="I496" t="s">
        <v>139</v>
      </c>
      <c r="J496" t="s">
        <v>287</v>
      </c>
      <c r="K496" s="28">
        <f t="shared" si="110"/>
        <v>1.1607933720950987E-2</v>
      </c>
      <c r="L496" s="28">
        <f t="shared" si="113"/>
        <v>1.1680137026746603E-2</v>
      </c>
      <c r="M496" s="28">
        <f t="shared" si="113"/>
        <v>1.1729777794116936E-2</v>
      </c>
      <c r="N496" s="28">
        <f t="shared" si="113"/>
        <v>1.1745345869497372E-2</v>
      </c>
      <c r="O496" s="28">
        <f t="shared" si="113"/>
        <v>1.1766407152445642E-2</v>
      </c>
      <c r="P496" s="28">
        <f t="shared" si="113"/>
        <v>1.1812539363733939E-2</v>
      </c>
      <c r="Q496" s="28">
        <f t="shared" si="113"/>
        <v>1.186784720575243E-2</v>
      </c>
      <c r="R496" s="28">
        <f t="shared" si="113"/>
        <v>1.1884462258421965E-2</v>
      </c>
      <c r="S496" s="28">
        <f t="shared" si="113"/>
        <v>1.1519611936520126E-2</v>
      </c>
      <c r="T496" s="28">
        <f t="shared" si="113"/>
        <v>1.1614495099449744E-2</v>
      </c>
      <c r="U496" s="28">
        <f t="shared" si="113"/>
        <v>1.1701500265257389E-2</v>
      </c>
      <c r="V496" s="28">
        <f t="shared" si="113"/>
        <v>1.1790709552182964E-2</v>
      </c>
      <c r="W496" s="28">
        <f t="shared" si="113"/>
        <v>1.189817427364593E-2</v>
      </c>
      <c r="X496" s="28">
        <f t="shared" si="113"/>
        <v>1.2007655506016015E-2</v>
      </c>
      <c r="Y496" s="28">
        <f t="shared" si="113"/>
        <v>1.2114259397460733E-2</v>
      </c>
      <c r="Z496" s="28">
        <f t="shared" si="113"/>
        <v>1.221873059629122E-2</v>
      </c>
      <c r="AA496" s="28">
        <f t="shared" si="113"/>
        <v>1.2331257535240406E-2</v>
      </c>
      <c r="AB496" s="28">
        <f t="shared" si="113"/>
        <v>1.2437818334515426E-2</v>
      </c>
      <c r="AC496" s="28">
        <f t="shared" si="113"/>
        <v>1.2548201395394263E-2</v>
      </c>
      <c r="AD496" s="28">
        <f t="shared" si="113"/>
        <v>1.2675021459823859E-2</v>
      </c>
      <c r="AE496" s="28">
        <f t="shared" si="113"/>
        <v>1.2813141841226641E-2</v>
      </c>
      <c r="AF496" s="28">
        <f t="shared" si="113"/>
        <v>1.2956744541164057E-2</v>
      </c>
      <c r="AG496" s="28">
        <f t="shared" si="113"/>
        <v>1.2976803643786663E-2</v>
      </c>
      <c r="AH496" s="28">
        <f t="shared" si="113"/>
        <v>6.9476540629980453E-3</v>
      </c>
      <c r="AI496" s="28">
        <f t="shared" si="113"/>
        <v>6.9527640201505212E-3</v>
      </c>
      <c r="AJ496" s="28">
        <f t="shared" si="113"/>
        <v>6.9585452318798495E-3</v>
      </c>
      <c r="AK496" s="28">
        <f t="shared" si="113"/>
        <v>6.9649721840421407E-3</v>
      </c>
      <c r="AL496" s="28">
        <f t="shared" si="113"/>
        <v>6.9720213274922825E-3</v>
      </c>
      <c r="AM496" s="28">
        <f t="shared" si="113"/>
        <v>6.9796708918352492E-3</v>
      </c>
      <c r="AN496" s="28">
        <f t="shared" si="113"/>
        <v>6.9829642578396519E-3</v>
      </c>
      <c r="AO496" s="28">
        <f t="shared" si="113"/>
        <v>6.986786377217614E-3</v>
      </c>
      <c r="AP496" s="28">
        <f t="shared" si="113"/>
        <v>6.9911187822393143E-3</v>
      </c>
      <c r="AQ496" s="28">
        <f t="shared" si="113"/>
        <v>6.9959442653533691E-3</v>
      </c>
      <c r="AR496" s="28">
        <f t="shared" si="113"/>
        <v>7.0012467722505977E-3</v>
      </c>
      <c r="AS496" s="28">
        <f t="shared" si="113"/>
        <v>7.0020216511494588E-3</v>
      </c>
      <c r="AT496" s="28">
        <f t="shared" si="113"/>
        <v>7.00321942345056E-3</v>
      </c>
      <c r="AU496" s="28">
        <f t="shared" si="113"/>
        <v>7.0048260722774189E-3</v>
      </c>
      <c r="AV496" s="28">
        <f t="shared" si="113"/>
        <v>7.0068284346492373E-3</v>
      </c>
      <c r="AW496" s="28">
        <f t="shared" si="113"/>
        <v>7.0092141358857468E-3</v>
      </c>
      <c r="AY496" s="85"/>
    </row>
    <row r="497" spans="1:51" x14ac:dyDescent="0.25">
      <c r="A497" s="102" t="str">
        <f t="shared" si="108"/>
        <v>PQ Cattle MMN2O</v>
      </c>
      <c r="B497" s="102" t="s">
        <v>969</v>
      </c>
      <c r="C497" s="102" t="s">
        <v>1233</v>
      </c>
      <c r="D497" t="s">
        <v>15</v>
      </c>
      <c r="E497" t="s">
        <v>657</v>
      </c>
      <c r="F497" t="s">
        <v>67</v>
      </c>
      <c r="G497" t="s">
        <v>122</v>
      </c>
      <c r="H497" t="s">
        <v>1228</v>
      </c>
      <c r="I497" t="s">
        <v>139</v>
      </c>
      <c r="J497" t="s">
        <v>287</v>
      </c>
      <c r="K497" s="28">
        <f t="shared" si="110"/>
        <v>0.52988033061170758</v>
      </c>
      <c r="L497" s="28">
        <f t="shared" si="113"/>
        <v>0.52636805175151047</v>
      </c>
      <c r="M497" s="28">
        <f t="shared" si="113"/>
        <v>0.51896264714173934</v>
      </c>
      <c r="N497" s="28">
        <f t="shared" si="113"/>
        <v>0.50647981142977161</v>
      </c>
      <c r="O497" s="28">
        <f t="shared" si="113"/>
        <v>0.4943686614451126</v>
      </c>
      <c r="P497" s="28">
        <f t="shared" si="113"/>
        <v>0.48505348723916247</v>
      </c>
      <c r="Q497" s="28">
        <f t="shared" si="113"/>
        <v>0.47662784045454271</v>
      </c>
      <c r="R497" s="28">
        <f t="shared" si="113"/>
        <v>0.46338055897739389</v>
      </c>
      <c r="S497" s="28">
        <f t="shared" si="113"/>
        <v>0.40641283743592205</v>
      </c>
      <c r="T497" s="28">
        <f t="shared" si="113"/>
        <v>0.41028660340184542</v>
      </c>
      <c r="U497" s="28">
        <f t="shared" si="113"/>
        <v>0.41290787540039242</v>
      </c>
      <c r="V497" s="28">
        <f t="shared" si="113"/>
        <v>0.41544388868051429</v>
      </c>
      <c r="W497" s="28">
        <f t="shared" si="113"/>
        <v>0.41963784467016801</v>
      </c>
      <c r="X497" s="28">
        <f t="shared" si="113"/>
        <v>0.42369357816507769</v>
      </c>
      <c r="Y497" s="28">
        <f t="shared" si="113"/>
        <v>0.42795148955175888</v>
      </c>
      <c r="Z497" s="28">
        <f t="shared" si="113"/>
        <v>0.43165837799817441</v>
      </c>
      <c r="AA497" s="28">
        <f t="shared" si="113"/>
        <v>0.43587731971405297</v>
      </c>
      <c r="AB497" s="28">
        <f t="shared" si="113"/>
        <v>0.43917878455229692</v>
      </c>
      <c r="AC497" s="28">
        <f t="shared" si="113"/>
        <v>0.44257083604017933</v>
      </c>
      <c r="AD497" s="28">
        <f t="shared" si="113"/>
        <v>0.44415072955507112</v>
      </c>
      <c r="AE497" s="28">
        <f t="shared" si="113"/>
        <v>0.44631708410431642</v>
      </c>
      <c r="AF497" s="28">
        <f t="shared" si="113"/>
        <v>0.44847507790025098</v>
      </c>
      <c r="AG497" s="28">
        <f t="shared" si="113"/>
        <v>0.43896382192914674</v>
      </c>
      <c r="AH497" s="28">
        <f t="shared" si="113"/>
        <v>-0.10354549398732707</v>
      </c>
      <c r="AI497" s="28">
        <f t="shared" si="113"/>
        <v>-0.10114359865651981</v>
      </c>
      <c r="AJ497" s="28">
        <f t="shared" si="113"/>
        <v>-9.8779900999145701E-2</v>
      </c>
      <c r="AK497" s="28">
        <f t="shared" si="113"/>
        <v>-9.645240042559923E-2</v>
      </c>
      <c r="AL497" s="28">
        <f t="shared" si="113"/>
        <v>-9.4159234659003305E-2</v>
      </c>
      <c r="AM497" s="28">
        <f t="shared" si="113"/>
        <v>-9.1898666918572763E-2</v>
      </c>
      <c r="AN497" s="28">
        <f t="shared" si="113"/>
        <v>-9.0065857844413774E-2</v>
      </c>
      <c r="AO497" s="28">
        <f t="shared" si="113"/>
        <v>-8.8260731137636633E-2</v>
      </c>
      <c r="AP497" s="28">
        <f t="shared" si="113"/>
        <v>-8.6482032370585105E-2</v>
      </c>
      <c r="AQ497" s="28">
        <f t="shared" si="113"/>
        <v>-8.4728585134525733E-2</v>
      </c>
      <c r="AR497" s="28">
        <f t="shared" si="113"/>
        <v>-8.2999284570590512E-2</v>
      </c>
      <c r="AS497" s="28">
        <f t="shared" si="113"/>
        <v>-8.1237842076259073E-2</v>
      </c>
      <c r="AT497" s="28">
        <f t="shared" si="113"/>
        <v>-7.9500621662589185E-2</v>
      </c>
      <c r="AU497" s="28">
        <f t="shared" si="113"/>
        <v>-7.7786670470567892E-2</v>
      </c>
      <c r="AV497" s="28">
        <f t="shared" si="113"/>
        <v>-7.609508917583023E-2</v>
      </c>
      <c r="AW497" s="28">
        <f t="shared" si="113"/>
        <v>-7.4425027988165984E-2</v>
      </c>
      <c r="AY497" s="85"/>
    </row>
    <row r="498" spans="1:51" x14ac:dyDescent="0.25">
      <c r="A498" s="102" t="str">
        <f t="shared" si="108"/>
        <v>PQ Cattle MMN2O</v>
      </c>
      <c r="B498" s="102" t="s">
        <v>969</v>
      </c>
      <c r="C498" s="102" t="s">
        <v>1233</v>
      </c>
      <c r="D498" t="s">
        <v>15</v>
      </c>
      <c r="E498" t="s">
        <v>657</v>
      </c>
      <c r="F498" t="s">
        <v>67</v>
      </c>
      <c r="G498" t="s">
        <v>123</v>
      </c>
      <c r="H498" t="s">
        <v>1228</v>
      </c>
      <c r="I498" t="s">
        <v>139</v>
      </c>
      <c r="J498" t="s">
        <v>287</v>
      </c>
      <c r="K498" s="28">
        <f t="shared" si="110"/>
        <v>0.81161466909134916</v>
      </c>
      <c r="L498" s="28">
        <f t="shared" si="113"/>
        <v>0.80623493166726978</v>
      </c>
      <c r="M498" s="28">
        <f t="shared" si="113"/>
        <v>0.79489211581881503</v>
      </c>
      <c r="N498" s="28">
        <f t="shared" si="113"/>
        <v>0.77577222781694366</v>
      </c>
      <c r="O498" s="28">
        <f t="shared" si="113"/>
        <v>0.75722164871587128</v>
      </c>
      <c r="P498" s="28">
        <f t="shared" si="113"/>
        <v>0.74295364970944966</v>
      </c>
      <c r="Q498" s="28">
        <f t="shared" si="113"/>
        <v>0.73004813476216801</v>
      </c>
      <c r="R498" s="28">
        <f t="shared" si="113"/>
        <v>0.7097573495578483</v>
      </c>
      <c r="S498" s="28">
        <f t="shared" si="113"/>
        <v>0.62250021658521282</v>
      </c>
      <c r="T498" s="28">
        <f t="shared" si="113"/>
        <v>0.62843364173979577</v>
      </c>
      <c r="U498" s="28">
        <f t="shared" si="113"/>
        <v>0.63244862905446586</v>
      </c>
      <c r="V498" s="28">
        <f t="shared" si="113"/>
        <v>0.63633302607818865</v>
      </c>
      <c r="W498" s="28">
        <f t="shared" si="113"/>
        <v>0.64275688445918766</v>
      </c>
      <c r="X498" s="28">
        <f t="shared" si="113"/>
        <v>0.64896902823624347</v>
      </c>
      <c r="Y498" s="28">
        <f t="shared" si="113"/>
        <v>0.65549084673275582</v>
      </c>
      <c r="Z498" s="28">
        <f t="shared" si="113"/>
        <v>0.66116866654600104</v>
      </c>
      <c r="AA498" s="28">
        <f t="shared" si="113"/>
        <v>0.66763079542082715</v>
      </c>
      <c r="AB498" s="28">
        <f t="shared" si="113"/>
        <v>0.67268763021428868</v>
      </c>
      <c r="AC498" s="28">
        <f t="shared" si="113"/>
        <v>0.67788321606043689</v>
      </c>
      <c r="AD498" s="28">
        <f t="shared" si="113"/>
        <v>0.68030312991307629</v>
      </c>
      <c r="AE498" s="28">
        <f t="shared" si="113"/>
        <v>0.68362132277483145</v>
      </c>
      <c r="AF498" s="28">
        <f t="shared" si="113"/>
        <v>0.68692670951860213</v>
      </c>
      <c r="AG498" s="28">
        <f t="shared" si="113"/>
        <v>0.67235837319496583</v>
      </c>
      <c r="AH498" s="28">
        <f t="shared" si="113"/>
        <v>-0.1586000403929089</v>
      </c>
      <c r="AI498" s="28">
        <f t="shared" si="113"/>
        <v>-0.15492107106439137</v>
      </c>
      <c r="AJ498" s="28">
        <f t="shared" si="113"/>
        <v>-0.15130060889360838</v>
      </c>
      <c r="AK498" s="28">
        <f t="shared" si="113"/>
        <v>-0.14773558958891347</v>
      </c>
      <c r="AL498" s="28">
        <f t="shared" si="113"/>
        <v>-0.14422316071147476</v>
      </c>
      <c r="AM498" s="28">
        <f t="shared" si="113"/>
        <v>-0.1407606620441057</v>
      </c>
      <c r="AN498" s="28">
        <f t="shared" si="113"/>
        <v>-0.1379533588771549</v>
      </c>
      <c r="AO498" s="28">
        <f t="shared" si="113"/>
        <v>-0.13518845663385484</v>
      </c>
      <c r="AP498" s="28">
        <f t="shared" si="113"/>
        <v>-0.13246403391454542</v>
      </c>
      <c r="AQ498" s="28">
        <f t="shared" si="113"/>
        <v>-0.12977828882070402</v>
      </c>
      <c r="AR498" s="28">
        <f t="shared" si="113"/>
        <v>-0.12712952904632721</v>
      </c>
      <c r="AS498" s="28">
        <f t="shared" si="113"/>
        <v>-0.12443153766115941</v>
      </c>
      <c r="AT498" s="28">
        <f t="shared" si="113"/>
        <v>-0.12177064709828132</v>
      </c>
      <c r="AU498" s="28">
        <f t="shared" si="113"/>
        <v>-0.11914539786899743</v>
      </c>
      <c r="AV498" s="28">
        <f t="shared" si="113"/>
        <v>-0.11655441248332606</v>
      </c>
      <c r="AW498" s="28">
        <f t="shared" si="113"/>
        <v>-0.11399638932246699</v>
      </c>
      <c r="AY498" s="85"/>
    </row>
    <row r="499" spans="1:51" x14ac:dyDescent="0.25">
      <c r="A499" s="102" t="str">
        <f t="shared" si="108"/>
        <v>PQ Cattle MMN2O</v>
      </c>
      <c r="B499" s="102" t="s">
        <v>969</v>
      </c>
      <c r="C499" s="102" t="s">
        <v>1233</v>
      </c>
      <c r="D499" t="s">
        <v>15</v>
      </c>
      <c r="E499" t="s">
        <v>657</v>
      </c>
      <c r="F499" t="s">
        <v>67</v>
      </c>
      <c r="G499" t="s">
        <v>135</v>
      </c>
      <c r="H499" t="s">
        <v>1228</v>
      </c>
      <c r="I499" t="s">
        <v>139</v>
      </c>
      <c r="J499" t="s">
        <v>287</v>
      </c>
      <c r="K499" s="28">
        <f t="shared" si="110"/>
        <v>0.98462431665992833</v>
      </c>
      <c r="L499" s="28">
        <f t="shared" si="113"/>
        <v>1.0196918835505078</v>
      </c>
      <c r="M499" s="28">
        <f t="shared" si="113"/>
        <v>1.0475259814074214</v>
      </c>
      <c r="N499" s="28">
        <f t="shared" si="113"/>
        <v>1.0647388767946648</v>
      </c>
      <c r="O499" s="28">
        <f t="shared" si="113"/>
        <v>1.0819877052462501</v>
      </c>
      <c r="P499" s="28">
        <f t="shared" si="113"/>
        <v>1.1048938649963369</v>
      </c>
      <c r="Q499" s="28">
        <f t="shared" si="113"/>
        <v>1.1297091115066857</v>
      </c>
      <c r="R499" s="28">
        <f t="shared" si="113"/>
        <v>1.142623258953418</v>
      </c>
      <c r="S499" s="28">
        <f t="shared" si="113"/>
        <v>1.0424500724104675</v>
      </c>
      <c r="T499" s="28">
        <f t="shared" si="113"/>
        <v>1.0775354748112338</v>
      </c>
      <c r="U499" s="28">
        <f t="shared" ref="L499:AW505" si="114">U1416</f>
        <v>1.1099789671042184</v>
      </c>
      <c r="V499" s="28">
        <f t="shared" si="114"/>
        <v>1.1427845071049993</v>
      </c>
      <c r="W499" s="28">
        <f t="shared" si="114"/>
        <v>1.1808667721174206</v>
      </c>
      <c r="X499" s="28">
        <f t="shared" si="114"/>
        <v>1.219399784150359</v>
      </c>
      <c r="Y499" s="28">
        <f t="shared" si="114"/>
        <v>1.2593873285345614</v>
      </c>
      <c r="Z499" s="28">
        <f t="shared" si="114"/>
        <v>1.2986321214759353</v>
      </c>
      <c r="AA499" s="28">
        <f t="shared" si="114"/>
        <v>1.3403229537470696</v>
      </c>
      <c r="AB499" s="28">
        <f t="shared" si="114"/>
        <v>1.3800999976091688</v>
      </c>
      <c r="AC499" s="28">
        <f t="shared" si="114"/>
        <v>1.4210424625750864</v>
      </c>
      <c r="AD499" s="28">
        <f t="shared" si="114"/>
        <v>1.4731597843117399</v>
      </c>
      <c r="AE499" s="28">
        <f t="shared" si="114"/>
        <v>1.5292748745002132</v>
      </c>
      <c r="AF499" s="28">
        <f t="shared" si="114"/>
        <v>1.58759303710444</v>
      </c>
      <c r="AG499" s="28">
        <f t="shared" si="114"/>
        <v>1.6055856657240113</v>
      </c>
      <c r="AH499" s="28">
        <f t="shared" si="114"/>
        <v>-0.39137548720927395</v>
      </c>
      <c r="AI499" s="28">
        <f t="shared" si="114"/>
        <v>-0.39511268844976988</v>
      </c>
      <c r="AJ499" s="28">
        <f t="shared" si="114"/>
        <v>-0.39888027556232269</v>
      </c>
      <c r="AK499" s="28">
        <f t="shared" si="114"/>
        <v>-0.40267853610571114</v>
      </c>
      <c r="AL499" s="28">
        <f t="shared" si="114"/>
        <v>-0.40650776022057733</v>
      </c>
      <c r="AM499" s="28">
        <f t="shared" si="114"/>
        <v>-0.41036824065181815</v>
      </c>
      <c r="AN499" s="28">
        <f t="shared" si="114"/>
        <v>-0.41346631245955484</v>
      </c>
      <c r="AO499" s="28">
        <f t="shared" si="114"/>
        <v>-0.41658575471490794</v>
      </c>
      <c r="AP499" s="28">
        <f t="shared" si="114"/>
        <v>-0.41972673655234932</v>
      </c>
      <c r="AQ499" s="28">
        <f t="shared" si="114"/>
        <v>-0.42288942838293692</v>
      </c>
      <c r="AR499" s="28">
        <f t="shared" si="114"/>
        <v>-0.42607400190364725</v>
      </c>
      <c r="AS499" s="28">
        <f t="shared" si="114"/>
        <v>-0.42898887673310604</v>
      </c>
      <c r="AT499" s="28">
        <f t="shared" si="114"/>
        <v>-0.43192052701996581</v>
      </c>
      <c r="AU499" s="28">
        <f t="shared" si="114"/>
        <v>-0.43486906373806822</v>
      </c>
      <c r="AV499" s="28">
        <f t="shared" si="114"/>
        <v>-0.43783459855710477</v>
      </c>
      <c r="AW499" s="28">
        <f t="shared" si="114"/>
        <v>-0.4408172438468278</v>
      </c>
      <c r="AY499" s="85"/>
    </row>
    <row r="500" spans="1:51" x14ac:dyDescent="0.25">
      <c r="A500" s="102" t="str">
        <f t="shared" si="108"/>
        <v>PQ Sheep MMN2O</v>
      </c>
      <c r="B500" s="102" t="s">
        <v>969</v>
      </c>
      <c r="C500" s="102" t="s">
        <v>1329</v>
      </c>
      <c r="D500" t="s">
        <v>15</v>
      </c>
      <c r="E500" t="s">
        <v>657</v>
      </c>
      <c r="F500" t="s">
        <v>18</v>
      </c>
      <c r="G500" t="s">
        <v>122</v>
      </c>
      <c r="H500" t="s">
        <v>1228</v>
      </c>
      <c r="I500" t="s">
        <v>139</v>
      </c>
      <c r="J500" t="s">
        <v>287</v>
      </c>
      <c r="K500" s="28">
        <f t="shared" si="110"/>
        <v>0.1171858684484313</v>
      </c>
      <c r="L500" s="28">
        <f t="shared" si="114"/>
        <v>0.11724986264912746</v>
      </c>
      <c r="M500" s="28">
        <f t="shared" si="114"/>
        <v>0.11739315795736154</v>
      </c>
      <c r="N500" s="28">
        <f t="shared" si="114"/>
        <v>0.11760884747933324</v>
      </c>
      <c r="O500" s="28">
        <f t="shared" si="114"/>
        <v>0.11789981697079396</v>
      </c>
      <c r="P500" s="28">
        <f t="shared" si="114"/>
        <v>0.11826637517857025</v>
      </c>
      <c r="Q500" s="28">
        <f t="shared" si="114"/>
        <v>0.11867470616236446</v>
      </c>
      <c r="R500" s="28">
        <f t="shared" si="114"/>
        <v>0.11911724401941932</v>
      </c>
      <c r="S500" s="28">
        <f t="shared" si="114"/>
        <v>0.11953310214883348</v>
      </c>
      <c r="T500" s="28">
        <f t="shared" si="114"/>
        <v>0.11970681414230742</v>
      </c>
      <c r="U500" s="28">
        <f t="shared" si="114"/>
        <v>0.11990838567894911</v>
      </c>
      <c r="V500" s="28">
        <f t="shared" si="114"/>
        <v>0.12013777542784022</v>
      </c>
      <c r="W500" s="28">
        <f t="shared" si="114"/>
        <v>0.1203961718842316</v>
      </c>
      <c r="X500" s="28">
        <f t="shared" si="114"/>
        <v>0.12067943256873451</v>
      </c>
      <c r="Y500" s="28">
        <f t="shared" si="114"/>
        <v>0.12085380112251057</v>
      </c>
      <c r="Z500" s="28">
        <f t="shared" si="114"/>
        <v>0.12104857439732014</v>
      </c>
      <c r="AA500" s="28">
        <f t="shared" si="114"/>
        <v>0.1212644592147404</v>
      </c>
      <c r="AB500" s="28">
        <f t="shared" si="114"/>
        <v>0.12149813863258012</v>
      </c>
      <c r="AC500" s="28">
        <f t="shared" si="114"/>
        <v>0.12175044819305053</v>
      </c>
      <c r="AD500" s="28">
        <f t="shared" si="114"/>
        <v>0.12191654827812352</v>
      </c>
      <c r="AE500" s="28">
        <f t="shared" si="114"/>
        <v>0.12210011953046386</v>
      </c>
      <c r="AF500" s="28">
        <f t="shared" si="114"/>
        <v>0.12229951100214119</v>
      </c>
      <c r="AG500" s="28">
        <f t="shared" si="114"/>
        <v>0.12249214859428272</v>
      </c>
      <c r="AH500" s="28">
        <f t="shared" si="114"/>
        <v>0.12166856520731396</v>
      </c>
      <c r="AI500" s="28">
        <f t="shared" si="114"/>
        <v>0.12178552707040835</v>
      </c>
      <c r="AJ500" s="28">
        <f t="shared" si="114"/>
        <v>0.12191459506568997</v>
      </c>
      <c r="AK500" s="28">
        <f t="shared" si="114"/>
        <v>0.12205531183364191</v>
      </c>
      <c r="AL500" s="28">
        <f t="shared" si="114"/>
        <v>0.1222072553657907</v>
      </c>
      <c r="AM500" s="28">
        <f t="shared" si="114"/>
        <v>0.12237003565016037</v>
      </c>
      <c r="AN500" s="28">
        <f t="shared" si="114"/>
        <v>0.12244903306979282</v>
      </c>
      <c r="AO500" s="28">
        <f t="shared" si="114"/>
        <v>0.12253757835817966</v>
      </c>
      <c r="AP500" s="28">
        <f t="shared" si="114"/>
        <v>0.12263533922697641</v>
      </c>
      <c r="AQ500" s="28">
        <f t="shared" si="114"/>
        <v>0.12274200613087835</v>
      </c>
      <c r="AR500" s="28">
        <f t="shared" si="114"/>
        <v>0.12285729033548833</v>
      </c>
      <c r="AS500" s="28">
        <f t="shared" si="114"/>
        <v>0.12288572954642335</v>
      </c>
      <c r="AT500" s="28">
        <f t="shared" si="114"/>
        <v>0.12292181660779716</v>
      </c>
      <c r="AU500" s="28">
        <f t="shared" si="114"/>
        <v>0.12296529822294655</v>
      </c>
      <c r="AV500" s="28">
        <f t="shared" si="114"/>
        <v>0.12301593656260404</v>
      </c>
      <c r="AW500" s="28">
        <f t="shared" si="114"/>
        <v>0.12307350807543004</v>
      </c>
      <c r="AY500" s="85"/>
    </row>
    <row r="501" spans="1:51" x14ac:dyDescent="0.25">
      <c r="A501" s="102" t="str">
        <f t="shared" si="108"/>
        <v>PQ Sheep MMN2O</v>
      </c>
      <c r="B501" s="102" t="s">
        <v>969</v>
      </c>
      <c r="C501" s="102" t="s">
        <v>1329</v>
      </c>
      <c r="D501" t="s">
        <v>15</v>
      </c>
      <c r="E501" t="s">
        <v>657</v>
      </c>
      <c r="F501" t="s">
        <v>18</v>
      </c>
      <c r="G501" t="s">
        <v>123</v>
      </c>
      <c r="H501" t="s">
        <v>1228</v>
      </c>
      <c r="I501" t="s">
        <v>139</v>
      </c>
      <c r="J501" t="s">
        <v>287</v>
      </c>
      <c r="K501" s="28">
        <f t="shared" si="110"/>
        <v>6.266414044546309E-2</v>
      </c>
      <c r="L501" s="28">
        <f t="shared" si="114"/>
        <v>6.2698360796715452E-2</v>
      </c>
      <c r="M501" s="28">
        <f t="shared" si="114"/>
        <v>6.2774986736679445E-2</v>
      </c>
      <c r="N501" s="28">
        <f t="shared" si="114"/>
        <v>6.2890324862994521E-2</v>
      </c>
      <c r="O501" s="28">
        <f t="shared" si="114"/>
        <v>6.3045918308856697E-2</v>
      </c>
      <c r="P501" s="28">
        <f t="shared" si="114"/>
        <v>6.324193217398956E-2</v>
      </c>
      <c r="Q501" s="28">
        <f t="shared" si="114"/>
        <v>6.346028367366699E-2</v>
      </c>
      <c r="R501" s="28">
        <f t="shared" si="114"/>
        <v>6.3696927006127543E-2</v>
      </c>
      <c r="S501" s="28">
        <f t="shared" si="114"/>
        <v>6.3919303582518794E-2</v>
      </c>
      <c r="T501" s="28">
        <f t="shared" si="114"/>
        <v>6.401219458465271E-2</v>
      </c>
      <c r="U501" s="28">
        <f t="shared" si="114"/>
        <v>6.4119983239113915E-2</v>
      </c>
      <c r="V501" s="28">
        <f t="shared" si="114"/>
        <v>6.4242647444547399E-2</v>
      </c>
      <c r="W501" s="28">
        <f t="shared" si="114"/>
        <v>6.4380822738619198E-2</v>
      </c>
      <c r="X501" s="28">
        <f t="shared" si="114"/>
        <v>6.4532293965921486E-2</v>
      </c>
      <c r="Y501" s="28">
        <f t="shared" si="114"/>
        <v>6.462553605805911E-2</v>
      </c>
      <c r="Z501" s="28">
        <f t="shared" si="114"/>
        <v>6.4729689400175275E-2</v>
      </c>
      <c r="AA501" s="28">
        <f t="shared" si="114"/>
        <v>6.4845131959060415E-2</v>
      </c>
      <c r="AB501" s="28">
        <f t="shared" si="114"/>
        <v>6.4970090028259403E-2</v>
      </c>
      <c r="AC501" s="28">
        <f t="shared" si="114"/>
        <v>6.5105010406820332E-2</v>
      </c>
      <c r="AD501" s="28">
        <f t="shared" si="114"/>
        <v>6.5193831006068584E-2</v>
      </c>
      <c r="AE501" s="28">
        <f t="shared" si="114"/>
        <v>6.5291994162520045E-2</v>
      </c>
      <c r="AF501" s="28">
        <f t="shared" si="114"/>
        <v>6.5398617045895405E-2</v>
      </c>
      <c r="AG501" s="28">
        <f t="shared" si="114"/>
        <v>6.5501628349978927E-2</v>
      </c>
      <c r="AH501" s="28">
        <f t="shared" si="114"/>
        <v>6.506122418083396E-2</v>
      </c>
      <c r="AI501" s="28">
        <f t="shared" si="114"/>
        <v>6.512376853633306E-2</v>
      </c>
      <c r="AJ501" s="28">
        <f t="shared" si="114"/>
        <v>6.5192786542432504E-2</v>
      </c>
      <c r="AK501" s="28">
        <f t="shared" si="114"/>
        <v>6.5268033630044034E-2</v>
      </c>
      <c r="AL501" s="28">
        <f t="shared" si="114"/>
        <v>6.534928413374741E-2</v>
      </c>
      <c r="AM501" s="28">
        <f t="shared" si="114"/>
        <v>6.5436329497975634E-2</v>
      </c>
      <c r="AN501" s="28">
        <f t="shared" si="114"/>
        <v>6.54785726921783E-2</v>
      </c>
      <c r="AO501" s="28">
        <f t="shared" si="114"/>
        <v>6.552592152750053E-2</v>
      </c>
      <c r="AP501" s="28">
        <f t="shared" si="114"/>
        <v>6.557819831559332E-2</v>
      </c>
      <c r="AQ501" s="28">
        <f t="shared" si="114"/>
        <v>6.5635237529753657E-2</v>
      </c>
      <c r="AR501" s="28">
        <f t="shared" si="114"/>
        <v>6.5696884771733188E-2</v>
      </c>
      <c r="AS501" s="28">
        <f t="shared" si="114"/>
        <v>6.5712092396439034E-2</v>
      </c>
      <c r="AT501" s="28">
        <f t="shared" si="114"/>
        <v>6.5731389643727739E-2</v>
      </c>
      <c r="AU501" s="28">
        <f t="shared" si="114"/>
        <v>6.5754641065376054E-2</v>
      </c>
      <c r="AV501" s="28">
        <f t="shared" si="114"/>
        <v>6.578171948421814E-2</v>
      </c>
      <c r="AW501" s="28">
        <f t="shared" si="114"/>
        <v>6.5812505358088025E-2</v>
      </c>
      <c r="AY501" s="85"/>
    </row>
    <row r="502" spans="1:51" x14ac:dyDescent="0.25">
      <c r="A502" s="102" t="str">
        <f t="shared" si="108"/>
        <v>PQ Goats MMN2O</v>
      </c>
      <c r="B502" s="102" t="s">
        <v>969</v>
      </c>
      <c r="C502" s="102" t="s">
        <v>1330</v>
      </c>
      <c r="D502" t="s">
        <v>15</v>
      </c>
      <c r="E502" t="s">
        <v>657</v>
      </c>
      <c r="F502" t="s">
        <v>19</v>
      </c>
      <c r="G502" t="s">
        <v>122</v>
      </c>
      <c r="H502" t="s">
        <v>1228</v>
      </c>
      <c r="I502" t="s">
        <v>139</v>
      </c>
      <c r="J502" t="s">
        <v>287</v>
      </c>
      <c r="K502" s="28">
        <f t="shared" si="110"/>
        <v>1.4485648992970149E-2</v>
      </c>
      <c r="L502" s="28">
        <f t="shared" si="114"/>
        <v>1.4523430996818442E-2</v>
      </c>
      <c r="M502" s="28">
        <f t="shared" si="114"/>
        <v>1.4573778863725229E-2</v>
      </c>
      <c r="N502" s="28">
        <f t="shared" si="114"/>
        <v>1.4635573261684437E-2</v>
      </c>
      <c r="O502" s="28">
        <f t="shared" si="114"/>
        <v>1.4709556756482728E-2</v>
      </c>
      <c r="P502" s="28">
        <f t="shared" si="114"/>
        <v>1.4795926227225602E-2</v>
      </c>
      <c r="Q502" s="28">
        <f t="shared" si="114"/>
        <v>1.4888271114151717E-2</v>
      </c>
      <c r="R502" s="28">
        <f t="shared" si="114"/>
        <v>1.4985270961083385E-2</v>
      </c>
      <c r="S502" s="28">
        <f t="shared" si="114"/>
        <v>1.5075379558400602E-2</v>
      </c>
      <c r="T502" s="28">
        <f t="shared" si="114"/>
        <v>1.5117607192403527E-2</v>
      </c>
      <c r="U502" s="28">
        <f t="shared" si="114"/>
        <v>1.5163912133825485E-2</v>
      </c>
      <c r="V502" s="28">
        <f t="shared" si="114"/>
        <v>1.5214353144806386E-2</v>
      </c>
      <c r="W502" s="28">
        <f t="shared" si="114"/>
        <v>1.5269211713136204E-2</v>
      </c>
      <c r="X502" s="28">
        <f t="shared" si="114"/>
        <v>1.5327749231318039E-2</v>
      </c>
      <c r="Y502" s="28">
        <f t="shared" si="114"/>
        <v>1.5364750505414648E-2</v>
      </c>
      <c r="Z502" s="28">
        <f t="shared" si="114"/>
        <v>1.5404784002427285E-2</v>
      </c>
      <c r="AA502" s="28">
        <f t="shared" si="114"/>
        <v>1.5448015343528085E-2</v>
      </c>
      <c r="AB502" s="28">
        <f t="shared" si="114"/>
        <v>1.5493849362144254E-2</v>
      </c>
      <c r="AC502" s="28">
        <f t="shared" si="114"/>
        <v>1.5542469399401562E-2</v>
      </c>
      <c r="AD502" s="28">
        <f t="shared" si="114"/>
        <v>1.5574312295454071E-2</v>
      </c>
      <c r="AE502" s="28">
        <f t="shared" si="114"/>
        <v>1.5608846144431889E-2</v>
      </c>
      <c r="AF502" s="28">
        <f t="shared" si="114"/>
        <v>1.5645779000697076E-2</v>
      </c>
      <c r="AG502" s="28">
        <f t="shared" si="114"/>
        <v>1.5680933682266716E-2</v>
      </c>
      <c r="AH502" s="28">
        <f t="shared" si="114"/>
        <v>1.552725676648822E-2</v>
      </c>
      <c r="AI502" s="28">
        <f t="shared" si="114"/>
        <v>1.5547818779843832E-2</v>
      </c>
      <c r="AJ502" s="28">
        <f t="shared" si="114"/>
        <v>1.5570224487070797E-2</v>
      </c>
      <c r="AK502" s="28">
        <f t="shared" si="114"/>
        <v>1.5594399014227253E-2</v>
      </c>
      <c r="AL502" s="28">
        <f t="shared" si="114"/>
        <v>1.5620273295013296E-2</v>
      </c>
      <c r="AM502" s="28">
        <f t="shared" si="114"/>
        <v>1.5647783514700201E-2</v>
      </c>
      <c r="AN502" s="28">
        <f t="shared" si="114"/>
        <v>1.5659592232765602E-2</v>
      </c>
      <c r="AO502" s="28">
        <f t="shared" si="114"/>
        <v>1.5672874713872142E-2</v>
      </c>
      <c r="AP502" s="28">
        <f t="shared" si="114"/>
        <v>1.5687575397224301E-2</v>
      </c>
      <c r="AQ502" s="28">
        <f t="shared" si="114"/>
        <v>1.5703642533627795E-2</v>
      </c>
      <c r="AR502" s="28">
        <f t="shared" si="114"/>
        <v>1.5721027858938724E-2</v>
      </c>
      <c r="AS502" s="28">
        <f t="shared" si="114"/>
        <v>1.572238426100139E-2</v>
      </c>
      <c r="AT502" s="28">
        <f t="shared" si="114"/>
        <v>1.5724946955034496E-2</v>
      </c>
      <c r="AU502" s="28">
        <f t="shared" si="114"/>
        <v>1.5728672619393889E-2</v>
      </c>
      <c r="AV502" s="28">
        <f t="shared" si="114"/>
        <v>1.5733520584102465E-2</v>
      </c>
      <c r="AW502" s="28">
        <f t="shared" si="114"/>
        <v>1.5739452625419498E-2</v>
      </c>
      <c r="AY502" s="85"/>
    </row>
    <row r="503" spans="1:51" x14ac:dyDescent="0.25">
      <c r="A503" s="102" t="str">
        <f t="shared" si="108"/>
        <v>PQ Goats MMN2O</v>
      </c>
      <c r="B503" s="102" t="s">
        <v>969</v>
      </c>
      <c r="C503" s="102" t="s">
        <v>1330</v>
      </c>
      <c r="D503" t="s">
        <v>15</v>
      </c>
      <c r="E503" t="s">
        <v>657</v>
      </c>
      <c r="F503" t="s">
        <v>19</v>
      </c>
      <c r="G503" t="s">
        <v>123</v>
      </c>
      <c r="H503" t="s">
        <v>1228</v>
      </c>
      <c r="I503" t="s">
        <v>139</v>
      </c>
      <c r="J503" t="s">
        <v>287</v>
      </c>
      <c r="K503" s="28">
        <f t="shared" si="110"/>
        <v>0.1148405820648936</v>
      </c>
      <c r="L503" s="28">
        <f t="shared" si="114"/>
        <v>0.11514011350567485</v>
      </c>
      <c r="M503" s="28">
        <f t="shared" si="114"/>
        <v>0.1155392656833997</v>
      </c>
      <c r="N503" s="28">
        <f t="shared" si="114"/>
        <v>0.11602916466089314</v>
      </c>
      <c r="O503" s="28">
        <f t="shared" si="114"/>
        <v>0.11661569741548039</v>
      </c>
      <c r="P503" s="28">
        <f t="shared" si="114"/>
        <v>0.11730042478237726</v>
      </c>
      <c r="Q503" s="28">
        <f t="shared" si="114"/>
        <v>0.11803252457096508</v>
      </c>
      <c r="R503" s="28">
        <f t="shared" si="114"/>
        <v>0.11880152835445074</v>
      </c>
      <c r="S503" s="28">
        <f t="shared" si="114"/>
        <v>0.11951589909268844</v>
      </c>
      <c r="T503" s="28">
        <f t="shared" si="114"/>
        <v>0.11985067498505422</v>
      </c>
      <c r="U503" s="28">
        <f t="shared" si="114"/>
        <v>0.12021777530813667</v>
      </c>
      <c r="V503" s="28">
        <f t="shared" si="114"/>
        <v>0.12061766592151543</v>
      </c>
      <c r="W503" s="28">
        <f t="shared" si="114"/>
        <v>0.12105257842845937</v>
      </c>
      <c r="X503" s="28">
        <f t="shared" si="114"/>
        <v>0.12151665723251566</v>
      </c>
      <c r="Y503" s="28">
        <f t="shared" si="114"/>
        <v>0.12180999913638614</v>
      </c>
      <c r="Z503" s="28">
        <f t="shared" si="114"/>
        <v>0.12212738015958056</v>
      </c>
      <c r="AA503" s="28">
        <f t="shared" si="114"/>
        <v>0.12247011332796476</v>
      </c>
      <c r="AB503" s="28">
        <f t="shared" si="114"/>
        <v>0.12283348022846115</v>
      </c>
      <c r="AC503" s="28">
        <f t="shared" si="114"/>
        <v>0.12321893436871788</v>
      </c>
      <c r="AD503" s="28">
        <f t="shared" si="114"/>
        <v>0.12347138123658526</v>
      </c>
      <c r="AE503" s="28">
        <f t="shared" si="114"/>
        <v>0.12374516167400154</v>
      </c>
      <c r="AF503" s="28">
        <f t="shared" si="114"/>
        <v>0.12403796116906533</v>
      </c>
      <c r="AG503" s="28">
        <f t="shared" si="114"/>
        <v>0.12431666349684663</v>
      </c>
      <c r="AH503" s="28">
        <f t="shared" si="114"/>
        <v>0.12309833034059625</v>
      </c>
      <c r="AI503" s="28">
        <f t="shared" si="114"/>
        <v>0.12326134365006759</v>
      </c>
      <c r="AJ503" s="28">
        <f t="shared" si="114"/>
        <v>0.12343897355541526</v>
      </c>
      <c r="AK503" s="28">
        <f t="shared" si="114"/>
        <v>0.12363062646452125</v>
      </c>
      <c r="AL503" s="28">
        <f t="shared" si="114"/>
        <v>0.12383575482759435</v>
      </c>
      <c r="AM503" s="28">
        <f t="shared" si="114"/>
        <v>0.12405385272870395</v>
      </c>
      <c r="AN503" s="28">
        <f t="shared" si="114"/>
        <v>0.12414747090602753</v>
      </c>
      <c r="AO503" s="28">
        <f t="shared" si="114"/>
        <v>0.12425277290956782</v>
      </c>
      <c r="AP503" s="28">
        <f t="shared" si="114"/>
        <v>0.12436931825964037</v>
      </c>
      <c r="AQ503" s="28">
        <f t="shared" si="114"/>
        <v>0.12449669669450293</v>
      </c>
      <c r="AR503" s="28">
        <f t="shared" si="114"/>
        <v>0.12463452558149747</v>
      </c>
      <c r="AS503" s="28">
        <f t="shared" si="114"/>
        <v>0.12464527898318946</v>
      </c>
      <c r="AT503" s="28">
        <f t="shared" si="114"/>
        <v>0.12466559573078972</v>
      </c>
      <c r="AU503" s="28">
        <f t="shared" si="114"/>
        <v>0.12469513237521754</v>
      </c>
      <c r="AV503" s="28">
        <f t="shared" si="114"/>
        <v>0.1247335664895077</v>
      </c>
      <c r="AW503" s="28">
        <f t="shared" si="114"/>
        <v>0.12478059504017958</v>
      </c>
      <c r="AY503" s="85"/>
    </row>
    <row r="504" spans="1:51" x14ac:dyDescent="0.25">
      <c r="A504" s="102" t="str">
        <f t="shared" si="108"/>
        <v>PQ Horses MMN2O</v>
      </c>
      <c r="B504" s="102" t="s">
        <v>969</v>
      </c>
      <c r="C504" s="102" t="s">
        <v>1331</v>
      </c>
      <c r="D504" t="s">
        <v>15</v>
      </c>
      <c r="E504" t="s">
        <v>657</v>
      </c>
      <c r="F504" t="s">
        <v>20</v>
      </c>
      <c r="G504" t="s">
        <v>3</v>
      </c>
      <c r="H504" t="s">
        <v>1228</v>
      </c>
      <c r="I504" t="s">
        <v>139</v>
      </c>
      <c r="J504" t="s">
        <v>287</v>
      </c>
      <c r="K504" s="28" t="str">
        <f t="shared" si="110"/>
        <v>NO</v>
      </c>
      <c r="L504" s="28" t="str">
        <f t="shared" si="114"/>
        <v>NO</v>
      </c>
      <c r="M504" s="28" t="str">
        <f t="shared" si="114"/>
        <v>NO</v>
      </c>
      <c r="N504" s="28" t="str">
        <f t="shared" si="114"/>
        <v>NO</v>
      </c>
      <c r="O504" s="28" t="str">
        <f t="shared" si="114"/>
        <v>NO</v>
      </c>
      <c r="P504" s="28" t="str">
        <f t="shared" si="114"/>
        <v>NO</v>
      </c>
      <c r="Q504" s="28" t="str">
        <f t="shared" si="114"/>
        <v>NO</v>
      </c>
      <c r="R504" s="28" t="str">
        <f t="shared" si="114"/>
        <v>NO</v>
      </c>
      <c r="S504" s="28" t="str">
        <f t="shared" si="114"/>
        <v>NO</v>
      </c>
      <c r="T504" s="28" t="str">
        <f t="shared" si="114"/>
        <v>NO</v>
      </c>
      <c r="U504" s="28" t="str">
        <f t="shared" si="114"/>
        <v>NO</v>
      </c>
      <c r="V504" s="28" t="str">
        <f t="shared" si="114"/>
        <v>NO</v>
      </c>
      <c r="W504" s="28" t="str">
        <f t="shared" si="114"/>
        <v>NO</v>
      </c>
      <c r="X504" s="28" t="str">
        <f t="shared" si="114"/>
        <v>NO</v>
      </c>
      <c r="Y504" s="28" t="str">
        <f t="shared" si="114"/>
        <v>NO</v>
      </c>
      <c r="Z504" s="28" t="str">
        <f t="shared" si="114"/>
        <v>NO</v>
      </c>
      <c r="AA504" s="28" t="str">
        <f t="shared" si="114"/>
        <v>NO</v>
      </c>
      <c r="AB504" s="28" t="str">
        <f t="shared" si="114"/>
        <v>NO</v>
      </c>
      <c r="AC504" s="28" t="str">
        <f t="shared" si="114"/>
        <v>NO</v>
      </c>
      <c r="AD504" s="28" t="str">
        <f t="shared" si="114"/>
        <v>NO</v>
      </c>
      <c r="AE504" s="28" t="str">
        <f t="shared" si="114"/>
        <v>NO</v>
      </c>
      <c r="AF504" s="28" t="str">
        <f t="shared" si="114"/>
        <v>NO</v>
      </c>
      <c r="AG504" s="28" t="str">
        <f t="shared" si="114"/>
        <v>NO</v>
      </c>
      <c r="AH504" s="28" t="str">
        <f t="shared" si="114"/>
        <v>NO</v>
      </c>
      <c r="AI504" s="28" t="str">
        <f t="shared" si="114"/>
        <v>NO</v>
      </c>
      <c r="AJ504" s="28" t="str">
        <f t="shared" si="114"/>
        <v>NO</v>
      </c>
      <c r="AK504" s="28" t="str">
        <f t="shared" si="114"/>
        <v>NO</v>
      </c>
      <c r="AL504" s="28" t="str">
        <f t="shared" si="114"/>
        <v>NO</v>
      </c>
      <c r="AM504" s="28" t="str">
        <f t="shared" si="114"/>
        <v>NO</v>
      </c>
      <c r="AN504" s="28" t="str">
        <f t="shared" si="114"/>
        <v>NO</v>
      </c>
      <c r="AO504" s="28" t="str">
        <f t="shared" si="114"/>
        <v>NO</v>
      </c>
      <c r="AP504" s="28" t="str">
        <f t="shared" si="114"/>
        <v>NO</v>
      </c>
      <c r="AQ504" s="28" t="str">
        <f t="shared" si="114"/>
        <v>NO</v>
      </c>
      <c r="AR504" s="28" t="str">
        <f t="shared" si="114"/>
        <v>NO</v>
      </c>
      <c r="AS504" s="28" t="str">
        <f t="shared" si="114"/>
        <v>NO</v>
      </c>
      <c r="AT504" s="28" t="str">
        <f t="shared" si="114"/>
        <v>NO</v>
      </c>
      <c r="AU504" s="28" t="str">
        <f t="shared" si="114"/>
        <v>NO</v>
      </c>
      <c r="AV504" s="28" t="str">
        <f t="shared" si="114"/>
        <v>NO</v>
      </c>
      <c r="AW504" s="28" t="str">
        <f t="shared" si="114"/>
        <v>NO</v>
      </c>
      <c r="AY504" s="85"/>
    </row>
    <row r="505" spans="1:51" x14ac:dyDescent="0.25">
      <c r="A505" s="102" t="str">
        <f t="shared" si="108"/>
        <v>PQ Mules MMN2O</v>
      </c>
      <c r="B505" s="102" t="s">
        <v>969</v>
      </c>
      <c r="C505" s="102" t="s">
        <v>1332</v>
      </c>
      <c r="D505" t="s">
        <v>15</v>
      </c>
      <c r="E505" t="s">
        <v>657</v>
      </c>
      <c r="F505" t="s">
        <v>140</v>
      </c>
      <c r="G505" t="s">
        <v>124</v>
      </c>
      <c r="H505" t="s">
        <v>1228</v>
      </c>
      <c r="I505" t="s">
        <v>139</v>
      </c>
      <c r="J505" t="s">
        <v>287</v>
      </c>
      <c r="K505" s="28" t="str">
        <f t="shared" si="110"/>
        <v>NO</v>
      </c>
      <c r="L505" s="28" t="str">
        <f t="shared" si="114"/>
        <v>NO</v>
      </c>
      <c r="M505" s="28" t="str">
        <f t="shared" si="114"/>
        <v>NO</v>
      </c>
      <c r="N505" s="28" t="str">
        <f t="shared" si="114"/>
        <v>NO</v>
      </c>
      <c r="O505" s="28" t="str">
        <f t="shared" si="114"/>
        <v>NO</v>
      </c>
      <c r="P505" s="28" t="str">
        <f t="shared" si="114"/>
        <v>NO</v>
      </c>
      <c r="Q505" s="28" t="str">
        <f t="shared" si="114"/>
        <v>NO</v>
      </c>
      <c r="R505" s="28" t="str">
        <f t="shared" si="114"/>
        <v>NO</v>
      </c>
      <c r="S505" s="28" t="str">
        <f t="shared" si="114"/>
        <v>NO</v>
      </c>
      <c r="T505" s="28" t="str">
        <f t="shared" si="114"/>
        <v>NO</v>
      </c>
      <c r="U505" s="28" t="str">
        <f t="shared" si="114"/>
        <v>NO</v>
      </c>
      <c r="V505" s="28" t="str">
        <f t="shared" si="114"/>
        <v>NO</v>
      </c>
      <c r="W505" s="28" t="str">
        <f t="shared" si="114"/>
        <v>NO</v>
      </c>
      <c r="X505" s="28" t="str">
        <f t="shared" si="114"/>
        <v>NO</v>
      </c>
      <c r="Y505" s="28" t="str">
        <f t="shared" si="114"/>
        <v>NO</v>
      </c>
      <c r="Z505" s="28" t="str">
        <f t="shared" si="114"/>
        <v>NO</v>
      </c>
      <c r="AA505" s="28" t="str">
        <f t="shared" si="114"/>
        <v>NO</v>
      </c>
      <c r="AB505" s="28" t="str">
        <f t="shared" si="114"/>
        <v>NO</v>
      </c>
      <c r="AC505" s="28" t="str">
        <f t="shared" si="114"/>
        <v>NO</v>
      </c>
      <c r="AD505" s="28" t="str">
        <f t="shared" si="114"/>
        <v>NO</v>
      </c>
      <c r="AE505" s="28" t="str">
        <f t="shared" si="114"/>
        <v>NO</v>
      </c>
      <c r="AF505" s="28" t="str">
        <f t="shared" si="114"/>
        <v>NO</v>
      </c>
      <c r="AG505" s="28" t="str">
        <f t="shared" si="114"/>
        <v>NO</v>
      </c>
      <c r="AH505" s="28" t="str">
        <f t="shared" si="114"/>
        <v>NO</v>
      </c>
      <c r="AI505" s="28" t="str">
        <f t="shared" si="114"/>
        <v>NO</v>
      </c>
      <c r="AJ505" s="28" t="str">
        <f t="shared" si="114"/>
        <v>NO</v>
      </c>
      <c r="AK505" s="28" t="str">
        <f t="shared" si="114"/>
        <v>NO</v>
      </c>
      <c r="AL505" s="28" t="str">
        <f t="shared" si="114"/>
        <v>NO</v>
      </c>
      <c r="AM505" s="28" t="str">
        <f t="shared" si="114"/>
        <v>NO</v>
      </c>
      <c r="AN505" s="28" t="str">
        <f t="shared" si="114"/>
        <v>NO</v>
      </c>
      <c r="AO505" s="28" t="str">
        <f t="shared" si="114"/>
        <v>NO</v>
      </c>
      <c r="AP505" s="28" t="str">
        <f t="shared" si="114"/>
        <v>NO</v>
      </c>
      <c r="AQ505" s="28" t="str">
        <f t="shared" si="114"/>
        <v>NO</v>
      </c>
      <c r="AR505" s="28" t="str">
        <f t="shared" si="114"/>
        <v>NO</v>
      </c>
      <c r="AS505" s="28" t="str">
        <f t="shared" si="114"/>
        <v>NO</v>
      </c>
      <c r="AT505" s="28" t="str">
        <f t="shared" si="114"/>
        <v>NO</v>
      </c>
      <c r="AU505" s="28" t="str">
        <f t="shared" si="114"/>
        <v>NO</v>
      </c>
      <c r="AV505" s="28" t="str">
        <f t="shared" ref="L505:AW511" si="115">AV1422</f>
        <v>NO</v>
      </c>
      <c r="AW505" s="28" t="str">
        <f t="shared" si="115"/>
        <v>NO</v>
      </c>
      <c r="AY505" s="85"/>
    </row>
    <row r="506" spans="1:51" x14ac:dyDescent="0.25">
      <c r="A506" s="102" t="str">
        <f t="shared" si="108"/>
        <v>PQ Swine MMN2O</v>
      </c>
      <c r="B506" s="102" t="s">
        <v>969</v>
      </c>
      <c r="C506" s="102" t="s">
        <v>1234</v>
      </c>
      <c r="D506" t="s">
        <v>15</v>
      </c>
      <c r="E506" t="s">
        <v>657</v>
      </c>
      <c r="F506" t="s">
        <v>21</v>
      </c>
      <c r="G506" t="s">
        <v>122</v>
      </c>
      <c r="H506" t="s">
        <v>1228</v>
      </c>
      <c r="I506" t="s">
        <v>139</v>
      </c>
      <c r="J506" t="s">
        <v>287</v>
      </c>
      <c r="K506" s="28">
        <f t="shared" si="110"/>
        <v>9.8212070321961289E-2</v>
      </c>
      <c r="L506" s="28">
        <f t="shared" si="115"/>
        <v>9.7902077304524535E-2</v>
      </c>
      <c r="M506" s="28">
        <f t="shared" si="115"/>
        <v>9.6876932731570997E-2</v>
      </c>
      <c r="N506" s="28">
        <f t="shared" si="115"/>
        <v>9.4886481944047557E-2</v>
      </c>
      <c r="O506" s="28">
        <f t="shared" si="115"/>
        <v>9.2983120414683651E-2</v>
      </c>
      <c r="P506" s="28">
        <f t="shared" si="115"/>
        <v>9.1647887851288232E-2</v>
      </c>
      <c r="Q506" s="28">
        <f t="shared" si="115"/>
        <v>9.0517057242200105E-2</v>
      </c>
      <c r="R506" s="28">
        <f t="shared" si="115"/>
        <v>8.8434751995252456E-2</v>
      </c>
      <c r="S506" s="28">
        <f t="shared" si="115"/>
        <v>7.7417928691120311E-2</v>
      </c>
      <c r="T506" s="28">
        <f t="shared" si="115"/>
        <v>7.7909888126779042E-2</v>
      </c>
      <c r="U506" s="28">
        <f t="shared" si="115"/>
        <v>7.8156831608476335E-2</v>
      </c>
      <c r="V506" s="28">
        <f t="shared" si="115"/>
        <v>7.8396909010436708E-2</v>
      </c>
      <c r="W506" s="28">
        <f t="shared" si="115"/>
        <v>7.8983322674416961E-2</v>
      </c>
      <c r="X506" s="28">
        <f t="shared" si="115"/>
        <v>7.9550022093927919E-2</v>
      </c>
      <c r="Y506" s="28">
        <f t="shared" si="115"/>
        <v>8.0200171515553365E-2</v>
      </c>
      <c r="Z506" s="28">
        <f t="shared" si="115"/>
        <v>8.0745873399241927E-2</v>
      </c>
      <c r="AA506" s="28">
        <f t="shared" si="115"/>
        <v>8.1401680108403665E-2</v>
      </c>
      <c r="AB506" s="28">
        <f t="shared" si="115"/>
        <v>8.1879069709822755E-2</v>
      </c>
      <c r="AC506" s="28">
        <f t="shared" si="115"/>
        <v>8.2381241768892818E-2</v>
      </c>
      <c r="AD506" s="28">
        <f t="shared" si="115"/>
        <v>8.3307469914568902E-2</v>
      </c>
      <c r="AE506" s="28">
        <f t="shared" si="115"/>
        <v>8.4389455604936589E-2</v>
      </c>
      <c r="AF506" s="28">
        <f t="shared" si="115"/>
        <v>8.5509115768420865E-2</v>
      </c>
      <c r="AG506" s="28">
        <f t="shared" si="115"/>
        <v>8.4250717613193291E-2</v>
      </c>
      <c r="AH506" s="28">
        <f t="shared" si="115"/>
        <v>-2.8426820502850808E-2</v>
      </c>
      <c r="AI506" s="28">
        <f t="shared" si="115"/>
        <v>-2.8115877001178527E-2</v>
      </c>
      <c r="AJ506" s="28">
        <f t="shared" si="115"/>
        <v>-2.7811593466985605E-2</v>
      </c>
      <c r="AK506" s="28">
        <f t="shared" si="115"/>
        <v>-2.7513534213570397E-2</v>
      </c>
      <c r="AL506" s="28">
        <f t="shared" si="115"/>
        <v>-2.7221295455261082E-2</v>
      </c>
      <c r="AM506" s="28">
        <f t="shared" si="115"/>
        <v>-2.6934502222400951E-2</v>
      </c>
      <c r="AN506" s="28">
        <f t="shared" si="115"/>
        <v>-2.6619947187312407E-2</v>
      </c>
      <c r="AO506" s="28">
        <f t="shared" si="115"/>
        <v>-2.6310938201629927E-2</v>
      </c>
      <c r="AP506" s="28">
        <f t="shared" si="115"/>
        <v>-2.600715135070272E-2</v>
      </c>
      <c r="AQ506" s="28">
        <f t="shared" si="115"/>
        <v>-2.5708283877268884E-2</v>
      </c>
      <c r="AR506" s="28">
        <f t="shared" si="115"/>
        <v>-2.5414052353403601E-2</v>
      </c>
      <c r="AS506" s="28">
        <f t="shared" si="115"/>
        <v>-2.5093405862334557E-2</v>
      </c>
      <c r="AT506" s="28">
        <f t="shared" si="115"/>
        <v>-2.4777656809122427E-2</v>
      </c>
      <c r="AU506" s="28">
        <f t="shared" si="115"/>
        <v>-2.4466553104711776E-2</v>
      </c>
      <c r="AV506" s="28">
        <f t="shared" si="115"/>
        <v>-2.415985755435068E-2</v>
      </c>
      <c r="AW506" s="28">
        <f t="shared" si="115"/>
        <v>-2.3857346696324909E-2</v>
      </c>
      <c r="AY506" s="85"/>
    </row>
    <row r="507" spans="1:51" x14ac:dyDescent="0.25">
      <c r="A507" s="102" t="str">
        <f t="shared" si="108"/>
        <v>PQ Swine MMN2O</v>
      </c>
      <c r="B507" s="102" t="s">
        <v>969</v>
      </c>
      <c r="C507" s="102" t="s">
        <v>1234</v>
      </c>
      <c r="D507" t="s">
        <v>15</v>
      </c>
      <c r="E507" t="s">
        <v>657</v>
      </c>
      <c r="F507" t="s">
        <v>21</v>
      </c>
      <c r="G507" t="s">
        <v>123</v>
      </c>
      <c r="H507" t="s">
        <v>1228</v>
      </c>
      <c r="I507" t="s">
        <v>139</v>
      </c>
      <c r="J507" t="s">
        <v>287</v>
      </c>
      <c r="K507" s="28">
        <f t="shared" si="110"/>
        <v>3.8422550388835235E-2</v>
      </c>
      <c r="L507" s="28">
        <f t="shared" si="115"/>
        <v>3.8301274844051346E-2</v>
      </c>
      <c r="M507" s="28">
        <f t="shared" si="115"/>
        <v>3.7900217531227944E-2</v>
      </c>
      <c r="N507" s="28">
        <f t="shared" si="115"/>
        <v>3.712151288291534E-2</v>
      </c>
      <c r="O507" s="28">
        <f t="shared" si="115"/>
        <v>3.6376879315672413E-2</v>
      </c>
      <c r="P507" s="28">
        <f t="shared" si="115"/>
        <v>3.5854509302702606E-2</v>
      </c>
      <c r="Q507" s="28">
        <f t="shared" si="115"/>
        <v>3.5412105472740686E-2</v>
      </c>
      <c r="R507" s="28">
        <f t="shared" si="115"/>
        <v>3.4597465500143629E-2</v>
      </c>
      <c r="S507" s="28">
        <f t="shared" si="115"/>
        <v>3.0287461168290553E-2</v>
      </c>
      <c r="T507" s="28">
        <f t="shared" si="115"/>
        <v>3.0479925660118236E-2</v>
      </c>
      <c r="U507" s="28">
        <f t="shared" si="115"/>
        <v>3.0576534949970324E-2</v>
      </c>
      <c r="V507" s="28">
        <f t="shared" si="115"/>
        <v>3.0670458090413286E-2</v>
      </c>
      <c r="W507" s="28">
        <f t="shared" si="115"/>
        <v>3.0899874988755002E-2</v>
      </c>
      <c r="X507" s="28">
        <f t="shared" si="115"/>
        <v>3.1121579275510219E-2</v>
      </c>
      <c r="Y507" s="28">
        <f t="shared" si="115"/>
        <v>3.1375930892687053E-2</v>
      </c>
      <c r="Z507" s="28">
        <f t="shared" si="115"/>
        <v>3.1589420518295906E-2</v>
      </c>
      <c r="AA507" s="28">
        <f t="shared" si="115"/>
        <v>3.1845985380898841E-2</v>
      </c>
      <c r="AB507" s="28">
        <f t="shared" si="115"/>
        <v>3.2032749858579623E-2</v>
      </c>
      <c r="AC507" s="28">
        <f t="shared" si="115"/>
        <v>3.222920973545864E-2</v>
      </c>
      <c r="AD507" s="28">
        <f t="shared" si="115"/>
        <v>3.2591568939191247E-2</v>
      </c>
      <c r="AE507" s="28">
        <f t="shared" si="115"/>
        <v>3.3014863647997064E-2</v>
      </c>
      <c r="AF507" s="28">
        <f t="shared" si="115"/>
        <v>3.345289737347313E-2</v>
      </c>
      <c r="AG507" s="28">
        <f t="shared" si="115"/>
        <v>3.2960586536628499E-2</v>
      </c>
      <c r="AH507" s="28">
        <f t="shared" si="115"/>
        <v>-1.112114773249949E-2</v>
      </c>
      <c r="AI507" s="28">
        <f t="shared" si="115"/>
        <v>-1.0999500339038397E-2</v>
      </c>
      <c r="AJ507" s="28">
        <f t="shared" si="115"/>
        <v>-1.0880458459698174E-2</v>
      </c>
      <c r="AK507" s="28">
        <f t="shared" si="115"/>
        <v>-1.0763851645019877E-2</v>
      </c>
      <c r="AL507" s="28">
        <f t="shared" si="115"/>
        <v>-1.0649521925873338E-2</v>
      </c>
      <c r="AM507" s="28">
        <f t="shared" si="115"/>
        <v>-1.0537322606536911E-2</v>
      </c>
      <c r="AN507" s="28">
        <f t="shared" si="115"/>
        <v>-1.0414262308081425E-2</v>
      </c>
      <c r="AO507" s="28">
        <f t="shared" si="115"/>
        <v>-1.0293371736443279E-2</v>
      </c>
      <c r="AP507" s="28">
        <f t="shared" si="115"/>
        <v>-1.0174524169652843E-2</v>
      </c>
      <c r="AQ507" s="28">
        <f t="shared" si="115"/>
        <v>-1.0057601162939404E-2</v>
      </c>
      <c r="AR507" s="28">
        <f t="shared" si="115"/>
        <v>-9.9424918335602689E-3</v>
      </c>
      <c r="AS507" s="28">
        <f t="shared" si="115"/>
        <v>-9.8170484341927999E-3</v>
      </c>
      <c r="AT507" s="28">
        <f t="shared" si="115"/>
        <v>-9.6935210116723403E-3</v>
      </c>
      <c r="AU507" s="28">
        <f t="shared" si="115"/>
        <v>-9.5718109436564065E-3</v>
      </c>
      <c r="AV507" s="28">
        <f t="shared" si="115"/>
        <v>-9.4518254347556157E-3</v>
      </c>
      <c r="AW507" s="28">
        <f t="shared" si="115"/>
        <v>-9.3334770622229783E-3</v>
      </c>
      <c r="AY507" s="85"/>
    </row>
    <row r="508" spans="1:51" x14ac:dyDescent="0.25">
      <c r="A508" s="102" t="str">
        <f t="shared" si="108"/>
        <v>PQ Poultry MMN2O</v>
      </c>
      <c r="B508" s="102" t="s">
        <v>969</v>
      </c>
      <c r="C508" s="102" t="s">
        <v>1235</v>
      </c>
      <c r="D508" t="s">
        <v>15</v>
      </c>
      <c r="E508" t="s">
        <v>657</v>
      </c>
      <c r="F508" t="s">
        <v>28</v>
      </c>
      <c r="G508" t="s">
        <v>131</v>
      </c>
      <c r="H508" t="s">
        <v>1228</v>
      </c>
      <c r="I508" t="s">
        <v>139</v>
      </c>
      <c r="J508" t="s">
        <v>287</v>
      </c>
      <c r="K508" s="28">
        <f t="shared" si="110"/>
        <v>0.32963485119754937</v>
      </c>
      <c r="L508" s="28">
        <f t="shared" si="115"/>
        <v>0.3367733222576253</v>
      </c>
      <c r="M508" s="28">
        <f t="shared" si="115"/>
        <v>0.34252519941326248</v>
      </c>
      <c r="N508" s="28">
        <f t="shared" si="115"/>
        <v>0.34628339258632435</v>
      </c>
      <c r="O508" s="28">
        <f t="shared" si="115"/>
        <v>0.35009259651269609</v>
      </c>
      <c r="P508" s="28">
        <f t="shared" si="115"/>
        <v>0.35500337907845531</v>
      </c>
      <c r="Q508" s="28">
        <f t="shared" si="115"/>
        <v>0.36025498659562288</v>
      </c>
      <c r="R508" s="28">
        <f t="shared" si="115"/>
        <v>0.36330907698293946</v>
      </c>
      <c r="S508" s="28">
        <f t="shared" si="115"/>
        <v>0.34573940681489368</v>
      </c>
      <c r="T508" s="28">
        <f t="shared" si="115"/>
        <v>0.35316196495857255</v>
      </c>
      <c r="U508" s="28">
        <f t="shared" si="115"/>
        <v>0.36009092327704184</v>
      </c>
      <c r="V508" s="28">
        <f t="shared" si="115"/>
        <v>0.36707458200076865</v>
      </c>
      <c r="W508" s="28">
        <f t="shared" si="115"/>
        <v>0.37500055316657199</v>
      </c>
      <c r="X508" s="28">
        <f t="shared" si="115"/>
        <v>0.38299236324087566</v>
      </c>
      <c r="Y508" s="28">
        <f t="shared" si="115"/>
        <v>0.39099432975561715</v>
      </c>
      <c r="Z508" s="28">
        <f t="shared" si="115"/>
        <v>0.398841954270029</v>
      </c>
      <c r="AA508" s="28">
        <f t="shared" si="115"/>
        <v>0.40710661573230994</v>
      </c>
      <c r="AB508" s="28">
        <f t="shared" si="115"/>
        <v>0.41500811589686409</v>
      </c>
      <c r="AC508" s="28">
        <f t="shared" si="115"/>
        <v>0.42309700830126501</v>
      </c>
      <c r="AD508" s="28">
        <f t="shared" si="115"/>
        <v>0.43226826232979193</v>
      </c>
      <c r="AE508" s="28">
        <f t="shared" si="115"/>
        <v>0.44207160383339156</v>
      </c>
      <c r="AF508" s="28">
        <f t="shared" si="115"/>
        <v>0.45218336296465478</v>
      </c>
      <c r="AG508" s="28">
        <f t="shared" si="115"/>
        <v>0.4551931213650493</v>
      </c>
      <c r="AH508" s="28">
        <f t="shared" si="115"/>
        <v>0.10910564018941009</v>
      </c>
      <c r="AI508" s="28">
        <f t="shared" si="115"/>
        <v>0.10994420930696339</v>
      </c>
      <c r="AJ508" s="28">
        <f t="shared" si="115"/>
        <v>0.11078888384654588</v>
      </c>
      <c r="AK508" s="28">
        <f t="shared" si="115"/>
        <v>0.11163971029926273</v>
      </c>
      <c r="AL508" s="28">
        <f t="shared" si="115"/>
        <v>0.11249673536734303</v>
      </c>
      <c r="AM508" s="28">
        <f t="shared" si="115"/>
        <v>0.1133600059778764</v>
      </c>
      <c r="AN508" s="28">
        <f t="shared" si="115"/>
        <v>0.11409797095001123</v>
      </c>
      <c r="AO508" s="28">
        <f t="shared" si="115"/>
        <v>0.11484049120695125</v>
      </c>
      <c r="AP508" s="28">
        <f t="shared" si="115"/>
        <v>0.11558759635865411</v>
      </c>
      <c r="AQ508" s="28">
        <f t="shared" si="115"/>
        <v>0.11633931611415979</v>
      </c>
      <c r="AR508" s="28">
        <f t="shared" si="115"/>
        <v>0.11709568028936261</v>
      </c>
      <c r="AS508" s="28">
        <f t="shared" si="115"/>
        <v>0.11772147862106908</v>
      </c>
      <c r="AT508" s="28">
        <f t="shared" si="115"/>
        <v>0.11835044728238052</v>
      </c>
      <c r="AU508" s="28">
        <f t="shared" si="115"/>
        <v>0.11898260346877226</v>
      </c>
      <c r="AV508" s="28">
        <f t="shared" si="115"/>
        <v>0.11961796440464827</v>
      </c>
      <c r="AW508" s="28">
        <f t="shared" si="115"/>
        <v>0.12025654734797987</v>
      </c>
      <c r="AY508" s="85"/>
    </row>
    <row r="509" spans="1:51" x14ac:dyDescent="0.25">
      <c r="A509" s="102" t="str">
        <f t="shared" si="108"/>
        <v>PQ Poultry MMN2O</v>
      </c>
      <c r="B509" s="102" t="s">
        <v>969</v>
      </c>
      <c r="C509" s="102" t="s">
        <v>1235</v>
      </c>
      <c r="D509" t="s">
        <v>15</v>
      </c>
      <c r="E509" t="s">
        <v>657</v>
      </c>
      <c r="F509" t="s">
        <v>28</v>
      </c>
      <c r="G509" t="s">
        <v>132</v>
      </c>
      <c r="H509" t="s">
        <v>1228</v>
      </c>
      <c r="I509" t="s">
        <v>139</v>
      </c>
      <c r="J509" t="s">
        <v>287</v>
      </c>
      <c r="K509" s="28">
        <f t="shared" si="110"/>
        <v>1.7216530294251391</v>
      </c>
      <c r="L509" s="28">
        <f t="shared" si="115"/>
        <v>1.7495913852181326</v>
      </c>
      <c r="M509" s="28">
        <f t="shared" si="115"/>
        <v>1.7578868664335328</v>
      </c>
      <c r="N509" s="28">
        <f t="shared" si="115"/>
        <v>1.7392918980189422</v>
      </c>
      <c r="O509" s="28">
        <f t="shared" si="115"/>
        <v>1.7207368558327785</v>
      </c>
      <c r="P509" s="28">
        <f t="shared" si="115"/>
        <v>1.7153529254443873</v>
      </c>
      <c r="Q509" s="28">
        <f t="shared" si="115"/>
        <v>1.7142313641539435</v>
      </c>
      <c r="R509" s="28">
        <f t="shared" si="115"/>
        <v>1.6856374848225169</v>
      </c>
      <c r="S509" s="28">
        <f t="shared" si="115"/>
        <v>1.4045469015643526</v>
      </c>
      <c r="T509" s="28">
        <f t="shared" si="115"/>
        <v>1.4459775319383337</v>
      </c>
      <c r="U509" s="28">
        <f t="shared" si="115"/>
        <v>1.480607974450509</v>
      </c>
      <c r="V509" s="28">
        <f t="shared" si="115"/>
        <v>1.5151543903265086</v>
      </c>
      <c r="W509" s="28">
        <f t="shared" si="115"/>
        <v>1.5601003686418904</v>
      </c>
      <c r="X509" s="28">
        <f t="shared" si="115"/>
        <v>1.6049114332445515</v>
      </c>
      <c r="Y509" s="28">
        <f t="shared" si="115"/>
        <v>1.6541109963656262</v>
      </c>
      <c r="Z509" s="28">
        <f t="shared" si="115"/>
        <v>1.7006835408755379</v>
      </c>
      <c r="AA509" s="28">
        <f t="shared" si="115"/>
        <v>1.7512278539533319</v>
      </c>
      <c r="AB509" s="28">
        <f t="shared" si="115"/>
        <v>1.7968025285418052</v>
      </c>
      <c r="AC509" s="28">
        <f t="shared" si="115"/>
        <v>1.8437229492039162</v>
      </c>
      <c r="AD509" s="28">
        <f t="shared" si="115"/>
        <v>1.9060767826661782</v>
      </c>
      <c r="AE509" s="28">
        <f t="shared" si="115"/>
        <v>1.9745333748476768</v>
      </c>
      <c r="AF509" s="28">
        <f t="shared" si="115"/>
        <v>2.0454043901813557</v>
      </c>
      <c r="AG509" s="28">
        <f t="shared" si="115"/>
        <v>2.0375124323750504</v>
      </c>
      <c r="AH509" s="28">
        <f t="shared" si="115"/>
        <v>-1.7670360622808823</v>
      </c>
      <c r="AI509" s="28">
        <f t="shared" si="115"/>
        <v>-1.769567863105443</v>
      </c>
      <c r="AJ509" s="28">
        <f t="shared" si="115"/>
        <v>-1.7723139091947202</v>
      </c>
      <c r="AK509" s="28">
        <f t="shared" si="115"/>
        <v>-1.775265259663616</v>
      </c>
      <c r="AL509" s="28">
        <f t="shared" si="115"/>
        <v>-1.7784136680871927</v>
      </c>
      <c r="AM509" s="28">
        <f t="shared" si="115"/>
        <v>-1.7817515157915651</v>
      </c>
      <c r="AN509" s="28">
        <f t="shared" si="115"/>
        <v>-1.7831253143927157</v>
      </c>
      <c r="AO509" s="28">
        <f t="shared" si="115"/>
        <v>-1.7846712895501273</v>
      </c>
      <c r="AP509" s="28">
        <f t="shared" si="115"/>
        <v>-1.7863827557357852</v>
      </c>
      <c r="AQ509" s="28">
        <f t="shared" si="115"/>
        <v>-1.788253486478437</v>
      </c>
      <c r="AR509" s="28">
        <f t="shared" si="115"/>
        <v>-1.79027767491833</v>
      </c>
      <c r="AS509" s="28">
        <f t="shared" si="115"/>
        <v>-1.7903062211735206</v>
      </c>
      <c r="AT509" s="28">
        <f t="shared" si="115"/>
        <v>-1.7904768825126722</v>
      </c>
      <c r="AU509" s="28">
        <f t="shared" si="115"/>
        <v>-1.7907844045675889</v>
      </c>
      <c r="AV509" s="28">
        <f t="shared" si="115"/>
        <v>-1.7912238548642139</v>
      </c>
      <c r="AW509" s="28">
        <f t="shared" si="115"/>
        <v>-1.7917905978217188</v>
      </c>
      <c r="AY509" s="85"/>
    </row>
    <row r="510" spans="1:51" x14ac:dyDescent="0.25">
      <c r="A510" s="102" t="str">
        <f t="shared" si="108"/>
        <v>PQ Poultry MMN2O</v>
      </c>
      <c r="B510" s="102" t="s">
        <v>969</v>
      </c>
      <c r="C510" s="102" t="s">
        <v>1235</v>
      </c>
      <c r="D510" t="s">
        <v>15</v>
      </c>
      <c r="E510" t="s">
        <v>657</v>
      </c>
      <c r="F510" t="s">
        <v>28</v>
      </c>
      <c r="G510" t="s">
        <v>134</v>
      </c>
      <c r="H510" t="s">
        <v>1228</v>
      </c>
      <c r="I510" t="s">
        <v>139</v>
      </c>
      <c r="J510" t="s">
        <v>287</v>
      </c>
      <c r="K510" s="28">
        <f t="shared" si="110"/>
        <v>1.3734785466564569E-2</v>
      </c>
      <c r="L510" s="28">
        <f t="shared" si="115"/>
        <v>1.40322217607344E-2</v>
      </c>
      <c r="M510" s="28">
        <f t="shared" si="115"/>
        <v>1.4271883308885947E-2</v>
      </c>
      <c r="N510" s="28">
        <f t="shared" si="115"/>
        <v>1.442847469109686E-2</v>
      </c>
      <c r="O510" s="28">
        <f t="shared" si="115"/>
        <v>1.4587191521362352E-2</v>
      </c>
      <c r="P510" s="28">
        <f t="shared" si="115"/>
        <v>1.4791807461602316E-2</v>
      </c>
      <c r="Q510" s="28">
        <f t="shared" si="115"/>
        <v>1.5010624441484299E-2</v>
      </c>
      <c r="R510" s="28">
        <f t="shared" si="115"/>
        <v>1.5137878207622494E-2</v>
      </c>
      <c r="S510" s="28">
        <f t="shared" si="115"/>
        <v>1.4405808617287252E-2</v>
      </c>
      <c r="T510" s="28">
        <f t="shared" si="115"/>
        <v>1.471508187327387E-2</v>
      </c>
      <c r="U510" s="28">
        <f t="shared" si="115"/>
        <v>1.5003788469876761E-2</v>
      </c>
      <c r="V510" s="28">
        <f t="shared" si="115"/>
        <v>1.5294774250032041E-2</v>
      </c>
      <c r="W510" s="28">
        <f t="shared" si="115"/>
        <v>1.5625023048607179E-2</v>
      </c>
      <c r="X510" s="28">
        <f t="shared" si="115"/>
        <v>1.5958015135036502E-2</v>
      </c>
      <c r="Y510" s="28">
        <f t="shared" si="115"/>
        <v>1.6291430406484061E-2</v>
      </c>
      <c r="Z510" s="28">
        <f t="shared" si="115"/>
        <v>1.6618414761251227E-2</v>
      </c>
      <c r="AA510" s="28">
        <f t="shared" si="115"/>
        <v>1.6962775655512932E-2</v>
      </c>
      <c r="AB510" s="28">
        <f t="shared" si="115"/>
        <v>1.7292004829036017E-2</v>
      </c>
      <c r="AC510" s="28">
        <f t="shared" si="115"/>
        <v>1.7629042012552724E-2</v>
      </c>
      <c r="AD510" s="28">
        <f t="shared" si="115"/>
        <v>1.8011177597074678E-2</v>
      </c>
      <c r="AE510" s="28">
        <f t="shared" si="115"/>
        <v>1.8419650159724663E-2</v>
      </c>
      <c r="AF510" s="28">
        <f t="shared" si="115"/>
        <v>1.884097345686063E-2</v>
      </c>
      <c r="AG510" s="28">
        <f t="shared" si="115"/>
        <v>1.8966380056877074E-2</v>
      </c>
      <c r="AH510" s="28">
        <f t="shared" si="115"/>
        <v>4.546068341225425E-3</v>
      </c>
      <c r="AI510" s="28">
        <f t="shared" si="115"/>
        <v>4.5810087211234788E-3</v>
      </c>
      <c r="AJ510" s="28">
        <f t="shared" si="115"/>
        <v>4.6162034936060832E-3</v>
      </c>
      <c r="AK510" s="28">
        <f t="shared" si="115"/>
        <v>4.651654595802618E-3</v>
      </c>
      <c r="AL510" s="28">
        <f t="shared" si="115"/>
        <v>4.6873639736392985E-3</v>
      </c>
      <c r="AM510" s="28">
        <f t="shared" si="115"/>
        <v>4.7233335824115215E-3</v>
      </c>
      <c r="AN510" s="28">
        <f t="shared" si="115"/>
        <v>4.7540821229171398E-3</v>
      </c>
      <c r="AO510" s="28">
        <f t="shared" si="115"/>
        <v>4.7850204669563062E-3</v>
      </c>
      <c r="AP510" s="28">
        <f t="shared" si="115"/>
        <v>4.8161498482772597E-3</v>
      </c>
      <c r="AQ510" s="28">
        <f t="shared" si="115"/>
        <v>4.8474715047566626E-3</v>
      </c>
      <c r="AR510" s="28">
        <f t="shared" si="115"/>
        <v>4.8789866787234456E-3</v>
      </c>
      <c r="AS510" s="28">
        <f t="shared" si="115"/>
        <v>4.9050616092112158E-3</v>
      </c>
      <c r="AT510" s="28">
        <f t="shared" si="115"/>
        <v>4.9312686367658596E-3</v>
      </c>
      <c r="AU510" s="28">
        <f t="shared" si="115"/>
        <v>4.9576084778655159E-3</v>
      </c>
      <c r="AV510" s="28">
        <f t="shared" si="115"/>
        <v>4.9840818501936824E-3</v>
      </c>
      <c r="AW510" s="28">
        <f t="shared" si="115"/>
        <v>5.0106894728324993E-3</v>
      </c>
      <c r="AY510" s="85"/>
    </row>
    <row r="511" spans="1:51" x14ac:dyDescent="0.25">
      <c r="A511" s="102" t="str">
        <f t="shared" si="108"/>
        <v>PQ Poultry MMN2O</v>
      </c>
      <c r="B511" s="102" t="s">
        <v>969</v>
      </c>
      <c r="C511" s="102" t="s">
        <v>1235</v>
      </c>
      <c r="D511" t="s">
        <v>15</v>
      </c>
      <c r="E511" t="s">
        <v>657</v>
      </c>
      <c r="F511" t="s">
        <v>28</v>
      </c>
      <c r="G511" t="s">
        <v>133</v>
      </c>
      <c r="H511" t="s">
        <v>1228</v>
      </c>
      <c r="I511" t="s">
        <v>139</v>
      </c>
      <c r="J511" t="s">
        <v>287</v>
      </c>
      <c r="K511" s="28">
        <f t="shared" si="110"/>
        <v>7.1735542892714194E-2</v>
      </c>
      <c r="L511" s="28">
        <f t="shared" si="115"/>
        <v>7.2899641050755595E-2</v>
      </c>
      <c r="M511" s="28">
        <f t="shared" si="115"/>
        <v>7.3245286101397272E-2</v>
      </c>
      <c r="N511" s="28">
        <f t="shared" si="115"/>
        <v>7.2470495750789329E-2</v>
      </c>
      <c r="O511" s="28">
        <f t="shared" si="115"/>
        <v>7.1697368993032501E-2</v>
      </c>
      <c r="P511" s="28">
        <f t="shared" si="115"/>
        <v>7.1473038560182875E-2</v>
      </c>
      <c r="Q511" s="28">
        <f t="shared" si="115"/>
        <v>7.1426306839747711E-2</v>
      </c>
      <c r="R511" s="28">
        <f t="shared" si="115"/>
        <v>7.0234895200938272E-2</v>
      </c>
      <c r="S511" s="28">
        <f t="shared" si="115"/>
        <v>5.8522787565181415E-2</v>
      </c>
      <c r="T511" s="28">
        <f t="shared" si="115"/>
        <v>6.0249063830763963E-2</v>
      </c>
      <c r="U511" s="28">
        <f t="shared" si="115"/>
        <v>6.1691998935437933E-2</v>
      </c>
      <c r="V511" s="28">
        <f t="shared" si="115"/>
        <v>6.313143293027125E-2</v>
      </c>
      <c r="W511" s="28">
        <f t="shared" si="115"/>
        <v>6.5004182026745502E-2</v>
      </c>
      <c r="X511" s="28">
        <f t="shared" si="115"/>
        <v>6.6871309718523023E-2</v>
      </c>
      <c r="Y511" s="28">
        <f t="shared" si="115"/>
        <v>6.8921291515234503E-2</v>
      </c>
      <c r="Z511" s="28">
        <f t="shared" si="115"/>
        <v>7.086181420314748E-2</v>
      </c>
      <c r="AA511" s="28">
        <f t="shared" si="115"/>
        <v>7.2967827248055561E-2</v>
      </c>
      <c r="AB511" s="28">
        <f t="shared" si="115"/>
        <v>7.4866772022575287E-2</v>
      </c>
      <c r="AC511" s="28">
        <f t="shared" si="115"/>
        <v>7.682178955016325E-2</v>
      </c>
      <c r="AD511" s="28">
        <f t="shared" si="115"/>
        <v>7.9419865944424156E-2</v>
      </c>
      <c r="AE511" s="28">
        <f t="shared" si="115"/>
        <v>8.2272223951986606E-2</v>
      </c>
      <c r="AF511" s="28">
        <f t="shared" si="115"/>
        <v>8.5225182924223236E-2</v>
      </c>
      <c r="AG511" s="28">
        <f t="shared" si="115"/>
        <v>8.4896351348960508E-2</v>
      </c>
      <c r="AH511" s="28">
        <f t="shared" si="115"/>
        <v>-7.3626502595036822E-2</v>
      </c>
      <c r="AI511" s="28">
        <f t="shared" si="115"/>
        <v>-7.3731994296060199E-2</v>
      </c>
      <c r="AJ511" s="28">
        <f t="shared" si="115"/>
        <v>-7.3846412883113402E-2</v>
      </c>
      <c r="AK511" s="28">
        <f t="shared" si="115"/>
        <v>-7.3969385819317404E-2</v>
      </c>
      <c r="AL511" s="28">
        <f t="shared" si="115"/>
        <v>-7.4100569503633099E-2</v>
      </c>
      <c r="AM511" s="28">
        <f t="shared" si="115"/>
        <v>-7.4239646491315286E-2</v>
      </c>
      <c r="AN511" s="28">
        <f t="shared" si="115"/>
        <v>-7.4296888099696562E-2</v>
      </c>
      <c r="AO511" s="28">
        <f t="shared" si="115"/>
        <v>-7.4361303731255379E-2</v>
      </c>
      <c r="AP511" s="28">
        <f t="shared" si="115"/>
        <v>-7.4432614822324453E-2</v>
      </c>
      <c r="AQ511" s="28">
        <f t="shared" si="115"/>
        <v>-7.4510561936601619E-2</v>
      </c>
      <c r="AR511" s="28">
        <f t="shared" si="115"/>
        <v>-7.4594903121597153E-2</v>
      </c>
      <c r="AS511" s="28">
        <f t="shared" si="115"/>
        <v>-7.4596092548896764E-2</v>
      </c>
      <c r="AT511" s="28">
        <f t="shared" si="115"/>
        <v>-7.4603203438028065E-2</v>
      </c>
      <c r="AU511" s="28">
        <f t="shared" si="115"/>
        <v>-7.4616016856982936E-2</v>
      </c>
      <c r="AV511" s="28">
        <f t="shared" si="115"/>
        <v>-7.4634327286008981E-2</v>
      </c>
      <c r="AW511" s="28">
        <f t="shared" si="115"/>
        <v>-7.465794157590501E-2</v>
      </c>
      <c r="AY511" s="85"/>
    </row>
    <row r="512" spans="1:51" x14ac:dyDescent="0.25">
      <c r="A512" s="102" t="str">
        <f t="shared" si="108"/>
        <v>PQ Synthetic</v>
      </c>
      <c r="B512" s="102" t="s">
        <v>969</v>
      </c>
      <c r="C512" s="102" t="s">
        <v>1127</v>
      </c>
      <c r="D512" t="s">
        <v>369</v>
      </c>
      <c r="E512" t="s">
        <v>55</v>
      </c>
      <c r="H512" t="s">
        <v>419</v>
      </c>
      <c r="I512" t="s">
        <v>139</v>
      </c>
      <c r="J512" t="s">
        <v>287</v>
      </c>
      <c r="K512" s="22">
        <f>K1463</f>
        <v>6.6064812063358538</v>
      </c>
      <c r="L512" s="22">
        <f t="shared" ref="L512:AW519" si="116">L1463</f>
        <v>6.6055332632324646</v>
      </c>
      <c r="M512" s="22">
        <f t="shared" si="116"/>
        <v>6.6042378924026437</v>
      </c>
      <c r="N512" s="22">
        <f t="shared" si="116"/>
        <v>6.6032976249569808</v>
      </c>
      <c r="O512" s="22">
        <f t="shared" si="116"/>
        <v>6.6028397217143464</v>
      </c>
      <c r="P512" s="22">
        <f t="shared" si="116"/>
        <v>6.6023877667619955</v>
      </c>
      <c r="Q512" s="22">
        <f t="shared" si="116"/>
        <v>6.6017040685586048</v>
      </c>
      <c r="R512" s="22">
        <f t="shared" si="116"/>
        <v>6.6009555191940086</v>
      </c>
      <c r="S512" s="22">
        <f t="shared" si="116"/>
        <v>6.6007105452260202</v>
      </c>
      <c r="T512" s="22">
        <f t="shared" si="116"/>
        <v>6.6052103201480445</v>
      </c>
      <c r="U512" s="22">
        <f t="shared" si="116"/>
        <v>6.6038066881148643</v>
      </c>
      <c r="V512" s="22">
        <f t="shared" si="116"/>
        <v>6.60254471504373</v>
      </c>
      <c r="W512" s="22">
        <f t="shared" si="116"/>
        <v>6.6012944407562824</v>
      </c>
      <c r="X512" s="22">
        <f t="shared" si="116"/>
        <v>6.5998592560706051</v>
      </c>
      <c r="Y512" s="22">
        <f t="shared" si="116"/>
        <v>6.5984396481179575</v>
      </c>
      <c r="Z512" s="22">
        <f t="shared" si="116"/>
        <v>6.5970003432051669</v>
      </c>
      <c r="AA512" s="22">
        <f t="shared" si="116"/>
        <v>6.595622302868513</v>
      </c>
      <c r="AB512" s="22">
        <f t="shared" si="116"/>
        <v>6.5941853622185969</v>
      </c>
      <c r="AC512" s="22">
        <f t="shared" si="116"/>
        <v>6.592850540390411</v>
      </c>
      <c r="AD512" s="22">
        <f t="shared" si="116"/>
        <v>6.5915038110737925</v>
      </c>
      <c r="AE512" s="22">
        <f t="shared" si="116"/>
        <v>6.5899366744546857</v>
      </c>
      <c r="AF512" s="22">
        <f t="shared" si="116"/>
        <v>6.5882822576482969</v>
      </c>
      <c r="AG512" s="22">
        <f t="shared" si="116"/>
        <v>6.5866069718802809</v>
      </c>
      <c r="AH512" s="22">
        <f t="shared" si="116"/>
        <v>6.5862744996812319</v>
      </c>
      <c r="AI512" s="22">
        <f t="shared" si="116"/>
        <v>6.7244352177988764</v>
      </c>
      <c r="AJ512" s="22">
        <f t="shared" si="116"/>
        <v>6.7246796459520661</v>
      </c>
      <c r="AK512" s="22">
        <f t="shared" si="116"/>
        <v>6.7249266471091245</v>
      </c>
      <c r="AL512" s="22">
        <f t="shared" si="116"/>
        <v>6.7251762567164626</v>
      </c>
      <c r="AM512" s="22">
        <f t="shared" si="116"/>
        <v>6.725428510887201</v>
      </c>
      <c r="AN512" s="22">
        <f t="shared" si="116"/>
        <v>6.7256834464178157</v>
      </c>
      <c r="AO512" s="22">
        <f t="shared" si="116"/>
        <v>6.7259019731905472</v>
      </c>
      <c r="AP512" s="22">
        <f t="shared" si="116"/>
        <v>6.7261224822219834</v>
      </c>
      <c r="AQ512" s="22">
        <f t="shared" si="116"/>
        <v>6.7263449972304938</v>
      </c>
      <c r="AR512" s="22">
        <f t="shared" si="116"/>
        <v>6.7265695423235661</v>
      </c>
      <c r="AS512" s="22">
        <f t="shared" si="116"/>
        <v>6.7267961420062665</v>
      </c>
      <c r="AT512" s="22">
        <f t="shared" si="116"/>
        <v>6.72698404674487</v>
      </c>
      <c r="AU512" s="22">
        <f t="shared" si="116"/>
        <v>6.7271733718738833</v>
      </c>
      <c r="AV512" s="22">
        <f t="shared" si="116"/>
        <v>6.7273641316511892</v>
      </c>
      <c r="AW512" s="22">
        <f t="shared" si="116"/>
        <v>6.7275563405315459</v>
      </c>
      <c r="AY512" s="85"/>
    </row>
    <row r="513" spans="1:51" x14ac:dyDescent="0.25">
      <c r="A513" s="102" t="str">
        <f t="shared" si="108"/>
        <v>PQ Organic</v>
      </c>
      <c r="B513" s="102" t="s">
        <v>969</v>
      </c>
      <c r="C513" s="102" t="s">
        <v>1128</v>
      </c>
      <c r="D513" t="s">
        <v>369</v>
      </c>
      <c r="E513" t="s">
        <v>55</v>
      </c>
      <c r="H513" t="s">
        <v>420</v>
      </c>
      <c r="I513" t="s">
        <v>139</v>
      </c>
      <c r="J513" t="s">
        <v>287</v>
      </c>
      <c r="K513" s="22">
        <f t="shared" ref="K513:Z576" si="117">K1464</f>
        <v>4.3602775961816637E-2</v>
      </c>
      <c r="L513" s="22">
        <f t="shared" si="117"/>
        <v>4.3596519537334268E-2</v>
      </c>
      <c r="M513" s="22">
        <f t="shared" si="117"/>
        <v>4.3587970089857465E-2</v>
      </c>
      <c r="N513" s="22">
        <f t="shared" si="117"/>
        <v>4.3581764324716096E-2</v>
      </c>
      <c r="O513" s="22">
        <f t="shared" si="117"/>
        <v>4.3578742163314678E-2</v>
      </c>
      <c r="P513" s="22">
        <f t="shared" si="117"/>
        <v>4.3575759260629177E-2</v>
      </c>
      <c r="Q513" s="22">
        <f t="shared" si="117"/>
        <v>4.3571246852486797E-2</v>
      </c>
      <c r="R513" s="22">
        <f t="shared" si="117"/>
        <v>4.3566306426680468E-2</v>
      </c>
      <c r="S513" s="22">
        <f t="shared" si="117"/>
        <v>4.3564689598491746E-2</v>
      </c>
      <c r="T513" s="22">
        <f t="shared" si="117"/>
        <v>4.3594388112977112E-2</v>
      </c>
      <c r="U513" s="22">
        <f t="shared" si="117"/>
        <v>4.3585124141558115E-2</v>
      </c>
      <c r="V513" s="22">
        <f t="shared" si="117"/>
        <v>4.3576795119288615E-2</v>
      </c>
      <c r="W513" s="22">
        <f t="shared" si="117"/>
        <v>4.3568543308991473E-2</v>
      </c>
      <c r="X513" s="22">
        <f t="shared" si="117"/>
        <v>4.3559071090065994E-2</v>
      </c>
      <c r="Y513" s="22">
        <f t="shared" si="117"/>
        <v>4.3549701677578524E-2</v>
      </c>
      <c r="Z513" s="22">
        <f t="shared" si="117"/>
        <v>4.3540202265154107E-2</v>
      </c>
      <c r="AA513" s="22">
        <f t="shared" si="116"/>
        <v>4.3531107198932197E-2</v>
      </c>
      <c r="AB513" s="22">
        <f t="shared" si="116"/>
        <v>4.352162339064275E-2</v>
      </c>
      <c r="AC513" s="22">
        <f t="shared" si="116"/>
        <v>4.351281356657672E-2</v>
      </c>
      <c r="AD513" s="22">
        <f t="shared" si="116"/>
        <v>4.3503925153087042E-2</v>
      </c>
      <c r="AE513" s="22">
        <f t="shared" si="116"/>
        <v>4.3493582051400928E-2</v>
      </c>
      <c r="AF513" s="22">
        <f t="shared" si="116"/>
        <v>4.3482662900478766E-2</v>
      </c>
      <c r="AG513" s="22">
        <f t="shared" si="116"/>
        <v>4.3471606014409865E-2</v>
      </c>
      <c r="AH513" s="22">
        <f t="shared" si="116"/>
        <v>4.3469411697896136E-2</v>
      </c>
      <c r="AI513" s="22">
        <f t="shared" si="116"/>
        <v>4.4381272437472585E-2</v>
      </c>
      <c r="AJ513" s="22">
        <f t="shared" si="116"/>
        <v>4.4382885663283633E-2</v>
      </c>
      <c r="AK513" s="22">
        <f t="shared" si="116"/>
        <v>4.4384515870920224E-2</v>
      </c>
      <c r="AL513" s="22">
        <f t="shared" si="116"/>
        <v>4.4386163294328665E-2</v>
      </c>
      <c r="AM513" s="22">
        <f t="shared" si="116"/>
        <v>4.4387828171855534E-2</v>
      </c>
      <c r="AN513" s="22">
        <f t="shared" si="116"/>
        <v>4.4389510746357594E-2</v>
      </c>
      <c r="AO513" s="22">
        <f t="shared" si="116"/>
        <v>4.4390953023057615E-2</v>
      </c>
      <c r="AP513" s="22">
        <f t="shared" si="116"/>
        <v>4.4392408382665088E-2</v>
      </c>
      <c r="AQ513" s="22">
        <f t="shared" si="116"/>
        <v>4.4393876981721259E-2</v>
      </c>
      <c r="AR513" s="22">
        <f t="shared" si="116"/>
        <v>4.4395358979335532E-2</v>
      </c>
      <c r="AS513" s="22">
        <f t="shared" si="116"/>
        <v>4.4396854537241355E-2</v>
      </c>
      <c r="AT513" s="22">
        <f t="shared" si="116"/>
        <v>4.4398094708516155E-2</v>
      </c>
      <c r="AU513" s="22">
        <f t="shared" si="116"/>
        <v>4.4399344254367645E-2</v>
      </c>
      <c r="AV513" s="22">
        <f t="shared" si="116"/>
        <v>4.4400603268897852E-2</v>
      </c>
      <c r="AW513" s="22">
        <f t="shared" si="116"/>
        <v>4.4401871847508219E-2</v>
      </c>
      <c r="AY513" s="85"/>
    </row>
    <row r="514" spans="1:51" x14ac:dyDescent="0.25">
      <c r="A514" s="102" t="str">
        <f t="shared" si="108"/>
        <v>PQ Crop residues</v>
      </c>
      <c r="B514" s="102" t="s">
        <v>969</v>
      </c>
      <c r="C514" s="102" t="s">
        <v>58</v>
      </c>
      <c r="D514" t="s">
        <v>369</v>
      </c>
      <c r="E514" t="s">
        <v>55</v>
      </c>
      <c r="H514" t="s">
        <v>58</v>
      </c>
      <c r="I514" t="s">
        <v>139</v>
      </c>
      <c r="J514" t="s">
        <v>287</v>
      </c>
      <c r="K514" s="22">
        <f t="shared" si="117"/>
        <v>2.94930909510781</v>
      </c>
      <c r="L514" s="22">
        <f t="shared" si="116"/>
        <v>2.9563860470471841</v>
      </c>
      <c r="M514" s="22">
        <f t="shared" si="116"/>
        <v>2.9660567509887259</v>
      </c>
      <c r="N514" s="22">
        <f t="shared" si="116"/>
        <v>2.9730763996357101</v>
      </c>
      <c r="O514" s="22">
        <f t="shared" si="116"/>
        <v>2.9764949162422756</v>
      </c>
      <c r="P514" s="22">
        <f t="shared" si="116"/>
        <v>2.9798690253687776</v>
      </c>
      <c r="Q514" s="22">
        <f t="shared" si="116"/>
        <v>2.9849732339537955</v>
      </c>
      <c r="R514" s="22">
        <f t="shared" si="116"/>
        <v>2.9905615945405919</v>
      </c>
      <c r="S514" s="22">
        <f t="shared" si="116"/>
        <v>2.9923904690707688</v>
      </c>
      <c r="T514" s="22">
        <f t="shared" si="116"/>
        <v>2.9587970068183171</v>
      </c>
      <c r="U514" s="22">
        <f t="shared" si="116"/>
        <v>2.9692759442185355</v>
      </c>
      <c r="V514" s="22">
        <f t="shared" si="116"/>
        <v>2.9786973142789162</v>
      </c>
      <c r="W514" s="22">
        <f t="shared" si="116"/>
        <v>2.9880313460490315</v>
      </c>
      <c r="X514" s="22">
        <f t="shared" si="116"/>
        <v>2.9987458425292064</v>
      </c>
      <c r="Y514" s="22">
        <f t="shared" si="116"/>
        <v>3.0093440495500001</v>
      </c>
      <c r="Z514" s="22">
        <f t="shared" si="116"/>
        <v>3.0200893059451359</v>
      </c>
      <c r="AA514" s="22">
        <f t="shared" si="116"/>
        <v>3.0303771863022528</v>
      </c>
      <c r="AB514" s="22">
        <f t="shared" si="116"/>
        <v>3.0411047920866441</v>
      </c>
      <c r="AC514" s="22">
        <f t="shared" si="116"/>
        <v>3.0510700208983077</v>
      </c>
      <c r="AD514" s="22">
        <f t="shared" si="116"/>
        <v>3.0611241461036762</v>
      </c>
      <c r="AE514" s="22">
        <f t="shared" si="116"/>
        <v>3.0728237412547079</v>
      </c>
      <c r="AF514" s="22">
        <f t="shared" si="116"/>
        <v>3.0851749342584296</v>
      </c>
      <c r="AG514" s="22">
        <f t="shared" si="116"/>
        <v>3.0976819263158513</v>
      </c>
      <c r="AH514" s="22">
        <f t="shared" si="116"/>
        <v>3.100164026523585</v>
      </c>
      <c r="AI514" s="22">
        <f t="shared" si="116"/>
        <v>2.0687131319155303</v>
      </c>
      <c r="AJ514" s="22">
        <f t="shared" si="116"/>
        <v>2.0668883322133484</v>
      </c>
      <c r="AK514" s="22">
        <f t="shared" si="116"/>
        <v>2.0650443235262905</v>
      </c>
      <c r="AL514" s="22">
        <f t="shared" si="116"/>
        <v>2.0631808412261146</v>
      </c>
      <c r="AM514" s="22">
        <f t="shared" si="116"/>
        <v>2.0612976157071592</v>
      </c>
      <c r="AN514" s="22">
        <f t="shared" si="116"/>
        <v>2.0593943722621146</v>
      </c>
      <c r="AO514" s="22">
        <f t="shared" si="116"/>
        <v>2.0577629415754459</v>
      </c>
      <c r="AP514" s="22">
        <f t="shared" si="116"/>
        <v>2.056116712163484</v>
      </c>
      <c r="AQ514" s="22">
        <f t="shared" si="116"/>
        <v>2.0544555069546533</v>
      </c>
      <c r="AR514" s="22">
        <f t="shared" si="116"/>
        <v>2.0527791459724298</v>
      </c>
      <c r="AS514" s="22">
        <f t="shared" si="116"/>
        <v>2.0510874462720836</v>
      </c>
      <c r="AT514" s="22">
        <f t="shared" si="116"/>
        <v>2.0496846270527396</v>
      </c>
      <c r="AU514" s="22">
        <f t="shared" si="116"/>
        <v>2.0482712037848629</v>
      </c>
      <c r="AV514" s="22">
        <f t="shared" si="116"/>
        <v>2.0468470700250148</v>
      </c>
      <c r="AW514" s="22">
        <f t="shared" si="116"/>
        <v>2.0454121178598972</v>
      </c>
      <c r="AY514" s="85"/>
    </row>
    <row r="515" spans="1:51" x14ac:dyDescent="0.25">
      <c r="A515" s="102" t="str">
        <f t="shared" si="108"/>
        <v>PQ Organic</v>
      </c>
      <c r="B515" s="102" t="s">
        <v>969</v>
      </c>
      <c r="C515" s="102" t="s">
        <v>1128</v>
      </c>
      <c r="D515" t="s">
        <v>369</v>
      </c>
      <c r="E515" t="s">
        <v>55</v>
      </c>
      <c r="F515" t="s">
        <v>421</v>
      </c>
      <c r="G515" t="s">
        <v>1153</v>
      </c>
      <c r="H515" t="s">
        <v>1154</v>
      </c>
      <c r="I515" t="s">
        <v>139</v>
      </c>
      <c r="J515" t="s">
        <v>287</v>
      </c>
      <c r="K515" s="22">
        <f t="shared" si="117"/>
        <v>0.31935878855248062</v>
      </c>
      <c r="L515" s="22">
        <f t="shared" si="116"/>
        <v>0.3213452540874065</v>
      </c>
      <c r="M515" s="22">
        <f t="shared" si="116"/>
        <v>0.32271097650720204</v>
      </c>
      <c r="N515" s="22">
        <f t="shared" si="116"/>
        <v>0.32313928716206192</v>
      </c>
      <c r="O515" s="22">
        <f t="shared" si="116"/>
        <v>0.32371872756630715</v>
      </c>
      <c r="P515" s="22">
        <f t="shared" si="116"/>
        <v>0.32498792219339984</v>
      </c>
      <c r="Q515" s="22">
        <f t="shared" si="116"/>
        <v>0.32650955781340663</v>
      </c>
      <c r="R515" s="22">
        <f t="shared" si="116"/>
        <v>0.32696667302614263</v>
      </c>
      <c r="S515" s="22">
        <f t="shared" si="116"/>
        <v>0.31692886960594807</v>
      </c>
      <c r="T515" s="22">
        <f t="shared" si="116"/>
        <v>0.319539305941619</v>
      </c>
      <c r="U515" s="22">
        <f t="shared" si="116"/>
        <v>0.32193300192732111</v>
      </c>
      <c r="V515" s="22">
        <f t="shared" si="116"/>
        <v>0.32438733794310681</v>
      </c>
      <c r="W515" s="22">
        <f t="shared" si="116"/>
        <v>0.32734391954355124</v>
      </c>
      <c r="X515" s="22">
        <f t="shared" si="116"/>
        <v>0.33035597962068947</v>
      </c>
      <c r="Y515" s="22">
        <f t="shared" si="116"/>
        <v>0.33328887796807738</v>
      </c>
      <c r="Z515" s="22">
        <f t="shared" si="116"/>
        <v>0.33616310143447364</v>
      </c>
      <c r="AA515" s="22">
        <f t="shared" si="116"/>
        <v>0.33925895533631584</v>
      </c>
      <c r="AB515" s="22">
        <f t="shared" si="116"/>
        <v>0.34219066812704535</v>
      </c>
      <c r="AC515" s="22">
        <f t="shared" si="116"/>
        <v>0.34522753941235912</v>
      </c>
      <c r="AD515" s="22">
        <f t="shared" si="116"/>
        <v>0.34871662740286707</v>
      </c>
      <c r="AE515" s="22">
        <f t="shared" si="116"/>
        <v>0.3525166109950878</v>
      </c>
      <c r="AF515" s="22">
        <f t="shared" si="116"/>
        <v>0.3564674247563781</v>
      </c>
      <c r="AG515" s="22">
        <f t="shared" si="116"/>
        <v>0.35701929306188401</v>
      </c>
      <c r="AH515" s="22">
        <f t="shared" si="116"/>
        <v>0.19114464625483749</v>
      </c>
      <c r="AI515" s="22">
        <f t="shared" si="116"/>
        <v>0.19128523197534555</v>
      </c>
      <c r="AJ515" s="22">
        <f t="shared" si="116"/>
        <v>0.19144428532787389</v>
      </c>
      <c r="AK515" s="22">
        <f t="shared" si="116"/>
        <v>0.19162110436440311</v>
      </c>
      <c r="AL515" s="22">
        <f t="shared" si="116"/>
        <v>0.19181504119818318</v>
      </c>
      <c r="AM515" s="22">
        <f t="shared" si="116"/>
        <v>0.19202549687963794</v>
      </c>
      <c r="AN515" s="22">
        <f t="shared" si="116"/>
        <v>0.19211610433852847</v>
      </c>
      <c r="AO515" s="22">
        <f t="shared" si="116"/>
        <v>0.19222125892017863</v>
      </c>
      <c r="AP515" s="22">
        <f t="shared" si="116"/>
        <v>0.1923404525383117</v>
      </c>
      <c r="AQ515" s="22">
        <f t="shared" si="116"/>
        <v>0.19247321177682317</v>
      </c>
      <c r="AR515" s="22">
        <f t="shared" si="116"/>
        <v>0.19261909494773871</v>
      </c>
      <c r="AS515" s="22">
        <f t="shared" si="116"/>
        <v>0.19264041350385425</v>
      </c>
      <c r="AT515" s="22">
        <f t="shared" si="116"/>
        <v>0.19267336675119676</v>
      </c>
      <c r="AU515" s="22">
        <f t="shared" si="116"/>
        <v>0.19271756905587112</v>
      </c>
      <c r="AV515" s="22">
        <f t="shared" si="116"/>
        <v>0.19277265827645768</v>
      </c>
      <c r="AW515" s="22">
        <f t="shared" si="116"/>
        <v>0.19283829395934973</v>
      </c>
      <c r="AY515" s="85"/>
    </row>
    <row r="516" spans="1:51" x14ac:dyDescent="0.25">
      <c r="A516" s="102" t="str">
        <f t="shared" si="108"/>
        <v>PQ Organic</v>
      </c>
      <c r="B516" s="102" t="s">
        <v>969</v>
      </c>
      <c r="C516" s="102" t="s">
        <v>1128</v>
      </c>
      <c r="D516" t="s">
        <v>369</v>
      </c>
      <c r="E516" t="s">
        <v>55</v>
      </c>
      <c r="F516" t="s">
        <v>421</v>
      </c>
      <c r="G516" t="s">
        <v>1155</v>
      </c>
      <c r="H516" t="s">
        <v>1156</v>
      </c>
      <c r="I516" t="s">
        <v>139</v>
      </c>
      <c r="J516" t="s">
        <v>287</v>
      </c>
      <c r="K516" s="22">
        <f t="shared" si="117"/>
        <v>0.93379576098906358</v>
      </c>
      <c r="L516" s="22">
        <f t="shared" si="116"/>
        <v>0.93960412813709904</v>
      </c>
      <c r="M516" s="22">
        <f t="shared" si="116"/>
        <v>0.94359746056447114</v>
      </c>
      <c r="N516" s="22">
        <f t="shared" si="116"/>
        <v>0.94484982839723786</v>
      </c>
      <c r="O516" s="22">
        <f t="shared" si="116"/>
        <v>0.94654409519879523</v>
      </c>
      <c r="P516" s="22">
        <f t="shared" si="116"/>
        <v>0.95025518318237956</v>
      </c>
      <c r="Q516" s="22">
        <f t="shared" si="116"/>
        <v>0.95470440124890821</v>
      </c>
      <c r="R516" s="22">
        <f t="shared" si="116"/>
        <v>0.95604099276677834</v>
      </c>
      <c r="S516" s="22">
        <f t="shared" si="116"/>
        <v>0.9266907490302454</v>
      </c>
      <c r="T516" s="22">
        <f t="shared" si="116"/>
        <v>0.93432358855731779</v>
      </c>
      <c r="U516" s="22">
        <f t="shared" si="116"/>
        <v>0.94132268563767829</v>
      </c>
      <c r="V516" s="22">
        <f t="shared" si="116"/>
        <v>0.94849909239313801</v>
      </c>
      <c r="W516" s="22">
        <f t="shared" si="116"/>
        <v>0.95714405055454344</v>
      </c>
      <c r="X516" s="22">
        <f t="shared" si="116"/>
        <v>0.96595122615983853</v>
      </c>
      <c r="Y516" s="22">
        <f t="shared" si="116"/>
        <v>0.97452693518170752</v>
      </c>
      <c r="Z516" s="22">
        <f t="shared" si="116"/>
        <v>0.98293108056696943</v>
      </c>
      <c r="AA516" s="22">
        <f t="shared" si="116"/>
        <v>0.99198326686591187</v>
      </c>
      <c r="AB516" s="22">
        <f t="shared" si="116"/>
        <v>1.0005555093547731</v>
      </c>
      <c r="AC516" s="22">
        <f t="shared" si="116"/>
        <v>1.0094352322073954</v>
      </c>
      <c r="AD516" s="22">
        <f t="shared" si="116"/>
        <v>1.0196372234850481</v>
      </c>
      <c r="AE516" s="22">
        <f t="shared" si="116"/>
        <v>1.0307482644127997</v>
      </c>
      <c r="AF516" s="22">
        <f t="shared" si="116"/>
        <v>1.0423003283452565</v>
      </c>
      <c r="AG516" s="22">
        <f t="shared" si="116"/>
        <v>1.0439139751361945</v>
      </c>
      <c r="AH516" s="22">
        <f t="shared" si="116"/>
        <v>0.55890135736530644</v>
      </c>
      <c r="AI516" s="22">
        <f t="shared" si="116"/>
        <v>0.55931242590192343</v>
      </c>
      <c r="AJ516" s="22">
        <f t="shared" si="116"/>
        <v>0.55977749325464987</v>
      </c>
      <c r="AK516" s="22">
        <f t="shared" si="116"/>
        <v>0.56029450694799943</v>
      </c>
      <c r="AL516" s="22">
        <f t="shared" si="116"/>
        <v>0.56086157258005664</v>
      </c>
      <c r="AM516" s="22">
        <f t="shared" si="116"/>
        <v>0.5614769388397709</v>
      </c>
      <c r="AN516" s="22">
        <f t="shared" si="116"/>
        <v>0.56174187240057738</v>
      </c>
      <c r="AO516" s="22">
        <f t="shared" si="116"/>
        <v>0.56204934132303475</v>
      </c>
      <c r="AP516" s="22">
        <f t="shared" si="116"/>
        <v>0.56239785997772429</v>
      </c>
      <c r="AQ516" s="22">
        <f t="shared" si="116"/>
        <v>0.56278604410979705</v>
      </c>
      <c r="AR516" s="22">
        <f t="shared" si="116"/>
        <v>0.56321260223652991</v>
      </c>
      <c r="AS516" s="22">
        <f t="shared" si="116"/>
        <v>0.56327493707134479</v>
      </c>
      <c r="AT516" s="22">
        <f t="shared" si="116"/>
        <v>0.56337129140315678</v>
      </c>
      <c r="AU516" s="22">
        <f t="shared" si="116"/>
        <v>0.56350053764973096</v>
      </c>
      <c r="AV516" s="22">
        <f t="shared" si="116"/>
        <v>0.5636616169201436</v>
      </c>
      <c r="AW516" s="22">
        <f t="shared" si="116"/>
        <v>0.56385353373800251</v>
      </c>
      <c r="AY516" s="85"/>
    </row>
    <row r="517" spans="1:51" x14ac:dyDescent="0.25">
      <c r="A517" s="102" t="str">
        <f t="shared" si="108"/>
        <v>PQ Organic</v>
      </c>
      <c r="B517" s="102" t="s">
        <v>969</v>
      </c>
      <c r="C517" s="102" t="s">
        <v>1128</v>
      </c>
      <c r="D517" t="s">
        <v>369</v>
      </c>
      <c r="E517" t="s">
        <v>55</v>
      </c>
      <c r="F517" t="s">
        <v>421</v>
      </c>
      <c r="G517" t="s">
        <v>1157</v>
      </c>
      <c r="H517" t="s">
        <v>1158</v>
      </c>
      <c r="I517" t="s">
        <v>139</v>
      </c>
      <c r="J517" t="s">
        <v>287</v>
      </c>
      <c r="K517" s="22">
        <f t="shared" si="117"/>
        <v>4.9952808112492433E-2</v>
      </c>
      <c r="L517" s="22">
        <f t="shared" si="116"/>
        <v>5.0263523005099557E-2</v>
      </c>
      <c r="M517" s="22">
        <f t="shared" si="116"/>
        <v>5.0477143774016554E-2</v>
      </c>
      <c r="N517" s="22">
        <f t="shared" si="116"/>
        <v>5.0544138391737034E-2</v>
      </c>
      <c r="O517" s="22">
        <f t="shared" si="116"/>
        <v>5.063477211269108E-2</v>
      </c>
      <c r="P517" s="22">
        <f t="shared" si="116"/>
        <v>5.0833294395268382E-2</v>
      </c>
      <c r="Q517" s="22">
        <f t="shared" si="116"/>
        <v>5.1071302475421292E-2</v>
      </c>
      <c r="R517" s="22">
        <f t="shared" si="116"/>
        <v>5.1142802585409194E-2</v>
      </c>
      <c r="S517" s="22">
        <f t="shared" si="116"/>
        <v>4.9572730033491622E-2</v>
      </c>
      <c r="T517" s="22">
        <f t="shared" si="116"/>
        <v>4.9981043911298741E-2</v>
      </c>
      <c r="U517" s="22">
        <f t="shared" si="116"/>
        <v>5.0355456141490972E-2</v>
      </c>
      <c r="V517" s="22">
        <f t="shared" si="116"/>
        <v>5.0739353439560694E-2</v>
      </c>
      <c r="W517" s="22">
        <f t="shared" si="116"/>
        <v>5.1201809957589661E-2</v>
      </c>
      <c r="X517" s="22">
        <f t="shared" si="116"/>
        <v>5.1672944194222255E-2</v>
      </c>
      <c r="Y517" s="22">
        <f t="shared" si="116"/>
        <v>5.2131696273739363E-2</v>
      </c>
      <c r="Z517" s="22">
        <f t="shared" si="116"/>
        <v>5.2581270666039896E-2</v>
      </c>
      <c r="AA517" s="22">
        <f t="shared" si="116"/>
        <v>5.3065511593317877E-2</v>
      </c>
      <c r="AB517" s="22">
        <f t="shared" si="116"/>
        <v>5.3524078232864716E-2</v>
      </c>
      <c r="AC517" s="22">
        <f t="shared" si="116"/>
        <v>5.3999093338179975E-2</v>
      </c>
      <c r="AD517" s="22">
        <f t="shared" si="116"/>
        <v>5.4544842348775345E-2</v>
      </c>
      <c r="AE517" s="22">
        <f t="shared" si="116"/>
        <v>5.5139220390078653E-2</v>
      </c>
      <c r="AF517" s="22">
        <f t="shared" si="116"/>
        <v>5.5757190675476007E-2</v>
      </c>
      <c r="AG517" s="22">
        <f t="shared" si="116"/>
        <v>5.5843511680428629E-2</v>
      </c>
      <c r="AH517" s="22">
        <f t="shared" si="116"/>
        <v>2.9898071317768258E-2</v>
      </c>
      <c r="AI517" s="22">
        <f t="shared" si="116"/>
        <v>2.9920061166714414E-2</v>
      </c>
      <c r="AJ517" s="22">
        <f t="shared" si="116"/>
        <v>2.994493964785629E-2</v>
      </c>
      <c r="AK517" s="22">
        <f t="shared" si="116"/>
        <v>2.9972596965328013E-2</v>
      </c>
      <c r="AL517" s="22">
        <f t="shared" si="116"/>
        <v>3.0002931779308462E-2</v>
      </c>
      <c r="AM517" s="22">
        <f t="shared" si="116"/>
        <v>3.0035850404531023E-2</v>
      </c>
      <c r="AN517" s="22">
        <f t="shared" si="116"/>
        <v>3.0050022856236633E-2</v>
      </c>
      <c r="AO517" s="22">
        <f t="shared" si="116"/>
        <v>3.0066470709959804E-2</v>
      </c>
      <c r="AP517" s="22">
        <f t="shared" si="116"/>
        <v>3.0085114492903187E-2</v>
      </c>
      <c r="AQ517" s="22">
        <f t="shared" si="116"/>
        <v>3.0105880155237338E-2</v>
      </c>
      <c r="AR517" s="22">
        <f t="shared" si="116"/>
        <v>3.0128698609918406E-2</v>
      </c>
      <c r="AS517" s="22">
        <f t="shared" si="116"/>
        <v>3.0132033172113177E-2</v>
      </c>
      <c r="AT517" s="22">
        <f t="shared" si="116"/>
        <v>3.0137187585582245E-2</v>
      </c>
      <c r="AU517" s="22">
        <f t="shared" si="116"/>
        <v>3.0144101531033828E-2</v>
      </c>
      <c r="AV517" s="22">
        <f t="shared" si="116"/>
        <v>3.0152718363773888E-2</v>
      </c>
      <c r="AW517" s="22">
        <f t="shared" si="116"/>
        <v>3.0162984831428343E-2</v>
      </c>
      <c r="AY517" s="85"/>
    </row>
    <row r="518" spans="1:51" x14ac:dyDescent="0.25">
      <c r="A518" s="102" t="str">
        <f t="shared" si="108"/>
        <v>PQ Organic</v>
      </c>
      <c r="B518" s="102" t="s">
        <v>969</v>
      </c>
      <c r="C518" s="102" t="s">
        <v>1128</v>
      </c>
      <c r="D518" t="s">
        <v>369</v>
      </c>
      <c r="E518" t="s">
        <v>55</v>
      </c>
      <c r="F518" t="s">
        <v>421</v>
      </c>
      <c r="G518" t="s">
        <v>1159</v>
      </c>
      <c r="H518" t="s">
        <v>1160</v>
      </c>
      <c r="I518" t="s">
        <v>139</v>
      </c>
      <c r="J518" t="s">
        <v>287</v>
      </c>
      <c r="K518" s="22">
        <f t="shared" si="117"/>
        <v>0.40352425177353124</v>
      </c>
      <c r="L518" s="22">
        <f t="shared" si="116"/>
        <v>0.40084951633384258</v>
      </c>
      <c r="M518" s="22">
        <f t="shared" si="116"/>
        <v>0.39521001590024774</v>
      </c>
      <c r="N518" s="22">
        <f t="shared" si="116"/>
        <v>0.3857038563965185</v>
      </c>
      <c r="O518" s="22">
        <f t="shared" si="116"/>
        <v>0.37648074986973956</v>
      </c>
      <c r="P518" s="22">
        <f t="shared" si="116"/>
        <v>0.36938688643597767</v>
      </c>
      <c r="Q518" s="22">
        <f t="shared" si="116"/>
        <v>0.36297043234615178</v>
      </c>
      <c r="R518" s="22">
        <f t="shared" si="116"/>
        <v>0.35288211799047686</v>
      </c>
      <c r="S518" s="22">
        <f t="shared" si="116"/>
        <v>0.30949900697043298</v>
      </c>
      <c r="T518" s="22">
        <f t="shared" si="116"/>
        <v>0.31244902874448233</v>
      </c>
      <c r="U518" s="22">
        <f t="shared" si="116"/>
        <v>0.31444522818952964</v>
      </c>
      <c r="V518" s="22">
        <f t="shared" si="116"/>
        <v>0.31637649984131477</v>
      </c>
      <c r="W518" s="22">
        <f t="shared" si="116"/>
        <v>0.31957035863343569</v>
      </c>
      <c r="X518" s="22">
        <f t="shared" si="116"/>
        <v>0.32265895567955921</v>
      </c>
      <c r="Y518" s="22">
        <f t="shared" si="116"/>
        <v>0.32590151896633945</v>
      </c>
      <c r="Z518" s="22">
        <f t="shared" si="116"/>
        <v>0.32872445709091741</v>
      </c>
      <c r="AA518" s="22">
        <f t="shared" si="116"/>
        <v>0.33193734347454801</v>
      </c>
      <c r="AB518" s="22">
        <f t="shared" si="116"/>
        <v>0.33445153592828769</v>
      </c>
      <c r="AC518" s="22">
        <f t="shared" si="116"/>
        <v>0.33703471359982889</v>
      </c>
      <c r="AD518" s="22">
        <f t="shared" si="116"/>
        <v>0.3382378632765542</v>
      </c>
      <c r="AE518" s="22">
        <f t="shared" si="116"/>
        <v>0.33988762558713326</v>
      </c>
      <c r="AF518" s="22">
        <f t="shared" si="116"/>
        <v>0.34153102086249887</v>
      </c>
      <c r="AG518" s="22">
        <f t="shared" si="116"/>
        <v>0.33428783362296566</v>
      </c>
      <c r="AH518" s="22">
        <f t="shared" si="116"/>
        <v>-7.8853876190349073E-2</v>
      </c>
      <c r="AI518" s="22">
        <f t="shared" si="116"/>
        <v>-7.7024740515349702E-2</v>
      </c>
      <c r="AJ518" s="22">
        <f t="shared" si="116"/>
        <v>-7.5224693837810969E-2</v>
      </c>
      <c r="AK518" s="22">
        <f t="shared" si="116"/>
        <v>-7.3452212631802502E-2</v>
      </c>
      <c r="AL518" s="22">
        <f t="shared" si="116"/>
        <v>-7.1705878701856365E-2</v>
      </c>
      <c r="AM518" s="22">
        <f t="shared" si="116"/>
        <v>-6.9984369422605414E-2</v>
      </c>
      <c r="AN518" s="22">
        <f t="shared" si="116"/>
        <v>-6.8588614819976648E-2</v>
      </c>
      <c r="AO518" s="22">
        <f t="shared" si="116"/>
        <v>-6.7213941404815583E-2</v>
      </c>
      <c r="AP518" s="22">
        <f t="shared" si="116"/>
        <v>-6.5859393882214817E-2</v>
      </c>
      <c r="AQ518" s="22">
        <f t="shared" si="116"/>
        <v>-6.45240763716773E-2</v>
      </c>
      <c r="AR518" s="22">
        <f t="shared" si="116"/>
        <v>-6.3207147480680487E-2</v>
      </c>
      <c r="AS518" s="22">
        <f t="shared" si="116"/>
        <v>-6.1865741273458848E-2</v>
      </c>
      <c r="AT518" s="22">
        <f t="shared" si="116"/>
        <v>-6.054278111227946E-2</v>
      </c>
      <c r="AU518" s="22">
        <f t="shared" si="116"/>
        <v>-5.9237541358355558E-2</v>
      </c>
      <c r="AV518" s="22">
        <f t="shared" si="116"/>
        <v>-5.7949337141593796E-2</v>
      </c>
      <c r="AW518" s="22">
        <f t="shared" si="116"/>
        <v>-5.667752131406488E-2</v>
      </c>
      <c r="AY518" s="85"/>
    </row>
    <row r="519" spans="1:51" x14ac:dyDescent="0.25">
      <c r="A519" s="102" t="str">
        <f t="shared" si="108"/>
        <v>PQ Organic</v>
      </c>
      <c r="B519" s="102" t="s">
        <v>969</v>
      </c>
      <c r="C519" s="102" t="s">
        <v>1128</v>
      </c>
      <c r="D519" t="s">
        <v>369</v>
      </c>
      <c r="E519" t="s">
        <v>55</v>
      </c>
      <c r="F519" t="s">
        <v>421</v>
      </c>
      <c r="G519" t="s">
        <v>1161</v>
      </c>
      <c r="H519" t="s">
        <v>1162</v>
      </c>
      <c r="I519" t="s">
        <v>139</v>
      </c>
      <c r="J519" t="s">
        <v>287</v>
      </c>
      <c r="K519" s="22">
        <f t="shared" si="117"/>
        <v>2.6837391724620612</v>
      </c>
      <c r="L519" s="22">
        <f t="shared" si="116"/>
        <v>2.6659501740464377</v>
      </c>
      <c r="M519" s="22">
        <f t="shared" si="116"/>
        <v>2.6284432629742147</v>
      </c>
      <c r="N519" s="22">
        <f t="shared" si="116"/>
        <v>2.5652201666480274</v>
      </c>
      <c r="O519" s="22">
        <f t="shared" si="116"/>
        <v>2.5038795850871476</v>
      </c>
      <c r="P519" s="22">
        <f t="shared" ref="L519:AW525" si="118">P1470</f>
        <v>2.4567000683725801</v>
      </c>
      <c r="Q519" s="22">
        <f t="shared" si="118"/>
        <v>2.414025832280235</v>
      </c>
      <c r="R519" s="22">
        <f t="shared" si="118"/>
        <v>2.3469309692046179</v>
      </c>
      <c r="S519" s="22">
        <f t="shared" si="118"/>
        <v>2.0584007161751039</v>
      </c>
      <c r="T519" s="22">
        <f t="shared" si="118"/>
        <v>2.0780205753529248</v>
      </c>
      <c r="U519" s="22">
        <f t="shared" si="118"/>
        <v>2.0912968000734335</v>
      </c>
      <c r="V519" s="22">
        <f t="shared" si="118"/>
        <v>2.1041412062318772</v>
      </c>
      <c r="W519" s="22">
        <f t="shared" si="118"/>
        <v>2.125382764611714</v>
      </c>
      <c r="X519" s="22">
        <f t="shared" si="118"/>
        <v>2.1459242533678449</v>
      </c>
      <c r="Y519" s="22">
        <f t="shared" si="118"/>
        <v>2.1674897331963128</v>
      </c>
      <c r="Z519" s="22">
        <f t="shared" si="118"/>
        <v>2.1862643907121093</v>
      </c>
      <c r="AA519" s="22">
        <f t="shared" si="118"/>
        <v>2.2076324968582024</v>
      </c>
      <c r="AB519" s="22">
        <f t="shared" si="118"/>
        <v>2.2243537639085806</v>
      </c>
      <c r="AC519" s="22">
        <f t="shared" si="118"/>
        <v>2.2415338344398443</v>
      </c>
      <c r="AD519" s="22">
        <f t="shared" si="118"/>
        <v>2.2495356829125717</v>
      </c>
      <c r="AE519" s="22">
        <f t="shared" si="118"/>
        <v>2.2605078406421084</v>
      </c>
      <c r="AF519" s="22">
        <f t="shared" si="118"/>
        <v>2.2714376528081774</v>
      </c>
      <c r="AG519" s="22">
        <f t="shared" si="118"/>
        <v>2.2232650206980202</v>
      </c>
      <c r="AH519" s="22">
        <f t="shared" si="118"/>
        <v>-0.52443746689921866</v>
      </c>
      <c r="AI519" s="22">
        <f t="shared" si="118"/>
        <v>-0.51227234165292079</v>
      </c>
      <c r="AJ519" s="22">
        <f t="shared" si="118"/>
        <v>-0.50030068007486495</v>
      </c>
      <c r="AK519" s="22">
        <f t="shared" si="118"/>
        <v>-0.48851234957400724</v>
      </c>
      <c r="AL519" s="22">
        <f t="shared" si="118"/>
        <v>-0.47689791808594317</v>
      </c>
      <c r="AM519" s="22">
        <f t="shared" si="118"/>
        <v>-0.46544858915917614</v>
      </c>
      <c r="AN519" s="22">
        <f t="shared" si="118"/>
        <v>-0.45616577335379221</v>
      </c>
      <c r="AO519" s="22">
        <f t="shared" si="118"/>
        <v>-0.44702316326928004</v>
      </c>
      <c r="AP519" s="22">
        <f t="shared" si="118"/>
        <v>-0.4380144054774302</v>
      </c>
      <c r="AQ519" s="22">
        <f t="shared" si="118"/>
        <v>-0.4291335417004612</v>
      </c>
      <c r="AR519" s="22">
        <f t="shared" si="118"/>
        <v>-0.42037497604652191</v>
      </c>
      <c r="AS519" s="22">
        <f t="shared" si="118"/>
        <v>-0.41145361786623369</v>
      </c>
      <c r="AT519" s="22">
        <f t="shared" si="118"/>
        <v>-0.40265493973831684</v>
      </c>
      <c r="AU519" s="22">
        <f t="shared" si="118"/>
        <v>-0.3939741156201515</v>
      </c>
      <c r="AV519" s="22">
        <f t="shared" si="118"/>
        <v>-0.38540659061153143</v>
      </c>
      <c r="AW519" s="22">
        <f t="shared" si="118"/>
        <v>-0.37694806069295739</v>
      </c>
      <c r="AY519" s="85"/>
    </row>
    <row r="520" spans="1:51" x14ac:dyDescent="0.25">
      <c r="A520" s="102" t="str">
        <f t="shared" si="108"/>
        <v>PQ Organic</v>
      </c>
      <c r="B520" s="102" t="s">
        <v>969</v>
      </c>
      <c r="C520" s="102" t="s">
        <v>1128</v>
      </c>
      <c r="D520" t="s">
        <v>369</v>
      </c>
      <c r="E520" t="s">
        <v>55</v>
      </c>
      <c r="F520" t="s">
        <v>421</v>
      </c>
      <c r="G520" t="s">
        <v>1163</v>
      </c>
      <c r="H520" t="s">
        <v>1164</v>
      </c>
      <c r="I520" t="s">
        <v>139</v>
      </c>
      <c r="J520" t="s">
        <v>287</v>
      </c>
      <c r="K520" s="22">
        <f t="shared" si="117"/>
        <v>0.34546247453096907</v>
      </c>
      <c r="L520" s="22">
        <f t="shared" si="118"/>
        <v>0.35776618085714956</v>
      </c>
      <c r="M520" s="22">
        <f t="shared" si="118"/>
        <v>0.36753197290523232</v>
      </c>
      <c r="N520" s="22">
        <f t="shared" si="118"/>
        <v>0.37357124020109944</v>
      </c>
      <c r="O520" s="22">
        <f t="shared" si="118"/>
        <v>0.37962311486925576</v>
      </c>
      <c r="P520" s="22">
        <f t="shared" si="118"/>
        <v>0.38765990463300043</v>
      </c>
      <c r="Q520" s="22">
        <f t="shared" si="118"/>
        <v>0.39636651112291715</v>
      </c>
      <c r="R520" s="22">
        <f t="shared" si="118"/>
        <v>0.40089753199851358</v>
      </c>
      <c r="S520" s="22">
        <f t="shared" si="118"/>
        <v>0.36575105397715829</v>
      </c>
      <c r="T520" s="22">
        <f t="shared" si="118"/>
        <v>0.37806101801948427</v>
      </c>
      <c r="U520" s="22">
        <f t="shared" si="118"/>
        <v>0.38944404902970864</v>
      </c>
      <c r="V520" s="22">
        <f t="shared" si="118"/>
        <v>0.40095410706426832</v>
      </c>
      <c r="W520" s="22">
        <f t="shared" si="118"/>
        <v>0.41431554176005497</v>
      </c>
      <c r="X520" s="22">
        <f t="shared" si="118"/>
        <v>0.42783512426761167</v>
      </c>
      <c r="Y520" s="22">
        <f t="shared" si="118"/>
        <v>0.44186503984012609</v>
      </c>
      <c r="Z520" s="22">
        <f t="shared" si="118"/>
        <v>0.45563435576355671</v>
      </c>
      <c r="AA520" s="22">
        <f t="shared" si="118"/>
        <v>0.47026188205754332</v>
      </c>
      <c r="AB520" s="22">
        <f t="shared" si="118"/>
        <v>0.48421794201830248</v>
      </c>
      <c r="AC520" s="22">
        <f t="shared" si="118"/>
        <v>0.49858289829777308</v>
      </c>
      <c r="AD520" s="22">
        <f t="shared" si="118"/>
        <v>0.51686863289566187</v>
      </c>
      <c r="AE520" s="22">
        <f t="shared" si="118"/>
        <v>0.53655701311036041</v>
      </c>
      <c r="AF520" s="22">
        <f t="shared" si="118"/>
        <v>0.55701835701835767</v>
      </c>
      <c r="AG520" s="22">
        <f t="shared" si="118"/>
        <v>0.56333119928831021</v>
      </c>
      <c r="AH520" s="22">
        <f t="shared" si="118"/>
        <v>-0.13731688522656813</v>
      </c>
      <c r="AI520" s="22">
        <f t="shared" si="118"/>
        <v>-0.13862810897609068</v>
      </c>
      <c r="AJ520" s="22">
        <f t="shared" si="118"/>
        <v>-0.13994999382586637</v>
      </c>
      <c r="AK520" s="22">
        <f t="shared" si="118"/>
        <v>-0.14128264066794663</v>
      </c>
      <c r="AL520" s="22">
        <f t="shared" si="118"/>
        <v>-0.14262615130024825</v>
      </c>
      <c r="AM520" s="22">
        <f t="shared" si="118"/>
        <v>-0.14398062843440931</v>
      </c>
      <c r="AN520" s="22">
        <f t="shared" si="118"/>
        <v>-0.14506760905723812</v>
      </c>
      <c r="AO520" s="22">
        <f t="shared" si="118"/>
        <v>-0.14616208765425914</v>
      </c>
      <c r="AP520" s="22">
        <f t="shared" si="118"/>
        <v>-0.14726412356751001</v>
      </c>
      <c r="AQ520" s="22">
        <f t="shared" si="118"/>
        <v>-0.14837377658692755</v>
      </c>
      <c r="AR520" s="22">
        <f t="shared" si="118"/>
        <v>-0.1494911069536225</v>
      </c>
      <c r="AS520" s="22">
        <f t="shared" si="118"/>
        <v>-0.15051381160807262</v>
      </c>
      <c r="AT520" s="22">
        <f t="shared" si="118"/>
        <v>-0.15154240205157654</v>
      </c>
      <c r="AU520" s="22">
        <f t="shared" si="118"/>
        <v>-0.15257691722009936</v>
      </c>
      <c r="AV520" s="22">
        <f t="shared" si="118"/>
        <v>-0.15361739629374987</v>
      </c>
      <c r="AW520" s="22">
        <f t="shared" si="118"/>
        <v>-0.15466387869825843</v>
      </c>
      <c r="AY520" s="85"/>
    </row>
    <row r="521" spans="1:51" x14ac:dyDescent="0.25">
      <c r="A521" s="102" t="str">
        <f t="shared" si="108"/>
        <v>PQ Organic</v>
      </c>
      <c r="B521" s="102" t="s">
        <v>969</v>
      </c>
      <c r="C521" s="102" t="s">
        <v>1128</v>
      </c>
      <c r="D521" t="s">
        <v>369</v>
      </c>
      <c r="E521" t="s">
        <v>55</v>
      </c>
      <c r="F521" t="s">
        <v>421</v>
      </c>
      <c r="G521" t="s">
        <v>1165</v>
      </c>
      <c r="H521" t="s">
        <v>1166</v>
      </c>
      <c r="I521" t="s">
        <v>139</v>
      </c>
      <c r="J521" t="s">
        <v>287</v>
      </c>
      <c r="K521" s="22">
        <f t="shared" si="117"/>
        <v>5.8358562487318792E-2</v>
      </c>
      <c r="L521" s="22">
        <f t="shared" si="118"/>
        <v>5.839043159926547E-2</v>
      </c>
      <c r="M521" s="22">
        <f t="shared" si="118"/>
        <v>5.8461792662766042E-2</v>
      </c>
      <c r="N521" s="22">
        <f t="shared" si="118"/>
        <v>5.8569206044707944E-2</v>
      </c>
      <c r="O521" s="22">
        <f t="shared" si="118"/>
        <v>5.87141088514554E-2</v>
      </c>
      <c r="P521" s="22">
        <f t="shared" si="118"/>
        <v>5.8896654838927982E-2</v>
      </c>
      <c r="Q521" s="22">
        <f t="shared" si="118"/>
        <v>5.9100003668857495E-2</v>
      </c>
      <c r="R521" s="22">
        <f t="shared" si="118"/>
        <v>5.9320387521670827E-2</v>
      </c>
      <c r="S521" s="22">
        <f t="shared" si="118"/>
        <v>5.9527484870119066E-2</v>
      </c>
      <c r="T521" s="22">
        <f t="shared" si="118"/>
        <v>5.9613993442869086E-2</v>
      </c>
      <c r="U521" s="22">
        <f t="shared" si="118"/>
        <v>5.9714376068116658E-2</v>
      </c>
      <c r="V521" s="22">
        <f t="shared" si="118"/>
        <v>5.9828612163064419E-2</v>
      </c>
      <c r="W521" s="22">
        <f t="shared" si="118"/>
        <v>5.9957293598347332E-2</v>
      </c>
      <c r="X521" s="22">
        <f t="shared" si="118"/>
        <v>6.0098357419229781E-2</v>
      </c>
      <c r="Y521" s="22">
        <f t="shared" si="118"/>
        <v>6.0185192959010252E-2</v>
      </c>
      <c r="Z521" s="22">
        <f t="shared" si="118"/>
        <v>6.0282190049865431E-2</v>
      </c>
      <c r="AA521" s="22">
        <f t="shared" si="118"/>
        <v>6.0389700688940708E-2</v>
      </c>
      <c r="AB521" s="22">
        <f t="shared" si="118"/>
        <v>6.0506073039024895E-2</v>
      </c>
      <c r="AC521" s="22">
        <f t="shared" si="118"/>
        <v>6.0631723200139168E-2</v>
      </c>
      <c r="AD521" s="22">
        <f t="shared" si="118"/>
        <v>6.0714441042505521E-2</v>
      </c>
      <c r="AE521" s="22">
        <f t="shared" si="118"/>
        <v>6.0805859526171006E-2</v>
      </c>
      <c r="AF521" s="22">
        <f t="shared" si="118"/>
        <v>6.0905156479066316E-2</v>
      </c>
      <c r="AG521" s="22">
        <f t="shared" si="118"/>
        <v>6.1001089999952796E-2</v>
      </c>
      <c r="AH521" s="22">
        <f t="shared" si="118"/>
        <v>6.0590945473242341E-2</v>
      </c>
      <c r="AI521" s="22">
        <f t="shared" si="118"/>
        <v>6.0649192481063346E-2</v>
      </c>
      <c r="AJ521" s="22">
        <f t="shared" si="118"/>
        <v>6.0713468342713614E-2</v>
      </c>
      <c r="AK521" s="22">
        <f t="shared" si="118"/>
        <v>6.0783545293153662E-2</v>
      </c>
      <c r="AL521" s="22">
        <f t="shared" si="118"/>
        <v>6.0859213172163779E-2</v>
      </c>
      <c r="AM521" s="22">
        <f t="shared" si="118"/>
        <v>6.0940277753779866E-2</v>
      </c>
      <c r="AN521" s="22">
        <f t="shared" si="118"/>
        <v>6.0979618468756831E-2</v>
      </c>
      <c r="AO521" s="22">
        <f t="shared" si="118"/>
        <v>6.1023714022373471E-2</v>
      </c>
      <c r="AP521" s="22">
        <f t="shared" si="118"/>
        <v>6.1072398935034244E-2</v>
      </c>
      <c r="AQ521" s="22">
        <f t="shared" si="118"/>
        <v>6.112551905317741E-2</v>
      </c>
      <c r="AR521" s="22">
        <f t="shared" si="118"/>
        <v>6.1182930587073178E-2</v>
      </c>
      <c r="AS521" s="22">
        <f t="shared" si="118"/>
        <v>6.1197093314118836E-2</v>
      </c>
      <c r="AT521" s="22">
        <f t="shared" si="118"/>
        <v>6.1215064670682988E-2</v>
      </c>
      <c r="AU521" s="22">
        <f t="shared" si="118"/>
        <v>6.1236718515027384E-2</v>
      </c>
      <c r="AV521" s="22">
        <f t="shared" si="118"/>
        <v>6.1261936408176808E-2</v>
      </c>
      <c r="AW521" s="22">
        <f t="shared" si="118"/>
        <v>6.1290607021564164E-2</v>
      </c>
      <c r="AY521" s="85"/>
    </row>
    <row r="522" spans="1:51" x14ac:dyDescent="0.25">
      <c r="A522" s="102" t="str">
        <f t="shared" si="108"/>
        <v>PQ Organic</v>
      </c>
      <c r="B522" s="102" t="s">
        <v>969</v>
      </c>
      <c r="C522" s="102" t="s">
        <v>1128</v>
      </c>
      <c r="D522" t="s">
        <v>369</v>
      </c>
      <c r="E522" t="s">
        <v>55</v>
      </c>
      <c r="F522" t="s">
        <v>421</v>
      </c>
      <c r="G522" t="s">
        <v>1167</v>
      </c>
      <c r="H522" t="s">
        <v>1168</v>
      </c>
      <c r="I522" t="s">
        <v>139</v>
      </c>
      <c r="J522" t="s">
        <v>287</v>
      </c>
      <c r="K522" s="22">
        <f t="shared" si="117"/>
        <v>4.7495937116525173E-2</v>
      </c>
      <c r="L522" s="22">
        <f t="shared" si="118"/>
        <v>4.7521874241643836E-2</v>
      </c>
      <c r="M522" s="22">
        <f t="shared" si="118"/>
        <v>4.7579952447139875E-2</v>
      </c>
      <c r="N522" s="22">
        <f t="shared" si="118"/>
        <v>4.7667372339213025E-2</v>
      </c>
      <c r="O522" s="22">
        <f t="shared" si="118"/>
        <v>4.7785303527096222E-2</v>
      </c>
      <c r="P522" s="22">
        <f t="shared" si="118"/>
        <v>4.7933871147207763E-2</v>
      </c>
      <c r="Q522" s="22">
        <f t="shared" si="118"/>
        <v>4.8099369453324381E-2</v>
      </c>
      <c r="R522" s="22">
        <f t="shared" si="118"/>
        <v>4.8278731952477678E-2</v>
      </c>
      <c r="S522" s="22">
        <f t="shared" si="118"/>
        <v>4.8447281043127996E-2</v>
      </c>
      <c r="T522" s="22">
        <f t="shared" si="118"/>
        <v>4.8517687262134283E-2</v>
      </c>
      <c r="U522" s="22">
        <f t="shared" si="118"/>
        <v>4.8599385073957294E-2</v>
      </c>
      <c r="V522" s="22">
        <f t="shared" si="118"/>
        <v>4.8692357726997801E-2</v>
      </c>
      <c r="W522" s="22">
        <f t="shared" si="118"/>
        <v>4.8797086923498996E-2</v>
      </c>
      <c r="X522" s="22">
        <f t="shared" si="118"/>
        <v>4.8911893698725943E-2</v>
      </c>
      <c r="Y522" s="22">
        <f t="shared" si="118"/>
        <v>4.8982566024450037E-2</v>
      </c>
      <c r="Z522" s="22">
        <f t="shared" si="118"/>
        <v>4.9061508471477298E-2</v>
      </c>
      <c r="AA522" s="22">
        <f t="shared" si="118"/>
        <v>4.9149007517636747E-2</v>
      </c>
      <c r="AB522" s="22">
        <f t="shared" si="118"/>
        <v>4.9243718791974624E-2</v>
      </c>
      <c r="AC522" s="22">
        <f t="shared" si="118"/>
        <v>4.9345980943347217E-2</v>
      </c>
      <c r="AD522" s="22">
        <f t="shared" si="118"/>
        <v>4.941330202309966E-2</v>
      </c>
      <c r="AE522" s="22">
        <f t="shared" si="118"/>
        <v>4.9487704242181185E-2</v>
      </c>
      <c r="AF522" s="22">
        <f t="shared" si="118"/>
        <v>4.9568518464286178E-2</v>
      </c>
      <c r="AG522" s="22">
        <f t="shared" si="118"/>
        <v>4.9646595309931256E-2</v>
      </c>
      <c r="AH522" s="22">
        <f t="shared" si="118"/>
        <v>4.9312793416617665E-2</v>
      </c>
      <c r="AI522" s="22">
        <f t="shared" si="118"/>
        <v>4.9360198563399564E-2</v>
      </c>
      <c r="AJ522" s="22">
        <f t="shared" si="118"/>
        <v>4.9412510377689269E-2</v>
      </c>
      <c r="AK522" s="22">
        <f t="shared" si="118"/>
        <v>4.9469543489705052E-2</v>
      </c>
      <c r="AL522" s="22">
        <f t="shared" si="118"/>
        <v>4.9531126857595344E-2</v>
      </c>
      <c r="AM522" s="22">
        <f t="shared" si="118"/>
        <v>4.9597102407826756E-2</v>
      </c>
      <c r="AN522" s="22">
        <f t="shared" si="118"/>
        <v>4.9629120402188261E-2</v>
      </c>
      <c r="AO522" s="22">
        <f t="shared" si="118"/>
        <v>4.9665008188871658E-2</v>
      </c>
      <c r="AP522" s="22">
        <f t="shared" si="118"/>
        <v>4.9704631089979995E-2</v>
      </c>
      <c r="AQ522" s="22">
        <f t="shared" si="118"/>
        <v>4.9747863645468307E-2</v>
      </c>
      <c r="AR522" s="22">
        <f t="shared" si="118"/>
        <v>4.9794588830042001E-2</v>
      </c>
      <c r="AS522" s="22">
        <f t="shared" si="118"/>
        <v>4.9806115364700997E-2</v>
      </c>
      <c r="AT522" s="22">
        <f t="shared" si="118"/>
        <v>4.9820741606076545E-2</v>
      </c>
      <c r="AU522" s="22">
        <f t="shared" si="118"/>
        <v>4.9838364891940323E-2</v>
      </c>
      <c r="AV522" s="22">
        <f t="shared" si="118"/>
        <v>4.9858888829066014E-2</v>
      </c>
      <c r="AW522" s="22">
        <f t="shared" si="118"/>
        <v>4.988222281113306E-2</v>
      </c>
      <c r="AY522" s="85"/>
    </row>
    <row r="523" spans="1:51" x14ac:dyDescent="0.25">
      <c r="A523" s="102" t="str">
        <f t="shared" si="108"/>
        <v>PQ Organic</v>
      </c>
      <c r="B523" s="102" t="s">
        <v>969</v>
      </c>
      <c r="C523" s="102" t="s">
        <v>1128</v>
      </c>
      <c r="D523" t="s">
        <v>369</v>
      </c>
      <c r="E523" t="s">
        <v>55</v>
      </c>
      <c r="F523" t="s">
        <v>421</v>
      </c>
      <c r="G523" t="s">
        <v>1169</v>
      </c>
      <c r="H523" t="s">
        <v>1170</v>
      </c>
      <c r="I523" t="s">
        <v>139</v>
      </c>
      <c r="J523" t="s">
        <v>287</v>
      </c>
      <c r="K523" s="22">
        <f t="shared" si="117"/>
        <v>7.2138531984991348E-3</v>
      </c>
      <c r="L523" s="22">
        <f t="shared" si="118"/>
        <v>7.2326686364155846E-3</v>
      </c>
      <c r="M523" s="22">
        <f t="shared" si="118"/>
        <v>7.2577418741351651E-3</v>
      </c>
      <c r="N523" s="22">
        <f t="shared" si="118"/>
        <v>7.2885154843188495E-3</v>
      </c>
      <c r="O523" s="22">
        <f t="shared" si="118"/>
        <v>7.3253592647283981E-3</v>
      </c>
      <c r="P523" s="22">
        <f t="shared" si="118"/>
        <v>7.3683712611583496E-3</v>
      </c>
      <c r="Q523" s="22">
        <f t="shared" si="118"/>
        <v>7.4143590148475543E-3</v>
      </c>
      <c r="R523" s="22">
        <f t="shared" si="118"/>
        <v>7.4626649386195258E-3</v>
      </c>
      <c r="S523" s="22">
        <f t="shared" si="118"/>
        <v>7.5075390200834997E-3</v>
      </c>
      <c r="T523" s="22">
        <f t="shared" si="118"/>
        <v>7.5285683818169559E-3</v>
      </c>
      <c r="U523" s="22">
        <f t="shared" si="118"/>
        <v>7.551628242645091E-3</v>
      </c>
      <c r="V523" s="22">
        <f t="shared" si="118"/>
        <v>7.5767478661135802E-3</v>
      </c>
      <c r="W523" s="22">
        <f t="shared" si="118"/>
        <v>7.6040674331418288E-3</v>
      </c>
      <c r="X523" s="22">
        <f t="shared" si="118"/>
        <v>7.6332191171963838E-3</v>
      </c>
      <c r="Y523" s="22">
        <f t="shared" si="118"/>
        <v>7.6516457516964944E-3</v>
      </c>
      <c r="Z523" s="22">
        <f t="shared" si="118"/>
        <v>7.671582433208788E-3</v>
      </c>
      <c r="AA523" s="22">
        <f t="shared" si="118"/>
        <v>7.6931116410769856E-3</v>
      </c>
      <c r="AB523" s="22">
        <f t="shared" si="118"/>
        <v>7.715936982347839E-3</v>
      </c>
      <c r="AC523" s="22">
        <f t="shared" si="118"/>
        <v>7.7401497609019794E-3</v>
      </c>
      <c r="AD523" s="22">
        <f t="shared" si="118"/>
        <v>7.7560075231361287E-3</v>
      </c>
      <c r="AE523" s="22">
        <f t="shared" si="118"/>
        <v>7.7732053799270803E-3</v>
      </c>
      <c r="AF523" s="22">
        <f t="shared" si="118"/>
        <v>7.791597942347143E-3</v>
      </c>
      <c r="AG523" s="22">
        <f t="shared" si="118"/>
        <v>7.8091049737688241E-3</v>
      </c>
      <c r="AH523" s="22">
        <f t="shared" si="118"/>
        <v>7.7325738697111325E-3</v>
      </c>
      <c r="AI523" s="22">
        <f t="shared" si="118"/>
        <v>7.7428137523622292E-3</v>
      </c>
      <c r="AJ523" s="22">
        <f t="shared" si="118"/>
        <v>7.7539717945612581E-3</v>
      </c>
      <c r="AK523" s="22">
        <f t="shared" si="118"/>
        <v>7.7660107090851711E-3</v>
      </c>
      <c r="AL523" s="22">
        <f t="shared" si="118"/>
        <v>7.7788961009166192E-3</v>
      </c>
      <c r="AM523" s="22">
        <f t="shared" si="118"/>
        <v>7.7925961903206999E-3</v>
      </c>
      <c r="AN523" s="22">
        <f t="shared" si="118"/>
        <v>7.7984769319172685E-3</v>
      </c>
      <c r="AO523" s="22">
        <f t="shared" si="118"/>
        <v>7.8050916075083259E-3</v>
      </c>
      <c r="AP523" s="22">
        <f t="shared" si="118"/>
        <v>7.8124125478177013E-3</v>
      </c>
      <c r="AQ523" s="22">
        <f t="shared" si="118"/>
        <v>7.8204139817466406E-3</v>
      </c>
      <c r="AR523" s="22">
        <f t="shared" si="118"/>
        <v>7.8290718737514843E-3</v>
      </c>
      <c r="AS523" s="22">
        <f t="shared" si="118"/>
        <v>7.8297473619786898E-3</v>
      </c>
      <c r="AT523" s="22">
        <f t="shared" si="118"/>
        <v>7.8310235836071794E-3</v>
      </c>
      <c r="AU523" s="22">
        <f t="shared" si="118"/>
        <v>7.8328789644581572E-3</v>
      </c>
      <c r="AV523" s="22">
        <f t="shared" si="118"/>
        <v>7.835293250883028E-3</v>
      </c>
      <c r="AW523" s="22">
        <f t="shared" si="118"/>
        <v>7.8382474074589117E-3</v>
      </c>
      <c r="AY523" s="85"/>
    </row>
    <row r="524" spans="1:51" x14ac:dyDescent="0.25">
      <c r="A524" s="102" t="str">
        <f t="shared" si="108"/>
        <v>PQ Organic</v>
      </c>
      <c r="B524" s="102" t="s">
        <v>969</v>
      </c>
      <c r="C524" s="102" t="s">
        <v>1128</v>
      </c>
      <c r="D524" t="s">
        <v>369</v>
      </c>
      <c r="E524" t="s">
        <v>55</v>
      </c>
      <c r="F524" t="s">
        <v>421</v>
      </c>
      <c r="G524" t="s">
        <v>1171</v>
      </c>
      <c r="H524" t="s">
        <v>1172</v>
      </c>
      <c r="I524" t="s">
        <v>139</v>
      </c>
      <c r="J524" t="s">
        <v>287</v>
      </c>
      <c r="K524" s="22">
        <f t="shared" si="117"/>
        <v>8.7042781172852426E-2</v>
      </c>
      <c r="L524" s="22">
        <f t="shared" si="118"/>
        <v>8.7269809364329015E-2</v>
      </c>
      <c r="M524" s="22">
        <f t="shared" si="118"/>
        <v>8.7572344539923463E-2</v>
      </c>
      <c r="N524" s="22">
        <f t="shared" si="118"/>
        <v>8.7943660748253619E-2</v>
      </c>
      <c r="O524" s="22">
        <f t="shared" si="118"/>
        <v>8.8388219991077738E-2</v>
      </c>
      <c r="P524" s="22">
        <f t="shared" si="118"/>
        <v>8.8907205294776276E-2</v>
      </c>
      <c r="Q524" s="22">
        <f t="shared" si="118"/>
        <v>8.9462096262315383E-2</v>
      </c>
      <c r="R524" s="22">
        <f t="shared" si="118"/>
        <v>9.0044958407765094E-2</v>
      </c>
      <c r="S524" s="22">
        <f t="shared" si="118"/>
        <v>9.058641174008604E-2</v>
      </c>
      <c r="T524" s="22">
        <f t="shared" si="118"/>
        <v>9.0840153267838591E-2</v>
      </c>
      <c r="U524" s="22">
        <f t="shared" si="118"/>
        <v>9.1118394918272713E-2</v>
      </c>
      <c r="V524" s="22">
        <f t="shared" si="118"/>
        <v>9.1421489787068641E-2</v>
      </c>
      <c r="W524" s="22">
        <f t="shared" si="118"/>
        <v>9.1751129305526188E-2</v>
      </c>
      <c r="X524" s="22">
        <f t="shared" si="118"/>
        <v>9.2102875256845074E-2</v>
      </c>
      <c r="Y524" s="22">
        <f t="shared" si="118"/>
        <v>9.232521212320649E-2</v>
      </c>
      <c r="Z524" s="22">
        <f t="shared" si="118"/>
        <v>9.2565769306508783E-2</v>
      </c>
      <c r="AA524" s="22">
        <f t="shared" si="118"/>
        <v>9.2825542007412429E-2</v>
      </c>
      <c r="AB524" s="22">
        <f t="shared" si="118"/>
        <v>9.3100953930938646E-2</v>
      </c>
      <c r="AC524" s="22">
        <f t="shared" si="118"/>
        <v>9.339310675513432E-2</v>
      </c>
      <c r="AD524" s="22">
        <f t="shared" si="118"/>
        <v>9.3584447456151826E-2</v>
      </c>
      <c r="AE524" s="22">
        <f t="shared" si="118"/>
        <v>9.3791957817689064E-2</v>
      </c>
      <c r="AF524" s="22">
        <f t="shared" si="118"/>
        <v>9.4013883568308809E-2</v>
      </c>
      <c r="AG524" s="22">
        <f t="shared" si="118"/>
        <v>9.4225124449304393E-2</v>
      </c>
      <c r="AH524" s="22">
        <f t="shared" si="118"/>
        <v>9.3301695602041948E-2</v>
      </c>
      <c r="AI524" s="22">
        <f t="shared" si="118"/>
        <v>9.342525063432626E-2</v>
      </c>
      <c r="AJ524" s="22">
        <f t="shared" si="118"/>
        <v>9.3559884234251725E-2</v>
      </c>
      <c r="AK524" s="22">
        <f t="shared" si="118"/>
        <v>9.370514649197019E-2</v>
      </c>
      <c r="AL524" s="22">
        <f t="shared" si="118"/>
        <v>9.3860622395159451E-2</v>
      </c>
      <c r="AM524" s="22">
        <f t="shared" si="118"/>
        <v>9.4025928487650484E-2</v>
      </c>
      <c r="AN524" s="22">
        <f t="shared" si="118"/>
        <v>9.4096885865051882E-2</v>
      </c>
      <c r="AO524" s="22">
        <f t="shared" si="118"/>
        <v>9.4176698933624112E-2</v>
      </c>
      <c r="AP524" s="22">
        <f t="shared" si="118"/>
        <v>9.4265033834237441E-2</v>
      </c>
      <c r="AQ524" s="22">
        <f t="shared" si="118"/>
        <v>9.4361579611283539E-2</v>
      </c>
      <c r="AR524" s="22">
        <f t="shared" si="118"/>
        <v>9.4466046250465022E-2</v>
      </c>
      <c r="AS524" s="22">
        <f t="shared" si="118"/>
        <v>9.4474196731536342E-2</v>
      </c>
      <c r="AT524" s="22">
        <f t="shared" si="118"/>
        <v>9.4489595697509143E-2</v>
      </c>
      <c r="AU524" s="22">
        <f t="shared" si="118"/>
        <v>9.4511982833060726E-2</v>
      </c>
      <c r="AV524" s="22">
        <f t="shared" si="118"/>
        <v>9.4541113756464096E-2</v>
      </c>
      <c r="AW524" s="22">
        <f t="shared" si="118"/>
        <v>9.4576758785176129E-2</v>
      </c>
      <c r="AY524" s="85"/>
    </row>
    <row r="525" spans="1:51" x14ac:dyDescent="0.25">
      <c r="A525" s="102" t="str">
        <f t="shared" si="108"/>
        <v>PQ Organic</v>
      </c>
      <c r="B525" s="102" t="s">
        <v>969</v>
      </c>
      <c r="C525" s="102" t="s">
        <v>1128</v>
      </c>
      <c r="D525" t="s">
        <v>369</v>
      </c>
      <c r="E525" t="s">
        <v>55</v>
      </c>
      <c r="F525" t="s">
        <v>421</v>
      </c>
      <c r="G525" t="s">
        <v>1173</v>
      </c>
      <c r="H525" t="s">
        <v>1174</v>
      </c>
      <c r="I525" t="s">
        <v>139</v>
      </c>
      <c r="J525" t="s">
        <v>287</v>
      </c>
      <c r="K525" s="22">
        <f t="shared" si="117"/>
        <v>0</v>
      </c>
      <c r="L525" s="22">
        <f t="shared" si="118"/>
        <v>0</v>
      </c>
      <c r="M525" s="22">
        <f t="shared" si="118"/>
        <v>0</v>
      </c>
      <c r="N525" s="22">
        <f t="shared" si="118"/>
        <v>0</v>
      </c>
      <c r="O525" s="22">
        <f t="shared" si="118"/>
        <v>0</v>
      </c>
      <c r="P525" s="22">
        <f t="shared" si="118"/>
        <v>0</v>
      </c>
      <c r="Q525" s="22">
        <f t="shared" si="118"/>
        <v>0</v>
      </c>
      <c r="R525" s="22">
        <f t="shared" si="118"/>
        <v>0</v>
      </c>
      <c r="S525" s="22">
        <f t="shared" si="118"/>
        <v>0</v>
      </c>
      <c r="T525" s="22">
        <f t="shared" si="118"/>
        <v>0</v>
      </c>
      <c r="U525" s="22">
        <f t="shared" si="118"/>
        <v>0</v>
      </c>
      <c r="V525" s="22">
        <f t="shared" si="118"/>
        <v>0</v>
      </c>
      <c r="W525" s="22">
        <f t="shared" si="118"/>
        <v>0</v>
      </c>
      <c r="X525" s="22">
        <f t="shared" si="118"/>
        <v>0</v>
      </c>
      <c r="Y525" s="22">
        <f t="shared" si="118"/>
        <v>0</v>
      </c>
      <c r="Z525" s="22">
        <f t="shared" si="118"/>
        <v>0</v>
      </c>
      <c r="AA525" s="22">
        <f t="shared" si="118"/>
        <v>0</v>
      </c>
      <c r="AB525" s="22">
        <f t="shared" si="118"/>
        <v>0</v>
      </c>
      <c r="AC525" s="22">
        <f t="shared" si="118"/>
        <v>0</v>
      </c>
      <c r="AD525" s="22">
        <f t="shared" si="118"/>
        <v>0</v>
      </c>
      <c r="AE525" s="22">
        <f t="shared" si="118"/>
        <v>0</v>
      </c>
      <c r="AF525" s="22">
        <f t="shared" si="118"/>
        <v>0</v>
      </c>
      <c r="AG525" s="22">
        <f t="shared" si="118"/>
        <v>0</v>
      </c>
      <c r="AH525" s="22">
        <f t="shared" si="118"/>
        <v>0</v>
      </c>
      <c r="AI525" s="22">
        <f t="shared" si="118"/>
        <v>0</v>
      </c>
      <c r="AJ525" s="22">
        <f t="shared" si="118"/>
        <v>0</v>
      </c>
      <c r="AK525" s="22">
        <f t="shared" si="118"/>
        <v>0</v>
      </c>
      <c r="AL525" s="22">
        <f t="shared" si="118"/>
        <v>0</v>
      </c>
      <c r="AM525" s="22">
        <f t="shared" si="118"/>
        <v>0</v>
      </c>
      <c r="AN525" s="22">
        <f t="shared" si="118"/>
        <v>0</v>
      </c>
      <c r="AO525" s="22">
        <f t="shared" si="118"/>
        <v>0</v>
      </c>
      <c r="AP525" s="22">
        <f t="shared" si="118"/>
        <v>0</v>
      </c>
      <c r="AQ525" s="22">
        <f t="shared" ref="L525:AW532" si="119">AQ1476</f>
        <v>0</v>
      </c>
      <c r="AR525" s="22">
        <f t="shared" si="119"/>
        <v>0</v>
      </c>
      <c r="AS525" s="22">
        <f t="shared" si="119"/>
        <v>0</v>
      </c>
      <c r="AT525" s="22">
        <f t="shared" si="119"/>
        <v>0</v>
      </c>
      <c r="AU525" s="22">
        <f t="shared" si="119"/>
        <v>0</v>
      </c>
      <c r="AV525" s="22">
        <f t="shared" si="119"/>
        <v>0</v>
      </c>
      <c r="AW525" s="22">
        <f t="shared" si="119"/>
        <v>0</v>
      </c>
      <c r="AY525" s="85"/>
    </row>
    <row r="526" spans="1:51" x14ac:dyDescent="0.25">
      <c r="A526" s="102" t="str">
        <f t="shared" si="108"/>
        <v>PQ Organic</v>
      </c>
      <c r="B526" s="102" t="s">
        <v>969</v>
      </c>
      <c r="C526" s="102" t="s">
        <v>1128</v>
      </c>
      <c r="D526" t="s">
        <v>369</v>
      </c>
      <c r="E526" t="s">
        <v>55</v>
      </c>
      <c r="F526" t="s">
        <v>421</v>
      </c>
      <c r="G526" t="s">
        <v>1175</v>
      </c>
      <c r="H526" t="s">
        <v>1176</v>
      </c>
      <c r="I526" t="s">
        <v>139</v>
      </c>
      <c r="J526" t="s">
        <v>287</v>
      </c>
      <c r="K526" s="22">
        <f t="shared" si="117"/>
        <v>0</v>
      </c>
      <c r="L526" s="22">
        <f t="shared" si="119"/>
        <v>0</v>
      </c>
      <c r="M526" s="22">
        <f t="shared" si="119"/>
        <v>0</v>
      </c>
      <c r="N526" s="22">
        <f t="shared" si="119"/>
        <v>0</v>
      </c>
      <c r="O526" s="22">
        <f t="shared" si="119"/>
        <v>0</v>
      </c>
      <c r="P526" s="22">
        <f t="shared" si="119"/>
        <v>0</v>
      </c>
      <c r="Q526" s="22">
        <f t="shared" si="119"/>
        <v>0</v>
      </c>
      <c r="R526" s="22">
        <f t="shared" si="119"/>
        <v>0</v>
      </c>
      <c r="S526" s="22">
        <f t="shared" si="119"/>
        <v>0</v>
      </c>
      <c r="T526" s="22">
        <f t="shared" si="119"/>
        <v>0</v>
      </c>
      <c r="U526" s="22">
        <f t="shared" si="119"/>
        <v>0</v>
      </c>
      <c r="V526" s="22">
        <f t="shared" si="119"/>
        <v>0</v>
      </c>
      <c r="W526" s="22">
        <f t="shared" si="119"/>
        <v>0</v>
      </c>
      <c r="X526" s="22">
        <f t="shared" si="119"/>
        <v>0</v>
      </c>
      <c r="Y526" s="22">
        <f t="shared" si="119"/>
        <v>0</v>
      </c>
      <c r="Z526" s="22">
        <f t="shared" si="119"/>
        <v>0</v>
      </c>
      <c r="AA526" s="22">
        <f t="shared" si="119"/>
        <v>0</v>
      </c>
      <c r="AB526" s="22">
        <f t="shared" si="119"/>
        <v>0</v>
      </c>
      <c r="AC526" s="22">
        <f t="shared" si="119"/>
        <v>0</v>
      </c>
      <c r="AD526" s="22">
        <f t="shared" si="119"/>
        <v>0</v>
      </c>
      <c r="AE526" s="22">
        <f t="shared" si="119"/>
        <v>0</v>
      </c>
      <c r="AF526" s="22">
        <f t="shared" si="119"/>
        <v>0</v>
      </c>
      <c r="AG526" s="22">
        <f t="shared" si="119"/>
        <v>0</v>
      </c>
      <c r="AH526" s="22">
        <f t="shared" si="119"/>
        <v>0</v>
      </c>
      <c r="AI526" s="22">
        <f t="shared" si="119"/>
        <v>0</v>
      </c>
      <c r="AJ526" s="22">
        <f t="shared" si="119"/>
        <v>0</v>
      </c>
      <c r="AK526" s="22">
        <f t="shared" si="119"/>
        <v>0</v>
      </c>
      <c r="AL526" s="22">
        <f t="shared" si="119"/>
        <v>0</v>
      </c>
      <c r="AM526" s="22">
        <f t="shared" si="119"/>
        <v>0</v>
      </c>
      <c r="AN526" s="22">
        <f t="shared" si="119"/>
        <v>0</v>
      </c>
      <c r="AO526" s="22">
        <f t="shared" si="119"/>
        <v>0</v>
      </c>
      <c r="AP526" s="22">
        <f t="shared" si="119"/>
        <v>0</v>
      </c>
      <c r="AQ526" s="22">
        <f t="shared" si="119"/>
        <v>0</v>
      </c>
      <c r="AR526" s="22">
        <f t="shared" si="119"/>
        <v>0</v>
      </c>
      <c r="AS526" s="22">
        <f t="shared" si="119"/>
        <v>0</v>
      </c>
      <c r="AT526" s="22">
        <f t="shared" si="119"/>
        <v>0</v>
      </c>
      <c r="AU526" s="22">
        <f t="shared" si="119"/>
        <v>0</v>
      </c>
      <c r="AV526" s="22">
        <f t="shared" si="119"/>
        <v>0</v>
      </c>
      <c r="AW526" s="22">
        <f t="shared" si="119"/>
        <v>0</v>
      </c>
      <c r="AY526" s="85"/>
    </row>
    <row r="527" spans="1:51" x14ac:dyDescent="0.25">
      <c r="A527" s="102" t="str">
        <f t="shared" si="108"/>
        <v>PQ Organic</v>
      </c>
      <c r="B527" s="102" t="s">
        <v>969</v>
      </c>
      <c r="C527" s="102" t="s">
        <v>1128</v>
      </c>
      <c r="D527" t="s">
        <v>369</v>
      </c>
      <c r="E527" t="s">
        <v>55</v>
      </c>
      <c r="F527" t="s">
        <v>421</v>
      </c>
      <c r="G527" t="s">
        <v>1177</v>
      </c>
      <c r="H527" t="s">
        <v>1178</v>
      </c>
      <c r="I527" t="s">
        <v>139</v>
      </c>
      <c r="J527" t="s">
        <v>287</v>
      </c>
      <c r="K527" s="22">
        <f t="shared" si="117"/>
        <v>0.125581463448449</v>
      </c>
      <c r="L527" s="22">
        <f t="shared" si="119"/>
        <v>0.125185082671006</v>
      </c>
      <c r="M527" s="22">
        <f t="shared" si="119"/>
        <v>0.12387425442661908</v>
      </c>
      <c r="N527" s="22">
        <f t="shared" si="119"/>
        <v>0.12132911183874903</v>
      </c>
      <c r="O527" s="22">
        <f t="shared" si="119"/>
        <v>0.1188953282361286</v>
      </c>
      <c r="P527" s="22">
        <f t="shared" si="119"/>
        <v>0.11718799777455163</v>
      </c>
      <c r="Q527" s="22">
        <f t="shared" si="119"/>
        <v>0.11574203128248971</v>
      </c>
      <c r="R527" s="22">
        <f t="shared" si="119"/>
        <v>0.11307943655863528</v>
      </c>
      <c r="S527" s="22">
        <f t="shared" si="119"/>
        <v>9.8992483819013391E-2</v>
      </c>
      <c r="T527" s="22">
        <f t="shared" si="119"/>
        <v>9.9621540773874098E-2</v>
      </c>
      <c r="U527" s="22">
        <f t="shared" si="119"/>
        <v>9.9937301593485559E-2</v>
      </c>
      <c r="V527" s="22">
        <f t="shared" si="119"/>
        <v>0.10024428291849223</v>
      </c>
      <c r="W527" s="22">
        <f t="shared" si="119"/>
        <v>0.10099411627265523</v>
      </c>
      <c r="X527" s="22">
        <f t="shared" si="119"/>
        <v>0.10171874148627991</v>
      </c>
      <c r="Y527" s="22">
        <f t="shared" si="119"/>
        <v>0.1025500722540789</v>
      </c>
      <c r="Z527" s="22">
        <f t="shared" si="119"/>
        <v>0.10324784841270714</v>
      </c>
      <c r="AA527" s="22">
        <f t="shared" si="119"/>
        <v>0.10408641302096616</v>
      </c>
      <c r="AB527" s="22">
        <f t="shared" si="119"/>
        <v>0.10469683987160423</v>
      </c>
      <c r="AC527" s="22">
        <f t="shared" si="119"/>
        <v>0.10533895546772398</v>
      </c>
      <c r="AD527" s="22">
        <f t="shared" si="119"/>
        <v>0.10652330160399656</v>
      </c>
      <c r="AE527" s="22">
        <f t="shared" si="119"/>
        <v>0.10790681124778287</v>
      </c>
      <c r="AF527" s="22">
        <f t="shared" si="119"/>
        <v>0.10933849435388519</v>
      </c>
      <c r="AG527" s="22">
        <f t="shared" si="119"/>
        <v>0.10772941024216406</v>
      </c>
      <c r="AH527" s="22">
        <f t="shared" si="119"/>
        <v>-3.634870651063056E-2</v>
      </c>
      <c r="AI527" s="22">
        <f t="shared" si="119"/>
        <v>-3.5951110371359889E-2</v>
      </c>
      <c r="AJ527" s="22">
        <f t="shared" si="119"/>
        <v>-3.5562030175799973E-2</v>
      </c>
      <c r="AK527" s="22">
        <f t="shared" si="119"/>
        <v>-3.5180908821616855E-2</v>
      </c>
      <c r="AL527" s="22">
        <f t="shared" si="119"/>
        <v>-3.4807229997572818E-2</v>
      </c>
      <c r="AM527" s="22">
        <f t="shared" si="119"/>
        <v>-3.4440514238790632E-2</v>
      </c>
      <c r="AN527" s="22">
        <f t="shared" si="119"/>
        <v>-3.4038300116717851E-2</v>
      </c>
      <c r="AO527" s="22">
        <f t="shared" si="119"/>
        <v>-3.3643177597525331E-2</v>
      </c>
      <c r="AP527" s="22">
        <f t="shared" si="119"/>
        <v>-3.325473249917061E-2</v>
      </c>
      <c r="AQ527" s="22">
        <f t="shared" si="119"/>
        <v>-3.2872577693066611E-2</v>
      </c>
      <c r="AR527" s="22">
        <f t="shared" si="119"/>
        <v>-3.2496350766594746E-2</v>
      </c>
      <c r="AS527" s="22">
        <f t="shared" si="119"/>
        <v>-3.2086347643088084E-2</v>
      </c>
      <c r="AT527" s="22">
        <f t="shared" si="119"/>
        <v>-3.1682606758135223E-2</v>
      </c>
      <c r="AU527" s="22">
        <f t="shared" si="119"/>
        <v>-3.1284805771392483E-2</v>
      </c>
      <c r="AV527" s="22">
        <f t="shared" si="119"/>
        <v>-3.0892641387511636E-2</v>
      </c>
      <c r="AW527" s="22">
        <f t="shared" si="119"/>
        <v>-3.0505827871256618E-2</v>
      </c>
      <c r="AY527" s="85"/>
    </row>
    <row r="528" spans="1:51" x14ac:dyDescent="0.25">
      <c r="A528" s="102" t="str">
        <f t="shared" si="108"/>
        <v>PQ Organic</v>
      </c>
      <c r="B528" s="102" t="s">
        <v>969</v>
      </c>
      <c r="C528" s="102" t="s">
        <v>1128</v>
      </c>
      <c r="D528" t="s">
        <v>369</v>
      </c>
      <c r="E528" t="s">
        <v>55</v>
      </c>
      <c r="F528" t="s">
        <v>421</v>
      </c>
      <c r="G528" t="s">
        <v>1179</v>
      </c>
      <c r="H528" t="s">
        <v>1180</v>
      </c>
      <c r="I528" t="s">
        <v>139</v>
      </c>
      <c r="J528" t="s">
        <v>287</v>
      </c>
      <c r="K528" s="22">
        <f t="shared" si="117"/>
        <v>3.1860496839281362E-2</v>
      </c>
      <c r="L528" s="22">
        <f t="shared" si="119"/>
        <v>3.1759933522370665E-2</v>
      </c>
      <c r="M528" s="22">
        <f t="shared" si="119"/>
        <v>3.1427371391063171E-2</v>
      </c>
      <c r="N528" s="22">
        <f t="shared" si="119"/>
        <v>3.0781658997293845E-2</v>
      </c>
      <c r="O528" s="22">
        <f t="shared" si="119"/>
        <v>3.0164198803332858E-2</v>
      </c>
      <c r="P528" s="22">
        <f t="shared" si="119"/>
        <v>2.973104254538711E-2</v>
      </c>
      <c r="Q528" s="22">
        <f t="shared" si="119"/>
        <v>2.9364195324587221E-2</v>
      </c>
      <c r="R528" s="22">
        <f t="shared" si="119"/>
        <v>2.8688684875400002E-2</v>
      </c>
      <c r="S528" s="22">
        <f t="shared" si="119"/>
        <v>2.5114771171009475E-2</v>
      </c>
      <c r="T528" s="22">
        <f t="shared" si="119"/>
        <v>2.5274365322659843E-2</v>
      </c>
      <c r="U528" s="22">
        <f t="shared" si="119"/>
        <v>2.535447504840236E-2</v>
      </c>
      <c r="V528" s="22">
        <f t="shared" si="119"/>
        <v>2.5432357382837084E-2</v>
      </c>
      <c r="W528" s="22">
        <f t="shared" si="119"/>
        <v>2.562259296820359E-2</v>
      </c>
      <c r="X528" s="22">
        <f t="shared" si="119"/>
        <v>2.5806433152052291E-2</v>
      </c>
      <c r="Y528" s="22">
        <f t="shared" si="119"/>
        <v>2.6017344942475328E-2</v>
      </c>
      <c r="Z528" s="22">
        <f t="shared" si="119"/>
        <v>2.6194373418542003E-2</v>
      </c>
      <c r="AA528" s="22">
        <f t="shared" si="119"/>
        <v>2.6407120461913867E-2</v>
      </c>
      <c r="AB528" s="22">
        <f t="shared" si="119"/>
        <v>2.6561988084979515E-2</v>
      </c>
      <c r="AC528" s="22">
        <f t="shared" si="119"/>
        <v>2.6724895263784808E-2</v>
      </c>
      <c r="AD528" s="22">
        <f t="shared" si="119"/>
        <v>2.7025368401261952E-2</v>
      </c>
      <c r="AE528" s="22">
        <f t="shared" si="119"/>
        <v>2.7376370081148127E-2</v>
      </c>
      <c r="AF528" s="22">
        <f t="shared" si="119"/>
        <v>2.7739593552385582E-2</v>
      </c>
      <c r="AG528" s="22">
        <f t="shared" si="119"/>
        <v>2.7331362768575094E-2</v>
      </c>
      <c r="AH528" s="22">
        <f t="shared" si="119"/>
        <v>-9.2218056478478912E-3</v>
      </c>
      <c r="AI528" s="22">
        <f t="shared" si="119"/>
        <v>-9.1209339890003793E-3</v>
      </c>
      <c r="AJ528" s="22">
        <f t="shared" si="119"/>
        <v>-9.0222228575924188E-3</v>
      </c>
      <c r="AK528" s="22">
        <f t="shared" si="119"/>
        <v>-8.9255309146344646E-3</v>
      </c>
      <c r="AL528" s="22">
        <f t="shared" si="119"/>
        <v>-8.8307271699938471E-3</v>
      </c>
      <c r="AM528" s="22">
        <f t="shared" si="119"/>
        <v>-8.7376899816002714E-3</v>
      </c>
      <c r="AN528" s="22">
        <f t="shared" si="119"/>
        <v>-8.6356467228810053E-3</v>
      </c>
      <c r="AO528" s="22">
        <f t="shared" si="119"/>
        <v>-8.5354026308934166E-3</v>
      </c>
      <c r="AP528" s="22">
        <f t="shared" si="119"/>
        <v>-8.436852626071684E-3</v>
      </c>
      <c r="AQ528" s="22">
        <f t="shared" si="119"/>
        <v>-8.3398984924149214E-3</v>
      </c>
      <c r="AR528" s="22">
        <f t="shared" si="119"/>
        <v>-8.2444482844578407E-3</v>
      </c>
      <c r="AS528" s="22">
        <f t="shared" si="119"/>
        <v>-8.1404289263306579E-3</v>
      </c>
      <c r="AT528" s="22">
        <f t="shared" si="119"/>
        <v>-8.0379983220384144E-3</v>
      </c>
      <c r="AU528" s="22">
        <f t="shared" si="119"/>
        <v>-7.9370746926049739E-3</v>
      </c>
      <c r="AV528" s="22">
        <f t="shared" si="119"/>
        <v>-7.8375810908422969E-3</v>
      </c>
      <c r="AW528" s="22">
        <f t="shared" si="119"/>
        <v>-7.7394450246298409E-3</v>
      </c>
      <c r="AY528" s="85"/>
    </row>
    <row r="529" spans="1:51" x14ac:dyDescent="0.25">
      <c r="A529" s="102" t="str">
        <f t="shared" si="108"/>
        <v>PQ Organic</v>
      </c>
      <c r="B529" s="102" t="s">
        <v>969</v>
      </c>
      <c r="C529" s="102" t="s">
        <v>1128</v>
      </c>
      <c r="D529" t="s">
        <v>369</v>
      </c>
      <c r="E529" t="s">
        <v>55</v>
      </c>
      <c r="F529" t="s">
        <v>421</v>
      </c>
      <c r="G529" t="s">
        <v>1181</v>
      </c>
      <c r="H529" t="s">
        <v>1182</v>
      </c>
      <c r="I529" t="s">
        <v>139</v>
      </c>
      <c r="J529" t="s">
        <v>287</v>
      </c>
      <c r="K529" s="22">
        <f t="shared" si="117"/>
        <v>0.1578659423422277</v>
      </c>
      <c r="L529" s="22">
        <f t="shared" si="119"/>
        <v>0.16128463868664497</v>
      </c>
      <c r="M529" s="22">
        <f t="shared" si="119"/>
        <v>0.16403927917478689</v>
      </c>
      <c r="N529" s="22">
        <f t="shared" si="119"/>
        <v>0.16583912134746412</v>
      </c>
      <c r="O529" s="22">
        <f t="shared" si="119"/>
        <v>0.16766339315982179</v>
      </c>
      <c r="P529" s="22">
        <f t="shared" si="119"/>
        <v>0.17001522372192687</v>
      </c>
      <c r="Q529" s="22">
        <f t="shared" si="119"/>
        <v>0.17253027929477446</v>
      </c>
      <c r="R529" s="22">
        <f t="shared" si="119"/>
        <v>0.17399291850067305</v>
      </c>
      <c r="S529" s="22">
        <f t="shared" si="119"/>
        <v>0.16557860027053409</v>
      </c>
      <c r="T529" s="22">
        <f t="shared" si="119"/>
        <v>0.1691333492046497</v>
      </c>
      <c r="U529" s="22">
        <f t="shared" si="119"/>
        <v>0.17245170747417515</v>
      </c>
      <c r="V529" s="22">
        <f t="shared" si="119"/>
        <v>0.17579626240036808</v>
      </c>
      <c r="W529" s="22">
        <f t="shared" si="119"/>
        <v>0.17959210165256231</v>
      </c>
      <c r="X529" s="22">
        <f t="shared" si="119"/>
        <v>0.18341947191943975</v>
      </c>
      <c r="Y529" s="22">
        <f t="shared" si="119"/>
        <v>0.18725170622309825</v>
      </c>
      <c r="Z529" s="22">
        <f t="shared" si="119"/>
        <v>0.19101002435789147</v>
      </c>
      <c r="AA529" s="22">
        <f t="shared" si="119"/>
        <v>0.19496806630989533</v>
      </c>
      <c r="AB529" s="22">
        <f t="shared" si="119"/>
        <v>0.1987521861165934</v>
      </c>
      <c r="AC529" s="22">
        <f t="shared" si="119"/>
        <v>0.20262605023407515</v>
      </c>
      <c r="AD529" s="22">
        <f t="shared" si="119"/>
        <v>0.20701826985045815</v>
      </c>
      <c r="AE529" s="22">
        <f t="shared" si="119"/>
        <v>0.21171320346850861</v>
      </c>
      <c r="AF529" s="22">
        <f t="shared" si="119"/>
        <v>0.21655584185518156</v>
      </c>
      <c r="AG529" s="22">
        <f t="shared" si="119"/>
        <v>0.21799724995986033</v>
      </c>
      <c r="AH529" s="22">
        <f t="shared" si="119"/>
        <v>5.2251952852615427E-2</v>
      </c>
      <c r="AI529" s="22">
        <f t="shared" si="119"/>
        <v>5.2653553300749806E-2</v>
      </c>
      <c r="AJ529" s="22">
        <f t="shared" si="119"/>
        <v>5.3058077706100888E-2</v>
      </c>
      <c r="AK529" s="22">
        <f t="shared" si="119"/>
        <v>5.3465548333796561E-2</v>
      </c>
      <c r="AL529" s="22">
        <f t="shared" si="119"/>
        <v>5.3875987550074486E-2</v>
      </c>
      <c r="AM529" s="22">
        <f t="shared" si="119"/>
        <v>5.4289417828860521E-2</v>
      </c>
      <c r="AN529" s="22">
        <f t="shared" si="119"/>
        <v>5.4642837788304699E-2</v>
      </c>
      <c r="AO529" s="22">
        <f t="shared" si="119"/>
        <v>5.4998439326322222E-2</v>
      </c>
      <c r="AP529" s="22">
        <f t="shared" si="119"/>
        <v>5.5356236623464276E-2</v>
      </c>
      <c r="AQ529" s="22">
        <f t="shared" si="119"/>
        <v>5.5716243907733665E-2</v>
      </c>
      <c r="AR529" s="22">
        <f t="shared" si="119"/>
        <v>5.6078475458306978E-2</v>
      </c>
      <c r="AS529" s="22">
        <f t="shared" si="119"/>
        <v>5.6378177516484766E-2</v>
      </c>
      <c r="AT529" s="22">
        <f t="shared" si="119"/>
        <v>5.6679397882174076E-2</v>
      </c>
      <c r="AU529" s="22">
        <f t="shared" si="119"/>
        <v>5.6982144790486855E-2</v>
      </c>
      <c r="AV529" s="22">
        <f t="shared" si="119"/>
        <v>5.7286426490389369E-2</v>
      </c>
      <c r="AW529" s="22">
        <f t="shared" si="119"/>
        <v>5.7592251246923687E-2</v>
      </c>
      <c r="AY529" s="85"/>
    </row>
    <row r="530" spans="1:51" x14ac:dyDescent="0.25">
      <c r="A530" s="102" t="str">
        <f t="shared" si="108"/>
        <v>PQ Organic</v>
      </c>
      <c r="B530" s="102" t="s">
        <v>969</v>
      </c>
      <c r="C530" s="102" t="s">
        <v>1128</v>
      </c>
      <c r="D530" t="s">
        <v>369</v>
      </c>
      <c r="E530" t="s">
        <v>55</v>
      </c>
      <c r="F530" t="s">
        <v>421</v>
      </c>
      <c r="G530" t="s">
        <v>1183</v>
      </c>
      <c r="H530" t="s">
        <v>1184</v>
      </c>
      <c r="I530" t="s">
        <v>139</v>
      </c>
      <c r="J530" t="s">
        <v>287</v>
      </c>
      <c r="K530" s="22">
        <f t="shared" si="117"/>
        <v>0.795414165570277</v>
      </c>
      <c r="L530" s="22">
        <f t="shared" si="119"/>
        <v>0.8083218557846692</v>
      </c>
      <c r="M530" s="22">
        <f t="shared" si="119"/>
        <v>0.81215441853464132</v>
      </c>
      <c r="N530" s="22">
        <f t="shared" si="119"/>
        <v>0.80356343008777875</v>
      </c>
      <c r="O530" s="22">
        <f t="shared" si="119"/>
        <v>0.79499088780116223</v>
      </c>
      <c r="P530" s="22">
        <f t="shared" si="119"/>
        <v>0.79250347923266529</v>
      </c>
      <c r="Q530" s="22">
        <f t="shared" si="119"/>
        <v>0.79198531109847847</v>
      </c>
      <c r="R530" s="22">
        <f t="shared" si="119"/>
        <v>0.77877476502438481</v>
      </c>
      <c r="S530" s="22">
        <f t="shared" si="119"/>
        <v>0.64890920680176789</v>
      </c>
      <c r="T530" s="22">
        <f t="shared" si="119"/>
        <v>0.66805040989248243</v>
      </c>
      <c r="U530" s="22">
        <f t="shared" si="119"/>
        <v>0.68404988485251483</v>
      </c>
      <c r="V530" s="22">
        <f t="shared" si="119"/>
        <v>0.70001053899583365</v>
      </c>
      <c r="W530" s="22">
        <f t="shared" si="119"/>
        <v>0.72077585420537182</v>
      </c>
      <c r="X530" s="22">
        <f t="shared" si="119"/>
        <v>0.74147883845948881</v>
      </c>
      <c r="Y530" s="22">
        <f t="shared" si="119"/>
        <v>0.76420933570691552</v>
      </c>
      <c r="Z530" s="22">
        <f t="shared" si="119"/>
        <v>0.78572613438626693</v>
      </c>
      <c r="AA530" s="22">
        <f t="shared" si="119"/>
        <v>0.80907791428846942</v>
      </c>
      <c r="AB530" s="22">
        <f t="shared" si="119"/>
        <v>0.8301336909980378</v>
      </c>
      <c r="AC530" s="22">
        <f t="shared" si="119"/>
        <v>0.85181121057445375</v>
      </c>
      <c r="AD530" s="22">
        <f t="shared" si="119"/>
        <v>0.88061906068467799</v>
      </c>
      <c r="AE530" s="22">
        <f t="shared" si="119"/>
        <v>0.91224642242202703</v>
      </c>
      <c r="AF530" s="22">
        <f t="shared" si="119"/>
        <v>0.9449892623330276</v>
      </c>
      <c r="AG530" s="22">
        <f t="shared" si="119"/>
        <v>0.94134312985108715</v>
      </c>
      <c r="AH530" s="22">
        <f t="shared" si="119"/>
        <v>-0.81638140263432868</v>
      </c>
      <c r="AI530" s="22">
        <f t="shared" si="119"/>
        <v>-0.81755111000616232</v>
      </c>
      <c r="AJ530" s="22">
        <f t="shared" si="119"/>
        <v>-0.81881979999269761</v>
      </c>
      <c r="AK530" s="22">
        <f t="shared" si="119"/>
        <v>-0.82018334185066777</v>
      </c>
      <c r="AL530" s="22">
        <f t="shared" si="119"/>
        <v>-0.82163792568162108</v>
      </c>
      <c r="AM530" s="22">
        <f t="shared" si="119"/>
        <v>-0.82318003161190867</v>
      </c>
      <c r="AN530" s="22">
        <f t="shared" si="119"/>
        <v>-0.82381473491699941</v>
      </c>
      <c r="AO530" s="22">
        <f t="shared" si="119"/>
        <v>-0.82452898483774906</v>
      </c>
      <c r="AP530" s="22">
        <f t="shared" si="119"/>
        <v>-0.82531969261957272</v>
      </c>
      <c r="AQ530" s="22">
        <f t="shared" si="119"/>
        <v>-0.82618398159490103</v>
      </c>
      <c r="AR530" s="22">
        <f t="shared" si="119"/>
        <v>-0.82711916895922855</v>
      </c>
      <c r="AS530" s="22">
        <f t="shared" si="119"/>
        <v>-0.82713235750266001</v>
      </c>
      <c r="AT530" s="22">
        <f t="shared" si="119"/>
        <v>-0.82721120407880289</v>
      </c>
      <c r="AU530" s="22">
        <f t="shared" si="119"/>
        <v>-0.82735328113760953</v>
      </c>
      <c r="AV530" s="22">
        <f t="shared" si="119"/>
        <v>-0.82755630984608064</v>
      </c>
      <c r="AW530" s="22">
        <f t="shared" si="119"/>
        <v>-0.82781814853769387</v>
      </c>
      <c r="AY530" s="85"/>
    </row>
    <row r="531" spans="1:51" x14ac:dyDescent="0.25">
      <c r="A531" s="102" t="str">
        <f t="shared" si="108"/>
        <v>PQ U&amp;D</v>
      </c>
      <c r="B531" s="102" t="s">
        <v>969</v>
      </c>
      <c r="C531" s="102" t="s">
        <v>1337</v>
      </c>
      <c r="D531" t="s">
        <v>369</v>
      </c>
      <c r="E531" t="s">
        <v>55</v>
      </c>
      <c r="F531" t="s">
        <v>422</v>
      </c>
      <c r="G531" t="s">
        <v>1153</v>
      </c>
      <c r="H531" t="s">
        <v>1241</v>
      </c>
      <c r="I531" t="s">
        <v>139</v>
      </c>
      <c r="J531" t="s">
        <v>287</v>
      </c>
      <c r="K531" s="22">
        <f t="shared" si="117"/>
        <v>0</v>
      </c>
      <c r="L531" s="22">
        <f t="shared" si="119"/>
        <v>0</v>
      </c>
      <c r="M531" s="22">
        <f t="shared" si="119"/>
        <v>0</v>
      </c>
      <c r="N531" s="22">
        <f t="shared" si="119"/>
        <v>0</v>
      </c>
      <c r="O531" s="22">
        <f t="shared" si="119"/>
        <v>0</v>
      </c>
      <c r="P531" s="22">
        <f t="shared" si="119"/>
        <v>0</v>
      </c>
      <c r="Q531" s="22">
        <f t="shared" si="119"/>
        <v>0</v>
      </c>
      <c r="R531" s="22">
        <f t="shared" si="119"/>
        <v>0</v>
      </c>
      <c r="S531" s="22">
        <f t="shared" si="119"/>
        <v>0</v>
      </c>
      <c r="T531" s="22">
        <f t="shared" si="119"/>
        <v>0</v>
      </c>
      <c r="U531" s="22">
        <f t="shared" si="119"/>
        <v>0</v>
      </c>
      <c r="V531" s="22">
        <f t="shared" si="119"/>
        <v>0</v>
      </c>
      <c r="W531" s="22">
        <f t="shared" si="119"/>
        <v>0</v>
      </c>
      <c r="X531" s="22">
        <f t="shared" si="119"/>
        <v>0</v>
      </c>
      <c r="Y531" s="22">
        <f t="shared" si="119"/>
        <v>0</v>
      </c>
      <c r="Z531" s="22">
        <f t="shared" si="119"/>
        <v>0</v>
      </c>
      <c r="AA531" s="22">
        <f t="shared" si="119"/>
        <v>0</v>
      </c>
      <c r="AB531" s="22">
        <f t="shared" si="119"/>
        <v>0</v>
      </c>
      <c r="AC531" s="22">
        <f t="shared" si="119"/>
        <v>0</v>
      </c>
      <c r="AD531" s="22">
        <f t="shared" si="119"/>
        <v>0</v>
      </c>
      <c r="AE531" s="22">
        <f t="shared" si="119"/>
        <v>0</v>
      </c>
      <c r="AF531" s="22">
        <f t="shared" si="119"/>
        <v>0</v>
      </c>
      <c r="AG531" s="22">
        <f t="shared" si="119"/>
        <v>0</v>
      </c>
      <c r="AH531" s="22">
        <f t="shared" si="119"/>
        <v>0</v>
      </c>
      <c r="AI531" s="22">
        <f t="shared" si="119"/>
        <v>0</v>
      </c>
      <c r="AJ531" s="22">
        <f t="shared" si="119"/>
        <v>0</v>
      </c>
      <c r="AK531" s="22">
        <f t="shared" si="119"/>
        <v>0</v>
      </c>
      <c r="AL531" s="22">
        <f t="shared" si="119"/>
        <v>0</v>
      </c>
      <c r="AM531" s="22">
        <f t="shared" si="119"/>
        <v>0</v>
      </c>
      <c r="AN531" s="22">
        <f t="shared" si="119"/>
        <v>0</v>
      </c>
      <c r="AO531" s="22">
        <f t="shared" si="119"/>
        <v>0</v>
      </c>
      <c r="AP531" s="22">
        <f t="shared" si="119"/>
        <v>0</v>
      </c>
      <c r="AQ531" s="22">
        <f t="shared" si="119"/>
        <v>0</v>
      </c>
      <c r="AR531" s="22">
        <f t="shared" si="119"/>
        <v>0</v>
      </c>
      <c r="AS531" s="22">
        <f t="shared" si="119"/>
        <v>0</v>
      </c>
      <c r="AT531" s="22">
        <f t="shared" si="119"/>
        <v>0</v>
      </c>
      <c r="AU531" s="22">
        <f t="shared" si="119"/>
        <v>0</v>
      </c>
      <c r="AV531" s="22">
        <f t="shared" si="119"/>
        <v>0</v>
      </c>
      <c r="AW531" s="22">
        <f t="shared" si="119"/>
        <v>0</v>
      </c>
      <c r="AY531" s="85"/>
    </row>
    <row r="532" spans="1:51" x14ac:dyDescent="0.25">
      <c r="A532" s="102" t="str">
        <f t="shared" si="108"/>
        <v>PQ U&amp;D</v>
      </c>
      <c r="B532" s="102" t="s">
        <v>969</v>
      </c>
      <c r="C532" s="102" t="s">
        <v>1337</v>
      </c>
      <c r="D532" t="s">
        <v>369</v>
      </c>
      <c r="E532" t="s">
        <v>55</v>
      </c>
      <c r="F532" t="s">
        <v>422</v>
      </c>
      <c r="G532" t="s">
        <v>1155</v>
      </c>
      <c r="H532" t="s">
        <v>1242</v>
      </c>
      <c r="I532" t="s">
        <v>139</v>
      </c>
      <c r="J532" t="s">
        <v>287</v>
      </c>
      <c r="K532" s="22">
        <f t="shared" si="117"/>
        <v>1.0795326716636573</v>
      </c>
      <c r="L532" s="22">
        <f t="shared" si="119"/>
        <v>1.0862475469793051</v>
      </c>
      <c r="M532" s="22">
        <f t="shared" si="119"/>
        <v>1.0908641162595043</v>
      </c>
      <c r="N532" s="22">
        <f t="shared" si="119"/>
        <v>1.0923119403436279</v>
      </c>
      <c r="O532" s="22">
        <f t="shared" si="119"/>
        <v>1.0942706302876248</v>
      </c>
      <c r="P532" s="22">
        <f t="shared" si="119"/>
        <v>1.0985609054131558</v>
      </c>
      <c r="Q532" s="22">
        <f t="shared" si="119"/>
        <v>1.1037045101143446</v>
      </c>
      <c r="R532" s="22">
        <f t="shared" si="119"/>
        <v>1.105249702620553</v>
      </c>
      <c r="S532" s="22">
        <f t="shared" si="119"/>
        <v>1.0713187850060639</v>
      </c>
      <c r="T532" s="22">
        <f t="shared" si="119"/>
        <v>1.0801428769448762</v>
      </c>
      <c r="U532" s="22">
        <f t="shared" si="119"/>
        <v>1.0882343186562755</v>
      </c>
      <c r="V532" s="22">
        <f t="shared" si="119"/>
        <v>1.0965307426510265</v>
      </c>
      <c r="W532" s="22">
        <f t="shared" si="119"/>
        <v>1.1065249139358884</v>
      </c>
      <c r="X532" s="22">
        <f t="shared" si="119"/>
        <v>1.1167066198379636</v>
      </c>
      <c r="Y532" s="22">
        <f t="shared" si="119"/>
        <v>1.1266207343141128</v>
      </c>
      <c r="Z532" s="22">
        <f t="shared" si="119"/>
        <v>1.1363365093259761</v>
      </c>
      <c r="AA532" s="22">
        <f t="shared" si="119"/>
        <v>1.146801464584869</v>
      </c>
      <c r="AB532" s="22">
        <f t="shared" si="119"/>
        <v>1.156711571508408</v>
      </c>
      <c r="AC532" s="22">
        <f t="shared" si="119"/>
        <v>1.1669771470605725</v>
      </c>
      <c r="AD532" s="22">
        <f t="shared" si="119"/>
        <v>1.1787713566301137</v>
      </c>
      <c r="AE532" s="22">
        <f t="shared" si="119"/>
        <v>1.1916164906506355</v>
      </c>
      <c r="AF532" s="22">
        <f t="shared" ref="L532:AW539" si="120">AF1483</f>
        <v>1.2049714778557878</v>
      </c>
      <c r="AG532" s="22">
        <f t="shared" si="120"/>
        <v>1.2068369654753692</v>
      </c>
      <c r="AH532" s="22">
        <f t="shared" si="120"/>
        <v>0.64612873683850436</v>
      </c>
      <c r="AI532" s="22">
        <f t="shared" si="120"/>
        <v>0.64660396058025826</v>
      </c>
      <c r="AJ532" s="22">
        <f t="shared" si="120"/>
        <v>0.64714161069901732</v>
      </c>
      <c r="AK532" s="22">
        <f t="shared" si="120"/>
        <v>0.64773931439075094</v>
      </c>
      <c r="AL532" s="22">
        <f t="shared" si="120"/>
        <v>0.64839488159544112</v>
      </c>
      <c r="AM532" s="22">
        <f t="shared" si="120"/>
        <v>0.64910628767603584</v>
      </c>
      <c r="AN532" s="22">
        <f t="shared" si="120"/>
        <v>0.64941256924922242</v>
      </c>
      <c r="AO532" s="22">
        <f t="shared" si="120"/>
        <v>0.64976802465090699</v>
      </c>
      <c r="AP532" s="22">
        <f t="shared" si="120"/>
        <v>0.65017093639043266</v>
      </c>
      <c r="AQ532" s="22">
        <f t="shared" si="120"/>
        <v>0.65061970417317594</v>
      </c>
      <c r="AR532" s="22">
        <f t="shared" si="120"/>
        <v>0.65111283495552585</v>
      </c>
      <c r="AS532" s="22">
        <f t="shared" si="120"/>
        <v>0.65118489834837545</v>
      </c>
      <c r="AT532" s="22">
        <f t="shared" si="120"/>
        <v>0.65129629063948757</v>
      </c>
      <c r="AU532" s="22">
        <f t="shared" si="120"/>
        <v>0.65144570826558501</v>
      </c>
      <c r="AV532" s="22">
        <f t="shared" si="120"/>
        <v>0.65163192707531048</v>
      </c>
      <c r="AW532" s="22">
        <f t="shared" si="120"/>
        <v>0.6518537962289046</v>
      </c>
      <c r="AY532" s="85"/>
    </row>
    <row r="533" spans="1:51" x14ac:dyDescent="0.25">
      <c r="A533" s="102" t="str">
        <f t="shared" si="108"/>
        <v>PQ U&amp;D</v>
      </c>
      <c r="B533" s="102" t="s">
        <v>969</v>
      </c>
      <c r="C533" s="102" t="s">
        <v>1337</v>
      </c>
      <c r="D533" t="s">
        <v>369</v>
      </c>
      <c r="E533" t="s">
        <v>55</v>
      </c>
      <c r="F533" t="s">
        <v>422</v>
      </c>
      <c r="G533" t="s">
        <v>1157</v>
      </c>
      <c r="H533" t="s">
        <v>1243</v>
      </c>
      <c r="I533" t="s">
        <v>139</v>
      </c>
      <c r="J533" t="s">
        <v>287</v>
      </c>
      <c r="K533" s="22">
        <f t="shared" si="117"/>
        <v>0.73516913566022923</v>
      </c>
      <c r="L533" s="22">
        <f t="shared" si="120"/>
        <v>0.7397420116939516</v>
      </c>
      <c r="M533" s="22">
        <f t="shared" si="120"/>
        <v>0.74288592696073941</v>
      </c>
      <c r="N533" s="22">
        <f t="shared" si="120"/>
        <v>0.74387190506816692</v>
      </c>
      <c r="O533" s="22">
        <f t="shared" si="120"/>
        <v>0.74520578632155732</v>
      </c>
      <c r="P533" s="22">
        <f t="shared" si="120"/>
        <v>0.74812749303648285</v>
      </c>
      <c r="Q533" s="22">
        <f t="shared" si="120"/>
        <v>0.7516303230309872</v>
      </c>
      <c r="R533" s="22">
        <f t="shared" si="120"/>
        <v>0.75268260970005785</v>
      </c>
      <c r="S533" s="22">
        <f t="shared" si="120"/>
        <v>0.72957542264627473</v>
      </c>
      <c r="T533" s="22">
        <f t="shared" si="120"/>
        <v>0.73558468963181722</v>
      </c>
      <c r="U533" s="22">
        <f t="shared" si="120"/>
        <v>0.74109501679963463</v>
      </c>
      <c r="V533" s="22">
        <f t="shared" si="120"/>
        <v>0.74674493830492128</v>
      </c>
      <c r="W533" s="22">
        <f t="shared" si="120"/>
        <v>0.753551037330909</v>
      </c>
      <c r="X533" s="22">
        <f t="shared" si="120"/>
        <v>0.76048484871434763</v>
      </c>
      <c r="Y533" s="22">
        <f t="shared" si="120"/>
        <v>0.7672364285058465</v>
      </c>
      <c r="Z533" s="22">
        <f t="shared" si="120"/>
        <v>0.77385293776511066</v>
      </c>
      <c r="AA533" s="22">
        <f t="shared" si="120"/>
        <v>0.78097964389855901</v>
      </c>
      <c r="AB533" s="22">
        <f t="shared" si="120"/>
        <v>0.78772849451931037</v>
      </c>
      <c r="AC533" s="22">
        <f t="shared" si="120"/>
        <v>0.79471942170830334</v>
      </c>
      <c r="AD533" s="22">
        <f t="shared" si="120"/>
        <v>0.80275135912217765</v>
      </c>
      <c r="AE533" s="22">
        <f t="shared" si="120"/>
        <v>0.81149898327768732</v>
      </c>
      <c r="AF533" s="22">
        <f t="shared" si="120"/>
        <v>0.82059382094039046</v>
      </c>
      <c r="AG533" s="22">
        <f t="shared" si="120"/>
        <v>0.8218642307731554</v>
      </c>
      <c r="AH533" s="22">
        <f t="shared" si="120"/>
        <v>0.4400180906565429</v>
      </c>
      <c r="AI533" s="22">
        <f t="shared" si="120"/>
        <v>0.44034172127619964</v>
      </c>
      <c r="AJ533" s="22">
        <f t="shared" si="120"/>
        <v>0.44070786468572382</v>
      </c>
      <c r="AK533" s="22">
        <f t="shared" si="120"/>
        <v>0.44111490498933553</v>
      </c>
      <c r="AL533" s="22">
        <f t="shared" si="120"/>
        <v>0.44156135074117797</v>
      </c>
      <c r="AM533" s="22">
        <f t="shared" si="120"/>
        <v>0.44204582314956586</v>
      </c>
      <c r="AN533" s="22">
        <f t="shared" si="120"/>
        <v>0.44225440299651131</v>
      </c>
      <c r="AO533" s="22">
        <f t="shared" si="120"/>
        <v>0.44249647055711561</v>
      </c>
      <c r="AP533" s="22">
        <f t="shared" si="120"/>
        <v>0.44277085620848994</v>
      </c>
      <c r="AQ533" s="22">
        <f t="shared" si="120"/>
        <v>0.44307647013904683</v>
      </c>
      <c r="AR533" s="22">
        <f t="shared" si="120"/>
        <v>0.4434122955758712</v>
      </c>
      <c r="AS533" s="22">
        <f t="shared" si="120"/>
        <v>0.44346137123946583</v>
      </c>
      <c r="AT533" s="22">
        <f t="shared" si="120"/>
        <v>0.4435372301518688</v>
      </c>
      <c r="AU533" s="22">
        <f t="shared" si="120"/>
        <v>0.44363898457756984</v>
      </c>
      <c r="AV533" s="22">
        <f t="shared" si="120"/>
        <v>0.44376580086111833</v>
      </c>
      <c r="AW533" s="22">
        <f t="shared" si="120"/>
        <v>0.44391689527276407</v>
      </c>
      <c r="AY533" s="85"/>
    </row>
    <row r="534" spans="1:51" x14ac:dyDescent="0.25">
      <c r="A534" s="102" t="str">
        <f t="shared" si="108"/>
        <v>PQ U&amp;D</v>
      </c>
      <c r="B534" s="102" t="s">
        <v>969</v>
      </c>
      <c r="C534" s="102" t="s">
        <v>1337</v>
      </c>
      <c r="D534" t="s">
        <v>369</v>
      </c>
      <c r="E534" t="s">
        <v>55</v>
      </c>
      <c r="F534" t="s">
        <v>422</v>
      </c>
      <c r="G534" t="s">
        <v>1159</v>
      </c>
      <c r="H534" t="s">
        <v>1244</v>
      </c>
      <c r="I534" t="s">
        <v>139</v>
      </c>
      <c r="J534" t="s">
        <v>287</v>
      </c>
      <c r="K534" s="22">
        <f t="shared" si="117"/>
        <v>15.48880966403453</v>
      </c>
      <c r="L534" s="22">
        <f t="shared" si="120"/>
        <v>15.386143051197998</v>
      </c>
      <c r="M534" s="22">
        <f t="shared" si="120"/>
        <v>15.169677377989304</v>
      </c>
      <c r="N534" s="22">
        <f t="shared" si="120"/>
        <v>14.804794487947174</v>
      </c>
      <c r="O534" s="22">
        <f t="shared" si="120"/>
        <v>14.450776257626368</v>
      </c>
      <c r="P534" s="22">
        <f t="shared" si="120"/>
        <v>14.178486550067829</v>
      </c>
      <c r="Q534" s="22">
        <f t="shared" si="120"/>
        <v>13.932198413286633</v>
      </c>
      <c r="R534" s="22">
        <f t="shared" si="120"/>
        <v>13.544970185493053</v>
      </c>
      <c r="S534" s="22">
        <f t="shared" si="120"/>
        <v>11.879759863511568</v>
      </c>
      <c r="T534" s="22">
        <f t="shared" si="120"/>
        <v>11.992993022515481</v>
      </c>
      <c r="U534" s="22">
        <f t="shared" si="120"/>
        <v>12.069614819396085</v>
      </c>
      <c r="V534" s="22">
        <f t="shared" si="120"/>
        <v>12.143744438353496</v>
      </c>
      <c r="W534" s="22">
        <f t="shared" si="120"/>
        <v>12.266336998051067</v>
      </c>
      <c r="X534" s="22">
        <f t="shared" si="120"/>
        <v>12.384889207902271</v>
      </c>
      <c r="Y534" s="22">
        <f t="shared" si="120"/>
        <v>12.509351233051413</v>
      </c>
      <c r="Z534" s="22">
        <f t="shared" si="120"/>
        <v>12.61770643379279</v>
      </c>
      <c r="AA534" s="22">
        <f t="shared" si="120"/>
        <v>12.7410293454877</v>
      </c>
      <c r="AB534" s="22">
        <f t="shared" si="120"/>
        <v>12.837533702297911</v>
      </c>
      <c r="AC534" s="22">
        <f t="shared" si="120"/>
        <v>12.936685976559087</v>
      </c>
      <c r="AD534" s="22">
        <f t="shared" si="120"/>
        <v>12.98286747930208</v>
      </c>
      <c r="AE534" s="22">
        <f t="shared" si="120"/>
        <v>13.046191689203091</v>
      </c>
      <c r="AF534" s="22">
        <f t="shared" si="120"/>
        <v>13.10927150785349</v>
      </c>
      <c r="AG534" s="22">
        <f t="shared" si="120"/>
        <v>12.831250179467366</v>
      </c>
      <c r="AH534" s="22">
        <f t="shared" si="120"/>
        <v>-3.0267144396295609</v>
      </c>
      <c r="AI534" s="22">
        <f t="shared" si="120"/>
        <v>-2.956505191498271</v>
      </c>
      <c r="AJ534" s="22">
        <f t="shared" si="120"/>
        <v>-2.8874124907442584</v>
      </c>
      <c r="AK534" s="22">
        <f t="shared" si="120"/>
        <v>-2.8193778585944393</v>
      </c>
      <c r="AL534" s="22">
        <f t="shared" si="120"/>
        <v>-2.7523468592631737</v>
      </c>
      <c r="AM534" s="22">
        <f t="shared" si="120"/>
        <v>-2.6862687253121265</v>
      </c>
      <c r="AN534" s="22">
        <f t="shared" si="120"/>
        <v>-2.6326943062213264</v>
      </c>
      <c r="AO534" s="22">
        <f t="shared" si="120"/>
        <v>-2.5799290640232249</v>
      </c>
      <c r="AP534" s="22">
        <f t="shared" si="120"/>
        <v>-2.5279363308324876</v>
      </c>
      <c r="AQ534" s="22">
        <f t="shared" si="120"/>
        <v>-2.4766817193169062</v>
      </c>
      <c r="AR534" s="22">
        <f t="shared" si="120"/>
        <v>-2.4261329336018767</v>
      </c>
      <c r="AS534" s="22">
        <f t="shared" si="120"/>
        <v>-2.3746446145368036</v>
      </c>
      <c r="AT534" s="22">
        <f t="shared" si="120"/>
        <v>-2.3238643255218379</v>
      </c>
      <c r="AU534" s="22">
        <f t="shared" si="120"/>
        <v>-2.2737642137550615</v>
      </c>
      <c r="AV534" s="22">
        <f t="shared" si="120"/>
        <v>-2.2243179912934989</v>
      </c>
      <c r="AW534" s="22">
        <f t="shared" si="120"/>
        <v>-2.1755008181156215</v>
      </c>
      <c r="AY534" s="85"/>
    </row>
    <row r="535" spans="1:51" x14ac:dyDescent="0.25">
      <c r="A535" s="102" t="str">
        <f t="shared" si="108"/>
        <v>PQ U&amp;D</v>
      </c>
      <c r="B535" s="102" t="s">
        <v>969</v>
      </c>
      <c r="C535" s="102" t="s">
        <v>1337</v>
      </c>
      <c r="D535" t="s">
        <v>369</v>
      </c>
      <c r="E535" t="s">
        <v>55</v>
      </c>
      <c r="F535" t="s">
        <v>422</v>
      </c>
      <c r="G535" t="s">
        <v>1161</v>
      </c>
      <c r="H535" t="s">
        <v>1245</v>
      </c>
      <c r="I535" t="s">
        <v>139</v>
      </c>
      <c r="J535" t="s">
        <v>287</v>
      </c>
      <c r="K535" s="22">
        <f t="shared" si="117"/>
        <v>9.7393760290961886</v>
      </c>
      <c r="L535" s="22">
        <f t="shared" si="120"/>
        <v>9.6748191800072334</v>
      </c>
      <c r="M535" s="22">
        <f t="shared" si="120"/>
        <v>9.538705389825779</v>
      </c>
      <c r="N535" s="22">
        <f t="shared" si="120"/>
        <v>9.3092667338033213</v>
      </c>
      <c r="O535" s="22">
        <f t="shared" si="120"/>
        <v>9.086659784590454</v>
      </c>
      <c r="P535" s="22">
        <f t="shared" si="120"/>
        <v>8.9154437965133955</v>
      </c>
      <c r="Q535" s="22">
        <f t="shared" si="120"/>
        <v>8.7605776171460139</v>
      </c>
      <c r="R535" s="22">
        <f t="shared" si="120"/>
        <v>8.5170881946941783</v>
      </c>
      <c r="S535" s="22">
        <f t="shared" si="120"/>
        <v>7.4700025990225534</v>
      </c>
      <c r="T535" s="22">
        <f t="shared" si="120"/>
        <v>7.5412037008775474</v>
      </c>
      <c r="U535" s="22">
        <f t="shared" si="120"/>
        <v>7.5893835486535881</v>
      </c>
      <c r="V535" s="22">
        <f t="shared" si="120"/>
        <v>7.6359963129382633</v>
      </c>
      <c r="W535" s="22">
        <f t="shared" si="120"/>
        <v>7.7130826135102524</v>
      </c>
      <c r="X535" s="22">
        <f t="shared" si="120"/>
        <v>7.7876283388349208</v>
      </c>
      <c r="Y535" s="22">
        <f t="shared" si="120"/>
        <v>7.8658901607930707</v>
      </c>
      <c r="Z535" s="22">
        <f t="shared" si="120"/>
        <v>7.9340239985520107</v>
      </c>
      <c r="AA535" s="22">
        <f t="shared" si="120"/>
        <v>8.0115695450499249</v>
      </c>
      <c r="AB535" s="22">
        <f t="shared" si="120"/>
        <v>8.072251562571461</v>
      </c>
      <c r="AC535" s="22">
        <f t="shared" si="120"/>
        <v>8.1345985927252418</v>
      </c>
      <c r="AD535" s="22">
        <f t="shared" si="120"/>
        <v>8.1636375589569159</v>
      </c>
      <c r="AE535" s="22">
        <f t="shared" si="120"/>
        <v>8.2034558732979743</v>
      </c>
      <c r="AF535" s="22">
        <f t="shared" si="120"/>
        <v>8.2431205142232233</v>
      </c>
      <c r="AG535" s="22">
        <f t="shared" si="120"/>
        <v>8.0683004783395891</v>
      </c>
      <c r="AH535" s="22">
        <f t="shared" si="120"/>
        <v>-1.9032004847149069</v>
      </c>
      <c r="AI535" s="22">
        <f t="shared" si="120"/>
        <v>-1.8590528527726964</v>
      </c>
      <c r="AJ535" s="22">
        <f t="shared" si="120"/>
        <v>-1.8156073067233001</v>
      </c>
      <c r="AK535" s="22">
        <f t="shared" si="120"/>
        <v>-1.7728270750669619</v>
      </c>
      <c r="AL535" s="22">
        <f t="shared" si="120"/>
        <v>-1.7306779285376968</v>
      </c>
      <c r="AM535" s="22">
        <f t="shared" si="120"/>
        <v>-1.689127944529268</v>
      </c>
      <c r="AN535" s="22">
        <f t="shared" si="120"/>
        <v>-1.6554403065258587</v>
      </c>
      <c r="AO535" s="22">
        <f t="shared" si="120"/>
        <v>-1.6222614796062582</v>
      </c>
      <c r="AP535" s="22">
        <f t="shared" si="120"/>
        <v>-1.589568406974545</v>
      </c>
      <c r="AQ535" s="22">
        <f t="shared" si="120"/>
        <v>-1.5573394658484478</v>
      </c>
      <c r="AR535" s="22">
        <f t="shared" si="120"/>
        <v>-1.5255543485559264</v>
      </c>
      <c r="AS535" s="22">
        <f t="shared" si="120"/>
        <v>-1.4931784519339129</v>
      </c>
      <c r="AT535" s="22">
        <f t="shared" si="120"/>
        <v>-1.4612477651793758</v>
      </c>
      <c r="AU535" s="22">
        <f t="shared" si="120"/>
        <v>-1.429744774427969</v>
      </c>
      <c r="AV535" s="22">
        <f t="shared" si="120"/>
        <v>-1.3986529497999127</v>
      </c>
      <c r="AW535" s="22">
        <f t="shared" si="120"/>
        <v>-1.3679566718696037</v>
      </c>
      <c r="AY535" s="85"/>
    </row>
    <row r="536" spans="1:51" x14ac:dyDescent="0.25">
      <c r="A536" s="102" t="str">
        <f t="shared" si="108"/>
        <v>PQ U&amp;D</v>
      </c>
      <c r="B536" s="102" t="s">
        <v>969</v>
      </c>
      <c r="C536" s="102" t="s">
        <v>1337</v>
      </c>
      <c r="D536" t="s">
        <v>369</v>
      </c>
      <c r="E536" t="s">
        <v>55</v>
      </c>
      <c r="F536" t="s">
        <v>422</v>
      </c>
      <c r="G536" t="s">
        <v>1163</v>
      </c>
      <c r="H536" t="s">
        <v>1246</v>
      </c>
      <c r="I536" t="s">
        <v>139</v>
      </c>
      <c r="J536" t="s">
        <v>287</v>
      </c>
      <c r="K536" s="22">
        <f t="shared" si="117"/>
        <v>0</v>
      </c>
      <c r="L536" s="22">
        <f t="shared" si="120"/>
        <v>0</v>
      </c>
      <c r="M536" s="22">
        <f t="shared" si="120"/>
        <v>0</v>
      </c>
      <c r="N536" s="22">
        <f t="shared" si="120"/>
        <v>0</v>
      </c>
      <c r="O536" s="22">
        <f t="shared" si="120"/>
        <v>0</v>
      </c>
      <c r="P536" s="22">
        <f t="shared" si="120"/>
        <v>0</v>
      </c>
      <c r="Q536" s="22">
        <f t="shared" si="120"/>
        <v>0</v>
      </c>
      <c r="R536" s="22">
        <f t="shared" si="120"/>
        <v>0</v>
      </c>
      <c r="S536" s="22">
        <f t="shared" si="120"/>
        <v>0</v>
      </c>
      <c r="T536" s="22">
        <f t="shared" si="120"/>
        <v>0</v>
      </c>
      <c r="U536" s="22">
        <f t="shared" si="120"/>
        <v>0</v>
      </c>
      <c r="V536" s="22">
        <f t="shared" si="120"/>
        <v>0</v>
      </c>
      <c r="W536" s="22">
        <f t="shared" si="120"/>
        <v>0</v>
      </c>
      <c r="X536" s="22">
        <f t="shared" si="120"/>
        <v>0</v>
      </c>
      <c r="Y536" s="22">
        <f t="shared" si="120"/>
        <v>0</v>
      </c>
      <c r="Z536" s="22">
        <f t="shared" si="120"/>
        <v>0</v>
      </c>
      <c r="AA536" s="22">
        <f t="shared" si="120"/>
        <v>0</v>
      </c>
      <c r="AB536" s="22">
        <f t="shared" si="120"/>
        <v>0</v>
      </c>
      <c r="AC536" s="22">
        <f t="shared" si="120"/>
        <v>0</v>
      </c>
      <c r="AD536" s="22">
        <f t="shared" si="120"/>
        <v>0</v>
      </c>
      <c r="AE536" s="22">
        <f t="shared" si="120"/>
        <v>0</v>
      </c>
      <c r="AF536" s="22">
        <f t="shared" si="120"/>
        <v>0</v>
      </c>
      <c r="AG536" s="22">
        <f t="shared" si="120"/>
        <v>0</v>
      </c>
      <c r="AH536" s="22">
        <f t="shared" si="120"/>
        <v>0</v>
      </c>
      <c r="AI536" s="22">
        <f t="shared" si="120"/>
        <v>0</v>
      </c>
      <c r="AJ536" s="22">
        <f t="shared" si="120"/>
        <v>0</v>
      </c>
      <c r="AK536" s="22">
        <f t="shared" si="120"/>
        <v>0</v>
      </c>
      <c r="AL536" s="22">
        <f t="shared" si="120"/>
        <v>0</v>
      </c>
      <c r="AM536" s="22">
        <f t="shared" si="120"/>
        <v>0</v>
      </c>
      <c r="AN536" s="22">
        <f t="shared" si="120"/>
        <v>0</v>
      </c>
      <c r="AO536" s="22">
        <f t="shared" si="120"/>
        <v>0</v>
      </c>
      <c r="AP536" s="22">
        <f t="shared" si="120"/>
        <v>0</v>
      </c>
      <c r="AQ536" s="22">
        <f t="shared" si="120"/>
        <v>0</v>
      </c>
      <c r="AR536" s="22">
        <f t="shared" si="120"/>
        <v>0</v>
      </c>
      <c r="AS536" s="22">
        <f t="shared" si="120"/>
        <v>0</v>
      </c>
      <c r="AT536" s="22">
        <f t="shared" si="120"/>
        <v>0</v>
      </c>
      <c r="AU536" s="22">
        <f t="shared" si="120"/>
        <v>0</v>
      </c>
      <c r="AV536" s="22">
        <f t="shared" si="120"/>
        <v>0</v>
      </c>
      <c r="AW536" s="22">
        <f t="shared" si="120"/>
        <v>0</v>
      </c>
      <c r="AY536" s="85"/>
    </row>
    <row r="537" spans="1:51" x14ac:dyDescent="0.25">
      <c r="A537" s="102" t="str">
        <f t="shared" si="108"/>
        <v>PQ U&amp;D</v>
      </c>
      <c r="B537" s="102" t="s">
        <v>969</v>
      </c>
      <c r="C537" s="102" t="s">
        <v>1337</v>
      </c>
      <c r="D537" t="s">
        <v>369</v>
      </c>
      <c r="E537" t="s">
        <v>55</v>
      </c>
      <c r="F537" t="s">
        <v>422</v>
      </c>
      <c r="G537" t="s">
        <v>1165</v>
      </c>
      <c r="H537" t="s">
        <v>1247</v>
      </c>
      <c r="I537" t="s">
        <v>139</v>
      </c>
      <c r="J537" t="s">
        <v>287</v>
      </c>
      <c r="K537" s="22">
        <f t="shared" si="117"/>
        <v>5.8007004881973501</v>
      </c>
      <c r="L537" s="22">
        <f t="shared" si="120"/>
        <v>5.8038682011318086</v>
      </c>
      <c r="M537" s="22">
        <f t="shared" si="120"/>
        <v>5.8109613188893956</v>
      </c>
      <c r="N537" s="22">
        <f t="shared" si="120"/>
        <v>5.8216379502269948</v>
      </c>
      <c r="O537" s="22">
        <f t="shared" si="120"/>
        <v>5.8360409400543007</v>
      </c>
      <c r="P537" s="22">
        <f t="shared" si="120"/>
        <v>5.8541855713392259</v>
      </c>
      <c r="Q537" s="22">
        <f t="shared" si="120"/>
        <v>5.8743979550370415</v>
      </c>
      <c r="R537" s="22">
        <f t="shared" si="120"/>
        <v>5.8963035789612563</v>
      </c>
      <c r="S537" s="22">
        <f t="shared" si="120"/>
        <v>5.9168885563672573</v>
      </c>
      <c r="T537" s="22">
        <f t="shared" si="120"/>
        <v>5.9254873000442174</v>
      </c>
      <c r="U537" s="22">
        <f t="shared" si="120"/>
        <v>5.9354650911079814</v>
      </c>
      <c r="V537" s="22">
        <f t="shared" si="120"/>
        <v>5.9468198836780894</v>
      </c>
      <c r="W537" s="22">
        <f t="shared" si="120"/>
        <v>5.9596105082694644</v>
      </c>
      <c r="X537" s="22">
        <f t="shared" si="120"/>
        <v>5.9736319121523582</v>
      </c>
      <c r="Y537" s="22">
        <f t="shared" si="120"/>
        <v>5.9822631555642722</v>
      </c>
      <c r="Z537" s="22">
        <f t="shared" si="120"/>
        <v>5.9919044326673472</v>
      </c>
      <c r="AA537" s="22">
        <f t="shared" si="120"/>
        <v>6.0025907311296489</v>
      </c>
      <c r="AB537" s="22">
        <f t="shared" si="120"/>
        <v>6.0141578623127154</v>
      </c>
      <c r="AC537" s="22">
        <f t="shared" si="120"/>
        <v>6.0266471855560004</v>
      </c>
      <c r="AD537" s="22">
        <f t="shared" si="120"/>
        <v>6.0348691397671148</v>
      </c>
      <c r="AE537" s="22">
        <f t="shared" si="120"/>
        <v>6.0439559167579606</v>
      </c>
      <c r="AF537" s="22">
        <f t="shared" si="120"/>
        <v>6.0538257946059888</v>
      </c>
      <c r="AG537" s="22">
        <f t="shared" si="120"/>
        <v>6.0633613554169949</v>
      </c>
      <c r="AH537" s="22">
        <f t="shared" si="120"/>
        <v>6.0225939777620399</v>
      </c>
      <c r="AI537" s="22">
        <f t="shared" si="120"/>
        <v>6.0283835899852134</v>
      </c>
      <c r="AJ537" s="22">
        <f t="shared" si="120"/>
        <v>6.0347724557516536</v>
      </c>
      <c r="AK537" s="22">
        <f t="shared" si="120"/>
        <v>6.0417379357652736</v>
      </c>
      <c r="AL537" s="22">
        <f t="shared" si="120"/>
        <v>6.0492591406066394</v>
      </c>
      <c r="AM537" s="22">
        <f t="shared" si="120"/>
        <v>6.0573167646829393</v>
      </c>
      <c r="AN537" s="22">
        <f t="shared" si="120"/>
        <v>6.061227136954745</v>
      </c>
      <c r="AO537" s="22">
        <f t="shared" si="120"/>
        <v>6.0656101287298938</v>
      </c>
      <c r="AP537" s="22">
        <f t="shared" si="120"/>
        <v>6.0704492917353319</v>
      </c>
      <c r="AQ537" s="22">
        <f t="shared" si="120"/>
        <v>6.0757293034784778</v>
      </c>
      <c r="AR537" s="22">
        <f t="shared" si="120"/>
        <v>6.0814358716066721</v>
      </c>
      <c r="AS537" s="22">
        <f t="shared" si="120"/>
        <v>6.082843612547955</v>
      </c>
      <c r="AT537" s="22">
        <f t="shared" si="120"/>
        <v>6.0846299220859592</v>
      </c>
      <c r="AU537" s="22">
        <f t="shared" si="120"/>
        <v>6.0867822620358538</v>
      </c>
      <c r="AV537" s="22">
        <f t="shared" si="120"/>
        <v>6.0892888598488994</v>
      </c>
      <c r="AW537" s="22">
        <f t="shared" si="120"/>
        <v>6.092138649733787</v>
      </c>
      <c r="AY537" s="85"/>
    </row>
    <row r="538" spans="1:51" x14ac:dyDescent="0.25">
      <c r="A538" s="102" t="str">
        <f t="shared" si="108"/>
        <v>PQ U&amp;D</v>
      </c>
      <c r="B538" s="102" t="s">
        <v>969</v>
      </c>
      <c r="C538" s="102" t="s">
        <v>1337</v>
      </c>
      <c r="D538" t="s">
        <v>369</v>
      </c>
      <c r="E538" t="s">
        <v>55</v>
      </c>
      <c r="F538" t="s">
        <v>422</v>
      </c>
      <c r="G538" t="s">
        <v>1167</v>
      </c>
      <c r="H538" t="s">
        <v>1248</v>
      </c>
      <c r="I538" t="s">
        <v>139</v>
      </c>
      <c r="J538" t="s">
        <v>287</v>
      </c>
      <c r="K538" s="22">
        <f t="shared" si="117"/>
        <v>0.64752945126978523</v>
      </c>
      <c r="L538" s="22">
        <f t="shared" si="120"/>
        <v>0.64788306156605957</v>
      </c>
      <c r="M538" s="22">
        <f t="shared" si="120"/>
        <v>0.64867486294568755</v>
      </c>
      <c r="N538" s="22">
        <f t="shared" si="120"/>
        <v>0.64986669025094335</v>
      </c>
      <c r="O538" s="22">
        <f t="shared" si="120"/>
        <v>0.65147448919151907</v>
      </c>
      <c r="P538" s="22">
        <f t="shared" si="120"/>
        <v>0.65349996579789205</v>
      </c>
      <c r="Q538" s="22">
        <f t="shared" si="120"/>
        <v>0.65575626462789216</v>
      </c>
      <c r="R538" s="22">
        <f t="shared" si="120"/>
        <v>0.65820157906331789</v>
      </c>
      <c r="S538" s="22">
        <f t="shared" si="120"/>
        <v>0.66049947035269418</v>
      </c>
      <c r="T538" s="22">
        <f t="shared" si="120"/>
        <v>0.66145934404141127</v>
      </c>
      <c r="U538" s="22">
        <f t="shared" si="120"/>
        <v>0.66257316013751044</v>
      </c>
      <c r="V538" s="22">
        <f t="shared" si="120"/>
        <v>0.66384069026032311</v>
      </c>
      <c r="W538" s="22">
        <f t="shared" si="120"/>
        <v>0.66526850163239837</v>
      </c>
      <c r="X538" s="22">
        <f t="shared" si="120"/>
        <v>0.66683370431452194</v>
      </c>
      <c r="Y538" s="22">
        <f t="shared" si="120"/>
        <v>0.66779720593327729</v>
      </c>
      <c r="Z538" s="22">
        <f t="shared" si="120"/>
        <v>0.66887345713514434</v>
      </c>
      <c r="AA538" s="22">
        <f t="shared" si="120"/>
        <v>0.6700663635769577</v>
      </c>
      <c r="AB538" s="22">
        <f t="shared" si="120"/>
        <v>0.67135759695868036</v>
      </c>
      <c r="AC538" s="22">
        <f t="shared" si="120"/>
        <v>0.67275177420381005</v>
      </c>
      <c r="AD538" s="22">
        <f t="shared" si="120"/>
        <v>0.67366958706270863</v>
      </c>
      <c r="AE538" s="22">
        <f t="shared" si="120"/>
        <v>0.67468393967937379</v>
      </c>
      <c r="AF538" s="22">
        <f t="shared" si="120"/>
        <v>0.67578570947425243</v>
      </c>
      <c r="AG538" s="22">
        <f t="shared" si="120"/>
        <v>0.6768501596164489</v>
      </c>
      <c r="AH538" s="22">
        <f t="shared" si="120"/>
        <v>0.6722993165352843</v>
      </c>
      <c r="AI538" s="22">
        <f t="shared" si="120"/>
        <v>0.67294560820877491</v>
      </c>
      <c r="AJ538" s="22">
        <f t="shared" si="120"/>
        <v>0.67365879427180253</v>
      </c>
      <c r="AK538" s="22">
        <f t="shared" si="120"/>
        <v>0.674436347510455</v>
      </c>
      <c r="AL538" s="22">
        <f t="shared" si="120"/>
        <v>0.67527593604872327</v>
      </c>
      <c r="AM538" s="22">
        <f t="shared" si="120"/>
        <v>0.67617540481241489</v>
      </c>
      <c r="AN538" s="22">
        <f t="shared" si="120"/>
        <v>0.67661191781917585</v>
      </c>
      <c r="AO538" s="22">
        <f t="shared" si="120"/>
        <v>0.67710118911750539</v>
      </c>
      <c r="AP538" s="22">
        <f t="shared" si="120"/>
        <v>0.67764138259446438</v>
      </c>
      <c r="AQ538" s="22">
        <f t="shared" si="120"/>
        <v>0.6782307878074546</v>
      </c>
      <c r="AR538" s="22">
        <f t="shared" si="120"/>
        <v>0.67886780930790958</v>
      </c>
      <c r="AS538" s="22">
        <f t="shared" si="120"/>
        <v>0.67902495476320335</v>
      </c>
      <c r="AT538" s="22">
        <f t="shared" si="120"/>
        <v>0.67922435965185335</v>
      </c>
      <c r="AU538" s="22">
        <f t="shared" si="120"/>
        <v>0.67946462434221933</v>
      </c>
      <c r="AV538" s="22">
        <f t="shared" si="120"/>
        <v>0.67974443467025414</v>
      </c>
      <c r="AW538" s="22">
        <f t="shared" si="120"/>
        <v>0.68006255536690974</v>
      </c>
      <c r="AY538" s="85"/>
    </row>
    <row r="539" spans="1:51" x14ac:dyDescent="0.25">
      <c r="A539" s="102" t="str">
        <f t="shared" si="108"/>
        <v>PQ U&amp;D</v>
      </c>
      <c r="B539" s="102" t="s">
        <v>969</v>
      </c>
      <c r="C539" s="102" t="s">
        <v>1337</v>
      </c>
      <c r="D539" t="s">
        <v>369</v>
      </c>
      <c r="E539" t="s">
        <v>55</v>
      </c>
      <c r="F539" t="s">
        <v>422</v>
      </c>
      <c r="G539" t="s">
        <v>1169</v>
      </c>
      <c r="H539" t="s">
        <v>1249</v>
      </c>
      <c r="I539" t="s">
        <v>139</v>
      </c>
      <c r="J539" t="s">
        <v>287</v>
      </c>
      <c r="K539" s="22">
        <f t="shared" si="117"/>
        <v>0.71703962515202246</v>
      </c>
      <c r="L539" s="22">
        <f t="shared" si="120"/>
        <v>0.71890983434251277</v>
      </c>
      <c r="M539" s="22">
        <f t="shared" si="120"/>
        <v>0.72140205375439892</v>
      </c>
      <c r="N539" s="22">
        <f t="shared" si="120"/>
        <v>0.72446087645337953</v>
      </c>
      <c r="O539" s="22">
        <f t="shared" si="120"/>
        <v>0.72812305944589495</v>
      </c>
      <c r="P539" s="22">
        <f t="shared" si="120"/>
        <v>0.73239834824766725</v>
      </c>
      <c r="Q539" s="22">
        <f t="shared" si="120"/>
        <v>0.73696942015050981</v>
      </c>
      <c r="R539" s="22">
        <f t="shared" si="120"/>
        <v>0.74177091257362759</v>
      </c>
      <c r="S539" s="22">
        <f t="shared" si="120"/>
        <v>0.74623128814082973</v>
      </c>
      <c r="T539" s="22">
        <f t="shared" si="120"/>
        <v>0.74832155602397465</v>
      </c>
      <c r="U539" s="22">
        <f t="shared" ref="L539:AW545" si="121">U1490</f>
        <v>0.75061365062436147</v>
      </c>
      <c r="V539" s="22">
        <f t="shared" si="121"/>
        <v>0.75311048066791608</v>
      </c>
      <c r="W539" s="22">
        <f t="shared" si="121"/>
        <v>0.75582597980024202</v>
      </c>
      <c r="X539" s="22">
        <f t="shared" si="121"/>
        <v>0.758723586950243</v>
      </c>
      <c r="Y539" s="22">
        <f t="shared" si="121"/>
        <v>0.76055515001802498</v>
      </c>
      <c r="Z539" s="22">
        <f t="shared" si="121"/>
        <v>0.76253680812015046</v>
      </c>
      <c r="AA539" s="22">
        <f t="shared" si="121"/>
        <v>0.7646767595046402</v>
      </c>
      <c r="AB539" s="22">
        <f t="shared" si="121"/>
        <v>0.76694554342614063</v>
      </c>
      <c r="AC539" s="22">
        <f t="shared" si="121"/>
        <v>0.76935223527037744</v>
      </c>
      <c r="AD539" s="22">
        <f t="shared" si="121"/>
        <v>0.7709284586249765</v>
      </c>
      <c r="AE539" s="22">
        <f t="shared" si="121"/>
        <v>0.77263788414937862</v>
      </c>
      <c r="AF539" s="22">
        <f t="shared" si="121"/>
        <v>0.77446606053450517</v>
      </c>
      <c r="AG539" s="22">
        <f t="shared" si="121"/>
        <v>0.7762062172722024</v>
      </c>
      <c r="AH539" s="22">
        <f t="shared" si="121"/>
        <v>0.76859920994116682</v>
      </c>
      <c r="AI539" s="22">
        <f t="shared" si="121"/>
        <v>0.76961702960226952</v>
      </c>
      <c r="AJ539" s="22">
        <f t="shared" si="121"/>
        <v>0.77072611211000452</v>
      </c>
      <c r="AK539" s="22">
        <f t="shared" si="121"/>
        <v>0.7719227512042488</v>
      </c>
      <c r="AL539" s="22">
        <f t="shared" si="121"/>
        <v>0.77320352810315807</v>
      </c>
      <c r="AM539" s="22">
        <f t="shared" si="121"/>
        <v>0.77456528397766</v>
      </c>
      <c r="AN539" s="22">
        <f t="shared" si="121"/>
        <v>0.7751498155218971</v>
      </c>
      <c r="AO539" s="22">
        <f t="shared" si="121"/>
        <v>0.77580729833667095</v>
      </c>
      <c r="AP539" s="22">
        <f t="shared" si="121"/>
        <v>0.77653498216260275</v>
      </c>
      <c r="AQ539" s="22">
        <f t="shared" si="121"/>
        <v>0.77733030541457571</v>
      </c>
      <c r="AR539" s="22">
        <f t="shared" si="121"/>
        <v>0.77819087901746686</v>
      </c>
      <c r="AS539" s="22">
        <f t="shared" si="121"/>
        <v>0.77825802091956864</v>
      </c>
      <c r="AT539" s="22">
        <f t="shared" si="121"/>
        <v>0.77838487427420744</v>
      </c>
      <c r="AU539" s="22">
        <f t="shared" si="121"/>
        <v>0.77856929465999758</v>
      </c>
      <c r="AV539" s="22">
        <f t="shared" si="121"/>
        <v>0.77880926891307201</v>
      </c>
      <c r="AW539" s="22">
        <f t="shared" si="121"/>
        <v>0.77910290495826517</v>
      </c>
      <c r="AY539" s="85"/>
    </row>
    <row r="540" spans="1:51" x14ac:dyDescent="0.25">
      <c r="A540" s="102" t="str">
        <f t="shared" si="108"/>
        <v>PQ U&amp;D</v>
      </c>
      <c r="B540" s="102" t="s">
        <v>969</v>
      </c>
      <c r="C540" s="102" t="s">
        <v>1337</v>
      </c>
      <c r="D540" t="s">
        <v>369</v>
      </c>
      <c r="E540" t="s">
        <v>55</v>
      </c>
      <c r="F540" t="s">
        <v>422</v>
      </c>
      <c r="G540" t="s">
        <v>1171</v>
      </c>
      <c r="H540" t="s">
        <v>1250</v>
      </c>
      <c r="I540" t="s">
        <v>139</v>
      </c>
      <c r="J540" t="s">
        <v>287</v>
      </c>
      <c r="K540" s="22">
        <f t="shared" si="117"/>
        <v>1.1866860146705673</v>
      </c>
      <c r="L540" s="22">
        <f t="shared" si="121"/>
        <v>1.1897811728919734</v>
      </c>
      <c r="M540" s="22">
        <f t="shared" si="121"/>
        <v>1.1939057453951301</v>
      </c>
      <c r="N540" s="22">
        <f t="shared" si="121"/>
        <v>1.1989680348292291</v>
      </c>
      <c r="O540" s="22">
        <f t="shared" si="121"/>
        <v>1.2050288732932972</v>
      </c>
      <c r="P540" s="22">
        <f t="shared" si="121"/>
        <v>1.2121043894178982</v>
      </c>
      <c r="Q540" s="22">
        <f t="shared" si="121"/>
        <v>1.2196694205666394</v>
      </c>
      <c r="R540" s="22">
        <f t="shared" si="121"/>
        <v>1.2276157929959912</v>
      </c>
      <c r="S540" s="22">
        <f t="shared" si="121"/>
        <v>1.2349976239577805</v>
      </c>
      <c r="T540" s="22">
        <f t="shared" si="121"/>
        <v>1.2384569748455603</v>
      </c>
      <c r="U540" s="22">
        <f t="shared" si="121"/>
        <v>1.2422503448507454</v>
      </c>
      <c r="V540" s="22">
        <f t="shared" si="121"/>
        <v>1.2463825478556594</v>
      </c>
      <c r="W540" s="22">
        <f t="shared" si="121"/>
        <v>1.2508766437607468</v>
      </c>
      <c r="X540" s="22">
        <f t="shared" si="121"/>
        <v>1.2556721247359952</v>
      </c>
      <c r="Y540" s="22">
        <f t="shared" si="121"/>
        <v>1.2587033244093235</v>
      </c>
      <c r="Z540" s="22">
        <f t="shared" si="121"/>
        <v>1.2619829283156658</v>
      </c>
      <c r="AA540" s="22">
        <f t="shared" si="121"/>
        <v>1.2655245043889694</v>
      </c>
      <c r="AB540" s="22">
        <f t="shared" si="121"/>
        <v>1.2692792956940984</v>
      </c>
      <c r="AC540" s="22">
        <f t="shared" si="121"/>
        <v>1.2732623218100843</v>
      </c>
      <c r="AD540" s="22">
        <f t="shared" si="121"/>
        <v>1.2758709394447143</v>
      </c>
      <c r="AE540" s="22">
        <f t="shared" si="121"/>
        <v>1.2787000039646823</v>
      </c>
      <c r="AF540" s="22">
        <f t="shared" si="121"/>
        <v>1.2817255987470082</v>
      </c>
      <c r="AG540" s="22">
        <f t="shared" si="121"/>
        <v>1.2846055228007487</v>
      </c>
      <c r="AH540" s="22">
        <f t="shared" si="121"/>
        <v>1.2720160801861611</v>
      </c>
      <c r="AI540" s="22">
        <f t="shared" si="121"/>
        <v>1.2737005510506982</v>
      </c>
      <c r="AJ540" s="22">
        <f t="shared" si="121"/>
        <v>1.2755360600726242</v>
      </c>
      <c r="AK540" s="22">
        <f t="shared" si="121"/>
        <v>1.2775164734667195</v>
      </c>
      <c r="AL540" s="22">
        <f t="shared" si="121"/>
        <v>1.2796361332184747</v>
      </c>
      <c r="AM540" s="22">
        <f t="shared" si="121"/>
        <v>1.2818898115299409</v>
      </c>
      <c r="AN540" s="22">
        <f t="shared" si="121"/>
        <v>1.2828571993622844</v>
      </c>
      <c r="AO540" s="22">
        <f t="shared" si="121"/>
        <v>1.283945320065534</v>
      </c>
      <c r="AP540" s="22">
        <f t="shared" si="121"/>
        <v>1.2851496220162837</v>
      </c>
      <c r="AQ540" s="22">
        <f t="shared" si="121"/>
        <v>1.2864658658431971</v>
      </c>
      <c r="AR540" s="22">
        <f t="shared" si="121"/>
        <v>1.2878900976754739</v>
      </c>
      <c r="AS540" s="22">
        <f t="shared" si="121"/>
        <v>1.2880012161596242</v>
      </c>
      <c r="AT540" s="22">
        <f t="shared" si="121"/>
        <v>1.288211155884827</v>
      </c>
      <c r="AU540" s="22">
        <f t="shared" si="121"/>
        <v>1.2885163678772478</v>
      </c>
      <c r="AV540" s="22">
        <f t="shared" si="121"/>
        <v>1.2889135203915794</v>
      </c>
      <c r="AW540" s="22">
        <f t="shared" si="121"/>
        <v>1.2893994820818555</v>
      </c>
      <c r="AY540" s="85"/>
    </row>
    <row r="541" spans="1:51" x14ac:dyDescent="0.25">
      <c r="A541" s="102" t="str">
        <f t="shared" si="108"/>
        <v>PQ U&amp;D</v>
      </c>
      <c r="B541" s="102" t="s">
        <v>969</v>
      </c>
      <c r="C541" s="102" t="s">
        <v>1337</v>
      </c>
      <c r="D541" t="s">
        <v>369</v>
      </c>
      <c r="E541" t="s">
        <v>55</v>
      </c>
      <c r="F541" t="s">
        <v>422</v>
      </c>
      <c r="G541" t="s">
        <v>1173</v>
      </c>
      <c r="H541" t="s">
        <v>1251</v>
      </c>
      <c r="I541" t="s">
        <v>139</v>
      </c>
      <c r="J541" t="s">
        <v>287</v>
      </c>
      <c r="K541" s="22">
        <f t="shared" si="117"/>
        <v>0.19206426868977441</v>
      </c>
      <c r="L541" s="22">
        <f t="shared" si="121"/>
        <v>0.19318987586932423</v>
      </c>
      <c r="M541" s="22">
        <f t="shared" si="121"/>
        <v>0.19346719628053802</v>
      </c>
      <c r="N541" s="22">
        <f t="shared" si="121"/>
        <v>0.19261999020243609</v>
      </c>
      <c r="O541" s="22">
        <f t="shared" si="121"/>
        <v>0.19172365370541722</v>
      </c>
      <c r="P541" s="22">
        <f t="shared" si="121"/>
        <v>0.19129719629214276</v>
      </c>
      <c r="Q541" s="22">
        <f t="shared" si="121"/>
        <v>0.19101276819466945</v>
      </c>
      <c r="R541" s="22">
        <f t="shared" si="121"/>
        <v>0.18964082845337171</v>
      </c>
      <c r="S541" s="22">
        <f t="shared" si="121"/>
        <v>0.17855585025741377</v>
      </c>
      <c r="T541" s="22">
        <f t="shared" si="121"/>
        <v>0.1801256476686891</v>
      </c>
      <c r="U541" s="22">
        <f t="shared" si="121"/>
        <v>0.18141112915440744</v>
      </c>
      <c r="V541" s="22">
        <f t="shared" si="121"/>
        <v>0.18267062412414889</v>
      </c>
      <c r="W541" s="22">
        <f t="shared" si="121"/>
        <v>0.18430349788289624</v>
      </c>
      <c r="X541" s="22">
        <f t="shared" si="121"/>
        <v>0.18590650598729025</v>
      </c>
      <c r="Y541" s="22">
        <f t="shared" si="121"/>
        <v>0.18774289622011922</v>
      </c>
      <c r="Z541" s="22">
        <f t="shared" si="121"/>
        <v>0.18945974795510873</v>
      </c>
      <c r="AA541" s="22">
        <f t="shared" si="121"/>
        <v>0.19130656367707333</v>
      </c>
      <c r="AB541" s="22">
        <f t="shared" si="121"/>
        <v>0.1929453281809925</v>
      </c>
      <c r="AC541" s="22">
        <f t="shared" si="121"/>
        <v>0.19461451886655767</v>
      </c>
      <c r="AD541" s="22">
        <f t="shared" si="121"/>
        <v>0.19692637066734073</v>
      </c>
      <c r="AE541" s="22">
        <f t="shared" si="121"/>
        <v>0.19944913652878843</v>
      </c>
      <c r="AF541" s="22">
        <f t="shared" si="121"/>
        <v>0.20204327521693932</v>
      </c>
      <c r="AG541" s="22">
        <f t="shared" si="121"/>
        <v>0.20167425591994353</v>
      </c>
      <c r="AH541" s="22">
        <f t="shared" si="121"/>
        <v>5.9672038121461136E-2</v>
      </c>
      <c r="AI541" s="22">
        <f t="shared" si="121"/>
        <v>5.9672038121461136E-2</v>
      </c>
      <c r="AJ541" s="22">
        <f t="shared" si="121"/>
        <v>5.9672038121461136E-2</v>
      </c>
      <c r="AK541" s="22">
        <f t="shared" si="121"/>
        <v>5.9672038121461136E-2</v>
      </c>
      <c r="AL541" s="22">
        <f t="shared" si="121"/>
        <v>5.9672038121461136E-2</v>
      </c>
      <c r="AM541" s="22">
        <f t="shared" si="121"/>
        <v>5.9672038121461136E-2</v>
      </c>
      <c r="AN541" s="22">
        <f t="shared" si="121"/>
        <v>5.9672038121461136E-2</v>
      </c>
      <c r="AO541" s="22">
        <f t="shared" si="121"/>
        <v>5.9672038121461136E-2</v>
      </c>
      <c r="AP541" s="22">
        <f t="shared" si="121"/>
        <v>5.9672038121461136E-2</v>
      </c>
      <c r="AQ541" s="22">
        <f t="shared" si="121"/>
        <v>5.9672038121461136E-2</v>
      </c>
      <c r="AR541" s="22">
        <f t="shared" si="121"/>
        <v>5.9672038121461136E-2</v>
      </c>
      <c r="AS541" s="22">
        <f t="shared" si="121"/>
        <v>5.9672038121461136E-2</v>
      </c>
      <c r="AT541" s="22">
        <f t="shared" si="121"/>
        <v>5.9672038121461136E-2</v>
      </c>
      <c r="AU541" s="22">
        <f t="shared" si="121"/>
        <v>5.9672038121461136E-2</v>
      </c>
      <c r="AV541" s="22">
        <f t="shared" si="121"/>
        <v>5.9672038121461136E-2</v>
      </c>
      <c r="AW541" s="22">
        <f t="shared" si="121"/>
        <v>5.9672038121461136E-2</v>
      </c>
      <c r="AY541" s="85"/>
    </row>
    <row r="542" spans="1:51" x14ac:dyDescent="0.25">
      <c r="A542" s="102" t="str">
        <f t="shared" si="108"/>
        <v>PQ U&amp;D</v>
      </c>
      <c r="B542" s="102" t="s">
        <v>969</v>
      </c>
      <c r="C542" s="102" t="s">
        <v>1337</v>
      </c>
      <c r="D542" t="s">
        <v>369</v>
      </c>
      <c r="E542" t="s">
        <v>55</v>
      </c>
      <c r="F542" t="s">
        <v>422</v>
      </c>
      <c r="G542" t="s">
        <v>1175</v>
      </c>
      <c r="H542" t="s">
        <v>1252</v>
      </c>
      <c r="I542" t="s">
        <v>139</v>
      </c>
      <c r="J542" t="s">
        <v>287</v>
      </c>
      <c r="K542" s="22">
        <f t="shared" si="117"/>
        <v>3.4640571428571423E-2</v>
      </c>
      <c r="L542" s="22">
        <f t="shared" si="121"/>
        <v>3.4640571428571423E-2</v>
      </c>
      <c r="M542" s="22">
        <f t="shared" si="121"/>
        <v>3.4640571428571423E-2</v>
      </c>
      <c r="N542" s="22">
        <f t="shared" si="121"/>
        <v>3.4640571428571423E-2</v>
      </c>
      <c r="O542" s="22">
        <f t="shared" si="121"/>
        <v>3.4640571428571423E-2</v>
      </c>
      <c r="P542" s="22">
        <f t="shared" si="121"/>
        <v>3.4640571428571423E-2</v>
      </c>
      <c r="Q542" s="22">
        <f t="shared" si="121"/>
        <v>3.4640571428571423E-2</v>
      </c>
      <c r="R542" s="22">
        <f t="shared" si="121"/>
        <v>3.4640571428571423E-2</v>
      </c>
      <c r="S542" s="22">
        <f t="shared" si="121"/>
        <v>3.4640571428571423E-2</v>
      </c>
      <c r="T542" s="22">
        <f t="shared" si="121"/>
        <v>3.4640571428571423E-2</v>
      </c>
      <c r="U542" s="22">
        <f t="shared" si="121"/>
        <v>3.4640571428571423E-2</v>
      </c>
      <c r="V542" s="22">
        <f t="shared" si="121"/>
        <v>3.4640571428571423E-2</v>
      </c>
      <c r="W542" s="22">
        <f t="shared" si="121"/>
        <v>3.4640571428571423E-2</v>
      </c>
      <c r="X542" s="22">
        <f t="shared" si="121"/>
        <v>3.4640571428571423E-2</v>
      </c>
      <c r="Y542" s="22">
        <f t="shared" si="121"/>
        <v>3.4640571428571423E-2</v>
      </c>
      <c r="Z542" s="22">
        <f t="shared" si="121"/>
        <v>3.4640571428571423E-2</v>
      </c>
      <c r="AA542" s="22">
        <f t="shared" si="121"/>
        <v>3.4640571428571423E-2</v>
      </c>
      <c r="AB542" s="22">
        <f t="shared" si="121"/>
        <v>3.4640571428571423E-2</v>
      </c>
      <c r="AC542" s="22">
        <f t="shared" si="121"/>
        <v>3.4640571428571423E-2</v>
      </c>
      <c r="AD542" s="22">
        <f t="shared" si="121"/>
        <v>3.4640571428571423E-2</v>
      </c>
      <c r="AE542" s="22">
        <f t="shared" si="121"/>
        <v>3.4640571428571423E-2</v>
      </c>
      <c r="AF542" s="22">
        <f t="shared" si="121"/>
        <v>3.4640571428571423E-2</v>
      </c>
      <c r="AG542" s="22">
        <f t="shared" si="121"/>
        <v>3.4640571428571423E-2</v>
      </c>
      <c r="AH542" s="22">
        <f t="shared" si="121"/>
        <v>3.4640571428571423E-2</v>
      </c>
      <c r="AI542" s="22">
        <f t="shared" si="121"/>
        <v>3.4640571428571423E-2</v>
      </c>
      <c r="AJ542" s="22">
        <f t="shared" si="121"/>
        <v>3.4640571428571423E-2</v>
      </c>
      <c r="AK542" s="22">
        <f t="shared" si="121"/>
        <v>3.4640571428571423E-2</v>
      </c>
      <c r="AL542" s="22">
        <f t="shared" si="121"/>
        <v>3.4640571428571423E-2</v>
      </c>
      <c r="AM542" s="22">
        <f t="shared" si="121"/>
        <v>3.4640571428571423E-2</v>
      </c>
      <c r="AN542" s="22">
        <f t="shared" si="121"/>
        <v>3.4640571428571423E-2</v>
      </c>
      <c r="AO542" s="22">
        <f t="shared" si="121"/>
        <v>3.4640571428571423E-2</v>
      </c>
      <c r="AP542" s="22">
        <f t="shared" si="121"/>
        <v>3.4640571428571423E-2</v>
      </c>
      <c r="AQ542" s="22">
        <f t="shared" si="121"/>
        <v>3.4640571428571423E-2</v>
      </c>
      <c r="AR542" s="22">
        <f t="shared" si="121"/>
        <v>3.4640571428571423E-2</v>
      </c>
      <c r="AS542" s="22">
        <f t="shared" si="121"/>
        <v>3.4640571428571423E-2</v>
      </c>
      <c r="AT542" s="22">
        <f t="shared" si="121"/>
        <v>3.4640571428571423E-2</v>
      </c>
      <c r="AU542" s="22">
        <f t="shared" si="121"/>
        <v>3.4640571428571423E-2</v>
      </c>
      <c r="AV542" s="22">
        <f t="shared" si="121"/>
        <v>3.4640571428571423E-2</v>
      </c>
      <c r="AW542" s="22">
        <f t="shared" si="121"/>
        <v>3.4640571428571423E-2</v>
      </c>
      <c r="AY542" s="85"/>
    </row>
    <row r="543" spans="1:51" x14ac:dyDescent="0.25">
      <c r="A543" s="102" t="str">
        <f t="shared" si="108"/>
        <v>PQ U&amp;D</v>
      </c>
      <c r="B543" s="102" t="s">
        <v>969</v>
      </c>
      <c r="C543" s="102" t="s">
        <v>1337</v>
      </c>
      <c r="D543" t="s">
        <v>369</v>
      </c>
      <c r="E543" t="s">
        <v>55</v>
      </c>
      <c r="F543" t="s">
        <v>422</v>
      </c>
      <c r="G543" t="s">
        <v>1177</v>
      </c>
      <c r="H543" t="s">
        <v>1253</v>
      </c>
      <c r="I543" t="s">
        <v>139</v>
      </c>
      <c r="J543" t="s">
        <v>287</v>
      </c>
      <c r="K543" s="22">
        <f t="shared" si="117"/>
        <v>0</v>
      </c>
      <c r="L543" s="22">
        <f t="shared" si="121"/>
        <v>0</v>
      </c>
      <c r="M543" s="22">
        <f t="shared" si="121"/>
        <v>0</v>
      </c>
      <c r="N543" s="22">
        <f t="shared" si="121"/>
        <v>0</v>
      </c>
      <c r="O543" s="22">
        <f t="shared" si="121"/>
        <v>0</v>
      </c>
      <c r="P543" s="22">
        <f t="shared" si="121"/>
        <v>0</v>
      </c>
      <c r="Q543" s="22">
        <f t="shared" si="121"/>
        <v>0</v>
      </c>
      <c r="R543" s="22">
        <f t="shared" si="121"/>
        <v>0</v>
      </c>
      <c r="S543" s="22">
        <f t="shared" si="121"/>
        <v>0</v>
      </c>
      <c r="T543" s="22">
        <f t="shared" si="121"/>
        <v>0</v>
      </c>
      <c r="U543" s="22">
        <f t="shared" si="121"/>
        <v>0</v>
      </c>
      <c r="V543" s="22">
        <f t="shared" si="121"/>
        <v>0</v>
      </c>
      <c r="W543" s="22">
        <f t="shared" si="121"/>
        <v>0</v>
      </c>
      <c r="X543" s="22">
        <f t="shared" si="121"/>
        <v>0</v>
      </c>
      <c r="Y543" s="22">
        <f t="shared" si="121"/>
        <v>0</v>
      </c>
      <c r="Z543" s="22">
        <f t="shared" si="121"/>
        <v>0</v>
      </c>
      <c r="AA543" s="22">
        <f t="shared" si="121"/>
        <v>0</v>
      </c>
      <c r="AB543" s="22">
        <f t="shared" si="121"/>
        <v>0</v>
      </c>
      <c r="AC543" s="22">
        <f t="shared" si="121"/>
        <v>0</v>
      </c>
      <c r="AD543" s="22">
        <f t="shared" si="121"/>
        <v>0</v>
      </c>
      <c r="AE543" s="22">
        <f t="shared" si="121"/>
        <v>0</v>
      </c>
      <c r="AF543" s="22">
        <f t="shared" si="121"/>
        <v>0</v>
      </c>
      <c r="AG543" s="22">
        <f t="shared" si="121"/>
        <v>0</v>
      </c>
      <c r="AH543" s="22">
        <f t="shared" si="121"/>
        <v>0</v>
      </c>
      <c r="AI543" s="22">
        <f t="shared" si="121"/>
        <v>0</v>
      </c>
      <c r="AJ543" s="22">
        <f t="shared" si="121"/>
        <v>0</v>
      </c>
      <c r="AK543" s="22">
        <f t="shared" si="121"/>
        <v>0</v>
      </c>
      <c r="AL543" s="22">
        <f t="shared" si="121"/>
        <v>0</v>
      </c>
      <c r="AM543" s="22">
        <f t="shared" si="121"/>
        <v>0</v>
      </c>
      <c r="AN543" s="22">
        <f t="shared" si="121"/>
        <v>0</v>
      </c>
      <c r="AO543" s="22">
        <f t="shared" si="121"/>
        <v>0</v>
      </c>
      <c r="AP543" s="22">
        <f t="shared" si="121"/>
        <v>0</v>
      </c>
      <c r="AQ543" s="22">
        <f t="shared" si="121"/>
        <v>0</v>
      </c>
      <c r="AR543" s="22">
        <f t="shared" si="121"/>
        <v>0</v>
      </c>
      <c r="AS543" s="22">
        <f t="shared" si="121"/>
        <v>0</v>
      </c>
      <c r="AT543" s="22">
        <f t="shared" si="121"/>
        <v>0</v>
      </c>
      <c r="AU543" s="22">
        <f t="shared" si="121"/>
        <v>0</v>
      </c>
      <c r="AV543" s="22">
        <f t="shared" si="121"/>
        <v>0</v>
      </c>
      <c r="AW543" s="22">
        <f t="shared" si="121"/>
        <v>0</v>
      </c>
      <c r="AY543" s="85"/>
    </row>
    <row r="544" spans="1:51" x14ac:dyDescent="0.25">
      <c r="A544" s="102" t="str">
        <f t="shared" si="108"/>
        <v>PQ U&amp;D</v>
      </c>
      <c r="B544" s="102" t="s">
        <v>969</v>
      </c>
      <c r="C544" s="102" t="s">
        <v>1337</v>
      </c>
      <c r="D544" t="s">
        <v>369</v>
      </c>
      <c r="E544" t="s">
        <v>55</v>
      </c>
      <c r="F544" t="s">
        <v>422</v>
      </c>
      <c r="G544" t="s">
        <v>1179</v>
      </c>
      <c r="H544" t="s">
        <v>1254</v>
      </c>
      <c r="I544" t="s">
        <v>139</v>
      </c>
      <c r="J544" t="s">
        <v>287</v>
      </c>
      <c r="K544" s="22">
        <f t="shared" si="117"/>
        <v>0</v>
      </c>
      <c r="L544" s="22">
        <f t="shared" si="121"/>
        <v>0</v>
      </c>
      <c r="M544" s="22">
        <f t="shared" si="121"/>
        <v>0</v>
      </c>
      <c r="N544" s="22">
        <f t="shared" si="121"/>
        <v>0</v>
      </c>
      <c r="O544" s="22">
        <f t="shared" si="121"/>
        <v>0</v>
      </c>
      <c r="P544" s="22">
        <f t="shared" si="121"/>
        <v>0</v>
      </c>
      <c r="Q544" s="22">
        <f t="shared" si="121"/>
        <v>0</v>
      </c>
      <c r="R544" s="22">
        <f t="shared" si="121"/>
        <v>0</v>
      </c>
      <c r="S544" s="22">
        <f t="shared" si="121"/>
        <v>0</v>
      </c>
      <c r="T544" s="22">
        <f t="shared" si="121"/>
        <v>0</v>
      </c>
      <c r="U544" s="22">
        <f t="shared" si="121"/>
        <v>0</v>
      </c>
      <c r="V544" s="22">
        <f t="shared" si="121"/>
        <v>0</v>
      </c>
      <c r="W544" s="22">
        <f t="shared" si="121"/>
        <v>0</v>
      </c>
      <c r="X544" s="22">
        <f t="shared" si="121"/>
        <v>0</v>
      </c>
      <c r="Y544" s="22">
        <f t="shared" si="121"/>
        <v>0</v>
      </c>
      <c r="Z544" s="22">
        <f t="shared" si="121"/>
        <v>0</v>
      </c>
      <c r="AA544" s="22">
        <f t="shared" si="121"/>
        <v>0</v>
      </c>
      <c r="AB544" s="22">
        <f t="shared" si="121"/>
        <v>0</v>
      </c>
      <c r="AC544" s="22">
        <f t="shared" si="121"/>
        <v>0</v>
      </c>
      <c r="AD544" s="22">
        <f t="shared" si="121"/>
        <v>0</v>
      </c>
      <c r="AE544" s="22">
        <f t="shared" si="121"/>
        <v>0</v>
      </c>
      <c r="AF544" s="22">
        <f t="shared" si="121"/>
        <v>0</v>
      </c>
      <c r="AG544" s="22">
        <f t="shared" si="121"/>
        <v>0</v>
      </c>
      <c r="AH544" s="22">
        <f t="shared" si="121"/>
        <v>0</v>
      </c>
      <c r="AI544" s="22">
        <f t="shared" si="121"/>
        <v>0</v>
      </c>
      <c r="AJ544" s="22">
        <f t="shared" si="121"/>
        <v>0</v>
      </c>
      <c r="AK544" s="22">
        <f t="shared" si="121"/>
        <v>0</v>
      </c>
      <c r="AL544" s="22">
        <f t="shared" si="121"/>
        <v>0</v>
      </c>
      <c r="AM544" s="22">
        <f t="shared" si="121"/>
        <v>0</v>
      </c>
      <c r="AN544" s="22">
        <f t="shared" si="121"/>
        <v>0</v>
      </c>
      <c r="AO544" s="22">
        <f t="shared" si="121"/>
        <v>0</v>
      </c>
      <c r="AP544" s="22">
        <f t="shared" si="121"/>
        <v>0</v>
      </c>
      <c r="AQ544" s="22">
        <f t="shared" si="121"/>
        <v>0</v>
      </c>
      <c r="AR544" s="22">
        <f t="shared" si="121"/>
        <v>0</v>
      </c>
      <c r="AS544" s="22">
        <f t="shared" si="121"/>
        <v>0</v>
      </c>
      <c r="AT544" s="22">
        <f t="shared" si="121"/>
        <v>0</v>
      </c>
      <c r="AU544" s="22">
        <f t="shared" si="121"/>
        <v>0</v>
      </c>
      <c r="AV544" s="22">
        <f t="shared" si="121"/>
        <v>0</v>
      </c>
      <c r="AW544" s="22">
        <f t="shared" si="121"/>
        <v>0</v>
      </c>
      <c r="AY544" s="85"/>
    </row>
    <row r="545" spans="1:51" x14ac:dyDescent="0.25">
      <c r="A545" s="102" t="str">
        <f t="shared" si="108"/>
        <v>PQ U&amp;D</v>
      </c>
      <c r="B545" s="102" t="s">
        <v>969</v>
      </c>
      <c r="C545" s="102" t="s">
        <v>1337</v>
      </c>
      <c r="D545" t="s">
        <v>369</v>
      </c>
      <c r="E545" t="s">
        <v>55</v>
      </c>
      <c r="F545" t="s">
        <v>422</v>
      </c>
      <c r="G545" t="s">
        <v>1181</v>
      </c>
      <c r="H545" t="s">
        <v>1255</v>
      </c>
      <c r="I545" t="s">
        <v>139</v>
      </c>
      <c r="J545" t="s">
        <v>287</v>
      </c>
      <c r="K545" s="22">
        <f t="shared" si="117"/>
        <v>0</v>
      </c>
      <c r="L545" s="22">
        <f t="shared" si="121"/>
        <v>0</v>
      </c>
      <c r="M545" s="22">
        <f t="shared" si="121"/>
        <v>0</v>
      </c>
      <c r="N545" s="22">
        <f t="shared" si="121"/>
        <v>0</v>
      </c>
      <c r="O545" s="22">
        <f t="shared" si="121"/>
        <v>0</v>
      </c>
      <c r="P545" s="22">
        <f t="shared" si="121"/>
        <v>0</v>
      </c>
      <c r="Q545" s="22">
        <f t="shared" si="121"/>
        <v>0</v>
      </c>
      <c r="R545" s="22">
        <f t="shared" si="121"/>
        <v>0</v>
      </c>
      <c r="S545" s="22">
        <f t="shared" si="121"/>
        <v>0</v>
      </c>
      <c r="T545" s="22">
        <f t="shared" si="121"/>
        <v>0</v>
      </c>
      <c r="U545" s="22">
        <f t="shared" si="121"/>
        <v>0</v>
      </c>
      <c r="V545" s="22">
        <f t="shared" si="121"/>
        <v>0</v>
      </c>
      <c r="W545" s="22">
        <f t="shared" si="121"/>
        <v>0</v>
      </c>
      <c r="X545" s="22">
        <f t="shared" si="121"/>
        <v>0</v>
      </c>
      <c r="Y545" s="22">
        <f t="shared" si="121"/>
        <v>0</v>
      </c>
      <c r="Z545" s="22">
        <f t="shared" si="121"/>
        <v>0</v>
      </c>
      <c r="AA545" s="22">
        <f t="shared" si="121"/>
        <v>0</v>
      </c>
      <c r="AB545" s="22">
        <f t="shared" si="121"/>
        <v>0</v>
      </c>
      <c r="AC545" s="22">
        <f t="shared" si="121"/>
        <v>0</v>
      </c>
      <c r="AD545" s="22">
        <f t="shared" si="121"/>
        <v>0</v>
      </c>
      <c r="AE545" s="22">
        <f t="shared" si="121"/>
        <v>0</v>
      </c>
      <c r="AF545" s="22">
        <f t="shared" si="121"/>
        <v>0</v>
      </c>
      <c r="AG545" s="22">
        <f t="shared" si="121"/>
        <v>0</v>
      </c>
      <c r="AH545" s="22">
        <f t="shared" si="121"/>
        <v>0</v>
      </c>
      <c r="AI545" s="22">
        <f t="shared" si="121"/>
        <v>0</v>
      </c>
      <c r="AJ545" s="22">
        <f t="shared" si="121"/>
        <v>0</v>
      </c>
      <c r="AK545" s="22">
        <f t="shared" si="121"/>
        <v>0</v>
      </c>
      <c r="AL545" s="22">
        <f t="shared" si="121"/>
        <v>0</v>
      </c>
      <c r="AM545" s="22">
        <f t="shared" si="121"/>
        <v>0</v>
      </c>
      <c r="AN545" s="22">
        <f t="shared" si="121"/>
        <v>0</v>
      </c>
      <c r="AO545" s="22">
        <f t="shared" si="121"/>
        <v>0</v>
      </c>
      <c r="AP545" s="22">
        <f t="shared" si="121"/>
        <v>0</v>
      </c>
      <c r="AQ545" s="22">
        <f t="shared" si="121"/>
        <v>0</v>
      </c>
      <c r="AR545" s="22">
        <f t="shared" si="121"/>
        <v>0</v>
      </c>
      <c r="AS545" s="22">
        <f t="shared" si="121"/>
        <v>0</v>
      </c>
      <c r="AT545" s="22">
        <f t="shared" si="121"/>
        <v>0</v>
      </c>
      <c r="AU545" s="22">
        <f t="shared" si="121"/>
        <v>0</v>
      </c>
      <c r="AV545" s="22">
        <f t="shared" ref="L545:AW552" si="122">AV1496</f>
        <v>0</v>
      </c>
      <c r="AW545" s="22">
        <f t="shared" si="122"/>
        <v>0</v>
      </c>
      <c r="AY545" s="85"/>
    </row>
    <row r="546" spans="1:51" x14ac:dyDescent="0.25">
      <c r="A546" s="102" t="str">
        <f t="shared" si="108"/>
        <v>PQ U&amp;D</v>
      </c>
      <c r="B546" s="102" t="s">
        <v>969</v>
      </c>
      <c r="C546" s="102" t="s">
        <v>1337</v>
      </c>
      <c r="D546" t="s">
        <v>369</v>
      </c>
      <c r="E546" t="s">
        <v>55</v>
      </c>
      <c r="F546" t="s">
        <v>422</v>
      </c>
      <c r="G546" t="s">
        <v>1183</v>
      </c>
      <c r="H546" t="s">
        <v>1256</v>
      </c>
      <c r="I546" t="s">
        <v>139</v>
      </c>
      <c r="J546" t="s">
        <v>287</v>
      </c>
      <c r="K546" s="22">
        <f t="shared" si="117"/>
        <v>0</v>
      </c>
      <c r="L546" s="22">
        <f t="shared" si="122"/>
        <v>0</v>
      </c>
      <c r="M546" s="22">
        <f t="shared" si="122"/>
        <v>0</v>
      </c>
      <c r="N546" s="22">
        <f t="shared" si="122"/>
        <v>0</v>
      </c>
      <c r="O546" s="22">
        <f t="shared" si="122"/>
        <v>0</v>
      </c>
      <c r="P546" s="22">
        <f t="shared" si="122"/>
        <v>0</v>
      </c>
      <c r="Q546" s="22">
        <f t="shared" si="122"/>
        <v>0</v>
      </c>
      <c r="R546" s="22">
        <f t="shared" si="122"/>
        <v>0</v>
      </c>
      <c r="S546" s="22">
        <f t="shared" si="122"/>
        <v>0</v>
      </c>
      <c r="T546" s="22">
        <f t="shared" si="122"/>
        <v>0</v>
      </c>
      <c r="U546" s="22">
        <f t="shared" si="122"/>
        <v>0</v>
      </c>
      <c r="V546" s="22">
        <f t="shared" si="122"/>
        <v>0</v>
      </c>
      <c r="W546" s="22">
        <f t="shared" si="122"/>
        <v>0</v>
      </c>
      <c r="X546" s="22">
        <f t="shared" si="122"/>
        <v>0</v>
      </c>
      <c r="Y546" s="22">
        <f t="shared" si="122"/>
        <v>0</v>
      </c>
      <c r="Z546" s="22">
        <f t="shared" si="122"/>
        <v>0</v>
      </c>
      <c r="AA546" s="22">
        <f t="shared" si="122"/>
        <v>0</v>
      </c>
      <c r="AB546" s="22">
        <f t="shared" si="122"/>
        <v>0</v>
      </c>
      <c r="AC546" s="22">
        <f t="shared" si="122"/>
        <v>0</v>
      </c>
      <c r="AD546" s="22">
        <f t="shared" si="122"/>
        <v>0</v>
      </c>
      <c r="AE546" s="22">
        <f t="shared" si="122"/>
        <v>0</v>
      </c>
      <c r="AF546" s="22">
        <f t="shared" si="122"/>
        <v>0</v>
      </c>
      <c r="AG546" s="22">
        <f t="shared" si="122"/>
        <v>0</v>
      </c>
      <c r="AH546" s="22">
        <f t="shared" si="122"/>
        <v>0</v>
      </c>
      <c r="AI546" s="22">
        <f t="shared" si="122"/>
        <v>0</v>
      </c>
      <c r="AJ546" s="22">
        <f t="shared" si="122"/>
        <v>0</v>
      </c>
      <c r="AK546" s="22">
        <f t="shared" si="122"/>
        <v>0</v>
      </c>
      <c r="AL546" s="22">
        <f t="shared" si="122"/>
        <v>0</v>
      </c>
      <c r="AM546" s="22">
        <f t="shared" si="122"/>
        <v>0</v>
      </c>
      <c r="AN546" s="22">
        <f t="shared" si="122"/>
        <v>0</v>
      </c>
      <c r="AO546" s="22">
        <f t="shared" si="122"/>
        <v>0</v>
      </c>
      <c r="AP546" s="22">
        <f t="shared" si="122"/>
        <v>0</v>
      </c>
      <c r="AQ546" s="22">
        <f t="shared" si="122"/>
        <v>0</v>
      </c>
      <c r="AR546" s="22">
        <f t="shared" si="122"/>
        <v>0</v>
      </c>
      <c r="AS546" s="22">
        <f t="shared" si="122"/>
        <v>0</v>
      </c>
      <c r="AT546" s="22">
        <f t="shared" si="122"/>
        <v>0</v>
      </c>
      <c r="AU546" s="22">
        <f t="shared" si="122"/>
        <v>0</v>
      </c>
      <c r="AV546" s="22">
        <f t="shared" si="122"/>
        <v>0</v>
      </c>
      <c r="AW546" s="22">
        <f t="shared" si="122"/>
        <v>0</v>
      </c>
      <c r="AY546" s="85"/>
    </row>
    <row r="547" spans="1:51" x14ac:dyDescent="0.25">
      <c r="A547" s="102" t="str">
        <f t="shared" si="108"/>
        <v>PQ FSOM</v>
      </c>
      <c r="B547" s="102" t="s">
        <v>969</v>
      </c>
      <c r="C547" s="102" t="s">
        <v>60</v>
      </c>
      <c r="D547" t="s">
        <v>369</v>
      </c>
      <c r="E547" t="s">
        <v>55</v>
      </c>
      <c r="F547" t="s">
        <v>60</v>
      </c>
      <c r="G547" t="s">
        <v>1267</v>
      </c>
      <c r="H547" t="s">
        <v>1268</v>
      </c>
      <c r="J547" t="s">
        <v>287</v>
      </c>
      <c r="K547" s="22" t="str">
        <f t="shared" si="117"/>
        <v>NO</v>
      </c>
      <c r="L547" s="22" t="str">
        <f t="shared" si="122"/>
        <v>NO</v>
      </c>
      <c r="M547" s="22" t="str">
        <f t="shared" si="122"/>
        <v>NO</v>
      </c>
      <c r="N547" s="22" t="str">
        <f t="shared" si="122"/>
        <v>NO</v>
      </c>
      <c r="O547" s="22" t="str">
        <f t="shared" si="122"/>
        <v>NO</v>
      </c>
      <c r="P547" s="22" t="str">
        <f t="shared" si="122"/>
        <v>NO</v>
      </c>
      <c r="Q547" s="22" t="str">
        <f t="shared" si="122"/>
        <v>NO</v>
      </c>
      <c r="R547" s="22" t="str">
        <f t="shared" si="122"/>
        <v>NO</v>
      </c>
      <c r="S547" s="22" t="str">
        <f t="shared" si="122"/>
        <v>NO</v>
      </c>
      <c r="T547" s="22" t="str">
        <f t="shared" si="122"/>
        <v>NO</v>
      </c>
      <c r="U547" s="22" t="str">
        <f t="shared" si="122"/>
        <v>NO</v>
      </c>
      <c r="V547" s="22" t="str">
        <f t="shared" si="122"/>
        <v>NO</v>
      </c>
      <c r="W547" s="22" t="str">
        <f t="shared" si="122"/>
        <v>NO</v>
      </c>
      <c r="X547" s="22" t="str">
        <f t="shared" si="122"/>
        <v>NO</v>
      </c>
      <c r="Y547" s="22" t="str">
        <f t="shared" si="122"/>
        <v>NO</v>
      </c>
      <c r="Z547" s="22" t="str">
        <f t="shared" si="122"/>
        <v>NO</v>
      </c>
      <c r="AA547" s="22" t="str">
        <f t="shared" si="122"/>
        <v>NO</v>
      </c>
      <c r="AB547" s="22" t="str">
        <f t="shared" si="122"/>
        <v>NO</v>
      </c>
      <c r="AC547" s="22" t="str">
        <f t="shared" si="122"/>
        <v>NO</v>
      </c>
      <c r="AD547" s="22" t="str">
        <f t="shared" si="122"/>
        <v>NO</v>
      </c>
      <c r="AE547" s="22" t="str">
        <f t="shared" si="122"/>
        <v>NO</v>
      </c>
      <c r="AF547" s="22" t="str">
        <f t="shared" si="122"/>
        <v>NO</v>
      </c>
      <c r="AG547" s="22" t="str">
        <f t="shared" si="122"/>
        <v>NO</v>
      </c>
      <c r="AH547" s="22" t="str">
        <f t="shared" si="122"/>
        <v>NO</v>
      </c>
      <c r="AI547" s="22" t="str">
        <f t="shared" si="122"/>
        <v>NO</v>
      </c>
      <c r="AJ547" s="22" t="str">
        <f t="shared" si="122"/>
        <v>NO</v>
      </c>
      <c r="AK547" s="22" t="str">
        <f t="shared" si="122"/>
        <v>NO</v>
      </c>
      <c r="AL547" s="22" t="str">
        <f t="shared" si="122"/>
        <v>NO</v>
      </c>
      <c r="AM547" s="22" t="str">
        <f t="shared" si="122"/>
        <v>NO</v>
      </c>
      <c r="AN547" s="22" t="str">
        <f t="shared" si="122"/>
        <v>NO</v>
      </c>
      <c r="AO547" s="22" t="str">
        <f t="shared" si="122"/>
        <v>NO</v>
      </c>
      <c r="AP547" s="22" t="str">
        <f t="shared" si="122"/>
        <v>NO</v>
      </c>
      <c r="AQ547" s="22" t="str">
        <f t="shared" si="122"/>
        <v>NO</v>
      </c>
      <c r="AR547" s="22" t="str">
        <f t="shared" si="122"/>
        <v>NO</v>
      </c>
      <c r="AS547" s="22" t="str">
        <f t="shared" si="122"/>
        <v>NO</v>
      </c>
      <c r="AT547" s="22" t="str">
        <f t="shared" si="122"/>
        <v>NO</v>
      </c>
      <c r="AU547" s="22" t="str">
        <f t="shared" si="122"/>
        <v>NO</v>
      </c>
      <c r="AV547" s="22" t="str">
        <f t="shared" si="122"/>
        <v>NO</v>
      </c>
      <c r="AW547" s="22" t="str">
        <f t="shared" si="122"/>
        <v>NO</v>
      </c>
      <c r="AY547" s="85"/>
    </row>
    <row r="548" spans="1:51" x14ac:dyDescent="0.25">
      <c r="A548" s="102" t="str">
        <f t="shared" si="108"/>
        <v>PQ FSOM</v>
      </c>
      <c r="B548" s="102" t="s">
        <v>969</v>
      </c>
      <c r="C548" s="102" t="s">
        <v>60</v>
      </c>
      <c r="D548" t="s">
        <v>369</v>
      </c>
      <c r="E548" t="s">
        <v>55</v>
      </c>
      <c r="F548" t="s">
        <v>60</v>
      </c>
      <c r="G548" t="s">
        <v>1269</v>
      </c>
      <c r="H548" t="s">
        <v>1270</v>
      </c>
      <c r="J548" t="s">
        <v>287</v>
      </c>
      <c r="K548" s="22" t="str">
        <f t="shared" si="117"/>
        <v>NO</v>
      </c>
      <c r="L548" s="22" t="str">
        <f t="shared" si="122"/>
        <v>NO</v>
      </c>
      <c r="M548" s="22" t="str">
        <f t="shared" si="122"/>
        <v>NO</v>
      </c>
      <c r="N548" s="22" t="str">
        <f t="shared" si="122"/>
        <v>NO</v>
      </c>
      <c r="O548" s="22" t="str">
        <f t="shared" si="122"/>
        <v>NO</v>
      </c>
      <c r="P548" s="22" t="str">
        <f t="shared" si="122"/>
        <v>NO</v>
      </c>
      <c r="Q548" s="22" t="str">
        <f t="shared" si="122"/>
        <v>NO</v>
      </c>
      <c r="R548" s="22" t="str">
        <f t="shared" si="122"/>
        <v>NO</v>
      </c>
      <c r="S548" s="22" t="str">
        <f t="shared" si="122"/>
        <v>NO</v>
      </c>
      <c r="T548" s="22" t="str">
        <f t="shared" si="122"/>
        <v>NO</v>
      </c>
      <c r="U548" s="22" t="str">
        <f t="shared" si="122"/>
        <v>NO</v>
      </c>
      <c r="V548" s="22" t="str">
        <f t="shared" si="122"/>
        <v>NO</v>
      </c>
      <c r="W548" s="22" t="str">
        <f t="shared" si="122"/>
        <v>NO</v>
      </c>
      <c r="X548" s="22" t="str">
        <f t="shared" si="122"/>
        <v>NO</v>
      </c>
      <c r="Y548" s="22" t="str">
        <f t="shared" si="122"/>
        <v>NO</v>
      </c>
      <c r="Z548" s="22" t="str">
        <f t="shared" si="122"/>
        <v>NO</v>
      </c>
      <c r="AA548" s="22" t="str">
        <f t="shared" si="122"/>
        <v>NO</v>
      </c>
      <c r="AB548" s="22" t="str">
        <f t="shared" si="122"/>
        <v>NO</v>
      </c>
      <c r="AC548" s="22" t="str">
        <f t="shared" si="122"/>
        <v>NO</v>
      </c>
      <c r="AD548" s="22" t="str">
        <f t="shared" si="122"/>
        <v>NO</v>
      </c>
      <c r="AE548" s="22" t="str">
        <f t="shared" si="122"/>
        <v>NO</v>
      </c>
      <c r="AF548" s="22" t="str">
        <f t="shared" si="122"/>
        <v>NO</v>
      </c>
      <c r="AG548" s="22" t="str">
        <f t="shared" si="122"/>
        <v>NO</v>
      </c>
      <c r="AH548" s="22" t="str">
        <f t="shared" si="122"/>
        <v>NO</v>
      </c>
      <c r="AI548" s="22" t="str">
        <f t="shared" si="122"/>
        <v>NO</v>
      </c>
      <c r="AJ548" s="22" t="str">
        <f t="shared" si="122"/>
        <v>NO</v>
      </c>
      <c r="AK548" s="22" t="str">
        <f t="shared" si="122"/>
        <v>NO</v>
      </c>
      <c r="AL548" s="22" t="str">
        <f t="shared" si="122"/>
        <v>NO</v>
      </c>
      <c r="AM548" s="22" t="str">
        <f t="shared" si="122"/>
        <v>NO</v>
      </c>
      <c r="AN548" s="22" t="str">
        <f t="shared" si="122"/>
        <v>NO</v>
      </c>
      <c r="AO548" s="22" t="str">
        <f t="shared" si="122"/>
        <v>NO</v>
      </c>
      <c r="AP548" s="22" t="str">
        <f t="shared" si="122"/>
        <v>NO</v>
      </c>
      <c r="AQ548" s="22" t="str">
        <f t="shared" si="122"/>
        <v>NO</v>
      </c>
      <c r="AR548" s="22" t="str">
        <f t="shared" si="122"/>
        <v>NO</v>
      </c>
      <c r="AS548" s="22" t="str">
        <f t="shared" si="122"/>
        <v>NO</v>
      </c>
      <c r="AT548" s="22" t="str">
        <f t="shared" si="122"/>
        <v>NO</v>
      </c>
      <c r="AU548" s="22" t="str">
        <f t="shared" si="122"/>
        <v>NO</v>
      </c>
      <c r="AV548" s="22" t="str">
        <f t="shared" si="122"/>
        <v>NO</v>
      </c>
      <c r="AW548" s="22" t="str">
        <f t="shared" si="122"/>
        <v>NO</v>
      </c>
      <c r="AY548" s="85"/>
    </row>
    <row r="549" spans="1:51" x14ac:dyDescent="0.25">
      <c r="A549" s="102" t="str">
        <f t="shared" si="108"/>
        <v>PQ FSOM</v>
      </c>
      <c r="B549" s="102" t="s">
        <v>969</v>
      </c>
      <c r="C549" s="102" t="s">
        <v>60</v>
      </c>
      <c r="D549" t="s">
        <v>369</v>
      </c>
      <c r="E549" t="s">
        <v>55</v>
      </c>
      <c r="F549" t="s">
        <v>60</v>
      </c>
      <c r="G549" t="s">
        <v>1271</v>
      </c>
      <c r="H549" t="s">
        <v>1272</v>
      </c>
      <c r="J549" t="s">
        <v>287</v>
      </c>
      <c r="K549" s="22">
        <f t="shared" si="117"/>
        <v>3.4398813895090996E-3</v>
      </c>
      <c r="L549" s="22">
        <f t="shared" si="122"/>
        <v>3.4358310252377683E-3</v>
      </c>
      <c r="M549" s="22">
        <f t="shared" si="122"/>
        <v>3.4317806609664363E-3</v>
      </c>
      <c r="N549" s="22">
        <f t="shared" si="122"/>
        <v>3.4277302966951037E-3</v>
      </c>
      <c r="O549" s="22">
        <f t="shared" si="122"/>
        <v>3.4236799324237725E-3</v>
      </c>
      <c r="P549" s="22">
        <f t="shared" si="122"/>
        <v>3.4196295681524396E-3</v>
      </c>
      <c r="Q549" s="22">
        <f t="shared" si="122"/>
        <v>3.4155792038811079E-3</v>
      </c>
      <c r="R549" s="22">
        <f t="shared" si="122"/>
        <v>3.4115288396097763E-3</v>
      </c>
      <c r="S549" s="22">
        <f t="shared" si="122"/>
        <v>3.4074784753384451E-3</v>
      </c>
      <c r="T549" s="22">
        <f t="shared" si="122"/>
        <v>3.4034281110671134E-3</v>
      </c>
      <c r="U549" s="22">
        <f t="shared" si="122"/>
        <v>3.39937774679578E-3</v>
      </c>
      <c r="V549" s="22">
        <f t="shared" si="122"/>
        <v>3.3953273825244488E-3</v>
      </c>
      <c r="W549" s="22">
        <f t="shared" si="122"/>
        <v>3.3912770182531172E-3</v>
      </c>
      <c r="X549" s="22">
        <f t="shared" si="122"/>
        <v>3.387226653981786E-3</v>
      </c>
      <c r="Y549" s="22">
        <f t="shared" si="122"/>
        <v>3.3831762897104547E-3</v>
      </c>
      <c r="Z549" s="22">
        <f t="shared" si="122"/>
        <v>3.3791259254391218E-3</v>
      </c>
      <c r="AA549" s="22">
        <f t="shared" si="122"/>
        <v>3.375075561167791E-3</v>
      </c>
      <c r="AB549" s="22">
        <f t="shared" si="122"/>
        <v>3.3710251968964585E-3</v>
      </c>
      <c r="AC549" s="22">
        <f t="shared" si="122"/>
        <v>3.3669748326251273E-3</v>
      </c>
      <c r="AD549" s="22">
        <f t="shared" si="122"/>
        <v>3.3629244683537943E-3</v>
      </c>
      <c r="AE549" s="22">
        <f t="shared" si="122"/>
        <v>3.358874104082464E-3</v>
      </c>
      <c r="AF549" s="22">
        <f t="shared" si="122"/>
        <v>3.3548237398111319E-3</v>
      </c>
      <c r="AG549" s="22">
        <f t="shared" si="122"/>
        <v>3.3507733755397998E-3</v>
      </c>
      <c r="AH549" s="22">
        <f t="shared" si="122"/>
        <v>3.3467230112684673E-3</v>
      </c>
      <c r="AI549" s="22">
        <f t="shared" si="122"/>
        <v>3.3426726469971361E-3</v>
      </c>
      <c r="AJ549" s="22">
        <f t="shared" si="122"/>
        <v>3.3386222827258044E-3</v>
      </c>
      <c r="AK549" s="22">
        <f t="shared" si="122"/>
        <v>3.3345719184544728E-3</v>
      </c>
      <c r="AL549" s="22">
        <f t="shared" si="122"/>
        <v>3.3305215541831416E-3</v>
      </c>
      <c r="AM549" s="22">
        <f t="shared" si="122"/>
        <v>3.3264711899118095E-3</v>
      </c>
      <c r="AN549" s="22">
        <f t="shared" si="122"/>
        <v>3.3224208256404765E-3</v>
      </c>
      <c r="AO549" s="22">
        <f t="shared" si="122"/>
        <v>3.3183704613691458E-3</v>
      </c>
      <c r="AP549" s="22">
        <f t="shared" si="122"/>
        <v>3.3143200970978137E-3</v>
      </c>
      <c r="AQ549" s="22">
        <f t="shared" si="122"/>
        <v>3.3102697328264833E-3</v>
      </c>
      <c r="AR549" s="22">
        <f t="shared" si="122"/>
        <v>3.3062193685551499E-3</v>
      </c>
      <c r="AS549" s="22">
        <f t="shared" si="122"/>
        <v>3.3021690042838187E-3</v>
      </c>
      <c r="AT549" s="22">
        <f t="shared" si="122"/>
        <v>3.2981186400124866E-3</v>
      </c>
      <c r="AU549" s="22">
        <f t="shared" si="122"/>
        <v>3.2940682757411541E-3</v>
      </c>
      <c r="AV549" s="22">
        <f t="shared" si="122"/>
        <v>3.2900179114698229E-3</v>
      </c>
      <c r="AW549" s="22">
        <f t="shared" si="122"/>
        <v>3.2859675471984908E-3</v>
      </c>
      <c r="AY549" s="85"/>
    </row>
    <row r="550" spans="1:51" x14ac:dyDescent="0.25">
      <c r="A550" s="102" t="str">
        <f t="shared" si="108"/>
        <v>PQ FSOM</v>
      </c>
      <c r="B550" s="102" t="s">
        <v>969</v>
      </c>
      <c r="C550" s="102" t="s">
        <v>60</v>
      </c>
      <c r="D550" t="s">
        <v>369</v>
      </c>
      <c r="E550" t="s">
        <v>55</v>
      </c>
      <c r="F550" t="s">
        <v>60</v>
      </c>
      <c r="G550" t="s">
        <v>1273</v>
      </c>
      <c r="H550" t="s">
        <v>1274</v>
      </c>
      <c r="J550" t="s">
        <v>287</v>
      </c>
      <c r="K550" s="22">
        <f t="shared" si="117"/>
        <v>0.49020960547040615</v>
      </c>
      <c r="L550" s="22">
        <f t="shared" si="122"/>
        <v>0.49134551154341793</v>
      </c>
      <c r="M550" s="22">
        <f t="shared" si="122"/>
        <v>0.49248141761642988</v>
      </c>
      <c r="N550" s="22">
        <f t="shared" si="122"/>
        <v>0.49361732368944172</v>
      </c>
      <c r="O550" s="22">
        <f t="shared" si="122"/>
        <v>0.49475322976245356</v>
      </c>
      <c r="P550" s="22">
        <f t="shared" si="122"/>
        <v>0.49588913583546534</v>
      </c>
      <c r="Q550" s="22">
        <f t="shared" si="122"/>
        <v>0.49702504190847724</v>
      </c>
      <c r="R550" s="22">
        <f t="shared" si="122"/>
        <v>0.49816094798148913</v>
      </c>
      <c r="S550" s="22">
        <f t="shared" si="122"/>
        <v>0.49929685405450086</v>
      </c>
      <c r="T550" s="22">
        <f t="shared" si="122"/>
        <v>0.50043276012751292</v>
      </c>
      <c r="U550" s="22">
        <f t="shared" si="122"/>
        <v>0.50156866620052454</v>
      </c>
      <c r="V550" s="22">
        <f t="shared" si="122"/>
        <v>0.50270457227353649</v>
      </c>
      <c r="W550" s="22">
        <f t="shared" si="122"/>
        <v>0.50384047834654833</v>
      </c>
      <c r="X550" s="22">
        <f t="shared" si="122"/>
        <v>0.50497638441956039</v>
      </c>
      <c r="Y550" s="22">
        <f t="shared" si="122"/>
        <v>0.506112290492572</v>
      </c>
      <c r="Z550" s="22">
        <f t="shared" si="122"/>
        <v>0.50724819656558406</v>
      </c>
      <c r="AA550" s="22">
        <f t="shared" si="122"/>
        <v>0.50838410263859568</v>
      </c>
      <c r="AB550" s="22">
        <f t="shared" si="122"/>
        <v>0.50952000871160763</v>
      </c>
      <c r="AC550" s="22">
        <f t="shared" si="122"/>
        <v>0.51065591478461958</v>
      </c>
      <c r="AD550" s="22">
        <f t="shared" si="122"/>
        <v>0.51179182085763142</v>
      </c>
      <c r="AE550" s="22">
        <f t="shared" si="122"/>
        <v>0.51292772693064326</v>
      </c>
      <c r="AF550" s="22">
        <f t="shared" si="122"/>
        <v>0.5140636330036551</v>
      </c>
      <c r="AG550" s="22">
        <f t="shared" si="122"/>
        <v>0.51519953907666705</v>
      </c>
      <c r="AH550" s="22">
        <f t="shared" si="122"/>
        <v>0.51633544514967877</v>
      </c>
      <c r="AI550" s="22">
        <f t="shared" si="122"/>
        <v>0.51747135122269072</v>
      </c>
      <c r="AJ550" s="22">
        <f t="shared" si="122"/>
        <v>0.51860725729570256</v>
      </c>
      <c r="AK550" s="22">
        <f t="shared" si="122"/>
        <v>0.5197431633687144</v>
      </c>
      <c r="AL550" s="22">
        <f t="shared" si="122"/>
        <v>0.52087906944172624</v>
      </c>
      <c r="AM550" s="22">
        <f t="shared" si="122"/>
        <v>0.52201497551473808</v>
      </c>
      <c r="AN550" s="22">
        <f t="shared" si="122"/>
        <v>0.52315088158774992</v>
      </c>
      <c r="AO550" s="22">
        <f t="shared" si="122"/>
        <v>0.52428678766076187</v>
      </c>
      <c r="AP550" s="22">
        <f t="shared" si="122"/>
        <v>0.52542269373377359</v>
      </c>
      <c r="AQ550" s="22">
        <f t="shared" si="122"/>
        <v>0.52655859980678543</v>
      </c>
      <c r="AR550" s="22">
        <f t="shared" si="122"/>
        <v>0.52769450587979749</v>
      </c>
      <c r="AS550" s="22">
        <f t="shared" si="122"/>
        <v>0.52883041195280922</v>
      </c>
      <c r="AT550" s="22">
        <f t="shared" si="122"/>
        <v>0.52996631802582106</v>
      </c>
      <c r="AU550" s="22">
        <f t="shared" si="122"/>
        <v>0.53110222409883301</v>
      </c>
      <c r="AV550" s="22">
        <f t="shared" si="122"/>
        <v>0.53223813017184474</v>
      </c>
      <c r="AW550" s="22">
        <f t="shared" si="122"/>
        <v>0.5333740362448568</v>
      </c>
      <c r="AY550" s="85"/>
    </row>
    <row r="551" spans="1:51" x14ac:dyDescent="0.25">
      <c r="A551" s="102" t="str">
        <f t="shared" si="108"/>
        <v>PQ FSOM</v>
      </c>
      <c r="B551" s="102" t="s">
        <v>969</v>
      </c>
      <c r="C551" s="102" t="s">
        <v>60</v>
      </c>
      <c r="D551" t="s">
        <v>369</v>
      </c>
      <c r="E551" t="s">
        <v>55</v>
      </c>
      <c r="F551" t="s">
        <v>60</v>
      </c>
      <c r="G551" t="s">
        <v>1275</v>
      </c>
      <c r="H551" t="s">
        <v>1276</v>
      </c>
      <c r="J551" t="s">
        <v>287</v>
      </c>
      <c r="K551" s="22">
        <f t="shared" si="117"/>
        <v>0.57597220909378744</v>
      </c>
      <c r="L551" s="22">
        <f t="shared" si="122"/>
        <v>0.57597220909378744</v>
      </c>
      <c r="M551" s="22">
        <f t="shared" si="122"/>
        <v>0.57597220909378744</v>
      </c>
      <c r="N551" s="22">
        <f t="shared" si="122"/>
        <v>0.57597220909378744</v>
      </c>
      <c r="O551" s="22">
        <f t="shared" si="122"/>
        <v>0.57597220909378744</v>
      </c>
      <c r="P551" s="22">
        <f t="shared" si="122"/>
        <v>0.57597220909378744</v>
      </c>
      <c r="Q551" s="22">
        <f t="shared" si="122"/>
        <v>0.57597220909378744</v>
      </c>
      <c r="R551" s="22">
        <f t="shared" si="122"/>
        <v>0.57597220909378744</v>
      </c>
      <c r="S551" s="22">
        <f t="shared" si="122"/>
        <v>0.57597220909378744</v>
      </c>
      <c r="T551" s="22">
        <f t="shared" si="122"/>
        <v>0.57597220909378744</v>
      </c>
      <c r="U551" s="22">
        <f t="shared" si="122"/>
        <v>0.57597220909378744</v>
      </c>
      <c r="V551" s="22">
        <f t="shared" si="122"/>
        <v>0.57597220909378744</v>
      </c>
      <c r="W551" s="22">
        <f t="shared" si="122"/>
        <v>0.57597220909378744</v>
      </c>
      <c r="X551" s="22">
        <f t="shared" si="122"/>
        <v>0.57597220909378744</v>
      </c>
      <c r="Y551" s="22">
        <f t="shared" si="122"/>
        <v>0.57597220909378744</v>
      </c>
      <c r="Z551" s="22">
        <f t="shared" si="122"/>
        <v>0.57597220909378744</v>
      </c>
      <c r="AA551" s="22">
        <f t="shared" si="122"/>
        <v>0.57597220909378744</v>
      </c>
      <c r="AB551" s="22">
        <f t="shared" si="122"/>
        <v>0.57597220909378744</v>
      </c>
      <c r="AC551" s="22">
        <f t="shared" si="122"/>
        <v>0.57597220909378744</v>
      </c>
      <c r="AD551" s="22">
        <f t="shared" si="122"/>
        <v>0.57597220909378744</v>
      </c>
      <c r="AE551" s="22">
        <f t="shared" si="122"/>
        <v>0.57597220909378744</v>
      </c>
      <c r="AF551" s="22">
        <f t="shared" si="122"/>
        <v>0.57597220909378744</v>
      </c>
      <c r="AG551" s="22">
        <f t="shared" si="122"/>
        <v>0.57597220909378744</v>
      </c>
      <c r="AH551" s="22">
        <f t="shared" si="122"/>
        <v>0.57597220909378744</v>
      </c>
      <c r="AI551" s="22">
        <f t="shared" si="122"/>
        <v>0.57597220909378744</v>
      </c>
      <c r="AJ551" s="22">
        <f t="shared" si="122"/>
        <v>0.57597220909378744</v>
      </c>
      <c r="AK551" s="22">
        <f t="shared" si="122"/>
        <v>0.57597220909378744</v>
      </c>
      <c r="AL551" s="22">
        <f t="shared" si="122"/>
        <v>0.57597220909378744</v>
      </c>
      <c r="AM551" s="22">
        <f t="shared" si="122"/>
        <v>0.57597220909378744</v>
      </c>
      <c r="AN551" s="22">
        <f t="shared" si="122"/>
        <v>0.57597220909378744</v>
      </c>
      <c r="AO551" s="22">
        <f t="shared" si="122"/>
        <v>0.57597220909378744</v>
      </c>
      <c r="AP551" s="22">
        <f t="shared" si="122"/>
        <v>0.57597220909378744</v>
      </c>
      <c r="AQ551" s="22">
        <f t="shared" si="122"/>
        <v>0.57597220909378744</v>
      </c>
      <c r="AR551" s="22">
        <f t="shared" si="122"/>
        <v>0.57597220909378744</v>
      </c>
      <c r="AS551" s="22">
        <f t="shared" si="122"/>
        <v>0.57597220909378744</v>
      </c>
      <c r="AT551" s="22">
        <f t="shared" si="122"/>
        <v>0.57597220909378744</v>
      </c>
      <c r="AU551" s="22">
        <f t="shared" si="122"/>
        <v>0.57597220909378744</v>
      </c>
      <c r="AV551" s="22">
        <f t="shared" si="122"/>
        <v>0.57597220909378744</v>
      </c>
      <c r="AW551" s="22">
        <f t="shared" si="122"/>
        <v>0.57597220909378744</v>
      </c>
      <c r="AY551" s="85"/>
    </row>
    <row r="552" spans="1:51" x14ac:dyDescent="0.25">
      <c r="A552" s="102" t="str">
        <f t="shared" si="108"/>
        <v>PQ FSOM</v>
      </c>
      <c r="B552" s="102" t="s">
        <v>969</v>
      </c>
      <c r="C552" s="102" t="s">
        <v>60</v>
      </c>
      <c r="D552" t="s">
        <v>369</v>
      </c>
      <c r="E552" t="s">
        <v>55</v>
      </c>
      <c r="F552" t="s">
        <v>60</v>
      </c>
      <c r="G552" t="s">
        <v>1277</v>
      </c>
      <c r="H552" t="s">
        <v>1278</v>
      </c>
      <c r="J552" t="s">
        <v>287</v>
      </c>
      <c r="K552" s="22" t="str">
        <f t="shared" si="117"/>
        <v>NO</v>
      </c>
      <c r="L552" s="22" t="str">
        <f t="shared" si="122"/>
        <v>NO</v>
      </c>
      <c r="M552" s="22" t="str">
        <f t="shared" si="122"/>
        <v>NO</v>
      </c>
      <c r="N552" s="22" t="str">
        <f t="shared" si="122"/>
        <v>NO</v>
      </c>
      <c r="O552" s="22" t="str">
        <f t="shared" si="122"/>
        <v>NO</v>
      </c>
      <c r="P552" s="22" t="str">
        <f t="shared" si="122"/>
        <v>NO</v>
      </c>
      <c r="Q552" s="22" t="str">
        <f t="shared" si="122"/>
        <v>NO</v>
      </c>
      <c r="R552" s="22" t="str">
        <f t="shared" si="122"/>
        <v>NO</v>
      </c>
      <c r="S552" s="22" t="str">
        <f t="shared" si="122"/>
        <v>NO</v>
      </c>
      <c r="T552" s="22" t="str">
        <f t="shared" si="122"/>
        <v>NO</v>
      </c>
      <c r="U552" s="22" t="str">
        <f t="shared" si="122"/>
        <v>NO</v>
      </c>
      <c r="V552" s="22" t="str">
        <f t="shared" si="122"/>
        <v>NO</v>
      </c>
      <c r="W552" s="22" t="str">
        <f t="shared" si="122"/>
        <v>NO</v>
      </c>
      <c r="X552" s="22" t="str">
        <f t="shared" si="122"/>
        <v>NO</v>
      </c>
      <c r="Y552" s="22" t="str">
        <f t="shared" si="122"/>
        <v>NO</v>
      </c>
      <c r="Z552" s="22" t="str">
        <f t="shared" si="122"/>
        <v>NO</v>
      </c>
      <c r="AA552" s="22" t="str">
        <f t="shared" si="122"/>
        <v>NO</v>
      </c>
      <c r="AB552" s="22" t="str">
        <f t="shared" si="122"/>
        <v>NO</v>
      </c>
      <c r="AC552" s="22" t="str">
        <f t="shared" si="122"/>
        <v>NO</v>
      </c>
      <c r="AD552" s="22" t="str">
        <f t="shared" si="122"/>
        <v>NO</v>
      </c>
      <c r="AE552" s="22" t="str">
        <f t="shared" si="122"/>
        <v>NO</v>
      </c>
      <c r="AF552" s="22" t="str">
        <f t="shared" si="122"/>
        <v>NO</v>
      </c>
      <c r="AG552" s="22" t="str">
        <f t="shared" si="122"/>
        <v>NO</v>
      </c>
      <c r="AH552" s="22" t="str">
        <f t="shared" si="122"/>
        <v>NO</v>
      </c>
      <c r="AI552" s="22" t="str">
        <f t="shared" si="122"/>
        <v>NO</v>
      </c>
      <c r="AJ552" s="22" t="str">
        <f t="shared" si="122"/>
        <v>NO</v>
      </c>
      <c r="AK552" s="22" t="str">
        <f t="shared" ref="L552:AW559" si="123">AK1503</f>
        <v>NO</v>
      </c>
      <c r="AL552" s="22" t="str">
        <f t="shared" si="123"/>
        <v>NO</v>
      </c>
      <c r="AM552" s="22" t="str">
        <f t="shared" si="123"/>
        <v>NO</v>
      </c>
      <c r="AN552" s="22" t="str">
        <f t="shared" si="123"/>
        <v>NO</v>
      </c>
      <c r="AO552" s="22" t="str">
        <f t="shared" si="123"/>
        <v>NO</v>
      </c>
      <c r="AP552" s="22" t="str">
        <f t="shared" si="123"/>
        <v>NO</v>
      </c>
      <c r="AQ552" s="22" t="str">
        <f t="shared" si="123"/>
        <v>NO</v>
      </c>
      <c r="AR552" s="22" t="str">
        <f t="shared" si="123"/>
        <v>NO</v>
      </c>
      <c r="AS552" s="22" t="str">
        <f t="shared" si="123"/>
        <v>NO</v>
      </c>
      <c r="AT552" s="22" t="str">
        <f t="shared" si="123"/>
        <v>NO</v>
      </c>
      <c r="AU552" s="22" t="str">
        <f t="shared" si="123"/>
        <v>NO</v>
      </c>
      <c r="AV552" s="22" t="str">
        <f t="shared" si="123"/>
        <v>NO</v>
      </c>
      <c r="AW552" s="22" t="str">
        <f t="shared" si="123"/>
        <v>NO</v>
      </c>
      <c r="AY552" s="85"/>
    </row>
    <row r="553" spans="1:51" x14ac:dyDescent="0.25">
      <c r="A553" s="102" t="str">
        <f t="shared" si="108"/>
        <v>PQ FSOM</v>
      </c>
      <c r="B553" s="102" t="s">
        <v>969</v>
      </c>
      <c r="C553" s="102" t="s">
        <v>60</v>
      </c>
      <c r="D553" t="s">
        <v>369</v>
      </c>
      <c r="E553" t="s">
        <v>55</v>
      </c>
      <c r="F553" t="s">
        <v>60</v>
      </c>
      <c r="G553" t="s">
        <v>1279</v>
      </c>
      <c r="H553" t="s">
        <v>1280</v>
      </c>
      <c r="J553" t="s">
        <v>287</v>
      </c>
      <c r="K553" s="22" t="str">
        <f t="shared" si="117"/>
        <v>NO</v>
      </c>
      <c r="L553" s="22" t="str">
        <f t="shared" si="123"/>
        <v>NO</v>
      </c>
      <c r="M553" s="22" t="str">
        <f t="shared" si="123"/>
        <v>NO</v>
      </c>
      <c r="N553" s="22" t="str">
        <f t="shared" si="123"/>
        <v>NO</v>
      </c>
      <c r="O553" s="22" t="str">
        <f t="shared" si="123"/>
        <v>NO</v>
      </c>
      <c r="P553" s="22" t="str">
        <f t="shared" si="123"/>
        <v>NO</v>
      </c>
      <c r="Q553" s="22" t="str">
        <f t="shared" si="123"/>
        <v>NO</v>
      </c>
      <c r="R553" s="22" t="str">
        <f t="shared" si="123"/>
        <v>NO</v>
      </c>
      <c r="S553" s="22" t="str">
        <f t="shared" si="123"/>
        <v>NO</v>
      </c>
      <c r="T553" s="22" t="str">
        <f t="shared" si="123"/>
        <v>NO</v>
      </c>
      <c r="U553" s="22" t="str">
        <f t="shared" si="123"/>
        <v>NO</v>
      </c>
      <c r="V553" s="22" t="str">
        <f t="shared" si="123"/>
        <v>NO</v>
      </c>
      <c r="W553" s="22" t="str">
        <f t="shared" si="123"/>
        <v>NO</v>
      </c>
      <c r="X553" s="22" t="str">
        <f t="shared" si="123"/>
        <v>NO</v>
      </c>
      <c r="Y553" s="22" t="str">
        <f t="shared" si="123"/>
        <v>NO</v>
      </c>
      <c r="Z553" s="22" t="str">
        <f t="shared" si="123"/>
        <v>NO</v>
      </c>
      <c r="AA553" s="22" t="str">
        <f t="shared" si="123"/>
        <v>NO</v>
      </c>
      <c r="AB553" s="22" t="str">
        <f t="shared" si="123"/>
        <v>NO</v>
      </c>
      <c r="AC553" s="22" t="str">
        <f t="shared" si="123"/>
        <v>NO</v>
      </c>
      <c r="AD553" s="22" t="str">
        <f t="shared" si="123"/>
        <v>NO</v>
      </c>
      <c r="AE553" s="22" t="str">
        <f t="shared" si="123"/>
        <v>NO</v>
      </c>
      <c r="AF553" s="22" t="str">
        <f t="shared" si="123"/>
        <v>NO</v>
      </c>
      <c r="AG553" s="22" t="str">
        <f t="shared" si="123"/>
        <v>NO</v>
      </c>
      <c r="AH553" s="22" t="str">
        <f t="shared" si="123"/>
        <v>NO</v>
      </c>
      <c r="AI553" s="22" t="str">
        <f t="shared" si="123"/>
        <v>NO</v>
      </c>
      <c r="AJ553" s="22" t="str">
        <f t="shared" si="123"/>
        <v>NO</v>
      </c>
      <c r="AK553" s="22" t="str">
        <f t="shared" si="123"/>
        <v>NO</v>
      </c>
      <c r="AL553" s="22" t="str">
        <f t="shared" si="123"/>
        <v>NO</v>
      </c>
      <c r="AM553" s="22" t="str">
        <f t="shared" si="123"/>
        <v>NO</v>
      </c>
      <c r="AN553" s="22" t="str">
        <f t="shared" si="123"/>
        <v>NO</v>
      </c>
      <c r="AO553" s="22" t="str">
        <f t="shared" si="123"/>
        <v>NO</v>
      </c>
      <c r="AP553" s="22" t="str">
        <f t="shared" si="123"/>
        <v>NO</v>
      </c>
      <c r="AQ553" s="22" t="str">
        <f t="shared" si="123"/>
        <v>NO</v>
      </c>
      <c r="AR553" s="22" t="str">
        <f t="shared" si="123"/>
        <v>NO</v>
      </c>
      <c r="AS553" s="22" t="str">
        <f t="shared" si="123"/>
        <v>NO</v>
      </c>
      <c r="AT553" s="22" t="str">
        <f t="shared" si="123"/>
        <v>NO</v>
      </c>
      <c r="AU553" s="22" t="str">
        <f t="shared" si="123"/>
        <v>NO</v>
      </c>
      <c r="AV553" s="22" t="str">
        <f t="shared" si="123"/>
        <v>NO</v>
      </c>
      <c r="AW553" s="22" t="str">
        <f t="shared" si="123"/>
        <v>NO</v>
      </c>
      <c r="AY553" s="85"/>
    </row>
    <row r="554" spans="1:51" x14ac:dyDescent="0.25">
      <c r="A554" s="102" t="str">
        <f t="shared" si="108"/>
        <v>PQ FSOM</v>
      </c>
      <c r="B554" s="102" t="s">
        <v>969</v>
      </c>
      <c r="C554" s="102" t="s">
        <v>60</v>
      </c>
      <c r="D554" t="s">
        <v>369</v>
      </c>
      <c r="E554" t="s">
        <v>55</v>
      </c>
      <c r="F554" t="s">
        <v>60</v>
      </c>
      <c r="G554" t="s">
        <v>1281</v>
      </c>
      <c r="H554" t="s">
        <v>1282</v>
      </c>
      <c r="J554" t="s">
        <v>287</v>
      </c>
      <c r="K554" s="22" t="str">
        <f t="shared" si="117"/>
        <v>NO</v>
      </c>
      <c r="L554" s="22" t="str">
        <f t="shared" si="123"/>
        <v>NO</v>
      </c>
      <c r="M554" s="22" t="str">
        <f t="shared" si="123"/>
        <v>NO</v>
      </c>
      <c r="N554" s="22" t="str">
        <f t="shared" si="123"/>
        <v>NO</v>
      </c>
      <c r="O554" s="22" t="str">
        <f t="shared" si="123"/>
        <v>NO</v>
      </c>
      <c r="P554" s="22" t="str">
        <f t="shared" si="123"/>
        <v>NO</v>
      </c>
      <c r="Q554" s="22" t="str">
        <f t="shared" si="123"/>
        <v>NO</v>
      </c>
      <c r="R554" s="22" t="str">
        <f t="shared" si="123"/>
        <v>NO</v>
      </c>
      <c r="S554" s="22" t="str">
        <f t="shared" si="123"/>
        <v>NO</v>
      </c>
      <c r="T554" s="22" t="str">
        <f t="shared" si="123"/>
        <v>NO</v>
      </c>
      <c r="U554" s="22" t="str">
        <f t="shared" si="123"/>
        <v>NO</v>
      </c>
      <c r="V554" s="22" t="str">
        <f t="shared" si="123"/>
        <v>NO</v>
      </c>
      <c r="W554" s="22" t="str">
        <f t="shared" si="123"/>
        <v>NO</v>
      </c>
      <c r="X554" s="22" t="str">
        <f t="shared" si="123"/>
        <v>NO</v>
      </c>
      <c r="Y554" s="22" t="str">
        <f t="shared" si="123"/>
        <v>NO</v>
      </c>
      <c r="Z554" s="22" t="str">
        <f t="shared" si="123"/>
        <v>NO</v>
      </c>
      <c r="AA554" s="22" t="str">
        <f t="shared" si="123"/>
        <v>NO</v>
      </c>
      <c r="AB554" s="22" t="str">
        <f t="shared" si="123"/>
        <v>NO</v>
      </c>
      <c r="AC554" s="22" t="str">
        <f t="shared" si="123"/>
        <v>NO</v>
      </c>
      <c r="AD554" s="22" t="str">
        <f t="shared" si="123"/>
        <v>NO</v>
      </c>
      <c r="AE554" s="22" t="str">
        <f t="shared" si="123"/>
        <v>NO</v>
      </c>
      <c r="AF554" s="22" t="str">
        <f t="shared" si="123"/>
        <v>NO</v>
      </c>
      <c r="AG554" s="22" t="str">
        <f t="shared" si="123"/>
        <v>NO</v>
      </c>
      <c r="AH554" s="22" t="str">
        <f t="shared" si="123"/>
        <v>NO</v>
      </c>
      <c r="AI554" s="22" t="str">
        <f t="shared" si="123"/>
        <v>NO</v>
      </c>
      <c r="AJ554" s="22" t="str">
        <f t="shared" si="123"/>
        <v>NO</v>
      </c>
      <c r="AK554" s="22" t="str">
        <f t="shared" si="123"/>
        <v>NO</v>
      </c>
      <c r="AL554" s="22" t="str">
        <f t="shared" si="123"/>
        <v>NO</v>
      </c>
      <c r="AM554" s="22" t="str">
        <f t="shared" si="123"/>
        <v>NO</v>
      </c>
      <c r="AN554" s="22" t="str">
        <f t="shared" si="123"/>
        <v>NO</v>
      </c>
      <c r="AO554" s="22" t="str">
        <f t="shared" si="123"/>
        <v>NO</v>
      </c>
      <c r="AP554" s="22" t="str">
        <f t="shared" si="123"/>
        <v>NO</v>
      </c>
      <c r="AQ554" s="22" t="str">
        <f t="shared" si="123"/>
        <v>NO</v>
      </c>
      <c r="AR554" s="22" t="str">
        <f t="shared" si="123"/>
        <v>NO</v>
      </c>
      <c r="AS554" s="22" t="str">
        <f t="shared" si="123"/>
        <v>NO</v>
      </c>
      <c r="AT554" s="22" t="str">
        <f t="shared" si="123"/>
        <v>NO</v>
      </c>
      <c r="AU554" s="22" t="str">
        <f t="shared" si="123"/>
        <v>NO</v>
      </c>
      <c r="AV554" s="22" t="str">
        <f t="shared" si="123"/>
        <v>NO</v>
      </c>
      <c r="AW554" s="22" t="str">
        <f t="shared" si="123"/>
        <v>NO</v>
      </c>
      <c r="AY554" s="85"/>
    </row>
    <row r="555" spans="1:51" x14ac:dyDescent="0.25">
      <c r="A555" s="102" t="str">
        <f t="shared" si="108"/>
        <v>PQ FSOM</v>
      </c>
      <c r="B555" s="102" t="s">
        <v>969</v>
      </c>
      <c r="C555" s="102" t="s">
        <v>60</v>
      </c>
      <c r="D555" t="s">
        <v>369</v>
      </c>
      <c r="E555" t="s">
        <v>55</v>
      </c>
      <c r="F555" t="s">
        <v>60</v>
      </c>
      <c r="G555" t="s">
        <v>1283</v>
      </c>
      <c r="H555" t="s">
        <v>1284</v>
      </c>
      <c r="J555" t="s">
        <v>287</v>
      </c>
      <c r="K555" s="22">
        <f t="shared" si="117"/>
        <v>5.604018730639919E-5</v>
      </c>
      <c r="L555" s="22">
        <f t="shared" si="123"/>
        <v>5.604018730639919E-5</v>
      </c>
      <c r="M555" s="22">
        <f t="shared" si="123"/>
        <v>5.604018730639919E-5</v>
      </c>
      <c r="N555" s="22">
        <f t="shared" si="123"/>
        <v>5.604018730639919E-5</v>
      </c>
      <c r="O555" s="22">
        <f t="shared" si="123"/>
        <v>5.604018730639919E-5</v>
      </c>
      <c r="P555" s="22">
        <f t="shared" si="123"/>
        <v>5.604018730639919E-5</v>
      </c>
      <c r="Q555" s="22">
        <f t="shared" si="123"/>
        <v>5.604018730639919E-5</v>
      </c>
      <c r="R555" s="22">
        <f t="shared" si="123"/>
        <v>5.604018730639919E-5</v>
      </c>
      <c r="S555" s="22">
        <f t="shared" si="123"/>
        <v>5.604018730639919E-5</v>
      </c>
      <c r="T555" s="22">
        <f t="shared" si="123"/>
        <v>5.604018730639919E-5</v>
      </c>
      <c r="U555" s="22">
        <f t="shared" si="123"/>
        <v>5.604018730639919E-5</v>
      </c>
      <c r="V555" s="22">
        <f t="shared" si="123"/>
        <v>5.604018730639919E-5</v>
      </c>
      <c r="W555" s="22">
        <f t="shared" si="123"/>
        <v>5.604018730639919E-5</v>
      </c>
      <c r="X555" s="22">
        <f t="shared" si="123"/>
        <v>5.604018730639919E-5</v>
      </c>
      <c r="Y555" s="22">
        <f t="shared" si="123"/>
        <v>5.604018730639919E-5</v>
      </c>
      <c r="Z555" s="22">
        <f t="shared" si="123"/>
        <v>5.604018730639919E-5</v>
      </c>
      <c r="AA555" s="22">
        <f t="shared" si="123"/>
        <v>5.604018730639919E-5</v>
      </c>
      <c r="AB555" s="22">
        <f t="shared" si="123"/>
        <v>5.604018730639919E-5</v>
      </c>
      <c r="AC555" s="22">
        <f t="shared" si="123"/>
        <v>5.604018730639919E-5</v>
      </c>
      <c r="AD555" s="22">
        <f t="shared" si="123"/>
        <v>5.604018730639919E-5</v>
      </c>
      <c r="AE555" s="22">
        <f t="shared" si="123"/>
        <v>5.604018730639919E-5</v>
      </c>
      <c r="AF555" s="22">
        <f t="shared" si="123"/>
        <v>5.604018730639919E-5</v>
      </c>
      <c r="AG555" s="22">
        <f t="shared" si="123"/>
        <v>5.604018730639919E-5</v>
      </c>
      <c r="AH555" s="22">
        <f t="shared" si="123"/>
        <v>5.604018730639919E-5</v>
      </c>
      <c r="AI555" s="22">
        <f t="shared" si="123"/>
        <v>5.604018730639919E-5</v>
      </c>
      <c r="AJ555" s="22">
        <f t="shared" si="123"/>
        <v>5.604018730639919E-5</v>
      </c>
      <c r="AK555" s="22">
        <f t="shared" si="123"/>
        <v>5.604018730639919E-5</v>
      </c>
      <c r="AL555" s="22">
        <f t="shared" si="123"/>
        <v>5.604018730639919E-5</v>
      </c>
      <c r="AM555" s="22">
        <f t="shared" si="123"/>
        <v>5.604018730639919E-5</v>
      </c>
      <c r="AN555" s="22">
        <f t="shared" si="123"/>
        <v>5.604018730639919E-5</v>
      </c>
      <c r="AO555" s="22">
        <f t="shared" si="123"/>
        <v>5.604018730639919E-5</v>
      </c>
      <c r="AP555" s="22">
        <f t="shared" si="123"/>
        <v>5.604018730639919E-5</v>
      </c>
      <c r="AQ555" s="22">
        <f t="shared" si="123"/>
        <v>5.604018730639919E-5</v>
      </c>
      <c r="AR555" s="22">
        <f t="shared" si="123"/>
        <v>5.604018730639919E-5</v>
      </c>
      <c r="AS555" s="22">
        <f t="shared" si="123"/>
        <v>5.604018730639919E-5</v>
      </c>
      <c r="AT555" s="22">
        <f t="shared" si="123"/>
        <v>5.604018730639919E-5</v>
      </c>
      <c r="AU555" s="22">
        <f t="shared" si="123"/>
        <v>5.604018730639919E-5</v>
      </c>
      <c r="AV555" s="22">
        <f t="shared" si="123"/>
        <v>5.604018730639919E-5</v>
      </c>
      <c r="AW555" s="22">
        <f t="shared" si="123"/>
        <v>5.604018730639919E-5</v>
      </c>
      <c r="AY555" s="85"/>
    </row>
    <row r="556" spans="1:51" x14ac:dyDescent="0.25">
      <c r="A556" s="102" t="str">
        <f t="shared" si="108"/>
        <v>PQ FSOM</v>
      </c>
      <c r="B556" s="102" t="s">
        <v>969</v>
      </c>
      <c r="C556" s="102" t="s">
        <v>60</v>
      </c>
      <c r="D556" t="s">
        <v>369</v>
      </c>
      <c r="E556" t="s">
        <v>55</v>
      </c>
      <c r="F556" t="s">
        <v>60</v>
      </c>
      <c r="G556" t="s">
        <v>1285</v>
      </c>
      <c r="H556" t="s">
        <v>1286</v>
      </c>
      <c r="J556" t="s">
        <v>287</v>
      </c>
      <c r="K556" s="22">
        <f t="shared" si="117"/>
        <v>6.110857899094551E-2</v>
      </c>
      <c r="L556" s="22">
        <f t="shared" si="123"/>
        <v>6.110857899094551E-2</v>
      </c>
      <c r="M556" s="22">
        <f t="shared" si="123"/>
        <v>6.110857899094551E-2</v>
      </c>
      <c r="N556" s="22">
        <f t="shared" si="123"/>
        <v>6.110857899094551E-2</v>
      </c>
      <c r="O556" s="22">
        <f t="shared" si="123"/>
        <v>6.110857899094551E-2</v>
      </c>
      <c r="P556" s="22">
        <f t="shared" si="123"/>
        <v>6.110857899094551E-2</v>
      </c>
      <c r="Q556" s="22">
        <f t="shared" si="123"/>
        <v>6.110857899094551E-2</v>
      </c>
      <c r="R556" s="22">
        <f t="shared" si="123"/>
        <v>6.110857899094551E-2</v>
      </c>
      <c r="S556" s="22">
        <f t="shared" si="123"/>
        <v>6.110857899094551E-2</v>
      </c>
      <c r="T556" s="22">
        <f t="shared" si="123"/>
        <v>6.110857899094551E-2</v>
      </c>
      <c r="U556" s="22">
        <f t="shared" si="123"/>
        <v>6.110857899094551E-2</v>
      </c>
      <c r="V556" s="22">
        <f t="shared" si="123"/>
        <v>6.110857899094551E-2</v>
      </c>
      <c r="W556" s="22">
        <f t="shared" si="123"/>
        <v>6.110857899094551E-2</v>
      </c>
      <c r="X556" s="22">
        <f t="shared" si="123"/>
        <v>6.110857899094551E-2</v>
      </c>
      <c r="Y556" s="22">
        <f t="shared" si="123"/>
        <v>6.110857899094551E-2</v>
      </c>
      <c r="Z556" s="22">
        <f t="shared" si="123"/>
        <v>6.110857899094551E-2</v>
      </c>
      <c r="AA556" s="22">
        <f t="shared" si="123"/>
        <v>6.110857899094551E-2</v>
      </c>
      <c r="AB556" s="22">
        <f t="shared" si="123"/>
        <v>6.110857899094551E-2</v>
      </c>
      <c r="AC556" s="22">
        <f t="shared" si="123"/>
        <v>6.110857899094551E-2</v>
      </c>
      <c r="AD556" s="22">
        <f t="shared" si="123"/>
        <v>6.110857899094551E-2</v>
      </c>
      <c r="AE556" s="22">
        <f t="shared" si="123"/>
        <v>6.110857899094551E-2</v>
      </c>
      <c r="AF556" s="22">
        <f t="shared" si="123"/>
        <v>6.110857899094551E-2</v>
      </c>
      <c r="AG556" s="22">
        <f t="shared" si="123"/>
        <v>6.110857899094551E-2</v>
      </c>
      <c r="AH556" s="22">
        <f t="shared" si="123"/>
        <v>6.110857899094551E-2</v>
      </c>
      <c r="AI556" s="22">
        <f t="shared" si="123"/>
        <v>6.110857899094551E-2</v>
      </c>
      <c r="AJ556" s="22">
        <f t="shared" si="123"/>
        <v>6.110857899094551E-2</v>
      </c>
      <c r="AK556" s="22">
        <f t="shared" si="123"/>
        <v>6.110857899094551E-2</v>
      </c>
      <c r="AL556" s="22">
        <f t="shared" si="123"/>
        <v>6.110857899094551E-2</v>
      </c>
      <c r="AM556" s="22">
        <f t="shared" si="123"/>
        <v>6.110857899094551E-2</v>
      </c>
      <c r="AN556" s="22">
        <f t="shared" si="123"/>
        <v>6.110857899094551E-2</v>
      </c>
      <c r="AO556" s="22">
        <f t="shared" si="123"/>
        <v>6.110857899094551E-2</v>
      </c>
      <c r="AP556" s="22">
        <f t="shared" si="123"/>
        <v>6.110857899094551E-2</v>
      </c>
      <c r="AQ556" s="22">
        <f t="shared" si="123"/>
        <v>6.110857899094551E-2</v>
      </c>
      <c r="AR556" s="22">
        <f t="shared" si="123"/>
        <v>6.110857899094551E-2</v>
      </c>
      <c r="AS556" s="22">
        <f t="shared" si="123"/>
        <v>6.110857899094551E-2</v>
      </c>
      <c r="AT556" s="22">
        <f t="shared" si="123"/>
        <v>6.110857899094551E-2</v>
      </c>
      <c r="AU556" s="22">
        <f t="shared" si="123"/>
        <v>6.110857899094551E-2</v>
      </c>
      <c r="AV556" s="22">
        <f t="shared" si="123"/>
        <v>6.110857899094551E-2</v>
      </c>
      <c r="AW556" s="22">
        <f t="shared" si="123"/>
        <v>6.110857899094551E-2</v>
      </c>
      <c r="AY556" s="85"/>
    </row>
    <row r="557" spans="1:51" x14ac:dyDescent="0.25">
      <c r="A557" s="102" t="str">
        <f t="shared" si="108"/>
        <v>PQ FSOM</v>
      </c>
      <c r="B557" s="102" t="s">
        <v>969</v>
      </c>
      <c r="C557" s="102" t="s">
        <v>60</v>
      </c>
      <c r="D557" t="s">
        <v>369</v>
      </c>
      <c r="E557" t="s">
        <v>55</v>
      </c>
      <c r="F557" t="s">
        <v>60</v>
      </c>
      <c r="G557" t="s">
        <v>1287</v>
      </c>
      <c r="H557" t="s">
        <v>1288</v>
      </c>
      <c r="J557" t="s">
        <v>287</v>
      </c>
      <c r="K557" s="22" t="str">
        <f t="shared" si="117"/>
        <v>NO</v>
      </c>
      <c r="L557" s="22" t="str">
        <f t="shared" si="123"/>
        <v>NO</v>
      </c>
      <c r="M557" s="22" t="str">
        <f t="shared" si="123"/>
        <v>NO</v>
      </c>
      <c r="N557" s="22" t="str">
        <f t="shared" si="123"/>
        <v>NO</v>
      </c>
      <c r="O557" s="22" t="str">
        <f t="shared" si="123"/>
        <v>NO</v>
      </c>
      <c r="P557" s="22" t="str">
        <f t="shared" si="123"/>
        <v>NO</v>
      </c>
      <c r="Q557" s="22" t="str">
        <f t="shared" si="123"/>
        <v>NO</v>
      </c>
      <c r="R557" s="22" t="str">
        <f t="shared" si="123"/>
        <v>NO</v>
      </c>
      <c r="S557" s="22" t="str">
        <f t="shared" si="123"/>
        <v>NO</v>
      </c>
      <c r="T557" s="22" t="str">
        <f t="shared" si="123"/>
        <v>NO</v>
      </c>
      <c r="U557" s="22" t="str">
        <f t="shared" si="123"/>
        <v>NO</v>
      </c>
      <c r="V557" s="22" t="str">
        <f t="shared" si="123"/>
        <v>NO</v>
      </c>
      <c r="W557" s="22" t="str">
        <f t="shared" si="123"/>
        <v>NO</v>
      </c>
      <c r="X557" s="22" t="str">
        <f t="shared" si="123"/>
        <v>NO</v>
      </c>
      <c r="Y557" s="22" t="str">
        <f t="shared" si="123"/>
        <v>NO</v>
      </c>
      <c r="Z557" s="22" t="str">
        <f t="shared" si="123"/>
        <v>NO</v>
      </c>
      <c r="AA557" s="22" t="str">
        <f t="shared" si="123"/>
        <v>NO</v>
      </c>
      <c r="AB557" s="22" t="str">
        <f t="shared" si="123"/>
        <v>NO</v>
      </c>
      <c r="AC557" s="22" t="str">
        <f t="shared" si="123"/>
        <v>NO</v>
      </c>
      <c r="AD557" s="22" t="str">
        <f t="shared" si="123"/>
        <v>NO</v>
      </c>
      <c r="AE557" s="22" t="str">
        <f t="shared" si="123"/>
        <v>NO</v>
      </c>
      <c r="AF557" s="22" t="str">
        <f t="shared" si="123"/>
        <v>NO</v>
      </c>
      <c r="AG557" s="22" t="str">
        <f t="shared" si="123"/>
        <v>NO</v>
      </c>
      <c r="AH557" s="22" t="str">
        <f t="shared" si="123"/>
        <v>NO</v>
      </c>
      <c r="AI557" s="22" t="str">
        <f t="shared" si="123"/>
        <v>NO</v>
      </c>
      <c r="AJ557" s="22" t="str">
        <f t="shared" si="123"/>
        <v>NO</v>
      </c>
      <c r="AK557" s="22" t="str">
        <f t="shared" si="123"/>
        <v>NO</v>
      </c>
      <c r="AL557" s="22" t="str">
        <f t="shared" si="123"/>
        <v>NO</v>
      </c>
      <c r="AM557" s="22" t="str">
        <f t="shared" si="123"/>
        <v>NO</v>
      </c>
      <c r="AN557" s="22" t="str">
        <f t="shared" si="123"/>
        <v>NO</v>
      </c>
      <c r="AO557" s="22" t="str">
        <f t="shared" si="123"/>
        <v>NO</v>
      </c>
      <c r="AP557" s="22" t="str">
        <f t="shared" si="123"/>
        <v>NO</v>
      </c>
      <c r="AQ557" s="22" t="str">
        <f t="shared" si="123"/>
        <v>NO</v>
      </c>
      <c r="AR557" s="22" t="str">
        <f t="shared" si="123"/>
        <v>NO</v>
      </c>
      <c r="AS557" s="22" t="str">
        <f t="shared" si="123"/>
        <v>NO</v>
      </c>
      <c r="AT557" s="22" t="str">
        <f t="shared" si="123"/>
        <v>NO</v>
      </c>
      <c r="AU557" s="22" t="str">
        <f t="shared" si="123"/>
        <v>NO</v>
      </c>
      <c r="AV557" s="22" t="str">
        <f t="shared" si="123"/>
        <v>NO</v>
      </c>
      <c r="AW557" s="22" t="str">
        <f t="shared" si="123"/>
        <v>NO</v>
      </c>
      <c r="AY557" s="85"/>
    </row>
    <row r="558" spans="1:51" x14ac:dyDescent="0.25">
      <c r="A558" s="102" t="str">
        <f t="shared" si="108"/>
        <v>PQ FSOM</v>
      </c>
      <c r="B558" s="102" t="s">
        <v>969</v>
      </c>
      <c r="C558" s="102" t="s">
        <v>60</v>
      </c>
      <c r="D558" t="s">
        <v>369</v>
      </c>
      <c r="E558" t="s">
        <v>55</v>
      </c>
      <c r="F558" t="s">
        <v>60</v>
      </c>
      <c r="G558" t="s">
        <v>1289</v>
      </c>
      <c r="H558" t="s">
        <v>1290</v>
      </c>
      <c r="J558" t="s">
        <v>287</v>
      </c>
      <c r="K558" s="22">
        <f t="shared" si="117"/>
        <v>3.1961717215001131</v>
      </c>
      <c r="L558" s="22">
        <f t="shared" si="123"/>
        <v>3.1961717215001131</v>
      </c>
      <c r="M558" s="22">
        <f t="shared" si="123"/>
        <v>3.1961717215001131</v>
      </c>
      <c r="N558" s="22">
        <f t="shared" si="123"/>
        <v>3.1961717215001131</v>
      </c>
      <c r="O558" s="22">
        <f t="shared" si="123"/>
        <v>3.1961717215001131</v>
      </c>
      <c r="P558" s="22">
        <f t="shared" si="123"/>
        <v>3.1961717215001131</v>
      </c>
      <c r="Q558" s="22">
        <f t="shared" si="123"/>
        <v>3.1961717215001131</v>
      </c>
      <c r="R558" s="22">
        <f t="shared" si="123"/>
        <v>3.1961717215001131</v>
      </c>
      <c r="S558" s="22">
        <f t="shared" si="123"/>
        <v>3.1961717215001131</v>
      </c>
      <c r="T558" s="22">
        <f t="shared" si="123"/>
        <v>3.1961717215001131</v>
      </c>
      <c r="U558" s="22">
        <f t="shared" si="123"/>
        <v>3.1961717215001131</v>
      </c>
      <c r="V558" s="22">
        <f t="shared" si="123"/>
        <v>3.1961717215001131</v>
      </c>
      <c r="W558" s="22">
        <f t="shared" si="123"/>
        <v>3.1961717215001131</v>
      </c>
      <c r="X558" s="22">
        <f t="shared" si="123"/>
        <v>3.1961717215001131</v>
      </c>
      <c r="Y558" s="22">
        <f t="shared" si="123"/>
        <v>3.1961717215001131</v>
      </c>
      <c r="Z558" s="22">
        <f t="shared" si="123"/>
        <v>3.1961717215001131</v>
      </c>
      <c r="AA558" s="22">
        <f t="shared" si="123"/>
        <v>3.1961717215001131</v>
      </c>
      <c r="AB558" s="22">
        <f t="shared" si="123"/>
        <v>3.1961717215001131</v>
      </c>
      <c r="AC558" s="22">
        <f t="shared" si="123"/>
        <v>3.1961717215001131</v>
      </c>
      <c r="AD558" s="22">
        <f t="shared" si="123"/>
        <v>3.1961717215001131</v>
      </c>
      <c r="AE558" s="22">
        <f t="shared" si="123"/>
        <v>3.1961717215001131</v>
      </c>
      <c r="AF558" s="22">
        <f t="shared" si="123"/>
        <v>3.1961717215001131</v>
      </c>
      <c r="AG558" s="22">
        <f t="shared" si="123"/>
        <v>3.1961717215001131</v>
      </c>
      <c r="AH558" s="22">
        <f t="shared" si="123"/>
        <v>3.1961717215001131</v>
      </c>
      <c r="AI558" s="22">
        <f t="shared" si="123"/>
        <v>3.1961717215001131</v>
      </c>
      <c r="AJ558" s="22">
        <f t="shared" si="123"/>
        <v>3.1961717215001131</v>
      </c>
      <c r="AK558" s="22">
        <f t="shared" si="123"/>
        <v>3.1961717215001131</v>
      </c>
      <c r="AL558" s="22">
        <f t="shared" si="123"/>
        <v>3.1961717215001131</v>
      </c>
      <c r="AM558" s="22">
        <f t="shared" si="123"/>
        <v>3.1961717215001131</v>
      </c>
      <c r="AN558" s="22">
        <f t="shared" si="123"/>
        <v>3.1961717215001131</v>
      </c>
      <c r="AO558" s="22">
        <f t="shared" si="123"/>
        <v>3.1961717215001131</v>
      </c>
      <c r="AP558" s="22">
        <f t="shared" si="123"/>
        <v>3.1961717215001131</v>
      </c>
      <c r="AQ558" s="22">
        <f t="shared" si="123"/>
        <v>3.1961717215001131</v>
      </c>
      <c r="AR558" s="22">
        <f t="shared" si="123"/>
        <v>3.1961717215001131</v>
      </c>
      <c r="AS558" s="22">
        <f t="shared" si="123"/>
        <v>3.1961717215001131</v>
      </c>
      <c r="AT558" s="22">
        <f t="shared" si="123"/>
        <v>3.1961717215001131</v>
      </c>
      <c r="AU558" s="22">
        <f t="shared" si="123"/>
        <v>3.1961717215001131</v>
      </c>
      <c r="AV558" s="22">
        <f t="shared" si="123"/>
        <v>3.1961717215001131</v>
      </c>
      <c r="AW558" s="22">
        <f t="shared" si="123"/>
        <v>3.1961717215001131</v>
      </c>
      <c r="AY558" s="85"/>
    </row>
    <row r="559" spans="1:51" x14ac:dyDescent="0.25">
      <c r="A559" s="102" t="str">
        <f t="shared" si="108"/>
        <v>PQ Volatilisation</v>
      </c>
      <c r="B559" s="102" t="s">
        <v>969</v>
      </c>
      <c r="C559" s="102" t="s">
        <v>62</v>
      </c>
      <c r="D559" t="s">
        <v>369</v>
      </c>
      <c r="E559" t="s">
        <v>61</v>
      </c>
      <c r="F559" t="s">
        <v>62</v>
      </c>
      <c r="G559" t="s">
        <v>435</v>
      </c>
      <c r="H559" t="s">
        <v>1185</v>
      </c>
      <c r="I559" t="s">
        <v>139</v>
      </c>
      <c r="J559" t="s">
        <v>287</v>
      </c>
      <c r="K559" s="22">
        <f t="shared" si="117"/>
        <v>0.66064812063358536</v>
      </c>
      <c r="L559" s="22">
        <f t="shared" si="123"/>
        <v>0.66055332632324659</v>
      </c>
      <c r="M559" s="22">
        <f t="shared" si="123"/>
        <v>0.66042378924026446</v>
      </c>
      <c r="N559" s="22">
        <f t="shared" si="123"/>
        <v>0.66032976249569819</v>
      </c>
      <c r="O559" s="22">
        <f t="shared" si="123"/>
        <v>0.66028397217143464</v>
      </c>
      <c r="P559" s="22">
        <f t="shared" si="123"/>
        <v>0.66023877667619957</v>
      </c>
      <c r="Q559" s="22">
        <f t="shared" si="123"/>
        <v>0.66017040685586048</v>
      </c>
      <c r="R559" s="22">
        <f t="shared" si="123"/>
        <v>0.66009555191940106</v>
      </c>
      <c r="S559" s="22">
        <f t="shared" si="123"/>
        <v>0.66007105452260206</v>
      </c>
      <c r="T559" s="22">
        <f t="shared" si="123"/>
        <v>0.6605210320148045</v>
      </c>
      <c r="U559" s="22">
        <f t="shared" si="123"/>
        <v>0.66038066881148649</v>
      </c>
      <c r="V559" s="22">
        <f t="shared" si="123"/>
        <v>0.660254471504373</v>
      </c>
      <c r="W559" s="22">
        <f t="shared" si="123"/>
        <v>0.66012944407562835</v>
      </c>
      <c r="X559" s="22">
        <f t="shared" si="123"/>
        <v>0.65998592560706049</v>
      </c>
      <c r="Y559" s="22">
        <f t="shared" si="123"/>
        <v>0.65984396481179586</v>
      </c>
      <c r="Z559" s="22">
        <f t="shared" ref="L559:AW566" si="124">Z1510</f>
        <v>0.65970003432051683</v>
      </c>
      <c r="AA559" s="22">
        <f t="shared" si="124"/>
        <v>0.65956223028685135</v>
      </c>
      <c r="AB559" s="22">
        <f t="shared" si="124"/>
        <v>0.65941853622185975</v>
      </c>
      <c r="AC559" s="22">
        <f t="shared" si="124"/>
        <v>0.65928505403904103</v>
      </c>
      <c r="AD559" s="22">
        <f t="shared" si="124"/>
        <v>0.65915038110737934</v>
      </c>
      <c r="AE559" s="22">
        <f t="shared" si="124"/>
        <v>0.65899366744546872</v>
      </c>
      <c r="AF559" s="22">
        <f t="shared" si="124"/>
        <v>0.65882822576482969</v>
      </c>
      <c r="AG559" s="22">
        <f t="shared" si="124"/>
        <v>0.65866069718802811</v>
      </c>
      <c r="AH559" s="22">
        <f t="shared" si="124"/>
        <v>0.65862744996812317</v>
      </c>
      <c r="AI559" s="22">
        <f t="shared" si="124"/>
        <v>0.67244352177988753</v>
      </c>
      <c r="AJ559" s="22">
        <f t="shared" si="124"/>
        <v>0.67246796459520652</v>
      </c>
      <c r="AK559" s="22">
        <f t="shared" si="124"/>
        <v>0.67249266471091262</v>
      </c>
      <c r="AL559" s="22">
        <f t="shared" si="124"/>
        <v>0.6725176256716463</v>
      </c>
      <c r="AM559" s="22">
        <f t="shared" si="124"/>
        <v>0.67254285108872014</v>
      </c>
      <c r="AN559" s="22">
        <f t="shared" si="124"/>
        <v>0.67256834464178161</v>
      </c>
      <c r="AO559" s="22">
        <f t="shared" si="124"/>
        <v>0.67259019731905478</v>
      </c>
      <c r="AP559" s="22">
        <f t="shared" si="124"/>
        <v>0.67261224822219834</v>
      </c>
      <c r="AQ559" s="22">
        <f t="shared" si="124"/>
        <v>0.67263449972304945</v>
      </c>
      <c r="AR559" s="22">
        <f t="shared" si="124"/>
        <v>0.67265695423235672</v>
      </c>
      <c r="AS559" s="22">
        <f t="shared" si="124"/>
        <v>0.67267961420062661</v>
      </c>
      <c r="AT559" s="22">
        <f t="shared" si="124"/>
        <v>0.67269840467448694</v>
      </c>
      <c r="AU559" s="22">
        <f t="shared" si="124"/>
        <v>0.67271733718738858</v>
      </c>
      <c r="AV559" s="22">
        <f t="shared" si="124"/>
        <v>0.67273641316511901</v>
      </c>
      <c r="AW559" s="22">
        <f t="shared" si="124"/>
        <v>0.67275563405315475</v>
      </c>
      <c r="AY559" s="85"/>
    </row>
    <row r="560" spans="1:51" x14ac:dyDescent="0.25">
      <c r="A560" s="102" t="str">
        <f t="shared" si="108"/>
        <v>PQ Volatilisation</v>
      </c>
      <c r="B560" s="102" t="s">
        <v>969</v>
      </c>
      <c r="C560" s="102" t="s">
        <v>62</v>
      </c>
      <c r="D560" t="s">
        <v>369</v>
      </c>
      <c r="E560" t="s">
        <v>61</v>
      </c>
      <c r="F560" t="s">
        <v>62</v>
      </c>
      <c r="G560" t="s">
        <v>436</v>
      </c>
      <c r="H560" t="s">
        <v>1186</v>
      </c>
      <c r="I560" t="s">
        <v>139</v>
      </c>
      <c r="J560" t="s">
        <v>287</v>
      </c>
      <c r="K560" s="22">
        <f t="shared" si="117"/>
        <v>8.720555192363328E-3</v>
      </c>
      <c r="L560" s="22">
        <f t="shared" si="124"/>
        <v>8.7193039074668528E-3</v>
      </c>
      <c r="M560" s="22">
        <f t="shared" si="124"/>
        <v>8.7175940179714945E-3</v>
      </c>
      <c r="N560" s="22">
        <f t="shared" si="124"/>
        <v>8.7163528649432196E-3</v>
      </c>
      <c r="O560" s="22">
        <f t="shared" si="124"/>
        <v>8.7157484326629356E-3</v>
      </c>
      <c r="P560" s="22">
        <f t="shared" si="124"/>
        <v>8.715151852125836E-3</v>
      </c>
      <c r="Q560" s="22">
        <f t="shared" si="124"/>
        <v>8.7142493704973605E-3</v>
      </c>
      <c r="R560" s="22">
        <f t="shared" si="124"/>
        <v>8.713261285336095E-3</v>
      </c>
      <c r="S560" s="22">
        <f t="shared" si="124"/>
        <v>8.7129379196983492E-3</v>
      </c>
      <c r="T560" s="22">
        <f t="shared" si="124"/>
        <v>8.7188776225954213E-3</v>
      </c>
      <c r="U560" s="22">
        <f t="shared" si="124"/>
        <v>8.7170248283116227E-3</v>
      </c>
      <c r="V560" s="22">
        <f t="shared" si="124"/>
        <v>8.7153590238577237E-3</v>
      </c>
      <c r="W560" s="22">
        <f t="shared" si="124"/>
        <v>8.7137086617982938E-3</v>
      </c>
      <c r="X560" s="22">
        <f t="shared" si="124"/>
        <v>8.7118142180131995E-3</v>
      </c>
      <c r="Y560" s="22">
        <f t="shared" si="124"/>
        <v>8.7099403355157048E-3</v>
      </c>
      <c r="Z560" s="22">
        <f t="shared" si="124"/>
        <v>8.7080404530308231E-3</v>
      </c>
      <c r="AA560" s="22">
        <f t="shared" si="124"/>
        <v>8.7062214397864383E-3</v>
      </c>
      <c r="AB560" s="22">
        <f t="shared" si="124"/>
        <v>8.704324678128551E-3</v>
      </c>
      <c r="AC560" s="22">
        <f t="shared" si="124"/>
        <v>8.7025627133153448E-3</v>
      </c>
      <c r="AD560" s="22">
        <f t="shared" si="124"/>
        <v>8.7007850306174105E-3</v>
      </c>
      <c r="AE560" s="22">
        <f t="shared" si="124"/>
        <v>8.698716410280187E-3</v>
      </c>
      <c r="AF560" s="22">
        <f t="shared" si="124"/>
        <v>8.6965325800957543E-3</v>
      </c>
      <c r="AG560" s="22">
        <f t="shared" si="124"/>
        <v>8.694321202881973E-3</v>
      </c>
      <c r="AH560" s="22">
        <f t="shared" si="124"/>
        <v>8.6938823395792293E-3</v>
      </c>
      <c r="AI560" s="22">
        <f t="shared" si="124"/>
        <v>8.8762544874945153E-3</v>
      </c>
      <c r="AJ560" s="22">
        <f t="shared" si="124"/>
        <v>8.876577132656726E-3</v>
      </c>
      <c r="AK560" s="22">
        <f t="shared" si="124"/>
        <v>8.8769031741840459E-3</v>
      </c>
      <c r="AL560" s="22">
        <f t="shared" si="124"/>
        <v>8.8772326588657333E-3</v>
      </c>
      <c r="AM560" s="22">
        <f t="shared" si="124"/>
        <v>8.8775656343711064E-3</v>
      </c>
      <c r="AN560" s="22">
        <f t="shared" si="124"/>
        <v>8.877902149271517E-3</v>
      </c>
      <c r="AO560" s="22">
        <f t="shared" si="124"/>
        <v>8.8781906046115251E-3</v>
      </c>
      <c r="AP560" s="22">
        <f t="shared" si="124"/>
        <v>8.8784816765330177E-3</v>
      </c>
      <c r="AQ560" s="22">
        <f t="shared" si="124"/>
        <v>8.8787753963442528E-3</v>
      </c>
      <c r="AR560" s="22">
        <f t="shared" si="124"/>
        <v>8.8790717958671054E-3</v>
      </c>
      <c r="AS560" s="22">
        <f t="shared" si="124"/>
        <v>8.8793709074482721E-3</v>
      </c>
      <c r="AT560" s="22">
        <f t="shared" si="124"/>
        <v>8.8796189417032281E-3</v>
      </c>
      <c r="AU560" s="22">
        <f t="shared" si="124"/>
        <v>8.8798688508735287E-3</v>
      </c>
      <c r="AV560" s="22">
        <f t="shared" si="124"/>
        <v>8.8801206537795687E-3</v>
      </c>
      <c r="AW560" s="22">
        <f t="shared" si="124"/>
        <v>8.8803743695016445E-3</v>
      </c>
      <c r="AY560" s="85"/>
    </row>
    <row r="561" spans="1:51" x14ac:dyDescent="0.25">
      <c r="A561" s="102" t="str">
        <f t="shared" si="108"/>
        <v>PQ Volatilisation</v>
      </c>
      <c r="B561" s="102" t="s">
        <v>969</v>
      </c>
      <c r="C561" s="102" t="s">
        <v>62</v>
      </c>
      <c r="D561" t="s">
        <v>369</v>
      </c>
      <c r="E561" t="s">
        <v>61</v>
      </c>
      <c r="F561" t="s">
        <v>62</v>
      </c>
      <c r="G561" t="s">
        <v>437</v>
      </c>
      <c r="H561" t="s">
        <v>1187</v>
      </c>
      <c r="I561" t="s">
        <v>139</v>
      </c>
      <c r="J561" t="s">
        <v>287</v>
      </c>
      <c r="K561" s="22">
        <f t="shared" si="117"/>
        <v>1.2093332917192059</v>
      </c>
      <c r="L561" s="22">
        <f t="shared" si="124"/>
        <v>1.212549014194676</v>
      </c>
      <c r="M561" s="22">
        <f t="shared" si="124"/>
        <v>1.2080675975352919</v>
      </c>
      <c r="N561" s="22">
        <f t="shared" si="124"/>
        <v>1.1932021188168924</v>
      </c>
      <c r="O561" s="22">
        <f t="shared" si="124"/>
        <v>1.1789615688677482</v>
      </c>
      <c r="P561" s="22">
        <f t="shared" si="124"/>
        <v>1.1704734210058418</v>
      </c>
      <c r="Q561" s="22">
        <f t="shared" si="124"/>
        <v>1.1638691365373428</v>
      </c>
      <c r="R561" s="22">
        <f t="shared" si="124"/>
        <v>1.1469007270703131</v>
      </c>
      <c r="S561" s="22">
        <f t="shared" si="124"/>
        <v>1.0343013809056243</v>
      </c>
      <c r="T561" s="22">
        <f t="shared" si="124"/>
        <v>1.0481909256150905</v>
      </c>
      <c r="U561" s="22">
        <f t="shared" si="124"/>
        <v>1.0595148748541463</v>
      </c>
      <c r="V561" s="22">
        <f t="shared" si="124"/>
        <v>1.0708200492308082</v>
      </c>
      <c r="W561" s="22">
        <f t="shared" si="124"/>
        <v>1.0860105374840394</v>
      </c>
      <c r="X561" s="22">
        <f t="shared" si="124"/>
        <v>1.1011136627598048</v>
      </c>
      <c r="Y561" s="22">
        <f t="shared" si="124"/>
        <v>1.1168753754822469</v>
      </c>
      <c r="Z561" s="22">
        <f t="shared" si="124"/>
        <v>1.1316116174141071</v>
      </c>
      <c r="AA561" s="22">
        <f t="shared" si="124"/>
        <v>1.1477472664244306</v>
      </c>
      <c r="AB561" s="22">
        <f t="shared" si="124"/>
        <v>1.162000977077071</v>
      </c>
      <c r="AC561" s="22">
        <f t="shared" si="124"/>
        <v>1.1766850766989885</v>
      </c>
      <c r="AD561" s="22">
        <f t="shared" si="124"/>
        <v>1.1920390141813535</v>
      </c>
      <c r="AE561" s="22">
        <f t="shared" si="124"/>
        <v>1.209291621864601</v>
      </c>
      <c r="AF561" s="22">
        <f t="shared" si="124"/>
        <v>1.2270828646029268</v>
      </c>
      <c r="AG561" s="22">
        <f t="shared" si="124"/>
        <v>1.2169487802084893</v>
      </c>
      <c r="AH561" s="22">
        <f t="shared" si="124"/>
        <v>-0.11188522139136049</v>
      </c>
      <c r="AI561" s="22">
        <f t="shared" si="124"/>
        <v>-0.10923992354699982</v>
      </c>
      <c r="AJ561" s="22">
        <f t="shared" si="124"/>
        <v>-0.10664295801578709</v>
      </c>
      <c r="AK561" s="22">
        <f t="shared" si="124"/>
        <v>-0.10409179637304686</v>
      </c>
      <c r="AL561" s="22">
        <f t="shared" si="124"/>
        <v>-0.10158408786075553</v>
      </c>
      <c r="AM561" s="22">
        <f t="shared" si="124"/>
        <v>-9.911764281122247E-2</v>
      </c>
      <c r="AN561" s="22">
        <f t="shared" si="124"/>
        <v>-9.7051147987208763E-2</v>
      </c>
      <c r="AO561" s="22">
        <f t="shared" si="124"/>
        <v>-9.5020146872529937E-2</v>
      </c>
      <c r="AP561" s="22">
        <f t="shared" si="124"/>
        <v>-9.3023012126499452E-2</v>
      </c>
      <c r="AQ561" s="22">
        <f t="shared" si="124"/>
        <v>-9.1058219239636279E-2</v>
      </c>
      <c r="AR561" s="22">
        <f t="shared" si="124"/>
        <v>-8.9124337939456066E-2</v>
      </c>
      <c r="AS561" s="22">
        <f t="shared" si="124"/>
        <v>-8.7091918156742387E-2</v>
      </c>
      <c r="AT561" s="22">
        <f t="shared" si="124"/>
        <v>-8.5090852576232723E-2</v>
      </c>
      <c r="AU561" s="22">
        <f t="shared" si="124"/>
        <v>-8.3119887513720792E-2</v>
      </c>
      <c r="AV561" s="22">
        <f t="shared" si="124"/>
        <v>-8.1177840815191041E-2</v>
      </c>
      <c r="AW561" s="22">
        <f t="shared" si="124"/>
        <v>-7.9263596467564895E-2</v>
      </c>
      <c r="AY561" s="85"/>
    </row>
    <row r="562" spans="1:51" x14ac:dyDescent="0.25">
      <c r="A562" s="102" t="str">
        <f t="shared" si="108"/>
        <v>PQ Volatilisation</v>
      </c>
      <c r="B562" s="102" t="s">
        <v>969</v>
      </c>
      <c r="C562" s="102" t="s">
        <v>62</v>
      </c>
      <c r="D562" t="s">
        <v>369</v>
      </c>
      <c r="E562" t="s">
        <v>61</v>
      </c>
      <c r="F562" t="s">
        <v>62</v>
      </c>
      <c r="G562" t="s">
        <v>438</v>
      </c>
      <c r="H562" t="s">
        <v>1266</v>
      </c>
      <c r="I562" t="s">
        <v>139</v>
      </c>
      <c r="J562" t="s">
        <v>287</v>
      </c>
      <c r="K562" s="22">
        <f t="shared" si="117"/>
        <v>4.4200208339270741</v>
      </c>
      <c r="L562" s="22">
        <f t="shared" si="124"/>
        <v>4.4063497224338981</v>
      </c>
      <c r="M562" s="22">
        <f t="shared" si="124"/>
        <v>4.3748236308422763</v>
      </c>
      <c r="N562" s="22">
        <f t="shared" si="124"/>
        <v>4.3194633293945399</v>
      </c>
      <c r="O562" s="22">
        <f t="shared" si="124"/>
        <v>4.2670975633063994</v>
      </c>
      <c r="P562" s="22">
        <f t="shared" si="124"/>
        <v>4.2296870830077653</v>
      </c>
      <c r="Q562" s="22">
        <f t="shared" si="124"/>
        <v>4.1973003663588617</v>
      </c>
      <c r="R562" s="22">
        <f t="shared" si="124"/>
        <v>4.1416337219460111</v>
      </c>
      <c r="S562" s="22">
        <f t="shared" si="124"/>
        <v>3.8694283391195556</v>
      </c>
      <c r="T562" s="22">
        <f t="shared" si="124"/>
        <v>3.892690707807458</v>
      </c>
      <c r="U562" s="22">
        <f t="shared" si="124"/>
        <v>3.910223559811274</v>
      </c>
      <c r="V562" s="22">
        <f t="shared" si="124"/>
        <v>3.9277946028277135</v>
      </c>
      <c r="W562" s="22">
        <f t="shared" si="124"/>
        <v>3.9540546968376762</v>
      </c>
      <c r="X562" s="22">
        <f t="shared" si="124"/>
        <v>3.9800525826427466</v>
      </c>
      <c r="Y562" s="22">
        <f t="shared" si="124"/>
        <v>4.0052503163811615</v>
      </c>
      <c r="Z562" s="22">
        <f t="shared" si="124"/>
        <v>4.0280715770679869</v>
      </c>
      <c r="AA562" s="22">
        <f t="shared" si="124"/>
        <v>4.0537990986432781</v>
      </c>
      <c r="AB562" s="22">
        <f t="shared" si="124"/>
        <v>4.0752877726899488</v>
      </c>
      <c r="AC562" s="22">
        <f t="shared" si="124"/>
        <v>4.0975518352324007</v>
      </c>
      <c r="AD562" s="22">
        <f t="shared" si="124"/>
        <v>4.1101837888002137</v>
      </c>
      <c r="AE562" s="22">
        <f t="shared" si="124"/>
        <v>4.1260897941446899</v>
      </c>
      <c r="AF562" s="22">
        <f t="shared" si="124"/>
        <v>4.1422931340887423</v>
      </c>
      <c r="AG562" s="22">
        <f t="shared" si="124"/>
        <v>4.1002928018965292</v>
      </c>
      <c r="AH562" s="22">
        <f t="shared" si="124"/>
        <v>1.3815874291099948</v>
      </c>
      <c r="AI562" s="22">
        <f t="shared" si="124"/>
        <v>1.3949306414379468</v>
      </c>
      <c r="AJ562" s="22">
        <f t="shared" si="124"/>
        <v>1.4082841741429419</v>
      </c>
      <c r="AK562" s="22">
        <f t="shared" si="124"/>
        <v>1.4216501520712144</v>
      </c>
      <c r="AL562" s="22">
        <f t="shared" si="124"/>
        <v>1.4350306139589808</v>
      </c>
      <c r="AM562" s="22">
        <f t="shared" si="124"/>
        <v>1.4484275190090183</v>
      </c>
      <c r="AN562" s="22">
        <f t="shared" si="124"/>
        <v>1.4583849717914823</v>
      </c>
      <c r="AO562" s="22">
        <f t="shared" si="124"/>
        <v>1.4683627043177812</v>
      </c>
      <c r="AP562" s="22">
        <f t="shared" si="124"/>
        <v>1.4783612830909323</v>
      </c>
      <c r="AQ562" s="22">
        <f t="shared" si="124"/>
        <v>1.4883812733334345</v>
      </c>
      <c r="AR562" s="22">
        <f t="shared" si="124"/>
        <v>1.4984232382688703</v>
      </c>
      <c r="AS562" s="22">
        <f t="shared" si="124"/>
        <v>1.5071704030997894</v>
      </c>
      <c r="AT562" s="22">
        <f t="shared" si="124"/>
        <v>1.5159247272983905</v>
      </c>
      <c r="AU562" s="22">
        <f t="shared" si="124"/>
        <v>1.5246866021590828</v>
      </c>
      <c r="AV562" s="22">
        <f t="shared" si="124"/>
        <v>1.5334564173590695</v>
      </c>
      <c r="AW562" s="22">
        <f t="shared" si="124"/>
        <v>1.5422345604898144</v>
      </c>
      <c r="AY562" s="85"/>
    </row>
    <row r="563" spans="1:51" x14ac:dyDescent="0.25">
      <c r="A563" s="102" t="str">
        <f t="shared" si="108"/>
        <v>PQ Leaching</v>
      </c>
      <c r="B563" s="102" t="s">
        <v>969</v>
      </c>
      <c r="C563" s="102" t="s">
        <v>1191</v>
      </c>
      <c r="D563" t="s">
        <v>369</v>
      </c>
      <c r="E563" t="s">
        <v>61</v>
      </c>
      <c r="F563" t="s">
        <v>63</v>
      </c>
      <c r="G563" t="s">
        <v>435</v>
      </c>
      <c r="H563" t="s">
        <v>1188</v>
      </c>
      <c r="I563" t="s">
        <v>139</v>
      </c>
      <c r="J563" t="s">
        <v>287</v>
      </c>
      <c r="K563" s="22">
        <f t="shared" si="117"/>
        <v>2.2792360161858692E-4</v>
      </c>
      <c r="L563" s="22">
        <f t="shared" si="124"/>
        <v>2.2789089758152E-4</v>
      </c>
      <c r="M563" s="22">
        <f t="shared" si="124"/>
        <v>2.2784620728789122E-4</v>
      </c>
      <c r="N563" s="22">
        <f t="shared" si="124"/>
        <v>2.2781376806101585E-4</v>
      </c>
      <c r="O563" s="22">
        <f t="shared" si="124"/>
        <v>2.277979703991449E-4</v>
      </c>
      <c r="P563" s="22">
        <f t="shared" si="124"/>
        <v>2.2778237795328883E-4</v>
      </c>
      <c r="Q563" s="22">
        <f t="shared" si="124"/>
        <v>2.2775879036527182E-4</v>
      </c>
      <c r="R563" s="22">
        <f t="shared" si="124"/>
        <v>2.2773296541219322E-4</v>
      </c>
      <c r="S563" s="22">
        <f t="shared" si="124"/>
        <v>2.2772451381029767E-4</v>
      </c>
      <c r="T563" s="22">
        <f t="shared" si="124"/>
        <v>2.2787975604510752E-4</v>
      </c>
      <c r="U563" s="22">
        <f t="shared" si="124"/>
        <v>2.2783133073996282E-4</v>
      </c>
      <c r="V563" s="22">
        <f t="shared" si="124"/>
        <v>2.2778779266900863E-4</v>
      </c>
      <c r="W563" s="22">
        <f t="shared" si="124"/>
        <v>2.2774465820609167E-4</v>
      </c>
      <c r="X563" s="22">
        <f t="shared" si="124"/>
        <v>2.2769514433443585E-4</v>
      </c>
      <c r="Y563" s="22">
        <f t="shared" si="124"/>
        <v>2.2764616786006951E-4</v>
      </c>
      <c r="Z563" s="22">
        <f t="shared" si="124"/>
        <v>2.2759651184057824E-4</v>
      </c>
      <c r="AA563" s="22">
        <f t="shared" si="124"/>
        <v>2.2754896944896373E-4</v>
      </c>
      <c r="AB563" s="22">
        <f t="shared" si="124"/>
        <v>2.2749939499654159E-4</v>
      </c>
      <c r="AC563" s="22">
        <f t="shared" si="124"/>
        <v>2.2745334364346914E-4</v>
      </c>
      <c r="AD563" s="22">
        <f t="shared" si="124"/>
        <v>2.2740688148204587E-4</v>
      </c>
      <c r="AE563" s="22">
        <f t="shared" si="124"/>
        <v>2.2735281526868665E-4</v>
      </c>
      <c r="AF563" s="22">
        <f t="shared" si="124"/>
        <v>2.2729573788886622E-4</v>
      </c>
      <c r="AG563" s="22">
        <f t="shared" si="124"/>
        <v>2.2723794052986968E-4</v>
      </c>
      <c r="AH563" s="22">
        <f t="shared" si="124"/>
        <v>2.2722647023900249E-4</v>
      </c>
      <c r="AI563" s="22">
        <f t="shared" si="124"/>
        <v>2.3199301501406117E-4</v>
      </c>
      <c r="AJ563" s="22">
        <f t="shared" si="124"/>
        <v>2.3200144778534623E-4</v>
      </c>
      <c r="AK563" s="22">
        <f t="shared" si="124"/>
        <v>2.3200996932526481E-4</v>
      </c>
      <c r="AL563" s="22">
        <f t="shared" si="124"/>
        <v>2.3201858085671791E-4</v>
      </c>
      <c r="AM563" s="22">
        <f t="shared" si="124"/>
        <v>2.3202728362560843E-4</v>
      </c>
      <c r="AN563" s="22">
        <f t="shared" si="124"/>
        <v>2.3203607890141459E-4</v>
      </c>
      <c r="AO563" s="22">
        <f t="shared" si="124"/>
        <v>2.3204361807507387E-4</v>
      </c>
      <c r="AP563" s="22">
        <f t="shared" si="124"/>
        <v>2.3205122563665836E-4</v>
      </c>
      <c r="AQ563" s="22">
        <f t="shared" si="124"/>
        <v>2.3205890240445205E-4</v>
      </c>
      <c r="AR563" s="22">
        <f t="shared" si="124"/>
        <v>2.3206664921016296E-4</v>
      </c>
      <c r="AS563" s="22">
        <f t="shared" si="124"/>
        <v>2.3207446689921618E-4</v>
      </c>
      <c r="AT563" s="22">
        <f t="shared" si="124"/>
        <v>2.3208094961269798E-4</v>
      </c>
      <c r="AU563" s="22">
        <f t="shared" si="124"/>
        <v>2.3208748132964898E-4</v>
      </c>
      <c r="AV563" s="22">
        <f t="shared" si="124"/>
        <v>2.3209406254196601E-4</v>
      </c>
      <c r="AW563" s="22">
        <f t="shared" si="124"/>
        <v>2.3210069374833838E-4</v>
      </c>
      <c r="AY563" s="85"/>
    </row>
    <row r="564" spans="1:51" x14ac:dyDescent="0.25">
      <c r="A564" s="102" t="str">
        <f t="shared" si="108"/>
        <v>PQ Leaching</v>
      </c>
      <c r="B564" s="102" t="s">
        <v>969</v>
      </c>
      <c r="C564" s="102" t="s">
        <v>1191</v>
      </c>
      <c r="D564" t="s">
        <v>369</v>
      </c>
      <c r="E564" t="s">
        <v>61</v>
      </c>
      <c r="F564" t="s">
        <v>63</v>
      </c>
      <c r="G564" t="s">
        <v>436</v>
      </c>
      <c r="H564" t="s">
        <v>1189</v>
      </c>
      <c r="I564" t="s">
        <v>139</v>
      </c>
      <c r="J564" t="s">
        <v>287</v>
      </c>
      <c r="K564" s="22">
        <f t="shared" si="117"/>
        <v>1.5042957706826741E-6</v>
      </c>
      <c r="L564" s="22">
        <f t="shared" si="124"/>
        <v>1.5040799240380321E-6</v>
      </c>
      <c r="M564" s="22">
        <f t="shared" si="124"/>
        <v>1.5037849681000825E-6</v>
      </c>
      <c r="N564" s="22">
        <f t="shared" si="124"/>
        <v>1.5035708692027049E-6</v>
      </c>
      <c r="O564" s="22">
        <f t="shared" si="124"/>
        <v>1.5034666046343562E-6</v>
      </c>
      <c r="P564" s="22">
        <f t="shared" si="124"/>
        <v>1.5033636944917065E-6</v>
      </c>
      <c r="Q564" s="22">
        <f t="shared" si="124"/>
        <v>1.5032080164107946E-6</v>
      </c>
      <c r="R564" s="22">
        <f t="shared" si="124"/>
        <v>1.5030375717204757E-6</v>
      </c>
      <c r="S564" s="22">
        <f t="shared" si="124"/>
        <v>1.5029817911479652E-6</v>
      </c>
      <c r="T564" s="22">
        <f t="shared" si="124"/>
        <v>1.5040063898977102E-6</v>
      </c>
      <c r="U564" s="22">
        <f t="shared" si="124"/>
        <v>1.503686782883755E-6</v>
      </c>
      <c r="V564" s="22">
        <f t="shared" si="124"/>
        <v>1.5033994316154569E-6</v>
      </c>
      <c r="W564" s="22">
        <f t="shared" si="124"/>
        <v>1.5031147441602057E-6</v>
      </c>
      <c r="X564" s="22">
        <f t="shared" si="124"/>
        <v>1.5027879526072768E-6</v>
      </c>
      <c r="Y564" s="22">
        <f t="shared" si="124"/>
        <v>1.5024647078764589E-6</v>
      </c>
      <c r="Z564" s="22">
        <f t="shared" si="124"/>
        <v>1.5021369781478169E-6</v>
      </c>
      <c r="AA564" s="22">
        <f t="shared" si="124"/>
        <v>1.5018231983631605E-6</v>
      </c>
      <c r="AB564" s="22">
        <f t="shared" si="124"/>
        <v>1.5014960069771748E-6</v>
      </c>
      <c r="AC564" s="22">
        <f t="shared" si="124"/>
        <v>1.5011920680468966E-6</v>
      </c>
      <c r="AD564" s="22">
        <f t="shared" si="124"/>
        <v>1.5008854177815029E-6</v>
      </c>
      <c r="AE564" s="22">
        <f t="shared" si="124"/>
        <v>1.5005285807733322E-6</v>
      </c>
      <c r="AF564" s="22">
        <f t="shared" si="124"/>
        <v>1.5001518700665174E-6</v>
      </c>
      <c r="AG564" s="22">
        <f t="shared" si="124"/>
        <v>1.4997704074971401E-6</v>
      </c>
      <c r="AH564" s="22">
        <f t="shared" si="124"/>
        <v>1.4996947035774166E-6</v>
      </c>
      <c r="AI564" s="22">
        <f t="shared" si="124"/>
        <v>1.5311538990928041E-6</v>
      </c>
      <c r="AJ564" s="22">
        <f t="shared" si="124"/>
        <v>1.531209555383285E-6</v>
      </c>
      <c r="AK564" s="22">
        <f t="shared" si="124"/>
        <v>1.5312657975467479E-6</v>
      </c>
      <c r="AL564" s="22">
        <f t="shared" si="124"/>
        <v>1.5313226336543386E-6</v>
      </c>
      <c r="AM564" s="22">
        <f t="shared" si="124"/>
        <v>1.5313800719290159E-6</v>
      </c>
      <c r="AN564" s="22">
        <f t="shared" si="124"/>
        <v>1.5314381207493371E-6</v>
      </c>
      <c r="AO564" s="22">
        <f t="shared" si="124"/>
        <v>1.5314878792954879E-6</v>
      </c>
      <c r="AP564" s="22">
        <f t="shared" si="124"/>
        <v>1.5315380892019456E-6</v>
      </c>
      <c r="AQ564" s="22">
        <f t="shared" si="124"/>
        <v>1.5315887558693837E-6</v>
      </c>
      <c r="AR564" s="22">
        <f t="shared" si="124"/>
        <v>1.5316398847870756E-6</v>
      </c>
      <c r="AS564" s="22">
        <f t="shared" si="124"/>
        <v>1.5316914815348266E-6</v>
      </c>
      <c r="AT564" s="22">
        <f t="shared" si="124"/>
        <v>1.5317342674438069E-6</v>
      </c>
      <c r="AU564" s="22">
        <f t="shared" si="124"/>
        <v>1.531777376775684E-6</v>
      </c>
      <c r="AV564" s="22">
        <f t="shared" si="124"/>
        <v>1.5318208127769759E-6</v>
      </c>
      <c r="AW564" s="22">
        <f t="shared" si="124"/>
        <v>1.5318645787390334E-6</v>
      </c>
      <c r="AY564" s="85"/>
    </row>
    <row r="565" spans="1:51" x14ac:dyDescent="0.25">
      <c r="A565" s="102" t="str">
        <f t="shared" si="108"/>
        <v>PQ Leaching</v>
      </c>
      <c r="B565" s="102" t="s">
        <v>969</v>
      </c>
      <c r="C565" s="102" t="s">
        <v>1191</v>
      </c>
      <c r="D565" t="s">
        <v>369</v>
      </c>
      <c r="E565" t="s">
        <v>61</v>
      </c>
      <c r="F565" t="s">
        <v>63</v>
      </c>
      <c r="G565" t="s">
        <v>437</v>
      </c>
      <c r="H565" t="s">
        <v>1190</v>
      </c>
      <c r="I565" t="s">
        <v>139</v>
      </c>
      <c r="J565" t="s">
        <v>287</v>
      </c>
      <c r="K565" s="22">
        <f t="shared" si="117"/>
        <v>0.20860999282156298</v>
      </c>
      <c r="L565" s="22">
        <f t="shared" si="124"/>
        <v>0.20916470494858161</v>
      </c>
      <c r="M565" s="22">
        <f t="shared" si="124"/>
        <v>0.20839166057483782</v>
      </c>
      <c r="N565" s="22">
        <f t="shared" si="124"/>
        <v>0.20582736549591388</v>
      </c>
      <c r="O565" s="22">
        <f t="shared" si="124"/>
        <v>0.20337087062968656</v>
      </c>
      <c r="P565" s="22">
        <f t="shared" si="124"/>
        <v>0.20190666512350769</v>
      </c>
      <c r="Q565" s="22">
        <f t="shared" si="124"/>
        <v>0.2007674260526916</v>
      </c>
      <c r="R565" s="22">
        <f t="shared" si="124"/>
        <v>0.19784037541962898</v>
      </c>
      <c r="S565" s="22">
        <f t="shared" si="124"/>
        <v>0.17841698820622015</v>
      </c>
      <c r="T565" s="22">
        <f t="shared" si="124"/>
        <v>0.18081293466860307</v>
      </c>
      <c r="U565" s="22">
        <f t="shared" si="124"/>
        <v>0.18276631591234022</v>
      </c>
      <c r="V565" s="22">
        <f t="shared" si="124"/>
        <v>0.18471645849231438</v>
      </c>
      <c r="W565" s="22">
        <f t="shared" si="124"/>
        <v>0.18733681771599675</v>
      </c>
      <c r="X565" s="22">
        <f t="shared" si="124"/>
        <v>0.18994210682606633</v>
      </c>
      <c r="Y565" s="22">
        <f t="shared" si="124"/>
        <v>0.19266100227068755</v>
      </c>
      <c r="Z565" s="22">
        <f t="shared" si="124"/>
        <v>0.19520300400393342</v>
      </c>
      <c r="AA565" s="22">
        <f t="shared" si="124"/>
        <v>0.19798640345821425</v>
      </c>
      <c r="AB565" s="22">
        <f t="shared" si="124"/>
        <v>0.20044516854579475</v>
      </c>
      <c r="AC565" s="22">
        <f t="shared" si="124"/>
        <v>0.20297817573057544</v>
      </c>
      <c r="AD565" s="22">
        <f t="shared" si="124"/>
        <v>0.2056267299462835</v>
      </c>
      <c r="AE565" s="22">
        <f t="shared" si="124"/>
        <v>0.20860280477164364</v>
      </c>
      <c r="AF565" s="22">
        <f t="shared" si="124"/>
        <v>0.21167179414400486</v>
      </c>
      <c r="AG565" s="22">
        <f t="shared" si="124"/>
        <v>0.20992366458596434</v>
      </c>
      <c r="AH565" s="22">
        <f t="shared" si="124"/>
        <v>-1.9300200690009681E-2</v>
      </c>
      <c r="AI565" s="22">
        <f t="shared" si="124"/>
        <v>-1.8843886811857471E-2</v>
      </c>
      <c r="AJ565" s="22">
        <f t="shared" si="124"/>
        <v>-1.8395910257723268E-2</v>
      </c>
      <c r="AK565" s="22">
        <f t="shared" si="124"/>
        <v>-1.7955834874350582E-2</v>
      </c>
      <c r="AL565" s="22">
        <f t="shared" si="124"/>
        <v>-1.7523255155980324E-2</v>
      </c>
      <c r="AM565" s="22">
        <f t="shared" si="124"/>
        <v>-1.7097793384935875E-2</v>
      </c>
      <c r="AN565" s="22">
        <f t="shared" si="124"/>
        <v>-1.6741323027793506E-2</v>
      </c>
      <c r="AO565" s="22">
        <f t="shared" si="124"/>
        <v>-1.6390975335511412E-2</v>
      </c>
      <c r="AP565" s="22">
        <f t="shared" si="124"/>
        <v>-1.6046469591821155E-2</v>
      </c>
      <c r="AQ565" s="22">
        <f t="shared" si="124"/>
        <v>-1.5707542818837256E-2</v>
      </c>
      <c r="AR565" s="22">
        <f t="shared" si="124"/>
        <v>-1.5373948294556171E-2</v>
      </c>
      <c r="AS565" s="22">
        <f t="shared" si="124"/>
        <v>-1.5023355882038061E-2</v>
      </c>
      <c r="AT565" s="22">
        <f t="shared" si="124"/>
        <v>-1.4678172069400145E-2</v>
      </c>
      <c r="AU565" s="22">
        <f t="shared" si="124"/>
        <v>-1.4338180596116832E-2</v>
      </c>
      <c r="AV565" s="22">
        <f t="shared" si="124"/>
        <v>-1.4003177540620452E-2</v>
      </c>
      <c r="AW565" s="22">
        <f t="shared" si="124"/>
        <v>-1.367297039065494E-2</v>
      </c>
      <c r="AY565" s="85"/>
    </row>
    <row r="566" spans="1:51" x14ac:dyDescent="0.25">
      <c r="A566" s="102" t="str">
        <f t="shared" si="108"/>
        <v>PQ Leaching</v>
      </c>
      <c r="B566" s="102" t="s">
        <v>969</v>
      </c>
      <c r="C566" s="102" t="s">
        <v>1191</v>
      </c>
      <c r="D566" t="s">
        <v>369</v>
      </c>
      <c r="E566" t="s">
        <v>61</v>
      </c>
      <c r="F566" t="s">
        <v>63</v>
      </c>
      <c r="G566" t="s">
        <v>438</v>
      </c>
      <c r="H566" t="s">
        <v>1192</v>
      </c>
      <c r="I566" t="s">
        <v>139</v>
      </c>
      <c r="J566" t="s">
        <v>287</v>
      </c>
      <c r="K566" s="22">
        <f t="shared" si="117"/>
        <v>0</v>
      </c>
      <c r="L566" s="22">
        <f t="shared" si="124"/>
        <v>0</v>
      </c>
      <c r="M566" s="22">
        <f t="shared" si="124"/>
        <v>0</v>
      </c>
      <c r="N566" s="22">
        <f t="shared" si="124"/>
        <v>0</v>
      </c>
      <c r="O566" s="22">
        <f t="shared" ref="L566:AW572" si="125">O1517</f>
        <v>0</v>
      </c>
      <c r="P566" s="22">
        <f t="shared" si="125"/>
        <v>0</v>
      </c>
      <c r="Q566" s="22">
        <f t="shared" si="125"/>
        <v>0</v>
      </c>
      <c r="R566" s="22">
        <f t="shared" si="125"/>
        <v>0</v>
      </c>
      <c r="S566" s="22">
        <f t="shared" si="125"/>
        <v>0</v>
      </c>
      <c r="T566" s="22">
        <f t="shared" si="125"/>
        <v>0</v>
      </c>
      <c r="U566" s="22">
        <f t="shared" si="125"/>
        <v>0</v>
      </c>
      <c r="V566" s="22">
        <f t="shared" si="125"/>
        <v>0</v>
      </c>
      <c r="W566" s="22">
        <f t="shared" si="125"/>
        <v>0</v>
      </c>
      <c r="X566" s="22">
        <f t="shared" si="125"/>
        <v>0</v>
      </c>
      <c r="Y566" s="22">
        <f t="shared" si="125"/>
        <v>0</v>
      </c>
      <c r="Z566" s="22">
        <f t="shared" si="125"/>
        <v>0</v>
      </c>
      <c r="AA566" s="22">
        <f t="shared" si="125"/>
        <v>0</v>
      </c>
      <c r="AB566" s="22">
        <f t="shared" si="125"/>
        <v>0</v>
      </c>
      <c r="AC566" s="22">
        <f t="shared" si="125"/>
        <v>0</v>
      </c>
      <c r="AD566" s="22">
        <f t="shared" si="125"/>
        <v>0</v>
      </c>
      <c r="AE566" s="22">
        <f t="shared" si="125"/>
        <v>0</v>
      </c>
      <c r="AF566" s="22">
        <f t="shared" si="125"/>
        <v>0</v>
      </c>
      <c r="AG566" s="22">
        <f t="shared" si="125"/>
        <v>0</v>
      </c>
      <c r="AH566" s="22">
        <f t="shared" si="125"/>
        <v>0</v>
      </c>
      <c r="AI566" s="22">
        <f t="shared" si="125"/>
        <v>0</v>
      </c>
      <c r="AJ566" s="22">
        <f t="shared" si="125"/>
        <v>0</v>
      </c>
      <c r="AK566" s="22">
        <f t="shared" si="125"/>
        <v>0</v>
      </c>
      <c r="AL566" s="22">
        <f t="shared" si="125"/>
        <v>0</v>
      </c>
      <c r="AM566" s="22">
        <f t="shared" si="125"/>
        <v>0</v>
      </c>
      <c r="AN566" s="22">
        <f t="shared" si="125"/>
        <v>0</v>
      </c>
      <c r="AO566" s="22">
        <f t="shared" si="125"/>
        <v>0</v>
      </c>
      <c r="AP566" s="22">
        <f t="shared" si="125"/>
        <v>0</v>
      </c>
      <c r="AQ566" s="22">
        <f t="shared" si="125"/>
        <v>0</v>
      </c>
      <c r="AR566" s="22">
        <f t="shared" si="125"/>
        <v>0</v>
      </c>
      <c r="AS566" s="22">
        <f t="shared" si="125"/>
        <v>0</v>
      </c>
      <c r="AT566" s="22">
        <f t="shared" si="125"/>
        <v>0</v>
      </c>
      <c r="AU566" s="22">
        <f t="shared" si="125"/>
        <v>0</v>
      </c>
      <c r="AV566" s="22">
        <f t="shared" si="125"/>
        <v>0</v>
      </c>
      <c r="AW566" s="22">
        <f t="shared" si="125"/>
        <v>0</v>
      </c>
      <c r="AY566" s="85"/>
    </row>
    <row r="567" spans="1:51" x14ac:dyDescent="0.25">
      <c r="A567" s="102" t="str">
        <f t="shared" si="108"/>
        <v>PQ Leaching</v>
      </c>
      <c r="B567" s="102" t="s">
        <v>969</v>
      </c>
      <c r="C567" s="102" t="s">
        <v>1191</v>
      </c>
      <c r="D567" t="s">
        <v>369</v>
      </c>
      <c r="E567" t="s">
        <v>61</v>
      </c>
      <c r="F567" t="s">
        <v>63</v>
      </c>
      <c r="G567" t="s">
        <v>439</v>
      </c>
      <c r="H567" t="s">
        <v>1193</v>
      </c>
      <c r="I567" t="s">
        <v>139</v>
      </c>
      <c r="J567" t="s">
        <v>287</v>
      </c>
      <c r="K567" s="22">
        <f t="shared" si="117"/>
        <v>0.10175116378121943</v>
      </c>
      <c r="L567" s="22">
        <f t="shared" si="125"/>
        <v>0.10199531862312783</v>
      </c>
      <c r="M567" s="22">
        <f t="shared" si="125"/>
        <v>0.10232895790911103</v>
      </c>
      <c r="N567" s="22">
        <f t="shared" si="125"/>
        <v>0.102571135787432</v>
      </c>
      <c r="O567" s="22">
        <f t="shared" si="125"/>
        <v>0.10268907461035851</v>
      </c>
      <c r="P567" s="22">
        <f t="shared" si="125"/>
        <v>0.10280548137522282</v>
      </c>
      <c r="Q567" s="22">
        <f t="shared" si="125"/>
        <v>0.10298157657140594</v>
      </c>
      <c r="R567" s="22">
        <f t="shared" si="125"/>
        <v>0.10317437501165042</v>
      </c>
      <c r="S567" s="22">
        <f t="shared" si="125"/>
        <v>0.10323747118294155</v>
      </c>
      <c r="T567" s="22">
        <f t="shared" si="125"/>
        <v>0.10207849673523195</v>
      </c>
      <c r="U567" s="22">
        <f t="shared" si="125"/>
        <v>0.10244002007553947</v>
      </c>
      <c r="V567" s="22">
        <f t="shared" si="125"/>
        <v>0.10276505734262262</v>
      </c>
      <c r="W567" s="22">
        <f t="shared" si="125"/>
        <v>0.10308708143869158</v>
      </c>
      <c r="X567" s="22">
        <f t="shared" si="125"/>
        <v>0.10345673156725761</v>
      </c>
      <c r="Y567" s="22">
        <f t="shared" si="125"/>
        <v>0.10382236970947499</v>
      </c>
      <c r="Z567" s="22">
        <f t="shared" si="125"/>
        <v>0.10419308105510718</v>
      </c>
      <c r="AA567" s="22">
        <f t="shared" si="125"/>
        <v>0.1045480129274277</v>
      </c>
      <c r="AB567" s="22">
        <f t="shared" si="125"/>
        <v>0.10491811532698922</v>
      </c>
      <c r="AC567" s="22">
        <f t="shared" si="125"/>
        <v>0.10526191572099161</v>
      </c>
      <c r="AD567" s="22">
        <f t="shared" si="125"/>
        <v>0.10560878304057683</v>
      </c>
      <c r="AE567" s="22">
        <f t="shared" si="125"/>
        <v>0.10601241907328743</v>
      </c>
      <c r="AF567" s="22">
        <f t="shared" si="125"/>
        <v>0.10643853523191582</v>
      </c>
      <c r="AG567" s="22">
        <f t="shared" si="125"/>
        <v>0.10687002645789688</v>
      </c>
      <c r="AH567" s="22">
        <f t="shared" si="125"/>
        <v>0.10695565891506367</v>
      </c>
      <c r="AI567" s="22">
        <f t="shared" si="125"/>
        <v>7.1370603051085779E-2</v>
      </c>
      <c r="AJ567" s="22">
        <f t="shared" si="125"/>
        <v>7.1307647461360521E-2</v>
      </c>
      <c r="AK567" s="22">
        <f t="shared" si="125"/>
        <v>7.1244029161657008E-2</v>
      </c>
      <c r="AL567" s="22">
        <f t="shared" si="125"/>
        <v>7.1179739022300959E-2</v>
      </c>
      <c r="AM567" s="22">
        <f t="shared" si="125"/>
        <v>7.1114767741896984E-2</v>
      </c>
      <c r="AN567" s="22">
        <f t="shared" si="125"/>
        <v>7.1049105843042956E-2</v>
      </c>
      <c r="AO567" s="22">
        <f t="shared" si="125"/>
        <v>7.0992821484352875E-2</v>
      </c>
      <c r="AP567" s="22">
        <f t="shared" si="125"/>
        <v>7.0936026569640209E-2</v>
      </c>
      <c r="AQ567" s="22">
        <f t="shared" si="125"/>
        <v>7.0878714989935504E-2</v>
      </c>
      <c r="AR567" s="22">
        <f t="shared" si="125"/>
        <v>7.0820880536048819E-2</v>
      </c>
      <c r="AS567" s="22">
        <f t="shared" si="125"/>
        <v>7.0762516896386879E-2</v>
      </c>
      <c r="AT567" s="22">
        <f t="shared" si="125"/>
        <v>7.0714119633319514E-2</v>
      </c>
      <c r="AU567" s="22">
        <f t="shared" si="125"/>
        <v>7.0665356530577775E-2</v>
      </c>
      <c r="AV567" s="22">
        <f t="shared" si="125"/>
        <v>7.0616223915862988E-2</v>
      </c>
      <c r="AW567" s="22">
        <f t="shared" si="125"/>
        <v>7.0566718066166448E-2</v>
      </c>
      <c r="AY567" s="85"/>
    </row>
    <row r="568" spans="1:51" x14ac:dyDescent="0.25">
      <c r="A568" s="102" t="str">
        <f t="shared" si="108"/>
        <v>PQ Leaching</v>
      </c>
      <c r="B568" s="102" t="s">
        <v>969</v>
      </c>
      <c r="C568" s="102" t="s">
        <v>1191</v>
      </c>
      <c r="D568" t="s">
        <v>369</v>
      </c>
      <c r="E568" t="s">
        <v>61</v>
      </c>
      <c r="F568" t="s">
        <v>63</v>
      </c>
      <c r="G568" t="s">
        <v>1194</v>
      </c>
      <c r="H568" t="s">
        <v>1195</v>
      </c>
      <c r="I568" t="s">
        <v>139</v>
      </c>
      <c r="J568" t="s">
        <v>287</v>
      </c>
      <c r="K568" s="22" t="str">
        <f t="shared" si="117"/>
        <v>NO</v>
      </c>
      <c r="L568" s="22" t="str">
        <f t="shared" si="125"/>
        <v>NO</v>
      </c>
      <c r="M568" s="22" t="str">
        <f t="shared" si="125"/>
        <v>NO</v>
      </c>
      <c r="N568" s="22" t="str">
        <f t="shared" si="125"/>
        <v>NO</v>
      </c>
      <c r="O568" s="22" t="str">
        <f t="shared" si="125"/>
        <v>NO</v>
      </c>
      <c r="P568" s="22" t="str">
        <f t="shared" si="125"/>
        <v>NO</v>
      </c>
      <c r="Q568" s="22" t="str">
        <f t="shared" si="125"/>
        <v>NO</v>
      </c>
      <c r="R568" s="22" t="str">
        <f t="shared" si="125"/>
        <v>NO</v>
      </c>
      <c r="S568" s="22" t="str">
        <f t="shared" si="125"/>
        <v>NO</v>
      </c>
      <c r="T568" s="22" t="str">
        <f t="shared" si="125"/>
        <v>NO</v>
      </c>
      <c r="U568" s="22" t="str">
        <f t="shared" si="125"/>
        <v>NO</v>
      </c>
      <c r="V568" s="22" t="str">
        <f t="shared" si="125"/>
        <v>NO</v>
      </c>
      <c r="W568" s="22" t="str">
        <f t="shared" si="125"/>
        <v>NO</v>
      </c>
      <c r="X568" s="22" t="str">
        <f t="shared" si="125"/>
        <v>NO</v>
      </c>
      <c r="Y568" s="22" t="str">
        <f t="shared" si="125"/>
        <v>NO</v>
      </c>
      <c r="Z568" s="22" t="str">
        <f t="shared" si="125"/>
        <v>NO</v>
      </c>
      <c r="AA568" s="22" t="str">
        <f t="shared" si="125"/>
        <v>NO</v>
      </c>
      <c r="AB568" s="22" t="str">
        <f t="shared" si="125"/>
        <v>NO</v>
      </c>
      <c r="AC568" s="22" t="str">
        <f t="shared" si="125"/>
        <v>NO</v>
      </c>
      <c r="AD568" s="22" t="str">
        <f t="shared" si="125"/>
        <v>NO</v>
      </c>
      <c r="AE568" s="22" t="str">
        <f t="shared" si="125"/>
        <v>NO</v>
      </c>
      <c r="AF568" s="22" t="str">
        <f t="shared" si="125"/>
        <v>NO</v>
      </c>
      <c r="AG568" s="22" t="str">
        <f t="shared" si="125"/>
        <v>NO</v>
      </c>
      <c r="AH568" s="22" t="str">
        <f t="shared" si="125"/>
        <v>NO</v>
      </c>
      <c r="AI568" s="22" t="str">
        <f t="shared" si="125"/>
        <v>NO</v>
      </c>
      <c r="AJ568" s="22" t="str">
        <f t="shared" si="125"/>
        <v>NO</v>
      </c>
      <c r="AK568" s="22" t="str">
        <f t="shared" si="125"/>
        <v>NO</v>
      </c>
      <c r="AL568" s="22" t="str">
        <f t="shared" si="125"/>
        <v>NO</v>
      </c>
      <c r="AM568" s="22" t="str">
        <f t="shared" si="125"/>
        <v>NO</v>
      </c>
      <c r="AN568" s="22" t="str">
        <f t="shared" si="125"/>
        <v>NO</v>
      </c>
      <c r="AO568" s="22" t="str">
        <f t="shared" si="125"/>
        <v>NO</v>
      </c>
      <c r="AP568" s="22" t="str">
        <f t="shared" si="125"/>
        <v>NO</v>
      </c>
      <c r="AQ568" s="22" t="str">
        <f t="shared" si="125"/>
        <v>NO</v>
      </c>
      <c r="AR568" s="22" t="str">
        <f t="shared" si="125"/>
        <v>NO</v>
      </c>
      <c r="AS568" s="22" t="str">
        <f t="shared" si="125"/>
        <v>NO</v>
      </c>
      <c r="AT568" s="22" t="str">
        <f t="shared" si="125"/>
        <v>NO</v>
      </c>
      <c r="AU568" s="22" t="str">
        <f t="shared" si="125"/>
        <v>NO</v>
      </c>
      <c r="AV568" s="22" t="str">
        <f t="shared" si="125"/>
        <v>NO</v>
      </c>
      <c r="AW568" s="22" t="str">
        <f t="shared" si="125"/>
        <v>NO</v>
      </c>
      <c r="AY568" s="85"/>
    </row>
    <row r="569" spans="1:51" x14ac:dyDescent="0.25">
      <c r="A569" s="102" t="str">
        <f t="shared" si="108"/>
        <v>PQ Leaching</v>
      </c>
      <c r="B569" s="102" t="s">
        <v>969</v>
      </c>
      <c r="C569" s="102" t="s">
        <v>1191</v>
      </c>
      <c r="D569" t="s">
        <v>369</v>
      </c>
      <c r="E569" t="s">
        <v>61</v>
      </c>
      <c r="F569" t="s">
        <v>63</v>
      </c>
      <c r="G569" t="s">
        <v>1196</v>
      </c>
      <c r="H569" t="s">
        <v>1197</v>
      </c>
      <c r="I569" t="s">
        <v>139</v>
      </c>
      <c r="J569" t="s">
        <v>287</v>
      </c>
      <c r="K569" s="22" t="str">
        <f t="shared" si="117"/>
        <v>NO</v>
      </c>
      <c r="L569" s="22" t="str">
        <f t="shared" si="125"/>
        <v>NO</v>
      </c>
      <c r="M569" s="22" t="str">
        <f t="shared" si="125"/>
        <v>NO</v>
      </c>
      <c r="N569" s="22" t="str">
        <f t="shared" si="125"/>
        <v>NO</v>
      </c>
      <c r="O569" s="22" t="str">
        <f t="shared" si="125"/>
        <v>NO</v>
      </c>
      <c r="P569" s="22" t="str">
        <f t="shared" si="125"/>
        <v>NO</v>
      </c>
      <c r="Q569" s="22" t="str">
        <f t="shared" si="125"/>
        <v>NO</v>
      </c>
      <c r="R569" s="22" t="str">
        <f t="shared" si="125"/>
        <v>NO</v>
      </c>
      <c r="S569" s="22" t="str">
        <f t="shared" si="125"/>
        <v>NO</v>
      </c>
      <c r="T569" s="22" t="str">
        <f t="shared" si="125"/>
        <v>NO</v>
      </c>
      <c r="U569" s="22" t="str">
        <f t="shared" si="125"/>
        <v>NO</v>
      </c>
      <c r="V569" s="22" t="str">
        <f t="shared" si="125"/>
        <v>NO</v>
      </c>
      <c r="W569" s="22" t="str">
        <f t="shared" si="125"/>
        <v>NO</v>
      </c>
      <c r="X569" s="22" t="str">
        <f t="shared" si="125"/>
        <v>NO</v>
      </c>
      <c r="Y569" s="22" t="str">
        <f t="shared" si="125"/>
        <v>NO</v>
      </c>
      <c r="Z569" s="22" t="str">
        <f t="shared" si="125"/>
        <v>NO</v>
      </c>
      <c r="AA569" s="22" t="str">
        <f t="shared" si="125"/>
        <v>NO</v>
      </c>
      <c r="AB569" s="22" t="str">
        <f t="shared" si="125"/>
        <v>NO</v>
      </c>
      <c r="AC569" s="22" t="str">
        <f t="shared" si="125"/>
        <v>NO</v>
      </c>
      <c r="AD569" s="22" t="str">
        <f t="shared" si="125"/>
        <v>NO</v>
      </c>
      <c r="AE569" s="22" t="str">
        <f t="shared" si="125"/>
        <v>NO</v>
      </c>
      <c r="AF569" s="22" t="str">
        <f t="shared" si="125"/>
        <v>NO</v>
      </c>
      <c r="AG569" s="22" t="str">
        <f t="shared" si="125"/>
        <v>NO</v>
      </c>
      <c r="AH569" s="22" t="str">
        <f t="shared" si="125"/>
        <v>NO</v>
      </c>
      <c r="AI569" s="22" t="str">
        <f t="shared" si="125"/>
        <v>NO</v>
      </c>
      <c r="AJ569" s="22" t="str">
        <f t="shared" si="125"/>
        <v>NO</v>
      </c>
      <c r="AK569" s="22" t="str">
        <f t="shared" si="125"/>
        <v>NO</v>
      </c>
      <c r="AL569" s="22" t="str">
        <f t="shared" si="125"/>
        <v>NO</v>
      </c>
      <c r="AM569" s="22" t="str">
        <f t="shared" si="125"/>
        <v>NO</v>
      </c>
      <c r="AN569" s="22" t="str">
        <f t="shared" si="125"/>
        <v>NO</v>
      </c>
      <c r="AO569" s="22" t="str">
        <f t="shared" si="125"/>
        <v>NO</v>
      </c>
      <c r="AP569" s="22" t="str">
        <f t="shared" si="125"/>
        <v>NO</v>
      </c>
      <c r="AQ569" s="22" t="str">
        <f t="shared" si="125"/>
        <v>NO</v>
      </c>
      <c r="AR569" s="22" t="str">
        <f t="shared" si="125"/>
        <v>NO</v>
      </c>
      <c r="AS569" s="22" t="str">
        <f t="shared" si="125"/>
        <v>NO</v>
      </c>
      <c r="AT569" s="22" t="str">
        <f t="shared" si="125"/>
        <v>NO</v>
      </c>
      <c r="AU569" s="22" t="str">
        <f t="shared" si="125"/>
        <v>NO</v>
      </c>
      <c r="AV569" s="22" t="str">
        <f t="shared" si="125"/>
        <v>NO</v>
      </c>
      <c r="AW569" s="22" t="str">
        <f t="shared" si="125"/>
        <v>NO</v>
      </c>
      <c r="AY569" s="85"/>
    </row>
    <row r="570" spans="1:51" x14ac:dyDescent="0.25">
      <c r="A570" s="102" t="str">
        <f t="shared" si="108"/>
        <v>PQ Leaching</v>
      </c>
      <c r="B570" s="102" t="s">
        <v>969</v>
      </c>
      <c r="C570" s="102" t="s">
        <v>1191</v>
      </c>
      <c r="D570" t="s">
        <v>369</v>
      </c>
      <c r="E570" t="s">
        <v>61</v>
      </c>
      <c r="F570" t="s">
        <v>63</v>
      </c>
      <c r="G570" t="s">
        <v>1198</v>
      </c>
      <c r="H570" t="s">
        <v>1199</v>
      </c>
      <c r="I570" t="s">
        <v>139</v>
      </c>
      <c r="J570" t="s">
        <v>287</v>
      </c>
      <c r="K570" s="22">
        <f t="shared" si="117"/>
        <v>1.1867590793806392E-4</v>
      </c>
      <c r="L570" s="22">
        <f t="shared" si="125"/>
        <v>1.1853617037070301E-4</v>
      </c>
      <c r="M570" s="22">
        <f t="shared" si="125"/>
        <v>1.1839643280334203E-4</v>
      </c>
      <c r="N570" s="22">
        <f t="shared" si="125"/>
        <v>1.1825669523598106E-4</v>
      </c>
      <c r="O570" s="22">
        <f t="shared" si="125"/>
        <v>1.1811695766862012E-4</v>
      </c>
      <c r="P570" s="22">
        <f t="shared" si="125"/>
        <v>1.1797722010125916E-4</v>
      </c>
      <c r="Q570" s="22">
        <f t="shared" si="125"/>
        <v>1.178374825338982E-4</v>
      </c>
      <c r="R570" s="22">
        <f t="shared" si="125"/>
        <v>1.1769774496653728E-4</v>
      </c>
      <c r="S570" s="22">
        <f t="shared" si="125"/>
        <v>1.1755800739917633E-4</v>
      </c>
      <c r="T570" s="22">
        <f t="shared" si="125"/>
        <v>1.174182698318154E-4</v>
      </c>
      <c r="U570" s="22">
        <f t="shared" si="125"/>
        <v>1.1727853226445441E-4</v>
      </c>
      <c r="V570" s="22">
        <f t="shared" si="125"/>
        <v>1.1713879469709348E-4</v>
      </c>
      <c r="W570" s="22">
        <f t="shared" si="125"/>
        <v>1.1699905712973254E-4</v>
      </c>
      <c r="X570" s="22">
        <f t="shared" si="125"/>
        <v>1.168593195623716E-4</v>
      </c>
      <c r="Y570" s="22">
        <f t="shared" si="125"/>
        <v>1.1671958199501069E-4</v>
      </c>
      <c r="Z570" s="22">
        <f t="shared" si="125"/>
        <v>1.1657984442764968E-4</v>
      </c>
      <c r="AA570" s="22">
        <f t="shared" si="125"/>
        <v>1.1644010686028878E-4</v>
      </c>
      <c r="AB570" s="22">
        <f t="shared" si="125"/>
        <v>1.1630036929292779E-4</v>
      </c>
      <c r="AC570" s="22">
        <f t="shared" si="125"/>
        <v>1.1616063172556689E-4</v>
      </c>
      <c r="AD570" s="22">
        <f t="shared" si="125"/>
        <v>1.1602089415820588E-4</v>
      </c>
      <c r="AE570" s="22">
        <f t="shared" si="125"/>
        <v>1.1588115659084502E-4</v>
      </c>
      <c r="AF570" s="22">
        <f t="shared" si="125"/>
        <v>1.1574141902348403E-4</v>
      </c>
      <c r="AG570" s="22">
        <f t="shared" si="125"/>
        <v>1.1560168145612309E-4</v>
      </c>
      <c r="AH570" s="22">
        <f t="shared" si="125"/>
        <v>1.154619438887621E-4</v>
      </c>
      <c r="AI570" s="22">
        <f t="shared" si="125"/>
        <v>1.1532220632140118E-4</v>
      </c>
      <c r="AJ570" s="22">
        <f t="shared" si="125"/>
        <v>1.1518246875404022E-4</v>
      </c>
      <c r="AK570" s="22">
        <f t="shared" si="125"/>
        <v>1.1504273118667928E-4</v>
      </c>
      <c r="AL570" s="22">
        <f t="shared" si="125"/>
        <v>1.1490299361931835E-4</v>
      </c>
      <c r="AM570" s="22">
        <f t="shared" si="125"/>
        <v>1.1476325605195744E-4</v>
      </c>
      <c r="AN570" s="22">
        <f t="shared" si="125"/>
        <v>1.1462351848459642E-4</v>
      </c>
      <c r="AO570" s="22">
        <f t="shared" si="125"/>
        <v>1.1448378091723552E-4</v>
      </c>
      <c r="AP570" s="22">
        <f t="shared" si="125"/>
        <v>1.1434404334987458E-4</v>
      </c>
      <c r="AQ570" s="22">
        <f t="shared" si="125"/>
        <v>1.1420430578251366E-4</v>
      </c>
      <c r="AR570" s="22">
        <f t="shared" si="125"/>
        <v>1.1406456821515268E-4</v>
      </c>
      <c r="AS570" s="22">
        <f t="shared" si="125"/>
        <v>1.1392483064779174E-4</v>
      </c>
      <c r="AT570" s="22">
        <f t="shared" si="125"/>
        <v>1.1378509308043078E-4</v>
      </c>
      <c r="AU570" s="22">
        <f t="shared" si="125"/>
        <v>1.136453555130698E-4</v>
      </c>
      <c r="AV570" s="22">
        <f t="shared" si="125"/>
        <v>1.1350561794570888E-4</v>
      </c>
      <c r="AW570" s="22">
        <f t="shared" si="125"/>
        <v>1.1336588037834792E-4</v>
      </c>
      <c r="AY570" s="85"/>
    </row>
    <row r="571" spans="1:51" x14ac:dyDescent="0.25">
      <c r="A571" s="102" t="str">
        <f t="shared" si="108"/>
        <v>PQ Leaching</v>
      </c>
      <c r="B571" s="102" t="s">
        <v>969</v>
      </c>
      <c r="C571" s="102" t="s">
        <v>1191</v>
      </c>
      <c r="D571" t="s">
        <v>369</v>
      </c>
      <c r="E571" t="s">
        <v>61</v>
      </c>
      <c r="F571" t="s">
        <v>63</v>
      </c>
      <c r="G571" t="s">
        <v>1200</v>
      </c>
      <c r="H571" t="s">
        <v>1201</v>
      </c>
      <c r="I571" t="s">
        <v>139</v>
      </c>
      <c r="J571" t="s">
        <v>287</v>
      </c>
      <c r="K571" s="22">
        <f t="shared" si="117"/>
        <v>1.6912231388729011E-2</v>
      </c>
      <c r="L571" s="22">
        <f t="shared" si="125"/>
        <v>1.6951420148247919E-2</v>
      </c>
      <c r="M571" s="22">
        <f t="shared" si="125"/>
        <v>1.6990608907766828E-2</v>
      </c>
      <c r="N571" s="22">
        <f t="shared" si="125"/>
        <v>1.702979766728574E-2</v>
      </c>
      <c r="O571" s="22">
        <f t="shared" si="125"/>
        <v>1.7068986426804648E-2</v>
      </c>
      <c r="P571" s="22">
        <f t="shared" si="125"/>
        <v>1.7108175186323554E-2</v>
      </c>
      <c r="Q571" s="22">
        <f t="shared" si="125"/>
        <v>1.7147363945842466E-2</v>
      </c>
      <c r="R571" s="22">
        <f t="shared" si="125"/>
        <v>1.7186552705361371E-2</v>
      </c>
      <c r="S571" s="22">
        <f t="shared" si="125"/>
        <v>1.7225741464880276E-2</v>
      </c>
      <c r="T571" s="22">
        <f t="shared" si="125"/>
        <v>1.7264930224399191E-2</v>
      </c>
      <c r="U571" s="22">
        <f t="shared" si="125"/>
        <v>1.7304118983918097E-2</v>
      </c>
      <c r="V571" s="22">
        <f t="shared" si="125"/>
        <v>1.7343307743437009E-2</v>
      </c>
      <c r="W571" s="22">
        <f t="shared" si="125"/>
        <v>1.7382496502955917E-2</v>
      </c>
      <c r="X571" s="22">
        <f t="shared" si="125"/>
        <v>1.7421685262474829E-2</v>
      </c>
      <c r="Y571" s="22">
        <f t="shared" si="125"/>
        <v>1.7460874021993734E-2</v>
      </c>
      <c r="Z571" s="22">
        <f t="shared" si="125"/>
        <v>1.750006278151265E-2</v>
      </c>
      <c r="AA571" s="22">
        <f t="shared" si="125"/>
        <v>1.7539251541031548E-2</v>
      </c>
      <c r="AB571" s="22">
        <f t="shared" si="125"/>
        <v>1.7578440300550464E-2</v>
      </c>
      <c r="AC571" s="22">
        <f t="shared" si="125"/>
        <v>1.7617629060069376E-2</v>
      </c>
      <c r="AD571" s="22">
        <f t="shared" si="125"/>
        <v>1.7656817819588281E-2</v>
      </c>
      <c r="AE571" s="22">
        <f t="shared" si="125"/>
        <v>1.769600657910719E-2</v>
      </c>
      <c r="AF571" s="22">
        <f t="shared" si="125"/>
        <v>1.7735195338626102E-2</v>
      </c>
      <c r="AG571" s="22">
        <f t="shared" si="125"/>
        <v>1.777438409814501E-2</v>
      </c>
      <c r="AH571" s="22">
        <f t="shared" si="125"/>
        <v>1.7813572857663919E-2</v>
      </c>
      <c r="AI571" s="22">
        <f t="shared" si="125"/>
        <v>1.7852761617182831E-2</v>
      </c>
      <c r="AJ571" s="22">
        <f t="shared" si="125"/>
        <v>1.7891950376701736E-2</v>
      </c>
      <c r="AK571" s="22">
        <f t="shared" si="125"/>
        <v>1.7931139136220645E-2</v>
      </c>
      <c r="AL571" s="22">
        <f t="shared" si="125"/>
        <v>1.7970327895739557E-2</v>
      </c>
      <c r="AM571" s="22">
        <f t="shared" si="125"/>
        <v>1.8009516655258465E-2</v>
      </c>
      <c r="AN571" s="22">
        <f t="shared" si="125"/>
        <v>1.8048705414777374E-2</v>
      </c>
      <c r="AO571" s="22">
        <f t="shared" si="125"/>
        <v>1.8087894174296286E-2</v>
      </c>
      <c r="AP571" s="22">
        <f t="shared" si="125"/>
        <v>1.8127082933815188E-2</v>
      </c>
      <c r="AQ571" s="22">
        <f t="shared" si="125"/>
        <v>1.8166271693334096E-2</v>
      </c>
      <c r="AR571" s="22">
        <f t="shared" si="125"/>
        <v>1.8205460452853015E-2</v>
      </c>
      <c r="AS571" s="22">
        <f t="shared" si="125"/>
        <v>1.8244649212371917E-2</v>
      </c>
      <c r="AT571" s="22">
        <f t="shared" si="125"/>
        <v>1.8283837971890825E-2</v>
      </c>
      <c r="AU571" s="22">
        <f t="shared" si="125"/>
        <v>1.8323026731409734E-2</v>
      </c>
      <c r="AV571" s="22">
        <f t="shared" si="125"/>
        <v>1.8362215490928643E-2</v>
      </c>
      <c r="AW571" s="22">
        <f t="shared" si="125"/>
        <v>1.8401404250447555E-2</v>
      </c>
      <c r="AY571" s="85"/>
    </row>
    <row r="572" spans="1:51" x14ac:dyDescent="0.25">
      <c r="A572" s="102" t="str">
        <f t="shared" si="108"/>
        <v>PQ Leaching</v>
      </c>
      <c r="B572" s="102" t="s">
        <v>969</v>
      </c>
      <c r="C572" s="102" t="s">
        <v>1191</v>
      </c>
      <c r="D572" t="s">
        <v>369</v>
      </c>
      <c r="E572" t="s">
        <v>61</v>
      </c>
      <c r="F572" t="s">
        <v>63</v>
      </c>
      <c r="G572" t="s">
        <v>1202</v>
      </c>
      <c r="H572" t="s">
        <v>1203</v>
      </c>
      <c r="I572" t="s">
        <v>139</v>
      </c>
      <c r="J572" t="s">
        <v>287</v>
      </c>
      <c r="K572" s="22">
        <f t="shared" si="117"/>
        <v>1.9871041213735664E-2</v>
      </c>
      <c r="L572" s="22">
        <f t="shared" si="125"/>
        <v>1.9871041213735664E-2</v>
      </c>
      <c r="M572" s="22">
        <f t="shared" si="125"/>
        <v>1.9871041213735664E-2</v>
      </c>
      <c r="N572" s="22">
        <f t="shared" si="125"/>
        <v>1.9871041213735664E-2</v>
      </c>
      <c r="O572" s="22">
        <f t="shared" si="125"/>
        <v>1.9871041213735664E-2</v>
      </c>
      <c r="P572" s="22">
        <f t="shared" si="125"/>
        <v>1.9871041213735664E-2</v>
      </c>
      <c r="Q572" s="22">
        <f t="shared" si="125"/>
        <v>1.9871041213735664E-2</v>
      </c>
      <c r="R572" s="22">
        <f t="shared" si="125"/>
        <v>1.9871041213735664E-2</v>
      </c>
      <c r="S572" s="22">
        <f t="shared" si="125"/>
        <v>1.9871041213735664E-2</v>
      </c>
      <c r="T572" s="22">
        <f t="shared" si="125"/>
        <v>1.9871041213735664E-2</v>
      </c>
      <c r="U572" s="22">
        <f t="shared" si="125"/>
        <v>1.9871041213735664E-2</v>
      </c>
      <c r="V572" s="22">
        <f t="shared" si="125"/>
        <v>1.9871041213735664E-2</v>
      </c>
      <c r="W572" s="22">
        <f t="shared" si="125"/>
        <v>1.9871041213735664E-2</v>
      </c>
      <c r="X572" s="22">
        <f t="shared" si="125"/>
        <v>1.9871041213735664E-2</v>
      </c>
      <c r="Y572" s="22">
        <f t="shared" si="125"/>
        <v>1.9871041213735664E-2</v>
      </c>
      <c r="Z572" s="22">
        <f t="shared" si="125"/>
        <v>1.9871041213735664E-2</v>
      </c>
      <c r="AA572" s="22">
        <f t="shared" si="125"/>
        <v>1.9871041213735664E-2</v>
      </c>
      <c r="AB572" s="22">
        <f t="shared" si="125"/>
        <v>1.9871041213735664E-2</v>
      </c>
      <c r="AC572" s="22">
        <f t="shared" si="125"/>
        <v>1.9871041213735664E-2</v>
      </c>
      <c r="AD572" s="22">
        <f t="shared" si="125"/>
        <v>1.9871041213735664E-2</v>
      </c>
      <c r="AE572" s="22">
        <f t="shared" si="125"/>
        <v>1.9871041213735664E-2</v>
      </c>
      <c r="AF572" s="22">
        <f t="shared" si="125"/>
        <v>1.9871041213735664E-2</v>
      </c>
      <c r="AG572" s="22">
        <f t="shared" si="125"/>
        <v>1.9871041213735664E-2</v>
      </c>
      <c r="AH572" s="22">
        <f t="shared" si="125"/>
        <v>1.9871041213735664E-2</v>
      </c>
      <c r="AI572" s="22">
        <f t="shared" si="125"/>
        <v>1.9871041213735664E-2</v>
      </c>
      <c r="AJ572" s="22">
        <f t="shared" si="125"/>
        <v>1.9871041213735664E-2</v>
      </c>
      <c r="AK572" s="22">
        <f t="shared" si="125"/>
        <v>1.9871041213735664E-2</v>
      </c>
      <c r="AL572" s="22">
        <f t="shared" si="125"/>
        <v>1.9871041213735664E-2</v>
      </c>
      <c r="AM572" s="22">
        <f t="shared" si="125"/>
        <v>1.9871041213735664E-2</v>
      </c>
      <c r="AN572" s="22">
        <f t="shared" si="125"/>
        <v>1.9871041213735664E-2</v>
      </c>
      <c r="AO572" s="22">
        <f t="shared" si="125"/>
        <v>1.9871041213735664E-2</v>
      </c>
      <c r="AP572" s="22">
        <f t="shared" ref="L572:AW579" si="126">AP1523</f>
        <v>1.9871041213735664E-2</v>
      </c>
      <c r="AQ572" s="22">
        <f t="shared" si="126"/>
        <v>1.9871041213735664E-2</v>
      </c>
      <c r="AR572" s="22">
        <f t="shared" si="126"/>
        <v>1.9871041213735664E-2</v>
      </c>
      <c r="AS572" s="22">
        <f t="shared" si="126"/>
        <v>1.9871041213735664E-2</v>
      </c>
      <c r="AT572" s="22">
        <f t="shared" si="126"/>
        <v>1.9871041213735664E-2</v>
      </c>
      <c r="AU572" s="22">
        <f t="shared" si="126"/>
        <v>1.9871041213735664E-2</v>
      </c>
      <c r="AV572" s="22">
        <f t="shared" si="126"/>
        <v>1.9871041213735664E-2</v>
      </c>
      <c r="AW572" s="22">
        <f t="shared" si="126"/>
        <v>1.9871041213735664E-2</v>
      </c>
      <c r="AY572" s="85"/>
    </row>
    <row r="573" spans="1:51" x14ac:dyDescent="0.25">
      <c r="A573" s="102" t="str">
        <f t="shared" si="108"/>
        <v>PQ Leaching</v>
      </c>
      <c r="B573" s="102" t="s">
        <v>969</v>
      </c>
      <c r="C573" s="102" t="s">
        <v>1191</v>
      </c>
      <c r="D573" t="s">
        <v>369</v>
      </c>
      <c r="E573" t="s">
        <v>61</v>
      </c>
      <c r="F573" t="s">
        <v>63</v>
      </c>
      <c r="G573" t="s">
        <v>1204</v>
      </c>
      <c r="H573" t="s">
        <v>1205</v>
      </c>
      <c r="I573" t="s">
        <v>139</v>
      </c>
      <c r="J573" t="s">
        <v>287</v>
      </c>
      <c r="K573" s="22" t="str">
        <f t="shared" si="117"/>
        <v>NO</v>
      </c>
      <c r="L573" s="22" t="str">
        <f t="shared" si="126"/>
        <v>NO</v>
      </c>
      <c r="M573" s="22" t="str">
        <f t="shared" si="126"/>
        <v>NO</v>
      </c>
      <c r="N573" s="22" t="str">
        <f t="shared" si="126"/>
        <v>NO</v>
      </c>
      <c r="O573" s="22" t="str">
        <f t="shared" si="126"/>
        <v>NO</v>
      </c>
      <c r="P573" s="22" t="str">
        <f t="shared" si="126"/>
        <v>NO</v>
      </c>
      <c r="Q573" s="22" t="str">
        <f t="shared" si="126"/>
        <v>NO</v>
      </c>
      <c r="R573" s="22" t="str">
        <f t="shared" si="126"/>
        <v>NO</v>
      </c>
      <c r="S573" s="22" t="str">
        <f t="shared" si="126"/>
        <v>NO</v>
      </c>
      <c r="T573" s="22" t="str">
        <f t="shared" si="126"/>
        <v>NO</v>
      </c>
      <c r="U573" s="22" t="str">
        <f t="shared" si="126"/>
        <v>NO</v>
      </c>
      <c r="V573" s="22" t="str">
        <f t="shared" si="126"/>
        <v>NO</v>
      </c>
      <c r="W573" s="22" t="str">
        <f t="shared" si="126"/>
        <v>NO</v>
      </c>
      <c r="X573" s="22" t="str">
        <f t="shared" si="126"/>
        <v>NO</v>
      </c>
      <c r="Y573" s="22" t="str">
        <f t="shared" si="126"/>
        <v>NO</v>
      </c>
      <c r="Z573" s="22" t="str">
        <f t="shared" si="126"/>
        <v>NO</v>
      </c>
      <c r="AA573" s="22" t="str">
        <f t="shared" si="126"/>
        <v>NO</v>
      </c>
      <c r="AB573" s="22" t="str">
        <f t="shared" si="126"/>
        <v>NO</v>
      </c>
      <c r="AC573" s="22" t="str">
        <f t="shared" si="126"/>
        <v>NO</v>
      </c>
      <c r="AD573" s="22" t="str">
        <f t="shared" si="126"/>
        <v>NO</v>
      </c>
      <c r="AE573" s="22" t="str">
        <f t="shared" si="126"/>
        <v>NO</v>
      </c>
      <c r="AF573" s="22" t="str">
        <f t="shared" si="126"/>
        <v>NO</v>
      </c>
      <c r="AG573" s="22" t="str">
        <f t="shared" si="126"/>
        <v>NO</v>
      </c>
      <c r="AH573" s="22" t="str">
        <f t="shared" si="126"/>
        <v>NO</v>
      </c>
      <c r="AI573" s="22" t="str">
        <f t="shared" si="126"/>
        <v>NO</v>
      </c>
      <c r="AJ573" s="22" t="str">
        <f t="shared" si="126"/>
        <v>NO</v>
      </c>
      <c r="AK573" s="22" t="str">
        <f t="shared" si="126"/>
        <v>NO</v>
      </c>
      <c r="AL573" s="22" t="str">
        <f t="shared" si="126"/>
        <v>NO</v>
      </c>
      <c r="AM573" s="22" t="str">
        <f t="shared" si="126"/>
        <v>NO</v>
      </c>
      <c r="AN573" s="22" t="str">
        <f t="shared" si="126"/>
        <v>NO</v>
      </c>
      <c r="AO573" s="22" t="str">
        <f t="shared" si="126"/>
        <v>NO</v>
      </c>
      <c r="AP573" s="22" t="str">
        <f t="shared" si="126"/>
        <v>NO</v>
      </c>
      <c r="AQ573" s="22" t="str">
        <f t="shared" si="126"/>
        <v>NO</v>
      </c>
      <c r="AR573" s="22" t="str">
        <f t="shared" si="126"/>
        <v>NO</v>
      </c>
      <c r="AS573" s="22" t="str">
        <f t="shared" si="126"/>
        <v>NO</v>
      </c>
      <c r="AT573" s="22" t="str">
        <f t="shared" si="126"/>
        <v>NO</v>
      </c>
      <c r="AU573" s="22" t="str">
        <f t="shared" si="126"/>
        <v>NO</v>
      </c>
      <c r="AV573" s="22" t="str">
        <f t="shared" si="126"/>
        <v>NO</v>
      </c>
      <c r="AW573" s="22" t="str">
        <f t="shared" si="126"/>
        <v>NO</v>
      </c>
      <c r="AY573" s="85"/>
    </row>
    <row r="574" spans="1:51" x14ac:dyDescent="0.25">
      <c r="A574" s="102" t="str">
        <f t="shared" si="108"/>
        <v>PQ Leaching</v>
      </c>
      <c r="B574" s="102" t="s">
        <v>969</v>
      </c>
      <c r="C574" s="102" t="s">
        <v>1191</v>
      </c>
      <c r="D574" t="s">
        <v>369</v>
      </c>
      <c r="E574" t="s">
        <v>61</v>
      </c>
      <c r="F574" t="s">
        <v>63</v>
      </c>
      <c r="G574" t="s">
        <v>1206</v>
      </c>
      <c r="H574" t="s">
        <v>1207</v>
      </c>
      <c r="I574" t="s">
        <v>139</v>
      </c>
      <c r="J574" t="s">
        <v>287</v>
      </c>
      <c r="K574" s="22" t="str">
        <f t="shared" si="117"/>
        <v>NO</v>
      </c>
      <c r="L574" s="22" t="str">
        <f t="shared" si="126"/>
        <v>NO</v>
      </c>
      <c r="M574" s="22" t="str">
        <f t="shared" si="126"/>
        <v>NO</v>
      </c>
      <c r="N574" s="22" t="str">
        <f t="shared" si="126"/>
        <v>NO</v>
      </c>
      <c r="O574" s="22" t="str">
        <f t="shared" si="126"/>
        <v>NO</v>
      </c>
      <c r="P574" s="22" t="str">
        <f t="shared" si="126"/>
        <v>NO</v>
      </c>
      <c r="Q574" s="22" t="str">
        <f t="shared" si="126"/>
        <v>NO</v>
      </c>
      <c r="R574" s="22" t="str">
        <f t="shared" si="126"/>
        <v>NO</v>
      </c>
      <c r="S574" s="22" t="str">
        <f t="shared" si="126"/>
        <v>NO</v>
      </c>
      <c r="T574" s="22" t="str">
        <f t="shared" si="126"/>
        <v>NO</v>
      </c>
      <c r="U574" s="22" t="str">
        <f t="shared" si="126"/>
        <v>NO</v>
      </c>
      <c r="V574" s="22" t="str">
        <f t="shared" si="126"/>
        <v>NO</v>
      </c>
      <c r="W574" s="22" t="str">
        <f t="shared" si="126"/>
        <v>NO</v>
      </c>
      <c r="X574" s="22" t="str">
        <f t="shared" si="126"/>
        <v>NO</v>
      </c>
      <c r="Y574" s="22" t="str">
        <f t="shared" si="126"/>
        <v>NO</v>
      </c>
      <c r="Z574" s="22" t="str">
        <f t="shared" si="126"/>
        <v>NO</v>
      </c>
      <c r="AA574" s="22" t="str">
        <f t="shared" si="126"/>
        <v>NO</v>
      </c>
      <c r="AB574" s="22" t="str">
        <f t="shared" si="126"/>
        <v>NO</v>
      </c>
      <c r="AC574" s="22" t="str">
        <f t="shared" si="126"/>
        <v>NO</v>
      </c>
      <c r="AD574" s="22" t="str">
        <f t="shared" si="126"/>
        <v>NO</v>
      </c>
      <c r="AE574" s="22" t="str">
        <f t="shared" si="126"/>
        <v>NO</v>
      </c>
      <c r="AF574" s="22" t="str">
        <f t="shared" si="126"/>
        <v>NO</v>
      </c>
      <c r="AG574" s="22" t="str">
        <f t="shared" si="126"/>
        <v>NO</v>
      </c>
      <c r="AH574" s="22" t="str">
        <f t="shared" si="126"/>
        <v>NO</v>
      </c>
      <c r="AI574" s="22" t="str">
        <f t="shared" si="126"/>
        <v>NO</v>
      </c>
      <c r="AJ574" s="22" t="str">
        <f t="shared" si="126"/>
        <v>NO</v>
      </c>
      <c r="AK574" s="22" t="str">
        <f t="shared" si="126"/>
        <v>NO</v>
      </c>
      <c r="AL574" s="22" t="str">
        <f t="shared" si="126"/>
        <v>NO</v>
      </c>
      <c r="AM574" s="22" t="str">
        <f t="shared" si="126"/>
        <v>NO</v>
      </c>
      <c r="AN574" s="22" t="str">
        <f t="shared" si="126"/>
        <v>NO</v>
      </c>
      <c r="AO574" s="22" t="str">
        <f t="shared" si="126"/>
        <v>NO</v>
      </c>
      <c r="AP574" s="22" t="str">
        <f t="shared" si="126"/>
        <v>NO</v>
      </c>
      <c r="AQ574" s="22" t="str">
        <f t="shared" si="126"/>
        <v>NO</v>
      </c>
      <c r="AR574" s="22" t="str">
        <f t="shared" si="126"/>
        <v>NO</v>
      </c>
      <c r="AS574" s="22" t="str">
        <f t="shared" si="126"/>
        <v>NO</v>
      </c>
      <c r="AT574" s="22" t="str">
        <f t="shared" si="126"/>
        <v>NO</v>
      </c>
      <c r="AU574" s="22" t="str">
        <f t="shared" si="126"/>
        <v>NO</v>
      </c>
      <c r="AV574" s="22" t="str">
        <f t="shared" si="126"/>
        <v>NO</v>
      </c>
      <c r="AW574" s="22" t="str">
        <f t="shared" si="126"/>
        <v>NO</v>
      </c>
      <c r="AY574" s="85"/>
    </row>
    <row r="575" spans="1:51" x14ac:dyDescent="0.25">
      <c r="A575" s="102" t="str">
        <f t="shared" si="108"/>
        <v>PQ Leaching</v>
      </c>
      <c r="B575" s="102" t="s">
        <v>969</v>
      </c>
      <c r="C575" s="102" t="s">
        <v>1191</v>
      </c>
      <c r="D575" t="s">
        <v>369</v>
      </c>
      <c r="E575" t="s">
        <v>61</v>
      </c>
      <c r="F575" t="s">
        <v>63</v>
      </c>
      <c r="G575" t="s">
        <v>1208</v>
      </c>
      <c r="H575" t="s">
        <v>1209</v>
      </c>
      <c r="I575" t="s">
        <v>139</v>
      </c>
      <c r="J575" t="s">
        <v>287</v>
      </c>
      <c r="K575" s="22" t="str">
        <f t="shared" si="117"/>
        <v>NO</v>
      </c>
      <c r="L575" s="22" t="str">
        <f t="shared" si="126"/>
        <v>NO</v>
      </c>
      <c r="M575" s="22" t="str">
        <f t="shared" si="126"/>
        <v>NO</v>
      </c>
      <c r="N575" s="22" t="str">
        <f t="shared" si="126"/>
        <v>NO</v>
      </c>
      <c r="O575" s="22" t="str">
        <f t="shared" si="126"/>
        <v>NO</v>
      </c>
      <c r="P575" s="22" t="str">
        <f t="shared" si="126"/>
        <v>NO</v>
      </c>
      <c r="Q575" s="22" t="str">
        <f t="shared" si="126"/>
        <v>NO</v>
      </c>
      <c r="R575" s="22" t="str">
        <f t="shared" si="126"/>
        <v>NO</v>
      </c>
      <c r="S575" s="22" t="str">
        <f t="shared" si="126"/>
        <v>NO</v>
      </c>
      <c r="T575" s="22" t="str">
        <f t="shared" si="126"/>
        <v>NO</v>
      </c>
      <c r="U575" s="22" t="str">
        <f t="shared" si="126"/>
        <v>NO</v>
      </c>
      <c r="V575" s="22" t="str">
        <f t="shared" si="126"/>
        <v>NO</v>
      </c>
      <c r="W575" s="22" t="str">
        <f t="shared" si="126"/>
        <v>NO</v>
      </c>
      <c r="X575" s="22" t="str">
        <f t="shared" si="126"/>
        <v>NO</v>
      </c>
      <c r="Y575" s="22" t="str">
        <f t="shared" si="126"/>
        <v>NO</v>
      </c>
      <c r="Z575" s="22" t="str">
        <f t="shared" si="126"/>
        <v>NO</v>
      </c>
      <c r="AA575" s="22" t="str">
        <f t="shared" si="126"/>
        <v>NO</v>
      </c>
      <c r="AB575" s="22" t="str">
        <f t="shared" si="126"/>
        <v>NO</v>
      </c>
      <c r="AC575" s="22" t="str">
        <f t="shared" si="126"/>
        <v>NO</v>
      </c>
      <c r="AD575" s="22" t="str">
        <f t="shared" si="126"/>
        <v>NO</v>
      </c>
      <c r="AE575" s="22" t="str">
        <f t="shared" si="126"/>
        <v>NO</v>
      </c>
      <c r="AF575" s="22" t="str">
        <f t="shared" si="126"/>
        <v>NO</v>
      </c>
      <c r="AG575" s="22" t="str">
        <f t="shared" si="126"/>
        <v>NO</v>
      </c>
      <c r="AH575" s="22" t="str">
        <f t="shared" si="126"/>
        <v>NO</v>
      </c>
      <c r="AI575" s="22" t="str">
        <f t="shared" si="126"/>
        <v>NO</v>
      </c>
      <c r="AJ575" s="22" t="str">
        <f t="shared" si="126"/>
        <v>NO</v>
      </c>
      <c r="AK575" s="22" t="str">
        <f t="shared" si="126"/>
        <v>NO</v>
      </c>
      <c r="AL575" s="22" t="str">
        <f t="shared" si="126"/>
        <v>NO</v>
      </c>
      <c r="AM575" s="22" t="str">
        <f t="shared" si="126"/>
        <v>NO</v>
      </c>
      <c r="AN575" s="22" t="str">
        <f t="shared" si="126"/>
        <v>NO</v>
      </c>
      <c r="AO575" s="22" t="str">
        <f t="shared" si="126"/>
        <v>NO</v>
      </c>
      <c r="AP575" s="22" t="str">
        <f t="shared" si="126"/>
        <v>NO</v>
      </c>
      <c r="AQ575" s="22" t="str">
        <f t="shared" si="126"/>
        <v>NO</v>
      </c>
      <c r="AR575" s="22" t="str">
        <f t="shared" si="126"/>
        <v>NO</v>
      </c>
      <c r="AS575" s="22" t="str">
        <f t="shared" si="126"/>
        <v>NO</v>
      </c>
      <c r="AT575" s="22" t="str">
        <f t="shared" si="126"/>
        <v>NO</v>
      </c>
      <c r="AU575" s="22" t="str">
        <f t="shared" si="126"/>
        <v>NO</v>
      </c>
      <c r="AV575" s="22" t="str">
        <f t="shared" si="126"/>
        <v>NO</v>
      </c>
      <c r="AW575" s="22" t="str">
        <f t="shared" si="126"/>
        <v>NO</v>
      </c>
      <c r="AY575" s="85"/>
    </row>
    <row r="576" spans="1:51" x14ac:dyDescent="0.25">
      <c r="A576" s="102" t="str">
        <f t="shared" si="108"/>
        <v>PQ Leaching</v>
      </c>
      <c r="B576" s="102" t="s">
        <v>969</v>
      </c>
      <c r="C576" s="102" t="s">
        <v>1191</v>
      </c>
      <c r="D576" t="s">
        <v>369</v>
      </c>
      <c r="E576" t="s">
        <v>61</v>
      </c>
      <c r="F576" t="s">
        <v>63</v>
      </c>
      <c r="G576" t="s">
        <v>1210</v>
      </c>
      <c r="H576" t="s">
        <v>1211</v>
      </c>
      <c r="I576" t="s">
        <v>139</v>
      </c>
      <c r="J576" t="s">
        <v>287</v>
      </c>
      <c r="K576" s="22">
        <f t="shared" si="117"/>
        <v>1.9333864620707719E-6</v>
      </c>
      <c r="L576" s="22">
        <f t="shared" si="126"/>
        <v>1.9333864620707719E-6</v>
      </c>
      <c r="M576" s="22">
        <f t="shared" si="126"/>
        <v>1.9333864620707719E-6</v>
      </c>
      <c r="N576" s="22">
        <f t="shared" si="126"/>
        <v>1.9333864620707719E-6</v>
      </c>
      <c r="O576" s="22">
        <f t="shared" si="126"/>
        <v>1.9333864620707719E-6</v>
      </c>
      <c r="P576" s="22">
        <f t="shared" si="126"/>
        <v>1.9333864620707719E-6</v>
      </c>
      <c r="Q576" s="22">
        <f t="shared" si="126"/>
        <v>1.9333864620707719E-6</v>
      </c>
      <c r="R576" s="22">
        <f t="shared" si="126"/>
        <v>1.9333864620707719E-6</v>
      </c>
      <c r="S576" s="22">
        <f t="shared" si="126"/>
        <v>1.9333864620707719E-6</v>
      </c>
      <c r="T576" s="22">
        <f t="shared" si="126"/>
        <v>1.9333864620707719E-6</v>
      </c>
      <c r="U576" s="22">
        <f t="shared" si="126"/>
        <v>1.9333864620707719E-6</v>
      </c>
      <c r="V576" s="22">
        <f t="shared" si="126"/>
        <v>1.9333864620707719E-6</v>
      </c>
      <c r="W576" s="22">
        <f t="shared" si="126"/>
        <v>1.9333864620707719E-6</v>
      </c>
      <c r="X576" s="22">
        <f t="shared" si="126"/>
        <v>1.9333864620707719E-6</v>
      </c>
      <c r="Y576" s="22">
        <f t="shared" si="126"/>
        <v>1.9333864620707719E-6</v>
      </c>
      <c r="Z576" s="22">
        <f t="shared" si="126"/>
        <v>1.9333864620707719E-6</v>
      </c>
      <c r="AA576" s="22">
        <f t="shared" si="126"/>
        <v>1.9333864620707719E-6</v>
      </c>
      <c r="AB576" s="22">
        <f t="shared" si="126"/>
        <v>1.9333864620707719E-6</v>
      </c>
      <c r="AC576" s="22">
        <f t="shared" si="126"/>
        <v>1.9333864620707719E-6</v>
      </c>
      <c r="AD576" s="22">
        <f t="shared" si="126"/>
        <v>1.9333864620707719E-6</v>
      </c>
      <c r="AE576" s="22">
        <f t="shared" si="126"/>
        <v>1.9333864620707719E-6</v>
      </c>
      <c r="AF576" s="22">
        <f t="shared" si="126"/>
        <v>1.9333864620707719E-6</v>
      </c>
      <c r="AG576" s="22">
        <f t="shared" si="126"/>
        <v>1.9333864620707719E-6</v>
      </c>
      <c r="AH576" s="22">
        <f t="shared" si="126"/>
        <v>1.9333864620707719E-6</v>
      </c>
      <c r="AI576" s="22">
        <f t="shared" si="126"/>
        <v>1.9333864620707719E-6</v>
      </c>
      <c r="AJ576" s="22">
        <f t="shared" si="126"/>
        <v>1.9333864620707719E-6</v>
      </c>
      <c r="AK576" s="22">
        <f t="shared" si="126"/>
        <v>1.9333864620707719E-6</v>
      </c>
      <c r="AL576" s="22">
        <f t="shared" si="126"/>
        <v>1.9333864620707719E-6</v>
      </c>
      <c r="AM576" s="22">
        <f t="shared" si="126"/>
        <v>1.9333864620707719E-6</v>
      </c>
      <c r="AN576" s="22">
        <f t="shared" si="126"/>
        <v>1.9333864620707719E-6</v>
      </c>
      <c r="AO576" s="22">
        <f t="shared" si="126"/>
        <v>1.9333864620707719E-6</v>
      </c>
      <c r="AP576" s="22">
        <f t="shared" si="126"/>
        <v>1.9333864620707719E-6</v>
      </c>
      <c r="AQ576" s="22">
        <f t="shared" si="126"/>
        <v>1.9333864620707719E-6</v>
      </c>
      <c r="AR576" s="22">
        <f t="shared" si="126"/>
        <v>1.9333864620707719E-6</v>
      </c>
      <c r="AS576" s="22">
        <f t="shared" si="126"/>
        <v>1.9333864620707719E-6</v>
      </c>
      <c r="AT576" s="22">
        <f t="shared" si="126"/>
        <v>1.9333864620707719E-6</v>
      </c>
      <c r="AU576" s="22">
        <f t="shared" si="126"/>
        <v>1.9333864620707719E-6</v>
      </c>
      <c r="AV576" s="22">
        <f t="shared" si="126"/>
        <v>1.9333864620707719E-6</v>
      </c>
      <c r="AW576" s="22">
        <f t="shared" si="126"/>
        <v>1.9333864620707719E-6</v>
      </c>
      <c r="AY576" s="85"/>
    </row>
    <row r="577" spans="1:51" x14ac:dyDescent="0.25">
      <c r="A577" s="102" t="str">
        <f t="shared" si="108"/>
        <v>PQ Leaching</v>
      </c>
      <c r="B577" s="102" t="s">
        <v>969</v>
      </c>
      <c r="C577" s="102" t="s">
        <v>1191</v>
      </c>
      <c r="D577" t="s">
        <v>369</v>
      </c>
      <c r="E577" t="s">
        <v>61</v>
      </c>
      <c r="F577" t="s">
        <v>63</v>
      </c>
      <c r="G577" t="s">
        <v>1212</v>
      </c>
      <c r="H577" t="s">
        <v>1213</v>
      </c>
      <c r="I577" t="s">
        <v>139</v>
      </c>
      <c r="J577" t="s">
        <v>287</v>
      </c>
      <c r="K577" s="22">
        <f t="shared" ref="K577:Z611" si="127">K1528</f>
        <v>2.1082459751876198E-3</v>
      </c>
      <c r="L577" s="22">
        <f t="shared" si="127"/>
        <v>2.1082459751876198E-3</v>
      </c>
      <c r="M577" s="22">
        <f t="shared" si="127"/>
        <v>2.1082459751876198E-3</v>
      </c>
      <c r="N577" s="22">
        <f t="shared" si="127"/>
        <v>2.1082459751876198E-3</v>
      </c>
      <c r="O577" s="22">
        <f t="shared" si="127"/>
        <v>2.1082459751876198E-3</v>
      </c>
      <c r="P577" s="22">
        <f t="shared" si="127"/>
        <v>2.1082459751876198E-3</v>
      </c>
      <c r="Q577" s="22">
        <f t="shared" si="127"/>
        <v>2.1082459751876198E-3</v>
      </c>
      <c r="R577" s="22">
        <f t="shared" si="127"/>
        <v>2.1082459751876198E-3</v>
      </c>
      <c r="S577" s="22">
        <f t="shared" si="127"/>
        <v>2.1082459751876198E-3</v>
      </c>
      <c r="T577" s="22">
        <f t="shared" si="127"/>
        <v>2.1082459751876198E-3</v>
      </c>
      <c r="U577" s="22">
        <f t="shared" si="127"/>
        <v>2.1082459751876198E-3</v>
      </c>
      <c r="V577" s="22">
        <f t="shared" si="127"/>
        <v>2.1082459751876198E-3</v>
      </c>
      <c r="W577" s="22">
        <f t="shared" si="127"/>
        <v>2.1082459751876198E-3</v>
      </c>
      <c r="X577" s="22">
        <f t="shared" si="127"/>
        <v>2.1082459751876198E-3</v>
      </c>
      <c r="Y577" s="22">
        <f t="shared" si="127"/>
        <v>2.1082459751876198E-3</v>
      </c>
      <c r="Z577" s="22">
        <f t="shared" si="127"/>
        <v>2.1082459751876198E-3</v>
      </c>
      <c r="AA577" s="22">
        <f t="shared" si="126"/>
        <v>2.1082459751876198E-3</v>
      </c>
      <c r="AB577" s="22">
        <f t="shared" si="126"/>
        <v>2.1082459751876198E-3</v>
      </c>
      <c r="AC577" s="22">
        <f t="shared" si="126"/>
        <v>2.1082459751876198E-3</v>
      </c>
      <c r="AD577" s="22">
        <f t="shared" si="126"/>
        <v>2.1082459751876198E-3</v>
      </c>
      <c r="AE577" s="22">
        <f t="shared" si="126"/>
        <v>2.1082459751876198E-3</v>
      </c>
      <c r="AF577" s="22">
        <f t="shared" si="126"/>
        <v>2.1082459751876198E-3</v>
      </c>
      <c r="AG577" s="22">
        <f t="shared" si="126"/>
        <v>2.1082459751876198E-3</v>
      </c>
      <c r="AH577" s="22">
        <f t="shared" si="126"/>
        <v>2.1082459751876198E-3</v>
      </c>
      <c r="AI577" s="22">
        <f t="shared" si="126"/>
        <v>2.1082459751876198E-3</v>
      </c>
      <c r="AJ577" s="22">
        <f t="shared" si="126"/>
        <v>2.1082459751876198E-3</v>
      </c>
      <c r="AK577" s="22">
        <f t="shared" si="126"/>
        <v>2.1082459751876198E-3</v>
      </c>
      <c r="AL577" s="22">
        <f t="shared" si="126"/>
        <v>2.1082459751876198E-3</v>
      </c>
      <c r="AM577" s="22">
        <f t="shared" si="126"/>
        <v>2.1082459751876198E-3</v>
      </c>
      <c r="AN577" s="22">
        <f t="shared" si="126"/>
        <v>2.1082459751876198E-3</v>
      </c>
      <c r="AO577" s="22">
        <f t="shared" si="126"/>
        <v>2.1082459751876198E-3</v>
      </c>
      <c r="AP577" s="22">
        <f t="shared" si="126"/>
        <v>2.1082459751876198E-3</v>
      </c>
      <c r="AQ577" s="22">
        <f t="shared" si="126"/>
        <v>2.1082459751876198E-3</v>
      </c>
      <c r="AR577" s="22">
        <f t="shared" si="126"/>
        <v>2.1082459751876198E-3</v>
      </c>
      <c r="AS577" s="22">
        <f t="shared" si="126"/>
        <v>2.1082459751876198E-3</v>
      </c>
      <c r="AT577" s="22">
        <f t="shared" si="126"/>
        <v>2.1082459751876198E-3</v>
      </c>
      <c r="AU577" s="22">
        <f t="shared" si="126"/>
        <v>2.1082459751876198E-3</v>
      </c>
      <c r="AV577" s="22">
        <f t="shared" si="126"/>
        <v>2.1082459751876198E-3</v>
      </c>
      <c r="AW577" s="22">
        <f t="shared" si="126"/>
        <v>2.1082459751876198E-3</v>
      </c>
      <c r="AY577" s="85"/>
    </row>
    <row r="578" spans="1:51" x14ac:dyDescent="0.25">
      <c r="A578" s="102" t="str">
        <f t="shared" si="108"/>
        <v>PQ Leaching</v>
      </c>
      <c r="B578" s="102" t="s">
        <v>969</v>
      </c>
      <c r="C578" s="102" t="s">
        <v>1191</v>
      </c>
      <c r="D578" t="s">
        <v>369</v>
      </c>
      <c r="E578" t="s">
        <v>61</v>
      </c>
      <c r="F578" t="s">
        <v>63</v>
      </c>
      <c r="G578" t="s">
        <v>1214</v>
      </c>
      <c r="H578" t="s">
        <v>1215</v>
      </c>
      <c r="I578" t="s">
        <v>139</v>
      </c>
      <c r="J578" t="s">
        <v>287</v>
      </c>
      <c r="K578" s="22" t="str">
        <f t="shared" si="127"/>
        <v>NO</v>
      </c>
      <c r="L578" s="22" t="str">
        <f t="shared" si="126"/>
        <v>NO</v>
      </c>
      <c r="M578" s="22" t="str">
        <f t="shared" si="126"/>
        <v>NO</v>
      </c>
      <c r="N578" s="22" t="str">
        <f t="shared" si="126"/>
        <v>NO</v>
      </c>
      <c r="O578" s="22" t="str">
        <f t="shared" si="126"/>
        <v>NO</v>
      </c>
      <c r="P578" s="22" t="str">
        <f t="shared" si="126"/>
        <v>NO</v>
      </c>
      <c r="Q578" s="22" t="str">
        <f t="shared" si="126"/>
        <v>NO</v>
      </c>
      <c r="R578" s="22" t="str">
        <f t="shared" si="126"/>
        <v>NO</v>
      </c>
      <c r="S578" s="22" t="str">
        <f t="shared" si="126"/>
        <v>NO</v>
      </c>
      <c r="T578" s="22" t="str">
        <f t="shared" si="126"/>
        <v>NO</v>
      </c>
      <c r="U578" s="22" t="str">
        <f t="shared" si="126"/>
        <v>NO</v>
      </c>
      <c r="V578" s="22" t="str">
        <f t="shared" si="126"/>
        <v>NO</v>
      </c>
      <c r="W578" s="22" t="str">
        <f t="shared" si="126"/>
        <v>NO</v>
      </c>
      <c r="X578" s="22" t="str">
        <f t="shared" si="126"/>
        <v>NO</v>
      </c>
      <c r="Y578" s="22" t="str">
        <f t="shared" si="126"/>
        <v>NO</v>
      </c>
      <c r="Z578" s="22" t="str">
        <f t="shared" si="126"/>
        <v>NO</v>
      </c>
      <c r="AA578" s="22" t="str">
        <f t="shared" si="126"/>
        <v>NO</v>
      </c>
      <c r="AB578" s="22" t="str">
        <f t="shared" si="126"/>
        <v>NO</v>
      </c>
      <c r="AC578" s="22" t="str">
        <f t="shared" si="126"/>
        <v>NO</v>
      </c>
      <c r="AD578" s="22" t="str">
        <f t="shared" si="126"/>
        <v>NO</v>
      </c>
      <c r="AE578" s="22" t="str">
        <f t="shared" si="126"/>
        <v>NO</v>
      </c>
      <c r="AF578" s="22" t="str">
        <f t="shared" si="126"/>
        <v>NO</v>
      </c>
      <c r="AG578" s="22" t="str">
        <f t="shared" si="126"/>
        <v>NO</v>
      </c>
      <c r="AH578" s="22" t="str">
        <f t="shared" si="126"/>
        <v>NO</v>
      </c>
      <c r="AI578" s="22" t="str">
        <f t="shared" si="126"/>
        <v>NO</v>
      </c>
      <c r="AJ578" s="22" t="str">
        <f t="shared" si="126"/>
        <v>NO</v>
      </c>
      <c r="AK578" s="22" t="str">
        <f t="shared" si="126"/>
        <v>NO</v>
      </c>
      <c r="AL578" s="22" t="str">
        <f t="shared" si="126"/>
        <v>NO</v>
      </c>
      <c r="AM578" s="22" t="str">
        <f t="shared" si="126"/>
        <v>NO</v>
      </c>
      <c r="AN578" s="22" t="str">
        <f t="shared" si="126"/>
        <v>NO</v>
      </c>
      <c r="AO578" s="22" t="str">
        <f t="shared" si="126"/>
        <v>NO</v>
      </c>
      <c r="AP578" s="22" t="str">
        <f t="shared" si="126"/>
        <v>NO</v>
      </c>
      <c r="AQ578" s="22" t="str">
        <f t="shared" si="126"/>
        <v>NO</v>
      </c>
      <c r="AR578" s="22" t="str">
        <f t="shared" si="126"/>
        <v>NO</v>
      </c>
      <c r="AS578" s="22" t="str">
        <f t="shared" si="126"/>
        <v>NO</v>
      </c>
      <c r="AT578" s="22" t="str">
        <f t="shared" si="126"/>
        <v>NO</v>
      </c>
      <c r="AU578" s="22" t="str">
        <f t="shared" si="126"/>
        <v>NO</v>
      </c>
      <c r="AV578" s="22" t="str">
        <f t="shared" si="126"/>
        <v>NO</v>
      </c>
      <c r="AW578" s="22" t="str">
        <f t="shared" si="126"/>
        <v>NO</v>
      </c>
      <c r="AY578" s="85"/>
    </row>
    <row r="579" spans="1:51" x14ac:dyDescent="0.25">
      <c r="A579" s="102" t="str">
        <f t="shared" si="108"/>
        <v xml:space="preserve">PQ </v>
      </c>
      <c r="B579" s="102" t="s">
        <v>969</v>
      </c>
      <c r="C579" s="102"/>
      <c r="D579" t="s">
        <v>369</v>
      </c>
      <c r="E579" t="s">
        <v>61</v>
      </c>
      <c r="F579" t="s">
        <v>63</v>
      </c>
      <c r="G579" t="s">
        <v>1216</v>
      </c>
      <c r="H579" t="s">
        <v>1217</v>
      </c>
      <c r="I579" t="s">
        <v>139</v>
      </c>
      <c r="J579" t="s">
        <v>287</v>
      </c>
      <c r="K579" s="22">
        <f t="shared" si="127"/>
        <v>0.11026792439175388</v>
      </c>
      <c r="L579" s="22">
        <f t="shared" si="126"/>
        <v>0.11026792439175388</v>
      </c>
      <c r="M579" s="22">
        <f t="shared" si="126"/>
        <v>0.11026792439175388</v>
      </c>
      <c r="N579" s="22">
        <f t="shared" si="126"/>
        <v>0.11026792439175388</v>
      </c>
      <c r="O579" s="22">
        <f t="shared" si="126"/>
        <v>0.11026792439175388</v>
      </c>
      <c r="P579" s="22">
        <f t="shared" si="126"/>
        <v>0.11026792439175388</v>
      </c>
      <c r="Q579" s="22">
        <f t="shared" si="126"/>
        <v>0.11026792439175388</v>
      </c>
      <c r="R579" s="22">
        <f t="shared" si="126"/>
        <v>0.11026792439175388</v>
      </c>
      <c r="S579" s="22">
        <f t="shared" si="126"/>
        <v>0.11026792439175388</v>
      </c>
      <c r="T579" s="22">
        <f t="shared" si="126"/>
        <v>0.11026792439175388</v>
      </c>
      <c r="U579" s="22">
        <f t="shared" si="126"/>
        <v>0.11026792439175388</v>
      </c>
      <c r="V579" s="22">
        <f t="shared" si="126"/>
        <v>0.11026792439175388</v>
      </c>
      <c r="W579" s="22">
        <f t="shared" si="126"/>
        <v>0.11026792439175388</v>
      </c>
      <c r="X579" s="22">
        <f t="shared" si="126"/>
        <v>0.11026792439175388</v>
      </c>
      <c r="Y579" s="22">
        <f t="shared" si="126"/>
        <v>0.11026792439175388</v>
      </c>
      <c r="Z579" s="22">
        <f t="shared" si="126"/>
        <v>0.11026792439175388</v>
      </c>
      <c r="AA579" s="22">
        <f t="shared" si="126"/>
        <v>0.11026792439175388</v>
      </c>
      <c r="AB579" s="22">
        <f t="shared" si="126"/>
        <v>0.11026792439175388</v>
      </c>
      <c r="AC579" s="22">
        <f t="shared" si="126"/>
        <v>0.11026792439175388</v>
      </c>
      <c r="AD579" s="22">
        <f t="shared" si="126"/>
        <v>0.11026792439175388</v>
      </c>
      <c r="AE579" s="22">
        <f t="shared" si="126"/>
        <v>0.11026792439175388</v>
      </c>
      <c r="AF579" s="22">
        <f t="shared" si="126"/>
        <v>0.11026792439175388</v>
      </c>
      <c r="AG579" s="22">
        <f t="shared" si="126"/>
        <v>0.11026792439175388</v>
      </c>
      <c r="AH579" s="22">
        <f t="shared" si="126"/>
        <v>0.11026792439175388</v>
      </c>
      <c r="AI579" s="22">
        <f t="shared" si="126"/>
        <v>0.11026792439175388</v>
      </c>
      <c r="AJ579" s="22">
        <f t="shared" si="126"/>
        <v>0.11026792439175388</v>
      </c>
      <c r="AK579" s="22">
        <f t="shared" si="126"/>
        <v>0.11026792439175388</v>
      </c>
      <c r="AL579" s="22">
        <f t="shared" si="126"/>
        <v>0.11026792439175388</v>
      </c>
      <c r="AM579" s="22">
        <f t="shared" si="126"/>
        <v>0.11026792439175388</v>
      </c>
      <c r="AN579" s="22">
        <f t="shared" si="126"/>
        <v>0.11026792439175388</v>
      </c>
      <c r="AO579" s="22">
        <f t="shared" si="126"/>
        <v>0.11026792439175388</v>
      </c>
      <c r="AP579" s="22">
        <f t="shared" si="126"/>
        <v>0.11026792439175388</v>
      </c>
      <c r="AQ579" s="22">
        <f t="shared" si="126"/>
        <v>0.11026792439175388</v>
      </c>
      <c r="AR579" s="22">
        <f t="shared" si="126"/>
        <v>0.11026792439175388</v>
      </c>
      <c r="AS579" s="22">
        <f t="shared" si="126"/>
        <v>0.11026792439175388</v>
      </c>
      <c r="AT579" s="22">
        <f t="shared" ref="L579:AW586" si="128">AT1530</f>
        <v>0.11026792439175388</v>
      </c>
      <c r="AU579" s="22">
        <f t="shared" si="128"/>
        <v>0.11026792439175388</v>
      </c>
      <c r="AV579" s="22">
        <f t="shared" si="128"/>
        <v>0.11026792439175388</v>
      </c>
      <c r="AW579" s="22">
        <f t="shared" si="128"/>
        <v>0.11026792439175388</v>
      </c>
      <c r="AY579" s="85"/>
    </row>
    <row r="580" spans="1:51" x14ac:dyDescent="0.25">
      <c r="A580" s="102" t="str">
        <f t="shared" si="108"/>
        <v>PQ MM Volatilisation</v>
      </c>
      <c r="B580" s="102" t="s">
        <v>969</v>
      </c>
      <c r="C580" s="102" t="s">
        <v>1333</v>
      </c>
      <c r="D580" t="s">
        <v>369</v>
      </c>
      <c r="E580" t="s">
        <v>64</v>
      </c>
      <c r="F580" t="s">
        <v>62</v>
      </c>
      <c r="G580" t="s">
        <v>1153</v>
      </c>
      <c r="H580" t="s">
        <v>1291</v>
      </c>
      <c r="I580" t="s">
        <v>139</v>
      </c>
      <c r="J580" t="s">
        <v>287</v>
      </c>
      <c r="K580" s="22">
        <f t="shared" si="127"/>
        <v>0.39681521114916435</v>
      </c>
      <c r="L580" s="22">
        <f t="shared" si="128"/>
        <v>0.39928346869815806</v>
      </c>
      <c r="M580" s="22">
        <f t="shared" si="128"/>
        <v>0.4009804297645459</v>
      </c>
      <c r="N580" s="22">
        <f t="shared" si="128"/>
        <v>0.40151262173495006</v>
      </c>
      <c r="O580" s="22">
        <f t="shared" si="128"/>
        <v>0.40223259805813538</v>
      </c>
      <c r="P580" s="22">
        <f t="shared" si="128"/>
        <v>0.40380961974030649</v>
      </c>
      <c r="Q580" s="22">
        <f t="shared" si="128"/>
        <v>0.40570030877561336</v>
      </c>
      <c r="R580" s="22">
        <f t="shared" si="128"/>
        <v>0.4062682914839757</v>
      </c>
      <c r="S580" s="22">
        <f t="shared" si="128"/>
        <v>0.39379594618948027</v>
      </c>
      <c r="T580" s="22">
        <f t="shared" si="128"/>
        <v>0.39703951074089222</v>
      </c>
      <c r="U580" s="22">
        <f t="shared" si="128"/>
        <v>0.40001376732014149</v>
      </c>
      <c r="V580" s="22">
        <f t="shared" si="128"/>
        <v>0.4030633713994573</v>
      </c>
      <c r="W580" s="22">
        <f t="shared" si="128"/>
        <v>0.40673703435821862</v>
      </c>
      <c r="X580" s="22">
        <f t="shared" si="128"/>
        <v>0.41047963139436411</v>
      </c>
      <c r="Y580" s="22">
        <f t="shared" si="128"/>
        <v>0.41412386702749909</v>
      </c>
      <c r="Z580" s="22">
        <f t="shared" si="128"/>
        <v>0.41769519693164076</v>
      </c>
      <c r="AA580" s="22">
        <f t="shared" si="128"/>
        <v>0.42154191092161625</v>
      </c>
      <c r="AB580" s="22">
        <f t="shared" si="128"/>
        <v>0.42518467345636607</v>
      </c>
      <c r="AC580" s="22">
        <f t="shared" si="128"/>
        <v>0.42895809934446105</v>
      </c>
      <c r="AD580" s="22">
        <f t="shared" si="128"/>
        <v>0.43329342136251764</v>
      </c>
      <c r="AE580" s="22">
        <f t="shared" si="128"/>
        <v>0.43801504276628445</v>
      </c>
      <c r="AF580" s="22">
        <f t="shared" si="128"/>
        <v>0.44292407628311159</v>
      </c>
      <c r="AG580" s="22">
        <f t="shared" si="128"/>
        <v>0.44360979324480354</v>
      </c>
      <c r="AH580" s="22">
        <f t="shared" si="128"/>
        <v>0.23750435523455551</v>
      </c>
      <c r="AI580" s="22">
        <f t="shared" si="128"/>
        <v>0.23767903823802267</v>
      </c>
      <c r="AJ580" s="22">
        <f t="shared" si="128"/>
        <v>0.23787666796336571</v>
      </c>
      <c r="AK580" s="22">
        <f t="shared" si="128"/>
        <v>0.23809637221397845</v>
      </c>
      <c r="AL580" s="22">
        <f t="shared" si="128"/>
        <v>0.2383373459663993</v>
      </c>
      <c r="AM580" s="22">
        <f t="shared" si="128"/>
        <v>0.23859884500343068</v>
      </c>
      <c r="AN580" s="22">
        <f t="shared" si="128"/>
        <v>0.23871142815197754</v>
      </c>
      <c r="AO580" s="22">
        <f t="shared" si="128"/>
        <v>0.23884208664335624</v>
      </c>
      <c r="AP580" s="22">
        <f t="shared" si="128"/>
        <v>0.23899018916140971</v>
      </c>
      <c r="AQ580" s="22">
        <f t="shared" si="128"/>
        <v>0.2391551474689631</v>
      </c>
      <c r="AR580" s="22">
        <f t="shared" si="128"/>
        <v>0.23933641275222764</v>
      </c>
      <c r="AS580" s="22">
        <f t="shared" si="128"/>
        <v>0.23936290185366965</v>
      </c>
      <c r="AT580" s="22">
        <f t="shared" si="128"/>
        <v>0.23940384749309143</v>
      </c>
      <c r="AU580" s="22">
        <f t="shared" si="128"/>
        <v>0.23945877050598915</v>
      </c>
      <c r="AV580" s="22">
        <f t="shared" si="128"/>
        <v>0.23952722091813589</v>
      </c>
      <c r="AW580" s="22">
        <f t="shared" si="128"/>
        <v>0.23960877570322184</v>
      </c>
      <c r="AY580" s="85"/>
    </row>
    <row r="581" spans="1:51" x14ac:dyDescent="0.25">
      <c r="A581" s="102" t="str">
        <f t="shared" si="108"/>
        <v>PQ MM Volatilisation</v>
      </c>
      <c r="B581" s="102" t="s">
        <v>969</v>
      </c>
      <c r="C581" s="102" t="s">
        <v>1333</v>
      </c>
      <c r="D581" t="s">
        <v>369</v>
      </c>
      <c r="E581" t="s">
        <v>64</v>
      </c>
      <c r="F581" t="s">
        <v>62</v>
      </c>
      <c r="G581" t="s">
        <v>1155</v>
      </c>
      <c r="H581" t="s">
        <v>1292</v>
      </c>
      <c r="I581" t="s">
        <v>139</v>
      </c>
      <c r="J581" t="s">
        <v>287</v>
      </c>
      <c r="K581" s="22">
        <f t="shared" si="127"/>
        <v>3.1306447478246062E-2</v>
      </c>
      <c r="L581" s="22">
        <f t="shared" si="128"/>
        <v>3.1501178862399851E-2</v>
      </c>
      <c r="M581" s="22">
        <f t="shared" si="128"/>
        <v>3.163505937152563E-2</v>
      </c>
      <c r="N581" s="22">
        <f t="shared" si="128"/>
        <v>3.167704626996521E-2</v>
      </c>
      <c r="O581" s="22">
        <f t="shared" si="128"/>
        <v>3.1733848278341123E-2</v>
      </c>
      <c r="P581" s="22">
        <f t="shared" si="128"/>
        <v>3.1858266256981516E-2</v>
      </c>
      <c r="Q581" s="22">
        <f t="shared" si="128"/>
        <v>3.2007430793315993E-2</v>
      </c>
      <c r="R581" s="22">
        <f t="shared" si="128"/>
        <v>3.2052241375996028E-2</v>
      </c>
      <c r="S581" s="22">
        <f t="shared" si="128"/>
        <v>3.1068244765175855E-2</v>
      </c>
      <c r="T581" s="22">
        <f t="shared" si="128"/>
        <v>3.1324143431401406E-2</v>
      </c>
      <c r="U581" s="22">
        <f t="shared" si="128"/>
        <v>3.1558795241031987E-2</v>
      </c>
      <c r="V581" s="22">
        <f t="shared" si="128"/>
        <v>3.1799391536879773E-2</v>
      </c>
      <c r="W581" s="22">
        <f t="shared" si="128"/>
        <v>3.2089222504140757E-2</v>
      </c>
      <c r="X581" s="22">
        <f t="shared" si="128"/>
        <v>3.2384491975300946E-2</v>
      </c>
      <c r="Y581" s="22">
        <f t="shared" si="128"/>
        <v>3.2672001295109276E-2</v>
      </c>
      <c r="Z581" s="22">
        <f t="shared" si="128"/>
        <v>3.2953758770453305E-2</v>
      </c>
      <c r="AA581" s="22">
        <f t="shared" si="128"/>
        <v>3.3257242472961211E-2</v>
      </c>
      <c r="AB581" s="22">
        <f t="shared" si="128"/>
        <v>3.3544635573743833E-2</v>
      </c>
      <c r="AC581" s="22">
        <f t="shared" si="128"/>
        <v>3.3842337264756606E-2</v>
      </c>
      <c r="AD581" s="22">
        <f t="shared" si="128"/>
        <v>3.4184369342273299E-2</v>
      </c>
      <c r="AE581" s="22">
        <f t="shared" si="128"/>
        <v>3.4556878228868437E-2</v>
      </c>
      <c r="AF581" s="22">
        <f t="shared" si="128"/>
        <v>3.494417285781784E-2</v>
      </c>
      <c r="AG581" s="22">
        <f t="shared" si="128"/>
        <v>3.4998271998785704E-2</v>
      </c>
      <c r="AH581" s="22">
        <f t="shared" si="128"/>
        <v>1.873773336831663E-2</v>
      </c>
      <c r="AI581" s="22">
        <f t="shared" si="128"/>
        <v>1.8751514856827491E-2</v>
      </c>
      <c r="AJ581" s="22">
        <f t="shared" si="128"/>
        <v>1.8767106710271497E-2</v>
      </c>
      <c r="AK581" s="22">
        <f t="shared" si="128"/>
        <v>1.8784440117331772E-2</v>
      </c>
      <c r="AL581" s="22">
        <f t="shared" si="128"/>
        <v>1.8803451566267792E-2</v>
      </c>
      <c r="AM581" s="22">
        <f t="shared" si="128"/>
        <v>1.882408234260504E-2</v>
      </c>
      <c r="AN581" s="22">
        <f t="shared" si="128"/>
        <v>1.883296450822745E-2</v>
      </c>
      <c r="AO581" s="22">
        <f t="shared" si="128"/>
        <v>1.8843272714876302E-2</v>
      </c>
      <c r="AP581" s="22">
        <f t="shared" si="128"/>
        <v>1.8854957155322545E-2</v>
      </c>
      <c r="AQ581" s="22">
        <f t="shared" si="128"/>
        <v>1.8867971421022103E-2</v>
      </c>
      <c r="AR581" s="22">
        <f t="shared" si="128"/>
        <v>1.8882272213710256E-2</v>
      </c>
      <c r="AS581" s="22">
        <f t="shared" si="128"/>
        <v>1.888436205210289E-2</v>
      </c>
      <c r="AT581" s="22">
        <f t="shared" si="128"/>
        <v>1.8887592428545139E-2</v>
      </c>
      <c r="AU581" s="22">
        <f t="shared" si="128"/>
        <v>1.8891925539701964E-2</v>
      </c>
      <c r="AV581" s="22">
        <f t="shared" si="128"/>
        <v>1.8897325885184005E-2</v>
      </c>
      <c r="AW581" s="22">
        <f t="shared" si="128"/>
        <v>1.8903760090638235E-2</v>
      </c>
      <c r="AY581" s="85"/>
    </row>
    <row r="582" spans="1:51" x14ac:dyDescent="0.25">
      <c r="A582" s="102" t="str">
        <f t="shared" si="108"/>
        <v>PQ MM Volatilisation</v>
      </c>
      <c r="B582" s="102" t="s">
        <v>969</v>
      </c>
      <c r="C582" s="102" t="s">
        <v>1333</v>
      </c>
      <c r="D582" t="s">
        <v>369</v>
      </c>
      <c r="E582" t="s">
        <v>64</v>
      </c>
      <c r="F582" t="s">
        <v>62</v>
      </c>
      <c r="G582" t="s">
        <v>1157</v>
      </c>
      <c r="H582" t="s">
        <v>1293</v>
      </c>
      <c r="I582" t="s">
        <v>139</v>
      </c>
      <c r="J582" t="s">
        <v>287</v>
      </c>
      <c r="K582" s="22">
        <f t="shared" si="127"/>
        <v>2.9019834302377478E-4</v>
      </c>
      <c r="L582" s="22">
        <f t="shared" si="128"/>
        <v>2.9200342566866507E-4</v>
      </c>
      <c r="M582" s="22">
        <f t="shared" si="128"/>
        <v>2.9324444485292345E-4</v>
      </c>
      <c r="N582" s="22">
        <f t="shared" si="128"/>
        <v>2.9363364673743434E-4</v>
      </c>
      <c r="O582" s="22">
        <f t="shared" si="128"/>
        <v>2.9416017881114109E-4</v>
      </c>
      <c r="P582" s="22">
        <f t="shared" si="128"/>
        <v>2.9531348409334853E-4</v>
      </c>
      <c r="Q582" s="22">
        <f t="shared" si="128"/>
        <v>2.9669618014381078E-4</v>
      </c>
      <c r="R582" s="22">
        <f t="shared" si="128"/>
        <v>2.971115564605491E-4</v>
      </c>
      <c r="S582" s="22">
        <f t="shared" si="128"/>
        <v>2.879902984130032E-4</v>
      </c>
      <c r="T582" s="22">
        <f t="shared" si="128"/>
        <v>2.9036237748624366E-4</v>
      </c>
      <c r="U582" s="22">
        <f t="shared" si="128"/>
        <v>2.9253750663143477E-4</v>
      </c>
      <c r="V582" s="22">
        <f t="shared" si="128"/>
        <v>2.9476773880457414E-4</v>
      </c>
      <c r="W582" s="22">
        <f t="shared" si="128"/>
        <v>2.9745435684114832E-4</v>
      </c>
      <c r="X582" s="22">
        <f t="shared" si="128"/>
        <v>3.0019138765040044E-4</v>
      </c>
      <c r="Y582" s="22">
        <f t="shared" si="128"/>
        <v>3.0285648493651841E-4</v>
      </c>
      <c r="Z582" s="22">
        <f t="shared" si="128"/>
        <v>3.0546826490728061E-4</v>
      </c>
      <c r="AA582" s="22">
        <f t="shared" si="128"/>
        <v>3.0828143838101019E-4</v>
      </c>
      <c r="AB582" s="22">
        <f t="shared" si="128"/>
        <v>3.1094545836288565E-4</v>
      </c>
      <c r="AC582" s="22">
        <f t="shared" si="128"/>
        <v>3.1370503488485662E-4</v>
      </c>
      <c r="AD582" s="22">
        <f t="shared" si="128"/>
        <v>3.1687553649559658E-4</v>
      </c>
      <c r="AE582" s="22">
        <f t="shared" si="128"/>
        <v>3.2032854603066614E-4</v>
      </c>
      <c r="AF582" s="22">
        <f t="shared" si="128"/>
        <v>3.2391861352910146E-4</v>
      </c>
      <c r="AG582" s="22">
        <f t="shared" si="128"/>
        <v>3.2442009109466666E-4</v>
      </c>
      <c r="AH582" s="22">
        <f t="shared" si="128"/>
        <v>1.7369135157495116E-4</v>
      </c>
      <c r="AI582" s="22">
        <f t="shared" si="128"/>
        <v>1.7381910050376308E-4</v>
      </c>
      <c r="AJ582" s="22">
        <f t="shared" si="128"/>
        <v>1.7396363079699625E-4</v>
      </c>
      <c r="AK582" s="22">
        <f t="shared" si="128"/>
        <v>1.7412430460105353E-4</v>
      </c>
      <c r="AL582" s="22">
        <f t="shared" si="128"/>
        <v>1.7430053318730711E-4</v>
      </c>
      <c r="AM582" s="22">
        <f t="shared" si="128"/>
        <v>1.7449177229588125E-4</v>
      </c>
      <c r="AN582" s="22">
        <f t="shared" si="128"/>
        <v>1.7457410644599133E-4</v>
      </c>
      <c r="AO582" s="22">
        <f t="shared" si="128"/>
        <v>1.7466965943044039E-4</v>
      </c>
      <c r="AP582" s="22">
        <f t="shared" si="128"/>
        <v>1.7477796955598287E-4</v>
      </c>
      <c r="AQ582" s="22">
        <f t="shared" si="128"/>
        <v>1.7489860663383425E-4</v>
      </c>
      <c r="AR582" s="22">
        <f t="shared" si="128"/>
        <v>1.7503116930626492E-4</v>
      </c>
      <c r="AS582" s="22">
        <f t="shared" si="128"/>
        <v>1.7505054127873651E-4</v>
      </c>
      <c r="AT582" s="22">
        <f t="shared" si="128"/>
        <v>1.7508048558626403E-4</v>
      </c>
      <c r="AU582" s="22">
        <f t="shared" si="128"/>
        <v>1.7512065180693548E-4</v>
      </c>
      <c r="AV582" s="22">
        <f t="shared" si="128"/>
        <v>1.7517071086623097E-4</v>
      </c>
      <c r="AW582" s="22">
        <f t="shared" si="128"/>
        <v>1.752303533971437E-4</v>
      </c>
      <c r="AY582" s="85"/>
    </row>
    <row r="583" spans="1:51" x14ac:dyDescent="0.25">
      <c r="A583" s="102" t="str">
        <f t="shared" si="108"/>
        <v>PQ MM Volatilisation</v>
      </c>
      <c r="B583" s="102" t="s">
        <v>969</v>
      </c>
      <c r="C583" s="102" t="s">
        <v>1333</v>
      </c>
      <c r="D583" t="s">
        <v>369</v>
      </c>
      <c r="E583" t="s">
        <v>64</v>
      </c>
      <c r="F583" t="s">
        <v>62</v>
      </c>
      <c r="G583" t="s">
        <v>1159</v>
      </c>
      <c r="H583" t="s">
        <v>1294</v>
      </c>
      <c r="I583" t="s">
        <v>139</v>
      </c>
      <c r="J583" t="s">
        <v>287</v>
      </c>
      <c r="K583" s="22">
        <f t="shared" si="127"/>
        <v>3.2608020345335862E-3</v>
      </c>
      <c r="L583" s="22">
        <f t="shared" si="128"/>
        <v>3.2391880107785257E-3</v>
      </c>
      <c r="M583" s="22">
        <f t="shared" si="128"/>
        <v>3.1936162901030117E-3</v>
      </c>
      <c r="N583" s="22">
        <f t="shared" si="128"/>
        <v>3.1167988395678259E-3</v>
      </c>
      <c r="O583" s="22">
        <f t="shared" si="128"/>
        <v>3.0422686858160779E-3</v>
      </c>
      <c r="P583" s="22">
        <f t="shared" si="128"/>
        <v>2.9849445368563851E-3</v>
      </c>
      <c r="Q583" s="22">
        <f t="shared" si="128"/>
        <v>2.9330944027971869E-3</v>
      </c>
      <c r="R583" s="22">
        <f t="shared" si="128"/>
        <v>2.8515726706301167E-3</v>
      </c>
      <c r="S583" s="22">
        <f t="shared" si="128"/>
        <v>2.5010020765287512E-3</v>
      </c>
      <c r="T583" s="22">
        <f t="shared" si="128"/>
        <v>2.5248406363190491E-3</v>
      </c>
      <c r="U583" s="22">
        <f t="shared" si="128"/>
        <v>2.5409715409254918E-3</v>
      </c>
      <c r="V583" s="22">
        <f t="shared" si="128"/>
        <v>2.5565777764954734E-3</v>
      </c>
      <c r="W583" s="22">
        <f t="shared" si="128"/>
        <v>2.5823867364318034E-3</v>
      </c>
      <c r="X583" s="22">
        <f t="shared" si="128"/>
        <v>2.6073450964004788E-3</v>
      </c>
      <c r="Y583" s="22">
        <f t="shared" si="128"/>
        <v>2.6335476280108239E-3</v>
      </c>
      <c r="Z583" s="22">
        <f t="shared" si="128"/>
        <v>2.6563592492195348E-3</v>
      </c>
      <c r="AA583" s="22">
        <f t="shared" si="128"/>
        <v>2.6823219674710947E-3</v>
      </c>
      <c r="AB583" s="22">
        <f t="shared" si="128"/>
        <v>2.7026386741679817E-3</v>
      </c>
      <c r="AC583" s="22">
        <f t="shared" si="128"/>
        <v>2.7235128371703343E-3</v>
      </c>
      <c r="AD583" s="22">
        <f t="shared" si="128"/>
        <v>2.7332352588004378E-3</v>
      </c>
      <c r="AE583" s="22">
        <f t="shared" si="128"/>
        <v>2.7465666714111786E-3</v>
      </c>
      <c r="AF583" s="22">
        <f t="shared" si="128"/>
        <v>2.7598466332323141E-3</v>
      </c>
      <c r="AG583" s="22">
        <f t="shared" si="128"/>
        <v>2.7013158272562879E-3</v>
      </c>
      <c r="AH583" s="22">
        <f t="shared" si="128"/>
        <v>-6.3720303992201288E-4</v>
      </c>
      <c r="AI583" s="22">
        <f t="shared" si="128"/>
        <v>-6.2242214557858356E-4</v>
      </c>
      <c r="AJ583" s="22">
        <f t="shared" si="128"/>
        <v>-6.0787631384089666E-4</v>
      </c>
      <c r="AK583" s="22">
        <f t="shared" si="128"/>
        <v>-5.9355323338830307E-4</v>
      </c>
      <c r="AL583" s="22">
        <f t="shared" si="128"/>
        <v>-5.7944144405540506E-4</v>
      </c>
      <c r="AM583" s="22">
        <f t="shared" si="128"/>
        <v>-5.6553025796044789E-4</v>
      </c>
      <c r="AN583" s="22">
        <f t="shared" si="128"/>
        <v>-5.5425143288870022E-4</v>
      </c>
      <c r="AO583" s="22">
        <f t="shared" si="128"/>
        <v>-5.4314296084699478E-4</v>
      </c>
      <c r="AP583" s="22">
        <f t="shared" si="128"/>
        <v>-5.3219712228052369E-4</v>
      </c>
      <c r="AQ583" s="22">
        <f t="shared" si="128"/>
        <v>-5.2140667775092773E-4</v>
      </c>
      <c r="AR583" s="22">
        <f t="shared" si="128"/>
        <v>-5.107648281267109E-4</v>
      </c>
      <c r="AS583" s="22">
        <f t="shared" si="128"/>
        <v>-4.999251820077483E-4</v>
      </c>
      <c r="AT583" s="22">
        <f t="shared" si="128"/>
        <v>-4.8923459484670278E-4</v>
      </c>
      <c r="AU583" s="22">
        <f t="shared" si="128"/>
        <v>-4.7868720289580258E-4</v>
      </c>
      <c r="AV583" s="22">
        <f t="shared" si="128"/>
        <v>-4.6827747185126305E-4</v>
      </c>
      <c r="AW583" s="22">
        <f t="shared" si="128"/>
        <v>-4.5800017223486766E-4</v>
      </c>
      <c r="AY583" s="85"/>
    </row>
    <row r="584" spans="1:51" x14ac:dyDescent="0.25">
      <c r="A584" s="102" t="str">
        <f t="shared" si="108"/>
        <v>PQ MM Volatilisation</v>
      </c>
      <c r="B584" s="102" t="s">
        <v>969</v>
      </c>
      <c r="C584" s="102" t="s">
        <v>1333</v>
      </c>
      <c r="D584" t="s">
        <v>369</v>
      </c>
      <c r="E584" t="s">
        <v>64</v>
      </c>
      <c r="F584" t="s">
        <v>62</v>
      </c>
      <c r="G584" t="s">
        <v>1161</v>
      </c>
      <c r="H584" t="s">
        <v>1295</v>
      </c>
      <c r="I584" t="s">
        <v>139</v>
      </c>
      <c r="J584" t="s">
        <v>287</v>
      </c>
      <c r="K584" s="22">
        <f t="shared" si="127"/>
        <v>1.6232293381826982E-2</v>
      </c>
      <c r="L584" s="22">
        <f t="shared" si="128"/>
        <v>1.612469863334539E-2</v>
      </c>
      <c r="M584" s="22">
        <f t="shared" si="128"/>
        <v>1.5897842316376299E-2</v>
      </c>
      <c r="N584" s="22">
        <f t="shared" si="128"/>
        <v>1.5515444556338871E-2</v>
      </c>
      <c r="O584" s="22">
        <f t="shared" si="128"/>
        <v>1.5144432974317425E-2</v>
      </c>
      <c r="P584" s="22">
        <f t="shared" si="128"/>
        <v>1.4859072994188992E-2</v>
      </c>
      <c r="Q584" s="22">
        <f t="shared" si="128"/>
        <v>1.4600962695243356E-2</v>
      </c>
      <c r="R584" s="22">
        <f t="shared" si="128"/>
        <v>1.4195146991156963E-2</v>
      </c>
      <c r="S584" s="22">
        <f t="shared" si="128"/>
        <v>1.2450004331704253E-2</v>
      </c>
      <c r="T584" s="22">
        <f t="shared" si="128"/>
        <v>1.2568672834795916E-2</v>
      </c>
      <c r="U584" s="22">
        <f t="shared" si="128"/>
        <v>1.2648972581089315E-2</v>
      </c>
      <c r="V584" s="22">
        <f t="shared" si="128"/>
        <v>1.2726660521563772E-2</v>
      </c>
      <c r="W584" s="22">
        <f t="shared" si="128"/>
        <v>1.2855137689183753E-2</v>
      </c>
      <c r="X584" s="22">
        <f t="shared" si="128"/>
        <v>1.297938056472487E-2</v>
      </c>
      <c r="Y584" s="22">
        <f t="shared" si="128"/>
        <v>1.3109816934655115E-2</v>
      </c>
      <c r="Z584" s="22">
        <f t="shared" si="128"/>
        <v>1.3223373330920015E-2</v>
      </c>
      <c r="AA584" s="22">
        <f t="shared" si="128"/>
        <v>1.3352615908416542E-2</v>
      </c>
      <c r="AB584" s="22">
        <f t="shared" si="128"/>
        <v>1.345375260428577E-2</v>
      </c>
      <c r="AC584" s="22">
        <f t="shared" si="128"/>
        <v>1.3557664321208735E-2</v>
      </c>
      <c r="AD584" s="22">
        <f t="shared" si="128"/>
        <v>1.3606062598261524E-2</v>
      </c>
      <c r="AE584" s="22">
        <f t="shared" si="128"/>
        <v>1.3672426455496624E-2</v>
      </c>
      <c r="AF584" s="22">
        <f t="shared" si="128"/>
        <v>1.3738534190372041E-2</v>
      </c>
      <c r="AG584" s="22">
        <f t="shared" si="128"/>
        <v>1.3447167463899316E-2</v>
      </c>
      <c r="AH584" s="22">
        <f t="shared" si="128"/>
        <v>-3.1720008078581774E-3</v>
      </c>
      <c r="AI584" s="22">
        <f t="shared" si="128"/>
        <v>-3.098421421287828E-3</v>
      </c>
      <c r="AJ584" s="22">
        <f t="shared" si="128"/>
        <v>-3.0260121778721673E-3</v>
      </c>
      <c r="AK584" s="22">
        <f t="shared" si="128"/>
        <v>-2.9547117917782697E-3</v>
      </c>
      <c r="AL584" s="22">
        <f t="shared" si="128"/>
        <v>-2.8844632142294947E-3</v>
      </c>
      <c r="AM584" s="22">
        <f t="shared" si="128"/>
        <v>-2.8152132408821133E-3</v>
      </c>
      <c r="AN584" s="22">
        <f t="shared" si="128"/>
        <v>-2.7590671775430979E-3</v>
      </c>
      <c r="AO584" s="22">
        <f t="shared" si="128"/>
        <v>-2.7037691326770971E-3</v>
      </c>
      <c r="AP584" s="22">
        <f t="shared" si="128"/>
        <v>-2.6492806782909082E-3</v>
      </c>
      <c r="AQ584" s="22">
        <f t="shared" si="128"/>
        <v>-2.5955657764140799E-3</v>
      </c>
      <c r="AR584" s="22">
        <f t="shared" si="128"/>
        <v>-2.5425905809265438E-3</v>
      </c>
      <c r="AS584" s="22">
        <f t="shared" si="128"/>
        <v>-2.4886307532231877E-3</v>
      </c>
      <c r="AT584" s="22">
        <f t="shared" si="128"/>
        <v>-2.4354129419656258E-3</v>
      </c>
      <c r="AU584" s="22">
        <f t="shared" si="128"/>
        <v>-2.3829079573799484E-3</v>
      </c>
      <c r="AV584" s="22">
        <f t="shared" si="128"/>
        <v>-2.3310882496665208E-3</v>
      </c>
      <c r="AW584" s="22">
        <f t="shared" si="128"/>
        <v>-2.279927786449339E-3</v>
      </c>
      <c r="AY584" s="85"/>
    </row>
    <row r="585" spans="1:51" x14ac:dyDescent="0.25">
      <c r="A585" s="102" t="str">
        <f t="shared" si="108"/>
        <v>PQ MM Volatilisation</v>
      </c>
      <c r="B585" s="102" t="s">
        <v>969</v>
      </c>
      <c r="C585" s="102" t="s">
        <v>1333</v>
      </c>
      <c r="D585" t="s">
        <v>369</v>
      </c>
      <c r="E585" t="s">
        <v>64</v>
      </c>
      <c r="F585" t="s">
        <v>62</v>
      </c>
      <c r="G585" t="s">
        <v>1163</v>
      </c>
      <c r="H585" t="s">
        <v>1296</v>
      </c>
      <c r="I585" t="s">
        <v>139</v>
      </c>
      <c r="J585" t="s">
        <v>287</v>
      </c>
      <c r="K585" s="22">
        <f t="shared" si="127"/>
        <v>0.15922781806557695</v>
      </c>
      <c r="L585" s="22">
        <f t="shared" si="128"/>
        <v>0.16489874459702494</v>
      </c>
      <c r="M585" s="22">
        <f t="shared" si="128"/>
        <v>0.16939991585045727</v>
      </c>
      <c r="N585" s="22">
        <f t="shared" si="128"/>
        <v>0.17218348693308003</v>
      </c>
      <c r="O585" s="22">
        <f t="shared" si="128"/>
        <v>0.17497286890553645</v>
      </c>
      <c r="P585" s="22">
        <f t="shared" si="128"/>
        <v>0.17867712216797899</v>
      </c>
      <c r="Q585" s="22">
        <f t="shared" si="128"/>
        <v>0.18269010203222399</v>
      </c>
      <c r="R585" s="22">
        <f t="shared" si="128"/>
        <v>0.18477850416218133</v>
      </c>
      <c r="S585" s="22">
        <f t="shared" si="128"/>
        <v>0.16857906885266413</v>
      </c>
      <c r="T585" s="22">
        <f t="shared" si="128"/>
        <v>0.17425287964090236</v>
      </c>
      <c r="U585" s="22">
        <f t="shared" si="128"/>
        <v>0.17949945582313931</v>
      </c>
      <c r="V585" s="22">
        <f t="shared" si="128"/>
        <v>0.18480458029183697</v>
      </c>
      <c r="W585" s="22">
        <f t="shared" si="128"/>
        <v>0.19096302657670283</v>
      </c>
      <c r="X585" s="22">
        <f t="shared" si="128"/>
        <v>0.19719436509402946</v>
      </c>
      <c r="Y585" s="22">
        <f t="shared" si="128"/>
        <v>0.20366092227158905</v>
      </c>
      <c r="Z585" s="22">
        <f t="shared" si="128"/>
        <v>0.21000736593010838</v>
      </c>
      <c r="AA585" s="22">
        <f t="shared" si="128"/>
        <v>0.21674936909166895</v>
      </c>
      <c r="AB585" s="22">
        <f t="shared" si="128"/>
        <v>0.22318188532765407</v>
      </c>
      <c r="AC585" s="22">
        <f t="shared" si="128"/>
        <v>0.22980286680499964</v>
      </c>
      <c r="AD585" s="22">
        <f t="shared" si="128"/>
        <v>0.2382309822629842</v>
      </c>
      <c r="AE585" s="22">
        <f t="shared" si="128"/>
        <v>0.24730559399060587</v>
      </c>
      <c r="AF585" s="22">
        <f t="shared" si="128"/>
        <v>0.25673647400031802</v>
      </c>
      <c r="AG585" s="22">
        <f t="shared" si="128"/>
        <v>0.25964613908565431</v>
      </c>
      <c r="AH585" s="22">
        <f t="shared" si="128"/>
        <v>-6.3291007360128299E-2</v>
      </c>
      <c r="AI585" s="22">
        <f t="shared" si="128"/>
        <v>-6.3895366189305636E-2</v>
      </c>
      <c r="AJ585" s="22">
        <f t="shared" si="128"/>
        <v>-6.4504638848078458E-2</v>
      </c>
      <c r="AK585" s="22">
        <f t="shared" si="128"/>
        <v>-6.5118871838809281E-2</v>
      </c>
      <c r="AL585" s="22">
        <f t="shared" si="128"/>
        <v>-6.5738112081384775E-2</v>
      </c>
      <c r="AM585" s="22">
        <f t="shared" si="128"/>
        <v>-6.6362406916836855E-2</v>
      </c>
      <c r="AN585" s="22">
        <f t="shared" si="128"/>
        <v>-6.6863409386316588E-2</v>
      </c>
      <c r="AO585" s="22">
        <f t="shared" si="128"/>
        <v>-6.7367867762467962E-2</v>
      </c>
      <c r="AP585" s="22">
        <f t="shared" si="128"/>
        <v>-6.7875809396751335E-2</v>
      </c>
      <c r="AQ585" s="22">
        <f t="shared" si="128"/>
        <v>-6.8387261847069211E-2</v>
      </c>
      <c r="AR585" s="22">
        <f t="shared" si="128"/>
        <v>-6.8902252879275511E-2</v>
      </c>
      <c r="AS585" s="22">
        <f t="shared" si="128"/>
        <v>-6.9373629780267981E-2</v>
      </c>
      <c r="AT585" s="22">
        <f t="shared" si="128"/>
        <v>-6.9847719512371606E-2</v>
      </c>
      <c r="AU585" s="22">
        <f t="shared" si="128"/>
        <v>-7.0324540021641888E-2</v>
      </c>
      <c r="AV585" s="22">
        <f t="shared" si="128"/>
        <v>-7.0804109366663218E-2</v>
      </c>
      <c r="AW585" s="22">
        <f t="shared" si="128"/>
        <v>-7.1286445719229846E-2</v>
      </c>
      <c r="AY585" s="85"/>
    </row>
    <row r="586" spans="1:51" x14ac:dyDescent="0.25">
      <c r="A586" s="102" t="str">
        <f t="shared" si="108"/>
        <v>PQ MM Volatilisation</v>
      </c>
      <c r="B586" s="102" t="s">
        <v>969</v>
      </c>
      <c r="C586" s="102" t="s">
        <v>1333</v>
      </c>
      <c r="D586" t="s">
        <v>369</v>
      </c>
      <c r="E586" t="s">
        <v>64</v>
      </c>
      <c r="F586" t="s">
        <v>62</v>
      </c>
      <c r="G586" t="s">
        <v>1165</v>
      </c>
      <c r="H586" t="s">
        <v>1297</v>
      </c>
      <c r="I586" t="s">
        <v>139</v>
      </c>
      <c r="J586" t="s">
        <v>287</v>
      </c>
      <c r="K586" s="22">
        <f t="shared" si="127"/>
        <v>1.171858684484313E-4</v>
      </c>
      <c r="L586" s="22">
        <f t="shared" si="128"/>
        <v>1.1724986264912743E-4</v>
      </c>
      <c r="M586" s="22">
        <f t="shared" si="128"/>
        <v>1.1739315795736154E-4</v>
      </c>
      <c r="N586" s="22">
        <f t="shared" si="128"/>
        <v>1.1760884747933323E-4</v>
      </c>
      <c r="O586" s="22">
        <f t="shared" si="128"/>
        <v>1.1789981697079396E-4</v>
      </c>
      <c r="P586" s="22">
        <f t="shared" si="128"/>
        <v>1.1826637517857024E-4</v>
      </c>
      <c r="Q586" s="22">
        <f t="shared" si="128"/>
        <v>1.1867470616236446E-4</v>
      </c>
      <c r="R586" s="22">
        <f t="shared" si="128"/>
        <v>1.1911724401941935E-4</v>
      </c>
      <c r="S586" s="22">
        <f t="shared" si="128"/>
        <v>1.1953310214883348E-4</v>
      </c>
      <c r="T586" s="22">
        <f t="shared" si="128"/>
        <v>1.197068141423074E-4</v>
      </c>
      <c r="U586" s="22">
        <f t="shared" si="128"/>
        <v>1.199083856789491E-4</v>
      </c>
      <c r="V586" s="22">
        <f t="shared" si="128"/>
        <v>1.201377754278402E-4</v>
      </c>
      <c r="W586" s="22">
        <f t="shared" si="128"/>
        <v>1.2039617188423161E-4</v>
      </c>
      <c r="X586" s="22">
        <f t="shared" si="128"/>
        <v>1.2067943256873451E-4</v>
      </c>
      <c r="Y586" s="22">
        <f t="shared" si="128"/>
        <v>1.2085380112251055E-4</v>
      </c>
      <c r="Z586" s="22">
        <f t="shared" si="128"/>
        <v>1.2104857439732012E-4</v>
      </c>
      <c r="AA586" s="22">
        <f t="shared" si="128"/>
        <v>1.2126445921474039E-4</v>
      </c>
      <c r="AB586" s="22">
        <f t="shared" si="128"/>
        <v>1.2149813863258011E-4</v>
      </c>
      <c r="AC586" s="22">
        <f t="shared" si="128"/>
        <v>1.2175044819305052E-4</v>
      </c>
      <c r="AD586" s="22">
        <f t="shared" si="128"/>
        <v>1.2191654827812353E-4</v>
      </c>
      <c r="AE586" s="22">
        <f t="shared" si="128"/>
        <v>1.2210011953046386E-4</v>
      </c>
      <c r="AF586" s="22">
        <f t="shared" si="128"/>
        <v>1.2229951100214118E-4</v>
      </c>
      <c r="AG586" s="22">
        <f t="shared" si="128"/>
        <v>1.2249214859428272E-4</v>
      </c>
      <c r="AH586" s="22">
        <f t="shared" si="128"/>
        <v>1.2166856520731395E-4</v>
      </c>
      <c r="AI586" s="22">
        <f t="shared" ref="L586:AW593" si="129">AI1537</f>
        <v>1.2178552707040833E-4</v>
      </c>
      <c r="AJ586" s="22">
        <f t="shared" si="129"/>
        <v>1.2191459506568997E-4</v>
      </c>
      <c r="AK586" s="22">
        <f t="shared" si="129"/>
        <v>1.220553118336419E-4</v>
      </c>
      <c r="AL586" s="22">
        <f t="shared" si="129"/>
        <v>1.2220725536579073E-4</v>
      </c>
      <c r="AM586" s="22">
        <f t="shared" si="129"/>
        <v>1.2237003565016038E-4</v>
      </c>
      <c r="AN586" s="22">
        <f t="shared" si="129"/>
        <v>1.2244903306979284E-4</v>
      </c>
      <c r="AO586" s="22">
        <f t="shared" si="129"/>
        <v>1.2253757835817969E-4</v>
      </c>
      <c r="AP586" s="22">
        <f t="shared" si="129"/>
        <v>1.226353392269764E-4</v>
      </c>
      <c r="AQ586" s="22">
        <f t="shared" si="129"/>
        <v>1.2274200613087834E-4</v>
      </c>
      <c r="AR586" s="22">
        <f t="shared" si="129"/>
        <v>1.228572903354883E-4</v>
      </c>
      <c r="AS586" s="22">
        <f t="shared" si="129"/>
        <v>1.2288572954642337E-4</v>
      </c>
      <c r="AT586" s="22">
        <f t="shared" si="129"/>
        <v>1.2292181660779718E-4</v>
      </c>
      <c r="AU586" s="22">
        <f t="shared" si="129"/>
        <v>1.2296529822294655E-4</v>
      </c>
      <c r="AV586" s="22">
        <f t="shared" si="129"/>
        <v>1.2301593656260403E-4</v>
      </c>
      <c r="AW586" s="22">
        <f t="shared" si="129"/>
        <v>1.2307350807543003E-4</v>
      </c>
      <c r="AY586" s="85"/>
    </row>
    <row r="587" spans="1:51" x14ac:dyDescent="0.25">
      <c r="A587" s="102" t="str">
        <f t="shared" si="108"/>
        <v>PQ MM Volatilisation</v>
      </c>
      <c r="B587" s="102" t="s">
        <v>969</v>
      </c>
      <c r="C587" s="102" t="s">
        <v>1333</v>
      </c>
      <c r="D587" t="s">
        <v>369</v>
      </c>
      <c r="E587" t="s">
        <v>64</v>
      </c>
      <c r="F587" t="s">
        <v>62</v>
      </c>
      <c r="G587" t="s">
        <v>1167</v>
      </c>
      <c r="H587" t="s">
        <v>1298</v>
      </c>
      <c r="I587" t="s">
        <v>139</v>
      </c>
      <c r="J587" t="s">
        <v>287</v>
      </c>
      <c r="K587" s="22">
        <f t="shared" si="127"/>
        <v>8.0418980238344318E-4</v>
      </c>
      <c r="L587" s="22">
        <f t="shared" si="129"/>
        <v>8.0462896355784847E-4</v>
      </c>
      <c r="M587" s="22">
        <f t="shared" si="129"/>
        <v>8.0561232978738613E-4</v>
      </c>
      <c r="N587" s="22">
        <f t="shared" si="129"/>
        <v>8.0709250240842989E-4</v>
      </c>
      <c r="O587" s="22">
        <f t="shared" si="129"/>
        <v>8.090892849636611E-4</v>
      </c>
      <c r="P587" s="22">
        <f t="shared" si="129"/>
        <v>8.1160479623286605E-4</v>
      </c>
      <c r="Q587" s="22">
        <f t="shared" si="129"/>
        <v>8.1440697381205979E-4</v>
      </c>
      <c r="R587" s="22">
        <f t="shared" si="129"/>
        <v>8.1744389657863702E-4</v>
      </c>
      <c r="S587" s="22">
        <f t="shared" si="129"/>
        <v>8.2029772930899112E-4</v>
      </c>
      <c r="T587" s="22">
        <f t="shared" si="129"/>
        <v>8.214898305030433E-4</v>
      </c>
      <c r="U587" s="22">
        <f t="shared" si="129"/>
        <v>8.2287311823529526E-4</v>
      </c>
      <c r="V587" s="22">
        <f t="shared" si="129"/>
        <v>8.2444730887169186E-4</v>
      </c>
      <c r="W587" s="22">
        <f t="shared" si="129"/>
        <v>8.2622055847894659E-4</v>
      </c>
      <c r="X587" s="22">
        <f t="shared" si="129"/>
        <v>8.2816443922932592E-4</v>
      </c>
      <c r="Y587" s="22">
        <f t="shared" si="129"/>
        <v>8.2936104607842529E-4</v>
      </c>
      <c r="Z587" s="22">
        <f t="shared" si="129"/>
        <v>8.3069768063558287E-4</v>
      </c>
      <c r="AA587" s="22">
        <f t="shared" si="129"/>
        <v>8.3217919347460879E-4</v>
      </c>
      <c r="AB587" s="22">
        <f t="shared" si="129"/>
        <v>8.337828220293293E-4</v>
      </c>
      <c r="AC587" s="22">
        <f t="shared" si="129"/>
        <v>8.3551430022086096E-4</v>
      </c>
      <c r="AD587" s="22">
        <f t="shared" si="129"/>
        <v>8.3665416457788034E-4</v>
      </c>
      <c r="AE587" s="22">
        <f t="shared" si="129"/>
        <v>8.3791392508567411E-4</v>
      </c>
      <c r="AF587" s="22">
        <f t="shared" si="129"/>
        <v>8.3928225208899118E-4</v>
      </c>
      <c r="AG587" s="22">
        <f t="shared" si="129"/>
        <v>8.4060423049139648E-4</v>
      </c>
      <c r="AH587" s="22">
        <f t="shared" si="129"/>
        <v>8.349523769873693E-4</v>
      </c>
      <c r="AI587" s="22">
        <f t="shared" si="129"/>
        <v>8.3575502954960786E-4</v>
      </c>
      <c r="AJ587" s="22">
        <f t="shared" si="129"/>
        <v>8.3664076062788407E-4</v>
      </c>
      <c r="AK587" s="22">
        <f t="shared" si="129"/>
        <v>8.3760643158556521E-4</v>
      </c>
      <c r="AL587" s="22">
        <f t="shared" si="129"/>
        <v>8.3864914638309197E-4</v>
      </c>
      <c r="AM587" s="22">
        <f t="shared" si="129"/>
        <v>8.3976622855735407E-4</v>
      </c>
      <c r="AN587" s="22">
        <f t="shared" si="129"/>
        <v>8.4030834954962157E-4</v>
      </c>
      <c r="AO587" s="22">
        <f t="shared" si="129"/>
        <v>8.40915992936257E-4</v>
      </c>
      <c r="AP587" s="22">
        <f t="shared" si="129"/>
        <v>8.4158687838344786E-4</v>
      </c>
      <c r="AQ587" s="22">
        <f t="shared" si="129"/>
        <v>8.4231888163183893E-4</v>
      </c>
      <c r="AR587" s="22">
        <f t="shared" si="129"/>
        <v>8.4311002123724286E-4</v>
      </c>
      <c r="AS587" s="22">
        <f t="shared" si="129"/>
        <v>8.4330518575430119E-4</v>
      </c>
      <c r="AT587" s="22">
        <f t="shared" si="129"/>
        <v>8.4355283376117286E-4</v>
      </c>
      <c r="AU587" s="22">
        <f t="shared" si="129"/>
        <v>8.4385122700565967E-4</v>
      </c>
      <c r="AV587" s="22">
        <f t="shared" si="129"/>
        <v>8.4419873338079966E-4</v>
      </c>
      <c r="AW587" s="22">
        <f t="shared" si="129"/>
        <v>8.4459381876212985E-4</v>
      </c>
      <c r="AY587" s="85"/>
    </row>
    <row r="588" spans="1:51" x14ac:dyDescent="0.25">
      <c r="A588" s="102" t="str">
        <f t="shared" si="108"/>
        <v>PQ MM Volatilisation</v>
      </c>
      <c r="B588" s="102" t="s">
        <v>969</v>
      </c>
      <c r="C588" s="102" t="s">
        <v>1333</v>
      </c>
      <c r="D588" t="s">
        <v>369</v>
      </c>
      <c r="E588" t="s">
        <v>64</v>
      </c>
      <c r="F588" t="s">
        <v>62</v>
      </c>
      <c r="G588" t="s">
        <v>1169</v>
      </c>
      <c r="H588" t="s">
        <v>1299</v>
      </c>
      <c r="I588" t="s">
        <v>139</v>
      </c>
      <c r="J588" t="s">
        <v>287</v>
      </c>
      <c r="K588" s="22">
        <f t="shared" si="127"/>
        <v>1.448564899297015E-5</v>
      </c>
      <c r="L588" s="22">
        <f t="shared" si="129"/>
        <v>1.4523430996818443E-5</v>
      </c>
      <c r="M588" s="22">
        <f t="shared" si="129"/>
        <v>1.4573778863725232E-5</v>
      </c>
      <c r="N588" s="22">
        <f t="shared" si="129"/>
        <v>1.4635573261684436E-5</v>
      </c>
      <c r="O588" s="22">
        <f t="shared" si="129"/>
        <v>1.4709556756482727E-5</v>
      </c>
      <c r="P588" s="22">
        <f t="shared" si="129"/>
        <v>1.4795926227225603E-5</v>
      </c>
      <c r="Q588" s="22">
        <f t="shared" si="129"/>
        <v>1.4888271114151717E-5</v>
      </c>
      <c r="R588" s="22">
        <f t="shared" si="129"/>
        <v>1.4985270961083386E-5</v>
      </c>
      <c r="S588" s="22">
        <f t="shared" si="129"/>
        <v>1.5075379558400601E-5</v>
      </c>
      <c r="T588" s="22">
        <f t="shared" si="129"/>
        <v>1.5117607192403529E-5</v>
      </c>
      <c r="U588" s="22">
        <f t="shared" si="129"/>
        <v>1.5163912133825485E-5</v>
      </c>
      <c r="V588" s="22">
        <f t="shared" si="129"/>
        <v>1.5214353144806387E-5</v>
      </c>
      <c r="W588" s="22">
        <f t="shared" si="129"/>
        <v>1.5269211713136201E-5</v>
      </c>
      <c r="X588" s="22">
        <f t="shared" si="129"/>
        <v>1.532774923131804E-5</v>
      </c>
      <c r="Y588" s="22">
        <f t="shared" si="129"/>
        <v>1.5364750505414648E-5</v>
      </c>
      <c r="Z588" s="22">
        <f t="shared" si="129"/>
        <v>1.5404784002427286E-5</v>
      </c>
      <c r="AA588" s="22">
        <f t="shared" si="129"/>
        <v>1.5448015343528086E-5</v>
      </c>
      <c r="AB588" s="22">
        <f t="shared" si="129"/>
        <v>1.5493849362144256E-5</v>
      </c>
      <c r="AC588" s="22">
        <f t="shared" si="129"/>
        <v>1.5542469399401565E-5</v>
      </c>
      <c r="AD588" s="22">
        <f t="shared" si="129"/>
        <v>1.5574312295454071E-5</v>
      </c>
      <c r="AE588" s="22">
        <f t="shared" si="129"/>
        <v>1.5608846144431889E-5</v>
      </c>
      <c r="AF588" s="22">
        <f t="shared" si="129"/>
        <v>1.5645779000697075E-5</v>
      </c>
      <c r="AG588" s="22">
        <f t="shared" si="129"/>
        <v>1.5680933682266714E-5</v>
      </c>
      <c r="AH588" s="22">
        <f t="shared" si="129"/>
        <v>1.5527256766488218E-5</v>
      </c>
      <c r="AI588" s="22">
        <f t="shared" si="129"/>
        <v>1.554781877984383E-5</v>
      </c>
      <c r="AJ588" s="22">
        <f t="shared" si="129"/>
        <v>1.55702244870708E-5</v>
      </c>
      <c r="AK588" s="22">
        <f t="shared" si="129"/>
        <v>1.5594399014227251E-5</v>
      </c>
      <c r="AL588" s="22">
        <f t="shared" si="129"/>
        <v>1.5620273295013295E-5</v>
      </c>
      <c r="AM588" s="22">
        <f t="shared" si="129"/>
        <v>1.5647783514700204E-5</v>
      </c>
      <c r="AN588" s="22">
        <f t="shared" si="129"/>
        <v>1.5659592232765599E-5</v>
      </c>
      <c r="AO588" s="22">
        <f t="shared" si="129"/>
        <v>1.567287471387214E-5</v>
      </c>
      <c r="AP588" s="22">
        <f t="shared" si="129"/>
        <v>1.5687575397224304E-5</v>
      </c>
      <c r="AQ588" s="22">
        <f t="shared" si="129"/>
        <v>1.5703642533627797E-5</v>
      </c>
      <c r="AR588" s="22">
        <f t="shared" si="129"/>
        <v>1.5721027858938722E-5</v>
      </c>
      <c r="AS588" s="22">
        <f t="shared" si="129"/>
        <v>1.5722384261001388E-5</v>
      </c>
      <c r="AT588" s="22">
        <f t="shared" si="129"/>
        <v>1.5724946955034498E-5</v>
      </c>
      <c r="AU588" s="22">
        <f t="shared" si="129"/>
        <v>1.572867261939389E-5</v>
      </c>
      <c r="AV588" s="22">
        <f t="shared" si="129"/>
        <v>1.5733520584102464E-5</v>
      </c>
      <c r="AW588" s="22">
        <f t="shared" si="129"/>
        <v>1.5739452625419502E-5</v>
      </c>
      <c r="AY588" s="85"/>
    </row>
    <row r="589" spans="1:51" x14ac:dyDescent="0.25">
      <c r="A589" s="102" t="str">
        <f t="shared" si="108"/>
        <v>PQ MM Volatilisation</v>
      </c>
      <c r="B589" s="102" t="s">
        <v>969</v>
      </c>
      <c r="C589" s="102" t="s">
        <v>1333</v>
      </c>
      <c r="D589" t="s">
        <v>369</v>
      </c>
      <c r="E589" t="s">
        <v>64</v>
      </c>
      <c r="F589" t="s">
        <v>62</v>
      </c>
      <c r="G589" t="s">
        <v>1171</v>
      </c>
      <c r="H589" t="s">
        <v>1300</v>
      </c>
      <c r="I589" t="s">
        <v>139</v>
      </c>
      <c r="J589" t="s">
        <v>287</v>
      </c>
      <c r="K589" s="22">
        <f t="shared" si="127"/>
        <v>1.4737874698328016E-3</v>
      </c>
      <c r="L589" s="22">
        <f t="shared" si="129"/>
        <v>1.4776314566561611E-3</v>
      </c>
      <c r="M589" s="22">
        <f t="shared" si="129"/>
        <v>1.4827539096036295E-3</v>
      </c>
      <c r="N589" s="22">
        <f t="shared" si="129"/>
        <v>1.4890409464814621E-3</v>
      </c>
      <c r="O589" s="22">
        <f t="shared" si="129"/>
        <v>1.4965681168319985E-3</v>
      </c>
      <c r="P589" s="22">
        <f t="shared" si="129"/>
        <v>1.5053554513738414E-3</v>
      </c>
      <c r="Q589" s="22">
        <f t="shared" si="129"/>
        <v>1.5147507319940522E-3</v>
      </c>
      <c r="R589" s="22">
        <f t="shared" si="129"/>
        <v>1.5246196138821182E-3</v>
      </c>
      <c r="S589" s="22">
        <f t="shared" si="129"/>
        <v>1.5337873716895019E-3</v>
      </c>
      <c r="T589" s="22">
        <f t="shared" si="129"/>
        <v>1.5380836623081961E-3</v>
      </c>
      <c r="U589" s="22">
        <f t="shared" si="129"/>
        <v>1.5427947831210876E-3</v>
      </c>
      <c r="V589" s="22">
        <f t="shared" si="129"/>
        <v>1.5479267126594486E-3</v>
      </c>
      <c r="W589" s="22">
        <f t="shared" si="129"/>
        <v>1.5535080898318955E-3</v>
      </c>
      <c r="X589" s="22">
        <f t="shared" si="129"/>
        <v>1.5594637678172844E-3</v>
      </c>
      <c r="Y589" s="22">
        <f t="shared" si="129"/>
        <v>1.5632283222502894E-3</v>
      </c>
      <c r="Z589" s="22">
        <f t="shared" si="129"/>
        <v>1.5673013787146175E-3</v>
      </c>
      <c r="AA589" s="22">
        <f t="shared" si="129"/>
        <v>1.5716997877088814E-3</v>
      </c>
      <c r="AB589" s="22">
        <f t="shared" si="129"/>
        <v>1.5763629962652517E-3</v>
      </c>
      <c r="AC589" s="22">
        <f t="shared" si="129"/>
        <v>1.5813096577318795E-3</v>
      </c>
      <c r="AD589" s="22">
        <f t="shared" si="129"/>
        <v>1.5845493925361778E-3</v>
      </c>
      <c r="AE589" s="22">
        <f t="shared" si="129"/>
        <v>1.5880629081496864E-3</v>
      </c>
      <c r="AF589" s="22">
        <f t="shared" si="129"/>
        <v>1.591820501669672E-3</v>
      </c>
      <c r="AG589" s="22">
        <f t="shared" si="129"/>
        <v>1.5953971815428655E-3</v>
      </c>
      <c r="AH589" s="22">
        <f t="shared" si="129"/>
        <v>1.5797619060376521E-3</v>
      </c>
      <c r="AI589" s="22">
        <f t="shared" si="129"/>
        <v>1.5818539101758679E-3</v>
      </c>
      <c r="AJ589" s="22">
        <f t="shared" si="129"/>
        <v>1.5841334939611631E-3</v>
      </c>
      <c r="AK589" s="22">
        <f t="shared" si="129"/>
        <v>1.5865930396280227E-3</v>
      </c>
      <c r="AL589" s="22">
        <f t="shared" si="129"/>
        <v>1.5892255202874612E-3</v>
      </c>
      <c r="AM589" s="22">
        <f t="shared" si="129"/>
        <v>1.5920244433517013E-3</v>
      </c>
      <c r="AN589" s="22">
        <f t="shared" si="129"/>
        <v>1.5932258766273534E-3</v>
      </c>
      <c r="AO589" s="22">
        <f t="shared" si="129"/>
        <v>1.5945772523394538E-3</v>
      </c>
      <c r="AP589" s="22">
        <f t="shared" si="129"/>
        <v>1.5960729176653851E-3</v>
      </c>
      <c r="AQ589" s="22">
        <f t="shared" si="129"/>
        <v>1.5977076075794545E-3</v>
      </c>
      <c r="AR589" s="22">
        <f t="shared" si="129"/>
        <v>1.599476411629218E-3</v>
      </c>
      <c r="AS589" s="22">
        <f t="shared" si="129"/>
        <v>1.5996144136175981E-3</v>
      </c>
      <c r="AT589" s="22">
        <f t="shared" si="129"/>
        <v>1.599875145211802E-3</v>
      </c>
      <c r="AU589" s="22">
        <f t="shared" si="129"/>
        <v>1.6002541988152919E-3</v>
      </c>
      <c r="AV589" s="22">
        <f t="shared" si="129"/>
        <v>1.6007474366153491E-3</v>
      </c>
      <c r="AW589" s="22">
        <f t="shared" si="129"/>
        <v>1.601350969682305E-3</v>
      </c>
      <c r="AY589" s="85"/>
    </row>
    <row r="590" spans="1:51" x14ac:dyDescent="0.25">
      <c r="A590" s="102" t="str">
        <f t="shared" si="108"/>
        <v>PQ MM Volatilisation</v>
      </c>
      <c r="B590" s="102" t="s">
        <v>969</v>
      </c>
      <c r="C590" s="102" t="s">
        <v>1333</v>
      </c>
      <c r="D590" t="s">
        <v>369</v>
      </c>
      <c r="E590" t="s">
        <v>64</v>
      </c>
      <c r="F590" t="s">
        <v>62</v>
      </c>
      <c r="G590" t="s">
        <v>1173</v>
      </c>
      <c r="H590" t="s">
        <v>1301</v>
      </c>
      <c r="I590" t="s">
        <v>139</v>
      </c>
      <c r="J590" t="s">
        <v>287</v>
      </c>
      <c r="K590" s="22">
        <f t="shared" si="127"/>
        <v>0</v>
      </c>
      <c r="L590" s="22">
        <f t="shared" si="129"/>
        <v>0</v>
      </c>
      <c r="M590" s="22">
        <f t="shared" si="129"/>
        <v>0</v>
      </c>
      <c r="N590" s="22">
        <f t="shared" si="129"/>
        <v>0</v>
      </c>
      <c r="O590" s="22">
        <f t="shared" si="129"/>
        <v>0</v>
      </c>
      <c r="P590" s="22">
        <f t="shared" si="129"/>
        <v>0</v>
      </c>
      <c r="Q590" s="22">
        <f t="shared" si="129"/>
        <v>0</v>
      </c>
      <c r="R590" s="22">
        <f t="shared" si="129"/>
        <v>0</v>
      </c>
      <c r="S590" s="22">
        <f t="shared" si="129"/>
        <v>0</v>
      </c>
      <c r="T590" s="22">
        <f t="shared" si="129"/>
        <v>0</v>
      </c>
      <c r="U590" s="22">
        <f t="shared" si="129"/>
        <v>0</v>
      </c>
      <c r="V590" s="22">
        <f t="shared" si="129"/>
        <v>0</v>
      </c>
      <c r="W590" s="22">
        <f t="shared" si="129"/>
        <v>0</v>
      </c>
      <c r="X590" s="22">
        <f t="shared" si="129"/>
        <v>0</v>
      </c>
      <c r="Y590" s="22">
        <f t="shared" si="129"/>
        <v>0</v>
      </c>
      <c r="Z590" s="22">
        <f t="shared" si="129"/>
        <v>0</v>
      </c>
      <c r="AA590" s="22">
        <f t="shared" si="129"/>
        <v>0</v>
      </c>
      <c r="AB590" s="22">
        <f t="shared" si="129"/>
        <v>0</v>
      </c>
      <c r="AC590" s="22">
        <f t="shared" si="129"/>
        <v>0</v>
      </c>
      <c r="AD590" s="22">
        <f t="shared" si="129"/>
        <v>0</v>
      </c>
      <c r="AE590" s="22">
        <f t="shared" si="129"/>
        <v>0</v>
      </c>
      <c r="AF590" s="22">
        <f t="shared" si="129"/>
        <v>0</v>
      </c>
      <c r="AG590" s="22">
        <f t="shared" si="129"/>
        <v>0</v>
      </c>
      <c r="AH590" s="22">
        <f t="shared" si="129"/>
        <v>0</v>
      </c>
      <c r="AI590" s="22">
        <f t="shared" si="129"/>
        <v>0</v>
      </c>
      <c r="AJ590" s="22">
        <f t="shared" si="129"/>
        <v>0</v>
      </c>
      <c r="AK590" s="22">
        <f t="shared" si="129"/>
        <v>0</v>
      </c>
      <c r="AL590" s="22">
        <f t="shared" si="129"/>
        <v>0</v>
      </c>
      <c r="AM590" s="22">
        <f t="shared" si="129"/>
        <v>0</v>
      </c>
      <c r="AN590" s="22">
        <f t="shared" si="129"/>
        <v>0</v>
      </c>
      <c r="AO590" s="22">
        <f t="shared" si="129"/>
        <v>0</v>
      </c>
      <c r="AP590" s="22">
        <f t="shared" si="129"/>
        <v>0</v>
      </c>
      <c r="AQ590" s="22">
        <f t="shared" si="129"/>
        <v>0</v>
      </c>
      <c r="AR590" s="22">
        <f t="shared" si="129"/>
        <v>0</v>
      </c>
      <c r="AS590" s="22">
        <f t="shared" si="129"/>
        <v>0</v>
      </c>
      <c r="AT590" s="22">
        <f t="shared" si="129"/>
        <v>0</v>
      </c>
      <c r="AU590" s="22">
        <f t="shared" si="129"/>
        <v>0</v>
      </c>
      <c r="AV590" s="22">
        <f t="shared" si="129"/>
        <v>0</v>
      </c>
      <c r="AW590" s="22">
        <f t="shared" si="129"/>
        <v>0</v>
      </c>
      <c r="AY590" s="85"/>
    </row>
    <row r="591" spans="1:51" x14ac:dyDescent="0.25">
      <c r="A591" s="102" t="str">
        <f t="shared" si="108"/>
        <v>PQ MM Volatilisation</v>
      </c>
      <c r="B591" s="102" t="s">
        <v>969</v>
      </c>
      <c r="C591" s="102" t="s">
        <v>1333</v>
      </c>
      <c r="D591" t="s">
        <v>369</v>
      </c>
      <c r="E591" t="s">
        <v>64</v>
      </c>
      <c r="F591" t="s">
        <v>62</v>
      </c>
      <c r="G591" t="s">
        <v>1175</v>
      </c>
      <c r="H591" t="s">
        <v>1302</v>
      </c>
      <c r="I591" t="s">
        <v>139</v>
      </c>
      <c r="J591" t="s">
        <v>287</v>
      </c>
      <c r="K591" s="22">
        <f t="shared" si="127"/>
        <v>0</v>
      </c>
      <c r="L591" s="22">
        <f t="shared" si="129"/>
        <v>0</v>
      </c>
      <c r="M591" s="22">
        <f t="shared" si="129"/>
        <v>0</v>
      </c>
      <c r="N591" s="22">
        <f t="shared" si="129"/>
        <v>0</v>
      </c>
      <c r="O591" s="22">
        <f t="shared" si="129"/>
        <v>0</v>
      </c>
      <c r="P591" s="22">
        <f t="shared" si="129"/>
        <v>0</v>
      </c>
      <c r="Q591" s="22">
        <f t="shared" si="129"/>
        <v>0</v>
      </c>
      <c r="R591" s="22">
        <f t="shared" si="129"/>
        <v>0</v>
      </c>
      <c r="S591" s="22">
        <f t="shared" si="129"/>
        <v>0</v>
      </c>
      <c r="T591" s="22">
        <f t="shared" si="129"/>
        <v>0</v>
      </c>
      <c r="U591" s="22">
        <f t="shared" si="129"/>
        <v>0</v>
      </c>
      <c r="V591" s="22">
        <f t="shared" si="129"/>
        <v>0</v>
      </c>
      <c r="W591" s="22">
        <f t="shared" si="129"/>
        <v>0</v>
      </c>
      <c r="X591" s="22">
        <f t="shared" si="129"/>
        <v>0</v>
      </c>
      <c r="Y591" s="22">
        <f t="shared" si="129"/>
        <v>0</v>
      </c>
      <c r="Z591" s="22">
        <f t="shared" si="129"/>
        <v>0</v>
      </c>
      <c r="AA591" s="22">
        <f t="shared" si="129"/>
        <v>0</v>
      </c>
      <c r="AB591" s="22">
        <f t="shared" si="129"/>
        <v>0</v>
      </c>
      <c r="AC591" s="22">
        <f t="shared" si="129"/>
        <v>0</v>
      </c>
      <c r="AD591" s="22">
        <f t="shared" si="129"/>
        <v>0</v>
      </c>
      <c r="AE591" s="22">
        <f t="shared" si="129"/>
        <v>0</v>
      </c>
      <c r="AF591" s="22">
        <f t="shared" si="129"/>
        <v>0</v>
      </c>
      <c r="AG591" s="22">
        <f t="shared" si="129"/>
        <v>0</v>
      </c>
      <c r="AH591" s="22">
        <f t="shared" si="129"/>
        <v>0</v>
      </c>
      <c r="AI591" s="22">
        <f t="shared" si="129"/>
        <v>0</v>
      </c>
      <c r="AJ591" s="22">
        <f t="shared" si="129"/>
        <v>0</v>
      </c>
      <c r="AK591" s="22">
        <f t="shared" si="129"/>
        <v>0</v>
      </c>
      <c r="AL591" s="22">
        <f t="shared" si="129"/>
        <v>0</v>
      </c>
      <c r="AM591" s="22">
        <f t="shared" si="129"/>
        <v>0</v>
      </c>
      <c r="AN591" s="22">
        <f t="shared" si="129"/>
        <v>0</v>
      </c>
      <c r="AO591" s="22">
        <f t="shared" si="129"/>
        <v>0</v>
      </c>
      <c r="AP591" s="22">
        <f t="shared" si="129"/>
        <v>0</v>
      </c>
      <c r="AQ591" s="22">
        <f t="shared" si="129"/>
        <v>0</v>
      </c>
      <c r="AR591" s="22">
        <f t="shared" si="129"/>
        <v>0</v>
      </c>
      <c r="AS591" s="22">
        <f t="shared" si="129"/>
        <v>0</v>
      </c>
      <c r="AT591" s="22">
        <f t="shared" si="129"/>
        <v>0</v>
      </c>
      <c r="AU591" s="22">
        <f t="shared" si="129"/>
        <v>0</v>
      </c>
      <c r="AV591" s="22">
        <f t="shared" si="129"/>
        <v>0</v>
      </c>
      <c r="AW591" s="22">
        <f t="shared" si="129"/>
        <v>0</v>
      </c>
      <c r="AY591" s="85"/>
    </row>
    <row r="592" spans="1:51" x14ac:dyDescent="0.25">
      <c r="A592" s="102" t="str">
        <f t="shared" si="108"/>
        <v>PQ MM Volatilisation</v>
      </c>
      <c r="B592" s="102" t="s">
        <v>969</v>
      </c>
      <c r="C592" s="102" t="s">
        <v>1333</v>
      </c>
      <c r="D592" t="s">
        <v>369</v>
      </c>
      <c r="E592" t="s">
        <v>64</v>
      </c>
      <c r="F592" t="s">
        <v>62</v>
      </c>
      <c r="G592" t="s">
        <v>1177</v>
      </c>
      <c r="H592" t="s">
        <v>1303</v>
      </c>
      <c r="I592" t="s">
        <v>139</v>
      </c>
      <c r="J592" t="s">
        <v>287</v>
      </c>
      <c r="K592" s="22">
        <f t="shared" si="127"/>
        <v>0.13175582522236642</v>
      </c>
      <c r="L592" s="22">
        <f t="shared" si="129"/>
        <v>0.13133995591331252</v>
      </c>
      <c r="M592" s="22">
        <f t="shared" si="129"/>
        <v>0.12996467924172889</v>
      </c>
      <c r="N592" s="22">
        <f t="shared" si="129"/>
        <v>0.12729440169626086</v>
      </c>
      <c r="O592" s="22">
        <f t="shared" si="129"/>
        <v>0.124740958232787</v>
      </c>
      <c r="P592" s="22">
        <f t="shared" si="129"/>
        <v>0.12294968484167307</v>
      </c>
      <c r="Q592" s="22">
        <f t="shared" si="129"/>
        <v>0.12143262568999565</v>
      </c>
      <c r="R592" s="22">
        <f t="shared" si="129"/>
        <v>0.11863912133480742</v>
      </c>
      <c r="S592" s="22">
        <f t="shared" si="129"/>
        <v>0.10385956683599189</v>
      </c>
      <c r="T592" s="22">
        <f t="shared" si="129"/>
        <v>0.10451955212302086</v>
      </c>
      <c r="U592" s="22">
        <f t="shared" si="129"/>
        <v>0.10485083769828313</v>
      </c>
      <c r="V592" s="22">
        <f t="shared" si="129"/>
        <v>0.10517291212466306</v>
      </c>
      <c r="W592" s="22">
        <f t="shared" si="129"/>
        <v>0.10595961192608362</v>
      </c>
      <c r="X592" s="22">
        <f t="shared" si="129"/>
        <v>0.10671986419880256</v>
      </c>
      <c r="Y592" s="22">
        <f t="shared" si="129"/>
        <v>0.10759206833097582</v>
      </c>
      <c r="Z592" s="22">
        <f t="shared" si="129"/>
        <v>0.10832415148302713</v>
      </c>
      <c r="AA592" s="22">
        <f t="shared" si="129"/>
        <v>0.10920394511601654</v>
      </c>
      <c r="AB592" s="22">
        <f t="shared" si="129"/>
        <v>0.10984438432762617</v>
      </c>
      <c r="AC592" s="22">
        <f t="shared" si="129"/>
        <v>0.11051807029951835</v>
      </c>
      <c r="AD592" s="22">
        <f t="shared" si="129"/>
        <v>0.11176064621994924</v>
      </c>
      <c r="AE592" s="22">
        <f t="shared" si="129"/>
        <v>0.11321217775824029</v>
      </c>
      <c r="AF592" s="22">
        <f t="shared" si="129"/>
        <v>0.11471425126432638</v>
      </c>
      <c r="AG592" s="22">
        <f t="shared" si="129"/>
        <v>0.11302605462152289</v>
      </c>
      <c r="AH592" s="22">
        <f t="shared" si="129"/>
        <v>-3.8135833829008307E-2</v>
      </c>
      <c r="AI592" s="22">
        <f t="shared" si="129"/>
        <v>-3.7718689403419284E-2</v>
      </c>
      <c r="AJ592" s="22">
        <f t="shared" si="129"/>
        <v>-3.7310479618025916E-2</v>
      </c>
      <c r="AK592" s="22">
        <f t="shared" si="129"/>
        <v>-3.6910619979896454E-2</v>
      </c>
      <c r="AL592" s="22">
        <f t="shared" si="129"/>
        <v>-3.6518568792738119E-2</v>
      </c>
      <c r="AM592" s="22">
        <f t="shared" si="129"/>
        <v>-3.6133823018213627E-2</v>
      </c>
      <c r="AN592" s="22">
        <f t="shared" si="129"/>
        <v>-3.5711833561214323E-2</v>
      </c>
      <c r="AO592" s="22">
        <f t="shared" si="129"/>
        <v>-3.5297284374171914E-2</v>
      </c>
      <c r="AP592" s="22">
        <f t="shared" si="129"/>
        <v>-3.4889740911291982E-2</v>
      </c>
      <c r="AQ592" s="22">
        <f t="shared" si="129"/>
        <v>-3.4488797010350791E-2</v>
      </c>
      <c r="AR592" s="22">
        <f t="shared" si="129"/>
        <v>-3.4094072440282994E-2</v>
      </c>
      <c r="AS592" s="22">
        <f t="shared" si="129"/>
        <v>-3.3663911026345139E-2</v>
      </c>
      <c r="AT592" s="22">
        <f t="shared" si="129"/>
        <v>-3.3240319741355787E-2</v>
      </c>
      <c r="AU592" s="22">
        <f t="shared" si="129"/>
        <v>-3.2822960396725463E-2</v>
      </c>
      <c r="AV592" s="22">
        <f t="shared" si="129"/>
        <v>-3.2411514785230008E-2</v>
      </c>
      <c r="AW592" s="22">
        <f t="shared" si="129"/>
        <v>-3.2005683123121166E-2</v>
      </c>
      <c r="AY592" s="85"/>
    </row>
    <row r="593" spans="1:51" x14ac:dyDescent="0.25">
      <c r="A593" s="102" t="str">
        <f t="shared" si="108"/>
        <v>PQ MM Volatilisation</v>
      </c>
      <c r="B593" s="102" t="s">
        <v>969</v>
      </c>
      <c r="C593" s="102" t="s">
        <v>1333</v>
      </c>
      <c r="D593" t="s">
        <v>369</v>
      </c>
      <c r="E593" t="s">
        <v>64</v>
      </c>
      <c r="F593" t="s">
        <v>62</v>
      </c>
      <c r="G593" t="s">
        <v>1179</v>
      </c>
      <c r="H593" t="s">
        <v>1304</v>
      </c>
      <c r="I593" t="s">
        <v>139</v>
      </c>
      <c r="J593" t="s">
        <v>287</v>
      </c>
      <c r="K593" s="22">
        <f t="shared" si="127"/>
        <v>1.2821907264588839E-2</v>
      </c>
      <c r="L593" s="22">
        <f t="shared" si="129"/>
        <v>1.2781436661441853E-2</v>
      </c>
      <c r="M593" s="22">
        <f t="shared" si="129"/>
        <v>1.2647600681769325E-2</v>
      </c>
      <c r="N593" s="22">
        <f t="shared" si="129"/>
        <v>1.2387740815984108E-2</v>
      </c>
      <c r="O593" s="22">
        <f t="shared" si="129"/>
        <v>1.2139250737926637E-2</v>
      </c>
      <c r="P593" s="22">
        <f t="shared" si="129"/>
        <v>1.196493175607042E-2</v>
      </c>
      <c r="Q593" s="22">
        <f t="shared" si="129"/>
        <v>1.1817298118431442E-2</v>
      </c>
      <c r="R593" s="22">
        <f t="shared" si="129"/>
        <v>1.1545446352295121E-2</v>
      </c>
      <c r="S593" s="22">
        <f t="shared" si="129"/>
        <v>1.0107164007845277E-2</v>
      </c>
      <c r="T593" s="22">
        <f t="shared" si="129"/>
        <v>1.0171390922533838E-2</v>
      </c>
      <c r="U593" s="22">
        <f t="shared" si="129"/>
        <v>1.020363020240583E-2</v>
      </c>
      <c r="V593" s="22">
        <f t="shared" si="129"/>
        <v>1.0234973093092974E-2</v>
      </c>
      <c r="W593" s="22">
        <f t="shared" si="129"/>
        <v>1.0311531316472175E-2</v>
      </c>
      <c r="X593" s="22">
        <f t="shared" ref="L593:AW600" si="130">X1544</f>
        <v>1.0385515780703972E-2</v>
      </c>
      <c r="Y593" s="22">
        <f t="shared" si="130"/>
        <v>1.0470394915874219E-2</v>
      </c>
      <c r="Z593" s="22">
        <f t="shared" si="130"/>
        <v>1.0541638083071781E-2</v>
      </c>
      <c r="AA593" s="22">
        <f t="shared" si="130"/>
        <v>1.0627255795648265E-2</v>
      </c>
      <c r="AB593" s="22">
        <f t="shared" si="130"/>
        <v>1.0689580570784438E-2</v>
      </c>
      <c r="AC593" s="22">
        <f t="shared" si="130"/>
        <v>1.0755140776889006E-2</v>
      </c>
      <c r="AD593" s="22">
        <f t="shared" si="130"/>
        <v>1.0876062893190786E-2</v>
      </c>
      <c r="AE593" s="22">
        <f t="shared" si="130"/>
        <v>1.1017319666803515E-2</v>
      </c>
      <c r="AF593" s="22">
        <f t="shared" si="130"/>
        <v>1.1163494966203955E-2</v>
      </c>
      <c r="AG593" s="22">
        <f t="shared" si="130"/>
        <v>1.0999206967841195E-2</v>
      </c>
      <c r="AH593" s="22">
        <f t="shared" si="130"/>
        <v>-3.7112144680363467E-3</v>
      </c>
      <c r="AI593" s="22">
        <f t="shared" si="130"/>
        <v>-3.6706197760611272E-3</v>
      </c>
      <c r="AJ593" s="22">
        <f t="shared" si="130"/>
        <v>-3.6308945646408518E-3</v>
      </c>
      <c r="AK593" s="22">
        <f t="shared" si="130"/>
        <v>-3.5919819534504542E-3</v>
      </c>
      <c r="AL593" s="22">
        <f t="shared" si="130"/>
        <v>-3.5538292269487438E-3</v>
      </c>
      <c r="AM593" s="22">
        <f t="shared" si="130"/>
        <v>-3.5163874316196208E-3</v>
      </c>
      <c r="AN593" s="22">
        <f t="shared" si="130"/>
        <v>-3.4753212421350377E-3</v>
      </c>
      <c r="AO593" s="22">
        <f t="shared" si="130"/>
        <v>-3.4349791075546665E-3</v>
      </c>
      <c r="AP593" s="22">
        <f t="shared" si="130"/>
        <v>-3.3953187397605549E-3</v>
      </c>
      <c r="AQ593" s="22">
        <f t="shared" si="130"/>
        <v>-3.3563006128011267E-3</v>
      </c>
      <c r="AR593" s="22">
        <f t="shared" si="130"/>
        <v>-3.3178877242330336E-3</v>
      </c>
      <c r="AS593" s="22">
        <f t="shared" si="130"/>
        <v>-3.2760262752306304E-3</v>
      </c>
      <c r="AT593" s="22">
        <f t="shared" si="130"/>
        <v>-3.2348042027715565E-3</v>
      </c>
      <c r="AU593" s="22">
        <f t="shared" si="130"/>
        <v>-3.1941885958044411E-3</v>
      </c>
      <c r="AV593" s="22">
        <f t="shared" si="130"/>
        <v>-3.1541484877779971E-3</v>
      </c>
      <c r="AW593" s="22">
        <f t="shared" si="130"/>
        <v>-3.1146547050339602E-3</v>
      </c>
      <c r="AY593" s="85"/>
    </row>
    <row r="594" spans="1:51" x14ac:dyDescent="0.25">
      <c r="A594" s="102" t="str">
        <f t="shared" si="108"/>
        <v>PQ MM Volatilisation</v>
      </c>
      <c r="B594" s="102" t="s">
        <v>969</v>
      </c>
      <c r="C594" s="102" t="s">
        <v>1333</v>
      </c>
      <c r="D594" t="s">
        <v>369</v>
      </c>
      <c r="E594" t="s">
        <v>64</v>
      </c>
      <c r="F594" t="s">
        <v>62</v>
      </c>
      <c r="G594" t="s">
        <v>1181</v>
      </c>
      <c r="H594" t="s">
        <v>1305</v>
      </c>
      <c r="I594" t="s">
        <v>139</v>
      </c>
      <c r="J594" t="s">
        <v>287</v>
      </c>
      <c r="K594" s="22">
        <f t="shared" si="127"/>
        <v>6.4805763262647462E-2</v>
      </c>
      <c r="L594" s="22">
        <f t="shared" si="130"/>
        <v>6.620917696085285E-2</v>
      </c>
      <c r="M594" s="22">
        <f t="shared" si="130"/>
        <v>6.7339988183967914E-2</v>
      </c>
      <c r="N594" s="22">
        <f t="shared" si="130"/>
        <v>6.8078843848603895E-2</v>
      </c>
      <c r="O594" s="22">
        <f t="shared" si="130"/>
        <v>6.8827728157938209E-2</v>
      </c>
      <c r="P594" s="22">
        <f t="shared" si="130"/>
        <v>6.9793181329029633E-2</v>
      </c>
      <c r="Q594" s="22">
        <f t="shared" si="130"/>
        <v>7.0825640221860539E-2</v>
      </c>
      <c r="R594" s="22">
        <f t="shared" si="130"/>
        <v>7.1426070236781977E-2</v>
      </c>
      <c r="S594" s="22">
        <f t="shared" si="130"/>
        <v>6.7971896986057309E-2</v>
      </c>
      <c r="T594" s="22">
        <f t="shared" si="130"/>
        <v>6.9431161818386017E-2</v>
      </c>
      <c r="U594" s="22">
        <f t="shared" si="130"/>
        <v>7.0793385596642902E-2</v>
      </c>
      <c r="V594" s="22">
        <f t="shared" si="130"/>
        <v>7.216636340015109E-2</v>
      </c>
      <c r="W594" s="22">
        <f t="shared" si="130"/>
        <v>7.3724598547713793E-2</v>
      </c>
      <c r="X594" s="22">
        <f t="shared" si="130"/>
        <v>7.5295777535110922E-2</v>
      </c>
      <c r="Y594" s="22">
        <f t="shared" si="130"/>
        <v>7.6868953264879816E-2</v>
      </c>
      <c r="Z594" s="22">
        <f t="shared" si="130"/>
        <v>7.8411785567373049E-2</v>
      </c>
      <c r="AA594" s="22">
        <f t="shared" si="130"/>
        <v>8.0036606766420104E-2</v>
      </c>
      <c r="AB594" s="22">
        <f t="shared" si="130"/>
        <v>8.1590030948431091E-2</v>
      </c>
      <c r="AC594" s="22">
        <f t="shared" si="130"/>
        <v>8.3180296189840519E-2</v>
      </c>
      <c r="AD594" s="22">
        <f t="shared" si="130"/>
        <v>8.498335225395226E-2</v>
      </c>
      <c r="AE594" s="22">
        <f t="shared" si="130"/>
        <v>8.691067585568038E-2</v>
      </c>
      <c r="AF594" s="22">
        <f t="shared" si="130"/>
        <v>8.8898633943391286E-2</v>
      </c>
      <c r="AG594" s="22">
        <f t="shared" si="130"/>
        <v>8.9490348349999485E-2</v>
      </c>
      <c r="AH594" s="22">
        <f t="shared" si="130"/>
        <v>2.1450020418190146E-2</v>
      </c>
      <c r="AI594" s="22">
        <f t="shared" si="130"/>
        <v>2.1614881965790762E-2</v>
      </c>
      <c r="AJ594" s="22">
        <f t="shared" si="130"/>
        <v>2.1780943831055617E-2</v>
      </c>
      <c r="AK594" s="22">
        <f t="shared" si="130"/>
        <v>2.1948215154072734E-2</v>
      </c>
      <c r="AL594" s="22">
        <f t="shared" si="130"/>
        <v>2.2116705116436826E-2</v>
      </c>
      <c r="AM594" s="22">
        <f t="shared" si="130"/>
        <v>2.2286422943949849E-2</v>
      </c>
      <c r="AN594" s="22">
        <f t="shared" si="130"/>
        <v>2.2431505853437582E-2</v>
      </c>
      <c r="AO594" s="22">
        <f t="shared" si="130"/>
        <v>2.2577484325720341E-2</v>
      </c>
      <c r="AP594" s="22">
        <f t="shared" si="130"/>
        <v>2.2724364182075539E-2</v>
      </c>
      <c r="AQ594" s="22">
        <f t="shared" si="130"/>
        <v>2.2872151263259987E-2</v>
      </c>
      <c r="AR594" s="22">
        <f t="shared" si="130"/>
        <v>2.3020851431037954E-2</v>
      </c>
      <c r="AS594" s="22">
        <f t="shared" si="130"/>
        <v>2.3143882531625137E-2</v>
      </c>
      <c r="AT594" s="22">
        <f t="shared" si="130"/>
        <v>2.3267536914699297E-2</v>
      </c>
      <c r="AU594" s="22">
        <f t="shared" si="130"/>
        <v>2.3391817960867468E-2</v>
      </c>
      <c r="AV594" s="22">
        <f t="shared" si="130"/>
        <v>2.3516729056424043E-2</v>
      </c>
      <c r="AW594" s="22">
        <f t="shared" si="130"/>
        <v>2.3642273594262703E-2</v>
      </c>
      <c r="AY594" s="85"/>
    </row>
    <row r="595" spans="1:51" x14ac:dyDescent="0.25">
      <c r="A595" s="102" t="str">
        <f t="shared" si="108"/>
        <v>PQ MM Volatilisation</v>
      </c>
      <c r="B595" s="102" t="s">
        <v>969</v>
      </c>
      <c r="C595" s="102" t="s">
        <v>1333</v>
      </c>
      <c r="D595" t="s">
        <v>369</v>
      </c>
      <c r="E595" t="s">
        <v>64</v>
      </c>
      <c r="F595" t="s">
        <v>62</v>
      </c>
      <c r="G595" t="s">
        <v>1183</v>
      </c>
      <c r="H595" t="s">
        <v>1306</v>
      </c>
      <c r="I595" t="s">
        <v>139</v>
      </c>
      <c r="J595" t="s">
        <v>287</v>
      </c>
      <c r="K595" s="22">
        <f t="shared" si="127"/>
        <v>0.31397927588300406</v>
      </c>
      <c r="L595" s="22">
        <f t="shared" si="130"/>
        <v>0.31907441675710629</v>
      </c>
      <c r="M595" s="22">
        <f t="shared" si="130"/>
        <v>0.3205872704742006</v>
      </c>
      <c r="N595" s="22">
        <f t="shared" si="130"/>
        <v>0.31719609082412314</v>
      </c>
      <c r="O595" s="22">
        <f t="shared" si="130"/>
        <v>0.3138121925530904</v>
      </c>
      <c r="P595" s="22">
        <f t="shared" si="130"/>
        <v>0.31283032074973627</v>
      </c>
      <c r="Q595" s="22">
        <f t="shared" si="130"/>
        <v>0.31262578069676783</v>
      </c>
      <c r="R595" s="22">
        <f t="shared" si="130"/>
        <v>0.30741109145699391</v>
      </c>
      <c r="S595" s="22">
        <f t="shared" si="130"/>
        <v>0.256148371105961</v>
      </c>
      <c r="T595" s="22">
        <f t="shared" si="130"/>
        <v>0.26370410916808512</v>
      </c>
      <c r="U595" s="22">
        <f t="shared" si="130"/>
        <v>0.27001969138915061</v>
      </c>
      <c r="V595" s="22">
        <f t="shared" si="130"/>
        <v>0.2763199496036185</v>
      </c>
      <c r="W595" s="22">
        <f t="shared" si="130"/>
        <v>0.28451678455475204</v>
      </c>
      <c r="X595" s="22">
        <f t="shared" si="130"/>
        <v>0.29268901518137719</v>
      </c>
      <c r="Y595" s="22">
        <f t="shared" si="130"/>
        <v>0.30166157988430881</v>
      </c>
      <c r="Z595" s="22">
        <f t="shared" si="130"/>
        <v>0.31015505304721058</v>
      </c>
      <c r="AA595" s="22">
        <f t="shared" si="130"/>
        <v>0.31937286090334316</v>
      </c>
      <c r="AB595" s="22">
        <f t="shared" si="130"/>
        <v>0.32768435170975169</v>
      </c>
      <c r="AC595" s="22">
        <f t="shared" si="130"/>
        <v>0.3362412673320212</v>
      </c>
      <c r="AD595" s="22">
        <f t="shared" si="130"/>
        <v>0.34761278711237292</v>
      </c>
      <c r="AE595" s="22">
        <f t="shared" si="130"/>
        <v>0.36009727200869485</v>
      </c>
      <c r="AF595" s="22">
        <f t="shared" si="130"/>
        <v>0.37302207723672137</v>
      </c>
      <c r="AG595" s="22">
        <f t="shared" si="130"/>
        <v>0.37158281441490282</v>
      </c>
      <c r="AH595" s="22">
        <f t="shared" si="130"/>
        <v>-0.32225581682934024</v>
      </c>
      <c r="AI595" s="22">
        <f t="shared" si="130"/>
        <v>-0.32271754342348513</v>
      </c>
      <c r="AJ595" s="22">
        <f t="shared" si="130"/>
        <v>-0.32321834210238065</v>
      </c>
      <c r="AK595" s="22">
        <f t="shared" si="130"/>
        <v>-0.32375658230947413</v>
      </c>
      <c r="AL595" s="22">
        <f t="shared" si="130"/>
        <v>-0.32433076013748197</v>
      </c>
      <c r="AM595" s="22">
        <f t="shared" si="130"/>
        <v>-0.32493948616259549</v>
      </c>
      <c r="AN595" s="22">
        <f t="shared" si="130"/>
        <v>-0.32519002694092081</v>
      </c>
      <c r="AO595" s="22">
        <f t="shared" si="130"/>
        <v>-0.32547196769911135</v>
      </c>
      <c r="AP595" s="22">
        <f t="shared" si="130"/>
        <v>-0.32578408919193652</v>
      </c>
      <c r="AQ595" s="22">
        <f t="shared" si="130"/>
        <v>-0.32612525589272406</v>
      </c>
      <c r="AR595" s="22">
        <f t="shared" si="130"/>
        <v>-0.32649440879969549</v>
      </c>
      <c r="AS595" s="22">
        <f t="shared" si="130"/>
        <v>-0.32649961480368156</v>
      </c>
      <c r="AT595" s="22">
        <f t="shared" si="130"/>
        <v>-0.32653073845215902</v>
      </c>
      <c r="AU595" s="22">
        <f t="shared" si="130"/>
        <v>-0.326586821501688</v>
      </c>
      <c r="AV595" s="22">
        <f t="shared" si="130"/>
        <v>-0.32666696441292659</v>
      </c>
      <c r="AW595" s="22">
        <f t="shared" si="130"/>
        <v>-0.32677032179119497</v>
      </c>
      <c r="AY595" s="85"/>
    </row>
    <row r="596" spans="1:51" x14ac:dyDescent="0.25">
      <c r="A596" s="102" t="str">
        <f t="shared" si="108"/>
        <v>PQ MM Leaching</v>
      </c>
      <c r="B596" s="102" t="s">
        <v>969</v>
      </c>
      <c r="C596" s="102" t="s">
        <v>1334</v>
      </c>
      <c r="D596" t="s">
        <v>369</v>
      </c>
      <c r="E596" t="s">
        <v>64</v>
      </c>
      <c r="F596" t="s">
        <v>63</v>
      </c>
      <c r="G596" t="s">
        <v>1153</v>
      </c>
      <c r="H596" t="s">
        <v>1307</v>
      </c>
      <c r="I596" t="s">
        <v>139</v>
      </c>
      <c r="J596" t="s">
        <v>287</v>
      </c>
      <c r="K596" s="22">
        <f t="shared" si="127"/>
        <v>8.937279530386584E-2</v>
      </c>
      <c r="L596" s="22">
        <f t="shared" si="130"/>
        <v>8.99287091662518E-2</v>
      </c>
      <c r="M596" s="22">
        <f t="shared" si="130"/>
        <v>9.0310907604627441E-2</v>
      </c>
      <c r="N596" s="22">
        <f t="shared" si="130"/>
        <v>9.0430770661024784E-2</v>
      </c>
      <c r="O596" s="22">
        <f t="shared" si="130"/>
        <v>9.0592927490571046E-2</v>
      </c>
      <c r="P596" s="22">
        <f t="shared" si="130"/>
        <v>9.0948112554123092E-2</v>
      </c>
      <c r="Q596" s="22">
        <f t="shared" si="130"/>
        <v>9.1373943417930939E-2</v>
      </c>
      <c r="R596" s="22">
        <f t="shared" si="130"/>
        <v>9.1501867451345892E-2</v>
      </c>
      <c r="S596" s="22">
        <f t="shared" si="130"/>
        <v>8.8692780673306368E-2</v>
      </c>
      <c r="T596" s="22">
        <f t="shared" si="130"/>
        <v>8.942331322993069E-2</v>
      </c>
      <c r="U596" s="22">
        <f t="shared" si="130"/>
        <v>9.0093190837869708E-2</v>
      </c>
      <c r="V596" s="22">
        <f t="shared" si="130"/>
        <v>9.0780038603481383E-2</v>
      </c>
      <c r="W596" s="22">
        <f t="shared" si="130"/>
        <v>9.1607440170769952E-2</v>
      </c>
      <c r="X596" s="22">
        <f t="shared" si="130"/>
        <v>9.2450367431163069E-2</v>
      </c>
      <c r="Y596" s="22">
        <f t="shared" si="130"/>
        <v>9.3271141222409717E-2</v>
      </c>
      <c r="Z596" s="22">
        <f t="shared" si="130"/>
        <v>9.4075494804423593E-2</v>
      </c>
      <c r="AA596" s="22">
        <f t="shared" si="130"/>
        <v>9.494187182919285E-2</v>
      </c>
      <c r="AB596" s="22">
        <f t="shared" si="130"/>
        <v>9.5762313841523894E-2</v>
      </c>
      <c r="AC596" s="22">
        <f t="shared" si="130"/>
        <v>9.6612184537040763E-2</v>
      </c>
      <c r="AD596" s="22">
        <f t="shared" si="130"/>
        <v>9.7588608414981418E-2</v>
      </c>
      <c r="AE596" s="22">
        <f t="shared" si="130"/>
        <v>9.8652036659073086E-2</v>
      </c>
      <c r="AF596" s="22">
        <f t="shared" si="130"/>
        <v>9.9757674838538646E-2</v>
      </c>
      <c r="AG596" s="22">
        <f t="shared" si="130"/>
        <v>9.9912115595676476E-2</v>
      </c>
      <c r="AH596" s="22">
        <f t="shared" si="130"/>
        <v>5.3491971899674674E-2</v>
      </c>
      <c r="AI596" s="22">
        <f t="shared" si="130"/>
        <v>5.3531314918473571E-2</v>
      </c>
      <c r="AJ596" s="22">
        <f t="shared" si="130"/>
        <v>5.357582611787514E-2</v>
      </c>
      <c r="AK596" s="22">
        <f t="shared" si="130"/>
        <v>5.3625309057202357E-2</v>
      </c>
      <c r="AL596" s="22">
        <f t="shared" si="130"/>
        <v>5.3679582424864689E-2</v>
      </c>
      <c r="AM596" s="22">
        <f t="shared" si="130"/>
        <v>5.3738478604376284E-2</v>
      </c>
      <c r="AN596" s="22">
        <f t="shared" si="130"/>
        <v>5.3763835169364317E-2</v>
      </c>
      <c r="AO596" s="22">
        <f t="shared" si="130"/>
        <v>5.3793262757512665E-2</v>
      </c>
      <c r="AP596" s="22">
        <f t="shared" si="130"/>
        <v>5.3826619180497665E-2</v>
      </c>
      <c r="AQ596" s="22">
        <f t="shared" si="130"/>
        <v>5.3863771952469164E-2</v>
      </c>
      <c r="AR596" s="22">
        <f t="shared" si="130"/>
        <v>5.3904597466717913E-2</v>
      </c>
      <c r="AS596" s="22">
        <f t="shared" si="130"/>
        <v>5.3910563480556228E-2</v>
      </c>
      <c r="AT596" s="22">
        <f t="shared" si="130"/>
        <v>5.3919785471416987E-2</v>
      </c>
      <c r="AU596" s="22">
        <f t="shared" si="130"/>
        <v>5.3932155519366927E-2</v>
      </c>
      <c r="AV596" s="22">
        <f t="shared" si="130"/>
        <v>5.3947572278859428E-2</v>
      </c>
      <c r="AW596" s="22">
        <f t="shared" si="130"/>
        <v>5.3965940473698626E-2</v>
      </c>
      <c r="AY596" s="85"/>
    </row>
    <row r="597" spans="1:51" x14ac:dyDescent="0.25">
      <c r="A597" s="102" t="str">
        <f t="shared" si="108"/>
        <v>PQ MM Leaching</v>
      </c>
      <c r="B597" s="102" t="s">
        <v>969</v>
      </c>
      <c r="C597" s="102" t="s">
        <v>1334</v>
      </c>
      <c r="D597" t="s">
        <v>369</v>
      </c>
      <c r="E597" t="s">
        <v>64</v>
      </c>
      <c r="F597" t="s">
        <v>63</v>
      </c>
      <c r="G597" t="s">
        <v>1155</v>
      </c>
      <c r="H597" t="s">
        <v>1308</v>
      </c>
      <c r="I597" t="s">
        <v>139</v>
      </c>
      <c r="J597" t="s">
        <v>287</v>
      </c>
      <c r="K597" s="22">
        <f t="shared" si="127"/>
        <v>2.6988316791591433E-2</v>
      </c>
      <c r="L597" s="22">
        <f t="shared" si="130"/>
        <v>2.7156188674482627E-2</v>
      </c>
      <c r="M597" s="22">
        <f t="shared" si="130"/>
        <v>2.7271602906487613E-2</v>
      </c>
      <c r="N597" s="22">
        <f t="shared" si="130"/>
        <v>2.7307798508590695E-2</v>
      </c>
      <c r="O597" s="22">
        <f t="shared" si="130"/>
        <v>2.7356765757190617E-2</v>
      </c>
      <c r="P597" s="22">
        <f t="shared" si="130"/>
        <v>2.7464022635328895E-2</v>
      </c>
      <c r="Q597" s="22">
        <f t="shared" si="130"/>
        <v>2.7592612752858615E-2</v>
      </c>
      <c r="R597" s="22">
        <f t="shared" si="130"/>
        <v>2.7631242565513824E-2</v>
      </c>
      <c r="S597" s="22">
        <f t="shared" si="130"/>
        <v>2.6782969625151597E-2</v>
      </c>
      <c r="T597" s="22">
        <f t="shared" si="130"/>
        <v>2.7003571923621898E-2</v>
      </c>
      <c r="U597" s="22">
        <f t="shared" si="130"/>
        <v>2.7205857966406888E-2</v>
      </c>
      <c r="V597" s="22">
        <f t="shared" si="130"/>
        <v>2.7413268566275666E-2</v>
      </c>
      <c r="W597" s="22">
        <f t="shared" si="130"/>
        <v>2.7663122848397212E-2</v>
      </c>
      <c r="X597" s="22">
        <f t="shared" si="130"/>
        <v>2.7917665495949085E-2</v>
      </c>
      <c r="Y597" s="22">
        <f t="shared" si="130"/>
        <v>2.8165518357852821E-2</v>
      </c>
      <c r="Z597" s="22">
        <f t="shared" si="130"/>
        <v>2.8408412733149407E-2</v>
      </c>
      <c r="AA597" s="22">
        <f t="shared" si="130"/>
        <v>2.8670036614621735E-2</v>
      </c>
      <c r="AB597" s="22">
        <f t="shared" si="130"/>
        <v>2.8917789287710199E-2</v>
      </c>
      <c r="AC597" s="22">
        <f t="shared" si="130"/>
        <v>2.9174428676514319E-2</v>
      </c>
      <c r="AD597" s="22">
        <f t="shared" si="130"/>
        <v>2.9469283915752844E-2</v>
      </c>
      <c r="AE597" s="22">
        <f t="shared" si="130"/>
        <v>2.979041226626589E-2</v>
      </c>
      <c r="AF597" s="22">
        <f t="shared" si="130"/>
        <v>3.0124286946394699E-2</v>
      </c>
      <c r="AG597" s="22">
        <f t="shared" si="130"/>
        <v>3.0170924136884231E-2</v>
      </c>
      <c r="AH597" s="22">
        <f t="shared" si="130"/>
        <v>1.6153218420962612E-2</v>
      </c>
      <c r="AI597" s="22">
        <f t="shared" si="130"/>
        <v>1.6165099014506461E-2</v>
      </c>
      <c r="AJ597" s="22">
        <f t="shared" si="130"/>
        <v>1.6178540267475436E-2</v>
      </c>
      <c r="AK597" s="22">
        <f t="shared" si="130"/>
        <v>1.6193482859768772E-2</v>
      </c>
      <c r="AL597" s="22">
        <f t="shared" si="130"/>
        <v>1.6209872039886029E-2</v>
      </c>
      <c r="AM597" s="22">
        <f t="shared" si="130"/>
        <v>1.6227657191900897E-2</v>
      </c>
      <c r="AN597" s="22">
        <f t="shared" si="130"/>
        <v>1.6235314231230563E-2</v>
      </c>
      <c r="AO597" s="22">
        <f t="shared" si="130"/>
        <v>1.6244200616272676E-2</v>
      </c>
      <c r="AP597" s="22">
        <f t="shared" si="130"/>
        <v>1.6254273409760815E-2</v>
      </c>
      <c r="AQ597" s="22">
        <f t="shared" si="130"/>
        <v>1.6265492604329402E-2</v>
      </c>
      <c r="AR597" s="22">
        <f t="shared" si="130"/>
        <v>1.6277820873888151E-2</v>
      </c>
      <c r="AS597" s="22">
        <f t="shared" si="130"/>
        <v>1.6279622458709387E-2</v>
      </c>
      <c r="AT597" s="22">
        <f t="shared" si="130"/>
        <v>1.6282407265987193E-2</v>
      </c>
      <c r="AU597" s="22">
        <f t="shared" si="130"/>
        <v>1.6286142706639629E-2</v>
      </c>
      <c r="AV597" s="22">
        <f t="shared" si="130"/>
        <v>1.6290798176882768E-2</v>
      </c>
      <c r="AW597" s="22">
        <f t="shared" si="130"/>
        <v>1.6296344905722616E-2</v>
      </c>
      <c r="AY597" s="85"/>
    </row>
    <row r="598" spans="1:51" x14ac:dyDescent="0.25">
      <c r="A598" s="102" t="str">
        <f t="shared" si="108"/>
        <v>PQ MM Leaching</v>
      </c>
      <c r="B598" s="102" t="s">
        <v>969</v>
      </c>
      <c r="C598" s="102" t="s">
        <v>1334</v>
      </c>
      <c r="D598" t="s">
        <v>369</v>
      </c>
      <c r="E598" t="s">
        <v>64</v>
      </c>
      <c r="F598" t="s">
        <v>63</v>
      </c>
      <c r="G598" t="s">
        <v>1157</v>
      </c>
      <c r="H598" t="s">
        <v>1309</v>
      </c>
      <c r="I598" t="s">
        <v>139</v>
      </c>
      <c r="J598" t="s">
        <v>287</v>
      </c>
      <c r="K598" s="22">
        <f t="shared" si="127"/>
        <v>1.4509917151188738E-3</v>
      </c>
      <c r="L598" s="22">
        <f t="shared" si="130"/>
        <v>1.4600171283433256E-3</v>
      </c>
      <c r="M598" s="22">
        <f t="shared" si="130"/>
        <v>1.4662222242646174E-3</v>
      </c>
      <c r="N598" s="22">
        <f t="shared" si="130"/>
        <v>1.4681682336871716E-3</v>
      </c>
      <c r="O598" s="22">
        <f t="shared" si="130"/>
        <v>1.4708008940557055E-3</v>
      </c>
      <c r="P598" s="22">
        <f t="shared" si="130"/>
        <v>1.4765674204667426E-3</v>
      </c>
      <c r="Q598" s="22">
        <f t="shared" si="130"/>
        <v>1.4834809007190539E-3</v>
      </c>
      <c r="R598" s="22">
        <f t="shared" si="130"/>
        <v>1.485557782302746E-3</v>
      </c>
      <c r="S598" s="22">
        <f t="shared" si="130"/>
        <v>1.439951492065016E-3</v>
      </c>
      <c r="T598" s="22">
        <f t="shared" si="130"/>
        <v>1.4518118874312183E-3</v>
      </c>
      <c r="U598" s="22">
        <f t="shared" si="130"/>
        <v>1.4626875331571739E-3</v>
      </c>
      <c r="V598" s="22">
        <f t="shared" si="130"/>
        <v>1.4738386940228707E-3</v>
      </c>
      <c r="W598" s="22">
        <f t="shared" si="130"/>
        <v>1.4872717842057417E-3</v>
      </c>
      <c r="X598" s="22">
        <f t="shared" si="130"/>
        <v>1.5009569382520018E-3</v>
      </c>
      <c r="Y598" s="22">
        <f t="shared" si="130"/>
        <v>1.5142824246825921E-3</v>
      </c>
      <c r="Z598" s="22">
        <f t="shared" si="130"/>
        <v>1.5273413245364029E-3</v>
      </c>
      <c r="AA598" s="22">
        <f t="shared" si="130"/>
        <v>1.5414071919050509E-3</v>
      </c>
      <c r="AB598" s="22">
        <f t="shared" si="130"/>
        <v>1.5547272918144282E-3</v>
      </c>
      <c r="AC598" s="22">
        <f t="shared" si="130"/>
        <v>1.568525174424283E-3</v>
      </c>
      <c r="AD598" s="22">
        <f t="shared" si="130"/>
        <v>1.5843776824779826E-3</v>
      </c>
      <c r="AE598" s="22">
        <f t="shared" si="130"/>
        <v>1.6016427301533305E-3</v>
      </c>
      <c r="AF598" s="22">
        <f t="shared" si="130"/>
        <v>1.6195930676455074E-3</v>
      </c>
      <c r="AG598" s="22">
        <f t="shared" si="130"/>
        <v>1.6221004554733333E-3</v>
      </c>
      <c r="AH598" s="22">
        <f t="shared" si="130"/>
        <v>8.6845675787475588E-4</v>
      </c>
      <c r="AI598" s="22">
        <f t="shared" si="130"/>
        <v>8.6909550251881536E-4</v>
      </c>
      <c r="AJ598" s="22">
        <f t="shared" si="130"/>
        <v>8.6981815398498119E-4</v>
      </c>
      <c r="AK598" s="22">
        <f t="shared" si="130"/>
        <v>8.7062152300526781E-4</v>
      </c>
      <c r="AL598" s="22">
        <f t="shared" si="130"/>
        <v>8.7150266593653532E-4</v>
      </c>
      <c r="AM598" s="22">
        <f t="shared" si="130"/>
        <v>8.7245886147940626E-4</v>
      </c>
      <c r="AN598" s="22">
        <f t="shared" si="130"/>
        <v>8.728705322299566E-4</v>
      </c>
      <c r="AO598" s="22">
        <f t="shared" si="130"/>
        <v>8.7334829715220207E-4</v>
      </c>
      <c r="AP598" s="22">
        <f t="shared" si="130"/>
        <v>8.7388984777991429E-4</v>
      </c>
      <c r="AQ598" s="22">
        <f t="shared" si="130"/>
        <v>8.7449303316917135E-4</v>
      </c>
      <c r="AR598" s="22">
        <f t="shared" si="130"/>
        <v>8.7515584653132471E-4</v>
      </c>
      <c r="AS598" s="22">
        <f t="shared" si="130"/>
        <v>8.7525270639368256E-4</v>
      </c>
      <c r="AT598" s="22">
        <f t="shared" si="130"/>
        <v>8.7540242793132E-4</v>
      </c>
      <c r="AU598" s="22">
        <f t="shared" si="130"/>
        <v>8.7560325903467736E-4</v>
      </c>
      <c r="AV598" s="22">
        <f t="shared" si="130"/>
        <v>8.7585355433115466E-4</v>
      </c>
      <c r="AW598" s="22">
        <f t="shared" si="130"/>
        <v>8.7615176698571857E-4</v>
      </c>
      <c r="AY598" s="85"/>
    </row>
    <row r="599" spans="1:51" x14ac:dyDescent="0.25">
      <c r="A599" s="102" t="str">
        <f t="shared" si="108"/>
        <v>PQ MM Leaching</v>
      </c>
      <c r="B599" s="102" t="s">
        <v>969</v>
      </c>
      <c r="C599" s="102" t="s">
        <v>1334</v>
      </c>
      <c r="D599" t="s">
        <v>369</v>
      </c>
      <c r="E599" t="s">
        <v>64</v>
      </c>
      <c r="F599" t="s">
        <v>63</v>
      </c>
      <c r="G599" t="s">
        <v>1159</v>
      </c>
      <c r="H599" t="s">
        <v>1310</v>
      </c>
      <c r="I599" t="s">
        <v>139</v>
      </c>
      <c r="J599" t="s">
        <v>287</v>
      </c>
      <c r="K599" s="22">
        <f t="shared" si="127"/>
        <v>3.0570019073752373E-2</v>
      </c>
      <c r="L599" s="22">
        <f t="shared" si="130"/>
        <v>3.0367387601048686E-2</v>
      </c>
      <c r="M599" s="22">
        <f t="shared" si="130"/>
        <v>2.9940152719715736E-2</v>
      </c>
      <c r="N599" s="22">
        <f t="shared" si="130"/>
        <v>2.9219989120948371E-2</v>
      </c>
      <c r="O599" s="22">
        <f t="shared" si="130"/>
        <v>2.852126892952573E-2</v>
      </c>
      <c r="P599" s="22">
        <f t="shared" si="130"/>
        <v>2.7983855033028606E-2</v>
      </c>
      <c r="Q599" s="22">
        <f t="shared" si="130"/>
        <v>2.749776002622362E-2</v>
      </c>
      <c r="R599" s="22">
        <f t="shared" si="130"/>
        <v>2.6733493787157343E-2</v>
      </c>
      <c r="S599" s="22">
        <f t="shared" si="130"/>
        <v>2.3446894467457041E-2</v>
      </c>
      <c r="T599" s="22">
        <f t="shared" si="130"/>
        <v>2.3670380965491088E-2</v>
      </c>
      <c r="U599" s="22">
        <f t="shared" si="130"/>
        <v>2.3821608196176489E-2</v>
      </c>
      <c r="V599" s="22">
        <f t="shared" si="130"/>
        <v>2.3967916654645059E-2</v>
      </c>
      <c r="W599" s="22">
        <f t="shared" si="130"/>
        <v>2.4209875654048162E-2</v>
      </c>
      <c r="X599" s="22">
        <f t="shared" si="130"/>
        <v>2.4443860278754486E-2</v>
      </c>
      <c r="Y599" s="22">
        <f t="shared" si="130"/>
        <v>2.4689509012601481E-2</v>
      </c>
      <c r="Z599" s="22">
        <f t="shared" si="130"/>
        <v>2.4903367961433137E-2</v>
      </c>
      <c r="AA599" s="22">
        <f t="shared" si="130"/>
        <v>2.5146768445041517E-2</v>
      </c>
      <c r="AB599" s="22">
        <f t="shared" si="130"/>
        <v>2.5337237570324824E-2</v>
      </c>
      <c r="AC599" s="22">
        <f t="shared" si="130"/>
        <v>2.5532932848471888E-2</v>
      </c>
      <c r="AD599" s="22">
        <f t="shared" si="130"/>
        <v>2.5624080551254102E-2</v>
      </c>
      <c r="AE599" s="22">
        <f t="shared" si="130"/>
        <v>2.5749062544479791E-2</v>
      </c>
      <c r="AF599" s="22">
        <f t="shared" si="130"/>
        <v>2.5873562186552946E-2</v>
      </c>
      <c r="AG599" s="22">
        <f t="shared" si="130"/>
        <v>2.53248358805277E-2</v>
      </c>
      <c r="AH599" s="22">
        <f t="shared" si="130"/>
        <v>-5.9737784992688692E-3</v>
      </c>
      <c r="AI599" s="22">
        <f t="shared" si="130"/>
        <v>-5.8352076147992196E-3</v>
      </c>
      <c r="AJ599" s="22">
        <f t="shared" si="130"/>
        <v>-5.6988404422584063E-3</v>
      </c>
      <c r="AK599" s="22">
        <f t="shared" si="130"/>
        <v>-5.5645615630153409E-3</v>
      </c>
      <c r="AL599" s="22">
        <f t="shared" si="130"/>
        <v>-5.4322635380194221E-3</v>
      </c>
      <c r="AM599" s="22">
        <f t="shared" si="130"/>
        <v>-5.3018461683791993E-3</v>
      </c>
      <c r="AN599" s="22">
        <f t="shared" si="130"/>
        <v>-5.1961071833315654E-3</v>
      </c>
      <c r="AO599" s="22">
        <f t="shared" si="130"/>
        <v>-5.0919652579405755E-3</v>
      </c>
      <c r="AP599" s="22">
        <f t="shared" si="130"/>
        <v>-4.9893480213799102E-3</v>
      </c>
      <c r="AQ599" s="22">
        <f t="shared" si="130"/>
        <v>-4.8881876039149471E-3</v>
      </c>
      <c r="AR599" s="22">
        <f t="shared" si="130"/>
        <v>-4.7884202636879142E-3</v>
      </c>
      <c r="AS599" s="22">
        <f t="shared" si="130"/>
        <v>-4.6867985813226392E-3</v>
      </c>
      <c r="AT599" s="22">
        <f t="shared" si="130"/>
        <v>-4.5865743266878378E-3</v>
      </c>
      <c r="AU599" s="22">
        <f t="shared" si="130"/>
        <v>-4.4876925271481486E-3</v>
      </c>
      <c r="AV599" s="22">
        <f t="shared" si="130"/>
        <v>-4.3901012986055903E-3</v>
      </c>
      <c r="AW599" s="22">
        <f t="shared" si="130"/>
        <v>-4.2937516147018842E-3</v>
      </c>
      <c r="AY599" s="85"/>
    </row>
    <row r="600" spans="1:51" x14ac:dyDescent="0.25">
      <c r="A600" s="102" t="str">
        <f t="shared" si="108"/>
        <v>PQ MM Leaching</v>
      </c>
      <c r="B600" s="102" t="s">
        <v>969</v>
      </c>
      <c r="C600" s="102" t="s">
        <v>1334</v>
      </c>
      <c r="D600" t="s">
        <v>369</v>
      </c>
      <c r="E600" t="s">
        <v>64</v>
      </c>
      <c r="F600" t="s">
        <v>63</v>
      </c>
      <c r="G600" t="s">
        <v>1161</v>
      </c>
      <c r="H600" t="s">
        <v>1311</v>
      </c>
      <c r="I600" t="s">
        <v>139</v>
      </c>
      <c r="J600" t="s">
        <v>287</v>
      </c>
      <c r="K600" s="22">
        <f t="shared" si="127"/>
        <v>4.0580733454567468E-2</v>
      </c>
      <c r="L600" s="22">
        <f t="shared" si="130"/>
        <v>4.0311746583363478E-2</v>
      </c>
      <c r="M600" s="22">
        <f t="shared" ref="L600:AW606" si="131">M1551</f>
        <v>3.9744605790940746E-2</v>
      </c>
      <c r="N600" s="22">
        <f t="shared" si="131"/>
        <v>3.8788611390847182E-2</v>
      </c>
      <c r="O600" s="22">
        <f t="shared" si="131"/>
        <v>3.7861082435793565E-2</v>
      </c>
      <c r="P600" s="22">
        <f t="shared" si="131"/>
        <v>3.7147682485472483E-2</v>
      </c>
      <c r="Q600" s="22">
        <f t="shared" si="131"/>
        <v>3.6502406738108395E-2</v>
      </c>
      <c r="R600" s="22">
        <f t="shared" si="131"/>
        <v>3.5487867477892406E-2</v>
      </c>
      <c r="S600" s="22">
        <f t="shared" si="131"/>
        <v>3.1125010829260641E-2</v>
      </c>
      <c r="T600" s="22">
        <f t="shared" si="131"/>
        <v>3.142168208698979E-2</v>
      </c>
      <c r="U600" s="22">
        <f t="shared" si="131"/>
        <v>3.1622431452723296E-2</v>
      </c>
      <c r="V600" s="22">
        <f t="shared" si="131"/>
        <v>3.1816651303909434E-2</v>
      </c>
      <c r="W600" s="22">
        <f t="shared" si="131"/>
        <v>3.2137844222959386E-2</v>
      </c>
      <c r="X600" s="22">
        <f t="shared" si="131"/>
        <v>3.2448451411812178E-2</v>
      </c>
      <c r="Y600" s="22">
        <f t="shared" si="131"/>
        <v>3.2774542336637791E-2</v>
      </c>
      <c r="Z600" s="22">
        <f t="shared" si="131"/>
        <v>3.3058433327300053E-2</v>
      </c>
      <c r="AA600" s="22">
        <f t="shared" si="131"/>
        <v>3.3381539771041358E-2</v>
      </c>
      <c r="AB600" s="22">
        <f t="shared" si="131"/>
        <v>3.3634381510714434E-2</v>
      </c>
      <c r="AC600" s="22">
        <f t="shared" si="131"/>
        <v>3.3894160803021843E-2</v>
      </c>
      <c r="AD600" s="22">
        <f t="shared" si="131"/>
        <v>3.4015156495653814E-2</v>
      </c>
      <c r="AE600" s="22">
        <f t="shared" si="131"/>
        <v>3.4181066138741563E-2</v>
      </c>
      <c r="AF600" s="22">
        <f t="shared" si="131"/>
        <v>3.4346335475930106E-2</v>
      </c>
      <c r="AG600" s="22">
        <f t="shared" si="131"/>
        <v>3.3617918659748287E-2</v>
      </c>
      <c r="AH600" s="22">
        <f t="shared" si="131"/>
        <v>-7.9300020196454452E-3</v>
      </c>
      <c r="AI600" s="22">
        <f t="shared" si="131"/>
        <v>-7.7460535532195693E-3</v>
      </c>
      <c r="AJ600" s="22">
        <f t="shared" si="131"/>
        <v>-7.565030444680417E-3</v>
      </c>
      <c r="AK600" s="22">
        <f t="shared" si="131"/>
        <v>-7.3867794794456746E-3</v>
      </c>
      <c r="AL600" s="22">
        <f t="shared" si="131"/>
        <v>-7.211158035573738E-3</v>
      </c>
      <c r="AM600" s="22">
        <f t="shared" si="131"/>
        <v>-7.038033102205285E-3</v>
      </c>
      <c r="AN600" s="22">
        <f t="shared" si="131"/>
        <v>-6.8976679438577443E-3</v>
      </c>
      <c r="AO600" s="22">
        <f t="shared" si="131"/>
        <v>-6.7594228316927426E-3</v>
      </c>
      <c r="AP600" s="22">
        <f t="shared" si="131"/>
        <v>-6.6232016957272714E-3</v>
      </c>
      <c r="AQ600" s="22">
        <f t="shared" si="131"/>
        <v>-6.4889144410352007E-3</v>
      </c>
      <c r="AR600" s="22">
        <f t="shared" si="131"/>
        <v>-6.3564764523163604E-3</v>
      </c>
      <c r="AS600" s="22">
        <f t="shared" si="131"/>
        <v>-6.2215768830579691E-3</v>
      </c>
      <c r="AT600" s="22">
        <f t="shared" si="131"/>
        <v>-6.0885323549140658E-3</v>
      </c>
      <c r="AU600" s="22">
        <f t="shared" si="131"/>
        <v>-5.9572698934498708E-3</v>
      </c>
      <c r="AV600" s="22">
        <f t="shared" si="131"/>
        <v>-5.8277206241663026E-3</v>
      </c>
      <c r="AW600" s="22">
        <f t="shared" si="131"/>
        <v>-5.6998194661233492E-3</v>
      </c>
      <c r="AY600" s="85"/>
    </row>
    <row r="601" spans="1:51" x14ac:dyDescent="0.25">
      <c r="A601" s="102" t="str">
        <f t="shared" si="108"/>
        <v>PQ MM Leaching</v>
      </c>
      <c r="B601" s="102" t="s">
        <v>969</v>
      </c>
      <c r="C601" s="102" t="s">
        <v>1334</v>
      </c>
      <c r="D601" t="s">
        <v>369</v>
      </c>
      <c r="E601" t="s">
        <v>64</v>
      </c>
      <c r="F601" t="s">
        <v>63</v>
      </c>
      <c r="G601" t="s">
        <v>1163</v>
      </c>
      <c r="H601" t="s">
        <v>1312</v>
      </c>
      <c r="I601" t="s">
        <v>139</v>
      </c>
      <c r="J601" t="s">
        <v>287</v>
      </c>
      <c r="K601" s="22">
        <f t="shared" si="127"/>
        <v>4.2198184999711216E-2</v>
      </c>
      <c r="L601" s="22">
        <f t="shared" si="131"/>
        <v>4.3701080723593189E-2</v>
      </c>
      <c r="M601" s="22">
        <f t="shared" si="131"/>
        <v>4.4893970631746632E-2</v>
      </c>
      <c r="N601" s="22">
        <f t="shared" si="131"/>
        <v>4.5631666148342777E-2</v>
      </c>
      <c r="O601" s="22">
        <f t="shared" si="131"/>
        <v>4.6370901653410727E-2</v>
      </c>
      <c r="P601" s="22">
        <f t="shared" si="131"/>
        <v>4.7352594214128713E-2</v>
      </c>
      <c r="Q601" s="22">
        <f t="shared" si="131"/>
        <v>4.8416104778857959E-2</v>
      </c>
      <c r="R601" s="22">
        <f t="shared" si="131"/>
        <v>4.8969568240860781E-2</v>
      </c>
      <c r="S601" s="22">
        <f t="shared" si="131"/>
        <v>4.467643167473432E-2</v>
      </c>
      <c r="T601" s="22">
        <f t="shared" si="131"/>
        <v>4.6180091777624298E-2</v>
      </c>
      <c r="U601" s="22">
        <f t="shared" si="131"/>
        <v>4.7570527161609366E-2</v>
      </c>
      <c r="V601" s="22">
        <f t="shared" si="131"/>
        <v>4.8976478875928542E-2</v>
      </c>
      <c r="W601" s="22">
        <f t="shared" si="131"/>
        <v>5.0608575947889443E-2</v>
      </c>
      <c r="X601" s="22">
        <f t="shared" si="131"/>
        <v>5.2259990749301093E-2</v>
      </c>
      <c r="Y601" s="22">
        <f t="shared" si="131"/>
        <v>5.3973742651481194E-2</v>
      </c>
      <c r="Z601" s="22">
        <f t="shared" si="131"/>
        <v>5.5655662348968654E-2</v>
      </c>
      <c r="AA601" s="22">
        <f t="shared" si="131"/>
        <v>5.7442412303445836E-2</v>
      </c>
      <c r="AB601" s="22">
        <f t="shared" si="131"/>
        <v>5.9147142754678653E-2</v>
      </c>
      <c r="AC601" s="22">
        <f t="shared" si="131"/>
        <v>6.0901819824646548E-2</v>
      </c>
      <c r="AD601" s="22">
        <f t="shared" si="131"/>
        <v>6.3135419327645992E-2</v>
      </c>
      <c r="AE601" s="22">
        <f t="shared" si="131"/>
        <v>6.5540351764294846E-2</v>
      </c>
      <c r="AF601" s="22">
        <f t="shared" si="131"/>
        <v>6.8039701590190294E-2</v>
      </c>
      <c r="AG601" s="22">
        <f t="shared" si="131"/>
        <v>6.8810814245314753E-2</v>
      </c>
      <c r="AH601" s="22">
        <f t="shared" si="131"/>
        <v>-1.6773235166111743E-2</v>
      </c>
      <c r="AI601" s="22">
        <f t="shared" si="131"/>
        <v>-1.6933400933561566E-2</v>
      </c>
      <c r="AJ601" s="22">
        <f t="shared" si="131"/>
        <v>-1.7094868952670969E-2</v>
      </c>
      <c r="AK601" s="22">
        <f t="shared" si="131"/>
        <v>-1.7257651547387617E-2</v>
      </c>
      <c r="AL601" s="22">
        <f t="shared" si="131"/>
        <v>-1.7421761152310457E-2</v>
      </c>
      <c r="AM601" s="22">
        <f t="shared" si="131"/>
        <v>-1.7587210313649345E-2</v>
      </c>
      <c r="AN601" s="22">
        <f t="shared" si="131"/>
        <v>-1.7719984819695212E-2</v>
      </c>
      <c r="AO601" s="22">
        <f t="shared" si="131"/>
        <v>-1.7853675202067487E-2</v>
      </c>
      <c r="AP601" s="22">
        <f t="shared" si="131"/>
        <v>-1.7988288709386402E-2</v>
      </c>
      <c r="AQ601" s="22">
        <f t="shared" si="131"/>
        <v>-1.8123832644983004E-2</v>
      </c>
      <c r="AR601" s="22">
        <f t="shared" si="131"/>
        <v>-1.8260314367299166E-2</v>
      </c>
      <c r="AS601" s="22">
        <f t="shared" si="131"/>
        <v>-1.8385237574275969E-2</v>
      </c>
      <c r="AT601" s="22">
        <f t="shared" si="131"/>
        <v>-1.8510879729427106E-2</v>
      </c>
      <c r="AU601" s="22">
        <f t="shared" si="131"/>
        <v>-1.8637245588774352E-2</v>
      </c>
      <c r="AV601" s="22">
        <f t="shared" si="131"/>
        <v>-1.8764339938161633E-2</v>
      </c>
      <c r="AW601" s="22">
        <f t="shared" si="131"/>
        <v>-1.8892167593435472E-2</v>
      </c>
      <c r="AY601" s="85"/>
    </row>
    <row r="602" spans="1:51" x14ac:dyDescent="0.25">
      <c r="A602" s="102" t="str">
        <f t="shared" si="108"/>
        <v>PQ MM Leaching</v>
      </c>
      <c r="B602" s="102" t="s">
        <v>969</v>
      </c>
      <c r="C602" s="102" t="s">
        <v>1334</v>
      </c>
      <c r="D602" t="s">
        <v>369</v>
      </c>
      <c r="E602" t="s">
        <v>64</v>
      </c>
      <c r="F602" t="s">
        <v>63</v>
      </c>
      <c r="G602" t="s">
        <v>1165</v>
      </c>
      <c r="H602" t="s">
        <v>1313</v>
      </c>
      <c r="I602" t="s">
        <v>139</v>
      </c>
      <c r="J602" t="s">
        <v>287</v>
      </c>
      <c r="K602" s="22">
        <f t="shared" si="127"/>
        <v>4.3944700668161743E-3</v>
      </c>
      <c r="L602" s="22">
        <f t="shared" si="131"/>
        <v>4.3968698493422791E-3</v>
      </c>
      <c r="M602" s="22">
        <f t="shared" si="131"/>
        <v>4.4022434234010565E-3</v>
      </c>
      <c r="N602" s="22">
        <f t="shared" si="131"/>
        <v>4.4103317804749962E-3</v>
      </c>
      <c r="O602" s="22">
        <f t="shared" si="131"/>
        <v>4.4212431364047738E-3</v>
      </c>
      <c r="P602" s="22">
        <f t="shared" si="131"/>
        <v>4.4349890691963833E-3</v>
      </c>
      <c r="Q602" s="22">
        <f t="shared" si="131"/>
        <v>4.4503014810886657E-3</v>
      </c>
      <c r="R602" s="22">
        <f t="shared" si="131"/>
        <v>4.4668966507282254E-3</v>
      </c>
      <c r="S602" s="22">
        <f t="shared" si="131"/>
        <v>4.4824913305812559E-3</v>
      </c>
      <c r="T602" s="22">
        <f t="shared" si="131"/>
        <v>4.4890055303365281E-3</v>
      </c>
      <c r="U602" s="22">
        <f t="shared" si="131"/>
        <v>4.4965644629605924E-3</v>
      </c>
      <c r="V602" s="22">
        <f t="shared" si="131"/>
        <v>4.5051665785440084E-3</v>
      </c>
      <c r="W602" s="22">
        <f t="shared" si="131"/>
        <v>4.5148564456586847E-3</v>
      </c>
      <c r="X602" s="22">
        <f t="shared" si="131"/>
        <v>4.525478721327544E-3</v>
      </c>
      <c r="Y602" s="22">
        <f t="shared" si="131"/>
        <v>4.5320175420941466E-3</v>
      </c>
      <c r="Z602" s="22">
        <f t="shared" si="131"/>
        <v>4.5393215398995043E-3</v>
      </c>
      <c r="AA602" s="22">
        <f t="shared" si="131"/>
        <v>4.5474172205527642E-3</v>
      </c>
      <c r="AB602" s="22">
        <f t="shared" si="131"/>
        <v>4.5561801987217551E-3</v>
      </c>
      <c r="AC602" s="22">
        <f t="shared" si="131"/>
        <v>4.5656418072393947E-3</v>
      </c>
      <c r="AD602" s="22">
        <f t="shared" si="131"/>
        <v>4.5718705604296328E-3</v>
      </c>
      <c r="AE602" s="22">
        <f t="shared" si="131"/>
        <v>4.5787544823923942E-3</v>
      </c>
      <c r="AF602" s="22">
        <f t="shared" si="131"/>
        <v>4.586231662580295E-3</v>
      </c>
      <c r="AG602" s="22">
        <f t="shared" si="131"/>
        <v>4.5934555722856032E-3</v>
      </c>
      <c r="AH602" s="22">
        <f t="shared" si="131"/>
        <v>4.562571195274273E-3</v>
      </c>
      <c r="AI602" s="22">
        <f t="shared" si="131"/>
        <v>4.5669572651403133E-3</v>
      </c>
      <c r="AJ602" s="22">
        <f t="shared" si="131"/>
        <v>4.5717973149633755E-3</v>
      </c>
      <c r="AK602" s="22">
        <f t="shared" si="131"/>
        <v>4.5770741937615714E-3</v>
      </c>
      <c r="AL602" s="22">
        <f t="shared" si="131"/>
        <v>4.5827720762171521E-3</v>
      </c>
      <c r="AM602" s="22">
        <f t="shared" si="131"/>
        <v>4.5888763368810139E-3</v>
      </c>
      <c r="AN602" s="22">
        <f t="shared" si="131"/>
        <v>4.5918387401172314E-3</v>
      </c>
      <c r="AO602" s="22">
        <f t="shared" si="131"/>
        <v>4.5951591884317378E-3</v>
      </c>
      <c r="AP602" s="22">
        <f t="shared" si="131"/>
        <v>4.5988252210116161E-3</v>
      </c>
      <c r="AQ602" s="22">
        <f t="shared" si="131"/>
        <v>4.6028252299079387E-3</v>
      </c>
      <c r="AR602" s="22">
        <f t="shared" si="131"/>
        <v>4.6071483875808113E-3</v>
      </c>
      <c r="AS602" s="22">
        <f t="shared" si="131"/>
        <v>4.6082148579908756E-3</v>
      </c>
      <c r="AT602" s="22">
        <f t="shared" si="131"/>
        <v>4.609568122792394E-3</v>
      </c>
      <c r="AU602" s="22">
        <f t="shared" si="131"/>
        <v>4.6111986833604953E-3</v>
      </c>
      <c r="AV602" s="22">
        <f t="shared" si="131"/>
        <v>4.6130976210976499E-3</v>
      </c>
      <c r="AW602" s="22">
        <f t="shared" si="131"/>
        <v>4.6152565528286265E-3</v>
      </c>
      <c r="AY602" s="85"/>
    </row>
    <row r="603" spans="1:51" x14ac:dyDescent="0.25">
      <c r="A603" s="102" t="str">
        <f t="shared" si="108"/>
        <v>PQ MM Leaching</v>
      </c>
      <c r="B603" s="102" t="s">
        <v>969</v>
      </c>
      <c r="C603" s="102" t="s">
        <v>1334</v>
      </c>
      <c r="D603" t="s">
        <v>369</v>
      </c>
      <c r="E603" t="s">
        <v>64</v>
      </c>
      <c r="F603" t="s">
        <v>63</v>
      </c>
      <c r="G603" t="s">
        <v>1167</v>
      </c>
      <c r="H603" t="s">
        <v>1314</v>
      </c>
      <c r="I603" t="s">
        <v>139</v>
      </c>
      <c r="J603" t="s">
        <v>287</v>
      </c>
      <c r="K603" s="22">
        <f t="shared" si="127"/>
        <v>3.6554081926520139E-3</v>
      </c>
      <c r="L603" s="22">
        <f t="shared" si="131"/>
        <v>3.6574043798084017E-3</v>
      </c>
      <c r="M603" s="22">
        <f t="shared" si="131"/>
        <v>3.6618742263063008E-3</v>
      </c>
      <c r="N603" s="22">
        <f t="shared" si="131"/>
        <v>3.6686022836746814E-3</v>
      </c>
      <c r="O603" s="22">
        <f t="shared" si="131"/>
        <v>3.6776785680166413E-3</v>
      </c>
      <c r="P603" s="22">
        <f t="shared" si="131"/>
        <v>3.6891127101493907E-3</v>
      </c>
      <c r="Q603" s="22">
        <f t="shared" si="131"/>
        <v>3.7018498809639078E-3</v>
      </c>
      <c r="R603" s="22">
        <f t="shared" si="131"/>
        <v>3.7156540753574409E-3</v>
      </c>
      <c r="S603" s="22">
        <f t="shared" si="131"/>
        <v>3.7286260423135963E-3</v>
      </c>
      <c r="T603" s="22">
        <f t="shared" si="131"/>
        <v>3.7340446841047422E-3</v>
      </c>
      <c r="U603" s="22">
        <f t="shared" si="131"/>
        <v>3.7403323556149792E-3</v>
      </c>
      <c r="V603" s="22">
        <f t="shared" si="131"/>
        <v>3.7474877675985991E-3</v>
      </c>
      <c r="W603" s="22">
        <f t="shared" si="131"/>
        <v>3.7555479930861213E-3</v>
      </c>
      <c r="X603" s="22">
        <f t="shared" si="131"/>
        <v>3.7643838146787538E-3</v>
      </c>
      <c r="Y603" s="22">
        <f t="shared" si="131"/>
        <v>3.769822936720115E-3</v>
      </c>
      <c r="Z603" s="22">
        <f t="shared" si="131"/>
        <v>3.7758985483435582E-3</v>
      </c>
      <c r="AA603" s="22">
        <f t="shared" si="131"/>
        <v>3.7826326976118578E-3</v>
      </c>
      <c r="AB603" s="22">
        <f t="shared" si="131"/>
        <v>3.7899219183151331E-3</v>
      </c>
      <c r="AC603" s="22">
        <f t="shared" si="131"/>
        <v>3.7977922737311865E-3</v>
      </c>
      <c r="AD603" s="22">
        <f t="shared" si="131"/>
        <v>3.8029734753540017E-3</v>
      </c>
      <c r="AE603" s="22">
        <f t="shared" si="131"/>
        <v>3.8086996594803367E-3</v>
      </c>
      <c r="AF603" s="22">
        <f t="shared" si="131"/>
        <v>3.8149193276772325E-3</v>
      </c>
      <c r="AG603" s="22">
        <f t="shared" si="131"/>
        <v>3.8209283204154385E-3</v>
      </c>
      <c r="AH603" s="22">
        <f t="shared" si="131"/>
        <v>3.7952380772153156E-3</v>
      </c>
      <c r="AI603" s="22">
        <f t="shared" si="131"/>
        <v>3.7988864979527624E-3</v>
      </c>
      <c r="AJ603" s="22">
        <f t="shared" si="131"/>
        <v>3.8029125483085634E-3</v>
      </c>
      <c r="AK603" s="22">
        <f t="shared" si="131"/>
        <v>3.8073019617525694E-3</v>
      </c>
      <c r="AL603" s="22">
        <f t="shared" si="131"/>
        <v>3.8120415744685989E-3</v>
      </c>
      <c r="AM603" s="22">
        <f t="shared" si="131"/>
        <v>3.8171192207152455E-3</v>
      </c>
      <c r="AN603" s="22">
        <f t="shared" si="131"/>
        <v>3.8195834070437343E-3</v>
      </c>
      <c r="AO603" s="22">
        <f t="shared" si="131"/>
        <v>3.8223454224375316E-3</v>
      </c>
      <c r="AP603" s="22">
        <f t="shared" si="131"/>
        <v>3.8253949017429448E-3</v>
      </c>
      <c r="AQ603" s="22">
        <f t="shared" si="131"/>
        <v>3.8287221892356308E-3</v>
      </c>
      <c r="AR603" s="22">
        <f t="shared" si="131"/>
        <v>3.8323182783511038E-3</v>
      </c>
      <c r="AS603" s="22">
        <f t="shared" si="131"/>
        <v>3.833205389792278E-3</v>
      </c>
      <c r="AT603" s="22">
        <f t="shared" si="131"/>
        <v>3.8343310625507851E-3</v>
      </c>
      <c r="AU603" s="22">
        <f t="shared" si="131"/>
        <v>3.8356873954802709E-3</v>
      </c>
      <c r="AV603" s="22">
        <f t="shared" si="131"/>
        <v>3.8372669699127259E-3</v>
      </c>
      <c r="AW603" s="22">
        <f t="shared" si="131"/>
        <v>3.8390628125551359E-3</v>
      </c>
      <c r="AY603" s="85"/>
    </row>
    <row r="604" spans="1:51" x14ac:dyDescent="0.25">
      <c r="A604" s="102" t="str">
        <f t="shared" si="108"/>
        <v>PQ MM Leaching</v>
      </c>
      <c r="B604" s="102" t="s">
        <v>969</v>
      </c>
      <c r="C604" s="102" t="s">
        <v>1334</v>
      </c>
      <c r="D604" t="s">
        <v>369</v>
      </c>
      <c r="E604" t="s">
        <v>64</v>
      </c>
      <c r="F604" t="s">
        <v>63</v>
      </c>
      <c r="G604" t="s">
        <v>1169</v>
      </c>
      <c r="H604" t="s">
        <v>1315</v>
      </c>
      <c r="I604" t="s">
        <v>139</v>
      </c>
      <c r="J604" t="s">
        <v>287</v>
      </c>
      <c r="K604" s="22">
        <f t="shared" si="127"/>
        <v>5.4321183723638063E-4</v>
      </c>
      <c r="L604" s="22">
        <f t="shared" si="131"/>
        <v>5.4462866238069155E-4</v>
      </c>
      <c r="M604" s="22">
        <f t="shared" si="131"/>
        <v>5.4651670738969612E-4</v>
      </c>
      <c r="N604" s="22">
        <f t="shared" si="131"/>
        <v>5.4883399731316639E-4</v>
      </c>
      <c r="O604" s="22">
        <f t="shared" si="131"/>
        <v>5.5160837836810213E-4</v>
      </c>
      <c r="P604" s="22">
        <f t="shared" si="131"/>
        <v>5.5484723352096008E-4</v>
      </c>
      <c r="Q604" s="22">
        <f t="shared" si="131"/>
        <v>5.5831016678068942E-4</v>
      </c>
      <c r="R604" s="22">
        <f t="shared" si="131"/>
        <v>5.61947661040627E-4</v>
      </c>
      <c r="S604" s="22">
        <f t="shared" si="131"/>
        <v>5.6532673344002258E-4</v>
      </c>
      <c r="T604" s="22">
        <f t="shared" si="131"/>
        <v>5.6691026971513229E-4</v>
      </c>
      <c r="U604" s="22">
        <f t="shared" si="131"/>
        <v>5.6864670501845574E-4</v>
      </c>
      <c r="V604" s="22">
        <f t="shared" si="131"/>
        <v>5.7053824293023939E-4</v>
      </c>
      <c r="W604" s="22">
        <f t="shared" si="131"/>
        <v>5.7259543924260763E-4</v>
      </c>
      <c r="X604" s="22">
        <f t="shared" si="131"/>
        <v>5.7479059617442649E-4</v>
      </c>
      <c r="Y604" s="22">
        <f t="shared" si="131"/>
        <v>5.7617814395304924E-4</v>
      </c>
      <c r="Z604" s="22">
        <f t="shared" si="131"/>
        <v>5.7767940009102313E-4</v>
      </c>
      <c r="AA604" s="22">
        <f t="shared" si="131"/>
        <v>5.7930057538230326E-4</v>
      </c>
      <c r="AB604" s="22">
        <f t="shared" si="131"/>
        <v>5.8101935108040965E-4</v>
      </c>
      <c r="AC604" s="22">
        <f t="shared" si="131"/>
        <v>5.8284260247755859E-4</v>
      </c>
      <c r="AD604" s="22">
        <f t="shared" si="131"/>
        <v>5.8403671107952763E-4</v>
      </c>
      <c r="AE604" s="22">
        <f t="shared" si="131"/>
        <v>5.8533173041619576E-4</v>
      </c>
      <c r="AF604" s="22">
        <f t="shared" si="131"/>
        <v>5.8671671252614034E-4</v>
      </c>
      <c r="AG604" s="22">
        <f t="shared" si="131"/>
        <v>5.8803501308500182E-4</v>
      </c>
      <c r="AH604" s="22">
        <f t="shared" si="131"/>
        <v>5.8227212874330822E-4</v>
      </c>
      <c r="AI604" s="22">
        <f t="shared" si="131"/>
        <v>5.8304320424414362E-4</v>
      </c>
      <c r="AJ604" s="22">
        <f t="shared" si="131"/>
        <v>5.8388341826515493E-4</v>
      </c>
      <c r="AK604" s="22">
        <f t="shared" si="131"/>
        <v>5.847899630335218E-4</v>
      </c>
      <c r="AL604" s="22">
        <f t="shared" si="131"/>
        <v>5.8576024856299858E-4</v>
      </c>
      <c r="AM604" s="22">
        <f t="shared" si="131"/>
        <v>5.8679188180125747E-4</v>
      </c>
      <c r="AN604" s="22">
        <f t="shared" si="131"/>
        <v>5.8723470872871001E-4</v>
      </c>
      <c r="AO604" s="22">
        <f t="shared" si="131"/>
        <v>5.8773280177020523E-4</v>
      </c>
      <c r="AP604" s="22">
        <f t="shared" si="131"/>
        <v>5.8828407739591119E-4</v>
      </c>
      <c r="AQ604" s="22">
        <f t="shared" si="131"/>
        <v>5.8888659501104234E-4</v>
      </c>
      <c r="AR604" s="22">
        <f t="shared" si="131"/>
        <v>5.895385447102022E-4</v>
      </c>
      <c r="AS604" s="22">
        <f t="shared" si="131"/>
        <v>5.8958940978755205E-4</v>
      </c>
      <c r="AT604" s="22">
        <f t="shared" si="131"/>
        <v>5.8968551081379366E-4</v>
      </c>
      <c r="AU604" s="22">
        <f t="shared" si="131"/>
        <v>5.8982522322727085E-4</v>
      </c>
      <c r="AV604" s="22">
        <f t="shared" si="131"/>
        <v>5.9000702190384238E-4</v>
      </c>
      <c r="AW604" s="22">
        <f t="shared" si="131"/>
        <v>5.9022947345323132E-4</v>
      </c>
      <c r="AY604" s="85"/>
    </row>
    <row r="605" spans="1:51" x14ac:dyDescent="0.25">
      <c r="A605" s="102" t="str">
        <f t="shared" si="108"/>
        <v>PQ MM Leaching</v>
      </c>
      <c r="B605" s="102" t="s">
        <v>969</v>
      </c>
      <c r="C605" s="102" t="s">
        <v>1334</v>
      </c>
      <c r="D605" t="s">
        <v>369</v>
      </c>
      <c r="E605" t="s">
        <v>64</v>
      </c>
      <c r="F605" t="s">
        <v>63</v>
      </c>
      <c r="G605" t="s">
        <v>1171</v>
      </c>
      <c r="H605" t="s">
        <v>1316</v>
      </c>
      <c r="I605" t="s">
        <v>139</v>
      </c>
      <c r="J605" t="s">
        <v>287</v>
      </c>
      <c r="K605" s="22">
        <f t="shared" si="127"/>
        <v>6.6990339537854613E-3</v>
      </c>
      <c r="L605" s="22">
        <f t="shared" si="131"/>
        <v>6.7165066211643688E-3</v>
      </c>
      <c r="M605" s="22">
        <f t="shared" si="131"/>
        <v>6.7397904981983149E-3</v>
      </c>
      <c r="N605" s="22">
        <f t="shared" si="131"/>
        <v>6.7683679385521006E-3</v>
      </c>
      <c r="O605" s="22">
        <f t="shared" si="131"/>
        <v>6.8025823492363574E-3</v>
      </c>
      <c r="P605" s="22">
        <f t="shared" si="131"/>
        <v>6.8425247789720067E-3</v>
      </c>
      <c r="Q605" s="22">
        <f t="shared" si="131"/>
        <v>6.8852305999729637E-3</v>
      </c>
      <c r="R605" s="22">
        <f t="shared" si="131"/>
        <v>6.9300891540096266E-3</v>
      </c>
      <c r="S605" s="22">
        <f t="shared" si="131"/>
        <v>6.9717607804068256E-3</v>
      </c>
      <c r="T605" s="22">
        <f t="shared" si="131"/>
        <v>6.9912893741281628E-3</v>
      </c>
      <c r="U605" s="22">
        <f t="shared" si="131"/>
        <v>7.0127035596413059E-3</v>
      </c>
      <c r="V605" s="22">
        <f t="shared" si="131"/>
        <v>7.0360305120884007E-3</v>
      </c>
      <c r="W605" s="22">
        <f t="shared" si="131"/>
        <v>7.0614004083267975E-3</v>
      </c>
      <c r="X605" s="22">
        <f t="shared" si="131"/>
        <v>7.0884716718967464E-3</v>
      </c>
      <c r="Y605" s="22">
        <f t="shared" si="131"/>
        <v>7.1055832829558596E-3</v>
      </c>
      <c r="Z605" s="22">
        <f t="shared" si="131"/>
        <v>7.1240971759755339E-3</v>
      </c>
      <c r="AA605" s="22">
        <f t="shared" si="131"/>
        <v>7.1440899441312785E-3</v>
      </c>
      <c r="AB605" s="22">
        <f t="shared" si="131"/>
        <v>7.1652863466602334E-3</v>
      </c>
      <c r="AC605" s="22">
        <f t="shared" si="131"/>
        <v>7.1877711715085417E-3</v>
      </c>
      <c r="AD605" s="22">
        <f t="shared" si="131"/>
        <v>7.2024972388008085E-3</v>
      </c>
      <c r="AE605" s="22">
        <f t="shared" si="131"/>
        <v>7.2184677643167576E-3</v>
      </c>
      <c r="AF605" s="22">
        <f t="shared" si="131"/>
        <v>7.2355477348621461E-3</v>
      </c>
      <c r="AG605" s="22">
        <f t="shared" si="131"/>
        <v>7.251805370649388E-3</v>
      </c>
      <c r="AH605" s="22">
        <f t="shared" si="131"/>
        <v>7.1807359365347809E-3</v>
      </c>
      <c r="AI605" s="22">
        <f t="shared" si="131"/>
        <v>7.190245046253943E-3</v>
      </c>
      <c r="AJ605" s="22">
        <f t="shared" si="131"/>
        <v>7.2006067907325584E-3</v>
      </c>
      <c r="AK605" s="22">
        <f t="shared" si="131"/>
        <v>7.2117865437637393E-3</v>
      </c>
      <c r="AL605" s="22">
        <f t="shared" si="131"/>
        <v>7.2237523649430046E-3</v>
      </c>
      <c r="AM605" s="22">
        <f t="shared" si="131"/>
        <v>7.2364747425077329E-3</v>
      </c>
      <c r="AN605" s="22">
        <f t="shared" si="131"/>
        <v>7.2419358028516061E-3</v>
      </c>
      <c r="AO605" s="22">
        <f t="shared" si="131"/>
        <v>7.2480784197247895E-3</v>
      </c>
      <c r="AP605" s="22">
        <f t="shared" si="131"/>
        <v>7.2548768984790225E-3</v>
      </c>
      <c r="AQ605" s="22">
        <f t="shared" si="131"/>
        <v>7.2623073071793384E-3</v>
      </c>
      <c r="AR605" s="22">
        <f t="shared" si="131"/>
        <v>7.2703473255873539E-3</v>
      </c>
      <c r="AS605" s="22">
        <f t="shared" si="131"/>
        <v>7.2709746073527197E-3</v>
      </c>
      <c r="AT605" s="22">
        <f t="shared" si="131"/>
        <v>7.272159750962735E-3</v>
      </c>
      <c r="AU605" s="22">
        <f t="shared" si="131"/>
        <v>7.2738827218876909E-3</v>
      </c>
      <c r="AV605" s="22">
        <f t="shared" si="131"/>
        <v>7.2761247118879498E-3</v>
      </c>
      <c r="AW605" s="22">
        <f t="shared" si="131"/>
        <v>7.2788680440104758E-3</v>
      </c>
      <c r="AY605" s="85"/>
    </row>
    <row r="606" spans="1:51" x14ac:dyDescent="0.25">
      <c r="A606" s="102" t="str">
        <f t="shared" si="108"/>
        <v>PQ MM Leaching</v>
      </c>
      <c r="B606" s="102" t="s">
        <v>969</v>
      </c>
      <c r="C606" s="102" t="s">
        <v>1334</v>
      </c>
      <c r="D606" t="s">
        <v>369</v>
      </c>
      <c r="E606" t="s">
        <v>64</v>
      </c>
      <c r="F606" t="s">
        <v>63</v>
      </c>
      <c r="G606" t="s">
        <v>1173</v>
      </c>
      <c r="H606" t="s">
        <v>1317</v>
      </c>
      <c r="I606" t="s">
        <v>139</v>
      </c>
      <c r="J606" t="s">
        <v>287</v>
      </c>
      <c r="K606" s="22">
        <f t="shared" si="127"/>
        <v>0</v>
      </c>
      <c r="L606" s="22">
        <f t="shared" si="131"/>
        <v>0</v>
      </c>
      <c r="M606" s="22">
        <f t="shared" si="131"/>
        <v>0</v>
      </c>
      <c r="N606" s="22">
        <f t="shared" si="131"/>
        <v>0</v>
      </c>
      <c r="O606" s="22">
        <f t="shared" si="131"/>
        <v>0</v>
      </c>
      <c r="P606" s="22">
        <f t="shared" si="131"/>
        <v>0</v>
      </c>
      <c r="Q606" s="22">
        <f t="shared" si="131"/>
        <v>0</v>
      </c>
      <c r="R606" s="22">
        <f t="shared" si="131"/>
        <v>0</v>
      </c>
      <c r="S606" s="22">
        <f t="shared" si="131"/>
        <v>0</v>
      </c>
      <c r="T606" s="22">
        <f t="shared" si="131"/>
        <v>0</v>
      </c>
      <c r="U606" s="22">
        <f t="shared" si="131"/>
        <v>0</v>
      </c>
      <c r="V606" s="22">
        <f t="shared" si="131"/>
        <v>0</v>
      </c>
      <c r="W606" s="22">
        <f t="shared" si="131"/>
        <v>0</v>
      </c>
      <c r="X606" s="22">
        <f t="shared" si="131"/>
        <v>0</v>
      </c>
      <c r="Y606" s="22">
        <f t="shared" si="131"/>
        <v>0</v>
      </c>
      <c r="Z606" s="22">
        <f t="shared" si="131"/>
        <v>0</v>
      </c>
      <c r="AA606" s="22">
        <f t="shared" si="131"/>
        <v>0</v>
      </c>
      <c r="AB606" s="22">
        <f t="shared" si="131"/>
        <v>0</v>
      </c>
      <c r="AC606" s="22">
        <f t="shared" si="131"/>
        <v>0</v>
      </c>
      <c r="AD606" s="22">
        <f t="shared" si="131"/>
        <v>0</v>
      </c>
      <c r="AE606" s="22">
        <f t="shared" si="131"/>
        <v>0</v>
      </c>
      <c r="AF606" s="22">
        <f t="shared" si="131"/>
        <v>0</v>
      </c>
      <c r="AG606" s="22">
        <f t="shared" si="131"/>
        <v>0</v>
      </c>
      <c r="AH606" s="22">
        <f t="shared" si="131"/>
        <v>0</v>
      </c>
      <c r="AI606" s="22">
        <f t="shared" si="131"/>
        <v>0</v>
      </c>
      <c r="AJ606" s="22">
        <f t="shared" si="131"/>
        <v>0</v>
      </c>
      <c r="AK606" s="22">
        <f t="shared" si="131"/>
        <v>0</v>
      </c>
      <c r="AL606" s="22">
        <f t="shared" si="131"/>
        <v>0</v>
      </c>
      <c r="AM606" s="22">
        <f t="shared" si="131"/>
        <v>0</v>
      </c>
      <c r="AN606" s="22">
        <f t="shared" ref="L606:AW611" si="132">AN1557</f>
        <v>0</v>
      </c>
      <c r="AO606" s="22">
        <f t="shared" si="132"/>
        <v>0</v>
      </c>
      <c r="AP606" s="22">
        <f t="shared" si="132"/>
        <v>0</v>
      </c>
      <c r="AQ606" s="22">
        <f t="shared" si="132"/>
        <v>0</v>
      </c>
      <c r="AR606" s="22">
        <f t="shared" si="132"/>
        <v>0</v>
      </c>
      <c r="AS606" s="22">
        <f t="shared" si="132"/>
        <v>0</v>
      </c>
      <c r="AT606" s="22">
        <f t="shared" si="132"/>
        <v>0</v>
      </c>
      <c r="AU606" s="22">
        <f t="shared" si="132"/>
        <v>0</v>
      </c>
      <c r="AV606" s="22">
        <f t="shared" si="132"/>
        <v>0</v>
      </c>
      <c r="AW606" s="22">
        <f t="shared" si="132"/>
        <v>0</v>
      </c>
      <c r="AY606" s="85"/>
    </row>
    <row r="607" spans="1:51" x14ac:dyDescent="0.25">
      <c r="A607" s="102" t="str">
        <f t="shared" si="108"/>
        <v>PQ MM Leaching</v>
      </c>
      <c r="B607" s="102" t="s">
        <v>969</v>
      </c>
      <c r="C607" s="102" t="s">
        <v>1334</v>
      </c>
      <c r="D607" t="s">
        <v>369</v>
      </c>
      <c r="E607" t="s">
        <v>64</v>
      </c>
      <c r="F607" t="s">
        <v>63</v>
      </c>
      <c r="G607" t="s">
        <v>1175</v>
      </c>
      <c r="H607" t="s">
        <v>1318</v>
      </c>
      <c r="I607" t="s">
        <v>139</v>
      </c>
      <c r="J607" t="s">
        <v>287</v>
      </c>
      <c r="K607" s="22">
        <f t="shared" si="127"/>
        <v>0</v>
      </c>
      <c r="L607" s="22">
        <f t="shared" si="132"/>
        <v>0</v>
      </c>
      <c r="M607" s="22">
        <f t="shared" si="132"/>
        <v>0</v>
      </c>
      <c r="N607" s="22">
        <f t="shared" si="132"/>
        <v>0</v>
      </c>
      <c r="O607" s="22">
        <f t="shared" si="132"/>
        <v>0</v>
      </c>
      <c r="P607" s="22">
        <f t="shared" si="132"/>
        <v>0</v>
      </c>
      <c r="Q607" s="22">
        <f t="shared" si="132"/>
        <v>0</v>
      </c>
      <c r="R607" s="22">
        <f t="shared" si="132"/>
        <v>0</v>
      </c>
      <c r="S607" s="22">
        <f t="shared" si="132"/>
        <v>0</v>
      </c>
      <c r="T607" s="22">
        <f t="shared" si="132"/>
        <v>0</v>
      </c>
      <c r="U607" s="22">
        <f t="shared" si="132"/>
        <v>0</v>
      </c>
      <c r="V607" s="22">
        <f t="shared" si="132"/>
        <v>0</v>
      </c>
      <c r="W607" s="22">
        <f t="shared" si="132"/>
        <v>0</v>
      </c>
      <c r="X607" s="22">
        <f t="shared" si="132"/>
        <v>0</v>
      </c>
      <c r="Y607" s="22">
        <f t="shared" si="132"/>
        <v>0</v>
      </c>
      <c r="Z607" s="22">
        <f t="shared" si="132"/>
        <v>0</v>
      </c>
      <c r="AA607" s="22">
        <f t="shared" si="132"/>
        <v>0</v>
      </c>
      <c r="AB607" s="22">
        <f t="shared" si="132"/>
        <v>0</v>
      </c>
      <c r="AC607" s="22">
        <f t="shared" si="132"/>
        <v>0</v>
      </c>
      <c r="AD607" s="22">
        <f t="shared" si="132"/>
        <v>0</v>
      </c>
      <c r="AE607" s="22">
        <f t="shared" si="132"/>
        <v>0</v>
      </c>
      <c r="AF607" s="22">
        <f t="shared" si="132"/>
        <v>0</v>
      </c>
      <c r="AG607" s="22">
        <f t="shared" si="132"/>
        <v>0</v>
      </c>
      <c r="AH607" s="22">
        <f t="shared" si="132"/>
        <v>0</v>
      </c>
      <c r="AI607" s="22">
        <f t="shared" si="132"/>
        <v>0</v>
      </c>
      <c r="AJ607" s="22">
        <f t="shared" si="132"/>
        <v>0</v>
      </c>
      <c r="AK607" s="22">
        <f t="shared" si="132"/>
        <v>0</v>
      </c>
      <c r="AL607" s="22">
        <f t="shared" si="132"/>
        <v>0</v>
      </c>
      <c r="AM607" s="22">
        <f t="shared" si="132"/>
        <v>0</v>
      </c>
      <c r="AN607" s="22">
        <f t="shared" si="132"/>
        <v>0</v>
      </c>
      <c r="AO607" s="22">
        <f t="shared" si="132"/>
        <v>0</v>
      </c>
      <c r="AP607" s="22">
        <f t="shared" si="132"/>
        <v>0</v>
      </c>
      <c r="AQ607" s="22">
        <f t="shared" si="132"/>
        <v>0</v>
      </c>
      <c r="AR607" s="22">
        <f t="shared" si="132"/>
        <v>0</v>
      </c>
      <c r="AS607" s="22">
        <f t="shared" si="132"/>
        <v>0</v>
      </c>
      <c r="AT607" s="22">
        <f t="shared" si="132"/>
        <v>0</v>
      </c>
      <c r="AU607" s="22">
        <f t="shared" si="132"/>
        <v>0</v>
      </c>
      <c r="AV607" s="22">
        <f t="shared" si="132"/>
        <v>0</v>
      </c>
      <c r="AW607" s="22">
        <f t="shared" si="132"/>
        <v>0</v>
      </c>
      <c r="AY607" s="85"/>
    </row>
    <row r="608" spans="1:51" x14ac:dyDescent="0.25">
      <c r="A608" s="102" t="str">
        <f t="shared" si="108"/>
        <v>PQ MM Leaching</v>
      </c>
      <c r="B608" s="102" t="s">
        <v>969</v>
      </c>
      <c r="C608" s="102" t="s">
        <v>1334</v>
      </c>
      <c r="D608" t="s">
        <v>369</v>
      </c>
      <c r="E608" t="s">
        <v>64</v>
      </c>
      <c r="F608" t="s">
        <v>63</v>
      </c>
      <c r="G608" t="s">
        <v>1177</v>
      </c>
      <c r="H608" t="s">
        <v>1319</v>
      </c>
      <c r="I608" t="s">
        <v>139</v>
      </c>
      <c r="J608" t="s">
        <v>287</v>
      </c>
      <c r="K608" s="22">
        <f t="shared" si="127"/>
        <v>2.7080534096129025E-2</v>
      </c>
      <c r="L608" s="22">
        <f t="shared" si="132"/>
        <v>2.6995058080291692E-2</v>
      </c>
      <c r="M608" s="22">
        <f t="shared" si="132"/>
        <v>2.6712389539955236E-2</v>
      </c>
      <c r="N608" s="22">
        <f t="shared" si="132"/>
        <v>2.6163552006630762E-2</v>
      </c>
      <c r="O608" s="22">
        <f t="shared" si="132"/>
        <v>2.5638728055519384E-2</v>
      </c>
      <c r="P608" s="22">
        <f t="shared" si="132"/>
        <v>2.5270557311936091E-2</v>
      </c>
      <c r="Q608" s="22">
        <f t="shared" si="132"/>
        <v>2.4958747401341939E-2</v>
      </c>
      <c r="R608" s="22">
        <f t="shared" si="132"/>
        <v>2.4384582351632111E-2</v>
      </c>
      <c r="S608" s="22">
        <f t="shared" si="132"/>
        <v>2.1346855337625082E-2</v>
      </c>
      <c r="T608" s="22">
        <f t="shared" si="132"/>
        <v>2.1482505917310397E-2</v>
      </c>
      <c r="U608" s="22">
        <f t="shared" si="132"/>
        <v>2.1550596950866634E-2</v>
      </c>
      <c r="V608" s="22">
        <f t="shared" si="132"/>
        <v>2.1616794763907179E-2</v>
      </c>
      <c r="W608" s="22">
        <f t="shared" si="132"/>
        <v>2.1778489708019384E-2</v>
      </c>
      <c r="X608" s="22">
        <f t="shared" si="132"/>
        <v>2.1934748739134539E-2</v>
      </c>
      <c r="Y608" s="22">
        <f t="shared" si="132"/>
        <v>2.2114017881126848E-2</v>
      </c>
      <c r="Z608" s="22">
        <f t="shared" si="132"/>
        <v>2.2264487150526265E-2</v>
      </c>
      <c r="AA608" s="22">
        <f t="shared" si="132"/>
        <v>2.2445316206361306E-2</v>
      </c>
      <c r="AB608" s="22">
        <f t="shared" si="132"/>
        <v>2.2576949368517302E-2</v>
      </c>
      <c r="AC608" s="22">
        <f t="shared" si="132"/>
        <v>2.271541592892265E-2</v>
      </c>
      <c r="AD608" s="22">
        <f t="shared" si="132"/>
        <v>2.2970809719090692E-2</v>
      </c>
      <c r="AE608" s="22">
        <f t="shared" si="132"/>
        <v>2.3269151361655305E-2</v>
      </c>
      <c r="AF608" s="22">
        <f t="shared" si="132"/>
        <v>2.3577881186145462E-2</v>
      </c>
      <c r="AG608" s="22">
        <f t="shared" si="132"/>
        <v>2.3230896400696678E-2</v>
      </c>
      <c r="AH608" s="22">
        <f t="shared" si="132"/>
        <v>-7.8382777121831278E-3</v>
      </c>
      <c r="AI608" s="22">
        <f t="shared" si="132"/>
        <v>-7.7525396142955495E-3</v>
      </c>
      <c r="AJ608" s="22">
        <f t="shared" si="132"/>
        <v>-7.6686379044997068E-3</v>
      </c>
      <c r="AK608" s="22">
        <f t="shared" si="132"/>
        <v>-7.586452448594779E-3</v>
      </c>
      <c r="AL608" s="22">
        <f t="shared" si="132"/>
        <v>-7.5058719086197852E-3</v>
      </c>
      <c r="AM608" s="22">
        <f t="shared" si="132"/>
        <v>-7.4267928922061455E-3</v>
      </c>
      <c r="AN608" s="22">
        <f t="shared" si="132"/>
        <v>-7.3400589670898171E-3</v>
      </c>
      <c r="AO608" s="22">
        <f t="shared" si="132"/>
        <v>-7.2548542835376628E-3</v>
      </c>
      <c r="AP608" s="22">
        <f t="shared" si="132"/>
        <v>-7.1710895268481756E-3</v>
      </c>
      <c r="AQ608" s="22">
        <f t="shared" si="132"/>
        <v>-7.0886812161586998E-3</v>
      </c>
      <c r="AR608" s="22">
        <f t="shared" si="132"/>
        <v>-7.0075512003870211E-3</v>
      </c>
      <c r="AS608" s="22">
        <f t="shared" si="132"/>
        <v>-6.9191376458643079E-3</v>
      </c>
      <c r="AT608" s="22">
        <f t="shared" si="132"/>
        <v>-6.8320744878094938E-3</v>
      </c>
      <c r="AU608" s="22">
        <f t="shared" si="132"/>
        <v>-6.7462922163727323E-3</v>
      </c>
      <c r="AV608" s="22">
        <f t="shared" si="132"/>
        <v>-6.6617254285893414E-3</v>
      </c>
      <c r="AW608" s="22">
        <f t="shared" si="132"/>
        <v>-6.5783125081778221E-3</v>
      </c>
      <c r="AY608" s="85"/>
    </row>
    <row r="609" spans="1:52" x14ac:dyDescent="0.25">
      <c r="A609" s="102" t="str">
        <f t="shared" si="108"/>
        <v>PQ MM Leaching</v>
      </c>
      <c r="B609" s="102" t="s">
        <v>969</v>
      </c>
      <c r="C609" s="102" t="s">
        <v>1334</v>
      </c>
      <c r="D609" t="s">
        <v>369</v>
      </c>
      <c r="E609" t="s">
        <v>64</v>
      </c>
      <c r="F609" t="s">
        <v>63</v>
      </c>
      <c r="G609" t="s">
        <v>1179</v>
      </c>
      <c r="H609" t="s">
        <v>1320</v>
      </c>
      <c r="I609" t="s">
        <v>139</v>
      </c>
      <c r="J609" t="s">
        <v>287</v>
      </c>
      <c r="K609" s="22">
        <f t="shared" si="127"/>
        <v>4.0473192123070822E-3</v>
      </c>
      <c r="L609" s="22">
        <f t="shared" si="132"/>
        <v>4.0345444007076556E-3</v>
      </c>
      <c r="M609" s="22">
        <f t="shared" si="132"/>
        <v>3.9922981950029426E-3</v>
      </c>
      <c r="N609" s="22">
        <f t="shared" si="132"/>
        <v>3.9102717222172061E-3</v>
      </c>
      <c r="O609" s="22">
        <f t="shared" si="132"/>
        <v>3.8318341975778526E-3</v>
      </c>
      <c r="P609" s="22">
        <f t="shared" si="132"/>
        <v>3.7768092664363703E-3</v>
      </c>
      <c r="Q609" s="22">
        <f t="shared" si="132"/>
        <v>3.7302077394038642E-3</v>
      </c>
      <c r="R609" s="22">
        <f t="shared" si="132"/>
        <v>3.6443959445376013E-3</v>
      </c>
      <c r="S609" s="22">
        <f t="shared" si="132"/>
        <v>3.1903926792440892E-3</v>
      </c>
      <c r="T609" s="22">
        <f t="shared" si="132"/>
        <v>3.2106663265573984E-3</v>
      </c>
      <c r="U609" s="22">
        <f t="shared" si="132"/>
        <v>3.2208428669210313E-3</v>
      </c>
      <c r="V609" s="22">
        <f t="shared" si="132"/>
        <v>3.2307364561530842E-3</v>
      </c>
      <c r="W609" s="22">
        <f t="shared" si="132"/>
        <v>3.254902562017731E-3</v>
      </c>
      <c r="X609" s="22">
        <f t="shared" si="132"/>
        <v>3.2782562439090815E-3</v>
      </c>
      <c r="Y609" s="22">
        <f t="shared" si="132"/>
        <v>3.3050489002128215E-3</v>
      </c>
      <c r="Z609" s="22">
        <f t="shared" si="132"/>
        <v>3.3275372736969E-3</v>
      </c>
      <c r="AA609" s="22">
        <f t="shared" si="132"/>
        <v>3.3545630668081641E-3</v>
      </c>
      <c r="AB609" s="22">
        <f t="shared" si="132"/>
        <v>3.374236291282967E-3</v>
      </c>
      <c r="AC609" s="22">
        <f t="shared" si="132"/>
        <v>3.3949308007856708E-3</v>
      </c>
      <c r="AD609" s="22">
        <f t="shared" si="132"/>
        <v>3.4331006607294153E-3</v>
      </c>
      <c r="AE609" s="22">
        <f t="shared" si="132"/>
        <v>3.4776892887637355E-3</v>
      </c>
      <c r="AF609" s="22">
        <f t="shared" si="132"/>
        <v>3.5238304817562988E-3</v>
      </c>
      <c r="AG609" s="22">
        <f t="shared" si="132"/>
        <v>3.4719718964145189E-3</v>
      </c>
      <c r="AH609" s="22">
        <f t="shared" si="132"/>
        <v>-1.1714692133953115E-3</v>
      </c>
      <c r="AI609" s="22">
        <f t="shared" si="132"/>
        <v>-1.1586552323425276E-3</v>
      </c>
      <c r="AJ609" s="22">
        <f t="shared" si="132"/>
        <v>-1.1461157085356224E-3</v>
      </c>
      <c r="AK609" s="22">
        <f t="shared" si="132"/>
        <v>-1.133832687326532E-3</v>
      </c>
      <c r="AL609" s="22">
        <f t="shared" si="132"/>
        <v>-1.1217895287085682E-3</v>
      </c>
      <c r="AM609" s="22">
        <f t="shared" si="132"/>
        <v>-1.109970780182961E-3</v>
      </c>
      <c r="AN609" s="22">
        <f t="shared" si="132"/>
        <v>-1.0970079678456562E-3</v>
      </c>
      <c r="AO609" s="22">
        <f t="shared" si="132"/>
        <v>-1.0842737081927609E-3</v>
      </c>
      <c r="AP609" s="22">
        <f t="shared" si="132"/>
        <v>-1.0717546527021955E-3</v>
      </c>
      <c r="AQ609" s="22">
        <f t="shared" si="132"/>
        <v>-1.0594383247478308E-3</v>
      </c>
      <c r="AR609" s="22">
        <f t="shared" si="132"/>
        <v>-1.0473130442654776E-3</v>
      </c>
      <c r="AS609" s="22">
        <f t="shared" si="132"/>
        <v>-1.0340992030399717E-3</v>
      </c>
      <c r="AT609" s="22">
        <f t="shared" si="132"/>
        <v>-1.0210871852182944E-3</v>
      </c>
      <c r="AU609" s="22">
        <f t="shared" si="132"/>
        <v>-1.0082666022109977E-3</v>
      </c>
      <c r="AV609" s="22">
        <f t="shared" si="132"/>
        <v>-9.9562767922285289E-4</v>
      </c>
      <c r="AW609" s="22">
        <f t="shared" si="132"/>
        <v>-9.8316120739708342E-4</v>
      </c>
      <c r="AY609" s="85"/>
    </row>
    <row r="610" spans="1:52" x14ac:dyDescent="0.25">
      <c r="A610" s="102" t="str">
        <f t="shared" si="108"/>
        <v>PQ MM Leaching</v>
      </c>
      <c r="B610" s="102" t="s">
        <v>969</v>
      </c>
      <c r="C610" s="102" t="s">
        <v>1334</v>
      </c>
      <c r="D610" t="s">
        <v>369</v>
      </c>
      <c r="E610" t="s">
        <v>64</v>
      </c>
      <c r="F610" t="s">
        <v>63</v>
      </c>
      <c r="G610" t="s">
        <v>1181</v>
      </c>
      <c r="H610" t="s">
        <v>1321</v>
      </c>
      <c r="I610" t="s">
        <v>139</v>
      </c>
      <c r="J610" t="s">
        <v>287</v>
      </c>
      <c r="K610" s="22">
        <f t="shared" si="127"/>
        <v>1.6818104652936192E-2</v>
      </c>
      <c r="L610" s="22">
        <f t="shared" si="132"/>
        <v>1.718231236008292E-2</v>
      </c>
      <c r="M610" s="22">
        <f t="shared" si="132"/>
        <v>1.7475775480268494E-2</v>
      </c>
      <c r="N610" s="22">
        <f t="shared" si="132"/>
        <v>1.7667520029914504E-2</v>
      </c>
      <c r="O610" s="22">
        <f t="shared" si="132"/>
        <v>1.7861867169015104E-2</v>
      </c>
      <c r="P610" s="22">
        <f t="shared" si="132"/>
        <v>1.8112417299921187E-2</v>
      </c>
      <c r="Q610" s="22">
        <f t="shared" si="132"/>
        <v>1.8380356458960346E-2</v>
      </c>
      <c r="R610" s="22">
        <f t="shared" si="132"/>
        <v>1.8536177397088752E-2</v>
      </c>
      <c r="S610" s="22">
        <f t="shared" si="132"/>
        <v>1.76397656538211E-2</v>
      </c>
      <c r="T610" s="22">
        <f t="shared" si="132"/>
        <v>1.801846759992717E-2</v>
      </c>
      <c r="U610" s="22">
        <f t="shared" si="132"/>
        <v>1.8371985881481728E-2</v>
      </c>
      <c r="V610" s="22">
        <f t="shared" si="132"/>
        <v>1.8728295000039214E-2</v>
      </c>
      <c r="W610" s="22">
        <f t="shared" si="132"/>
        <v>1.9132681284008777E-2</v>
      </c>
      <c r="X610" s="22">
        <f t="shared" si="132"/>
        <v>1.9540426695963047E-2</v>
      </c>
      <c r="Y610" s="22">
        <f t="shared" si="132"/>
        <v>1.9948690293653936E-2</v>
      </c>
      <c r="Z610" s="22">
        <f t="shared" si="132"/>
        <v>2.0349079299491275E-2</v>
      </c>
      <c r="AA610" s="22">
        <f t="shared" si="132"/>
        <v>2.0770745700628056E-2</v>
      </c>
      <c r="AB610" s="22">
        <f t="shared" si="132"/>
        <v>2.1173883464125715E-2</v>
      </c>
      <c r="AC610" s="22">
        <f t="shared" si="132"/>
        <v>2.1586582056186982E-2</v>
      </c>
      <c r="AD610" s="22">
        <f t="shared" si="132"/>
        <v>2.2054503180091424E-2</v>
      </c>
      <c r="AE610" s="22">
        <f t="shared" si="132"/>
        <v>2.2554673664968956E-2</v>
      </c>
      <c r="AF610" s="22">
        <f t="shared" si="132"/>
        <v>2.3070579743094625E-2</v>
      </c>
      <c r="AG610" s="22">
        <f t="shared" si="132"/>
        <v>2.3224138845155579E-2</v>
      </c>
      <c r="AH610" s="22">
        <f t="shared" si="132"/>
        <v>5.566614295378065E-3</v>
      </c>
      <c r="AI610" s="22">
        <f t="shared" si="132"/>
        <v>5.6093984340287433E-3</v>
      </c>
      <c r="AJ610" s="22">
        <f t="shared" si="132"/>
        <v>5.652494073803362E-3</v>
      </c>
      <c r="AK610" s="22">
        <f t="shared" si="132"/>
        <v>5.6959035866970768E-3</v>
      </c>
      <c r="AL610" s="22">
        <f t="shared" si="132"/>
        <v>5.7396293554766858E-3</v>
      </c>
      <c r="AM610" s="22">
        <f t="shared" si="132"/>
        <v>5.7836737743814492E-3</v>
      </c>
      <c r="AN610" s="22">
        <f t="shared" si="132"/>
        <v>5.821325048469962E-3</v>
      </c>
      <c r="AO610" s="22">
        <f t="shared" si="132"/>
        <v>5.8592087350485328E-3</v>
      </c>
      <c r="AP610" s="22">
        <f t="shared" si="132"/>
        <v>5.8973263448292906E-3</v>
      </c>
      <c r="AQ610" s="22">
        <f t="shared" si="132"/>
        <v>5.9356793935795814E-3</v>
      </c>
      <c r="AR610" s="22">
        <f t="shared" si="132"/>
        <v>5.9742694025184985E-3</v>
      </c>
      <c r="AS610" s="22">
        <f t="shared" si="132"/>
        <v>6.0061978888300534E-3</v>
      </c>
      <c r="AT610" s="22">
        <f t="shared" si="132"/>
        <v>6.0382881266520675E-3</v>
      </c>
      <c r="AU610" s="22">
        <f t="shared" si="132"/>
        <v>6.0705409933047069E-3</v>
      </c>
      <c r="AV610" s="22">
        <f t="shared" si="132"/>
        <v>6.1029573675840942E-3</v>
      </c>
      <c r="AW610" s="22">
        <f t="shared" si="132"/>
        <v>6.1355381299989719E-3</v>
      </c>
      <c r="AY610" s="85"/>
    </row>
    <row r="611" spans="1:52" x14ac:dyDescent="0.25">
      <c r="A611" s="102" t="str">
        <f t="shared" si="108"/>
        <v>PQ MM Leaching</v>
      </c>
      <c r="B611" s="102" t="s">
        <v>969</v>
      </c>
      <c r="C611" s="102" t="s">
        <v>1334</v>
      </c>
      <c r="D611" t="s">
        <v>369</v>
      </c>
      <c r="E611" t="s">
        <v>64</v>
      </c>
      <c r="F611" t="s">
        <v>63</v>
      </c>
      <c r="G611" t="s">
        <v>1183</v>
      </c>
      <c r="H611" t="s">
        <v>1322</v>
      </c>
      <c r="I611" t="s">
        <v>139</v>
      </c>
      <c r="J611" t="s">
        <v>287</v>
      </c>
      <c r="K611" s="22">
        <f t="shared" si="127"/>
        <v>7.8494818970751015E-2</v>
      </c>
      <c r="L611" s="22">
        <f t="shared" si="132"/>
        <v>7.9768604189276573E-2</v>
      </c>
      <c r="M611" s="22">
        <f t="shared" si="132"/>
        <v>8.0146817618550151E-2</v>
      </c>
      <c r="N611" s="22">
        <f t="shared" si="132"/>
        <v>7.92990227060308E-2</v>
      </c>
      <c r="O611" s="22">
        <f t="shared" si="132"/>
        <v>7.8453048138272599E-2</v>
      </c>
      <c r="P611" s="22">
        <f t="shared" si="132"/>
        <v>7.8207580187434067E-2</v>
      </c>
      <c r="Q611" s="22">
        <f t="shared" si="132"/>
        <v>7.8156445174191957E-2</v>
      </c>
      <c r="R611" s="22">
        <f t="shared" si="132"/>
        <v>7.6852772864248492E-2</v>
      </c>
      <c r="S611" s="22">
        <f t="shared" si="132"/>
        <v>6.4037092776490251E-2</v>
      </c>
      <c r="T611" s="22">
        <f t="shared" si="132"/>
        <v>6.592602729202128E-2</v>
      </c>
      <c r="U611" s="22">
        <f t="shared" si="132"/>
        <v>6.7504922847287652E-2</v>
      </c>
      <c r="V611" s="22">
        <f t="shared" si="132"/>
        <v>6.9079987400904638E-2</v>
      </c>
      <c r="W611" s="22">
        <f t="shared" si="132"/>
        <v>7.1129196138688011E-2</v>
      </c>
      <c r="X611" s="22">
        <f t="shared" si="132"/>
        <v>7.3172253795344297E-2</v>
      </c>
      <c r="Y611" s="22">
        <f t="shared" si="132"/>
        <v>7.5415394971077201E-2</v>
      </c>
      <c r="Z611" s="22">
        <f t="shared" si="132"/>
        <v>7.7538763261802646E-2</v>
      </c>
      <c r="AA611" s="22">
        <f t="shared" si="132"/>
        <v>7.984321522583579E-2</v>
      </c>
      <c r="AB611" s="22">
        <f t="shared" si="132"/>
        <v>8.1921087927437922E-2</v>
      </c>
      <c r="AC611" s="22">
        <f t="shared" si="132"/>
        <v>8.4060316833005314E-2</v>
      </c>
      <c r="AD611" s="22">
        <f t="shared" si="132"/>
        <v>8.6903196778093231E-2</v>
      </c>
      <c r="AE611" s="22">
        <f t="shared" si="132"/>
        <v>9.0024318002173712E-2</v>
      </c>
      <c r="AF611" s="22">
        <f t="shared" si="132"/>
        <v>9.3255519309180357E-2</v>
      </c>
      <c r="AG611" s="22">
        <f t="shared" si="132"/>
        <v>9.2895703603725718E-2</v>
      </c>
      <c r="AH611" s="22">
        <f t="shared" si="132"/>
        <v>-8.0563954207335059E-2</v>
      </c>
      <c r="AI611" s="22">
        <f t="shared" si="132"/>
        <v>-8.0679385855871269E-2</v>
      </c>
      <c r="AJ611" s="22">
        <f t="shared" si="132"/>
        <v>-8.0804585525595149E-2</v>
      </c>
      <c r="AK611" s="22">
        <f t="shared" si="132"/>
        <v>-8.0939145577368532E-2</v>
      </c>
      <c r="AL611" s="22">
        <f t="shared" si="132"/>
        <v>-8.1082690034370505E-2</v>
      </c>
      <c r="AM611" s="22">
        <f t="shared" si="132"/>
        <v>-8.1234871540648887E-2</v>
      </c>
      <c r="AN611" s="22">
        <f t="shared" si="132"/>
        <v>-8.1297506735230202E-2</v>
      </c>
      <c r="AO611" s="22">
        <f t="shared" si="132"/>
        <v>-8.1367991924777852E-2</v>
      </c>
      <c r="AP611" s="22">
        <f t="shared" si="132"/>
        <v>-8.144602229798413E-2</v>
      </c>
      <c r="AQ611" s="22">
        <f t="shared" si="132"/>
        <v>-8.1531313973181002E-2</v>
      </c>
      <c r="AR611" s="22">
        <f t="shared" si="132"/>
        <v>-8.1623602199923873E-2</v>
      </c>
      <c r="AS611" s="22">
        <f t="shared" si="132"/>
        <v>-8.1624903700920404E-2</v>
      </c>
      <c r="AT611" s="22">
        <f t="shared" si="132"/>
        <v>-8.1632684613039755E-2</v>
      </c>
      <c r="AU611" s="22">
        <f t="shared" si="132"/>
        <v>-8.1646705375421999E-2</v>
      </c>
      <c r="AV611" s="22">
        <f t="shared" si="132"/>
        <v>-8.1666741103231646E-2</v>
      </c>
      <c r="AW611" s="22">
        <f t="shared" si="132"/>
        <v>-8.1692580447798743E-2</v>
      </c>
      <c r="AY611" s="85"/>
    </row>
    <row r="614" spans="1:52" x14ac:dyDescent="0.25">
      <c r="A614" s="102" t="str">
        <f t="shared" ref="A614:A677" si="133">B614&amp;" "&amp;C614</f>
        <v>NI Cattle</v>
      </c>
      <c r="B614" s="102" t="s">
        <v>970</v>
      </c>
      <c r="C614" s="102" t="s">
        <v>1109</v>
      </c>
      <c r="D614" t="s">
        <v>15</v>
      </c>
      <c r="E614" t="s">
        <v>16</v>
      </c>
      <c r="F614" t="s">
        <v>6</v>
      </c>
      <c r="G614" t="s">
        <v>136</v>
      </c>
      <c r="H614" t="s">
        <v>1021</v>
      </c>
      <c r="I614" t="s">
        <v>121</v>
      </c>
      <c r="J614" t="s">
        <v>286</v>
      </c>
      <c r="K614" s="28">
        <f>K1379</f>
        <v>72.376996171709351</v>
      </c>
      <c r="L614" s="28">
        <f t="shared" ref="L614:AW621" si="134">L1379</f>
        <v>72.827193296605245</v>
      </c>
      <c r="M614" s="28">
        <f t="shared" si="134"/>
        <v>73.136710021656683</v>
      </c>
      <c r="N614" s="28">
        <f t="shared" si="134"/>
        <v>73.233779022849987</v>
      </c>
      <c r="O614" s="28">
        <f t="shared" si="134"/>
        <v>73.365098896994937</v>
      </c>
      <c r="P614" s="28">
        <f t="shared" si="134"/>
        <v>73.652739312599607</v>
      </c>
      <c r="Q614" s="28">
        <f t="shared" si="134"/>
        <v>73.997590994756678</v>
      </c>
      <c r="R614" s="28">
        <f t="shared" si="134"/>
        <v>74.101188037293639</v>
      </c>
      <c r="S614" s="28">
        <f t="shared" si="134"/>
        <v>71.826298208807202</v>
      </c>
      <c r="T614" s="28">
        <f t="shared" si="134"/>
        <v>72.417907231153862</v>
      </c>
      <c r="U614" s="28">
        <f t="shared" si="134"/>
        <v>72.960395903467088</v>
      </c>
      <c r="V614" s="28">
        <f t="shared" si="134"/>
        <v>73.516627561358078</v>
      </c>
      <c r="W614" s="28">
        <f t="shared" si="134"/>
        <v>74.186684258863224</v>
      </c>
      <c r="X614" s="28">
        <f t="shared" si="134"/>
        <v>74.869314167562791</v>
      </c>
      <c r="Y614" s="28">
        <f t="shared" si="134"/>
        <v>75.534003476484159</v>
      </c>
      <c r="Z614" s="28">
        <f t="shared" si="134"/>
        <v>76.185395165959491</v>
      </c>
      <c r="AA614" s="28">
        <f t="shared" si="134"/>
        <v>76.887015456471644</v>
      </c>
      <c r="AB614" s="28">
        <f t="shared" si="134"/>
        <v>77.551436080037234</v>
      </c>
      <c r="AC614" s="28">
        <f t="shared" si="134"/>
        <v>78.239689008310734</v>
      </c>
      <c r="AD614" s="28">
        <f t="shared" si="134"/>
        <v>79.030428819406467</v>
      </c>
      <c r="AE614" s="28">
        <f t="shared" si="134"/>
        <v>79.891627595721104</v>
      </c>
      <c r="AF614" s="28">
        <f t="shared" si="134"/>
        <v>80.787009350430679</v>
      </c>
      <c r="AG614" s="28">
        <f t="shared" si="134"/>
        <v>80.912080498201277</v>
      </c>
      <c r="AH614" s="28">
        <f t="shared" si="134"/>
        <v>43.319538481890476</v>
      </c>
      <c r="AI614" s="28">
        <f t="shared" si="134"/>
        <v>43.351399738006613</v>
      </c>
      <c r="AJ614" s="28">
        <f t="shared" si="134"/>
        <v>43.387446354851633</v>
      </c>
      <c r="AK614" s="28">
        <f t="shared" si="134"/>
        <v>43.427519248376711</v>
      </c>
      <c r="AL614" s="28">
        <f t="shared" si="134"/>
        <v>43.471471586559346</v>
      </c>
      <c r="AM614" s="28">
        <f t="shared" si="134"/>
        <v>43.519167628118126</v>
      </c>
      <c r="AN614" s="28">
        <f t="shared" si="134"/>
        <v>43.539702199078199</v>
      </c>
      <c r="AO614" s="28">
        <f t="shared" si="134"/>
        <v>43.56353361698914</v>
      </c>
      <c r="AP614" s="28">
        <f t="shared" si="134"/>
        <v>43.590546733122295</v>
      </c>
      <c r="AQ614" s="28">
        <f t="shared" si="134"/>
        <v>43.620634256127552</v>
      </c>
      <c r="AR614" s="28">
        <f t="shared" si="134"/>
        <v>43.653696085271918</v>
      </c>
      <c r="AS614" s="28">
        <f t="shared" si="134"/>
        <v>43.658527557301703</v>
      </c>
      <c r="AT614" s="28">
        <f t="shared" si="134"/>
        <v>43.665995825413447</v>
      </c>
      <c r="AU614" s="28">
        <f t="shared" si="134"/>
        <v>43.676013492535439</v>
      </c>
      <c r="AV614" s="28">
        <f t="shared" si="134"/>
        <v>43.688498485748141</v>
      </c>
      <c r="AW614" s="28">
        <f t="shared" si="134"/>
        <v>43.703373647289609</v>
      </c>
      <c r="AY614" s="85"/>
      <c r="AZ614" s="85"/>
    </row>
    <row r="615" spans="1:52" x14ac:dyDescent="0.25">
      <c r="A615" s="102" t="str">
        <f t="shared" si="133"/>
        <v>NI Cattle</v>
      </c>
      <c r="B615" s="102" t="s">
        <v>970</v>
      </c>
      <c r="C615" s="102" t="s">
        <v>1109</v>
      </c>
      <c r="D615" t="s">
        <v>15</v>
      </c>
      <c r="E615" t="s">
        <v>16</v>
      </c>
      <c r="F615" t="s">
        <v>6</v>
      </c>
      <c r="G615" t="s">
        <v>137</v>
      </c>
      <c r="H615" t="s">
        <v>1021</v>
      </c>
      <c r="I615" t="s">
        <v>121</v>
      </c>
      <c r="J615" t="s">
        <v>286</v>
      </c>
      <c r="K615" s="28">
        <f t="shared" ref="K615:Z663" si="135">K1380</f>
        <v>57.888319714675518</v>
      </c>
      <c r="L615" s="28">
        <f t="shared" si="135"/>
        <v>58.248394828027457</v>
      </c>
      <c r="M615" s="28">
        <f t="shared" si="135"/>
        <v>58.495951428667674</v>
      </c>
      <c r="N615" s="28">
        <f t="shared" si="135"/>
        <v>58.573588822766354</v>
      </c>
      <c r="O615" s="28">
        <f t="shared" si="135"/>
        <v>58.678620632063321</v>
      </c>
      <c r="P615" s="28">
        <f t="shared" si="135"/>
        <v>58.908680198253116</v>
      </c>
      <c r="Q615" s="28">
        <f t="shared" si="135"/>
        <v>59.184498282544595</v>
      </c>
      <c r="R615" s="28">
        <f t="shared" si="135"/>
        <v>59.267356912179451</v>
      </c>
      <c r="S615" s="28">
        <f t="shared" si="135"/>
        <v>57.447862367329009</v>
      </c>
      <c r="T615" s="28">
        <f t="shared" si="135"/>
        <v>57.921041057287908</v>
      </c>
      <c r="U615" s="28">
        <f t="shared" si="135"/>
        <v>58.354932478119395</v>
      </c>
      <c r="V615" s="28">
        <f t="shared" si="135"/>
        <v>58.799815766326432</v>
      </c>
      <c r="W615" s="28">
        <f t="shared" si="135"/>
        <v>59.33573820555165</v>
      </c>
      <c r="X615" s="28">
        <f t="shared" si="135"/>
        <v>59.881716907235422</v>
      </c>
      <c r="Y615" s="28">
        <f t="shared" si="135"/>
        <v>60.413346420216044</v>
      </c>
      <c r="Z615" s="28">
        <f t="shared" si="135"/>
        <v>60.934340277026173</v>
      </c>
      <c r="AA615" s="28">
        <f t="shared" si="134"/>
        <v>61.495507800462953</v>
      </c>
      <c r="AB615" s="28">
        <f t="shared" si="134"/>
        <v>62.026922414448045</v>
      </c>
      <c r="AC615" s="28">
        <f t="shared" si="134"/>
        <v>62.577398500274199</v>
      </c>
      <c r="AD615" s="28">
        <f t="shared" si="134"/>
        <v>63.209845291617057</v>
      </c>
      <c r="AE615" s="28">
        <f t="shared" si="134"/>
        <v>63.898646329766187</v>
      </c>
      <c r="AF615" s="28">
        <f t="shared" si="134"/>
        <v>64.614787479923166</v>
      </c>
      <c r="AG615" s="28">
        <f t="shared" si="134"/>
        <v>64.714821454420374</v>
      </c>
      <c r="AH615" s="28">
        <f t="shared" si="134"/>
        <v>34.647684018034326</v>
      </c>
      <c r="AI615" s="28">
        <f t="shared" si="134"/>
        <v>34.67316717812826</v>
      </c>
      <c r="AJ615" s="28">
        <f t="shared" si="134"/>
        <v>34.701997859020388</v>
      </c>
      <c r="AK615" s="28">
        <f t="shared" si="134"/>
        <v>34.734048822654856</v>
      </c>
      <c r="AL615" s="28">
        <f t="shared" si="134"/>
        <v>34.769202630349326</v>
      </c>
      <c r="AM615" s="28">
        <f t="shared" si="134"/>
        <v>34.80735071397978</v>
      </c>
      <c r="AN615" s="28">
        <f t="shared" si="134"/>
        <v>34.823774603776485</v>
      </c>
      <c r="AO615" s="28">
        <f t="shared" si="134"/>
        <v>34.842835366342669</v>
      </c>
      <c r="AP615" s="28">
        <f t="shared" si="134"/>
        <v>34.86444090381891</v>
      </c>
      <c r="AQ615" s="28">
        <f t="shared" si="134"/>
        <v>34.888505402807219</v>
      </c>
      <c r="AR615" s="28">
        <f t="shared" si="134"/>
        <v>34.914948801084201</v>
      </c>
      <c r="AS615" s="28">
        <f t="shared" si="134"/>
        <v>34.918813092397009</v>
      </c>
      <c r="AT615" s="28">
        <f t="shared" si="134"/>
        <v>34.92478633686742</v>
      </c>
      <c r="AU615" s="28">
        <f t="shared" si="134"/>
        <v>34.932798632870664</v>
      </c>
      <c r="AV615" s="28">
        <f t="shared" si="134"/>
        <v>34.942784337126994</v>
      </c>
      <c r="AW615" s="28">
        <f t="shared" si="134"/>
        <v>34.954681737581105</v>
      </c>
      <c r="AY615" s="85"/>
      <c r="AZ615" s="85"/>
    </row>
    <row r="616" spans="1:52" x14ac:dyDescent="0.25">
      <c r="A616" s="102" t="str">
        <f t="shared" si="133"/>
        <v>NI Cattle</v>
      </c>
      <c r="B616" s="102" t="s">
        <v>970</v>
      </c>
      <c r="C616" s="102" t="s">
        <v>1109</v>
      </c>
      <c r="D616" t="s">
        <v>15</v>
      </c>
      <c r="E616" t="s">
        <v>16</v>
      </c>
      <c r="F616" t="s">
        <v>67</v>
      </c>
      <c r="G616" t="s">
        <v>307</v>
      </c>
      <c r="H616" t="s">
        <v>1021</v>
      </c>
      <c r="I616" t="s">
        <v>121</v>
      </c>
      <c r="J616" t="s">
        <v>286</v>
      </c>
      <c r="K616" s="28">
        <f t="shared" si="135"/>
        <v>26.173540124634229</v>
      </c>
      <c r="L616" s="28">
        <f t="shared" si="134"/>
        <v>26.336343959218663</v>
      </c>
      <c r="M616" s="28">
        <f t="shared" si="134"/>
        <v>26.448273838197906</v>
      </c>
      <c r="N616" s="28">
        <f t="shared" si="134"/>
        <v>26.483376695900965</v>
      </c>
      <c r="O616" s="28">
        <f t="shared" si="134"/>
        <v>26.530865624385104</v>
      </c>
      <c r="P616" s="28">
        <f t="shared" si="134"/>
        <v>26.634884419824388</v>
      </c>
      <c r="Q616" s="28">
        <f t="shared" si="134"/>
        <v>26.759592404645588</v>
      </c>
      <c r="R616" s="28">
        <f t="shared" si="134"/>
        <v>26.797055984139856</v>
      </c>
      <c r="S616" s="28">
        <f t="shared" si="134"/>
        <v>25.97439238445476</v>
      </c>
      <c r="T616" s="28">
        <f t="shared" si="134"/>
        <v>26.188334704577446</v>
      </c>
      <c r="U616" s="28">
        <f t="shared" si="134"/>
        <v>26.384513736355224</v>
      </c>
      <c r="V616" s="28">
        <f t="shared" si="134"/>
        <v>26.585662614955584</v>
      </c>
      <c r="W616" s="28">
        <f t="shared" si="134"/>
        <v>26.827973802011808</v>
      </c>
      <c r="X616" s="28">
        <f t="shared" si="134"/>
        <v>27.074831812853205</v>
      </c>
      <c r="Y616" s="28">
        <f t="shared" si="134"/>
        <v>27.315202002522234</v>
      </c>
      <c r="Z616" s="28">
        <f t="shared" si="134"/>
        <v>27.550763402181431</v>
      </c>
      <c r="AA616" s="28">
        <f t="shared" si="134"/>
        <v>27.804488864653102</v>
      </c>
      <c r="AB616" s="28">
        <f t="shared" si="134"/>
        <v>28.044761890204914</v>
      </c>
      <c r="AC616" s="28">
        <f t="shared" si="134"/>
        <v>28.293653341728078</v>
      </c>
      <c r="AD616" s="28">
        <f t="shared" si="134"/>
        <v>28.579606908034688</v>
      </c>
      <c r="AE616" s="28">
        <f t="shared" si="134"/>
        <v>28.891040400987077</v>
      </c>
      <c r="AF616" s="28">
        <f t="shared" si="134"/>
        <v>29.214835412155512</v>
      </c>
      <c r="AG616" s="28">
        <f t="shared" si="134"/>
        <v>29.260064626930344</v>
      </c>
      <c r="AH616" s="28">
        <f t="shared" si="134"/>
        <v>15.665553126113098</v>
      </c>
      <c r="AI616" s="28">
        <f t="shared" si="134"/>
        <v>15.677075044809452</v>
      </c>
      <c r="AJ616" s="28">
        <f t="shared" si="134"/>
        <v>15.690110506658574</v>
      </c>
      <c r="AK616" s="28">
        <f t="shared" si="134"/>
        <v>15.704601982432184</v>
      </c>
      <c r="AL616" s="28">
        <f t="shared" si="134"/>
        <v>15.720496373576371</v>
      </c>
      <c r="AM616" s="28">
        <f t="shared" si="134"/>
        <v>15.737744592258499</v>
      </c>
      <c r="AN616" s="28">
        <f t="shared" si="134"/>
        <v>15.745170465745849</v>
      </c>
      <c r="AO616" s="28">
        <f t="shared" si="134"/>
        <v>15.753788571026694</v>
      </c>
      <c r="AP616" s="28">
        <f t="shared" si="134"/>
        <v>15.7635572671097</v>
      </c>
      <c r="AQ616" s="28">
        <f t="shared" si="134"/>
        <v>15.774437754450743</v>
      </c>
      <c r="AR616" s="28">
        <f t="shared" si="134"/>
        <v>15.786393833833351</v>
      </c>
      <c r="AS616" s="28">
        <f t="shared" si="134"/>
        <v>15.788141028850022</v>
      </c>
      <c r="AT616" s="28">
        <f t="shared" si="134"/>
        <v>15.790841762859769</v>
      </c>
      <c r="AU616" s="28">
        <f t="shared" si="134"/>
        <v>15.794464430644307</v>
      </c>
      <c r="AV616" s="28">
        <f t="shared" si="134"/>
        <v>15.798979352347233</v>
      </c>
      <c r="AW616" s="28">
        <f t="shared" si="134"/>
        <v>15.804358625570211</v>
      </c>
      <c r="AY616" s="85"/>
      <c r="AZ616" s="85"/>
    </row>
    <row r="617" spans="1:52" x14ac:dyDescent="0.25">
      <c r="A617" s="102" t="str">
        <f t="shared" si="133"/>
        <v>NI Cattle</v>
      </c>
      <c r="B617" s="102" t="s">
        <v>970</v>
      </c>
      <c r="C617" s="102" t="s">
        <v>1109</v>
      </c>
      <c r="D617" t="s">
        <v>15</v>
      </c>
      <c r="E617" t="s">
        <v>16</v>
      </c>
      <c r="F617" t="s">
        <v>67</v>
      </c>
      <c r="G617" t="s">
        <v>122</v>
      </c>
      <c r="H617" t="s">
        <v>1021</v>
      </c>
      <c r="I617" t="s">
        <v>121</v>
      </c>
      <c r="J617" t="s">
        <v>286</v>
      </c>
      <c r="K617" s="28">
        <f t="shared" si="135"/>
        <v>467.31662309373525</v>
      </c>
      <c r="L617" s="28">
        <f t="shared" si="134"/>
        <v>464.21904388294246</v>
      </c>
      <c r="M617" s="28">
        <f t="shared" si="134"/>
        <v>457.68800569383677</v>
      </c>
      <c r="N617" s="28">
        <f t="shared" si="134"/>
        <v>446.67903575374419</v>
      </c>
      <c r="O617" s="28">
        <f t="shared" si="134"/>
        <v>435.99786609024881</v>
      </c>
      <c r="P617" s="28">
        <f t="shared" si="134"/>
        <v>427.78254745702264</v>
      </c>
      <c r="Q617" s="28">
        <f t="shared" si="134"/>
        <v>420.35172850546115</v>
      </c>
      <c r="R617" s="28">
        <f t="shared" si="134"/>
        <v>408.66857197476548</v>
      </c>
      <c r="S617" s="28">
        <f t="shared" si="134"/>
        <v>358.42710853834808</v>
      </c>
      <c r="T617" s="28">
        <f t="shared" si="134"/>
        <v>361.84349356958882</v>
      </c>
      <c r="U617" s="28">
        <f t="shared" si="134"/>
        <v>364.15526833797293</v>
      </c>
      <c r="V617" s="28">
        <f t="shared" si="134"/>
        <v>366.39185100338204</v>
      </c>
      <c r="W617" s="28">
        <f t="shared" si="134"/>
        <v>370.09062077697638</v>
      </c>
      <c r="X617" s="28">
        <f t="shared" si="134"/>
        <v>373.66748817800135</v>
      </c>
      <c r="Y617" s="28">
        <f t="shared" si="134"/>
        <v>377.42266204595586</v>
      </c>
      <c r="Z617" s="28">
        <f t="shared" si="134"/>
        <v>380.69187301848672</v>
      </c>
      <c r="AA617" s="28">
        <f t="shared" si="134"/>
        <v>384.41267841886389</v>
      </c>
      <c r="AB617" s="28">
        <f t="shared" si="134"/>
        <v>387.32433471244582</v>
      </c>
      <c r="AC617" s="28">
        <f t="shared" si="134"/>
        <v>390.31588196396831</v>
      </c>
      <c r="AD617" s="28">
        <f t="shared" si="134"/>
        <v>391.70923525446432</v>
      </c>
      <c r="AE617" s="28">
        <f t="shared" si="134"/>
        <v>393.61980530942054</v>
      </c>
      <c r="AF617" s="28">
        <f t="shared" si="134"/>
        <v>395.52300177683651</v>
      </c>
      <c r="AG617" s="28">
        <f t="shared" si="134"/>
        <v>387.13475302515064</v>
      </c>
      <c r="AH617" s="28">
        <f t="shared" si="134"/>
        <v>-91.319733515809844</v>
      </c>
      <c r="AI617" s="28">
        <f t="shared" si="134"/>
        <v>-89.201433306927441</v>
      </c>
      <c r="AJ617" s="28">
        <f t="shared" si="134"/>
        <v>-87.116820719055994</v>
      </c>
      <c r="AK617" s="28">
        <f t="shared" si="134"/>
        <v>-85.0641313749869</v>
      </c>
      <c r="AL617" s="28">
        <f t="shared" si="134"/>
        <v>-83.041722879463705</v>
      </c>
      <c r="AM617" s="28">
        <f t="shared" si="134"/>
        <v>-81.048063515823799</v>
      </c>
      <c r="AN617" s="28">
        <f t="shared" si="134"/>
        <v>-79.431656757862484</v>
      </c>
      <c r="AO617" s="28">
        <f t="shared" si="134"/>
        <v>-77.839663871669529</v>
      </c>
      <c r="AP617" s="28">
        <f t="shared" si="134"/>
        <v>-76.270978541606539</v>
      </c>
      <c r="AQ617" s="28">
        <f t="shared" si="134"/>
        <v>-74.724563259155232</v>
      </c>
      <c r="AR617" s="28">
        <f t="shared" si="134"/>
        <v>-73.199443617670568</v>
      </c>
      <c r="AS617" s="28">
        <f t="shared" si="134"/>
        <v>-71.645977088210017</v>
      </c>
      <c r="AT617" s="28">
        <f t="shared" si="134"/>
        <v>-70.113872704662668</v>
      </c>
      <c r="AU617" s="28">
        <f t="shared" si="134"/>
        <v>-68.602290113404337</v>
      </c>
      <c r="AV617" s="28">
        <f t="shared" si="134"/>
        <v>-67.110436174548425</v>
      </c>
      <c r="AW617" s="28">
        <f t="shared" si="134"/>
        <v>-65.637561433796705</v>
      </c>
      <c r="AY617" s="85"/>
      <c r="AZ617" s="85"/>
    </row>
    <row r="618" spans="1:52" x14ac:dyDescent="0.25">
      <c r="A618" s="102" t="str">
        <f t="shared" si="133"/>
        <v>NI Cattle</v>
      </c>
      <c r="B618" s="102" t="s">
        <v>970</v>
      </c>
      <c r="C618" s="102" t="s">
        <v>1109</v>
      </c>
      <c r="D618" t="s">
        <v>15</v>
      </c>
      <c r="E618" t="s">
        <v>16</v>
      </c>
      <c r="F618" t="s">
        <v>67</v>
      </c>
      <c r="G618" t="s">
        <v>123</v>
      </c>
      <c r="H618" t="s">
        <v>1021</v>
      </c>
      <c r="I618" t="s">
        <v>121</v>
      </c>
      <c r="J618" t="s">
        <v>286</v>
      </c>
      <c r="K618" s="28">
        <f t="shared" si="135"/>
        <v>329.0746130615014</v>
      </c>
      <c r="L618" s="28">
        <f t="shared" si="134"/>
        <v>326.8933624278929</v>
      </c>
      <c r="M618" s="28">
        <f t="shared" si="134"/>
        <v>322.29434163821571</v>
      </c>
      <c r="N618" s="28">
        <f t="shared" si="134"/>
        <v>314.54205476415126</v>
      </c>
      <c r="O618" s="28">
        <f t="shared" si="134"/>
        <v>307.02059800365856</v>
      </c>
      <c r="P618" s="28">
        <f t="shared" si="134"/>
        <v>301.23554207624824</v>
      </c>
      <c r="Q618" s="28">
        <f t="shared" si="134"/>
        <v>296.00291445211866</v>
      </c>
      <c r="R618" s="28">
        <f t="shared" si="134"/>
        <v>287.77587945125919</v>
      </c>
      <c r="S618" s="28">
        <f t="shared" si="134"/>
        <v>252.39688944116838</v>
      </c>
      <c r="T618" s="28">
        <f t="shared" si="134"/>
        <v>254.80263648004308</v>
      </c>
      <c r="U618" s="28">
        <f t="shared" si="134"/>
        <v>256.43054002508501</v>
      </c>
      <c r="V618" s="28">
        <f t="shared" si="134"/>
        <v>258.00549486047498</v>
      </c>
      <c r="W618" s="28">
        <f t="shared" si="134"/>
        <v>260.61009134153147</v>
      </c>
      <c r="X618" s="28">
        <f t="shared" si="134"/>
        <v>263.12884671593309</v>
      </c>
      <c r="Y618" s="28">
        <f t="shared" si="134"/>
        <v>265.77316178308178</v>
      </c>
      <c r="Z618" s="28">
        <f t="shared" si="134"/>
        <v>268.07527192134285</v>
      </c>
      <c r="AA618" s="28">
        <f t="shared" si="134"/>
        <v>270.6953854308951</v>
      </c>
      <c r="AB618" s="28">
        <f t="shared" si="134"/>
        <v>272.7457130264242</v>
      </c>
      <c r="AC618" s="28">
        <f t="shared" si="134"/>
        <v>274.85229816720681</v>
      </c>
      <c r="AD618" s="28">
        <f t="shared" si="134"/>
        <v>275.83346847502179</v>
      </c>
      <c r="AE618" s="28">
        <f t="shared" si="134"/>
        <v>277.17885203403011</v>
      </c>
      <c r="AF618" s="28">
        <f t="shared" si="134"/>
        <v>278.51904326657984</v>
      </c>
      <c r="AG618" s="28">
        <f t="shared" si="134"/>
        <v>272.6122135588102</v>
      </c>
      <c r="AH618" s="28">
        <f t="shared" si="134"/>
        <v>-64.305450494464566</v>
      </c>
      <c r="AI618" s="28">
        <f t="shared" si="134"/>
        <v>-62.813787696400013</v>
      </c>
      <c r="AJ618" s="28">
        <f t="shared" si="134"/>
        <v>-61.345847017989065</v>
      </c>
      <c r="AK618" s="28">
        <f t="shared" si="134"/>
        <v>-59.900386021624051</v>
      </c>
      <c r="AL618" s="28">
        <f t="shared" si="134"/>
        <v>-58.476248166842247</v>
      </c>
      <c r="AM618" s="28">
        <f t="shared" si="134"/>
        <v>-57.072354850736843</v>
      </c>
      <c r="AN618" s="28">
        <f t="shared" si="134"/>
        <v>-55.934114946269716</v>
      </c>
      <c r="AO618" s="28">
        <f t="shared" si="134"/>
        <v>-54.81306678078316</v>
      </c>
      <c r="AP618" s="28">
        <f t="shared" si="134"/>
        <v>-53.708431309893463</v>
      </c>
      <c r="AQ618" s="28">
        <f t="shared" si="134"/>
        <v>-52.619477941754887</v>
      </c>
      <c r="AR618" s="28">
        <f t="shared" si="134"/>
        <v>-51.54552051954397</v>
      </c>
      <c r="AS618" s="28">
        <f t="shared" si="134"/>
        <v>-50.451601810421387</v>
      </c>
      <c r="AT618" s="28">
        <f t="shared" si="134"/>
        <v>-49.372725878621843</v>
      </c>
      <c r="AU618" s="28">
        <f t="shared" si="134"/>
        <v>-48.308300964661392</v>
      </c>
      <c r="AV618" s="28">
        <f t="shared" si="134"/>
        <v>-47.257768555984775</v>
      </c>
      <c r="AW618" s="28">
        <f t="shared" si="134"/>
        <v>-46.22060090251631</v>
      </c>
      <c r="AY618" s="85"/>
      <c r="AZ618" s="85"/>
    </row>
    <row r="619" spans="1:52" x14ac:dyDescent="0.25">
      <c r="A619" s="102" t="str">
        <f t="shared" si="133"/>
        <v>NI Cattle</v>
      </c>
      <c r="B619" s="102" t="s">
        <v>970</v>
      </c>
      <c r="C619" s="102" t="s">
        <v>1109</v>
      </c>
      <c r="D619" t="s">
        <v>15</v>
      </c>
      <c r="E619" t="s">
        <v>16</v>
      </c>
      <c r="F619" t="s">
        <v>67</v>
      </c>
      <c r="G619" t="s">
        <v>135</v>
      </c>
      <c r="H619" t="s">
        <v>1021</v>
      </c>
      <c r="I619" t="s">
        <v>121</v>
      </c>
      <c r="J619" t="s">
        <v>286</v>
      </c>
      <c r="K619" s="28">
        <f t="shared" si="135"/>
        <v>32.066658815804246</v>
      </c>
      <c r="L619" s="28">
        <f t="shared" si="134"/>
        <v>33.208718466326758</v>
      </c>
      <c r="M619" s="28">
        <f t="shared" si="134"/>
        <v>34.11520280184579</v>
      </c>
      <c r="N619" s="28">
        <f t="shared" si="134"/>
        <v>34.675782135786314</v>
      </c>
      <c r="O619" s="28">
        <f t="shared" si="134"/>
        <v>35.237531716383323</v>
      </c>
      <c r="P619" s="28">
        <f t="shared" si="134"/>
        <v>35.983525896151299</v>
      </c>
      <c r="Q619" s="28">
        <f t="shared" si="134"/>
        <v>36.791694077470218</v>
      </c>
      <c r="R619" s="28">
        <f t="shared" si="134"/>
        <v>37.212274346578468</v>
      </c>
      <c r="S619" s="28">
        <f t="shared" si="134"/>
        <v>33.949893618199454</v>
      </c>
      <c r="T619" s="28">
        <f t="shared" si="134"/>
        <v>35.092534125004185</v>
      </c>
      <c r="U619" s="28">
        <f t="shared" si="134"/>
        <v>36.14913447556372</v>
      </c>
      <c r="V619" s="28">
        <f t="shared" si="134"/>
        <v>37.217525780423792</v>
      </c>
      <c r="W619" s="28">
        <f t="shared" si="134"/>
        <v>38.457766325395134</v>
      </c>
      <c r="X619" s="28">
        <f t="shared" si="134"/>
        <v>39.712686531100644</v>
      </c>
      <c r="Y619" s="28">
        <f t="shared" si="134"/>
        <v>41.014977080860561</v>
      </c>
      <c r="Z619" s="28">
        <f t="shared" si="134"/>
        <v>42.293078143626175</v>
      </c>
      <c r="AA619" s="28">
        <f t="shared" si="134"/>
        <v>43.650840359696986</v>
      </c>
      <c r="AB619" s="28">
        <f t="shared" si="134"/>
        <v>44.946275453717462</v>
      </c>
      <c r="AC619" s="28">
        <f t="shared" si="134"/>
        <v>46.279665288729582</v>
      </c>
      <c r="AD619" s="28">
        <f t="shared" si="134"/>
        <v>47.976991209129309</v>
      </c>
      <c r="AE619" s="28">
        <f t="shared" si="134"/>
        <v>49.804514073480171</v>
      </c>
      <c r="AF619" s="28">
        <f t="shared" si="134"/>
        <v>51.703785289265333</v>
      </c>
      <c r="AG619" s="28">
        <f t="shared" si="134"/>
        <v>52.28975851111349</v>
      </c>
      <c r="AH619" s="28">
        <f t="shared" si="134"/>
        <v>-12.746083968128861</v>
      </c>
      <c r="AI619" s="28">
        <f t="shared" si="134"/>
        <v>-12.867794914199649</v>
      </c>
      <c r="AJ619" s="28">
        <f t="shared" si="134"/>
        <v>-12.990495449269591</v>
      </c>
      <c r="AK619" s="28">
        <f t="shared" si="134"/>
        <v>-13.11419493838188</v>
      </c>
      <c r="AL619" s="28">
        <f t="shared" si="134"/>
        <v>-13.238902830664287</v>
      </c>
      <c r="AM619" s="28">
        <f t="shared" si="134"/>
        <v>-13.364628660058406</v>
      </c>
      <c r="AN619" s="28">
        <f t="shared" si="134"/>
        <v>-13.465524819095547</v>
      </c>
      <c r="AO619" s="28">
        <f t="shared" si="134"/>
        <v>-13.567116958153555</v>
      </c>
      <c r="AP619" s="28">
        <f t="shared" si="134"/>
        <v>-13.669410585503263</v>
      </c>
      <c r="AQ619" s="28">
        <f t="shared" si="134"/>
        <v>-13.772411250990594</v>
      </c>
      <c r="AR619" s="28">
        <f t="shared" si="134"/>
        <v>-13.876124546340513</v>
      </c>
      <c r="AS619" s="28">
        <f t="shared" si="134"/>
        <v>-13.971054455205756</v>
      </c>
      <c r="AT619" s="28">
        <f t="shared" si="134"/>
        <v>-14.066530697184916</v>
      </c>
      <c r="AU619" s="28">
        <f t="shared" si="134"/>
        <v>-14.162556886408025</v>
      </c>
      <c r="AV619" s="28">
        <f t="shared" si="134"/>
        <v>-14.259136659667147</v>
      </c>
      <c r="AW619" s="28">
        <f t="shared" si="134"/>
        <v>-14.356273676553505</v>
      </c>
      <c r="AY619" s="85"/>
      <c r="AZ619" s="85"/>
    </row>
    <row r="620" spans="1:52" x14ac:dyDescent="0.25">
      <c r="A620" s="102" t="str">
        <f t="shared" si="133"/>
        <v>NI Sheep</v>
      </c>
      <c r="B620" s="102" t="s">
        <v>970</v>
      </c>
      <c r="C620" s="102" t="s">
        <v>152</v>
      </c>
      <c r="D620" t="s">
        <v>15</v>
      </c>
      <c r="E620" t="s">
        <v>16</v>
      </c>
      <c r="F620" t="s">
        <v>18</v>
      </c>
      <c r="G620" t="s">
        <v>122</v>
      </c>
      <c r="H620" t="s">
        <v>1021</v>
      </c>
      <c r="I620" t="s">
        <v>121</v>
      </c>
      <c r="J620" t="s">
        <v>286</v>
      </c>
      <c r="K620" s="28">
        <f t="shared" si="135"/>
        <v>132.58757058147904</v>
      </c>
      <c r="L620" s="28">
        <f t="shared" si="134"/>
        <v>132.65997552000914</v>
      </c>
      <c r="M620" s="28">
        <f t="shared" si="134"/>
        <v>132.82210408590223</v>
      </c>
      <c r="N620" s="28">
        <f t="shared" si="134"/>
        <v>133.06614161446052</v>
      </c>
      <c r="O620" s="28">
        <f t="shared" si="134"/>
        <v>133.3953531354135</v>
      </c>
      <c r="P620" s="28">
        <f t="shared" si="134"/>
        <v>133.81008797408685</v>
      </c>
      <c r="Q620" s="28">
        <f t="shared" si="134"/>
        <v>134.27208577169884</v>
      </c>
      <c r="R620" s="28">
        <f t="shared" si="134"/>
        <v>134.77278624125299</v>
      </c>
      <c r="S620" s="28">
        <f t="shared" si="134"/>
        <v>135.24330047488556</v>
      </c>
      <c r="T620" s="28">
        <f t="shared" si="134"/>
        <v>135.43984338147078</v>
      </c>
      <c r="U620" s="28">
        <f t="shared" si="134"/>
        <v>135.66790740229135</v>
      </c>
      <c r="V620" s="28">
        <f t="shared" si="134"/>
        <v>135.92744577431912</v>
      </c>
      <c r="W620" s="28">
        <f t="shared" si="134"/>
        <v>136.21980319636509</v>
      </c>
      <c r="X620" s="28">
        <f t="shared" si="134"/>
        <v>136.54029274426662</v>
      </c>
      <c r="Y620" s="28">
        <f t="shared" si="134"/>
        <v>136.73757850266969</v>
      </c>
      <c r="Z620" s="28">
        <f t="shared" si="134"/>
        <v>136.95795076822631</v>
      </c>
      <c r="AA620" s="28">
        <f t="shared" si="134"/>
        <v>137.20220925985299</v>
      </c>
      <c r="AB620" s="28">
        <f t="shared" si="134"/>
        <v>137.46660109068114</v>
      </c>
      <c r="AC620" s="28">
        <f t="shared" si="134"/>
        <v>137.75207161797405</v>
      </c>
      <c r="AD620" s="28">
        <f t="shared" si="134"/>
        <v>137.94000218541183</v>
      </c>
      <c r="AE620" s="28">
        <f t="shared" si="134"/>
        <v>138.14770015018067</v>
      </c>
      <c r="AF620" s="28">
        <f t="shared" si="134"/>
        <v>138.37329758077868</v>
      </c>
      <c r="AG620" s="28">
        <f t="shared" si="134"/>
        <v>138.59125347156044</v>
      </c>
      <c r="AH620" s="28">
        <f t="shared" si="134"/>
        <v>137.6594267769662</v>
      </c>
      <c r="AI620" s="28">
        <f t="shared" si="134"/>
        <v>137.79176090123983</v>
      </c>
      <c r="AJ620" s="28">
        <f t="shared" si="134"/>
        <v>137.93779226287748</v>
      </c>
      <c r="AK620" s="28">
        <f t="shared" si="134"/>
        <v>138.09700339174353</v>
      </c>
      <c r="AL620" s="28">
        <f t="shared" si="134"/>
        <v>138.26891681492259</v>
      </c>
      <c r="AM620" s="28">
        <f t="shared" si="134"/>
        <v>138.45309126128626</v>
      </c>
      <c r="AN620" s="28">
        <f t="shared" si="134"/>
        <v>138.54247128713709</v>
      </c>
      <c r="AO620" s="28">
        <f t="shared" si="134"/>
        <v>138.64265405515414</v>
      </c>
      <c r="AP620" s="28">
        <f t="shared" si="134"/>
        <v>138.75326360443952</v>
      </c>
      <c r="AQ620" s="28">
        <f t="shared" si="134"/>
        <v>138.87394970624567</v>
      </c>
      <c r="AR620" s="28">
        <f t="shared" si="134"/>
        <v>139.00438567790363</v>
      </c>
      <c r="AS620" s="28">
        <f t="shared" si="134"/>
        <v>139.03656264546001</v>
      </c>
      <c r="AT620" s="28">
        <f t="shared" si="134"/>
        <v>139.07739261805247</v>
      </c>
      <c r="AU620" s="28">
        <f t="shared" si="134"/>
        <v>139.1265890083165</v>
      </c>
      <c r="AV620" s="28">
        <f t="shared" si="134"/>
        <v>139.18388272915809</v>
      </c>
      <c r="AW620" s="28">
        <f t="shared" si="134"/>
        <v>139.24902084795488</v>
      </c>
      <c r="AY620" s="85"/>
      <c r="AZ620" s="85"/>
    </row>
    <row r="621" spans="1:52" x14ac:dyDescent="0.25">
      <c r="A621" s="102" t="str">
        <f t="shared" si="133"/>
        <v>NI Sheep</v>
      </c>
      <c r="B621" s="102" t="s">
        <v>970</v>
      </c>
      <c r="C621" s="102" t="s">
        <v>152</v>
      </c>
      <c r="D621" t="s">
        <v>15</v>
      </c>
      <c r="E621" t="s">
        <v>16</v>
      </c>
      <c r="F621" t="s">
        <v>18</v>
      </c>
      <c r="G621" t="s">
        <v>123</v>
      </c>
      <c r="H621" t="s">
        <v>1021</v>
      </c>
      <c r="I621" t="s">
        <v>121</v>
      </c>
      <c r="J621" t="s">
        <v>286</v>
      </c>
      <c r="K621" s="28">
        <f t="shared" si="135"/>
        <v>14.369021000318453</v>
      </c>
      <c r="L621" s="28">
        <f t="shared" si="134"/>
        <v>14.376867799816345</v>
      </c>
      <c r="M621" s="28">
        <f t="shared" si="134"/>
        <v>14.394438291211975</v>
      </c>
      <c r="N621" s="28">
        <f t="shared" si="134"/>
        <v>14.420885569469965</v>
      </c>
      <c r="O621" s="28">
        <f t="shared" si="134"/>
        <v>14.456563478322018</v>
      </c>
      <c r="P621" s="28">
        <f t="shared" ref="L621:AW627" si="136">P1386</f>
        <v>14.50150987548674</v>
      </c>
      <c r="Q621" s="28">
        <f t="shared" si="136"/>
        <v>14.55157833987502</v>
      </c>
      <c r="R621" s="28">
        <f t="shared" si="136"/>
        <v>14.60584116051756</v>
      </c>
      <c r="S621" s="28">
        <f t="shared" si="136"/>
        <v>14.656832583577541</v>
      </c>
      <c r="T621" s="28">
        <f t="shared" si="136"/>
        <v>14.678132688404874</v>
      </c>
      <c r="U621" s="28">
        <f t="shared" si="136"/>
        <v>14.702848856671748</v>
      </c>
      <c r="V621" s="28">
        <f t="shared" si="136"/>
        <v>14.730976020490347</v>
      </c>
      <c r="W621" s="28">
        <f t="shared" si="136"/>
        <v>14.762659910002416</v>
      </c>
      <c r="X621" s="28">
        <f t="shared" si="136"/>
        <v>14.797392585350364</v>
      </c>
      <c r="Y621" s="28">
        <f t="shared" si="136"/>
        <v>14.818773195864045</v>
      </c>
      <c r="Z621" s="28">
        <f t="shared" si="136"/>
        <v>14.842655779259934</v>
      </c>
      <c r="AA621" s="28">
        <f t="shared" si="136"/>
        <v>14.869127004128885</v>
      </c>
      <c r="AB621" s="28">
        <f t="shared" si="136"/>
        <v>14.897780155799289</v>
      </c>
      <c r="AC621" s="28">
        <f t="shared" si="136"/>
        <v>14.928717686245429</v>
      </c>
      <c r="AD621" s="28">
        <f t="shared" si="136"/>
        <v>14.949084439013225</v>
      </c>
      <c r="AE621" s="28">
        <f t="shared" si="136"/>
        <v>14.971593460065483</v>
      </c>
      <c r="AF621" s="28">
        <f t="shared" si="136"/>
        <v>14.996042314537018</v>
      </c>
      <c r="AG621" s="28">
        <f t="shared" si="136"/>
        <v>15.019663026177268</v>
      </c>
      <c r="AH621" s="28">
        <f t="shared" si="136"/>
        <v>14.918677411277161</v>
      </c>
      <c r="AI621" s="28">
        <f t="shared" si="136"/>
        <v>14.933018965333902</v>
      </c>
      <c r="AJ621" s="28">
        <f t="shared" si="136"/>
        <v>14.948844941274739</v>
      </c>
      <c r="AK621" s="28">
        <f t="shared" si="136"/>
        <v>14.966099258886322</v>
      </c>
      <c r="AL621" s="28">
        <f t="shared" si="136"/>
        <v>14.984730172606687</v>
      </c>
      <c r="AM621" s="28">
        <f t="shared" si="136"/>
        <v>15.004689860199688</v>
      </c>
      <c r="AN621" s="28">
        <f t="shared" si="136"/>
        <v>15.014376314690312</v>
      </c>
      <c r="AO621" s="28">
        <f t="shared" si="136"/>
        <v>15.025233503574562</v>
      </c>
      <c r="AP621" s="28">
        <f t="shared" si="136"/>
        <v>15.037220682535205</v>
      </c>
      <c r="AQ621" s="28">
        <f t="shared" si="136"/>
        <v>15.050299895946342</v>
      </c>
      <c r="AR621" s="28">
        <f t="shared" si="136"/>
        <v>15.064435739960453</v>
      </c>
      <c r="AS621" s="28">
        <f t="shared" si="136"/>
        <v>15.067922880727245</v>
      </c>
      <c r="AT621" s="28">
        <f t="shared" si="136"/>
        <v>15.072347780671114</v>
      </c>
      <c r="AU621" s="28">
        <f t="shared" si="136"/>
        <v>15.077679381225703</v>
      </c>
      <c r="AV621" s="28">
        <f t="shared" si="136"/>
        <v>15.083888520395751</v>
      </c>
      <c r="AW621" s="28">
        <f t="shared" si="136"/>
        <v>15.090947786907744</v>
      </c>
      <c r="AY621" s="85"/>
      <c r="AZ621" s="85"/>
    </row>
    <row r="622" spans="1:52" x14ac:dyDescent="0.25">
      <c r="A622" s="102" t="str">
        <f t="shared" si="133"/>
        <v>NI Goats</v>
      </c>
      <c r="B622" s="102" t="s">
        <v>970</v>
      </c>
      <c r="C622" s="102" t="s">
        <v>153</v>
      </c>
      <c r="D622" t="s">
        <v>15</v>
      </c>
      <c r="E622" t="s">
        <v>16</v>
      </c>
      <c r="F622" t="s">
        <v>19</v>
      </c>
      <c r="G622" t="s">
        <v>122</v>
      </c>
      <c r="H622" t="s">
        <v>1021</v>
      </c>
      <c r="I622" t="s">
        <v>121</v>
      </c>
      <c r="J622" t="s">
        <v>286</v>
      </c>
      <c r="K622" s="28">
        <f t="shared" si="135"/>
        <v>15.122912034052119</v>
      </c>
      <c r="L622" s="28">
        <f t="shared" si="136"/>
        <v>15.16235617086264</v>
      </c>
      <c r="M622" s="28">
        <f t="shared" si="136"/>
        <v>15.214918977175502</v>
      </c>
      <c r="N622" s="28">
        <f t="shared" si="136"/>
        <v>15.279431878529646</v>
      </c>
      <c r="O622" s="28">
        <f t="shared" si="136"/>
        <v>15.356670108197457</v>
      </c>
      <c r="P622" s="28">
        <f t="shared" si="136"/>
        <v>15.446839206530987</v>
      </c>
      <c r="Q622" s="28">
        <f t="shared" si="136"/>
        <v>15.543246595834415</v>
      </c>
      <c r="R622" s="28">
        <f t="shared" si="136"/>
        <v>15.644513729476552</v>
      </c>
      <c r="S622" s="28">
        <f t="shared" si="136"/>
        <v>15.738586448717601</v>
      </c>
      <c r="T622" s="28">
        <f t="shared" si="136"/>
        <v>15.782671791027241</v>
      </c>
      <c r="U622" s="28">
        <f t="shared" si="136"/>
        <v>15.831013812582922</v>
      </c>
      <c r="V622" s="28">
        <f t="shared" si="136"/>
        <v>15.883673860630685</v>
      </c>
      <c r="W622" s="28">
        <f t="shared" si="136"/>
        <v>15.940945806372881</v>
      </c>
      <c r="X622" s="28">
        <f t="shared" si="136"/>
        <v>16.002058548962822</v>
      </c>
      <c r="Y622" s="28">
        <f t="shared" si="136"/>
        <v>16.040687609599484</v>
      </c>
      <c r="Z622" s="28">
        <f t="shared" si="136"/>
        <v>16.082482288873532</v>
      </c>
      <c r="AA622" s="28">
        <f t="shared" si="136"/>
        <v>16.127615494082271</v>
      </c>
      <c r="AB622" s="28">
        <f t="shared" si="136"/>
        <v>16.175465875658951</v>
      </c>
      <c r="AC622" s="28">
        <f t="shared" si="136"/>
        <v>16.226224840403397</v>
      </c>
      <c r="AD622" s="28">
        <f t="shared" si="136"/>
        <v>16.259468591936052</v>
      </c>
      <c r="AE622" s="28">
        <f t="shared" si="136"/>
        <v>16.295521678721617</v>
      </c>
      <c r="AF622" s="28">
        <f t="shared" si="136"/>
        <v>16.334079311640636</v>
      </c>
      <c r="AG622" s="28">
        <f t="shared" si="136"/>
        <v>16.370780543129868</v>
      </c>
      <c r="AH622" s="28">
        <f t="shared" si="136"/>
        <v>16.210342962451882</v>
      </c>
      <c r="AI622" s="28">
        <f t="shared" si="136"/>
        <v>16.231809554619815</v>
      </c>
      <c r="AJ622" s="28">
        <f t="shared" si="136"/>
        <v>16.255200949759832</v>
      </c>
      <c r="AK622" s="28">
        <f t="shared" si="136"/>
        <v>16.280438980022009</v>
      </c>
      <c r="AL622" s="28">
        <f t="shared" si="136"/>
        <v>16.307451540692337</v>
      </c>
      <c r="AM622" s="28">
        <f t="shared" si="136"/>
        <v>16.33617200965886</v>
      </c>
      <c r="AN622" s="28">
        <f t="shared" si="136"/>
        <v>16.348500225303503</v>
      </c>
      <c r="AO622" s="28">
        <f t="shared" si="136"/>
        <v>16.362367038828094</v>
      </c>
      <c r="AP622" s="28">
        <f t="shared" si="136"/>
        <v>16.377714445166813</v>
      </c>
      <c r="AQ622" s="28">
        <f t="shared" si="136"/>
        <v>16.394488418537772</v>
      </c>
      <c r="AR622" s="28">
        <f t="shared" si="136"/>
        <v>16.412638571526305</v>
      </c>
      <c r="AS622" s="28">
        <f t="shared" si="136"/>
        <v>16.414054645399585</v>
      </c>
      <c r="AT622" s="28">
        <f t="shared" si="136"/>
        <v>16.416730079303285</v>
      </c>
      <c r="AU622" s="28">
        <f t="shared" si="136"/>
        <v>16.420619645756457</v>
      </c>
      <c r="AV622" s="28">
        <f t="shared" si="136"/>
        <v>16.425680885599256</v>
      </c>
      <c r="AW622" s="28">
        <f t="shared" si="136"/>
        <v>16.431873893524784</v>
      </c>
      <c r="AY622" s="85"/>
      <c r="AZ622" s="85"/>
    </row>
    <row r="623" spans="1:52" x14ac:dyDescent="0.25">
      <c r="A623" s="102" t="str">
        <f t="shared" si="133"/>
        <v>NI Goats</v>
      </c>
      <c r="B623" s="102" t="s">
        <v>970</v>
      </c>
      <c r="C623" s="102" t="s">
        <v>153</v>
      </c>
      <c r="D623" t="s">
        <v>15</v>
      </c>
      <c r="E623" t="s">
        <v>16</v>
      </c>
      <c r="F623" t="s">
        <v>19</v>
      </c>
      <c r="G623" t="s">
        <v>123</v>
      </c>
      <c r="H623" t="s">
        <v>1021</v>
      </c>
      <c r="I623" t="s">
        <v>121</v>
      </c>
      <c r="J623" t="s">
        <v>286</v>
      </c>
      <c r="K623" s="28">
        <f t="shared" si="135"/>
        <v>22.380358537009105</v>
      </c>
      <c r="L623" s="28">
        <f t="shared" si="136"/>
        <v>22.438731813400228</v>
      </c>
      <c r="M623" s="28">
        <f t="shared" si="136"/>
        <v>22.516519374971988</v>
      </c>
      <c r="N623" s="28">
        <f t="shared" si="136"/>
        <v>22.611991851391704</v>
      </c>
      <c r="O623" s="28">
        <f t="shared" si="136"/>
        <v>22.726296508380855</v>
      </c>
      <c r="P623" s="28">
        <f t="shared" si="136"/>
        <v>22.859737524576634</v>
      </c>
      <c r="Q623" s="28">
        <f t="shared" si="136"/>
        <v>23.002410571498377</v>
      </c>
      <c r="R623" s="28">
        <f t="shared" si="136"/>
        <v>23.152275541540064</v>
      </c>
      <c r="S623" s="28">
        <f t="shared" si="136"/>
        <v>23.291493516254551</v>
      </c>
      <c r="T623" s="28">
        <f t="shared" si="136"/>
        <v>23.356735300700223</v>
      </c>
      <c r="U623" s="28">
        <f t="shared" si="136"/>
        <v>23.428276533789713</v>
      </c>
      <c r="V623" s="28">
        <f t="shared" si="136"/>
        <v>23.506208003154299</v>
      </c>
      <c r="W623" s="28">
        <f t="shared" si="136"/>
        <v>23.590964608028823</v>
      </c>
      <c r="X623" s="28">
        <f t="shared" si="136"/>
        <v>23.681405198257956</v>
      </c>
      <c r="Y623" s="28">
        <f t="shared" si="136"/>
        <v>23.738572245520402</v>
      </c>
      <c r="Z623" s="28">
        <f t="shared" si="136"/>
        <v>23.800424083644316</v>
      </c>
      <c r="AA623" s="28">
        <f t="shared" si="136"/>
        <v>23.8672165976933</v>
      </c>
      <c r="AB623" s="28">
        <f t="shared" si="136"/>
        <v>23.938030254045156</v>
      </c>
      <c r="AC623" s="28">
        <f t="shared" si="136"/>
        <v>24.013148315129573</v>
      </c>
      <c r="AD623" s="28">
        <f t="shared" si="136"/>
        <v>24.062345657330646</v>
      </c>
      <c r="AE623" s="28">
        <f t="shared" si="136"/>
        <v>24.115700527530912</v>
      </c>
      <c r="AF623" s="28">
        <f t="shared" si="136"/>
        <v>24.172761869098128</v>
      </c>
      <c r="AG623" s="28">
        <f t="shared" si="136"/>
        <v>24.227075926974639</v>
      </c>
      <c r="AH623" s="28">
        <f t="shared" si="136"/>
        <v>23.989644764887686</v>
      </c>
      <c r="AI623" s="28">
        <f t="shared" si="136"/>
        <v>24.021413119302785</v>
      </c>
      <c r="AJ623" s="28">
        <f t="shared" si="136"/>
        <v>24.056029984674726</v>
      </c>
      <c r="AK623" s="28">
        <f t="shared" si="136"/>
        <v>24.093379680603892</v>
      </c>
      <c r="AL623" s="28">
        <f t="shared" si="136"/>
        <v>24.133355499509896</v>
      </c>
      <c r="AM623" s="28">
        <f t="shared" si="136"/>
        <v>24.175858847500976</v>
      </c>
      <c r="AN623" s="28">
        <f t="shared" si="136"/>
        <v>24.194103342055165</v>
      </c>
      <c r="AO623" s="28">
        <f t="shared" si="136"/>
        <v>24.214624803645847</v>
      </c>
      <c r="AP623" s="28">
        <f t="shared" si="136"/>
        <v>24.23733739072566</v>
      </c>
      <c r="AQ623" s="28">
        <f t="shared" si="136"/>
        <v>24.26216115067923</v>
      </c>
      <c r="AR623" s="28">
        <f t="shared" si="136"/>
        <v>24.289021515301489</v>
      </c>
      <c r="AS623" s="28">
        <f t="shared" si="136"/>
        <v>24.291117159376356</v>
      </c>
      <c r="AT623" s="28">
        <f t="shared" si="136"/>
        <v>24.295076527113999</v>
      </c>
      <c r="AU623" s="28">
        <f t="shared" si="136"/>
        <v>24.300832686481954</v>
      </c>
      <c r="AV623" s="28">
        <f t="shared" si="136"/>
        <v>24.308322802279001</v>
      </c>
      <c r="AW623" s="28">
        <f t="shared" si="136"/>
        <v>24.317487818744329</v>
      </c>
      <c r="AY623" s="85"/>
      <c r="AZ623" s="85"/>
    </row>
    <row r="624" spans="1:52" x14ac:dyDescent="0.25">
      <c r="A624" s="102" t="str">
        <f t="shared" si="133"/>
        <v>NI Horses</v>
      </c>
      <c r="B624" s="102" t="s">
        <v>970</v>
      </c>
      <c r="C624" s="102" t="s">
        <v>3</v>
      </c>
      <c r="D624" t="s">
        <v>15</v>
      </c>
      <c r="E624" t="s">
        <v>16</v>
      </c>
      <c r="F624" t="s">
        <v>20</v>
      </c>
      <c r="G624" t="s">
        <v>3</v>
      </c>
      <c r="H624" t="s">
        <v>1021</v>
      </c>
      <c r="I624" t="s">
        <v>121</v>
      </c>
      <c r="J624" t="s">
        <v>286</v>
      </c>
      <c r="K624" s="28">
        <f t="shared" si="135"/>
        <v>5.5696427744330439</v>
      </c>
      <c r="L624" s="28">
        <f t="shared" si="136"/>
        <v>5.6022840873497932</v>
      </c>
      <c r="M624" s="28">
        <f t="shared" si="136"/>
        <v>5.6103260601490881</v>
      </c>
      <c r="N624" s="28">
        <f t="shared" si="136"/>
        <v>5.5857580588048208</v>
      </c>
      <c r="O624" s="28">
        <f t="shared" si="136"/>
        <v>5.559765331848693</v>
      </c>
      <c r="P624" s="28">
        <f t="shared" si="136"/>
        <v>5.5473985576087426</v>
      </c>
      <c r="Q624" s="28">
        <f t="shared" si="136"/>
        <v>5.5391504700870771</v>
      </c>
      <c r="R624" s="28">
        <f t="shared" si="136"/>
        <v>5.4993657963463365</v>
      </c>
      <c r="S624" s="28">
        <f t="shared" si="136"/>
        <v>5.1779141846798922</v>
      </c>
      <c r="T624" s="28">
        <f t="shared" si="136"/>
        <v>5.2234365031656678</v>
      </c>
      <c r="U624" s="28">
        <f t="shared" si="136"/>
        <v>5.2607139869862687</v>
      </c>
      <c r="V624" s="28">
        <f t="shared" si="136"/>
        <v>5.2972378917474705</v>
      </c>
      <c r="W624" s="28">
        <f t="shared" si="136"/>
        <v>5.3445893517249541</v>
      </c>
      <c r="X624" s="28">
        <f t="shared" si="136"/>
        <v>5.391074742094033</v>
      </c>
      <c r="Y624" s="28">
        <f t="shared" si="136"/>
        <v>5.4443279456237095</v>
      </c>
      <c r="Z624" s="28">
        <f t="shared" si="136"/>
        <v>5.4941146702747297</v>
      </c>
      <c r="AA624" s="28">
        <f t="shared" si="136"/>
        <v>5.5476702009922301</v>
      </c>
      <c r="AB624" s="28">
        <f t="shared" si="136"/>
        <v>5.5951924858009336</v>
      </c>
      <c r="AC624" s="28">
        <f t="shared" si="136"/>
        <v>5.6435970948645044</v>
      </c>
      <c r="AD624" s="28">
        <f t="shared" si="136"/>
        <v>5.7106381367284076</v>
      </c>
      <c r="AE624" s="28">
        <f t="shared" si="136"/>
        <v>5.7837954436426573</v>
      </c>
      <c r="AF624" s="28">
        <f t="shared" si="136"/>
        <v>5.8590224803991617</v>
      </c>
      <c r="AG624" s="28">
        <f t="shared" si="136"/>
        <v>5.8483213454344947</v>
      </c>
      <c r="AH624" s="28">
        <f t="shared" si="136"/>
        <v>1.7304204380446728</v>
      </c>
      <c r="AI624" s="28">
        <f t="shared" si="136"/>
        <v>1.7304204380446728</v>
      </c>
      <c r="AJ624" s="28">
        <f t="shared" si="136"/>
        <v>1.7304204380446728</v>
      </c>
      <c r="AK624" s="28">
        <f t="shared" si="136"/>
        <v>1.7304204380446728</v>
      </c>
      <c r="AL624" s="28">
        <f t="shared" si="136"/>
        <v>1.7304204380446728</v>
      </c>
      <c r="AM624" s="28">
        <f t="shared" si="136"/>
        <v>1.7304204380446728</v>
      </c>
      <c r="AN624" s="28">
        <f t="shared" si="136"/>
        <v>1.7304204380446728</v>
      </c>
      <c r="AO624" s="28">
        <f t="shared" si="136"/>
        <v>1.7304204380446728</v>
      </c>
      <c r="AP624" s="28">
        <f t="shared" si="136"/>
        <v>1.7304204380446728</v>
      </c>
      <c r="AQ624" s="28">
        <f t="shared" si="136"/>
        <v>1.7304204380446728</v>
      </c>
      <c r="AR624" s="28">
        <f t="shared" si="136"/>
        <v>1.7304204380446728</v>
      </c>
      <c r="AS624" s="28">
        <f t="shared" si="136"/>
        <v>1.7304204380446728</v>
      </c>
      <c r="AT624" s="28">
        <f t="shared" si="136"/>
        <v>1.7304204380446728</v>
      </c>
      <c r="AU624" s="28">
        <f t="shared" si="136"/>
        <v>1.7304204380446728</v>
      </c>
      <c r="AV624" s="28">
        <f t="shared" si="136"/>
        <v>1.7304204380446728</v>
      </c>
      <c r="AW624" s="28">
        <f t="shared" si="136"/>
        <v>1.7304204380446728</v>
      </c>
      <c r="AY624" s="85"/>
      <c r="AZ624" s="85"/>
    </row>
    <row r="625" spans="1:52" x14ac:dyDescent="0.25">
      <c r="A625" s="102" t="str">
        <f t="shared" si="133"/>
        <v>NI Mules&amp;Asses</v>
      </c>
      <c r="B625" s="102" t="s">
        <v>970</v>
      </c>
      <c r="C625" s="102" t="s">
        <v>1324</v>
      </c>
      <c r="D625" t="s">
        <v>15</v>
      </c>
      <c r="E625" t="s">
        <v>16</v>
      </c>
      <c r="F625" t="s">
        <v>140</v>
      </c>
      <c r="G625" t="s">
        <v>124</v>
      </c>
      <c r="H625" t="s">
        <v>1021</v>
      </c>
      <c r="I625" t="s">
        <v>121</v>
      </c>
      <c r="J625" t="s">
        <v>286</v>
      </c>
      <c r="K625" s="28">
        <f t="shared" si="135"/>
        <v>1.67</v>
      </c>
      <c r="L625" s="28">
        <f t="shared" si="136"/>
        <v>1.67</v>
      </c>
      <c r="M625" s="28">
        <f t="shared" si="136"/>
        <v>1.67</v>
      </c>
      <c r="N625" s="28">
        <f t="shared" si="136"/>
        <v>1.67</v>
      </c>
      <c r="O625" s="28">
        <f t="shared" si="136"/>
        <v>1.67</v>
      </c>
      <c r="P625" s="28">
        <f t="shared" si="136"/>
        <v>1.67</v>
      </c>
      <c r="Q625" s="28">
        <f t="shared" si="136"/>
        <v>1.67</v>
      </c>
      <c r="R625" s="28">
        <f t="shared" si="136"/>
        <v>1.67</v>
      </c>
      <c r="S625" s="28">
        <f t="shared" si="136"/>
        <v>1.67</v>
      </c>
      <c r="T625" s="28">
        <f t="shared" si="136"/>
        <v>1.67</v>
      </c>
      <c r="U625" s="28">
        <f t="shared" si="136"/>
        <v>1.67</v>
      </c>
      <c r="V625" s="28">
        <f t="shared" si="136"/>
        <v>1.67</v>
      </c>
      <c r="W625" s="28">
        <f t="shared" si="136"/>
        <v>1.67</v>
      </c>
      <c r="X625" s="28">
        <f t="shared" si="136"/>
        <v>1.67</v>
      </c>
      <c r="Y625" s="28">
        <f t="shared" si="136"/>
        <v>1.67</v>
      </c>
      <c r="Z625" s="28">
        <f t="shared" si="136"/>
        <v>1.67</v>
      </c>
      <c r="AA625" s="28">
        <f t="shared" si="136"/>
        <v>1.67</v>
      </c>
      <c r="AB625" s="28">
        <f t="shared" si="136"/>
        <v>1.67</v>
      </c>
      <c r="AC625" s="28">
        <f t="shared" si="136"/>
        <v>1.67</v>
      </c>
      <c r="AD625" s="28">
        <f t="shared" si="136"/>
        <v>1.67</v>
      </c>
      <c r="AE625" s="28">
        <f t="shared" si="136"/>
        <v>1.67</v>
      </c>
      <c r="AF625" s="28">
        <f t="shared" si="136"/>
        <v>1.67</v>
      </c>
      <c r="AG625" s="28">
        <f t="shared" si="136"/>
        <v>1.67</v>
      </c>
      <c r="AH625" s="28">
        <f t="shared" si="136"/>
        <v>1.67</v>
      </c>
      <c r="AI625" s="28">
        <f t="shared" si="136"/>
        <v>1.67</v>
      </c>
      <c r="AJ625" s="28">
        <f t="shared" si="136"/>
        <v>1.67</v>
      </c>
      <c r="AK625" s="28">
        <f t="shared" si="136"/>
        <v>1.67</v>
      </c>
      <c r="AL625" s="28">
        <f t="shared" si="136"/>
        <v>1.67</v>
      </c>
      <c r="AM625" s="28">
        <f t="shared" si="136"/>
        <v>1.67</v>
      </c>
      <c r="AN625" s="28">
        <f t="shared" si="136"/>
        <v>1.67</v>
      </c>
      <c r="AO625" s="28">
        <f t="shared" si="136"/>
        <v>1.67</v>
      </c>
      <c r="AP625" s="28">
        <f t="shared" si="136"/>
        <v>1.67</v>
      </c>
      <c r="AQ625" s="28">
        <f t="shared" si="136"/>
        <v>1.67</v>
      </c>
      <c r="AR625" s="28">
        <f t="shared" si="136"/>
        <v>1.67</v>
      </c>
      <c r="AS625" s="28">
        <f t="shared" si="136"/>
        <v>1.67</v>
      </c>
      <c r="AT625" s="28">
        <f t="shared" si="136"/>
        <v>1.67</v>
      </c>
      <c r="AU625" s="28">
        <f t="shared" si="136"/>
        <v>1.67</v>
      </c>
      <c r="AV625" s="28">
        <f t="shared" si="136"/>
        <v>1.67</v>
      </c>
      <c r="AW625" s="28">
        <f t="shared" si="136"/>
        <v>1.67</v>
      </c>
      <c r="AY625" s="85"/>
      <c r="AZ625" s="85"/>
    </row>
    <row r="626" spans="1:52" x14ac:dyDescent="0.25">
      <c r="A626" s="102" t="str">
        <f t="shared" si="133"/>
        <v>NI Swine</v>
      </c>
      <c r="B626" s="102" t="s">
        <v>970</v>
      </c>
      <c r="C626" s="102" t="s">
        <v>155</v>
      </c>
      <c r="D626" t="s">
        <v>15</v>
      </c>
      <c r="E626" t="s">
        <v>16</v>
      </c>
      <c r="F626" t="s">
        <v>21</v>
      </c>
      <c r="G626" t="s">
        <v>122</v>
      </c>
      <c r="H626" t="s">
        <v>1021</v>
      </c>
      <c r="I626" t="s">
        <v>121</v>
      </c>
      <c r="J626" t="s">
        <v>286</v>
      </c>
      <c r="K626" s="28">
        <f t="shared" si="135"/>
        <v>1.8541666894574054</v>
      </c>
      <c r="L626" s="28">
        <f t="shared" si="136"/>
        <v>1.8483142649538657</v>
      </c>
      <c r="M626" s="28">
        <f t="shared" si="136"/>
        <v>1.8289603412170248</v>
      </c>
      <c r="N626" s="28">
        <f t="shared" si="136"/>
        <v>1.7913821949145237</v>
      </c>
      <c r="O626" s="28">
        <f t="shared" si="136"/>
        <v>1.7554482253507835</v>
      </c>
      <c r="P626" s="28">
        <f t="shared" si="136"/>
        <v>1.7302400840947183</v>
      </c>
      <c r="Q626" s="28">
        <f t="shared" si="136"/>
        <v>1.708890891068684</v>
      </c>
      <c r="R626" s="28">
        <f t="shared" si="136"/>
        <v>1.6695786047731636</v>
      </c>
      <c r="S626" s="28">
        <f t="shared" si="136"/>
        <v>1.4615896404106821</v>
      </c>
      <c r="T626" s="28">
        <f t="shared" si="136"/>
        <v>1.4708774478581006</v>
      </c>
      <c r="U626" s="28">
        <f t="shared" si="136"/>
        <v>1.475539546686083</v>
      </c>
      <c r="V626" s="28">
        <f t="shared" si="136"/>
        <v>1.4800720193256183</v>
      </c>
      <c r="W626" s="28">
        <f t="shared" si="136"/>
        <v>1.4911430483593251</v>
      </c>
      <c r="X626" s="28">
        <f t="shared" si="136"/>
        <v>1.5018418879535562</v>
      </c>
      <c r="Y626" s="28">
        <f t="shared" si="136"/>
        <v>1.5141161979930053</v>
      </c>
      <c r="Z626" s="28">
        <f t="shared" si="136"/>
        <v>1.5244186206157291</v>
      </c>
      <c r="AA626" s="28">
        <f t="shared" si="136"/>
        <v>1.5367997357970316</v>
      </c>
      <c r="AB626" s="28">
        <f t="shared" si="136"/>
        <v>1.5458124762264192</v>
      </c>
      <c r="AC626" s="28">
        <f t="shared" si="136"/>
        <v>1.5552930899763542</v>
      </c>
      <c r="AD626" s="28">
        <f t="shared" si="136"/>
        <v>1.5727795493180676</v>
      </c>
      <c r="AE626" s="28">
        <f t="shared" si="136"/>
        <v>1.5932065886725237</v>
      </c>
      <c r="AF626" s="28">
        <f t="shared" si="136"/>
        <v>1.61434489246593</v>
      </c>
      <c r="AG626" s="28">
        <f t="shared" si="136"/>
        <v>1.5905873244414643</v>
      </c>
      <c r="AH626" s="28">
        <f t="shared" si="136"/>
        <v>-0.53667602659003</v>
      </c>
      <c r="AI626" s="28">
        <f t="shared" si="136"/>
        <v>-0.53080565769123822</v>
      </c>
      <c r="AJ626" s="28">
        <f t="shared" si="136"/>
        <v>-0.52506102374348274</v>
      </c>
      <c r="AK626" s="28">
        <f t="shared" si="136"/>
        <v>-0.51943389932430173</v>
      </c>
      <c r="AL626" s="28">
        <f t="shared" si="136"/>
        <v>-0.51391666127760161</v>
      </c>
      <c r="AM626" s="28">
        <f t="shared" si="136"/>
        <v>-0.50850223047100296</v>
      </c>
      <c r="AN626" s="28">
        <f t="shared" si="136"/>
        <v>-0.50256367866010732</v>
      </c>
      <c r="AO626" s="28">
        <f t="shared" si="136"/>
        <v>-0.496729831902604</v>
      </c>
      <c r="AP626" s="28">
        <f t="shared" si="136"/>
        <v>-0.49099457494449417</v>
      </c>
      <c r="AQ626" s="28">
        <f t="shared" si="136"/>
        <v>-0.48535219196665164</v>
      </c>
      <c r="AR626" s="28">
        <f t="shared" si="136"/>
        <v>-0.47979733207264019</v>
      </c>
      <c r="AS626" s="28">
        <f t="shared" si="136"/>
        <v>-0.47374377836093629</v>
      </c>
      <c r="AT626" s="28">
        <f t="shared" si="136"/>
        <v>-0.46778268442640875</v>
      </c>
      <c r="AU626" s="28">
        <f t="shared" si="136"/>
        <v>-0.46190929102584166</v>
      </c>
      <c r="AV626" s="28">
        <f t="shared" si="136"/>
        <v>-0.45611912010876249</v>
      </c>
      <c r="AW626" s="28">
        <f t="shared" si="136"/>
        <v>-0.45040795289365548</v>
      </c>
      <c r="AY626" s="85"/>
      <c r="AZ626" s="85"/>
    </row>
    <row r="627" spans="1:52" x14ac:dyDescent="0.25">
      <c r="A627" s="102" t="str">
        <f t="shared" si="133"/>
        <v>NI Swine</v>
      </c>
      <c r="B627" s="102" t="s">
        <v>970</v>
      </c>
      <c r="C627" s="102" t="s">
        <v>155</v>
      </c>
      <c r="D627" t="s">
        <v>15</v>
      </c>
      <c r="E627" t="s">
        <v>16</v>
      </c>
      <c r="F627" t="s">
        <v>21</v>
      </c>
      <c r="G627" t="s">
        <v>123</v>
      </c>
      <c r="H627" t="s">
        <v>1021</v>
      </c>
      <c r="I627" t="s">
        <v>121</v>
      </c>
      <c r="J627" t="s">
        <v>286</v>
      </c>
      <c r="K627" s="28">
        <f t="shared" si="135"/>
        <v>0.2569163489011142</v>
      </c>
      <c r="L627" s="28">
        <f t="shared" si="136"/>
        <v>0.25610542745364245</v>
      </c>
      <c r="M627" s="28">
        <f t="shared" si="136"/>
        <v>0.25342371633691707</v>
      </c>
      <c r="N627" s="28">
        <f t="shared" si="136"/>
        <v>0.2482168273331373</v>
      </c>
      <c r="O627" s="28">
        <f t="shared" si="136"/>
        <v>0.24323775812952569</v>
      </c>
      <c r="P627" s="28">
        <f t="shared" si="136"/>
        <v>0.23974487712216219</v>
      </c>
      <c r="Q627" s="28">
        <f t="shared" si="136"/>
        <v>0.23678669825107104</v>
      </c>
      <c r="R627" s="28">
        <f t="shared" si="136"/>
        <v>0.23133952399245247</v>
      </c>
      <c r="S627" s="28">
        <f t="shared" si="136"/>
        <v>0.20252023517685527</v>
      </c>
      <c r="T627" s="28">
        <f t="shared" si="136"/>
        <v>0.20380716886639622</v>
      </c>
      <c r="U627" s="28">
        <f t="shared" si="136"/>
        <v>0.20445315685437584</v>
      </c>
      <c r="V627" s="28">
        <f t="shared" si="136"/>
        <v>0.20508118362708436</v>
      </c>
      <c r="W627" s="28">
        <f t="shared" si="136"/>
        <v>0.20661520339676887</v>
      </c>
      <c r="X627" s="28">
        <f t="shared" si="136"/>
        <v>0.20809765199303451</v>
      </c>
      <c r="Y627" s="28">
        <f t="shared" si="136"/>
        <v>0.20979840033380981</v>
      </c>
      <c r="Z627" s="28">
        <f t="shared" si="136"/>
        <v>0.21122592075045635</v>
      </c>
      <c r="AA627" s="28">
        <f t="shared" si="136"/>
        <v>0.21294146818521006</v>
      </c>
      <c r="AB627" s="28">
        <f t="shared" si="136"/>
        <v>0.21419028814183935</v>
      </c>
      <c r="AC627" s="28">
        <f t="shared" si="136"/>
        <v>0.21550393738590373</v>
      </c>
      <c r="AD627" s="28">
        <f t="shared" si="136"/>
        <v>0.21792688960202594</v>
      </c>
      <c r="AE627" s="28">
        <f t="shared" si="136"/>
        <v>0.22075729336218733</v>
      </c>
      <c r="AF627" s="28">
        <f t="shared" si="136"/>
        <v>0.22368625107857998</v>
      </c>
      <c r="AG627" s="28">
        <f t="shared" si="136"/>
        <v>0.22039436385489045</v>
      </c>
      <c r="AH627" s="28">
        <f t="shared" si="136"/>
        <v>-7.4362702166015399E-2</v>
      </c>
      <c r="AI627" s="28">
        <f t="shared" si="136"/>
        <v>-7.3549294313983729E-2</v>
      </c>
      <c r="AJ627" s="28">
        <f t="shared" si="136"/>
        <v>-7.2753308501045513E-2</v>
      </c>
      <c r="AK627" s="28">
        <f t="shared" si="136"/>
        <v>-7.1973604999300819E-2</v>
      </c>
      <c r="AL627" s="28">
        <f t="shared" si="136"/>
        <v>-7.1209127531856237E-2</v>
      </c>
      <c r="AM627" s="28">
        <f t="shared" si="136"/>
        <v>-7.0458895202628005E-2</v>
      </c>
      <c r="AN627" s="28">
        <f t="shared" si="136"/>
        <v>-6.9636039815520426E-2</v>
      </c>
      <c r="AO627" s="28">
        <f t="shared" si="136"/>
        <v>-6.8827692530722115E-2</v>
      </c>
      <c r="AP627" s="28">
        <f t="shared" si="136"/>
        <v>-6.8033006008703711E-2</v>
      </c>
      <c r="AQ627" s="28">
        <f t="shared" ref="L627:AW634" si="137">AQ1392</f>
        <v>-6.7251188256280764E-2</v>
      </c>
      <c r="AR627" s="28">
        <f t="shared" si="137"/>
        <v>-6.6481497844549611E-2</v>
      </c>
      <c r="AS627" s="28">
        <f t="shared" si="137"/>
        <v>-6.5642707607225875E-2</v>
      </c>
      <c r="AT627" s="28">
        <f t="shared" si="137"/>
        <v>-6.4816728746844354E-2</v>
      </c>
      <c r="AU627" s="28">
        <f t="shared" si="137"/>
        <v>-6.4002901814932872E-2</v>
      </c>
      <c r="AV627" s="28">
        <f t="shared" si="137"/>
        <v>-6.3200606325542585E-2</v>
      </c>
      <c r="AW627" s="28">
        <f t="shared" si="137"/>
        <v>-6.2409257717452565E-2</v>
      </c>
      <c r="AY627" s="85"/>
      <c r="AZ627" s="85"/>
    </row>
    <row r="628" spans="1:52" x14ac:dyDescent="0.25">
      <c r="A628" s="102" t="str">
        <f t="shared" si="133"/>
        <v>NI Cattle MMCH4</v>
      </c>
      <c r="B628" s="102" t="s">
        <v>970</v>
      </c>
      <c r="C628" s="102" t="s">
        <v>1230</v>
      </c>
      <c r="D628" t="s">
        <v>15</v>
      </c>
      <c r="E628" t="s">
        <v>22</v>
      </c>
      <c r="F628" t="s">
        <v>6</v>
      </c>
      <c r="G628" t="s">
        <v>136</v>
      </c>
      <c r="H628" t="s">
        <v>1228</v>
      </c>
      <c r="I628" t="s">
        <v>121</v>
      </c>
      <c r="J628" t="s">
        <v>286</v>
      </c>
      <c r="K628" s="28">
        <f t="shared" si="135"/>
        <v>7.3646534170257834</v>
      </c>
      <c r="L628" s="28">
        <f t="shared" si="137"/>
        <v>7.4104628035653102</v>
      </c>
      <c r="M628" s="28">
        <f t="shared" si="137"/>
        <v>7.4419573878579355</v>
      </c>
      <c r="N628" s="28">
        <f t="shared" si="137"/>
        <v>7.4518345531057086</v>
      </c>
      <c r="O628" s="28">
        <f t="shared" si="137"/>
        <v>7.4651968838323191</v>
      </c>
      <c r="P628" s="28">
        <f t="shared" si="137"/>
        <v>7.494465464758667</v>
      </c>
      <c r="Q628" s="28">
        <f t="shared" si="137"/>
        <v>7.5295555244972592</v>
      </c>
      <c r="R628" s="28">
        <f t="shared" si="137"/>
        <v>7.5400969444741763</v>
      </c>
      <c r="S628" s="28">
        <f t="shared" si="137"/>
        <v>7.3086176618997394</v>
      </c>
      <c r="T628" s="28">
        <f t="shared" si="137"/>
        <v>7.3688162835395774</v>
      </c>
      <c r="U628" s="28">
        <f t="shared" si="137"/>
        <v>7.4240167099951169</v>
      </c>
      <c r="V628" s="28">
        <f t="shared" si="137"/>
        <v>7.4806155410688238</v>
      </c>
      <c r="W628" s="28">
        <f t="shared" si="137"/>
        <v>7.5487965323768202</v>
      </c>
      <c r="X628" s="28">
        <f t="shared" si="137"/>
        <v>7.6182568990068642</v>
      </c>
      <c r="Y628" s="28">
        <f t="shared" si="137"/>
        <v>7.6858917367195918</v>
      </c>
      <c r="Z628" s="28">
        <f t="shared" si="137"/>
        <v>7.7521734876275126</v>
      </c>
      <c r="AA628" s="28">
        <f t="shared" si="137"/>
        <v>7.8235662027619757</v>
      </c>
      <c r="AB628" s="28">
        <f t="shared" si="137"/>
        <v>7.8911737006481246</v>
      </c>
      <c r="AC628" s="28">
        <f t="shared" si="137"/>
        <v>7.961206232365277</v>
      </c>
      <c r="AD628" s="28">
        <f t="shared" si="137"/>
        <v>8.0416672207979634</v>
      </c>
      <c r="AE628" s="28">
        <f t="shared" si="137"/>
        <v>8.1292976952055653</v>
      </c>
      <c r="AF628" s="28">
        <f t="shared" si="137"/>
        <v>8.2204064265450114</v>
      </c>
      <c r="AG628" s="28">
        <f t="shared" si="137"/>
        <v>8.2331329239754218</v>
      </c>
      <c r="AH628" s="28">
        <f t="shared" si="137"/>
        <v>4.4079390411250321</v>
      </c>
      <c r="AI628" s="28">
        <f t="shared" si="137"/>
        <v>4.4111810533822107</v>
      </c>
      <c r="AJ628" s="28">
        <f t="shared" si="137"/>
        <v>4.4148489430980264</v>
      </c>
      <c r="AK628" s="28">
        <f t="shared" si="137"/>
        <v>4.4189265228241794</v>
      </c>
      <c r="AL628" s="28">
        <f t="shared" si="137"/>
        <v>4.4233988518058229</v>
      </c>
      <c r="AM628" s="28">
        <f t="shared" si="137"/>
        <v>4.4282521178160774</v>
      </c>
      <c r="AN628" s="28">
        <f t="shared" si="137"/>
        <v>4.4303415938400539</v>
      </c>
      <c r="AO628" s="28">
        <f t="shared" si="137"/>
        <v>4.432766537435862</v>
      </c>
      <c r="AP628" s="28">
        <f t="shared" si="137"/>
        <v>4.4355152317525279</v>
      </c>
      <c r="AQ628" s="28">
        <f t="shared" si="137"/>
        <v>4.4385767594592709</v>
      </c>
      <c r="AR628" s="28">
        <f t="shared" si="137"/>
        <v>4.4419409348998142</v>
      </c>
      <c r="AS628" s="28">
        <f t="shared" si="137"/>
        <v>4.4424325568083702</v>
      </c>
      <c r="AT628" s="28">
        <f t="shared" si="137"/>
        <v>4.4431924834311589</v>
      </c>
      <c r="AU628" s="28">
        <f t="shared" si="137"/>
        <v>4.4442118217610558</v>
      </c>
      <c r="AV628" s="28">
        <f t="shared" si="137"/>
        <v>4.4454822205450464</v>
      </c>
      <c r="AW628" s="28">
        <f t="shared" si="137"/>
        <v>4.4469958286673741</v>
      </c>
      <c r="AY628" s="85"/>
      <c r="AZ628" s="85"/>
    </row>
    <row r="629" spans="1:52" x14ac:dyDescent="0.25">
      <c r="A629" s="102" t="str">
        <f t="shared" si="133"/>
        <v>NI Cattle MMCH4</v>
      </c>
      <c r="B629" s="102" t="s">
        <v>970</v>
      </c>
      <c r="C629" s="102" t="s">
        <v>1230</v>
      </c>
      <c r="D629" t="s">
        <v>15</v>
      </c>
      <c r="E629" t="s">
        <v>22</v>
      </c>
      <c r="F629" t="s">
        <v>6</v>
      </c>
      <c r="G629" t="s">
        <v>137</v>
      </c>
      <c r="H629" t="s">
        <v>1228</v>
      </c>
      <c r="I629" t="s">
        <v>121</v>
      </c>
      <c r="J629" t="s">
        <v>286</v>
      </c>
      <c r="K629" s="28">
        <f t="shared" si="135"/>
        <v>2.0982448441600319</v>
      </c>
      <c r="L629" s="28">
        <f t="shared" si="137"/>
        <v>2.1112962810271738</v>
      </c>
      <c r="M629" s="28">
        <f t="shared" si="137"/>
        <v>2.1202693236632593</v>
      </c>
      <c r="N629" s="28">
        <f t="shared" si="137"/>
        <v>2.1230834019209199</v>
      </c>
      <c r="O629" s="28">
        <f t="shared" si="137"/>
        <v>2.1268904298916125</v>
      </c>
      <c r="P629" s="28">
        <f t="shared" si="137"/>
        <v>2.1352292675187319</v>
      </c>
      <c r="Q629" s="28">
        <f t="shared" si="137"/>
        <v>2.1452266880025732</v>
      </c>
      <c r="R629" s="28">
        <f t="shared" si="137"/>
        <v>2.1482300174010156</v>
      </c>
      <c r="S629" s="28">
        <f t="shared" si="137"/>
        <v>2.0822798383920729</v>
      </c>
      <c r="T629" s="28">
        <f t="shared" si="137"/>
        <v>2.099430875966946</v>
      </c>
      <c r="U629" s="28">
        <f t="shared" si="137"/>
        <v>2.1151578903486419</v>
      </c>
      <c r="V629" s="28">
        <f t="shared" si="137"/>
        <v>2.1312833206657489</v>
      </c>
      <c r="W629" s="28">
        <f t="shared" si="137"/>
        <v>2.1507085950650837</v>
      </c>
      <c r="X629" s="28">
        <f t="shared" si="137"/>
        <v>2.1704983730630572</v>
      </c>
      <c r="Y629" s="28">
        <f t="shared" si="137"/>
        <v>2.1897680442180159</v>
      </c>
      <c r="Z629" s="28">
        <f t="shared" si="137"/>
        <v>2.2086522108215552</v>
      </c>
      <c r="AA629" s="28">
        <f t="shared" si="137"/>
        <v>2.2289925293618906</v>
      </c>
      <c r="AB629" s="28">
        <f t="shared" si="137"/>
        <v>2.2482544111957634</v>
      </c>
      <c r="AC629" s="28">
        <f t="shared" si="137"/>
        <v>2.2682072033066958</v>
      </c>
      <c r="AD629" s="28">
        <f t="shared" si="137"/>
        <v>2.2911311407379684</v>
      </c>
      <c r="AE629" s="28">
        <f t="shared" si="137"/>
        <v>2.3160977183493427</v>
      </c>
      <c r="AF629" s="28">
        <f t="shared" si="137"/>
        <v>2.3420552773770367</v>
      </c>
      <c r="AG629" s="28">
        <f t="shared" si="137"/>
        <v>2.3456811516857772</v>
      </c>
      <c r="AH629" s="28">
        <f t="shared" si="137"/>
        <v>1.2558548030285308</v>
      </c>
      <c r="AI629" s="28">
        <f t="shared" si="137"/>
        <v>1.2567784765699908</v>
      </c>
      <c r="AJ629" s="28">
        <f t="shared" si="137"/>
        <v>1.2578234857848665</v>
      </c>
      <c r="AK629" s="28">
        <f t="shared" si="137"/>
        <v>1.2589852187480597</v>
      </c>
      <c r="AL629" s="28">
        <f t="shared" si="137"/>
        <v>1.2602594187267613</v>
      </c>
      <c r="AM629" s="28">
        <f t="shared" si="137"/>
        <v>1.2616421505142221</v>
      </c>
      <c r="AN629" s="28">
        <f t="shared" si="137"/>
        <v>1.2622374578621782</v>
      </c>
      <c r="AO629" s="28">
        <f t="shared" si="137"/>
        <v>1.2629283424305575</v>
      </c>
      <c r="AP629" s="28">
        <f t="shared" si="137"/>
        <v>1.2637114660008781</v>
      </c>
      <c r="AQ629" s="28">
        <f t="shared" si="137"/>
        <v>1.2645837181439423</v>
      </c>
      <c r="AR629" s="28">
        <f t="shared" si="137"/>
        <v>1.2655421968900908</v>
      </c>
      <c r="AS629" s="28">
        <f t="shared" si="137"/>
        <v>1.2656822636490397</v>
      </c>
      <c r="AT629" s="28">
        <f t="shared" si="137"/>
        <v>1.2658987724279214</v>
      </c>
      <c r="AU629" s="28">
        <f t="shared" si="137"/>
        <v>1.2661891895424888</v>
      </c>
      <c r="AV629" s="28">
        <f t="shared" si="137"/>
        <v>1.2665511356582928</v>
      </c>
      <c r="AW629" s="28">
        <f t="shared" si="137"/>
        <v>1.2669823739337303</v>
      </c>
      <c r="AY629" s="85"/>
      <c r="AZ629" s="85"/>
    </row>
    <row r="630" spans="1:52" x14ac:dyDescent="0.25">
      <c r="A630" s="102" t="str">
        <f t="shared" si="133"/>
        <v>NI Cattle MMCH4</v>
      </c>
      <c r="B630" s="102" t="s">
        <v>970</v>
      </c>
      <c r="C630" s="102" t="s">
        <v>1230</v>
      </c>
      <c r="D630" t="s">
        <v>15</v>
      </c>
      <c r="E630" t="s">
        <v>22</v>
      </c>
      <c r="F630" t="s">
        <v>67</v>
      </c>
      <c r="G630" t="s">
        <v>307</v>
      </c>
      <c r="H630" t="s">
        <v>1228</v>
      </c>
      <c r="I630" t="s">
        <v>121</v>
      </c>
      <c r="J630" t="s">
        <v>286</v>
      </c>
      <c r="K630" s="28">
        <f t="shared" si="135"/>
        <v>0.43336774046245513</v>
      </c>
      <c r="L630" s="28">
        <f t="shared" si="137"/>
        <v>0.43606336090953701</v>
      </c>
      <c r="M630" s="28">
        <f t="shared" si="137"/>
        <v>0.43791663710039563</v>
      </c>
      <c r="N630" s="28">
        <f t="shared" si="137"/>
        <v>0.43849785179485851</v>
      </c>
      <c r="O630" s="28">
        <f t="shared" si="137"/>
        <v>0.43928414854860887</v>
      </c>
      <c r="P630" s="28">
        <f t="shared" si="137"/>
        <v>0.44100643717026611</v>
      </c>
      <c r="Q630" s="28">
        <f t="shared" si="137"/>
        <v>0.44307128653119471</v>
      </c>
      <c r="R630" s="28">
        <f t="shared" si="137"/>
        <v>0.44369158881807513</v>
      </c>
      <c r="S630" s="28">
        <f t="shared" si="137"/>
        <v>0.43007035670126681</v>
      </c>
      <c r="T630" s="28">
        <f t="shared" si="137"/>
        <v>0.43361270135236735</v>
      </c>
      <c r="U630" s="28">
        <f t="shared" si="137"/>
        <v>0.43686093079793747</v>
      </c>
      <c r="V630" s="28">
        <f t="shared" si="137"/>
        <v>0.44019144835882135</v>
      </c>
      <c r="W630" s="28">
        <f t="shared" si="137"/>
        <v>0.44420350981949086</v>
      </c>
      <c r="X630" s="28">
        <f t="shared" si="137"/>
        <v>0.44829085520204021</v>
      </c>
      <c r="Y630" s="28">
        <f t="shared" si="137"/>
        <v>0.45227077864668558</v>
      </c>
      <c r="Z630" s="28">
        <f t="shared" si="137"/>
        <v>0.45617108067019357</v>
      </c>
      <c r="AA630" s="28">
        <f t="shared" si="137"/>
        <v>0.46037213371252356</v>
      </c>
      <c r="AB630" s="28">
        <f t="shared" si="137"/>
        <v>0.46435044836471168</v>
      </c>
      <c r="AC630" s="28">
        <f t="shared" si="137"/>
        <v>0.46847146239083864</v>
      </c>
      <c r="AD630" s="28">
        <f t="shared" si="137"/>
        <v>0.47320613146186896</v>
      </c>
      <c r="AE630" s="28">
        <f t="shared" si="137"/>
        <v>0.47836268378541491</v>
      </c>
      <c r="AF630" s="28">
        <f t="shared" si="137"/>
        <v>0.4837239116397628</v>
      </c>
      <c r="AG630" s="28">
        <f t="shared" si="137"/>
        <v>0.48447279323990261</v>
      </c>
      <c r="AH630" s="28">
        <f t="shared" si="137"/>
        <v>0.25938200675301493</v>
      </c>
      <c r="AI630" s="28">
        <f t="shared" si="137"/>
        <v>0.25957278063562522</v>
      </c>
      <c r="AJ630" s="28">
        <f t="shared" si="137"/>
        <v>0.25978861497139094</v>
      </c>
      <c r="AK630" s="28">
        <f t="shared" si="137"/>
        <v>0.260028557221544</v>
      </c>
      <c r="AL630" s="28">
        <f t="shared" si="137"/>
        <v>0.26029172820809693</v>
      </c>
      <c r="AM630" s="28">
        <f t="shared" si="137"/>
        <v>0.26057731516048022</v>
      </c>
      <c r="AN630" s="28">
        <f t="shared" si="137"/>
        <v>0.26070026887628817</v>
      </c>
      <c r="AO630" s="28">
        <f t="shared" si="137"/>
        <v>0.26084296294040193</v>
      </c>
      <c r="AP630" s="28">
        <f t="shared" si="137"/>
        <v>0.26100470788314173</v>
      </c>
      <c r="AQ630" s="28">
        <f t="shared" si="137"/>
        <v>0.26118486128201956</v>
      </c>
      <c r="AR630" s="28">
        <f t="shared" si="137"/>
        <v>0.26138282376940786</v>
      </c>
      <c r="AS630" s="28">
        <f t="shared" si="137"/>
        <v>0.26141175290749602</v>
      </c>
      <c r="AT630" s="28">
        <f t="shared" si="137"/>
        <v>0.26145647024377611</v>
      </c>
      <c r="AU630" s="28">
        <f t="shared" si="137"/>
        <v>0.26151645247563149</v>
      </c>
      <c r="AV630" s="28">
        <f t="shared" si="137"/>
        <v>0.26159120817957698</v>
      </c>
      <c r="AW630" s="28">
        <f t="shared" si="137"/>
        <v>0.26168027536234517</v>
      </c>
      <c r="AY630" s="85"/>
      <c r="AZ630" s="85"/>
    </row>
    <row r="631" spans="1:52" x14ac:dyDescent="0.25">
      <c r="A631" s="102" t="str">
        <f t="shared" si="133"/>
        <v>NI Cattle MMCH4</v>
      </c>
      <c r="B631" s="102" t="s">
        <v>970</v>
      </c>
      <c r="C631" s="102" t="s">
        <v>1230</v>
      </c>
      <c r="D631" t="s">
        <v>15</v>
      </c>
      <c r="E631" t="s">
        <v>22</v>
      </c>
      <c r="F631" t="s">
        <v>67</v>
      </c>
      <c r="G631" t="s">
        <v>122</v>
      </c>
      <c r="H631" t="s">
        <v>1228</v>
      </c>
      <c r="I631" t="s">
        <v>121</v>
      </c>
      <c r="J631" t="s">
        <v>286</v>
      </c>
      <c r="K631" s="28">
        <f t="shared" si="135"/>
        <v>9.5707566285535867E-2</v>
      </c>
      <c r="L631" s="28">
        <f t="shared" si="137"/>
        <v>9.507317462688053E-2</v>
      </c>
      <c r="M631" s="28">
        <f t="shared" si="137"/>
        <v>9.3735602326843109E-2</v>
      </c>
      <c r="N631" s="28">
        <f t="shared" si="137"/>
        <v>9.1480938854138993E-2</v>
      </c>
      <c r="O631" s="28">
        <f t="shared" si="137"/>
        <v>8.9293409665024345E-2</v>
      </c>
      <c r="P631" s="28">
        <f t="shared" si="137"/>
        <v>8.7610892686618924E-2</v>
      </c>
      <c r="Q631" s="28">
        <f t="shared" si="137"/>
        <v>8.6089043126348228E-2</v>
      </c>
      <c r="R631" s="28">
        <f t="shared" si="137"/>
        <v>8.3696304621384818E-2</v>
      </c>
      <c r="S631" s="28">
        <f t="shared" si="137"/>
        <v>7.34067322961163E-2</v>
      </c>
      <c r="T631" s="28">
        <f t="shared" si="137"/>
        <v>7.4106416152148968E-2</v>
      </c>
      <c r="U631" s="28">
        <f t="shared" si="137"/>
        <v>7.4579873174536918E-2</v>
      </c>
      <c r="V631" s="28">
        <f t="shared" si="137"/>
        <v>7.5037930673723691E-2</v>
      </c>
      <c r="W631" s="28">
        <f t="shared" si="137"/>
        <v>7.5795447602904714E-2</v>
      </c>
      <c r="X631" s="28">
        <f t="shared" si="137"/>
        <v>7.6527998633535405E-2</v>
      </c>
      <c r="Y631" s="28">
        <f t="shared" si="137"/>
        <v>7.7297067256649366E-2</v>
      </c>
      <c r="Z631" s="28">
        <f t="shared" si="137"/>
        <v>7.7966609512140975E-2</v>
      </c>
      <c r="AA631" s="28">
        <f t="shared" si="137"/>
        <v>7.8728639390587538E-2</v>
      </c>
      <c r="AB631" s="28">
        <f t="shared" si="137"/>
        <v>7.9324953589457362E-2</v>
      </c>
      <c r="AC631" s="28">
        <f t="shared" si="137"/>
        <v>7.9937629648305739E-2</v>
      </c>
      <c r="AD631" s="28">
        <f t="shared" si="137"/>
        <v>8.0222991747189526E-2</v>
      </c>
      <c r="AE631" s="28">
        <f t="shared" si="137"/>
        <v>8.0614281081104813E-2</v>
      </c>
      <c r="AF631" s="28">
        <f t="shared" si="137"/>
        <v>8.100406028659024E-2</v>
      </c>
      <c r="AG631" s="28">
        <f t="shared" si="137"/>
        <v>7.9286126804775037E-2</v>
      </c>
      <c r="AH631" s="28">
        <f t="shared" si="137"/>
        <v>-1.8702500653157286E-2</v>
      </c>
      <c r="AI631" s="28">
        <f t="shared" si="137"/>
        <v>-1.8268667685025074E-2</v>
      </c>
      <c r="AJ631" s="28">
        <f t="shared" si="137"/>
        <v>-1.7841734022548978E-2</v>
      </c>
      <c r="AK631" s="28">
        <f t="shared" si="137"/>
        <v>-1.7421338317040982E-2</v>
      </c>
      <c r="AL631" s="28">
        <f t="shared" si="137"/>
        <v>-1.7007144202009699E-2</v>
      </c>
      <c r="AM631" s="28">
        <f t="shared" si="137"/>
        <v>-1.6598837978205473E-2</v>
      </c>
      <c r="AN631" s="28">
        <f t="shared" si="137"/>
        <v>-1.6267793993705613E-2</v>
      </c>
      <c r="AO631" s="28">
        <f t="shared" si="137"/>
        <v>-1.5941750028753716E-2</v>
      </c>
      <c r="AP631" s="28">
        <f t="shared" si="137"/>
        <v>-1.562047950725113E-2</v>
      </c>
      <c r="AQ631" s="28">
        <f t="shared" si="137"/>
        <v>-1.5303769944962587E-2</v>
      </c>
      <c r="AR631" s="28">
        <f t="shared" si="137"/>
        <v>-1.4991421781067962E-2</v>
      </c>
      <c r="AS631" s="28">
        <f t="shared" si="137"/>
        <v>-1.4673268106464171E-2</v>
      </c>
      <c r="AT631" s="28">
        <f t="shared" si="137"/>
        <v>-1.4359489450627001E-2</v>
      </c>
      <c r="AU631" s="28">
        <f t="shared" si="137"/>
        <v>-1.40499137071168E-2</v>
      </c>
      <c r="AV631" s="28">
        <f t="shared" si="137"/>
        <v>-1.3744378438980727E-2</v>
      </c>
      <c r="AW631" s="28">
        <f t="shared" si="137"/>
        <v>-1.3442730156179297E-2</v>
      </c>
      <c r="AY631" s="85"/>
      <c r="AZ631" s="85"/>
    </row>
    <row r="632" spans="1:52" x14ac:dyDescent="0.25">
      <c r="A632" s="102" t="str">
        <f t="shared" si="133"/>
        <v>NI Cattle MMCH4</v>
      </c>
      <c r="B632" s="102" t="s">
        <v>970</v>
      </c>
      <c r="C632" s="102" t="s">
        <v>1230</v>
      </c>
      <c r="D632" t="s">
        <v>15</v>
      </c>
      <c r="E632" t="s">
        <v>22</v>
      </c>
      <c r="F632" t="s">
        <v>67</v>
      </c>
      <c r="G632" t="s">
        <v>123</v>
      </c>
      <c r="H632" t="s">
        <v>1228</v>
      </c>
      <c r="I632" t="s">
        <v>121</v>
      </c>
      <c r="J632" t="s">
        <v>286</v>
      </c>
      <c r="K632" s="28">
        <f t="shared" si="135"/>
        <v>7.0303494563391522E-2</v>
      </c>
      <c r="L632" s="28">
        <f t="shared" si="137"/>
        <v>6.9837492216280578E-2</v>
      </c>
      <c r="M632" s="28">
        <f t="shared" si="137"/>
        <v>6.8854957495428151E-2</v>
      </c>
      <c r="N632" s="28">
        <f t="shared" si="137"/>
        <v>6.7198759063606908E-2</v>
      </c>
      <c r="O632" s="28">
        <f t="shared" si="137"/>
        <v>6.5591875173201017E-2</v>
      </c>
      <c r="P632" s="28">
        <f t="shared" si="137"/>
        <v>6.4355955926323108E-2</v>
      </c>
      <c r="Q632" s="28">
        <f t="shared" si="137"/>
        <v>6.3238057452470034E-2</v>
      </c>
      <c r="R632" s="28">
        <f t="shared" si="137"/>
        <v>6.1480433839166078E-2</v>
      </c>
      <c r="S632" s="28">
        <f t="shared" si="137"/>
        <v>5.392206703386089E-2</v>
      </c>
      <c r="T632" s="28">
        <f t="shared" si="137"/>
        <v>5.4436030789055859E-2</v>
      </c>
      <c r="U632" s="28">
        <f t="shared" si="137"/>
        <v>5.4783816073869653E-2</v>
      </c>
      <c r="V632" s="28">
        <f t="shared" si="137"/>
        <v>5.5120289397281967E-2</v>
      </c>
      <c r="W632" s="28">
        <f t="shared" si="137"/>
        <v>5.5676735343817389E-2</v>
      </c>
      <c r="X632" s="28">
        <f t="shared" si="137"/>
        <v>5.6214842197832481E-2</v>
      </c>
      <c r="Y632" s="28">
        <f t="shared" si="137"/>
        <v>5.6779773622404078E-2</v>
      </c>
      <c r="Z632" s="28">
        <f t="shared" si="137"/>
        <v>5.7271596391969458E-2</v>
      </c>
      <c r="AA632" s="28">
        <f t="shared" si="137"/>
        <v>5.7831357396200579E-2</v>
      </c>
      <c r="AB632" s="28">
        <f t="shared" si="137"/>
        <v>5.826938934775229E-2</v>
      </c>
      <c r="AC632" s="28">
        <f t="shared" si="137"/>
        <v>5.8719440160285359E-2</v>
      </c>
      <c r="AD632" s="28">
        <f t="shared" si="137"/>
        <v>5.8929057367639905E-2</v>
      </c>
      <c r="AE632" s="28">
        <f t="shared" si="137"/>
        <v>5.92164850875921E-2</v>
      </c>
      <c r="AF632" s="28">
        <f t="shared" si="137"/>
        <v>5.9502803519010737E-2</v>
      </c>
      <c r="AG632" s="28">
        <f t="shared" si="137"/>
        <v>5.8240868523832451E-2</v>
      </c>
      <c r="AH632" s="28">
        <f t="shared" si="137"/>
        <v>-1.3738215315895889E-2</v>
      </c>
      <c r="AI632" s="28">
        <f t="shared" si="137"/>
        <v>-1.3419536501877058E-2</v>
      </c>
      <c r="AJ632" s="28">
        <f t="shared" si="137"/>
        <v>-1.3105925681085005E-2</v>
      </c>
      <c r="AK632" s="28">
        <f t="shared" si="137"/>
        <v>-1.2797117419171011E-2</v>
      </c>
      <c r="AL632" s="28">
        <f t="shared" si="137"/>
        <v>-1.2492864632850905E-2</v>
      </c>
      <c r="AM632" s="28">
        <f t="shared" si="137"/>
        <v>-1.2192936889418591E-2</v>
      </c>
      <c r="AN632" s="28">
        <f t="shared" si="137"/>
        <v>-1.1949763336189845E-2</v>
      </c>
      <c r="AO632" s="28">
        <f t="shared" si="137"/>
        <v>-1.1710262625775411E-2</v>
      </c>
      <c r="AP632" s="28">
        <f t="shared" si="137"/>
        <v>-1.1474268323146819E-2</v>
      </c>
      <c r="AQ632" s="28">
        <f t="shared" si="137"/>
        <v>-1.1241624344674956E-2</v>
      </c>
      <c r="AR632" s="28">
        <f t="shared" si="137"/>
        <v>-1.1012184099828085E-2</v>
      </c>
      <c r="AS632" s="28">
        <f t="shared" si="137"/>
        <v>-1.0778479325995476E-2</v>
      </c>
      <c r="AT632" s="28">
        <f t="shared" si="137"/>
        <v>-1.0547988290846352E-2</v>
      </c>
      <c r="AU632" s="28">
        <f t="shared" si="137"/>
        <v>-1.032058457089494E-2</v>
      </c>
      <c r="AV632" s="28">
        <f t="shared" si="137"/>
        <v>-1.0096148845528728E-2</v>
      </c>
      <c r="AW632" s="28">
        <f t="shared" si="137"/>
        <v>-9.8745683662308046E-3</v>
      </c>
      <c r="AY632" s="85"/>
      <c r="AZ632" s="85"/>
    </row>
    <row r="633" spans="1:52" x14ac:dyDescent="0.25">
      <c r="A633" s="102" t="str">
        <f t="shared" si="133"/>
        <v>NI Cattle MMCH4</v>
      </c>
      <c r="B633" s="102" t="s">
        <v>970</v>
      </c>
      <c r="C633" s="102" t="s">
        <v>1230</v>
      </c>
      <c r="D633" t="s">
        <v>15</v>
      </c>
      <c r="E633" t="s">
        <v>22</v>
      </c>
      <c r="F633" t="s">
        <v>67</v>
      </c>
      <c r="G633" t="s">
        <v>135</v>
      </c>
      <c r="H633" t="s">
        <v>1228</v>
      </c>
      <c r="I633" t="s">
        <v>121</v>
      </c>
      <c r="J633" t="s">
        <v>286</v>
      </c>
      <c r="K633" s="28">
        <f t="shared" si="135"/>
        <v>0.47365013870542771</v>
      </c>
      <c r="L633" s="28">
        <f t="shared" si="137"/>
        <v>0.49051927106458876</v>
      </c>
      <c r="M633" s="28">
        <f t="shared" si="137"/>
        <v>0.50390876804084606</v>
      </c>
      <c r="N633" s="28">
        <f t="shared" si="137"/>
        <v>0.51218897212451775</v>
      </c>
      <c r="O633" s="28">
        <f t="shared" si="137"/>
        <v>0.5204864616851187</v>
      </c>
      <c r="P633" s="28">
        <f t="shared" si="137"/>
        <v>0.5315053909957832</v>
      </c>
      <c r="Q633" s="28">
        <f t="shared" si="137"/>
        <v>0.54344267992188611</v>
      </c>
      <c r="R633" s="28">
        <f t="shared" si="137"/>
        <v>0.54965498610396035</v>
      </c>
      <c r="S633" s="28">
        <f t="shared" si="137"/>
        <v>0.50146701948783567</v>
      </c>
      <c r="T633" s="28">
        <f t="shared" si="137"/>
        <v>0.51834473155778682</v>
      </c>
      <c r="U633" s="28">
        <f t="shared" si="137"/>
        <v>0.53395156186316528</v>
      </c>
      <c r="V633" s="28">
        <f t="shared" si="137"/>
        <v>0.54973255397230381</v>
      </c>
      <c r="W633" s="28">
        <f t="shared" si="137"/>
        <v>0.56805189648716081</v>
      </c>
      <c r="X633" s="28">
        <f t="shared" si="137"/>
        <v>0.58658806930488216</v>
      </c>
      <c r="Y633" s="28">
        <f t="shared" si="137"/>
        <v>0.60582393990405248</v>
      </c>
      <c r="Z633" s="28">
        <f t="shared" si="137"/>
        <v>0.62470251247800967</v>
      </c>
      <c r="AA633" s="28">
        <f t="shared" si="137"/>
        <v>0.64475774385290952</v>
      </c>
      <c r="AB633" s="28">
        <f t="shared" si="137"/>
        <v>0.66389235390041079</v>
      </c>
      <c r="AC633" s="28">
        <f t="shared" si="137"/>
        <v>0.68358758575882406</v>
      </c>
      <c r="AD633" s="28">
        <f t="shared" si="137"/>
        <v>0.7086584440058149</v>
      </c>
      <c r="AE633" s="28">
        <f t="shared" si="137"/>
        <v>0.73565241500726219</v>
      </c>
      <c r="AF633" s="28">
        <f t="shared" si="137"/>
        <v>0.76370616641189881</v>
      </c>
      <c r="AG633" s="28">
        <f t="shared" si="137"/>
        <v>0.77236145848334026</v>
      </c>
      <c r="AH633" s="28">
        <f t="shared" si="137"/>
        <v>-0.18826983110818521</v>
      </c>
      <c r="AI633" s="28">
        <f t="shared" si="137"/>
        <v>-0.19006759890243963</v>
      </c>
      <c r="AJ633" s="28">
        <f t="shared" si="137"/>
        <v>-0.19187998371586665</v>
      </c>
      <c r="AK633" s="28">
        <f t="shared" si="137"/>
        <v>-0.19370712387762709</v>
      </c>
      <c r="AL633" s="28">
        <f t="shared" si="137"/>
        <v>-0.19554915895887828</v>
      </c>
      <c r="AM633" s="28">
        <f t="shared" si="137"/>
        <v>-0.19740622978354522</v>
      </c>
      <c r="AN633" s="28">
        <f t="shared" si="137"/>
        <v>-0.19889654656389008</v>
      </c>
      <c r="AO633" s="28">
        <f t="shared" si="137"/>
        <v>-0.20039714352450921</v>
      </c>
      <c r="AP633" s="28">
        <f t="shared" si="137"/>
        <v>-0.20190810202695822</v>
      </c>
      <c r="AQ633" s="28">
        <f t="shared" si="137"/>
        <v>-0.20342950404688992</v>
      </c>
      <c r="AR633" s="28">
        <f t="shared" si="137"/>
        <v>-0.20496143217854407</v>
      </c>
      <c r="AS633" s="28">
        <f t="shared" si="137"/>
        <v>-0.20636362268300526</v>
      </c>
      <c r="AT633" s="28">
        <f t="shared" si="137"/>
        <v>-0.20777388296351235</v>
      </c>
      <c r="AU633" s="28">
        <f t="shared" si="137"/>
        <v>-0.20919226640364996</v>
      </c>
      <c r="AV633" s="28">
        <f t="shared" si="137"/>
        <v>-0.21061882672173884</v>
      </c>
      <c r="AW633" s="28">
        <f t="shared" si="137"/>
        <v>-0.2120536179728616</v>
      </c>
      <c r="AY633" s="85"/>
      <c r="AZ633" s="85"/>
    </row>
    <row r="634" spans="1:52" x14ac:dyDescent="0.25">
      <c r="A634" s="102" t="str">
        <f t="shared" si="133"/>
        <v>NI Sheep MMCH4</v>
      </c>
      <c r="B634" s="102" t="s">
        <v>970</v>
      </c>
      <c r="C634" s="102" t="s">
        <v>1325</v>
      </c>
      <c r="D634" t="s">
        <v>15</v>
      </c>
      <c r="E634" t="s">
        <v>22</v>
      </c>
      <c r="F634" t="s">
        <v>18</v>
      </c>
      <c r="G634" t="s">
        <v>122</v>
      </c>
      <c r="H634" t="s">
        <v>1228</v>
      </c>
      <c r="I634" t="s">
        <v>121</v>
      </c>
      <c r="J634" t="s">
        <v>286</v>
      </c>
      <c r="K634" s="28">
        <f t="shared" si="135"/>
        <v>3.6053921478906167E-2</v>
      </c>
      <c r="L634" s="28">
        <f t="shared" si="137"/>
        <v>3.6073610217126503E-2</v>
      </c>
      <c r="M634" s="28">
        <f t="shared" si="137"/>
        <v>3.6117697084082141E-2</v>
      </c>
      <c r="N634" s="28">
        <f t="shared" si="137"/>
        <v>3.618405707434337E-2</v>
      </c>
      <c r="O634" s="28">
        <f t="shared" si="137"/>
        <v>3.6273578032260737E-2</v>
      </c>
      <c r="P634" s="28">
        <f t="shared" si="137"/>
        <v>3.6386354948245533E-2</v>
      </c>
      <c r="Q634" s="28">
        <f t="shared" si="137"/>
        <v>3.6511983860861394E-2</v>
      </c>
      <c r="R634" s="28">
        <f t="shared" si="137"/>
        <v>3.6648137011074396E-2</v>
      </c>
      <c r="S634" s="28">
        <f t="shared" si="137"/>
        <v>3.6776081758532232E-2</v>
      </c>
      <c r="T634" s="28">
        <f t="shared" si="137"/>
        <v>3.6829526757110792E-2</v>
      </c>
      <c r="U634" s="28">
        <f t="shared" si="137"/>
        <v>3.6891543145696586E-2</v>
      </c>
      <c r="V634" s="28">
        <f t="shared" si="137"/>
        <v>3.6962118208236874E-2</v>
      </c>
      <c r="W634" s="28">
        <f t="shared" si="137"/>
        <v>3.7041617602425879E-2</v>
      </c>
      <c r="X634" s="28">
        <f t="shared" si="137"/>
        <v>3.71287668347723E-2</v>
      </c>
      <c r="Y634" s="28">
        <f t="shared" si="137"/>
        <v>3.7182413833591089E-2</v>
      </c>
      <c r="Z634" s="28">
        <f t="shared" si="137"/>
        <v>3.7242338638937944E-2</v>
      </c>
      <c r="AA634" s="28">
        <f t="shared" si="137"/>
        <v>3.7308758714658788E-2</v>
      </c>
      <c r="AB634" s="28">
        <f t="shared" si="137"/>
        <v>3.7380653555679967E-2</v>
      </c>
      <c r="AC634" s="28">
        <f t="shared" si="137"/>
        <v>3.7458280228605825E-2</v>
      </c>
      <c r="AD634" s="28">
        <f t="shared" si="137"/>
        <v>3.7509383313851091E-2</v>
      </c>
      <c r="AE634" s="28">
        <f t="shared" si="137"/>
        <v>3.7565861655525674E-2</v>
      </c>
      <c r="AF634" s="28">
        <f t="shared" ref="L634:AW641" si="138">AF1399</f>
        <v>3.7627207315702967E-2</v>
      </c>
      <c r="AG634" s="28">
        <f t="shared" si="138"/>
        <v>3.7686475047494471E-2</v>
      </c>
      <c r="AH634" s="28">
        <f t="shared" si="138"/>
        <v>3.7433087747828976E-2</v>
      </c>
      <c r="AI634" s="28">
        <f t="shared" si="138"/>
        <v>3.7469072750832028E-2</v>
      </c>
      <c r="AJ634" s="28">
        <f t="shared" si="138"/>
        <v>3.750878237989342E-2</v>
      </c>
      <c r="AK634" s="28">
        <f t="shared" si="138"/>
        <v>3.7552075921765626E-2</v>
      </c>
      <c r="AL634" s="28">
        <f t="shared" si="138"/>
        <v>3.7598823539459238E-2</v>
      </c>
      <c r="AM634" s="28">
        <f t="shared" si="138"/>
        <v>3.7648905240168402E-2</v>
      </c>
      <c r="AN634" s="28">
        <f t="shared" si="138"/>
        <v>3.76732099349424E-2</v>
      </c>
      <c r="AO634" s="28">
        <f t="shared" si="138"/>
        <v>3.7700452169156254E-2</v>
      </c>
      <c r="AP634" s="28">
        <f t="shared" si="138"/>
        <v>3.7730529709511379E-2</v>
      </c>
      <c r="AQ634" s="28">
        <f t="shared" si="138"/>
        <v>3.7763347319933152E-2</v>
      </c>
      <c r="AR634" s="28">
        <f t="shared" si="138"/>
        <v>3.7798816167122655E-2</v>
      </c>
      <c r="AS634" s="28">
        <f t="shared" si="138"/>
        <v>3.7807565900273503E-2</v>
      </c>
      <c r="AT634" s="28">
        <f t="shared" si="138"/>
        <v>3.7818668604843612E-2</v>
      </c>
      <c r="AU634" s="28">
        <f t="shared" si="138"/>
        <v>3.7832046350463708E-2</v>
      </c>
      <c r="AV634" s="28">
        <f t="shared" si="138"/>
        <v>3.7847625965531671E-2</v>
      </c>
      <c r="AW634" s="28">
        <f t="shared" si="138"/>
        <v>3.7865338671255785E-2</v>
      </c>
      <c r="AY634" s="85"/>
      <c r="AZ634" s="85"/>
    </row>
    <row r="635" spans="1:52" x14ac:dyDescent="0.25">
      <c r="A635" s="102" t="str">
        <f t="shared" si="133"/>
        <v>NI Sheep MMCH4</v>
      </c>
      <c r="B635" s="102" t="s">
        <v>970</v>
      </c>
      <c r="C635" s="102" t="s">
        <v>1325</v>
      </c>
      <c r="D635" t="s">
        <v>15</v>
      </c>
      <c r="E635" t="s">
        <v>22</v>
      </c>
      <c r="F635" t="s">
        <v>18</v>
      </c>
      <c r="G635" t="s">
        <v>123</v>
      </c>
      <c r="H635" t="s">
        <v>1228</v>
      </c>
      <c r="I635" t="s">
        <v>121</v>
      </c>
      <c r="J635" t="s">
        <v>286</v>
      </c>
      <c r="K635" s="28">
        <f t="shared" si="135"/>
        <v>4.1175296849015851E-3</v>
      </c>
      <c r="L635" s="28">
        <f t="shared" si="138"/>
        <v>4.1197782326532605E-3</v>
      </c>
      <c r="M635" s="28">
        <f t="shared" si="138"/>
        <v>4.1248131630008617E-3</v>
      </c>
      <c r="N635" s="28">
        <f t="shared" si="138"/>
        <v>4.1323917901954152E-3</v>
      </c>
      <c r="O635" s="28">
        <f t="shared" si="138"/>
        <v>4.1426155102936933E-3</v>
      </c>
      <c r="P635" s="28">
        <f t="shared" si="138"/>
        <v>4.1554951716534349E-3</v>
      </c>
      <c r="Q635" s="28">
        <f t="shared" si="138"/>
        <v>4.1698425922878412E-3</v>
      </c>
      <c r="R635" s="28">
        <f t="shared" si="138"/>
        <v>4.1853919310199088E-3</v>
      </c>
      <c r="S635" s="28">
        <f t="shared" si="138"/>
        <v>4.2000038310317607E-3</v>
      </c>
      <c r="T635" s="28">
        <f t="shared" si="138"/>
        <v>4.2061075046164898E-3</v>
      </c>
      <c r="U635" s="28">
        <f t="shared" si="138"/>
        <v>4.2131900717958127E-3</v>
      </c>
      <c r="V635" s="28">
        <f t="shared" si="138"/>
        <v>4.2212500803358944E-3</v>
      </c>
      <c r="W635" s="28">
        <f t="shared" si="138"/>
        <v>4.2303292900883332E-3</v>
      </c>
      <c r="X635" s="28">
        <f t="shared" si="138"/>
        <v>4.2402821478215117E-3</v>
      </c>
      <c r="Y635" s="28">
        <f t="shared" si="138"/>
        <v>4.2464088907965165E-3</v>
      </c>
      <c r="Z635" s="28">
        <f t="shared" si="138"/>
        <v>4.2532525892003629E-3</v>
      </c>
      <c r="AA635" s="28">
        <f t="shared" si="138"/>
        <v>4.2608380784408054E-3</v>
      </c>
      <c r="AB635" s="28">
        <f t="shared" si="138"/>
        <v>4.2690488119741668E-3</v>
      </c>
      <c r="AC635" s="28">
        <f t="shared" si="138"/>
        <v>4.2779141480319745E-3</v>
      </c>
      <c r="AD635" s="28">
        <f t="shared" si="138"/>
        <v>4.2837503639512487E-3</v>
      </c>
      <c r="AE635" s="28">
        <f t="shared" si="138"/>
        <v>4.2902004597760585E-3</v>
      </c>
      <c r="AF635" s="28">
        <f t="shared" si="138"/>
        <v>4.2972064265740855E-3</v>
      </c>
      <c r="AG635" s="28">
        <f t="shared" si="138"/>
        <v>4.3039750840459523E-3</v>
      </c>
      <c r="AH635" s="28">
        <f t="shared" si="138"/>
        <v>4.2750370466466056E-3</v>
      </c>
      <c r="AI635" s="28">
        <f t="shared" si="138"/>
        <v>4.2791467055130613E-3</v>
      </c>
      <c r="AJ635" s="28">
        <f t="shared" si="138"/>
        <v>4.2836817344289136E-3</v>
      </c>
      <c r="AK635" s="28">
        <f t="shared" si="138"/>
        <v>4.2886260632705817E-3</v>
      </c>
      <c r="AL635" s="28">
        <f t="shared" si="138"/>
        <v>4.2939648640350006E-3</v>
      </c>
      <c r="AM635" s="28">
        <f t="shared" si="138"/>
        <v>4.2996844329717928E-3</v>
      </c>
      <c r="AN635" s="28">
        <f t="shared" si="138"/>
        <v>4.3024601449639811E-3</v>
      </c>
      <c r="AO635" s="28">
        <f t="shared" si="138"/>
        <v>4.3055713379620639E-3</v>
      </c>
      <c r="AP635" s="28">
        <f t="shared" si="138"/>
        <v>4.3090063364360429E-3</v>
      </c>
      <c r="AQ635" s="28">
        <f t="shared" si="138"/>
        <v>4.3127542639722558E-3</v>
      </c>
      <c r="AR635" s="28">
        <f t="shared" si="138"/>
        <v>4.3168049753845332E-3</v>
      </c>
      <c r="AS635" s="28">
        <f t="shared" si="138"/>
        <v>4.3178042366162055E-3</v>
      </c>
      <c r="AT635" s="28">
        <f t="shared" si="138"/>
        <v>4.3190722183994593E-3</v>
      </c>
      <c r="AU635" s="28">
        <f t="shared" si="138"/>
        <v>4.3206000207146669E-3</v>
      </c>
      <c r="AV635" s="28">
        <f t="shared" si="138"/>
        <v>4.3223792870160944E-3</v>
      </c>
      <c r="AW635" s="28">
        <f t="shared" si="138"/>
        <v>4.3244021624378867E-3</v>
      </c>
      <c r="AY635" s="85"/>
      <c r="AZ635" s="85"/>
    </row>
    <row r="636" spans="1:52" x14ac:dyDescent="0.25">
      <c r="A636" s="102" t="str">
        <f t="shared" si="133"/>
        <v>NI Goats MMCH4</v>
      </c>
      <c r="B636" s="102" t="s">
        <v>970</v>
      </c>
      <c r="C636" s="102" t="s">
        <v>1326</v>
      </c>
      <c r="D636" t="s">
        <v>15</v>
      </c>
      <c r="E636" t="s">
        <v>22</v>
      </c>
      <c r="F636" t="s">
        <v>19</v>
      </c>
      <c r="G636" t="s">
        <v>122</v>
      </c>
      <c r="H636" t="s">
        <v>1228</v>
      </c>
      <c r="I636" t="s">
        <v>121</v>
      </c>
      <c r="J636" t="s">
        <v>286</v>
      </c>
      <c r="K636" s="28">
        <f t="shared" si="135"/>
        <v>1.578914847670768E-2</v>
      </c>
      <c r="L636" s="28">
        <f t="shared" si="138"/>
        <v>1.5830330315974785E-2</v>
      </c>
      <c r="M636" s="28">
        <f t="shared" si="138"/>
        <v>1.5885208764738982E-2</v>
      </c>
      <c r="N636" s="28">
        <f t="shared" si="138"/>
        <v>1.5952563767257691E-2</v>
      </c>
      <c r="O636" s="28">
        <f t="shared" si="138"/>
        <v>1.6033204709528407E-2</v>
      </c>
      <c r="P636" s="28">
        <f t="shared" si="138"/>
        <v>1.6127346186936543E-2</v>
      </c>
      <c r="Q636" s="28">
        <f t="shared" si="138"/>
        <v>1.6228000781801349E-2</v>
      </c>
      <c r="R636" s="28">
        <f t="shared" si="138"/>
        <v>1.6333729215934008E-2</v>
      </c>
      <c r="S636" s="28">
        <f t="shared" si="138"/>
        <v>1.6431946287378985E-2</v>
      </c>
      <c r="T636" s="28">
        <f t="shared" si="138"/>
        <v>1.6477973799395588E-2</v>
      </c>
      <c r="U636" s="28">
        <f t="shared" si="138"/>
        <v>1.6528445517692184E-2</v>
      </c>
      <c r="V636" s="28">
        <f t="shared" si="138"/>
        <v>1.6583425492153747E-2</v>
      </c>
      <c r="W636" s="28">
        <f t="shared" si="138"/>
        <v>1.6643220540411473E-2</v>
      </c>
      <c r="X636" s="28">
        <f t="shared" si="138"/>
        <v>1.6707025590946629E-2</v>
      </c>
      <c r="Y636" s="28">
        <f t="shared" si="138"/>
        <v>1.6747356446044817E-2</v>
      </c>
      <c r="Z636" s="28">
        <f t="shared" si="138"/>
        <v>1.679099238038791E-2</v>
      </c>
      <c r="AA636" s="28">
        <f t="shared" si="138"/>
        <v>1.6838113918664795E-2</v>
      </c>
      <c r="AB636" s="28">
        <f t="shared" si="138"/>
        <v>1.6888072337895171E-2</v>
      </c>
      <c r="AC636" s="28">
        <f t="shared" si="138"/>
        <v>1.6941067477261811E-2</v>
      </c>
      <c r="AD636" s="28">
        <f t="shared" si="138"/>
        <v>1.6975775774690904E-2</v>
      </c>
      <c r="AE636" s="28">
        <f t="shared" si="138"/>
        <v>1.7013417171997135E-2</v>
      </c>
      <c r="AF636" s="28">
        <f t="shared" si="138"/>
        <v>1.7053673452645857E-2</v>
      </c>
      <c r="AG636" s="28">
        <f t="shared" si="138"/>
        <v>1.7091991548522943E-2</v>
      </c>
      <c r="AH636" s="28">
        <f t="shared" si="138"/>
        <v>1.6924485926797139E-2</v>
      </c>
      <c r="AI636" s="28">
        <f t="shared" si="138"/>
        <v>1.6946898224790095E-2</v>
      </c>
      <c r="AJ636" s="28">
        <f t="shared" si="138"/>
        <v>1.6971320122511346E-2</v>
      </c>
      <c r="AK636" s="28">
        <f t="shared" si="138"/>
        <v>1.6997670008444151E-2</v>
      </c>
      <c r="AL636" s="28">
        <f t="shared" si="138"/>
        <v>1.7025872601317771E-2</v>
      </c>
      <c r="AM636" s="28">
        <f t="shared" si="138"/>
        <v>1.7055858343998281E-2</v>
      </c>
      <c r="AN636" s="28">
        <f t="shared" si="138"/>
        <v>1.706872967637315E-2</v>
      </c>
      <c r="AO636" s="28">
        <f t="shared" si="138"/>
        <v>1.7083207389206864E-2</v>
      </c>
      <c r="AP636" s="28">
        <f t="shared" si="138"/>
        <v>1.7099230922033661E-2</v>
      </c>
      <c r="AQ636" s="28">
        <f t="shared" si="138"/>
        <v>1.7116743868978143E-2</v>
      </c>
      <c r="AR636" s="28">
        <f t="shared" si="138"/>
        <v>1.7135693622819574E-2</v>
      </c>
      <c r="AS636" s="28">
        <f t="shared" si="138"/>
        <v>1.7137172081504573E-2</v>
      </c>
      <c r="AT636" s="28">
        <f t="shared" si="138"/>
        <v>1.7139965381039082E-2</v>
      </c>
      <c r="AU636" s="28">
        <f t="shared" si="138"/>
        <v>1.7144026301455787E-2</v>
      </c>
      <c r="AV636" s="28">
        <f t="shared" si="138"/>
        <v>1.7149310513066243E-2</v>
      </c>
      <c r="AW636" s="28">
        <f t="shared" si="138"/>
        <v>1.7155776352544339E-2</v>
      </c>
      <c r="AY636" s="85"/>
      <c r="AZ636" s="85"/>
    </row>
    <row r="637" spans="1:52" x14ac:dyDescent="0.25">
      <c r="A637" s="102" t="str">
        <f t="shared" si="133"/>
        <v>NI Goats MMCH4</v>
      </c>
      <c r="B637" s="102" t="s">
        <v>970</v>
      </c>
      <c r="C637" s="102" t="s">
        <v>1326</v>
      </c>
      <c r="D637" t="s">
        <v>15</v>
      </c>
      <c r="E637" t="s">
        <v>22</v>
      </c>
      <c r="F637" t="s">
        <v>19</v>
      </c>
      <c r="G637" t="s">
        <v>123</v>
      </c>
      <c r="H637" t="s">
        <v>1228</v>
      </c>
      <c r="I637" t="s">
        <v>121</v>
      </c>
      <c r="J637" t="s">
        <v>286</v>
      </c>
      <c r="K637" s="28">
        <f t="shared" si="135"/>
        <v>2.6591335822255355E-2</v>
      </c>
      <c r="L637" s="28">
        <f t="shared" si="138"/>
        <v>2.6660692324877722E-2</v>
      </c>
      <c r="M637" s="28">
        <f t="shared" si="138"/>
        <v>2.6753116008311057E-2</v>
      </c>
      <c r="N637" s="28">
        <f t="shared" si="138"/>
        <v>2.6866552112476273E-2</v>
      </c>
      <c r="O637" s="28">
        <f t="shared" si="138"/>
        <v>2.7002363766924078E-2</v>
      </c>
      <c r="P637" s="28">
        <f t="shared" si="138"/>
        <v>2.7160912383035713E-2</v>
      </c>
      <c r="Q637" s="28">
        <f t="shared" si="138"/>
        <v>2.7330430082995998E-2</v>
      </c>
      <c r="R637" s="28">
        <f t="shared" si="138"/>
        <v>2.7508492902668026E-2</v>
      </c>
      <c r="S637" s="28">
        <f t="shared" si="138"/>
        <v>2.7673905441167147E-2</v>
      </c>
      <c r="T637" s="28">
        <f t="shared" si="138"/>
        <v>2.7751422796260871E-2</v>
      </c>
      <c r="U637" s="28">
        <f t="shared" si="138"/>
        <v>2.783642487301826E-2</v>
      </c>
      <c r="V637" s="28">
        <f t="shared" si="138"/>
        <v>2.7929019541221126E-2</v>
      </c>
      <c r="W637" s="28">
        <f t="shared" si="138"/>
        <v>2.8029723528587808E-2</v>
      </c>
      <c r="X637" s="28">
        <f t="shared" si="138"/>
        <v>2.813718097180834E-2</v>
      </c>
      <c r="Y637" s="28">
        <f t="shared" si="138"/>
        <v>2.8205104287210486E-2</v>
      </c>
      <c r="Z637" s="28">
        <f t="shared" si="138"/>
        <v>2.827859386049221E-2</v>
      </c>
      <c r="AA637" s="28">
        <f t="shared" si="138"/>
        <v>2.8357953722781829E-2</v>
      </c>
      <c r="AB637" s="28">
        <f t="shared" si="138"/>
        <v>2.8442091325570455E-2</v>
      </c>
      <c r="AC637" s="28">
        <f t="shared" si="138"/>
        <v>2.8531343228541953E-2</v>
      </c>
      <c r="AD637" s="28">
        <f t="shared" si="138"/>
        <v>2.8589797298697615E-2</v>
      </c>
      <c r="AE637" s="28">
        <f t="shared" si="138"/>
        <v>2.8653191156704935E-2</v>
      </c>
      <c r="AF637" s="28">
        <f t="shared" si="138"/>
        <v>2.8720988877352402E-2</v>
      </c>
      <c r="AG637" s="28">
        <f t="shared" si="138"/>
        <v>2.8785522399032822E-2</v>
      </c>
      <c r="AH637" s="28">
        <f t="shared" si="138"/>
        <v>2.8503417366833182E-2</v>
      </c>
      <c r="AI637" s="28">
        <f t="shared" si="138"/>
        <v>2.8541163097285861E-2</v>
      </c>
      <c r="AJ637" s="28">
        <f t="shared" si="138"/>
        <v>2.8582293300392164E-2</v>
      </c>
      <c r="AK637" s="28">
        <f t="shared" si="138"/>
        <v>2.8626670529902105E-2</v>
      </c>
      <c r="AL637" s="28">
        <f t="shared" si="138"/>
        <v>2.8674168000666096E-2</v>
      </c>
      <c r="AM637" s="28">
        <f t="shared" si="138"/>
        <v>2.8724668567854592E-2</v>
      </c>
      <c r="AN637" s="28">
        <f t="shared" si="138"/>
        <v>2.8746345856035454E-2</v>
      </c>
      <c r="AO637" s="28">
        <f t="shared" si="138"/>
        <v>2.8770728534079647E-2</v>
      </c>
      <c r="AP637" s="28">
        <f t="shared" si="138"/>
        <v>2.8797714608919899E-2</v>
      </c>
      <c r="AQ637" s="28">
        <f t="shared" si="138"/>
        <v>2.8827209084453208E-2</v>
      </c>
      <c r="AR637" s="28">
        <f t="shared" si="138"/>
        <v>2.8859123362090785E-2</v>
      </c>
      <c r="AS637" s="28">
        <f t="shared" si="138"/>
        <v>2.8861613312163151E-2</v>
      </c>
      <c r="AT637" s="28">
        <f t="shared" si="138"/>
        <v>2.8866317654901063E-2</v>
      </c>
      <c r="AU637" s="28">
        <f t="shared" si="138"/>
        <v>2.887315686467273E-2</v>
      </c>
      <c r="AV637" s="28">
        <f t="shared" si="138"/>
        <v>2.888205628351705E-2</v>
      </c>
      <c r="AW637" s="28">
        <f t="shared" si="138"/>
        <v>2.8892945744034091E-2</v>
      </c>
      <c r="AY637" s="85"/>
      <c r="AZ637" s="85"/>
    </row>
    <row r="638" spans="1:52" x14ac:dyDescent="0.25">
      <c r="A638" s="102" t="str">
        <f t="shared" si="133"/>
        <v>NI Horses MMCH4</v>
      </c>
      <c r="B638" s="102" t="s">
        <v>970</v>
      </c>
      <c r="C638" s="102" t="s">
        <v>1327</v>
      </c>
      <c r="D638" t="s">
        <v>15</v>
      </c>
      <c r="E638" t="s">
        <v>22</v>
      </c>
      <c r="F638" t="s">
        <v>20</v>
      </c>
      <c r="G638" t="s">
        <v>3</v>
      </c>
      <c r="H638" t="s">
        <v>1228</v>
      </c>
      <c r="I638" t="s">
        <v>121</v>
      </c>
      <c r="J638" t="s">
        <v>286</v>
      </c>
      <c r="K638" s="28">
        <f t="shared" si="135"/>
        <v>4.1462896209668214E-3</v>
      </c>
      <c r="L638" s="28">
        <f t="shared" si="138"/>
        <v>4.1705892650270686E-3</v>
      </c>
      <c r="M638" s="28">
        <f t="shared" si="138"/>
        <v>4.1765760669998774E-3</v>
      </c>
      <c r="N638" s="28">
        <f t="shared" si="138"/>
        <v>4.1582865548880337E-3</v>
      </c>
      <c r="O638" s="28">
        <f t="shared" si="138"/>
        <v>4.1389364137095824E-3</v>
      </c>
      <c r="P638" s="28">
        <f t="shared" si="138"/>
        <v>4.1297300373309533E-3</v>
      </c>
      <c r="Q638" s="28">
        <f t="shared" si="138"/>
        <v>4.1235897943981579E-3</v>
      </c>
      <c r="R638" s="28">
        <f t="shared" si="138"/>
        <v>4.0939723150578283E-3</v>
      </c>
      <c r="S638" s="28">
        <f t="shared" si="138"/>
        <v>3.8546694485950316E-3</v>
      </c>
      <c r="T638" s="28">
        <f t="shared" si="138"/>
        <v>3.8885582856899971E-3</v>
      </c>
      <c r="U638" s="28">
        <f t="shared" si="138"/>
        <v>3.9163093014231119E-3</v>
      </c>
      <c r="V638" s="28">
        <f t="shared" si="138"/>
        <v>3.943499319412006E-3</v>
      </c>
      <c r="W638" s="28">
        <f t="shared" si="138"/>
        <v>3.9787498507285772E-3</v>
      </c>
      <c r="X638" s="28">
        <f t="shared" si="138"/>
        <v>4.0133556413366692E-3</v>
      </c>
      <c r="Y638" s="28">
        <f t="shared" si="138"/>
        <v>4.0529996928532061E-3</v>
      </c>
      <c r="Z638" s="28">
        <f t="shared" si="138"/>
        <v>4.0900631434267433E-3</v>
      </c>
      <c r="AA638" s="28">
        <f t="shared" si="138"/>
        <v>4.1299322607386601E-3</v>
      </c>
      <c r="AB638" s="28">
        <f t="shared" si="138"/>
        <v>4.1653099616518066E-3</v>
      </c>
      <c r="AC638" s="28">
        <f t="shared" si="138"/>
        <v>4.2013445039546862E-3</v>
      </c>
      <c r="AD638" s="28">
        <f t="shared" si="138"/>
        <v>4.251252835120037E-3</v>
      </c>
      <c r="AE638" s="28">
        <f t="shared" si="138"/>
        <v>4.3057143858228663E-3</v>
      </c>
      <c r="AF638" s="28">
        <f t="shared" si="138"/>
        <v>4.3617167354082645E-3</v>
      </c>
      <c r="AG638" s="28">
        <f t="shared" si="138"/>
        <v>4.3537503349345688E-3</v>
      </c>
      <c r="AH638" s="28">
        <f t="shared" si="138"/>
        <v>1.2882018816554785E-3</v>
      </c>
      <c r="AI638" s="28">
        <f t="shared" si="138"/>
        <v>1.2882018816554785E-3</v>
      </c>
      <c r="AJ638" s="28">
        <f t="shared" si="138"/>
        <v>1.2882018816554785E-3</v>
      </c>
      <c r="AK638" s="28">
        <f t="shared" si="138"/>
        <v>1.2882018816554785E-3</v>
      </c>
      <c r="AL638" s="28">
        <f t="shared" si="138"/>
        <v>1.2882018816554785E-3</v>
      </c>
      <c r="AM638" s="28">
        <f t="shared" si="138"/>
        <v>1.2882018816554785E-3</v>
      </c>
      <c r="AN638" s="28">
        <f t="shared" si="138"/>
        <v>1.2882018816554785E-3</v>
      </c>
      <c r="AO638" s="28">
        <f t="shared" si="138"/>
        <v>1.2882018816554785E-3</v>
      </c>
      <c r="AP638" s="28">
        <f t="shared" si="138"/>
        <v>1.2882018816554785E-3</v>
      </c>
      <c r="AQ638" s="28">
        <f t="shared" si="138"/>
        <v>1.2882018816554785E-3</v>
      </c>
      <c r="AR638" s="28">
        <f t="shared" si="138"/>
        <v>1.2882018816554785E-3</v>
      </c>
      <c r="AS638" s="28">
        <f t="shared" si="138"/>
        <v>1.2882018816554785E-3</v>
      </c>
      <c r="AT638" s="28">
        <f t="shared" si="138"/>
        <v>1.2882018816554785E-3</v>
      </c>
      <c r="AU638" s="28">
        <f t="shared" si="138"/>
        <v>1.2882018816554785E-3</v>
      </c>
      <c r="AV638" s="28">
        <f t="shared" si="138"/>
        <v>1.2882018816554785E-3</v>
      </c>
      <c r="AW638" s="28">
        <f t="shared" si="138"/>
        <v>1.2882018816554785E-3</v>
      </c>
      <c r="AY638" s="85"/>
      <c r="AZ638" s="85"/>
    </row>
    <row r="639" spans="1:52" x14ac:dyDescent="0.25">
      <c r="A639" s="102" t="str">
        <f t="shared" si="133"/>
        <v>NI Mules MMCH4</v>
      </c>
      <c r="B639" s="102" t="s">
        <v>970</v>
      </c>
      <c r="C639" s="102" t="s">
        <v>1328</v>
      </c>
      <c r="D639" t="s">
        <v>15</v>
      </c>
      <c r="E639" t="s">
        <v>22</v>
      </c>
      <c r="F639" t="s">
        <v>140</v>
      </c>
      <c r="G639" t="s">
        <v>124</v>
      </c>
      <c r="H639" t="s">
        <v>1228</v>
      </c>
      <c r="I639" t="s">
        <v>121</v>
      </c>
      <c r="J639" t="s">
        <v>286</v>
      </c>
      <c r="K639" s="28">
        <f t="shared" si="135"/>
        <v>7.515E-4</v>
      </c>
      <c r="L639" s="28">
        <f t="shared" si="138"/>
        <v>7.515E-4</v>
      </c>
      <c r="M639" s="28">
        <f t="shared" si="138"/>
        <v>7.515E-4</v>
      </c>
      <c r="N639" s="28">
        <f t="shared" si="138"/>
        <v>7.515E-4</v>
      </c>
      <c r="O639" s="28">
        <f t="shared" si="138"/>
        <v>7.515E-4</v>
      </c>
      <c r="P639" s="28">
        <f t="shared" si="138"/>
        <v>7.515E-4</v>
      </c>
      <c r="Q639" s="28">
        <f t="shared" si="138"/>
        <v>7.515E-4</v>
      </c>
      <c r="R639" s="28">
        <f t="shared" si="138"/>
        <v>7.515E-4</v>
      </c>
      <c r="S639" s="28">
        <f t="shared" si="138"/>
        <v>7.515E-4</v>
      </c>
      <c r="T639" s="28">
        <f t="shared" si="138"/>
        <v>7.515E-4</v>
      </c>
      <c r="U639" s="28">
        <f t="shared" si="138"/>
        <v>7.515E-4</v>
      </c>
      <c r="V639" s="28">
        <f t="shared" si="138"/>
        <v>7.515E-4</v>
      </c>
      <c r="W639" s="28">
        <f t="shared" si="138"/>
        <v>7.515E-4</v>
      </c>
      <c r="X639" s="28">
        <f t="shared" si="138"/>
        <v>7.515E-4</v>
      </c>
      <c r="Y639" s="28">
        <f t="shared" si="138"/>
        <v>7.515E-4</v>
      </c>
      <c r="Z639" s="28">
        <f t="shared" si="138"/>
        <v>7.515E-4</v>
      </c>
      <c r="AA639" s="28">
        <f t="shared" si="138"/>
        <v>7.515E-4</v>
      </c>
      <c r="AB639" s="28">
        <f t="shared" si="138"/>
        <v>7.515E-4</v>
      </c>
      <c r="AC639" s="28">
        <f t="shared" si="138"/>
        <v>7.515E-4</v>
      </c>
      <c r="AD639" s="28">
        <f t="shared" si="138"/>
        <v>7.515E-4</v>
      </c>
      <c r="AE639" s="28">
        <f t="shared" si="138"/>
        <v>7.515E-4</v>
      </c>
      <c r="AF639" s="28">
        <f t="shared" si="138"/>
        <v>7.515E-4</v>
      </c>
      <c r="AG639" s="28">
        <f t="shared" si="138"/>
        <v>7.515E-4</v>
      </c>
      <c r="AH639" s="28">
        <f t="shared" si="138"/>
        <v>7.515E-4</v>
      </c>
      <c r="AI639" s="28">
        <f t="shared" si="138"/>
        <v>7.515E-4</v>
      </c>
      <c r="AJ639" s="28">
        <f t="shared" si="138"/>
        <v>7.515E-4</v>
      </c>
      <c r="AK639" s="28">
        <f t="shared" si="138"/>
        <v>7.515E-4</v>
      </c>
      <c r="AL639" s="28">
        <f t="shared" si="138"/>
        <v>7.515E-4</v>
      </c>
      <c r="AM639" s="28">
        <f t="shared" si="138"/>
        <v>7.515E-4</v>
      </c>
      <c r="AN639" s="28">
        <f t="shared" si="138"/>
        <v>7.515E-4</v>
      </c>
      <c r="AO639" s="28">
        <f t="shared" si="138"/>
        <v>7.515E-4</v>
      </c>
      <c r="AP639" s="28">
        <f t="shared" si="138"/>
        <v>7.515E-4</v>
      </c>
      <c r="AQ639" s="28">
        <f t="shared" si="138"/>
        <v>7.515E-4</v>
      </c>
      <c r="AR639" s="28">
        <f t="shared" si="138"/>
        <v>7.515E-4</v>
      </c>
      <c r="AS639" s="28">
        <f t="shared" si="138"/>
        <v>7.515E-4</v>
      </c>
      <c r="AT639" s="28">
        <f t="shared" si="138"/>
        <v>7.515E-4</v>
      </c>
      <c r="AU639" s="28">
        <f t="shared" si="138"/>
        <v>7.515E-4</v>
      </c>
      <c r="AV639" s="28">
        <f t="shared" si="138"/>
        <v>7.515E-4</v>
      </c>
      <c r="AW639" s="28">
        <f t="shared" si="138"/>
        <v>7.515E-4</v>
      </c>
      <c r="AY639" s="85"/>
      <c r="AZ639" s="85"/>
    </row>
    <row r="640" spans="1:52" x14ac:dyDescent="0.25">
      <c r="A640" s="102" t="str">
        <f t="shared" si="133"/>
        <v>NI Swine MMCH4</v>
      </c>
      <c r="B640" s="102" t="s">
        <v>970</v>
      </c>
      <c r="C640" s="102" t="s">
        <v>1231</v>
      </c>
      <c r="D640" t="s">
        <v>15</v>
      </c>
      <c r="E640" t="s">
        <v>22</v>
      </c>
      <c r="F640" t="s">
        <v>21</v>
      </c>
      <c r="G640" t="s">
        <v>122</v>
      </c>
      <c r="H640" t="s">
        <v>1228</v>
      </c>
      <c r="I640" t="s">
        <v>121</v>
      </c>
      <c r="J640" t="s">
        <v>286</v>
      </c>
      <c r="K640" s="28">
        <f t="shared" si="135"/>
        <v>23.457025843160746</v>
      </c>
      <c r="L640" s="28">
        <f t="shared" si="138"/>
        <v>23.382986937378849</v>
      </c>
      <c r="M640" s="28">
        <f t="shared" si="138"/>
        <v>23.13814083382033</v>
      </c>
      <c r="N640" s="28">
        <f t="shared" si="138"/>
        <v>22.662740453710065</v>
      </c>
      <c r="O640" s="28">
        <f t="shared" si="138"/>
        <v>22.20814052076085</v>
      </c>
      <c r="P640" s="28">
        <f t="shared" si="138"/>
        <v>21.88923282801473</v>
      </c>
      <c r="Q640" s="28">
        <f t="shared" si="138"/>
        <v>21.619144612435328</v>
      </c>
      <c r="R640" s="28">
        <f t="shared" si="138"/>
        <v>21.121805661826951</v>
      </c>
      <c r="S640" s="28">
        <f t="shared" si="138"/>
        <v>18.490541417957555</v>
      </c>
      <c r="T640" s="28">
        <f t="shared" si="138"/>
        <v>18.608041284910804</v>
      </c>
      <c r="U640" s="28">
        <f t="shared" si="138"/>
        <v>18.667021404289045</v>
      </c>
      <c r="V640" s="28">
        <f t="shared" si="138"/>
        <v>18.724361625340102</v>
      </c>
      <c r="W640" s="28">
        <f t="shared" si="138"/>
        <v>18.864420993049936</v>
      </c>
      <c r="X640" s="28">
        <f t="shared" si="138"/>
        <v>18.999771799577022</v>
      </c>
      <c r="Y640" s="28">
        <f t="shared" si="138"/>
        <v>19.155053851314552</v>
      </c>
      <c r="Z640" s="28">
        <f t="shared" si="138"/>
        <v>19.285389594633891</v>
      </c>
      <c r="AA640" s="28">
        <f t="shared" si="138"/>
        <v>19.442022836092864</v>
      </c>
      <c r="AB640" s="28">
        <f t="shared" si="138"/>
        <v>19.556042835681847</v>
      </c>
      <c r="AC640" s="28">
        <f t="shared" si="138"/>
        <v>19.675981891326479</v>
      </c>
      <c r="AD640" s="28">
        <f t="shared" si="138"/>
        <v>19.897202740032366</v>
      </c>
      <c r="AE640" s="28">
        <f t="shared" si="138"/>
        <v>20.155624807886987</v>
      </c>
      <c r="AF640" s="28">
        <f t="shared" si="138"/>
        <v>20.423045067986479</v>
      </c>
      <c r="AG640" s="28">
        <f t="shared" si="138"/>
        <v>20.122488548289958</v>
      </c>
      <c r="AH640" s="28">
        <f t="shared" si="138"/>
        <v>-6.7894777188619928</v>
      </c>
      <c r="AI640" s="28">
        <f t="shared" si="138"/>
        <v>-6.7152117988933071</v>
      </c>
      <c r="AJ640" s="28">
        <f t="shared" si="138"/>
        <v>-6.6425365492848538</v>
      </c>
      <c r="AK640" s="28">
        <f t="shared" si="138"/>
        <v>-6.5713479103809611</v>
      </c>
      <c r="AL640" s="28">
        <f t="shared" si="138"/>
        <v>-6.5015494417857838</v>
      </c>
      <c r="AM640" s="28">
        <f t="shared" si="138"/>
        <v>-6.4330515855366484</v>
      </c>
      <c r="AN640" s="28">
        <f t="shared" si="138"/>
        <v>-6.3579230849055142</v>
      </c>
      <c r="AO640" s="28">
        <f t="shared" si="138"/>
        <v>-6.2841192058185475</v>
      </c>
      <c r="AP640" s="28">
        <f t="shared" si="138"/>
        <v>-6.2115625843192586</v>
      </c>
      <c r="AQ640" s="28">
        <f t="shared" si="138"/>
        <v>-6.1401809096937727</v>
      </c>
      <c r="AR640" s="28">
        <f t="shared" si="138"/>
        <v>-6.069906487857895</v>
      </c>
      <c r="AS640" s="28">
        <f t="shared" si="138"/>
        <v>-5.9933231004711045</v>
      </c>
      <c r="AT640" s="28">
        <f t="shared" si="138"/>
        <v>-5.917909419883066</v>
      </c>
      <c r="AU640" s="28">
        <f t="shared" si="138"/>
        <v>-5.8436052370026852</v>
      </c>
      <c r="AV640" s="28">
        <f t="shared" si="138"/>
        <v>-5.7703539001026636</v>
      </c>
      <c r="AW640" s="28">
        <f t="shared" si="138"/>
        <v>-5.6981020374621041</v>
      </c>
      <c r="AY640" s="85"/>
      <c r="AZ640" s="85"/>
    </row>
    <row r="641" spans="1:52" x14ac:dyDescent="0.25">
      <c r="A641" s="102" t="str">
        <f t="shared" si="133"/>
        <v>NI Swine MMCH4</v>
      </c>
      <c r="B641" s="102" t="s">
        <v>970</v>
      </c>
      <c r="C641" s="102" t="s">
        <v>1231</v>
      </c>
      <c r="D641" t="s">
        <v>15</v>
      </c>
      <c r="E641" t="s">
        <v>22</v>
      </c>
      <c r="F641" t="s">
        <v>21</v>
      </c>
      <c r="G641" t="s">
        <v>123</v>
      </c>
      <c r="H641" t="s">
        <v>1228</v>
      </c>
      <c r="I641" t="s">
        <v>121</v>
      </c>
      <c r="J641" t="s">
        <v>286</v>
      </c>
      <c r="K641" s="28">
        <f t="shared" si="135"/>
        <v>7.8527817196558602E-2</v>
      </c>
      <c r="L641" s="28">
        <f t="shared" si="138"/>
        <v>7.8279954841904253E-2</v>
      </c>
      <c r="M641" s="28">
        <f t="shared" si="138"/>
        <v>7.7460275902635017E-2</v>
      </c>
      <c r="N641" s="28">
        <f t="shared" si="138"/>
        <v>7.5868763219224714E-2</v>
      </c>
      <c r="O641" s="28">
        <f t="shared" si="138"/>
        <v>7.4346884841680436E-2</v>
      </c>
      <c r="P641" s="28">
        <f t="shared" si="138"/>
        <v>7.3279267609811918E-2</v>
      </c>
      <c r="Q641" s="28">
        <f t="shared" si="138"/>
        <v>7.2375084864660211E-2</v>
      </c>
      <c r="R641" s="28">
        <f t="shared" si="138"/>
        <v>7.0710127744382734E-2</v>
      </c>
      <c r="S641" s="28">
        <f t="shared" si="138"/>
        <v>6.1901362348463523E-2</v>
      </c>
      <c r="T641" s="28">
        <f t="shared" si="138"/>
        <v>6.2294720318669075E-2</v>
      </c>
      <c r="U641" s="28">
        <f t="shared" ref="L641:AW647" si="139">U1406</f>
        <v>6.2492169904295722E-2</v>
      </c>
      <c r="V641" s="28">
        <f t="shared" si="139"/>
        <v>6.2684129551133075E-2</v>
      </c>
      <c r="W641" s="28">
        <f t="shared" si="139"/>
        <v>6.3153010665803033E-2</v>
      </c>
      <c r="X641" s="28">
        <f t="shared" si="139"/>
        <v>6.360612878331004E-2</v>
      </c>
      <c r="Y641" s="28">
        <f t="shared" si="139"/>
        <v>6.4125971352196762E-2</v>
      </c>
      <c r="Z641" s="28">
        <f t="shared" si="139"/>
        <v>6.4562300386149837E-2</v>
      </c>
      <c r="AA641" s="28">
        <f t="shared" si="139"/>
        <v>6.5086666375019683E-2</v>
      </c>
      <c r="AB641" s="28">
        <f t="shared" si="139"/>
        <v>6.5468374684689551E-2</v>
      </c>
      <c r="AC641" s="28">
        <f t="shared" si="139"/>
        <v>6.5869898402971833E-2</v>
      </c>
      <c r="AD641" s="28">
        <f t="shared" si="139"/>
        <v>6.6610486339541322E-2</v>
      </c>
      <c r="AE641" s="28">
        <f t="shared" si="139"/>
        <v>6.7475613958009675E-2</v>
      </c>
      <c r="AF641" s="28">
        <f t="shared" si="139"/>
        <v>6.8370865105369938E-2</v>
      </c>
      <c r="AG641" s="28">
        <f t="shared" si="139"/>
        <v>6.7364682668015305E-2</v>
      </c>
      <c r="AH641" s="28">
        <f t="shared" si="139"/>
        <v>-2.2729346368621329E-2</v>
      </c>
      <c r="AI641" s="28">
        <f t="shared" si="139"/>
        <v>-2.2480724031491765E-2</v>
      </c>
      <c r="AJ641" s="28">
        <f t="shared" si="139"/>
        <v>-2.2237426831150792E-2</v>
      </c>
      <c r="AK641" s="28">
        <f t="shared" si="139"/>
        <v>-2.1999106403842797E-2</v>
      </c>
      <c r="AL641" s="28">
        <f t="shared" si="139"/>
        <v>-2.1765439893045996E-2</v>
      </c>
      <c r="AM641" s="28">
        <f t="shared" si="139"/>
        <v>-2.1536127482774822E-2</v>
      </c>
      <c r="AN641" s="28">
        <f t="shared" si="139"/>
        <v>-2.1284617457451926E-2</v>
      </c>
      <c r="AO641" s="28">
        <f t="shared" si="139"/>
        <v>-2.1037541908996236E-2</v>
      </c>
      <c r="AP641" s="28">
        <f t="shared" si="139"/>
        <v>-2.0794641843677117E-2</v>
      </c>
      <c r="AQ641" s="28">
        <f t="shared" si="139"/>
        <v>-2.0555675184661872E-2</v>
      </c>
      <c r="AR641" s="28">
        <f t="shared" si="139"/>
        <v>-2.0320415310353012E-2</v>
      </c>
      <c r="AS641" s="28">
        <f t="shared" si="139"/>
        <v>-2.0064034715250558E-2</v>
      </c>
      <c r="AT641" s="28">
        <f t="shared" si="139"/>
        <v>-1.9811569984089266E-2</v>
      </c>
      <c r="AU641" s="28">
        <f t="shared" si="139"/>
        <v>-1.9562819553016541E-2</v>
      </c>
      <c r="AV641" s="28">
        <f t="shared" si="139"/>
        <v>-1.9317593767277572E-2</v>
      </c>
      <c r="AW641" s="28">
        <f t="shared" si="139"/>
        <v>-1.907571395269729E-2</v>
      </c>
      <c r="AY641" s="85"/>
      <c r="AZ641" s="85"/>
    </row>
    <row r="642" spans="1:52" x14ac:dyDescent="0.25">
      <c r="A642" s="102" t="str">
        <f t="shared" si="133"/>
        <v>NI Poultry MMCH4</v>
      </c>
      <c r="B642" s="102" t="s">
        <v>970</v>
      </c>
      <c r="C642" s="102" t="s">
        <v>1232</v>
      </c>
      <c r="D642" t="s">
        <v>15</v>
      </c>
      <c r="E642" t="s">
        <v>22</v>
      </c>
      <c r="F642" t="s">
        <v>28</v>
      </c>
      <c r="G642" t="s">
        <v>131</v>
      </c>
      <c r="H642" t="s">
        <v>1228</v>
      </c>
      <c r="I642" t="s">
        <v>121</v>
      </c>
      <c r="J642" t="s">
        <v>286</v>
      </c>
      <c r="K642" s="28">
        <f t="shared" si="135"/>
        <v>0.55890468998141496</v>
      </c>
      <c r="L642" s="28">
        <f t="shared" si="139"/>
        <v>0.57100815822901829</v>
      </c>
      <c r="M642" s="28">
        <f t="shared" si="139"/>
        <v>0.58076061949579127</v>
      </c>
      <c r="N642" s="28">
        <f t="shared" si="139"/>
        <v>0.58713273634766394</v>
      </c>
      <c r="O642" s="28">
        <f t="shared" si="139"/>
        <v>0.59359134329353236</v>
      </c>
      <c r="P642" s="28">
        <f t="shared" si="139"/>
        <v>0.60191770622970409</v>
      </c>
      <c r="Q642" s="28">
        <f t="shared" si="139"/>
        <v>0.61082194696949044</v>
      </c>
      <c r="R642" s="28">
        <f t="shared" si="139"/>
        <v>0.61600023875173726</v>
      </c>
      <c r="S642" s="28">
        <f t="shared" si="139"/>
        <v>0.58621039395021657</v>
      </c>
      <c r="T642" s="28">
        <f t="shared" si="139"/>
        <v>0.59879553943192321</v>
      </c>
      <c r="U642" s="28">
        <f t="shared" si="139"/>
        <v>0.61054377323307962</v>
      </c>
      <c r="V642" s="28">
        <f t="shared" si="139"/>
        <v>0.62238475303160634</v>
      </c>
      <c r="W642" s="28">
        <f t="shared" si="139"/>
        <v>0.63582344873120078</v>
      </c>
      <c r="X642" s="28">
        <f t="shared" si="139"/>
        <v>0.6493737760577617</v>
      </c>
      <c r="Y642" s="28">
        <f t="shared" si="139"/>
        <v>0.66294132390021665</v>
      </c>
      <c r="Z642" s="28">
        <f t="shared" si="139"/>
        <v>0.67624718076087176</v>
      </c>
      <c r="AA642" s="28">
        <f t="shared" si="139"/>
        <v>0.69026013489965976</v>
      </c>
      <c r="AB642" s="28">
        <f t="shared" si="139"/>
        <v>0.70365733936336983</v>
      </c>
      <c r="AC642" s="28">
        <f t="shared" si="139"/>
        <v>0.71737227237227463</v>
      </c>
      <c r="AD642" s="28">
        <f t="shared" si="139"/>
        <v>0.7329223784090988</v>
      </c>
      <c r="AE642" s="28">
        <f t="shared" si="139"/>
        <v>0.74954420563381685</v>
      </c>
      <c r="AF642" s="28">
        <f t="shared" si="139"/>
        <v>0.76668896317960933</v>
      </c>
      <c r="AG642" s="28">
        <f t="shared" si="139"/>
        <v>0.77179208889456419</v>
      </c>
      <c r="AH642" s="28">
        <f t="shared" si="139"/>
        <v>0.1849915255736751</v>
      </c>
      <c r="AI642" s="28">
        <f t="shared" si="139"/>
        <v>0.18641334189853098</v>
      </c>
      <c r="AJ642" s="28">
        <f t="shared" si="139"/>
        <v>0.18784551012942485</v>
      </c>
      <c r="AK642" s="28">
        <f t="shared" si="139"/>
        <v>0.18928810909326649</v>
      </c>
      <c r="AL642" s="28">
        <f t="shared" si="139"/>
        <v>0.19074121797493229</v>
      </c>
      <c r="AM642" s="28">
        <f t="shared" si="139"/>
        <v>0.19220491634055523</v>
      </c>
      <c r="AN642" s="28">
        <f t="shared" si="139"/>
        <v>0.19345615565117347</v>
      </c>
      <c r="AO642" s="28">
        <f t="shared" si="139"/>
        <v>0.19471511856878457</v>
      </c>
      <c r="AP642" s="28">
        <f t="shared" si="139"/>
        <v>0.1959818552978623</v>
      </c>
      <c r="AQ642" s="28">
        <f t="shared" si="139"/>
        <v>0.19725641621087697</v>
      </c>
      <c r="AR642" s="28">
        <f t="shared" si="139"/>
        <v>0.19853885186147341</v>
      </c>
      <c r="AS642" s="28">
        <f t="shared" si="139"/>
        <v>0.19959990963889776</v>
      </c>
      <c r="AT642" s="28">
        <f t="shared" si="139"/>
        <v>0.20066634279480103</v>
      </c>
      <c r="AU642" s="28">
        <f t="shared" si="139"/>
        <v>0.20173818048457057</v>
      </c>
      <c r="AV642" s="28">
        <f t="shared" si="139"/>
        <v>0.20281545191264314</v>
      </c>
      <c r="AW642" s="28">
        <f t="shared" si="139"/>
        <v>0.20389818634036988</v>
      </c>
      <c r="AY642" s="85"/>
      <c r="AZ642" s="85"/>
    </row>
    <row r="643" spans="1:52" x14ac:dyDescent="0.25">
      <c r="A643" s="102" t="str">
        <f t="shared" si="133"/>
        <v>NI Poultry MMCH4</v>
      </c>
      <c r="B643" s="102" t="s">
        <v>970</v>
      </c>
      <c r="C643" s="102" t="s">
        <v>1232</v>
      </c>
      <c r="D643" t="s">
        <v>15</v>
      </c>
      <c r="E643" t="s">
        <v>22</v>
      </c>
      <c r="F643" t="s">
        <v>28</v>
      </c>
      <c r="G643" t="s">
        <v>132</v>
      </c>
      <c r="H643" t="s">
        <v>1228</v>
      </c>
      <c r="I643" t="s">
        <v>121</v>
      </c>
      <c r="J643" t="s">
        <v>286</v>
      </c>
      <c r="K643" s="28">
        <f t="shared" si="135"/>
        <v>2.2359130252274535</v>
      </c>
      <c r="L643" s="28">
        <f t="shared" si="139"/>
        <v>2.2721966041793928</v>
      </c>
      <c r="M643" s="28">
        <f t="shared" si="139"/>
        <v>2.2829699564071859</v>
      </c>
      <c r="N643" s="28">
        <f t="shared" si="139"/>
        <v>2.2588206467778473</v>
      </c>
      <c r="O643" s="28">
        <f t="shared" si="139"/>
        <v>2.2347231893932196</v>
      </c>
      <c r="P643" s="28">
        <f t="shared" si="139"/>
        <v>2.2277310720056978</v>
      </c>
      <c r="Q643" s="28">
        <f t="shared" si="139"/>
        <v>2.2262744989012253</v>
      </c>
      <c r="R643" s="28">
        <f t="shared" si="139"/>
        <v>2.1891395906785935</v>
      </c>
      <c r="S643" s="28">
        <f t="shared" si="139"/>
        <v>1.8240868851485099</v>
      </c>
      <c r="T643" s="28">
        <f t="shared" si="139"/>
        <v>1.8778928986212129</v>
      </c>
      <c r="U643" s="28">
        <f t="shared" si="139"/>
        <v>1.9228674992863757</v>
      </c>
      <c r="V643" s="28">
        <f t="shared" si="139"/>
        <v>1.9677329744500112</v>
      </c>
      <c r="W643" s="28">
        <f t="shared" si="139"/>
        <v>2.0261043748595982</v>
      </c>
      <c r="X643" s="28">
        <f t="shared" si="139"/>
        <v>2.0843005626552618</v>
      </c>
      <c r="Y643" s="28">
        <f t="shared" si="139"/>
        <v>2.1481960991761384</v>
      </c>
      <c r="Z643" s="28">
        <f t="shared" si="139"/>
        <v>2.208679923214985</v>
      </c>
      <c r="AA643" s="28">
        <f t="shared" si="139"/>
        <v>2.2743218882510807</v>
      </c>
      <c r="AB643" s="28">
        <f t="shared" si="139"/>
        <v>2.3335097773270199</v>
      </c>
      <c r="AC643" s="28">
        <f t="shared" si="139"/>
        <v>2.3944453885765151</v>
      </c>
      <c r="AD643" s="28">
        <f t="shared" si="139"/>
        <v>2.4754243930729589</v>
      </c>
      <c r="AE643" s="28">
        <f t="shared" si="139"/>
        <v>2.5643290582437364</v>
      </c>
      <c r="AF643" s="28">
        <f t="shared" si="139"/>
        <v>2.656369337897865</v>
      </c>
      <c r="AG643" s="28">
        <f t="shared" si="139"/>
        <v>2.6461200420455202</v>
      </c>
      <c r="AH643" s="28">
        <f t="shared" si="139"/>
        <v>-2.2948520289362109</v>
      </c>
      <c r="AI643" s="28">
        <f t="shared" si="139"/>
        <v>-2.2981400819551214</v>
      </c>
      <c r="AJ643" s="28">
        <f t="shared" si="139"/>
        <v>-2.3017063755775586</v>
      </c>
      <c r="AK643" s="28">
        <f t="shared" si="139"/>
        <v>-2.3055392982644372</v>
      </c>
      <c r="AL643" s="28">
        <f t="shared" si="139"/>
        <v>-2.3096281403729781</v>
      </c>
      <c r="AM643" s="28">
        <f t="shared" si="139"/>
        <v>-2.3139630075215134</v>
      </c>
      <c r="AN643" s="28">
        <f t="shared" si="139"/>
        <v>-2.3157471615489813</v>
      </c>
      <c r="AO643" s="28">
        <f t="shared" si="139"/>
        <v>-2.3177549214936723</v>
      </c>
      <c r="AP643" s="28">
        <f t="shared" si="139"/>
        <v>-2.3199776048516689</v>
      </c>
      <c r="AQ643" s="28">
        <f t="shared" si="139"/>
        <v>-2.3224071252966718</v>
      </c>
      <c r="AR643" s="28">
        <f t="shared" si="139"/>
        <v>-2.3250359414523776</v>
      </c>
      <c r="AS643" s="28">
        <f t="shared" si="139"/>
        <v>-2.3250730145110658</v>
      </c>
      <c r="AT643" s="28">
        <f t="shared" si="139"/>
        <v>-2.3252946526138598</v>
      </c>
      <c r="AU643" s="28">
        <f t="shared" si="139"/>
        <v>-2.3256940319059596</v>
      </c>
      <c r="AV643" s="28">
        <f t="shared" si="139"/>
        <v>-2.3262647465769009</v>
      </c>
      <c r="AW643" s="28">
        <f t="shared" si="139"/>
        <v>-2.3270007763918432</v>
      </c>
      <c r="AY643" s="85"/>
      <c r="AZ643" s="85"/>
    </row>
    <row r="644" spans="1:52" x14ac:dyDescent="0.25">
      <c r="A644" s="102" t="str">
        <f t="shared" si="133"/>
        <v>NI Poultry MMCH4</v>
      </c>
      <c r="B644" s="102" t="s">
        <v>970</v>
      </c>
      <c r="C644" s="102" t="s">
        <v>1232</v>
      </c>
      <c r="D644" t="s">
        <v>15</v>
      </c>
      <c r="E644" t="s">
        <v>22</v>
      </c>
      <c r="F644" t="s">
        <v>28</v>
      </c>
      <c r="G644" t="s">
        <v>134</v>
      </c>
      <c r="H644" t="s">
        <v>1228</v>
      </c>
      <c r="I644" t="s">
        <v>121</v>
      </c>
      <c r="J644" t="s">
        <v>286</v>
      </c>
      <c r="K644" s="28">
        <f t="shared" si="135"/>
        <v>2.3287695415892307E-2</v>
      </c>
      <c r="L644" s="28">
        <f t="shared" si="139"/>
        <v>2.3792006592875784E-2</v>
      </c>
      <c r="M644" s="28">
        <f t="shared" si="139"/>
        <v>2.4198359145657992E-2</v>
      </c>
      <c r="N644" s="28">
        <f t="shared" si="139"/>
        <v>2.4463864014486018E-2</v>
      </c>
      <c r="O644" s="28">
        <f t="shared" si="139"/>
        <v>2.4732972637230538E-2</v>
      </c>
      <c r="P644" s="28">
        <f t="shared" si="139"/>
        <v>2.5079904426237691E-2</v>
      </c>
      <c r="Q644" s="28">
        <f t="shared" si="139"/>
        <v>2.5450914457062126E-2</v>
      </c>
      <c r="R644" s="28">
        <f t="shared" si="139"/>
        <v>2.5666676614655742E-2</v>
      </c>
      <c r="S644" s="28">
        <f t="shared" si="139"/>
        <v>2.4425433081259044E-2</v>
      </c>
      <c r="T644" s="28">
        <f t="shared" si="139"/>
        <v>2.4949814142996823E-2</v>
      </c>
      <c r="U644" s="28">
        <f t="shared" si="139"/>
        <v>2.5439323884711679E-2</v>
      </c>
      <c r="V644" s="28">
        <f t="shared" si="139"/>
        <v>2.5932698042983617E-2</v>
      </c>
      <c r="W644" s="28">
        <f t="shared" si="139"/>
        <v>2.6492643697133385E-2</v>
      </c>
      <c r="X644" s="28">
        <f t="shared" si="139"/>
        <v>2.7057240669073435E-2</v>
      </c>
      <c r="Y644" s="28">
        <f t="shared" si="139"/>
        <v>2.7622555162509051E-2</v>
      </c>
      <c r="Z644" s="28">
        <f t="shared" si="139"/>
        <v>2.8176965865036346E-2</v>
      </c>
      <c r="AA644" s="28">
        <f t="shared" si="139"/>
        <v>2.8760838954152518E-2</v>
      </c>
      <c r="AB644" s="28">
        <f t="shared" si="139"/>
        <v>2.9319055806807104E-2</v>
      </c>
      <c r="AC644" s="28">
        <f t="shared" si="139"/>
        <v>2.9890511348844809E-2</v>
      </c>
      <c r="AD644" s="28">
        <f t="shared" si="139"/>
        <v>3.0538432433712476E-2</v>
      </c>
      <c r="AE644" s="28">
        <f t="shared" si="139"/>
        <v>3.123100856807573E-2</v>
      </c>
      <c r="AF644" s="28">
        <f t="shared" si="139"/>
        <v>3.1945373465817078E-2</v>
      </c>
      <c r="AG644" s="28">
        <f t="shared" si="139"/>
        <v>3.2158003703940202E-2</v>
      </c>
      <c r="AH644" s="28">
        <f t="shared" si="139"/>
        <v>7.7079802322364711E-3</v>
      </c>
      <c r="AI644" s="28">
        <f t="shared" si="139"/>
        <v>7.7672225791054648E-3</v>
      </c>
      <c r="AJ644" s="28">
        <f t="shared" si="139"/>
        <v>7.8268962553927103E-3</v>
      </c>
      <c r="AK644" s="28">
        <f t="shared" si="139"/>
        <v>7.8870045455527778E-3</v>
      </c>
      <c r="AL644" s="28">
        <f t="shared" si="139"/>
        <v>7.9475507489555203E-3</v>
      </c>
      <c r="AM644" s="28">
        <f t="shared" si="139"/>
        <v>8.0085381808564764E-3</v>
      </c>
      <c r="AN644" s="28">
        <f t="shared" si="139"/>
        <v>8.0606731521322347E-3</v>
      </c>
      <c r="AO644" s="28">
        <f t="shared" si="139"/>
        <v>8.1131299403660317E-3</v>
      </c>
      <c r="AP644" s="28">
        <f t="shared" si="139"/>
        <v>8.1659106374109367E-3</v>
      </c>
      <c r="AQ644" s="28">
        <f t="shared" si="139"/>
        <v>8.2190173421198831E-3</v>
      </c>
      <c r="AR644" s="28">
        <f t="shared" si="139"/>
        <v>8.2724521608947329E-3</v>
      </c>
      <c r="AS644" s="28">
        <f t="shared" si="139"/>
        <v>8.3166629016207475E-3</v>
      </c>
      <c r="AT644" s="28">
        <f t="shared" si="139"/>
        <v>8.3610976164500486E-3</v>
      </c>
      <c r="AU644" s="28">
        <f t="shared" si="139"/>
        <v>8.4057575201904496E-3</v>
      </c>
      <c r="AV644" s="28">
        <f t="shared" si="139"/>
        <v>8.4506438296934709E-3</v>
      </c>
      <c r="AW644" s="28">
        <f t="shared" si="139"/>
        <v>8.495757764182087E-3</v>
      </c>
      <c r="AY644" s="85"/>
      <c r="AZ644" s="85"/>
    </row>
    <row r="645" spans="1:52" x14ac:dyDescent="0.25">
      <c r="A645" s="102" t="str">
        <f t="shared" si="133"/>
        <v>NI Poultry MMCH4</v>
      </c>
      <c r="B645" s="102" t="s">
        <v>970</v>
      </c>
      <c r="C645" s="102" t="s">
        <v>1232</v>
      </c>
      <c r="D645" t="s">
        <v>15</v>
      </c>
      <c r="E645" t="s">
        <v>22</v>
      </c>
      <c r="F645" t="s">
        <v>28</v>
      </c>
      <c r="G645" t="s">
        <v>133</v>
      </c>
      <c r="H645" t="s">
        <v>1228</v>
      </c>
      <c r="I645" t="s">
        <v>121</v>
      </c>
      <c r="J645" t="s">
        <v>286</v>
      </c>
      <c r="K645" s="28">
        <f t="shared" si="135"/>
        <v>9.3163042717810632E-2</v>
      </c>
      <c r="L645" s="28">
        <f t="shared" si="139"/>
        <v>9.4674858507474813E-2</v>
      </c>
      <c r="M645" s="28">
        <f t="shared" si="139"/>
        <v>9.5123748183632839E-2</v>
      </c>
      <c r="N645" s="28">
        <f t="shared" si="139"/>
        <v>9.411752694907706E-2</v>
      </c>
      <c r="O645" s="28">
        <f t="shared" si="139"/>
        <v>9.3113466224717556E-2</v>
      </c>
      <c r="P645" s="28">
        <f t="shared" si="139"/>
        <v>9.2822128000237508E-2</v>
      </c>
      <c r="Q645" s="28">
        <f t="shared" si="139"/>
        <v>9.2761437454217818E-2</v>
      </c>
      <c r="R645" s="28">
        <f t="shared" si="139"/>
        <v>9.1214149611608147E-2</v>
      </c>
      <c r="S645" s="28">
        <f t="shared" si="139"/>
        <v>7.6003620214521325E-2</v>
      </c>
      <c r="T645" s="28">
        <f t="shared" si="139"/>
        <v>7.8245537442550611E-2</v>
      </c>
      <c r="U645" s="28">
        <f t="shared" si="139"/>
        <v>8.0119479136932389E-2</v>
      </c>
      <c r="V645" s="28">
        <f t="shared" si="139"/>
        <v>8.1988873935417206E-2</v>
      </c>
      <c r="W645" s="28">
        <f t="shared" si="139"/>
        <v>8.4421015619150011E-2</v>
      </c>
      <c r="X645" s="28">
        <f t="shared" si="139"/>
        <v>8.6845856777302652E-2</v>
      </c>
      <c r="Y645" s="28">
        <f t="shared" si="139"/>
        <v>8.9508170799005846E-2</v>
      </c>
      <c r="Z645" s="28">
        <f t="shared" si="139"/>
        <v>9.2028330133957781E-2</v>
      </c>
      <c r="AA645" s="28">
        <f t="shared" si="139"/>
        <v>9.4763412010461776E-2</v>
      </c>
      <c r="AB645" s="28">
        <f t="shared" si="139"/>
        <v>9.7229574055292575E-2</v>
      </c>
      <c r="AC645" s="28">
        <f t="shared" si="139"/>
        <v>9.9768557857354889E-2</v>
      </c>
      <c r="AD645" s="28">
        <f t="shared" si="139"/>
        <v>0.10314268304470672</v>
      </c>
      <c r="AE645" s="28">
        <f t="shared" si="139"/>
        <v>0.10684704409348912</v>
      </c>
      <c r="AF645" s="28">
        <f t="shared" si="139"/>
        <v>0.11068205574574447</v>
      </c>
      <c r="AG645" s="28">
        <f t="shared" si="139"/>
        <v>0.11025500175189677</v>
      </c>
      <c r="AH645" s="28">
        <f t="shared" si="139"/>
        <v>-9.5618834539008879E-2</v>
      </c>
      <c r="AI645" s="28">
        <f t="shared" si="139"/>
        <v>-9.5755836748130152E-2</v>
      </c>
      <c r="AJ645" s="28">
        <f t="shared" si="139"/>
        <v>-9.5904432315731702E-2</v>
      </c>
      <c r="AK645" s="28">
        <f t="shared" si="139"/>
        <v>-9.6064137427684965E-2</v>
      </c>
      <c r="AL645" s="28">
        <f t="shared" si="139"/>
        <v>-9.6234505848874163E-2</v>
      </c>
      <c r="AM645" s="28">
        <f t="shared" si="139"/>
        <v>-9.641512531339648E-2</v>
      </c>
      <c r="AN645" s="28">
        <f t="shared" si="139"/>
        <v>-9.6489465064540994E-2</v>
      </c>
      <c r="AO645" s="28">
        <f t="shared" si="139"/>
        <v>-9.6573121728903102E-2</v>
      </c>
      <c r="AP645" s="28">
        <f t="shared" si="139"/>
        <v>-9.6665733535486312E-2</v>
      </c>
      <c r="AQ645" s="28">
        <f t="shared" si="139"/>
        <v>-9.6766963554028085E-2</v>
      </c>
      <c r="AR645" s="28">
        <f t="shared" si="139"/>
        <v>-9.6876497560515806E-2</v>
      </c>
      <c r="AS645" s="28">
        <f t="shared" si="139"/>
        <v>-9.6878042271294512E-2</v>
      </c>
      <c r="AT645" s="28">
        <f t="shared" si="139"/>
        <v>-9.6887277192244256E-2</v>
      </c>
      <c r="AU645" s="28">
        <f t="shared" si="139"/>
        <v>-9.6903917996081751E-2</v>
      </c>
      <c r="AV645" s="28">
        <f t="shared" si="139"/>
        <v>-9.6927697774037633E-2</v>
      </c>
      <c r="AW645" s="28">
        <f t="shared" si="139"/>
        <v>-9.6958365682993541E-2</v>
      </c>
      <c r="AY645" s="85"/>
      <c r="AZ645" s="85"/>
    </row>
    <row r="646" spans="1:52" x14ac:dyDescent="0.25">
      <c r="A646" s="102" t="str">
        <f t="shared" si="133"/>
        <v>NI Cattle MMN2O</v>
      </c>
      <c r="B646" s="102" t="s">
        <v>970</v>
      </c>
      <c r="C646" s="102" t="s">
        <v>1233</v>
      </c>
      <c r="D646" t="s">
        <v>15</v>
      </c>
      <c r="E646" t="s">
        <v>657</v>
      </c>
      <c r="F646" t="s">
        <v>6</v>
      </c>
      <c r="G646" t="s">
        <v>136</v>
      </c>
      <c r="H646" t="s">
        <v>1228</v>
      </c>
      <c r="I646" t="s">
        <v>139</v>
      </c>
      <c r="J646" t="s">
        <v>287</v>
      </c>
      <c r="K646" s="28">
        <f t="shared" si="135"/>
        <v>5.9581863535910565E-2</v>
      </c>
      <c r="L646" s="28">
        <f t="shared" si="139"/>
        <v>5.9952472777501202E-2</v>
      </c>
      <c r="M646" s="28">
        <f t="shared" si="139"/>
        <v>6.0207271736418301E-2</v>
      </c>
      <c r="N646" s="28">
        <f t="shared" si="139"/>
        <v>6.0287180440683194E-2</v>
      </c>
      <c r="O646" s="28">
        <f t="shared" si="139"/>
        <v>6.0395284993714014E-2</v>
      </c>
      <c r="P646" s="28">
        <f t="shared" si="139"/>
        <v>6.0632075036082048E-2</v>
      </c>
      <c r="Q646" s="28">
        <f t="shared" si="139"/>
        <v>6.0915962278620638E-2</v>
      </c>
      <c r="R646" s="28">
        <f t="shared" si="139"/>
        <v>6.1001244967563928E-2</v>
      </c>
      <c r="S646" s="28">
        <f t="shared" si="139"/>
        <v>5.9128520448870917E-2</v>
      </c>
      <c r="T646" s="28">
        <f t="shared" si="139"/>
        <v>5.961554215328714E-2</v>
      </c>
      <c r="U646" s="28">
        <f t="shared" si="139"/>
        <v>6.0062127225246474E-2</v>
      </c>
      <c r="V646" s="28">
        <f t="shared" si="139"/>
        <v>6.0520025735654244E-2</v>
      </c>
      <c r="W646" s="28">
        <f t="shared" si="139"/>
        <v>6.107162678051329E-2</v>
      </c>
      <c r="X646" s="28">
        <f t="shared" si="139"/>
        <v>6.1633578287442058E-2</v>
      </c>
      <c r="Y646" s="28">
        <f t="shared" si="139"/>
        <v>6.2180760814939798E-2</v>
      </c>
      <c r="Z646" s="28">
        <f t="shared" si="139"/>
        <v>6.2716996536282391E-2</v>
      </c>
      <c r="AA646" s="28">
        <f t="shared" si="139"/>
        <v>6.3294581219461896E-2</v>
      </c>
      <c r="AB646" s="28">
        <f t="shared" si="139"/>
        <v>6.3841542561015929E-2</v>
      </c>
      <c r="AC646" s="28">
        <f t="shared" si="139"/>
        <v>6.4408123024693842E-2</v>
      </c>
      <c r="AD646" s="28">
        <f t="shared" si="139"/>
        <v>6.5059072276654292E-2</v>
      </c>
      <c r="AE646" s="28">
        <f t="shared" si="139"/>
        <v>6.5768024439382053E-2</v>
      </c>
      <c r="AF646" s="28">
        <f t="shared" si="139"/>
        <v>6.6505116559025759E-2</v>
      </c>
      <c r="AG646" s="28">
        <f t="shared" si="139"/>
        <v>6.6608077063784327E-2</v>
      </c>
      <c r="AH646" s="28">
        <f t="shared" si="139"/>
        <v>3.5661314599783112E-2</v>
      </c>
      <c r="AI646" s="28">
        <f t="shared" si="139"/>
        <v>3.5687543278982381E-2</v>
      </c>
      <c r="AJ646" s="28">
        <f t="shared" si="139"/>
        <v>3.5717217411916767E-2</v>
      </c>
      <c r="AK646" s="28">
        <f t="shared" si="139"/>
        <v>3.5750206038134905E-2</v>
      </c>
      <c r="AL646" s="28">
        <f t="shared" si="139"/>
        <v>3.5786388283243133E-2</v>
      </c>
      <c r="AM646" s="28">
        <f t="shared" si="139"/>
        <v>3.5825652402917518E-2</v>
      </c>
      <c r="AN646" s="28">
        <f t="shared" si="139"/>
        <v>3.5842556779576207E-2</v>
      </c>
      <c r="AO646" s="28">
        <f t="shared" si="139"/>
        <v>3.5862175171675115E-2</v>
      </c>
      <c r="AP646" s="28">
        <f t="shared" si="139"/>
        <v>3.588441278699845E-2</v>
      </c>
      <c r="AQ646" s="28">
        <f t="shared" si="139"/>
        <v>3.5909181301646116E-2</v>
      </c>
      <c r="AR646" s="28">
        <f t="shared" si="139"/>
        <v>3.5936398311145284E-2</v>
      </c>
      <c r="AS646" s="28">
        <f t="shared" si="139"/>
        <v>3.5940375653704157E-2</v>
      </c>
      <c r="AT646" s="28">
        <f t="shared" si="139"/>
        <v>3.5946523647611327E-2</v>
      </c>
      <c r="AU646" s="28">
        <f t="shared" si="139"/>
        <v>3.5954770346244613E-2</v>
      </c>
      <c r="AV646" s="28">
        <f t="shared" si="139"/>
        <v>3.5965048185906283E-2</v>
      </c>
      <c r="AW646" s="28">
        <f t="shared" si="139"/>
        <v>3.5977293649132408E-2</v>
      </c>
      <c r="AY646" s="85"/>
      <c r="AZ646" s="85"/>
    </row>
    <row r="647" spans="1:52" x14ac:dyDescent="0.25">
      <c r="A647" s="102" t="str">
        <f t="shared" si="133"/>
        <v>NI Cattle MMN2O</v>
      </c>
      <c r="B647" s="102" t="s">
        <v>970</v>
      </c>
      <c r="C647" s="102" t="s">
        <v>1233</v>
      </c>
      <c r="D647" t="s">
        <v>15</v>
      </c>
      <c r="E647" t="s">
        <v>657</v>
      </c>
      <c r="F647" t="s">
        <v>6</v>
      </c>
      <c r="G647" t="s">
        <v>137</v>
      </c>
      <c r="H647" t="s">
        <v>1228</v>
      </c>
      <c r="I647" t="s">
        <v>139</v>
      </c>
      <c r="J647" t="s">
        <v>287</v>
      </c>
      <c r="K647" s="28">
        <f t="shared" si="135"/>
        <v>0.26088706231871722</v>
      </c>
      <c r="L647" s="28">
        <f t="shared" si="139"/>
        <v>0.2625098238533321</v>
      </c>
      <c r="M647" s="28">
        <f t="shared" si="139"/>
        <v>0.26362549476271357</v>
      </c>
      <c r="N647" s="28">
        <f t="shared" si="139"/>
        <v>0.2639753855830434</v>
      </c>
      <c r="O647" s="28">
        <f t="shared" si="139"/>
        <v>0.26444873565284266</v>
      </c>
      <c r="P647" s="28">
        <f t="shared" si="139"/>
        <v>0.26548555214151259</v>
      </c>
      <c r="Q647" s="28">
        <f t="shared" si="139"/>
        <v>0.26672858994429993</v>
      </c>
      <c r="R647" s="28">
        <f t="shared" si="139"/>
        <v>0.26710201146663365</v>
      </c>
      <c r="S647" s="28">
        <f t="shared" si="139"/>
        <v>0.2589020397097988</v>
      </c>
      <c r="T647" s="28">
        <f t="shared" si="139"/>
        <v>0.26103452859501175</v>
      </c>
      <c r="U647" s="28">
        <f t="shared" si="139"/>
        <v>0.26298996034193323</v>
      </c>
      <c r="V647" s="28">
        <f t="shared" si="139"/>
        <v>0.26499492947399811</v>
      </c>
      <c r="W647" s="28">
        <f t="shared" si="139"/>
        <v>0.26741018753450635</v>
      </c>
      <c r="X647" s="28">
        <f t="shared" si="139"/>
        <v>0.26987076646084124</v>
      </c>
      <c r="Y647" s="28">
        <f t="shared" si="139"/>
        <v>0.27226667745924399</v>
      </c>
      <c r="Z647" s="28">
        <f t="shared" si="139"/>
        <v>0.27461465642044425</v>
      </c>
      <c r="AA647" s="28">
        <f t="shared" si="139"/>
        <v>0.27714368727467675</v>
      </c>
      <c r="AB647" s="28">
        <f t="shared" si="139"/>
        <v>0.2795386297811987</v>
      </c>
      <c r="AC647" s="28">
        <f t="shared" si="139"/>
        <v>0.2820194772063051</v>
      </c>
      <c r="AD647" s="28">
        <f t="shared" si="139"/>
        <v>0.28486974451894415</v>
      </c>
      <c r="AE647" s="28">
        <f t="shared" si="139"/>
        <v>0.28797398524057027</v>
      </c>
      <c r="AF647" s="28">
        <f t="shared" si="139"/>
        <v>0.2912014404818154</v>
      </c>
      <c r="AG647" s="28">
        <f t="shared" si="139"/>
        <v>0.29165226665654759</v>
      </c>
      <c r="AH647" s="28">
        <f t="shared" si="139"/>
        <v>0.1561477780693053</v>
      </c>
      <c r="AI647" s="28">
        <f t="shared" si="139"/>
        <v>0.15626262380689576</v>
      </c>
      <c r="AJ647" s="28">
        <f t="shared" si="139"/>
        <v>0.1563925559189292</v>
      </c>
      <c r="AK647" s="28">
        <f t="shared" si="139"/>
        <v>0.1565370009777648</v>
      </c>
      <c r="AL647" s="28">
        <f t="shared" si="139"/>
        <v>0.15669542971889827</v>
      </c>
      <c r="AM647" s="28">
        <f t="shared" si="139"/>
        <v>0.156867352855042</v>
      </c>
      <c r="AN647" s="28">
        <f t="shared" si="139"/>
        <v>0.15694137090189544</v>
      </c>
      <c r="AO647" s="28">
        <f t="shared" si="139"/>
        <v>0.15702727262396923</v>
      </c>
      <c r="AP647" s="28">
        <f t="shared" si="139"/>
        <v>0.15712464296102122</v>
      </c>
      <c r="AQ647" s="28">
        <f t="shared" si="139"/>
        <v>0.15723309517518419</v>
      </c>
      <c r="AR647" s="28">
        <f t="shared" si="139"/>
        <v>0.15735226844758546</v>
      </c>
      <c r="AS647" s="28">
        <f t="shared" si="139"/>
        <v>0.15736968376752411</v>
      </c>
      <c r="AT647" s="28">
        <f t="shared" si="139"/>
        <v>0.15739660357120949</v>
      </c>
      <c r="AU647" s="28">
        <f t="shared" si="139"/>
        <v>0.15743271283084972</v>
      </c>
      <c r="AV647" s="28">
        <f t="shared" ref="L647:AW654" si="140">AV1412</f>
        <v>0.15747771570986671</v>
      </c>
      <c r="AW647" s="28">
        <f t="shared" si="140"/>
        <v>0.15753133408865197</v>
      </c>
      <c r="AY647" s="85"/>
      <c r="AZ647" s="85"/>
    </row>
    <row r="648" spans="1:52" x14ac:dyDescent="0.25">
      <c r="A648" s="102" t="str">
        <f t="shared" si="133"/>
        <v>NI Cattle MMN2O</v>
      </c>
      <c r="B648" s="102" t="s">
        <v>970</v>
      </c>
      <c r="C648" s="102" t="s">
        <v>1233</v>
      </c>
      <c r="D648" t="s">
        <v>15</v>
      </c>
      <c r="E648" t="s">
        <v>657</v>
      </c>
      <c r="F648" t="s">
        <v>67</v>
      </c>
      <c r="G648" t="s">
        <v>307</v>
      </c>
      <c r="H648" t="s">
        <v>1228</v>
      </c>
      <c r="I648" t="s">
        <v>139</v>
      </c>
      <c r="J648" t="s">
        <v>287</v>
      </c>
      <c r="K648" s="28">
        <f t="shared" si="135"/>
        <v>1.1607933720950987E-2</v>
      </c>
      <c r="L648" s="28">
        <f t="shared" si="140"/>
        <v>1.1680137026746603E-2</v>
      </c>
      <c r="M648" s="28">
        <f t="shared" si="140"/>
        <v>1.1729777794116936E-2</v>
      </c>
      <c r="N648" s="28">
        <f t="shared" si="140"/>
        <v>1.1745345869497372E-2</v>
      </c>
      <c r="O648" s="28">
        <f t="shared" si="140"/>
        <v>1.1766407152445642E-2</v>
      </c>
      <c r="P648" s="28">
        <f t="shared" si="140"/>
        <v>1.1812539363733939E-2</v>
      </c>
      <c r="Q648" s="28">
        <f t="shared" si="140"/>
        <v>1.186784720575243E-2</v>
      </c>
      <c r="R648" s="28">
        <f t="shared" si="140"/>
        <v>1.1884462258421965E-2</v>
      </c>
      <c r="S648" s="28">
        <f t="shared" si="140"/>
        <v>1.1519611936520126E-2</v>
      </c>
      <c r="T648" s="28">
        <f t="shared" si="140"/>
        <v>1.1614495099449744E-2</v>
      </c>
      <c r="U648" s="28">
        <f t="shared" si="140"/>
        <v>1.1701500265257389E-2</v>
      </c>
      <c r="V648" s="28">
        <f t="shared" si="140"/>
        <v>1.1790709552182964E-2</v>
      </c>
      <c r="W648" s="28">
        <f t="shared" si="140"/>
        <v>1.189817427364593E-2</v>
      </c>
      <c r="X648" s="28">
        <f t="shared" si="140"/>
        <v>1.2007655506016015E-2</v>
      </c>
      <c r="Y648" s="28">
        <f t="shared" si="140"/>
        <v>1.2114259397460733E-2</v>
      </c>
      <c r="Z648" s="28">
        <f t="shared" si="140"/>
        <v>1.221873059629122E-2</v>
      </c>
      <c r="AA648" s="28">
        <f t="shared" si="140"/>
        <v>1.2331257535240406E-2</v>
      </c>
      <c r="AB648" s="28">
        <f t="shared" si="140"/>
        <v>1.2437818334515426E-2</v>
      </c>
      <c r="AC648" s="28">
        <f t="shared" si="140"/>
        <v>1.2548201395394263E-2</v>
      </c>
      <c r="AD648" s="28">
        <f t="shared" si="140"/>
        <v>1.2675021459823859E-2</v>
      </c>
      <c r="AE648" s="28">
        <f t="shared" si="140"/>
        <v>1.2813141841226641E-2</v>
      </c>
      <c r="AF648" s="28">
        <f t="shared" si="140"/>
        <v>1.2956744541164057E-2</v>
      </c>
      <c r="AG648" s="28">
        <f t="shared" si="140"/>
        <v>1.2976803643786663E-2</v>
      </c>
      <c r="AH648" s="28">
        <f t="shared" si="140"/>
        <v>6.9476540629980453E-3</v>
      </c>
      <c r="AI648" s="28">
        <f t="shared" si="140"/>
        <v>6.9527640201505212E-3</v>
      </c>
      <c r="AJ648" s="28">
        <f t="shared" si="140"/>
        <v>6.9585452318798495E-3</v>
      </c>
      <c r="AK648" s="28">
        <f t="shared" si="140"/>
        <v>6.9649721840421407E-3</v>
      </c>
      <c r="AL648" s="28">
        <f t="shared" si="140"/>
        <v>6.9720213274922825E-3</v>
      </c>
      <c r="AM648" s="28">
        <f t="shared" si="140"/>
        <v>6.9796708918352492E-3</v>
      </c>
      <c r="AN648" s="28">
        <f t="shared" si="140"/>
        <v>6.9829642578396519E-3</v>
      </c>
      <c r="AO648" s="28">
        <f t="shared" si="140"/>
        <v>6.986786377217614E-3</v>
      </c>
      <c r="AP648" s="28">
        <f t="shared" si="140"/>
        <v>6.9911187822393143E-3</v>
      </c>
      <c r="AQ648" s="28">
        <f t="shared" si="140"/>
        <v>6.9959442653533691E-3</v>
      </c>
      <c r="AR648" s="28">
        <f t="shared" si="140"/>
        <v>7.0012467722505977E-3</v>
      </c>
      <c r="AS648" s="28">
        <f t="shared" si="140"/>
        <v>7.0020216511494588E-3</v>
      </c>
      <c r="AT648" s="28">
        <f t="shared" si="140"/>
        <v>7.00321942345056E-3</v>
      </c>
      <c r="AU648" s="28">
        <f t="shared" si="140"/>
        <v>7.0048260722774189E-3</v>
      </c>
      <c r="AV648" s="28">
        <f t="shared" si="140"/>
        <v>7.0068284346492373E-3</v>
      </c>
      <c r="AW648" s="28">
        <f t="shared" si="140"/>
        <v>7.0092141358857468E-3</v>
      </c>
      <c r="AY648" s="85"/>
      <c r="AZ648" s="85"/>
    </row>
    <row r="649" spans="1:52" x14ac:dyDescent="0.25">
      <c r="A649" s="102" t="str">
        <f t="shared" si="133"/>
        <v>NI Cattle MMN2O</v>
      </c>
      <c r="B649" s="102" t="s">
        <v>970</v>
      </c>
      <c r="C649" s="102" t="s">
        <v>1233</v>
      </c>
      <c r="D649" t="s">
        <v>15</v>
      </c>
      <c r="E649" t="s">
        <v>657</v>
      </c>
      <c r="F649" t="s">
        <v>67</v>
      </c>
      <c r="G649" t="s">
        <v>122</v>
      </c>
      <c r="H649" t="s">
        <v>1228</v>
      </c>
      <c r="I649" t="s">
        <v>139</v>
      </c>
      <c r="J649" t="s">
        <v>287</v>
      </c>
      <c r="K649" s="28">
        <f t="shared" si="135"/>
        <v>0.52988033061170758</v>
      </c>
      <c r="L649" s="28">
        <f t="shared" si="140"/>
        <v>0.52636805175151047</v>
      </c>
      <c r="M649" s="28">
        <f t="shared" si="140"/>
        <v>0.51896264714173934</v>
      </c>
      <c r="N649" s="28">
        <f t="shared" si="140"/>
        <v>0.50647981142977161</v>
      </c>
      <c r="O649" s="28">
        <f t="shared" si="140"/>
        <v>0.4943686614451126</v>
      </c>
      <c r="P649" s="28">
        <f t="shared" si="140"/>
        <v>0.48505348723916247</v>
      </c>
      <c r="Q649" s="28">
        <f t="shared" si="140"/>
        <v>0.47662784045454271</v>
      </c>
      <c r="R649" s="28">
        <f t="shared" si="140"/>
        <v>0.46338055897739389</v>
      </c>
      <c r="S649" s="28">
        <f t="shared" si="140"/>
        <v>0.40641283743592205</v>
      </c>
      <c r="T649" s="28">
        <f t="shared" si="140"/>
        <v>0.41028660340184542</v>
      </c>
      <c r="U649" s="28">
        <f t="shared" si="140"/>
        <v>0.41290787540039242</v>
      </c>
      <c r="V649" s="28">
        <f t="shared" si="140"/>
        <v>0.41544388868051429</v>
      </c>
      <c r="W649" s="28">
        <f t="shared" si="140"/>
        <v>0.41963784467016801</v>
      </c>
      <c r="X649" s="28">
        <f t="shared" si="140"/>
        <v>0.42369357816507769</v>
      </c>
      <c r="Y649" s="28">
        <f t="shared" si="140"/>
        <v>0.42795148955175888</v>
      </c>
      <c r="Z649" s="28">
        <f t="shared" si="140"/>
        <v>0.43165837799817441</v>
      </c>
      <c r="AA649" s="28">
        <f t="shared" si="140"/>
        <v>0.43587731971405297</v>
      </c>
      <c r="AB649" s="28">
        <f t="shared" si="140"/>
        <v>0.43917878455229692</v>
      </c>
      <c r="AC649" s="28">
        <f t="shared" si="140"/>
        <v>0.44257083604017933</v>
      </c>
      <c r="AD649" s="28">
        <f t="shared" si="140"/>
        <v>0.44415072955507112</v>
      </c>
      <c r="AE649" s="28">
        <f t="shared" si="140"/>
        <v>0.44631708410431642</v>
      </c>
      <c r="AF649" s="28">
        <f t="shared" si="140"/>
        <v>0.44847507790025098</v>
      </c>
      <c r="AG649" s="28">
        <f t="shared" si="140"/>
        <v>0.43896382192914674</v>
      </c>
      <c r="AH649" s="28">
        <f t="shared" si="140"/>
        <v>-0.10354549398732707</v>
      </c>
      <c r="AI649" s="28">
        <f t="shared" si="140"/>
        <v>-0.10114359865651981</v>
      </c>
      <c r="AJ649" s="28">
        <f t="shared" si="140"/>
        <v>-9.8779900999145701E-2</v>
      </c>
      <c r="AK649" s="28">
        <f t="shared" si="140"/>
        <v>-9.645240042559923E-2</v>
      </c>
      <c r="AL649" s="28">
        <f t="shared" si="140"/>
        <v>-9.4159234659003305E-2</v>
      </c>
      <c r="AM649" s="28">
        <f t="shared" si="140"/>
        <v>-9.1898666918572763E-2</v>
      </c>
      <c r="AN649" s="28">
        <f t="shared" si="140"/>
        <v>-9.0065857844413774E-2</v>
      </c>
      <c r="AO649" s="28">
        <f t="shared" si="140"/>
        <v>-8.8260731137636633E-2</v>
      </c>
      <c r="AP649" s="28">
        <f t="shared" si="140"/>
        <v>-8.6482032370585105E-2</v>
      </c>
      <c r="AQ649" s="28">
        <f t="shared" si="140"/>
        <v>-8.4728585134525733E-2</v>
      </c>
      <c r="AR649" s="28">
        <f t="shared" si="140"/>
        <v>-8.2999284570590512E-2</v>
      </c>
      <c r="AS649" s="28">
        <f t="shared" si="140"/>
        <v>-8.1237842076259073E-2</v>
      </c>
      <c r="AT649" s="28">
        <f t="shared" si="140"/>
        <v>-7.9500621662589185E-2</v>
      </c>
      <c r="AU649" s="28">
        <f t="shared" si="140"/>
        <v>-7.7786670470567892E-2</v>
      </c>
      <c r="AV649" s="28">
        <f t="shared" si="140"/>
        <v>-7.609508917583023E-2</v>
      </c>
      <c r="AW649" s="28">
        <f t="shared" si="140"/>
        <v>-7.4425027988165984E-2</v>
      </c>
      <c r="AY649" s="85"/>
      <c r="AZ649" s="85"/>
    </row>
    <row r="650" spans="1:52" x14ac:dyDescent="0.25">
      <c r="A650" s="102" t="str">
        <f t="shared" si="133"/>
        <v>NI Cattle MMN2O</v>
      </c>
      <c r="B650" s="102" t="s">
        <v>970</v>
      </c>
      <c r="C650" s="102" t="s">
        <v>1233</v>
      </c>
      <c r="D650" t="s">
        <v>15</v>
      </c>
      <c r="E650" t="s">
        <v>657</v>
      </c>
      <c r="F650" t="s">
        <v>67</v>
      </c>
      <c r="G650" t="s">
        <v>123</v>
      </c>
      <c r="H650" t="s">
        <v>1228</v>
      </c>
      <c r="I650" t="s">
        <v>139</v>
      </c>
      <c r="J650" t="s">
        <v>287</v>
      </c>
      <c r="K650" s="28">
        <f t="shared" si="135"/>
        <v>0.81161466909134916</v>
      </c>
      <c r="L650" s="28">
        <f t="shared" si="140"/>
        <v>0.80623493166726978</v>
      </c>
      <c r="M650" s="28">
        <f t="shared" si="140"/>
        <v>0.79489211581881503</v>
      </c>
      <c r="N650" s="28">
        <f t="shared" si="140"/>
        <v>0.77577222781694366</v>
      </c>
      <c r="O650" s="28">
        <f t="shared" si="140"/>
        <v>0.75722164871587128</v>
      </c>
      <c r="P650" s="28">
        <f t="shared" si="140"/>
        <v>0.74295364970944966</v>
      </c>
      <c r="Q650" s="28">
        <f t="shared" si="140"/>
        <v>0.73004813476216801</v>
      </c>
      <c r="R650" s="28">
        <f t="shared" si="140"/>
        <v>0.7097573495578483</v>
      </c>
      <c r="S650" s="28">
        <f t="shared" si="140"/>
        <v>0.62250021658521282</v>
      </c>
      <c r="T650" s="28">
        <f t="shared" si="140"/>
        <v>0.62843364173979577</v>
      </c>
      <c r="U650" s="28">
        <f t="shared" si="140"/>
        <v>0.63244862905446586</v>
      </c>
      <c r="V650" s="28">
        <f t="shared" si="140"/>
        <v>0.63633302607818865</v>
      </c>
      <c r="W650" s="28">
        <f t="shared" si="140"/>
        <v>0.64275688445918766</v>
      </c>
      <c r="X650" s="28">
        <f t="shared" si="140"/>
        <v>0.64896902823624347</v>
      </c>
      <c r="Y650" s="28">
        <f t="shared" si="140"/>
        <v>0.65549084673275582</v>
      </c>
      <c r="Z650" s="28">
        <f t="shared" si="140"/>
        <v>0.66116866654600104</v>
      </c>
      <c r="AA650" s="28">
        <f t="shared" si="140"/>
        <v>0.66763079542082715</v>
      </c>
      <c r="AB650" s="28">
        <f t="shared" si="140"/>
        <v>0.67268763021428868</v>
      </c>
      <c r="AC650" s="28">
        <f t="shared" si="140"/>
        <v>0.67788321606043689</v>
      </c>
      <c r="AD650" s="28">
        <f t="shared" si="140"/>
        <v>0.68030312991307629</v>
      </c>
      <c r="AE650" s="28">
        <f t="shared" si="140"/>
        <v>0.68362132277483145</v>
      </c>
      <c r="AF650" s="28">
        <f t="shared" si="140"/>
        <v>0.68692670951860213</v>
      </c>
      <c r="AG650" s="28">
        <f t="shared" si="140"/>
        <v>0.67235837319496583</v>
      </c>
      <c r="AH650" s="28">
        <f t="shared" si="140"/>
        <v>-0.1586000403929089</v>
      </c>
      <c r="AI650" s="28">
        <f t="shared" si="140"/>
        <v>-0.15492107106439137</v>
      </c>
      <c r="AJ650" s="28">
        <f t="shared" si="140"/>
        <v>-0.15130060889360838</v>
      </c>
      <c r="AK650" s="28">
        <f t="shared" si="140"/>
        <v>-0.14773558958891347</v>
      </c>
      <c r="AL650" s="28">
        <f t="shared" si="140"/>
        <v>-0.14422316071147476</v>
      </c>
      <c r="AM650" s="28">
        <f t="shared" si="140"/>
        <v>-0.1407606620441057</v>
      </c>
      <c r="AN650" s="28">
        <f t="shared" si="140"/>
        <v>-0.1379533588771549</v>
      </c>
      <c r="AO650" s="28">
        <f t="shared" si="140"/>
        <v>-0.13518845663385484</v>
      </c>
      <c r="AP650" s="28">
        <f t="shared" si="140"/>
        <v>-0.13246403391454542</v>
      </c>
      <c r="AQ650" s="28">
        <f t="shared" si="140"/>
        <v>-0.12977828882070402</v>
      </c>
      <c r="AR650" s="28">
        <f t="shared" si="140"/>
        <v>-0.12712952904632721</v>
      </c>
      <c r="AS650" s="28">
        <f t="shared" si="140"/>
        <v>-0.12443153766115941</v>
      </c>
      <c r="AT650" s="28">
        <f t="shared" si="140"/>
        <v>-0.12177064709828132</v>
      </c>
      <c r="AU650" s="28">
        <f t="shared" si="140"/>
        <v>-0.11914539786899743</v>
      </c>
      <c r="AV650" s="28">
        <f t="shared" si="140"/>
        <v>-0.11655441248332606</v>
      </c>
      <c r="AW650" s="28">
        <f t="shared" si="140"/>
        <v>-0.11399638932246699</v>
      </c>
      <c r="AY650" s="85"/>
      <c r="AZ650" s="85"/>
    </row>
    <row r="651" spans="1:52" x14ac:dyDescent="0.25">
      <c r="A651" s="102" t="str">
        <f t="shared" si="133"/>
        <v>NI Cattle MMN2O</v>
      </c>
      <c r="B651" s="102" t="s">
        <v>970</v>
      </c>
      <c r="C651" s="102" t="s">
        <v>1233</v>
      </c>
      <c r="D651" t="s">
        <v>15</v>
      </c>
      <c r="E651" t="s">
        <v>657</v>
      </c>
      <c r="F651" t="s">
        <v>67</v>
      </c>
      <c r="G651" t="s">
        <v>135</v>
      </c>
      <c r="H651" t="s">
        <v>1228</v>
      </c>
      <c r="I651" t="s">
        <v>139</v>
      </c>
      <c r="J651" t="s">
        <v>287</v>
      </c>
      <c r="K651" s="28">
        <f t="shared" si="135"/>
        <v>0.98462431665992833</v>
      </c>
      <c r="L651" s="28">
        <f t="shared" si="140"/>
        <v>1.0196918835505078</v>
      </c>
      <c r="M651" s="28">
        <f t="shared" si="140"/>
        <v>1.0475259814074214</v>
      </c>
      <c r="N651" s="28">
        <f t="shared" si="140"/>
        <v>1.0647388767946648</v>
      </c>
      <c r="O651" s="28">
        <f t="shared" si="140"/>
        <v>1.0819877052462501</v>
      </c>
      <c r="P651" s="28">
        <f t="shared" si="140"/>
        <v>1.1048938649963369</v>
      </c>
      <c r="Q651" s="28">
        <f t="shared" si="140"/>
        <v>1.1297091115066857</v>
      </c>
      <c r="R651" s="28">
        <f t="shared" si="140"/>
        <v>1.142623258953418</v>
      </c>
      <c r="S651" s="28">
        <f t="shared" si="140"/>
        <v>1.0424500724104675</v>
      </c>
      <c r="T651" s="28">
        <f t="shared" si="140"/>
        <v>1.0775354748112338</v>
      </c>
      <c r="U651" s="28">
        <f t="shared" si="140"/>
        <v>1.1099789671042184</v>
      </c>
      <c r="V651" s="28">
        <f t="shared" si="140"/>
        <v>1.1427845071049993</v>
      </c>
      <c r="W651" s="28">
        <f t="shared" si="140"/>
        <v>1.1808667721174206</v>
      </c>
      <c r="X651" s="28">
        <f t="shared" si="140"/>
        <v>1.219399784150359</v>
      </c>
      <c r="Y651" s="28">
        <f t="shared" si="140"/>
        <v>1.2593873285345614</v>
      </c>
      <c r="Z651" s="28">
        <f t="shared" si="140"/>
        <v>1.2986321214759353</v>
      </c>
      <c r="AA651" s="28">
        <f t="shared" si="140"/>
        <v>1.3403229537470696</v>
      </c>
      <c r="AB651" s="28">
        <f t="shared" si="140"/>
        <v>1.3800999976091688</v>
      </c>
      <c r="AC651" s="28">
        <f t="shared" si="140"/>
        <v>1.4210424625750864</v>
      </c>
      <c r="AD651" s="28">
        <f t="shared" si="140"/>
        <v>1.4731597843117399</v>
      </c>
      <c r="AE651" s="28">
        <f t="shared" si="140"/>
        <v>1.5292748745002132</v>
      </c>
      <c r="AF651" s="28">
        <f t="shared" si="140"/>
        <v>1.58759303710444</v>
      </c>
      <c r="AG651" s="28">
        <f t="shared" si="140"/>
        <v>1.6055856657240113</v>
      </c>
      <c r="AH651" s="28">
        <f t="shared" si="140"/>
        <v>-0.39137548720927395</v>
      </c>
      <c r="AI651" s="28">
        <f t="shared" si="140"/>
        <v>-0.39511268844976988</v>
      </c>
      <c r="AJ651" s="28">
        <f t="shared" si="140"/>
        <v>-0.39888027556232269</v>
      </c>
      <c r="AK651" s="28">
        <f t="shared" si="140"/>
        <v>-0.40267853610571114</v>
      </c>
      <c r="AL651" s="28">
        <f t="shared" si="140"/>
        <v>-0.40650776022057733</v>
      </c>
      <c r="AM651" s="28">
        <f t="shared" si="140"/>
        <v>-0.41036824065181815</v>
      </c>
      <c r="AN651" s="28">
        <f t="shared" si="140"/>
        <v>-0.41346631245955484</v>
      </c>
      <c r="AO651" s="28">
        <f t="shared" si="140"/>
        <v>-0.41658575471490794</v>
      </c>
      <c r="AP651" s="28">
        <f t="shared" si="140"/>
        <v>-0.41972673655234932</v>
      </c>
      <c r="AQ651" s="28">
        <f t="shared" si="140"/>
        <v>-0.42288942838293692</v>
      </c>
      <c r="AR651" s="28">
        <f t="shared" si="140"/>
        <v>-0.42607400190364725</v>
      </c>
      <c r="AS651" s="28">
        <f t="shared" si="140"/>
        <v>-0.42898887673310604</v>
      </c>
      <c r="AT651" s="28">
        <f t="shared" si="140"/>
        <v>-0.43192052701996581</v>
      </c>
      <c r="AU651" s="28">
        <f t="shared" si="140"/>
        <v>-0.43486906373806822</v>
      </c>
      <c r="AV651" s="28">
        <f t="shared" si="140"/>
        <v>-0.43783459855710477</v>
      </c>
      <c r="AW651" s="28">
        <f t="shared" si="140"/>
        <v>-0.4408172438468278</v>
      </c>
      <c r="AY651" s="85"/>
      <c r="AZ651" s="85"/>
    </row>
    <row r="652" spans="1:52" x14ac:dyDescent="0.25">
      <c r="A652" s="102" t="str">
        <f t="shared" si="133"/>
        <v>NI Sheep MMN2O</v>
      </c>
      <c r="B652" s="102" t="s">
        <v>970</v>
      </c>
      <c r="C652" s="102" t="s">
        <v>1329</v>
      </c>
      <c r="D652" t="s">
        <v>15</v>
      </c>
      <c r="E652" t="s">
        <v>657</v>
      </c>
      <c r="F652" t="s">
        <v>18</v>
      </c>
      <c r="G652" t="s">
        <v>122</v>
      </c>
      <c r="H652" t="s">
        <v>1228</v>
      </c>
      <c r="I652" t="s">
        <v>139</v>
      </c>
      <c r="J652" t="s">
        <v>287</v>
      </c>
      <c r="K652" s="28">
        <f t="shared" si="135"/>
        <v>0.1171858684484313</v>
      </c>
      <c r="L652" s="28">
        <f t="shared" si="140"/>
        <v>0.11724986264912746</v>
      </c>
      <c r="M652" s="28">
        <f t="shared" si="140"/>
        <v>0.11739315795736154</v>
      </c>
      <c r="N652" s="28">
        <f t="shared" si="140"/>
        <v>0.11760884747933324</v>
      </c>
      <c r="O652" s="28">
        <f t="shared" si="140"/>
        <v>0.11789981697079396</v>
      </c>
      <c r="P652" s="28">
        <f t="shared" si="140"/>
        <v>0.11826637517857025</v>
      </c>
      <c r="Q652" s="28">
        <f t="shared" si="140"/>
        <v>0.11867470616236446</v>
      </c>
      <c r="R652" s="28">
        <f t="shared" si="140"/>
        <v>0.11911724401941932</v>
      </c>
      <c r="S652" s="28">
        <f t="shared" si="140"/>
        <v>0.11953310214883348</v>
      </c>
      <c r="T652" s="28">
        <f t="shared" si="140"/>
        <v>0.11970681414230742</v>
      </c>
      <c r="U652" s="28">
        <f t="shared" si="140"/>
        <v>0.11990838567894911</v>
      </c>
      <c r="V652" s="28">
        <f t="shared" si="140"/>
        <v>0.12013777542784022</v>
      </c>
      <c r="W652" s="28">
        <f t="shared" si="140"/>
        <v>0.1203961718842316</v>
      </c>
      <c r="X652" s="28">
        <f t="shared" si="140"/>
        <v>0.12067943256873451</v>
      </c>
      <c r="Y652" s="28">
        <f t="shared" si="140"/>
        <v>0.12085380112251057</v>
      </c>
      <c r="Z652" s="28">
        <f t="shared" si="140"/>
        <v>0.12104857439732014</v>
      </c>
      <c r="AA652" s="28">
        <f t="shared" si="140"/>
        <v>0.1212644592147404</v>
      </c>
      <c r="AB652" s="28">
        <f t="shared" si="140"/>
        <v>0.12149813863258012</v>
      </c>
      <c r="AC652" s="28">
        <f t="shared" si="140"/>
        <v>0.12175044819305053</v>
      </c>
      <c r="AD652" s="28">
        <f t="shared" si="140"/>
        <v>0.12191654827812352</v>
      </c>
      <c r="AE652" s="28">
        <f t="shared" si="140"/>
        <v>0.12210011953046386</v>
      </c>
      <c r="AF652" s="28">
        <f t="shared" si="140"/>
        <v>0.12229951100214119</v>
      </c>
      <c r="AG652" s="28">
        <f t="shared" si="140"/>
        <v>0.12249214859428272</v>
      </c>
      <c r="AH652" s="28">
        <f t="shared" si="140"/>
        <v>0.12166856520731396</v>
      </c>
      <c r="AI652" s="28">
        <f t="shared" si="140"/>
        <v>0.12178552707040835</v>
      </c>
      <c r="AJ652" s="28">
        <f t="shared" si="140"/>
        <v>0.12191459506568997</v>
      </c>
      <c r="AK652" s="28">
        <f t="shared" si="140"/>
        <v>0.12205531183364191</v>
      </c>
      <c r="AL652" s="28">
        <f t="shared" si="140"/>
        <v>0.1222072553657907</v>
      </c>
      <c r="AM652" s="28">
        <f t="shared" si="140"/>
        <v>0.12237003565016037</v>
      </c>
      <c r="AN652" s="28">
        <f t="shared" si="140"/>
        <v>0.12244903306979282</v>
      </c>
      <c r="AO652" s="28">
        <f t="shared" si="140"/>
        <v>0.12253757835817966</v>
      </c>
      <c r="AP652" s="28">
        <f t="shared" si="140"/>
        <v>0.12263533922697641</v>
      </c>
      <c r="AQ652" s="28">
        <f t="shared" si="140"/>
        <v>0.12274200613087835</v>
      </c>
      <c r="AR652" s="28">
        <f t="shared" si="140"/>
        <v>0.12285729033548833</v>
      </c>
      <c r="AS652" s="28">
        <f t="shared" si="140"/>
        <v>0.12288572954642335</v>
      </c>
      <c r="AT652" s="28">
        <f t="shared" si="140"/>
        <v>0.12292181660779716</v>
      </c>
      <c r="AU652" s="28">
        <f t="shared" si="140"/>
        <v>0.12296529822294655</v>
      </c>
      <c r="AV652" s="28">
        <f t="shared" si="140"/>
        <v>0.12301593656260404</v>
      </c>
      <c r="AW652" s="28">
        <f t="shared" si="140"/>
        <v>0.12307350807543004</v>
      </c>
      <c r="AY652" s="85"/>
      <c r="AZ652" s="85"/>
    </row>
    <row r="653" spans="1:52" x14ac:dyDescent="0.25">
      <c r="A653" s="102" t="str">
        <f t="shared" si="133"/>
        <v>NI Sheep MMN2O</v>
      </c>
      <c r="B653" s="102" t="s">
        <v>970</v>
      </c>
      <c r="C653" s="102" t="s">
        <v>1329</v>
      </c>
      <c r="D653" t="s">
        <v>15</v>
      </c>
      <c r="E653" t="s">
        <v>657</v>
      </c>
      <c r="F653" t="s">
        <v>18</v>
      </c>
      <c r="G653" t="s">
        <v>123</v>
      </c>
      <c r="H653" t="s">
        <v>1228</v>
      </c>
      <c r="I653" t="s">
        <v>139</v>
      </c>
      <c r="J653" t="s">
        <v>287</v>
      </c>
      <c r="K653" s="28">
        <f t="shared" si="135"/>
        <v>6.266414044546309E-2</v>
      </c>
      <c r="L653" s="28">
        <f t="shared" si="140"/>
        <v>6.2698360796715452E-2</v>
      </c>
      <c r="M653" s="28">
        <f t="shared" si="140"/>
        <v>6.2774986736679445E-2</v>
      </c>
      <c r="N653" s="28">
        <f t="shared" si="140"/>
        <v>6.2890324862994521E-2</v>
      </c>
      <c r="O653" s="28">
        <f t="shared" si="140"/>
        <v>6.3045918308856697E-2</v>
      </c>
      <c r="P653" s="28">
        <f t="shared" si="140"/>
        <v>6.324193217398956E-2</v>
      </c>
      <c r="Q653" s="28">
        <f t="shared" si="140"/>
        <v>6.346028367366699E-2</v>
      </c>
      <c r="R653" s="28">
        <f t="shared" si="140"/>
        <v>6.3696927006127543E-2</v>
      </c>
      <c r="S653" s="28">
        <f t="shared" si="140"/>
        <v>6.3919303582518794E-2</v>
      </c>
      <c r="T653" s="28">
        <f t="shared" si="140"/>
        <v>6.401219458465271E-2</v>
      </c>
      <c r="U653" s="28">
        <f t="shared" si="140"/>
        <v>6.4119983239113915E-2</v>
      </c>
      <c r="V653" s="28">
        <f t="shared" si="140"/>
        <v>6.4242647444547399E-2</v>
      </c>
      <c r="W653" s="28">
        <f t="shared" si="140"/>
        <v>6.4380822738619198E-2</v>
      </c>
      <c r="X653" s="28">
        <f t="shared" si="140"/>
        <v>6.4532293965921486E-2</v>
      </c>
      <c r="Y653" s="28">
        <f t="shared" si="140"/>
        <v>6.462553605805911E-2</v>
      </c>
      <c r="Z653" s="28">
        <f t="shared" si="140"/>
        <v>6.4729689400175275E-2</v>
      </c>
      <c r="AA653" s="28">
        <f t="shared" si="140"/>
        <v>6.4845131959060415E-2</v>
      </c>
      <c r="AB653" s="28">
        <f t="shared" si="140"/>
        <v>6.4970090028259403E-2</v>
      </c>
      <c r="AC653" s="28">
        <f t="shared" si="140"/>
        <v>6.5105010406820332E-2</v>
      </c>
      <c r="AD653" s="28">
        <f t="shared" si="140"/>
        <v>6.5193831006068584E-2</v>
      </c>
      <c r="AE653" s="28">
        <f t="shared" si="140"/>
        <v>6.5291994162520045E-2</v>
      </c>
      <c r="AF653" s="28">
        <f t="shared" si="140"/>
        <v>6.5398617045895405E-2</v>
      </c>
      <c r="AG653" s="28">
        <f t="shared" si="140"/>
        <v>6.5501628349978927E-2</v>
      </c>
      <c r="AH653" s="28">
        <f t="shared" si="140"/>
        <v>6.506122418083396E-2</v>
      </c>
      <c r="AI653" s="28">
        <f t="shared" si="140"/>
        <v>6.512376853633306E-2</v>
      </c>
      <c r="AJ653" s="28">
        <f t="shared" si="140"/>
        <v>6.5192786542432504E-2</v>
      </c>
      <c r="AK653" s="28">
        <f t="shared" si="140"/>
        <v>6.5268033630044034E-2</v>
      </c>
      <c r="AL653" s="28">
        <f t="shared" si="140"/>
        <v>6.534928413374741E-2</v>
      </c>
      <c r="AM653" s="28">
        <f t="shared" si="140"/>
        <v>6.5436329497975634E-2</v>
      </c>
      <c r="AN653" s="28">
        <f t="shared" si="140"/>
        <v>6.54785726921783E-2</v>
      </c>
      <c r="AO653" s="28">
        <f t="shared" si="140"/>
        <v>6.552592152750053E-2</v>
      </c>
      <c r="AP653" s="28">
        <f t="shared" si="140"/>
        <v>6.557819831559332E-2</v>
      </c>
      <c r="AQ653" s="28">
        <f t="shared" si="140"/>
        <v>6.5635237529753657E-2</v>
      </c>
      <c r="AR653" s="28">
        <f t="shared" si="140"/>
        <v>6.5696884771733188E-2</v>
      </c>
      <c r="AS653" s="28">
        <f t="shared" si="140"/>
        <v>6.5712092396439034E-2</v>
      </c>
      <c r="AT653" s="28">
        <f t="shared" si="140"/>
        <v>6.5731389643727739E-2</v>
      </c>
      <c r="AU653" s="28">
        <f t="shared" si="140"/>
        <v>6.5754641065376054E-2</v>
      </c>
      <c r="AV653" s="28">
        <f t="shared" si="140"/>
        <v>6.578171948421814E-2</v>
      </c>
      <c r="AW653" s="28">
        <f t="shared" si="140"/>
        <v>6.5812505358088025E-2</v>
      </c>
      <c r="AY653" s="85"/>
      <c r="AZ653" s="85"/>
    </row>
    <row r="654" spans="1:52" x14ac:dyDescent="0.25">
      <c r="A654" s="102" t="str">
        <f t="shared" si="133"/>
        <v>NI Goats MMN2O</v>
      </c>
      <c r="B654" s="102" t="s">
        <v>970</v>
      </c>
      <c r="C654" s="102" t="s">
        <v>1330</v>
      </c>
      <c r="D654" t="s">
        <v>15</v>
      </c>
      <c r="E654" t="s">
        <v>657</v>
      </c>
      <c r="F654" t="s">
        <v>19</v>
      </c>
      <c r="G654" t="s">
        <v>122</v>
      </c>
      <c r="H654" t="s">
        <v>1228</v>
      </c>
      <c r="I654" t="s">
        <v>139</v>
      </c>
      <c r="J654" t="s">
        <v>287</v>
      </c>
      <c r="K654" s="28">
        <f t="shared" si="135"/>
        <v>1.4485648992970149E-2</v>
      </c>
      <c r="L654" s="28">
        <f t="shared" si="140"/>
        <v>1.4523430996818442E-2</v>
      </c>
      <c r="M654" s="28">
        <f t="shared" si="140"/>
        <v>1.4573778863725229E-2</v>
      </c>
      <c r="N654" s="28">
        <f t="shared" si="140"/>
        <v>1.4635573261684437E-2</v>
      </c>
      <c r="O654" s="28">
        <f t="shared" si="140"/>
        <v>1.4709556756482728E-2</v>
      </c>
      <c r="P654" s="28">
        <f t="shared" si="140"/>
        <v>1.4795926227225602E-2</v>
      </c>
      <c r="Q654" s="28">
        <f t="shared" si="140"/>
        <v>1.4888271114151717E-2</v>
      </c>
      <c r="R654" s="28">
        <f t="shared" si="140"/>
        <v>1.4985270961083385E-2</v>
      </c>
      <c r="S654" s="28">
        <f t="shared" si="140"/>
        <v>1.5075379558400602E-2</v>
      </c>
      <c r="T654" s="28">
        <f t="shared" si="140"/>
        <v>1.5117607192403527E-2</v>
      </c>
      <c r="U654" s="28">
        <f t="shared" si="140"/>
        <v>1.5163912133825485E-2</v>
      </c>
      <c r="V654" s="28">
        <f t="shared" si="140"/>
        <v>1.5214353144806386E-2</v>
      </c>
      <c r="W654" s="28">
        <f t="shared" si="140"/>
        <v>1.5269211713136204E-2</v>
      </c>
      <c r="X654" s="28">
        <f t="shared" si="140"/>
        <v>1.5327749231318039E-2</v>
      </c>
      <c r="Y654" s="28">
        <f t="shared" si="140"/>
        <v>1.5364750505414648E-2</v>
      </c>
      <c r="Z654" s="28">
        <f t="shared" si="140"/>
        <v>1.5404784002427285E-2</v>
      </c>
      <c r="AA654" s="28">
        <f t="shared" si="140"/>
        <v>1.5448015343528085E-2</v>
      </c>
      <c r="AB654" s="28">
        <f t="shared" si="140"/>
        <v>1.5493849362144254E-2</v>
      </c>
      <c r="AC654" s="28">
        <f t="shared" si="140"/>
        <v>1.5542469399401562E-2</v>
      </c>
      <c r="AD654" s="28">
        <f t="shared" si="140"/>
        <v>1.5574312295454071E-2</v>
      </c>
      <c r="AE654" s="28">
        <f t="shared" si="140"/>
        <v>1.5608846144431889E-2</v>
      </c>
      <c r="AF654" s="28">
        <f t="shared" si="140"/>
        <v>1.5645779000697076E-2</v>
      </c>
      <c r="AG654" s="28">
        <f t="shared" si="140"/>
        <v>1.5680933682266716E-2</v>
      </c>
      <c r="AH654" s="28">
        <f t="shared" si="140"/>
        <v>1.552725676648822E-2</v>
      </c>
      <c r="AI654" s="28">
        <f t="shared" si="140"/>
        <v>1.5547818779843832E-2</v>
      </c>
      <c r="AJ654" s="28">
        <f t="shared" si="140"/>
        <v>1.5570224487070797E-2</v>
      </c>
      <c r="AK654" s="28">
        <f t="shared" ref="L654:AW661" si="141">AK1419</f>
        <v>1.5594399014227253E-2</v>
      </c>
      <c r="AL654" s="28">
        <f t="shared" si="141"/>
        <v>1.5620273295013296E-2</v>
      </c>
      <c r="AM654" s="28">
        <f t="shared" si="141"/>
        <v>1.5647783514700201E-2</v>
      </c>
      <c r="AN654" s="28">
        <f t="shared" si="141"/>
        <v>1.5659592232765602E-2</v>
      </c>
      <c r="AO654" s="28">
        <f t="shared" si="141"/>
        <v>1.5672874713872142E-2</v>
      </c>
      <c r="AP654" s="28">
        <f t="shared" si="141"/>
        <v>1.5687575397224301E-2</v>
      </c>
      <c r="AQ654" s="28">
        <f t="shared" si="141"/>
        <v>1.5703642533627795E-2</v>
      </c>
      <c r="AR654" s="28">
        <f t="shared" si="141"/>
        <v>1.5721027858938724E-2</v>
      </c>
      <c r="AS654" s="28">
        <f t="shared" si="141"/>
        <v>1.572238426100139E-2</v>
      </c>
      <c r="AT654" s="28">
        <f t="shared" si="141"/>
        <v>1.5724946955034496E-2</v>
      </c>
      <c r="AU654" s="28">
        <f t="shared" si="141"/>
        <v>1.5728672619393889E-2</v>
      </c>
      <c r="AV654" s="28">
        <f t="shared" si="141"/>
        <v>1.5733520584102465E-2</v>
      </c>
      <c r="AW654" s="28">
        <f t="shared" si="141"/>
        <v>1.5739452625419498E-2</v>
      </c>
      <c r="AY654" s="85"/>
      <c r="AZ654" s="85"/>
    </row>
    <row r="655" spans="1:52" x14ac:dyDescent="0.25">
      <c r="A655" s="102" t="str">
        <f t="shared" si="133"/>
        <v>NI Goats MMN2O</v>
      </c>
      <c r="B655" s="102" t="s">
        <v>970</v>
      </c>
      <c r="C655" s="102" t="s">
        <v>1330</v>
      </c>
      <c r="D655" t="s">
        <v>15</v>
      </c>
      <c r="E655" t="s">
        <v>657</v>
      </c>
      <c r="F655" t="s">
        <v>19</v>
      </c>
      <c r="G655" t="s">
        <v>123</v>
      </c>
      <c r="H655" t="s">
        <v>1228</v>
      </c>
      <c r="I655" t="s">
        <v>139</v>
      </c>
      <c r="J655" t="s">
        <v>287</v>
      </c>
      <c r="K655" s="28">
        <f t="shared" si="135"/>
        <v>0.1148405820648936</v>
      </c>
      <c r="L655" s="28">
        <f t="shared" si="141"/>
        <v>0.11514011350567485</v>
      </c>
      <c r="M655" s="28">
        <f t="shared" si="141"/>
        <v>0.1155392656833997</v>
      </c>
      <c r="N655" s="28">
        <f t="shared" si="141"/>
        <v>0.11602916466089314</v>
      </c>
      <c r="O655" s="28">
        <f t="shared" si="141"/>
        <v>0.11661569741548039</v>
      </c>
      <c r="P655" s="28">
        <f t="shared" si="141"/>
        <v>0.11730042478237726</v>
      </c>
      <c r="Q655" s="28">
        <f t="shared" si="141"/>
        <v>0.11803252457096508</v>
      </c>
      <c r="R655" s="28">
        <f t="shared" si="141"/>
        <v>0.11880152835445074</v>
      </c>
      <c r="S655" s="28">
        <f t="shared" si="141"/>
        <v>0.11951589909268844</v>
      </c>
      <c r="T655" s="28">
        <f t="shared" si="141"/>
        <v>0.11985067498505422</v>
      </c>
      <c r="U655" s="28">
        <f t="shared" si="141"/>
        <v>0.12021777530813667</v>
      </c>
      <c r="V655" s="28">
        <f t="shared" si="141"/>
        <v>0.12061766592151543</v>
      </c>
      <c r="W655" s="28">
        <f t="shared" si="141"/>
        <v>0.12105257842845937</v>
      </c>
      <c r="X655" s="28">
        <f t="shared" si="141"/>
        <v>0.12151665723251566</v>
      </c>
      <c r="Y655" s="28">
        <f t="shared" si="141"/>
        <v>0.12180999913638614</v>
      </c>
      <c r="Z655" s="28">
        <f t="shared" si="141"/>
        <v>0.12212738015958056</v>
      </c>
      <c r="AA655" s="28">
        <f t="shared" si="141"/>
        <v>0.12247011332796476</v>
      </c>
      <c r="AB655" s="28">
        <f t="shared" si="141"/>
        <v>0.12283348022846115</v>
      </c>
      <c r="AC655" s="28">
        <f t="shared" si="141"/>
        <v>0.12321893436871788</v>
      </c>
      <c r="AD655" s="28">
        <f t="shared" si="141"/>
        <v>0.12347138123658526</v>
      </c>
      <c r="AE655" s="28">
        <f t="shared" si="141"/>
        <v>0.12374516167400154</v>
      </c>
      <c r="AF655" s="28">
        <f t="shared" si="141"/>
        <v>0.12403796116906533</v>
      </c>
      <c r="AG655" s="28">
        <f t="shared" si="141"/>
        <v>0.12431666349684663</v>
      </c>
      <c r="AH655" s="28">
        <f t="shared" si="141"/>
        <v>0.12309833034059625</v>
      </c>
      <c r="AI655" s="28">
        <f t="shared" si="141"/>
        <v>0.12326134365006759</v>
      </c>
      <c r="AJ655" s="28">
        <f t="shared" si="141"/>
        <v>0.12343897355541526</v>
      </c>
      <c r="AK655" s="28">
        <f t="shared" si="141"/>
        <v>0.12363062646452125</v>
      </c>
      <c r="AL655" s="28">
        <f t="shared" si="141"/>
        <v>0.12383575482759435</v>
      </c>
      <c r="AM655" s="28">
        <f t="shared" si="141"/>
        <v>0.12405385272870395</v>
      </c>
      <c r="AN655" s="28">
        <f t="shared" si="141"/>
        <v>0.12414747090602753</v>
      </c>
      <c r="AO655" s="28">
        <f t="shared" si="141"/>
        <v>0.12425277290956782</v>
      </c>
      <c r="AP655" s="28">
        <f t="shared" si="141"/>
        <v>0.12436931825964037</v>
      </c>
      <c r="AQ655" s="28">
        <f t="shared" si="141"/>
        <v>0.12449669669450293</v>
      </c>
      <c r="AR655" s="28">
        <f t="shared" si="141"/>
        <v>0.12463452558149747</v>
      </c>
      <c r="AS655" s="28">
        <f t="shared" si="141"/>
        <v>0.12464527898318946</v>
      </c>
      <c r="AT655" s="28">
        <f t="shared" si="141"/>
        <v>0.12466559573078972</v>
      </c>
      <c r="AU655" s="28">
        <f t="shared" si="141"/>
        <v>0.12469513237521754</v>
      </c>
      <c r="AV655" s="28">
        <f t="shared" si="141"/>
        <v>0.1247335664895077</v>
      </c>
      <c r="AW655" s="28">
        <f t="shared" si="141"/>
        <v>0.12478059504017958</v>
      </c>
      <c r="AY655" s="85"/>
      <c r="AZ655" s="85"/>
    </row>
    <row r="656" spans="1:52" x14ac:dyDescent="0.25">
      <c r="A656" s="102" t="str">
        <f t="shared" si="133"/>
        <v>NI Horses MMN2O</v>
      </c>
      <c r="B656" s="102" t="s">
        <v>970</v>
      </c>
      <c r="C656" s="102" t="s">
        <v>1331</v>
      </c>
      <c r="D656" t="s">
        <v>15</v>
      </c>
      <c r="E656" t="s">
        <v>657</v>
      </c>
      <c r="F656" t="s">
        <v>20</v>
      </c>
      <c r="G656" t="s">
        <v>3</v>
      </c>
      <c r="H656" t="s">
        <v>1228</v>
      </c>
      <c r="I656" t="s">
        <v>139</v>
      </c>
      <c r="J656" t="s">
        <v>287</v>
      </c>
      <c r="K656" s="28" t="str">
        <f t="shared" si="135"/>
        <v>NO</v>
      </c>
      <c r="L656" s="28" t="str">
        <f t="shared" si="141"/>
        <v>NO</v>
      </c>
      <c r="M656" s="28" t="str">
        <f t="shared" si="141"/>
        <v>NO</v>
      </c>
      <c r="N656" s="28" t="str">
        <f t="shared" si="141"/>
        <v>NO</v>
      </c>
      <c r="O656" s="28" t="str">
        <f t="shared" si="141"/>
        <v>NO</v>
      </c>
      <c r="P656" s="28" t="str">
        <f t="shared" si="141"/>
        <v>NO</v>
      </c>
      <c r="Q656" s="28" t="str">
        <f t="shared" si="141"/>
        <v>NO</v>
      </c>
      <c r="R656" s="28" t="str">
        <f t="shared" si="141"/>
        <v>NO</v>
      </c>
      <c r="S656" s="28" t="str">
        <f t="shared" si="141"/>
        <v>NO</v>
      </c>
      <c r="T656" s="28" t="str">
        <f t="shared" si="141"/>
        <v>NO</v>
      </c>
      <c r="U656" s="28" t="str">
        <f t="shared" si="141"/>
        <v>NO</v>
      </c>
      <c r="V656" s="28" t="str">
        <f t="shared" si="141"/>
        <v>NO</v>
      </c>
      <c r="W656" s="28" t="str">
        <f t="shared" si="141"/>
        <v>NO</v>
      </c>
      <c r="X656" s="28" t="str">
        <f t="shared" si="141"/>
        <v>NO</v>
      </c>
      <c r="Y656" s="28" t="str">
        <f t="shared" si="141"/>
        <v>NO</v>
      </c>
      <c r="Z656" s="28" t="str">
        <f t="shared" si="141"/>
        <v>NO</v>
      </c>
      <c r="AA656" s="28" t="str">
        <f t="shared" si="141"/>
        <v>NO</v>
      </c>
      <c r="AB656" s="28" t="str">
        <f t="shared" si="141"/>
        <v>NO</v>
      </c>
      <c r="AC656" s="28" t="str">
        <f t="shared" si="141"/>
        <v>NO</v>
      </c>
      <c r="AD656" s="28" t="str">
        <f t="shared" si="141"/>
        <v>NO</v>
      </c>
      <c r="AE656" s="28" t="str">
        <f t="shared" si="141"/>
        <v>NO</v>
      </c>
      <c r="AF656" s="28" t="str">
        <f t="shared" si="141"/>
        <v>NO</v>
      </c>
      <c r="AG656" s="28" t="str">
        <f t="shared" si="141"/>
        <v>NO</v>
      </c>
      <c r="AH656" s="28" t="str">
        <f t="shared" si="141"/>
        <v>NO</v>
      </c>
      <c r="AI656" s="28" t="str">
        <f t="shared" si="141"/>
        <v>NO</v>
      </c>
      <c r="AJ656" s="28" t="str">
        <f t="shared" si="141"/>
        <v>NO</v>
      </c>
      <c r="AK656" s="28" t="str">
        <f t="shared" si="141"/>
        <v>NO</v>
      </c>
      <c r="AL656" s="28" t="str">
        <f t="shared" si="141"/>
        <v>NO</v>
      </c>
      <c r="AM656" s="28" t="str">
        <f t="shared" si="141"/>
        <v>NO</v>
      </c>
      <c r="AN656" s="28" t="str">
        <f t="shared" si="141"/>
        <v>NO</v>
      </c>
      <c r="AO656" s="28" t="str">
        <f t="shared" si="141"/>
        <v>NO</v>
      </c>
      <c r="AP656" s="28" t="str">
        <f t="shared" si="141"/>
        <v>NO</v>
      </c>
      <c r="AQ656" s="28" t="str">
        <f t="shared" si="141"/>
        <v>NO</v>
      </c>
      <c r="AR656" s="28" t="str">
        <f t="shared" si="141"/>
        <v>NO</v>
      </c>
      <c r="AS656" s="28" t="str">
        <f t="shared" si="141"/>
        <v>NO</v>
      </c>
      <c r="AT656" s="28" t="str">
        <f t="shared" si="141"/>
        <v>NO</v>
      </c>
      <c r="AU656" s="28" t="str">
        <f t="shared" si="141"/>
        <v>NO</v>
      </c>
      <c r="AV656" s="28" t="str">
        <f t="shared" si="141"/>
        <v>NO</v>
      </c>
      <c r="AW656" s="28" t="str">
        <f t="shared" si="141"/>
        <v>NO</v>
      </c>
      <c r="AY656" s="85"/>
      <c r="AZ656" s="85"/>
    </row>
    <row r="657" spans="1:52" x14ac:dyDescent="0.25">
      <c r="A657" s="102" t="str">
        <f t="shared" si="133"/>
        <v>NI Mules MMN2O</v>
      </c>
      <c r="B657" s="102" t="s">
        <v>970</v>
      </c>
      <c r="C657" s="102" t="s">
        <v>1332</v>
      </c>
      <c r="D657" t="s">
        <v>15</v>
      </c>
      <c r="E657" t="s">
        <v>657</v>
      </c>
      <c r="F657" t="s">
        <v>140</v>
      </c>
      <c r="G657" t="s">
        <v>124</v>
      </c>
      <c r="H657" t="s">
        <v>1228</v>
      </c>
      <c r="I657" t="s">
        <v>139</v>
      </c>
      <c r="J657" t="s">
        <v>287</v>
      </c>
      <c r="K657" s="28" t="str">
        <f t="shared" si="135"/>
        <v>NO</v>
      </c>
      <c r="L657" s="28" t="str">
        <f t="shared" si="141"/>
        <v>NO</v>
      </c>
      <c r="M657" s="28" t="str">
        <f t="shared" si="141"/>
        <v>NO</v>
      </c>
      <c r="N657" s="28" t="str">
        <f t="shared" si="141"/>
        <v>NO</v>
      </c>
      <c r="O657" s="28" t="str">
        <f t="shared" si="141"/>
        <v>NO</v>
      </c>
      <c r="P657" s="28" t="str">
        <f t="shared" si="141"/>
        <v>NO</v>
      </c>
      <c r="Q657" s="28" t="str">
        <f t="shared" si="141"/>
        <v>NO</v>
      </c>
      <c r="R657" s="28" t="str">
        <f t="shared" si="141"/>
        <v>NO</v>
      </c>
      <c r="S657" s="28" t="str">
        <f t="shared" si="141"/>
        <v>NO</v>
      </c>
      <c r="T657" s="28" t="str">
        <f t="shared" si="141"/>
        <v>NO</v>
      </c>
      <c r="U657" s="28" t="str">
        <f t="shared" si="141"/>
        <v>NO</v>
      </c>
      <c r="V657" s="28" t="str">
        <f t="shared" si="141"/>
        <v>NO</v>
      </c>
      <c r="W657" s="28" t="str">
        <f t="shared" si="141"/>
        <v>NO</v>
      </c>
      <c r="X657" s="28" t="str">
        <f t="shared" si="141"/>
        <v>NO</v>
      </c>
      <c r="Y657" s="28" t="str">
        <f t="shared" si="141"/>
        <v>NO</v>
      </c>
      <c r="Z657" s="28" t="str">
        <f t="shared" si="141"/>
        <v>NO</v>
      </c>
      <c r="AA657" s="28" t="str">
        <f t="shared" si="141"/>
        <v>NO</v>
      </c>
      <c r="AB657" s="28" t="str">
        <f t="shared" si="141"/>
        <v>NO</v>
      </c>
      <c r="AC657" s="28" t="str">
        <f t="shared" si="141"/>
        <v>NO</v>
      </c>
      <c r="AD657" s="28" t="str">
        <f t="shared" si="141"/>
        <v>NO</v>
      </c>
      <c r="AE657" s="28" t="str">
        <f t="shared" si="141"/>
        <v>NO</v>
      </c>
      <c r="AF657" s="28" t="str">
        <f t="shared" si="141"/>
        <v>NO</v>
      </c>
      <c r="AG657" s="28" t="str">
        <f t="shared" si="141"/>
        <v>NO</v>
      </c>
      <c r="AH657" s="28" t="str">
        <f t="shared" si="141"/>
        <v>NO</v>
      </c>
      <c r="AI657" s="28" t="str">
        <f t="shared" si="141"/>
        <v>NO</v>
      </c>
      <c r="AJ657" s="28" t="str">
        <f t="shared" si="141"/>
        <v>NO</v>
      </c>
      <c r="AK657" s="28" t="str">
        <f t="shared" si="141"/>
        <v>NO</v>
      </c>
      <c r="AL657" s="28" t="str">
        <f t="shared" si="141"/>
        <v>NO</v>
      </c>
      <c r="AM657" s="28" t="str">
        <f t="shared" si="141"/>
        <v>NO</v>
      </c>
      <c r="AN657" s="28" t="str">
        <f t="shared" si="141"/>
        <v>NO</v>
      </c>
      <c r="AO657" s="28" t="str">
        <f t="shared" si="141"/>
        <v>NO</v>
      </c>
      <c r="AP657" s="28" t="str">
        <f t="shared" si="141"/>
        <v>NO</v>
      </c>
      <c r="AQ657" s="28" t="str">
        <f t="shared" si="141"/>
        <v>NO</v>
      </c>
      <c r="AR657" s="28" t="str">
        <f t="shared" si="141"/>
        <v>NO</v>
      </c>
      <c r="AS657" s="28" t="str">
        <f t="shared" si="141"/>
        <v>NO</v>
      </c>
      <c r="AT657" s="28" t="str">
        <f t="shared" si="141"/>
        <v>NO</v>
      </c>
      <c r="AU657" s="28" t="str">
        <f t="shared" si="141"/>
        <v>NO</v>
      </c>
      <c r="AV657" s="28" t="str">
        <f t="shared" si="141"/>
        <v>NO</v>
      </c>
      <c r="AW657" s="28" t="str">
        <f t="shared" si="141"/>
        <v>NO</v>
      </c>
      <c r="AY657" s="85"/>
      <c r="AZ657" s="85"/>
    </row>
    <row r="658" spans="1:52" x14ac:dyDescent="0.25">
      <c r="A658" s="102" t="str">
        <f t="shared" si="133"/>
        <v>NI Swine MMN2O</v>
      </c>
      <c r="B658" s="102" t="s">
        <v>970</v>
      </c>
      <c r="C658" s="102" t="s">
        <v>1234</v>
      </c>
      <c r="D658" t="s">
        <v>15</v>
      </c>
      <c r="E658" t="s">
        <v>657</v>
      </c>
      <c r="F658" t="s">
        <v>21</v>
      </c>
      <c r="G658" t="s">
        <v>122</v>
      </c>
      <c r="H658" t="s">
        <v>1228</v>
      </c>
      <c r="I658" t="s">
        <v>139</v>
      </c>
      <c r="J658" t="s">
        <v>287</v>
      </c>
      <c r="K658" s="28">
        <f t="shared" si="135"/>
        <v>9.8212070321961289E-2</v>
      </c>
      <c r="L658" s="28">
        <f t="shared" si="141"/>
        <v>9.7902077304524535E-2</v>
      </c>
      <c r="M658" s="28">
        <f t="shared" si="141"/>
        <v>9.6876932731570997E-2</v>
      </c>
      <c r="N658" s="28">
        <f t="shared" si="141"/>
        <v>9.4886481944047557E-2</v>
      </c>
      <c r="O658" s="28">
        <f t="shared" si="141"/>
        <v>9.2983120414683651E-2</v>
      </c>
      <c r="P658" s="28">
        <f t="shared" si="141"/>
        <v>9.1647887851288232E-2</v>
      </c>
      <c r="Q658" s="28">
        <f t="shared" si="141"/>
        <v>9.0517057242200105E-2</v>
      </c>
      <c r="R658" s="28">
        <f t="shared" si="141"/>
        <v>8.8434751995252456E-2</v>
      </c>
      <c r="S658" s="28">
        <f t="shared" si="141"/>
        <v>7.7417928691120311E-2</v>
      </c>
      <c r="T658" s="28">
        <f t="shared" si="141"/>
        <v>7.7909888126779042E-2</v>
      </c>
      <c r="U658" s="28">
        <f t="shared" si="141"/>
        <v>7.8156831608476335E-2</v>
      </c>
      <c r="V658" s="28">
        <f t="shared" si="141"/>
        <v>7.8396909010436708E-2</v>
      </c>
      <c r="W658" s="28">
        <f t="shared" si="141"/>
        <v>7.8983322674416961E-2</v>
      </c>
      <c r="X658" s="28">
        <f t="shared" si="141"/>
        <v>7.9550022093927919E-2</v>
      </c>
      <c r="Y658" s="28">
        <f t="shared" si="141"/>
        <v>8.0200171515553365E-2</v>
      </c>
      <c r="Z658" s="28">
        <f t="shared" si="141"/>
        <v>8.0745873399241927E-2</v>
      </c>
      <c r="AA658" s="28">
        <f t="shared" si="141"/>
        <v>8.1401680108403665E-2</v>
      </c>
      <c r="AB658" s="28">
        <f t="shared" si="141"/>
        <v>8.1879069709822755E-2</v>
      </c>
      <c r="AC658" s="28">
        <f t="shared" si="141"/>
        <v>8.2381241768892818E-2</v>
      </c>
      <c r="AD658" s="28">
        <f t="shared" si="141"/>
        <v>8.3307469914568902E-2</v>
      </c>
      <c r="AE658" s="28">
        <f t="shared" si="141"/>
        <v>8.4389455604936589E-2</v>
      </c>
      <c r="AF658" s="28">
        <f t="shared" si="141"/>
        <v>8.5509115768420865E-2</v>
      </c>
      <c r="AG658" s="28">
        <f t="shared" si="141"/>
        <v>8.4250717613193291E-2</v>
      </c>
      <c r="AH658" s="28">
        <f t="shared" si="141"/>
        <v>-2.8426820502850808E-2</v>
      </c>
      <c r="AI658" s="28">
        <f t="shared" si="141"/>
        <v>-2.8115877001178527E-2</v>
      </c>
      <c r="AJ658" s="28">
        <f t="shared" si="141"/>
        <v>-2.7811593466985605E-2</v>
      </c>
      <c r="AK658" s="28">
        <f t="shared" si="141"/>
        <v>-2.7513534213570397E-2</v>
      </c>
      <c r="AL658" s="28">
        <f t="shared" si="141"/>
        <v>-2.7221295455261082E-2</v>
      </c>
      <c r="AM658" s="28">
        <f t="shared" si="141"/>
        <v>-2.6934502222400951E-2</v>
      </c>
      <c r="AN658" s="28">
        <f t="shared" si="141"/>
        <v>-2.6619947187312407E-2</v>
      </c>
      <c r="AO658" s="28">
        <f t="shared" si="141"/>
        <v>-2.6310938201629927E-2</v>
      </c>
      <c r="AP658" s="28">
        <f t="shared" si="141"/>
        <v>-2.600715135070272E-2</v>
      </c>
      <c r="AQ658" s="28">
        <f t="shared" si="141"/>
        <v>-2.5708283877268884E-2</v>
      </c>
      <c r="AR658" s="28">
        <f t="shared" si="141"/>
        <v>-2.5414052353403601E-2</v>
      </c>
      <c r="AS658" s="28">
        <f t="shared" si="141"/>
        <v>-2.5093405862334557E-2</v>
      </c>
      <c r="AT658" s="28">
        <f t="shared" si="141"/>
        <v>-2.4777656809122427E-2</v>
      </c>
      <c r="AU658" s="28">
        <f t="shared" si="141"/>
        <v>-2.4466553104711776E-2</v>
      </c>
      <c r="AV658" s="28">
        <f t="shared" si="141"/>
        <v>-2.415985755435068E-2</v>
      </c>
      <c r="AW658" s="28">
        <f t="shared" si="141"/>
        <v>-2.3857346696324909E-2</v>
      </c>
      <c r="AY658" s="85"/>
      <c r="AZ658" s="85"/>
    </row>
    <row r="659" spans="1:52" x14ac:dyDescent="0.25">
      <c r="A659" s="102" t="str">
        <f t="shared" si="133"/>
        <v>NI Swine MMN2O</v>
      </c>
      <c r="B659" s="102" t="s">
        <v>970</v>
      </c>
      <c r="C659" s="102" t="s">
        <v>1234</v>
      </c>
      <c r="D659" t="s">
        <v>15</v>
      </c>
      <c r="E659" t="s">
        <v>657</v>
      </c>
      <c r="F659" t="s">
        <v>21</v>
      </c>
      <c r="G659" t="s">
        <v>123</v>
      </c>
      <c r="H659" t="s">
        <v>1228</v>
      </c>
      <c r="I659" t="s">
        <v>139</v>
      </c>
      <c r="J659" t="s">
        <v>287</v>
      </c>
      <c r="K659" s="28">
        <f t="shared" si="135"/>
        <v>3.8422550388835235E-2</v>
      </c>
      <c r="L659" s="28">
        <f t="shared" si="141"/>
        <v>3.8301274844051346E-2</v>
      </c>
      <c r="M659" s="28">
        <f t="shared" si="141"/>
        <v>3.7900217531227944E-2</v>
      </c>
      <c r="N659" s="28">
        <f t="shared" si="141"/>
        <v>3.712151288291534E-2</v>
      </c>
      <c r="O659" s="28">
        <f t="shared" si="141"/>
        <v>3.6376879315672413E-2</v>
      </c>
      <c r="P659" s="28">
        <f t="shared" si="141"/>
        <v>3.5854509302702606E-2</v>
      </c>
      <c r="Q659" s="28">
        <f t="shared" si="141"/>
        <v>3.5412105472740686E-2</v>
      </c>
      <c r="R659" s="28">
        <f t="shared" si="141"/>
        <v>3.4597465500143629E-2</v>
      </c>
      <c r="S659" s="28">
        <f t="shared" si="141"/>
        <v>3.0287461168290553E-2</v>
      </c>
      <c r="T659" s="28">
        <f t="shared" si="141"/>
        <v>3.0479925660118236E-2</v>
      </c>
      <c r="U659" s="28">
        <f t="shared" si="141"/>
        <v>3.0576534949970324E-2</v>
      </c>
      <c r="V659" s="28">
        <f t="shared" si="141"/>
        <v>3.0670458090413286E-2</v>
      </c>
      <c r="W659" s="28">
        <f t="shared" si="141"/>
        <v>3.0899874988755002E-2</v>
      </c>
      <c r="X659" s="28">
        <f t="shared" si="141"/>
        <v>3.1121579275510219E-2</v>
      </c>
      <c r="Y659" s="28">
        <f t="shared" si="141"/>
        <v>3.1375930892687053E-2</v>
      </c>
      <c r="Z659" s="28">
        <f t="shared" si="141"/>
        <v>3.1589420518295906E-2</v>
      </c>
      <c r="AA659" s="28">
        <f t="shared" si="141"/>
        <v>3.1845985380898841E-2</v>
      </c>
      <c r="AB659" s="28">
        <f t="shared" si="141"/>
        <v>3.2032749858579623E-2</v>
      </c>
      <c r="AC659" s="28">
        <f t="shared" si="141"/>
        <v>3.222920973545864E-2</v>
      </c>
      <c r="AD659" s="28">
        <f t="shared" si="141"/>
        <v>3.2591568939191247E-2</v>
      </c>
      <c r="AE659" s="28">
        <f t="shared" si="141"/>
        <v>3.3014863647997064E-2</v>
      </c>
      <c r="AF659" s="28">
        <f t="shared" si="141"/>
        <v>3.345289737347313E-2</v>
      </c>
      <c r="AG659" s="28">
        <f t="shared" si="141"/>
        <v>3.2960586536628499E-2</v>
      </c>
      <c r="AH659" s="28">
        <f t="shared" si="141"/>
        <v>-1.112114773249949E-2</v>
      </c>
      <c r="AI659" s="28">
        <f t="shared" si="141"/>
        <v>-1.0999500339038397E-2</v>
      </c>
      <c r="AJ659" s="28">
        <f t="shared" si="141"/>
        <v>-1.0880458459698174E-2</v>
      </c>
      <c r="AK659" s="28">
        <f t="shared" si="141"/>
        <v>-1.0763851645019877E-2</v>
      </c>
      <c r="AL659" s="28">
        <f t="shared" si="141"/>
        <v>-1.0649521925873338E-2</v>
      </c>
      <c r="AM659" s="28">
        <f t="shared" si="141"/>
        <v>-1.0537322606536911E-2</v>
      </c>
      <c r="AN659" s="28">
        <f t="shared" si="141"/>
        <v>-1.0414262308081425E-2</v>
      </c>
      <c r="AO659" s="28">
        <f t="shared" si="141"/>
        <v>-1.0293371736443279E-2</v>
      </c>
      <c r="AP659" s="28">
        <f t="shared" si="141"/>
        <v>-1.0174524169652843E-2</v>
      </c>
      <c r="AQ659" s="28">
        <f t="shared" si="141"/>
        <v>-1.0057601162939404E-2</v>
      </c>
      <c r="AR659" s="28">
        <f t="shared" si="141"/>
        <v>-9.9424918335602689E-3</v>
      </c>
      <c r="AS659" s="28">
        <f t="shared" si="141"/>
        <v>-9.8170484341927999E-3</v>
      </c>
      <c r="AT659" s="28">
        <f t="shared" si="141"/>
        <v>-9.6935210116723403E-3</v>
      </c>
      <c r="AU659" s="28">
        <f t="shared" si="141"/>
        <v>-9.5718109436564065E-3</v>
      </c>
      <c r="AV659" s="28">
        <f t="shared" si="141"/>
        <v>-9.4518254347556157E-3</v>
      </c>
      <c r="AW659" s="28">
        <f t="shared" si="141"/>
        <v>-9.3334770622229783E-3</v>
      </c>
      <c r="AY659" s="85"/>
      <c r="AZ659" s="85"/>
    </row>
    <row r="660" spans="1:52" x14ac:dyDescent="0.25">
      <c r="A660" s="102" t="str">
        <f t="shared" si="133"/>
        <v>NI Poultry MMN2O</v>
      </c>
      <c r="B660" s="102" t="s">
        <v>970</v>
      </c>
      <c r="C660" s="102" t="s">
        <v>1235</v>
      </c>
      <c r="D660" t="s">
        <v>15</v>
      </c>
      <c r="E660" t="s">
        <v>657</v>
      </c>
      <c r="F660" t="s">
        <v>28</v>
      </c>
      <c r="G660" t="s">
        <v>131</v>
      </c>
      <c r="H660" t="s">
        <v>1228</v>
      </c>
      <c r="I660" t="s">
        <v>139</v>
      </c>
      <c r="J660" t="s">
        <v>287</v>
      </c>
      <c r="K660" s="28">
        <f t="shared" si="135"/>
        <v>0.32963485119754937</v>
      </c>
      <c r="L660" s="28">
        <f t="shared" si="141"/>
        <v>0.3367733222576253</v>
      </c>
      <c r="M660" s="28">
        <f t="shared" si="141"/>
        <v>0.34252519941326248</v>
      </c>
      <c r="N660" s="28">
        <f t="shared" si="141"/>
        <v>0.34628339258632435</v>
      </c>
      <c r="O660" s="28">
        <f t="shared" si="141"/>
        <v>0.35009259651269609</v>
      </c>
      <c r="P660" s="28">
        <f t="shared" si="141"/>
        <v>0.35500337907845531</v>
      </c>
      <c r="Q660" s="28">
        <f t="shared" si="141"/>
        <v>0.36025498659562288</v>
      </c>
      <c r="R660" s="28">
        <f t="shared" si="141"/>
        <v>0.36330907698293946</v>
      </c>
      <c r="S660" s="28">
        <f t="shared" si="141"/>
        <v>0.34573940681489368</v>
      </c>
      <c r="T660" s="28">
        <f t="shared" si="141"/>
        <v>0.35316196495857255</v>
      </c>
      <c r="U660" s="28">
        <f t="shared" si="141"/>
        <v>0.36009092327704184</v>
      </c>
      <c r="V660" s="28">
        <f t="shared" si="141"/>
        <v>0.36707458200076865</v>
      </c>
      <c r="W660" s="28">
        <f t="shared" si="141"/>
        <v>0.37500055316657199</v>
      </c>
      <c r="X660" s="28">
        <f t="shared" si="141"/>
        <v>0.38299236324087566</v>
      </c>
      <c r="Y660" s="28">
        <f t="shared" si="141"/>
        <v>0.39099432975561715</v>
      </c>
      <c r="Z660" s="28">
        <f t="shared" si="141"/>
        <v>0.398841954270029</v>
      </c>
      <c r="AA660" s="28">
        <f t="shared" si="141"/>
        <v>0.40710661573230994</v>
      </c>
      <c r="AB660" s="28">
        <f t="shared" si="141"/>
        <v>0.41500811589686409</v>
      </c>
      <c r="AC660" s="28">
        <f t="shared" si="141"/>
        <v>0.42309700830126501</v>
      </c>
      <c r="AD660" s="28">
        <f t="shared" si="141"/>
        <v>0.43226826232979193</v>
      </c>
      <c r="AE660" s="28">
        <f t="shared" si="141"/>
        <v>0.44207160383339156</v>
      </c>
      <c r="AF660" s="28">
        <f t="shared" si="141"/>
        <v>0.45218336296465478</v>
      </c>
      <c r="AG660" s="28">
        <f t="shared" si="141"/>
        <v>0.4551931213650493</v>
      </c>
      <c r="AH660" s="28">
        <f t="shared" si="141"/>
        <v>0.10910564018941009</v>
      </c>
      <c r="AI660" s="28">
        <f t="shared" si="141"/>
        <v>0.10994420930696339</v>
      </c>
      <c r="AJ660" s="28">
        <f t="shared" si="141"/>
        <v>0.11078888384654588</v>
      </c>
      <c r="AK660" s="28">
        <f t="shared" si="141"/>
        <v>0.11163971029926273</v>
      </c>
      <c r="AL660" s="28">
        <f t="shared" si="141"/>
        <v>0.11249673536734303</v>
      </c>
      <c r="AM660" s="28">
        <f t="shared" si="141"/>
        <v>0.1133600059778764</v>
      </c>
      <c r="AN660" s="28">
        <f t="shared" si="141"/>
        <v>0.11409797095001123</v>
      </c>
      <c r="AO660" s="28">
        <f t="shared" si="141"/>
        <v>0.11484049120695125</v>
      </c>
      <c r="AP660" s="28">
        <f t="shared" si="141"/>
        <v>0.11558759635865411</v>
      </c>
      <c r="AQ660" s="28">
        <f t="shared" si="141"/>
        <v>0.11633931611415979</v>
      </c>
      <c r="AR660" s="28">
        <f t="shared" si="141"/>
        <v>0.11709568028936261</v>
      </c>
      <c r="AS660" s="28">
        <f t="shared" si="141"/>
        <v>0.11772147862106908</v>
      </c>
      <c r="AT660" s="28">
        <f t="shared" si="141"/>
        <v>0.11835044728238052</v>
      </c>
      <c r="AU660" s="28">
        <f t="shared" si="141"/>
        <v>0.11898260346877226</v>
      </c>
      <c r="AV660" s="28">
        <f t="shared" si="141"/>
        <v>0.11961796440464827</v>
      </c>
      <c r="AW660" s="28">
        <f t="shared" si="141"/>
        <v>0.12025654734797987</v>
      </c>
      <c r="AY660" s="85"/>
      <c r="AZ660" s="85"/>
    </row>
    <row r="661" spans="1:52" x14ac:dyDescent="0.25">
      <c r="A661" s="102" t="str">
        <f t="shared" si="133"/>
        <v>NI Poultry MMN2O</v>
      </c>
      <c r="B661" s="102" t="s">
        <v>970</v>
      </c>
      <c r="C661" s="102" t="s">
        <v>1235</v>
      </c>
      <c r="D661" t="s">
        <v>15</v>
      </c>
      <c r="E661" t="s">
        <v>657</v>
      </c>
      <c r="F661" t="s">
        <v>28</v>
      </c>
      <c r="G661" t="s">
        <v>132</v>
      </c>
      <c r="H661" t="s">
        <v>1228</v>
      </c>
      <c r="I661" t="s">
        <v>139</v>
      </c>
      <c r="J661" t="s">
        <v>287</v>
      </c>
      <c r="K661" s="28">
        <f t="shared" si="135"/>
        <v>1.7216530294251391</v>
      </c>
      <c r="L661" s="28">
        <f t="shared" si="141"/>
        <v>1.7495913852181326</v>
      </c>
      <c r="M661" s="28">
        <f t="shared" si="141"/>
        <v>1.7578868664335328</v>
      </c>
      <c r="N661" s="28">
        <f t="shared" si="141"/>
        <v>1.7392918980189422</v>
      </c>
      <c r="O661" s="28">
        <f t="shared" si="141"/>
        <v>1.7207368558327785</v>
      </c>
      <c r="P661" s="28">
        <f t="shared" si="141"/>
        <v>1.7153529254443873</v>
      </c>
      <c r="Q661" s="28">
        <f t="shared" si="141"/>
        <v>1.7142313641539435</v>
      </c>
      <c r="R661" s="28">
        <f t="shared" si="141"/>
        <v>1.6856374848225169</v>
      </c>
      <c r="S661" s="28">
        <f t="shared" si="141"/>
        <v>1.4045469015643526</v>
      </c>
      <c r="T661" s="28">
        <f t="shared" si="141"/>
        <v>1.4459775319383337</v>
      </c>
      <c r="U661" s="28">
        <f t="shared" si="141"/>
        <v>1.480607974450509</v>
      </c>
      <c r="V661" s="28">
        <f t="shared" si="141"/>
        <v>1.5151543903265086</v>
      </c>
      <c r="W661" s="28">
        <f t="shared" si="141"/>
        <v>1.5601003686418904</v>
      </c>
      <c r="X661" s="28">
        <f t="shared" si="141"/>
        <v>1.6049114332445515</v>
      </c>
      <c r="Y661" s="28">
        <f t="shared" si="141"/>
        <v>1.6541109963656262</v>
      </c>
      <c r="Z661" s="28">
        <f t="shared" ref="L661:AW663" si="142">Z1426</f>
        <v>1.7006835408755379</v>
      </c>
      <c r="AA661" s="28">
        <f t="shared" si="142"/>
        <v>1.7512278539533319</v>
      </c>
      <c r="AB661" s="28">
        <f t="shared" si="142"/>
        <v>1.7968025285418052</v>
      </c>
      <c r="AC661" s="28">
        <f t="shared" si="142"/>
        <v>1.8437229492039162</v>
      </c>
      <c r="AD661" s="28">
        <f t="shared" si="142"/>
        <v>1.9060767826661782</v>
      </c>
      <c r="AE661" s="28">
        <f t="shared" si="142"/>
        <v>1.9745333748476768</v>
      </c>
      <c r="AF661" s="28">
        <f t="shared" si="142"/>
        <v>2.0454043901813557</v>
      </c>
      <c r="AG661" s="28">
        <f t="shared" si="142"/>
        <v>2.0375124323750504</v>
      </c>
      <c r="AH661" s="28">
        <f t="shared" si="142"/>
        <v>-1.7670360622808823</v>
      </c>
      <c r="AI661" s="28">
        <f t="shared" si="142"/>
        <v>-1.769567863105443</v>
      </c>
      <c r="AJ661" s="28">
        <f t="shared" si="142"/>
        <v>-1.7723139091947202</v>
      </c>
      <c r="AK661" s="28">
        <f t="shared" si="142"/>
        <v>-1.775265259663616</v>
      </c>
      <c r="AL661" s="28">
        <f t="shared" si="142"/>
        <v>-1.7784136680871927</v>
      </c>
      <c r="AM661" s="28">
        <f t="shared" si="142"/>
        <v>-1.7817515157915651</v>
      </c>
      <c r="AN661" s="28">
        <f t="shared" si="142"/>
        <v>-1.7831253143927157</v>
      </c>
      <c r="AO661" s="28">
        <f t="shared" si="142"/>
        <v>-1.7846712895501273</v>
      </c>
      <c r="AP661" s="28">
        <f t="shared" si="142"/>
        <v>-1.7863827557357852</v>
      </c>
      <c r="AQ661" s="28">
        <f t="shared" si="142"/>
        <v>-1.788253486478437</v>
      </c>
      <c r="AR661" s="28">
        <f t="shared" si="142"/>
        <v>-1.79027767491833</v>
      </c>
      <c r="AS661" s="28">
        <f t="shared" si="142"/>
        <v>-1.7903062211735206</v>
      </c>
      <c r="AT661" s="28">
        <f t="shared" si="142"/>
        <v>-1.7904768825126722</v>
      </c>
      <c r="AU661" s="28">
        <f t="shared" si="142"/>
        <v>-1.7907844045675889</v>
      </c>
      <c r="AV661" s="28">
        <f t="shared" si="142"/>
        <v>-1.7912238548642139</v>
      </c>
      <c r="AW661" s="28">
        <f t="shared" si="142"/>
        <v>-1.7917905978217188</v>
      </c>
      <c r="AY661" s="85"/>
      <c r="AZ661" s="85"/>
    </row>
    <row r="662" spans="1:52" x14ac:dyDescent="0.25">
      <c r="A662" s="102" t="str">
        <f t="shared" si="133"/>
        <v>NI Poultry MMN2O</v>
      </c>
      <c r="B662" s="102" t="s">
        <v>970</v>
      </c>
      <c r="C662" s="102" t="s">
        <v>1235</v>
      </c>
      <c r="D662" t="s">
        <v>15</v>
      </c>
      <c r="E662" t="s">
        <v>657</v>
      </c>
      <c r="F662" t="s">
        <v>28</v>
      </c>
      <c r="G662" t="s">
        <v>134</v>
      </c>
      <c r="H662" t="s">
        <v>1228</v>
      </c>
      <c r="I662" t="s">
        <v>139</v>
      </c>
      <c r="J662" t="s">
        <v>287</v>
      </c>
      <c r="K662" s="28">
        <f t="shared" si="135"/>
        <v>1.3734785466564569E-2</v>
      </c>
      <c r="L662" s="28">
        <f t="shared" si="142"/>
        <v>1.40322217607344E-2</v>
      </c>
      <c r="M662" s="28">
        <f t="shared" si="142"/>
        <v>1.4271883308885947E-2</v>
      </c>
      <c r="N662" s="28">
        <f t="shared" si="142"/>
        <v>1.442847469109686E-2</v>
      </c>
      <c r="O662" s="28">
        <f t="shared" si="142"/>
        <v>1.4587191521362352E-2</v>
      </c>
      <c r="P662" s="28">
        <f t="shared" si="142"/>
        <v>1.4791807461602316E-2</v>
      </c>
      <c r="Q662" s="28">
        <f t="shared" si="142"/>
        <v>1.5010624441484299E-2</v>
      </c>
      <c r="R662" s="28">
        <f t="shared" si="142"/>
        <v>1.5137878207622494E-2</v>
      </c>
      <c r="S662" s="28">
        <f t="shared" si="142"/>
        <v>1.4405808617287252E-2</v>
      </c>
      <c r="T662" s="28">
        <f t="shared" si="142"/>
        <v>1.471508187327387E-2</v>
      </c>
      <c r="U662" s="28">
        <f t="shared" si="142"/>
        <v>1.5003788469876761E-2</v>
      </c>
      <c r="V662" s="28">
        <f t="shared" si="142"/>
        <v>1.5294774250032041E-2</v>
      </c>
      <c r="W662" s="28">
        <f t="shared" si="142"/>
        <v>1.5625023048607179E-2</v>
      </c>
      <c r="X662" s="28">
        <f t="shared" si="142"/>
        <v>1.5958015135036502E-2</v>
      </c>
      <c r="Y662" s="28">
        <f t="shared" si="142"/>
        <v>1.6291430406484061E-2</v>
      </c>
      <c r="Z662" s="28">
        <f t="shared" si="142"/>
        <v>1.6618414761251227E-2</v>
      </c>
      <c r="AA662" s="28">
        <f t="shared" si="142"/>
        <v>1.6962775655512932E-2</v>
      </c>
      <c r="AB662" s="28">
        <f t="shared" si="142"/>
        <v>1.7292004829036017E-2</v>
      </c>
      <c r="AC662" s="28">
        <f t="shared" si="142"/>
        <v>1.7629042012552724E-2</v>
      </c>
      <c r="AD662" s="28">
        <f t="shared" si="142"/>
        <v>1.8011177597074678E-2</v>
      </c>
      <c r="AE662" s="28">
        <f t="shared" si="142"/>
        <v>1.8419650159724663E-2</v>
      </c>
      <c r="AF662" s="28">
        <f t="shared" si="142"/>
        <v>1.884097345686063E-2</v>
      </c>
      <c r="AG662" s="28">
        <f t="shared" si="142"/>
        <v>1.8966380056877074E-2</v>
      </c>
      <c r="AH662" s="28">
        <f t="shared" si="142"/>
        <v>4.546068341225425E-3</v>
      </c>
      <c r="AI662" s="28">
        <f t="shared" si="142"/>
        <v>4.5810087211234788E-3</v>
      </c>
      <c r="AJ662" s="28">
        <f t="shared" si="142"/>
        <v>4.6162034936060832E-3</v>
      </c>
      <c r="AK662" s="28">
        <f t="shared" si="142"/>
        <v>4.651654595802618E-3</v>
      </c>
      <c r="AL662" s="28">
        <f t="shared" si="142"/>
        <v>4.6873639736392985E-3</v>
      </c>
      <c r="AM662" s="28">
        <f t="shared" si="142"/>
        <v>4.7233335824115215E-3</v>
      </c>
      <c r="AN662" s="28">
        <f t="shared" si="142"/>
        <v>4.7540821229171398E-3</v>
      </c>
      <c r="AO662" s="28">
        <f t="shared" si="142"/>
        <v>4.7850204669563062E-3</v>
      </c>
      <c r="AP662" s="28">
        <f t="shared" si="142"/>
        <v>4.8161498482772597E-3</v>
      </c>
      <c r="AQ662" s="28">
        <f t="shared" si="142"/>
        <v>4.8474715047566626E-3</v>
      </c>
      <c r="AR662" s="28">
        <f t="shared" si="142"/>
        <v>4.8789866787234456E-3</v>
      </c>
      <c r="AS662" s="28">
        <f t="shared" si="142"/>
        <v>4.9050616092112158E-3</v>
      </c>
      <c r="AT662" s="28">
        <f t="shared" si="142"/>
        <v>4.9312686367658596E-3</v>
      </c>
      <c r="AU662" s="28">
        <f t="shared" si="142"/>
        <v>4.9576084778655159E-3</v>
      </c>
      <c r="AV662" s="28">
        <f t="shared" si="142"/>
        <v>4.9840818501936824E-3</v>
      </c>
      <c r="AW662" s="28">
        <f t="shared" si="142"/>
        <v>5.0106894728324993E-3</v>
      </c>
      <c r="AY662" s="85"/>
      <c r="AZ662" s="85"/>
    </row>
    <row r="663" spans="1:52" x14ac:dyDescent="0.25">
      <c r="A663" s="102" t="str">
        <f t="shared" si="133"/>
        <v>NI Poultry MMN2O</v>
      </c>
      <c r="B663" s="102" t="s">
        <v>970</v>
      </c>
      <c r="C663" s="102" t="s">
        <v>1235</v>
      </c>
      <c r="D663" t="s">
        <v>15</v>
      </c>
      <c r="E663" t="s">
        <v>657</v>
      </c>
      <c r="F663" t="s">
        <v>28</v>
      </c>
      <c r="G663" t="s">
        <v>133</v>
      </c>
      <c r="H663" t="s">
        <v>1228</v>
      </c>
      <c r="I663" t="s">
        <v>139</v>
      </c>
      <c r="J663" t="s">
        <v>287</v>
      </c>
      <c r="K663" s="28">
        <f t="shared" si="135"/>
        <v>7.1735542892714194E-2</v>
      </c>
      <c r="L663" s="28">
        <f t="shared" si="142"/>
        <v>7.2899641050755595E-2</v>
      </c>
      <c r="M663" s="28">
        <f t="shared" si="142"/>
        <v>7.3245286101397272E-2</v>
      </c>
      <c r="N663" s="28">
        <f t="shared" si="142"/>
        <v>7.2470495750789329E-2</v>
      </c>
      <c r="O663" s="28">
        <f t="shared" si="142"/>
        <v>7.1697368993032501E-2</v>
      </c>
      <c r="P663" s="28">
        <f t="shared" si="142"/>
        <v>7.1473038560182875E-2</v>
      </c>
      <c r="Q663" s="28">
        <f t="shared" si="142"/>
        <v>7.1426306839747711E-2</v>
      </c>
      <c r="R663" s="28">
        <f t="shared" si="142"/>
        <v>7.0234895200938272E-2</v>
      </c>
      <c r="S663" s="28">
        <f t="shared" si="142"/>
        <v>5.8522787565181415E-2</v>
      </c>
      <c r="T663" s="28">
        <f t="shared" si="142"/>
        <v>6.0249063830763963E-2</v>
      </c>
      <c r="U663" s="28">
        <f t="shared" si="142"/>
        <v>6.1691998935437933E-2</v>
      </c>
      <c r="V663" s="28">
        <f t="shared" si="142"/>
        <v>6.313143293027125E-2</v>
      </c>
      <c r="W663" s="28">
        <f t="shared" si="142"/>
        <v>6.5004182026745502E-2</v>
      </c>
      <c r="X663" s="28">
        <f t="shared" si="142"/>
        <v>6.6871309718523023E-2</v>
      </c>
      <c r="Y663" s="28">
        <f t="shared" si="142"/>
        <v>6.8921291515234503E-2</v>
      </c>
      <c r="Z663" s="28">
        <f t="shared" si="142"/>
        <v>7.086181420314748E-2</v>
      </c>
      <c r="AA663" s="28">
        <f t="shared" si="142"/>
        <v>7.2967827248055561E-2</v>
      </c>
      <c r="AB663" s="28">
        <f t="shared" si="142"/>
        <v>7.4866772022575287E-2</v>
      </c>
      <c r="AC663" s="28">
        <f t="shared" si="142"/>
        <v>7.682178955016325E-2</v>
      </c>
      <c r="AD663" s="28">
        <f t="shared" si="142"/>
        <v>7.9419865944424156E-2</v>
      </c>
      <c r="AE663" s="28">
        <f t="shared" si="142"/>
        <v>8.2272223951986606E-2</v>
      </c>
      <c r="AF663" s="28">
        <f t="shared" si="142"/>
        <v>8.5225182924223236E-2</v>
      </c>
      <c r="AG663" s="28">
        <f t="shared" si="142"/>
        <v>8.4896351348960508E-2</v>
      </c>
      <c r="AH663" s="28">
        <f t="shared" si="142"/>
        <v>-7.3626502595036822E-2</v>
      </c>
      <c r="AI663" s="28">
        <f t="shared" si="142"/>
        <v>-7.3731994296060199E-2</v>
      </c>
      <c r="AJ663" s="28">
        <f t="shared" si="142"/>
        <v>-7.3846412883113402E-2</v>
      </c>
      <c r="AK663" s="28">
        <f t="shared" si="142"/>
        <v>-7.3969385819317404E-2</v>
      </c>
      <c r="AL663" s="28">
        <f t="shared" si="142"/>
        <v>-7.4100569503633099E-2</v>
      </c>
      <c r="AM663" s="28">
        <f t="shared" si="142"/>
        <v>-7.4239646491315286E-2</v>
      </c>
      <c r="AN663" s="28">
        <f t="shared" si="142"/>
        <v>-7.4296888099696562E-2</v>
      </c>
      <c r="AO663" s="28">
        <f t="shared" si="142"/>
        <v>-7.4361303731255379E-2</v>
      </c>
      <c r="AP663" s="28">
        <f t="shared" si="142"/>
        <v>-7.4432614822324453E-2</v>
      </c>
      <c r="AQ663" s="28">
        <f t="shared" si="142"/>
        <v>-7.4510561936601619E-2</v>
      </c>
      <c r="AR663" s="28">
        <f t="shared" si="142"/>
        <v>-7.4594903121597153E-2</v>
      </c>
      <c r="AS663" s="28">
        <f t="shared" si="142"/>
        <v>-7.4596092548896764E-2</v>
      </c>
      <c r="AT663" s="28">
        <f t="shared" si="142"/>
        <v>-7.4603203438028065E-2</v>
      </c>
      <c r="AU663" s="28">
        <f t="shared" si="142"/>
        <v>-7.4616016856982936E-2</v>
      </c>
      <c r="AV663" s="28">
        <f t="shared" si="142"/>
        <v>-7.4634327286008981E-2</v>
      </c>
      <c r="AW663" s="28">
        <f t="shared" si="142"/>
        <v>-7.465794157590501E-2</v>
      </c>
      <c r="AY663" s="85"/>
      <c r="AZ663" s="85"/>
    </row>
    <row r="664" spans="1:52" x14ac:dyDescent="0.25">
      <c r="A664" s="102" t="str">
        <f t="shared" si="133"/>
        <v>NI Synthetic</v>
      </c>
      <c r="B664" s="102" t="s">
        <v>970</v>
      </c>
      <c r="C664" s="102" t="s">
        <v>1127</v>
      </c>
      <c r="D664" t="s">
        <v>369</v>
      </c>
      <c r="E664" t="s">
        <v>55</v>
      </c>
      <c r="H664" t="s">
        <v>419</v>
      </c>
      <c r="I664" t="s">
        <v>139</v>
      </c>
      <c r="J664" t="s">
        <v>287</v>
      </c>
      <c r="K664" s="101">
        <f>IF('Net zero activities &amp; levers'!$C$9="Off",'Activity data'!AD47*ttokg*SNEF*NtoN2O*kgtoGg,IF('Net zero activities &amp; levers'!$C$9="On",(('Net zero supporting data'!B157*ttokg*'Net zero supporting data'!B181)+('Net zero supporting data'!B169*ttokg*SNEF))*NtoN2O*kgtoGg,"ERROR"))</f>
        <v>6.6064812063358538</v>
      </c>
      <c r="L664" s="101">
        <f>IF('Net zero activities &amp; levers'!$C$9="Off",'Activity data'!AE47*ttokg*SNEF*NtoN2O*kgtoGg,IF('Net zero activities &amp; levers'!$C$9="On",(('Net zero supporting data'!C157*ttokg*'Net zero supporting data'!C181)+('Net zero supporting data'!C169*ttokg*SNEF))*NtoN2O*kgtoGg,"ERROR"))</f>
        <v>6.6055332632324646</v>
      </c>
      <c r="M664" s="101">
        <f>IF('Net zero activities &amp; levers'!$C$9="Off",'Activity data'!AF47*ttokg*SNEF*NtoN2O*kgtoGg,IF('Net zero activities &amp; levers'!$C$9="On",(('Net zero supporting data'!D157*ttokg*'Net zero supporting data'!D181)+('Net zero supporting data'!D169*ttokg*SNEF))*NtoN2O*kgtoGg,"ERROR"))</f>
        <v>6.6042378924026437</v>
      </c>
      <c r="N664" s="101">
        <f>IF('Net zero activities &amp; levers'!$C$9="Off",'Activity data'!AG47*ttokg*SNEF*NtoN2O*kgtoGg,IF('Net zero activities &amp; levers'!$C$9="On",(('Net zero supporting data'!E157*ttokg*'Net zero supporting data'!E181)+('Net zero supporting data'!E169*ttokg*SNEF))*NtoN2O*kgtoGg,"ERROR"))</f>
        <v>6.6032976249569808</v>
      </c>
      <c r="O664" s="101">
        <f>IF('Net zero activities &amp; levers'!$C$9="Off",'Activity data'!AH47*ttokg*SNEF*NtoN2O*kgtoGg,IF('Net zero activities &amp; levers'!$C$9="On",(('Net zero supporting data'!F157*ttokg*'Net zero supporting data'!F181)+('Net zero supporting data'!F169*ttokg*SNEF))*NtoN2O*kgtoGg,"ERROR"))</f>
        <v>6.6028397217143464</v>
      </c>
      <c r="P664" s="101">
        <f>IF('Net zero activities &amp; levers'!$C$9="Off",'Activity data'!AI47*ttokg*SNEF*NtoN2O*kgtoGg,IF('Net zero activities &amp; levers'!$C$9="On",(('Net zero supporting data'!G157*ttokg*'Net zero supporting data'!G181)+('Net zero supporting data'!G169*ttokg*SNEF))*NtoN2O*kgtoGg,"ERROR"))</f>
        <v>6.6023877667619955</v>
      </c>
      <c r="Q664" s="101">
        <f>IF('Net zero activities &amp; levers'!$C$9="Off",'Activity data'!AJ47*ttokg*SNEF*NtoN2O*kgtoGg,IF('Net zero activities &amp; levers'!$C$9="On",(('Net zero supporting data'!H157*ttokg*'Net zero supporting data'!H181)+('Net zero supporting data'!H169*ttokg*SNEF))*NtoN2O*kgtoGg,"ERROR"))</f>
        <v>6.6017040685586048</v>
      </c>
      <c r="R664" s="101">
        <f>IF('Net zero activities &amp; levers'!$C$9="Off",'Activity data'!AK47*ttokg*SNEF*NtoN2O*kgtoGg,IF('Net zero activities &amp; levers'!$C$9="On",(('Net zero supporting data'!I157*ttokg*'Net zero supporting data'!I181)+('Net zero supporting data'!I169*ttokg*SNEF))*NtoN2O*kgtoGg,"ERROR"))</f>
        <v>6.6009555191940086</v>
      </c>
      <c r="S664" s="101">
        <f>IF('Net zero activities &amp; levers'!$C$9="Off",'Activity data'!AL47*ttokg*SNEF*NtoN2O*kgtoGg,IF('Net zero activities &amp; levers'!$C$9="On",(('Net zero supporting data'!J157*ttokg*'Net zero supporting data'!J181)+('Net zero supporting data'!J169*ttokg*SNEF))*NtoN2O*kgtoGg,"ERROR"))</f>
        <v>6.6007105452260202</v>
      </c>
      <c r="T664" s="101">
        <f>IF('Net zero activities &amp; levers'!$C$9="Off",'Activity data'!AM47*ttokg*SNEF*NtoN2O*kgtoGg,IF('Net zero activities &amp; levers'!$C$9="On",(('Net zero supporting data'!K157*ttokg*'Net zero supporting data'!K181)+('Net zero supporting data'!K169*ttokg*SNEF))*NtoN2O*kgtoGg,"ERROR"))</f>
        <v>6.4896191395454546</v>
      </c>
      <c r="U664" s="101">
        <f>IF('Net zero activities &amp; levers'!$C$9="Off",'Activity data'!AN47*ttokg*SNEF*NtoN2O*kgtoGg,IF('Net zero activities &amp; levers'!$C$9="On",(('Net zero supporting data'!L157*ttokg*'Net zero supporting data'!L181)+('Net zero supporting data'!L169*ttokg*SNEF))*NtoN2O*kgtoGg,"ERROR"))</f>
        <v>6.3726734540308447</v>
      </c>
      <c r="V664" s="101">
        <f>IF('Net zero activities &amp; levers'!$C$9="Off",'Activity data'!AO47*ttokg*SNEF*NtoN2O*kgtoGg,IF('Net zero activities &amp; levers'!$C$9="On",(('Net zero supporting data'!M157*ttokg*'Net zero supporting data'!M181)+('Net zero supporting data'!M169*ttokg*SNEF))*NtoN2O*kgtoGg,"ERROR"))</f>
        <v>6.255911117503933</v>
      </c>
      <c r="W664" s="101">
        <f>IF('Net zero activities &amp; levers'!$C$9="Off",'Activity data'!AP47*ttokg*SNEF*NtoN2O*kgtoGg,IF('Net zero activities &amp; levers'!$C$9="On",(('Net zero supporting data'!N157*ttokg*'Net zero supporting data'!N181)+('Net zero supporting data'!N169*ttokg*SNEF))*NtoN2O*kgtoGg,"ERROR"))</f>
        <v>6.1392038299033427</v>
      </c>
      <c r="X664" s="101">
        <f>IF('Net zero activities &amp; levers'!$C$9="Off",'Activity data'!AQ47*ttokg*SNEF*NtoN2O*kgtoGg,IF('Net zero activities &amp; levers'!$C$9="On",(('Net zero supporting data'!O157*ttokg*'Net zero supporting data'!O181)+('Net zero supporting data'!O169*ttokg*SNEF))*NtoN2O*kgtoGg,"ERROR"))</f>
        <v>6.0223715711644275</v>
      </c>
      <c r="Y664" s="101">
        <f>IF('Net zero activities &amp; levers'!$C$9="Off",'Activity data'!AR47*ttokg*SNEF*NtoN2O*kgtoGg,IF('Net zero activities &amp; levers'!$C$9="On",(('Net zero supporting data'!P157*ttokg*'Net zero supporting data'!P181)+('Net zero supporting data'!P169*ttokg*SNEF))*NtoN2O*kgtoGg,"ERROR"))</f>
        <v>5.9056034850655719</v>
      </c>
      <c r="Z664" s="101">
        <f>IF('Net zero activities &amp; levers'!$C$9="Off",'Activity data'!AS47*ttokg*SNEF*NtoN2O*kgtoGg,IF('Net zero activities &amp; levers'!$C$9="On",(('Net zero supporting data'!Q157*ttokg*'Net zero supporting data'!Q181)+('Net zero supporting data'!Q169*ttokg*SNEF))*NtoN2O*kgtoGg,"ERROR"))</f>
        <v>5.7888678011625343</v>
      </c>
      <c r="AA664" s="101">
        <f>IF('Net zero activities &amp; levers'!$C$9="Off",'Activity data'!AT47*ttokg*SNEF*NtoN2O*kgtoGg,IF('Net zero activities &amp; levers'!$C$9="On",(('Net zero supporting data'!R157*ttokg*'Net zero supporting data'!R181)+('Net zero supporting data'!R169*ttokg*SNEF))*NtoN2O*kgtoGg,"ERROR"))</f>
        <v>5.672235180466922</v>
      </c>
      <c r="AB664" s="101">
        <f>IF('Net zero activities &amp; levers'!$C$9="Off",'Activity data'!AU47*ttokg*SNEF*NtoN2O*kgtoGg,IF('Net zero activities &amp; levers'!$C$9="On",(('Net zero supporting data'!S157*ttokg*'Net zero supporting data'!S181)+('Net zero supporting data'!S169*ttokg*SNEF))*NtoN2O*kgtoGg,"ERROR"))</f>
        <v>5.5556011676691686</v>
      </c>
      <c r="AC664" s="101">
        <f>IF('Net zero activities &amp; levers'!$C$9="Off",'Activity data'!AV47*ttokg*SNEF*NtoN2O*kgtoGg,IF('Net zero activities &amp; levers'!$C$9="On",(('Net zero supporting data'!T157*ttokg*'Net zero supporting data'!T181)+('Net zero supporting data'!T169*ttokg*SNEF))*NtoN2O*kgtoGg,"ERROR"))</f>
        <v>5.4391016958220888</v>
      </c>
      <c r="AD664" s="101">
        <f>IF('Net zero activities &amp; levers'!$C$9="Off",'Activity data'!AW47*ttokg*SNEF*NtoN2O*kgtoGg,IF('Net zero activities &amp; levers'!$C$9="On",(('Net zero supporting data'!U157*ttokg*'Net zero supporting data'!U181)+('Net zero supporting data'!U169*ttokg*SNEF))*NtoN2O*kgtoGg,"ERROR"))</f>
        <v>5.3226393274420882</v>
      </c>
      <c r="AE664" s="101">
        <f>IF('Net zero activities &amp; levers'!$C$9="Off",'Activity data'!AX47*ttokg*SNEF*NtoN2O*kgtoGg,IF('Net zero activities &amp; levers'!$C$9="On",(('Net zero supporting data'!V157*ttokg*'Net zero supporting data'!V181)+('Net zero supporting data'!V169*ttokg*SNEF))*NtoN2O*kgtoGg,"ERROR"))</f>
        <v>5.2060499728192022</v>
      </c>
      <c r="AF664" s="101">
        <f>IF('Net zero activities &amp; levers'!$C$9="Off",'Activity data'!AY47*ttokg*SNEF*NtoN2O*kgtoGg,IF('Net zero activities &amp; levers'!$C$9="On",(('Net zero supporting data'!W157*ttokg*'Net zero supporting data'!W181)+('Net zero supporting data'!W169*ttokg*SNEF))*NtoN2O*kgtoGg,"ERROR"))</f>
        <v>5.0894480440333094</v>
      </c>
      <c r="AG664" s="101">
        <f>IF('Net zero activities &amp; levers'!$C$9="Off",'Activity data'!AZ47*ttokg*SNEF*NtoN2O*kgtoGg,IF('Net zero activities &amp; levers'!$C$9="On",(('Net zero supporting data'!X157*ttokg*'Net zero supporting data'!X181)+('Net zero supporting data'!X169*ttokg*SNEF))*NtoN2O*kgtoGg,"ERROR"))</f>
        <v>4.9728882637696117</v>
      </c>
      <c r="AH664" s="101">
        <f>IF('Net zero activities &amp; levers'!$C$9="Off",'Activity data'!BA47*ttokg*SNEF*NtoN2O*kgtoGg,IF('Net zero activities &amp; levers'!$C$9="On",(('Net zero supporting data'!Y157*ttokg*'Net zero supporting data'!Y181)+('Net zero supporting data'!Y169*ttokg*SNEF))*NtoN2O*kgtoGg,"ERROR"))</f>
        <v>4.8573774435149089</v>
      </c>
      <c r="AI664" s="101">
        <f>IF('Net zero activities &amp; levers'!$C$9="Off",'Activity data'!BB47*ttokg*SNEF*NtoN2O*kgtoGg,IF('Net zero activities &amp; levers'!$C$9="On",(('Net zero supporting data'!Z157*ttokg*'Net zero supporting data'!Z181)+('Net zero supporting data'!Z169*ttokg*SNEF))*NtoN2O*kgtoGg,"ERROR"))</f>
        <v>4.8415933568151894</v>
      </c>
      <c r="AJ664" s="101">
        <f>IF('Net zero activities &amp; levers'!$C$9="Off",'Activity data'!BC47*ttokg*SNEF*NtoN2O*kgtoGg,IF('Net zero activities &amp; levers'!$C$9="On",(('Net zero supporting data'!AA157*ttokg*'Net zero supporting data'!AA181)+('Net zero supporting data'!AA169*ttokg*SNEF))*NtoN2O*kgtoGg,"ERROR"))</f>
        <v>4.7240874512813242</v>
      </c>
      <c r="AK664" s="101">
        <f>IF('Net zero activities &amp; levers'!$C$9="Off",'Activity data'!BD47*ttokg*SNEF*NtoN2O*kgtoGg,IF('Net zero activities &amp; levers'!$C$9="On",(('Net zero supporting data'!AB157*ttokg*'Net zero supporting data'!AB181)+('Net zero supporting data'!AB169*ttokg*SNEF))*NtoN2O*kgtoGg,"ERROR"))</f>
        <v>4.6065747532697499</v>
      </c>
      <c r="AL664" s="101">
        <f>IF('Net zero activities &amp; levers'!$C$9="Off",'Activity data'!BE47*ttokg*SNEF*NtoN2O*kgtoGg,IF('Net zero activities &amp; levers'!$C$9="On",(('Net zero supporting data'!AC157*ttokg*'Net zero supporting data'!AC181)+('Net zero supporting data'!AC169*ttokg*SNEF))*NtoN2O*kgtoGg,"ERROR"))</f>
        <v>4.4890551513582384</v>
      </c>
      <c r="AM664" s="101">
        <f>IF('Net zero activities &amp; levers'!$C$9="Off",'Activity data'!BF47*ttokg*SNEF*NtoN2O*kgtoGg,IF('Net zero activities &amp; levers'!$C$9="On",(('Net zero supporting data'!AD157*ttokg*'Net zero supporting data'!AD181)+('Net zero supporting data'!AD169*ttokg*SNEF))*NtoN2O*kgtoGg,"ERROR"))</f>
        <v>4.371528532076681</v>
      </c>
      <c r="AN664" s="101">
        <f>IF('Net zero activities &amp; levers'!$C$9="Off",'Activity data'!BG47*ttokg*SNEF*NtoN2O*kgtoGg,IF('Net zero activities &amp; levers'!$C$9="On",(('Net zero supporting data'!AE157*ttokg*'Net zero supporting data'!AE181)+('Net zero supporting data'!AE169*ttokg*SNEF))*NtoN2O*kgtoGg,"ERROR"))</f>
        <v>4.3716942401715801</v>
      </c>
      <c r="AO664" s="101">
        <f>IF('Net zero activities &amp; levers'!$C$9="Off",'Activity data'!BH47*ttokg*SNEF*NtoN2O*kgtoGg,IF('Net zero activities &amp; levers'!$C$9="On",(('Net zero supporting data'!AF157*ttokg*'Net zero supporting data'!AF181)+('Net zero supporting data'!AF169*ttokg*SNEF))*NtoN2O*kgtoGg,"ERROR"))</f>
        <v>4.3718362825738559</v>
      </c>
      <c r="AP664" s="101">
        <f>IF('Net zero activities &amp; levers'!$C$9="Off",'Activity data'!BI47*ttokg*SNEF*NtoN2O*kgtoGg,IF('Net zero activities &amp; levers'!$C$9="On",(('Net zero supporting data'!AG157*ttokg*'Net zero supporting data'!AG181)+('Net zero supporting data'!AG169*ttokg*SNEF))*NtoN2O*kgtoGg,"ERROR"))</f>
        <v>4.3719796134442888</v>
      </c>
      <c r="AQ664" s="101">
        <f>IF('Net zero activities &amp; levers'!$C$9="Off",'Activity data'!BJ47*ttokg*SNEF*NtoN2O*kgtoGg,IF('Net zero activities &amp; levers'!$C$9="On",(('Net zero supporting data'!AH157*ttokg*'Net zero supporting data'!AH181)+('Net zero supporting data'!AH169*ttokg*SNEF))*NtoN2O*kgtoGg,"ERROR"))</f>
        <v>4.372124248199821</v>
      </c>
      <c r="AR664" s="101">
        <f>IF('Net zero activities &amp; levers'!$C$9="Off",'Activity data'!BK47*ttokg*SNEF*NtoN2O*kgtoGg,IF('Net zero activities &amp; levers'!$C$9="On",(('Net zero supporting data'!AI157*ttokg*'Net zero supporting data'!AI181)+('Net zero supporting data'!AI169*ttokg*SNEF))*NtoN2O*kgtoGg,"ERROR"))</f>
        <v>4.3722702025103173</v>
      </c>
      <c r="AS664" s="101">
        <f>IF('Net zero activities &amp; levers'!$C$9="Off",'Activity data'!BL47*ttokg*SNEF*NtoN2O*kgtoGg,IF('Net zero activities &amp; levers'!$C$9="On",(('Net zero supporting data'!AJ157*ttokg*'Net zero supporting data'!AJ181)+('Net zero supporting data'!AJ169*ttokg*SNEF))*NtoN2O*kgtoGg,"ERROR"))</f>
        <v>4.3724174923040726</v>
      </c>
      <c r="AT664" s="101">
        <f>IF('Net zero activities &amp; levers'!$C$9="Off",'Activity data'!BM47*ttokg*SNEF*NtoN2O*kgtoGg,IF('Net zero activities &amp; levers'!$C$9="On",(('Net zero supporting data'!AK157*ttokg*'Net zero supporting data'!AK181)+('Net zero supporting data'!AK169*ttokg*SNEF))*NtoN2O*kgtoGg,"ERROR"))</f>
        <v>4.3725396303841659</v>
      </c>
      <c r="AU664" s="101">
        <f>IF('Net zero activities &amp; levers'!$C$9="Off",'Activity data'!BN47*ttokg*SNEF*NtoN2O*kgtoGg,IF('Net zero activities &amp; levers'!$C$9="On",(('Net zero supporting data'!AL157*ttokg*'Net zero supporting data'!AL181)+('Net zero supporting data'!AL169*ttokg*SNEF))*NtoN2O*kgtoGg,"ERROR"))</f>
        <v>4.3726626917180251</v>
      </c>
      <c r="AV664" s="101">
        <f>IF('Net zero activities &amp; levers'!$C$9="Off",'Activity data'!BO47*ttokg*SNEF*NtoN2O*kgtoGg,IF('Net zero activities &amp; levers'!$C$9="On",(('Net zero supporting data'!AM157*ttokg*'Net zero supporting data'!AM181)+('Net zero supporting data'!AM169*ttokg*SNEF))*NtoN2O*kgtoGg,"ERROR"))</f>
        <v>4.3727866855732733</v>
      </c>
      <c r="AW664" s="101">
        <f>IF('Net zero activities &amp; levers'!$C$9="Off",'Activity data'!BP47*ttokg*SNEF*NtoN2O*kgtoGg,IF('Net zero activities &amp; levers'!$C$9="On",(('Net zero supporting data'!AN157*ttokg*'Net zero supporting data'!AN181)+('Net zero supporting data'!AN169*ttokg*SNEF))*NtoN2O*kgtoGg,"ERROR"))</f>
        <v>4.3729116213455059</v>
      </c>
      <c r="AY664" s="85"/>
      <c r="AZ664" s="85"/>
    </row>
    <row r="665" spans="1:52" x14ac:dyDescent="0.25">
      <c r="A665" s="102" t="str">
        <f t="shared" si="133"/>
        <v>NI Organic</v>
      </c>
      <c r="B665" s="102" t="s">
        <v>970</v>
      </c>
      <c r="C665" s="102" t="s">
        <v>1128</v>
      </c>
      <c r="D665" t="s">
        <v>369</v>
      </c>
      <c r="E665" t="s">
        <v>55</v>
      </c>
      <c r="H665" t="s">
        <v>420</v>
      </c>
      <c r="I665" t="s">
        <v>139</v>
      </c>
      <c r="J665" t="s">
        <v>287</v>
      </c>
      <c r="K665" s="101">
        <f>IF('Net zero activities &amp; levers'!$C$9="Off",'Activity data'!AD48*ttokg*SNEF*NtoN2O*kgtoGg,IF('Net zero activities &amp; levers'!$C$9="On",(('Net zero supporting data'!B158*ttokg*'Net zero supporting data'!B182)+('Net zero supporting data'!B170*ttokg*ONEF))*NtoN2O*kgtoGg,"ERROR"))</f>
        <v>4.3602775961816637E-2</v>
      </c>
      <c r="L665" s="101">
        <f>IF('Net zero activities &amp; levers'!$C$9="Off",'Activity data'!AE48*ttokg*SNEF*NtoN2O*kgtoGg,IF('Net zero activities &amp; levers'!$C$9="On",(('Net zero supporting data'!C158*ttokg*'Net zero supporting data'!C182)+('Net zero supporting data'!C170*ttokg*ONEF))*NtoN2O*kgtoGg,"ERROR"))</f>
        <v>4.3596519537334268E-2</v>
      </c>
      <c r="M665" s="101">
        <f>IF('Net zero activities &amp; levers'!$C$9="Off",'Activity data'!AF48*ttokg*SNEF*NtoN2O*kgtoGg,IF('Net zero activities &amp; levers'!$C$9="On",(('Net zero supporting data'!D158*ttokg*'Net zero supporting data'!D182)+('Net zero supporting data'!D170*ttokg*ONEF))*NtoN2O*kgtoGg,"ERROR"))</f>
        <v>4.3587970089857465E-2</v>
      </c>
      <c r="N665" s="101">
        <f>IF('Net zero activities &amp; levers'!$C$9="Off",'Activity data'!AG48*ttokg*SNEF*NtoN2O*kgtoGg,IF('Net zero activities &amp; levers'!$C$9="On",(('Net zero supporting data'!E158*ttokg*'Net zero supporting data'!E182)+('Net zero supporting data'!E170*ttokg*ONEF))*NtoN2O*kgtoGg,"ERROR"))</f>
        <v>4.3581764324716096E-2</v>
      </c>
      <c r="O665" s="101">
        <f>IF('Net zero activities &amp; levers'!$C$9="Off",'Activity data'!AH48*ttokg*SNEF*NtoN2O*kgtoGg,IF('Net zero activities &amp; levers'!$C$9="On",(('Net zero supporting data'!F158*ttokg*'Net zero supporting data'!F182)+('Net zero supporting data'!F170*ttokg*ONEF))*NtoN2O*kgtoGg,"ERROR"))</f>
        <v>4.3578742163314678E-2</v>
      </c>
      <c r="P665" s="101">
        <f>IF('Net zero activities &amp; levers'!$C$9="Off",'Activity data'!AI48*ttokg*SNEF*NtoN2O*kgtoGg,IF('Net zero activities &amp; levers'!$C$9="On",(('Net zero supporting data'!G158*ttokg*'Net zero supporting data'!G182)+('Net zero supporting data'!G170*ttokg*ONEF))*NtoN2O*kgtoGg,"ERROR"))</f>
        <v>4.3575759260629177E-2</v>
      </c>
      <c r="Q665" s="101">
        <f>IF('Net zero activities &amp; levers'!$C$9="Off",'Activity data'!AJ48*ttokg*SNEF*NtoN2O*kgtoGg,IF('Net zero activities &amp; levers'!$C$9="On",(('Net zero supporting data'!H158*ttokg*'Net zero supporting data'!H182)+('Net zero supporting data'!H170*ttokg*ONEF))*NtoN2O*kgtoGg,"ERROR"))</f>
        <v>4.3571246852486797E-2</v>
      </c>
      <c r="R665" s="101">
        <f>IF('Net zero activities &amp; levers'!$C$9="Off",'Activity data'!AK48*ttokg*SNEF*NtoN2O*kgtoGg,IF('Net zero activities &amp; levers'!$C$9="On",(('Net zero supporting data'!I158*ttokg*'Net zero supporting data'!I182)+('Net zero supporting data'!I170*ttokg*ONEF))*NtoN2O*kgtoGg,"ERROR"))</f>
        <v>4.3566306426680468E-2</v>
      </c>
      <c r="S665" s="101">
        <f>IF('Net zero activities &amp; levers'!$C$9="Off",'Activity data'!AL48*ttokg*SNEF*NtoN2O*kgtoGg,IF('Net zero activities &amp; levers'!$C$9="On",(('Net zero supporting data'!J158*ttokg*'Net zero supporting data'!J182)+('Net zero supporting data'!J170*ttokg*ONEF))*NtoN2O*kgtoGg,"ERROR"))</f>
        <v>4.3564689598491746E-2</v>
      </c>
      <c r="T665" s="101">
        <f>IF('Net zero activities &amp; levers'!$C$9="Off",'Activity data'!AM48*ttokg*SNEF*NtoN2O*kgtoGg,IF('Net zero activities &amp; levers'!$C$9="On",(('Net zero supporting data'!K158*ttokg*'Net zero supporting data'!K182)+('Net zero supporting data'!K170*ttokg*ONEF))*NtoN2O*kgtoGg,"ERROR"))</f>
        <v>4.2831486321000006E-2</v>
      </c>
      <c r="U665" s="101">
        <f>IF('Net zero activities &amp; levers'!$C$9="Off",'Activity data'!AN48*ttokg*SNEF*NtoN2O*kgtoGg,IF('Net zero activities &amp; levers'!$C$9="On",(('Net zero supporting data'!L158*ttokg*'Net zero supporting data'!L182)+('Net zero supporting data'!L170*ttokg*ONEF))*NtoN2O*kgtoGg,"ERROR"))</f>
        <v>4.2059644796603582E-2</v>
      </c>
      <c r="V665" s="101">
        <f>IF('Net zero activities &amp; levers'!$C$9="Off",'Activity data'!AO48*ttokg*SNEF*NtoN2O*kgtoGg,IF('Net zero activities &amp; levers'!$C$9="On",(('Net zero supporting data'!M158*ttokg*'Net zero supporting data'!M182)+('Net zero supporting data'!M170*ttokg*ONEF))*NtoN2O*kgtoGg,"ERROR"))</f>
        <v>4.1289013375525964E-2</v>
      </c>
      <c r="W665" s="101">
        <f>IF('Net zero activities &amp; levers'!$C$9="Off",'Activity data'!AP48*ttokg*SNEF*NtoN2O*kgtoGg,IF('Net zero activities &amp; levers'!$C$9="On",(('Net zero supporting data'!N158*ttokg*'Net zero supporting data'!N182)+('Net zero supporting data'!N170*ttokg*ONEF))*NtoN2O*kgtoGg,"ERROR"))</f>
        <v>4.0518745277362073E-2</v>
      </c>
      <c r="X665" s="101">
        <f>IF('Net zero activities &amp; levers'!$C$9="Off",'Activity data'!AQ48*ttokg*SNEF*NtoN2O*kgtoGg,IF('Net zero activities &amp; levers'!$C$9="On",(('Net zero supporting data'!O158*ttokg*'Net zero supporting data'!O182)+('Net zero supporting data'!O170*ttokg*ONEF))*NtoN2O*kgtoGg,"ERROR"))</f>
        <v>3.9747652369685221E-2</v>
      </c>
      <c r="Y665" s="101">
        <f>IF('Net zero activities &amp; levers'!$C$9="Off",'Activity data'!AR48*ttokg*SNEF*NtoN2O*kgtoGg,IF('Net zero activities &amp; levers'!$C$9="On",(('Net zero supporting data'!P158*ttokg*'Net zero supporting data'!P182)+('Net zero supporting data'!P170*ttokg*ONEF))*NtoN2O*kgtoGg,"ERROR"))</f>
        <v>3.8976983001432777E-2</v>
      </c>
      <c r="Z665" s="101">
        <f>IF('Net zero activities &amp; levers'!$C$9="Off",'Activity data'!AS48*ttokg*SNEF*NtoN2O*kgtoGg,IF('Net zero activities &amp; levers'!$C$9="On",(('Net zero supporting data'!Q158*ttokg*'Net zero supporting data'!Q182)+('Net zero supporting data'!Q170*ttokg*ONEF))*NtoN2O*kgtoGg,"ERROR"))</f>
        <v>3.820652748767274E-2</v>
      </c>
      <c r="AA665" s="101">
        <f>IF('Net zero activities &amp; levers'!$C$9="Off",'Activity data'!AT48*ttokg*SNEF*NtoN2O*kgtoGg,IF('Net zero activities &amp; levers'!$C$9="On",(('Net zero supporting data'!R158*ttokg*'Net zero supporting data'!R182)+('Net zero supporting data'!R170*ttokg*ONEF))*NtoN2O*kgtoGg,"ERROR"))</f>
        <v>3.7436752191081682E-2</v>
      </c>
      <c r="AB665" s="101">
        <f>IF('Net zero activities &amp; levers'!$C$9="Off",'Activity data'!AU48*ttokg*SNEF*NtoN2O*kgtoGg,IF('Net zero activities &amp; levers'!$C$9="On",(('Net zero supporting data'!S158*ttokg*'Net zero supporting data'!S182)+('Net zero supporting data'!S170*ttokg*ONEF))*NtoN2O*kgtoGg,"ERROR"))</f>
        <v>3.6666967706616517E-2</v>
      </c>
      <c r="AC665" s="101">
        <f>IF('Net zero activities &amp; levers'!$C$9="Off",'Activity data'!AV48*ttokg*SNEF*NtoN2O*kgtoGg,IF('Net zero activities &amp; levers'!$C$9="On",(('Net zero supporting data'!T158*ttokg*'Net zero supporting data'!T182)+('Net zero supporting data'!T170*ttokg*ONEF))*NtoN2O*kgtoGg,"ERROR"))</f>
        <v>3.5898071192425787E-2</v>
      </c>
      <c r="AD665" s="101">
        <f>IF('Net zero activities &amp; levers'!$C$9="Off",'Activity data'!AW48*ttokg*SNEF*NtoN2O*kgtoGg,IF('Net zero activities &amp; levers'!$C$9="On",(('Net zero supporting data'!U158*ttokg*'Net zero supporting data'!U182)+('Net zero supporting data'!U170*ttokg*ONEF))*NtoN2O*kgtoGg,"ERROR"))</f>
        <v>3.5129419561117793E-2</v>
      </c>
      <c r="AE665" s="101">
        <f>IF('Net zero activities &amp; levers'!$C$9="Off",'Activity data'!AX48*ttokg*SNEF*NtoN2O*kgtoGg,IF('Net zero activities &amp; levers'!$C$9="On",(('Net zero supporting data'!V158*ttokg*'Net zero supporting data'!V182)+('Net zero supporting data'!V170*ttokg*ONEF))*NtoN2O*kgtoGg,"ERROR"))</f>
        <v>3.4359929820606733E-2</v>
      </c>
      <c r="AF665" s="101">
        <f>IF('Net zero activities &amp; levers'!$C$9="Off",'Activity data'!AY48*ttokg*SNEF*NtoN2O*kgtoGg,IF('Net zero activities &amp; levers'!$C$9="On",(('Net zero supporting data'!W158*ttokg*'Net zero supporting data'!W182)+('Net zero supporting data'!W170*ttokg*ONEF))*NtoN2O*kgtoGg,"ERROR"))</f>
        <v>3.3590357090619839E-2</v>
      </c>
      <c r="AG665" s="101">
        <f>IF('Net zero activities &amp; levers'!$C$9="Off",'Activity data'!AZ48*ttokg*SNEF*NtoN2O*kgtoGg,IF('Net zero activities &amp; levers'!$C$9="On",(('Net zero supporting data'!X158*ttokg*'Net zero supporting data'!X182)+('Net zero supporting data'!X170*ttokg*ONEF))*NtoN2O*kgtoGg,"ERROR"))</f>
        <v>3.2821062540879443E-2</v>
      </c>
      <c r="AH665" s="101">
        <f>IF('Net zero activities &amp; levers'!$C$9="Off",'Activity data'!BA48*ttokg*SNEF*NtoN2O*kgtoGg,IF('Net zero activities &amp; levers'!$C$9="On",(('Net zero supporting data'!Y158*ttokg*'Net zero supporting data'!Y182)+('Net zero supporting data'!Y170*ttokg*ONEF))*NtoN2O*kgtoGg,"ERROR"))</f>
        <v>3.2058691127198398E-2</v>
      </c>
      <c r="AI665" s="101">
        <f>IF('Net zero activities &amp; levers'!$C$9="Off",'Activity data'!BB48*ttokg*SNEF*NtoN2O*kgtoGg,IF('Net zero activities &amp; levers'!$C$9="On",(('Net zero supporting data'!Z158*ttokg*'Net zero supporting data'!Z182)+('Net zero supporting data'!Z170*ttokg*ONEF))*NtoN2O*kgtoGg,"ERROR"))</f>
        <v>3.1954516154980253E-2</v>
      </c>
      <c r="AJ665" s="101">
        <f>IF('Net zero activities &amp; levers'!$C$9="Off",'Activity data'!BC48*ttokg*SNEF*NtoN2O*kgtoGg,IF('Net zero activities &amp; levers'!$C$9="On",(('Net zero supporting data'!AA158*ttokg*'Net zero supporting data'!AA182)+('Net zero supporting data'!AA170*ttokg*ONEF))*NtoN2O*kgtoGg,"ERROR"))</f>
        <v>3.1178977178456756E-2</v>
      </c>
      <c r="AK665" s="101">
        <f>IF('Net zero activities &amp; levers'!$C$9="Off",'Activity data'!BD48*ttokg*SNEF*NtoN2O*kgtoGg,IF('Net zero activities &amp; levers'!$C$9="On",(('Net zero supporting data'!AB158*ttokg*'Net zero supporting data'!AB182)+('Net zero supporting data'!AB170*ttokg*ONEF))*NtoN2O*kgtoGg,"ERROR"))</f>
        <v>3.0403393371580358E-2</v>
      </c>
      <c r="AL665" s="101">
        <f>IF('Net zero activities &amp; levers'!$C$9="Off",'Activity data'!BE48*ttokg*SNEF*NtoN2O*kgtoGg,IF('Net zero activities &amp; levers'!$C$9="On",(('Net zero supporting data'!AC158*ttokg*'Net zero supporting data'!AC182)+('Net zero supporting data'!AC170*ttokg*ONEF))*NtoN2O*kgtoGg,"ERROR"))</f>
        <v>2.9627763998964374E-2</v>
      </c>
      <c r="AM665" s="101">
        <f>IF('Net zero activities &amp; levers'!$C$9="Off",'Activity data'!BF48*ttokg*SNEF*NtoN2O*kgtoGg,IF('Net zero activities &amp; levers'!$C$9="On",(('Net zero supporting data'!AD158*ttokg*'Net zero supporting data'!AD182)+('Net zero supporting data'!AD170*ttokg*ONEF))*NtoN2O*kgtoGg,"ERROR"))</f>
        <v>2.88520883117061E-2</v>
      </c>
      <c r="AN665" s="101">
        <f>IF('Net zero activities &amp; levers'!$C$9="Off",'Activity data'!BG48*ttokg*SNEF*NtoN2O*kgtoGg,IF('Net zero activities &amp; levers'!$C$9="On",(('Net zero supporting data'!AE158*ttokg*'Net zero supporting data'!AE182)+('Net zero supporting data'!AE170*ttokg*ONEF))*NtoN2O*kgtoGg,"ERROR"))</f>
        <v>2.8853181985132436E-2</v>
      </c>
      <c r="AO665" s="101">
        <f>IF('Net zero activities &amp; levers'!$C$9="Off",'Activity data'!BH48*ttokg*SNEF*NtoN2O*kgtoGg,IF('Net zero activities &amp; levers'!$C$9="On",(('Net zero supporting data'!AF158*ttokg*'Net zero supporting data'!AF182)+('Net zero supporting data'!AF170*ttokg*ONEF))*NtoN2O*kgtoGg,"ERROR"))</f>
        <v>2.8854119464987456E-2</v>
      </c>
      <c r="AP665" s="101">
        <f>IF('Net zero activities &amp; levers'!$C$9="Off",'Activity data'!BI48*ttokg*SNEF*NtoN2O*kgtoGg,IF('Net zero activities &amp; levers'!$C$9="On",(('Net zero supporting data'!AG158*ttokg*'Net zero supporting data'!AG182)+('Net zero supporting data'!AG170*ttokg*ONEF))*NtoN2O*kgtoGg,"ERROR"))</f>
        <v>2.8855065448732311E-2</v>
      </c>
      <c r="AQ665" s="101">
        <f>IF('Net zero activities &amp; levers'!$C$9="Off",'Activity data'!BJ48*ttokg*SNEF*NtoN2O*kgtoGg,IF('Net zero activities &amp; levers'!$C$9="On",(('Net zero supporting data'!AH158*ttokg*'Net zero supporting data'!AH182)+('Net zero supporting data'!AH170*ttokg*ONEF))*NtoN2O*kgtoGg,"ERROR"))</f>
        <v>2.8856020038118824E-2</v>
      </c>
      <c r="AR665" s="101">
        <f>IF('Net zero activities &amp; levers'!$C$9="Off",'Activity data'!BK48*ttokg*SNEF*NtoN2O*kgtoGg,IF('Net zero activities &amp; levers'!$C$9="On",(('Net zero supporting data'!AI158*ttokg*'Net zero supporting data'!AI182)+('Net zero supporting data'!AI170*ttokg*ONEF))*NtoN2O*kgtoGg,"ERROR"))</f>
        <v>2.8856983336568096E-2</v>
      </c>
      <c r="AS665" s="101">
        <f>IF('Net zero activities &amp; levers'!$C$9="Off",'Activity data'!BL48*ttokg*SNEF*NtoN2O*kgtoGg,IF('Net zero activities &amp; levers'!$C$9="On",(('Net zero supporting data'!AJ158*ttokg*'Net zero supporting data'!AJ182)+('Net zero supporting data'!AJ170*ttokg*ONEF))*NtoN2O*kgtoGg,"ERROR"))</f>
        <v>2.8857955449206881E-2</v>
      </c>
      <c r="AT665" s="101">
        <f>IF('Net zero activities &amp; levers'!$C$9="Off",'Activity data'!BM48*ttokg*SNEF*NtoN2O*kgtoGg,IF('Net zero activities &amp; levers'!$C$9="On",(('Net zero supporting data'!AK158*ttokg*'Net zero supporting data'!AK182)+('Net zero supporting data'!AK170*ttokg*ONEF))*NtoN2O*kgtoGg,"ERROR"))</f>
        <v>2.88587615605355E-2</v>
      </c>
      <c r="AU665" s="101">
        <f>IF('Net zero activities &amp; levers'!$C$9="Off",'Activity data'!BN48*ttokg*SNEF*NtoN2O*kgtoGg,IF('Net zero activities &amp; levers'!$C$9="On",(('Net zero supporting data'!AL158*ttokg*'Net zero supporting data'!AL182)+('Net zero supporting data'!AL170*ttokg*ONEF))*NtoN2O*kgtoGg,"ERROR"))</f>
        <v>2.8859573765338969E-2</v>
      </c>
      <c r="AV665" s="101">
        <f>IF('Net zero activities &amp; levers'!$C$9="Off",'Activity data'!BO48*ttokg*SNEF*NtoN2O*kgtoGg,IF('Net zero activities &amp; levers'!$C$9="On",(('Net zero supporting data'!AM158*ttokg*'Net zero supporting data'!AM182)+('Net zero supporting data'!AM170*ttokg*ONEF))*NtoN2O*kgtoGg,"ERROR"))</f>
        <v>2.8860392124783602E-2</v>
      </c>
      <c r="AW665" s="101">
        <f>IF('Net zero activities &amp; levers'!$C$9="Off",'Activity data'!BP48*ttokg*SNEF*NtoN2O*kgtoGg,IF('Net zero activities &amp; levers'!$C$9="On",(('Net zero supporting data'!AN158*ttokg*'Net zero supporting data'!AN182)+('Net zero supporting data'!AN170*ttokg*ONEF))*NtoN2O*kgtoGg,"ERROR"))</f>
        <v>2.8861216700880342E-2</v>
      </c>
      <c r="AY665" s="85"/>
      <c r="AZ665" s="85"/>
    </row>
    <row r="666" spans="1:52" x14ac:dyDescent="0.25">
      <c r="A666" s="102" t="str">
        <f t="shared" si="133"/>
        <v>NI Crop residues</v>
      </c>
      <c r="B666" s="102" t="s">
        <v>970</v>
      </c>
      <c r="C666" s="102" t="s">
        <v>58</v>
      </c>
      <c r="D666" t="str">
        <f t="shared" ref="D666" si="143">D665</f>
        <v>3C Aggregated and non-CO2 emissions on land</v>
      </c>
      <c r="E666" t="str">
        <f>E665</f>
        <v>3C4 Direct N2O from managed soils (N2O)</v>
      </c>
      <c r="H666" t="s">
        <v>58</v>
      </c>
      <c r="I666" t="str">
        <f>I665</f>
        <v>N2O</v>
      </c>
      <c r="J666" t="str">
        <f>J665</f>
        <v>Gg N2O</v>
      </c>
      <c r="K666" s="28">
        <f>K1465</f>
        <v>2.94930909510781</v>
      </c>
      <c r="L666" s="28">
        <f t="shared" ref="L666:AW666" si="144">L1465</f>
        <v>2.9563860470471841</v>
      </c>
      <c r="M666" s="28">
        <f t="shared" si="144"/>
        <v>2.9660567509887259</v>
      </c>
      <c r="N666" s="28">
        <f t="shared" si="144"/>
        <v>2.9730763996357101</v>
      </c>
      <c r="O666" s="28">
        <f t="shared" si="144"/>
        <v>2.9764949162422756</v>
      </c>
      <c r="P666" s="28">
        <f t="shared" si="144"/>
        <v>2.9798690253687776</v>
      </c>
      <c r="Q666" s="28">
        <f t="shared" si="144"/>
        <v>2.9849732339537955</v>
      </c>
      <c r="R666" s="28">
        <f t="shared" si="144"/>
        <v>2.9905615945405919</v>
      </c>
      <c r="S666" s="28">
        <f t="shared" si="144"/>
        <v>2.9923904690707688</v>
      </c>
      <c r="T666" s="28">
        <f t="shared" si="144"/>
        <v>2.9587970068183171</v>
      </c>
      <c r="U666" s="28">
        <f t="shared" si="144"/>
        <v>2.9692759442185355</v>
      </c>
      <c r="V666" s="28">
        <f t="shared" si="144"/>
        <v>2.9786973142789162</v>
      </c>
      <c r="W666" s="28">
        <f t="shared" si="144"/>
        <v>2.9880313460490315</v>
      </c>
      <c r="X666" s="28">
        <f t="shared" si="144"/>
        <v>2.9987458425292064</v>
      </c>
      <c r="Y666" s="28">
        <f t="shared" si="144"/>
        <v>3.0093440495500001</v>
      </c>
      <c r="Z666" s="28">
        <f t="shared" si="144"/>
        <v>3.0200893059451359</v>
      </c>
      <c r="AA666" s="28">
        <f t="shared" si="144"/>
        <v>3.0303771863022528</v>
      </c>
      <c r="AB666" s="28">
        <f t="shared" si="144"/>
        <v>3.0411047920866441</v>
      </c>
      <c r="AC666" s="28">
        <f t="shared" si="144"/>
        <v>3.0510700208983077</v>
      </c>
      <c r="AD666" s="28">
        <f t="shared" si="144"/>
        <v>3.0611241461036762</v>
      </c>
      <c r="AE666" s="28">
        <f t="shared" si="144"/>
        <v>3.0728237412547079</v>
      </c>
      <c r="AF666" s="28">
        <f t="shared" si="144"/>
        <v>3.0851749342584296</v>
      </c>
      <c r="AG666" s="28">
        <f t="shared" si="144"/>
        <v>3.0976819263158513</v>
      </c>
      <c r="AH666" s="28">
        <f t="shared" si="144"/>
        <v>3.100164026523585</v>
      </c>
      <c r="AI666" s="28">
        <f t="shared" si="144"/>
        <v>2.0687131319155303</v>
      </c>
      <c r="AJ666" s="28">
        <f t="shared" si="144"/>
        <v>2.0668883322133484</v>
      </c>
      <c r="AK666" s="28">
        <f t="shared" si="144"/>
        <v>2.0650443235262905</v>
      </c>
      <c r="AL666" s="28">
        <f t="shared" si="144"/>
        <v>2.0631808412261146</v>
      </c>
      <c r="AM666" s="28">
        <f t="shared" si="144"/>
        <v>2.0612976157071592</v>
      </c>
      <c r="AN666" s="28">
        <f t="shared" si="144"/>
        <v>2.0593943722621146</v>
      </c>
      <c r="AO666" s="28">
        <f t="shared" si="144"/>
        <v>2.0577629415754459</v>
      </c>
      <c r="AP666" s="28">
        <f t="shared" si="144"/>
        <v>2.056116712163484</v>
      </c>
      <c r="AQ666" s="28">
        <f t="shared" si="144"/>
        <v>2.0544555069546533</v>
      </c>
      <c r="AR666" s="28">
        <f t="shared" si="144"/>
        <v>2.0527791459724298</v>
      </c>
      <c r="AS666" s="28">
        <f t="shared" si="144"/>
        <v>2.0510874462720836</v>
      </c>
      <c r="AT666" s="28">
        <f t="shared" si="144"/>
        <v>2.0496846270527396</v>
      </c>
      <c r="AU666" s="28">
        <f t="shared" si="144"/>
        <v>2.0482712037848629</v>
      </c>
      <c r="AV666" s="28">
        <f t="shared" si="144"/>
        <v>2.0468470700250148</v>
      </c>
      <c r="AW666" s="28">
        <f t="shared" si="144"/>
        <v>2.0454121178598972</v>
      </c>
      <c r="AY666" s="85"/>
      <c r="AZ666" s="85"/>
    </row>
    <row r="667" spans="1:52" x14ac:dyDescent="0.25">
      <c r="A667" s="102" t="str">
        <f t="shared" si="133"/>
        <v>NI Organic</v>
      </c>
      <c r="B667" s="102" t="s">
        <v>970</v>
      </c>
      <c r="C667" s="102" t="s">
        <v>1128</v>
      </c>
      <c r="D667" t="s">
        <v>369</v>
      </c>
      <c r="E667" t="s">
        <v>55</v>
      </c>
      <c r="F667" t="s">
        <v>421</v>
      </c>
      <c r="G667" t="s">
        <v>1153</v>
      </c>
      <c r="H667" t="s">
        <v>1154</v>
      </c>
      <c r="I667" t="s">
        <v>139</v>
      </c>
      <c r="J667" t="s">
        <v>287</v>
      </c>
      <c r="K667" s="101">
        <f>IF('Net zero activities &amp; levers'!$C$9="Off",'Activity data'!AD50*ManureNEF*NtoN2O*kgtoGg,IF('Net zero activities &amp; levers'!$C$9="On",(('Net zero supporting data'!B159*'Net zero supporting data'!B183)+('Net zero supporting data'!B171*ManureNEF))*NtoN2O*kgtoGg,"ERROR"))</f>
        <v>0.31935878855248062</v>
      </c>
      <c r="L667" s="101">
        <f>IF('Net zero activities &amp; levers'!$C$9="Off",'Activity data'!AE50*ManureNEF*NtoN2O*kgtoGg,IF('Net zero activities &amp; levers'!$C$9="On",(('Net zero supporting data'!C159*'Net zero supporting data'!C183)+('Net zero supporting data'!C171*ManureNEF))*NtoN2O*kgtoGg,"ERROR"))</f>
        <v>0.3213452540874065</v>
      </c>
      <c r="M667" s="101">
        <f>IF('Net zero activities &amp; levers'!$C$9="Off",'Activity data'!AF50*ManureNEF*NtoN2O*kgtoGg,IF('Net zero activities &amp; levers'!$C$9="On",(('Net zero supporting data'!D159*'Net zero supporting data'!D183)+('Net zero supporting data'!D171*ManureNEF))*NtoN2O*kgtoGg,"ERROR"))</f>
        <v>0.32271097650720204</v>
      </c>
      <c r="N667" s="101">
        <f>IF('Net zero activities &amp; levers'!$C$9="Off",'Activity data'!AG50*ManureNEF*NtoN2O*kgtoGg,IF('Net zero activities &amp; levers'!$C$9="On",(('Net zero supporting data'!E159*'Net zero supporting data'!E183)+('Net zero supporting data'!E171*ManureNEF))*NtoN2O*kgtoGg,"ERROR"))</f>
        <v>0.32313928716206192</v>
      </c>
      <c r="O667" s="101">
        <f>IF('Net zero activities &amp; levers'!$C$9="Off",'Activity data'!AH50*ManureNEF*NtoN2O*kgtoGg,IF('Net zero activities &amp; levers'!$C$9="On",(('Net zero supporting data'!F159*'Net zero supporting data'!F183)+('Net zero supporting data'!F171*ManureNEF))*NtoN2O*kgtoGg,"ERROR"))</f>
        <v>0.32371872756630715</v>
      </c>
      <c r="P667" s="101">
        <f>IF('Net zero activities &amp; levers'!$C$9="Off",'Activity data'!AI50*ManureNEF*NtoN2O*kgtoGg,IF('Net zero activities &amp; levers'!$C$9="On",(('Net zero supporting data'!G159*'Net zero supporting data'!G183)+('Net zero supporting data'!G171*ManureNEF))*NtoN2O*kgtoGg,"ERROR"))</f>
        <v>0.32498792219339984</v>
      </c>
      <c r="Q667" s="101">
        <f>IF('Net zero activities &amp; levers'!$C$9="Off",'Activity data'!AJ50*ManureNEF*NtoN2O*kgtoGg,IF('Net zero activities &amp; levers'!$C$9="On",(('Net zero supporting data'!H159*'Net zero supporting data'!H183)+('Net zero supporting data'!H171*ManureNEF))*NtoN2O*kgtoGg,"ERROR"))</f>
        <v>0.32650955781340663</v>
      </c>
      <c r="R667" s="101">
        <f>IF('Net zero activities &amp; levers'!$C$9="Off",'Activity data'!AK50*ManureNEF*NtoN2O*kgtoGg,IF('Net zero activities &amp; levers'!$C$9="On",(('Net zero supporting data'!I159*'Net zero supporting data'!I183)+('Net zero supporting data'!I171*ManureNEF))*NtoN2O*kgtoGg,"ERROR"))</f>
        <v>0.32696667302614263</v>
      </c>
      <c r="S667" s="101">
        <f>IF('Net zero activities &amp; levers'!$C$9="Off",'Activity data'!AL50*ManureNEF*NtoN2O*kgtoGg,IF('Net zero activities &amp; levers'!$C$9="On",(('Net zero supporting data'!J159*'Net zero supporting data'!J183)+('Net zero supporting data'!J171*ManureNEF))*NtoN2O*kgtoGg,"ERROR"))</f>
        <v>0.31692886960594807</v>
      </c>
      <c r="T667" s="101">
        <f>IF('Net zero activities &amp; levers'!$C$9="Off",'Activity data'!AM50*ManureNEF*NtoN2O*kgtoGg,IF('Net zero activities &amp; levers'!$C$9="On",(('Net zero supporting data'!K159*'Net zero supporting data'!K183)+('Net zero supporting data'!K171*ManureNEF))*NtoN2O*kgtoGg,"ERROR"))</f>
        <v>0.31143578914293968</v>
      </c>
      <c r="U667" s="101">
        <f>IF('Net zero activities &amp; levers'!$C$9="Off",'Activity data'!AN50*ManureNEF*NtoN2O*kgtoGg,IF('Net zero activities &amp; levers'!$C$9="On",(('Net zero supporting data'!L159*'Net zero supporting data'!L183)+('Net zero supporting data'!L171*ManureNEF))*NtoN2O*kgtoGg,"ERROR"))</f>
        <v>0.30569470131010701</v>
      </c>
      <c r="V667" s="101">
        <f>IF('Net zero activities &amp; levers'!$C$9="Off",'Activity data'!AO50*ManureNEF*NtoN2O*kgtoGg,IF('Net zero activities &amp; levers'!$C$9="On",(('Net zero supporting data'!M159*'Net zero supporting data'!M183)+('Net zero supporting data'!M171*ManureNEF))*NtoN2O*kgtoGg,"ERROR"))</f>
        <v>0.29998043463626745</v>
      </c>
      <c r="W667" s="101">
        <f>IF('Net zero activities &amp; levers'!$C$9="Off",'Activity data'!AP50*ManureNEF*NtoN2O*kgtoGg,IF('Net zero activities &amp; levers'!$C$9="On",(('Net zero supporting data'!N159*'Net zero supporting data'!N183)+('Net zero supporting data'!N171*ManureNEF))*NtoN2O*kgtoGg,"ERROR"))</f>
        <v>0.29468809012988662</v>
      </c>
      <c r="X667" s="101">
        <f>IF('Net zero activities &amp; levers'!$C$9="Off",'Activity data'!AQ50*ManureNEF*NtoN2O*kgtoGg,IF('Net zero activities &amp; levers'!$C$9="On",(('Net zero supporting data'!O159*'Net zero supporting data'!O183)+('Net zero supporting data'!O171*ManureNEF))*NtoN2O*kgtoGg,"ERROR"))</f>
        <v>0.28939183814772396</v>
      </c>
      <c r="Y667" s="101">
        <f>IF('Net zero activities &amp; levers'!$C$9="Off",'Activity data'!AR50*ManureNEF*NtoN2O*kgtoGg,IF('Net zero activities &amp; levers'!$C$9="On",(('Net zero supporting data'!P159*'Net zero supporting data'!P183)+('Net zero supporting data'!P171*ManureNEF))*NtoN2O*kgtoGg,"ERROR"))</f>
        <v>0.28397545558392068</v>
      </c>
      <c r="Z667" s="101">
        <f>IF('Net zero activities &amp; levers'!$C$9="Off",'Activity data'!AS50*ManureNEF*NtoN2O*kgtoGg,IF('Net zero activities &amp; levers'!$C$9="On",(('Net zero supporting data'!Q159*'Net zero supporting data'!Q183)+('Net zero supporting data'!Q171*ManureNEF))*NtoN2O*kgtoGg,"ERROR"))</f>
        <v>0.2784640667042606</v>
      </c>
      <c r="AA667" s="101">
        <f>IF('Net zero activities &amp; levers'!$C$9="Off",'Activity data'!AT50*ManureNEF*NtoN2O*kgtoGg,IF('Net zero activities &amp; levers'!$C$9="On",(('Net zero supporting data'!R159*'Net zero supporting data'!R183)+('Net zero supporting data'!R171*ManureNEF))*NtoN2O*kgtoGg,"ERROR"))</f>
        <v>0.27308988868752082</v>
      </c>
      <c r="AB667" s="101">
        <f>IF('Net zero activities &amp; levers'!$C$9="Off",'Activity data'!AU50*ManureNEF*NtoN2O*kgtoGg,IF('Net zero activities &amp; levers'!$C$9="On",(('Net zero supporting data'!S159*'Net zero supporting data'!S183)+('Net zero supporting data'!S171*ManureNEF))*NtoN2O*kgtoGg,"ERROR"))</f>
        <v>0.26753835196844916</v>
      </c>
      <c r="AC667" s="101">
        <f>IF('Net zero activities &amp; levers'!$C$9="Off",'Activity data'!AV50*ManureNEF*NtoN2O*kgtoGg,IF('Net zero activities &amp; levers'!$C$9="On",(('Net zero supporting data'!T159*'Net zero supporting data'!T183)+('Net zero supporting data'!T171*ManureNEF))*NtoN2O*kgtoGg,"ERROR"))</f>
        <v>0.26202770241398049</v>
      </c>
      <c r="AD667" s="101">
        <f>IF('Net zero activities &amp; levers'!$C$9="Off",'Activity data'!AW50*ManureNEF*NtoN2O*kgtoGg,IF('Net zero activities &amp; levers'!$C$9="On",(('Net zero supporting data'!U159*'Net zero supporting data'!U183)+('Net zero supporting data'!U171*ManureNEF))*NtoN2O*kgtoGg,"ERROR"))</f>
        <v>0.25863919948264819</v>
      </c>
      <c r="AE667" s="101">
        <f>IF('Net zero activities &amp; levers'!$C$9="Off",'Activity data'!AX50*ManureNEF*NtoN2O*kgtoGg,IF('Net zero activities &amp; levers'!$C$9="On",(('Net zero supporting data'!V159*'Net zero supporting data'!V183)+('Net zero supporting data'!V171*ManureNEF))*NtoN2O*kgtoGg,"ERROR"))</f>
        <v>0.25537360850317148</v>
      </c>
      <c r="AF667" s="101">
        <f>IF('Net zero activities &amp; levers'!$C$9="Off",'Activity data'!AY50*ManureNEF*NtoN2O*kgtoGg,IF('Net zero activities &amp; levers'!$C$9="On",(('Net zero supporting data'!W159*'Net zero supporting data'!W183)+('Net zero supporting data'!W171*ManureNEF))*NtoN2O*kgtoGg,"ERROR"))</f>
        <v>0.2521022288890486</v>
      </c>
      <c r="AG667" s="101">
        <f>IF('Net zero activities &amp; levers'!$C$9="Off",'Activity data'!AZ50*ManureNEF*NtoN2O*kgtoGg,IF('Net zero activities &amp; levers'!$C$9="On",(('Net zero supporting data'!X159*'Net zero supporting data'!X183)+('Net zero supporting data'!X171*ManureNEF))*NtoN2O*kgtoGg,"ERROR"))</f>
        <v>0.24636830356321418</v>
      </c>
      <c r="AH667" s="101">
        <f>IF('Net zero activities &amp; levers'!$C$9="Off",'Activity data'!BA50*ManureNEF*NtoN2O*kgtoGg,IF('Net zero activities &amp; levers'!$C$9="On",(('Net zero supporting data'!Y159*'Net zero supporting data'!Y183)+('Net zero supporting data'!Y171*ManureNEF))*NtoN2O*kgtoGg,"ERROR"))</f>
        <v>0.12863437365931019</v>
      </c>
      <c r="AI667" s="101">
        <f>IF('Net zero activities &amp; levers'!$C$9="Off",'Activity data'!BB50*ManureNEF*NtoN2O*kgtoGg,IF('Net zero activities &amp; levers'!$C$9="On",(('Net zero supporting data'!Z159*'Net zero supporting data'!Z183)+('Net zero supporting data'!Z171*ManureNEF))*NtoN2O*kgtoGg,"ERROR"))</f>
        <v>0.12546780935726862</v>
      </c>
      <c r="AJ667" s="101">
        <f>IF('Net zero activities &amp; levers'!$C$9="Off",'Activity data'!BC50*ManureNEF*NtoN2O*kgtoGg,IF('Net zero activities &amp; levers'!$C$9="On",(('Net zero supporting data'!AA159*'Net zero supporting data'!AA183)+('Net zero supporting data'!AA171*ManureNEF))*NtoN2O*kgtoGg,"ERROR"))</f>
        <v>0.12231830069775515</v>
      </c>
      <c r="AK667" s="101">
        <f>IF('Net zero activities &amp; levers'!$C$9="Off",'Activity data'!BD50*ManureNEF*NtoN2O*kgtoGg,IF('Net zero activities &amp; levers'!$C$9="On",(('Net zero supporting data'!AB159*'Net zero supporting data'!AB183)+('Net zero supporting data'!AB171*ManureNEF))*NtoN2O*kgtoGg,"ERROR"))</f>
        <v>0.11918449449257143</v>
      </c>
      <c r="AL667" s="101">
        <f>IF('Net zero activities &amp; levers'!$C$9="Off",'Activity data'!BE50*ManureNEF*NtoN2O*kgtoGg,IF('Net zero activities &amp; levers'!$C$9="On",(('Net zero supporting data'!AC159*'Net zero supporting data'!AC183)+('Net zero supporting data'!AC171*ManureNEF))*NtoN2O*kgtoGg,"ERROR"))</f>
        <v>0.11606512350980712</v>
      </c>
      <c r="AM667" s="101">
        <f>IF('Net zero activities &amp; levers'!$C$9="Off",'Activity data'!BF50*ManureNEF*NtoN2O*kgtoGg,IF('Net zero activities &amp; levers'!$C$9="On",(('Net zero supporting data'!AD159*'Net zero supporting data'!AD183)+('Net zero supporting data'!AD171*ManureNEF))*NtoN2O*kgtoGg,"ERROR"))</f>
        <v>0.11295899853944702</v>
      </c>
      <c r="AN667" s="101">
        <f>IF('Net zero activities &amp; levers'!$C$9="Off",'Activity data'!BG50*ManureNEF*NtoN2O*kgtoGg,IF('Net zero activities &amp; levers'!$C$9="On",(('Net zero supporting data'!AE159*'Net zero supporting data'!AE183)+('Net zero supporting data'!AE171*ManureNEF))*NtoN2O*kgtoGg,"ERROR"))</f>
        <v>0.11282498517540931</v>
      </c>
      <c r="AO667" s="101">
        <f>IF('Net zero activities &amp; levers'!$C$9="Off",'Activity data'!BH50*ManureNEF*NtoN2O*kgtoGg,IF('Net zero activities &amp; levers'!$C$9="On",(('Net zero supporting data'!AF159*'Net zero supporting data'!AF183)+('Net zero supporting data'!AF171*ManureNEF))*NtoN2O*kgtoGg,"ERROR"))</f>
        <v>0.11269932410490072</v>
      </c>
      <c r="AP667" s="101">
        <f>IF('Net zero activities &amp; levers'!$C$9="Off",'Activity data'!BI50*ManureNEF*NtoN2O*kgtoGg,IF('Net zero activities &amp; levers'!$C$9="On",(('Net zero supporting data'!AG159*'Net zero supporting data'!AG183)+('Net zero supporting data'!AG171*ManureNEF))*NtoN2O*kgtoGg,"ERROR"))</f>
        <v>0.11258167538198732</v>
      </c>
      <c r="AQ667" s="101">
        <f>IF('Net zero activities &amp; levers'!$C$9="Off",'Activity data'!BJ50*ManureNEF*NtoN2O*kgtoGg,IF('Net zero activities &amp; levers'!$C$9="On",(('Net zero supporting data'!AH159*'Net zero supporting data'!AH183)+('Net zero supporting data'!AH171*ManureNEF))*NtoN2O*kgtoGg,"ERROR"))</f>
        <v>0.11247172130178662</v>
      </c>
      <c r="AR667" s="101">
        <f>IF('Net zero activities &amp; levers'!$C$9="Off",'Activity data'!BK50*ManureNEF*NtoN2O*kgtoGg,IF('Net zero activities &amp; levers'!$C$9="On",(('Net zero supporting data'!AI159*'Net zero supporting data'!AI183)+('Net zero supporting data'!AI171*ManureNEF))*NtoN2O*kgtoGg,"ERROR"))</f>
        <v>0.11236916451513707</v>
      </c>
      <c r="AS667" s="101">
        <f>IF('Net zero activities &amp; levers'!$C$9="Off",'Activity data'!BL50*ManureNEF*NtoN2O*kgtoGg,IF('Net zero activities &amp; levers'!$C$9="On",(('Net zero supporting data'!AJ159*'Net zero supporting data'!AJ183)+('Net zero supporting data'!AJ171*ManureNEF))*NtoN2O*kgtoGg,"ERROR"))</f>
        <v>0.11219377682464472</v>
      </c>
      <c r="AT667" s="101">
        <f>IF('Net zero activities &amp; levers'!$C$9="Off",'Activity data'!BM50*ManureNEF*NtoN2O*kgtoGg,IF('Net zero activities &amp; levers'!$C$9="On",(('Net zero supporting data'!AK159*'Net zero supporting data'!AK183)+('Net zero supporting data'!AK171*ManureNEF))*NtoN2O*kgtoGg,"ERROR"))</f>
        <v>0.11202511226331455</v>
      </c>
      <c r="AU667" s="101">
        <f>IF('Net zero activities &amp; levers'!$C$9="Off",'Activity data'!BN50*ManureNEF*NtoN2O*kgtoGg,IF('Net zero activities &amp; levers'!$C$9="On",(('Net zero supporting data'!AL159*'Net zero supporting data'!AL183)+('Net zero supporting data'!AL171*ManureNEF))*NtoN2O*kgtoGg,"ERROR"))</f>
        <v>0.1118629129584804</v>
      </c>
      <c r="AV667" s="101">
        <f>IF('Net zero activities &amp; levers'!$C$9="Off",'Activity data'!BO50*ManureNEF*NtoN2O*kgtoGg,IF('Net zero activities &amp; levers'!$C$9="On",(('Net zero supporting data'!AM159*'Net zero supporting data'!AM183)+('Net zero supporting data'!AM171*ManureNEF))*NtoN2O*kgtoGg,"ERROR"))</f>
        <v>0.11170693615475033</v>
      </c>
      <c r="AW667" s="101">
        <f>IF('Net zero activities &amp; levers'!$C$9="Off",'Activity data'!BP50*ManureNEF*NtoN2O*kgtoGg,IF('Net zero activities &amp; levers'!$C$9="On",(('Net zero supporting data'!AN159*'Net zero supporting data'!AN183)+('Net zero supporting data'!AN171*ManureNEF))*NtoN2O*kgtoGg,"ERROR"))</f>
        <v>0.11155695305548383</v>
      </c>
      <c r="AY667" s="85"/>
      <c r="AZ667" s="85"/>
    </row>
    <row r="668" spans="1:52" x14ac:dyDescent="0.25">
      <c r="A668" s="102" t="str">
        <f t="shared" si="133"/>
        <v>NI Organic</v>
      </c>
      <c r="B668" s="102" t="s">
        <v>970</v>
      </c>
      <c r="C668" s="102" t="s">
        <v>1128</v>
      </c>
      <c r="D668" t="s">
        <v>369</v>
      </c>
      <c r="E668" t="s">
        <v>55</v>
      </c>
      <c r="F668" t="s">
        <v>421</v>
      </c>
      <c r="G668" t="s">
        <v>1155</v>
      </c>
      <c r="H668" t="s">
        <v>1156</v>
      </c>
      <c r="I668" t="s">
        <v>139</v>
      </c>
      <c r="J668" t="s">
        <v>287</v>
      </c>
      <c r="K668" s="101">
        <f>IF('Net zero activities &amp; levers'!$C$9="Off",'Activity data'!AD51*ManureNEF*NtoN2O*kgtoGg,IF('Net zero activities &amp; levers'!$C$9="On",(('Net zero supporting data'!B160*'Net zero supporting data'!B183)+('Net zero supporting data'!B172*ManureNEF))*NtoN2O*kgtoGg,"ERROR"))</f>
        <v>0.93379576098906358</v>
      </c>
      <c r="L668" s="101">
        <f>IF('Net zero activities &amp; levers'!$C$9="Off",'Activity data'!AE51*ManureNEF*NtoN2O*kgtoGg,IF('Net zero activities &amp; levers'!$C$9="On",(('Net zero supporting data'!C160*'Net zero supporting data'!C183)+('Net zero supporting data'!C172*ManureNEF))*NtoN2O*kgtoGg,"ERROR"))</f>
        <v>0.93960412813709904</v>
      </c>
      <c r="M668" s="101">
        <f>IF('Net zero activities &amp; levers'!$C$9="Off",'Activity data'!AF51*ManureNEF*NtoN2O*kgtoGg,IF('Net zero activities &amp; levers'!$C$9="On",(('Net zero supporting data'!D160*'Net zero supporting data'!D183)+('Net zero supporting data'!D172*ManureNEF))*NtoN2O*kgtoGg,"ERROR"))</f>
        <v>0.94359746056447114</v>
      </c>
      <c r="N668" s="101">
        <f>IF('Net zero activities &amp; levers'!$C$9="Off",'Activity data'!AG51*ManureNEF*NtoN2O*kgtoGg,IF('Net zero activities &amp; levers'!$C$9="On",(('Net zero supporting data'!E160*'Net zero supporting data'!E183)+('Net zero supporting data'!E172*ManureNEF))*NtoN2O*kgtoGg,"ERROR"))</f>
        <v>0.94484982839723786</v>
      </c>
      <c r="O668" s="101">
        <f>IF('Net zero activities &amp; levers'!$C$9="Off",'Activity data'!AH51*ManureNEF*NtoN2O*kgtoGg,IF('Net zero activities &amp; levers'!$C$9="On",(('Net zero supporting data'!F160*'Net zero supporting data'!F183)+('Net zero supporting data'!F172*ManureNEF))*NtoN2O*kgtoGg,"ERROR"))</f>
        <v>0.94654409519879523</v>
      </c>
      <c r="P668" s="101">
        <f>IF('Net zero activities &amp; levers'!$C$9="Off",'Activity data'!AI51*ManureNEF*NtoN2O*kgtoGg,IF('Net zero activities &amp; levers'!$C$9="On",(('Net zero supporting data'!G160*'Net zero supporting data'!G183)+('Net zero supporting data'!G172*ManureNEF))*NtoN2O*kgtoGg,"ERROR"))</f>
        <v>0.95025518318237956</v>
      </c>
      <c r="Q668" s="101">
        <f>IF('Net zero activities &amp; levers'!$C$9="Off",'Activity data'!AJ51*ManureNEF*NtoN2O*kgtoGg,IF('Net zero activities &amp; levers'!$C$9="On",(('Net zero supporting data'!H160*'Net zero supporting data'!H183)+('Net zero supporting data'!H172*ManureNEF))*NtoN2O*kgtoGg,"ERROR"))</f>
        <v>0.95470440124890821</v>
      </c>
      <c r="R668" s="101">
        <f>IF('Net zero activities &amp; levers'!$C$9="Off",'Activity data'!AK51*ManureNEF*NtoN2O*kgtoGg,IF('Net zero activities &amp; levers'!$C$9="On",(('Net zero supporting data'!I160*'Net zero supporting data'!I183)+('Net zero supporting data'!I172*ManureNEF))*NtoN2O*kgtoGg,"ERROR"))</f>
        <v>0.95604099276677834</v>
      </c>
      <c r="S668" s="101">
        <f>IF('Net zero activities &amp; levers'!$C$9="Off",'Activity data'!AL51*ManureNEF*NtoN2O*kgtoGg,IF('Net zero activities &amp; levers'!$C$9="On",(('Net zero supporting data'!J160*'Net zero supporting data'!J183)+('Net zero supporting data'!J172*ManureNEF))*NtoN2O*kgtoGg,"ERROR"))</f>
        <v>0.9266907490302454</v>
      </c>
      <c r="T668" s="101">
        <f>IF('Net zero activities &amp; levers'!$C$9="Off",'Activity data'!AM51*ManureNEF*NtoN2O*kgtoGg,IF('Net zero activities &amp; levers'!$C$9="On",(('Net zero supporting data'!K160*'Net zero supporting data'!K183)+('Net zero supporting data'!K172*ManureNEF))*NtoN2O*kgtoGg,"ERROR"))</f>
        <v>0.91062914235150427</v>
      </c>
      <c r="U668" s="101">
        <f>IF('Net zero activities &amp; levers'!$C$9="Off",'Activity data'!AN51*ManureNEF*NtoN2O*kgtoGg,IF('Net zero activities &amp; levers'!$C$9="On",(('Net zero supporting data'!L160*'Net zero supporting data'!L183)+('Net zero supporting data'!L172*ManureNEF))*NtoN2O*kgtoGg,"ERROR"))</f>
        <v>0.89384236937411354</v>
      </c>
      <c r="V668" s="101">
        <f>IF('Net zero activities &amp; levers'!$C$9="Off",'Activity data'!AO51*ManureNEF*NtoN2O*kgtoGg,IF('Net zero activities &amp; levers'!$C$9="On",(('Net zero supporting data'!M160*'Net zero supporting data'!M183)+('Net zero supporting data'!M172*ManureNEF))*NtoN2O*kgtoGg,"ERROR"))</f>
        <v>0.87713402068147828</v>
      </c>
      <c r="W668" s="101">
        <f>IF('Net zero activities &amp; levers'!$C$9="Off",'Activity data'!AP51*ManureNEF*NtoN2O*kgtoGg,IF('Net zero activities &amp; levers'!$C$9="On",(('Net zero supporting data'!N160*'Net zero supporting data'!N183)+('Net zero supporting data'!N172*ManureNEF))*NtoN2O*kgtoGg,"ERROR"))</f>
        <v>0.86165936007122212</v>
      </c>
      <c r="X668" s="101">
        <f>IF('Net zero activities &amp; levers'!$C$9="Off",'Activity data'!AQ51*ManureNEF*NtoN2O*kgtoGg,IF('Net zero activities &amp; levers'!$C$9="On",(('Net zero supporting data'!O160*'Net zero supporting data'!O183)+('Net zero supporting data'!O172*ManureNEF))*NtoN2O*kgtoGg,"ERROR"))</f>
        <v>0.8461732741160185</v>
      </c>
      <c r="Y668" s="101">
        <f>IF('Net zero activities &amp; levers'!$C$9="Off",'Activity data'!AR51*ManureNEF*NtoN2O*kgtoGg,IF('Net zero activities &amp; levers'!$C$9="On",(('Net zero supporting data'!P160*'Net zero supporting data'!P183)+('Net zero supporting data'!P172*ManureNEF))*NtoN2O*kgtoGg,"ERROR"))</f>
        <v>0.83033592985222227</v>
      </c>
      <c r="Z668" s="101">
        <f>IF('Net zero activities &amp; levers'!$C$9="Off",'Activity data'!AS51*ManureNEF*NtoN2O*kgtoGg,IF('Net zero activities &amp; levers'!$C$9="On",(('Net zero supporting data'!Q160*'Net zero supporting data'!Q183)+('Net zero supporting data'!Q172*ManureNEF))*NtoN2O*kgtoGg,"ERROR"))</f>
        <v>0.81422078989845503</v>
      </c>
      <c r="AA668" s="101">
        <f>IF('Net zero activities &amp; levers'!$C$9="Off",'Activity data'!AT51*ManureNEF*NtoN2O*kgtoGg,IF('Net zero activities &amp; levers'!$C$9="On",(('Net zero supporting data'!R160*'Net zero supporting data'!R183)+('Net zero supporting data'!R172*ManureNEF))*NtoN2O*kgtoGg,"ERROR"))</f>
        <v>0.79850685049638459</v>
      </c>
      <c r="AB668" s="101">
        <f>IF('Net zero activities &amp; levers'!$C$9="Off",'Activity data'!AU51*ManureNEF*NtoN2O*kgtoGg,IF('Net zero activities &amp; levers'!$C$9="On",(('Net zero supporting data'!S160*'Net zero supporting data'!S183)+('Net zero supporting data'!S172*ManureNEF))*NtoN2O*kgtoGg,"ERROR"))</f>
        <v>0.78227431943393566</v>
      </c>
      <c r="AC668" s="101">
        <f>IF('Net zero activities &amp; levers'!$C$9="Off",'Activity data'!AV51*ManureNEF*NtoN2O*kgtoGg,IF('Net zero activities &amp; levers'!$C$9="On",(('Net zero supporting data'!T160*'Net zero supporting data'!T183)+('Net zero supporting data'!T172*ManureNEF))*NtoN2O*kgtoGg,"ERROR"))</f>
        <v>0.76616134124541302</v>
      </c>
      <c r="AD668" s="101">
        <f>IF('Net zero activities &amp; levers'!$C$9="Off",'Activity data'!AW51*ManureNEF*NtoN2O*kgtoGg,IF('Net zero activities &amp; levers'!$C$9="On",(('Net zero supporting data'!U160*'Net zero supporting data'!U183)+('Net zero supporting data'!U172*ManureNEF))*NtoN2O*kgtoGg,"ERROR"))</f>
        <v>0.75625345774009622</v>
      </c>
      <c r="AE668" s="101">
        <f>IF('Net zero activities &amp; levers'!$C$9="Off",'Activity data'!AX51*ManureNEF*NtoN2O*kgtoGg,IF('Net zero activities &amp; levers'!$C$9="On",(('Net zero supporting data'!V160*'Net zero supporting data'!V183)+('Net zero supporting data'!V172*ManureNEF))*NtoN2O*kgtoGg,"ERROR"))</f>
        <v>0.74670496518856444</v>
      </c>
      <c r="AF668" s="101">
        <f>IF('Net zero activities &amp; levers'!$C$9="Off",'Activity data'!AY51*ManureNEF*NtoN2O*kgtoGg,IF('Net zero activities &amp; levers'!$C$9="On",(('Net zero supporting data'!W160*'Net zero supporting data'!W183)+('Net zero supporting data'!W172*ManureNEF))*NtoN2O*kgtoGg,"ERROR"))</f>
        <v>0.73713954683856364</v>
      </c>
      <c r="AG668" s="101">
        <f>IF('Net zero activities &amp; levers'!$C$9="Off",'Activity data'!AZ51*ManureNEF*NtoN2O*kgtoGg,IF('Net zero activities &amp; levers'!$C$9="On",(('Net zero supporting data'!X160*'Net zero supporting data'!X183)+('Net zero supporting data'!X172*ManureNEF))*NtoN2O*kgtoGg,"ERROR"))</f>
        <v>0.7203737168222335</v>
      </c>
      <c r="AH668" s="101">
        <f>IF('Net zero activities &amp; levers'!$C$9="Off",'Activity data'!BA51*ManureNEF*NtoN2O*kgtoGg,IF('Net zero activities &amp; levers'!$C$9="On",(('Net zero supporting data'!Y160*'Net zero supporting data'!Y183)+('Net zero supporting data'!Y172*ManureNEF))*NtoN2O*kgtoGg,"ERROR"))</f>
        <v>0.37612314783943362</v>
      </c>
      <c r="AI668" s="101">
        <f>IF('Net zero activities &amp; levers'!$C$9="Off",'Activity data'!BB51*ManureNEF*NtoN2O*kgtoGg,IF('Net zero activities &amp; levers'!$C$9="On",(('Net zero supporting data'!Z160*'Net zero supporting data'!Z183)+('Net zero supporting data'!Z172*ManureNEF))*NtoN2O*kgtoGg,"ERROR"))</f>
        <v>0.36686420639758949</v>
      </c>
      <c r="AJ668" s="101">
        <f>IF('Net zero activities &amp; levers'!$C$9="Off",'Activity data'!BC51*ManureNEF*NtoN2O*kgtoGg,IF('Net zero activities &amp; levers'!$C$9="On",(('Net zero supporting data'!AA160*'Net zero supporting data'!AA183)+('Net zero supporting data'!AA172*ManureNEF))*NtoN2O*kgtoGg,"ERROR"))</f>
        <v>0.35765513515586073</v>
      </c>
      <c r="AK668" s="101">
        <f>IF('Net zero activities &amp; levers'!$C$9="Off",'Activity data'!BD51*ManureNEF*NtoN2O*kgtoGg,IF('Net zero activities &amp; levers'!$C$9="On",(('Net zero supporting data'!AB160*'Net zero supporting data'!AB183)+('Net zero supporting data'!AB172*ManureNEF))*NtoN2O*kgtoGg,"ERROR"))</f>
        <v>0.34849197743151678</v>
      </c>
      <c r="AL668" s="101">
        <f>IF('Net zero activities &amp; levers'!$C$9="Off",'Activity data'!BE51*ManureNEF*NtoN2O*kgtoGg,IF('Net zero activities &amp; levers'!$C$9="On",(('Net zero supporting data'!AC160*'Net zero supporting data'!AC183)+('Net zero supporting data'!AC172*ManureNEF))*NtoN2O*kgtoGg,"ERROR"))</f>
        <v>0.33937102787550061</v>
      </c>
      <c r="AM668" s="101">
        <f>IF('Net zero activities &amp; levers'!$C$9="Off",'Activity data'!BF51*ManureNEF*NtoN2O*kgtoGg,IF('Net zero activities &amp; levers'!$C$9="On",(('Net zero supporting data'!AD160*'Net zero supporting data'!AD183)+('Net zero supporting data'!AD172*ManureNEF))*NtoN2O*kgtoGg,"ERROR"))</f>
        <v>0.33028880927249532</v>
      </c>
      <c r="AN668" s="101">
        <f>IF('Net zero activities &amp; levers'!$C$9="Off",'Activity data'!BG51*ManureNEF*NtoN2O*kgtoGg,IF('Net zero activities &amp; levers'!$C$9="On",(('Net zero supporting data'!AE160*'Net zero supporting data'!AE183)+('Net zero supporting data'!AE172*ManureNEF))*NtoN2O*kgtoGg,"ERROR"))</f>
        <v>0.32989695811404923</v>
      </c>
      <c r="AO668" s="101">
        <f>IF('Net zero activities &amp; levers'!$C$9="Off",'Activity data'!BH51*ManureNEF*NtoN2O*kgtoGg,IF('Net zero activities &amp; levers'!$C$9="On",(('Net zero supporting data'!AF160*'Net zero supporting data'!AF183)+('Net zero supporting data'!AF172*ManureNEF))*NtoN2O*kgtoGg,"ERROR"))</f>
        <v>0.32952952881769521</v>
      </c>
      <c r="AP668" s="101">
        <f>IF('Net zero activities &amp; levers'!$C$9="Off",'Activity data'!BI51*ManureNEF*NtoN2O*kgtoGg,IF('Net zero activities &amp; levers'!$C$9="On",(('Net zero supporting data'!AG160*'Net zero supporting data'!AG183)+('Net zero supporting data'!AG172*ManureNEF))*NtoN2O*kgtoGg,"ERROR"))</f>
        <v>0.32918552739146151</v>
      </c>
      <c r="AQ668" s="101">
        <f>IF('Net zero activities &amp; levers'!$C$9="Off",'Activity data'!BJ51*ManureNEF*NtoN2O*kgtoGg,IF('Net zero activities &amp; levers'!$C$9="On",(('Net zero supporting data'!AH160*'Net zero supporting data'!AH183)+('Net zero supporting data'!AH172*ManureNEF))*NtoN2O*kgtoGg,"ERROR"))</f>
        <v>0.32886402487556005</v>
      </c>
      <c r="AR668" s="101">
        <f>IF('Net zero activities &amp; levers'!$C$9="Off",'Activity data'!BK51*ManureNEF*NtoN2O*kgtoGg,IF('Net zero activities &amp; levers'!$C$9="On",(('Net zero supporting data'!AI160*'Net zero supporting data'!AI183)+('Net zero supporting data'!AI172*ManureNEF))*NtoN2O*kgtoGg,"ERROR"))</f>
        <v>0.3285641518297357</v>
      </c>
      <c r="AS668" s="101">
        <f>IF('Net zero activities &amp; levers'!$C$9="Off",'Activity data'!BL51*ManureNEF*NtoN2O*kgtoGg,IF('Net zero activities &amp; levers'!$C$9="On",(('Net zero supporting data'!AJ160*'Net zero supporting data'!AJ183)+('Net zero supporting data'!AJ172*ManureNEF))*NtoN2O*kgtoGg,"ERROR"))</f>
        <v>0.32805132335035131</v>
      </c>
      <c r="AT668" s="101">
        <f>IF('Net zero activities &amp; levers'!$C$9="Off",'Activity data'!BM51*ManureNEF*NtoN2O*kgtoGg,IF('Net zero activities &amp; levers'!$C$9="On",(('Net zero supporting data'!AK160*'Net zero supporting data'!AK183)+('Net zero supporting data'!AK172*ManureNEF))*NtoN2O*kgtoGg,"ERROR"))</f>
        <v>0.32755815310408037</v>
      </c>
      <c r="AU668" s="101">
        <f>IF('Net zero activities &amp; levers'!$C$9="Off",'Activity data'!BN51*ManureNEF*NtoN2O*kgtoGg,IF('Net zero activities &amp; levers'!$C$9="On",(('Net zero supporting data'!AL160*'Net zero supporting data'!AL183)+('Net zero supporting data'!AL172*ManureNEF))*NtoN2O*kgtoGg,"ERROR"))</f>
        <v>0.32708388707878644</v>
      </c>
      <c r="AV668" s="101">
        <f>IF('Net zero activities &amp; levers'!$C$9="Off",'Activity data'!BO51*ManureNEF*NtoN2O*kgtoGg,IF('Net zero activities &amp; levers'!$C$9="On",(('Net zero supporting data'!AM160*'Net zero supporting data'!AM183)+('Net zero supporting data'!AM172*ManureNEF))*NtoN2O*kgtoGg,"ERROR"))</f>
        <v>0.32662781546480024</v>
      </c>
      <c r="AW668" s="101">
        <f>IF('Net zero activities &amp; levers'!$C$9="Off",'Activity data'!BP51*ManureNEF*NtoN2O*kgtoGg,IF('Net zero activities &amp; levers'!$C$9="On",(('Net zero supporting data'!AN160*'Net zero supporting data'!AN183)+('Net zero supporting data'!AN172*ManureNEF))*NtoN2O*kgtoGg,"ERROR"))</f>
        <v>0.32618926926743447</v>
      </c>
      <c r="AY668" s="85"/>
      <c r="AZ668" s="85"/>
    </row>
    <row r="669" spans="1:52" x14ac:dyDescent="0.25">
      <c r="A669" s="102" t="str">
        <f t="shared" si="133"/>
        <v>NI Organic</v>
      </c>
      <c r="B669" s="102" t="s">
        <v>970</v>
      </c>
      <c r="C669" s="102" t="s">
        <v>1128</v>
      </c>
      <c r="D669" t="s">
        <v>369</v>
      </c>
      <c r="E669" t="s">
        <v>55</v>
      </c>
      <c r="F669" t="s">
        <v>421</v>
      </c>
      <c r="G669" t="s">
        <v>1157</v>
      </c>
      <c r="H669" t="s">
        <v>1158</v>
      </c>
      <c r="I669" t="s">
        <v>139</v>
      </c>
      <c r="J669" t="s">
        <v>287</v>
      </c>
      <c r="K669" s="101">
        <f>IF('Net zero activities &amp; levers'!$C$9="Off",'Activity data'!AD52*ManureNEF*NtoN2O*kgtoGg,IF('Net zero activities &amp; levers'!$C$9="On",(('Net zero supporting data'!B161*'Net zero supporting data'!B183)+('Net zero supporting data'!B173*ManureNEF))*NtoN2O*kgtoGg,"ERROR"))</f>
        <v>4.9952808112492433E-2</v>
      </c>
      <c r="L669" s="101">
        <f>IF('Net zero activities &amp; levers'!$C$9="Off",'Activity data'!AE52*ManureNEF*NtoN2O*kgtoGg,IF('Net zero activities &amp; levers'!$C$9="On",(('Net zero supporting data'!C161*'Net zero supporting data'!C183)+('Net zero supporting data'!C173*ManureNEF))*NtoN2O*kgtoGg,"ERROR"))</f>
        <v>5.0263523005099557E-2</v>
      </c>
      <c r="M669" s="101">
        <f>IF('Net zero activities &amp; levers'!$C$9="Off",'Activity data'!AF52*ManureNEF*NtoN2O*kgtoGg,IF('Net zero activities &amp; levers'!$C$9="On",(('Net zero supporting data'!D161*'Net zero supporting data'!D183)+('Net zero supporting data'!D173*ManureNEF))*NtoN2O*kgtoGg,"ERROR"))</f>
        <v>5.0477143774016554E-2</v>
      </c>
      <c r="N669" s="101">
        <f>IF('Net zero activities &amp; levers'!$C$9="Off",'Activity data'!AG52*ManureNEF*NtoN2O*kgtoGg,IF('Net zero activities &amp; levers'!$C$9="On",(('Net zero supporting data'!E161*'Net zero supporting data'!E183)+('Net zero supporting data'!E173*ManureNEF))*NtoN2O*kgtoGg,"ERROR"))</f>
        <v>5.0544138391737034E-2</v>
      </c>
      <c r="O669" s="101">
        <f>IF('Net zero activities &amp; levers'!$C$9="Off",'Activity data'!AH52*ManureNEF*NtoN2O*kgtoGg,IF('Net zero activities &amp; levers'!$C$9="On",(('Net zero supporting data'!F161*'Net zero supporting data'!F183)+('Net zero supporting data'!F173*ManureNEF))*NtoN2O*kgtoGg,"ERROR"))</f>
        <v>5.063477211269108E-2</v>
      </c>
      <c r="P669" s="101">
        <f>IF('Net zero activities &amp; levers'!$C$9="Off",'Activity data'!AI52*ManureNEF*NtoN2O*kgtoGg,IF('Net zero activities &amp; levers'!$C$9="On",(('Net zero supporting data'!G161*'Net zero supporting data'!G183)+('Net zero supporting data'!G173*ManureNEF))*NtoN2O*kgtoGg,"ERROR"))</f>
        <v>5.0833294395268382E-2</v>
      </c>
      <c r="Q669" s="101">
        <f>IF('Net zero activities &amp; levers'!$C$9="Off",'Activity data'!AJ52*ManureNEF*NtoN2O*kgtoGg,IF('Net zero activities &amp; levers'!$C$9="On",(('Net zero supporting data'!H161*'Net zero supporting data'!H183)+('Net zero supporting data'!H173*ManureNEF))*NtoN2O*kgtoGg,"ERROR"))</f>
        <v>5.1071302475421292E-2</v>
      </c>
      <c r="R669" s="101">
        <f>IF('Net zero activities &amp; levers'!$C$9="Off",'Activity data'!AK52*ManureNEF*NtoN2O*kgtoGg,IF('Net zero activities &amp; levers'!$C$9="On",(('Net zero supporting data'!I161*'Net zero supporting data'!I183)+('Net zero supporting data'!I173*ManureNEF))*NtoN2O*kgtoGg,"ERROR"))</f>
        <v>5.1142802585409194E-2</v>
      </c>
      <c r="S669" s="101">
        <f>IF('Net zero activities &amp; levers'!$C$9="Off",'Activity data'!AL52*ManureNEF*NtoN2O*kgtoGg,IF('Net zero activities &amp; levers'!$C$9="On",(('Net zero supporting data'!J161*'Net zero supporting data'!J183)+('Net zero supporting data'!J173*ManureNEF))*NtoN2O*kgtoGg,"ERROR"))</f>
        <v>4.9572730033491622E-2</v>
      </c>
      <c r="T669" s="101">
        <f>IF('Net zero activities &amp; levers'!$C$9="Off",'Activity data'!AM52*ManureNEF*NtoN2O*kgtoGg,IF('Net zero activities &amp; levers'!$C$9="On",(('Net zero supporting data'!K161*'Net zero supporting data'!K183)+('Net zero supporting data'!K173*ManureNEF))*NtoN2O*kgtoGg,"ERROR"))</f>
        <v>4.8713524637708214E-2</v>
      </c>
      <c r="U669" s="101">
        <f>IF('Net zero activities &amp; levers'!$C$9="Off",'Activity data'!AN52*ManureNEF*NtoN2O*kgtoGg,IF('Net zero activities &amp; levers'!$C$9="On",(('Net zero supporting data'!L161*'Net zero supporting data'!L183)+('Net zero supporting data'!L173*ManureNEF))*NtoN2O*kgtoGg,"ERROR"))</f>
        <v>4.7815526933714159E-2</v>
      </c>
      <c r="V669" s="101">
        <f>IF('Net zero activities &amp; levers'!$C$9="Off",'Activity data'!AO52*ManureNEF*NtoN2O*kgtoGg,IF('Net zero activities &amp; levers'!$C$9="On",(('Net zero supporting data'!M161*'Net zero supporting data'!M183)+('Net zero supporting data'!M173*ManureNEF))*NtoN2O*kgtoGg,"ERROR"))</f>
        <v>4.6921724486768165E-2</v>
      </c>
      <c r="W669" s="101">
        <f>IF('Net zero activities &amp; levers'!$C$9="Off",'Activity data'!AP52*ManureNEF*NtoN2O*kgtoGg,IF('Net zero activities &amp; levers'!$C$9="On",(('Net zero supporting data'!N161*'Net zero supporting data'!N183)+('Net zero supporting data'!N173*ManureNEF))*NtoN2O*kgtoGg,"ERROR"))</f>
        <v>4.6093917396220527E-2</v>
      </c>
      <c r="X669" s="101">
        <f>IF('Net zero activities &amp; levers'!$C$9="Off",'Activity data'!AQ52*ManureNEF*NtoN2O*kgtoGg,IF('Net zero activities &amp; levers'!$C$9="On",(('Net zero supporting data'!O161*'Net zero supporting data'!O183)+('Net zero supporting data'!O173*ManureNEF))*NtoN2O*kgtoGg,"ERROR"))</f>
        <v>4.5265499114138699E-2</v>
      </c>
      <c r="Y669" s="101">
        <f>IF('Net zero activities &amp; levers'!$C$9="Off",'Activity data'!AR52*ManureNEF*NtoN2O*kgtoGg,IF('Net zero activities &amp; levers'!$C$9="On",(('Net zero supporting data'!P161*'Net zero supporting data'!P183)+('Net zero supporting data'!P173*ManureNEF))*NtoN2O*kgtoGg,"ERROR"))</f>
        <v>4.4418290493076891E-2</v>
      </c>
      <c r="Z669" s="101">
        <f>IF('Net zero activities &amp; levers'!$C$9="Off",'Activity data'!AS52*ManureNEF*NtoN2O*kgtoGg,IF('Net zero activities &amp; levers'!$C$9="On",(('Net zero supporting data'!Q161*'Net zero supporting data'!Q183)+('Net zero supporting data'!Q173*ManureNEF))*NtoN2O*kgtoGg,"ERROR"))</f>
        <v>4.355622136892081E-2</v>
      </c>
      <c r="AA669" s="101">
        <f>IF('Net zero activities &amp; levers'!$C$9="Off",'Activity data'!AT52*ManureNEF*NtoN2O*kgtoGg,IF('Net zero activities &amp; levers'!$C$9="On",(('Net zero supporting data'!R161*'Net zero supporting data'!R183)+('Net zero supporting data'!R173*ManureNEF))*NtoN2O*kgtoGg,"ERROR"))</f>
        <v>4.2715614212157187E-2</v>
      </c>
      <c r="AB669" s="101">
        <f>IF('Net zero activities &amp; levers'!$C$9="Off",'Activity data'!AU52*ManureNEF*NtoN2O*kgtoGg,IF('Net zero activities &amp; levers'!$C$9="On",(('Net zero supporting data'!S161*'Net zero supporting data'!S183)+('Net zero supporting data'!S173*ManureNEF))*NtoN2O*kgtoGg,"ERROR"))</f>
        <v>4.1847265325582951E-2</v>
      </c>
      <c r="AC669" s="101">
        <f>IF('Net zero activities &amp; levers'!$C$9="Off",'Activity data'!AV52*ManureNEF*NtoN2O*kgtoGg,IF('Net zero activities &amp; levers'!$C$9="On",(('Net zero supporting data'!T161*'Net zero supporting data'!T183)+('Net zero supporting data'!T173*ManureNEF))*NtoN2O*kgtoGg,"ERROR"))</f>
        <v>4.098531184367861E-2</v>
      </c>
      <c r="AD669" s="101">
        <f>IF('Net zero activities &amp; levers'!$C$9="Off",'Activity data'!AW52*ManureNEF*NtoN2O*kgtoGg,IF('Net zero activities &amp; levers'!$C$9="On",(('Net zero supporting data'!U161*'Net zero supporting data'!U183)+('Net zero supporting data'!U173*ManureNEF))*NtoN2O*kgtoGg,"ERROR"))</f>
        <v>4.0455295940610238E-2</v>
      </c>
      <c r="AE669" s="101">
        <f>IF('Net zero activities &amp; levers'!$C$9="Off",'Activity data'!AX52*ManureNEF*NtoN2O*kgtoGg,IF('Net zero activities &amp; levers'!$C$9="On",(('Net zero supporting data'!V161*'Net zero supporting data'!V183)+('Net zero supporting data'!V173*ManureNEF))*NtoN2O*kgtoGg,"ERROR"))</f>
        <v>3.9944505427184682E-2</v>
      </c>
      <c r="AF669" s="101">
        <f>IF('Net zero activities &amp; levers'!$C$9="Off",'Activity data'!AY52*ManureNEF*NtoN2O*kgtoGg,IF('Net zero activities &amp; levers'!$C$9="On",(('Net zero supporting data'!W161*'Net zero supporting data'!W183)+('Net zero supporting data'!W173*ManureNEF))*NtoN2O*kgtoGg,"ERROR"))</f>
        <v>3.9432809478975178E-2</v>
      </c>
      <c r="AG669" s="101">
        <f>IF('Net zero activities &amp; levers'!$C$9="Off",'Activity data'!AZ52*ManureNEF*NtoN2O*kgtoGg,IF('Net zero activities &amp; levers'!$C$9="On",(('Net zero supporting data'!X161*'Net zero supporting data'!X183)+('Net zero supporting data'!X173*ManureNEF))*NtoN2O*kgtoGg,"ERROR"))</f>
        <v>3.8535932105313357E-2</v>
      </c>
      <c r="AH669" s="101">
        <f>IF('Net zero activities &amp; levers'!$C$9="Off",'Activity data'!BA52*ManureNEF*NtoN2O*kgtoGg,IF('Net zero activities &amp; levers'!$C$9="On",(('Net zero supporting data'!Y161*'Net zero supporting data'!Y183)+('Net zero supporting data'!Y173*ManureNEF))*NtoN2O*kgtoGg,"ERROR"))</f>
        <v>2.0120467682129359E-2</v>
      </c>
      <c r="AI669" s="101">
        <f>IF('Net zero activities &amp; levers'!$C$9="Off",'Activity data'!BB52*ManureNEF*NtoN2O*kgtoGg,IF('Net zero activities &amp; levers'!$C$9="On",(('Net zero supporting data'!Z161*'Net zero supporting data'!Z183)+('Net zero supporting data'!Z173*ManureNEF))*NtoN2O*kgtoGg,"ERROR"))</f>
        <v>1.9625166520471315E-2</v>
      </c>
      <c r="AJ669" s="101">
        <f>IF('Net zero activities &amp; levers'!$C$9="Off",'Activity data'!BC52*ManureNEF*NtoN2O*kgtoGg,IF('Net zero activities &amp; levers'!$C$9="On",(('Net zero supporting data'!AA161*'Net zero supporting data'!AA183)+('Net zero supporting data'!AA173*ManureNEF))*NtoN2O*kgtoGg,"ERROR"))</f>
        <v>1.9132533133332023E-2</v>
      </c>
      <c r="AK669" s="101">
        <f>IF('Net zero activities &amp; levers'!$C$9="Off",'Activity data'!BD52*ManureNEF*NtoN2O*kgtoGg,IF('Net zero activities &amp; levers'!$C$9="On",(('Net zero supporting data'!AB161*'Net zero supporting data'!AB183)+('Net zero supporting data'!AB173*ManureNEF))*NtoN2O*kgtoGg,"ERROR"))</f>
        <v>1.8642355860494723E-2</v>
      </c>
      <c r="AL669" s="101">
        <f>IF('Net zero activities &amp; levers'!$C$9="Off",'Activity data'!BE52*ManureNEF*NtoN2O*kgtoGg,IF('Net zero activities &amp; levers'!$C$9="On",(('Net zero supporting data'!AC161*'Net zero supporting data'!AC183)+('Net zero supporting data'!AC173*ManureNEF))*NtoN2O*kgtoGg,"ERROR"))</f>
        <v>1.8154436486677031E-2</v>
      </c>
      <c r="AM669" s="101">
        <f>IF('Net zero activities &amp; levers'!$C$9="Off",'Activity data'!BF52*ManureNEF*NtoN2O*kgtoGg,IF('Net zero activities &amp; levers'!$C$9="On",(('Net zero supporting data'!AD161*'Net zero supporting data'!AD183)+('Net zero supporting data'!AD173*ManureNEF))*NtoN2O*kgtoGg,"ERROR"))</f>
        <v>1.766858900046538E-2</v>
      </c>
      <c r="AN669" s="101">
        <f>IF('Net zero activities &amp; levers'!$C$9="Off",'Activity data'!BG52*ManureNEF*NtoN2O*kgtoGg,IF('Net zero activities &amp; levers'!$C$9="On",(('Net zero supporting data'!AE161*'Net zero supporting data'!AE183)+('Net zero supporting data'!AE173*ManureNEF))*NtoN2O*kgtoGg,"ERROR"))</f>
        <v>1.7647627172896373E-2</v>
      </c>
      <c r="AO669" s="101">
        <f>IF('Net zero activities &amp; levers'!$C$9="Off",'Activity data'!BH52*ManureNEF*NtoN2O*kgtoGg,IF('Net zero activities &amp; levers'!$C$9="On",(('Net zero supporting data'!AF161*'Net zero supporting data'!AF183)+('Net zero supporting data'!AF173*ManureNEF))*NtoN2O*kgtoGg,"ERROR"))</f>
        <v>1.7627971777249431E-2</v>
      </c>
      <c r="AP669" s="101">
        <f>IF('Net zero activities &amp; levers'!$C$9="Off",'Activity data'!BI52*ManureNEF*NtoN2O*kgtoGg,IF('Net zero activities &amp; levers'!$C$9="On",(('Net zero supporting data'!AG161*'Net zero supporting data'!AG183)+('Net zero supporting data'!AG173*ManureNEF))*NtoN2O*kgtoGg,"ERROR"))</f>
        <v>1.7609569640558563E-2</v>
      </c>
      <c r="AQ669" s="101">
        <f>IF('Net zero activities &amp; levers'!$C$9="Off",'Activity data'!BJ52*ManureNEF*NtoN2O*kgtoGg,IF('Net zero activities &amp; levers'!$C$9="On",(('Net zero supporting data'!AH161*'Net zero supporting data'!AH183)+('Net zero supporting data'!AH173*ManureNEF))*NtoN2O*kgtoGg,"ERROR"))</f>
        <v>1.7592371068712941E-2</v>
      </c>
      <c r="AR669" s="101">
        <f>IF('Net zero activities &amp; levers'!$C$9="Off",'Activity data'!BK52*ManureNEF*NtoN2O*kgtoGg,IF('Net zero activities &amp; levers'!$C$9="On",(('Net zero supporting data'!AI161*'Net zero supporting data'!AI183)+('Net zero supporting data'!AI173*ManureNEF))*NtoN2O*kgtoGg,"ERROR"))</f>
        <v>1.7576329551561156E-2</v>
      </c>
      <c r="AS669" s="101">
        <f>IF('Net zero activities &amp; levers'!$C$9="Off",'Activity data'!BL52*ManureNEF*NtoN2O*kgtoGg,IF('Net zero activities &amp; levers'!$C$9="On",(('Net zero supporting data'!AJ161*'Net zero supporting data'!AJ183)+('Net zero supporting data'!AJ173*ManureNEF))*NtoN2O*kgtoGg,"ERROR"))</f>
        <v>1.7548896119438717E-2</v>
      </c>
      <c r="AT669" s="101">
        <f>IF('Net zero activities &amp; levers'!$C$9="Off",'Activity data'!BM52*ManureNEF*NtoN2O*kgtoGg,IF('Net zero activities &amp; levers'!$C$9="On",(('Net zero supporting data'!AK161*'Net zero supporting data'!AK183)+('Net zero supporting data'!AK173*ManureNEF))*NtoN2O*kgtoGg,"ERROR"))</f>
        <v>1.7522514291947157E-2</v>
      </c>
      <c r="AU669" s="101">
        <f>IF('Net zero activities &amp; levers'!$C$9="Off",'Activity data'!BN52*ManureNEF*NtoN2O*kgtoGg,IF('Net zero activities &amp; levers'!$C$9="On",(('Net zero supporting data'!AL161*'Net zero supporting data'!AL183)+('Net zero supporting data'!AL173*ManureNEF))*NtoN2O*kgtoGg,"ERROR"))</f>
        <v>1.7497143733688582E-2</v>
      </c>
      <c r="AV669" s="101">
        <f>IF('Net zero activities &amp; levers'!$C$9="Off",'Activity data'!BO52*ManureNEF*NtoN2O*kgtoGg,IF('Net zero activities &amp; levers'!$C$9="On",(('Net zero supporting data'!AM161*'Net zero supporting data'!AM183)+('Net zero supporting data'!AM173*ManureNEF))*NtoN2O*kgtoGg,"ERROR"))</f>
        <v>1.7472746473847871E-2</v>
      </c>
      <c r="AW669" s="101">
        <f>IF('Net zero activities &amp; levers'!$C$9="Off",'Activity data'!BP52*ManureNEF*NtoN2O*kgtoGg,IF('Net zero activities &amp; levers'!$C$9="On",(('Net zero supporting data'!AN161*'Net zero supporting data'!AN183)+('Net zero supporting data'!AN173*ManureNEF))*NtoN2O*kgtoGg,"ERROR"))</f>
        <v>1.7449286724981299E-2</v>
      </c>
      <c r="AY669" s="85"/>
      <c r="AZ669" s="85"/>
    </row>
    <row r="670" spans="1:52" x14ac:dyDescent="0.25">
      <c r="A670" s="102" t="str">
        <f t="shared" si="133"/>
        <v>NI Organic</v>
      </c>
      <c r="B670" s="102" t="s">
        <v>970</v>
      </c>
      <c r="C670" s="102" t="s">
        <v>1128</v>
      </c>
      <c r="D670" t="s">
        <v>369</v>
      </c>
      <c r="E670" t="s">
        <v>55</v>
      </c>
      <c r="F670" t="s">
        <v>421</v>
      </c>
      <c r="G670" t="s">
        <v>1159</v>
      </c>
      <c r="H670" t="s">
        <v>1160</v>
      </c>
      <c r="I670" t="s">
        <v>139</v>
      </c>
      <c r="J670" t="s">
        <v>287</v>
      </c>
      <c r="K670" s="101">
        <f>IF('Net zero activities &amp; levers'!$C$9="Off",'Activity data'!AD53*ManureNEF*NtoN2O*kgtoGg,IF('Net zero activities &amp; levers'!$C$9="On",(('Net zero supporting data'!B162*'Net zero supporting data'!B183)+('Net zero supporting data'!B174*ManureNEF))*NtoN2O*kgtoGg,"ERROR"))</f>
        <v>0.40352425177353124</v>
      </c>
      <c r="L670" s="101">
        <f>IF('Net zero activities &amp; levers'!$C$9="Off",'Activity data'!AE53*ManureNEF*NtoN2O*kgtoGg,IF('Net zero activities &amp; levers'!$C$9="On",(('Net zero supporting data'!C162*'Net zero supporting data'!C183)+('Net zero supporting data'!C174*ManureNEF))*NtoN2O*kgtoGg,"ERROR"))</f>
        <v>0.40084951633384258</v>
      </c>
      <c r="M670" s="101">
        <f>IF('Net zero activities &amp; levers'!$C$9="Off",'Activity data'!AF53*ManureNEF*NtoN2O*kgtoGg,IF('Net zero activities &amp; levers'!$C$9="On",(('Net zero supporting data'!D162*'Net zero supporting data'!D183)+('Net zero supporting data'!D174*ManureNEF))*NtoN2O*kgtoGg,"ERROR"))</f>
        <v>0.39521001590024774</v>
      </c>
      <c r="N670" s="101">
        <f>IF('Net zero activities &amp; levers'!$C$9="Off",'Activity data'!AG53*ManureNEF*NtoN2O*kgtoGg,IF('Net zero activities &amp; levers'!$C$9="On",(('Net zero supporting data'!E162*'Net zero supporting data'!E183)+('Net zero supporting data'!E174*ManureNEF))*NtoN2O*kgtoGg,"ERROR"))</f>
        <v>0.3857038563965185</v>
      </c>
      <c r="O670" s="101">
        <f>IF('Net zero activities &amp; levers'!$C$9="Off",'Activity data'!AH53*ManureNEF*NtoN2O*kgtoGg,IF('Net zero activities &amp; levers'!$C$9="On",(('Net zero supporting data'!F162*'Net zero supporting data'!F183)+('Net zero supporting data'!F174*ManureNEF))*NtoN2O*kgtoGg,"ERROR"))</f>
        <v>0.37648074986973956</v>
      </c>
      <c r="P670" s="101">
        <f>IF('Net zero activities &amp; levers'!$C$9="Off",'Activity data'!AI53*ManureNEF*NtoN2O*kgtoGg,IF('Net zero activities &amp; levers'!$C$9="On",(('Net zero supporting data'!G162*'Net zero supporting data'!G183)+('Net zero supporting data'!G174*ManureNEF))*NtoN2O*kgtoGg,"ERROR"))</f>
        <v>0.36938688643597767</v>
      </c>
      <c r="Q670" s="101">
        <f>IF('Net zero activities &amp; levers'!$C$9="Off",'Activity data'!AJ53*ManureNEF*NtoN2O*kgtoGg,IF('Net zero activities &amp; levers'!$C$9="On",(('Net zero supporting data'!H162*'Net zero supporting data'!H183)+('Net zero supporting data'!H174*ManureNEF))*NtoN2O*kgtoGg,"ERROR"))</f>
        <v>0.36297043234615178</v>
      </c>
      <c r="R670" s="101">
        <f>IF('Net zero activities &amp; levers'!$C$9="Off",'Activity data'!AK53*ManureNEF*NtoN2O*kgtoGg,IF('Net zero activities &amp; levers'!$C$9="On",(('Net zero supporting data'!I162*'Net zero supporting data'!I183)+('Net zero supporting data'!I174*ManureNEF))*NtoN2O*kgtoGg,"ERROR"))</f>
        <v>0.35288211799047686</v>
      </c>
      <c r="S670" s="101">
        <f>IF('Net zero activities &amp; levers'!$C$9="Off",'Activity data'!AL53*ManureNEF*NtoN2O*kgtoGg,IF('Net zero activities &amp; levers'!$C$9="On",(('Net zero supporting data'!J162*'Net zero supporting data'!J183)+('Net zero supporting data'!J174*ManureNEF))*NtoN2O*kgtoGg,"ERROR"))</f>
        <v>0.30949900697043298</v>
      </c>
      <c r="T670" s="101">
        <f>IF('Net zero activities &amp; levers'!$C$9="Off",'Activity data'!AM53*ManureNEF*NtoN2O*kgtoGg,IF('Net zero activities &amp; levers'!$C$9="On",(('Net zero supporting data'!K162*'Net zero supporting data'!K183)+('Net zero supporting data'!K174*ManureNEF))*NtoN2O*kgtoGg,"ERROR"))</f>
        <v>0.3045253213755223</v>
      </c>
      <c r="U670" s="101">
        <f>IF('Net zero activities &amp; levers'!$C$9="Off",'Activity data'!AN53*ManureNEF*NtoN2O*kgtoGg,IF('Net zero activities &amp; levers'!$C$9="On",(('Net zero supporting data'!L162*'Net zero supporting data'!L183)+('Net zero supporting data'!L174*ManureNEF))*NtoN2O*kgtoGg,"ERROR"))</f>
        <v>0.29858461087964977</v>
      </c>
      <c r="V670" s="101">
        <f>IF('Net zero activities &amp; levers'!$C$9="Off",'Activity data'!AO53*ManureNEF*NtoN2O*kgtoGg,IF('Net zero activities &amp; levers'!$C$9="On",(('Net zero supporting data'!M162*'Net zero supporting data'!M183)+('Net zero supporting data'!M174*ManureNEF))*NtoN2O*kgtoGg,"ERROR"))</f>
        <v>0.29257233199325416</v>
      </c>
      <c r="W670" s="101">
        <f>IF('Net zero activities &amp; levers'!$C$9="Off",'Activity data'!AP53*ManureNEF*NtoN2O*kgtoGg,IF('Net zero activities &amp; levers'!$C$9="On",(('Net zero supporting data'!N162*'Net zero supporting data'!N183)+('Net zero supporting data'!N174*ManureNEF))*NtoN2O*kgtoGg,"ERROR"))</f>
        <v>0.28769001965616409</v>
      </c>
      <c r="X670" s="101">
        <f>IF('Net zero activities &amp; levers'!$C$9="Off",'Activity data'!AQ53*ManureNEF*NtoN2O*kgtoGg,IF('Net zero activities &amp; levers'!$C$9="On",(('Net zero supporting data'!O162*'Net zero supporting data'!O183)+('Net zero supporting data'!O174*ManureNEF))*NtoN2O*kgtoGg,"ERROR"))</f>
        <v>0.28264924517529388</v>
      </c>
      <c r="Y670" s="101">
        <f>IF('Net zero activities &amp; levers'!$C$9="Off",'Activity data'!AR53*ManureNEF*NtoN2O*kgtoGg,IF('Net zero activities &amp; levers'!$C$9="On",(('Net zero supporting data'!P162*'Net zero supporting data'!P183)+('Net zero supporting data'!P174*ManureNEF))*NtoN2O*kgtoGg,"ERROR"))</f>
        <v>0.2776811302200799</v>
      </c>
      <c r="Z670" s="101">
        <f>IF('Net zero activities &amp; levers'!$C$9="Off",'Activity data'!AS53*ManureNEF*NtoN2O*kgtoGg,IF('Net zero activities &amp; levers'!$C$9="On",(('Net zero supporting data'!Q162*'Net zero supporting data'!Q183)+('Net zero supporting data'!Q174*ManureNEF))*NtoN2O*kgtoGg,"ERROR"))</f>
        <v>0.27230219127583233</v>
      </c>
      <c r="AA670" s="101">
        <f>IF('Net zero activities &amp; levers'!$C$9="Off",'Activity data'!AT53*ManureNEF*NtoN2O*kgtoGg,IF('Net zero activities &amp; levers'!$C$9="On",(('Net zero supporting data'!R162*'Net zero supporting data'!R183)+('Net zero supporting data'!R174*ManureNEF))*NtoN2O*kgtoGg,"ERROR"))</f>
        <v>0.26719628400327217</v>
      </c>
      <c r="AB670" s="101">
        <f>IF('Net zero activities &amp; levers'!$C$9="Off",'Activity data'!AU53*ManureNEF*NtoN2O*kgtoGg,IF('Net zero activities &amp; levers'!$C$9="On",(('Net zero supporting data'!S162*'Net zero supporting data'!S183)+('Net zero supporting data'!S174*ManureNEF))*NtoN2O*kgtoGg,"ERROR"))</f>
        <v>0.26148758885017243</v>
      </c>
      <c r="AC670" s="101">
        <f>IF('Net zero activities &amp; levers'!$C$9="Off",'Activity data'!AV53*ManureNEF*NtoN2O*kgtoGg,IF('Net zero activities &amp; levers'!$C$9="On",(('Net zero supporting data'!T162*'Net zero supporting data'!T183)+('Net zero supporting data'!T174*ManureNEF))*NtoN2O*kgtoGg,"ERROR"))</f>
        <v>0.25580934762227014</v>
      </c>
      <c r="AD670" s="101">
        <f>IF('Net zero activities &amp; levers'!$C$9="Off",'Activity data'!AW53*ManureNEF*NtoN2O*kgtoGg,IF('Net zero activities &amp; levers'!$C$9="On",(('Net zero supporting data'!U162*'Net zero supporting data'!U183)+('Net zero supporting data'!U174*ManureNEF))*NtoN2O*kgtoGg,"ERROR"))</f>
        <v>0.25086721801625839</v>
      </c>
      <c r="AE670" s="101">
        <f>IF('Net zero activities &amp; levers'!$C$9="Off",'Activity data'!AX53*ManureNEF*NtoN2O*kgtoGg,IF('Net zero activities &amp; levers'!$C$9="On",(('Net zero supporting data'!V162*'Net zero supporting data'!V183)+('Net zero supporting data'!V174*ManureNEF))*NtoN2O*kgtoGg,"ERROR"))</f>
        <v>0.24622479260408692</v>
      </c>
      <c r="AF670" s="101">
        <f>IF('Net zero activities &amp; levers'!$C$9="Off",'Activity data'!AY53*ManureNEF*NtoN2O*kgtoGg,IF('Net zero activities &amp; levers'!$C$9="On",(('Net zero supporting data'!W162*'Net zero supporting data'!W183)+('Net zero supporting data'!W174*ManureNEF))*NtoN2O*kgtoGg,"ERROR"))</f>
        <v>0.24153884931570466</v>
      </c>
      <c r="AG670" s="101">
        <f>IF('Net zero activities &amp; levers'!$C$9="Off",'Activity data'!AZ53*ManureNEF*NtoN2O*kgtoGg,IF('Net zero activities &amp; levers'!$C$9="On",(('Net zero supporting data'!X162*'Net zero supporting data'!X183)+('Net zero supporting data'!X174*ManureNEF))*NtoN2O*kgtoGg,"ERROR"))</f>
        <v>0.23068200534819991</v>
      </c>
      <c r="AH670" s="101">
        <f>IF('Net zero activities &amp; levers'!$C$9="Off",'Activity data'!BA53*ManureNEF*NtoN2O*kgtoGg,IF('Net zero activities &amp; levers'!$C$9="On",(('Net zero supporting data'!Y162*'Net zero supporting data'!Y183)+('Net zero supporting data'!Y174*ManureNEF))*NtoN2O*kgtoGg,"ERROR"))</f>
        <v>-5.3066194492473968E-2</v>
      </c>
      <c r="AI670" s="101">
        <f>IF('Net zero activities &amp; levers'!$C$9="Off",'Activity data'!BB53*ManureNEF*NtoN2O*kgtoGg,IF('Net zero activities &amp; levers'!$C$9="On",(('Net zero supporting data'!Z162*'Net zero supporting data'!Z183)+('Net zero supporting data'!Z174*ManureNEF))*NtoN2O*kgtoGg,"ERROR"))</f>
        <v>-5.0522067798828174E-2</v>
      </c>
      <c r="AJ670" s="101">
        <f>IF('Net zero activities &amp; levers'!$C$9="Off",'Activity data'!BC53*ManureNEF*NtoN2O*kgtoGg,IF('Net zero activities &amp; levers'!$C$9="On",(('Net zero supporting data'!AA162*'Net zero supporting data'!AA183)+('Net zero supporting data'!AA174*ManureNEF))*NtoN2O*kgtoGg,"ERROR"))</f>
        <v>-4.8062843479456052E-2</v>
      </c>
      <c r="AK670" s="101">
        <f>IF('Net zero activities &amp; levers'!$C$9="Off",'Activity data'!BD53*ManureNEF*NtoN2O*kgtoGg,IF('Net zero activities &amp; levers'!$C$9="On",(('Net zero supporting data'!AB162*'Net zero supporting data'!AB183)+('Net zero supporting data'!AB174*ManureNEF))*NtoN2O*kgtoGg,"ERROR"))</f>
        <v>-4.568580721272851E-2</v>
      </c>
      <c r="AL670" s="101">
        <f>IF('Net zero activities &amp; levers'!$C$9="Off",'Activity data'!BE53*ManureNEF*NtoN2O*kgtoGg,IF('Net zero activities &amp; levers'!$C$9="On",(('Net zero supporting data'!AC162*'Net zero supporting data'!AC183)+('Net zero supporting data'!AC174*ManureNEF))*NtoN2O*kgtoGg,"ERROR"))</f>
        <v>-4.3388420511357897E-2</v>
      </c>
      <c r="AM670" s="101">
        <f>IF('Net zero activities &amp; levers'!$C$9="Off",'Activity data'!BF53*ManureNEF*NtoN2O*kgtoGg,IF('Net zero activities &amp; levers'!$C$9="On",(('Net zero supporting data'!AD162*'Net zero supporting data'!AD183)+('Net zero supporting data'!AD174*ManureNEF))*NtoN2O*kgtoGg,"ERROR"))</f>
        <v>-4.1168305312847639E-2</v>
      </c>
      <c r="AN670" s="101">
        <f>IF('Net zero activities &amp; levers'!$C$9="Off",'Activity data'!BG53*ManureNEF*NtoN2O*kgtoGg,IF('Net zero activities &amp; levers'!$C$9="On",(('Net zero supporting data'!AE162*'Net zero supporting data'!AE183)+('Net zero supporting data'!AE174*ManureNEF))*NtoN2O*kgtoGg,"ERROR"))</f>
        <v>-4.0280378768401792E-2</v>
      </c>
      <c r="AO670" s="101">
        <f>IF('Net zero activities &amp; levers'!$C$9="Off",'Activity data'!BH53*ManureNEF*NtoN2O*kgtoGg,IF('Net zero activities &amp; levers'!$C$9="On",(('Net zero supporting data'!AF162*'Net zero supporting data'!AF183)+('Net zero supporting data'!AF174*ManureNEF))*NtoN2O*kgtoGg,"ERROR"))</f>
        <v>-3.9407533845643397E-2</v>
      </c>
      <c r="AP670" s="101">
        <f>IF('Net zero activities &amp; levers'!$C$9="Off",'Activity data'!BI53*ManureNEF*NtoN2O*kgtoGg,IF('Net zero activities &amp; levers'!$C$9="On",(('Net zero supporting data'!AG162*'Net zero supporting data'!AG183)+('Net zero supporting data'!AG174*ManureNEF))*NtoN2O*kgtoGg,"ERROR"))</f>
        <v>-3.8549149724107397E-2</v>
      </c>
      <c r="AQ670" s="101">
        <f>IF('Net zero activities &amp; levers'!$C$9="Off",'Activity data'!BJ53*ManureNEF*NtoN2O*kgtoGg,IF('Net zero activities &amp; levers'!$C$9="On",(('Net zero supporting data'!AH162*'Net zero supporting data'!AH183)+('Net zero supporting data'!AH174*ManureNEF))*NtoN2O*kgtoGg,"ERROR"))</f>
        <v>-3.770464402778962E-2</v>
      </c>
      <c r="AR670" s="101">
        <f>IF('Net zero activities &amp; levers'!$C$9="Off",'Activity data'!BK53*ManureNEF*NtoN2O*kgtoGg,IF('Net zero activities &amp; levers'!$C$9="On",(('Net zero supporting data'!AI162*'Net zero supporting data'!AI183)+('Net zero supporting data'!AI174*ManureNEF))*NtoN2O*kgtoGg,"ERROR"))</f>
        <v>-3.687346966154198E-2</v>
      </c>
      <c r="AS670" s="101">
        <f>IF('Net zero activities &amp; levers'!$C$9="Off",'Activity data'!BL53*ManureNEF*NtoN2O*kgtoGg,IF('Net zero activities &amp; levers'!$C$9="On",(('Net zero supporting data'!AJ162*'Net zero supporting data'!AJ183)+('Net zero supporting data'!AJ174*ManureNEF))*NtoN2O*kgtoGg,"ERROR"))</f>
        <v>-3.6030607717662436E-2</v>
      </c>
      <c r="AT670" s="101">
        <f>IF('Net zero activities &amp; levers'!$C$9="Off",'Activity data'!BM53*ManureNEF*NtoN2O*kgtoGg,IF('Net zero activities &amp; levers'!$C$9="On",(('Net zero supporting data'!AK162*'Net zero supporting data'!AK183)+('Net zero supporting data'!AK174*ManureNEF))*NtoN2O*kgtoGg,"ERROR"))</f>
        <v>-3.5201086508207094E-2</v>
      </c>
      <c r="AU670" s="101">
        <f>IF('Net zero activities &amp; levers'!$C$9="Off",'Activity data'!BN53*ManureNEF*NtoN2O*kgtoGg,IF('Net zero activities &amp; levers'!$C$9="On",(('Net zero supporting data'!AL162*'Net zero supporting data'!AL183)+('Net zero supporting data'!AL174*ManureNEF))*NtoN2O*kgtoGg,"ERROR"))</f>
        <v>-3.4384430881457491E-2</v>
      </c>
      <c r="AV670" s="101">
        <f>IF('Net zero activities &amp; levers'!$C$9="Off",'Activity data'!BO53*ManureNEF*NtoN2O*kgtoGg,IF('Net zero activities &amp; levers'!$C$9="On",(('Net zero supporting data'!AM162*'Net zero supporting data'!AM183)+('Net zero supporting data'!AM174*ManureNEF))*NtoN2O*kgtoGg,"ERROR"))</f>
        <v>-3.3580192140125066E-2</v>
      </c>
      <c r="AW670" s="101">
        <f>IF('Net zero activities &amp; levers'!$C$9="Off",'Activity data'!BP53*ManureNEF*NtoN2O*kgtoGg,IF('Net zero activities &amp; levers'!$C$9="On",(('Net zero supporting data'!AN162*'Net zero supporting data'!AN183)+('Net zero supporting data'!AN174*ManureNEF))*NtoN2O*kgtoGg,"ERROR"))</f>
        <v>-3.2787946080186536E-2</v>
      </c>
      <c r="AY670" s="85"/>
      <c r="AZ670" s="85"/>
    </row>
    <row r="671" spans="1:52" x14ac:dyDescent="0.25">
      <c r="A671" s="102" t="str">
        <f t="shared" si="133"/>
        <v>NI Organic</v>
      </c>
      <c r="B671" s="102" t="s">
        <v>970</v>
      </c>
      <c r="C671" s="102" t="s">
        <v>1128</v>
      </c>
      <c r="D671" t="s">
        <v>369</v>
      </c>
      <c r="E671" t="s">
        <v>55</v>
      </c>
      <c r="F671" t="s">
        <v>421</v>
      </c>
      <c r="G671" t="s">
        <v>1161</v>
      </c>
      <c r="H671" t="s">
        <v>1162</v>
      </c>
      <c r="I671" t="s">
        <v>139</v>
      </c>
      <c r="J671" t="s">
        <v>287</v>
      </c>
      <c r="K671" s="22">
        <f>K1470</f>
        <v>2.6837391724620612</v>
      </c>
      <c r="L671" s="22">
        <f t="shared" ref="L671:AW671" si="145">L1470</f>
        <v>2.6659501740464377</v>
      </c>
      <c r="M671" s="22">
        <f t="shared" si="145"/>
        <v>2.6284432629742147</v>
      </c>
      <c r="N671" s="22">
        <f t="shared" si="145"/>
        <v>2.5652201666480274</v>
      </c>
      <c r="O671" s="22">
        <f t="shared" si="145"/>
        <v>2.5038795850871476</v>
      </c>
      <c r="P671" s="22">
        <f t="shared" si="145"/>
        <v>2.4567000683725801</v>
      </c>
      <c r="Q671" s="22">
        <f t="shared" si="145"/>
        <v>2.414025832280235</v>
      </c>
      <c r="R671" s="22">
        <f t="shared" si="145"/>
        <v>2.3469309692046179</v>
      </c>
      <c r="S671" s="22">
        <f t="shared" si="145"/>
        <v>2.0584007161751039</v>
      </c>
      <c r="T671" s="22">
        <f t="shared" si="145"/>
        <v>2.0780205753529248</v>
      </c>
      <c r="U671" s="22">
        <f t="shared" si="145"/>
        <v>2.0912968000734335</v>
      </c>
      <c r="V671" s="22">
        <f t="shared" si="145"/>
        <v>2.1041412062318772</v>
      </c>
      <c r="W671" s="22">
        <f t="shared" si="145"/>
        <v>2.125382764611714</v>
      </c>
      <c r="X671" s="22">
        <f t="shared" si="145"/>
        <v>2.1459242533678449</v>
      </c>
      <c r="Y671" s="22">
        <f t="shared" si="145"/>
        <v>2.1674897331963128</v>
      </c>
      <c r="Z671" s="22">
        <f t="shared" si="145"/>
        <v>2.1862643907121093</v>
      </c>
      <c r="AA671" s="22">
        <f t="shared" si="145"/>
        <v>2.2076324968582024</v>
      </c>
      <c r="AB671" s="22">
        <f t="shared" si="145"/>
        <v>2.2243537639085806</v>
      </c>
      <c r="AC671" s="22">
        <f t="shared" si="145"/>
        <v>2.2415338344398443</v>
      </c>
      <c r="AD671" s="22">
        <f t="shared" si="145"/>
        <v>2.2495356829125717</v>
      </c>
      <c r="AE671" s="22">
        <f t="shared" si="145"/>
        <v>2.2605078406421084</v>
      </c>
      <c r="AF671" s="22">
        <f t="shared" si="145"/>
        <v>2.2714376528081774</v>
      </c>
      <c r="AG671" s="22">
        <f t="shared" si="145"/>
        <v>2.2232650206980202</v>
      </c>
      <c r="AH671" s="22">
        <f t="shared" si="145"/>
        <v>-0.52443746689921866</v>
      </c>
      <c r="AI671" s="22">
        <f t="shared" si="145"/>
        <v>-0.51227234165292079</v>
      </c>
      <c r="AJ671" s="22">
        <f t="shared" si="145"/>
        <v>-0.50030068007486495</v>
      </c>
      <c r="AK671" s="22">
        <f t="shared" si="145"/>
        <v>-0.48851234957400724</v>
      </c>
      <c r="AL671" s="22">
        <f t="shared" si="145"/>
        <v>-0.47689791808594317</v>
      </c>
      <c r="AM671" s="22">
        <f t="shared" si="145"/>
        <v>-0.46544858915917614</v>
      </c>
      <c r="AN671" s="22">
        <f t="shared" si="145"/>
        <v>-0.45616577335379221</v>
      </c>
      <c r="AO671" s="22">
        <f t="shared" si="145"/>
        <v>-0.44702316326928004</v>
      </c>
      <c r="AP671" s="22">
        <f t="shared" si="145"/>
        <v>-0.4380144054774302</v>
      </c>
      <c r="AQ671" s="22">
        <f t="shared" si="145"/>
        <v>-0.4291335417004612</v>
      </c>
      <c r="AR671" s="22">
        <f t="shared" si="145"/>
        <v>-0.42037497604652191</v>
      </c>
      <c r="AS671" s="22">
        <f t="shared" si="145"/>
        <v>-0.41145361786623369</v>
      </c>
      <c r="AT671" s="22">
        <f t="shared" si="145"/>
        <v>-0.40265493973831684</v>
      </c>
      <c r="AU671" s="22">
        <f t="shared" si="145"/>
        <v>-0.3939741156201515</v>
      </c>
      <c r="AV671" s="22">
        <f t="shared" si="145"/>
        <v>-0.38540659061153143</v>
      </c>
      <c r="AW671" s="22">
        <f t="shared" si="145"/>
        <v>-0.37694806069295739</v>
      </c>
      <c r="AY671" s="85"/>
      <c r="AZ671" s="85"/>
    </row>
    <row r="672" spans="1:52" x14ac:dyDescent="0.25">
      <c r="A672" s="102" t="str">
        <f t="shared" si="133"/>
        <v>NI Organic</v>
      </c>
      <c r="B672" s="102" t="s">
        <v>970</v>
      </c>
      <c r="C672" s="102" t="s">
        <v>1128</v>
      </c>
      <c r="D672" t="s">
        <v>369</v>
      </c>
      <c r="E672" t="s">
        <v>55</v>
      </c>
      <c r="F672" t="s">
        <v>421</v>
      </c>
      <c r="G672" t="s">
        <v>1163</v>
      </c>
      <c r="H672" t="s">
        <v>1164</v>
      </c>
      <c r="I672" t="s">
        <v>139</v>
      </c>
      <c r="J672" t="s">
        <v>287</v>
      </c>
      <c r="K672" s="101">
        <f>IF('Net zero activities &amp; levers'!$C$9="Off",'Activity data'!AD55*ManureNEF*NtoN2O*kgtoGg,IF('Net zero activities &amp; levers'!$C$9="On",(('Net zero supporting data'!B163*'Net zero supporting data'!B183)+('Net zero supporting data'!B175*ManureNEF))*NtoN2O*kgtoGg,"ERROR"))</f>
        <v>0.34546247453096907</v>
      </c>
      <c r="L672" s="101">
        <f>IF('Net zero activities &amp; levers'!$C$9="Off",'Activity data'!AE55*ManureNEF*NtoN2O*kgtoGg,IF('Net zero activities &amp; levers'!$C$9="On",(('Net zero supporting data'!C163*'Net zero supporting data'!C183)+('Net zero supporting data'!C175*ManureNEF))*NtoN2O*kgtoGg,"ERROR"))</f>
        <v>0.35776618085714956</v>
      </c>
      <c r="M672" s="101">
        <f>IF('Net zero activities &amp; levers'!$C$9="Off",'Activity data'!AF55*ManureNEF*NtoN2O*kgtoGg,IF('Net zero activities &amp; levers'!$C$9="On",(('Net zero supporting data'!D163*'Net zero supporting data'!D183)+('Net zero supporting data'!D175*ManureNEF))*NtoN2O*kgtoGg,"ERROR"))</f>
        <v>0.36753197290523232</v>
      </c>
      <c r="N672" s="101">
        <f>IF('Net zero activities &amp; levers'!$C$9="Off",'Activity data'!AG55*ManureNEF*NtoN2O*kgtoGg,IF('Net zero activities &amp; levers'!$C$9="On",(('Net zero supporting data'!E163*'Net zero supporting data'!E183)+('Net zero supporting data'!E175*ManureNEF))*NtoN2O*kgtoGg,"ERROR"))</f>
        <v>0.37357124020109944</v>
      </c>
      <c r="O672" s="101">
        <f>IF('Net zero activities &amp; levers'!$C$9="Off",'Activity data'!AH55*ManureNEF*NtoN2O*kgtoGg,IF('Net zero activities &amp; levers'!$C$9="On",(('Net zero supporting data'!F163*'Net zero supporting data'!F183)+('Net zero supporting data'!F175*ManureNEF))*NtoN2O*kgtoGg,"ERROR"))</f>
        <v>0.37962311486925576</v>
      </c>
      <c r="P672" s="101">
        <f>IF('Net zero activities &amp; levers'!$C$9="Off",'Activity data'!AI55*ManureNEF*NtoN2O*kgtoGg,IF('Net zero activities &amp; levers'!$C$9="On",(('Net zero supporting data'!G163*'Net zero supporting data'!G183)+('Net zero supporting data'!G175*ManureNEF))*NtoN2O*kgtoGg,"ERROR"))</f>
        <v>0.38765990463300043</v>
      </c>
      <c r="Q672" s="101">
        <f>IF('Net zero activities &amp; levers'!$C$9="Off",'Activity data'!AJ55*ManureNEF*NtoN2O*kgtoGg,IF('Net zero activities &amp; levers'!$C$9="On",(('Net zero supporting data'!H163*'Net zero supporting data'!H183)+('Net zero supporting data'!H175*ManureNEF))*NtoN2O*kgtoGg,"ERROR"))</f>
        <v>0.39636651112291715</v>
      </c>
      <c r="R672" s="101">
        <f>IF('Net zero activities &amp; levers'!$C$9="Off",'Activity data'!AK55*ManureNEF*NtoN2O*kgtoGg,IF('Net zero activities &amp; levers'!$C$9="On",(('Net zero supporting data'!I163*'Net zero supporting data'!I183)+('Net zero supporting data'!I175*ManureNEF))*NtoN2O*kgtoGg,"ERROR"))</f>
        <v>0.40089753199851358</v>
      </c>
      <c r="S672" s="101">
        <f>IF('Net zero activities &amp; levers'!$C$9="Off",'Activity data'!AL55*ManureNEF*NtoN2O*kgtoGg,IF('Net zero activities &amp; levers'!$C$9="On",(('Net zero supporting data'!J163*'Net zero supporting data'!J183)+('Net zero supporting data'!J175*ManureNEF))*NtoN2O*kgtoGg,"ERROR"))</f>
        <v>0.36575105397715829</v>
      </c>
      <c r="T672" s="101">
        <f>IF('Net zero activities &amp; levers'!$C$9="Off",'Activity data'!AM55*ManureNEF*NtoN2O*kgtoGg,IF('Net zero activities &amp; levers'!$C$9="On",(('Net zero supporting data'!K163*'Net zero supporting data'!K183)+('Net zero supporting data'!K175*ManureNEF))*NtoN2O*kgtoGg,"ERROR"))</f>
        <v>0.37246155114373558</v>
      </c>
      <c r="U672" s="101">
        <f>IF('Net zero activities &amp; levers'!$C$9="Off",'Activity data'!AN55*ManureNEF*NtoN2O*kgtoGg,IF('Net zero activities &amp; levers'!$C$9="On",(('Net zero supporting data'!L163*'Net zero supporting data'!L183)+('Net zero supporting data'!L175*ManureNEF))*NtoN2O*kgtoGg,"ERROR"))</f>
        <v>0.37787626717211437</v>
      </c>
      <c r="V672" s="101">
        <f>IF('Net zero activities &amp; levers'!$C$9="Off",'Activity data'!AO55*ManureNEF*NtoN2O*kgtoGg,IF('Net zero activities &amp; levers'!$C$9="On",(('Net zero supporting data'!M163*'Net zero supporting data'!M183)+('Net zero supporting data'!M175*ManureNEF))*NtoN2O*kgtoGg,"ERROR"))</f>
        <v>0.38304044170725593</v>
      </c>
      <c r="W672" s="101">
        <f>IF('Net zero activities &amp; levers'!$C$9="Off",'Activity data'!AP55*ManureNEF*NtoN2O*kgtoGg,IF('Net zero activities &amp; levers'!$C$9="On",(('Net zero supporting data'!N163*'Net zero supporting data'!N183)+('Net zero supporting data'!N175*ManureNEF))*NtoN2O*kgtoGg,"ERROR"))</f>
        <v>0.38956660453102504</v>
      </c>
      <c r="X672" s="101">
        <f>IF('Net zero activities &amp; levers'!$C$9="Off",'Activity data'!AQ55*ManureNEF*NtoN2O*kgtoGg,IF('Net zero activities &amp; levers'!$C$9="On",(('Net zero supporting data'!O163*'Net zero supporting data'!O183)+('Net zero supporting data'!O175*ManureNEF))*NtoN2O*kgtoGg,"ERROR"))</f>
        <v>0.39580107139797976</v>
      </c>
      <c r="Y672" s="101">
        <f>IF('Net zero activities &amp; levers'!$C$9="Off",'Activity data'!AR55*ManureNEF*NtoN2O*kgtoGg,IF('Net zero activities &amp; levers'!$C$9="On",(('Net zero supporting data'!P163*'Net zero supporting data'!P183)+('Net zero supporting data'!P175*ManureNEF))*NtoN2O*kgtoGg,"ERROR"))</f>
        <v>0.40205342677539946</v>
      </c>
      <c r="Z672" s="101">
        <f>IF('Net zero activities &amp; levers'!$C$9="Off",'Activity data'!AS55*ManureNEF*NtoN2O*kgtoGg,IF('Net zero activities &amp; levers'!$C$9="On",(('Net zero supporting data'!Q163*'Net zero supporting data'!Q183)+('Net zero supporting data'!Q175*ManureNEF))*NtoN2O*kgtoGg,"ERROR"))</f>
        <v>0.40760683542643306</v>
      </c>
      <c r="AA672" s="101">
        <f>IF('Net zero activities &amp; levers'!$C$9="Off",'Activity data'!AT55*ManureNEF*NtoN2O*kgtoGg,IF('Net zero activities &amp; levers'!$C$9="On",(('Net zero supporting data'!R163*'Net zero supporting data'!R183)+('Net zero supporting data'!R175*ManureNEF))*NtoN2O*kgtoGg,"ERROR"))</f>
        <v>0.41345308835762551</v>
      </c>
      <c r="AB672" s="101">
        <f>IF('Net zero activities &amp; levers'!$C$9="Off",'Activity data'!AU55*ManureNEF*NtoN2O*kgtoGg,IF('Net zero activities &amp; levers'!$C$9="On",(('Net zero supporting data'!S163*'Net zero supporting data'!S183)+('Net zero supporting data'!S175*ManureNEF))*NtoN2O*kgtoGg,"ERROR"))</f>
        <v>0.41822724542630357</v>
      </c>
      <c r="AC672" s="101">
        <f>IF('Net zero activities &amp; levers'!$C$9="Off",'Activity data'!AV55*ManureNEF*NtoN2O*kgtoGg,IF('Net zero activities &amp; levers'!$C$9="On",(('Net zero supporting data'!T163*'Net zero supporting data'!T183)+('Net zero supporting data'!T175*ManureNEF))*NtoN2O*kgtoGg,"ERROR"))</f>
        <v>0.42287283191982755</v>
      </c>
      <c r="AD672" s="101">
        <f>IF('Net zero activities &amp; levers'!$C$9="Off",'Activity data'!AW55*ManureNEF*NtoN2O*kgtoGg,IF('Net zero activities &amp; levers'!$C$9="On",(('Net zero supporting data'!U163*'Net zero supporting data'!U183)+('Net zero supporting data'!U175*ManureNEF))*NtoN2O*kgtoGg,"ERROR"))</f>
        <v>0.42863183141077948</v>
      </c>
      <c r="AE672" s="101">
        <f>IF('Net zero activities &amp; levers'!$C$9="Off",'Activity data'!AX55*ManureNEF*NtoN2O*kgtoGg,IF('Net zero activities &amp; levers'!$C$9="On",(('Net zero supporting data'!V163*'Net zero supporting data'!V183)+('Net zero supporting data'!V175*ManureNEF))*NtoN2O*kgtoGg,"ERROR"))</f>
        <v>0.43485894984383006</v>
      </c>
      <c r="AF672" s="101">
        <f>IF('Net zero activities &amp; levers'!$C$9="Off",'Activity data'!AY55*ManureNEF*NtoN2O*kgtoGg,IF('Net zero activities &amp; levers'!$C$9="On",(('Net zero supporting data'!W163*'Net zero supporting data'!W183)+('Net zero supporting data'!W175*ManureNEF))*NtoN2O*kgtoGg,"ERROR"))</f>
        <v>0.44097874233151174</v>
      </c>
      <c r="AG672" s="101">
        <f>IF('Net zero activities &amp; levers'!$C$9="Off",'Activity data'!AZ55*ManureNEF*NtoN2O*kgtoGg,IF('Net zero activities &amp; levers'!$C$9="On",(('Net zero supporting data'!X163*'Net zero supporting data'!X183)+('Net zero supporting data'!X175*ManureNEF))*NtoN2O*kgtoGg,"ERROR"))</f>
        <v>0.43541672344663612</v>
      </c>
      <c r="AH672" s="101">
        <f>IF('Net zero activities &amp; levers'!$C$9="Off",'Activity data'!BA55*ManureNEF*NtoN2O*kgtoGg,IF('Net zero activities &amp; levers'!$C$9="On",(('Net zero supporting data'!Y163*'Net zero supporting data'!Y183)+('Net zero supporting data'!Y175*ManureNEF))*NtoN2O*kgtoGg,"ERROR"))</f>
        <v>-0.10356797500620207</v>
      </c>
      <c r="AI672" s="101">
        <f>IF('Net zero activities &amp; levers'!$C$9="Off",'Activity data'!BB55*ManureNEF*NtoN2O*kgtoGg,IF('Net zero activities &amp; levers'!$C$9="On",(('Net zero supporting data'!Z163*'Net zero supporting data'!Z183)+('Net zero supporting data'!Z175*ManureNEF))*NtoN2O*kgtoGg,"ERROR"))</f>
        <v>-0.10196918667023325</v>
      </c>
      <c r="AJ672" s="101">
        <f>IF('Net zero activities &amp; levers'!$C$9="Off",'Activity data'!BC55*ManureNEF*NtoN2O*kgtoGg,IF('Net zero activities &amp; levers'!$C$9="On",(('Net zero supporting data'!AA163*'Net zero supporting data'!AA183)+('Net zero supporting data'!AA175*ManureNEF))*NtoN2O*kgtoGg,"ERROR"))</f>
        <v>-0.10033454605442547</v>
      </c>
      <c r="AK672" s="101">
        <f>IF('Net zero activities &amp; levers'!$C$9="Off",'Activity data'!BD55*ManureNEF*NtoN2O*kgtoGg,IF('Net zero activities &amp; levers'!$C$9="On",(('Net zero supporting data'!AB163*'Net zero supporting data'!AB183)+('Net zero supporting data'!AB175*ManureNEF))*NtoN2O*kgtoGg,"ERROR"))</f>
        <v>-9.8663665238092363E-2</v>
      </c>
      <c r="AL672" s="101">
        <f>IF('Net zero activities &amp; levers'!$C$9="Off",'Activity data'!BE55*ManureNEF*NtoN2O*kgtoGg,IF('Net zero activities &amp; levers'!$C$9="On",(('Net zero supporting data'!AC163*'Net zero supporting data'!AC183)+('Net zero supporting data'!AC175*ManureNEF))*NtoN2O*kgtoGg,"ERROR"))</f>
        <v>-9.6956151341286975E-2</v>
      </c>
      <c r="AM672" s="101">
        <f>IF('Net zero activities &amp; levers'!$C$9="Off",'Activity data'!BF55*ManureNEF*NtoN2O*kgtoGg,IF('Net zero activities &amp; levers'!$C$9="On",(('Net zero supporting data'!AD163*'Net zero supporting data'!AD183)+('Net zero supporting data'!AD175*ManureNEF))*NtoN2O*kgtoGg,"ERROR"))</f>
        <v>-9.5211606475177901E-2</v>
      </c>
      <c r="AN672" s="101">
        <f>IF('Net zero activities &amp; levers'!$C$9="Off",'Activity data'!BG55*ManureNEF*NtoN2O*kgtoGg,IF('Net zero activities &amp; levers'!$C$9="On",(('Net zero supporting data'!AE163*'Net zero supporting data'!AE183)+('Net zero supporting data'!AE175*ManureNEF))*NtoN2O*kgtoGg,"ERROR"))</f>
        <v>-9.583061803283717E-2</v>
      </c>
      <c r="AO672" s="101">
        <f>IF('Net zero activities &amp; levers'!$C$9="Off",'Activity data'!BH55*ManureNEF*NtoN2O*kgtoGg,IF('Net zero activities &amp; levers'!$C$9="On",(('Net zero supporting data'!AF163*'Net zero supporting data'!AF183)+('Net zero supporting data'!AF175*ManureNEF))*NtoN2O*kgtoGg,"ERROR"))</f>
        <v>-9.6453291086161894E-2</v>
      </c>
      <c r="AP672" s="101">
        <f>IF('Net zero activities &amp; levers'!$C$9="Off",'Activity data'!BI55*ManureNEF*NtoN2O*kgtoGg,IF('Net zero activities &amp; levers'!$C$9="On",(('Net zero supporting data'!AG163*'Net zero supporting data'!AG183)+('Net zero supporting data'!AG175*ManureNEF))*NtoN2O*kgtoGg,"ERROR"))</f>
        <v>-9.7079653352244027E-2</v>
      </c>
      <c r="AQ672" s="101">
        <f>IF('Net zero activities &amp; levers'!$C$9="Off",'Activity data'!BJ55*ManureNEF*NtoN2O*kgtoGg,IF('Net zero activities &amp; levers'!$C$9="On",(('Net zero supporting data'!AH163*'Net zero supporting data'!AH183)+('Net zero supporting data'!AH175*ManureNEF))*NtoN2O*kgtoGg,"ERROR"))</f>
        <v>-9.7709732728166937E-2</v>
      </c>
      <c r="AR672" s="101">
        <f>IF('Net zero activities &amp; levers'!$C$9="Off",'Activity data'!BK55*ManureNEF*NtoN2O*kgtoGg,IF('Net zero activities &amp; levers'!$C$9="On",(('Net zero supporting data'!AI163*'Net zero supporting data'!AI183)+('Net zero supporting data'!AI175*ManureNEF))*NtoN2O*kgtoGg,"ERROR"))</f>
        <v>-9.8343557292226505E-2</v>
      </c>
      <c r="AS672" s="101">
        <f>IF('Net zero activities &amp; levers'!$C$9="Off",'Activity data'!BL55*ManureNEF*NtoN2O*kgtoGg,IF('Net zero activities &amp; levers'!$C$9="On",(('Net zero supporting data'!AJ163*'Net zero supporting data'!AJ183)+('Net zero supporting data'!AJ175*ManureNEF))*NtoN2O*kgtoGg,"ERROR"))</f>
        <v>-9.8913884424612408E-2</v>
      </c>
      <c r="AT672" s="101">
        <f>IF('Net zero activities &amp; levers'!$C$9="Off",'Activity data'!BM55*ManureNEF*NtoN2O*kgtoGg,IF('Net zero activities &amp; levers'!$C$9="On",(('Net zero supporting data'!AK163*'Net zero supporting data'!AK183)+('Net zero supporting data'!AK175*ManureNEF))*NtoN2O*kgtoGg,"ERROR"))</f>
        <v>-9.9486896390755655E-2</v>
      </c>
      <c r="AU672" s="101">
        <f>IF('Net zero activities &amp; levers'!$C$9="Off",'Activity data'!BN55*ManureNEF*NtoN2O*kgtoGg,IF('Net zero activities &amp; levers'!$C$9="On",(('Net zero supporting data'!AL163*'Net zero supporting data'!AL183)+('Net zero supporting data'!AL175*ManureNEF))*NtoN2O*kgtoGg,"ERROR"))</f>
        <v>-0.10006261040774035</v>
      </c>
      <c r="AV672" s="101">
        <f>IF('Net zero activities &amp; levers'!$C$9="Off",'Activity data'!BO55*ManureNEF*NtoN2O*kgtoGg,IF('Net zero activities &amp; levers'!$C$9="On",(('Net zero supporting data'!AM163*'Net zero supporting data'!AM183)+('Net zero supporting data'!AM175*ManureNEF))*NtoN2O*kgtoGg,"ERROR"))</f>
        <v>-0.10064104378155268</v>
      </c>
      <c r="AW672" s="101">
        <f>IF('Net zero activities &amp; levers'!$C$9="Off",'Activity data'!BP55*ManureNEF*NtoN2O*kgtoGg,IF('Net zero activities &amp; levers'!$C$9="On",(('Net zero supporting data'!AN163*'Net zero supporting data'!AN183)+('Net zero supporting data'!AN175*ManureNEF))*NtoN2O*kgtoGg,"ERROR"))</f>
        <v>-0.10122221390759037</v>
      </c>
      <c r="AY672" s="85"/>
      <c r="AZ672" s="85"/>
    </row>
    <row r="673" spans="1:52" x14ac:dyDescent="0.25">
      <c r="A673" s="102" t="str">
        <f t="shared" si="133"/>
        <v>NI Organic</v>
      </c>
      <c r="B673" s="102" t="s">
        <v>970</v>
      </c>
      <c r="C673" s="102" t="s">
        <v>1128</v>
      </c>
      <c r="D673" t="s">
        <v>369</v>
      </c>
      <c r="E673" t="s">
        <v>55</v>
      </c>
      <c r="F673" t="s">
        <v>421</v>
      </c>
      <c r="G673" t="s">
        <v>1165</v>
      </c>
      <c r="H673" t="s">
        <v>1166</v>
      </c>
      <c r="I673" t="s">
        <v>139</v>
      </c>
      <c r="J673" t="s">
        <v>287</v>
      </c>
      <c r="K673" s="101">
        <f>IF('Net zero activities &amp; levers'!$C$9="Off",'Activity data'!AD56*ManureNEF*NtoN2O*kgtoGg,IF('Net zero activities &amp; levers'!$C$9="On",(('Net zero supporting data'!B164*'Net zero supporting data'!B183)+('Net zero supporting data'!B176*ManureNEF))*NtoN2O*kgtoGg,"ERROR"))</f>
        <v>5.8358562487318792E-2</v>
      </c>
      <c r="L673" s="101">
        <f>IF('Net zero activities &amp; levers'!$C$9="Off",'Activity data'!AE56*ManureNEF*NtoN2O*kgtoGg,IF('Net zero activities &amp; levers'!$C$9="On",(('Net zero supporting data'!C164*'Net zero supporting data'!C183)+('Net zero supporting data'!C176*ManureNEF))*NtoN2O*kgtoGg,"ERROR"))</f>
        <v>5.839043159926547E-2</v>
      </c>
      <c r="M673" s="101">
        <f>IF('Net zero activities &amp; levers'!$C$9="Off",'Activity data'!AF56*ManureNEF*NtoN2O*kgtoGg,IF('Net zero activities &amp; levers'!$C$9="On",(('Net zero supporting data'!D164*'Net zero supporting data'!D183)+('Net zero supporting data'!D176*ManureNEF))*NtoN2O*kgtoGg,"ERROR"))</f>
        <v>5.8461792662766042E-2</v>
      </c>
      <c r="N673" s="101">
        <f>IF('Net zero activities &amp; levers'!$C$9="Off",'Activity data'!AG56*ManureNEF*NtoN2O*kgtoGg,IF('Net zero activities &amp; levers'!$C$9="On",(('Net zero supporting data'!E164*'Net zero supporting data'!E183)+('Net zero supporting data'!E176*ManureNEF))*NtoN2O*kgtoGg,"ERROR"))</f>
        <v>5.8569206044707944E-2</v>
      </c>
      <c r="O673" s="101">
        <f>IF('Net zero activities &amp; levers'!$C$9="Off",'Activity data'!AH56*ManureNEF*NtoN2O*kgtoGg,IF('Net zero activities &amp; levers'!$C$9="On",(('Net zero supporting data'!F164*'Net zero supporting data'!F183)+('Net zero supporting data'!F176*ManureNEF))*NtoN2O*kgtoGg,"ERROR"))</f>
        <v>5.87141088514554E-2</v>
      </c>
      <c r="P673" s="101">
        <f>IF('Net zero activities &amp; levers'!$C$9="Off",'Activity data'!AI56*ManureNEF*NtoN2O*kgtoGg,IF('Net zero activities &amp; levers'!$C$9="On",(('Net zero supporting data'!G164*'Net zero supporting data'!G183)+('Net zero supporting data'!G176*ManureNEF))*NtoN2O*kgtoGg,"ERROR"))</f>
        <v>5.8896654838927982E-2</v>
      </c>
      <c r="Q673" s="101">
        <f>IF('Net zero activities &amp; levers'!$C$9="Off",'Activity data'!AJ56*ManureNEF*NtoN2O*kgtoGg,IF('Net zero activities &amp; levers'!$C$9="On",(('Net zero supporting data'!H164*'Net zero supporting data'!H183)+('Net zero supporting data'!H176*ManureNEF))*NtoN2O*kgtoGg,"ERROR"))</f>
        <v>5.9100003668857495E-2</v>
      </c>
      <c r="R673" s="101">
        <f>IF('Net zero activities &amp; levers'!$C$9="Off",'Activity data'!AK56*ManureNEF*NtoN2O*kgtoGg,IF('Net zero activities &amp; levers'!$C$9="On",(('Net zero supporting data'!I164*'Net zero supporting data'!I183)+('Net zero supporting data'!I176*ManureNEF))*NtoN2O*kgtoGg,"ERROR"))</f>
        <v>5.9320387521670827E-2</v>
      </c>
      <c r="S673" s="101">
        <f>IF('Net zero activities &amp; levers'!$C$9="Off",'Activity data'!AL56*ManureNEF*NtoN2O*kgtoGg,IF('Net zero activities &amp; levers'!$C$9="On",(('Net zero supporting data'!J164*'Net zero supporting data'!J183)+('Net zero supporting data'!J176*ManureNEF))*NtoN2O*kgtoGg,"ERROR"))</f>
        <v>5.9527484870119066E-2</v>
      </c>
      <c r="T673" s="101">
        <f>IF('Net zero activities &amp; levers'!$C$9="Off",'Activity data'!AM56*ManureNEF*NtoN2O*kgtoGg,IF('Net zero activities &amp; levers'!$C$9="On",(('Net zero supporting data'!K164*'Net zero supporting data'!K183)+('Net zero supporting data'!K176*ManureNEF))*NtoN2O*kgtoGg,"ERROR"))</f>
        <v>5.8570748557618887E-2</v>
      </c>
      <c r="U673" s="101">
        <f>IF('Net zero activities &amp; levers'!$C$9="Off",'Activity data'!AN56*ManureNEF*NtoN2O*kgtoGg,IF('Net zero activities &amp; levers'!$C$9="On",(('Net zero supporting data'!L164*'Net zero supporting data'!L183)+('Net zero supporting data'!L176*ManureNEF))*NtoN2O*kgtoGg,"ERROR"))</f>
        <v>5.7624372905732558E-2</v>
      </c>
      <c r="V673" s="101">
        <f>IF('Net zero activities &amp; levers'!$C$9="Off",'Activity data'!AO56*ManureNEF*NtoN2O*kgtoGg,IF('Net zero activities &amp; levers'!$C$9="On",(('Net zero supporting data'!M164*'Net zero supporting data'!M183)+('Net zero supporting data'!M176*ManureNEF))*NtoN2O*kgtoGg,"ERROR"))</f>
        <v>5.6687610024503544E-2</v>
      </c>
      <c r="W673" s="101">
        <f>IF('Net zero activities &amp; levers'!$C$9="Off",'Activity data'!AP56*ManureNEF*NtoN2O*kgtoGg,IF('Net zero activities &amp; levers'!$C$9="On",(('Net zero supporting data'!N164*'Net zero supporting data'!N183)+('Net zero supporting data'!N176*ManureNEF))*NtoN2O*kgtoGg,"ERROR"))</f>
        <v>5.5760283046463015E-2</v>
      </c>
      <c r="X673" s="101">
        <f>IF('Net zero activities &amp; levers'!$C$9="Off",'Activity data'!AQ56*ManureNEF*NtoN2O*kgtoGg,IF('Net zero activities &amp; levers'!$C$9="On",(('Net zero supporting data'!O164*'Net zero supporting data'!O183)+('Net zero supporting data'!O176*ManureNEF))*NtoN2O*kgtoGg,"ERROR"))</f>
        <v>5.4839751145047168E-2</v>
      </c>
      <c r="Y673" s="101">
        <f>IF('Net zero activities &amp; levers'!$C$9="Off",'Activity data'!AR56*ManureNEF*NtoN2O*kgtoGg,IF('Net zero activities &amp; levers'!$C$9="On",(('Net zero supporting data'!P164*'Net zero supporting data'!P183)+('Net zero supporting data'!P176*ManureNEF))*NtoN2O*kgtoGg,"ERROR"))</f>
        <v>5.386574769831419E-2</v>
      </c>
      <c r="Z673" s="101">
        <f>IF('Net zero activities &amp; levers'!$C$9="Off",'Activity data'!AS56*ManureNEF*NtoN2O*kgtoGg,IF('Net zero activities &amp; levers'!$C$9="On",(('Net zero supporting data'!Q164*'Net zero supporting data'!Q183)+('Net zero supporting data'!Q176*ManureNEF))*NtoN2O*kgtoGg,"ERROR"))</f>
        <v>5.2897621768756911E-2</v>
      </c>
      <c r="AA673" s="101">
        <f>IF('Net zero activities &amp; levers'!$C$9="Off",'Activity data'!AT56*ManureNEF*NtoN2O*kgtoGg,IF('Net zero activities &amp; levers'!$C$9="On",(('Net zero supporting data'!R164*'Net zero supporting data'!R183)+('Net zero supporting data'!R176*ManureNEF))*NtoN2O*kgtoGg,"ERROR"))</f>
        <v>5.193514259248902E-2</v>
      </c>
      <c r="AB673" s="101">
        <f>IF('Net zero activities &amp; levers'!$C$9="Off",'Activity data'!AU56*ManureNEF*NtoN2O*kgtoGg,IF('Net zero activities &amp; levers'!$C$9="On",(('Net zero supporting data'!S164*'Net zero supporting data'!S183)+('Net zero supporting data'!S176*ManureNEF))*NtoN2O*kgtoGg,"ERROR"))</f>
        <v>5.0976366535378487E-2</v>
      </c>
      <c r="AC673" s="101">
        <f>IF('Net zero activities &amp; levers'!$C$9="Off",'Activity data'!AV56*ManureNEF*NtoN2O*kgtoGg,IF('Net zero activities &amp; levers'!$C$9="On",(('Net zero supporting data'!T164*'Net zero supporting data'!T183)+('Net zero supporting data'!T176*ManureNEF))*NtoN2O*kgtoGg,"ERROR"))</f>
        <v>5.0021171640114812E-2</v>
      </c>
      <c r="AD673" s="101">
        <f>IF('Net zero activities &amp; levers'!$C$9="Off",'Activity data'!AW56*ManureNEF*NtoN2O*kgtoGg,IF('Net zero activities &amp; levers'!$C$9="On",(('Net zero supporting data'!U164*'Net zero supporting data'!U183)+('Net zero supporting data'!U176*ManureNEF))*NtoN2O*kgtoGg,"ERROR"))</f>
        <v>4.9026911141823212E-2</v>
      </c>
      <c r="AE673" s="101">
        <f>IF('Net zero activities &amp; levers'!$C$9="Off",'Activity data'!AX56*ManureNEF*NtoN2O*kgtoGg,IF('Net zero activities &amp; levers'!$C$9="On",(('Net zero supporting data'!V164*'Net zero supporting data'!V183)+('Net zero supporting data'!V176*ManureNEF))*NtoN2O*kgtoGg,"ERROR"))</f>
        <v>4.8036629025675091E-2</v>
      </c>
      <c r="AF673" s="101">
        <f>IF('Net zero activities &amp; levers'!$C$9="Off",'Activity data'!AY56*ManureNEF*NtoN2O*kgtoGg,IF('Net zero activities &amp; levers'!$C$9="On",(('Net zero supporting data'!W164*'Net zero supporting data'!W183)+('Net zero supporting data'!W176*ManureNEF))*NtoN2O*kgtoGg,"ERROR"))</f>
        <v>4.7049233380078721E-2</v>
      </c>
      <c r="AG673" s="101">
        <f>IF('Net zero activities &amp; levers'!$C$9="Off",'Activity data'!AZ56*ManureNEF*NtoN2O*kgtoGg,IF('Net zero activities &amp; levers'!$C$9="On",(('Net zero supporting data'!X164*'Net zero supporting data'!X183)+('Net zero supporting data'!X176*ManureNEF))*NtoN2O*kgtoGg,"ERROR"))</f>
        <v>4.6055822949964353E-2</v>
      </c>
      <c r="AH673" s="101">
        <f>IF('Net zero activities &amp; levers'!$C$9="Off",'Activity data'!BA56*ManureNEF*NtoN2O*kgtoGg,IF('Net zero activities &amp; levers'!$C$9="On",(('Net zero supporting data'!Y164*'Net zero supporting data'!Y183)+('Net zero supporting data'!Y176*ManureNEF))*NtoN2O*kgtoGg,"ERROR"))</f>
        <v>4.4685822286516227E-2</v>
      </c>
      <c r="AI673" s="101">
        <f>IF('Net zero activities &amp; levers'!$C$9="Off",'Activity data'!BB56*ManureNEF*NtoN2O*kgtoGg,IF('Net zero activities &amp; levers'!$C$9="On",(('Net zero supporting data'!Z164*'Net zero supporting data'!Z183)+('Net zero supporting data'!Z176*ManureNEF))*NtoN2O*kgtoGg,"ERROR"))</f>
        <v>4.3667418586365608E-2</v>
      </c>
      <c r="AJ673" s="101">
        <f>IF('Net zero activities &amp; levers'!$C$9="Off",'Activity data'!BC56*ManureNEF*NtoN2O*kgtoGg,IF('Net zero activities &amp; levers'!$C$9="On",(('Net zero supporting data'!AA164*'Net zero supporting data'!AA183)+('Net zero supporting data'!AA176*ManureNEF))*NtoN2O*kgtoGg,"ERROR"))</f>
        <v>4.2651211510756314E-2</v>
      </c>
      <c r="AK673" s="101">
        <f>IF('Net zero activities &amp; levers'!$C$9="Off",'Activity data'!BD56*ManureNEF*NtoN2O*kgtoGg,IF('Net zero activities &amp; levers'!$C$9="On",(('Net zero supporting data'!AB164*'Net zero supporting data'!AB183)+('Net zero supporting data'!AB176*ManureNEF))*NtoN2O*kgtoGg,"ERROR"))</f>
        <v>4.1636728525810254E-2</v>
      </c>
      <c r="AL673" s="101">
        <f>IF('Net zero activities &amp; levers'!$C$9="Off",'Activity data'!BE56*ManureNEF*NtoN2O*kgtoGg,IF('Net zero activities &amp; levers'!$C$9="On",(('Net zero supporting data'!AC164*'Net zero supporting data'!AC183)+('Net zero supporting data'!AC176*ManureNEF))*NtoN2O*kgtoGg,"ERROR"))</f>
        <v>4.0623524792419319E-2</v>
      </c>
      <c r="AM673" s="101">
        <f>IF('Net zero activities &amp; levers'!$C$9="Off",'Activity data'!BF56*ManureNEF*NtoN2O*kgtoGg,IF('Net zero activities &amp; levers'!$C$9="On",(('Net zero supporting data'!AD164*'Net zero supporting data'!AD183)+('Net zero supporting data'!AD176*ManureNEF))*NtoN2O*kgtoGg,"ERROR"))</f>
        <v>3.9611180539956915E-2</v>
      </c>
      <c r="AN673" s="101">
        <f>IF('Net zero activities &amp; levers'!$C$9="Off",'Activity data'!BG56*ManureNEF*NtoN2O*kgtoGg,IF('Net zero activities &amp; levers'!$C$9="On",(('Net zero supporting data'!AE164*'Net zero supporting data'!AE183)+('Net zero supporting data'!AE176*ManureNEF))*NtoN2O*kgtoGg,"ERROR"))</f>
        <v>3.9636752004691946E-2</v>
      </c>
      <c r="AO673" s="101">
        <f>IF('Net zero activities &amp; levers'!$C$9="Off",'Activity data'!BH56*ManureNEF*NtoN2O*kgtoGg,IF('Net zero activities &amp; levers'!$C$9="On",(('Net zero supporting data'!AF164*'Net zero supporting data'!AF183)+('Net zero supporting data'!AF176*ManureNEF))*NtoN2O*kgtoGg,"ERROR"))</f>
        <v>3.966541411454276E-2</v>
      </c>
      <c r="AP673" s="101">
        <f>IF('Net zero activities &amp; levers'!$C$9="Off",'Activity data'!BI56*ManureNEF*NtoN2O*kgtoGg,IF('Net zero activities &amp; levers'!$C$9="On",(('Net zero supporting data'!AG164*'Net zero supporting data'!AG183)+('Net zero supporting data'!AG176*ManureNEF))*NtoN2O*kgtoGg,"ERROR"))</f>
        <v>3.9697059307772266E-2</v>
      </c>
      <c r="AQ673" s="101">
        <f>IF('Net zero activities &amp; levers'!$C$9="Off",'Activity data'!BJ56*ManureNEF*NtoN2O*kgtoGg,IF('Net zero activities &amp; levers'!$C$9="On",(('Net zero supporting data'!AH164*'Net zero supporting data'!AH183)+('Net zero supporting data'!AH176*ManureNEF))*NtoN2O*kgtoGg,"ERROR"))</f>
        <v>3.9731587384565323E-2</v>
      </c>
      <c r="AR673" s="101">
        <f>IF('Net zero activities &amp; levers'!$C$9="Off",'Activity data'!BK56*ManureNEF*NtoN2O*kgtoGg,IF('Net zero activities &amp; levers'!$C$9="On",(('Net zero supporting data'!AI164*'Net zero supporting data'!AI183)+('Net zero supporting data'!AI176*ManureNEF))*NtoN2O*kgtoGg,"ERROR"))</f>
        <v>3.9768904881597567E-2</v>
      </c>
      <c r="AS673" s="101">
        <f>IF('Net zero activities &amp; levers'!$C$9="Off",'Activity data'!BL56*ManureNEF*NtoN2O*kgtoGg,IF('Net zero activities &amp; levers'!$C$9="On",(('Net zero supporting data'!AJ164*'Net zero supporting data'!AJ183)+('Net zero supporting data'!AJ176*ManureNEF))*NtoN2O*kgtoGg,"ERROR"))</f>
        <v>3.9778110654177246E-2</v>
      </c>
      <c r="AT673" s="101">
        <f>IF('Net zero activities &amp; levers'!$C$9="Off",'Activity data'!BM56*ManureNEF*NtoN2O*kgtoGg,IF('Net zero activities &amp; levers'!$C$9="On",(('Net zero supporting data'!AK164*'Net zero supporting data'!AK183)+('Net zero supporting data'!AK176*ManureNEF))*NtoN2O*kgtoGg,"ERROR"))</f>
        <v>3.978979203594394E-2</v>
      </c>
      <c r="AU673" s="101">
        <f>IF('Net zero activities &amp; levers'!$C$9="Off",'Activity data'!BN56*ManureNEF*NtoN2O*kgtoGg,IF('Net zero activities &amp; levers'!$C$9="On",(('Net zero supporting data'!AL164*'Net zero supporting data'!AL183)+('Net zero supporting data'!AL176*ManureNEF))*NtoN2O*kgtoGg,"ERROR"))</f>
        <v>3.9803867034767806E-2</v>
      </c>
      <c r="AV673" s="101">
        <f>IF('Net zero activities &amp; levers'!$C$9="Off",'Activity data'!BO56*ManureNEF*NtoN2O*kgtoGg,IF('Net zero activities &amp; levers'!$C$9="On",(('Net zero supporting data'!AM164*'Net zero supporting data'!AM183)+('Net zero supporting data'!AM176*ManureNEF))*NtoN2O*kgtoGg,"ERROR"))</f>
        <v>3.9820258665314925E-2</v>
      </c>
      <c r="AW673" s="101">
        <f>IF('Net zero activities &amp; levers'!$C$9="Off",'Activity data'!BP56*ManureNEF*NtoN2O*kgtoGg,IF('Net zero activities &amp; levers'!$C$9="On",(('Net zero supporting data'!AN164*'Net zero supporting data'!AN183)+('Net zero supporting data'!AN176*ManureNEF))*NtoN2O*kgtoGg,"ERROR"))</f>
        <v>3.9838894564016708E-2</v>
      </c>
      <c r="AY673" s="85"/>
      <c r="AZ673" s="85"/>
    </row>
    <row r="674" spans="1:52" x14ac:dyDescent="0.25">
      <c r="A674" s="102" t="str">
        <f t="shared" si="133"/>
        <v>NI Organic</v>
      </c>
      <c r="B674" s="102" t="s">
        <v>970</v>
      </c>
      <c r="C674" s="102" t="s">
        <v>1128</v>
      </c>
      <c r="D674" t="s">
        <v>369</v>
      </c>
      <c r="E674" t="s">
        <v>55</v>
      </c>
      <c r="F674" t="s">
        <v>421</v>
      </c>
      <c r="G674" t="s">
        <v>1167</v>
      </c>
      <c r="H674" t="s">
        <v>1168</v>
      </c>
      <c r="I674" t="s">
        <v>139</v>
      </c>
      <c r="J674" t="s">
        <v>287</v>
      </c>
      <c r="K674" s="22">
        <f>K1473</f>
        <v>4.7495937116525173E-2</v>
      </c>
      <c r="L674" s="22">
        <f t="shared" ref="L674:AW674" si="146">L1473</f>
        <v>4.7521874241643836E-2</v>
      </c>
      <c r="M674" s="22">
        <f t="shared" si="146"/>
        <v>4.7579952447139875E-2</v>
      </c>
      <c r="N674" s="22">
        <f t="shared" si="146"/>
        <v>4.7667372339213025E-2</v>
      </c>
      <c r="O674" s="22">
        <f t="shared" si="146"/>
        <v>4.7785303527096222E-2</v>
      </c>
      <c r="P674" s="22">
        <f t="shared" si="146"/>
        <v>4.7933871147207763E-2</v>
      </c>
      <c r="Q674" s="22">
        <f t="shared" si="146"/>
        <v>4.8099369453324381E-2</v>
      </c>
      <c r="R674" s="22">
        <f t="shared" si="146"/>
        <v>4.8278731952477678E-2</v>
      </c>
      <c r="S674" s="22">
        <f t="shared" si="146"/>
        <v>4.8447281043127996E-2</v>
      </c>
      <c r="T674" s="22">
        <f t="shared" si="146"/>
        <v>4.8517687262134283E-2</v>
      </c>
      <c r="U674" s="22">
        <f t="shared" si="146"/>
        <v>4.8599385073957294E-2</v>
      </c>
      <c r="V674" s="22">
        <f t="shared" si="146"/>
        <v>4.8692357726997801E-2</v>
      </c>
      <c r="W674" s="22">
        <f t="shared" si="146"/>
        <v>4.8797086923498996E-2</v>
      </c>
      <c r="X674" s="22">
        <f t="shared" si="146"/>
        <v>4.8911893698725943E-2</v>
      </c>
      <c r="Y674" s="22">
        <f t="shared" si="146"/>
        <v>4.8982566024450037E-2</v>
      </c>
      <c r="Z674" s="22">
        <f t="shared" si="146"/>
        <v>4.9061508471477298E-2</v>
      </c>
      <c r="AA674" s="22">
        <f t="shared" si="146"/>
        <v>4.9149007517636747E-2</v>
      </c>
      <c r="AB674" s="22">
        <f t="shared" si="146"/>
        <v>4.9243718791974624E-2</v>
      </c>
      <c r="AC674" s="22">
        <f t="shared" si="146"/>
        <v>4.9345980943347217E-2</v>
      </c>
      <c r="AD674" s="22">
        <f t="shared" si="146"/>
        <v>4.941330202309966E-2</v>
      </c>
      <c r="AE674" s="22">
        <f t="shared" si="146"/>
        <v>4.9487704242181185E-2</v>
      </c>
      <c r="AF674" s="22">
        <f t="shared" si="146"/>
        <v>4.9568518464286178E-2</v>
      </c>
      <c r="AG674" s="22">
        <f t="shared" si="146"/>
        <v>4.9646595309931256E-2</v>
      </c>
      <c r="AH674" s="22">
        <f t="shared" si="146"/>
        <v>4.9312793416617665E-2</v>
      </c>
      <c r="AI674" s="22">
        <f t="shared" si="146"/>
        <v>4.9360198563399564E-2</v>
      </c>
      <c r="AJ674" s="22">
        <f t="shared" si="146"/>
        <v>4.9412510377689269E-2</v>
      </c>
      <c r="AK674" s="22">
        <f t="shared" si="146"/>
        <v>4.9469543489705052E-2</v>
      </c>
      <c r="AL674" s="22">
        <f t="shared" si="146"/>
        <v>4.9531126857595344E-2</v>
      </c>
      <c r="AM674" s="22">
        <f t="shared" si="146"/>
        <v>4.9597102407826756E-2</v>
      </c>
      <c r="AN674" s="22">
        <f t="shared" si="146"/>
        <v>4.9629120402188261E-2</v>
      </c>
      <c r="AO674" s="22">
        <f t="shared" si="146"/>
        <v>4.9665008188871658E-2</v>
      </c>
      <c r="AP674" s="22">
        <f t="shared" si="146"/>
        <v>4.9704631089979995E-2</v>
      </c>
      <c r="AQ674" s="22">
        <f t="shared" si="146"/>
        <v>4.9747863645468307E-2</v>
      </c>
      <c r="AR674" s="22">
        <f t="shared" si="146"/>
        <v>4.9794588830042001E-2</v>
      </c>
      <c r="AS674" s="22">
        <f t="shared" si="146"/>
        <v>4.9806115364700997E-2</v>
      </c>
      <c r="AT674" s="22">
        <f t="shared" si="146"/>
        <v>4.9820741606076545E-2</v>
      </c>
      <c r="AU674" s="22">
        <f t="shared" si="146"/>
        <v>4.9838364891940323E-2</v>
      </c>
      <c r="AV674" s="22">
        <f t="shared" si="146"/>
        <v>4.9858888829066014E-2</v>
      </c>
      <c r="AW674" s="22">
        <f t="shared" si="146"/>
        <v>4.988222281113306E-2</v>
      </c>
      <c r="AY674" s="85"/>
      <c r="AZ674" s="85"/>
    </row>
    <row r="675" spans="1:52" x14ac:dyDescent="0.25">
      <c r="A675" s="102" t="str">
        <f t="shared" si="133"/>
        <v>NI Organic</v>
      </c>
      <c r="B675" s="102" t="s">
        <v>970</v>
      </c>
      <c r="C675" s="102" t="s">
        <v>1128</v>
      </c>
      <c r="D675" t="s">
        <v>369</v>
      </c>
      <c r="E675" t="s">
        <v>55</v>
      </c>
      <c r="F675" t="s">
        <v>421</v>
      </c>
      <c r="G675" t="s">
        <v>1169</v>
      </c>
      <c r="H675" t="s">
        <v>1170</v>
      </c>
      <c r="I675" t="s">
        <v>139</v>
      </c>
      <c r="J675" t="s">
        <v>287</v>
      </c>
      <c r="K675" s="101">
        <f>IF('Net zero activities &amp; levers'!$C$9="Off",'Activity data'!AD58*ManureNEF*NtoN2O*kgtoGg,IF('Net zero activities &amp; levers'!$C$9="On",(('Net zero supporting data'!B165*'Net zero supporting data'!B183)+('Net zero supporting data'!B177*ManureNEF))*NtoN2O*kgtoGg,"ERROR"))</f>
        <v>7.2138531984991348E-3</v>
      </c>
      <c r="L675" s="101">
        <f>IF('Net zero activities &amp; levers'!$C$9="Off",'Activity data'!AE58*ManureNEF*NtoN2O*kgtoGg,IF('Net zero activities &amp; levers'!$C$9="On",(('Net zero supporting data'!C165*'Net zero supporting data'!C183)+('Net zero supporting data'!C177*ManureNEF))*NtoN2O*kgtoGg,"ERROR"))</f>
        <v>7.2326686364155846E-3</v>
      </c>
      <c r="M675" s="101">
        <f>IF('Net zero activities &amp; levers'!$C$9="Off",'Activity data'!AF58*ManureNEF*NtoN2O*kgtoGg,IF('Net zero activities &amp; levers'!$C$9="On",(('Net zero supporting data'!D165*'Net zero supporting data'!D183)+('Net zero supporting data'!D177*ManureNEF))*NtoN2O*kgtoGg,"ERROR"))</f>
        <v>7.2577418741351651E-3</v>
      </c>
      <c r="N675" s="101">
        <f>IF('Net zero activities &amp; levers'!$C$9="Off",'Activity data'!AG58*ManureNEF*NtoN2O*kgtoGg,IF('Net zero activities &amp; levers'!$C$9="On",(('Net zero supporting data'!E165*'Net zero supporting data'!E183)+('Net zero supporting data'!E177*ManureNEF))*NtoN2O*kgtoGg,"ERROR"))</f>
        <v>7.2885154843188495E-3</v>
      </c>
      <c r="O675" s="101">
        <f>IF('Net zero activities &amp; levers'!$C$9="Off",'Activity data'!AH58*ManureNEF*NtoN2O*kgtoGg,IF('Net zero activities &amp; levers'!$C$9="On",(('Net zero supporting data'!F165*'Net zero supporting data'!F183)+('Net zero supporting data'!F177*ManureNEF))*NtoN2O*kgtoGg,"ERROR"))</f>
        <v>7.3253592647283981E-3</v>
      </c>
      <c r="P675" s="101">
        <f>IF('Net zero activities &amp; levers'!$C$9="Off",'Activity data'!AI58*ManureNEF*NtoN2O*kgtoGg,IF('Net zero activities &amp; levers'!$C$9="On",(('Net zero supporting data'!G165*'Net zero supporting data'!G183)+('Net zero supporting data'!G177*ManureNEF))*NtoN2O*kgtoGg,"ERROR"))</f>
        <v>7.3683712611583496E-3</v>
      </c>
      <c r="Q675" s="101">
        <f>IF('Net zero activities &amp; levers'!$C$9="Off",'Activity data'!AJ58*ManureNEF*NtoN2O*kgtoGg,IF('Net zero activities &amp; levers'!$C$9="On",(('Net zero supporting data'!H165*'Net zero supporting data'!H183)+('Net zero supporting data'!H177*ManureNEF))*NtoN2O*kgtoGg,"ERROR"))</f>
        <v>7.4143590148475543E-3</v>
      </c>
      <c r="R675" s="101">
        <f>IF('Net zero activities &amp; levers'!$C$9="Off",'Activity data'!AK58*ManureNEF*NtoN2O*kgtoGg,IF('Net zero activities &amp; levers'!$C$9="On",(('Net zero supporting data'!I165*'Net zero supporting data'!I183)+('Net zero supporting data'!I177*ManureNEF))*NtoN2O*kgtoGg,"ERROR"))</f>
        <v>7.4626649386195258E-3</v>
      </c>
      <c r="S675" s="101">
        <f>IF('Net zero activities &amp; levers'!$C$9="Off",'Activity data'!AL58*ManureNEF*NtoN2O*kgtoGg,IF('Net zero activities &amp; levers'!$C$9="On",(('Net zero supporting data'!J165*'Net zero supporting data'!J183)+('Net zero supporting data'!J177*ManureNEF))*NtoN2O*kgtoGg,"ERROR"))</f>
        <v>7.5075390200834997E-3</v>
      </c>
      <c r="T675" s="101">
        <f>IF('Net zero activities &amp; levers'!$C$9="Off",'Activity data'!AM58*ManureNEF*NtoN2O*kgtoGg,IF('Net zero activities &amp; levers'!$C$9="On",(('Net zero supporting data'!K165*'Net zero supporting data'!K183)+('Net zero supporting data'!K177*ManureNEF))*NtoN2O*kgtoGg,"ERROR"))</f>
        <v>7.3968184351351609E-3</v>
      </c>
      <c r="U675" s="101">
        <f>IF('Net zero activities &amp; levers'!$C$9="Off",'Activity data'!AN58*ManureNEF*NtoN2O*kgtoGg,IF('Net zero activities &amp; levers'!$C$9="On",(('Net zero supporting data'!L165*'Net zero supporting data'!L183)+('Net zero supporting data'!L177*ManureNEF))*NtoN2O*kgtoGg,"ERROR"))</f>
        <v>7.2873212541525127E-3</v>
      </c>
      <c r="V675" s="101">
        <f>IF('Net zero activities &amp; levers'!$C$9="Off",'Activity data'!AO58*ManureNEF*NtoN2O*kgtoGg,IF('Net zero activities &amp; levers'!$C$9="On",(('Net zero supporting data'!M165*'Net zero supporting data'!M183)+('Net zero supporting data'!M177*ManureNEF))*NtoN2O*kgtoGg,"ERROR"))</f>
        <v>7.1789686031426166E-3</v>
      </c>
      <c r="W675" s="101">
        <f>IF('Net zero activities &amp; levers'!$C$9="Off",'Activity data'!AP58*ManureNEF*NtoN2O*kgtoGg,IF('Net zero activities &amp; levers'!$C$9="On",(('Net zero supporting data'!N165*'Net zero supporting data'!N183)+('Net zero supporting data'!N177*ManureNEF))*NtoN2O*kgtoGg,"ERROR"))</f>
        <v>7.0717827128219E-3</v>
      </c>
      <c r="X675" s="101">
        <f>IF('Net zero activities &amp; levers'!$C$9="Off",'Activity data'!AQ58*ManureNEF*NtoN2O*kgtoGg,IF('Net zero activities &amp; levers'!$C$9="On",(('Net zero supporting data'!O165*'Net zero supporting data'!O183)+('Net zero supporting data'!O177*ManureNEF))*NtoN2O*kgtoGg,"ERROR"))</f>
        <v>6.9653124444417009E-3</v>
      </c>
      <c r="Y675" s="101">
        <f>IF('Net zero activities &amp; levers'!$C$9="Off",'Activity data'!AR58*ManureNEF*NtoN2O*kgtoGg,IF('Net zero activities &amp; levers'!$C$9="On",(('Net zero supporting data'!P165*'Net zero supporting data'!P183)+('Net zero supporting data'!P177*ManureNEF))*NtoN2O*kgtoGg,"ERROR"))</f>
        <v>6.8482229477683622E-3</v>
      </c>
      <c r="Z675" s="101">
        <f>IF('Net zero activities &amp; levers'!$C$9="Off",'Activity data'!AS58*ManureNEF*NtoN2O*kgtoGg,IF('Net zero activities &amp; levers'!$C$9="On",(('Net zero supporting data'!Q165*'Net zero supporting data'!Q183)+('Net zero supporting data'!Q177*ManureNEF))*NtoN2O*kgtoGg,"ERROR"))</f>
        <v>6.7318135851407099E-3</v>
      </c>
      <c r="AA675" s="101">
        <f>IF('Net zero activities &amp; levers'!$C$9="Off",'Activity data'!AT58*ManureNEF*NtoN2O*kgtoGg,IF('Net zero activities &amp; levers'!$C$9="On",(('Net zero supporting data'!R165*'Net zero supporting data'!R183)+('Net zero supporting data'!R177*ManureNEF))*NtoN2O*kgtoGg,"ERROR"))</f>
        <v>6.6160760113262093E-3</v>
      </c>
      <c r="AB675" s="101">
        <f>IF('Net zero activities &amp; levers'!$C$9="Off",'Activity data'!AU58*ManureNEF*NtoN2O*kgtoGg,IF('Net zero activities &amp; levers'!$C$9="On",(('Net zero supporting data'!S165*'Net zero supporting data'!S183)+('Net zero supporting data'!S177*ManureNEF))*NtoN2O*kgtoGg,"ERROR"))</f>
        <v>6.5006769076280529E-3</v>
      </c>
      <c r="AC675" s="101">
        <f>IF('Net zero activities &amp; levers'!$C$9="Off",'Activity data'!AV58*ManureNEF*NtoN2O*kgtoGg,IF('Net zero activities &amp; levers'!$C$9="On",(('Net zero supporting data'!T165*'Net zero supporting data'!T183)+('Net zero supporting data'!T177*ManureNEF))*NtoN2O*kgtoGg,"ERROR"))</f>
        <v>6.3856235527441326E-3</v>
      </c>
      <c r="AD675" s="101">
        <f>IF('Net zero activities &amp; levers'!$C$9="Off",'Activity data'!AW58*ManureNEF*NtoN2O*kgtoGg,IF('Net zero activities &amp; levers'!$C$9="On",(('Net zero supporting data'!U165*'Net zero supporting data'!U183)+('Net zero supporting data'!U177*ManureNEF))*NtoN2O*kgtoGg,"ERROR"))</f>
        <v>6.2629760749324231E-3</v>
      </c>
      <c r="AE675" s="101">
        <f>IF('Net zero activities &amp; levers'!$C$9="Off",'Activity data'!AX58*ManureNEF*NtoN2O*kgtoGg,IF('Net zero activities &amp; levers'!$C$9="On",(('Net zero supporting data'!V165*'Net zero supporting data'!V183)+('Net zero supporting data'!V177*ManureNEF))*NtoN2O*kgtoGg,"ERROR"))</f>
        <v>6.1408322501423935E-3</v>
      </c>
      <c r="AF675" s="101">
        <f>IF('Net zero activities &amp; levers'!$C$9="Off",'Activity data'!AY58*ManureNEF*NtoN2O*kgtoGg,IF('Net zero activities &amp; levers'!$C$9="On",(('Net zero supporting data'!W165*'Net zero supporting data'!W183)+('Net zero supporting data'!W177*ManureNEF))*NtoN2O*kgtoGg,"ERROR"))</f>
        <v>6.0190094104631683E-3</v>
      </c>
      <c r="AG675" s="101">
        <f>IF('Net zero activities &amp; levers'!$C$9="Off",'Activity data'!AZ58*ManureNEF*NtoN2O*kgtoGg,IF('Net zero activities &amp; levers'!$C$9="On",(('Net zero supporting data'!X165*'Net zero supporting data'!X183)+('Net zero supporting data'!X177*ManureNEF))*NtoN2O*kgtoGg,"ERROR"))</f>
        <v>5.8958742551954626E-3</v>
      </c>
      <c r="AH675" s="101">
        <f>IF('Net zero activities &amp; levers'!$C$9="Off",'Activity data'!BA58*ManureNEF*NtoN2O*kgtoGg,IF('Net zero activities &amp; levers'!$C$9="On",(('Net zero supporting data'!Y165*'Net zero supporting data'!Y183)+('Net zero supporting data'!Y177*ManureNEF))*NtoN2O*kgtoGg,"ERROR"))</f>
        <v>5.7027732289119592E-3</v>
      </c>
      <c r="AI675" s="101">
        <f>IF('Net zero activities &amp; levers'!$C$9="Off",'Activity data'!BB58*ManureNEF*NtoN2O*kgtoGg,IF('Net zero activities &amp; levers'!$C$9="On",(('Net zero supporting data'!Z165*'Net zero supporting data'!Z183)+('Net zero supporting data'!Z177*ManureNEF))*NtoN2O*kgtoGg,"ERROR"))</f>
        <v>5.5748259017008037E-3</v>
      </c>
      <c r="AJ675" s="101">
        <f>IF('Net zero activities &amp; levers'!$C$9="Off",'Activity data'!BC58*ManureNEF*NtoN2O*kgtoGg,IF('Net zero activities &amp; levers'!$C$9="On",(('Net zero supporting data'!AA165*'Net zero supporting data'!AA183)+('Net zero supporting data'!AA177*ManureNEF))*NtoN2O*kgtoGg,"ERROR"))</f>
        <v>5.4471651856792831E-3</v>
      </c>
      <c r="AK675" s="101">
        <f>IF('Net zero activities &amp; levers'!$C$9="Off",'Activity data'!BD58*ManureNEF*NtoN2O*kgtoGg,IF('Net zero activities &amp; levers'!$C$9="On",(('Net zero supporting data'!AB165*'Net zero supporting data'!AB183)+('Net zero supporting data'!AB177*ManureNEF))*NtoN2O*kgtoGg,"ERROR"))</f>
        <v>5.3197173357233413E-3</v>
      </c>
      <c r="AL675" s="101">
        <f>IF('Net zero activities &amp; levers'!$C$9="Off",'Activity data'!BE58*ManureNEF*NtoN2O*kgtoGg,IF('Net zero activities &amp; levers'!$C$9="On",(('Net zero supporting data'!AC165*'Net zero supporting data'!AC183)+('Net zero supporting data'!AC177*ManureNEF))*NtoN2O*kgtoGg,"ERROR"))</f>
        <v>5.1924131473618431E-3</v>
      </c>
      <c r="AM675" s="101">
        <f>IF('Net zero activities &amp; levers'!$C$9="Off",'Activity data'!BF58*ManureNEF*NtoN2O*kgtoGg,IF('Net zero activities &amp; levers'!$C$9="On",(('Net zero supporting data'!AD165*'Net zero supporting data'!AD183)+('Net zero supporting data'!AD177*ManureNEF))*NtoN2O*kgtoGg,"ERROR"))</f>
        <v>5.0651875237084547E-3</v>
      </c>
      <c r="AN675" s="101">
        <f>IF('Net zero activities &amp; levers'!$C$9="Off",'Activity data'!BG58*ManureNEF*NtoN2O*kgtoGg,IF('Net zero activities &amp; levers'!$C$9="On",(('Net zero supporting data'!AE165*'Net zero supporting data'!AE183)+('Net zero supporting data'!AE177*ManureNEF))*NtoN2O*kgtoGg,"ERROR"))</f>
        <v>5.0690100057462252E-3</v>
      </c>
      <c r="AO675" s="101">
        <f>IF('Net zero activities &amp; levers'!$C$9="Off",'Activity data'!BH58*ManureNEF*NtoN2O*kgtoGg,IF('Net zero activities &amp; levers'!$C$9="On",(('Net zero supporting data'!AF165*'Net zero supporting data'!AF183)+('Net zero supporting data'!AF177*ManureNEF))*NtoN2O*kgtoGg,"ERROR"))</f>
        <v>5.0733095448804123E-3</v>
      </c>
      <c r="AP675" s="101">
        <f>IF('Net zero activities &amp; levers'!$C$9="Off",'Activity data'!BI58*ManureNEF*NtoN2O*kgtoGg,IF('Net zero activities &amp; levers'!$C$9="On",(('Net zero supporting data'!AG165*'Net zero supporting data'!AG183)+('Net zero supporting data'!AG177*ManureNEF))*NtoN2O*kgtoGg,"ERROR"))</f>
        <v>5.0780681560815069E-3</v>
      </c>
      <c r="AQ675" s="101">
        <f>IF('Net zero activities &amp; levers'!$C$9="Off",'Activity data'!BJ58*ManureNEF*NtoN2O*kgtoGg,IF('Net zero activities &amp; levers'!$C$9="On",(('Net zero supporting data'!AH165*'Net zero supporting data'!AH183)+('Net zero supporting data'!AH177*ManureNEF))*NtoN2O*kgtoGg,"ERROR"))</f>
        <v>5.0832690881353173E-3</v>
      </c>
      <c r="AR675" s="101">
        <f>IF('Net zero activities &amp; levers'!$C$9="Off",'Activity data'!BK58*ManureNEF*NtoN2O*kgtoGg,IF('Net zero activities &amp; levers'!$C$9="On",(('Net zero supporting data'!AI165*'Net zero supporting data'!AI183)+('Net zero supporting data'!AI177*ManureNEF))*NtoN2O*kgtoGg,"ERROR"))</f>
        <v>5.0888967179384655E-3</v>
      </c>
      <c r="AS675" s="101">
        <f>IF('Net zero activities &amp; levers'!$C$9="Off",'Activity data'!BL58*ManureNEF*NtoN2O*kgtoGg,IF('Net zero activities &amp; levers'!$C$9="On",(('Net zero supporting data'!AJ165*'Net zero supporting data'!AJ183)+('Net zero supporting data'!AJ177*ManureNEF))*NtoN2O*kgtoGg,"ERROR"))</f>
        <v>5.0893357852861499E-3</v>
      </c>
      <c r="AT675" s="101">
        <f>IF('Net zero activities &amp; levers'!$C$9="Off",'Activity data'!BM58*ManureNEF*NtoN2O*kgtoGg,IF('Net zero activities &amp; levers'!$C$9="On",(('Net zero supporting data'!AK165*'Net zero supporting data'!AK183)+('Net zero supporting data'!AK177*ManureNEF))*NtoN2O*kgtoGg,"ERROR"))</f>
        <v>5.0901653293446677E-3</v>
      </c>
      <c r="AU675" s="101">
        <f>IF('Net zero activities &amp; levers'!$C$9="Off",'Activity data'!BN58*ManureNEF*NtoN2O*kgtoGg,IF('Net zero activities &amp; levers'!$C$9="On",(('Net zero supporting data'!AL165*'Net zero supporting data'!AL183)+('Net zero supporting data'!AL177*ManureNEF))*NtoN2O*kgtoGg,"ERROR"))</f>
        <v>5.0913713268978021E-3</v>
      </c>
      <c r="AV675" s="101">
        <f>IF('Net zero activities &amp; levers'!$C$9="Off",'Activity data'!BO58*ManureNEF*NtoN2O*kgtoGg,IF('Net zero activities &amp; levers'!$C$9="On",(('Net zero supporting data'!AM165*'Net zero supporting data'!AM183)+('Net zero supporting data'!AM177*ManureNEF))*NtoN2O*kgtoGg,"ERROR"))</f>
        <v>5.092940613073969E-3</v>
      </c>
      <c r="AW675" s="101">
        <f>IF('Net zero activities &amp; levers'!$C$9="Off",'Activity data'!BP58*ManureNEF*NtoN2O*kgtoGg,IF('Net zero activities &amp; levers'!$C$9="On",(('Net zero supporting data'!AN165*'Net zero supporting data'!AN183)+('Net zero supporting data'!AN177*ManureNEF))*NtoN2O*kgtoGg,"ERROR"))</f>
        <v>5.0948608148482927E-3</v>
      </c>
      <c r="AY675" s="85"/>
      <c r="AZ675" s="85"/>
    </row>
    <row r="676" spans="1:52" x14ac:dyDescent="0.25">
      <c r="A676" s="102" t="str">
        <f t="shared" si="133"/>
        <v>NI Organic</v>
      </c>
      <c r="B676" s="102" t="s">
        <v>970</v>
      </c>
      <c r="C676" s="102" t="s">
        <v>1128</v>
      </c>
      <c r="D676" t="s">
        <v>369</v>
      </c>
      <c r="E676" t="s">
        <v>55</v>
      </c>
      <c r="F676" t="s">
        <v>421</v>
      </c>
      <c r="G676" t="s">
        <v>1171</v>
      </c>
      <c r="H676" t="s">
        <v>1172</v>
      </c>
      <c r="I676" t="s">
        <v>139</v>
      </c>
      <c r="J676" t="s">
        <v>287</v>
      </c>
      <c r="K676" s="22">
        <f>K1475</f>
        <v>8.7042781172852426E-2</v>
      </c>
      <c r="L676" s="22">
        <f t="shared" ref="L676:AW678" si="147">L1475</f>
        <v>8.7269809364329015E-2</v>
      </c>
      <c r="M676" s="22">
        <f t="shared" si="147"/>
        <v>8.7572344539923463E-2</v>
      </c>
      <c r="N676" s="22">
        <f t="shared" si="147"/>
        <v>8.7943660748253619E-2</v>
      </c>
      <c r="O676" s="22">
        <f t="shared" si="147"/>
        <v>8.8388219991077738E-2</v>
      </c>
      <c r="P676" s="22">
        <f t="shared" si="147"/>
        <v>8.8907205294776276E-2</v>
      </c>
      <c r="Q676" s="22">
        <f t="shared" si="147"/>
        <v>8.9462096262315383E-2</v>
      </c>
      <c r="R676" s="22">
        <f t="shared" si="147"/>
        <v>9.0044958407765094E-2</v>
      </c>
      <c r="S676" s="22">
        <f t="shared" si="147"/>
        <v>9.058641174008604E-2</v>
      </c>
      <c r="T676" s="22">
        <f t="shared" si="147"/>
        <v>9.0840153267838591E-2</v>
      </c>
      <c r="U676" s="22">
        <f t="shared" si="147"/>
        <v>9.1118394918272713E-2</v>
      </c>
      <c r="V676" s="22">
        <f t="shared" si="147"/>
        <v>9.1421489787068641E-2</v>
      </c>
      <c r="W676" s="22">
        <f t="shared" si="147"/>
        <v>9.1751129305526188E-2</v>
      </c>
      <c r="X676" s="22">
        <f t="shared" si="147"/>
        <v>9.2102875256845074E-2</v>
      </c>
      <c r="Y676" s="22">
        <f t="shared" si="147"/>
        <v>9.232521212320649E-2</v>
      </c>
      <c r="Z676" s="22">
        <f t="shared" si="147"/>
        <v>9.2565769306508783E-2</v>
      </c>
      <c r="AA676" s="22">
        <f t="shared" si="147"/>
        <v>9.2825542007412429E-2</v>
      </c>
      <c r="AB676" s="22">
        <f t="shared" si="147"/>
        <v>9.3100953930938646E-2</v>
      </c>
      <c r="AC676" s="22">
        <f t="shared" si="147"/>
        <v>9.339310675513432E-2</v>
      </c>
      <c r="AD676" s="22">
        <f t="shared" si="147"/>
        <v>9.3584447456151826E-2</v>
      </c>
      <c r="AE676" s="22">
        <f t="shared" si="147"/>
        <v>9.3791957817689064E-2</v>
      </c>
      <c r="AF676" s="22">
        <f t="shared" si="147"/>
        <v>9.4013883568308809E-2</v>
      </c>
      <c r="AG676" s="22">
        <f t="shared" si="147"/>
        <v>9.4225124449304393E-2</v>
      </c>
      <c r="AH676" s="22">
        <f t="shared" si="147"/>
        <v>9.3301695602041948E-2</v>
      </c>
      <c r="AI676" s="22">
        <f t="shared" si="147"/>
        <v>9.342525063432626E-2</v>
      </c>
      <c r="AJ676" s="22">
        <f t="shared" si="147"/>
        <v>9.3559884234251725E-2</v>
      </c>
      <c r="AK676" s="22">
        <f t="shared" si="147"/>
        <v>9.370514649197019E-2</v>
      </c>
      <c r="AL676" s="22">
        <f t="shared" si="147"/>
        <v>9.3860622395159451E-2</v>
      </c>
      <c r="AM676" s="22">
        <f t="shared" si="147"/>
        <v>9.4025928487650484E-2</v>
      </c>
      <c r="AN676" s="22">
        <f t="shared" si="147"/>
        <v>9.4096885865051882E-2</v>
      </c>
      <c r="AO676" s="22">
        <f t="shared" si="147"/>
        <v>9.4176698933624112E-2</v>
      </c>
      <c r="AP676" s="22">
        <f t="shared" si="147"/>
        <v>9.4265033834237441E-2</v>
      </c>
      <c r="AQ676" s="22">
        <f t="shared" si="147"/>
        <v>9.4361579611283539E-2</v>
      </c>
      <c r="AR676" s="22">
        <f t="shared" si="147"/>
        <v>9.4466046250465022E-2</v>
      </c>
      <c r="AS676" s="22">
        <f t="shared" si="147"/>
        <v>9.4474196731536342E-2</v>
      </c>
      <c r="AT676" s="22">
        <f t="shared" si="147"/>
        <v>9.4489595697509143E-2</v>
      </c>
      <c r="AU676" s="22">
        <f t="shared" si="147"/>
        <v>9.4511982833060726E-2</v>
      </c>
      <c r="AV676" s="22">
        <f t="shared" si="147"/>
        <v>9.4541113756464096E-2</v>
      </c>
      <c r="AW676" s="22">
        <f t="shared" si="147"/>
        <v>9.4576758785176129E-2</v>
      </c>
      <c r="AY676" s="85"/>
      <c r="AZ676" s="85"/>
    </row>
    <row r="677" spans="1:52" x14ac:dyDescent="0.25">
      <c r="A677" s="102" t="str">
        <f t="shared" si="133"/>
        <v>NI Organic</v>
      </c>
      <c r="B677" s="102" t="s">
        <v>970</v>
      </c>
      <c r="C677" s="102" t="s">
        <v>1128</v>
      </c>
      <c r="D677" t="s">
        <v>369</v>
      </c>
      <c r="E677" t="s">
        <v>55</v>
      </c>
      <c r="F677" t="s">
        <v>421</v>
      </c>
      <c r="G677" t="s">
        <v>1173</v>
      </c>
      <c r="H677" t="s">
        <v>1174</v>
      </c>
      <c r="I677" t="s">
        <v>139</v>
      </c>
      <c r="J677" t="s">
        <v>287</v>
      </c>
      <c r="K677" s="22">
        <f t="shared" ref="K677:Z678" si="148">K1476</f>
        <v>0</v>
      </c>
      <c r="L677" s="22">
        <f t="shared" si="148"/>
        <v>0</v>
      </c>
      <c r="M677" s="22">
        <f t="shared" si="148"/>
        <v>0</v>
      </c>
      <c r="N677" s="22">
        <f t="shared" si="148"/>
        <v>0</v>
      </c>
      <c r="O677" s="22">
        <f t="shared" si="148"/>
        <v>0</v>
      </c>
      <c r="P677" s="22">
        <f t="shared" si="148"/>
        <v>0</v>
      </c>
      <c r="Q677" s="22">
        <f t="shared" si="148"/>
        <v>0</v>
      </c>
      <c r="R677" s="22">
        <f t="shared" si="148"/>
        <v>0</v>
      </c>
      <c r="S677" s="22">
        <f t="shared" si="148"/>
        <v>0</v>
      </c>
      <c r="T677" s="22">
        <f t="shared" si="148"/>
        <v>0</v>
      </c>
      <c r="U677" s="22">
        <f t="shared" si="148"/>
        <v>0</v>
      </c>
      <c r="V677" s="22">
        <f t="shared" si="148"/>
        <v>0</v>
      </c>
      <c r="W677" s="22">
        <f t="shared" si="148"/>
        <v>0</v>
      </c>
      <c r="X677" s="22">
        <f t="shared" si="148"/>
        <v>0</v>
      </c>
      <c r="Y677" s="22">
        <f t="shared" si="148"/>
        <v>0</v>
      </c>
      <c r="Z677" s="22">
        <f t="shared" si="148"/>
        <v>0</v>
      </c>
      <c r="AA677" s="22">
        <f t="shared" si="147"/>
        <v>0</v>
      </c>
      <c r="AB677" s="22">
        <f t="shared" si="147"/>
        <v>0</v>
      </c>
      <c r="AC677" s="22">
        <f t="shared" si="147"/>
        <v>0</v>
      </c>
      <c r="AD677" s="22">
        <f t="shared" si="147"/>
        <v>0</v>
      </c>
      <c r="AE677" s="22">
        <f t="shared" si="147"/>
        <v>0</v>
      </c>
      <c r="AF677" s="22">
        <f t="shared" si="147"/>
        <v>0</v>
      </c>
      <c r="AG677" s="22">
        <f t="shared" si="147"/>
        <v>0</v>
      </c>
      <c r="AH677" s="22">
        <f t="shared" si="147"/>
        <v>0</v>
      </c>
      <c r="AI677" s="22">
        <f t="shared" si="147"/>
        <v>0</v>
      </c>
      <c r="AJ677" s="22">
        <f t="shared" si="147"/>
        <v>0</v>
      </c>
      <c r="AK677" s="22">
        <f t="shared" si="147"/>
        <v>0</v>
      </c>
      <c r="AL677" s="22">
        <f t="shared" si="147"/>
        <v>0</v>
      </c>
      <c r="AM677" s="22">
        <f t="shared" si="147"/>
        <v>0</v>
      </c>
      <c r="AN677" s="22">
        <f t="shared" si="147"/>
        <v>0</v>
      </c>
      <c r="AO677" s="22">
        <f t="shared" si="147"/>
        <v>0</v>
      </c>
      <c r="AP677" s="22">
        <f t="shared" si="147"/>
        <v>0</v>
      </c>
      <c r="AQ677" s="22">
        <f t="shared" si="147"/>
        <v>0</v>
      </c>
      <c r="AR677" s="22">
        <f t="shared" si="147"/>
        <v>0</v>
      </c>
      <c r="AS677" s="22">
        <f t="shared" si="147"/>
        <v>0</v>
      </c>
      <c r="AT677" s="22">
        <f t="shared" si="147"/>
        <v>0</v>
      </c>
      <c r="AU677" s="22">
        <f t="shared" si="147"/>
        <v>0</v>
      </c>
      <c r="AV677" s="22">
        <f t="shared" si="147"/>
        <v>0</v>
      </c>
      <c r="AW677" s="22">
        <f t="shared" si="147"/>
        <v>0</v>
      </c>
      <c r="AY677" s="85"/>
      <c r="AZ677" s="85"/>
    </row>
    <row r="678" spans="1:52" x14ac:dyDescent="0.25">
      <c r="A678" s="102" t="str">
        <f t="shared" ref="A678:A730" si="149">B678&amp;" "&amp;C678</f>
        <v>NI Organic</v>
      </c>
      <c r="B678" s="102" t="s">
        <v>970</v>
      </c>
      <c r="C678" s="102" t="s">
        <v>1128</v>
      </c>
      <c r="D678" t="s">
        <v>369</v>
      </c>
      <c r="E678" t="s">
        <v>55</v>
      </c>
      <c r="F678" t="s">
        <v>421</v>
      </c>
      <c r="G678" t="s">
        <v>1175</v>
      </c>
      <c r="H678" t="s">
        <v>1176</v>
      </c>
      <c r="I678" t="s">
        <v>139</v>
      </c>
      <c r="J678" t="s">
        <v>287</v>
      </c>
      <c r="K678" s="22">
        <f t="shared" si="148"/>
        <v>0</v>
      </c>
      <c r="L678" s="22">
        <f t="shared" si="147"/>
        <v>0</v>
      </c>
      <c r="M678" s="22">
        <f t="shared" si="147"/>
        <v>0</v>
      </c>
      <c r="N678" s="22">
        <f t="shared" si="147"/>
        <v>0</v>
      </c>
      <c r="O678" s="22">
        <f t="shared" si="147"/>
        <v>0</v>
      </c>
      <c r="P678" s="22">
        <f t="shared" si="147"/>
        <v>0</v>
      </c>
      <c r="Q678" s="22">
        <f t="shared" si="147"/>
        <v>0</v>
      </c>
      <c r="R678" s="22">
        <f t="shared" si="147"/>
        <v>0</v>
      </c>
      <c r="S678" s="22">
        <f t="shared" si="147"/>
        <v>0</v>
      </c>
      <c r="T678" s="22">
        <f t="shared" si="147"/>
        <v>0</v>
      </c>
      <c r="U678" s="22">
        <f t="shared" si="147"/>
        <v>0</v>
      </c>
      <c r="V678" s="22">
        <f t="shared" si="147"/>
        <v>0</v>
      </c>
      <c r="W678" s="22">
        <f t="shared" si="147"/>
        <v>0</v>
      </c>
      <c r="X678" s="22">
        <f t="shared" si="147"/>
        <v>0</v>
      </c>
      <c r="Y678" s="22">
        <f t="shared" si="147"/>
        <v>0</v>
      </c>
      <c r="Z678" s="22">
        <f t="shared" si="147"/>
        <v>0</v>
      </c>
      <c r="AA678" s="22">
        <f t="shared" si="147"/>
        <v>0</v>
      </c>
      <c r="AB678" s="22">
        <f t="shared" si="147"/>
        <v>0</v>
      </c>
      <c r="AC678" s="22">
        <f t="shared" si="147"/>
        <v>0</v>
      </c>
      <c r="AD678" s="22">
        <f t="shared" si="147"/>
        <v>0</v>
      </c>
      <c r="AE678" s="22">
        <f t="shared" si="147"/>
        <v>0</v>
      </c>
      <c r="AF678" s="22">
        <f t="shared" si="147"/>
        <v>0</v>
      </c>
      <c r="AG678" s="22">
        <f t="shared" si="147"/>
        <v>0</v>
      </c>
      <c r="AH678" s="22">
        <f t="shared" si="147"/>
        <v>0</v>
      </c>
      <c r="AI678" s="22">
        <f t="shared" si="147"/>
        <v>0</v>
      </c>
      <c r="AJ678" s="22">
        <f t="shared" si="147"/>
        <v>0</v>
      </c>
      <c r="AK678" s="22">
        <f t="shared" si="147"/>
        <v>0</v>
      </c>
      <c r="AL678" s="22">
        <f t="shared" si="147"/>
        <v>0</v>
      </c>
      <c r="AM678" s="22">
        <f t="shared" si="147"/>
        <v>0</v>
      </c>
      <c r="AN678" s="22">
        <f t="shared" si="147"/>
        <v>0</v>
      </c>
      <c r="AO678" s="22">
        <f t="shared" si="147"/>
        <v>0</v>
      </c>
      <c r="AP678" s="22">
        <f t="shared" si="147"/>
        <v>0</v>
      </c>
      <c r="AQ678" s="22">
        <f t="shared" si="147"/>
        <v>0</v>
      </c>
      <c r="AR678" s="22">
        <f t="shared" si="147"/>
        <v>0</v>
      </c>
      <c r="AS678" s="22">
        <f t="shared" si="147"/>
        <v>0</v>
      </c>
      <c r="AT678" s="22">
        <f t="shared" si="147"/>
        <v>0</v>
      </c>
      <c r="AU678" s="22">
        <f t="shared" si="147"/>
        <v>0</v>
      </c>
      <c r="AV678" s="22">
        <f t="shared" si="147"/>
        <v>0</v>
      </c>
      <c r="AW678" s="22">
        <f t="shared" si="147"/>
        <v>0</v>
      </c>
      <c r="AY678" s="85"/>
      <c r="AZ678" s="85"/>
    </row>
    <row r="679" spans="1:52" x14ac:dyDescent="0.25">
      <c r="A679" s="102" t="str">
        <f t="shared" si="149"/>
        <v>NI Organic</v>
      </c>
      <c r="B679" s="102" t="s">
        <v>970</v>
      </c>
      <c r="C679" s="102" t="s">
        <v>1128</v>
      </c>
      <c r="D679" t="s">
        <v>369</v>
      </c>
      <c r="E679" t="s">
        <v>55</v>
      </c>
      <c r="F679" t="s">
        <v>421</v>
      </c>
      <c r="G679" t="s">
        <v>1177</v>
      </c>
      <c r="H679" t="s">
        <v>1178</v>
      </c>
      <c r="I679" t="s">
        <v>139</v>
      </c>
      <c r="J679" t="s">
        <v>287</v>
      </c>
      <c r="K679" s="101">
        <f>IF('Net zero activities &amp; levers'!$C$9="Off",'Activity data'!AD62*ManureNEF*NtoN2O*kgtoGg,IF('Net zero activities &amp; levers'!$C$9="On",(('Net zero supporting data'!B166*'Net zero supporting data'!B183)+('Net zero supporting data'!B178*ManureNEF))*NtoN2O*kgtoGg,"ERROR"))</f>
        <v>0.125581463448449</v>
      </c>
      <c r="L679" s="101">
        <f>IF('Net zero activities &amp; levers'!$C$9="Off",'Activity data'!AE62*ManureNEF*NtoN2O*kgtoGg,IF('Net zero activities &amp; levers'!$C$9="On",(('Net zero supporting data'!C166*'Net zero supporting data'!C183)+('Net zero supporting data'!C178*ManureNEF))*NtoN2O*kgtoGg,"ERROR"))</f>
        <v>0.125185082671006</v>
      </c>
      <c r="M679" s="101">
        <f>IF('Net zero activities &amp; levers'!$C$9="Off",'Activity data'!AF62*ManureNEF*NtoN2O*kgtoGg,IF('Net zero activities &amp; levers'!$C$9="On",(('Net zero supporting data'!D166*'Net zero supporting data'!D183)+('Net zero supporting data'!D178*ManureNEF))*NtoN2O*kgtoGg,"ERROR"))</f>
        <v>0.12387425442661908</v>
      </c>
      <c r="N679" s="101">
        <f>IF('Net zero activities &amp; levers'!$C$9="Off",'Activity data'!AG62*ManureNEF*NtoN2O*kgtoGg,IF('Net zero activities &amp; levers'!$C$9="On",(('Net zero supporting data'!E166*'Net zero supporting data'!E183)+('Net zero supporting data'!E178*ManureNEF))*NtoN2O*kgtoGg,"ERROR"))</f>
        <v>0.12132911183874903</v>
      </c>
      <c r="O679" s="101">
        <f>IF('Net zero activities &amp; levers'!$C$9="Off",'Activity data'!AH62*ManureNEF*NtoN2O*kgtoGg,IF('Net zero activities &amp; levers'!$C$9="On",(('Net zero supporting data'!F166*'Net zero supporting data'!F183)+('Net zero supporting data'!F178*ManureNEF))*NtoN2O*kgtoGg,"ERROR"))</f>
        <v>0.1188953282361286</v>
      </c>
      <c r="P679" s="101">
        <f>IF('Net zero activities &amp; levers'!$C$9="Off",'Activity data'!AI62*ManureNEF*NtoN2O*kgtoGg,IF('Net zero activities &amp; levers'!$C$9="On",(('Net zero supporting data'!G166*'Net zero supporting data'!G183)+('Net zero supporting data'!G178*ManureNEF))*NtoN2O*kgtoGg,"ERROR"))</f>
        <v>0.11718799777455163</v>
      </c>
      <c r="Q679" s="101">
        <f>IF('Net zero activities &amp; levers'!$C$9="Off",'Activity data'!AJ62*ManureNEF*NtoN2O*kgtoGg,IF('Net zero activities &amp; levers'!$C$9="On",(('Net zero supporting data'!H166*'Net zero supporting data'!H183)+('Net zero supporting data'!H178*ManureNEF))*NtoN2O*kgtoGg,"ERROR"))</f>
        <v>0.11574203128248971</v>
      </c>
      <c r="R679" s="101">
        <f>IF('Net zero activities &amp; levers'!$C$9="Off",'Activity data'!AK62*ManureNEF*NtoN2O*kgtoGg,IF('Net zero activities &amp; levers'!$C$9="On",(('Net zero supporting data'!I166*'Net zero supporting data'!I183)+('Net zero supporting data'!I178*ManureNEF))*NtoN2O*kgtoGg,"ERROR"))</f>
        <v>0.11307943655863528</v>
      </c>
      <c r="S679" s="101">
        <f>IF('Net zero activities &amp; levers'!$C$9="Off",'Activity data'!AL62*ManureNEF*NtoN2O*kgtoGg,IF('Net zero activities &amp; levers'!$C$9="On",(('Net zero supporting data'!J166*'Net zero supporting data'!J183)+('Net zero supporting data'!J178*ManureNEF))*NtoN2O*kgtoGg,"ERROR"))</f>
        <v>9.8992483819013391E-2</v>
      </c>
      <c r="T679" s="101">
        <f>IF('Net zero activities &amp; levers'!$C$9="Off",'Activity data'!AM62*ManureNEF*NtoN2O*kgtoGg,IF('Net zero activities &amp; levers'!$C$9="On",(('Net zero supporting data'!K166*'Net zero supporting data'!K183)+('Net zero supporting data'!K178*ManureNEF))*NtoN2O*kgtoGg,"ERROR"))</f>
        <v>9.7878163810331292E-2</v>
      </c>
      <c r="U679" s="101">
        <f>IF('Net zero activities &amp; levers'!$C$9="Off",'Activity data'!AN62*ManureNEF*NtoN2O*kgtoGg,IF('Net zero activities &amp; levers'!$C$9="On",(('Net zero supporting data'!L166*'Net zero supporting data'!L183)+('Net zero supporting data'!L178*ManureNEF))*NtoN2O*kgtoGg,"ERROR"))</f>
        <v>9.6439496037713554E-2</v>
      </c>
      <c r="V679" s="101">
        <f>IF('Net zero activities &amp; levers'!$C$9="Off",'Activity data'!AO62*ManureNEF*NtoN2O*kgtoGg,IF('Net zero activities &amp; levers'!$C$9="On",(('Net zero supporting data'!M166*'Net zero supporting data'!M183)+('Net zero supporting data'!M178*ManureNEF))*NtoN2O*kgtoGg,"ERROR"))</f>
        <v>9.498145806527139E-2</v>
      </c>
      <c r="W679" s="101">
        <f>IF('Net zero activities &amp; levers'!$C$9="Off",'Activity data'!AP62*ManureNEF*NtoN2O*kgtoGg,IF('Net zero activities &amp; levers'!$C$9="On",(('Net zero supporting data'!N166*'Net zero supporting data'!N183)+('Net zero supporting data'!N178*ManureNEF))*NtoN2O*kgtoGg,"ERROR"))</f>
        <v>9.3924528133569357E-2</v>
      </c>
      <c r="X679" s="101">
        <f>IF('Net zero activities &amp; levers'!$C$9="Off",'Activity data'!AQ62*ManureNEF*NtoN2O*kgtoGg,IF('Net zero activities &amp; levers'!$C$9="On",(('Net zero supporting data'!O166*'Net zero supporting data'!O183)+('Net zero supporting data'!O178*ManureNEF))*NtoN2O*kgtoGg,"ERROR"))</f>
        <v>9.2818351606230406E-2</v>
      </c>
      <c r="Y679" s="101">
        <f>IF('Net zero activities &amp; levers'!$C$9="Off",'Activity data'!AR62*ManureNEF*NtoN2O*kgtoGg,IF('Net zero activities &amp; levers'!$C$9="On",(('Net zero supporting data'!P166*'Net zero supporting data'!P183)+('Net zero supporting data'!P178*ManureNEF))*NtoN2O*kgtoGg,"ERROR"))</f>
        <v>9.1782314667400638E-2</v>
      </c>
      <c r="Z679" s="101">
        <f>IF('Net zero activities &amp; levers'!$C$9="Off",'Activity data'!AS62*ManureNEF*NtoN2O*kgtoGg,IF('Net zero activities &amp; levers'!$C$9="On",(('Net zero supporting data'!Q166*'Net zero supporting data'!Q183)+('Net zero supporting data'!Q178*ManureNEF))*NtoN2O*kgtoGg,"ERROR"))</f>
        <v>9.0599986982150507E-2</v>
      </c>
      <c r="AA679" s="101">
        <f>IF('Net zero activities &amp; levers'!$C$9="Off",'Activity data'!AT62*ManureNEF*NtoN2O*kgtoGg,IF('Net zero activities &amp; levers'!$C$9="On",(('Net zero supporting data'!R166*'Net zero supporting data'!R183)+('Net zero supporting data'!R178*ManureNEF))*NtoN2O*kgtoGg,"ERROR"))</f>
        <v>8.9514315198030894E-2</v>
      </c>
      <c r="AB679" s="101">
        <f>IF('Net zero activities &amp; levers'!$C$9="Off",'Activity data'!AU62*ManureNEF*NtoN2O*kgtoGg,IF('Net zero activities &amp; levers'!$C$9="On",(('Net zero supporting data'!S166*'Net zero supporting data'!S183)+('Net zero supporting data'!S178*ManureNEF))*NtoN2O*kgtoGg,"ERROR"))</f>
        <v>8.8207087591826577E-2</v>
      </c>
      <c r="AC679" s="101">
        <f>IF('Net zero activities &amp; levers'!$C$9="Off",'Activity data'!AV62*ManureNEF*NtoN2O*kgtoGg,IF('Net zero activities &amp; levers'!$C$9="On",(('Net zero supporting data'!T166*'Net zero supporting data'!T183)+('Net zero supporting data'!T178*ManureNEF))*NtoN2O*kgtoGg,"ERROR"))</f>
        <v>8.6904638260872275E-2</v>
      </c>
      <c r="AD679" s="101">
        <f>IF('Net zero activities &amp; levers'!$C$9="Off",'Activity data'!AW62*ManureNEF*NtoN2O*kgtoGg,IF('Net zero activities &amp; levers'!$C$9="On",(('Net zero supporting data'!U166*'Net zero supporting data'!U183)+('Net zero supporting data'!U178*ManureNEF))*NtoN2O*kgtoGg,"ERROR"))</f>
        <v>8.6017566045227228E-2</v>
      </c>
      <c r="AE679" s="101">
        <f>IF('Net zero activities &amp; levers'!$C$9="Off",'Activity data'!AX62*ManureNEF*NtoN2O*kgtoGg,IF('Net zero activities &amp; levers'!$C$9="On",(('Net zero supporting data'!V166*'Net zero supporting data'!V183)+('Net zero supporting data'!V178*ManureNEF))*NtoN2O*kgtoGg,"ERROR"))</f>
        <v>8.5246380885748471E-2</v>
      </c>
      <c r="AF679" s="101">
        <f>IF('Net zero activities &amp; levers'!$C$9="Off",'Activity data'!AY62*ManureNEF*NtoN2O*kgtoGg,IF('Net zero activities &amp; levers'!$C$9="On",(('Net zero supporting data'!W166*'Net zero supporting data'!W183)+('Net zero supporting data'!W178*ManureNEF))*NtoN2O*kgtoGg,"ERROR"))</f>
        <v>8.4463986888376308E-2</v>
      </c>
      <c r="AG679" s="101">
        <f>IF('Net zero activities &amp; levers'!$C$9="Off",'Activity data'!AZ62*ManureNEF*NtoN2O*kgtoGg,IF('Net zero activities &amp; levers'!$C$9="On",(('Net zero supporting data'!X166*'Net zero supporting data'!X183)+('Net zero supporting data'!X178*ManureNEF))*NtoN2O*kgtoGg,"ERROR"))</f>
        <v>8.1335704732833858E-2</v>
      </c>
      <c r="AH679" s="101">
        <f>IF('Net zero activities &amp; levers'!$C$9="Off",'Activity data'!BA62*ManureNEF*NtoN2O*kgtoGg,IF('Net zero activities &amp; levers'!$C$9="On",(('Net zero supporting data'!Y166*'Net zero supporting data'!Y183)+('Net zero supporting data'!Y178*ManureNEF))*NtoN2O*kgtoGg,"ERROR"))</f>
        <v>-2.6807171051590035E-2</v>
      </c>
      <c r="AI679" s="101">
        <f>IF('Net zero activities &amp; levers'!$C$9="Off",'Activity data'!BB62*ManureNEF*NtoN2O*kgtoGg,IF('Net zero activities &amp; levers'!$C$9="On",(('Net zero supporting data'!Z166*'Net zero supporting data'!Z183)+('Net zero supporting data'!Z178*ManureNEF))*NtoN2O*kgtoGg,"ERROR"))</f>
        <v>-2.5884799467379122E-2</v>
      </c>
      <c r="AJ679" s="101">
        <f>IF('Net zero activities &amp; levers'!$C$9="Off",'Activity data'!BC62*ManureNEF*NtoN2O*kgtoGg,IF('Net zero activities &amp; levers'!$C$9="On",(('Net zero supporting data'!AA166*'Net zero supporting data'!AA183)+('Net zero supporting data'!AA178*ManureNEF))*NtoN2O*kgtoGg,"ERROR"))</f>
        <v>-2.498232619849948E-2</v>
      </c>
      <c r="AK679" s="101">
        <f>IF('Net zero activities &amp; levers'!$C$9="Off",'Activity data'!BD62*ManureNEF*NtoN2O*kgtoGg,IF('Net zero activities &amp; levers'!$C$9="On",(('Net zero supporting data'!AB166*'Net zero supporting data'!AB183)+('Net zero supporting data'!AB178*ManureNEF))*NtoN2O*kgtoGg,"ERROR"))</f>
        <v>-2.409892254280754E-2</v>
      </c>
      <c r="AL679" s="101">
        <f>IF('Net zero activities &amp; levers'!$C$9="Off",'Activity data'!BE62*ManureNEF*NtoN2O*kgtoGg,IF('Net zero activities &amp; levers'!$C$9="On",(('Net zero supporting data'!AC166*'Net zero supporting data'!AC183)+('Net zero supporting data'!AC178*ManureNEF))*NtoN2O*kgtoGg,"ERROR"))</f>
        <v>-2.3233826023379849E-2</v>
      </c>
      <c r="AM679" s="101">
        <f>IF('Net zero activities &amp; levers'!$C$9="Off",'Activity data'!BF62*ManureNEF*NtoN2O*kgtoGg,IF('Net zero activities &amp; levers'!$C$9="On",(('Net zero supporting data'!AD166*'Net zero supporting data'!AD183)+('Net zero supporting data'!AD178*ManureNEF))*NtoN2O*kgtoGg,"ERROR"))</f>
        <v>-2.238633425521391E-2</v>
      </c>
      <c r="AN679" s="101">
        <f>IF('Net zero activities &amp; levers'!$C$9="Off",'Activity data'!BG62*ManureNEF*NtoN2O*kgtoGg,IF('Net zero activities &amp; levers'!$C$9="On",(('Net zero supporting data'!AE166*'Net zero supporting data'!AE183)+('Net zero supporting data'!AE178*ManureNEF))*NtoN2O*kgtoGg,"ERROR"))</f>
        <v>-2.2124895075866603E-2</v>
      </c>
      <c r="AO679" s="101">
        <f>IF('Net zero activities &amp; levers'!$C$9="Off",'Activity data'!BH62*ManureNEF*NtoN2O*kgtoGg,IF('Net zero activities &amp; levers'!$C$9="On",(('Net zero supporting data'!AF166*'Net zero supporting data'!AF183)+('Net zero supporting data'!AF178*ManureNEF))*NtoN2O*kgtoGg,"ERROR"))</f>
        <v>-2.1868065438391465E-2</v>
      </c>
      <c r="AP679" s="101">
        <f>IF('Net zero activities &amp; levers'!$C$9="Off",'Activity data'!BI62*ManureNEF*NtoN2O*kgtoGg,IF('Net zero activities &amp; levers'!$C$9="On",(('Net zero supporting data'!AG166*'Net zero supporting data'!AG183)+('Net zero supporting data'!AG178*ManureNEF))*NtoN2O*kgtoGg,"ERROR"))</f>
        <v>-2.1615576124460897E-2</v>
      </c>
      <c r="AQ679" s="101">
        <f>IF('Net zero activities &amp; levers'!$C$9="Off",'Activity data'!BJ62*ManureNEF*NtoN2O*kgtoGg,IF('Net zero activities &amp; levers'!$C$9="On",(('Net zero supporting data'!AH166*'Net zero supporting data'!AH183)+('Net zero supporting data'!AH178*ManureNEF))*NtoN2O*kgtoGg,"ERROR"))</f>
        <v>-2.1367175500493295E-2</v>
      </c>
      <c r="AR679" s="101">
        <f>IF('Net zero activities &amp; levers'!$C$9="Off",'Activity data'!BK62*ManureNEF*NtoN2O*kgtoGg,IF('Net zero activities &amp; levers'!$C$9="On",(('Net zero supporting data'!AI166*'Net zero supporting data'!AI183)+('Net zero supporting data'!AI178*ManureNEF))*NtoN2O*kgtoGg,"ERROR"))</f>
        <v>-2.112262799828659E-2</v>
      </c>
      <c r="AS679" s="101">
        <f>IF('Net zero activities &amp; levers'!$C$9="Off",'Activity data'!BL62*ManureNEF*NtoN2O*kgtoGg,IF('Net zero activities &amp; levers'!$C$9="On",(('Net zero supporting data'!AJ166*'Net zero supporting data'!AJ183)+('Net zero supporting data'!AJ178*ManureNEF))*NtoN2O*kgtoGg,"ERROR"))</f>
        <v>-2.0856125968007257E-2</v>
      </c>
      <c r="AT679" s="101">
        <f>IF('Net zero activities &amp; levers'!$C$9="Off",'Activity data'!BM62*ManureNEF*NtoN2O*kgtoGg,IF('Net zero activities &amp; levers'!$C$9="On",(('Net zero supporting data'!AK166*'Net zero supporting data'!AK183)+('Net zero supporting data'!AK178*ManureNEF))*NtoN2O*kgtoGg,"ERROR"))</f>
        <v>-2.0593694392787895E-2</v>
      </c>
      <c r="AU679" s="101">
        <f>IF('Net zero activities &amp; levers'!$C$9="Off",'Activity data'!BN62*ManureNEF*NtoN2O*kgtoGg,IF('Net zero activities &amp; levers'!$C$9="On",(('Net zero supporting data'!AL166*'Net zero supporting data'!AL183)+('Net zero supporting data'!AL178*ManureNEF))*NtoN2O*kgtoGg,"ERROR"))</f>
        <v>-2.0335123751405112E-2</v>
      </c>
      <c r="AV679" s="101">
        <f>IF('Net zero activities &amp; levers'!$C$9="Off",'Activity data'!BO62*ManureNEF*NtoN2O*kgtoGg,IF('Net zero activities &amp; levers'!$C$9="On",(('Net zero supporting data'!AM166*'Net zero supporting data'!AM183)+('Net zero supporting data'!AM178*ManureNEF))*NtoN2O*kgtoGg,"ERROR"))</f>
        <v>-2.0080216901882567E-2</v>
      </c>
      <c r="AW679" s="101">
        <f>IF('Net zero activities &amp; levers'!$C$9="Off",'Activity data'!BP62*ManureNEF*NtoN2O*kgtoGg,IF('Net zero activities &amp; levers'!$C$9="On",(('Net zero supporting data'!AN166*'Net zero supporting data'!AN183)+('Net zero supporting data'!AN178*ManureNEF))*NtoN2O*kgtoGg,"ERROR"))</f>
        <v>-1.9828788116316803E-2</v>
      </c>
      <c r="AY679" s="85"/>
      <c r="AZ679" s="85"/>
    </row>
    <row r="680" spans="1:52" x14ac:dyDescent="0.25">
      <c r="A680" s="102" t="str">
        <f t="shared" si="149"/>
        <v>NI Organic</v>
      </c>
      <c r="B680" s="102" t="s">
        <v>970</v>
      </c>
      <c r="C680" s="102" t="s">
        <v>1128</v>
      </c>
      <c r="D680" t="s">
        <v>369</v>
      </c>
      <c r="E680" t="s">
        <v>55</v>
      </c>
      <c r="F680" t="s">
        <v>421</v>
      </c>
      <c r="G680" t="s">
        <v>1179</v>
      </c>
      <c r="H680" t="s">
        <v>1180</v>
      </c>
      <c r="I680" t="s">
        <v>139</v>
      </c>
      <c r="J680" t="s">
        <v>287</v>
      </c>
      <c r="K680" s="22">
        <f>K1479</f>
        <v>3.1860496839281362E-2</v>
      </c>
      <c r="L680" s="22">
        <f t="shared" ref="L680:AW680" si="150">L1479</f>
        <v>3.1759933522370665E-2</v>
      </c>
      <c r="M680" s="22">
        <f t="shared" si="150"/>
        <v>3.1427371391063171E-2</v>
      </c>
      <c r="N680" s="22">
        <f t="shared" si="150"/>
        <v>3.0781658997293845E-2</v>
      </c>
      <c r="O680" s="22">
        <f t="shared" si="150"/>
        <v>3.0164198803332858E-2</v>
      </c>
      <c r="P680" s="22">
        <f t="shared" si="150"/>
        <v>2.973104254538711E-2</v>
      </c>
      <c r="Q680" s="22">
        <f t="shared" si="150"/>
        <v>2.9364195324587221E-2</v>
      </c>
      <c r="R680" s="22">
        <f t="shared" si="150"/>
        <v>2.8688684875400002E-2</v>
      </c>
      <c r="S680" s="22">
        <f t="shared" si="150"/>
        <v>2.5114771171009475E-2</v>
      </c>
      <c r="T680" s="22">
        <f t="shared" si="150"/>
        <v>2.5274365322659843E-2</v>
      </c>
      <c r="U680" s="22">
        <f t="shared" si="150"/>
        <v>2.535447504840236E-2</v>
      </c>
      <c r="V680" s="22">
        <f t="shared" si="150"/>
        <v>2.5432357382837084E-2</v>
      </c>
      <c r="W680" s="22">
        <f t="shared" si="150"/>
        <v>2.562259296820359E-2</v>
      </c>
      <c r="X680" s="22">
        <f t="shared" si="150"/>
        <v>2.5806433152052291E-2</v>
      </c>
      <c r="Y680" s="22">
        <f t="shared" si="150"/>
        <v>2.6017344942475328E-2</v>
      </c>
      <c r="Z680" s="22">
        <f t="shared" si="150"/>
        <v>2.6194373418542003E-2</v>
      </c>
      <c r="AA680" s="22">
        <f t="shared" si="150"/>
        <v>2.6407120461913867E-2</v>
      </c>
      <c r="AB680" s="22">
        <f t="shared" si="150"/>
        <v>2.6561988084979515E-2</v>
      </c>
      <c r="AC680" s="22">
        <f t="shared" si="150"/>
        <v>2.6724895263784808E-2</v>
      </c>
      <c r="AD680" s="22">
        <f t="shared" si="150"/>
        <v>2.7025368401261952E-2</v>
      </c>
      <c r="AE680" s="22">
        <f t="shared" si="150"/>
        <v>2.7376370081148127E-2</v>
      </c>
      <c r="AF680" s="22">
        <f t="shared" si="150"/>
        <v>2.7739593552385582E-2</v>
      </c>
      <c r="AG680" s="22">
        <f t="shared" si="150"/>
        <v>2.7331362768575094E-2</v>
      </c>
      <c r="AH680" s="22">
        <f t="shared" si="150"/>
        <v>-9.2218056478478912E-3</v>
      </c>
      <c r="AI680" s="22">
        <f t="shared" si="150"/>
        <v>-9.1209339890003793E-3</v>
      </c>
      <c r="AJ680" s="22">
        <f t="shared" si="150"/>
        <v>-9.0222228575924188E-3</v>
      </c>
      <c r="AK680" s="22">
        <f t="shared" si="150"/>
        <v>-8.9255309146344646E-3</v>
      </c>
      <c r="AL680" s="22">
        <f t="shared" si="150"/>
        <v>-8.8307271699938471E-3</v>
      </c>
      <c r="AM680" s="22">
        <f t="shared" si="150"/>
        <v>-8.7376899816002714E-3</v>
      </c>
      <c r="AN680" s="22">
        <f t="shared" si="150"/>
        <v>-8.6356467228810053E-3</v>
      </c>
      <c r="AO680" s="22">
        <f t="shared" si="150"/>
        <v>-8.5354026308934166E-3</v>
      </c>
      <c r="AP680" s="22">
        <f t="shared" si="150"/>
        <v>-8.436852626071684E-3</v>
      </c>
      <c r="AQ680" s="22">
        <f t="shared" si="150"/>
        <v>-8.3398984924149214E-3</v>
      </c>
      <c r="AR680" s="22">
        <f t="shared" si="150"/>
        <v>-8.2444482844578407E-3</v>
      </c>
      <c r="AS680" s="22">
        <f t="shared" si="150"/>
        <v>-8.1404289263306579E-3</v>
      </c>
      <c r="AT680" s="22">
        <f t="shared" si="150"/>
        <v>-8.0379983220384144E-3</v>
      </c>
      <c r="AU680" s="22">
        <f t="shared" si="150"/>
        <v>-7.9370746926049739E-3</v>
      </c>
      <c r="AV680" s="22">
        <f t="shared" si="150"/>
        <v>-7.8375810908422969E-3</v>
      </c>
      <c r="AW680" s="22">
        <f t="shared" si="150"/>
        <v>-7.7394450246298409E-3</v>
      </c>
      <c r="AY680" s="85"/>
      <c r="AZ680" s="85"/>
    </row>
    <row r="681" spans="1:52" x14ac:dyDescent="0.25">
      <c r="A681" s="102" t="str">
        <f t="shared" si="149"/>
        <v>NI Organic</v>
      </c>
      <c r="B681" s="102" t="s">
        <v>970</v>
      </c>
      <c r="C681" s="102" t="s">
        <v>1128</v>
      </c>
      <c r="D681" t="s">
        <v>369</v>
      </c>
      <c r="E681" t="s">
        <v>55</v>
      </c>
      <c r="F681" t="s">
        <v>421</v>
      </c>
      <c r="G681" t="s">
        <v>1181</v>
      </c>
      <c r="H681" t="s">
        <v>1182</v>
      </c>
      <c r="I681" t="s">
        <v>139</v>
      </c>
      <c r="J681" t="s">
        <v>287</v>
      </c>
      <c r="K681" s="101">
        <f>IF('Net zero activities &amp; levers'!$C$9="Off",'Activity data'!AD64*ManureNEF*NtoN2O*kgtoGg,IF('Net zero activities &amp; levers'!$C$9="On",(('Net zero supporting data'!B167*'Net zero supporting data'!B183)+('Net zero supporting data'!B179*ManureNEF))*NtoN2O*kgtoGg,"ERROR"))</f>
        <v>0.1578659423422277</v>
      </c>
      <c r="L681" s="101">
        <f>IF('Net zero activities &amp; levers'!$C$9="Off",'Activity data'!AE64*ManureNEF*NtoN2O*kgtoGg,IF('Net zero activities &amp; levers'!$C$9="On",(('Net zero supporting data'!C167*'Net zero supporting data'!C183)+('Net zero supporting data'!C179*ManureNEF))*NtoN2O*kgtoGg,"ERROR"))</f>
        <v>0.16128463868664497</v>
      </c>
      <c r="M681" s="101">
        <f>IF('Net zero activities &amp; levers'!$C$9="Off",'Activity data'!AF64*ManureNEF*NtoN2O*kgtoGg,IF('Net zero activities &amp; levers'!$C$9="On",(('Net zero supporting data'!D167*'Net zero supporting data'!D183)+('Net zero supporting data'!D179*ManureNEF))*NtoN2O*kgtoGg,"ERROR"))</f>
        <v>0.16403927917478689</v>
      </c>
      <c r="N681" s="101">
        <f>IF('Net zero activities &amp; levers'!$C$9="Off",'Activity data'!AG64*ManureNEF*NtoN2O*kgtoGg,IF('Net zero activities &amp; levers'!$C$9="On",(('Net zero supporting data'!E167*'Net zero supporting data'!E183)+('Net zero supporting data'!E179*ManureNEF))*NtoN2O*kgtoGg,"ERROR"))</f>
        <v>0.16583912134746412</v>
      </c>
      <c r="O681" s="101">
        <f>IF('Net zero activities &amp; levers'!$C$9="Off",'Activity data'!AH64*ManureNEF*NtoN2O*kgtoGg,IF('Net zero activities &amp; levers'!$C$9="On",(('Net zero supporting data'!F167*'Net zero supporting data'!F183)+('Net zero supporting data'!F179*ManureNEF))*NtoN2O*kgtoGg,"ERROR"))</f>
        <v>0.16766339315982179</v>
      </c>
      <c r="P681" s="101">
        <f>IF('Net zero activities &amp; levers'!$C$9="Off",'Activity data'!AI64*ManureNEF*NtoN2O*kgtoGg,IF('Net zero activities &amp; levers'!$C$9="On",(('Net zero supporting data'!G167*'Net zero supporting data'!G183)+('Net zero supporting data'!G179*ManureNEF))*NtoN2O*kgtoGg,"ERROR"))</f>
        <v>0.17001522372192687</v>
      </c>
      <c r="Q681" s="101">
        <f>IF('Net zero activities &amp; levers'!$C$9="Off",'Activity data'!AJ64*ManureNEF*NtoN2O*kgtoGg,IF('Net zero activities &amp; levers'!$C$9="On",(('Net zero supporting data'!H167*'Net zero supporting data'!H183)+('Net zero supporting data'!H179*ManureNEF))*NtoN2O*kgtoGg,"ERROR"))</f>
        <v>0.17253027929477446</v>
      </c>
      <c r="R681" s="101">
        <f>IF('Net zero activities &amp; levers'!$C$9="Off",'Activity data'!AK64*ManureNEF*NtoN2O*kgtoGg,IF('Net zero activities &amp; levers'!$C$9="On",(('Net zero supporting data'!I167*'Net zero supporting data'!I183)+('Net zero supporting data'!I179*ManureNEF))*NtoN2O*kgtoGg,"ERROR"))</f>
        <v>0.17399291850067305</v>
      </c>
      <c r="S681" s="101">
        <f>IF('Net zero activities &amp; levers'!$C$9="Off",'Activity data'!AL64*ManureNEF*NtoN2O*kgtoGg,IF('Net zero activities &amp; levers'!$C$9="On",(('Net zero supporting data'!J167*'Net zero supporting data'!J183)+('Net zero supporting data'!J179*ManureNEF))*NtoN2O*kgtoGg,"ERROR"))</f>
        <v>0.16557860027053409</v>
      </c>
      <c r="T681" s="101">
        <f>IF('Net zero activities &amp; levers'!$C$9="Off",'Activity data'!AM64*ManureNEF*NtoN2O*kgtoGg,IF('Net zero activities &amp; levers'!$C$9="On",(('Net zero supporting data'!K167*'Net zero supporting data'!K183)+('Net zero supporting data'!K179*ManureNEF))*NtoN2O*kgtoGg,"ERROR"))</f>
        <v>0.16617351559356835</v>
      </c>
      <c r="U681" s="101">
        <f>IF('Net zero activities &amp; levers'!$C$9="Off",'Activity data'!AN64*ManureNEF*NtoN2O*kgtoGg,IF('Net zero activities &amp; levers'!$C$9="On",(('Net zero supporting data'!L167*'Net zero supporting data'!L183)+('Net zero supporting data'!L179*ManureNEF))*NtoN2O*kgtoGg,"ERROR"))</f>
        <v>0.16641589771257903</v>
      </c>
      <c r="V681" s="101">
        <f>IF('Net zero activities &amp; levers'!$C$9="Off",'Activity data'!AO64*ManureNEF*NtoN2O*kgtoGg,IF('Net zero activities &amp; levers'!$C$9="On",(('Net zero supporting data'!M167*'Net zero supporting data'!M183)+('Net zero supporting data'!M179*ManureNEF))*NtoN2O*kgtoGg,"ERROR"))</f>
        <v>0.16656695862434875</v>
      </c>
      <c r="W681" s="101">
        <f>IF('Net zero activities &amp; levers'!$C$9="Off",'Activity data'!AP64*ManureNEF*NtoN2O*kgtoGg,IF('Net zero activities &amp; levers'!$C$9="On",(('Net zero supporting data'!N167*'Net zero supporting data'!N183)+('Net zero supporting data'!N179*ManureNEF))*NtoN2O*kgtoGg,"ERROR"))</f>
        <v>0.167020654536883</v>
      </c>
      <c r="X681" s="101">
        <f>IF('Net zero activities &amp; levers'!$C$9="Off",'Activity data'!AQ64*ManureNEF*NtoN2O*kgtoGg,IF('Net zero activities &amp; levers'!$C$9="On",(('Net zero supporting data'!O167*'Net zero supporting data'!O183)+('Net zero supporting data'!O179*ManureNEF))*NtoN2O*kgtoGg,"ERROR"))</f>
        <v>0.16737026812648881</v>
      </c>
      <c r="Y681" s="101">
        <f>IF('Net zero activities &amp; levers'!$C$9="Off",'Activity data'!AR64*ManureNEF*NtoN2O*kgtoGg,IF('Net zero activities &amp; levers'!$C$9="On",(('Net zero supporting data'!P167*'Net zero supporting data'!P183)+('Net zero supporting data'!P179*ManureNEF))*NtoN2O*kgtoGg,"ERROR"))</f>
        <v>0.16759027706967292</v>
      </c>
      <c r="Z681" s="101">
        <f>IF('Net zero activities &amp; levers'!$C$9="Off",'Activity data'!AS64*ManureNEF*NtoN2O*kgtoGg,IF('Net zero activities &amp; levers'!$C$9="On",(('Net zero supporting data'!Q167*'Net zero supporting data'!Q183)+('Net zero supporting data'!Q179*ManureNEF))*NtoN2O*kgtoGg,"ERROR"))</f>
        <v>0.16761129637404976</v>
      </c>
      <c r="AA681" s="101">
        <f>IF('Net zero activities &amp; levers'!$C$9="Off",'Activity data'!AT64*ManureNEF*NtoN2O*kgtoGg,IF('Net zero activities &amp; levers'!$C$9="On",(('Net zero supporting data'!R167*'Net zero supporting data'!R183)+('Net zero supporting data'!R179*ManureNEF))*NtoN2O*kgtoGg,"ERROR"))</f>
        <v>0.16767253702651003</v>
      </c>
      <c r="AB681" s="101">
        <f>IF('Net zero activities &amp; levers'!$C$9="Off",'Activity data'!AU64*ManureNEF*NtoN2O*kgtoGg,IF('Net zero activities &amp; levers'!$C$9="On",(('Net zero supporting data'!S167*'Net zero supporting data'!S183)+('Net zero supporting data'!S179*ManureNEF))*NtoN2O*kgtoGg,"ERROR"))</f>
        <v>0.16744871680322992</v>
      </c>
      <c r="AC681" s="101">
        <f>IF('Net zero activities &amp; levers'!$C$9="Off",'Activity data'!AV64*ManureNEF*NtoN2O*kgtoGg,IF('Net zero activities &amp; levers'!$C$9="On",(('Net zero supporting data'!T167*'Net zero supporting data'!T183)+('Net zero supporting data'!T179*ManureNEF))*NtoN2O*kgtoGg,"ERROR"))</f>
        <v>0.16716649144311202</v>
      </c>
      <c r="AD681" s="101">
        <f>IF('Net zero activities &amp; levers'!$C$9="Off",'Activity data'!AW64*ManureNEF*NtoN2O*kgtoGg,IF('Net zero activities &amp; levers'!$C$9="On",(('Net zero supporting data'!U167*'Net zero supporting data'!U183)+('Net zero supporting data'!U179*ManureNEF))*NtoN2O*kgtoGg,"ERROR"))</f>
        <v>0.16716725290424495</v>
      </c>
      <c r="AE681" s="101">
        <f>IF('Net zero activities &amp; levers'!$C$9="Off",'Activity data'!AX64*ManureNEF*NtoN2O*kgtoGg,IF('Net zero activities &amp; levers'!$C$9="On",(('Net zero supporting data'!V167*'Net zero supporting data'!V183)+('Net zero supporting data'!V179*ManureNEF))*NtoN2O*kgtoGg,"ERROR"))</f>
        <v>0.16725343074012178</v>
      </c>
      <c r="AF681" s="101">
        <f>IF('Net zero activities &amp; levers'!$C$9="Off",'Activity data'!AY64*ManureNEF*NtoN2O*kgtoGg,IF('Net zero activities &amp; levers'!$C$9="On",(('Net zero supporting data'!W167*'Net zero supporting data'!W183)+('Net zero supporting data'!W179*ManureNEF))*NtoN2O*kgtoGg,"ERROR"))</f>
        <v>0.16728938783312775</v>
      </c>
      <c r="AG681" s="101">
        <f>IF('Net zero activities &amp; levers'!$C$9="Off",'Activity data'!AZ64*ManureNEF*NtoN2O*kgtoGg,IF('Net zero activities &amp; levers'!$C$9="On",(('Net zero supporting data'!X167*'Net zero supporting data'!X183)+('Net zero supporting data'!X179*ManureNEF))*NtoN2O*kgtoGg,"ERROR"))</f>
        <v>0.16458792371969455</v>
      </c>
      <c r="AH681" s="101">
        <f>IF('Net zero activities &amp; levers'!$C$9="Off",'Activity data'!BA64*ManureNEF*NtoN2O*kgtoGg,IF('Net zero activities &amp; levers'!$C$9="On",(('Net zero supporting data'!Y167*'Net zero supporting data'!Y183)+('Net zero supporting data'!Y179*ManureNEF))*NtoN2O*kgtoGg,"ERROR"))</f>
        <v>3.853581522880388E-2</v>
      </c>
      <c r="AI681" s="101">
        <f>IF('Net zero activities &amp; levers'!$C$9="Off",'Activity data'!BB64*ManureNEF*NtoN2O*kgtoGg,IF('Net zero activities &amp; levers'!$C$9="On",(('Net zero supporting data'!Z167*'Net zero supporting data'!Z183)+('Net zero supporting data'!Z179*ManureNEF))*NtoN2O*kgtoGg,"ERROR"))</f>
        <v>3.7910558376539852E-2</v>
      </c>
      <c r="AJ681" s="101">
        <f>IF('Net zero activities &amp; levers'!$C$9="Off",'Activity data'!BC64*ManureNEF*NtoN2O*kgtoGg,IF('Net zero activities &amp; levers'!$C$9="On",(('Net zero supporting data'!AA167*'Net zero supporting data'!AA183)+('Net zero supporting data'!AA179*ManureNEF))*NtoN2O*kgtoGg,"ERROR"))</f>
        <v>3.7273299588535869E-2</v>
      </c>
      <c r="AK681" s="101">
        <f>IF('Net zero activities &amp; levers'!$C$9="Off",'Activity data'!BD64*ManureNEF*NtoN2O*kgtoGg,IF('Net zero activities &amp; levers'!$C$9="On",(('Net zero supporting data'!AB167*'Net zero supporting data'!AB183)+('Net zero supporting data'!AB179*ManureNEF))*NtoN2O*kgtoGg,"ERROR"))</f>
        <v>3.6623900608650638E-2</v>
      </c>
      <c r="AL681" s="101">
        <f>IF('Net zero activities &amp; levers'!$C$9="Off",'Activity data'!BE64*ManureNEF*NtoN2O*kgtoGg,IF('Net zero activities &amp; levers'!$C$9="On",(('Net zero supporting data'!AC167*'Net zero supporting data'!AC183)+('Net zero supporting data'!AC179*ManureNEF))*NtoN2O*kgtoGg,"ERROR"))</f>
        <v>3.5962221689674709E-2</v>
      </c>
      <c r="AM681" s="101">
        <f>IF('Net zero activities &amp; levers'!$C$9="Off",'Activity data'!BF64*ManureNEF*NtoN2O*kgtoGg,IF('Net zero activities &amp; levers'!$C$9="On",(('Net zero supporting data'!AD167*'Net zero supporting data'!AD183)+('Net zero supporting data'!AD179*ManureNEF))*NtoN2O*kgtoGg,"ERROR"))</f>
        <v>3.5288121588759346E-2</v>
      </c>
      <c r="AN681" s="101">
        <f>IF('Net zero activities &amp; levers'!$C$9="Off",'Activity data'!BG64*ManureNEF*NtoN2O*kgtoGg,IF('Net zero activities &amp; levers'!$C$9="On",(('Net zero supporting data'!AE167*'Net zero supporting data'!AE183)+('Net zero supporting data'!AE179*ManureNEF))*NtoN2O*kgtoGg,"ERROR"))</f>
        <v>3.5517844562398058E-2</v>
      </c>
      <c r="AO681" s="101">
        <f>IF('Net zero activities &amp; levers'!$C$9="Off",'Activity data'!BH64*ManureNEF*NtoN2O*kgtoGg,IF('Net zero activities &amp; levers'!$C$9="On",(('Net zero supporting data'!AF167*'Net zero supporting data'!AF183)+('Net zero supporting data'!AF179*ManureNEF))*NtoN2O*kgtoGg,"ERROR"))</f>
        <v>3.5748985562109446E-2</v>
      </c>
      <c r="AP681" s="101">
        <f>IF('Net zero activities &amp; levers'!$C$9="Off",'Activity data'!BI64*ManureNEF*NtoN2O*kgtoGg,IF('Net zero activities &amp; levers'!$C$9="On",(('Net zero supporting data'!AG167*'Net zero supporting data'!AG183)+('Net zero supporting data'!AG179*ManureNEF))*NtoN2O*kgtoGg,"ERROR"))</f>
        <v>3.5981553805251781E-2</v>
      </c>
      <c r="AQ681" s="101">
        <f>IF('Net zero activities &amp; levers'!$C$9="Off",'Activity data'!BJ64*ManureNEF*NtoN2O*kgtoGg,IF('Net zero activities &amp; levers'!$C$9="On",(('Net zero supporting data'!AH167*'Net zero supporting data'!AH183)+('Net zero supporting data'!AH179*ManureNEF))*NtoN2O*kgtoGg,"ERROR"))</f>
        <v>3.6215558540026879E-2</v>
      </c>
      <c r="AR681" s="101">
        <f>IF('Net zero activities &amp; levers'!$C$9="Off",'Activity data'!BK64*ManureNEF*NtoN2O*kgtoGg,IF('Net zero activities &amp; levers'!$C$9="On",(('Net zero supporting data'!AI167*'Net zero supporting data'!AI183)+('Net zero supporting data'!AI179*ManureNEF))*NtoN2O*kgtoGg,"ERROR"))</f>
        <v>3.6451009047899538E-2</v>
      </c>
      <c r="AS681" s="101">
        <f>IF('Net zero activities &amp; levers'!$C$9="Off",'Activity data'!BL64*ManureNEF*NtoN2O*kgtoGg,IF('Net zero activities &amp; levers'!$C$9="On",(('Net zero supporting data'!AJ167*'Net zero supporting data'!AJ183)+('Net zero supporting data'!AJ179*ManureNEF))*NtoN2O*kgtoGg,"ERROR"))</f>
        <v>3.6645815385715104E-2</v>
      </c>
      <c r="AT681" s="101">
        <f>IF('Net zero activities &amp; levers'!$C$9="Off",'Activity data'!BM64*ManureNEF*NtoN2O*kgtoGg,IF('Net zero activities &amp; levers'!$C$9="On",(('Net zero supporting data'!AK167*'Net zero supporting data'!AK183)+('Net zero supporting data'!AK179*ManureNEF))*NtoN2O*kgtoGg,"ERROR"))</f>
        <v>3.6841608623413152E-2</v>
      </c>
      <c r="AU681" s="101">
        <f>IF('Net zero activities &amp; levers'!$C$9="Off",'Activity data'!BN64*ManureNEF*NtoN2O*kgtoGg,IF('Net zero activities &amp; levers'!$C$9="On",(('Net zero supporting data'!AL167*'Net zero supporting data'!AL183)+('Net zero supporting data'!AL179*ManureNEF))*NtoN2O*kgtoGg,"ERROR"))</f>
        <v>3.7038394113816452E-2</v>
      </c>
      <c r="AV681" s="101">
        <f>IF('Net zero activities &amp; levers'!$C$9="Off",'Activity data'!BO64*ManureNEF*NtoN2O*kgtoGg,IF('Net zero activities &amp; levers'!$C$9="On",(('Net zero supporting data'!AM167*'Net zero supporting data'!AM183)+('Net zero supporting data'!AM179*ManureNEF))*NtoN2O*kgtoGg,"ERROR"))</f>
        <v>3.7236177218753087E-2</v>
      </c>
      <c r="AW681" s="101">
        <f>IF('Net zero activities &amp; levers'!$C$9="Off",'Activity data'!BP64*ManureNEF*NtoN2O*kgtoGg,IF('Net zero activities &amp; levers'!$C$9="On",(('Net zero supporting data'!AN167*'Net zero supporting data'!AN183)+('Net zero supporting data'!AN179*ManureNEF))*NtoN2O*kgtoGg,"ERROR"))</f>
        <v>3.7434963310500405E-2</v>
      </c>
      <c r="AY681" s="85"/>
      <c r="AZ681" s="85"/>
    </row>
    <row r="682" spans="1:52" x14ac:dyDescent="0.25">
      <c r="A682" s="102" t="str">
        <f t="shared" si="149"/>
        <v>NI Organic</v>
      </c>
      <c r="B682" s="102" t="s">
        <v>970</v>
      </c>
      <c r="C682" s="102" t="s">
        <v>1128</v>
      </c>
      <c r="D682" t="s">
        <v>369</v>
      </c>
      <c r="E682" t="s">
        <v>55</v>
      </c>
      <c r="F682" t="s">
        <v>421</v>
      </c>
      <c r="G682" t="s">
        <v>1183</v>
      </c>
      <c r="H682" t="s">
        <v>1184</v>
      </c>
      <c r="I682" t="s">
        <v>139</v>
      </c>
      <c r="J682" t="s">
        <v>287</v>
      </c>
      <c r="K682" s="101">
        <f>IF('Net zero activities &amp; levers'!$C$9="Off",'Activity data'!AD65*ManureNEF*NtoN2O*kgtoGg,IF('Net zero activities &amp; levers'!$C$9="On",(('Net zero supporting data'!B168*'Net zero supporting data'!B183)+('Net zero supporting data'!B180*ManureNEF))*NtoN2O*kgtoGg,"ERROR"))</f>
        <v>0.795414165570277</v>
      </c>
      <c r="L682" s="101">
        <f>IF('Net zero activities &amp; levers'!$C$9="Off",'Activity data'!AE65*ManureNEF*NtoN2O*kgtoGg,IF('Net zero activities &amp; levers'!$C$9="On",(('Net zero supporting data'!C168*'Net zero supporting data'!C183)+('Net zero supporting data'!C180*ManureNEF))*NtoN2O*kgtoGg,"ERROR"))</f>
        <v>0.8083218557846692</v>
      </c>
      <c r="M682" s="101">
        <f>IF('Net zero activities &amp; levers'!$C$9="Off",'Activity data'!AF65*ManureNEF*NtoN2O*kgtoGg,IF('Net zero activities &amp; levers'!$C$9="On",(('Net zero supporting data'!D168*'Net zero supporting data'!D183)+('Net zero supporting data'!D180*ManureNEF))*NtoN2O*kgtoGg,"ERROR"))</f>
        <v>0.81215441853464132</v>
      </c>
      <c r="N682" s="101">
        <f>IF('Net zero activities &amp; levers'!$C$9="Off",'Activity data'!AG65*ManureNEF*NtoN2O*kgtoGg,IF('Net zero activities &amp; levers'!$C$9="On",(('Net zero supporting data'!E168*'Net zero supporting data'!E183)+('Net zero supporting data'!E180*ManureNEF))*NtoN2O*kgtoGg,"ERROR"))</f>
        <v>0.80356343008777875</v>
      </c>
      <c r="O682" s="101">
        <f>IF('Net zero activities &amp; levers'!$C$9="Off",'Activity data'!AH65*ManureNEF*NtoN2O*kgtoGg,IF('Net zero activities &amp; levers'!$C$9="On",(('Net zero supporting data'!F168*'Net zero supporting data'!F183)+('Net zero supporting data'!F180*ManureNEF))*NtoN2O*kgtoGg,"ERROR"))</f>
        <v>0.79499088780116223</v>
      </c>
      <c r="P682" s="101">
        <f>IF('Net zero activities &amp; levers'!$C$9="Off",'Activity data'!AI65*ManureNEF*NtoN2O*kgtoGg,IF('Net zero activities &amp; levers'!$C$9="On",(('Net zero supporting data'!G168*'Net zero supporting data'!G183)+('Net zero supporting data'!G180*ManureNEF))*NtoN2O*kgtoGg,"ERROR"))</f>
        <v>0.79250347923266529</v>
      </c>
      <c r="Q682" s="101">
        <f>IF('Net zero activities &amp; levers'!$C$9="Off",'Activity data'!AJ65*ManureNEF*NtoN2O*kgtoGg,IF('Net zero activities &amp; levers'!$C$9="On",(('Net zero supporting data'!H168*'Net zero supporting data'!H183)+('Net zero supporting data'!H180*ManureNEF))*NtoN2O*kgtoGg,"ERROR"))</f>
        <v>0.79198531109847847</v>
      </c>
      <c r="R682" s="101">
        <f>IF('Net zero activities &amp; levers'!$C$9="Off",'Activity data'!AK65*ManureNEF*NtoN2O*kgtoGg,IF('Net zero activities &amp; levers'!$C$9="On",(('Net zero supporting data'!I168*'Net zero supporting data'!I183)+('Net zero supporting data'!I180*ManureNEF))*NtoN2O*kgtoGg,"ERROR"))</f>
        <v>0.77877476502438481</v>
      </c>
      <c r="S682" s="101">
        <f>IF('Net zero activities &amp; levers'!$C$9="Off",'Activity data'!AL65*ManureNEF*NtoN2O*kgtoGg,IF('Net zero activities &amp; levers'!$C$9="On",(('Net zero supporting data'!J168*'Net zero supporting data'!J183)+('Net zero supporting data'!J180*ManureNEF))*NtoN2O*kgtoGg,"ERROR"))</f>
        <v>0.64890920680176789</v>
      </c>
      <c r="T682" s="101">
        <f>IF('Net zero activities &amp; levers'!$C$9="Off",'Activity data'!AM65*ManureNEF*NtoN2O*kgtoGg,IF('Net zero activities &amp; levers'!$C$9="On",(('Net zero supporting data'!K168*'Net zero supporting data'!K183)+('Net zero supporting data'!K180*ManureNEF))*NtoN2O*kgtoGg,"ERROR"))</f>
        <v>0.65635952771936401</v>
      </c>
      <c r="U682" s="101">
        <f>IF('Net zero activities &amp; levers'!$C$9="Off",'Activity data'!AN65*ManureNEF*NtoN2O*kgtoGg,IF('Net zero activities &amp; levers'!$C$9="On",(('Net zero supporting data'!L168*'Net zero supporting data'!L183)+('Net zero supporting data'!L180*ManureNEF))*NtoN2O*kgtoGg,"ERROR"))</f>
        <v>0.66010813888267683</v>
      </c>
      <c r="V682" s="101">
        <f>IF('Net zero activities &amp; levers'!$C$9="Off",'Activity data'!AO65*ManureNEF*NtoN2O*kgtoGg,IF('Net zero activities &amp; levers'!$C$9="On",(('Net zero supporting data'!M168*'Net zero supporting data'!M183)+('Net zero supporting data'!M180*ManureNEF))*NtoN2O*kgtoGg,"ERROR"))</f>
        <v>0.66325998569855238</v>
      </c>
      <c r="W682" s="101">
        <f>IF('Net zero activities &amp; levers'!$C$9="Off",'Activity data'!AP65*ManureNEF*NtoN2O*kgtoGg,IF('Net zero activities &amp; levers'!$C$9="On",(('Net zero supporting data'!N168*'Net zero supporting data'!N183)+('Net zero supporting data'!N180*ManureNEF))*NtoN2O*kgtoGg,"ERROR"))</f>
        <v>0.67032154441099578</v>
      </c>
      <c r="X682" s="101">
        <f>IF('Net zero activities &amp; levers'!$C$9="Off",'Activity data'!AQ65*ManureNEF*NtoN2O*kgtoGg,IF('Net zero activities &amp; levers'!$C$9="On",(('Net zero supporting data'!O168*'Net zero supporting data'!O183)+('Net zero supporting data'!O180*ManureNEF))*NtoN2O*kgtoGg,"ERROR"))</f>
        <v>0.67659944009428352</v>
      </c>
      <c r="Y682" s="101">
        <f>IF('Net zero activities &amp; levers'!$C$9="Off",'Activity data'!AR65*ManureNEF*NtoN2O*kgtoGg,IF('Net zero activities &amp; levers'!$C$9="On",(('Net zero supporting data'!P168*'Net zero supporting data'!P183)+('Net zero supporting data'!P180*ManureNEF))*NtoN2O*kgtoGg,"ERROR"))</f>
        <v>0.6839673554576895</v>
      </c>
      <c r="Z682" s="101">
        <f>IF('Net zero activities &amp; levers'!$C$9="Off",'Activity data'!AS65*ManureNEF*NtoN2O*kgtoGg,IF('Net zero activities &amp; levers'!$C$9="On",(('Net zero supporting data'!Q168*'Net zero supporting data'!Q183)+('Net zero supporting data'!Q180*ManureNEF))*NtoN2O*kgtoGg,"ERROR"))</f>
        <v>0.6894746829239492</v>
      </c>
      <c r="AA682" s="101">
        <f>IF('Net zero activities &amp; levers'!$C$9="Off",'Activity data'!AT65*ManureNEF*NtoN2O*kgtoGg,IF('Net zero activities &amp; levers'!$C$9="On",(('Net zero supporting data'!R168*'Net zero supporting data'!R183)+('Net zero supporting data'!R180*ManureNEF))*NtoN2O*kgtoGg,"ERROR"))</f>
        <v>0.69580700628808367</v>
      </c>
      <c r="AB682" s="101">
        <f>IF('Net zero activities &amp; levers'!$C$9="Off",'Activity data'!AU65*ManureNEF*NtoN2O*kgtoGg,IF('Net zero activities &amp; levers'!$C$9="On",(('Net zero supporting data'!S168*'Net zero supporting data'!S183)+('Net zero supporting data'!S180*ManureNEF))*NtoN2O*kgtoGg,"ERROR"))</f>
        <v>0.69938763466584675</v>
      </c>
      <c r="AC682" s="101">
        <f>IF('Net zero activities &amp; levers'!$C$9="Off",'Activity data'!AV65*ManureNEF*NtoN2O*kgtoGg,IF('Net zero activities &amp; levers'!$C$9="On",(('Net zero supporting data'!T168*'Net zero supporting data'!T183)+('Net zero supporting data'!T180*ManureNEF))*NtoN2O*kgtoGg,"ERROR"))</f>
        <v>0.70274424872392438</v>
      </c>
      <c r="AD682" s="101">
        <f>IF('Net zero activities &amp; levers'!$C$9="Off",'Activity data'!AW65*ManureNEF*NtoN2O*kgtoGg,IF('Net zero activities &amp; levers'!$C$9="On",(('Net zero supporting data'!U168*'Net zero supporting data'!U183)+('Net zero supporting data'!U180*ManureNEF))*NtoN2O*kgtoGg,"ERROR"))</f>
        <v>0.71109989150287745</v>
      </c>
      <c r="AE682" s="101">
        <f>IF('Net zero activities &amp; levers'!$C$9="Off",'Activity data'!AX65*ManureNEF*NtoN2O*kgtoGg,IF('Net zero activities &amp; levers'!$C$9="On",(('Net zero supporting data'!V168*'Net zero supporting data'!V183)+('Net zero supporting data'!V180*ManureNEF))*NtoN2O*kgtoGg,"ERROR"))</f>
        <v>0.72067467371340144</v>
      </c>
      <c r="AF682" s="101">
        <f>IF('Net zero activities &amp; levers'!$C$9="Off",'Activity data'!AY65*ManureNEF*NtoN2O*kgtoGg,IF('Net zero activities &amp; levers'!$C$9="On",(('Net zero supporting data'!W168*'Net zero supporting data'!W183)+('Net zero supporting data'!W180*ManureNEF))*NtoN2O*kgtoGg,"ERROR"))</f>
        <v>0.73000420515226383</v>
      </c>
      <c r="AG682" s="101">
        <f>IF('Net zero activities &amp; levers'!$C$9="Off",'Activity data'!AZ65*ManureNEF*NtoN2O*kgtoGg,IF('Net zero activities &amp; levers'!$C$9="On",(('Net zero supporting data'!X168*'Net zero supporting data'!X183)+('Net zero supporting data'!X180*ManureNEF))*NtoN2O*kgtoGg,"ERROR"))</f>
        <v>0.71071406303757079</v>
      </c>
      <c r="AH682" s="101">
        <f>IF('Net zero activities &amp; levers'!$C$9="Off",'Activity data'!BA65*ManureNEF*NtoN2O*kgtoGg,IF('Net zero activities &amp; levers'!$C$9="On",(('Net zero supporting data'!Y168*'Net zero supporting data'!Y183)+('Net zero supporting data'!Y180*ManureNEF))*NtoN2O*kgtoGg,"ERROR"))</f>
        <v>-0.60208128444281728</v>
      </c>
      <c r="AI682" s="101">
        <f>IF('Net zero activities &amp; levers'!$C$9="Off",'Activity data'!BB65*ManureNEF*NtoN2O*kgtoGg,IF('Net zero activities &amp; levers'!$C$9="On",(('Net zero supporting data'!Z168*'Net zero supporting data'!Z183)+('Net zero supporting data'!Z180*ManureNEF))*NtoN2O*kgtoGg,"ERROR"))</f>
        <v>-0.58863679920443679</v>
      </c>
      <c r="AJ682" s="101">
        <f>IF('Net zero activities &amp; levers'!$C$9="Off",'Activity data'!BC65*ManureNEF*NtoN2O*kgtoGg,IF('Net zero activities &amp; levers'!$C$9="On",(('Net zero supporting data'!AA168*'Net zero supporting data'!AA183)+('Net zero supporting data'!AA180*ManureNEF))*NtoN2O*kgtoGg,"ERROR"))</f>
        <v>-0.57522090949486993</v>
      </c>
      <c r="AK682" s="101">
        <f>IF('Net zero activities &amp; levers'!$C$9="Off",'Activity data'!BD65*ManureNEF*NtoN2O*kgtoGg,IF('Net zero activities &amp; levers'!$C$9="On",(('Net zero supporting data'!AB168*'Net zero supporting data'!AB183)+('Net zero supporting data'!AB180*ManureNEF))*NtoN2O*kgtoGg,"ERROR"))</f>
        <v>-0.56182558916770731</v>
      </c>
      <c r="AL682" s="101">
        <f>IF('Net zero activities &amp; levers'!$C$9="Off",'Activity data'!BE65*ManureNEF*NtoN2O*kgtoGg,IF('Net zero activities &amp; levers'!$C$9="On",(('Net zero supporting data'!AC168*'Net zero supporting data'!AC183)+('Net zero supporting data'!AC180*ManureNEF))*NtoN2O*kgtoGg,"ERROR"))</f>
        <v>-0.54844331539248192</v>
      </c>
      <c r="AM682" s="101">
        <f>IF('Net zero activities &amp; levers'!$C$9="Off",'Activity data'!BF65*ManureNEF*NtoN2O*kgtoGg,IF('Net zero activities &amp; levers'!$C$9="On",(('Net zero supporting data'!AD168*'Net zero supporting data'!AD183)+('Net zero supporting data'!AD180*ManureNEF))*NtoN2O*kgtoGg,"ERROR"))</f>
        <v>-0.53506702054774069</v>
      </c>
      <c r="AN682" s="101">
        <f>IF('Net zero activities &amp; levers'!$C$9="Off",'Activity data'!BG65*ManureNEF*NtoN2O*kgtoGg,IF('Net zero activities &amp; levers'!$C$9="On",(('Net zero supporting data'!AE168*'Net zero supporting data'!AE183)+('Net zero supporting data'!AE180*ManureNEF))*NtoN2O*kgtoGg,"ERROR"))</f>
        <v>-0.53547957769604959</v>
      </c>
      <c r="AO682" s="101">
        <f>IF('Net zero activities &amp; levers'!$C$9="Off",'Activity data'!BH65*ManureNEF*NtoN2O*kgtoGg,IF('Net zero activities &amp; levers'!$C$9="On",(('Net zero supporting data'!AF168*'Net zero supporting data'!AF183)+('Net zero supporting data'!AF180*ManureNEF))*NtoN2O*kgtoGg,"ERROR"))</f>
        <v>-0.53594384014453678</v>
      </c>
      <c r="AP682" s="101">
        <f>IF('Net zero activities &amp; levers'!$C$9="Off",'Activity data'!BI65*ManureNEF*NtoN2O*kgtoGg,IF('Net zero activities &amp; levers'!$C$9="On",(('Net zero supporting data'!AG168*'Net zero supporting data'!AG183)+('Net zero supporting data'!AG180*ManureNEF))*NtoN2O*kgtoGg,"ERROR"))</f>
        <v>-0.53645780020272227</v>
      </c>
      <c r="AQ682" s="101">
        <f>IF('Net zero activities &amp; levers'!$C$9="Off",'Activity data'!BJ65*ManureNEF*NtoN2O*kgtoGg,IF('Net zero activities &amp; levers'!$C$9="On",(('Net zero supporting data'!AH168*'Net zero supporting data'!AH183)+('Net zero supporting data'!AH180*ManureNEF))*NtoN2O*kgtoGg,"ERROR"))</f>
        <v>-0.5370195880366857</v>
      </c>
      <c r="AR682" s="101">
        <f>IF('Net zero activities &amp; levers'!$C$9="Off",'Activity data'!BK65*ManureNEF*NtoN2O*kgtoGg,IF('Net zero activities &amp; levers'!$C$9="On",(('Net zero supporting data'!AI168*'Net zero supporting data'!AI183)+('Net zero supporting data'!AI180*ManureNEF))*NtoN2O*kgtoGg,"ERROR"))</f>
        <v>-0.53762745982349858</v>
      </c>
      <c r="AS682" s="101">
        <f>IF('Net zero activities &amp; levers'!$C$9="Off",'Activity data'!BL65*ManureNEF*NtoN2O*kgtoGg,IF('Net zero activities &amp; levers'!$C$9="On",(('Net zero supporting data'!AJ168*'Net zero supporting data'!AJ183)+('Net zero supporting data'!AJ180*ManureNEF))*NtoN2O*kgtoGg,"ERROR"))</f>
        <v>-0.53763603237672897</v>
      </c>
      <c r="AT682" s="101">
        <f>IF('Net zero activities &amp; levers'!$C$9="Off",'Activity data'!BM65*ManureNEF*NtoN2O*kgtoGg,IF('Net zero activities &amp; levers'!$C$9="On",(('Net zero supporting data'!AK168*'Net zero supporting data'!AK183)+('Net zero supporting data'!AK180*ManureNEF))*NtoN2O*kgtoGg,"ERROR"))</f>
        <v>-0.5376872826512219</v>
      </c>
      <c r="AU682" s="101">
        <f>IF('Net zero activities &amp; levers'!$C$9="Off",'Activity data'!BN65*ManureNEF*NtoN2O*kgtoGg,IF('Net zero activities &amp; levers'!$C$9="On",(('Net zero supporting data'!AL168*'Net zero supporting data'!AL183)+('Net zero supporting data'!AL180*ManureNEF))*NtoN2O*kgtoGg,"ERROR"))</f>
        <v>-0.53777963273944618</v>
      </c>
      <c r="AV682" s="101">
        <f>IF('Net zero activities &amp; levers'!$C$9="Off",'Activity data'!BO65*ManureNEF*NtoN2O*kgtoGg,IF('Net zero activities &amp; levers'!$C$9="On",(('Net zero supporting data'!AM168*'Net zero supporting data'!AM183)+('Net zero supporting data'!AM180*ManureNEF))*NtoN2O*kgtoGg,"ERROR"))</f>
        <v>-0.53791160139995242</v>
      </c>
      <c r="AW682" s="101">
        <f>IF('Net zero activities &amp; levers'!$C$9="Off",'Activity data'!BP65*ManureNEF*NtoN2O*kgtoGg,IF('Net zero activities &amp; levers'!$C$9="On",(('Net zero supporting data'!AN168*'Net zero supporting data'!AN183)+('Net zero supporting data'!AN180*ManureNEF))*NtoN2O*kgtoGg,"ERROR"))</f>
        <v>-0.53808179654950106</v>
      </c>
      <c r="AY682" s="85"/>
      <c r="AZ682" s="85"/>
    </row>
    <row r="683" spans="1:52" x14ac:dyDescent="0.25">
      <c r="A683" s="102" t="str">
        <f t="shared" si="149"/>
        <v>NI U&amp;D</v>
      </c>
      <c r="B683" s="102" t="s">
        <v>970</v>
      </c>
      <c r="C683" s="102" t="s">
        <v>1337</v>
      </c>
      <c r="D683" t="s">
        <v>369</v>
      </c>
      <c r="E683" t="s">
        <v>55</v>
      </c>
      <c r="F683" t="s">
        <v>422</v>
      </c>
      <c r="G683" t="s">
        <v>1153</v>
      </c>
      <c r="H683" t="s">
        <v>1241</v>
      </c>
      <c r="I683" t="s">
        <v>139</v>
      </c>
      <c r="J683" t="s">
        <v>287</v>
      </c>
      <c r="K683" s="22">
        <f>K1482</f>
        <v>0</v>
      </c>
      <c r="L683" s="22">
        <f t="shared" ref="L683:AW690" si="151">L1482</f>
        <v>0</v>
      </c>
      <c r="M683" s="22">
        <f t="shared" si="151"/>
        <v>0</v>
      </c>
      <c r="N683" s="22">
        <f t="shared" si="151"/>
        <v>0</v>
      </c>
      <c r="O683" s="22">
        <f t="shared" si="151"/>
        <v>0</v>
      </c>
      <c r="P683" s="22">
        <f t="shared" si="151"/>
        <v>0</v>
      </c>
      <c r="Q683" s="22">
        <f t="shared" si="151"/>
        <v>0</v>
      </c>
      <c r="R683" s="22">
        <f t="shared" si="151"/>
        <v>0</v>
      </c>
      <c r="S683" s="22">
        <f t="shared" si="151"/>
        <v>0</v>
      </c>
      <c r="T683" s="22">
        <f t="shared" si="151"/>
        <v>0</v>
      </c>
      <c r="U683" s="22">
        <f t="shared" si="151"/>
        <v>0</v>
      </c>
      <c r="V683" s="22">
        <f t="shared" si="151"/>
        <v>0</v>
      </c>
      <c r="W683" s="22">
        <f t="shared" si="151"/>
        <v>0</v>
      </c>
      <c r="X683" s="22">
        <f t="shared" si="151"/>
        <v>0</v>
      </c>
      <c r="Y683" s="22">
        <f t="shared" si="151"/>
        <v>0</v>
      </c>
      <c r="Z683" s="22">
        <f t="shared" si="151"/>
        <v>0</v>
      </c>
      <c r="AA683" s="22">
        <f t="shared" si="151"/>
        <v>0</v>
      </c>
      <c r="AB683" s="22">
        <f t="shared" si="151"/>
        <v>0</v>
      </c>
      <c r="AC683" s="22">
        <f t="shared" si="151"/>
        <v>0</v>
      </c>
      <c r="AD683" s="22">
        <f t="shared" si="151"/>
        <v>0</v>
      </c>
      <c r="AE683" s="22">
        <f t="shared" si="151"/>
        <v>0</v>
      </c>
      <c r="AF683" s="22">
        <f t="shared" si="151"/>
        <v>0</v>
      </c>
      <c r="AG683" s="22">
        <f t="shared" si="151"/>
        <v>0</v>
      </c>
      <c r="AH683" s="22">
        <f t="shared" si="151"/>
        <v>0</v>
      </c>
      <c r="AI683" s="22">
        <f t="shared" si="151"/>
        <v>0</v>
      </c>
      <c r="AJ683" s="22">
        <f t="shared" si="151"/>
        <v>0</v>
      </c>
      <c r="AK683" s="22">
        <f t="shared" si="151"/>
        <v>0</v>
      </c>
      <c r="AL683" s="22">
        <f t="shared" si="151"/>
        <v>0</v>
      </c>
      <c r="AM683" s="22">
        <f t="shared" si="151"/>
        <v>0</v>
      </c>
      <c r="AN683" s="22">
        <f t="shared" si="151"/>
        <v>0</v>
      </c>
      <c r="AO683" s="22">
        <f t="shared" si="151"/>
        <v>0</v>
      </c>
      <c r="AP683" s="22">
        <f t="shared" si="151"/>
        <v>0</v>
      </c>
      <c r="AQ683" s="22">
        <f t="shared" si="151"/>
        <v>0</v>
      </c>
      <c r="AR683" s="22">
        <f t="shared" si="151"/>
        <v>0</v>
      </c>
      <c r="AS683" s="22">
        <f t="shared" si="151"/>
        <v>0</v>
      </c>
      <c r="AT683" s="22">
        <f t="shared" si="151"/>
        <v>0</v>
      </c>
      <c r="AU683" s="22">
        <f t="shared" si="151"/>
        <v>0</v>
      </c>
      <c r="AV683" s="22">
        <f t="shared" si="151"/>
        <v>0</v>
      </c>
      <c r="AW683" s="22">
        <f t="shared" si="151"/>
        <v>0</v>
      </c>
      <c r="AY683" s="85"/>
      <c r="AZ683" s="85"/>
    </row>
    <row r="684" spans="1:52" x14ac:dyDescent="0.25">
      <c r="A684" s="102" t="str">
        <f t="shared" si="149"/>
        <v>NI U&amp;D</v>
      </c>
      <c r="B684" s="102" t="s">
        <v>970</v>
      </c>
      <c r="C684" s="102" t="s">
        <v>1337</v>
      </c>
      <c r="D684" t="s">
        <v>369</v>
      </c>
      <c r="E684" t="s">
        <v>55</v>
      </c>
      <c r="F684" t="s">
        <v>422</v>
      </c>
      <c r="G684" t="s">
        <v>1155</v>
      </c>
      <c r="H684" t="s">
        <v>1242</v>
      </c>
      <c r="I684" t="s">
        <v>139</v>
      </c>
      <c r="J684" t="s">
        <v>287</v>
      </c>
      <c r="K684" s="22">
        <f t="shared" ref="K684:Z710" si="152">K1483</f>
        <v>1.0795326716636573</v>
      </c>
      <c r="L684" s="22">
        <f t="shared" si="152"/>
        <v>1.0862475469793051</v>
      </c>
      <c r="M684" s="22">
        <f t="shared" si="152"/>
        <v>1.0908641162595043</v>
      </c>
      <c r="N684" s="22">
        <f t="shared" si="152"/>
        <v>1.0923119403436279</v>
      </c>
      <c r="O684" s="22">
        <f t="shared" si="152"/>
        <v>1.0942706302876248</v>
      </c>
      <c r="P684" s="22">
        <f t="shared" si="152"/>
        <v>1.0985609054131558</v>
      </c>
      <c r="Q684" s="22">
        <f t="shared" si="152"/>
        <v>1.1037045101143446</v>
      </c>
      <c r="R684" s="22">
        <f t="shared" si="152"/>
        <v>1.105249702620553</v>
      </c>
      <c r="S684" s="22">
        <f t="shared" si="152"/>
        <v>1.0713187850060639</v>
      </c>
      <c r="T684" s="22">
        <f t="shared" si="152"/>
        <v>1.0801428769448762</v>
      </c>
      <c r="U684" s="22">
        <f t="shared" si="152"/>
        <v>1.0882343186562755</v>
      </c>
      <c r="V684" s="22">
        <f t="shared" si="152"/>
        <v>1.0965307426510265</v>
      </c>
      <c r="W684" s="22">
        <f t="shared" si="152"/>
        <v>1.1065249139358884</v>
      </c>
      <c r="X684" s="22">
        <f t="shared" si="152"/>
        <v>1.1167066198379636</v>
      </c>
      <c r="Y684" s="22">
        <f t="shared" si="152"/>
        <v>1.1266207343141128</v>
      </c>
      <c r="Z684" s="22">
        <f t="shared" si="152"/>
        <v>1.1363365093259761</v>
      </c>
      <c r="AA684" s="22">
        <f t="shared" si="151"/>
        <v>1.146801464584869</v>
      </c>
      <c r="AB684" s="22">
        <f t="shared" si="151"/>
        <v>1.156711571508408</v>
      </c>
      <c r="AC684" s="22">
        <f t="shared" si="151"/>
        <v>1.1669771470605725</v>
      </c>
      <c r="AD684" s="22">
        <f t="shared" si="151"/>
        <v>1.1787713566301137</v>
      </c>
      <c r="AE684" s="22">
        <f t="shared" si="151"/>
        <v>1.1916164906506355</v>
      </c>
      <c r="AF684" s="22">
        <f t="shared" si="151"/>
        <v>1.2049714778557878</v>
      </c>
      <c r="AG684" s="22">
        <f t="shared" si="151"/>
        <v>1.2068369654753692</v>
      </c>
      <c r="AH684" s="22">
        <f t="shared" si="151"/>
        <v>0.64612873683850436</v>
      </c>
      <c r="AI684" s="22">
        <f t="shared" si="151"/>
        <v>0.64660396058025826</v>
      </c>
      <c r="AJ684" s="22">
        <f t="shared" si="151"/>
        <v>0.64714161069901732</v>
      </c>
      <c r="AK684" s="22">
        <f t="shared" si="151"/>
        <v>0.64773931439075094</v>
      </c>
      <c r="AL684" s="22">
        <f t="shared" si="151"/>
        <v>0.64839488159544112</v>
      </c>
      <c r="AM684" s="22">
        <f t="shared" si="151"/>
        <v>0.64910628767603584</v>
      </c>
      <c r="AN684" s="22">
        <f t="shared" si="151"/>
        <v>0.64941256924922242</v>
      </c>
      <c r="AO684" s="22">
        <f t="shared" si="151"/>
        <v>0.64976802465090699</v>
      </c>
      <c r="AP684" s="22">
        <f t="shared" si="151"/>
        <v>0.65017093639043266</v>
      </c>
      <c r="AQ684" s="22">
        <f t="shared" si="151"/>
        <v>0.65061970417317594</v>
      </c>
      <c r="AR684" s="22">
        <f t="shared" si="151"/>
        <v>0.65111283495552585</v>
      </c>
      <c r="AS684" s="22">
        <f t="shared" si="151"/>
        <v>0.65118489834837545</v>
      </c>
      <c r="AT684" s="22">
        <f t="shared" si="151"/>
        <v>0.65129629063948757</v>
      </c>
      <c r="AU684" s="22">
        <f t="shared" si="151"/>
        <v>0.65144570826558501</v>
      </c>
      <c r="AV684" s="22">
        <f t="shared" si="151"/>
        <v>0.65163192707531048</v>
      </c>
      <c r="AW684" s="22">
        <f t="shared" si="151"/>
        <v>0.6518537962289046</v>
      </c>
      <c r="AY684" s="85"/>
      <c r="AZ684" s="85"/>
    </row>
    <row r="685" spans="1:52" x14ac:dyDescent="0.25">
      <c r="A685" s="102" t="str">
        <f t="shared" si="149"/>
        <v>NI U&amp;D</v>
      </c>
      <c r="B685" s="102" t="s">
        <v>970</v>
      </c>
      <c r="C685" s="102" t="s">
        <v>1337</v>
      </c>
      <c r="D685" t="s">
        <v>369</v>
      </c>
      <c r="E685" t="s">
        <v>55</v>
      </c>
      <c r="F685" t="s">
        <v>422</v>
      </c>
      <c r="G685" t="s">
        <v>1157</v>
      </c>
      <c r="H685" t="s">
        <v>1243</v>
      </c>
      <c r="I685" t="s">
        <v>139</v>
      </c>
      <c r="J685" t="s">
        <v>287</v>
      </c>
      <c r="K685" s="22">
        <f t="shared" si="152"/>
        <v>0.73516913566022923</v>
      </c>
      <c r="L685" s="22">
        <f t="shared" si="151"/>
        <v>0.7397420116939516</v>
      </c>
      <c r="M685" s="22">
        <f t="shared" si="151"/>
        <v>0.74288592696073941</v>
      </c>
      <c r="N685" s="22">
        <f t="shared" si="151"/>
        <v>0.74387190506816692</v>
      </c>
      <c r="O685" s="22">
        <f t="shared" si="151"/>
        <v>0.74520578632155732</v>
      </c>
      <c r="P685" s="22">
        <f t="shared" si="151"/>
        <v>0.74812749303648285</v>
      </c>
      <c r="Q685" s="22">
        <f t="shared" si="151"/>
        <v>0.7516303230309872</v>
      </c>
      <c r="R685" s="22">
        <f t="shared" si="151"/>
        <v>0.75268260970005785</v>
      </c>
      <c r="S685" s="22">
        <f t="shared" si="151"/>
        <v>0.72957542264627473</v>
      </c>
      <c r="T685" s="22">
        <f t="shared" si="151"/>
        <v>0.73558468963181722</v>
      </c>
      <c r="U685" s="22">
        <f t="shared" si="151"/>
        <v>0.74109501679963463</v>
      </c>
      <c r="V685" s="22">
        <f t="shared" si="151"/>
        <v>0.74674493830492128</v>
      </c>
      <c r="W685" s="22">
        <f t="shared" si="151"/>
        <v>0.753551037330909</v>
      </c>
      <c r="X685" s="22">
        <f t="shared" si="151"/>
        <v>0.76048484871434763</v>
      </c>
      <c r="Y685" s="22">
        <f t="shared" si="151"/>
        <v>0.7672364285058465</v>
      </c>
      <c r="Z685" s="22">
        <f t="shared" si="151"/>
        <v>0.77385293776511066</v>
      </c>
      <c r="AA685" s="22">
        <f t="shared" si="151"/>
        <v>0.78097964389855901</v>
      </c>
      <c r="AB685" s="22">
        <f t="shared" si="151"/>
        <v>0.78772849451931037</v>
      </c>
      <c r="AC685" s="22">
        <f t="shared" si="151"/>
        <v>0.79471942170830334</v>
      </c>
      <c r="AD685" s="22">
        <f t="shared" si="151"/>
        <v>0.80275135912217765</v>
      </c>
      <c r="AE685" s="22">
        <f t="shared" si="151"/>
        <v>0.81149898327768732</v>
      </c>
      <c r="AF685" s="22">
        <f t="shared" si="151"/>
        <v>0.82059382094039046</v>
      </c>
      <c r="AG685" s="22">
        <f t="shared" si="151"/>
        <v>0.8218642307731554</v>
      </c>
      <c r="AH685" s="22">
        <f t="shared" si="151"/>
        <v>0.4400180906565429</v>
      </c>
      <c r="AI685" s="22">
        <f t="shared" si="151"/>
        <v>0.44034172127619964</v>
      </c>
      <c r="AJ685" s="22">
        <f t="shared" si="151"/>
        <v>0.44070786468572382</v>
      </c>
      <c r="AK685" s="22">
        <f t="shared" si="151"/>
        <v>0.44111490498933553</v>
      </c>
      <c r="AL685" s="22">
        <f t="shared" si="151"/>
        <v>0.44156135074117797</v>
      </c>
      <c r="AM685" s="22">
        <f t="shared" si="151"/>
        <v>0.44204582314956586</v>
      </c>
      <c r="AN685" s="22">
        <f t="shared" si="151"/>
        <v>0.44225440299651131</v>
      </c>
      <c r="AO685" s="22">
        <f t="shared" si="151"/>
        <v>0.44249647055711561</v>
      </c>
      <c r="AP685" s="22">
        <f t="shared" si="151"/>
        <v>0.44277085620848994</v>
      </c>
      <c r="AQ685" s="22">
        <f t="shared" si="151"/>
        <v>0.44307647013904683</v>
      </c>
      <c r="AR685" s="22">
        <f t="shared" si="151"/>
        <v>0.4434122955758712</v>
      </c>
      <c r="AS685" s="22">
        <f t="shared" si="151"/>
        <v>0.44346137123946583</v>
      </c>
      <c r="AT685" s="22">
        <f t="shared" si="151"/>
        <v>0.4435372301518688</v>
      </c>
      <c r="AU685" s="22">
        <f t="shared" si="151"/>
        <v>0.44363898457756984</v>
      </c>
      <c r="AV685" s="22">
        <f t="shared" si="151"/>
        <v>0.44376580086111833</v>
      </c>
      <c r="AW685" s="22">
        <f t="shared" si="151"/>
        <v>0.44391689527276407</v>
      </c>
      <c r="AY685" s="85"/>
      <c r="AZ685" s="85"/>
    </row>
    <row r="686" spans="1:52" x14ac:dyDescent="0.25">
      <c r="A686" s="102" t="str">
        <f t="shared" si="149"/>
        <v>NI U&amp;D</v>
      </c>
      <c r="B686" s="102" t="s">
        <v>970</v>
      </c>
      <c r="C686" s="102" t="s">
        <v>1337</v>
      </c>
      <c r="D686" t="s">
        <v>369</v>
      </c>
      <c r="E686" t="s">
        <v>55</v>
      </c>
      <c r="F686" t="s">
        <v>422</v>
      </c>
      <c r="G686" t="s">
        <v>1159</v>
      </c>
      <c r="H686" t="s">
        <v>1244</v>
      </c>
      <c r="I686" t="s">
        <v>139</v>
      </c>
      <c r="J686" t="s">
        <v>287</v>
      </c>
      <c r="K686" s="22">
        <f t="shared" si="152"/>
        <v>15.48880966403453</v>
      </c>
      <c r="L686" s="22">
        <f t="shared" si="151"/>
        <v>15.386143051197998</v>
      </c>
      <c r="M686" s="22">
        <f t="shared" si="151"/>
        <v>15.169677377989304</v>
      </c>
      <c r="N686" s="22">
        <f t="shared" si="151"/>
        <v>14.804794487947174</v>
      </c>
      <c r="O686" s="22">
        <f t="shared" si="151"/>
        <v>14.450776257626368</v>
      </c>
      <c r="P686" s="22">
        <f t="shared" si="151"/>
        <v>14.178486550067829</v>
      </c>
      <c r="Q686" s="22">
        <f t="shared" si="151"/>
        <v>13.932198413286633</v>
      </c>
      <c r="R686" s="22">
        <f t="shared" si="151"/>
        <v>13.544970185493053</v>
      </c>
      <c r="S686" s="22">
        <f t="shared" si="151"/>
        <v>11.879759863511568</v>
      </c>
      <c r="T686" s="22">
        <f t="shared" si="151"/>
        <v>11.992993022515481</v>
      </c>
      <c r="U686" s="22">
        <f t="shared" si="151"/>
        <v>12.069614819396085</v>
      </c>
      <c r="V686" s="22">
        <f t="shared" si="151"/>
        <v>12.143744438353496</v>
      </c>
      <c r="W686" s="22">
        <f t="shared" si="151"/>
        <v>12.266336998051067</v>
      </c>
      <c r="X686" s="22">
        <f t="shared" si="151"/>
        <v>12.384889207902271</v>
      </c>
      <c r="Y686" s="22">
        <f t="shared" si="151"/>
        <v>12.509351233051413</v>
      </c>
      <c r="Z686" s="22">
        <f t="shared" si="151"/>
        <v>12.61770643379279</v>
      </c>
      <c r="AA686" s="22">
        <f t="shared" si="151"/>
        <v>12.7410293454877</v>
      </c>
      <c r="AB686" s="22">
        <f t="shared" si="151"/>
        <v>12.837533702297911</v>
      </c>
      <c r="AC686" s="22">
        <f t="shared" si="151"/>
        <v>12.936685976559087</v>
      </c>
      <c r="AD686" s="22">
        <f t="shared" si="151"/>
        <v>12.98286747930208</v>
      </c>
      <c r="AE686" s="22">
        <f t="shared" si="151"/>
        <v>13.046191689203091</v>
      </c>
      <c r="AF686" s="22">
        <f t="shared" si="151"/>
        <v>13.10927150785349</v>
      </c>
      <c r="AG686" s="22">
        <f t="shared" si="151"/>
        <v>12.831250179467366</v>
      </c>
      <c r="AH686" s="22">
        <f t="shared" si="151"/>
        <v>-3.0267144396295609</v>
      </c>
      <c r="AI686" s="22">
        <f t="shared" si="151"/>
        <v>-2.956505191498271</v>
      </c>
      <c r="AJ686" s="22">
        <f t="shared" si="151"/>
        <v>-2.8874124907442584</v>
      </c>
      <c r="AK686" s="22">
        <f t="shared" si="151"/>
        <v>-2.8193778585944393</v>
      </c>
      <c r="AL686" s="22">
        <f t="shared" si="151"/>
        <v>-2.7523468592631737</v>
      </c>
      <c r="AM686" s="22">
        <f t="shared" si="151"/>
        <v>-2.6862687253121265</v>
      </c>
      <c r="AN686" s="22">
        <f t="shared" si="151"/>
        <v>-2.6326943062213264</v>
      </c>
      <c r="AO686" s="22">
        <f t="shared" si="151"/>
        <v>-2.5799290640232249</v>
      </c>
      <c r="AP686" s="22">
        <f t="shared" si="151"/>
        <v>-2.5279363308324876</v>
      </c>
      <c r="AQ686" s="22">
        <f t="shared" si="151"/>
        <v>-2.4766817193169062</v>
      </c>
      <c r="AR686" s="22">
        <f t="shared" si="151"/>
        <v>-2.4261329336018767</v>
      </c>
      <c r="AS686" s="22">
        <f t="shared" si="151"/>
        <v>-2.3746446145368036</v>
      </c>
      <c r="AT686" s="22">
        <f t="shared" si="151"/>
        <v>-2.3238643255218379</v>
      </c>
      <c r="AU686" s="22">
        <f t="shared" si="151"/>
        <v>-2.2737642137550615</v>
      </c>
      <c r="AV686" s="22">
        <f t="shared" si="151"/>
        <v>-2.2243179912934989</v>
      </c>
      <c r="AW686" s="22">
        <f t="shared" si="151"/>
        <v>-2.1755008181156215</v>
      </c>
      <c r="AY686" s="85"/>
      <c r="AZ686" s="85"/>
    </row>
    <row r="687" spans="1:52" x14ac:dyDescent="0.25">
      <c r="A687" s="102" t="str">
        <f t="shared" si="149"/>
        <v>NI U&amp;D</v>
      </c>
      <c r="B687" s="102" t="s">
        <v>970</v>
      </c>
      <c r="C687" s="102" t="s">
        <v>1337</v>
      </c>
      <c r="D687" t="s">
        <v>369</v>
      </c>
      <c r="E687" t="s">
        <v>55</v>
      </c>
      <c r="F687" t="s">
        <v>422</v>
      </c>
      <c r="G687" t="s">
        <v>1161</v>
      </c>
      <c r="H687" t="s">
        <v>1245</v>
      </c>
      <c r="I687" t="s">
        <v>139</v>
      </c>
      <c r="J687" t="s">
        <v>287</v>
      </c>
      <c r="K687" s="22">
        <f t="shared" si="152"/>
        <v>9.7393760290961886</v>
      </c>
      <c r="L687" s="22">
        <f t="shared" si="151"/>
        <v>9.6748191800072334</v>
      </c>
      <c r="M687" s="22">
        <f t="shared" si="151"/>
        <v>9.538705389825779</v>
      </c>
      <c r="N687" s="22">
        <f t="shared" si="151"/>
        <v>9.3092667338033213</v>
      </c>
      <c r="O687" s="22">
        <f t="shared" si="151"/>
        <v>9.086659784590454</v>
      </c>
      <c r="P687" s="22">
        <f t="shared" si="151"/>
        <v>8.9154437965133955</v>
      </c>
      <c r="Q687" s="22">
        <f t="shared" si="151"/>
        <v>8.7605776171460139</v>
      </c>
      <c r="R687" s="22">
        <f t="shared" si="151"/>
        <v>8.5170881946941783</v>
      </c>
      <c r="S687" s="22">
        <f t="shared" si="151"/>
        <v>7.4700025990225534</v>
      </c>
      <c r="T687" s="22">
        <f t="shared" si="151"/>
        <v>7.5412037008775474</v>
      </c>
      <c r="U687" s="22">
        <f t="shared" si="151"/>
        <v>7.5893835486535881</v>
      </c>
      <c r="V687" s="22">
        <f t="shared" si="151"/>
        <v>7.6359963129382633</v>
      </c>
      <c r="W687" s="22">
        <f t="shared" si="151"/>
        <v>7.7130826135102524</v>
      </c>
      <c r="X687" s="22">
        <f t="shared" si="151"/>
        <v>7.7876283388349208</v>
      </c>
      <c r="Y687" s="22">
        <f t="shared" si="151"/>
        <v>7.8658901607930707</v>
      </c>
      <c r="Z687" s="22">
        <f t="shared" si="151"/>
        <v>7.9340239985520107</v>
      </c>
      <c r="AA687" s="22">
        <f t="shared" si="151"/>
        <v>8.0115695450499249</v>
      </c>
      <c r="AB687" s="22">
        <f t="shared" si="151"/>
        <v>8.072251562571461</v>
      </c>
      <c r="AC687" s="22">
        <f t="shared" si="151"/>
        <v>8.1345985927252418</v>
      </c>
      <c r="AD687" s="22">
        <f t="shared" si="151"/>
        <v>8.1636375589569159</v>
      </c>
      <c r="AE687" s="22">
        <f t="shared" si="151"/>
        <v>8.2034558732979743</v>
      </c>
      <c r="AF687" s="22">
        <f t="shared" si="151"/>
        <v>8.2431205142232233</v>
      </c>
      <c r="AG687" s="22">
        <f t="shared" si="151"/>
        <v>8.0683004783395891</v>
      </c>
      <c r="AH687" s="22">
        <f t="shared" si="151"/>
        <v>-1.9032004847149069</v>
      </c>
      <c r="AI687" s="22">
        <f t="shared" si="151"/>
        <v>-1.8590528527726964</v>
      </c>
      <c r="AJ687" s="22">
        <f t="shared" si="151"/>
        <v>-1.8156073067233001</v>
      </c>
      <c r="AK687" s="22">
        <f t="shared" si="151"/>
        <v>-1.7728270750669619</v>
      </c>
      <c r="AL687" s="22">
        <f t="shared" si="151"/>
        <v>-1.7306779285376968</v>
      </c>
      <c r="AM687" s="22">
        <f t="shared" si="151"/>
        <v>-1.689127944529268</v>
      </c>
      <c r="AN687" s="22">
        <f t="shared" si="151"/>
        <v>-1.6554403065258587</v>
      </c>
      <c r="AO687" s="22">
        <f t="shared" si="151"/>
        <v>-1.6222614796062582</v>
      </c>
      <c r="AP687" s="22">
        <f t="shared" si="151"/>
        <v>-1.589568406974545</v>
      </c>
      <c r="AQ687" s="22">
        <f t="shared" si="151"/>
        <v>-1.5573394658484478</v>
      </c>
      <c r="AR687" s="22">
        <f t="shared" si="151"/>
        <v>-1.5255543485559264</v>
      </c>
      <c r="AS687" s="22">
        <f t="shared" si="151"/>
        <v>-1.4931784519339129</v>
      </c>
      <c r="AT687" s="22">
        <f t="shared" si="151"/>
        <v>-1.4612477651793758</v>
      </c>
      <c r="AU687" s="22">
        <f t="shared" si="151"/>
        <v>-1.429744774427969</v>
      </c>
      <c r="AV687" s="22">
        <f t="shared" si="151"/>
        <v>-1.3986529497999127</v>
      </c>
      <c r="AW687" s="22">
        <f t="shared" si="151"/>
        <v>-1.3679566718696037</v>
      </c>
      <c r="AY687" s="85"/>
      <c r="AZ687" s="85"/>
    </row>
    <row r="688" spans="1:52" x14ac:dyDescent="0.25">
      <c r="A688" s="102" t="str">
        <f t="shared" si="149"/>
        <v>NI U&amp;D</v>
      </c>
      <c r="B688" s="102" t="s">
        <v>970</v>
      </c>
      <c r="C688" s="102" t="s">
        <v>1337</v>
      </c>
      <c r="D688" t="s">
        <v>369</v>
      </c>
      <c r="E688" t="s">
        <v>55</v>
      </c>
      <c r="F688" t="s">
        <v>422</v>
      </c>
      <c r="G688" t="s">
        <v>1163</v>
      </c>
      <c r="H688" t="s">
        <v>1246</v>
      </c>
      <c r="I688" t="s">
        <v>139</v>
      </c>
      <c r="J688" t="s">
        <v>287</v>
      </c>
      <c r="K688" s="22">
        <f t="shared" si="152"/>
        <v>0</v>
      </c>
      <c r="L688" s="22">
        <f t="shared" si="151"/>
        <v>0</v>
      </c>
      <c r="M688" s="22">
        <f t="shared" si="151"/>
        <v>0</v>
      </c>
      <c r="N688" s="22">
        <f t="shared" si="151"/>
        <v>0</v>
      </c>
      <c r="O688" s="22">
        <f t="shared" si="151"/>
        <v>0</v>
      </c>
      <c r="P688" s="22">
        <f t="shared" si="151"/>
        <v>0</v>
      </c>
      <c r="Q688" s="22">
        <f t="shared" si="151"/>
        <v>0</v>
      </c>
      <c r="R688" s="22">
        <f t="shared" si="151"/>
        <v>0</v>
      </c>
      <c r="S688" s="22">
        <f t="shared" si="151"/>
        <v>0</v>
      </c>
      <c r="T688" s="22">
        <f t="shared" si="151"/>
        <v>0</v>
      </c>
      <c r="U688" s="22">
        <f t="shared" si="151"/>
        <v>0</v>
      </c>
      <c r="V688" s="22">
        <f t="shared" si="151"/>
        <v>0</v>
      </c>
      <c r="W688" s="22">
        <f t="shared" si="151"/>
        <v>0</v>
      </c>
      <c r="X688" s="22">
        <f t="shared" si="151"/>
        <v>0</v>
      </c>
      <c r="Y688" s="22">
        <f t="shared" si="151"/>
        <v>0</v>
      </c>
      <c r="Z688" s="22">
        <f t="shared" si="151"/>
        <v>0</v>
      </c>
      <c r="AA688" s="22">
        <f t="shared" si="151"/>
        <v>0</v>
      </c>
      <c r="AB688" s="22">
        <f t="shared" si="151"/>
        <v>0</v>
      </c>
      <c r="AC688" s="22">
        <f t="shared" si="151"/>
        <v>0</v>
      </c>
      <c r="AD688" s="22">
        <f t="shared" si="151"/>
        <v>0</v>
      </c>
      <c r="AE688" s="22">
        <f t="shared" si="151"/>
        <v>0</v>
      </c>
      <c r="AF688" s="22">
        <f t="shared" si="151"/>
        <v>0</v>
      </c>
      <c r="AG688" s="22">
        <f t="shared" si="151"/>
        <v>0</v>
      </c>
      <c r="AH688" s="22">
        <f t="shared" si="151"/>
        <v>0</v>
      </c>
      <c r="AI688" s="22">
        <f t="shared" si="151"/>
        <v>0</v>
      </c>
      <c r="AJ688" s="22">
        <f t="shared" si="151"/>
        <v>0</v>
      </c>
      <c r="AK688" s="22">
        <f t="shared" si="151"/>
        <v>0</v>
      </c>
      <c r="AL688" s="22">
        <f t="shared" si="151"/>
        <v>0</v>
      </c>
      <c r="AM688" s="22">
        <f t="shared" si="151"/>
        <v>0</v>
      </c>
      <c r="AN688" s="22">
        <f t="shared" si="151"/>
        <v>0</v>
      </c>
      <c r="AO688" s="22">
        <f t="shared" si="151"/>
        <v>0</v>
      </c>
      <c r="AP688" s="22">
        <f t="shared" si="151"/>
        <v>0</v>
      </c>
      <c r="AQ688" s="22">
        <f t="shared" si="151"/>
        <v>0</v>
      </c>
      <c r="AR688" s="22">
        <f t="shared" si="151"/>
        <v>0</v>
      </c>
      <c r="AS688" s="22">
        <f t="shared" si="151"/>
        <v>0</v>
      </c>
      <c r="AT688" s="22">
        <f t="shared" si="151"/>
        <v>0</v>
      </c>
      <c r="AU688" s="22">
        <f t="shared" si="151"/>
        <v>0</v>
      </c>
      <c r="AV688" s="22">
        <f t="shared" si="151"/>
        <v>0</v>
      </c>
      <c r="AW688" s="22">
        <f t="shared" si="151"/>
        <v>0</v>
      </c>
      <c r="AY688" s="85"/>
      <c r="AZ688" s="85"/>
    </row>
    <row r="689" spans="1:52" x14ac:dyDescent="0.25">
      <c r="A689" s="102" t="str">
        <f t="shared" si="149"/>
        <v>NI U&amp;D</v>
      </c>
      <c r="B689" s="102" t="s">
        <v>970</v>
      </c>
      <c r="C689" s="102" t="s">
        <v>1337</v>
      </c>
      <c r="D689" t="s">
        <v>369</v>
      </c>
      <c r="E689" t="s">
        <v>55</v>
      </c>
      <c r="F689" t="s">
        <v>422</v>
      </c>
      <c r="G689" t="s">
        <v>1165</v>
      </c>
      <c r="H689" t="s">
        <v>1247</v>
      </c>
      <c r="I689" t="s">
        <v>139</v>
      </c>
      <c r="J689" t="s">
        <v>287</v>
      </c>
      <c r="K689" s="22">
        <f t="shared" si="152"/>
        <v>5.8007004881973501</v>
      </c>
      <c r="L689" s="22">
        <f t="shared" si="151"/>
        <v>5.8038682011318086</v>
      </c>
      <c r="M689" s="22">
        <f t="shared" si="151"/>
        <v>5.8109613188893956</v>
      </c>
      <c r="N689" s="22">
        <f t="shared" si="151"/>
        <v>5.8216379502269948</v>
      </c>
      <c r="O689" s="22">
        <f t="shared" si="151"/>
        <v>5.8360409400543007</v>
      </c>
      <c r="P689" s="22">
        <f t="shared" si="151"/>
        <v>5.8541855713392259</v>
      </c>
      <c r="Q689" s="22">
        <f t="shared" si="151"/>
        <v>5.8743979550370415</v>
      </c>
      <c r="R689" s="22">
        <f t="shared" si="151"/>
        <v>5.8963035789612563</v>
      </c>
      <c r="S689" s="22">
        <f t="shared" si="151"/>
        <v>5.9168885563672573</v>
      </c>
      <c r="T689" s="22">
        <f t="shared" si="151"/>
        <v>5.9254873000442174</v>
      </c>
      <c r="U689" s="22">
        <f t="shared" si="151"/>
        <v>5.9354650911079814</v>
      </c>
      <c r="V689" s="22">
        <f t="shared" si="151"/>
        <v>5.9468198836780894</v>
      </c>
      <c r="W689" s="22">
        <f t="shared" si="151"/>
        <v>5.9596105082694644</v>
      </c>
      <c r="X689" s="22">
        <f t="shared" si="151"/>
        <v>5.9736319121523582</v>
      </c>
      <c r="Y689" s="22">
        <f t="shared" si="151"/>
        <v>5.9822631555642722</v>
      </c>
      <c r="Z689" s="22">
        <f t="shared" si="151"/>
        <v>5.9919044326673472</v>
      </c>
      <c r="AA689" s="22">
        <f t="shared" si="151"/>
        <v>6.0025907311296489</v>
      </c>
      <c r="AB689" s="22">
        <f t="shared" si="151"/>
        <v>6.0141578623127154</v>
      </c>
      <c r="AC689" s="22">
        <f t="shared" si="151"/>
        <v>6.0266471855560004</v>
      </c>
      <c r="AD689" s="22">
        <f t="shared" si="151"/>
        <v>6.0348691397671148</v>
      </c>
      <c r="AE689" s="22">
        <f t="shared" si="151"/>
        <v>6.0439559167579606</v>
      </c>
      <c r="AF689" s="22">
        <f t="shared" si="151"/>
        <v>6.0538257946059888</v>
      </c>
      <c r="AG689" s="22">
        <f t="shared" si="151"/>
        <v>6.0633613554169949</v>
      </c>
      <c r="AH689" s="22">
        <f t="shared" si="151"/>
        <v>6.0225939777620399</v>
      </c>
      <c r="AI689" s="22">
        <f t="shared" si="151"/>
        <v>6.0283835899852134</v>
      </c>
      <c r="AJ689" s="22">
        <f t="shared" si="151"/>
        <v>6.0347724557516536</v>
      </c>
      <c r="AK689" s="22">
        <f t="shared" si="151"/>
        <v>6.0417379357652736</v>
      </c>
      <c r="AL689" s="22">
        <f t="shared" si="151"/>
        <v>6.0492591406066394</v>
      </c>
      <c r="AM689" s="22">
        <f t="shared" si="151"/>
        <v>6.0573167646829393</v>
      </c>
      <c r="AN689" s="22">
        <f t="shared" si="151"/>
        <v>6.061227136954745</v>
      </c>
      <c r="AO689" s="22">
        <f t="shared" si="151"/>
        <v>6.0656101287298938</v>
      </c>
      <c r="AP689" s="22">
        <f t="shared" si="151"/>
        <v>6.0704492917353319</v>
      </c>
      <c r="AQ689" s="22">
        <f t="shared" si="151"/>
        <v>6.0757293034784778</v>
      </c>
      <c r="AR689" s="22">
        <f t="shared" si="151"/>
        <v>6.0814358716066721</v>
      </c>
      <c r="AS689" s="22">
        <f t="shared" si="151"/>
        <v>6.082843612547955</v>
      </c>
      <c r="AT689" s="22">
        <f t="shared" si="151"/>
        <v>6.0846299220859592</v>
      </c>
      <c r="AU689" s="22">
        <f t="shared" si="151"/>
        <v>6.0867822620358538</v>
      </c>
      <c r="AV689" s="22">
        <f t="shared" si="151"/>
        <v>6.0892888598488994</v>
      </c>
      <c r="AW689" s="22">
        <f t="shared" si="151"/>
        <v>6.092138649733787</v>
      </c>
      <c r="AY689" s="85"/>
      <c r="AZ689" s="85"/>
    </row>
    <row r="690" spans="1:52" x14ac:dyDescent="0.25">
      <c r="A690" s="102" t="str">
        <f t="shared" si="149"/>
        <v>NI U&amp;D</v>
      </c>
      <c r="B690" s="102" t="s">
        <v>970</v>
      </c>
      <c r="C690" s="102" t="s">
        <v>1337</v>
      </c>
      <c r="D690" t="s">
        <v>369</v>
      </c>
      <c r="E690" t="s">
        <v>55</v>
      </c>
      <c r="F690" t="s">
        <v>422</v>
      </c>
      <c r="G690" t="s">
        <v>1167</v>
      </c>
      <c r="H690" t="s">
        <v>1248</v>
      </c>
      <c r="I690" t="s">
        <v>139</v>
      </c>
      <c r="J690" t="s">
        <v>287</v>
      </c>
      <c r="K690" s="22">
        <f t="shared" si="152"/>
        <v>0.64752945126978523</v>
      </c>
      <c r="L690" s="22">
        <f t="shared" si="151"/>
        <v>0.64788306156605957</v>
      </c>
      <c r="M690" s="22">
        <f t="shared" si="151"/>
        <v>0.64867486294568755</v>
      </c>
      <c r="N690" s="22">
        <f t="shared" si="151"/>
        <v>0.64986669025094335</v>
      </c>
      <c r="O690" s="22">
        <f t="shared" si="151"/>
        <v>0.65147448919151907</v>
      </c>
      <c r="P690" s="22">
        <f t="shared" ref="L690:AW696" si="153">P1489</f>
        <v>0.65349996579789205</v>
      </c>
      <c r="Q690" s="22">
        <f t="shared" si="153"/>
        <v>0.65575626462789216</v>
      </c>
      <c r="R690" s="22">
        <f t="shared" si="153"/>
        <v>0.65820157906331789</v>
      </c>
      <c r="S690" s="22">
        <f t="shared" si="153"/>
        <v>0.66049947035269418</v>
      </c>
      <c r="T690" s="22">
        <f t="shared" si="153"/>
        <v>0.66145934404141127</v>
      </c>
      <c r="U690" s="22">
        <f t="shared" si="153"/>
        <v>0.66257316013751044</v>
      </c>
      <c r="V690" s="22">
        <f t="shared" si="153"/>
        <v>0.66384069026032311</v>
      </c>
      <c r="W690" s="22">
        <f t="shared" si="153"/>
        <v>0.66526850163239837</v>
      </c>
      <c r="X690" s="22">
        <f t="shared" si="153"/>
        <v>0.66683370431452194</v>
      </c>
      <c r="Y690" s="22">
        <f t="shared" si="153"/>
        <v>0.66779720593327729</v>
      </c>
      <c r="Z690" s="22">
        <f t="shared" si="153"/>
        <v>0.66887345713514434</v>
      </c>
      <c r="AA690" s="22">
        <f t="shared" si="153"/>
        <v>0.6700663635769577</v>
      </c>
      <c r="AB690" s="22">
        <f t="shared" si="153"/>
        <v>0.67135759695868036</v>
      </c>
      <c r="AC690" s="22">
        <f t="shared" si="153"/>
        <v>0.67275177420381005</v>
      </c>
      <c r="AD690" s="22">
        <f t="shared" si="153"/>
        <v>0.67366958706270863</v>
      </c>
      <c r="AE690" s="22">
        <f t="shared" si="153"/>
        <v>0.67468393967937379</v>
      </c>
      <c r="AF690" s="22">
        <f t="shared" si="153"/>
        <v>0.67578570947425243</v>
      </c>
      <c r="AG690" s="22">
        <f t="shared" si="153"/>
        <v>0.6768501596164489</v>
      </c>
      <c r="AH690" s="22">
        <f t="shared" si="153"/>
        <v>0.6722993165352843</v>
      </c>
      <c r="AI690" s="22">
        <f t="shared" si="153"/>
        <v>0.67294560820877491</v>
      </c>
      <c r="AJ690" s="22">
        <f t="shared" si="153"/>
        <v>0.67365879427180253</v>
      </c>
      <c r="AK690" s="22">
        <f t="shared" si="153"/>
        <v>0.674436347510455</v>
      </c>
      <c r="AL690" s="22">
        <f t="shared" si="153"/>
        <v>0.67527593604872327</v>
      </c>
      <c r="AM690" s="22">
        <f t="shared" si="153"/>
        <v>0.67617540481241489</v>
      </c>
      <c r="AN690" s="22">
        <f t="shared" si="153"/>
        <v>0.67661191781917585</v>
      </c>
      <c r="AO690" s="22">
        <f t="shared" si="153"/>
        <v>0.67710118911750539</v>
      </c>
      <c r="AP690" s="22">
        <f t="shared" si="153"/>
        <v>0.67764138259446438</v>
      </c>
      <c r="AQ690" s="22">
        <f t="shared" si="153"/>
        <v>0.6782307878074546</v>
      </c>
      <c r="AR690" s="22">
        <f t="shared" si="153"/>
        <v>0.67886780930790958</v>
      </c>
      <c r="AS690" s="22">
        <f t="shared" si="153"/>
        <v>0.67902495476320335</v>
      </c>
      <c r="AT690" s="22">
        <f t="shared" si="153"/>
        <v>0.67922435965185335</v>
      </c>
      <c r="AU690" s="22">
        <f t="shared" si="153"/>
        <v>0.67946462434221933</v>
      </c>
      <c r="AV690" s="22">
        <f t="shared" si="153"/>
        <v>0.67974443467025414</v>
      </c>
      <c r="AW690" s="22">
        <f t="shared" si="153"/>
        <v>0.68006255536690974</v>
      </c>
      <c r="AY690" s="85"/>
      <c r="AZ690" s="85"/>
    </row>
    <row r="691" spans="1:52" x14ac:dyDescent="0.25">
      <c r="A691" s="102" t="str">
        <f t="shared" si="149"/>
        <v>NI U&amp;D</v>
      </c>
      <c r="B691" s="102" t="s">
        <v>970</v>
      </c>
      <c r="C691" s="102" t="s">
        <v>1337</v>
      </c>
      <c r="D691" t="s">
        <v>369</v>
      </c>
      <c r="E691" t="s">
        <v>55</v>
      </c>
      <c r="F691" t="s">
        <v>422</v>
      </c>
      <c r="G691" t="s">
        <v>1169</v>
      </c>
      <c r="H691" t="s">
        <v>1249</v>
      </c>
      <c r="I691" t="s">
        <v>139</v>
      </c>
      <c r="J691" t="s">
        <v>287</v>
      </c>
      <c r="K691" s="22">
        <f t="shared" si="152"/>
        <v>0.71703962515202246</v>
      </c>
      <c r="L691" s="22">
        <f t="shared" si="153"/>
        <v>0.71890983434251277</v>
      </c>
      <c r="M691" s="22">
        <f t="shared" si="153"/>
        <v>0.72140205375439892</v>
      </c>
      <c r="N691" s="22">
        <f t="shared" si="153"/>
        <v>0.72446087645337953</v>
      </c>
      <c r="O691" s="22">
        <f t="shared" si="153"/>
        <v>0.72812305944589495</v>
      </c>
      <c r="P691" s="22">
        <f t="shared" si="153"/>
        <v>0.73239834824766725</v>
      </c>
      <c r="Q691" s="22">
        <f t="shared" si="153"/>
        <v>0.73696942015050981</v>
      </c>
      <c r="R691" s="22">
        <f t="shared" si="153"/>
        <v>0.74177091257362759</v>
      </c>
      <c r="S691" s="22">
        <f t="shared" si="153"/>
        <v>0.74623128814082973</v>
      </c>
      <c r="T691" s="22">
        <f t="shared" si="153"/>
        <v>0.74832155602397465</v>
      </c>
      <c r="U691" s="22">
        <f t="shared" si="153"/>
        <v>0.75061365062436147</v>
      </c>
      <c r="V691" s="22">
        <f t="shared" si="153"/>
        <v>0.75311048066791608</v>
      </c>
      <c r="W691" s="22">
        <f t="shared" si="153"/>
        <v>0.75582597980024202</v>
      </c>
      <c r="X691" s="22">
        <f t="shared" si="153"/>
        <v>0.758723586950243</v>
      </c>
      <c r="Y691" s="22">
        <f t="shared" si="153"/>
        <v>0.76055515001802498</v>
      </c>
      <c r="Z691" s="22">
        <f t="shared" si="153"/>
        <v>0.76253680812015046</v>
      </c>
      <c r="AA691" s="22">
        <f t="shared" si="153"/>
        <v>0.7646767595046402</v>
      </c>
      <c r="AB691" s="22">
        <f t="shared" si="153"/>
        <v>0.76694554342614063</v>
      </c>
      <c r="AC691" s="22">
        <f t="shared" si="153"/>
        <v>0.76935223527037744</v>
      </c>
      <c r="AD691" s="22">
        <f t="shared" si="153"/>
        <v>0.7709284586249765</v>
      </c>
      <c r="AE691" s="22">
        <f t="shared" si="153"/>
        <v>0.77263788414937862</v>
      </c>
      <c r="AF691" s="22">
        <f t="shared" si="153"/>
        <v>0.77446606053450517</v>
      </c>
      <c r="AG691" s="22">
        <f t="shared" si="153"/>
        <v>0.7762062172722024</v>
      </c>
      <c r="AH691" s="22">
        <f t="shared" si="153"/>
        <v>0.76859920994116682</v>
      </c>
      <c r="AI691" s="22">
        <f t="shared" si="153"/>
        <v>0.76961702960226952</v>
      </c>
      <c r="AJ691" s="22">
        <f t="shared" si="153"/>
        <v>0.77072611211000452</v>
      </c>
      <c r="AK691" s="22">
        <f t="shared" si="153"/>
        <v>0.7719227512042488</v>
      </c>
      <c r="AL691" s="22">
        <f t="shared" si="153"/>
        <v>0.77320352810315807</v>
      </c>
      <c r="AM691" s="22">
        <f t="shared" si="153"/>
        <v>0.77456528397766</v>
      </c>
      <c r="AN691" s="22">
        <f t="shared" si="153"/>
        <v>0.7751498155218971</v>
      </c>
      <c r="AO691" s="22">
        <f t="shared" si="153"/>
        <v>0.77580729833667095</v>
      </c>
      <c r="AP691" s="22">
        <f t="shared" si="153"/>
        <v>0.77653498216260275</v>
      </c>
      <c r="AQ691" s="22">
        <f t="shared" si="153"/>
        <v>0.77733030541457571</v>
      </c>
      <c r="AR691" s="22">
        <f t="shared" si="153"/>
        <v>0.77819087901746686</v>
      </c>
      <c r="AS691" s="22">
        <f t="shared" si="153"/>
        <v>0.77825802091956864</v>
      </c>
      <c r="AT691" s="22">
        <f t="shared" si="153"/>
        <v>0.77838487427420744</v>
      </c>
      <c r="AU691" s="22">
        <f t="shared" si="153"/>
        <v>0.77856929465999758</v>
      </c>
      <c r="AV691" s="22">
        <f t="shared" si="153"/>
        <v>0.77880926891307201</v>
      </c>
      <c r="AW691" s="22">
        <f t="shared" si="153"/>
        <v>0.77910290495826517</v>
      </c>
      <c r="AY691" s="85"/>
      <c r="AZ691" s="85"/>
    </row>
    <row r="692" spans="1:52" x14ac:dyDescent="0.25">
      <c r="A692" s="102" t="str">
        <f t="shared" si="149"/>
        <v>NI U&amp;D</v>
      </c>
      <c r="B692" s="102" t="s">
        <v>970</v>
      </c>
      <c r="C692" s="102" t="s">
        <v>1337</v>
      </c>
      <c r="D692" t="s">
        <v>369</v>
      </c>
      <c r="E692" t="s">
        <v>55</v>
      </c>
      <c r="F692" t="s">
        <v>422</v>
      </c>
      <c r="G692" t="s">
        <v>1171</v>
      </c>
      <c r="H692" t="s">
        <v>1250</v>
      </c>
      <c r="I692" t="s">
        <v>139</v>
      </c>
      <c r="J692" t="s">
        <v>287</v>
      </c>
      <c r="K692" s="22">
        <f t="shared" si="152"/>
        <v>1.1866860146705673</v>
      </c>
      <c r="L692" s="22">
        <f t="shared" si="153"/>
        <v>1.1897811728919734</v>
      </c>
      <c r="M692" s="22">
        <f t="shared" si="153"/>
        <v>1.1939057453951301</v>
      </c>
      <c r="N692" s="22">
        <f t="shared" si="153"/>
        <v>1.1989680348292291</v>
      </c>
      <c r="O692" s="22">
        <f t="shared" si="153"/>
        <v>1.2050288732932972</v>
      </c>
      <c r="P692" s="22">
        <f t="shared" si="153"/>
        <v>1.2121043894178982</v>
      </c>
      <c r="Q692" s="22">
        <f t="shared" si="153"/>
        <v>1.2196694205666394</v>
      </c>
      <c r="R692" s="22">
        <f t="shared" si="153"/>
        <v>1.2276157929959912</v>
      </c>
      <c r="S692" s="22">
        <f t="shared" si="153"/>
        <v>1.2349976239577805</v>
      </c>
      <c r="T692" s="22">
        <f t="shared" si="153"/>
        <v>1.2384569748455603</v>
      </c>
      <c r="U692" s="22">
        <f t="shared" si="153"/>
        <v>1.2422503448507454</v>
      </c>
      <c r="V692" s="22">
        <f t="shared" si="153"/>
        <v>1.2463825478556594</v>
      </c>
      <c r="W692" s="22">
        <f t="shared" si="153"/>
        <v>1.2508766437607468</v>
      </c>
      <c r="X692" s="22">
        <f t="shared" si="153"/>
        <v>1.2556721247359952</v>
      </c>
      <c r="Y692" s="22">
        <f t="shared" si="153"/>
        <v>1.2587033244093235</v>
      </c>
      <c r="Z692" s="22">
        <f t="shared" si="153"/>
        <v>1.2619829283156658</v>
      </c>
      <c r="AA692" s="22">
        <f t="shared" si="153"/>
        <v>1.2655245043889694</v>
      </c>
      <c r="AB692" s="22">
        <f t="shared" si="153"/>
        <v>1.2692792956940984</v>
      </c>
      <c r="AC692" s="22">
        <f t="shared" si="153"/>
        <v>1.2732623218100843</v>
      </c>
      <c r="AD692" s="22">
        <f t="shared" si="153"/>
        <v>1.2758709394447143</v>
      </c>
      <c r="AE692" s="22">
        <f t="shared" si="153"/>
        <v>1.2787000039646823</v>
      </c>
      <c r="AF692" s="22">
        <f t="shared" si="153"/>
        <v>1.2817255987470082</v>
      </c>
      <c r="AG692" s="22">
        <f t="shared" si="153"/>
        <v>1.2846055228007487</v>
      </c>
      <c r="AH692" s="22">
        <f t="shared" si="153"/>
        <v>1.2720160801861611</v>
      </c>
      <c r="AI692" s="22">
        <f t="shared" si="153"/>
        <v>1.2737005510506982</v>
      </c>
      <c r="AJ692" s="22">
        <f t="shared" si="153"/>
        <v>1.2755360600726242</v>
      </c>
      <c r="AK692" s="22">
        <f t="shared" si="153"/>
        <v>1.2775164734667195</v>
      </c>
      <c r="AL692" s="22">
        <f t="shared" si="153"/>
        <v>1.2796361332184747</v>
      </c>
      <c r="AM692" s="22">
        <f t="shared" si="153"/>
        <v>1.2818898115299409</v>
      </c>
      <c r="AN692" s="22">
        <f t="shared" si="153"/>
        <v>1.2828571993622844</v>
      </c>
      <c r="AO692" s="22">
        <f t="shared" si="153"/>
        <v>1.283945320065534</v>
      </c>
      <c r="AP692" s="22">
        <f t="shared" si="153"/>
        <v>1.2851496220162837</v>
      </c>
      <c r="AQ692" s="22">
        <f t="shared" si="153"/>
        <v>1.2864658658431971</v>
      </c>
      <c r="AR692" s="22">
        <f t="shared" si="153"/>
        <v>1.2878900976754739</v>
      </c>
      <c r="AS692" s="22">
        <f t="shared" si="153"/>
        <v>1.2880012161596242</v>
      </c>
      <c r="AT692" s="22">
        <f t="shared" si="153"/>
        <v>1.288211155884827</v>
      </c>
      <c r="AU692" s="22">
        <f t="shared" si="153"/>
        <v>1.2885163678772478</v>
      </c>
      <c r="AV692" s="22">
        <f t="shared" si="153"/>
        <v>1.2889135203915794</v>
      </c>
      <c r="AW692" s="22">
        <f t="shared" si="153"/>
        <v>1.2893994820818555</v>
      </c>
      <c r="AY692" s="85"/>
      <c r="AZ692" s="85"/>
    </row>
    <row r="693" spans="1:52" x14ac:dyDescent="0.25">
      <c r="A693" s="102" t="str">
        <f t="shared" si="149"/>
        <v>NI U&amp;D</v>
      </c>
      <c r="B693" s="102" t="s">
        <v>970</v>
      </c>
      <c r="C693" s="102" t="s">
        <v>1337</v>
      </c>
      <c r="D693" t="s">
        <v>369</v>
      </c>
      <c r="E693" t="s">
        <v>55</v>
      </c>
      <c r="F693" t="s">
        <v>422</v>
      </c>
      <c r="G693" t="s">
        <v>1173</v>
      </c>
      <c r="H693" t="s">
        <v>1251</v>
      </c>
      <c r="I693" t="s">
        <v>139</v>
      </c>
      <c r="J693" t="s">
        <v>287</v>
      </c>
      <c r="K693" s="22">
        <f t="shared" si="152"/>
        <v>0.19206426868977441</v>
      </c>
      <c r="L693" s="22">
        <f t="shared" si="153"/>
        <v>0.19318987586932423</v>
      </c>
      <c r="M693" s="22">
        <f t="shared" si="153"/>
        <v>0.19346719628053802</v>
      </c>
      <c r="N693" s="22">
        <f t="shared" si="153"/>
        <v>0.19261999020243609</v>
      </c>
      <c r="O693" s="22">
        <f t="shared" si="153"/>
        <v>0.19172365370541722</v>
      </c>
      <c r="P693" s="22">
        <f t="shared" si="153"/>
        <v>0.19129719629214276</v>
      </c>
      <c r="Q693" s="22">
        <f t="shared" si="153"/>
        <v>0.19101276819466945</v>
      </c>
      <c r="R693" s="22">
        <f t="shared" si="153"/>
        <v>0.18964082845337171</v>
      </c>
      <c r="S693" s="22">
        <f t="shared" si="153"/>
        <v>0.17855585025741377</v>
      </c>
      <c r="T693" s="22">
        <f t="shared" si="153"/>
        <v>0.1801256476686891</v>
      </c>
      <c r="U693" s="22">
        <f t="shared" si="153"/>
        <v>0.18141112915440744</v>
      </c>
      <c r="V693" s="22">
        <f t="shared" si="153"/>
        <v>0.18267062412414889</v>
      </c>
      <c r="W693" s="22">
        <f t="shared" si="153"/>
        <v>0.18430349788289624</v>
      </c>
      <c r="X693" s="22">
        <f t="shared" si="153"/>
        <v>0.18590650598729025</v>
      </c>
      <c r="Y693" s="22">
        <f t="shared" si="153"/>
        <v>0.18774289622011922</v>
      </c>
      <c r="Z693" s="22">
        <f t="shared" si="153"/>
        <v>0.18945974795510873</v>
      </c>
      <c r="AA693" s="22">
        <f t="shared" si="153"/>
        <v>0.19130656367707333</v>
      </c>
      <c r="AB693" s="22">
        <f t="shared" si="153"/>
        <v>0.1929453281809925</v>
      </c>
      <c r="AC693" s="22">
        <f t="shared" si="153"/>
        <v>0.19461451886655767</v>
      </c>
      <c r="AD693" s="22">
        <f t="shared" si="153"/>
        <v>0.19692637066734073</v>
      </c>
      <c r="AE693" s="22">
        <f t="shared" si="153"/>
        <v>0.19944913652878843</v>
      </c>
      <c r="AF693" s="22">
        <f t="shared" si="153"/>
        <v>0.20204327521693932</v>
      </c>
      <c r="AG693" s="22">
        <f t="shared" si="153"/>
        <v>0.20167425591994353</v>
      </c>
      <c r="AH693" s="22">
        <f t="shared" si="153"/>
        <v>5.9672038121461136E-2</v>
      </c>
      <c r="AI693" s="22">
        <f t="shared" si="153"/>
        <v>5.9672038121461136E-2</v>
      </c>
      <c r="AJ693" s="22">
        <f t="shared" si="153"/>
        <v>5.9672038121461136E-2</v>
      </c>
      <c r="AK693" s="22">
        <f t="shared" si="153"/>
        <v>5.9672038121461136E-2</v>
      </c>
      <c r="AL693" s="22">
        <f t="shared" si="153"/>
        <v>5.9672038121461136E-2</v>
      </c>
      <c r="AM693" s="22">
        <f t="shared" si="153"/>
        <v>5.9672038121461136E-2</v>
      </c>
      <c r="AN693" s="22">
        <f t="shared" si="153"/>
        <v>5.9672038121461136E-2</v>
      </c>
      <c r="AO693" s="22">
        <f t="shared" si="153"/>
        <v>5.9672038121461136E-2</v>
      </c>
      <c r="AP693" s="22">
        <f t="shared" si="153"/>
        <v>5.9672038121461136E-2</v>
      </c>
      <c r="AQ693" s="22">
        <f t="shared" si="153"/>
        <v>5.9672038121461136E-2</v>
      </c>
      <c r="AR693" s="22">
        <f t="shared" si="153"/>
        <v>5.9672038121461136E-2</v>
      </c>
      <c r="AS693" s="22">
        <f t="shared" si="153"/>
        <v>5.9672038121461136E-2</v>
      </c>
      <c r="AT693" s="22">
        <f t="shared" si="153"/>
        <v>5.9672038121461136E-2</v>
      </c>
      <c r="AU693" s="22">
        <f t="shared" si="153"/>
        <v>5.9672038121461136E-2</v>
      </c>
      <c r="AV693" s="22">
        <f t="shared" si="153"/>
        <v>5.9672038121461136E-2</v>
      </c>
      <c r="AW693" s="22">
        <f t="shared" si="153"/>
        <v>5.9672038121461136E-2</v>
      </c>
      <c r="AY693" s="85"/>
      <c r="AZ693" s="85"/>
    </row>
    <row r="694" spans="1:52" x14ac:dyDescent="0.25">
      <c r="A694" s="102" t="str">
        <f t="shared" si="149"/>
        <v>NI U&amp;D</v>
      </c>
      <c r="B694" s="102" t="s">
        <v>970</v>
      </c>
      <c r="C694" s="102" t="s">
        <v>1337</v>
      </c>
      <c r="D694" t="s">
        <v>369</v>
      </c>
      <c r="E694" t="s">
        <v>55</v>
      </c>
      <c r="F694" t="s">
        <v>422</v>
      </c>
      <c r="G694" t="s">
        <v>1175</v>
      </c>
      <c r="H694" t="s">
        <v>1252</v>
      </c>
      <c r="I694" t="s">
        <v>139</v>
      </c>
      <c r="J694" t="s">
        <v>287</v>
      </c>
      <c r="K694" s="22">
        <f t="shared" si="152"/>
        <v>3.4640571428571423E-2</v>
      </c>
      <c r="L694" s="22">
        <f t="shared" si="153"/>
        <v>3.4640571428571423E-2</v>
      </c>
      <c r="M694" s="22">
        <f t="shared" si="153"/>
        <v>3.4640571428571423E-2</v>
      </c>
      <c r="N694" s="22">
        <f t="shared" si="153"/>
        <v>3.4640571428571423E-2</v>
      </c>
      <c r="O694" s="22">
        <f t="shared" si="153"/>
        <v>3.4640571428571423E-2</v>
      </c>
      <c r="P694" s="22">
        <f t="shared" si="153"/>
        <v>3.4640571428571423E-2</v>
      </c>
      <c r="Q694" s="22">
        <f t="shared" si="153"/>
        <v>3.4640571428571423E-2</v>
      </c>
      <c r="R694" s="22">
        <f t="shared" si="153"/>
        <v>3.4640571428571423E-2</v>
      </c>
      <c r="S694" s="22">
        <f t="shared" si="153"/>
        <v>3.4640571428571423E-2</v>
      </c>
      <c r="T694" s="22">
        <f t="shared" si="153"/>
        <v>3.4640571428571423E-2</v>
      </c>
      <c r="U694" s="22">
        <f t="shared" si="153"/>
        <v>3.4640571428571423E-2</v>
      </c>
      <c r="V694" s="22">
        <f t="shared" si="153"/>
        <v>3.4640571428571423E-2</v>
      </c>
      <c r="W694" s="22">
        <f t="shared" si="153"/>
        <v>3.4640571428571423E-2</v>
      </c>
      <c r="X694" s="22">
        <f t="shared" si="153"/>
        <v>3.4640571428571423E-2</v>
      </c>
      <c r="Y694" s="22">
        <f t="shared" si="153"/>
        <v>3.4640571428571423E-2</v>
      </c>
      <c r="Z694" s="22">
        <f t="shared" si="153"/>
        <v>3.4640571428571423E-2</v>
      </c>
      <c r="AA694" s="22">
        <f t="shared" si="153"/>
        <v>3.4640571428571423E-2</v>
      </c>
      <c r="AB694" s="22">
        <f t="shared" si="153"/>
        <v>3.4640571428571423E-2</v>
      </c>
      <c r="AC694" s="22">
        <f t="shared" si="153"/>
        <v>3.4640571428571423E-2</v>
      </c>
      <c r="AD694" s="22">
        <f t="shared" si="153"/>
        <v>3.4640571428571423E-2</v>
      </c>
      <c r="AE694" s="22">
        <f t="shared" si="153"/>
        <v>3.4640571428571423E-2</v>
      </c>
      <c r="AF694" s="22">
        <f t="shared" si="153"/>
        <v>3.4640571428571423E-2</v>
      </c>
      <c r="AG694" s="22">
        <f t="shared" si="153"/>
        <v>3.4640571428571423E-2</v>
      </c>
      <c r="AH694" s="22">
        <f t="shared" si="153"/>
        <v>3.4640571428571423E-2</v>
      </c>
      <c r="AI694" s="22">
        <f t="shared" si="153"/>
        <v>3.4640571428571423E-2</v>
      </c>
      <c r="AJ694" s="22">
        <f t="shared" si="153"/>
        <v>3.4640571428571423E-2</v>
      </c>
      <c r="AK694" s="22">
        <f t="shared" si="153"/>
        <v>3.4640571428571423E-2</v>
      </c>
      <c r="AL694" s="22">
        <f t="shared" si="153"/>
        <v>3.4640571428571423E-2</v>
      </c>
      <c r="AM694" s="22">
        <f t="shared" si="153"/>
        <v>3.4640571428571423E-2</v>
      </c>
      <c r="AN694" s="22">
        <f t="shared" si="153"/>
        <v>3.4640571428571423E-2</v>
      </c>
      <c r="AO694" s="22">
        <f t="shared" si="153"/>
        <v>3.4640571428571423E-2</v>
      </c>
      <c r="AP694" s="22">
        <f t="shared" si="153"/>
        <v>3.4640571428571423E-2</v>
      </c>
      <c r="AQ694" s="22">
        <f t="shared" si="153"/>
        <v>3.4640571428571423E-2</v>
      </c>
      <c r="AR694" s="22">
        <f t="shared" si="153"/>
        <v>3.4640571428571423E-2</v>
      </c>
      <c r="AS694" s="22">
        <f t="shared" si="153"/>
        <v>3.4640571428571423E-2</v>
      </c>
      <c r="AT694" s="22">
        <f t="shared" si="153"/>
        <v>3.4640571428571423E-2</v>
      </c>
      <c r="AU694" s="22">
        <f t="shared" si="153"/>
        <v>3.4640571428571423E-2</v>
      </c>
      <c r="AV694" s="22">
        <f t="shared" si="153"/>
        <v>3.4640571428571423E-2</v>
      </c>
      <c r="AW694" s="22">
        <f t="shared" si="153"/>
        <v>3.4640571428571423E-2</v>
      </c>
      <c r="AY694" s="85"/>
      <c r="AZ694" s="85"/>
    </row>
    <row r="695" spans="1:52" x14ac:dyDescent="0.25">
      <c r="A695" s="102" t="str">
        <f t="shared" si="149"/>
        <v>NI U&amp;D</v>
      </c>
      <c r="B695" s="102" t="s">
        <v>970</v>
      </c>
      <c r="C695" s="102" t="s">
        <v>1337</v>
      </c>
      <c r="D695" t="s">
        <v>369</v>
      </c>
      <c r="E695" t="s">
        <v>55</v>
      </c>
      <c r="F695" t="s">
        <v>422</v>
      </c>
      <c r="G695" t="s">
        <v>1177</v>
      </c>
      <c r="H695" t="s">
        <v>1253</v>
      </c>
      <c r="I695" t="s">
        <v>139</v>
      </c>
      <c r="J695" t="s">
        <v>287</v>
      </c>
      <c r="K695" s="22">
        <f t="shared" si="152"/>
        <v>0</v>
      </c>
      <c r="L695" s="22">
        <f t="shared" si="153"/>
        <v>0</v>
      </c>
      <c r="M695" s="22">
        <f t="shared" si="153"/>
        <v>0</v>
      </c>
      <c r="N695" s="22">
        <f t="shared" si="153"/>
        <v>0</v>
      </c>
      <c r="O695" s="22">
        <f t="shared" si="153"/>
        <v>0</v>
      </c>
      <c r="P695" s="22">
        <f t="shared" si="153"/>
        <v>0</v>
      </c>
      <c r="Q695" s="22">
        <f t="shared" si="153"/>
        <v>0</v>
      </c>
      <c r="R695" s="22">
        <f t="shared" si="153"/>
        <v>0</v>
      </c>
      <c r="S695" s="22">
        <f t="shared" si="153"/>
        <v>0</v>
      </c>
      <c r="T695" s="22">
        <f t="shared" si="153"/>
        <v>0</v>
      </c>
      <c r="U695" s="22">
        <f t="shared" si="153"/>
        <v>0</v>
      </c>
      <c r="V695" s="22">
        <f t="shared" si="153"/>
        <v>0</v>
      </c>
      <c r="W695" s="22">
        <f t="shared" si="153"/>
        <v>0</v>
      </c>
      <c r="X695" s="22">
        <f t="shared" si="153"/>
        <v>0</v>
      </c>
      <c r="Y695" s="22">
        <f t="shared" si="153"/>
        <v>0</v>
      </c>
      <c r="Z695" s="22">
        <f t="shared" si="153"/>
        <v>0</v>
      </c>
      <c r="AA695" s="22">
        <f t="shared" si="153"/>
        <v>0</v>
      </c>
      <c r="AB695" s="22">
        <f t="shared" si="153"/>
        <v>0</v>
      </c>
      <c r="AC695" s="22">
        <f t="shared" si="153"/>
        <v>0</v>
      </c>
      <c r="AD695" s="22">
        <f t="shared" si="153"/>
        <v>0</v>
      </c>
      <c r="AE695" s="22">
        <f t="shared" si="153"/>
        <v>0</v>
      </c>
      <c r="AF695" s="22">
        <f t="shared" si="153"/>
        <v>0</v>
      </c>
      <c r="AG695" s="22">
        <f t="shared" si="153"/>
        <v>0</v>
      </c>
      <c r="AH695" s="22">
        <f t="shared" si="153"/>
        <v>0</v>
      </c>
      <c r="AI695" s="22">
        <f t="shared" si="153"/>
        <v>0</v>
      </c>
      <c r="AJ695" s="22">
        <f t="shared" si="153"/>
        <v>0</v>
      </c>
      <c r="AK695" s="22">
        <f t="shared" si="153"/>
        <v>0</v>
      </c>
      <c r="AL695" s="22">
        <f t="shared" si="153"/>
        <v>0</v>
      </c>
      <c r="AM695" s="22">
        <f t="shared" si="153"/>
        <v>0</v>
      </c>
      <c r="AN695" s="22">
        <f t="shared" si="153"/>
        <v>0</v>
      </c>
      <c r="AO695" s="22">
        <f t="shared" si="153"/>
        <v>0</v>
      </c>
      <c r="AP695" s="22">
        <f t="shared" si="153"/>
        <v>0</v>
      </c>
      <c r="AQ695" s="22">
        <f t="shared" si="153"/>
        <v>0</v>
      </c>
      <c r="AR695" s="22">
        <f t="shared" si="153"/>
        <v>0</v>
      </c>
      <c r="AS695" s="22">
        <f t="shared" si="153"/>
        <v>0</v>
      </c>
      <c r="AT695" s="22">
        <f t="shared" si="153"/>
        <v>0</v>
      </c>
      <c r="AU695" s="22">
        <f t="shared" si="153"/>
        <v>0</v>
      </c>
      <c r="AV695" s="22">
        <f t="shared" si="153"/>
        <v>0</v>
      </c>
      <c r="AW695" s="22">
        <f t="shared" si="153"/>
        <v>0</v>
      </c>
      <c r="AY695" s="85"/>
      <c r="AZ695" s="85"/>
    </row>
    <row r="696" spans="1:52" x14ac:dyDescent="0.25">
      <c r="A696" s="102" t="str">
        <f t="shared" si="149"/>
        <v>NI U&amp;D</v>
      </c>
      <c r="B696" s="102" t="s">
        <v>970</v>
      </c>
      <c r="C696" s="102" t="s">
        <v>1337</v>
      </c>
      <c r="D696" t="s">
        <v>369</v>
      </c>
      <c r="E696" t="s">
        <v>55</v>
      </c>
      <c r="F696" t="s">
        <v>422</v>
      </c>
      <c r="G696" t="s">
        <v>1179</v>
      </c>
      <c r="H696" t="s">
        <v>1254</v>
      </c>
      <c r="I696" t="s">
        <v>139</v>
      </c>
      <c r="J696" t="s">
        <v>287</v>
      </c>
      <c r="K696" s="22">
        <f t="shared" si="152"/>
        <v>0</v>
      </c>
      <c r="L696" s="22">
        <f t="shared" si="153"/>
        <v>0</v>
      </c>
      <c r="M696" s="22">
        <f t="shared" si="153"/>
        <v>0</v>
      </c>
      <c r="N696" s="22">
        <f t="shared" si="153"/>
        <v>0</v>
      </c>
      <c r="O696" s="22">
        <f t="shared" si="153"/>
        <v>0</v>
      </c>
      <c r="P696" s="22">
        <f t="shared" si="153"/>
        <v>0</v>
      </c>
      <c r="Q696" s="22">
        <f t="shared" si="153"/>
        <v>0</v>
      </c>
      <c r="R696" s="22">
        <f t="shared" si="153"/>
        <v>0</v>
      </c>
      <c r="S696" s="22">
        <f t="shared" si="153"/>
        <v>0</v>
      </c>
      <c r="T696" s="22">
        <f t="shared" si="153"/>
        <v>0</v>
      </c>
      <c r="U696" s="22">
        <f t="shared" si="153"/>
        <v>0</v>
      </c>
      <c r="V696" s="22">
        <f t="shared" si="153"/>
        <v>0</v>
      </c>
      <c r="W696" s="22">
        <f t="shared" si="153"/>
        <v>0</v>
      </c>
      <c r="X696" s="22">
        <f t="shared" si="153"/>
        <v>0</v>
      </c>
      <c r="Y696" s="22">
        <f t="shared" si="153"/>
        <v>0</v>
      </c>
      <c r="Z696" s="22">
        <f t="shared" si="153"/>
        <v>0</v>
      </c>
      <c r="AA696" s="22">
        <f t="shared" si="153"/>
        <v>0</v>
      </c>
      <c r="AB696" s="22">
        <f t="shared" si="153"/>
        <v>0</v>
      </c>
      <c r="AC696" s="22">
        <f t="shared" si="153"/>
        <v>0</v>
      </c>
      <c r="AD696" s="22">
        <f t="shared" si="153"/>
        <v>0</v>
      </c>
      <c r="AE696" s="22">
        <f t="shared" si="153"/>
        <v>0</v>
      </c>
      <c r="AF696" s="22">
        <f t="shared" si="153"/>
        <v>0</v>
      </c>
      <c r="AG696" s="22">
        <f t="shared" si="153"/>
        <v>0</v>
      </c>
      <c r="AH696" s="22">
        <f t="shared" si="153"/>
        <v>0</v>
      </c>
      <c r="AI696" s="22">
        <f t="shared" si="153"/>
        <v>0</v>
      </c>
      <c r="AJ696" s="22">
        <f t="shared" si="153"/>
        <v>0</v>
      </c>
      <c r="AK696" s="22">
        <f t="shared" si="153"/>
        <v>0</v>
      </c>
      <c r="AL696" s="22">
        <f t="shared" si="153"/>
        <v>0</v>
      </c>
      <c r="AM696" s="22">
        <f t="shared" si="153"/>
        <v>0</v>
      </c>
      <c r="AN696" s="22">
        <f t="shared" si="153"/>
        <v>0</v>
      </c>
      <c r="AO696" s="22">
        <f t="shared" si="153"/>
        <v>0</v>
      </c>
      <c r="AP696" s="22">
        <f t="shared" si="153"/>
        <v>0</v>
      </c>
      <c r="AQ696" s="22">
        <f t="shared" ref="L696:AW703" si="154">AQ1495</f>
        <v>0</v>
      </c>
      <c r="AR696" s="22">
        <f t="shared" si="154"/>
        <v>0</v>
      </c>
      <c r="AS696" s="22">
        <f t="shared" si="154"/>
        <v>0</v>
      </c>
      <c r="AT696" s="22">
        <f t="shared" si="154"/>
        <v>0</v>
      </c>
      <c r="AU696" s="22">
        <f t="shared" si="154"/>
        <v>0</v>
      </c>
      <c r="AV696" s="22">
        <f t="shared" si="154"/>
        <v>0</v>
      </c>
      <c r="AW696" s="22">
        <f t="shared" si="154"/>
        <v>0</v>
      </c>
      <c r="AY696" s="85"/>
      <c r="AZ696" s="85"/>
    </row>
    <row r="697" spans="1:52" x14ac:dyDescent="0.25">
      <c r="A697" s="102" t="str">
        <f t="shared" si="149"/>
        <v>NI U&amp;D</v>
      </c>
      <c r="B697" s="102" t="s">
        <v>970</v>
      </c>
      <c r="C697" s="102" t="s">
        <v>1337</v>
      </c>
      <c r="D697" t="s">
        <v>369</v>
      </c>
      <c r="E697" t="s">
        <v>55</v>
      </c>
      <c r="F697" t="s">
        <v>422</v>
      </c>
      <c r="G697" t="s">
        <v>1181</v>
      </c>
      <c r="H697" t="s">
        <v>1255</v>
      </c>
      <c r="I697" t="s">
        <v>139</v>
      </c>
      <c r="J697" t="s">
        <v>287</v>
      </c>
      <c r="K697" s="22">
        <f t="shared" si="152"/>
        <v>0</v>
      </c>
      <c r="L697" s="22">
        <f t="shared" si="154"/>
        <v>0</v>
      </c>
      <c r="M697" s="22">
        <f t="shared" si="154"/>
        <v>0</v>
      </c>
      <c r="N697" s="22">
        <f t="shared" si="154"/>
        <v>0</v>
      </c>
      <c r="O697" s="22">
        <f t="shared" si="154"/>
        <v>0</v>
      </c>
      <c r="P697" s="22">
        <f t="shared" si="154"/>
        <v>0</v>
      </c>
      <c r="Q697" s="22">
        <f t="shared" si="154"/>
        <v>0</v>
      </c>
      <c r="R697" s="22">
        <f t="shared" si="154"/>
        <v>0</v>
      </c>
      <c r="S697" s="22">
        <f t="shared" si="154"/>
        <v>0</v>
      </c>
      <c r="T697" s="22">
        <f t="shared" si="154"/>
        <v>0</v>
      </c>
      <c r="U697" s="22">
        <f t="shared" si="154"/>
        <v>0</v>
      </c>
      <c r="V697" s="22">
        <f t="shared" si="154"/>
        <v>0</v>
      </c>
      <c r="W697" s="22">
        <f t="shared" si="154"/>
        <v>0</v>
      </c>
      <c r="X697" s="22">
        <f t="shared" si="154"/>
        <v>0</v>
      </c>
      <c r="Y697" s="22">
        <f t="shared" si="154"/>
        <v>0</v>
      </c>
      <c r="Z697" s="22">
        <f t="shared" si="154"/>
        <v>0</v>
      </c>
      <c r="AA697" s="22">
        <f t="shared" si="154"/>
        <v>0</v>
      </c>
      <c r="AB697" s="22">
        <f t="shared" si="154"/>
        <v>0</v>
      </c>
      <c r="AC697" s="22">
        <f t="shared" si="154"/>
        <v>0</v>
      </c>
      <c r="AD697" s="22">
        <f t="shared" si="154"/>
        <v>0</v>
      </c>
      <c r="AE697" s="22">
        <f t="shared" si="154"/>
        <v>0</v>
      </c>
      <c r="AF697" s="22">
        <f t="shared" si="154"/>
        <v>0</v>
      </c>
      <c r="AG697" s="22">
        <f t="shared" si="154"/>
        <v>0</v>
      </c>
      <c r="AH697" s="22">
        <f t="shared" si="154"/>
        <v>0</v>
      </c>
      <c r="AI697" s="22">
        <f t="shared" si="154"/>
        <v>0</v>
      </c>
      <c r="AJ697" s="22">
        <f t="shared" si="154"/>
        <v>0</v>
      </c>
      <c r="AK697" s="22">
        <f t="shared" si="154"/>
        <v>0</v>
      </c>
      <c r="AL697" s="22">
        <f t="shared" si="154"/>
        <v>0</v>
      </c>
      <c r="AM697" s="22">
        <f t="shared" si="154"/>
        <v>0</v>
      </c>
      <c r="AN697" s="22">
        <f t="shared" si="154"/>
        <v>0</v>
      </c>
      <c r="AO697" s="22">
        <f t="shared" si="154"/>
        <v>0</v>
      </c>
      <c r="AP697" s="22">
        <f t="shared" si="154"/>
        <v>0</v>
      </c>
      <c r="AQ697" s="22">
        <f t="shared" si="154"/>
        <v>0</v>
      </c>
      <c r="AR697" s="22">
        <f t="shared" si="154"/>
        <v>0</v>
      </c>
      <c r="AS697" s="22">
        <f t="shared" si="154"/>
        <v>0</v>
      </c>
      <c r="AT697" s="22">
        <f t="shared" si="154"/>
        <v>0</v>
      </c>
      <c r="AU697" s="22">
        <f t="shared" si="154"/>
        <v>0</v>
      </c>
      <c r="AV697" s="22">
        <f t="shared" si="154"/>
        <v>0</v>
      </c>
      <c r="AW697" s="22">
        <f t="shared" si="154"/>
        <v>0</v>
      </c>
      <c r="AY697" s="85"/>
      <c r="AZ697" s="85"/>
    </row>
    <row r="698" spans="1:52" x14ac:dyDescent="0.25">
      <c r="A698" s="102" t="str">
        <f t="shared" si="149"/>
        <v>NI U&amp;D</v>
      </c>
      <c r="B698" s="102" t="s">
        <v>970</v>
      </c>
      <c r="C698" s="102" t="s">
        <v>1337</v>
      </c>
      <c r="D698" t="s">
        <v>369</v>
      </c>
      <c r="E698" t="s">
        <v>55</v>
      </c>
      <c r="F698" t="s">
        <v>422</v>
      </c>
      <c r="G698" t="s">
        <v>1183</v>
      </c>
      <c r="H698" t="s">
        <v>1256</v>
      </c>
      <c r="I698" t="s">
        <v>139</v>
      </c>
      <c r="J698" t="s">
        <v>287</v>
      </c>
      <c r="K698" s="22">
        <f t="shared" si="152"/>
        <v>0</v>
      </c>
      <c r="L698" s="22">
        <f t="shared" si="154"/>
        <v>0</v>
      </c>
      <c r="M698" s="22">
        <f t="shared" si="154"/>
        <v>0</v>
      </c>
      <c r="N698" s="22">
        <f t="shared" si="154"/>
        <v>0</v>
      </c>
      <c r="O698" s="22">
        <f t="shared" si="154"/>
        <v>0</v>
      </c>
      <c r="P698" s="22">
        <f t="shared" si="154"/>
        <v>0</v>
      </c>
      <c r="Q698" s="22">
        <f t="shared" si="154"/>
        <v>0</v>
      </c>
      <c r="R698" s="22">
        <f t="shared" si="154"/>
        <v>0</v>
      </c>
      <c r="S698" s="22">
        <f t="shared" si="154"/>
        <v>0</v>
      </c>
      <c r="T698" s="22">
        <f t="shared" si="154"/>
        <v>0</v>
      </c>
      <c r="U698" s="22">
        <f t="shared" si="154"/>
        <v>0</v>
      </c>
      <c r="V698" s="22">
        <f t="shared" si="154"/>
        <v>0</v>
      </c>
      <c r="W698" s="22">
        <f t="shared" si="154"/>
        <v>0</v>
      </c>
      <c r="X698" s="22">
        <f t="shared" si="154"/>
        <v>0</v>
      </c>
      <c r="Y698" s="22">
        <f t="shared" si="154"/>
        <v>0</v>
      </c>
      <c r="Z698" s="22">
        <f t="shared" si="154"/>
        <v>0</v>
      </c>
      <c r="AA698" s="22">
        <f t="shared" si="154"/>
        <v>0</v>
      </c>
      <c r="AB698" s="22">
        <f t="shared" si="154"/>
        <v>0</v>
      </c>
      <c r="AC698" s="22">
        <f t="shared" si="154"/>
        <v>0</v>
      </c>
      <c r="AD698" s="22">
        <f t="shared" si="154"/>
        <v>0</v>
      </c>
      <c r="AE698" s="22">
        <f t="shared" si="154"/>
        <v>0</v>
      </c>
      <c r="AF698" s="22">
        <f t="shared" si="154"/>
        <v>0</v>
      </c>
      <c r="AG698" s="22">
        <f t="shared" si="154"/>
        <v>0</v>
      </c>
      <c r="AH698" s="22">
        <f t="shared" si="154"/>
        <v>0</v>
      </c>
      <c r="AI698" s="22">
        <f t="shared" si="154"/>
        <v>0</v>
      </c>
      <c r="AJ698" s="22">
        <f t="shared" si="154"/>
        <v>0</v>
      </c>
      <c r="AK698" s="22">
        <f t="shared" si="154"/>
        <v>0</v>
      </c>
      <c r="AL698" s="22">
        <f t="shared" si="154"/>
        <v>0</v>
      </c>
      <c r="AM698" s="22">
        <f t="shared" si="154"/>
        <v>0</v>
      </c>
      <c r="AN698" s="22">
        <f t="shared" si="154"/>
        <v>0</v>
      </c>
      <c r="AO698" s="22">
        <f t="shared" si="154"/>
        <v>0</v>
      </c>
      <c r="AP698" s="22">
        <f t="shared" si="154"/>
        <v>0</v>
      </c>
      <c r="AQ698" s="22">
        <f t="shared" si="154"/>
        <v>0</v>
      </c>
      <c r="AR698" s="22">
        <f t="shared" si="154"/>
        <v>0</v>
      </c>
      <c r="AS698" s="22">
        <f t="shared" si="154"/>
        <v>0</v>
      </c>
      <c r="AT698" s="22">
        <f t="shared" si="154"/>
        <v>0</v>
      </c>
      <c r="AU698" s="22">
        <f t="shared" si="154"/>
        <v>0</v>
      </c>
      <c r="AV698" s="22">
        <f t="shared" si="154"/>
        <v>0</v>
      </c>
      <c r="AW698" s="22">
        <f t="shared" si="154"/>
        <v>0</v>
      </c>
      <c r="AY698" s="85"/>
      <c r="AZ698" s="85"/>
    </row>
    <row r="699" spans="1:52" x14ac:dyDescent="0.25">
      <c r="A699" s="102" t="str">
        <f t="shared" si="149"/>
        <v>NI FSOM</v>
      </c>
      <c r="B699" s="102" t="s">
        <v>970</v>
      </c>
      <c r="C699" s="102" t="s">
        <v>60</v>
      </c>
      <c r="D699" t="s">
        <v>369</v>
      </c>
      <c r="E699" t="s">
        <v>55</v>
      </c>
      <c r="F699" t="s">
        <v>60</v>
      </c>
      <c r="G699" t="s">
        <v>1267</v>
      </c>
      <c r="H699" t="s">
        <v>1268</v>
      </c>
      <c r="J699" t="s">
        <v>287</v>
      </c>
      <c r="K699" s="22" t="str">
        <f t="shared" si="152"/>
        <v>NO</v>
      </c>
      <c r="L699" s="22" t="str">
        <f t="shared" si="154"/>
        <v>NO</v>
      </c>
      <c r="M699" s="22" t="str">
        <f t="shared" si="154"/>
        <v>NO</v>
      </c>
      <c r="N699" s="22" t="str">
        <f t="shared" si="154"/>
        <v>NO</v>
      </c>
      <c r="O699" s="22" t="str">
        <f t="shared" si="154"/>
        <v>NO</v>
      </c>
      <c r="P699" s="22" t="str">
        <f t="shared" si="154"/>
        <v>NO</v>
      </c>
      <c r="Q699" s="22" t="str">
        <f t="shared" si="154"/>
        <v>NO</v>
      </c>
      <c r="R699" s="22" t="str">
        <f t="shared" si="154"/>
        <v>NO</v>
      </c>
      <c r="S699" s="22" t="str">
        <f t="shared" si="154"/>
        <v>NO</v>
      </c>
      <c r="T699" s="22" t="str">
        <f t="shared" si="154"/>
        <v>NO</v>
      </c>
      <c r="U699" s="22" t="str">
        <f t="shared" si="154"/>
        <v>NO</v>
      </c>
      <c r="V699" s="22" t="str">
        <f t="shared" si="154"/>
        <v>NO</v>
      </c>
      <c r="W699" s="22" t="str">
        <f t="shared" si="154"/>
        <v>NO</v>
      </c>
      <c r="X699" s="22" t="str">
        <f t="shared" si="154"/>
        <v>NO</v>
      </c>
      <c r="Y699" s="22" t="str">
        <f t="shared" si="154"/>
        <v>NO</v>
      </c>
      <c r="Z699" s="22" t="str">
        <f t="shared" si="154"/>
        <v>NO</v>
      </c>
      <c r="AA699" s="22" t="str">
        <f t="shared" si="154"/>
        <v>NO</v>
      </c>
      <c r="AB699" s="22" t="str">
        <f t="shared" si="154"/>
        <v>NO</v>
      </c>
      <c r="AC699" s="22" t="str">
        <f t="shared" si="154"/>
        <v>NO</v>
      </c>
      <c r="AD699" s="22" t="str">
        <f t="shared" si="154"/>
        <v>NO</v>
      </c>
      <c r="AE699" s="22" t="str">
        <f t="shared" si="154"/>
        <v>NO</v>
      </c>
      <c r="AF699" s="22" t="str">
        <f t="shared" si="154"/>
        <v>NO</v>
      </c>
      <c r="AG699" s="22" t="str">
        <f t="shared" si="154"/>
        <v>NO</v>
      </c>
      <c r="AH699" s="22" t="str">
        <f t="shared" si="154"/>
        <v>NO</v>
      </c>
      <c r="AI699" s="22" t="str">
        <f t="shared" si="154"/>
        <v>NO</v>
      </c>
      <c r="AJ699" s="22" t="str">
        <f t="shared" si="154"/>
        <v>NO</v>
      </c>
      <c r="AK699" s="22" t="str">
        <f t="shared" si="154"/>
        <v>NO</v>
      </c>
      <c r="AL699" s="22" t="str">
        <f t="shared" si="154"/>
        <v>NO</v>
      </c>
      <c r="AM699" s="22" t="str">
        <f t="shared" si="154"/>
        <v>NO</v>
      </c>
      <c r="AN699" s="22" t="str">
        <f t="shared" si="154"/>
        <v>NO</v>
      </c>
      <c r="AO699" s="22" t="str">
        <f t="shared" si="154"/>
        <v>NO</v>
      </c>
      <c r="AP699" s="22" t="str">
        <f t="shared" si="154"/>
        <v>NO</v>
      </c>
      <c r="AQ699" s="22" t="str">
        <f t="shared" si="154"/>
        <v>NO</v>
      </c>
      <c r="AR699" s="22" t="str">
        <f t="shared" si="154"/>
        <v>NO</v>
      </c>
      <c r="AS699" s="22" t="str">
        <f t="shared" si="154"/>
        <v>NO</v>
      </c>
      <c r="AT699" s="22" t="str">
        <f t="shared" si="154"/>
        <v>NO</v>
      </c>
      <c r="AU699" s="22" t="str">
        <f t="shared" si="154"/>
        <v>NO</v>
      </c>
      <c r="AV699" s="22" t="str">
        <f t="shared" si="154"/>
        <v>NO</v>
      </c>
      <c r="AW699" s="22" t="str">
        <f t="shared" si="154"/>
        <v>NO</v>
      </c>
      <c r="AY699" s="85"/>
      <c r="AZ699" s="85"/>
    </row>
    <row r="700" spans="1:52" x14ac:dyDescent="0.25">
      <c r="A700" s="102" t="str">
        <f t="shared" si="149"/>
        <v>NI FSOM</v>
      </c>
      <c r="B700" s="102" t="s">
        <v>970</v>
      </c>
      <c r="C700" s="102" t="s">
        <v>60</v>
      </c>
      <c r="D700" t="s">
        <v>369</v>
      </c>
      <c r="E700" t="s">
        <v>55</v>
      </c>
      <c r="F700" t="s">
        <v>60</v>
      </c>
      <c r="G700" t="s">
        <v>1269</v>
      </c>
      <c r="H700" t="s">
        <v>1270</v>
      </c>
      <c r="J700" t="s">
        <v>287</v>
      </c>
      <c r="K700" s="22" t="str">
        <f t="shared" si="152"/>
        <v>NO</v>
      </c>
      <c r="L700" s="22" t="str">
        <f t="shared" si="154"/>
        <v>NO</v>
      </c>
      <c r="M700" s="22" t="str">
        <f t="shared" si="154"/>
        <v>NO</v>
      </c>
      <c r="N700" s="22" t="str">
        <f t="shared" si="154"/>
        <v>NO</v>
      </c>
      <c r="O700" s="22" t="str">
        <f t="shared" si="154"/>
        <v>NO</v>
      </c>
      <c r="P700" s="22" t="str">
        <f t="shared" si="154"/>
        <v>NO</v>
      </c>
      <c r="Q700" s="22" t="str">
        <f t="shared" si="154"/>
        <v>NO</v>
      </c>
      <c r="R700" s="22" t="str">
        <f t="shared" si="154"/>
        <v>NO</v>
      </c>
      <c r="S700" s="22" t="str">
        <f t="shared" si="154"/>
        <v>NO</v>
      </c>
      <c r="T700" s="22" t="str">
        <f t="shared" si="154"/>
        <v>NO</v>
      </c>
      <c r="U700" s="22" t="str">
        <f t="shared" si="154"/>
        <v>NO</v>
      </c>
      <c r="V700" s="22" t="str">
        <f t="shared" si="154"/>
        <v>NO</v>
      </c>
      <c r="W700" s="22" t="str">
        <f t="shared" si="154"/>
        <v>NO</v>
      </c>
      <c r="X700" s="22" t="str">
        <f t="shared" si="154"/>
        <v>NO</v>
      </c>
      <c r="Y700" s="22" t="str">
        <f t="shared" si="154"/>
        <v>NO</v>
      </c>
      <c r="Z700" s="22" t="str">
        <f t="shared" si="154"/>
        <v>NO</v>
      </c>
      <c r="AA700" s="22" t="str">
        <f t="shared" si="154"/>
        <v>NO</v>
      </c>
      <c r="AB700" s="22" t="str">
        <f t="shared" si="154"/>
        <v>NO</v>
      </c>
      <c r="AC700" s="22" t="str">
        <f t="shared" si="154"/>
        <v>NO</v>
      </c>
      <c r="AD700" s="22" t="str">
        <f t="shared" si="154"/>
        <v>NO</v>
      </c>
      <c r="AE700" s="22" t="str">
        <f t="shared" si="154"/>
        <v>NO</v>
      </c>
      <c r="AF700" s="22" t="str">
        <f t="shared" si="154"/>
        <v>NO</v>
      </c>
      <c r="AG700" s="22" t="str">
        <f t="shared" si="154"/>
        <v>NO</v>
      </c>
      <c r="AH700" s="22" t="str">
        <f t="shared" si="154"/>
        <v>NO</v>
      </c>
      <c r="AI700" s="22" t="str">
        <f t="shared" si="154"/>
        <v>NO</v>
      </c>
      <c r="AJ700" s="22" t="str">
        <f t="shared" si="154"/>
        <v>NO</v>
      </c>
      <c r="AK700" s="22" t="str">
        <f t="shared" si="154"/>
        <v>NO</v>
      </c>
      <c r="AL700" s="22" t="str">
        <f t="shared" si="154"/>
        <v>NO</v>
      </c>
      <c r="AM700" s="22" t="str">
        <f t="shared" si="154"/>
        <v>NO</v>
      </c>
      <c r="AN700" s="22" t="str">
        <f t="shared" si="154"/>
        <v>NO</v>
      </c>
      <c r="AO700" s="22" t="str">
        <f t="shared" si="154"/>
        <v>NO</v>
      </c>
      <c r="AP700" s="22" t="str">
        <f t="shared" si="154"/>
        <v>NO</v>
      </c>
      <c r="AQ700" s="22" t="str">
        <f t="shared" si="154"/>
        <v>NO</v>
      </c>
      <c r="AR700" s="22" t="str">
        <f t="shared" si="154"/>
        <v>NO</v>
      </c>
      <c r="AS700" s="22" t="str">
        <f t="shared" si="154"/>
        <v>NO</v>
      </c>
      <c r="AT700" s="22" t="str">
        <f t="shared" si="154"/>
        <v>NO</v>
      </c>
      <c r="AU700" s="22" t="str">
        <f t="shared" si="154"/>
        <v>NO</v>
      </c>
      <c r="AV700" s="22" t="str">
        <f t="shared" si="154"/>
        <v>NO</v>
      </c>
      <c r="AW700" s="22" t="str">
        <f t="shared" si="154"/>
        <v>NO</v>
      </c>
      <c r="AY700" s="85"/>
      <c r="AZ700" s="85"/>
    </row>
    <row r="701" spans="1:52" x14ac:dyDescent="0.25">
      <c r="A701" s="102" t="str">
        <f t="shared" si="149"/>
        <v>NI FSOM</v>
      </c>
      <c r="B701" s="102" t="s">
        <v>970</v>
      </c>
      <c r="C701" s="102" t="s">
        <v>60</v>
      </c>
      <c r="D701" t="s">
        <v>369</v>
      </c>
      <c r="E701" t="s">
        <v>55</v>
      </c>
      <c r="F701" t="s">
        <v>60</v>
      </c>
      <c r="G701" t="s">
        <v>1271</v>
      </c>
      <c r="H701" t="s">
        <v>1272</v>
      </c>
      <c r="J701" t="s">
        <v>287</v>
      </c>
      <c r="K701" s="22">
        <f t="shared" si="152"/>
        <v>3.4398813895090996E-3</v>
      </c>
      <c r="L701" s="22">
        <f t="shared" si="154"/>
        <v>3.4358310252377683E-3</v>
      </c>
      <c r="M701" s="22">
        <f t="shared" si="154"/>
        <v>3.4317806609664363E-3</v>
      </c>
      <c r="N701" s="22">
        <f t="shared" si="154"/>
        <v>3.4277302966951037E-3</v>
      </c>
      <c r="O701" s="22">
        <f t="shared" si="154"/>
        <v>3.4236799324237725E-3</v>
      </c>
      <c r="P701" s="22">
        <f t="shared" si="154"/>
        <v>3.4196295681524396E-3</v>
      </c>
      <c r="Q701" s="22">
        <f t="shared" si="154"/>
        <v>3.4155792038811079E-3</v>
      </c>
      <c r="R701" s="22">
        <f t="shared" si="154"/>
        <v>3.4115288396097763E-3</v>
      </c>
      <c r="S701" s="22">
        <f t="shared" si="154"/>
        <v>3.4074784753384451E-3</v>
      </c>
      <c r="T701" s="22">
        <f t="shared" si="154"/>
        <v>3.4034281110671134E-3</v>
      </c>
      <c r="U701" s="22">
        <f t="shared" si="154"/>
        <v>3.39937774679578E-3</v>
      </c>
      <c r="V701" s="22">
        <f t="shared" si="154"/>
        <v>3.3953273825244488E-3</v>
      </c>
      <c r="W701" s="22">
        <f t="shared" si="154"/>
        <v>3.3912770182531172E-3</v>
      </c>
      <c r="X701" s="22">
        <f t="shared" si="154"/>
        <v>3.387226653981786E-3</v>
      </c>
      <c r="Y701" s="22">
        <f t="shared" si="154"/>
        <v>3.3831762897104547E-3</v>
      </c>
      <c r="Z701" s="22">
        <f t="shared" si="154"/>
        <v>3.3791259254391218E-3</v>
      </c>
      <c r="AA701" s="22">
        <f t="shared" si="154"/>
        <v>3.375075561167791E-3</v>
      </c>
      <c r="AB701" s="22">
        <f t="shared" si="154"/>
        <v>3.3710251968964585E-3</v>
      </c>
      <c r="AC701" s="22">
        <f t="shared" si="154"/>
        <v>3.3669748326251273E-3</v>
      </c>
      <c r="AD701" s="22">
        <f t="shared" si="154"/>
        <v>3.3629244683537943E-3</v>
      </c>
      <c r="AE701" s="22">
        <f t="shared" si="154"/>
        <v>3.358874104082464E-3</v>
      </c>
      <c r="AF701" s="22">
        <f t="shared" si="154"/>
        <v>3.3548237398111319E-3</v>
      </c>
      <c r="AG701" s="22">
        <f t="shared" si="154"/>
        <v>3.3507733755397998E-3</v>
      </c>
      <c r="AH701" s="22">
        <f t="shared" si="154"/>
        <v>3.3467230112684673E-3</v>
      </c>
      <c r="AI701" s="22">
        <f t="shared" si="154"/>
        <v>3.3426726469971361E-3</v>
      </c>
      <c r="AJ701" s="22">
        <f t="shared" si="154"/>
        <v>3.3386222827258044E-3</v>
      </c>
      <c r="AK701" s="22">
        <f t="shared" si="154"/>
        <v>3.3345719184544728E-3</v>
      </c>
      <c r="AL701" s="22">
        <f t="shared" si="154"/>
        <v>3.3305215541831416E-3</v>
      </c>
      <c r="AM701" s="22">
        <f t="shared" si="154"/>
        <v>3.3264711899118095E-3</v>
      </c>
      <c r="AN701" s="22">
        <f t="shared" si="154"/>
        <v>3.3224208256404765E-3</v>
      </c>
      <c r="AO701" s="22">
        <f t="shared" si="154"/>
        <v>3.3183704613691458E-3</v>
      </c>
      <c r="AP701" s="22">
        <f t="shared" si="154"/>
        <v>3.3143200970978137E-3</v>
      </c>
      <c r="AQ701" s="22">
        <f t="shared" si="154"/>
        <v>3.3102697328264833E-3</v>
      </c>
      <c r="AR701" s="22">
        <f t="shared" si="154"/>
        <v>3.3062193685551499E-3</v>
      </c>
      <c r="AS701" s="22">
        <f t="shared" si="154"/>
        <v>3.3021690042838187E-3</v>
      </c>
      <c r="AT701" s="22">
        <f t="shared" si="154"/>
        <v>3.2981186400124866E-3</v>
      </c>
      <c r="AU701" s="22">
        <f t="shared" si="154"/>
        <v>3.2940682757411541E-3</v>
      </c>
      <c r="AV701" s="22">
        <f t="shared" si="154"/>
        <v>3.2900179114698229E-3</v>
      </c>
      <c r="AW701" s="22">
        <f t="shared" si="154"/>
        <v>3.2859675471984908E-3</v>
      </c>
      <c r="AY701" s="85"/>
      <c r="AZ701" s="85"/>
    </row>
    <row r="702" spans="1:52" x14ac:dyDescent="0.25">
      <c r="A702" s="102" t="str">
        <f t="shared" si="149"/>
        <v>NI FSOM</v>
      </c>
      <c r="B702" s="102" t="s">
        <v>970</v>
      </c>
      <c r="C702" s="102" t="s">
        <v>60</v>
      </c>
      <c r="D702" t="s">
        <v>369</v>
      </c>
      <c r="E702" t="s">
        <v>55</v>
      </c>
      <c r="F702" t="s">
        <v>60</v>
      </c>
      <c r="G702" t="s">
        <v>1273</v>
      </c>
      <c r="H702" t="s">
        <v>1274</v>
      </c>
      <c r="J702" t="s">
        <v>287</v>
      </c>
      <c r="K702" s="22">
        <f t="shared" si="152"/>
        <v>0.49020960547040615</v>
      </c>
      <c r="L702" s="22">
        <f t="shared" si="154"/>
        <v>0.49134551154341793</v>
      </c>
      <c r="M702" s="22">
        <f t="shared" si="154"/>
        <v>0.49248141761642988</v>
      </c>
      <c r="N702" s="22">
        <f t="shared" si="154"/>
        <v>0.49361732368944172</v>
      </c>
      <c r="O702" s="22">
        <f t="shared" si="154"/>
        <v>0.49475322976245356</v>
      </c>
      <c r="P702" s="22">
        <f t="shared" si="154"/>
        <v>0.49588913583546534</v>
      </c>
      <c r="Q702" s="22">
        <f t="shared" si="154"/>
        <v>0.49702504190847724</v>
      </c>
      <c r="R702" s="22">
        <f t="shared" si="154"/>
        <v>0.49816094798148913</v>
      </c>
      <c r="S702" s="22">
        <f t="shared" si="154"/>
        <v>0.49929685405450086</v>
      </c>
      <c r="T702" s="22">
        <f t="shared" si="154"/>
        <v>0.50043276012751292</v>
      </c>
      <c r="U702" s="22">
        <f t="shared" si="154"/>
        <v>0.50156866620052454</v>
      </c>
      <c r="V702" s="22">
        <f t="shared" si="154"/>
        <v>0.50270457227353649</v>
      </c>
      <c r="W702" s="22">
        <f t="shared" si="154"/>
        <v>0.50384047834654833</v>
      </c>
      <c r="X702" s="22">
        <f t="shared" si="154"/>
        <v>0.50497638441956039</v>
      </c>
      <c r="Y702" s="22">
        <f t="shared" si="154"/>
        <v>0.506112290492572</v>
      </c>
      <c r="Z702" s="22">
        <f t="shared" si="154"/>
        <v>0.50724819656558406</v>
      </c>
      <c r="AA702" s="22">
        <f t="shared" si="154"/>
        <v>0.50838410263859568</v>
      </c>
      <c r="AB702" s="22">
        <f t="shared" si="154"/>
        <v>0.50952000871160763</v>
      </c>
      <c r="AC702" s="22">
        <f t="shared" si="154"/>
        <v>0.51065591478461958</v>
      </c>
      <c r="AD702" s="22">
        <f t="shared" si="154"/>
        <v>0.51179182085763142</v>
      </c>
      <c r="AE702" s="22">
        <f t="shared" si="154"/>
        <v>0.51292772693064326</v>
      </c>
      <c r="AF702" s="22">
        <f t="shared" si="154"/>
        <v>0.5140636330036551</v>
      </c>
      <c r="AG702" s="22">
        <f t="shared" si="154"/>
        <v>0.51519953907666705</v>
      </c>
      <c r="AH702" s="22">
        <f t="shared" si="154"/>
        <v>0.51633544514967877</v>
      </c>
      <c r="AI702" s="22">
        <f t="shared" si="154"/>
        <v>0.51747135122269072</v>
      </c>
      <c r="AJ702" s="22">
        <f t="shared" si="154"/>
        <v>0.51860725729570256</v>
      </c>
      <c r="AK702" s="22">
        <f t="shared" si="154"/>
        <v>0.5197431633687144</v>
      </c>
      <c r="AL702" s="22">
        <f t="shared" si="154"/>
        <v>0.52087906944172624</v>
      </c>
      <c r="AM702" s="22">
        <f t="shared" si="154"/>
        <v>0.52201497551473808</v>
      </c>
      <c r="AN702" s="22">
        <f t="shared" si="154"/>
        <v>0.52315088158774992</v>
      </c>
      <c r="AO702" s="22">
        <f t="shared" si="154"/>
        <v>0.52428678766076187</v>
      </c>
      <c r="AP702" s="22">
        <f t="shared" si="154"/>
        <v>0.52542269373377359</v>
      </c>
      <c r="AQ702" s="22">
        <f t="shared" si="154"/>
        <v>0.52655859980678543</v>
      </c>
      <c r="AR702" s="22">
        <f t="shared" si="154"/>
        <v>0.52769450587979749</v>
      </c>
      <c r="AS702" s="22">
        <f t="shared" si="154"/>
        <v>0.52883041195280922</v>
      </c>
      <c r="AT702" s="22">
        <f t="shared" si="154"/>
        <v>0.52996631802582106</v>
      </c>
      <c r="AU702" s="22">
        <f t="shared" si="154"/>
        <v>0.53110222409883301</v>
      </c>
      <c r="AV702" s="22">
        <f t="shared" si="154"/>
        <v>0.53223813017184474</v>
      </c>
      <c r="AW702" s="22">
        <f t="shared" si="154"/>
        <v>0.5333740362448568</v>
      </c>
      <c r="AY702" s="85"/>
      <c r="AZ702" s="85"/>
    </row>
    <row r="703" spans="1:52" x14ac:dyDescent="0.25">
      <c r="A703" s="102" t="str">
        <f t="shared" si="149"/>
        <v>NI FSOM</v>
      </c>
      <c r="B703" s="102" t="s">
        <v>970</v>
      </c>
      <c r="C703" s="102" t="s">
        <v>60</v>
      </c>
      <c r="D703" t="s">
        <v>369</v>
      </c>
      <c r="E703" t="s">
        <v>55</v>
      </c>
      <c r="F703" t="s">
        <v>60</v>
      </c>
      <c r="G703" t="s">
        <v>1275</v>
      </c>
      <c r="H703" t="s">
        <v>1276</v>
      </c>
      <c r="J703" t="s">
        <v>287</v>
      </c>
      <c r="K703" s="22">
        <f t="shared" si="152"/>
        <v>0.57597220909378744</v>
      </c>
      <c r="L703" s="22">
        <f t="shared" si="154"/>
        <v>0.57597220909378744</v>
      </c>
      <c r="M703" s="22">
        <f t="shared" si="154"/>
        <v>0.57597220909378744</v>
      </c>
      <c r="N703" s="22">
        <f t="shared" si="154"/>
        <v>0.57597220909378744</v>
      </c>
      <c r="O703" s="22">
        <f t="shared" si="154"/>
        <v>0.57597220909378744</v>
      </c>
      <c r="P703" s="22">
        <f t="shared" si="154"/>
        <v>0.57597220909378744</v>
      </c>
      <c r="Q703" s="22">
        <f t="shared" si="154"/>
        <v>0.57597220909378744</v>
      </c>
      <c r="R703" s="22">
        <f t="shared" si="154"/>
        <v>0.57597220909378744</v>
      </c>
      <c r="S703" s="22">
        <f t="shared" si="154"/>
        <v>0.57597220909378744</v>
      </c>
      <c r="T703" s="22">
        <f t="shared" si="154"/>
        <v>0.57597220909378744</v>
      </c>
      <c r="U703" s="22">
        <f t="shared" si="154"/>
        <v>0.57597220909378744</v>
      </c>
      <c r="V703" s="22">
        <f t="shared" si="154"/>
        <v>0.57597220909378744</v>
      </c>
      <c r="W703" s="22">
        <f t="shared" si="154"/>
        <v>0.57597220909378744</v>
      </c>
      <c r="X703" s="22">
        <f t="shared" si="154"/>
        <v>0.57597220909378744</v>
      </c>
      <c r="Y703" s="22">
        <f t="shared" si="154"/>
        <v>0.57597220909378744</v>
      </c>
      <c r="Z703" s="22">
        <f t="shared" si="154"/>
        <v>0.57597220909378744</v>
      </c>
      <c r="AA703" s="22">
        <f t="shared" si="154"/>
        <v>0.57597220909378744</v>
      </c>
      <c r="AB703" s="22">
        <f t="shared" si="154"/>
        <v>0.57597220909378744</v>
      </c>
      <c r="AC703" s="22">
        <f t="shared" si="154"/>
        <v>0.57597220909378744</v>
      </c>
      <c r="AD703" s="22">
        <f t="shared" si="154"/>
        <v>0.57597220909378744</v>
      </c>
      <c r="AE703" s="22">
        <f t="shared" si="154"/>
        <v>0.57597220909378744</v>
      </c>
      <c r="AF703" s="22">
        <f t="shared" ref="L703:AW710" si="155">AF1502</f>
        <v>0.57597220909378744</v>
      </c>
      <c r="AG703" s="22">
        <f t="shared" si="155"/>
        <v>0.57597220909378744</v>
      </c>
      <c r="AH703" s="22">
        <f t="shared" si="155"/>
        <v>0.57597220909378744</v>
      </c>
      <c r="AI703" s="22">
        <f t="shared" si="155"/>
        <v>0.57597220909378744</v>
      </c>
      <c r="AJ703" s="22">
        <f t="shared" si="155"/>
        <v>0.57597220909378744</v>
      </c>
      <c r="AK703" s="22">
        <f t="shared" si="155"/>
        <v>0.57597220909378744</v>
      </c>
      <c r="AL703" s="22">
        <f t="shared" si="155"/>
        <v>0.57597220909378744</v>
      </c>
      <c r="AM703" s="22">
        <f t="shared" si="155"/>
        <v>0.57597220909378744</v>
      </c>
      <c r="AN703" s="22">
        <f t="shared" si="155"/>
        <v>0.57597220909378744</v>
      </c>
      <c r="AO703" s="22">
        <f t="shared" si="155"/>
        <v>0.57597220909378744</v>
      </c>
      <c r="AP703" s="22">
        <f t="shared" si="155"/>
        <v>0.57597220909378744</v>
      </c>
      <c r="AQ703" s="22">
        <f t="shared" si="155"/>
        <v>0.57597220909378744</v>
      </c>
      <c r="AR703" s="22">
        <f t="shared" si="155"/>
        <v>0.57597220909378744</v>
      </c>
      <c r="AS703" s="22">
        <f t="shared" si="155"/>
        <v>0.57597220909378744</v>
      </c>
      <c r="AT703" s="22">
        <f t="shared" si="155"/>
        <v>0.57597220909378744</v>
      </c>
      <c r="AU703" s="22">
        <f t="shared" si="155"/>
        <v>0.57597220909378744</v>
      </c>
      <c r="AV703" s="22">
        <f t="shared" si="155"/>
        <v>0.57597220909378744</v>
      </c>
      <c r="AW703" s="22">
        <f t="shared" si="155"/>
        <v>0.57597220909378744</v>
      </c>
      <c r="AY703" s="85"/>
      <c r="AZ703" s="85"/>
    </row>
    <row r="704" spans="1:52" x14ac:dyDescent="0.25">
      <c r="A704" s="102" t="str">
        <f t="shared" si="149"/>
        <v>NI FSOM</v>
      </c>
      <c r="B704" s="102" t="s">
        <v>970</v>
      </c>
      <c r="C704" s="102" t="s">
        <v>60</v>
      </c>
      <c r="D704" t="s">
        <v>369</v>
      </c>
      <c r="E704" t="s">
        <v>55</v>
      </c>
      <c r="F704" t="s">
        <v>60</v>
      </c>
      <c r="G704" t="s">
        <v>1277</v>
      </c>
      <c r="H704" t="s">
        <v>1278</v>
      </c>
      <c r="J704" t="s">
        <v>287</v>
      </c>
      <c r="K704" s="22" t="str">
        <f t="shared" si="152"/>
        <v>NO</v>
      </c>
      <c r="L704" s="22" t="str">
        <f t="shared" si="155"/>
        <v>NO</v>
      </c>
      <c r="M704" s="22" t="str">
        <f t="shared" si="155"/>
        <v>NO</v>
      </c>
      <c r="N704" s="22" t="str">
        <f t="shared" si="155"/>
        <v>NO</v>
      </c>
      <c r="O704" s="22" t="str">
        <f t="shared" si="155"/>
        <v>NO</v>
      </c>
      <c r="P704" s="22" t="str">
        <f t="shared" si="155"/>
        <v>NO</v>
      </c>
      <c r="Q704" s="22" t="str">
        <f t="shared" si="155"/>
        <v>NO</v>
      </c>
      <c r="R704" s="22" t="str">
        <f t="shared" si="155"/>
        <v>NO</v>
      </c>
      <c r="S704" s="22" t="str">
        <f t="shared" si="155"/>
        <v>NO</v>
      </c>
      <c r="T704" s="22" t="str">
        <f t="shared" si="155"/>
        <v>NO</v>
      </c>
      <c r="U704" s="22" t="str">
        <f t="shared" si="155"/>
        <v>NO</v>
      </c>
      <c r="V704" s="22" t="str">
        <f t="shared" si="155"/>
        <v>NO</v>
      </c>
      <c r="W704" s="22" t="str">
        <f t="shared" si="155"/>
        <v>NO</v>
      </c>
      <c r="X704" s="22" t="str">
        <f t="shared" si="155"/>
        <v>NO</v>
      </c>
      <c r="Y704" s="22" t="str">
        <f t="shared" si="155"/>
        <v>NO</v>
      </c>
      <c r="Z704" s="22" t="str">
        <f t="shared" si="155"/>
        <v>NO</v>
      </c>
      <c r="AA704" s="22" t="str">
        <f t="shared" si="155"/>
        <v>NO</v>
      </c>
      <c r="AB704" s="22" t="str">
        <f t="shared" si="155"/>
        <v>NO</v>
      </c>
      <c r="AC704" s="22" t="str">
        <f t="shared" si="155"/>
        <v>NO</v>
      </c>
      <c r="AD704" s="22" t="str">
        <f t="shared" si="155"/>
        <v>NO</v>
      </c>
      <c r="AE704" s="22" t="str">
        <f t="shared" si="155"/>
        <v>NO</v>
      </c>
      <c r="AF704" s="22" t="str">
        <f t="shared" si="155"/>
        <v>NO</v>
      </c>
      <c r="AG704" s="22" t="str">
        <f t="shared" si="155"/>
        <v>NO</v>
      </c>
      <c r="AH704" s="22" t="str">
        <f t="shared" si="155"/>
        <v>NO</v>
      </c>
      <c r="AI704" s="22" t="str">
        <f t="shared" si="155"/>
        <v>NO</v>
      </c>
      <c r="AJ704" s="22" t="str">
        <f t="shared" si="155"/>
        <v>NO</v>
      </c>
      <c r="AK704" s="22" t="str">
        <f t="shared" si="155"/>
        <v>NO</v>
      </c>
      <c r="AL704" s="22" t="str">
        <f t="shared" si="155"/>
        <v>NO</v>
      </c>
      <c r="AM704" s="22" t="str">
        <f t="shared" si="155"/>
        <v>NO</v>
      </c>
      <c r="AN704" s="22" t="str">
        <f t="shared" si="155"/>
        <v>NO</v>
      </c>
      <c r="AO704" s="22" t="str">
        <f t="shared" si="155"/>
        <v>NO</v>
      </c>
      <c r="AP704" s="22" t="str">
        <f t="shared" si="155"/>
        <v>NO</v>
      </c>
      <c r="AQ704" s="22" t="str">
        <f t="shared" si="155"/>
        <v>NO</v>
      </c>
      <c r="AR704" s="22" t="str">
        <f t="shared" si="155"/>
        <v>NO</v>
      </c>
      <c r="AS704" s="22" t="str">
        <f t="shared" si="155"/>
        <v>NO</v>
      </c>
      <c r="AT704" s="22" t="str">
        <f t="shared" si="155"/>
        <v>NO</v>
      </c>
      <c r="AU704" s="22" t="str">
        <f t="shared" si="155"/>
        <v>NO</v>
      </c>
      <c r="AV704" s="22" t="str">
        <f t="shared" si="155"/>
        <v>NO</v>
      </c>
      <c r="AW704" s="22" t="str">
        <f t="shared" si="155"/>
        <v>NO</v>
      </c>
      <c r="AY704" s="85"/>
      <c r="AZ704" s="85"/>
    </row>
    <row r="705" spans="1:52" x14ac:dyDescent="0.25">
      <c r="A705" s="102" t="str">
        <f t="shared" si="149"/>
        <v>NI FSOM</v>
      </c>
      <c r="B705" s="102" t="s">
        <v>970</v>
      </c>
      <c r="C705" s="102" t="s">
        <v>60</v>
      </c>
      <c r="D705" t="s">
        <v>369</v>
      </c>
      <c r="E705" t="s">
        <v>55</v>
      </c>
      <c r="F705" t="s">
        <v>60</v>
      </c>
      <c r="G705" t="s">
        <v>1279</v>
      </c>
      <c r="H705" t="s">
        <v>1280</v>
      </c>
      <c r="J705" t="s">
        <v>287</v>
      </c>
      <c r="K705" s="22" t="str">
        <f t="shared" si="152"/>
        <v>NO</v>
      </c>
      <c r="L705" s="22" t="str">
        <f t="shared" si="155"/>
        <v>NO</v>
      </c>
      <c r="M705" s="22" t="str">
        <f t="shared" si="155"/>
        <v>NO</v>
      </c>
      <c r="N705" s="22" t="str">
        <f t="shared" si="155"/>
        <v>NO</v>
      </c>
      <c r="O705" s="22" t="str">
        <f t="shared" si="155"/>
        <v>NO</v>
      </c>
      <c r="P705" s="22" t="str">
        <f t="shared" si="155"/>
        <v>NO</v>
      </c>
      <c r="Q705" s="22" t="str">
        <f t="shared" si="155"/>
        <v>NO</v>
      </c>
      <c r="R705" s="22" t="str">
        <f t="shared" si="155"/>
        <v>NO</v>
      </c>
      <c r="S705" s="22" t="str">
        <f t="shared" si="155"/>
        <v>NO</v>
      </c>
      <c r="T705" s="22" t="str">
        <f t="shared" si="155"/>
        <v>NO</v>
      </c>
      <c r="U705" s="22" t="str">
        <f t="shared" si="155"/>
        <v>NO</v>
      </c>
      <c r="V705" s="22" t="str">
        <f t="shared" si="155"/>
        <v>NO</v>
      </c>
      <c r="W705" s="22" t="str">
        <f t="shared" si="155"/>
        <v>NO</v>
      </c>
      <c r="X705" s="22" t="str">
        <f t="shared" si="155"/>
        <v>NO</v>
      </c>
      <c r="Y705" s="22" t="str">
        <f t="shared" si="155"/>
        <v>NO</v>
      </c>
      <c r="Z705" s="22" t="str">
        <f t="shared" si="155"/>
        <v>NO</v>
      </c>
      <c r="AA705" s="22" t="str">
        <f t="shared" si="155"/>
        <v>NO</v>
      </c>
      <c r="AB705" s="22" t="str">
        <f t="shared" si="155"/>
        <v>NO</v>
      </c>
      <c r="AC705" s="22" t="str">
        <f t="shared" si="155"/>
        <v>NO</v>
      </c>
      <c r="AD705" s="22" t="str">
        <f t="shared" si="155"/>
        <v>NO</v>
      </c>
      <c r="AE705" s="22" t="str">
        <f t="shared" si="155"/>
        <v>NO</v>
      </c>
      <c r="AF705" s="22" t="str">
        <f t="shared" si="155"/>
        <v>NO</v>
      </c>
      <c r="AG705" s="22" t="str">
        <f t="shared" si="155"/>
        <v>NO</v>
      </c>
      <c r="AH705" s="22" t="str">
        <f t="shared" si="155"/>
        <v>NO</v>
      </c>
      <c r="AI705" s="22" t="str">
        <f t="shared" si="155"/>
        <v>NO</v>
      </c>
      <c r="AJ705" s="22" t="str">
        <f t="shared" si="155"/>
        <v>NO</v>
      </c>
      <c r="AK705" s="22" t="str">
        <f t="shared" si="155"/>
        <v>NO</v>
      </c>
      <c r="AL705" s="22" t="str">
        <f t="shared" si="155"/>
        <v>NO</v>
      </c>
      <c r="AM705" s="22" t="str">
        <f t="shared" si="155"/>
        <v>NO</v>
      </c>
      <c r="AN705" s="22" t="str">
        <f t="shared" si="155"/>
        <v>NO</v>
      </c>
      <c r="AO705" s="22" t="str">
        <f t="shared" si="155"/>
        <v>NO</v>
      </c>
      <c r="AP705" s="22" t="str">
        <f t="shared" si="155"/>
        <v>NO</v>
      </c>
      <c r="AQ705" s="22" t="str">
        <f t="shared" si="155"/>
        <v>NO</v>
      </c>
      <c r="AR705" s="22" t="str">
        <f t="shared" si="155"/>
        <v>NO</v>
      </c>
      <c r="AS705" s="22" t="str">
        <f t="shared" si="155"/>
        <v>NO</v>
      </c>
      <c r="AT705" s="22" t="str">
        <f t="shared" si="155"/>
        <v>NO</v>
      </c>
      <c r="AU705" s="22" t="str">
        <f t="shared" si="155"/>
        <v>NO</v>
      </c>
      <c r="AV705" s="22" t="str">
        <f t="shared" si="155"/>
        <v>NO</v>
      </c>
      <c r="AW705" s="22" t="str">
        <f t="shared" si="155"/>
        <v>NO</v>
      </c>
      <c r="AY705" s="85"/>
      <c r="AZ705" s="85"/>
    </row>
    <row r="706" spans="1:52" x14ac:dyDescent="0.25">
      <c r="A706" s="102" t="str">
        <f t="shared" si="149"/>
        <v>NI FSOM</v>
      </c>
      <c r="B706" s="102" t="s">
        <v>970</v>
      </c>
      <c r="C706" s="102" t="s">
        <v>60</v>
      </c>
      <c r="D706" t="s">
        <v>369</v>
      </c>
      <c r="E706" t="s">
        <v>55</v>
      </c>
      <c r="F706" t="s">
        <v>60</v>
      </c>
      <c r="G706" t="s">
        <v>1281</v>
      </c>
      <c r="H706" t="s">
        <v>1282</v>
      </c>
      <c r="J706" t="s">
        <v>287</v>
      </c>
      <c r="K706" s="22" t="str">
        <f t="shared" si="152"/>
        <v>NO</v>
      </c>
      <c r="L706" s="22" t="str">
        <f t="shared" si="155"/>
        <v>NO</v>
      </c>
      <c r="M706" s="22" t="str">
        <f t="shared" si="155"/>
        <v>NO</v>
      </c>
      <c r="N706" s="22" t="str">
        <f t="shared" si="155"/>
        <v>NO</v>
      </c>
      <c r="O706" s="22" t="str">
        <f t="shared" si="155"/>
        <v>NO</v>
      </c>
      <c r="P706" s="22" t="str">
        <f t="shared" si="155"/>
        <v>NO</v>
      </c>
      <c r="Q706" s="22" t="str">
        <f t="shared" si="155"/>
        <v>NO</v>
      </c>
      <c r="R706" s="22" t="str">
        <f t="shared" si="155"/>
        <v>NO</v>
      </c>
      <c r="S706" s="22" t="str">
        <f t="shared" si="155"/>
        <v>NO</v>
      </c>
      <c r="T706" s="22" t="str">
        <f t="shared" si="155"/>
        <v>NO</v>
      </c>
      <c r="U706" s="22" t="str">
        <f t="shared" si="155"/>
        <v>NO</v>
      </c>
      <c r="V706" s="22" t="str">
        <f t="shared" si="155"/>
        <v>NO</v>
      </c>
      <c r="W706" s="22" t="str">
        <f t="shared" si="155"/>
        <v>NO</v>
      </c>
      <c r="X706" s="22" t="str">
        <f t="shared" si="155"/>
        <v>NO</v>
      </c>
      <c r="Y706" s="22" t="str">
        <f t="shared" si="155"/>
        <v>NO</v>
      </c>
      <c r="Z706" s="22" t="str">
        <f t="shared" si="155"/>
        <v>NO</v>
      </c>
      <c r="AA706" s="22" t="str">
        <f t="shared" si="155"/>
        <v>NO</v>
      </c>
      <c r="AB706" s="22" t="str">
        <f t="shared" si="155"/>
        <v>NO</v>
      </c>
      <c r="AC706" s="22" t="str">
        <f t="shared" si="155"/>
        <v>NO</v>
      </c>
      <c r="AD706" s="22" t="str">
        <f t="shared" si="155"/>
        <v>NO</v>
      </c>
      <c r="AE706" s="22" t="str">
        <f t="shared" si="155"/>
        <v>NO</v>
      </c>
      <c r="AF706" s="22" t="str">
        <f t="shared" si="155"/>
        <v>NO</v>
      </c>
      <c r="AG706" s="22" t="str">
        <f t="shared" si="155"/>
        <v>NO</v>
      </c>
      <c r="AH706" s="22" t="str">
        <f t="shared" si="155"/>
        <v>NO</v>
      </c>
      <c r="AI706" s="22" t="str">
        <f t="shared" si="155"/>
        <v>NO</v>
      </c>
      <c r="AJ706" s="22" t="str">
        <f t="shared" si="155"/>
        <v>NO</v>
      </c>
      <c r="AK706" s="22" t="str">
        <f t="shared" si="155"/>
        <v>NO</v>
      </c>
      <c r="AL706" s="22" t="str">
        <f t="shared" si="155"/>
        <v>NO</v>
      </c>
      <c r="AM706" s="22" t="str">
        <f t="shared" si="155"/>
        <v>NO</v>
      </c>
      <c r="AN706" s="22" t="str">
        <f t="shared" si="155"/>
        <v>NO</v>
      </c>
      <c r="AO706" s="22" t="str">
        <f t="shared" si="155"/>
        <v>NO</v>
      </c>
      <c r="AP706" s="22" t="str">
        <f t="shared" si="155"/>
        <v>NO</v>
      </c>
      <c r="AQ706" s="22" t="str">
        <f t="shared" si="155"/>
        <v>NO</v>
      </c>
      <c r="AR706" s="22" t="str">
        <f t="shared" si="155"/>
        <v>NO</v>
      </c>
      <c r="AS706" s="22" t="str">
        <f t="shared" si="155"/>
        <v>NO</v>
      </c>
      <c r="AT706" s="22" t="str">
        <f t="shared" si="155"/>
        <v>NO</v>
      </c>
      <c r="AU706" s="22" t="str">
        <f t="shared" si="155"/>
        <v>NO</v>
      </c>
      <c r="AV706" s="22" t="str">
        <f t="shared" si="155"/>
        <v>NO</v>
      </c>
      <c r="AW706" s="22" t="str">
        <f t="shared" si="155"/>
        <v>NO</v>
      </c>
      <c r="AY706" s="85"/>
      <c r="AZ706" s="85"/>
    </row>
    <row r="707" spans="1:52" x14ac:dyDescent="0.25">
      <c r="A707" s="102" t="str">
        <f t="shared" si="149"/>
        <v>NI FSOM</v>
      </c>
      <c r="B707" s="102" t="s">
        <v>970</v>
      </c>
      <c r="C707" s="102" t="s">
        <v>60</v>
      </c>
      <c r="D707" t="s">
        <v>369</v>
      </c>
      <c r="E707" t="s">
        <v>55</v>
      </c>
      <c r="F707" t="s">
        <v>60</v>
      </c>
      <c r="G707" t="s">
        <v>1283</v>
      </c>
      <c r="H707" t="s">
        <v>1284</v>
      </c>
      <c r="J707" t="s">
        <v>287</v>
      </c>
      <c r="K707" s="22">
        <f t="shared" si="152"/>
        <v>5.604018730639919E-5</v>
      </c>
      <c r="L707" s="22">
        <f t="shared" si="155"/>
        <v>5.604018730639919E-5</v>
      </c>
      <c r="M707" s="22">
        <f t="shared" si="155"/>
        <v>5.604018730639919E-5</v>
      </c>
      <c r="N707" s="22">
        <f t="shared" si="155"/>
        <v>5.604018730639919E-5</v>
      </c>
      <c r="O707" s="22">
        <f t="shared" si="155"/>
        <v>5.604018730639919E-5</v>
      </c>
      <c r="P707" s="22">
        <f t="shared" si="155"/>
        <v>5.604018730639919E-5</v>
      </c>
      <c r="Q707" s="22">
        <f t="shared" si="155"/>
        <v>5.604018730639919E-5</v>
      </c>
      <c r="R707" s="22">
        <f t="shared" si="155"/>
        <v>5.604018730639919E-5</v>
      </c>
      <c r="S707" s="22">
        <f t="shared" si="155"/>
        <v>5.604018730639919E-5</v>
      </c>
      <c r="T707" s="22">
        <f t="shared" si="155"/>
        <v>5.604018730639919E-5</v>
      </c>
      <c r="U707" s="22">
        <f t="shared" si="155"/>
        <v>5.604018730639919E-5</v>
      </c>
      <c r="V707" s="22">
        <f t="shared" si="155"/>
        <v>5.604018730639919E-5</v>
      </c>
      <c r="W707" s="22">
        <f t="shared" si="155"/>
        <v>5.604018730639919E-5</v>
      </c>
      <c r="X707" s="22">
        <f t="shared" si="155"/>
        <v>5.604018730639919E-5</v>
      </c>
      <c r="Y707" s="22">
        <f t="shared" si="155"/>
        <v>5.604018730639919E-5</v>
      </c>
      <c r="Z707" s="22">
        <f t="shared" si="155"/>
        <v>5.604018730639919E-5</v>
      </c>
      <c r="AA707" s="22">
        <f t="shared" si="155"/>
        <v>5.604018730639919E-5</v>
      </c>
      <c r="AB707" s="22">
        <f t="shared" si="155"/>
        <v>5.604018730639919E-5</v>
      </c>
      <c r="AC707" s="22">
        <f t="shared" si="155"/>
        <v>5.604018730639919E-5</v>
      </c>
      <c r="AD707" s="22">
        <f t="shared" si="155"/>
        <v>5.604018730639919E-5</v>
      </c>
      <c r="AE707" s="22">
        <f t="shared" si="155"/>
        <v>5.604018730639919E-5</v>
      </c>
      <c r="AF707" s="22">
        <f t="shared" si="155"/>
        <v>5.604018730639919E-5</v>
      </c>
      <c r="AG707" s="22">
        <f t="shared" si="155"/>
        <v>5.604018730639919E-5</v>
      </c>
      <c r="AH707" s="22">
        <f t="shared" si="155"/>
        <v>5.604018730639919E-5</v>
      </c>
      <c r="AI707" s="22">
        <f t="shared" si="155"/>
        <v>5.604018730639919E-5</v>
      </c>
      <c r="AJ707" s="22">
        <f t="shared" si="155"/>
        <v>5.604018730639919E-5</v>
      </c>
      <c r="AK707" s="22">
        <f t="shared" si="155"/>
        <v>5.604018730639919E-5</v>
      </c>
      <c r="AL707" s="22">
        <f t="shared" si="155"/>
        <v>5.604018730639919E-5</v>
      </c>
      <c r="AM707" s="22">
        <f t="shared" si="155"/>
        <v>5.604018730639919E-5</v>
      </c>
      <c r="AN707" s="22">
        <f t="shared" si="155"/>
        <v>5.604018730639919E-5</v>
      </c>
      <c r="AO707" s="22">
        <f t="shared" si="155"/>
        <v>5.604018730639919E-5</v>
      </c>
      <c r="AP707" s="22">
        <f t="shared" si="155"/>
        <v>5.604018730639919E-5</v>
      </c>
      <c r="AQ707" s="22">
        <f t="shared" si="155"/>
        <v>5.604018730639919E-5</v>
      </c>
      <c r="AR707" s="22">
        <f t="shared" si="155"/>
        <v>5.604018730639919E-5</v>
      </c>
      <c r="AS707" s="22">
        <f t="shared" si="155"/>
        <v>5.604018730639919E-5</v>
      </c>
      <c r="AT707" s="22">
        <f t="shared" si="155"/>
        <v>5.604018730639919E-5</v>
      </c>
      <c r="AU707" s="22">
        <f t="shared" si="155"/>
        <v>5.604018730639919E-5</v>
      </c>
      <c r="AV707" s="22">
        <f t="shared" si="155"/>
        <v>5.604018730639919E-5</v>
      </c>
      <c r="AW707" s="22">
        <f t="shared" si="155"/>
        <v>5.604018730639919E-5</v>
      </c>
      <c r="AY707" s="85"/>
      <c r="AZ707" s="85"/>
    </row>
    <row r="708" spans="1:52" x14ac:dyDescent="0.25">
      <c r="A708" s="102" t="str">
        <f t="shared" si="149"/>
        <v>NI FSOM</v>
      </c>
      <c r="B708" s="102" t="s">
        <v>970</v>
      </c>
      <c r="C708" s="102" t="s">
        <v>60</v>
      </c>
      <c r="D708" t="s">
        <v>369</v>
      </c>
      <c r="E708" t="s">
        <v>55</v>
      </c>
      <c r="F708" t="s">
        <v>60</v>
      </c>
      <c r="G708" t="s">
        <v>1285</v>
      </c>
      <c r="H708" t="s">
        <v>1286</v>
      </c>
      <c r="J708" t="s">
        <v>287</v>
      </c>
      <c r="K708" s="22">
        <f t="shared" si="152"/>
        <v>6.110857899094551E-2</v>
      </c>
      <c r="L708" s="22">
        <f t="shared" si="155"/>
        <v>6.110857899094551E-2</v>
      </c>
      <c r="M708" s="22">
        <f t="shared" si="155"/>
        <v>6.110857899094551E-2</v>
      </c>
      <c r="N708" s="22">
        <f t="shared" si="155"/>
        <v>6.110857899094551E-2</v>
      </c>
      <c r="O708" s="22">
        <f t="shared" si="155"/>
        <v>6.110857899094551E-2</v>
      </c>
      <c r="P708" s="22">
        <f t="shared" si="155"/>
        <v>6.110857899094551E-2</v>
      </c>
      <c r="Q708" s="22">
        <f t="shared" si="155"/>
        <v>6.110857899094551E-2</v>
      </c>
      <c r="R708" s="22">
        <f t="shared" si="155"/>
        <v>6.110857899094551E-2</v>
      </c>
      <c r="S708" s="22">
        <f t="shared" si="155"/>
        <v>6.110857899094551E-2</v>
      </c>
      <c r="T708" s="22">
        <f t="shared" si="155"/>
        <v>6.110857899094551E-2</v>
      </c>
      <c r="U708" s="22">
        <f t="shared" si="155"/>
        <v>6.110857899094551E-2</v>
      </c>
      <c r="V708" s="22">
        <f t="shared" si="155"/>
        <v>6.110857899094551E-2</v>
      </c>
      <c r="W708" s="22">
        <f t="shared" si="155"/>
        <v>6.110857899094551E-2</v>
      </c>
      <c r="X708" s="22">
        <f t="shared" si="155"/>
        <v>6.110857899094551E-2</v>
      </c>
      <c r="Y708" s="22">
        <f t="shared" si="155"/>
        <v>6.110857899094551E-2</v>
      </c>
      <c r="Z708" s="22">
        <f t="shared" si="155"/>
        <v>6.110857899094551E-2</v>
      </c>
      <c r="AA708" s="22">
        <f t="shared" si="155"/>
        <v>6.110857899094551E-2</v>
      </c>
      <c r="AB708" s="22">
        <f t="shared" si="155"/>
        <v>6.110857899094551E-2</v>
      </c>
      <c r="AC708" s="22">
        <f t="shared" si="155"/>
        <v>6.110857899094551E-2</v>
      </c>
      <c r="AD708" s="22">
        <f t="shared" si="155"/>
        <v>6.110857899094551E-2</v>
      </c>
      <c r="AE708" s="22">
        <f t="shared" si="155"/>
        <v>6.110857899094551E-2</v>
      </c>
      <c r="AF708" s="22">
        <f t="shared" si="155"/>
        <v>6.110857899094551E-2</v>
      </c>
      <c r="AG708" s="22">
        <f t="shared" si="155"/>
        <v>6.110857899094551E-2</v>
      </c>
      <c r="AH708" s="22">
        <f t="shared" si="155"/>
        <v>6.110857899094551E-2</v>
      </c>
      <c r="AI708" s="22">
        <f t="shared" si="155"/>
        <v>6.110857899094551E-2</v>
      </c>
      <c r="AJ708" s="22">
        <f t="shared" si="155"/>
        <v>6.110857899094551E-2</v>
      </c>
      <c r="AK708" s="22">
        <f t="shared" si="155"/>
        <v>6.110857899094551E-2</v>
      </c>
      <c r="AL708" s="22">
        <f t="shared" si="155"/>
        <v>6.110857899094551E-2</v>
      </c>
      <c r="AM708" s="22">
        <f t="shared" si="155"/>
        <v>6.110857899094551E-2</v>
      </c>
      <c r="AN708" s="22">
        <f t="shared" si="155"/>
        <v>6.110857899094551E-2</v>
      </c>
      <c r="AO708" s="22">
        <f t="shared" si="155"/>
        <v>6.110857899094551E-2</v>
      </c>
      <c r="AP708" s="22">
        <f t="shared" si="155"/>
        <v>6.110857899094551E-2</v>
      </c>
      <c r="AQ708" s="22">
        <f t="shared" si="155"/>
        <v>6.110857899094551E-2</v>
      </c>
      <c r="AR708" s="22">
        <f t="shared" si="155"/>
        <v>6.110857899094551E-2</v>
      </c>
      <c r="AS708" s="22">
        <f t="shared" si="155"/>
        <v>6.110857899094551E-2</v>
      </c>
      <c r="AT708" s="22">
        <f t="shared" si="155"/>
        <v>6.110857899094551E-2</v>
      </c>
      <c r="AU708" s="22">
        <f t="shared" si="155"/>
        <v>6.110857899094551E-2</v>
      </c>
      <c r="AV708" s="22">
        <f t="shared" si="155"/>
        <v>6.110857899094551E-2</v>
      </c>
      <c r="AW708" s="22">
        <f t="shared" si="155"/>
        <v>6.110857899094551E-2</v>
      </c>
      <c r="AY708" s="85"/>
      <c r="AZ708" s="85"/>
    </row>
    <row r="709" spans="1:52" x14ac:dyDescent="0.25">
      <c r="A709" s="102" t="str">
        <f t="shared" si="149"/>
        <v>NI FSOM</v>
      </c>
      <c r="B709" s="102" t="s">
        <v>970</v>
      </c>
      <c r="C709" s="102" t="s">
        <v>60</v>
      </c>
      <c r="D709" t="s">
        <v>369</v>
      </c>
      <c r="E709" t="s">
        <v>55</v>
      </c>
      <c r="F709" t="s">
        <v>60</v>
      </c>
      <c r="G709" t="s">
        <v>1287</v>
      </c>
      <c r="H709" t="s">
        <v>1288</v>
      </c>
      <c r="J709" t="s">
        <v>287</v>
      </c>
      <c r="K709" s="22" t="str">
        <f t="shared" si="152"/>
        <v>NO</v>
      </c>
      <c r="L709" s="22" t="str">
        <f t="shared" si="155"/>
        <v>NO</v>
      </c>
      <c r="M709" s="22" t="str">
        <f t="shared" si="155"/>
        <v>NO</v>
      </c>
      <c r="N709" s="22" t="str">
        <f t="shared" si="155"/>
        <v>NO</v>
      </c>
      <c r="O709" s="22" t="str">
        <f t="shared" si="155"/>
        <v>NO</v>
      </c>
      <c r="P709" s="22" t="str">
        <f t="shared" si="155"/>
        <v>NO</v>
      </c>
      <c r="Q709" s="22" t="str">
        <f t="shared" si="155"/>
        <v>NO</v>
      </c>
      <c r="R709" s="22" t="str">
        <f t="shared" si="155"/>
        <v>NO</v>
      </c>
      <c r="S709" s="22" t="str">
        <f t="shared" si="155"/>
        <v>NO</v>
      </c>
      <c r="T709" s="22" t="str">
        <f t="shared" si="155"/>
        <v>NO</v>
      </c>
      <c r="U709" s="22" t="str">
        <f t="shared" si="155"/>
        <v>NO</v>
      </c>
      <c r="V709" s="22" t="str">
        <f t="shared" si="155"/>
        <v>NO</v>
      </c>
      <c r="W709" s="22" t="str">
        <f t="shared" si="155"/>
        <v>NO</v>
      </c>
      <c r="X709" s="22" t="str">
        <f t="shared" si="155"/>
        <v>NO</v>
      </c>
      <c r="Y709" s="22" t="str">
        <f t="shared" si="155"/>
        <v>NO</v>
      </c>
      <c r="Z709" s="22" t="str">
        <f t="shared" si="155"/>
        <v>NO</v>
      </c>
      <c r="AA709" s="22" t="str">
        <f t="shared" si="155"/>
        <v>NO</v>
      </c>
      <c r="AB709" s="22" t="str">
        <f t="shared" si="155"/>
        <v>NO</v>
      </c>
      <c r="AC709" s="22" t="str">
        <f t="shared" si="155"/>
        <v>NO</v>
      </c>
      <c r="AD709" s="22" t="str">
        <f t="shared" si="155"/>
        <v>NO</v>
      </c>
      <c r="AE709" s="22" t="str">
        <f t="shared" si="155"/>
        <v>NO</v>
      </c>
      <c r="AF709" s="22" t="str">
        <f t="shared" si="155"/>
        <v>NO</v>
      </c>
      <c r="AG709" s="22" t="str">
        <f t="shared" si="155"/>
        <v>NO</v>
      </c>
      <c r="AH709" s="22" t="str">
        <f t="shared" si="155"/>
        <v>NO</v>
      </c>
      <c r="AI709" s="22" t="str">
        <f t="shared" si="155"/>
        <v>NO</v>
      </c>
      <c r="AJ709" s="22" t="str">
        <f t="shared" si="155"/>
        <v>NO</v>
      </c>
      <c r="AK709" s="22" t="str">
        <f t="shared" si="155"/>
        <v>NO</v>
      </c>
      <c r="AL709" s="22" t="str">
        <f t="shared" si="155"/>
        <v>NO</v>
      </c>
      <c r="AM709" s="22" t="str">
        <f t="shared" si="155"/>
        <v>NO</v>
      </c>
      <c r="AN709" s="22" t="str">
        <f t="shared" si="155"/>
        <v>NO</v>
      </c>
      <c r="AO709" s="22" t="str">
        <f t="shared" si="155"/>
        <v>NO</v>
      </c>
      <c r="AP709" s="22" t="str">
        <f t="shared" si="155"/>
        <v>NO</v>
      </c>
      <c r="AQ709" s="22" t="str">
        <f t="shared" si="155"/>
        <v>NO</v>
      </c>
      <c r="AR709" s="22" t="str">
        <f t="shared" si="155"/>
        <v>NO</v>
      </c>
      <c r="AS709" s="22" t="str">
        <f t="shared" si="155"/>
        <v>NO</v>
      </c>
      <c r="AT709" s="22" t="str">
        <f t="shared" si="155"/>
        <v>NO</v>
      </c>
      <c r="AU709" s="22" t="str">
        <f t="shared" si="155"/>
        <v>NO</v>
      </c>
      <c r="AV709" s="22" t="str">
        <f t="shared" si="155"/>
        <v>NO</v>
      </c>
      <c r="AW709" s="22" t="str">
        <f t="shared" si="155"/>
        <v>NO</v>
      </c>
      <c r="AY709" s="85"/>
      <c r="AZ709" s="85"/>
    </row>
    <row r="710" spans="1:52" x14ac:dyDescent="0.25">
      <c r="A710" s="102" t="str">
        <f t="shared" si="149"/>
        <v>NI FSOM</v>
      </c>
      <c r="B710" s="102" t="s">
        <v>970</v>
      </c>
      <c r="C710" s="102" t="s">
        <v>60</v>
      </c>
      <c r="D710" t="s">
        <v>369</v>
      </c>
      <c r="E710" t="s">
        <v>55</v>
      </c>
      <c r="F710" t="s">
        <v>60</v>
      </c>
      <c r="G710" t="s">
        <v>1289</v>
      </c>
      <c r="H710" t="s">
        <v>1290</v>
      </c>
      <c r="J710" t="s">
        <v>287</v>
      </c>
      <c r="K710" s="22">
        <f t="shared" si="152"/>
        <v>3.1961717215001131</v>
      </c>
      <c r="L710" s="22">
        <f t="shared" si="155"/>
        <v>3.1961717215001131</v>
      </c>
      <c r="M710" s="22">
        <f t="shared" si="155"/>
        <v>3.1961717215001131</v>
      </c>
      <c r="N710" s="22">
        <f t="shared" si="155"/>
        <v>3.1961717215001131</v>
      </c>
      <c r="O710" s="22">
        <f t="shared" si="155"/>
        <v>3.1961717215001131</v>
      </c>
      <c r="P710" s="22">
        <f t="shared" si="155"/>
        <v>3.1961717215001131</v>
      </c>
      <c r="Q710" s="22">
        <f t="shared" si="155"/>
        <v>3.1961717215001131</v>
      </c>
      <c r="R710" s="22">
        <f t="shared" si="155"/>
        <v>3.1961717215001131</v>
      </c>
      <c r="S710" s="22">
        <f t="shared" si="155"/>
        <v>3.1961717215001131</v>
      </c>
      <c r="T710" s="22">
        <f t="shared" si="155"/>
        <v>3.1961717215001131</v>
      </c>
      <c r="U710" s="22">
        <f t="shared" ref="U710:AW710" si="156">U1509</f>
        <v>3.1961717215001131</v>
      </c>
      <c r="V710" s="22">
        <f t="shared" si="156"/>
        <v>3.1961717215001131</v>
      </c>
      <c r="W710" s="22">
        <f t="shared" si="156"/>
        <v>3.1961717215001131</v>
      </c>
      <c r="X710" s="22">
        <f t="shared" si="156"/>
        <v>3.1961717215001131</v>
      </c>
      <c r="Y710" s="22">
        <f t="shared" si="156"/>
        <v>3.1961717215001131</v>
      </c>
      <c r="Z710" s="22">
        <f t="shared" si="156"/>
        <v>3.1961717215001131</v>
      </c>
      <c r="AA710" s="22">
        <f t="shared" si="156"/>
        <v>3.1961717215001131</v>
      </c>
      <c r="AB710" s="22">
        <f t="shared" si="156"/>
        <v>3.1961717215001131</v>
      </c>
      <c r="AC710" s="22">
        <f t="shared" si="156"/>
        <v>3.1961717215001131</v>
      </c>
      <c r="AD710" s="22">
        <f t="shared" si="156"/>
        <v>3.1961717215001131</v>
      </c>
      <c r="AE710" s="22">
        <f t="shared" si="156"/>
        <v>3.1961717215001131</v>
      </c>
      <c r="AF710" s="22">
        <f t="shared" si="156"/>
        <v>3.1961717215001131</v>
      </c>
      <c r="AG710" s="22">
        <f t="shared" si="156"/>
        <v>3.1961717215001131</v>
      </c>
      <c r="AH710" s="22">
        <f t="shared" si="156"/>
        <v>3.1961717215001131</v>
      </c>
      <c r="AI710" s="22">
        <f t="shared" si="156"/>
        <v>3.1961717215001131</v>
      </c>
      <c r="AJ710" s="22">
        <f t="shared" si="156"/>
        <v>3.1961717215001131</v>
      </c>
      <c r="AK710" s="22">
        <f t="shared" si="156"/>
        <v>3.1961717215001131</v>
      </c>
      <c r="AL710" s="22">
        <f t="shared" si="156"/>
        <v>3.1961717215001131</v>
      </c>
      <c r="AM710" s="22">
        <f t="shared" si="156"/>
        <v>3.1961717215001131</v>
      </c>
      <c r="AN710" s="22">
        <f t="shared" si="156"/>
        <v>3.1961717215001131</v>
      </c>
      <c r="AO710" s="22">
        <f t="shared" si="156"/>
        <v>3.1961717215001131</v>
      </c>
      <c r="AP710" s="22">
        <f t="shared" si="156"/>
        <v>3.1961717215001131</v>
      </c>
      <c r="AQ710" s="22">
        <f t="shared" si="156"/>
        <v>3.1961717215001131</v>
      </c>
      <c r="AR710" s="22">
        <f t="shared" si="156"/>
        <v>3.1961717215001131</v>
      </c>
      <c r="AS710" s="22">
        <f t="shared" si="156"/>
        <v>3.1961717215001131</v>
      </c>
      <c r="AT710" s="22">
        <f t="shared" si="156"/>
        <v>3.1961717215001131</v>
      </c>
      <c r="AU710" s="22">
        <f t="shared" si="156"/>
        <v>3.1961717215001131</v>
      </c>
      <c r="AV710" s="22">
        <f t="shared" si="156"/>
        <v>3.1961717215001131</v>
      </c>
      <c r="AW710" s="22">
        <f t="shared" si="156"/>
        <v>3.1961717215001131</v>
      </c>
      <c r="AY710" s="85"/>
      <c r="AZ710" s="85"/>
    </row>
    <row r="711" spans="1:52" x14ac:dyDescent="0.25">
      <c r="A711" s="102" t="str">
        <f t="shared" si="149"/>
        <v>NI Volatilisation</v>
      </c>
      <c r="B711" s="102" t="s">
        <v>970</v>
      </c>
      <c r="C711" s="102" t="s">
        <v>62</v>
      </c>
      <c r="D711" t="s">
        <v>369</v>
      </c>
      <c r="E711" t="s">
        <v>61</v>
      </c>
      <c r="F711" t="s">
        <v>62</v>
      </c>
      <c r="G711" t="s">
        <v>435</v>
      </c>
      <c r="H711" t="s">
        <v>1185</v>
      </c>
      <c r="I711" t="s">
        <v>139</v>
      </c>
      <c r="J711" t="s">
        <v>287</v>
      </c>
      <c r="K711" s="101">
        <f>IF('Net zero activities &amp; levers'!$C$9="Off",'Activity data'!AD47*ttokg*FracGASF*MSVolatEF*NtoN2O*kgtoGg,IF('Net zero activities &amp; levers'!$C$9="On",(('Net zero supporting data'!B157*ttokg*FracGASF*'Net zero supporting data'!B184)+('Net zero supporting data'!B169*ttokg*FracGASF*MMVolatEF))*NtoN2O*kgtoGg,"ERROR"))</f>
        <v>0.66064812063358536</v>
      </c>
      <c r="L711" s="101">
        <f>IF('Net zero activities &amp; levers'!$C$9="Off",'Activity data'!AE47*ttokg*FracGASF*MSVolatEF*NtoN2O*kgtoGg,IF('Net zero activities &amp; levers'!$C$9="On",(('Net zero supporting data'!C157*ttokg*FracGASF*'Net zero supporting data'!C184)+('Net zero supporting data'!C169*ttokg*FracGASF*MMVolatEF))*NtoN2O*kgtoGg,"ERROR"))</f>
        <v>0.66055332632324659</v>
      </c>
      <c r="M711" s="101">
        <f>IF('Net zero activities &amp; levers'!$C$9="Off",'Activity data'!AF47*ttokg*FracGASF*MSVolatEF*NtoN2O*kgtoGg,IF('Net zero activities &amp; levers'!$C$9="On",(('Net zero supporting data'!D157*ttokg*FracGASF*'Net zero supporting data'!D184)+('Net zero supporting data'!D169*ttokg*FracGASF*MMVolatEF))*NtoN2O*kgtoGg,"ERROR"))</f>
        <v>0.66042378924026446</v>
      </c>
      <c r="N711" s="101">
        <f>IF('Net zero activities &amp; levers'!$C$9="Off",'Activity data'!AG47*ttokg*FracGASF*MSVolatEF*NtoN2O*kgtoGg,IF('Net zero activities &amp; levers'!$C$9="On",(('Net zero supporting data'!E157*ttokg*FracGASF*'Net zero supporting data'!E184)+('Net zero supporting data'!E169*ttokg*FracGASF*MMVolatEF))*NtoN2O*kgtoGg,"ERROR"))</f>
        <v>0.66032976249569819</v>
      </c>
      <c r="O711" s="101">
        <f>IF('Net zero activities &amp; levers'!$C$9="Off",'Activity data'!AH47*ttokg*FracGASF*MSVolatEF*NtoN2O*kgtoGg,IF('Net zero activities &amp; levers'!$C$9="On",(('Net zero supporting data'!F157*ttokg*FracGASF*'Net zero supporting data'!F184)+('Net zero supporting data'!F169*ttokg*FracGASF*MMVolatEF))*NtoN2O*kgtoGg,"ERROR"))</f>
        <v>0.66028397217143464</v>
      </c>
      <c r="P711" s="101">
        <f>IF('Net zero activities &amp; levers'!$C$9="Off",'Activity data'!AI47*ttokg*FracGASF*MSVolatEF*NtoN2O*kgtoGg,IF('Net zero activities &amp; levers'!$C$9="On",(('Net zero supporting data'!G157*ttokg*FracGASF*'Net zero supporting data'!G184)+('Net zero supporting data'!G169*ttokg*FracGASF*MMVolatEF))*NtoN2O*kgtoGg,"ERROR"))</f>
        <v>0.66023877667619957</v>
      </c>
      <c r="Q711" s="101">
        <f>IF('Net zero activities &amp; levers'!$C$9="Off",'Activity data'!AJ47*ttokg*FracGASF*MSVolatEF*NtoN2O*kgtoGg,IF('Net zero activities &amp; levers'!$C$9="On",(('Net zero supporting data'!H157*ttokg*FracGASF*'Net zero supporting data'!H184)+('Net zero supporting data'!H169*ttokg*FracGASF*MMVolatEF))*NtoN2O*kgtoGg,"ERROR"))</f>
        <v>0.66017040685586048</v>
      </c>
      <c r="R711" s="101">
        <f>IF('Net zero activities &amp; levers'!$C$9="Off",'Activity data'!AK47*ttokg*FracGASF*MSVolatEF*NtoN2O*kgtoGg,IF('Net zero activities &amp; levers'!$C$9="On",(('Net zero supporting data'!I157*ttokg*FracGASF*'Net zero supporting data'!I184)+('Net zero supporting data'!I169*ttokg*FracGASF*MMVolatEF))*NtoN2O*kgtoGg,"ERROR"))</f>
        <v>0.66009555191940106</v>
      </c>
      <c r="S711" s="101">
        <f>IF('Net zero activities &amp; levers'!$C$9="Off",'Activity data'!AL47*ttokg*FracGASF*MSVolatEF*NtoN2O*kgtoGg,IF('Net zero activities &amp; levers'!$C$9="On",(('Net zero supporting data'!J157*ttokg*FracGASF*'Net zero supporting data'!J184)+('Net zero supporting data'!J169*ttokg*FracGASF*MMVolatEF))*NtoN2O*kgtoGg,"ERROR"))</f>
        <v>0.66007105452260206</v>
      </c>
      <c r="T711" s="101">
        <f>IF('Net zero activities &amp; levers'!$C$9="Off",'Activity data'!AM47*ttokg*FracGASF*MSVolatEF*NtoN2O*kgtoGg,IF('Net zero activities &amp; levers'!$C$9="On",(('Net zero supporting data'!K157*ttokg*FracGASF*'Net zero supporting data'!K184)+('Net zero supporting data'!K169*ttokg*FracGASF*MMVolatEF))*NtoN2O*kgtoGg,"ERROR"))</f>
        <v>0.6489619139545455</v>
      </c>
      <c r="U711" s="101">
        <f>IF('Net zero activities &amp; levers'!$C$9="Off",'Activity data'!AN47*ttokg*FracGASF*MSVolatEF*NtoN2O*kgtoGg,IF('Net zero activities &amp; levers'!$C$9="On",(('Net zero supporting data'!L157*ttokg*FracGASF*'Net zero supporting data'!L184)+('Net zero supporting data'!L169*ttokg*FracGASF*MMVolatEF))*NtoN2O*kgtoGg,"ERROR"))</f>
        <v>0.6372673454030845</v>
      </c>
      <c r="V711" s="101">
        <f>IF('Net zero activities &amp; levers'!$C$9="Off",'Activity data'!AO47*ttokg*FracGASF*MSVolatEF*NtoN2O*kgtoGg,IF('Net zero activities &amp; levers'!$C$9="On",(('Net zero supporting data'!M157*ttokg*FracGASF*'Net zero supporting data'!M184)+('Net zero supporting data'!M169*ttokg*FracGASF*MMVolatEF))*NtoN2O*kgtoGg,"ERROR"))</f>
        <v>0.62559111175039328</v>
      </c>
      <c r="W711" s="101">
        <f>IF('Net zero activities &amp; levers'!$C$9="Off",'Activity data'!AP47*ttokg*FracGASF*MSVolatEF*NtoN2O*kgtoGg,IF('Net zero activities &amp; levers'!$C$9="On",(('Net zero supporting data'!N157*ttokg*FracGASF*'Net zero supporting data'!N184)+('Net zero supporting data'!N169*ttokg*FracGASF*MMVolatEF))*NtoN2O*kgtoGg,"ERROR"))</f>
        <v>0.61392038299033436</v>
      </c>
      <c r="X711" s="101">
        <f>IF('Net zero activities &amp; levers'!$C$9="Off",'Activity data'!AQ47*ttokg*FracGASF*MSVolatEF*NtoN2O*kgtoGg,IF('Net zero activities &amp; levers'!$C$9="On",(('Net zero supporting data'!O157*ttokg*FracGASF*'Net zero supporting data'!O184)+('Net zero supporting data'!O169*ttokg*FracGASF*MMVolatEF))*NtoN2O*kgtoGg,"ERROR"))</f>
        <v>0.60223715711644277</v>
      </c>
      <c r="Y711" s="101">
        <f>IF('Net zero activities &amp; levers'!$C$9="Off",'Activity data'!AR47*ttokg*FracGASF*MSVolatEF*NtoN2O*kgtoGg,IF('Net zero activities &amp; levers'!$C$9="On",(('Net zero supporting data'!P157*ttokg*FracGASF*'Net zero supporting data'!P184)+('Net zero supporting data'!P169*ttokg*FracGASF*MMVolatEF))*NtoN2O*kgtoGg,"ERROR"))</f>
        <v>0.59056034850655725</v>
      </c>
      <c r="Z711" s="101">
        <f>IF('Net zero activities &amp; levers'!$C$9="Off",'Activity data'!AS47*ttokg*FracGASF*MSVolatEF*NtoN2O*kgtoGg,IF('Net zero activities &amp; levers'!$C$9="On",(('Net zero supporting data'!Q157*ttokg*FracGASF*'Net zero supporting data'!Q184)+('Net zero supporting data'!Q169*ttokg*FracGASF*MMVolatEF))*NtoN2O*kgtoGg,"ERROR"))</f>
        <v>0.57888678011625339</v>
      </c>
      <c r="AA711" s="101">
        <f>IF('Net zero activities &amp; levers'!$C$9="Off",'Activity data'!AT47*ttokg*FracGASF*MSVolatEF*NtoN2O*kgtoGg,IF('Net zero activities &amp; levers'!$C$9="On",(('Net zero supporting data'!R157*ttokg*FracGASF*'Net zero supporting data'!R184)+('Net zero supporting data'!R169*ttokg*FracGASF*MMVolatEF))*NtoN2O*kgtoGg,"ERROR"))</f>
        <v>0.56722351804669224</v>
      </c>
      <c r="AB711" s="101">
        <f>IF('Net zero activities &amp; levers'!$C$9="Off",'Activity data'!AU47*ttokg*FracGASF*MSVolatEF*NtoN2O*kgtoGg,IF('Net zero activities &amp; levers'!$C$9="On",(('Net zero supporting data'!S157*ttokg*FracGASF*'Net zero supporting data'!S184)+('Net zero supporting data'!S169*ttokg*FracGASF*MMVolatEF))*NtoN2O*kgtoGg,"ERROR"))</f>
        <v>0.55556011676691675</v>
      </c>
      <c r="AC711" s="101">
        <f>IF('Net zero activities &amp; levers'!$C$9="Off",'Activity data'!AV47*ttokg*FracGASF*MSVolatEF*NtoN2O*kgtoGg,IF('Net zero activities &amp; levers'!$C$9="On",(('Net zero supporting data'!T157*ttokg*FracGASF*'Net zero supporting data'!T184)+('Net zero supporting data'!T169*ttokg*FracGASF*MMVolatEF))*NtoN2O*kgtoGg,"ERROR"))</f>
        <v>0.54391016958220884</v>
      </c>
      <c r="AD711" s="101">
        <f>IF('Net zero activities &amp; levers'!$C$9="Off",'Activity data'!AW47*ttokg*FracGASF*MSVolatEF*NtoN2O*kgtoGg,IF('Net zero activities &amp; levers'!$C$9="On",(('Net zero supporting data'!U157*ttokg*FracGASF*'Net zero supporting data'!U184)+('Net zero supporting data'!U169*ttokg*FracGASF*MMVolatEF))*NtoN2O*kgtoGg,"ERROR"))</f>
        <v>0.5322639327442088</v>
      </c>
      <c r="AE711" s="101">
        <f>IF('Net zero activities &amp; levers'!$C$9="Off",'Activity data'!AX47*ttokg*FracGASF*MSVolatEF*NtoN2O*kgtoGg,IF('Net zero activities &amp; levers'!$C$9="On",(('Net zero supporting data'!V157*ttokg*FracGASF*'Net zero supporting data'!V184)+('Net zero supporting data'!V169*ttokg*FracGASF*MMVolatEF))*NtoN2O*kgtoGg,"ERROR"))</f>
        <v>0.52060499728192033</v>
      </c>
      <c r="AF711" s="101">
        <f>IF('Net zero activities &amp; levers'!$C$9="Off",'Activity data'!AY47*ttokg*FracGASF*MSVolatEF*NtoN2O*kgtoGg,IF('Net zero activities &amp; levers'!$C$9="On",(('Net zero supporting data'!W157*ttokg*FracGASF*'Net zero supporting data'!W184)+('Net zero supporting data'!W169*ttokg*FracGASF*MMVolatEF))*NtoN2O*kgtoGg,"ERROR"))</f>
        <v>0.5089448044033309</v>
      </c>
      <c r="AG711" s="101">
        <f>IF('Net zero activities &amp; levers'!$C$9="Off",'Activity data'!AZ47*ttokg*FracGASF*MSVolatEF*NtoN2O*kgtoGg,IF('Net zero activities &amp; levers'!$C$9="On",(('Net zero supporting data'!X157*ttokg*FracGASF*'Net zero supporting data'!X184)+('Net zero supporting data'!X169*ttokg*FracGASF*MMVolatEF))*NtoN2O*kgtoGg,"ERROR"))</f>
        <v>0.49728882637696115</v>
      </c>
      <c r="AH711" s="101">
        <f>IF('Net zero activities &amp; levers'!$C$9="Off",'Activity data'!BA47*ttokg*FracGASF*MSVolatEF*NtoN2O*kgtoGg,IF('Net zero activities &amp; levers'!$C$9="On",(('Net zero supporting data'!Y157*ttokg*FracGASF*'Net zero supporting data'!Y184)+('Net zero supporting data'!Y169*ttokg*FracGASF*MMVolatEF))*NtoN2O*kgtoGg,"ERROR"))</f>
        <v>0.48573774435149086</v>
      </c>
      <c r="AI711" s="101">
        <f>IF('Net zero activities &amp; levers'!$C$9="Off",'Activity data'!BB47*ttokg*FracGASF*MSVolatEF*NtoN2O*kgtoGg,IF('Net zero activities &amp; levers'!$C$9="On",(('Net zero supporting data'!Z157*ttokg*FracGASF*'Net zero supporting data'!Z184)+('Net zero supporting data'!Z169*ttokg*FracGASF*MMVolatEF))*NtoN2O*kgtoGg,"ERROR"))</f>
        <v>0.48415933568151892</v>
      </c>
      <c r="AJ711" s="101">
        <f>IF('Net zero activities &amp; levers'!$C$9="Off",'Activity data'!BC47*ttokg*FracGASF*MSVolatEF*NtoN2O*kgtoGg,IF('Net zero activities &amp; levers'!$C$9="On",(('Net zero supporting data'!AA157*ttokg*FracGASF*'Net zero supporting data'!AA184)+('Net zero supporting data'!AA169*ttokg*FracGASF*MMVolatEF))*NtoN2O*kgtoGg,"ERROR"))</f>
        <v>0.47240874512813258</v>
      </c>
      <c r="AK711" s="101">
        <f>IF('Net zero activities &amp; levers'!$C$9="Off",'Activity data'!BD47*ttokg*FracGASF*MSVolatEF*NtoN2O*kgtoGg,IF('Net zero activities &amp; levers'!$C$9="On",(('Net zero supporting data'!AB157*ttokg*FracGASF*'Net zero supporting data'!AB184)+('Net zero supporting data'!AB169*ttokg*FracGASF*MMVolatEF))*NtoN2O*kgtoGg,"ERROR"))</f>
        <v>0.46065747532697504</v>
      </c>
      <c r="AL711" s="101">
        <f>IF('Net zero activities &amp; levers'!$C$9="Off",'Activity data'!BE47*ttokg*FracGASF*MSVolatEF*NtoN2O*kgtoGg,IF('Net zero activities &amp; levers'!$C$9="On",(('Net zero supporting data'!AC157*ttokg*FracGASF*'Net zero supporting data'!AC184)+('Net zero supporting data'!AC169*ttokg*FracGASF*MMVolatEF))*NtoN2O*kgtoGg,"ERROR"))</f>
        <v>0.44890551513582388</v>
      </c>
      <c r="AM711" s="101">
        <f>IF('Net zero activities &amp; levers'!$C$9="Off",'Activity data'!BF47*ttokg*FracGASF*MSVolatEF*NtoN2O*kgtoGg,IF('Net zero activities &amp; levers'!$C$9="On",(('Net zero supporting data'!AD157*ttokg*FracGASF*'Net zero supporting data'!AD184)+('Net zero supporting data'!AD169*ttokg*FracGASF*MMVolatEF))*NtoN2O*kgtoGg,"ERROR"))</f>
        <v>0.43715285320766811</v>
      </c>
      <c r="AN711" s="101">
        <f>IF('Net zero activities &amp; levers'!$C$9="Off",'Activity data'!BG47*ttokg*FracGASF*MSVolatEF*NtoN2O*kgtoGg,IF('Net zero activities &amp; levers'!$C$9="On",(('Net zero supporting data'!AE157*ttokg*FracGASF*'Net zero supporting data'!AE184)+('Net zero supporting data'!AE169*ttokg*FracGASF*MMVolatEF))*NtoN2O*kgtoGg,"ERROR"))</f>
        <v>0.43716942401715808</v>
      </c>
      <c r="AO711" s="101">
        <f>IF('Net zero activities &amp; levers'!$C$9="Off",'Activity data'!BH47*ttokg*FracGASF*MSVolatEF*NtoN2O*kgtoGg,IF('Net zero activities &amp; levers'!$C$9="On",(('Net zero supporting data'!AF157*ttokg*FracGASF*'Net zero supporting data'!AF184)+('Net zero supporting data'!AF169*ttokg*FracGASF*MMVolatEF))*NtoN2O*kgtoGg,"ERROR"))</f>
        <v>0.4371836282573856</v>
      </c>
      <c r="AP711" s="101">
        <f>IF('Net zero activities &amp; levers'!$C$9="Off",'Activity data'!BI47*ttokg*FracGASF*MSVolatEF*NtoN2O*kgtoGg,IF('Net zero activities &amp; levers'!$C$9="On",(('Net zero supporting data'!AG157*ttokg*FracGASF*'Net zero supporting data'!AG184)+('Net zero supporting data'!AG169*ttokg*FracGASF*MMVolatEF))*NtoN2O*kgtoGg,"ERROR"))</f>
        <v>0.43719796134442884</v>
      </c>
      <c r="AQ711" s="101">
        <f>IF('Net zero activities &amp; levers'!$C$9="Off",'Activity data'!BJ47*ttokg*FracGASF*MSVolatEF*NtoN2O*kgtoGg,IF('Net zero activities &amp; levers'!$C$9="On",(('Net zero supporting data'!AH157*ttokg*FracGASF*'Net zero supporting data'!AH184)+('Net zero supporting data'!AH169*ttokg*FracGASF*MMVolatEF))*NtoN2O*kgtoGg,"ERROR"))</f>
        <v>0.43721242481998218</v>
      </c>
      <c r="AR711" s="101">
        <f>IF('Net zero activities &amp; levers'!$C$9="Off",'Activity data'!BK47*ttokg*FracGASF*MSVolatEF*NtoN2O*kgtoGg,IF('Net zero activities &amp; levers'!$C$9="On",(('Net zero supporting data'!AI157*ttokg*FracGASF*'Net zero supporting data'!AI184)+('Net zero supporting data'!AI169*ttokg*FracGASF*MMVolatEF))*NtoN2O*kgtoGg,"ERROR"))</f>
        <v>0.43722702025103188</v>
      </c>
      <c r="AS711" s="101">
        <f>IF('Net zero activities &amp; levers'!$C$9="Off",'Activity data'!BL47*ttokg*FracGASF*MSVolatEF*NtoN2O*kgtoGg,IF('Net zero activities &amp; levers'!$C$9="On",(('Net zero supporting data'!AJ157*ttokg*FracGASF*'Net zero supporting data'!AJ184)+('Net zero supporting data'!AJ169*ttokg*FracGASF*MMVolatEF))*NtoN2O*kgtoGg,"ERROR"))</f>
        <v>0.43724174923040726</v>
      </c>
      <c r="AT711" s="101">
        <f>IF('Net zero activities &amp; levers'!$C$9="Off",'Activity data'!BM47*ttokg*FracGASF*MSVolatEF*NtoN2O*kgtoGg,IF('Net zero activities &amp; levers'!$C$9="On",(('Net zero supporting data'!AK157*ttokg*FracGASF*'Net zero supporting data'!AK184)+('Net zero supporting data'!AK169*ttokg*FracGASF*MMVolatEF))*NtoN2O*kgtoGg,"ERROR"))</f>
        <v>0.43725396303841652</v>
      </c>
      <c r="AU711" s="101">
        <f>IF('Net zero activities &amp; levers'!$C$9="Off",'Activity data'!BN47*ttokg*FracGASF*MSVolatEF*NtoN2O*kgtoGg,IF('Net zero activities &amp; levers'!$C$9="On",(('Net zero supporting data'!AL157*ttokg*FracGASF*'Net zero supporting data'!AL184)+('Net zero supporting data'!AL169*ttokg*FracGASF*MMVolatEF))*NtoN2O*kgtoGg,"ERROR"))</f>
        <v>0.43726626917180256</v>
      </c>
      <c r="AV711" s="101">
        <f>IF('Net zero activities &amp; levers'!$C$9="Off",'Activity data'!BO47*ttokg*FracGASF*MSVolatEF*NtoN2O*kgtoGg,IF('Net zero activities &amp; levers'!$C$9="On",(('Net zero supporting data'!AM157*ttokg*FracGASF*'Net zero supporting data'!AM184)+('Net zero supporting data'!AM169*ttokg*FracGASF*MMVolatEF))*NtoN2O*kgtoGg,"ERROR"))</f>
        <v>0.43727866855732739</v>
      </c>
      <c r="AW711" s="101">
        <f>IF('Net zero activities &amp; levers'!$C$9="Off",'Activity data'!BP47*ttokg*FracGASF*MSVolatEF*NtoN2O*kgtoGg,IF('Net zero activities &amp; levers'!$C$9="On",(('Net zero supporting data'!AN157*ttokg*FracGASF*'Net zero supporting data'!AN184)+('Net zero supporting data'!AN169*ttokg*FracGASF*MMVolatEF))*NtoN2O*kgtoGg,"ERROR"))</f>
        <v>0.43729116213455055</v>
      </c>
      <c r="AY711" s="85"/>
      <c r="AZ711" s="85"/>
    </row>
    <row r="712" spans="1:52" x14ac:dyDescent="0.25">
      <c r="A712" s="102" t="str">
        <f t="shared" si="149"/>
        <v>NI Volatilisation</v>
      </c>
      <c r="B712" s="102" t="s">
        <v>970</v>
      </c>
      <c r="C712" s="102" t="s">
        <v>62</v>
      </c>
      <c r="D712" t="s">
        <v>369</v>
      </c>
      <c r="E712" t="s">
        <v>61</v>
      </c>
      <c r="F712" t="s">
        <v>62</v>
      </c>
      <c r="G712" t="s">
        <v>436</v>
      </c>
      <c r="H712" t="s">
        <v>1186</v>
      </c>
      <c r="I712" t="s">
        <v>139</v>
      </c>
      <c r="J712" t="s">
        <v>287</v>
      </c>
      <c r="K712" s="101">
        <f>IF('Net zero activities &amp; levers'!$C$9="Off",'Activity data'!AD48*ttokg*FracGASM*MSVolatEF*NtoN2O*kgtoGg,IF('Net zero activities &amp; levers'!$C$9="On",(('Net zero supporting data'!B158*ttokg*FracGASM*'Net zero supporting data'!B184)+('Net zero supporting data'!B170*ttokg*FracGASM*MSVolatEF))*NtoN2O*kgtoGg,"ERROR"))</f>
        <v>8.720555192363328E-3</v>
      </c>
      <c r="L712" s="101">
        <f>IF('Net zero activities &amp; levers'!$C$9="Off",'Activity data'!AE48*ttokg*FracGASM*MSVolatEF*NtoN2O*kgtoGg,IF('Net zero activities &amp; levers'!$C$9="On",(('Net zero supporting data'!C158*ttokg*FracGASM*'Net zero supporting data'!C184)+('Net zero supporting data'!C170*ttokg*FracGASM*MSVolatEF))*NtoN2O*kgtoGg,"ERROR"))</f>
        <v>8.7193039074668528E-3</v>
      </c>
      <c r="M712" s="101">
        <f>IF('Net zero activities &amp; levers'!$C$9="Off",'Activity data'!AF48*ttokg*FracGASM*MSVolatEF*NtoN2O*kgtoGg,IF('Net zero activities &amp; levers'!$C$9="On",(('Net zero supporting data'!D158*ttokg*FracGASM*'Net zero supporting data'!D184)+('Net zero supporting data'!D170*ttokg*FracGASM*MSVolatEF))*NtoN2O*kgtoGg,"ERROR"))</f>
        <v>8.7175940179714945E-3</v>
      </c>
      <c r="N712" s="101">
        <f>IF('Net zero activities &amp; levers'!$C$9="Off",'Activity data'!AG48*ttokg*FracGASM*MSVolatEF*NtoN2O*kgtoGg,IF('Net zero activities &amp; levers'!$C$9="On",(('Net zero supporting data'!E158*ttokg*FracGASM*'Net zero supporting data'!E184)+('Net zero supporting data'!E170*ttokg*FracGASM*MSVolatEF))*NtoN2O*kgtoGg,"ERROR"))</f>
        <v>8.7163528649432196E-3</v>
      </c>
      <c r="O712" s="101">
        <f>IF('Net zero activities &amp; levers'!$C$9="Off",'Activity data'!AH48*ttokg*FracGASM*MSVolatEF*NtoN2O*kgtoGg,IF('Net zero activities &amp; levers'!$C$9="On",(('Net zero supporting data'!F158*ttokg*FracGASM*'Net zero supporting data'!F184)+('Net zero supporting data'!F170*ttokg*FracGASM*MSVolatEF))*NtoN2O*kgtoGg,"ERROR"))</f>
        <v>8.7157484326629356E-3</v>
      </c>
      <c r="P712" s="101">
        <f>IF('Net zero activities &amp; levers'!$C$9="Off",'Activity data'!AI48*ttokg*FracGASM*MSVolatEF*NtoN2O*kgtoGg,IF('Net zero activities &amp; levers'!$C$9="On",(('Net zero supporting data'!G158*ttokg*FracGASM*'Net zero supporting data'!G184)+('Net zero supporting data'!G170*ttokg*FracGASM*MSVolatEF))*NtoN2O*kgtoGg,"ERROR"))</f>
        <v>8.715151852125836E-3</v>
      </c>
      <c r="Q712" s="101">
        <f>IF('Net zero activities &amp; levers'!$C$9="Off",'Activity data'!AJ48*ttokg*FracGASM*MSVolatEF*NtoN2O*kgtoGg,IF('Net zero activities &amp; levers'!$C$9="On",(('Net zero supporting data'!H158*ttokg*FracGASM*'Net zero supporting data'!H184)+('Net zero supporting data'!H170*ttokg*FracGASM*MSVolatEF))*NtoN2O*kgtoGg,"ERROR"))</f>
        <v>8.7142493704973605E-3</v>
      </c>
      <c r="R712" s="101">
        <f>IF('Net zero activities &amp; levers'!$C$9="Off",'Activity data'!AK48*ttokg*FracGASM*MSVolatEF*NtoN2O*kgtoGg,IF('Net zero activities &amp; levers'!$C$9="On",(('Net zero supporting data'!I158*ttokg*FracGASM*'Net zero supporting data'!I184)+('Net zero supporting data'!I170*ttokg*FracGASM*MSVolatEF))*NtoN2O*kgtoGg,"ERROR"))</f>
        <v>8.713261285336095E-3</v>
      </c>
      <c r="S712" s="101">
        <f>IF('Net zero activities &amp; levers'!$C$9="Off",'Activity data'!AL48*ttokg*FracGASM*MSVolatEF*NtoN2O*kgtoGg,IF('Net zero activities &amp; levers'!$C$9="On",(('Net zero supporting data'!J158*ttokg*FracGASM*'Net zero supporting data'!J184)+('Net zero supporting data'!J170*ttokg*FracGASM*MSVolatEF))*NtoN2O*kgtoGg,"ERROR"))</f>
        <v>8.7129379196983492E-3</v>
      </c>
      <c r="T712" s="101">
        <f>IF('Net zero activities &amp; levers'!$C$9="Off",'Activity data'!AM48*ttokg*FracGASM*MSVolatEF*NtoN2O*kgtoGg,IF('Net zero activities &amp; levers'!$C$9="On",(('Net zero supporting data'!K158*ttokg*FracGASM*'Net zero supporting data'!K184)+('Net zero supporting data'!K170*ttokg*FracGASM*MSVolatEF))*NtoN2O*kgtoGg,"ERROR"))</f>
        <v>8.5662972642000044E-3</v>
      </c>
      <c r="U712" s="101">
        <f>IF('Net zero activities &amp; levers'!$C$9="Off",'Activity data'!AN48*ttokg*FracGASM*MSVolatEF*NtoN2O*kgtoGg,IF('Net zero activities &amp; levers'!$C$9="On",(('Net zero supporting data'!L158*ttokg*FracGASM*'Net zero supporting data'!L184)+('Net zero supporting data'!L170*ttokg*FracGASM*MSVolatEF))*NtoN2O*kgtoGg,"ERROR"))</f>
        <v>8.4119289593207174E-3</v>
      </c>
      <c r="V712" s="101">
        <f>IF('Net zero activities &amp; levers'!$C$9="Off",'Activity data'!AO48*ttokg*FracGASM*MSVolatEF*NtoN2O*kgtoGg,IF('Net zero activities &amp; levers'!$C$9="On",(('Net zero supporting data'!M158*ttokg*FracGASM*'Net zero supporting data'!M184)+('Net zero supporting data'!M170*ttokg*FracGASM*MSVolatEF))*NtoN2O*kgtoGg,"ERROR"))</f>
        <v>8.2578026751051938E-3</v>
      </c>
      <c r="W712" s="101">
        <f>IF('Net zero activities &amp; levers'!$C$9="Off",'Activity data'!AP48*ttokg*FracGASM*MSVolatEF*NtoN2O*kgtoGg,IF('Net zero activities &amp; levers'!$C$9="On",(('Net zero supporting data'!N158*ttokg*FracGASM*'Net zero supporting data'!N184)+('Net zero supporting data'!N170*ttokg*FracGASM*MSVolatEF))*NtoN2O*kgtoGg,"ERROR"))</f>
        <v>8.1037490554724152E-3</v>
      </c>
      <c r="X712" s="101">
        <f>IF('Net zero activities &amp; levers'!$C$9="Off",'Activity data'!AQ48*ttokg*FracGASM*MSVolatEF*NtoN2O*kgtoGg,IF('Net zero activities &amp; levers'!$C$9="On",(('Net zero supporting data'!O158*ttokg*FracGASM*'Net zero supporting data'!O184)+('Net zero supporting data'!O170*ttokg*FracGASM*MSVolatEF))*NtoN2O*kgtoGg,"ERROR"))</f>
        <v>7.9495304739370439E-3</v>
      </c>
      <c r="Y712" s="101">
        <f>IF('Net zero activities &amp; levers'!$C$9="Off",'Activity data'!AR48*ttokg*FracGASM*MSVolatEF*NtoN2O*kgtoGg,IF('Net zero activities &amp; levers'!$C$9="On",(('Net zero supporting data'!P158*ttokg*FracGASM*'Net zero supporting data'!P184)+('Net zero supporting data'!P170*ttokg*FracGASM*MSVolatEF))*NtoN2O*kgtoGg,"ERROR"))</f>
        <v>7.7953966002865561E-3</v>
      </c>
      <c r="Z712" s="101">
        <f>IF('Net zero activities &amp; levers'!$C$9="Off",'Activity data'!AS48*ttokg*FracGASM*MSVolatEF*NtoN2O*kgtoGg,IF('Net zero activities &amp; levers'!$C$9="On",(('Net zero supporting data'!Q158*ttokg*FracGASM*'Net zero supporting data'!Q184)+('Net zero supporting data'!Q170*ttokg*FracGASM*MSVolatEF))*NtoN2O*kgtoGg,"ERROR"))</f>
        <v>7.6413054975345476E-3</v>
      </c>
      <c r="AA712" s="101">
        <f>IF('Net zero activities &amp; levers'!$C$9="Off",'Activity data'!AT48*ttokg*FracGASM*MSVolatEF*NtoN2O*kgtoGg,IF('Net zero activities &amp; levers'!$C$9="On",(('Net zero supporting data'!R158*ttokg*FracGASM*'Net zero supporting data'!R184)+('Net zero supporting data'!R170*ttokg*FracGASM*MSVolatEF))*NtoN2O*kgtoGg,"ERROR"))</f>
        <v>7.4873504382163376E-3</v>
      </c>
      <c r="AB712" s="101">
        <f>IF('Net zero activities &amp; levers'!$C$9="Off",'Activity data'!AU48*ttokg*FracGASM*MSVolatEF*NtoN2O*kgtoGg,IF('Net zero activities &amp; levers'!$C$9="On",(('Net zero supporting data'!S158*ttokg*FracGASM*'Net zero supporting data'!S184)+('Net zero supporting data'!S170*ttokg*FracGASM*MSVolatEF))*NtoN2O*kgtoGg,"ERROR"))</f>
        <v>7.3333935413233044E-3</v>
      </c>
      <c r="AC712" s="101">
        <f>IF('Net zero activities &amp; levers'!$C$9="Off",'Activity data'!AV48*ttokg*FracGASM*MSVolatEF*NtoN2O*kgtoGg,IF('Net zero activities &amp; levers'!$C$9="On",(('Net zero supporting data'!T158*ttokg*FracGASM*'Net zero supporting data'!T184)+('Net zero supporting data'!T170*ttokg*FracGASM*MSVolatEF))*NtoN2O*kgtoGg,"ERROR"))</f>
        <v>7.1796142384851587E-3</v>
      </c>
      <c r="AD712" s="101">
        <f>IF('Net zero activities &amp; levers'!$C$9="Off",'Activity data'!AW48*ttokg*FracGASM*MSVolatEF*NtoN2O*kgtoGg,IF('Net zero activities &amp; levers'!$C$9="On",(('Net zero supporting data'!U158*ttokg*FracGASM*'Net zero supporting data'!U184)+('Net zero supporting data'!U170*ttokg*FracGASM*MSVolatEF))*NtoN2O*kgtoGg,"ERROR"))</f>
        <v>7.0258839122235581E-3</v>
      </c>
      <c r="AE712" s="101">
        <f>IF('Net zero activities &amp; levers'!$C$9="Off",'Activity data'!AX48*ttokg*FracGASM*MSVolatEF*NtoN2O*kgtoGg,IF('Net zero activities &amp; levers'!$C$9="On",(('Net zero supporting data'!V158*ttokg*FracGASM*'Net zero supporting data'!V184)+('Net zero supporting data'!V170*ttokg*FracGASM*MSVolatEF))*NtoN2O*kgtoGg,"ERROR"))</f>
        <v>6.8719859641213476E-3</v>
      </c>
      <c r="AF712" s="101">
        <f>IF('Net zero activities &amp; levers'!$C$9="Off",'Activity data'!AY48*ttokg*FracGASM*MSVolatEF*NtoN2O*kgtoGg,IF('Net zero activities &amp; levers'!$C$9="On",(('Net zero supporting data'!W158*ttokg*FracGASM*'Net zero supporting data'!W184)+('Net zero supporting data'!W170*ttokg*FracGASM*MSVolatEF))*NtoN2O*kgtoGg,"ERROR"))</f>
        <v>6.7180714181239685E-3</v>
      </c>
      <c r="AG712" s="101">
        <f>IF('Net zero activities &amp; levers'!$C$9="Off",'Activity data'!AZ48*ttokg*FracGASM*MSVolatEF*NtoN2O*kgtoGg,IF('Net zero activities &amp; levers'!$C$9="On",(('Net zero supporting data'!X158*ttokg*FracGASM*'Net zero supporting data'!X184)+('Net zero supporting data'!X170*ttokg*FracGASM*MSVolatEF))*NtoN2O*kgtoGg,"ERROR"))</f>
        <v>6.5642125081758875E-3</v>
      </c>
      <c r="AH712" s="101">
        <f>IF('Net zero activities &amp; levers'!$C$9="Off",'Activity data'!BA48*ttokg*FracGASM*MSVolatEF*NtoN2O*kgtoGg,IF('Net zero activities &amp; levers'!$C$9="On",(('Net zero supporting data'!Y158*ttokg*FracGASM*'Net zero supporting data'!Y184)+('Net zero supporting data'!Y170*ttokg*FracGASM*MSVolatEF))*NtoN2O*kgtoGg,"ERROR"))</f>
        <v>6.4117382254396801E-3</v>
      </c>
      <c r="AI712" s="101">
        <f>IF('Net zero activities &amp; levers'!$C$9="Off",'Activity data'!BB48*ttokg*FracGASM*MSVolatEF*NtoN2O*kgtoGg,IF('Net zero activities &amp; levers'!$C$9="On",(('Net zero supporting data'!Z158*ttokg*FracGASM*'Net zero supporting data'!Z184)+('Net zero supporting data'!Z170*ttokg*FracGASM*MSVolatEF))*NtoN2O*kgtoGg,"ERROR"))</f>
        <v>6.3909032309960511E-3</v>
      </c>
      <c r="AJ712" s="101">
        <f>IF('Net zero activities &amp; levers'!$C$9="Off",'Activity data'!BC48*ttokg*FracGASM*MSVolatEF*NtoN2O*kgtoGg,IF('Net zero activities &amp; levers'!$C$9="On",(('Net zero supporting data'!AA158*ttokg*FracGASM*'Net zero supporting data'!AA184)+('Net zero supporting data'!AA170*ttokg*FracGASM*MSVolatEF))*NtoN2O*kgtoGg,"ERROR"))</f>
        <v>6.2357954356913499E-3</v>
      </c>
      <c r="AK712" s="101">
        <f>IF('Net zero activities &amp; levers'!$C$9="Off",'Activity data'!BD48*ttokg*FracGASM*MSVolatEF*NtoN2O*kgtoGg,IF('Net zero activities &amp; levers'!$C$9="On",(('Net zero supporting data'!AB158*ttokg*FracGASM*'Net zero supporting data'!AB184)+('Net zero supporting data'!AB170*ttokg*FracGASM*MSVolatEF))*NtoN2O*kgtoGg,"ERROR"))</f>
        <v>6.0806786743160699E-3</v>
      </c>
      <c r="AL712" s="101">
        <f>IF('Net zero activities &amp; levers'!$C$9="Off",'Activity data'!BE48*ttokg*FracGASM*MSVolatEF*NtoN2O*kgtoGg,IF('Net zero activities &amp; levers'!$C$9="On",(('Net zero supporting data'!AC158*ttokg*FracGASM*'Net zero supporting data'!AC184)+('Net zero supporting data'!AC170*ttokg*FracGASM*MSVolatEF))*NtoN2O*kgtoGg,"ERROR"))</f>
        <v>5.9255527997928758E-3</v>
      </c>
      <c r="AM712" s="101">
        <f>IF('Net zero activities &amp; levers'!$C$9="Off",'Activity data'!BF48*ttokg*FracGASM*MSVolatEF*NtoN2O*kgtoGg,IF('Net zero activities &amp; levers'!$C$9="On",(('Net zero supporting data'!AD158*ttokg*FracGASM*'Net zero supporting data'!AD184)+('Net zero supporting data'!AD170*ttokg*FracGASM*MSVolatEF))*NtoN2O*kgtoGg,"ERROR"))</f>
        <v>5.77041766234122E-3</v>
      </c>
      <c r="AN712" s="101">
        <f>IF('Net zero activities &amp; levers'!$C$9="Off",'Activity data'!BG48*ttokg*FracGASM*MSVolatEF*NtoN2O*kgtoGg,IF('Net zero activities &amp; levers'!$C$9="On",(('Net zero supporting data'!AE158*ttokg*FracGASM*'Net zero supporting data'!AE184)+('Net zero supporting data'!AE170*ttokg*FracGASM*MSVolatEF))*NtoN2O*kgtoGg,"ERROR"))</f>
        <v>5.7706363970264881E-3</v>
      </c>
      <c r="AO712" s="101">
        <f>IF('Net zero activities &amp; levers'!$C$9="Off",'Activity data'!BH48*ttokg*FracGASM*MSVolatEF*NtoN2O*kgtoGg,IF('Net zero activities &amp; levers'!$C$9="On",(('Net zero supporting data'!AF158*ttokg*FracGASM*'Net zero supporting data'!AF184)+('Net zero supporting data'!AF170*ttokg*FracGASM*MSVolatEF))*NtoN2O*kgtoGg,"ERROR"))</f>
        <v>5.7708238929974924E-3</v>
      </c>
      <c r="AP712" s="101">
        <f>IF('Net zero activities &amp; levers'!$C$9="Off",'Activity data'!BI48*ttokg*FracGASM*MSVolatEF*NtoN2O*kgtoGg,IF('Net zero activities &amp; levers'!$C$9="On",(('Net zero supporting data'!AG158*ttokg*FracGASM*'Net zero supporting data'!AG184)+('Net zero supporting data'!AG170*ttokg*FracGASM*MSVolatEF))*NtoN2O*kgtoGg,"ERROR"))</f>
        <v>5.7710130897464622E-3</v>
      </c>
      <c r="AQ712" s="101">
        <f>IF('Net zero activities &amp; levers'!$C$9="Off",'Activity data'!BJ48*ttokg*FracGASM*MSVolatEF*NtoN2O*kgtoGg,IF('Net zero activities &amp; levers'!$C$9="On",(('Net zero supporting data'!AH158*ttokg*FracGASM*'Net zero supporting data'!AH184)+('Net zero supporting data'!AH170*ttokg*FracGASM*MSVolatEF))*NtoN2O*kgtoGg,"ERROR"))</f>
        <v>5.7712040076237647E-3</v>
      </c>
      <c r="AR712" s="101">
        <f>IF('Net zero activities &amp; levers'!$C$9="Off",'Activity data'!BK48*ttokg*FracGASM*MSVolatEF*NtoN2O*kgtoGg,IF('Net zero activities &amp; levers'!$C$9="On",(('Net zero supporting data'!AI158*ttokg*FracGASM*'Net zero supporting data'!AI184)+('Net zero supporting data'!AI170*ttokg*FracGASM*MSVolatEF))*NtoN2O*kgtoGg,"ERROR"))</f>
        <v>5.77139666731362E-3</v>
      </c>
      <c r="AS712" s="101">
        <f>IF('Net zero activities &amp; levers'!$C$9="Off",'Activity data'!BL48*ttokg*FracGASM*MSVolatEF*NtoN2O*kgtoGg,IF('Net zero activities &amp; levers'!$C$9="On",(('Net zero supporting data'!AJ158*ttokg*FracGASM*'Net zero supporting data'!AJ184)+('Net zero supporting data'!AJ170*ttokg*FracGASM*MSVolatEF))*NtoN2O*kgtoGg,"ERROR"))</f>
        <v>5.7715910898413761E-3</v>
      </c>
      <c r="AT712" s="101">
        <f>IF('Net zero activities &amp; levers'!$C$9="Off",'Activity data'!BM48*ttokg*FracGASM*MSVolatEF*NtoN2O*kgtoGg,IF('Net zero activities &amp; levers'!$C$9="On",(('Net zero supporting data'!AK158*ttokg*FracGASM*'Net zero supporting data'!AK184)+('Net zero supporting data'!AK170*ttokg*FracGASM*MSVolatEF))*NtoN2O*kgtoGg,"ERROR"))</f>
        <v>5.7717523121071004E-3</v>
      </c>
      <c r="AU712" s="101">
        <f>IF('Net zero activities &amp; levers'!$C$9="Off",'Activity data'!BN48*ttokg*FracGASM*MSVolatEF*NtoN2O*kgtoGg,IF('Net zero activities &amp; levers'!$C$9="On",(('Net zero supporting data'!AL158*ttokg*FracGASM*'Net zero supporting data'!AL184)+('Net zero supporting data'!AL170*ttokg*FracGASM*MSVolatEF))*NtoN2O*kgtoGg,"ERROR"))</f>
        <v>5.7719147530677943E-3</v>
      </c>
      <c r="AV712" s="101">
        <f>IF('Net zero activities &amp; levers'!$C$9="Off",'Activity data'!BO48*ttokg*FracGASM*MSVolatEF*NtoN2O*kgtoGg,IF('Net zero activities &amp; levers'!$C$9="On",(('Net zero supporting data'!AM158*ttokg*FracGASM*'Net zero supporting data'!AM184)+('Net zero supporting data'!AM170*ttokg*FracGASM*MSVolatEF))*NtoN2O*kgtoGg,"ERROR"))</f>
        <v>5.7720784249567208E-3</v>
      </c>
      <c r="AW712" s="101">
        <f>IF('Net zero activities &amp; levers'!$C$9="Off",'Activity data'!BP48*ttokg*FracGASM*MSVolatEF*NtoN2O*kgtoGg,IF('Net zero activities &amp; levers'!$C$9="On",(('Net zero supporting data'!AN158*ttokg*FracGASM*'Net zero supporting data'!AN184)+('Net zero supporting data'!AN170*ttokg*FracGASM*MSVolatEF))*NtoN2O*kgtoGg,"ERROR"))</f>
        <v>5.7722433401760703E-3</v>
      </c>
      <c r="AY712" s="85"/>
      <c r="AZ712" s="85"/>
    </row>
    <row r="713" spans="1:52" x14ac:dyDescent="0.25">
      <c r="A713" s="102" t="str">
        <f t="shared" si="149"/>
        <v>NI Volatilisation</v>
      </c>
      <c r="B713" s="102" t="s">
        <v>970</v>
      </c>
      <c r="C713" s="102" t="s">
        <v>62</v>
      </c>
      <c r="D713" t="s">
        <v>369</v>
      </c>
      <c r="E713" t="s">
        <v>61</v>
      </c>
      <c r="F713" t="s">
        <v>62</v>
      </c>
      <c r="G713" t="s">
        <v>437</v>
      </c>
      <c r="H713" t="s">
        <v>1187</v>
      </c>
      <c r="I713" t="s">
        <v>139</v>
      </c>
      <c r="J713" t="s">
        <v>287</v>
      </c>
      <c r="K713" s="101">
        <f>IF('Net zero activities &amp; levers'!$C$9="Off",SUM('Activity data'!AD50:AD65)*FracGASM*MSVolatEF*NtoN2O*kgtoGg,IF('Net zero activities &amp; levers'!$C$9="On",((SUM('Net zero supporting data'!B159:B168)*FracGASM*'Net zero supporting data'!B184)+(SUM('Net zero supporting data'!B171:B180,'Net zero Activity data'!AD54,'Net zero Activity data'!AD57,'Net zero Activity data'!AD59:AD61,'Net zero Activity data'!AD63)*FracGASM*MSVolatEF))*NtoN2O*kgtoGg,"ERROR"))</f>
        <v>1.2093332917192059</v>
      </c>
      <c r="L713" s="101">
        <f>IF('Net zero activities &amp; levers'!$C$9="Off",SUM('Activity data'!AE50:AE65)*FracGASM*MSVolatEF*NtoN2O*kgtoGg,IF('Net zero activities &amp; levers'!$C$9="On",((SUM('Net zero supporting data'!C159:C168)*FracGASM*'Net zero supporting data'!C184)+(SUM('Net zero supporting data'!C171:C180,'Net zero Activity data'!AE54,'Net zero Activity data'!AE57,'Net zero Activity data'!AE59:AE61,'Net zero Activity data'!AE63)*FracGASM*MSVolatEF))*NtoN2O*kgtoGg,"ERROR"))</f>
        <v>1.212549014194676</v>
      </c>
      <c r="M713" s="101">
        <f>IF('Net zero activities &amp; levers'!$C$9="Off",SUM('Activity data'!AF50:AF65)*FracGASM*MSVolatEF*NtoN2O*kgtoGg,IF('Net zero activities &amp; levers'!$C$9="On",((SUM('Net zero supporting data'!D159:D168)*FracGASM*'Net zero supporting data'!D184)+(SUM('Net zero supporting data'!D171:D180,'Net zero Activity data'!AF54,'Net zero Activity data'!AF57,'Net zero Activity data'!AF59:AF61,'Net zero Activity data'!AF63)*FracGASM*MSVolatEF))*NtoN2O*kgtoGg,"ERROR"))</f>
        <v>1.2080675975352921</v>
      </c>
      <c r="N713" s="101">
        <f>IF('Net zero activities &amp; levers'!$C$9="Off",SUM('Activity data'!AG50:AG65)*FracGASM*MSVolatEF*NtoN2O*kgtoGg,IF('Net zero activities &amp; levers'!$C$9="On",((SUM('Net zero supporting data'!E159:E168)*FracGASM*'Net zero supporting data'!E184)+(SUM('Net zero supporting data'!E171:E180,'Net zero Activity data'!AG54,'Net zero Activity data'!AG57,'Net zero Activity data'!AG59:AG61,'Net zero Activity data'!AG63)*FracGASM*MSVolatEF))*NtoN2O*kgtoGg,"ERROR"))</f>
        <v>1.1932021188168922</v>
      </c>
      <c r="O713" s="101">
        <f>IF('Net zero activities &amp; levers'!$C$9="Off",SUM('Activity data'!AH50:AH65)*FracGASM*MSVolatEF*NtoN2O*kgtoGg,IF('Net zero activities &amp; levers'!$C$9="On",((SUM('Net zero supporting data'!F159:F168)*FracGASM*'Net zero supporting data'!F184)+(SUM('Net zero supporting data'!F171:F180,'Net zero Activity data'!AH54,'Net zero Activity data'!AH57,'Net zero Activity data'!AH59:AH61,'Net zero Activity data'!AH63)*FracGASM*MSVolatEF))*NtoN2O*kgtoGg,"ERROR"))</f>
        <v>1.1789615688677482</v>
      </c>
      <c r="P713" s="101">
        <f>IF('Net zero activities &amp; levers'!$C$9="Off",SUM('Activity data'!AI50:AI65)*FracGASM*MSVolatEF*NtoN2O*kgtoGg,IF('Net zero activities &amp; levers'!$C$9="On",((SUM('Net zero supporting data'!G159:G168)*FracGASM*'Net zero supporting data'!G184)+(SUM('Net zero supporting data'!G171:G180,'Net zero Activity data'!AI54,'Net zero Activity data'!AI57,'Net zero Activity data'!AI59:AI61,'Net zero Activity data'!AI63)*FracGASM*MSVolatEF))*NtoN2O*kgtoGg,"ERROR"))</f>
        <v>1.1704734210058416</v>
      </c>
      <c r="Q713" s="101">
        <f>IF('Net zero activities &amp; levers'!$C$9="Off",SUM('Activity data'!AJ50:AJ65)*FracGASM*MSVolatEF*NtoN2O*kgtoGg,IF('Net zero activities &amp; levers'!$C$9="On",((SUM('Net zero supporting data'!H159:H168)*FracGASM*'Net zero supporting data'!H184)+(SUM('Net zero supporting data'!H171:H180,'Net zero Activity data'!AJ54,'Net zero Activity data'!AJ57,'Net zero Activity data'!AJ59:AJ61,'Net zero Activity data'!AJ63)*FracGASM*MSVolatEF))*NtoN2O*kgtoGg,"ERROR"))</f>
        <v>1.163869136537343</v>
      </c>
      <c r="R713" s="101">
        <f>IF('Net zero activities &amp; levers'!$C$9="Off",SUM('Activity data'!AK50:AK65)*FracGASM*MSVolatEF*NtoN2O*kgtoGg,IF('Net zero activities &amp; levers'!$C$9="On",((SUM('Net zero supporting data'!I159:I168)*FracGASM*'Net zero supporting data'!I184)+(SUM('Net zero supporting data'!I171:I180,'Net zero Activity data'!AK54,'Net zero Activity data'!AK57,'Net zero Activity data'!AK59:AK61,'Net zero Activity data'!AK63)*FracGASM*MSVolatEF))*NtoN2O*kgtoGg,"ERROR"))</f>
        <v>1.1469007270703129</v>
      </c>
      <c r="S713" s="101">
        <f>IF('Net zero activities &amp; levers'!$C$9="Off",SUM('Activity data'!AL50:AL65)*FracGASM*MSVolatEF*NtoN2O*kgtoGg,IF('Net zero activities &amp; levers'!$C$9="On",((SUM('Net zero supporting data'!J159:J168)*FracGASM*'Net zero supporting data'!J184)+(SUM('Net zero supporting data'!J171:J180,'Net zero Activity data'!AL54,'Net zero Activity data'!AL57,'Net zero Activity data'!AL59:AL61,'Net zero Activity data'!AL63)*FracGASM*MSVolatEF))*NtoN2O*kgtoGg,"ERROR"))</f>
        <v>1.0343013809056245</v>
      </c>
      <c r="T713" s="101">
        <f>IF('Net zero activities &amp; levers'!$C$9="Off",SUM('Activity data'!AM50:AM65)*FracGASM*MSVolatEF*NtoN2O*kgtoGg,IF('Net zero activities &amp; levers'!$C$9="On",((SUM('Net zero supporting data'!K159:K168)*FracGASM*'Net zero supporting data'!K184)+(SUM('Net zero supporting data'!K171:K180,'Net zero Activity data'!AM54,'Net zero Activity data'!AM57,'Net zero Activity data'!AM59:AM61,'Net zero Activity data'!AM63)*FracGASM*MSVolatEF))*NtoN2O*kgtoGg,"ERROR"))</f>
        <v>1.0320345438740328</v>
      </c>
      <c r="U713" s="101">
        <f>IF('Net zero activities &amp; levers'!$C$9="Off",SUM('Activity data'!AN50:AN65)*FracGASM*MSVolatEF*NtoN2O*kgtoGg,IF('Net zero activities &amp; levers'!$C$9="On",((SUM('Net zero supporting data'!L159:L168)*FracGASM*'Net zero supporting data'!L184)+(SUM('Net zero supporting data'!L171:L180,'Net zero Activity data'!AN54,'Net zero Activity data'!AN57,'Net zero Activity data'!AN59:AN61,'Net zero Activity data'!AN63)*FracGASM*MSVolatEF))*NtoN2O*kgtoGg,"ERROR"))</f>
        <v>1.0269194017550889</v>
      </c>
      <c r="V713" s="101">
        <f>IF('Net zero activities &amp; levers'!$C$9="Off",SUM('Activity data'!AO50:AO65)*FracGASM*MSVolatEF*NtoN2O*kgtoGg,IF('Net zero activities &amp; levers'!$C$9="On",((SUM('Net zero supporting data'!M159:M168)*FracGASM*'Net zero supporting data'!M184)+(SUM('Net zero supporting data'!M171:M180,'Net zero Activity data'!AO54,'Net zero Activity data'!AO57,'Net zero Activity data'!AO59:AO61,'Net zero Activity data'!AO63)*FracGASM*MSVolatEF))*NtoN2O*kgtoGg,"ERROR"))</f>
        <v>1.0215023913400116</v>
      </c>
      <c r="W713" s="101">
        <f>IF('Net zero activities &amp; levers'!$C$9="Off",SUM('Activity data'!AP50:AP65)*FracGASM*MSVolatEF*NtoN2O*kgtoGg,IF('Net zero activities &amp; levers'!$C$9="On",((SUM('Net zero supporting data'!N159:N168)*FracGASM*'Net zero supporting data'!N184)+(SUM('Net zero supporting data'!N171:N180,'Net zero Activity data'!AP54,'Net zero Activity data'!AP57,'Net zero Activity data'!AP59:AP61,'Net zero Activity data'!AP63)*FracGASM*MSVolatEF))*NtoN2O*kgtoGg,"ERROR"))</f>
        <v>1.0194676219933236</v>
      </c>
      <c r="X713" s="101">
        <f>IF('Net zero activities &amp; levers'!$C$9="Off",SUM('Activity data'!AQ50:AQ65)*FracGASM*MSVolatEF*NtoN2O*kgtoGg,IF('Net zero activities &amp; levers'!$C$9="On",((SUM('Net zero supporting data'!O159:O168)*FracGASM*'Net zero supporting data'!O184)+(SUM('Net zero supporting data'!O171:O180,'Net zero Activity data'!AQ54,'Net zero Activity data'!AQ57,'Net zero Activity data'!AQ59:AQ61,'Net zero Activity data'!AQ63)*FracGASM*MSVolatEF))*NtoN2O*kgtoGg,"ERROR"))</f>
        <v>1.01695650734168</v>
      </c>
      <c r="Y713" s="101">
        <f>IF('Net zero activities &amp; levers'!$C$9="Off",SUM('Activity data'!AR50:AR65)*FracGASM*MSVolatEF*NtoN2O*kgtoGg,IF('Net zero activities &amp; levers'!$C$9="On",((SUM('Net zero supporting data'!P159:P168)*FracGASM*'Net zero supporting data'!P184)+(SUM('Net zero supporting data'!P171:P180,'Net zero Activity data'!AR54,'Net zero Activity data'!AR57,'Net zero Activity data'!AR59:AR61,'Net zero Activity data'!AR63)*FracGASM*MSVolatEF))*NtoN2O*kgtoGg,"ERROR"))</f>
        <v>1.0146586999717133</v>
      </c>
      <c r="Z713" s="101">
        <f>IF('Net zero activities &amp; levers'!$C$9="Off",SUM('Activity data'!AS50:AS65)*FracGASM*MSVolatEF*NtoN2O*kgtoGg,IF('Net zero activities &amp; levers'!$C$9="On",((SUM('Net zero supporting data'!Q159:Q168)*FracGASM*'Net zero supporting data'!Q184)+(SUM('Net zero supporting data'!Q171:Q180,'Net zero Activity data'!AS54,'Net zero Activity data'!AS57,'Net zero Activity data'!AS59:AS61,'Net zero Activity data'!AS63)*FracGASM*MSVolatEF))*NtoN2O*kgtoGg,"ERROR"))</f>
        <v>1.0110241484673417</v>
      </c>
      <c r="AA713" s="101">
        <f>IF('Net zero activities &amp; levers'!$C$9="Off",SUM('Activity data'!AT50:AT65)*FracGASM*MSVolatEF*NtoN2O*kgtoGg,IF('Net zero activities &amp; levers'!$C$9="On",((SUM('Net zero supporting data'!R159:R168)*FracGASM*'Net zero supporting data'!R184)+(SUM('Net zero supporting data'!R171:R180,'Net zero Activity data'!AT54,'Net zero Activity data'!AT57,'Net zero Activity data'!AT59:AT61,'Net zero Activity data'!AT63)*FracGASM*MSVolatEF))*NtoN2O*kgtoGg,"ERROR"))</f>
        <v>1.0082464979839281</v>
      </c>
      <c r="AB713" s="101">
        <f>IF('Net zero activities &amp; levers'!$C$9="Off",SUM('Activity data'!AU50:AU65)*FracGASM*MSVolatEF*NtoN2O*kgtoGg,IF('Net zero activities &amp; levers'!$C$9="On",((SUM('Net zero supporting data'!S159:S168)*FracGASM*'Net zero supporting data'!S184)+(SUM('Net zero supporting data'!S171:S180,'Net zero Activity data'!AU54,'Net zero Activity data'!AU57,'Net zero Activity data'!AU59:AU61,'Net zero Activity data'!AU63)*FracGASM*MSVolatEF))*NtoN2O*kgtoGg,"ERROR"))</f>
        <v>1.0034004414446822</v>
      </c>
      <c r="AC713" s="101">
        <f>IF('Net zero activities &amp; levers'!$C$9="Off",SUM('Activity data'!AV50:AV65)*FracGASM*MSVolatEF*NtoN2O*kgtoGg,IF('Net zero activities &amp; levers'!$C$9="On",((SUM('Net zero supporting data'!T159:T168)*FracGASM*'Net zero supporting data'!T184)+(SUM('Net zero supporting data'!T171:T180,'Net zero Activity data'!AV54,'Net zero Activity data'!AV57,'Net zero Activity data'!AV59:AV61,'Net zero Activity data'!AV63)*FracGASM*MSVolatEF))*NtoN2O*kgtoGg,"ERROR"))</f>
        <v>0.99855076386257224</v>
      </c>
      <c r="AD713" s="101">
        <f>IF('Net zero activities &amp; levers'!$C$9="Off",SUM('Activity data'!AW50:AW65)*FracGASM*MSVolatEF*NtoN2O*kgtoGg,IF('Net zero activities &amp; levers'!$C$9="On",((SUM('Net zero supporting data'!U159:U168)*FracGASM*'Net zero supporting data'!U184)+(SUM('Net zero supporting data'!U171:U180,'Net zero Activity data'!AW54,'Net zero Activity data'!AW57,'Net zero Activity data'!AW59:AW61,'Net zero Activity data'!AW63)*FracGASM*MSVolatEF))*NtoN2O*kgtoGg,"ERROR"))</f>
        <v>0.99812864857904204</v>
      </c>
      <c r="AE713" s="101">
        <f>IF('Net zero activities &amp; levers'!$C$9="Off",SUM('Activity data'!AX50:AX65)*FracGASM*MSVolatEF*NtoN2O*kgtoGg,IF('Net zero activities &amp; levers'!$C$9="On",((SUM('Net zero supporting data'!V159:V168)*FracGASM*'Net zero supporting data'!V184)+(SUM('Net zero supporting data'!V171:V180,'Net zero Activity data'!AX54,'Net zero Activity data'!AX57,'Net zero Activity data'!AX59:AX61,'Net zero Activity data'!AX63)*FracGASM*MSVolatEF))*NtoN2O*kgtoGg,"ERROR"))</f>
        <v>0.99880009803835179</v>
      </c>
      <c r="AF713" s="101">
        <f>IF('Net zero activities &amp; levers'!$C$9="Off",SUM('Activity data'!AY50:AY65)*FracGASM*MSVolatEF*NtoN2O*kgtoGg,IF('Net zero activities &amp; levers'!$C$9="On",((SUM('Net zero supporting data'!W159:W168)*FracGASM*'Net zero supporting data'!W184)+(SUM('Net zero supporting data'!W171:W180,'Net zero Activity data'!AY54,'Net zero Activity data'!AY57,'Net zero Activity data'!AY59:AY61,'Net zero Activity data'!AY63)*FracGASM*MSVolatEF))*NtoN2O*kgtoGg,"ERROR"))</f>
        <v>0.99936823324979618</v>
      </c>
      <c r="AG713" s="101">
        <f>IF('Net zero activities &amp; levers'!$C$9="Off",SUM('Activity data'!AZ50:AZ65)*FracGASM*MSVolatEF*NtoN2O*kgtoGg,IF('Net zero activities &amp; levers'!$C$9="On",((SUM('Net zero supporting data'!X159:X168)*FracGASM*'Net zero supporting data'!X184)+(SUM('Net zero supporting data'!X171:X180,'Net zero Activity data'!AZ54,'Net zero Activity data'!AZ57,'Net zero Activity data'!AZ59:AZ61,'Net zero Activity data'!AZ63)*FracGASM*MSVolatEF))*NtoN2O*kgtoGg,"ERROR"))</f>
        <v>0.97664667628533142</v>
      </c>
      <c r="AH713" s="101">
        <f>IF('Net zero activities &amp; levers'!$C$9="Off",SUM('Activity data'!BA50:BA65)*FracGASM*MSVolatEF*NtoN2O*kgtoGg,IF('Net zero activities &amp; levers'!$C$9="On",((SUM('Net zero supporting data'!Y159:Y168)*FracGASM*'Net zero supporting data'!Y184)+(SUM('Net zero supporting data'!Y171:Y180,'Net zero Activity data'!BA54,'Net zero Activity data'!BA57,'Net zero Activity data'!BA59:BA61,'Net zero Activity data'!BA63)*FracGASM*MSVolatEF))*NtoN2O*kgtoGg,"ERROR"))</f>
        <v>-0.10337534604854072</v>
      </c>
      <c r="AI713" s="101">
        <f>IF('Net zero activities &amp; levers'!$C$9="Off",SUM('Activity data'!BB50:BB65)*FracGASM*MSVolatEF*NtoN2O*kgtoGg,IF('Net zero activities &amp; levers'!$C$9="On",((SUM('Net zero supporting data'!Z159:Z168)*FracGASM*'Net zero supporting data'!Z184)+(SUM('Net zero supporting data'!Z171:Z180,'Net zero Activity data'!BB54,'Net zero Activity data'!BB57,'Net zero Activity data'!BB59:BB61,'Net zero Activity data'!BB63)*FracGASM*MSVolatEF))*NtoN2O*kgtoGg,"ERROR"))</f>
        <v>-0.1001836912076054</v>
      </c>
      <c r="AJ713" s="101">
        <f>IF('Net zero activities &amp; levers'!$C$9="Off",SUM('Activity data'!BC50:BC65)*FracGASM*MSVolatEF*NtoN2O*kgtoGg,IF('Net zero activities &amp; levers'!$C$9="On",((SUM('Net zero supporting data'!AA159:AA168)*FracGASM*'Net zero supporting data'!AA184)+(SUM('Net zero supporting data'!AA171:AA180,'Net zero Activity data'!BC54,'Net zero Activity data'!BC57,'Net zero Activity data'!BC59:BC61,'Net zero Activity data'!BC63)*FracGASM*MSVolatEF))*NtoN2O*kgtoGg,"ERROR"))</f>
        <v>-9.7039255345814562E-2</v>
      </c>
      <c r="AK713" s="101">
        <f>IF('Net zero activities &amp; levers'!$C$9="Off",SUM('Activity data'!BD50:BD65)*FracGASM*MSVolatEF*NtoN2O*kgtoGg,IF('Net zero activities &amp; levers'!$C$9="On",((SUM('Net zero supporting data'!AB159:AB168)*FracGASM*'Net zero supporting data'!AB184)+(SUM('Net zero supporting data'!AB171:AB180,'Net zero Activity data'!BD54,'Net zero Activity data'!BD57,'Net zero Activity data'!BD59:BD61,'Net zero Activity data'!BD63)*FracGASM*MSVolatEF))*NtoN2O*kgtoGg,"ERROR"))</f>
        <v>-9.393897285054531E-2</v>
      </c>
      <c r="AL713" s="101">
        <f>IF('Net zero activities &amp; levers'!$C$9="Off",SUM('Activity data'!BE50:BE65)*FracGASM*MSVolatEF*NtoN2O*kgtoGg,IF('Net zero activities &amp; levers'!$C$9="On",((SUM('Net zero supporting data'!AC159:AC168)*FracGASM*'Net zero supporting data'!AC184)+(SUM('Net zero supporting data'!AC171:AC180,'Net zero Activity data'!BE54,'Net zero Activity data'!BE57,'Net zero Activity data'!BE59:BE61,'Net zero Activity data'!BE63)*FracGASM*MSVolatEF))*NtoN2O*kgtoGg,"ERROR"))</f>
        <v>-9.0879981285842557E-2</v>
      </c>
      <c r="AM713" s="101">
        <f>IF('Net zero activities &amp; levers'!$C$9="Off",SUM('Activity data'!BF50:BF65)*FracGASM*MSVolatEF*NtoN2O*kgtoGg,IF('Net zero activities &amp; levers'!$C$9="On",((SUM('Net zero supporting data'!AD159:AD168)*FracGASM*'Net zero supporting data'!AD184)+(SUM('Net zero supporting data'!AD171:AD180,'Net zero Activity data'!BF54,'Net zero Activity data'!BF57,'Net zero Activity data'!BF59:BF61,'Net zero Activity data'!BF63)*FracGASM*MSVolatEF))*NtoN2O*kgtoGg,"ERROR"))</f>
        <v>-8.7859602480265031E-2</v>
      </c>
      <c r="AN713" s="101">
        <f>IF('Net zero activities &amp; levers'!$C$9="Off",SUM('Activity data'!BG50:BG65)*FracGASM*MSVolatEF*NtoN2O*kgtoGg,IF('Net zero activities &amp; levers'!$C$9="On",((SUM('Net zero supporting data'!AE159:AE168)*FracGASM*'Net zero supporting data'!AE184)+(SUM('Net zero supporting data'!AE171:AE180,'Net zero Activity data'!BG54,'Net zero Activity data'!BG57,'Net zero Activity data'!BG59:BG61,'Net zero Activity data'!BG63)*FracGASM*MSVolatEF))*NtoN2O*kgtoGg,"ERROR"))</f>
        <v>-8.603554184375127E-2</v>
      </c>
      <c r="AO713" s="101">
        <f>IF('Net zero activities &amp; levers'!$C$9="Off",SUM('Activity data'!BH50:BH65)*FracGASM*MSVolatEF*NtoN2O*kgtoGg,IF('Net zero activities &amp; levers'!$C$9="On",((SUM('Net zero supporting data'!AF159:AF168)*FracGASM*'Net zero supporting data'!AF184)+(SUM('Net zero supporting data'!AF171:AF180,'Net zero Activity data'!BH54,'Net zero Activity data'!BH57,'Net zero Activity data'!BH59:BH61,'Net zero Activity data'!BH63)*FracGASM*MSVolatEF))*NtoN2O*kgtoGg,"ERROR"))</f>
        <v>-8.4247357074128754E-2</v>
      </c>
      <c r="AP713" s="101">
        <f>IF('Net zero activities &amp; levers'!$C$9="Off",SUM('Activity data'!BI50:BI65)*FracGASM*MSVolatEF*NtoN2O*kgtoGg,IF('Net zero activities &amp; levers'!$C$9="On",((SUM('Net zero supporting data'!AG159:AG168)*FracGASM*'Net zero supporting data'!AG184)+(SUM('Net zero supporting data'!AG171:AG180,'Net zero Activity data'!BI54,'Net zero Activity data'!BI57,'Net zero Activity data'!BI59:BI61,'Net zero Activity data'!BI63)*FracGASM*MSVolatEF))*NtoN2O*kgtoGg,"ERROR"))</f>
        <v>-8.2493577110940366E-2</v>
      </c>
      <c r="AQ713" s="101">
        <f>IF('Net zero activities &amp; levers'!$C$9="Off",SUM('Activity data'!BJ50:BJ65)*FracGASM*MSVolatEF*NtoN2O*kgtoGg,IF('Net zero activities &amp; levers'!$C$9="On",((SUM('Net zero supporting data'!AH159:AH168)*FracGASM*'Net zero supporting data'!AH184)+(SUM('Net zero supporting data'!AH171:AH180,'Net zero Activity data'!BJ54,'Net zero Activity data'!BJ57,'Net zero Activity data'!BJ59:BJ61,'Net zero Activity data'!BJ63)*FracGASM*MSVolatEF))*NtoN2O*kgtoGg,"ERROR"))</f>
        <v>-8.0772823451745246E-2</v>
      </c>
      <c r="AR713" s="101">
        <f>IF('Net zero activities &amp; levers'!$C$9="Off",SUM('Activity data'!BK50:BK65)*FracGASM*MSVolatEF*NtoN2O*kgtoGg,IF('Net zero activities &amp; levers'!$C$9="On",((SUM('Net zero supporting data'!AI159:AI168)*FracGASM*'Net zero supporting data'!AI184)+(SUM('Net zero supporting data'!AI171:AI180,'Net zero Activity data'!BK54,'Net zero Activity data'!BK57,'Net zero Activity data'!BK59:BK61,'Net zero Activity data'!BK63)*FracGASM*MSVolatEF))*NtoN2O*kgtoGg,"ERROR"))</f>
        <v>-7.9083802487477692E-2</v>
      </c>
      <c r="AS713" s="101">
        <f>IF('Net zero activities &amp; levers'!$C$9="Off",SUM('Activity data'!BL50:BL65)*FracGASM*MSVolatEF*NtoN2O*kgtoGg,IF('Net zero activities &amp; levers'!$C$9="On",((SUM('Net zero supporting data'!AJ159:AJ168)*FracGASM*'Net zero supporting data'!AJ184)+(SUM('Net zero supporting data'!AJ171:AJ180,'Net zero Activity data'!BL54,'Net zero Activity data'!BL57,'Net zero Activity data'!BL59:BL61,'Net zero Activity data'!BL63)*FracGASM*MSVolatEF))*NtoN2O*kgtoGg,"ERROR"))</f>
        <v>-7.7330390161127305E-2</v>
      </c>
      <c r="AT713" s="101">
        <f>IF('Net zero activities &amp; levers'!$C$9="Off",SUM('Activity data'!BM50:BM65)*FracGASM*MSVolatEF*NtoN2O*kgtoGg,IF('Net zero activities &amp; levers'!$C$9="On",((SUM('Net zero supporting data'!AK159:AK168)*FracGASM*'Net zero supporting data'!AK184)+(SUM('Net zero supporting data'!AK171:AK180,'Net zero Activity data'!BM54,'Net zero Activity data'!BM57,'Net zero Activity data'!BM59:BM61,'Net zero Activity data'!BM63)*FracGASM*MSVolatEF))*NtoN2O*kgtoGg,"ERROR"))</f>
        <v>-7.5608823781861165E-2</v>
      </c>
      <c r="AU713" s="101">
        <f>IF('Net zero activities &amp; levers'!$C$9="Off",SUM('Activity data'!BN50:BN65)*FracGASM*MSVolatEF*NtoN2O*kgtoGg,IF('Net zero activities &amp; levers'!$C$9="On",((SUM('Net zero supporting data'!AL159:AL168)*FracGASM*'Net zero supporting data'!AL184)+(SUM('Net zero supporting data'!AL171:AL180,'Net zero Activity data'!BN54,'Net zero Activity data'!BN57,'Net zero Activity data'!BN59:BN61,'Net zero Activity data'!BN63)*FracGASM*MSVolatEF))*NtoN2O*kgtoGg,"ERROR"))</f>
        <v>-7.3917966750002215E-2</v>
      </c>
      <c r="AV713" s="101">
        <f>IF('Net zero activities &amp; levers'!$C$9="Off",SUM('Activity data'!BO50:BO65)*FracGASM*MSVolatEF*NtoN2O*kgtoGg,IF('Net zero activities &amp; levers'!$C$9="On",((SUM('Net zero supporting data'!AM159:AM168)*FracGASM*'Net zero supporting data'!AM184)+(SUM('Net zero supporting data'!AM171:AM180,'Net zero Activity data'!BO54,'Net zero Activity data'!BO57,'Net zero Activity data'!BO59:BO61,'Net zero Activity data'!BO63)*FracGASM*MSVolatEF))*NtoN2O*kgtoGg,"ERROR"))</f>
        <v>-7.2256746733692964E-2</v>
      </c>
      <c r="AW713" s="101">
        <f>IF('Net zero activities &amp; levers'!$C$9="Off",SUM('Activity data'!BP50:BP65)*FracGASM*MSVolatEF*NtoN2O*kgtoGg,IF('Net zero activities &amp; levers'!$C$9="On",((SUM('Net zero supporting data'!AN159:AN168)*FracGASM*'Net zero supporting data'!AN184)+(SUM('Net zero supporting data'!AN171:AN180,'Net zero Activity data'!BP54,'Net zero Activity data'!BP57,'Net zero Activity data'!BP59:BP61,'Net zero Activity data'!BP63)*FracGASM*MSVolatEF))*NtoN2O*kgtoGg,"ERROR"))</f>
        <v>-7.0624150872276512E-2</v>
      </c>
      <c r="AY713" s="85"/>
      <c r="AZ713" s="85"/>
    </row>
    <row r="714" spans="1:52" x14ac:dyDescent="0.25">
      <c r="A714" s="102" t="str">
        <f t="shared" si="149"/>
        <v>NI Volatilisation</v>
      </c>
      <c r="B714" s="102" t="s">
        <v>970</v>
      </c>
      <c r="C714" s="102" t="s">
        <v>62</v>
      </c>
      <c r="D714" t="str">
        <f t="shared" ref="D714:F714" si="157">D713</f>
        <v>3C Aggregated and non-CO2 emissions on land</v>
      </c>
      <c r="E714" t="str">
        <f t="shared" si="157"/>
        <v>3C5 Indirect N2O from managed soils (N2O)</v>
      </c>
      <c r="F714" t="str">
        <f t="shared" si="157"/>
        <v>Volatilisation</v>
      </c>
      <c r="G714" t="s">
        <v>438</v>
      </c>
      <c r="H714" t="str">
        <f t="shared" ref="H714" si="158">F714&amp;G714</f>
        <v>Volatilisation - Urine &amp; dung</v>
      </c>
      <c r="I714" t="str">
        <f t="shared" ref="I714:J714" si="159">I713</f>
        <v>N2O</v>
      </c>
      <c r="J714" t="str">
        <f t="shared" si="159"/>
        <v>Gg N2O</v>
      </c>
      <c r="K714" s="22">
        <f>K1513</f>
        <v>4.4200208339270741</v>
      </c>
      <c r="L714" s="22">
        <f t="shared" ref="L714:AW714" si="160">L1513</f>
        <v>4.4063497224338981</v>
      </c>
      <c r="M714" s="22">
        <f t="shared" si="160"/>
        <v>4.3748236308422763</v>
      </c>
      <c r="N714" s="22">
        <f t="shared" si="160"/>
        <v>4.3194633293945399</v>
      </c>
      <c r="O714" s="22">
        <f t="shared" si="160"/>
        <v>4.2670975633063994</v>
      </c>
      <c r="P714" s="22">
        <f t="shared" si="160"/>
        <v>4.2296870830077653</v>
      </c>
      <c r="Q714" s="22">
        <f t="shared" si="160"/>
        <v>4.1973003663588617</v>
      </c>
      <c r="R714" s="22">
        <f t="shared" si="160"/>
        <v>4.1416337219460111</v>
      </c>
      <c r="S714" s="22">
        <f t="shared" si="160"/>
        <v>3.8694283391195556</v>
      </c>
      <c r="T714" s="22">
        <f t="shared" si="160"/>
        <v>3.892690707807458</v>
      </c>
      <c r="U714" s="22">
        <f t="shared" si="160"/>
        <v>3.910223559811274</v>
      </c>
      <c r="V714" s="22">
        <f t="shared" si="160"/>
        <v>3.9277946028277135</v>
      </c>
      <c r="W714" s="22">
        <f t="shared" si="160"/>
        <v>3.9540546968376762</v>
      </c>
      <c r="X714" s="22">
        <f t="shared" si="160"/>
        <v>3.9800525826427466</v>
      </c>
      <c r="Y714" s="22">
        <f t="shared" si="160"/>
        <v>4.0052503163811615</v>
      </c>
      <c r="Z714" s="22">
        <f t="shared" si="160"/>
        <v>4.0280715770679869</v>
      </c>
      <c r="AA714" s="22">
        <f t="shared" si="160"/>
        <v>4.0537990986432781</v>
      </c>
      <c r="AB714" s="22">
        <f t="shared" si="160"/>
        <v>4.0752877726899488</v>
      </c>
      <c r="AC714" s="22">
        <f t="shared" si="160"/>
        <v>4.0975518352324007</v>
      </c>
      <c r="AD714" s="22">
        <f t="shared" si="160"/>
        <v>4.1101837888002137</v>
      </c>
      <c r="AE714" s="22">
        <f t="shared" si="160"/>
        <v>4.1260897941446899</v>
      </c>
      <c r="AF714" s="22">
        <f t="shared" si="160"/>
        <v>4.1422931340887423</v>
      </c>
      <c r="AG714" s="22">
        <f t="shared" si="160"/>
        <v>4.1002928018965292</v>
      </c>
      <c r="AH714" s="22">
        <f t="shared" si="160"/>
        <v>1.3815874291099948</v>
      </c>
      <c r="AI714" s="22">
        <f t="shared" si="160"/>
        <v>1.3949306414379468</v>
      </c>
      <c r="AJ714" s="22">
        <f t="shared" si="160"/>
        <v>1.4082841741429419</v>
      </c>
      <c r="AK714" s="22">
        <f t="shared" si="160"/>
        <v>1.4216501520712144</v>
      </c>
      <c r="AL714" s="22">
        <f t="shared" si="160"/>
        <v>1.4350306139589808</v>
      </c>
      <c r="AM714" s="22">
        <f t="shared" si="160"/>
        <v>1.4484275190090183</v>
      </c>
      <c r="AN714" s="22">
        <f t="shared" si="160"/>
        <v>1.4583849717914823</v>
      </c>
      <c r="AO714" s="22">
        <f t="shared" si="160"/>
        <v>1.4683627043177812</v>
      </c>
      <c r="AP714" s="22">
        <f t="shared" si="160"/>
        <v>1.4783612830909323</v>
      </c>
      <c r="AQ714" s="22">
        <f t="shared" si="160"/>
        <v>1.4883812733334345</v>
      </c>
      <c r="AR714" s="22">
        <f t="shared" si="160"/>
        <v>1.4984232382688703</v>
      </c>
      <c r="AS714" s="22">
        <f t="shared" si="160"/>
        <v>1.5071704030997894</v>
      </c>
      <c r="AT714" s="22">
        <f t="shared" si="160"/>
        <v>1.5159247272983905</v>
      </c>
      <c r="AU714" s="22">
        <f t="shared" si="160"/>
        <v>1.5246866021590828</v>
      </c>
      <c r="AV714" s="22">
        <f t="shared" si="160"/>
        <v>1.5334564173590695</v>
      </c>
      <c r="AW714" s="22">
        <f t="shared" si="160"/>
        <v>1.5422345604898144</v>
      </c>
      <c r="AY714" s="85"/>
      <c r="AZ714" s="85"/>
    </row>
    <row r="715" spans="1:52" x14ac:dyDescent="0.25">
      <c r="A715" s="102" t="str">
        <f t="shared" si="149"/>
        <v>NI Leaching</v>
      </c>
      <c r="B715" s="102" t="s">
        <v>970</v>
      </c>
      <c r="C715" s="102" t="s">
        <v>1191</v>
      </c>
      <c r="D715" t="s">
        <v>369</v>
      </c>
      <c r="E715" t="s">
        <v>61</v>
      </c>
      <c r="F715" t="s">
        <v>63</v>
      </c>
      <c r="G715" t="s">
        <v>435</v>
      </c>
      <c r="H715" t="s">
        <v>1188</v>
      </c>
      <c r="I715" t="s">
        <v>139</v>
      </c>
      <c r="J715" t="s">
        <v>287</v>
      </c>
      <c r="K715" s="101">
        <f>IF('Net zero activities &amp; levers'!$C$9="Off",'Activity data'!AD47*FracLEACH*MSLeachEF*NtoN2O*kgtoGg,IF('Net zero activities &amp; levers'!$C$9="On",(('Net zero supporting data'!B157*FracLEACH*'Net zero supporting data'!B185)+('Net zero supporting data'!B169*FracLEACH*MSLeachEF))*NtoN2O*kgtoGg,"ERROR"))</f>
        <v>2.2792360161858692E-4</v>
      </c>
      <c r="L715" s="101">
        <f>IF('Net zero activities &amp; levers'!$C$9="Off",'Activity data'!AE47*FracLEACH*MSLeachEF*NtoN2O*kgtoGg,IF('Net zero activities &amp; levers'!$C$9="On",(('Net zero supporting data'!C157*FracLEACH*'Net zero supporting data'!C185)+('Net zero supporting data'!C169*FracLEACH*MSLeachEF))*NtoN2O*kgtoGg,"ERROR"))</f>
        <v>2.2789089758152E-4</v>
      </c>
      <c r="M715" s="101">
        <f>IF('Net zero activities &amp; levers'!$C$9="Off",'Activity data'!AF47*FracLEACH*MSLeachEF*NtoN2O*kgtoGg,IF('Net zero activities &amp; levers'!$C$9="On",(('Net zero supporting data'!D157*FracLEACH*'Net zero supporting data'!D185)+('Net zero supporting data'!D169*FracLEACH*MSLeachEF))*NtoN2O*kgtoGg,"ERROR"))</f>
        <v>2.2784620728789122E-4</v>
      </c>
      <c r="N715" s="101">
        <f>IF('Net zero activities &amp; levers'!$C$9="Off",'Activity data'!AG47*FracLEACH*MSLeachEF*NtoN2O*kgtoGg,IF('Net zero activities &amp; levers'!$C$9="On",(('Net zero supporting data'!E157*FracLEACH*'Net zero supporting data'!E185)+('Net zero supporting data'!E169*FracLEACH*MSLeachEF))*NtoN2O*kgtoGg,"ERROR"))</f>
        <v>2.2781376806101585E-4</v>
      </c>
      <c r="O715" s="101">
        <f>IF('Net zero activities &amp; levers'!$C$9="Off",'Activity data'!AH47*FracLEACH*MSLeachEF*NtoN2O*kgtoGg,IF('Net zero activities &amp; levers'!$C$9="On",(('Net zero supporting data'!F157*FracLEACH*'Net zero supporting data'!F185)+('Net zero supporting data'!F169*FracLEACH*MSLeachEF))*NtoN2O*kgtoGg,"ERROR"))</f>
        <v>2.277979703991449E-4</v>
      </c>
      <c r="P715" s="101">
        <f>IF('Net zero activities &amp; levers'!$C$9="Off",'Activity data'!AI47*FracLEACH*MSLeachEF*NtoN2O*kgtoGg,IF('Net zero activities &amp; levers'!$C$9="On",(('Net zero supporting data'!G157*FracLEACH*'Net zero supporting data'!G185)+('Net zero supporting data'!G169*FracLEACH*MSLeachEF))*NtoN2O*kgtoGg,"ERROR"))</f>
        <v>2.2778237795328883E-4</v>
      </c>
      <c r="Q715" s="101">
        <f>IF('Net zero activities &amp; levers'!$C$9="Off",'Activity data'!AJ47*FracLEACH*MSLeachEF*NtoN2O*kgtoGg,IF('Net zero activities &amp; levers'!$C$9="On",(('Net zero supporting data'!H157*FracLEACH*'Net zero supporting data'!H185)+('Net zero supporting data'!H169*FracLEACH*MSLeachEF))*NtoN2O*kgtoGg,"ERROR"))</f>
        <v>2.2775879036527182E-4</v>
      </c>
      <c r="R715" s="101">
        <f>IF('Net zero activities &amp; levers'!$C$9="Off",'Activity data'!AK47*FracLEACH*MSLeachEF*NtoN2O*kgtoGg,IF('Net zero activities &amp; levers'!$C$9="On",(('Net zero supporting data'!I157*FracLEACH*'Net zero supporting data'!I185)+('Net zero supporting data'!I169*FracLEACH*MSLeachEF))*NtoN2O*kgtoGg,"ERROR"))</f>
        <v>2.2773296541219322E-4</v>
      </c>
      <c r="S715" s="101">
        <f>IF('Net zero activities &amp; levers'!$C$9="Off",'Activity data'!AL47*FracLEACH*MSLeachEF*NtoN2O*kgtoGg,IF('Net zero activities &amp; levers'!$C$9="On",(('Net zero supporting data'!J157*FracLEACH*'Net zero supporting data'!J185)+('Net zero supporting data'!J169*FracLEACH*MSLeachEF))*NtoN2O*kgtoGg,"ERROR"))</f>
        <v>2.2772451381029767E-4</v>
      </c>
      <c r="T715" s="101">
        <f>IF('Net zero activities &amp; levers'!$C$9="Off",'Activity data'!AM47*FracLEACH*MSLeachEF*NtoN2O*kgtoGg,IF('Net zero activities &amp; levers'!$C$9="On",(('Net zero supporting data'!K157*FracLEACH*'Net zero supporting data'!K185)+('Net zero supporting data'!K169*FracLEACH*MSLeachEF))*NtoN2O*kgtoGg,"ERROR"))</f>
        <v>2.2389186031431812E-4</v>
      </c>
      <c r="U715" s="101">
        <f>IF('Net zero activities &amp; levers'!$C$9="Off",'Activity data'!AN47*FracLEACH*MSLeachEF*NtoN2O*kgtoGg,IF('Net zero activities &amp; levers'!$C$9="On",(('Net zero supporting data'!L157*FracLEACH*'Net zero supporting data'!L185)+('Net zero supporting data'!L169*FracLEACH*MSLeachEF))*NtoN2O*kgtoGg,"ERROR"))</f>
        <v>2.1985723416406412E-4</v>
      </c>
      <c r="V715" s="101">
        <f>IF('Net zero activities &amp; levers'!$C$9="Off",'Activity data'!AO47*FracLEACH*MSLeachEF*NtoN2O*kgtoGg,IF('Net zero activities &amp; levers'!$C$9="On",(('Net zero supporting data'!M157*FracLEACH*'Net zero supporting data'!M185)+('Net zero supporting data'!M169*FracLEACH*MSLeachEF))*NtoN2O*kgtoGg,"ERROR"))</f>
        <v>2.1582893355388564E-4</v>
      </c>
      <c r="W715" s="101">
        <f>IF('Net zero activities &amp; levers'!$C$9="Off",'Activity data'!AP47*FracLEACH*MSLeachEF*NtoN2O*kgtoGg,IF('Net zero activities &amp; levers'!$C$9="On",(('Net zero supporting data'!N157*FracLEACH*'Net zero supporting data'!N185)+('Net zero supporting data'!N169*FracLEACH*MSLeachEF))*NtoN2O*kgtoGg,"ERROR"))</f>
        <v>2.1180253213166531E-4</v>
      </c>
      <c r="X715" s="101">
        <f>IF('Net zero activities &amp; levers'!$C$9="Off",'Activity data'!AQ47*FracLEACH*MSLeachEF*NtoN2O*kgtoGg,IF('Net zero activities &amp; levers'!$C$9="On",(('Net zero supporting data'!O157*FracLEACH*'Net zero supporting data'!O185)+('Net zero supporting data'!O169*FracLEACH*MSLeachEF))*NtoN2O*kgtoGg,"ERROR"))</f>
        <v>2.0777181920517273E-4</v>
      </c>
      <c r="Y715" s="101">
        <f>IF('Net zero activities &amp; levers'!$C$9="Off",'Activity data'!AR47*FracLEACH*MSLeachEF*NtoN2O*kgtoGg,IF('Net zero activities &amp; levers'!$C$9="On",(('Net zero supporting data'!P157*FracLEACH*'Net zero supporting data'!P185)+('Net zero supporting data'!P169*FracLEACH*MSLeachEF))*NtoN2O*kgtoGg,"ERROR"))</f>
        <v>2.037433202347622E-4</v>
      </c>
      <c r="Z715" s="101">
        <f>IF('Net zero activities &amp; levers'!$C$9="Off",'Activity data'!AS47*FracLEACH*MSLeachEF*NtoN2O*kgtoGg,IF('Net zero activities &amp; levers'!$C$9="On",(('Net zero supporting data'!Q157*FracLEACH*'Net zero supporting data'!Q185)+('Net zero supporting data'!Q169*FracLEACH*MSLeachEF))*NtoN2O*kgtoGg,"ERROR"))</f>
        <v>1.9971593914010745E-4</v>
      </c>
      <c r="AA715" s="101">
        <f>IF('Net zero activities &amp; levers'!$C$9="Off",'Activity data'!AT47*FracLEACH*MSLeachEF*NtoN2O*kgtoGg,IF('Net zero activities &amp; levers'!$C$9="On",(('Net zero supporting data'!R157*FracLEACH*'Net zero supporting data'!R185)+('Net zero supporting data'!R169*FracLEACH*MSLeachEF))*NtoN2O*kgtoGg,"ERROR"))</f>
        <v>1.9569211372610877E-4</v>
      </c>
      <c r="AB715" s="101">
        <f>IF('Net zero activities &amp; levers'!$C$9="Off",'Activity data'!AU47*FracLEACH*MSLeachEF*NtoN2O*kgtoGg,IF('Net zero activities &amp; levers'!$C$9="On",(('Net zero supporting data'!S157*FracLEACH*'Net zero supporting data'!S185)+('Net zero supporting data'!S169*FracLEACH*MSLeachEF))*NtoN2O*kgtoGg,"ERROR"))</f>
        <v>1.9166824028458626E-4</v>
      </c>
      <c r="AC715" s="101">
        <f>IF('Net zero activities &amp; levers'!$C$9="Off",'Activity data'!AV47*FracLEACH*MSLeachEF*NtoN2O*kgtoGg,IF('Net zero activities &amp; levers'!$C$9="On",(('Net zero supporting data'!T157*FracLEACH*'Net zero supporting data'!T185)+('Net zero supporting data'!T169*FracLEACH*MSLeachEF))*NtoN2O*kgtoGg,"ERROR"))</f>
        <v>1.87649008505862E-4</v>
      </c>
      <c r="AD715" s="101">
        <f>IF('Net zero activities &amp; levers'!$C$9="Off",'Activity data'!AW47*FracLEACH*MSLeachEF*NtoN2O*kgtoGg,IF('Net zero activities &amp; levers'!$C$9="On",(('Net zero supporting data'!U157*FracLEACH*'Net zero supporting data'!U185)+('Net zero supporting data'!U169*FracLEACH*MSLeachEF))*NtoN2O*kgtoGg,"ERROR"))</f>
        <v>1.8363105679675203E-4</v>
      </c>
      <c r="AE715" s="101">
        <f>IF('Net zero activities &amp; levers'!$C$9="Off",'Activity data'!AX47*FracLEACH*MSLeachEF*NtoN2O*kgtoGg,IF('Net zero activities &amp; levers'!$C$9="On",(('Net zero supporting data'!V157*FracLEACH*'Net zero supporting data'!V185)+('Net zero supporting data'!V169*FracLEACH*MSLeachEF))*NtoN2O*kgtoGg,"ERROR"))</f>
        <v>1.7960872406226245E-4</v>
      </c>
      <c r="AF715" s="101">
        <f>IF('Net zero activities &amp; levers'!$C$9="Off",'Activity data'!AY47*FracLEACH*MSLeachEF*NtoN2O*kgtoGg,IF('Net zero activities &amp; levers'!$C$9="On",(('Net zero supporting data'!W157*FracLEACH*'Net zero supporting data'!W185)+('Net zero supporting data'!W169*FracLEACH*MSLeachEF))*NtoN2O*kgtoGg,"ERROR"))</f>
        <v>1.7558595751914914E-4</v>
      </c>
      <c r="AG715" s="101">
        <f>IF('Net zero activities &amp; levers'!$C$9="Off",'Activity data'!AZ47*FracLEACH*MSLeachEF*NtoN2O*kgtoGg,IF('Net zero activities &amp; levers'!$C$9="On",(('Net zero supporting data'!X157*FracLEACH*'Net zero supporting data'!X185)+('Net zero supporting data'!X169*FracLEACH*MSLeachEF))*NtoN2O*kgtoGg,"ERROR"))</f>
        <v>1.7156464510005161E-4</v>
      </c>
      <c r="AH715" s="101">
        <f>IF('Net zero activities &amp; levers'!$C$9="Off",'Activity data'!BA47*FracLEACH*MSLeachEF*NtoN2O*kgtoGg,IF('Net zero activities &amp; levers'!$C$9="On",(('Net zero supporting data'!Y157*FracLEACH*'Net zero supporting data'!Y185)+('Net zero supporting data'!Y169*FracLEACH*MSLeachEF))*NtoN2O*kgtoGg,"ERROR"))</f>
        <v>1.6757952180126434E-4</v>
      </c>
      <c r="AI715" s="101">
        <f>IF('Net zero activities &amp; levers'!$C$9="Off",'Activity data'!BB47*FracLEACH*MSLeachEF*NtoN2O*kgtoGg,IF('Net zero activities &amp; levers'!$C$9="On",(('Net zero supporting data'!Z157*FracLEACH*'Net zero supporting data'!Z185)+('Net zero supporting data'!Z169*FracLEACH*MSLeachEF))*NtoN2O*kgtoGg,"ERROR"))</f>
        <v>1.6703497081012404E-4</v>
      </c>
      <c r="AJ715" s="101">
        <f>IF('Net zero activities &amp; levers'!$C$9="Off",'Activity data'!BC47*FracLEACH*MSLeachEF*NtoN2O*kgtoGg,IF('Net zero activities &amp; levers'!$C$9="On",(('Net zero supporting data'!AA157*FracLEACH*'Net zero supporting data'!AA185)+('Net zero supporting data'!AA169*FracLEACH*MSLeachEF))*NtoN2O*kgtoGg,"ERROR"))</f>
        <v>1.6298101706920573E-4</v>
      </c>
      <c r="AK715" s="101">
        <f>IF('Net zero activities &amp; levers'!$C$9="Off",'Activity data'!BD47*FracLEACH*MSLeachEF*NtoN2O*kgtoGg,IF('Net zero activities &amp; levers'!$C$9="On",(('Net zero supporting data'!AB157*FracLEACH*'Net zero supporting data'!AB185)+('Net zero supporting data'!AB169*FracLEACH*MSLeachEF))*NtoN2O*kgtoGg,"ERROR"))</f>
        <v>1.5892682898780634E-4</v>
      </c>
      <c r="AL715" s="101">
        <f>IF('Net zero activities &amp; levers'!$C$9="Off",'Activity data'!BE47*FracLEACH*MSLeachEF*NtoN2O*kgtoGg,IF('Net zero activities &amp; levers'!$C$9="On",(('Net zero supporting data'!AC157*FracLEACH*'Net zero supporting data'!AC185)+('Net zero supporting data'!AC169*FracLEACH*MSLeachEF))*NtoN2O*kgtoGg,"ERROR"))</f>
        <v>1.5487240272185916E-4</v>
      </c>
      <c r="AM715" s="101">
        <f>IF('Net zero activities &amp; levers'!$C$9="Off",'Activity data'!BF47*FracLEACH*MSLeachEF*NtoN2O*kgtoGg,IF('Net zero activities &amp; levers'!$C$9="On",(('Net zero supporting data'!AD157*FracLEACH*'Net zero supporting data'!AD185)+('Net zero supporting data'!AD169*FracLEACH*MSLeachEF))*NtoN2O*kgtoGg,"ERROR"))</f>
        <v>1.5081773435664548E-4</v>
      </c>
      <c r="AN715" s="101">
        <f>IF('Net zero activities &amp; levers'!$C$9="Off",'Activity data'!BG47*FracLEACH*MSLeachEF*NtoN2O*kgtoGg,IF('Net zero activities &amp; levers'!$C$9="On",(('Net zero supporting data'!AE157*FracLEACH*'Net zero supporting data'!AE185)+('Net zero supporting data'!AE169*FracLEACH*MSLeachEF))*NtoN2O*kgtoGg,"ERROR"))</f>
        <v>1.5082345128591948E-4</v>
      </c>
      <c r="AO715" s="101">
        <f>IF('Net zero activities &amp; levers'!$C$9="Off",'Activity data'!BH47*FracLEACH*MSLeachEF*NtoN2O*kgtoGg,IF('Net zero activities &amp; levers'!$C$9="On",(('Net zero supporting data'!AF157*FracLEACH*'Net zero supporting data'!AF185)+('Net zero supporting data'!AF169*FracLEACH*MSLeachEF))*NtoN2O*kgtoGg,"ERROR"))</f>
        <v>1.5082835174879802E-4</v>
      </c>
      <c r="AP715" s="101">
        <f>IF('Net zero activities &amp; levers'!$C$9="Off",'Activity data'!BI47*FracLEACH*MSLeachEF*NtoN2O*kgtoGg,IF('Net zero activities &amp; levers'!$C$9="On",(('Net zero supporting data'!AG157*FracLEACH*'Net zero supporting data'!AG185)+('Net zero supporting data'!AG169*FracLEACH*MSLeachEF))*NtoN2O*kgtoGg,"ERROR"))</f>
        <v>1.5083329666382795E-4</v>
      </c>
      <c r="AQ715" s="101">
        <f>IF('Net zero activities &amp; levers'!$C$9="Off",'Activity data'!BJ47*FracLEACH*MSLeachEF*NtoN2O*kgtoGg,IF('Net zero activities &amp; levers'!$C$9="On",(('Net zero supporting data'!AH157*FracLEACH*'Net zero supporting data'!AH185)+('Net zero supporting data'!AH169*FracLEACH*MSLeachEF))*NtoN2O*kgtoGg,"ERROR"))</f>
        <v>1.5083828656289384E-4</v>
      </c>
      <c r="AR715" s="101">
        <f>IF('Net zero activities &amp; levers'!$C$9="Off",'Activity data'!BK47*FracLEACH*MSLeachEF*NtoN2O*kgtoGg,IF('Net zero activities &amp; levers'!$C$9="On",(('Net zero supporting data'!AI157*FracLEACH*'Net zero supporting data'!AI185)+('Net zero supporting data'!AI169*FracLEACH*MSLeachEF))*NtoN2O*kgtoGg,"ERROR"))</f>
        <v>1.5084332198660595E-4</v>
      </c>
      <c r="AS715" s="101">
        <f>IF('Net zero activities &amp; levers'!$C$9="Off",'Activity data'!BL47*FracLEACH*MSLeachEF*NtoN2O*kgtoGg,IF('Net zero activities &amp; levers'!$C$9="On",(('Net zero supporting data'!AJ157*FracLEACH*'Net zero supporting data'!AJ185)+('Net zero supporting data'!AJ169*FracLEACH*MSLeachEF))*NtoN2O*kgtoGg,"ERROR"))</f>
        <v>1.5084840348449051E-4</v>
      </c>
      <c r="AT715" s="101">
        <f>IF('Net zero activities &amp; levers'!$C$9="Off",'Activity data'!BM47*FracLEACH*MSLeachEF*NtoN2O*kgtoGg,IF('Net zero activities &amp; levers'!$C$9="On",(('Net zero supporting data'!AK157*FracLEACH*'Net zero supporting data'!AK185)+('Net zero supporting data'!AK169*FracLEACH*MSLeachEF))*NtoN2O*kgtoGg,"ERROR"))</f>
        <v>1.5085261724825369E-4</v>
      </c>
      <c r="AU715" s="101">
        <f>IF('Net zero activities &amp; levers'!$C$9="Off",'Activity data'!BN47*FracLEACH*MSLeachEF*NtoN2O*kgtoGg,IF('Net zero activities &amp; levers'!$C$9="On",(('Net zero supporting data'!AL157*FracLEACH*'Net zero supporting data'!AL185)+('Net zero supporting data'!AL169*FracLEACH*MSLeachEF))*NtoN2O*kgtoGg,"ERROR"))</f>
        <v>1.5085686286427183E-4</v>
      </c>
      <c r="AV715" s="101">
        <f>IF('Net zero activities &amp; levers'!$C$9="Off",'Activity data'!BO47*FracLEACH*MSLeachEF*NtoN2O*kgtoGg,IF('Net zero activities &amp; levers'!$C$9="On",(('Net zero supporting data'!AM157*FracLEACH*'Net zero supporting data'!AM185)+('Net zero supporting data'!AM169*FracLEACH*MSLeachEF))*NtoN2O*kgtoGg,"ERROR"))</f>
        <v>1.5086114065227793E-4</v>
      </c>
      <c r="AW715" s="101">
        <f>IF('Net zero activities &amp; levers'!$C$9="Off",'Activity data'!BP47*FracLEACH*MSLeachEF*NtoN2O*kgtoGg,IF('Net zero activities &amp; levers'!$C$9="On",(('Net zero supporting data'!AN157*FracLEACH*'Net zero supporting data'!AN185)+('Net zero supporting data'!AN169*FracLEACH*MSLeachEF))*NtoN2O*kgtoGg,"ERROR"))</f>
        <v>1.5086545093641993E-4</v>
      </c>
      <c r="AY715" s="85"/>
      <c r="AZ715" s="85"/>
    </row>
    <row r="716" spans="1:52" x14ac:dyDescent="0.25">
      <c r="A716" s="102" t="str">
        <f t="shared" si="149"/>
        <v>NI Leaching</v>
      </c>
      <c r="B716" s="102" t="s">
        <v>970</v>
      </c>
      <c r="C716" s="102" t="s">
        <v>1191</v>
      </c>
      <c r="D716" t="s">
        <v>369</v>
      </c>
      <c r="E716" t="s">
        <v>61</v>
      </c>
      <c r="F716" t="s">
        <v>63</v>
      </c>
      <c r="G716" t="s">
        <v>436</v>
      </c>
      <c r="H716" t="s">
        <v>1189</v>
      </c>
      <c r="I716" t="s">
        <v>139</v>
      </c>
      <c r="J716" t="s">
        <v>287</v>
      </c>
      <c r="K716" s="101">
        <f>IF('Net zero activities &amp; levers'!$C$9="Off",'Activity data'!AD48*FracLEACH*MSLeachEF*NtoN2O*kgtoGg,IF('Net zero activities &amp; levers'!$C$9="On",(('Net zero supporting data'!B158*FracLEACH*'Net zero supporting data'!B185)+('Net zero supporting data'!B170*FracLEACH*MSLeachEF))*NtoN2O*kgtoGg,"ERROR"))</f>
        <v>1.5042957706826741E-6</v>
      </c>
      <c r="L716" s="101">
        <f>IF('Net zero activities &amp; levers'!$C$9="Off",'Activity data'!AE48*FracLEACH*MSLeachEF*NtoN2O*kgtoGg,IF('Net zero activities &amp; levers'!$C$9="On",(('Net zero supporting data'!C158*FracLEACH*'Net zero supporting data'!C185)+('Net zero supporting data'!C170*FracLEACH*MSLeachEF))*NtoN2O*kgtoGg,"ERROR"))</f>
        <v>1.5040799240380321E-6</v>
      </c>
      <c r="M716" s="101">
        <f>IF('Net zero activities &amp; levers'!$C$9="Off",'Activity data'!AF48*FracLEACH*MSLeachEF*NtoN2O*kgtoGg,IF('Net zero activities &amp; levers'!$C$9="On",(('Net zero supporting data'!D158*FracLEACH*'Net zero supporting data'!D185)+('Net zero supporting data'!D170*FracLEACH*MSLeachEF))*NtoN2O*kgtoGg,"ERROR"))</f>
        <v>1.5037849681000825E-6</v>
      </c>
      <c r="N716" s="101">
        <f>IF('Net zero activities &amp; levers'!$C$9="Off",'Activity data'!AG48*FracLEACH*MSLeachEF*NtoN2O*kgtoGg,IF('Net zero activities &amp; levers'!$C$9="On",(('Net zero supporting data'!E158*FracLEACH*'Net zero supporting data'!E185)+('Net zero supporting data'!E170*FracLEACH*MSLeachEF))*NtoN2O*kgtoGg,"ERROR"))</f>
        <v>1.5035708692027049E-6</v>
      </c>
      <c r="O716" s="101">
        <f>IF('Net zero activities &amp; levers'!$C$9="Off",'Activity data'!AH48*FracLEACH*MSLeachEF*NtoN2O*kgtoGg,IF('Net zero activities &amp; levers'!$C$9="On",(('Net zero supporting data'!F158*FracLEACH*'Net zero supporting data'!F185)+('Net zero supporting data'!F170*FracLEACH*MSLeachEF))*NtoN2O*kgtoGg,"ERROR"))</f>
        <v>1.5034666046343562E-6</v>
      </c>
      <c r="P716" s="101">
        <f>IF('Net zero activities &amp; levers'!$C$9="Off",'Activity data'!AI48*FracLEACH*MSLeachEF*NtoN2O*kgtoGg,IF('Net zero activities &amp; levers'!$C$9="On",(('Net zero supporting data'!G158*FracLEACH*'Net zero supporting data'!G185)+('Net zero supporting data'!G170*FracLEACH*MSLeachEF))*NtoN2O*kgtoGg,"ERROR"))</f>
        <v>1.5033636944917065E-6</v>
      </c>
      <c r="Q716" s="101">
        <f>IF('Net zero activities &amp; levers'!$C$9="Off",'Activity data'!AJ48*FracLEACH*MSLeachEF*NtoN2O*kgtoGg,IF('Net zero activities &amp; levers'!$C$9="On",(('Net zero supporting data'!H158*FracLEACH*'Net zero supporting data'!H185)+('Net zero supporting data'!H170*FracLEACH*MSLeachEF))*NtoN2O*kgtoGg,"ERROR"))</f>
        <v>1.5032080164107946E-6</v>
      </c>
      <c r="R716" s="101">
        <f>IF('Net zero activities &amp; levers'!$C$9="Off",'Activity data'!AK48*FracLEACH*MSLeachEF*NtoN2O*kgtoGg,IF('Net zero activities &amp; levers'!$C$9="On",(('Net zero supporting data'!I158*FracLEACH*'Net zero supporting data'!I185)+('Net zero supporting data'!I170*FracLEACH*MSLeachEF))*NtoN2O*kgtoGg,"ERROR"))</f>
        <v>1.5030375717204757E-6</v>
      </c>
      <c r="S716" s="101">
        <f>IF('Net zero activities &amp; levers'!$C$9="Off",'Activity data'!AL48*FracLEACH*MSLeachEF*NtoN2O*kgtoGg,IF('Net zero activities &amp; levers'!$C$9="On",(('Net zero supporting data'!J158*FracLEACH*'Net zero supporting data'!J185)+('Net zero supporting data'!J170*FracLEACH*MSLeachEF))*NtoN2O*kgtoGg,"ERROR"))</f>
        <v>1.5029817911479652E-6</v>
      </c>
      <c r="T716" s="101">
        <f>IF('Net zero activities &amp; levers'!$C$9="Off",'Activity data'!AM48*FracLEACH*MSLeachEF*NtoN2O*kgtoGg,IF('Net zero activities &amp; levers'!$C$9="On",(('Net zero supporting data'!K158*FracLEACH*'Net zero supporting data'!K185)+('Net zero supporting data'!K170*FracLEACH*MSLeachEF))*NtoN2O*kgtoGg,"ERROR"))</f>
        <v>1.4776862780745004E-6</v>
      </c>
      <c r="U716" s="101">
        <f>IF('Net zero activities &amp; levers'!$C$9="Off",'Activity data'!AN48*FracLEACH*MSLeachEF*NtoN2O*kgtoGg,IF('Net zero activities &amp; levers'!$C$9="On",(('Net zero supporting data'!L158*FracLEACH*'Net zero supporting data'!L185)+('Net zero supporting data'!L170*FracLEACH*MSLeachEF))*NtoN2O*kgtoGg,"ERROR"))</f>
        <v>1.4510577454828237E-6</v>
      </c>
      <c r="V716" s="101">
        <f>IF('Net zero activities &amp; levers'!$C$9="Off",'Activity data'!AO48*FracLEACH*MSLeachEF*NtoN2O*kgtoGg,IF('Net zero activities &amp; levers'!$C$9="On",(('Net zero supporting data'!M158*FracLEACH*'Net zero supporting data'!M185)+('Net zero supporting data'!M170*FracLEACH*MSLeachEF))*NtoN2O*kgtoGg,"ERROR"))</f>
        <v>1.4244709614556456E-6</v>
      </c>
      <c r="W716" s="101">
        <f>IF('Net zero activities &amp; levers'!$C$9="Off",'Activity data'!AP48*FracLEACH*MSLeachEF*NtoN2O*kgtoGg,IF('Net zero activities &amp; levers'!$C$9="On",(('Net zero supporting data'!N158*FracLEACH*'Net zero supporting data'!N185)+('Net zero supporting data'!N170*FracLEACH*MSLeachEF))*NtoN2O*kgtoGg,"ERROR"))</f>
        <v>1.3978967120689914E-6</v>
      </c>
      <c r="X716" s="101">
        <f>IF('Net zero activities &amp; levers'!$C$9="Off",'Activity data'!AQ48*FracLEACH*MSLeachEF*NtoN2O*kgtoGg,IF('Net zero activities &amp; levers'!$C$9="On",(('Net zero supporting data'!O158*FracLEACH*'Net zero supporting data'!O185)+('Net zero supporting data'!O170*FracLEACH*MSLeachEF))*NtoN2O*kgtoGg,"ERROR"))</f>
        <v>1.3712940067541403E-6</v>
      </c>
      <c r="Y716" s="101">
        <f>IF('Net zero activities &amp; levers'!$C$9="Off",'Activity data'!AR48*FracLEACH*MSLeachEF*NtoN2O*kgtoGg,IF('Net zero activities &amp; levers'!$C$9="On",(('Net zero supporting data'!P158*FracLEACH*'Net zero supporting data'!P185)+('Net zero supporting data'!P170*FracLEACH*MSLeachEF))*NtoN2O*kgtoGg,"ERROR"))</f>
        <v>1.3447059135494306E-6</v>
      </c>
      <c r="Z716" s="101">
        <f>IF('Net zero activities &amp; levers'!$C$9="Off",'Activity data'!AS48*FracLEACH*MSLeachEF*NtoN2O*kgtoGg,IF('Net zero activities &amp; levers'!$C$9="On",(('Net zero supporting data'!Q158*FracLEACH*'Net zero supporting data'!Q185)+('Net zero supporting data'!Q170*FracLEACH*MSLeachEF))*NtoN2O*kgtoGg,"ERROR"))</f>
        <v>1.3181251983247095E-6</v>
      </c>
      <c r="AA716" s="101">
        <f>IF('Net zero activities &amp; levers'!$C$9="Off",'Activity data'!AT48*FracLEACH*MSLeachEF*NtoN2O*kgtoGg,IF('Net zero activities &amp; levers'!$C$9="On",(('Net zero supporting data'!R158*FracLEACH*'Net zero supporting data'!R185)+('Net zero supporting data'!R170*FracLEACH*MSLeachEF))*NtoN2O*kgtoGg,"ERROR"))</f>
        <v>1.2915679505923181E-6</v>
      </c>
      <c r="AB716" s="101">
        <f>IF('Net zero activities &amp; levers'!$C$9="Off",'Activity data'!AU48*FracLEACH*MSLeachEF*NtoN2O*kgtoGg,IF('Net zero activities &amp; levers'!$C$9="On",(('Net zero supporting data'!S158*FracLEACH*'Net zero supporting data'!S185)+('Net zero supporting data'!S170*FracLEACH*MSLeachEF))*NtoN2O*kgtoGg,"ERROR"))</f>
        <v>1.2650103858782699E-6</v>
      </c>
      <c r="AC716" s="101">
        <f>IF('Net zero activities &amp; levers'!$C$9="Off",'Activity data'!AV48*FracLEACH*MSLeachEF*NtoN2O*kgtoGg,IF('Net zero activities &amp; levers'!$C$9="On",(('Net zero supporting data'!T158*FracLEACH*'Net zero supporting data'!T185)+('Net zero supporting data'!T170*FracLEACH*MSLeachEF))*NtoN2O*kgtoGg,"ERROR"))</f>
        <v>1.2384834561386896E-6</v>
      </c>
      <c r="AD716" s="101">
        <f>IF('Net zero activities &amp; levers'!$C$9="Off",'Activity data'!AW48*FracLEACH*MSLeachEF*NtoN2O*kgtoGg,IF('Net zero activities &amp; levers'!$C$9="On",(('Net zero supporting data'!U158*FracLEACH*'Net zero supporting data'!U185)+('Net zero supporting data'!U170*FracLEACH*MSLeachEF))*NtoN2O*kgtoGg,"ERROR"))</f>
        <v>1.2119649748585636E-6</v>
      </c>
      <c r="AE716" s="101">
        <f>IF('Net zero activities &amp; levers'!$C$9="Off",'Activity data'!AX48*FracLEACH*MSLeachEF*NtoN2O*kgtoGg,IF('Net zero activities &amp; levers'!$C$9="On",(('Net zero supporting data'!V158*FracLEACH*'Net zero supporting data'!V185)+('Net zero supporting data'!V170*FracLEACH*MSLeachEF))*NtoN2O*kgtoGg,"ERROR"))</f>
        <v>1.1854175788109321E-6</v>
      </c>
      <c r="AF716" s="101">
        <f>IF('Net zero activities &amp; levers'!$C$9="Off",'Activity data'!AY48*FracLEACH*MSLeachEF*NtoN2O*kgtoGg,IF('Net zero activities &amp; levers'!$C$9="On",(('Net zero supporting data'!W158*FracLEACH*'Net zero supporting data'!W185)+('Net zero supporting data'!W170*FracLEACH*MSLeachEF))*NtoN2O*kgtoGg,"ERROR"))</f>
        <v>1.1588673196263844E-6</v>
      </c>
      <c r="AG716" s="101">
        <f>IF('Net zero activities &amp; levers'!$C$9="Off",'Activity data'!AZ48*FracLEACH*MSLeachEF*NtoN2O*kgtoGg,IF('Net zero activities &amp; levers'!$C$9="On",(('Net zero supporting data'!X158*FracLEACH*'Net zero supporting data'!X185)+('Net zero supporting data'!X170*FracLEACH*MSLeachEF))*NtoN2O*kgtoGg,"ERROR"))</f>
        <v>1.1323266576603405E-6</v>
      </c>
      <c r="AH716" s="101">
        <f>IF('Net zero activities &amp; levers'!$C$9="Off",'Activity data'!BA48*FracLEACH*MSLeachEF*NtoN2O*kgtoGg,IF('Net zero activities &amp; levers'!$C$9="On",(('Net zero supporting data'!Y158*FracLEACH*'Net zero supporting data'!Y185)+('Net zero supporting data'!Y170*FracLEACH*MSLeachEF))*NtoN2O*kgtoGg,"ERROR"))</f>
        <v>1.1060248438883445E-6</v>
      </c>
      <c r="AI716" s="101">
        <f>IF('Net zero activities &amp; levers'!$C$9="Off",'Activity data'!BB48*FracLEACH*MSLeachEF*NtoN2O*kgtoGg,IF('Net zero activities &amp; levers'!$C$9="On",(('Net zero supporting data'!Z158*FracLEACH*'Net zero supporting data'!Z185)+('Net zero supporting data'!Z170*FracLEACH*MSLeachEF))*NtoN2O*kgtoGg,"ERROR"))</f>
        <v>1.1024308073468188E-6</v>
      </c>
      <c r="AJ716" s="101">
        <f>IF('Net zero activities &amp; levers'!$C$9="Off",'Activity data'!BC48*FracLEACH*MSLeachEF*NtoN2O*kgtoGg,IF('Net zero activities &amp; levers'!$C$9="On",(('Net zero supporting data'!AA158*FracLEACH*'Net zero supporting data'!AA185)+('Net zero supporting data'!AA170*FracLEACH*MSLeachEF))*NtoN2O*kgtoGg,"ERROR"))</f>
        <v>1.0756747126567579E-6</v>
      </c>
      <c r="AK716" s="101">
        <f>IF('Net zero activities &amp; levers'!$C$9="Off",'Activity data'!BD48*FracLEACH*MSLeachEF*NtoN2O*kgtoGg,IF('Net zero activities &amp; levers'!$C$9="On",(('Net zero supporting data'!AB158*FracLEACH*'Net zero supporting data'!AB185)+('Net zero supporting data'!AB170*FracLEACH*MSLeachEF))*NtoN2O*kgtoGg,"ERROR"))</f>
        <v>1.048917071319522E-6</v>
      </c>
      <c r="AL716" s="101">
        <f>IF('Net zero activities &amp; levers'!$C$9="Off",'Activity data'!BE48*FracLEACH*MSLeachEF*NtoN2O*kgtoGg,IF('Net zero activities &amp; levers'!$C$9="On",(('Net zero supporting data'!AC158*FracLEACH*'Net zero supporting data'!AC185)+('Net zero supporting data'!AC170*FracLEACH*MSLeachEF))*NtoN2O*kgtoGg,"ERROR"))</f>
        <v>1.0221578579642708E-6</v>
      </c>
      <c r="AM716" s="101">
        <f>IF('Net zero activities &amp; levers'!$C$9="Off",'Activity data'!BF48*FracLEACH*MSLeachEF*NtoN2O*kgtoGg,IF('Net zero activities &amp; levers'!$C$9="On",(('Net zero supporting data'!AD158*FracLEACH*'Net zero supporting data'!AD185)+('Net zero supporting data'!AD170*FracLEACH*MSLeachEF))*NtoN2O*kgtoGg,"ERROR"))</f>
        <v>9.953970467538605E-7</v>
      </c>
      <c r="AN716" s="101">
        <f>IF('Net zero activities &amp; levers'!$C$9="Off",'Activity data'!BG48*FracLEACH*MSLeachEF*NtoN2O*kgtoGg,IF('Net zero activities &amp; levers'!$C$9="On",(('Net zero supporting data'!AE158*FracLEACH*'Net zero supporting data'!AE185)+('Net zero supporting data'!AE170*FracLEACH*MSLeachEF))*NtoN2O*kgtoGg,"ERROR"))</f>
        <v>9.9543477848706913E-7</v>
      </c>
      <c r="AO716" s="101">
        <f>IF('Net zero activities &amp; levers'!$C$9="Off",'Activity data'!BH48*FracLEACH*MSLeachEF*NtoN2O*kgtoGg,IF('Net zero activities &amp; levers'!$C$9="On",(('Net zero supporting data'!AF158*FracLEACH*'Net zero supporting data'!AF185)+('Net zero supporting data'!AF170*FracLEACH*MSLeachEF))*NtoN2O*kgtoGg,"ERROR"))</f>
        <v>9.954671215420673E-7</v>
      </c>
      <c r="AP716" s="101">
        <f>IF('Net zero activities &amp; levers'!$C$9="Off",'Activity data'!BI48*FracLEACH*MSLeachEF*NtoN2O*kgtoGg,IF('Net zero activities &amp; levers'!$C$9="On",(('Net zero supporting data'!AG158*FracLEACH*'Net zero supporting data'!AG185)+('Net zero supporting data'!AG170*FracLEACH*MSLeachEF))*NtoN2O*kgtoGg,"ERROR"))</f>
        <v>9.954997579812647E-7</v>
      </c>
      <c r="AQ716" s="101">
        <f>IF('Net zero activities &amp; levers'!$C$9="Off",'Activity data'!BJ48*FracLEACH*MSLeachEF*NtoN2O*kgtoGg,IF('Net zero activities &amp; levers'!$C$9="On",(('Net zero supporting data'!AH158*FracLEACH*'Net zero supporting data'!AH185)+('Net zero supporting data'!AH170*FracLEACH*MSLeachEF))*NtoN2O*kgtoGg,"ERROR"))</f>
        <v>9.9553269131509937E-7</v>
      </c>
      <c r="AR716" s="101">
        <f>IF('Net zero activities &amp; levers'!$C$9="Off",'Activity data'!BK48*FracLEACH*MSLeachEF*NtoN2O*kgtoGg,IF('Net zero activities &amp; levers'!$C$9="On",(('Net zero supporting data'!AI158*FracLEACH*'Net zero supporting data'!AI185)+('Net zero supporting data'!AI170*FracLEACH*MSLeachEF))*NtoN2O*kgtoGg,"ERROR"))</f>
        <v>9.9556592511159935E-7</v>
      </c>
      <c r="AS716" s="101">
        <f>IF('Net zero activities &amp; levers'!$C$9="Off",'Activity data'!BL48*FracLEACH*MSLeachEF*NtoN2O*kgtoGg,IF('Net zero activities &amp; levers'!$C$9="On",(('Net zero supporting data'!AJ158*FracLEACH*'Net zero supporting data'!AJ185)+('Net zero supporting data'!AJ170*FracLEACH*MSLeachEF))*NtoN2O*kgtoGg,"ERROR"))</f>
        <v>9.955994629976371E-7</v>
      </c>
      <c r="AT716" s="101">
        <f>IF('Net zero activities &amp; levers'!$C$9="Off",'Activity data'!BM48*FracLEACH*MSLeachEF*NtoN2O*kgtoGg,IF('Net zero activities &amp; levers'!$C$9="On",(('Net zero supporting data'!AK158*FracLEACH*'Net zero supporting data'!AK185)+('Net zero supporting data'!AK170*FracLEACH*MSLeachEF))*NtoN2O*kgtoGg,"ERROR"))</f>
        <v>9.9562727383847472E-7</v>
      </c>
      <c r="AU716" s="101">
        <f>IF('Net zero activities &amp; levers'!$C$9="Off",'Activity data'!BN48*FracLEACH*MSLeachEF*NtoN2O*kgtoGg,IF('Net zero activities &amp; levers'!$C$9="On",(('Net zero supporting data'!AL158*FracLEACH*'Net zero supporting data'!AL185)+('Net zero supporting data'!AL170*FracLEACH*MSLeachEF))*NtoN2O*kgtoGg,"ERROR"))</f>
        <v>9.9565529490419463E-7</v>
      </c>
      <c r="AV716" s="101">
        <f>IF('Net zero activities &amp; levers'!$C$9="Off",'Activity data'!BO48*FracLEACH*MSLeachEF*NtoN2O*kgtoGg,IF('Net zero activities &amp; levers'!$C$9="On",(('Net zero supporting data'!AM158*FracLEACH*'Net zero supporting data'!AM185)+('Net zero supporting data'!AM170*FracLEACH*MSLeachEF))*NtoN2O*kgtoGg,"ERROR"))</f>
        <v>9.9568352830503437E-7</v>
      </c>
      <c r="AW716" s="101">
        <f>IF('Net zero activities &amp; levers'!$C$9="Off",'Activity data'!BP48*FracLEACH*MSLeachEF*NtoN2O*kgtoGg,IF('Net zero activities &amp; levers'!$C$9="On",(('Net zero supporting data'!AN158*FracLEACH*'Net zero supporting data'!AN185)+('Net zero supporting data'!AN170*FracLEACH*MSLeachEF))*NtoN2O*kgtoGg,"ERROR"))</f>
        <v>9.9571197618037194E-7</v>
      </c>
      <c r="AY716" s="85"/>
      <c r="AZ716" s="85"/>
    </row>
    <row r="717" spans="1:52" x14ac:dyDescent="0.25">
      <c r="A717" s="102" t="str">
        <f t="shared" si="149"/>
        <v>NI Leaching</v>
      </c>
      <c r="B717" s="102" t="s">
        <v>970</v>
      </c>
      <c r="C717" s="102" t="s">
        <v>1191</v>
      </c>
      <c r="D717" t="s">
        <v>369</v>
      </c>
      <c r="E717" t="s">
        <v>61</v>
      </c>
      <c r="F717" t="s">
        <v>63</v>
      </c>
      <c r="G717" t="s">
        <v>437</v>
      </c>
      <c r="H717" t="s">
        <v>1190</v>
      </c>
      <c r="I717" t="s">
        <v>139</v>
      </c>
      <c r="J717" t="s">
        <v>287</v>
      </c>
      <c r="K717" s="101">
        <f>IF('Net zero activities &amp; levers'!$C$9="Off",SUM('Activity data'!AD50:AD65)*FracLEACH*MSLeachEF*NtoN2O*kgtoGg,IF('Net zero activities &amp; levers'!$C$9="On",((SUM('Net zero supporting data'!B159:B168)*FracLEACH*'Net zero supporting data'!B185)+(SUM('Net zero supporting data'!B171:B180,'Net zero Activity data'!AD54,'Net zero Activity data'!AD57,'Net zero Activity data'!AD59:AD61,'Net zero Activity data'!AD63)*FracLEACH*MSLeachEF))*NtoN2O*kgtoGg,"ERROR"))</f>
        <v>0.20860999282156303</v>
      </c>
      <c r="L717" s="101">
        <f>IF('Net zero activities &amp; levers'!$C$9="Off",SUM('Activity data'!AE50:AE65)*FracLEACH*MSLeachEF*NtoN2O*kgtoGg,IF('Net zero activities &amp; levers'!$C$9="On",((SUM('Net zero supporting data'!C159:C168)*FracLEACH*'Net zero supporting data'!C185)+(SUM('Net zero supporting data'!C171:C180,'Net zero Activity data'!AE54,'Net zero Activity data'!AE57,'Net zero Activity data'!AE59:AE61,'Net zero Activity data'!AE63)*FracLEACH*MSLeachEF))*NtoN2O*kgtoGg,"ERROR"))</f>
        <v>0.20916470494858161</v>
      </c>
      <c r="M717" s="101">
        <f>IF('Net zero activities &amp; levers'!$C$9="Off",SUM('Activity data'!AF50:AF65)*FracLEACH*MSLeachEF*NtoN2O*kgtoGg,IF('Net zero activities &amp; levers'!$C$9="On",((SUM('Net zero supporting data'!D159:D168)*FracLEACH*'Net zero supporting data'!D185)+(SUM('Net zero supporting data'!D171:D180,'Net zero Activity data'!AF54,'Net zero Activity data'!AF57,'Net zero Activity data'!AF59:AF61,'Net zero Activity data'!AF63)*FracLEACH*MSLeachEF))*NtoN2O*kgtoGg,"ERROR"))</f>
        <v>0.20839166057483788</v>
      </c>
      <c r="N717" s="101">
        <f>IF('Net zero activities &amp; levers'!$C$9="Off",SUM('Activity data'!AG50:AG65)*FracLEACH*MSLeachEF*NtoN2O*kgtoGg,IF('Net zero activities &amp; levers'!$C$9="On",((SUM('Net zero supporting data'!E159:E168)*FracLEACH*'Net zero supporting data'!E185)+(SUM('Net zero supporting data'!E171:E180,'Net zero Activity data'!AG54,'Net zero Activity data'!AG57,'Net zero Activity data'!AG59:AG61,'Net zero Activity data'!AG63)*FracLEACH*MSLeachEF))*NtoN2O*kgtoGg,"ERROR"))</f>
        <v>0.20582736549591382</v>
      </c>
      <c r="O717" s="101">
        <f>IF('Net zero activities &amp; levers'!$C$9="Off",SUM('Activity data'!AH50:AH65)*FracLEACH*MSLeachEF*NtoN2O*kgtoGg,IF('Net zero activities &amp; levers'!$C$9="On",((SUM('Net zero supporting data'!F159:F168)*FracLEACH*'Net zero supporting data'!F185)+(SUM('Net zero supporting data'!F171:F180,'Net zero Activity data'!AH54,'Net zero Activity data'!AH57,'Net zero Activity data'!AH59:AH61,'Net zero Activity data'!AH63)*FracLEACH*MSLeachEF))*NtoN2O*kgtoGg,"ERROR"))</f>
        <v>0.20337087062968651</v>
      </c>
      <c r="P717" s="101">
        <f>IF('Net zero activities &amp; levers'!$C$9="Off",SUM('Activity data'!AI50:AI65)*FracLEACH*MSLeachEF*NtoN2O*kgtoGg,IF('Net zero activities &amp; levers'!$C$9="On",((SUM('Net zero supporting data'!G159:G168)*FracLEACH*'Net zero supporting data'!G185)+(SUM('Net zero supporting data'!G171:G180,'Net zero Activity data'!AI54,'Net zero Activity data'!AI57,'Net zero Activity data'!AI59:AI61,'Net zero Activity data'!AI63)*FracLEACH*MSLeachEF))*NtoN2O*kgtoGg,"ERROR"))</f>
        <v>0.20190666512350761</v>
      </c>
      <c r="Q717" s="101">
        <f>IF('Net zero activities &amp; levers'!$C$9="Off",SUM('Activity data'!AJ50:AJ65)*FracLEACH*MSLeachEF*NtoN2O*kgtoGg,IF('Net zero activities &amp; levers'!$C$9="On",((SUM('Net zero supporting data'!H159:H168)*FracLEACH*'Net zero supporting data'!H185)+(SUM('Net zero supporting data'!H171:H180,'Net zero Activity data'!AJ54,'Net zero Activity data'!AJ57,'Net zero Activity data'!AJ59:AJ61,'Net zero Activity data'!AJ63)*FracLEACH*MSLeachEF))*NtoN2O*kgtoGg,"ERROR"))</f>
        <v>0.2007674260526916</v>
      </c>
      <c r="R717" s="101">
        <f>IF('Net zero activities &amp; levers'!$C$9="Off",SUM('Activity data'!AK50:AK65)*FracLEACH*MSLeachEF*NtoN2O*kgtoGg,IF('Net zero activities &amp; levers'!$C$9="On",((SUM('Net zero supporting data'!I159:I168)*FracLEACH*'Net zero supporting data'!I185)+(SUM('Net zero supporting data'!I171:I180,'Net zero Activity data'!AK54,'Net zero Activity data'!AK57,'Net zero Activity data'!AK59:AK61,'Net zero Activity data'!AK63)*FracLEACH*MSLeachEF))*NtoN2O*kgtoGg,"ERROR"))</f>
        <v>0.19784037541962896</v>
      </c>
      <c r="S717" s="101">
        <f>IF('Net zero activities &amp; levers'!$C$9="Off",SUM('Activity data'!AL50:AL65)*FracLEACH*MSLeachEF*NtoN2O*kgtoGg,IF('Net zero activities &amp; levers'!$C$9="On",((SUM('Net zero supporting data'!J159:J168)*FracLEACH*'Net zero supporting data'!J185)+(SUM('Net zero supporting data'!J171:J180,'Net zero Activity data'!AL54,'Net zero Activity data'!AL57,'Net zero Activity data'!AL59:AL61,'Net zero Activity data'!AL63)*FracLEACH*MSLeachEF))*NtoN2O*kgtoGg,"ERROR"))</f>
        <v>0.17841698820622021</v>
      </c>
      <c r="T717" s="101">
        <f>IF('Net zero activities &amp; levers'!$C$9="Off",SUM('Activity data'!AM50:AM65)*FracLEACH*MSLeachEF*NtoN2O*kgtoGg,IF('Net zero activities &amp; levers'!$C$9="On",((SUM('Net zero supporting data'!K159:K168)*FracLEACH*'Net zero supporting data'!K185)+(SUM('Net zero supporting data'!K171:K180,'Net zero Activity data'!AM54,'Net zero Activity data'!AM57,'Net zero Activity data'!AM59:AM61,'Net zero Activity data'!AM63)*FracLEACH*MSLeachEF))*NtoN2O*kgtoGg,"ERROR"))</f>
        <v>0.17802595881827057</v>
      </c>
      <c r="U717" s="101">
        <f>IF('Net zero activities &amp; levers'!$C$9="Off",SUM('Activity data'!AN50:AN65)*FracLEACH*MSLeachEF*NtoN2O*kgtoGg,IF('Net zero activities &amp; levers'!$C$9="On",((SUM('Net zero supporting data'!L159:L168)*FracLEACH*'Net zero supporting data'!L185)+(SUM('Net zero supporting data'!L171:L180,'Net zero Activity data'!AN54,'Net zero Activity data'!AN57,'Net zero Activity data'!AN59:AN61,'Net zero Activity data'!AN63)*FracLEACH*MSLeachEF))*NtoN2O*kgtoGg,"ERROR"))</f>
        <v>0.17714359680275282</v>
      </c>
      <c r="V717" s="101">
        <f>IF('Net zero activities &amp; levers'!$C$9="Off",SUM('Activity data'!AO50:AO65)*FracLEACH*MSLeachEF*NtoN2O*kgtoGg,IF('Net zero activities &amp; levers'!$C$9="On",((SUM('Net zero supporting data'!M159:M168)*FracLEACH*'Net zero supporting data'!M185)+(SUM('Net zero supporting data'!M171:M180,'Net zero Activity data'!AO54,'Net zero Activity data'!AO57,'Net zero Activity data'!AO59:AO61,'Net zero Activity data'!AO63)*FracLEACH*MSLeachEF))*NtoN2O*kgtoGg,"ERROR"))</f>
        <v>0.17620916250615196</v>
      </c>
      <c r="W717" s="101">
        <f>IF('Net zero activities &amp; levers'!$C$9="Off",SUM('Activity data'!AP50:AP65)*FracLEACH*MSLeachEF*NtoN2O*kgtoGg,IF('Net zero activities &amp; levers'!$C$9="On",((SUM('Net zero supporting data'!N159:N168)*FracLEACH*'Net zero supporting data'!N185)+(SUM('Net zero supporting data'!N171:N180,'Net zero Activity data'!AP54,'Net zero Activity data'!AP57,'Net zero Activity data'!AP59:AP61,'Net zero Activity data'!AP63)*FracLEACH*MSLeachEF))*NtoN2O*kgtoGg,"ERROR"))</f>
        <v>0.17585816479384833</v>
      </c>
      <c r="X717" s="101">
        <f>IF('Net zero activities &amp; levers'!$C$9="Off",SUM('Activity data'!AQ50:AQ65)*FracLEACH*MSLeachEF*NtoN2O*kgtoGg,IF('Net zero activities &amp; levers'!$C$9="On",((SUM('Net zero supporting data'!O159:O168)*FracLEACH*'Net zero supporting data'!O185)+(SUM('Net zero supporting data'!O171:O180,'Net zero Activity data'!AQ54,'Net zero Activity data'!AQ57,'Net zero Activity data'!AQ59:AQ61,'Net zero Activity data'!AQ63)*FracLEACH*MSLeachEF))*NtoN2O*kgtoGg,"ERROR"))</f>
        <v>0.17542499751643978</v>
      </c>
      <c r="Y717" s="101">
        <f>IF('Net zero activities &amp; levers'!$C$9="Off",SUM('Activity data'!AR50:AR65)*FracLEACH*MSLeachEF*NtoN2O*kgtoGg,IF('Net zero activities &amp; levers'!$C$9="On",((SUM('Net zero supporting data'!P159:P168)*FracLEACH*'Net zero supporting data'!P185)+(SUM('Net zero supporting data'!P171:P180,'Net zero Activity data'!AR54,'Net zero Activity data'!AR57,'Net zero Activity data'!AR59:AR61,'Net zero Activity data'!AR63)*FracLEACH*MSLeachEF))*NtoN2O*kgtoGg,"ERROR"))</f>
        <v>0.17502862574512054</v>
      </c>
      <c r="Z717" s="101">
        <f>IF('Net zero activities &amp; levers'!$C$9="Off",SUM('Activity data'!AS50:AS65)*FracLEACH*MSLeachEF*NtoN2O*kgtoGg,IF('Net zero activities &amp; levers'!$C$9="On",((SUM('Net zero supporting data'!Q159:Q168)*FracLEACH*'Net zero supporting data'!Q185)+(SUM('Net zero supporting data'!Q171:Q180,'Net zero Activity data'!AS54,'Net zero Activity data'!AS57,'Net zero Activity data'!AS59:AS61,'Net zero Activity data'!AS63)*FracLEACH*MSLeachEF))*NtoN2O*kgtoGg,"ERROR"))</f>
        <v>0.17440166561061643</v>
      </c>
      <c r="AA717" s="101">
        <f>IF('Net zero activities &amp; levers'!$C$9="Off",SUM('Activity data'!AT50:AT65)*FracLEACH*MSLeachEF*NtoN2O*kgtoGg,IF('Net zero activities &amp; levers'!$C$9="On",((SUM('Net zero supporting data'!R159:R168)*FracLEACH*'Net zero supporting data'!R185)+(SUM('Net zero supporting data'!R171:R180,'Net zero Activity data'!AT54,'Net zero Activity data'!AT57,'Net zero Activity data'!AT59:AT61,'Net zero Activity data'!AT63)*FracLEACH*MSLeachEF))*NtoN2O*kgtoGg,"ERROR"))</f>
        <v>0.17392252090222757</v>
      </c>
      <c r="AB717" s="101">
        <f>IF('Net zero activities &amp; levers'!$C$9="Off",SUM('Activity data'!AU50:AU65)*FracLEACH*MSLeachEF*NtoN2O*kgtoGg,IF('Net zero activities &amp; levers'!$C$9="On",((SUM('Net zero supporting data'!S159:S168)*FracLEACH*'Net zero supporting data'!S185)+(SUM('Net zero supporting data'!S171:S180,'Net zero Activity data'!AU54,'Net zero Activity data'!AU57,'Net zero Activity data'!AU59:AU61,'Net zero Activity data'!AU63)*FracLEACH*MSLeachEF))*NtoN2O*kgtoGg,"ERROR"))</f>
        <v>0.17308657614920761</v>
      </c>
      <c r="AC717" s="101">
        <f>IF('Net zero activities &amp; levers'!$C$9="Off",SUM('Activity data'!AV50:AV65)*FracLEACH*MSLeachEF*NtoN2O*kgtoGg,IF('Net zero activities &amp; levers'!$C$9="On",((SUM('Net zero supporting data'!T159:T168)*FracLEACH*'Net zero supporting data'!T185)+(SUM('Net zero supporting data'!T171:T180,'Net zero Activity data'!AV54,'Net zero Activity data'!AV57,'Net zero Activity data'!AV59:AV61,'Net zero Activity data'!AV63)*FracLEACH*MSLeachEF))*NtoN2O*kgtoGg,"ERROR"))</f>
        <v>0.17225000676629368</v>
      </c>
      <c r="AD717" s="101">
        <f>IF('Net zero activities &amp; levers'!$C$9="Off",SUM('Activity data'!AW50:AW65)*FracLEACH*MSLeachEF*NtoN2O*kgtoGg,IF('Net zero activities &amp; levers'!$C$9="On",((SUM('Net zero supporting data'!U159:U168)*FracLEACH*'Net zero supporting data'!U185)+(SUM('Net zero supporting data'!U171:U180,'Net zero Activity data'!AW54,'Net zero Activity data'!AW57,'Net zero Activity data'!AW59:AW61,'Net zero Activity data'!AW63)*FracLEACH*MSLeachEF))*NtoN2O*kgtoGg,"ERROR"))</f>
        <v>0.1721771918798847</v>
      </c>
      <c r="AE717" s="101">
        <f>IF('Net zero activities &amp; levers'!$C$9="Off",SUM('Activity data'!AX50:AX65)*FracLEACH*MSLeachEF*NtoN2O*kgtoGg,IF('Net zero activities &amp; levers'!$C$9="On",((SUM('Net zero supporting data'!V159:V168)*FracLEACH*'Net zero supporting data'!V185)+(SUM('Net zero supporting data'!V171:V180,'Net zero Activity data'!AX54,'Net zero Activity data'!AX57,'Net zero Activity data'!AX59:AX61,'Net zero Activity data'!AX63)*FracLEACH*MSLeachEF))*NtoN2O*kgtoGg,"ERROR"))</f>
        <v>0.17229301691161569</v>
      </c>
      <c r="AF717" s="101">
        <f>IF('Net zero activities &amp; levers'!$C$9="Off",SUM('Activity data'!AY50:AY65)*FracLEACH*MSLeachEF*NtoN2O*kgtoGg,IF('Net zero activities &amp; levers'!$C$9="On",((SUM('Net zero supporting data'!W159:W168)*FracLEACH*'Net zero supporting data'!W185)+(SUM('Net zero supporting data'!W171:W180,'Net zero Activity data'!AY54,'Net zero Activity data'!AY57,'Net zero Activity data'!AY59:AY61,'Net zero Activity data'!AY63)*FracLEACH*MSLeachEF))*NtoN2O*kgtoGg,"ERROR"))</f>
        <v>0.1723910202355898</v>
      </c>
      <c r="AG717" s="101">
        <f>IF('Net zero activities &amp; levers'!$C$9="Off",SUM('Activity data'!AZ50:AZ65)*FracLEACH*MSLeachEF*NtoN2O*kgtoGg,IF('Net zero activities &amp; levers'!$C$9="On",((SUM('Net zero supporting data'!X159:X168)*FracLEACH*'Net zero supporting data'!X185)+(SUM('Net zero supporting data'!X171:X180,'Net zero Activity data'!AZ54,'Net zero Activity data'!AZ57,'Net zero Activity data'!AZ59:AZ61,'Net zero Activity data'!AZ63)*FracLEACH*MSLeachEF))*NtoN2O*kgtoGg,"ERROR"))</f>
        <v>0.16847155165921965</v>
      </c>
      <c r="AH717" s="101">
        <f>IF('Net zero activities &amp; levers'!$C$9="Off",SUM('Activity data'!BA50:BA65)*FracLEACH*MSLeachEF*NtoN2O*kgtoGg,IF('Net zero activities &amp; levers'!$C$9="On",((SUM('Net zero supporting data'!Y159:Y168)*FracLEACH*'Net zero supporting data'!Y185)+(SUM('Net zero supporting data'!Y171:Y180,'Net zero Activity data'!BA54,'Net zero Activity data'!BA57,'Net zero Activity data'!BA59:BA61,'Net zero Activity data'!BA63)*FracLEACH*MSLeachEF))*NtoN2O*kgtoGg,"ERROR"))</f>
        <v>-1.7832247193373271E-2</v>
      </c>
      <c r="AI717" s="101">
        <f>IF('Net zero activities &amp; levers'!$C$9="Off",SUM('Activity data'!BB50:BB65)*FracLEACH*MSLeachEF*NtoN2O*kgtoGg,IF('Net zero activities &amp; levers'!$C$9="On",((SUM('Net zero supporting data'!Z159:Z168)*FracLEACH*'Net zero supporting data'!Z185)+(SUM('Net zero supporting data'!Z171:Z180,'Net zero Activity data'!BB54,'Net zero Activity data'!BB57,'Net zero Activity data'!BB59:BB61,'Net zero Activity data'!BB63)*FracLEACH*MSLeachEF))*NtoN2O*kgtoGg,"ERROR"))</f>
        <v>-1.728168673331193E-2</v>
      </c>
      <c r="AJ717" s="101">
        <f>IF('Net zero activities &amp; levers'!$C$9="Off",SUM('Activity data'!BC50:BC65)*FracLEACH*MSLeachEF*NtoN2O*kgtoGg,IF('Net zero activities &amp; levers'!$C$9="On",((SUM('Net zero supporting data'!AA159:AA168)*FracLEACH*'Net zero supporting data'!AA185)+(SUM('Net zero supporting data'!AA171:AA180,'Net zero Activity data'!BC54,'Net zero Activity data'!BC57,'Net zero Activity data'!BC59:BC61,'Net zero Activity data'!BC63)*FracLEACH*MSLeachEF))*NtoN2O*kgtoGg,"ERROR"))</f>
        <v>-1.673927154715301E-2</v>
      </c>
      <c r="AK717" s="101">
        <f>IF('Net zero activities &amp; levers'!$C$9="Off",SUM('Activity data'!BD50:BD65)*FracLEACH*MSLeachEF*NtoN2O*kgtoGg,IF('Net zero activities &amp; levers'!$C$9="On",((SUM('Net zero supporting data'!AB159:AB168)*FracLEACH*'Net zero supporting data'!AB185)+(SUM('Net zero supporting data'!AB171:AB180,'Net zero Activity data'!BD54,'Net zero Activity data'!BD57,'Net zero Activity data'!BD59:BD61,'Net zero Activity data'!BD63)*FracLEACH*MSLeachEF))*NtoN2O*kgtoGg,"ERROR"))</f>
        <v>-1.6204472816719061E-2</v>
      </c>
      <c r="AL717" s="101">
        <f>IF('Net zero activities &amp; levers'!$C$9="Off",SUM('Activity data'!BE50:BE65)*FracLEACH*MSLeachEF*NtoN2O*kgtoGg,IF('Net zero activities &amp; levers'!$C$9="On",((SUM('Net zero supporting data'!AC159:AC168)*FracLEACH*'Net zero supporting data'!AC185)+(SUM('Net zero supporting data'!AC171:AC180,'Net zero Activity data'!BE54,'Net zero Activity data'!BE57,'Net zero Activity data'!BE59:BE61,'Net zero Activity data'!BE63)*FracLEACH*MSLeachEF))*NtoN2O*kgtoGg,"ERROR"))</f>
        <v>-1.5676796771807836E-2</v>
      </c>
      <c r="AM717" s="101">
        <f>IF('Net zero activities &amp; levers'!$C$9="Off",SUM('Activity data'!BF50:BF65)*FracLEACH*MSLeachEF*NtoN2O*kgtoGg,IF('Net zero activities &amp; levers'!$C$9="On",((SUM('Net zero supporting data'!AD159:AD168)*FracLEACH*'Net zero supporting data'!AD185)+(SUM('Net zero supporting data'!AD171:AD180,'Net zero Activity data'!BF54,'Net zero Activity data'!BF57,'Net zero Activity data'!BF59:BF61,'Net zero Activity data'!BF63)*FracLEACH*MSLeachEF))*NtoN2O*kgtoGg,"ERROR"))</f>
        <v>-1.5155781427845714E-2</v>
      </c>
      <c r="AN717" s="101">
        <f>IF('Net zero activities &amp; levers'!$C$9="Off",SUM('Activity data'!BG50:BG65)*FracLEACH*MSLeachEF*NtoN2O*kgtoGg,IF('Net zero activities &amp; levers'!$C$9="On",((SUM('Net zero supporting data'!AE159:AE168)*FracLEACH*'Net zero supporting data'!AE185)+(SUM('Net zero supporting data'!AE171:AE180,'Net zero Activity data'!BG54,'Net zero Activity data'!BG57,'Net zero Activity data'!BG59:BG61,'Net zero Activity data'!BG63)*FracLEACH*MSLeachEF))*NtoN2O*kgtoGg,"ERROR"))</f>
        <v>-1.4841130968047093E-2</v>
      </c>
      <c r="AO717" s="101">
        <f>IF('Net zero activities &amp; levers'!$C$9="Off",SUM('Activity data'!BH50:BH65)*FracLEACH*MSLeachEF*NtoN2O*kgtoGg,IF('Net zero activities &amp; levers'!$C$9="On",((SUM('Net zero supporting data'!AF159:AF168)*FracLEACH*'Net zero supporting data'!AF185)+(SUM('Net zero supporting data'!AF171:AF180,'Net zero Activity data'!BH54,'Net zero Activity data'!BH57,'Net zero Activity data'!BH59:BH61,'Net zero Activity data'!BH63)*FracLEACH*MSLeachEF))*NtoN2O*kgtoGg,"ERROR"))</f>
        <v>-1.4532669095287207E-2</v>
      </c>
      <c r="AP717" s="101">
        <f>IF('Net zero activities &amp; levers'!$C$9="Off",SUM('Activity data'!BI50:BI65)*FracLEACH*MSLeachEF*NtoN2O*kgtoGg,IF('Net zero activities &amp; levers'!$C$9="On",((SUM('Net zero supporting data'!AG159:AG168)*FracLEACH*'Net zero supporting data'!AG185)+(SUM('Net zero supporting data'!AG171:AG180,'Net zero Activity data'!BI54,'Net zero Activity data'!BI57,'Net zero Activity data'!BI59:BI61,'Net zero Activity data'!BI63)*FracLEACH*MSLeachEF))*NtoN2O*kgtoGg,"ERROR"))</f>
        <v>-1.4230142051637211E-2</v>
      </c>
      <c r="AQ717" s="101">
        <f>IF('Net zero activities &amp; levers'!$C$9="Off",SUM('Activity data'!BJ50:BJ65)*FracLEACH*MSLeachEF*NtoN2O*kgtoGg,IF('Net zero activities &amp; levers'!$C$9="On",((SUM('Net zero supporting data'!AH159:AH168)*FracLEACH*'Net zero supporting data'!AH185)+(SUM('Net zero supporting data'!AH171:AH180,'Net zero Activity data'!BJ54,'Net zero Activity data'!BJ57,'Net zero Activity data'!BJ59:BJ61,'Net zero Activity data'!BJ63)*FracLEACH*MSLeachEF))*NtoN2O*kgtoGg,"ERROR"))</f>
        <v>-1.3933312045426053E-2</v>
      </c>
      <c r="AR717" s="101">
        <f>IF('Net zero activities &amp; levers'!$C$9="Off",SUM('Activity data'!BK50:BK65)*FracLEACH*MSLeachEF*NtoN2O*kgtoGg,IF('Net zero activities &amp; levers'!$C$9="On",((SUM('Net zero supporting data'!AI159:AI168)*FracLEACH*'Net zero supporting data'!AI185)+(SUM('Net zero supporting data'!AI171:AI180,'Net zero Activity data'!BK54,'Net zero Activity data'!BK57,'Net zero Activity data'!BK59:BK61,'Net zero Activity data'!BK63)*FracLEACH*MSLeachEF))*NtoN2O*kgtoGg,"ERROR"))</f>
        <v>-1.3641955929089898E-2</v>
      </c>
      <c r="AS717" s="101">
        <f>IF('Net zero activities &amp; levers'!$C$9="Off",SUM('Activity data'!BL50:BL65)*FracLEACH*MSLeachEF*NtoN2O*kgtoGg,IF('Net zero activities &amp; levers'!$C$9="On",((SUM('Net zero supporting data'!AJ159:AJ168)*FracLEACH*'Net zero supporting data'!AJ185)+(SUM('Net zero supporting data'!AJ171:AJ180,'Net zero Activity data'!BL54,'Net zero Activity data'!BL57,'Net zero Activity data'!BL59:BL61,'Net zero Activity data'!BL63)*FracLEACH*MSLeachEF))*NtoN2O*kgtoGg,"ERROR"))</f>
        <v>-1.3339492302794458E-2</v>
      </c>
      <c r="AT717" s="101">
        <f>IF('Net zero activities &amp; levers'!$C$9="Off",SUM('Activity data'!BM50:BM65)*FracLEACH*MSLeachEF*NtoN2O*kgtoGg,IF('Net zero activities &amp; levers'!$C$9="On",((SUM('Net zero supporting data'!AK159:AK168)*FracLEACH*'Net zero supporting data'!AK185)+(SUM('Net zero supporting data'!AK171:AK180,'Net zero Activity data'!BM54,'Net zero Activity data'!BM57,'Net zero Activity data'!BM59:BM61,'Net zero Activity data'!BM63)*FracLEACH*MSLeachEF))*NtoN2O*kgtoGg,"ERROR"))</f>
        <v>-1.3042522102371048E-2</v>
      </c>
      <c r="AU717" s="101">
        <f>IF('Net zero activities &amp; levers'!$C$9="Off",SUM('Activity data'!BN50:BN65)*FracLEACH*MSLeachEF*NtoN2O*kgtoGg,IF('Net zero activities &amp; levers'!$C$9="On",((SUM('Net zero supporting data'!AL159:AL168)*FracLEACH*'Net zero supporting data'!AL185)+(SUM('Net zero supporting data'!AL171:AL180,'Net zero Activity data'!BN54,'Net zero Activity data'!BN57,'Net zero Activity data'!BN59:BN61,'Net zero Activity data'!BN63)*FracLEACH*MSLeachEF))*NtoN2O*kgtoGg,"ERROR"))</f>
        <v>-1.2750849264375381E-2</v>
      </c>
      <c r="AV717" s="101">
        <f>IF('Net zero activities &amp; levers'!$C$9="Off",SUM('Activity data'!BO50:BO65)*FracLEACH*MSLeachEF*NtoN2O*kgtoGg,IF('Net zero activities &amp; levers'!$C$9="On",((SUM('Net zero supporting data'!AM159:AM168)*FracLEACH*'Net zero supporting data'!AM185)+(SUM('Net zero supporting data'!AM171:AM180,'Net zero Activity data'!BO54,'Net zero Activity data'!BO57,'Net zero Activity data'!BO59:BO61,'Net zero Activity data'!BO63)*FracLEACH*MSLeachEF))*NtoN2O*kgtoGg,"ERROR"))</f>
        <v>-1.2464288811562035E-2</v>
      </c>
      <c r="AW717" s="101">
        <f>IF('Net zero activities &amp; levers'!$C$9="Off",SUM('Activity data'!BP50:BP65)*FracLEACH*MSLeachEF*NtoN2O*kgtoGg,IF('Net zero activities &amp; levers'!$C$9="On",((SUM('Net zero supporting data'!AN159:AN168)*FracLEACH*'Net zero supporting data'!AN185)+(SUM('Net zero supporting data'!AN171:AN180,'Net zero Activity data'!BP54,'Net zero Activity data'!BP57,'Net zero Activity data'!BP59:BP61,'Net zero Activity data'!BP63)*FracLEACH*MSLeachEF))*NtoN2O*kgtoGg,"ERROR"))</f>
        <v>-1.2182666025467696E-2</v>
      </c>
      <c r="AY717" s="85"/>
      <c r="AZ717" s="85"/>
    </row>
    <row r="718" spans="1:52" x14ac:dyDescent="0.25">
      <c r="A718" s="102" t="str">
        <f t="shared" si="149"/>
        <v>NI Leaching</v>
      </c>
      <c r="B718" s="102" t="s">
        <v>970</v>
      </c>
      <c r="C718" s="102" t="s">
        <v>1191</v>
      </c>
      <c r="D718" t="str">
        <f t="shared" ref="D718:F718" si="161">D717</f>
        <v>3C Aggregated and non-CO2 emissions on land</v>
      </c>
      <c r="E718" t="str">
        <f t="shared" si="161"/>
        <v>3C5 Indirect N2O from managed soils (N2O)</v>
      </c>
      <c r="F718" t="str">
        <f t="shared" si="161"/>
        <v>Leaching/runoff</v>
      </c>
      <c r="G718" t="str">
        <f t="shared" ref="G718" si="162">G714</f>
        <v xml:space="preserve"> - Urine &amp; dung</v>
      </c>
      <c r="H718" t="str">
        <f t="shared" ref="H718:H719" si="163">F718&amp;G718</f>
        <v>Leaching/runoff - Urine &amp; dung</v>
      </c>
      <c r="I718" t="str">
        <f t="shared" ref="I718:J719" si="164">I717</f>
        <v>N2O</v>
      </c>
      <c r="J718" t="str">
        <f t="shared" si="164"/>
        <v>Gg N2O</v>
      </c>
      <c r="K718" s="22">
        <f>K1517</f>
        <v>0</v>
      </c>
      <c r="L718" s="22">
        <f t="shared" ref="L718:AW725" si="165">L1517</f>
        <v>0</v>
      </c>
      <c r="M718" s="22">
        <f t="shared" si="165"/>
        <v>0</v>
      </c>
      <c r="N718" s="22">
        <f t="shared" si="165"/>
        <v>0</v>
      </c>
      <c r="O718" s="22">
        <f t="shared" si="165"/>
        <v>0</v>
      </c>
      <c r="P718" s="22">
        <f t="shared" si="165"/>
        <v>0</v>
      </c>
      <c r="Q718" s="22">
        <f t="shared" si="165"/>
        <v>0</v>
      </c>
      <c r="R718" s="22">
        <f t="shared" si="165"/>
        <v>0</v>
      </c>
      <c r="S718" s="22">
        <f t="shared" si="165"/>
        <v>0</v>
      </c>
      <c r="T718" s="22">
        <f t="shared" si="165"/>
        <v>0</v>
      </c>
      <c r="U718" s="22">
        <f t="shared" si="165"/>
        <v>0</v>
      </c>
      <c r="V718" s="22">
        <f t="shared" si="165"/>
        <v>0</v>
      </c>
      <c r="W718" s="22">
        <f t="shared" si="165"/>
        <v>0</v>
      </c>
      <c r="X718" s="22">
        <f t="shared" si="165"/>
        <v>0</v>
      </c>
      <c r="Y718" s="22">
        <f t="shared" si="165"/>
        <v>0</v>
      </c>
      <c r="Z718" s="22">
        <f t="shared" si="165"/>
        <v>0</v>
      </c>
      <c r="AA718" s="22">
        <f t="shared" si="165"/>
        <v>0</v>
      </c>
      <c r="AB718" s="22">
        <f t="shared" si="165"/>
        <v>0</v>
      </c>
      <c r="AC718" s="22">
        <f t="shared" si="165"/>
        <v>0</v>
      </c>
      <c r="AD718" s="22">
        <f t="shared" si="165"/>
        <v>0</v>
      </c>
      <c r="AE718" s="22">
        <f t="shared" si="165"/>
        <v>0</v>
      </c>
      <c r="AF718" s="22">
        <f t="shared" si="165"/>
        <v>0</v>
      </c>
      <c r="AG718" s="22">
        <f t="shared" si="165"/>
        <v>0</v>
      </c>
      <c r="AH718" s="22">
        <f t="shared" si="165"/>
        <v>0</v>
      </c>
      <c r="AI718" s="22">
        <f t="shared" si="165"/>
        <v>0</v>
      </c>
      <c r="AJ718" s="22">
        <f t="shared" si="165"/>
        <v>0</v>
      </c>
      <c r="AK718" s="22">
        <f t="shared" si="165"/>
        <v>0</v>
      </c>
      <c r="AL718" s="22">
        <f t="shared" si="165"/>
        <v>0</v>
      </c>
      <c r="AM718" s="22">
        <f t="shared" si="165"/>
        <v>0</v>
      </c>
      <c r="AN718" s="22">
        <f t="shared" si="165"/>
        <v>0</v>
      </c>
      <c r="AO718" s="22">
        <f t="shared" si="165"/>
        <v>0</v>
      </c>
      <c r="AP718" s="22">
        <f t="shared" si="165"/>
        <v>0</v>
      </c>
      <c r="AQ718" s="22">
        <f t="shared" si="165"/>
        <v>0</v>
      </c>
      <c r="AR718" s="22">
        <f t="shared" si="165"/>
        <v>0</v>
      </c>
      <c r="AS718" s="22">
        <f t="shared" si="165"/>
        <v>0</v>
      </c>
      <c r="AT718" s="22">
        <f t="shared" si="165"/>
        <v>0</v>
      </c>
      <c r="AU718" s="22">
        <f t="shared" si="165"/>
        <v>0</v>
      </c>
      <c r="AV718" s="22">
        <f t="shared" si="165"/>
        <v>0</v>
      </c>
      <c r="AW718" s="22">
        <f t="shared" si="165"/>
        <v>0</v>
      </c>
      <c r="AY718" s="85"/>
      <c r="AZ718" s="85"/>
    </row>
    <row r="719" spans="1:52" x14ac:dyDescent="0.25">
      <c r="A719" s="102" t="str">
        <f t="shared" si="149"/>
        <v>NI Leaching</v>
      </c>
      <c r="B719" s="102" t="s">
        <v>970</v>
      </c>
      <c r="C719" s="102" t="s">
        <v>1191</v>
      </c>
      <c r="D719" t="str">
        <f t="shared" ref="D719:F719" si="166">D718</f>
        <v>3C Aggregated and non-CO2 emissions on land</v>
      </c>
      <c r="E719" t="str">
        <f t="shared" si="166"/>
        <v>3C5 Indirect N2O from managed soils (N2O)</v>
      </c>
      <c r="F719" t="str">
        <f t="shared" si="166"/>
        <v>Leaching/runoff</v>
      </c>
      <c r="G719" t="s">
        <v>439</v>
      </c>
      <c r="H719" t="str">
        <f t="shared" si="163"/>
        <v>Leaching/runoff - crop residues</v>
      </c>
      <c r="I719" t="str">
        <f t="shared" si="164"/>
        <v>N2O</v>
      </c>
      <c r="J719" t="str">
        <f t="shared" si="164"/>
        <v>Gg N2O</v>
      </c>
      <c r="K719" s="22">
        <f t="shared" ref="K719:Z731" si="167">K1518</f>
        <v>0.10175116378121943</v>
      </c>
      <c r="L719" s="22">
        <f t="shared" si="167"/>
        <v>0.10199531862312783</v>
      </c>
      <c r="M719" s="22">
        <f t="shared" si="167"/>
        <v>0.10232895790911103</v>
      </c>
      <c r="N719" s="22">
        <f t="shared" si="167"/>
        <v>0.102571135787432</v>
      </c>
      <c r="O719" s="22">
        <f t="shared" si="167"/>
        <v>0.10268907461035851</v>
      </c>
      <c r="P719" s="22">
        <f t="shared" si="167"/>
        <v>0.10280548137522282</v>
      </c>
      <c r="Q719" s="22">
        <f t="shared" si="167"/>
        <v>0.10298157657140594</v>
      </c>
      <c r="R719" s="22">
        <f t="shared" si="167"/>
        <v>0.10317437501165042</v>
      </c>
      <c r="S719" s="22">
        <f t="shared" si="167"/>
        <v>0.10323747118294155</v>
      </c>
      <c r="T719" s="22">
        <f t="shared" si="167"/>
        <v>0.10207849673523195</v>
      </c>
      <c r="U719" s="22">
        <f t="shared" si="167"/>
        <v>0.10244002007553947</v>
      </c>
      <c r="V719" s="22">
        <f t="shared" si="167"/>
        <v>0.10276505734262262</v>
      </c>
      <c r="W719" s="22">
        <f t="shared" si="167"/>
        <v>0.10308708143869158</v>
      </c>
      <c r="X719" s="22">
        <f t="shared" si="167"/>
        <v>0.10345673156725761</v>
      </c>
      <c r="Y719" s="22">
        <f t="shared" si="167"/>
        <v>0.10382236970947499</v>
      </c>
      <c r="Z719" s="22">
        <f t="shared" si="167"/>
        <v>0.10419308105510718</v>
      </c>
      <c r="AA719" s="22">
        <f t="shared" si="165"/>
        <v>0.1045480129274277</v>
      </c>
      <c r="AB719" s="22">
        <f t="shared" si="165"/>
        <v>0.10491811532698922</v>
      </c>
      <c r="AC719" s="22">
        <f t="shared" si="165"/>
        <v>0.10526191572099161</v>
      </c>
      <c r="AD719" s="22">
        <f t="shared" si="165"/>
        <v>0.10560878304057683</v>
      </c>
      <c r="AE719" s="22">
        <f t="shared" si="165"/>
        <v>0.10601241907328743</v>
      </c>
      <c r="AF719" s="22">
        <f t="shared" si="165"/>
        <v>0.10643853523191582</v>
      </c>
      <c r="AG719" s="22">
        <f t="shared" si="165"/>
        <v>0.10687002645789688</v>
      </c>
      <c r="AH719" s="22">
        <f t="shared" si="165"/>
        <v>0.10695565891506367</v>
      </c>
      <c r="AI719" s="22">
        <f t="shared" si="165"/>
        <v>7.1370603051085779E-2</v>
      </c>
      <c r="AJ719" s="22">
        <f t="shared" si="165"/>
        <v>7.1307647461360521E-2</v>
      </c>
      <c r="AK719" s="22">
        <f t="shared" si="165"/>
        <v>7.1244029161657008E-2</v>
      </c>
      <c r="AL719" s="22">
        <f t="shared" si="165"/>
        <v>7.1179739022300959E-2</v>
      </c>
      <c r="AM719" s="22">
        <f t="shared" si="165"/>
        <v>7.1114767741896984E-2</v>
      </c>
      <c r="AN719" s="22">
        <f t="shared" si="165"/>
        <v>7.1049105843042956E-2</v>
      </c>
      <c r="AO719" s="22">
        <f t="shared" si="165"/>
        <v>7.0992821484352875E-2</v>
      </c>
      <c r="AP719" s="22">
        <f t="shared" si="165"/>
        <v>7.0936026569640209E-2</v>
      </c>
      <c r="AQ719" s="22">
        <f t="shared" si="165"/>
        <v>7.0878714989935504E-2</v>
      </c>
      <c r="AR719" s="22">
        <f t="shared" si="165"/>
        <v>7.0820880536048819E-2</v>
      </c>
      <c r="AS719" s="22">
        <f t="shared" si="165"/>
        <v>7.0762516896386879E-2</v>
      </c>
      <c r="AT719" s="22">
        <f t="shared" si="165"/>
        <v>7.0714119633319514E-2</v>
      </c>
      <c r="AU719" s="22">
        <f t="shared" si="165"/>
        <v>7.0665356530577775E-2</v>
      </c>
      <c r="AV719" s="22">
        <f t="shared" si="165"/>
        <v>7.0616223915862988E-2</v>
      </c>
      <c r="AW719" s="22">
        <f t="shared" si="165"/>
        <v>7.0566718066166448E-2</v>
      </c>
      <c r="AY719" s="85"/>
      <c r="AZ719" s="85"/>
    </row>
    <row r="720" spans="1:52" x14ac:dyDescent="0.25">
      <c r="A720" s="102" t="str">
        <f t="shared" si="149"/>
        <v>NI Leaching</v>
      </c>
      <c r="B720" s="102" t="s">
        <v>970</v>
      </c>
      <c r="C720" s="102" t="s">
        <v>1191</v>
      </c>
      <c r="D720" t="s">
        <v>369</v>
      </c>
      <c r="E720" t="s">
        <v>61</v>
      </c>
      <c r="F720" t="s">
        <v>63</v>
      </c>
      <c r="G720" t="s">
        <v>1194</v>
      </c>
      <c r="H720" t="s">
        <v>1195</v>
      </c>
      <c r="I720" t="s">
        <v>139</v>
      </c>
      <c r="J720" t="s">
        <v>287</v>
      </c>
      <c r="K720" s="22" t="str">
        <f t="shared" si="167"/>
        <v>NO</v>
      </c>
      <c r="L720" s="22" t="str">
        <f t="shared" si="165"/>
        <v>NO</v>
      </c>
      <c r="M720" s="22" t="str">
        <f t="shared" si="165"/>
        <v>NO</v>
      </c>
      <c r="N720" s="22" t="str">
        <f t="shared" si="165"/>
        <v>NO</v>
      </c>
      <c r="O720" s="22" t="str">
        <f t="shared" si="165"/>
        <v>NO</v>
      </c>
      <c r="P720" s="22" t="str">
        <f t="shared" si="165"/>
        <v>NO</v>
      </c>
      <c r="Q720" s="22" t="str">
        <f t="shared" si="165"/>
        <v>NO</v>
      </c>
      <c r="R720" s="22" t="str">
        <f t="shared" si="165"/>
        <v>NO</v>
      </c>
      <c r="S720" s="22" t="str">
        <f t="shared" si="165"/>
        <v>NO</v>
      </c>
      <c r="T720" s="22" t="str">
        <f t="shared" si="165"/>
        <v>NO</v>
      </c>
      <c r="U720" s="22" t="str">
        <f t="shared" si="165"/>
        <v>NO</v>
      </c>
      <c r="V720" s="22" t="str">
        <f t="shared" si="165"/>
        <v>NO</v>
      </c>
      <c r="W720" s="22" t="str">
        <f t="shared" si="165"/>
        <v>NO</v>
      </c>
      <c r="X720" s="22" t="str">
        <f t="shared" si="165"/>
        <v>NO</v>
      </c>
      <c r="Y720" s="22" t="str">
        <f t="shared" si="165"/>
        <v>NO</v>
      </c>
      <c r="Z720" s="22" t="str">
        <f t="shared" si="165"/>
        <v>NO</v>
      </c>
      <c r="AA720" s="22" t="str">
        <f t="shared" si="165"/>
        <v>NO</v>
      </c>
      <c r="AB720" s="22" t="str">
        <f t="shared" si="165"/>
        <v>NO</v>
      </c>
      <c r="AC720" s="22" t="str">
        <f t="shared" si="165"/>
        <v>NO</v>
      </c>
      <c r="AD720" s="22" t="str">
        <f t="shared" si="165"/>
        <v>NO</v>
      </c>
      <c r="AE720" s="22" t="str">
        <f t="shared" si="165"/>
        <v>NO</v>
      </c>
      <c r="AF720" s="22" t="str">
        <f t="shared" si="165"/>
        <v>NO</v>
      </c>
      <c r="AG720" s="22" t="str">
        <f t="shared" si="165"/>
        <v>NO</v>
      </c>
      <c r="AH720" s="22" t="str">
        <f t="shared" si="165"/>
        <v>NO</v>
      </c>
      <c r="AI720" s="22" t="str">
        <f t="shared" si="165"/>
        <v>NO</v>
      </c>
      <c r="AJ720" s="22" t="str">
        <f t="shared" si="165"/>
        <v>NO</v>
      </c>
      <c r="AK720" s="22" t="str">
        <f t="shared" si="165"/>
        <v>NO</v>
      </c>
      <c r="AL720" s="22" t="str">
        <f t="shared" si="165"/>
        <v>NO</v>
      </c>
      <c r="AM720" s="22" t="str">
        <f t="shared" si="165"/>
        <v>NO</v>
      </c>
      <c r="AN720" s="22" t="str">
        <f t="shared" si="165"/>
        <v>NO</v>
      </c>
      <c r="AO720" s="22" t="str">
        <f t="shared" si="165"/>
        <v>NO</v>
      </c>
      <c r="AP720" s="22" t="str">
        <f t="shared" si="165"/>
        <v>NO</v>
      </c>
      <c r="AQ720" s="22" t="str">
        <f t="shared" si="165"/>
        <v>NO</v>
      </c>
      <c r="AR720" s="22" t="str">
        <f t="shared" si="165"/>
        <v>NO</v>
      </c>
      <c r="AS720" s="22" t="str">
        <f t="shared" si="165"/>
        <v>NO</v>
      </c>
      <c r="AT720" s="22" t="str">
        <f t="shared" si="165"/>
        <v>NO</v>
      </c>
      <c r="AU720" s="22" t="str">
        <f t="shared" si="165"/>
        <v>NO</v>
      </c>
      <c r="AV720" s="22" t="str">
        <f t="shared" si="165"/>
        <v>NO</v>
      </c>
      <c r="AW720" s="22" t="str">
        <f t="shared" si="165"/>
        <v>NO</v>
      </c>
      <c r="AY720" s="85"/>
      <c r="AZ720" s="85"/>
    </row>
    <row r="721" spans="1:52" x14ac:dyDescent="0.25">
      <c r="A721" s="102" t="str">
        <f t="shared" si="149"/>
        <v>NI Leaching</v>
      </c>
      <c r="B721" s="102" t="s">
        <v>970</v>
      </c>
      <c r="C721" s="102" t="s">
        <v>1191</v>
      </c>
      <c r="D721" t="s">
        <v>369</v>
      </c>
      <c r="E721" t="s">
        <v>61</v>
      </c>
      <c r="F721" t="s">
        <v>63</v>
      </c>
      <c r="G721" t="s">
        <v>1196</v>
      </c>
      <c r="H721" t="s">
        <v>1197</v>
      </c>
      <c r="I721" t="s">
        <v>139</v>
      </c>
      <c r="J721" t="s">
        <v>287</v>
      </c>
      <c r="K721" s="22" t="str">
        <f t="shared" si="167"/>
        <v>NO</v>
      </c>
      <c r="L721" s="22" t="str">
        <f t="shared" si="165"/>
        <v>NO</v>
      </c>
      <c r="M721" s="22" t="str">
        <f t="shared" si="165"/>
        <v>NO</v>
      </c>
      <c r="N721" s="22" t="str">
        <f t="shared" si="165"/>
        <v>NO</v>
      </c>
      <c r="O721" s="22" t="str">
        <f t="shared" si="165"/>
        <v>NO</v>
      </c>
      <c r="P721" s="22" t="str">
        <f t="shared" si="165"/>
        <v>NO</v>
      </c>
      <c r="Q721" s="22" t="str">
        <f t="shared" si="165"/>
        <v>NO</v>
      </c>
      <c r="R721" s="22" t="str">
        <f t="shared" si="165"/>
        <v>NO</v>
      </c>
      <c r="S721" s="22" t="str">
        <f t="shared" si="165"/>
        <v>NO</v>
      </c>
      <c r="T721" s="22" t="str">
        <f t="shared" si="165"/>
        <v>NO</v>
      </c>
      <c r="U721" s="22" t="str">
        <f t="shared" si="165"/>
        <v>NO</v>
      </c>
      <c r="V721" s="22" t="str">
        <f t="shared" si="165"/>
        <v>NO</v>
      </c>
      <c r="W721" s="22" t="str">
        <f t="shared" si="165"/>
        <v>NO</v>
      </c>
      <c r="X721" s="22" t="str">
        <f t="shared" si="165"/>
        <v>NO</v>
      </c>
      <c r="Y721" s="22" t="str">
        <f t="shared" si="165"/>
        <v>NO</v>
      </c>
      <c r="Z721" s="22" t="str">
        <f t="shared" si="165"/>
        <v>NO</v>
      </c>
      <c r="AA721" s="22" t="str">
        <f t="shared" si="165"/>
        <v>NO</v>
      </c>
      <c r="AB721" s="22" t="str">
        <f t="shared" si="165"/>
        <v>NO</v>
      </c>
      <c r="AC721" s="22" t="str">
        <f t="shared" si="165"/>
        <v>NO</v>
      </c>
      <c r="AD721" s="22" t="str">
        <f t="shared" si="165"/>
        <v>NO</v>
      </c>
      <c r="AE721" s="22" t="str">
        <f t="shared" si="165"/>
        <v>NO</v>
      </c>
      <c r="AF721" s="22" t="str">
        <f t="shared" si="165"/>
        <v>NO</v>
      </c>
      <c r="AG721" s="22" t="str">
        <f t="shared" si="165"/>
        <v>NO</v>
      </c>
      <c r="AH721" s="22" t="str">
        <f t="shared" si="165"/>
        <v>NO</v>
      </c>
      <c r="AI721" s="22" t="str">
        <f t="shared" si="165"/>
        <v>NO</v>
      </c>
      <c r="AJ721" s="22" t="str">
        <f t="shared" si="165"/>
        <v>NO</v>
      </c>
      <c r="AK721" s="22" t="str">
        <f t="shared" si="165"/>
        <v>NO</v>
      </c>
      <c r="AL721" s="22" t="str">
        <f t="shared" si="165"/>
        <v>NO</v>
      </c>
      <c r="AM721" s="22" t="str">
        <f t="shared" si="165"/>
        <v>NO</v>
      </c>
      <c r="AN721" s="22" t="str">
        <f t="shared" si="165"/>
        <v>NO</v>
      </c>
      <c r="AO721" s="22" t="str">
        <f t="shared" si="165"/>
        <v>NO</v>
      </c>
      <c r="AP721" s="22" t="str">
        <f t="shared" si="165"/>
        <v>NO</v>
      </c>
      <c r="AQ721" s="22" t="str">
        <f t="shared" si="165"/>
        <v>NO</v>
      </c>
      <c r="AR721" s="22" t="str">
        <f t="shared" si="165"/>
        <v>NO</v>
      </c>
      <c r="AS721" s="22" t="str">
        <f t="shared" si="165"/>
        <v>NO</v>
      </c>
      <c r="AT721" s="22" t="str">
        <f t="shared" si="165"/>
        <v>NO</v>
      </c>
      <c r="AU721" s="22" t="str">
        <f t="shared" si="165"/>
        <v>NO</v>
      </c>
      <c r="AV721" s="22" t="str">
        <f t="shared" si="165"/>
        <v>NO</v>
      </c>
      <c r="AW721" s="22" t="str">
        <f t="shared" si="165"/>
        <v>NO</v>
      </c>
      <c r="AY721" s="85"/>
      <c r="AZ721" s="85"/>
    </row>
    <row r="722" spans="1:52" x14ac:dyDescent="0.25">
      <c r="A722" s="102" t="str">
        <f t="shared" si="149"/>
        <v>NI Leaching</v>
      </c>
      <c r="B722" s="102" t="s">
        <v>970</v>
      </c>
      <c r="C722" s="102" t="s">
        <v>1191</v>
      </c>
      <c r="D722" t="s">
        <v>369</v>
      </c>
      <c r="E722" t="s">
        <v>61</v>
      </c>
      <c r="F722" t="s">
        <v>63</v>
      </c>
      <c r="G722" t="s">
        <v>1198</v>
      </c>
      <c r="H722" t="s">
        <v>1199</v>
      </c>
      <c r="I722" t="s">
        <v>139</v>
      </c>
      <c r="J722" t="s">
        <v>287</v>
      </c>
      <c r="K722" s="22">
        <f t="shared" si="167"/>
        <v>1.1867590793806392E-4</v>
      </c>
      <c r="L722" s="22">
        <f t="shared" si="165"/>
        <v>1.1853617037070301E-4</v>
      </c>
      <c r="M722" s="22">
        <f t="shared" si="165"/>
        <v>1.1839643280334203E-4</v>
      </c>
      <c r="N722" s="22">
        <f t="shared" si="165"/>
        <v>1.1825669523598106E-4</v>
      </c>
      <c r="O722" s="22">
        <f t="shared" si="165"/>
        <v>1.1811695766862012E-4</v>
      </c>
      <c r="P722" s="22">
        <f t="shared" si="165"/>
        <v>1.1797722010125916E-4</v>
      </c>
      <c r="Q722" s="22">
        <f t="shared" si="165"/>
        <v>1.178374825338982E-4</v>
      </c>
      <c r="R722" s="22">
        <f t="shared" si="165"/>
        <v>1.1769774496653728E-4</v>
      </c>
      <c r="S722" s="22">
        <f t="shared" si="165"/>
        <v>1.1755800739917633E-4</v>
      </c>
      <c r="T722" s="22">
        <f t="shared" si="165"/>
        <v>1.174182698318154E-4</v>
      </c>
      <c r="U722" s="22">
        <f t="shared" si="165"/>
        <v>1.1727853226445441E-4</v>
      </c>
      <c r="V722" s="22">
        <f t="shared" si="165"/>
        <v>1.1713879469709348E-4</v>
      </c>
      <c r="W722" s="22">
        <f t="shared" si="165"/>
        <v>1.1699905712973254E-4</v>
      </c>
      <c r="X722" s="22">
        <f t="shared" si="165"/>
        <v>1.168593195623716E-4</v>
      </c>
      <c r="Y722" s="22">
        <f t="shared" si="165"/>
        <v>1.1671958199501069E-4</v>
      </c>
      <c r="Z722" s="22">
        <f t="shared" si="165"/>
        <v>1.1657984442764968E-4</v>
      </c>
      <c r="AA722" s="22">
        <f t="shared" si="165"/>
        <v>1.1644010686028878E-4</v>
      </c>
      <c r="AB722" s="22">
        <f t="shared" si="165"/>
        <v>1.1630036929292779E-4</v>
      </c>
      <c r="AC722" s="22">
        <f t="shared" si="165"/>
        <v>1.1616063172556689E-4</v>
      </c>
      <c r="AD722" s="22">
        <f t="shared" si="165"/>
        <v>1.1602089415820588E-4</v>
      </c>
      <c r="AE722" s="22">
        <f t="shared" si="165"/>
        <v>1.1588115659084502E-4</v>
      </c>
      <c r="AF722" s="22">
        <f t="shared" si="165"/>
        <v>1.1574141902348403E-4</v>
      </c>
      <c r="AG722" s="22">
        <f t="shared" si="165"/>
        <v>1.1560168145612309E-4</v>
      </c>
      <c r="AH722" s="22">
        <f t="shared" si="165"/>
        <v>1.154619438887621E-4</v>
      </c>
      <c r="AI722" s="22">
        <f t="shared" si="165"/>
        <v>1.1532220632140118E-4</v>
      </c>
      <c r="AJ722" s="22">
        <f t="shared" si="165"/>
        <v>1.1518246875404022E-4</v>
      </c>
      <c r="AK722" s="22">
        <f t="shared" si="165"/>
        <v>1.1504273118667928E-4</v>
      </c>
      <c r="AL722" s="22">
        <f t="shared" si="165"/>
        <v>1.1490299361931835E-4</v>
      </c>
      <c r="AM722" s="22">
        <f t="shared" si="165"/>
        <v>1.1476325605195744E-4</v>
      </c>
      <c r="AN722" s="22">
        <f t="shared" si="165"/>
        <v>1.1462351848459642E-4</v>
      </c>
      <c r="AO722" s="22">
        <f t="shared" si="165"/>
        <v>1.1448378091723552E-4</v>
      </c>
      <c r="AP722" s="22">
        <f t="shared" si="165"/>
        <v>1.1434404334987458E-4</v>
      </c>
      <c r="AQ722" s="22">
        <f t="shared" si="165"/>
        <v>1.1420430578251366E-4</v>
      </c>
      <c r="AR722" s="22">
        <f t="shared" si="165"/>
        <v>1.1406456821515268E-4</v>
      </c>
      <c r="AS722" s="22">
        <f t="shared" si="165"/>
        <v>1.1392483064779174E-4</v>
      </c>
      <c r="AT722" s="22">
        <f t="shared" si="165"/>
        <v>1.1378509308043078E-4</v>
      </c>
      <c r="AU722" s="22">
        <f t="shared" si="165"/>
        <v>1.136453555130698E-4</v>
      </c>
      <c r="AV722" s="22">
        <f t="shared" si="165"/>
        <v>1.1350561794570888E-4</v>
      </c>
      <c r="AW722" s="22">
        <f t="shared" si="165"/>
        <v>1.1336588037834792E-4</v>
      </c>
      <c r="AY722" s="85"/>
      <c r="AZ722" s="85"/>
    </row>
    <row r="723" spans="1:52" x14ac:dyDescent="0.25">
      <c r="A723" s="102" t="str">
        <f t="shared" si="149"/>
        <v>NI Leaching</v>
      </c>
      <c r="B723" s="102" t="s">
        <v>970</v>
      </c>
      <c r="C723" s="102" t="s">
        <v>1191</v>
      </c>
      <c r="D723" t="s">
        <v>369</v>
      </c>
      <c r="E723" t="s">
        <v>61</v>
      </c>
      <c r="F723" t="s">
        <v>63</v>
      </c>
      <c r="G723" t="s">
        <v>1200</v>
      </c>
      <c r="H723" t="s">
        <v>1201</v>
      </c>
      <c r="I723" t="s">
        <v>139</v>
      </c>
      <c r="J723" t="s">
        <v>287</v>
      </c>
      <c r="K723" s="22">
        <f t="shared" si="167"/>
        <v>1.6912231388729011E-2</v>
      </c>
      <c r="L723" s="22">
        <f t="shared" si="165"/>
        <v>1.6951420148247919E-2</v>
      </c>
      <c r="M723" s="22">
        <f t="shared" si="165"/>
        <v>1.6990608907766828E-2</v>
      </c>
      <c r="N723" s="22">
        <f t="shared" si="165"/>
        <v>1.702979766728574E-2</v>
      </c>
      <c r="O723" s="22">
        <f t="shared" si="165"/>
        <v>1.7068986426804648E-2</v>
      </c>
      <c r="P723" s="22">
        <f t="shared" si="165"/>
        <v>1.7108175186323554E-2</v>
      </c>
      <c r="Q723" s="22">
        <f t="shared" si="165"/>
        <v>1.7147363945842466E-2</v>
      </c>
      <c r="R723" s="22">
        <f t="shared" si="165"/>
        <v>1.7186552705361371E-2</v>
      </c>
      <c r="S723" s="22">
        <f t="shared" si="165"/>
        <v>1.7225741464880276E-2</v>
      </c>
      <c r="T723" s="22">
        <f t="shared" si="165"/>
        <v>1.7264930224399191E-2</v>
      </c>
      <c r="U723" s="22">
        <f t="shared" si="165"/>
        <v>1.7304118983918097E-2</v>
      </c>
      <c r="V723" s="22">
        <f t="shared" si="165"/>
        <v>1.7343307743437009E-2</v>
      </c>
      <c r="W723" s="22">
        <f t="shared" si="165"/>
        <v>1.7382496502955917E-2</v>
      </c>
      <c r="X723" s="22">
        <f t="shared" si="165"/>
        <v>1.7421685262474829E-2</v>
      </c>
      <c r="Y723" s="22">
        <f t="shared" si="165"/>
        <v>1.7460874021993734E-2</v>
      </c>
      <c r="Z723" s="22">
        <f t="shared" si="165"/>
        <v>1.750006278151265E-2</v>
      </c>
      <c r="AA723" s="22">
        <f t="shared" si="165"/>
        <v>1.7539251541031548E-2</v>
      </c>
      <c r="AB723" s="22">
        <f t="shared" si="165"/>
        <v>1.7578440300550464E-2</v>
      </c>
      <c r="AC723" s="22">
        <f t="shared" si="165"/>
        <v>1.7617629060069376E-2</v>
      </c>
      <c r="AD723" s="22">
        <f t="shared" si="165"/>
        <v>1.7656817819588281E-2</v>
      </c>
      <c r="AE723" s="22">
        <f t="shared" si="165"/>
        <v>1.769600657910719E-2</v>
      </c>
      <c r="AF723" s="22">
        <f t="shared" si="165"/>
        <v>1.7735195338626102E-2</v>
      </c>
      <c r="AG723" s="22">
        <f t="shared" si="165"/>
        <v>1.777438409814501E-2</v>
      </c>
      <c r="AH723" s="22">
        <f t="shared" si="165"/>
        <v>1.7813572857663919E-2</v>
      </c>
      <c r="AI723" s="22">
        <f t="shared" si="165"/>
        <v>1.7852761617182831E-2</v>
      </c>
      <c r="AJ723" s="22">
        <f t="shared" si="165"/>
        <v>1.7891950376701736E-2</v>
      </c>
      <c r="AK723" s="22">
        <f t="shared" si="165"/>
        <v>1.7931139136220645E-2</v>
      </c>
      <c r="AL723" s="22">
        <f t="shared" si="165"/>
        <v>1.7970327895739557E-2</v>
      </c>
      <c r="AM723" s="22">
        <f t="shared" si="165"/>
        <v>1.8009516655258465E-2</v>
      </c>
      <c r="AN723" s="22">
        <f t="shared" si="165"/>
        <v>1.8048705414777374E-2</v>
      </c>
      <c r="AO723" s="22">
        <f t="shared" si="165"/>
        <v>1.8087894174296286E-2</v>
      </c>
      <c r="AP723" s="22">
        <f t="shared" si="165"/>
        <v>1.8127082933815188E-2</v>
      </c>
      <c r="AQ723" s="22">
        <f t="shared" si="165"/>
        <v>1.8166271693334096E-2</v>
      </c>
      <c r="AR723" s="22">
        <f t="shared" si="165"/>
        <v>1.8205460452853015E-2</v>
      </c>
      <c r="AS723" s="22">
        <f t="shared" si="165"/>
        <v>1.8244649212371917E-2</v>
      </c>
      <c r="AT723" s="22">
        <f t="shared" si="165"/>
        <v>1.8283837971890825E-2</v>
      </c>
      <c r="AU723" s="22">
        <f t="shared" si="165"/>
        <v>1.8323026731409734E-2</v>
      </c>
      <c r="AV723" s="22">
        <f t="shared" si="165"/>
        <v>1.8362215490928643E-2</v>
      </c>
      <c r="AW723" s="22">
        <f t="shared" si="165"/>
        <v>1.8401404250447555E-2</v>
      </c>
      <c r="AY723" s="85"/>
      <c r="AZ723" s="85"/>
    </row>
    <row r="724" spans="1:52" x14ac:dyDescent="0.25">
      <c r="A724" s="102" t="str">
        <f t="shared" si="149"/>
        <v>NI Leaching</v>
      </c>
      <c r="B724" s="102" t="s">
        <v>970</v>
      </c>
      <c r="C724" s="102" t="s">
        <v>1191</v>
      </c>
      <c r="D724" t="s">
        <v>369</v>
      </c>
      <c r="E724" t="s">
        <v>61</v>
      </c>
      <c r="F724" t="s">
        <v>63</v>
      </c>
      <c r="G724" t="s">
        <v>1202</v>
      </c>
      <c r="H724" t="s">
        <v>1203</v>
      </c>
      <c r="I724" t="s">
        <v>139</v>
      </c>
      <c r="J724" t="s">
        <v>287</v>
      </c>
      <c r="K724" s="22">
        <f t="shared" si="167"/>
        <v>1.9871041213735664E-2</v>
      </c>
      <c r="L724" s="22">
        <f t="shared" si="165"/>
        <v>1.9871041213735664E-2</v>
      </c>
      <c r="M724" s="22">
        <f t="shared" si="165"/>
        <v>1.9871041213735664E-2</v>
      </c>
      <c r="N724" s="22">
        <f t="shared" si="165"/>
        <v>1.9871041213735664E-2</v>
      </c>
      <c r="O724" s="22">
        <f t="shared" si="165"/>
        <v>1.9871041213735664E-2</v>
      </c>
      <c r="P724" s="22">
        <f t="shared" si="165"/>
        <v>1.9871041213735664E-2</v>
      </c>
      <c r="Q724" s="22">
        <f t="shared" si="165"/>
        <v>1.9871041213735664E-2</v>
      </c>
      <c r="R724" s="22">
        <f t="shared" si="165"/>
        <v>1.9871041213735664E-2</v>
      </c>
      <c r="S724" s="22">
        <f t="shared" si="165"/>
        <v>1.9871041213735664E-2</v>
      </c>
      <c r="T724" s="22">
        <f t="shared" si="165"/>
        <v>1.9871041213735664E-2</v>
      </c>
      <c r="U724" s="22">
        <f t="shared" si="165"/>
        <v>1.9871041213735664E-2</v>
      </c>
      <c r="V724" s="22">
        <f t="shared" si="165"/>
        <v>1.9871041213735664E-2</v>
      </c>
      <c r="W724" s="22">
        <f t="shared" si="165"/>
        <v>1.9871041213735664E-2</v>
      </c>
      <c r="X724" s="22">
        <f t="shared" si="165"/>
        <v>1.9871041213735664E-2</v>
      </c>
      <c r="Y724" s="22">
        <f t="shared" si="165"/>
        <v>1.9871041213735664E-2</v>
      </c>
      <c r="Z724" s="22">
        <f t="shared" si="165"/>
        <v>1.9871041213735664E-2</v>
      </c>
      <c r="AA724" s="22">
        <f t="shared" si="165"/>
        <v>1.9871041213735664E-2</v>
      </c>
      <c r="AB724" s="22">
        <f t="shared" si="165"/>
        <v>1.9871041213735664E-2</v>
      </c>
      <c r="AC724" s="22">
        <f t="shared" si="165"/>
        <v>1.9871041213735664E-2</v>
      </c>
      <c r="AD724" s="22">
        <f t="shared" si="165"/>
        <v>1.9871041213735664E-2</v>
      </c>
      <c r="AE724" s="22">
        <f t="shared" si="165"/>
        <v>1.9871041213735664E-2</v>
      </c>
      <c r="AF724" s="22">
        <f t="shared" si="165"/>
        <v>1.9871041213735664E-2</v>
      </c>
      <c r="AG724" s="22">
        <f t="shared" si="165"/>
        <v>1.9871041213735664E-2</v>
      </c>
      <c r="AH724" s="22">
        <f t="shared" si="165"/>
        <v>1.9871041213735664E-2</v>
      </c>
      <c r="AI724" s="22">
        <f t="shared" si="165"/>
        <v>1.9871041213735664E-2</v>
      </c>
      <c r="AJ724" s="22">
        <f t="shared" si="165"/>
        <v>1.9871041213735664E-2</v>
      </c>
      <c r="AK724" s="22">
        <f t="shared" si="165"/>
        <v>1.9871041213735664E-2</v>
      </c>
      <c r="AL724" s="22">
        <f t="shared" si="165"/>
        <v>1.9871041213735664E-2</v>
      </c>
      <c r="AM724" s="22">
        <f t="shared" si="165"/>
        <v>1.9871041213735664E-2</v>
      </c>
      <c r="AN724" s="22">
        <f t="shared" si="165"/>
        <v>1.9871041213735664E-2</v>
      </c>
      <c r="AO724" s="22">
        <f t="shared" si="165"/>
        <v>1.9871041213735664E-2</v>
      </c>
      <c r="AP724" s="22">
        <f t="shared" si="165"/>
        <v>1.9871041213735664E-2</v>
      </c>
      <c r="AQ724" s="22">
        <f t="shared" si="165"/>
        <v>1.9871041213735664E-2</v>
      </c>
      <c r="AR724" s="22">
        <f t="shared" si="165"/>
        <v>1.9871041213735664E-2</v>
      </c>
      <c r="AS724" s="22">
        <f t="shared" si="165"/>
        <v>1.9871041213735664E-2</v>
      </c>
      <c r="AT724" s="22">
        <f t="shared" si="165"/>
        <v>1.9871041213735664E-2</v>
      </c>
      <c r="AU724" s="22">
        <f t="shared" si="165"/>
        <v>1.9871041213735664E-2</v>
      </c>
      <c r="AV724" s="22">
        <f t="shared" si="165"/>
        <v>1.9871041213735664E-2</v>
      </c>
      <c r="AW724" s="22">
        <f t="shared" si="165"/>
        <v>1.9871041213735664E-2</v>
      </c>
      <c r="AY724" s="85"/>
      <c r="AZ724" s="85"/>
    </row>
    <row r="725" spans="1:52" x14ac:dyDescent="0.25">
      <c r="A725" s="102" t="str">
        <f t="shared" si="149"/>
        <v>NI Leaching</v>
      </c>
      <c r="B725" s="102" t="s">
        <v>970</v>
      </c>
      <c r="C725" s="102" t="s">
        <v>1191</v>
      </c>
      <c r="D725" t="s">
        <v>369</v>
      </c>
      <c r="E725" t="s">
        <v>61</v>
      </c>
      <c r="F725" t="s">
        <v>63</v>
      </c>
      <c r="G725" t="s">
        <v>1204</v>
      </c>
      <c r="H725" t="s">
        <v>1205</v>
      </c>
      <c r="I725" t="s">
        <v>139</v>
      </c>
      <c r="J725" t="s">
        <v>287</v>
      </c>
      <c r="K725" s="22" t="str">
        <f t="shared" si="167"/>
        <v>NO</v>
      </c>
      <c r="L725" s="22" t="str">
        <f t="shared" si="165"/>
        <v>NO</v>
      </c>
      <c r="M725" s="22" t="str">
        <f t="shared" si="165"/>
        <v>NO</v>
      </c>
      <c r="N725" s="22" t="str">
        <f t="shared" si="165"/>
        <v>NO</v>
      </c>
      <c r="O725" s="22" t="str">
        <f t="shared" si="165"/>
        <v>NO</v>
      </c>
      <c r="P725" s="22" t="str">
        <f t="shared" ref="P725:AW725" si="168">P1524</f>
        <v>NO</v>
      </c>
      <c r="Q725" s="22" t="str">
        <f t="shared" si="168"/>
        <v>NO</v>
      </c>
      <c r="R725" s="22" t="str">
        <f t="shared" si="168"/>
        <v>NO</v>
      </c>
      <c r="S725" s="22" t="str">
        <f t="shared" si="168"/>
        <v>NO</v>
      </c>
      <c r="T725" s="22" t="str">
        <f t="shared" si="168"/>
        <v>NO</v>
      </c>
      <c r="U725" s="22" t="str">
        <f t="shared" si="168"/>
        <v>NO</v>
      </c>
      <c r="V725" s="22" t="str">
        <f t="shared" si="168"/>
        <v>NO</v>
      </c>
      <c r="W725" s="22" t="str">
        <f t="shared" si="168"/>
        <v>NO</v>
      </c>
      <c r="X725" s="22" t="str">
        <f t="shared" si="168"/>
        <v>NO</v>
      </c>
      <c r="Y725" s="22" t="str">
        <f t="shared" si="168"/>
        <v>NO</v>
      </c>
      <c r="Z725" s="22" t="str">
        <f t="shared" si="168"/>
        <v>NO</v>
      </c>
      <c r="AA725" s="22" t="str">
        <f t="shared" si="168"/>
        <v>NO</v>
      </c>
      <c r="AB725" s="22" t="str">
        <f t="shared" si="168"/>
        <v>NO</v>
      </c>
      <c r="AC725" s="22" t="str">
        <f t="shared" si="168"/>
        <v>NO</v>
      </c>
      <c r="AD725" s="22" t="str">
        <f t="shared" si="168"/>
        <v>NO</v>
      </c>
      <c r="AE725" s="22" t="str">
        <f t="shared" si="168"/>
        <v>NO</v>
      </c>
      <c r="AF725" s="22" t="str">
        <f t="shared" si="168"/>
        <v>NO</v>
      </c>
      <c r="AG725" s="22" t="str">
        <f t="shared" si="168"/>
        <v>NO</v>
      </c>
      <c r="AH725" s="22" t="str">
        <f t="shared" si="168"/>
        <v>NO</v>
      </c>
      <c r="AI725" s="22" t="str">
        <f t="shared" si="168"/>
        <v>NO</v>
      </c>
      <c r="AJ725" s="22" t="str">
        <f t="shared" si="168"/>
        <v>NO</v>
      </c>
      <c r="AK725" s="22" t="str">
        <f t="shared" si="168"/>
        <v>NO</v>
      </c>
      <c r="AL725" s="22" t="str">
        <f t="shared" si="168"/>
        <v>NO</v>
      </c>
      <c r="AM725" s="22" t="str">
        <f t="shared" si="168"/>
        <v>NO</v>
      </c>
      <c r="AN725" s="22" t="str">
        <f t="shared" si="168"/>
        <v>NO</v>
      </c>
      <c r="AO725" s="22" t="str">
        <f t="shared" si="168"/>
        <v>NO</v>
      </c>
      <c r="AP725" s="22" t="str">
        <f t="shared" si="168"/>
        <v>NO</v>
      </c>
      <c r="AQ725" s="22" t="str">
        <f t="shared" si="168"/>
        <v>NO</v>
      </c>
      <c r="AR725" s="22" t="str">
        <f t="shared" si="168"/>
        <v>NO</v>
      </c>
      <c r="AS725" s="22" t="str">
        <f t="shared" si="168"/>
        <v>NO</v>
      </c>
      <c r="AT725" s="22" t="str">
        <f t="shared" si="168"/>
        <v>NO</v>
      </c>
      <c r="AU725" s="22" t="str">
        <f t="shared" si="168"/>
        <v>NO</v>
      </c>
      <c r="AV725" s="22" t="str">
        <f t="shared" si="168"/>
        <v>NO</v>
      </c>
      <c r="AW725" s="22" t="str">
        <f t="shared" si="168"/>
        <v>NO</v>
      </c>
      <c r="AY725" s="85"/>
      <c r="AZ725" s="85"/>
    </row>
    <row r="726" spans="1:52" x14ac:dyDescent="0.25">
      <c r="A726" s="102" t="str">
        <f t="shared" si="149"/>
        <v>NI Leaching</v>
      </c>
      <c r="B726" s="102" t="s">
        <v>970</v>
      </c>
      <c r="C726" s="102" t="s">
        <v>1191</v>
      </c>
      <c r="D726" t="s">
        <v>369</v>
      </c>
      <c r="E726" t="s">
        <v>61</v>
      </c>
      <c r="F726" t="s">
        <v>63</v>
      </c>
      <c r="G726" t="s">
        <v>1206</v>
      </c>
      <c r="H726" t="s">
        <v>1207</v>
      </c>
      <c r="I726" t="s">
        <v>139</v>
      </c>
      <c r="J726" t="s">
        <v>287</v>
      </c>
      <c r="K726" s="22" t="str">
        <f t="shared" si="167"/>
        <v>NO</v>
      </c>
      <c r="L726" s="22" t="str">
        <f t="shared" ref="L726:O730" si="169">L1525</f>
        <v>NO</v>
      </c>
      <c r="M726" s="22" t="str">
        <f t="shared" si="169"/>
        <v>NO</v>
      </c>
      <c r="N726" s="22" t="str">
        <f t="shared" si="169"/>
        <v>NO</v>
      </c>
      <c r="O726" s="22" t="str">
        <f t="shared" si="169"/>
        <v>NO</v>
      </c>
      <c r="P726" s="22" t="str">
        <f t="shared" ref="P726:AW726" si="170">P1525</f>
        <v>NO</v>
      </c>
      <c r="Q726" s="22" t="str">
        <f t="shared" si="170"/>
        <v>NO</v>
      </c>
      <c r="R726" s="22" t="str">
        <f t="shared" si="170"/>
        <v>NO</v>
      </c>
      <c r="S726" s="22" t="str">
        <f t="shared" si="170"/>
        <v>NO</v>
      </c>
      <c r="T726" s="22" t="str">
        <f t="shared" si="170"/>
        <v>NO</v>
      </c>
      <c r="U726" s="22" t="str">
        <f t="shared" si="170"/>
        <v>NO</v>
      </c>
      <c r="V726" s="22" t="str">
        <f t="shared" si="170"/>
        <v>NO</v>
      </c>
      <c r="W726" s="22" t="str">
        <f t="shared" si="170"/>
        <v>NO</v>
      </c>
      <c r="X726" s="22" t="str">
        <f t="shared" si="170"/>
        <v>NO</v>
      </c>
      <c r="Y726" s="22" t="str">
        <f t="shared" si="170"/>
        <v>NO</v>
      </c>
      <c r="Z726" s="22" t="str">
        <f t="shared" si="170"/>
        <v>NO</v>
      </c>
      <c r="AA726" s="22" t="str">
        <f t="shared" si="170"/>
        <v>NO</v>
      </c>
      <c r="AB726" s="22" t="str">
        <f t="shared" si="170"/>
        <v>NO</v>
      </c>
      <c r="AC726" s="22" t="str">
        <f t="shared" si="170"/>
        <v>NO</v>
      </c>
      <c r="AD726" s="22" t="str">
        <f t="shared" si="170"/>
        <v>NO</v>
      </c>
      <c r="AE726" s="22" t="str">
        <f t="shared" si="170"/>
        <v>NO</v>
      </c>
      <c r="AF726" s="22" t="str">
        <f t="shared" si="170"/>
        <v>NO</v>
      </c>
      <c r="AG726" s="22" t="str">
        <f t="shared" si="170"/>
        <v>NO</v>
      </c>
      <c r="AH726" s="22" t="str">
        <f t="shared" si="170"/>
        <v>NO</v>
      </c>
      <c r="AI726" s="22" t="str">
        <f t="shared" si="170"/>
        <v>NO</v>
      </c>
      <c r="AJ726" s="22" t="str">
        <f t="shared" si="170"/>
        <v>NO</v>
      </c>
      <c r="AK726" s="22" t="str">
        <f t="shared" si="170"/>
        <v>NO</v>
      </c>
      <c r="AL726" s="22" t="str">
        <f t="shared" si="170"/>
        <v>NO</v>
      </c>
      <c r="AM726" s="22" t="str">
        <f t="shared" si="170"/>
        <v>NO</v>
      </c>
      <c r="AN726" s="22" t="str">
        <f t="shared" si="170"/>
        <v>NO</v>
      </c>
      <c r="AO726" s="22" t="str">
        <f t="shared" si="170"/>
        <v>NO</v>
      </c>
      <c r="AP726" s="22" t="str">
        <f t="shared" si="170"/>
        <v>NO</v>
      </c>
      <c r="AQ726" s="22" t="str">
        <f t="shared" si="170"/>
        <v>NO</v>
      </c>
      <c r="AR726" s="22" t="str">
        <f t="shared" si="170"/>
        <v>NO</v>
      </c>
      <c r="AS726" s="22" t="str">
        <f t="shared" si="170"/>
        <v>NO</v>
      </c>
      <c r="AT726" s="22" t="str">
        <f t="shared" si="170"/>
        <v>NO</v>
      </c>
      <c r="AU726" s="22" t="str">
        <f t="shared" si="170"/>
        <v>NO</v>
      </c>
      <c r="AV726" s="22" t="str">
        <f t="shared" si="170"/>
        <v>NO</v>
      </c>
      <c r="AW726" s="22" t="str">
        <f t="shared" si="170"/>
        <v>NO</v>
      </c>
      <c r="AY726" s="85"/>
      <c r="AZ726" s="85"/>
    </row>
    <row r="727" spans="1:52" x14ac:dyDescent="0.25">
      <c r="A727" s="102" t="str">
        <f t="shared" si="149"/>
        <v>NI Leaching</v>
      </c>
      <c r="B727" s="102" t="s">
        <v>970</v>
      </c>
      <c r="C727" s="102" t="s">
        <v>1191</v>
      </c>
      <c r="D727" t="s">
        <v>369</v>
      </c>
      <c r="E727" t="s">
        <v>61</v>
      </c>
      <c r="F727" t="s">
        <v>63</v>
      </c>
      <c r="G727" t="s">
        <v>1208</v>
      </c>
      <c r="H727" t="s">
        <v>1209</v>
      </c>
      <c r="I727" t="s">
        <v>139</v>
      </c>
      <c r="J727" t="s">
        <v>287</v>
      </c>
      <c r="K727" s="22" t="str">
        <f t="shared" si="167"/>
        <v>NO</v>
      </c>
      <c r="L727" s="22" t="str">
        <f t="shared" si="169"/>
        <v>NO</v>
      </c>
      <c r="M727" s="22" t="str">
        <f t="shared" si="169"/>
        <v>NO</v>
      </c>
      <c r="N727" s="22" t="str">
        <f t="shared" si="169"/>
        <v>NO</v>
      </c>
      <c r="O727" s="22" t="str">
        <f t="shared" si="169"/>
        <v>NO</v>
      </c>
      <c r="P727" s="22" t="str">
        <f t="shared" ref="P727:AW727" si="171">P1526</f>
        <v>NO</v>
      </c>
      <c r="Q727" s="22" t="str">
        <f t="shared" si="171"/>
        <v>NO</v>
      </c>
      <c r="R727" s="22" t="str">
        <f t="shared" si="171"/>
        <v>NO</v>
      </c>
      <c r="S727" s="22" t="str">
        <f t="shared" si="171"/>
        <v>NO</v>
      </c>
      <c r="T727" s="22" t="str">
        <f t="shared" si="171"/>
        <v>NO</v>
      </c>
      <c r="U727" s="22" t="str">
        <f t="shared" si="171"/>
        <v>NO</v>
      </c>
      <c r="V727" s="22" t="str">
        <f t="shared" si="171"/>
        <v>NO</v>
      </c>
      <c r="W727" s="22" t="str">
        <f t="shared" si="171"/>
        <v>NO</v>
      </c>
      <c r="X727" s="22" t="str">
        <f t="shared" si="171"/>
        <v>NO</v>
      </c>
      <c r="Y727" s="22" t="str">
        <f t="shared" si="171"/>
        <v>NO</v>
      </c>
      <c r="Z727" s="22" t="str">
        <f t="shared" si="171"/>
        <v>NO</v>
      </c>
      <c r="AA727" s="22" t="str">
        <f t="shared" si="171"/>
        <v>NO</v>
      </c>
      <c r="AB727" s="22" t="str">
        <f t="shared" si="171"/>
        <v>NO</v>
      </c>
      <c r="AC727" s="22" t="str">
        <f t="shared" si="171"/>
        <v>NO</v>
      </c>
      <c r="AD727" s="22" t="str">
        <f t="shared" si="171"/>
        <v>NO</v>
      </c>
      <c r="AE727" s="22" t="str">
        <f t="shared" si="171"/>
        <v>NO</v>
      </c>
      <c r="AF727" s="22" t="str">
        <f t="shared" si="171"/>
        <v>NO</v>
      </c>
      <c r="AG727" s="22" t="str">
        <f t="shared" si="171"/>
        <v>NO</v>
      </c>
      <c r="AH727" s="22" t="str">
        <f t="shared" si="171"/>
        <v>NO</v>
      </c>
      <c r="AI727" s="22" t="str">
        <f t="shared" si="171"/>
        <v>NO</v>
      </c>
      <c r="AJ727" s="22" t="str">
        <f t="shared" si="171"/>
        <v>NO</v>
      </c>
      <c r="AK727" s="22" t="str">
        <f t="shared" si="171"/>
        <v>NO</v>
      </c>
      <c r="AL727" s="22" t="str">
        <f t="shared" si="171"/>
        <v>NO</v>
      </c>
      <c r="AM727" s="22" t="str">
        <f t="shared" si="171"/>
        <v>NO</v>
      </c>
      <c r="AN727" s="22" t="str">
        <f t="shared" si="171"/>
        <v>NO</v>
      </c>
      <c r="AO727" s="22" t="str">
        <f t="shared" si="171"/>
        <v>NO</v>
      </c>
      <c r="AP727" s="22" t="str">
        <f t="shared" si="171"/>
        <v>NO</v>
      </c>
      <c r="AQ727" s="22" t="str">
        <f t="shared" si="171"/>
        <v>NO</v>
      </c>
      <c r="AR727" s="22" t="str">
        <f t="shared" si="171"/>
        <v>NO</v>
      </c>
      <c r="AS727" s="22" t="str">
        <f t="shared" si="171"/>
        <v>NO</v>
      </c>
      <c r="AT727" s="22" t="str">
        <f t="shared" si="171"/>
        <v>NO</v>
      </c>
      <c r="AU727" s="22" t="str">
        <f t="shared" si="171"/>
        <v>NO</v>
      </c>
      <c r="AV727" s="22" t="str">
        <f t="shared" si="171"/>
        <v>NO</v>
      </c>
      <c r="AW727" s="22" t="str">
        <f t="shared" si="171"/>
        <v>NO</v>
      </c>
      <c r="AY727" s="85"/>
      <c r="AZ727" s="85"/>
    </row>
    <row r="728" spans="1:52" x14ac:dyDescent="0.25">
      <c r="A728" s="102" t="str">
        <f t="shared" si="149"/>
        <v>NI Leaching</v>
      </c>
      <c r="B728" s="102" t="s">
        <v>970</v>
      </c>
      <c r="C728" s="102" t="s">
        <v>1191</v>
      </c>
      <c r="D728" t="s">
        <v>369</v>
      </c>
      <c r="E728" t="s">
        <v>61</v>
      </c>
      <c r="F728" t="s">
        <v>63</v>
      </c>
      <c r="G728" t="s">
        <v>1210</v>
      </c>
      <c r="H728" t="s">
        <v>1211</v>
      </c>
      <c r="I728" t="s">
        <v>139</v>
      </c>
      <c r="J728" t="s">
        <v>287</v>
      </c>
      <c r="K728" s="22">
        <f t="shared" si="167"/>
        <v>1.9333864620707719E-6</v>
      </c>
      <c r="L728" s="22">
        <f t="shared" si="169"/>
        <v>1.9333864620707719E-6</v>
      </c>
      <c r="M728" s="22">
        <f t="shared" si="169"/>
        <v>1.9333864620707719E-6</v>
      </c>
      <c r="N728" s="22">
        <f t="shared" si="169"/>
        <v>1.9333864620707719E-6</v>
      </c>
      <c r="O728" s="22">
        <f t="shared" si="169"/>
        <v>1.9333864620707719E-6</v>
      </c>
      <c r="P728" s="22">
        <f t="shared" ref="P728:AW728" si="172">P1527</f>
        <v>1.9333864620707719E-6</v>
      </c>
      <c r="Q728" s="22">
        <f t="shared" si="172"/>
        <v>1.9333864620707719E-6</v>
      </c>
      <c r="R728" s="22">
        <f t="shared" si="172"/>
        <v>1.9333864620707719E-6</v>
      </c>
      <c r="S728" s="22">
        <f t="shared" si="172"/>
        <v>1.9333864620707719E-6</v>
      </c>
      <c r="T728" s="22">
        <f t="shared" si="172"/>
        <v>1.9333864620707719E-6</v>
      </c>
      <c r="U728" s="22">
        <f t="shared" si="172"/>
        <v>1.9333864620707719E-6</v>
      </c>
      <c r="V728" s="22">
        <f t="shared" si="172"/>
        <v>1.9333864620707719E-6</v>
      </c>
      <c r="W728" s="22">
        <f t="shared" si="172"/>
        <v>1.9333864620707719E-6</v>
      </c>
      <c r="X728" s="22">
        <f t="shared" si="172"/>
        <v>1.9333864620707719E-6</v>
      </c>
      <c r="Y728" s="22">
        <f t="shared" si="172"/>
        <v>1.9333864620707719E-6</v>
      </c>
      <c r="Z728" s="22">
        <f t="shared" si="172"/>
        <v>1.9333864620707719E-6</v>
      </c>
      <c r="AA728" s="22">
        <f t="shared" si="172"/>
        <v>1.9333864620707719E-6</v>
      </c>
      <c r="AB728" s="22">
        <f t="shared" si="172"/>
        <v>1.9333864620707719E-6</v>
      </c>
      <c r="AC728" s="22">
        <f t="shared" si="172"/>
        <v>1.9333864620707719E-6</v>
      </c>
      <c r="AD728" s="22">
        <f t="shared" si="172"/>
        <v>1.9333864620707719E-6</v>
      </c>
      <c r="AE728" s="22">
        <f t="shared" si="172"/>
        <v>1.9333864620707719E-6</v>
      </c>
      <c r="AF728" s="22">
        <f t="shared" si="172"/>
        <v>1.9333864620707719E-6</v>
      </c>
      <c r="AG728" s="22">
        <f t="shared" si="172"/>
        <v>1.9333864620707719E-6</v>
      </c>
      <c r="AH728" s="22">
        <f t="shared" si="172"/>
        <v>1.9333864620707719E-6</v>
      </c>
      <c r="AI728" s="22">
        <f t="shared" si="172"/>
        <v>1.9333864620707719E-6</v>
      </c>
      <c r="AJ728" s="22">
        <f t="shared" si="172"/>
        <v>1.9333864620707719E-6</v>
      </c>
      <c r="AK728" s="22">
        <f t="shared" si="172"/>
        <v>1.9333864620707719E-6</v>
      </c>
      <c r="AL728" s="22">
        <f t="shared" si="172"/>
        <v>1.9333864620707719E-6</v>
      </c>
      <c r="AM728" s="22">
        <f t="shared" si="172"/>
        <v>1.9333864620707719E-6</v>
      </c>
      <c r="AN728" s="22">
        <f t="shared" si="172"/>
        <v>1.9333864620707719E-6</v>
      </c>
      <c r="AO728" s="22">
        <f t="shared" si="172"/>
        <v>1.9333864620707719E-6</v>
      </c>
      <c r="AP728" s="22">
        <f t="shared" si="172"/>
        <v>1.9333864620707719E-6</v>
      </c>
      <c r="AQ728" s="22">
        <f t="shared" si="172"/>
        <v>1.9333864620707719E-6</v>
      </c>
      <c r="AR728" s="22">
        <f t="shared" si="172"/>
        <v>1.9333864620707719E-6</v>
      </c>
      <c r="AS728" s="22">
        <f t="shared" si="172"/>
        <v>1.9333864620707719E-6</v>
      </c>
      <c r="AT728" s="22">
        <f t="shared" si="172"/>
        <v>1.9333864620707719E-6</v>
      </c>
      <c r="AU728" s="22">
        <f t="shared" si="172"/>
        <v>1.9333864620707719E-6</v>
      </c>
      <c r="AV728" s="22">
        <f t="shared" si="172"/>
        <v>1.9333864620707719E-6</v>
      </c>
      <c r="AW728" s="22">
        <f t="shared" si="172"/>
        <v>1.9333864620707719E-6</v>
      </c>
      <c r="AY728" s="85"/>
      <c r="AZ728" s="85"/>
    </row>
    <row r="729" spans="1:52" x14ac:dyDescent="0.25">
      <c r="A729" s="102" t="str">
        <f t="shared" si="149"/>
        <v>NI Leaching</v>
      </c>
      <c r="B729" s="102" t="s">
        <v>970</v>
      </c>
      <c r="C729" s="102" t="s">
        <v>1191</v>
      </c>
      <c r="D729" t="s">
        <v>369</v>
      </c>
      <c r="E729" t="s">
        <v>61</v>
      </c>
      <c r="F729" t="s">
        <v>63</v>
      </c>
      <c r="G729" t="s">
        <v>1212</v>
      </c>
      <c r="H729" t="s">
        <v>1213</v>
      </c>
      <c r="I729" t="s">
        <v>139</v>
      </c>
      <c r="J729" t="s">
        <v>287</v>
      </c>
      <c r="K729" s="22">
        <f t="shared" si="167"/>
        <v>2.1082459751876198E-3</v>
      </c>
      <c r="L729" s="22">
        <f t="shared" si="169"/>
        <v>2.1082459751876198E-3</v>
      </c>
      <c r="M729" s="22">
        <f t="shared" si="169"/>
        <v>2.1082459751876198E-3</v>
      </c>
      <c r="N729" s="22">
        <f t="shared" si="169"/>
        <v>2.1082459751876198E-3</v>
      </c>
      <c r="O729" s="22">
        <f t="shared" si="169"/>
        <v>2.1082459751876198E-3</v>
      </c>
      <c r="P729" s="22">
        <f t="shared" ref="P729:AW729" si="173">P1528</f>
        <v>2.1082459751876198E-3</v>
      </c>
      <c r="Q729" s="22">
        <f t="shared" si="173"/>
        <v>2.1082459751876198E-3</v>
      </c>
      <c r="R729" s="22">
        <f t="shared" si="173"/>
        <v>2.1082459751876198E-3</v>
      </c>
      <c r="S729" s="22">
        <f t="shared" si="173"/>
        <v>2.1082459751876198E-3</v>
      </c>
      <c r="T729" s="22">
        <f t="shared" si="173"/>
        <v>2.1082459751876198E-3</v>
      </c>
      <c r="U729" s="22">
        <f t="shared" si="173"/>
        <v>2.1082459751876198E-3</v>
      </c>
      <c r="V729" s="22">
        <f t="shared" si="173"/>
        <v>2.1082459751876198E-3</v>
      </c>
      <c r="W729" s="22">
        <f t="shared" si="173"/>
        <v>2.1082459751876198E-3</v>
      </c>
      <c r="X729" s="22">
        <f t="shared" si="173"/>
        <v>2.1082459751876198E-3</v>
      </c>
      <c r="Y729" s="22">
        <f t="shared" si="173"/>
        <v>2.1082459751876198E-3</v>
      </c>
      <c r="Z729" s="22">
        <f t="shared" si="173"/>
        <v>2.1082459751876198E-3</v>
      </c>
      <c r="AA729" s="22">
        <f t="shared" si="173"/>
        <v>2.1082459751876198E-3</v>
      </c>
      <c r="AB729" s="22">
        <f t="shared" si="173"/>
        <v>2.1082459751876198E-3</v>
      </c>
      <c r="AC729" s="22">
        <f t="shared" si="173"/>
        <v>2.1082459751876198E-3</v>
      </c>
      <c r="AD729" s="22">
        <f t="shared" si="173"/>
        <v>2.1082459751876198E-3</v>
      </c>
      <c r="AE729" s="22">
        <f t="shared" si="173"/>
        <v>2.1082459751876198E-3</v>
      </c>
      <c r="AF729" s="22">
        <f t="shared" si="173"/>
        <v>2.1082459751876198E-3</v>
      </c>
      <c r="AG729" s="22">
        <f t="shared" si="173"/>
        <v>2.1082459751876198E-3</v>
      </c>
      <c r="AH729" s="22">
        <f t="shared" si="173"/>
        <v>2.1082459751876198E-3</v>
      </c>
      <c r="AI729" s="22">
        <f t="shared" si="173"/>
        <v>2.1082459751876198E-3</v>
      </c>
      <c r="AJ729" s="22">
        <f t="shared" si="173"/>
        <v>2.1082459751876198E-3</v>
      </c>
      <c r="AK729" s="22">
        <f t="shared" si="173"/>
        <v>2.1082459751876198E-3</v>
      </c>
      <c r="AL729" s="22">
        <f t="shared" si="173"/>
        <v>2.1082459751876198E-3</v>
      </c>
      <c r="AM729" s="22">
        <f t="shared" si="173"/>
        <v>2.1082459751876198E-3</v>
      </c>
      <c r="AN729" s="22">
        <f t="shared" si="173"/>
        <v>2.1082459751876198E-3</v>
      </c>
      <c r="AO729" s="22">
        <f t="shared" si="173"/>
        <v>2.1082459751876198E-3</v>
      </c>
      <c r="AP729" s="22">
        <f t="shared" si="173"/>
        <v>2.1082459751876198E-3</v>
      </c>
      <c r="AQ729" s="22">
        <f t="shared" si="173"/>
        <v>2.1082459751876198E-3</v>
      </c>
      <c r="AR729" s="22">
        <f t="shared" si="173"/>
        <v>2.1082459751876198E-3</v>
      </c>
      <c r="AS729" s="22">
        <f t="shared" si="173"/>
        <v>2.1082459751876198E-3</v>
      </c>
      <c r="AT729" s="22">
        <f t="shared" si="173"/>
        <v>2.1082459751876198E-3</v>
      </c>
      <c r="AU729" s="22">
        <f t="shared" si="173"/>
        <v>2.1082459751876198E-3</v>
      </c>
      <c r="AV729" s="22">
        <f t="shared" si="173"/>
        <v>2.1082459751876198E-3</v>
      </c>
      <c r="AW729" s="22">
        <f t="shared" si="173"/>
        <v>2.1082459751876198E-3</v>
      </c>
      <c r="AY729" s="85"/>
      <c r="AZ729" s="85"/>
    </row>
    <row r="730" spans="1:52" x14ac:dyDescent="0.25">
      <c r="A730" s="102" t="str">
        <f t="shared" si="149"/>
        <v>NI Leaching</v>
      </c>
      <c r="B730" s="102" t="s">
        <v>970</v>
      </c>
      <c r="C730" s="102" t="s">
        <v>1191</v>
      </c>
      <c r="D730" t="s">
        <v>369</v>
      </c>
      <c r="E730" t="s">
        <v>61</v>
      </c>
      <c r="F730" t="s">
        <v>63</v>
      </c>
      <c r="G730" t="s">
        <v>1214</v>
      </c>
      <c r="H730" t="s">
        <v>1215</v>
      </c>
      <c r="I730" t="s">
        <v>139</v>
      </c>
      <c r="J730" t="s">
        <v>287</v>
      </c>
      <c r="K730" s="22" t="str">
        <f t="shared" si="167"/>
        <v>NO</v>
      </c>
      <c r="L730" s="22" t="str">
        <f t="shared" si="169"/>
        <v>NO</v>
      </c>
      <c r="M730" s="22" t="str">
        <f t="shared" si="169"/>
        <v>NO</v>
      </c>
      <c r="N730" s="22" t="str">
        <f t="shared" si="169"/>
        <v>NO</v>
      </c>
      <c r="O730" s="22" t="str">
        <f t="shared" si="169"/>
        <v>NO</v>
      </c>
      <c r="P730" s="22" t="str">
        <f t="shared" ref="P730:AW730" si="174">P1529</f>
        <v>NO</v>
      </c>
      <c r="Q730" s="22" t="str">
        <f t="shared" si="174"/>
        <v>NO</v>
      </c>
      <c r="R730" s="22" t="str">
        <f t="shared" si="174"/>
        <v>NO</v>
      </c>
      <c r="S730" s="22" t="str">
        <f t="shared" si="174"/>
        <v>NO</v>
      </c>
      <c r="T730" s="22" t="str">
        <f t="shared" si="174"/>
        <v>NO</v>
      </c>
      <c r="U730" s="22" t="str">
        <f t="shared" si="174"/>
        <v>NO</v>
      </c>
      <c r="V730" s="22" t="str">
        <f t="shared" si="174"/>
        <v>NO</v>
      </c>
      <c r="W730" s="22" t="str">
        <f t="shared" si="174"/>
        <v>NO</v>
      </c>
      <c r="X730" s="22" t="str">
        <f t="shared" si="174"/>
        <v>NO</v>
      </c>
      <c r="Y730" s="22" t="str">
        <f t="shared" si="174"/>
        <v>NO</v>
      </c>
      <c r="Z730" s="22" t="str">
        <f t="shared" si="174"/>
        <v>NO</v>
      </c>
      <c r="AA730" s="22" t="str">
        <f t="shared" si="174"/>
        <v>NO</v>
      </c>
      <c r="AB730" s="22" t="str">
        <f t="shared" si="174"/>
        <v>NO</v>
      </c>
      <c r="AC730" s="22" t="str">
        <f t="shared" si="174"/>
        <v>NO</v>
      </c>
      <c r="AD730" s="22" t="str">
        <f t="shared" si="174"/>
        <v>NO</v>
      </c>
      <c r="AE730" s="22" t="str">
        <f t="shared" si="174"/>
        <v>NO</v>
      </c>
      <c r="AF730" s="22" t="str">
        <f t="shared" si="174"/>
        <v>NO</v>
      </c>
      <c r="AG730" s="22" t="str">
        <f t="shared" si="174"/>
        <v>NO</v>
      </c>
      <c r="AH730" s="22" t="str">
        <f t="shared" si="174"/>
        <v>NO</v>
      </c>
      <c r="AI730" s="22" t="str">
        <f t="shared" si="174"/>
        <v>NO</v>
      </c>
      <c r="AJ730" s="22" t="str">
        <f t="shared" si="174"/>
        <v>NO</v>
      </c>
      <c r="AK730" s="22" t="str">
        <f t="shared" si="174"/>
        <v>NO</v>
      </c>
      <c r="AL730" s="22" t="str">
        <f t="shared" si="174"/>
        <v>NO</v>
      </c>
      <c r="AM730" s="22" t="str">
        <f t="shared" si="174"/>
        <v>NO</v>
      </c>
      <c r="AN730" s="22" t="str">
        <f t="shared" si="174"/>
        <v>NO</v>
      </c>
      <c r="AO730" s="22" t="str">
        <f t="shared" si="174"/>
        <v>NO</v>
      </c>
      <c r="AP730" s="22" t="str">
        <f t="shared" si="174"/>
        <v>NO</v>
      </c>
      <c r="AQ730" s="22" t="str">
        <f t="shared" si="174"/>
        <v>NO</v>
      </c>
      <c r="AR730" s="22" t="str">
        <f t="shared" si="174"/>
        <v>NO</v>
      </c>
      <c r="AS730" s="22" t="str">
        <f t="shared" si="174"/>
        <v>NO</v>
      </c>
      <c r="AT730" s="22" t="str">
        <f t="shared" si="174"/>
        <v>NO</v>
      </c>
      <c r="AU730" s="22" t="str">
        <f t="shared" si="174"/>
        <v>NO</v>
      </c>
      <c r="AV730" s="22" t="str">
        <f t="shared" si="174"/>
        <v>NO</v>
      </c>
      <c r="AW730" s="22" t="str">
        <f t="shared" si="174"/>
        <v>NO</v>
      </c>
      <c r="AY730" s="85"/>
      <c r="AZ730" s="85"/>
    </row>
    <row r="731" spans="1:52" x14ac:dyDescent="0.25">
      <c r="A731" s="102"/>
      <c r="B731" s="102" t="s">
        <v>970</v>
      </c>
      <c r="C731" s="102"/>
      <c r="D731" t="s">
        <v>369</v>
      </c>
      <c r="E731" t="s">
        <v>61</v>
      </c>
      <c r="F731" t="s">
        <v>63</v>
      </c>
      <c r="G731" t="s">
        <v>1216</v>
      </c>
      <c r="H731" t="s">
        <v>1217</v>
      </c>
      <c r="I731" t="s">
        <v>139</v>
      </c>
      <c r="J731" t="s">
        <v>287</v>
      </c>
      <c r="K731" s="22">
        <f t="shared" si="167"/>
        <v>0.11026792439175388</v>
      </c>
      <c r="L731" s="22">
        <f t="shared" ref="L731:AW731" si="175">L1530</f>
        <v>0.11026792439175388</v>
      </c>
      <c r="M731" s="22">
        <f t="shared" si="175"/>
        <v>0.11026792439175388</v>
      </c>
      <c r="N731" s="22">
        <f t="shared" si="175"/>
        <v>0.11026792439175388</v>
      </c>
      <c r="O731" s="22">
        <f t="shared" si="175"/>
        <v>0.11026792439175388</v>
      </c>
      <c r="P731" s="22">
        <f t="shared" si="175"/>
        <v>0.11026792439175388</v>
      </c>
      <c r="Q731" s="22">
        <f t="shared" si="175"/>
        <v>0.11026792439175388</v>
      </c>
      <c r="R731" s="22">
        <f t="shared" si="175"/>
        <v>0.11026792439175388</v>
      </c>
      <c r="S731" s="22">
        <f t="shared" si="175"/>
        <v>0.11026792439175388</v>
      </c>
      <c r="T731" s="22">
        <f t="shared" si="175"/>
        <v>0.11026792439175388</v>
      </c>
      <c r="U731" s="22">
        <f t="shared" si="175"/>
        <v>0.11026792439175388</v>
      </c>
      <c r="V731" s="22">
        <f t="shared" si="175"/>
        <v>0.11026792439175388</v>
      </c>
      <c r="W731" s="22">
        <f t="shared" si="175"/>
        <v>0.11026792439175388</v>
      </c>
      <c r="X731" s="22">
        <f t="shared" si="175"/>
        <v>0.11026792439175388</v>
      </c>
      <c r="Y731" s="22">
        <f t="shared" si="175"/>
        <v>0.11026792439175388</v>
      </c>
      <c r="Z731" s="22">
        <f t="shared" si="175"/>
        <v>0.11026792439175388</v>
      </c>
      <c r="AA731" s="22">
        <f t="shared" si="175"/>
        <v>0.11026792439175388</v>
      </c>
      <c r="AB731" s="22">
        <f t="shared" si="175"/>
        <v>0.11026792439175388</v>
      </c>
      <c r="AC731" s="22">
        <f t="shared" si="175"/>
        <v>0.11026792439175388</v>
      </c>
      <c r="AD731" s="22">
        <f t="shared" si="175"/>
        <v>0.11026792439175388</v>
      </c>
      <c r="AE731" s="22">
        <f t="shared" si="175"/>
        <v>0.11026792439175388</v>
      </c>
      <c r="AF731" s="22">
        <f t="shared" si="175"/>
        <v>0.11026792439175388</v>
      </c>
      <c r="AG731" s="22">
        <f t="shared" si="175"/>
        <v>0.11026792439175388</v>
      </c>
      <c r="AH731" s="22">
        <f t="shared" si="175"/>
        <v>0.11026792439175388</v>
      </c>
      <c r="AI731" s="22">
        <f t="shared" si="175"/>
        <v>0.11026792439175388</v>
      </c>
      <c r="AJ731" s="22">
        <f t="shared" si="175"/>
        <v>0.11026792439175388</v>
      </c>
      <c r="AK731" s="22">
        <f t="shared" si="175"/>
        <v>0.11026792439175388</v>
      </c>
      <c r="AL731" s="22">
        <f t="shared" si="175"/>
        <v>0.11026792439175388</v>
      </c>
      <c r="AM731" s="22">
        <f t="shared" si="175"/>
        <v>0.11026792439175388</v>
      </c>
      <c r="AN731" s="22">
        <f t="shared" si="175"/>
        <v>0.11026792439175388</v>
      </c>
      <c r="AO731" s="22">
        <f t="shared" si="175"/>
        <v>0.11026792439175388</v>
      </c>
      <c r="AP731" s="22">
        <f t="shared" si="175"/>
        <v>0.11026792439175388</v>
      </c>
      <c r="AQ731" s="22">
        <f t="shared" si="175"/>
        <v>0.11026792439175388</v>
      </c>
      <c r="AR731" s="22">
        <f t="shared" si="175"/>
        <v>0.11026792439175388</v>
      </c>
      <c r="AS731" s="22">
        <f t="shared" si="175"/>
        <v>0.11026792439175388</v>
      </c>
      <c r="AT731" s="22">
        <f t="shared" si="175"/>
        <v>0.11026792439175388</v>
      </c>
      <c r="AU731" s="22">
        <f t="shared" si="175"/>
        <v>0.11026792439175388</v>
      </c>
      <c r="AV731" s="22">
        <f t="shared" si="175"/>
        <v>0.11026792439175388</v>
      </c>
      <c r="AW731" s="22">
        <f t="shared" si="175"/>
        <v>0.11026792439175388</v>
      </c>
      <c r="AY731" s="85"/>
      <c r="AZ731" s="85"/>
    </row>
    <row r="732" spans="1:52" x14ac:dyDescent="0.25">
      <c r="A732" s="102" t="str">
        <f t="shared" ref="A732:A795" si="176">B732&amp;" "&amp;C732</f>
        <v>NI MM Volatilisation</v>
      </c>
      <c r="B732" s="102" t="s">
        <v>970</v>
      </c>
      <c r="C732" s="102" t="s">
        <v>1333</v>
      </c>
      <c r="D732" t="s">
        <v>369</v>
      </c>
      <c r="E732" t="s">
        <v>64</v>
      </c>
      <c r="F732" t="s">
        <v>62</v>
      </c>
      <c r="G732" t="s">
        <v>1153</v>
      </c>
      <c r="H732" t="s">
        <v>1291</v>
      </c>
      <c r="I732" t="s">
        <v>139</v>
      </c>
      <c r="J732" t="s">
        <v>287</v>
      </c>
      <c r="K732" s="22">
        <f t="shared" ref="K732:AW732" si="177">K1531</f>
        <v>0.39681521114916435</v>
      </c>
      <c r="L732" s="22">
        <f t="shared" si="177"/>
        <v>0.39928346869815806</v>
      </c>
      <c r="M732" s="22">
        <f t="shared" si="177"/>
        <v>0.4009804297645459</v>
      </c>
      <c r="N732" s="22">
        <f t="shared" si="177"/>
        <v>0.40151262173495006</v>
      </c>
      <c r="O732" s="22">
        <f t="shared" si="177"/>
        <v>0.40223259805813538</v>
      </c>
      <c r="P732" s="22">
        <f t="shared" si="177"/>
        <v>0.40380961974030649</v>
      </c>
      <c r="Q732" s="22">
        <f t="shared" si="177"/>
        <v>0.40570030877561336</v>
      </c>
      <c r="R732" s="22">
        <f t="shared" si="177"/>
        <v>0.4062682914839757</v>
      </c>
      <c r="S732" s="22">
        <f t="shared" si="177"/>
        <v>0.39379594618948027</v>
      </c>
      <c r="T732" s="22">
        <f t="shared" si="177"/>
        <v>0.39703951074089222</v>
      </c>
      <c r="U732" s="22">
        <f t="shared" si="177"/>
        <v>0.40001376732014149</v>
      </c>
      <c r="V732" s="22">
        <f t="shared" si="177"/>
        <v>0.4030633713994573</v>
      </c>
      <c r="W732" s="22">
        <f t="shared" si="177"/>
        <v>0.40673703435821862</v>
      </c>
      <c r="X732" s="22">
        <f t="shared" si="177"/>
        <v>0.41047963139436411</v>
      </c>
      <c r="Y732" s="22">
        <f t="shared" si="177"/>
        <v>0.41412386702749909</v>
      </c>
      <c r="Z732" s="22">
        <f t="shared" si="177"/>
        <v>0.41769519693164076</v>
      </c>
      <c r="AA732" s="22">
        <f t="shared" si="177"/>
        <v>0.42154191092161625</v>
      </c>
      <c r="AB732" s="22">
        <f t="shared" si="177"/>
        <v>0.42518467345636607</v>
      </c>
      <c r="AC732" s="22">
        <f t="shared" si="177"/>
        <v>0.42895809934446105</v>
      </c>
      <c r="AD732" s="22">
        <f t="shared" si="177"/>
        <v>0.43329342136251764</v>
      </c>
      <c r="AE732" s="22">
        <f t="shared" si="177"/>
        <v>0.43801504276628445</v>
      </c>
      <c r="AF732" s="22">
        <f t="shared" si="177"/>
        <v>0.44292407628311159</v>
      </c>
      <c r="AG732" s="22">
        <f t="shared" si="177"/>
        <v>0.44360979324480354</v>
      </c>
      <c r="AH732" s="22">
        <f t="shared" si="177"/>
        <v>0.23750435523455551</v>
      </c>
      <c r="AI732" s="22">
        <f t="shared" si="177"/>
        <v>0.23767903823802267</v>
      </c>
      <c r="AJ732" s="22">
        <f t="shared" si="177"/>
        <v>0.23787666796336571</v>
      </c>
      <c r="AK732" s="22">
        <f t="shared" si="177"/>
        <v>0.23809637221397845</v>
      </c>
      <c r="AL732" s="22">
        <f t="shared" si="177"/>
        <v>0.2383373459663993</v>
      </c>
      <c r="AM732" s="22">
        <f t="shared" si="177"/>
        <v>0.23859884500343068</v>
      </c>
      <c r="AN732" s="22">
        <f t="shared" si="177"/>
        <v>0.23871142815197754</v>
      </c>
      <c r="AO732" s="22">
        <f t="shared" si="177"/>
        <v>0.23884208664335624</v>
      </c>
      <c r="AP732" s="22">
        <f t="shared" si="177"/>
        <v>0.23899018916140971</v>
      </c>
      <c r="AQ732" s="22">
        <f t="shared" si="177"/>
        <v>0.2391551474689631</v>
      </c>
      <c r="AR732" s="22">
        <f t="shared" si="177"/>
        <v>0.23933641275222764</v>
      </c>
      <c r="AS732" s="22">
        <f t="shared" si="177"/>
        <v>0.23936290185366965</v>
      </c>
      <c r="AT732" s="22">
        <f t="shared" si="177"/>
        <v>0.23940384749309143</v>
      </c>
      <c r="AU732" s="22">
        <f t="shared" si="177"/>
        <v>0.23945877050598915</v>
      </c>
      <c r="AV732" s="22">
        <f t="shared" si="177"/>
        <v>0.23952722091813589</v>
      </c>
      <c r="AW732" s="22">
        <f t="shared" si="177"/>
        <v>0.23960877570322184</v>
      </c>
      <c r="AY732" s="85"/>
      <c r="AZ732" s="85"/>
    </row>
    <row r="733" spans="1:52" x14ac:dyDescent="0.25">
      <c r="A733" s="102" t="str">
        <f t="shared" si="176"/>
        <v>NI MM Volatilisation</v>
      </c>
      <c r="B733" s="102" t="s">
        <v>970</v>
      </c>
      <c r="C733" s="102" t="s">
        <v>1333</v>
      </c>
      <c r="D733" t="s">
        <v>369</v>
      </c>
      <c r="E733" t="s">
        <v>64</v>
      </c>
      <c r="F733" t="s">
        <v>62</v>
      </c>
      <c r="G733" t="s">
        <v>1155</v>
      </c>
      <c r="H733" t="s">
        <v>1292</v>
      </c>
      <c r="I733" t="s">
        <v>139</v>
      </c>
      <c r="J733" t="s">
        <v>287</v>
      </c>
      <c r="K733" s="22">
        <f t="shared" ref="K733:AW733" si="178">K1532</f>
        <v>3.1306447478246062E-2</v>
      </c>
      <c r="L733" s="22">
        <f t="shared" si="178"/>
        <v>3.1501178862399851E-2</v>
      </c>
      <c r="M733" s="22">
        <f t="shared" si="178"/>
        <v>3.163505937152563E-2</v>
      </c>
      <c r="N733" s="22">
        <f t="shared" si="178"/>
        <v>3.167704626996521E-2</v>
      </c>
      <c r="O733" s="22">
        <f t="shared" si="178"/>
        <v>3.1733848278341123E-2</v>
      </c>
      <c r="P733" s="22">
        <f t="shared" si="178"/>
        <v>3.1858266256981516E-2</v>
      </c>
      <c r="Q733" s="22">
        <f t="shared" si="178"/>
        <v>3.2007430793315993E-2</v>
      </c>
      <c r="R733" s="22">
        <f t="shared" si="178"/>
        <v>3.2052241375996028E-2</v>
      </c>
      <c r="S733" s="22">
        <f t="shared" si="178"/>
        <v>3.1068244765175855E-2</v>
      </c>
      <c r="T733" s="22">
        <f t="shared" si="178"/>
        <v>3.1324143431401406E-2</v>
      </c>
      <c r="U733" s="22">
        <f t="shared" si="178"/>
        <v>3.1558795241031987E-2</v>
      </c>
      <c r="V733" s="22">
        <f t="shared" si="178"/>
        <v>3.1799391536879773E-2</v>
      </c>
      <c r="W733" s="22">
        <f t="shared" si="178"/>
        <v>3.2089222504140757E-2</v>
      </c>
      <c r="X733" s="22">
        <f t="shared" si="178"/>
        <v>3.2384491975300946E-2</v>
      </c>
      <c r="Y733" s="22">
        <f t="shared" si="178"/>
        <v>3.2672001295109276E-2</v>
      </c>
      <c r="Z733" s="22">
        <f t="shared" si="178"/>
        <v>3.2953758770453305E-2</v>
      </c>
      <c r="AA733" s="22">
        <f t="shared" si="178"/>
        <v>3.3257242472961211E-2</v>
      </c>
      <c r="AB733" s="22">
        <f t="shared" si="178"/>
        <v>3.3544635573743833E-2</v>
      </c>
      <c r="AC733" s="22">
        <f t="shared" si="178"/>
        <v>3.3842337264756606E-2</v>
      </c>
      <c r="AD733" s="22">
        <f t="shared" si="178"/>
        <v>3.4184369342273299E-2</v>
      </c>
      <c r="AE733" s="22">
        <f t="shared" si="178"/>
        <v>3.4556878228868437E-2</v>
      </c>
      <c r="AF733" s="22">
        <f t="shared" si="178"/>
        <v>3.494417285781784E-2</v>
      </c>
      <c r="AG733" s="22">
        <f t="shared" si="178"/>
        <v>3.4998271998785704E-2</v>
      </c>
      <c r="AH733" s="22">
        <f t="shared" si="178"/>
        <v>1.873773336831663E-2</v>
      </c>
      <c r="AI733" s="22">
        <f t="shared" si="178"/>
        <v>1.8751514856827491E-2</v>
      </c>
      <c r="AJ733" s="22">
        <f t="shared" si="178"/>
        <v>1.8767106710271497E-2</v>
      </c>
      <c r="AK733" s="22">
        <f t="shared" si="178"/>
        <v>1.8784440117331772E-2</v>
      </c>
      <c r="AL733" s="22">
        <f t="shared" si="178"/>
        <v>1.8803451566267792E-2</v>
      </c>
      <c r="AM733" s="22">
        <f t="shared" si="178"/>
        <v>1.882408234260504E-2</v>
      </c>
      <c r="AN733" s="22">
        <f t="shared" si="178"/>
        <v>1.883296450822745E-2</v>
      </c>
      <c r="AO733" s="22">
        <f t="shared" si="178"/>
        <v>1.8843272714876302E-2</v>
      </c>
      <c r="AP733" s="22">
        <f t="shared" si="178"/>
        <v>1.8854957155322545E-2</v>
      </c>
      <c r="AQ733" s="22">
        <f t="shared" si="178"/>
        <v>1.8867971421022103E-2</v>
      </c>
      <c r="AR733" s="22">
        <f t="shared" si="178"/>
        <v>1.8882272213710256E-2</v>
      </c>
      <c r="AS733" s="22">
        <f t="shared" si="178"/>
        <v>1.888436205210289E-2</v>
      </c>
      <c r="AT733" s="22">
        <f t="shared" si="178"/>
        <v>1.8887592428545139E-2</v>
      </c>
      <c r="AU733" s="22">
        <f t="shared" si="178"/>
        <v>1.8891925539701964E-2</v>
      </c>
      <c r="AV733" s="22">
        <f t="shared" si="178"/>
        <v>1.8897325885184005E-2</v>
      </c>
      <c r="AW733" s="22">
        <f t="shared" si="178"/>
        <v>1.8903760090638235E-2</v>
      </c>
      <c r="AY733" s="85"/>
      <c r="AZ733" s="85"/>
    </row>
    <row r="734" spans="1:52" x14ac:dyDescent="0.25">
      <c r="A734" s="102" t="str">
        <f t="shared" si="176"/>
        <v>NI MM Volatilisation</v>
      </c>
      <c r="B734" s="102" t="s">
        <v>970</v>
      </c>
      <c r="C734" s="102" t="s">
        <v>1333</v>
      </c>
      <c r="D734" t="s">
        <v>369</v>
      </c>
      <c r="E734" t="s">
        <v>64</v>
      </c>
      <c r="F734" t="s">
        <v>62</v>
      </c>
      <c r="G734" t="s">
        <v>1157</v>
      </c>
      <c r="H734" t="s">
        <v>1293</v>
      </c>
      <c r="I734" t="s">
        <v>139</v>
      </c>
      <c r="J734" t="s">
        <v>287</v>
      </c>
      <c r="K734" s="22">
        <f t="shared" ref="K734:AW734" si="179">K1533</f>
        <v>2.9019834302377478E-4</v>
      </c>
      <c r="L734" s="22">
        <f t="shared" si="179"/>
        <v>2.9200342566866507E-4</v>
      </c>
      <c r="M734" s="22">
        <f t="shared" si="179"/>
        <v>2.9324444485292345E-4</v>
      </c>
      <c r="N734" s="22">
        <f t="shared" si="179"/>
        <v>2.9363364673743434E-4</v>
      </c>
      <c r="O734" s="22">
        <f t="shared" si="179"/>
        <v>2.9416017881114109E-4</v>
      </c>
      <c r="P734" s="22">
        <f t="shared" si="179"/>
        <v>2.9531348409334853E-4</v>
      </c>
      <c r="Q734" s="22">
        <f t="shared" si="179"/>
        <v>2.9669618014381078E-4</v>
      </c>
      <c r="R734" s="22">
        <f t="shared" si="179"/>
        <v>2.971115564605491E-4</v>
      </c>
      <c r="S734" s="22">
        <f t="shared" si="179"/>
        <v>2.879902984130032E-4</v>
      </c>
      <c r="T734" s="22">
        <f t="shared" si="179"/>
        <v>2.9036237748624366E-4</v>
      </c>
      <c r="U734" s="22">
        <f t="shared" si="179"/>
        <v>2.9253750663143477E-4</v>
      </c>
      <c r="V734" s="22">
        <f t="shared" si="179"/>
        <v>2.9476773880457414E-4</v>
      </c>
      <c r="W734" s="22">
        <f t="shared" si="179"/>
        <v>2.9745435684114832E-4</v>
      </c>
      <c r="X734" s="22">
        <f t="shared" si="179"/>
        <v>3.0019138765040044E-4</v>
      </c>
      <c r="Y734" s="22">
        <f t="shared" si="179"/>
        <v>3.0285648493651841E-4</v>
      </c>
      <c r="Z734" s="22">
        <f t="shared" si="179"/>
        <v>3.0546826490728061E-4</v>
      </c>
      <c r="AA734" s="22">
        <f t="shared" si="179"/>
        <v>3.0828143838101019E-4</v>
      </c>
      <c r="AB734" s="22">
        <f t="shared" si="179"/>
        <v>3.1094545836288565E-4</v>
      </c>
      <c r="AC734" s="22">
        <f t="shared" si="179"/>
        <v>3.1370503488485662E-4</v>
      </c>
      <c r="AD734" s="22">
        <f t="shared" si="179"/>
        <v>3.1687553649559658E-4</v>
      </c>
      <c r="AE734" s="22">
        <f t="shared" si="179"/>
        <v>3.2032854603066614E-4</v>
      </c>
      <c r="AF734" s="22">
        <f t="shared" si="179"/>
        <v>3.2391861352910146E-4</v>
      </c>
      <c r="AG734" s="22">
        <f t="shared" si="179"/>
        <v>3.2442009109466666E-4</v>
      </c>
      <c r="AH734" s="22">
        <f t="shared" si="179"/>
        <v>1.7369135157495116E-4</v>
      </c>
      <c r="AI734" s="22">
        <f t="shared" si="179"/>
        <v>1.7381910050376308E-4</v>
      </c>
      <c r="AJ734" s="22">
        <f t="shared" si="179"/>
        <v>1.7396363079699625E-4</v>
      </c>
      <c r="AK734" s="22">
        <f t="shared" si="179"/>
        <v>1.7412430460105353E-4</v>
      </c>
      <c r="AL734" s="22">
        <f t="shared" si="179"/>
        <v>1.7430053318730711E-4</v>
      </c>
      <c r="AM734" s="22">
        <f t="shared" si="179"/>
        <v>1.7449177229588125E-4</v>
      </c>
      <c r="AN734" s="22">
        <f t="shared" si="179"/>
        <v>1.7457410644599133E-4</v>
      </c>
      <c r="AO734" s="22">
        <f t="shared" si="179"/>
        <v>1.7466965943044039E-4</v>
      </c>
      <c r="AP734" s="22">
        <f t="shared" si="179"/>
        <v>1.7477796955598287E-4</v>
      </c>
      <c r="AQ734" s="22">
        <f t="shared" si="179"/>
        <v>1.7489860663383425E-4</v>
      </c>
      <c r="AR734" s="22">
        <f t="shared" si="179"/>
        <v>1.7503116930626492E-4</v>
      </c>
      <c r="AS734" s="22">
        <f t="shared" si="179"/>
        <v>1.7505054127873651E-4</v>
      </c>
      <c r="AT734" s="22">
        <f t="shared" si="179"/>
        <v>1.7508048558626403E-4</v>
      </c>
      <c r="AU734" s="22">
        <f t="shared" si="179"/>
        <v>1.7512065180693548E-4</v>
      </c>
      <c r="AV734" s="22">
        <f t="shared" si="179"/>
        <v>1.7517071086623097E-4</v>
      </c>
      <c r="AW734" s="22">
        <f t="shared" si="179"/>
        <v>1.752303533971437E-4</v>
      </c>
      <c r="AY734" s="85"/>
      <c r="AZ734" s="85"/>
    </row>
    <row r="735" spans="1:52" x14ac:dyDescent="0.25">
      <c r="A735" s="102" t="str">
        <f t="shared" si="176"/>
        <v>NI MM Volatilisation</v>
      </c>
      <c r="B735" s="102" t="s">
        <v>970</v>
      </c>
      <c r="C735" s="102" t="s">
        <v>1333</v>
      </c>
      <c r="D735" t="s">
        <v>369</v>
      </c>
      <c r="E735" t="s">
        <v>64</v>
      </c>
      <c r="F735" t="s">
        <v>62</v>
      </c>
      <c r="G735" t="s">
        <v>1159</v>
      </c>
      <c r="H735" t="s">
        <v>1294</v>
      </c>
      <c r="I735" t="s">
        <v>139</v>
      </c>
      <c r="J735" t="s">
        <v>287</v>
      </c>
      <c r="K735" s="22">
        <f t="shared" ref="K735:AW735" si="180">K1534</f>
        <v>3.2608020345335862E-3</v>
      </c>
      <c r="L735" s="22">
        <f t="shared" si="180"/>
        <v>3.2391880107785257E-3</v>
      </c>
      <c r="M735" s="22">
        <f t="shared" si="180"/>
        <v>3.1936162901030117E-3</v>
      </c>
      <c r="N735" s="22">
        <f t="shared" si="180"/>
        <v>3.1167988395678259E-3</v>
      </c>
      <c r="O735" s="22">
        <f t="shared" si="180"/>
        <v>3.0422686858160779E-3</v>
      </c>
      <c r="P735" s="22">
        <f t="shared" si="180"/>
        <v>2.9849445368563851E-3</v>
      </c>
      <c r="Q735" s="22">
        <f t="shared" si="180"/>
        <v>2.9330944027971869E-3</v>
      </c>
      <c r="R735" s="22">
        <f t="shared" si="180"/>
        <v>2.8515726706301167E-3</v>
      </c>
      <c r="S735" s="22">
        <f t="shared" si="180"/>
        <v>2.5010020765287512E-3</v>
      </c>
      <c r="T735" s="22">
        <f t="shared" si="180"/>
        <v>2.5248406363190491E-3</v>
      </c>
      <c r="U735" s="22">
        <f t="shared" si="180"/>
        <v>2.5409715409254918E-3</v>
      </c>
      <c r="V735" s="22">
        <f t="shared" si="180"/>
        <v>2.5565777764954734E-3</v>
      </c>
      <c r="W735" s="22">
        <f t="shared" si="180"/>
        <v>2.5823867364318034E-3</v>
      </c>
      <c r="X735" s="22">
        <f t="shared" si="180"/>
        <v>2.6073450964004788E-3</v>
      </c>
      <c r="Y735" s="22">
        <f t="shared" si="180"/>
        <v>2.6335476280108239E-3</v>
      </c>
      <c r="Z735" s="22">
        <f t="shared" si="180"/>
        <v>2.6563592492195348E-3</v>
      </c>
      <c r="AA735" s="22">
        <f t="shared" si="180"/>
        <v>2.6823219674710947E-3</v>
      </c>
      <c r="AB735" s="22">
        <f t="shared" si="180"/>
        <v>2.7026386741679817E-3</v>
      </c>
      <c r="AC735" s="22">
        <f t="shared" si="180"/>
        <v>2.7235128371703343E-3</v>
      </c>
      <c r="AD735" s="22">
        <f t="shared" si="180"/>
        <v>2.7332352588004378E-3</v>
      </c>
      <c r="AE735" s="22">
        <f t="shared" si="180"/>
        <v>2.7465666714111786E-3</v>
      </c>
      <c r="AF735" s="22">
        <f t="shared" si="180"/>
        <v>2.7598466332323141E-3</v>
      </c>
      <c r="AG735" s="22">
        <f t="shared" si="180"/>
        <v>2.7013158272562879E-3</v>
      </c>
      <c r="AH735" s="22">
        <f t="shared" si="180"/>
        <v>-6.3720303992201288E-4</v>
      </c>
      <c r="AI735" s="22">
        <f t="shared" si="180"/>
        <v>-6.2242214557858356E-4</v>
      </c>
      <c r="AJ735" s="22">
        <f t="shared" si="180"/>
        <v>-6.0787631384089666E-4</v>
      </c>
      <c r="AK735" s="22">
        <f t="shared" si="180"/>
        <v>-5.9355323338830307E-4</v>
      </c>
      <c r="AL735" s="22">
        <f t="shared" si="180"/>
        <v>-5.7944144405540506E-4</v>
      </c>
      <c r="AM735" s="22">
        <f t="shared" si="180"/>
        <v>-5.6553025796044789E-4</v>
      </c>
      <c r="AN735" s="22">
        <f t="shared" si="180"/>
        <v>-5.5425143288870022E-4</v>
      </c>
      <c r="AO735" s="22">
        <f t="shared" si="180"/>
        <v>-5.4314296084699478E-4</v>
      </c>
      <c r="AP735" s="22">
        <f t="shared" si="180"/>
        <v>-5.3219712228052369E-4</v>
      </c>
      <c r="AQ735" s="22">
        <f t="shared" si="180"/>
        <v>-5.2140667775092773E-4</v>
      </c>
      <c r="AR735" s="22">
        <f t="shared" si="180"/>
        <v>-5.107648281267109E-4</v>
      </c>
      <c r="AS735" s="22">
        <f t="shared" si="180"/>
        <v>-4.999251820077483E-4</v>
      </c>
      <c r="AT735" s="22">
        <f t="shared" si="180"/>
        <v>-4.8923459484670278E-4</v>
      </c>
      <c r="AU735" s="22">
        <f t="shared" si="180"/>
        <v>-4.7868720289580258E-4</v>
      </c>
      <c r="AV735" s="22">
        <f t="shared" si="180"/>
        <v>-4.6827747185126305E-4</v>
      </c>
      <c r="AW735" s="22">
        <f t="shared" si="180"/>
        <v>-4.5800017223486766E-4</v>
      </c>
      <c r="AY735" s="85"/>
      <c r="AZ735" s="85"/>
    </row>
    <row r="736" spans="1:52" x14ac:dyDescent="0.25">
      <c r="A736" s="102" t="str">
        <f t="shared" si="176"/>
        <v>NI MM Volatilisation</v>
      </c>
      <c r="B736" s="102" t="s">
        <v>970</v>
      </c>
      <c r="C736" s="102" t="s">
        <v>1333</v>
      </c>
      <c r="D736" t="s">
        <v>369</v>
      </c>
      <c r="E736" t="s">
        <v>64</v>
      </c>
      <c r="F736" t="s">
        <v>62</v>
      </c>
      <c r="G736" t="s">
        <v>1161</v>
      </c>
      <c r="H736" t="s">
        <v>1295</v>
      </c>
      <c r="I736" t="s">
        <v>139</v>
      </c>
      <c r="J736" t="s">
        <v>287</v>
      </c>
      <c r="K736" s="22">
        <f t="shared" ref="K736:AW736" si="181">K1535</f>
        <v>1.6232293381826982E-2</v>
      </c>
      <c r="L736" s="22">
        <f t="shared" si="181"/>
        <v>1.612469863334539E-2</v>
      </c>
      <c r="M736" s="22">
        <f t="shared" si="181"/>
        <v>1.5897842316376299E-2</v>
      </c>
      <c r="N736" s="22">
        <f t="shared" si="181"/>
        <v>1.5515444556338871E-2</v>
      </c>
      <c r="O736" s="22">
        <f t="shared" si="181"/>
        <v>1.5144432974317425E-2</v>
      </c>
      <c r="P736" s="22">
        <f t="shared" si="181"/>
        <v>1.4859072994188992E-2</v>
      </c>
      <c r="Q736" s="22">
        <f t="shared" si="181"/>
        <v>1.4600962695243356E-2</v>
      </c>
      <c r="R736" s="22">
        <f t="shared" si="181"/>
        <v>1.4195146991156963E-2</v>
      </c>
      <c r="S736" s="22">
        <f t="shared" si="181"/>
        <v>1.2450004331704253E-2</v>
      </c>
      <c r="T736" s="22">
        <f t="shared" si="181"/>
        <v>1.2568672834795916E-2</v>
      </c>
      <c r="U736" s="22">
        <f t="shared" si="181"/>
        <v>1.2648972581089315E-2</v>
      </c>
      <c r="V736" s="22">
        <f t="shared" si="181"/>
        <v>1.2726660521563772E-2</v>
      </c>
      <c r="W736" s="22">
        <f t="shared" si="181"/>
        <v>1.2855137689183753E-2</v>
      </c>
      <c r="X736" s="22">
        <f t="shared" si="181"/>
        <v>1.297938056472487E-2</v>
      </c>
      <c r="Y736" s="22">
        <f t="shared" si="181"/>
        <v>1.3109816934655115E-2</v>
      </c>
      <c r="Z736" s="22">
        <f t="shared" si="181"/>
        <v>1.3223373330920015E-2</v>
      </c>
      <c r="AA736" s="22">
        <f t="shared" si="181"/>
        <v>1.3352615908416542E-2</v>
      </c>
      <c r="AB736" s="22">
        <f t="shared" si="181"/>
        <v>1.345375260428577E-2</v>
      </c>
      <c r="AC736" s="22">
        <f t="shared" si="181"/>
        <v>1.3557664321208735E-2</v>
      </c>
      <c r="AD736" s="22">
        <f t="shared" si="181"/>
        <v>1.3606062598261524E-2</v>
      </c>
      <c r="AE736" s="22">
        <f t="shared" si="181"/>
        <v>1.3672426455496624E-2</v>
      </c>
      <c r="AF736" s="22">
        <f t="shared" si="181"/>
        <v>1.3738534190372041E-2</v>
      </c>
      <c r="AG736" s="22">
        <f t="shared" si="181"/>
        <v>1.3447167463899316E-2</v>
      </c>
      <c r="AH736" s="22">
        <f t="shared" si="181"/>
        <v>-3.1720008078581774E-3</v>
      </c>
      <c r="AI736" s="22">
        <f t="shared" si="181"/>
        <v>-3.098421421287828E-3</v>
      </c>
      <c r="AJ736" s="22">
        <f t="shared" si="181"/>
        <v>-3.0260121778721673E-3</v>
      </c>
      <c r="AK736" s="22">
        <f t="shared" si="181"/>
        <v>-2.9547117917782697E-3</v>
      </c>
      <c r="AL736" s="22">
        <f t="shared" si="181"/>
        <v>-2.8844632142294947E-3</v>
      </c>
      <c r="AM736" s="22">
        <f t="shared" si="181"/>
        <v>-2.8152132408821133E-3</v>
      </c>
      <c r="AN736" s="22">
        <f t="shared" si="181"/>
        <v>-2.7590671775430979E-3</v>
      </c>
      <c r="AO736" s="22">
        <f t="shared" si="181"/>
        <v>-2.7037691326770971E-3</v>
      </c>
      <c r="AP736" s="22">
        <f t="shared" si="181"/>
        <v>-2.6492806782909082E-3</v>
      </c>
      <c r="AQ736" s="22">
        <f t="shared" si="181"/>
        <v>-2.5955657764140799E-3</v>
      </c>
      <c r="AR736" s="22">
        <f t="shared" si="181"/>
        <v>-2.5425905809265438E-3</v>
      </c>
      <c r="AS736" s="22">
        <f t="shared" si="181"/>
        <v>-2.4886307532231877E-3</v>
      </c>
      <c r="AT736" s="22">
        <f t="shared" si="181"/>
        <v>-2.4354129419656258E-3</v>
      </c>
      <c r="AU736" s="22">
        <f t="shared" si="181"/>
        <v>-2.3829079573799484E-3</v>
      </c>
      <c r="AV736" s="22">
        <f t="shared" si="181"/>
        <v>-2.3310882496665208E-3</v>
      </c>
      <c r="AW736" s="22">
        <f t="shared" si="181"/>
        <v>-2.279927786449339E-3</v>
      </c>
      <c r="AY736" s="85"/>
      <c r="AZ736" s="85"/>
    </row>
    <row r="737" spans="1:52" x14ac:dyDescent="0.25">
      <c r="A737" s="102" t="str">
        <f t="shared" si="176"/>
        <v>NI MM Volatilisation</v>
      </c>
      <c r="B737" s="102" t="s">
        <v>970</v>
      </c>
      <c r="C737" s="102" t="s">
        <v>1333</v>
      </c>
      <c r="D737" t="s">
        <v>369</v>
      </c>
      <c r="E737" t="s">
        <v>64</v>
      </c>
      <c r="F737" t="s">
        <v>62</v>
      </c>
      <c r="G737" t="s">
        <v>1163</v>
      </c>
      <c r="H737" t="s">
        <v>1296</v>
      </c>
      <c r="I737" t="s">
        <v>139</v>
      </c>
      <c r="J737" t="s">
        <v>287</v>
      </c>
      <c r="K737" s="22">
        <f t="shared" ref="K737:AW737" si="182">K1536</f>
        <v>0.15922781806557695</v>
      </c>
      <c r="L737" s="22">
        <f t="shared" si="182"/>
        <v>0.16489874459702494</v>
      </c>
      <c r="M737" s="22">
        <f t="shared" si="182"/>
        <v>0.16939991585045727</v>
      </c>
      <c r="N737" s="22">
        <f t="shared" si="182"/>
        <v>0.17218348693308003</v>
      </c>
      <c r="O737" s="22">
        <f t="shared" si="182"/>
        <v>0.17497286890553645</v>
      </c>
      <c r="P737" s="22">
        <f t="shared" si="182"/>
        <v>0.17867712216797899</v>
      </c>
      <c r="Q737" s="22">
        <f t="shared" si="182"/>
        <v>0.18269010203222399</v>
      </c>
      <c r="R737" s="22">
        <f t="shared" si="182"/>
        <v>0.18477850416218133</v>
      </c>
      <c r="S737" s="22">
        <f t="shared" si="182"/>
        <v>0.16857906885266413</v>
      </c>
      <c r="T737" s="22">
        <f t="shared" si="182"/>
        <v>0.17425287964090236</v>
      </c>
      <c r="U737" s="22">
        <f t="shared" si="182"/>
        <v>0.17949945582313931</v>
      </c>
      <c r="V737" s="22">
        <f t="shared" si="182"/>
        <v>0.18480458029183697</v>
      </c>
      <c r="W737" s="22">
        <f t="shared" si="182"/>
        <v>0.19096302657670283</v>
      </c>
      <c r="X737" s="22">
        <f t="shared" si="182"/>
        <v>0.19719436509402946</v>
      </c>
      <c r="Y737" s="22">
        <f t="shared" si="182"/>
        <v>0.20366092227158905</v>
      </c>
      <c r="Z737" s="22">
        <f t="shared" si="182"/>
        <v>0.21000736593010838</v>
      </c>
      <c r="AA737" s="22">
        <f t="shared" si="182"/>
        <v>0.21674936909166895</v>
      </c>
      <c r="AB737" s="22">
        <f t="shared" si="182"/>
        <v>0.22318188532765407</v>
      </c>
      <c r="AC737" s="22">
        <f t="shared" si="182"/>
        <v>0.22980286680499964</v>
      </c>
      <c r="AD737" s="22">
        <f t="shared" si="182"/>
        <v>0.2382309822629842</v>
      </c>
      <c r="AE737" s="22">
        <f t="shared" si="182"/>
        <v>0.24730559399060587</v>
      </c>
      <c r="AF737" s="22">
        <f t="shared" si="182"/>
        <v>0.25673647400031802</v>
      </c>
      <c r="AG737" s="22">
        <f t="shared" si="182"/>
        <v>0.25964613908565431</v>
      </c>
      <c r="AH737" s="22">
        <f t="shared" si="182"/>
        <v>-6.3291007360128299E-2</v>
      </c>
      <c r="AI737" s="22">
        <f t="shared" si="182"/>
        <v>-6.3895366189305636E-2</v>
      </c>
      <c r="AJ737" s="22">
        <f t="shared" si="182"/>
        <v>-6.4504638848078458E-2</v>
      </c>
      <c r="AK737" s="22">
        <f t="shared" si="182"/>
        <v>-6.5118871838809281E-2</v>
      </c>
      <c r="AL737" s="22">
        <f t="shared" si="182"/>
        <v>-6.5738112081384775E-2</v>
      </c>
      <c r="AM737" s="22">
        <f t="shared" si="182"/>
        <v>-6.6362406916836855E-2</v>
      </c>
      <c r="AN737" s="22">
        <f t="shared" si="182"/>
        <v>-6.6863409386316588E-2</v>
      </c>
      <c r="AO737" s="22">
        <f t="shared" si="182"/>
        <v>-6.7367867762467962E-2</v>
      </c>
      <c r="AP737" s="22">
        <f t="shared" si="182"/>
        <v>-6.7875809396751335E-2</v>
      </c>
      <c r="AQ737" s="22">
        <f t="shared" si="182"/>
        <v>-6.8387261847069211E-2</v>
      </c>
      <c r="AR737" s="22">
        <f t="shared" si="182"/>
        <v>-6.8902252879275511E-2</v>
      </c>
      <c r="AS737" s="22">
        <f t="shared" si="182"/>
        <v>-6.9373629780267981E-2</v>
      </c>
      <c r="AT737" s="22">
        <f t="shared" si="182"/>
        <v>-6.9847719512371606E-2</v>
      </c>
      <c r="AU737" s="22">
        <f t="shared" si="182"/>
        <v>-7.0324540021641888E-2</v>
      </c>
      <c r="AV737" s="22">
        <f t="shared" si="182"/>
        <v>-7.0804109366663218E-2</v>
      </c>
      <c r="AW737" s="22">
        <f t="shared" si="182"/>
        <v>-7.1286445719229846E-2</v>
      </c>
      <c r="AY737" s="85"/>
      <c r="AZ737" s="85"/>
    </row>
    <row r="738" spans="1:52" x14ac:dyDescent="0.25">
      <c r="A738" s="102" t="str">
        <f t="shared" si="176"/>
        <v>NI MM Volatilisation</v>
      </c>
      <c r="B738" s="102" t="s">
        <v>970</v>
      </c>
      <c r="C738" s="102" t="s">
        <v>1333</v>
      </c>
      <c r="D738" t="s">
        <v>369</v>
      </c>
      <c r="E738" t="s">
        <v>64</v>
      </c>
      <c r="F738" t="s">
        <v>62</v>
      </c>
      <c r="G738" t="s">
        <v>1165</v>
      </c>
      <c r="H738" t="s">
        <v>1297</v>
      </c>
      <c r="I738" t="s">
        <v>139</v>
      </c>
      <c r="J738" t="s">
        <v>287</v>
      </c>
      <c r="K738" s="22">
        <f t="shared" ref="K738:AW738" si="183">K1537</f>
        <v>1.171858684484313E-4</v>
      </c>
      <c r="L738" s="22">
        <f t="shared" si="183"/>
        <v>1.1724986264912743E-4</v>
      </c>
      <c r="M738" s="22">
        <f t="shared" si="183"/>
        <v>1.1739315795736154E-4</v>
      </c>
      <c r="N738" s="22">
        <f t="shared" si="183"/>
        <v>1.1760884747933323E-4</v>
      </c>
      <c r="O738" s="22">
        <f t="shared" si="183"/>
        <v>1.1789981697079396E-4</v>
      </c>
      <c r="P738" s="22">
        <f t="shared" si="183"/>
        <v>1.1826637517857024E-4</v>
      </c>
      <c r="Q738" s="22">
        <f t="shared" si="183"/>
        <v>1.1867470616236446E-4</v>
      </c>
      <c r="R738" s="22">
        <f t="shared" si="183"/>
        <v>1.1911724401941935E-4</v>
      </c>
      <c r="S738" s="22">
        <f t="shared" si="183"/>
        <v>1.1953310214883348E-4</v>
      </c>
      <c r="T738" s="22">
        <f t="shared" si="183"/>
        <v>1.197068141423074E-4</v>
      </c>
      <c r="U738" s="22">
        <f t="shared" si="183"/>
        <v>1.199083856789491E-4</v>
      </c>
      <c r="V738" s="22">
        <f t="shared" si="183"/>
        <v>1.201377754278402E-4</v>
      </c>
      <c r="W738" s="22">
        <f t="shared" si="183"/>
        <v>1.2039617188423161E-4</v>
      </c>
      <c r="X738" s="22">
        <f t="shared" si="183"/>
        <v>1.2067943256873451E-4</v>
      </c>
      <c r="Y738" s="22">
        <f t="shared" si="183"/>
        <v>1.2085380112251055E-4</v>
      </c>
      <c r="Z738" s="22">
        <f t="shared" si="183"/>
        <v>1.2104857439732012E-4</v>
      </c>
      <c r="AA738" s="22">
        <f t="shared" si="183"/>
        <v>1.2126445921474039E-4</v>
      </c>
      <c r="AB738" s="22">
        <f t="shared" si="183"/>
        <v>1.2149813863258011E-4</v>
      </c>
      <c r="AC738" s="22">
        <f t="shared" si="183"/>
        <v>1.2175044819305052E-4</v>
      </c>
      <c r="AD738" s="22">
        <f t="shared" si="183"/>
        <v>1.2191654827812353E-4</v>
      </c>
      <c r="AE738" s="22">
        <f t="shared" si="183"/>
        <v>1.2210011953046386E-4</v>
      </c>
      <c r="AF738" s="22">
        <f t="shared" si="183"/>
        <v>1.2229951100214118E-4</v>
      </c>
      <c r="AG738" s="22">
        <f t="shared" si="183"/>
        <v>1.2249214859428272E-4</v>
      </c>
      <c r="AH738" s="22">
        <f t="shared" si="183"/>
        <v>1.2166856520731395E-4</v>
      </c>
      <c r="AI738" s="22">
        <f t="shared" si="183"/>
        <v>1.2178552707040833E-4</v>
      </c>
      <c r="AJ738" s="22">
        <f t="shared" si="183"/>
        <v>1.2191459506568997E-4</v>
      </c>
      <c r="AK738" s="22">
        <f t="shared" si="183"/>
        <v>1.220553118336419E-4</v>
      </c>
      <c r="AL738" s="22">
        <f t="shared" si="183"/>
        <v>1.2220725536579073E-4</v>
      </c>
      <c r="AM738" s="22">
        <f t="shared" si="183"/>
        <v>1.2237003565016038E-4</v>
      </c>
      <c r="AN738" s="22">
        <f t="shared" si="183"/>
        <v>1.2244903306979284E-4</v>
      </c>
      <c r="AO738" s="22">
        <f t="shared" si="183"/>
        <v>1.2253757835817969E-4</v>
      </c>
      <c r="AP738" s="22">
        <f t="shared" si="183"/>
        <v>1.226353392269764E-4</v>
      </c>
      <c r="AQ738" s="22">
        <f t="shared" si="183"/>
        <v>1.2274200613087834E-4</v>
      </c>
      <c r="AR738" s="22">
        <f t="shared" si="183"/>
        <v>1.228572903354883E-4</v>
      </c>
      <c r="AS738" s="22">
        <f t="shared" si="183"/>
        <v>1.2288572954642337E-4</v>
      </c>
      <c r="AT738" s="22">
        <f t="shared" si="183"/>
        <v>1.2292181660779718E-4</v>
      </c>
      <c r="AU738" s="22">
        <f t="shared" si="183"/>
        <v>1.2296529822294655E-4</v>
      </c>
      <c r="AV738" s="22">
        <f t="shared" si="183"/>
        <v>1.2301593656260403E-4</v>
      </c>
      <c r="AW738" s="22">
        <f t="shared" si="183"/>
        <v>1.2307350807543003E-4</v>
      </c>
      <c r="AY738" s="85"/>
      <c r="AZ738" s="85"/>
    </row>
    <row r="739" spans="1:52" x14ac:dyDescent="0.25">
      <c r="A739" s="102" t="str">
        <f t="shared" si="176"/>
        <v>NI MM Volatilisation</v>
      </c>
      <c r="B739" s="102" t="s">
        <v>970</v>
      </c>
      <c r="C739" s="102" t="s">
        <v>1333</v>
      </c>
      <c r="D739" t="s">
        <v>369</v>
      </c>
      <c r="E739" t="s">
        <v>64</v>
      </c>
      <c r="F739" t="s">
        <v>62</v>
      </c>
      <c r="G739" t="s">
        <v>1167</v>
      </c>
      <c r="H739" t="s">
        <v>1298</v>
      </c>
      <c r="I739" t="s">
        <v>139</v>
      </c>
      <c r="J739" t="s">
        <v>287</v>
      </c>
      <c r="K739" s="22">
        <f t="shared" ref="K739:AW739" si="184">K1538</f>
        <v>8.0418980238344318E-4</v>
      </c>
      <c r="L739" s="22">
        <f t="shared" si="184"/>
        <v>8.0462896355784847E-4</v>
      </c>
      <c r="M739" s="22">
        <f t="shared" si="184"/>
        <v>8.0561232978738613E-4</v>
      </c>
      <c r="N739" s="22">
        <f t="shared" si="184"/>
        <v>8.0709250240842989E-4</v>
      </c>
      <c r="O739" s="22">
        <f t="shared" si="184"/>
        <v>8.090892849636611E-4</v>
      </c>
      <c r="P739" s="22">
        <f t="shared" si="184"/>
        <v>8.1160479623286605E-4</v>
      </c>
      <c r="Q739" s="22">
        <f t="shared" si="184"/>
        <v>8.1440697381205979E-4</v>
      </c>
      <c r="R739" s="22">
        <f t="shared" si="184"/>
        <v>8.1744389657863702E-4</v>
      </c>
      <c r="S739" s="22">
        <f t="shared" si="184"/>
        <v>8.2029772930899112E-4</v>
      </c>
      <c r="T739" s="22">
        <f t="shared" si="184"/>
        <v>8.214898305030433E-4</v>
      </c>
      <c r="U739" s="22">
        <f t="shared" si="184"/>
        <v>8.2287311823529526E-4</v>
      </c>
      <c r="V739" s="22">
        <f t="shared" si="184"/>
        <v>8.2444730887169186E-4</v>
      </c>
      <c r="W739" s="22">
        <f t="shared" si="184"/>
        <v>8.2622055847894659E-4</v>
      </c>
      <c r="X739" s="22">
        <f t="shared" si="184"/>
        <v>8.2816443922932592E-4</v>
      </c>
      <c r="Y739" s="22">
        <f t="shared" si="184"/>
        <v>8.2936104607842529E-4</v>
      </c>
      <c r="Z739" s="22">
        <f t="shared" si="184"/>
        <v>8.3069768063558287E-4</v>
      </c>
      <c r="AA739" s="22">
        <f t="shared" si="184"/>
        <v>8.3217919347460879E-4</v>
      </c>
      <c r="AB739" s="22">
        <f t="shared" si="184"/>
        <v>8.337828220293293E-4</v>
      </c>
      <c r="AC739" s="22">
        <f t="shared" si="184"/>
        <v>8.3551430022086096E-4</v>
      </c>
      <c r="AD739" s="22">
        <f t="shared" si="184"/>
        <v>8.3665416457788034E-4</v>
      </c>
      <c r="AE739" s="22">
        <f t="shared" si="184"/>
        <v>8.3791392508567411E-4</v>
      </c>
      <c r="AF739" s="22">
        <f t="shared" si="184"/>
        <v>8.3928225208899118E-4</v>
      </c>
      <c r="AG739" s="22">
        <f t="shared" si="184"/>
        <v>8.4060423049139648E-4</v>
      </c>
      <c r="AH739" s="22">
        <f t="shared" si="184"/>
        <v>8.349523769873693E-4</v>
      </c>
      <c r="AI739" s="22">
        <f t="shared" si="184"/>
        <v>8.3575502954960786E-4</v>
      </c>
      <c r="AJ739" s="22">
        <f t="shared" si="184"/>
        <v>8.3664076062788407E-4</v>
      </c>
      <c r="AK739" s="22">
        <f t="shared" si="184"/>
        <v>8.3760643158556521E-4</v>
      </c>
      <c r="AL739" s="22">
        <f t="shared" si="184"/>
        <v>8.3864914638309197E-4</v>
      </c>
      <c r="AM739" s="22">
        <f t="shared" si="184"/>
        <v>8.3976622855735407E-4</v>
      </c>
      <c r="AN739" s="22">
        <f t="shared" si="184"/>
        <v>8.4030834954962157E-4</v>
      </c>
      <c r="AO739" s="22">
        <f t="shared" si="184"/>
        <v>8.40915992936257E-4</v>
      </c>
      <c r="AP739" s="22">
        <f t="shared" si="184"/>
        <v>8.4158687838344786E-4</v>
      </c>
      <c r="AQ739" s="22">
        <f t="shared" si="184"/>
        <v>8.4231888163183893E-4</v>
      </c>
      <c r="AR739" s="22">
        <f t="shared" si="184"/>
        <v>8.4311002123724286E-4</v>
      </c>
      <c r="AS739" s="22">
        <f t="shared" si="184"/>
        <v>8.4330518575430119E-4</v>
      </c>
      <c r="AT739" s="22">
        <f t="shared" si="184"/>
        <v>8.4355283376117286E-4</v>
      </c>
      <c r="AU739" s="22">
        <f t="shared" si="184"/>
        <v>8.4385122700565967E-4</v>
      </c>
      <c r="AV739" s="22">
        <f t="shared" si="184"/>
        <v>8.4419873338079966E-4</v>
      </c>
      <c r="AW739" s="22">
        <f t="shared" si="184"/>
        <v>8.4459381876212985E-4</v>
      </c>
      <c r="AY739" s="85"/>
      <c r="AZ739" s="85"/>
    </row>
    <row r="740" spans="1:52" x14ac:dyDescent="0.25">
      <c r="A740" s="102" t="str">
        <f t="shared" si="176"/>
        <v>NI MM Volatilisation</v>
      </c>
      <c r="B740" s="102" t="s">
        <v>970</v>
      </c>
      <c r="C740" s="102" t="s">
        <v>1333</v>
      </c>
      <c r="D740" t="s">
        <v>369</v>
      </c>
      <c r="E740" t="s">
        <v>64</v>
      </c>
      <c r="F740" t="s">
        <v>62</v>
      </c>
      <c r="G740" t="s">
        <v>1169</v>
      </c>
      <c r="H740" t="s">
        <v>1299</v>
      </c>
      <c r="I740" t="s">
        <v>139</v>
      </c>
      <c r="J740" t="s">
        <v>287</v>
      </c>
      <c r="K740" s="22">
        <f t="shared" ref="K740:AW740" si="185">K1539</f>
        <v>1.448564899297015E-5</v>
      </c>
      <c r="L740" s="22">
        <f t="shared" si="185"/>
        <v>1.4523430996818443E-5</v>
      </c>
      <c r="M740" s="22">
        <f t="shared" si="185"/>
        <v>1.4573778863725232E-5</v>
      </c>
      <c r="N740" s="22">
        <f t="shared" si="185"/>
        <v>1.4635573261684436E-5</v>
      </c>
      <c r="O740" s="22">
        <f t="shared" si="185"/>
        <v>1.4709556756482727E-5</v>
      </c>
      <c r="P740" s="22">
        <f t="shared" si="185"/>
        <v>1.4795926227225603E-5</v>
      </c>
      <c r="Q740" s="22">
        <f t="shared" si="185"/>
        <v>1.4888271114151717E-5</v>
      </c>
      <c r="R740" s="22">
        <f t="shared" si="185"/>
        <v>1.4985270961083386E-5</v>
      </c>
      <c r="S740" s="22">
        <f t="shared" si="185"/>
        <v>1.5075379558400601E-5</v>
      </c>
      <c r="T740" s="22">
        <f t="shared" si="185"/>
        <v>1.5117607192403529E-5</v>
      </c>
      <c r="U740" s="22">
        <f t="shared" si="185"/>
        <v>1.5163912133825485E-5</v>
      </c>
      <c r="V740" s="22">
        <f t="shared" si="185"/>
        <v>1.5214353144806387E-5</v>
      </c>
      <c r="W740" s="22">
        <f t="shared" si="185"/>
        <v>1.5269211713136201E-5</v>
      </c>
      <c r="X740" s="22">
        <f t="shared" si="185"/>
        <v>1.532774923131804E-5</v>
      </c>
      <c r="Y740" s="22">
        <f t="shared" si="185"/>
        <v>1.5364750505414648E-5</v>
      </c>
      <c r="Z740" s="22">
        <f t="shared" si="185"/>
        <v>1.5404784002427286E-5</v>
      </c>
      <c r="AA740" s="22">
        <f t="shared" si="185"/>
        <v>1.5448015343528086E-5</v>
      </c>
      <c r="AB740" s="22">
        <f t="shared" si="185"/>
        <v>1.5493849362144256E-5</v>
      </c>
      <c r="AC740" s="22">
        <f t="shared" si="185"/>
        <v>1.5542469399401565E-5</v>
      </c>
      <c r="AD740" s="22">
        <f t="shared" si="185"/>
        <v>1.5574312295454071E-5</v>
      </c>
      <c r="AE740" s="22">
        <f t="shared" si="185"/>
        <v>1.5608846144431889E-5</v>
      </c>
      <c r="AF740" s="22">
        <f t="shared" si="185"/>
        <v>1.5645779000697075E-5</v>
      </c>
      <c r="AG740" s="22">
        <f t="shared" si="185"/>
        <v>1.5680933682266714E-5</v>
      </c>
      <c r="AH740" s="22">
        <f t="shared" si="185"/>
        <v>1.5527256766488218E-5</v>
      </c>
      <c r="AI740" s="22">
        <f t="shared" si="185"/>
        <v>1.554781877984383E-5</v>
      </c>
      <c r="AJ740" s="22">
        <f t="shared" si="185"/>
        <v>1.55702244870708E-5</v>
      </c>
      <c r="AK740" s="22">
        <f t="shared" si="185"/>
        <v>1.5594399014227251E-5</v>
      </c>
      <c r="AL740" s="22">
        <f t="shared" si="185"/>
        <v>1.5620273295013295E-5</v>
      </c>
      <c r="AM740" s="22">
        <f t="shared" si="185"/>
        <v>1.5647783514700204E-5</v>
      </c>
      <c r="AN740" s="22">
        <f t="shared" si="185"/>
        <v>1.5659592232765599E-5</v>
      </c>
      <c r="AO740" s="22">
        <f t="shared" si="185"/>
        <v>1.567287471387214E-5</v>
      </c>
      <c r="AP740" s="22">
        <f t="shared" si="185"/>
        <v>1.5687575397224304E-5</v>
      </c>
      <c r="AQ740" s="22">
        <f t="shared" si="185"/>
        <v>1.5703642533627797E-5</v>
      </c>
      <c r="AR740" s="22">
        <f t="shared" si="185"/>
        <v>1.5721027858938722E-5</v>
      </c>
      <c r="AS740" s="22">
        <f t="shared" si="185"/>
        <v>1.5722384261001388E-5</v>
      </c>
      <c r="AT740" s="22">
        <f t="shared" si="185"/>
        <v>1.5724946955034498E-5</v>
      </c>
      <c r="AU740" s="22">
        <f t="shared" si="185"/>
        <v>1.572867261939389E-5</v>
      </c>
      <c r="AV740" s="22">
        <f t="shared" si="185"/>
        <v>1.5733520584102464E-5</v>
      </c>
      <c r="AW740" s="22">
        <f t="shared" si="185"/>
        <v>1.5739452625419502E-5</v>
      </c>
      <c r="AY740" s="85"/>
      <c r="AZ740" s="85"/>
    </row>
    <row r="741" spans="1:52" x14ac:dyDescent="0.25">
      <c r="A741" s="102" t="str">
        <f t="shared" si="176"/>
        <v>NI MM Volatilisation</v>
      </c>
      <c r="B741" s="102" t="s">
        <v>970</v>
      </c>
      <c r="C741" s="102" t="s">
        <v>1333</v>
      </c>
      <c r="D741" t="s">
        <v>369</v>
      </c>
      <c r="E741" t="s">
        <v>64</v>
      </c>
      <c r="F741" t="s">
        <v>62</v>
      </c>
      <c r="G741" t="s">
        <v>1171</v>
      </c>
      <c r="H741" t="s">
        <v>1300</v>
      </c>
      <c r="I741" t="s">
        <v>139</v>
      </c>
      <c r="J741" t="s">
        <v>287</v>
      </c>
      <c r="K741" s="22">
        <f t="shared" ref="K741:AW741" si="186">K1540</f>
        <v>1.4737874698328016E-3</v>
      </c>
      <c r="L741" s="22">
        <f t="shared" si="186"/>
        <v>1.4776314566561611E-3</v>
      </c>
      <c r="M741" s="22">
        <f t="shared" si="186"/>
        <v>1.4827539096036295E-3</v>
      </c>
      <c r="N741" s="22">
        <f t="shared" si="186"/>
        <v>1.4890409464814621E-3</v>
      </c>
      <c r="O741" s="22">
        <f t="shared" si="186"/>
        <v>1.4965681168319985E-3</v>
      </c>
      <c r="P741" s="22">
        <f t="shared" si="186"/>
        <v>1.5053554513738414E-3</v>
      </c>
      <c r="Q741" s="22">
        <f t="shared" si="186"/>
        <v>1.5147507319940522E-3</v>
      </c>
      <c r="R741" s="22">
        <f t="shared" si="186"/>
        <v>1.5246196138821182E-3</v>
      </c>
      <c r="S741" s="22">
        <f t="shared" si="186"/>
        <v>1.5337873716895019E-3</v>
      </c>
      <c r="T741" s="22">
        <f t="shared" si="186"/>
        <v>1.5380836623081961E-3</v>
      </c>
      <c r="U741" s="22">
        <f t="shared" si="186"/>
        <v>1.5427947831210876E-3</v>
      </c>
      <c r="V741" s="22">
        <f t="shared" si="186"/>
        <v>1.5479267126594486E-3</v>
      </c>
      <c r="W741" s="22">
        <f t="shared" si="186"/>
        <v>1.5535080898318955E-3</v>
      </c>
      <c r="X741" s="22">
        <f t="shared" si="186"/>
        <v>1.5594637678172844E-3</v>
      </c>
      <c r="Y741" s="22">
        <f t="shared" si="186"/>
        <v>1.5632283222502894E-3</v>
      </c>
      <c r="Z741" s="22">
        <f t="shared" si="186"/>
        <v>1.5673013787146175E-3</v>
      </c>
      <c r="AA741" s="22">
        <f t="shared" si="186"/>
        <v>1.5716997877088814E-3</v>
      </c>
      <c r="AB741" s="22">
        <f t="shared" si="186"/>
        <v>1.5763629962652517E-3</v>
      </c>
      <c r="AC741" s="22">
        <f t="shared" si="186"/>
        <v>1.5813096577318795E-3</v>
      </c>
      <c r="AD741" s="22">
        <f t="shared" si="186"/>
        <v>1.5845493925361778E-3</v>
      </c>
      <c r="AE741" s="22">
        <f t="shared" si="186"/>
        <v>1.5880629081496864E-3</v>
      </c>
      <c r="AF741" s="22">
        <f t="shared" si="186"/>
        <v>1.591820501669672E-3</v>
      </c>
      <c r="AG741" s="22">
        <f t="shared" si="186"/>
        <v>1.5953971815428655E-3</v>
      </c>
      <c r="AH741" s="22">
        <f t="shared" si="186"/>
        <v>1.5797619060376521E-3</v>
      </c>
      <c r="AI741" s="22">
        <f t="shared" si="186"/>
        <v>1.5818539101758679E-3</v>
      </c>
      <c r="AJ741" s="22">
        <f t="shared" si="186"/>
        <v>1.5841334939611631E-3</v>
      </c>
      <c r="AK741" s="22">
        <f t="shared" si="186"/>
        <v>1.5865930396280227E-3</v>
      </c>
      <c r="AL741" s="22">
        <f t="shared" si="186"/>
        <v>1.5892255202874612E-3</v>
      </c>
      <c r="AM741" s="22">
        <f t="shared" si="186"/>
        <v>1.5920244433517013E-3</v>
      </c>
      <c r="AN741" s="22">
        <f t="shared" si="186"/>
        <v>1.5932258766273534E-3</v>
      </c>
      <c r="AO741" s="22">
        <f t="shared" si="186"/>
        <v>1.5945772523394538E-3</v>
      </c>
      <c r="AP741" s="22">
        <f t="shared" si="186"/>
        <v>1.5960729176653851E-3</v>
      </c>
      <c r="AQ741" s="22">
        <f t="shared" si="186"/>
        <v>1.5977076075794545E-3</v>
      </c>
      <c r="AR741" s="22">
        <f t="shared" si="186"/>
        <v>1.599476411629218E-3</v>
      </c>
      <c r="AS741" s="22">
        <f t="shared" si="186"/>
        <v>1.5996144136175981E-3</v>
      </c>
      <c r="AT741" s="22">
        <f t="shared" si="186"/>
        <v>1.599875145211802E-3</v>
      </c>
      <c r="AU741" s="22">
        <f t="shared" si="186"/>
        <v>1.6002541988152919E-3</v>
      </c>
      <c r="AV741" s="22">
        <f t="shared" si="186"/>
        <v>1.6007474366153491E-3</v>
      </c>
      <c r="AW741" s="22">
        <f t="shared" si="186"/>
        <v>1.601350969682305E-3</v>
      </c>
      <c r="AY741" s="85"/>
      <c r="AZ741" s="85"/>
    </row>
    <row r="742" spans="1:52" x14ac:dyDescent="0.25">
      <c r="A742" s="102" t="str">
        <f t="shared" si="176"/>
        <v>NI MM Volatilisation</v>
      </c>
      <c r="B742" s="102" t="s">
        <v>970</v>
      </c>
      <c r="C742" s="102" t="s">
        <v>1333</v>
      </c>
      <c r="D742" t="s">
        <v>369</v>
      </c>
      <c r="E742" t="s">
        <v>64</v>
      </c>
      <c r="F742" t="s">
        <v>62</v>
      </c>
      <c r="G742" t="s">
        <v>1173</v>
      </c>
      <c r="H742" t="s">
        <v>1301</v>
      </c>
      <c r="I742" t="s">
        <v>139</v>
      </c>
      <c r="J742" t="s">
        <v>287</v>
      </c>
      <c r="K742" s="22">
        <f t="shared" ref="K742:AW742" si="187">K1541</f>
        <v>0</v>
      </c>
      <c r="L742" s="22">
        <f t="shared" si="187"/>
        <v>0</v>
      </c>
      <c r="M742" s="22">
        <f t="shared" si="187"/>
        <v>0</v>
      </c>
      <c r="N742" s="22">
        <f t="shared" si="187"/>
        <v>0</v>
      </c>
      <c r="O742" s="22">
        <f t="shared" si="187"/>
        <v>0</v>
      </c>
      <c r="P742" s="22">
        <f t="shared" si="187"/>
        <v>0</v>
      </c>
      <c r="Q742" s="22">
        <f t="shared" si="187"/>
        <v>0</v>
      </c>
      <c r="R742" s="22">
        <f t="shared" si="187"/>
        <v>0</v>
      </c>
      <c r="S742" s="22">
        <f t="shared" si="187"/>
        <v>0</v>
      </c>
      <c r="T742" s="22">
        <f t="shared" si="187"/>
        <v>0</v>
      </c>
      <c r="U742" s="22">
        <f t="shared" si="187"/>
        <v>0</v>
      </c>
      <c r="V742" s="22">
        <f t="shared" si="187"/>
        <v>0</v>
      </c>
      <c r="W742" s="22">
        <f t="shared" si="187"/>
        <v>0</v>
      </c>
      <c r="X742" s="22">
        <f t="shared" si="187"/>
        <v>0</v>
      </c>
      <c r="Y742" s="22">
        <f t="shared" si="187"/>
        <v>0</v>
      </c>
      <c r="Z742" s="22">
        <f t="shared" si="187"/>
        <v>0</v>
      </c>
      <c r="AA742" s="22">
        <f t="shared" si="187"/>
        <v>0</v>
      </c>
      <c r="AB742" s="22">
        <f t="shared" si="187"/>
        <v>0</v>
      </c>
      <c r="AC742" s="22">
        <f t="shared" si="187"/>
        <v>0</v>
      </c>
      <c r="AD742" s="22">
        <f t="shared" si="187"/>
        <v>0</v>
      </c>
      <c r="AE742" s="22">
        <f t="shared" si="187"/>
        <v>0</v>
      </c>
      <c r="AF742" s="22">
        <f t="shared" si="187"/>
        <v>0</v>
      </c>
      <c r="AG742" s="22">
        <f t="shared" si="187"/>
        <v>0</v>
      </c>
      <c r="AH742" s="22">
        <f t="shared" si="187"/>
        <v>0</v>
      </c>
      <c r="AI742" s="22">
        <f t="shared" si="187"/>
        <v>0</v>
      </c>
      <c r="AJ742" s="22">
        <f t="shared" si="187"/>
        <v>0</v>
      </c>
      <c r="AK742" s="22">
        <f t="shared" si="187"/>
        <v>0</v>
      </c>
      <c r="AL742" s="22">
        <f t="shared" si="187"/>
        <v>0</v>
      </c>
      <c r="AM742" s="22">
        <f t="shared" si="187"/>
        <v>0</v>
      </c>
      <c r="AN742" s="22">
        <f t="shared" si="187"/>
        <v>0</v>
      </c>
      <c r="AO742" s="22">
        <f t="shared" si="187"/>
        <v>0</v>
      </c>
      <c r="AP742" s="22">
        <f t="shared" si="187"/>
        <v>0</v>
      </c>
      <c r="AQ742" s="22">
        <f t="shared" si="187"/>
        <v>0</v>
      </c>
      <c r="AR742" s="22">
        <f t="shared" si="187"/>
        <v>0</v>
      </c>
      <c r="AS742" s="22">
        <f t="shared" si="187"/>
        <v>0</v>
      </c>
      <c r="AT742" s="22">
        <f t="shared" si="187"/>
        <v>0</v>
      </c>
      <c r="AU742" s="22">
        <f t="shared" si="187"/>
        <v>0</v>
      </c>
      <c r="AV742" s="22">
        <f t="shared" si="187"/>
        <v>0</v>
      </c>
      <c r="AW742" s="22">
        <f t="shared" si="187"/>
        <v>0</v>
      </c>
      <c r="AY742" s="85"/>
      <c r="AZ742" s="85"/>
    </row>
    <row r="743" spans="1:52" x14ac:dyDescent="0.25">
      <c r="A743" s="102" t="str">
        <f t="shared" si="176"/>
        <v>NI MM Volatilisation</v>
      </c>
      <c r="B743" s="102" t="s">
        <v>970</v>
      </c>
      <c r="C743" s="102" t="s">
        <v>1333</v>
      </c>
      <c r="D743" t="s">
        <v>369</v>
      </c>
      <c r="E743" t="s">
        <v>64</v>
      </c>
      <c r="F743" t="s">
        <v>62</v>
      </c>
      <c r="G743" t="s">
        <v>1175</v>
      </c>
      <c r="H743" t="s">
        <v>1302</v>
      </c>
      <c r="I743" t="s">
        <v>139</v>
      </c>
      <c r="J743" t="s">
        <v>287</v>
      </c>
      <c r="K743" s="22">
        <f t="shared" ref="K743:AW743" si="188">K1542</f>
        <v>0</v>
      </c>
      <c r="L743" s="22">
        <f t="shared" si="188"/>
        <v>0</v>
      </c>
      <c r="M743" s="22">
        <f t="shared" si="188"/>
        <v>0</v>
      </c>
      <c r="N743" s="22">
        <f t="shared" si="188"/>
        <v>0</v>
      </c>
      <c r="O743" s="22">
        <f t="shared" si="188"/>
        <v>0</v>
      </c>
      <c r="P743" s="22">
        <f t="shared" si="188"/>
        <v>0</v>
      </c>
      <c r="Q743" s="22">
        <f t="shared" si="188"/>
        <v>0</v>
      </c>
      <c r="R743" s="22">
        <f t="shared" si="188"/>
        <v>0</v>
      </c>
      <c r="S743" s="22">
        <f t="shared" si="188"/>
        <v>0</v>
      </c>
      <c r="T743" s="22">
        <f t="shared" si="188"/>
        <v>0</v>
      </c>
      <c r="U743" s="22">
        <f t="shared" si="188"/>
        <v>0</v>
      </c>
      <c r="V743" s="22">
        <f t="shared" si="188"/>
        <v>0</v>
      </c>
      <c r="W743" s="22">
        <f t="shared" si="188"/>
        <v>0</v>
      </c>
      <c r="X743" s="22">
        <f t="shared" si="188"/>
        <v>0</v>
      </c>
      <c r="Y743" s="22">
        <f t="shared" si="188"/>
        <v>0</v>
      </c>
      <c r="Z743" s="22">
        <f t="shared" si="188"/>
        <v>0</v>
      </c>
      <c r="AA743" s="22">
        <f t="shared" si="188"/>
        <v>0</v>
      </c>
      <c r="AB743" s="22">
        <f t="shared" si="188"/>
        <v>0</v>
      </c>
      <c r="AC743" s="22">
        <f t="shared" si="188"/>
        <v>0</v>
      </c>
      <c r="AD743" s="22">
        <f t="shared" si="188"/>
        <v>0</v>
      </c>
      <c r="AE743" s="22">
        <f t="shared" si="188"/>
        <v>0</v>
      </c>
      <c r="AF743" s="22">
        <f t="shared" si="188"/>
        <v>0</v>
      </c>
      <c r="AG743" s="22">
        <f t="shared" si="188"/>
        <v>0</v>
      </c>
      <c r="AH743" s="22">
        <f t="shared" si="188"/>
        <v>0</v>
      </c>
      <c r="AI743" s="22">
        <f t="shared" si="188"/>
        <v>0</v>
      </c>
      <c r="AJ743" s="22">
        <f t="shared" si="188"/>
        <v>0</v>
      </c>
      <c r="AK743" s="22">
        <f t="shared" si="188"/>
        <v>0</v>
      </c>
      <c r="AL743" s="22">
        <f t="shared" si="188"/>
        <v>0</v>
      </c>
      <c r="AM743" s="22">
        <f t="shared" si="188"/>
        <v>0</v>
      </c>
      <c r="AN743" s="22">
        <f t="shared" si="188"/>
        <v>0</v>
      </c>
      <c r="AO743" s="22">
        <f t="shared" si="188"/>
        <v>0</v>
      </c>
      <c r="AP743" s="22">
        <f t="shared" si="188"/>
        <v>0</v>
      </c>
      <c r="AQ743" s="22">
        <f t="shared" si="188"/>
        <v>0</v>
      </c>
      <c r="AR743" s="22">
        <f t="shared" si="188"/>
        <v>0</v>
      </c>
      <c r="AS743" s="22">
        <f t="shared" si="188"/>
        <v>0</v>
      </c>
      <c r="AT743" s="22">
        <f t="shared" si="188"/>
        <v>0</v>
      </c>
      <c r="AU743" s="22">
        <f t="shared" si="188"/>
        <v>0</v>
      </c>
      <c r="AV743" s="22">
        <f t="shared" si="188"/>
        <v>0</v>
      </c>
      <c r="AW743" s="22">
        <f t="shared" si="188"/>
        <v>0</v>
      </c>
      <c r="AY743" s="85"/>
      <c r="AZ743" s="85"/>
    </row>
    <row r="744" spans="1:52" x14ac:dyDescent="0.25">
      <c r="A744" s="102" t="str">
        <f t="shared" si="176"/>
        <v>NI MM Volatilisation</v>
      </c>
      <c r="B744" s="102" t="s">
        <v>970</v>
      </c>
      <c r="C744" s="102" t="s">
        <v>1333</v>
      </c>
      <c r="D744" t="s">
        <v>369</v>
      </c>
      <c r="E744" t="s">
        <v>64</v>
      </c>
      <c r="F744" t="s">
        <v>62</v>
      </c>
      <c r="G744" t="s">
        <v>1177</v>
      </c>
      <c r="H744" t="s">
        <v>1303</v>
      </c>
      <c r="I744" t="s">
        <v>139</v>
      </c>
      <c r="J744" t="s">
        <v>287</v>
      </c>
      <c r="K744" s="22">
        <f t="shared" ref="K744:AW744" si="189">K1543</f>
        <v>0.13175582522236642</v>
      </c>
      <c r="L744" s="22">
        <f t="shared" si="189"/>
        <v>0.13133995591331252</v>
      </c>
      <c r="M744" s="22">
        <f t="shared" si="189"/>
        <v>0.12996467924172889</v>
      </c>
      <c r="N744" s="22">
        <f t="shared" si="189"/>
        <v>0.12729440169626086</v>
      </c>
      <c r="O744" s="22">
        <f t="shared" si="189"/>
        <v>0.124740958232787</v>
      </c>
      <c r="P744" s="22">
        <f t="shared" si="189"/>
        <v>0.12294968484167307</v>
      </c>
      <c r="Q744" s="22">
        <f t="shared" si="189"/>
        <v>0.12143262568999565</v>
      </c>
      <c r="R744" s="22">
        <f t="shared" si="189"/>
        <v>0.11863912133480742</v>
      </c>
      <c r="S744" s="22">
        <f t="shared" si="189"/>
        <v>0.10385956683599189</v>
      </c>
      <c r="T744" s="22">
        <f t="shared" si="189"/>
        <v>0.10451955212302086</v>
      </c>
      <c r="U744" s="22">
        <f t="shared" si="189"/>
        <v>0.10485083769828313</v>
      </c>
      <c r="V744" s="22">
        <f t="shared" si="189"/>
        <v>0.10517291212466306</v>
      </c>
      <c r="W744" s="22">
        <f t="shared" si="189"/>
        <v>0.10595961192608362</v>
      </c>
      <c r="X744" s="22">
        <f t="shared" si="189"/>
        <v>0.10671986419880256</v>
      </c>
      <c r="Y744" s="22">
        <f t="shared" si="189"/>
        <v>0.10759206833097582</v>
      </c>
      <c r="Z744" s="22">
        <f t="shared" si="189"/>
        <v>0.10832415148302713</v>
      </c>
      <c r="AA744" s="22">
        <f t="shared" si="189"/>
        <v>0.10920394511601654</v>
      </c>
      <c r="AB744" s="22">
        <f t="shared" si="189"/>
        <v>0.10984438432762617</v>
      </c>
      <c r="AC744" s="22">
        <f t="shared" si="189"/>
        <v>0.11051807029951835</v>
      </c>
      <c r="AD744" s="22">
        <f t="shared" si="189"/>
        <v>0.11176064621994924</v>
      </c>
      <c r="AE744" s="22">
        <f t="shared" si="189"/>
        <v>0.11321217775824029</v>
      </c>
      <c r="AF744" s="22">
        <f t="shared" si="189"/>
        <v>0.11471425126432638</v>
      </c>
      <c r="AG744" s="22">
        <f t="shared" si="189"/>
        <v>0.11302605462152289</v>
      </c>
      <c r="AH744" s="22">
        <f t="shared" si="189"/>
        <v>-3.8135833829008307E-2</v>
      </c>
      <c r="AI744" s="22">
        <f t="shared" si="189"/>
        <v>-3.7718689403419284E-2</v>
      </c>
      <c r="AJ744" s="22">
        <f t="shared" si="189"/>
        <v>-3.7310479618025916E-2</v>
      </c>
      <c r="AK744" s="22">
        <f t="shared" si="189"/>
        <v>-3.6910619979896454E-2</v>
      </c>
      <c r="AL744" s="22">
        <f t="shared" si="189"/>
        <v>-3.6518568792738119E-2</v>
      </c>
      <c r="AM744" s="22">
        <f t="shared" si="189"/>
        <v>-3.6133823018213627E-2</v>
      </c>
      <c r="AN744" s="22">
        <f t="shared" si="189"/>
        <v>-3.5711833561214323E-2</v>
      </c>
      <c r="AO744" s="22">
        <f t="shared" si="189"/>
        <v>-3.5297284374171914E-2</v>
      </c>
      <c r="AP744" s="22">
        <f t="shared" si="189"/>
        <v>-3.4889740911291982E-2</v>
      </c>
      <c r="AQ744" s="22">
        <f t="shared" si="189"/>
        <v>-3.4488797010350791E-2</v>
      </c>
      <c r="AR744" s="22">
        <f t="shared" si="189"/>
        <v>-3.4094072440282994E-2</v>
      </c>
      <c r="AS744" s="22">
        <f t="shared" si="189"/>
        <v>-3.3663911026345139E-2</v>
      </c>
      <c r="AT744" s="22">
        <f t="shared" si="189"/>
        <v>-3.3240319741355787E-2</v>
      </c>
      <c r="AU744" s="22">
        <f t="shared" si="189"/>
        <v>-3.2822960396725463E-2</v>
      </c>
      <c r="AV744" s="22">
        <f t="shared" si="189"/>
        <v>-3.2411514785230008E-2</v>
      </c>
      <c r="AW744" s="22">
        <f t="shared" si="189"/>
        <v>-3.2005683123121166E-2</v>
      </c>
      <c r="AY744" s="85"/>
      <c r="AZ744" s="85"/>
    </row>
    <row r="745" spans="1:52" x14ac:dyDescent="0.25">
      <c r="A745" s="102" t="str">
        <f t="shared" si="176"/>
        <v>NI MM Volatilisation</v>
      </c>
      <c r="B745" s="102" t="s">
        <v>970</v>
      </c>
      <c r="C745" s="102" t="s">
        <v>1333</v>
      </c>
      <c r="D745" t="s">
        <v>369</v>
      </c>
      <c r="E745" t="s">
        <v>64</v>
      </c>
      <c r="F745" t="s">
        <v>62</v>
      </c>
      <c r="G745" t="s">
        <v>1179</v>
      </c>
      <c r="H745" t="s">
        <v>1304</v>
      </c>
      <c r="I745" t="s">
        <v>139</v>
      </c>
      <c r="J745" t="s">
        <v>287</v>
      </c>
      <c r="K745" s="22">
        <f t="shared" ref="K745:AW745" si="190">K1544</f>
        <v>1.2821907264588839E-2</v>
      </c>
      <c r="L745" s="22">
        <f t="shared" si="190"/>
        <v>1.2781436661441853E-2</v>
      </c>
      <c r="M745" s="22">
        <f t="shared" si="190"/>
        <v>1.2647600681769325E-2</v>
      </c>
      <c r="N745" s="22">
        <f t="shared" si="190"/>
        <v>1.2387740815984108E-2</v>
      </c>
      <c r="O745" s="22">
        <f t="shared" si="190"/>
        <v>1.2139250737926637E-2</v>
      </c>
      <c r="P745" s="22">
        <f t="shared" si="190"/>
        <v>1.196493175607042E-2</v>
      </c>
      <c r="Q745" s="22">
        <f t="shared" si="190"/>
        <v>1.1817298118431442E-2</v>
      </c>
      <c r="R745" s="22">
        <f t="shared" si="190"/>
        <v>1.1545446352295121E-2</v>
      </c>
      <c r="S745" s="22">
        <f t="shared" si="190"/>
        <v>1.0107164007845277E-2</v>
      </c>
      <c r="T745" s="22">
        <f t="shared" si="190"/>
        <v>1.0171390922533838E-2</v>
      </c>
      <c r="U745" s="22">
        <f t="shared" si="190"/>
        <v>1.020363020240583E-2</v>
      </c>
      <c r="V745" s="22">
        <f t="shared" si="190"/>
        <v>1.0234973093092974E-2</v>
      </c>
      <c r="W745" s="22">
        <f t="shared" si="190"/>
        <v>1.0311531316472175E-2</v>
      </c>
      <c r="X745" s="22">
        <f t="shared" si="190"/>
        <v>1.0385515780703972E-2</v>
      </c>
      <c r="Y745" s="22">
        <f t="shared" si="190"/>
        <v>1.0470394915874219E-2</v>
      </c>
      <c r="Z745" s="22">
        <f t="shared" si="190"/>
        <v>1.0541638083071781E-2</v>
      </c>
      <c r="AA745" s="22">
        <f t="shared" si="190"/>
        <v>1.0627255795648265E-2</v>
      </c>
      <c r="AB745" s="22">
        <f t="shared" si="190"/>
        <v>1.0689580570784438E-2</v>
      </c>
      <c r="AC745" s="22">
        <f t="shared" si="190"/>
        <v>1.0755140776889006E-2</v>
      </c>
      <c r="AD745" s="22">
        <f t="shared" si="190"/>
        <v>1.0876062893190786E-2</v>
      </c>
      <c r="AE745" s="22">
        <f t="shared" si="190"/>
        <v>1.1017319666803515E-2</v>
      </c>
      <c r="AF745" s="22">
        <f t="shared" si="190"/>
        <v>1.1163494966203955E-2</v>
      </c>
      <c r="AG745" s="22">
        <f t="shared" si="190"/>
        <v>1.0999206967841195E-2</v>
      </c>
      <c r="AH745" s="22">
        <f t="shared" si="190"/>
        <v>-3.7112144680363467E-3</v>
      </c>
      <c r="AI745" s="22">
        <f t="shared" si="190"/>
        <v>-3.6706197760611272E-3</v>
      </c>
      <c r="AJ745" s="22">
        <f t="shared" si="190"/>
        <v>-3.6308945646408518E-3</v>
      </c>
      <c r="AK745" s="22">
        <f t="shared" si="190"/>
        <v>-3.5919819534504542E-3</v>
      </c>
      <c r="AL745" s="22">
        <f t="shared" si="190"/>
        <v>-3.5538292269487438E-3</v>
      </c>
      <c r="AM745" s="22">
        <f t="shared" si="190"/>
        <v>-3.5163874316196208E-3</v>
      </c>
      <c r="AN745" s="22">
        <f t="shared" si="190"/>
        <v>-3.4753212421350377E-3</v>
      </c>
      <c r="AO745" s="22">
        <f t="shared" si="190"/>
        <v>-3.4349791075546665E-3</v>
      </c>
      <c r="AP745" s="22">
        <f t="shared" si="190"/>
        <v>-3.3953187397605549E-3</v>
      </c>
      <c r="AQ745" s="22">
        <f t="shared" si="190"/>
        <v>-3.3563006128011267E-3</v>
      </c>
      <c r="AR745" s="22">
        <f t="shared" si="190"/>
        <v>-3.3178877242330336E-3</v>
      </c>
      <c r="AS745" s="22">
        <f t="shared" si="190"/>
        <v>-3.2760262752306304E-3</v>
      </c>
      <c r="AT745" s="22">
        <f t="shared" si="190"/>
        <v>-3.2348042027715565E-3</v>
      </c>
      <c r="AU745" s="22">
        <f t="shared" si="190"/>
        <v>-3.1941885958044411E-3</v>
      </c>
      <c r="AV745" s="22">
        <f t="shared" si="190"/>
        <v>-3.1541484877779971E-3</v>
      </c>
      <c r="AW745" s="22">
        <f t="shared" si="190"/>
        <v>-3.1146547050339602E-3</v>
      </c>
      <c r="AY745" s="85"/>
      <c r="AZ745" s="85"/>
    </row>
    <row r="746" spans="1:52" x14ac:dyDescent="0.25">
      <c r="A746" s="102" t="str">
        <f t="shared" si="176"/>
        <v>NI MM Volatilisation</v>
      </c>
      <c r="B746" s="102" t="s">
        <v>970</v>
      </c>
      <c r="C746" s="102" t="s">
        <v>1333</v>
      </c>
      <c r="D746" t="s">
        <v>369</v>
      </c>
      <c r="E746" t="s">
        <v>64</v>
      </c>
      <c r="F746" t="s">
        <v>62</v>
      </c>
      <c r="G746" t="s">
        <v>1181</v>
      </c>
      <c r="H746" t="s">
        <v>1305</v>
      </c>
      <c r="I746" t="s">
        <v>139</v>
      </c>
      <c r="J746" t="s">
        <v>287</v>
      </c>
      <c r="K746" s="22">
        <f t="shared" ref="K746:AW746" si="191">K1545</f>
        <v>6.4805763262647462E-2</v>
      </c>
      <c r="L746" s="22">
        <f t="shared" si="191"/>
        <v>6.620917696085285E-2</v>
      </c>
      <c r="M746" s="22">
        <f t="shared" si="191"/>
        <v>6.7339988183967914E-2</v>
      </c>
      <c r="N746" s="22">
        <f t="shared" si="191"/>
        <v>6.8078843848603895E-2</v>
      </c>
      <c r="O746" s="22">
        <f t="shared" si="191"/>
        <v>6.8827728157938209E-2</v>
      </c>
      <c r="P746" s="22">
        <f t="shared" si="191"/>
        <v>6.9793181329029633E-2</v>
      </c>
      <c r="Q746" s="22">
        <f t="shared" si="191"/>
        <v>7.0825640221860539E-2</v>
      </c>
      <c r="R746" s="22">
        <f t="shared" si="191"/>
        <v>7.1426070236781977E-2</v>
      </c>
      <c r="S746" s="22">
        <f t="shared" si="191"/>
        <v>6.7971896986057309E-2</v>
      </c>
      <c r="T746" s="22">
        <f t="shared" si="191"/>
        <v>6.9431161818386017E-2</v>
      </c>
      <c r="U746" s="22">
        <f t="shared" si="191"/>
        <v>7.0793385596642902E-2</v>
      </c>
      <c r="V746" s="22">
        <f t="shared" si="191"/>
        <v>7.216636340015109E-2</v>
      </c>
      <c r="W746" s="22">
        <f t="shared" si="191"/>
        <v>7.3724598547713793E-2</v>
      </c>
      <c r="X746" s="22">
        <f t="shared" si="191"/>
        <v>7.5295777535110922E-2</v>
      </c>
      <c r="Y746" s="22">
        <f t="shared" si="191"/>
        <v>7.6868953264879816E-2</v>
      </c>
      <c r="Z746" s="22">
        <f t="shared" si="191"/>
        <v>7.8411785567373049E-2</v>
      </c>
      <c r="AA746" s="22">
        <f t="shared" si="191"/>
        <v>8.0036606766420104E-2</v>
      </c>
      <c r="AB746" s="22">
        <f t="shared" si="191"/>
        <v>8.1590030948431091E-2</v>
      </c>
      <c r="AC746" s="22">
        <f t="shared" si="191"/>
        <v>8.3180296189840519E-2</v>
      </c>
      <c r="AD746" s="22">
        <f t="shared" si="191"/>
        <v>8.498335225395226E-2</v>
      </c>
      <c r="AE746" s="22">
        <f t="shared" si="191"/>
        <v>8.691067585568038E-2</v>
      </c>
      <c r="AF746" s="22">
        <f t="shared" si="191"/>
        <v>8.8898633943391286E-2</v>
      </c>
      <c r="AG746" s="22">
        <f t="shared" si="191"/>
        <v>8.9490348349999485E-2</v>
      </c>
      <c r="AH746" s="22">
        <f t="shared" si="191"/>
        <v>2.1450020418190146E-2</v>
      </c>
      <c r="AI746" s="22">
        <f t="shared" si="191"/>
        <v>2.1614881965790762E-2</v>
      </c>
      <c r="AJ746" s="22">
        <f t="shared" si="191"/>
        <v>2.1780943831055617E-2</v>
      </c>
      <c r="AK746" s="22">
        <f t="shared" si="191"/>
        <v>2.1948215154072734E-2</v>
      </c>
      <c r="AL746" s="22">
        <f t="shared" si="191"/>
        <v>2.2116705116436826E-2</v>
      </c>
      <c r="AM746" s="22">
        <f t="shared" si="191"/>
        <v>2.2286422943949849E-2</v>
      </c>
      <c r="AN746" s="22">
        <f t="shared" si="191"/>
        <v>2.2431505853437582E-2</v>
      </c>
      <c r="AO746" s="22">
        <f t="shared" si="191"/>
        <v>2.2577484325720341E-2</v>
      </c>
      <c r="AP746" s="22">
        <f t="shared" si="191"/>
        <v>2.2724364182075539E-2</v>
      </c>
      <c r="AQ746" s="22">
        <f t="shared" si="191"/>
        <v>2.2872151263259987E-2</v>
      </c>
      <c r="AR746" s="22">
        <f t="shared" si="191"/>
        <v>2.3020851431037954E-2</v>
      </c>
      <c r="AS746" s="22">
        <f t="shared" si="191"/>
        <v>2.3143882531625137E-2</v>
      </c>
      <c r="AT746" s="22">
        <f t="shared" si="191"/>
        <v>2.3267536914699297E-2</v>
      </c>
      <c r="AU746" s="22">
        <f t="shared" si="191"/>
        <v>2.3391817960867468E-2</v>
      </c>
      <c r="AV746" s="22">
        <f t="shared" si="191"/>
        <v>2.3516729056424043E-2</v>
      </c>
      <c r="AW746" s="22">
        <f t="shared" si="191"/>
        <v>2.3642273594262703E-2</v>
      </c>
      <c r="AY746" s="85"/>
      <c r="AZ746" s="85"/>
    </row>
    <row r="747" spans="1:52" x14ac:dyDescent="0.25">
      <c r="A747" s="102" t="str">
        <f t="shared" si="176"/>
        <v>NI MM Volatilisation</v>
      </c>
      <c r="B747" s="102" t="s">
        <v>970</v>
      </c>
      <c r="C747" s="102" t="s">
        <v>1333</v>
      </c>
      <c r="D747" t="s">
        <v>369</v>
      </c>
      <c r="E747" t="s">
        <v>64</v>
      </c>
      <c r="F747" t="s">
        <v>62</v>
      </c>
      <c r="G747" t="s">
        <v>1183</v>
      </c>
      <c r="H747" t="s">
        <v>1306</v>
      </c>
      <c r="I747" t="s">
        <v>139</v>
      </c>
      <c r="J747" t="s">
        <v>287</v>
      </c>
      <c r="K747" s="22">
        <f t="shared" ref="K747:AW747" si="192">K1546</f>
        <v>0.31397927588300406</v>
      </c>
      <c r="L747" s="22">
        <f t="shared" si="192"/>
        <v>0.31907441675710629</v>
      </c>
      <c r="M747" s="22">
        <f t="shared" si="192"/>
        <v>0.3205872704742006</v>
      </c>
      <c r="N747" s="22">
        <f t="shared" si="192"/>
        <v>0.31719609082412314</v>
      </c>
      <c r="O747" s="22">
        <f t="shared" si="192"/>
        <v>0.3138121925530904</v>
      </c>
      <c r="P747" s="22">
        <f t="shared" si="192"/>
        <v>0.31283032074973627</v>
      </c>
      <c r="Q747" s="22">
        <f t="shared" si="192"/>
        <v>0.31262578069676783</v>
      </c>
      <c r="R747" s="22">
        <f t="shared" si="192"/>
        <v>0.30741109145699391</v>
      </c>
      <c r="S747" s="22">
        <f t="shared" si="192"/>
        <v>0.256148371105961</v>
      </c>
      <c r="T747" s="22">
        <f t="shared" si="192"/>
        <v>0.26370410916808512</v>
      </c>
      <c r="U747" s="22">
        <f t="shared" si="192"/>
        <v>0.27001969138915061</v>
      </c>
      <c r="V747" s="22">
        <f t="shared" si="192"/>
        <v>0.2763199496036185</v>
      </c>
      <c r="W747" s="22">
        <f t="shared" si="192"/>
        <v>0.28451678455475204</v>
      </c>
      <c r="X747" s="22">
        <f t="shared" si="192"/>
        <v>0.29268901518137719</v>
      </c>
      <c r="Y747" s="22">
        <f t="shared" si="192"/>
        <v>0.30166157988430881</v>
      </c>
      <c r="Z747" s="22">
        <f t="shared" si="192"/>
        <v>0.31015505304721058</v>
      </c>
      <c r="AA747" s="22">
        <f t="shared" si="192"/>
        <v>0.31937286090334316</v>
      </c>
      <c r="AB747" s="22">
        <f t="shared" si="192"/>
        <v>0.32768435170975169</v>
      </c>
      <c r="AC747" s="22">
        <f t="shared" si="192"/>
        <v>0.3362412673320212</v>
      </c>
      <c r="AD747" s="22">
        <f t="shared" si="192"/>
        <v>0.34761278711237292</v>
      </c>
      <c r="AE747" s="22">
        <f t="shared" si="192"/>
        <v>0.36009727200869485</v>
      </c>
      <c r="AF747" s="22">
        <f t="shared" si="192"/>
        <v>0.37302207723672137</v>
      </c>
      <c r="AG747" s="22">
        <f t="shared" si="192"/>
        <v>0.37158281441490282</v>
      </c>
      <c r="AH747" s="22">
        <f t="shared" si="192"/>
        <v>-0.32225581682934024</v>
      </c>
      <c r="AI747" s="22">
        <f t="shared" si="192"/>
        <v>-0.32271754342348513</v>
      </c>
      <c r="AJ747" s="22">
        <f t="shared" si="192"/>
        <v>-0.32321834210238065</v>
      </c>
      <c r="AK747" s="22">
        <f t="shared" si="192"/>
        <v>-0.32375658230947413</v>
      </c>
      <c r="AL747" s="22">
        <f t="shared" si="192"/>
        <v>-0.32433076013748197</v>
      </c>
      <c r="AM747" s="22">
        <f t="shared" si="192"/>
        <v>-0.32493948616259549</v>
      </c>
      <c r="AN747" s="22">
        <f t="shared" si="192"/>
        <v>-0.32519002694092081</v>
      </c>
      <c r="AO747" s="22">
        <f t="shared" si="192"/>
        <v>-0.32547196769911135</v>
      </c>
      <c r="AP747" s="22">
        <f t="shared" si="192"/>
        <v>-0.32578408919193652</v>
      </c>
      <c r="AQ747" s="22">
        <f t="shared" si="192"/>
        <v>-0.32612525589272406</v>
      </c>
      <c r="AR747" s="22">
        <f t="shared" si="192"/>
        <v>-0.32649440879969549</v>
      </c>
      <c r="AS747" s="22">
        <f t="shared" si="192"/>
        <v>-0.32649961480368156</v>
      </c>
      <c r="AT747" s="22">
        <f t="shared" si="192"/>
        <v>-0.32653073845215902</v>
      </c>
      <c r="AU747" s="22">
        <f t="shared" si="192"/>
        <v>-0.326586821501688</v>
      </c>
      <c r="AV747" s="22">
        <f t="shared" si="192"/>
        <v>-0.32666696441292659</v>
      </c>
      <c r="AW747" s="22">
        <f t="shared" si="192"/>
        <v>-0.32677032179119497</v>
      </c>
      <c r="AY747" s="85"/>
      <c r="AZ747" s="85"/>
    </row>
    <row r="748" spans="1:52" x14ac:dyDescent="0.25">
      <c r="A748" s="102" t="str">
        <f t="shared" si="176"/>
        <v>NI MM Leaching</v>
      </c>
      <c r="B748" s="102" t="s">
        <v>970</v>
      </c>
      <c r="C748" s="102" t="s">
        <v>1334</v>
      </c>
      <c r="D748" t="s">
        <v>369</v>
      </c>
      <c r="E748" t="s">
        <v>64</v>
      </c>
      <c r="F748" t="s">
        <v>63</v>
      </c>
      <c r="G748" t="s">
        <v>1153</v>
      </c>
      <c r="H748" t="s">
        <v>1307</v>
      </c>
      <c r="I748" t="s">
        <v>139</v>
      </c>
      <c r="J748" t="s">
        <v>287</v>
      </c>
      <c r="K748" s="22">
        <f t="shared" ref="K748:AW748" si="193">K1547</f>
        <v>8.937279530386584E-2</v>
      </c>
      <c r="L748" s="22">
        <f t="shared" si="193"/>
        <v>8.99287091662518E-2</v>
      </c>
      <c r="M748" s="22">
        <f t="shared" si="193"/>
        <v>9.0310907604627441E-2</v>
      </c>
      <c r="N748" s="22">
        <f t="shared" si="193"/>
        <v>9.0430770661024784E-2</v>
      </c>
      <c r="O748" s="22">
        <f t="shared" si="193"/>
        <v>9.0592927490571046E-2</v>
      </c>
      <c r="P748" s="22">
        <f t="shared" si="193"/>
        <v>9.0948112554123092E-2</v>
      </c>
      <c r="Q748" s="22">
        <f t="shared" si="193"/>
        <v>9.1373943417930939E-2</v>
      </c>
      <c r="R748" s="22">
        <f t="shared" si="193"/>
        <v>9.1501867451345892E-2</v>
      </c>
      <c r="S748" s="22">
        <f t="shared" si="193"/>
        <v>8.8692780673306368E-2</v>
      </c>
      <c r="T748" s="22">
        <f t="shared" si="193"/>
        <v>8.942331322993069E-2</v>
      </c>
      <c r="U748" s="22">
        <f t="shared" si="193"/>
        <v>9.0093190837869708E-2</v>
      </c>
      <c r="V748" s="22">
        <f t="shared" si="193"/>
        <v>9.0780038603481383E-2</v>
      </c>
      <c r="W748" s="22">
        <f t="shared" si="193"/>
        <v>9.1607440170769952E-2</v>
      </c>
      <c r="X748" s="22">
        <f t="shared" si="193"/>
        <v>9.2450367431163069E-2</v>
      </c>
      <c r="Y748" s="22">
        <f t="shared" si="193"/>
        <v>9.3271141222409717E-2</v>
      </c>
      <c r="Z748" s="22">
        <f t="shared" si="193"/>
        <v>9.4075494804423593E-2</v>
      </c>
      <c r="AA748" s="22">
        <f t="shared" si="193"/>
        <v>9.494187182919285E-2</v>
      </c>
      <c r="AB748" s="22">
        <f t="shared" si="193"/>
        <v>9.5762313841523894E-2</v>
      </c>
      <c r="AC748" s="22">
        <f t="shared" si="193"/>
        <v>9.6612184537040763E-2</v>
      </c>
      <c r="AD748" s="22">
        <f t="shared" si="193"/>
        <v>9.7588608414981418E-2</v>
      </c>
      <c r="AE748" s="22">
        <f t="shared" si="193"/>
        <v>9.8652036659073086E-2</v>
      </c>
      <c r="AF748" s="22">
        <f t="shared" si="193"/>
        <v>9.9757674838538646E-2</v>
      </c>
      <c r="AG748" s="22">
        <f t="shared" si="193"/>
        <v>9.9912115595676476E-2</v>
      </c>
      <c r="AH748" s="22">
        <f t="shared" si="193"/>
        <v>5.3491971899674674E-2</v>
      </c>
      <c r="AI748" s="22">
        <f t="shared" si="193"/>
        <v>5.3531314918473571E-2</v>
      </c>
      <c r="AJ748" s="22">
        <f t="shared" si="193"/>
        <v>5.357582611787514E-2</v>
      </c>
      <c r="AK748" s="22">
        <f t="shared" si="193"/>
        <v>5.3625309057202357E-2</v>
      </c>
      <c r="AL748" s="22">
        <f t="shared" si="193"/>
        <v>5.3679582424864689E-2</v>
      </c>
      <c r="AM748" s="22">
        <f t="shared" si="193"/>
        <v>5.3738478604376284E-2</v>
      </c>
      <c r="AN748" s="22">
        <f t="shared" si="193"/>
        <v>5.3763835169364317E-2</v>
      </c>
      <c r="AO748" s="22">
        <f t="shared" si="193"/>
        <v>5.3793262757512665E-2</v>
      </c>
      <c r="AP748" s="22">
        <f t="shared" si="193"/>
        <v>5.3826619180497665E-2</v>
      </c>
      <c r="AQ748" s="22">
        <f t="shared" si="193"/>
        <v>5.3863771952469164E-2</v>
      </c>
      <c r="AR748" s="22">
        <f t="shared" si="193"/>
        <v>5.3904597466717913E-2</v>
      </c>
      <c r="AS748" s="22">
        <f t="shared" si="193"/>
        <v>5.3910563480556228E-2</v>
      </c>
      <c r="AT748" s="22">
        <f t="shared" si="193"/>
        <v>5.3919785471416987E-2</v>
      </c>
      <c r="AU748" s="22">
        <f t="shared" si="193"/>
        <v>5.3932155519366927E-2</v>
      </c>
      <c r="AV748" s="22">
        <f t="shared" si="193"/>
        <v>5.3947572278859428E-2</v>
      </c>
      <c r="AW748" s="22">
        <f t="shared" si="193"/>
        <v>5.3965940473698626E-2</v>
      </c>
      <c r="AY748" s="85"/>
      <c r="AZ748" s="85"/>
    </row>
    <row r="749" spans="1:52" x14ac:dyDescent="0.25">
      <c r="A749" s="102" t="str">
        <f t="shared" si="176"/>
        <v>NI MM Leaching</v>
      </c>
      <c r="B749" s="102" t="s">
        <v>970</v>
      </c>
      <c r="C749" s="102" t="s">
        <v>1334</v>
      </c>
      <c r="D749" t="s">
        <v>369</v>
      </c>
      <c r="E749" t="s">
        <v>64</v>
      </c>
      <c r="F749" t="s">
        <v>63</v>
      </c>
      <c r="G749" t="s">
        <v>1155</v>
      </c>
      <c r="H749" t="s">
        <v>1308</v>
      </c>
      <c r="I749" t="s">
        <v>139</v>
      </c>
      <c r="J749" t="s">
        <v>287</v>
      </c>
      <c r="K749" s="22">
        <f t="shared" ref="K749:AW749" si="194">K1548</f>
        <v>2.6988316791591433E-2</v>
      </c>
      <c r="L749" s="22">
        <f t="shared" si="194"/>
        <v>2.7156188674482627E-2</v>
      </c>
      <c r="M749" s="22">
        <f t="shared" si="194"/>
        <v>2.7271602906487613E-2</v>
      </c>
      <c r="N749" s="22">
        <f t="shared" si="194"/>
        <v>2.7307798508590695E-2</v>
      </c>
      <c r="O749" s="22">
        <f t="shared" si="194"/>
        <v>2.7356765757190617E-2</v>
      </c>
      <c r="P749" s="22">
        <f t="shared" si="194"/>
        <v>2.7464022635328895E-2</v>
      </c>
      <c r="Q749" s="22">
        <f t="shared" si="194"/>
        <v>2.7592612752858615E-2</v>
      </c>
      <c r="R749" s="22">
        <f t="shared" si="194"/>
        <v>2.7631242565513824E-2</v>
      </c>
      <c r="S749" s="22">
        <f t="shared" si="194"/>
        <v>2.6782969625151597E-2</v>
      </c>
      <c r="T749" s="22">
        <f t="shared" si="194"/>
        <v>2.7003571923621898E-2</v>
      </c>
      <c r="U749" s="22">
        <f t="shared" si="194"/>
        <v>2.7205857966406888E-2</v>
      </c>
      <c r="V749" s="22">
        <f t="shared" si="194"/>
        <v>2.7413268566275666E-2</v>
      </c>
      <c r="W749" s="22">
        <f t="shared" si="194"/>
        <v>2.7663122848397212E-2</v>
      </c>
      <c r="X749" s="22">
        <f t="shared" si="194"/>
        <v>2.7917665495949085E-2</v>
      </c>
      <c r="Y749" s="22">
        <f t="shared" si="194"/>
        <v>2.8165518357852821E-2</v>
      </c>
      <c r="Z749" s="22">
        <f t="shared" si="194"/>
        <v>2.8408412733149407E-2</v>
      </c>
      <c r="AA749" s="22">
        <f t="shared" si="194"/>
        <v>2.8670036614621735E-2</v>
      </c>
      <c r="AB749" s="22">
        <f t="shared" si="194"/>
        <v>2.8917789287710199E-2</v>
      </c>
      <c r="AC749" s="22">
        <f t="shared" si="194"/>
        <v>2.9174428676514319E-2</v>
      </c>
      <c r="AD749" s="22">
        <f t="shared" si="194"/>
        <v>2.9469283915752844E-2</v>
      </c>
      <c r="AE749" s="22">
        <f t="shared" si="194"/>
        <v>2.979041226626589E-2</v>
      </c>
      <c r="AF749" s="22">
        <f t="shared" si="194"/>
        <v>3.0124286946394699E-2</v>
      </c>
      <c r="AG749" s="22">
        <f t="shared" si="194"/>
        <v>3.0170924136884231E-2</v>
      </c>
      <c r="AH749" s="22">
        <f t="shared" si="194"/>
        <v>1.6153218420962612E-2</v>
      </c>
      <c r="AI749" s="22">
        <f t="shared" si="194"/>
        <v>1.6165099014506461E-2</v>
      </c>
      <c r="AJ749" s="22">
        <f t="shared" si="194"/>
        <v>1.6178540267475436E-2</v>
      </c>
      <c r="AK749" s="22">
        <f t="shared" si="194"/>
        <v>1.6193482859768772E-2</v>
      </c>
      <c r="AL749" s="22">
        <f t="shared" si="194"/>
        <v>1.6209872039886029E-2</v>
      </c>
      <c r="AM749" s="22">
        <f t="shared" si="194"/>
        <v>1.6227657191900897E-2</v>
      </c>
      <c r="AN749" s="22">
        <f t="shared" si="194"/>
        <v>1.6235314231230563E-2</v>
      </c>
      <c r="AO749" s="22">
        <f t="shared" si="194"/>
        <v>1.6244200616272676E-2</v>
      </c>
      <c r="AP749" s="22">
        <f t="shared" si="194"/>
        <v>1.6254273409760815E-2</v>
      </c>
      <c r="AQ749" s="22">
        <f t="shared" si="194"/>
        <v>1.6265492604329402E-2</v>
      </c>
      <c r="AR749" s="22">
        <f t="shared" si="194"/>
        <v>1.6277820873888151E-2</v>
      </c>
      <c r="AS749" s="22">
        <f t="shared" si="194"/>
        <v>1.6279622458709387E-2</v>
      </c>
      <c r="AT749" s="22">
        <f t="shared" si="194"/>
        <v>1.6282407265987193E-2</v>
      </c>
      <c r="AU749" s="22">
        <f t="shared" si="194"/>
        <v>1.6286142706639629E-2</v>
      </c>
      <c r="AV749" s="22">
        <f t="shared" si="194"/>
        <v>1.6290798176882768E-2</v>
      </c>
      <c r="AW749" s="22">
        <f t="shared" si="194"/>
        <v>1.6296344905722616E-2</v>
      </c>
      <c r="AY749" s="85"/>
      <c r="AZ749" s="85"/>
    </row>
    <row r="750" spans="1:52" x14ac:dyDescent="0.25">
      <c r="A750" s="102" t="str">
        <f t="shared" si="176"/>
        <v>NI MM Leaching</v>
      </c>
      <c r="B750" s="102" t="s">
        <v>970</v>
      </c>
      <c r="C750" s="102" t="s">
        <v>1334</v>
      </c>
      <c r="D750" t="s">
        <v>369</v>
      </c>
      <c r="E750" t="s">
        <v>64</v>
      </c>
      <c r="F750" t="s">
        <v>63</v>
      </c>
      <c r="G750" t="s">
        <v>1157</v>
      </c>
      <c r="H750" t="s">
        <v>1309</v>
      </c>
      <c r="I750" t="s">
        <v>139</v>
      </c>
      <c r="J750" t="s">
        <v>287</v>
      </c>
      <c r="K750" s="22">
        <f t="shared" ref="K750:AW750" si="195">K1549</f>
        <v>1.4509917151188738E-3</v>
      </c>
      <c r="L750" s="22">
        <f t="shared" si="195"/>
        <v>1.4600171283433256E-3</v>
      </c>
      <c r="M750" s="22">
        <f t="shared" si="195"/>
        <v>1.4662222242646174E-3</v>
      </c>
      <c r="N750" s="22">
        <f t="shared" si="195"/>
        <v>1.4681682336871716E-3</v>
      </c>
      <c r="O750" s="22">
        <f t="shared" si="195"/>
        <v>1.4708008940557055E-3</v>
      </c>
      <c r="P750" s="22">
        <f t="shared" si="195"/>
        <v>1.4765674204667426E-3</v>
      </c>
      <c r="Q750" s="22">
        <f t="shared" si="195"/>
        <v>1.4834809007190539E-3</v>
      </c>
      <c r="R750" s="22">
        <f t="shared" si="195"/>
        <v>1.485557782302746E-3</v>
      </c>
      <c r="S750" s="22">
        <f t="shared" si="195"/>
        <v>1.439951492065016E-3</v>
      </c>
      <c r="T750" s="22">
        <f t="shared" si="195"/>
        <v>1.4518118874312183E-3</v>
      </c>
      <c r="U750" s="22">
        <f t="shared" si="195"/>
        <v>1.4626875331571739E-3</v>
      </c>
      <c r="V750" s="22">
        <f t="shared" si="195"/>
        <v>1.4738386940228707E-3</v>
      </c>
      <c r="W750" s="22">
        <f t="shared" si="195"/>
        <v>1.4872717842057417E-3</v>
      </c>
      <c r="X750" s="22">
        <f t="shared" si="195"/>
        <v>1.5009569382520018E-3</v>
      </c>
      <c r="Y750" s="22">
        <f t="shared" si="195"/>
        <v>1.5142824246825921E-3</v>
      </c>
      <c r="Z750" s="22">
        <f t="shared" si="195"/>
        <v>1.5273413245364029E-3</v>
      </c>
      <c r="AA750" s="22">
        <f t="shared" si="195"/>
        <v>1.5414071919050509E-3</v>
      </c>
      <c r="AB750" s="22">
        <f t="shared" si="195"/>
        <v>1.5547272918144282E-3</v>
      </c>
      <c r="AC750" s="22">
        <f t="shared" si="195"/>
        <v>1.568525174424283E-3</v>
      </c>
      <c r="AD750" s="22">
        <f t="shared" si="195"/>
        <v>1.5843776824779826E-3</v>
      </c>
      <c r="AE750" s="22">
        <f t="shared" si="195"/>
        <v>1.6016427301533305E-3</v>
      </c>
      <c r="AF750" s="22">
        <f t="shared" si="195"/>
        <v>1.6195930676455074E-3</v>
      </c>
      <c r="AG750" s="22">
        <f t="shared" si="195"/>
        <v>1.6221004554733333E-3</v>
      </c>
      <c r="AH750" s="22">
        <f t="shared" si="195"/>
        <v>8.6845675787475588E-4</v>
      </c>
      <c r="AI750" s="22">
        <f t="shared" si="195"/>
        <v>8.6909550251881536E-4</v>
      </c>
      <c r="AJ750" s="22">
        <f t="shared" si="195"/>
        <v>8.6981815398498119E-4</v>
      </c>
      <c r="AK750" s="22">
        <f t="shared" si="195"/>
        <v>8.7062152300526781E-4</v>
      </c>
      <c r="AL750" s="22">
        <f t="shared" si="195"/>
        <v>8.7150266593653532E-4</v>
      </c>
      <c r="AM750" s="22">
        <f t="shared" si="195"/>
        <v>8.7245886147940626E-4</v>
      </c>
      <c r="AN750" s="22">
        <f t="shared" si="195"/>
        <v>8.728705322299566E-4</v>
      </c>
      <c r="AO750" s="22">
        <f t="shared" si="195"/>
        <v>8.7334829715220207E-4</v>
      </c>
      <c r="AP750" s="22">
        <f t="shared" si="195"/>
        <v>8.7388984777991429E-4</v>
      </c>
      <c r="AQ750" s="22">
        <f t="shared" si="195"/>
        <v>8.7449303316917135E-4</v>
      </c>
      <c r="AR750" s="22">
        <f t="shared" si="195"/>
        <v>8.7515584653132471E-4</v>
      </c>
      <c r="AS750" s="22">
        <f t="shared" si="195"/>
        <v>8.7525270639368256E-4</v>
      </c>
      <c r="AT750" s="22">
        <f t="shared" si="195"/>
        <v>8.7540242793132E-4</v>
      </c>
      <c r="AU750" s="22">
        <f t="shared" si="195"/>
        <v>8.7560325903467736E-4</v>
      </c>
      <c r="AV750" s="22">
        <f t="shared" si="195"/>
        <v>8.7585355433115466E-4</v>
      </c>
      <c r="AW750" s="22">
        <f t="shared" si="195"/>
        <v>8.7615176698571857E-4</v>
      </c>
      <c r="AY750" s="85"/>
      <c r="AZ750" s="85"/>
    </row>
    <row r="751" spans="1:52" x14ac:dyDescent="0.25">
      <c r="A751" s="102" t="str">
        <f t="shared" si="176"/>
        <v>NI MM Leaching</v>
      </c>
      <c r="B751" s="102" t="s">
        <v>970</v>
      </c>
      <c r="C751" s="102" t="s">
        <v>1334</v>
      </c>
      <c r="D751" t="s">
        <v>369</v>
      </c>
      <c r="E751" t="s">
        <v>64</v>
      </c>
      <c r="F751" t="s">
        <v>63</v>
      </c>
      <c r="G751" t="s">
        <v>1159</v>
      </c>
      <c r="H751" t="s">
        <v>1310</v>
      </c>
      <c r="I751" t="s">
        <v>139</v>
      </c>
      <c r="J751" t="s">
        <v>287</v>
      </c>
      <c r="K751" s="22">
        <f t="shared" ref="K751:AW751" si="196">K1550</f>
        <v>3.0570019073752373E-2</v>
      </c>
      <c r="L751" s="22">
        <f t="shared" si="196"/>
        <v>3.0367387601048686E-2</v>
      </c>
      <c r="M751" s="22">
        <f t="shared" si="196"/>
        <v>2.9940152719715736E-2</v>
      </c>
      <c r="N751" s="22">
        <f t="shared" si="196"/>
        <v>2.9219989120948371E-2</v>
      </c>
      <c r="O751" s="22">
        <f t="shared" si="196"/>
        <v>2.852126892952573E-2</v>
      </c>
      <c r="P751" s="22">
        <f t="shared" si="196"/>
        <v>2.7983855033028606E-2</v>
      </c>
      <c r="Q751" s="22">
        <f t="shared" si="196"/>
        <v>2.749776002622362E-2</v>
      </c>
      <c r="R751" s="22">
        <f t="shared" si="196"/>
        <v>2.6733493787157343E-2</v>
      </c>
      <c r="S751" s="22">
        <f t="shared" si="196"/>
        <v>2.3446894467457041E-2</v>
      </c>
      <c r="T751" s="22">
        <f t="shared" si="196"/>
        <v>2.3670380965491088E-2</v>
      </c>
      <c r="U751" s="22">
        <f t="shared" si="196"/>
        <v>2.3821608196176489E-2</v>
      </c>
      <c r="V751" s="22">
        <f t="shared" si="196"/>
        <v>2.3967916654645059E-2</v>
      </c>
      <c r="W751" s="22">
        <f t="shared" si="196"/>
        <v>2.4209875654048162E-2</v>
      </c>
      <c r="X751" s="22">
        <f t="shared" si="196"/>
        <v>2.4443860278754486E-2</v>
      </c>
      <c r="Y751" s="22">
        <f t="shared" si="196"/>
        <v>2.4689509012601481E-2</v>
      </c>
      <c r="Z751" s="22">
        <f t="shared" si="196"/>
        <v>2.4903367961433137E-2</v>
      </c>
      <c r="AA751" s="22">
        <f t="shared" si="196"/>
        <v>2.5146768445041517E-2</v>
      </c>
      <c r="AB751" s="22">
        <f t="shared" si="196"/>
        <v>2.5337237570324824E-2</v>
      </c>
      <c r="AC751" s="22">
        <f t="shared" si="196"/>
        <v>2.5532932848471888E-2</v>
      </c>
      <c r="AD751" s="22">
        <f t="shared" si="196"/>
        <v>2.5624080551254102E-2</v>
      </c>
      <c r="AE751" s="22">
        <f t="shared" si="196"/>
        <v>2.5749062544479791E-2</v>
      </c>
      <c r="AF751" s="22">
        <f t="shared" si="196"/>
        <v>2.5873562186552946E-2</v>
      </c>
      <c r="AG751" s="22">
        <f t="shared" si="196"/>
        <v>2.53248358805277E-2</v>
      </c>
      <c r="AH751" s="22">
        <f t="shared" si="196"/>
        <v>-5.9737784992688692E-3</v>
      </c>
      <c r="AI751" s="22">
        <f t="shared" si="196"/>
        <v>-5.8352076147992196E-3</v>
      </c>
      <c r="AJ751" s="22">
        <f t="shared" si="196"/>
        <v>-5.6988404422584063E-3</v>
      </c>
      <c r="AK751" s="22">
        <f t="shared" si="196"/>
        <v>-5.5645615630153409E-3</v>
      </c>
      <c r="AL751" s="22">
        <f t="shared" si="196"/>
        <v>-5.4322635380194221E-3</v>
      </c>
      <c r="AM751" s="22">
        <f t="shared" si="196"/>
        <v>-5.3018461683791993E-3</v>
      </c>
      <c r="AN751" s="22">
        <f t="shared" si="196"/>
        <v>-5.1961071833315654E-3</v>
      </c>
      <c r="AO751" s="22">
        <f t="shared" si="196"/>
        <v>-5.0919652579405755E-3</v>
      </c>
      <c r="AP751" s="22">
        <f t="shared" si="196"/>
        <v>-4.9893480213799102E-3</v>
      </c>
      <c r="AQ751" s="22">
        <f t="shared" si="196"/>
        <v>-4.8881876039149471E-3</v>
      </c>
      <c r="AR751" s="22">
        <f t="shared" si="196"/>
        <v>-4.7884202636879142E-3</v>
      </c>
      <c r="AS751" s="22">
        <f t="shared" si="196"/>
        <v>-4.6867985813226392E-3</v>
      </c>
      <c r="AT751" s="22">
        <f t="shared" si="196"/>
        <v>-4.5865743266878378E-3</v>
      </c>
      <c r="AU751" s="22">
        <f t="shared" si="196"/>
        <v>-4.4876925271481486E-3</v>
      </c>
      <c r="AV751" s="22">
        <f t="shared" si="196"/>
        <v>-4.3901012986055903E-3</v>
      </c>
      <c r="AW751" s="22">
        <f t="shared" si="196"/>
        <v>-4.2937516147018842E-3</v>
      </c>
      <c r="AY751" s="85"/>
      <c r="AZ751" s="85"/>
    </row>
    <row r="752" spans="1:52" x14ac:dyDescent="0.25">
      <c r="A752" s="102" t="str">
        <f t="shared" si="176"/>
        <v>NI MM Leaching</v>
      </c>
      <c r="B752" s="102" t="s">
        <v>970</v>
      </c>
      <c r="C752" s="102" t="s">
        <v>1334</v>
      </c>
      <c r="D752" t="s">
        <v>369</v>
      </c>
      <c r="E752" t="s">
        <v>64</v>
      </c>
      <c r="F752" t="s">
        <v>63</v>
      </c>
      <c r="G752" t="s">
        <v>1161</v>
      </c>
      <c r="H752" t="s">
        <v>1311</v>
      </c>
      <c r="I752" t="s">
        <v>139</v>
      </c>
      <c r="J752" t="s">
        <v>287</v>
      </c>
      <c r="K752" s="22">
        <f t="shared" ref="K752:AW752" si="197">K1551</f>
        <v>4.0580733454567468E-2</v>
      </c>
      <c r="L752" s="22">
        <f t="shared" si="197"/>
        <v>4.0311746583363478E-2</v>
      </c>
      <c r="M752" s="22">
        <f t="shared" si="197"/>
        <v>3.9744605790940746E-2</v>
      </c>
      <c r="N752" s="22">
        <f t="shared" si="197"/>
        <v>3.8788611390847182E-2</v>
      </c>
      <c r="O752" s="22">
        <f t="shared" si="197"/>
        <v>3.7861082435793565E-2</v>
      </c>
      <c r="P752" s="22">
        <f t="shared" si="197"/>
        <v>3.7147682485472483E-2</v>
      </c>
      <c r="Q752" s="22">
        <f t="shared" si="197"/>
        <v>3.6502406738108395E-2</v>
      </c>
      <c r="R752" s="22">
        <f t="shared" si="197"/>
        <v>3.5487867477892406E-2</v>
      </c>
      <c r="S752" s="22">
        <f t="shared" si="197"/>
        <v>3.1125010829260641E-2</v>
      </c>
      <c r="T752" s="22">
        <f t="shared" si="197"/>
        <v>3.142168208698979E-2</v>
      </c>
      <c r="U752" s="22">
        <f t="shared" si="197"/>
        <v>3.1622431452723296E-2</v>
      </c>
      <c r="V752" s="22">
        <f t="shared" si="197"/>
        <v>3.1816651303909434E-2</v>
      </c>
      <c r="W752" s="22">
        <f t="shared" si="197"/>
        <v>3.2137844222959386E-2</v>
      </c>
      <c r="X752" s="22">
        <f t="shared" si="197"/>
        <v>3.2448451411812178E-2</v>
      </c>
      <c r="Y752" s="22">
        <f t="shared" si="197"/>
        <v>3.2774542336637791E-2</v>
      </c>
      <c r="Z752" s="22">
        <f t="shared" si="197"/>
        <v>3.3058433327300053E-2</v>
      </c>
      <c r="AA752" s="22">
        <f t="shared" si="197"/>
        <v>3.3381539771041358E-2</v>
      </c>
      <c r="AB752" s="22">
        <f t="shared" si="197"/>
        <v>3.3634381510714434E-2</v>
      </c>
      <c r="AC752" s="22">
        <f t="shared" si="197"/>
        <v>3.3894160803021843E-2</v>
      </c>
      <c r="AD752" s="22">
        <f t="shared" si="197"/>
        <v>3.4015156495653814E-2</v>
      </c>
      <c r="AE752" s="22">
        <f t="shared" si="197"/>
        <v>3.4181066138741563E-2</v>
      </c>
      <c r="AF752" s="22">
        <f t="shared" si="197"/>
        <v>3.4346335475930106E-2</v>
      </c>
      <c r="AG752" s="22">
        <f t="shared" si="197"/>
        <v>3.3617918659748287E-2</v>
      </c>
      <c r="AH752" s="22">
        <f t="shared" si="197"/>
        <v>-7.9300020196454452E-3</v>
      </c>
      <c r="AI752" s="22">
        <f t="shared" si="197"/>
        <v>-7.7460535532195693E-3</v>
      </c>
      <c r="AJ752" s="22">
        <f t="shared" si="197"/>
        <v>-7.565030444680417E-3</v>
      </c>
      <c r="AK752" s="22">
        <f t="shared" si="197"/>
        <v>-7.3867794794456746E-3</v>
      </c>
      <c r="AL752" s="22">
        <f t="shared" si="197"/>
        <v>-7.211158035573738E-3</v>
      </c>
      <c r="AM752" s="22">
        <f t="shared" si="197"/>
        <v>-7.038033102205285E-3</v>
      </c>
      <c r="AN752" s="22">
        <f t="shared" si="197"/>
        <v>-6.8976679438577443E-3</v>
      </c>
      <c r="AO752" s="22">
        <f t="shared" si="197"/>
        <v>-6.7594228316927426E-3</v>
      </c>
      <c r="AP752" s="22">
        <f t="shared" si="197"/>
        <v>-6.6232016957272714E-3</v>
      </c>
      <c r="AQ752" s="22">
        <f t="shared" si="197"/>
        <v>-6.4889144410352007E-3</v>
      </c>
      <c r="AR752" s="22">
        <f t="shared" si="197"/>
        <v>-6.3564764523163604E-3</v>
      </c>
      <c r="AS752" s="22">
        <f t="shared" si="197"/>
        <v>-6.2215768830579691E-3</v>
      </c>
      <c r="AT752" s="22">
        <f t="shared" si="197"/>
        <v>-6.0885323549140658E-3</v>
      </c>
      <c r="AU752" s="22">
        <f t="shared" si="197"/>
        <v>-5.9572698934498708E-3</v>
      </c>
      <c r="AV752" s="22">
        <f t="shared" si="197"/>
        <v>-5.8277206241663026E-3</v>
      </c>
      <c r="AW752" s="22">
        <f t="shared" si="197"/>
        <v>-5.6998194661233492E-3</v>
      </c>
      <c r="AY752" s="85"/>
      <c r="AZ752" s="85"/>
    </row>
    <row r="753" spans="1:52" x14ac:dyDescent="0.25">
      <c r="A753" s="102" t="str">
        <f t="shared" si="176"/>
        <v>NI MM Leaching</v>
      </c>
      <c r="B753" s="102" t="s">
        <v>970</v>
      </c>
      <c r="C753" s="102" t="s">
        <v>1334</v>
      </c>
      <c r="D753" t="s">
        <v>369</v>
      </c>
      <c r="E753" t="s">
        <v>64</v>
      </c>
      <c r="F753" t="s">
        <v>63</v>
      </c>
      <c r="G753" t="s">
        <v>1163</v>
      </c>
      <c r="H753" t="s">
        <v>1312</v>
      </c>
      <c r="I753" t="s">
        <v>139</v>
      </c>
      <c r="J753" t="s">
        <v>287</v>
      </c>
      <c r="K753" s="22">
        <f t="shared" ref="K753:AW753" si="198">K1552</f>
        <v>4.2198184999711216E-2</v>
      </c>
      <c r="L753" s="22">
        <f t="shared" si="198"/>
        <v>4.3701080723593189E-2</v>
      </c>
      <c r="M753" s="22">
        <f t="shared" si="198"/>
        <v>4.4893970631746632E-2</v>
      </c>
      <c r="N753" s="22">
        <f t="shared" si="198"/>
        <v>4.5631666148342777E-2</v>
      </c>
      <c r="O753" s="22">
        <f t="shared" si="198"/>
        <v>4.6370901653410727E-2</v>
      </c>
      <c r="P753" s="22">
        <f t="shared" si="198"/>
        <v>4.7352594214128713E-2</v>
      </c>
      <c r="Q753" s="22">
        <f t="shared" si="198"/>
        <v>4.8416104778857959E-2</v>
      </c>
      <c r="R753" s="22">
        <f t="shared" si="198"/>
        <v>4.8969568240860781E-2</v>
      </c>
      <c r="S753" s="22">
        <f t="shared" si="198"/>
        <v>4.467643167473432E-2</v>
      </c>
      <c r="T753" s="22">
        <f t="shared" si="198"/>
        <v>4.6180091777624298E-2</v>
      </c>
      <c r="U753" s="22">
        <f t="shared" si="198"/>
        <v>4.7570527161609366E-2</v>
      </c>
      <c r="V753" s="22">
        <f t="shared" si="198"/>
        <v>4.8976478875928542E-2</v>
      </c>
      <c r="W753" s="22">
        <f t="shared" si="198"/>
        <v>5.0608575947889443E-2</v>
      </c>
      <c r="X753" s="22">
        <f t="shared" si="198"/>
        <v>5.2259990749301093E-2</v>
      </c>
      <c r="Y753" s="22">
        <f t="shared" si="198"/>
        <v>5.3973742651481194E-2</v>
      </c>
      <c r="Z753" s="22">
        <f t="shared" si="198"/>
        <v>5.5655662348968654E-2</v>
      </c>
      <c r="AA753" s="22">
        <f t="shared" si="198"/>
        <v>5.7442412303445836E-2</v>
      </c>
      <c r="AB753" s="22">
        <f t="shared" si="198"/>
        <v>5.9147142754678653E-2</v>
      </c>
      <c r="AC753" s="22">
        <f t="shared" si="198"/>
        <v>6.0901819824646548E-2</v>
      </c>
      <c r="AD753" s="22">
        <f t="shared" si="198"/>
        <v>6.3135419327645992E-2</v>
      </c>
      <c r="AE753" s="22">
        <f t="shared" si="198"/>
        <v>6.5540351764294846E-2</v>
      </c>
      <c r="AF753" s="22">
        <f t="shared" si="198"/>
        <v>6.8039701590190294E-2</v>
      </c>
      <c r="AG753" s="22">
        <f t="shared" si="198"/>
        <v>6.8810814245314753E-2</v>
      </c>
      <c r="AH753" s="22">
        <f t="shared" si="198"/>
        <v>-1.6773235166111743E-2</v>
      </c>
      <c r="AI753" s="22">
        <f t="shared" si="198"/>
        <v>-1.6933400933561566E-2</v>
      </c>
      <c r="AJ753" s="22">
        <f t="shared" si="198"/>
        <v>-1.7094868952670969E-2</v>
      </c>
      <c r="AK753" s="22">
        <f t="shared" si="198"/>
        <v>-1.7257651547387617E-2</v>
      </c>
      <c r="AL753" s="22">
        <f t="shared" si="198"/>
        <v>-1.7421761152310457E-2</v>
      </c>
      <c r="AM753" s="22">
        <f t="shared" si="198"/>
        <v>-1.7587210313649345E-2</v>
      </c>
      <c r="AN753" s="22">
        <f t="shared" si="198"/>
        <v>-1.7719984819695212E-2</v>
      </c>
      <c r="AO753" s="22">
        <f t="shared" si="198"/>
        <v>-1.7853675202067487E-2</v>
      </c>
      <c r="AP753" s="22">
        <f t="shared" si="198"/>
        <v>-1.7988288709386402E-2</v>
      </c>
      <c r="AQ753" s="22">
        <f t="shared" si="198"/>
        <v>-1.8123832644983004E-2</v>
      </c>
      <c r="AR753" s="22">
        <f t="shared" si="198"/>
        <v>-1.8260314367299166E-2</v>
      </c>
      <c r="AS753" s="22">
        <f t="shared" si="198"/>
        <v>-1.8385237574275969E-2</v>
      </c>
      <c r="AT753" s="22">
        <f t="shared" si="198"/>
        <v>-1.8510879729427106E-2</v>
      </c>
      <c r="AU753" s="22">
        <f t="shared" si="198"/>
        <v>-1.8637245588774352E-2</v>
      </c>
      <c r="AV753" s="22">
        <f t="shared" si="198"/>
        <v>-1.8764339938161633E-2</v>
      </c>
      <c r="AW753" s="22">
        <f t="shared" si="198"/>
        <v>-1.8892167593435472E-2</v>
      </c>
      <c r="AY753" s="85"/>
      <c r="AZ753" s="85"/>
    </row>
    <row r="754" spans="1:52" x14ac:dyDescent="0.25">
      <c r="A754" s="102" t="str">
        <f t="shared" si="176"/>
        <v>NI MM Leaching</v>
      </c>
      <c r="B754" s="102" t="s">
        <v>970</v>
      </c>
      <c r="C754" s="102" t="s">
        <v>1334</v>
      </c>
      <c r="D754" t="s">
        <v>369</v>
      </c>
      <c r="E754" t="s">
        <v>64</v>
      </c>
      <c r="F754" t="s">
        <v>63</v>
      </c>
      <c r="G754" t="s">
        <v>1165</v>
      </c>
      <c r="H754" t="s">
        <v>1313</v>
      </c>
      <c r="I754" t="s">
        <v>139</v>
      </c>
      <c r="J754" t="s">
        <v>287</v>
      </c>
      <c r="K754" s="22">
        <f t="shared" ref="K754:AW754" si="199">K1553</f>
        <v>4.3944700668161743E-3</v>
      </c>
      <c r="L754" s="22">
        <f t="shared" si="199"/>
        <v>4.3968698493422791E-3</v>
      </c>
      <c r="M754" s="22">
        <f t="shared" si="199"/>
        <v>4.4022434234010565E-3</v>
      </c>
      <c r="N754" s="22">
        <f t="shared" si="199"/>
        <v>4.4103317804749962E-3</v>
      </c>
      <c r="O754" s="22">
        <f t="shared" si="199"/>
        <v>4.4212431364047738E-3</v>
      </c>
      <c r="P754" s="22">
        <f t="shared" si="199"/>
        <v>4.4349890691963833E-3</v>
      </c>
      <c r="Q754" s="22">
        <f t="shared" si="199"/>
        <v>4.4503014810886657E-3</v>
      </c>
      <c r="R754" s="22">
        <f t="shared" si="199"/>
        <v>4.4668966507282254E-3</v>
      </c>
      <c r="S754" s="22">
        <f t="shared" si="199"/>
        <v>4.4824913305812559E-3</v>
      </c>
      <c r="T754" s="22">
        <f t="shared" si="199"/>
        <v>4.4890055303365281E-3</v>
      </c>
      <c r="U754" s="22">
        <f t="shared" si="199"/>
        <v>4.4965644629605924E-3</v>
      </c>
      <c r="V754" s="22">
        <f t="shared" si="199"/>
        <v>4.5051665785440084E-3</v>
      </c>
      <c r="W754" s="22">
        <f t="shared" si="199"/>
        <v>4.5148564456586847E-3</v>
      </c>
      <c r="X754" s="22">
        <f t="shared" si="199"/>
        <v>4.525478721327544E-3</v>
      </c>
      <c r="Y754" s="22">
        <f t="shared" si="199"/>
        <v>4.5320175420941466E-3</v>
      </c>
      <c r="Z754" s="22">
        <f t="shared" si="199"/>
        <v>4.5393215398995043E-3</v>
      </c>
      <c r="AA754" s="22">
        <f t="shared" si="199"/>
        <v>4.5474172205527642E-3</v>
      </c>
      <c r="AB754" s="22">
        <f t="shared" si="199"/>
        <v>4.5561801987217551E-3</v>
      </c>
      <c r="AC754" s="22">
        <f t="shared" si="199"/>
        <v>4.5656418072393947E-3</v>
      </c>
      <c r="AD754" s="22">
        <f t="shared" si="199"/>
        <v>4.5718705604296328E-3</v>
      </c>
      <c r="AE754" s="22">
        <f t="shared" si="199"/>
        <v>4.5787544823923942E-3</v>
      </c>
      <c r="AF754" s="22">
        <f t="shared" si="199"/>
        <v>4.586231662580295E-3</v>
      </c>
      <c r="AG754" s="22">
        <f t="shared" si="199"/>
        <v>4.5934555722856032E-3</v>
      </c>
      <c r="AH754" s="22">
        <f t="shared" si="199"/>
        <v>4.562571195274273E-3</v>
      </c>
      <c r="AI754" s="22">
        <f t="shared" si="199"/>
        <v>4.5669572651403133E-3</v>
      </c>
      <c r="AJ754" s="22">
        <f t="shared" si="199"/>
        <v>4.5717973149633755E-3</v>
      </c>
      <c r="AK754" s="22">
        <f t="shared" si="199"/>
        <v>4.5770741937615714E-3</v>
      </c>
      <c r="AL754" s="22">
        <f t="shared" si="199"/>
        <v>4.5827720762171521E-3</v>
      </c>
      <c r="AM754" s="22">
        <f t="shared" si="199"/>
        <v>4.5888763368810139E-3</v>
      </c>
      <c r="AN754" s="22">
        <f t="shared" si="199"/>
        <v>4.5918387401172314E-3</v>
      </c>
      <c r="AO754" s="22">
        <f t="shared" si="199"/>
        <v>4.5951591884317378E-3</v>
      </c>
      <c r="AP754" s="22">
        <f t="shared" si="199"/>
        <v>4.5988252210116161E-3</v>
      </c>
      <c r="AQ754" s="22">
        <f t="shared" si="199"/>
        <v>4.6028252299079387E-3</v>
      </c>
      <c r="AR754" s="22">
        <f t="shared" si="199"/>
        <v>4.6071483875808113E-3</v>
      </c>
      <c r="AS754" s="22">
        <f t="shared" si="199"/>
        <v>4.6082148579908756E-3</v>
      </c>
      <c r="AT754" s="22">
        <f t="shared" si="199"/>
        <v>4.609568122792394E-3</v>
      </c>
      <c r="AU754" s="22">
        <f t="shared" si="199"/>
        <v>4.6111986833604953E-3</v>
      </c>
      <c r="AV754" s="22">
        <f t="shared" si="199"/>
        <v>4.6130976210976499E-3</v>
      </c>
      <c r="AW754" s="22">
        <f t="shared" si="199"/>
        <v>4.6152565528286265E-3</v>
      </c>
      <c r="AY754" s="85"/>
      <c r="AZ754" s="85"/>
    </row>
    <row r="755" spans="1:52" x14ac:dyDescent="0.25">
      <c r="A755" s="102" t="str">
        <f t="shared" si="176"/>
        <v>NI MM Leaching</v>
      </c>
      <c r="B755" s="102" t="s">
        <v>970</v>
      </c>
      <c r="C755" s="102" t="s">
        <v>1334</v>
      </c>
      <c r="D755" t="s">
        <v>369</v>
      </c>
      <c r="E755" t="s">
        <v>64</v>
      </c>
      <c r="F755" t="s">
        <v>63</v>
      </c>
      <c r="G755" t="s">
        <v>1167</v>
      </c>
      <c r="H755" t="s">
        <v>1314</v>
      </c>
      <c r="I755" t="s">
        <v>139</v>
      </c>
      <c r="J755" t="s">
        <v>287</v>
      </c>
      <c r="K755" s="22">
        <f t="shared" ref="K755:AW755" si="200">K1554</f>
        <v>3.6554081926520139E-3</v>
      </c>
      <c r="L755" s="22">
        <f t="shared" si="200"/>
        <v>3.6574043798084017E-3</v>
      </c>
      <c r="M755" s="22">
        <f t="shared" si="200"/>
        <v>3.6618742263063008E-3</v>
      </c>
      <c r="N755" s="22">
        <f t="shared" si="200"/>
        <v>3.6686022836746814E-3</v>
      </c>
      <c r="O755" s="22">
        <f t="shared" si="200"/>
        <v>3.6776785680166413E-3</v>
      </c>
      <c r="P755" s="22">
        <f t="shared" si="200"/>
        <v>3.6891127101493907E-3</v>
      </c>
      <c r="Q755" s="22">
        <f t="shared" si="200"/>
        <v>3.7018498809639078E-3</v>
      </c>
      <c r="R755" s="22">
        <f t="shared" si="200"/>
        <v>3.7156540753574409E-3</v>
      </c>
      <c r="S755" s="22">
        <f t="shared" si="200"/>
        <v>3.7286260423135963E-3</v>
      </c>
      <c r="T755" s="22">
        <f t="shared" si="200"/>
        <v>3.7340446841047422E-3</v>
      </c>
      <c r="U755" s="22">
        <f t="shared" si="200"/>
        <v>3.7403323556149792E-3</v>
      </c>
      <c r="V755" s="22">
        <f t="shared" si="200"/>
        <v>3.7474877675985991E-3</v>
      </c>
      <c r="W755" s="22">
        <f t="shared" si="200"/>
        <v>3.7555479930861213E-3</v>
      </c>
      <c r="X755" s="22">
        <f t="shared" si="200"/>
        <v>3.7643838146787538E-3</v>
      </c>
      <c r="Y755" s="22">
        <f t="shared" si="200"/>
        <v>3.769822936720115E-3</v>
      </c>
      <c r="Z755" s="22">
        <f t="shared" si="200"/>
        <v>3.7758985483435582E-3</v>
      </c>
      <c r="AA755" s="22">
        <f t="shared" si="200"/>
        <v>3.7826326976118578E-3</v>
      </c>
      <c r="AB755" s="22">
        <f t="shared" si="200"/>
        <v>3.7899219183151331E-3</v>
      </c>
      <c r="AC755" s="22">
        <f t="shared" si="200"/>
        <v>3.7977922737311865E-3</v>
      </c>
      <c r="AD755" s="22">
        <f t="shared" si="200"/>
        <v>3.8029734753540017E-3</v>
      </c>
      <c r="AE755" s="22">
        <f t="shared" si="200"/>
        <v>3.8086996594803367E-3</v>
      </c>
      <c r="AF755" s="22">
        <f t="shared" si="200"/>
        <v>3.8149193276772325E-3</v>
      </c>
      <c r="AG755" s="22">
        <f t="shared" si="200"/>
        <v>3.8209283204154385E-3</v>
      </c>
      <c r="AH755" s="22">
        <f t="shared" si="200"/>
        <v>3.7952380772153156E-3</v>
      </c>
      <c r="AI755" s="22">
        <f t="shared" si="200"/>
        <v>3.7988864979527624E-3</v>
      </c>
      <c r="AJ755" s="22">
        <f t="shared" si="200"/>
        <v>3.8029125483085634E-3</v>
      </c>
      <c r="AK755" s="22">
        <f t="shared" si="200"/>
        <v>3.8073019617525694E-3</v>
      </c>
      <c r="AL755" s="22">
        <f t="shared" si="200"/>
        <v>3.8120415744685989E-3</v>
      </c>
      <c r="AM755" s="22">
        <f t="shared" si="200"/>
        <v>3.8171192207152455E-3</v>
      </c>
      <c r="AN755" s="22">
        <f t="shared" si="200"/>
        <v>3.8195834070437343E-3</v>
      </c>
      <c r="AO755" s="22">
        <f t="shared" si="200"/>
        <v>3.8223454224375316E-3</v>
      </c>
      <c r="AP755" s="22">
        <f t="shared" si="200"/>
        <v>3.8253949017429448E-3</v>
      </c>
      <c r="AQ755" s="22">
        <f t="shared" si="200"/>
        <v>3.8287221892356308E-3</v>
      </c>
      <c r="AR755" s="22">
        <f t="shared" si="200"/>
        <v>3.8323182783511038E-3</v>
      </c>
      <c r="AS755" s="22">
        <f t="shared" si="200"/>
        <v>3.833205389792278E-3</v>
      </c>
      <c r="AT755" s="22">
        <f t="shared" si="200"/>
        <v>3.8343310625507851E-3</v>
      </c>
      <c r="AU755" s="22">
        <f t="shared" si="200"/>
        <v>3.8356873954802709E-3</v>
      </c>
      <c r="AV755" s="22">
        <f t="shared" si="200"/>
        <v>3.8372669699127259E-3</v>
      </c>
      <c r="AW755" s="22">
        <f t="shared" si="200"/>
        <v>3.8390628125551359E-3</v>
      </c>
      <c r="AY755" s="85"/>
      <c r="AZ755" s="85"/>
    </row>
    <row r="756" spans="1:52" x14ac:dyDescent="0.25">
      <c r="A756" s="102" t="str">
        <f t="shared" si="176"/>
        <v>NI MM Leaching</v>
      </c>
      <c r="B756" s="102" t="s">
        <v>970</v>
      </c>
      <c r="C756" s="102" t="s">
        <v>1334</v>
      </c>
      <c r="D756" t="s">
        <v>369</v>
      </c>
      <c r="E756" t="s">
        <v>64</v>
      </c>
      <c r="F756" t="s">
        <v>63</v>
      </c>
      <c r="G756" t="s">
        <v>1169</v>
      </c>
      <c r="H756" t="s">
        <v>1315</v>
      </c>
      <c r="I756" t="s">
        <v>139</v>
      </c>
      <c r="J756" t="s">
        <v>287</v>
      </c>
      <c r="K756" s="22">
        <f t="shared" ref="K756:AW756" si="201">K1555</f>
        <v>5.4321183723638063E-4</v>
      </c>
      <c r="L756" s="22">
        <f t="shared" si="201"/>
        <v>5.4462866238069155E-4</v>
      </c>
      <c r="M756" s="22">
        <f t="shared" si="201"/>
        <v>5.4651670738969612E-4</v>
      </c>
      <c r="N756" s="22">
        <f t="shared" si="201"/>
        <v>5.4883399731316639E-4</v>
      </c>
      <c r="O756" s="22">
        <f t="shared" si="201"/>
        <v>5.5160837836810213E-4</v>
      </c>
      <c r="P756" s="22">
        <f t="shared" si="201"/>
        <v>5.5484723352096008E-4</v>
      </c>
      <c r="Q756" s="22">
        <f t="shared" si="201"/>
        <v>5.5831016678068942E-4</v>
      </c>
      <c r="R756" s="22">
        <f t="shared" si="201"/>
        <v>5.61947661040627E-4</v>
      </c>
      <c r="S756" s="22">
        <f t="shared" si="201"/>
        <v>5.6532673344002258E-4</v>
      </c>
      <c r="T756" s="22">
        <f t="shared" si="201"/>
        <v>5.6691026971513229E-4</v>
      </c>
      <c r="U756" s="22">
        <f t="shared" si="201"/>
        <v>5.6864670501845574E-4</v>
      </c>
      <c r="V756" s="22">
        <f t="shared" si="201"/>
        <v>5.7053824293023939E-4</v>
      </c>
      <c r="W756" s="22">
        <f t="shared" si="201"/>
        <v>5.7259543924260763E-4</v>
      </c>
      <c r="X756" s="22">
        <f t="shared" si="201"/>
        <v>5.7479059617442649E-4</v>
      </c>
      <c r="Y756" s="22">
        <f t="shared" si="201"/>
        <v>5.7617814395304924E-4</v>
      </c>
      <c r="Z756" s="22">
        <f t="shared" si="201"/>
        <v>5.7767940009102313E-4</v>
      </c>
      <c r="AA756" s="22">
        <f t="shared" si="201"/>
        <v>5.7930057538230326E-4</v>
      </c>
      <c r="AB756" s="22">
        <f t="shared" si="201"/>
        <v>5.8101935108040965E-4</v>
      </c>
      <c r="AC756" s="22">
        <f t="shared" si="201"/>
        <v>5.8284260247755859E-4</v>
      </c>
      <c r="AD756" s="22">
        <f t="shared" si="201"/>
        <v>5.8403671107952763E-4</v>
      </c>
      <c r="AE756" s="22">
        <f t="shared" si="201"/>
        <v>5.8533173041619576E-4</v>
      </c>
      <c r="AF756" s="22">
        <f t="shared" si="201"/>
        <v>5.8671671252614034E-4</v>
      </c>
      <c r="AG756" s="22">
        <f t="shared" si="201"/>
        <v>5.8803501308500182E-4</v>
      </c>
      <c r="AH756" s="22">
        <f t="shared" si="201"/>
        <v>5.8227212874330822E-4</v>
      </c>
      <c r="AI756" s="22">
        <f t="shared" si="201"/>
        <v>5.8304320424414362E-4</v>
      </c>
      <c r="AJ756" s="22">
        <f t="shared" si="201"/>
        <v>5.8388341826515493E-4</v>
      </c>
      <c r="AK756" s="22">
        <f t="shared" si="201"/>
        <v>5.847899630335218E-4</v>
      </c>
      <c r="AL756" s="22">
        <f t="shared" si="201"/>
        <v>5.8576024856299858E-4</v>
      </c>
      <c r="AM756" s="22">
        <f t="shared" si="201"/>
        <v>5.8679188180125747E-4</v>
      </c>
      <c r="AN756" s="22">
        <f t="shared" si="201"/>
        <v>5.8723470872871001E-4</v>
      </c>
      <c r="AO756" s="22">
        <f t="shared" si="201"/>
        <v>5.8773280177020523E-4</v>
      </c>
      <c r="AP756" s="22">
        <f t="shared" si="201"/>
        <v>5.8828407739591119E-4</v>
      </c>
      <c r="AQ756" s="22">
        <f t="shared" si="201"/>
        <v>5.8888659501104234E-4</v>
      </c>
      <c r="AR756" s="22">
        <f t="shared" si="201"/>
        <v>5.895385447102022E-4</v>
      </c>
      <c r="AS756" s="22">
        <f t="shared" si="201"/>
        <v>5.8958940978755205E-4</v>
      </c>
      <c r="AT756" s="22">
        <f t="shared" si="201"/>
        <v>5.8968551081379366E-4</v>
      </c>
      <c r="AU756" s="22">
        <f t="shared" si="201"/>
        <v>5.8982522322727085E-4</v>
      </c>
      <c r="AV756" s="22">
        <f t="shared" si="201"/>
        <v>5.9000702190384238E-4</v>
      </c>
      <c r="AW756" s="22">
        <f t="shared" si="201"/>
        <v>5.9022947345323132E-4</v>
      </c>
      <c r="AY756" s="85"/>
      <c r="AZ756" s="85"/>
    </row>
    <row r="757" spans="1:52" x14ac:dyDescent="0.25">
      <c r="A757" s="102" t="str">
        <f t="shared" si="176"/>
        <v>NI MM Leaching</v>
      </c>
      <c r="B757" s="102" t="s">
        <v>970</v>
      </c>
      <c r="C757" s="102" t="s">
        <v>1334</v>
      </c>
      <c r="D757" t="s">
        <v>369</v>
      </c>
      <c r="E757" t="s">
        <v>64</v>
      </c>
      <c r="F757" t="s">
        <v>63</v>
      </c>
      <c r="G757" t="s">
        <v>1171</v>
      </c>
      <c r="H757" t="s">
        <v>1316</v>
      </c>
      <c r="I757" t="s">
        <v>139</v>
      </c>
      <c r="J757" t="s">
        <v>287</v>
      </c>
      <c r="K757" s="22">
        <f t="shared" ref="K757:AW757" si="202">K1556</f>
        <v>6.6990339537854613E-3</v>
      </c>
      <c r="L757" s="22">
        <f t="shared" si="202"/>
        <v>6.7165066211643688E-3</v>
      </c>
      <c r="M757" s="22">
        <f t="shared" si="202"/>
        <v>6.7397904981983149E-3</v>
      </c>
      <c r="N757" s="22">
        <f t="shared" si="202"/>
        <v>6.7683679385521006E-3</v>
      </c>
      <c r="O757" s="22">
        <f t="shared" si="202"/>
        <v>6.8025823492363574E-3</v>
      </c>
      <c r="P757" s="22">
        <f t="shared" si="202"/>
        <v>6.8425247789720067E-3</v>
      </c>
      <c r="Q757" s="22">
        <f t="shared" si="202"/>
        <v>6.8852305999729637E-3</v>
      </c>
      <c r="R757" s="22">
        <f t="shared" si="202"/>
        <v>6.9300891540096266E-3</v>
      </c>
      <c r="S757" s="22">
        <f t="shared" si="202"/>
        <v>6.9717607804068256E-3</v>
      </c>
      <c r="T757" s="22">
        <f t="shared" si="202"/>
        <v>6.9912893741281628E-3</v>
      </c>
      <c r="U757" s="22">
        <f t="shared" si="202"/>
        <v>7.0127035596413059E-3</v>
      </c>
      <c r="V757" s="22">
        <f t="shared" si="202"/>
        <v>7.0360305120884007E-3</v>
      </c>
      <c r="W757" s="22">
        <f t="shared" si="202"/>
        <v>7.0614004083267975E-3</v>
      </c>
      <c r="X757" s="22">
        <f t="shared" si="202"/>
        <v>7.0884716718967464E-3</v>
      </c>
      <c r="Y757" s="22">
        <f t="shared" si="202"/>
        <v>7.1055832829558596E-3</v>
      </c>
      <c r="Z757" s="22">
        <f t="shared" si="202"/>
        <v>7.1240971759755339E-3</v>
      </c>
      <c r="AA757" s="22">
        <f t="shared" si="202"/>
        <v>7.1440899441312785E-3</v>
      </c>
      <c r="AB757" s="22">
        <f t="shared" si="202"/>
        <v>7.1652863466602334E-3</v>
      </c>
      <c r="AC757" s="22">
        <f t="shared" si="202"/>
        <v>7.1877711715085417E-3</v>
      </c>
      <c r="AD757" s="22">
        <f t="shared" si="202"/>
        <v>7.2024972388008085E-3</v>
      </c>
      <c r="AE757" s="22">
        <f t="shared" si="202"/>
        <v>7.2184677643167576E-3</v>
      </c>
      <c r="AF757" s="22">
        <f t="shared" si="202"/>
        <v>7.2355477348621461E-3</v>
      </c>
      <c r="AG757" s="22">
        <f t="shared" si="202"/>
        <v>7.251805370649388E-3</v>
      </c>
      <c r="AH757" s="22">
        <f t="shared" si="202"/>
        <v>7.1807359365347809E-3</v>
      </c>
      <c r="AI757" s="22">
        <f t="shared" si="202"/>
        <v>7.190245046253943E-3</v>
      </c>
      <c r="AJ757" s="22">
        <f t="shared" si="202"/>
        <v>7.2006067907325584E-3</v>
      </c>
      <c r="AK757" s="22">
        <f t="shared" si="202"/>
        <v>7.2117865437637393E-3</v>
      </c>
      <c r="AL757" s="22">
        <f t="shared" si="202"/>
        <v>7.2237523649430046E-3</v>
      </c>
      <c r="AM757" s="22">
        <f t="shared" si="202"/>
        <v>7.2364747425077329E-3</v>
      </c>
      <c r="AN757" s="22">
        <f t="shared" si="202"/>
        <v>7.2419358028516061E-3</v>
      </c>
      <c r="AO757" s="22">
        <f t="shared" si="202"/>
        <v>7.2480784197247895E-3</v>
      </c>
      <c r="AP757" s="22">
        <f t="shared" si="202"/>
        <v>7.2548768984790225E-3</v>
      </c>
      <c r="AQ757" s="22">
        <f t="shared" si="202"/>
        <v>7.2623073071793384E-3</v>
      </c>
      <c r="AR757" s="22">
        <f t="shared" si="202"/>
        <v>7.2703473255873539E-3</v>
      </c>
      <c r="AS757" s="22">
        <f t="shared" si="202"/>
        <v>7.2709746073527197E-3</v>
      </c>
      <c r="AT757" s="22">
        <f t="shared" si="202"/>
        <v>7.272159750962735E-3</v>
      </c>
      <c r="AU757" s="22">
        <f t="shared" si="202"/>
        <v>7.2738827218876909E-3</v>
      </c>
      <c r="AV757" s="22">
        <f t="shared" si="202"/>
        <v>7.2761247118879498E-3</v>
      </c>
      <c r="AW757" s="22">
        <f t="shared" si="202"/>
        <v>7.2788680440104758E-3</v>
      </c>
      <c r="AY757" s="85"/>
      <c r="AZ757" s="85"/>
    </row>
    <row r="758" spans="1:52" x14ac:dyDescent="0.25">
      <c r="A758" s="102" t="str">
        <f t="shared" si="176"/>
        <v>NI MM Leaching</v>
      </c>
      <c r="B758" s="102" t="s">
        <v>970</v>
      </c>
      <c r="C758" s="102" t="s">
        <v>1334</v>
      </c>
      <c r="D758" t="s">
        <v>369</v>
      </c>
      <c r="E758" t="s">
        <v>64</v>
      </c>
      <c r="F758" t="s">
        <v>63</v>
      </c>
      <c r="G758" t="s">
        <v>1173</v>
      </c>
      <c r="H758" t="s">
        <v>1317</v>
      </c>
      <c r="I758" t="s">
        <v>139</v>
      </c>
      <c r="J758" t="s">
        <v>287</v>
      </c>
      <c r="K758" s="22">
        <f t="shared" ref="K758:AW758" si="203">K1557</f>
        <v>0</v>
      </c>
      <c r="L758" s="22">
        <f t="shared" si="203"/>
        <v>0</v>
      </c>
      <c r="M758" s="22">
        <f t="shared" si="203"/>
        <v>0</v>
      </c>
      <c r="N758" s="22">
        <f t="shared" si="203"/>
        <v>0</v>
      </c>
      <c r="O758" s="22">
        <f t="shared" si="203"/>
        <v>0</v>
      </c>
      <c r="P758" s="22">
        <f t="shared" si="203"/>
        <v>0</v>
      </c>
      <c r="Q758" s="22">
        <f t="shared" si="203"/>
        <v>0</v>
      </c>
      <c r="R758" s="22">
        <f t="shared" si="203"/>
        <v>0</v>
      </c>
      <c r="S758" s="22">
        <f t="shared" si="203"/>
        <v>0</v>
      </c>
      <c r="T758" s="22">
        <f t="shared" si="203"/>
        <v>0</v>
      </c>
      <c r="U758" s="22">
        <f t="shared" si="203"/>
        <v>0</v>
      </c>
      <c r="V758" s="22">
        <f t="shared" si="203"/>
        <v>0</v>
      </c>
      <c r="W758" s="22">
        <f t="shared" si="203"/>
        <v>0</v>
      </c>
      <c r="X758" s="22">
        <f t="shared" si="203"/>
        <v>0</v>
      </c>
      <c r="Y758" s="22">
        <f t="shared" si="203"/>
        <v>0</v>
      </c>
      <c r="Z758" s="22">
        <f t="shared" si="203"/>
        <v>0</v>
      </c>
      <c r="AA758" s="22">
        <f t="shared" si="203"/>
        <v>0</v>
      </c>
      <c r="AB758" s="22">
        <f t="shared" si="203"/>
        <v>0</v>
      </c>
      <c r="AC758" s="22">
        <f t="shared" si="203"/>
        <v>0</v>
      </c>
      <c r="AD758" s="22">
        <f t="shared" si="203"/>
        <v>0</v>
      </c>
      <c r="AE758" s="22">
        <f t="shared" si="203"/>
        <v>0</v>
      </c>
      <c r="AF758" s="22">
        <f t="shared" si="203"/>
        <v>0</v>
      </c>
      <c r="AG758" s="22">
        <f t="shared" si="203"/>
        <v>0</v>
      </c>
      <c r="AH758" s="22">
        <f t="shared" si="203"/>
        <v>0</v>
      </c>
      <c r="AI758" s="22">
        <f t="shared" si="203"/>
        <v>0</v>
      </c>
      <c r="AJ758" s="22">
        <f t="shared" si="203"/>
        <v>0</v>
      </c>
      <c r="AK758" s="22">
        <f t="shared" si="203"/>
        <v>0</v>
      </c>
      <c r="AL758" s="22">
        <f t="shared" si="203"/>
        <v>0</v>
      </c>
      <c r="AM758" s="22">
        <f t="shared" si="203"/>
        <v>0</v>
      </c>
      <c r="AN758" s="22">
        <f t="shared" si="203"/>
        <v>0</v>
      </c>
      <c r="AO758" s="22">
        <f t="shared" si="203"/>
        <v>0</v>
      </c>
      <c r="AP758" s="22">
        <f t="shared" si="203"/>
        <v>0</v>
      </c>
      <c r="AQ758" s="22">
        <f t="shared" si="203"/>
        <v>0</v>
      </c>
      <c r="AR758" s="22">
        <f t="shared" si="203"/>
        <v>0</v>
      </c>
      <c r="AS758" s="22">
        <f t="shared" si="203"/>
        <v>0</v>
      </c>
      <c r="AT758" s="22">
        <f t="shared" si="203"/>
        <v>0</v>
      </c>
      <c r="AU758" s="22">
        <f t="shared" si="203"/>
        <v>0</v>
      </c>
      <c r="AV758" s="22">
        <f t="shared" si="203"/>
        <v>0</v>
      </c>
      <c r="AW758" s="22">
        <f t="shared" si="203"/>
        <v>0</v>
      </c>
      <c r="AY758" s="85"/>
      <c r="AZ758" s="85"/>
    </row>
    <row r="759" spans="1:52" x14ac:dyDescent="0.25">
      <c r="A759" s="102" t="str">
        <f t="shared" si="176"/>
        <v>NI MM Leaching</v>
      </c>
      <c r="B759" s="102" t="s">
        <v>970</v>
      </c>
      <c r="C759" s="102" t="s">
        <v>1334</v>
      </c>
      <c r="D759" t="s">
        <v>369</v>
      </c>
      <c r="E759" t="s">
        <v>64</v>
      </c>
      <c r="F759" t="s">
        <v>63</v>
      </c>
      <c r="G759" t="s">
        <v>1175</v>
      </c>
      <c r="H759" t="s">
        <v>1318</v>
      </c>
      <c r="I759" t="s">
        <v>139</v>
      </c>
      <c r="J759" t="s">
        <v>287</v>
      </c>
      <c r="K759" s="22">
        <f t="shared" ref="K759:AW759" si="204">K1558</f>
        <v>0</v>
      </c>
      <c r="L759" s="22">
        <f t="shared" si="204"/>
        <v>0</v>
      </c>
      <c r="M759" s="22">
        <f t="shared" si="204"/>
        <v>0</v>
      </c>
      <c r="N759" s="22">
        <f t="shared" si="204"/>
        <v>0</v>
      </c>
      <c r="O759" s="22">
        <f t="shared" si="204"/>
        <v>0</v>
      </c>
      <c r="P759" s="22">
        <f t="shared" si="204"/>
        <v>0</v>
      </c>
      <c r="Q759" s="22">
        <f t="shared" si="204"/>
        <v>0</v>
      </c>
      <c r="R759" s="22">
        <f t="shared" si="204"/>
        <v>0</v>
      </c>
      <c r="S759" s="22">
        <f t="shared" si="204"/>
        <v>0</v>
      </c>
      <c r="T759" s="22">
        <f t="shared" si="204"/>
        <v>0</v>
      </c>
      <c r="U759" s="22">
        <f t="shared" si="204"/>
        <v>0</v>
      </c>
      <c r="V759" s="22">
        <f t="shared" si="204"/>
        <v>0</v>
      </c>
      <c r="W759" s="22">
        <f t="shared" si="204"/>
        <v>0</v>
      </c>
      <c r="X759" s="22">
        <f t="shared" si="204"/>
        <v>0</v>
      </c>
      <c r="Y759" s="22">
        <f t="shared" si="204"/>
        <v>0</v>
      </c>
      <c r="Z759" s="22">
        <f t="shared" si="204"/>
        <v>0</v>
      </c>
      <c r="AA759" s="22">
        <f t="shared" si="204"/>
        <v>0</v>
      </c>
      <c r="AB759" s="22">
        <f t="shared" si="204"/>
        <v>0</v>
      </c>
      <c r="AC759" s="22">
        <f t="shared" si="204"/>
        <v>0</v>
      </c>
      <c r="AD759" s="22">
        <f t="shared" si="204"/>
        <v>0</v>
      </c>
      <c r="AE759" s="22">
        <f t="shared" si="204"/>
        <v>0</v>
      </c>
      <c r="AF759" s="22">
        <f t="shared" si="204"/>
        <v>0</v>
      </c>
      <c r="AG759" s="22">
        <f t="shared" si="204"/>
        <v>0</v>
      </c>
      <c r="AH759" s="22">
        <f t="shared" si="204"/>
        <v>0</v>
      </c>
      <c r="AI759" s="22">
        <f t="shared" si="204"/>
        <v>0</v>
      </c>
      <c r="AJ759" s="22">
        <f t="shared" si="204"/>
        <v>0</v>
      </c>
      <c r="AK759" s="22">
        <f t="shared" si="204"/>
        <v>0</v>
      </c>
      <c r="AL759" s="22">
        <f t="shared" si="204"/>
        <v>0</v>
      </c>
      <c r="AM759" s="22">
        <f t="shared" si="204"/>
        <v>0</v>
      </c>
      <c r="AN759" s="22">
        <f t="shared" si="204"/>
        <v>0</v>
      </c>
      <c r="AO759" s="22">
        <f t="shared" si="204"/>
        <v>0</v>
      </c>
      <c r="AP759" s="22">
        <f t="shared" si="204"/>
        <v>0</v>
      </c>
      <c r="AQ759" s="22">
        <f t="shared" si="204"/>
        <v>0</v>
      </c>
      <c r="AR759" s="22">
        <f t="shared" si="204"/>
        <v>0</v>
      </c>
      <c r="AS759" s="22">
        <f t="shared" si="204"/>
        <v>0</v>
      </c>
      <c r="AT759" s="22">
        <f t="shared" si="204"/>
        <v>0</v>
      </c>
      <c r="AU759" s="22">
        <f t="shared" si="204"/>
        <v>0</v>
      </c>
      <c r="AV759" s="22">
        <f t="shared" si="204"/>
        <v>0</v>
      </c>
      <c r="AW759" s="22">
        <f t="shared" si="204"/>
        <v>0</v>
      </c>
      <c r="AY759" s="85"/>
      <c r="AZ759" s="85"/>
    </row>
    <row r="760" spans="1:52" x14ac:dyDescent="0.25">
      <c r="A760" s="102" t="str">
        <f t="shared" si="176"/>
        <v>NI MM Leaching</v>
      </c>
      <c r="B760" s="102" t="s">
        <v>970</v>
      </c>
      <c r="C760" s="102" t="s">
        <v>1334</v>
      </c>
      <c r="D760" t="s">
        <v>369</v>
      </c>
      <c r="E760" t="s">
        <v>64</v>
      </c>
      <c r="F760" t="s">
        <v>63</v>
      </c>
      <c r="G760" t="s">
        <v>1177</v>
      </c>
      <c r="H760" t="s">
        <v>1319</v>
      </c>
      <c r="I760" t="s">
        <v>139</v>
      </c>
      <c r="J760" t="s">
        <v>287</v>
      </c>
      <c r="K760" s="22">
        <f t="shared" ref="K760:AW760" si="205">K1559</f>
        <v>2.7080534096129025E-2</v>
      </c>
      <c r="L760" s="22">
        <f t="shared" si="205"/>
        <v>2.6995058080291692E-2</v>
      </c>
      <c r="M760" s="22">
        <f t="shared" si="205"/>
        <v>2.6712389539955236E-2</v>
      </c>
      <c r="N760" s="22">
        <f t="shared" si="205"/>
        <v>2.6163552006630762E-2</v>
      </c>
      <c r="O760" s="22">
        <f t="shared" si="205"/>
        <v>2.5638728055519384E-2</v>
      </c>
      <c r="P760" s="22">
        <f t="shared" si="205"/>
        <v>2.5270557311936091E-2</v>
      </c>
      <c r="Q760" s="22">
        <f t="shared" si="205"/>
        <v>2.4958747401341939E-2</v>
      </c>
      <c r="R760" s="22">
        <f t="shared" si="205"/>
        <v>2.4384582351632111E-2</v>
      </c>
      <c r="S760" s="22">
        <f t="shared" si="205"/>
        <v>2.1346855337625082E-2</v>
      </c>
      <c r="T760" s="22">
        <f t="shared" si="205"/>
        <v>2.1482505917310397E-2</v>
      </c>
      <c r="U760" s="22">
        <f t="shared" si="205"/>
        <v>2.1550596950866634E-2</v>
      </c>
      <c r="V760" s="22">
        <f t="shared" si="205"/>
        <v>2.1616794763907179E-2</v>
      </c>
      <c r="W760" s="22">
        <f t="shared" si="205"/>
        <v>2.1778489708019384E-2</v>
      </c>
      <c r="X760" s="22">
        <f t="shared" si="205"/>
        <v>2.1934748739134539E-2</v>
      </c>
      <c r="Y760" s="22">
        <f t="shared" si="205"/>
        <v>2.2114017881126848E-2</v>
      </c>
      <c r="Z760" s="22">
        <f t="shared" si="205"/>
        <v>2.2264487150526265E-2</v>
      </c>
      <c r="AA760" s="22">
        <f t="shared" si="205"/>
        <v>2.2445316206361306E-2</v>
      </c>
      <c r="AB760" s="22">
        <f t="shared" si="205"/>
        <v>2.2576949368517302E-2</v>
      </c>
      <c r="AC760" s="22">
        <f t="shared" si="205"/>
        <v>2.271541592892265E-2</v>
      </c>
      <c r="AD760" s="22">
        <f t="shared" si="205"/>
        <v>2.2970809719090692E-2</v>
      </c>
      <c r="AE760" s="22">
        <f t="shared" si="205"/>
        <v>2.3269151361655305E-2</v>
      </c>
      <c r="AF760" s="22">
        <f t="shared" si="205"/>
        <v>2.3577881186145462E-2</v>
      </c>
      <c r="AG760" s="22">
        <f t="shared" si="205"/>
        <v>2.3230896400696678E-2</v>
      </c>
      <c r="AH760" s="22">
        <f t="shared" si="205"/>
        <v>-7.8382777121831278E-3</v>
      </c>
      <c r="AI760" s="22">
        <f t="shared" si="205"/>
        <v>-7.7525396142955495E-3</v>
      </c>
      <c r="AJ760" s="22">
        <f t="shared" si="205"/>
        <v>-7.6686379044997068E-3</v>
      </c>
      <c r="AK760" s="22">
        <f t="shared" si="205"/>
        <v>-7.586452448594779E-3</v>
      </c>
      <c r="AL760" s="22">
        <f t="shared" si="205"/>
        <v>-7.5058719086197852E-3</v>
      </c>
      <c r="AM760" s="22">
        <f t="shared" si="205"/>
        <v>-7.4267928922061455E-3</v>
      </c>
      <c r="AN760" s="22">
        <f t="shared" si="205"/>
        <v>-7.3400589670898171E-3</v>
      </c>
      <c r="AO760" s="22">
        <f t="shared" si="205"/>
        <v>-7.2548542835376628E-3</v>
      </c>
      <c r="AP760" s="22">
        <f t="shared" si="205"/>
        <v>-7.1710895268481756E-3</v>
      </c>
      <c r="AQ760" s="22">
        <f t="shared" si="205"/>
        <v>-7.0886812161586998E-3</v>
      </c>
      <c r="AR760" s="22">
        <f t="shared" si="205"/>
        <v>-7.0075512003870211E-3</v>
      </c>
      <c r="AS760" s="22">
        <f t="shared" si="205"/>
        <v>-6.9191376458643079E-3</v>
      </c>
      <c r="AT760" s="22">
        <f t="shared" si="205"/>
        <v>-6.8320744878094938E-3</v>
      </c>
      <c r="AU760" s="22">
        <f t="shared" si="205"/>
        <v>-6.7462922163727323E-3</v>
      </c>
      <c r="AV760" s="22">
        <f t="shared" si="205"/>
        <v>-6.6617254285893414E-3</v>
      </c>
      <c r="AW760" s="22">
        <f t="shared" si="205"/>
        <v>-6.5783125081778221E-3</v>
      </c>
      <c r="AY760" s="85"/>
      <c r="AZ760" s="85"/>
    </row>
    <row r="761" spans="1:52" x14ac:dyDescent="0.25">
      <c r="A761" s="102" t="str">
        <f t="shared" si="176"/>
        <v>NI MM Leaching</v>
      </c>
      <c r="B761" s="102" t="s">
        <v>970</v>
      </c>
      <c r="C761" s="102" t="s">
        <v>1334</v>
      </c>
      <c r="D761" t="s">
        <v>369</v>
      </c>
      <c r="E761" t="s">
        <v>64</v>
      </c>
      <c r="F761" t="s">
        <v>63</v>
      </c>
      <c r="G761" t="s">
        <v>1179</v>
      </c>
      <c r="H761" t="s">
        <v>1320</v>
      </c>
      <c r="I761" t="s">
        <v>139</v>
      </c>
      <c r="J761" t="s">
        <v>287</v>
      </c>
      <c r="K761" s="22">
        <f t="shared" ref="K761:AW761" si="206">K1560</f>
        <v>4.0473192123070822E-3</v>
      </c>
      <c r="L761" s="22">
        <f t="shared" si="206"/>
        <v>4.0345444007076556E-3</v>
      </c>
      <c r="M761" s="22">
        <f t="shared" si="206"/>
        <v>3.9922981950029426E-3</v>
      </c>
      <c r="N761" s="22">
        <f t="shared" si="206"/>
        <v>3.9102717222172061E-3</v>
      </c>
      <c r="O761" s="22">
        <f t="shared" si="206"/>
        <v>3.8318341975778526E-3</v>
      </c>
      <c r="P761" s="22">
        <f t="shared" si="206"/>
        <v>3.7768092664363703E-3</v>
      </c>
      <c r="Q761" s="22">
        <f t="shared" si="206"/>
        <v>3.7302077394038642E-3</v>
      </c>
      <c r="R761" s="22">
        <f t="shared" si="206"/>
        <v>3.6443959445376013E-3</v>
      </c>
      <c r="S761" s="22">
        <f t="shared" si="206"/>
        <v>3.1903926792440892E-3</v>
      </c>
      <c r="T761" s="22">
        <f t="shared" si="206"/>
        <v>3.2106663265573984E-3</v>
      </c>
      <c r="U761" s="22">
        <f t="shared" si="206"/>
        <v>3.2208428669210313E-3</v>
      </c>
      <c r="V761" s="22">
        <f t="shared" si="206"/>
        <v>3.2307364561530842E-3</v>
      </c>
      <c r="W761" s="22">
        <f t="shared" si="206"/>
        <v>3.254902562017731E-3</v>
      </c>
      <c r="X761" s="22">
        <f t="shared" si="206"/>
        <v>3.2782562439090815E-3</v>
      </c>
      <c r="Y761" s="22">
        <f t="shared" si="206"/>
        <v>3.3050489002128215E-3</v>
      </c>
      <c r="Z761" s="22">
        <f t="shared" si="206"/>
        <v>3.3275372736969E-3</v>
      </c>
      <c r="AA761" s="22">
        <f t="shared" si="206"/>
        <v>3.3545630668081641E-3</v>
      </c>
      <c r="AB761" s="22">
        <f t="shared" si="206"/>
        <v>3.374236291282967E-3</v>
      </c>
      <c r="AC761" s="22">
        <f t="shared" si="206"/>
        <v>3.3949308007856708E-3</v>
      </c>
      <c r="AD761" s="22">
        <f t="shared" si="206"/>
        <v>3.4331006607294153E-3</v>
      </c>
      <c r="AE761" s="22">
        <f t="shared" si="206"/>
        <v>3.4776892887637355E-3</v>
      </c>
      <c r="AF761" s="22">
        <f t="shared" si="206"/>
        <v>3.5238304817562988E-3</v>
      </c>
      <c r="AG761" s="22">
        <f t="shared" si="206"/>
        <v>3.4719718964145189E-3</v>
      </c>
      <c r="AH761" s="22">
        <f t="shared" si="206"/>
        <v>-1.1714692133953115E-3</v>
      </c>
      <c r="AI761" s="22">
        <f t="shared" si="206"/>
        <v>-1.1586552323425276E-3</v>
      </c>
      <c r="AJ761" s="22">
        <f t="shared" si="206"/>
        <v>-1.1461157085356224E-3</v>
      </c>
      <c r="AK761" s="22">
        <f t="shared" si="206"/>
        <v>-1.133832687326532E-3</v>
      </c>
      <c r="AL761" s="22">
        <f t="shared" si="206"/>
        <v>-1.1217895287085682E-3</v>
      </c>
      <c r="AM761" s="22">
        <f t="shared" si="206"/>
        <v>-1.109970780182961E-3</v>
      </c>
      <c r="AN761" s="22">
        <f t="shared" si="206"/>
        <v>-1.0970079678456562E-3</v>
      </c>
      <c r="AO761" s="22">
        <f t="shared" si="206"/>
        <v>-1.0842737081927609E-3</v>
      </c>
      <c r="AP761" s="22">
        <f t="shared" si="206"/>
        <v>-1.0717546527021955E-3</v>
      </c>
      <c r="AQ761" s="22">
        <f t="shared" si="206"/>
        <v>-1.0594383247478308E-3</v>
      </c>
      <c r="AR761" s="22">
        <f t="shared" si="206"/>
        <v>-1.0473130442654776E-3</v>
      </c>
      <c r="AS761" s="22">
        <f t="shared" si="206"/>
        <v>-1.0340992030399717E-3</v>
      </c>
      <c r="AT761" s="22">
        <f t="shared" si="206"/>
        <v>-1.0210871852182944E-3</v>
      </c>
      <c r="AU761" s="22">
        <f t="shared" si="206"/>
        <v>-1.0082666022109977E-3</v>
      </c>
      <c r="AV761" s="22">
        <f t="shared" si="206"/>
        <v>-9.9562767922285289E-4</v>
      </c>
      <c r="AW761" s="22">
        <f t="shared" si="206"/>
        <v>-9.8316120739708342E-4</v>
      </c>
      <c r="AY761" s="85"/>
      <c r="AZ761" s="85"/>
    </row>
    <row r="762" spans="1:52" x14ac:dyDescent="0.25">
      <c r="A762" s="102" t="str">
        <f t="shared" si="176"/>
        <v>NI MM Leaching</v>
      </c>
      <c r="B762" s="102" t="s">
        <v>970</v>
      </c>
      <c r="C762" s="102" t="s">
        <v>1334</v>
      </c>
      <c r="D762" t="s">
        <v>369</v>
      </c>
      <c r="E762" t="s">
        <v>64</v>
      </c>
      <c r="F762" t="s">
        <v>63</v>
      </c>
      <c r="G762" t="s">
        <v>1181</v>
      </c>
      <c r="H762" t="s">
        <v>1321</v>
      </c>
      <c r="I762" t="s">
        <v>139</v>
      </c>
      <c r="J762" t="s">
        <v>287</v>
      </c>
      <c r="K762" s="22">
        <f t="shared" ref="K762:AW762" si="207">K1561</f>
        <v>1.6818104652936192E-2</v>
      </c>
      <c r="L762" s="22">
        <f t="shared" si="207"/>
        <v>1.718231236008292E-2</v>
      </c>
      <c r="M762" s="22">
        <f t="shared" si="207"/>
        <v>1.7475775480268494E-2</v>
      </c>
      <c r="N762" s="22">
        <f t="shared" si="207"/>
        <v>1.7667520029914504E-2</v>
      </c>
      <c r="O762" s="22">
        <f t="shared" si="207"/>
        <v>1.7861867169015104E-2</v>
      </c>
      <c r="P762" s="22">
        <f t="shared" si="207"/>
        <v>1.8112417299921187E-2</v>
      </c>
      <c r="Q762" s="22">
        <f t="shared" si="207"/>
        <v>1.8380356458960346E-2</v>
      </c>
      <c r="R762" s="22">
        <f t="shared" si="207"/>
        <v>1.8536177397088752E-2</v>
      </c>
      <c r="S762" s="22">
        <f t="shared" si="207"/>
        <v>1.76397656538211E-2</v>
      </c>
      <c r="T762" s="22">
        <f t="shared" si="207"/>
        <v>1.801846759992717E-2</v>
      </c>
      <c r="U762" s="22">
        <f t="shared" si="207"/>
        <v>1.8371985881481728E-2</v>
      </c>
      <c r="V762" s="22">
        <f t="shared" si="207"/>
        <v>1.8728295000039214E-2</v>
      </c>
      <c r="W762" s="22">
        <f t="shared" si="207"/>
        <v>1.9132681284008777E-2</v>
      </c>
      <c r="X762" s="22">
        <f t="shared" si="207"/>
        <v>1.9540426695963047E-2</v>
      </c>
      <c r="Y762" s="22">
        <f t="shared" si="207"/>
        <v>1.9948690293653936E-2</v>
      </c>
      <c r="Z762" s="22">
        <f t="shared" si="207"/>
        <v>2.0349079299491275E-2</v>
      </c>
      <c r="AA762" s="22">
        <f t="shared" si="207"/>
        <v>2.0770745700628056E-2</v>
      </c>
      <c r="AB762" s="22">
        <f t="shared" si="207"/>
        <v>2.1173883464125715E-2</v>
      </c>
      <c r="AC762" s="22">
        <f t="shared" si="207"/>
        <v>2.1586582056186982E-2</v>
      </c>
      <c r="AD762" s="22">
        <f t="shared" si="207"/>
        <v>2.2054503180091424E-2</v>
      </c>
      <c r="AE762" s="22">
        <f t="shared" si="207"/>
        <v>2.2554673664968956E-2</v>
      </c>
      <c r="AF762" s="22">
        <f t="shared" si="207"/>
        <v>2.3070579743094625E-2</v>
      </c>
      <c r="AG762" s="22">
        <f t="shared" si="207"/>
        <v>2.3224138845155579E-2</v>
      </c>
      <c r="AH762" s="22">
        <f t="shared" si="207"/>
        <v>5.566614295378065E-3</v>
      </c>
      <c r="AI762" s="22">
        <f t="shared" si="207"/>
        <v>5.6093984340287433E-3</v>
      </c>
      <c r="AJ762" s="22">
        <f t="shared" si="207"/>
        <v>5.652494073803362E-3</v>
      </c>
      <c r="AK762" s="22">
        <f t="shared" si="207"/>
        <v>5.6959035866970768E-3</v>
      </c>
      <c r="AL762" s="22">
        <f t="shared" si="207"/>
        <v>5.7396293554766858E-3</v>
      </c>
      <c r="AM762" s="22">
        <f t="shared" si="207"/>
        <v>5.7836737743814492E-3</v>
      </c>
      <c r="AN762" s="22">
        <f t="shared" si="207"/>
        <v>5.821325048469962E-3</v>
      </c>
      <c r="AO762" s="22">
        <f t="shared" si="207"/>
        <v>5.8592087350485328E-3</v>
      </c>
      <c r="AP762" s="22">
        <f t="shared" si="207"/>
        <v>5.8973263448292906E-3</v>
      </c>
      <c r="AQ762" s="22">
        <f t="shared" si="207"/>
        <v>5.9356793935795814E-3</v>
      </c>
      <c r="AR762" s="22">
        <f t="shared" si="207"/>
        <v>5.9742694025184985E-3</v>
      </c>
      <c r="AS762" s="22">
        <f t="shared" si="207"/>
        <v>6.0061978888300534E-3</v>
      </c>
      <c r="AT762" s="22">
        <f t="shared" si="207"/>
        <v>6.0382881266520675E-3</v>
      </c>
      <c r="AU762" s="22">
        <f t="shared" si="207"/>
        <v>6.0705409933047069E-3</v>
      </c>
      <c r="AV762" s="22">
        <f t="shared" si="207"/>
        <v>6.1029573675840942E-3</v>
      </c>
      <c r="AW762" s="22">
        <f t="shared" si="207"/>
        <v>6.1355381299989719E-3</v>
      </c>
      <c r="AY762" s="85"/>
      <c r="AZ762" s="85"/>
    </row>
    <row r="763" spans="1:52" x14ac:dyDescent="0.25">
      <c r="A763" s="102" t="str">
        <f t="shared" si="176"/>
        <v>NI MM Leaching</v>
      </c>
      <c r="B763" s="102" t="s">
        <v>970</v>
      </c>
      <c r="C763" s="102" t="s">
        <v>1334</v>
      </c>
      <c r="D763" t="s">
        <v>369</v>
      </c>
      <c r="E763" t="s">
        <v>64</v>
      </c>
      <c r="F763" t="s">
        <v>63</v>
      </c>
      <c r="G763" t="s">
        <v>1183</v>
      </c>
      <c r="H763" t="s">
        <v>1322</v>
      </c>
      <c r="I763" t="s">
        <v>139</v>
      </c>
      <c r="J763" t="s">
        <v>287</v>
      </c>
      <c r="K763" s="22">
        <f t="shared" ref="K763:AW763" si="208">K1562</f>
        <v>7.8494818970751015E-2</v>
      </c>
      <c r="L763" s="22">
        <f t="shared" si="208"/>
        <v>7.9768604189276573E-2</v>
      </c>
      <c r="M763" s="22">
        <f t="shared" si="208"/>
        <v>8.0146817618550151E-2</v>
      </c>
      <c r="N763" s="22">
        <f t="shared" si="208"/>
        <v>7.92990227060308E-2</v>
      </c>
      <c r="O763" s="22">
        <f t="shared" si="208"/>
        <v>7.8453048138272599E-2</v>
      </c>
      <c r="P763" s="22">
        <f t="shared" si="208"/>
        <v>7.8207580187434067E-2</v>
      </c>
      <c r="Q763" s="22">
        <f t="shared" si="208"/>
        <v>7.8156445174191957E-2</v>
      </c>
      <c r="R763" s="22">
        <f t="shared" si="208"/>
        <v>7.6852772864248492E-2</v>
      </c>
      <c r="S763" s="22">
        <f t="shared" si="208"/>
        <v>6.4037092776490251E-2</v>
      </c>
      <c r="T763" s="22">
        <f t="shared" si="208"/>
        <v>6.592602729202128E-2</v>
      </c>
      <c r="U763" s="22">
        <f t="shared" si="208"/>
        <v>6.7504922847287652E-2</v>
      </c>
      <c r="V763" s="22">
        <f t="shared" si="208"/>
        <v>6.9079987400904638E-2</v>
      </c>
      <c r="W763" s="22">
        <f t="shared" si="208"/>
        <v>7.1129196138688011E-2</v>
      </c>
      <c r="X763" s="22">
        <f t="shared" si="208"/>
        <v>7.3172253795344297E-2</v>
      </c>
      <c r="Y763" s="22">
        <f t="shared" si="208"/>
        <v>7.5415394971077201E-2</v>
      </c>
      <c r="Z763" s="22">
        <f t="shared" si="208"/>
        <v>7.7538763261802646E-2</v>
      </c>
      <c r="AA763" s="22">
        <f t="shared" si="208"/>
        <v>7.984321522583579E-2</v>
      </c>
      <c r="AB763" s="22">
        <f t="shared" si="208"/>
        <v>8.1921087927437922E-2</v>
      </c>
      <c r="AC763" s="22">
        <f t="shared" si="208"/>
        <v>8.4060316833005314E-2</v>
      </c>
      <c r="AD763" s="22">
        <f t="shared" si="208"/>
        <v>8.6903196778093231E-2</v>
      </c>
      <c r="AE763" s="22">
        <f t="shared" si="208"/>
        <v>9.0024318002173712E-2</v>
      </c>
      <c r="AF763" s="22">
        <f t="shared" si="208"/>
        <v>9.3255519309180357E-2</v>
      </c>
      <c r="AG763" s="22">
        <f t="shared" si="208"/>
        <v>9.2895703603725718E-2</v>
      </c>
      <c r="AH763" s="22">
        <f t="shared" si="208"/>
        <v>-8.0563954207335059E-2</v>
      </c>
      <c r="AI763" s="22">
        <f t="shared" si="208"/>
        <v>-8.0679385855871269E-2</v>
      </c>
      <c r="AJ763" s="22">
        <f t="shared" si="208"/>
        <v>-8.0804585525595149E-2</v>
      </c>
      <c r="AK763" s="22">
        <f t="shared" si="208"/>
        <v>-8.0939145577368532E-2</v>
      </c>
      <c r="AL763" s="22">
        <f t="shared" si="208"/>
        <v>-8.1082690034370505E-2</v>
      </c>
      <c r="AM763" s="22">
        <f t="shared" si="208"/>
        <v>-8.1234871540648887E-2</v>
      </c>
      <c r="AN763" s="22">
        <f t="shared" si="208"/>
        <v>-8.1297506735230202E-2</v>
      </c>
      <c r="AO763" s="22">
        <f t="shared" si="208"/>
        <v>-8.1367991924777852E-2</v>
      </c>
      <c r="AP763" s="22">
        <f t="shared" si="208"/>
        <v>-8.144602229798413E-2</v>
      </c>
      <c r="AQ763" s="22">
        <f t="shared" si="208"/>
        <v>-8.1531313973181002E-2</v>
      </c>
      <c r="AR763" s="22">
        <f t="shared" si="208"/>
        <v>-8.1623602199923873E-2</v>
      </c>
      <c r="AS763" s="22">
        <f t="shared" si="208"/>
        <v>-8.1624903700920404E-2</v>
      </c>
      <c r="AT763" s="22">
        <f t="shared" si="208"/>
        <v>-8.1632684613039755E-2</v>
      </c>
      <c r="AU763" s="22">
        <f t="shared" si="208"/>
        <v>-8.1646705375421999E-2</v>
      </c>
      <c r="AV763" s="22">
        <f t="shared" si="208"/>
        <v>-8.1666741103231646E-2</v>
      </c>
      <c r="AW763" s="22">
        <f t="shared" si="208"/>
        <v>-8.1692580447798743E-2</v>
      </c>
      <c r="AY763" s="85"/>
      <c r="AZ763" s="85"/>
    </row>
    <row r="764" spans="1:52" x14ac:dyDescent="0.25">
      <c r="A764" s="102"/>
      <c r="B764" s="102"/>
      <c r="C764" s="102"/>
    </row>
    <row r="765" spans="1:52" x14ac:dyDescent="0.25">
      <c r="A765" s="102" t="str">
        <f t="shared" si="176"/>
        <v>BD Cattle</v>
      </c>
      <c r="B765" s="102" t="s">
        <v>1229</v>
      </c>
      <c r="C765" s="102" t="s">
        <v>1109</v>
      </c>
      <c r="D765" t="s">
        <v>15</v>
      </c>
      <c r="E765" t="s">
        <v>16</v>
      </c>
      <c r="F765" t="s">
        <v>6</v>
      </c>
      <c r="G765" t="s">
        <v>136</v>
      </c>
      <c r="H765" t="s">
        <v>1021</v>
      </c>
      <c r="I765" t="s">
        <v>121</v>
      </c>
      <c r="J765" t="s">
        <v>286</v>
      </c>
      <c r="K765" s="28">
        <f>K1379</f>
        <v>72.376996171709351</v>
      </c>
      <c r="L765" s="28">
        <f t="shared" ref="L765:AW772" si="209">L1379</f>
        <v>72.827193296605245</v>
      </c>
      <c r="M765" s="28">
        <f t="shared" si="209"/>
        <v>73.136710021656683</v>
      </c>
      <c r="N765" s="28">
        <f t="shared" si="209"/>
        <v>73.233779022849987</v>
      </c>
      <c r="O765" s="28">
        <f t="shared" si="209"/>
        <v>73.365098896994937</v>
      </c>
      <c r="P765" s="28">
        <f t="shared" si="209"/>
        <v>73.652739312599607</v>
      </c>
      <c r="Q765" s="28">
        <f t="shared" si="209"/>
        <v>73.997590994756678</v>
      </c>
      <c r="R765" s="28">
        <f t="shared" si="209"/>
        <v>74.101188037293639</v>
      </c>
      <c r="S765" s="28">
        <f t="shared" si="209"/>
        <v>71.826298208807202</v>
      </c>
      <c r="T765" s="28">
        <f t="shared" si="209"/>
        <v>72.417907231153862</v>
      </c>
      <c r="U765" s="28">
        <f t="shared" si="209"/>
        <v>72.960395903467088</v>
      </c>
      <c r="V765" s="28">
        <f t="shared" si="209"/>
        <v>73.516627561358078</v>
      </c>
      <c r="W765" s="28">
        <f t="shared" si="209"/>
        <v>74.186684258863224</v>
      </c>
      <c r="X765" s="28">
        <f t="shared" si="209"/>
        <v>74.869314167562791</v>
      </c>
      <c r="Y765" s="28">
        <f t="shared" si="209"/>
        <v>75.534003476484159</v>
      </c>
      <c r="Z765" s="28">
        <f t="shared" si="209"/>
        <v>76.185395165959491</v>
      </c>
      <c r="AA765" s="28">
        <f t="shared" si="209"/>
        <v>76.887015456471644</v>
      </c>
      <c r="AB765" s="28">
        <f t="shared" si="209"/>
        <v>77.551436080037234</v>
      </c>
      <c r="AC765" s="28">
        <f t="shared" si="209"/>
        <v>78.239689008310734</v>
      </c>
      <c r="AD765" s="28">
        <f t="shared" si="209"/>
        <v>79.030428819406467</v>
      </c>
      <c r="AE765" s="28">
        <f t="shared" si="209"/>
        <v>79.891627595721104</v>
      </c>
      <c r="AF765" s="28">
        <f t="shared" si="209"/>
        <v>80.787009350430679</v>
      </c>
      <c r="AG765" s="28">
        <f t="shared" si="209"/>
        <v>80.912080498201277</v>
      </c>
      <c r="AH765" s="28">
        <f t="shared" si="209"/>
        <v>43.319538481890476</v>
      </c>
      <c r="AI765" s="28">
        <f t="shared" si="209"/>
        <v>43.351399738006613</v>
      </c>
      <c r="AJ765" s="28">
        <f t="shared" si="209"/>
        <v>43.387446354851633</v>
      </c>
      <c r="AK765" s="28">
        <f t="shared" si="209"/>
        <v>43.427519248376711</v>
      </c>
      <c r="AL765" s="28">
        <f t="shared" si="209"/>
        <v>43.471471586559346</v>
      </c>
      <c r="AM765" s="28">
        <f t="shared" si="209"/>
        <v>43.519167628118126</v>
      </c>
      <c r="AN765" s="28">
        <f t="shared" si="209"/>
        <v>43.539702199078199</v>
      </c>
      <c r="AO765" s="28">
        <f t="shared" si="209"/>
        <v>43.56353361698914</v>
      </c>
      <c r="AP765" s="28">
        <f t="shared" si="209"/>
        <v>43.590546733122295</v>
      </c>
      <c r="AQ765" s="28">
        <f t="shared" si="209"/>
        <v>43.620634256127552</v>
      </c>
      <c r="AR765" s="28">
        <f t="shared" si="209"/>
        <v>43.653696085271918</v>
      </c>
      <c r="AS765" s="28">
        <f t="shared" si="209"/>
        <v>43.658527557301703</v>
      </c>
      <c r="AT765" s="28">
        <f t="shared" si="209"/>
        <v>43.665995825413447</v>
      </c>
      <c r="AU765" s="28">
        <f t="shared" si="209"/>
        <v>43.676013492535439</v>
      </c>
      <c r="AV765" s="28">
        <f t="shared" si="209"/>
        <v>43.688498485748141</v>
      </c>
      <c r="AW765" s="28">
        <f t="shared" si="209"/>
        <v>43.703373647289609</v>
      </c>
      <c r="AY765" s="85"/>
      <c r="AZ765" s="85"/>
    </row>
    <row r="766" spans="1:52" x14ac:dyDescent="0.25">
      <c r="A766" s="102" t="str">
        <f t="shared" si="176"/>
        <v>BD Cattle</v>
      </c>
      <c r="B766" s="102" t="s">
        <v>1229</v>
      </c>
      <c r="C766" s="102" t="s">
        <v>1109</v>
      </c>
      <c r="D766" t="s">
        <v>15</v>
      </c>
      <c r="E766" t="s">
        <v>16</v>
      </c>
      <c r="F766" t="s">
        <v>6</v>
      </c>
      <c r="G766" t="s">
        <v>137</v>
      </c>
      <c r="H766" t="s">
        <v>1021</v>
      </c>
      <c r="I766" t="s">
        <v>121</v>
      </c>
      <c r="J766" t="s">
        <v>286</v>
      </c>
      <c r="K766" s="28">
        <f t="shared" ref="K766:Z778" si="210">K1380</f>
        <v>57.888319714675518</v>
      </c>
      <c r="L766" s="28">
        <f t="shared" si="210"/>
        <v>58.248394828027457</v>
      </c>
      <c r="M766" s="28">
        <f t="shared" si="210"/>
        <v>58.495951428667674</v>
      </c>
      <c r="N766" s="28">
        <f t="shared" si="210"/>
        <v>58.573588822766354</v>
      </c>
      <c r="O766" s="28">
        <f t="shared" si="210"/>
        <v>58.678620632063321</v>
      </c>
      <c r="P766" s="28">
        <f t="shared" si="210"/>
        <v>58.908680198253116</v>
      </c>
      <c r="Q766" s="28">
        <f t="shared" si="210"/>
        <v>59.184498282544595</v>
      </c>
      <c r="R766" s="28">
        <f t="shared" si="210"/>
        <v>59.267356912179451</v>
      </c>
      <c r="S766" s="28">
        <f t="shared" si="210"/>
        <v>57.447862367329009</v>
      </c>
      <c r="T766" s="28">
        <f t="shared" si="210"/>
        <v>57.921041057287908</v>
      </c>
      <c r="U766" s="28">
        <f t="shared" si="210"/>
        <v>58.354932478119395</v>
      </c>
      <c r="V766" s="28">
        <f t="shared" si="210"/>
        <v>58.799815766326432</v>
      </c>
      <c r="W766" s="28">
        <f t="shared" si="210"/>
        <v>59.33573820555165</v>
      </c>
      <c r="X766" s="28">
        <f t="shared" si="210"/>
        <v>59.881716907235422</v>
      </c>
      <c r="Y766" s="28">
        <f t="shared" si="210"/>
        <v>60.413346420216044</v>
      </c>
      <c r="Z766" s="28">
        <f t="shared" si="210"/>
        <v>60.934340277026173</v>
      </c>
      <c r="AA766" s="28">
        <f t="shared" si="209"/>
        <v>61.495507800462953</v>
      </c>
      <c r="AB766" s="28">
        <f t="shared" si="209"/>
        <v>62.026922414448045</v>
      </c>
      <c r="AC766" s="28">
        <f t="shared" si="209"/>
        <v>62.577398500274199</v>
      </c>
      <c r="AD766" s="28">
        <f t="shared" si="209"/>
        <v>63.209845291617057</v>
      </c>
      <c r="AE766" s="28">
        <f t="shared" si="209"/>
        <v>63.898646329766187</v>
      </c>
      <c r="AF766" s="28">
        <f t="shared" si="209"/>
        <v>64.614787479923166</v>
      </c>
      <c r="AG766" s="28">
        <f t="shared" si="209"/>
        <v>64.714821454420374</v>
      </c>
      <c r="AH766" s="28">
        <f t="shared" si="209"/>
        <v>34.647684018034326</v>
      </c>
      <c r="AI766" s="28">
        <f t="shared" si="209"/>
        <v>34.67316717812826</v>
      </c>
      <c r="AJ766" s="28">
        <f t="shared" si="209"/>
        <v>34.701997859020388</v>
      </c>
      <c r="AK766" s="28">
        <f t="shared" si="209"/>
        <v>34.734048822654856</v>
      </c>
      <c r="AL766" s="28">
        <f t="shared" si="209"/>
        <v>34.769202630349326</v>
      </c>
      <c r="AM766" s="28">
        <f t="shared" si="209"/>
        <v>34.80735071397978</v>
      </c>
      <c r="AN766" s="28">
        <f t="shared" si="209"/>
        <v>34.823774603776485</v>
      </c>
      <c r="AO766" s="28">
        <f t="shared" si="209"/>
        <v>34.842835366342669</v>
      </c>
      <c r="AP766" s="28">
        <f t="shared" si="209"/>
        <v>34.86444090381891</v>
      </c>
      <c r="AQ766" s="28">
        <f t="shared" si="209"/>
        <v>34.888505402807219</v>
      </c>
      <c r="AR766" s="28">
        <f t="shared" si="209"/>
        <v>34.914948801084201</v>
      </c>
      <c r="AS766" s="28">
        <f t="shared" si="209"/>
        <v>34.918813092397009</v>
      </c>
      <c r="AT766" s="28">
        <f t="shared" si="209"/>
        <v>34.92478633686742</v>
      </c>
      <c r="AU766" s="28">
        <f t="shared" si="209"/>
        <v>34.932798632870664</v>
      </c>
      <c r="AV766" s="28">
        <f t="shared" si="209"/>
        <v>34.942784337126994</v>
      </c>
      <c r="AW766" s="28">
        <f t="shared" si="209"/>
        <v>34.954681737581105</v>
      </c>
      <c r="AY766" s="85"/>
      <c r="AZ766" s="85"/>
    </row>
    <row r="767" spans="1:52" x14ac:dyDescent="0.25">
      <c r="A767" s="102" t="str">
        <f t="shared" si="176"/>
        <v>BD Cattle</v>
      </c>
      <c r="B767" s="102" t="s">
        <v>1229</v>
      </c>
      <c r="C767" s="102" t="s">
        <v>1109</v>
      </c>
      <c r="D767" t="s">
        <v>15</v>
      </c>
      <c r="E767" t="s">
        <v>16</v>
      </c>
      <c r="F767" t="s">
        <v>67</v>
      </c>
      <c r="G767" t="s">
        <v>307</v>
      </c>
      <c r="H767" t="s">
        <v>1021</v>
      </c>
      <c r="I767" t="s">
        <v>121</v>
      </c>
      <c r="J767" t="s">
        <v>286</v>
      </c>
      <c r="K767" s="28">
        <f t="shared" si="210"/>
        <v>26.173540124634229</v>
      </c>
      <c r="L767" s="28">
        <f t="shared" si="209"/>
        <v>26.336343959218663</v>
      </c>
      <c r="M767" s="28">
        <f t="shared" si="209"/>
        <v>26.448273838197906</v>
      </c>
      <c r="N767" s="28">
        <f t="shared" si="209"/>
        <v>26.483376695900965</v>
      </c>
      <c r="O767" s="28">
        <f t="shared" si="209"/>
        <v>26.530865624385104</v>
      </c>
      <c r="P767" s="28">
        <f t="shared" si="209"/>
        <v>26.634884419824388</v>
      </c>
      <c r="Q767" s="28">
        <f t="shared" si="209"/>
        <v>26.759592404645588</v>
      </c>
      <c r="R767" s="28">
        <f t="shared" si="209"/>
        <v>26.797055984139856</v>
      </c>
      <c r="S767" s="28">
        <f t="shared" si="209"/>
        <v>25.97439238445476</v>
      </c>
      <c r="T767" s="28">
        <f t="shared" si="209"/>
        <v>26.188334704577446</v>
      </c>
      <c r="U767" s="28">
        <f t="shared" si="209"/>
        <v>26.384513736355224</v>
      </c>
      <c r="V767" s="28">
        <f t="shared" si="209"/>
        <v>26.585662614955584</v>
      </c>
      <c r="W767" s="28">
        <f t="shared" si="209"/>
        <v>26.827973802011808</v>
      </c>
      <c r="X767" s="28">
        <f t="shared" si="209"/>
        <v>27.074831812853205</v>
      </c>
      <c r="Y767" s="28">
        <f t="shared" si="209"/>
        <v>27.315202002522234</v>
      </c>
      <c r="Z767" s="28">
        <f t="shared" si="209"/>
        <v>27.550763402181431</v>
      </c>
      <c r="AA767" s="28">
        <f t="shared" si="209"/>
        <v>27.804488864653102</v>
      </c>
      <c r="AB767" s="28">
        <f t="shared" si="209"/>
        <v>28.044761890204914</v>
      </c>
      <c r="AC767" s="28">
        <f t="shared" si="209"/>
        <v>28.293653341728078</v>
      </c>
      <c r="AD767" s="28">
        <f t="shared" si="209"/>
        <v>28.579606908034688</v>
      </c>
      <c r="AE767" s="28">
        <f t="shared" si="209"/>
        <v>28.891040400987077</v>
      </c>
      <c r="AF767" s="28">
        <f t="shared" si="209"/>
        <v>29.214835412155512</v>
      </c>
      <c r="AG767" s="28">
        <f t="shared" si="209"/>
        <v>29.260064626930344</v>
      </c>
      <c r="AH767" s="28">
        <f t="shared" si="209"/>
        <v>15.665553126113098</v>
      </c>
      <c r="AI767" s="28">
        <f t="shared" si="209"/>
        <v>15.677075044809452</v>
      </c>
      <c r="AJ767" s="28">
        <f t="shared" si="209"/>
        <v>15.690110506658574</v>
      </c>
      <c r="AK767" s="28">
        <f t="shared" si="209"/>
        <v>15.704601982432184</v>
      </c>
      <c r="AL767" s="28">
        <f t="shared" si="209"/>
        <v>15.720496373576371</v>
      </c>
      <c r="AM767" s="28">
        <f t="shared" si="209"/>
        <v>15.737744592258499</v>
      </c>
      <c r="AN767" s="28">
        <f t="shared" si="209"/>
        <v>15.745170465745849</v>
      </c>
      <c r="AO767" s="28">
        <f t="shared" si="209"/>
        <v>15.753788571026694</v>
      </c>
      <c r="AP767" s="28">
        <f t="shared" si="209"/>
        <v>15.7635572671097</v>
      </c>
      <c r="AQ767" s="28">
        <f t="shared" si="209"/>
        <v>15.774437754450743</v>
      </c>
      <c r="AR767" s="28">
        <f t="shared" si="209"/>
        <v>15.786393833833351</v>
      </c>
      <c r="AS767" s="28">
        <f t="shared" si="209"/>
        <v>15.788141028850022</v>
      </c>
      <c r="AT767" s="28">
        <f t="shared" si="209"/>
        <v>15.790841762859769</v>
      </c>
      <c r="AU767" s="28">
        <f t="shared" si="209"/>
        <v>15.794464430644307</v>
      </c>
      <c r="AV767" s="28">
        <f t="shared" si="209"/>
        <v>15.798979352347233</v>
      </c>
      <c r="AW767" s="28">
        <f t="shared" si="209"/>
        <v>15.804358625570211</v>
      </c>
      <c r="AY767" s="85"/>
      <c r="AZ767" s="85"/>
    </row>
    <row r="768" spans="1:52" x14ac:dyDescent="0.25">
      <c r="A768" s="102" t="str">
        <f t="shared" si="176"/>
        <v>BD Cattle</v>
      </c>
      <c r="B768" s="102" t="s">
        <v>1229</v>
      </c>
      <c r="C768" s="102" t="s">
        <v>1109</v>
      </c>
      <c r="D768" t="s">
        <v>15</v>
      </c>
      <c r="E768" t="s">
        <v>16</v>
      </c>
      <c r="F768" t="s">
        <v>67</v>
      </c>
      <c r="G768" t="s">
        <v>122</v>
      </c>
      <c r="H768" t="s">
        <v>1021</v>
      </c>
      <c r="I768" t="s">
        <v>121</v>
      </c>
      <c r="J768" t="s">
        <v>286</v>
      </c>
      <c r="K768" s="28">
        <f t="shared" si="210"/>
        <v>467.31662309373525</v>
      </c>
      <c r="L768" s="28">
        <f t="shared" si="209"/>
        <v>464.21904388294246</v>
      </c>
      <c r="M768" s="28">
        <f t="shared" si="209"/>
        <v>457.68800569383677</v>
      </c>
      <c r="N768" s="28">
        <f t="shared" si="209"/>
        <v>446.67903575374419</v>
      </c>
      <c r="O768" s="28">
        <f t="shared" si="209"/>
        <v>435.99786609024881</v>
      </c>
      <c r="P768" s="28">
        <f t="shared" si="209"/>
        <v>427.78254745702264</v>
      </c>
      <c r="Q768" s="28">
        <f t="shared" si="209"/>
        <v>420.35172850546115</v>
      </c>
      <c r="R768" s="28">
        <f t="shared" si="209"/>
        <v>408.66857197476548</v>
      </c>
      <c r="S768" s="28">
        <f t="shared" si="209"/>
        <v>358.42710853834808</v>
      </c>
      <c r="T768" s="28">
        <f t="shared" si="209"/>
        <v>361.84349356958882</v>
      </c>
      <c r="U768" s="28">
        <f t="shared" si="209"/>
        <v>364.15526833797293</v>
      </c>
      <c r="V768" s="28">
        <f t="shared" si="209"/>
        <v>366.39185100338204</v>
      </c>
      <c r="W768" s="28">
        <f t="shared" si="209"/>
        <v>370.09062077697638</v>
      </c>
      <c r="X768" s="28">
        <f t="shared" si="209"/>
        <v>373.66748817800135</v>
      </c>
      <c r="Y768" s="28">
        <f t="shared" si="209"/>
        <v>377.42266204595586</v>
      </c>
      <c r="Z768" s="28">
        <f t="shared" si="209"/>
        <v>380.69187301848672</v>
      </c>
      <c r="AA768" s="28">
        <f t="shared" si="209"/>
        <v>384.41267841886389</v>
      </c>
      <c r="AB768" s="28">
        <f t="shared" si="209"/>
        <v>387.32433471244582</v>
      </c>
      <c r="AC768" s="28">
        <f t="shared" si="209"/>
        <v>390.31588196396831</v>
      </c>
      <c r="AD768" s="28">
        <f t="shared" si="209"/>
        <v>391.70923525446432</v>
      </c>
      <c r="AE768" s="28">
        <f t="shared" si="209"/>
        <v>393.61980530942054</v>
      </c>
      <c r="AF768" s="28">
        <f t="shared" si="209"/>
        <v>395.52300177683651</v>
      </c>
      <c r="AG768" s="28">
        <f t="shared" si="209"/>
        <v>387.13475302515064</v>
      </c>
      <c r="AH768" s="28">
        <f t="shared" si="209"/>
        <v>-91.319733515809844</v>
      </c>
      <c r="AI768" s="28">
        <f t="shared" si="209"/>
        <v>-89.201433306927441</v>
      </c>
      <c r="AJ768" s="28">
        <f t="shared" si="209"/>
        <v>-87.116820719055994</v>
      </c>
      <c r="AK768" s="28">
        <f t="shared" si="209"/>
        <v>-85.0641313749869</v>
      </c>
      <c r="AL768" s="28">
        <f t="shared" si="209"/>
        <v>-83.041722879463705</v>
      </c>
      <c r="AM768" s="28">
        <f t="shared" si="209"/>
        <v>-81.048063515823799</v>
      </c>
      <c r="AN768" s="28">
        <f t="shared" si="209"/>
        <v>-79.431656757862484</v>
      </c>
      <c r="AO768" s="28">
        <f t="shared" si="209"/>
        <v>-77.839663871669529</v>
      </c>
      <c r="AP768" s="28">
        <f t="shared" si="209"/>
        <v>-76.270978541606539</v>
      </c>
      <c r="AQ768" s="28">
        <f t="shared" si="209"/>
        <v>-74.724563259155232</v>
      </c>
      <c r="AR768" s="28">
        <f t="shared" si="209"/>
        <v>-73.199443617670568</v>
      </c>
      <c r="AS768" s="28">
        <f t="shared" si="209"/>
        <v>-71.645977088210017</v>
      </c>
      <c r="AT768" s="28">
        <f t="shared" si="209"/>
        <v>-70.113872704662668</v>
      </c>
      <c r="AU768" s="28">
        <f t="shared" si="209"/>
        <v>-68.602290113404337</v>
      </c>
      <c r="AV768" s="28">
        <f t="shared" si="209"/>
        <v>-67.110436174548425</v>
      </c>
      <c r="AW768" s="28">
        <f t="shared" si="209"/>
        <v>-65.637561433796705</v>
      </c>
      <c r="AY768" s="85"/>
      <c r="AZ768" s="85"/>
    </row>
    <row r="769" spans="1:52" x14ac:dyDescent="0.25">
      <c r="A769" s="102" t="str">
        <f t="shared" si="176"/>
        <v>BD Cattle</v>
      </c>
      <c r="B769" s="102" t="s">
        <v>1229</v>
      </c>
      <c r="C769" s="102" t="s">
        <v>1109</v>
      </c>
      <c r="D769" t="s">
        <v>15</v>
      </c>
      <c r="E769" t="s">
        <v>16</v>
      </c>
      <c r="F769" t="s">
        <v>67</v>
      </c>
      <c r="G769" t="s">
        <v>123</v>
      </c>
      <c r="H769" t="s">
        <v>1021</v>
      </c>
      <c r="I769" t="s">
        <v>121</v>
      </c>
      <c r="J769" t="s">
        <v>286</v>
      </c>
      <c r="K769" s="28">
        <f t="shared" si="210"/>
        <v>329.0746130615014</v>
      </c>
      <c r="L769" s="28">
        <f t="shared" si="209"/>
        <v>326.8933624278929</v>
      </c>
      <c r="M769" s="28">
        <f t="shared" si="209"/>
        <v>322.29434163821571</v>
      </c>
      <c r="N769" s="28">
        <f t="shared" si="209"/>
        <v>314.54205476415126</v>
      </c>
      <c r="O769" s="28">
        <f t="shared" si="209"/>
        <v>307.02059800365856</v>
      </c>
      <c r="P769" s="28">
        <f t="shared" si="209"/>
        <v>301.23554207624824</v>
      </c>
      <c r="Q769" s="28">
        <f t="shared" si="209"/>
        <v>296.00291445211866</v>
      </c>
      <c r="R769" s="28">
        <f t="shared" si="209"/>
        <v>287.77587945125919</v>
      </c>
      <c r="S769" s="28">
        <f t="shared" si="209"/>
        <v>252.39688944116838</v>
      </c>
      <c r="T769" s="28">
        <f t="shared" si="209"/>
        <v>254.80263648004308</v>
      </c>
      <c r="U769" s="28">
        <f t="shared" si="209"/>
        <v>256.43054002508501</v>
      </c>
      <c r="V769" s="28">
        <f t="shared" si="209"/>
        <v>258.00549486047498</v>
      </c>
      <c r="W769" s="28">
        <f t="shared" si="209"/>
        <v>260.61009134153147</v>
      </c>
      <c r="X769" s="28">
        <f t="shared" si="209"/>
        <v>263.12884671593309</v>
      </c>
      <c r="Y769" s="28">
        <f t="shared" si="209"/>
        <v>265.77316178308178</v>
      </c>
      <c r="Z769" s="28">
        <f t="shared" si="209"/>
        <v>268.07527192134285</v>
      </c>
      <c r="AA769" s="28">
        <f t="shared" si="209"/>
        <v>270.6953854308951</v>
      </c>
      <c r="AB769" s="28">
        <f t="shared" si="209"/>
        <v>272.7457130264242</v>
      </c>
      <c r="AC769" s="28">
        <f t="shared" si="209"/>
        <v>274.85229816720681</v>
      </c>
      <c r="AD769" s="28">
        <f t="shared" si="209"/>
        <v>275.83346847502179</v>
      </c>
      <c r="AE769" s="28">
        <f t="shared" si="209"/>
        <v>277.17885203403011</v>
      </c>
      <c r="AF769" s="28">
        <f t="shared" si="209"/>
        <v>278.51904326657984</v>
      </c>
      <c r="AG769" s="28">
        <f t="shared" si="209"/>
        <v>272.6122135588102</v>
      </c>
      <c r="AH769" s="28">
        <f t="shared" si="209"/>
        <v>-64.305450494464566</v>
      </c>
      <c r="AI769" s="28">
        <f t="shared" si="209"/>
        <v>-62.813787696400013</v>
      </c>
      <c r="AJ769" s="28">
        <f t="shared" si="209"/>
        <v>-61.345847017989065</v>
      </c>
      <c r="AK769" s="28">
        <f t="shared" si="209"/>
        <v>-59.900386021624051</v>
      </c>
      <c r="AL769" s="28">
        <f t="shared" si="209"/>
        <v>-58.476248166842247</v>
      </c>
      <c r="AM769" s="28">
        <f t="shared" si="209"/>
        <v>-57.072354850736843</v>
      </c>
      <c r="AN769" s="28">
        <f t="shared" si="209"/>
        <v>-55.934114946269716</v>
      </c>
      <c r="AO769" s="28">
        <f t="shared" si="209"/>
        <v>-54.81306678078316</v>
      </c>
      <c r="AP769" s="28">
        <f t="shared" si="209"/>
        <v>-53.708431309893463</v>
      </c>
      <c r="AQ769" s="28">
        <f t="shared" si="209"/>
        <v>-52.619477941754887</v>
      </c>
      <c r="AR769" s="28">
        <f t="shared" si="209"/>
        <v>-51.54552051954397</v>
      </c>
      <c r="AS769" s="28">
        <f t="shared" si="209"/>
        <v>-50.451601810421387</v>
      </c>
      <c r="AT769" s="28">
        <f t="shared" si="209"/>
        <v>-49.372725878621843</v>
      </c>
      <c r="AU769" s="28">
        <f t="shared" si="209"/>
        <v>-48.308300964661392</v>
      </c>
      <c r="AV769" s="28">
        <f t="shared" si="209"/>
        <v>-47.257768555984775</v>
      </c>
      <c r="AW769" s="28">
        <f t="shared" si="209"/>
        <v>-46.22060090251631</v>
      </c>
      <c r="AY769" s="85"/>
      <c r="AZ769" s="85"/>
    </row>
    <row r="770" spans="1:52" x14ac:dyDescent="0.25">
      <c r="A770" s="102" t="str">
        <f t="shared" si="176"/>
        <v>BD Cattle</v>
      </c>
      <c r="B770" s="102" t="s">
        <v>1229</v>
      </c>
      <c r="C770" s="102" t="s">
        <v>1109</v>
      </c>
      <c r="D770" t="s">
        <v>15</v>
      </c>
      <c r="E770" t="s">
        <v>16</v>
      </c>
      <c r="F770" t="s">
        <v>67</v>
      </c>
      <c r="G770" t="s">
        <v>135</v>
      </c>
      <c r="H770" t="s">
        <v>1021</v>
      </c>
      <c r="I770" t="s">
        <v>121</v>
      </c>
      <c r="J770" t="s">
        <v>286</v>
      </c>
      <c r="K770" s="28">
        <f t="shared" si="210"/>
        <v>32.066658815804246</v>
      </c>
      <c r="L770" s="28">
        <f t="shared" si="209"/>
        <v>33.208718466326758</v>
      </c>
      <c r="M770" s="28">
        <f t="shared" si="209"/>
        <v>34.11520280184579</v>
      </c>
      <c r="N770" s="28">
        <f t="shared" si="209"/>
        <v>34.675782135786314</v>
      </c>
      <c r="O770" s="28">
        <f t="shared" si="209"/>
        <v>35.237531716383323</v>
      </c>
      <c r="P770" s="28">
        <f t="shared" si="209"/>
        <v>35.983525896151299</v>
      </c>
      <c r="Q770" s="28">
        <f t="shared" si="209"/>
        <v>36.791694077470218</v>
      </c>
      <c r="R770" s="28">
        <f t="shared" si="209"/>
        <v>37.212274346578468</v>
      </c>
      <c r="S770" s="28">
        <f t="shared" si="209"/>
        <v>33.949893618199454</v>
      </c>
      <c r="T770" s="28">
        <f t="shared" si="209"/>
        <v>35.092534125004185</v>
      </c>
      <c r="U770" s="28">
        <f t="shared" si="209"/>
        <v>36.14913447556372</v>
      </c>
      <c r="V770" s="28">
        <f t="shared" si="209"/>
        <v>37.217525780423792</v>
      </c>
      <c r="W770" s="28">
        <f t="shared" si="209"/>
        <v>38.457766325395134</v>
      </c>
      <c r="X770" s="28">
        <f t="shared" si="209"/>
        <v>39.712686531100644</v>
      </c>
      <c r="Y770" s="28">
        <f t="shared" si="209"/>
        <v>41.014977080860561</v>
      </c>
      <c r="Z770" s="28">
        <f t="shared" si="209"/>
        <v>42.293078143626175</v>
      </c>
      <c r="AA770" s="28">
        <f t="shared" si="209"/>
        <v>43.650840359696986</v>
      </c>
      <c r="AB770" s="28">
        <f t="shared" si="209"/>
        <v>44.946275453717462</v>
      </c>
      <c r="AC770" s="28">
        <f t="shared" si="209"/>
        <v>46.279665288729582</v>
      </c>
      <c r="AD770" s="28">
        <f t="shared" si="209"/>
        <v>47.976991209129309</v>
      </c>
      <c r="AE770" s="28">
        <f t="shared" si="209"/>
        <v>49.804514073480171</v>
      </c>
      <c r="AF770" s="28">
        <f t="shared" si="209"/>
        <v>51.703785289265333</v>
      </c>
      <c r="AG770" s="28">
        <f t="shared" si="209"/>
        <v>52.28975851111349</v>
      </c>
      <c r="AH770" s="28">
        <f t="shared" si="209"/>
        <v>-12.746083968128861</v>
      </c>
      <c r="AI770" s="28">
        <f t="shared" si="209"/>
        <v>-12.867794914199649</v>
      </c>
      <c r="AJ770" s="28">
        <f t="shared" si="209"/>
        <v>-12.990495449269591</v>
      </c>
      <c r="AK770" s="28">
        <f t="shared" si="209"/>
        <v>-13.11419493838188</v>
      </c>
      <c r="AL770" s="28">
        <f t="shared" si="209"/>
        <v>-13.238902830664287</v>
      </c>
      <c r="AM770" s="28">
        <f t="shared" si="209"/>
        <v>-13.364628660058406</v>
      </c>
      <c r="AN770" s="28">
        <f t="shared" si="209"/>
        <v>-13.465524819095547</v>
      </c>
      <c r="AO770" s="28">
        <f t="shared" si="209"/>
        <v>-13.567116958153555</v>
      </c>
      <c r="AP770" s="28">
        <f t="shared" si="209"/>
        <v>-13.669410585503263</v>
      </c>
      <c r="AQ770" s="28">
        <f t="shared" si="209"/>
        <v>-13.772411250990594</v>
      </c>
      <c r="AR770" s="28">
        <f t="shared" si="209"/>
        <v>-13.876124546340513</v>
      </c>
      <c r="AS770" s="28">
        <f t="shared" si="209"/>
        <v>-13.971054455205756</v>
      </c>
      <c r="AT770" s="28">
        <f t="shared" si="209"/>
        <v>-14.066530697184916</v>
      </c>
      <c r="AU770" s="28">
        <f t="shared" si="209"/>
        <v>-14.162556886408025</v>
      </c>
      <c r="AV770" s="28">
        <f t="shared" si="209"/>
        <v>-14.259136659667147</v>
      </c>
      <c r="AW770" s="28">
        <f t="shared" si="209"/>
        <v>-14.356273676553505</v>
      </c>
      <c r="AY770" s="85"/>
      <c r="AZ770" s="85"/>
    </row>
    <row r="771" spans="1:52" x14ac:dyDescent="0.25">
      <c r="A771" s="102" t="str">
        <f t="shared" si="176"/>
        <v>BD Sheep</v>
      </c>
      <c r="B771" s="102" t="s">
        <v>1229</v>
      </c>
      <c r="C771" s="102" t="s">
        <v>152</v>
      </c>
      <c r="D771" t="s">
        <v>15</v>
      </c>
      <c r="E771" t="s">
        <v>16</v>
      </c>
      <c r="F771" t="s">
        <v>18</v>
      </c>
      <c r="G771" t="s">
        <v>122</v>
      </c>
      <c r="H771" t="s">
        <v>1021</v>
      </c>
      <c r="I771" t="s">
        <v>121</v>
      </c>
      <c r="J771" t="s">
        <v>286</v>
      </c>
      <c r="K771" s="28">
        <f t="shared" si="210"/>
        <v>132.58757058147904</v>
      </c>
      <c r="L771" s="28">
        <f t="shared" si="209"/>
        <v>132.65997552000914</v>
      </c>
      <c r="M771" s="28">
        <f t="shared" si="209"/>
        <v>132.82210408590223</v>
      </c>
      <c r="N771" s="28">
        <f t="shared" si="209"/>
        <v>133.06614161446052</v>
      </c>
      <c r="O771" s="28">
        <f t="shared" si="209"/>
        <v>133.3953531354135</v>
      </c>
      <c r="P771" s="28">
        <f t="shared" si="209"/>
        <v>133.81008797408685</v>
      </c>
      <c r="Q771" s="28">
        <f t="shared" si="209"/>
        <v>134.27208577169884</v>
      </c>
      <c r="R771" s="28">
        <f t="shared" si="209"/>
        <v>134.77278624125299</v>
      </c>
      <c r="S771" s="28">
        <f t="shared" si="209"/>
        <v>135.24330047488556</v>
      </c>
      <c r="T771" s="28">
        <f t="shared" si="209"/>
        <v>135.43984338147078</v>
      </c>
      <c r="U771" s="28">
        <f t="shared" si="209"/>
        <v>135.66790740229135</v>
      </c>
      <c r="V771" s="28">
        <f t="shared" si="209"/>
        <v>135.92744577431912</v>
      </c>
      <c r="W771" s="28">
        <f t="shared" si="209"/>
        <v>136.21980319636509</v>
      </c>
      <c r="X771" s="28">
        <f t="shared" si="209"/>
        <v>136.54029274426662</v>
      </c>
      <c r="Y771" s="28">
        <f t="shared" si="209"/>
        <v>136.73757850266969</v>
      </c>
      <c r="Z771" s="28">
        <f t="shared" si="209"/>
        <v>136.95795076822631</v>
      </c>
      <c r="AA771" s="28">
        <f t="shared" si="209"/>
        <v>137.20220925985299</v>
      </c>
      <c r="AB771" s="28">
        <f t="shared" si="209"/>
        <v>137.46660109068114</v>
      </c>
      <c r="AC771" s="28">
        <f t="shared" si="209"/>
        <v>137.75207161797405</v>
      </c>
      <c r="AD771" s="28">
        <f t="shared" si="209"/>
        <v>137.94000218541183</v>
      </c>
      <c r="AE771" s="28">
        <f t="shared" si="209"/>
        <v>138.14770015018067</v>
      </c>
      <c r="AF771" s="28">
        <f t="shared" si="209"/>
        <v>138.37329758077868</v>
      </c>
      <c r="AG771" s="28">
        <f t="shared" si="209"/>
        <v>138.59125347156044</v>
      </c>
      <c r="AH771" s="28">
        <f t="shared" si="209"/>
        <v>137.6594267769662</v>
      </c>
      <c r="AI771" s="28">
        <f t="shared" si="209"/>
        <v>137.79176090123983</v>
      </c>
      <c r="AJ771" s="28">
        <f t="shared" si="209"/>
        <v>137.93779226287748</v>
      </c>
      <c r="AK771" s="28">
        <f t="shared" si="209"/>
        <v>138.09700339174353</v>
      </c>
      <c r="AL771" s="28">
        <f t="shared" si="209"/>
        <v>138.26891681492259</v>
      </c>
      <c r="AM771" s="28">
        <f t="shared" si="209"/>
        <v>138.45309126128626</v>
      </c>
      <c r="AN771" s="28">
        <f t="shared" si="209"/>
        <v>138.54247128713709</v>
      </c>
      <c r="AO771" s="28">
        <f t="shared" si="209"/>
        <v>138.64265405515414</v>
      </c>
      <c r="AP771" s="28">
        <f t="shared" si="209"/>
        <v>138.75326360443952</v>
      </c>
      <c r="AQ771" s="28">
        <f t="shared" si="209"/>
        <v>138.87394970624567</v>
      </c>
      <c r="AR771" s="28">
        <f t="shared" si="209"/>
        <v>139.00438567790363</v>
      </c>
      <c r="AS771" s="28">
        <f t="shared" si="209"/>
        <v>139.03656264546001</v>
      </c>
      <c r="AT771" s="28">
        <f t="shared" si="209"/>
        <v>139.07739261805247</v>
      </c>
      <c r="AU771" s="28">
        <f t="shared" si="209"/>
        <v>139.1265890083165</v>
      </c>
      <c r="AV771" s="28">
        <f t="shared" si="209"/>
        <v>139.18388272915809</v>
      </c>
      <c r="AW771" s="28">
        <f t="shared" si="209"/>
        <v>139.24902084795488</v>
      </c>
      <c r="AY771" s="85"/>
      <c r="AZ771" s="85"/>
    </row>
    <row r="772" spans="1:52" x14ac:dyDescent="0.25">
      <c r="A772" s="102" t="str">
        <f t="shared" si="176"/>
        <v>BD Sheep</v>
      </c>
      <c r="B772" s="102" t="s">
        <v>1229</v>
      </c>
      <c r="C772" s="102" t="s">
        <v>152</v>
      </c>
      <c r="D772" t="s">
        <v>15</v>
      </c>
      <c r="E772" t="s">
        <v>16</v>
      </c>
      <c r="F772" t="s">
        <v>18</v>
      </c>
      <c r="G772" t="s">
        <v>123</v>
      </c>
      <c r="H772" t="s">
        <v>1021</v>
      </c>
      <c r="I772" t="s">
        <v>121</v>
      </c>
      <c r="J772" t="s">
        <v>286</v>
      </c>
      <c r="K772" s="28">
        <f t="shared" si="210"/>
        <v>14.369021000318453</v>
      </c>
      <c r="L772" s="28">
        <f t="shared" si="209"/>
        <v>14.376867799816345</v>
      </c>
      <c r="M772" s="28">
        <f t="shared" si="209"/>
        <v>14.394438291211975</v>
      </c>
      <c r="N772" s="28">
        <f t="shared" si="209"/>
        <v>14.420885569469965</v>
      </c>
      <c r="O772" s="28">
        <f t="shared" si="209"/>
        <v>14.456563478322018</v>
      </c>
      <c r="P772" s="28">
        <f t="shared" ref="L772:AW778" si="211">P1386</f>
        <v>14.50150987548674</v>
      </c>
      <c r="Q772" s="28">
        <f t="shared" si="211"/>
        <v>14.55157833987502</v>
      </c>
      <c r="R772" s="28">
        <f t="shared" si="211"/>
        <v>14.60584116051756</v>
      </c>
      <c r="S772" s="28">
        <f t="shared" si="211"/>
        <v>14.656832583577541</v>
      </c>
      <c r="T772" s="28">
        <f t="shared" si="211"/>
        <v>14.678132688404874</v>
      </c>
      <c r="U772" s="28">
        <f t="shared" si="211"/>
        <v>14.702848856671748</v>
      </c>
      <c r="V772" s="28">
        <f t="shared" si="211"/>
        <v>14.730976020490347</v>
      </c>
      <c r="W772" s="28">
        <f t="shared" si="211"/>
        <v>14.762659910002416</v>
      </c>
      <c r="X772" s="28">
        <f t="shared" si="211"/>
        <v>14.797392585350364</v>
      </c>
      <c r="Y772" s="28">
        <f t="shared" si="211"/>
        <v>14.818773195864045</v>
      </c>
      <c r="Z772" s="28">
        <f t="shared" si="211"/>
        <v>14.842655779259934</v>
      </c>
      <c r="AA772" s="28">
        <f t="shared" si="211"/>
        <v>14.869127004128885</v>
      </c>
      <c r="AB772" s="28">
        <f t="shared" si="211"/>
        <v>14.897780155799289</v>
      </c>
      <c r="AC772" s="28">
        <f t="shared" si="211"/>
        <v>14.928717686245429</v>
      </c>
      <c r="AD772" s="28">
        <f t="shared" si="211"/>
        <v>14.949084439013225</v>
      </c>
      <c r="AE772" s="28">
        <f t="shared" si="211"/>
        <v>14.971593460065483</v>
      </c>
      <c r="AF772" s="28">
        <f t="shared" si="211"/>
        <v>14.996042314537018</v>
      </c>
      <c r="AG772" s="28">
        <f t="shared" si="211"/>
        <v>15.019663026177268</v>
      </c>
      <c r="AH772" s="28">
        <f t="shared" si="211"/>
        <v>14.918677411277161</v>
      </c>
      <c r="AI772" s="28">
        <f t="shared" si="211"/>
        <v>14.933018965333902</v>
      </c>
      <c r="AJ772" s="28">
        <f t="shared" si="211"/>
        <v>14.948844941274739</v>
      </c>
      <c r="AK772" s="28">
        <f t="shared" si="211"/>
        <v>14.966099258886322</v>
      </c>
      <c r="AL772" s="28">
        <f t="shared" si="211"/>
        <v>14.984730172606687</v>
      </c>
      <c r="AM772" s="28">
        <f t="shared" si="211"/>
        <v>15.004689860199688</v>
      </c>
      <c r="AN772" s="28">
        <f t="shared" si="211"/>
        <v>15.014376314690312</v>
      </c>
      <c r="AO772" s="28">
        <f t="shared" si="211"/>
        <v>15.025233503574562</v>
      </c>
      <c r="AP772" s="28">
        <f t="shared" si="211"/>
        <v>15.037220682535205</v>
      </c>
      <c r="AQ772" s="28">
        <f t="shared" si="211"/>
        <v>15.050299895946342</v>
      </c>
      <c r="AR772" s="28">
        <f t="shared" si="211"/>
        <v>15.064435739960453</v>
      </c>
      <c r="AS772" s="28">
        <f t="shared" si="211"/>
        <v>15.067922880727245</v>
      </c>
      <c r="AT772" s="28">
        <f t="shared" si="211"/>
        <v>15.072347780671114</v>
      </c>
      <c r="AU772" s="28">
        <f t="shared" si="211"/>
        <v>15.077679381225703</v>
      </c>
      <c r="AV772" s="28">
        <f t="shared" si="211"/>
        <v>15.083888520395751</v>
      </c>
      <c r="AW772" s="28">
        <f t="shared" si="211"/>
        <v>15.090947786907744</v>
      </c>
      <c r="AY772" s="85"/>
      <c r="AZ772" s="85"/>
    </row>
    <row r="773" spans="1:52" x14ac:dyDescent="0.25">
      <c r="A773" s="102" t="str">
        <f t="shared" si="176"/>
        <v>BD Goats</v>
      </c>
      <c r="B773" s="102" t="s">
        <v>1229</v>
      </c>
      <c r="C773" s="102" t="s">
        <v>153</v>
      </c>
      <c r="D773" t="s">
        <v>15</v>
      </c>
      <c r="E773" t="s">
        <v>16</v>
      </c>
      <c r="F773" t="s">
        <v>19</v>
      </c>
      <c r="G773" t="s">
        <v>122</v>
      </c>
      <c r="H773" t="s">
        <v>1021</v>
      </c>
      <c r="I773" t="s">
        <v>121</v>
      </c>
      <c r="J773" t="s">
        <v>286</v>
      </c>
      <c r="K773" s="28">
        <f t="shared" si="210"/>
        <v>15.122912034052119</v>
      </c>
      <c r="L773" s="28">
        <f t="shared" si="211"/>
        <v>15.16235617086264</v>
      </c>
      <c r="M773" s="28">
        <f t="shared" si="211"/>
        <v>15.214918977175502</v>
      </c>
      <c r="N773" s="28">
        <f t="shared" si="211"/>
        <v>15.279431878529646</v>
      </c>
      <c r="O773" s="28">
        <f t="shared" si="211"/>
        <v>15.356670108197457</v>
      </c>
      <c r="P773" s="28">
        <f t="shared" si="211"/>
        <v>15.446839206530987</v>
      </c>
      <c r="Q773" s="28">
        <f t="shared" si="211"/>
        <v>15.543246595834415</v>
      </c>
      <c r="R773" s="28">
        <f t="shared" si="211"/>
        <v>15.644513729476552</v>
      </c>
      <c r="S773" s="28">
        <f t="shared" si="211"/>
        <v>15.738586448717601</v>
      </c>
      <c r="T773" s="28">
        <f t="shared" si="211"/>
        <v>15.782671791027241</v>
      </c>
      <c r="U773" s="28">
        <f t="shared" si="211"/>
        <v>15.831013812582922</v>
      </c>
      <c r="V773" s="28">
        <f t="shared" si="211"/>
        <v>15.883673860630685</v>
      </c>
      <c r="W773" s="28">
        <f t="shared" si="211"/>
        <v>15.940945806372881</v>
      </c>
      <c r="X773" s="28">
        <f t="shared" si="211"/>
        <v>16.002058548962822</v>
      </c>
      <c r="Y773" s="28">
        <f t="shared" si="211"/>
        <v>16.040687609599484</v>
      </c>
      <c r="Z773" s="28">
        <f t="shared" si="211"/>
        <v>16.082482288873532</v>
      </c>
      <c r="AA773" s="28">
        <f t="shared" si="211"/>
        <v>16.127615494082271</v>
      </c>
      <c r="AB773" s="28">
        <f t="shared" si="211"/>
        <v>16.175465875658951</v>
      </c>
      <c r="AC773" s="28">
        <f t="shared" si="211"/>
        <v>16.226224840403397</v>
      </c>
      <c r="AD773" s="28">
        <f t="shared" si="211"/>
        <v>16.259468591936052</v>
      </c>
      <c r="AE773" s="28">
        <f t="shared" si="211"/>
        <v>16.295521678721617</v>
      </c>
      <c r="AF773" s="28">
        <f t="shared" si="211"/>
        <v>16.334079311640636</v>
      </c>
      <c r="AG773" s="28">
        <f t="shared" si="211"/>
        <v>16.370780543129868</v>
      </c>
      <c r="AH773" s="28">
        <f t="shared" si="211"/>
        <v>16.210342962451882</v>
      </c>
      <c r="AI773" s="28">
        <f t="shared" si="211"/>
        <v>16.231809554619815</v>
      </c>
      <c r="AJ773" s="28">
        <f t="shared" si="211"/>
        <v>16.255200949759832</v>
      </c>
      <c r="AK773" s="28">
        <f t="shared" si="211"/>
        <v>16.280438980022009</v>
      </c>
      <c r="AL773" s="28">
        <f t="shared" si="211"/>
        <v>16.307451540692337</v>
      </c>
      <c r="AM773" s="28">
        <f t="shared" si="211"/>
        <v>16.33617200965886</v>
      </c>
      <c r="AN773" s="28">
        <f t="shared" si="211"/>
        <v>16.348500225303503</v>
      </c>
      <c r="AO773" s="28">
        <f t="shared" si="211"/>
        <v>16.362367038828094</v>
      </c>
      <c r="AP773" s="28">
        <f t="shared" si="211"/>
        <v>16.377714445166813</v>
      </c>
      <c r="AQ773" s="28">
        <f t="shared" si="211"/>
        <v>16.394488418537772</v>
      </c>
      <c r="AR773" s="28">
        <f t="shared" si="211"/>
        <v>16.412638571526305</v>
      </c>
      <c r="AS773" s="28">
        <f t="shared" si="211"/>
        <v>16.414054645399585</v>
      </c>
      <c r="AT773" s="28">
        <f t="shared" si="211"/>
        <v>16.416730079303285</v>
      </c>
      <c r="AU773" s="28">
        <f t="shared" si="211"/>
        <v>16.420619645756457</v>
      </c>
      <c r="AV773" s="28">
        <f t="shared" si="211"/>
        <v>16.425680885599256</v>
      </c>
      <c r="AW773" s="28">
        <f t="shared" si="211"/>
        <v>16.431873893524784</v>
      </c>
      <c r="AY773" s="85"/>
      <c r="AZ773" s="85"/>
    </row>
    <row r="774" spans="1:52" x14ac:dyDescent="0.25">
      <c r="A774" s="102" t="str">
        <f t="shared" si="176"/>
        <v>BD Goats</v>
      </c>
      <c r="B774" s="102" t="s">
        <v>1229</v>
      </c>
      <c r="C774" s="102" t="s">
        <v>153</v>
      </c>
      <c r="D774" t="s">
        <v>15</v>
      </c>
      <c r="E774" t="s">
        <v>16</v>
      </c>
      <c r="F774" t="s">
        <v>19</v>
      </c>
      <c r="G774" t="s">
        <v>123</v>
      </c>
      <c r="H774" t="s">
        <v>1021</v>
      </c>
      <c r="I774" t="s">
        <v>121</v>
      </c>
      <c r="J774" t="s">
        <v>286</v>
      </c>
      <c r="K774" s="28">
        <f t="shared" si="210"/>
        <v>22.380358537009105</v>
      </c>
      <c r="L774" s="28">
        <f t="shared" si="211"/>
        <v>22.438731813400228</v>
      </c>
      <c r="M774" s="28">
        <f t="shared" si="211"/>
        <v>22.516519374971988</v>
      </c>
      <c r="N774" s="28">
        <f t="shared" si="211"/>
        <v>22.611991851391704</v>
      </c>
      <c r="O774" s="28">
        <f t="shared" si="211"/>
        <v>22.726296508380855</v>
      </c>
      <c r="P774" s="28">
        <f t="shared" si="211"/>
        <v>22.859737524576634</v>
      </c>
      <c r="Q774" s="28">
        <f t="shared" si="211"/>
        <v>23.002410571498377</v>
      </c>
      <c r="R774" s="28">
        <f t="shared" si="211"/>
        <v>23.152275541540064</v>
      </c>
      <c r="S774" s="28">
        <f t="shared" si="211"/>
        <v>23.291493516254551</v>
      </c>
      <c r="T774" s="28">
        <f t="shared" si="211"/>
        <v>23.356735300700223</v>
      </c>
      <c r="U774" s="28">
        <f t="shared" si="211"/>
        <v>23.428276533789713</v>
      </c>
      <c r="V774" s="28">
        <f t="shared" si="211"/>
        <v>23.506208003154299</v>
      </c>
      <c r="W774" s="28">
        <f t="shared" si="211"/>
        <v>23.590964608028823</v>
      </c>
      <c r="X774" s="28">
        <f t="shared" si="211"/>
        <v>23.681405198257956</v>
      </c>
      <c r="Y774" s="28">
        <f t="shared" si="211"/>
        <v>23.738572245520402</v>
      </c>
      <c r="Z774" s="28">
        <f t="shared" si="211"/>
        <v>23.800424083644316</v>
      </c>
      <c r="AA774" s="28">
        <f t="shared" si="211"/>
        <v>23.8672165976933</v>
      </c>
      <c r="AB774" s="28">
        <f t="shared" si="211"/>
        <v>23.938030254045156</v>
      </c>
      <c r="AC774" s="28">
        <f t="shared" si="211"/>
        <v>24.013148315129573</v>
      </c>
      <c r="AD774" s="28">
        <f t="shared" si="211"/>
        <v>24.062345657330646</v>
      </c>
      <c r="AE774" s="28">
        <f t="shared" si="211"/>
        <v>24.115700527530912</v>
      </c>
      <c r="AF774" s="28">
        <f t="shared" si="211"/>
        <v>24.172761869098128</v>
      </c>
      <c r="AG774" s="28">
        <f t="shared" si="211"/>
        <v>24.227075926974639</v>
      </c>
      <c r="AH774" s="28">
        <f t="shared" si="211"/>
        <v>23.989644764887686</v>
      </c>
      <c r="AI774" s="28">
        <f t="shared" si="211"/>
        <v>24.021413119302785</v>
      </c>
      <c r="AJ774" s="28">
        <f t="shared" si="211"/>
        <v>24.056029984674726</v>
      </c>
      <c r="AK774" s="28">
        <f t="shared" si="211"/>
        <v>24.093379680603892</v>
      </c>
      <c r="AL774" s="28">
        <f t="shared" si="211"/>
        <v>24.133355499509896</v>
      </c>
      <c r="AM774" s="28">
        <f t="shared" si="211"/>
        <v>24.175858847500976</v>
      </c>
      <c r="AN774" s="28">
        <f t="shared" si="211"/>
        <v>24.194103342055165</v>
      </c>
      <c r="AO774" s="28">
        <f t="shared" si="211"/>
        <v>24.214624803645847</v>
      </c>
      <c r="AP774" s="28">
        <f t="shared" si="211"/>
        <v>24.23733739072566</v>
      </c>
      <c r="AQ774" s="28">
        <f t="shared" si="211"/>
        <v>24.26216115067923</v>
      </c>
      <c r="AR774" s="28">
        <f t="shared" si="211"/>
        <v>24.289021515301489</v>
      </c>
      <c r="AS774" s="28">
        <f t="shared" si="211"/>
        <v>24.291117159376356</v>
      </c>
      <c r="AT774" s="28">
        <f t="shared" si="211"/>
        <v>24.295076527113999</v>
      </c>
      <c r="AU774" s="28">
        <f t="shared" si="211"/>
        <v>24.300832686481954</v>
      </c>
      <c r="AV774" s="28">
        <f t="shared" si="211"/>
        <v>24.308322802279001</v>
      </c>
      <c r="AW774" s="28">
        <f t="shared" si="211"/>
        <v>24.317487818744329</v>
      </c>
      <c r="AY774" s="85"/>
      <c r="AZ774" s="85"/>
    </row>
    <row r="775" spans="1:52" x14ac:dyDescent="0.25">
      <c r="A775" s="102" t="str">
        <f t="shared" si="176"/>
        <v>BD Horses</v>
      </c>
      <c r="B775" s="102" t="s">
        <v>1229</v>
      </c>
      <c r="C775" s="102" t="s">
        <v>3</v>
      </c>
      <c r="D775" t="s">
        <v>15</v>
      </c>
      <c r="E775" t="s">
        <v>16</v>
      </c>
      <c r="F775" t="s">
        <v>20</v>
      </c>
      <c r="G775" t="s">
        <v>3</v>
      </c>
      <c r="H775" t="s">
        <v>1021</v>
      </c>
      <c r="I775" t="s">
        <v>121</v>
      </c>
      <c r="J775" t="s">
        <v>286</v>
      </c>
      <c r="K775" s="28">
        <f t="shared" si="210"/>
        <v>5.5696427744330439</v>
      </c>
      <c r="L775" s="28">
        <f t="shared" si="211"/>
        <v>5.6022840873497932</v>
      </c>
      <c r="M775" s="28">
        <f t="shared" si="211"/>
        <v>5.6103260601490881</v>
      </c>
      <c r="N775" s="28">
        <f t="shared" si="211"/>
        <v>5.5857580588048208</v>
      </c>
      <c r="O775" s="28">
        <f t="shared" si="211"/>
        <v>5.559765331848693</v>
      </c>
      <c r="P775" s="28">
        <f t="shared" si="211"/>
        <v>5.5473985576087426</v>
      </c>
      <c r="Q775" s="28">
        <f t="shared" si="211"/>
        <v>5.5391504700870771</v>
      </c>
      <c r="R775" s="28">
        <f t="shared" si="211"/>
        <v>5.4993657963463365</v>
      </c>
      <c r="S775" s="28">
        <f t="shared" si="211"/>
        <v>5.1779141846798922</v>
      </c>
      <c r="T775" s="28">
        <f t="shared" si="211"/>
        <v>5.2234365031656678</v>
      </c>
      <c r="U775" s="28">
        <f t="shared" si="211"/>
        <v>5.2607139869862687</v>
      </c>
      <c r="V775" s="28">
        <f t="shared" si="211"/>
        <v>5.2972378917474705</v>
      </c>
      <c r="W775" s="28">
        <f t="shared" si="211"/>
        <v>5.3445893517249541</v>
      </c>
      <c r="X775" s="28">
        <f t="shared" si="211"/>
        <v>5.391074742094033</v>
      </c>
      <c r="Y775" s="28">
        <f t="shared" si="211"/>
        <v>5.4443279456237095</v>
      </c>
      <c r="Z775" s="28">
        <f t="shared" si="211"/>
        <v>5.4941146702747297</v>
      </c>
      <c r="AA775" s="28">
        <f t="shared" si="211"/>
        <v>5.5476702009922301</v>
      </c>
      <c r="AB775" s="28">
        <f t="shared" si="211"/>
        <v>5.5951924858009336</v>
      </c>
      <c r="AC775" s="28">
        <f t="shared" si="211"/>
        <v>5.6435970948645044</v>
      </c>
      <c r="AD775" s="28">
        <f t="shared" si="211"/>
        <v>5.7106381367284076</v>
      </c>
      <c r="AE775" s="28">
        <f t="shared" si="211"/>
        <v>5.7837954436426573</v>
      </c>
      <c r="AF775" s="28">
        <f t="shared" si="211"/>
        <v>5.8590224803991617</v>
      </c>
      <c r="AG775" s="28">
        <f t="shared" si="211"/>
        <v>5.8483213454344947</v>
      </c>
      <c r="AH775" s="28">
        <f t="shared" si="211"/>
        <v>1.7304204380446728</v>
      </c>
      <c r="AI775" s="28">
        <f t="shared" si="211"/>
        <v>1.7304204380446728</v>
      </c>
      <c r="AJ775" s="28">
        <f t="shared" si="211"/>
        <v>1.7304204380446728</v>
      </c>
      <c r="AK775" s="28">
        <f t="shared" si="211"/>
        <v>1.7304204380446728</v>
      </c>
      <c r="AL775" s="28">
        <f t="shared" si="211"/>
        <v>1.7304204380446728</v>
      </c>
      <c r="AM775" s="28">
        <f t="shared" si="211"/>
        <v>1.7304204380446728</v>
      </c>
      <c r="AN775" s="28">
        <f t="shared" si="211"/>
        <v>1.7304204380446728</v>
      </c>
      <c r="AO775" s="28">
        <f t="shared" si="211"/>
        <v>1.7304204380446728</v>
      </c>
      <c r="AP775" s="28">
        <f t="shared" si="211"/>
        <v>1.7304204380446728</v>
      </c>
      <c r="AQ775" s="28">
        <f t="shared" si="211"/>
        <v>1.7304204380446728</v>
      </c>
      <c r="AR775" s="28">
        <f t="shared" si="211"/>
        <v>1.7304204380446728</v>
      </c>
      <c r="AS775" s="28">
        <f t="shared" si="211"/>
        <v>1.7304204380446728</v>
      </c>
      <c r="AT775" s="28">
        <f t="shared" si="211"/>
        <v>1.7304204380446728</v>
      </c>
      <c r="AU775" s="28">
        <f t="shared" si="211"/>
        <v>1.7304204380446728</v>
      </c>
      <c r="AV775" s="28">
        <f t="shared" si="211"/>
        <v>1.7304204380446728</v>
      </c>
      <c r="AW775" s="28">
        <f t="shared" si="211"/>
        <v>1.7304204380446728</v>
      </c>
      <c r="AY775" s="85"/>
      <c r="AZ775" s="85"/>
    </row>
    <row r="776" spans="1:52" x14ac:dyDescent="0.25">
      <c r="A776" s="102" t="str">
        <f t="shared" si="176"/>
        <v>BD Mules&amp;Asses</v>
      </c>
      <c r="B776" s="102" t="s">
        <v>1229</v>
      </c>
      <c r="C776" s="102" t="s">
        <v>1324</v>
      </c>
      <c r="D776" t="s">
        <v>15</v>
      </c>
      <c r="E776" t="s">
        <v>16</v>
      </c>
      <c r="F776" t="s">
        <v>140</v>
      </c>
      <c r="G776" t="s">
        <v>124</v>
      </c>
      <c r="H776" t="s">
        <v>1021</v>
      </c>
      <c r="I776" t="s">
        <v>121</v>
      </c>
      <c r="J776" t="s">
        <v>286</v>
      </c>
      <c r="K776" s="28">
        <f t="shared" si="210"/>
        <v>1.67</v>
      </c>
      <c r="L776" s="28">
        <f t="shared" si="211"/>
        <v>1.67</v>
      </c>
      <c r="M776" s="28">
        <f t="shared" si="211"/>
        <v>1.67</v>
      </c>
      <c r="N776" s="28">
        <f t="shared" si="211"/>
        <v>1.67</v>
      </c>
      <c r="O776" s="28">
        <f t="shared" si="211"/>
        <v>1.67</v>
      </c>
      <c r="P776" s="28">
        <f t="shared" si="211"/>
        <v>1.67</v>
      </c>
      <c r="Q776" s="28">
        <f t="shared" si="211"/>
        <v>1.67</v>
      </c>
      <c r="R776" s="28">
        <f t="shared" si="211"/>
        <v>1.67</v>
      </c>
      <c r="S776" s="28">
        <f t="shared" si="211"/>
        <v>1.67</v>
      </c>
      <c r="T776" s="28">
        <f t="shared" si="211"/>
        <v>1.67</v>
      </c>
      <c r="U776" s="28">
        <f t="shared" si="211"/>
        <v>1.67</v>
      </c>
      <c r="V776" s="28">
        <f t="shared" si="211"/>
        <v>1.67</v>
      </c>
      <c r="W776" s="28">
        <f t="shared" si="211"/>
        <v>1.67</v>
      </c>
      <c r="X776" s="28">
        <f t="shared" si="211"/>
        <v>1.67</v>
      </c>
      <c r="Y776" s="28">
        <f t="shared" si="211"/>
        <v>1.67</v>
      </c>
      <c r="Z776" s="28">
        <f t="shared" si="211"/>
        <v>1.67</v>
      </c>
      <c r="AA776" s="28">
        <f t="shared" si="211"/>
        <v>1.67</v>
      </c>
      <c r="AB776" s="28">
        <f t="shared" si="211"/>
        <v>1.67</v>
      </c>
      <c r="AC776" s="28">
        <f t="shared" si="211"/>
        <v>1.67</v>
      </c>
      <c r="AD776" s="28">
        <f t="shared" si="211"/>
        <v>1.67</v>
      </c>
      <c r="AE776" s="28">
        <f t="shared" si="211"/>
        <v>1.67</v>
      </c>
      <c r="AF776" s="28">
        <f t="shared" si="211"/>
        <v>1.67</v>
      </c>
      <c r="AG776" s="28">
        <f t="shared" si="211"/>
        <v>1.67</v>
      </c>
      <c r="AH776" s="28">
        <f t="shared" si="211"/>
        <v>1.67</v>
      </c>
      <c r="AI776" s="28">
        <f t="shared" si="211"/>
        <v>1.67</v>
      </c>
      <c r="AJ776" s="28">
        <f t="shared" si="211"/>
        <v>1.67</v>
      </c>
      <c r="AK776" s="28">
        <f t="shared" si="211"/>
        <v>1.67</v>
      </c>
      <c r="AL776" s="28">
        <f t="shared" si="211"/>
        <v>1.67</v>
      </c>
      <c r="AM776" s="28">
        <f t="shared" si="211"/>
        <v>1.67</v>
      </c>
      <c r="AN776" s="28">
        <f t="shared" si="211"/>
        <v>1.67</v>
      </c>
      <c r="AO776" s="28">
        <f t="shared" si="211"/>
        <v>1.67</v>
      </c>
      <c r="AP776" s="28">
        <f t="shared" si="211"/>
        <v>1.67</v>
      </c>
      <c r="AQ776" s="28">
        <f t="shared" si="211"/>
        <v>1.67</v>
      </c>
      <c r="AR776" s="28">
        <f t="shared" si="211"/>
        <v>1.67</v>
      </c>
      <c r="AS776" s="28">
        <f t="shared" si="211"/>
        <v>1.67</v>
      </c>
      <c r="AT776" s="28">
        <f t="shared" si="211"/>
        <v>1.67</v>
      </c>
      <c r="AU776" s="28">
        <f t="shared" si="211"/>
        <v>1.67</v>
      </c>
      <c r="AV776" s="28">
        <f t="shared" si="211"/>
        <v>1.67</v>
      </c>
      <c r="AW776" s="28">
        <f t="shared" si="211"/>
        <v>1.67</v>
      </c>
      <c r="AY776" s="85"/>
      <c r="AZ776" s="85"/>
    </row>
    <row r="777" spans="1:52" x14ac:dyDescent="0.25">
      <c r="A777" s="102" t="str">
        <f t="shared" si="176"/>
        <v>BD Swine</v>
      </c>
      <c r="B777" s="102" t="s">
        <v>1229</v>
      </c>
      <c r="C777" s="102" t="s">
        <v>155</v>
      </c>
      <c r="D777" t="s">
        <v>15</v>
      </c>
      <c r="E777" t="s">
        <v>16</v>
      </c>
      <c r="F777" t="s">
        <v>21</v>
      </c>
      <c r="G777" t="s">
        <v>122</v>
      </c>
      <c r="H777" t="s">
        <v>1021</v>
      </c>
      <c r="I777" t="s">
        <v>121</v>
      </c>
      <c r="J777" t="s">
        <v>286</v>
      </c>
      <c r="K777" s="28">
        <f t="shared" si="210"/>
        <v>1.8541666894574054</v>
      </c>
      <c r="L777" s="28">
        <f t="shared" si="211"/>
        <v>1.8483142649538657</v>
      </c>
      <c r="M777" s="28">
        <f t="shared" si="211"/>
        <v>1.8289603412170248</v>
      </c>
      <c r="N777" s="28">
        <f t="shared" si="211"/>
        <v>1.7913821949145237</v>
      </c>
      <c r="O777" s="28">
        <f t="shared" si="211"/>
        <v>1.7554482253507835</v>
      </c>
      <c r="P777" s="28">
        <f t="shared" si="211"/>
        <v>1.7302400840947183</v>
      </c>
      <c r="Q777" s="28">
        <f t="shared" si="211"/>
        <v>1.708890891068684</v>
      </c>
      <c r="R777" s="28">
        <f t="shared" si="211"/>
        <v>1.6695786047731636</v>
      </c>
      <c r="S777" s="28">
        <f t="shared" si="211"/>
        <v>1.4615896404106821</v>
      </c>
      <c r="T777" s="28">
        <f t="shared" si="211"/>
        <v>1.4708774478581006</v>
      </c>
      <c r="U777" s="28">
        <f t="shared" si="211"/>
        <v>1.475539546686083</v>
      </c>
      <c r="V777" s="28">
        <f t="shared" si="211"/>
        <v>1.4800720193256183</v>
      </c>
      <c r="W777" s="28">
        <f t="shared" si="211"/>
        <v>1.4911430483593251</v>
      </c>
      <c r="X777" s="28">
        <f t="shared" si="211"/>
        <v>1.5018418879535562</v>
      </c>
      <c r="Y777" s="28">
        <f t="shared" si="211"/>
        <v>1.5141161979930053</v>
      </c>
      <c r="Z777" s="28">
        <f t="shared" si="211"/>
        <v>1.5244186206157291</v>
      </c>
      <c r="AA777" s="28">
        <f t="shared" si="211"/>
        <v>1.5367997357970316</v>
      </c>
      <c r="AB777" s="28">
        <f t="shared" si="211"/>
        <v>1.5458124762264192</v>
      </c>
      <c r="AC777" s="28">
        <f t="shared" si="211"/>
        <v>1.5552930899763542</v>
      </c>
      <c r="AD777" s="28">
        <f t="shared" si="211"/>
        <v>1.5727795493180676</v>
      </c>
      <c r="AE777" s="28">
        <f t="shared" si="211"/>
        <v>1.5932065886725237</v>
      </c>
      <c r="AF777" s="28">
        <f t="shared" si="211"/>
        <v>1.61434489246593</v>
      </c>
      <c r="AG777" s="28">
        <f t="shared" si="211"/>
        <v>1.5905873244414643</v>
      </c>
      <c r="AH777" s="28">
        <f t="shared" si="211"/>
        <v>-0.53667602659003</v>
      </c>
      <c r="AI777" s="28">
        <f t="shared" si="211"/>
        <v>-0.53080565769123822</v>
      </c>
      <c r="AJ777" s="28">
        <f t="shared" si="211"/>
        <v>-0.52506102374348274</v>
      </c>
      <c r="AK777" s="28">
        <f t="shared" si="211"/>
        <v>-0.51943389932430173</v>
      </c>
      <c r="AL777" s="28">
        <f t="shared" si="211"/>
        <v>-0.51391666127760161</v>
      </c>
      <c r="AM777" s="28">
        <f t="shared" si="211"/>
        <v>-0.50850223047100296</v>
      </c>
      <c r="AN777" s="28">
        <f t="shared" si="211"/>
        <v>-0.50256367866010732</v>
      </c>
      <c r="AO777" s="28">
        <f t="shared" si="211"/>
        <v>-0.496729831902604</v>
      </c>
      <c r="AP777" s="28">
        <f t="shared" si="211"/>
        <v>-0.49099457494449417</v>
      </c>
      <c r="AQ777" s="28">
        <f t="shared" si="211"/>
        <v>-0.48535219196665164</v>
      </c>
      <c r="AR777" s="28">
        <f t="shared" si="211"/>
        <v>-0.47979733207264019</v>
      </c>
      <c r="AS777" s="28">
        <f t="shared" si="211"/>
        <v>-0.47374377836093629</v>
      </c>
      <c r="AT777" s="28">
        <f t="shared" si="211"/>
        <v>-0.46778268442640875</v>
      </c>
      <c r="AU777" s="28">
        <f t="shared" si="211"/>
        <v>-0.46190929102584166</v>
      </c>
      <c r="AV777" s="28">
        <f t="shared" si="211"/>
        <v>-0.45611912010876249</v>
      </c>
      <c r="AW777" s="28">
        <f t="shared" si="211"/>
        <v>-0.45040795289365548</v>
      </c>
      <c r="AY777" s="85"/>
      <c r="AZ777" s="85"/>
    </row>
    <row r="778" spans="1:52" x14ac:dyDescent="0.25">
      <c r="A778" s="102" t="str">
        <f t="shared" si="176"/>
        <v>BD Swine</v>
      </c>
      <c r="B778" s="102" t="s">
        <v>1229</v>
      </c>
      <c r="C778" s="102" t="s">
        <v>155</v>
      </c>
      <c r="D778" t="s">
        <v>15</v>
      </c>
      <c r="E778" t="s">
        <v>16</v>
      </c>
      <c r="F778" t="s">
        <v>21</v>
      </c>
      <c r="G778" t="s">
        <v>123</v>
      </c>
      <c r="H778" t="s">
        <v>1021</v>
      </c>
      <c r="I778" t="s">
        <v>121</v>
      </c>
      <c r="J778" t="s">
        <v>286</v>
      </c>
      <c r="K778" s="28">
        <f t="shared" si="210"/>
        <v>0.2569163489011142</v>
      </c>
      <c r="L778" s="28">
        <f t="shared" si="211"/>
        <v>0.25610542745364245</v>
      </c>
      <c r="M778" s="28">
        <f t="shared" si="211"/>
        <v>0.25342371633691707</v>
      </c>
      <c r="N778" s="28">
        <f t="shared" si="211"/>
        <v>0.2482168273331373</v>
      </c>
      <c r="O778" s="28">
        <f t="shared" si="211"/>
        <v>0.24323775812952569</v>
      </c>
      <c r="P778" s="28">
        <f t="shared" si="211"/>
        <v>0.23974487712216219</v>
      </c>
      <c r="Q778" s="28">
        <f t="shared" si="211"/>
        <v>0.23678669825107104</v>
      </c>
      <c r="R778" s="28">
        <f t="shared" si="211"/>
        <v>0.23133952399245247</v>
      </c>
      <c r="S778" s="28">
        <f t="shared" si="211"/>
        <v>0.20252023517685527</v>
      </c>
      <c r="T778" s="28">
        <f t="shared" si="211"/>
        <v>0.20380716886639622</v>
      </c>
      <c r="U778" s="28">
        <f t="shared" si="211"/>
        <v>0.20445315685437584</v>
      </c>
      <c r="V778" s="28">
        <f t="shared" si="211"/>
        <v>0.20508118362708436</v>
      </c>
      <c r="W778" s="28">
        <f t="shared" si="211"/>
        <v>0.20661520339676887</v>
      </c>
      <c r="X778" s="28">
        <f t="shared" si="211"/>
        <v>0.20809765199303451</v>
      </c>
      <c r="Y778" s="28">
        <f t="shared" si="211"/>
        <v>0.20979840033380981</v>
      </c>
      <c r="Z778" s="28">
        <f t="shared" si="211"/>
        <v>0.21122592075045635</v>
      </c>
      <c r="AA778" s="28">
        <f t="shared" si="211"/>
        <v>0.21294146818521006</v>
      </c>
      <c r="AB778" s="28">
        <f t="shared" si="211"/>
        <v>0.21419028814183935</v>
      </c>
      <c r="AC778" s="28">
        <f t="shared" si="211"/>
        <v>0.21550393738590373</v>
      </c>
      <c r="AD778" s="28">
        <f t="shared" si="211"/>
        <v>0.21792688960202594</v>
      </c>
      <c r="AE778" s="28">
        <f t="shared" si="211"/>
        <v>0.22075729336218733</v>
      </c>
      <c r="AF778" s="28">
        <f t="shared" si="211"/>
        <v>0.22368625107857998</v>
      </c>
      <c r="AG778" s="28">
        <f t="shared" si="211"/>
        <v>0.22039436385489045</v>
      </c>
      <c r="AH778" s="28">
        <f t="shared" si="211"/>
        <v>-7.4362702166015399E-2</v>
      </c>
      <c r="AI778" s="28">
        <f t="shared" si="211"/>
        <v>-7.3549294313983729E-2</v>
      </c>
      <c r="AJ778" s="28">
        <f t="shared" si="211"/>
        <v>-7.2753308501045513E-2</v>
      </c>
      <c r="AK778" s="28">
        <f t="shared" si="211"/>
        <v>-7.1973604999300819E-2</v>
      </c>
      <c r="AL778" s="28">
        <f t="shared" si="211"/>
        <v>-7.1209127531856237E-2</v>
      </c>
      <c r="AM778" s="28">
        <f t="shared" si="211"/>
        <v>-7.0458895202628005E-2</v>
      </c>
      <c r="AN778" s="28">
        <f t="shared" si="211"/>
        <v>-6.9636039815520426E-2</v>
      </c>
      <c r="AO778" s="28">
        <f t="shared" si="211"/>
        <v>-6.8827692530722115E-2</v>
      </c>
      <c r="AP778" s="28">
        <f t="shared" si="211"/>
        <v>-6.8033006008703711E-2</v>
      </c>
      <c r="AQ778" s="28">
        <f t="shared" ref="AQ778:AW778" si="212">AQ1392</f>
        <v>-6.7251188256280764E-2</v>
      </c>
      <c r="AR778" s="28">
        <f t="shared" si="212"/>
        <v>-6.6481497844549611E-2</v>
      </c>
      <c r="AS778" s="28">
        <f t="shared" si="212"/>
        <v>-6.5642707607225875E-2</v>
      </c>
      <c r="AT778" s="28">
        <f t="shared" si="212"/>
        <v>-6.4816728746844354E-2</v>
      </c>
      <c r="AU778" s="28">
        <f t="shared" si="212"/>
        <v>-6.4002901814932872E-2</v>
      </c>
      <c r="AV778" s="28">
        <f t="shared" si="212"/>
        <v>-6.3200606325542585E-2</v>
      </c>
      <c r="AW778" s="28">
        <f t="shared" si="212"/>
        <v>-6.2409257717452565E-2</v>
      </c>
      <c r="AY778" s="85"/>
      <c r="AZ778" s="85"/>
    </row>
    <row r="779" spans="1:52" x14ac:dyDescent="0.25">
      <c r="A779" s="102" t="str">
        <f t="shared" si="176"/>
        <v>BD Cattle MMCH4</v>
      </c>
      <c r="B779" s="102" t="s">
        <v>1229</v>
      </c>
      <c r="C779" s="102" t="s">
        <v>1230</v>
      </c>
      <c r="D779" t="s">
        <v>15</v>
      </c>
      <c r="E779" t="s">
        <v>22</v>
      </c>
      <c r="F779" t="s">
        <v>6</v>
      </c>
      <c r="G779" t="s">
        <v>136</v>
      </c>
      <c r="H779" t="s">
        <v>1228</v>
      </c>
      <c r="I779" t="s">
        <v>121</v>
      </c>
      <c r="J779" t="s">
        <v>286</v>
      </c>
      <c r="K779" s="100">
        <f>IF('Net zero activities &amp; levers'!$C$10="Off",'Activity data'!AD5*EF!$H18*kgtoGg,IF('Net zero activities &amp; levers'!$C$10="On",'Net zero Activity data'!AD5*'Net zero supporting data'!B190*kgtoGg,"ERROR"))</f>
        <v>7.3648798204296106</v>
      </c>
      <c r="L779" s="100">
        <f>IF('Net zero activities &amp; levers'!$C$10="Off",'Activity data'!AE5*EF!$H18*kgtoGg,IF('Net zero activities &amp; levers'!$C$10="On",'Net zero Activity data'!AE5*'Net zero supporting data'!C190*kgtoGg,"ERROR"))</f>
        <v>7.4106906152364989</v>
      </c>
      <c r="M779" s="100">
        <f>IF('Net zero activities &amp; levers'!$C$10="Off",'Activity data'!AF5*EF!$H18*kgtoGg,IF('Net zero activities &amp; levers'!$C$10="On",'Net zero Activity data'!AF5*'Net zero supporting data'!D190*kgtoGg,"ERROR"))</f>
        <v>7.4421861677323351</v>
      </c>
      <c r="N779" s="100">
        <f>IF('Net zero activities &amp; levers'!$C$10="Off",'Activity data'!AG5*EF!$H18*kgtoGg,IF('Net zero activities &amp; levers'!$C$10="On",'Net zero Activity data'!AG5*'Net zero supporting data'!E190*kgtoGg,"ERROR"))</f>
        <v>7.4520636366228885</v>
      </c>
      <c r="O779" s="100">
        <f>IF('Net zero activities &amp; levers'!$C$10="Off",'Activity data'!AH5*EF!$H18*kgtoGg,IF('Net zero activities &amp; levers'!$C$10="On",'Net zero Activity data'!AH5*'Net zero supporting data'!F190*kgtoGg,"ERROR"))</f>
        <v>7.4654263781328698</v>
      </c>
      <c r="P779" s="100">
        <f>IF('Net zero activities &amp; levers'!$C$10="Off",'Activity data'!AI5*EF!$H18*kgtoGg,IF('Net zero activities &amp; levers'!$C$10="On",'Net zero Activity data'!AI5*'Net zero supporting data'!G190*kgtoGg,"ERROR"))</f>
        <v>7.4946958588308661</v>
      </c>
      <c r="Q779" s="100">
        <f>IF('Net zero activities &amp; levers'!$C$10="Off",'Activity data'!AJ5*EF!$H18*kgtoGg,IF('Net zero activities &amp; levers'!$C$10="On",'Net zero Activity data'!AJ5*'Net zero supporting data'!H190*kgtoGg,"ERROR"))</f>
        <v>7.5297869973043996</v>
      </c>
      <c r="R779" s="100">
        <f>IF('Net zero activities &amp; levers'!$C$10="Off",'Activity data'!AK5*EF!$H18*kgtoGg,IF('Net zero activities &amp; levers'!$C$10="On",'Net zero Activity data'!AK5*'Net zero supporting data'!I190*kgtoGg,"ERROR"))</f>
        <v>7.5403287413445446</v>
      </c>
      <c r="S779" s="100">
        <f>IF('Net zero activities &amp; levers'!$C$10="Off",'Activity data'!AL5*EF!$H18*kgtoGg,IF('Net zero activities &amp; levers'!$C$10="On",'Net zero Activity data'!AL5*'Net zero supporting data'!J190*kgtoGg,"ERROR"))</f>
        <v>7.3088423426582532</v>
      </c>
      <c r="T779" s="100">
        <f>IF('Net zero activities &amp; levers'!$C$10="Off",'Activity data'!AM5*EF!$H18*kgtoGg,IF('Net zero activities &amp; levers'!$C$10="On",'Net zero Activity data'!AM5*'Net zero supporting data'!K190*kgtoGg,"ERROR"))</f>
        <v>6.790950248465716</v>
      </c>
      <c r="U779" s="100">
        <f>IF('Net zero activities &amp; levers'!$C$10="Off",'Activity data'!AN5*EF!$H18*kgtoGg,IF('Net zero activities &amp; levers'!$C$10="On",'Net zero Activity data'!AN5*'Net zero supporting data'!L190*kgtoGg,"ERROR"))</f>
        <v>6.2678346787366248</v>
      </c>
      <c r="V779" s="100">
        <f>IF('Net zero activities &amp; levers'!$C$10="Off",'Activity data'!AO5*EF!$H18*kgtoGg,IF('Net zero activities &amp; levers'!$C$10="On",'Net zero Activity data'!AO5*'Net zero supporting data'!M190*kgtoGg,"ERROR"))</f>
        <v>5.7457562510637343</v>
      </c>
      <c r="W779" s="100">
        <f>IF('Net zero activities &amp; levers'!$C$10="Off",'Activity data'!AP5*EF!$H18*kgtoGg,IF('Net zero activities &amp; levers'!$C$10="On",'Net zero Activity data'!AP5*'Net zero supporting data'!N190*kgtoGg,"ERROR"))</f>
        <v>5.2316461086676886</v>
      </c>
      <c r="X779" s="100">
        <f>IF('Net zero activities &amp; levers'!$C$10="Off",'Activity data'!AQ5*EF!$H18*kgtoGg,IF('Net zero activities &amp; levers'!$C$10="On",'Net zero Activity data'!AQ5*'Net zero supporting data'!O190*kgtoGg,"ERROR"))</f>
        <v>4.7167503763257121</v>
      </c>
      <c r="Y779" s="100">
        <f>IF('Net zero activities &amp; levers'!$C$10="Off",'Activity data'!AR5*EF!$H18*kgtoGg,IF('Net zero activities &amp; levers'!$C$10="On",'Net zero Activity data'!AR5*'Net zero supporting data'!P190*kgtoGg,"ERROR"))</f>
        <v>4.199325757713134</v>
      </c>
      <c r="Z779" s="100">
        <f>IF('Net zero activities &amp; levers'!$C$10="Off",'Activity data'!AS5*EF!$H18*kgtoGg,IF('Net zero activities &amp; levers'!$C$10="On",'Net zero Activity data'!AS5*'Net zero supporting data'!Q190*kgtoGg,"ERROR"))</f>
        <v>3.6802256285598371</v>
      </c>
      <c r="AA779" s="100">
        <f>IF('Net zero activities &amp; levers'!$C$10="Off",'Activity data'!AT5*EF!$H18*kgtoGg,IF('Net zero activities &amp; levers'!$C$10="On",'Net zero Activity data'!AT5*'Net zero supporting data'!R190*kgtoGg,"ERROR"))</f>
        <v>3.1625797289894506</v>
      </c>
      <c r="AB779" s="100">
        <f>IF('Net zero activities &amp; levers'!$C$10="Off",'Activity data'!AU5*EF!$H18*kgtoGg,IF('Net zero activities &amp; levers'!$C$10="On",'Net zero Activity data'!AU5*'Net zero supporting data'!S190*kgtoGg,"ERROR"))</f>
        <v>2.6425713816590632</v>
      </c>
      <c r="AC779" s="100">
        <f>IF('Net zero activities &amp; levers'!$C$10="Off",'Activity data'!AV5*EF!$H18*kgtoGg,IF('Net zero activities &amp; levers'!$C$10="On",'Net zero Activity data'!AV5*'Net zero supporting data'!T190*kgtoGg,"ERROR"))</f>
        <v>2.1228746699450416</v>
      </c>
      <c r="AD779" s="100">
        <f>IF('Net zero activities &amp; levers'!$C$10="Off",'Activity data'!AW5*EF!$H18*kgtoGg,IF('Net zero activities &amp; levers'!$C$10="On",'Net zero Activity data'!AW5*'Net zero supporting data'!U190*kgtoGg,"ERROR"))</f>
        <v>2.0096919745707091</v>
      </c>
      <c r="AE779" s="100">
        <f>IF('Net zero activities &amp; levers'!$C$10="Off",'Activity data'!AX5*EF!$H18*kgtoGg,IF('Net zero activities &amp; levers'!$C$10="On",'Net zero Activity data'!AX5*'Net zero supporting data'!V190*kgtoGg,"ERROR"))</f>
        <v>1.8959197307113802</v>
      </c>
      <c r="AF779" s="100">
        <f>IF('Net zero activities &amp; levers'!$C$10="Off",'Activity data'!AY5*EF!$H18*kgtoGg,IF('Net zero activities &amp; levers'!$C$10="On",'Net zero Activity data'!AY5*'Net zero supporting data'!W190*kgtoGg,"ERROR"))</f>
        <v>1.7804135174539679</v>
      </c>
      <c r="AG779" s="100">
        <f>IF('Net zero activities &amp; levers'!$C$10="Off",'Activity data'!AZ5*EF!$H18*kgtoGg,IF('Net zero activities &amp; levers'!$C$10="On",'Net zero Activity data'!AZ5*'Net zero supporting data'!X190*kgtoGg,"ERROR"))</f>
        <v>1.6466420486124624</v>
      </c>
      <c r="AH779" s="100">
        <f>IF('Net zero activities &amp; levers'!$C$10="Off",'Activity data'!BA5*EF!$H18*kgtoGg,IF('Net zero activities &amp; levers'!$C$10="On",'Net zero Activity data'!BA5*'Net zero supporting data'!Y190*kgtoGg,"ERROR"))</f>
        <v>0.80873520396795073</v>
      </c>
      <c r="AI779" s="100">
        <f>IF('Net zero activities &amp; levers'!$C$10="Off",'Activity data'!BB5*EF!$H18*kgtoGg,IF('Net zero activities &amp; levers'!$C$10="On",'Net zero Activity data'!BB5*'Net zero supporting data'!Z190*kgtoGg,"ERROR"))</f>
        <v>0.73665051024793993</v>
      </c>
      <c r="AJ779" s="100">
        <f>IF('Net zero activities &amp; levers'!$C$10="Off",'Activity data'!BC5*EF!$H18*kgtoGg,IF('Net zero activities &amp; levers'!$C$10="On",'Net zero Activity data'!BC5*'Net zero supporting data'!AA190*kgtoGg,"ERROR"))</f>
        <v>0.66475824151365426</v>
      </c>
      <c r="AK779" s="100">
        <f>IF('Net zero activities &amp; levers'!$C$10="Off",'Activity data'!BD5*EF!$H18*kgtoGg,IF('Net zero activities &amp; levers'!$C$10="On",'Net zero Activity data'!BD5*'Net zero supporting data'!AB190*kgtoGg,"ERROR"))</f>
        <v>0.59303582897663054</v>
      </c>
      <c r="AL779" s="100">
        <f>IF('Net zero activities &amp; levers'!$C$10="Off",'Activity data'!BE5*EF!$H18*kgtoGg,IF('Net zero activities &amp; levers'!$C$10="On",'Net zero Activity data'!BE5*'Net zero supporting data'!AC190*kgtoGg,"ERROR"))</f>
        <v>0.5214620434062377</v>
      </c>
      <c r="AM779" s="100">
        <f>IF('Net zero activities &amp; levers'!$C$10="Off",'Activity data'!BF5*EF!$H18*kgtoGg,IF('Net zero activities &amp; levers'!$C$10="On",'Net zero Activity data'!BF5*'Net zero supporting data'!AD190*kgtoGg,"ERROR"))</f>
        <v>0.45001687312329625</v>
      </c>
      <c r="AN779" s="100">
        <f>IF('Net zero activities &amp; levers'!$C$10="Off",'Activity data'!BG5*EF!$H18*kgtoGg,IF('Net zero activities &amp; levers'!$C$10="On",'Net zero Activity data'!BG5*'Net zero supporting data'!AE190*kgtoGg,"ERROR"))</f>
        <v>0.44948297785314728</v>
      </c>
      <c r="AO779" s="100">
        <f>IF('Net zero activities &amp; levers'!$C$10="Off",'Activity data'!BH5*EF!$H18*kgtoGg,IF('Net zero activities &amp; levers'!$C$10="On",'Net zero Activity data'!BH5*'Net zero supporting data'!AF190*kgtoGg,"ERROR"))</f>
        <v>0.44898235724961155</v>
      </c>
      <c r="AP779" s="100">
        <f>IF('Net zero activities &amp; levers'!$C$10="Off",'Activity data'!BI5*EF!$H18*kgtoGg,IF('Net zero activities &amp; levers'!$C$10="On",'Net zero Activity data'!BI5*'Net zero supporting data'!AG190*kgtoGg,"ERROR"))</f>
        <v>0.44851365700353113</v>
      </c>
      <c r="AQ779" s="100">
        <f>IF('Net zero activities &amp; levers'!$C$10="Off",'Activity data'!BJ5*EF!$H18*kgtoGg,IF('Net zero activities &amp; levers'!$C$10="On",'Net zero Activity data'!BJ5*'Net zero supporting data'!AH190*kgtoGg,"ERROR"))</f>
        <v>0.44807561141177793</v>
      </c>
      <c r="AR779" s="100">
        <f>IF('Net zero activities &amp; levers'!$C$10="Off",'Activity data'!BK5*EF!$H18*kgtoGg,IF('Net zero activities &amp; levers'!$C$10="On",'Net zero Activity data'!BK5*'Net zero supporting data'!AI190*kgtoGg,"ERROR"))</f>
        <v>0.44766703586629375</v>
      </c>
      <c r="AS779" s="100">
        <f>IF('Net zero activities &amp; levers'!$C$10="Off",'Activity data'!BL5*EF!$H18*kgtoGg,IF('Net zero activities &amp; levers'!$C$10="On",'Net zero Activity data'!BL5*'Net zero supporting data'!AJ190*kgtoGg,"ERROR"))</f>
        <v>0.44696830959321932</v>
      </c>
      <c r="AT779" s="100">
        <f>IF('Net zero activities &amp; levers'!$C$10="Off",'Activity data'!BM5*EF!$H18*kgtoGg,IF('Net zero activities &amp; levers'!$C$10="On",'Net zero Activity data'!BM5*'Net zero supporting data'!AK190*kgtoGg,"ERROR"))</f>
        <v>0.4462963675657764</v>
      </c>
      <c r="AU779" s="100">
        <f>IF('Net zero activities &amp; levers'!$C$10="Off",'Activity data'!BN5*EF!$H18*kgtoGg,IF('Net zero activities &amp; levers'!$C$10="On",'Net zero Activity data'!BN5*'Net zero supporting data'!AL190*kgtoGg,"ERROR"))</f>
        <v>0.44565018244614873</v>
      </c>
      <c r="AV779" s="100">
        <f>IF('Net zero activities &amp; levers'!$C$10="Off",'Activity data'!BO5*EF!$H18*kgtoGg,IF('Net zero activities &amp; levers'!$C$10="On",'Net zero Activity data'!BO5*'Net zero supporting data'!AM190*kgtoGg,"ERROR"))</f>
        <v>0.44502878712216426</v>
      </c>
      <c r="AW779" s="100">
        <f>IF('Net zero activities &amp; levers'!$C$10="Off",'Activity data'!BP5*EF!$H18*kgtoGg,IF('Net zero activities &amp; levers'!$C$10="On",'Net zero Activity data'!BP5*'Net zero supporting data'!AN190*kgtoGg,"ERROR"))</f>
        <v>0.44443127009186162</v>
      </c>
      <c r="AY779" s="85"/>
      <c r="AZ779" s="85"/>
    </row>
    <row r="780" spans="1:52" x14ac:dyDescent="0.25">
      <c r="A780" s="102" t="str">
        <f t="shared" si="176"/>
        <v>BD Cattle MMCH4</v>
      </c>
      <c r="B780" s="102" t="s">
        <v>1229</v>
      </c>
      <c r="C780" s="102" t="s">
        <v>1230</v>
      </c>
      <c r="D780" t="s">
        <v>15</v>
      </c>
      <c r="E780" t="s">
        <v>22</v>
      </c>
      <c r="F780" t="s">
        <v>6</v>
      </c>
      <c r="G780" t="s">
        <v>137</v>
      </c>
      <c r="H780" t="s">
        <v>1228</v>
      </c>
      <c r="I780" t="s">
        <v>121</v>
      </c>
      <c r="J780" t="s">
        <v>286</v>
      </c>
      <c r="K780" s="100">
        <f>IF('Net zero activities &amp; levers'!$C$10="Off",'Activity data'!AD6*EF!$H19*kgtoGg,IF('Net zero activities &amp; levers'!$C$10="On",'Net zero Activity data'!AD6*'Net zero supporting data'!B191*kgtoGg,"ERROR"))</f>
        <v>2.0982235474514437</v>
      </c>
      <c r="L780" s="100">
        <f>IF('Net zero activities &amp; levers'!$C$10="Off",'Activity data'!AE6*EF!$H19*kgtoGg,IF('Net zero activities &amp; levers'!$C$10="On",'Net zero Activity data'!AE6*'Net zero supporting data'!C191*kgtoGg,"ERROR"))</f>
        <v>2.1112748518494664</v>
      </c>
      <c r="M780" s="100">
        <f>IF('Net zero activities &amp; levers'!$C$10="Off",'Activity data'!AF6*EF!$H19*kgtoGg,IF('Net zero activities &amp; levers'!$C$10="On",'Net zero Activity data'!AF6*'Net zero supporting data'!D191*kgtoGg,"ERROR"))</f>
        <v>2.1202478034112069</v>
      </c>
      <c r="N780" s="100">
        <f>IF('Net zero activities &amp; levers'!$C$10="Off",'Activity data'!AG6*EF!$H19*kgtoGg,IF('Net zero activities &amp; levers'!$C$10="On",'Net zero Activity data'!AG6*'Net zero supporting data'!E191*kgtoGg,"ERROR"))</f>
        <v>2.1230618531066128</v>
      </c>
      <c r="O780" s="100">
        <f>IF('Net zero activities &amp; levers'!$C$10="Off",'Activity data'!AH6*EF!$H19*kgtoGg,IF('Net zero activities &amp; levers'!$C$10="On",'Net zero Activity data'!AH6*'Net zero supporting data'!F191*kgtoGg,"ERROR"))</f>
        <v>2.1268688424368354</v>
      </c>
      <c r="P780" s="100">
        <f>IF('Net zero activities &amp; levers'!$C$10="Off",'Activity data'!AI6*EF!$H19*kgtoGg,IF('Net zero activities &amp; levers'!$C$10="On",'Net zero Activity data'!AI6*'Net zero supporting data'!G191*kgtoGg,"ERROR"))</f>
        <v>2.135207595426647</v>
      </c>
      <c r="Q780" s="100">
        <f>IF('Net zero activities &amp; levers'!$C$10="Off",'Activity data'!AJ6*EF!$H19*kgtoGg,IF('Net zero activities &amp; levers'!$C$10="On",'Net zero Activity data'!AJ6*'Net zero supporting data'!H191*kgtoGg,"ERROR"))</f>
        <v>2.145204914438942</v>
      </c>
      <c r="R780" s="100">
        <f>IF('Net zero activities &amp; levers'!$C$10="Off",'Activity data'!AK6*EF!$H19*kgtoGg,IF('Net zero activities &amp; levers'!$C$10="On",'Net zero Activity data'!AK6*'Net zero supporting data'!I191*kgtoGg,"ERROR"))</f>
        <v>2.1482082133542728</v>
      </c>
      <c r="S780" s="100">
        <f>IF('Net zero activities &amp; levers'!$C$10="Off",'Activity data'!AL6*EF!$H19*kgtoGg,IF('Net zero activities &amp; levers'!$C$10="On",'Net zero Activity data'!AL6*'Net zero supporting data'!J191*kgtoGg,"ERROR"))</f>
        <v>2.0822587037246674</v>
      </c>
      <c r="T780" s="100">
        <f>IF('Net zero activities &amp; levers'!$C$10="Off",'Activity data'!AM6*EF!$H19*kgtoGg,IF('Net zero activities &amp; levers'!$C$10="On",'Net zero Activity data'!AM6*'Net zero supporting data'!K191*kgtoGg,"ERROR"))</f>
        <v>1.9163473964209201</v>
      </c>
      <c r="U780" s="100">
        <f>IF('Net zero activities &amp; levers'!$C$10="Off",'Activity data'!AN6*EF!$H19*kgtoGg,IF('Net zero activities &amp; levers'!$C$10="On",'Net zero Activity data'!AN6*'Net zero supporting data'!L191*kgtoGg,"ERROR"))</f>
        <v>1.7489712250700813</v>
      </c>
      <c r="V780" s="100">
        <f>IF('Net zero activities &amp; levers'!$C$10="Off",'Activity data'!AO6*EF!$H19*kgtoGg,IF('Net zero activities &amp; levers'!$C$10="On",'Net zero Activity data'!AO6*'Net zero supporting data'!M191*kgtoGg,"ERROR"))</f>
        <v>1.5819101831895956</v>
      </c>
      <c r="W780" s="100">
        <f>IF('Net zero activities &amp; levers'!$C$10="Off",'Activity data'!AP6*EF!$H19*kgtoGg,IF('Net zero activities &amp; levers'!$C$10="On",'Net zero Activity data'!AP6*'Net zero supporting data'!N191*kgtoGg,"ERROR"))</f>
        <v>1.4170365600512198</v>
      </c>
      <c r="X780" s="100">
        <f>IF('Net zero activities &amp; levers'!$C$10="Off",'Activity data'!AQ6*EF!$H19*kgtoGg,IF('Net zero activities &amp; levers'!$C$10="On",'Net zero Activity data'!AQ6*'Net zero supporting data'!O191*kgtoGg,"ERROR"))</f>
        <v>1.2519064755433593</v>
      </c>
      <c r="Y780" s="100">
        <f>IF('Net zero activities &amp; levers'!$C$10="Off",'Activity data'!AR6*EF!$H19*kgtoGg,IF('Net zero activities &amp; levers'!$C$10="On",'Net zero Activity data'!AR6*'Net zero supporting data'!P191*kgtoGg,"ERROR"))</f>
        <v>1.0860672594137375</v>
      </c>
      <c r="Z780" s="100">
        <f>IF('Net zero activities &amp; levers'!$C$10="Off",'Activity data'!AS6*EF!$H19*kgtoGg,IF('Net zero activities &amp; levers'!$C$10="On",'Net zero Activity data'!AS6*'Net zero supporting data'!Q191*kgtoGg,"ERROR"))</f>
        <v>0.9197748968740842</v>
      </c>
      <c r="AA780" s="100">
        <f>IF('Net zero activities &amp; levers'!$C$10="Off",'Activity data'!AT6*EF!$H19*kgtoGg,IF('Net zero activities &amp; levers'!$C$10="On",'Net zero Activity data'!AT6*'Net zero supporting data'!R191*kgtoGg,"ERROR"))</f>
        <v>0.75381655771052258</v>
      </c>
      <c r="AB780" s="100">
        <f>IF('Net zero activities &amp; levers'!$C$10="Off",'Activity data'!AU6*EF!$H19*kgtoGg,IF('Net zero activities &amp; levers'!$C$10="On",'Net zero Activity data'!AU6*'Net zero supporting data'!S191*kgtoGg,"ERROR"))</f>
        <v>0.58726627618216609</v>
      </c>
      <c r="AC780" s="100">
        <f>IF('Net zero activities &amp; levers'!$C$10="Off",'Activity data'!AV6*EF!$H19*kgtoGg,IF('Net zero activities &amp; levers'!$C$10="On",'Net zero Activity data'!AV6*'Net zero supporting data'!T191*kgtoGg,"ERROR"))</f>
        <v>0.42077514202133026</v>
      </c>
      <c r="AD780" s="100">
        <f>IF('Net zero activities &amp; levers'!$C$10="Off",'Activity data'!AW6*EF!$H19*kgtoGg,IF('Net zero activities &amp; levers'!$C$10="On",'Net zero Activity data'!AW6*'Net zero supporting data'!U191*kgtoGg,"ERROR"))</f>
        <v>0.38233358655507549</v>
      </c>
      <c r="AE780" s="100">
        <f>IF('Net zero activities &amp; levers'!$C$10="Off",'Activity data'!AX6*EF!$H19*kgtoGg,IF('Net zero activities &amp; levers'!$C$10="On",'Net zero Activity data'!AX6*'Net zero supporting data'!V191*kgtoGg,"ERROR"))</f>
        <v>0.34347915889327901</v>
      </c>
      <c r="AF780" s="100">
        <f>IF('Net zero activities &amp; levers'!$C$10="Off",'Activity data'!AY6*EF!$H19*kgtoGg,IF('Net zero activities &amp; levers'!$C$10="On",'Net zero Activity data'!AY6*'Net zero supporting data'!W191*kgtoGg,"ERROR"))</f>
        <v>0.30396602907387754</v>
      </c>
      <c r="AG780" s="100">
        <f>IF('Net zero activities &amp; levers'!$C$10="Off",'Activity data'!AZ6*EF!$H19*kgtoGg,IF('Net zero activities &amp; levers'!$C$10="On",'Net zero Activity data'!AZ6*'Net zero supporting data'!X191*kgtoGg,"ERROR"))</f>
        <v>0.26114727815217836</v>
      </c>
      <c r="AH780" s="100">
        <f>IF('Net zero activities &amp; levers'!$C$10="Off",'Activity data'!BA6*EF!$H19*kgtoGg,IF('Net zero activities &amp; levers'!$C$10="On",'Net zero Activity data'!BA6*'Net zero supporting data'!Y191*kgtoGg,"ERROR"))</f>
        <v>0.11671421098893001</v>
      </c>
      <c r="AI780" s="100">
        <f>IF('Net zero activities &amp; levers'!$C$10="Off",'Activity data'!BB6*EF!$H19*kgtoGg,IF('Net zero activities &amp; levers'!$C$10="On",'Net zero Activity data'!BB6*'Net zero supporting data'!Z191*kgtoGg,"ERROR"))</f>
        <v>9.3756819758706852E-2</v>
      </c>
      <c r="AJ780" s="100">
        <f>IF('Net zero activities &amp; levers'!$C$10="Off",'Activity data'!BC6*EF!$H19*kgtoGg,IF('Net zero activities &amp; levers'!$C$10="On",'Net zero Activity data'!BC6*'Net zero supporting data'!AA191*kgtoGg,"ERROR"))</f>
        <v>7.0847697783208569E-2</v>
      </c>
      <c r="AK780" s="100">
        <f>IF('Net zero activities &amp; levers'!$C$10="Off",'Activity data'!BD6*EF!$H19*kgtoGg,IF('Net zero activities &amp; levers'!$C$10="On",'Net zero Activity data'!BD6*'Net zero supporting data'!AB191*kgtoGg,"ERROR"))</f>
        <v>4.7980204682867011E-2</v>
      </c>
      <c r="AL780" s="100">
        <f>IF('Net zero activities &amp; levers'!$C$10="Off",'Activity data'!BE6*EF!$H19*kgtoGg,IF('Net zero activities &amp; levers'!$C$10="On",'Net zero Activity data'!BE6*'Net zero supporting data'!AC191*kgtoGg,"ERROR"))</f>
        <v>2.5148085684334263E-2</v>
      </c>
      <c r="AM780" s="100">
        <f>IF('Net zero activities &amp; levers'!$C$10="Off",'Activity data'!BF6*EF!$H19*kgtoGg,IF('Net zero activities &amp; levers'!$C$10="On",'Net zero Activity data'!BF6*'Net zero supporting data'!AD191*kgtoGg,"ERROR"))</f>
        <v>2.3454366592681342E-3</v>
      </c>
      <c r="AN780" s="100">
        <f>IF('Net zero activities &amp; levers'!$C$10="Off",'Activity data'!BG6*EF!$H19*kgtoGg,IF('Net zero activities &amp; levers'!$C$10="On",'Net zero Activity data'!BG6*'Net zero supporting data'!AE191*kgtoGg,"ERROR"))</f>
        <v>2.342654057962263E-3</v>
      </c>
      <c r="AO780" s="100">
        <f>IF('Net zero activities &amp; levers'!$C$10="Off",'Activity data'!BH6*EF!$H19*kgtoGg,IF('Net zero activities &amp; levers'!$C$10="On",'Net zero Activity data'!BH6*'Net zero supporting data'!AF191*kgtoGg,"ERROR"))</f>
        <v>2.3400448804268333E-3</v>
      </c>
      <c r="AP780" s="100">
        <f>IF('Net zero activities &amp; levers'!$C$10="Off",'Activity data'!BI6*EF!$H19*kgtoGg,IF('Net zero activities &amp; levers'!$C$10="On",'Net zero Activity data'!BI6*'Net zero supporting data'!AG191*kgtoGg,"ERROR"))</f>
        <v>2.3376020681568502E-3</v>
      </c>
      <c r="AQ780" s="100">
        <f>IF('Net zero activities &amp; levers'!$C$10="Off",'Activity data'!BJ6*EF!$H19*kgtoGg,IF('Net zero activities &amp; levers'!$C$10="On",'Net zero Activity data'!BJ6*'Net zero supporting data'!AH191*kgtoGg,"ERROR"))</f>
        <v>2.3353190244518479E-3</v>
      </c>
      <c r="AR780" s="100">
        <f>IF('Net zero activities &amp; levers'!$C$10="Off",'Activity data'!BK6*EF!$H19*kgtoGg,IF('Net zero activities &amp; levers'!$C$10="On",'Net zero Activity data'!BK6*'Net zero supporting data'!AI191*kgtoGg,"ERROR"))</f>
        <v>2.3331895752696247E-3</v>
      </c>
      <c r="AS780" s="100">
        <f>IF('Net zero activities &amp; levers'!$C$10="Off",'Activity data'!BL6*EF!$H19*kgtoGg,IF('Net zero activities &amp; levers'!$C$10="On",'Net zero Activity data'!BL6*'Net zero supporting data'!AJ191*kgtoGg,"ERROR"))</f>
        <v>2.3295478935604734E-3</v>
      </c>
      <c r="AT780" s="100">
        <f>IF('Net zero activities &amp; levers'!$C$10="Off",'Activity data'!BM6*EF!$H19*kgtoGg,IF('Net zero activities &amp; levers'!$C$10="On",'Net zero Activity data'!BM6*'Net zero supporting data'!AK191*kgtoGg,"ERROR"))</f>
        <v>2.3260458082872493E-3</v>
      </c>
      <c r="AU780" s="100">
        <f>IF('Net zero activities &amp; levers'!$C$10="Off",'Activity data'!BN6*EF!$H19*kgtoGg,IF('Net zero activities &amp; levers'!$C$10="On",'Net zero Activity data'!BN6*'Net zero supporting data'!AL191*kgtoGg,"ERROR"))</f>
        <v>2.3226779650823283E-3</v>
      </c>
      <c r="AV780" s="100">
        <f>IF('Net zero activities &amp; levers'!$C$10="Off",'Activity data'!BO6*EF!$H19*kgtoGg,IF('Net zero activities &amp; levers'!$C$10="On",'Net zero Activity data'!BO6*'Net zero supporting data'!AM191*kgtoGg,"ERROR"))</f>
        <v>2.3194393234672794E-3</v>
      </c>
      <c r="AW780" s="100">
        <f>IF('Net zero activities &amp; levers'!$C$10="Off",'Activity data'!BP6*EF!$H19*kgtoGg,IF('Net zero activities &amp; levers'!$C$10="On",'Net zero Activity data'!BP6*'Net zero supporting data'!AN191*kgtoGg,"ERROR"))</f>
        <v>2.316325132797756E-3</v>
      </c>
      <c r="AY780" s="85"/>
      <c r="AZ780" s="85"/>
    </row>
    <row r="781" spans="1:52" x14ac:dyDescent="0.25">
      <c r="A781" s="102" t="str">
        <f t="shared" si="176"/>
        <v>BD Cattle MMCH4</v>
      </c>
      <c r="B781" s="102" t="s">
        <v>1229</v>
      </c>
      <c r="C781" s="102" t="s">
        <v>1230</v>
      </c>
      <c r="D781" t="s">
        <v>15</v>
      </c>
      <c r="E781" t="s">
        <v>22</v>
      </c>
      <c r="F781" t="s">
        <v>67</v>
      </c>
      <c r="G781" t="s">
        <v>307</v>
      </c>
      <c r="H781" t="s">
        <v>1228</v>
      </c>
      <c r="I781" t="s">
        <v>121</v>
      </c>
      <c r="J781" t="s">
        <v>286</v>
      </c>
      <c r="K781" s="28">
        <f t="shared" ref="K781:AW781" si="213">K1395</f>
        <v>0.43336774046245513</v>
      </c>
      <c r="L781" s="28">
        <f t="shared" si="213"/>
        <v>0.43606336090953701</v>
      </c>
      <c r="M781" s="28">
        <f t="shared" si="213"/>
        <v>0.43791663710039563</v>
      </c>
      <c r="N781" s="28">
        <f t="shared" si="213"/>
        <v>0.43849785179485851</v>
      </c>
      <c r="O781" s="28">
        <f t="shared" si="213"/>
        <v>0.43928414854860887</v>
      </c>
      <c r="P781" s="28">
        <f t="shared" si="213"/>
        <v>0.44100643717026611</v>
      </c>
      <c r="Q781" s="28">
        <f t="shared" si="213"/>
        <v>0.44307128653119471</v>
      </c>
      <c r="R781" s="28">
        <f t="shared" si="213"/>
        <v>0.44369158881807513</v>
      </c>
      <c r="S781" s="28">
        <f t="shared" si="213"/>
        <v>0.43007035670126681</v>
      </c>
      <c r="T781" s="28">
        <f t="shared" si="213"/>
        <v>0.43361270135236735</v>
      </c>
      <c r="U781" s="28">
        <f t="shared" si="213"/>
        <v>0.43686093079793747</v>
      </c>
      <c r="V781" s="28">
        <f t="shared" si="213"/>
        <v>0.44019144835882135</v>
      </c>
      <c r="W781" s="28">
        <f t="shared" si="213"/>
        <v>0.44420350981949086</v>
      </c>
      <c r="X781" s="28">
        <f t="shared" si="213"/>
        <v>0.44829085520204021</v>
      </c>
      <c r="Y781" s="28">
        <f t="shared" si="213"/>
        <v>0.45227077864668558</v>
      </c>
      <c r="Z781" s="28">
        <f t="shared" si="213"/>
        <v>0.45617108067019357</v>
      </c>
      <c r="AA781" s="28">
        <f t="shared" si="213"/>
        <v>0.46037213371252356</v>
      </c>
      <c r="AB781" s="28">
        <f t="shared" si="213"/>
        <v>0.46435044836471168</v>
      </c>
      <c r="AC781" s="28">
        <f t="shared" si="213"/>
        <v>0.46847146239083864</v>
      </c>
      <c r="AD781" s="28">
        <f t="shared" si="213"/>
        <v>0.47320613146186896</v>
      </c>
      <c r="AE781" s="28">
        <f t="shared" si="213"/>
        <v>0.47836268378541491</v>
      </c>
      <c r="AF781" s="28">
        <f t="shared" si="213"/>
        <v>0.4837239116397628</v>
      </c>
      <c r="AG781" s="28">
        <f t="shared" si="213"/>
        <v>0.48447279323990261</v>
      </c>
      <c r="AH781" s="28">
        <f t="shared" si="213"/>
        <v>0.25938200675301493</v>
      </c>
      <c r="AI781" s="28">
        <f t="shared" si="213"/>
        <v>0.25957278063562522</v>
      </c>
      <c r="AJ781" s="28">
        <f t="shared" si="213"/>
        <v>0.25978861497139094</v>
      </c>
      <c r="AK781" s="28">
        <f t="shared" si="213"/>
        <v>0.260028557221544</v>
      </c>
      <c r="AL781" s="28">
        <f t="shared" si="213"/>
        <v>0.26029172820809693</v>
      </c>
      <c r="AM781" s="28">
        <f t="shared" si="213"/>
        <v>0.26057731516048022</v>
      </c>
      <c r="AN781" s="28">
        <f t="shared" si="213"/>
        <v>0.26070026887628817</v>
      </c>
      <c r="AO781" s="28">
        <f t="shared" si="213"/>
        <v>0.26084296294040193</v>
      </c>
      <c r="AP781" s="28">
        <f t="shared" si="213"/>
        <v>0.26100470788314173</v>
      </c>
      <c r="AQ781" s="28">
        <f t="shared" si="213"/>
        <v>0.26118486128201956</v>
      </c>
      <c r="AR781" s="28">
        <f t="shared" si="213"/>
        <v>0.26138282376940786</v>
      </c>
      <c r="AS781" s="28">
        <f t="shared" si="213"/>
        <v>0.26141175290749602</v>
      </c>
      <c r="AT781" s="28">
        <f t="shared" si="213"/>
        <v>0.26145647024377611</v>
      </c>
      <c r="AU781" s="28">
        <f t="shared" si="213"/>
        <v>0.26151645247563149</v>
      </c>
      <c r="AV781" s="28">
        <f t="shared" si="213"/>
        <v>0.26159120817957698</v>
      </c>
      <c r="AW781" s="28">
        <f t="shared" si="213"/>
        <v>0.26168027536234517</v>
      </c>
      <c r="AY781" s="85"/>
      <c r="AZ781" s="85"/>
    </row>
    <row r="782" spans="1:52" x14ac:dyDescent="0.25">
      <c r="A782" s="102" t="str">
        <f t="shared" si="176"/>
        <v>BD Cattle MMCH4</v>
      </c>
      <c r="B782" s="102" t="s">
        <v>1229</v>
      </c>
      <c r="C782" s="102" t="s">
        <v>1230</v>
      </c>
      <c r="D782" t="s">
        <v>15</v>
      </c>
      <c r="E782" t="s">
        <v>22</v>
      </c>
      <c r="F782" t="s">
        <v>67</v>
      </c>
      <c r="G782" t="s">
        <v>122</v>
      </c>
      <c r="H782" t="s">
        <v>1228</v>
      </c>
      <c r="I782" t="s">
        <v>121</v>
      </c>
      <c r="J782" t="s">
        <v>286</v>
      </c>
      <c r="K782" s="28">
        <f t="shared" ref="K782:AW782" si="214">K1396</f>
        <v>9.5707566285535867E-2</v>
      </c>
      <c r="L782" s="28">
        <f t="shared" si="214"/>
        <v>9.507317462688053E-2</v>
      </c>
      <c r="M782" s="28">
        <f t="shared" si="214"/>
        <v>9.3735602326843109E-2</v>
      </c>
      <c r="N782" s="28">
        <f t="shared" si="214"/>
        <v>9.1480938854138993E-2</v>
      </c>
      <c r="O782" s="28">
        <f t="shared" si="214"/>
        <v>8.9293409665024345E-2</v>
      </c>
      <c r="P782" s="28">
        <f t="shared" si="214"/>
        <v>8.7610892686618924E-2</v>
      </c>
      <c r="Q782" s="28">
        <f t="shared" si="214"/>
        <v>8.6089043126348228E-2</v>
      </c>
      <c r="R782" s="28">
        <f t="shared" si="214"/>
        <v>8.3696304621384818E-2</v>
      </c>
      <c r="S782" s="28">
        <f t="shared" si="214"/>
        <v>7.34067322961163E-2</v>
      </c>
      <c r="T782" s="28">
        <f t="shared" si="214"/>
        <v>7.4106416152148968E-2</v>
      </c>
      <c r="U782" s="28">
        <f t="shared" si="214"/>
        <v>7.4579873174536918E-2</v>
      </c>
      <c r="V782" s="28">
        <f t="shared" si="214"/>
        <v>7.5037930673723691E-2</v>
      </c>
      <c r="W782" s="28">
        <f t="shared" si="214"/>
        <v>7.5795447602904714E-2</v>
      </c>
      <c r="X782" s="28">
        <f t="shared" si="214"/>
        <v>7.6527998633535405E-2</v>
      </c>
      <c r="Y782" s="28">
        <f t="shared" si="214"/>
        <v>7.7297067256649366E-2</v>
      </c>
      <c r="Z782" s="28">
        <f t="shared" si="214"/>
        <v>7.7966609512140975E-2</v>
      </c>
      <c r="AA782" s="28">
        <f t="shared" si="214"/>
        <v>7.8728639390587538E-2</v>
      </c>
      <c r="AB782" s="28">
        <f t="shared" si="214"/>
        <v>7.9324953589457362E-2</v>
      </c>
      <c r="AC782" s="28">
        <f t="shared" si="214"/>
        <v>7.9937629648305739E-2</v>
      </c>
      <c r="AD782" s="28">
        <f t="shared" si="214"/>
        <v>8.0222991747189526E-2</v>
      </c>
      <c r="AE782" s="28">
        <f t="shared" si="214"/>
        <v>8.0614281081104813E-2</v>
      </c>
      <c r="AF782" s="28">
        <f t="shared" si="214"/>
        <v>8.100406028659024E-2</v>
      </c>
      <c r="AG782" s="28">
        <f t="shared" si="214"/>
        <v>7.9286126804775037E-2</v>
      </c>
      <c r="AH782" s="28">
        <f t="shared" si="214"/>
        <v>-1.8702500653157286E-2</v>
      </c>
      <c r="AI782" s="28">
        <f t="shared" si="214"/>
        <v>-1.8268667685025074E-2</v>
      </c>
      <c r="AJ782" s="28">
        <f t="shared" si="214"/>
        <v>-1.7841734022548978E-2</v>
      </c>
      <c r="AK782" s="28">
        <f t="shared" si="214"/>
        <v>-1.7421338317040982E-2</v>
      </c>
      <c r="AL782" s="28">
        <f t="shared" si="214"/>
        <v>-1.7007144202009699E-2</v>
      </c>
      <c r="AM782" s="28">
        <f t="shared" si="214"/>
        <v>-1.6598837978205473E-2</v>
      </c>
      <c r="AN782" s="28">
        <f t="shared" si="214"/>
        <v>-1.6267793993705613E-2</v>
      </c>
      <c r="AO782" s="28">
        <f t="shared" si="214"/>
        <v>-1.5941750028753716E-2</v>
      </c>
      <c r="AP782" s="28">
        <f t="shared" si="214"/>
        <v>-1.562047950725113E-2</v>
      </c>
      <c r="AQ782" s="28">
        <f t="shared" si="214"/>
        <v>-1.5303769944962587E-2</v>
      </c>
      <c r="AR782" s="28">
        <f t="shared" si="214"/>
        <v>-1.4991421781067962E-2</v>
      </c>
      <c r="AS782" s="28">
        <f t="shared" si="214"/>
        <v>-1.4673268106464171E-2</v>
      </c>
      <c r="AT782" s="28">
        <f t="shared" si="214"/>
        <v>-1.4359489450627001E-2</v>
      </c>
      <c r="AU782" s="28">
        <f t="shared" si="214"/>
        <v>-1.40499137071168E-2</v>
      </c>
      <c r="AV782" s="28">
        <f t="shared" si="214"/>
        <v>-1.3744378438980727E-2</v>
      </c>
      <c r="AW782" s="28">
        <f t="shared" si="214"/>
        <v>-1.3442730156179297E-2</v>
      </c>
      <c r="AY782" s="85"/>
      <c r="AZ782" s="85"/>
    </row>
    <row r="783" spans="1:52" x14ac:dyDescent="0.25">
      <c r="A783" s="102" t="str">
        <f t="shared" si="176"/>
        <v>BD Cattle MMCH4</v>
      </c>
      <c r="B783" s="102" t="s">
        <v>1229</v>
      </c>
      <c r="C783" s="102" t="s">
        <v>1230</v>
      </c>
      <c r="D783" t="s">
        <v>15</v>
      </c>
      <c r="E783" t="s">
        <v>22</v>
      </c>
      <c r="F783" t="s">
        <v>67</v>
      </c>
      <c r="G783" t="s">
        <v>123</v>
      </c>
      <c r="H783" t="s">
        <v>1228</v>
      </c>
      <c r="I783" t="s">
        <v>121</v>
      </c>
      <c r="J783" t="s">
        <v>286</v>
      </c>
      <c r="K783" s="28">
        <f t="shared" ref="K783:AW783" si="215">K1397</f>
        <v>7.0303494563391522E-2</v>
      </c>
      <c r="L783" s="28">
        <f t="shared" si="215"/>
        <v>6.9837492216280578E-2</v>
      </c>
      <c r="M783" s="28">
        <f t="shared" si="215"/>
        <v>6.8854957495428151E-2</v>
      </c>
      <c r="N783" s="28">
        <f t="shared" si="215"/>
        <v>6.7198759063606908E-2</v>
      </c>
      <c r="O783" s="28">
        <f t="shared" si="215"/>
        <v>6.5591875173201017E-2</v>
      </c>
      <c r="P783" s="28">
        <f t="shared" si="215"/>
        <v>6.4355955926323108E-2</v>
      </c>
      <c r="Q783" s="28">
        <f t="shared" si="215"/>
        <v>6.3238057452470034E-2</v>
      </c>
      <c r="R783" s="28">
        <f t="shared" si="215"/>
        <v>6.1480433839166078E-2</v>
      </c>
      <c r="S783" s="28">
        <f t="shared" si="215"/>
        <v>5.392206703386089E-2</v>
      </c>
      <c r="T783" s="28">
        <f t="shared" si="215"/>
        <v>5.4436030789055859E-2</v>
      </c>
      <c r="U783" s="28">
        <f t="shared" si="215"/>
        <v>5.4783816073869653E-2</v>
      </c>
      <c r="V783" s="28">
        <f t="shared" si="215"/>
        <v>5.5120289397281967E-2</v>
      </c>
      <c r="W783" s="28">
        <f t="shared" si="215"/>
        <v>5.5676735343817389E-2</v>
      </c>
      <c r="X783" s="28">
        <f t="shared" si="215"/>
        <v>5.6214842197832481E-2</v>
      </c>
      <c r="Y783" s="28">
        <f t="shared" si="215"/>
        <v>5.6779773622404078E-2</v>
      </c>
      <c r="Z783" s="28">
        <f t="shared" si="215"/>
        <v>5.7271596391969458E-2</v>
      </c>
      <c r="AA783" s="28">
        <f t="shared" si="215"/>
        <v>5.7831357396200579E-2</v>
      </c>
      <c r="AB783" s="28">
        <f t="shared" si="215"/>
        <v>5.826938934775229E-2</v>
      </c>
      <c r="AC783" s="28">
        <f t="shared" si="215"/>
        <v>5.8719440160285359E-2</v>
      </c>
      <c r="AD783" s="28">
        <f t="shared" si="215"/>
        <v>5.8929057367639905E-2</v>
      </c>
      <c r="AE783" s="28">
        <f t="shared" si="215"/>
        <v>5.92164850875921E-2</v>
      </c>
      <c r="AF783" s="28">
        <f t="shared" si="215"/>
        <v>5.9502803519010737E-2</v>
      </c>
      <c r="AG783" s="28">
        <f t="shared" si="215"/>
        <v>5.8240868523832451E-2</v>
      </c>
      <c r="AH783" s="28">
        <f t="shared" si="215"/>
        <v>-1.3738215315895889E-2</v>
      </c>
      <c r="AI783" s="28">
        <f t="shared" si="215"/>
        <v>-1.3419536501877058E-2</v>
      </c>
      <c r="AJ783" s="28">
        <f t="shared" si="215"/>
        <v>-1.3105925681085005E-2</v>
      </c>
      <c r="AK783" s="28">
        <f t="shared" si="215"/>
        <v>-1.2797117419171011E-2</v>
      </c>
      <c r="AL783" s="28">
        <f t="shared" si="215"/>
        <v>-1.2492864632850905E-2</v>
      </c>
      <c r="AM783" s="28">
        <f t="shared" si="215"/>
        <v>-1.2192936889418591E-2</v>
      </c>
      <c r="AN783" s="28">
        <f t="shared" si="215"/>
        <v>-1.1949763336189845E-2</v>
      </c>
      <c r="AO783" s="28">
        <f t="shared" si="215"/>
        <v>-1.1710262625775411E-2</v>
      </c>
      <c r="AP783" s="28">
        <f t="shared" si="215"/>
        <v>-1.1474268323146819E-2</v>
      </c>
      <c r="AQ783" s="28">
        <f t="shared" si="215"/>
        <v>-1.1241624344674956E-2</v>
      </c>
      <c r="AR783" s="28">
        <f t="shared" si="215"/>
        <v>-1.1012184099828085E-2</v>
      </c>
      <c r="AS783" s="28">
        <f t="shared" si="215"/>
        <v>-1.0778479325995476E-2</v>
      </c>
      <c r="AT783" s="28">
        <f t="shared" si="215"/>
        <v>-1.0547988290846352E-2</v>
      </c>
      <c r="AU783" s="28">
        <f t="shared" si="215"/>
        <v>-1.032058457089494E-2</v>
      </c>
      <c r="AV783" s="28">
        <f t="shared" si="215"/>
        <v>-1.0096148845528728E-2</v>
      </c>
      <c r="AW783" s="28">
        <f t="shared" si="215"/>
        <v>-9.8745683662308046E-3</v>
      </c>
      <c r="AY783" s="85"/>
      <c r="AZ783" s="85"/>
    </row>
    <row r="784" spans="1:52" x14ac:dyDescent="0.25">
      <c r="A784" s="102" t="str">
        <f t="shared" si="176"/>
        <v>BD Cattle MMCH4</v>
      </c>
      <c r="B784" s="102" t="s">
        <v>1229</v>
      </c>
      <c r="C784" s="102" t="s">
        <v>1230</v>
      </c>
      <c r="D784" t="s">
        <v>15</v>
      </c>
      <c r="E784" t="s">
        <v>22</v>
      </c>
      <c r="F784" t="s">
        <v>67</v>
      </c>
      <c r="G784" t="s">
        <v>135</v>
      </c>
      <c r="H784" t="s">
        <v>1228</v>
      </c>
      <c r="I784" t="s">
        <v>121</v>
      </c>
      <c r="J784" t="s">
        <v>286</v>
      </c>
      <c r="K784" s="100">
        <f>IF('Net zero activities &amp; levers'!$C$10="Off",'Activity data'!AD10*EF!$H23*kgtoGg,IF('Net zero activities &amp; levers'!$C$10="On",'Net zero Activity data'!AD10*'Net zero supporting data'!B192*kgtoGg,"ERROR"))</f>
        <v>0.47365013870542771</v>
      </c>
      <c r="L784" s="100">
        <f>IF('Net zero activities &amp; levers'!$C$10="Off",'Activity data'!AE10*EF!$H23*kgtoGg,IF('Net zero activities &amp; levers'!$C$10="On",'Net zero Activity data'!AE10*'Net zero supporting data'!C192*kgtoGg,"ERROR"))</f>
        <v>0.49051927106458876</v>
      </c>
      <c r="M784" s="100">
        <f>IF('Net zero activities &amp; levers'!$C$10="Off",'Activity data'!AF10*EF!$H23*kgtoGg,IF('Net zero activities &amp; levers'!$C$10="On",'Net zero Activity data'!AF10*'Net zero supporting data'!D192*kgtoGg,"ERROR"))</f>
        <v>0.50390876804084606</v>
      </c>
      <c r="N784" s="100">
        <f>IF('Net zero activities &amp; levers'!$C$10="Off",'Activity data'!AG10*EF!$H23*kgtoGg,IF('Net zero activities &amp; levers'!$C$10="On",'Net zero Activity data'!AG10*'Net zero supporting data'!E192*kgtoGg,"ERROR"))</f>
        <v>0.51218897212451775</v>
      </c>
      <c r="O784" s="100">
        <f>IF('Net zero activities &amp; levers'!$C$10="Off",'Activity data'!AH10*EF!$H23*kgtoGg,IF('Net zero activities &amp; levers'!$C$10="On",'Net zero Activity data'!AH10*'Net zero supporting data'!F192*kgtoGg,"ERROR"))</f>
        <v>0.5204864616851187</v>
      </c>
      <c r="P784" s="100">
        <f>IF('Net zero activities &amp; levers'!$C$10="Off",'Activity data'!AI10*EF!$H23*kgtoGg,IF('Net zero activities &amp; levers'!$C$10="On",'Net zero Activity data'!AI10*'Net zero supporting data'!G192*kgtoGg,"ERROR"))</f>
        <v>0.5315053909957832</v>
      </c>
      <c r="Q784" s="100">
        <f>IF('Net zero activities &amp; levers'!$C$10="Off",'Activity data'!AJ10*EF!$H23*kgtoGg,IF('Net zero activities &amp; levers'!$C$10="On",'Net zero Activity data'!AJ10*'Net zero supporting data'!H192*kgtoGg,"ERROR"))</f>
        <v>0.54344267992188611</v>
      </c>
      <c r="R784" s="100">
        <f>IF('Net zero activities &amp; levers'!$C$10="Off",'Activity data'!AK10*EF!$H23*kgtoGg,IF('Net zero activities &amp; levers'!$C$10="On",'Net zero Activity data'!AK10*'Net zero supporting data'!I192*kgtoGg,"ERROR"))</f>
        <v>0.54965498610396035</v>
      </c>
      <c r="S784" s="100">
        <f>IF('Net zero activities &amp; levers'!$C$10="Off",'Activity data'!AL10*EF!$H23*kgtoGg,IF('Net zero activities &amp; levers'!$C$10="On",'Net zero Activity data'!AL10*'Net zero supporting data'!J192*kgtoGg,"ERROR"))</f>
        <v>0.50146701948783567</v>
      </c>
      <c r="T784" s="100">
        <f>IF('Net zero activities &amp; levers'!$C$10="Off",'Activity data'!AM10*EF!$H23*kgtoGg,IF('Net zero activities &amp; levers'!$C$10="On",'Net zero Activity data'!AM10*'Net zero supporting data'!K192*kgtoGg,"ERROR"))</f>
        <v>0.49935519931815436</v>
      </c>
      <c r="U784" s="100">
        <f>IF('Net zero activities &amp; levers'!$C$10="Off",'Activity data'!AN10*EF!$H23*kgtoGg,IF('Net zero activities &amp; levers'!$C$10="On",'Net zero Activity data'!AN10*'Net zero supporting data'!L192*kgtoGg,"ERROR"))</f>
        <v>0.49472161883462418</v>
      </c>
      <c r="V784" s="100">
        <f>IF('Net zero activities &amp; levers'!$C$10="Off",'Activity data'!AO10*EF!$H23*kgtoGg,IF('Net zero activities &amp; levers'!$C$10="On",'Net zero Activity data'!AO10*'Net zero supporting data'!M192*kgtoGg,"ERROR"))</f>
        <v>0.48898174798035138</v>
      </c>
      <c r="W784" s="100">
        <f>IF('Net zero activities &amp; levers'!$C$10="Off",'Activity data'!AP10*EF!$H23*kgtoGg,IF('Net zero activities &amp; levers'!$C$10="On",'Net zero Activity data'!AP10*'Net zero supporting data'!N192*kgtoGg,"ERROR"))</f>
        <v>0.48412055948028471</v>
      </c>
      <c r="X784" s="100">
        <f>IF('Net zero activities &amp; levers'!$C$10="Off",'Activity data'!AQ10*EF!$H23*kgtoGg,IF('Net zero activities &amp; levers'!$C$10="On",'Net zero Activity data'!AQ10*'Net zero supporting data'!O192*kgtoGg,"ERROR"))</f>
        <v>0.47795064127248066</v>
      </c>
      <c r="Y784" s="100">
        <f>IF('Net zero activities &amp; levers'!$C$10="Off",'Activity data'!AR10*EF!$H23*kgtoGg,IF('Net zero activities &amp; levers'!$C$10="On",'Net zero Activity data'!AR10*'Net zero supporting data'!P192*kgtoGg,"ERROR"))</f>
        <v>0.47081038833208833</v>
      </c>
      <c r="Z784" s="100">
        <f>IF('Net zero activities &amp; levers'!$C$10="Off",'Activity data'!AS10*EF!$H23*kgtoGg,IF('Net zero activities &amp; levers'!$C$10="On",'Net zero Activity data'!AS10*'Net zero supporting data'!Q192*kgtoGg,"ERROR"))</f>
        <v>0.46182626620867728</v>
      </c>
      <c r="AA784" s="100">
        <f>IF('Net zero activities &amp; levers'!$C$10="Off",'Activity data'!AT10*EF!$H23*kgtoGg,IF('Net zero activities &amp; levers'!$C$10="On",'Net zero Activity data'!AT10*'Net zero supporting data'!R192*kgtoGg,"ERROR"))</f>
        <v>0.45210147078316681</v>
      </c>
      <c r="AB784" s="100">
        <f>IF('Net zero activities &amp; levers'!$C$10="Off",'Activity data'!AU10*EF!$H23*kgtoGg,IF('Net zero activities &amp; levers'!$C$10="On",'Net zero Activity data'!AU10*'Net zero supporting data'!S192*kgtoGg,"ERROR"))</f>
        <v>0.44009739479869903</v>
      </c>
      <c r="AC784" s="100">
        <f>IF('Net zero activities &amp; levers'!$C$10="Off",'Activity data'!AV10*EF!$H23*kgtoGg,IF('Net zero activities &amp; levers'!$C$10="On",'Net zero Activity data'!AV10*'Net zero supporting data'!T192*kgtoGg,"ERROR"))</f>
        <v>0.42683122336736323</v>
      </c>
      <c r="AD784" s="100">
        <f>IF('Net zero activities &amp; levers'!$C$10="Off",'Activity data'!AW10*EF!$H23*kgtoGg,IF('Net zero activities &amp; levers'!$C$10="On",'Net zero Activity data'!AW10*'Net zero supporting data'!U192*kgtoGg,"ERROR"))</f>
        <v>0.43487638806533824</v>
      </c>
      <c r="AE784" s="100">
        <f>IF('Net zero activities &amp; levers'!$C$10="Off",'Activity data'!AX10*EF!$H23*kgtoGg,IF('Net zero activities &amp; levers'!$C$10="On",'Net zero Activity data'!AX10*'Net zero supporting data'!V192*kgtoGg,"ERROR"))</f>
        <v>0.44355924784919587</v>
      </c>
      <c r="AF784" s="100">
        <f>IF('Net zero activities &amp; levers'!$C$10="Off",'Activity data'!AY10*EF!$H23*kgtoGg,IF('Net zero activities &amp; levers'!$C$10="On",'Net zero Activity data'!AY10*'Net zero supporting data'!W192*kgtoGg,"ERROR"))</f>
        <v>0.45230844525860614</v>
      </c>
      <c r="AG784" s="100">
        <f>IF('Net zero activities &amp; levers'!$C$10="Off",'Activity data'!AZ10*EF!$H23*kgtoGg,IF('Net zero activities &amp; levers'!$C$10="On",'Net zero Activity data'!AZ10*'Net zero supporting data'!X192*kgtoGg,"ERROR"))</f>
        <v>0.44919362219681203</v>
      </c>
      <c r="AH784" s="100">
        <f>IF('Net zero activities &amp; levers'!$C$10="Off",'Activity data'!BA10*EF!$H23*kgtoGg,IF('Net zero activities &amp; levers'!$C$10="On",'Net zero Activity data'!BA10*'Net zero supporting data'!Y192*kgtoGg,"ERROR"))</f>
        <v>-0.10749025678153824</v>
      </c>
      <c r="AI784" s="100">
        <f>IF('Net zero activities &amp; levers'!$C$10="Off",'Activity data'!BB10*EF!$H23*kgtoGg,IF('Net zero activities &amp; levers'!$C$10="On",'Net zero Activity data'!BB10*'Net zero supporting data'!Z192*kgtoGg,"ERROR"))</f>
        <v>-0.10649715975611336</v>
      </c>
      <c r="AJ784" s="100">
        <f>IF('Net zero activities &amp; levers'!$C$10="Off",'Activity data'!BC10*EF!$H23*kgtoGg,IF('Net zero activities &amp; levers'!$C$10="On",'Net zero Activity data'!BC10*'Net zero supporting data'!AA192*kgtoGg,"ERROR"))</f>
        <v>-0.10547815337565102</v>
      </c>
      <c r="AK784" s="100">
        <f>IF('Net zero activities &amp; levers'!$C$10="Off",'Activity data'!BD10*EF!$H23*kgtoGg,IF('Net zero activities &amp; levers'!$C$10="On",'Net zero Activity data'!BD10*'Net zero supporting data'!AB192*kgtoGg,"ERROR"))</f>
        <v>-0.10443295449361079</v>
      </c>
      <c r="AL784" s="100">
        <f>IF('Net zero activities &amp; levers'!$C$10="Off",'Activity data'!BE10*EF!$H23*kgtoGg,IF('Net zero activities &amp; levers'!$C$10="On",'Net zero Activity data'!BE10*'Net zero supporting data'!AC192*kgtoGg,"ERROR"))</f>
        <v>-0.10336127626908821</v>
      </c>
      <c r="AM784" s="100">
        <f>IF('Net zero activities &amp; levers'!$C$10="Off",'Activity data'!BF10*EF!$H23*kgtoGg,IF('Net zero activities &amp; levers'!$C$10="On",'Net zero Activity data'!BF10*'Net zero supporting data'!AD192*kgtoGg,"ERROR"))</f>
        <v>-0.10226282812961328</v>
      </c>
      <c r="AN784" s="100">
        <f>IF('Net zero activities &amp; levers'!$C$10="Off",'Activity data'!BG10*EF!$H23*kgtoGg,IF('Net zero activities &amp; levers'!$C$10="On",'Net zero Activity data'!BG10*'Net zero supporting data'!AE192*kgtoGg,"ERROR"))</f>
        <v>-0.10292768270853123</v>
      </c>
      <c r="AO784" s="100">
        <f>IF('Net zero activities &amp; levers'!$C$10="Off",'Activity data'!BH10*EF!$H23*kgtoGg,IF('Net zero activities &amp; levers'!$C$10="On",'Net zero Activity data'!BH10*'Net zero supporting data'!AF192*kgtoGg,"ERROR"))</f>
        <v>-0.10359646994771812</v>
      </c>
      <c r="AP784" s="100">
        <f>IF('Net zero activities &amp; levers'!$C$10="Off",'Activity data'!BI10*EF!$H23*kgtoGg,IF('Net zero activities &amp; levers'!$C$10="On",'Net zero Activity data'!BI10*'Net zero supporting data'!AG192*kgtoGg,"ERROR"))</f>
        <v>-0.10426921961695025</v>
      </c>
      <c r="AQ784" s="100">
        <f>IF('Net zero activities &amp; levers'!$C$10="Off",'Activity data'!BJ10*EF!$H23*kgtoGg,IF('Net zero activities &amp; levers'!$C$10="On",'Net zero Activity data'!BJ10*'Net zero supporting data'!AH192*kgtoGg,"ERROR"))</f>
        <v>-0.10494596167932491</v>
      </c>
      <c r="AR784" s="100">
        <f>IF('Net zero activities &amp; levers'!$C$10="Off",'Activity data'!BK10*EF!$H23*kgtoGg,IF('Net zero activities &amp; levers'!$C$10="On",'Net zero Activity data'!BK10*'Net zero supporting data'!AI192*kgtoGg,"ERROR"))</f>
        <v>-0.10562672629257246</v>
      </c>
      <c r="AS784" s="100">
        <f>IF('Net zero activities &amp; levers'!$C$10="Off",'Activity data'!BL10*EF!$H23*kgtoGg,IF('Net zero activities &amp; levers'!$C$10="On",'Net zero Activity data'!BL10*'Net zero supporting data'!AJ192*kgtoGg,"ERROR"))</f>
        <v>-0.10623929095434023</v>
      </c>
      <c r="AT784" s="100">
        <f>IF('Net zero activities &amp; levers'!$C$10="Off",'Activity data'!BM10*EF!$H23*kgtoGg,IF('Net zero activities &amp; levers'!$C$10="On",'Net zero Activity data'!BM10*'Net zero supporting data'!AK192*kgtoGg,"ERROR"))</f>
        <v>-0.10685473928442586</v>
      </c>
      <c r="AU784" s="100">
        <f>IF('Net zero activities &amp; levers'!$C$10="Off",'Activity data'!BN10*EF!$H23*kgtoGg,IF('Net zero activities &amp; levers'!$C$10="On",'Net zero Activity data'!BN10*'Net zero supporting data'!AL192*kgtoGg,"ERROR"))</f>
        <v>-0.1074730897749836</v>
      </c>
      <c r="AV784" s="100">
        <f>IF('Net zero activities &amp; levers'!$C$10="Off",'Activity data'!BO10*EF!$H23*kgtoGg,IF('Net zero activities &amp; levers'!$C$10="On",'Net zero Activity data'!BO10*'Net zero supporting data'!AM192*kgtoGg,"ERROR"))</f>
        <v>-0.10809436101365368</v>
      </c>
      <c r="AW784" s="100">
        <f>IF('Net zero activities &amp; levers'!$C$10="Off",'Activity data'!BP10*EF!$H23*kgtoGg,IF('Net zero activities &amp; levers'!$C$10="On",'Net zero Activity data'!BP10*'Net zero supporting data'!AN192*kgtoGg,"ERROR"))</f>
        <v>-0.10871857168410959</v>
      </c>
      <c r="AY784" s="85"/>
      <c r="AZ784" s="85"/>
    </row>
    <row r="785" spans="1:52" x14ac:dyDescent="0.25">
      <c r="A785" s="102" t="str">
        <f t="shared" si="176"/>
        <v>BD Sheep MMCH4</v>
      </c>
      <c r="B785" s="102" t="s">
        <v>1229</v>
      </c>
      <c r="C785" s="102" t="s">
        <v>1325</v>
      </c>
      <c r="D785" t="s">
        <v>15</v>
      </c>
      <c r="E785" t="s">
        <v>22</v>
      </c>
      <c r="F785" t="s">
        <v>18</v>
      </c>
      <c r="G785" t="s">
        <v>122</v>
      </c>
      <c r="H785" t="s">
        <v>1228</v>
      </c>
      <c r="I785" t="s">
        <v>121</v>
      </c>
      <c r="J785" t="s">
        <v>286</v>
      </c>
      <c r="K785" s="28">
        <f t="shared" ref="K785:AW785" si="216">K1399</f>
        <v>3.6053921478906167E-2</v>
      </c>
      <c r="L785" s="28">
        <f t="shared" si="216"/>
        <v>3.6073610217126503E-2</v>
      </c>
      <c r="M785" s="28">
        <f t="shared" si="216"/>
        <v>3.6117697084082141E-2</v>
      </c>
      <c r="N785" s="28">
        <f t="shared" si="216"/>
        <v>3.618405707434337E-2</v>
      </c>
      <c r="O785" s="28">
        <f t="shared" si="216"/>
        <v>3.6273578032260737E-2</v>
      </c>
      <c r="P785" s="28">
        <f t="shared" si="216"/>
        <v>3.6386354948245533E-2</v>
      </c>
      <c r="Q785" s="28">
        <f t="shared" si="216"/>
        <v>3.6511983860861394E-2</v>
      </c>
      <c r="R785" s="28">
        <f t="shared" si="216"/>
        <v>3.6648137011074396E-2</v>
      </c>
      <c r="S785" s="28">
        <f t="shared" si="216"/>
        <v>3.6776081758532232E-2</v>
      </c>
      <c r="T785" s="28">
        <f t="shared" si="216"/>
        <v>3.6829526757110792E-2</v>
      </c>
      <c r="U785" s="28">
        <f t="shared" si="216"/>
        <v>3.6891543145696586E-2</v>
      </c>
      <c r="V785" s="28">
        <f t="shared" si="216"/>
        <v>3.6962118208236874E-2</v>
      </c>
      <c r="W785" s="28">
        <f t="shared" si="216"/>
        <v>3.7041617602425879E-2</v>
      </c>
      <c r="X785" s="28">
        <f t="shared" si="216"/>
        <v>3.71287668347723E-2</v>
      </c>
      <c r="Y785" s="28">
        <f t="shared" si="216"/>
        <v>3.7182413833591089E-2</v>
      </c>
      <c r="Z785" s="28">
        <f t="shared" si="216"/>
        <v>3.7242338638937944E-2</v>
      </c>
      <c r="AA785" s="28">
        <f t="shared" si="216"/>
        <v>3.7308758714658788E-2</v>
      </c>
      <c r="AB785" s="28">
        <f t="shared" si="216"/>
        <v>3.7380653555679967E-2</v>
      </c>
      <c r="AC785" s="28">
        <f t="shared" si="216"/>
        <v>3.7458280228605825E-2</v>
      </c>
      <c r="AD785" s="28">
        <f t="shared" si="216"/>
        <v>3.7509383313851091E-2</v>
      </c>
      <c r="AE785" s="28">
        <f t="shared" si="216"/>
        <v>3.7565861655525674E-2</v>
      </c>
      <c r="AF785" s="28">
        <f t="shared" si="216"/>
        <v>3.7627207315702967E-2</v>
      </c>
      <c r="AG785" s="28">
        <f t="shared" si="216"/>
        <v>3.7686475047494471E-2</v>
      </c>
      <c r="AH785" s="28">
        <f t="shared" si="216"/>
        <v>3.7433087747828976E-2</v>
      </c>
      <c r="AI785" s="28">
        <f t="shared" si="216"/>
        <v>3.7469072750832028E-2</v>
      </c>
      <c r="AJ785" s="28">
        <f t="shared" si="216"/>
        <v>3.750878237989342E-2</v>
      </c>
      <c r="AK785" s="28">
        <f t="shared" si="216"/>
        <v>3.7552075921765626E-2</v>
      </c>
      <c r="AL785" s="28">
        <f t="shared" si="216"/>
        <v>3.7598823539459238E-2</v>
      </c>
      <c r="AM785" s="28">
        <f t="shared" si="216"/>
        <v>3.7648905240168402E-2</v>
      </c>
      <c r="AN785" s="28">
        <f t="shared" si="216"/>
        <v>3.76732099349424E-2</v>
      </c>
      <c r="AO785" s="28">
        <f t="shared" si="216"/>
        <v>3.7700452169156254E-2</v>
      </c>
      <c r="AP785" s="28">
        <f t="shared" si="216"/>
        <v>3.7730529709511379E-2</v>
      </c>
      <c r="AQ785" s="28">
        <f t="shared" si="216"/>
        <v>3.7763347319933152E-2</v>
      </c>
      <c r="AR785" s="28">
        <f t="shared" si="216"/>
        <v>3.7798816167122655E-2</v>
      </c>
      <c r="AS785" s="28">
        <f t="shared" si="216"/>
        <v>3.7807565900273503E-2</v>
      </c>
      <c r="AT785" s="28">
        <f t="shared" si="216"/>
        <v>3.7818668604843612E-2</v>
      </c>
      <c r="AU785" s="28">
        <f t="shared" si="216"/>
        <v>3.7832046350463708E-2</v>
      </c>
      <c r="AV785" s="28">
        <f t="shared" si="216"/>
        <v>3.7847625965531671E-2</v>
      </c>
      <c r="AW785" s="28">
        <f t="shared" si="216"/>
        <v>3.7865338671255785E-2</v>
      </c>
      <c r="AY785" s="85"/>
      <c r="AZ785" s="85"/>
    </row>
    <row r="786" spans="1:52" x14ac:dyDescent="0.25">
      <c r="A786" s="102" t="str">
        <f t="shared" si="176"/>
        <v>BD Sheep MMCH4</v>
      </c>
      <c r="B786" s="102" t="s">
        <v>1229</v>
      </c>
      <c r="C786" s="102" t="s">
        <v>1325</v>
      </c>
      <c r="D786" t="s">
        <v>15</v>
      </c>
      <c r="E786" t="s">
        <v>22</v>
      </c>
      <c r="F786" t="s">
        <v>18</v>
      </c>
      <c r="G786" t="s">
        <v>123</v>
      </c>
      <c r="H786" t="s">
        <v>1228</v>
      </c>
      <c r="I786" t="s">
        <v>121</v>
      </c>
      <c r="J786" t="s">
        <v>286</v>
      </c>
      <c r="K786" s="28">
        <f t="shared" ref="K786:AW786" si="217">K1400</f>
        <v>4.1175296849015851E-3</v>
      </c>
      <c r="L786" s="28">
        <f t="shared" si="217"/>
        <v>4.1197782326532605E-3</v>
      </c>
      <c r="M786" s="28">
        <f t="shared" si="217"/>
        <v>4.1248131630008617E-3</v>
      </c>
      <c r="N786" s="28">
        <f t="shared" si="217"/>
        <v>4.1323917901954152E-3</v>
      </c>
      <c r="O786" s="28">
        <f t="shared" si="217"/>
        <v>4.1426155102936933E-3</v>
      </c>
      <c r="P786" s="28">
        <f t="shared" si="217"/>
        <v>4.1554951716534349E-3</v>
      </c>
      <c r="Q786" s="28">
        <f t="shared" si="217"/>
        <v>4.1698425922878412E-3</v>
      </c>
      <c r="R786" s="28">
        <f t="shared" si="217"/>
        <v>4.1853919310199088E-3</v>
      </c>
      <c r="S786" s="28">
        <f t="shared" si="217"/>
        <v>4.2000038310317607E-3</v>
      </c>
      <c r="T786" s="28">
        <f t="shared" si="217"/>
        <v>4.2061075046164898E-3</v>
      </c>
      <c r="U786" s="28">
        <f t="shared" si="217"/>
        <v>4.2131900717958127E-3</v>
      </c>
      <c r="V786" s="28">
        <f t="shared" si="217"/>
        <v>4.2212500803358944E-3</v>
      </c>
      <c r="W786" s="28">
        <f t="shared" si="217"/>
        <v>4.2303292900883332E-3</v>
      </c>
      <c r="X786" s="28">
        <f t="shared" si="217"/>
        <v>4.2402821478215117E-3</v>
      </c>
      <c r="Y786" s="28">
        <f t="shared" si="217"/>
        <v>4.2464088907965165E-3</v>
      </c>
      <c r="Z786" s="28">
        <f t="shared" si="217"/>
        <v>4.2532525892003629E-3</v>
      </c>
      <c r="AA786" s="28">
        <f t="shared" si="217"/>
        <v>4.2608380784408054E-3</v>
      </c>
      <c r="AB786" s="28">
        <f t="shared" si="217"/>
        <v>4.2690488119741668E-3</v>
      </c>
      <c r="AC786" s="28">
        <f t="shared" si="217"/>
        <v>4.2779141480319745E-3</v>
      </c>
      <c r="AD786" s="28">
        <f t="shared" si="217"/>
        <v>4.2837503639512487E-3</v>
      </c>
      <c r="AE786" s="28">
        <f t="shared" si="217"/>
        <v>4.2902004597760585E-3</v>
      </c>
      <c r="AF786" s="28">
        <f t="shared" si="217"/>
        <v>4.2972064265740855E-3</v>
      </c>
      <c r="AG786" s="28">
        <f t="shared" si="217"/>
        <v>4.3039750840459523E-3</v>
      </c>
      <c r="AH786" s="28">
        <f t="shared" si="217"/>
        <v>4.2750370466466056E-3</v>
      </c>
      <c r="AI786" s="28">
        <f t="shared" si="217"/>
        <v>4.2791467055130613E-3</v>
      </c>
      <c r="AJ786" s="28">
        <f t="shared" si="217"/>
        <v>4.2836817344289136E-3</v>
      </c>
      <c r="AK786" s="28">
        <f t="shared" si="217"/>
        <v>4.2886260632705817E-3</v>
      </c>
      <c r="AL786" s="28">
        <f t="shared" si="217"/>
        <v>4.2939648640350006E-3</v>
      </c>
      <c r="AM786" s="28">
        <f t="shared" si="217"/>
        <v>4.2996844329717928E-3</v>
      </c>
      <c r="AN786" s="28">
        <f t="shared" si="217"/>
        <v>4.3024601449639811E-3</v>
      </c>
      <c r="AO786" s="28">
        <f t="shared" si="217"/>
        <v>4.3055713379620639E-3</v>
      </c>
      <c r="AP786" s="28">
        <f t="shared" si="217"/>
        <v>4.3090063364360429E-3</v>
      </c>
      <c r="AQ786" s="28">
        <f t="shared" si="217"/>
        <v>4.3127542639722558E-3</v>
      </c>
      <c r="AR786" s="28">
        <f t="shared" si="217"/>
        <v>4.3168049753845332E-3</v>
      </c>
      <c r="AS786" s="28">
        <f t="shared" si="217"/>
        <v>4.3178042366162055E-3</v>
      </c>
      <c r="AT786" s="28">
        <f t="shared" si="217"/>
        <v>4.3190722183994593E-3</v>
      </c>
      <c r="AU786" s="28">
        <f t="shared" si="217"/>
        <v>4.3206000207146669E-3</v>
      </c>
      <c r="AV786" s="28">
        <f t="shared" si="217"/>
        <v>4.3223792870160944E-3</v>
      </c>
      <c r="AW786" s="28">
        <f t="shared" si="217"/>
        <v>4.3244021624378867E-3</v>
      </c>
      <c r="AY786" s="85"/>
      <c r="AZ786" s="85"/>
    </row>
    <row r="787" spans="1:52" x14ac:dyDescent="0.25">
      <c r="A787" s="102" t="str">
        <f t="shared" si="176"/>
        <v>BD Goats MMCH4</v>
      </c>
      <c r="B787" s="102" t="s">
        <v>1229</v>
      </c>
      <c r="C787" s="102" t="s">
        <v>1326</v>
      </c>
      <c r="D787" t="s">
        <v>15</v>
      </c>
      <c r="E787" t="s">
        <v>22</v>
      </c>
      <c r="F787" t="s">
        <v>19</v>
      </c>
      <c r="G787" t="s">
        <v>122</v>
      </c>
      <c r="H787" t="s">
        <v>1228</v>
      </c>
      <c r="I787" t="s">
        <v>121</v>
      </c>
      <c r="J787" t="s">
        <v>286</v>
      </c>
      <c r="K787" s="28">
        <f t="shared" ref="K787:AW787" si="218">K1401</f>
        <v>1.578914847670768E-2</v>
      </c>
      <c r="L787" s="28">
        <f t="shared" si="218"/>
        <v>1.5830330315974785E-2</v>
      </c>
      <c r="M787" s="28">
        <f t="shared" si="218"/>
        <v>1.5885208764738982E-2</v>
      </c>
      <c r="N787" s="28">
        <f t="shared" si="218"/>
        <v>1.5952563767257691E-2</v>
      </c>
      <c r="O787" s="28">
        <f t="shared" si="218"/>
        <v>1.6033204709528407E-2</v>
      </c>
      <c r="P787" s="28">
        <f t="shared" si="218"/>
        <v>1.6127346186936543E-2</v>
      </c>
      <c r="Q787" s="28">
        <f t="shared" si="218"/>
        <v>1.6228000781801349E-2</v>
      </c>
      <c r="R787" s="28">
        <f t="shared" si="218"/>
        <v>1.6333729215934008E-2</v>
      </c>
      <c r="S787" s="28">
        <f t="shared" si="218"/>
        <v>1.6431946287378985E-2</v>
      </c>
      <c r="T787" s="28">
        <f t="shared" si="218"/>
        <v>1.6477973799395588E-2</v>
      </c>
      <c r="U787" s="28">
        <f t="shared" si="218"/>
        <v>1.6528445517692184E-2</v>
      </c>
      <c r="V787" s="28">
        <f t="shared" si="218"/>
        <v>1.6583425492153747E-2</v>
      </c>
      <c r="W787" s="28">
        <f t="shared" si="218"/>
        <v>1.6643220540411473E-2</v>
      </c>
      <c r="X787" s="28">
        <f t="shared" si="218"/>
        <v>1.6707025590946629E-2</v>
      </c>
      <c r="Y787" s="28">
        <f t="shared" si="218"/>
        <v>1.6747356446044817E-2</v>
      </c>
      <c r="Z787" s="28">
        <f t="shared" si="218"/>
        <v>1.679099238038791E-2</v>
      </c>
      <c r="AA787" s="28">
        <f t="shared" si="218"/>
        <v>1.6838113918664795E-2</v>
      </c>
      <c r="AB787" s="28">
        <f t="shared" si="218"/>
        <v>1.6888072337895171E-2</v>
      </c>
      <c r="AC787" s="28">
        <f t="shared" si="218"/>
        <v>1.6941067477261811E-2</v>
      </c>
      <c r="AD787" s="28">
        <f t="shared" si="218"/>
        <v>1.6975775774690904E-2</v>
      </c>
      <c r="AE787" s="28">
        <f t="shared" si="218"/>
        <v>1.7013417171997135E-2</v>
      </c>
      <c r="AF787" s="28">
        <f t="shared" si="218"/>
        <v>1.7053673452645857E-2</v>
      </c>
      <c r="AG787" s="28">
        <f t="shared" si="218"/>
        <v>1.7091991548522943E-2</v>
      </c>
      <c r="AH787" s="28">
        <f t="shared" si="218"/>
        <v>1.6924485926797139E-2</v>
      </c>
      <c r="AI787" s="28">
        <f t="shared" si="218"/>
        <v>1.6946898224790095E-2</v>
      </c>
      <c r="AJ787" s="28">
        <f t="shared" si="218"/>
        <v>1.6971320122511346E-2</v>
      </c>
      <c r="AK787" s="28">
        <f t="shared" si="218"/>
        <v>1.6997670008444151E-2</v>
      </c>
      <c r="AL787" s="28">
        <f t="shared" si="218"/>
        <v>1.7025872601317771E-2</v>
      </c>
      <c r="AM787" s="28">
        <f t="shared" si="218"/>
        <v>1.7055858343998281E-2</v>
      </c>
      <c r="AN787" s="28">
        <f t="shared" si="218"/>
        <v>1.706872967637315E-2</v>
      </c>
      <c r="AO787" s="28">
        <f t="shared" si="218"/>
        <v>1.7083207389206864E-2</v>
      </c>
      <c r="AP787" s="28">
        <f t="shared" si="218"/>
        <v>1.7099230922033661E-2</v>
      </c>
      <c r="AQ787" s="28">
        <f t="shared" si="218"/>
        <v>1.7116743868978143E-2</v>
      </c>
      <c r="AR787" s="28">
        <f t="shared" si="218"/>
        <v>1.7135693622819574E-2</v>
      </c>
      <c r="AS787" s="28">
        <f t="shared" si="218"/>
        <v>1.7137172081504573E-2</v>
      </c>
      <c r="AT787" s="28">
        <f t="shared" si="218"/>
        <v>1.7139965381039082E-2</v>
      </c>
      <c r="AU787" s="28">
        <f t="shared" si="218"/>
        <v>1.7144026301455787E-2</v>
      </c>
      <c r="AV787" s="28">
        <f t="shared" si="218"/>
        <v>1.7149310513066243E-2</v>
      </c>
      <c r="AW787" s="28">
        <f t="shared" si="218"/>
        <v>1.7155776352544339E-2</v>
      </c>
      <c r="AY787" s="85"/>
      <c r="AZ787" s="85"/>
    </row>
    <row r="788" spans="1:52" x14ac:dyDescent="0.25">
      <c r="A788" s="102" t="str">
        <f t="shared" si="176"/>
        <v>BD Goats MMCH4</v>
      </c>
      <c r="B788" s="102" t="s">
        <v>1229</v>
      </c>
      <c r="C788" s="102" t="s">
        <v>1326</v>
      </c>
      <c r="D788" t="s">
        <v>15</v>
      </c>
      <c r="E788" t="s">
        <v>22</v>
      </c>
      <c r="F788" t="s">
        <v>19</v>
      </c>
      <c r="G788" t="s">
        <v>123</v>
      </c>
      <c r="H788" t="s">
        <v>1228</v>
      </c>
      <c r="I788" t="s">
        <v>121</v>
      </c>
      <c r="J788" t="s">
        <v>286</v>
      </c>
      <c r="K788" s="28">
        <f t="shared" ref="K788:AW788" si="219">K1402</f>
        <v>2.6591335822255355E-2</v>
      </c>
      <c r="L788" s="28">
        <f t="shared" si="219"/>
        <v>2.6660692324877722E-2</v>
      </c>
      <c r="M788" s="28">
        <f t="shared" si="219"/>
        <v>2.6753116008311057E-2</v>
      </c>
      <c r="N788" s="28">
        <f t="shared" si="219"/>
        <v>2.6866552112476273E-2</v>
      </c>
      <c r="O788" s="28">
        <f t="shared" si="219"/>
        <v>2.7002363766924078E-2</v>
      </c>
      <c r="P788" s="28">
        <f t="shared" si="219"/>
        <v>2.7160912383035713E-2</v>
      </c>
      <c r="Q788" s="28">
        <f t="shared" si="219"/>
        <v>2.7330430082995998E-2</v>
      </c>
      <c r="R788" s="28">
        <f t="shared" si="219"/>
        <v>2.7508492902668026E-2</v>
      </c>
      <c r="S788" s="28">
        <f t="shared" si="219"/>
        <v>2.7673905441167147E-2</v>
      </c>
      <c r="T788" s="28">
        <f t="shared" si="219"/>
        <v>2.7751422796260871E-2</v>
      </c>
      <c r="U788" s="28">
        <f t="shared" si="219"/>
        <v>2.783642487301826E-2</v>
      </c>
      <c r="V788" s="28">
        <f t="shared" si="219"/>
        <v>2.7929019541221126E-2</v>
      </c>
      <c r="W788" s="28">
        <f t="shared" si="219"/>
        <v>2.8029723528587808E-2</v>
      </c>
      <c r="X788" s="28">
        <f t="shared" si="219"/>
        <v>2.813718097180834E-2</v>
      </c>
      <c r="Y788" s="28">
        <f t="shared" si="219"/>
        <v>2.8205104287210486E-2</v>
      </c>
      <c r="Z788" s="28">
        <f t="shared" si="219"/>
        <v>2.827859386049221E-2</v>
      </c>
      <c r="AA788" s="28">
        <f t="shared" si="219"/>
        <v>2.8357953722781829E-2</v>
      </c>
      <c r="AB788" s="28">
        <f t="shared" si="219"/>
        <v>2.8442091325570455E-2</v>
      </c>
      <c r="AC788" s="28">
        <f t="shared" si="219"/>
        <v>2.8531343228541953E-2</v>
      </c>
      <c r="AD788" s="28">
        <f t="shared" si="219"/>
        <v>2.8589797298697615E-2</v>
      </c>
      <c r="AE788" s="28">
        <f t="shared" si="219"/>
        <v>2.8653191156704935E-2</v>
      </c>
      <c r="AF788" s="28">
        <f t="shared" si="219"/>
        <v>2.8720988877352402E-2</v>
      </c>
      <c r="AG788" s="28">
        <f t="shared" si="219"/>
        <v>2.8785522399032822E-2</v>
      </c>
      <c r="AH788" s="28">
        <f t="shared" si="219"/>
        <v>2.8503417366833182E-2</v>
      </c>
      <c r="AI788" s="28">
        <f t="shared" si="219"/>
        <v>2.8541163097285861E-2</v>
      </c>
      <c r="AJ788" s="28">
        <f t="shared" si="219"/>
        <v>2.8582293300392164E-2</v>
      </c>
      <c r="AK788" s="28">
        <f t="shared" si="219"/>
        <v>2.8626670529902105E-2</v>
      </c>
      <c r="AL788" s="28">
        <f t="shared" si="219"/>
        <v>2.8674168000666096E-2</v>
      </c>
      <c r="AM788" s="28">
        <f t="shared" si="219"/>
        <v>2.8724668567854592E-2</v>
      </c>
      <c r="AN788" s="28">
        <f t="shared" si="219"/>
        <v>2.8746345856035454E-2</v>
      </c>
      <c r="AO788" s="28">
        <f t="shared" si="219"/>
        <v>2.8770728534079647E-2</v>
      </c>
      <c r="AP788" s="28">
        <f t="shared" si="219"/>
        <v>2.8797714608919899E-2</v>
      </c>
      <c r="AQ788" s="28">
        <f t="shared" si="219"/>
        <v>2.8827209084453208E-2</v>
      </c>
      <c r="AR788" s="28">
        <f t="shared" si="219"/>
        <v>2.8859123362090785E-2</v>
      </c>
      <c r="AS788" s="28">
        <f t="shared" si="219"/>
        <v>2.8861613312163151E-2</v>
      </c>
      <c r="AT788" s="28">
        <f t="shared" si="219"/>
        <v>2.8866317654901063E-2</v>
      </c>
      <c r="AU788" s="28">
        <f t="shared" si="219"/>
        <v>2.887315686467273E-2</v>
      </c>
      <c r="AV788" s="28">
        <f t="shared" si="219"/>
        <v>2.888205628351705E-2</v>
      </c>
      <c r="AW788" s="28">
        <f t="shared" si="219"/>
        <v>2.8892945744034091E-2</v>
      </c>
      <c r="AY788" s="85"/>
      <c r="AZ788" s="85"/>
    </row>
    <row r="789" spans="1:52" x14ac:dyDescent="0.25">
      <c r="A789" s="102" t="str">
        <f t="shared" si="176"/>
        <v>BD Horses MMCH4</v>
      </c>
      <c r="B789" s="102" t="s">
        <v>1229</v>
      </c>
      <c r="C789" s="102" t="s">
        <v>1327</v>
      </c>
      <c r="D789" t="s">
        <v>15</v>
      </c>
      <c r="E789" t="s">
        <v>22</v>
      </c>
      <c r="F789" t="s">
        <v>20</v>
      </c>
      <c r="G789" t="s">
        <v>3</v>
      </c>
      <c r="H789" t="s">
        <v>1228</v>
      </c>
      <c r="I789" t="s">
        <v>121</v>
      </c>
      <c r="J789" t="s">
        <v>286</v>
      </c>
      <c r="K789" s="28">
        <f t="shared" ref="K789:AW789" si="220">K1403</f>
        <v>4.1462896209668214E-3</v>
      </c>
      <c r="L789" s="28">
        <f t="shared" si="220"/>
        <v>4.1705892650270686E-3</v>
      </c>
      <c r="M789" s="28">
        <f t="shared" si="220"/>
        <v>4.1765760669998774E-3</v>
      </c>
      <c r="N789" s="28">
        <f t="shared" si="220"/>
        <v>4.1582865548880337E-3</v>
      </c>
      <c r="O789" s="28">
        <f t="shared" si="220"/>
        <v>4.1389364137095824E-3</v>
      </c>
      <c r="P789" s="28">
        <f t="shared" si="220"/>
        <v>4.1297300373309533E-3</v>
      </c>
      <c r="Q789" s="28">
        <f t="shared" si="220"/>
        <v>4.1235897943981579E-3</v>
      </c>
      <c r="R789" s="28">
        <f t="shared" si="220"/>
        <v>4.0939723150578283E-3</v>
      </c>
      <c r="S789" s="28">
        <f t="shared" si="220"/>
        <v>3.8546694485950316E-3</v>
      </c>
      <c r="T789" s="28">
        <f t="shared" si="220"/>
        <v>3.8885582856899971E-3</v>
      </c>
      <c r="U789" s="28">
        <f t="shared" si="220"/>
        <v>3.9163093014231119E-3</v>
      </c>
      <c r="V789" s="28">
        <f t="shared" si="220"/>
        <v>3.943499319412006E-3</v>
      </c>
      <c r="W789" s="28">
        <f t="shared" si="220"/>
        <v>3.9787498507285772E-3</v>
      </c>
      <c r="X789" s="28">
        <f t="shared" si="220"/>
        <v>4.0133556413366692E-3</v>
      </c>
      <c r="Y789" s="28">
        <f t="shared" si="220"/>
        <v>4.0529996928532061E-3</v>
      </c>
      <c r="Z789" s="28">
        <f t="shared" si="220"/>
        <v>4.0900631434267433E-3</v>
      </c>
      <c r="AA789" s="28">
        <f t="shared" si="220"/>
        <v>4.1299322607386601E-3</v>
      </c>
      <c r="AB789" s="28">
        <f t="shared" si="220"/>
        <v>4.1653099616518066E-3</v>
      </c>
      <c r="AC789" s="28">
        <f t="shared" si="220"/>
        <v>4.2013445039546862E-3</v>
      </c>
      <c r="AD789" s="28">
        <f t="shared" si="220"/>
        <v>4.251252835120037E-3</v>
      </c>
      <c r="AE789" s="28">
        <f t="shared" si="220"/>
        <v>4.3057143858228663E-3</v>
      </c>
      <c r="AF789" s="28">
        <f t="shared" si="220"/>
        <v>4.3617167354082645E-3</v>
      </c>
      <c r="AG789" s="28">
        <f t="shared" si="220"/>
        <v>4.3537503349345688E-3</v>
      </c>
      <c r="AH789" s="28">
        <f t="shared" si="220"/>
        <v>1.2882018816554785E-3</v>
      </c>
      <c r="AI789" s="28">
        <f t="shared" si="220"/>
        <v>1.2882018816554785E-3</v>
      </c>
      <c r="AJ789" s="28">
        <f t="shared" si="220"/>
        <v>1.2882018816554785E-3</v>
      </c>
      <c r="AK789" s="28">
        <f t="shared" si="220"/>
        <v>1.2882018816554785E-3</v>
      </c>
      <c r="AL789" s="28">
        <f t="shared" si="220"/>
        <v>1.2882018816554785E-3</v>
      </c>
      <c r="AM789" s="28">
        <f t="shared" si="220"/>
        <v>1.2882018816554785E-3</v>
      </c>
      <c r="AN789" s="28">
        <f t="shared" si="220"/>
        <v>1.2882018816554785E-3</v>
      </c>
      <c r="AO789" s="28">
        <f t="shared" si="220"/>
        <v>1.2882018816554785E-3</v>
      </c>
      <c r="AP789" s="28">
        <f t="shared" si="220"/>
        <v>1.2882018816554785E-3</v>
      </c>
      <c r="AQ789" s="28">
        <f t="shared" si="220"/>
        <v>1.2882018816554785E-3</v>
      </c>
      <c r="AR789" s="28">
        <f t="shared" si="220"/>
        <v>1.2882018816554785E-3</v>
      </c>
      <c r="AS789" s="28">
        <f t="shared" si="220"/>
        <v>1.2882018816554785E-3</v>
      </c>
      <c r="AT789" s="28">
        <f t="shared" si="220"/>
        <v>1.2882018816554785E-3</v>
      </c>
      <c r="AU789" s="28">
        <f t="shared" si="220"/>
        <v>1.2882018816554785E-3</v>
      </c>
      <c r="AV789" s="28">
        <f t="shared" si="220"/>
        <v>1.2882018816554785E-3</v>
      </c>
      <c r="AW789" s="28">
        <f t="shared" si="220"/>
        <v>1.2882018816554785E-3</v>
      </c>
      <c r="AY789" s="85"/>
      <c r="AZ789" s="85"/>
    </row>
    <row r="790" spans="1:52" x14ac:dyDescent="0.25">
      <c r="A790" s="102" t="str">
        <f t="shared" si="176"/>
        <v>BD Mules MMCH4</v>
      </c>
      <c r="B790" s="102" t="s">
        <v>1229</v>
      </c>
      <c r="C790" s="102" t="s">
        <v>1328</v>
      </c>
      <c r="D790" t="s">
        <v>15</v>
      </c>
      <c r="E790" t="s">
        <v>22</v>
      </c>
      <c r="F790" t="s">
        <v>140</v>
      </c>
      <c r="G790" t="s">
        <v>124</v>
      </c>
      <c r="H790" t="s">
        <v>1228</v>
      </c>
      <c r="I790" t="s">
        <v>121</v>
      </c>
      <c r="J790" t="s">
        <v>286</v>
      </c>
      <c r="K790" s="28">
        <f t="shared" ref="K790:AW790" si="221">K1404</f>
        <v>7.515E-4</v>
      </c>
      <c r="L790" s="28">
        <f t="shared" si="221"/>
        <v>7.515E-4</v>
      </c>
      <c r="M790" s="28">
        <f t="shared" si="221"/>
        <v>7.515E-4</v>
      </c>
      <c r="N790" s="28">
        <f t="shared" si="221"/>
        <v>7.515E-4</v>
      </c>
      <c r="O790" s="28">
        <f t="shared" si="221"/>
        <v>7.515E-4</v>
      </c>
      <c r="P790" s="28">
        <f t="shared" si="221"/>
        <v>7.515E-4</v>
      </c>
      <c r="Q790" s="28">
        <f t="shared" si="221"/>
        <v>7.515E-4</v>
      </c>
      <c r="R790" s="28">
        <f t="shared" si="221"/>
        <v>7.515E-4</v>
      </c>
      <c r="S790" s="28">
        <f t="shared" si="221"/>
        <v>7.515E-4</v>
      </c>
      <c r="T790" s="28">
        <f t="shared" si="221"/>
        <v>7.515E-4</v>
      </c>
      <c r="U790" s="28">
        <f t="shared" si="221"/>
        <v>7.515E-4</v>
      </c>
      <c r="V790" s="28">
        <f t="shared" si="221"/>
        <v>7.515E-4</v>
      </c>
      <c r="W790" s="28">
        <f t="shared" si="221"/>
        <v>7.515E-4</v>
      </c>
      <c r="X790" s="28">
        <f t="shared" si="221"/>
        <v>7.515E-4</v>
      </c>
      <c r="Y790" s="28">
        <f t="shared" si="221"/>
        <v>7.515E-4</v>
      </c>
      <c r="Z790" s="28">
        <f t="shared" si="221"/>
        <v>7.515E-4</v>
      </c>
      <c r="AA790" s="28">
        <f t="shared" si="221"/>
        <v>7.515E-4</v>
      </c>
      <c r="AB790" s="28">
        <f t="shared" si="221"/>
        <v>7.515E-4</v>
      </c>
      <c r="AC790" s="28">
        <f t="shared" si="221"/>
        <v>7.515E-4</v>
      </c>
      <c r="AD790" s="28">
        <f t="shared" si="221"/>
        <v>7.515E-4</v>
      </c>
      <c r="AE790" s="28">
        <f t="shared" si="221"/>
        <v>7.515E-4</v>
      </c>
      <c r="AF790" s="28">
        <f t="shared" si="221"/>
        <v>7.515E-4</v>
      </c>
      <c r="AG790" s="28">
        <f t="shared" si="221"/>
        <v>7.515E-4</v>
      </c>
      <c r="AH790" s="28">
        <f t="shared" si="221"/>
        <v>7.515E-4</v>
      </c>
      <c r="AI790" s="28">
        <f t="shared" si="221"/>
        <v>7.515E-4</v>
      </c>
      <c r="AJ790" s="28">
        <f t="shared" si="221"/>
        <v>7.515E-4</v>
      </c>
      <c r="AK790" s="28">
        <f t="shared" si="221"/>
        <v>7.515E-4</v>
      </c>
      <c r="AL790" s="28">
        <f t="shared" si="221"/>
        <v>7.515E-4</v>
      </c>
      <c r="AM790" s="28">
        <f t="shared" si="221"/>
        <v>7.515E-4</v>
      </c>
      <c r="AN790" s="28">
        <f t="shared" si="221"/>
        <v>7.515E-4</v>
      </c>
      <c r="AO790" s="28">
        <f t="shared" si="221"/>
        <v>7.515E-4</v>
      </c>
      <c r="AP790" s="28">
        <f t="shared" si="221"/>
        <v>7.515E-4</v>
      </c>
      <c r="AQ790" s="28">
        <f t="shared" si="221"/>
        <v>7.515E-4</v>
      </c>
      <c r="AR790" s="28">
        <f t="shared" si="221"/>
        <v>7.515E-4</v>
      </c>
      <c r="AS790" s="28">
        <f t="shared" si="221"/>
        <v>7.515E-4</v>
      </c>
      <c r="AT790" s="28">
        <f t="shared" si="221"/>
        <v>7.515E-4</v>
      </c>
      <c r="AU790" s="28">
        <f t="shared" si="221"/>
        <v>7.515E-4</v>
      </c>
      <c r="AV790" s="28">
        <f t="shared" si="221"/>
        <v>7.515E-4</v>
      </c>
      <c r="AW790" s="28">
        <f t="shared" si="221"/>
        <v>7.515E-4</v>
      </c>
      <c r="AY790" s="85"/>
      <c r="AZ790" s="85"/>
    </row>
    <row r="791" spans="1:52" x14ac:dyDescent="0.25">
      <c r="A791" s="102" t="str">
        <f t="shared" si="176"/>
        <v>BD Swine MMCH4</v>
      </c>
      <c r="B791" s="102" t="s">
        <v>1229</v>
      </c>
      <c r="C791" s="102" t="s">
        <v>1231</v>
      </c>
      <c r="D791" t="s">
        <v>15</v>
      </c>
      <c r="E791" t="s">
        <v>22</v>
      </c>
      <c r="F791" t="s">
        <v>21</v>
      </c>
      <c r="G791" t="s">
        <v>122</v>
      </c>
      <c r="H791" t="s">
        <v>1228</v>
      </c>
      <c r="I791" t="s">
        <v>121</v>
      </c>
      <c r="J791" t="s">
        <v>286</v>
      </c>
      <c r="K791" s="100">
        <f>IF('Net zero activities &amp; levers'!$C$10="Off",'Activity data'!AD17*EF!$H30*kgtoGg,IF('Net zero activities &amp; levers'!$C$10="On",'Net zero Activity data'!AD17*'Net zero supporting data'!B193*kgtoGg,"ERROR"))</f>
        <v>23.457009156094408</v>
      </c>
      <c r="L791" s="100">
        <f>IF('Net zero activities &amp; levers'!$C$10="Off",'Activity data'!AE17*EF!$H30*kgtoGg,IF('Net zero activities &amp; levers'!$C$10="On",'Net zero Activity data'!AE17*'Net zero supporting data'!C193*kgtoGg,"ERROR"))</f>
        <v>23.382970302982962</v>
      </c>
      <c r="M791" s="100">
        <f>IF('Net zero activities &amp; levers'!$C$10="Off",'Activity data'!AF17*EF!$H30*kgtoGg,IF('Net zero activities &amp; levers'!$C$10="On",'Net zero Activity data'!AF17*'Net zero supporting data'!D193*kgtoGg,"ERROR"))</f>
        <v>23.138124373605226</v>
      </c>
      <c r="N791" s="100">
        <f>IF('Net zero activities &amp; levers'!$C$10="Off",'Activity data'!AG17*EF!$H30*kgtoGg,IF('Net zero activities &amp; levers'!$C$10="On",'Net zero Activity data'!AG17*'Net zero supporting data'!E193*kgtoGg,"ERROR"))</f>
        <v>22.662724331689486</v>
      </c>
      <c r="O791" s="100">
        <f>IF('Net zero activities &amp; levers'!$C$10="Off",'Activity data'!AH17*EF!$H30*kgtoGg,IF('Net zero activities &amp; levers'!$C$10="On",'Net zero Activity data'!AH17*'Net zero supporting data'!F193*kgtoGg,"ERROR"))</f>
        <v>22.208124722137587</v>
      </c>
      <c r="P791" s="100">
        <f>IF('Net zero activities &amp; levers'!$C$10="Off",'Activity data'!AI17*EF!$H30*kgtoGg,IF('Net zero activities &amp; levers'!$C$10="On",'Net zero Activity data'!AI17*'Net zero supporting data'!G193*kgtoGg,"ERROR"))</f>
        <v>21.889217256258846</v>
      </c>
      <c r="Q791" s="100">
        <f>IF('Net zero activities &amp; levers'!$C$10="Off",'Activity data'!AJ17*EF!$H30*kgtoGg,IF('Net zero activities &amp; levers'!$C$10="On",'Net zero Activity data'!AJ17*'Net zero supporting data'!H193*kgtoGg,"ERROR"))</f>
        <v>21.619129232817183</v>
      </c>
      <c r="R791" s="100">
        <f>IF('Net zero activities &amp; levers'!$C$10="Off",'Activity data'!AK17*EF!$H30*kgtoGg,IF('Net zero activities &amp; levers'!$C$10="On",'Net zero Activity data'!AK17*'Net zero supporting data'!I193*kgtoGg,"ERROR"))</f>
        <v>21.121790636010179</v>
      </c>
      <c r="S791" s="100">
        <f>IF('Net zero activities &amp; levers'!$C$10="Off",'Activity data'!AL17*EF!$H30*kgtoGg,IF('Net zero activities &amp; levers'!$C$10="On",'Net zero Activity data'!AL17*'Net zero supporting data'!J193*kgtoGg,"ERROR"))</f>
        <v>18.490528263992797</v>
      </c>
      <c r="T791" s="100">
        <f>IF('Net zero activities &amp; levers'!$C$10="Off",'Activity data'!AM17*EF!$H30*kgtoGg,IF('Net zero activities &amp; levers'!$C$10="On",'Net zero Activity data'!AM17*'Net zero supporting data'!K193*kgtoGg,"ERROR"))</f>
        <v>17.12584572936224</v>
      </c>
      <c r="U791" s="100">
        <f>IF('Net zero activities &amp; levers'!$C$10="Off",'Activity data'!AN17*EF!$H30*kgtoGg,IF('Net zero activities &amp; levers'!$C$10="On",'Net zero Activity data'!AN17*'Net zero supporting data'!L193*kgtoGg,"ERROR"))</f>
        <v>15.693247627211081</v>
      </c>
      <c r="V791" s="100">
        <f>IF('Net zero activities &amp; levers'!$C$10="Off",'Activity data'!AO17*EF!$H30*kgtoGg,IF('Net zero activities &amp; levers'!$C$10="On",'Net zero Activity data'!AO17*'Net zero supporting data'!M193*kgtoGg,"ERROR"))</f>
        <v>14.250005633731742</v>
      </c>
      <c r="W791" s="100">
        <f>IF('Net zero activities &amp; levers'!$C$10="Off",'Activity data'!AP17*EF!$H30*kgtoGg,IF('Net zero activities &amp; levers'!$C$10="On",'Net zero Activity data'!AP17*'Net zero supporting data'!N193*kgtoGg,"ERROR"))</f>
        <v>12.853992869700624</v>
      </c>
      <c r="X791" s="100">
        <f>IF('Net zero activities &amp; levers'!$C$10="Off",'Activity data'!AQ17*EF!$H30*kgtoGg,IF('Net zero activities &amp; levers'!$C$10="On",'Net zero Activity data'!AQ17*'Net zero supporting data'!O193*kgtoGg,"ERROR"))</f>
        <v>11.432834560400984</v>
      </c>
      <c r="Y791" s="100">
        <f>IF('Net zero activities &amp; levers'!$C$10="Off",'Activity data'!AR17*EF!$H30*kgtoGg,IF('Net zero activities &amp; levers'!$C$10="On",'Net zero Activity data'!AR17*'Net zero supporting data'!P193*kgtoGg,"ERROR"))</f>
        <v>10.000519869480737</v>
      </c>
      <c r="Z791" s="100">
        <f>IF('Net zero activities &amp; levers'!$C$10="Off",'Activity data'!AS17*EF!$H30*kgtoGg,IF('Net zero activities &amp; levers'!$C$10="On",'Net zero Activity data'!AS17*'Net zero supporting data'!Q193*kgtoGg,"ERROR"))</f>
        <v>8.5324308926671364</v>
      </c>
      <c r="AA791" s="100">
        <f>IF('Net zero activities &amp; levers'!$C$10="Off",'Activity data'!AT17*EF!$H30*kgtoGg,IF('Net zero activities &amp; levers'!$C$10="On",'Net zero Activity data'!AT17*'Net zero supporting data'!R193*kgtoGg,"ERROR"))</f>
        <v>7.0531188335233264</v>
      </c>
      <c r="AB791" s="100">
        <f>IF('Net zero activities &amp; levers'!$C$10="Off",'Activity data'!AU17*EF!$H30*kgtoGg,IF('Net zero activities &amp; levers'!$C$10="On",'Net zero Activity data'!AU17*'Net zero supporting data'!S193*kgtoGg,"ERROR"))</f>
        <v>5.5367893855715744</v>
      </c>
      <c r="AC791" s="100">
        <f>IF('Net zero activities &amp; levers'!$C$10="Off",'Activity data'!AV17*EF!$H30*kgtoGg,IF('Net zero activities &amp; levers'!$C$10="On",'Net zero Activity data'!AV17*'Net zero supporting data'!T193*kgtoGg,"ERROR"))</f>
        <v>4.0035002753481699</v>
      </c>
      <c r="AD791" s="100">
        <f>IF('Net zero activities &amp; levers'!$C$10="Off",'Activity data'!AW17*EF!$H30*kgtoGg,IF('Net zero activities &amp; levers'!$C$10="On",'Net zero Activity data'!AW17*'Net zero supporting data'!U193*kgtoGg,"ERROR"))</f>
        <v>3.6522954942801271</v>
      </c>
      <c r="AE791" s="100">
        <f>IF('Net zero activities &amp; levers'!$C$10="Off",'Activity data'!AX17*EF!$H30*kgtoGg,IF('Net zero activities &amp; levers'!$C$10="On",'Net zero Activity data'!AX17*'Net zero supporting data'!V193*kgtoGg,"ERROR"))</f>
        <v>3.2983680799167749</v>
      </c>
      <c r="AF791" s="100">
        <f>IF('Net zero activities &amp; levers'!$C$10="Off",'Activity data'!AY17*EF!$H30*kgtoGg,IF('Net zero activities &amp; levers'!$C$10="On",'Net zero Activity data'!AY17*'Net zero supporting data'!W193*kgtoGg,"ERROR"))</f>
        <v>2.9354419735891617</v>
      </c>
      <c r="AG791" s="100">
        <f>IF('Net zero activities &amp; levers'!$C$10="Off",'Activity data'!AZ17*EF!$H30*kgtoGg,IF('Net zero activities &amp; levers'!$C$10="On",'Net zero Activity data'!AZ17*'Net zero supporting data'!X193*kgtoGg,"ERROR"))</f>
        <v>2.4915393649196811</v>
      </c>
      <c r="AH791" s="100">
        <f>IF('Net zero activities &amp; levers'!$C$10="Off",'Activity data'!BA17*EF!$H30*kgtoGg,IF('Net zero activities &amp; levers'!$C$10="On",'Net zero Activity data'!BA17*'Net zero supporting data'!Y193*kgtoGg,"ERROR"))</f>
        <v>-0.70546376193584648</v>
      </c>
      <c r="AI791" s="100">
        <f>IF('Net zero activities &amp; levers'!$C$10="Off",'Activity data'!BB17*EF!$H30*kgtoGg,IF('Net zero activities &amp; levers'!$C$10="On",'Net zero Activity data'!BB17*'Net zero supporting data'!Z193*kgtoGg,"ERROR"))</f>
        <v>-0.56402579685988219</v>
      </c>
      <c r="AJ791" s="100">
        <f>IF('Net zero activities &amp; levers'!$C$10="Off",'Activity data'!BC17*EF!$H30*kgtoGg,IF('Net zero activities &amp; levers'!$C$10="On",'Net zero Activity data'!BC17*'Net zero supporting data'!AA193*kgtoGg,"ERROR"))</f>
        <v>-0.42564750413735308</v>
      </c>
      <c r="AK791" s="100">
        <f>IF('Net zero activities &amp; levers'!$C$10="Off",'Activity data'!BD17*EF!$H30*kgtoGg,IF('Net zero activities &amp; levers'!$C$10="On",'Net zero Activity data'!BD17*'Net zero supporting data'!AB193*kgtoGg,"ERROR"))</f>
        <v>-0.29022926189003923</v>
      </c>
      <c r="AL791" s="100">
        <f>IF('Net zero activities &amp; levers'!$C$10="Off",'Activity data'!BE17*EF!$H30*kgtoGg,IF('Net zero activities &amp; levers'!$C$10="On",'Net zero Activity data'!BE17*'Net zero supporting data'!AC193*kgtoGg,"ERROR"))</f>
        <v>-0.15767992166851913</v>
      </c>
      <c r="AM791" s="100">
        <f>IF('Net zero activities &amp; levers'!$C$10="Off",'Activity data'!BF17*EF!$H30*kgtoGg,IF('Net zero activities &amp; levers'!$C$10="On",'Net zero Activity data'!BF17*'Net zero supporting data'!AD193*kgtoGg,"ERROR"))</f>
        <v>-2.7916046635645505E-2</v>
      </c>
      <c r="AN791" s="100">
        <f>IF('Net zero activities &amp; levers'!$C$10="Off",'Activity data'!BG17*EF!$H30*kgtoGg,IF('Net zero activities &amp; levers'!$C$10="On",'Net zero Activity data'!BG17*'Net zero supporting data'!AE193*kgtoGg,"ERROR"))</f>
        <v>-2.7590028617695803E-2</v>
      </c>
      <c r="AO791" s="100">
        <f>IF('Net zero activities &amp; levers'!$C$10="Off",'Activity data'!BH17*EF!$H30*kgtoGg,IF('Net zero activities &amp; levers'!$C$10="On",'Net zero Activity data'!BH17*'Net zero supporting data'!AF193*kgtoGg,"ERROR"))</f>
        <v>-2.7269758757725224E-2</v>
      </c>
      <c r="AP791" s="100">
        <f>IF('Net zero activities &amp; levers'!$C$10="Off",'Activity data'!BI17*EF!$H30*kgtoGg,IF('Net zero activities &amp; levers'!$C$10="On",'Net zero Activity data'!BI17*'Net zero supporting data'!AG193*kgtoGg,"ERROR"))</f>
        <v>-2.6954901337017938E-2</v>
      </c>
      <c r="AQ791" s="100">
        <f>IF('Net zero activities &amp; levers'!$C$10="Off",'Activity data'!BJ17*EF!$H30*kgtoGg,IF('Net zero activities &amp; levers'!$C$10="On",'Net zero Activity data'!BJ17*'Net zero supporting data'!AH193*kgtoGg,"ERROR"))</f>
        <v>-2.6645142565262445E-2</v>
      </c>
      <c r="AR791" s="100">
        <f>IF('Net zero activities &amp; levers'!$C$10="Off",'Activity data'!BK17*EF!$H30*kgtoGg,IF('Net zero activities &amp; levers'!$C$10="On",'Net zero Activity data'!BK17*'Net zero supporting data'!AI193*kgtoGg,"ERROR"))</f>
        <v>-2.6340188685882081E-2</v>
      </c>
      <c r="AS791" s="100">
        <f>IF('Net zero activities &amp; levers'!$C$10="Off",'Activity data'!BL17*EF!$H30*kgtoGg,IF('Net zero activities &amp; levers'!$C$10="On",'Net zero Activity data'!BL17*'Net zero supporting data'!AJ193*kgtoGg,"ERROR"))</f>
        <v>-2.6007857227727454E-2</v>
      </c>
      <c r="AT791" s="100">
        <f>IF('Net zero activities &amp; levers'!$C$10="Off",'Activity data'!BM17*EF!$H30*kgtoGg,IF('Net zero activities &amp; levers'!$C$10="On",'Net zero Activity data'!BM17*'Net zero supporting data'!AK193*kgtoGg,"ERROR"))</f>
        <v>-2.5680601679366147E-2</v>
      </c>
      <c r="AU791" s="100">
        <f>IF('Net zero activities &amp; levers'!$C$10="Off",'Activity data'!BN17*EF!$H30*kgtoGg,IF('Net zero activities &amp; levers'!$C$10="On",'Net zero Activity data'!BN17*'Net zero supporting data'!AL193*kgtoGg,"ERROR"))</f>
        <v>-2.5358160765138783E-2</v>
      </c>
      <c r="AV791" s="100">
        <f>IF('Net zero activities &amp; levers'!$C$10="Off",'Activity data'!BO17*EF!$H30*kgtoGg,IF('Net zero activities &amp; levers'!$C$10="On",'Net zero Activity data'!BO17*'Net zero supporting data'!AM193*kgtoGg,"ERROR"))</f>
        <v>-2.5040288646466225E-2</v>
      </c>
      <c r="AW791" s="100">
        <f>IF('Net zero activities &amp; levers'!$C$10="Off",'Activity data'!BP17*EF!$H30*kgtoGg,IF('Net zero activities &amp; levers'!$C$10="On",'Net zero Activity data'!BP17*'Net zero supporting data'!AN193*kgtoGg,"ERROR"))</f>
        <v>-2.4726753718264986E-2</v>
      </c>
      <c r="AY791" s="85"/>
      <c r="AZ791" s="85"/>
    </row>
    <row r="792" spans="1:52" x14ac:dyDescent="0.25">
      <c r="A792" s="102" t="str">
        <f t="shared" si="176"/>
        <v>BD Swine MMCH4</v>
      </c>
      <c r="B792" s="102" t="s">
        <v>1229</v>
      </c>
      <c r="C792" s="102" t="s">
        <v>1231</v>
      </c>
      <c r="D792" t="s">
        <v>15</v>
      </c>
      <c r="E792" t="s">
        <v>22</v>
      </c>
      <c r="F792" t="s">
        <v>21</v>
      </c>
      <c r="G792" t="s">
        <v>123</v>
      </c>
      <c r="H792" t="s">
        <v>1228</v>
      </c>
      <c r="I792" t="s">
        <v>121</v>
      </c>
      <c r="J792" t="s">
        <v>286</v>
      </c>
      <c r="K792" s="100">
        <f>IF('Net zero activities &amp; levers'!$C$10="Off",'Activity data'!AD18*EF!$H31*kgtoGg,IF('Net zero activities &amp; levers'!$C$10="On",'Net zero Activity data'!AD18*'Net zero supporting data'!B194*kgtoGg,"ERROR"))</f>
        <v>7.8527817196558616E-2</v>
      </c>
      <c r="L792" s="100">
        <f>IF('Net zero activities &amp; levers'!$C$10="Off",'Activity data'!AE18*EF!$H31*kgtoGg,IF('Net zero activities &amp; levers'!$C$10="On",'Net zero Activity data'!AE18*'Net zero supporting data'!C194*kgtoGg,"ERROR"))</f>
        <v>7.8279954841904267E-2</v>
      </c>
      <c r="M792" s="100">
        <f>IF('Net zero activities &amp; levers'!$C$10="Off",'Activity data'!AF18*EF!$H31*kgtoGg,IF('Net zero activities &amp; levers'!$C$10="On",'Net zero Activity data'!AF18*'Net zero supporting data'!D194*kgtoGg,"ERROR"))</f>
        <v>7.7460275902635031E-2</v>
      </c>
      <c r="N792" s="100">
        <f>IF('Net zero activities &amp; levers'!$C$10="Off",'Activity data'!AG18*EF!$H31*kgtoGg,IF('Net zero activities &amp; levers'!$C$10="On",'Net zero Activity data'!AG18*'Net zero supporting data'!E194*kgtoGg,"ERROR"))</f>
        <v>7.5868763219224727E-2</v>
      </c>
      <c r="O792" s="100">
        <f>IF('Net zero activities &amp; levers'!$C$10="Off",'Activity data'!AH18*EF!$H31*kgtoGg,IF('Net zero activities &amp; levers'!$C$10="On",'Net zero Activity data'!AH18*'Net zero supporting data'!F194*kgtoGg,"ERROR"))</f>
        <v>7.434688484168045E-2</v>
      </c>
      <c r="P792" s="100">
        <f>IF('Net zero activities &amp; levers'!$C$10="Off",'Activity data'!AI18*EF!$H31*kgtoGg,IF('Net zero activities &amp; levers'!$C$10="On",'Net zero Activity data'!AI18*'Net zero supporting data'!G194*kgtoGg,"ERROR"))</f>
        <v>7.3279267609811932E-2</v>
      </c>
      <c r="Q792" s="100">
        <f>IF('Net zero activities &amp; levers'!$C$10="Off",'Activity data'!AJ18*EF!$H31*kgtoGg,IF('Net zero activities &amp; levers'!$C$10="On",'Net zero Activity data'!AJ18*'Net zero supporting data'!H194*kgtoGg,"ERROR"))</f>
        <v>7.2375084864660225E-2</v>
      </c>
      <c r="R792" s="100">
        <f>IF('Net zero activities &amp; levers'!$C$10="Off",'Activity data'!AK18*EF!$H31*kgtoGg,IF('Net zero activities &amp; levers'!$C$10="On",'Net zero Activity data'!AK18*'Net zero supporting data'!I194*kgtoGg,"ERROR"))</f>
        <v>7.0710127744382734E-2</v>
      </c>
      <c r="S792" s="100">
        <f>IF('Net zero activities &amp; levers'!$C$10="Off",'Activity data'!AL18*EF!$H31*kgtoGg,IF('Net zero activities &amp; levers'!$C$10="On",'Net zero Activity data'!AL18*'Net zero supporting data'!J194*kgtoGg,"ERROR"))</f>
        <v>6.1901362348463537E-2</v>
      </c>
      <c r="T792" s="100">
        <f>IF('Net zero activities &amp; levers'!$C$10="Off",'Activity data'!AM18*EF!$H31*kgtoGg,IF('Net zero activities &amp; levers'!$C$10="On",'Net zero Activity data'!AM18*'Net zero supporting data'!K194*kgtoGg,"ERROR"))</f>
        <v>5.7464216940727654E-2</v>
      </c>
      <c r="U792" s="100">
        <f>IF('Net zero activities &amp; levers'!$C$10="Off",'Activity data'!AN18*EF!$H31*kgtoGg,IF('Net zero activities &amp; levers'!$C$10="On",'Net zero Activity data'!AN18*'Net zero supporting data'!L194*kgtoGg,"ERROR"))</f>
        <v>5.2800541584162704E-2</v>
      </c>
      <c r="V792" s="100">
        <f>IF('Net zero activities &amp; levers'!$C$10="Off",'Activity data'!AO18*EF!$H31*kgtoGg,IF('Net zero activities &amp; levers'!$C$10="On",'Net zero Activity data'!AO18*'Net zero supporting data'!M194*kgtoGg,"ERROR"))</f>
        <v>4.8102031839267055E-2</v>
      </c>
      <c r="W792" s="100">
        <f>IF('Net zero activities &amp; levers'!$C$10="Off",'Activity data'!AP18*EF!$H31*kgtoGg,IF('Net zero activities &amp; levers'!$C$10="On",'Net zero Activity data'!AP18*'Net zero supporting data'!N194*kgtoGg,"ERROR"))</f>
        <v>4.3564780408870102E-2</v>
      </c>
      <c r="X792" s="100">
        <f>IF('Net zero activities &amp; levers'!$C$10="Off",'Activity data'!AQ18*EF!$H31*kgtoGg,IF('Net zero activities &amp; levers'!$C$10="On",'Net zero Activity data'!AQ18*'Net zero supporting data'!O194*kgtoGg,"ERROR"))</f>
        <v>3.8945160857471496E-2</v>
      </c>
      <c r="Y792" s="100">
        <f>IF('Net zero activities &amp; levers'!$C$10="Off",'Activity data'!AR18*EF!$H31*kgtoGg,IF('Net zero activities &amp; levers'!$C$10="On",'Net zero Activity data'!AR18*'Net zero supporting data'!P194*kgtoGg,"ERROR"))</f>
        <v>3.4290949734379572E-2</v>
      </c>
      <c r="Z792" s="100">
        <f>IF('Net zero activities &amp; levers'!$C$10="Off",'Activity data'!AS18*EF!$H31*kgtoGg,IF('Net zero activities &amp; levers'!$C$10="On",'Net zero Activity data'!AS18*'Net zero supporting data'!Q194*kgtoGg,"ERROR"))</f>
        <v>2.9517936119752883E-2</v>
      </c>
      <c r="AA792" s="100">
        <f>IF('Net zero activities &amp; levers'!$C$10="Off",'Activity data'!AT18*EF!$H31*kgtoGg,IF('Net zero activities &amp; levers'!$C$10="On",'Net zero Activity data'!AT18*'Net zero supporting data'!R194*kgtoGg,"ERROR"))</f>
        <v>2.4710678146783776E-2</v>
      </c>
      <c r="AB792" s="100">
        <f>IF('Net zero activities &amp; levers'!$C$10="Off",'Activity data'!AU18*EF!$H31*kgtoGg,IF('Net zero activities &amp; levers'!$C$10="On",'Net zero Activity data'!AU18*'Net zero supporting data'!S194*kgtoGg,"ERROR"))</f>
        <v>1.9778999549770315E-2</v>
      </c>
      <c r="AC792" s="100">
        <f>IF('Net zero activities &amp; levers'!$C$10="Off",'Activity data'!AV18*EF!$H31*kgtoGg,IF('Net zero activities &amp; levers'!$C$10="On",'Net zero Activity data'!AV18*'Net zero supporting data'!T194*kgtoGg,"ERROR"))</f>
        <v>1.4792573532976873E-2</v>
      </c>
      <c r="AD792" s="100">
        <f>IF('Net zero activities &amp; levers'!$C$10="Off",'Activity data'!AW18*EF!$H31*kgtoGg,IF('Net zero activities &amp; levers'!$C$10="On",'Net zero Activity data'!AW18*'Net zero supporting data'!U194*kgtoGg,"ERROR"))</f>
        <v>1.3667599355847351E-2</v>
      </c>
      <c r="AE792" s="100">
        <f>IF('Net zero activities &amp; levers'!$C$10="Off",'Activity data'!AX18*EF!$H31*kgtoGg,IF('Net zero activities &amp; levers'!$C$10="On",'Net zero Activity data'!AX18*'Net zero supporting data'!V194*kgtoGg,"ERROR"))</f>
        <v>1.2537051193820857E-2</v>
      </c>
      <c r="AF792" s="100">
        <f>IF('Net zero activities &amp; levers'!$C$10="Off",'Activity data'!AY18*EF!$H31*kgtoGg,IF('Net zero activities &amp; levers'!$C$10="On",'Net zero Activity data'!AY18*'Net zero supporting data'!W194*kgtoGg,"ERROR"))</f>
        <v>1.1377973871345683E-2</v>
      </c>
      <c r="AG792" s="100">
        <f>IF('Net zero activities &amp; levers'!$C$10="Off",'Activity data'!AZ18*EF!$H31*kgtoGg,IF('Net zero activities &amp; levers'!$C$10="On",'Net zero Activity data'!AZ18*'Net zero supporting data'!X194*kgtoGg,"ERROR"))</f>
        <v>9.9046189468997205E-3</v>
      </c>
      <c r="AH792" s="100">
        <f>IF('Net zero activities &amp; levers'!$C$10="Off",'Activity data'!BA18*EF!$H31*kgtoGg,IF('Net zero activities &amp; levers'!$C$10="On",'Net zero Activity data'!BA18*'Net zero supporting data'!Y194*kgtoGg,"ERROR"))</f>
        <v>-2.9012683498631383E-3</v>
      </c>
      <c r="AI792" s="100">
        <f>IF('Net zero activities &amp; levers'!$C$10="Off",'Activity data'!BB18*EF!$H31*kgtoGg,IF('Net zero activities &amp; levers'!$C$10="On",'Net zero Activity data'!BB18*'Net zero supporting data'!Z194*kgtoGg,"ERROR"))</f>
        <v>-2.4337289186222291E-3</v>
      </c>
      <c r="AJ792" s="100">
        <f>IF('Net zero activities &amp; levers'!$C$10="Off",'Activity data'!BC18*EF!$H31*kgtoGg,IF('Net zero activities &amp; levers'!$C$10="On",'Net zero Activity data'!BC18*'Net zero supporting data'!AA194*kgtoGg,"ERROR"))</f>
        <v>-1.9763021759240597E-3</v>
      </c>
      <c r="AK792" s="100">
        <f>IF('Net zero activities &amp; levers'!$C$10="Off",'Activity data'!BD18*EF!$H31*kgtoGg,IF('Net zero activities &amp; levers'!$C$10="On",'Net zero Activity data'!BD18*'Net zero supporting data'!AB194*kgtoGg,"ERROR"))</f>
        <v>-1.528654220701678E-3</v>
      </c>
      <c r="AL792" s="100">
        <f>IF('Net zero activities &amp; levers'!$C$10="Off",'Activity data'!BE18*EF!$H31*kgtoGg,IF('Net zero activities &amp; levers'!$C$10="On",'Net zero Activity data'!BE18*'Net zero supporting data'!AC194*kgtoGg,"ERROR"))</f>
        <v>-1.0904794429173093E-3</v>
      </c>
      <c r="AM792" s="100">
        <f>IF('Net zero activities &amp; levers'!$C$10="Off",'Activity data'!BF18*EF!$H31*kgtoGg,IF('Net zero activities &amp; levers'!$C$10="On",'Net zero Activity data'!BF18*'Net zero supporting data'!AD194*kgtoGg,"ERROR"))</f>
        <v>-6.6149797541991632E-4</v>
      </c>
      <c r="AN792" s="100">
        <f>IF('Net zero activities &amp; levers'!$C$10="Off",'Activity data'!BG18*EF!$H31*kgtoGg,IF('Net zero activities &amp; levers'!$C$10="On",'Net zero Activity data'!BG18*'Net zero supporting data'!AE194*kgtoGg,"ERROR"))</f>
        <v>-6.5377266024048213E-4</v>
      </c>
      <c r="AO792" s="100">
        <f>IF('Net zero activities &amp; levers'!$C$10="Off",'Activity data'!BH18*EF!$H31*kgtoGg,IF('Net zero activities &amp; levers'!$C$10="On",'Net zero Activity data'!BH18*'Net zero supporting data'!AF194*kgtoGg,"ERROR"))</f>
        <v>-6.4618355327545663E-4</v>
      </c>
      <c r="AP792" s="100">
        <f>IF('Net zero activities &amp; levers'!$C$10="Off",'Activity data'!BI18*EF!$H31*kgtoGg,IF('Net zero activities &amp; levers'!$C$10="On",'Net zero Activity data'!BI18*'Net zero supporting data'!AG194*kgtoGg,"ERROR"))</f>
        <v>-6.3872269934215416E-4</v>
      </c>
      <c r="AQ792" s="100">
        <f>IF('Net zero activities &amp; levers'!$C$10="Off",'Activity data'!BJ18*EF!$H31*kgtoGg,IF('Net zero activities &amp; levers'!$C$10="On",'Net zero Activity data'!BJ18*'Net zero supporting data'!AH194*kgtoGg,"ERROR"))</f>
        <v>-6.3138266287283637E-4</v>
      </c>
      <c r="AR792" s="100">
        <f>IF('Net zero activities &amp; levers'!$C$10="Off",'Activity data'!BK18*EF!$H31*kgtoGg,IF('Net zero activities &amp; levers'!$C$10="On",'Net zero Activity data'!BK18*'Net zero supporting data'!AI194*kgtoGg,"ERROR"))</f>
        <v>-6.2415648301866679E-4</v>
      </c>
      <c r="AS792" s="100">
        <f>IF('Net zero activities &amp; levers'!$C$10="Off",'Activity data'!BL18*EF!$H31*kgtoGg,IF('Net zero activities &amp; levers'!$C$10="On",'Net zero Activity data'!BL18*'Net zero supporting data'!AJ194*kgtoGg,"ERROR"))</f>
        <v>-6.1628156471068077E-4</v>
      </c>
      <c r="AT792" s="100">
        <f>IF('Net zero activities &amp; levers'!$C$10="Off",'Activity data'!BM18*EF!$H31*kgtoGg,IF('Net zero activities &amp; levers'!$C$10="On",'Net zero Activity data'!BM18*'Net zero supporting data'!AK194*kgtoGg,"ERROR"))</f>
        <v>-6.0852692504012227E-4</v>
      </c>
      <c r="AU792" s="100">
        <f>IF('Net zero activities &amp; levers'!$C$10="Off",'Activity data'!BN18*EF!$H31*kgtoGg,IF('Net zero activities &amp; levers'!$C$10="On",'Net zero Activity data'!BN18*'Net zero supporting data'!AL194*kgtoGg,"ERROR"))</f>
        <v>-6.0088637282519662E-4</v>
      </c>
      <c r="AV792" s="100">
        <f>IF('Net zero activities &amp; levers'!$C$10="Off",'Activity data'!BO18*EF!$H31*kgtoGg,IF('Net zero activities &amp; levers'!$C$10="On",'Net zero Activity data'!BO18*'Net zero supporting data'!AM194*kgtoGg,"ERROR"))</f>
        <v>-5.9335408268079465E-4</v>
      </c>
      <c r="AW792" s="100">
        <f>IF('Net zero activities &amp; levers'!$C$10="Off",'Activity data'!BP18*EF!$H31*kgtoGg,IF('Net zero activities &amp; levers'!$C$10="On",'Net zero Activity data'!BP18*'Net zero supporting data'!AN194*kgtoGg,"ERROR"))</f>
        <v>-5.859245664983809E-4</v>
      </c>
      <c r="AY792" s="85"/>
      <c r="AZ792" s="85"/>
    </row>
    <row r="793" spans="1:52" x14ac:dyDescent="0.25">
      <c r="A793" s="102" t="str">
        <f t="shared" si="176"/>
        <v>BD Poultry MMCH4</v>
      </c>
      <c r="B793" s="102" t="s">
        <v>1229</v>
      </c>
      <c r="C793" s="102" t="s">
        <v>1232</v>
      </c>
      <c r="D793" t="s">
        <v>15</v>
      </c>
      <c r="E793" t="s">
        <v>22</v>
      </c>
      <c r="F793" t="s">
        <v>28</v>
      </c>
      <c r="G793" t="s">
        <v>131</v>
      </c>
      <c r="H793" t="s">
        <v>1228</v>
      </c>
      <c r="I793" t="s">
        <v>121</v>
      </c>
      <c r="J793" t="s">
        <v>286</v>
      </c>
      <c r="K793" s="100">
        <f>IF('Net zero activities &amp; levers'!$C$10="Off",'Activity data'!AD19*EF!$H32*kgtoGg,IF('Net zero activities &amp; levers'!$C$10="On",'Net zero Activity data'!AD19*'Net zero supporting data'!B195*kgtoGg,"ERROR"))</f>
        <v>0.55890468998141496</v>
      </c>
      <c r="L793" s="100">
        <f>IF('Net zero activities &amp; levers'!$C$10="Off",'Activity data'!AE19*EF!$H32*kgtoGg,IF('Net zero activities &amp; levers'!$C$10="On",'Net zero Activity data'!AE19*'Net zero supporting data'!C195*kgtoGg,"ERROR"))</f>
        <v>0.57100815822901829</v>
      </c>
      <c r="M793" s="100">
        <f>IF('Net zero activities &amp; levers'!$C$10="Off",'Activity data'!AF19*EF!$H32*kgtoGg,IF('Net zero activities &amp; levers'!$C$10="On",'Net zero Activity data'!AF19*'Net zero supporting data'!D195*kgtoGg,"ERROR"))</f>
        <v>0.58076061949579127</v>
      </c>
      <c r="N793" s="100">
        <f>IF('Net zero activities &amp; levers'!$C$10="Off",'Activity data'!AG19*EF!$H32*kgtoGg,IF('Net zero activities &amp; levers'!$C$10="On",'Net zero Activity data'!AG19*'Net zero supporting data'!E195*kgtoGg,"ERROR"))</f>
        <v>0.58713273634766394</v>
      </c>
      <c r="O793" s="100">
        <f>IF('Net zero activities &amp; levers'!$C$10="Off",'Activity data'!AH19*EF!$H32*kgtoGg,IF('Net zero activities &amp; levers'!$C$10="On",'Net zero Activity data'!AH19*'Net zero supporting data'!F195*kgtoGg,"ERROR"))</f>
        <v>0.59359134329353236</v>
      </c>
      <c r="P793" s="100">
        <f>IF('Net zero activities &amp; levers'!$C$10="Off",'Activity data'!AI19*EF!$H32*kgtoGg,IF('Net zero activities &amp; levers'!$C$10="On",'Net zero Activity data'!AI19*'Net zero supporting data'!G195*kgtoGg,"ERROR"))</f>
        <v>0.60191770622970409</v>
      </c>
      <c r="Q793" s="100">
        <f>IF('Net zero activities &amp; levers'!$C$10="Off",'Activity data'!AJ19*EF!$H32*kgtoGg,IF('Net zero activities &amp; levers'!$C$10="On",'Net zero Activity data'!AJ19*'Net zero supporting data'!H195*kgtoGg,"ERROR"))</f>
        <v>0.61082194696949044</v>
      </c>
      <c r="R793" s="100">
        <f>IF('Net zero activities &amp; levers'!$C$10="Off",'Activity data'!AK19*EF!$H32*kgtoGg,IF('Net zero activities &amp; levers'!$C$10="On",'Net zero Activity data'!AK19*'Net zero supporting data'!I195*kgtoGg,"ERROR"))</f>
        <v>0.61600023875173726</v>
      </c>
      <c r="S793" s="100">
        <f>IF('Net zero activities &amp; levers'!$C$10="Off",'Activity data'!AL19*EF!$H32*kgtoGg,IF('Net zero activities &amp; levers'!$C$10="On",'Net zero Activity data'!AL19*'Net zero supporting data'!J195*kgtoGg,"ERROR"))</f>
        <v>0.58621039395021657</v>
      </c>
      <c r="T793" s="100">
        <f>IF('Net zero activities &amp; levers'!$C$10="Off",'Activity data'!AM19*EF!$H32*kgtoGg,IF('Net zero activities &amp; levers'!$C$10="On",'Net zero Activity data'!AM19*'Net zero supporting data'!K195*kgtoGg,"ERROR"))</f>
        <v>0.57351872346952015</v>
      </c>
      <c r="U793" s="100">
        <f>IF('Net zero activities &amp; levers'!$C$10="Off",'Activity data'!AN19*EF!$H32*kgtoGg,IF('Net zero activities &amp; levers'!$C$10="On",'Net zero Activity data'!AN19*'Net zero supporting data'!L195*kgtoGg,"ERROR"))</f>
        <v>0.55899829042055071</v>
      </c>
      <c r="V793" s="100">
        <f>IF('Net zero activities &amp; levers'!$C$10="Off",'Activity data'!AO19*EF!$H32*kgtoGg,IF('Net zero activities &amp; levers'!$C$10="On",'Net zero Activity data'!AO19*'Net zero supporting data'!M195*kgtoGg,"ERROR"))</f>
        <v>0.54356700728598661</v>
      </c>
      <c r="W793" s="100">
        <f>IF('Net zero activities &amp; levers'!$C$10="Off",'Activity data'!AP19*EF!$H32*kgtoGg,IF('Net zero activities &amp; levers'!$C$10="On",'Net zero Activity data'!AP19*'Net zero supporting data'!N195*kgtoGg,"ERROR"))</f>
        <v>0.52846398300501329</v>
      </c>
      <c r="X793" s="100">
        <f>IF('Net zero activities &amp; levers'!$C$10="Off",'Activity data'!AQ19*EF!$H32*kgtoGg,IF('Net zero activities &amp; levers'!$C$10="On",'Net zero Activity data'!AQ19*'Net zero supporting data'!O195*kgtoGg,"ERROR"))</f>
        <v>0.512314459919613</v>
      </c>
      <c r="Y793" s="100">
        <f>IF('Net zero activities &amp; levers'!$C$10="Off",'Activity data'!AR19*EF!$H32*kgtoGg,IF('Net zero activities &amp; levers'!$C$10="On",'Net zero Activity data'!AR19*'Net zero supporting data'!P195*kgtoGg,"ERROR"))</f>
        <v>0.49503380220429799</v>
      </c>
      <c r="Z793" s="100">
        <f>IF('Net zero activities &amp; levers'!$C$10="Off",'Activity data'!AS19*EF!$H32*kgtoGg,IF('Net zero activities &amp; levers'!$C$10="On",'Net zero Activity data'!AS19*'Net zero supporting data'!Q195*kgtoGg,"ERROR"))</f>
        <v>0.47642333296497841</v>
      </c>
      <c r="AA793" s="100">
        <f>IF('Net zero activities &amp; levers'!$C$10="Off",'Activity data'!AT19*EF!$H32*kgtoGg,IF('Net zero activities &amp; levers'!$C$10="On",'Net zero Activity data'!AT19*'Net zero supporting data'!R195*kgtoGg,"ERROR"))</f>
        <v>0.45715781870545968</v>
      </c>
      <c r="AB793" s="100">
        <f>IF('Net zero activities &amp; levers'!$C$10="Off",'Activity data'!AU19*EF!$H32*kgtoGg,IF('Net zero activities &amp; levers'!$C$10="On",'Net zero Activity data'!AU19*'Net zero supporting data'!S195*kgtoGg,"ERROR"))</f>
        <v>0.43632743613629893</v>
      </c>
      <c r="AC793" s="100">
        <f>IF('Net zero activities &amp; levers'!$C$10="Off",'Activity data'!AV19*EF!$H32*kgtoGg,IF('Net zero activities &amp; levers'!$C$10="On",'Net zero Activity data'!AV19*'Net zero supporting data'!T195*kgtoGg,"ERROR"))</f>
        <v>0.41454959399214852</v>
      </c>
      <c r="AD793" s="100">
        <f>IF('Net zero activities &amp; levers'!$C$10="Off",'Activity data'!AW19*EF!$H32*kgtoGg,IF('Net zero activities &amp; levers'!$C$10="On",'Net zero Activity data'!AW19*'Net zero supporting data'!U195*kgtoGg,"ERROR"))</f>
        <v>0.41580089995532366</v>
      </c>
      <c r="AE793" s="100">
        <f>IF('Net zero activities &amp; levers'!$C$10="Off",'Activity data'!AX19*EF!$H32*kgtoGg,IF('Net zero activities &amp; levers'!$C$10="On",'Net zero Activity data'!AX19*'Net zero supporting data'!V195*kgtoGg,"ERROR"))</f>
        <v>0.41732069729841959</v>
      </c>
      <c r="AF793" s="100">
        <f>IF('Net zero activities &amp; levers'!$C$10="Off",'Activity data'!AY19*EF!$H32*kgtoGg,IF('Net zero activities &amp; levers'!$C$10="On",'Net zero Activity data'!AY19*'Net zero supporting data'!W195*kgtoGg,"ERROR"))</f>
        <v>0.41877529920738144</v>
      </c>
      <c r="AG793" s="100">
        <f>IF('Net zero activities &amp; levers'!$C$10="Off",'Activity data'!AZ19*EF!$H32*kgtoGg,IF('Net zero activities &amp; levers'!$C$10="On",'Net zero Activity data'!AZ19*'Net zero supporting data'!X195*kgtoGg,"ERROR"))</f>
        <v>0.41341782191509668</v>
      </c>
      <c r="AH793" s="100">
        <f>IF('Net zero activities &amp; levers'!$C$10="Off",'Activity data'!BA19*EF!$H32*kgtoGg,IF('Net zero activities &amp; levers'!$C$10="On",'Net zero Activity data'!BA19*'Net zero supporting data'!Y195*kgtoGg,"ERROR"))</f>
        <v>9.7140230875708541E-2</v>
      </c>
      <c r="AI793" s="100">
        <f>IF('Net zero activities &amp; levers'!$C$10="Off",'Activity data'!BB19*EF!$H32*kgtoGg,IF('Net zero activities &amp; levers'!$C$10="On",'Net zero Activity data'!BB19*'Net zero supporting data'!Z195*kgtoGg,"ERROR"))</f>
        <v>9.5919580010086658E-2</v>
      </c>
      <c r="AJ793" s="100">
        <f>IF('Net zero activities &amp; levers'!$C$10="Off",'Activity data'!BC19*EF!$H32*kgtoGg,IF('Net zero activities &amp; levers'!$C$10="On",'Net zero Activity data'!BC19*'Net zero supporting data'!AA195*kgtoGg,"ERROR"))</f>
        <v>9.4674137105230108E-2</v>
      </c>
      <c r="AK793" s="100">
        <f>IF('Net zero activities &amp; levers'!$C$10="Off",'Activity data'!BD19*EF!$H32*kgtoGg,IF('Net zero activities &amp; levers'!$C$10="On",'Net zero Activity data'!BD19*'Net zero supporting data'!AB195*kgtoGg,"ERROR"))</f>
        <v>9.3403613321085877E-2</v>
      </c>
      <c r="AL793" s="100">
        <f>IF('Net zero activities &amp; levers'!$C$10="Off",'Activity data'!BE19*EF!$H32*kgtoGg,IF('Net zero activities &amp; levers'!$C$10="On",'Net zero Activity data'!BE19*'Net zero supporting data'!AC195*kgtoGg,"ERROR"))</f>
        <v>9.2107716662958777E-2</v>
      </c>
      <c r="AM793" s="100">
        <f>IF('Net zero activities &amp; levers'!$C$10="Off",'Activity data'!BF19*EF!$H32*kgtoGg,IF('Net zero activities &amp; levers'!$C$10="On",'Net zero Activity data'!BF19*'Net zero supporting data'!AD195*kgtoGg,"ERROR"))</f>
        <v>9.0786151973623969E-2</v>
      </c>
      <c r="AN793" s="100">
        <f>IF('Net zero activities &amp; levers'!$C$10="Off",'Activity data'!BG19*EF!$H32*kgtoGg,IF('Net zero activities &amp; levers'!$C$10="On",'Net zero Activity data'!BG19*'Net zero supporting data'!AE195*kgtoGg,"ERROR"))</f>
        <v>9.137716288204363E-2</v>
      </c>
      <c r="AO793" s="100">
        <f>IF('Net zero activities &amp; levers'!$C$10="Off",'Activity data'!BH19*EF!$H32*kgtoGg,IF('Net zero activities &amp; levers'!$C$10="On",'Net zero Activity data'!BH19*'Net zero supporting data'!AF195*kgtoGg,"ERROR"))</f>
        <v>9.1971821962276976E-2</v>
      </c>
      <c r="AP793" s="100">
        <f>IF('Net zero activities &amp; levers'!$C$10="Off",'Activity data'!BI19*EF!$H32*kgtoGg,IF('Net zero activities &amp; levers'!$C$10="On",'Net zero Activity data'!BI19*'Net zero supporting data'!AG195*kgtoGg,"ERROR"))</f>
        <v>9.2570152927926461E-2</v>
      </c>
      <c r="AQ793" s="100">
        <f>IF('Net zero activities &amp; levers'!$C$10="Off",'Activity data'!BJ19*EF!$H32*kgtoGg,IF('Net zero activities &amp; levers'!$C$10="On",'Net zero Activity data'!BJ19*'Net zero supporting data'!AH195*kgtoGg,"ERROR"))</f>
        <v>9.3172179571946151E-2</v>
      </c>
      <c r="AR793" s="100">
        <f>IF('Net zero activities &amp; levers'!$C$10="Off",'Activity data'!BK19*EF!$H32*kgtoGg,IF('Net zero activities &amp; levers'!$C$10="On",'Net zero Activity data'!BK19*'Net zero supporting data'!AI195*kgtoGg,"ERROR"))</f>
        <v>9.3777925772866158E-2</v>
      </c>
      <c r="AS793" s="100">
        <f>IF('Net zero activities &amp; levers'!$C$10="Off",'Activity data'!BL19*EF!$H32*kgtoGg,IF('Net zero activities &amp; levers'!$C$10="On",'Net zero Activity data'!BL19*'Net zero supporting data'!AJ195*kgtoGg,"ERROR"))</f>
        <v>9.4279106254968742E-2</v>
      </c>
      <c r="AT793" s="100">
        <f>IF('Net zero activities &amp; levers'!$C$10="Off",'Activity data'!BM19*EF!$H32*kgtoGg,IF('Net zero activities &amp; levers'!$C$10="On",'Net zero Activity data'!BM19*'Net zero supporting data'!AK195*kgtoGg,"ERROR"))</f>
        <v>9.478282574562942E-2</v>
      </c>
      <c r="AU793" s="100">
        <f>IF('Net zero activities &amp; levers'!$C$10="Off",'Activity data'!BN19*EF!$H32*kgtoGg,IF('Net zero activities &amp; levers'!$C$10="On",'Net zero Activity data'!BN19*'Net zero supporting data'!AL195*kgtoGg,"ERROR"))</f>
        <v>9.5289098016116319E-2</v>
      </c>
      <c r="AV793" s="100">
        <f>IF('Net zero activities &amp; levers'!$C$10="Off",'Activity data'!BO19*EF!$H32*kgtoGg,IF('Net zero activities &amp; levers'!$C$10="On",'Net zero Activity data'!BO19*'Net zero supporting data'!AM195*kgtoGg,"ERROR"))</f>
        <v>9.579793686086549E-2</v>
      </c>
      <c r="AW793" s="100">
        <f>IF('Net zero activities &amp; levers'!$C$10="Off",'Activity data'!BP19*EF!$H32*kgtoGg,IF('Net zero activities &amp; levers'!$C$10="On",'Net zero Activity data'!BP19*'Net zero supporting data'!AN195*kgtoGg,"ERROR"))</f>
        <v>9.6309356101195995E-2</v>
      </c>
      <c r="AY793" s="85"/>
      <c r="AZ793" s="85"/>
    </row>
    <row r="794" spans="1:52" x14ac:dyDescent="0.25">
      <c r="A794" s="102" t="str">
        <f t="shared" si="176"/>
        <v>BD Poultry MMCH4</v>
      </c>
      <c r="B794" s="102" t="s">
        <v>1229</v>
      </c>
      <c r="C794" s="102" t="s">
        <v>1232</v>
      </c>
      <c r="D794" t="s">
        <v>15</v>
      </c>
      <c r="E794" t="s">
        <v>22</v>
      </c>
      <c r="F794" t="s">
        <v>28</v>
      </c>
      <c r="G794" t="s">
        <v>132</v>
      </c>
      <c r="H794" t="s">
        <v>1228</v>
      </c>
      <c r="I794" t="s">
        <v>121</v>
      </c>
      <c r="J794" t="s">
        <v>286</v>
      </c>
      <c r="K794" s="28">
        <f t="shared" ref="K794:AW794" si="222">K1408</f>
        <v>2.2359130252274535</v>
      </c>
      <c r="L794" s="28">
        <f t="shared" si="222"/>
        <v>2.2721966041793928</v>
      </c>
      <c r="M794" s="28">
        <f t="shared" si="222"/>
        <v>2.2829699564071859</v>
      </c>
      <c r="N794" s="28">
        <f t="shared" si="222"/>
        <v>2.2588206467778473</v>
      </c>
      <c r="O794" s="28">
        <f t="shared" si="222"/>
        <v>2.2347231893932196</v>
      </c>
      <c r="P794" s="28">
        <f t="shared" si="222"/>
        <v>2.2277310720056978</v>
      </c>
      <c r="Q794" s="28">
        <f t="shared" si="222"/>
        <v>2.2262744989012253</v>
      </c>
      <c r="R794" s="28">
        <f t="shared" si="222"/>
        <v>2.1891395906785935</v>
      </c>
      <c r="S794" s="28">
        <f t="shared" si="222"/>
        <v>1.8240868851485099</v>
      </c>
      <c r="T794" s="28">
        <f t="shared" si="222"/>
        <v>1.8778928986212129</v>
      </c>
      <c r="U794" s="28">
        <f t="shared" si="222"/>
        <v>1.9228674992863757</v>
      </c>
      <c r="V794" s="28">
        <f t="shared" si="222"/>
        <v>1.9677329744500112</v>
      </c>
      <c r="W794" s="28">
        <f t="shared" si="222"/>
        <v>2.0261043748595982</v>
      </c>
      <c r="X794" s="28">
        <f t="shared" si="222"/>
        <v>2.0843005626552618</v>
      </c>
      <c r="Y794" s="28">
        <f t="shared" si="222"/>
        <v>2.1481960991761384</v>
      </c>
      <c r="Z794" s="28">
        <f t="shared" si="222"/>
        <v>2.208679923214985</v>
      </c>
      <c r="AA794" s="28">
        <f t="shared" si="222"/>
        <v>2.2743218882510807</v>
      </c>
      <c r="AB794" s="28">
        <f t="shared" si="222"/>
        <v>2.3335097773270199</v>
      </c>
      <c r="AC794" s="28">
        <f t="shared" si="222"/>
        <v>2.3944453885765151</v>
      </c>
      <c r="AD794" s="28">
        <f t="shared" si="222"/>
        <v>2.4754243930729589</v>
      </c>
      <c r="AE794" s="28">
        <f t="shared" si="222"/>
        <v>2.5643290582437364</v>
      </c>
      <c r="AF794" s="28">
        <f t="shared" si="222"/>
        <v>2.656369337897865</v>
      </c>
      <c r="AG794" s="28">
        <f t="shared" si="222"/>
        <v>2.6461200420455202</v>
      </c>
      <c r="AH794" s="28">
        <f t="shared" si="222"/>
        <v>-2.2948520289362109</v>
      </c>
      <c r="AI794" s="28">
        <f t="shared" si="222"/>
        <v>-2.2981400819551214</v>
      </c>
      <c r="AJ794" s="28">
        <f t="shared" si="222"/>
        <v>-2.3017063755775586</v>
      </c>
      <c r="AK794" s="28">
        <f t="shared" si="222"/>
        <v>-2.3055392982644372</v>
      </c>
      <c r="AL794" s="28">
        <f t="shared" si="222"/>
        <v>-2.3096281403729781</v>
      </c>
      <c r="AM794" s="28">
        <f t="shared" si="222"/>
        <v>-2.3139630075215134</v>
      </c>
      <c r="AN794" s="28">
        <f t="shared" si="222"/>
        <v>-2.3157471615489813</v>
      </c>
      <c r="AO794" s="28">
        <f t="shared" si="222"/>
        <v>-2.3177549214936723</v>
      </c>
      <c r="AP794" s="28">
        <f t="shared" si="222"/>
        <v>-2.3199776048516689</v>
      </c>
      <c r="AQ794" s="28">
        <f t="shared" si="222"/>
        <v>-2.3224071252966718</v>
      </c>
      <c r="AR794" s="28">
        <f t="shared" si="222"/>
        <v>-2.3250359414523776</v>
      </c>
      <c r="AS794" s="28">
        <f t="shared" si="222"/>
        <v>-2.3250730145110658</v>
      </c>
      <c r="AT794" s="28">
        <f t="shared" si="222"/>
        <v>-2.3252946526138598</v>
      </c>
      <c r="AU794" s="28">
        <f t="shared" si="222"/>
        <v>-2.3256940319059596</v>
      </c>
      <c r="AV794" s="28">
        <f t="shared" si="222"/>
        <v>-2.3262647465769009</v>
      </c>
      <c r="AW794" s="28">
        <f t="shared" si="222"/>
        <v>-2.3270007763918432</v>
      </c>
      <c r="AY794" s="85"/>
      <c r="AZ794" s="85"/>
    </row>
    <row r="795" spans="1:52" x14ac:dyDescent="0.25">
      <c r="A795" s="102" t="str">
        <f t="shared" si="176"/>
        <v>BD Poultry MMCH4</v>
      </c>
      <c r="B795" s="102" t="s">
        <v>1229</v>
      </c>
      <c r="C795" s="102" t="s">
        <v>1232</v>
      </c>
      <c r="D795" t="s">
        <v>15</v>
      </c>
      <c r="E795" t="s">
        <v>22</v>
      </c>
      <c r="F795" t="s">
        <v>28</v>
      </c>
      <c r="G795" t="s">
        <v>134</v>
      </c>
      <c r="H795" t="s">
        <v>1228</v>
      </c>
      <c r="I795" t="s">
        <v>121</v>
      </c>
      <c r="J795" t="s">
        <v>286</v>
      </c>
      <c r="K795" s="28">
        <f t="shared" ref="K795:AW795" si="223">K1409</f>
        <v>2.3287695415892307E-2</v>
      </c>
      <c r="L795" s="28">
        <f t="shared" si="223"/>
        <v>2.3792006592875784E-2</v>
      </c>
      <c r="M795" s="28">
        <f t="shared" si="223"/>
        <v>2.4198359145657992E-2</v>
      </c>
      <c r="N795" s="28">
        <f t="shared" si="223"/>
        <v>2.4463864014486018E-2</v>
      </c>
      <c r="O795" s="28">
        <f t="shared" si="223"/>
        <v>2.4732972637230538E-2</v>
      </c>
      <c r="P795" s="28">
        <f t="shared" si="223"/>
        <v>2.5079904426237691E-2</v>
      </c>
      <c r="Q795" s="28">
        <f t="shared" si="223"/>
        <v>2.5450914457062126E-2</v>
      </c>
      <c r="R795" s="28">
        <f t="shared" si="223"/>
        <v>2.5666676614655742E-2</v>
      </c>
      <c r="S795" s="28">
        <f t="shared" si="223"/>
        <v>2.4425433081259044E-2</v>
      </c>
      <c r="T795" s="28">
        <f t="shared" si="223"/>
        <v>2.4949814142996823E-2</v>
      </c>
      <c r="U795" s="28">
        <f t="shared" si="223"/>
        <v>2.5439323884711679E-2</v>
      </c>
      <c r="V795" s="28">
        <f t="shared" si="223"/>
        <v>2.5932698042983617E-2</v>
      </c>
      <c r="W795" s="28">
        <f t="shared" si="223"/>
        <v>2.6492643697133385E-2</v>
      </c>
      <c r="X795" s="28">
        <f t="shared" si="223"/>
        <v>2.7057240669073435E-2</v>
      </c>
      <c r="Y795" s="28">
        <f t="shared" si="223"/>
        <v>2.7622555162509051E-2</v>
      </c>
      <c r="Z795" s="28">
        <f t="shared" si="223"/>
        <v>2.8176965865036346E-2</v>
      </c>
      <c r="AA795" s="28">
        <f t="shared" si="223"/>
        <v>2.8760838954152518E-2</v>
      </c>
      <c r="AB795" s="28">
        <f t="shared" si="223"/>
        <v>2.9319055806807104E-2</v>
      </c>
      <c r="AC795" s="28">
        <f t="shared" si="223"/>
        <v>2.9890511348844809E-2</v>
      </c>
      <c r="AD795" s="28">
        <f t="shared" si="223"/>
        <v>3.0538432433712476E-2</v>
      </c>
      <c r="AE795" s="28">
        <f t="shared" si="223"/>
        <v>3.123100856807573E-2</v>
      </c>
      <c r="AF795" s="28">
        <f t="shared" si="223"/>
        <v>3.1945373465817078E-2</v>
      </c>
      <c r="AG795" s="28">
        <f t="shared" si="223"/>
        <v>3.2158003703940202E-2</v>
      </c>
      <c r="AH795" s="28">
        <f t="shared" si="223"/>
        <v>7.7079802322364711E-3</v>
      </c>
      <c r="AI795" s="28">
        <f t="shared" si="223"/>
        <v>7.7672225791054648E-3</v>
      </c>
      <c r="AJ795" s="28">
        <f t="shared" si="223"/>
        <v>7.8268962553927103E-3</v>
      </c>
      <c r="AK795" s="28">
        <f t="shared" si="223"/>
        <v>7.8870045455527778E-3</v>
      </c>
      <c r="AL795" s="28">
        <f t="shared" si="223"/>
        <v>7.9475507489555203E-3</v>
      </c>
      <c r="AM795" s="28">
        <f t="shared" si="223"/>
        <v>8.0085381808564764E-3</v>
      </c>
      <c r="AN795" s="28">
        <f t="shared" si="223"/>
        <v>8.0606731521322347E-3</v>
      </c>
      <c r="AO795" s="28">
        <f t="shared" si="223"/>
        <v>8.1131299403660317E-3</v>
      </c>
      <c r="AP795" s="28">
        <f t="shared" si="223"/>
        <v>8.1659106374109367E-3</v>
      </c>
      <c r="AQ795" s="28">
        <f t="shared" si="223"/>
        <v>8.2190173421198831E-3</v>
      </c>
      <c r="AR795" s="28">
        <f t="shared" si="223"/>
        <v>8.2724521608947329E-3</v>
      </c>
      <c r="AS795" s="28">
        <f t="shared" si="223"/>
        <v>8.3166629016207475E-3</v>
      </c>
      <c r="AT795" s="28">
        <f t="shared" si="223"/>
        <v>8.3610976164500486E-3</v>
      </c>
      <c r="AU795" s="28">
        <f t="shared" si="223"/>
        <v>8.4057575201904496E-3</v>
      </c>
      <c r="AV795" s="28">
        <f t="shared" si="223"/>
        <v>8.4506438296934709E-3</v>
      </c>
      <c r="AW795" s="28">
        <f t="shared" si="223"/>
        <v>8.495757764182087E-3</v>
      </c>
      <c r="AY795" s="85"/>
      <c r="AZ795" s="85"/>
    </row>
    <row r="796" spans="1:52" x14ac:dyDescent="0.25">
      <c r="A796" s="102" t="str">
        <f t="shared" ref="A796:A859" si="224">B796&amp;" "&amp;C796</f>
        <v>BD Poultry MMCH4</v>
      </c>
      <c r="B796" s="102" t="s">
        <v>1229</v>
      </c>
      <c r="C796" s="102" t="s">
        <v>1232</v>
      </c>
      <c r="D796" t="s">
        <v>15</v>
      </c>
      <c r="E796" t="s">
        <v>22</v>
      </c>
      <c r="F796" t="s">
        <v>28</v>
      </c>
      <c r="G796" t="s">
        <v>133</v>
      </c>
      <c r="H796" t="s">
        <v>1228</v>
      </c>
      <c r="I796" t="s">
        <v>121</v>
      </c>
      <c r="J796" t="s">
        <v>286</v>
      </c>
      <c r="K796" s="28">
        <f t="shared" ref="K796:AW796" si="225">K1410</f>
        <v>9.3163042717810632E-2</v>
      </c>
      <c r="L796" s="28">
        <f t="shared" si="225"/>
        <v>9.4674858507474813E-2</v>
      </c>
      <c r="M796" s="28">
        <f t="shared" si="225"/>
        <v>9.5123748183632839E-2</v>
      </c>
      <c r="N796" s="28">
        <f t="shared" si="225"/>
        <v>9.411752694907706E-2</v>
      </c>
      <c r="O796" s="28">
        <f t="shared" si="225"/>
        <v>9.3113466224717556E-2</v>
      </c>
      <c r="P796" s="28">
        <f t="shared" si="225"/>
        <v>9.2822128000237508E-2</v>
      </c>
      <c r="Q796" s="28">
        <f t="shared" si="225"/>
        <v>9.2761437454217818E-2</v>
      </c>
      <c r="R796" s="28">
        <f t="shared" si="225"/>
        <v>9.1214149611608147E-2</v>
      </c>
      <c r="S796" s="28">
        <f t="shared" si="225"/>
        <v>7.6003620214521325E-2</v>
      </c>
      <c r="T796" s="28">
        <f t="shared" si="225"/>
        <v>7.8245537442550611E-2</v>
      </c>
      <c r="U796" s="28">
        <f t="shared" si="225"/>
        <v>8.0119479136932389E-2</v>
      </c>
      <c r="V796" s="28">
        <f t="shared" si="225"/>
        <v>8.1988873935417206E-2</v>
      </c>
      <c r="W796" s="28">
        <f t="shared" si="225"/>
        <v>8.4421015619150011E-2</v>
      </c>
      <c r="X796" s="28">
        <f t="shared" si="225"/>
        <v>8.6845856777302652E-2</v>
      </c>
      <c r="Y796" s="28">
        <f t="shared" si="225"/>
        <v>8.9508170799005846E-2</v>
      </c>
      <c r="Z796" s="28">
        <f t="shared" si="225"/>
        <v>9.2028330133957781E-2</v>
      </c>
      <c r="AA796" s="28">
        <f t="shared" si="225"/>
        <v>9.4763412010461776E-2</v>
      </c>
      <c r="AB796" s="28">
        <f t="shared" si="225"/>
        <v>9.7229574055292575E-2</v>
      </c>
      <c r="AC796" s="28">
        <f t="shared" si="225"/>
        <v>9.9768557857354889E-2</v>
      </c>
      <c r="AD796" s="28">
        <f t="shared" si="225"/>
        <v>0.10314268304470672</v>
      </c>
      <c r="AE796" s="28">
        <f t="shared" si="225"/>
        <v>0.10684704409348912</v>
      </c>
      <c r="AF796" s="28">
        <f t="shared" si="225"/>
        <v>0.11068205574574447</v>
      </c>
      <c r="AG796" s="28">
        <f t="shared" si="225"/>
        <v>0.11025500175189677</v>
      </c>
      <c r="AH796" s="28">
        <f t="shared" si="225"/>
        <v>-9.5618834539008879E-2</v>
      </c>
      <c r="AI796" s="28">
        <f t="shared" si="225"/>
        <v>-9.5755836748130152E-2</v>
      </c>
      <c r="AJ796" s="28">
        <f t="shared" si="225"/>
        <v>-9.5904432315731702E-2</v>
      </c>
      <c r="AK796" s="28">
        <f t="shared" si="225"/>
        <v>-9.6064137427684965E-2</v>
      </c>
      <c r="AL796" s="28">
        <f t="shared" si="225"/>
        <v>-9.6234505848874163E-2</v>
      </c>
      <c r="AM796" s="28">
        <f t="shared" si="225"/>
        <v>-9.641512531339648E-2</v>
      </c>
      <c r="AN796" s="28">
        <f t="shared" si="225"/>
        <v>-9.6489465064540994E-2</v>
      </c>
      <c r="AO796" s="28">
        <f t="shared" si="225"/>
        <v>-9.6573121728903102E-2</v>
      </c>
      <c r="AP796" s="28">
        <f t="shared" si="225"/>
        <v>-9.6665733535486312E-2</v>
      </c>
      <c r="AQ796" s="28">
        <f t="shared" si="225"/>
        <v>-9.6766963554028085E-2</v>
      </c>
      <c r="AR796" s="28">
        <f t="shared" si="225"/>
        <v>-9.6876497560515806E-2</v>
      </c>
      <c r="AS796" s="28">
        <f t="shared" si="225"/>
        <v>-9.6878042271294512E-2</v>
      </c>
      <c r="AT796" s="28">
        <f t="shared" si="225"/>
        <v>-9.6887277192244256E-2</v>
      </c>
      <c r="AU796" s="28">
        <f t="shared" si="225"/>
        <v>-9.6903917996081751E-2</v>
      </c>
      <c r="AV796" s="28">
        <f t="shared" si="225"/>
        <v>-9.6927697774037633E-2</v>
      </c>
      <c r="AW796" s="28">
        <f t="shared" si="225"/>
        <v>-9.6958365682993541E-2</v>
      </c>
      <c r="AY796" s="85"/>
      <c r="AZ796" s="85"/>
    </row>
    <row r="797" spans="1:52" x14ac:dyDescent="0.25">
      <c r="A797" s="102" t="str">
        <f t="shared" si="224"/>
        <v>BD Cattle MMN2O</v>
      </c>
      <c r="B797" s="102" t="s">
        <v>1229</v>
      </c>
      <c r="C797" s="102" t="s">
        <v>1233</v>
      </c>
      <c r="D797" t="s">
        <v>15</v>
      </c>
      <c r="E797" t="s">
        <v>657</v>
      </c>
      <c r="F797" t="s">
        <v>6</v>
      </c>
      <c r="G797" t="s">
        <v>136</v>
      </c>
      <c r="H797" t="s">
        <v>1228</v>
      </c>
      <c r="I797" t="s">
        <v>139</v>
      </c>
      <c r="J797" t="s">
        <v>287</v>
      </c>
      <c r="K797" s="28">
        <f t="shared" ref="K797:AW797" si="226">K1411</f>
        <v>5.9581863535910565E-2</v>
      </c>
      <c r="L797" s="28">
        <f t="shared" si="226"/>
        <v>5.9952472777501202E-2</v>
      </c>
      <c r="M797" s="28">
        <f t="shared" si="226"/>
        <v>6.0207271736418301E-2</v>
      </c>
      <c r="N797" s="28">
        <f t="shared" si="226"/>
        <v>6.0287180440683194E-2</v>
      </c>
      <c r="O797" s="28">
        <f t="shared" si="226"/>
        <v>6.0395284993714014E-2</v>
      </c>
      <c r="P797" s="28">
        <f t="shared" si="226"/>
        <v>6.0632075036082048E-2</v>
      </c>
      <c r="Q797" s="28">
        <f t="shared" si="226"/>
        <v>6.0915962278620638E-2</v>
      </c>
      <c r="R797" s="28">
        <f t="shared" si="226"/>
        <v>6.1001244967563928E-2</v>
      </c>
      <c r="S797" s="28">
        <f t="shared" si="226"/>
        <v>5.9128520448870917E-2</v>
      </c>
      <c r="T797" s="28">
        <f t="shared" si="226"/>
        <v>5.961554215328714E-2</v>
      </c>
      <c r="U797" s="28">
        <f t="shared" si="226"/>
        <v>6.0062127225246474E-2</v>
      </c>
      <c r="V797" s="28">
        <f t="shared" si="226"/>
        <v>6.0520025735654244E-2</v>
      </c>
      <c r="W797" s="28">
        <f t="shared" si="226"/>
        <v>6.107162678051329E-2</v>
      </c>
      <c r="X797" s="28">
        <f t="shared" si="226"/>
        <v>6.1633578287442058E-2</v>
      </c>
      <c r="Y797" s="28">
        <f t="shared" si="226"/>
        <v>6.2180760814939798E-2</v>
      </c>
      <c r="Z797" s="28">
        <f t="shared" si="226"/>
        <v>6.2716996536282391E-2</v>
      </c>
      <c r="AA797" s="28">
        <f t="shared" si="226"/>
        <v>6.3294581219461896E-2</v>
      </c>
      <c r="AB797" s="28">
        <f t="shared" si="226"/>
        <v>6.3841542561015929E-2</v>
      </c>
      <c r="AC797" s="28">
        <f t="shared" si="226"/>
        <v>6.4408123024693842E-2</v>
      </c>
      <c r="AD797" s="28">
        <f t="shared" si="226"/>
        <v>6.5059072276654292E-2</v>
      </c>
      <c r="AE797" s="28">
        <f t="shared" si="226"/>
        <v>6.5768024439382053E-2</v>
      </c>
      <c r="AF797" s="28">
        <f t="shared" si="226"/>
        <v>6.6505116559025759E-2</v>
      </c>
      <c r="AG797" s="28">
        <f t="shared" si="226"/>
        <v>6.6608077063784327E-2</v>
      </c>
      <c r="AH797" s="28">
        <f t="shared" si="226"/>
        <v>3.5661314599783112E-2</v>
      </c>
      <c r="AI797" s="28">
        <f t="shared" si="226"/>
        <v>3.5687543278982381E-2</v>
      </c>
      <c r="AJ797" s="28">
        <f t="shared" si="226"/>
        <v>3.5717217411916767E-2</v>
      </c>
      <c r="AK797" s="28">
        <f t="shared" si="226"/>
        <v>3.5750206038134905E-2</v>
      </c>
      <c r="AL797" s="28">
        <f t="shared" si="226"/>
        <v>3.5786388283243133E-2</v>
      </c>
      <c r="AM797" s="28">
        <f t="shared" si="226"/>
        <v>3.5825652402917518E-2</v>
      </c>
      <c r="AN797" s="28">
        <f t="shared" si="226"/>
        <v>3.5842556779576207E-2</v>
      </c>
      <c r="AO797" s="28">
        <f t="shared" si="226"/>
        <v>3.5862175171675115E-2</v>
      </c>
      <c r="AP797" s="28">
        <f t="shared" si="226"/>
        <v>3.588441278699845E-2</v>
      </c>
      <c r="AQ797" s="28">
        <f t="shared" si="226"/>
        <v>3.5909181301646116E-2</v>
      </c>
      <c r="AR797" s="28">
        <f t="shared" si="226"/>
        <v>3.5936398311145284E-2</v>
      </c>
      <c r="AS797" s="28">
        <f t="shared" si="226"/>
        <v>3.5940375653704157E-2</v>
      </c>
      <c r="AT797" s="28">
        <f t="shared" si="226"/>
        <v>3.5946523647611327E-2</v>
      </c>
      <c r="AU797" s="28">
        <f t="shared" si="226"/>
        <v>3.5954770346244613E-2</v>
      </c>
      <c r="AV797" s="28">
        <f t="shared" si="226"/>
        <v>3.5965048185906283E-2</v>
      </c>
      <c r="AW797" s="28">
        <f t="shared" si="226"/>
        <v>3.5977293649132408E-2</v>
      </c>
      <c r="AY797" s="85"/>
      <c r="AZ797" s="85"/>
    </row>
    <row r="798" spans="1:52" x14ac:dyDescent="0.25">
      <c r="A798" s="102" t="str">
        <f t="shared" si="224"/>
        <v>BD Cattle MMN2O</v>
      </c>
      <c r="B798" s="102" t="s">
        <v>1229</v>
      </c>
      <c r="C798" s="102" t="s">
        <v>1233</v>
      </c>
      <c r="D798" t="s">
        <v>15</v>
      </c>
      <c r="E798" t="s">
        <v>657</v>
      </c>
      <c r="F798" t="s">
        <v>6</v>
      </c>
      <c r="G798" t="s">
        <v>137</v>
      </c>
      <c r="H798" t="s">
        <v>1228</v>
      </c>
      <c r="I798" t="s">
        <v>139</v>
      </c>
      <c r="J798" t="s">
        <v>287</v>
      </c>
      <c r="K798" s="28">
        <f t="shared" ref="K798:AW798" si="227">K1412</f>
        <v>0.26088706231871722</v>
      </c>
      <c r="L798" s="28">
        <f t="shared" si="227"/>
        <v>0.2625098238533321</v>
      </c>
      <c r="M798" s="28">
        <f t="shared" si="227"/>
        <v>0.26362549476271357</v>
      </c>
      <c r="N798" s="28">
        <f t="shared" si="227"/>
        <v>0.2639753855830434</v>
      </c>
      <c r="O798" s="28">
        <f t="shared" si="227"/>
        <v>0.26444873565284266</v>
      </c>
      <c r="P798" s="28">
        <f t="shared" si="227"/>
        <v>0.26548555214151259</v>
      </c>
      <c r="Q798" s="28">
        <f t="shared" si="227"/>
        <v>0.26672858994429993</v>
      </c>
      <c r="R798" s="28">
        <f t="shared" si="227"/>
        <v>0.26710201146663365</v>
      </c>
      <c r="S798" s="28">
        <f t="shared" si="227"/>
        <v>0.2589020397097988</v>
      </c>
      <c r="T798" s="28">
        <f t="shared" si="227"/>
        <v>0.26103452859501175</v>
      </c>
      <c r="U798" s="28">
        <f t="shared" si="227"/>
        <v>0.26298996034193323</v>
      </c>
      <c r="V798" s="28">
        <f t="shared" si="227"/>
        <v>0.26499492947399811</v>
      </c>
      <c r="W798" s="28">
        <f t="shared" si="227"/>
        <v>0.26741018753450635</v>
      </c>
      <c r="X798" s="28">
        <f t="shared" si="227"/>
        <v>0.26987076646084124</v>
      </c>
      <c r="Y798" s="28">
        <f t="shared" si="227"/>
        <v>0.27226667745924399</v>
      </c>
      <c r="Z798" s="28">
        <f t="shared" si="227"/>
        <v>0.27461465642044425</v>
      </c>
      <c r="AA798" s="28">
        <f t="shared" si="227"/>
        <v>0.27714368727467675</v>
      </c>
      <c r="AB798" s="28">
        <f t="shared" si="227"/>
        <v>0.2795386297811987</v>
      </c>
      <c r="AC798" s="28">
        <f t="shared" si="227"/>
        <v>0.2820194772063051</v>
      </c>
      <c r="AD798" s="28">
        <f t="shared" si="227"/>
        <v>0.28486974451894415</v>
      </c>
      <c r="AE798" s="28">
        <f t="shared" si="227"/>
        <v>0.28797398524057027</v>
      </c>
      <c r="AF798" s="28">
        <f t="shared" si="227"/>
        <v>0.2912014404818154</v>
      </c>
      <c r="AG798" s="28">
        <f t="shared" si="227"/>
        <v>0.29165226665654759</v>
      </c>
      <c r="AH798" s="28">
        <f t="shared" si="227"/>
        <v>0.1561477780693053</v>
      </c>
      <c r="AI798" s="28">
        <f t="shared" si="227"/>
        <v>0.15626262380689576</v>
      </c>
      <c r="AJ798" s="28">
        <f t="shared" si="227"/>
        <v>0.1563925559189292</v>
      </c>
      <c r="AK798" s="28">
        <f t="shared" si="227"/>
        <v>0.1565370009777648</v>
      </c>
      <c r="AL798" s="28">
        <f t="shared" si="227"/>
        <v>0.15669542971889827</v>
      </c>
      <c r="AM798" s="28">
        <f t="shared" si="227"/>
        <v>0.156867352855042</v>
      </c>
      <c r="AN798" s="28">
        <f t="shared" si="227"/>
        <v>0.15694137090189544</v>
      </c>
      <c r="AO798" s="28">
        <f t="shared" si="227"/>
        <v>0.15702727262396923</v>
      </c>
      <c r="AP798" s="28">
        <f t="shared" si="227"/>
        <v>0.15712464296102122</v>
      </c>
      <c r="AQ798" s="28">
        <f t="shared" si="227"/>
        <v>0.15723309517518419</v>
      </c>
      <c r="AR798" s="28">
        <f t="shared" si="227"/>
        <v>0.15735226844758546</v>
      </c>
      <c r="AS798" s="28">
        <f t="shared" si="227"/>
        <v>0.15736968376752411</v>
      </c>
      <c r="AT798" s="28">
        <f t="shared" si="227"/>
        <v>0.15739660357120949</v>
      </c>
      <c r="AU798" s="28">
        <f t="shared" si="227"/>
        <v>0.15743271283084972</v>
      </c>
      <c r="AV798" s="28">
        <f t="shared" si="227"/>
        <v>0.15747771570986671</v>
      </c>
      <c r="AW798" s="28">
        <f t="shared" si="227"/>
        <v>0.15753133408865197</v>
      </c>
      <c r="AY798" s="85"/>
      <c r="AZ798" s="85"/>
    </row>
    <row r="799" spans="1:52" x14ac:dyDescent="0.25">
      <c r="A799" s="102" t="str">
        <f t="shared" si="224"/>
        <v>BD Cattle MMN2O</v>
      </c>
      <c r="B799" s="102" t="s">
        <v>1229</v>
      </c>
      <c r="C799" s="102" t="s">
        <v>1233</v>
      </c>
      <c r="D799" t="s">
        <v>15</v>
      </c>
      <c r="E799" t="s">
        <v>657</v>
      </c>
      <c r="F799" t="s">
        <v>67</v>
      </c>
      <c r="G799" t="s">
        <v>307</v>
      </c>
      <c r="H799" t="s">
        <v>1228</v>
      </c>
      <c r="I799" t="s">
        <v>139</v>
      </c>
      <c r="J799" t="s">
        <v>287</v>
      </c>
      <c r="K799" s="28">
        <f t="shared" ref="K799:AW799" si="228">K1413</f>
        <v>1.1607933720950987E-2</v>
      </c>
      <c r="L799" s="28">
        <f t="shared" si="228"/>
        <v>1.1680137026746603E-2</v>
      </c>
      <c r="M799" s="28">
        <f t="shared" si="228"/>
        <v>1.1729777794116936E-2</v>
      </c>
      <c r="N799" s="28">
        <f t="shared" si="228"/>
        <v>1.1745345869497372E-2</v>
      </c>
      <c r="O799" s="28">
        <f t="shared" si="228"/>
        <v>1.1766407152445642E-2</v>
      </c>
      <c r="P799" s="28">
        <f t="shared" si="228"/>
        <v>1.1812539363733939E-2</v>
      </c>
      <c r="Q799" s="28">
        <f t="shared" si="228"/>
        <v>1.186784720575243E-2</v>
      </c>
      <c r="R799" s="28">
        <f t="shared" si="228"/>
        <v>1.1884462258421965E-2</v>
      </c>
      <c r="S799" s="28">
        <f t="shared" si="228"/>
        <v>1.1519611936520126E-2</v>
      </c>
      <c r="T799" s="28">
        <f t="shared" si="228"/>
        <v>1.1614495099449744E-2</v>
      </c>
      <c r="U799" s="28">
        <f t="shared" si="228"/>
        <v>1.1701500265257389E-2</v>
      </c>
      <c r="V799" s="28">
        <f t="shared" si="228"/>
        <v>1.1790709552182964E-2</v>
      </c>
      <c r="W799" s="28">
        <f t="shared" si="228"/>
        <v>1.189817427364593E-2</v>
      </c>
      <c r="X799" s="28">
        <f t="shared" si="228"/>
        <v>1.2007655506016015E-2</v>
      </c>
      <c r="Y799" s="28">
        <f t="shared" si="228"/>
        <v>1.2114259397460733E-2</v>
      </c>
      <c r="Z799" s="28">
        <f t="shared" si="228"/>
        <v>1.221873059629122E-2</v>
      </c>
      <c r="AA799" s="28">
        <f t="shared" si="228"/>
        <v>1.2331257535240406E-2</v>
      </c>
      <c r="AB799" s="28">
        <f t="shared" si="228"/>
        <v>1.2437818334515426E-2</v>
      </c>
      <c r="AC799" s="28">
        <f t="shared" si="228"/>
        <v>1.2548201395394263E-2</v>
      </c>
      <c r="AD799" s="28">
        <f t="shared" si="228"/>
        <v>1.2675021459823859E-2</v>
      </c>
      <c r="AE799" s="28">
        <f t="shared" si="228"/>
        <v>1.2813141841226641E-2</v>
      </c>
      <c r="AF799" s="28">
        <f t="shared" si="228"/>
        <v>1.2956744541164057E-2</v>
      </c>
      <c r="AG799" s="28">
        <f t="shared" si="228"/>
        <v>1.2976803643786663E-2</v>
      </c>
      <c r="AH799" s="28">
        <f t="shared" si="228"/>
        <v>6.9476540629980453E-3</v>
      </c>
      <c r="AI799" s="28">
        <f t="shared" si="228"/>
        <v>6.9527640201505212E-3</v>
      </c>
      <c r="AJ799" s="28">
        <f t="shared" si="228"/>
        <v>6.9585452318798495E-3</v>
      </c>
      <c r="AK799" s="28">
        <f t="shared" si="228"/>
        <v>6.9649721840421407E-3</v>
      </c>
      <c r="AL799" s="28">
        <f t="shared" si="228"/>
        <v>6.9720213274922825E-3</v>
      </c>
      <c r="AM799" s="28">
        <f t="shared" si="228"/>
        <v>6.9796708918352492E-3</v>
      </c>
      <c r="AN799" s="28">
        <f t="shared" si="228"/>
        <v>6.9829642578396519E-3</v>
      </c>
      <c r="AO799" s="28">
        <f t="shared" si="228"/>
        <v>6.986786377217614E-3</v>
      </c>
      <c r="AP799" s="28">
        <f t="shared" si="228"/>
        <v>6.9911187822393143E-3</v>
      </c>
      <c r="AQ799" s="28">
        <f t="shared" si="228"/>
        <v>6.9959442653533691E-3</v>
      </c>
      <c r="AR799" s="28">
        <f t="shared" si="228"/>
        <v>7.0012467722505977E-3</v>
      </c>
      <c r="AS799" s="28">
        <f t="shared" si="228"/>
        <v>7.0020216511494588E-3</v>
      </c>
      <c r="AT799" s="28">
        <f t="shared" si="228"/>
        <v>7.00321942345056E-3</v>
      </c>
      <c r="AU799" s="28">
        <f t="shared" si="228"/>
        <v>7.0048260722774189E-3</v>
      </c>
      <c r="AV799" s="28">
        <f t="shared" si="228"/>
        <v>7.0068284346492373E-3</v>
      </c>
      <c r="AW799" s="28">
        <f t="shared" si="228"/>
        <v>7.0092141358857468E-3</v>
      </c>
      <c r="AY799" s="85"/>
      <c r="AZ799" s="85"/>
    </row>
    <row r="800" spans="1:52" x14ac:dyDescent="0.25">
      <c r="A800" s="102" t="str">
        <f t="shared" si="224"/>
        <v>BD Cattle MMN2O</v>
      </c>
      <c r="B800" s="102" t="s">
        <v>1229</v>
      </c>
      <c r="C800" s="102" t="s">
        <v>1233</v>
      </c>
      <c r="D800" t="s">
        <v>15</v>
      </c>
      <c r="E800" t="s">
        <v>657</v>
      </c>
      <c r="F800" t="s">
        <v>67</v>
      </c>
      <c r="G800" t="s">
        <v>122</v>
      </c>
      <c r="H800" t="s">
        <v>1228</v>
      </c>
      <c r="I800" t="s">
        <v>139</v>
      </c>
      <c r="J800" t="s">
        <v>287</v>
      </c>
      <c r="K800" s="28">
        <f t="shared" ref="K800:AW800" si="229">K1414</f>
        <v>0.52988033061170758</v>
      </c>
      <c r="L800" s="28">
        <f t="shared" si="229"/>
        <v>0.52636805175151047</v>
      </c>
      <c r="M800" s="28">
        <f t="shared" si="229"/>
        <v>0.51896264714173934</v>
      </c>
      <c r="N800" s="28">
        <f t="shared" si="229"/>
        <v>0.50647981142977161</v>
      </c>
      <c r="O800" s="28">
        <f t="shared" si="229"/>
        <v>0.4943686614451126</v>
      </c>
      <c r="P800" s="28">
        <f t="shared" si="229"/>
        <v>0.48505348723916247</v>
      </c>
      <c r="Q800" s="28">
        <f t="shared" si="229"/>
        <v>0.47662784045454271</v>
      </c>
      <c r="R800" s="28">
        <f t="shared" si="229"/>
        <v>0.46338055897739389</v>
      </c>
      <c r="S800" s="28">
        <f t="shared" si="229"/>
        <v>0.40641283743592205</v>
      </c>
      <c r="T800" s="28">
        <f t="shared" si="229"/>
        <v>0.41028660340184542</v>
      </c>
      <c r="U800" s="28">
        <f t="shared" si="229"/>
        <v>0.41290787540039242</v>
      </c>
      <c r="V800" s="28">
        <f t="shared" si="229"/>
        <v>0.41544388868051429</v>
      </c>
      <c r="W800" s="28">
        <f t="shared" si="229"/>
        <v>0.41963784467016801</v>
      </c>
      <c r="X800" s="28">
        <f t="shared" si="229"/>
        <v>0.42369357816507769</v>
      </c>
      <c r="Y800" s="28">
        <f t="shared" si="229"/>
        <v>0.42795148955175888</v>
      </c>
      <c r="Z800" s="28">
        <f t="shared" si="229"/>
        <v>0.43165837799817441</v>
      </c>
      <c r="AA800" s="28">
        <f t="shared" si="229"/>
        <v>0.43587731971405297</v>
      </c>
      <c r="AB800" s="28">
        <f t="shared" si="229"/>
        <v>0.43917878455229692</v>
      </c>
      <c r="AC800" s="28">
        <f t="shared" si="229"/>
        <v>0.44257083604017933</v>
      </c>
      <c r="AD800" s="28">
        <f t="shared" si="229"/>
        <v>0.44415072955507112</v>
      </c>
      <c r="AE800" s="28">
        <f t="shared" si="229"/>
        <v>0.44631708410431642</v>
      </c>
      <c r="AF800" s="28">
        <f t="shared" si="229"/>
        <v>0.44847507790025098</v>
      </c>
      <c r="AG800" s="28">
        <f t="shared" si="229"/>
        <v>0.43896382192914674</v>
      </c>
      <c r="AH800" s="28">
        <f t="shared" si="229"/>
        <v>-0.10354549398732707</v>
      </c>
      <c r="AI800" s="28">
        <f t="shared" si="229"/>
        <v>-0.10114359865651981</v>
      </c>
      <c r="AJ800" s="28">
        <f t="shared" si="229"/>
        <v>-9.8779900999145701E-2</v>
      </c>
      <c r="AK800" s="28">
        <f t="shared" si="229"/>
        <v>-9.645240042559923E-2</v>
      </c>
      <c r="AL800" s="28">
        <f t="shared" si="229"/>
        <v>-9.4159234659003305E-2</v>
      </c>
      <c r="AM800" s="28">
        <f t="shared" si="229"/>
        <v>-9.1898666918572763E-2</v>
      </c>
      <c r="AN800" s="28">
        <f t="shared" si="229"/>
        <v>-9.0065857844413774E-2</v>
      </c>
      <c r="AO800" s="28">
        <f t="shared" si="229"/>
        <v>-8.8260731137636633E-2</v>
      </c>
      <c r="AP800" s="28">
        <f t="shared" si="229"/>
        <v>-8.6482032370585105E-2</v>
      </c>
      <c r="AQ800" s="28">
        <f t="shared" si="229"/>
        <v>-8.4728585134525733E-2</v>
      </c>
      <c r="AR800" s="28">
        <f t="shared" si="229"/>
        <v>-8.2999284570590512E-2</v>
      </c>
      <c r="AS800" s="28">
        <f t="shared" si="229"/>
        <v>-8.1237842076259073E-2</v>
      </c>
      <c r="AT800" s="28">
        <f t="shared" si="229"/>
        <v>-7.9500621662589185E-2</v>
      </c>
      <c r="AU800" s="28">
        <f t="shared" si="229"/>
        <v>-7.7786670470567892E-2</v>
      </c>
      <c r="AV800" s="28">
        <f t="shared" si="229"/>
        <v>-7.609508917583023E-2</v>
      </c>
      <c r="AW800" s="28">
        <f t="shared" si="229"/>
        <v>-7.4425027988165984E-2</v>
      </c>
      <c r="AY800" s="85"/>
      <c r="AZ800" s="85"/>
    </row>
    <row r="801" spans="1:52" x14ac:dyDescent="0.25">
      <c r="A801" s="102" t="str">
        <f t="shared" si="224"/>
        <v>BD Cattle MMN2O</v>
      </c>
      <c r="B801" s="102" t="s">
        <v>1229</v>
      </c>
      <c r="C801" s="102" t="s">
        <v>1233</v>
      </c>
      <c r="D801" t="s">
        <v>15</v>
      </c>
      <c r="E801" t="s">
        <v>657</v>
      </c>
      <c r="F801" t="s">
        <v>67</v>
      </c>
      <c r="G801" t="s">
        <v>123</v>
      </c>
      <c r="H801" t="s">
        <v>1228</v>
      </c>
      <c r="I801" t="s">
        <v>139</v>
      </c>
      <c r="J801" t="s">
        <v>287</v>
      </c>
      <c r="K801" s="28">
        <f t="shared" ref="K801:AW801" si="230">K1415</f>
        <v>0.81161466909134916</v>
      </c>
      <c r="L801" s="28">
        <f t="shared" si="230"/>
        <v>0.80623493166726978</v>
      </c>
      <c r="M801" s="28">
        <f t="shared" si="230"/>
        <v>0.79489211581881503</v>
      </c>
      <c r="N801" s="28">
        <f t="shared" si="230"/>
        <v>0.77577222781694366</v>
      </c>
      <c r="O801" s="28">
        <f t="shared" si="230"/>
        <v>0.75722164871587128</v>
      </c>
      <c r="P801" s="28">
        <f t="shared" si="230"/>
        <v>0.74295364970944966</v>
      </c>
      <c r="Q801" s="28">
        <f t="shared" si="230"/>
        <v>0.73004813476216801</v>
      </c>
      <c r="R801" s="28">
        <f t="shared" si="230"/>
        <v>0.7097573495578483</v>
      </c>
      <c r="S801" s="28">
        <f t="shared" si="230"/>
        <v>0.62250021658521282</v>
      </c>
      <c r="T801" s="28">
        <f t="shared" si="230"/>
        <v>0.62843364173979577</v>
      </c>
      <c r="U801" s="28">
        <f t="shared" si="230"/>
        <v>0.63244862905446586</v>
      </c>
      <c r="V801" s="28">
        <f t="shared" si="230"/>
        <v>0.63633302607818865</v>
      </c>
      <c r="W801" s="28">
        <f t="shared" si="230"/>
        <v>0.64275688445918766</v>
      </c>
      <c r="X801" s="28">
        <f t="shared" si="230"/>
        <v>0.64896902823624347</v>
      </c>
      <c r="Y801" s="28">
        <f t="shared" si="230"/>
        <v>0.65549084673275582</v>
      </c>
      <c r="Z801" s="28">
        <f t="shared" si="230"/>
        <v>0.66116866654600104</v>
      </c>
      <c r="AA801" s="28">
        <f t="shared" si="230"/>
        <v>0.66763079542082715</v>
      </c>
      <c r="AB801" s="28">
        <f t="shared" si="230"/>
        <v>0.67268763021428868</v>
      </c>
      <c r="AC801" s="28">
        <f t="shared" si="230"/>
        <v>0.67788321606043689</v>
      </c>
      <c r="AD801" s="28">
        <f t="shared" si="230"/>
        <v>0.68030312991307629</v>
      </c>
      <c r="AE801" s="28">
        <f t="shared" si="230"/>
        <v>0.68362132277483145</v>
      </c>
      <c r="AF801" s="28">
        <f t="shared" si="230"/>
        <v>0.68692670951860213</v>
      </c>
      <c r="AG801" s="28">
        <f t="shared" si="230"/>
        <v>0.67235837319496583</v>
      </c>
      <c r="AH801" s="28">
        <f t="shared" si="230"/>
        <v>-0.1586000403929089</v>
      </c>
      <c r="AI801" s="28">
        <f t="shared" si="230"/>
        <v>-0.15492107106439137</v>
      </c>
      <c r="AJ801" s="28">
        <f t="shared" si="230"/>
        <v>-0.15130060889360838</v>
      </c>
      <c r="AK801" s="28">
        <f t="shared" si="230"/>
        <v>-0.14773558958891347</v>
      </c>
      <c r="AL801" s="28">
        <f t="shared" si="230"/>
        <v>-0.14422316071147476</v>
      </c>
      <c r="AM801" s="28">
        <f t="shared" si="230"/>
        <v>-0.1407606620441057</v>
      </c>
      <c r="AN801" s="28">
        <f t="shared" si="230"/>
        <v>-0.1379533588771549</v>
      </c>
      <c r="AO801" s="28">
        <f t="shared" si="230"/>
        <v>-0.13518845663385484</v>
      </c>
      <c r="AP801" s="28">
        <f t="shared" si="230"/>
        <v>-0.13246403391454542</v>
      </c>
      <c r="AQ801" s="28">
        <f t="shared" si="230"/>
        <v>-0.12977828882070402</v>
      </c>
      <c r="AR801" s="28">
        <f t="shared" si="230"/>
        <v>-0.12712952904632721</v>
      </c>
      <c r="AS801" s="28">
        <f t="shared" si="230"/>
        <v>-0.12443153766115941</v>
      </c>
      <c r="AT801" s="28">
        <f t="shared" si="230"/>
        <v>-0.12177064709828132</v>
      </c>
      <c r="AU801" s="28">
        <f t="shared" si="230"/>
        <v>-0.11914539786899743</v>
      </c>
      <c r="AV801" s="28">
        <f t="shared" si="230"/>
        <v>-0.11655441248332606</v>
      </c>
      <c r="AW801" s="28">
        <f t="shared" si="230"/>
        <v>-0.11399638932246699</v>
      </c>
      <c r="AY801" s="85"/>
      <c r="AZ801" s="85"/>
    </row>
    <row r="802" spans="1:52" x14ac:dyDescent="0.25">
      <c r="A802" s="102" t="str">
        <f t="shared" si="224"/>
        <v>BD Cattle MMN2O</v>
      </c>
      <c r="B802" s="102" t="s">
        <v>1229</v>
      </c>
      <c r="C802" s="102" t="s">
        <v>1233</v>
      </c>
      <c r="D802" t="s">
        <v>15</v>
      </c>
      <c r="E802" t="s">
        <v>657</v>
      </c>
      <c r="F802" t="s">
        <v>67</v>
      </c>
      <c r="G802" t="s">
        <v>135</v>
      </c>
      <c r="H802" t="s">
        <v>1228</v>
      </c>
      <c r="I802" t="s">
        <v>139</v>
      </c>
      <c r="J802" t="s">
        <v>287</v>
      </c>
      <c r="K802" s="28">
        <f t="shared" ref="K802:AW802" si="231">K1416</f>
        <v>0.98462431665992833</v>
      </c>
      <c r="L802" s="28">
        <f t="shared" si="231"/>
        <v>1.0196918835505078</v>
      </c>
      <c r="M802" s="28">
        <f t="shared" si="231"/>
        <v>1.0475259814074214</v>
      </c>
      <c r="N802" s="28">
        <f t="shared" si="231"/>
        <v>1.0647388767946648</v>
      </c>
      <c r="O802" s="28">
        <f t="shared" si="231"/>
        <v>1.0819877052462501</v>
      </c>
      <c r="P802" s="28">
        <f t="shared" si="231"/>
        <v>1.1048938649963369</v>
      </c>
      <c r="Q802" s="28">
        <f t="shared" si="231"/>
        <v>1.1297091115066857</v>
      </c>
      <c r="R802" s="28">
        <f t="shared" si="231"/>
        <v>1.142623258953418</v>
      </c>
      <c r="S802" s="28">
        <f t="shared" si="231"/>
        <v>1.0424500724104675</v>
      </c>
      <c r="T802" s="28">
        <f t="shared" si="231"/>
        <v>1.0775354748112338</v>
      </c>
      <c r="U802" s="28">
        <f t="shared" si="231"/>
        <v>1.1099789671042184</v>
      </c>
      <c r="V802" s="28">
        <f t="shared" si="231"/>
        <v>1.1427845071049993</v>
      </c>
      <c r="W802" s="28">
        <f t="shared" si="231"/>
        <v>1.1808667721174206</v>
      </c>
      <c r="X802" s="28">
        <f t="shared" si="231"/>
        <v>1.219399784150359</v>
      </c>
      <c r="Y802" s="28">
        <f t="shared" si="231"/>
        <v>1.2593873285345614</v>
      </c>
      <c r="Z802" s="28">
        <f t="shared" si="231"/>
        <v>1.2986321214759353</v>
      </c>
      <c r="AA802" s="28">
        <f t="shared" si="231"/>
        <v>1.3403229537470696</v>
      </c>
      <c r="AB802" s="28">
        <f t="shared" si="231"/>
        <v>1.3800999976091688</v>
      </c>
      <c r="AC802" s="28">
        <f t="shared" si="231"/>
        <v>1.4210424625750864</v>
      </c>
      <c r="AD802" s="28">
        <f t="shared" si="231"/>
        <v>1.4731597843117399</v>
      </c>
      <c r="AE802" s="28">
        <f t="shared" si="231"/>
        <v>1.5292748745002132</v>
      </c>
      <c r="AF802" s="28">
        <f t="shared" si="231"/>
        <v>1.58759303710444</v>
      </c>
      <c r="AG802" s="28">
        <f t="shared" si="231"/>
        <v>1.6055856657240113</v>
      </c>
      <c r="AH802" s="28">
        <f t="shared" si="231"/>
        <v>-0.39137548720927395</v>
      </c>
      <c r="AI802" s="28">
        <f t="shared" si="231"/>
        <v>-0.39511268844976988</v>
      </c>
      <c r="AJ802" s="28">
        <f t="shared" si="231"/>
        <v>-0.39888027556232269</v>
      </c>
      <c r="AK802" s="28">
        <f t="shared" si="231"/>
        <v>-0.40267853610571114</v>
      </c>
      <c r="AL802" s="28">
        <f t="shared" si="231"/>
        <v>-0.40650776022057733</v>
      </c>
      <c r="AM802" s="28">
        <f t="shared" si="231"/>
        <v>-0.41036824065181815</v>
      </c>
      <c r="AN802" s="28">
        <f t="shared" si="231"/>
        <v>-0.41346631245955484</v>
      </c>
      <c r="AO802" s="28">
        <f t="shared" si="231"/>
        <v>-0.41658575471490794</v>
      </c>
      <c r="AP802" s="28">
        <f t="shared" si="231"/>
        <v>-0.41972673655234932</v>
      </c>
      <c r="AQ802" s="28">
        <f t="shared" si="231"/>
        <v>-0.42288942838293692</v>
      </c>
      <c r="AR802" s="28">
        <f t="shared" si="231"/>
        <v>-0.42607400190364725</v>
      </c>
      <c r="AS802" s="28">
        <f t="shared" si="231"/>
        <v>-0.42898887673310604</v>
      </c>
      <c r="AT802" s="28">
        <f t="shared" si="231"/>
        <v>-0.43192052701996581</v>
      </c>
      <c r="AU802" s="28">
        <f t="shared" si="231"/>
        <v>-0.43486906373806822</v>
      </c>
      <c r="AV802" s="28">
        <f t="shared" si="231"/>
        <v>-0.43783459855710477</v>
      </c>
      <c r="AW802" s="28">
        <f t="shared" si="231"/>
        <v>-0.4408172438468278</v>
      </c>
      <c r="AY802" s="85"/>
      <c r="AZ802" s="85"/>
    </row>
    <row r="803" spans="1:52" x14ac:dyDescent="0.25">
      <c r="A803" s="102" t="str">
        <f t="shared" si="224"/>
        <v>BD Sheep MMN2O</v>
      </c>
      <c r="B803" s="102" t="s">
        <v>1229</v>
      </c>
      <c r="C803" s="102" t="s">
        <v>1329</v>
      </c>
      <c r="D803" t="s">
        <v>15</v>
      </c>
      <c r="E803" t="s">
        <v>657</v>
      </c>
      <c r="F803" t="s">
        <v>18</v>
      </c>
      <c r="G803" t="s">
        <v>122</v>
      </c>
      <c r="H803" t="s">
        <v>1228</v>
      </c>
      <c r="I803" t="s">
        <v>139</v>
      </c>
      <c r="J803" t="s">
        <v>287</v>
      </c>
      <c r="K803" s="28">
        <f t="shared" ref="K803:AW803" si="232">K1417</f>
        <v>0.1171858684484313</v>
      </c>
      <c r="L803" s="28">
        <f t="shared" si="232"/>
        <v>0.11724986264912746</v>
      </c>
      <c r="M803" s="28">
        <f t="shared" si="232"/>
        <v>0.11739315795736154</v>
      </c>
      <c r="N803" s="28">
        <f t="shared" si="232"/>
        <v>0.11760884747933324</v>
      </c>
      <c r="O803" s="28">
        <f t="shared" si="232"/>
        <v>0.11789981697079396</v>
      </c>
      <c r="P803" s="28">
        <f t="shared" si="232"/>
        <v>0.11826637517857025</v>
      </c>
      <c r="Q803" s="28">
        <f t="shared" si="232"/>
        <v>0.11867470616236446</v>
      </c>
      <c r="R803" s="28">
        <f t="shared" si="232"/>
        <v>0.11911724401941932</v>
      </c>
      <c r="S803" s="28">
        <f t="shared" si="232"/>
        <v>0.11953310214883348</v>
      </c>
      <c r="T803" s="28">
        <f t="shared" si="232"/>
        <v>0.11970681414230742</v>
      </c>
      <c r="U803" s="28">
        <f t="shared" si="232"/>
        <v>0.11990838567894911</v>
      </c>
      <c r="V803" s="28">
        <f t="shared" si="232"/>
        <v>0.12013777542784022</v>
      </c>
      <c r="W803" s="28">
        <f t="shared" si="232"/>
        <v>0.1203961718842316</v>
      </c>
      <c r="X803" s="28">
        <f t="shared" si="232"/>
        <v>0.12067943256873451</v>
      </c>
      <c r="Y803" s="28">
        <f t="shared" si="232"/>
        <v>0.12085380112251057</v>
      </c>
      <c r="Z803" s="28">
        <f t="shared" si="232"/>
        <v>0.12104857439732014</v>
      </c>
      <c r="AA803" s="28">
        <f t="shared" si="232"/>
        <v>0.1212644592147404</v>
      </c>
      <c r="AB803" s="28">
        <f t="shared" si="232"/>
        <v>0.12149813863258012</v>
      </c>
      <c r="AC803" s="28">
        <f t="shared" si="232"/>
        <v>0.12175044819305053</v>
      </c>
      <c r="AD803" s="28">
        <f t="shared" si="232"/>
        <v>0.12191654827812352</v>
      </c>
      <c r="AE803" s="28">
        <f t="shared" si="232"/>
        <v>0.12210011953046386</v>
      </c>
      <c r="AF803" s="28">
        <f t="shared" si="232"/>
        <v>0.12229951100214119</v>
      </c>
      <c r="AG803" s="28">
        <f t="shared" si="232"/>
        <v>0.12249214859428272</v>
      </c>
      <c r="AH803" s="28">
        <f t="shared" si="232"/>
        <v>0.12166856520731396</v>
      </c>
      <c r="AI803" s="28">
        <f t="shared" si="232"/>
        <v>0.12178552707040835</v>
      </c>
      <c r="AJ803" s="28">
        <f t="shared" si="232"/>
        <v>0.12191459506568997</v>
      </c>
      <c r="AK803" s="28">
        <f t="shared" si="232"/>
        <v>0.12205531183364191</v>
      </c>
      <c r="AL803" s="28">
        <f t="shared" si="232"/>
        <v>0.1222072553657907</v>
      </c>
      <c r="AM803" s="28">
        <f t="shared" si="232"/>
        <v>0.12237003565016037</v>
      </c>
      <c r="AN803" s="28">
        <f t="shared" si="232"/>
        <v>0.12244903306979282</v>
      </c>
      <c r="AO803" s="28">
        <f t="shared" si="232"/>
        <v>0.12253757835817966</v>
      </c>
      <c r="AP803" s="28">
        <f t="shared" si="232"/>
        <v>0.12263533922697641</v>
      </c>
      <c r="AQ803" s="28">
        <f t="shared" si="232"/>
        <v>0.12274200613087835</v>
      </c>
      <c r="AR803" s="28">
        <f t="shared" si="232"/>
        <v>0.12285729033548833</v>
      </c>
      <c r="AS803" s="28">
        <f t="shared" si="232"/>
        <v>0.12288572954642335</v>
      </c>
      <c r="AT803" s="28">
        <f t="shared" si="232"/>
        <v>0.12292181660779716</v>
      </c>
      <c r="AU803" s="28">
        <f t="shared" si="232"/>
        <v>0.12296529822294655</v>
      </c>
      <c r="AV803" s="28">
        <f t="shared" si="232"/>
        <v>0.12301593656260404</v>
      </c>
      <c r="AW803" s="28">
        <f t="shared" si="232"/>
        <v>0.12307350807543004</v>
      </c>
      <c r="AY803" s="85"/>
      <c r="AZ803" s="85"/>
    </row>
    <row r="804" spans="1:52" x14ac:dyDescent="0.25">
      <c r="A804" s="102" t="str">
        <f t="shared" si="224"/>
        <v>BD Sheep MMN2O</v>
      </c>
      <c r="B804" s="102" t="s">
        <v>1229</v>
      </c>
      <c r="C804" s="102" t="s">
        <v>1329</v>
      </c>
      <c r="D804" t="s">
        <v>15</v>
      </c>
      <c r="E804" t="s">
        <v>657</v>
      </c>
      <c r="F804" t="s">
        <v>18</v>
      </c>
      <c r="G804" t="s">
        <v>123</v>
      </c>
      <c r="H804" t="s">
        <v>1228</v>
      </c>
      <c r="I804" t="s">
        <v>139</v>
      </c>
      <c r="J804" t="s">
        <v>287</v>
      </c>
      <c r="K804" s="28">
        <f t="shared" ref="K804:AW804" si="233">K1418</f>
        <v>6.266414044546309E-2</v>
      </c>
      <c r="L804" s="28">
        <f t="shared" si="233"/>
        <v>6.2698360796715452E-2</v>
      </c>
      <c r="M804" s="28">
        <f t="shared" si="233"/>
        <v>6.2774986736679445E-2</v>
      </c>
      <c r="N804" s="28">
        <f t="shared" si="233"/>
        <v>6.2890324862994521E-2</v>
      </c>
      <c r="O804" s="28">
        <f t="shared" si="233"/>
        <v>6.3045918308856697E-2</v>
      </c>
      <c r="P804" s="28">
        <f t="shared" si="233"/>
        <v>6.324193217398956E-2</v>
      </c>
      <c r="Q804" s="28">
        <f t="shared" si="233"/>
        <v>6.346028367366699E-2</v>
      </c>
      <c r="R804" s="28">
        <f t="shared" si="233"/>
        <v>6.3696927006127543E-2</v>
      </c>
      <c r="S804" s="28">
        <f t="shared" si="233"/>
        <v>6.3919303582518794E-2</v>
      </c>
      <c r="T804" s="28">
        <f t="shared" si="233"/>
        <v>6.401219458465271E-2</v>
      </c>
      <c r="U804" s="28">
        <f t="shared" si="233"/>
        <v>6.4119983239113915E-2</v>
      </c>
      <c r="V804" s="28">
        <f t="shared" si="233"/>
        <v>6.4242647444547399E-2</v>
      </c>
      <c r="W804" s="28">
        <f t="shared" si="233"/>
        <v>6.4380822738619198E-2</v>
      </c>
      <c r="X804" s="28">
        <f t="shared" si="233"/>
        <v>6.4532293965921486E-2</v>
      </c>
      <c r="Y804" s="28">
        <f t="shared" si="233"/>
        <v>6.462553605805911E-2</v>
      </c>
      <c r="Z804" s="28">
        <f t="shared" si="233"/>
        <v>6.4729689400175275E-2</v>
      </c>
      <c r="AA804" s="28">
        <f t="shared" si="233"/>
        <v>6.4845131959060415E-2</v>
      </c>
      <c r="AB804" s="28">
        <f t="shared" si="233"/>
        <v>6.4970090028259403E-2</v>
      </c>
      <c r="AC804" s="28">
        <f t="shared" si="233"/>
        <v>6.5105010406820332E-2</v>
      </c>
      <c r="AD804" s="28">
        <f t="shared" si="233"/>
        <v>6.5193831006068584E-2</v>
      </c>
      <c r="AE804" s="28">
        <f t="shared" si="233"/>
        <v>6.5291994162520045E-2</v>
      </c>
      <c r="AF804" s="28">
        <f t="shared" si="233"/>
        <v>6.5398617045895405E-2</v>
      </c>
      <c r="AG804" s="28">
        <f t="shared" si="233"/>
        <v>6.5501628349978927E-2</v>
      </c>
      <c r="AH804" s="28">
        <f t="shared" si="233"/>
        <v>6.506122418083396E-2</v>
      </c>
      <c r="AI804" s="28">
        <f t="shared" si="233"/>
        <v>6.512376853633306E-2</v>
      </c>
      <c r="AJ804" s="28">
        <f t="shared" si="233"/>
        <v>6.5192786542432504E-2</v>
      </c>
      <c r="AK804" s="28">
        <f t="shared" si="233"/>
        <v>6.5268033630044034E-2</v>
      </c>
      <c r="AL804" s="28">
        <f t="shared" si="233"/>
        <v>6.534928413374741E-2</v>
      </c>
      <c r="AM804" s="28">
        <f t="shared" si="233"/>
        <v>6.5436329497975634E-2</v>
      </c>
      <c r="AN804" s="28">
        <f t="shared" si="233"/>
        <v>6.54785726921783E-2</v>
      </c>
      <c r="AO804" s="28">
        <f t="shared" si="233"/>
        <v>6.552592152750053E-2</v>
      </c>
      <c r="AP804" s="28">
        <f t="shared" si="233"/>
        <v>6.557819831559332E-2</v>
      </c>
      <c r="AQ804" s="28">
        <f t="shared" si="233"/>
        <v>6.5635237529753657E-2</v>
      </c>
      <c r="AR804" s="28">
        <f t="shared" si="233"/>
        <v>6.5696884771733188E-2</v>
      </c>
      <c r="AS804" s="28">
        <f t="shared" si="233"/>
        <v>6.5712092396439034E-2</v>
      </c>
      <c r="AT804" s="28">
        <f t="shared" si="233"/>
        <v>6.5731389643727739E-2</v>
      </c>
      <c r="AU804" s="28">
        <f t="shared" si="233"/>
        <v>6.5754641065376054E-2</v>
      </c>
      <c r="AV804" s="28">
        <f t="shared" si="233"/>
        <v>6.578171948421814E-2</v>
      </c>
      <c r="AW804" s="28">
        <f t="shared" si="233"/>
        <v>6.5812505358088025E-2</v>
      </c>
      <c r="AY804" s="85"/>
      <c r="AZ804" s="85"/>
    </row>
    <row r="805" spans="1:52" x14ac:dyDescent="0.25">
      <c r="A805" s="102" t="str">
        <f t="shared" si="224"/>
        <v>BD Goats MMN2O</v>
      </c>
      <c r="B805" s="102" t="s">
        <v>1229</v>
      </c>
      <c r="C805" s="102" t="s">
        <v>1330</v>
      </c>
      <c r="D805" t="s">
        <v>15</v>
      </c>
      <c r="E805" t="s">
        <v>657</v>
      </c>
      <c r="F805" t="s">
        <v>19</v>
      </c>
      <c r="G805" t="s">
        <v>122</v>
      </c>
      <c r="H805" t="s">
        <v>1228</v>
      </c>
      <c r="I805" t="s">
        <v>139</v>
      </c>
      <c r="J805" t="s">
        <v>287</v>
      </c>
      <c r="K805" s="28">
        <f t="shared" ref="K805:AW805" si="234">K1419</f>
        <v>1.4485648992970149E-2</v>
      </c>
      <c r="L805" s="28">
        <f t="shared" si="234"/>
        <v>1.4523430996818442E-2</v>
      </c>
      <c r="M805" s="28">
        <f t="shared" si="234"/>
        <v>1.4573778863725229E-2</v>
      </c>
      <c r="N805" s="28">
        <f t="shared" si="234"/>
        <v>1.4635573261684437E-2</v>
      </c>
      <c r="O805" s="28">
        <f t="shared" si="234"/>
        <v>1.4709556756482728E-2</v>
      </c>
      <c r="P805" s="28">
        <f t="shared" si="234"/>
        <v>1.4795926227225602E-2</v>
      </c>
      <c r="Q805" s="28">
        <f t="shared" si="234"/>
        <v>1.4888271114151717E-2</v>
      </c>
      <c r="R805" s="28">
        <f t="shared" si="234"/>
        <v>1.4985270961083385E-2</v>
      </c>
      <c r="S805" s="28">
        <f t="shared" si="234"/>
        <v>1.5075379558400602E-2</v>
      </c>
      <c r="T805" s="28">
        <f t="shared" si="234"/>
        <v>1.5117607192403527E-2</v>
      </c>
      <c r="U805" s="28">
        <f t="shared" si="234"/>
        <v>1.5163912133825485E-2</v>
      </c>
      <c r="V805" s="28">
        <f t="shared" si="234"/>
        <v>1.5214353144806386E-2</v>
      </c>
      <c r="W805" s="28">
        <f t="shared" si="234"/>
        <v>1.5269211713136204E-2</v>
      </c>
      <c r="X805" s="28">
        <f t="shared" si="234"/>
        <v>1.5327749231318039E-2</v>
      </c>
      <c r="Y805" s="28">
        <f t="shared" si="234"/>
        <v>1.5364750505414648E-2</v>
      </c>
      <c r="Z805" s="28">
        <f t="shared" si="234"/>
        <v>1.5404784002427285E-2</v>
      </c>
      <c r="AA805" s="28">
        <f t="shared" si="234"/>
        <v>1.5448015343528085E-2</v>
      </c>
      <c r="AB805" s="28">
        <f t="shared" si="234"/>
        <v>1.5493849362144254E-2</v>
      </c>
      <c r="AC805" s="28">
        <f t="shared" si="234"/>
        <v>1.5542469399401562E-2</v>
      </c>
      <c r="AD805" s="28">
        <f t="shared" si="234"/>
        <v>1.5574312295454071E-2</v>
      </c>
      <c r="AE805" s="28">
        <f t="shared" si="234"/>
        <v>1.5608846144431889E-2</v>
      </c>
      <c r="AF805" s="28">
        <f t="shared" si="234"/>
        <v>1.5645779000697076E-2</v>
      </c>
      <c r="AG805" s="28">
        <f t="shared" si="234"/>
        <v>1.5680933682266716E-2</v>
      </c>
      <c r="AH805" s="28">
        <f t="shared" si="234"/>
        <v>1.552725676648822E-2</v>
      </c>
      <c r="AI805" s="28">
        <f t="shared" si="234"/>
        <v>1.5547818779843832E-2</v>
      </c>
      <c r="AJ805" s="28">
        <f t="shared" si="234"/>
        <v>1.5570224487070797E-2</v>
      </c>
      <c r="AK805" s="28">
        <f t="shared" si="234"/>
        <v>1.5594399014227253E-2</v>
      </c>
      <c r="AL805" s="28">
        <f t="shared" si="234"/>
        <v>1.5620273295013296E-2</v>
      </c>
      <c r="AM805" s="28">
        <f t="shared" si="234"/>
        <v>1.5647783514700201E-2</v>
      </c>
      <c r="AN805" s="28">
        <f t="shared" si="234"/>
        <v>1.5659592232765602E-2</v>
      </c>
      <c r="AO805" s="28">
        <f t="shared" si="234"/>
        <v>1.5672874713872142E-2</v>
      </c>
      <c r="AP805" s="28">
        <f t="shared" si="234"/>
        <v>1.5687575397224301E-2</v>
      </c>
      <c r="AQ805" s="28">
        <f t="shared" si="234"/>
        <v>1.5703642533627795E-2</v>
      </c>
      <c r="AR805" s="28">
        <f t="shared" si="234"/>
        <v>1.5721027858938724E-2</v>
      </c>
      <c r="AS805" s="28">
        <f t="shared" si="234"/>
        <v>1.572238426100139E-2</v>
      </c>
      <c r="AT805" s="28">
        <f t="shared" si="234"/>
        <v>1.5724946955034496E-2</v>
      </c>
      <c r="AU805" s="28">
        <f t="shared" si="234"/>
        <v>1.5728672619393889E-2</v>
      </c>
      <c r="AV805" s="28">
        <f t="shared" si="234"/>
        <v>1.5733520584102465E-2</v>
      </c>
      <c r="AW805" s="28">
        <f t="shared" si="234"/>
        <v>1.5739452625419498E-2</v>
      </c>
      <c r="AY805" s="85"/>
      <c r="AZ805" s="85"/>
    </row>
    <row r="806" spans="1:52" x14ac:dyDescent="0.25">
      <c r="A806" s="102" t="str">
        <f t="shared" si="224"/>
        <v>BD Goats MMN2O</v>
      </c>
      <c r="B806" s="102" t="s">
        <v>1229</v>
      </c>
      <c r="C806" s="102" t="s">
        <v>1330</v>
      </c>
      <c r="D806" t="s">
        <v>15</v>
      </c>
      <c r="E806" t="s">
        <v>657</v>
      </c>
      <c r="F806" t="s">
        <v>19</v>
      </c>
      <c r="G806" t="s">
        <v>123</v>
      </c>
      <c r="H806" t="s">
        <v>1228</v>
      </c>
      <c r="I806" t="s">
        <v>139</v>
      </c>
      <c r="J806" t="s">
        <v>287</v>
      </c>
      <c r="K806" s="28">
        <f t="shared" ref="K806:AW806" si="235">K1420</f>
        <v>0.1148405820648936</v>
      </c>
      <c r="L806" s="28">
        <f t="shared" si="235"/>
        <v>0.11514011350567485</v>
      </c>
      <c r="M806" s="28">
        <f t="shared" si="235"/>
        <v>0.1155392656833997</v>
      </c>
      <c r="N806" s="28">
        <f t="shared" si="235"/>
        <v>0.11602916466089314</v>
      </c>
      <c r="O806" s="28">
        <f t="shared" si="235"/>
        <v>0.11661569741548039</v>
      </c>
      <c r="P806" s="28">
        <f t="shared" si="235"/>
        <v>0.11730042478237726</v>
      </c>
      <c r="Q806" s="28">
        <f t="shared" si="235"/>
        <v>0.11803252457096508</v>
      </c>
      <c r="R806" s="28">
        <f t="shared" si="235"/>
        <v>0.11880152835445074</v>
      </c>
      <c r="S806" s="28">
        <f t="shared" si="235"/>
        <v>0.11951589909268844</v>
      </c>
      <c r="T806" s="28">
        <f t="shared" si="235"/>
        <v>0.11985067498505422</v>
      </c>
      <c r="U806" s="28">
        <f t="shared" si="235"/>
        <v>0.12021777530813667</v>
      </c>
      <c r="V806" s="28">
        <f t="shared" si="235"/>
        <v>0.12061766592151543</v>
      </c>
      <c r="W806" s="28">
        <f t="shared" si="235"/>
        <v>0.12105257842845937</v>
      </c>
      <c r="X806" s="28">
        <f t="shared" si="235"/>
        <v>0.12151665723251566</v>
      </c>
      <c r="Y806" s="28">
        <f t="shared" si="235"/>
        <v>0.12180999913638614</v>
      </c>
      <c r="Z806" s="28">
        <f t="shared" si="235"/>
        <v>0.12212738015958056</v>
      </c>
      <c r="AA806" s="28">
        <f t="shared" si="235"/>
        <v>0.12247011332796476</v>
      </c>
      <c r="AB806" s="28">
        <f t="shared" si="235"/>
        <v>0.12283348022846115</v>
      </c>
      <c r="AC806" s="28">
        <f t="shared" si="235"/>
        <v>0.12321893436871788</v>
      </c>
      <c r="AD806" s="28">
        <f t="shared" si="235"/>
        <v>0.12347138123658526</v>
      </c>
      <c r="AE806" s="28">
        <f t="shared" si="235"/>
        <v>0.12374516167400154</v>
      </c>
      <c r="AF806" s="28">
        <f t="shared" si="235"/>
        <v>0.12403796116906533</v>
      </c>
      <c r="AG806" s="28">
        <f t="shared" si="235"/>
        <v>0.12431666349684663</v>
      </c>
      <c r="AH806" s="28">
        <f t="shared" si="235"/>
        <v>0.12309833034059625</v>
      </c>
      <c r="AI806" s="28">
        <f t="shared" si="235"/>
        <v>0.12326134365006759</v>
      </c>
      <c r="AJ806" s="28">
        <f t="shared" si="235"/>
        <v>0.12343897355541526</v>
      </c>
      <c r="AK806" s="28">
        <f t="shared" si="235"/>
        <v>0.12363062646452125</v>
      </c>
      <c r="AL806" s="28">
        <f t="shared" si="235"/>
        <v>0.12383575482759435</v>
      </c>
      <c r="AM806" s="28">
        <f t="shared" si="235"/>
        <v>0.12405385272870395</v>
      </c>
      <c r="AN806" s="28">
        <f t="shared" si="235"/>
        <v>0.12414747090602753</v>
      </c>
      <c r="AO806" s="28">
        <f t="shared" si="235"/>
        <v>0.12425277290956782</v>
      </c>
      <c r="AP806" s="28">
        <f t="shared" si="235"/>
        <v>0.12436931825964037</v>
      </c>
      <c r="AQ806" s="28">
        <f t="shared" si="235"/>
        <v>0.12449669669450293</v>
      </c>
      <c r="AR806" s="28">
        <f t="shared" si="235"/>
        <v>0.12463452558149747</v>
      </c>
      <c r="AS806" s="28">
        <f t="shared" si="235"/>
        <v>0.12464527898318946</v>
      </c>
      <c r="AT806" s="28">
        <f t="shared" si="235"/>
        <v>0.12466559573078972</v>
      </c>
      <c r="AU806" s="28">
        <f t="shared" si="235"/>
        <v>0.12469513237521754</v>
      </c>
      <c r="AV806" s="28">
        <f t="shared" si="235"/>
        <v>0.1247335664895077</v>
      </c>
      <c r="AW806" s="28">
        <f t="shared" si="235"/>
        <v>0.12478059504017958</v>
      </c>
      <c r="AY806" s="85"/>
      <c r="AZ806" s="85"/>
    </row>
    <row r="807" spans="1:52" x14ac:dyDescent="0.25">
      <c r="A807" s="102" t="str">
        <f t="shared" si="224"/>
        <v>BD Horses MMN2O</v>
      </c>
      <c r="B807" s="102" t="s">
        <v>1229</v>
      </c>
      <c r="C807" s="102" t="s">
        <v>1331</v>
      </c>
      <c r="D807" t="s">
        <v>15</v>
      </c>
      <c r="E807" t="s">
        <v>657</v>
      </c>
      <c r="F807" t="s">
        <v>20</v>
      </c>
      <c r="G807" t="s">
        <v>3</v>
      </c>
      <c r="H807" t="s">
        <v>1228</v>
      </c>
      <c r="I807" t="s">
        <v>139</v>
      </c>
      <c r="J807" t="s">
        <v>287</v>
      </c>
      <c r="K807" s="28" t="str">
        <f t="shared" ref="K807:AW807" si="236">K1421</f>
        <v>NO</v>
      </c>
      <c r="L807" s="28" t="str">
        <f t="shared" si="236"/>
        <v>NO</v>
      </c>
      <c r="M807" s="28" t="str">
        <f t="shared" si="236"/>
        <v>NO</v>
      </c>
      <c r="N807" s="28" t="str">
        <f t="shared" si="236"/>
        <v>NO</v>
      </c>
      <c r="O807" s="28" t="str">
        <f t="shared" si="236"/>
        <v>NO</v>
      </c>
      <c r="P807" s="28" t="str">
        <f t="shared" si="236"/>
        <v>NO</v>
      </c>
      <c r="Q807" s="28" t="str">
        <f t="shared" si="236"/>
        <v>NO</v>
      </c>
      <c r="R807" s="28" t="str">
        <f t="shared" si="236"/>
        <v>NO</v>
      </c>
      <c r="S807" s="28" t="str">
        <f t="shared" si="236"/>
        <v>NO</v>
      </c>
      <c r="T807" s="28" t="str">
        <f t="shared" si="236"/>
        <v>NO</v>
      </c>
      <c r="U807" s="28" t="str">
        <f t="shared" si="236"/>
        <v>NO</v>
      </c>
      <c r="V807" s="28" t="str">
        <f t="shared" si="236"/>
        <v>NO</v>
      </c>
      <c r="W807" s="28" t="str">
        <f t="shared" si="236"/>
        <v>NO</v>
      </c>
      <c r="X807" s="28" t="str">
        <f t="shared" si="236"/>
        <v>NO</v>
      </c>
      <c r="Y807" s="28" t="str">
        <f t="shared" si="236"/>
        <v>NO</v>
      </c>
      <c r="Z807" s="28" t="str">
        <f t="shared" si="236"/>
        <v>NO</v>
      </c>
      <c r="AA807" s="28" t="str">
        <f t="shared" si="236"/>
        <v>NO</v>
      </c>
      <c r="AB807" s="28" t="str">
        <f t="shared" si="236"/>
        <v>NO</v>
      </c>
      <c r="AC807" s="28" t="str">
        <f t="shared" si="236"/>
        <v>NO</v>
      </c>
      <c r="AD807" s="28" t="str">
        <f t="shared" si="236"/>
        <v>NO</v>
      </c>
      <c r="AE807" s="28" t="str">
        <f t="shared" si="236"/>
        <v>NO</v>
      </c>
      <c r="AF807" s="28" t="str">
        <f t="shared" si="236"/>
        <v>NO</v>
      </c>
      <c r="AG807" s="28" t="str">
        <f t="shared" si="236"/>
        <v>NO</v>
      </c>
      <c r="AH807" s="28" t="str">
        <f t="shared" si="236"/>
        <v>NO</v>
      </c>
      <c r="AI807" s="28" t="str">
        <f t="shared" si="236"/>
        <v>NO</v>
      </c>
      <c r="AJ807" s="28" t="str">
        <f t="shared" si="236"/>
        <v>NO</v>
      </c>
      <c r="AK807" s="28" t="str">
        <f t="shared" si="236"/>
        <v>NO</v>
      </c>
      <c r="AL807" s="28" t="str">
        <f t="shared" si="236"/>
        <v>NO</v>
      </c>
      <c r="AM807" s="28" t="str">
        <f t="shared" si="236"/>
        <v>NO</v>
      </c>
      <c r="AN807" s="28" t="str">
        <f t="shared" si="236"/>
        <v>NO</v>
      </c>
      <c r="AO807" s="28" t="str">
        <f t="shared" si="236"/>
        <v>NO</v>
      </c>
      <c r="AP807" s="28" t="str">
        <f t="shared" si="236"/>
        <v>NO</v>
      </c>
      <c r="AQ807" s="28" t="str">
        <f t="shared" si="236"/>
        <v>NO</v>
      </c>
      <c r="AR807" s="28" t="str">
        <f t="shared" si="236"/>
        <v>NO</v>
      </c>
      <c r="AS807" s="28" t="str">
        <f t="shared" si="236"/>
        <v>NO</v>
      </c>
      <c r="AT807" s="28" t="str">
        <f t="shared" si="236"/>
        <v>NO</v>
      </c>
      <c r="AU807" s="28" t="str">
        <f t="shared" si="236"/>
        <v>NO</v>
      </c>
      <c r="AV807" s="28" t="str">
        <f t="shared" si="236"/>
        <v>NO</v>
      </c>
      <c r="AW807" s="28" t="str">
        <f t="shared" si="236"/>
        <v>NO</v>
      </c>
      <c r="AY807" s="85"/>
      <c r="AZ807" s="85"/>
    </row>
    <row r="808" spans="1:52" x14ac:dyDescent="0.25">
      <c r="A808" s="102" t="str">
        <f t="shared" si="224"/>
        <v>BD Mules MMN2O</v>
      </c>
      <c r="B808" s="102" t="s">
        <v>1229</v>
      </c>
      <c r="C808" s="102" t="s">
        <v>1332</v>
      </c>
      <c r="D808" t="s">
        <v>15</v>
      </c>
      <c r="E808" t="s">
        <v>657</v>
      </c>
      <c r="F808" t="s">
        <v>140</v>
      </c>
      <c r="G808" t="s">
        <v>124</v>
      </c>
      <c r="H808" t="s">
        <v>1228</v>
      </c>
      <c r="I808" t="s">
        <v>139</v>
      </c>
      <c r="J808" t="s">
        <v>287</v>
      </c>
      <c r="K808" s="28" t="str">
        <f t="shared" ref="K808:AW808" si="237">K1422</f>
        <v>NO</v>
      </c>
      <c r="L808" s="28" t="str">
        <f t="shared" si="237"/>
        <v>NO</v>
      </c>
      <c r="M808" s="28" t="str">
        <f t="shared" si="237"/>
        <v>NO</v>
      </c>
      <c r="N808" s="28" t="str">
        <f t="shared" si="237"/>
        <v>NO</v>
      </c>
      <c r="O808" s="28" t="str">
        <f t="shared" si="237"/>
        <v>NO</v>
      </c>
      <c r="P808" s="28" t="str">
        <f t="shared" si="237"/>
        <v>NO</v>
      </c>
      <c r="Q808" s="28" t="str">
        <f t="shared" si="237"/>
        <v>NO</v>
      </c>
      <c r="R808" s="28" t="str">
        <f t="shared" si="237"/>
        <v>NO</v>
      </c>
      <c r="S808" s="28" t="str">
        <f t="shared" si="237"/>
        <v>NO</v>
      </c>
      <c r="T808" s="28" t="str">
        <f t="shared" si="237"/>
        <v>NO</v>
      </c>
      <c r="U808" s="28" t="str">
        <f t="shared" si="237"/>
        <v>NO</v>
      </c>
      <c r="V808" s="28" t="str">
        <f t="shared" si="237"/>
        <v>NO</v>
      </c>
      <c r="W808" s="28" t="str">
        <f t="shared" si="237"/>
        <v>NO</v>
      </c>
      <c r="X808" s="28" t="str">
        <f t="shared" si="237"/>
        <v>NO</v>
      </c>
      <c r="Y808" s="28" t="str">
        <f t="shared" si="237"/>
        <v>NO</v>
      </c>
      <c r="Z808" s="28" t="str">
        <f t="shared" si="237"/>
        <v>NO</v>
      </c>
      <c r="AA808" s="28" t="str">
        <f t="shared" si="237"/>
        <v>NO</v>
      </c>
      <c r="AB808" s="28" t="str">
        <f t="shared" si="237"/>
        <v>NO</v>
      </c>
      <c r="AC808" s="28" t="str">
        <f t="shared" si="237"/>
        <v>NO</v>
      </c>
      <c r="AD808" s="28" t="str">
        <f t="shared" si="237"/>
        <v>NO</v>
      </c>
      <c r="AE808" s="28" t="str">
        <f t="shared" si="237"/>
        <v>NO</v>
      </c>
      <c r="AF808" s="28" t="str">
        <f t="shared" si="237"/>
        <v>NO</v>
      </c>
      <c r="AG808" s="28" t="str">
        <f t="shared" si="237"/>
        <v>NO</v>
      </c>
      <c r="AH808" s="28" t="str">
        <f t="shared" si="237"/>
        <v>NO</v>
      </c>
      <c r="AI808" s="28" t="str">
        <f t="shared" si="237"/>
        <v>NO</v>
      </c>
      <c r="AJ808" s="28" t="str">
        <f t="shared" si="237"/>
        <v>NO</v>
      </c>
      <c r="AK808" s="28" t="str">
        <f t="shared" si="237"/>
        <v>NO</v>
      </c>
      <c r="AL808" s="28" t="str">
        <f t="shared" si="237"/>
        <v>NO</v>
      </c>
      <c r="AM808" s="28" t="str">
        <f t="shared" si="237"/>
        <v>NO</v>
      </c>
      <c r="AN808" s="28" t="str">
        <f t="shared" si="237"/>
        <v>NO</v>
      </c>
      <c r="AO808" s="28" t="str">
        <f t="shared" si="237"/>
        <v>NO</v>
      </c>
      <c r="AP808" s="28" t="str">
        <f t="shared" si="237"/>
        <v>NO</v>
      </c>
      <c r="AQ808" s="28" t="str">
        <f t="shared" si="237"/>
        <v>NO</v>
      </c>
      <c r="AR808" s="28" t="str">
        <f t="shared" si="237"/>
        <v>NO</v>
      </c>
      <c r="AS808" s="28" t="str">
        <f t="shared" si="237"/>
        <v>NO</v>
      </c>
      <c r="AT808" s="28" t="str">
        <f t="shared" si="237"/>
        <v>NO</v>
      </c>
      <c r="AU808" s="28" t="str">
        <f t="shared" si="237"/>
        <v>NO</v>
      </c>
      <c r="AV808" s="28" t="str">
        <f t="shared" si="237"/>
        <v>NO</v>
      </c>
      <c r="AW808" s="28" t="str">
        <f t="shared" si="237"/>
        <v>NO</v>
      </c>
      <c r="AY808" s="85"/>
      <c r="AZ808" s="85"/>
    </row>
    <row r="809" spans="1:52" x14ac:dyDescent="0.25">
      <c r="A809" s="102" t="str">
        <f t="shared" si="224"/>
        <v>BD Swine MMN2O</v>
      </c>
      <c r="B809" s="102" t="s">
        <v>1229</v>
      </c>
      <c r="C809" s="102" t="s">
        <v>1234</v>
      </c>
      <c r="D809" t="s">
        <v>15</v>
      </c>
      <c r="E809" t="s">
        <v>657</v>
      </c>
      <c r="F809" t="s">
        <v>21</v>
      </c>
      <c r="G809" t="s">
        <v>122</v>
      </c>
      <c r="H809" t="s">
        <v>1228</v>
      </c>
      <c r="I809" t="s">
        <v>139</v>
      </c>
      <c r="J809" t="s">
        <v>287</v>
      </c>
      <c r="K809" s="28">
        <f t="shared" ref="K809:AW809" si="238">K1423</f>
        <v>9.8212070321961289E-2</v>
      </c>
      <c r="L809" s="28">
        <f t="shared" si="238"/>
        <v>9.7902077304524535E-2</v>
      </c>
      <c r="M809" s="28">
        <f t="shared" si="238"/>
        <v>9.6876932731570997E-2</v>
      </c>
      <c r="N809" s="28">
        <f t="shared" si="238"/>
        <v>9.4886481944047557E-2</v>
      </c>
      <c r="O809" s="28">
        <f t="shared" si="238"/>
        <v>9.2983120414683651E-2</v>
      </c>
      <c r="P809" s="28">
        <f t="shared" si="238"/>
        <v>9.1647887851288232E-2</v>
      </c>
      <c r="Q809" s="28">
        <f t="shared" si="238"/>
        <v>9.0517057242200105E-2</v>
      </c>
      <c r="R809" s="28">
        <f t="shared" si="238"/>
        <v>8.8434751995252456E-2</v>
      </c>
      <c r="S809" s="28">
        <f t="shared" si="238"/>
        <v>7.7417928691120311E-2</v>
      </c>
      <c r="T809" s="28">
        <f t="shared" si="238"/>
        <v>7.7909888126779042E-2</v>
      </c>
      <c r="U809" s="28">
        <f t="shared" si="238"/>
        <v>7.8156831608476335E-2</v>
      </c>
      <c r="V809" s="28">
        <f t="shared" si="238"/>
        <v>7.8396909010436708E-2</v>
      </c>
      <c r="W809" s="28">
        <f t="shared" si="238"/>
        <v>7.8983322674416961E-2</v>
      </c>
      <c r="X809" s="28">
        <f t="shared" si="238"/>
        <v>7.9550022093927919E-2</v>
      </c>
      <c r="Y809" s="28">
        <f t="shared" si="238"/>
        <v>8.0200171515553365E-2</v>
      </c>
      <c r="Z809" s="28">
        <f t="shared" si="238"/>
        <v>8.0745873399241927E-2</v>
      </c>
      <c r="AA809" s="28">
        <f t="shared" si="238"/>
        <v>8.1401680108403665E-2</v>
      </c>
      <c r="AB809" s="28">
        <f t="shared" si="238"/>
        <v>8.1879069709822755E-2</v>
      </c>
      <c r="AC809" s="28">
        <f t="shared" si="238"/>
        <v>8.2381241768892818E-2</v>
      </c>
      <c r="AD809" s="28">
        <f t="shared" si="238"/>
        <v>8.3307469914568902E-2</v>
      </c>
      <c r="AE809" s="28">
        <f t="shared" si="238"/>
        <v>8.4389455604936589E-2</v>
      </c>
      <c r="AF809" s="28">
        <f t="shared" si="238"/>
        <v>8.5509115768420865E-2</v>
      </c>
      <c r="AG809" s="28">
        <f t="shared" si="238"/>
        <v>8.4250717613193291E-2</v>
      </c>
      <c r="AH809" s="28">
        <f t="shared" si="238"/>
        <v>-2.8426820502850808E-2</v>
      </c>
      <c r="AI809" s="28">
        <f t="shared" si="238"/>
        <v>-2.8115877001178527E-2</v>
      </c>
      <c r="AJ809" s="28">
        <f t="shared" si="238"/>
        <v>-2.7811593466985605E-2</v>
      </c>
      <c r="AK809" s="28">
        <f t="shared" si="238"/>
        <v>-2.7513534213570397E-2</v>
      </c>
      <c r="AL809" s="28">
        <f t="shared" si="238"/>
        <v>-2.7221295455261082E-2</v>
      </c>
      <c r="AM809" s="28">
        <f t="shared" si="238"/>
        <v>-2.6934502222400951E-2</v>
      </c>
      <c r="AN809" s="28">
        <f t="shared" si="238"/>
        <v>-2.6619947187312407E-2</v>
      </c>
      <c r="AO809" s="28">
        <f t="shared" si="238"/>
        <v>-2.6310938201629927E-2</v>
      </c>
      <c r="AP809" s="28">
        <f t="shared" si="238"/>
        <v>-2.600715135070272E-2</v>
      </c>
      <c r="AQ809" s="28">
        <f t="shared" si="238"/>
        <v>-2.5708283877268884E-2</v>
      </c>
      <c r="AR809" s="28">
        <f t="shared" si="238"/>
        <v>-2.5414052353403601E-2</v>
      </c>
      <c r="AS809" s="28">
        <f t="shared" si="238"/>
        <v>-2.5093405862334557E-2</v>
      </c>
      <c r="AT809" s="28">
        <f t="shared" si="238"/>
        <v>-2.4777656809122427E-2</v>
      </c>
      <c r="AU809" s="28">
        <f t="shared" si="238"/>
        <v>-2.4466553104711776E-2</v>
      </c>
      <c r="AV809" s="28">
        <f t="shared" si="238"/>
        <v>-2.415985755435068E-2</v>
      </c>
      <c r="AW809" s="28">
        <f t="shared" si="238"/>
        <v>-2.3857346696324909E-2</v>
      </c>
      <c r="AY809" s="85"/>
      <c r="AZ809" s="85"/>
    </row>
    <row r="810" spans="1:52" x14ac:dyDescent="0.25">
      <c r="A810" s="102" t="str">
        <f t="shared" si="224"/>
        <v>BD Swine MMN2O</v>
      </c>
      <c r="B810" s="102" t="s">
        <v>1229</v>
      </c>
      <c r="C810" s="102" t="s">
        <v>1234</v>
      </c>
      <c r="D810" t="s">
        <v>15</v>
      </c>
      <c r="E810" t="s">
        <v>657</v>
      </c>
      <c r="F810" t="s">
        <v>21</v>
      </c>
      <c r="G810" t="s">
        <v>123</v>
      </c>
      <c r="H810" t="s">
        <v>1228</v>
      </c>
      <c r="I810" t="s">
        <v>139</v>
      </c>
      <c r="J810" t="s">
        <v>287</v>
      </c>
      <c r="K810" s="28">
        <f t="shared" ref="K810:AW810" si="239">K1424</f>
        <v>3.8422550388835235E-2</v>
      </c>
      <c r="L810" s="28">
        <f t="shared" si="239"/>
        <v>3.8301274844051346E-2</v>
      </c>
      <c r="M810" s="28">
        <f t="shared" si="239"/>
        <v>3.7900217531227944E-2</v>
      </c>
      <c r="N810" s="28">
        <f t="shared" si="239"/>
        <v>3.712151288291534E-2</v>
      </c>
      <c r="O810" s="28">
        <f t="shared" si="239"/>
        <v>3.6376879315672413E-2</v>
      </c>
      <c r="P810" s="28">
        <f t="shared" si="239"/>
        <v>3.5854509302702606E-2</v>
      </c>
      <c r="Q810" s="28">
        <f t="shared" si="239"/>
        <v>3.5412105472740686E-2</v>
      </c>
      <c r="R810" s="28">
        <f t="shared" si="239"/>
        <v>3.4597465500143629E-2</v>
      </c>
      <c r="S810" s="28">
        <f t="shared" si="239"/>
        <v>3.0287461168290553E-2</v>
      </c>
      <c r="T810" s="28">
        <f t="shared" si="239"/>
        <v>3.0479925660118236E-2</v>
      </c>
      <c r="U810" s="28">
        <f t="shared" si="239"/>
        <v>3.0576534949970324E-2</v>
      </c>
      <c r="V810" s="28">
        <f t="shared" si="239"/>
        <v>3.0670458090413286E-2</v>
      </c>
      <c r="W810" s="28">
        <f t="shared" si="239"/>
        <v>3.0899874988755002E-2</v>
      </c>
      <c r="X810" s="28">
        <f t="shared" si="239"/>
        <v>3.1121579275510219E-2</v>
      </c>
      <c r="Y810" s="28">
        <f t="shared" si="239"/>
        <v>3.1375930892687053E-2</v>
      </c>
      <c r="Z810" s="28">
        <f t="shared" si="239"/>
        <v>3.1589420518295906E-2</v>
      </c>
      <c r="AA810" s="28">
        <f t="shared" si="239"/>
        <v>3.1845985380898841E-2</v>
      </c>
      <c r="AB810" s="28">
        <f t="shared" si="239"/>
        <v>3.2032749858579623E-2</v>
      </c>
      <c r="AC810" s="28">
        <f t="shared" si="239"/>
        <v>3.222920973545864E-2</v>
      </c>
      <c r="AD810" s="28">
        <f t="shared" si="239"/>
        <v>3.2591568939191247E-2</v>
      </c>
      <c r="AE810" s="28">
        <f t="shared" si="239"/>
        <v>3.3014863647997064E-2</v>
      </c>
      <c r="AF810" s="28">
        <f t="shared" si="239"/>
        <v>3.345289737347313E-2</v>
      </c>
      <c r="AG810" s="28">
        <f t="shared" si="239"/>
        <v>3.2960586536628499E-2</v>
      </c>
      <c r="AH810" s="28">
        <f t="shared" si="239"/>
        <v>-1.112114773249949E-2</v>
      </c>
      <c r="AI810" s="28">
        <f t="shared" si="239"/>
        <v>-1.0999500339038397E-2</v>
      </c>
      <c r="AJ810" s="28">
        <f t="shared" si="239"/>
        <v>-1.0880458459698174E-2</v>
      </c>
      <c r="AK810" s="28">
        <f t="shared" si="239"/>
        <v>-1.0763851645019877E-2</v>
      </c>
      <c r="AL810" s="28">
        <f t="shared" si="239"/>
        <v>-1.0649521925873338E-2</v>
      </c>
      <c r="AM810" s="28">
        <f t="shared" si="239"/>
        <v>-1.0537322606536911E-2</v>
      </c>
      <c r="AN810" s="28">
        <f t="shared" si="239"/>
        <v>-1.0414262308081425E-2</v>
      </c>
      <c r="AO810" s="28">
        <f t="shared" si="239"/>
        <v>-1.0293371736443279E-2</v>
      </c>
      <c r="AP810" s="28">
        <f t="shared" si="239"/>
        <v>-1.0174524169652843E-2</v>
      </c>
      <c r="AQ810" s="28">
        <f t="shared" si="239"/>
        <v>-1.0057601162939404E-2</v>
      </c>
      <c r="AR810" s="28">
        <f t="shared" si="239"/>
        <v>-9.9424918335602689E-3</v>
      </c>
      <c r="AS810" s="28">
        <f t="shared" si="239"/>
        <v>-9.8170484341927999E-3</v>
      </c>
      <c r="AT810" s="28">
        <f t="shared" si="239"/>
        <v>-9.6935210116723403E-3</v>
      </c>
      <c r="AU810" s="28">
        <f t="shared" si="239"/>
        <v>-9.5718109436564065E-3</v>
      </c>
      <c r="AV810" s="28">
        <f t="shared" si="239"/>
        <v>-9.4518254347556157E-3</v>
      </c>
      <c r="AW810" s="28">
        <f t="shared" si="239"/>
        <v>-9.3334770622229783E-3</v>
      </c>
      <c r="AY810" s="85"/>
      <c r="AZ810" s="85"/>
    </row>
    <row r="811" spans="1:52" x14ac:dyDescent="0.25">
      <c r="A811" s="102" t="str">
        <f t="shared" si="224"/>
        <v>BD Poultry MMN2O</v>
      </c>
      <c r="B811" s="102" t="s">
        <v>1229</v>
      </c>
      <c r="C811" s="102" t="s">
        <v>1235</v>
      </c>
      <c r="D811" t="s">
        <v>15</v>
      </c>
      <c r="E811" t="s">
        <v>657</v>
      </c>
      <c r="F811" t="s">
        <v>28</v>
      </c>
      <c r="G811" t="s">
        <v>131</v>
      </c>
      <c r="H811" t="s">
        <v>1228</v>
      </c>
      <c r="I811" t="s">
        <v>139</v>
      </c>
      <c r="J811" t="s">
        <v>287</v>
      </c>
      <c r="K811" s="28">
        <f t="shared" ref="K811:AW811" si="240">K1425</f>
        <v>0.32963485119754937</v>
      </c>
      <c r="L811" s="28">
        <f t="shared" si="240"/>
        <v>0.3367733222576253</v>
      </c>
      <c r="M811" s="28">
        <f t="shared" si="240"/>
        <v>0.34252519941326248</v>
      </c>
      <c r="N811" s="28">
        <f t="shared" si="240"/>
        <v>0.34628339258632435</v>
      </c>
      <c r="O811" s="28">
        <f t="shared" si="240"/>
        <v>0.35009259651269609</v>
      </c>
      <c r="P811" s="28">
        <f t="shared" si="240"/>
        <v>0.35500337907845531</v>
      </c>
      <c r="Q811" s="28">
        <f t="shared" si="240"/>
        <v>0.36025498659562288</v>
      </c>
      <c r="R811" s="28">
        <f t="shared" si="240"/>
        <v>0.36330907698293946</v>
      </c>
      <c r="S811" s="28">
        <f t="shared" si="240"/>
        <v>0.34573940681489368</v>
      </c>
      <c r="T811" s="28">
        <f t="shared" si="240"/>
        <v>0.35316196495857255</v>
      </c>
      <c r="U811" s="28">
        <f t="shared" si="240"/>
        <v>0.36009092327704184</v>
      </c>
      <c r="V811" s="28">
        <f t="shared" si="240"/>
        <v>0.36707458200076865</v>
      </c>
      <c r="W811" s="28">
        <f t="shared" si="240"/>
        <v>0.37500055316657199</v>
      </c>
      <c r="X811" s="28">
        <f t="shared" si="240"/>
        <v>0.38299236324087566</v>
      </c>
      <c r="Y811" s="28">
        <f t="shared" si="240"/>
        <v>0.39099432975561715</v>
      </c>
      <c r="Z811" s="28">
        <f t="shared" si="240"/>
        <v>0.398841954270029</v>
      </c>
      <c r="AA811" s="28">
        <f t="shared" si="240"/>
        <v>0.40710661573230994</v>
      </c>
      <c r="AB811" s="28">
        <f t="shared" si="240"/>
        <v>0.41500811589686409</v>
      </c>
      <c r="AC811" s="28">
        <f t="shared" si="240"/>
        <v>0.42309700830126501</v>
      </c>
      <c r="AD811" s="28">
        <f t="shared" si="240"/>
        <v>0.43226826232979193</v>
      </c>
      <c r="AE811" s="28">
        <f t="shared" si="240"/>
        <v>0.44207160383339156</v>
      </c>
      <c r="AF811" s="28">
        <f t="shared" si="240"/>
        <v>0.45218336296465478</v>
      </c>
      <c r="AG811" s="28">
        <f t="shared" si="240"/>
        <v>0.4551931213650493</v>
      </c>
      <c r="AH811" s="28">
        <f t="shared" si="240"/>
        <v>0.10910564018941009</v>
      </c>
      <c r="AI811" s="28">
        <f t="shared" si="240"/>
        <v>0.10994420930696339</v>
      </c>
      <c r="AJ811" s="28">
        <f t="shared" si="240"/>
        <v>0.11078888384654588</v>
      </c>
      <c r="AK811" s="28">
        <f t="shared" si="240"/>
        <v>0.11163971029926273</v>
      </c>
      <c r="AL811" s="28">
        <f t="shared" si="240"/>
        <v>0.11249673536734303</v>
      </c>
      <c r="AM811" s="28">
        <f t="shared" si="240"/>
        <v>0.1133600059778764</v>
      </c>
      <c r="AN811" s="28">
        <f t="shared" si="240"/>
        <v>0.11409797095001123</v>
      </c>
      <c r="AO811" s="28">
        <f t="shared" si="240"/>
        <v>0.11484049120695125</v>
      </c>
      <c r="AP811" s="28">
        <f t="shared" si="240"/>
        <v>0.11558759635865411</v>
      </c>
      <c r="AQ811" s="28">
        <f t="shared" si="240"/>
        <v>0.11633931611415979</v>
      </c>
      <c r="AR811" s="28">
        <f t="shared" si="240"/>
        <v>0.11709568028936261</v>
      </c>
      <c r="AS811" s="28">
        <f t="shared" si="240"/>
        <v>0.11772147862106908</v>
      </c>
      <c r="AT811" s="28">
        <f t="shared" si="240"/>
        <v>0.11835044728238052</v>
      </c>
      <c r="AU811" s="28">
        <f t="shared" si="240"/>
        <v>0.11898260346877226</v>
      </c>
      <c r="AV811" s="28">
        <f t="shared" si="240"/>
        <v>0.11961796440464827</v>
      </c>
      <c r="AW811" s="28">
        <f t="shared" si="240"/>
        <v>0.12025654734797987</v>
      </c>
      <c r="AY811" s="85"/>
      <c r="AZ811" s="85"/>
    </row>
    <row r="812" spans="1:52" x14ac:dyDescent="0.25">
      <c r="A812" s="102" t="str">
        <f t="shared" si="224"/>
        <v>BD Poultry MMN2O</v>
      </c>
      <c r="B812" s="102" t="s">
        <v>1229</v>
      </c>
      <c r="C812" s="102" t="s">
        <v>1235</v>
      </c>
      <c r="D812" t="s">
        <v>15</v>
      </c>
      <c r="E812" t="s">
        <v>657</v>
      </c>
      <c r="F812" t="s">
        <v>28</v>
      </c>
      <c r="G812" t="s">
        <v>132</v>
      </c>
      <c r="H812" t="s">
        <v>1228</v>
      </c>
      <c r="I812" t="s">
        <v>139</v>
      </c>
      <c r="J812" t="s">
        <v>287</v>
      </c>
      <c r="K812" s="28">
        <f t="shared" ref="K812:AW812" si="241">K1426</f>
        <v>1.7216530294251391</v>
      </c>
      <c r="L812" s="28">
        <f t="shared" si="241"/>
        <v>1.7495913852181326</v>
      </c>
      <c r="M812" s="28">
        <f t="shared" si="241"/>
        <v>1.7578868664335328</v>
      </c>
      <c r="N812" s="28">
        <f t="shared" si="241"/>
        <v>1.7392918980189422</v>
      </c>
      <c r="O812" s="28">
        <f t="shared" si="241"/>
        <v>1.7207368558327785</v>
      </c>
      <c r="P812" s="28">
        <f t="shared" si="241"/>
        <v>1.7153529254443873</v>
      </c>
      <c r="Q812" s="28">
        <f t="shared" si="241"/>
        <v>1.7142313641539435</v>
      </c>
      <c r="R812" s="28">
        <f t="shared" si="241"/>
        <v>1.6856374848225169</v>
      </c>
      <c r="S812" s="28">
        <f t="shared" si="241"/>
        <v>1.4045469015643526</v>
      </c>
      <c r="T812" s="28">
        <f t="shared" si="241"/>
        <v>1.4459775319383337</v>
      </c>
      <c r="U812" s="28">
        <f t="shared" si="241"/>
        <v>1.480607974450509</v>
      </c>
      <c r="V812" s="28">
        <f t="shared" si="241"/>
        <v>1.5151543903265086</v>
      </c>
      <c r="W812" s="28">
        <f t="shared" si="241"/>
        <v>1.5601003686418904</v>
      </c>
      <c r="X812" s="28">
        <f t="shared" si="241"/>
        <v>1.6049114332445515</v>
      </c>
      <c r="Y812" s="28">
        <f t="shared" si="241"/>
        <v>1.6541109963656262</v>
      </c>
      <c r="Z812" s="28">
        <f t="shared" si="241"/>
        <v>1.7006835408755379</v>
      </c>
      <c r="AA812" s="28">
        <f t="shared" si="241"/>
        <v>1.7512278539533319</v>
      </c>
      <c r="AB812" s="28">
        <f t="shared" si="241"/>
        <v>1.7968025285418052</v>
      </c>
      <c r="AC812" s="28">
        <f t="shared" si="241"/>
        <v>1.8437229492039162</v>
      </c>
      <c r="AD812" s="28">
        <f t="shared" si="241"/>
        <v>1.9060767826661782</v>
      </c>
      <c r="AE812" s="28">
        <f t="shared" si="241"/>
        <v>1.9745333748476768</v>
      </c>
      <c r="AF812" s="28">
        <f t="shared" si="241"/>
        <v>2.0454043901813557</v>
      </c>
      <c r="AG812" s="28">
        <f t="shared" si="241"/>
        <v>2.0375124323750504</v>
      </c>
      <c r="AH812" s="28">
        <f t="shared" si="241"/>
        <v>-1.7670360622808823</v>
      </c>
      <c r="AI812" s="28">
        <f t="shared" si="241"/>
        <v>-1.769567863105443</v>
      </c>
      <c r="AJ812" s="28">
        <f t="shared" si="241"/>
        <v>-1.7723139091947202</v>
      </c>
      <c r="AK812" s="28">
        <f t="shared" si="241"/>
        <v>-1.775265259663616</v>
      </c>
      <c r="AL812" s="28">
        <f t="shared" si="241"/>
        <v>-1.7784136680871927</v>
      </c>
      <c r="AM812" s="28">
        <f t="shared" si="241"/>
        <v>-1.7817515157915651</v>
      </c>
      <c r="AN812" s="28">
        <f t="shared" si="241"/>
        <v>-1.7831253143927157</v>
      </c>
      <c r="AO812" s="28">
        <f t="shared" si="241"/>
        <v>-1.7846712895501273</v>
      </c>
      <c r="AP812" s="28">
        <f t="shared" si="241"/>
        <v>-1.7863827557357852</v>
      </c>
      <c r="AQ812" s="28">
        <f t="shared" si="241"/>
        <v>-1.788253486478437</v>
      </c>
      <c r="AR812" s="28">
        <f t="shared" si="241"/>
        <v>-1.79027767491833</v>
      </c>
      <c r="AS812" s="28">
        <f t="shared" si="241"/>
        <v>-1.7903062211735206</v>
      </c>
      <c r="AT812" s="28">
        <f t="shared" si="241"/>
        <v>-1.7904768825126722</v>
      </c>
      <c r="AU812" s="28">
        <f t="shared" si="241"/>
        <v>-1.7907844045675889</v>
      </c>
      <c r="AV812" s="28">
        <f t="shared" si="241"/>
        <v>-1.7912238548642139</v>
      </c>
      <c r="AW812" s="28">
        <f t="shared" si="241"/>
        <v>-1.7917905978217188</v>
      </c>
      <c r="AY812" s="85"/>
      <c r="AZ812" s="85"/>
    </row>
    <row r="813" spans="1:52" x14ac:dyDescent="0.25">
      <c r="A813" s="102" t="str">
        <f t="shared" si="224"/>
        <v>BD Poultry MMN2O</v>
      </c>
      <c r="B813" s="102" t="s">
        <v>1229</v>
      </c>
      <c r="C813" s="102" t="s">
        <v>1235</v>
      </c>
      <c r="D813" t="s">
        <v>15</v>
      </c>
      <c r="E813" t="s">
        <v>657</v>
      </c>
      <c r="F813" t="s">
        <v>28</v>
      </c>
      <c r="G813" t="s">
        <v>134</v>
      </c>
      <c r="H813" t="s">
        <v>1228</v>
      </c>
      <c r="I813" t="s">
        <v>139</v>
      </c>
      <c r="J813" t="s">
        <v>287</v>
      </c>
      <c r="K813" s="28">
        <f t="shared" ref="K813:AW813" si="242">K1427</f>
        <v>1.3734785466564569E-2</v>
      </c>
      <c r="L813" s="28">
        <f t="shared" si="242"/>
        <v>1.40322217607344E-2</v>
      </c>
      <c r="M813" s="28">
        <f t="shared" si="242"/>
        <v>1.4271883308885947E-2</v>
      </c>
      <c r="N813" s="28">
        <f t="shared" si="242"/>
        <v>1.442847469109686E-2</v>
      </c>
      <c r="O813" s="28">
        <f t="shared" si="242"/>
        <v>1.4587191521362352E-2</v>
      </c>
      <c r="P813" s="28">
        <f t="shared" si="242"/>
        <v>1.4791807461602316E-2</v>
      </c>
      <c r="Q813" s="28">
        <f t="shared" si="242"/>
        <v>1.5010624441484299E-2</v>
      </c>
      <c r="R813" s="28">
        <f t="shared" si="242"/>
        <v>1.5137878207622494E-2</v>
      </c>
      <c r="S813" s="28">
        <f t="shared" si="242"/>
        <v>1.4405808617287252E-2</v>
      </c>
      <c r="T813" s="28">
        <f t="shared" si="242"/>
        <v>1.471508187327387E-2</v>
      </c>
      <c r="U813" s="28">
        <f t="shared" si="242"/>
        <v>1.5003788469876761E-2</v>
      </c>
      <c r="V813" s="28">
        <f t="shared" si="242"/>
        <v>1.5294774250032041E-2</v>
      </c>
      <c r="W813" s="28">
        <f t="shared" si="242"/>
        <v>1.5625023048607179E-2</v>
      </c>
      <c r="X813" s="28">
        <f t="shared" si="242"/>
        <v>1.5958015135036502E-2</v>
      </c>
      <c r="Y813" s="28">
        <f t="shared" si="242"/>
        <v>1.6291430406484061E-2</v>
      </c>
      <c r="Z813" s="28">
        <f t="shared" si="242"/>
        <v>1.6618414761251227E-2</v>
      </c>
      <c r="AA813" s="28">
        <f t="shared" si="242"/>
        <v>1.6962775655512932E-2</v>
      </c>
      <c r="AB813" s="28">
        <f t="shared" si="242"/>
        <v>1.7292004829036017E-2</v>
      </c>
      <c r="AC813" s="28">
        <f t="shared" si="242"/>
        <v>1.7629042012552724E-2</v>
      </c>
      <c r="AD813" s="28">
        <f t="shared" si="242"/>
        <v>1.8011177597074678E-2</v>
      </c>
      <c r="AE813" s="28">
        <f t="shared" si="242"/>
        <v>1.8419650159724663E-2</v>
      </c>
      <c r="AF813" s="28">
        <f t="shared" si="242"/>
        <v>1.884097345686063E-2</v>
      </c>
      <c r="AG813" s="28">
        <f t="shared" si="242"/>
        <v>1.8966380056877074E-2</v>
      </c>
      <c r="AH813" s="28">
        <f t="shared" si="242"/>
        <v>4.546068341225425E-3</v>
      </c>
      <c r="AI813" s="28">
        <f t="shared" si="242"/>
        <v>4.5810087211234788E-3</v>
      </c>
      <c r="AJ813" s="28">
        <f t="shared" si="242"/>
        <v>4.6162034936060832E-3</v>
      </c>
      <c r="AK813" s="28">
        <f t="shared" si="242"/>
        <v>4.651654595802618E-3</v>
      </c>
      <c r="AL813" s="28">
        <f t="shared" si="242"/>
        <v>4.6873639736392985E-3</v>
      </c>
      <c r="AM813" s="28">
        <f t="shared" si="242"/>
        <v>4.7233335824115215E-3</v>
      </c>
      <c r="AN813" s="28">
        <f t="shared" si="242"/>
        <v>4.7540821229171398E-3</v>
      </c>
      <c r="AO813" s="28">
        <f t="shared" si="242"/>
        <v>4.7850204669563062E-3</v>
      </c>
      <c r="AP813" s="28">
        <f t="shared" si="242"/>
        <v>4.8161498482772597E-3</v>
      </c>
      <c r="AQ813" s="28">
        <f t="shared" si="242"/>
        <v>4.8474715047566626E-3</v>
      </c>
      <c r="AR813" s="28">
        <f t="shared" si="242"/>
        <v>4.8789866787234456E-3</v>
      </c>
      <c r="AS813" s="28">
        <f t="shared" si="242"/>
        <v>4.9050616092112158E-3</v>
      </c>
      <c r="AT813" s="28">
        <f t="shared" si="242"/>
        <v>4.9312686367658596E-3</v>
      </c>
      <c r="AU813" s="28">
        <f t="shared" si="242"/>
        <v>4.9576084778655159E-3</v>
      </c>
      <c r="AV813" s="28">
        <f t="shared" si="242"/>
        <v>4.9840818501936824E-3</v>
      </c>
      <c r="AW813" s="28">
        <f t="shared" si="242"/>
        <v>5.0106894728324993E-3</v>
      </c>
      <c r="AY813" s="85"/>
      <c r="AZ813" s="85"/>
    </row>
    <row r="814" spans="1:52" x14ac:dyDescent="0.25">
      <c r="A814" s="102" t="str">
        <f t="shared" si="224"/>
        <v>BD Poultry MMN2O</v>
      </c>
      <c r="B814" s="102" t="s">
        <v>1229</v>
      </c>
      <c r="C814" s="102" t="s">
        <v>1235</v>
      </c>
      <c r="D814" t="s">
        <v>15</v>
      </c>
      <c r="E814" t="s">
        <v>657</v>
      </c>
      <c r="F814" t="s">
        <v>28</v>
      </c>
      <c r="G814" t="s">
        <v>133</v>
      </c>
      <c r="H814" t="s">
        <v>1228</v>
      </c>
      <c r="I814" t="s">
        <v>139</v>
      </c>
      <c r="J814" t="s">
        <v>287</v>
      </c>
      <c r="K814" s="28">
        <f t="shared" ref="K814:AW814" si="243">K1428</f>
        <v>7.1735542892714194E-2</v>
      </c>
      <c r="L814" s="28">
        <f t="shared" si="243"/>
        <v>7.2899641050755595E-2</v>
      </c>
      <c r="M814" s="28">
        <f t="shared" si="243"/>
        <v>7.3245286101397272E-2</v>
      </c>
      <c r="N814" s="28">
        <f t="shared" si="243"/>
        <v>7.2470495750789329E-2</v>
      </c>
      <c r="O814" s="28">
        <f t="shared" si="243"/>
        <v>7.1697368993032501E-2</v>
      </c>
      <c r="P814" s="28">
        <f t="shared" si="243"/>
        <v>7.1473038560182875E-2</v>
      </c>
      <c r="Q814" s="28">
        <f t="shared" si="243"/>
        <v>7.1426306839747711E-2</v>
      </c>
      <c r="R814" s="28">
        <f t="shared" si="243"/>
        <v>7.0234895200938272E-2</v>
      </c>
      <c r="S814" s="28">
        <f t="shared" si="243"/>
        <v>5.8522787565181415E-2</v>
      </c>
      <c r="T814" s="28">
        <f t="shared" si="243"/>
        <v>6.0249063830763963E-2</v>
      </c>
      <c r="U814" s="28">
        <f t="shared" si="243"/>
        <v>6.1691998935437933E-2</v>
      </c>
      <c r="V814" s="28">
        <f t="shared" si="243"/>
        <v>6.313143293027125E-2</v>
      </c>
      <c r="W814" s="28">
        <f t="shared" si="243"/>
        <v>6.5004182026745502E-2</v>
      </c>
      <c r="X814" s="28">
        <f t="shared" si="243"/>
        <v>6.6871309718523023E-2</v>
      </c>
      <c r="Y814" s="28">
        <f t="shared" si="243"/>
        <v>6.8921291515234503E-2</v>
      </c>
      <c r="Z814" s="28">
        <f t="shared" si="243"/>
        <v>7.086181420314748E-2</v>
      </c>
      <c r="AA814" s="28">
        <f t="shared" si="243"/>
        <v>7.2967827248055561E-2</v>
      </c>
      <c r="AB814" s="28">
        <f t="shared" si="243"/>
        <v>7.4866772022575287E-2</v>
      </c>
      <c r="AC814" s="28">
        <f t="shared" si="243"/>
        <v>7.682178955016325E-2</v>
      </c>
      <c r="AD814" s="28">
        <f t="shared" si="243"/>
        <v>7.9419865944424156E-2</v>
      </c>
      <c r="AE814" s="28">
        <f t="shared" si="243"/>
        <v>8.2272223951986606E-2</v>
      </c>
      <c r="AF814" s="28">
        <f t="shared" si="243"/>
        <v>8.5225182924223236E-2</v>
      </c>
      <c r="AG814" s="28">
        <f t="shared" si="243"/>
        <v>8.4896351348960508E-2</v>
      </c>
      <c r="AH814" s="28">
        <f t="shared" si="243"/>
        <v>-7.3626502595036822E-2</v>
      </c>
      <c r="AI814" s="28">
        <f t="shared" si="243"/>
        <v>-7.3731994296060199E-2</v>
      </c>
      <c r="AJ814" s="28">
        <f t="shared" si="243"/>
        <v>-7.3846412883113402E-2</v>
      </c>
      <c r="AK814" s="28">
        <f t="shared" si="243"/>
        <v>-7.3969385819317404E-2</v>
      </c>
      <c r="AL814" s="28">
        <f t="shared" si="243"/>
        <v>-7.4100569503633099E-2</v>
      </c>
      <c r="AM814" s="28">
        <f t="shared" si="243"/>
        <v>-7.4239646491315286E-2</v>
      </c>
      <c r="AN814" s="28">
        <f t="shared" si="243"/>
        <v>-7.4296888099696562E-2</v>
      </c>
      <c r="AO814" s="28">
        <f t="shared" si="243"/>
        <v>-7.4361303731255379E-2</v>
      </c>
      <c r="AP814" s="28">
        <f t="shared" si="243"/>
        <v>-7.4432614822324453E-2</v>
      </c>
      <c r="AQ814" s="28">
        <f t="shared" si="243"/>
        <v>-7.4510561936601619E-2</v>
      </c>
      <c r="AR814" s="28">
        <f t="shared" si="243"/>
        <v>-7.4594903121597153E-2</v>
      </c>
      <c r="AS814" s="28">
        <f t="shared" si="243"/>
        <v>-7.4596092548896764E-2</v>
      </c>
      <c r="AT814" s="28">
        <f t="shared" si="243"/>
        <v>-7.4603203438028065E-2</v>
      </c>
      <c r="AU814" s="28">
        <f t="shared" si="243"/>
        <v>-7.4616016856982936E-2</v>
      </c>
      <c r="AV814" s="28">
        <f t="shared" si="243"/>
        <v>-7.4634327286008981E-2</v>
      </c>
      <c r="AW814" s="28">
        <f t="shared" si="243"/>
        <v>-7.465794157590501E-2</v>
      </c>
      <c r="AY814" s="85"/>
      <c r="AZ814" s="85"/>
    </row>
    <row r="815" spans="1:52" x14ac:dyDescent="0.25">
      <c r="A815" s="102" t="str">
        <f t="shared" si="224"/>
        <v>BD Synthetic</v>
      </c>
      <c r="B815" s="102" t="s">
        <v>1229</v>
      </c>
      <c r="C815" s="102" t="s">
        <v>1127</v>
      </c>
      <c r="D815" t="s">
        <v>369</v>
      </c>
      <c r="E815" t="s">
        <v>55</v>
      </c>
      <c r="H815" t="s">
        <v>419</v>
      </c>
      <c r="I815" t="s">
        <v>139</v>
      </c>
      <c r="J815" t="s">
        <v>287</v>
      </c>
      <c r="K815" s="28">
        <f>K1463</f>
        <v>6.6064812063358538</v>
      </c>
      <c r="L815" s="28">
        <f t="shared" ref="L815:AW822" si="244">L1463</f>
        <v>6.6055332632324646</v>
      </c>
      <c r="M815" s="28">
        <f t="shared" si="244"/>
        <v>6.6042378924026437</v>
      </c>
      <c r="N815" s="28">
        <f t="shared" si="244"/>
        <v>6.6032976249569808</v>
      </c>
      <c r="O815" s="28">
        <f t="shared" si="244"/>
        <v>6.6028397217143464</v>
      </c>
      <c r="P815" s="28">
        <f t="shared" si="244"/>
        <v>6.6023877667619955</v>
      </c>
      <c r="Q815" s="28">
        <f t="shared" si="244"/>
        <v>6.6017040685586048</v>
      </c>
      <c r="R815" s="28">
        <f t="shared" si="244"/>
        <v>6.6009555191940086</v>
      </c>
      <c r="S815" s="28">
        <f t="shared" si="244"/>
        <v>6.6007105452260202</v>
      </c>
      <c r="T815" s="28">
        <f t="shared" si="244"/>
        <v>6.6052103201480445</v>
      </c>
      <c r="U815" s="28">
        <f t="shared" si="244"/>
        <v>6.6038066881148643</v>
      </c>
      <c r="V815" s="28">
        <f t="shared" si="244"/>
        <v>6.60254471504373</v>
      </c>
      <c r="W815" s="28">
        <f t="shared" si="244"/>
        <v>6.6012944407562824</v>
      </c>
      <c r="X815" s="28">
        <f t="shared" si="244"/>
        <v>6.5998592560706051</v>
      </c>
      <c r="Y815" s="28">
        <f t="shared" si="244"/>
        <v>6.5984396481179575</v>
      </c>
      <c r="Z815" s="28">
        <f t="shared" si="244"/>
        <v>6.5970003432051669</v>
      </c>
      <c r="AA815" s="28">
        <f t="shared" si="244"/>
        <v>6.595622302868513</v>
      </c>
      <c r="AB815" s="28">
        <f t="shared" si="244"/>
        <v>6.5941853622185969</v>
      </c>
      <c r="AC815" s="28">
        <f t="shared" si="244"/>
        <v>6.592850540390411</v>
      </c>
      <c r="AD815" s="28">
        <f t="shared" si="244"/>
        <v>6.5915038110737925</v>
      </c>
      <c r="AE815" s="28">
        <f t="shared" si="244"/>
        <v>6.5899366744546857</v>
      </c>
      <c r="AF815" s="28">
        <f t="shared" si="244"/>
        <v>6.5882822576482969</v>
      </c>
      <c r="AG815" s="28">
        <f t="shared" si="244"/>
        <v>6.5866069718802809</v>
      </c>
      <c r="AH815" s="28">
        <f t="shared" si="244"/>
        <v>6.5862744996812319</v>
      </c>
      <c r="AI815" s="28">
        <f t="shared" si="244"/>
        <v>6.7244352177988764</v>
      </c>
      <c r="AJ815" s="28">
        <f t="shared" si="244"/>
        <v>6.7246796459520661</v>
      </c>
      <c r="AK815" s="28">
        <f t="shared" si="244"/>
        <v>6.7249266471091245</v>
      </c>
      <c r="AL815" s="28">
        <f t="shared" si="244"/>
        <v>6.7251762567164626</v>
      </c>
      <c r="AM815" s="28">
        <f t="shared" si="244"/>
        <v>6.725428510887201</v>
      </c>
      <c r="AN815" s="28">
        <f t="shared" si="244"/>
        <v>6.7256834464178157</v>
      </c>
      <c r="AO815" s="28">
        <f t="shared" si="244"/>
        <v>6.7259019731905472</v>
      </c>
      <c r="AP815" s="28">
        <f t="shared" si="244"/>
        <v>6.7261224822219834</v>
      </c>
      <c r="AQ815" s="28">
        <f t="shared" si="244"/>
        <v>6.7263449972304938</v>
      </c>
      <c r="AR815" s="28">
        <f t="shared" si="244"/>
        <v>6.7265695423235661</v>
      </c>
      <c r="AS815" s="28">
        <f t="shared" si="244"/>
        <v>6.7267961420062665</v>
      </c>
      <c r="AT815" s="28">
        <f t="shared" si="244"/>
        <v>6.72698404674487</v>
      </c>
      <c r="AU815" s="28">
        <f t="shared" si="244"/>
        <v>6.7271733718738833</v>
      </c>
      <c r="AV815" s="28">
        <f t="shared" si="244"/>
        <v>6.7273641316511892</v>
      </c>
      <c r="AW815" s="28">
        <f t="shared" si="244"/>
        <v>6.7275563405315459</v>
      </c>
      <c r="AY815" s="85"/>
      <c r="AZ815" s="85"/>
    </row>
    <row r="816" spans="1:52" x14ac:dyDescent="0.25">
      <c r="A816" s="102" t="str">
        <f t="shared" si="224"/>
        <v>BD Organic</v>
      </c>
      <c r="B816" s="102" t="s">
        <v>1229</v>
      </c>
      <c r="C816" s="102" t="s">
        <v>1128</v>
      </c>
      <c r="D816" t="s">
        <v>369</v>
      </c>
      <c r="E816" t="s">
        <v>55</v>
      </c>
      <c r="H816" t="s">
        <v>420</v>
      </c>
      <c r="I816" t="s">
        <v>139</v>
      </c>
      <c r="J816" t="s">
        <v>287</v>
      </c>
      <c r="K816" s="28">
        <f t="shared" ref="K816:Z839" si="245">K1464</f>
        <v>4.3602775961816637E-2</v>
      </c>
      <c r="L816" s="28">
        <f t="shared" si="245"/>
        <v>4.3596519537334268E-2</v>
      </c>
      <c r="M816" s="28">
        <f t="shared" si="245"/>
        <v>4.3587970089857465E-2</v>
      </c>
      <c r="N816" s="28">
        <f t="shared" si="245"/>
        <v>4.3581764324716096E-2</v>
      </c>
      <c r="O816" s="28">
        <f t="shared" si="245"/>
        <v>4.3578742163314678E-2</v>
      </c>
      <c r="P816" s="28">
        <f t="shared" si="245"/>
        <v>4.3575759260629177E-2</v>
      </c>
      <c r="Q816" s="28">
        <f t="shared" si="245"/>
        <v>4.3571246852486797E-2</v>
      </c>
      <c r="R816" s="28">
        <f t="shared" si="245"/>
        <v>4.3566306426680468E-2</v>
      </c>
      <c r="S816" s="28">
        <f t="shared" si="245"/>
        <v>4.3564689598491746E-2</v>
      </c>
      <c r="T816" s="28">
        <f t="shared" si="245"/>
        <v>4.3594388112977112E-2</v>
      </c>
      <c r="U816" s="28">
        <f t="shared" si="245"/>
        <v>4.3585124141558115E-2</v>
      </c>
      <c r="V816" s="28">
        <f t="shared" si="245"/>
        <v>4.3576795119288615E-2</v>
      </c>
      <c r="W816" s="28">
        <f t="shared" si="245"/>
        <v>4.3568543308991473E-2</v>
      </c>
      <c r="X816" s="28">
        <f t="shared" si="245"/>
        <v>4.3559071090065994E-2</v>
      </c>
      <c r="Y816" s="28">
        <f t="shared" si="245"/>
        <v>4.3549701677578524E-2</v>
      </c>
      <c r="Z816" s="28">
        <f t="shared" si="245"/>
        <v>4.3540202265154107E-2</v>
      </c>
      <c r="AA816" s="28">
        <f t="shared" si="244"/>
        <v>4.3531107198932197E-2</v>
      </c>
      <c r="AB816" s="28">
        <f t="shared" si="244"/>
        <v>4.352162339064275E-2</v>
      </c>
      <c r="AC816" s="28">
        <f t="shared" si="244"/>
        <v>4.351281356657672E-2</v>
      </c>
      <c r="AD816" s="28">
        <f t="shared" si="244"/>
        <v>4.3503925153087042E-2</v>
      </c>
      <c r="AE816" s="28">
        <f t="shared" si="244"/>
        <v>4.3493582051400928E-2</v>
      </c>
      <c r="AF816" s="28">
        <f t="shared" si="244"/>
        <v>4.3482662900478766E-2</v>
      </c>
      <c r="AG816" s="28">
        <f t="shared" si="244"/>
        <v>4.3471606014409865E-2</v>
      </c>
      <c r="AH816" s="28">
        <f t="shared" si="244"/>
        <v>4.3469411697896136E-2</v>
      </c>
      <c r="AI816" s="28">
        <f t="shared" si="244"/>
        <v>4.4381272437472585E-2</v>
      </c>
      <c r="AJ816" s="28">
        <f t="shared" si="244"/>
        <v>4.4382885663283633E-2</v>
      </c>
      <c r="AK816" s="28">
        <f t="shared" si="244"/>
        <v>4.4384515870920224E-2</v>
      </c>
      <c r="AL816" s="28">
        <f t="shared" si="244"/>
        <v>4.4386163294328665E-2</v>
      </c>
      <c r="AM816" s="28">
        <f t="shared" si="244"/>
        <v>4.4387828171855534E-2</v>
      </c>
      <c r="AN816" s="28">
        <f t="shared" si="244"/>
        <v>4.4389510746357594E-2</v>
      </c>
      <c r="AO816" s="28">
        <f t="shared" si="244"/>
        <v>4.4390953023057615E-2</v>
      </c>
      <c r="AP816" s="28">
        <f t="shared" si="244"/>
        <v>4.4392408382665088E-2</v>
      </c>
      <c r="AQ816" s="28">
        <f t="shared" si="244"/>
        <v>4.4393876981721259E-2</v>
      </c>
      <c r="AR816" s="28">
        <f t="shared" si="244"/>
        <v>4.4395358979335532E-2</v>
      </c>
      <c r="AS816" s="28">
        <f t="shared" si="244"/>
        <v>4.4396854537241355E-2</v>
      </c>
      <c r="AT816" s="28">
        <f t="shared" si="244"/>
        <v>4.4398094708516155E-2</v>
      </c>
      <c r="AU816" s="28">
        <f t="shared" si="244"/>
        <v>4.4399344254367645E-2</v>
      </c>
      <c r="AV816" s="28">
        <f t="shared" si="244"/>
        <v>4.4400603268897852E-2</v>
      </c>
      <c r="AW816" s="28">
        <f t="shared" si="244"/>
        <v>4.4401871847508219E-2</v>
      </c>
      <c r="AY816" s="85"/>
      <c r="AZ816" s="85"/>
    </row>
    <row r="817" spans="1:52" x14ac:dyDescent="0.25">
      <c r="A817" s="102" t="str">
        <f t="shared" si="224"/>
        <v>BD Crop residues</v>
      </c>
      <c r="B817" s="102" t="s">
        <v>1229</v>
      </c>
      <c r="C817" s="102" t="s">
        <v>58</v>
      </c>
      <c r="D817" t="s">
        <v>369</v>
      </c>
      <c r="E817" t="s">
        <v>55</v>
      </c>
      <c r="H817" t="s">
        <v>58</v>
      </c>
      <c r="I817" t="s">
        <v>139</v>
      </c>
      <c r="J817" t="s">
        <v>287</v>
      </c>
      <c r="K817" s="28">
        <f t="shared" si="245"/>
        <v>2.94930909510781</v>
      </c>
      <c r="L817" s="28">
        <f t="shared" si="244"/>
        <v>2.9563860470471841</v>
      </c>
      <c r="M817" s="28">
        <f t="shared" si="244"/>
        <v>2.9660567509887259</v>
      </c>
      <c r="N817" s="28">
        <f t="shared" si="244"/>
        <v>2.9730763996357101</v>
      </c>
      <c r="O817" s="28">
        <f t="shared" si="244"/>
        <v>2.9764949162422756</v>
      </c>
      <c r="P817" s="28">
        <f t="shared" si="244"/>
        <v>2.9798690253687776</v>
      </c>
      <c r="Q817" s="28">
        <f t="shared" si="244"/>
        <v>2.9849732339537955</v>
      </c>
      <c r="R817" s="28">
        <f t="shared" si="244"/>
        <v>2.9905615945405919</v>
      </c>
      <c r="S817" s="28">
        <f t="shared" si="244"/>
        <v>2.9923904690707688</v>
      </c>
      <c r="T817" s="28">
        <f t="shared" si="244"/>
        <v>2.9587970068183171</v>
      </c>
      <c r="U817" s="28">
        <f t="shared" si="244"/>
        <v>2.9692759442185355</v>
      </c>
      <c r="V817" s="28">
        <f t="shared" si="244"/>
        <v>2.9786973142789162</v>
      </c>
      <c r="W817" s="28">
        <f t="shared" si="244"/>
        <v>2.9880313460490315</v>
      </c>
      <c r="X817" s="28">
        <f t="shared" si="244"/>
        <v>2.9987458425292064</v>
      </c>
      <c r="Y817" s="28">
        <f t="shared" si="244"/>
        <v>3.0093440495500001</v>
      </c>
      <c r="Z817" s="28">
        <f t="shared" si="244"/>
        <v>3.0200893059451359</v>
      </c>
      <c r="AA817" s="28">
        <f t="shared" si="244"/>
        <v>3.0303771863022528</v>
      </c>
      <c r="AB817" s="28">
        <f t="shared" si="244"/>
        <v>3.0411047920866441</v>
      </c>
      <c r="AC817" s="28">
        <f t="shared" si="244"/>
        <v>3.0510700208983077</v>
      </c>
      <c r="AD817" s="28">
        <f t="shared" si="244"/>
        <v>3.0611241461036762</v>
      </c>
      <c r="AE817" s="28">
        <f t="shared" si="244"/>
        <v>3.0728237412547079</v>
      </c>
      <c r="AF817" s="28">
        <f t="shared" si="244"/>
        <v>3.0851749342584296</v>
      </c>
      <c r="AG817" s="28">
        <f t="shared" si="244"/>
        <v>3.0976819263158513</v>
      </c>
      <c r="AH817" s="28">
        <f t="shared" si="244"/>
        <v>3.100164026523585</v>
      </c>
      <c r="AI817" s="28">
        <f t="shared" si="244"/>
        <v>2.0687131319155303</v>
      </c>
      <c r="AJ817" s="28">
        <f t="shared" si="244"/>
        <v>2.0668883322133484</v>
      </c>
      <c r="AK817" s="28">
        <f t="shared" si="244"/>
        <v>2.0650443235262905</v>
      </c>
      <c r="AL817" s="28">
        <f t="shared" si="244"/>
        <v>2.0631808412261146</v>
      </c>
      <c r="AM817" s="28">
        <f t="shared" si="244"/>
        <v>2.0612976157071592</v>
      </c>
      <c r="AN817" s="28">
        <f t="shared" si="244"/>
        <v>2.0593943722621146</v>
      </c>
      <c r="AO817" s="28">
        <f t="shared" si="244"/>
        <v>2.0577629415754459</v>
      </c>
      <c r="AP817" s="28">
        <f t="shared" si="244"/>
        <v>2.056116712163484</v>
      </c>
      <c r="AQ817" s="28">
        <f t="shared" si="244"/>
        <v>2.0544555069546533</v>
      </c>
      <c r="AR817" s="28">
        <f t="shared" si="244"/>
        <v>2.0527791459724298</v>
      </c>
      <c r="AS817" s="28">
        <f t="shared" si="244"/>
        <v>2.0510874462720836</v>
      </c>
      <c r="AT817" s="28">
        <f t="shared" si="244"/>
        <v>2.0496846270527396</v>
      </c>
      <c r="AU817" s="28">
        <f t="shared" si="244"/>
        <v>2.0482712037848629</v>
      </c>
      <c r="AV817" s="28">
        <f t="shared" si="244"/>
        <v>2.0468470700250148</v>
      </c>
      <c r="AW817" s="28">
        <f t="shared" si="244"/>
        <v>2.0454121178598972</v>
      </c>
      <c r="AY817" s="85"/>
      <c r="AZ817" s="85"/>
    </row>
    <row r="818" spans="1:52" x14ac:dyDescent="0.25">
      <c r="A818" s="102" t="str">
        <f t="shared" si="224"/>
        <v>BD Organic</v>
      </c>
      <c r="B818" s="102" t="s">
        <v>1229</v>
      </c>
      <c r="C818" s="102" t="s">
        <v>1128</v>
      </c>
      <c r="D818" t="s">
        <v>369</v>
      </c>
      <c r="E818" t="s">
        <v>55</v>
      </c>
      <c r="F818" t="s">
        <v>421</v>
      </c>
      <c r="G818" t="s">
        <v>1153</v>
      </c>
      <c r="H818" t="s">
        <v>1154</v>
      </c>
      <c r="I818" t="s">
        <v>139</v>
      </c>
      <c r="J818" t="s">
        <v>287</v>
      </c>
      <c r="K818" s="28">
        <f t="shared" si="245"/>
        <v>0.31935878855248062</v>
      </c>
      <c r="L818" s="28">
        <f t="shared" si="244"/>
        <v>0.3213452540874065</v>
      </c>
      <c r="M818" s="28">
        <f t="shared" si="244"/>
        <v>0.32271097650720204</v>
      </c>
      <c r="N818" s="28">
        <f t="shared" si="244"/>
        <v>0.32313928716206192</v>
      </c>
      <c r="O818" s="28">
        <f t="shared" si="244"/>
        <v>0.32371872756630715</v>
      </c>
      <c r="P818" s="28">
        <f t="shared" si="244"/>
        <v>0.32498792219339984</v>
      </c>
      <c r="Q818" s="28">
        <f t="shared" si="244"/>
        <v>0.32650955781340663</v>
      </c>
      <c r="R818" s="28">
        <f t="shared" si="244"/>
        <v>0.32696667302614263</v>
      </c>
      <c r="S818" s="28">
        <f t="shared" si="244"/>
        <v>0.31692886960594807</v>
      </c>
      <c r="T818" s="28">
        <f t="shared" si="244"/>
        <v>0.319539305941619</v>
      </c>
      <c r="U818" s="28">
        <f t="shared" si="244"/>
        <v>0.32193300192732111</v>
      </c>
      <c r="V818" s="28">
        <f t="shared" si="244"/>
        <v>0.32438733794310681</v>
      </c>
      <c r="W818" s="28">
        <f t="shared" si="244"/>
        <v>0.32734391954355124</v>
      </c>
      <c r="X818" s="28">
        <f t="shared" si="244"/>
        <v>0.33035597962068947</v>
      </c>
      <c r="Y818" s="28">
        <f t="shared" si="244"/>
        <v>0.33328887796807738</v>
      </c>
      <c r="Z818" s="28">
        <f t="shared" si="244"/>
        <v>0.33616310143447364</v>
      </c>
      <c r="AA818" s="28">
        <f t="shared" si="244"/>
        <v>0.33925895533631584</v>
      </c>
      <c r="AB818" s="28">
        <f t="shared" si="244"/>
        <v>0.34219066812704535</v>
      </c>
      <c r="AC818" s="28">
        <f t="shared" si="244"/>
        <v>0.34522753941235912</v>
      </c>
      <c r="AD818" s="28">
        <f t="shared" si="244"/>
        <v>0.34871662740286707</v>
      </c>
      <c r="AE818" s="28">
        <f t="shared" si="244"/>
        <v>0.3525166109950878</v>
      </c>
      <c r="AF818" s="28">
        <f t="shared" si="244"/>
        <v>0.3564674247563781</v>
      </c>
      <c r="AG818" s="28">
        <f t="shared" si="244"/>
        <v>0.35701929306188401</v>
      </c>
      <c r="AH818" s="28">
        <f t="shared" si="244"/>
        <v>0.19114464625483749</v>
      </c>
      <c r="AI818" s="28">
        <f t="shared" si="244"/>
        <v>0.19128523197534555</v>
      </c>
      <c r="AJ818" s="28">
        <f t="shared" si="244"/>
        <v>0.19144428532787389</v>
      </c>
      <c r="AK818" s="28">
        <f t="shared" si="244"/>
        <v>0.19162110436440311</v>
      </c>
      <c r="AL818" s="28">
        <f t="shared" si="244"/>
        <v>0.19181504119818318</v>
      </c>
      <c r="AM818" s="28">
        <f t="shared" si="244"/>
        <v>0.19202549687963794</v>
      </c>
      <c r="AN818" s="28">
        <f t="shared" si="244"/>
        <v>0.19211610433852847</v>
      </c>
      <c r="AO818" s="28">
        <f t="shared" si="244"/>
        <v>0.19222125892017863</v>
      </c>
      <c r="AP818" s="28">
        <f t="shared" si="244"/>
        <v>0.1923404525383117</v>
      </c>
      <c r="AQ818" s="28">
        <f t="shared" si="244"/>
        <v>0.19247321177682317</v>
      </c>
      <c r="AR818" s="28">
        <f t="shared" si="244"/>
        <v>0.19261909494773871</v>
      </c>
      <c r="AS818" s="28">
        <f t="shared" si="244"/>
        <v>0.19264041350385425</v>
      </c>
      <c r="AT818" s="28">
        <f t="shared" si="244"/>
        <v>0.19267336675119676</v>
      </c>
      <c r="AU818" s="28">
        <f t="shared" si="244"/>
        <v>0.19271756905587112</v>
      </c>
      <c r="AV818" s="28">
        <f t="shared" si="244"/>
        <v>0.19277265827645768</v>
      </c>
      <c r="AW818" s="28">
        <f t="shared" si="244"/>
        <v>0.19283829395934973</v>
      </c>
      <c r="AY818" s="85"/>
      <c r="AZ818" s="85"/>
    </row>
    <row r="819" spans="1:52" x14ac:dyDescent="0.25">
      <c r="A819" s="102" t="str">
        <f t="shared" si="224"/>
        <v>BD Organic</v>
      </c>
      <c r="B819" s="102" t="s">
        <v>1229</v>
      </c>
      <c r="C819" s="102" t="s">
        <v>1128</v>
      </c>
      <c r="D819" t="s">
        <v>369</v>
      </c>
      <c r="E819" t="s">
        <v>55</v>
      </c>
      <c r="F819" t="s">
        <v>421</v>
      </c>
      <c r="G819" t="s">
        <v>1155</v>
      </c>
      <c r="H819" t="s">
        <v>1156</v>
      </c>
      <c r="I819" t="s">
        <v>139</v>
      </c>
      <c r="J819" t="s">
        <v>287</v>
      </c>
      <c r="K819" s="28">
        <f t="shared" si="245"/>
        <v>0.93379576098906358</v>
      </c>
      <c r="L819" s="28">
        <f t="shared" si="244"/>
        <v>0.93960412813709904</v>
      </c>
      <c r="M819" s="28">
        <f t="shared" si="244"/>
        <v>0.94359746056447114</v>
      </c>
      <c r="N819" s="28">
        <f t="shared" si="244"/>
        <v>0.94484982839723786</v>
      </c>
      <c r="O819" s="28">
        <f t="shared" si="244"/>
        <v>0.94654409519879523</v>
      </c>
      <c r="P819" s="28">
        <f t="shared" si="244"/>
        <v>0.95025518318237956</v>
      </c>
      <c r="Q819" s="28">
        <f t="shared" si="244"/>
        <v>0.95470440124890821</v>
      </c>
      <c r="R819" s="28">
        <f t="shared" si="244"/>
        <v>0.95604099276677834</v>
      </c>
      <c r="S819" s="28">
        <f t="shared" si="244"/>
        <v>0.9266907490302454</v>
      </c>
      <c r="T819" s="28">
        <f t="shared" si="244"/>
        <v>0.93432358855731779</v>
      </c>
      <c r="U819" s="28">
        <f t="shared" si="244"/>
        <v>0.94132268563767829</v>
      </c>
      <c r="V819" s="28">
        <f t="shared" si="244"/>
        <v>0.94849909239313801</v>
      </c>
      <c r="W819" s="28">
        <f t="shared" si="244"/>
        <v>0.95714405055454344</v>
      </c>
      <c r="X819" s="28">
        <f t="shared" si="244"/>
        <v>0.96595122615983853</v>
      </c>
      <c r="Y819" s="28">
        <f t="shared" si="244"/>
        <v>0.97452693518170752</v>
      </c>
      <c r="Z819" s="28">
        <f t="shared" si="244"/>
        <v>0.98293108056696943</v>
      </c>
      <c r="AA819" s="28">
        <f t="shared" si="244"/>
        <v>0.99198326686591187</v>
      </c>
      <c r="AB819" s="28">
        <f t="shared" si="244"/>
        <v>1.0005555093547731</v>
      </c>
      <c r="AC819" s="28">
        <f t="shared" si="244"/>
        <v>1.0094352322073954</v>
      </c>
      <c r="AD819" s="28">
        <f t="shared" si="244"/>
        <v>1.0196372234850481</v>
      </c>
      <c r="AE819" s="28">
        <f t="shared" si="244"/>
        <v>1.0307482644127997</v>
      </c>
      <c r="AF819" s="28">
        <f t="shared" si="244"/>
        <v>1.0423003283452565</v>
      </c>
      <c r="AG819" s="28">
        <f t="shared" si="244"/>
        <v>1.0439139751361945</v>
      </c>
      <c r="AH819" s="28">
        <f t="shared" si="244"/>
        <v>0.55890135736530644</v>
      </c>
      <c r="AI819" s="28">
        <f t="shared" si="244"/>
        <v>0.55931242590192343</v>
      </c>
      <c r="AJ819" s="28">
        <f t="shared" si="244"/>
        <v>0.55977749325464987</v>
      </c>
      <c r="AK819" s="28">
        <f t="shared" si="244"/>
        <v>0.56029450694799943</v>
      </c>
      <c r="AL819" s="28">
        <f t="shared" si="244"/>
        <v>0.56086157258005664</v>
      </c>
      <c r="AM819" s="28">
        <f t="shared" si="244"/>
        <v>0.5614769388397709</v>
      </c>
      <c r="AN819" s="28">
        <f t="shared" si="244"/>
        <v>0.56174187240057738</v>
      </c>
      <c r="AO819" s="28">
        <f t="shared" si="244"/>
        <v>0.56204934132303475</v>
      </c>
      <c r="AP819" s="28">
        <f t="shared" si="244"/>
        <v>0.56239785997772429</v>
      </c>
      <c r="AQ819" s="28">
        <f t="shared" si="244"/>
        <v>0.56278604410979705</v>
      </c>
      <c r="AR819" s="28">
        <f t="shared" si="244"/>
        <v>0.56321260223652991</v>
      </c>
      <c r="AS819" s="28">
        <f t="shared" si="244"/>
        <v>0.56327493707134479</v>
      </c>
      <c r="AT819" s="28">
        <f t="shared" si="244"/>
        <v>0.56337129140315678</v>
      </c>
      <c r="AU819" s="28">
        <f t="shared" si="244"/>
        <v>0.56350053764973096</v>
      </c>
      <c r="AV819" s="28">
        <f t="shared" si="244"/>
        <v>0.5636616169201436</v>
      </c>
      <c r="AW819" s="28">
        <f t="shared" si="244"/>
        <v>0.56385353373800251</v>
      </c>
      <c r="AY819" s="85"/>
      <c r="AZ819" s="85"/>
    </row>
    <row r="820" spans="1:52" x14ac:dyDescent="0.25">
      <c r="A820" s="102" t="str">
        <f t="shared" si="224"/>
        <v>BD Organic</v>
      </c>
      <c r="B820" s="102" t="s">
        <v>1229</v>
      </c>
      <c r="C820" s="102" t="s">
        <v>1128</v>
      </c>
      <c r="D820" t="s">
        <v>369</v>
      </c>
      <c r="E820" t="s">
        <v>55</v>
      </c>
      <c r="F820" t="s">
        <v>421</v>
      </c>
      <c r="G820" t="s">
        <v>1157</v>
      </c>
      <c r="H820" t="s">
        <v>1158</v>
      </c>
      <c r="I820" t="s">
        <v>139</v>
      </c>
      <c r="J820" t="s">
        <v>287</v>
      </c>
      <c r="K820" s="28">
        <f t="shared" si="245"/>
        <v>4.9952808112492433E-2</v>
      </c>
      <c r="L820" s="28">
        <f t="shared" si="244"/>
        <v>5.0263523005099557E-2</v>
      </c>
      <c r="M820" s="28">
        <f t="shared" si="244"/>
        <v>5.0477143774016554E-2</v>
      </c>
      <c r="N820" s="28">
        <f t="shared" si="244"/>
        <v>5.0544138391737034E-2</v>
      </c>
      <c r="O820" s="28">
        <f t="shared" si="244"/>
        <v>5.063477211269108E-2</v>
      </c>
      <c r="P820" s="28">
        <f t="shared" si="244"/>
        <v>5.0833294395268382E-2</v>
      </c>
      <c r="Q820" s="28">
        <f t="shared" si="244"/>
        <v>5.1071302475421292E-2</v>
      </c>
      <c r="R820" s="28">
        <f t="shared" si="244"/>
        <v>5.1142802585409194E-2</v>
      </c>
      <c r="S820" s="28">
        <f t="shared" si="244"/>
        <v>4.9572730033491622E-2</v>
      </c>
      <c r="T820" s="28">
        <f t="shared" si="244"/>
        <v>4.9981043911298741E-2</v>
      </c>
      <c r="U820" s="28">
        <f t="shared" si="244"/>
        <v>5.0355456141490972E-2</v>
      </c>
      <c r="V820" s="28">
        <f t="shared" si="244"/>
        <v>5.0739353439560694E-2</v>
      </c>
      <c r="W820" s="28">
        <f t="shared" si="244"/>
        <v>5.1201809957589661E-2</v>
      </c>
      <c r="X820" s="28">
        <f t="shared" si="244"/>
        <v>5.1672944194222255E-2</v>
      </c>
      <c r="Y820" s="28">
        <f t="shared" si="244"/>
        <v>5.2131696273739363E-2</v>
      </c>
      <c r="Z820" s="28">
        <f t="shared" si="244"/>
        <v>5.2581270666039896E-2</v>
      </c>
      <c r="AA820" s="28">
        <f t="shared" si="244"/>
        <v>5.3065511593317877E-2</v>
      </c>
      <c r="AB820" s="28">
        <f t="shared" si="244"/>
        <v>5.3524078232864716E-2</v>
      </c>
      <c r="AC820" s="28">
        <f t="shared" si="244"/>
        <v>5.3999093338179975E-2</v>
      </c>
      <c r="AD820" s="28">
        <f t="shared" si="244"/>
        <v>5.4544842348775345E-2</v>
      </c>
      <c r="AE820" s="28">
        <f t="shared" si="244"/>
        <v>5.5139220390078653E-2</v>
      </c>
      <c r="AF820" s="28">
        <f t="shared" si="244"/>
        <v>5.5757190675476007E-2</v>
      </c>
      <c r="AG820" s="28">
        <f t="shared" si="244"/>
        <v>5.5843511680428629E-2</v>
      </c>
      <c r="AH820" s="28">
        <f t="shared" si="244"/>
        <v>2.9898071317768258E-2</v>
      </c>
      <c r="AI820" s="28">
        <f t="shared" si="244"/>
        <v>2.9920061166714414E-2</v>
      </c>
      <c r="AJ820" s="28">
        <f t="shared" si="244"/>
        <v>2.994493964785629E-2</v>
      </c>
      <c r="AK820" s="28">
        <f t="shared" si="244"/>
        <v>2.9972596965328013E-2</v>
      </c>
      <c r="AL820" s="28">
        <f t="shared" si="244"/>
        <v>3.0002931779308462E-2</v>
      </c>
      <c r="AM820" s="28">
        <f t="shared" si="244"/>
        <v>3.0035850404531023E-2</v>
      </c>
      <c r="AN820" s="28">
        <f t="shared" si="244"/>
        <v>3.0050022856236633E-2</v>
      </c>
      <c r="AO820" s="28">
        <f t="shared" si="244"/>
        <v>3.0066470709959804E-2</v>
      </c>
      <c r="AP820" s="28">
        <f t="shared" si="244"/>
        <v>3.0085114492903187E-2</v>
      </c>
      <c r="AQ820" s="28">
        <f t="shared" si="244"/>
        <v>3.0105880155237338E-2</v>
      </c>
      <c r="AR820" s="28">
        <f t="shared" si="244"/>
        <v>3.0128698609918406E-2</v>
      </c>
      <c r="AS820" s="28">
        <f t="shared" si="244"/>
        <v>3.0132033172113177E-2</v>
      </c>
      <c r="AT820" s="28">
        <f t="shared" si="244"/>
        <v>3.0137187585582245E-2</v>
      </c>
      <c r="AU820" s="28">
        <f t="shared" si="244"/>
        <v>3.0144101531033828E-2</v>
      </c>
      <c r="AV820" s="28">
        <f t="shared" si="244"/>
        <v>3.0152718363773888E-2</v>
      </c>
      <c r="AW820" s="28">
        <f t="shared" si="244"/>
        <v>3.0162984831428343E-2</v>
      </c>
      <c r="AY820" s="85"/>
      <c r="AZ820" s="85"/>
    </row>
    <row r="821" spans="1:52" x14ac:dyDescent="0.25">
      <c r="A821" s="102" t="str">
        <f t="shared" si="224"/>
        <v>BD Organic</v>
      </c>
      <c r="B821" s="102" t="s">
        <v>1229</v>
      </c>
      <c r="C821" s="102" t="s">
        <v>1128</v>
      </c>
      <c r="D821" t="s">
        <v>369</v>
      </c>
      <c r="E821" t="s">
        <v>55</v>
      </c>
      <c r="F821" t="s">
        <v>421</v>
      </c>
      <c r="G821" t="s">
        <v>1159</v>
      </c>
      <c r="H821" t="s">
        <v>1160</v>
      </c>
      <c r="I821" t="s">
        <v>139</v>
      </c>
      <c r="J821" t="s">
        <v>287</v>
      </c>
      <c r="K821" s="28">
        <f t="shared" si="245"/>
        <v>0.40352425177353124</v>
      </c>
      <c r="L821" s="28">
        <f t="shared" si="244"/>
        <v>0.40084951633384258</v>
      </c>
      <c r="M821" s="28">
        <f t="shared" si="244"/>
        <v>0.39521001590024774</v>
      </c>
      <c r="N821" s="28">
        <f t="shared" si="244"/>
        <v>0.3857038563965185</v>
      </c>
      <c r="O821" s="28">
        <f t="shared" si="244"/>
        <v>0.37648074986973956</v>
      </c>
      <c r="P821" s="28">
        <f t="shared" si="244"/>
        <v>0.36938688643597767</v>
      </c>
      <c r="Q821" s="28">
        <f t="shared" si="244"/>
        <v>0.36297043234615178</v>
      </c>
      <c r="R821" s="28">
        <f t="shared" si="244"/>
        <v>0.35288211799047686</v>
      </c>
      <c r="S821" s="28">
        <f t="shared" si="244"/>
        <v>0.30949900697043298</v>
      </c>
      <c r="T821" s="28">
        <f t="shared" si="244"/>
        <v>0.31244902874448233</v>
      </c>
      <c r="U821" s="28">
        <f t="shared" si="244"/>
        <v>0.31444522818952964</v>
      </c>
      <c r="V821" s="28">
        <f t="shared" si="244"/>
        <v>0.31637649984131477</v>
      </c>
      <c r="W821" s="28">
        <f t="shared" si="244"/>
        <v>0.31957035863343569</v>
      </c>
      <c r="X821" s="28">
        <f t="shared" si="244"/>
        <v>0.32265895567955921</v>
      </c>
      <c r="Y821" s="28">
        <f t="shared" si="244"/>
        <v>0.32590151896633945</v>
      </c>
      <c r="Z821" s="28">
        <f t="shared" si="244"/>
        <v>0.32872445709091741</v>
      </c>
      <c r="AA821" s="28">
        <f t="shared" si="244"/>
        <v>0.33193734347454801</v>
      </c>
      <c r="AB821" s="28">
        <f t="shared" si="244"/>
        <v>0.33445153592828769</v>
      </c>
      <c r="AC821" s="28">
        <f t="shared" si="244"/>
        <v>0.33703471359982889</v>
      </c>
      <c r="AD821" s="28">
        <f t="shared" si="244"/>
        <v>0.3382378632765542</v>
      </c>
      <c r="AE821" s="28">
        <f t="shared" si="244"/>
        <v>0.33988762558713326</v>
      </c>
      <c r="AF821" s="28">
        <f t="shared" si="244"/>
        <v>0.34153102086249887</v>
      </c>
      <c r="AG821" s="28">
        <f t="shared" si="244"/>
        <v>0.33428783362296566</v>
      </c>
      <c r="AH821" s="28">
        <f t="shared" si="244"/>
        <v>-7.8853876190349073E-2</v>
      </c>
      <c r="AI821" s="28">
        <f t="shared" si="244"/>
        <v>-7.7024740515349702E-2</v>
      </c>
      <c r="AJ821" s="28">
        <f t="shared" si="244"/>
        <v>-7.5224693837810969E-2</v>
      </c>
      <c r="AK821" s="28">
        <f t="shared" si="244"/>
        <v>-7.3452212631802502E-2</v>
      </c>
      <c r="AL821" s="28">
        <f t="shared" si="244"/>
        <v>-7.1705878701856365E-2</v>
      </c>
      <c r="AM821" s="28">
        <f t="shared" si="244"/>
        <v>-6.9984369422605414E-2</v>
      </c>
      <c r="AN821" s="28">
        <f t="shared" si="244"/>
        <v>-6.8588614819976648E-2</v>
      </c>
      <c r="AO821" s="28">
        <f t="shared" si="244"/>
        <v>-6.7213941404815583E-2</v>
      </c>
      <c r="AP821" s="28">
        <f t="shared" si="244"/>
        <v>-6.5859393882214817E-2</v>
      </c>
      <c r="AQ821" s="28">
        <f t="shared" si="244"/>
        <v>-6.45240763716773E-2</v>
      </c>
      <c r="AR821" s="28">
        <f t="shared" si="244"/>
        <v>-6.3207147480680487E-2</v>
      </c>
      <c r="AS821" s="28">
        <f t="shared" si="244"/>
        <v>-6.1865741273458848E-2</v>
      </c>
      <c r="AT821" s="28">
        <f t="shared" si="244"/>
        <v>-6.054278111227946E-2</v>
      </c>
      <c r="AU821" s="28">
        <f t="shared" si="244"/>
        <v>-5.9237541358355558E-2</v>
      </c>
      <c r="AV821" s="28">
        <f t="shared" si="244"/>
        <v>-5.7949337141593796E-2</v>
      </c>
      <c r="AW821" s="28">
        <f t="shared" si="244"/>
        <v>-5.667752131406488E-2</v>
      </c>
      <c r="AY821" s="85"/>
      <c r="AZ821" s="85"/>
    </row>
    <row r="822" spans="1:52" x14ac:dyDescent="0.25">
      <c r="A822" s="102" t="str">
        <f t="shared" si="224"/>
        <v>BD Organic</v>
      </c>
      <c r="B822" s="102" t="s">
        <v>1229</v>
      </c>
      <c r="C822" s="102" t="s">
        <v>1128</v>
      </c>
      <c r="D822" t="s">
        <v>369</v>
      </c>
      <c r="E822" t="s">
        <v>55</v>
      </c>
      <c r="F822" t="s">
        <v>421</v>
      </c>
      <c r="G822" t="s">
        <v>1161</v>
      </c>
      <c r="H822" t="s">
        <v>1162</v>
      </c>
      <c r="I822" t="s">
        <v>139</v>
      </c>
      <c r="J822" t="s">
        <v>287</v>
      </c>
      <c r="K822" s="28">
        <f t="shared" si="245"/>
        <v>2.6837391724620612</v>
      </c>
      <c r="L822" s="28">
        <f t="shared" si="244"/>
        <v>2.6659501740464377</v>
      </c>
      <c r="M822" s="28">
        <f t="shared" si="244"/>
        <v>2.6284432629742147</v>
      </c>
      <c r="N822" s="28">
        <f t="shared" si="244"/>
        <v>2.5652201666480274</v>
      </c>
      <c r="O822" s="28">
        <f t="shared" si="244"/>
        <v>2.5038795850871476</v>
      </c>
      <c r="P822" s="28">
        <f t="shared" ref="L822:AW828" si="246">P1470</f>
        <v>2.4567000683725801</v>
      </c>
      <c r="Q822" s="28">
        <f t="shared" si="246"/>
        <v>2.414025832280235</v>
      </c>
      <c r="R822" s="28">
        <f t="shared" si="246"/>
        <v>2.3469309692046179</v>
      </c>
      <c r="S822" s="28">
        <f t="shared" si="246"/>
        <v>2.0584007161751039</v>
      </c>
      <c r="T822" s="28">
        <f t="shared" si="246"/>
        <v>2.0780205753529248</v>
      </c>
      <c r="U822" s="28">
        <f t="shared" si="246"/>
        <v>2.0912968000734335</v>
      </c>
      <c r="V822" s="28">
        <f t="shared" si="246"/>
        <v>2.1041412062318772</v>
      </c>
      <c r="W822" s="28">
        <f t="shared" si="246"/>
        <v>2.125382764611714</v>
      </c>
      <c r="X822" s="28">
        <f t="shared" si="246"/>
        <v>2.1459242533678449</v>
      </c>
      <c r="Y822" s="28">
        <f t="shared" si="246"/>
        <v>2.1674897331963128</v>
      </c>
      <c r="Z822" s="28">
        <f t="shared" si="246"/>
        <v>2.1862643907121093</v>
      </c>
      <c r="AA822" s="28">
        <f t="shared" si="246"/>
        <v>2.2076324968582024</v>
      </c>
      <c r="AB822" s="28">
        <f t="shared" si="246"/>
        <v>2.2243537639085806</v>
      </c>
      <c r="AC822" s="28">
        <f t="shared" si="246"/>
        <v>2.2415338344398443</v>
      </c>
      <c r="AD822" s="28">
        <f t="shared" si="246"/>
        <v>2.2495356829125717</v>
      </c>
      <c r="AE822" s="28">
        <f t="shared" si="246"/>
        <v>2.2605078406421084</v>
      </c>
      <c r="AF822" s="28">
        <f t="shared" si="246"/>
        <v>2.2714376528081774</v>
      </c>
      <c r="AG822" s="28">
        <f t="shared" si="246"/>
        <v>2.2232650206980202</v>
      </c>
      <c r="AH822" s="28">
        <f t="shared" si="246"/>
        <v>-0.52443746689921866</v>
      </c>
      <c r="AI822" s="28">
        <f t="shared" si="246"/>
        <v>-0.51227234165292079</v>
      </c>
      <c r="AJ822" s="28">
        <f t="shared" si="246"/>
        <v>-0.50030068007486495</v>
      </c>
      <c r="AK822" s="28">
        <f t="shared" si="246"/>
        <v>-0.48851234957400724</v>
      </c>
      <c r="AL822" s="28">
        <f t="shared" si="246"/>
        <v>-0.47689791808594317</v>
      </c>
      <c r="AM822" s="28">
        <f t="shared" si="246"/>
        <v>-0.46544858915917614</v>
      </c>
      <c r="AN822" s="28">
        <f t="shared" si="246"/>
        <v>-0.45616577335379221</v>
      </c>
      <c r="AO822" s="28">
        <f t="shared" si="246"/>
        <v>-0.44702316326928004</v>
      </c>
      <c r="AP822" s="28">
        <f t="shared" si="246"/>
        <v>-0.4380144054774302</v>
      </c>
      <c r="AQ822" s="28">
        <f t="shared" si="246"/>
        <v>-0.4291335417004612</v>
      </c>
      <c r="AR822" s="28">
        <f t="shared" si="246"/>
        <v>-0.42037497604652191</v>
      </c>
      <c r="AS822" s="28">
        <f t="shared" si="246"/>
        <v>-0.41145361786623369</v>
      </c>
      <c r="AT822" s="28">
        <f t="shared" si="246"/>
        <v>-0.40265493973831684</v>
      </c>
      <c r="AU822" s="28">
        <f t="shared" si="246"/>
        <v>-0.3939741156201515</v>
      </c>
      <c r="AV822" s="28">
        <f t="shared" si="246"/>
        <v>-0.38540659061153143</v>
      </c>
      <c r="AW822" s="28">
        <f t="shared" si="246"/>
        <v>-0.37694806069295739</v>
      </c>
      <c r="AY822" s="85"/>
      <c r="AZ822" s="85"/>
    </row>
    <row r="823" spans="1:52" x14ac:dyDescent="0.25">
      <c r="A823" s="102" t="str">
        <f t="shared" si="224"/>
        <v>BD Organic</v>
      </c>
      <c r="B823" s="102" t="s">
        <v>1229</v>
      </c>
      <c r="C823" s="102" t="s">
        <v>1128</v>
      </c>
      <c r="D823" t="s">
        <v>369</v>
      </c>
      <c r="E823" t="s">
        <v>55</v>
      </c>
      <c r="F823" t="s">
        <v>421</v>
      </c>
      <c r="G823" t="s">
        <v>1163</v>
      </c>
      <c r="H823" t="s">
        <v>1164</v>
      </c>
      <c r="I823" t="s">
        <v>139</v>
      </c>
      <c r="J823" t="s">
        <v>287</v>
      </c>
      <c r="K823" s="28">
        <f t="shared" si="245"/>
        <v>0.34546247453096907</v>
      </c>
      <c r="L823" s="28">
        <f t="shared" si="246"/>
        <v>0.35776618085714956</v>
      </c>
      <c r="M823" s="28">
        <f t="shared" si="246"/>
        <v>0.36753197290523232</v>
      </c>
      <c r="N823" s="28">
        <f t="shared" si="246"/>
        <v>0.37357124020109944</v>
      </c>
      <c r="O823" s="28">
        <f t="shared" si="246"/>
        <v>0.37962311486925576</v>
      </c>
      <c r="P823" s="28">
        <f t="shared" si="246"/>
        <v>0.38765990463300043</v>
      </c>
      <c r="Q823" s="28">
        <f t="shared" si="246"/>
        <v>0.39636651112291715</v>
      </c>
      <c r="R823" s="28">
        <f t="shared" si="246"/>
        <v>0.40089753199851358</v>
      </c>
      <c r="S823" s="28">
        <f t="shared" si="246"/>
        <v>0.36575105397715829</v>
      </c>
      <c r="T823" s="28">
        <f t="shared" si="246"/>
        <v>0.37806101801948427</v>
      </c>
      <c r="U823" s="28">
        <f t="shared" si="246"/>
        <v>0.38944404902970864</v>
      </c>
      <c r="V823" s="28">
        <f t="shared" si="246"/>
        <v>0.40095410706426832</v>
      </c>
      <c r="W823" s="28">
        <f t="shared" si="246"/>
        <v>0.41431554176005497</v>
      </c>
      <c r="X823" s="28">
        <f t="shared" si="246"/>
        <v>0.42783512426761167</v>
      </c>
      <c r="Y823" s="28">
        <f t="shared" si="246"/>
        <v>0.44186503984012609</v>
      </c>
      <c r="Z823" s="28">
        <f t="shared" si="246"/>
        <v>0.45563435576355671</v>
      </c>
      <c r="AA823" s="28">
        <f t="shared" si="246"/>
        <v>0.47026188205754332</v>
      </c>
      <c r="AB823" s="28">
        <f t="shared" si="246"/>
        <v>0.48421794201830248</v>
      </c>
      <c r="AC823" s="28">
        <f t="shared" si="246"/>
        <v>0.49858289829777308</v>
      </c>
      <c r="AD823" s="28">
        <f t="shared" si="246"/>
        <v>0.51686863289566187</v>
      </c>
      <c r="AE823" s="28">
        <f t="shared" si="246"/>
        <v>0.53655701311036041</v>
      </c>
      <c r="AF823" s="28">
        <f t="shared" si="246"/>
        <v>0.55701835701835767</v>
      </c>
      <c r="AG823" s="28">
        <f t="shared" si="246"/>
        <v>0.56333119928831021</v>
      </c>
      <c r="AH823" s="28">
        <f t="shared" si="246"/>
        <v>-0.13731688522656813</v>
      </c>
      <c r="AI823" s="28">
        <f t="shared" si="246"/>
        <v>-0.13862810897609068</v>
      </c>
      <c r="AJ823" s="28">
        <f t="shared" si="246"/>
        <v>-0.13994999382586637</v>
      </c>
      <c r="AK823" s="28">
        <f t="shared" si="246"/>
        <v>-0.14128264066794663</v>
      </c>
      <c r="AL823" s="28">
        <f t="shared" si="246"/>
        <v>-0.14262615130024825</v>
      </c>
      <c r="AM823" s="28">
        <f t="shared" si="246"/>
        <v>-0.14398062843440931</v>
      </c>
      <c r="AN823" s="28">
        <f t="shared" si="246"/>
        <v>-0.14506760905723812</v>
      </c>
      <c r="AO823" s="28">
        <f t="shared" si="246"/>
        <v>-0.14616208765425914</v>
      </c>
      <c r="AP823" s="28">
        <f t="shared" si="246"/>
        <v>-0.14726412356751001</v>
      </c>
      <c r="AQ823" s="28">
        <f t="shared" si="246"/>
        <v>-0.14837377658692755</v>
      </c>
      <c r="AR823" s="28">
        <f t="shared" si="246"/>
        <v>-0.1494911069536225</v>
      </c>
      <c r="AS823" s="28">
        <f t="shared" si="246"/>
        <v>-0.15051381160807262</v>
      </c>
      <c r="AT823" s="28">
        <f t="shared" si="246"/>
        <v>-0.15154240205157654</v>
      </c>
      <c r="AU823" s="28">
        <f t="shared" si="246"/>
        <v>-0.15257691722009936</v>
      </c>
      <c r="AV823" s="28">
        <f t="shared" si="246"/>
        <v>-0.15361739629374987</v>
      </c>
      <c r="AW823" s="28">
        <f t="shared" si="246"/>
        <v>-0.15466387869825843</v>
      </c>
      <c r="AY823" s="85"/>
      <c r="AZ823" s="85"/>
    </row>
    <row r="824" spans="1:52" x14ac:dyDescent="0.25">
      <c r="A824" s="102" t="str">
        <f t="shared" si="224"/>
        <v>BD Organic</v>
      </c>
      <c r="B824" s="102" t="s">
        <v>1229</v>
      </c>
      <c r="C824" s="102" t="s">
        <v>1128</v>
      </c>
      <c r="D824" t="s">
        <v>369</v>
      </c>
      <c r="E824" t="s">
        <v>55</v>
      </c>
      <c r="F824" t="s">
        <v>421</v>
      </c>
      <c r="G824" t="s">
        <v>1165</v>
      </c>
      <c r="H824" t="s">
        <v>1166</v>
      </c>
      <c r="I824" t="s">
        <v>139</v>
      </c>
      <c r="J824" t="s">
        <v>287</v>
      </c>
      <c r="K824" s="28">
        <f t="shared" si="245"/>
        <v>5.8358562487318792E-2</v>
      </c>
      <c r="L824" s="28">
        <f t="shared" si="246"/>
        <v>5.839043159926547E-2</v>
      </c>
      <c r="M824" s="28">
        <f t="shared" si="246"/>
        <v>5.8461792662766042E-2</v>
      </c>
      <c r="N824" s="28">
        <f t="shared" si="246"/>
        <v>5.8569206044707944E-2</v>
      </c>
      <c r="O824" s="28">
        <f t="shared" si="246"/>
        <v>5.87141088514554E-2</v>
      </c>
      <c r="P824" s="28">
        <f t="shared" si="246"/>
        <v>5.8896654838927982E-2</v>
      </c>
      <c r="Q824" s="28">
        <f t="shared" si="246"/>
        <v>5.9100003668857495E-2</v>
      </c>
      <c r="R824" s="28">
        <f t="shared" si="246"/>
        <v>5.9320387521670827E-2</v>
      </c>
      <c r="S824" s="28">
        <f t="shared" si="246"/>
        <v>5.9527484870119066E-2</v>
      </c>
      <c r="T824" s="28">
        <f t="shared" si="246"/>
        <v>5.9613993442869086E-2</v>
      </c>
      <c r="U824" s="28">
        <f t="shared" si="246"/>
        <v>5.9714376068116658E-2</v>
      </c>
      <c r="V824" s="28">
        <f t="shared" si="246"/>
        <v>5.9828612163064419E-2</v>
      </c>
      <c r="W824" s="28">
        <f t="shared" si="246"/>
        <v>5.9957293598347332E-2</v>
      </c>
      <c r="X824" s="28">
        <f t="shared" si="246"/>
        <v>6.0098357419229781E-2</v>
      </c>
      <c r="Y824" s="28">
        <f t="shared" si="246"/>
        <v>6.0185192959010252E-2</v>
      </c>
      <c r="Z824" s="28">
        <f t="shared" si="246"/>
        <v>6.0282190049865431E-2</v>
      </c>
      <c r="AA824" s="28">
        <f t="shared" si="246"/>
        <v>6.0389700688940708E-2</v>
      </c>
      <c r="AB824" s="28">
        <f t="shared" si="246"/>
        <v>6.0506073039024895E-2</v>
      </c>
      <c r="AC824" s="28">
        <f t="shared" si="246"/>
        <v>6.0631723200139168E-2</v>
      </c>
      <c r="AD824" s="28">
        <f t="shared" si="246"/>
        <v>6.0714441042505521E-2</v>
      </c>
      <c r="AE824" s="28">
        <f t="shared" si="246"/>
        <v>6.0805859526171006E-2</v>
      </c>
      <c r="AF824" s="28">
        <f t="shared" si="246"/>
        <v>6.0905156479066316E-2</v>
      </c>
      <c r="AG824" s="28">
        <f t="shared" si="246"/>
        <v>6.1001089999952796E-2</v>
      </c>
      <c r="AH824" s="28">
        <f t="shared" si="246"/>
        <v>6.0590945473242341E-2</v>
      </c>
      <c r="AI824" s="28">
        <f t="shared" si="246"/>
        <v>6.0649192481063346E-2</v>
      </c>
      <c r="AJ824" s="28">
        <f t="shared" si="246"/>
        <v>6.0713468342713614E-2</v>
      </c>
      <c r="AK824" s="28">
        <f t="shared" si="246"/>
        <v>6.0783545293153662E-2</v>
      </c>
      <c r="AL824" s="28">
        <f t="shared" si="246"/>
        <v>6.0859213172163779E-2</v>
      </c>
      <c r="AM824" s="28">
        <f t="shared" si="246"/>
        <v>6.0940277753779866E-2</v>
      </c>
      <c r="AN824" s="28">
        <f t="shared" si="246"/>
        <v>6.0979618468756831E-2</v>
      </c>
      <c r="AO824" s="28">
        <f t="shared" si="246"/>
        <v>6.1023714022373471E-2</v>
      </c>
      <c r="AP824" s="28">
        <f t="shared" si="246"/>
        <v>6.1072398935034244E-2</v>
      </c>
      <c r="AQ824" s="28">
        <f t="shared" si="246"/>
        <v>6.112551905317741E-2</v>
      </c>
      <c r="AR824" s="28">
        <f t="shared" si="246"/>
        <v>6.1182930587073178E-2</v>
      </c>
      <c r="AS824" s="28">
        <f t="shared" si="246"/>
        <v>6.1197093314118836E-2</v>
      </c>
      <c r="AT824" s="28">
        <f t="shared" si="246"/>
        <v>6.1215064670682988E-2</v>
      </c>
      <c r="AU824" s="28">
        <f t="shared" si="246"/>
        <v>6.1236718515027384E-2</v>
      </c>
      <c r="AV824" s="28">
        <f t="shared" si="246"/>
        <v>6.1261936408176808E-2</v>
      </c>
      <c r="AW824" s="28">
        <f t="shared" si="246"/>
        <v>6.1290607021564164E-2</v>
      </c>
      <c r="AY824" s="85"/>
      <c r="AZ824" s="85"/>
    </row>
    <row r="825" spans="1:52" x14ac:dyDescent="0.25">
      <c r="A825" s="102" t="str">
        <f t="shared" si="224"/>
        <v>BD Organic</v>
      </c>
      <c r="B825" s="102" t="s">
        <v>1229</v>
      </c>
      <c r="C825" s="102" t="s">
        <v>1128</v>
      </c>
      <c r="D825" t="s">
        <v>369</v>
      </c>
      <c r="E825" t="s">
        <v>55</v>
      </c>
      <c r="F825" t="s">
        <v>421</v>
      </c>
      <c r="G825" t="s">
        <v>1167</v>
      </c>
      <c r="H825" t="s">
        <v>1168</v>
      </c>
      <c r="I825" t="s">
        <v>139</v>
      </c>
      <c r="J825" t="s">
        <v>287</v>
      </c>
      <c r="K825" s="28">
        <f t="shared" si="245"/>
        <v>4.7495937116525173E-2</v>
      </c>
      <c r="L825" s="28">
        <f t="shared" si="246"/>
        <v>4.7521874241643836E-2</v>
      </c>
      <c r="M825" s="28">
        <f t="shared" si="246"/>
        <v>4.7579952447139875E-2</v>
      </c>
      <c r="N825" s="28">
        <f t="shared" si="246"/>
        <v>4.7667372339213025E-2</v>
      </c>
      <c r="O825" s="28">
        <f t="shared" si="246"/>
        <v>4.7785303527096222E-2</v>
      </c>
      <c r="P825" s="28">
        <f t="shared" si="246"/>
        <v>4.7933871147207763E-2</v>
      </c>
      <c r="Q825" s="28">
        <f t="shared" si="246"/>
        <v>4.8099369453324381E-2</v>
      </c>
      <c r="R825" s="28">
        <f t="shared" si="246"/>
        <v>4.8278731952477678E-2</v>
      </c>
      <c r="S825" s="28">
        <f t="shared" si="246"/>
        <v>4.8447281043127996E-2</v>
      </c>
      <c r="T825" s="28">
        <f t="shared" si="246"/>
        <v>4.8517687262134283E-2</v>
      </c>
      <c r="U825" s="28">
        <f t="shared" si="246"/>
        <v>4.8599385073957294E-2</v>
      </c>
      <c r="V825" s="28">
        <f t="shared" si="246"/>
        <v>4.8692357726997801E-2</v>
      </c>
      <c r="W825" s="28">
        <f t="shared" si="246"/>
        <v>4.8797086923498996E-2</v>
      </c>
      <c r="X825" s="28">
        <f t="shared" si="246"/>
        <v>4.8911893698725943E-2</v>
      </c>
      <c r="Y825" s="28">
        <f t="shared" si="246"/>
        <v>4.8982566024450037E-2</v>
      </c>
      <c r="Z825" s="28">
        <f t="shared" si="246"/>
        <v>4.9061508471477298E-2</v>
      </c>
      <c r="AA825" s="28">
        <f t="shared" si="246"/>
        <v>4.9149007517636747E-2</v>
      </c>
      <c r="AB825" s="28">
        <f t="shared" si="246"/>
        <v>4.9243718791974624E-2</v>
      </c>
      <c r="AC825" s="28">
        <f t="shared" si="246"/>
        <v>4.9345980943347217E-2</v>
      </c>
      <c r="AD825" s="28">
        <f t="shared" si="246"/>
        <v>4.941330202309966E-2</v>
      </c>
      <c r="AE825" s="28">
        <f t="shared" si="246"/>
        <v>4.9487704242181185E-2</v>
      </c>
      <c r="AF825" s="28">
        <f t="shared" si="246"/>
        <v>4.9568518464286178E-2</v>
      </c>
      <c r="AG825" s="28">
        <f t="shared" si="246"/>
        <v>4.9646595309931256E-2</v>
      </c>
      <c r="AH825" s="28">
        <f t="shared" si="246"/>
        <v>4.9312793416617665E-2</v>
      </c>
      <c r="AI825" s="28">
        <f t="shared" si="246"/>
        <v>4.9360198563399564E-2</v>
      </c>
      <c r="AJ825" s="28">
        <f t="shared" si="246"/>
        <v>4.9412510377689269E-2</v>
      </c>
      <c r="AK825" s="28">
        <f t="shared" si="246"/>
        <v>4.9469543489705052E-2</v>
      </c>
      <c r="AL825" s="28">
        <f t="shared" si="246"/>
        <v>4.9531126857595344E-2</v>
      </c>
      <c r="AM825" s="28">
        <f t="shared" si="246"/>
        <v>4.9597102407826756E-2</v>
      </c>
      <c r="AN825" s="28">
        <f t="shared" si="246"/>
        <v>4.9629120402188261E-2</v>
      </c>
      <c r="AO825" s="28">
        <f t="shared" si="246"/>
        <v>4.9665008188871658E-2</v>
      </c>
      <c r="AP825" s="28">
        <f t="shared" si="246"/>
        <v>4.9704631089979995E-2</v>
      </c>
      <c r="AQ825" s="28">
        <f t="shared" si="246"/>
        <v>4.9747863645468307E-2</v>
      </c>
      <c r="AR825" s="28">
        <f t="shared" si="246"/>
        <v>4.9794588830042001E-2</v>
      </c>
      <c r="AS825" s="28">
        <f t="shared" si="246"/>
        <v>4.9806115364700997E-2</v>
      </c>
      <c r="AT825" s="28">
        <f t="shared" si="246"/>
        <v>4.9820741606076545E-2</v>
      </c>
      <c r="AU825" s="28">
        <f t="shared" si="246"/>
        <v>4.9838364891940323E-2</v>
      </c>
      <c r="AV825" s="28">
        <f t="shared" si="246"/>
        <v>4.9858888829066014E-2</v>
      </c>
      <c r="AW825" s="28">
        <f t="shared" si="246"/>
        <v>4.988222281113306E-2</v>
      </c>
      <c r="AY825" s="85"/>
      <c r="AZ825" s="85"/>
    </row>
    <row r="826" spans="1:52" x14ac:dyDescent="0.25">
      <c r="A826" s="102" t="str">
        <f t="shared" si="224"/>
        <v>BD Organic</v>
      </c>
      <c r="B826" s="102" t="s">
        <v>1229</v>
      </c>
      <c r="C826" s="102" t="s">
        <v>1128</v>
      </c>
      <c r="D826" t="s">
        <v>369</v>
      </c>
      <c r="E826" t="s">
        <v>55</v>
      </c>
      <c r="F826" t="s">
        <v>421</v>
      </c>
      <c r="G826" t="s">
        <v>1169</v>
      </c>
      <c r="H826" t="s">
        <v>1170</v>
      </c>
      <c r="I826" t="s">
        <v>139</v>
      </c>
      <c r="J826" t="s">
        <v>287</v>
      </c>
      <c r="K826" s="28">
        <f t="shared" si="245"/>
        <v>7.2138531984991348E-3</v>
      </c>
      <c r="L826" s="28">
        <f t="shared" si="246"/>
        <v>7.2326686364155846E-3</v>
      </c>
      <c r="M826" s="28">
        <f t="shared" si="246"/>
        <v>7.2577418741351651E-3</v>
      </c>
      <c r="N826" s="28">
        <f t="shared" si="246"/>
        <v>7.2885154843188495E-3</v>
      </c>
      <c r="O826" s="28">
        <f t="shared" si="246"/>
        <v>7.3253592647283981E-3</v>
      </c>
      <c r="P826" s="28">
        <f t="shared" si="246"/>
        <v>7.3683712611583496E-3</v>
      </c>
      <c r="Q826" s="28">
        <f t="shared" si="246"/>
        <v>7.4143590148475543E-3</v>
      </c>
      <c r="R826" s="28">
        <f t="shared" si="246"/>
        <v>7.4626649386195258E-3</v>
      </c>
      <c r="S826" s="28">
        <f t="shared" si="246"/>
        <v>7.5075390200834997E-3</v>
      </c>
      <c r="T826" s="28">
        <f t="shared" si="246"/>
        <v>7.5285683818169559E-3</v>
      </c>
      <c r="U826" s="28">
        <f t="shared" si="246"/>
        <v>7.551628242645091E-3</v>
      </c>
      <c r="V826" s="28">
        <f t="shared" si="246"/>
        <v>7.5767478661135802E-3</v>
      </c>
      <c r="W826" s="28">
        <f t="shared" si="246"/>
        <v>7.6040674331418288E-3</v>
      </c>
      <c r="X826" s="28">
        <f t="shared" si="246"/>
        <v>7.6332191171963838E-3</v>
      </c>
      <c r="Y826" s="28">
        <f t="shared" si="246"/>
        <v>7.6516457516964944E-3</v>
      </c>
      <c r="Z826" s="28">
        <f t="shared" si="246"/>
        <v>7.671582433208788E-3</v>
      </c>
      <c r="AA826" s="28">
        <f t="shared" si="246"/>
        <v>7.6931116410769856E-3</v>
      </c>
      <c r="AB826" s="28">
        <f t="shared" si="246"/>
        <v>7.715936982347839E-3</v>
      </c>
      <c r="AC826" s="28">
        <f t="shared" si="246"/>
        <v>7.7401497609019794E-3</v>
      </c>
      <c r="AD826" s="28">
        <f t="shared" si="246"/>
        <v>7.7560075231361287E-3</v>
      </c>
      <c r="AE826" s="28">
        <f t="shared" si="246"/>
        <v>7.7732053799270803E-3</v>
      </c>
      <c r="AF826" s="28">
        <f t="shared" si="246"/>
        <v>7.791597942347143E-3</v>
      </c>
      <c r="AG826" s="28">
        <f t="shared" si="246"/>
        <v>7.8091049737688241E-3</v>
      </c>
      <c r="AH826" s="28">
        <f t="shared" si="246"/>
        <v>7.7325738697111325E-3</v>
      </c>
      <c r="AI826" s="28">
        <f t="shared" si="246"/>
        <v>7.7428137523622292E-3</v>
      </c>
      <c r="AJ826" s="28">
        <f t="shared" si="246"/>
        <v>7.7539717945612581E-3</v>
      </c>
      <c r="AK826" s="28">
        <f t="shared" si="246"/>
        <v>7.7660107090851711E-3</v>
      </c>
      <c r="AL826" s="28">
        <f t="shared" si="246"/>
        <v>7.7788961009166192E-3</v>
      </c>
      <c r="AM826" s="28">
        <f t="shared" si="246"/>
        <v>7.7925961903206999E-3</v>
      </c>
      <c r="AN826" s="28">
        <f t="shared" si="246"/>
        <v>7.7984769319172685E-3</v>
      </c>
      <c r="AO826" s="28">
        <f t="shared" si="246"/>
        <v>7.8050916075083259E-3</v>
      </c>
      <c r="AP826" s="28">
        <f t="shared" si="246"/>
        <v>7.8124125478177013E-3</v>
      </c>
      <c r="AQ826" s="28">
        <f t="shared" si="246"/>
        <v>7.8204139817466406E-3</v>
      </c>
      <c r="AR826" s="28">
        <f t="shared" si="246"/>
        <v>7.8290718737514843E-3</v>
      </c>
      <c r="AS826" s="28">
        <f t="shared" si="246"/>
        <v>7.8297473619786898E-3</v>
      </c>
      <c r="AT826" s="28">
        <f t="shared" si="246"/>
        <v>7.8310235836071794E-3</v>
      </c>
      <c r="AU826" s="28">
        <f t="shared" si="246"/>
        <v>7.8328789644581572E-3</v>
      </c>
      <c r="AV826" s="28">
        <f t="shared" si="246"/>
        <v>7.835293250883028E-3</v>
      </c>
      <c r="AW826" s="28">
        <f t="shared" si="246"/>
        <v>7.8382474074589117E-3</v>
      </c>
      <c r="AY826" s="85"/>
      <c r="AZ826" s="85"/>
    </row>
    <row r="827" spans="1:52" x14ac:dyDescent="0.25">
      <c r="A827" s="102" t="str">
        <f t="shared" si="224"/>
        <v>BD Organic</v>
      </c>
      <c r="B827" s="102" t="s">
        <v>1229</v>
      </c>
      <c r="C827" s="102" t="s">
        <v>1128</v>
      </c>
      <c r="D827" t="s">
        <v>369</v>
      </c>
      <c r="E827" t="s">
        <v>55</v>
      </c>
      <c r="F827" t="s">
        <v>421</v>
      </c>
      <c r="G827" t="s">
        <v>1171</v>
      </c>
      <c r="H827" t="s">
        <v>1172</v>
      </c>
      <c r="I827" t="s">
        <v>139</v>
      </c>
      <c r="J827" t="s">
        <v>287</v>
      </c>
      <c r="K827" s="28">
        <f t="shared" si="245"/>
        <v>8.7042781172852426E-2</v>
      </c>
      <c r="L827" s="28">
        <f t="shared" si="246"/>
        <v>8.7269809364329015E-2</v>
      </c>
      <c r="M827" s="28">
        <f t="shared" si="246"/>
        <v>8.7572344539923463E-2</v>
      </c>
      <c r="N827" s="28">
        <f t="shared" si="246"/>
        <v>8.7943660748253619E-2</v>
      </c>
      <c r="O827" s="28">
        <f t="shared" si="246"/>
        <v>8.8388219991077738E-2</v>
      </c>
      <c r="P827" s="28">
        <f t="shared" si="246"/>
        <v>8.8907205294776276E-2</v>
      </c>
      <c r="Q827" s="28">
        <f t="shared" si="246"/>
        <v>8.9462096262315383E-2</v>
      </c>
      <c r="R827" s="28">
        <f t="shared" si="246"/>
        <v>9.0044958407765094E-2</v>
      </c>
      <c r="S827" s="28">
        <f t="shared" si="246"/>
        <v>9.058641174008604E-2</v>
      </c>
      <c r="T827" s="28">
        <f t="shared" si="246"/>
        <v>9.0840153267838591E-2</v>
      </c>
      <c r="U827" s="28">
        <f t="shared" si="246"/>
        <v>9.1118394918272713E-2</v>
      </c>
      <c r="V827" s="28">
        <f t="shared" si="246"/>
        <v>9.1421489787068641E-2</v>
      </c>
      <c r="W827" s="28">
        <f t="shared" si="246"/>
        <v>9.1751129305526188E-2</v>
      </c>
      <c r="X827" s="28">
        <f t="shared" si="246"/>
        <v>9.2102875256845074E-2</v>
      </c>
      <c r="Y827" s="28">
        <f t="shared" si="246"/>
        <v>9.232521212320649E-2</v>
      </c>
      <c r="Z827" s="28">
        <f t="shared" si="246"/>
        <v>9.2565769306508783E-2</v>
      </c>
      <c r="AA827" s="28">
        <f t="shared" si="246"/>
        <v>9.2825542007412429E-2</v>
      </c>
      <c r="AB827" s="28">
        <f t="shared" si="246"/>
        <v>9.3100953930938646E-2</v>
      </c>
      <c r="AC827" s="28">
        <f t="shared" si="246"/>
        <v>9.339310675513432E-2</v>
      </c>
      <c r="AD827" s="28">
        <f t="shared" si="246"/>
        <v>9.3584447456151826E-2</v>
      </c>
      <c r="AE827" s="28">
        <f t="shared" si="246"/>
        <v>9.3791957817689064E-2</v>
      </c>
      <c r="AF827" s="28">
        <f t="shared" si="246"/>
        <v>9.4013883568308809E-2</v>
      </c>
      <c r="AG827" s="28">
        <f t="shared" si="246"/>
        <v>9.4225124449304393E-2</v>
      </c>
      <c r="AH827" s="28">
        <f t="shared" si="246"/>
        <v>9.3301695602041948E-2</v>
      </c>
      <c r="AI827" s="28">
        <f t="shared" si="246"/>
        <v>9.342525063432626E-2</v>
      </c>
      <c r="AJ827" s="28">
        <f t="shared" si="246"/>
        <v>9.3559884234251725E-2</v>
      </c>
      <c r="AK827" s="28">
        <f t="shared" si="246"/>
        <v>9.370514649197019E-2</v>
      </c>
      <c r="AL827" s="28">
        <f t="shared" si="246"/>
        <v>9.3860622395159451E-2</v>
      </c>
      <c r="AM827" s="28">
        <f t="shared" si="246"/>
        <v>9.4025928487650484E-2</v>
      </c>
      <c r="AN827" s="28">
        <f t="shared" si="246"/>
        <v>9.4096885865051882E-2</v>
      </c>
      <c r="AO827" s="28">
        <f t="shared" si="246"/>
        <v>9.4176698933624112E-2</v>
      </c>
      <c r="AP827" s="28">
        <f t="shared" si="246"/>
        <v>9.4265033834237441E-2</v>
      </c>
      <c r="AQ827" s="28">
        <f t="shared" si="246"/>
        <v>9.4361579611283539E-2</v>
      </c>
      <c r="AR827" s="28">
        <f t="shared" si="246"/>
        <v>9.4466046250465022E-2</v>
      </c>
      <c r="AS827" s="28">
        <f t="shared" si="246"/>
        <v>9.4474196731536342E-2</v>
      </c>
      <c r="AT827" s="28">
        <f t="shared" si="246"/>
        <v>9.4489595697509143E-2</v>
      </c>
      <c r="AU827" s="28">
        <f t="shared" si="246"/>
        <v>9.4511982833060726E-2</v>
      </c>
      <c r="AV827" s="28">
        <f t="shared" si="246"/>
        <v>9.4541113756464096E-2</v>
      </c>
      <c r="AW827" s="28">
        <f t="shared" si="246"/>
        <v>9.4576758785176129E-2</v>
      </c>
      <c r="AY827" s="85"/>
      <c r="AZ827" s="85"/>
    </row>
    <row r="828" spans="1:52" x14ac:dyDescent="0.25">
      <c r="A828" s="102" t="str">
        <f t="shared" si="224"/>
        <v>BD Organic</v>
      </c>
      <c r="B828" s="102" t="s">
        <v>1229</v>
      </c>
      <c r="C828" s="102" t="s">
        <v>1128</v>
      </c>
      <c r="D828" t="s">
        <v>369</v>
      </c>
      <c r="E828" t="s">
        <v>55</v>
      </c>
      <c r="F828" t="s">
        <v>421</v>
      </c>
      <c r="G828" t="s">
        <v>1173</v>
      </c>
      <c r="H828" t="s">
        <v>1174</v>
      </c>
      <c r="I828" t="s">
        <v>139</v>
      </c>
      <c r="J828" t="s">
        <v>287</v>
      </c>
      <c r="K828" s="28">
        <f t="shared" si="245"/>
        <v>0</v>
      </c>
      <c r="L828" s="28">
        <f t="shared" si="246"/>
        <v>0</v>
      </c>
      <c r="M828" s="28">
        <f t="shared" si="246"/>
        <v>0</v>
      </c>
      <c r="N828" s="28">
        <f t="shared" si="246"/>
        <v>0</v>
      </c>
      <c r="O828" s="28">
        <f t="shared" si="246"/>
        <v>0</v>
      </c>
      <c r="P828" s="28">
        <f t="shared" si="246"/>
        <v>0</v>
      </c>
      <c r="Q828" s="28">
        <f t="shared" si="246"/>
        <v>0</v>
      </c>
      <c r="R828" s="28">
        <f t="shared" si="246"/>
        <v>0</v>
      </c>
      <c r="S828" s="28">
        <f t="shared" si="246"/>
        <v>0</v>
      </c>
      <c r="T828" s="28">
        <f t="shared" si="246"/>
        <v>0</v>
      </c>
      <c r="U828" s="28">
        <f t="shared" si="246"/>
        <v>0</v>
      </c>
      <c r="V828" s="28">
        <f t="shared" si="246"/>
        <v>0</v>
      </c>
      <c r="W828" s="28">
        <f t="shared" si="246"/>
        <v>0</v>
      </c>
      <c r="X828" s="28">
        <f t="shared" si="246"/>
        <v>0</v>
      </c>
      <c r="Y828" s="28">
        <f t="shared" si="246"/>
        <v>0</v>
      </c>
      <c r="Z828" s="28">
        <f t="shared" si="246"/>
        <v>0</v>
      </c>
      <c r="AA828" s="28">
        <f t="shared" si="246"/>
        <v>0</v>
      </c>
      <c r="AB828" s="28">
        <f t="shared" si="246"/>
        <v>0</v>
      </c>
      <c r="AC828" s="28">
        <f t="shared" si="246"/>
        <v>0</v>
      </c>
      <c r="AD828" s="28">
        <f t="shared" si="246"/>
        <v>0</v>
      </c>
      <c r="AE828" s="28">
        <f t="shared" si="246"/>
        <v>0</v>
      </c>
      <c r="AF828" s="28">
        <f t="shared" si="246"/>
        <v>0</v>
      </c>
      <c r="AG828" s="28">
        <f t="shared" si="246"/>
        <v>0</v>
      </c>
      <c r="AH828" s="28">
        <f t="shared" si="246"/>
        <v>0</v>
      </c>
      <c r="AI828" s="28">
        <f t="shared" si="246"/>
        <v>0</v>
      </c>
      <c r="AJ828" s="28">
        <f t="shared" si="246"/>
        <v>0</v>
      </c>
      <c r="AK828" s="28">
        <f t="shared" si="246"/>
        <v>0</v>
      </c>
      <c r="AL828" s="28">
        <f t="shared" si="246"/>
        <v>0</v>
      </c>
      <c r="AM828" s="28">
        <f t="shared" si="246"/>
        <v>0</v>
      </c>
      <c r="AN828" s="28">
        <f t="shared" si="246"/>
        <v>0</v>
      </c>
      <c r="AO828" s="28">
        <f t="shared" si="246"/>
        <v>0</v>
      </c>
      <c r="AP828" s="28">
        <f t="shared" si="246"/>
        <v>0</v>
      </c>
      <c r="AQ828" s="28">
        <f t="shared" ref="L828:AW835" si="247">AQ1476</f>
        <v>0</v>
      </c>
      <c r="AR828" s="28">
        <f t="shared" si="247"/>
        <v>0</v>
      </c>
      <c r="AS828" s="28">
        <f t="shared" si="247"/>
        <v>0</v>
      </c>
      <c r="AT828" s="28">
        <f t="shared" si="247"/>
        <v>0</v>
      </c>
      <c r="AU828" s="28">
        <f t="shared" si="247"/>
        <v>0</v>
      </c>
      <c r="AV828" s="28">
        <f t="shared" si="247"/>
        <v>0</v>
      </c>
      <c r="AW828" s="28">
        <f t="shared" si="247"/>
        <v>0</v>
      </c>
      <c r="AY828" s="85"/>
      <c r="AZ828" s="85"/>
    </row>
    <row r="829" spans="1:52" x14ac:dyDescent="0.25">
      <c r="A829" s="102" t="str">
        <f t="shared" si="224"/>
        <v>BD Organic</v>
      </c>
      <c r="B829" s="102" t="s">
        <v>1229</v>
      </c>
      <c r="C829" s="102" t="s">
        <v>1128</v>
      </c>
      <c r="D829" t="s">
        <v>369</v>
      </c>
      <c r="E829" t="s">
        <v>55</v>
      </c>
      <c r="F829" t="s">
        <v>421</v>
      </c>
      <c r="G829" t="s">
        <v>1175</v>
      </c>
      <c r="H829" t="s">
        <v>1176</v>
      </c>
      <c r="I829" t="s">
        <v>139</v>
      </c>
      <c r="J829" t="s">
        <v>287</v>
      </c>
      <c r="K829" s="28">
        <f t="shared" si="245"/>
        <v>0</v>
      </c>
      <c r="L829" s="28">
        <f t="shared" si="247"/>
        <v>0</v>
      </c>
      <c r="M829" s="28">
        <f t="shared" si="247"/>
        <v>0</v>
      </c>
      <c r="N829" s="28">
        <f t="shared" si="247"/>
        <v>0</v>
      </c>
      <c r="O829" s="28">
        <f t="shared" si="247"/>
        <v>0</v>
      </c>
      <c r="P829" s="28">
        <f t="shared" si="247"/>
        <v>0</v>
      </c>
      <c r="Q829" s="28">
        <f t="shared" si="247"/>
        <v>0</v>
      </c>
      <c r="R829" s="28">
        <f t="shared" si="247"/>
        <v>0</v>
      </c>
      <c r="S829" s="28">
        <f t="shared" si="247"/>
        <v>0</v>
      </c>
      <c r="T829" s="28">
        <f t="shared" si="247"/>
        <v>0</v>
      </c>
      <c r="U829" s="28">
        <f t="shared" si="247"/>
        <v>0</v>
      </c>
      <c r="V829" s="28">
        <f t="shared" si="247"/>
        <v>0</v>
      </c>
      <c r="W829" s="28">
        <f t="shared" si="247"/>
        <v>0</v>
      </c>
      <c r="X829" s="28">
        <f t="shared" si="247"/>
        <v>0</v>
      </c>
      <c r="Y829" s="28">
        <f t="shared" si="247"/>
        <v>0</v>
      </c>
      <c r="Z829" s="28">
        <f t="shared" si="247"/>
        <v>0</v>
      </c>
      <c r="AA829" s="28">
        <f t="shared" si="247"/>
        <v>0</v>
      </c>
      <c r="AB829" s="28">
        <f t="shared" si="247"/>
        <v>0</v>
      </c>
      <c r="AC829" s="28">
        <f t="shared" si="247"/>
        <v>0</v>
      </c>
      <c r="AD829" s="28">
        <f t="shared" si="247"/>
        <v>0</v>
      </c>
      <c r="AE829" s="28">
        <f t="shared" si="247"/>
        <v>0</v>
      </c>
      <c r="AF829" s="28">
        <f t="shared" si="247"/>
        <v>0</v>
      </c>
      <c r="AG829" s="28">
        <f t="shared" si="247"/>
        <v>0</v>
      </c>
      <c r="AH829" s="28">
        <f t="shared" si="247"/>
        <v>0</v>
      </c>
      <c r="AI829" s="28">
        <f t="shared" si="247"/>
        <v>0</v>
      </c>
      <c r="AJ829" s="28">
        <f t="shared" si="247"/>
        <v>0</v>
      </c>
      <c r="AK829" s="28">
        <f t="shared" si="247"/>
        <v>0</v>
      </c>
      <c r="AL829" s="28">
        <f t="shared" si="247"/>
        <v>0</v>
      </c>
      <c r="AM829" s="28">
        <f t="shared" si="247"/>
        <v>0</v>
      </c>
      <c r="AN829" s="28">
        <f t="shared" si="247"/>
        <v>0</v>
      </c>
      <c r="AO829" s="28">
        <f t="shared" si="247"/>
        <v>0</v>
      </c>
      <c r="AP829" s="28">
        <f t="shared" si="247"/>
        <v>0</v>
      </c>
      <c r="AQ829" s="28">
        <f t="shared" si="247"/>
        <v>0</v>
      </c>
      <c r="AR829" s="28">
        <f t="shared" si="247"/>
        <v>0</v>
      </c>
      <c r="AS829" s="28">
        <f t="shared" si="247"/>
        <v>0</v>
      </c>
      <c r="AT829" s="28">
        <f t="shared" si="247"/>
        <v>0</v>
      </c>
      <c r="AU829" s="28">
        <f t="shared" si="247"/>
        <v>0</v>
      </c>
      <c r="AV829" s="28">
        <f t="shared" si="247"/>
        <v>0</v>
      </c>
      <c r="AW829" s="28">
        <f t="shared" si="247"/>
        <v>0</v>
      </c>
      <c r="AY829" s="85"/>
      <c r="AZ829" s="85"/>
    </row>
    <row r="830" spans="1:52" x14ac:dyDescent="0.25">
      <c r="A830" s="102" t="str">
        <f t="shared" si="224"/>
        <v>BD Organic</v>
      </c>
      <c r="B830" s="102" t="s">
        <v>1229</v>
      </c>
      <c r="C830" s="102" t="s">
        <v>1128</v>
      </c>
      <c r="D830" t="s">
        <v>369</v>
      </c>
      <c r="E830" t="s">
        <v>55</v>
      </c>
      <c r="F830" t="s">
        <v>421</v>
      </c>
      <c r="G830" t="s">
        <v>1177</v>
      </c>
      <c r="H830" t="s">
        <v>1178</v>
      </c>
      <c r="I830" t="s">
        <v>139</v>
      </c>
      <c r="J830" t="s">
        <v>287</v>
      </c>
      <c r="K830" s="28">
        <f t="shared" si="245"/>
        <v>0.125581463448449</v>
      </c>
      <c r="L830" s="28">
        <f t="shared" si="247"/>
        <v>0.125185082671006</v>
      </c>
      <c r="M830" s="28">
        <f t="shared" si="247"/>
        <v>0.12387425442661908</v>
      </c>
      <c r="N830" s="28">
        <f t="shared" si="247"/>
        <v>0.12132911183874903</v>
      </c>
      <c r="O830" s="28">
        <f t="shared" si="247"/>
        <v>0.1188953282361286</v>
      </c>
      <c r="P830" s="28">
        <f t="shared" si="247"/>
        <v>0.11718799777455163</v>
      </c>
      <c r="Q830" s="28">
        <f t="shared" si="247"/>
        <v>0.11574203128248971</v>
      </c>
      <c r="R830" s="28">
        <f t="shared" si="247"/>
        <v>0.11307943655863528</v>
      </c>
      <c r="S830" s="28">
        <f t="shared" si="247"/>
        <v>9.8992483819013391E-2</v>
      </c>
      <c r="T830" s="28">
        <f t="shared" si="247"/>
        <v>9.9621540773874098E-2</v>
      </c>
      <c r="U830" s="28">
        <f t="shared" si="247"/>
        <v>9.9937301593485559E-2</v>
      </c>
      <c r="V830" s="28">
        <f t="shared" si="247"/>
        <v>0.10024428291849223</v>
      </c>
      <c r="W830" s="28">
        <f t="shared" si="247"/>
        <v>0.10099411627265523</v>
      </c>
      <c r="X830" s="28">
        <f t="shared" si="247"/>
        <v>0.10171874148627991</v>
      </c>
      <c r="Y830" s="28">
        <f t="shared" si="247"/>
        <v>0.1025500722540789</v>
      </c>
      <c r="Z830" s="28">
        <f t="shared" si="247"/>
        <v>0.10324784841270714</v>
      </c>
      <c r="AA830" s="28">
        <f t="shared" si="247"/>
        <v>0.10408641302096616</v>
      </c>
      <c r="AB830" s="28">
        <f t="shared" si="247"/>
        <v>0.10469683987160423</v>
      </c>
      <c r="AC830" s="28">
        <f t="shared" si="247"/>
        <v>0.10533895546772398</v>
      </c>
      <c r="AD830" s="28">
        <f t="shared" si="247"/>
        <v>0.10652330160399656</v>
      </c>
      <c r="AE830" s="28">
        <f t="shared" si="247"/>
        <v>0.10790681124778287</v>
      </c>
      <c r="AF830" s="28">
        <f t="shared" si="247"/>
        <v>0.10933849435388519</v>
      </c>
      <c r="AG830" s="28">
        <f t="shared" si="247"/>
        <v>0.10772941024216406</v>
      </c>
      <c r="AH830" s="28">
        <f t="shared" si="247"/>
        <v>-3.634870651063056E-2</v>
      </c>
      <c r="AI830" s="28">
        <f t="shared" si="247"/>
        <v>-3.5951110371359889E-2</v>
      </c>
      <c r="AJ830" s="28">
        <f t="shared" si="247"/>
        <v>-3.5562030175799973E-2</v>
      </c>
      <c r="AK830" s="28">
        <f t="shared" si="247"/>
        <v>-3.5180908821616855E-2</v>
      </c>
      <c r="AL830" s="28">
        <f t="shared" si="247"/>
        <v>-3.4807229997572818E-2</v>
      </c>
      <c r="AM830" s="28">
        <f t="shared" si="247"/>
        <v>-3.4440514238790632E-2</v>
      </c>
      <c r="AN830" s="28">
        <f t="shared" si="247"/>
        <v>-3.4038300116717851E-2</v>
      </c>
      <c r="AO830" s="28">
        <f t="shared" si="247"/>
        <v>-3.3643177597525331E-2</v>
      </c>
      <c r="AP830" s="28">
        <f t="shared" si="247"/>
        <v>-3.325473249917061E-2</v>
      </c>
      <c r="AQ830" s="28">
        <f t="shared" si="247"/>
        <v>-3.2872577693066611E-2</v>
      </c>
      <c r="AR830" s="28">
        <f t="shared" si="247"/>
        <v>-3.2496350766594746E-2</v>
      </c>
      <c r="AS830" s="28">
        <f t="shared" si="247"/>
        <v>-3.2086347643088084E-2</v>
      </c>
      <c r="AT830" s="28">
        <f t="shared" si="247"/>
        <v>-3.1682606758135223E-2</v>
      </c>
      <c r="AU830" s="28">
        <f t="shared" si="247"/>
        <v>-3.1284805771392483E-2</v>
      </c>
      <c r="AV830" s="28">
        <f t="shared" si="247"/>
        <v>-3.0892641387511636E-2</v>
      </c>
      <c r="AW830" s="28">
        <f t="shared" si="247"/>
        <v>-3.0505827871256618E-2</v>
      </c>
      <c r="AY830" s="85"/>
      <c r="AZ830" s="85"/>
    </row>
    <row r="831" spans="1:52" x14ac:dyDescent="0.25">
      <c r="A831" s="102" t="str">
        <f t="shared" si="224"/>
        <v>BD Organic</v>
      </c>
      <c r="B831" s="102" t="s">
        <v>1229</v>
      </c>
      <c r="C831" s="102" t="s">
        <v>1128</v>
      </c>
      <c r="D831" t="s">
        <v>369</v>
      </c>
      <c r="E831" t="s">
        <v>55</v>
      </c>
      <c r="F831" t="s">
        <v>421</v>
      </c>
      <c r="G831" t="s">
        <v>1179</v>
      </c>
      <c r="H831" t="s">
        <v>1180</v>
      </c>
      <c r="I831" t="s">
        <v>139</v>
      </c>
      <c r="J831" t="s">
        <v>287</v>
      </c>
      <c r="K831" s="28">
        <f t="shared" si="245"/>
        <v>3.1860496839281362E-2</v>
      </c>
      <c r="L831" s="28">
        <f t="shared" si="247"/>
        <v>3.1759933522370665E-2</v>
      </c>
      <c r="M831" s="28">
        <f t="shared" si="247"/>
        <v>3.1427371391063171E-2</v>
      </c>
      <c r="N831" s="28">
        <f t="shared" si="247"/>
        <v>3.0781658997293845E-2</v>
      </c>
      <c r="O831" s="28">
        <f t="shared" si="247"/>
        <v>3.0164198803332858E-2</v>
      </c>
      <c r="P831" s="28">
        <f t="shared" si="247"/>
        <v>2.973104254538711E-2</v>
      </c>
      <c r="Q831" s="28">
        <f t="shared" si="247"/>
        <v>2.9364195324587221E-2</v>
      </c>
      <c r="R831" s="28">
        <f t="shared" si="247"/>
        <v>2.8688684875400002E-2</v>
      </c>
      <c r="S831" s="28">
        <f t="shared" si="247"/>
        <v>2.5114771171009475E-2</v>
      </c>
      <c r="T831" s="28">
        <f t="shared" si="247"/>
        <v>2.5274365322659843E-2</v>
      </c>
      <c r="U831" s="28">
        <f t="shared" si="247"/>
        <v>2.535447504840236E-2</v>
      </c>
      <c r="V831" s="28">
        <f t="shared" si="247"/>
        <v>2.5432357382837084E-2</v>
      </c>
      <c r="W831" s="28">
        <f t="shared" si="247"/>
        <v>2.562259296820359E-2</v>
      </c>
      <c r="X831" s="28">
        <f t="shared" si="247"/>
        <v>2.5806433152052291E-2</v>
      </c>
      <c r="Y831" s="28">
        <f t="shared" si="247"/>
        <v>2.6017344942475328E-2</v>
      </c>
      <c r="Z831" s="28">
        <f t="shared" si="247"/>
        <v>2.6194373418542003E-2</v>
      </c>
      <c r="AA831" s="28">
        <f t="shared" si="247"/>
        <v>2.6407120461913867E-2</v>
      </c>
      <c r="AB831" s="28">
        <f t="shared" si="247"/>
        <v>2.6561988084979515E-2</v>
      </c>
      <c r="AC831" s="28">
        <f t="shared" si="247"/>
        <v>2.6724895263784808E-2</v>
      </c>
      <c r="AD831" s="28">
        <f t="shared" si="247"/>
        <v>2.7025368401261952E-2</v>
      </c>
      <c r="AE831" s="28">
        <f t="shared" si="247"/>
        <v>2.7376370081148127E-2</v>
      </c>
      <c r="AF831" s="28">
        <f t="shared" si="247"/>
        <v>2.7739593552385582E-2</v>
      </c>
      <c r="AG831" s="28">
        <f t="shared" si="247"/>
        <v>2.7331362768575094E-2</v>
      </c>
      <c r="AH831" s="28">
        <f t="shared" si="247"/>
        <v>-9.2218056478478912E-3</v>
      </c>
      <c r="AI831" s="28">
        <f t="shared" si="247"/>
        <v>-9.1209339890003793E-3</v>
      </c>
      <c r="AJ831" s="28">
        <f t="shared" si="247"/>
        <v>-9.0222228575924188E-3</v>
      </c>
      <c r="AK831" s="28">
        <f t="shared" si="247"/>
        <v>-8.9255309146344646E-3</v>
      </c>
      <c r="AL831" s="28">
        <f t="shared" si="247"/>
        <v>-8.8307271699938471E-3</v>
      </c>
      <c r="AM831" s="28">
        <f t="shared" si="247"/>
        <v>-8.7376899816002714E-3</v>
      </c>
      <c r="AN831" s="28">
        <f t="shared" si="247"/>
        <v>-8.6356467228810053E-3</v>
      </c>
      <c r="AO831" s="28">
        <f t="shared" si="247"/>
        <v>-8.5354026308934166E-3</v>
      </c>
      <c r="AP831" s="28">
        <f t="shared" si="247"/>
        <v>-8.436852626071684E-3</v>
      </c>
      <c r="AQ831" s="28">
        <f t="shared" si="247"/>
        <v>-8.3398984924149214E-3</v>
      </c>
      <c r="AR831" s="28">
        <f t="shared" si="247"/>
        <v>-8.2444482844578407E-3</v>
      </c>
      <c r="AS831" s="28">
        <f t="shared" si="247"/>
        <v>-8.1404289263306579E-3</v>
      </c>
      <c r="AT831" s="28">
        <f t="shared" si="247"/>
        <v>-8.0379983220384144E-3</v>
      </c>
      <c r="AU831" s="28">
        <f t="shared" si="247"/>
        <v>-7.9370746926049739E-3</v>
      </c>
      <c r="AV831" s="28">
        <f t="shared" si="247"/>
        <v>-7.8375810908422969E-3</v>
      </c>
      <c r="AW831" s="28">
        <f t="shared" si="247"/>
        <v>-7.7394450246298409E-3</v>
      </c>
      <c r="AY831" s="85"/>
      <c r="AZ831" s="85"/>
    </row>
    <row r="832" spans="1:52" x14ac:dyDescent="0.25">
      <c r="A832" s="102" t="str">
        <f t="shared" si="224"/>
        <v>BD Organic</v>
      </c>
      <c r="B832" s="102" t="s">
        <v>1229</v>
      </c>
      <c r="C832" s="102" t="s">
        <v>1128</v>
      </c>
      <c r="D832" t="s">
        <v>369</v>
      </c>
      <c r="E832" t="s">
        <v>55</v>
      </c>
      <c r="F832" t="s">
        <v>421</v>
      </c>
      <c r="G832" t="s">
        <v>1181</v>
      </c>
      <c r="H832" t="s">
        <v>1182</v>
      </c>
      <c r="I832" t="s">
        <v>139</v>
      </c>
      <c r="J832" t="s">
        <v>287</v>
      </c>
      <c r="K832" s="28">
        <f t="shared" si="245"/>
        <v>0.1578659423422277</v>
      </c>
      <c r="L832" s="28">
        <f t="shared" si="247"/>
        <v>0.16128463868664497</v>
      </c>
      <c r="M832" s="28">
        <f t="shared" si="247"/>
        <v>0.16403927917478689</v>
      </c>
      <c r="N832" s="28">
        <f t="shared" si="247"/>
        <v>0.16583912134746412</v>
      </c>
      <c r="O832" s="28">
        <f t="shared" si="247"/>
        <v>0.16766339315982179</v>
      </c>
      <c r="P832" s="28">
        <f t="shared" si="247"/>
        <v>0.17001522372192687</v>
      </c>
      <c r="Q832" s="28">
        <f t="shared" si="247"/>
        <v>0.17253027929477446</v>
      </c>
      <c r="R832" s="28">
        <f t="shared" si="247"/>
        <v>0.17399291850067305</v>
      </c>
      <c r="S832" s="28">
        <f t="shared" si="247"/>
        <v>0.16557860027053409</v>
      </c>
      <c r="T832" s="28">
        <f t="shared" si="247"/>
        <v>0.1691333492046497</v>
      </c>
      <c r="U832" s="28">
        <f t="shared" si="247"/>
        <v>0.17245170747417515</v>
      </c>
      <c r="V832" s="28">
        <f t="shared" si="247"/>
        <v>0.17579626240036808</v>
      </c>
      <c r="W832" s="28">
        <f t="shared" si="247"/>
        <v>0.17959210165256231</v>
      </c>
      <c r="X832" s="28">
        <f t="shared" si="247"/>
        <v>0.18341947191943975</v>
      </c>
      <c r="Y832" s="28">
        <f t="shared" si="247"/>
        <v>0.18725170622309825</v>
      </c>
      <c r="Z832" s="28">
        <f t="shared" si="247"/>
        <v>0.19101002435789147</v>
      </c>
      <c r="AA832" s="28">
        <f t="shared" si="247"/>
        <v>0.19496806630989533</v>
      </c>
      <c r="AB832" s="28">
        <f t="shared" si="247"/>
        <v>0.1987521861165934</v>
      </c>
      <c r="AC832" s="28">
        <f t="shared" si="247"/>
        <v>0.20262605023407515</v>
      </c>
      <c r="AD832" s="28">
        <f t="shared" si="247"/>
        <v>0.20701826985045815</v>
      </c>
      <c r="AE832" s="28">
        <f t="shared" si="247"/>
        <v>0.21171320346850861</v>
      </c>
      <c r="AF832" s="28">
        <f t="shared" si="247"/>
        <v>0.21655584185518156</v>
      </c>
      <c r="AG832" s="28">
        <f t="shared" si="247"/>
        <v>0.21799724995986033</v>
      </c>
      <c r="AH832" s="28">
        <f t="shared" si="247"/>
        <v>5.2251952852615427E-2</v>
      </c>
      <c r="AI832" s="28">
        <f t="shared" si="247"/>
        <v>5.2653553300749806E-2</v>
      </c>
      <c r="AJ832" s="28">
        <f t="shared" si="247"/>
        <v>5.3058077706100888E-2</v>
      </c>
      <c r="AK832" s="28">
        <f t="shared" si="247"/>
        <v>5.3465548333796561E-2</v>
      </c>
      <c r="AL832" s="28">
        <f t="shared" si="247"/>
        <v>5.3875987550074486E-2</v>
      </c>
      <c r="AM832" s="28">
        <f t="shared" si="247"/>
        <v>5.4289417828860521E-2</v>
      </c>
      <c r="AN832" s="28">
        <f t="shared" si="247"/>
        <v>5.4642837788304699E-2</v>
      </c>
      <c r="AO832" s="28">
        <f t="shared" si="247"/>
        <v>5.4998439326322222E-2</v>
      </c>
      <c r="AP832" s="28">
        <f t="shared" si="247"/>
        <v>5.5356236623464276E-2</v>
      </c>
      <c r="AQ832" s="28">
        <f t="shared" si="247"/>
        <v>5.5716243907733665E-2</v>
      </c>
      <c r="AR832" s="28">
        <f t="shared" si="247"/>
        <v>5.6078475458306978E-2</v>
      </c>
      <c r="AS832" s="28">
        <f t="shared" si="247"/>
        <v>5.6378177516484766E-2</v>
      </c>
      <c r="AT832" s="28">
        <f t="shared" si="247"/>
        <v>5.6679397882174076E-2</v>
      </c>
      <c r="AU832" s="28">
        <f t="shared" si="247"/>
        <v>5.6982144790486855E-2</v>
      </c>
      <c r="AV832" s="28">
        <f t="shared" si="247"/>
        <v>5.7286426490389369E-2</v>
      </c>
      <c r="AW832" s="28">
        <f t="shared" si="247"/>
        <v>5.7592251246923687E-2</v>
      </c>
      <c r="AY832" s="85"/>
      <c r="AZ832" s="85"/>
    </row>
    <row r="833" spans="1:52" x14ac:dyDescent="0.25">
      <c r="A833" s="102" t="str">
        <f t="shared" si="224"/>
        <v>BD Organic</v>
      </c>
      <c r="B833" s="102" t="s">
        <v>1229</v>
      </c>
      <c r="C833" s="102" t="s">
        <v>1128</v>
      </c>
      <c r="D833" t="s">
        <v>369</v>
      </c>
      <c r="E833" t="s">
        <v>55</v>
      </c>
      <c r="F833" t="s">
        <v>421</v>
      </c>
      <c r="G833" t="s">
        <v>1183</v>
      </c>
      <c r="H833" t="s">
        <v>1184</v>
      </c>
      <c r="I833" t="s">
        <v>139</v>
      </c>
      <c r="J833" t="s">
        <v>287</v>
      </c>
      <c r="K833" s="28">
        <f t="shared" si="245"/>
        <v>0.795414165570277</v>
      </c>
      <c r="L833" s="28">
        <f t="shared" si="247"/>
        <v>0.8083218557846692</v>
      </c>
      <c r="M833" s="28">
        <f t="shared" si="247"/>
        <v>0.81215441853464132</v>
      </c>
      <c r="N833" s="28">
        <f t="shared" si="247"/>
        <v>0.80356343008777875</v>
      </c>
      <c r="O833" s="28">
        <f t="shared" si="247"/>
        <v>0.79499088780116223</v>
      </c>
      <c r="P833" s="28">
        <f t="shared" si="247"/>
        <v>0.79250347923266529</v>
      </c>
      <c r="Q833" s="28">
        <f t="shared" si="247"/>
        <v>0.79198531109847847</v>
      </c>
      <c r="R833" s="28">
        <f t="shared" si="247"/>
        <v>0.77877476502438481</v>
      </c>
      <c r="S833" s="28">
        <f t="shared" si="247"/>
        <v>0.64890920680176789</v>
      </c>
      <c r="T833" s="28">
        <f t="shared" si="247"/>
        <v>0.66805040989248243</v>
      </c>
      <c r="U833" s="28">
        <f t="shared" si="247"/>
        <v>0.68404988485251483</v>
      </c>
      <c r="V833" s="28">
        <f t="shared" si="247"/>
        <v>0.70001053899583365</v>
      </c>
      <c r="W833" s="28">
        <f t="shared" si="247"/>
        <v>0.72077585420537182</v>
      </c>
      <c r="X833" s="28">
        <f t="shared" si="247"/>
        <v>0.74147883845948881</v>
      </c>
      <c r="Y833" s="28">
        <f t="shared" si="247"/>
        <v>0.76420933570691552</v>
      </c>
      <c r="Z833" s="28">
        <f t="shared" si="247"/>
        <v>0.78572613438626693</v>
      </c>
      <c r="AA833" s="28">
        <f t="shared" si="247"/>
        <v>0.80907791428846942</v>
      </c>
      <c r="AB833" s="28">
        <f t="shared" si="247"/>
        <v>0.8301336909980378</v>
      </c>
      <c r="AC833" s="28">
        <f t="shared" si="247"/>
        <v>0.85181121057445375</v>
      </c>
      <c r="AD833" s="28">
        <f t="shared" si="247"/>
        <v>0.88061906068467799</v>
      </c>
      <c r="AE833" s="28">
        <f t="shared" si="247"/>
        <v>0.91224642242202703</v>
      </c>
      <c r="AF833" s="28">
        <f t="shared" si="247"/>
        <v>0.9449892623330276</v>
      </c>
      <c r="AG833" s="28">
        <f t="shared" si="247"/>
        <v>0.94134312985108715</v>
      </c>
      <c r="AH833" s="28">
        <f t="shared" si="247"/>
        <v>-0.81638140263432868</v>
      </c>
      <c r="AI833" s="28">
        <f t="shared" si="247"/>
        <v>-0.81755111000616232</v>
      </c>
      <c r="AJ833" s="28">
        <f t="shared" si="247"/>
        <v>-0.81881979999269761</v>
      </c>
      <c r="AK833" s="28">
        <f t="shared" si="247"/>
        <v>-0.82018334185066777</v>
      </c>
      <c r="AL833" s="28">
        <f t="shared" si="247"/>
        <v>-0.82163792568162108</v>
      </c>
      <c r="AM833" s="28">
        <f t="shared" si="247"/>
        <v>-0.82318003161190867</v>
      </c>
      <c r="AN833" s="28">
        <f t="shared" si="247"/>
        <v>-0.82381473491699941</v>
      </c>
      <c r="AO833" s="28">
        <f t="shared" si="247"/>
        <v>-0.82452898483774906</v>
      </c>
      <c r="AP833" s="28">
        <f t="shared" si="247"/>
        <v>-0.82531969261957272</v>
      </c>
      <c r="AQ833" s="28">
        <f t="shared" si="247"/>
        <v>-0.82618398159490103</v>
      </c>
      <c r="AR833" s="28">
        <f t="shared" si="247"/>
        <v>-0.82711916895922855</v>
      </c>
      <c r="AS833" s="28">
        <f t="shared" si="247"/>
        <v>-0.82713235750266001</v>
      </c>
      <c r="AT833" s="28">
        <f t="shared" si="247"/>
        <v>-0.82721120407880289</v>
      </c>
      <c r="AU833" s="28">
        <f t="shared" si="247"/>
        <v>-0.82735328113760953</v>
      </c>
      <c r="AV833" s="28">
        <f t="shared" si="247"/>
        <v>-0.82755630984608064</v>
      </c>
      <c r="AW833" s="28">
        <f t="shared" si="247"/>
        <v>-0.82781814853769387</v>
      </c>
      <c r="AY833" s="85"/>
      <c r="AZ833" s="85"/>
    </row>
    <row r="834" spans="1:52" x14ac:dyDescent="0.25">
      <c r="A834" s="102" t="str">
        <f t="shared" si="224"/>
        <v>BD U&amp;D</v>
      </c>
      <c r="B834" s="102" t="s">
        <v>1229</v>
      </c>
      <c r="C834" s="102" t="s">
        <v>1337</v>
      </c>
      <c r="D834" t="s">
        <v>369</v>
      </c>
      <c r="E834" t="s">
        <v>55</v>
      </c>
      <c r="F834" t="s">
        <v>422</v>
      </c>
      <c r="G834" t="s">
        <v>1153</v>
      </c>
      <c r="H834" t="s">
        <v>1241</v>
      </c>
      <c r="I834" t="s">
        <v>139</v>
      </c>
      <c r="J834" t="s">
        <v>287</v>
      </c>
      <c r="K834" s="28">
        <f t="shared" si="245"/>
        <v>0</v>
      </c>
      <c r="L834" s="28">
        <f t="shared" si="247"/>
        <v>0</v>
      </c>
      <c r="M834" s="28">
        <f t="shared" si="247"/>
        <v>0</v>
      </c>
      <c r="N834" s="28">
        <f t="shared" si="247"/>
        <v>0</v>
      </c>
      <c r="O834" s="28">
        <f t="shared" si="247"/>
        <v>0</v>
      </c>
      <c r="P834" s="28">
        <f t="shared" si="247"/>
        <v>0</v>
      </c>
      <c r="Q834" s="28">
        <f t="shared" si="247"/>
        <v>0</v>
      </c>
      <c r="R834" s="28">
        <f t="shared" si="247"/>
        <v>0</v>
      </c>
      <c r="S834" s="28">
        <f t="shared" si="247"/>
        <v>0</v>
      </c>
      <c r="T834" s="28">
        <f t="shared" si="247"/>
        <v>0</v>
      </c>
      <c r="U834" s="28">
        <f t="shared" si="247"/>
        <v>0</v>
      </c>
      <c r="V834" s="28">
        <f t="shared" si="247"/>
        <v>0</v>
      </c>
      <c r="W834" s="28">
        <f t="shared" si="247"/>
        <v>0</v>
      </c>
      <c r="X834" s="28">
        <f t="shared" si="247"/>
        <v>0</v>
      </c>
      <c r="Y834" s="28">
        <f t="shared" si="247"/>
        <v>0</v>
      </c>
      <c r="Z834" s="28">
        <f t="shared" si="247"/>
        <v>0</v>
      </c>
      <c r="AA834" s="28">
        <f t="shared" si="247"/>
        <v>0</v>
      </c>
      <c r="AB834" s="28">
        <f t="shared" si="247"/>
        <v>0</v>
      </c>
      <c r="AC834" s="28">
        <f t="shared" si="247"/>
        <v>0</v>
      </c>
      <c r="AD834" s="28">
        <f t="shared" si="247"/>
        <v>0</v>
      </c>
      <c r="AE834" s="28">
        <f t="shared" si="247"/>
        <v>0</v>
      </c>
      <c r="AF834" s="28">
        <f t="shared" si="247"/>
        <v>0</v>
      </c>
      <c r="AG834" s="28">
        <f t="shared" si="247"/>
        <v>0</v>
      </c>
      <c r="AH834" s="28">
        <f t="shared" si="247"/>
        <v>0</v>
      </c>
      <c r="AI834" s="28">
        <f t="shared" si="247"/>
        <v>0</v>
      </c>
      <c r="AJ834" s="28">
        <f t="shared" si="247"/>
        <v>0</v>
      </c>
      <c r="AK834" s="28">
        <f t="shared" si="247"/>
        <v>0</v>
      </c>
      <c r="AL834" s="28">
        <f t="shared" si="247"/>
        <v>0</v>
      </c>
      <c r="AM834" s="28">
        <f t="shared" si="247"/>
        <v>0</v>
      </c>
      <c r="AN834" s="28">
        <f t="shared" si="247"/>
        <v>0</v>
      </c>
      <c r="AO834" s="28">
        <f t="shared" si="247"/>
        <v>0</v>
      </c>
      <c r="AP834" s="28">
        <f t="shared" si="247"/>
        <v>0</v>
      </c>
      <c r="AQ834" s="28">
        <f t="shared" si="247"/>
        <v>0</v>
      </c>
      <c r="AR834" s="28">
        <f t="shared" si="247"/>
        <v>0</v>
      </c>
      <c r="AS834" s="28">
        <f t="shared" si="247"/>
        <v>0</v>
      </c>
      <c r="AT834" s="28">
        <f t="shared" si="247"/>
        <v>0</v>
      </c>
      <c r="AU834" s="28">
        <f t="shared" si="247"/>
        <v>0</v>
      </c>
      <c r="AV834" s="28">
        <f t="shared" si="247"/>
        <v>0</v>
      </c>
      <c r="AW834" s="28">
        <f t="shared" si="247"/>
        <v>0</v>
      </c>
      <c r="AY834" s="85"/>
      <c r="AZ834" s="85"/>
    </row>
    <row r="835" spans="1:52" x14ac:dyDescent="0.25">
      <c r="A835" s="102" t="str">
        <f t="shared" si="224"/>
        <v>BD U&amp;D</v>
      </c>
      <c r="B835" s="102" t="s">
        <v>1229</v>
      </c>
      <c r="C835" s="102" t="s">
        <v>1337</v>
      </c>
      <c r="D835" t="s">
        <v>369</v>
      </c>
      <c r="E835" t="s">
        <v>55</v>
      </c>
      <c r="F835" t="s">
        <v>422</v>
      </c>
      <c r="G835" t="s">
        <v>1155</v>
      </c>
      <c r="H835" t="s">
        <v>1242</v>
      </c>
      <c r="I835" t="s">
        <v>139</v>
      </c>
      <c r="J835" t="s">
        <v>287</v>
      </c>
      <c r="K835" s="28">
        <f t="shared" si="245"/>
        <v>1.0795326716636573</v>
      </c>
      <c r="L835" s="28">
        <f t="shared" si="247"/>
        <v>1.0862475469793051</v>
      </c>
      <c r="M835" s="28">
        <f t="shared" si="247"/>
        <v>1.0908641162595043</v>
      </c>
      <c r="N835" s="28">
        <f t="shared" si="247"/>
        <v>1.0923119403436279</v>
      </c>
      <c r="O835" s="28">
        <f t="shared" si="247"/>
        <v>1.0942706302876248</v>
      </c>
      <c r="P835" s="28">
        <f t="shared" si="247"/>
        <v>1.0985609054131558</v>
      </c>
      <c r="Q835" s="28">
        <f t="shared" si="247"/>
        <v>1.1037045101143446</v>
      </c>
      <c r="R835" s="28">
        <f t="shared" si="247"/>
        <v>1.105249702620553</v>
      </c>
      <c r="S835" s="28">
        <f t="shared" si="247"/>
        <v>1.0713187850060639</v>
      </c>
      <c r="T835" s="28">
        <f t="shared" si="247"/>
        <v>1.0801428769448762</v>
      </c>
      <c r="U835" s="28">
        <f t="shared" si="247"/>
        <v>1.0882343186562755</v>
      </c>
      <c r="V835" s="28">
        <f t="shared" si="247"/>
        <v>1.0965307426510265</v>
      </c>
      <c r="W835" s="28">
        <f t="shared" si="247"/>
        <v>1.1065249139358884</v>
      </c>
      <c r="X835" s="28">
        <f t="shared" si="247"/>
        <v>1.1167066198379636</v>
      </c>
      <c r="Y835" s="28">
        <f t="shared" si="247"/>
        <v>1.1266207343141128</v>
      </c>
      <c r="Z835" s="28">
        <f t="shared" si="247"/>
        <v>1.1363365093259761</v>
      </c>
      <c r="AA835" s="28">
        <f t="shared" si="247"/>
        <v>1.146801464584869</v>
      </c>
      <c r="AB835" s="28">
        <f t="shared" si="247"/>
        <v>1.156711571508408</v>
      </c>
      <c r="AC835" s="28">
        <f t="shared" si="247"/>
        <v>1.1669771470605725</v>
      </c>
      <c r="AD835" s="28">
        <f t="shared" si="247"/>
        <v>1.1787713566301137</v>
      </c>
      <c r="AE835" s="28">
        <f t="shared" si="247"/>
        <v>1.1916164906506355</v>
      </c>
      <c r="AF835" s="28">
        <f t="shared" ref="L835:AW837" si="248">AF1483</f>
        <v>1.2049714778557878</v>
      </c>
      <c r="AG835" s="28">
        <f t="shared" si="248"/>
        <v>1.2068369654753692</v>
      </c>
      <c r="AH835" s="28">
        <f t="shared" si="248"/>
        <v>0.64612873683850436</v>
      </c>
      <c r="AI835" s="28">
        <f t="shared" si="248"/>
        <v>0.64660396058025826</v>
      </c>
      <c r="AJ835" s="28">
        <f t="shared" si="248"/>
        <v>0.64714161069901732</v>
      </c>
      <c r="AK835" s="28">
        <f t="shared" si="248"/>
        <v>0.64773931439075094</v>
      </c>
      <c r="AL835" s="28">
        <f t="shared" si="248"/>
        <v>0.64839488159544112</v>
      </c>
      <c r="AM835" s="28">
        <f t="shared" si="248"/>
        <v>0.64910628767603584</v>
      </c>
      <c r="AN835" s="28">
        <f t="shared" si="248"/>
        <v>0.64941256924922242</v>
      </c>
      <c r="AO835" s="28">
        <f t="shared" si="248"/>
        <v>0.64976802465090699</v>
      </c>
      <c r="AP835" s="28">
        <f t="shared" si="248"/>
        <v>0.65017093639043266</v>
      </c>
      <c r="AQ835" s="28">
        <f t="shared" si="248"/>
        <v>0.65061970417317594</v>
      </c>
      <c r="AR835" s="28">
        <f t="shared" si="248"/>
        <v>0.65111283495552585</v>
      </c>
      <c r="AS835" s="28">
        <f t="shared" si="248"/>
        <v>0.65118489834837545</v>
      </c>
      <c r="AT835" s="28">
        <f t="shared" si="248"/>
        <v>0.65129629063948757</v>
      </c>
      <c r="AU835" s="28">
        <f t="shared" si="248"/>
        <v>0.65144570826558501</v>
      </c>
      <c r="AV835" s="28">
        <f t="shared" si="248"/>
        <v>0.65163192707531048</v>
      </c>
      <c r="AW835" s="28">
        <f t="shared" si="248"/>
        <v>0.6518537962289046</v>
      </c>
      <c r="AY835" s="85"/>
      <c r="AZ835" s="85"/>
    </row>
    <row r="836" spans="1:52" x14ac:dyDescent="0.25">
      <c r="A836" s="102" t="str">
        <f t="shared" si="224"/>
        <v>BD U&amp;D</v>
      </c>
      <c r="B836" s="102" t="s">
        <v>1229</v>
      </c>
      <c r="C836" s="102" t="s">
        <v>1337</v>
      </c>
      <c r="D836" t="s">
        <v>369</v>
      </c>
      <c r="E836" t="s">
        <v>55</v>
      </c>
      <c r="F836" t="s">
        <v>422</v>
      </c>
      <c r="G836" t="s">
        <v>1157</v>
      </c>
      <c r="H836" t="s">
        <v>1243</v>
      </c>
      <c r="I836" t="s">
        <v>139</v>
      </c>
      <c r="J836" t="s">
        <v>287</v>
      </c>
      <c r="K836" s="28">
        <f t="shared" si="245"/>
        <v>0.73516913566022923</v>
      </c>
      <c r="L836" s="28">
        <f t="shared" si="248"/>
        <v>0.7397420116939516</v>
      </c>
      <c r="M836" s="28">
        <f t="shared" si="248"/>
        <v>0.74288592696073941</v>
      </c>
      <c r="N836" s="28">
        <f t="shared" si="248"/>
        <v>0.74387190506816692</v>
      </c>
      <c r="O836" s="28">
        <f t="shared" si="248"/>
        <v>0.74520578632155732</v>
      </c>
      <c r="P836" s="28">
        <f t="shared" si="248"/>
        <v>0.74812749303648285</v>
      </c>
      <c r="Q836" s="28">
        <f t="shared" si="248"/>
        <v>0.7516303230309872</v>
      </c>
      <c r="R836" s="28">
        <f t="shared" si="248"/>
        <v>0.75268260970005785</v>
      </c>
      <c r="S836" s="28">
        <f t="shared" si="248"/>
        <v>0.72957542264627473</v>
      </c>
      <c r="T836" s="28">
        <f t="shared" si="248"/>
        <v>0.73558468963181722</v>
      </c>
      <c r="U836" s="28">
        <f t="shared" si="248"/>
        <v>0.74109501679963463</v>
      </c>
      <c r="V836" s="28">
        <f t="shared" si="248"/>
        <v>0.74674493830492128</v>
      </c>
      <c r="W836" s="28">
        <f t="shared" si="248"/>
        <v>0.753551037330909</v>
      </c>
      <c r="X836" s="28">
        <f t="shared" si="248"/>
        <v>0.76048484871434763</v>
      </c>
      <c r="Y836" s="28">
        <f t="shared" si="248"/>
        <v>0.7672364285058465</v>
      </c>
      <c r="Z836" s="28">
        <f t="shared" si="248"/>
        <v>0.77385293776511066</v>
      </c>
      <c r="AA836" s="28">
        <f t="shared" si="248"/>
        <v>0.78097964389855901</v>
      </c>
      <c r="AB836" s="28">
        <f t="shared" si="248"/>
        <v>0.78772849451931037</v>
      </c>
      <c r="AC836" s="28">
        <f t="shared" si="248"/>
        <v>0.79471942170830334</v>
      </c>
      <c r="AD836" s="28">
        <f t="shared" si="248"/>
        <v>0.80275135912217765</v>
      </c>
      <c r="AE836" s="28">
        <f t="shared" si="248"/>
        <v>0.81149898327768732</v>
      </c>
      <c r="AF836" s="28">
        <f t="shared" si="248"/>
        <v>0.82059382094039046</v>
      </c>
      <c r="AG836" s="28">
        <f t="shared" si="248"/>
        <v>0.8218642307731554</v>
      </c>
      <c r="AH836" s="28">
        <f t="shared" si="248"/>
        <v>0.4400180906565429</v>
      </c>
      <c r="AI836" s="28">
        <f t="shared" si="248"/>
        <v>0.44034172127619964</v>
      </c>
      <c r="AJ836" s="28">
        <f t="shared" si="248"/>
        <v>0.44070786468572382</v>
      </c>
      <c r="AK836" s="28">
        <f t="shared" si="248"/>
        <v>0.44111490498933553</v>
      </c>
      <c r="AL836" s="28">
        <f t="shared" si="248"/>
        <v>0.44156135074117797</v>
      </c>
      <c r="AM836" s="28">
        <f t="shared" si="248"/>
        <v>0.44204582314956586</v>
      </c>
      <c r="AN836" s="28">
        <f t="shared" si="248"/>
        <v>0.44225440299651131</v>
      </c>
      <c r="AO836" s="28">
        <f t="shared" si="248"/>
        <v>0.44249647055711561</v>
      </c>
      <c r="AP836" s="28">
        <f t="shared" si="248"/>
        <v>0.44277085620848994</v>
      </c>
      <c r="AQ836" s="28">
        <f t="shared" si="248"/>
        <v>0.44307647013904683</v>
      </c>
      <c r="AR836" s="28">
        <f t="shared" si="248"/>
        <v>0.4434122955758712</v>
      </c>
      <c r="AS836" s="28">
        <f t="shared" si="248"/>
        <v>0.44346137123946583</v>
      </c>
      <c r="AT836" s="28">
        <f t="shared" si="248"/>
        <v>0.4435372301518688</v>
      </c>
      <c r="AU836" s="28">
        <f t="shared" si="248"/>
        <v>0.44363898457756984</v>
      </c>
      <c r="AV836" s="28">
        <f t="shared" si="248"/>
        <v>0.44376580086111833</v>
      </c>
      <c r="AW836" s="28">
        <f t="shared" si="248"/>
        <v>0.44391689527276407</v>
      </c>
      <c r="AY836" s="85"/>
      <c r="AZ836" s="85"/>
    </row>
    <row r="837" spans="1:52" x14ac:dyDescent="0.25">
      <c r="A837" s="102" t="str">
        <f t="shared" si="224"/>
        <v>BD U&amp;D</v>
      </c>
      <c r="B837" s="102" t="s">
        <v>1229</v>
      </c>
      <c r="C837" s="102" t="s">
        <v>1337</v>
      </c>
      <c r="D837" t="s">
        <v>369</v>
      </c>
      <c r="E837" t="s">
        <v>55</v>
      </c>
      <c r="F837" t="s">
        <v>422</v>
      </c>
      <c r="G837" t="s">
        <v>1159</v>
      </c>
      <c r="H837" t="s">
        <v>1244</v>
      </c>
      <c r="I837" t="s">
        <v>139</v>
      </c>
      <c r="J837" t="s">
        <v>287</v>
      </c>
      <c r="K837" s="28">
        <f t="shared" si="245"/>
        <v>15.48880966403453</v>
      </c>
      <c r="L837" s="28">
        <f t="shared" si="248"/>
        <v>15.386143051197998</v>
      </c>
      <c r="M837" s="28">
        <f t="shared" si="248"/>
        <v>15.169677377989304</v>
      </c>
      <c r="N837" s="28">
        <f t="shared" si="248"/>
        <v>14.804794487947174</v>
      </c>
      <c r="O837" s="28">
        <f t="shared" si="248"/>
        <v>14.450776257626368</v>
      </c>
      <c r="P837" s="28">
        <f t="shared" si="248"/>
        <v>14.178486550067829</v>
      </c>
      <c r="Q837" s="28">
        <f t="shared" si="248"/>
        <v>13.932198413286633</v>
      </c>
      <c r="R837" s="28">
        <f t="shared" si="248"/>
        <v>13.544970185493053</v>
      </c>
      <c r="S837" s="28">
        <f t="shared" si="248"/>
        <v>11.879759863511568</v>
      </c>
      <c r="T837" s="28">
        <f t="shared" si="248"/>
        <v>11.992993022515481</v>
      </c>
      <c r="U837" s="28">
        <f t="shared" si="248"/>
        <v>12.069614819396085</v>
      </c>
      <c r="V837" s="28">
        <f t="shared" si="248"/>
        <v>12.143744438353496</v>
      </c>
      <c r="W837" s="28">
        <f t="shared" si="248"/>
        <v>12.266336998051067</v>
      </c>
      <c r="X837" s="28">
        <f t="shared" si="248"/>
        <v>12.384889207902271</v>
      </c>
      <c r="Y837" s="28">
        <f t="shared" si="248"/>
        <v>12.509351233051413</v>
      </c>
      <c r="Z837" s="28">
        <f t="shared" si="248"/>
        <v>12.61770643379279</v>
      </c>
      <c r="AA837" s="28">
        <f t="shared" si="248"/>
        <v>12.7410293454877</v>
      </c>
      <c r="AB837" s="28">
        <f t="shared" si="248"/>
        <v>12.837533702297911</v>
      </c>
      <c r="AC837" s="28">
        <f t="shared" si="248"/>
        <v>12.936685976559087</v>
      </c>
      <c r="AD837" s="28">
        <f t="shared" si="248"/>
        <v>12.98286747930208</v>
      </c>
      <c r="AE837" s="28">
        <f t="shared" si="248"/>
        <v>13.046191689203091</v>
      </c>
      <c r="AF837" s="28">
        <f t="shared" si="248"/>
        <v>13.10927150785349</v>
      </c>
      <c r="AG837" s="28">
        <f t="shared" si="248"/>
        <v>12.831250179467366</v>
      </c>
      <c r="AH837" s="28">
        <f t="shared" si="248"/>
        <v>-3.0267144396295609</v>
      </c>
      <c r="AI837" s="28">
        <f t="shared" si="248"/>
        <v>-2.956505191498271</v>
      </c>
      <c r="AJ837" s="28">
        <f t="shared" si="248"/>
        <v>-2.8874124907442584</v>
      </c>
      <c r="AK837" s="28">
        <f t="shared" si="248"/>
        <v>-2.8193778585944393</v>
      </c>
      <c r="AL837" s="28">
        <f t="shared" si="248"/>
        <v>-2.7523468592631737</v>
      </c>
      <c r="AM837" s="28">
        <f t="shared" si="248"/>
        <v>-2.6862687253121265</v>
      </c>
      <c r="AN837" s="28">
        <f t="shared" si="248"/>
        <v>-2.6326943062213264</v>
      </c>
      <c r="AO837" s="28">
        <f t="shared" si="248"/>
        <v>-2.5799290640232249</v>
      </c>
      <c r="AP837" s="28">
        <f t="shared" si="248"/>
        <v>-2.5279363308324876</v>
      </c>
      <c r="AQ837" s="28">
        <f t="shared" si="248"/>
        <v>-2.4766817193169062</v>
      </c>
      <c r="AR837" s="28">
        <f t="shared" si="248"/>
        <v>-2.4261329336018767</v>
      </c>
      <c r="AS837" s="28">
        <f t="shared" si="248"/>
        <v>-2.3746446145368036</v>
      </c>
      <c r="AT837" s="28">
        <f t="shared" si="248"/>
        <v>-2.3238643255218379</v>
      </c>
      <c r="AU837" s="28">
        <f t="shared" si="248"/>
        <v>-2.2737642137550615</v>
      </c>
      <c r="AV837" s="28">
        <f t="shared" si="248"/>
        <v>-2.2243179912934989</v>
      </c>
      <c r="AW837" s="28">
        <f t="shared" si="248"/>
        <v>-2.1755008181156215</v>
      </c>
      <c r="AY837" s="85"/>
      <c r="AZ837" s="85"/>
    </row>
    <row r="838" spans="1:52" x14ac:dyDescent="0.25">
      <c r="A838" s="102" t="str">
        <f t="shared" si="224"/>
        <v>BD U&amp;D</v>
      </c>
      <c r="B838" s="102" t="s">
        <v>1229</v>
      </c>
      <c r="C838" s="102" t="s">
        <v>1337</v>
      </c>
      <c r="D838" t="s">
        <v>369</v>
      </c>
      <c r="E838" t="s">
        <v>55</v>
      </c>
      <c r="F838" t="s">
        <v>422</v>
      </c>
      <c r="G838" t="s">
        <v>1161</v>
      </c>
      <c r="H838" t="s">
        <v>1245</v>
      </c>
      <c r="I838" t="s">
        <v>139</v>
      </c>
      <c r="J838" t="s">
        <v>287</v>
      </c>
      <c r="K838" s="101">
        <f>IF('Net zero activities &amp; levers'!$C$10="Off",'Activity data'!AD70*UDCPPEF*NtoN2O*kgtoGg,IF('Net zero activities &amp; levers'!$C$10="On",'Net zero Activity data'!AD70*UDCPPEF*NtoN2O*kgtoGg,"ERROR"))</f>
        <v>9.7393760290961886</v>
      </c>
      <c r="L838" s="101">
        <f>IF('Net zero activities &amp; levers'!$C$10="Off",'Activity data'!AE70*UDCPPEF*NtoN2O*kgtoGg,IF('Net zero activities &amp; levers'!$C$10="On",'Net zero Activity data'!AE70*UDCPPEF*NtoN2O*kgtoGg,"ERROR"))</f>
        <v>9.6748191800072334</v>
      </c>
      <c r="M838" s="101">
        <f>IF('Net zero activities &amp; levers'!$C$10="Off",'Activity data'!AF70*UDCPPEF*NtoN2O*kgtoGg,IF('Net zero activities &amp; levers'!$C$10="On",'Net zero Activity data'!AF70*UDCPPEF*NtoN2O*kgtoGg,"ERROR"))</f>
        <v>9.538705389825779</v>
      </c>
      <c r="N838" s="101">
        <f>IF('Net zero activities &amp; levers'!$C$10="Off",'Activity data'!AG70*UDCPPEF*NtoN2O*kgtoGg,IF('Net zero activities &amp; levers'!$C$10="On",'Net zero Activity data'!AG70*UDCPPEF*NtoN2O*kgtoGg,"ERROR"))</f>
        <v>9.3092667338033213</v>
      </c>
      <c r="O838" s="101">
        <f>IF('Net zero activities &amp; levers'!$C$10="Off",'Activity data'!AH70*UDCPPEF*NtoN2O*kgtoGg,IF('Net zero activities &amp; levers'!$C$10="On",'Net zero Activity data'!AH70*UDCPPEF*NtoN2O*kgtoGg,"ERROR"))</f>
        <v>9.086659784590454</v>
      </c>
      <c r="P838" s="101">
        <f>IF('Net zero activities &amp; levers'!$C$10="Off",'Activity data'!AI70*UDCPPEF*NtoN2O*kgtoGg,IF('Net zero activities &amp; levers'!$C$10="On",'Net zero Activity data'!AI70*UDCPPEF*NtoN2O*kgtoGg,"ERROR"))</f>
        <v>8.9154437965133955</v>
      </c>
      <c r="Q838" s="101">
        <f>IF('Net zero activities &amp; levers'!$C$10="Off",'Activity data'!AJ70*UDCPPEF*NtoN2O*kgtoGg,IF('Net zero activities &amp; levers'!$C$10="On",'Net zero Activity data'!AJ70*UDCPPEF*NtoN2O*kgtoGg,"ERROR"))</f>
        <v>8.7605776171460139</v>
      </c>
      <c r="R838" s="101">
        <f>IF('Net zero activities &amp; levers'!$C$10="Off",'Activity data'!AK70*UDCPPEF*NtoN2O*kgtoGg,IF('Net zero activities &amp; levers'!$C$10="On",'Net zero Activity data'!AK70*UDCPPEF*NtoN2O*kgtoGg,"ERROR"))</f>
        <v>8.5170881946941783</v>
      </c>
      <c r="S838" s="101">
        <f>IF('Net zero activities &amp; levers'!$C$10="Off",'Activity data'!AL70*UDCPPEF*NtoN2O*kgtoGg,IF('Net zero activities &amp; levers'!$C$10="On",'Net zero Activity data'!AL70*UDCPPEF*NtoN2O*kgtoGg,"ERROR"))</f>
        <v>7.4700025990225534</v>
      </c>
      <c r="T838" s="101">
        <f>IF('Net zero activities &amp; levers'!$C$10="Off",'Activity data'!AM70*UDCPPEF*NtoN2O*kgtoGg,IF('Net zero activities &amp; levers'!$C$10="On",'Net zero Activity data'!AM70*UDCPPEF*NtoN2O*kgtoGg,"ERROR"))</f>
        <v>7.3811290836535886</v>
      </c>
      <c r="U838" s="101">
        <f>IF('Net zero activities &amp; levers'!$C$10="Off",'Activity data'!AN70*UDCPPEF*NtoN2O*kgtoGg,IF('Net zero activities &amp; levers'!$C$10="On",'Net zero Activity data'!AN70*UDCPPEF*NtoN2O*kgtoGg,"ERROR"))</f>
        <v>7.2688079875584606</v>
      </c>
      <c r="V838" s="101">
        <f>IF('Net zero activities &amp; levers'!$C$10="Off",'Activity data'!AO70*UDCPPEF*NtoN2O*kgtoGg,IF('Net zero activities &amp; levers'!$C$10="On",'Net zero Activity data'!AO70*UDCPPEF*NtoN2O*kgtoGg,"ERROR"))</f>
        <v>7.154623105370634</v>
      </c>
      <c r="W838" s="101">
        <f>IF('Net zero activities &amp; levers'!$C$10="Off",'Activity data'!AP70*UDCPPEF*NtoN2O*kgtoGg,IF('Net zero activities &amp; levers'!$C$10="On",'Net zero Activity data'!AP70*UDCPPEF*NtoN2O*kgtoGg,"ERROR"))</f>
        <v>7.0680632248177657</v>
      </c>
      <c r="X838" s="101">
        <f>IF('Net zero activities &amp; levers'!$C$10="Off",'Activity data'!AQ70*UDCPPEF*NtoN2O*kgtoGg,IF('Net zero activities &amp; levers'!$C$10="On",'Net zero Activity data'!AQ70*UDCPPEF*NtoN2O*kgtoGg,"ERROR"))</f>
        <v>6.9777149915960877</v>
      </c>
      <c r="Y838" s="101">
        <f>IF('Net zero activities &amp; levers'!$C$10="Off",'Activity data'!AR70*UDCPPEF*NtoN2O*kgtoGg,IF('Net zero activities &amp; levers'!$C$10="On",'Net zero Activity data'!AR70*UDCPPEF*NtoN2O*kgtoGg,"ERROR"))</f>
        <v>6.8892612384290013</v>
      </c>
      <c r="Z838" s="101">
        <f>IF('Net zero activities &amp; levers'!$C$10="Off",'Activity data'!AS70*UDCPPEF*NtoN2O*kgtoGg,IF('Net zero activities &amp; levers'!$C$10="On",'Net zero Activity data'!AS70*UDCPPEF*NtoN2O*kgtoGg,"ERROR"))</f>
        <v>6.7906782468673414</v>
      </c>
      <c r="AA838" s="101">
        <f>IF('Net zero activities &amp; levers'!$C$10="Off",'Activity data'!AT70*UDCPPEF*NtoN2O*kgtoGg,IF('Net zero activities &amp; levers'!$C$10="On",'Net zero Activity data'!AT70*UDCPPEF*NtoN2O*kgtoGg,"ERROR"))</f>
        <v>6.6989539907889464</v>
      </c>
      <c r="AB838" s="101">
        <f>IF('Net zero activities &amp; levers'!$C$10="Off",'Activity data'!AU70*UDCPPEF*NtoN2O*kgtoGg,IF('Net zero activities &amp; levers'!$C$10="On",'Net zero Activity data'!AU70*UDCPPEF*NtoN2O*kgtoGg,"ERROR"))</f>
        <v>6.5921235160583604</v>
      </c>
      <c r="AC838" s="101">
        <f>IF('Net zero activities &amp; levers'!$C$10="Off",'Activity data'!AV70*UDCPPEF*NtoN2O*kgtoGg,IF('Net zero activities &amp; levers'!$C$10="On",'Net zero Activity data'!AV70*UDCPPEF*NtoN2O*kgtoGg,"ERROR"))</f>
        <v>6.4859866112662594</v>
      </c>
      <c r="AD838" s="101">
        <f>IF('Net zero activities &amp; levers'!$C$10="Off",'Activity data'!AW70*UDCPPEF*NtoN2O*kgtoGg,IF('Net zero activities &amp; levers'!$C$10="On",'Net zero Activity data'!AW70*UDCPPEF*NtoN2O*kgtoGg,"ERROR"))</f>
        <v>6.4652018355243293</v>
      </c>
      <c r="AE838" s="101">
        <f>IF('Net zero activities &amp; levers'!$C$10="Off",'Activity data'!AX70*UDCPPEF*NtoN2O*kgtoGg,IF('Net zero activities &amp; levers'!$C$10="On",'Net zero Activity data'!AX70*UDCPPEF*NtoN2O*kgtoGg,"ERROR"))</f>
        <v>6.4526925507206654</v>
      </c>
      <c r="AF838" s="101">
        <f>IF('Net zero activities &amp; levers'!$C$10="Off",'Activity data'!AY70*UDCPPEF*NtoN2O*kgtoGg,IF('Net zero activities &amp; levers'!$C$10="On",'Net zero Activity data'!AY70*UDCPPEF*NtoN2O*kgtoGg,"ERROR"))</f>
        <v>6.4397455622582287</v>
      </c>
      <c r="AG838" s="101">
        <f>IF('Net zero activities &amp; levers'!$C$10="Off",'Activity data'!AZ70*UDCPPEF*NtoN2O*kgtoGg,IF('Net zero activities &amp; levers'!$C$10="On",'Net zero Activity data'!AZ70*UDCPPEF*NtoN2O*kgtoGg,"ERROR"))</f>
        <v>6.2600688342473578</v>
      </c>
      <c r="AH838" s="101">
        <f>IF('Net zero activities &amp; levers'!$C$10="Off",'Activity data'!BA70*UDCPPEF*NtoN2O*kgtoGg,IF('Net zero activities &amp; levers'!$C$10="On",'Net zero Activity data'!BA70*UDCPPEF*NtoN2O*kgtoGg,"ERROR"))</f>
        <v>-1.4665217068330973</v>
      </c>
      <c r="AI838" s="101">
        <f>IF('Net zero activities &amp; levers'!$C$10="Off",'Activity data'!BB70*UDCPPEF*NtoN2O*kgtoGg,IF('Net zero activities &amp; levers'!$C$10="On",'Net zero Activity data'!BB70*UDCPPEF*NtoN2O*kgtoGg,"ERROR"))</f>
        <v>-1.4226216050557783</v>
      </c>
      <c r="AJ838" s="101">
        <f>IF('Net zero activities &amp; levers'!$C$10="Off",'Activity data'!BC70*UDCPPEF*NtoN2O*kgtoGg,IF('Net zero activities &amp; levers'!$C$10="On",'Net zero Activity data'!BC70*UDCPPEF*NtoN2O*kgtoGg,"ERROR"))</f>
        <v>-1.3797485819884008</v>
      </c>
      <c r="AK838" s="101">
        <f>IF('Net zero activities &amp; levers'!$C$10="Off",'Activity data'!BD70*UDCPPEF*NtoN2O*kgtoGg,IF('Net zero activities &amp; levers'!$C$10="On",'Net zero Activity data'!BD70*UDCPPEF*NtoN2O*kgtoGg,"ERROR"))</f>
        <v>-1.3378619823914213</v>
      </c>
      <c r="AL838" s="101">
        <f>IF('Net zero activities &amp; levers'!$C$10="Off",'Activity data'!BE70*UDCPPEF*NtoN2O*kgtoGg,IF('Net zero activities &amp; levers'!$C$10="On",'Net zero Activity data'!BE70*UDCPPEF*NtoN2O*kgtoGg,"ERROR"))</f>
        <v>-1.2969238882347223</v>
      </c>
      <c r="AM838" s="101">
        <f>IF('Net zero activities &amp; levers'!$C$10="Off",'Activity data'!BF70*UDCPPEF*NtoN2O*kgtoGg,IF('Net zero activities &amp; levers'!$C$10="On",'Net zero Activity data'!BF70*UDCPPEF*NtoN2O*kgtoGg,"ERROR"))</f>
        <v>-1.2568988716125011</v>
      </c>
      <c r="AN838" s="101">
        <f>IF('Net zero activities &amp; levers'!$C$10="Off",'Activity data'!BG70*UDCPPEF*NtoN2O*kgtoGg,IF('Net zero activities &amp; levers'!$C$10="On",'Net zero Activity data'!BG70*UDCPPEF*NtoN2O*kgtoGg,"ERROR"))</f>
        <v>-1.223142303635933</v>
      </c>
      <c r="AO838" s="101">
        <f>IF('Net zero activities &amp; levers'!$C$10="Off",'Activity data'!BH70*UDCPPEF*NtoN2O*kgtoGg,IF('Net zero activities &amp; levers'!$C$10="On",'Net zero Activity data'!BH70*UDCPPEF*NtoN2O*kgtoGg,"ERROR"))</f>
        <v>-1.1901342817452736</v>
      </c>
      <c r="AP838" s="101">
        <f>IF('Net zero activities &amp; levers'!$C$10="Off",'Activity data'!BI70*UDCPPEF*NtoN2O*kgtoGg,IF('Net zero activities &amp; levers'!$C$10="On",'Net zero Activity data'!BI70*UDCPPEF*NtoN2O*kgtoGg,"ERROR"))</f>
        <v>-1.1578486923887343</v>
      </c>
      <c r="AQ838" s="101">
        <f>IF('Net zero activities &amp; levers'!$C$10="Off",'Activity data'!BJ70*UDCPPEF*NtoN2O*kgtoGg,IF('Net zero activities &amp; levers'!$C$10="On",'Net zero Activity data'!BJ70*UDCPPEF*NtoN2O*kgtoGg,"ERROR"))</f>
        <v>-1.1262609801928605</v>
      </c>
      <c r="AR838" s="101">
        <f>IF('Net zero activities &amp; levers'!$C$10="Off",'Activity data'!BK70*UDCPPEF*NtoN2O*kgtoGg,IF('Net zero activities &amp; levers'!$C$10="On",'Net zero Activity data'!BK70*UDCPPEF*NtoN2O*kgtoGg,"ERROR"))</f>
        <v>-1.0953480222631551</v>
      </c>
      <c r="AS838" s="101">
        <f>IF('Net zero activities &amp; levers'!$C$10="Off",'Activity data'!BL70*UDCPPEF*NtoN2O*kgtoGg,IF('Net zero activities &amp; levers'!$C$10="On",'Net zero Activity data'!BL70*UDCPPEF*NtoN2O*kgtoGg,"ERROR"))</f>
        <v>-1.0643641459331941</v>
      </c>
      <c r="AT838" s="101">
        <f>IF('Net zero activities &amp; levers'!$C$10="Off",'Activity data'!BM70*UDCPPEF*NtoN2O*kgtoGg,IF('Net zero activities &amp; levers'!$C$10="On",'Net zero Activity data'!BM70*UDCPPEF*NtoN2O*kgtoGg,"ERROR"))</f>
        <v>-1.0340503574205571</v>
      </c>
      <c r="AU838" s="101">
        <f>IF('Net zero activities &amp; levers'!$C$10="Off",'Activity data'!BN70*UDCPPEF*NtoN2O*kgtoGg,IF('Net zero activities &amp; levers'!$C$10="On",'Net zero Activity data'!BN70*UDCPPEF*NtoN2O*kgtoGg,"ERROR"))</f>
        <v>-1.0043861724038188</v>
      </c>
      <c r="AV838" s="101">
        <f>IF('Net zero activities &amp; levers'!$C$10="Off",'Activity data'!BO70*UDCPPEF*NtoN2O*kgtoGg,IF('Net zero activities &amp; levers'!$C$10="On",'Net zero Activity data'!BO70*UDCPPEF*NtoN2O*kgtoGg,"ERROR"))</f>
        <v>-0.97535218860180206</v>
      </c>
      <c r="AW838" s="101">
        <f>IF('Net zero activities &amp; levers'!$C$10="Off",'Activity data'!BP70*UDCPPEF*NtoN2O*kgtoGg,IF('Net zero activities &amp; levers'!$C$10="On",'Net zero Activity data'!BP70*UDCPPEF*NtoN2O*kgtoGg,"ERROR"))</f>
        <v>-0.9469300073052922</v>
      </c>
      <c r="AY838" s="85"/>
      <c r="AZ838" s="85"/>
    </row>
    <row r="839" spans="1:52" x14ac:dyDescent="0.25">
      <c r="A839" s="102" t="str">
        <f t="shared" si="224"/>
        <v>BD U&amp;D</v>
      </c>
      <c r="B839" s="102" t="s">
        <v>1229</v>
      </c>
      <c r="C839" s="102" t="s">
        <v>1337</v>
      </c>
      <c r="D839" t="s">
        <v>369</v>
      </c>
      <c r="E839" t="s">
        <v>55</v>
      </c>
      <c r="F839" t="s">
        <v>422</v>
      </c>
      <c r="G839" t="s">
        <v>1163</v>
      </c>
      <c r="H839" t="s">
        <v>1246</v>
      </c>
      <c r="I839" t="s">
        <v>139</v>
      </c>
      <c r="J839" t="s">
        <v>287</v>
      </c>
      <c r="K839" s="28">
        <f t="shared" si="245"/>
        <v>0</v>
      </c>
      <c r="L839" s="28">
        <f t="shared" ref="L839:AW839" si="249">L1487</f>
        <v>0</v>
      </c>
      <c r="M839" s="28">
        <f t="shared" si="249"/>
        <v>0</v>
      </c>
      <c r="N839" s="28">
        <f t="shared" si="249"/>
        <v>0</v>
      </c>
      <c r="O839" s="28">
        <f t="shared" si="249"/>
        <v>0</v>
      </c>
      <c r="P839" s="28">
        <f t="shared" si="249"/>
        <v>0</v>
      </c>
      <c r="Q839" s="28">
        <f t="shared" si="249"/>
        <v>0</v>
      </c>
      <c r="R839" s="28">
        <f t="shared" si="249"/>
        <v>0</v>
      </c>
      <c r="S839" s="28">
        <f t="shared" si="249"/>
        <v>0</v>
      </c>
      <c r="T839" s="28">
        <f t="shared" si="249"/>
        <v>0</v>
      </c>
      <c r="U839" s="28">
        <f t="shared" si="249"/>
        <v>0</v>
      </c>
      <c r="V839" s="28">
        <f t="shared" si="249"/>
        <v>0</v>
      </c>
      <c r="W839" s="28">
        <f t="shared" si="249"/>
        <v>0</v>
      </c>
      <c r="X839" s="28">
        <f t="shared" si="249"/>
        <v>0</v>
      </c>
      <c r="Y839" s="28">
        <f t="shared" si="249"/>
        <v>0</v>
      </c>
      <c r="Z839" s="28">
        <f t="shared" si="249"/>
        <v>0</v>
      </c>
      <c r="AA839" s="28">
        <f t="shared" si="249"/>
        <v>0</v>
      </c>
      <c r="AB839" s="28">
        <f t="shared" si="249"/>
        <v>0</v>
      </c>
      <c r="AC839" s="28">
        <f t="shared" si="249"/>
        <v>0</v>
      </c>
      <c r="AD839" s="28">
        <f t="shared" si="249"/>
        <v>0</v>
      </c>
      <c r="AE839" s="28">
        <f t="shared" si="249"/>
        <v>0</v>
      </c>
      <c r="AF839" s="28">
        <f t="shared" si="249"/>
        <v>0</v>
      </c>
      <c r="AG839" s="28">
        <f t="shared" si="249"/>
        <v>0</v>
      </c>
      <c r="AH839" s="28">
        <f t="shared" si="249"/>
        <v>0</v>
      </c>
      <c r="AI839" s="28">
        <f t="shared" si="249"/>
        <v>0</v>
      </c>
      <c r="AJ839" s="28">
        <f t="shared" si="249"/>
        <v>0</v>
      </c>
      <c r="AK839" s="28">
        <f t="shared" si="249"/>
        <v>0</v>
      </c>
      <c r="AL839" s="28">
        <f t="shared" si="249"/>
        <v>0</v>
      </c>
      <c r="AM839" s="28">
        <f t="shared" si="249"/>
        <v>0</v>
      </c>
      <c r="AN839" s="28">
        <f t="shared" si="249"/>
        <v>0</v>
      </c>
      <c r="AO839" s="28">
        <f t="shared" si="249"/>
        <v>0</v>
      </c>
      <c r="AP839" s="28">
        <f t="shared" si="249"/>
        <v>0</v>
      </c>
      <c r="AQ839" s="28">
        <f t="shared" si="249"/>
        <v>0</v>
      </c>
      <c r="AR839" s="28">
        <f t="shared" si="249"/>
        <v>0</v>
      </c>
      <c r="AS839" s="28">
        <f t="shared" si="249"/>
        <v>0</v>
      </c>
      <c r="AT839" s="28">
        <f t="shared" si="249"/>
        <v>0</v>
      </c>
      <c r="AU839" s="28">
        <f t="shared" si="249"/>
        <v>0</v>
      </c>
      <c r="AV839" s="28">
        <f t="shared" si="249"/>
        <v>0</v>
      </c>
      <c r="AW839" s="28">
        <f t="shared" si="249"/>
        <v>0</v>
      </c>
      <c r="AY839" s="85"/>
      <c r="AZ839" s="85"/>
    </row>
    <row r="840" spans="1:52" x14ac:dyDescent="0.25">
      <c r="A840" s="102" t="str">
        <f t="shared" si="224"/>
        <v>BD U&amp;D</v>
      </c>
      <c r="B840" s="102" t="s">
        <v>1229</v>
      </c>
      <c r="C840" s="102" t="s">
        <v>1337</v>
      </c>
      <c r="D840" t="s">
        <v>369</v>
      </c>
      <c r="E840" t="s">
        <v>55</v>
      </c>
      <c r="F840" t="s">
        <v>422</v>
      </c>
      <c r="G840" t="s">
        <v>1165</v>
      </c>
      <c r="H840" t="s">
        <v>1247</v>
      </c>
      <c r="I840" t="s">
        <v>139</v>
      </c>
      <c r="J840" t="s">
        <v>287</v>
      </c>
      <c r="K840" s="28">
        <f t="shared" ref="K840:AW840" si="250">K1488</f>
        <v>5.8007004881973501</v>
      </c>
      <c r="L840" s="28">
        <f t="shared" si="250"/>
        <v>5.8038682011318086</v>
      </c>
      <c r="M840" s="28">
        <f t="shared" si="250"/>
        <v>5.8109613188893956</v>
      </c>
      <c r="N840" s="28">
        <f t="shared" si="250"/>
        <v>5.8216379502269948</v>
      </c>
      <c r="O840" s="28">
        <f t="shared" si="250"/>
        <v>5.8360409400543007</v>
      </c>
      <c r="P840" s="28">
        <f t="shared" si="250"/>
        <v>5.8541855713392259</v>
      </c>
      <c r="Q840" s="28">
        <f t="shared" si="250"/>
        <v>5.8743979550370415</v>
      </c>
      <c r="R840" s="28">
        <f t="shared" si="250"/>
        <v>5.8963035789612563</v>
      </c>
      <c r="S840" s="28">
        <f t="shared" si="250"/>
        <v>5.9168885563672573</v>
      </c>
      <c r="T840" s="28">
        <f t="shared" si="250"/>
        <v>5.9254873000442174</v>
      </c>
      <c r="U840" s="28">
        <f t="shared" si="250"/>
        <v>5.9354650911079814</v>
      </c>
      <c r="V840" s="28">
        <f t="shared" si="250"/>
        <v>5.9468198836780894</v>
      </c>
      <c r="W840" s="28">
        <f t="shared" si="250"/>
        <v>5.9596105082694644</v>
      </c>
      <c r="X840" s="28">
        <f t="shared" si="250"/>
        <v>5.9736319121523582</v>
      </c>
      <c r="Y840" s="28">
        <f t="shared" si="250"/>
        <v>5.9822631555642722</v>
      </c>
      <c r="Z840" s="28">
        <f t="shared" si="250"/>
        <v>5.9919044326673472</v>
      </c>
      <c r="AA840" s="28">
        <f t="shared" si="250"/>
        <v>6.0025907311296489</v>
      </c>
      <c r="AB840" s="28">
        <f t="shared" si="250"/>
        <v>6.0141578623127154</v>
      </c>
      <c r="AC840" s="28">
        <f t="shared" si="250"/>
        <v>6.0266471855560004</v>
      </c>
      <c r="AD840" s="28">
        <f t="shared" si="250"/>
        <v>6.0348691397671148</v>
      </c>
      <c r="AE840" s="28">
        <f t="shared" si="250"/>
        <v>6.0439559167579606</v>
      </c>
      <c r="AF840" s="28">
        <f t="shared" si="250"/>
        <v>6.0538257946059888</v>
      </c>
      <c r="AG840" s="28">
        <f t="shared" si="250"/>
        <v>6.0633613554169949</v>
      </c>
      <c r="AH840" s="28">
        <f t="shared" si="250"/>
        <v>6.0225939777620399</v>
      </c>
      <c r="AI840" s="28">
        <f t="shared" si="250"/>
        <v>6.0283835899852134</v>
      </c>
      <c r="AJ840" s="28">
        <f t="shared" si="250"/>
        <v>6.0347724557516536</v>
      </c>
      <c r="AK840" s="28">
        <f t="shared" si="250"/>
        <v>6.0417379357652736</v>
      </c>
      <c r="AL840" s="28">
        <f t="shared" si="250"/>
        <v>6.0492591406066394</v>
      </c>
      <c r="AM840" s="28">
        <f t="shared" si="250"/>
        <v>6.0573167646829393</v>
      </c>
      <c r="AN840" s="28">
        <f t="shared" si="250"/>
        <v>6.061227136954745</v>
      </c>
      <c r="AO840" s="28">
        <f t="shared" si="250"/>
        <v>6.0656101287298938</v>
      </c>
      <c r="AP840" s="28">
        <f t="shared" si="250"/>
        <v>6.0704492917353319</v>
      </c>
      <c r="AQ840" s="28">
        <f t="shared" si="250"/>
        <v>6.0757293034784778</v>
      </c>
      <c r="AR840" s="28">
        <f t="shared" si="250"/>
        <v>6.0814358716066721</v>
      </c>
      <c r="AS840" s="28">
        <f t="shared" si="250"/>
        <v>6.082843612547955</v>
      </c>
      <c r="AT840" s="28">
        <f t="shared" si="250"/>
        <v>6.0846299220859592</v>
      </c>
      <c r="AU840" s="28">
        <f t="shared" si="250"/>
        <v>6.0867822620358538</v>
      </c>
      <c r="AV840" s="28">
        <f t="shared" si="250"/>
        <v>6.0892888598488994</v>
      </c>
      <c r="AW840" s="28">
        <f t="shared" si="250"/>
        <v>6.092138649733787</v>
      </c>
      <c r="AY840" s="85"/>
      <c r="AZ840" s="85"/>
    </row>
    <row r="841" spans="1:52" x14ac:dyDescent="0.25">
      <c r="A841" s="102" t="str">
        <f t="shared" si="224"/>
        <v>BD U&amp;D</v>
      </c>
      <c r="B841" s="102" t="s">
        <v>1229</v>
      </c>
      <c r="C841" s="102" t="s">
        <v>1337</v>
      </c>
      <c r="D841" t="s">
        <v>369</v>
      </c>
      <c r="E841" t="s">
        <v>55</v>
      </c>
      <c r="F841" t="s">
        <v>422</v>
      </c>
      <c r="G841" t="s">
        <v>1167</v>
      </c>
      <c r="H841" t="s">
        <v>1248</v>
      </c>
      <c r="I841" t="s">
        <v>139</v>
      </c>
      <c r="J841" t="s">
        <v>287</v>
      </c>
      <c r="K841" s="28">
        <f t="shared" ref="K841:AW841" si="251">K1489</f>
        <v>0.64752945126978523</v>
      </c>
      <c r="L841" s="28">
        <f t="shared" si="251"/>
        <v>0.64788306156605957</v>
      </c>
      <c r="M841" s="28">
        <f t="shared" si="251"/>
        <v>0.64867486294568755</v>
      </c>
      <c r="N841" s="28">
        <f t="shared" si="251"/>
        <v>0.64986669025094335</v>
      </c>
      <c r="O841" s="28">
        <f t="shared" si="251"/>
        <v>0.65147448919151907</v>
      </c>
      <c r="P841" s="28">
        <f t="shared" si="251"/>
        <v>0.65349996579789205</v>
      </c>
      <c r="Q841" s="28">
        <f t="shared" si="251"/>
        <v>0.65575626462789216</v>
      </c>
      <c r="R841" s="28">
        <f t="shared" si="251"/>
        <v>0.65820157906331789</v>
      </c>
      <c r="S841" s="28">
        <f t="shared" si="251"/>
        <v>0.66049947035269418</v>
      </c>
      <c r="T841" s="28">
        <f t="shared" si="251"/>
        <v>0.66145934404141127</v>
      </c>
      <c r="U841" s="28">
        <f t="shared" si="251"/>
        <v>0.66257316013751044</v>
      </c>
      <c r="V841" s="28">
        <f t="shared" si="251"/>
        <v>0.66384069026032311</v>
      </c>
      <c r="W841" s="28">
        <f t="shared" si="251"/>
        <v>0.66526850163239837</v>
      </c>
      <c r="X841" s="28">
        <f t="shared" si="251"/>
        <v>0.66683370431452194</v>
      </c>
      <c r="Y841" s="28">
        <f t="shared" si="251"/>
        <v>0.66779720593327729</v>
      </c>
      <c r="Z841" s="28">
        <f t="shared" si="251"/>
        <v>0.66887345713514434</v>
      </c>
      <c r="AA841" s="28">
        <f t="shared" si="251"/>
        <v>0.6700663635769577</v>
      </c>
      <c r="AB841" s="28">
        <f t="shared" si="251"/>
        <v>0.67135759695868036</v>
      </c>
      <c r="AC841" s="28">
        <f t="shared" si="251"/>
        <v>0.67275177420381005</v>
      </c>
      <c r="AD841" s="28">
        <f t="shared" si="251"/>
        <v>0.67366958706270863</v>
      </c>
      <c r="AE841" s="28">
        <f t="shared" si="251"/>
        <v>0.67468393967937379</v>
      </c>
      <c r="AF841" s="28">
        <f t="shared" si="251"/>
        <v>0.67578570947425243</v>
      </c>
      <c r="AG841" s="28">
        <f t="shared" si="251"/>
        <v>0.6768501596164489</v>
      </c>
      <c r="AH841" s="28">
        <f t="shared" si="251"/>
        <v>0.6722993165352843</v>
      </c>
      <c r="AI841" s="28">
        <f t="shared" si="251"/>
        <v>0.67294560820877491</v>
      </c>
      <c r="AJ841" s="28">
        <f t="shared" si="251"/>
        <v>0.67365879427180253</v>
      </c>
      <c r="AK841" s="28">
        <f t="shared" si="251"/>
        <v>0.674436347510455</v>
      </c>
      <c r="AL841" s="28">
        <f t="shared" si="251"/>
        <v>0.67527593604872327</v>
      </c>
      <c r="AM841" s="28">
        <f t="shared" si="251"/>
        <v>0.67617540481241489</v>
      </c>
      <c r="AN841" s="28">
        <f t="shared" si="251"/>
        <v>0.67661191781917585</v>
      </c>
      <c r="AO841" s="28">
        <f t="shared" si="251"/>
        <v>0.67710118911750539</v>
      </c>
      <c r="AP841" s="28">
        <f t="shared" si="251"/>
        <v>0.67764138259446438</v>
      </c>
      <c r="AQ841" s="28">
        <f t="shared" si="251"/>
        <v>0.6782307878074546</v>
      </c>
      <c r="AR841" s="28">
        <f t="shared" si="251"/>
        <v>0.67886780930790958</v>
      </c>
      <c r="AS841" s="28">
        <f t="shared" si="251"/>
        <v>0.67902495476320335</v>
      </c>
      <c r="AT841" s="28">
        <f t="shared" si="251"/>
        <v>0.67922435965185335</v>
      </c>
      <c r="AU841" s="28">
        <f t="shared" si="251"/>
        <v>0.67946462434221933</v>
      </c>
      <c r="AV841" s="28">
        <f t="shared" si="251"/>
        <v>0.67974443467025414</v>
      </c>
      <c r="AW841" s="28">
        <f t="shared" si="251"/>
        <v>0.68006255536690974</v>
      </c>
      <c r="AY841" s="85"/>
      <c r="AZ841" s="85"/>
    </row>
    <row r="842" spans="1:52" x14ac:dyDescent="0.25">
      <c r="A842" s="102" t="str">
        <f t="shared" si="224"/>
        <v>BD U&amp;D</v>
      </c>
      <c r="B842" s="102" t="s">
        <v>1229</v>
      </c>
      <c r="C842" s="102" t="s">
        <v>1337</v>
      </c>
      <c r="D842" t="s">
        <v>369</v>
      </c>
      <c r="E842" t="s">
        <v>55</v>
      </c>
      <c r="F842" t="s">
        <v>422</v>
      </c>
      <c r="G842" t="s">
        <v>1169</v>
      </c>
      <c r="H842" t="s">
        <v>1249</v>
      </c>
      <c r="I842" t="s">
        <v>139</v>
      </c>
      <c r="J842" t="s">
        <v>287</v>
      </c>
      <c r="K842" s="28">
        <f t="shared" ref="K842:AW842" si="252">K1490</f>
        <v>0.71703962515202246</v>
      </c>
      <c r="L842" s="28">
        <f t="shared" si="252"/>
        <v>0.71890983434251277</v>
      </c>
      <c r="M842" s="28">
        <f t="shared" si="252"/>
        <v>0.72140205375439892</v>
      </c>
      <c r="N842" s="28">
        <f t="shared" si="252"/>
        <v>0.72446087645337953</v>
      </c>
      <c r="O842" s="28">
        <f t="shared" si="252"/>
        <v>0.72812305944589495</v>
      </c>
      <c r="P842" s="28">
        <f t="shared" si="252"/>
        <v>0.73239834824766725</v>
      </c>
      <c r="Q842" s="28">
        <f t="shared" si="252"/>
        <v>0.73696942015050981</v>
      </c>
      <c r="R842" s="28">
        <f t="shared" si="252"/>
        <v>0.74177091257362759</v>
      </c>
      <c r="S842" s="28">
        <f t="shared" si="252"/>
        <v>0.74623128814082973</v>
      </c>
      <c r="T842" s="28">
        <f t="shared" si="252"/>
        <v>0.74832155602397465</v>
      </c>
      <c r="U842" s="28">
        <f t="shared" si="252"/>
        <v>0.75061365062436147</v>
      </c>
      <c r="V842" s="28">
        <f t="shared" si="252"/>
        <v>0.75311048066791608</v>
      </c>
      <c r="W842" s="28">
        <f t="shared" si="252"/>
        <v>0.75582597980024202</v>
      </c>
      <c r="X842" s="28">
        <f t="shared" si="252"/>
        <v>0.758723586950243</v>
      </c>
      <c r="Y842" s="28">
        <f t="shared" si="252"/>
        <v>0.76055515001802498</v>
      </c>
      <c r="Z842" s="28">
        <f t="shared" si="252"/>
        <v>0.76253680812015046</v>
      </c>
      <c r="AA842" s="28">
        <f t="shared" si="252"/>
        <v>0.7646767595046402</v>
      </c>
      <c r="AB842" s="28">
        <f t="shared" si="252"/>
        <v>0.76694554342614063</v>
      </c>
      <c r="AC842" s="28">
        <f t="shared" si="252"/>
        <v>0.76935223527037744</v>
      </c>
      <c r="AD842" s="28">
        <f t="shared" si="252"/>
        <v>0.7709284586249765</v>
      </c>
      <c r="AE842" s="28">
        <f t="shared" si="252"/>
        <v>0.77263788414937862</v>
      </c>
      <c r="AF842" s="28">
        <f t="shared" si="252"/>
        <v>0.77446606053450517</v>
      </c>
      <c r="AG842" s="28">
        <f t="shared" si="252"/>
        <v>0.7762062172722024</v>
      </c>
      <c r="AH842" s="28">
        <f t="shared" si="252"/>
        <v>0.76859920994116682</v>
      </c>
      <c r="AI842" s="28">
        <f t="shared" si="252"/>
        <v>0.76961702960226952</v>
      </c>
      <c r="AJ842" s="28">
        <f t="shared" si="252"/>
        <v>0.77072611211000452</v>
      </c>
      <c r="AK842" s="28">
        <f t="shared" si="252"/>
        <v>0.7719227512042488</v>
      </c>
      <c r="AL842" s="28">
        <f t="shared" si="252"/>
        <v>0.77320352810315807</v>
      </c>
      <c r="AM842" s="28">
        <f t="shared" si="252"/>
        <v>0.77456528397766</v>
      </c>
      <c r="AN842" s="28">
        <f t="shared" si="252"/>
        <v>0.7751498155218971</v>
      </c>
      <c r="AO842" s="28">
        <f t="shared" si="252"/>
        <v>0.77580729833667095</v>
      </c>
      <c r="AP842" s="28">
        <f t="shared" si="252"/>
        <v>0.77653498216260275</v>
      </c>
      <c r="AQ842" s="28">
        <f t="shared" si="252"/>
        <v>0.77733030541457571</v>
      </c>
      <c r="AR842" s="28">
        <f t="shared" si="252"/>
        <v>0.77819087901746686</v>
      </c>
      <c r="AS842" s="28">
        <f t="shared" si="252"/>
        <v>0.77825802091956864</v>
      </c>
      <c r="AT842" s="28">
        <f t="shared" si="252"/>
        <v>0.77838487427420744</v>
      </c>
      <c r="AU842" s="28">
        <f t="shared" si="252"/>
        <v>0.77856929465999758</v>
      </c>
      <c r="AV842" s="28">
        <f t="shared" si="252"/>
        <v>0.77880926891307201</v>
      </c>
      <c r="AW842" s="28">
        <f t="shared" si="252"/>
        <v>0.77910290495826517</v>
      </c>
      <c r="AY842" s="85"/>
      <c r="AZ842" s="85"/>
    </row>
    <row r="843" spans="1:52" x14ac:dyDescent="0.25">
      <c r="A843" s="102" t="str">
        <f t="shared" si="224"/>
        <v>BD U&amp;D</v>
      </c>
      <c r="B843" s="102" t="s">
        <v>1229</v>
      </c>
      <c r="C843" s="102" t="s">
        <v>1337</v>
      </c>
      <c r="D843" t="s">
        <v>369</v>
      </c>
      <c r="E843" t="s">
        <v>55</v>
      </c>
      <c r="F843" t="s">
        <v>422</v>
      </c>
      <c r="G843" t="s">
        <v>1171</v>
      </c>
      <c r="H843" t="s">
        <v>1250</v>
      </c>
      <c r="I843" t="s">
        <v>139</v>
      </c>
      <c r="J843" t="s">
        <v>287</v>
      </c>
      <c r="K843" s="28">
        <f t="shared" ref="K843:AW843" si="253">K1491</f>
        <v>1.1866860146705673</v>
      </c>
      <c r="L843" s="28">
        <f t="shared" si="253"/>
        <v>1.1897811728919734</v>
      </c>
      <c r="M843" s="28">
        <f t="shared" si="253"/>
        <v>1.1939057453951301</v>
      </c>
      <c r="N843" s="28">
        <f t="shared" si="253"/>
        <v>1.1989680348292291</v>
      </c>
      <c r="O843" s="28">
        <f t="shared" si="253"/>
        <v>1.2050288732932972</v>
      </c>
      <c r="P843" s="28">
        <f t="shared" si="253"/>
        <v>1.2121043894178982</v>
      </c>
      <c r="Q843" s="28">
        <f t="shared" si="253"/>
        <v>1.2196694205666394</v>
      </c>
      <c r="R843" s="28">
        <f t="shared" si="253"/>
        <v>1.2276157929959912</v>
      </c>
      <c r="S843" s="28">
        <f t="shared" si="253"/>
        <v>1.2349976239577805</v>
      </c>
      <c r="T843" s="28">
        <f t="shared" si="253"/>
        <v>1.2384569748455603</v>
      </c>
      <c r="U843" s="28">
        <f t="shared" si="253"/>
        <v>1.2422503448507454</v>
      </c>
      <c r="V843" s="28">
        <f t="shared" si="253"/>
        <v>1.2463825478556594</v>
      </c>
      <c r="W843" s="28">
        <f t="shared" si="253"/>
        <v>1.2508766437607468</v>
      </c>
      <c r="X843" s="28">
        <f t="shared" si="253"/>
        <v>1.2556721247359952</v>
      </c>
      <c r="Y843" s="28">
        <f t="shared" si="253"/>
        <v>1.2587033244093235</v>
      </c>
      <c r="Z843" s="28">
        <f t="shared" si="253"/>
        <v>1.2619829283156658</v>
      </c>
      <c r="AA843" s="28">
        <f t="shared" si="253"/>
        <v>1.2655245043889694</v>
      </c>
      <c r="AB843" s="28">
        <f t="shared" si="253"/>
        <v>1.2692792956940984</v>
      </c>
      <c r="AC843" s="28">
        <f t="shared" si="253"/>
        <v>1.2732623218100843</v>
      </c>
      <c r="AD843" s="28">
        <f t="shared" si="253"/>
        <v>1.2758709394447143</v>
      </c>
      <c r="AE843" s="28">
        <f t="shared" si="253"/>
        <v>1.2787000039646823</v>
      </c>
      <c r="AF843" s="28">
        <f t="shared" si="253"/>
        <v>1.2817255987470082</v>
      </c>
      <c r="AG843" s="28">
        <f t="shared" si="253"/>
        <v>1.2846055228007487</v>
      </c>
      <c r="AH843" s="28">
        <f t="shared" si="253"/>
        <v>1.2720160801861611</v>
      </c>
      <c r="AI843" s="28">
        <f t="shared" si="253"/>
        <v>1.2737005510506982</v>
      </c>
      <c r="AJ843" s="28">
        <f t="shared" si="253"/>
        <v>1.2755360600726242</v>
      </c>
      <c r="AK843" s="28">
        <f t="shared" si="253"/>
        <v>1.2775164734667195</v>
      </c>
      <c r="AL843" s="28">
        <f t="shared" si="253"/>
        <v>1.2796361332184747</v>
      </c>
      <c r="AM843" s="28">
        <f t="shared" si="253"/>
        <v>1.2818898115299409</v>
      </c>
      <c r="AN843" s="28">
        <f t="shared" si="253"/>
        <v>1.2828571993622844</v>
      </c>
      <c r="AO843" s="28">
        <f t="shared" si="253"/>
        <v>1.283945320065534</v>
      </c>
      <c r="AP843" s="28">
        <f t="shared" si="253"/>
        <v>1.2851496220162837</v>
      </c>
      <c r="AQ843" s="28">
        <f t="shared" si="253"/>
        <v>1.2864658658431971</v>
      </c>
      <c r="AR843" s="28">
        <f t="shared" si="253"/>
        <v>1.2878900976754739</v>
      </c>
      <c r="AS843" s="28">
        <f t="shared" si="253"/>
        <v>1.2880012161596242</v>
      </c>
      <c r="AT843" s="28">
        <f t="shared" si="253"/>
        <v>1.288211155884827</v>
      </c>
      <c r="AU843" s="28">
        <f t="shared" si="253"/>
        <v>1.2885163678772478</v>
      </c>
      <c r="AV843" s="28">
        <f t="shared" si="253"/>
        <v>1.2889135203915794</v>
      </c>
      <c r="AW843" s="28">
        <f t="shared" si="253"/>
        <v>1.2893994820818555</v>
      </c>
      <c r="AY843" s="85"/>
      <c r="AZ843" s="85"/>
    </row>
    <row r="844" spans="1:52" x14ac:dyDescent="0.25">
      <c r="A844" s="102" t="str">
        <f t="shared" si="224"/>
        <v>BD U&amp;D</v>
      </c>
      <c r="B844" s="102" t="s">
        <v>1229</v>
      </c>
      <c r="C844" s="102" t="s">
        <v>1337</v>
      </c>
      <c r="D844" t="s">
        <v>369</v>
      </c>
      <c r="E844" t="s">
        <v>55</v>
      </c>
      <c r="F844" t="s">
        <v>422</v>
      </c>
      <c r="G844" t="s">
        <v>1173</v>
      </c>
      <c r="H844" t="s">
        <v>1251</v>
      </c>
      <c r="I844" t="s">
        <v>139</v>
      </c>
      <c r="J844" t="s">
        <v>287</v>
      </c>
      <c r="K844" s="28">
        <f t="shared" ref="K844:AW844" si="254">K1492</f>
        <v>0.19206426868977441</v>
      </c>
      <c r="L844" s="28">
        <f t="shared" si="254"/>
        <v>0.19318987586932423</v>
      </c>
      <c r="M844" s="28">
        <f t="shared" si="254"/>
        <v>0.19346719628053802</v>
      </c>
      <c r="N844" s="28">
        <f t="shared" si="254"/>
        <v>0.19261999020243609</v>
      </c>
      <c r="O844" s="28">
        <f t="shared" si="254"/>
        <v>0.19172365370541722</v>
      </c>
      <c r="P844" s="28">
        <f t="shared" si="254"/>
        <v>0.19129719629214276</v>
      </c>
      <c r="Q844" s="28">
        <f t="shared" si="254"/>
        <v>0.19101276819466945</v>
      </c>
      <c r="R844" s="28">
        <f t="shared" si="254"/>
        <v>0.18964082845337171</v>
      </c>
      <c r="S844" s="28">
        <f t="shared" si="254"/>
        <v>0.17855585025741377</v>
      </c>
      <c r="T844" s="28">
        <f t="shared" si="254"/>
        <v>0.1801256476686891</v>
      </c>
      <c r="U844" s="28">
        <f t="shared" si="254"/>
        <v>0.18141112915440744</v>
      </c>
      <c r="V844" s="28">
        <f t="shared" si="254"/>
        <v>0.18267062412414889</v>
      </c>
      <c r="W844" s="28">
        <f t="shared" si="254"/>
        <v>0.18430349788289624</v>
      </c>
      <c r="X844" s="28">
        <f t="shared" si="254"/>
        <v>0.18590650598729025</v>
      </c>
      <c r="Y844" s="28">
        <f t="shared" si="254"/>
        <v>0.18774289622011922</v>
      </c>
      <c r="Z844" s="28">
        <f t="shared" si="254"/>
        <v>0.18945974795510873</v>
      </c>
      <c r="AA844" s="28">
        <f t="shared" si="254"/>
        <v>0.19130656367707333</v>
      </c>
      <c r="AB844" s="28">
        <f t="shared" si="254"/>
        <v>0.1929453281809925</v>
      </c>
      <c r="AC844" s="28">
        <f t="shared" si="254"/>
        <v>0.19461451886655767</v>
      </c>
      <c r="AD844" s="28">
        <f t="shared" si="254"/>
        <v>0.19692637066734073</v>
      </c>
      <c r="AE844" s="28">
        <f t="shared" si="254"/>
        <v>0.19944913652878843</v>
      </c>
      <c r="AF844" s="28">
        <f t="shared" si="254"/>
        <v>0.20204327521693932</v>
      </c>
      <c r="AG844" s="28">
        <f t="shared" si="254"/>
        <v>0.20167425591994353</v>
      </c>
      <c r="AH844" s="28">
        <f t="shared" si="254"/>
        <v>5.9672038121461136E-2</v>
      </c>
      <c r="AI844" s="28">
        <f t="shared" si="254"/>
        <v>5.9672038121461136E-2</v>
      </c>
      <c r="AJ844" s="28">
        <f t="shared" si="254"/>
        <v>5.9672038121461136E-2</v>
      </c>
      <c r="AK844" s="28">
        <f t="shared" si="254"/>
        <v>5.9672038121461136E-2</v>
      </c>
      <c r="AL844" s="28">
        <f t="shared" si="254"/>
        <v>5.9672038121461136E-2</v>
      </c>
      <c r="AM844" s="28">
        <f t="shared" si="254"/>
        <v>5.9672038121461136E-2</v>
      </c>
      <c r="AN844" s="28">
        <f t="shared" si="254"/>
        <v>5.9672038121461136E-2</v>
      </c>
      <c r="AO844" s="28">
        <f t="shared" si="254"/>
        <v>5.9672038121461136E-2</v>
      </c>
      <c r="AP844" s="28">
        <f t="shared" si="254"/>
        <v>5.9672038121461136E-2</v>
      </c>
      <c r="AQ844" s="28">
        <f t="shared" si="254"/>
        <v>5.9672038121461136E-2</v>
      </c>
      <c r="AR844" s="28">
        <f t="shared" si="254"/>
        <v>5.9672038121461136E-2</v>
      </c>
      <c r="AS844" s="28">
        <f t="shared" si="254"/>
        <v>5.9672038121461136E-2</v>
      </c>
      <c r="AT844" s="28">
        <f t="shared" si="254"/>
        <v>5.9672038121461136E-2</v>
      </c>
      <c r="AU844" s="28">
        <f t="shared" si="254"/>
        <v>5.9672038121461136E-2</v>
      </c>
      <c r="AV844" s="28">
        <f t="shared" si="254"/>
        <v>5.9672038121461136E-2</v>
      </c>
      <c r="AW844" s="28">
        <f t="shared" si="254"/>
        <v>5.9672038121461136E-2</v>
      </c>
      <c r="AY844" s="85"/>
      <c r="AZ844" s="85"/>
    </row>
    <row r="845" spans="1:52" x14ac:dyDescent="0.25">
      <c r="A845" s="102" t="str">
        <f t="shared" si="224"/>
        <v>BD U&amp;D</v>
      </c>
      <c r="B845" s="102" t="s">
        <v>1229</v>
      </c>
      <c r="C845" s="102" t="s">
        <v>1337</v>
      </c>
      <c r="D845" t="s">
        <v>369</v>
      </c>
      <c r="E845" t="s">
        <v>55</v>
      </c>
      <c r="F845" t="s">
        <v>422</v>
      </c>
      <c r="G845" t="s">
        <v>1175</v>
      </c>
      <c r="H845" t="s">
        <v>1252</v>
      </c>
      <c r="I845" t="s">
        <v>139</v>
      </c>
      <c r="J845" t="s">
        <v>287</v>
      </c>
      <c r="K845" s="28">
        <f t="shared" ref="K845:AW845" si="255">K1493</f>
        <v>3.4640571428571423E-2</v>
      </c>
      <c r="L845" s="28">
        <f t="shared" si="255"/>
        <v>3.4640571428571423E-2</v>
      </c>
      <c r="M845" s="28">
        <f t="shared" si="255"/>
        <v>3.4640571428571423E-2</v>
      </c>
      <c r="N845" s="28">
        <f t="shared" si="255"/>
        <v>3.4640571428571423E-2</v>
      </c>
      <c r="O845" s="28">
        <f t="shared" si="255"/>
        <v>3.4640571428571423E-2</v>
      </c>
      <c r="P845" s="28">
        <f t="shared" si="255"/>
        <v>3.4640571428571423E-2</v>
      </c>
      <c r="Q845" s="28">
        <f t="shared" si="255"/>
        <v>3.4640571428571423E-2</v>
      </c>
      <c r="R845" s="28">
        <f t="shared" si="255"/>
        <v>3.4640571428571423E-2</v>
      </c>
      <c r="S845" s="28">
        <f t="shared" si="255"/>
        <v>3.4640571428571423E-2</v>
      </c>
      <c r="T845" s="28">
        <f t="shared" si="255"/>
        <v>3.4640571428571423E-2</v>
      </c>
      <c r="U845" s="28">
        <f t="shared" si="255"/>
        <v>3.4640571428571423E-2</v>
      </c>
      <c r="V845" s="28">
        <f t="shared" si="255"/>
        <v>3.4640571428571423E-2</v>
      </c>
      <c r="W845" s="28">
        <f t="shared" si="255"/>
        <v>3.4640571428571423E-2</v>
      </c>
      <c r="X845" s="28">
        <f t="shared" si="255"/>
        <v>3.4640571428571423E-2</v>
      </c>
      <c r="Y845" s="28">
        <f t="shared" si="255"/>
        <v>3.4640571428571423E-2</v>
      </c>
      <c r="Z845" s="28">
        <f t="shared" si="255"/>
        <v>3.4640571428571423E-2</v>
      </c>
      <c r="AA845" s="28">
        <f t="shared" si="255"/>
        <v>3.4640571428571423E-2</v>
      </c>
      <c r="AB845" s="28">
        <f t="shared" si="255"/>
        <v>3.4640571428571423E-2</v>
      </c>
      <c r="AC845" s="28">
        <f t="shared" si="255"/>
        <v>3.4640571428571423E-2</v>
      </c>
      <c r="AD845" s="28">
        <f t="shared" si="255"/>
        <v>3.4640571428571423E-2</v>
      </c>
      <c r="AE845" s="28">
        <f t="shared" si="255"/>
        <v>3.4640571428571423E-2</v>
      </c>
      <c r="AF845" s="28">
        <f t="shared" si="255"/>
        <v>3.4640571428571423E-2</v>
      </c>
      <c r="AG845" s="28">
        <f t="shared" si="255"/>
        <v>3.4640571428571423E-2</v>
      </c>
      <c r="AH845" s="28">
        <f t="shared" si="255"/>
        <v>3.4640571428571423E-2</v>
      </c>
      <c r="AI845" s="28">
        <f t="shared" si="255"/>
        <v>3.4640571428571423E-2</v>
      </c>
      <c r="AJ845" s="28">
        <f t="shared" si="255"/>
        <v>3.4640571428571423E-2</v>
      </c>
      <c r="AK845" s="28">
        <f t="shared" si="255"/>
        <v>3.4640571428571423E-2</v>
      </c>
      <c r="AL845" s="28">
        <f t="shared" si="255"/>
        <v>3.4640571428571423E-2</v>
      </c>
      <c r="AM845" s="28">
        <f t="shared" si="255"/>
        <v>3.4640571428571423E-2</v>
      </c>
      <c r="AN845" s="28">
        <f t="shared" si="255"/>
        <v>3.4640571428571423E-2</v>
      </c>
      <c r="AO845" s="28">
        <f t="shared" si="255"/>
        <v>3.4640571428571423E-2</v>
      </c>
      <c r="AP845" s="28">
        <f t="shared" si="255"/>
        <v>3.4640571428571423E-2</v>
      </c>
      <c r="AQ845" s="28">
        <f t="shared" si="255"/>
        <v>3.4640571428571423E-2</v>
      </c>
      <c r="AR845" s="28">
        <f t="shared" si="255"/>
        <v>3.4640571428571423E-2</v>
      </c>
      <c r="AS845" s="28">
        <f t="shared" si="255"/>
        <v>3.4640571428571423E-2</v>
      </c>
      <c r="AT845" s="28">
        <f t="shared" si="255"/>
        <v>3.4640571428571423E-2</v>
      </c>
      <c r="AU845" s="28">
        <f t="shared" si="255"/>
        <v>3.4640571428571423E-2</v>
      </c>
      <c r="AV845" s="28">
        <f t="shared" si="255"/>
        <v>3.4640571428571423E-2</v>
      </c>
      <c r="AW845" s="28">
        <f t="shared" si="255"/>
        <v>3.4640571428571423E-2</v>
      </c>
      <c r="AY845" s="85"/>
      <c r="AZ845" s="85"/>
    </row>
    <row r="846" spans="1:52" x14ac:dyDescent="0.25">
      <c r="A846" s="102" t="str">
        <f t="shared" si="224"/>
        <v>BD U&amp;D</v>
      </c>
      <c r="B846" s="102" t="s">
        <v>1229</v>
      </c>
      <c r="C846" s="102" t="s">
        <v>1337</v>
      </c>
      <c r="D846" t="s">
        <v>369</v>
      </c>
      <c r="E846" t="s">
        <v>55</v>
      </c>
      <c r="F846" t="s">
        <v>422</v>
      </c>
      <c r="G846" t="s">
        <v>1177</v>
      </c>
      <c r="H846" t="s">
        <v>1253</v>
      </c>
      <c r="I846" t="s">
        <v>139</v>
      </c>
      <c r="J846" t="s">
        <v>287</v>
      </c>
      <c r="K846" s="28">
        <f t="shared" ref="K846:AW846" si="256">K1494</f>
        <v>0</v>
      </c>
      <c r="L846" s="28">
        <f t="shared" si="256"/>
        <v>0</v>
      </c>
      <c r="M846" s="28">
        <f t="shared" si="256"/>
        <v>0</v>
      </c>
      <c r="N846" s="28">
        <f t="shared" si="256"/>
        <v>0</v>
      </c>
      <c r="O846" s="28">
        <f t="shared" si="256"/>
        <v>0</v>
      </c>
      <c r="P846" s="28">
        <f t="shared" si="256"/>
        <v>0</v>
      </c>
      <c r="Q846" s="28">
        <f t="shared" si="256"/>
        <v>0</v>
      </c>
      <c r="R846" s="28">
        <f t="shared" si="256"/>
        <v>0</v>
      </c>
      <c r="S846" s="28">
        <f t="shared" si="256"/>
        <v>0</v>
      </c>
      <c r="T846" s="28">
        <f t="shared" si="256"/>
        <v>0</v>
      </c>
      <c r="U846" s="28">
        <f t="shared" si="256"/>
        <v>0</v>
      </c>
      <c r="V846" s="28">
        <f t="shared" si="256"/>
        <v>0</v>
      </c>
      <c r="W846" s="28">
        <f t="shared" si="256"/>
        <v>0</v>
      </c>
      <c r="X846" s="28">
        <f t="shared" si="256"/>
        <v>0</v>
      </c>
      <c r="Y846" s="28">
        <f t="shared" si="256"/>
        <v>0</v>
      </c>
      <c r="Z846" s="28">
        <f t="shared" si="256"/>
        <v>0</v>
      </c>
      <c r="AA846" s="28">
        <f t="shared" si="256"/>
        <v>0</v>
      </c>
      <c r="AB846" s="28">
        <f t="shared" si="256"/>
        <v>0</v>
      </c>
      <c r="AC846" s="28">
        <f t="shared" si="256"/>
        <v>0</v>
      </c>
      <c r="AD846" s="28">
        <f t="shared" si="256"/>
        <v>0</v>
      </c>
      <c r="AE846" s="28">
        <f t="shared" si="256"/>
        <v>0</v>
      </c>
      <c r="AF846" s="28">
        <f t="shared" si="256"/>
        <v>0</v>
      </c>
      <c r="AG846" s="28">
        <f t="shared" si="256"/>
        <v>0</v>
      </c>
      <c r="AH846" s="28">
        <f t="shared" si="256"/>
        <v>0</v>
      </c>
      <c r="AI846" s="28">
        <f t="shared" si="256"/>
        <v>0</v>
      </c>
      <c r="AJ846" s="28">
        <f t="shared" si="256"/>
        <v>0</v>
      </c>
      <c r="AK846" s="28">
        <f t="shared" si="256"/>
        <v>0</v>
      </c>
      <c r="AL846" s="28">
        <f t="shared" si="256"/>
        <v>0</v>
      </c>
      <c r="AM846" s="28">
        <f t="shared" si="256"/>
        <v>0</v>
      </c>
      <c r="AN846" s="28">
        <f t="shared" si="256"/>
        <v>0</v>
      </c>
      <c r="AO846" s="28">
        <f t="shared" si="256"/>
        <v>0</v>
      </c>
      <c r="AP846" s="28">
        <f t="shared" si="256"/>
        <v>0</v>
      </c>
      <c r="AQ846" s="28">
        <f t="shared" si="256"/>
        <v>0</v>
      </c>
      <c r="AR846" s="28">
        <f t="shared" si="256"/>
        <v>0</v>
      </c>
      <c r="AS846" s="28">
        <f t="shared" si="256"/>
        <v>0</v>
      </c>
      <c r="AT846" s="28">
        <f t="shared" si="256"/>
        <v>0</v>
      </c>
      <c r="AU846" s="28">
        <f t="shared" si="256"/>
        <v>0</v>
      </c>
      <c r="AV846" s="28">
        <f t="shared" si="256"/>
        <v>0</v>
      </c>
      <c r="AW846" s="28">
        <f t="shared" si="256"/>
        <v>0</v>
      </c>
      <c r="AY846" s="85"/>
      <c r="AZ846" s="85"/>
    </row>
    <row r="847" spans="1:52" x14ac:dyDescent="0.25">
      <c r="A847" s="102" t="str">
        <f t="shared" si="224"/>
        <v>BD U&amp;D</v>
      </c>
      <c r="B847" s="102" t="s">
        <v>1229</v>
      </c>
      <c r="C847" s="102" t="s">
        <v>1337</v>
      </c>
      <c r="D847" t="s">
        <v>369</v>
      </c>
      <c r="E847" t="s">
        <v>55</v>
      </c>
      <c r="F847" t="s">
        <v>422</v>
      </c>
      <c r="G847" t="s">
        <v>1179</v>
      </c>
      <c r="H847" t="s">
        <v>1254</v>
      </c>
      <c r="I847" t="s">
        <v>139</v>
      </c>
      <c r="J847" t="s">
        <v>287</v>
      </c>
      <c r="K847" s="28">
        <f t="shared" ref="K847:AW847" si="257">K1495</f>
        <v>0</v>
      </c>
      <c r="L847" s="28">
        <f t="shared" si="257"/>
        <v>0</v>
      </c>
      <c r="M847" s="28">
        <f t="shared" si="257"/>
        <v>0</v>
      </c>
      <c r="N847" s="28">
        <f t="shared" si="257"/>
        <v>0</v>
      </c>
      <c r="O847" s="28">
        <f t="shared" si="257"/>
        <v>0</v>
      </c>
      <c r="P847" s="28">
        <f t="shared" si="257"/>
        <v>0</v>
      </c>
      <c r="Q847" s="28">
        <f t="shared" si="257"/>
        <v>0</v>
      </c>
      <c r="R847" s="28">
        <f t="shared" si="257"/>
        <v>0</v>
      </c>
      <c r="S847" s="28">
        <f t="shared" si="257"/>
        <v>0</v>
      </c>
      <c r="T847" s="28">
        <f t="shared" si="257"/>
        <v>0</v>
      </c>
      <c r="U847" s="28">
        <f t="shared" si="257"/>
        <v>0</v>
      </c>
      <c r="V847" s="28">
        <f t="shared" si="257"/>
        <v>0</v>
      </c>
      <c r="W847" s="28">
        <f t="shared" si="257"/>
        <v>0</v>
      </c>
      <c r="X847" s="28">
        <f t="shared" si="257"/>
        <v>0</v>
      </c>
      <c r="Y847" s="28">
        <f t="shared" si="257"/>
        <v>0</v>
      </c>
      <c r="Z847" s="28">
        <f t="shared" si="257"/>
        <v>0</v>
      </c>
      <c r="AA847" s="28">
        <f t="shared" si="257"/>
        <v>0</v>
      </c>
      <c r="AB847" s="28">
        <f t="shared" si="257"/>
        <v>0</v>
      </c>
      <c r="AC847" s="28">
        <f t="shared" si="257"/>
        <v>0</v>
      </c>
      <c r="AD847" s="28">
        <f t="shared" si="257"/>
        <v>0</v>
      </c>
      <c r="AE847" s="28">
        <f t="shared" si="257"/>
        <v>0</v>
      </c>
      <c r="AF847" s="28">
        <f t="shared" si="257"/>
        <v>0</v>
      </c>
      <c r="AG847" s="28">
        <f t="shared" si="257"/>
        <v>0</v>
      </c>
      <c r="AH847" s="28">
        <f t="shared" si="257"/>
        <v>0</v>
      </c>
      <c r="AI847" s="28">
        <f t="shared" si="257"/>
        <v>0</v>
      </c>
      <c r="AJ847" s="28">
        <f t="shared" si="257"/>
        <v>0</v>
      </c>
      <c r="AK847" s="28">
        <f t="shared" si="257"/>
        <v>0</v>
      </c>
      <c r="AL847" s="28">
        <f t="shared" si="257"/>
        <v>0</v>
      </c>
      <c r="AM847" s="28">
        <f t="shared" si="257"/>
        <v>0</v>
      </c>
      <c r="AN847" s="28">
        <f t="shared" si="257"/>
        <v>0</v>
      </c>
      <c r="AO847" s="28">
        <f t="shared" si="257"/>
        <v>0</v>
      </c>
      <c r="AP847" s="28">
        <f t="shared" si="257"/>
        <v>0</v>
      </c>
      <c r="AQ847" s="28">
        <f t="shared" si="257"/>
        <v>0</v>
      </c>
      <c r="AR847" s="28">
        <f t="shared" si="257"/>
        <v>0</v>
      </c>
      <c r="AS847" s="28">
        <f t="shared" si="257"/>
        <v>0</v>
      </c>
      <c r="AT847" s="28">
        <f t="shared" si="257"/>
        <v>0</v>
      </c>
      <c r="AU847" s="28">
        <f t="shared" si="257"/>
        <v>0</v>
      </c>
      <c r="AV847" s="28">
        <f t="shared" si="257"/>
        <v>0</v>
      </c>
      <c r="AW847" s="28">
        <f t="shared" si="257"/>
        <v>0</v>
      </c>
      <c r="AY847" s="85"/>
      <c r="AZ847" s="85"/>
    </row>
    <row r="848" spans="1:52" x14ac:dyDescent="0.25">
      <c r="A848" s="102" t="str">
        <f t="shared" si="224"/>
        <v>BD U&amp;D</v>
      </c>
      <c r="B848" s="102" t="s">
        <v>1229</v>
      </c>
      <c r="C848" s="102" t="s">
        <v>1337</v>
      </c>
      <c r="D848" t="s">
        <v>369</v>
      </c>
      <c r="E848" t="s">
        <v>55</v>
      </c>
      <c r="F848" t="s">
        <v>422</v>
      </c>
      <c r="G848" t="s">
        <v>1181</v>
      </c>
      <c r="H848" t="s">
        <v>1255</v>
      </c>
      <c r="I848" t="s">
        <v>139</v>
      </c>
      <c r="J848" t="s">
        <v>287</v>
      </c>
      <c r="K848" s="28">
        <f t="shared" ref="K848:AW848" si="258">K1496</f>
        <v>0</v>
      </c>
      <c r="L848" s="28">
        <f t="shared" si="258"/>
        <v>0</v>
      </c>
      <c r="M848" s="28">
        <f t="shared" si="258"/>
        <v>0</v>
      </c>
      <c r="N848" s="28">
        <f t="shared" si="258"/>
        <v>0</v>
      </c>
      <c r="O848" s="28">
        <f t="shared" si="258"/>
        <v>0</v>
      </c>
      <c r="P848" s="28">
        <f t="shared" si="258"/>
        <v>0</v>
      </c>
      <c r="Q848" s="28">
        <f t="shared" si="258"/>
        <v>0</v>
      </c>
      <c r="R848" s="28">
        <f t="shared" si="258"/>
        <v>0</v>
      </c>
      <c r="S848" s="28">
        <f t="shared" si="258"/>
        <v>0</v>
      </c>
      <c r="T848" s="28">
        <f t="shared" si="258"/>
        <v>0</v>
      </c>
      <c r="U848" s="28">
        <f t="shared" si="258"/>
        <v>0</v>
      </c>
      <c r="V848" s="28">
        <f t="shared" si="258"/>
        <v>0</v>
      </c>
      <c r="W848" s="28">
        <f t="shared" si="258"/>
        <v>0</v>
      </c>
      <c r="X848" s="28">
        <f t="shared" si="258"/>
        <v>0</v>
      </c>
      <c r="Y848" s="28">
        <f t="shared" si="258"/>
        <v>0</v>
      </c>
      <c r="Z848" s="28">
        <f t="shared" si="258"/>
        <v>0</v>
      </c>
      <c r="AA848" s="28">
        <f t="shared" si="258"/>
        <v>0</v>
      </c>
      <c r="AB848" s="28">
        <f t="shared" si="258"/>
        <v>0</v>
      </c>
      <c r="AC848" s="28">
        <f t="shared" si="258"/>
        <v>0</v>
      </c>
      <c r="AD848" s="28">
        <f t="shared" si="258"/>
        <v>0</v>
      </c>
      <c r="AE848" s="28">
        <f t="shared" si="258"/>
        <v>0</v>
      </c>
      <c r="AF848" s="28">
        <f t="shared" si="258"/>
        <v>0</v>
      </c>
      <c r="AG848" s="28">
        <f t="shared" si="258"/>
        <v>0</v>
      </c>
      <c r="AH848" s="28">
        <f t="shared" si="258"/>
        <v>0</v>
      </c>
      <c r="AI848" s="28">
        <f t="shared" si="258"/>
        <v>0</v>
      </c>
      <c r="AJ848" s="28">
        <f t="shared" si="258"/>
        <v>0</v>
      </c>
      <c r="AK848" s="28">
        <f t="shared" si="258"/>
        <v>0</v>
      </c>
      <c r="AL848" s="28">
        <f t="shared" si="258"/>
        <v>0</v>
      </c>
      <c r="AM848" s="28">
        <f t="shared" si="258"/>
        <v>0</v>
      </c>
      <c r="AN848" s="28">
        <f t="shared" si="258"/>
        <v>0</v>
      </c>
      <c r="AO848" s="28">
        <f t="shared" si="258"/>
        <v>0</v>
      </c>
      <c r="AP848" s="28">
        <f t="shared" si="258"/>
        <v>0</v>
      </c>
      <c r="AQ848" s="28">
        <f t="shared" si="258"/>
        <v>0</v>
      </c>
      <c r="AR848" s="28">
        <f t="shared" si="258"/>
        <v>0</v>
      </c>
      <c r="AS848" s="28">
        <f t="shared" si="258"/>
        <v>0</v>
      </c>
      <c r="AT848" s="28">
        <f t="shared" si="258"/>
        <v>0</v>
      </c>
      <c r="AU848" s="28">
        <f t="shared" si="258"/>
        <v>0</v>
      </c>
      <c r="AV848" s="28">
        <f t="shared" si="258"/>
        <v>0</v>
      </c>
      <c r="AW848" s="28">
        <f t="shared" si="258"/>
        <v>0</v>
      </c>
      <c r="AY848" s="85"/>
      <c r="AZ848" s="85"/>
    </row>
    <row r="849" spans="1:52" x14ac:dyDescent="0.25">
      <c r="A849" s="102" t="str">
        <f t="shared" si="224"/>
        <v>BD U&amp;D</v>
      </c>
      <c r="B849" s="102" t="s">
        <v>1229</v>
      </c>
      <c r="C849" s="102" t="s">
        <v>1337</v>
      </c>
      <c r="D849" t="s">
        <v>369</v>
      </c>
      <c r="E849" t="s">
        <v>55</v>
      </c>
      <c r="F849" t="s">
        <v>422</v>
      </c>
      <c r="G849" t="s">
        <v>1183</v>
      </c>
      <c r="H849" t="s">
        <v>1256</v>
      </c>
      <c r="I849" t="s">
        <v>139</v>
      </c>
      <c r="J849" t="s">
        <v>287</v>
      </c>
      <c r="K849" s="28">
        <f t="shared" ref="K849:AW849" si="259">K1497</f>
        <v>0</v>
      </c>
      <c r="L849" s="28">
        <f t="shared" si="259"/>
        <v>0</v>
      </c>
      <c r="M849" s="28">
        <f t="shared" si="259"/>
        <v>0</v>
      </c>
      <c r="N849" s="28">
        <f t="shared" si="259"/>
        <v>0</v>
      </c>
      <c r="O849" s="28">
        <f t="shared" si="259"/>
        <v>0</v>
      </c>
      <c r="P849" s="28">
        <f t="shared" si="259"/>
        <v>0</v>
      </c>
      <c r="Q849" s="28">
        <f t="shared" si="259"/>
        <v>0</v>
      </c>
      <c r="R849" s="28">
        <f t="shared" si="259"/>
        <v>0</v>
      </c>
      <c r="S849" s="28">
        <f t="shared" si="259"/>
        <v>0</v>
      </c>
      <c r="T849" s="28">
        <f t="shared" si="259"/>
        <v>0</v>
      </c>
      <c r="U849" s="28">
        <f t="shared" si="259"/>
        <v>0</v>
      </c>
      <c r="V849" s="28">
        <f t="shared" si="259"/>
        <v>0</v>
      </c>
      <c r="W849" s="28">
        <f t="shared" si="259"/>
        <v>0</v>
      </c>
      <c r="X849" s="28">
        <f t="shared" si="259"/>
        <v>0</v>
      </c>
      <c r="Y849" s="28">
        <f t="shared" si="259"/>
        <v>0</v>
      </c>
      <c r="Z849" s="28">
        <f t="shared" si="259"/>
        <v>0</v>
      </c>
      <c r="AA849" s="28">
        <f t="shared" si="259"/>
        <v>0</v>
      </c>
      <c r="AB849" s="28">
        <f t="shared" si="259"/>
        <v>0</v>
      </c>
      <c r="AC849" s="28">
        <f t="shared" si="259"/>
        <v>0</v>
      </c>
      <c r="AD849" s="28">
        <f t="shared" si="259"/>
        <v>0</v>
      </c>
      <c r="AE849" s="28">
        <f t="shared" si="259"/>
        <v>0</v>
      </c>
      <c r="AF849" s="28">
        <f t="shared" si="259"/>
        <v>0</v>
      </c>
      <c r="AG849" s="28">
        <f t="shared" si="259"/>
        <v>0</v>
      </c>
      <c r="AH849" s="28">
        <f t="shared" si="259"/>
        <v>0</v>
      </c>
      <c r="AI849" s="28">
        <f t="shared" si="259"/>
        <v>0</v>
      </c>
      <c r="AJ849" s="28">
        <f t="shared" si="259"/>
        <v>0</v>
      </c>
      <c r="AK849" s="28">
        <f t="shared" si="259"/>
        <v>0</v>
      </c>
      <c r="AL849" s="28">
        <f t="shared" si="259"/>
        <v>0</v>
      </c>
      <c r="AM849" s="28">
        <f t="shared" si="259"/>
        <v>0</v>
      </c>
      <c r="AN849" s="28">
        <f t="shared" si="259"/>
        <v>0</v>
      </c>
      <c r="AO849" s="28">
        <f t="shared" si="259"/>
        <v>0</v>
      </c>
      <c r="AP849" s="28">
        <f t="shared" si="259"/>
        <v>0</v>
      </c>
      <c r="AQ849" s="28">
        <f t="shared" si="259"/>
        <v>0</v>
      </c>
      <c r="AR849" s="28">
        <f t="shared" si="259"/>
        <v>0</v>
      </c>
      <c r="AS849" s="28">
        <f t="shared" si="259"/>
        <v>0</v>
      </c>
      <c r="AT849" s="28">
        <f t="shared" si="259"/>
        <v>0</v>
      </c>
      <c r="AU849" s="28">
        <f t="shared" si="259"/>
        <v>0</v>
      </c>
      <c r="AV849" s="28">
        <f t="shared" si="259"/>
        <v>0</v>
      </c>
      <c r="AW849" s="28">
        <f t="shared" si="259"/>
        <v>0</v>
      </c>
      <c r="AY849" s="85"/>
      <c r="AZ849" s="85"/>
    </row>
    <row r="850" spans="1:52" x14ac:dyDescent="0.25">
      <c r="A850" s="102" t="str">
        <f t="shared" si="224"/>
        <v>BD FSOM</v>
      </c>
      <c r="B850" s="102" t="s">
        <v>1229</v>
      </c>
      <c r="C850" s="102" t="s">
        <v>60</v>
      </c>
      <c r="D850" t="s">
        <v>369</v>
      </c>
      <c r="E850" t="s">
        <v>55</v>
      </c>
      <c r="F850" t="s">
        <v>60</v>
      </c>
      <c r="G850" t="s">
        <v>1267</v>
      </c>
      <c r="H850" t="s">
        <v>1268</v>
      </c>
      <c r="J850" t="s">
        <v>287</v>
      </c>
      <c r="K850" s="28" t="str">
        <f t="shared" ref="K850:AW850" si="260">K1498</f>
        <v>NO</v>
      </c>
      <c r="L850" s="28" t="str">
        <f t="shared" si="260"/>
        <v>NO</v>
      </c>
      <c r="M850" s="28" t="str">
        <f t="shared" si="260"/>
        <v>NO</v>
      </c>
      <c r="N850" s="28" t="str">
        <f t="shared" si="260"/>
        <v>NO</v>
      </c>
      <c r="O850" s="28" t="str">
        <f t="shared" si="260"/>
        <v>NO</v>
      </c>
      <c r="P850" s="28" t="str">
        <f t="shared" si="260"/>
        <v>NO</v>
      </c>
      <c r="Q850" s="28" t="str">
        <f t="shared" si="260"/>
        <v>NO</v>
      </c>
      <c r="R850" s="28" t="str">
        <f t="shared" si="260"/>
        <v>NO</v>
      </c>
      <c r="S850" s="28" t="str">
        <f t="shared" si="260"/>
        <v>NO</v>
      </c>
      <c r="T850" s="28" t="str">
        <f t="shared" si="260"/>
        <v>NO</v>
      </c>
      <c r="U850" s="28" t="str">
        <f t="shared" si="260"/>
        <v>NO</v>
      </c>
      <c r="V850" s="28" t="str">
        <f t="shared" si="260"/>
        <v>NO</v>
      </c>
      <c r="W850" s="28" t="str">
        <f t="shared" si="260"/>
        <v>NO</v>
      </c>
      <c r="X850" s="28" t="str">
        <f t="shared" si="260"/>
        <v>NO</v>
      </c>
      <c r="Y850" s="28" t="str">
        <f t="shared" si="260"/>
        <v>NO</v>
      </c>
      <c r="Z850" s="28" t="str">
        <f t="shared" si="260"/>
        <v>NO</v>
      </c>
      <c r="AA850" s="28" t="str">
        <f t="shared" si="260"/>
        <v>NO</v>
      </c>
      <c r="AB850" s="28" t="str">
        <f t="shared" si="260"/>
        <v>NO</v>
      </c>
      <c r="AC850" s="28" t="str">
        <f t="shared" si="260"/>
        <v>NO</v>
      </c>
      <c r="AD850" s="28" t="str">
        <f t="shared" si="260"/>
        <v>NO</v>
      </c>
      <c r="AE850" s="28" t="str">
        <f t="shared" si="260"/>
        <v>NO</v>
      </c>
      <c r="AF850" s="28" t="str">
        <f t="shared" si="260"/>
        <v>NO</v>
      </c>
      <c r="AG850" s="28" t="str">
        <f t="shared" si="260"/>
        <v>NO</v>
      </c>
      <c r="AH850" s="28" t="str">
        <f t="shared" si="260"/>
        <v>NO</v>
      </c>
      <c r="AI850" s="28" t="str">
        <f t="shared" si="260"/>
        <v>NO</v>
      </c>
      <c r="AJ850" s="28" t="str">
        <f t="shared" si="260"/>
        <v>NO</v>
      </c>
      <c r="AK850" s="28" t="str">
        <f t="shared" si="260"/>
        <v>NO</v>
      </c>
      <c r="AL850" s="28" t="str">
        <f t="shared" si="260"/>
        <v>NO</v>
      </c>
      <c r="AM850" s="28" t="str">
        <f t="shared" si="260"/>
        <v>NO</v>
      </c>
      <c r="AN850" s="28" t="str">
        <f t="shared" si="260"/>
        <v>NO</v>
      </c>
      <c r="AO850" s="28" t="str">
        <f t="shared" si="260"/>
        <v>NO</v>
      </c>
      <c r="AP850" s="28" t="str">
        <f t="shared" si="260"/>
        <v>NO</v>
      </c>
      <c r="AQ850" s="28" t="str">
        <f t="shared" si="260"/>
        <v>NO</v>
      </c>
      <c r="AR850" s="28" t="str">
        <f t="shared" si="260"/>
        <v>NO</v>
      </c>
      <c r="AS850" s="28" t="str">
        <f t="shared" si="260"/>
        <v>NO</v>
      </c>
      <c r="AT850" s="28" t="str">
        <f t="shared" si="260"/>
        <v>NO</v>
      </c>
      <c r="AU850" s="28" t="str">
        <f t="shared" si="260"/>
        <v>NO</v>
      </c>
      <c r="AV850" s="28" t="str">
        <f t="shared" si="260"/>
        <v>NO</v>
      </c>
      <c r="AW850" s="28" t="str">
        <f t="shared" si="260"/>
        <v>NO</v>
      </c>
      <c r="AY850" s="85"/>
      <c r="AZ850" s="85"/>
    </row>
    <row r="851" spans="1:52" x14ac:dyDescent="0.25">
      <c r="A851" s="102" t="str">
        <f t="shared" si="224"/>
        <v>BD FSOM</v>
      </c>
      <c r="B851" s="102" t="s">
        <v>1229</v>
      </c>
      <c r="C851" s="102" t="s">
        <v>60</v>
      </c>
      <c r="D851" t="s">
        <v>369</v>
      </c>
      <c r="E851" t="s">
        <v>55</v>
      </c>
      <c r="F851" t="s">
        <v>60</v>
      </c>
      <c r="G851" t="s">
        <v>1269</v>
      </c>
      <c r="H851" t="s">
        <v>1270</v>
      </c>
      <c r="J851" t="s">
        <v>287</v>
      </c>
      <c r="K851" s="28" t="str">
        <f t="shared" ref="K851:AW851" si="261">K1499</f>
        <v>NO</v>
      </c>
      <c r="L851" s="28" t="str">
        <f t="shared" si="261"/>
        <v>NO</v>
      </c>
      <c r="M851" s="28" t="str">
        <f t="shared" si="261"/>
        <v>NO</v>
      </c>
      <c r="N851" s="28" t="str">
        <f t="shared" si="261"/>
        <v>NO</v>
      </c>
      <c r="O851" s="28" t="str">
        <f t="shared" si="261"/>
        <v>NO</v>
      </c>
      <c r="P851" s="28" t="str">
        <f t="shared" si="261"/>
        <v>NO</v>
      </c>
      <c r="Q851" s="28" t="str">
        <f t="shared" si="261"/>
        <v>NO</v>
      </c>
      <c r="R851" s="28" t="str">
        <f t="shared" si="261"/>
        <v>NO</v>
      </c>
      <c r="S851" s="28" t="str">
        <f t="shared" si="261"/>
        <v>NO</v>
      </c>
      <c r="T851" s="28" t="str">
        <f t="shared" si="261"/>
        <v>NO</v>
      </c>
      <c r="U851" s="28" t="str">
        <f t="shared" si="261"/>
        <v>NO</v>
      </c>
      <c r="V851" s="28" t="str">
        <f t="shared" si="261"/>
        <v>NO</v>
      </c>
      <c r="W851" s="28" t="str">
        <f t="shared" si="261"/>
        <v>NO</v>
      </c>
      <c r="X851" s="28" t="str">
        <f t="shared" si="261"/>
        <v>NO</v>
      </c>
      <c r="Y851" s="28" t="str">
        <f t="shared" si="261"/>
        <v>NO</v>
      </c>
      <c r="Z851" s="28" t="str">
        <f t="shared" si="261"/>
        <v>NO</v>
      </c>
      <c r="AA851" s="28" t="str">
        <f t="shared" si="261"/>
        <v>NO</v>
      </c>
      <c r="AB851" s="28" t="str">
        <f t="shared" si="261"/>
        <v>NO</v>
      </c>
      <c r="AC851" s="28" t="str">
        <f t="shared" si="261"/>
        <v>NO</v>
      </c>
      <c r="AD851" s="28" t="str">
        <f t="shared" si="261"/>
        <v>NO</v>
      </c>
      <c r="AE851" s="28" t="str">
        <f t="shared" si="261"/>
        <v>NO</v>
      </c>
      <c r="AF851" s="28" t="str">
        <f t="shared" si="261"/>
        <v>NO</v>
      </c>
      <c r="AG851" s="28" t="str">
        <f t="shared" si="261"/>
        <v>NO</v>
      </c>
      <c r="AH851" s="28" t="str">
        <f t="shared" si="261"/>
        <v>NO</v>
      </c>
      <c r="AI851" s="28" t="str">
        <f t="shared" si="261"/>
        <v>NO</v>
      </c>
      <c r="AJ851" s="28" t="str">
        <f t="shared" si="261"/>
        <v>NO</v>
      </c>
      <c r="AK851" s="28" t="str">
        <f t="shared" si="261"/>
        <v>NO</v>
      </c>
      <c r="AL851" s="28" t="str">
        <f t="shared" si="261"/>
        <v>NO</v>
      </c>
      <c r="AM851" s="28" t="str">
        <f t="shared" si="261"/>
        <v>NO</v>
      </c>
      <c r="AN851" s="28" t="str">
        <f t="shared" si="261"/>
        <v>NO</v>
      </c>
      <c r="AO851" s="28" t="str">
        <f t="shared" si="261"/>
        <v>NO</v>
      </c>
      <c r="AP851" s="28" t="str">
        <f t="shared" si="261"/>
        <v>NO</v>
      </c>
      <c r="AQ851" s="28" t="str">
        <f t="shared" si="261"/>
        <v>NO</v>
      </c>
      <c r="AR851" s="28" t="str">
        <f t="shared" si="261"/>
        <v>NO</v>
      </c>
      <c r="AS851" s="28" t="str">
        <f t="shared" si="261"/>
        <v>NO</v>
      </c>
      <c r="AT851" s="28" t="str">
        <f t="shared" si="261"/>
        <v>NO</v>
      </c>
      <c r="AU851" s="28" t="str">
        <f t="shared" si="261"/>
        <v>NO</v>
      </c>
      <c r="AV851" s="28" t="str">
        <f t="shared" si="261"/>
        <v>NO</v>
      </c>
      <c r="AW851" s="28" t="str">
        <f t="shared" si="261"/>
        <v>NO</v>
      </c>
      <c r="AY851" s="85"/>
      <c r="AZ851" s="85"/>
    </row>
    <row r="852" spans="1:52" x14ac:dyDescent="0.25">
      <c r="A852" s="102" t="str">
        <f t="shared" si="224"/>
        <v>BD FSOM</v>
      </c>
      <c r="B852" s="102" t="s">
        <v>1229</v>
      </c>
      <c r="C852" s="102" t="s">
        <v>60</v>
      </c>
      <c r="D852" t="s">
        <v>369</v>
      </c>
      <c r="E852" t="s">
        <v>55</v>
      </c>
      <c r="F852" t="s">
        <v>60</v>
      </c>
      <c r="G852" t="s">
        <v>1271</v>
      </c>
      <c r="H852" t="s">
        <v>1272</v>
      </c>
      <c r="J852" t="s">
        <v>287</v>
      </c>
      <c r="K852" s="28">
        <f t="shared" ref="K852:AW852" si="262">K1500</f>
        <v>3.4398813895090996E-3</v>
      </c>
      <c r="L852" s="28">
        <f t="shared" si="262"/>
        <v>3.4358310252377683E-3</v>
      </c>
      <c r="M852" s="28">
        <f t="shared" si="262"/>
        <v>3.4317806609664363E-3</v>
      </c>
      <c r="N852" s="28">
        <f t="shared" si="262"/>
        <v>3.4277302966951037E-3</v>
      </c>
      <c r="O852" s="28">
        <f t="shared" si="262"/>
        <v>3.4236799324237725E-3</v>
      </c>
      <c r="P852" s="28">
        <f t="shared" si="262"/>
        <v>3.4196295681524396E-3</v>
      </c>
      <c r="Q852" s="28">
        <f t="shared" si="262"/>
        <v>3.4155792038811079E-3</v>
      </c>
      <c r="R852" s="28">
        <f t="shared" si="262"/>
        <v>3.4115288396097763E-3</v>
      </c>
      <c r="S852" s="28">
        <f t="shared" si="262"/>
        <v>3.4074784753384451E-3</v>
      </c>
      <c r="T852" s="28">
        <f t="shared" si="262"/>
        <v>3.4034281110671134E-3</v>
      </c>
      <c r="U852" s="28">
        <f t="shared" si="262"/>
        <v>3.39937774679578E-3</v>
      </c>
      <c r="V852" s="28">
        <f t="shared" si="262"/>
        <v>3.3953273825244488E-3</v>
      </c>
      <c r="W852" s="28">
        <f t="shared" si="262"/>
        <v>3.3912770182531172E-3</v>
      </c>
      <c r="X852" s="28">
        <f t="shared" si="262"/>
        <v>3.387226653981786E-3</v>
      </c>
      <c r="Y852" s="28">
        <f t="shared" si="262"/>
        <v>3.3831762897104547E-3</v>
      </c>
      <c r="Z852" s="28">
        <f t="shared" si="262"/>
        <v>3.3791259254391218E-3</v>
      </c>
      <c r="AA852" s="28">
        <f t="shared" si="262"/>
        <v>3.375075561167791E-3</v>
      </c>
      <c r="AB852" s="28">
        <f t="shared" si="262"/>
        <v>3.3710251968964585E-3</v>
      </c>
      <c r="AC852" s="28">
        <f t="shared" si="262"/>
        <v>3.3669748326251273E-3</v>
      </c>
      <c r="AD852" s="28">
        <f t="shared" si="262"/>
        <v>3.3629244683537943E-3</v>
      </c>
      <c r="AE852" s="28">
        <f t="shared" si="262"/>
        <v>3.358874104082464E-3</v>
      </c>
      <c r="AF852" s="28">
        <f t="shared" si="262"/>
        <v>3.3548237398111319E-3</v>
      </c>
      <c r="AG852" s="28">
        <f t="shared" si="262"/>
        <v>3.3507733755397998E-3</v>
      </c>
      <c r="AH852" s="28">
        <f t="shared" si="262"/>
        <v>3.3467230112684673E-3</v>
      </c>
      <c r="AI852" s="28">
        <f t="shared" si="262"/>
        <v>3.3426726469971361E-3</v>
      </c>
      <c r="AJ852" s="28">
        <f t="shared" si="262"/>
        <v>3.3386222827258044E-3</v>
      </c>
      <c r="AK852" s="28">
        <f t="shared" si="262"/>
        <v>3.3345719184544728E-3</v>
      </c>
      <c r="AL852" s="28">
        <f t="shared" si="262"/>
        <v>3.3305215541831416E-3</v>
      </c>
      <c r="AM852" s="28">
        <f t="shared" si="262"/>
        <v>3.3264711899118095E-3</v>
      </c>
      <c r="AN852" s="28">
        <f t="shared" si="262"/>
        <v>3.3224208256404765E-3</v>
      </c>
      <c r="AO852" s="28">
        <f t="shared" si="262"/>
        <v>3.3183704613691458E-3</v>
      </c>
      <c r="AP852" s="28">
        <f t="shared" si="262"/>
        <v>3.3143200970978137E-3</v>
      </c>
      <c r="AQ852" s="28">
        <f t="shared" si="262"/>
        <v>3.3102697328264833E-3</v>
      </c>
      <c r="AR852" s="28">
        <f t="shared" si="262"/>
        <v>3.3062193685551499E-3</v>
      </c>
      <c r="AS852" s="28">
        <f t="shared" si="262"/>
        <v>3.3021690042838187E-3</v>
      </c>
      <c r="AT852" s="28">
        <f t="shared" si="262"/>
        <v>3.2981186400124866E-3</v>
      </c>
      <c r="AU852" s="28">
        <f t="shared" si="262"/>
        <v>3.2940682757411541E-3</v>
      </c>
      <c r="AV852" s="28">
        <f t="shared" si="262"/>
        <v>3.2900179114698229E-3</v>
      </c>
      <c r="AW852" s="28">
        <f t="shared" si="262"/>
        <v>3.2859675471984908E-3</v>
      </c>
      <c r="AY852" s="85"/>
      <c r="AZ852" s="85"/>
    </row>
    <row r="853" spans="1:52" x14ac:dyDescent="0.25">
      <c r="A853" s="102" t="str">
        <f t="shared" si="224"/>
        <v>BD FSOM</v>
      </c>
      <c r="B853" s="102" t="s">
        <v>1229</v>
      </c>
      <c r="C853" s="102" t="s">
        <v>60</v>
      </c>
      <c r="D853" t="s">
        <v>369</v>
      </c>
      <c r="E853" t="s">
        <v>55</v>
      </c>
      <c r="F853" t="s">
        <v>60</v>
      </c>
      <c r="G853" t="s">
        <v>1273</v>
      </c>
      <c r="H853" t="s">
        <v>1274</v>
      </c>
      <c r="J853" t="s">
        <v>287</v>
      </c>
      <c r="K853" s="28">
        <f t="shared" ref="K853:AW853" si="263">K1501</f>
        <v>0.49020960547040615</v>
      </c>
      <c r="L853" s="28">
        <f t="shared" si="263"/>
        <v>0.49134551154341793</v>
      </c>
      <c r="M853" s="28">
        <f t="shared" si="263"/>
        <v>0.49248141761642988</v>
      </c>
      <c r="N853" s="28">
        <f t="shared" si="263"/>
        <v>0.49361732368944172</v>
      </c>
      <c r="O853" s="28">
        <f t="shared" si="263"/>
        <v>0.49475322976245356</v>
      </c>
      <c r="P853" s="28">
        <f t="shared" si="263"/>
        <v>0.49588913583546534</v>
      </c>
      <c r="Q853" s="28">
        <f t="shared" si="263"/>
        <v>0.49702504190847724</v>
      </c>
      <c r="R853" s="28">
        <f t="shared" si="263"/>
        <v>0.49816094798148913</v>
      </c>
      <c r="S853" s="28">
        <f t="shared" si="263"/>
        <v>0.49929685405450086</v>
      </c>
      <c r="T853" s="28">
        <f t="shared" si="263"/>
        <v>0.50043276012751292</v>
      </c>
      <c r="U853" s="28">
        <f t="shared" si="263"/>
        <v>0.50156866620052454</v>
      </c>
      <c r="V853" s="28">
        <f t="shared" si="263"/>
        <v>0.50270457227353649</v>
      </c>
      <c r="W853" s="28">
        <f t="shared" si="263"/>
        <v>0.50384047834654833</v>
      </c>
      <c r="X853" s="28">
        <f t="shared" si="263"/>
        <v>0.50497638441956039</v>
      </c>
      <c r="Y853" s="28">
        <f t="shared" si="263"/>
        <v>0.506112290492572</v>
      </c>
      <c r="Z853" s="28">
        <f t="shared" si="263"/>
        <v>0.50724819656558406</v>
      </c>
      <c r="AA853" s="28">
        <f t="shared" si="263"/>
        <v>0.50838410263859568</v>
      </c>
      <c r="AB853" s="28">
        <f t="shared" si="263"/>
        <v>0.50952000871160763</v>
      </c>
      <c r="AC853" s="28">
        <f t="shared" si="263"/>
        <v>0.51065591478461958</v>
      </c>
      <c r="AD853" s="28">
        <f t="shared" si="263"/>
        <v>0.51179182085763142</v>
      </c>
      <c r="AE853" s="28">
        <f t="shared" si="263"/>
        <v>0.51292772693064326</v>
      </c>
      <c r="AF853" s="28">
        <f t="shared" si="263"/>
        <v>0.5140636330036551</v>
      </c>
      <c r="AG853" s="28">
        <f t="shared" si="263"/>
        <v>0.51519953907666705</v>
      </c>
      <c r="AH853" s="28">
        <f t="shared" si="263"/>
        <v>0.51633544514967877</v>
      </c>
      <c r="AI853" s="28">
        <f t="shared" si="263"/>
        <v>0.51747135122269072</v>
      </c>
      <c r="AJ853" s="28">
        <f t="shared" si="263"/>
        <v>0.51860725729570256</v>
      </c>
      <c r="AK853" s="28">
        <f t="shared" si="263"/>
        <v>0.5197431633687144</v>
      </c>
      <c r="AL853" s="28">
        <f t="shared" si="263"/>
        <v>0.52087906944172624</v>
      </c>
      <c r="AM853" s="28">
        <f t="shared" si="263"/>
        <v>0.52201497551473808</v>
      </c>
      <c r="AN853" s="28">
        <f t="shared" si="263"/>
        <v>0.52315088158774992</v>
      </c>
      <c r="AO853" s="28">
        <f t="shared" si="263"/>
        <v>0.52428678766076187</v>
      </c>
      <c r="AP853" s="28">
        <f t="shared" si="263"/>
        <v>0.52542269373377359</v>
      </c>
      <c r="AQ853" s="28">
        <f t="shared" si="263"/>
        <v>0.52655859980678543</v>
      </c>
      <c r="AR853" s="28">
        <f t="shared" si="263"/>
        <v>0.52769450587979749</v>
      </c>
      <c r="AS853" s="28">
        <f t="shared" si="263"/>
        <v>0.52883041195280922</v>
      </c>
      <c r="AT853" s="28">
        <f t="shared" si="263"/>
        <v>0.52996631802582106</v>
      </c>
      <c r="AU853" s="28">
        <f t="shared" si="263"/>
        <v>0.53110222409883301</v>
      </c>
      <c r="AV853" s="28">
        <f t="shared" si="263"/>
        <v>0.53223813017184474</v>
      </c>
      <c r="AW853" s="28">
        <f t="shared" si="263"/>
        <v>0.5333740362448568</v>
      </c>
      <c r="AY853" s="85"/>
      <c r="AZ853" s="85"/>
    </row>
    <row r="854" spans="1:52" x14ac:dyDescent="0.25">
      <c r="A854" s="102" t="str">
        <f t="shared" si="224"/>
        <v>BD FSOM</v>
      </c>
      <c r="B854" s="102" t="s">
        <v>1229</v>
      </c>
      <c r="C854" s="102" t="s">
        <v>60</v>
      </c>
      <c r="D854" t="s">
        <v>369</v>
      </c>
      <c r="E854" t="s">
        <v>55</v>
      </c>
      <c r="F854" t="s">
        <v>60</v>
      </c>
      <c r="G854" t="s">
        <v>1275</v>
      </c>
      <c r="H854" t="s">
        <v>1276</v>
      </c>
      <c r="J854" t="s">
        <v>287</v>
      </c>
      <c r="K854" s="28">
        <f t="shared" ref="K854:AW854" si="264">K1502</f>
        <v>0.57597220909378744</v>
      </c>
      <c r="L854" s="28">
        <f t="shared" si="264"/>
        <v>0.57597220909378744</v>
      </c>
      <c r="M854" s="28">
        <f t="shared" si="264"/>
        <v>0.57597220909378744</v>
      </c>
      <c r="N854" s="28">
        <f t="shared" si="264"/>
        <v>0.57597220909378744</v>
      </c>
      <c r="O854" s="28">
        <f t="shared" si="264"/>
        <v>0.57597220909378744</v>
      </c>
      <c r="P854" s="28">
        <f t="shared" si="264"/>
        <v>0.57597220909378744</v>
      </c>
      <c r="Q854" s="28">
        <f t="shared" si="264"/>
        <v>0.57597220909378744</v>
      </c>
      <c r="R854" s="28">
        <f t="shared" si="264"/>
        <v>0.57597220909378744</v>
      </c>
      <c r="S854" s="28">
        <f t="shared" si="264"/>
        <v>0.57597220909378744</v>
      </c>
      <c r="T854" s="28">
        <f t="shared" si="264"/>
        <v>0.57597220909378744</v>
      </c>
      <c r="U854" s="28">
        <f t="shared" si="264"/>
        <v>0.57597220909378744</v>
      </c>
      <c r="V854" s="28">
        <f t="shared" si="264"/>
        <v>0.57597220909378744</v>
      </c>
      <c r="W854" s="28">
        <f t="shared" si="264"/>
        <v>0.57597220909378744</v>
      </c>
      <c r="X854" s="28">
        <f t="shared" si="264"/>
        <v>0.57597220909378744</v>
      </c>
      <c r="Y854" s="28">
        <f t="shared" si="264"/>
        <v>0.57597220909378744</v>
      </c>
      <c r="Z854" s="28">
        <f t="shared" si="264"/>
        <v>0.57597220909378744</v>
      </c>
      <c r="AA854" s="28">
        <f t="shared" si="264"/>
        <v>0.57597220909378744</v>
      </c>
      <c r="AB854" s="28">
        <f t="shared" si="264"/>
        <v>0.57597220909378744</v>
      </c>
      <c r="AC854" s="28">
        <f t="shared" si="264"/>
        <v>0.57597220909378744</v>
      </c>
      <c r="AD854" s="28">
        <f t="shared" si="264"/>
        <v>0.57597220909378744</v>
      </c>
      <c r="AE854" s="28">
        <f t="shared" si="264"/>
        <v>0.57597220909378744</v>
      </c>
      <c r="AF854" s="28">
        <f t="shared" si="264"/>
        <v>0.57597220909378744</v>
      </c>
      <c r="AG854" s="28">
        <f t="shared" si="264"/>
        <v>0.57597220909378744</v>
      </c>
      <c r="AH854" s="28">
        <f t="shared" si="264"/>
        <v>0.57597220909378744</v>
      </c>
      <c r="AI854" s="28">
        <f t="shared" si="264"/>
        <v>0.57597220909378744</v>
      </c>
      <c r="AJ854" s="28">
        <f t="shared" si="264"/>
        <v>0.57597220909378744</v>
      </c>
      <c r="AK854" s="28">
        <f t="shared" si="264"/>
        <v>0.57597220909378744</v>
      </c>
      <c r="AL854" s="28">
        <f t="shared" si="264"/>
        <v>0.57597220909378744</v>
      </c>
      <c r="AM854" s="28">
        <f t="shared" si="264"/>
        <v>0.57597220909378744</v>
      </c>
      <c r="AN854" s="28">
        <f t="shared" si="264"/>
        <v>0.57597220909378744</v>
      </c>
      <c r="AO854" s="28">
        <f t="shared" si="264"/>
        <v>0.57597220909378744</v>
      </c>
      <c r="AP854" s="28">
        <f t="shared" si="264"/>
        <v>0.57597220909378744</v>
      </c>
      <c r="AQ854" s="28">
        <f t="shared" si="264"/>
        <v>0.57597220909378744</v>
      </c>
      <c r="AR854" s="28">
        <f t="shared" si="264"/>
        <v>0.57597220909378744</v>
      </c>
      <c r="AS854" s="28">
        <f t="shared" si="264"/>
        <v>0.57597220909378744</v>
      </c>
      <c r="AT854" s="28">
        <f t="shared" si="264"/>
        <v>0.57597220909378744</v>
      </c>
      <c r="AU854" s="28">
        <f t="shared" si="264"/>
        <v>0.57597220909378744</v>
      </c>
      <c r="AV854" s="28">
        <f t="shared" si="264"/>
        <v>0.57597220909378744</v>
      </c>
      <c r="AW854" s="28">
        <f t="shared" si="264"/>
        <v>0.57597220909378744</v>
      </c>
      <c r="AY854" s="85"/>
      <c r="AZ854" s="85"/>
    </row>
    <row r="855" spans="1:52" x14ac:dyDescent="0.25">
      <c r="A855" s="102" t="str">
        <f t="shared" si="224"/>
        <v>BD FSOM</v>
      </c>
      <c r="B855" s="102" t="s">
        <v>1229</v>
      </c>
      <c r="C855" s="102" t="s">
        <v>60</v>
      </c>
      <c r="D855" t="s">
        <v>369</v>
      </c>
      <c r="E855" t="s">
        <v>55</v>
      </c>
      <c r="F855" t="s">
        <v>60</v>
      </c>
      <c r="G855" t="s">
        <v>1277</v>
      </c>
      <c r="H855" t="s">
        <v>1278</v>
      </c>
      <c r="J855" t="s">
        <v>287</v>
      </c>
      <c r="K855" s="28" t="str">
        <f t="shared" ref="K855:AW855" si="265">K1503</f>
        <v>NO</v>
      </c>
      <c r="L855" s="28" t="str">
        <f t="shared" si="265"/>
        <v>NO</v>
      </c>
      <c r="M855" s="28" t="str">
        <f t="shared" si="265"/>
        <v>NO</v>
      </c>
      <c r="N855" s="28" t="str">
        <f t="shared" si="265"/>
        <v>NO</v>
      </c>
      <c r="O855" s="28" t="str">
        <f t="shared" si="265"/>
        <v>NO</v>
      </c>
      <c r="P855" s="28" t="str">
        <f t="shared" si="265"/>
        <v>NO</v>
      </c>
      <c r="Q855" s="28" t="str">
        <f t="shared" si="265"/>
        <v>NO</v>
      </c>
      <c r="R855" s="28" t="str">
        <f t="shared" si="265"/>
        <v>NO</v>
      </c>
      <c r="S855" s="28" t="str">
        <f t="shared" si="265"/>
        <v>NO</v>
      </c>
      <c r="T855" s="28" t="str">
        <f t="shared" si="265"/>
        <v>NO</v>
      </c>
      <c r="U855" s="28" t="str">
        <f t="shared" si="265"/>
        <v>NO</v>
      </c>
      <c r="V855" s="28" t="str">
        <f t="shared" si="265"/>
        <v>NO</v>
      </c>
      <c r="W855" s="28" t="str">
        <f t="shared" si="265"/>
        <v>NO</v>
      </c>
      <c r="X855" s="28" t="str">
        <f t="shared" si="265"/>
        <v>NO</v>
      </c>
      <c r="Y855" s="28" t="str">
        <f t="shared" si="265"/>
        <v>NO</v>
      </c>
      <c r="Z855" s="28" t="str">
        <f t="shared" si="265"/>
        <v>NO</v>
      </c>
      <c r="AA855" s="28" t="str">
        <f t="shared" si="265"/>
        <v>NO</v>
      </c>
      <c r="AB855" s="28" t="str">
        <f t="shared" si="265"/>
        <v>NO</v>
      </c>
      <c r="AC855" s="28" t="str">
        <f t="shared" si="265"/>
        <v>NO</v>
      </c>
      <c r="AD855" s="28" t="str">
        <f t="shared" si="265"/>
        <v>NO</v>
      </c>
      <c r="AE855" s="28" t="str">
        <f t="shared" si="265"/>
        <v>NO</v>
      </c>
      <c r="AF855" s="28" t="str">
        <f t="shared" si="265"/>
        <v>NO</v>
      </c>
      <c r="AG855" s="28" t="str">
        <f t="shared" si="265"/>
        <v>NO</v>
      </c>
      <c r="AH855" s="28" t="str">
        <f t="shared" si="265"/>
        <v>NO</v>
      </c>
      <c r="AI855" s="28" t="str">
        <f t="shared" si="265"/>
        <v>NO</v>
      </c>
      <c r="AJ855" s="28" t="str">
        <f t="shared" si="265"/>
        <v>NO</v>
      </c>
      <c r="AK855" s="28" t="str">
        <f t="shared" si="265"/>
        <v>NO</v>
      </c>
      <c r="AL855" s="28" t="str">
        <f t="shared" si="265"/>
        <v>NO</v>
      </c>
      <c r="AM855" s="28" t="str">
        <f t="shared" si="265"/>
        <v>NO</v>
      </c>
      <c r="AN855" s="28" t="str">
        <f t="shared" si="265"/>
        <v>NO</v>
      </c>
      <c r="AO855" s="28" t="str">
        <f t="shared" si="265"/>
        <v>NO</v>
      </c>
      <c r="AP855" s="28" t="str">
        <f t="shared" si="265"/>
        <v>NO</v>
      </c>
      <c r="AQ855" s="28" t="str">
        <f t="shared" si="265"/>
        <v>NO</v>
      </c>
      <c r="AR855" s="28" t="str">
        <f t="shared" si="265"/>
        <v>NO</v>
      </c>
      <c r="AS855" s="28" t="str">
        <f t="shared" si="265"/>
        <v>NO</v>
      </c>
      <c r="AT855" s="28" t="str">
        <f t="shared" si="265"/>
        <v>NO</v>
      </c>
      <c r="AU855" s="28" t="str">
        <f t="shared" si="265"/>
        <v>NO</v>
      </c>
      <c r="AV855" s="28" t="str">
        <f t="shared" si="265"/>
        <v>NO</v>
      </c>
      <c r="AW855" s="28" t="str">
        <f t="shared" si="265"/>
        <v>NO</v>
      </c>
      <c r="AY855" s="85"/>
      <c r="AZ855" s="85"/>
    </row>
    <row r="856" spans="1:52" x14ac:dyDescent="0.25">
      <c r="A856" s="102" t="str">
        <f t="shared" si="224"/>
        <v>BD FSOM</v>
      </c>
      <c r="B856" s="102" t="s">
        <v>1229</v>
      </c>
      <c r="C856" s="102" t="s">
        <v>60</v>
      </c>
      <c r="D856" t="s">
        <v>369</v>
      </c>
      <c r="E856" t="s">
        <v>55</v>
      </c>
      <c r="F856" t="s">
        <v>60</v>
      </c>
      <c r="G856" t="s">
        <v>1279</v>
      </c>
      <c r="H856" t="s">
        <v>1280</v>
      </c>
      <c r="J856" t="s">
        <v>287</v>
      </c>
      <c r="K856" s="28" t="str">
        <f t="shared" ref="K856:AW856" si="266">K1504</f>
        <v>NO</v>
      </c>
      <c r="L856" s="28" t="str">
        <f t="shared" si="266"/>
        <v>NO</v>
      </c>
      <c r="M856" s="28" t="str">
        <f t="shared" si="266"/>
        <v>NO</v>
      </c>
      <c r="N856" s="28" t="str">
        <f t="shared" si="266"/>
        <v>NO</v>
      </c>
      <c r="O856" s="28" t="str">
        <f t="shared" si="266"/>
        <v>NO</v>
      </c>
      <c r="P856" s="28" t="str">
        <f t="shared" si="266"/>
        <v>NO</v>
      </c>
      <c r="Q856" s="28" t="str">
        <f t="shared" si="266"/>
        <v>NO</v>
      </c>
      <c r="R856" s="28" t="str">
        <f t="shared" si="266"/>
        <v>NO</v>
      </c>
      <c r="S856" s="28" t="str">
        <f t="shared" si="266"/>
        <v>NO</v>
      </c>
      <c r="T856" s="28" t="str">
        <f t="shared" si="266"/>
        <v>NO</v>
      </c>
      <c r="U856" s="28" t="str">
        <f t="shared" si="266"/>
        <v>NO</v>
      </c>
      <c r="V856" s="28" t="str">
        <f t="shared" si="266"/>
        <v>NO</v>
      </c>
      <c r="W856" s="28" t="str">
        <f t="shared" si="266"/>
        <v>NO</v>
      </c>
      <c r="X856" s="28" t="str">
        <f t="shared" si="266"/>
        <v>NO</v>
      </c>
      <c r="Y856" s="28" t="str">
        <f t="shared" si="266"/>
        <v>NO</v>
      </c>
      <c r="Z856" s="28" t="str">
        <f t="shared" si="266"/>
        <v>NO</v>
      </c>
      <c r="AA856" s="28" t="str">
        <f t="shared" si="266"/>
        <v>NO</v>
      </c>
      <c r="AB856" s="28" t="str">
        <f t="shared" si="266"/>
        <v>NO</v>
      </c>
      <c r="AC856" s="28" t="str">
        <f t="shared" si="266"/>
        <v>NO</v>
      </c>
      <c r="AD856" s="28" t="str">
        <f t="shared" si="266"/>
        <v>NO</v>
      </c>
      <c r="AE856" s="28" t="str">
        <f t="shared" si="266"/>
        <v>NO</v>
      </c>
      <c r="AF856" s="28" t="str">
        <f t="shared" si="266"/>
        <v>NO</v>
      </c>
      <c r="AG856" s="28" t="str">
        <f t="shared" si="266"/>
        <v>NO</v>
      </c>
      <c r="AH856" s="28" t="str">
        <f t="shared" si="266"/>
        <v>NO</v>
      </c>
      <c r="AI856" s="28" t="str">
        <f t="shared" si="266"/>
        <v>NO</v>
      </c>
      <c r="AJ856" s="28" t="str">
        <f t="shared" si="266"/>
        <v>NO</v>
      </c>
      <c r="AK856" s="28" t="str">
        <f t="shared" si="266"/>
        <v>NO</v>
      </c>
      <c r="AL856" s="28" t="str">
        <f t="shared" si="266"/>
        <v>NO</v>
      </c>
      <c r="AM856" s="28" t="str">
        <f t="shared" si="266"/>
        <v>NO</v>
      </c>
      <c r="AN856" s="28" t="str">
        <f t="shared" si="266"/>
        <v>NO</v>
      </c>
      <c r="AO856" s="28" t="str">
        <f t="shared" si="266"/>
        <v>NO</v>
      </c>
      <c r="AP856" s="28" t="str">
        <f t="shared" si="266"/>
        <v>NO</v>
      </c>
      <c r="AQ856" s="28" t="str">
        <f t="shared" si="266"/>
        <v>NO</v>
      </c>
      <c r="AR856" s="28" t="str">
        <f t="shared" si="266"/>
        <v>NO</v>
      </c>
      <c r="AS856" s="28" t="str">
        <f t="shared" si="266"/>
        <v>NO</v>
      </c>
      <c r="AT856" s="28" t="str">
        <f t="shared" si="266"/>
        <v>NO</v>
      </c>
      <c r="AU856" s="28" t="str">
        <f t="shared" si="266"/>
        <v>NO</v>
      </c>
      <c r="AV856" s="28" t="str">
        <f t="shared" si="266"/>
        <v>NO</v>
      </c>
      <c r="AW856" s="28" t="str">
        <f t="shared" si="266"/>
        <v>NO</v>
      </c>
      <c r="AY856" s="85"/>
      <c r="AZ856" s="85"/>
    </row>
    <row r="857" spans="1:52" x14ac:dyDescent="0.25">
      <c r="A857" s="102" t="str">
        <f t="shared" si="224"/>
        <v>BD FSOM</v>
      </c>
      <c r="B857" s="102" t="s">
        <v>1229</v>
      </c>
      <c r="C857" s="102" t="s">
        <v>60</v>
      </c>
      <c r="D857" t="s">
        <v>369</v>
      </c>
      <c r="E857" t="s">
        <v>55</v>
      </c>
      <c r="F857" t="s">
        <v>60</v>
      </c>
      <c r="G857" t="s">
        <v>1281</v>
      </c>
      <c r="H857" t="s">
        <v>1282</v>
      </c>
      <c r="J857" t="s">
        <v>287</v>
      </c>
      <c r="K857" s="28" t="str">
        <f t="shared" ref="K857:AW857" si="267">K1505</f>
        <v>NO</v>
      </c>
      <c r="L857" s="28" t="str">
        <f t="shared" si="267"/>
        <v>NO</v>
      </c>
      <c r="M857" s="28" t="str">
        <f t="shared" si="267"/>
        <v>NO</v>
      </c>
      <c r="N857" s="28" t="str">
        <f t="shared" si="267"/>
        <v>NO</v>
      </c>
      <c r="O857" s="28" t="str">
        <f t="shared" si="267"/>
        <v>NO</v>
      </c>
      <c r="P857" s="28" t="str">
        <f t="shared" si="267"/>
        <v>NO</v>
      </c>
      <c r="Q857" s="28" t="str">
        <f t="shared" si="267"/>
        <v>NO</v>
      </c>
      <c r="R857" s="28" t="str">
        <f t="shared" si="267"/>
        <v>NO</v>
      </c>
      <c r="S857" s="28" t="str">
        <f t="shared" si="267"/>
        <v>NO</v>
      </c>
      <c r="T857" s="28" t="str">
        <f t="shared" si="267"/>
        <v>NO</v>
      </c>
      <c r="U857" s="28" t="str">
        <f t="shared" si="267"/>
        <v>NO</v>
      </c>
      <c r="V857" s="28" t="str">
        <f t="shared" si="267"/>
        <v>NO</v>
      </c>
      <c r="W857" s="28" t="str">
        <f t="shared" si="267"/>
        <v>NO</v>
      </c>
      <c r="X857" s="28" t="str">
        <f t="shared" si="267"/>
        <v>NO</v>
      </c>
      <c r="Y857" s="28" t="str">
        <f t="shared" si="267"/>
        <v>NO</v>
      </c>
      <c r="Z857" s="28" t="str">
        <f t="shared" si="267"/>
        <v>NO</v>
      </c>
      <c r="AA857" s="28" t="str">
        <f t="shared" si="267"/>
        <v>NO</v>
      </c>
      <c r="AB857" s="28" t="str">
        <f t="shared" si="267"/>
        <v>NO</v>
      </c>
      <c r="AC857" s="28" t="str">
        <f t="shared" si="267"/>
        <v>NO</v>
      </c>
      <c r="AD857" s="28" t="str">
        <f t="shared" si="267"/>
        <v>NO</v>
      </c>
      <c r="AE857" s="28" t="str">
        <f t="shared" si="267"/>
        <v>NO</v>
      </c>
      <c r="AF857" s="28" t="str">
        <f t="shared" si="267"/>
        <v>NO</v>
      </c>
      <c r="AG857" s="28" t="str">
        <f t="shared" si="267"/>
        <v>NO</v>
      </c>
      <c r="AH857" s="28" t="str">
        <f t="shared" si="267"/>
        <v>NO</v>
      </c>
      <c r="AI857" s="28" t="str">
        <f t="shared" si="267"/>
        <v>NO</v>
      </c>
      <c r="AJ857" s="28" t="str">
        <f t="shared" si="267"/>
        <v>NO</v>
      </c>
      <c r="AK857" s="28" t="str">
        <f t="shared" si="267"/>
        <v>NO</v>
      </c>
      <c r="AL857" s="28" t="str">
        <f t="shared" si="267"/>
        <v>NO</v>
      </c>
      <c r="AM857" s="28" t="str">
        <f t="shared" si="267"/>
        <v>NO</v>
      </c>
      <c r="AN857" s="28" t="str">
        <f t="shared" si="267"/>
        <v>NO</v>
      </c>
      <c r="AO857" s="28" t="str">
        <f t="shared" si="267"/>
        <v>NO</v>
      </c>
      <c r="AP857" s="28" t="str">
        <f t="shared" si="267"/>
        <v>NO</v>
      </c>
      <c r="AQ857" s="28" t="str">
        <f t="shared" si="267"/>
        <v>NO</v>
      </c>
      <c r="AR857" s="28" t="str">
        <f t="shared" si="267"/>
        <v>NO</v>
      </c>
      <c r="AS857" s="28" t="str">
        <f t="shared" si="267"/>
        <v>NO</v>
      </c>
      <c r="AT857" s="28" t="str">
        <f t="shared" si="267"/>
        <v>NO</v>
      </c>
      <c r="AU857" s="28" t="str">
        <f t="shared" si="267"/>
        <v>NO</v>
      </c>
      <c r="AV857" s="28" t="str">
        <f t="shared" si="267"/>
        <v>NO</v>
      </c>
      <c r="AW857" s="28" t="str">
        <f t="shared" si="267"/>
        <v>NO</v>
      </c>
      <c r="AY857" s="85"/>
      <c r="AZ857" s="85"/>
    </row>
    <row r="858" spans="1:52" x14ac:dyDescent="0.25">
      <c r="A858" s="102" t="str">
        <f t="shared" si="224"/>
        <v>BD FSOM</v>
      </c>
      <c r="B858" s="102" t="s">
        <v>1229</v>
      </c>
      <c r="C858" s="102" t="s">
        <v>60</v>
      </c>
      <c r="D858" t="s">
        <v>369</v>
      </c>
      <c r="E858" t="s">
        <v>55</v>
      </c>
      <c r="F858" t="s">
        <v>60</v>
      </c>
      <c r="G858" t="s">
        <v>1283</v>
      </c>
      <c r="H858" t="s">
        <v>1284</v>
      </c>
      <c r="J858" t="s">
        <v>287</v>
      </c>
      <c r="K858" s="28">
        <f t="shared" ref="K858:AW858" si="268">K1506</f>
        <v>5.604018730639919E-5</v>
      </c>
      <c r="L858" s="28">
        <f t="shared" si="268"/>
        <v>5.604018730639919E-5</v>
      </c>
      <c r="M858" s="28">
        <f t="shared" si="268"/>
        <v>5.604018730639919E-5</v>
      </c>
      <c r="N858" s="28">
        <f t="shared" si="268"/>
        <v>5.604018730639919E-5</v>
      </c>
      <c r="O858" s="28">
        <f t="shared" si="268"/>
        <v>5.604018730639919E-5</v>
      </c>
      <c r="P858" s="28">
        <f t="shared" si="268"/>
        <v>5.604018730639919E-5</v>
      </c>
      <c r="Q858" s="28">
        <f t="shared" si="268"/>
        <v>5.604018730639919E-5</v>
      </c>
      <c r="R858" s="28">
        <f t="shared" si="268"/>
        <v>5.604018730639919E-5</v>
      </c>
      <c r="S858" s="28">
        <f t="shared" si="268"/>
        <v>5.604018730639919E-5</v>
      </c>
      <c r="T858" s="28">
        <f t="shared" si="268"/>
        <v>5.604018730639919E-5</v>
      </c>
      <c r="U858" s="28">
        <f t="shared" si="268"/>
        <v>5.604018730639919E-5</v>
      </c>
      <c r="V858" s="28">
        <f t="shared" si="268"/>
        <v>5.604018730639919E-5</v>
      </c>
      <c r="W858" s="28">
        <f t="shared" si="268"/>
        <v>5.604018730639919E-5</v>
      </c>
      <c r="X858" s="28">
        <f t="shared" si="268"/>
        <v>5.604018730639919E-5</v>
      </c>
      <c r="Y858" s="28">
        <f t="shared" si="268"/>
        <v>5.604018730639919E-5</v>
      </c>
      <c r="Z858" s="28">
        <f t="shared" si="268"/>
        <v>5.604018730639919E-5</v>
      </c>
      <c r="AA858" s="28">
        <f t="shared" si="268"/>
        <v>5.604018730639919E-5</v>
      </c>
      <c r="AB858" s="28">
        <f t="shared" si="268"/>
        <v>5.604018730639919E-5</v>
      </c>
      <c r="AC858" s="28">
        <f t="shared" si="268"/>
        <v>5.604018730639919E-5</v>
      </c>
      <c r="AD858" s="28">
        <f t="shared" si="268"/>
        <v>5.604018730639919E-5</v>
      </c>
      <c r="AE858" s="28">
        <f t="shared" si="268"/>
        <v>5.604018730639919E-5</v>
      </c>
      <c r="AF858" s="28">
        <f t="shared" si="268"/>
        <v>5.604018730639919E-5</v>
      </c>
      <c r="AG858" s="28">
        <f t="shared" si="268"/>
        <v>5.604018730639919E-5</v>
      </c>
      <c r="AH858" s="28">
        <f t="shared" si="268"/>
        <v>5.604018730639919E-5</v>
      </c>
      <c r="AI858" s="28">
        <f t="shared" si="268"/>
        <v>5.604018730639919E-5</v>
      </c>
      <c r="AJ858" s="28">
        <f t="shared" si="268"/>
        <v>5.604018730639919E-5</v>
      </c>
      <c r="AK858" s="28">
        <f t="shared" si="268"/>
        <v>5.604018730639919E-5</v>
      </c>
      <c r="AL858" s="28">
        <f t="shared" si="268"/>
        <v>5.604018730639919E-5</v>
      </c>
      <c r="AM858" s="28">
        <f t="shared" si="268"/>
        <v>5.604018730639919E-5</v>
      </c>
      <c r="AN858" s="28">
        <f t="shared" si="268"/>
        <v>5.604018730639919E-5</v>
      </c>
      <c r="AO858" s="28">
        <f t="shared" si="268"/>
        <v>5.604018730639919E-5</v>
      </c>
      <c r="AP858" s="28">
        <f t="shared" si="268"/>
        <v>5.604018730639919E-5</v>
      </c>
      <c r="AQ858" s="28">
        <f t="shared" si="268"/>
        <v>5.604018730639919E-5</v>
      </c>
      <c r="AR858" s="28">
        <f t="shared" si="268"/>
        <v>5.604018730639919E-5</v>
      </c>
      <c r="AS858" s="28">
        <f t="shared" si="268"/>
        <v>5.604018730639919E-5</v>
      </c>
      <c r="AT858" s="28">
        <f t="shared" si="268"/>
        <v>5.604018730639919E-5</v>
      </c>
      <c r="AU858" s="28">
        <f t="shared" si="268"/>
        <v>5.604018730639919E-5</v>
      </c>
      <c r="AV858" s="28">
        <f t="shared" si="268"/>
        <v>5.604018730639919E-5</v>
      </c>
      <c r="AW858" s="28">
        <f t="shared" si="268"/>
        <v>5.604018730639919E-5</v>
      </c>
      <c r="AY858" s="85"/>
      <c r="AZ858" s="85"/>
    </row>
    <row r="859" spans="1:52" x14ac:dyDescent="0.25">
      <c r="A859" s="102" t="str">
        <f t="shared" si="224"/>
        <v>BD FSOM</v>
      </c>
      <c r="B859" s="102" t="s">
        <v>1229</v>
      </c>
      <c r="C859" s="102" t="s">
        <v>60</v>
      </c>
      <c r="D859" t="s">
        <v>369</v>
      </c>
      <c r="E859" t="s">
        <v>55</v>
      </c>
      <c r="F859" t="s">
        <v>60</v>
      </c>
      <c r="G859" t="s">
        <v>1285</v>
      </c>
      <c r="H859" t="s">
        <v>1286</v>
      </c>
      <c r="J859" t="s">
        <v>287</v>
      </c>
      <c r="K859" s="28">
        <f t="shared" ref="K859:AW859" si="269">K1507</f>
        <v>6.110857899094551E-2</v>
      </c>
      <c r="L859" s="28">
        <f t="shared" si="269"/>
        <v>6.110857899094551E-2</v>
      </c>
      <c r="M859" s="28">
        <f t="shared" si="269"/>
        <v>6.110857899094551E-2</v>
      </c>
      <c r="N859" s="28">
        <f t="shared" si="269"/>
        <v>6.110857899094551E-2</v>
      </c>
      <c r="O859" s="28">
        <f t="shared" si="269"/>
        <v>6.110857899094551E-2</v>
      </c>
      <c r="P859" s="28">
        <f t="shared" si="269"/>
        <v>6.110857899094551E-2</v>
      </c>
      <c r="Q859" s="28">
        <f t="shared" si="269"/>
        <v>6.110857899094551E-2</v>
      </c>
      <c r="R859" s="28">
        <f t="shared" si="269"/>
        <v>6.110857899094551E-2</v>
      </c>
      <c r="S859" s="28">
        <f t="shared" si="269"/>
        <v>6.110857899094551E-2</v>
      </c>
      <c r="T859" s="28">
        <f t="shared" si="269"/>
        <v>6.110857899094551E-2</v>
      </c>
      <c r="U859" s="28">
        <f t="shared" si="269"/>
        <v>6.110857899094551E-2</v>
      </c>
      <c r="V859" s="28">
        <f t="shared" si="269"/>
        <v>6.110857899094551E-2</v>
      </c>
      <c r="W859" s="28">
        <f t="shared" si="269"/>
        <v>6.110857899094551E-2</v>
      </c>
      <c r="X859" s="28">
        <f t="shared" si="269"/>
        <v>6.110857899094551E-2</v>
      </c>
      <c r="Y859" s="28">
        <f t="shared" si="269"/>
        <v>6.110857899094551E-2</v>
      </c>
      <c r="Z859" s="28">
        <f t="shared" si="269"/>
        <v>6.110857899094551E-2</v>
      </c>
      <c r="AA859" s="28">
        <f t="shared" si="269"/>
        <v>6.110857899094551E-2</v>
      </c>
      <c r="AB859" s="28">
        <f t="shared" si="269"/>
        <v>6.110857899094551E-2</v>
      </c>
      <c r="AC859" s="28">
        <f t="shared" si="269"/>
        <v>6.110857899094551E-2</v>
      </c>
      <c r="AD859" s="28">
        <f t="shared" si="269"/>
        <v>6.110857899094551E-2</v>
      </c>
      <c r="AE859" s="28">
        <f t="shared" si="269"/>
        <v>6.110857899094551E-2</v>
      </c>
      <c r="AF859" s="28">
        <f t="shared" si="269"/>
        <v>6.110857899094551E-2</v>
      </c>
      <c r="AG859" s="28">
        <f t="shared" si="269"/>
        <v>6.110857899094551E-2</v>
      </c>
      <c r="AH859" s="28">
        <f t="shared" si="269"/>
        <v>6.110857899094551E-2</v>
      </c>
      <c r="AI859" s="28">
        <f t="shared" si="269"/>
        <v>6.110857899094551E-2</v>
      </c>
      <c r="AJ859" s="28">
        <f t="shared" si="269"/>
        <v>6.110857899094551E-2</v>
      </c>
      <c r="AK859" s="28">
        <f t="shared" si="269"/>
        <v>6.110857899094551E-2</v>
      </c>
      <c r="AL859" s="28">
        <f t="shared" si="269"/>
        <v>6.110857899094551E-2</v>
      </c>
      <c r="AM859" s="28">
        <f t="shared" si="269"/>
        <v>6.110857899094551E-2</v>
      </c>
      <c r="AN859" s="28">
        <f t="shared" si="269"/>
        <v>6.110857899094551E-2</v>
      </c>
      <c r="AO859" s="28">
        <f t="shared" si="269"/>
        <v>6.110857899094551E-2</v>
      </c>
      <c r="AP859" s="28">
        <f t="shared" si="269"/>
        <v>6.110857899094551E-2</v>
      </c>
      <c r="AQ859" s="28">
        <f t="shared" si="269"/>
        <v>6.110857899094551E-2</v>
      </c>
      <c r="AR859" s="28">
        <f t="shared" si="269"/>
        <v>6.110857899094551E-2</v>
      </c>
      <c r="AS859" s="28">
        <f t="shared" si="269"/>
        <v>6.110857899094551E-2</v>
      </c>
      <c r="AT859" s="28">
        <f t="shared" si="269"/>
        <v>6.110857899094551E-2</v>
      </c>
      <c r="AU859" s="28">
        <f t="shared" si="269"/>
        <v>6.110857899094551E-2</v>
      </c>
      <c r="AV859" s="28">
        <f t="shared" si="269"/>
        <v>6.110857899094551E-2</v>
      </c>
      <c r="AW859" s="28">
        <f t="shared" si="269"/>
        <v>6.110857899094551E-2</v>
      </c>
      <c r="AY859" s="85"/>
      <c r="AZ859" s="85"/>
    </row>
    <row r="860" spans="1:52" x14ac:dyDescent="0.25">
      <c r="A860" s="102" t="str">
        <f t="shared" ref="A860:A914" si="270">B860&amp;" "&amp;C860</f>
        <v>BD FSOM</v>
      </c>
      <c r="B860" s="102" t="s">
        <v>1229</v>
      </c>
      <c r="C860" s="102" t="s">
        <v>60</v>
      </c>
      <c r="D860" t="s">
        <v>369</v>
      </c>
      <c r="E860" t="s">
        <v>55</v>
      </c>
      <c r="F860" t="s">
        <v>60</v>
      </c>
      <c r="G860" t="s">
        <v>1287</v>
      </c>
      <c r="H860" t="s">
        <v>1288</v>
      </c>
      <c r="J860" t="s">
        <v>287</v>
      </c>
      <c r="K860" s="28" t="str">
        <f t="shared" ref="K860:AW860" si="271">K1508</f>
        <v>NO</v>
      </c>
      <c r="L860" s="28" t="str">
        <f t="shared" si="271"/>
        <v>NO</v>
      </c>
      <c r="M860" s="28" t="str">
        <f t="shared" si="271"/>
        <v>NO</v>
      </c>
      <c r="N860" s="28" t="str">
        <f t="shared" si="271"/>
        <v>NO</v>
      </c>
      <c r="O860" s="28" t="str">
        <f t="shared" si="271"/>
        <v>NO</v>
      </c>
      <c r="P860" s="28" t="str">
        <f t="shared" si="271"/>
        <v>NO</v>
      </c>
      <c r="Q860" s="28" t="str">
        <f t="shared" si="271"/>
        <v>NO</v>
      </c>
      <c r="R860" s="28" t="str">
        <f t="shared" si="271"/>
        <v>NO</v>
      </c>
      <c r="S860" s="28" t="str">
        <f t="shared" si="271"/>
        <v>NO</v>
      </c>
      <c r="T860" s="28" t="str">
        <f t="shared" si="271"/>
        <v>NO</v>
      </c>
      <c r="U860" s="28" t="str">
        <f t="shared" si="271"/>
        <v>NO</v>
      </c>
      <c r="V860" s="28" t="str">
        <f t="shared" si="271"/>
        <v>NO</v>
      </c>
      <c r="W860" s="28" t="str">
        <f t="shared" si="271"/>
        <v>NO</v>
      </c>
      <c r="X860" s="28" t="str">
        <f t="shared" si="271"/>
        <v>NO</v>
      </c>
      <c r="Y860" s="28" t="str">
        <f t="shared" si="271"/>
        <v>NO</v>
      </c>
      <c r="Z860" s="28" t="str">
        <f t="shared" si="271"/>
        <v>NO</v>
      </c>
      <c r="AA860" s="28" t="str">
        <f t="shared" si="271"/>
        <v>NO</v>
      </c>
      <c r="AB860" s="28" t="str">
        <f t="shared" si="271"/>
        <v>NO</v>
      </c>
      <c r="AC860" s="28" t="str">
        <f t="shared" si="271"/>
        <v>NO</v>
      </c>
      <c r="AD860" s="28" t="str">
        <f t="shared" si="271"/>
        <v>NO</v>
      </c>
      <c r="AE860" s="28" t="str">
        <f t="shared" si="271"/>
        <v>NO</v>
      </c>
      <c r="AF860" s="28" t="str">
        <f t="shared" si="271"/>
        <v>NO</v>
      </c>
      <c r="AG860" s="28" t="str">
        <f t="shared" si="271"/>
        <v>NO</v>
      </c>
      <c r="AH860" s="28" t="str">
        <f t="shared" si="271"/>
        <v>NO</v>
      </c>
      <c r="AI860" s="28" t="str">
        <f t="shared" si="271"/>
        <v>NO</v>
      </c>
      <c r="AJ860" s="28" t="str">
        <f t="shared" si="271"/>
        <v>NO</v>
      </c>
      <c r="AK860" s="28" t="str">
        <f t="shared" si="271"/>
        <v>NO</v>
      </c>
      <c r="AL860" s="28" t="str">
        <f t="shared" si="271"/>
        <v>NO</v>
      </c>
      <c r="AM860" s="28" t="str">
        <f t="shared" si="271"/>
        <v>NO</v>
      </c>
      <c r="AN860" s="28" t="str">
        <f t="shared" si="271"/>
        <v>NO</v>
      </c>
      <c r="AO860" s="28" t="str">
        <f t="shared" si="271"/>
        <v>NO</v>
      </c>
      <c r="AP860" s="28" t="str">
        <f t="shared" si="271"/>
        <v>NO</v>
      </c>
      <c r="AQ860" s="28" t="str">
        <f t="shared" si="271"/>
        <v>NO</v>
      </c>
      <c r="AR860" s="28" t="str">
        <f t="shared" si="271"/>
        <v>NO</v>
      </c>
      <c r="AS860" s="28" t="str">
        <f t="shared" si="271"/>
        <v>NO</v>
      </c>
      <c r="AT860" s="28" t="str">
        <f t="shared" si="271"/>
        <v>NO</v>
      </c>
      <c r="AU860" s="28" t="str">
        <f t="shared" si="271"/>
        <v>NO</v>
      </c>
      <c r="AV860" s="28" t="str">
        <f t="shared" si="271"/>
        <v>NO</v>
      </c>
      <c r="AW860" s="28" t="str">
        <f t="shared" si="271"/>
        <v>NO</v>
      </c>
      <c r="AY860" s="85"/>
      <c r="AZ860" s="85"/>
    </row>
    <row r="861" spans="1:52" x14ac:dyDescent="0.25">
      <c r="A861" s="102" t="str">
        <f t="shared" si="270"/>
        <v>BD FSOM</v>
      </c>
      <c r="B861" s="102" t="s">
        <v>1229</v>
      </c>
      <c r="C861" s="102" t="s">
        <v>60</v>
      </c>
      <c r="D861" t="s">
        <v>369</v>
      </c>
      <c r="E861" t="s">
        <v>55</v>
      </c>
      <c r="F861" t="s">
        <v>60</v>
      </c>
      <c r="G861" t="s">
        <v>1289</v>
      </c>
      <c r="H861" t="s">
        <v>1290</v>
      </c>
      <c r="J861" t="s">
        <v>287</v>
      </c>
      <c r="K861" s="28">
        <f t="shared" ref="K861:AW861" si="272">K1509</f>
        <v>3.1961717215001131</v>
      </c>
      <c r="L861" s="28">
        <f t="shared" si="272"/>
        <v>3.1961717215001131</v>
      </c>
      <c r="M861" s="28">
        <f t="shared" si="272"/>
        <v>3.1961717215001131</v>
      </c>
      <c r="N861" s="28">
        <f t="shared" si="272"/>
        <v>3.1961717215001131</v>
      </c>
      <c r="O861" s="28">
        <f t="shared" si="272"/>
        <v>3.1961717215001131</v>
      </c>
      <c r="P861" s="28">
        <f t="shared" si="272"/>
        <v>3.1961717215001131</v>
      </c>
      <c r="Q861" s="28">
        <f t="shared" si="272"/>
        <v>3.1961717215001131</v>
      </c>
      <c r="R861" s="28">
        <f t="shared" si="272"/>
        <v>3.1961717215001131</v>
      </c>
      <c r="S861" s="28">
        <f t="shared" si="272"/>
        <v>3.1961717215001131</v>
      </c>
      <c r="T861" s="28">
        <f t="shared" si="272"/>
        <v>3.1961717215001131</v>
      </c>
      <c r="U861" s="28">
        <f t="shared" si="272"/>
        <v>3.1961717215001131</v>
      </c>
      <c r="V861" s="28">
        <f t="shared" si="272"/>
        <v>3.1961717215001131</v>
      </c>
      <c r="W861" s="28">
        <f t="shared" si="272"/>
        <v>3.1961717215001131</v>
      </c>
      <c r="X861" s="28">
        <f t="shared" si="272"/>
        <v>3.1961717215001131</v>
      </c>
      <c r="Y861" s="28">
        <f t="shared" si="272"/>
        <v>3.1961717215001131</v>
      </c>
      <c r="Z861" s="28">
        <f t="shared" si="272"/>
        <v>3.1961717215001131</v>
      </c>
      <c r="AA861" s="28">
        <f t="shared" si="272"/>
        <v>3.1961717215001131</v>
      </c>
      <c r="AB861" s="28">
        <f t="shared" si="272"/>
        <v>3.1961717215001131</v>
      </c>
      <c r="AC861" s="28">
        <f t="shared" si="272"/>
        <v>3.1961717215001131</v>
      </c>
      <c r="AD861" s="28">
        <f t="shared" si="272"/>
        <v>3.1961717215001131</v>
      </c>
      <c r="AE861" s="28">
        <f t="shared" si="272"/>
        <v>3.1961717215001131</v>
      </c>
      <c r="AF861" s="28">
        <f t="shared" si="272"/>
        <v>3.1961717215001131</v>
      </c>
      <c r="AG861" s="28">
        <f t="shared" si="272"/>
        <v>3.1961717215001131</v>
      </c>
      <c r="AH861" s="28">
        <f t="shared" si="272"/>
        <v>3.1961717215001131</v>
      </c>
      <c r="AI861" s="28">
        <f t="shared" si="272"/>
        <v>3.1961717215001131</v>
      </c>
      <c r="AJ861" s="28">
        <f t="shared" si="272"/>
        <v>3.1961717215001131</v>
      </c>
      <c r="AK861" s="28">
        <f t="shared" si="272"/>
        <v>3.1961717215001131</v>
      </c>
      <c r="AL861" s="28">
        <f t="shared" si="272"/>
        <v>3.1961717215001131</v>
      </c>
      <c r="AM861" s="28">
        <f t="shared" si="272"/>
        <v>3.1961717215001131</v>
      </c>
      <c r="AN861" s="28">
        <f t="shared" si="272"/>
        <v>3.1961717215001131</v>
      </c>
      <c r="AO861" s="28">
        <f t="shared" si="272"/>
        <v>3.1961717215001131</v>
      </c>
      <c r="AP861" s="28">
        <f t="shared" si="272"/>
        <v>3.1961717215001131</v>
      </c>
      <c r="AQ861" s="28">
        <f t="shared" si="272"/>
        <v>3.1961717215001131</v>
      </c>
      <c r="AR861" s="28">
        <f t="shared" si="272"/>
        <v>3.1961717215001131</v>
      </c>
      <c r="AS861" s="28">
        <f t="shared" si="272"/>
        <v>3.1961717215001131</v>
      </c>
      <c r="AT861" s="28">
        <f t="shared" si="272"/>
        <v>3.1961717215001131</v>
      </c>
      <c r="AU861" s="28">
        <f t="shared" si="272"/>
        <v>3.1961717215001131</v>
      </c>
      <c r="AV861" s="28">
        <f t="shared" si="272"/>
        <v>3.1961717215001131</v>
      </c>
      <c r="AW861" s="28">
        <f t="shared" si="272"/>
        <v>3.1961717215001131</v>
      </c>
      <c r="AY861" s="85"/>
      <c r="AZ861" s="85"/>
    </row>
    <row r="862" spans="1:52" x14ac:dyDescent="0.25">
      <c r="A862" s="102" t="str">
        <f t="shared" si="270"/>
        <v>BD Volatilisation</v>
      </c>
      <c r="B862" s="102" t="s">
        <v>1229</v>
      </c>
      <c r="C862" s="102" t="s">
        <v>62</v>
      </c>
      <c r="D862" t="s">
        <v>369</v>
      </c>
      <c r="E862" t="s">
        <v>61</v>
      </c>
      <c r="F862" t="s">
        <v>62</v>
      </c>
      <c r="G862" t="s">
        <v>435</v>
      </c>
      <c r="H862" t="s">
        <v>1185</v>
      </c>
      <c r="I862" t="s">
        <v>139</v>
      </c>
      <c r="J862" t="s">
        <v>287</v>
      </c>
      <c r="K862" s="28">
        <f t="shared" ref="K862:AW862" si="273">K1510</f>
        <v>0.66064812063358536</v>
      </c>
      <c r="L862" s="28">
        <f t="shared" si="273"/>
        <v>0.66055332632324659</v>
      </c>
      <c r="M862" s="28">
        <f t="shared" si="273"/>
        <v>0.66042378924026446</v>
      </c>
      <c r="N862" s="28">
        <f t="shared" si="273"/>
        <v>0.66032976249569819</v>
      </c>
      <c r="O862" s="28">
        <f t="shared" si="273"/>
        <v>0.66028397217143464</v>
      </c>
      <c r="P862" s="28">
        <f t="shared" si="273"/>
        <v>0.66023877667619957</v>
      </c>
      <c r="Q862" s="28">
        <f t="shared" si="273"/>
        <v>0.66017040685586048</v>
      </c>
      <c r="R862" s="28">
        <f t="shared" si="273"/>
        <v>0.66009555191940106</v>
      </c>
      <c r="S862" s="28">
        <f t="shared" si="273"/>
        <v>0.66007105452260206</v>
      </c>
      <c r="T862" s="28">
        <f t="shared" si="273"/>
        <v>0.6605210320148045</v>
      </c>
      <c r="U862" s="28">
        <f t="shared" si="273"/>
        <v>0.66038066881148649</v>
      </c>
      <c r="V862" s="28">
        <f t="shared" si="273"/>
        <v>0.660254471504373</v>
      </c>
      <c r="W862" s="28">
        <f t="shared" si="273"/>
        <v>0.66012944407562835</v>
      </c>
      <c r="X862" s="28">
        <f t="shared" si="273"/>
        <v>0.65998592560706049</v>
      </c>
      <c r="Y862" s="28">
        <f t="shared" si="273"/>
        <v>0.65984396481179586</v>
      </c>
      <c r="Z862" s="28">
        <f t="shared" si="273"/>
        <v>0.65970003432051683</v>
      </c>
      <c r="AA862" s="28">
        <f t="shared" si="273"/>
        <v>0.65956223028685135</v>
      </c>
      <c r="AB862" s="28">
        <f t="shared" si="273"/>
        <v>0.65941853622185975</v>
      </c>
      <c r="AC862" s="28">
        <f t="shared" si="273"/>
        <v>0.65928505403904103</v>
      </c>
      <c r="AD862" s="28">
        <f t="shared" si="273"/>
        <v>0.65915038110737934</v>
      </c>
      <c r="AE862" s="28">
        <f t="shared" si="273"/>
        <v>0.65899366744546872</v>
      </c>
      <c r="AF862" s="28">
        <f t="shared" si="273"/>
        <v>0.65882822576482969</v>
      </c>
      <c r="AG862" s="28">
        <f t="shared" si="273"/>
        <v>0.65866069718802811</v>
      </c>
      <c r="AH862" s="28">
        <f t="shared" si="273"/>
        <v>0.65862744996812317</v>
      </c>
      <c r="AI862" s="28">
        <f t="shared" si="273"/>
        <v>0.67244352177988753</v>
      </c>
      <c r="AJ862" s="28">
        <f t="shared" si="273"/>
        <v>0.67246796459520652</v>
      </c>
      <c r="AK862" s="28">
        <f t="shared" si="273"/>
        <v>0.67249266471091262</v>
      </c>
      <c r="AL862" s="28">
        <f t="shared" si="273"/>
        <v>0.6725176256716463</v>
      </c>
      <c r="AM862" s="28">
        <f t="shared" si="273"/>
        <v>0.67254285108872014</v>
      </c>
      <c r="AN862" s="28">
        <f t="shared" si="273"/>
        <v>0.67256834464178161</v>
      </c>
      <c r="AO862" s="28">
        <f t="shared" si="273"/>
        <v>0.67259019731905478</v>
      </c>
      <c r="AP862" s="28">
        <f t="shared" si="273"/>
        <v>0.67261224822219834</v>
      </c>
      <c r="AQ862" s="28">
        <f t="shared" si="273"/>
        <v>0.67263449972304945</v>
      </c>
      <c r="AR862" s="28">
        <f t="shared" si="273"/>
        <v>0.67265695423235672</v>
      </c>
      <c r="AS862" s="28">
        <f t="shared" si="273"/>
        <v>0.67267961420062661</v>
      </c>
      <c r="AT862" s="28">
        <f t="shared" si="273"/>
        <v>0.67269840467448694</v>
      </c>
      <c r="AU862" s="28">
        <f t="shared" si="273"/>
        <v>0.67271733718738858</v>
      </c>
      <c r="AV862" s="28">
        <f t="shared" si="273"/>
        <v>0.67273641316511901</v>
      </c>
      <c r="AW862" s="28">
        <f t="shared" si="273"/>
        <v>0.67275563405315475</v>
      </c>
      <c r="AY862" s="85"/>
      <c r="AZ862" s="85"/>
    </row>
    <row r="863" spans="1:52" x14ac:dyDescent="0.25">
      <c r="A863" s="102" t="str">
        <f t="shared" si="270"/>
        <v>BD Volatilisation</v>
      </c>
      <c r="B863" s="102" t="s">
        <v>1229</v>
      </c>
      <c r="C863" s="102" t="s">
        <v>62</v>
      </c>
      <c r="D863" t="s">
        <v>369</v>
      </c>
      <c r="E863" t="s">
        <v>61</v>
      </c>
      <c r="F863" t="s">
        <v>62</v>
      </c>
      <c r="G863" t="s">
        <v>436</v>
      </c>
      <c r="H863" t="s">
        <v>1186</v>
      </c>
      <c r="I863" t="s">
        <v>139</v>
      </c>
      <c r="J863" t="s">
        <v>287</v>
      </c>
      <c r="K863" s="28">
        <f t="shared" ref="K863:AW863" si="274">K1511</f>
        <v>8.720555192363328E-3</v>
      </c>
      <c r="L863" s="28">
        <f t="shared" si="274"/>
        <v>8.7193039074668528E-3</v>
      </c>
      <c r="M863" s="28">
        <f t="shared" si="274"/>
        <v>8.7175940179714945E-3</v>
      </c>
      <c r="N863" s="28">
        <f t="shared" si="274"/>
        <v>8.7163528649432196E-3</v>
      </c>
      <c r="O863" s="28">
        <f t="shared" si="274"/>
        <v>8.7157484326629356E-3</v>
      </c>
      <c r="P863" s="28">
        <f t="shared" si="274"/>
        <v>8.715151852125836E-3</v>
      </c>
      <c r="Q863" s="28">
        <f t="shared" si="274"/>
        <v>8.7142493704973605E-3</v>
      </c>
      <c r="R863" s="28">
        <f t="shared" si="274"/>
        <v>8.713261285336095E-3</v>
      </c>
      <c r="S863" s="28">
        <f t="shared" si="274"/>
        <v>8.7129379196983492E-3</v>
      </c>
      <c r="T863" s="28">
        <f t="shared" si="274"/>
        <v>8.7188776225954213E-3</v>
      </c>
      <c r="U863" s="28">
        <f t="shared" si="274"/>
        <v>8.7170248283116227E-3</v>
      </c>
      <c r="V863" s="28">
        <f t="shared" si="274"/>
        <v>8.7153590238577237E-3</v>
      </c>
      <c r="W863" s="28">
        <f t="shared" si="274"/>
        <v>8.7137086617982938E-3</v>
      </c>
      <c r="X863" s="28">
        <f t="shared" si="274"/>
        <v>8.7118142180131995E-3</v>
      </c>
      <c r="Y863" s="28">
        <f t="shared" si="274"/>
        <v>8.7099403355157048E-3</v>
      </c>
      <c r="Z863" s="28">
        <f t="shared" si="274"/>
        <v>8.7080404530308231E-3</v>
      </c>
      <c r="AA863" s="28">
        <f t="shared" si="274"/>
        <v>8.7062214397864383E-3</v>
      </c>
      <c r="AB863" s="28">
        <f t="shared" si="274"/>
        <v>8.704324678128551E-3</v>
      </c>
      <c r="AC863" s="28">
        <f t="shared" si="274"/>
        <v>8.7025627133153448E-3</v>
      </c>
      <c r="AD863" s="28">
        <f t="shared" si="274"/>
        <v>8.7007850306174105E-3</v>
      </c>
      <c r="AE863" s="28">
        <f t="shared" si="274"/>
        <v>8.698716410280187E-3</v>
      </c>
      <c r="AF863" s="28">
        <f t="shared" si="274"/>
        <v>8.6965325800957543E-3</v>
      </c>
      <c r="AG863" s="28">
        <f t="shared" si="274"/>
        <v>8.694321202881973E-3</v>
      </c>
      <c r="AH863" s="28">
        <f t="shared" si="274"/>
        <v>8.6938823395792293E-3</v>
      </c>
      <c r="AI863" s="28">
        <f t="shared" si="274"/>
        <v>8.8762544874945153E-3</v>
      </c>
      <c r="AJ863" s="28">
        <f t="shared" si="274"/>
        <v>8.876577132656726E-3</v>
      </c>
      <c r="AK863" s="28">
        <f t="shared" si="274"/>
        <v>8.8769031741840459E-3</v>
      </c>
      <c r="AL863" s="28">
        <f t="shared" si="274"/>
        <v>8.8772326588657333E-3</v>
      </c>
      <c r="AM863" s="28">
        <f t="shared" si="274"/>
        <v>8.8775656343711064E-3</v>
      </c>
      <c r="AN863" s="28">
        <f t="shared" si="274"/>
        <v>8.877902149271517E-3</v>
      </c>
      <c r="AO863" s="28">
        <f t="shared" si="274"/>
        <v>8.8781906046115251E-3</v>
      </c>
      <c r="AP863" s="28">
        <f t="shared" si="274"/>
        <v>8.8784816765330177E-3</v>
      </c>
      <c r="AQ863" s="28">
        <f t="shared" si="274"/>
        <v>8.8787753963442528E-3</v>
      </c>
      <c r="AR863" s="28">
        <f t="shared" si="274"/>
        <v>8.8790717958671054E-3</v>
      </c>
      <c r="AS863" s="28">
        <f t="shared" si="274"/>
        <v>8.8793709074482721E-3</v>
      </c>
      <c r="AT863" s="28">
        <f t="shared" si="274"/>
        <v>8.8796189417032281E-3</v>
      </c>
      <c r="AU863" s="28">
        <f t="shared" si="274"/>
        <v>8.8798688508735287E-3</v>
      </c>
      <c r="AV863" s="28">
        <f t="shared" si="274"/>
        <v>8.8801206537795687E-3</v>
      </c>
      <c r="AW863" s="28">
        <f t="shared" si="274"/>
        <v>8.8803743695016445E-3</v>
      </c>
      <c r="AY863" s="85"/>
      <c r="AZ863" s="85"/>
    </row>
    <row r="864" spans="1:52" x14ac:dyDescent="0.25">
      <c r="A864" s="102" t="str">
        <f t="shared" si="270"/>
        <v>BD Volatilisation</v>
      </c>
      <c r="B864" s="102" t="s">
        <v>1229</v>
      </c>
      <c r="C864" s="102" t="s">
        <v>62</v>
      </c>
      <c r="D864" t="s">
        <v>369</v>
      </c>
      <c r="E864" t="s">
        <v>61</v>
      </c>
      <c r="F864" t="s">
        <v>62</v>
      </c>
      <c r="G864" t="s">
        <v>437</v>
      </c>
      <c r="H864" t="s">
        <v>1187</v>
      </c>
      <c r="I864" t="s">
        <v>139</v>
      </c>
      <c r="J864" t="s">
        <v>287</v>
      </c>
      <c r="K864" s="28">
        <f t="shared" ref="K864:AW864" si="275">K1512</f>
        <v>1.2093332917192059</v>
      </c>
      <c r="L864" s="28">
        <f t="shared" si="275"/>
        <v>1.212549014194676</v>
      </c>
      <c r="M864" s="28">
        <f t="shared" si="275"/>
        <v>1.2080675975352919</v>
      </c>
      <c r="N864" s="28">
        <f t="shared" si="275"/>
        <v>1.1932021188168924</v>
      </c>
      <c r="O864" s="28">
        <f t="shared" si="275"/>
        <v>1.1789615688677482</v>
      </c>
      <c r="P864" s="28">
        <f t="shared" si="275"/>
        <v>1.1704734210058418</v>
      </c>
      <c r="Q864" s="28">
        <f t="shared" si="275"/>
        <v>1.1638691365373428</v>
      </c>
      <c r="R864" s="28">
        <f t="shared" si="275"/>
        <v>1.1469007270703131</v>
      </c>
      <c r="S864" s="28">
        <f t="shared" si="275"/>
        <v>1.0343013809056243</v>
      </c>
      <c r="T864" s="28">
        <f t="shared" si="275"/>
        <v>1.0481909256150905</v>
      </c>
      <c r="U864" s="28">
        <f t="shared" si="275"/>
        <v>1.0595148748541463</v>
      </c>
      <c r="V864" s="28">
        <f t="shared" si="275"/>
        <v>1.0708200492308082</v>
      </c>
      <c r="W864" s="28">
        <f t="shared" si="275"/>
        <v>1.0860105374840394</v>
      </c>
      <c r="X864" s="28">
        <f t="shared" si="275"/>
        <v>1.1011136627598048</v>
      </c>
      <c r="Y864" s="28">
        <f t="shared" si="275"/>
        <v>1.1168753754822469</v>
      </c>
      <c r="Z864" s="28">
        <f t="shared" si="275"/>
        <v>1.1316116174141071</v>
      </c>
      <c r="AA864" s="28">
        <f t="shared" si="275"/>
        <v>1.1477472664244306</v>
      </c>
      <c r="AB864" s="28">
        <f t="shared" si="275"/>
        <v>1.162000977077071</v>
      </c>
      <c r="AC864" s="28">
        <f t="shared" si="275"/>
        <v>1.1766850766989885</v>
      </c>
      <c r="AD864" s="28">
        <f t="shared" si="275"/>
        <v>1.1920390141813535</v>
      </c>
      <c r="AE864" s="28">
        <f t="shared" si="275"/>
        <v>1.209291621864601</v>
      </c>
      <c r="AF864" s="28">
        <f t="shared" si="275"/>
        <v>1.2270828646029268</v>
      </c>
      <c r="AG864" s="28">
        <f t="shared" si="275"/>
        <v>1.2169487802084893</v>
      </c>
      <c r="AH864" s="28">
        <f t="shared" si="275"/>
        <v>-0.11188522139136049</v>
      </c>
      <c r="AI864" s="28">
        <f t="shared" si="275"/>
        <v>-0.10923992354699982</v>
      </c>
      <c r="AJ864" s="28">
        <f t="shared" si="275"/>
        <v>-0.10664295801578709</v>
      </c>
      <c r="AK864" s="28">
        <f t="shared" si="275"/>
        <v>-0.10409179637304686</v>
      </c>
      <c r="AL864" s="28">
        <f t="shared" si="275"/>
        <v>-0.10158408786075553</v>
      </c>
      <c r="AM864" s="28">
        <f t="shared" si="275"/>
        <v>-9.911764281122247E-2</v>
      </c>
      <c r="AN864" s="28">
        <f t="shared" si="275"/>
        <v>-9.7051147987208763E-2</v>
      </c>
      <c r="AO864" s="28">
        <f t="shared" si="275"/>
        <v>-9.5020146872529937E-2</v>
      </c>
      <c r="AP864" s="28">
        <f t="shared" si="275"/>
        <v>-9.3023012126499452E-2</v>
      </c>
      <c r="AQ864" s="28">
        <f t="shared" si="275"/>
        <v>-9.1058219239636279E-2</v>
      </c>
      <c r="AR864" s="28">
        <f t="shared" si="275"/>
        <v>-8.9124337939456066E-2</v>
      </c>
      <c r="AS864" s="28">
        <f t="shared" si="275"/>
        <v>-8.7091918156742387E-2</v>
      </c>
      <c r="AT864" s="28">
        <f t="shared" si="275"/>
        <v>-8.5090852576232723E-2</v>
      </c>
      <c r="AU864" s="28">
        <f t="shared" si="275"/>
        <v>-8.3119887513720792E-2</v>
      </c>
      <c r="AV864" s="28">
        <f t="shared" si="275"/>
        <v>-8.1177840815191041E-2</v>
      </c>
      <c r="AW864" s="28">
        <f t="shared" si="275"/>
        <v>-7.9263596467564895E-2</v>
      </c>
      <c r="AY864" s="85"/>
      <c r="AZ864" s="85"/>
    </row>
    <row r="865" spans="1:52" x14ac:dyDescent="0.25">
      <c r="A865" s="102" t="str">
        <f t="shared" si="270"/>
        <v>BD Volatilisation</v>
      </c>
      <c r="B865" s="102" t="s">
        <v>1229</v>
      </c>
      <c r="C865" s="102" t="s">
        <v>62</v>
      </c>
      <c r="D865" t="s">
        <v>369</v>
      </c>
      <c r="E865" t="s">
        <v>61</v>
      </c>
      <c r="F865" t="s">
        <v>62</v>
      </c>
      <c r="G865" t="s">
        <v>438</v>
      </c>
      <c r="H865" t="s">
        <v>1266</v>
      </c>
      <c r="I865" t="s">
        <v>139</v>
      </c>
      <c r="J865" t="s">
        <v>287</v>
      </c>
      <c r="K865" s="28">
        <f t="shared" ref="K865:AW865" si="276">K1513</f>
        <v>4.4200208339270741</v>
      </c>
      <c r="L865" s="28">
        <f t="shared" si="276"/>
        <v>4.4063497224338981</v>
      </c>
      <c r="M865" s="28">
        <f t="shared" si="276"/>
        <v>4.3748236308422763</v>
      </c>
      <c r="N865" s="28">
        <f t="shared" si="276"/>
        <v>4.3194633293945399</v>
      </c>
      <c r="O865" s="28">
        <f t="shared" si="276"/>
        <v>4.2670975633063994</v>
      </c>
      <c r="P865" s="28">
        <f t="shared" si="276"/>
        <v>4.2296870830077653</v>
      </c>
      <c r="Q865" s="28">
        <f t="shared" si="276"/>
        <v>4.1973003663588617</v>
      </c>
      <c r="R865" s="28">
        <f t="shared" si="276"/>
        <v>4.1416337219460111</v>
      </c>
      <c r="S865" s="28">
        <f t="shared" si="276"/>
        <v>3.8694283391195556</v>
      </c>
      <c r="T865" s="28">
        <f t="shared" si="276"/>
        <v>3.892690707807458</v>
      </c>
      <c r="U865" s="28">
        <f t="shared" si="276"/>
        <v>3.910223559811274</v>
      </c>
      <c r="V865" s="28">
        <f t="shared" si="276"/>
        <v>3.9277946028277135</v>
      </c>
      <c r="W865" s="28">
        <f t="shared" si="276"/>
        <v>3.9540546968376762</v>
      </c>
      <c r="X865" s="28">
        <f t="shared" si="276"/>
        <v>3.9800525826427466</v>
      </c>
      <c r="Y865" s="28">
        <f t="shared" si="276"/>
        <v>4.0052503163811615</v>
      </c>
      <c r="Z865" s="28">
        <f t="shared" si="276"/>
        <v>4.0280715770679869</v>
      </c>
      <c r="AA865" s="28">
        <f t="shared" si="276"/>
        <v>4.0537990986432781</v>
      </c>
      <c r="AB865" s="28">
        <f t="shared" si="276"/>
        <v>4.0752877726899488</v>
      </c>
      <c r="AC865" s="28">
        <f t="shared" si="276"/>
        <v>4.0975518352324007</v>
      </c>
      <c r="AD865" s="28">
        <f t="shared" si="276"/>
        <v>4.1101837888002137</v>
      </c>
      <c r="AE865" s="28">
        <f t="shared" si="276"/>
        <v>4.1260897941446899</v>
      </c>
      <c r="AF865" s="28">
        <f t="shared" si="276"/>
        <v>4.1422931340887423</v>
      </c>
      <c r="AG865" s="28">
        <f t="shared" si="276"/>
        <v>4.1002928018965292</v>
      </c>
      <c r="AH865" s="28">
        <f t="shared" si="276"/>
        <v>1.3815874291099948</v>
      </c>
      <c r="AI865" s="28">
        <f t="shared" si="276"/>
        <v>1.3949306414379468</v>
      </c>
      <c r="AJ865" s="28">
        <f t="shared" si="276"/>
        <v>1.4082841741429419</v>
      </c>
      <c r="AK865" s="28">
        <f t="shared" si="276"/>
        <v>1.4216501520712144</v>
      </c>
      <c r="AL865" s="28">
        <f t="shared" si="276"/>
        <v>1.4350306139589808</v>
      </c>
      <c r="AM865" s="28">
        <f t="shared" si="276"/>
        <v>1.4484275190090183</v>
      </c>
      <c r="AN865" s="28">
        <f t="shared" si="276"/>
        <v>1.4583849717914823</v>
      </c>
      <c r="AO865" s="28">
        <f t="shared" si="276"/>
        <v>1.4683627043177812</v>
      </c>
      <c r="AP865" s="28">
        <f t="shared" si="276"/>
        <v>1.4783612830909323</v>
      </c>
      <c r="AQ865" s="28">
        <f t="shared" si="276"/>
        <v>1.4883812733334345</v>
      </c>
      <c r="AR865" s="28">
        <f t="shared" si="276"/>
        <v>1.4984232382688703</v>
      </c>
      <c r="AS865" s="28">
        <f t="shared" si="276"/>
        <v>1.5071704030997894</v>
      </c>
      <c r="AT865" s="28">
        <f t="shared" si="276"/>
        <v>1.5159247272983905</v>
      </c>
      <c r="AU865" s="28">
        <f t="shared" si="276"/>
        <v>1.5246866021590828</v>
      </c>
      <c r="AV865" s="28">
        <f t="shared" si="276"/>
        <v>1.5334564173590695</v>
      </c>
      <c r="AW865" s="28">
        <f t="shared" si="276"/>
        <v>1.5422345604898144</v>
      </c>
      <c r="AY865" s="85"/>
      <c r="AZ865" s="85"/>
    </row>
    <row r="866" spans="1:52" x14ac:dyDescent="0.25">
      <c r="A866" s="102" t="str">
        <f t="shared" si="270"/>
        <v>BD Leaching</v>
      </c>
      <c r="B866" s="102" t="s">
        <v>1229</v>
      </c>
      <c r="C866" s="102" t="s">
        <v>1191</v>
      </c>
      <c r="D866" t="s">
        <v>369</v>
      </c>
      <c r="E866" t="s">
        <v>61</v>
      </c>
      <c r="F866" t="s">
        <v>63</v>
      </c>
      <c r="G866" t="s">
        <v>435</v>
      </c>
      <c r="H866" t="s">
        <v>1188</v>
      </c>
      <c r="I866" t="s">
        <v>139</v>
      </c>
      <c r="J866" t="s">
        <v>287</v>
      </c>
      <c r="K866" s="28">
        <f t="shared" ref="K866:AW866" si="277">K1514</f>
        <v>2.2792360161858692E-4</v>
      </c>
      <c r="L866" s="28">
        <f t="shared" si="277"/>
        <v>2.2789089758152E-4</v>
      </c>
      <c r="M866" s="28">
        <f t="shared" si="277"/>
        <v>2.2784620728789122E-4</v>
      </c>
      <c r="N866" s="28">
        <f t="shared" si="277"/>
        <v>2.2781376806101585E-4</v>
      </c>
      <c r="O866" s="28">
        <f t="shared" si="277"/>
        <v>2.277979703991449E-4</v>
      </c>
      <c r="P866" s="28">
        <f t="shared" si="277"/>
        <v>2.2778237795328883E-4</v>
      </c>
      <c r="Q866" s="28">
        <f t="shared" si="277"/>
        <v>2.2775879036527182E-4</v>
      </c>
      <c r="R866" s="28">
        <f t="shared" si="277"/>
        <v>2.2773296541219322E-4</v>
      </c>
      <c r="S866" s="28">
        <f t="shared" si="277"/>
        <v>2.2772451381029767E-4</v>
      </c>
      <c r="T866" s="28">
        <f t="shared" si="277"/>
        <v>2.2787975604510752E-4</v>
      </c>
      <c r="U866" s="28">
        <f t="shared" si="277"/>
        <v>2.2783133073996282E-4</v>
      </c>
      <c r="V866" s="28">
        <f t="shared" si="277"/>
        <v>2.2778779266900863E-4</v>
      </c>
      <c r="W866" s="28">
        <f t="shared" si="277"/>
        <v>2.2774465820609167E-4</v>
      </c>
      <c r="X866" s="28">
        <f t="shared" si="277"/>
        <v>2.2769514433443585E-4</v>
      </c>
      <c r="Y866" s="28">
        <f t="shared" si="277"/>
        <v>2.2764616786006951E-4</v>
      </c>
      <c r="Z866" s="28">
        <f t="shared" si="277"/>
        <v>2.2759651184057824E-4</v>
      </c>
      <c r="AA866" s="28">
        <f t="shared" si="277"/>
        <v>2.2754896944896373E-4</v>
      </c>
      <c r="AB866" s="28">
        <f t="shared" si="277"/>
        <v>2.2749939499654159E-4</v>
      </c>
      <c r="AC866" s="28">
        <f t="shared" si="277"/>
        <v>2.2745334364346914E-4</v>
      </c>
      <c r="AD866" s="28">
        <f t="shared" si="277"/>
        <v>2.2740688148204587E-4</v>
      </c>
      <c r="AE866" s="28">
        <f t="shared" si="277"/>
        <v>2.2735281526868665E-4</v>
      </c>
      <c r="AF866" s="28">
        <f t="shared" si="277"/>
        <v>2.2729573788886622E-4</v>
      </c>
      <c r="AG866" s="28">
        <f t="shared" si="277"/>
        <v>2.2723794052986968E-4</v>
      </c>
      <c r="AH866" s="28">
        <f t="shared" si="277"/>
        <v>2.2722647023900249E-4</v>
      </c>
      <c r="AI866" s="28">
        <f t="shared" si="277"/>
        <v>2.3199301501406117E-4</v>
      </c>
      <c r="AJ866" s="28">
        <f t="shared" si="277"/>
        <v>2.3200144778534623E-4</v>
      </c>
      <c r="AK866" s="28">
        <f t="shared" si="277"/>
        <v>2.3200996932526481E-4</v>
      </c>
      <c r="AL866" s="28">
        <f t="shared" si="277"/>
        <v>2.3201858085671791E-4</v>
      </c>
      <c r="AM866" s="28">
        <f t="shared" si="277"/>
        <v>2.3202728362560843E-4</v>
      </c>
      <c r="AN866" s="28">
        <f t="shared" si="277"/>
        <v>2.3203607890141459E-4</v>
      </c>
      <c r="AO866" s="28">
        <f t="shared" si="277"/>
        <v>2.3204361807507387E-4</v>
      </c>
      <c r="AP866" s="28">
        <f t="shared" si="277"/>
        <v>2.3205122563665836E-4</v>
      </c>
      <c r="AQ866" s="28">
        <f t="shared" si="277"/>
        <v>2.3205890240445205E-4</v>
      </c>
      <c r="AR866" s="28">
        <f t="shared" si="277"/>
        <v>2.3206664921016296E-4</v>
      </c>
      <c r="AS866" s="28">
        <f t="shared" si="277"/>
        <v>2.3207446689921618E-4</v>
      </c>
      <c r="AT866" s="28">
        <f t="shared" si="277"/>
        <v>2.3208094961269798E-4</v>
      </c>
      <c r="AU866" s="28">
        <f t="shared" si="277"/>
        <v>2.3208748132964898E-4</v>
      </c>
      <c r="AV866" s="28">
        <f t="shared" si="277"/>
        <v>2.3209406254196601E-4</v>
      </c>
      <c r="AW866" s="28">
        <f t="shared" si="277"/>
        <v>2.3210069374833838E-4</v>
      </c>
      <c r="AY866" s="85"/>
      <c r="AZ866" s="85"/>
    </row>
    <row r="867" spans="1:52" x14ac:dyDescent="0.25">
      <c r="A867" s="102" t="str">
        <f t="shared" si="270"/>
        <v>BD Leaching</v>
      </c>
      <c r="B867" s="102" t="s">
        <v>1229</v>
      </c>
      <c r="C867" s="102" t="s">
        <v>1191</v>
      </c>
      <c r="D867" t="s">
        <v>369</v>
      </c>
      <c r="E867" t="s">
        <v>61</v>
      </c>
      <c r="F867" t="s">
        <v>63</v>
      </c>
      <c r="G867" t="s">
        <v>436</v>
      </c>
      <c r="H867" t="s">
        <v>1189</v>
      </c>
      <c r="I867" t="s">
        <v>139</v>
      </c>
      <c r="J867" t="s">
        <v>287</v>
      </c>
      <c r="K867" s="28">
        <f t="shared" ref="K867:AW867" si="278">K1515</f>
        <v>1.5042957706826741E-6</v>
      </c>
      <c r="L867" s="28">
        <f t="shared" si="278"/>
        <v>1.5040799240380321E-6</v>
      </c>
      <c r="M867" s="28">
        <f t="shared" si="278"/>
        <v>1.5037849681000825E-6</v>
      </c>
      <c r="N867" s="28">
        <f t="shared" si="278"/>
        <v>1.5035708692027049E-6</v>
      </c>
      <c r="O867" s="28">
        <f t="shared" si="278"/>
        <v>1.5034666046343562E-6</v>
      </c>
      <c r="P867" s="28">
        <f t="shared" si="278"/>
        <v>1.5033636944917065E-6</v>
      </c>
      <c r="Q867" s="28">
        <f t="shared" si="278"/>
        <v>1.5032080164107946E-6</v>
      </c>
      <c r="R867" s="28">
        <f t="shared" si="278"/>
        <v>1.5030375717204757E-6</v>
      </c>
      <c r="S867" s="28">
        <f t="shared" si="278"/>
        <v>1.5029817911479652E-6</v>
      </c>
      <c r="T867" s="28">
        <f t="shared" si="278"/>
        <v>1.5040063898977102E-6</v>
      </c>
      <c r="U867" s="28">
        <f t="shared" si="278"/>
        <v>1.503686782883755E-6</v>
      </c>
      <c r="V867" s="28">
        <f t="shared" si="278"/>
        <v>1.5033994316154569E-6</v>
      </c>
      <c r="W867" s="28">
        <f t="shared" si="278"/>
        <v>1.5031147441602057E-6</v>
      </c>
      <c r="X867" s="28">
        <f t="shared" si="278"/>
        <v>1.5027879526072768E-6</v>
      </c>
      <c r="Y867" s="28">
        <f t="shared" si="278"/>
        <v>1.5024647078764589E-6</v>
      </c>
      <c r="Z867" s="28">
        <f t="shared" si="278"/>
        <v>1.5021369781478169E-6</v>
      </c>
      <c r="AA867" s="28">
        <f t="shared" si="278"/>
        <v>1.5018231983631605E-6</v>
      </c>
      <c r="AB867" s="28">
        <f t="shared" si="278"/>
        <v>1.5014960069771748E-6</v>
      </c>
      <c r="AC867" s="28">
        <f t="shared" si="278"/>
        <v>1.5011920680468966E-6</v>
      </c>
      <c r="AD867" s="28">
        <f t="shared" si="278"/>
        <v>1.5008854177815029E-6</v>
      </c>
      <c r="AE867" s="28">
        <f t="shared" si="278"/>
        <v>1.5005285807733322E-6</v>
      </c>
      <c r="AF867" s="28">
        <f t="shared" si="278"/>
        <v>1.5001518700665174E-6</v>
      </c>
      <c r="AG867" s="28">
        <f t="shared" si="278"/>
        <v>1.4997704074971401E-6</v>
      </c>
      <c r="AH867" s="28">
        <f t="shared" si="278"/>
        <v>1.4996947035774166E-6</v>
      </c>
      <c r="AI867" s="28">
        <f t="shared" si="278"/>
        <v>1.5311538990928041E-6</v>
      </c>
      <c r="AJ867" s="28">
        <f t="shared" si="278"/>
        <v>1.531209555383285E-6</v>
      </c>
      <c r="AK867" s="28">
        <f t="shared" si="278"/>
        <v>1.5312657975467479E-6</v>
      </c>
      <c r="AL867" s="28">
        <f t="shared" si="278"/>
        <v>1.5313226336543386E-6</v>
      </c>
      <c r="AM867" s="28">
        <f t="shared" si="278"/>
        <v>1.5313800719290159E-6</v>
      </c>
      <c r="AN867" s="28">
        <f t="shared" si="278"/>
        <v>1.5314381207493371E-6</v>
      </c>
      <c r="AO867" s="28">
        <f t="shared" si="278"/>
        <v>1.5314878792954879E-6</v>
      </c>
      <c r="AP867" s="28">
        <f t="shared" si="278"/>
        <v>1.5315380892019456E-6</v>
      </c>
      <c r="AQ867" s="28">
        <f t="shared" si="278"/>
        <v>1.5315887558693837E-6</v>
      </c>
      <c r="AR867" s="28">
        <f t="shared" si="278"/>
        <v>1.5316398847870756E-6</v>
      </c>
      <c r="AS867" s="28">
        <f t="shared" si="278"/>
        <v>1.5316914815348266E-6</v>
      </c>
      <c r="AT867" s="28">
        <f t="shared" si="278"/>
        <v>1.5317342674438069E-6</v>
      </c>
      <c r="AU867" s="28">
        <f t="shared" si="278"/>
        <v>1.531777376775684E-6</v>
      </c>
      <c r="AV867" s="28">
        <f t="shared" si="278"/>
        <v>1.5318208127769759E-6</v>
      </c>
      <c r="AW867" s="28">
        <f t="shared" si="278"/>
        <v>1.5318645787390334E-6</v>
      </c>
      <c r="AY867" s="85"/>
      <c r="AZ867" s="85"/>
    </row>
    <row r="868" spans="1:52" x14ac:dyDescent="0.25">
      <c r="A868" s="102" t="str">
        <f t="shared" si="270"/>
        <v>BD Leaching</v>
      </c>
      <c r="B868" s="102" t="s">
        <v>1229</v>
      </c>
      <c r="C868" s="102" t="s">
        <v>1191</v>
      </c>
      <c r="D868" t="s">
        <v>369</v>
      </c>
      <c r="E868" t="s">
        <v>61</v>
      </c>
      <c r="F868" t="s">
        <v>63</v>
      </c>
      <c r="G868" t="s">
        <v>437</v>
      </c>
      <c r="H868" t="s">
        <v>1190</v>
      </c>
      <c r="I868" t="s">
        <v>139</v>
      </c>
      <c r="J868" t="s">
        <v>287</v>
      </c>
      <c r="K868" s="28">
        <f t="shared" ref="K868:AW868" si="279">K1516</f>
        <v>0.20860999282156298</v>
      </c>
      <c r="L868" s="28">
        <f t="shared" si="279"/>
        <v>0.20916470494858161</v>
      </c>
      <c r="M868" s="28">
        <f t="shared" si="279"/>
        <v>0.20839166057483782</v>
      </c>
      <c r="N868" s="28">
        <f t="shared" si="279"/>
        <v>0.20582736549591388</v>
      </c>
      <c r="O868" s="28">
        <f t="shared" si="279"/>
        <v>0.20337087062968656</v>
      </c>
      <c r="P868" s="28">
        <f t="shared" si="279"/>
        <v>0.20190666512350769</v>
      </c>
      <c r="Q868" s="28">
        <f t="shared" si="279"/>
        <v>0.2007674260526916</v>
      </c>
      <c r="R868" s="28">
        <f t="shared" si="279"/>
        <v>0.19784037541962898</v>
      </c>
      <c r="S868" s="28">
        <f t="shared" si="279"/>
        <v>0.17841698820622015</v>
      </c>
      <c r="T868" s="28">
        <f t="shared" si="279"/>
        <v>0.18081293466860307</v>
      </c>
      <c r="U868" s="28">
        <f t="shared" si="279"/>
        <v>0.18276631591234022</v>
      </c>
      <c r="V868" s="28">
        <f t="shared" si="279"/>
        <v>0.18471645849231438</v>
      </c>
      <c r="W868" s="28">
        <f t="shared" si="279"/>
        <v>0.18733681771599675</v>
      </c>
      <c r="X868" s="28">
        <f t="shared" si="279"/>
        <v>0.18994210682606633</v>
      </c>
      <c r="Y868" s="28">
        <f t="shared" si="279"/>
        <v>0.19266100227068755</v>
      </c>
      <c r="Z868" s="28">
        <f t="shared" si="279"/>
        <v>0.19520300400393342</v>
      </c>
      <c r="AA868" s="28">
        <f t="shared" si="279"/>
        <v>0.19798640345821425</v>
      </c>
      <c r="AB868" s="28">
        <f t="shared" si="279"/>
        <v>0.20044516854579475</v>
      </c>
      <c r="AC868" s="28">
        <f t="shared" si="279"/>
        <v>0.20297817573057544</v>
      </c>
      <c r="AD868" s="28">
        <f t="shared" si="279"/>
        <v>0.2056267299462835</v>
      </c>
      <c r="AE868" s="28">
        <f t="shared" si="279"/>
        <v>0.20860280477164364</v>
      </c>
      <c r="AF868" s="28">
        <f t="shared" si="279"/>
        <v>0.21167179414400486</v>
      </c>
      <c r="AG868" s="28">
        <f t="shared" si="279"/>
        <v>0.20992366458596434</v>
      </c>
      <c r="AH868" s="28">
        <f t="shared" si="279"/>
        <v>-1.9300200690009681E-2</v>
      </c>
      <c r="AI868" s="28">
        <f t="shared" si="279"/>
        <v>-1.8843886811857471E-2</v>
      </c>
      <c r="AJ868" s="28">
        <f t="shared" si="279"/>
        <v>-1.8395910257723268E-2</v>
      </c>
      <c r="AK868" s="28">
        <f t="shared" si="279"/>
        <v>-1.7955834874350582E-2</v>
      </c>
      <c r="AL868" s="28">
        <f t="shared" si="279"/>
        <v>-1.7523255155980324E-2</v>
      </c>
      <c r="AM868" s="28">
        <f t="shared" si="279"/>
        <v>-1.7097793384935875E-2</v>
      </c>
      <c r="AN868" s="28">
        <f t="shared" si="279"/>
        <v>-1.6741323027793506E-2</v>
      </c>
      <c r="AO868" s="28">
        <f t="shared" si="279"/>
        <v>-1.6390975335511412E-2</v>
      </c>
      <c r="AP868" s="28">
        <f t="shared" si="279"/>
        <v>-1.6046469591821155E-2</v>
      </c>
      <c r="AQ868" s="28">
        <f t="shared" si="279"/>
        <v>-1.5707542818837256E-2</v>
      </c>
      <c r="AR868" s="28">
        <f t="shared" si="279"/>
        <v>-1.5373948294556171E-2</v>
      </c>
      <c r="AS868" s="28">
        <f t="shared" si="279"/>
        <v>-1.5023355882038061E-2</v>
      </c>
      <c r="AT868" s="28">
        <f t="shared" si="279"/>
        <v>-1.4678172069400145E-2</v>
      </c>
      <c r="AU868" s="28">
        <f t="shared" si="279"/>
        <v>-1.4338180596116832E-2</v>
      </c>
      <c r="AV868" s="28">
        <f t="shared" si="279"/>
        <v>-1.4003177540620452E-2</v>
      </c>
      <c r="AW868" s="28">
        <f t="shared" si="279"/>
        <v>-1.367297039065494E-2</v>
      </c>
      <c r="AY868" s="85"/>
      <c r="AZ868" s="85"/>
    </row>
    <row r="869" spans="1:52" x14ac:dyDescent="0.25">
      <c r="A869" s="102" t="str">
        <f t="shared" si="270"/>
        <v>BD Leaching</v>
      </c>
      <c r="B869" s="102" t="s">
        <v>1229</v>
      </c>
      <c r="C869" s="102" t="s">
        <v>1191</v>
      </c>
      <c r="D869" t="s">
        <v>369</v>
      </c>
      <c r="E869" t="s">
        <v>61</v>
      </c>
      <c r="F869" t="s">
        <v>63</v>
      </c>
      <c r="G869" t="s">
        <v>438</v>
      </c>
      <c r="H869" t="s">
        <v>1192</v>
      </c>
      <c r="I869" t="s">
        <v>139</v>
      </c>
      <c r="J869" t="s">
        <v>287</v>
      </c>
      <c r="K869" s="28">
        <f t="shared" ref="K869:AW869" si="280">K1517</f>
        <v>0</v>
      </c>
      <c r="L869" s="28">
        <f t="shared" si="280"/>
        <v>0</v>
      </c>
      <c r="M869" s="28">
        <f t="shared" si="280"/>
        <v>0</v>
      </c>
      <c r="N869" s="28">
        <f t="shared" si="280"/>
        <v>0</v>
      </c>
      <c r="O869" s="28">
        <f t="shared" si="280"/>
        <v>0</v>
      </c>
      <c r="P869" s="28">
        <f t="shared" si="280"/>
        <v>0</v>
      </c>
      <c r="Q869" s="28">
        <f t="shared" si="280"/>
        <v>0</v>
      </c>
      <c r="R869" s="28">
        <f t="shared" si="280"/>
        <v>0</v>
      </c>
      <c r="S869" s="28">
        <f t="shared" si="280"/>
        <v>0</v>
      </c>
      <c r="T869" s="28">
        <f t="shared" si="280"/>
        <v>0</v>
      </c>
      <c r="U869" s="28">
        <f t="shared" si="280"/>
        <v>0</v>
      </c>
      <c r="V869" s="28">
        <f t="shared" si="280"/>
        <v>0</v>
      </c>
      <c r="W869" s="28">
        <f t="shared" si="280"/>
        <v>0</v>
      </c>
      <c r="X869" s="28">
        <f t="shared" si="280"/>
        <v>0</v>
      </c>
      <c r="Y869" s="28">
        <f t="shared" si="280"/>
        <v>0</v>
      </c>
      <c r="Z869" s="28">
        <f t="shared" si="280"/>
        <v>0</v>
      </c>
      <c r="AA869" s="28">
        <f t="shared" si="280"/>
        <v>0</v>
      </c>
      <c r="AB869" s="28">
        <f t="shared" si="280"/>
        <v>0</v>
      </c>
      <c r="AC869" s="28">
        <f t="shared" si="280"/>
        <v>0</v>
      </c>
      <c r="AD869" s="28">
        <f t="shared" si="280"/>
        <v>0</v>
      </c>
      <c r="AE869" s="28">
        <f t="shared" si="280"/>
        <v>0</v>
      </c>
      <c r="AF869" s="28">
        <f t="shared" si="280"/>
        <v>0</v>
      </c>
      <c r="AG869" s="28">
        <f t="shared" si="280"/>
        <v>0</v>
      </c>
      <c r="AH869" s="28">
        <f t="shared" si="280"/>
        <v>0</v>
      </c>
      <c r="AI869" s="28">
        <f t="shared" si="280"/>
        <v>0</v>
      </c>
      <c r="AJ869" s="28">
        <f t="shared" si="280"/>
        <v>0</v>
      </c>
      <c r="AK869" s="28">
        <f t="shared" si="280"/>
        <v>0</v>
      </c>
      <c r="AL869" s="28">
        <f t="shared" si="280"/>
        <v>0</v>
      </c>
      <c r="AM869" s="28">
        <f t="shared" si="280"/>
        <v>0</v>
      </c>
      <c r="AN869" s="28">
        <f t="shared" si="280"/>
        <v>0</v>
      </c>
      <c r="AO869" s="28">
        <f t="shared" si="280"/>
        <v>0</v>
      </c>
      <c r="AP869" s="28">
        <f t="shared" si="280"/>
        <v>0</v>
      </c>
      <c r="AQ869" s="28">
        <f t="shared" si="280"/>
        <v>0</v>
      </c>
      <c r="AR869" s="28">
        <f t="shared" si="280"/>
        <v>0</v>
      </c>
      <c r="AS869" s="28">
        <f t="shared" si="280"/>
        <v>0</v>
      </c>
      <c r="AT869" s="28">
        <f t="shared" si="280"/>
        <v>0</v>
      </c>
      <c r="AU869" s="28">
        <f t="shared" si="280"/>
        <v>0</v>
      </c>
      <c r="AV869" s="28">
        <f t="shared" si="280"/>
        <v>0</v>
      </c>
      <c r="AW869" s="28">
        <f t="shared" si="280"/>
        <v>0</v>
      </c>
      <c r="AY869" s="85"/>
      <c r="AZ869" s="85"/>
    </row>
    <row r="870" spans="1:52" x14ac:dyDescent="0.25">
      <c r="A870" s="102" t="str">
        <f t="shared" si="270"/>
        <v>BD Leaching</v>
      </c>
      <c r="B870" s="102" t="s">
        <v>1229</v>
      </c>
      <c r="C870" s="102" t="s">
        <v>1191</v>
      </c>
      <c r="D870" t="s">
        <v>369</v>
      </c>
      <c r="E870" t="s">
        <v>61</v>
      </c>
      <c r="F870" t="s">
        <v>63</v>
      </c>
      <c r="G870" t="s">
        <v>439</v>
      </c>
      <c r="H870" t="s">
        <v>1193</v>
      </c>
      <c r="I870" t="s">
        <v>139</v>
      </c>
      <c r="J870" t="s">
        <v>287</v>
      </c>
      <c r="K870" s="28">
        <f t="shared" ref="K870:AW870" si="281">K1518</f>
        <v>0.10175116378121943</v>
      </c>
      <c r="L870" s="28">
        <f t="shared" si="281"/>
        <v>0.10199531862312783</v>
      </c>
      <c r="M870" s="28">
        <f t="shared" si="281"/>
        <v>0.10232895790911103</v>
      </c>
      <c r="N870" s="28">
        <f t="shared" si="281"/>
        <v>0.102571135787432</v>
      </c>
      <c r="O870" s="28">
        <f t="shared" si="281"/>
        <v>0.10268907461035851</v>
      </c>
      <c r="P870" s="28">
        <f t="shared" si="281"/>
        <v>0.10280548137522282</v>
      </c>
      <c r="Q870" s="28">
        <f t="shared" si="281"/>
        <v>0.10298157657140594</v>
      </c>
      <c r="R870" s="28">
        <f t="shared" si="281"/>
        <v>0.10317437501165042</v>
      </c>
      <c r="S870" s="28">
        <f t="shared" si="281"/>
        <v>0.10323747118294155</v>
      </c>
      <c r="T870" s="28">
        <f t="shared" si="281"/>
        <v>0.10207849673523195</v>
      </c>
      <c r="U870" s="28">
        <f t="shared" si="281"/>
        <v>0.10244002007553947</v>
      </c>
      <c r="V870" s="28">
        <f t="shared" si="281"/>
        <v>0.10276505734262262</v>
      </c>
      <c r="W870" s="28">
        <f t="shared" si="281"/>
        <v>0.10308708143869158</v>
      </c>
      <c r="X870" s="28">
        <f t="shared" si="281"/>
        <v>0.10345673156725761</v>
      </c>
      <c r="Y870" s="28">
        <f t="shared" si="281"/>
        <v>0.10382236970947499</v>
      </c>
      <c r="Z870" s="28">
        <f t="shared" si="281"/>
        <v>0.10419308105510718</v>
      </c>
      <c r="AA870" s="28">
        <f t="shared" si="281"/>
        <v>0.1045480129274277</v>
      </c>
      <c r="AB870" s="28">
        <f t="shared" si="281"/>
        <v>0.10491811532698922</v>
      </c>
      <c r="AC870" s="28">
        <f t="shared" si="281"/>
        <v>0.10526191572099161</v>
      </c>
      <c r="AD870" s="28">
        <f t="shared" si="281"/>
        <v>0.10560878304057683</v>
      </c>
      <c r="AE870" s="28">
        <f t="shared" si="281"/>
        <v>0.10601241907328743</v>
      </c>
      <c r="AF870" s="28">
        <f t="shared" si="281"/>
        <v>0.10643853523191582</v>
      </c>
      <c r="AG870" s="28">
        <f t="shared" si="281"/>
        <v>0.10687002645789688</v>
      </c>
      <c r="AH870" s="28">
        <f t="shared" si="281"/>
        <v>0.10695565891506367</v>
      </c>
      <c r="AI870" s="28">
        <f t="shared" si="281"/>
        <v>7.1370603051085779E-2</v>
      </c>
      <c r="AJ870" s="28">
        <f t="shared" si="281"/>
        <v>7.1307647461360521E-2</v>
      </c>
      <c r="AK870" s="28">
        <f t="shared" si="281"/>
        <v>7.1244029161657008E-2</v>
      </c>
      <c r="AL870" s="28">
        <f t="shared" si="281"/>
        <v>7.1179739022300959E-2</v>
      </c>
      <c r="AM870" s="28">
        <f t="shared" si="281"/>
        <v>7.1114767741896984E-2</v>
      </c>
      <c r="AN870" s="28">
        <f t="shared" si="281"/>
        <v>7.1049105843042956E-2</v>
      </c>
      <c r="AO870" s="28">
        <f t="shared" si="281"/>
        <v>7.0992821484352875E-2</v>
      </c>
      <c r="AP870" s="28">
        <f t="shared" si="281"/>
        <v>7.0936026569640209E-2</v>
      </c>
      <c r="AQ870" s="28">
        <f t="shared" si="281"/>
        <v>7.0878714989935504E-2</v>
      </c>
      <c r="AR870" s="28">
        <f t="shared" si="281"/>
        <v>7.0820880536048819E-2</v>
      </c>
      <c r="AS870" s="28">
        <f t="shared" si="281"/>
        <v>7.0762516896386879E-2</v>
      </c>
      <c r="AT870" s="28">
        <f t="shared" si="281"/>
        <v>7.0714119633319514E-2</v>
      </c>
      <c r="AU870" s="28">
        <f t="shared" si="281"/>
        <v>7.0665356530577775E-2</v>
      </c>
      <c r="AV870" s="28">
        <f t="shared" si="281"/>
        <v>7.0616223915862988E-2</v>
      </c>
      <c r="AW870" s="28">
        <f t="shared" si="281"/>
        <v>7.0566718066166448E-2</v>
      </c>
      <c r="AY870" s="85"/>
      <c r="AZ870" s="85"/>
    </row>
    <row r="871" spans="1:52" x14ac:dyDescent="0.25">
      <c r="A871" s="102" t="str">
        <f t="shared" si="270"/>
        <v>BD Leaching</v>
      </c>
      <c r="B871" s="102" t="s">
        <v>1229</v>
      </c>
      <c r="C871" s="102" t="s">
        <v>1191</v>
      </c>
      <c r="D871" t="s">
        <v>369</v>
      </c>
      <c r="E871" t="s">
        <v>61</v>
      </c>
      <c r="F871" t="s">
        <v>63</v>
      </c>
      <c r="G871" t="s">
        <v>1194</v>
      </c>
      <c r="H871" t="s">
        <v>1195</v>
      </c>
      <c r="I871" t="s">
        <v>139</v>
      </c>
      <c r="J871" t="s">
        <v>287</v>
      </c>
      <c r="K871" s="28" t="str">
        <f t="shared" ref="K871:AW871" si="282">K1519</f>
        <v>NO</v>
      </c>
      <c r="L871" s="28" t="str">
        <f t="shared" si="282"/>
        <v>NO</v>
      </c>
      <c r="M871" s="28" t="str">
        <f t="shared" si="282"/>
        <v>NO</v>
      </c>
      <c r="N871" s="28" t="str">
        <f t="shared" si="282"/>
        <v>NO</v>
      </c>
      <c r="O871" s="28" t="str">
        <f t="shared" si="282"/>
        <v>NO</v>
      </c>
      <c r="P871" s="28" t="str">
        <f t="shared" si="282"/>
        <v>NO</v>
      </c>
      <c r="Q871" s="28" t="str">
        <f t="shared" si="282"/>
        <v>NO</v>
      </c>
      <c r="R871" s="28" t="str">
        <f t="shared" si="282"/>
        <v>NO</v>
      </c>
      <c r="S871" s="28" t="str">
        <f t="shared" si="282"/>
        <v>NO</v>
      </c>
      <c r="T871" s="28" t="str">
        <f t="shared" si="282"/>
        <v>NO</v>
      </c>
      <c r="U871" s="28" t="str">
        <f t="shared" si="282"/>
        <v>NO</v>
      </c>
      <c r="V871" s="28" t="str">
        <f t="shared" si="282"/>
        <v>NO</v>
      </c>
      <c r="W871" s="28" t="str">
        <f t="shared" si="282"/>
        <v>NO</v>
      </c>
      <c r="X871" s="28" t="str">
        <f t="shared" si="282"/>
        <v>NO</v>
      </c>
      <c r="Y871" s="28" t="str">
        <f t="shared" si="282"/>
        <v>NO</v>
      </c>
      <c r="Z871" s="28" t="str">
        <f t="shared" si="282"/>
        <v>NO</v>
      </c>
      <c r="AA871" s="28" t="str">
        <f t="shared" si="282"/>
        <v>NO</v>
      </c>
      <c r="AB871" s="28" t="str">
        <f t="shared" si="282"/>
        <v>NO</v>
      </c>
      <c r="AC871" s="28" t="str">
        <f t="shared" si="282"/>
        <v>NO</v>
      </c>
      <c r="AD871" s="28" t="str">
        <f t="shared" si="282"/>
        <v>NO</v>
      </c>
      <c r="AE871" s="28" t="str">
        <f t="shared" si="282"/>
        <v>NO</v>
      </c>
      <c r="AF871" s="28" t="str">
        <f t="shared" si="282"/>
        <v>NO</v>
      </c>
      <c r="AG871" s="28" t="str">
        <f t="shared" si="282"/>
        <v>NO</v>
      </c>
      <c r="AH871" s="28" t="str">
        <f t="shared" si="282"/>
        <v>NO</v>
      </c>
      <c r="AI871" s="28" t="str">
        <f t="shared" si="282"/>
        <v>NO</v>
      </c>
      <c r="AJ871" s="28" t="str">
        <f t="shared" si="282"/>
        <v>NO</v>
      </c>
      <c r="AK871" s="28" t="str">
        <f t="shared" si="282"/>
        <v>NO</v>
      </c>
      <c r="AL871" s="28" t="str">
        <f t="shared" si="282"/>
        <v>NO</v>
      </c>
      <c r="AM871" s="28" t="str">
        <f t="shared" si="282"/>
        <v>NO</v>
      </c>
      <c r="AN871" s="28" t="str">
        <f t="shared" si="282"/>
        <v>NO</v>
      </c>
      <c r="AO871" s="28" t="str">
        <f t="shared" si="282"/>
        <v>NO</v>
      </c>
      <c r="AP871" s="28" t="str">
        <f t="shared" si="282"/>
        <v>NO</v>
      </c>
      <c r="AQ871" s="28" t="str">
        <f t="shared" si="282"/>
        <v>NO</v>
      </c>
      <c r="AR871" s="28" t="str">
        <f t="shared" si="282"/>
        <v>NO</v>
      </c>
      <c r="AS871" s="28" t="str">
        <f t="shared" si="282"/>
        <v>NO</v>
      </c>
      <c r="AT871" s="28" t="str">
        <f t="shared" si="282"/>
        <v>NO</v>
      </c>
      <c r="AU871" s="28" t="str">
        <f t="shared" si="282"/>
        <v>NO</v>
      </c>
      <c r="AV871" s="28" t="str">
        <f t="shared" si="282"/>
        <v>NO</v>
      </c>
      <c r="AW871" s="28" t="str">
        <f t="shared" si="282"/>
        <v>NO</v>
      </c>
      <c r="AY871" s="85"/>
      <c r="AZ871" s="85"/>
    </row>
    <row r="872" spans="1:52" x14ac:dyDescent="0.25">
      <c r="A872" s="102" t="str">
        <f t="shared" si="270"/>
        <v>BD Leaching</v>
      </c>
      <c r="B872" s="102" t="s">
        <v>1229</v>
      </c>
      <c r="C872" s="102" t="s">
        <v>1191</v>
      </c>
      <c r="D872" t="s">
        <v>369</v>
      </c>
      <c r="E872" t="s">
        <v>61</v>
      </c>
      <c r="F872" t="s">
        <v>63</v>
      </c>
      <c r="G872" t="s">
        <v>1196</v>
      </c>
      <c r="H872" t="s">
        <v>1197</v>
      </c>
      <c r="I872" t="s">
        <v>139</v>
      </c>
      <c r="J872" t="s">
        <v>287</v>
      </c>
      <c r="K872" s="28" t="str">
        <f t="shared" ref="K872:AW872" si="283">K1520</f>
        <v>NO</v>
      </c>
      <c r="L872" s="28" t="str">
        <f t="shared" si="283"/>
        <v>NO</v>
      </c>
      <c r="M872" s="28" t="str">
        <f t="shared" si="283"/>
        <v>NO</v>
      </c>
      <c r="N872" s="28" t="str">
        <f t="shared" si="283"/>
        <v>NO</v>
      </c>
      <c r="O872" s="28" t="str">
        <f t="shared" si="283"/>
        <v>NO</v>
      </c>
      <c r="P872" s="28" t="str">
        <f t="shared" si="283"/>
        <v>NO</v>
      </c>
      <c r="Q872" s="28" t="str">
        <f t="shared" si="283"/>
        <v>NO</v>
      </c>
      <c r="R872" s="28" t="str">
        <f t="shared" si="283"/>
        <v>NO</v>
      </c>
      <c r="S872" s="28" t="str">
        <f t="shared" si="283"/>
        <v>NO</v>
      </c>
      <c r="T872" s="28" t="str">
        <f t="shared" si="283"/>
        <v>NO</v>
      </c>
      <c r="U872" s="28" t="str">
        <f t="shared" si="283"/>
        <v>NO</v>
      </c>
      <c r="V872" s="28" t="str">
        <f t="shared" si="283"/>
        <v>NO</v>
      </c>
      <c r="W872" s="28" t="str">
        <f t="shared" si="283"/>
        <v>NO</v>
      </c>
      <c r="X872" s="28" t="str">
        <f t="shared" si="283"/>
        <v>NO</v>
      </c>
      <c r="Y872" s="28" t="str">
        <f t="shared" si="283"/>
        <v>NO</v>
      </c>
      <c r="Z872" s="28" t="str">
        <f t="shared" si="283"/>
        <v>NO</v>
      </c>
      <c r="AA872" s="28" t="str">
        <f t="shared" si="283"/>
        <v>NO</v>
      </c>
      <c r="AB872" s="28" t="str">
        <f t="shared" si="283"/>
        <v>NO</v>
      </c>
      <c r="AC872" s="28" t="str">
        <f t="shared" si="283"/>
        <v>NO</v>
      </c>
      <c r="AD872" s="28" t="str">
        <f t="shared" si="283"/>
        <v>NO</v>
      </c>
      <c r="AE872" s="28" t="str">
        <f t="shared" si="283"/>
        <v>NO</v>
      </c>
      <c r="AF872" s="28" t="str">
        <f t="shared" si="283"/>
        <v>NO</v>
      </c>
      <c r="AG872" s="28" t="str">
        <f t="shared" si="283"/>
        <v>NO</v>
      </c>
      <c r="AH872" s="28" t="str">
        <f t="shared" si="283"/>
        <v>NO</v>
      </c>
      <c r="AI872" s="28" t="str">
        <f t="shared" si="283"/>
        <v>NO</v>
      </c>
      <c r="AJ872" s="28" t="str">
        <f t="shared" si="283"/>
        <v>NO</v>
      </c>
      <c r="AK872" s="28" t="str">
        <f t="shared" si="283"/>
        <v>NO</v>
      </c>
      <c r="AL872" s="28" t="str">
        <f t="shared" si="283"/>
        <v>NO</v>
      </c>
      <c r="AM872" s="28" t="str">
        <f t="shared" si="283"/>
        <v>NO</v>
      </c>
      <c r="AN872" s="28" t="str">
        <f t="shared" si="283"/>
        <v>NO</v>
      </c>
      <c r="AO872" s="28" t="str">
        <f t="shared" si="283"/>
        <v>NO</v>
      </c>
      <c r="AP872" s="28" t="str">
        <f t="shared" si="283"/>
        <v>NO</v>
      </c>
      <c r="AQ872" s="28" t="str">
        <f t="shared" si="283"/>
        <v>NO</v>
      </c>
      <c r="AR872" s="28" t="str">
        <f t="shared" si="283"/>
        <v>NO</v>
      </c>
      <c r="AS872" s="28" t="str">
        <f t="shared" si="283"/>
        <v>NO</v>
      </c>
      <c r="AT872" s="28" t="str">
        <f t="shared" si="283"/>
        <v>NO</v>
      </c>
      <c r="AU872" s="28" t="str">
        <f t="shared" si="283"/>
        <v>NO</v>
      </c>
      <c r="AV872" s="28" t="str">
        <f t="shared" si="283"/>
        <v>NO</v>
      </c>
      <c r="AW872" s="28" t="str">
        <f t="shared" si="283"/>
        <v>NO</v>
      </c>
      <c r="AY872" s="85"/>
      <c r="AZ872" s="85"/>
    </row>
    <row r="873" spans="1:52" x14ac:dyDescent="0.25">
      <c r="A873" s="102" t="str">
        <f t="shared" si="270"/>
        <v>BD Leaching</v>
      </c>
      <c r="B873" s="102" t="s">
        <v>1229</v>
      </c>
      <c r="C873" s="102" t="s">
        <v>1191</v>
      </c>
      <c r="D873" t="s">
        <v>369</v>
      </c>
      <c r="E873" t="s">
        <v>61</v>
      </c>
      <c r="F873" t="s">
        <v>63</v>
      </c>
      <c r="G873" t="s">
        <v>1198</v>
      </c>
      <c r="H873" t="s">
        <v>1199</v>
      </c>
      <c r="I873" t="s">
        <v>139</v>
      </c>
      <c r="J873" t="s">
        <v>287</v>
      </c>
      <c r="K873" s="28">
        <f t="shared" ref="K873:AW873" si="284">K1521</f>
        <v>1.1867590793806392E-4</v>
      </c>
      <c r="L873" s="28">
        <f t="shared" si="284"/>
        <v>1.1853617037070301E-4</v>
      </c>
      <c r="M873" s="28">
        <f t="shared" si="284"/>
        <v>1.1839643280334203E-4</v>
      </c>
      <c r="N873" s="28">
        <f t="shared" si="284"/>
        <v>1.1825669523598106E-4</v>
      </c>
      <c r="O873" s="28">
        <f t="shared" si="284"/>
        <v>1.1811695766862012E-4</v>
      </c>
      <c r="P873" s="28">
        <f t="shared" si="284"/>
        <v>1.1797722010125916E-4</v>
      </c>
      <c r="Q873" s="28">
        <f t="shared" si="284"/>
        <v>1.178374825338982E-4</v>
      </c>
      <c r="R873" s="28">
        <f t="shared" si="284"/>
        <v>1.1769774496653728E-4</v>
      </c>
      <c r="S873" s="28">
        <f t="shared" si="284"/>
        <v>1.1755800739917633E-4</v>
      </c>
      <c r="T873" s="28">
        <f t="shared" si="284"/>
        <v>1.174182698318154E-4</v>
      </c>
      <c r="U873" s="28">
        <f t="shared" si="284"/>
        <v>1.1727853226445441E-4</v>
      </c>
      <c r="V873" s="28">
        <f t="shared" si="284"/>
        <v>1.1713879469709348E-4</v>
      </c>
      <c r="W873" s="28">
        <f t="shared" si="284"/>
        <v>1.1699905712973254E-4</v>
      </c>
      <c r="X873" s="28">
        <f t="shared" si="284"/>
        <v>1.168593195623716E-4</v>
      </c>
      <c r="Y873" s="28">
        <f t="shared" si="284"/>
        <v>1.1671958199501069E-4</v>
      </c>
      <c r="Z873" s="28">
        <f t="shared" si="284"/>
        <v>1.1657984442764968E-4</v>
      </c>
      <c r="AA873" s="28">
        <f t="shared" si="284"/>
        <v>1.1644010686028878E-4</v>
      </c>
      <c r="AB873" s="28">
        <f t="shared" si="284"/>
        <v>1.1630036929292779E-4</v>
      </c>
      <c r="AC873" s="28">
        <f t="shared" si="284"/>
        <v>1.1616063172556689E-4</v>
      </c>
      <c r="AD873" s="28">
        <f t="shared" si="284"/>
        <v>1.1602089415820588E-4</v>
      </c>
      <c r="AE873" s="28">
        <f t="shared" si="284"/>
        <v>1.1588115659084502E-4</v>
      </c>
      <c r="AF873" s="28">
        <f t="shared" si="284"/>
        <v>1.1574141902348403E-4</v>
      </c>
      <c r="AG873" s="28">
        <f t="shared" si="284"/>
        <v>1.1560168145612309E-4</v>
      </c>
      <c r="AH873" s="28">
        <f t="shared" si="284"/>
        <v>1.154619438887621E-4</v>
      </c>
      <c r="AI873" s="28">
        <f t="shared" si="284"/>
        <v>1.1532220632140118E-4</v>
      </c>
      <c r="AJ873" s="28">
        <f t="shared" si="284"/>
        <v>1.1518246875404022E-4</v>
      </c>
      <c r="AK873" s="28">
        <f t="shared" si="284"/>
        <v>1.1504273118667928E-4</v>
      </c>
      <c r="AL873" s="28">
        <f t="shared" si="284"/>
        <v>1.1490299361931835E-4</v>
      </c>
      <c r="AM873" s="28">
        <f t="shared" si="284"/>
        <v>1.1476325605195744E-4</v>
      </c>
      <c r="AN873" s="28">
        <f t="shared" si="284"/>
        <v>1.1462351848459642E-4</v>
      </c>
      <c r="AO873" s="28">
        <f t="shared" si="284"/>
        <v>1.1448378091723552E-4</v>
      </c>
      <c r="AP873" s="28">
        <f t="shared" si="284"/>
        <v>1.1434404334987458E-4</v>
      </c>
      <c r="AQ873" s="28">
        <f t="shared" si="284"/>
        <v>1.1420430578251366E-4</v>
      </c>
      <c r="AR873" s="28">
        <f t="shared" si="284"/>
        <v>1.1406456821515268E-4</v>
      </c>
      <c r="AS873" s="28">
        <f t="shared" si="284"/>
        <v>1.1392483064779174E-4</v>
      </c>
      <c r="AT873" s="28">
        <f t="shared" si="284"/>
        <v>1.1378509308043078E-4</v>
      </c>
      <c r="AU873" s="28">
        <f t="shared" si="284"/>
        <v>1.136453555130698E-4</v>
      </c>
      <c r="AV873" s="28">
        <f t="shared" si="284"/>
        <v>1.1350561794570888E-4</v>
      </c>
      <c r="AW873" s="28">
        <f t="shared" si="284"/>
        <v>1.1336588037834792E-4</v>
      </c>
      <c r="AY873" s="85"/>
      <c r="AZ873" s="85"/>
    </row>
    <row r="874" spans="1:52" x14ac:dyDescent="0.25">
      <c r="A874" s="102" t="str">
        <f t="shared" si="270"/>
        <v>BD Leaching</v>
      </c>
      <c r="B874" s="102" t="s">
        <v>1229</v>
      </c>
      <c r="C874" s="102" t="s">
        <v>1191</v>
      </c>
      <c r="D874" t="s">
        <v>369</v>
      </c>
      <c r="E874" t="s">
        <v>61</v>
      </c>
      <c r="F874" t="s">
        <v>63</v>
      </c>
      <c r="G874" t="s">
        <v>1200</v>
      </c>
      <c r="H874" t="s">
        <v>1201</v>
      </c>
      <c r="I874" t="s">
        <v>139</v>
      </c>
      <c r="J874" t="s">
        <v>287</v>
      </c>
      <c r="K874" s="28">
        <f t="shared" ref="K874:AW874" si="285">K1522</f>
        <v>1.6912231388729011E-2</v>
      </c>
      <c r="L874" s="28">
        <f t="shared" si="285"/>
        <v>1.6951420148247919E-2</v>
      </c>
      <c r="M874" s="28">
        <f t="shared" si="285"/>
        <v>1.6990608907766828E-2</v>
      </c>
      <c r="N874" s="28">
        <f t="shared" si="285"/>
        <v>1.702979766728574E-2</v>
      </c>
      <c r="O874" s="28">
        <f t="shared" si="285"/>
        <v>1.7068986426804648E-2</v>
      </c>
      <c r="P874" s="28">
        <f t="shared" si="285"/>
        <v>1.7108175186323554E-2</v>
      </c>
      <c r="Q874" s="28">
        <f t="shared" si="285"/>
        <v>1.7147363945842466E-2</v>
      </c>
      <c r="R874" s="28">
        <f t="shared" si="285"/>
        <v>1.7186552705361371E-2</v>
      </c>
      <c r="S874" s="28">
        <f t="shared" si="285"/>
        <v>1.7225741464880276E-2</v>
      </c>
      <c r="T874" s="28">
        <f t="shared" si="285"/>
        <v>1.7264930224399191E-2</v>
      </c>
      <c r="U874" s="28">
        <f t="shared" si="285"/>
        <v>1.7304118983918097E-2</v>
      </c>
      <c r="V874" s="28">
        <f t="shared" si="285"/>
        <v>1.7343307743437009E-2</v>
      </c>
      <c r="W874" s="28">
        <f t="shared" si="285"/>
        <v>1.7382496502955917E-2</v>
      </c>
      <c r="X874" s="28">
        <f t="shared" si="285"/>
        <v>1.7421685262474829E-2</v>
      </c>
      <c r="Y874" s="28">
        <f t="shared" si="285"/>
        <v>1.7460874021993734E-2</v>
      </c>
      <c r="Z874" s="28">
        <f t="shared" si="285"/>
        <v>1.750006278151265E-2</v>
      </c>
      <c r="AA874" s="28">
        <f t="shared" si="285"/>
        <v>1.7539251541031548E-2</v>
      </c>
      <c r="AB874" s="28">
        <f t="shared" si="285"/>
        <v>1.7578440300550464E-2</v>
      </c>
      <c r="AC874" s="28">
        <f t="shared" si="285"/>
        <v>1.7617629060069376E-2</v>
      </c>
      <c r="AD874" s="28">
        <f t="shared" si="285"/>
        <v>1.7656817819588281E-2</v>
      </c>
      <c r="AE874" s="28">
        <f t="shared" si="285"/>
        <v>1.769600657910719E-2</v>
      </c>
      <c r="AF874" s="28">
        <f t="shared" si="285"/>
        <v>1.7735195338626102E-2</v>
      </c>
      <c r="AG874" s="28">
        <f t="shared" si="285"/>
        <v>1.777438409814501E-2</v>
      </c>
      <c r="AH874" s="28">
        <f t="shared" si="285"/>
        <v>1.7813572857663919E-2</v>
      </c>
      <c r="AI874" s="28">
        <f t="shared" si="285"/>
        <v>1.7852761617182831E-2</v>
      </c>
      <c r="AJ874" s="28">
        <f t="shared" si="285"/>
        <v>1.7891950376701736E-2</v>
      </c>
      <c r="AK874" s="28">
        <f t="shared" si="285"/>
        <v>1.7931139136220645E-2</v>
      </c>
      <c r="AL874" s="28">
        <f t="shared" si="285"/>
        <v>1.7970327895739557E-2</v>
      </c>
      <c r="AM874" s="28">
        <f t="shared" si="285"/>
        <v>1.8009516655258465E-2</v>
      </c>
      <c r="AN874" s="28">
        <f t="shared" si="285"/>
        <v>1.8048705414777374E-2</v>
      </c>
      <c r="AO874" s="28">
        <f t="shared" si="285"/>
        <v>1.8087894174296286E-2</v>
      </c>
      <c r="AP874" s="28">
        <f t="shared" si="285"/>
        <v>1.8127082933815188E-2</v>
      </c>
      <c r="AQ874" s="28">
        <f t="shared" si="285"/>
        <v>1.8166271693334096E-2</v>
      </c>
      <c r="AR874" s="28">
        <f t="shared" si="285"/>
        <v>1.8205460452853015E-2</v>
      </c>
      <c r="AS874" s="28">
        <f t="shared" si="285"/>
        <v>1.8244649212371917E-2</v>
      </c>
      <c r="AT874" s="28">
        <f t="shared" si="285"/>
        <v>1.8283837971890825E-2</v>
      </c>
      <c r="AU874" s="28">
        <f t="shared" si="285"/>
        <v>1.8323026731409734E-2</v>
      </c>
      <c r="AV874" s="28">
        <f t="shared" si="285"/>
        <v>1.8362215490928643E-2</v>
      </c>
      <c r="AW874" s="28">
        <f t="shared" si="285"/>
        <v>1.8401404250447555E-2</v>
      </c>
      <c r="AY874" s="85"/>
      <c r="AZ874" s="85"/>
    </row>
    <row r="875" spans="1:52" x14ac:dyDescent="0.25">
      <c r="A875" s="102" t="str">
        <f t="shared" si="270"/>
        <v>BD Leaching</v>
      </c>
      <c r="B875" s="102" t="s">
        <v>1229</v>
      </c>
      <c r="C875" s="102" t="s">
        <v>1191</v>
      </c>
      <c r="D875" t="s">
        <v>369</v>
      </c>
      <c r="E875" t="s">
        <v>61</v>
      </c>
      <c r="F875" t="s">
        <v>63</v>
      </c>
      <c r="G875" t="s">
        <v>1202</v>
      </c>
      <c r="H875" t="s">
        <v>1203</v>
      </c>
      <c r="I875" t="s">
        <v>139</v>
      </c>
      <c r="J875" t="s">
        <v>287</v>
      </c>
      <c r="K875" s="28">
        <f t="shared" ref="K875:AW875" si="286">K1523</f>
        <v>1.9871041213735664E-2</v>
      </c>
      <c r="L875" s="28">
        <f t="shared" si="286"/>
        <v>1.9871041213735664E-2</v>
      </c>
      <c r="M875" s="28">
        <f t="shared" si="286"/>
        <v>1.9871041213735664E-2</v>
      </c>
      <c r="N875" s="28">
        <f t="shared" si="286"/>
        <v>1.9871041213735664E-2</v>
      </c>
      <c r="O875" s="28">
        <f t="shared" si="286"/>
        <v>1.9871041213735664E-2</v>
      </c>
      <c r="P875" s="28">
        <f t="shared" si="286"/>
        <v>1.9871041213735664E-2</v>
      </c>
      <c r="Q875" s="28">
        <f t="shared" si="286"/>
        <v>1.9871041213735664E-2</v>
      </c>
      <c r="R875" s="28">
        <f t="shared" si="286"/>
        <v>1.9871041213735664E-2</v>
      </c>
      <c r="S875" s="28">
        <f t="shared" si="286"/>
        <v>1.9871041213735664E-2</v>
      </c>
      <c r="T875" s="28">
        <f t="shared" si="286"/>
        <v>1.9871041213735664E-2</v>
      </c>
      <c r="U875" s="28">
        <f t="shared" si="286"/>
        <v>1.9871041213735664E-2</v>
      </c>
      <c r="V875" s="28">
        <f t="shared" si="286"/>
        <v>1.9871041213735664E-2</v>
      </c>
      <c r="W875" s="28">
        <f t="shared" si="286"/>
        <v>1.9871041213735664E-2</v>
      </c>
      <c r="X875" s="28">
        <f t="shared" si="286"/>
        <v>1.9871041213735664E-2</v>
      </c>
      <c r="Y875" s="28">
        <f t="shared" si="286"/>
        <v>1.9871041213735664E-2</v>
      </c>
      <c r="Z875" s="28">
        <f t="shared" si="286"/>
        <v>1.9871041213735664E-2</v>
      </c>
      <c r="AA875" s="28">
        <f t="shared" si="286"/>
        <v>1.9871041213735664E-2</v>
      </c>
      <c r="AB875" s="28">
        <f t="shared" si="286"/>
        <v>1.9871041213735664E-2</v>
      </c>
      <c r="AC875" s="28">
        <f t="shared" si="286"/>
        <v>1.9871041213735664E-2</v>
      </c>
      <c r="AD875" s="28">
        <f t="shared" si="286"/>
        <v>1.9871041213735664E-2</v>
      </c>
      <c r="AE875" s="28">
        <f t="shared" si="286"/>
        <v>1.9871041213735664E-2</v>
      </c>
      <c r="AF875" s="28">
        <f t="shared" si="286"/>
        <v>1.9871041213735664E-2</v>
      </c>
      <c r="AG875" s="28">
        <f t="shared" si="286"/>
        <v>1.9871041213735664E-2</v>
      </c>
      <c r="AH875" s="28">
        <f t="shared" si="286"/>
        <v>1.9871041213735664E-2</v>
      </c>
      <c r="AI875" s="28">
        <f t="shared" si="286"/>
        <v>1.9871041213735664E-2</v>
      </c>
      <c r="AJ875" s="28">
        <f t="shared" si="286"/>
        <v>1.9871041213735664E-2</v>
      </c>
      <c r="AK875" s="28">
        <f t="shared" si="286"/>
        <v>1.9871041213735664E-2</v>
      </c>
      <c r="AL875" s="28">
        <f t="shared" si="286"/>
        <v>1.9871041213735664E-2</v>
      </c>
      <c r="AM875" s="28">
        <f t="shared" si="286"/>
        <v>1.9871041213735664E-2</v>
      </c>
      <c r="AN875" s="28">
        <f t="shared" si="286"/>
        <v>1.9871041213735664E-2</v>
      </c>
      <c r="AO875" s="28">
        <f t="shared" si="286"/>
        <v>1.9871041213735664E-2</v>
      </c>
      <c r="AP875" s="28">
        <f t="shared" si="286"/>
        <v>1.9871041213735664E-2</v>
      </c>
      <c r="AQ875" s="28">
        <f t="shared" si="286"/>
        <v>1.9871041213735664E-2</v>
      </c>
      <c r="AR875" s="28">
        <f t="shared" si="286"/>
        <v>1.9871041213735664E-2</v>
      </c>
      <c r="AS875" s="28">
        <f t="shared" si="286"/>
        <v>1.9871041213735664E-2</v>
      </c>
      <c r="AT875" s="28">
        <f t="shared" si="286"/>
        <v>1.9871041213735664E-2</v>
      </c>
      <c r="AU875" s="28">
        <f t="shared" si="286"/>
        <v>1.9871041213735664E-2</v>
      </c>
      <c r="AV875" s="28">
        <f t="shared" si="286"/>
        <v>1.9871041213735664E-2</v>
      </c>
      <c r="AW875" s="28">
        <f t="shared" si="286"/>
        <v>1.9871041213735664E-2</v>
      </c>
      <c r="AY875" s="85"/>
      <c r="AZ875" s="85"/>
    </row>
    <row r="876" spans="1:52" x14ac:dyDescent="0.25">
      <c r="A876" s="102" t="str">
        <f t="shared" si="270"/>
        <v>BD Leaching</v>
      </c>
      <c r="B876" s="102" t="s">
        <v>1229</v>
      </c>
      <c r="C876" s="102" t="s">
        <v>1191</v>
      </c>
      <c r="D876" t="s">
        <v>369</v>
      </c>
      <c r="E876" t="s">
        <v>61</v>
      </c>
      <c r="F876" t="s">
        <v>63</v>
      </c>
      <c r="G876" t="s">
        <v>1204</v>
      </c>
      <c r="H876" t="s">
        <v>1205</v>
      </c>
      <c r="I876" t="s">
        <v>139</v>
      </c>
      <c r="J876" t="s">
        <v>287</v>
      </c>
      <c r="K876" s="28" t="str">
        <f t="shared" ref="K876:AW876" si="287">K1524</f>
        <v>NO</v>
      </c>
      <c r="L876" s="28" t="str">
        <f t="shared" si="287"/>
        <v>NO</v>
      </c>
      <c r="M876" s="28" t="str">
        <f t="shared" si="287"/>
        <v>NO</v>
      </c>
      <c r="N876" s="28" t="str">
        <f t="shared" si="287"/>
        <v>NO</v>
      </c>
      <c r="O876" s="28" t="str">
        <f t="shared" si="287"/>
        <v>NO</v>
      </c>
      <c r="P876" s="28" t="str">
        <f t="shared" si="287"/>
        <v>NO</v>
      </c>
      <c r="Q876" s="28" t="str">
        <f t="shared" si="287"/>
        <v>NO</v>
      </c>
      <c r="R876" s="28" t="str">
        <f t="shared" si="287"/>
        <v>NO</v>
      </c>
      <c r="S876" s="28" t="str">
        <f t="shared" si="287"/>
        <v>NO</v>
      </c>
      <c r="T876" s="28" t="str">
        <f t="shared" si="287"/>
        <v>NO</v>
      </c>
      <c r="U876" s="28" t="str">
        <f t="shared" si="287"/>
        <v>NO</v>
      </c>
      <c r="V876" s="28" t="str">
        <f t="shared" si="287"/>
        <v>NO</v>
      </c>
      <c r="W876" s="28" t="str">
        <f t="shared" si="287"/>
        <v>NO</v>
      </c>
      <c r="X876" s="28" t="str">
        <f t="shared" si="287"/>
        <v>NO</v>
      </c>
      <c r="Y876" s="28" t="str">
        <f t="shared" si="287"/>
        <v>NO</v>
      </c>
      <c r="Z876" s="28" t="str">
        <f t="shared" si="287"/>
        <v>NO</v>
      </c>
      <c r="AA876" s="28" t="str">
        <f t="shared" si="287"/>
        <v>NO</v>
      </c>
      <c r="AB876" s="28" t="str">
        <f t="shared" si="287"/>
        <v>NO</v>
      </c>
      <c r="AC876" s="28" t="str">
        <f t="shared" si="287"/>
        <v>NO</v>
      </c>
      <c r="AD876" s="28" t="str">
        <f t="shared" si="287"/>
        <v>NO</v>
      </c>
      <c r="AE876" s="28" t="str">
        <f t="shared" si="287"/>
        <v>NO</v>
      </c>
      <c r="AF876" s="28" t="str">
        <f t="shared" si="287"/>
        <v>NO</v>
      </c>
      <c r="AG876" s="28" t="str">
        <f t="shared" si="287"/>
        <v>NO</v>
      </c>
      <c r="AH876" s="28" t="str">
        <f t="shared" si="287"/>
        <v>NO</v>
      </c>
      <c r="AI876" s="28" t="str">
        <f t="shared" si="287"/>
        <v>NO</v>
      </c>
      <c r="AJ876" s="28" t="str">
        <f t="shared" si="287"/>
        <v>NO</v>
      </c>
      <c r="AK876" s="28" t="str">
        <f t="shared" si="287"/>
        <v>NO</v>
      </c>
      <c r="AL876" s="28" t="str">
        <f t="shared" si="287"/>
        <v>NO</v>
      </c>
      <c r="AM876" s="28" t="str">
        <f t="shared" si="287"/>
        <v>NO</v>
      </c>
      <c r="AN876" s="28" t="str">
        <f t="shared" si="287"/>
        <v>NO</v>
      </c>
      <c r="AO876" s="28" t="str">
        <f t="shared" si="287"/>
        <v>NO</v>
      </c>
      <c r="AP876" s="28" t="str">
        <f t="shared" si="287"/>
        <v>NO</v>
      </c>
      <c r="AQ876" s="28" t="str">
        <f t="shared" si="287"/>
        <v>NO</v>
      </c>
      <c r="AR876" s="28" t="str">
        <f t="shared" si="287"/>
        <v>NO</v>
      </c>
      <c r="AS876" s="28" t="str">
        <f t="shared" si="287"/>
        <v>NO</v>
      </c>
      <c r="AT876" s="28" t="str">
        <f t="shared" si="287"/>
        <v>NO</v>
      </c>
      <c r="AU876" s="28" t="str">
        <f t="shared" si="287"/>
        <v>NO</v>
      </c>
      <c r="AV876" s="28" t="str">
        <f t="shared" si="287"/>
        <v>NO</v>
      </c>
      <c r="AW876" s="28" t="str">
        <f t="shared" si="287"/>
        <v>NO</v>
      </c>
      <c r="AY876" s="85"/>
      <c r="AZ876" s="85"/>
    </row>
    <row r="877" spans="1:52" x14ac:dyDescent="0.25">
      <c r="A877" s="102" t="str">
        <f t="shared" si="270"/>
        <v>BD Leaching</v>
      </c>
      <c r="B877" s="102" t="s">
        <v>1229</v>
      </c>
      <c r="C877" s="102" t="s">
        <v>1191</v>
      </c>
      <c r="D877" t="s">
        <v>369</v>
      </c>
      <c r="E877" t="s">
        <v>61</v>
      </c>
      <c r="F877" t="s">
        <v>63</v>
      </c>
      <c r="G877" t="s">
        <v>1206</v>
      </c>
      <c r="H877" t="s">
        <v>1207</v>
      </c>
      <c r="I877" t="s">
        <v>139</v>
      </c>
      <c r="J877" t="s">
        <v>287</v>
      </c>
      <c r="K877" s="28" t="str">
        <f t="shared" ref="K877:AW877" si="288">K1525</f>
        <v>NO</v>
      </c>
      <c r="L877" s="28" t="str">
        <f t="shared" si="288"/>
        <v>NO</v>
      </c>
      <c r="M877" s="28" t="str">
        <f t="shared" si="288"/>
        <v>NO</v>
      </c>
      <c r="N877" s="28" t="str">
        <f t="shared" si="288"/>
        <v>NO</v>
      </c>
      <c r="O877" s="28" t="str">
        <f t="shared" si="288"/>
        <v>NO</v>
      </c>
      <c r="P877" s="28" t="str">
        <f t="shared" si="288"/>
        <v>NO</v>
      </c>
      <c r="Q877" s="28" t="str">
        <f t="shared" si="288"/>
        <v>NO</v>
      </c>
      <c r="R877" s="28" t="str">
        <f t="shared" si="288"/>
        <v>NO</v>
      </c>
      <c r="S877" s="28" t="str">
        <f t="shared" si="288"/>
        <v>NO</v>
      </c>
      <c r="T877" s="28" t="str">
        <f t="shared" si="288"/>
        <v>NO</v>
      </c>
      <c r="U877" s="28" t="str">
        <f t="shared" si="288"/>
        <v>NO</v>
      </c>
      <c r="V877" s="28" t="str">
        <f t="shared" si="288"/>
        <v>NO</v>
      </c>
      <c r="W877" s="28" t="str">
        <f t="shared" si="288"/>
        <v>NO</v>
      </c>
      <c r="X877" s="28" t="str">
        <f t="shared" si="288"/>
        <v>NO</v>
      </c>
      <c r="Y877" s="28" t="str">
        <f t="shared" si="288"/>
        <v>NO</v>
      </c>
      <c r="Z877" s="28" t="str">
        <f t="shared" si="288"/>
        <v>NO</v>
      </c>
      <c r="AA877" s="28" t="str">
        <f t="shared" si="288"/>
        <v>NO</v>
      </c>
      <c r="AB877" s="28" t="str">
        <f t="shared" si="288"/>
        <v>NO</v>
      </c>
      <c r="AC877" s="28" t="str">
        <f t="shared" si="288"/>
        <v>NO</v>
      </c>
      <c r="AD877" s="28" t="str">
        <f t="shared" si="288"/>
        <v>NO</v>
      </c>
      <c r="AE877" s="28" t="str">
        <f t="shared" si="288"/>
        <v>NO</v>
      </c>
      <c r="AF877" s="28" t="str">
        <f t="shared" si="288"/>
        <v>NO</v>
      </c>
      <c r="AG877" s="28" t="str">
        <f t="shared" si="288"/>
        <v>NO</v>
      </c>
      <c r="AH877" s="28" t="str">
        <f t="shared" si="288"/>
        <v>NO</v>
      </c>
      <c r="AI877" s="28" t="str">
        <f t="shared" si="288"/>
        <v>NO</v>
      </c>
      <c r="AJ877" s="28" t="str">
        <f t="shared" si="288"/>
        <v>NO</v>
      </c>
      <c r="AK877" s="28" t="str">
        <f t="shared" si="288"/>
        <v>NO</v>
      </c>
      <c r="AL877" s="28" t="str">
        <f t="shared" si="288"/>
        <v>NO</v>
      </c>
      <c r="AM877" s="28" t="str">
        <f t="shared" si="288"/>
        <v>NO</v>
      </c>
      <c r="AN877" s="28" t="str">
        <f t="shared" si="288"/>
        <v>NO</v>
      </c>
      <c r="AO877" s="28" t="str">
        <f t="shared" si="288"/>
        <v>NO</v>
      </c>
      <c r="AP877" s="28" t="str">
        <f t="shared" si="288"/>
        <v>NO</v>
      </c>
      <c r="AQ877" s="28" t="str">
        <f t="shared" si="288"/>
        <v>NO</v>
      </c>
      <c r="AR877" s="28" t="str">
        <f t="shared" si="288"/>
        <v>NO</v>
      </c>
      <c r="AS877" s="28" t="str">
        <f t="shared" si="288"/>
        <v>NO</v>
      </c>
      <c r="AT877" s="28" t="str">
        <f t="shared" si="288"/>
        <v>NO</v>
      </c>
      <c r="AU877" s="28" t="str">
        <f t="shared" si="288"/>
        <v>NO</v>
      </c>
      <c r="AV877" s="28" t="str">
        <f t="shared" si="288"/>
        <v>NO</v>
      </c>
      <c r="AW877" s="28" t="str">
        <f t="shared" si="288"/>
        <v>NO</v>
      </c>
      <c r="AY877" s="85"/>
      <c r="AZ877" s="85"/>
    </row>
    <row r="878" spans="1:52" x14ac:dyDescent="0.25">
      <c r="A878" s="102" t="str">
        <f t="shared" si="270"/>
        <v>BD Leaching</v>
      </c>
      <c r="B878" s="102" t="s">
        <v>1229</v>
      </c>
      <c r="C878" s="102" t="s">
        <v>1191</v>
      </c>
      <c r="D878" t="s">
        <v>369</v>
      </c>
      <c r="E878" t="s">
        <v>61</v>
      </c>
      <c r="F878" t="s">
        <v>63</v>
      </c>
      <c r="G878" t="s">
        <v>1208</v>
      </c>
      <c r="H878" t="s">
        <v>1209</v>
      </c>
      <c r="I878" t="s">
        <v>139</v>
      </c>
      <c r="J878" t="s">
        <v>287</v>
      </c>
      <c r="K878" s="28" t="str">
        <f t="shared" ref="K878:AW878" si="289">K1526</f>
        <v>NO</v>
      </c>
      <c r="L878" s="28" t="str">
        <f t="shared" si="289"/>
        <v>NO</v>
      </c>
      <c r="M878" s="28" t="str">
        <f t="shared" si="289"/>
        <v>NO</v>
      </c>
      <c r="N878" s="28" t="str">
        <f t="shared" si="289"/>
        <v>NO</v>
      </c>
      <c r="O878" s="28" t="str">
        <f t="shared" si="289"/>
        <v>NO</v>
      </c>
      <c r="P878" s="28" t="str">
        <f t="shared" si="289"/>
        <v>NO</v>
      </c>
      <c r="Q878" s="28" t="str">
        <f t="shared" si="289"/>
        <v>NO</v>
      </c>
      <c r="R878" s="28" t="str">
        <f t="shared" si="289"/>
        <v>NO</v>
      </c>
      <c r="S878" s="28" t="str">
        <f t="shared" si="289"/>
        <v>NO</v>
      </c>
      <c r="T878" s="28" t="str">
        <f t="shared" si="289"/>
        <v>NO</v>
      </c>
      <c r="U878" s="28" t="str">
        <f t="shared" si="289"/>
        <v>NO</v>
      </c>
      <c r="V878" s="28" t="str">
        <f t="shared" si="289"/>
        <v>NO</v>
      </c>
      <c r="W878" s="28" t="str">
        <f t="shared" si="289"/>
        <v>NO</v>
      </c>
      <c r="X878" s="28" t="str">
        <f t="shared" si="289"/>
        <v>NO</v>
      </c>
      <c r="Y878" s="28" t="str">
        <f t="shared" si="289"/>
        <v>NO</v>
      </c>
      <c r="Z878" s="28" t="str">
        <f t="shared" si="289"/>
        <v>NO</v>
      </c>
      <c r="AA878" s="28" t="str">
        <f t="shared" si="289"/>
        <v>NO</v>
      </c>
      <c r="AB878" s="28" t="str">
        <f t="shared" si="289"/>
        <v>NO</v>
      </c>
      <c r="AC878" s="28" t="str">
        <f t="shared" si="289"/>
        <v>NO</v>
      </c>
      <c r="AD878" s="28" t="str">
        <f t="shared" si="289"/>
        <v>NO</v>
      </c>
      <c r="AE878" s="28" t="str">
        <f t="shared" si="289"/>
        <v>NO</v>
      </c>
      <c r="AF878" s="28" t="str">
        <f t="shared" si="289"/>
        <v>NO</v>
      </c>
      <c r="AG878" s="28" t="str">
        <f t="shared" si="289"/>
        <v>NO</v>
      </c>
      <c r="AH878" s="28" t="str">
        <f t="shared" si="289"/>
        <v>NO</v>
      </c>
      <c r="AI878" s="28" t="str">
        <f t="shared" si="289"/>
        <v>NO</v>
      </c>
      <c r="AJ878" s="28" t="str">
        <f t="shared" si="289"/>
        <v>NO</v>
      </c>
      <c r="AK878" s="28" t="str">
        <f t="shared" si="289"/>
        <v>NO</v>
      </c>
      <c r="AL878" s="28" t="str">
        <f t="shared" si="289"/>
        <v>NO</v>
      </c>
      <c r="AM878" s="28" t="str">
        <f t="shared" si="289"/>
        <v>NO</v>
      </c>
      <c r="AN878" s="28" t="str">
        <f t="shared" si="289"/>
        <v>NO</v>
      </c>
      <c r="AO878" s="28" t="str">
        <f t="shared" si="289"/>
        <v>NO</v>
      </c>
      <c r="AP878" s="28" t="str">
        <f t="shared" si="289"/>
        <v>NO</v>
      </c>
      <c r="AQ878" s="28" t="str">
        <f t="shared" si="289"/>
        <v>NO</v>
      </c>
      <c r="AR878" s="28" t="str">
        <f t="shared" si="289"/>
        <v>NO</v>
      </c>
      <c r="AS878" s="28" t="str">
        <f t="shared" si="289"/>
        <v>NO</v>
      </c>
      <c r="AT878" s="28" t="str">
        <f t="shared" si="289"/>
        <v>NO</v>
      </c>
      <c r="AU878" s="28" t="str">
        <f t="shared" si="289"/>
        <v>NO</v>
      </c>
      <c r="AV878" s="28" t="str">
        <f t="shared" si="289"/>
        <v>NO</v>
      </c>
      <c r="AW878" s="28" t="str">
        <f t="shared" si="289"/>
        <v>NO</v>
      </c>
      <c r="AY878" s="85"/>
      <c r="AZ878" s="85"/>
    </row>
    <row r="879" spans="1:52" x14ac:dyDescent="0.25">
      <c r="A879" s="102" t="str">
        <f t="shared" si="270"/>
        <v>BD Leaching</v>
      </c>
      <c r="B879" s="102" t="s">
        <v>1229</v>
      </c>
      <c r="C879" s="102" t="s">
        <v>1191</v>
      </c>
      <c r="D879" t="s">
        <v>369</v>
      </c>
      <c r="E879" t="s">
        <v>61</v>
      </c>
      <c r="F879" t="s">
        <v>63</v>
      </c>
      <c r="G879" t="s">
        <v>1210</v>
      </c>
      <c r="H879" t="s">
        <v>1211</v>
      </c>
      <c r="I879" t="s">
        <v>139</v>
      </c>
      <c r="J879" t="s">
        <v>287</v>
      </c>
      <c r="K879" s="28">
        <f t="shared" ref="K879:AW879" si="290">K1527</f>
        <v>1.9333864620707719E-6</v>
      </c>
      <c r="L879" s="28">
        <f t="shared" si="290"/>
        <v>1.9333864620707719E-6</v>
      </c>
      <c r="M879" s="28">
        <f t="shared" si="290"/>
        <v>1.9333864620707719E-6</v>
      </c>
      <c r="N879" s="28">
        <f t="shared" si="290"/>
        <v>1.9333864620707719E-6</v>
      </c>
      <c r="O879" s="28">
        <f t="shared" si="290"/>
        <v>1.9333864620707719E-6</v>
      </c>
      <c r="P879" s="28">
        <f t="shared" si="290"/>
        <v>1.9333864620707719E-6</v>
      </c>
      <c r="Q879" s="28">
        <f t="shared" si="290"/>
        <v>1.9333864620707719E-6</v>
      </c>
      <c r="R879" s="28">
        <f t="shared" si="290"/>
        <v>1.9333864620707719E-6</v>
      </c>
      <c r="S879" s="28">
        <f t="shared" si="290"/>
        <v>1.9333864620707719E-6</v>
      </c>
      <c r="T879" s="28">
        <f t="shared" si="290"/>
        <v>1.9333864620707719E-6</v>
      </c>
      <c r="U879" s="28">
        <f t="shared" si="290"/>
        <v>1.9333864620707719E-6</v>
      </c>
      <c r="V879" s="28">
        <f t="shared" si="290"/>
        <v>1.9333864620707719E-6</v>
      </c>
      <c r="W879" s="28">
        <f t="shared" si="290"/>
        <v>1.9333864620707719E-6</v>
      </c>
      <c r="X879" s="28">
        <f t="shared" si="290"/>
        <v>1.9333864620707719E-6</v>
      </c>
      <c r="Y879" s="28">
        <f t="shared" si="290"/>
        <v>1.9333864620707719E-6</v>
      </c>
      <c r="Z879" s="28">
        <f t="shared" si="290"/>
        <v>1.9333864620707719E-6</v>
      </c>
      <c r="AA879" s="28">
        <f t="shared" si="290"/>
        <v>1.9333864620707719E-6</v>
      </c>
      <c r="AB879" s="28">
        <f t="shared" si="290"/>
        <v>1.9333864620707719E-6</v>
      </c>
      <c r="AC879" s="28">
        <f t="shared" si="290"/>
        <v>1.9333864620707719E-6</v>
      </c>
      <c r="AD879" s="28">
        <f t="shared" si="290"/>
        <v>1.9333864620707719E-6</v>
      </c>
      <c r="AE879" s="28">
        <f t="shared" si="290"/>
        <v>1.9333864620707719E-6</v>
      </c>
      <c r="AF879" s="28">
        <f t="shared" si="290"/>
        <v>1.9333864620707719E-6</v>
      </c>
      <c r="AG879" s="28">
        <f t="shared" si="290"/>
        <v>1.9333864620707719E-6</v>
      </c>
      <c r="AH879" s="28">
        <f t="shared" si="290"/>
        <v>1.9333864620707719E-6</v>
      </c>
      <c r="AI879" s="28">
        <f t="shared" si="290"/>
        <v>1.9333864620707719E-6</v>
      </c>
      <c r="AJ879" s="28">
        <f t="shared" si="290"/>
        <v>1.9333864620707719E-6</v>
      </c>
      <c r="AK879" s="28">
        <f t="shared" si="290"/>
        <v>1.9333864620707719E-6</v>
      </c>
      <c r="AL879" s="28">
        <f t="shared" si="290"/>
        <v>1.9333864620707719E-6</v>
      </c>
      <c r="AM879" s="28">
        <f t="shared" si="290"/>
        <v>1.9333864620707719E-6</v>
      </c>
      <c r="AN879" s="28">
        <f t="shared" si="290"/>
        <v>1.9333864620707719E-6</v>
      </c>
      <c r="AO879" s="28">
        <f t="shared" si="290"/>
        <v>1.9333864620707719E-6</v>
      </c>
      <c r="AP879" s="28">
        <f t="shared" si="290"/>
        <v>1.9333864620707719E-6</v>
      </c>
      <c r="AQ879" s="28">
        <f t="shared" si="290"/>
        <v>1.9333864620707719E-6</v>
      </c>
      <c r="AR879" s="28">
        <f t="shared" si="290"/>
        <v>1.9333864620707719E-6</v>
      </c>
      <c r="AS879" s="28">
        <f t="shared" si="290"/>
        <v>1.9333864620707719E-6</v>
      </c>
      <c r="AT879" s="28">
        <f t="shared" si="290"/>
        <v>1.9333864620707719E-6</v>
      </c>
      <c r="AU879" s="28">
        <f t="shared" si="290"/>
        <v>1.9333864620707719E-6</v>
      </c>
      <c r="AV879" s="28">
        <f t="shared" si="290"/>
        <v>1.9333864620707719E-6</v>
      </c>
      <c r="AW879" s="28">
        <f t="shared" si="290"/>
        <v>1.9333864620707719E-6</v>
      </c>
      <c r="AY879" s="85"/>
      <c r="AZ879" s="85"/>
    </row>
    <row r="880" spans="1:52" x14ac:dyDescent="0.25">
      <c r="A880" s="102" t="str">
        <f t="shared" si="270"/>
        <v>BD Leaching</v>
      </c>
      <c r="B880" s="102" t="s">
        <v>1229</v>
      </c>
      <c r="C880" s="102" t="s">
        <v>1191</v>
      </c>
      <c r="D880" t="s">
        <v>369</v>
      </c>
      <c r="E880" t="s">
        <v>61</v>
      </c>
      <c r="F880" t="s">
        <v>63</v>
      </c>
      <c r="G880" t="s">
        <v>1212</v>
      </c>
      <c r="H880" t="s">
        <v>1213</v>
      </c>
      <c r="I880" t="s">
        <v>139</v>
      </c>
      <c r="J880" t="s">
        <v>287</v>
      </c>
      <c r="K880" s="28">
        <f t="shared" ref="K880:AW880" si="291">K1528</f>
        <v>2.1082459751876198E-3</v>
      </c>
      <c r="L880" s="28">
        <f t="shared" si="291"/>
        <v>2.1082459751876198E-3</v>
      </c>
      <c r="M880" s="28">
        <f t="shared" si="291"/>
        <v>2.1082459751876198E-3</v>
      </c>
      <c r="N880" s="28">
        <f t="shared" si="291"/>
        <v>2.1082459751876198E-3</v>
      </c>
      <c r="O880" s="28">
        <f t="shared" si="291"/>
        <v>2.1082459751876198E-3</v>
      </c>
      <c r="P880" s="28">
        <f t="shared" si="291"/>
        <v>2.1082459751876198E-3</v>
      </c>
      <c r="Q880" s="28">
        <f t="shared" si="291"/>
        <v>2.1082459751876198E-3</v>
      </c>
      <c r="R880" s="28">
        <f t="shared" si="291"/>
        <v>2.1082459751876198E-3</v>
      </c>
      <c r="S880" s="28">
        <f t="shared" si="291"/>
        <v>2.1082459751876198E-3</v>
      </c>
      <c r="T880" s="28">
        <f t="shared" si="291"/>
        <v>2.1082459751876198E-3</v>
      </c>
      <c r="U880" s="28">
        <f t="shared" si="291"/>
        <v>2.1082459751876198E-3</v>
      </c>
      <c r="V880" s="28">
        <f t="shared" si="291"/>
        <v>2.1082459751876198E-3</v>
      </c>
      <c r="W880" s="28">
        <f t="shared" si="291"/>
        <v>2.1082459751876198E-3</v>
      </c>
      <c r="X880" s="28">
        <f t="shared" si="291"/>
        <v>2.1082459751876198E-3</v>
      </c>
      <c r="Y880" s="28">
        <f t="shared" si="291"/>
        <v>2.1082459751876198E-3</v>
      </c>
      <c r="Z880" s="28">
        <f t="shared" si="291"/>
        <v>2.1082459751876198E-3</v>
      </c>
      <c r="AA880" s="28">
        <f t="shared" si="291"/>
        <v>2.1082459751876198E-3</v>
      </c>
      <c r="AB880" s="28">
        <f t="shared" si="291"/>
        <v>2.1082459751876198E-3</v>
      </c>
      <c r="AC880" s="28">
        <f t="shared" si="291"/>
        <v>2.1082459751876198E-3</v>
      </c>
      <c r="AD880" s="28">
        <f t="shared" si="291"/>
        <v>2.1082459751876198E-3</v>
      </c>
      <c r="AE880" s="28">
        <f t="shared" si="291"/>
        <v>2.1082459751876198E-3</v>
      </c>
      <c r="AF880" s="28">
        <f t="shared" si="291"/>
        <v>2.1082459751876198E-3</v>
      </c>
      <c r="AG880" s="28">
        <f t="shared" si="291"/>
        <v>2.1082459751876198E-3</v>
      </c>
      <c r="AH880" s="28">
        <f t="shared" si="291"/>
        <v>2.1082459751876198E-3</v>
      </c>
      <c r="AI880" s="28">
        <f t="shared" si="291"/>
        <v>2.1082459751876198E-3</v>
      </c>
      <c r="AJ880" s="28">
        <f t="shared" si="291"/>
        <v>2.1082459751876198E-3</v>
      </c>
      <c r="AK880" s="28">
        <f t="shared" si="291"/>
        <v>2.1082459751876198E-3</v>
      </c>
      <c r="AL880" s="28">
        <f t="shared" si="291"/>
        <v>2.1082459751876198E-3</v>
      </c>
      <c r="AM880" s="28">
        <f t="shared" si="291"/>
        <v>2.1082459751876198E-3</v>
      </c>
      <c r="AN880" s="28">
        <f t="shared" si="291"/>
        <v>2.1082459751876198E-3</v>
      </c>
      <c r="AO880" s="28">
        <f t="shared" si="291"/>
        <v>2.1082459751876198E-3</v>
      </c>
      <c r="AP880" s="28">
        <f t="shared" si="291"/>
        <v>2.1082459751876198E-3</v>
      </c>
      <c r="AQ880" s="28">
        <f t="shared" si="291"/>
        <v>2.1082459751876198E-3</v>
      </c>
      <c r="AR880" s="28">
        <f t="shared" si="291"/>
        <v>2.1082459751876198E-3</v>
      </c>
      <c r="AS880" s="28">
        <f t="shared" si="291"/>
        <v>2.1082459751876198E-3</v>
      </c>
      <c r="AT880" s="28">
        <f t="shared" si="291"/>
        <v>2.1082459751876198E-3</v>
      </c>
      <c r="AU880" s="28">
        <f t="shared" si="291"/>
        <v>2.1082459751876198E-3</v>
      </c>
      <c r="AV880" s="28">
        <f t="shared" si="291"/>
        <v>2.1082459751876198E-3</v>
      </c>
      <c r="AW880" s="28">
        <f t="shared" si="291"/>
        <v>2.1082459751876198E-3</v>
      </c>
      <c r="AY880" s="85"/>
      <c r="AZ880" s="85"/>
    </row>
    <row r="881" spans="1:52" x14ac:dyDescent="0.25">
      <c r="A881" s="102" t="str">
        <f t="shared" si="270"/>
        <v>BD Leaching</v>
      </c>
      <c r="B881" s="102" t="s">
        <v>1229</v>
      </c>
      <c r="C881" s="102" t="s">
        <v>1191</v>
      </c>
      <c r="D881" t="s">
        <v>369</v>
      </c>
      <c r="E881" t="s">
        <v>61</v>
      </c>
      <c r="F881" t="s">
        <v>63</v>
      </c>
      <c r="G881" t="s">
        <v>1214</v>
      </c>
      <c r="H881" t="s">
        <v>1215</v>
      </c>
      <c r="I881" t="s">
        <v>139</v>
      </c>
      <c r="J881" t="s">
        <v>287</v>
      </c>
      <c r="K881" s="28" t="str">
        <f t="shared" ref="K881:AW881" si="292">K1529</f>
        <v>NO</v>
      </c>
      <c r="L881" s="28" t="str">
        <f t="shared" si="292"/>
        <v>NO</v>
      </c>
      <c r="M881" s="28" t="str">
        <f t="shared" si="292"/>
        <v>NO</v>
      </c>
      <c r="N881" s="28" t="str">
        <f t="shared" si="292"/>
        <v>NO</v>
      </c>
      <c r="O881" s="28" t="str">
        <f t="shared" si="292"/>
        <v>NO</v>
      </c>
      <c r="P881" s="28" t="str">
        <f t="shared" si="292"/>
        <v>NO</v>
      </c>
      <c r="Q881" s="28" t="str">
        <f t="shared" si="292"/>
        <v>NO</v>
      </c>
      <c r="R881" s="28" t="str">
        <f t="shared" si="292"/>
        <v>NO</v>
      </c>
      <c r="S881" s="28" t="str">
        <f t="shared" si="292"/>
        <v>NO</v>
      </c>
      <c r="T881" s="28" t="str">
        <f t="shared" si="292"/>
        <v>NO</v>
      </c>
      <c r="U881" s="28" t="str">
        <f t="shared" si="292"/>
        <v>NO</v>
      </c>
      <c r="V881" s="28" t="str">
        <f t="shared" si="292"/>
        <v>NO</v>
      </c>
      <c r="W881" s="28" t="str">
        <f t="shared" si="292"/>
        <v>NO</v>
      </c>
      <c r="X881" s="28" t="str">
        <f t="shared" si="292"/>
        <v>NO</v>
      </c>
      <c r="Y881" s="28" t="str">
        <f t="shared" si="292"/>
        <v>NO</v>
      </c>
      <c r="Z881" s="28" t="str">
        <f t="shared" si="292"/>
        <v>NO</v>
      </c>
      <c r="AA881" s="28" t="str">
        <f t="shared" si="292"/>
        <v>NO</v>
      </c>
      <c r="AB881" s="28" t="str">
        <f t="shared" si="292"/>
        <v>NO</v>
      </c>
      <c r="AC881" s="28" t="str">
        <f t="shared" si="292"/>
        <v>NO</v>
      </c>
      <c r="AD881" s="28" t="str">
        <f t="shared" si="292"/>
        <v>NO</v>
      </c>
      <c r="AE881" s="28" t="str">
        <f t="shared" si="292"/>
        <v>NO</v>
      </c>
      <c r="AF881" s="28" t="str">
        <f t="shared" si="292"/>
        <v>NO</v>
      </c>
      <c r="AG881" s="28" t="str">
        <f t="shared" si="292"/>
        <v>NO</v>
      </c>
      <c r="AH881" s="28" t="str">
        <f t="shared" si="292"/>
        <v>NO</v>
      </c>
      <c r="AI881" s="28" t="str">
        <f t="shared" si="292"/>
        <v>NO</v>
      </c>
      <c r="AJ881" s="28" t="str">
        <f t="shared" si="292"/>
        <v>NO</v>
      </c>
      <c r="AK881" s="28" t="str">
        <f t="shared" si="292"/>
        <v>NO</v>
      </c>
      <c r="AL881" s="28" t="str">
        <f t="shared" si="292"/>
        <v>NO</v>
      </c>
      <c r="AM881" s="28" t="str">
        <f t="shared" si="292"/>
        <v>NO</v>
      </c>
      <c r="AN881" s="28" t="str">
        <f t="shared" si="292"/>
        <v>NO</v>
      </c>
      <c r="AO881" s="28" t="str">
        <f t="shared" si="292"/>
        <v>NO</v>
      </c>
      <c r="AP881" s="28" t="str">
        <f t="shared" si="292"/>
        <v>NO</v>
      </c>
      <c r="AQ881" s="28" t="str">
        <f t="shared" si="292"/>
        <v>NO</v>
      </c>
      <c r="AR881" s="28" t="str">
        <f t="shared" si="292"/>
        <v>NO</v>
      </c>
      <c r="AS881" s="28" t="str">
        <f t="shared" si="292"/>
        <v>NO</v>
      </c>
      <c r="AT881" s="28" t="str">
        <f t="shared" si="292"/>
        <v>NO</v>
      </c>
      <c r="AU881" s="28" t="str">
        <f t="shared" si="292"/>
        <v>NO</v>
      </c>
      <c r="AV881" s="28" t="str">
        <f t="shared" si="292"/>
        <v>NO</v>
      </c>
      <c r="AW881" s="28" t="str">
        <f t="shared" si="292"/>
        <v>NO</v>
      </c>
      <c r="AY881" s="85"/>
      <c r="AZ881" s="85"/>
    </row>
    <row r="882" spans="1:52" x14ac:dyDescent="0.25">
      <c r="A882" s="102"/>
      <c r="B882" s="102" t="s">
        <v>1229</v>
      </c>
      <c r="C882" s="102"/>
      <c r="D882" t="s">
        <v>369</v>
      </c>
      <c r="E882" t="s">
        <v>61</v>
      </c>
      <c r="F882" t="s">
        <v>63</v>
      </c>
      <c r="G882" t="s">
        <v>1216</v>
      </c>
      <c r="H882" t="s">
        <v>1217</v>
      </c>
      <c r="I882" t="s">
        <v>139</v>
      </c>
      <c r="J882" t="s">
        <v>287</v>
      </c>
      <c r="K882" s="28">
        <f t="shared" ref="K882:AW882" si="293">K1530</f>
        <v>0.11026792439175388</v>
      </c>
      <c r="L882" s="28">
        <f t="shared" si="293"/>
        <v>0.11026792439175388</v>
      </c>
      <c r="M882" s="28">
        <f t="shared" si="293"/>
        <v>0.11026792439175388</v>
      </c>
      <c r="N882" s="28">
        <f t="shared" si="293"/>
        <v>0.11026792439175388</v>
      </c>
      <c r="O882" s="28">
        <f t="shared" si="293"/>
        <v>0.11026792439175388</v>
      </c>
      <c r="P882" s="28">
        <f t="shared" si="293"/>
        <v>0.11026792439175388</v>
      </c>
      <c r="Q882" s="28">
        <f t="shared" si="293"/>
        <v>0.11026792439175388</v>
      </c>
      <c r="R882" s="28">
        <f t="shared" si="293"/>
        <v>0.11026792439175388</v>
      </c>
      <c r="S882" s="28">
        <f t="shared" si="293"/>
        <v>0.11026792439175388</v>
      </c>
      <c r="T882" s="28">
        <f t="shared" si="293"/>
        <v>0.11026792439175388</v>
      </c>
      <c r="U882" s="28">
        <f t="shared" si="293"/>
        <v>0.11026792439175388</v>
      </c>
      <c r="V882" s="28">
        <f t="shared" si="293"/>
        <v>0.11026792439175388</v>
      </c>
      <c r="W882" s="28">
        <f t="shared" si="293"/>
        <v>0.11026792439175388</v>
      </c>
      <c r="X882" s="28">
        <f t="shared" si="293"/>
        <v>0.11026792439175388</v>
      </c>
      <c r="Y882" s="28">
        <f t="shared" si="293"/>
        <v>0.11026792439175388</v>
      </c>
      <c r="Z882" s="28">
        <f t="shared" si="293"/>
        <v>0.11026792439175388</v>
      </c>
      <c r="AA882" s="28">
        <f t="shared" si="293"/>
        <v>0.11026792439175388</v>
      </c>
      <c r="AB882" s="28">
        <f t="shared" si="293"/>
        <v>0.11026792439175388</v>
      </c>
      <c r="AC882" s="28">
        <f t="shared" si="293"/>
        <v>0.11026792439175388</v>
      </c>
      <c r="AD882" s="28">
        <f t="shared" si="293"/>
        <v>0.11026792439175388</v>
      </c>
      <c r="AE882" s="28">
        <f t="shared" si="293"/>
        <v>0.11026792439175388</v>
      </c>
      <c r="AF882" s="28">
        <f t="shared" si="293"/>
        <v>0.11026792439175388</v>
      </c>
      <c r="AG882" s="28">
        <f t="shared" si="293"/>
        <v>0.11026792439175388</v>
      </c>
      <c r="AH882" s="28">
        <f t="shared" si="293"/>
        <v>0.11026792439175388</v>
      </c>
      <c r="AI882" s="28">
        <f t="shared" si="293"/>
        <v>0.11026792439175388</v>
      </c>
      <c r="AJ882" s="28">
        <f t="shared" si="293"/>
        <v>0.11026792439175388</v>
      </c>
      <c r="AK882" s="28">
        <f t="shared" si="293"/>
        <v>0.11026792439175388</v>
      </c>
      <c r="AL882" s="28">
        <f t="shared" si="293"/>
        <v>0.11026792439175388</v>
      </c>
      <c r="AM882" s="28">
        <f t="shared" si="293"/>
        <v>0.11026792439175388</v>
      </c>
      <c r="AN882" s="28">
        <f t="shared" si="293"/>
        <v>0.11026792439175388</v>
      </c>
      <c r="AO882" s="28">
        <f t="shared" si="293"/>
        <v>0.11026792439175388</v>
      </c>
      <c r="AP882" s="28">
        <f t="shared" si="293"/>
        <v>0.11026792439175388</v>
      </c>
      <c r="AQ882" s="28">
        <f t="shared" si="293"/>
        <v>0.11026792439175388</v>
      </c>
      <c r="AR882" s="28">
        <f t="shared" si="293"/>
        <v>0.11026792439175388</v>
      </c>
      <c r="AS882" s="28">
        <f t="shared" si="293"/>
        <v>0.11026792439175388</v>
      </c>
      <c r="AT882" s="28">
        <f t="shared" si="293"/>
        <v>0.11026792439175388</v>
      </c>
      <c r="AU882" s="28">
        <f t="shared" si="293"/>
        <v>0.11026792439175388</v>
      </c>
      <c r="AV882" s="28">
        <f t="shared" si="293"/>
        <v>0.11026792439175388</v>
      </c>
      <c r="AW882" s="28">
        <f t="shared" si="293"/>
        <v>0.11026792439175388</v>
      </c>
      <c r="AY882" s="85"/>
      <c r="AZ882" s="85"/>
    </row>
    <row r="883" spans="1:52" x14ac:dyDescent="0.25">
      <c r="A883" s="102" t="str">
        <f t="shared" si="270"/>
        <v>BD MM Volatilisation</v>
      </c>
      <c r="B883" s="102" t="s">
        <v>1229</v>
      </c>
      <c r="C883" s="102" t="s">
        <v>1333</v>
      </c>
      <c r="D883" t="s">
        <v>369</v>
      </c>
      <c r="E883" t="s">
        <v>64</v>
      </c>
      <c r="F883" t="s">
        <v>62</v>
      </c>
      <c r="G883" t="s">
        <v>1153</v>
      </c>
      <c r="H883" t="s">
        <v>1291</v>
      </c>
      <c r="I883" t="s">
        <v>139</v>
      </c>
      <c r="J883" t="s">
        <v>287</v>
      </c>
      <c r="K883" s="28">
        <f t="shared" ref="K883:AW883" si="294">K1531</f>
        <v>0.39681521114916435</v>
      </c>
      <c r="L883" s="28">
        <f t="shared" si="294"/>
        <v>0.39928346869815806</v>
      </c>
      <c r="M883" s="28">
        <f t="shared" si="294"/>
        <v>0.4009804297645459</v>
      </c>
      <c r="N883" s="28">
        <f t="shared" si="294"/>
        <v>0.40151262173495006</v>
      </c>
      <c r="O883" s="28">
        <f t="shared" si="294"/>
        <v>0.40223259805813538</v>
      </c>
      <c r="P883" s="28">
        <f t="shared" si="294"/>
        <v>0.40380961974030649</v>
      </c>
      <c r="Q883" s="28">
        <f t="shared" si="294"/>
        <v>0.40570030877561336</v>
      </c>
      <c r="R883" s="28">
        <f t="shared" si="294"/>
        <v>0.4062682914839757</v>
      </c>
      <c r="S883" s="28">
        <f t="shared" si="294"/>
        <v>0.39379594618948027</v>
      </c>
      <c r="T883" s="28">
        <f t="shared" si="294"/>
        <v>0.39703951074089222</v>
      </c>
      <c r="U883" s="28">
        <f t="shared" si="294"/>
        <v>0.40001376732014149</v>
      </c>
      <c r="V883" s="28">
        <f t="shared" si="294"/>
        <v>0.4030633713994573</v>
      </c>
      <c r="W883" s="28">
        <f t="shared" si="294"/>
        <v>0.40673703435821862</v>
      </c>
      <c r="X883" s="28">
        <f t="shared" si="294"/>
        <v>0.41047963139436411</v>
      </c>
      <c r="Y883" s="28">
        <f t="shared" si="294"/>
        <v>0.41412386702749909</v>
      </c>
      <c r="Z883" s="28">
        <f t="shared" si="294"/>
        <v>0.41769519693164076</v>
      </c>
      <c r="AA883" s="28">
        <f t="shared" si="294"/>
        <v>0.42154191092161625</v>
      </c>
      <c r="AB883" s="28">
        <f t="shared" si="294"/>
        <v>0.42518467345636607</v>
      </c>
      <c r="AC883" s="28">
        <f t="shared" si="294"/>
        <v>0.42895809934446105</v>
      </c>
      <c r="AD883" s="28">
        <f t="shared" si="294"/>
        <v>0.43329342136251764</v>
      </c>
      <c r="AE883" s="28">
        <f t="shared" si="294"/>
        <v>0.43801504276628445</v>
      </c>
      <c r="AF883" s="28">
        <f t="shared" si="294"/>
        <v>0.44292407628311159</v>
      </c>
      <c r="AG883" s="28">
        <f t="shared" si="294"/>
        <v>0.44360979324480354</v>
      </c>
      <c r="AH883" s="28">
        <f t="shared" si="294"/>
        <v>0.23750435523455551</v>
      </c>
      <c r="AI883" s="28">
        <f t="shared" si="294"/>
        <v>0.23767903823802267</v>
      </c>
      <c r="AJ883" s="28">
        <f t="shared" si="294"/>
        <v>0.23787666796336571</v>
      </c>
      <c r="AK883" s="28">
        <f t="shared" si="294"/>
        <v>0.23809637221397845</v>
      </c>
      <c r="AL883" s="28">
        <f t="shared" si="294"/>
        <v>0.2383373459663993</v>
      </c>
      <c r="AM883" s="28">
        <f t="shared" si="294"/>
        <v>0.23859884500343068</v>
      </c>
      <c r="AN883" s="28">
        <f t="shared" si="294"/>
        <v>0.23871142815197754</v>
      </c>
      <c r="AO883" s="28">
        <f t="shared" si="294"/>
        <v>0.23884208664335624</v>
      </c>
      <c r="AP883" s="28">
        <f t="shared" si="294"/>
        <v>0.23899018916140971</v>
      </c>
      <c r="AQ883" s="28">
        <f t="shared" si="294"/>
        <v>0.2391551474689631</v>
      </c>
      <c r="AR883" s="28">
        <f t="shared" si="294"/>
        <v>0.23933641275222764</v>
      </c>
      <c r="AS883" s="28">
        <f t="shared" si="294"/>
        <v>0.23936290185366965</v>
      </c>
      <c r="AT883" s="28">
        <f t="shared" si="294"/>
        <v>0.23940384749309143</v>
      </c>
      <c r="AU883" s="28">
        <f t="shared" si="294"/>
        <v>0.23945877050598915</v>
      </c>
      <c r="AV883" s="28">
        <f t="shared" si="294"/>
        <v>0.23952722091813589</v>
      </c>
      <c r="AW883" s="28">
        <f t="shared" si="294"/>
        <v>0.23960877570322184</v>
      </c>
      <c r="AY883" s="85"/>
      <c r="AZ883" s="85"/>
    </row>
    <row r="884" spans="1:52" x14ac:dyDescent="0.25">
      <c r="A884" s="102" t="str">
        <f t="shared" si="270"/>
        <v>BD MM Volatilisation</v>
      </c>
      <c r="B884" s="102" t="s">
        <v>1229</v>
      </c>
      <c r="C884" s="102" t="s">
        <v>1333</v>
      </c>
      <c r="D884" t="s">
        <v>369</v>
      </c>
      <c r="E884" t="s">
        <v>64</v>
      </c>
      <c r="F884" t="s">
        <v>62</v>
      </c>
      <c r="G884" t="s">
        <v>1155</v>
      </c>
      <c r="H884" t="s">
        <v>1292</v>
      </c>
      <c r="I884" t="s">
        <v>139</v>
      </c>
      <c r="J884" t="s">
        <v>287</v>
      </c>
      <c r="K884" s="28">
        <f t="shared" ref="K884:AW884" si="295">K1532</f>
        <v>3.1306447478246062E-2</v>
      </c>
      <c r="L884" s="28">
        <f t="shared" si="295"/>
        <v>3.1501178862399851E-2</v>
      </c>
      <c r="M884" s="28">
        <f t="shared" si="295"/>
        <v>3.163505937152563E-2</v>
      </c>
      <c r="N884" s="28">
        <f t="shared" si="295"/>
        <v>3.167704626996521E-2</v>
      </c>
      <c r="O884" s="28">
        <f t="shared" si="295"/>
        <v>3.1733848278341123E-2</v>
      </c>
      <c r="P884" s="28">
        <f t="shared" si="295"/>
        <v>3.1858266256981516E-2</v>
      </c>
      <c r="Q884" s="28">
        <f t="shared" si="295"/>
        <v>3.2007430793315993E-2</v>
      </c>
      <c r="R884" s="28">
        <f t="shared" si="295"/>
        <v>3.2052241375996028E-2</v>
      </c>
      <c r="S884" s="28">
        <f t="shared" si="295"/>
        <v>3.1068244765175855E-2</v>
      </c>
      <c r="T884" s="28">
        <f t="shared" si="295"/>
        <v>3.1324143431401406E-2</v>
      </c>
      <c r="U884" s="28">
        <f t="shared" si="295"/>
        <v>3.1558795241031987E-2</v>
      </c>
      <c r="V884" s="28">
        <f t="shared" si="295"/>
        <v>3.1799391536879773E-2</v>
      </c>
      <c r="W884" s="28">
        <f t="shared" si="295"/>
        <v>3.2089222504140757E-2</v>
      </c>
      <c r="X884" s="28">
        <f t="shared" si="295"/>
        <v>3.2384491975300946E-2</v>
      </c>
      <c r="Y884" s="28">
        <f t="shared" si="295"/>
        <v>3.2672001295109276E-2</v>
      </c>
      <c r="Z884" s="28">
        <f t="shared" si="295"/>
        <v>3.2953758770453305E-2</v>
      </c>
      <c r="AA884" s="28">
        <f t="shared" si="295"/>
        <v>3.3257242472961211E-2</v>
      </c>
      <c r="AB884" s="28">
        <f t="shared" si="295"/>
        <v>3.3544635573743833E-2</v>
      </c>
      <c r="AC884" s="28">
        <f t="shared" si="295"/>
        <v>3.3842337264756606E-2</v>
      </c>
      <c r="AD884" s="28">
        <f t="shared" si="295"/>
        <v>3.4184369342273299E-2</v>
      </c>
      <c r="AE884" s="28">
        <f t="shared" si="295"/>
        <v>3.4556878228868437E-2</v>
      </c>
      <c r="AF884" s="28">
        <f t="shared" si="295"/>
        <v>3.494417285781784E-2</v>
      </c>
      <c r="AG884" s="28">
        <f t="shared" si="295"/>
        <v>3.4998271998785704E-2</v>
      </c>
      <c r="AH884" s="28">
        <f t="shared" si="295"/>
        <v>1.873773336831663E-2</v>
      </c>
      <c r="AI884" s="28">
        <f t="shared" si="295"/>
        <v>1.8751514856827491E-2</v>
      </c>
      <c r="AJ884" s="28">
        <f t="shared" si="295"/>
        <v>1.8767106710271497E-2</v>
      </c>
      <c r="AK884" s="28">
        <f t="shared" si="295"/>
        <v>1.8784440117331772E-2</v>
      </c>
      <c r="AL884" s="28">
        <f t="shared" si="295"/>
        <v>1.8803451566267792E-2</v>
      </c>
      <c r="AM884" s="28">
        <f t="shared" si="295"/>
        <v>1.882408234260504E-2</v>
      </c>
      <c r="AN884" s="28">
        <f t="shared" si="295"/>
        <v>1.883296450822745E-2</v>
      </c>
      <c r="AO884" s="28">
        <f t="shared" si="295"/>
        <v>1.8843272714876302E-2</v>
      </c>
      <c r="AP884" s="28">
        <f t="shared" si="295"/>
        <v>1.8854957155322545E-2</v>
      </c>
      <c r="AQ884" s="28">
        <f t="shared" si="295"/>
        <v>1.8867971421022103E-2</v>
      </c>
      <c r="AR884" s="28">
        <f t="shared" si="295"/>
        <v>1.8882272213710256E-2</v>
      </c>
      <c r="AS884" s="28">
        <f t="shared" si="295"/>
        <v>1.888436205210289E-2</v>
      </c>
      <c r="AT884" s="28">
        <f t="shared" si="295"/>
        <v>1.8887592428545139E-2</v>
      </c>
      <c r="AU884" s="28">
        <f t="shared" si="295"/>
        <v>1.8891925539701964E-2</v>
      </c>
      <c r="AV884" s="28">
        <f t="shared" si="295"/>
        <v>1.8897325885184005E-2</v>
      </c>
      <c r="AW884" s="28">
        <f t="shared" si="295"/>
        <v>1.8903760090638235E-2</v>
      </c>
      <c r="AY884" s="85"/>
      <c r="AZ884" s="85"/>
    </row>
    <row r="885" spans="1:52" x14ac:dyDescent="0.25">
      <c r="A885" s="102" t="str">
        <f t="shared" si="270"/>
        <v>BD MM Volatilisation</v>
      </c>
      <c r="B885" s="102" t="s">
        <v>1229</v>
      </c>
      <c r="C885" s="102" t="s">
        <v>1333</v>
      </c>
      <c r="D885" t="s">
        <v>369</v>
      </c>
      <c r="E885" t="s">
        <v>64</v>
      </c>
      <c r="F885" t="s">
        <v>62</v>
      </c>
      <c r="G885" t="s">
        <v>1157</v>
      </c>
      <c r="H885" t="s">
        <v>1293</v>
      </c>
      <c r="I885" t="s">
        <v>139</v>
      </c>
      <c r="J885" t="s">
        <v>287</v>
      </c>
      <c r="K885" s="28">
        <f t="shared" ref="K885:AW885" si="296">K1533</f>
        <v>2.9019834302377478E-4</v>
      </c>
      <c r="L885" s="28">
        <f t="shared" si="296"/>
        <v>2.9200342566866507E-4</v>
      </c>
      <c r="M885" s="28">
        <f t="shared" si="296"/>
        <v>2.9324444485292345E-4</v>
      </c>
      <c r="N885" s="28">
        <f t="shared" si="296"/>
        <v>2.9363364673743434E-4</v>
      </c>
      <c r="O885" s="28">
        <f t="shared" si="296"/>
        <v>2.9416017881114109E-4</v>
      </c>
      <c r="P885" s="28">
        <f t="shared" si="296"/>
        <v>2.9531348409334853E-4</v>
      </c>
      <c r="Q885" s="28">
        <f t="shared" si="296"/>
        <v>2.9669618014381078E-4</v>
      </c>
      <c r="R885" s="28">
        <f t="shared" si="296"/>
        <v>2.971115564605491E-4</v>
      </c>
      <c r="S885" s="28">
        <f t="shared" si="296"/>
        <v>2.879902984130032E-4</v>
      </c>
      <c r="T885" s="28">
        <f t="shared" si="296"/>
        <v>2.9036237748624366E-4</v>
      </c>
      <c r="U885" s="28">
        <f t="shared" si="296"/>
        <v>2.9253750663143477E-4</v>
      </c>
      <c r="V885" s="28">
        <f t="shared" si="296"/>
        <v>2.9476773880457414E-4</v>
      </c>
      <c r="W885" s="28">
        <f t="shared" si="296"/>
        <v>2.9745435684114832E-4</v>
      </c>
      <c r="X885" s="28">
        <f t="shared" si="296"/>
        <v>3.0019138765040044E-4</v>
      </c>
      <c r="Y885" s="28">
        <f t="shared" si="296"/>
        <v>3.0285648493651841E-4</v>
      </c>
      <c r="Z885" s="28">
        <f t="shared" si="296"/>
        <v>3.0546826490728061E-4</v>
      </c>
      <c r="AA885" s="28">
        <f t="shared" si="296"/>
        <v>3.0828143838101019E-4</v>
      </c>
      <c r="AB885" s="28">
        <f t="shared" si="296"/>
        <v>3.1094545836288565E-4</v>
      </c>
      <c r="AC885" s="28">
        <f t="shared" si="296"/>
        <v>3.1370503488485662E-4</v>
      </c>
      <c r="AD885" s="28">
        <f t="shared" si="296"/>
        <v>3.1687553649559658E-4</v>
      </c>
      <c r="AE885" s="28">
        <f t="shared" si="296"/>
        <v>3.2032854603066614E-4</v>
      </c>
      <c r="AF885" s="28">
        <f t="shared" si="296"/>
        <v>3.2391861352910146E-4</v>
      </c>
      <c r="AG885" s="28">
        <f t="shared" si="296"/>
        <v>3.2442009109466666E-4</v>
      </c>
      <c r="AH885" s="28">
        <f t="shared" si="296"/>
        <v>1.7369135157495116E-4</v>
      </c>
      <c r="AI885" s="28">
        <f t="shared" si="296"/>
        <v>1.7381910050376308E-4</v>
      </c>
      <c r="AJ885" s="28">
        <f t="shared" si="296"/>
        <v>1.7396363079699625E-4</v>
      </c>
      <c r="AK885" s="28">
        <f t="shared" si="296"/>
        <v>1.7412430460105353E-4</v>
      </c>
      <c r="AL885" s="28">
        <f t="shared" si="296"/>
        <v>1.7430053318730711E-4</v>
      </c>
      <c r="AM885" s="28">
        <f t="shared" si="296"/>
        <v>1.7449177229588125E-4</v>
      </c>
      <c r="AN885" s="28">
        <f t="shared" si="296"/>
        <v>1.7457410644599133E-4</v>
      </c>
      <c r="AO885" s="28">
        <f t="shared" si="296"/>
        <v>1.7466965943044039E-4</v>
      </c>
      <c r="AP885" s="28">
        <f t="shared" si="296"/>
        <v>1.7477796955598287E-4</v>
      </c>
      <c r="AQ885" s="28">
        <f t="shared" si="296"/>
        <v>1.7489860663383425E-4</v>
      </c>
      <c r="AR885" s="28">
        <f t="shared" si="296"/>
        <v>1.7503116930626492E-4</v>
      </c>
      <c r="AS885" s="28">
        <f t="shared" si="296"/>
        <v>1.7505054127873651E-4</v>
      </c>
      <c r="AT885" s="28">
        <f t="shared" si="296"/>
        <v>1.7508048558626403E-4</v>
      </c>
      <c r="AU885" s="28">
        <f t="shared" si="296"/>
        <v>1.7512065180693548E-4</v>
      </c>
      <c r="AV885" s="28">
        <f t="shared" si="296"/>
        <v>1.7517071086623097E-4</v>
      </c>
      <c r="AW885" s="28">
        <f t="shared" si="296"/>
        <v>1.752303533971437E-4</v>
      </c>
      <c r="AY885" s="85"/>
      <c r="AZ885" s="85"/>
    </row>
    <row r="886" spans="1:52" x14ac:dyDescent="0.25">
      <c r="A886" s="102" t="str">
        <f t="shared" si="270"/>
        <v>BD MM Volatilisation</v>
      </c>
      <c r="B886" s="102" t="s">
        <v>1229</v>
      </c>
      <c r="C886" s="102" t="s">
        <v>1333</v>
      </c>
      <c r="D886" t="s">
        <v>369</v>
      </c>
      <c r="E886" t="s">
        <v>64</v>
      </c>
      <c r="F886" t="s">
        <v>62</v>
      </c>
      <c r="G886" t="s">
        <v>1159</v>
      </c>
      <c r="H886" t="s">
        <v>1294</v>
      </c>
      <c r="I886" t="s">
        <v>139</v>
      </c>
      <c r="J886" t="s">
        <v>287</v>
      </c>
      <c r="K886" s="28">
        <f t="shared" ref="K886:AW886" si="297">K1534</f>
        <v>3.2608020345335862E-3</v>
      </c>
      <c r="L886" s="28">
        <f t="shared" si="297"/>
        <v>3.2391880107785257E-3</v>
      </c>
      <c r="M886" s="28">
        <f t="shared" si="297"/>
        <v>3.1936162901030117E-3</v>
      </c>
      <c r="N886" s="28">
        <f t="shared" si="297"/>
        <v>3.1167988395678259E-3</v>
      </c>
      <c r="O886" s="28">
        <f t="shared" si="297"/>
        <v>3.0422686858160779E-3</v>
      </c>
      <c r="P886" s="28">
        <f t="shared" si="297"/>
        <v>2.9849445368563851E-3</v>
      </c>
      <c r="Q886" s="28">
        <f t="shared" si="297"/>
        <v>2.9330944027971869E-3</v>
      </c>
      <c r="R886" s="28">
        <f t="shared" si="297"/>
        <v>2.8515726706301167E-3</v>
      </c>
      <c r="S886" s="28">
        <f t="shared" si="297"/>
        <v>2.5010020765287512E-3</v>
      </c>
      <c r="T886" s="28">
        <f t="shared" si="297"/>
        <v>2.5248406363190491E-3</v>
      </c>
      <c r="U886" s="28">
        <f t="shared" si="297"/>
        <v>2.5409715409254918E-3</v>
      </c>
      <c r="V886" s="28">
        <f t="shared" si="297"/>
        <v>2.5565777764954734E-3</v>
      </c>
      <c r="W886" s="28">
        <f t="shared" si="297"/>
        <v>2.5823867364318034E-3</v>
      </c>
      <c r="X886" s="28">
        <f t="shared" si="297"/>
        <v>2.6073450964004788E-3</v>
      </c>
      <c r="Y886" s="28">
        <f t="shared" si="297"/>
        <v>2.6335476280108239E-3</v>
      </c>
      <c r="Z886" s="28">
        <f t="shared" si="297"/>
        <v>2.6563592492195348E-3</v>
      </c>
      <c r="AA886" s="28">
        <f t="shared" si="297"/>
        <v>2.6823219674710947E-3</v>
      </c>
      <c r="AB886" s="28">
        <f t="shared" si="297"/>
        <v>2.7026386741679817E-3</v>
      </c>
      <c r="AC886" s="28">
        <f t="shared" si="297"/>
        <v>2.7235128371703343E-3</v>
      </c>
      <c r="AD886" s="28">
        <f t="shared" si="297"/>
        <v>2.7332352588004378E-3</v>
      </c>
      <c r="AE886" s="28">
        <f t="shared" si="297"/>
        <v>2.7465666714111786E-3</v>
      </c>
      <c r="AF886" s="28">
        <f t="shared" si="297"/>
        <v>2.7598466332323141E-3</v>
      </c>
      <c r="AG886" s="28">
        <f t="shared" si="297"/>
        <v>2.7013158272562879E-3</v>
      </c>
      <c r="AH886" s="28">
        <f t="shared" si="297"/>
        <v>-6.3720303992201288E-4</v>
      </c>
      <c r="AI886" s="28">
        <f t="shared" si="297"/>
        <v>-6.2242214557858356E-4</v>
      </c>
      <c r="AJ886" s="28">
        <f t="shared" si="297"/>
        <v>-6.0787631384089666E-4</v>
      </c>
      <c r="AK886" s="28">
        <f t="shared" si="297"/>
        <v>-5.9355323338830307E-4</v>
      </c>
      <c r="AL886" s="28">
        <f t="shared" si="297"/>
        <v>-5.7944144405540506E-4</v>
      </c>
      <c r="AM886" s="28">
        <f t="shared" si="297"/>
        <v>-5.6553025796044789E-4</v>
      </c>
      <c r="AN886" s="28">
        <f t="shared" si="297"/>
        <v>-5.5425143288870022E-4</v>
      </c>
      <c r="AO886" s="28">
        <f t="shared" si="297"/>
        <v>-5.4314296084699478E-4</v>
      </c>
      <c r="AP886" s="28">
        <f t="shared" si="297"/>
        <v>-5.3219712228052369E-4</v>
      </c>
      <c r="AQ886" s="28">
        <f t="shared" si="297"/>
        <v>-5.2140667775092773E-4</v>
      </c>
      <c r="AR886" s="28">
        <f t="shared" si="297"/>
        <v>-5.107648281267109E-4</v>
      </c>
      <c r="AS886" s="28">
        <f t="shared" si="297"/>
        <v>-4.999251820077483E-4</v>
      </c>
      <c r="AT886" s="28">
        <f t="shared" si="297"/>
        <v>-4.8923459484670278E-4</v>
      </c>
      <c r="AU886" s="28">
        <f t="shared" si="297"/>
        <v>-4.7868720289580258E-4</v>
      </c>
      <c r="AV886" s="28">
        <f t="shared" si="297"/>
        <v>-4.6827747185126305E-4</v>
      </c>
      <c r="AW886" s="28">
        <f t="shared" si="297"/>
        <v>-4.5800017223486766E-4</v>
      </c>
      <c r="AY886" s="85"/>
      <c r="AZ886" s="85"/>
    </row>
    <row r="887" spans="1:52" x14ac:dyDescent="0.25">
      <c r="A887" s="102" t="str">
        <f t="shared" si="270"/>
        <v>BD MM Volatilisation</v>
      </c>
      <c r="B887" s="102" t="s">
        <v>1229</v>
      </c>
      <c r="C887" s="102" t="s">
        <v>1333</v>
      </c>
      <c r="D887" t="s">
        <v>369</v>
      </c>
      <c r="E887" t="s">
        <v>64</v>
      </c>
      <c r="F887" t="s">
        <v>62</v>
      </c>
      <c r="G887" t="s">
        <v>1161</v>
      </c>
      <c r="H887" t="s">
        <v>1295</v>
      </c>
      <c r="I887" t="s">
        <v>139</v>
      </c>
      <c r="J887" t="s">
        <v>287</v>
      </c>
      <c r="K887" s="28">
        <f t="shared" ref="K887:AW887" si="298">K1535</f>
        <v>1.6232293381826982E-2</v>
      </c>
      <c r="L887" s="28">
        <f t="shared" si="298"/>
        <v>1.612469863334539E-2</v>
      </c>
      <c r="M887" s="28">
        <f t="shared" si="298"/>
        <v>1.5897842316376299E-2</v>
      </c>
      <c r="N887" s="28">
        <f t="shared" si="298"/>
        <v>1.5515444556338871E-2</v>
      </c>
      <c r="O887" s="28">
        <f t="shared" si="298"/>
        <v>1.5144432974317425E-2</v>
      </c>
      <c r="P887" s="28">
        <f t="shared" si="298"/>
        <v>1.4859072994188992E-2</v>
      </c>
      <c r="Q887" s="28">
        <f t="shared" si="298"/>
        <v>1.4600962695243356E-2</v>
      </c>
      <c r="R887" s="28">
        <f t="shared" si="298"/>
        <v>1.4195146991156963E-2</v>
      </c>
      <c r="S887" s="28">
        <f t="shared" si="298"/>
        <v>1.2450004331704253E-2</v>
      </c>
      <c r="T887" s="28">
        <f t="shared" si="298"/>
        <v>1.2568672834795916E-2</v>
      </c>
      <c r="U887" s="28">
        <f t="shared" si="298"/>
        <v>1.2648972581089315E-2</v>
      </c>
      <c r="V887" s="28">
        <f t="shared" si="298"/>
        <v>1.2726660521563772E-2</v>
      </c>
      <c r="W887" s="28">
        <f t="shared" si="298"/>
        <v>1.2855137689183753E-2</v>
      </c>
      <c r="X887" s="28">
        <f t="shared" si="298"/>
        <v>1.297938056472487E-2</v>
      </c>
      <c r="Y887" s="28">
        <f t="shared" si="298"/>
        <v>1.3109816934655115E-2</v>
      </c>
      <c r="Z887" s="28">
        <f t="shared" si="298"/>
        <v>1.3223373330920015E-2</v>
      </c>
      <c r="AA887" s="28">
        <f t="shared" si="298"/>
        <v>1.3352615908416542E-2</v>
      </c>
      <c r="AB887" s="28">
        <f t="shared" si="298"/>
        <v>1.345375260428577E-2</v>
      </c>
      <c r="AC887" s="28">
        <f t="shared" si="298"/>
        <v>1.3557664321208735E-2</v>
      </c>
      <c r="AD887" s="28">
        <f t="shared" si="298"/>
        <v>1.3606062598261524E-2</v>
      </c>
      <c r="AE887" s="28">
        <f t="shared" si="298"/>
        <v>1.3672426455496624E-2</v>
      </c>
      <c r="AF887" s="28">
        <f t="shared" si="298"/>
        <v>1.3738534190372041E-2</v>
      </c>
      <c r="AG887" s="28">
        <f t="shared" si="298"/>
        <v>1.3447167463899316E-2</v>
      </c>
      <c r="AH887" s="28">
        <f t="shared" si="298"/>
        <v>-3.1720008078581774E-3</v>
      </c>
      <c r="AI887" s="28">
        <f t="shared" si="298"/>
        <v>-3.098421421287828E-3</v>
      </c>
      <c r="AJ887" s="28">
        <f t="shared" si="298"/>
        <v>-3.0260121778721673E-3</v>
      </c>
      <c r="AK887" s="28">
        <f t="shared" si="298"/>
        <v>-2.9547117917782697E-3</v>
      </c>
      <c r="AL887" s="28">
        <f t="shared" si="298"/>
        <v>-2.8844632142294947E-3</v>
      </c>
      <c r="AM887" s="28">
        <f t="shared" si="298"/>
        <v>-2.8152132408821133E-3</v>
      </c>
      <c r="AN887" s="28">
        <f t="shared" si="298"/>
        <v>-2.7590671775430979E-3</v>
      </c>
      <c r="AO887" s="28">
        <f t="shared" si="298"/>
        <v>-2.7037691326770971E-3</v>
      </c>
      <c r="AP887" s="28">
        <f t="shared" si="298"/>
        <v>-2.6492806782909082E-3</v>
      </c>
      <c r="AQ887" s="28">
        <f t="shared" si="298"/>
        <v>-2.5955657764140799E-3</v>
      </c>
      <c r="AR887" s="28">
        <f t="shared" si="298"/>
        <v>-2.5425905809265438E-3</v>
      </c>
      <c r="AS887" s="28">
        <f t="shared" si="298"/>
        <v>-2.4886307532231877E-3</v>
      </c>
      <c r="AT887" s="28">
        <f t="shared" si="298"/>
        <v>-2.4354129419656258E-3</v>
      </c>
      <c r="AU887" s="28">
        <f t="shared" si="298"/>
        <v>-2.3829079573799484E-3</v>
      </c>
      <c r="AV887" s="28">
        <f t="shared" si="298"/>
        <v>-2.3310882496665208E-3</v>
      </c>
      <c r="AW887" s="28">
        <f t="shared" si="298"/>
        <v>-2.279927786449339E-3</v>
      </c>
      <c r="AY887" s="85"/>
      <c r="AZ887" s="85"/>
    </row>
    <row r="888" spans="1:52" x14ac:dyDescent="0.25">
      <c r="A888" s="102" t="str">
        <f t="shared" si="270"/>
        <v>BD MM Volatilisation</v>
      </c>
      <c r="B888" s="102" t="s">
        <v>1229</v>
      </c>
      <c r="C888" s="102" t="s">
        <v>1333</v>
      </c>
      <c r="D888" t="s">
        <v>369</v>
      </c>
      <c r="E888" t="s">
        <v>64</v>
      </c>
      <c r="F888" t="s">
        <v>62</v>
      </c>
      <c r="G888" t="s">
        <v>1163</v>
      </c>
      <c r="H888" t="s">
        <v>1296</v>
      </c>
      <c r="I888" t="s">
        <v>139</v>
      </c>
      <c r="J888" t="s">
        <v>287</v>
      </c>
      <c r="K888" s="28">
        <f t="shared" ref="K888:AW888" si="299">K1536</f>
        <v>0.15922781806557695</v>
      </c>
      <c r="L888" s="28">
        <f t="shared" si="299"/>
        <v>0.16489874459702494</v>
      </c>
      <c r="M888" s="28">
        <f t="shared" si="299"/>
        <v>0.16939991585045727</v>
      </c>
      <c r="N888" s="28">
        <f t="shared" si="299"/>
        <v>0.17218348693308003</v>
      </c>
      <c r="O888" s="28">
        <f t="shared" si="299"/>
        <v>0.17497286890553645</v>
      </c>
      <c r="P888" s="28">
        <f t="shared" si="299"/>
        <v>0.17867712216797899</v>
      </c>
      <c r="Q888" s="28">
        <f t="shared" si="299"/>
        <v>0.18269010203222399</v>
      </c>
      <c r="R888" s="28">
        <f t="shared" si="299"/>
        <v>0.18477850416218133</v>
      </c>
      <c r="S888" s="28">
        <f t="shared" si="299"/>
        <v>0.16857906885266413</v>
      </c>
      <c r="T888" s="28">
        <f t="shared" si="299"/>
        <v>0.17425287964090236</v>
      </c>
      <c r="U888" s="28">
        <f t="shared" si="299"/>
        <v>0.17949945582313931</v>
      </c>
      <c r="V888" s="28">
        <f t="shared" si="299"/>
        <v>0.18480458029183697</v>
      </c>
      <c r="W888" s="28">
        <f t="shared" si="299"/>
        <v>0.19096302657670283</v>
      </c>
      <c r="X888" s="28">
        <f t="shared" si="299"/>
        <v>0.19719436509402946</v>
      </c>
      <c r="Y888" s="28">
        <f t="shared" si="299"/>
        <v>0.20366092227158905</v>
      </c>
      <c r="Z888" s="28">
        <f t="shared" si="299"/>
        <v>0.21000736593010838</v>
      </c>
      <c r="AA888" s="28">
        <f t="shared" si="299"/>
        <v>0.21674936909166895</v>
      </c>
      <c r="AB888" s="28">
        <f t="shared" si="299"/>
        <v>0.22318188532765407</v>
      </c>
      <c r="AC888" s="28">
        <f t="shared" si="299"/>
        <v>0.22980286680499964</v>
      </c>
      <c r="AD888" s="28">
        <f t="shared" si="299"/>
        <v>0.2382309822629842</v>
      </c>
      <c r="AE888" s="28">
        <f t="shared" si="299"/>
        <v>0.24730559399060587</v>
      </c>
      <c r="AF888" s="28">
        <f t="shared" si="299"/>
        <v>0.25673647400031802</v>
      </c>
      <c r="AG888" s="28">
        <f t="shared" si="299"/>
        <v>0.25964613908565431</v>
      </c>
      <c r="AH888" s="28">
        <f t="shared" si="299"/>
        <v>-6.3291007360128299E-2</v>
      </c>
      <c r="AI888" s="28">
        <f t="shared" si="299"/>
        <v>-6.3895366189305636E-2</v>
      </c>
      <c r="AJ888" s="28">
        <f t="shared" si="299"/>
        <v>-6.4504638848078458E-2</v>
      </c>
      <c r="AK888" s="28">
        <f t="shared" si="299"/>
        <v>-6.5118871838809281E-2</v>
      </c>
      <c r="AL888" s="28">
        <f t="shared" si="299"/>
        <v>-6.5738112081384775E-2</v>
      </c>
      <c r="AM888" s="28">
        <f t="shared" si="299"/>
        <v>-6.6362406916836855E-2</v>
      </c>
      <c r="AN888" s="28">
        <f t="shared" si="299"/>
        <v>-6.6863409386316588E-2</v>
      </c>
      <c r="AO888" s="28">
        <f t="shared" si="299"/>
        <v>-6.7367867762467962E-2</v>
      </c>
      <c r="AP888" s="28">
        <f t="shared" si="299"/>
        <v>-6.7875809396751335E-2</v>
      </c>
      <c r="AQ888" s="28">
        <f t="shared" si="299"/>
        <v>-6.8387261847069211E-2</v>
      </c>
      <c r="AR888" s="28">
        <f t="shared" si="299"/>
        <v>-6.8902252879275511E-2</v>
      </c>
      <c r="AS888" s="28">
        <f t="shared" si="299"/>
        <v>-6.9373629780267981E-2</v>
      </c>
      <c r="AT888" s="28">
        <f t="shared" si="299"/>
        <v>-6.9847719512371606E-2</v>
      </c>
      <c r="AU888" s="28">
        <f t="shared" si="299"/>
        <v>-7.0324540021641888E-2</v>
      </c>
      <c r="AV888" s="28">
        <f t="shared" si="299"/>
        <v>-7.0804109366663218E-2</v>
      </c>
      <c r="AW888" s="28">
        <f t="shared" si="299"/>
        <v>-7.1286445719229846E-2</v>
      </c>
      <c r="AY888" s="85"/>
      <c r="AZ888" s="85"/>
    </row>
    <row r="889" spans="1:52" x14ac:dyDescent="0.25">
      <c r="A889" s="102" t="str">
        <f t="shared" si="270"/>
        <v>BD MM Volatilisation</v>
      </c>
      <c r="B889" s="102" t="s">
        <v>1229</v>
      </c>
      <c r="C889" s="102" t="s">
        <v>1333</v>
      </c>
      <c r="D889" t="s">
        <v>369</v>
      </c>
      <c r="E889" t="s">
        <v>64</v>
      </c>
      <c r="F889" t="s">
        <v>62</v>
      </c>
      <c r="G889" t="s">
        <v>1165</v>
      </c>
      <c r="H889" t="s">
        <v>1297</v>
      </c>
      <c r="I889" t="s">
        <v>139</v>
      </c>
      <c r="J889" t="s">
        <v>287</v>
      </c>
      <c r="K889" s="28">
        <f t="shared" ref="K889:AW889" si="300">K1537</f>
        <v>1.171858684484313E-4</v>
      </c>
      <c r="L889" s="28">
        <f t="shared" si="300"/>
        <v>1.1724986264912743E-4</v>
      </c>
      <c r="M889" s="28">
        <f t="shared" si="300"/>
        <v>1.1739315795736154E-4</v>
      </c>
      <c r="N889" s="28">
        <f t="shared" si="300"/>
        <v>1.1760884747933323E-4</v>
      </c>
      <c r="O889" s="28">
        <f t="shared" si="300"/>
        <v>1.1789981697079396E-4</v>
      </c>
      <c r="P889" s="28">
        <f t="shared" si="300"/>
        <v>1.1826637517857024E-4</v>
      </c>
      <c r="Q889" s="28">
        <f t="shared" si="300"/>
        <v>1.1867470616236446E-4</v>
      </c>
      <c r="R889" s="28">
        <f t="shared" si="300"/>
        <v>1.1911724401941935E-4</v>
      </c>
      <c r="S889" s="28">
        <f t="shared" si="300"/>
        <v>1.1953310214883348E-4</v>
      </c>
      <c r="T889" s="28">
        <f t="shared" si="300"/>
        <v>1.197068141423074E-4</v>
      </c>
      <c r="U889" s="28">
        <f t="shared" si="300"/>
        <v>1.199083856789491E-4</v>
      </c>
      <c r="V889" s="28">
        <f t="shared" si="300"/>
        <v>1.201377754278402E-4</v>
      </c>
      <c r="W889" s="28">
        <f t="shared" si="300"/>
        <v>1.2039617188423161E-4</v>
      </c>
      <c r="X889" s="28">
        <f t="shared" si="300"/>
        <v>1.2067943256873451E-4</v>
      </c>
      <c r="Y889" s="28">
        <f t="shared" si="300"/>
        <v>1.2085380112251055E-4</v>
      </c>
      <c r="Z889" s="28">
        <f t="shared" si="300"/>
        <v>1.2104857439732012E-4</v>
      </c>
      <c r="AA889" s="28">
        <f t="shared" si="300"/>
        <v>1.2126445921474039E-4</v>
      </c>
      <c r="AB889" s="28">
        <f t="shared" si="300"/>
        <v>1.2149813863258011E-4</v>
      </c>
      <c r="AC889" s="28">
        <f t="shared" si="300"/>
        <v>1.2175044819305052E-4</v>
      </c>
      <c r="AD889" s="28">
        <f t="shared" si="300"/>
        <v>1.2191654827812353E-4</v>
      </c>
      <c r="AE889" s="28">
        <f t="shared" si="300"/>
        <v>1.2210011953046386E-4</v>
      </c>
      <c r="AF889" s="28">
        <f t="shared" si="300"/>
        <v>1.2229951100214118E-4</v>
      </c>
      <c r="AG889" s="28">
        <f t="shared" si="300"/>
        <v>1.2249214859428272E-4</v>
      </c>
      <c r="AH889" s="28">
        <f t="shared" si="300"/>
        <v>1.2166856520731395E-4</v>
      </c>
      <c r="AI889" s="28">
        <f t="shared" si="300"/>
        <v>1.2178552707040833E-4</v>
      </c>
      <c r="AJ889" s="28">
        <f t="shared" si="300"/>
        <v>1.2191459506568997E-4</v>
      </c>
      <c r="AK889" s="28">
        <f t="shared" si="300"/>
        <v>1.220553118336419E-4</v>
      </c>
      <c r="AL889" s="28">
        <f t="shared" si="300"/>
        <v>1.2220725536579073E-4</v>
      </c>
      <c r="AM889" s="28">
        <f t="shared" si="300"/>
        <v>1.2237003565016038E-4</v>
      </c>
      <c r="AN889" s="28">
        <f t="shared" si="300"/>
        <v>1.2244903306979284E-4</v>
      </c>
      <c r="AO889" s="28">
        <f t="shared" si="300"/>
        <v>1.2253757835817969E-4</v>
      </c>
      <c r="AP889" s="28">
        <f t="shared" si="300"/>
        <v>1.226353392269764E-4</v>
      </c>
      <c r="AQ889" s="28">
        <f t="shared" si="300"/>
        <v>1.2274200613087834E-4</v>
      </c>
      <c r="AR889" s="28">
        <f t="shared" si="300"/>
        <v>1.228572903354883E-4</v>
      </c>
      <c r="AS889" s="28">
        <f t="shared" si="300"/>
        <v>1.2288572954642337E-4</v>
      </c>
      <c r="AT889" s="28">
        <f t="shared" si="300"/>
        <v>1.2292181660779718E-4</v>
      </c>
      <c r="AU889" s="28">
        <f t="shared" si="300"/>
        <v>1.2296529822294655E-4</v>
      </c>
      <c r="AV889" s="28">
        <f t="shared" si="300"/>
        <v>1.2301593656260403E-4</v>
      </c>
      <c r="AW889" s="28">
        <f t="shared" si="300"/>
        <v>1.2307350807543003E-4</v>
      </c>
      <c r="AY889" s="85"/>
      <c r="AZ889" s="85"/>
    </row>
    <row r="890" spans="1:52" x14ac:dyDescent="0.25">
      <c r="A890" s="102" t="str">
        <f t="shared" si="270"/>
        <v>BD MM Volatilisation</v>
      </c>
      <c r="B890" s="102" t="s">
        <v>1229</v>
      </c>
      <c r="C890" s="102" t="s">
        <v>1333</v>
      </c>
      <c r="D890" t="s">
        <v>369</v>
      </c>
      <c r="E890" t="s">
        <v>64</v>
      </c>
      <c r="F890" t="s">
        <v>62</v>
      </c>
      <c r="G890" t="s">
        <v>1167</v>
      </c>
      <c r="H890" t="s">
        <v>1298</v>
      </c>
      <c r="I890" t="s">
        <v>139</v>
      </c>
      <c r="J890" t="s">
        <v>287</v>
      </c>
      <c r="K890" s="28">
        <f t="shared" ref="K890:AW890" si="301">K1538</f>
        <v>8.0418980238344318E-4</v>
      </c>
      <c r="L890" s="28">
        <f t="shared" si="301"/>
        <v>8.0462896355784847E-4</v>
      </c>
      <c r="M890" s="28">
        <f t="shared" si="301"/>
        <v>8.0561232978738613E-4</v>
      </c>
      <c r="N890" s="28">
        <f t="shared" si="301"/>
        <v>8.0709250240842989E-4</v>
      </c>
      <c r="O890" s="28">
        <f t="shared" si="301"/>
        <v>8.090892849636611E-4</v>
      </c>
      <c r="P890" s="28">
        <f t="shared" si="301"/>
        <v>8.1160479623286605E-4</v>
      </c>
      <c r="Q890" s="28">
        <f t="shared" si="301"/>
        <v>8.1440697381205979E-4</v>
      </c>
      <c r="R890" s="28">
        <f t="shared" si="301"/>
        <v>8.1744389657863702E-4</v>
      </c>
      <c r="S890" s="28">
        <f t="shared" si="301"/>
        <v>8.2029772930899112E-4</v>
      </c>
      <c r="T890" s="28">
        <f t="shared" si="301"/>
        <v>8.214898305030433E-4</v>
      </c>
      <c r="U890" s="28">
        <f t="shared" si="301"/>
        <v>8.2287311823529526E-4</v>
      </c>
      <c r="V890" s="28">
        <f t="shared" si="301"/>
        <v>8.2444730887169186E-4</v>
      </c>
      <c r="W890" s="28">
        <f t="shared" si="301"/>
        <v>8.2622055847894659E-4</v>
      </c>
      <c r="X890" s="28">
        <f t="shared" si="301"/>
        <v>8.2816443922932592E-4</v>
      </c>
      <c r="Y890" s="28">
        <f t="shared" si="301"/>
        <v>8.2936104607842529E-4</v>
      </c>
      <c r="Z890" s="28">
        <f t="shared" si="301"/>
        <v>8.3069768063558287E-4</v>
      </c>
      <c r="AA890" s="28">
        <f t="shared" si="301"/>
        <v>8.3217919347460879E-4</v>
      </c>
      <c r="AB890" s="28">
        <f t="shared" si="301"/>
        <v>8.337828220293293E-4</v>
      </c>
      <c r="AC890" s="28">
        <f t="shared" si="301"/>
        <v>8.3551430022086096E-4</v>
      </c>
      <c r="AD890" s="28">
        <f t="shared" si="301"/>
        <v>8.3665416457788034E-4</v>
      </c>
      <c r="AE890" s="28">
        <f t="shared" si="301"/>
        <v>8.3791392508567411E-4</v>
      </c>
      <c r="AF890" s="28">
        <f t="shared" si="301"/>
        <v>8.3928225208899118E-4</v>
      </c>
      <c r="AG890" s="28">
        <f t="shared" si="301"/>
        <v>8.4060423049139648E-4</v>
      </c>
      <c r="AH890" s="28">
        <f t="shared" si="301"/>
        <v>8.349523769873693E-4</v>
      </c>
      <c r="AI890" s="28">
        <f t="shared" si="301"/>
        <v>8.3575502954960786E-4</v>
      </c>
      <c r="AJ890" s="28">
        <f t="shared" si="301"/>
        <v>8.3664076062788407E-4</v>
      </c>
      <c r="AK890" s="28">
        <f t="shared" si="301"/>
        <v>8.3760643158556521E-4</v>
      </c>
      <c r="AL890" s="28">
        <f t="shared" si="301"/>
        <v>8.3864914638309197E-4</v>
      </c>
      <c r="AM890" s="28">
        <f t="shared" si="301"/>
        <v>8.3976622855735407E-4</v>
      </c>
      <c r="AN890" s="28">
        <f t="shared" si="301"/>
        <v>8.4030834954962157E-4</v>
      </c>
      <c r="AO890" s="28">
        <f t="shared" si="301"/>
        <v>8.40915992936257E-4</v>
      </c>
      <c r="AP890" s="28">
        <f t="shared" si="301"/>
        <v>8.4158687838344786E-4</v>
      </c>
      <c r="AQ890" s="28">
        <f t="shared" si="301"/>
        <v>8.4231888163183893E-4</v>
      </c>
      <c r="AR890" s="28">
        <f t="shared" si="301"/>
        <v>8.4311002123724286E-4</v>
      </c>
      <c r="AS890" s="28">
        <f t="shared" si="301"/>
        <v>8.4330518575430119E-4</v>
      </c>
      <c r="AT890" s="28">
        <f t="shared" si="301"/>
        <v>8.4355283376117286E-4</v>
      </c>
      <c r="AU890" s="28">
        <f t="shared" si="301"/>
        <v>8.4385122700565967E-4</v>
      </c>
      <c r="AV890" s="28">
        <f t="shared" si="301"/>
        <v>8.4419873338079966E-4</v>
      </c>
      <c r="AW890" s="28">
        <f t="shared" si="301"/>
        <v>8.4459381876212985E-4</v>
      </c>
      <c r="AY890" s="85"/>
      <c r="AZ890" s="85"/>
    </row>
    <row r="891" spans="1:52" x14ac:dyDescent="0.25">
      <c r="A891" s="102" t="str">
        <f t="shared" si="270"/>
        <v>BD MM Volatilisation</v>
      </c>
      <c r="B891" s="102" t="s">
        <v>1229</v>
      </c>
      <c r="C891" s="102" t="s">
        <v>1333</v>
      </c>
      <c r="D891" t="s">
        <v>369</v>
      </c>
      <c r="E891" t="s">
        <v>64</v>
      </c>
      <c r="F891" t="s">
        <v>62</v>
      </c>
      <c r="G891" t="s">
        <v>1169</v>
      </c>
      <c r="H891" t="s">
        <v>1299</v>
      </c>
      <c r="I891" t="s">
        <v>139</v>
      </c>
      <c r="J891" t="s">
        <v>287</v>
      </c>
      <c r="K891" s="28">
        <f t="shared" ref="K891:AW891" si="302">K1539</f>
        <v>1.448564899297015E-5</v>
      </c>
      <c r="L891" s="28">
        <f t="shared" si="302"/>
        <v>1.4523430996818443E-5</v>
      </c>
      <c r="M891" s="28">
        <f t="shared" si="302"/>
        <v>1.4573778863725232E-5</v>
      </c>
      <c r="N891" s="28">
        <f t="shared" si="302"/>
        <v>1.4635573261684436E-5</v>
      </c>
      <c r="O891" s="28">
        <f t="shared" si="302"/>
        <v>1.4709556756482727E-5</v>
      </c>
      <c r="P891" s="28">
        <f t="shared" si="302"/>
        <v>1.4795926227225603E-5</v>
      </c>
      <c r="Q891" s="28">
        <f t="shared" si="302"/>
        <v>1.4888271114151717E-5</v>
      </c>
      <c r="R891" s="28">
        <f t="shared" si="302"/>
        <v>1.4985270961083386E-5</v>
      </c>
      <c r="S891" s="28">
        <f t="shared" si="302"/>
        <v>1.5075379558400601E-5</v>
      </c>
      <c r="T891" s="28">
        <f t="shared" si="302"/>
        <v>1.5117607192403529E-5</v>
      </c>
      <c r="U891" s="28">
        <f t="shared" si="302"/>
        <v>1.5163912133825485E-5</v>
      </c>
      <c r="V891" s="28">
        <f t="shared" si="302"/>
        <v>1.5214353144806387E-5</v>
      </c>
      <c r="W891" s="28">
        <f t="shared" si="302"/>
        <v>1.5269211713136201E-5</v>
      </c>
      <c r="X891" s="28">
        <f t="shared" si="302"/>
        <v>1.532774923131804E-5</v>
      </c>
      <c r="Y891" s="28">
        <f t="shared" si="302"/>
        <v>1.5364750505414648E-5</v>
      </c>
      <c r="Z891" s="28">
        <f t="shared" si="302"/>
        <v>1.5404784002427286E-5</v>
      </c>
      <c r="AA891" s="28">
        <f t="shared" si="302"/>
        <v>1.5448015343528086E-5</v>
      </c>
      <c r="AB891" s="28">
        <f t="shared" si="302"/>
        <v>1.5493849362144256E-5</v>
      </c>
      <c r="AC891" s="28">
        <f t="shared" si="302"/>
        <v>1.5542469399401565E-5</v>
      </c>
      <c r="AD891" s="28">
        <f t="shared" si="302"/>
        <v>1.5574312295454071E-5</v>
      </c>
      <c r="AE891" s="28">
        <f t="shared" si="302"/>
        <v>1.5608846144431889E-5</v>
      </c>
      <c r="AF891" s="28">
        <f t="shared" si="302"/>
        <v>1.5645779000697075E-5</v>
      </c>
      <c r="AG891" s="28">
        <f t="shared" si="302"/>
        <v>1.5680933682266714E-5</v>
      </c>
      <c r="AH891" s="28">
        <f t="shared" si="302"/>
        <v>1.5527256766488218E-5</v>
      </c>
      <c r="AI891" s="28">
        <f t="shared" si="302"/>
        <v>1.554781877984383E-5</v>
      </c>
      <c r="AJ891" s="28">
        <f t="shared" si="302"/>
        <v>1.55702244870708E-5</v>
      </c>
      <c r="AK891" s="28">
        <f t="shared" si="302"/>
        <v>1.5594399014227251E-5</v>
      </c>
      <c r="AL891" s="28">
        <f t="shared" si="302"/>
        <v>1.5620273295013295E-5</v>
      </c>
      <c r="AM891" s="28">
        <f t="shared" si="302"/>
        <v>1.5647783514700204E-5</v>
      </c>
      <c r="AN891" s="28">
        <f t="shared" si="302"/>
        <v>1.5659592232765599E-5</v>
      </c>
      <c r="AO891" s="28">
        <f t="shared" si="302"/>
        <v>1.567287471387214E-5</v>
      </c>
      <c r="AP891" s="28">
        <f t="shared" si="302"/>
        <v>1.5687575397224304E-5</v>
      </c>
      <c r="AQ891" s="28">
        <f t="shared" si="302"/>
        <v>1.5703642533627797E-5</v>
      </c>
      <c r="AR891" s="28">
        <f t="shared" si="302"/>
        <v>1.5721027858938722E-5</v>
      </c>
      <c r="AS891" s="28">
        <f t="shared" si="302"/>
        <v>1.5722384261001388E-5</v>
      </c>
      <c r="AT891" s="28">
        <f t="shared" si="302"/>
        <v>1.5724946955034498E-5</v>
      </c>
      <c r="AU891" s="28">
        <f t="shared" si="302"/>
        <v>1.572867261939389E-5</v>
      </c>
      <c r="AV891" s="28">
        <f t="shared" si="302"/>
        <v>1.5733520584102464E-5</v>
      </c>
      <c r="AW891" s="28">
        <f t="shared" si="302"/>
        <v>1.5739452625419502E-5</v>
      </c>
      <c r="AY891" s="85"/>
      <c r="AZ891" s="85"/>
    </row>
    <row r="892" spans="1:52" x14ac:dyDescent="0.25">
      <c r="A892" s="102" t="str">
        <f t="shared" si="270"/>
        <v>BD MM Volatilisation</v>
      </c>
      <c r="B892" s="102" t="s">
        <v>1229</v>
      </c>
      <c r="C892" s="102" t="s">
        <v>1333</v>
      </c>
      <c r="D892" t="s">
        <v>369</v>
      </c>
      <c r="E892" t="s">
        <v>64</v>
      </c>
      <c r="F892" t="s">
        <v>62</v>
      </c>
      <c r="G892" t="s">
        <v>1171</v>
      </c>
      <c r="H892" t="s">
        <v>1300</v>
      </c>
      <c r="I892" t="s">
        <v>139</v>
      </c>
      <c r="J892" t="s">
        <v>287</v>
      </c>
      <c r="K892" s="28">
        <f t="shared" ref="K892:AW892" si="303">K1540</f>
        <v>1.4737874698328016E-3</v>
      </c>
      <c r="L892" s="28">
        <f t="shared" si="303"/>
        <v>1.4776314566561611E-3</v>
      </c>
      <c r="M892" s="28">
        <f t="shared" si="303"/>
        <v>1.4827539096036295E-3</v>
      </c>
      <c r="N892" s="28">
        <f t="shared" si="303"/>
        <v>1.4890409464814621E-3</v>
      </c>
      <c r="O892" s="28">
        <f t="shared" si="303"/>
        <v>1.4965681168319985E-3</v>
      </c>
      <c r="P892" s="28">
        <f t="shared" si="303"/>
        <v>1.5053554513738414E-3</v>
      </c>
      <c r="Q892" s="28">
        <f t="shared" si="303"/>
        <v>1.5147507319940522E-3</v>
      </c>
      <c r="R892" s="28">
        <f t="shared" si="303"/>
        <v>1.5246196138821182E-3</v>
      </c>
      <c r="S892" s="28">
        <f t="shared" si="303"/>
        <v>1.5337873716895019E-3</v>
      </c>
      <c r="T892" s="28">
        <f t="shared" si="303"/>
        <v>1.5380836623081961E-3</v>
      </c>
      <c r="U892" s="28">
        <f t="shared" si="303"/>
        <v>1.5427947831210876E-3</v>
      </c>
      <c r="V892" s="28">
        <f t="shared" si="303"/>
        <v>1.5479267126594486E-3</v>
      </c>
      <c r="W892" s="28">
        <f t="shared" si="303"/>
        <v>1.5535080898318955E-3</v>
      </c>
      <c r="X892" s="28">
        <f t="shared" si="303"/>
        <v>1.5594637678172844E-3</v>
      </c>
      <c r="Y892" s="28">
        <f t="shared" si="303"/>
        <v>1.5632283222502894E-3</v>
      </c>
      <c r="Z892" s="28">
        <f t="shared" si="303"/>
        <v>1.5673013787146175E-3</v>
      </c>
      <c r="AA892" s="28">
        <f t="shared" si="303"/>
        <v>1.5716997877088814E-3</v>
      </c>
      <c r="AB892" s="28">
        <f t="shared" si="303"/>
        <v>1.5763629962652517E-3</v>
      </c>
      <c r="AC892" s="28">
        <f t="shared" si="303"/>
        <v>1.5813096577318795E-3</v>
      </c>
      <c r="AD892" s="28">
        <f t="shared" si="303"/>
        <v>1.5845493925361778E-3</v>
      </c>
      <c r="AE892" s="28">
        <f t="shared" si="303"/>
        <v>1.5880629081496864E-3</v>
      </c>
      <c r="AF892" s="28">
        <f t="shared" si="303"/>
        <v>1.591820501669672E-3</v>
      </c>
      <c r="AG892" s="28">
        <f t="shared" si="303"/>
        <v>1.5953971815428655E-3</v>
      </c>
      <c r="AH892" s="28">
        <f t="shared" si="303"/>
        <v>1.5797619060376521E-3</v>
      </c>
      <c r="AI892" s="28">
        <f t="shared" si="303"/>
        <v>1.5818539101758679E-3</v>
      </c>
      <c r="AJ892" s="28">
        <f t="shared" si="303"/>
        <v>1.5841334939611631E-3</v>
      </c>
      <c r="AK892" s="28">
        <f t="shared" si="303"/>
        <v>1.5865930396280227E-3</v>
      </c>
      <c r="AL892" s="28">
        <f t="shared" si="303"/>
        <v>1.5892255202874612E-3</v>
      </c>
      <c r="AM892" s="28">
        <f t="shared" si="303"/>
        <v>1.5920244433517013E-3</v>
      </c>
      <c r="AN892" s="28">
        <f t="shared" si="303"/>
        <v>1.5932258766273534E-3</v>
      </c>
      <c r="AO892" s="28">
        <f t="shared" si="303"/>
        <v>1.5945772523394538E-3</v>
      </c>
      <c r="AP892" s="28">
        <f t="shared" si="303"/>
        <v>1.5960729176653851E-3</v>
      </c>
      <c r="AQ892" s="28">
        <f t="shared" si="303"/>
        <v>1.5977076075794545E-3</v>
      </c>
      <c r="AR892" s="28">
        <f t="shared" si="303"/>
        <v>1.599476411629218E-3</v>
      </c>
      <c r="AS892" s="28">
        <f t="shared" si="303"/>
        <v>1.5996144136175981E-3</v>
      </c>
      <c r="AT892" s="28">
        <f t="shared" si="303"/>
        <v>1.599875145211802E-3</v>
      </c>
      <c r="AU892" s="28">
        <f t="shared" si="303"/>
        <v>1.6002541988152919E-3</v>
      </c>
      <c r="AV892" s="28">
        <f t="shared" si="303"/>
        <v>1.6007474366153491E-3</v>
      </c>
      <c r="AW892" s="28">
        <f t="shared" si="303"/>
        <v>1.601350969682305E-3</v>
      </c>
      <c r="AY892" s="85"/>
      <c r="AZ892" s="85"/>
    </row>
    <row r="893" spans="1:52" x14ac:dyDescent="0.25">
      <c r="A893" s="102" t="str">
        <f t="shared" si="270"/>
        <v>BD MM Volatilisation</v>
      </c>
      <c r="B893" s="102" t="s">
        <v>1229</v>
      </c>
      <c r="C893" s="102" t="s">
        <v>1333</v>
      </c>
      <c r="D893" t="s">
        <v>369</v>
      </c>
      <c r="E893" t="s">
        <v>64</v>
      </c>
      <c r="F893" t="s">
        <v>62</v>
      </c>
      <c r="G893" t="s">
        <v>1173</v>
      </c>
      <c r="H893" t="s">
        <v>1301</v>
      </c>
      <c r="I893" t="s">
        <v>139</v>
      </c>
      <c r="J893" t="s">
        <v>287</v>
      </c>
      <c r="K893" s="28">
        <f t="shared" ref="K893:AW893" si="304">K1541</f>
        <v>0</v>
      </c>
      <c r="L893" s="28">
        <f t="shared" si="304"/>
        <v>0</v>
      </c>
      <c r="M893" s="28">
        <f t="shared" si="304"/>
        <v>0</v>
      </c>
      <c r="N893" s="28">
        <f t="shared" si="304"/>
        <v>0</v>
      </c>
      <c r="O893" s="28">
        <f t="shared" si="304"/>
        <v>0</v>
      </c>
      <c r="P893" s="28">
        <f t="shared" si="304"/>
        <v>0</v>
      </c>
      <c r="Q893" s="28">
        <f t="shared" si="304"/>
        <v>0</v>
      </c>
      <c r="R893" s="28">
        <f t="shared" si="304"/>
        <v>0</v>
      </c>
      <c r="S893" s="28">
        <f t="shared" si="304"/>
        <v>0</v>
      </c>
      <c r="T893" s="28">
        <f t="shared" si="304"/>
        <v>0</v>
      </c>
      <c r="U893" s="28">
        <f t="shared" si="304"/>
        <v>0</v>
      </c>
      <c r="V893" s="28">
        <f t="shared" si="304"/>
        <v>0</v>
      </c>
      <c r="W893" s="28">
        <f t="shared" si="304"/>
        <v>0</v>
      </c>
      <c r="X893" s="28">
        <f t="shared" si="304"/>
        <v>0</v>
      </c>
      <c r="Y893" s="28">
        <f t="shared" si="304"/>
        <v>0</v>
      </c>
      <c r="Z893" s="28">
        <f t="shared" si="304"/>
        <v>0</v>
      </c>
      <c r="AA893" s="28">
        <f t="shared" si="304"/>
        <v>0</v>
      </c>
      <c r="AB893" s="28">
        <f t="shared" si="304"/>
        <v>0</v>
      </c>
      <c r="AC893" s="28">
        <f t="shared" si="304"/>
        <v>0</v>
      </c>
      <c r="AD893" s="28">
        <f t="shared" si="304"/>
        <v>0</v>
      </c>
      <c r="AE893" s="28">
        <f t="shared" si="304"/>
        <v>0</v>
      </c>
      <c r="AF893" s="28">
        <f t="shared" si="304"/>
        <v>0</v>
      </c>
      <c r="AG893" s="28">
        <f t="shared" si="304"/>
        <v>0</v>
      </c>
      <c r="AH893" s="28">
        <f t="shared" si="304"/>
        <v>0</v>
      </c>
      <c r="AI893" s="28">
        <f t="shared" si="304"/>
        <v>0</v>
      </c>
      <c r="AJ893" s="28">
        <f t="shared" si="304"/>
        <v>0</v>
      </c>
      <c r="AK893" s="28">
        <f t="shared" si="304"/>
        <v>0</v>
      </c>
      <c r="AL893" s="28">
        <f t="shared" si="304"/>
        <v>0</v>
      </c>
      <c r="AM893" s="28">
        <f t="shared" si="304"/>
        <v>0</v>
      </c>
      <c r="AN893" s="28">
        <f t="shared" si="304"/>
        <v>0</v>
      </c>
      <c r="AO893" s="28">
        <f t="shared" si="304"/>
        <v>0</v>
      </c>
      <c r="AP893" s="28">
        <f t="shared" si="304"/>
        <v>0</v>
      </c>
      <c r="AQ893" s="28">
        <f t="shared" si="304"/>
        <v>0</v>
      </c>
      <c r="AR893" s="28">
        <f t="shared" si="304"/>
        <v>0</v>
      </c>
      <c r="AS893" s="28">
        <f t="shared" si="304"/>
        <v>0</v>
      </c>
      <c r="AT893" s="28">
        <f t="shared" si="304"/>
        <v>0</v>
      </c>
      <c r="AU893" s="28">
        <f t="shared" si="304"/>
        <v>0</v>
      </c>
      <c r="AV893" s="28">
        <f t="shared" si="304"/>
        <v>0</v>
      </c>
      <c r="AW893" s="28">
        <f t="shared" si="304"/>
        <v>0</v>
      </c>
      <c r="AY893" s="85"/>
      <c r="AZ893" s="85"/>
    </row>
    <row r="894" spans="1:52" x14ac:dyDescent="0.25">
      <c r="A894" s="102" t="str">
        <f t="shared" si="270"/>
        <v>BD MM Volatilisation</v>
      </c>
      <c r="B894" s="102" t="s">
        <v>1229</v>
      </c>
      <c r="C894" s="102" t="s">
        <v>1333</v>
      </c>
      <c r="D894" t="s">
        <v>369</v>
      </c>
      <c r="E894" t="s">
        <v>64</v>
      </c>
      <c r="F894" t="s">
        <v>62</v>
      </c>
      <c r="G894" t="s">
        <v>1175</v>
      </c>
      <c r="H894" t="s">
        <v>1302</v>
      </c>
      <c r="I894" t="s">
        <v>139</v>
      </c>
      <c r="J894" t="s">
        <v>287</v>
      </c>
      <c r="K894" s="28">
        <f t="shared" ref="K894:AW894" si="305">K1542</f>
        <v>0</v>
      </c>
      <c r="L894" s="28">
        <f t="shared" si="305"/>
        <v>0</v>
      </c>
      <c r="M894" s="28">
        <f t="shared" si="305"/>
        <v>0</v>
      </c>
      <c r="N894" s="28">
        <f t="shared" si="305"/>
        <v>0</v>
      </c>
      <c r="O894" s="28">
        <f t="shared" si="305"/>
        <v>0</v>
      </c>
      <c r="P894" s="28">
        <f t="shared" si="305"/>
        <v>0</v>
      </c>
      <c r="Q894" s="28">
        <f t="shared" si="305"/>
        <v>0</v>
      </c>
      <c r="R894" s="28">
        <f t="shared" si="305"/>
        <v>0</v>
      </c>
      <c r="S894" s="28">
        <f t="shared" si="305"/>
        <v>0</v>
      </c>
      <c r="T894" s="28">
        <f t="shared" si="305"/>
        <v>0</v>
      </c>
      <c r="U894" s="28">
        <f t="shared" si="305"/>
        <v>0</v>
      </c>
      <c r="V894" s="28">
        <f t="shared" si="305"/>
        <v>0</v>
      </c>
      <c r="W894" s="28">
        <f t="shared" si="305"/>
        <v>0</v>
      </c>
      <c r="X894" s="28">
        <f t="shared" si="305"/>
        <v>0</v>
      </c>
      <c r="Y894" s="28">
        <f t="shared" si="305"/>
        <v>0</v>
      </c>
      <c r="Z894" s="28">
        <f t="shared" si="305"/>
        <v>0</v>
      </c>
      <c r="AA894" s="28">
        <f t="shared" si="305"/>
        <v>0</v>
      </c>
      <c r="AB894" s="28">
        <f t="shared" si="305"/>
        <v>0</v>
      </c>
      <c r="AC894" s="28">
        <f t="shared" si="305"/>
        <v>0</v>
      </c>
      <c r="AD894" s="28">
        <f t="shared" si="305"/>
        <v>0</v>
      </c>
      <c r="AE894" s="28">
        <f t="shared" si="305"/>
        <v>0</v>
      </c>
      <c r="AF894" s="28">
        <f t="shared" si="305"/>
        <v>0</v>
      </c>
      <c r="AG894" s="28">
        <f t="shared" si="305"/>
        <v>0</v>
      </c>
      <c r="AH894" s="28">
        <f t="shared" si="305"/>
        <v>0</v>
      </c>
      <c r="AI894" s="28">
        <f t="shared" si="305"/>
        <v>0</v>
      </c>
      <c r="AJ894" s="28">
        <f t="shared" si="305"/>
        <v>0</v>
      </c>
      <c r="AK894" s="28">
        <f t="shared" si="305"/>
        <v>0</v>
      </c>
      <c r="AL894" s="28">
        <f t="shared" si="305"/>
        <v>0</v>
      </c>
      <c r="AM894" s="28">
        <f t="shared" si="305"/>
        <v>0</v>
      </c>
      <c r="AN894" s="28">
        <f t="shared" si="305"/>
        <v>0</v>
      </c>
      <c r="AO894" s="28">
        <f t="shared" si="305"/>
        <v>0</v>
      </c>
      <c r="AP894" s="28">
        <f t="shared" si="305"/>
        <v>0</v>
      </c>
      <c r="AQ894" s="28">
        <f t="shared" si="305"/>
        <v>0</v>
      </c>
      <c r="AR894" s="28">
        <f t="shared" si="305"/>
        <v>0</v>
      </c>
      <c r="AS894" s="28">
        <f t="shared" si="305"/>
        <v>0</v>
      </c>
      <c r="AT894" s="28">
        <f t="shared" si="305"/>
        <v>0</v>
      </c>
      <c r="AU894" s="28">
        <f t="shared" si="305"/>
        <v>0</v>
      </c>
      <c r="AV894" s="28">
        <f t="shared" si="305"/>
        <v>0</v>
      </c>
      <c r="AW894" s="28">
        <f t="shared" si="305"/>
        <v>0</v>
      </c>
      <c r="AY894" s="85"/>
      <c r="AZ894" s="85"/>
    </row>
    <row r="895" spans="1:52" x14ac:dyDescent="0.25">
      <c r="A895" s="102" t="str">
        <f t="shared" si="270"/>
        <v>BD MM Volatilisation</v>
      </c>
      <c r="B895" s="102" t="s">
        <v>1229</v>
      </c>
      <c r="C895" s="102" t="s">
        <v>1333</v>
      </c>
      <c r="D895" t="s">
        <v>369</v>
      </c>
      <c r="E895" t="s">
        <v>64</v>
      </c>
      <c r="F895" t="s">
        <v>62</v>
      </c>
      <c r="G895" t="s">
        <v>1177</v>
      </c>
      <c r="H895" t="s">
        <v>1303</v>
      </c>
      <c r="I895" t="s">
        <v>139</v>
      </c>
      <c r="J895" t="s">
        <v>287</v>
      </c>
      <c r="K895" s="28">
        <f t="shared" ref="K895:AW895" si="306">K1543</f>
        <v>0.13175582522236642</v>
      </c>
      <c r="L895" s="28">
        <f t="shared" si="306"/>
        <v>0.13133995591331252</v>
      </c>
      <c r="M895" s="28">
        <f t="shared" si="306"/>
        <v>0.12996467924172889</v>
      </c>
      <c r="N895" s="28">
        <f t="shared" si="306"/>
        <v>0.12729440169626086</v>
      </c>
      <c r="O895" s="28">
        <f t="shared" si="306"/>
        <v>0.124740958232787</v>
      </c>
      <c r="P895" s="28">
        <f t="shared" si="306"/>
        <v>0.12294968484167307</v>
      </c>
      <c r="Q895" s="28">
        <f t="shared" si="306"/>
        <v>0.12143262568999565</v>
      </c>
      <c r="R895" s="28">
        <f t="shared" si="306"/>
        <v>0.11863912133480742</v>
      </c>
      <c r="S895" s="28">
        <f t="shared" si="306"/>
        <v>0.10385956683599189</v>
      </c>
      <c r="T895" s="28">
        <f t="shared" si="306"/>
        <v>0.10451955212302086</v>
      </c>
      <c r="U895" s="28">
        <f t="shared" si="306"/>
        <v>0.10485083769828313</v>
      </c>
      <c r="V895" s="28">
        <f t="shared" si="306"/>
        <v>0.10517291212466306</v>
      </c>
      <c r="W895" s="28">
        <f t="shared" si="306"/>
        <v>0.10595961192608362</v>
      </c>
      <c r="X895" s="28">
        <f t="shared" si="306"/>
        <v>0.10671986419880256</v>
      </c>
      <c r="Y895" s="28">
        <f t="shared" si="306"/>
        <v>0.10759206833097582</v>
      </c>
      <c r="Z895" s="28">
        <f t="shared" si="306"/>
        <v>0.10832415148302713</v>
      </c>
      <c r="AA895" s="28">
        <f t="shared" si="306"/>
        <v>0.10920394511601654</v>
      </c>
      <c r="AB895" s="28">
        <f t="shared" si="306"/>
        <v>0.10984438432762617</v>
      </c>
      <c r="AC895" s="28">
        <f t="shared" si="306"/>
        <v>0.11051807029951835</v>
      </c>
      <c r="AD895" s="28">
        <f t="shared" si="306"/>
        <v>0.11176064621994924</v>
      </c>
      <c r="AE895" s="28">
        <f t="shared" si="306"/>
        <v>0.11321217775824029</v>
      </c>
      <c r="AF895" s="28">
        <f t="shared" si="306"/>
        <v>0.11471425126432638</v>
      </c>
      <c r="AG895" s="28">
        <f t="shared" si="306"/>
        <v>0.11302605462152289</v>
      </c>
      <c r="AH895" s="28">
        <f t="shared" si="306"/>
        <v>-3.8135833829008307E-2</v>
      </c>
      <c r="AI895" s="28">
        <f t="shared" si="306"/>
        <v>-3.7718689403419284E-2</v>
      </c>
      <c r="AJ895" s="28">
        <f t="shared" si="306"/>
        <v>-3.7310479618025916E-2</v>
      </c>
      <c r="AK895" s="28">
        <f t="shared" si="306"/>
        <v>-3.6910619979896454E-2</v>
      </c>
      <c r="AL895" s="28">
        <f t="shared" si="306"/>
        <v>-3.6518568792738119E-2</v>
      </c>
      <c r="AM895" s="28">
        <f t="shared" si="306"/>
        <v>-3.6133823018213627E-2</v>
      </c>
      <c r="AN895" s="28">
        <f t="shared" si="306"/>
        <v>-3.5711833561214323E-2</v>
      </c>
      <c r="AO895" s="28">
        <f t="shared" si="306"/>
        <v>-3.5297284374171914E-2</v>
      </c>
      <c r="AP895" s="28">
        <f t="shared" si="306"/>
        <v>-3.4889740911291982E-2</v>
      </c>
      <c r="AQ895" s="28">
        <f t="shared" si="306"/>
        <v>-3.4488797010350791E-2</v>
      </c>
      <c r="AR895" s="28">
        <f t="shared" si="306"/>
        <v>-3.4094072440282994E-2</v>
      </c>
      <c r="AS895" s="28">
        <f t="shared" si="306"/>
        <v>-3.3663911026345139E-2</v>
      </c>
      <c r="AT895" s="28">
        <f t="shared" si="306"/>
        <v>-3.3240319741355787E-2</v>
      </c>
      <c r="AU895" s="28">
        <f t="shared" si="306"/>
        <v>-3.2822960396725463E-2</v>
      </c>
      <c r="AV895" s="28">
        <f t="shared" si="306"/>
        <v>-3.2411514785230008E-2</v>
      </c>
      <c r="AW895" s="28">
        <f t="shared" si="306"/>
        <v>-3.2005683123121166E-2</v>
      </c>
      <c r="AY895" s="85"/>
      <c r="AZ895" s="85"/>
    </row>
    <row r="896" spans="1:52" x14ac:dyDescent="0.25">
      <c r="A896" s="102" t="str">
        <f t="shared" si="270"/>
        <v>BD MM Volatilisation</v>
      </c>
      <c r="B896" s="102" t="s">
        <v>1229</v>
      </c>
      <c r="C896" s="102" t="s">
        <v>1333</v>
      </c>
      <c r="D896" t="s">
        <v>369</v>
      </c>
      <c r="E896" t="s">
        <v>64</v>
      </c>
      <c r="F896" t="s">
        <v>62</v>
      </c>
      <c r="G896" t="s">
        <v>1179</v>
      </c>
      <c r="H896" t="s">
        <v>1304</v>
      </c>
      <c r="I896" t="s">
        <v>139</v>
      </c>
      <c r="J896" t="s">
        <v>287</v>
      </c>
      <c r="K896" s="28">
        <f t="shared" ref="K896:AW896" si="307">K1544</f>
        <v>1.2821907264588839E-2</v>
      </c>
      <c r="L896" s="28">
        <f t="shared" si="307"/>
        <v>1.2781436661441853E-2</v>
      </c>
      <c r="M896" s="28">
        <f t="shared" si="307"/>
        <v>1.2647600681769325E-2</v>
      </c>
      <c r="N896" s="28">
        <f t="shared" si="307"/>
        <v>1.2387740815984108E-2</v>
      </c>
      <c r="O896" s="28">
        <f t="shared" si="307"/>
        <v>1.2139250737926637E-2</v>
      </c>
      <c r="P896" s="28">
        <f t="shared" si="307"/>
        <v>1.196493175607042E-2</v>
      </c>
      <c r="Q896" s="28">
        <f t="shared" si="307"/>
        <v>1.1817298118431442E-2</v>
      </c>
      <c r="R896" s="28">
        <f t="shared" si="307"/>
        <v>1.1545446352295121E-2</v>
      </c>
      <c r="S896" s="28">
        <f t="shared" si="307"/>
        <v>1.0107164007845277E-2</v>
      </c>
      <c r="T896" s="28">
        <f t="shared" si="307"/>
        <v>1.0171390922533838E-2</v>
      </c>
      <c r="U896" s="28">
        <f t="shared" si="307"/>
        <v>1.020363020240583E-2</v>
      </c>
      <c r="V896" s="28">
        <f t="shared" si="307"/>
        <v>1.0234973093092974E-2</v>
      </c>
      <c r="W896" s="28">
        <f t="shared" si="307"/>
        <v>1.0311531316472175E-2</v>
      </c>
      <c r="X896" s="28">
        <f t="shared" si="307"/>
        <v>1.0385515780703972E-2</v>
      </c>
      <c r="Y896" s="28">
        <f t="shared" si="307"/>
        <v>1.0470394915874219E-2</v>
      </c>
      <c r="Z896" s="28">
        <f t="shared" si="307"/>
        <v>1.0541638083071781E-2</v>
      </c>
      <c r="AA896" s="28">
        <f t="shared" si="307"/>
        <v>1.0627255795648265E-2</v>
      </c>
      <c r="AB896" s="28">
        <f t="shared" si="307"/>
        <v>1.0689580570784438E-2</v>
      </c>
      <c r="AC896" s="28">
        <f t="shared" si="307"/>
        <v>1.0755140776889006E-2</v>
      </c>
      <c r="AD896" s="28">
        <f t="shared" si="307"/>
        <v>1.0876062893190786E-2</v>
      </c>
      <c r="AE896" s="28">
        <f t="shared" si="307"/>
        <v>1.1017319666803515E-2</v>
      </c>
      <c r="AF896" s="28">
        <f t="shared" si="307"/>
        <v>1.1163494966203955E-2</v>
      </c>
      <c r="AG896" s="28">
        <f t="shared" si="307"/>
        <v>1.0999206967841195E-2</v>
      </c>
      <c r="AH896" s="28">
        <f t="shared" si="307"/>
        <v>-3.7112144680363467E-3</v>
      </c>
      <c r="AI896" s="28">
        <f t="shared" si="307"/>
        <v>-3.6706197760611272E-3</v>
      </c>
      <c r="AJ896" s="28">
        <f t="shared" si="307"/>
        <v>-3.6308945646408518E-3</v>
      </c>
      <c r="AK896" s="28">
        <f t="shared" si="307"/>
        <v>-3.5919819534504542E-3</v>
      </c>
      <c r="AL896" s="28">
        <f t="shared" si="307"/>
        <v>-3.5538292269487438E-3</v>
      </c>
      <c r="AM896" s="28">
        <f t="shared" si="307"/>
        <v>-3.5163874316196208E-3</v>
      </c>
      <c r="AN896" s="28">
        <f t="shared" si="307"/>
        <v>-3.4753212421350377E-3</v>
      </c>
      <c r="AO896" s="28">
        <f t="shared" si="307"/>
        <v>-3.4349791075546665E-3</v>
      </c>
      <c r="AP896" s="28">
        <f t="shared" si="307"/>
        <v>-3.3953187397605549E-3</v>
      </c>
      <c r="AQ896" s="28">
        <f t="shared" si="307"/>
        <v>-3.3563006128011267E-3</v>
      </c>
      <c r="AR896" s="28">
        <f t="shared" si="307"/>
        <v>-3.3178877242330336E-3</v>
      </c>
      <c r="AS896" s="28">
        <f t="shared" si="307"/>
        <v>-3.2760262752306304E-3</v>
      </c>
      <c r="AT896" s="28">
        <f t="shared" si="307"/>
        <v>-3.2348042027715565E-3</v>
      </c>
      <c r="AU896" s="28">
        <f t="shared" si="307"/>
        <v>-3.1941885958044411E-3</v>
      </c>
      <c r="AV896" s="28">
        <f t="shared" si="307"/>
        <v>-3.1541484877779971E-3</v>
      </c>
      <c r="AW896" s="28">
        <f t="shared" si="307"/>
        <v>-3.1146547050339602E-3</v>
      </c>
      <c r="AY896" s="85"/>
      <c r="AZ896" s="85"/>
    </row>
    <row r="897" spans="1:52" x14ac:dyDescent="0.25">
      <c r="A897" s="102" t="str">
        <f t="shared" si="270"/>
        <v>BD MM Volatilisation</v>
      </c>
      <c r="B897" s="102" t="s">
        <v>1229</v>
      </c>
      <c r="C897" s="102" t="s">
        <v>1333</v>
      </c>
      <c r="D897" t="s">
        <v>369</v>
      </c>
      <c r="E897" t="s">
        <v>64</v>
      </c>
      <c r="F897" t="s">
        <v>62</v>
      </c>
      <c r="G897" t="s">
        <v>1181</v>
      </c>
      <c r="H897" t="s">
        <v>1305</v>
      </c>
      <c r="I897" t="s">
        <v>139</v>
      </c>
      <c r="J897" t="s">
        <v>287</v>
      </c>
      <c r="K897" s="28">
        <f t="shared" ref="K897:AW897" si="308">K1545</f>
        <v>6.4805763262647462E-2</v>
      </c>
      <c r="L897" s="28">
        <f t="shared" si="308"/>
        <v>6.620917696085285E-2</v>
      </c>
      <c r="M897" s="28">
        <f t="shared" si="308"/>
        <v>6.7339988183967914E-2</v>
      </c>
      <c r="N897" s="28">
        <f t="shared" si="308"/>
        <v>6.8078843848603895E-2</v>
      </c>
      <c r="O897" s="28">
        <f t="shared" si="308"/>
        <v>6.8827728157938209E-2</v>
      </c>
      <c r="P897" s="28">
        <f t="shared" si="308"/>
        <v>6.9793181329029633E-2</v>
      </c>
      <c r="Q897" s="28">
        <f t="shared" si="308"/>
        <v>7.0825640221860539E-2</v>
      </c>
      <c r="R897" s="28">
        <f t="shared" si="308"/>
        <v>7.1426070236781977E-2</v>
      </c>
      <c r="S897" s="28">
        <f t="shared" si="308"/>
        <v>6.7971896986057309E-2</v>
      </c>
      <c r="T897" s="28">
        <f t="shared" si="308"/>
        <v>6.9431161818386017E-2</v>
      </c>
      <c r="U897" s="28">
        <f t="shared" si="308"/>
        <v>7.0793385596642902E-2</v>
      </c>
      <c r="V897" s="28">
        <f t="shared" si="308"/>
        <v>7.216636340015109E-2</v>
      </c>
      <c r="W897" s="28">
        <f t="shared" si="308"/>
        <v>7.3724598547713793E-2</v>
      </c>
      <c r="X897" s="28">
        <f t="shared" si="308"/>
        <v>7.5295777535110922E-2</v>
      </c>
      <c r="Y897" s="28">
        <f t="shared" si="308"/>
        <v>7.6868953264879816E-2</v>
      </c>
      <c r="Z897" s="28">
        <f t="shared" si="308"/>
        <v>7.8411785567373049E-2</v>
      </c>
      <c r="AA897" s="28">
        <f t="shared" si="308"/>
        <v>8.0036606766420104E-2</v>
      </c>
      <c r="AB897" s="28">
        <f t="shared" si="308"/>
        <v>8.1590030948431091E-2</v>
      </c>
      <c r="AC897" s="28">
        <f t="shared" si="308"/>
        <v>8.3180296189840519E-2</v>
      </c>
      <c r="AD897" s="28">
        <f t="shared" si="308"/>
        <v>8.498335225395226E-2</v>
      </c>
      <c r="AE897" s="28">
        <f t="shared" si="308"/>
        <v>8.691067585568038E-2</v>
      </c>
      <c r="AF897" s="28">
        <f t="shared" si="308"/>
        <v>8.8898633943391286E-2</v>
      </c>
      <c r="AG897" s="28">
        <f t="shared" si="308"/>
        <v>8.9490348349999485E-2</v>
      </c>
      <c r="AH897" s="28">
        <f t="shared" si="308"/>
        <v>2.1450020418190146E-2</v>
      </c>
      <c r="AI897" s="28">
        <f t="shared" si="308"/>
        <v>2.1614881965790762E-2</v>
      </c>
      <c r="AJ897" s="28">
        <f t="shared" si="308"/>
        <v>2.1780943831055617E-2</v>
      </c>
      <c r="AK897" s="28">
        <f t="shared" si="308"/>
        <v>2.1948215154072734E-2</v>
      </c>
      <c r="AL897" s="28">
        <f t="shared" si="308"/>
        <v>2.2116705116436826E-2</v>
      </c>
      <c r="AM897" s="28">
        <f t="shared" si="308"/>
        <v>2.2286422943949849E-2</v>
      </c>
      <c r="AN897" s="28">
        <f t="shared" si="308"/>
        <v>2.2431505853437582E-2</v>
      </c>
      <c r="AO897" s="28">
        <f t="shared" si="308"/>
        <v>2.2577484325720341E-2</v>
      </c>
      <c r="AP897" s="28">
        <f t="shared" si="308"/>
        <v>2.2724364182075539E-2</v>
      </c>
      <c r="AQ897" s="28">
        <f t="shared" si="308"/>
        <v>2.2872151263259987E-2</v>
      </c>
      <c r="AR897" s="28">
        <f t="shared" si="308"/>
        <v>2.3020851431037954E-2</v>
      </c>
      <c r="AS897" s="28">
        <f t="shared" si="308"/>
        <v>2.3143882531625137E-2</v>
      </c>
      <c r="AT897" s="28">
        <f t="shared" si="308"/>
        <v>2.3267536914699297E-2</v>
      </c>
      <c r="AU897" s="28">
        <f t="shared" si="308"/>
        <v>2.3391817960867468E-2</v>
      </c>
      <c r="AV897" s="28">
        <f t="shared" si="308"/>
        <v>2.3516729056424043E-2</v>
      </c>
      <c r="AW897" s="28">
        <f t="shared" si="308"/>
        <v>2.3642273594262703E-2</v>
      </c>
      <c r="AY897" s="85"/>
      <c r="AZ897" s="85"/>
    </row>
    <row r="898" spans="1:52" x14ac:dyDescent="0.25">
      <c r="A898" s="102" t="str">
        <f t="shared" si="270"/>
        <v>BD MM Volatilisation</v>
      </c>
      <c r="B898" s="102" t="s">
        <v>1229</v>
      </c>
      <c r="C898" s="102" t="s">
        <v>1333</v>
      </c>
      <c r="D898" t="s">
        <v>369</v>
      </c>
      <c r="E898" t="s">
        <v>64</v>
      </c>
      <c r="F898" t="s">
        <v>62</v>
      </c>
      <c r="G898" t="s">
        <v>1183</v>
      </c>
      <c r="H898" t="s">
        <v>1306</v>
      </c>
      <c r="I898" t="s">
        <v>139</v>
      </c>
      <c r="J898" t="s">
        <v>287</v>
      </c>
      <c r="K898" s="28">
        <f t="shared" ref="K898:AW898" si="309">K1546</f>
        <v>0.31397927588300406</v>
      </c>
      <c r="L898" s="28">
        <f t="shared" si="309"/>
        <v>0.31907441675710629</v>
      </c>
      <c r="M898" s="28">
        <f t="shared" si="309"/>
        <v>0.3205872704742006</v>
      </c>
      <c r="N898" s="28">
        <f t="shared" si="309"/>
        <v>0.31719609082412314</v>
      </c>
      <c r="O898" s="28">
        <f t="shared" si="309"/>
        <v>0.3138121925530904</v>
      </c>
      <c r="P898" s="28">
        <f t="shared" si="309"/>
        <v>0.31283032074973627</v>
      </c>
      <c r="Q898" s="28">
        <f t="shared" si="309"/>
        <v>0.31262578069676783</v>
      </c>
      <c r="R898" s="28">
        <f t="shared" si="309"/>
        <v>0.30741109145699391</v>
      </c>
      <c r="S898" s="28">
        <f t="shared" si="309"/>
        <v>0.256148371105961</v>
      </c>
      <c r="T898" s="28">
        <f t="shared" si="309"/>
        <v>0.26370410916808512</v>
      </c>
      <c r="U898" s="28">
        <f t="shared" si="309"/>
        <v>0.27001969138915061</v>
      </c>
      <c r="V898" s="28">
        <f t="shared" si="309"/>
        <v>0.2763199496036185</v>
      </c>
      <c r="W898" s="28">
        <f t="shared" si="309"/>
        <v>0.28451678455475204</v>
      </c>
      <c r="X898" s="28">
        <f t="shared" si="309"/>
        <v>0.29268901518137719</v>
      </c>
      <c r="Y898" s="28">
        <f t="shared" si="309"/>
        <v>0.30166157988430881</v>
      </c>
      <c r="Z898" s="28">
        <f t="shared" si="309"/>
        <v>0.31015505304721058</v>
      </c>
      <c r="AA898" s="28">
        <f t="shared" si="309"/>
        <v>0.31937286090334316</v>
      </c>
      <c r="AB898" s="28">
        <f t="shared" si="309"/>
        <v>0.32768435170975169</v>
      </c>
      <c r="AC898" s="28">
        <f t="shared" si="309"/>
        <v>0.3362412673320212</v>
      </c>
      <c r="AD898" s="28">
        <f t="shared" si="309"/>
        <v>0.34761278711237292</v>
      </c>
      <c r="AE898" s="28">
        <f t="shared" si="309"/>
        <v>0.36009727200869485</v>
      </c>
      <c r="AF898" s="28">
        <f t="shared" si="309"/>
        <v>0.37302207723672137</v>
      </c>
      <c r="AG898" s="28">
        <f t="shared" si="309"/>
        <v>0.37158281441490282</v>
      </c>
      <c r="AH898" s="28">
        <f t="shared" si="309"/>
        <v>-0.32225581682934024</v>
      </c>
      <c r="AI898" s="28">
        <f t="shared" si="309"/>
        <v>-0.32271754342348513</v>
      </c>
      <c r="AJ898" s="28">
        <f t="shared" si="309"/>
        <v>-0.32321834210238065</v>
      </c>
      <c r="AK898" s="28">
        <f t="shared" si="309"/>
        <v>-0.32375658230947413</v>
      </c>
      <c r="AL898" s="28">
        <f t="shared" si="309"/>
        <v>-0.32433076013748197</v>
      </c>
      <c r="AM898" s="28">
        <f t="shared" si="309"/>
        <v>-0.32493948616259549</v>
      </c>
      <c r="AN898" s="28">
        <f t="shared" si="309"/>
        <v>-0.32519002694092081</v>
      </c>
      <c r="AO898" s="28">
        <f t="shared" si="309"/>
        <v>-0.32547196769911135</v>
      </c>
      <c r="AP898" s="28">
        <f t="shared" si="309"/>
        <v>-0.32578408919193652</v>
      </c>
      <c r="AQ898" s="28">
        <f t="shared" si="309"/>
        <v>-0.32612525589272406</v>
      </c>
      <c r="AR898" s="28">
        <f t="shared" si="309"/>
        <v>-0.32649440879969549</v>
      </c>
      <c r="AS898" s="28">
        <f t="shared" si="309"/>
        <v>-0.32649961480368156</v>
      </c>
      <c r="AT898" s="28">
        <f t="shared" si="309"/>
        <v>-0.32653073845215902</v>
      </c>
      <c r="AU898" s="28">
        <f t="shared" si="309"/>
        <v>-0.326586821501688</v>
      </c>
      <c r="AV898" s="28">
        <f t="shared" si="309"/>
        <v>-0.32666696441292659</v>
      </c>
      <c r="AW898" s="28">
        <f t="shared" si="309"/>
        <v>-0.32677032179119497</v>
      </c>
      <c r="AY898" s="85"/>
      <c r="AZ898" s="85"/>
    </row>
    <row r="899" spans="1:52" x14ac:dyDescent="0.25">
      <c r="A899" s="102" t="str">
        <f t="shared" si="270"/>
        <v>BD MM Leaching</v>
      </c>
      <c r="B899" s="102" t="s">
        <v>1229</v>
      </c>
      <c r="C899" s="102" t="s">
        <v>1334</v>
      </c>
      <c r="D899" t="s">
        <v>369</v>
      </c>
      <c r="E899" t="s">
        <v>64</v>
      </c>
      <c r="F899" t="s">
        <v>63</v>
      </c>
      <c r="G899" t="s">
        <v>1153</v>
      </c>
      <c r="H899" t="s">
        <v>1307</v>
      </c>
      <c r="I899" t="s">
        <v>139</v>
      </c>
      <c r="J899" t="s">
        <v>287</v>
      </c>
      <c r="K899" s="28">
        <f t="shared" ref="K899:AW899" si="310">K1547</f>
        <v>8.937279530386584E-2</v>
      </c>
      <c r="L899" s="28">
        <f t="shared" si="310"/>
        <v>8.99287091662518E-2</v>
      </c>
      <c r="M899" s="28">
        <f t="shared" si="310"/>
        <v>9.0310907604627441E-2</v>
      </c>
      <c r="N899" s="28">
        <f t="shared" si="310"/>
        <v>9.0430770661024784E-2</v>
      </c>
      <c r="O899" s="28">
        <f t="shared" si="310"/>
        <v>9.0592927490571046E-2</v>
      </c>
      <c r="P899" s="28">
        <f t="shared" si="310"/>
        <v>9.0948112554123092E-2</v>
      </c>
      <c r="Q899" s="28">
        <f t="shared" si="310"/>
        <v>9.1373943417930939E-2</v>
      </c>
      <c r="R899" s="28">
        <f t="shared" si="310"/>
        <v>9.1501867451345892E-2</v>
      </c>
      <c r="S899" s="28">
        <f t="shared" si="310"/>
        <v>8.8692780673306368E-2</v>
      </c>
      <c r="T899" s="28">
        <f t="shared" si="310"/>
        <v>8.942331322993069E-2</v>
      </c>
      <c r="U899" s="28">
        <f t="shared" si="310"/>
        <v>9.0093190837869708E-2</v>
      </c>
      <c r="V899" s="28">
        <f t="shared" si="310"/>
        <v>9.0780038603481383E-2</v>
      </c>
      <c r="W899" s="28">
        <f t="shared" si="310"/>
        <v>9.1607440170769952E-2</v>
      </c>
      <c r="X899" s="28">
        <f t="shared" si="310"/>
        <v>9.2450367431163069E-2</v>
      </c>
      <c r="Y899" s="28">
        <f t="shared" si="310"/>
        <v>9.3271141222409717E-2</v>
      </c>
      <c r="Z899" s="28">
        <f t="shared" si="310"/>
        <v>9.4075494804423593E-2</v>
      </c>
      <c r="AA899" s="28">
        <f t="shared" si="310"/>
        <v>9.494187182919285E-2</v>
      </c>
      <c r="AB899" s="28">
        <f t="shared" si="310"/>
        <v>9.5762313841523894E-2</v>
      </c>
      <c r="AC899" s="28">
        <f t="shared" si="310"/>
        <v>9.6612184537040763E-2</v>
      </c>
      <c r="AD899" s="28">
        <f t="shared" si="310"/>
        <v>9.7588608414981418E-2</v>
      </c>
      <c r="AE899" s="28">
        <f t="shared" si="310"/>
        <v>9.8652036659073086E-2</v>
      </c>
      <c r="AF899" s="28">
        <f t="shared" si="310"/>
        <v>9.9757674838538646E-2</v>
      </c>
      <c r="AG899" s="28">
        <f t="shared" si="310"/>
        <v>9.9912115595676476E-2</v>
      </c>
      <c r="AH899" s="28">
        <f t="shared" si="310"/>
        <v>5.3491971899674674E-2</v>
      </c>
      <c r="AI899" s="28">
        <f t="shared" si="310"/>
        <v>5.3531314918473571E-2</v>
      </c>
      <c r="AJ899" s="28">
        <f t="shared" si="310"/>
        <v>5.357582611787514E-2</v>
      </c>
      <c r="AK899" s="28">
        <f t="shared" si="310"/>
        <v>5.3625309057202357E-2</v>
      </c>
      <c r="AL899" s="28">
        <f t="shared" si="310"/>
        <v>5.3679582424864689E-2</v>
      </c>
      <c r="AM899" s="28">
        <f t="shared" si="310"/>
        <v>5.3738478604376284E-2</v>
      </c>
      <c r="AN899" s="28">
        <f t="shared" si="310"/>
        <v>5.3763835169364317E-2</v>
      </c>
      <c r="AO899" s="28">
        <f t="shared" si="310"/>
        <v>5.3793262757512665E-2</v>
      </c>
      <c r="AP899" s="28">
        <f t="shared" si="310"/>
        <v>5.3826619180497665E-2</v>
      </c>
      <c r="AQ899" s="28">
        <f t="shared" si="310"/>
        <v>5.3863771952469164E-2</v>
      </c>
      <c r="AR899" s="28">
        <f t="shared" si="310"/>
        <v>5.3904597466717913E-2</v>
      </c>
      <c r="AS899" s="28">
        <f t="shared" si="310"/>
        <v>5.3910563480556228E-2</v>
      </c>
      <c r="AT899" s="28">
        <f t="shared" si="310"/>
        <v>5.3919785471416987E-2</v>
      </c>
      <c r="AU899" s="28">
        <f t="shared" si="310"/>
        <v>5.3932155519366927E-2</v>
      </c>
      <c r="AV899" s="28">
        <f t="shared" si="310"/>
        <v>5.3947572278859428E-2</v>
      </c>
      <c r="AW899" s="28">
        <f t="shared" si="310"/>
        <v>5.3965940473698626E-2</v>
      </c>
      <c r="AY899" s="85"/>
      <c r="AZ899" s="85"/>
    </row>
    <row r="900" spans="1:52" x14ac:dyDescent="0.25">
      <c r="A900" s="102" t="str">
        <f t="shared" si="270"/>
        <v>BD MM Leaching</v>
      </c>
      <c r="B900" s="102" t="s">
        <v>1229</v>
      </c>
      <c r="C900" s="102" t="s">
        <v>1334</v>
      </c>
      <c r="D900" t="s">
        <v>369</v>
      </c>
      <c r="E900" t="s">
        <v>64</v>
      </c>
      <c r="F900" t="s">
        <v>63</v>
      </c>
      <c r="G900" t="s">
        <v>1155</v>
      </c>
      <c r="H900" t="s">
        <v>1308</v>
      </c>
      <c r="I900" t="s">
        <v>139</v>
      </c>
      <c r="J900" t="s">
        <v>287</v>
      </c>
      <c r="K900" s="28">
        <f t="shared" ref="K900:AW900" si="311">K1548</f>
        <v>2.6988316791591433E-2</v>
      </c>
      <c r="L900" s="28">
        <f t="shared" si="311"/>
        <v>2.7156188674482627E-2</v>
      </c>
      <c r="M900" s="28">
        <f t="shared" si="311"/>
        <v>2.7271602906487613E-2</v>
      </c>
      <c r="N900" s="28">
        <f t="shared" si="311"/>
        <v>2.7307798508590695E-2</v>
      </c>
      <c r="O900" s="28">
        <f t="shared" si="311"/>
        <v>2.7356765757190617E-2</v>
      </c>
      <c r="P900" s="28">
        <f t="shared" si="311"/>
        <v>2.7464022635328895E-2</v>
      </c>
      <c r="Q900" s="28">
        <f t="shared" si="311"/>
        <v>2.7592612752858615E-2</v>
      </c>
      <c r="R900" s="28">
        <f t="shared" si="311"/>
        <v>2.7631242565513824E-2</v>
      </c>
      <c r="S900" s="28">
        <f t="shared" si="311"/>
        <v>2.6782969625151597E-2</v>
      </c>
      <c r="T900" s="28">
        <f t="shared" si="311"/>
        <v>2.7003571923621898E-2</v>
      </c>
      <c r="U900" s="28">
        <f t="shared" si="311"/>
        <v>2.7205857966406888E-2</v>
      </c>
      <c r="V900" s="28">
        <f t="shared" si="311"/>
        <v>2.7413268566275666E-2</v>
      </c>
      <c r="W900" s="28">
        <f t="shared" si="311"/>
        <v>2.7663122848397212E-2</v>
      </c>
      <c r="X900" s="28">
        <f t="shared" si="311"/>
        <v>2.7917665495949085E-2</v>
      </c>
      <c r="Y900" s="28">
        <f t="shared" si="311"/>
        <v>2.8165518357852821E-2</v>
      </c>
      <c r="Z900" s="28">
        <f t="shared" si="311"/>
        <v>2.8408412733149407E-2</v>
      </c>
      <c r="AA900" s="28">
        <f t="shared" si="311"/>
        <v>2.8670036614621735E-2</v>
      </c>
      <c r="AB900" s="28">
        <f t="shared" si="311"/>
        <v>2.8917789287710199E-2</v>
      </c>
      <c r="AC900" s="28">
        <f t="shared" si="311"/>
        <v>2.9174428676514319E-2</v>
      </c>
      <c r="AD900" s="28">
        <f t="shared" si="311"/>
        <v>2.9469283915752844E-2</v>
      </c>
      <c r="AE900" s="28">
        <f t="shared" si="311"/>
        <v>2.979041226626589E-2</v>
      </c>
      <c r="AF900" s="28">
        <f t="shared" si="311"/>
        <v>3.0124286946394699E-2</v>
      </c>
      <c r="AG900" s="28">
        <f t="shared" si="311"/>
        <v>3.0170924136884231E-2</v>
      </c>
      <c r="AH900" s="28">
        <f t="shared" si="311"/>
        <v>1.6153218420962612E-2</v>
      </c>
      <c r="AI900" s="28">
        <f t="shared" si="311"/>
        <v>1.6165099014506461E-2</v>
      </c>
      <c r="AJ900" s="28">
        <f t="shared" si="311"/>
        <v>1.6178540267475436E-2</v>
      </c>
      <c r="AK900" s="28">
        <f t="shared" si="311"/>
        <v>1.6193482859768772E-2</v>
      </c>
      <c r="AL900" s="28">
        <f t="shared" si="311"/>
        <v>1.6209872039886029E-2</v>
      </c>
      <c r="AM900" s="28">
        <f t="shared" si="311"/>
        <v>1.6227657191900897E-2</v>
      </c>
      <c r="AN900" s="28">
        <f t="shared" si="311"/>
        <v>1.6235314231230563E-2</v>
      </c>
      <c r="AO900" s="28">
        <f t="shared" si="311"/>
        <v>1.6244200616272676E-2</v>
      </c>
      <c r="AP900" s="28">
        <f t="shared" si="311"/>
        <v>1.6254273409760815E-2</v>
      </c>
      <c r="AQ900" s="28">
        <f t="shared" si="311"/>
        <v>1.6265492604329402E-2</v>
      </c>
      <c r="AR900" s="28">
        <f t="shared" si="311"/>
        <v>1.6277820873888151E-2</v>
      </c>
      <c r="AS900" s="28">
        <f t="shared" si="311"/>
        <v>1.6279622458709387E-2</v>
      </c>
      <c r="AT900" s="28">
        <f t="shared" si="311"/>
        <v>1.6282407265987193E-2</v>
      </c>
      <c r="AU900" s="28">
        <f t="shared" si="311"/>
        <v>1.6286142706639629E-2</v>
      </c>
      <c r="AV900" s="28">
        <f t="shared" si="311"/>
        <v>1.6290798176882768E-2</v>
      </c>
      <c r="AW900" s="28">
        <f t="shared" si="311"/>
        <v>1.6296344905722616E-2</v>
      </c>
      <c r="AY900" s="85"/>
      <c r="AZ900" s="85"/>
    </row>
    <row r="901" spans="1:52" x14ac:dyDescent="0.25">
      <c r="A901" s="102" t="str">
        <f t="shared" si="270"/>
        <v>BD MM Leaching</v>
      </c>
      <c r="B901" s="102" t="s">
        <v>1229</v>
      </c>
      <c r="C901" s="102" t="s">
        <v>1334</v>
      </c>
      <c r="D901" t="s">
        <v>369</v>
      </c>
      <c r="E901" t="s">
        <v>64</v>
      </c>
      <c r="F901" t="s">
        <v>63</v>
      </c>
      <c r="G901" t="s">
        <v>1157</v>
      </c>
      <c r="H901" t="s">
        <v>1309</v>
      </c>
      <c r="I901" t="s">
        <v>139</v>
      </c>
      <c r="J901" t="s">
        <v>287</v>
      </c>
      <c r="K901" s="28">
        <f t="shared" ref="K901:AW901" si="312">K1549</f>
        <v>1.4509917151188738E-3</v>
      </c>
      <c r="L901" s="28">
        <f t="shared" si="312"/>
        <v>1.4600171283433256E-3</v>
      </c>
      <c r="M901" s="28">
        <f t="shared" si="312"/>
        <v>1.4662222242646174E-3</v>
      </c>
      <c r="N901" s="28">
        <f t="shared" si="312"/>
        <v>1.4681682336871716E-3</v>
      </c>
      <c r="O901" s="28">
        <f t="shared" si="312"/>
        <v>1.4708008940557055E-3</v>
      </c>
      <c r="P901" s="28">
        <f t="shared" si="312"/>
        <v>1.4765674204667426E-3</v>
      </c>
      <c r="Q901" s="28">
        <f t="shared" si="312"/>
        <v>1.4834809007190539E-3</v>
      </c>
      <c r="R901" s="28">
        <f t="shared" si="312"/>
        <v>1.485557782302746E-3</v>
      </c>
      <c r="S901" s="28">
        <f t="shared" si="312"/>
        <v>1.439951492065016E-3</v>
      </c>
      <c r="T901" s="28">
        <f t="shared" si="312"/>
        <v>1.4518118874312183E-3</v>
      </c>
      <c r="U901" s="28">
        <f t="shared" si="312"/>
        <v>1.4626875331571739E-3</v>
      </c>
      <c r="V901" s="28">
        <f t="shared" si="312"/>
        <v>1.4738386940228707E-3</v>
      </c>
      <c r="W901" s="28">
        <f t="shared" si="312"/>
        <v>1.4872717842057417E-3</v>
      </c>
      <c r="X901" s="28">
        <f t="shared" si="312"/>
        <v>1.5009569382520018E-3</v>
      </c>
      <c r="Y901" s="28">
        <f t="shared" si="312"/>
        <v>1.5142824246825921E-3</v>
      </c>
      <c r="Z901" s="28">
        <f t="shared" si="312"/>
        <v>1.5273413245364029E-3</v>
      </c>
      <c r="AA901" s="28">
        <f t="shared" si="312"/>
        <v>1.5414071919050509E-3</v>
      </c>
      <c r="AB901" s="28">
        <f t="shared" si="312"/>
        <v>1.5547272918144282E-3</v>
      </c>
      <c r="AC901" s="28">
        <f t="shared" si="312"/>
        <v>1.568525174424283E-3</v>
      </c>
      <c r="AD901" s="28">
        <f t="shared" si="312"/>
        <v>1.5843776824779826E-3</v>
      </c>
      <c r="AE901" s="28">
        <f t="shared" si="312"/>
        <v>1.6016427301533305E-3</v>
      </c>
      <c r="AF901" s="28">
        <f t="shared" si="312"/>
        <v>1.6195930676455074E-3</v>
      </c>
      <c r="AG901" s="28">
        <f t="shared" si="312"/>
        <v>1.6221004554733333E-3</v>
      </c>
      <c r="AH901" s="28">
        <f t="shared" si="312"/>
        <v>8.6845675787475588E-4</v>
      </c>
      <c r="AI901" s="28">
        <f t="shared" si="312"/>
        <v>8.6909550251881536E-4</v>
      </c>
      <c r="AJ901" s="28">
        <f t="shared" si="312"/>
        <v>8.6981815398498119E-4</v>
      </c>
      <c r="AK901" s="28">
        <f t="shared" si="312"/>
        <v>8.7062152300526781E-4</v>
      </c>
      <c r="AL901" s="28">
        <f t="shared" si="312"/>
        <v>8.7150266593653532E-4</v>
      </c>
      <c r="AM901" s="28">
        <f t="shared" si="312"/>
        <v>8.7245886147940626E-4</v>
      </c>
      <c r="AN901" s="28">
        <f t="shared" si="312"/>
        <v>8.728705322299566E-4</v>
      </c>
      <c r="AO901" s="28">
        <f t="shared" si="312"/>
        <v>8.7334829715220207E-4</v>
      </c>
      <c r="AP901" s="28">
        <f t="shared" si="312"/>
        <v>8.7388984777991429E-4</v>
      </c>
      <c r="AQ901" s="28">
        <f t="shared" si="312"/>
        <v>8.7449303316917135E-4</v>
      </c>
      <c r="AR901" s="28">
        <f t="shared" si="312"/>
        <v>8.7515584653132471E-4</v>
      </c>
      <c r="AS901" s="28">
        <f t="shared" si="312"/>
        <v>8.7525270639368256E-4</v>
      </c>
      <c r="AT901" s="28">
        <f t="shared" si="312"/>
        <v>8.7540242793132E-4</v>
      </c>
      <c r="AU901" s="28">
        <f t="shared" si="312"/>
        <v>8.7560325903467736E-4</v>
      </c>
      <c r="AV901" s="28">
        <f t="shared" si="312"/>
        <v>8.7585355433115466E-4</v>
      </c>
      <c r="AW901" s="28">
        <f t="shared" si="312"/>
        <v>8.7615176698571857E-4</v>
      </c>
      <c r="AY901" s="85"/>
      <c r="AZ901" s="85"/>
    </row>
    <row r="902" spans="1:52" x14ac:dyDescent="0.25">
      <c r="A902" s="102" t="str">
        <f t="shared" si="270"/>
        <v>BD MM Leaching</v>
      </c>
      <c r="B902" s="102" t="s">
        <v>1229</v>
      </c>
      <c r="C902" s="102" t="s">
        <v>1334</v>
      </c>
      <c r="D902" t="s">
        <v>369</v>
      </c>
      <c r="E902" t="s">
        <v>64</v>
      </c>
      <c r="F902" t="s">
        <v>63</v>
      </c>
      <c r="G902" t="s">
        <v>1159</v>
      </c>
      <c r="H902" t="s">
        <v>1310</v>
      </c>
      <c r="I902" t="s">
        <v>139</v>
      </c>
      <c r="J902" t="s">
        <v>287</v>
      </c>
      <c r="K902" s="28">
        <f t="shared" ref="K902:AW902" si="313">K1550</f>
        <v>3.0570019073752373E-2</v>
      </c>
      <c r="L902" s="28">
        <f t="shared" si="313"/>
        <v>3.0367387601048686E-2</v>
      </c>
      <c r="M902" s="28">
        <f t="shared" si="313"/>
        <v>2.9940152719715736E-2</v>
      </c>
      <c r="N902" s="28">
        <f t="shared" si="313"/>
        <v>2.9219989120948371E-2</v>
      </c>
      <c r="O902" s="28">
        <f t="shared" si="313"/>
        <v>2.852126892952573E-2</v>
      </c>
      <c r="P902" s="28">
        <f t="shared" si="313"/>
        <v>2.7983855033028606E-2</v>
      </c>
      <c r="Q902" s="28">
        <f t="shared" si="313"/>
        <v>2.749776002622362E-2</v>
      </c>
      <c r="R902" s="28">
        <f t="shared" si="313"/>
        <v>2.6733493787157343E-2</v>
      </c>
      <c r="S902" s="28">
        <f t="shared" si="313"/>
        <v>2.3446894467457041E-2</v>
      </c>
      <c r="T902" s="28">
        <f t="shared" si="313"/>
        <v>2.3670380965491088E-2</v>
      </c>
      <c r="U902" s="28">
        <f t="shared" si="313"/>
        <v>2.3821608196176489E-2</v>
      </c>
      <c r="V902" s="28">
        <f t="shared" si="313"/>
        <v>2.3967916654645059E-2</v>
      </c>
      <c r="W902" s="28">
        <f t="shared" si="313"/>
        <v>2.4209875654048162E-2</v>
      </c>
      <c r="X902" s="28">
        <f t="shared" si="313"/>
        <v>2.4443860278754486E-2</v>
      </c>
      <c r="Y902" s="28">
        <f t="shared" si="313"/>
        <v>2.4689509012601481E-2</v>
      </c>
      <c r="Z902" s="28">
        <f t="shared" si="313"/>
        <v>2.4903367961433137E-2</v>
      </c>
      <c r="AA902" s="28">
        <f t="shared" si="313"/>
        <v>2.5146768445041517E-2</v>
      </c>
      <c r="AB902" s="28">
        <f t="shared" si="313"/>
        <v>2.5337237570324824E-2</v>
      </c>
      <c r="AC902" s="28">
        <f t="shared" si="313"/>
        <v>2.5532932848471888E-2</v>
      </c>
      <c r="AD902" s="28">
        <f t="shared" si="313"/>
        <v>2.5624080551254102E-2</v>
      </c>
      <c r="AE902" s="28">
        <f t="shared" si="313"/>
        <v>2.5749062544479791E-2</v>
      </c>
      <c r="AF902" s="28">
        <f t="shared" si="313"/>
        <v>2.5873562186552946E-2</v>
      </c>
      <c r="AG902" s="28">
        <f t="shared" si="313"/>
        <v>2.53248358805277E-2</v>
      </c>
      <c r="AH902" s="28">
        <f t="shared" si="313"/>
        <v>-5.9737784992688692E-3</v>
      </c>
      <c r="AI902" s="28">
        <f t="shared" si="313"/>
        <v>-5.8352076147992196E-3</v>
      </c>
      <c r="AJ902" s="28">
        <f t="shared" si="313"/>
        <v>-5.6988404422584063E-3</v>
      </c>
      <c r="AK902" s="28">
        <f t="shared" si="313"/>
        <v>-5.5645615630153409E-3</v>
      </c>
      <c r="AL902" s="28">
        <f t="shared" si="313"/>
        <v>-5.4322635380194221E-3</v>
      </c>
      <c r="AM902" s="28">
        <f t="shared" si="313"/>
        <v>-5.3018461683791993E-3</v>
      </c>
      <c r="AN902" s="28">
        <f t="shared" si="313"/>
        <v>-5.1961071833315654E-3</v>
      </c>
      <c r="AO902" s="28">
        <f t="shared" si="313"/>
        <v>-5.0919652579405755E-3</v>
      </c>
      <c r="AP902" s="28">
        <f t="shared" si="313"/>
        <v>-4.9893480213799102E-3</v>
      </c>
      <c r="AQ902" s="28">
        <f t="shared" si="313"/>
        <v>-4.8881876039149471E-3</v>
      </c>
      <c r="AR902" s="28">
        <f t="shared" si="313"/>
        <v>-4.7884202636879142E-3</v>
      </c>
      <c r="AS902" s="28">
        <f t="shared" si="313"/>
        <v>-4.6867985813226392E-3</v>
      </c>
      <c r="AT902" s="28">
        <f t="shared" si="313"/>
        <v>-4.5865743266878378E-3</v>
      </c>
      <c r="AU902" s="28">
        <f t="shared" si="313"/>
        <v>-4.4876925271481486E-3</v>
      </c>
      <c r="AV902" s="28">
        <f t="shared" si="313"/>
        <v>-4.3901012986055903E-3</v>
      </c>
      <c r="AW902" s="28">
        <f t="shared" si="313"/>
        <v>-4.2937516147018842E-3</v>
      </c>
      <c r="AY902" s="85"/>
      <c r="AZ902" s="85"/>
    </row>
    <row r="903" spans="1:52" x14ac:dyDescent="0.25">
      <c r="A903" s="102" t="str">
        <f t="shared" si="270"/>
        <v>BD MM Leaching</v>
      </c>
      <c r="B903" s="102" t="s">
        <v>1229</v>
      </c>
      <c r="C903" s="102" t="s">
        <v>1334</v>
      </c>
      <c r="D903" t="s">
        <v>369</v>
      </c>
      <c r="E903" t="s">
        <v>64</v>
      </c>
      <c r="F903" t="s">
        <v>63</v>
      </c>
      <c r="G903" t="s">
        <v>1161</v>
      </c>
      <c r="H903" t="s">
        <v>1311</v>
      </c>
      <c r="I903" t="s">
        <v>139</v>
      </c>
      <c r="J903" t="s">
        <v>287</v>
      </c>
      <c r="K903" s="28">
        <f t="shared" ref="K903:AW903" si="314">K1551</f>
        <v>4.0580733454567468E-2</v>
      </c>
      <c r="L903" s="28">
        <f t="shared" si="314"/>
        <v>4.0311746583363478E-2</v>
      </c>
      <c r="M903" s="28">
        <f t="shared" si="314"/>
        <v>3.9744605790940746E-2</v>
      </c>
      <c r="N903" s="28">
        <f t="shared" si="314"/>
        <v>3.8788611390847182E-2</v>
      </c>
      <c r="O903" s="28">
        <f t="shared" si="314"/>
        <v>3.7861082435793565E-2</v>
      </c>
      <c r="P903" s="28">
        <f t="shared" si="314"/>
        <v>3.7147682485472483E-2</v>
      </c>
      <c r="Q903" s="28">
        <f t="shared" si="314"/>
        <v>3.6502406738108395E-2</v>
      </c>
      <c r="R903" s="28">
        <f t="shared" si="314"/>
        <v>3.5487867477892406E-2</v>
      </c>
      <c r="S903" s="28">
        <f t="shared" si="314"/>
        <v>3.1125010829260641E-2</v>
      </c>
      <c r="T903" s="28">
        <f t="shared" si="314"/>
        <v>3.142168208698979E-2</v>
      </c>
      <c r="U903" s="28">
        <f t="shared" si="314"/>
        <v>3.1622431452723296E-2</v>
      </c>
      <c r="V903" s="28">
        <f t="shared" si="314"/>
        <v>3.1816651303909434E-2</v>
      </c>
      <c r="W903" s="28">
        <f t="shared" si="314"/>
        <v>3.2137844222959386E-2</v>
      </c>
      <c r="X903" s="28">
        <f t="shared" si="314"/>
        <v>3.2448451411812178E-2</v>
      </c>
      <c r="Y903" s="28">
        <f t="shared" si="314"/>
        <v>3.2774542336637791E-2</v>
      </c>
      <c r="Z903" s="28">
        <f t="shared" si="314"/>
        <v>3.3058433327300053E-2</v>
      </c>
      <c r="AA903" s="28">
        <f t="shared" si="314"/>
        <v>3.3381539771041358E-2</v>
      </c>
      <c r="AB903" s="28">
        <f t="shared" si="314"/>
        <v>3.3634381510714434E-2</v>
      </c>
      <c r="AC903" s="28">
        <f t="shared" si="314"/>
        <v>3.3894160803021843E-2</v>
      </c>
      <c r="AD903" s="28">
        <f t="shared" si="314"/>
        <v>3.4015156495653814E-2</v>
      </c>
      <c r="AE903" s="28">
        <f t="shared" si="314"/>
        <v>3.4181066138741563E-2</v>
      </c>
      <c r="AF903" s="28">
        <f t="shared" si="314"/>
        <v>3.4346335475930106E-2</v>
      </c>
      <c r="AG903" s="28">
        <f t="shared" si="314"/>
        <v>3.3617918659748287E-2</v>
      </c>
      <c r="AH903" s="28">
        <f t="shared" si="314"/>
        <v>-7.9300020196454452E-3</v>
      </c>
      <c r="AI903" s="28">
        <f t="shared" si="314"/>
        <v>-7.7460535532195693E-3</v>
      </c>
      <c r="AJ903" s="28">
        <f t="shared" si="314"/>
        <v>-7.565030444680417E-3</v>
      </c>
      <c r="AK903" s="28">
        <f t="shared" si="314"/>
        <v>-7.3867794794456746E-3</v>
      </c>
      <c r="AL903" s="28">
        <f t="shared" si="314"/>
        <v>-7.211158035573738E-3</v>
      </c>
      <c r="AM903" s="28">
        <f t="shared" si="314"/>
        <v>-7.038033102205285E-3</v>
      </c>
      <c r="AN903" s="28">
        <f t="shared" si="314"/>
        <v>-6.8976679438577443E-3</v>
      </c>
      <c r="AO903" s="28">
        <f t="shared" si="314"/>
        <v>-6.7594228316927426E-3</v>
      </c>
      <c r="AP903" s="28">
        <f t="shared" si="314"/>
        <v>-6.6232016957272714E-3</v>
      </c>
      <c r="AQ903" s="28">
        <f t="shared" si="314"/>
        <v>-6.4889144410352007E-3</v>
      </c>
      <c r="AR903" s="28">
        <f t="shared" si="314"/>
        <v>-6.3564764523163604E-3</v>
      </c>
      <c r="AS903" s="28">
        <f t="shared" si="314"/>
        <v>-6.2215768830579691E-3</v>
      </c>
      <c r="AT903" s="28">
        <f t="shared" si="314"/>
        <v>-6.0885323549140658E-3</v>
      </c>
      <c r="AU903" s="28">
        <f t="shared" si="314"/>
        <v>-5.9572698934498708E-3</v>
      </c>
      <c r="AV903" s="28">
        <f t="shared" si="314"/>
        <v>-5.8277206241663026E-3</v>
      </c>
      <c r="AW903" s="28">
        <f t="shared" si="314"/>
        <v>-5.6998194661233492E-3</v>
      </c>
      <c r="AY903" s="85"/>
      <c r="AZ903" s="85"/>
    </row>
    <row r="904" spans="1:52" x14ac:dyDescent="0.25">
      <c r="A904" s="102" t="str">
        <f t="shared" si="270"/>
        <v>BD MM Leaching</v>
      </c>
      <c r="B904" s="102" t="s">
        <v>1229</v>
      </c>
      <c r="C904" s="102" t="s">
        <v>1334</v>
      </c>
      <c r="D904" t="s">
        <v>369</v>
      </c>
      <c r="E904" t="s">
        <v>64</v>
      </c>
      <c r="F904" t="s">
        <v>63</v>
      </c>
      <c r="G904" t="s">
        <v>1163</v>
      </c>
      <c r="H904" t="s">
        <v>1312</v>
      </c>
      <c r="I904" t="s">
        <v>139</v>
      </c>
      <c r="J904" t="s">
        <v>287</v>
      </c>
      <c r="K904" s="28">
        <f t="shared" ref="K904:AW904" si="315">K1552</f>
        <v>4.2198184999711216E-2</v>
      </c>
      <c r="L904" s="28">
        <f t="shared" si="315"/>
        <v>4.3701080723593189E-2</v>
      </c>
      <c r="M904" s="28">
        <f t="shared" si="315"/>
        <v>4.4893970631746632E-2</v>
      </c>
      <c r="N904" s="28">
        <f t="shared" si="315"/>
        <v>4.5631666148342777E-2</v>
      </c>
      <c r="O904" s="28">
        <f t="shared" si="315"/>
        <v>4.6370901653410727E-2</v>
      </c>
      <c r="P904" s="28">
        <f t="shared" si="315"/>
        <v>4.7352594214128713E-2</v>
      </c>
      <c r="Q904" s="28">
        <f t="shared" si="315"/>
        <v>4.8416104778857959E-2</v>
      </c>
      <c r="R904" s="28">
        <f t="shared" si="315"/>
        <v>4.8969568240860781E-2</v>
      </c>
      <c r="S904" s="28">
        <f t="shared" si="315"/>
        <v>4.467643167473432E-2</v>
      </c>
      <c r="T904" s="28">
        <f t="shared" si="315"/>
        <v>4.6180091777624298E-2</v>
      </c>
      <c r="U904" s="28">
        <f t="shared" si="315"/>
        <v>4.7570527161609366E-2</v>
      </c>
      <c r="V904" s="28">
        <f t="shared" si="315"/>
        <v>4.8976478875928542E-2</v>
      </c>
      <c r="W904" s="28">
        <f t="shared" si="315"/>
        <v>5.0608575947889443E-2</v>
      </c>
      <c r="X904" s="28">
        <f t="shared" si="315"/>
        <v>5.2259990749301093E-2</v>
      </c>
      <c r="Y904" s="28">
        <f t="shared" si="315"/>
        <v>5.3973742651481194E-2</v>
      </c>
      <c r="Z904" s="28">
        <f t="shared" si="315"/>
        <v>5.5655662348968654E-2</v>
      </c>
      <c r="AA904" s="28">
        <f t="shared" si="315"/>
        <v>5.7442412303445836E-2</v>
      </c>
      <c r="AB904" s="28">
        <f t="shared" si="315"/>
        <v>5.9147142754678653E-2</v>
      </c>
      <c r="AC904" s="28">
        <f t="shared" si="315"/>
        <v>6.0901819824646548E-2</v>
      </c>
      <c r="AD904" s="28">
        <f t="shared" si="315"/>
        <v>6.3135419327645992E-2</v>
      </c>
      <c r="AE904" s="28">
        <f t="shared" si="315"/>
        <v>6.5540351764294846E-2</v>
      </c>
      <c r="AF904" s="28">
        <f t="shared" si="315"/>
        <v>6.8039701590190294E-2</v>
      </c>
      <c r="AG904" s="28">
        <f t="shared" si="315"/>
        <v>6.8810814245314753E-2</v>
      </c>
      <c r="AH904" s="28">
        <f t="shared" si="315"/>
        <v>-1.6773235166111743E-2</v>
      </c>
      <c r="AI904" s="28">
        <f t="shared" si="315"/>
        <v>-1.6933400933561566E-2</v>
      </c>
      <c r="AJ904" s="28">
        <f t="shared" si="315"/>
        <v>-1.7094868952670969E-2</v>
      </c>
      <c r="AK904" s="28">
        <f t="shared" si="315"/>
        <v>-1.7257651547387617E-2</v>
      </c>
      <c r="AL904" s="28">
        <f t="shared" si="315"/>
        <v>-1.7421761152310457E-2</v>
      </c>
      <c r="AM904" s="28">
        <f t="shared" si="315"/>
        <v>-1.7587210313649345E-2</v>
      </c>
      <c r="AN904" s="28">
        <f t="shared" si="315"/>
        <v>-1.7719984819695212E-2</v>
      </c>
      <c r="AO904" s="28">
        <f t="shared" si="315"/>
        <v>-1.7853675202067487E-2</v>
      </c>
      <c r="AP904" s="28">
        <f t="shared" si="315"/>
        <v>-1.7988288709386402E-2</v>
      </c>
      <c r="AQ904" s="28">
        <f t="shared" si="315"/>
        <v>-1.8123832644983004E-2</v>
      </c>
      <c r="AR904" s="28">
        <f t="shared" si="315"/>
        <v>-1.8260314367299166E-2</v>
      </c>
      <c r="AS904" s="28">
        <f t="shared" si="315"/>
        <v>-1.8385237574275969E-2</v>
      </c>
      <c r="AT904" s="28">
        <f t="shared" si="315"/>
        <v>-1.8510879729427106E-2</v>
      </c>
      <c r="AU904" s="28">
        <f t="shared" si="315"/>
        <v>-1.8637245588774352E-2</v>
      </c>
      <c r="AV904" s="28">
        <f t="shared" si="315"/>
        <v>-1.8764339938161633E-2</v>
      </c>
      <c r="AW904" s="28">
        <f t="shared" si="315"/>
        <v>-1.8892167593435472E-2</v>
      </c>
      <c r="AY904" s="85"/>
      <c r="AZ904" s="85"/>
    </row>
    <row r="905" spans="1:52" x14ac:dyDescent="0.25">
      <c r="A905" s="102" t="str">
        <f t="shared" si="270"/>
        <v>BD MM Leaching</v>
      </c>
      <c r="B905" s="102" t="s">
        <v>1229</v>
      </c>
      <c r="C905" s="102" t="s">
        <v>1334</v>
      </c>
      <c r="D905" t="s">
        <v>369</v>
      </c>
      <c r="E905" t="s">
        <v>64</v>
      </c>
      <c r="F905" t="s">
        <v>63</v>
      </c>
      <c r="G905" t="s">
        <v>1165</v>
      </c>
      <c r="H905" t="s">
        <v>1313</v>
      </c>
      <c r="I905" t="s">
        <v>139</v>
      </c>
      <c r="J905" t="s">
        <v>287</v>
      </c>
      <c r="K905" s="28">
        <f t="shared" ref="K905:AW905" si="316">K1553</f>
        <v>4.3944700668161743E-3</v>
      </c>
      <c r="L905" s="28">
        <f t="shared" si="316"/>
        <v>4.3968698493422791E-3</v>
      </c>
      <c r="M905" s="28">
        <f t="shared" si="316"/>
        <v>4.4022434234010565E-3</v>
      </c>
      <c r="N905" s="28">
        <f t="shared" si="316"/>
        <v>4.4103317804749962E-3</v>
      </c>
      <c r="O905" s="28">
        <f t="shared" si="316"/>
        <v>4.4212431364047738E-3</v>
      </c>
      <c r="P905" s="28">
        <f t="shared" si="316"/>
        <v>4.4349890691963833E-3</v>
      </c>
      <c r="Q905" s="28">
        <f t="shared" si="316"/>
        <v>4.4503014810886657E-3</v>
      </c>
      <c r="R905" s="28">
        <f t="shared" si="316"/>
        <v>4.4668966507282254E-3</v>
      </c>
      <c r="S905" s="28">
        <f t="shared" si="316"/>
        <v>4.4824913305812559E-3</v>
      </c>
      <c r="T905" s="28">
        <f t="shared" si="316"/>
        <v>4.4890055303365281E-3</v>
      </c>
      <c r="U905" s="28">
        <f t="shared" si="316"/>
        <v>4.4965644629605924E-3</v>
      </c>
      <c r="V905" s="28">
        <f t="shared" si="316"/>
        <v>4.5051665785440084E-3</v>
      </c>
      <c r="W905" s="28">
        <f t="shared" si="316"/>
        <v>4.5148564456586847E-3</v>
      </c>
      <c r="X905" s="28">
        <f t="shared" si="316"/>
        <v>4.525478721327544E-3</v>
      </c>
      <c r="Y905" s="28">
        <f t="shared" si="316"/>
        <v>4.5320175420941466E-3</v>
      </c>
      <c r="Z905" s="28">
        <f t="shared" si="316"/>
        <v>4.5393215398995043E-3</v>
      </c>
      <c r="AA905" s="28">
        <f t="shared" si="316"/>
        <v>4.5474172205527642E-3</v>
      </c>
      <c r="AB905" s="28">
        <f t="shared" si="316"/>
        <v>4.5561801987217551E-3</v>
      </c>
      <c r="AC905" s="28">
        <f t="shared" si="316"/>
        <v>4.5656418072393947E-3</v>
      </c>
      <c r="AD905" s="28">
        <f t="shared" si="316"/>
        <v>4.5718705604296328E-3</v>
      </c>
      <c r="AE905" s="28">
        <f t="shared" si="316"/>
        <v>4.5787544823923942E-3</v>
      </c>
      <c r="AF905" s="28">
        <f t="shared" si="316"/>
        <v>4.586231662580295E-3</v>
      </c>
      <c r="AG905" s="28">
        <f t="shared" si="316"/>
        <v>4.5934555722856032E-3</v>
      </c>
      <c r="AH905" s="28">
        <f t="shared" si="316"/>
        <v>4.562571195274273E-3</v>
      </c>
      <c r="AI905" s="28">
        <f t="shared" si="316"/>
        <v>4.5669572651403133E-3</v>
      </c>
      <c r="AJ905" s="28">
        <f t="shared" si="316"/>
        <v>4.5717973149633755E-3</v>
      </c>
      <c r="AK905" s="28">
        <f t="shared" si="316"/>
        <v>4.5770741937615714E-3</v>
      </c>
      <c r="AL905" s="28">
        <f t="shared" si="316"/>
        <v>4.5827720762171521E-3</v>
      </c>
      <c r="AM905" s="28">
        <f t="shared" si="316"/>
        <v>4.5888763368810139E-3</v>
      </c>
      <c r="AN905" s="28">
        <f t="shared" si="316"/>
        <v>4.5918387401172314E-3</v>
      </c>
      <c r="AO905" s="28">
        <f t="shared" si="316"/>
        <v>4.5951591884317378E-3</v>
      </c>
      <c r="AP905" s="28">
        <f t="shared" si="316"/>
        <v>4.5988252210116161E-3</v>
      </c>
      <c r="AQ905" s="28">
        <f t="shared" si="316"/>
        <v>4.6028252299079387E-3</v>
      </c>
      <c r="AR905" s="28">
        <f t="shared" si="316"/>
        <v>4.6071483875808113E-3</v>
      </c>
      <c r="AS905" s="28">
        <f t="shared" si="316"/>
        <v>4.6082148579908756E-3</v>
      </c>
      <c r="AT905" s="28">
        <f t="shared" si="316"/>
        <v>4.609568122792394E-3</v>
      </c>
      <c r="AU905" s="28">
        <f t="shared" si="316"/>
        <v>4.6111986833604953E-3</v>
      </c>
      <c r="AV905" s="28">
        <f t="shared" si="316"/>
        <v>4.6130976210976499E-3</v>
      </c>
      <c r="AW905" s="28">
        <f t="shared" si="316"/>
        <v>4.6152565528286265E-3</v>
      </c>
      <c r="AY905" s="85"/>
      <c r="AZ905" s="85"/>
    </row>
    <row r="906" spans="1:52" x14ac:dyDescent="0.25">
      <c r="A906" s="102" t="str">
        <f t="shared" si="270"/>
        <v>BD MM Leaching</v>
      </c>
      <c r="B906" s="102" t="s">
        <v>1229</v>
      </c>
      <c r="C906" s="102" t="s">
        <v>1334</v>
      </c>
      <c r="D906" t="s">
        <v>369</v>
      </c>
      <c r="E906" t="s">
        <v>64</v>
      </c>
      <c r="F906" t="s">
        <v>63</v>
      </c>
      <c r="G906" t="s">
        <v>1167</v>
      </c>
      <c r="H906" t="s">
        <v>1314</v>
      </c>
      <c r="I906" t="s">
        <v>139</v>
      </c>
      <c r="J906" t="s">
        <v>287</v>
      </c>
      <c r="K906" s="28">
        <f t="shared" ref="K906:AW906" si="317">K1554</f>
        <v>3.6554081926520139E-3</v>
      </c>
      <c r="L906" s="28">
        <f t="shared" si="317"/>
        <v>3.6574043798084017E-3</v>
      </c>
      <c r="M906" s="28">
        <f t="shared" si="317"/>
        <v>3.6618742263063008E-3</v>
      </c>
      <c r="N906" s="28">
        <f t="shared" si="317"/>
        <v>3.6686022836746814E-3</v>
      </c>
      <c r="O906" s="28">
        <f t="shared" si="317"/>
        <v>3.6776785680166413E-3</v>
      </c>
      <c r="P906" s="28">
        <f t="shared" si="317"/>
        <v>3.6891127101493907E-3</v>
      </c>
      <c r="Q906" s="28">
        <f t="shared" si="317"/>
        <v>3.7018498809639078E-3</v>
      </c>
      <c r="R906" s="28">
        <f t="shared" si="317"/>
        <v>3.7156540753574409E-3</v>
      </c>
      <c r="S906" s="28">
        <f t="shared" si="317"/>
        <v>3.7286260423135963E-3</v>
      </c>
      <c r="T906" s="28">
        <f t="shared" si="317"/>
        <v>3.7340446841047422E-3</v>
      </c>
      <c r="U906" s="28">
        <f t="shared" si="317"/>
        <v>3.7403323556149792E-3</v>
      </c>
      <c r="V906" s="28">
        <f t="shared" si="317"/>
        <v>3.7474877675985991E-3</v>
      </c>
      <c r="W906" s="28">
        <f t="shared" si="317"/>
        <v>3.7555479930861213E-3</v>
      </c>
      <c r="X906" s="28">
        <f t="shared" si="317"/>
        <v>3.7643838146787538E-3</v>
      </c>
      <c r="Y906" s="28">
        <f t="shared" si="317"/>
        <v>3.769822936720115E-3</v>
      </c>
      <c r="Z906" s="28">
        <f t="shared" si="317"/>
        <v>3.7758985483435582E-3</v>
      </c>
      <c r="AA906" s="28">
        <f t="shared" si="317"/>
        <v>3.7826326976118578E-3</v>
      </c>
      <c r="AB906" s="28">
        <f t="shared" si="317"/>
        <v>3.7899219183151331E-3</v>
      </c>
      <c r="AC906" s="28">
        <f t="shared" si="317"/>
        <v>3.7977922737311865E-3</v>
      </c>
      <c r="AD906" s="28">
        <f t="shared" si="317"/>
        <v>3.8029734753540017E-3</v>
      </c>
      <c r="AE906" s="28">
        <f t="shared" si="317"/>
        <v>3.8086996594803367E-3</v>
      </c>
      <c r="AF906" s="28">
        <f t="shared" si="317"/>
        <v>3.8149193276772325E-3</v>
      </c>
      <c r="AG906" s="28">
        <f t="shared" si="317"/>
        <v>3.8209283204154385E-3</v>
      </c>
      <c r="AH906" s="28">
        <f t="shared" si="317"/>
        <v>3.7952380772153156E-3</v>
      </c>
      <c r="AI906" s="28">
        <f t="shared" si="317"/>
        <v>3.7988864979527624E-3</v>
      </c>
      <c r="AJ906" s="28">
        <f t="shared" si="317"/>
        <v>3.8029125483085634E-3</v>
      </c>
      <c r="AK906" s="28">
        <f t="shared" si="317"/>
        <v>3.8073019617525694E-3</v>
      </c>
      <c r="AL906" s="28">
        <f t="shared" si="317"/>
        <v>3.8120415744685989E-3</v>
      </c>
      <c r="AM906" s="28">
        <f t="shared" si="317"/>
        <v>3.8171192207152455E-3</v>
      </c>
      <c r="AN906" s="28">
        <f t="shared" si="317"/>
        <v>3.8195834070437343E-3</v>
      </c>
      <c r="AO906" s="28">
        <f t="shared" si="317"/>
        <v>3.8223454224375316E-3</v>
      </c>
      <c r="AP906" s="28">
        <f t="shared" si="317"/>
        <v>3.8253949017429448E-3</v>
      </c>
      <c r="AQ906" s="28">
        <f t="shared" si="317"/>
        <v>3.8287221892356308E-3</v>
      </c>
      <c r="AR906" s="28">
        <f t="shared" si="317"/>
        <v>3.8323182783511038E-3</v>
      </c>
      <c r="AS906" s="28">
        <f t="shared" si="317"/>
        <v>3.833205389792278E-3</v>
      </c>
      <c r="AT906" s="28">
        <f t="shared" si="317"/>
        <v>3.8343310625507851E-3</v>
      </c>
      <c r="AU906" s="28">
        <f t="shared" si="317"/>
        <v>3.8356873954802709E-3</v>
      </c>
      <c r="AV906" s="28">
        <f t="shared" si="317"/>
        <v>3.8372669699127259E-3</v>
      </c>
      <c r="AW906" s="28">
        <f t="shared" si="317"/>
        <v>3.8390628125551359E-3</v>
      </c>
      <c r="AY906" s="85"/>
      <c r="AZ906" s="85"/>
    </row>
    <row r="907" spans="1:52" x14ac:dyDescent="0.25">
      <c r="A907" s="102" t="str">
        <f t="shared" si="270"/>
        <v>BD MM Leaching</v>
      </c>
      <c r="B907" s="102" t="s">
        <v>1229</v>
      </c>
      <c r="C907" s="102" t="s">
        <v>1334</v>
      </c>
      <c r="D907" t="s">
        <v>369</v>
      </c>
      <c r="E907" t="s">
        <v>64</v>
      </c>
      <c r="F907" t="s">
        <v>63</v>
      </c>
      <c r="G907" t="s">
        <v>1169</v>
      </c>
      <c r="H907" t="s">
        <v>1315</v>
      </c>
      <c r="I907" t="s">
        <v>139</v>
      </c>
      <c r="J907" t="s">
        <v>287</v>
      </c>
      <c r="K907" s="28">
        <f t="shared" ref="K907:AW907" si="318">K1555</f>
        <v>5.4321183723638063E-4</v>
      </c>
      <c r="L907" s="28">
        <f t="shared" si="318"/>
        <v>5.4462866238069155E-4</v>
      </c>
      <c r="M907" s="28">
        <f t="shared" si="318"/>
        <v>5.4651670738969612E-4</v>
      </c>
      <c r="N907" s="28">
        <f t="shared" si="318"/>
        <v>5.4883399731316639E-4</v>
      </c>
      <c r="O907" s="28">
        <f t="shared" si="318"/>
        <v>5.5160837836810213E-4</v>
      </c>
      <c r="P907" s="28">
        <f t="shared" si="318"/>
        <v>5.5484723352096008E-4</v>
      </c>
      <c r="Q907" s="28">
        <f t="shared" si="318"/>
        <v>5.5831016678068942E-4</v>
      </c>
      <c r="R907" s="28">
        <f t="shared" si="318"/>
        <v>5.61947661040627E-4</v>
      </c>
      <c r="S907" s="28">
        <f t="shared" si="318"/>
        <v>5.6532673344002258E-4</v>
      </c>
      <c r="T907" s="28">
        <f t="shared" si="318"/>
        <v>5.6691026971513229E-4</v>
      </c>
      <c r="U907" s="28">
        <f t="shared" si="318"/>
        <v>5.6864670501845574E-4</v>
      </c>
      <c r="V907" s="28">
        <f t="shared" si="318"/>
        <v>5.7053824293023939E-4</v>
      </c>
      <c r="W907" s="28">
        <f t="shared" si="318"/>
        <v>5.7259543924260763E-4</v>
      </c>
      <c r="X907" s="28">
        <f t="shared" si="318"/>
        <v>5.7479059617442649E-4</v>
      </c>
      <c r="Y907" s="28">
        <f t="shared" si="318"/>
        <v>5.7617814395304924E-4</v>
      </c>
      <c r="Z907" s="28">
        <f t="shared" si="318"/>
        <v>5.7767940009102313E-4</v>
      </c>
      <c r="AA907" s="28">
        <f t="shared" si="318"/>
        <v>5.7930057538230326E-4</v>
      </c>
      <c r="AB907" s="28">
        <f t="shared" si="318"/>
        <v>5.8101935108040965E-4</v>
      </c>
      <c r="AC907" s="28">
        <f t="shared" si="318"/>
        <v>5.8284260247755859E-4</v>
      </c>
      <c r="AD907" s="28">
        <f t="shared" si="318"/>
        <v>5.8403671107952763E-4</v>
      </c>
      <c r="AE907" s="28">
        <f t="shared" si="318"/>
        <v>5.8533173041619576E-4</v>
      </c>
      <c r="AF907" s="28">
        <f t="shared" si="318"/>
        <v>5.8671671252614034E-4</v>
      </c>
      <c r="AG907" s="28">
        <f t="shared" si="318"/>
        <v>5.8803501308500182E-4</v>
      </c>
      <c r="AH907" s="28">
        <f t="shared" si="318"/>
        <v>5.8227212874330822E-4</v>
      </c>
      <c r="AI907" s="28">
        <f t="shared" si="318"/>
        <v>5.8304320424414362E-4</v>
      </c>
      <c r="AJ907" s="28">
        <f t="shared" si="318"/>
        <v>5.8388341826515493E-4</v>
      </c>
      <c r="AK907" s="28">
        <f t="shared" si="318"/>
        <v>5.847899630335218E-4</v>
      </c>
      <c r="AL907" s="28">
        <f t="shared" si="318"/>
        <v>5.8576024856299858E-4</v>
      </c>
      <c r="AM907" s="28">
        <f t="shared" si="318"/>
        <v>5.8679188180125747E-4</v>
      </c>
      <c r="AN907" s="28">
        <f t="shared" si="318"/>
        <v>5.8723470872871001E-4</v>
      </c>
      <c r="AO907" s="28">
        <f t="shared" si="318"/>
        <v>5.8773280177020523E-4</v>
      </c>
      <c r="AP907" s="28">
        <f t="shared" si="318"/>
        <v>5.8828407739591119E-4</v>
      </c>
      <c r="AQ907" s="28">
        <f t="shared" si="318"/>
        <v>5.8888659501104234E-4</v>
      </c>
      <c r="AR907" s="28">
        <f t="shared" si="318"/>
        <v>5.895385447102022E-4</v>
      </c>
      <c r="AS907" s="28">
        <f t="shared" si="318"/>
        <v>5.8958940978755205E-4</v>
      </c>
      <c r="AT907" s="28">
        <f t="shared" si="318"/>
        <v>5.8968551081379366E-4</v>
      </c>
      <c r="AU907" s="28">
        <f t="shared" si="318"/>
        <v>5.8982522322727085E-4</v>
      </c>
      <c r="AV907" s="28">
        <f t="shared" si="318"/>
        <v>5.9000702190384238E-4</v>
      </c>
      <c r="AW907" s="28">
        <f t="shared" si="318"/>
        <v>5.9022947345323132E-4</v>
      </c>
      <c r="AY907" s="85"/>
      <c r="AZ907" s="85"/>
    </row>
    <row r="908" spans="1:52" x14ac:dyDescent="0.25">
      <c r="A908" s="102" t="str">
        <f t="shared" si="270"/>
        <v>BD MM Leaching</v>
      </c>
      <c r="B908" s="102" t="s">
        <v>1229</v>
      </c>
      <c r="C908" s="102" t="s">
        <v>1334</v>
      </c>
      <c r="D908" t="s">
        <v>369</v>
      </c>
      <c r="E908" t="s">
        <v>64</v>
      </c>
      <c r="F908" t="s">
        <v>63</v>
      </c>
      <c r="G908" t="s">
        <v>1171</v>
      </c>
      <c r="H908" t="s">
        <v>1316</v>
      </c>
      <c r="I908" t="s">
        <v>139</v>
      </c>
      <c r="J908" t="s">
        <v>287</v>
      </c>
      <c r="K908" s="28">
        <f t="shared" ref="K908:AW908" si="319">K1556</f>
        <v>6.6990339537854613E-3</v>
      </c>
      <c r="L908" s="28">
        <f t="shared" si="319"/>
        <v>6.7165066211643688E-3</v>
      </c>
      <c r="M908" s="28">
        <f t="shared" si="319"/>
        <v>6.7397904981983149E-3</v>
      </c>
      <c r="N908" s="28">
        <f t="shared" si="319"/>
        <v>6.7683679385521006E-3</v>
      </c>
      <c r="O908" s="28">
        <f t="shared" si="319"/>
        <v>6.8025823492363574E-3</v>
      </c>
      <c r="P908" s="28">
        <f t="shared" si="319"/>
        <v>6.8425247789720067E-3</v>
      </c>
      <c r="Q908" s="28">
        <f t="shared" si="319"/>
        <v>6.8852305999729637E-3</v>
      </c>
      <c r="R908" s="28">
        <f t="shared" si="319"/>
        <v>6.9300891540096266E-3</v>
      </c>
      <c r="S908" s="28">
        <f t="shared" si="319"/>
        <v>6.9717607804068256E-3</v>
      </c>
      <c r="T908" s="28">
        <f t="shared" si="319"/>
        <v>6.9912893741281628E-3</v>
      </c>
      <c r="U908" s="28">
        <f t="shared" si="319"/>
        <v>7.0127035596413059E-3</v>
      </c>
      <c r="V908" s="28">
        <f t="shared" si="319"/>
        <v>7.0360305120884007E-3</v>
      </c>
      <c r="W908" s="28">
        <f t="shared" si="319"/>
        <v>7.0614004083267975E-3</v>
      </c>
      <c r="X908" s="28">
        <f t="shared" si="319"/>
        <v>7.0884716718967464E-3</v>
      </c>
      <c r="Y908" s="28">
        <f t="shared" si="319"/>
        <v>7.1055832829558596E-3</v>
      </c>
      <c r="Z908" s="28">
        <f t="shared" si="319"/>
        <v>7.1240971759755339E-3</v>
      </c>
      <c r="AA908" s="28">
        <f t="shared" si="319"/>
        <v>7.1440899441312785E-3</v>
      </c>
      <c r="AB908" s="28">
        <f t="shared" si="319"/>
        <v>7.1652863466602334E-3</v>
      </c>
      <c r="AC908" s="28">
        <f t="shared" si="319"/>
        <v>7.1877711715085417E-3</v>
      </c>
      <c r="AD908" s="28">
        <f t="shared" si="319"/>
        <v>7.2024972388008085E-3</v>
      </c>
      <c r="AE908" s="28">
        <f t="shared" si="319"/>
        <v>7.2184677643167576E-3</v>
      </c>
      <c r="AF908" s="28">
        <f t="shared" si="319"/>
        <v>7.2355477348621461E-3</v>
      </c>
      <c r="AG908" s="28">
        <f t="shared" si="319"/>
        <v>7.251805370649388E-3</v>
      </c>
      <c r="AH908" s="28">
        <f t="shared" si="319"/>
        <v>7.1807359365347809E-3</v>
      </c>
      <c r="AI908" s="28">
        <f t="shared" si="319"/>
        <v>7.190245046253943E-3</v>
      </c>
      <c r="AJ908" s="28">
        <f t="shared" si="319"/>
        <v>7.2006067907325584E-3</v>
      </c>
      <c r="AK908" s="28">
        <f t="shared" si="319"/>
        <v>7.2117865437637393E-3</v>
      </c>
      <c r="AL908" s="28">
        <f t="shared" si="319"/>
        <v>7.2237523649430046E-3</v>
      </c>
      <c r="AM908" s="28">
        <f t="shared" si="319"/>
        <v>7.2364747425077329E-3</v>
      </c>
      <c r="AN908" s="28">
        <f t="shared" si="319"/>
        <v>7.2419358028516061E-3</v>
      </c>
      <c r="AO908" s="28">
        <f t="shared" si="319"/>
        <v>7.2480784197247895E-3</v>
      </c>
      <c r="AP908" s="28">
        <f t="shared" si="319"/>
        <v>7.2548768984790225E-3</v>
      </c>
      <c r="AQ908" s="28">
        <f t="shared" si="319"/>
        <v>7.2623073071793384E-3</v>
      </c>
      <c r="AR908" s="28">
        <f t="shared" si="319"/>
        <v>7.2703473255873539E-3</v>
      </c>
      <c r="AS908" s="28">
        <f t="shared" si="319"/>
        <v>7.2709746073527197E-3</v>
      </c>
      <c r="AT908" s="28">
        <f t="shared" si="319"/>
        <v>7.272159750962735E-3</v>
      </c>
      <c r="AU908" s="28">
        <f t="shared" si="319"/>
        <v>7.2738827218876909E-3</v>
      </c>
      <c r="AV908" s="28">
        <f t="shared" si="319"/>
        <v>7.2761247118879498E-3</v>
      </c>
      <c r="AW908" s="28">
        <f t="shared" si="319"/>
        <v>7.2788680440104758E-3</v>
      </c>
      <c r="AY908" s="85"/>
      <c r="AZ908" s="85"/>
    </row>
    <row r="909" spans="1:52" x14ac:dyDescent="0.25">
      <c r="A909" s="102" t="str">
        <f t="shared" si="270"/>
        <v>BD MM Leaching</v>
      </c>
      <c r="B909" s="102" t="s">
        <v>1229</v>
      </c>
      <c r="C909" s="102" t="s">
        <v>1334</v>
      </c>
      <c r="D909" t="s">
        <v>369</v>
      </c>
      <c r="E909" t="s">
        <v>64</v>
      </c>
      <c r="F909" t="s">
        <v>63</v>
      </c>
      <c r="G909" t="s">
        <v>1173</v>
      </c>
      <c r="H909" t="s">
        <v>1317</v>
      </c>
      <c r="I909" t="s">
        <v>139</v>
      </c>
      <c r="J909" t="s">
        <v>287</v>
      </c>
      <c r="K909" s="28">
        <f t="shared" ref="K909:AW909" si="320">K1557</f>
        <v>0</v>
      </c>
      <c r="L909" s="28">
        <f t="shared" si="320"/>
        <v>0</v>
      </c>
      <c r="M909" s="28">
        <f t="shared" si="320"/>
        <v>0</v>
      </c>
      <c r="N909" s="28">
        <f t="shared" si="320"/>
        <v>0</v>
      </c>
      <c r="O909" s="28">
        <f t="shared" si="320"/>
        <v>0</v>
      </c>
      <c r="P909" s="28">
        <f t="shared" si="320"/>
        <v>0</v>
      </c>
      <c r="Q909" s="28">
        <f t="shared" si="320"/>
        <v>0</v>
      </c>
      <c r="R909" s="28">
        <f t="shared" si="320"/>
        <v>0</v>
      </c>
      <c r="S909" s="28">
        <f t="shared" si="320"/>
        <v>0</v>
      </c>
      <c r="T909" s="28">
        <f t="shared" si="320"/>
        <v>0</v>
      </c>
      <c r="U909" s="28">
        <f t="shared" si="320"/>
        <v>0</v>
      </c>
      <c r="V909" s="28">
        <f t="shared" si="320"/>
        <v>0</v>
      </c>
      <c r="W909" s="28">
        <f t="shared" si="320"/>
        <v>0</v>
      </c>
      <c r="X909" s="28">
        <f t="shared" si="320"/>
        <v>0</v>
      </c>
      <c r="Y909" s="28">
        <f t="shared" si="320"/>
        <v>0</v>
      </c>
      <c r="Z909" s="28">
        <f t="shared" si="320"/>
        <v>0</v>
      </c>
      <c r="AA909" s="28">
        <f t="shared" si="320"/>
        <v>0</v>
      </c>
      <c r="AB909" s="28">
        <f t="shared" si="320"/>
        <v>0</v>
      </c>
      <c r="AC909" s="28">
        <f t="shared" si="320"/>
        <v>0</v>
      </c>
      <c r="AD909" s="28">
        <f t="shared" si="320"/>
        <v>0</v>
      </c>
      <c r="AE909" s="28">
        <f t="shared" si="320"/>
        <v>0</v>
      </c>
      <c r="AF909" s="28">
        <f t="shared" si="320"/>
        <v>0</v>
      </c>
      <c r="AG909" s="28">
        <f t="shared" si="320"/>
        <v>0</v>
      </c>
      <c r="AH909" s="28">
        <f t="shared" si="320"/>
        <v>0</v>
      </c>
      <c r="AI909" s="28">
        <f t="shared" si="320"/>
        <v>0</v>
      </c>
      <c r="AJ909" s="28">
        <f t="shared" si="320"/>
        <v>0</v>
      </c>
      <c r="AK909" s="28">
        <f t="shared" si="320"/>
        <v>0</v>
      </c>
      <c r="AL909" s="28">
        <f t="shared" si="320"/>
        <v>0</v>
      </c>
      <c r="AM909" s="28">
        <f t="shared" si="320"/>
        <v>0</v>
      </c>
      <c r="AN909" s="28">
        <f t="shared" si="320"/>
        <v>0</v>
      </c>
      <c r="AO909" s="28">
        <f t="shared" si="320"/>
        <v>0</v>
      </c>
      <c r="AP909" s="28">
        <f t="shared" si="320"/>
        <v>0</v>
      </c>
      <c r="AQ909" s="28">
        <f t="shared" si="320"/>
        <v>0</v>
      </c>
      <c r="AR909" s="28">
        <f t="shared" si="320"/>
        <v>0</v>
      </c>
      <c r="AS909" s="28">
        <f t="shared" si="320"/>
        <v>0</v>
      </c>
      <c r="AT909" s="28">
        <f t="shared" si="320"/>
        <v>0</v>
      </c>
      <c r="AU909" s="28">
        <f t="shared" si="320"/>
        <v>0</v>
      </c>
      <c r="AV909" s="28">
        <f t="shared" si="320"/>
        <v>0</v>
      </c>
      <c r="AW909" s="28">
        <f t="shared" si="320"/>
        <v>0</v>
      </c>
      <c r="AY909" s="85"/>
      <c r="AZ909" s="85"/>
    </row>
    <row r="910" spans="1:52" x14ac:dyDescent="0.25">
      <c r="A910" s="102" t="str">
        <f t="shared" si="270"/>
        <v>BD MM Leaching</v>
      </c>
      <c r="B910" s="102" t="s">
        <v>1229</v>
      </c>
      <c r="C910" s="102" t="s">
        <v>1334</v>
      </c>
      <c r="D910" t="s">
        <v>369</v>
      </c>
      <c r="E910" t="s">
        <v>64</v>
      </c>
      <c r="F910" t="s">
        <v>63</v>
      </c>
      <c r="G910" t="s">
        <v>1175</v>
      </c>
      <c r="H910" t="s">
        <v>1318</v>
      </c>
      <c r="I910" t="s">
        <v>139</v>
      </c>
      <c r="J910" t="s">
        <v>287</v>
      </c>
      <c r="K910" s="28">
        <f t="shared" ref="K910:AW910" si="321">K1558</f>
        <v>0</v>
      </c>
      <c r="L910" s="28">
        <f t="shared" si="321"/>
        <v>0</v>
      </c>
      <c r="M910" s="28">
        <f t="shared" si="321"/>
        <v>0</v>
      </c>
      <c r="N910" s="28">
        <f t="shared" si="321"/>
        <v>0</v>
      </c>
      <c r="O910" s="28">
        <f t="shared" si="321"/>
        <v>0</v>
      </c>
      <c r="P910" s="28">
        <f t="shared" si="321"/>
        <v>0</v>
      </c>
      <c r="Q910" s="28">
        <f t="shared" si="321"/>
        <v>0</v>
      </c>
      <c r="R910" s="28">
        <f t="shared" si="321"/>
        <v>0</v>
      </c>
      <c r="S910" s="28">
        <f t="shared" si="321"/>
        <v>0</v>
      </c>
      <c r="T910" s="28">
        <f t="shared" si="321"/>
        <v>0</v>
      </c>
      <c r="U910" s="28">
        <f t="shared" si="321"/>
        <v>0</v>
      </c>
      <c r="V910" s="28">
        <f t="shared" si="321"/>
        <v>0</v>
      </c>
      <c r="W910" s="28">
        <f t="shared" si="321"/>
        <v>0</v>
      </c>
      <c r="X910" s="28">
        <f t="shared" si="321"/>
        <v>0</v>
      </c>
      <c r="Y910" s="28">
        <f t="shared" si="321"/>
        <v>0</v>
      </c>
      <c r="Z910" s="28">
        <f t="shared" si="321"/>
        <v>0</v>
      </c>
      <c r="AA910" s="28">
        <f t="shared" si="321"/>
        <v>0</v>
      </c>
      <c r="AB910" s="28">
        <f t="shared" si="321"/>
        <v>0</v>
      </c>
      <c r="AC910" s="28">
        <f t="shared" si="321"/>
        <v>0</v>
      </c>
      <c r="AD910" s="28">
        <f t="shared" si="321"/>
        <v>0</v>
      </c>
      <c r="AE910" s="28">
        <f t="shared" si="321"/>
        <v>0</v>
      </c>
      <c r="AF910" s="28">
        <f t="shared" si="321"/>
        <v>0</v>
      </c>
      <c r="AG910" s="28">
        <f t="shared" si="321"/>
        <v>0</v>
      </c>
      <c r="AH910" s="28">
        <f t="shared" si="321"/>
        <v>0</v>
      </c>
      <c r="AI910" s="28">
        <f t="shared" si="321"/>
        <v>0</v>
      </c>
      <c r="AJ910" s="28">
        <f t="shared" si="321"/>
        <v>0</v>
      </c>
      <c r="AK910" s="28">
        <f t="shared" si="321"/>
        <v>0</v>
      </c>
      <c r="AL910" s="28">
        <f t="shared" si="321"/>
        <v>0</v>
      </c>
      <c r="AM910" s="28">
        <f t="shared" si="321"/>
        <v>0</v>
      </c>
      <c r="AN910" s="28">
        <f t="shared" si="321"/>
        <v>0</v>
      </c>
      <c r="AO910" s="28">
        <f t="shared" si="321"/>
        <v>0</v>
      </c>
      <c r="AP910" s="28">
        <f t="shared" si="321"/>
        <v>0</v>
      </c>
      <c r="AQ910" s="28">
        <f t="shared" si="321"/>
        <v>0</v>
      </c>
      <c r="AR910" s="28">
        <f t="shared" si="321"/>
        <v>0</v>
      </c>
      <c r="AS910" s="28">
        <f t="shared" si="321"/>
        <v>0</v>
      </c>
      <c r="AT910" s="28">
        <f t="shared" si="321"/>
        <v>0</v>
      </c>
      <c r="AU910" s="28">
        <f t="shared" si="321"/>
        <v>0</v>
      </c>
      <c r="AV910" s="28">
        <f t="shared" si="321"/>
        <v>0</v>
      </c>
      <c r="AW910" s="28">
        <f t="shared" si="321"/>
        <v>0</v>
      </c>
      <c r="AY910" s="85"/>
      <c r="AZ910" s="85"/>
    </row>
    <row r="911" spans="1:52" x14ac:dyDescent="0.25">
      <c r="A911" s="102" t="str">
        <f t="shared" si="270"/>
        <v>BD MM Leaching</v>
      </c>
      <c r="B911" s="102" t="s">
        <v>1229</v>
      </c>
      <c r="C911" s="102" t="s">
        <v>1334</v>
      </c>
      <c r="D911" t="s">
        <v>369</v>
      </c>
      <c r="E911" t="s">
        <v>64</v>
      </c>
      <c r="F911" t="s">
        <v>63</v>
      </c>
      <c r="G911" t="s">
        <v>1177</v>
      </c>
      <c r="H911" t="s">
        <v>1319</v>
      </c>
      <c r="I911" t="s">
        <v>139</v>
      </c>
      <c r="J911" t="s">
        <v>287</v>
      </c>
      <c r="K911" s="28">
        <f t="shared" ref="K911:AW911" si="322">K1559</f>
        <v>2.7080534096129025E-2</v>
      </c>
      <c r="L911" s="28">
        <f t="shared" si="322"/>
        <v>2.6995058080291692E-2</v>
      </c>
      <c r="M911" s="28">
        <f t="shared" si="322"/>
        <v>2.6712389539955236E-2</v>
      </c>
      <c r="N911" s="28">
        <f t="shared" si="322"/>
        <v>2.6163552006630762E-2</v>
      </c>
      <c r="O911" s="28">
        <f t="shared" si="322"/>
        <v>2.5638728055519384E-2</v>
      </c>
      <c r="P911" s="28">
        <f t="shared" si="322"/>
        <v>2.5270557311936091E-2</v>
      </c>
      <c r="Q911" s="28">
        <f t="shared" si="322"/>
        <v>2.4958747401341939E-2</v>
      </c>
      <c r="R911" s="28">
        <f t="shared" si="322"/>
        <v>2.4384582351632111E-2</v>
      </c>
      <c r="S911" s="28">
        <f t="shared" si="322"/>
        <v>2.1346855337625082E-2</v>
      </c>
      <c r="T911" s="28">
        <f t="shared" si="322"/>
        <v>2.1482505917310397E-2</v>
      </c>
      <c r="U911" s="28">
        <f t="shared" si="322"/>
        <v>2.1550596950866634E-2</v>
      </c>
      <c r="V911" s="28">
        <f t="shared" si="322"/>
        <v>2.1616794763907179E-2</v>
      </c>
      <c r="W911" s="28">
        <f t="shared" si="322"/>
        <v>2.1778489708019384E-2</v>
      </c>
      <c r="X911" s="28">
        <f t="shared" si="322"/>
        <v>2.1934748739134539E-2</v>
      </c>
      <c r="Y911" s="28">
        <f t="shared" si="322"/>
        <v>2.2114017881126848E-2</v>
      </c>
      <c r="Z911" s="28">
        <f t="shared" si="322"/>
        <v>2.2264487150526265E-2</v>
      </c>
      <c r="AA911" s="28">
        <f t="shared" si="322"/>
        <v>2.2445316206361306E-2</v>
      </c>
      <c r="AB911" s="28">
        <f t="shared" si="322"/>
        <v>2.2576949368517302E-2</v>
      </c>
      <c r="AC911" s="28">
        <f t="shared" si="322"/>
        <v>2.271541592892265E-2</v>
      </c>
      <c r="AD911" s="28">
        <f t="shared" si="322"/>
        <v>2.2970809719090692E-2</v>
      </c>
      <c r="AE911" s="28">
        <f t="shared" si="322"/>
        <v>2.3269151361655305E-2</v>
      </c>
      <c r="AF911" s="28">
        <f t="shared" si="322"/>
        <v>2.3577881186145462E-2</v>
      </c>
      <c r="AG911" s="28">
        <f t="shared" si="322"/>
        <v>2.3230896400696678E-2</v>
      </c>
      <c r="AH911" s="28">
        <f t="shared" si="322"/>
        <v>-7.8382777121831278E-3</v>
      </c>
      <c r="AI911" s="28">
        <f t="shared" si="322"/>
        <v>-7.7525396142955495E-3</v>
      </c>
      <c r="AJ911" s="28">
        <f t="shared" si="322"/>
        <v>-7.6686379044997068E-3</v>
      </c>
      <c r="AK911" s="28">
        <f t="shared" si="322"/>
        <v>-7.586452448594779E-3</v>
      </c>
      <c r="AL911" s="28">
        <f t="shared" si="322"/>
        <v>-7.5058719086197852E-3</v>
      </c>
      <c r="AM911" s="28">
        <f t="shared" si="322"/>
        <v>-7.4267928922061455E-3</v>
      </c>
      <c r="AN911" s="28">
        <f t="shared" si="322"/>
        <v>-7.3400589670898171E-3</v>
      </c>
      <c r="AO911" s="28">
        <f t="shared" si="322"/>
        <v>-7.2548542835376628E-3</v>
      </c>
      <c r="AP911" s="28">
        <f t="shared" si="322"/>
        <v>-7.1710895268481756E-3</v>
      </c>
      <c r="AQ911" s="28">
        <f t="shared" si="322"/>
        <v>-7.0886812161586998E-3</v>
      </c>
      <c r="AR911" s="28">
        <f t="shared" si="322"/>
        <v>-7.0075512003870211E-3</v>
      </c>
      <c r="AS911" s="28">
        <f t="shared" si="322"/>
        <v>-6.9191376458643079E-3</v>
      </c>
      <c r="AT911" s="28">
        <f t="shared" si="322"/>
        <v>-6.8320744878094938E-3</v>
      </c>
      <c r="AU911" s="28">
        <f t="shared" si="322"/>
        <v>-6.7462922163727323E-3</v>
      </c>
      <c r="AV911" s="28">
        <f t="shared" si="322"/>
        <v>-6.6617254285893414E-3</v>
      </c>
      <c r="AW911" s="28">
        <f t="shared" si="322"/>
        <v>-6.5783125081778221E-3</v>
      </c>
      <c r="AY911" s="85"/>
      <c r="AZ911" s="85"/>
    </row>
    <row r="912" spans="1:52" x14ac:dyDescent="0.25">
      <c r="A912" s="102" t="str">
        <f t="shared" si="270"/>
        <v>BD MM Leaching</v>
      </c>
      <c r="B912" s="102" t="s">
        <v>1229</v>
      </c>
      <c r="C912" s="102" t="s">
        <v>1334</v>
      </c>
      <c r="D912" t="s">
        <v>369</v>
      </c>
      <c r="E912" t="s">
        <v>64</v>
      </c>
      <c r="F912" t="s">
        <v>63</v>
      </c>
      <c r="G912" t="s">
        <v>1179</v>
      </c>
      <c r="H912" t="s">
        <v>1320</v>
      </c>
      <c r="I912" t="s">
        <v>139</v>
      </c>
      <c r="J912" t="s">
        <v>287</v>
      </c>
      <c r="K912" s="28">
        <f t="shared" ref="K912:AW912" si="323">K1560</f>
        <v>4.0473192123070822E-3</v>
      </c>
      <c r="L912" s="28">
        <f t="shared" si="323"/>
        <v>4.0345444007076556E-3</v>
      </c>
      <c r="M912" s="28">
        <f t="shared" si="323"/>
        <v>3.9922981950029426E-3</v>
      </c>
      <c r="N912" s="28">
        <f t="shared" si="323"/>
        <v>3.9102717222172061E-3</v>
      </c>
      <c r="O912" s="28">
        <f t="shared" si="323"/>
        <v>3.8318341975778526E-3</v>
      </c>
      <c r="P912" s="28">
        <f t="shared" si="323"/>
        <v>3.7768092664363703E-3</v>
      </c>
      <c r="Q912" s="28">
        <f t="shared" si="323"/>
        <v>3.7302077394038642E-3</v>
      </c>
      <c r="R912" s="28">
        <f t="shared" si="323"/>
        <v>3.6443959445376013E-3</v>
      </c>
      <c r="S912" s="28">
        <f t="shared" si="323"/>
        <v>3.1903926792440892E-3</v>
      </c>
      <c r="T912" s="28">
        <f t="shared" si="323"/>
        <v>3.2106663265573984E-3</v>
      </c>
      <c r="U912" s="28">
        <f t="shared" si="323"/>
        <v>3.2208428669210313E-3</v>
      </c>
      <c r="V912" s="28">
        <f t="shared" si="323"/>
        <v>3.2307364561530842E-3</v>
      </c>
      <c r="W912" s="28">
        <f t="shared" si="323"/>
        <v>3.254902562017731E-3</v>
      </c>
      <c r="X912" s="28">
        <f t="shared" si="323"/>
        <v>3.2782562439090815E-3</v>
      </c>
      <c r="Y912" s="28">
        <f t="shared" si="323"/>
        <v>3.3050489002128215E-3</v>
      </c>
      <c r="Z912" s="28">
        <f t="shared" si="323"/>
        <v>3.3275372736969E-3</v>
      </c>
      <c r="AA912" s="28">
        <f t="shared" si="323"/>
        <v>3.3545630668081641E-3</v>
      </c>
      <c r="AB912" s="28">
        <f t="shared" si="323"/>
        <v>3.374236291282967E-3</v>
      </c>
      <c r="AC912" s="28">
        <f t="shared" si="323"/>
        <v>3.3949308007856708E-3</v>
      </c>
      <c r="AD912" s="28">
        <f t="shared" si="323"/>
        <v>3.4331006607294153E-3</v>
      </c>
      <c r="AE912" s="28">
        <f t="shared" si="323"/>
        <v>3.4776892887637355E-3</v>
      </c>
      <c r="AF912" s="28">
        <f t="shared" si="323"/>
        <v>3.5238304817562988E-3</v>
      </c>
      <c r="AG912" s="28">
        <f t="shared" si="323"/>
        <v>3.4719718964145189E-3</v>
      </c>
      <c r="AH912" s="28">
        <f t="shared" si="323"/>
        <v>-1.1714692133953115E-3</v>
      </c>
      <c r="AI912" s="28">
        <f t="shared" si="323"/>
        <v>-1.1586552323425276E-3</v>
      </c>
      <c r="AJ912" s="28">
        <f t="shared" si="323"/>
        <v>-1.1461157085356224E-3</v>
      </c>
      <c r="AK912" s="28">
        <f t="shared" si="323"/>
        <v>-1.133832687326532E-3</v>
      </c>
      <c r="AL912" s="28">
        <f t="shared" si="323"/>
        <v>-1.1217895287085682E-3</v>
      </c>
      <c r="AM912" s="28">
        <f t="shared" si="323"/>
        <v>-1.109970780182961E-3</v>
      </c>
      <c r="AN912" s="28">
        <f t="shared" si="323"/>
        <v>-1.0970079678456562E-3</v>
      </c>
      <c r="AO912" s="28">
        <f t="shared" si="323"/>
        <v>-1.0842737081927609E-3</v>
      </c>
      <c r="AP912" s="28">
        <f t="shared" si="323"/>
        <v>-1.0717546527021955E-3</v>
      </c>
      <c r="AQ912" s="28">
        <f t="shared" si="323"/>
        <v>-1.0594383247478308E-3</v>
      </c>
      <c r="AR912" s="28">
        <f t="shared" si="323"/>
        <v>-1.0473130442654776E-3</v>
      </c>
      <c r="AS912" s="28">
        <f t="shared" si="323"/>
        <v>-1.0340992030399717E-3</v>
      </c>
      <c r="AT912" s="28">
        <f t="shared" si="323"/>
        <v>-1.0210871852182944E-3</v>
      </c>
      <c r="AU912" s="28">
        <f t="shared" si="323"/>
        <v>-1.0082666022109977E-3</v>
      </c>
      <c r="AV912" s="28">
        <f t="shared" si="323"/>
        <v>-9.9562767922285289E-4</v>
      </c>
      <c r="AW912" s="28">
        <f t="shared" si="323"/>
        <v>-9.8316120739708342E-4</v>
      </c>
      <c r="AY912" s="85"/>
      <c r="AZ912" s="85"/>
    </row>
    <row r="913" spans="1:52" x14ac:dyDescent="0.25">
      <c r="A913" s="102" t="str">
        <f t="shared" si="270"/>
        <v>BD MM Leaching</v>
      </c>
      <c r="B913" s="102" t="s">
        <v>1229</v>
      </c>
      <c r="C913" s="102" t="s">
        <v>1334</v>
      </c>
      <c r="D913" t="s">
        <v>369</v>
      </c>
      <c r="E913" t="s">
        <v>64</v>
      </c>
      <c r="F913" t="s">
        <v>63</v>
      </c>
      <c r="G913" t="s">
        <v>1181</v>
      </c>
      <c r="H913" t="s">
        <v>1321</v>
      </c>
      <c r="I913" t="s">
        <v>139</v>
      </c>
      <c r="J913" t="s">
        <v>287</v>
      </c>
      <c r="K913" s="28">
        <f t="shared" ref="K913:AW913" si="324">K1561</f>
        <v>1.6818104652936192E-2</v>
      </c>
      <c r="L913" s="28">
        <f t="shared" si="324"/>
        <v>1.718231236008292E-2</v>
      </c>
      <c r="M913" s="28">
        <f t="shared" si="324"/>
        <v>1.7475775480268494E-2</v>
      </c>
      <c r="N913" s="28">
        <f t="shared" si="324"/>
        <v>1.7667520029914504E-2</v>
      </c>
      <c r="O913" s="28">
        <f t="shared" si="324"/>
        <v>1.7861867169015104E-2</v>
      </c>
      <c r="P913" s="28">
        <f t="shared" si="324"/>
        <v>1.8112417299921187E-2</v>
      </c>
      <c r="Q913" s="28">
        <f t="shared" si="324"/>
        <v>1.8380356458960346E-2</v>
      </c>
      <c r="R913" s="28">
        <f t="shared" si="324"/>
        <v>1.8536177397088752E-2</v>
      </c>
      <c r="S913" s="28">
        <f t="shared" si="324"/>
        <v>1.76397656538211E-2</v>
      </c>
      <c r="T913" s="28">
        <f t="shared" si="324"/>
        <v>1.801846759992717E-2</v>
      </c>
      <c r="U913" s="28">
        <f t="shared" si="324"/>
        <v>1.8371985881481728E-2</v>
      </c>
      <c r="V913" s="28">
        <f t="shared" si="324"/>
        <v>1.8728295000039214E-2</v>
      </c>
      <c r="W913" s="28">
        <f t="shared" si="324"/>
        <v>1.9132681284008777E-2</v>
      </c>
      <c r="X913" s="28">
        <f t="shared" si="324"/>
        <v>1.9540426695963047E-2</v>
      </c>
      <c r="Y913" s="28">
        <f t="shared" si="324"/>
        <v>1.9948690293653936E-2</v>
      </c>
      <c r="Z913" s="28">
        <f t="shared" si="324"/>
        <v>2.0349079299491275E-2</v>
      </c>
      <c r="AA913" s="28">
        <f t="shared" si="324"/>
        <v>2.0770745700628056E-2</v>
      </c>
      <c r="AB913" s="28">
        <f t="shared" si="324"/>
        <v>2.1173883464125715E-2</v>
      </c>
      <c r="AC913" s="28">
        <f t="shared" si="324"/>
        <v>2.1586582056186982E-2</v>
      </c>
      <c r="AD913" s="28">
        <f t="shared" si="324"/>
        <v>2.2054503180091424E-2</v>
      </c>
      <c r="AE913" s="28">
        <f t="shared" si="324"/>
        <v>2.2554673664968956E-2</v>
      </c>
      <c r="AF913" s="28">
        <f t="shared" si="324"/>
        <v>2.3070579743094625E-2</v>
      </c>
      <c r="AG913" s="28">
        <f t="shared" si="324"/>
        <v>2.3224138845155579E-2</v>
      </c>
      <c r="AH913" s="28">
        <f t="shared" si="324"/>
        <v>5.566614295378065E-3</v>
      </c>
      <c r="AI913" s="28">
        <f t="shared" si="324"/>
        <v>5.6093984340287433E-3</v>
      </c>
      <c r="AJ913" s="28">
        <f t="shared" si="324"/>
        <v>5.652494073803362E-3</v>
      </c>
      <c r="AK913" s="28">
        <f t="shared" si="324"/>
        <v>5.6959035866970768E-3</v>
      </c>
      <c r="AL913" s="28">
        <f t="shared" si="324"/>
        <v>5.7396293554766858E-3</v>
      </c>
      <c r="AM913" s="28">
        <f t="shared" si="324"/>
        <v>5.7836737743814492E-3</v>
      </c>
      <c r="AN913" s="28">
        <f t="shared" si="324"/>
        <v>5.821325048469962E-3</v>
      </c>
      <c r="AO913" s="28">
        <f t="shared" si="324"/>
        <v>5.8592087350485328E-3</v>
      </c>
      <c r="AP913" s="28">
        <f t="shared" si="324"/>
        <v>5.8973263448292906E-3</v>
      </c>
      <c r="AQ913" s="28">
        <f t="shared" si="324"/>
        <v>5.9356793935795814E-3</v>
      </c>
      <c r="AR913" s="28">
        <f t="shared" si="324"/>
        <v>5.9742694025184985E-3</v>
      </c>
      <c r="AS913" s="28">
        <f t="shared" si="324"/>
        <v>6.0061978888300534E-3</v>
      </c>
      <c r="AT913" s="28">
        <f t="shared" si="324"/>
        <v>6.0382881266520675E-3</v>
      </c>
      <c r="AU913" s="28">
        <f t="shared" si="324"/>
        <v>6.0705409933047069E-3</v>
      </c>
      <c r="AV913" s="28">
        <f t="shared" si="324"/>
        <v>6.1029573675840942E-3</v>
      </c>
      <c r="AW913" s="28">
        <f t="shared" si="324"/>
        <v>6.1355381299989719E-3</v>
      </c>
      <c r="AY913" s="85"/>
      <c r="AZ913" s="85"/>
    </row>
    <row r="914" spans="1:52" x14ac:dyDescent="0.25">
      <c r="A914" s="102" t="str">
        <f t="shared" si="270"/>
        <v>BD MM Leaching</v>
      </c>
      <c r="B914" s="102" t="s">
        <v>1229</v>
      </c>
      <c r="C914" s="102" t="s">
        <v>1334</v>
      </c>
      <c r="D914" t="s">
        <v>369</v>
      </c>
      <c r="E914" t="s">
        <v>64</v>
      </c>
      <c r="F914" t="s">
        <v>63</v>
      </c>
      <c r="G914" t="s">
        <v>1183</v>
      </c>
      <c r="H914" t="s">
        <v>1322</v>
      </c>
      <c r="I914" t="s">
        <v>139</v>
      </c>
      <c r="J914" t="s">
        <v>287</v>
      </c>
      <c r="K914" s="28">
        <f t="shared" ref="K914:AW914" si="325">K1562</f>
        <v>7.8494818970751015E-2</v>
      </c>
      <c r="L914" s="28">
        <f t="shared" si="325"/>
        <v>7.9768604189276573E-2</v>
      </c>
      <c r="M914" s="28">
        <f t="shared" si="325"/>
        <v>8.0146817618550151E-2</v>
      </c>
      <c r="N914" s="28">
        <f t="shared" si="325"/>
        <v>7.92990227060308E-2</v>
      </c>
      <c r="O914" s="28">
        <f t="shared" si="325"/>
        <v>7.8453048138272599E-2</v>
      </c>
      <c r="P914" s="28">
        <f t="shared" si="325"/>
        <v>7.8207580187434067E-2</v>
      </c>
      <c r="Q914" s="28">
        <f t="shared" si="325"/>
        <v>7.8156445174191957E-2</v>
      </c>
      <c r="R914" s="28">
        <f t="shared" si="325"/>
        <v>7.6852772864248492E-2</v>
      </c>
      <c r="S914" s="28">
        <f t="shared" si="325"/>
        <v>6.4037092776490251E-2</v>
      </c>
      <c r="T914" s="28">
        <f t="shared" si="325"/>
        <v>6.592602729202128E-2</v>
      </c>
      <c r="U914" s="28">
        <f t="shared" si="325"/>
        <v>6.7504922847287652E-2</v>
      </c>
      <c r="V914" s="28">
        <f t="shared" si="325"/>
        <v>6.9079987400904638E-2</v>
      </c>
      <c r="W914" s="28">
        <f t="shared" si="325"/>
        <v>7.1129196138688011E-2</v>
      </c>
      <c r="X914" s="28">
        <f t="shared" si="325"/>
        <v>7.3172253795344297E-2</v>
      </c>
      <c r="Y914" s="28">
        <f t="shared" si="325"/>
        <v>7.5415394971077201E-2</v>
      </c>
      <c r="Z914" s="28">
        <f t="shared" si="325"/>
        <v>7.7538763261802646E-2</v>
      </c>
      <c r="AA914" s="28">
        <f t="shared" si="325"/>
        <v>7.984321522583579E-2</v>
      </c>
      <c r="AB914" s="28">
        <f t="shared" si="325"/>
        <v>8.1921087927437922E-2</v>
      </c>
      <c r="AC914" s="28">
        <f t="shared" si="325"/>
        <v>8.4060316833005314E-2</v>
      </c>
      <c r="AD914" s="28">
        <f t="shared" si="325"/>
        <v>8.6903196778093231E-2</v>
      </c>
      <c r="AE914" s="28">
        <f t="shared" si="325"/>
        <v>9.0024318002173712E-2</v>
      </c>
      <c r="AF914" s="28">
        <f t="shared" si="325"/>
        <v>9.3255519309180357E-2</v>
      </c>
      <c r="AG914" s="28">
        <f t="shared" si="325"/>
        <v>9.2895703603725718E-2</v>
      </c>
      <c r="AH914" s="28">
        <f t="shared" si="325"/>
        <v>-8.0563954207335059E-2</v>
      </c>
      <c r="AI914" s="28">
        <f t="shared" si="325"/>
        <v>-8.0679385855871269E-2</v>
      </c>
      <c r="AJ914" s="28">
        <f t="shared" si="325"/>
        <v>-8.0804585525595149E-2</v>
      </c>
      <c r="AK914" s="28">
        <f t="shared" si="325"/>
        <v>-8.0939145577368532E-2</v>
      </c>
      <c r="AL914" s="28">
        <f t="shared" si="325"/>
        <v>-8.1082690034370505E-2</v>
      </c>
      <c r="AM914" s="28">
        <f t="shared" si="325"/>
        <v>-8.1234871540648887E-2</v>
      </c>
      <c r="AN914" s="28">
        <f t="shared" si="325"/>
        <v>-8.1297506735230202E-2</v>
      </c>
      <c r="AO914" s="28">
        <f t="shared" si="325"/>
        <v>-8.1367991924777852E-2</v>
      </c>
      <c r="AP914" s="28">
        <f t="shared" si="325"/>
        <v>-8.144602229798413E-2</v>
      </c>
      <c r="AQ914" s="28">
        <f t="shared" si="325"/>
        <v>-8.1531313973181002E-2</v>
      </c>
      <c r="AR914" s="28">
        <f t="shared" si="325"/>
        <v>-8.1623602199923873E-2</v>
      </c>
      <c r="AS914" s="28">
        <f t="shared" si="325"/>
        <v>-8.1624903700920404E-2</v>
      </c>
      <c r="AT914" s="28">
        <f t="shared" si="325"/>
        <v>-8.1632684613039755E-2</v>
      </c>
      <c r="AU914" s="28">
        <f t="shared" si="325"/>
        <v>-8.1646705375421999E-2</v>
      </c>
      <c r="AV914" s="28">
        <f t="shared" si="325"/>
        <v>-8.1666741103231646E-2</v>
      </c>
      <c r="AW914" s="28">
        <f t="shared" si="325"/>
        <v>-8.1692580447798743E-2</v>
      </c>
      <c r="AY914" s="85"/>
      <c r="AZ914" s="85"/>
    </row>
    <row r="916" spans="1:52" x14ac:dyDescent="0.25">
      <c r="A916" s="102" t="str">
        <f t="shared" ref="A916:A979" si="326">B916&amp;" "&amp;C916</f>
        <v>DS Cattle</v>
      </c>
      <c r="B916" s="102" t="s">
        <v>975</v>
      </c>
      <c r="C916" s="102" t="s">
        <v>1109</v>
      </c>
      <c r="D916" t="s">
        <v>15</v>
      </c>
      <c r="E916" t="s">
        <v>16</v>
      </c>
      <c r="F916" t="s">
        <v>6</v>
      </c>
      <c r="G916" t="s">
        <v>136</v>
      </c>
      <c r="H916" t="s">
        <v>1021</v>
      </c>
      <c r="I916" t="s">
        <v>121</v>
      </c>
      <c r="J916" t="s">
        <v>286</v>
      </c>
      <c r="K916" s="28">
        <f>K1379</f>
        <v>72.376996171709351</v>
      </c>
      <c r="L916" s="28">
        <f t="shared" ref="L916:AW918" si="327">L1379</f>
        <v>72.827193296605245</v>
      </c>
      <c r="M916" s="28">
        <f t="shared" si="327"/>
        <v>73.136710021656683</v>
      </c>
      <c r="N916" s="28">
        <f t="shared" si="327"/>
        <v>73.233779022849987</v>
      </c>
      <c r="O916" s="28">
        <f t="shared" si="327"/>
        <v>73.365098896994937</v>
      </c>
      <c r="P916" s="28">
        <f t="shared" si="327"/>
        <v>73.652739312599607</v>
      </c>
      <c r="Q916" s="28">
        <f t="shared" si="327"/>
        <v>73.997590994756678</v>
      </c>
      <c r="R916" s="28">
        <f t="shared" si="327"/>
        <v>74.101188037293639</v>
      </c>
      <c r="S916" s="28">
        <f t="shared" si="327"/>
        <v>71.826298208807202</v>
      </c>
      <c r="T916" s="28">
        <f t="shared" si="327"/>
        <v>72.417907231153862</v>
      </c>
      <c r="U916" s="28">
        <f t="shared" si="327"/>
        <v>72.960395903467088</v>
      </c>
      <c r="V916" s="28">
        <f t="shared" si="327"/>
        <v>73.516627561358078</v>
      </c>
      <c r="W916" s="28">
        <f t="shared" si="327"/>
        <v>74.186684258863224</v>
      </c>
      <c r="X916" s="28">
        <f t="shared" si="327"/>
        <v>74.869314167562791</v>
      </c>
      <c r="Y916" s="28">
        <f t="shared" si="327"/>
        <v>75.534003476484159</v>
      </c>
      <c r="Z916" s="28">
        <f t="shared" si="327"/>
        <v>76.185395165959491</v>
      </c>
      <c r="AA916" s="28">
        <f t="shared" si="327"/>
        <v>76.887015456471644</v>
      </c>
      <c r="AB916" s="28">
        <f t="shared" si="327"/>
        <v>77.551436080037234</v>
      </c>
      <c r="AC916" s="28">
        <f t="shared" si="327"/>
        <v>78.239689008310734</v>
      </c>
      <c r="AD916" s="28">
        <f t="shared" si="327"/>
        <v>79.030428819406467</v>
      </c>
      <c r="AE916" s="28">
        <f t="shared" si="327"/>
        <v>79.891627595721104</v>
      </c>
      <c r="AF916" s="28">
        <f t="shared" si="327"/>
        <v>80.787009350430679</v>
      </c>
      <c r="AG916" s="28">
        <f t="shared" si="327"/>
        <v>80.912080498201277</v>
      </c>
      <c r="AH916" s="28">
        <f t="shared" si="327"/>
        <v>43.319538481890476</v>
      </c>
      <c r="AI916" s="28">
        <f t="shared" si="327"/>
        <v>43.351399738006613</v>
      </c>
      <c r="AJ916" s="28">
        <f t="shared" si="327"/>
        <v>43.387446354851633</v>
      </c>
      <c r="AK916" s="28">
        <f t="shared" si="327"/>
        <v>43.427519248376711</v>
      </c>
      <c r="AL916" s="28">
        <f t="shared" si="327"/>
        <v>43.471471586559346</v>
      </c>
      <c r="AM916" s="28">
        <f t="shared" si="327"/>
        <v>43.519167628118126</v>
      </c>
      <c r="AN916" s="28">
        <f t="shared" si="327"/>
        <v>43.539702199078199</v>
      </c>
      <c r="AO916" s="28">
        <f t="shared" si="327"/>
        <v>43.56353361698914</v>
      </c>
      <c r="AP916" s="28">
        <f t="shared" si="327"/>
        <v>43.590546733122295</v>
      </c>
      <c r="AQ916" s="28">
        <f t="shared" si="327"/>
        <v>43.620634256127552</v>
      </c>
      <c r="AR916" s="28">
        <f t="shared" si="327"/>
        <v>43.653696085271918</v>
      </c>
      <c r="AS916" s="28">
        <f t="shared" si="327"/>
        <v>43.658527557301703</v>
      </c>
      <c r="AT916" s="28">
        <f t="shared" si="327"/>
        <v>43.665995825413447</v>
      </c>
      <c r="AU916" s="28">
        <f t="shared" si="327"/>
        <v>43.676013492535439</v>
      </c>
      <c r="AV916" s="28">
        <f t="shared" si="327"/>
        <v>43.688498485748141</v>
      </c>
      <c r="AW916" s="28">
        <f t="shared" si="327"/>
        <v>43.703373647289609</v>
      </c>
      <c r="AY916" s="85"/>
      <c r="AZ916" s="85"/>
    </row>
    <row r="917" spans="1:52" x14ac:dyDescent="0.25">
      <c r="A917" s="102" t="str">
        <f t="shared" si="326"/>
        <v>DS Cattle</v>
      </c>
      <c r="B917" s="102" t="s">
        <v>975</v>
      </c>
      <c r="C917" s="102" t="s">
        <v>1109</v>
      </c>
      <c r="D917" t="s">
        <v>15</v>
      </c>
      <c r="E917" t="s">
        <v>16</v>
      </c>
      <c r="F917" t="s">
        <v>6</v>
      </c>
      <c r="G917" t="s">
        <v>137</v>
      </c>
      <c r="H917" t="s">
        <v>1021</v>
      </c>
      <c r="I917" t="s">
        <v>121</v>
      </c>
      <c r="J917" t="s">
        <v>286</v>
      </c>
      <c r="K917" s="28">
        <f t="shared" ref="K917:Z918" si="328">K1380</f>
        <v>57.888319714675518</v>
      </c>
      <c r="L917" s="28">
        <f t="shared" si="328"/>
        <v>58.248394828027457</v>
      </c>
      <c r="M917" s="28">
        <f t="shared" si="328"/>
        <v>58.495951428667674</v>
      </c>
      <c r="N917" s="28">
        <f t="shared" si="328"/>
        <v>58.573588822766354</v>
      </c>
      <c r="O917" s="28">
        <f t="shared" si="328"/>
        <v>58.678620632063321</v>
      </c>
      <c r="P917" s="28">
        <f t="shared" si="328"/>
        <v>58.908680198253116</v>
      </c>
      <c r="Q917" s="28">
        <f t="shared" si="328"/>
        <v>59.184498282544595</v>
      </c>
      <c r="R917" s="28">
        <f t="shared" si="328"/>
        <v>59.267356912179451</v>
      </c>
      <c r="S917" s="28">
        <f t="shared" si="328"/>
        <v>57.447862367329009</v>
      </c>
      <c r="T917" s="28">
        <f t="shared" si="328"/>
        <v>57.921041057287908</v>
      </c>
      <c r="U917" s="28">
        <f t="shared" si="328"/>
        <v>58.354932478119395</v>
      </c>
      <c r="V917" s="28">
        <f t="shared" si="328"/>
        <v>58.799815766326432</v>
      </c>
      <c r="W917" s="28">
        <f t="shared" si="328"/>
        <v>59.33573820555165</v>
      </c>
      <c r="X917" s="28">
        <f t="shared" si="328"/>
        <v>59.881716907235422</v>
      </c>
      <c r="Y917" s="28">
        <f t="shared" si="328"/>
        <v>60.413346420216044</v>
      </c>
      <c r="Z917" s="28">
        <f t="shared" si="328"/>
        <v>60.934340277026173</v>
      </c>
      <c r="AA917" s="28">
        <f t="shared" si="327"/>
        <v>61.495507800462953</v>
      </c>
      <c r="AB917" s="28">
        <f t="shared" si="327"/>
        <v>62.026922414448045</v>
      </c>
      <c r="AC917" s="28">
        <f t="shared" si="327"/>
        <v>62.577398500274199</v>
      </c>
      <c r="AD917" s="28">
        <f t="shared" si="327"/>
        <v>63.209845291617057</v>
      </c>
      <c r="AE917" s="28">
        <f t="shared" si="327"/>
        <v>63.898646329766187</v>
      </c>
      <c r="AF917" s="28">
        <f t="shared" si="327"/>
        <v>64.614787479923166</v>
      </c>
      <c r="AG917" s="28">
        <f t="shared" si="327"/>
        <v>64.714821454420374</v>
      </c>
      <c r="AH917" s="28">
        <f t="shared" si="327"/>
        <v>34.647684018034326</v>
      </c>
      <c r="AI917" s="28">
        <f t="shared" si="327"/>
        <v>34.67316717812826</v>
      </c>
      <c r="AJ917" s="28">
        <f t="shared" si="327"/>
        <v>34.701997859020388</v>
      </c>
      <c r="AK917" s="28">
        <f t="shared" si="327"/>
        <v>34.734048822654856</v>
      </c>
      <c r="AL917" s="28">
        <f t="shared" si="327"/>
        <v>34.769202630349326</v>
      </c>
      <c r="AM917" s="28">
        <f t="shared" si="327"/>
        <v>34.80735071397978</v>
      </c>
      <c r="AN917" s="28">
        <f t="shared" si="327"/>
        <v>34.823774603776485</v>
      </c>
      <c r="AO917" s="28">
        <f t="shared" si="327"/>
        <v>34.842835366342669</v>
      </c>
      <c r="AP917" s="28">
        <f t="shared" si="327"/>
        <v>34.86444090381891</v>
      </c>
      <c r="AQ917" s="28">
        <f t="shared" si="327"/>
        <v>34.888505402807219</v>
      </c>
      <c r="AR917" s="28">
        <f t="shared" si="327"/>
        <v>34.914948801084201</v>
      </c>
      <c r="AS917" s="28">
        <f t="shared" si="327"/>
        <v>34.918813092397009</v>
      </c>
      <c r="AT917" s="28">
        <f t="shared" si="327"/>
        <v>34.92478633686742</v>
      </c>
      <c r="AU917" s="28">
        <f t="shared" si="327"/>
        <v>34.932798632870664</v>
      </c>
      <c r="AV917" s="28">
        <f t="shared" si="327"/>
        <v>34.942784337126994</v>
      </c>
      <c r="AW917" s="28">
        <f t="shared" si="327"/>
        <v>34.954681737581105</v>
      </c>
      <c r="AY917" s="85"/>
      <c r="AZ917" s="85"/>
    </row>
    <row r="918" spans="1:52" x14ac:dyDescent="0.25">
      <c r="A918" s="102" t="str">
        <f t="shared" si="326"/>
        <v>DS Cattle</v>
      </c>
      <c r="B918" s="102" t="s">
        <v>975</v>
      </c>
      <c r="C918" s="102" t="s">
        <v>1109</v>
      </c>
      <c r="D918" t="s">
        <v>15</v>
      </c>
      <c r="E918" t="s">
        <v>16</v>
      </c>
      <c r="F918" t="s">
        <v>67</v>
      </c>
      <c r="G918" t="s">
        <v>307</v>
      </c>
      <c r="H918" t="s">
        <v>1021</v>
      </c>
      <c r="I918" t="s">
        <v>121</v>
      </c>
      <c r="J918" t="s">
        <v>286</v>
      </c>
      <c r="K918" s="28">
        <f t="shared" si="328"/>
        <v>26.173540124634229</v>
      </c>
      <c r="L918" s="28">
        <f t="shared" si="327"/>
        <v>26.336343959218663</v>
      </c>
      <c r="M918" s="28">
        <f t="shared" si="327"/>
        <v>26.448273838197906</v>
      </c>
      <c r="N918" s="28">
        <f t="shared" si="327"/>
        <v>26.483376695900965</v>
      </c>
      <c r="O918" s="28">
        <f t="shared" si="327"/>
        <v>26.530865624385104</v>
      </c>
      <c r="P918" s="28">
        <f t="shared" si="327"/>
        <v>26.634884419824388</v>
      </c>
      <c r="Q918" s="28">
        <f t="shared" si="327"/>
        <v>26.759592404645588</v>
      </c>
      <c r="R918" s="28">
        <f t="shared" si="327"/>
        <v>26.797055984139856</v>
      </c>
      <c r="S918" s="28">
        <f t="shared" si="327"/>
        <v>25.97439238445476</v>
      </c>
      <c r="T918" s="28">
        <f t="shared" si="327"/>
        <v>26.188334704577446</v>
      </c>
      <c r="U918" s="28">
        <f t="shared" si="327"/>
        <v>26.384513736355224</v>
      </c>
      <c r="V918" s="28">
        <f t="shared" si="327"/>
        <v>26.585662614955584</v>
      </c>
      <c r="W918" s="28">
        <f t="shared" si="327"/>
        <v>26.827973802011808</v>
      </c>
      <c r="X918" s="28">
        <f t="shared" si="327"/>
        <v>27.074831812853205</v>
      </c>
      <c r="Y918" s="28">
        <f t="shared" si="327"/>
        <v>27.315202002522234</v>
      </c>
      <c r="Z918" s="28">
        <f t="shared" si="327"/>
        <v>27.550763402181431</v>
      </c>
      <c r="AA918" s="28">
        <f t="shared" si="327"/>
        <v>27.804488864653102</v>
      </c>
      <c r="AB918" s="28">
        <f t="shared" si="327"/>
        <v>28.044761890204914</v>
      </c>
      <c r="AC918" s="28">
        <f t="shared" si="327"/>
        <v>28.293653341728078</v>
      </c>
      <c r="AD918" s="28">
        <f t="shared" si="327"/>
        <v>28.579606908034688</v>
      </c>
      <c r="AE918" s="28">
        <f t="shared" si="327"/>
        <v>28.891040400987077</v>
      </c>
      <c r="AF918" s="28">
        <f t="shared" si="327"/>
        <v>29.214835412155512</v>
      </c>
      <c r="AG918" s="28">
        <f t="shared" si="327"/>
        <v>29.260064626930344</v>
      </c>
      <c r="AH918" s="28">
        <f t="shared" si="327"/>
        <v>15.665553126113098</v>
      </c>
      <c r="AI918" s="28">
        <f t="shared" si="327"/>
        <v>15.677075044809452</v>
      </c>
      <c r="AJ918" s="28">
        <f t="shared" si="327"/>
        <v>15.690110506658574</v>
      </c>
      <c r="AK918" s="28">
        <f t="shared" si="327"/>
        <v>15.704601982432184</v>
      </c>
      <c r="AL918" s="28">
        <f t="shared" si="327"/>
        <v>15.720496373576371</v>
      </c>
      <c r="AM918" s="28">
        <f t="shared" si="327"/>
        <v>15.737744592258499</v>
      </c>
      <c r="AN918" s="28">
        <f t="shared" si="327"/>
        <v>15.745170465745849</v>
      </c>
      <c r="AO918" s="28">
        <f t="shared" si="327"/>
        <v>15.753788571026694</v>
      </c>
      <c r="AP918" s="28">
        <f t="shared" si="327"/>
        <v>15.7635572671097</v>
      </c>
      <c r="AQ918" s="28">
        <f t="shared" si="327"/>
        <v>15.774437754450743</v>
      </c>
      <c r="AR918" s="28">
        <f t="shared" si="327"/>
        <v>15.786393833833351</v>
      </c>
      <c r="AS918" s="28">
        <f t="shared" si="327"/>
        <v>15.788141028850022</v>
      </c>
      <c r="AT918" s="28">
        <f t="shared" si="327"/>
        <v>15.790841762859769</v>
      </c>
      <c r="AU918" s="28">
        <f t="shared" si="327"/>
        <v>15.794464430644307</v>
      </c>
      <c r="AV918" s="28">
        <f t="shared" si="327"/>
        <v>15.798979352347233</v>
      </c>
      <c r="AW918" s="28">
        <f t="shared" si="327"/>
        <v>15.804358625570211</v>
      </c>
      <c r="AY918" s="85"/>
      <c r="AZ918" s="85"/>
    </row>
    <row r="919" spans="1:52" x14ac:dyDescent="0.25">
      <c r="A919" s="102" t="str">
        <f t="shared" si="326"/>
        <v>DS Cattle</v>
      </c>
      <c r="B919" s="102" t="s">
        <v>975</v>
      </c>
      <c r="C919" s="102" t="s">
        <v>1109</v>
      </c>
      <c r="D919" t="s">
        <v>15</v>
      </c>
      <c r="E919" t="s">
        <v>16</v>
      </c>
      <c r="F919" t="s">
        <v>67</v>
      </c>
      <c r="G919" t="s">
        <v>122</v>
      </c>
      <c r="H919" t="s">
        <v>1021</v>
      </c>
      <c r="I919" t="s">
        <v>121</v>
      </c>
      <c r="J919" t="s">
        <v>286</v>
      </c>
      <c r="K919" s="100">
        <f>IF('Net zero activities &amp; levers'!$C$12="Off",('Activity data'!AD8*EF!$H7)*kgtoGg,('Net zero Activity data'!AD8*EF!$H7)*kgtoGg)</f>
        <v>467.31662309373525</v>
      </c>
      <c r="L919" s="100">
        <f>IF('Net zero activities &amp; levers'!$C$12="Off",('Activity data'!AE8*EF!$H7)*kgtoGg,('Net zero Activity data'!AE8*EF!$H7)*kgtoGg)</f>
        <v>464.21904388294246</v>
      </c>
      <c r="M919" s="100">
        <f>IF('Net zero activities &amp; levers'!$C$12="Off",('Activity data'!AF8*EF!$H7)*kgtoGg,('Net zero Activity data'!AF8*EF!$H7)*kgtoGg)</f>
        <v>457.68800569383677</v>
      </c>
      <c r="N919" s="100">
        <f>IF('Net zero activities &amp; levers'!$C$12="Off",('Activity data'!AG8*EF!$H7)*kgtoGg,('Net zero Activity data'!AG8*EF!$H7)*kgtoGg)</f>
        <v>446.67903575374419</v>
      </c>
      <c r="O919" s="100">
        <f>IF('Net zero activities &amp; levers'!$C$12="Off",('Activity data'!AH8*EF!$H7)*kgtoGg,('Net zero Activity data'!AH8*EF!$H7)*kgtoGg)</f>
        <v>435.99786609024881</v>
      </c>
      <c r="P919" s="100">
        <f>IF('Net zero activities &amp; levers'!$C$12="Off",('Activity data'!AI8*EF!$H7)*kgtoGg,('Net zero Activity data'!AI8*EF!$H7)*kgtoGg)</f>
        <v>427.78254745702264</v>
      </c>
      <c r="Q919" s="100">
        <f>IF('Net zero activities &amp; levers'!$C$12="Off",('Activity data'!AJ8*EF!$H7)*kgtoGg,('Net zero Activity data'!AJ8*EF!$H7)*kgtoGg)</f>
        <v>420.35172850546115</v>
      </c>
      <c r="R919" s="100">
        <f>IF('Net zero activities &amp; levers'!$C$12="Off",('Activity data'!AK8*EF!$H7)*kgtoGg,('Net zero Activity data'!AK8*EF!$H7)*kgtoGg)</f>
        <v>408.66857197476548</v>
      </c>
      <c r="S919" s="100">
        <f>IF('Net zero activities &amp; levers'!$C$12="Off",('Activity data'!AL8*EF!$H7)*kgtoGg,('Net zero Activity data'!AL8*EF!$H7)*kgtoGg)</f>
        <v>358.42710853834808</v>
      </c>
      <c r="T919" s="100">
        <f>IF('Net zero activities &amp; levers'!$C$12="Off",('Activity data'!AM8*EF!$H7)*kgtoGg,('Net zero Activity data'!AM8*EF!$H7)*kgtoGg)</f>
        <v>361.84349356958882</v>
      </c>
      <c r="U919" s="100">
        <f>IF('Net zero activities &amp; levers'!$C$12="Off",('Activity data'!AN8*EF!$H7)*kgtoGg,('Net zero Activity data'!AN8*EF!$H7)*kgtoGg)</f>
        <v>364.15526833797293</v>
      </c>
      <c r="V919" s="100">
        <f>IF('Net zero activities &amp; levers'!$C$12="Off",('Activity data'!AO8*EF!$H7)*kgtoGg,('Net zero Activity data'!AO8*EF!$H7)*kgtoGg)</f>
        <v>366.39185100338204</v>
      </c>
      <c r="W919" s="100">
        <f>IF('Net zero activities &amp; levers'!$C$12="Off",('Activity data'!AP8*EF!$H7)*kgtoGg,('Net zero Activity data'!AP8*EF!$H7)*kgtoGg)</f>
        <v>370.09062077697638</v>
      </c>
      <c r="X919" s="100">
        <f>IF('Net zero activities &amp; levers'!$C$12="Off",('Activity data'!AQ8*EF!$H7)*kgtoGg,('Net zero Activity data'!AQ8*EF!$H7)*kgtoGg)</f>
        <v>373.66748817800135</v>
      </c>
      <c r="Y919" s="100">
        <f>IF('Net zero activities &amp; levers'!$C$12="Off",('Activity data'!AR8*EF!$H7)*kgtoGg,('Net zero Activity data'!AR8*EF!$H7)*kgtoGg)</f>
        <v>377.42266204595586</v>
      </c>
      <c r="Z919" s="100">
        <f>IF('Net zero activities &amp; levers'!$C$12="Off",('Activity data'!AS8*EF!$H7)*kgtoGg,('Net zero Activity data'!AS8*EF!$H7)*kgtoGg)</f>
        <v>380.69187301848672</v>
      </c>
      <c r="AA919" s="100">
        <f>IF('Net zero activities &amp; levers'!$C$12="Off",('Activity data'!AT8*EF!$H7)*kgtoGg,('Net zero Activity data'!AT8*EF!$H7)*kgtoGg)</f>
        <v>384.41267841886389</v>
      </c>
      <c r="AB919" s="100">
        <f>IF('Net zero activities &amp; levers'!$C$12="Off",('Activity data'!AU8*EF!$H7)*kgtoGg,('Net zero Activity data'!AU8*EF!$H7)*kgtoGg)</f>
        <v>387.32433471244582</v>
      </c>
      <c r="AC919" s="100">
        <f>IF('Net zero activities &amp; levers'!$C$12="Off",('Activity data'!AV8*EF!$H7)*kgtoGg,('Net zero Activity data'!AV8*EF!$H7)*kgtoGg)</f>
        <v>390.31588196396831</v>
      </c>
      <c r="AD919" s="100">
        <f>IF('Net zero activities &amp; levers'!$C$12="Off",('Activity data'!AW8*EF!$H7)*kgtoGg,('Net zero Activity data'!AW8*EF!$H7)*kgtoGg)</f>
        <v>391.70923525446432</v>
      </c>
      <c r="AE919" s="100">
        <f>IF('Net zero activities &amp; levers'!$C$12="Off",('Activity data'!AX8*EF!$H7)*kgtoGg,('Net zero Activity data'!AX8*EF!$H7)*kgtoGg)</f>
        <v>393.61980530942054</v>
      </c>
      <c r="AF919" s="100">
        <f>IF('Net zero activities &amp; levers'!$C$12="Off",('Activity data'!AY8*EF!$H7)*kgtoGg,('Net zero Activity data'!AY8*EF!$H7)*kgtoGg)</f>
        <v>395.52300177683651</v>
      </c>
      <c r="AG919" s="100">
        <f>IF('Net zero activities &amp; levers'!$C$12="Off",('Activity data'!AZ8*EF!$H7)*kgtoGg,('Net zero Activity data'!AZ8*EF!$H7)*kgtoGg)</f>
        <v>387.13475302515064</v>
      </c>
      <c r="AH919" s="100">
        <f>IF('Net zero activities &amp; levers'!$C$12="Off",('Activity data'!BA8*EF!$H7)*kgtoGg,('Net zero Activity data'!BA8*EF!$H7)*kgtoGg)</f>
        <v>-91.319733515809844</v>
      </c>
      <c r="AI919" s="100">
        <f>IF('Net zero activities &amp; levers'!$C$12="Off",('Activity data'!BB8*EF!$H7)*kgtoGg,('Net zero Activity data'!BB8*EF!$H7)*kgtoGg)</f>
        <v>-89.201433306927441</v>
      </c>
      <c r="AJ919" s="100">
        <f>IF('Net zero activities &amp; levers'!$C$12="Off",('Activity data'!BC8*EF!$H7)*kgtoGg,('Net zero Activity data'!BC8*EF!$H7)*kgtoGg)</f>
        <v>-87.116820719055994</v>
      </c>
      <c r="AK919" s="100">
        <f>IF('Net zero activities &amp; levers'!$C$12="Off",('Activity data'!BD8*EF!$H7)*kgtoGg,('Net zero Activity data'!BD8*EF!$H7)*kgtoGg)</f>
        <v>-85.0641313749869</v>
      </c>
      <c r="AL919" s="100">
        <f>IF('Net zero activities &amp; levers'!$C$12="Off",('Activity data'!BE8*EF!$H7)*kgtoGg,('Net zero Activity data'!BE8*EF!$H7)*kgtoGg)</f>
        <v>-83.041722879463705</v>
      </c>
      <c r="AM919" s="100">
        <f>IF('Net zero activities &amp; levers'!$C$12="Off",('Activity data'!BF8*EF!$H7)*kgtoGg,('Net zero Activity data'!BF8*EF!$H7)*kgtoGg)</f>
        <v>-81.048063515823799</v>
      </c>
      <c r="AN919" s="100">
        <f>IF('Net zero activities &amp; levers'!$C$12="Off",('Activity data'!BG8*EF!$H7)*kgtoGg,('Net zero Activity data'!BG8*EF!$H7)*kgtoGg)</f>
        <v>-79.431656757862484</v>
      </c>
      <c r="AO919" s="100">
        <f>IF('Net zero activities &amp; levers'!$C$12="Off",('Activity data'!BH8*EF!$H7)*kgtoGg,('Net zero Activity data'!BH8*EF!$H7)*kgtoGg)</f>
        <v>-77.839663871669529</v>
      </c>
      <c r="AP919" s="100">
        <f>IF('Net zero activities &amp; levers'!$C$12="Off",('Activity data'!BI8*EF!$H7)*kgtoGg,('Net zero Activity data'!BI8*EF!$H7)*kgtoGg)</f>
        <v>-76.270978541606539</v>
      </c>
      <c r="AQ919" s="100">
        <f>IF('Net zero activities &amp; levers'!$C$12="Off",('Activity data'!BJ8*EF!$H7)*kgtoGg,('Net zero Activity data'!BJ8*EF!$H7)*kgtoGg)</f>
        <v>-74.724563259155232</v>
      </c>
      <c r="AR919" s="100">
        <f>IF('Net zero activities &amp; levers'!$C$12="Off",('Activity data'!BK8*EF!$H7)*kgtoGg,('Net zero Activity data'!BK8*EF!$H7)*kgtoGg)</f>
        <v>-73.199443617670568</v>
      </c>
      <c r="AS919" s="100">
        <f>IF('Net zero activities &amp; levers'!$C$12="Off",('Activity data'!BL8*EF!$H7)*kgtoGg,('Net zero Activity data'!BL8*EF!$H7)*kgtoGg)</f>
        <v>-71.645977088210017</v>
      </c>
      <c r="AT919" s="100">
        <f>IF('Net zero activities &amp; levers'!$C$12="Off",('Activity data'!BM8*EF!$H7)*kgtoGg,('Net zero Activity data'!BM8*EF!$H7)*kgtoGg)</f>
        <v>-70.113872704662668</v>
      </c>
      <c r="AU919" s="100">
        <f>IF('Net zero activities &amp; levers'!$C$12="Off",('Activity data'!BN8*EF!$H7)*kgtoGg,('Net zero Activity data'!BN8*EF!$H7)*kgtoGg)</f>
        <v>-68.602290113404337</v>
      </c>
      <c r="AV919" s="100">
        <f>IF('Net zero activities &amp; levers'!$C$12="Off",('Activity data'!BO8*EF!$H7)*kgtoGg,('Net zero Activity data'!BO8*EF!$H7)*kgtoGg)</f>
        <v>-67.110436174548425</v>
      </c>
      <c r="AW919" s="100">
        <f>IF('Net zero activities &amp; levers'!$C$12="Off",('Activity data'!BP8*EF!$H7)*kgtoGg,('Net zero Activity data'!BP8*EF!$H7)*kgtoGg)</f>
        <v>-65.637561433796705</v>
      </c>
      <c r="AY919" s="85"/>
      <c r="AZ919" s="85"/>
    </row>
    <row r="920" spans="1:52" x14ac:dyDescent="0.25">
      <c r="A920" s="102" t="str">
        <f t="shared" si="326"/>
        <v>DS Cattle</v>
      </c>
      <c r="B920" s="102" t="s">
        <v>975</v>
      </c>
      <c r="C920" s="102" t="s">
        <v>1109</v>
      </c>
      <c r="D920" t="s">
        <v>15</v>
      </c>
      <c r="E920" t="s">
        <v>16</v>
      </c>
      <c r="F920" t="s">
        <v>67</v>
      </c>
      <c r="G920" t="s">
        <v>123</v>
      </c>
      <c r="H920" t="s">
        <v>1021</v>
      </c>
      <c r="I920" t="s">
        <v>121</v>
      </c>
      <c r="J920" t="s">
        <v>286</v>
      </c>
      <c r="K920" s="100">
        <f>IF('Net zero activities &amp; levers'!$C$12="Off",('Activity data'!AD9*EF!$H8)*kgtoGg,('Net zero Activity data'!AD9*EF!$H8)*kgtoGg)</f>
        <v>329.0746130615014</v>
      </c>
      <c r="L920" s="100">
        <f>IF('Net zero activities &amp; levers'!$C$12="Off",('Activity data'!AE9*EF!$H8)*kgtoGg,('Net zero Activity data'!AE9*EF!$H8)*kgtoGg)</f>
        <v>326.8933624278929</v>
      </c>
      <c r="M920" s="100">
        <f>IF('Net zero activities &amp; levers'!$C$12="Off",('Activity data'!AF9*EF!$H8)*kgtoGg,('Net zero Activity data'!AF9*EF!$H8)*kgtoGg)</f>
        <v>322.29434163821571</v>
      </c>
      <c r="N920" s="100">
        <f>IF('Net zero activities &amp; levers'!$C$12="Off",('Activity data'!AG9*EF!$H8)*kgtoGg,('Net zero Activity data'!AG9*EF!$H8)*kgtoGg)</f>
        <v>314.54205476415126</v>
      </c>
      <c r="O920" s="100">
        <f>IF('Net zero activities &amp; levers'!$C$12="Off",('Activity data'!AH9*EF!$H8)*kgtoGg,('Net zero Activity data'!AH9*EF!$H8)*kgtoGg)</f>
        <v>307.02059800365856</v>
      </c>
      <c r="P920" s="100">
        <f>IF('Net zero activities &amp; levers'!$C$12="Off",('Activity data'!AI9*EF!$H8)*kgtoGg,('Net zero Activity data'!AI9*EF!$H8)*kgtoGg)</f>
        <v>301.23554207624824</v>
      </c>
      <c r="Q920" s="100">
        <f>IF('Net zero activities &amp; levers'!$C$12="Off",('Activity data'!AJ9*EF!$H8)*kgtoGg,('Net zero Activity data'!AJ9*EF!$H8)*kgtoGg)</f>
        <v>296.00291445211866</v>
      </c>
      <c r="R920" s="100">
        <f>IF('Net zero activities &amp; levers'!$C$12="Off",('Activity data'!AK9*EF!$H8)*kgtoGg,('Net zero Activity data'!AK9*EF!$H8)*kgtoGg)</f>
        <v>287.77587945125919</v>
      </c>
      <c r="S920" s="100">
        <f>IF('Net zero activities &amp; levers'!$C$12="Off",('Activity data'!AL9*EF!$H8)*kgtoGg,('Net zero Activity data'!AL9*EF!$H8)*kgtoGg)</f>
        <v>252.39688944116838</v>
      </c>
      <c r="T920" s="100">
        <f>IF('Net zero activities &amp; levers'!$C$12="Off",('Activity data'!AM9*EF!$H8)*kgtoGg,('Net zero Activity data'!AM9*EF!$H8)*kgtoGg)</f>
        <v>254.80263648004308</v>
      </c>
      <c r="U920" s="100">
        <f>IF('Net zero activities &amp; levers'!$C$12="Off",('Activity data'!AN9*EF!$H8)*kgtoGg,('Net zero Activity data'!AN9*EF!$H8)*kgtoGg)</f>
        <v>256.43054002508501</v>
      </c>
      <c r="V920" s="100">
        <f>IF('Net zero activities &amp; levers'!$C$12="Off",('Activity data'!AO9*EF!$H8)*kgtoGg,('Net zero Activity data'!AO9*EF!$H8)*kgtoGg)</f>
        <v>258.00549486047498</v>
      </c>
      <c r="W920" s="100">
        <f>IF('Net zero activities &amp; levers'!$C$12="Off",('Activity data'!AP9*EF!$H8)*kgtoGg,('Net zero Activity data'!AP9*EF!$H8)*kgtoGg)</f>
        <v>260.61009134153147</v>
      </c>
      <c r="X920" s="100">
        <f>IF('Net zero activities &amp; levers'!$C$12="Off",('Activity data'!AQ9*EF!$H8)*kgtoGg,('Net zero Activity data'!AQ9*EF!$H8)*kgtoGg)</f>
        <v>263.12884671593309</v>
      </c>
      <c r="Y920" s="100">
        <f>IF('Net zero activities &amp; levers'!$C$12="Off",('Activity data'!AR9*EF!$H8)*kgtoGg,('Net zero Activity data'!AR9*EF!$H8)*kgtoGg)</f>
        <v>265.77316178308178</v>
      </c>
      <c r="Z920" s="100">
        <f>IF('Net zero activities &amp; levers'!$C$12="Off",('Activity data'!AS9*EF!$H8)*kgtoGg,('Net zero Activity data'!AS9*EF!$H8)*kgtoGg)</f>
        <v>268.07527192134285</v>
      </c>
      <c r="AA920" s="100">
        <f>IF('Net zero activities &amp; levers'!$C$12="Off",('Activity data'!AT9*EF!$H8)*kgtoGg,('Net zero Activity data'!AT9*EF!$H8)*kgtoGg)</f>
        <v>270.6953854308951</v>
      </c>
      <c r="AB920" s="100">
        <f>IF('Net zero activities &amp; levers'!$C$12="Off",('Activity data'!AU9*EF!$H8)*kgtoGg,('Net zero Activity data'!AU9*EF!$H8)*kgtoGg)</f>
        <v>272.7457130264242</v>
      </c>
      <c r="AC920" s="100">
        <f>IF('Net zero activities &amp; levers'!$C$12="Off",('Activity data'!AV9*EF!$H8)*kgtoGg,('Net zero Activity data'!AV9*EF!$H8)*kgtoGg)</f>
        <v>274.85229816720681</v>
      </c>
      <c r="AD920" s="100">
        <f>IF('Net zero activities &amp; levers'!$C$12="Off",('Activity data'!AW9*EF!$H8)*kgtoGg,('Net zero Activity data'!AW9*EF!$H8)*kgtoGg)</f>
        <v>275.83346847502179</v>
      </c>
      <c r="AE920" s="100">
        <f>IF('Net zero activities &amp; levers'!$C$12="Off",('Activity data'!AX9*EF!$H8)*kgtoGg,('Net zero Activity data'!AX9*EF!$H8)*kgtoGg)</f>
        <v>277.17885203403011</v>
      </c>
      <c r="AF920" s="100">
        <f>IF('Net zero activities &amp; levers'!$C$12="Off",('Activity data'!AY9*EF!$H8)*kgtoGg,('Net zero Activity data'!AY9*EF!$H8)*kgtoGg)</f>
        <v>278.51904326657984</v>
      </c>
      <c r="AG920" s="100">
        <f>IF('Net zero activities &amp; levers'!$C$12="Off",('Activity data'!AZ9*EF!$H8)*kgtoGg,('Net zero Activity data'!AZ9*EF!$H8)*kgtoGg)</f>
        <v>272.6122135588102</v>
      </c>
      <c r="AH920" s="100">
        <f>IF('Net zero activities &amp; levers'!$C$12="Off",('Activity data'!BA9*EF!$H8)*kgtoGg,('Net zero Activity data'!BA9*EF!$H8)*kgtoGg)</f>
        <v>-64.305450494464566</v>
      </c>
      <c r="AI920" s="100">
        <f>IF('Net zero activities &amp; levers'!$C$12="Off",('Activity data'!BB9*EF!$H8)*kgtoGg,('Net zero Activity data'!BB9*EF!$H8)*kgtoGg)</f>
        <v>-62.813787696400013</v>
      </c>
      <c r="AJ920" s="100">
        <f>IF('Net zero activities &amp; levers'!$C$12="Off",('Activity data'!BC9*EF!$H8)*kgtoGg,('Net zero Activity data'!BC9*EF!$H8)*kgtoGg)</f>
        <v>-61.345847017989065</v>
      </c>
      <c r="AK920" s="100">
        <f>IF('Net zero activities &amp; levers'!$C$12="Off",('Activity data'!BD9*EF!$H8)*kgtoGg,('Net zero Activity data'!BD9*EF!$H8)*kgtoGg)</f>
        <v>-59.900386021624051</v>
      </c>
      <c r="AL920" s="100">
        <f>IF('Net zero activities &amp; levers'!$C$12="Off",('Activity data'!BE9*EF!$H8)*kgtoGg,('Net zero Activity data'!BE9*EF!$H8)*kgtoGg)</f>
        <v>-58.476248166842247</v>
      </c>
      <c r="AM920" s="100">
        <f>IF('Net zero activities &amp; levers'!$C$12="Off",('Activity data'!BF9*EF!$H8)*kgtoGg,('Net zero Activity data'!BF9*EF!$H8)*kgtoGg)</f>
        <v>-57.072354850736843</v>
      </c>
      <c r="AN920" s="100">
        <f>IF('Net zero activities &amp; levers'!$C$12="Off",('Activity data'!BG9*EF!$H8)*kgtoGg,('Net zero Activity data'!BG9*EF!$H8)*kgtoGg)</f>
        <v>-55.934114946269716</v>
      </c>
      <c r="AO920" s="100">
        <f>IF('Net zero activities &amp; levers'!$C$12="Off",('Activity data'!BH9*EF!$H8)*kgtoGg,('Net zero Activity data'!BH9*EF!$H8)*kgtoGg)</f>
        <v>-54.81306678078316</v>
      </c>
      <c r="AP920" s="100">
        <f>IF('Net zero activities &amp; levers'!$C$12="Off",('Activity data'!BI9*EF!$H8)*kgtoGg,('Net zero Activity data'!BI9*EF!$H8)*kgtoGg)</f>
        <v>-53.708431309893463</v>
      </c>
      <c r="AQ920" s="100">
        <f>IF('Net zero activities &amp; levers'!$C$12="Off",('Activity data'!BJ9*EF!$H8)*kgtoGg,('Net zero Activity data'!BJ9*EF!$H8)*kgtoGg)</f>
        <v>-52.619477941754887</v>
      </c>
      <c r="AR920" s="100">
        <f>IF('Net zero activities &amp; levers'!$C$12="Off",('Activity data'!BK9*EF!$H8)*kgtoGg,('Net zero Activity data'!BK9*EF!$H8)*kgtoGg)</f>
        <v>-51.54552051954397</v>
      </c>
      <c r="AS920" s="100">
        <f>IF('Net zero activities &amp; levers'!$C$12="Off",('Activity data'!BL9*EF!$H8)*kgtoGg,('Net zero Activity data'!BL9*EF!$H8)*kgtoGg)</f>
        <v>-50.451601810421387</v>
      </c>
      <c r="AT920" s="100">
        <f>IF('Net zero activities &amp; levers'!$C$12="Off",('Activity data'!BM9*EF!$H8)*kgtoGg,('Net zero Activity data'!BM9*EF!$H8)*kgtoGg)</f>
        <v>-49.372725878621843</v>
      </c>
      <c r="AU920" s="100">
        <f>IF('Net zero activities &amp; levers'!$C$12="Off",('Activity data'!BN9*EF!$H8)*kgtoGg,('Net zero Activity data'!BN9*EF!$H8)*kgtoGg)</f>
        <v>-48.308300964661392</v>
      </c>
      <c r="AV920" s="100">
        <f>IF('Net zero activities &amp; levers'!$C$12="Off",('Activity data'!BO9*EF!$H8)*kgtoGg,('Net zero Activity data'!BO9*EF!$H8)*kgtoGg)</f>
        <v>-47.257768555984775</v>
      </c>
      <c r="AW920" s="100">
        <f>IF('Net zero activities &amp; levers'!$C$12="Off",('Activity data'!BP9*EF!$H8)*kgtoGg,('Net zero Activity data'!BP9*EF!$H8)*kgtoGg)</f>
        <v>-46.22060090251631</v>
      </c>
      <c r="AY920" s="85"/>
      <c r="AZ920" s="85"/>
    </row>
    <row r="921" spans="1:52" x14ac:dyDescent="0.25">
      <c r="A921" s="102" t="str">
        <f t="shared" si="326"/>
        <v>DS Cattle</v>
      </c>
      <c r="B921" s="102" t="s">
        <v>975</v>
      </c>
      <c r="C921" s="102" t="s">
        <v>1109</v>
      </c>
      <c r="D921" t="s">
        <v>15</v>
      </c>
      <c r="E921" t="s">
        <v>16</v>
      </c>
      <c r="F921" t="s">
        <v>67</v>
      </c>
      <c r="G921" t="s">
        <v>135</v>
      </c>
      <c r="H921" t="s">
        <v>1021</v>
      </c>
      <c r="I921" t="s">
        <v>121</v>
      </c>
      <c r="J921" t="s">
        <v>286</v>
      </c>
      <c r="K921" s="100">
        <f>IF('Net zero activities &amp; levers'!$C$12="Off",('Activity data'!AD10*EF!$H9)*kgtoGg,('Net zero Activity data'!AD10*EF!$H9)*kgtoGg)</f>
        <v>32.066658815804246</v>
      </c>
      <c r="L921" s="100">
        <f>IF('Net zero activities &amp; levers'!$C$12="Off",('Activity data'!AE10*EF!$H9)*kgtoGg,('Net zero Activity data'!AE10*EF!$H9)*kgtoGg)</f>
        <v>33.208718466326758</v>
      </c>
      <c r="M921" s="100">
        <f>IF('Net zero activities &amp; levers'!$C$12="Off",('Activity data'!AF10*EF!$H9)*kgtoGg,('Net zero Activity data'!AF10*EF!$H9)*kgtoGg)</f>
        <v>34.11520280184579</v>
      </c>
      <c r="N921" s="100">
        <f>IF('Net zero activities &amp; levers'!$C$12="Off",('Activity data'!AG10*EF!$H9)*kgtoGg,('Net zero Activity data'!AG10*EF!$H9)*kgtoGg)</f>
        <v>34.675782135786314</v>
      </c>
      <c r="O921" s="100">
        <f>IF('Net zero activities &amp; levers'!$C$12="Off",('Activity data'!AH10*EF!$H9)*kgtoGg,('Net zero Activity data'!AH10*EF!$H9)*kgtoGg)</f>
        <v>35.237531716383323</v>
      </c>
      <c r="P921" s="100">
        <f>IF('Net zero activities &amp; levers'!$C$12="Off",('Activity data'!AI10*EF!$H9)*kgtoGg,('Net zero Activity data'!AI10*EF!$H9)*kgtoGg)</f>
        <v>35.983525896151299</v>
      </c>
      <c r="Q921" s="100">
        <f>IF('Net zero activities &amp; levers'!$C$12="Off",('Activity data'!AJ10*EF!$H9)*kgtoGg,('Net zero Activity data'!AJ10*EF!$H9)*kgtoGg)</f>
        <v>36.791694077470218</v>
      </c>
      <c r="R921" s="100">
        <f>IF('Net zero activities &amp; levers'!$C$12="Off",('Activity data'!AK10*EF!$H9)*kgtoGg,('Net zero Activity data'!AK10*EF!$H9)*kgtoGg)</f>
        <v>37.212274346578468</v>
      </c>
      <c r="S921" s="100">
        <f>IF('Net zero activities &amp; levers'!$C$12="Off",('Activity data'!AL10*EF!$H9)*kgtoGg,('Net zero Activity data'!AL10*EF!$H9)*kgtoGg)</f>
        <v>33.949893618199454</v>
      </c>
      <c r="T921" s="100">
        <f>IF('Net zero activities &amp; levers'!$C$12="Off",('Activity data'!AM10*EF!$H9)*kgtoGg,('Net zero Activity data'!AM10*EF!$H9)*kgtoGg)</f>
        <v>35.092534125004185</v>
      </c>
      <c r="U921" s="100">
        <f>IF('Net zero activities &amp; levers'!$C$12="Off",('Activity data'!AN10*EF!$H9)*kgtoGg,('Net zero Activity data'!AN10*EF!$H9)*kgtoGg)</f>
        <v>36.14913447556372</v>
      </c>
      <c r="V921" s="100">
        <f>IF('Net zero activities &amp; levers'!$C$12="Off",('Activity data'!AO10*EF!$H9)*kgtoGg,('Net zero Activity data'!AO10*EF!$H9)*kgtoGg)</f>
        <v>37.217525780423792</v>
      </c>
      <c r="W921" s="100">
        <f>IF('Net zero activities &amp; levers'!$C$12="Off",('Activity data'!AP10*EF!$H9)*kgtoGg,('Net zero Activity data'!AP10*EF!$H9)*kgtoGg)</f>
        <v>38.457766325395134</v>
      </c>
      <c r="X921" s="100">
        <f>IF('Net zero activities &amp; levers'!$C$12="Off",('Activity data'!AQ10*EF!$H9)*kgtoGg,('Net zero Activity data'!AQ10*EF!$H9)*kgtoGg)</f>
        <v>39.712686531100644</v>
      </c>
      <c r="Y921" s="100">
        <f>IF('Net zero activities &amp; levers'!$C$12="Off",('Activity data'!AR10*EF!$H9)*kgtoGg,('Net zero Activity data'!AR10*EF!$H9)*kgtoGg)</f>
        <v>41.014977080860561</v>
      </c>
      <c r="Z921" s="100">
        <f>IF('Net zero activities &amp; levers'!$C$12="Off",('Activity data'!AS10*EF!$H9)*kgtoGg,('Net zero Activity data'!AS10*EF!$H9)*kgtoGg)</f>
        <v>42.293078143626175</v>
      </c>
      <c r="AA921" s="100">
        <f>IF('Net zero activities &amp; levers'!$C$12="Off",('Activity data'!AT10*EF!$H9)*kgtoGg,('Net zero Activity data'!AT10*EF!$H9)*kgtoGg)</f>
        <v>43.650840359696986</v>
      </c>
      <c r="AB921" s="100">
        <f>IF('Net zero activities &amp; levers'!$C$12="Off",('Activity data'!AU10*EF!$H9)*kgtoGg,('Net zero Activity data'!AU10*EF!$H9)*kgtoGg)</f>
        <v>44.946275453717462</v>
      </c>
      <c r="AC921" s="100">
        <f>IF('Net zero activities &amp; levers'!$C$12="Off",('Activity data'!AV10*EF!$H9)*kgtoGg,('Net zero Activity data'!AV10*EF!$H9)*kgtoGg)</f>
        <v>46.279665288729582</v>
      </c>
      <c r="AD921" s="100">
        <f>IF('Net zero activities &amp; levers'!$C$12="Off",('Activity data'!AW10*EF!$H9)*kgtoGg,('Net zero Activity data'!AW10*EF!$H9)*kgtoGg)</f>
        <v>47.976991209129309</v>
      </c>
      <c r="AE921" s="100">
        <f>IF('Net zero activities &amp; levers'!$C$12="Off",('Activity data'!AX10*EF!$H9)*kgtoGg,('Net zero Activity data'!AX10*EF!$H9)*kgtoGg)</f>
        <v>49.804514073480171</v>
      </c>
      <c r="AF921" s="100">
        <f>IF('Net zero activities &amp; levers'!$C$12="Off",('Activity data'!AY10*EF!$H9)*kgtoGg,('Net zero Activity data'!AY10*EF!$H9)*kgtoGg)</f>
        <v>51.703785289265333</v>
      </c>
      <c r="AG921" s="100">
        <f>IF('Net zero activities &amp; levers'!$C$12="Off",('Activity data'!AZ10*EF!$H9)*kgtoGg,('Net zero Activity data'!AZ10*EF!$H9)*kgtoGg)</f>
        <v>52.28975851111349</v>
      </c>
      <c r="AH921" s="100">
        <f>IF('Net zero activities &amp; levers'!$C$12="Off",('Activity data'!BA10*EF!$H9)*kgtoGg,('Net zero Activity data'!BA10*EF!$H9)*kgtoGg)</f>
        <v>-12.746083968128861</v>
      </c>
      <c r="AI921" s="100">
        <f>IF('Net zero activities &amp; levers'!$C$12="Off",('Activity data'!BB10*EF!$H9)*kgtoGg,('Net zero Activity data'!BB10*EF!$H9)*kgtoGg)</f>
        <v>-12.867794914199649</v>
      </c>
      <c r="AJ921" s="100">
        <f>IF('Net zero activities &amp; levers'!$C$12="Off",('Activity data'!BC10*EF!$H9)*kgtoGg,('Net zero Activity data'!BC10*EF!$H9)*kgtoGg)</f>
        <v>-12.990495449269591</v>
      </c>
      <c r="AK921" s="100">
        <f>IF('Net zero activities &amp; levers'!$C$12="Off",('Activity data'!BD10*EF!$H9)*kgtoGg,('Net zero Activity data'!BD10*EF!$H9)*kgtoGg)</f>
        <v>-13.11419493838188</v>
      </c>
      <c r="AL921" s="100">
        <f>IF('Net zero activities &amp; levers'!$C$12="Off",('Activity data'!BE10*EF!$H9)*kgtoGg,('Net zero Activity data'!BE10*EF!$H9)*kgtoGg)</f>
        <v>-13.238902830664287</v>
      </c>
      <c r="AM921" s="100">
        <f>IF('Net zero activities &amp; levers'!$C$12="Off",('Activity data'!BF10*EF!$H9)*kgtoGg,('Net zero Activity data'!BF10*EF!$H9)*kgtoGg)</f>
        <v>-13.364628660058406</v>
      </c>
      <c r="AN921" s="100">
        <f>IF('Net zero activities &amp; levers'!$C$12="Off",('Activity data'!BG10*EF!$H9)*kgtoGg,('Net zero Activity data'!BG10*EF!$H9)*kgtoGg)</f>
        <v>-13.465524819095547</v>
      </c>
      <c r="AO921" s="100">
        <f>IF('Net zero activities &amp; levers'!$C$12="Off",('Activity data'!BH10*EF!$H9)*kgtoGg,('Net zero Activity data'!BH10*EF!$H9)*kgtoGg)</f>
        <v>-13.567116958153555</v>
      </c>
      <c r="AP921" s="100">
        <f>IF('Net zero activities &amp; levers'!$C$12="Off",('Activity data'!BI10*EF!$H9)*kgtoGg,('Net zero Activity data'!BI10*EF!$H9)*kgtoGg)</f>
        <v>-13.669410585503263</v>
      </c>
      <c r="AQ921" s="100">
        <f>IF('Net zero activities &amp; levers'!$C$12="Off",('Activity data'!BJ10*EF!$H9)*kgtoGg,('Net zero Activity data'!BJ10*EF!$H9)*kgtoGg)</f>
        <v>-13.772411250990594</v>
      </c>
      <c r="AR921" s="100">
        <f>IF('Net zero activities &amp; levers'!$C$12="Off",('Activity data'!BK10*EF!$H9)*kgtoGg,('Net zero Activity data'!BK10*EF!$H9)*kgtoGg)</f>
        <v>-13.876124546340513</v>
      </c>
      <c r="AS921" s="100">
        <f>IF('Net zero activities &amp; levers'!$C$12="Off",('Activity data'!BL10*EF!$H9)*kgtoGg,('Net zero Activity data'!BL10*EF!$H9)*kgtoGg)</f>
        <v>-13.971054455205756</v>
      </c>
      <c r="AT921" s="100">
        <f>IF('Net zero activities &amp; levers'!$C$12="Off",('Activity data'!BM10*EF!$H9)*kgtoGg,('Net zero Activity data'!BM10*EF!$H9)*kgtoGg)</f>
        <v>-14.066530697184916</v>
      </c>
      <c r="AU921" s="100">
        <f>IF('Net zero activities &amp; levers'!$C$12="Off",('Activity data'!BN10*EF!$H9)*kgtoGg,('Net zero Activity data'!BN10*EF!$H9)*kgtoGg)</f>
        <v>-14.162556886408025</v>
      </c>
      <c r="AV921" s="100">
        <f>IF('Net zero activities &amp; levers'!$C$12="Off",('Activity data'!BO10*EF!$H9)*kgtoGg,('Net zero Activity data'!BO10*EF!$H9)*kgtoGg)</f>
        <v>-14.259136659667147</v>
      </c>
      <c r="AW921" s="100">
        <f>IF('Net zero activities &amp; levers'!$C$12="Off",('Activity data'!BP10*EF!$H9)*kgtoGg,('Net zero Activity data'!BP10*EF!$H9)*kgtoGg)</f>
        <v>-14.356273676553505</v>
      </c>
      <c r="AY921" s="85"/>
      <c r="AZ921" s="85"/>
    </row>
    <row r="922" spans="1:52" x14ac:dyDescent="0.25">
      <c r="A922" s="102" t="str">
        <f t="shared" si="326"/>
        <v>DS Sheep</v>
      </c>
      <c r="B922" s="102" t="s">
        <v>975</v>
      </c>
      <c r="C922" s="102" t="s">
        <v>152</v>
      </c>
      <c r="D922" t="s">
        <v>15</v>
      </c>
      <c r="E922" t="s">
        <v>16</v>
      </c>
      <c r="F922" t="s">
        <v>18</v>
      </c>
      <c r="G922" t="s">
        <v>122</v>
      </c>
      <c r="H922" t="s">
        <v>1021</v>
      </c>
      <c r="I922" t="s">
        <v>121</v>
      </c>
      <c r="J922" t="s">
        <v>286</v>
      </c>
      <c r="K922" s="100">
        <f>IF('Net zero activities &amp; levers'!$C$12="Off",('Activity data'!AD11*EF!$H10)*kgtoGg,('Net zero Activity data'!AD11*EF!$H10)*kgtoGg)</f>
        <v>132.58757058147904</v>
      </c>
      <c r="L922" s="100">
        <f>IF('Net zero activities &amp; levers'!$C$12="Off",('Activity data'!AE11*EF!$H10)*kgtoGg,('Net zero Activity data'!AE11*EF!$H10)*kgtoGg)</f>
        <v>132.65997552000914</v>
      </c>
      <c r="M922" s="100">
        <f>IF('Net zero activities &amp; levers'!$C$12="Off",('Activity data'!AF11*EF!$H10)*kgtoGg,('Net zero Activity data'!AF11*EF!$H10)*kgtoGg)</f>
        <v>132.82210408590223</v>
      </c>
      <c r="N922" s="100">
        <f>IF('Net zero activities &amp; levers'!$C$12="Off",('Activity data'!AG11*EF!$H10)*kgtoGg,('Net zero Activity data'!AG11*EF!$H10)*kgtoGg)</f>
        <v>133.06614161446052</v>
      </c>
      <c r="O922" s="100">
        <f>IF('Net zero activities &amp; levers'!$C$12="Off",('Activity data'!AH11*EF!$H10)*kgtoGg,('Net zero Activity data'!AH11*EF!$H10)*kgtoGg)</f>
        <v>133.3953531354135</v>
      </c>
      <c r="P922" s="100">
        <f>IF('Net zero activities &amp; levers'!$C$12="Off",('Activity data'!AI11*EF!$H10)*kgtoGg,('Net zero Activity data'!AI11*EF!$H10)*kgtoGg)</f>
        <v>133.81008797408685</v>
      </c>
      <c r="Q922" s="100">
        <f>IF('Net zero activities &amp; levers'!$C$12="Off",('Activity data'!AJ11*EF!$H10)*kgtoGg,('Net zero Activity data'!AJ11*EF!$H10)*kgtoGg)</f>
        <v>134.27208577169884</v>
      </c>
      <c r="R922" s="100">
        <f>IF('Net zero activities &amp; levers'!$C$12="Off",('Activity data'!AK11*EF!$H10)*kgtoGg,('Net zero Activity data'!AK11*EF!$H10)*kgtoGg)</f>
        <v>134.77278624125299</v>
      </c>
      <c r="S922" s="100">
        <f>IF('Net zero activities &amp; levers'!$C$12="Off",('Activity data'!AL11*EF!$H10)*kgtoGg,('Net zero Activity data'!AL11*EF!$H10)*kgtoGg)</f>
        <v>135.24330047488556</v>
      </c>
      <c r="T922" s="100">
        <f>IF('Net zero activities &amp; levers'!$C$12="Off",('Activity data'!AM11*EF!$H10)*kgtoGg,('Net zero Activity data'!AM11*EF!$H10)*kgtoGg)</f>
        <v>135.43984338147078</v>
      </c>
      <c r="U922" s="100">
        <f>IF('Net zero activities &amp; levers'!$C$12="Off",('Activity data'!AN11*EF!$H10)*kgtoGg,('Net zero Activity data'!AN11*EF!$H10)*kgtoGg)</f>
        <v>135.66790740229135</v>
      </c>
      <c r="V922" s="100">
        <f>IF('Net zero activities &amp; levers'!$C$12="Off",('Activity data'!AO11*EF!$H10)*kgtoGg,('Net zero Activity data'!AO11*EF!$H10)*kgtoGg)</f>
        <v>135.92744577431912</v>
      </c>
      <c r="W922" s="100">
        <f>IF('Net zero activities &amp; levers'!$C$12="Off",('Activity data'!AP11*EF!$H10)*kgtoGg,('Net zero Activity data'!AP11*EF!$H10)*kgtoGg)</f>
        <v>136.21980319636509</v>
      </c>
      <c r="X922" s="100">
        <f>IF('Net zero activities &amp; levers'!$C$12="Off",('Activity data'!AQ11*EF!$H10)*kgtoGg,('Net zero Activity data'!AQ11*EF!$H10)*kgtoGg)</f>
        <v>136.54029274426662</v>
      </c>
      <c r="Y922" s="100">
        <f>IF('Net zero activities &amp; levers'!$C$12="Off",('Activity data'!AR11*EF!$H10)*kgtoGg,('Net zero Activity data'!AR11*EF!$H10)*kgtoGg)</f>
        <v>136.73757850266969</v>
      </c>
      <c r="Z922" s="100">
        <f>IF('Net zero activities &amp; levers'!$C$12="Off",('Activity data'!AS11*EF!$H10)*kgtoGg,('Net zero Activity data'!AS11*EF!$H10)*kgtoGg)</f>
        <v>136.95795076822631</v>
      </c>
      <c r="AA922" s="100">
        <f>IF('Net zero activities &amp; levers'!$C$12="Off",('Activity data'!AT11*EF!$H10)*kgtoGg,('Net zero Activity data'!AT11*EF!$H10)*kgtoGg)</f>
        <v>137.20220925985299</v>
      </c>
      <c r="AB922" s="100">
        <f>IF('Net zero activities &amp; levers'!$C$12="Off",('Activity data'!AU11*EF!$H10)*kgtoGg,('Net zero Activity data'!AU11*EF!$H10)*kgtoGg)</f>
        <v>137.46660109068114</v>
      </c>
      <c r="AC922" s="100">
        <f>IF('Net zero activities &amp; levers'!$C$12="Off",('Activity data'!AV11*EF!$H10)*kgtoGg,('Net zero Activity data'!AV11*EF!$H10)*kgtoGg)</f>
        <v>137.75207161797405</v>
      </c>
      <c r="AD922" s="100">
        <f>IF('Net zero activities &amp; levers'!$C$12="Off",('Activity data'!AW11*EF!$H10)*kgtoGg,('Net zero Activity data'!AW11*EF!$H10)*kgtoGg)</f>
        <v>137.94000218541183</v>
      </c>
      <c r="AE922" s="100">
        <f>IF('Net zero activities &amp; levers'!$C$12="Off",('Activity data'!AX11*EF!$H10)*kgtoGg,('Net zero Activity data'!AX11*EF!$H10)*kgtoGg)</f>
        <v>138.14770015018067</v>
      </c>
      <c r="AF922" s="100">
        <f>IF('Net zero activities &amp; levers'!$C$12="Off",('Activity data'!AY11*EF!$H10)*kgtoGg,('Net zero Activity data'!AY11*EF!$H10)*kgtoGg)</f>
        <v>138.37329758077868</v>
      </c>
      <c r="AG922" s="100">
        <f>IF('Net zero activities &amp; levers'!$C$12="Off",('Activity data'!AZ11*EF!$H10)*kgtoGg,('Net zero Activity data'!AZ11*EF!$H10)*kgtoGg)</f>
        <v>138.59125347156044</v>
      </c>
      <c r="AH922" s="100">
        <f>IF('Net zero activities &amp; levers'!$C$12="Off",('Activity data'!BA11*EF!$H10)*kgtoGg,('Net zero Activity data'!BA11*EF!$H10)*kgtoGg)</f>
        <v>137.6594267769662</v>
      </c>
      <c r="AI922" s="100">
        <f>IF('Net zero activities &amp; levers'!$C$12="Off",('Activity data'!BB11*EF!$H10)*kgtoGg,('Net zero Activity data'!BB11*EF!$H10)*kgtoGg)</f>
        <v>137.79176090123983</v>
      </c>
      <c r="AJ922" s="100">
        <f>IF('Net zero activities &amp; levers'!$C$12="Off",('Activity data'!BC11*EF!$H10)*kgtoGg,('Net zero Activity data'!BC11*EF!$H10)*kgtoGg)</f>
        <v>137.93779226287748</v>
      </c>
      <c r="AK922" s="100">
        <f>IF('Net zero activities &amp; levers'!$C$12="Off",('Activity data'!BD11*EF!$H10)*kgtoGg,('Net zero Activity data'!BD11*EF!$H10)*kgtoGg)</f>
        <v>138.09700339174353</v>
      </c>
      <c r="AL922" s="100">
        <f>IF('Net zero activities &amp; levers'!$C$12="Off",('Activity data'!BE11*EF!$H10)*kgtoGg,('Net zero Activity data'!BE11*EF!$H10)*kgtoGg)</f>
        <v>138.26891681492259</v>
      </c>
      <c r="AM922" s="100">
        <f>IF('Net zero activities &amp; levers'!$C$12="Off",('Activity data'!BF11*EF!$H10)*kgtoGg,('Net zero Activity data'!BF11*EF!$H10)*kgtoGg)</f>
        <v>138.45309126128626</v>
      </c>
      <c r="AN922" s="100">
        <f>IF('Net zero activities &amp; levers'!$C$12="Off",('Activity data'!BG11*EF!$H10)*kgtoGg,('Net zero Activity data'!BG11*EF!$H10)*kgtoGg)</f>
        <v>138.54247128713709</v>
      </c>
      <c r="AO922" s="100">
        <f>IF('Net zero activities &amp; levers'!$C$12="Off",('Activity data'!BH11*EF!$H10)*kgtoGg,('Net zero Activity data'!BH11*EF!$H10)*kgtoGg)</f>
        <v>138.64265405515414</v>
      </c>
      <c r="AP922" s="100">
        <f>IF('Net zero activities &amp; levers'!$C$12="Off",('Activity data'!BI11*EF!$H10)*kgtoGg,('Net zero Activity data'!BI11*EF!$H10)*kgtoGg)</f>
        <v>138.75326360443952</v>
      </c>
      <c r="AQ922" s="100">
        <f>IF('Net zero activities &amp; levers'!$C$12="Off",('Activity data'!BJ11*EF!$H10)*kgtoGg,('Net zero Activity data'!BJ11*EF!$H10)*kgtoGg)</f>
        <v>138.87394970624567</v>
      </c>
      <c r="AR922" s="100">
        <f>IF('Net zero activities &amp; levers'!$C$12="Off",('Activity data'!BK11*EF!$H10)*kgtoGg,('Net zero Activity data'!BK11*EF!$H10)*kgtoGg)</f>
        <v>139.00438567790363</v>
      </c>
      <c r="AS922" s="100">
        <f>IF('Net zero activities &amp; levers'!$C$12="Off",('Activity data'!BL11*EF!$H10)*kgtoGg,('Net zero Activity data'!BL11*EF!$H10)*kgtoGg)</f>
        <v>139.03656264546001</v>
      </c>
      <c r="AT922" s="100">
        <f>IF('Net zero activities &amp; levers'!$C$12="Off",('Activity data'!BM11*EF!$H10)*kgtoGg,('Net zero Activity data'!BM11*EF!$H10)*kgtoGg)</f>
        <v>139.07739261805247</v>
      </c>
      <c r="AU922" s="100">
        <f>IF('Net zero activities &amp; levers'!$C$12="Off",('Activity data'!BN11*EF!$H10)*kgtoGg,('Net zero Activity data'!BN11*EF!$H10)*kgtoGg)</f>
        <v>139.1265890083165</v>
      </c>
      <c r="AV922" s="100">
        <f>IF('Net zero activities &amp; levers'!$C$12="Off",('Activity data'!BO11*EF!$H10)*kgtoGg,('Net zero Activity data'!BO11*EF!$H10)*kgtoGg)</f>
        <v>139.18388272915809</v>
      </c>
      <c r="AW922" s="100">
        <f>IF('Net zero activities &amp; levers'!$C$12="Off",('Activity data'!BP11*EF!$H10)*kgtoGg,('Net zero Activity data'!BP11*EF!$H10)*kgtoGg)</f>
        <v>139.24902084795488</v>
      </c>
      <c r="AY922" s="85"/>
      <c r="AZ922" s="85"/>
    </row>
    <row r="923" spans="1:52" x14ac:dyDescent="0.25">
      <c r="A923" s="102" t="str">
        <f t="shared" si="326"/>
        <v>DS Sheep</v>
      </c>
      <c r="B923" s="102" t="s">
        <v>975</v>
      </c>
      <c r="C923" s="102" t="s">
        <v>152</v>
      </c>
      <c r="D923" t="s">
        <v>15</v>
      </c>
      <c r="E923" t="s">
        <v>16</v>
      </c>
      <c r="F923" t="s">
        <v>18</v>
      </c>
      <c r="G923" t="s">
        <v>123</v>
      </c>
      <c r="H923" t="s">
        <v>1021</v>
      </c>
      <c r="I923" t="s">
        <v>121</v>
      </c>
      <c r="J923" t="s">
        <v>286</v>
      </c>
      <c r="K923" s="100">
        <f>IF('Net zero activities &amp; levers'!$C$12="Off",('Activity data'!AD12*EF!$H11)*kgtoGg,('Net zero Activity data'!AD12*EF!$H11)*kgtoGg)</f>
        <v>14.369021000318453</v>
      </c>
      <c r="L923" s="100">
        <f>IF('Net zero activities &amp; levers'!$C$12="Off",('Activity data'!AE12*EF!$H11)*kgtoGg,('Net zero Activity data'!AE12*EF!$H11)*kgtoGg)</f>
        <v>14.376867799816345</v>
      </c>
      <c r="M923" s="100">
        <f>IF('Net zero activities &amp; levers'!$C$12="Off",('Activity data'!AF12*EF!$H11)*kgtoGg,('Net zero Activity data'!AF12*EF!$H11)*kgtoGg)</f>
        <v>14.394438291211975</v>
      </c>
      <c r="N923" s="100">
        <f>IF('Net zero activities &amp; levers'!$C$12="Off",('Activity data'!AG12*EF!$H11)*kgtoGg,('Net zero Activity data'!AG12*EF!$H11)*kgtoGg)</f>
        <v>14.420885569469965</v>
      </c>
      <c r="O923" s="100">
        <f>IF('Net zero activities &amp; levers'!$C$12="Off",('Activity data'!AH12*EF!$H11)*kgtoGg,('Net zero Activity data'!AH12*EF!$H11)*kgtoGg)</f>
        <v>14.456563478322018</v>
      </c>
      <c r="P923" s="100">
        <f>IF('Net zero activities &amp; levers'!$C$12="Off",('Activity data'!AI12*EF!$H11)*kgtoGg,('Net zero Activity data'!AI12*EF!$H11)*kgtoGg)</f>
        <v>14.50150987548674</v>
      </c>
      <c r="Q923" s="100">
        <f>IF('Net zero activities &amp; levers'!$C$12="Off",('Activity data'!AJ12*EF!$H11)*kgtoGg,('Net zero Activity data'!AJ12*EF!$H11)*kgtoGg)</f>
        <v>14.55157833987502</v>
      </c>
      <c r="R923" s="100">
        <f>IF('Net zero activities &amp; levers'!$C$12="Off",('Activity data'!AK12*EF!$H11)*kgtoGg,('Net zero Activity data'!AK12*EF!$H11)*kgtoGg)</f>
        <v>14.60584116051756</v>
      </c>
      <c r="S923" s="100">
        <f>IF('Net zero activities &amp; levers'!$C$12="Off",('Activity data'!AL12*EF!$H11)*kgtoGg,('Net zero Activity data'!AL12*EF!$H11)*kgtoGg)</f>
        <v>14.656832583577541</v>
      </c>
      <c r="T923" s="100">
        <f>IF('Net zero activities &amp; levers'!$C$12="Off",('Activity data'!AM12*EF!$H11)*kgtoGg,('Net zero Activity data'!AM12*EF!$H11)*kgtoGg)</f>
        <v>14.678132688404874</v>
      </c>
      <c r="U923" s="100">
        <f>IF('Net zero activities &amp; levers'!$C$12="Off",('Activity data'!AN12*EF!$H11)*kgtoGg,('Net zero Activity data'!AN12*EF!$H11)*kgtoGg)</f>
        <v>14.702848856671748</v>
      </c>
      <c r="V923" s="100">
        <f>IF('Net zero activities &amp; levers'!$C$12="Off",('Activity data'!AO12*EF!$H11)*kgtoGg,('Net zero Activity data'!AO12*EF!$H11)*kgtoGg)</f>
        <v>14.730976020490347</v>
      </c>
      <c r="W923" s="100">
        <f>IF('Net zero activities &amp; levers'!$C$12="Off",('Activity data'!AP12*EF!$H11)*kgtoGg,('Net zero Activity data'!AP12*EF!$H11)*kgtoGg)</f>
        <v>14.762659910002416</v>
      </c>
      <c r="X923" s="100">
        <f>IF('Net zero activities &amp; levers'!$C$12="Off",('Activity data'!AQ12*EF!$H11)*kgtoGg,('Net zero Activity data'!AQ12*EF!$H11)*kgtoGg)</f>
        <v>14.797392585350364</v>
      </c>
      <c r="Y923" s="100">
        <f>IF('Net zero activities &amp; levers'!$C$12="Off",('Activity data'!AR12*EF!$H11)*kgtoGg,('Net zero Activity data'!AR12*EF!$H11)*kgtoGg)</f>
        <v>14.818773195864045</v>
      </c>
      <c r="Z923" s="100">
        <f>IF('Net zero activities &amp; levers'!$C$12="Off",('Activity data'!AS12*EF!$H11)*kgtoGg,('Net zero Activity data'!AS12*EF!$H11)*kgtoGg)</f>
        <v>14.842655779259934</v>
      </c>
      <c r="AA923" s="100">
        <f>IF('Net zero activities &amp; levers'!$C$12="Off",('Activity data'!AT12*EF!$H11)*kgtoGg,('Net zero Activity data'!AT12*EF!$H11)*kgtoGg)</f>
        <v>14.869127004128885</v>
      </c>
      <c r="AB923" s="100">
        <f>IF('Net zero activities &amp; levers'!$C$12="Off",('Activity data'!AU12*EF!$H11)*kgtoGg,('Net zero Activity data'!AU12*EF!$H11)*kgtoGg)</f>
        <v>14.897780155799289</v>
      </c>
      <c r="AC923" s="100">
        <f>IF('Net zero activities &amp; levers'!$C$12="Off",('Activity data'!AV12*EF!$H11)*kgtoGg,('Net zero Activity data'!AV12*EF!$H11)*kgtoGg)</f>
        <v>14.928717686245429</v>
      </c>
      <c r="AD923" s="100">
        <f>IF('Net zero activities &amp; levers'!$C$12="Off",('Activity data'!AW12*EF!$H11)*kgtoGg,('Net zero Activity data'!AW12*EF!$H11)*kgtoGg)</f>
        <v>14.949084439013225</v>
      </c>
      <c r="AE923" s="100">
        <f>IF('Net zero activities &amp; levers'!$C$12="Off",('Activity data'!AX12*EF!$H11)*kgtoGg,('Net zero Activity data'!AX12*EF!$H11)*kgtoGg)</f>
        <v>14.971593460065483</v>
      </c>
      <c r="AF923" s="100">
        <f>IF('Net zero activities &amp; levers'!$C$12="Off",('Activity data'!AY12*EF!$H11)*kgtoGg,('Net zero Activity data'!AY12*EF!$H11)*kgtoGg)</f>
        <v>14.996042314537018</v>
      </c>
      <c r="AG923" s="100">
        <f>IF('Net zero activities &amp; levers'!$C$12="Off",('Activity data'!AZ12*EF!$H11)*kgtoGg,('Net zero Activity data'!AZ12*EF!$H11)*kgtoGg)</f>
        <v>15.019663026177268</v>
      </c>
      <c r="AH923" s="100">
        <f>IF('Net zero activities &amp; levers'!$C$12="Off",('Activity data'!BA12*EF!$H11)*kgtoGg,('Net zero Activity data'!BA12*EF!$H11)*kgtoGg)</f>
        <v>14.918677411277161</v>
      </c>
      <c r="AI923" s="100">
        <f>IF('Net zero activities &amp; levers'!$C$12="Off",('Activity data'!BB12*EF!$H11)*kgtoGg,('Net zero Activity data'!BB12*EF!$H11)*kgtoGg)</f>
        <v>14.933018965333902</v>
      </c>
      <c r="AJ923" s="100">
        <f>IF('Net zero activities &amp; levers'!$C$12="Off",('Activity data'!BC12*EF!$H11)*kgtoGg,('Net zero Activity data'!BC12*EF!$H11)*kgtoGg)</f>
        <v>14.948844941274739</v>
      </c>
      <c r="AK923" s="100">
        <f>IF('Net zero activities &amp; levers'!$C$12="Off",('Activity data'!BD12*EF!$H11)*kgtoGg,('Net zero Activity data'!BD12*EF!$H11)*kgtoGg)</f>
        <v>14.966099258886322</v>
      </c>
      <c r="AL923" s="100">
        <f>IF('Net zero activities &amp; levers'!$C$12="Off",('Activity data'!BE12*EF!$H11)*kgtoGg,('Net zero Activity data'!BE12*EF!$H11)*kgtoGg)</f>
        <v>14.984730172606687</v>
      </c>
      <c r="AM923" s="100">
        <f>IF('Net zero activities &amp; levers'!$C$12="Off",('Activity data'!BF12*EF!$H11)*kgtoGg,('Net zero Activity data'!BF12*EF!$H11)*kgtoGg)</f>
        <v>15.004689860199688</v>
      </c>
      <c r="AN923" s="100">
        <f>IF('Net zero activities &amp; levers'!$C$12="Off",('Activity data'!BG12*EF!$H11)*kgtoGg,('Net zero Activity data'!BG12*EF!$H11)*kgtoGg)</f>
        <v>15.014376314690312</v>
      </c>
      <c r="AO923" s="100">
        <f>IF('Net zero activities &amp; levers'!$C$12="Off",('Activity data'!BH12*EF!$H11)*kgtoGg,('Net zero Activity data'!BH12*EF!$H11)*kgtoGg)</f>
        <v>15.025233503574562</v>
      </c>
      <c r="AP923" s="100">
        <f>IF('Net zero activities &amp; levers'!$C$12="Off",('Activity data'!BI12*EF!$H11)*kgtoGg,('Net zero Activity data'!BI12*EF!$H11)*kgtoGg)</f>
        <v>15.037220682535205</v>
      </c>
      <c r="AQ923" s="100">
        <f>IF('Net zero activities &amp; levers'!$C$12="Off",('Activity data'!BJ12*EF!$H11)*kgtoGg,('Net zero Activity data'!BJ12*EF!$H11)*kgtoGg)</f>
        <v>15.050299895946342</v>
      </c>
      <c r="AR923" s="100">
        <f>IF('Net zero activities &amp; levers'!$C$12="Off",('Activity data'!BK12*EF!$H11)*kgtoGg,('Net zero Activity data'!BK12*EF!$H11)*kgtoGg)</f>
        <v>15.064435739960453</v>
      </c>
      <c r="AS923" s="100">
        <f>IF('Net zero activities &amp; levers'!$C$12="Off",('Activity data'!BL12*EF!$H11)*kgtoGg,('Net zero Activity data'!BL12*EF!$H11)*kgtoGg)</f>
        <v>15.067922880727245</v>
      </c>
      <c r="AT923" s="100">
        <f>IF('Net zero activities &amp; levers'!$C$12="Off",('Activity data'!BM12*EF!$H11)*kgtoGg,('Net zero Activity data'!BM12*EF!$H11)*kgtoGg)</f>
        <v>15.072347780671114</v>
      </c>
      <c r="AU923" s="100">
        <f>IF('Net zero activities &amp; levers'!$C$12="Off",('Activity data'!BN12*EF!$H11)*kgtoGg,('Net zero Activity data'!BN12*EF!$H11)*kgtoGg)</f>
        <v>15.077679381225703</v>
      </c>
      <c r="AV923" s="100">
        <f>IF('Net zero activities &amp; levers'!$C$12="Off",('Activity data'!BO12*EF!$H11)*kgtoGg,('Net zero Activity data'!BO12*EF!$H11)*kgtoGg)</f>
        <v>15.083888520395751</v>
      </c>
      <c r="AW923" s="100">
        <f>IF('Net zero activities &amp; levers'!$C$12="Off",('Activity data'!BP12*EF!$H11)*kgtoGg,('Net zero Activity data'!BP12*EF!$H11)*kgtoGg)</f>
        <v>15.090947786907744</v>
      </c>
      <c r="AY923" s="85"/>
      <c r="AZ923" s="85"/>
    </row>
    <row r="924" spans="1:52" x14ac:dyDescent="0.25">
      <c r="A924" s="102" t="str">
        <f t="shared" si="326"/>
        <v>DS Goats</v>
      </c>
      <c r="B924" s="102" t="s">
        <v>975</v>
      </c>
      <c r="C924" s="102" t="s">
        <v>153</v>
      </c>
      <c r="D924" t="s">
        <v>15</v>
      </c>
      <c r="E924" t="s">
        <v>16</v>
      </c>
      <c r="F924" t="s">
        <v>19</v>
      </c>
      <c r="G924" t="s">
        <v>122</v>
      </c>
      <c r="H924" t="s">
        <v>1021</v>
      </c>
      <c r="I924" t="s">
        <v>121</v>
      </c>
      <c r="J924" t="s">
        <v>286</v>
      </c>
      <c r="K924" s="28">
        <f t="shared" ref="K924:Z927" si="329">K1387</f>
        <v>15.122912034052119</v>
      </c>
      <c r="L924" s="28">
        <f t="shared" si="329"/>
        <v>15.16235617086264</v>
      </c>
      <c r="M924" s="28">
        <f t="shared" si="329"/>
        <v>15.214918977175502</v>
      </c>
      <c r="N924" s="28">
        <f t="shared" si="329"/>
        <v>15.279431878529646</v>
      </c>
      <c r="O924" s="28">
        <f t="shared" si="329"/>
        <v>15.356670108197457</v>
      </c>
      <c r="P924" s="28">
        <f t="shared" si="329"/>
        <v>15.446839206530987</v>
      </c>
      <c r="Q924" s="28">
        <f t="shared" si="329"/>
        <v>15.543246595834415</v>
      </c>
      <c r="R924" s="28">
        <f t="shared" si="329"/>
        <v>15.644513729476552</v>
      </c>
      <c r="S924" s="28">
        <f t="shared" si="329"/>
        <v>15.738586448717601</v>
      </c>
      <c r="T924" s="28">
        <f t="shared" si="329"/>
        <v>15.782671791027241</v>
      </c>
      <c r="U924" s="28">
        <f t="shared" si="329"/>
        <v>15.831013812582922</v>
      </c>
      <c r="V924" s="28">
        <f t="shared" si="329"/>
        <v>15.883673860630685</v>
      </c>
      <c r="W924" s="28">
        <f t="shared" si="329"/>
        <v>15.940945806372881</v>
      </c>
      <c r="X924" s="28">
        <f t="shared" si="329"/>
        <v>16.002058548962822</v>
      </c>
      <c r="Y924" s="28">
        <f t="shared" si="329"/>
        <v>16.040687609599484</v>
      </c>
      <c r="Z924" s="28">
        <f t="shared" si="329"/>
        <v>16.082482288873532</v>
      </c>
      <c r="AA924" s="28">
        <f t="shared" ref="L924:AW927" si="330">AA1387</f>
        <v>16.127615494082271</v>
      </c>
      <c r="AB924" s="28">
        <f t="shared" si="330"/>
        <v>16.175465875658951</v>
      </c>
      <c r="AC924" s="28">
        <f t="shared" si="330"/>
        <v>16.226224840403397</v>
      </c>
      <c r="AD924" s="28">
        <f t="shared" si="330"/>
        <v>16.259468591936052</v>
      </c>
      <c r="AE924" s="28">
        <f t="shared" si="330"/>
        <v>16.295521678721617</v>
      </c>
      <c r="AF924" s="28">
        <f t="shared" si="330"/>
        <v>16.334079311640636</v>
      </c>
      <c r="AG924" s="28">
        <f t="shared" si="330"/>
        <v>16.370780543129868</v>
      </c>
      <c r="AH924" s="28">
        <f t="shared" si="330"/>
        <v>16.210342962451882</v>
      </c>
      <c r="AI924" s="28">
        <f t="shared" si="330"/>
        <v>16.231809554619815</v>
      </c>
      <c r="AJ924" s="28">
        <f t="shared" si="330"/>
        <v>16.255200949759832</v>
      </c>
      <c r="AK924" s="28">
        <f t="shared" si="330"/>
        <v>16.280438980022009</v>
      </c>
      <c r="AL924" s="28">
        <f t="shared" si="330"/>
        <v>16.307451540692337</v>
      </c>
      <c r="AM924" s="28">
        <f t="shared" si="330"/>
        <v>16.33617200965886</v>
      </c>
      <c r="AN924" s="28">
        <f t="shared" si="330"/>
        <v>16.348500225303503</v>
      </c>
      <c r="AO924" s="28">
        <f t="shared" si="330"/>
        <v>16.362367038828094</v>
      </c>
      <c r="AP924" s="28">
        <f t="shared" si="330"/>
        <v>16.377714445166813</v>
      </c>
      <c r="AQ924" s="28">
        <f t="shared" si="330"/>
        <v>16.394488418537772</v>
      </c>
      <c r="AR924" s="28">
        <f t="shared" si="330"/>
        <v>16.412638571526305</v>
      </c>
      <c r="AS924" s="28">
        <f t="shared" si="330"/>
        <v>16.414054645399585</v>
      </c>
      <c r="AT924" s="28">
        <f t="shared" si="330"/>
        <v>16.416730079303285</v>
      </c>
      <c r="AU924" s="28">
        <f t="shared" si="330"/>
        <v>16.420619645756457</v>
      </c>
      <c r="AV924" s="28">
        <f t="shared" si="330"/>
        <v>16.425680885599256</v>
      </c>
      <c r="AW924" s="28">
        <f t="shared" si="330"/>
        <v>16.431873893524784</v>
      </c>
      <c r="AY924" s="85"/>
      <c r="AZ924" s="85"/>
    </row>
    <row r="925" spans="1:52" x14ac:dyDescent="0.25">
      <c r="A925" s="102" t="str">
        <f t="shared" si="326"/>
        <v>DS Goats</v>
      </c>
      <c r="B925" s="102" t="s">
        <v>975</v>
      </c>
      <c r="C925" s="102" t="s">
        <v>153</v>
      </c>
      <c r="D925" t="s">
        <v>15</v>
      </c>
      <c r="E925" t="s">
        <v>16</v>
      </c>
      <c r="F925" t="s">
        <v>19</v>
      </c>
      <c r="G925" t="s">
        <v>123</v>
      </c>
      <c r="H925" t="s">
        <v>1021</v>
      </c>
      <c r="I925" t="s">
        <v>121</v>
      </c>
      <c r="J925" t="s">
        <v>286</v>
      </c>
      <c r="K925" s="28">
        <f t="shared" si="329"/>
        <v>22.380358537009105</v>
      </c>
      <c r="L925" s="28">
        <f t="shared" si="330"/>
        <v>22.438731813400228</v>
      </c>
      <c r="M925" s="28">
        <f t="shared" si="330"/>
        <v>22.516519374971988</v>
      </c>
      <c r="N925" s="28">
        <f t="shared" si="330"/>
        <v>22.611991851391704</v>
      </c>
      <c r="O925" s="28">
        <f t="shared" si="330"/>
        <v>22.726296508380855</v>
      </c>
      <c r="P925" s="28">
        <f t="shared" si="330"/>
        <v>22.859737524576634</v>
      </c>
      <c r="Q925" s="28">
        <f t="shared" si="330"/>
        <v>23.002410571498377</v>
      </c>
      <c r="R925" s="28">
        <f t="shared" si="330"/>
        <v>23.152275541540064</v>
      </c>
      <c r="S925" s="28">
        <f t="shared" si="330"/>
        <v>23.291493516254551</v>
      </c>
      <c r="T925" s="28">
        <f t="shared" si="330"/>
        <v>23.356735300700223</v>
      </c>
      <c r="U925" s="28">
        <f t="shared" si="330"/>
        <v>23.428276533789713</v>
      </c>
      <c r="V925" s="28">
        <f t="shared" si="330"/>
        <v>23.506208003154299</v>
      </c>
      <c r="W925" s="28">
        <f t="shared" si="330"/>
        <v>23.590964608028823</v>
      </c>
      <c r="X925" s="28">
        <f t="shared" si="330"/>
        <v>23.681405198257956</v>
      </c>
      <c r="Y925" s="28">
        <f t="shared" si="330"/>
        <v>23.738572245520402</v>
      </c>
      <c r="Z925" s="28">
        <f t="shared" si="330"/>
        <v>23.800424083644316</v>
      </c>
      <c r="AA925" s="28">
        <f t="shared" si="330"/>
        <v>23.8672165976933</v>
      </c>
      <c r="AB925" s="28">
        <f t="shared" si="330"/>
        <v>23.938030254045156</v>
      </c>
      <c r="AC925" s="28">
        <f t="shared" si="330"/>
        <v>24.013148315129573</v>
      </c>
      <c r="AD925" s="28">
        <f t="shared" si="330"/>
        <v>24.062345657330646</v>
      </c>
      <c r="AE925" s="28">
        <f t="shared" si="330"/>
        <v>24.115700527530912</v>
      </c>
      <c r="AF925" s="28">
        <f t="shared" si="330"/>
        <v>24.172761869098128</v>
      </c>
      <c r="AG925" s="28">
        <f t="shared" si="330"/>
        <v>24.227075926974639</v>
      </c>
      <c r="AH925" s="28">
        <f t="shared" si="330"/>
        <v>23.989644764887686</v>
      </c>
      <c r="AI925" s="28">
        <f t="shared" si="330"/>
        <v>24.021413119302785</v>
      </c>
      <c r="AJ925" s="28">
        <f t="shared" si="330"/>
        <v>24.056029984674726</v>
      </c>
      <c r="AK925" s="28">
        <f t="shared" si="330"/>
        <v>24.093379680603892</v>
      </c>
      <c r="AL925" s="28">
        <f t="shared" si="330"/>
        <v>24.133355499509896</v>
      </c>
      <c r="AM925" s="28">
        <f t="shared" si="330"/>
        <v>24.175858847500976</v>
      </c>
      <c r="AN925" s="28">
        <f t="shared" si="330"/>
        <v>24.194103342055165</v>
      </c>
      <c r="AO925" s="28">
        <f t="shared" si="330"/>
        <v>24.214624803645847</v>
      </c>
      <c r="AP925" s="28">
        <f t="shared" si="330"/>
        <v>24.23733739072566</v>
      </c>
      <c r="AQ925" s="28">
        <f t="shared" si="330"/>
        <v>24.26216115067923</v>
      </c>
      <c r="AR925" s="28">
        <f t="shared" si="330"/>
        <v>24.289021515301489</v>
      </c>
      <c r="AS925" s="28">
        <f t="shared" si="330"/>
        <v>24.291117159376356</v>
      </c>
      <c r="AT925" s="28">
        <f t="shared" si="330"/>
        <v>24.295076527113999</v>
      </c>
      <c r="AU925" s="28">
        <f t="shared" si="330"/>
        <v>24.300832686481954</v>
      </c>
      <c r="AV925" s="28">
        <f t="shared" si="330"/>
        <v>24.308322802279001</v>
      </c>
      <c r="AW925" s="28">
        <f t="shared" si="330"/>
        <v>24.317487818744329</v>
      </c>
      <c r="AY925" s="85"/>
      <c r="AZ925" s="85"/>
    </row>
    <row r="926" spans="1:52" x14ac:dyDescent="0.25">
      <c r="A926" s="102" t="str">
        <f t="shared" si="326"/>
        <v>DS Horses</v>
      </c>
      <c r="B926" s="102" t="s">
        <v>975</v>
      </c>
      <c r="C926" s="102" t="s">
        <v>3</v>
      </c>
      <c r="D926" t="s">
        <v>15</v>
      </c>
      <c r="E926" t="s">
        <v>16</v>
      </c>
      <c r="F926" t="s">
        <v>20</v>
      </c>
      <c r="G926" t="s">
        <v>3</v>
      </c>
      <c r="H926" t="s">
        <v>1021</v>
      </c>
      <c r="I926" t="s">
        <v>121</v>
      </c>
      <c r="J926" t="s">
        <v>286</v>
      </c>
      <c r="K926" s="28">
        <f t="shared" si="329"/>
        <v>5.5696427744330439</v>
      </c>
      <c r="L926" s="28">
        <f t="shared" si="330"/>
        <v>5.6022840873497932</v>
      </c>
      <c r="M926" s="28">
        <f t="shared" si="330"/>
        <v>5.6103260601490881</v>
      </c>
      <c r="N926" s="28">
        <f t="shared" si="330"/>
        <v>5.5857580588048208</v>
      </c>
      <c r="O926" s="28">
        <f t="shared" si="330"/>
        <v>5.559765331848693</v>
      </c>
      <c r="P926" s="28">
        <f t="shared" si="330"/>
        <v>5.5473985576087426</v>
      </c>
      <c r="Q926" s="28">
        <f t="shared" si="330"/>
        <v>5.5391504700870771</v>
      </c>
      <c r="R926" s="28">
        <f t="shared" si="330"/>
        <v>5.4993657963463365</v>
      </c>
      <c r="S926" s="28">
        <f t="shared" si="330"/>
        <v>5.1779141846798922</v>
      </c>
      <c r="T926" s="28">
        <f t="shared" si="330"/>
        <v>5.2234365031656678</v>
      </c>
      <c r="U926" s="28">
        <f t="shared" si="330"/>
        <v>5.2607139869862687</v>
      </c>
      <c r="V926" s="28">
        <f t="shared" si="330"/>
        <v>5.2972378917474705</v>
      </c>
      <c r="W926" s="28">
        <f t="shared" si="330"/>
        <v>5.3445893517249541</v>
      </c>
      <c r="X926" s="28">
        <f t="shared" si="330"/>
        <v>5.391074742094033</v>
      </c>
      <c r="Y926" s="28">
        <f t="shared" si="330"/>
        <v>5.4443279456237095</v>
      </c>
      <c r="Z926" s="28">
        <f t="shared" si="330"/>
        <v>5.4941146702747297</v>
      </c>
      <c r="AA926" s="28">
        <f t="shared" si="330"/>
        <v>5.5476702009922301</v>
      </c>
      <c r="AB926" s="28">
        <f t="shared" si="330"/>
        <v>5.5951924858009336</v>
      </c>
      <c r="AC926" s="28">
        <f t="shared" si="330"/>
        <v>5.6435970948645044</v>
      </c>
      <c r="AD926" s="28">
        <f t="shared" si="330"/>
        <v>5.7106381367284076</v>
      </c>
      <c r="AE926" s="28">
        <f t="shared" si="330"/>
        <v>5.7837954436426573</v>
      </c>
      <c r="AF926" s="28">
        <f t="shared" si="330"/>
        <v>5.8590224803991617</v>
      </c>
      <c r="AG926" s="28">
        <f t="shared" si="330"/>
        <v>5.8483213454344947</v>
      </c>
      <c r="AH926" s="28">
        <f t="shared" si="330"/>
        <v>1.7304204380446728</v>
      </c>
      <c r="AI926" s="28">
        <f t="shared" si="330"/>
        <v>1.7304204380446728</v>
      </c>
      <c r="AJ926" s="28">
        <f t="shared" si="330"/>
        <v>1.7304204380446728</v>
      </c>
      <c r="AK926" s="28">
        <f t="shared" si="330"/>
        <v>1.7304204380446728</v>
      </c>
      <c r="AL926" s="28">
        <f t="shared" si="330"/>
        <v>1.7304204380446728</v>
      </c>
      <c r="AM926" s="28">
        <f t="shared" si="330"/>
        <v>1.7304204380446728</v>
      </c>
      <c r="AN926" s="28">
        <f t="shared" si="330"/>
        <v>1.7304204380446728</v>
      </c>
      <c r="AO926" s="28">
        <f t="shared" si="330"/>
        <v>1.7304204380446728</v>
      </c>
      <c r="AP926" s="28">
        <f t="shared" si="330"/>
        <v>1.7304204380446728</v>
      </c>
      <c r="AQ926" s="28">
        <f t="shared" si="330"/>
        <v>1.7304204380446728</v>
      </c>
      <c r="AR926" s="28">
        <f t="shared" si="330"/>
        <v>1.7304204380446728</v>
      </c>
      <c r="AS926" s="28">
        <f t="shared" si="330"/>
        <v>1.7304204380446728</v>
      </c>
      <c r="AT926" s="28">
        <f t="shared" si="330"/>
        <v>1.7304204380446728</v>
      </c>
      <c r="AU926" s="28">
        <f t="shared" si="330"/>
        <v>1.7304204380446728</v>
      </c>
      <c r="AV926" s="28">
        <f t="shared" si="330"/>
        <v>1.7304204380446728</v>
      </c>
      <c r="AW926" s="28">
        <f t="shared" si="330"/>
        <v>1.7304204380446728</v>
      </c>
      <c r="AY926" s="85"/>
      <c r="AZ926" s="85"/>
    </row>
    <row r="927" spans="1:52" x14ac:dyDescent="0.25">
      <c r="A927" s="102" t="str">
        <f t="shared" si="326"/>
        <v>DS Mules&amp;Asses</v>
      </c>
      <c r="B927" s="102" t="s">
        <v>975</v>
      </c>
      <c r="C927" s="102" t="s">
        <v>1324</v>
      </c>
      <c r="D927" t="s">
        <v>15</v>
      </c>
      <c r="E927" t="s">
        <v>16</v>
      </c>
      <c r="F927" t="s">
        <v>140</v>
      </c>
      <c r="G927" t="s">
        <v>124</v>
      </c>
      <c r="H927" t="s">
        <v>1021</v>
      </c>
      <c r="I927" t="s">
        <v>121</v>
      </c>
      <c r="J927" t="s">
        <v>286</v>
      </c>
      <c r="K927" s="28">
        <f t="shared" si="329"/>
        <v>1.67</v>
      </c>
      <c r="L927" s="28">
        <f t="shared" si="330"/>
        <v>1.67</v>
      </c>
      <c r="M927" s="28">
        <f t="shared" si="330"/>
        <v>1.67</v>
      </c>
      <c r="N927" s="28">
        <f t="shared" si="330"/>
        <v>1.67</v>
      </c>
      <c r="O927" s="28">
        <f t="shared" si="330"/>
        <v>1.67</v>
      </c>
      <c r="P927" s="28">
        <f t="shared" si="330"/>
        <v>1.67</v>
      </c>
      <c r="Q927" s="28">
        <f t="shared" si="330"/>
        <v>1.67</v>
      </c>
      <c r="R927" s="28">
        <f t="shared" si="330"/>
        <v>1.67</v>
      </c>
      <c r="S927" s="28">
        <f t="shared" si="330"/>
        <v>1.67</v>
      </c>
      <c r="T927" s="28">
        <f t="shared" si="330"/>
        <v>1.67</v>
      </c>
      <c r="U927" s="28">
        <f t="shared" si="330"/>
        <v>1.67</v>
      </c>
      <c r="V927" s="28">
        <f t="shared" si="330"/>
        <v>1.67</v>
      </c>
      <c r="W927" s="28">
        <f t="shared" si="330"/>
        <v>1.67</v>
      </c>
      <c r="X927" s="28">
        <f t="shared" si="330"/>
        <v>1.67</v>
      </c>
      <c r="Y927" s="28">
        <f t="shared" si="330"/>
        <v>1.67</v>
      </c>
      <c r="Z927" s="28">
        <f t="shared" si="330"/>
        <v>1.67</v>
      </c>
      <c r="AA927" s="28">
        <f t="shared" si="330"/>
        <v>1.67</v>
      </c>
      <c r="AB927" s="28">
        <f t="shared" si="330"/>
        <v>1.67</v>
      </c>
      <c r="AC927" s="28">
        <f t="shared" si="330"/>
        <v>1.67</v>
      </c>
      <c r="AD927" s="28">
        <f t="shared" si="330"/>
        <v>1.67</v>
      </c>
      <c r="AE927" s="28">
        <f t="shared" si="330"/>
        <v>1.67</v>
      </c>
      <c r="AF927" s="28">
        <f t="shared" si="330"/>
        <v>1.67</v>
      </c>
      <c r="AG927" s="28">
        <f t="shared" si="330"/>
        <v>1.67</v>
      </c>
      <c r="AH927" s="28">
        <f t="shared" si="330"/>
        <v>1.67</v>
      </c>
      <c r="AI927" s="28">
        <f t="shared" si="330"/>
        <v>1.67</v>
      </c>
      <c r="AJ927" s="28">
        <f t="shared" si="330"/>
        <v>1.67</v>
      </c>
      <c r="AK927" s="28">
        <f t="shared" si="330"/>
        <v>1.67</v>
      </c>
      <c r="AL927" s="28">
        <f t="shared" si="330"/>
        <v>1.67</v>
      </c>
      <c r="AM927" s="28">
        <f t="shared" si="330"/>
        <v>1.67</v>
      </c>
      <c r="AN927" s="28">
        <f t="shared" si="330"/>
        <v>1.67</v>
      </c>
      <c r="AO927" s="28">
        <f t="shared" si="330"/>
        <v>1.67</v>
      </c>
      <c r="AP927" s="28">
        <f t="shared" si="330"/>
        <v>1.67</v>
      </c>
      <c r="AQ927" s="28">
        <f t="shared" si="330"/>
        <v>1.67</v>
      </c>
      <c r="AR927" s="28">
        <f t="shared" si="330"/>
        <v>1.67</v>
      </c>
      <c r="AS927" s="28">
        <f t="shared" si="330"/>
        <v>1.67</v>
      </c>
      <c r="AT927" s="28">
        <f t="shared" si="330"/>
        <v>1.67</v>
      </c>
      <c r="AU927" s="28">
        <f t="shared" si="330"/>
        <v>1.67</v>
      </c>
      <c r="AV927" s="28">
        <f t="shared" si="330"/>
        <v>1.67</v>
      </c>
      <c r="AW927" s="28">
        <f t="shared" si="330"/>
        <v>1.67</v>
      </c>
      <c r="AY927" s="85"/>
      <c r="AZ927" s="85"/>
    </row>
    <row r="928" spans="1:52" x14ac:dyDescent="0.25">
      <c r="A928" s="102" t="str">
        <f t="shared" si="326"/>
        <v>DS Swine</v>
      </c>
      <c r="B928" s="102" t="s">
        <v>975</v>
      </c>
      <c r="C928" s="102" t="s">
        <v>155</v>
      </c>
      <c r="D928" t="s">
        <v>15</v>
      </c>
      <c r="E928" t="s">
        <v>16</v>
      </c>
      <c r="F928" t="s">
        <v>21</v>
      </c>
      <c r="G928" t="s">
        <v>122</v>
      </c>
      <c r="H928" t="s">
        <v>1021</v>
      </c>
      <c r="I928" t="s">
        <v>121</v>
      </c>
      <c r="J928" t="s">
        <v>286</v>
      </c>
      <c r="K928" s="100">
        <f>IF('Net zero activities &amp; levers'!$C$12="Off",('Activity data'!AD17*EF!$H16)*kgtoGg,('Net zero Activity data'!AD17*EF!$H16)*kgtoGg)</f>
        <v>1.8541666894574054</v>
      </c>
      <c r="L928" s="100">
        <f>IF('Net zero activities &amp; levers'!$C$12="Off",('Activity data'!AE17*EF!$H16)*kgtoGg,('Net zero Activity data'!AE17*EF!$H16)*kgtoGg)</f>
        <v>1.8483142649538657</v>
      </c>
      <c r="M928" s="100">
        <f>IF('Net zero activities &amp; levers'!$C$12="Off",('Activity data'!AF17*EF!$H16)*kgtoGg,('Net zero Activity data'!AF17*EF!$H16)*kgtoGg)</f>
        <v>1.8289603412170248</v>
      </c>
      <c r="N928" s="100">
        <f>IF('Net zero activities &amp; levers'!$C$12="Off",('Activity data'!AG17*EF!$H16)*kgtoGg,('Net zero Activity data'!AG17*EF!$H16)*kgtoGg)</f>
        <v>1.7913821949145237</v>
      </c>
      <c r="O928" s="100">
        <f>IF('Net zero activities &amp; levers'!$C$12="Off",('Activity data'!AH17*EF!$H16)*kgtoGg,('Net zero Activity data'!AH17*EF!$H16)*kgtoGg)</f>
        <v>1.7554482253507835</v>
      </c>
      <c r="P928" s="100">
        <f>IF('Net zero activities &amp; levers'!$C$12="Off",('Activity data'!AI17*EF!$H16)*kgtoGg,('Net zero Activity data'!AI17*EF!$H16)*kgtoGg)</f>
        <v>1.7302400840947183</v>
      </c>
      <c r="Q928" s="100">
        <f>IF('Net zero activities &amp; levers'!$C$12="Off",('Activity data'!AJ17*EF!$H16)*kgtoGg,('Net zero Activity data'!AJ17*EF!$H16)*kgtoGg)</f>
        <v>1.708890891068684</v>
      </c>
      <c r="R928" s="100">
        <f>IF('Net zero activities &amp; levers'!$C$12="Off",('Activity data'!AK17*EF!$H16)*kgtoGg,('Net zero Activity data'!AK17*EF!$H16)*kgtoGg)</f>
        <v>1.6695786047731636</v>
      </c>
      <c r="S928" s="100">
        <f>IF('Net zero activities &amp; levers'!$C$12="Off",('Activity data'!AL17*EF!$H16)*kgtoGg,('Net zero Activity data'!AL17*EF!$H16)*kgtoGg)</f>
        <v>1.4615896404106821</v>
      </c>
      <c r="T928" s="100">
        <f>IF('Net zero activities &amp; levers'!$C$12="Off",('Activity data'!AM17*EF!$H16)*kgtoGg,('Net zero Activity data'!AM17*EF!$H16)*kgtoGg)</f>
        <v>1.4708774478581006</v>
      </c>
      <c r="U928" s="100">
        <f>IF('Net zero activities &amp; levers'!$C$12="Off",('Activity data'!AN17*EF!$H16)*kgtoGg,('Net zero Activity data'!AN17*EF!$H16)*kgtoGg)</f>
        <v>1.475539546686083</v>
      </c>
      <c r="V928" s="100">
        <f>IF('Net zero activities &amp; levers'!$C$12="Off",('Activity data'!AO17*EF!$H16)*kgtoGg,('Net zero Activity data'!AO17*EF!$H16)*kgtoGg)</f>
        <v>1.4800720193256183</v>
      </c>
      <c r="W928" s="100">
        <f>IF('Net zero activities &amp; levers'!$C$12="Off",('Activity data'!AP17*EF!$H16)*kgtoGg,('Net zero Activity data'!AP17*EF!$H16)*kgtoGg)</f>
        <v>1.4911430483593251</v>
      </c>
      <c r="X928" s="100">
        <f>IF('Net zero activities &amp; levers'!$C$12="Off",('Activity data'!AQ17*EF!$H16)*kgtoGg,('Net zero Activity data'!AQ17*EF!$H16)*kgtoGg)</f>
        <v>1.5018418879535562</v>
      </c>
      <c r="Y928" s="100">
        <f>IF('Net zero activities &amp; levers'!$C$12="Off",('Activity data'!AR17*EF!$H16)*kgtoGg,('Net zero Activity data'!AR17*EF!$H16)*kgtoGg)</f>
        <v>1.5141161979930053</v>
      </c>
      <c r="Z928" s="100">
        <f>IF('Net zero activities &amp; levers'!$C$12="Off",('Activity data'!AS17*EF!$H16)*kgtoGg,('Net zero Activity data'!AS17*EF!$H16)*kgtoGg)</f>
        <v>1.5244186206157291</v>
      </c>
      <c r="AA928" s="100">
        <f>IF('Net zero activities &amp; levers'!$C$12="Off",('Activity data'!AT17*EF!$H16)*kgtoGg,('Net zero Activity data'!AT17*EF!$H16)*kgtoGg)</f>
        <v>1.5367997357970316</v>
      </c>
      <c r="AB928" s="100">
        <f>IF('Net zero activities &amp; levers'!$C$12="Off",('Activity data'!AU17*EF!$H16)*kgtoGg,('Net zero Activity data'!AU17*EF!$H16)*kgtoGg)</f>
        <v>1.5458124762264192</v>
      </c>
      <c r="AC928" s="100">
        <f>IF('Net zero activities &amp; levers'!$C$12="Off",('Activity data'!AV17*EF!$H16)*kgtoGg,('Net zero Activity data'!AV17*EF!$H16)*kgtoGg)</f>
        <v>1.5552930899763542</v>
      </c>
      <c r="AD928" s="100">
        <f>IF('Net zero activities &amp; levers'!$C$12="Off",('Activity data'!AW17*EF!$H16)*kgtoGg,('Net zero Activity data'!AW17*EF!$H16)*kgtoGg)</f>
        <v>1.5727795493180676</v>
      </c>
      <c r="AE928" s="100">
        <f>IF('Net zero activities &amp; levers'!$C$12="Off",('Activity data'!AX17*EF!$H16)*kgtoGg,('Net zero Activity data'!AX17*EF!$H16)*kgtoGg)</f>
        <v>1.5932065886725237</v>
      </c>
      <c r="AF928" s="100">
        <f>IF('Net zero activities &amp; levers'!$C$12="Off",('Activity data'!AY17*EF!$H16)*kgtoGg,('Net zero Activity data'!AY17*EF!$H16)*kgtoGg)</f>
        <v>1.61434489246593</v>
      </c>
      <c r="AG928" s="100">
        <f>IF('Net zero activities &amp; levers'!$C$12="Off",('Activity data'!AZ17*EF!$H16)*kgtoGg,('Net zero Activity data'!AZ17*EF!$H16)*kgtoGg)</f>
        <v>1.5905873244414643</v>
      </c>
      <c r="AH928" s="100">
        <f>IF('Net zero activities &amp; levers'!$C$12="Off",('Activity data'!BA17*EF!$H16)*kgtoGg,('Net zero Activity data'!BA17*EF!$H16)*kgtoGg)</f>
        <v>-0.53667602659003</v>
      </c>
      <c r="AI928" s="100">
        <f>IF('Net zero activities &amp; levers'!$C$12="Off",('Activity data'!BB17*EF!$H16)*kgtoGg,('Net zero Activity data'!BB17*EF!$H16)*kgtoGg)</f>
        <v>-0.53080565769123822</v>
      </c>
      <c r="AJ928" s="100">
        <f>IF('Net zero activities &amp; levers'!$C$12="Off",('Activity data'!BC17*EF!$H16)*kgtoGg,('Net zero Activity data'!BC17*EF!$H16)*kgtoGg)</f>
        <v>-0.52506102374348274</v>
      </c>
      <c r="AK928" s="100">
        <f>IF('Net zero activities &amp; levers'!$C$12="Off",('Activity data'!BD17*EF!$H16)*kgtoGg,('Net zero Activity data'!BD17*EF!$H16)*kgtoGg)</f>
        <v>-0.51943389932430173</v>
      </c>
      <c r="AL928" s="100">
        <f>IF('Net zero activities &amp; levers'!$C$12="Off",('Activity data'!BE17*EF!$H16)*kgtoGg,('Net zero Activity data'!BE17*EF!$H16)*kgtoGg)</f>
        <v>-0.51391666127760161</v>
      </c>
      <c r="AM928" s="100">
        <f>IF('Net zero activities &amp; levers'!$C$12="Off",('Activity data'!BF17*EF!$H16)*kgtoGg,('Net zero Activity data'!BF17*EF!$H16)*kgtoGg)</f>
        <v>-0.50850223047100296</v>
      </c>
      <c r="AN928" s="100">
        <f>IF('Net zero activities &amp; levers'!$C$12="Off",('Activity data'!BG17*EF!$H16)*kgtoGg,('Net zero Activity data'!BG17*EF!$H16)*kgtoGg)</f>
        <v>-0.50256367866010732</v>
      </c>
      <c r="AO928" s="100">
        <f>IF('Net zero activities &amp; levers'!$C$12="Off",('Activity data'!BH17*EF!$H16)*kgtoGg,('Net zero Activity data'!BH17*EF!$H16)*kgtoGg)</f>
        <v>-0.496729831902604</v>
      </c>
      <c r="AP928" s="100">
        <f>IF('Net zero activities &amp; levers'!$C$12="Off",('Activity data'!BI17*EF!$H16)*kgtoGg,('Net zero Activity data'!BI17*EF!$H16)*kgtoGg)</f>
        <v>-0.49099457494449417</v>
      </c>
      <c r="AQ928" s="100">
        <f>IF('Net zero activities &amp; levers'!$C$12="Off",('Activity data'!BJ17*EF!$H16)*kgtoGg,('Net zero Activity data'!BJ17*EF!$H16)*kgtoGg)</f>
        <v>-0.48535219196665164</v>
      </c>
      <c r="AR928" s="100">
        <f>IF('Net zero activities &amp; levers'!$C$12="Off",('Activity data'!BK17*EF!$H16)*kgtoGg,('Net zero Activity data'!BK17*EF!$H16)*kgtoGg)</f>
        <v>-0.47979733207264019</v>
      </c>
      <c r="AS928" s="100">
        <f>IF('Net zero activities &amp; levers'!$C$12="Off",('Activity data'!BL17*EF!$H16)*kgtoGg,('Net zero Activity data'!BL17*EF!$H16)*kgtoGg)</f>
        <v>-0.47374377836093629</v>
      </c>
      <c r="AT928" s="100">
        <f>IF('Net zero activities &amp; levers'!$C$12="Off",('Activity data'!BM17*EF!$H16)*kgtoGg,('Net zero Activity data'!BM17*EF!$H16)*kgtoGg)</f>
        <v>-0.46778268442640875</v>
      </c>
      <c r="AU928" s="100">
        <f>IF('Net zero activities &amp; levers'!$C$12="Off",('Activity data'!BN17*EF!$H16)*kgtoGg,('Net zero Activity data'!BN17*EF!$H16)*kgtoGg)</f>
        <v>-0.46190929102584166</v>
      </c>
      <c r="AV928" s="100">
        <f>IF('Net zero activities &amp; levers'!$C$12="Off",('Activity data'!BO17*EF!$H16)*kgtoGg,('Net zero Activity data'!BO17*EF!$H16)*kgtoGg)</f>
        <v>-0.45611912010876249</v>
      </c>
      <c r="AW928" s="100">
        <f>IF('Net zero activities &amp; levers'!$C$12="Off",('Activity data'!BP17*EF!$H16)*kgtoGg,('Net zero Activity data'!BP17*EF!$H16)*kgtoGg)</f>
        <v>-0.45040795289365548</v>
      </c>
      <c r="AY928" s="85"/>
      <c r="AZ928" s="85"/>
    </row>
    <row r="929" spans="1:52" x14ac:dyDescent="0.25">
      <c r="A929" s="102" t="str">
        <f t="shared" si="326"/>
        <v>DS Swine</v>
      </c>
      <c r="B929" s="102" t="s">
        <v>975</v>
      </c>
      <c r="C929" s="102" t="s">
        <v>155</v>
      </c>
      <c r="D929" t="s">
        <v>15</v>
      </c>
      <c r="E929" t="s">
        <v>16</v>
      </c>
      <c r="F929" t="s">
        <v>21</v>
      </c>
      <c r="G929" t="s">
        <v>123</v>
      </c>
      <c r="H929" t="s">
        <v>1021</v>
      </c>
      <c r="I929" t="s">
        <v>121</v>
      </c>
      <c r="J929" t="s">
        <v>286</v>
      </c>
      <c r="K929" s="100">
        <f>IF('Net zero activities &amp; levers'!$C$12="Off",('Activity data'!AD18*EF!$H17)*kgtoGg,('Net zero Activity data'!AD18*EF!$H17)*kgtoGg)</f>
        <v>0.2569163489011142</v>
      </c>
      <c r="L929" s="100">
        <f>IF('Net zero activities &amp; levers'!$C$12="Off",('Activity data'!AE18*EF!$H17)*kgtoGg,('Net zero Activity data'!AE18*EF!$H17)*kgtoGg)</f>
        <v>0.25610542745364245</v>
      </c>
      <c r="M929" s="100">
        <f>IF('Net zero activities &amp; levers'!$C$12="Off",('Activity data'!AF18*EF!$H17)*kgtoGg,('Net zero Activity data'!AF18*EF!$H17)*kgtoGg)</f>
        <v>0.25342371633691707</v>
      </c>
      <c r="N929" s="100">
        <f>IF('Net zero activities &amp; levers'!$C$12="Off",('Activity data'!AG18*EF!$H17)*kgtoGg,('Net zero Activity data'!AG18*EF!$H17)*kgtoGg)</f>
        <v>0.2482168273331373</v>
      </c>
      <c r="O929" s="100">
        <f>IF('Net zero activities &amp; levers'!$C$12="Off",('Activity data'!AH18*EF!$H17)*kgtoGg,('Net zero Activity data'!AH18*EF!$H17)*kgtoGg)</f>
        <v>0.24323775812952569</v>
      </c>
      <c r="P929" s="100">
        <f>IF('Net zero activities &amp; levers'!$C$12="Off",('Activity data'!AI18*EF!$H17)*kgtoGg,('Net zero Activity data'!AI18*EF!$H17)*kgtoGg)</f>
        <v>0.23974487712216219</v>
      </c>
      <c r="Q929" s="100">
        <f>IF('Net zero activities &amp; levers'!$C$12="Off",('Activity data'!AJ18*EF!$H17)*kgtoGg,('Net zero Activity data'!AJ18*EF!$H17)*kgtoGg)</f>
        <v>0.23678669825107104</v>
      </c>
      <c r="R929" s="100">
        <f>IF('Net zero activities &amp; levers'!$C$12="Off",('Activity data'!AK18*EF!$H17)*kgtoGg,('Net zero Activity data'!AK18*EF!$H17)*kgtoGg)</f>
        <v>0.23133952399245247</v>
      </c>
      <c r="S929" s="100">
        <f>IF('Net zero activities &amp; levers'!$C$12="Off",('Activity data'!AL18*EF!$H17)*kgtoGg,('Net zero Activity data'!AL18*EF!$H17)*kgtoGg)</f>
        <v>0.20252023517685527</v>
      </c>
      <c r="T929" s="100">
        <f>IF('Net zero activities &amp; levers'!$C$12="Off",('Activity data'!AM18*EF!$H17)*kgtoGg,('Net zero Activity data'!AM18*EF!$H17)*kgtoGg)</f>
        <v>0.20380716886639622</v>
      </c>
      <c r="U929" s="100">
        <f>IF('Net zero activities &amp; levers'!$C$12="Off",('Activity data'!AN18*EF!$H17)*kgtoGg,('Net zero Activity data'!AN18*EF!$H17)*kgtoGg)</f>
        <v>0.20445315685437584</v>
      </c>
      <c r="V929" s="100">
        <f>IF('Net zero activities &amp; levers'!$C$12="Off",('Activity data'!AO18*EF!$H17)*kgtoGg,('Net zero Activity data'!AO18*EF!$H17)*kgtoGg)</f>
        <v>0.20508118362708436</v>
      </c>
      <c r="W929" s="100">
        <f>IF('Net zero activities &amp; levers'!$C$12="Off",('Activity data'!AP18*EF!$H17)*kgtoGg,('Net zero Activity data'!AP18*EF!$H17)*kgtoGg)</f>
        <v>0.20661520339676887</v>
      </c>
      <c r="X929" s="100">
        <f>IF('Net zero activities &amp; levers'!$C$12="Off",('Activity data'!AQ18*EF!$H17)*kgtoGg,('Net zero Activity data'!AQ18*EF!$H17)*kgtoGg)</f>
        <v>0.20809765199303451</v>
      </c>
      <c r="Y929" s="100">
        <f>IF('Net zero activities &amp; levers'!$C$12="Off",('Activity data'!AR18*EF!$H17)*kgtoGg,('Net zero Activity data'!AR18*EF!$H17)*kgtoGg)</f>
        <v>0.20979840033380981</v>
      </c>
      <c r="Z929" s="100">
        <f>IF('Net zero activities &amp; levers'!$C$12="Off",('Activity data'!AS18*EF!$H17)*kgtoGg,('Net zero Activity data'!AS18*EF!$H17)*kgtoGg)</f>
        <v>0.21122592075045635</v>
      </c>
      <c r="AA929" s="100">
        <f>IF('Net zero activities &amp; levers'!$C$12="Off",('Activity data'!AT18*EF!$H17)*kgtoGg,('Net zero Activity data'!AT18*EF!$H17)*kgtoGg)</f>
        <v>0.21294146818521006</v>
      </c>
      <c r="AB929" s="100">
        <f>IF('Net zero activities &amp; levers'!$C$12="Off",('Activity data'!AU18*EF!$H17)*kgtoGg,('Net zero Activity data'!AU18*EF!$H17)*kgtoGg)</f>
        <v>0.21419028814183935</v>
      </c>
      <c r="AC929" s="100">
        <f>IF('Net zero activities &amp; levers'!$C$12="Off",('Activity data'!AV18*EF!$H17)*kgtoGg,('Net zero Activity data'!AV18*EF!$H17)*kgtoGg)</f>
        <v>0.21550393738590373</v>
      </c>
      <c r="AD929" s="100">
        <f>IF('Net zero activities &amp; levers'!$C$12="Off",('Activity data'!AW18*EF!$H17)*kgtoGg,('Net zero Activity data'!AW18*EF!$H17)*kgtoGg)</f>
        <v>0.21792688960202594</v>
      </c>
      <c r="AE929" s="100">
        <f>IF('Net zero activities &amp; levers'!$C$12="Off",('Activity data'!AX18*EF!$H17)*kgtoGg,('Net zero Activity data'!AX18*EF!$H17)*kgtoGg)</f>
        <v>0.22075729336218733</v>
      </c>
      <c r="AF929" s="100">
        <f>IF('Net zero activities &amp; levers'!$C$12="Off",('Activity data'!AY18*EF!$H17)*kgtoGg,('Net zero Activity data'!AY18*EF!$H17)*kgtoGg)</f>
        <v>0.22368625107857998</v>
      </c>
      <c r="AG929" s="100">
        <f>IF('Net zero activities &amp; levers'!$C$12="Off",('Activity data'!AZ18*EF!$H17)*kgtoGg,('Net zero Activity data'!AZ18*EF!$H17)*kgtoGg)</f>
        <v>0.22039436385489045</v>
      </c>
      <c r="AH929" s="100">
        <f>IF('Net zero activities &amp; levers'!$C$12="Off",('Activity data'!BA18*EF!$H17)*kgtoGg,('Net zero Activity data'!BA18*EF!$H17)*kgtoGg)</f>
        <v>-7.4362702166015399E-2</v>
      </c>
      <c r="AI929" s="100">
        <f>IF('Net zero activities &amp; levers'!$C$12="Off",('Activity data'!BB18*EF!$H17)*kgtoGg,('Net zero Activity data'!BB18*EF!$H17)*kgtoGg)</f>
        <v>-7.3549294313983729E-2</v>
      </c>
      <c r="AJ929" s="100">
        <f>IF('Net zero activities &amp; levers'!$C$12="Off",('Activity data'!BC18*EF!$H17)*kgtoGg,('Net zero Activity data'!BC18*EF!$H17)*kgtoGg)</f>
        <v>-7.2753308501045513E-2</v>
      </c>
      <c r="AK929" s="100">
        <f>IF('Net zero activities &amp; levers'!$C$12="Off",('Activity data'!BD18*EF!$H17)*kgtoGg,('Net zero Activity data'!BD18*EF!$H17)*kgtoGg)</f>
        <v>-7.1973604999300819E-2</v>
      </c>
      <c r="AL929" s="100">
        <f>IF('Net zero activities &amp; levers'!$C$12="Off",('Activity data'!BE18*EF!$H17)*kgtoGg,('Net zero Activity data'!BE18*EF!$H17)*kgtoGg)</f>
        <v>-7.1209127531856237E-2</v>
      </c>
      <c r="AM929" s="100">
        <f>IF('Net zero activities &amp; levers'!$C$12="Off",('Activity data'!BF18*EF!$H17)*kgtoGg,('Net zero Activity data'!BF18*EF!$H17)*kgtoGg)</f>
        <v>-7.0458895202628005E-2</v>
      </c>
      <c r="AN929" s="100">
        <f>IF('Net zero activities &amp; levers'!$C$12="Off",('Activity data'!BG18*EF!$H17)*kgtoGg,('Net zero Activity data'!BG18*EF!$H17)*kgtoGg)</f>
        <v>-6.9636039815520426E-2</v>
      </c>
      <c r="AO929" s="100">
        <f>IF('Net zero activities &amp; levers'!$C$12="Off",('Activity data'!BH18*EF!$H17)*kgtoGg,('Net zero Activity data'!BH18*EF!$H17)*kgtoGg)</f>
        <v>-6.8827692530722115E-2</v>
      </c>
      <c r="AP929" s="100">
        <f>IF('Net zero activities &amp; levers'!$C$12="Off",('Activity data'!BI18*EF!$H17)*kgtoGg,('Net zero Activity data'!BI18*EF!$H17)*kgtoGg)</f>
        <v>-6.8033006008703711E-2</v>
      </c>
      <c r="AQ929" s="100">
        <f>IF('Net zero activities &amp; levers'!$C$12="Off",('Activity data'!BJ18*EF!$H17)*kgtoGg,('Net zero Activity data'!BJ18*EF!$H17)*kgtoGg)</f>
        <v>-6.7251188256280764E-2</v>
      </c>
      <c r="AR929" s="100">
        <f>IF('Net zero activities &amp; levers'!$C$12="Off",('Activity data'!BK18*EF!$H17)*kgtoGg,('Net zero Activity data'!BK18*EF!$H17)*kgtoGg)</f>
        <v>-6.6481497844549611E-2</v>
      </c>
      <c r="AS929" s="100">
        <f>IF('Net zero activities &amp; levers'!$C$12="Off",('Activity data'!BL18*EF!$H17)*kgtoGg,('Net zero Activity data'!BL18*EF!$H17)*kgtoGg)</f>
        <v>-6.5642707607225875E-2</v>
      </c>
      <c r="AT929" s="100">
        <f>IF('Net zero activities &amp; levers'!$C$12="Off",('Activity data'!BM18*EF!$H17)*kgtoGg,('Net zero Activity data'!BM18*EF!$H17)*kgtoGg)</f>
        <v>-6.4816728746844354E-2</v>
      </c>
      <c r="AU929" s="100">
        <f>IF('Net zero activities &amp; levers'!$C$12="Off",('Activity data'!BN18*EF!$H17)*kgtoGg,('Net zero Activity data'!BN18*EF!$H17)*kgtoGg)</f>
        <v>-6.4002901814932872E-2</v>
      </c>
      <c r="AV929" s="100">
        <f>IF('Net zero activities &amp; levers'!$C$12="Off",('Activity data'!BO18*EF!$H17)*kgtoGg,('Net zero Activity data'!BO18*EF!$H17)*kgtoGg)</f>
        <v>-6.3200606325542585E-2</v>
      </c>
      <c r="AW929" s="100">
        <f>IF('Net zero activities &amp; levers'!$C$12="Off",('Activity data'!BP18*EF!$H17)*kgtoGg,('Net zero Activity data'!BP18*EF!$H17)*kgtoGg)</f>
        <v>-6.2409257717452565E-2</v>
      </c>
      <c r="AY929" s="85"/>
      <c r="AZ929" s="85"/>
    </row>
    <row r="930" spans="1:52" x14ac:dyDescent="0.25">
      <c r="A930" s="102" t="str">
        <f t="shared" si="326"/>
        <v>DS Cattle MMCH4</v>
      </c>
      <c r="B930" s="102" t="s">
        <v>975</v>
      </c>
      <c r="C930" s="102" t="s">
        <v>1230</v>
      </c>
      <c r="D930" t="s">
        <v>15</v>
      </c>
      <c r="E930" t="s">
        <v>22</v>
      </c>
      <c r="F930" t="s">
        <v>6</v>
      </c>
      <c r="G930" t="s">
        <v>136</v>
      </c>
      <c r="H930" t="s">
        <v>1228</v>
      </c>
      <c r="I930" t="s">
        <v>121</v>
      </c>
      <c r="J930" t="s">
        <v>286</v>
      </c>
      <c r="K930" s="28">
        <f t="shared" ref="K930:Z932" si="331">K1393</f>
        <v>7.3646534170257834</v>
      </c>
      <c r="L930" s="28">
        <f t="shared" si="331"/>
        <v>7.4104628035653102</v>
      </c>
      <c r="M930" s="28">
        <f t="shared" si="331"/>
        <v>7.4419573878579355</v>
      </c>
      <c r="N930" s="28">
        <f t="shared" si="331"/>
        <v>7.4518345531057086</v>
      </c>
      <c r="O930" s="28">
        <f t="shared" si="331"/>
        <v>7.4651968838323191</v>
      </c>
      <c r="P930" s="28">
        <f t="shared" si="331"/>
        <v>7.494465464758667</v>
      </c>
      <c r="Q930" s="28">
        <f t="shared" si="331"/>
        <v>7.5295555244972592</v>
      </c>
      <c r="R930" s="28">
        <f t="shared" si="331"/>
        <v>7.5400969444741763</v>
      </c>
      <c r="S930" s="28">
        <f t="shared" si="331"/>
        <v>7.3086176618997394</v>
      </c>
      <c r="T930" s="28">
        <f t="shared" si="331"/>
        <v>7.3688162835395774</v>
      </c>
      <c r="U930" s="28">
        <f t="shared" si="331"/>
        <v>7.4240167099951169</v>
      </c>
      <c r="V930" s="28">
        <f t="shared" si="331"/>
        <v>7.4806155410688238</v>
      </c>
      <c r="W930" s="28">
        <f t="shared" si="331"/>
        <v>7.5487965323768202</v>
      </c>
      <c r="X930" s="28">
        <f t="shared" si="331"/>
        <v>7.6182568990068642</v>
      </c>
      <c r="Y930" s="28">
        <f t="shared" si="331"/>
        <v>7.6858917367195918</v>
      </c>
      <c r="Z930" s="28">
        <f t="shared" si="331"/>
        <v>7.7521734876275126</v>
      </c>
      <c r="AA930" s="28">
        <f t="shared" ref="L930:AW932" si="332">AA1393</f>
        <v>7.8235662027619757</v>
      </c>
      <c r="AB930" s="28">
        <f t="shared" si="332"/>
        <v>7.8911737006481246</v>
      </c>
      <c r="AC930" s="28">
        <f t="shared" si="332"/>
        <v>7.961206232365277</v>
      </c>
      <c r="AD930" s="28">
        <f t="shared" si="332"/>
        <v>8.0416672207979634</v>
      </c>
      <c r="AE930" s="28">
        <f t="shared" si="332"/>
        <v>8.1292976952055653</v>
      </c>
      <c r="AF930" s="28">
        <f t="shared" si="332"/>
        <v>8.2204064265450114</v>
      </c>
      <c r="AG930" s="28">
        <f t="shared" si="332"/>
        <v>8.2331329239754218</v>
      </c>
      <c r="AH930" s="28">
        <f t="shared" si="332"/>
        <v>4.4079390411250321</v>
      </c>
      <c r="AI930" s="28">
        <f t="shared" si="332"/>
        <v>4.4111810533822107</v>
      </c>
      <c r="AJ930" s="28">
        <f t="shared" si="332"/>
        <v>4.4148489430980264</v>
      </c>
      <c r="AK930" s="28">
        <f t="shared" si="332"/>
        <v>4.4189265228241794</v>
      </c>
      <c r="AL930" s="28">
        <f t="shared" si="332"/>
        <v>4.4233988518058229</v>
      </c>
      <c r="AM930" s="28">
        <f t="shared" si="332"/>
        <v>4.4282521178160774</v>
      </c>
      <c r="AN930" s="28">
        <f t="shared" si="332"/>
        <v>4.4303415938400539</v>
      </c>
      <c r="AO930" s="28">
        <f t="shared" si="332"/>
        <v>4.432766537435862</v>
      </c>
      <c r="AP930" s="28">
        <f t="shared" si="332"/>
        <v>4.4355152317525279</v>
      </c>
      <c r="AQ930" s="28">
        <f t="shared" si="332"/>
        <v>4.4385767594592709</v>
      </c>
      <c r="AR930" s="28">
        <f t="shared" si="332"/>
        <v>4.4419409348998142</v>
      </c>
      <c r="AS930" s="28">
        <f t="shared" si="332"/>
        <v>4.4424325568083702</v>
      </c>
      <c r="AT930" s="28">
        <f t="shared" si="332"/>
        <v>4.4431924834311589</v>
      </c>
      <c r="AU930" s="28">
        <f t="shared" si="332"/>
        <v>4.4442118217610558</v>
      </c>
      <c r="AV930" s="28">
        <f t="shared" si="332"/>
        <v>4.4454822205450464</v>
      </c>
      <c r="AW930" s="28">
        <f t="shared" si="332"/>
        <v>4.4469958286673741</v>
      </c>
      <c r="AY930" s="85"/>
      <c r="AZ930" s="85"/>
    </row>
    <row r="931" spans="1:52" x14ac:dyDescent="0.25">
      <c r="A931" s="102" t="str">
        <f t="shared" si="326"/>
        <v>DS Cattle MMCH4</v>
      </c>
      <c r="B931" s="102" t="s">
        <v>975</v>
      </c>
      <c r="C931" s="102" t="s">
        <v>1230</v>
      </c>
      <c r="D931" t="s">
        <v>15</v>
      </c>
      <c r="E931" t="s">
        <v>22</v>
      </c>
      <c r="F931" t="s">
        <v>6</v>
      </c>
      <c r="G931" t="s">
        <v>137</v>
      </c>
      <c r="H931" t="s">
        <v>1228</v>
      </c>
      <c r="I931" t="s">
        <v>121</v>
      </c>
      <c r="J931" t="s">
        <v>286</v>
      </c>
      <c r="K931" s="28">
        <f t="shared" si="331"/>
        <v>2.0982448441600319</v>
      </c>
      <c r="L931" s="28">
        <f t="shared" si="332"/>
        <v>2.1112962810271738</v>
      </c>
      <c r="M931" s="28">
        <f t="shared" si="332"/>
        <v>2.1202693236632593</v>
      </c>
      <c r="N931" s="28">
        <f t="shared" si="332"/>
        <v>2.1230834019209199</v>
      </c>
      <c r="O931" s="28">
        <f t="shared" si="332"/>
        <v>2.1268904298916125</v>
      </c>
      <c r="P931" s="28">
        <f t="shared" si="332"/>
        <v>2.1352292675187319</v>
      </c>
      <c r="Q931" s="28">
        <f t="shared" si="332"/>
        <v>2.1452266880025732</v>
      </c>
      <c r="R931" s="28">
        <f t="shared" si="332"/>
        <v>2.1482300174010156</v>
      </c>
      <c r="S931" s="28">
        <f t="shared" si="332"/>
        <v>2.0822798383920729</v>
      </c>
      <c r="T931" s="28">
        <f t="shared" si="332"/>
        <v>2.099430875966946</v>
      </c>
      <c r="U931" s="28">
        <f t="shared" si="332"/>
        <v>2.1151578903486419</v>
      </c>
      <c r="V931" s="28">
        <f t="shared" si="332"/>
        <v>2.1312833206657489</v>
      </c>
      <c r="W931" s="28">
        <f t="shared" si="332"/>
        <v>2.1507085950650837</v>
      </c>
      <c r="X931" s="28">
        <f t="shared" si="332"/>
        <v>2.1704983730630572</v>
      </c>
      <c r="Y931" s="28">
        <f t="shared" si="332"/>
        <v>2.1897680442180159</v>
      </c>
      <c r="Z931" s="28">
        <f t="shared" si="332"/>
        <v>2.2086522108215552</v>
      </c>
      <c r="AA931" s="28">
        <f t="shared" si="332"/>
        <v>2.2289925293618906</v>
      </c>
      <c r="AB931" s="28">
        <f t="shared" si="332"/>
        <v>2.2482544111957634</v>
      </c>
      <c r="AC931" s="28">
        <f t="shared" si="332"/>
        <v>2.2682072033066958</v>
      </c>
      <c r="AD931" s="28">
        <f t="shared" si="332"/>
        <v>2.2911311407379684</v>
      </c>
      <c r="AE931" s="28">
        <f t="shared" si="332"/>
        <v>2.3160977183493427</v>
      </c>
      <c r="AF931" s="28">
        <f t="shared" si="332"/>
        <v>2.3420552773770367</v>
      </c>
      <c r="AG931" s="28">
        <f t="shared" si="332"/>
        <v>2.3456811516857772</v>
      </c>
      <c r="AH931" s="28">
        <f t="shared" si="332"/>
        <v>1.2558548030285308</v>
      </c>
      <c r="AI931" s="28">
        <f t="shared" si="332"/>
        <v>1.2567784765699908</v>
      </c>
      <c r="AJ931" s="28">
        <f t="shared" si="332"/>
        <v>1.2578234857848665</v>
      </c>
      <c r="AK931" s="28">
        <f t="shared" si="332"/>
        <v>1.2589852187480597</v>
      </c>
      <c r="AL931" s="28">
        <f t="shared" si="332"/>
        <v>1.2602594187267613</v>
      </c>
      <c r="AM931" s="28">
        <f t="shared" si="332"/>
        <v>1.2616421505142221</v>
      </c>
      <c r="AN931" s="28">
        <f t="shared" si="332"/>
        <v>1.2622374578621782</v>
      </c>
      <c r="AO931" s="28">
        <f t="shared" si="332"/>
        <v>1.2629283424305575</v>
      </c>
      <c r="AP931" s="28">
        <f t="shared" si="332"/>
        <v>1.2637114660008781</v>
      </c>
      <c r="AQ931" s="28">
        <f t="shared" si="332"/>
        <v>1.2645837181439423</v>
      </c>
      <c r="AR931" s="28">
        <f t="shared" si="332"/>
        <v>1.2655421968900908</v>
      </c>
      <c r="AS931" s="28">
        <f t="shared" si="332"/>
        <v>1.2656822636490397</v>
      </c>
      <c r="AT931" s="28">
        <f t="shared" si="332"/>
        <v>1.2658987724279214</v>
      </c>
      <c r="AU931" s="28">
        <f t="shared" si="332"/>
        <v>1.2661891895424888</v>
      </c>
      <c r="AV931" s="28">
        <f t="shared" si="332"/>
        <v>1.2665511356582928</v>
      </c>
      <c r="AW931" s="28">
        <f t="shared" si="332"/>
        <v>1.2669823739337303</v>
      </c>
      <c r="AY931" s="85"/>
      <c r="AZ931" s="85"/>
    </row>
    <row r="932" spans="1:52" x14ac:dyDescent="0.25">
      <c r="A932" s="102" t="str">
        <f t="shared" si="326"/>
        <v>DS Cattle MMCH4</v>
      </c>
      <c r="B932" s="102" t="s">
        <v>975</v>
      </c>
      <c r="C932" s="102" t="s">
        <v>1230</v>
      </c>
      <c r="D932" t="s">
        <v>15</v>
      </c>
      <c r="E932" t="s">
        <v>22</v>
      </c>
      <c r="F932" t="s">
        <v>67</v>
      </c>
      <c r="G932" t="s">
        <v>307</v>
      </c>
      <c r="H932" t="s">
        <v>1228</v>
      </c>
      <c r="I932" t="s">
        <v>121</v>
      </c>
      <c r="J932" t="s">
        <v>286</v>
      </c>
      <c r="K932" s="28">
        <f t="shared" si="331"/>
        <v>0.43336774046245513</v>
      </c>
      <c r="L932" s="28">
        <f t="shared" si="332"/>
        <v>0.43606336090953701</v>
      </c>
      <c r="M932" s="28">
        <f t="shared" si="332"/>
        <v>0.43791663710039563</v>
      </c>
      <c r="N932" s="28">
        <f t="shared" si="332"/>
        <v>0.43849785179485851</v>
      </c>
      <c r="O932" s="28">
        <f t="shared" si="332"/>
        <v>0.43928414854860887</v>
      </c>
      <c r="P932" s="28">
        <f t="shared" si="332"/>
        <v>0.44100643717026611</v>
      </c>
      <c r="Q932" s="28">
        <f t="shared" si="332"/>
        <v>0.44307128653119471</v>
      </c>
      <c r="R932" s="28">
        <f t="shared" si="332"/>
        <v>0.44369158881807513</v>
      </c>
      <c r="S932" s="28">
        <f t="shared" si="332"/>
        <v>0.43007035670126681</v>
      </c>
      <c r="T932" s="28">
        <f t="shared" si="332"/>
        <v>0.43361270135236735</v>
      </c>
      <c r="U932" s="28">
        <f t="shared" si="332"/>
        <v>0.43686093079793747</v>
      </c>
      <c r="V932" s="28">
        <f t="shared" si="332"/>
        <v>0.44019144835882135</v>
      </c>
      <c r="W932" s="28">
        <f t="shared" si="332"/>
        <v>0.44420350981949086</v>
      </c>
      <c r="X932" s="28">
        <f t="shared" si="332"/>
        <v>0.44829085520204021</v>
      </c>
      <c r="Y932" s="28">
        <f t="shared" si="332"/>
        <v>0.45227077864668558</v>
      </c>
      <c r="Z932" s="28">
        <f t="shared" si="332"/>
        <v>0.45617108067019357</v>
      </c>
      <c r="AA932" s="28">
        <f t="shared" si="332"/>
        <v>0.46037213371252356</v>
      </c>
      <c r="AB932" s="28">
        <f t="shared" si="332"/>
        <v>0.46435044836471168</v>
      </c>
      <c r="AC932" s="28">
        <f t="shared" si="332"/>
        <v>0.46847146239083864</v>
      </c>
      <c r="AD932" s="28">
        <f t="shared" si="332"/>
        <v>0.47320613146186896</v>
      </c>
      <c r="AE932" s="28">
        <f t="shared" si="332"/>
        <v>0.47836268378541491</v>
      </c>
      <c r="AF932" s="28">
        <f t="shared" si="332"/>
        <v>0.4837239116397628</v>
      </c>
      <c r="AG932" s="28">
        <f t="shared" si="332"/>
        <v>0.48447279323990261</v>
      </c>
      <c r="AH932" s="28">
        <f t="shared" si="332"/>
        <v>0.25938200675301493</v>
      </c>
      <c r="AI932" s="28">
        <f t="shared" si="332"/>
        <v>0.25957278063562522</v>
      </c>
      <c r="AJ932" s="28">
        <f t="shared" si="332"/>
        <v>0.25978861497139094</v>
      </c>
      <c r="AK932" s="28">
        <f t="shared" si="332"/>
        <v>0.260028557221544</v>
      </c>
      <c r="AL932" s="28">
        <f t="shared" si="332"/>
        <v>0.26029172820809693</v>
      </c>
      <c r="AM932" s="28">
        <f t="shared" si="332"/>
        <v>0.26057731516048022</v>
      </c>
      <c r="AN932" s="28">
        <f t="shared" si="332"/>
        <v>0.26070026887628817</v>
      </c>
      <c r="AO932" s="28">
        <f t="shared" si="332"/>
        <v>0.26084296294040193</v>
      </c>
      <c r="AP932" s="28">
        <f t="shared" si="332"/>
        <v>0.26100470788314173</v>
      </c>
      <c r="AQ932" s="28">
        <f t="shared" si="332"/>
        <v>0.26118486128201956</v>
      </c>
      <c r="AR932" s="28">
        <f t="shared" si="332"/>
        <v>0.26138282376940786</v>
      </c>
      <c r="AS932" s="28">
        <f t="shared" si="332"/>
        <v>0.26141175290749602</v>
      </c>
      <c r="AT932" s="28">
        <f t="shared" si="332"/>
        <v>0.26145647024377611</v>
      </c>
      <c r="AU932" s="28">
        <f t="shared" si="332"/>
        <v>0.26151645247563149</v>
      </c>
      <c r="AV932" s="28">
        <f t="shared" si="332"/>
        <v>0.26159120817957698</v>
      </c>
      <c r="AW932" s="28">
        <f t="shared" si="332"/>
        <v>0.26168027536234517</v>
      </c>
      <c r="AY932" s="85"/>
      <c r="AZ932" s="85"/>
    </row>
    <row r="933" spans="1:52" x14ac:dyDescent="0.25">
      <c r="A933" s="102" t="str">
        <f t="shared" si="326"/>
        <v>DS Cattle MMCH4</v>
      </c>
      <c r="B933" s="102" t="s">
        <v>975</v>
      </c>
      <c r="C933" s="102" t="s">
        <v>1230</v>
      </c>
      <c r="D933" t="s">
        <v>15</v>
      </c>
      <c r="E933" t="s">
        <v>22</v>
      </c>
      <c r="F933" t="s">
        <v>67</v>
      </c>
      <c r="G933" t="s">
        <v>122</v>
      </c>
      <c r="H933" t="s">
        <v>1228</v>
      </c>
      <c r="I933" t="s">
        <v>121</v>
      </c>
      <c r="J933" t="s">
        <v>286</v>
      </c>
      <c r="K933" s="100">
        <f>IF('Net zero activities &amp; levers'!$C$12="Off",('Activity data'!AD8*EF!$H21)*kgtoGg,('Net zero Activity data'!AD8*EF!$H21)*kgtoGg)</f>
        <v>9.5707566285535867E-2</v>
      </c>
      <c r="L933" s="100">
        <f>IF('Net zero activities &amp; levers'!$C$12="Off",('Activity data'!AE8*EF!$H21)*kgtoGg,('Net zero Activity data'!AE8*EF!$H21)*kgtoGg)</f>
        <v>9.507317462688053E-2</v>
      </c>
      <c r="M933" s="100">
        <f>IF('Net zero activities &amp; levers'!$C$12="Off",('Activity data'!AF8*EF!$H21)*kgtoGg,('Net zero Activity data'!AF8*EF!$H21)*kgtoGg)</f>
        <v>9.3735602326843109E-2</v>
      </c>
      <c r="N933" s="100">
        <f>IF('Net zero activities &amp; levers'!$C$12="Off",('Activity data'!AG8*EF!$H21)*kgtoGg,('Net zero Activity data'!AG8*EF!$H21)*kgtoGg)</f>
        <v>9.1480938854138993E-2</v>
      </c>
      <c r="O933" s="100">
        <f>IF('Net zero activities &amp; levers'!$C$12="Off",('Activity data'!AH8*EF!$H21)*kgtoGg,('Net zero Activity data'!AH8*EF!$H21)*kgtoGg)</f>
        <v>8.9293409665024345E-2</v>
      </c>
      <c r="P933" s="100">
        <f>IF('Net zero activities &amp; levers'!$C$12="Off",('Activity data'!AI8*EF!$H21)*kgtoGg,('Net zero Activity data'!AI8*EF!$H21)*kgtoGg)</f>
        <v>8.7610892686618924E-2</v>
      </c>
      <c r="Q933" s="100">
        <f>IF('Net zero activities &amp; levers'!$C$12="Off",('Activity data'!AJ8*EF!$H21)*kgtoGg,('Net zero Activity data'!AJ8*EF!$H21)*kgtoGg)</f>
        <v>8.6089043126348228E-2</v>
      </c>
      <c r="R933" s="100">
        <f>IF('Net zero activities &amp; levers'!$C$12="Off",('Activity data'!AK8*EF!$H21)*kgtoGg,('Net zero Activity data'!AK8*EF!$H21)*kgtoGg)</f>
        <v>8.3696304621384818E-2</v>
      </c>
      <c r="S933" s="100">
        <f>IF('Net zero activities &amp; levers'!$C$12="Off",('Activity data'!AL8*EF!$H21)*kgtoGg,('Net zero Activity data'!AL8*EF!$H21)*kgtoGg)</f>
        <v>7.34067322961163E-2</v>
      </c>
      <c r="T933" s="100">
        <f>IF('Net zero activities &amp; levers'!$C$12="Off",('Activity data'!AM8*EF!$H21)*kgtoGg,('Net zero Activity data'!AM8*EF!$H21)*kgtoGg)</f>
        <v>7.4106416152148968E-2</v>
      </c>
      <c r="U933" s="100">
        <f>IF('Net zero activities &amp; levers'!$C$12="Off",('Activity data'!AN8*EF!$H21)*kgtoGg,('Net zero Activity data'!AN8*EF!$H21)*kgtoGg)</f>
        <v>7.4579873174536918E-2</v>
      </c>
      <c r="V933" s="100">
        <f>IF('Net zero activities &amp; levers'!$C$12="Off",('Activity data'!AO8*EF!$H21)*kgtoGg,('Net zero Activity data'!AO8*EF!$H21)*kgtoGg)</f>
        <v>7.5037930673723691E-2</v>
      </c>
      <c r="W933" s="100">
        <f>IF('Net zero activities &amp; levers'!$C$12="Off",('Activity data'!AP8*EF!$H21)*kgtoGg,('Net zero Activity data'!AP8*EF!$H21)*kgtoGg)</f>
        <v>7.5795447602904714E-2</v>
      </c>
      <c r="X933" s="100">
        <f>IF('Net zero activities &amp; levers'!$C$12="Off",('Activity data'!AQ8*EF!$H21)*kgtoGg,('Net zero Activity data'!AQ8*EF!$H21)*kgtoGg)</f>
        <v>7.6527998633535405E-2</v>
      </c>
      <c r="Y933" s="100">
        <f>IF('Net zero activities &amp; levers'!$C$12="Off",('Activity data'!AR8*EF!$H21)*kgtoGg,('Net zero Activity data'!AR8*EF!$H21)*kgtoGg)</f>
        <v>7.7297067256649366E-2</v>
      </c>
      <c r="Z933" s="100">
        <f>IF('Net zero activities &amp; levers'!$C$12="Off",('Activity data'!AS8*EF!$H21)*kgtoGg,('Net zero Activity data'!AS8*EF!$H21)*kgtoGg)</f>
        <v>7.7966609512140975E-2</v>
      </c>
      <c r="AA933" s="100">
        <f>IF('Net zero activities &amp; levers'!$C$12="Off",('Activity data'!AT8*EF!$H21)*kgtoGg,('Net zero Activity data'!AT8*EF!$H21)*kgtoGg)</f>
        <v>7.8728639390587538E-2</v>
      </c>
      <c r="AB933" s="100">
        <f>IF('Net zero activities &amp; levers'!$C$12="Off",('Activity data'!AU8*EF!$H21)*kgtoGg,('Net zero Activity data'!AU8*EF!$H21)*kgtoGg)</f>
        <v>7.9324953589457362E-2</v>
      </c>
      <c r="AC933" s="100">
        <f>IF('Net zero activities &amp; levers'!$C$12="Off",('Activity data'!AV8*EF!$H21)*kgtoGg,('Net zero Activity data'!AV8*EF!$H21)*kgtoGg)</f>
        <v>7.9937629648305739E-2</v>
      </c>
      <c r="AD933" s="100">
        <f>IF('Net zero activities &amp; levers'!$C$12="Off",('Activity data'!AW8*EF!$H21)*kgtoGg,('Net zero Activity data'!AW8*EF!$H21)*kgtoGg)</f>
        <v>8.0222991747189526E-2</v>
      </c>
      <c r="AE933" s="100">
        <f>IF('Net zero activities &amp; levers'!$C$12="Off",('Activity data'!AX8*EF!$H21)*kgtoGg,('Net zero Activity data'!AX8*EF!$H21)*kgtoGg)</f>
        <v>8.0614281081104813E-2</v>
      </c>
      <c r="AF933" s="100">
        <f>IF('Net zero activities &amp; levers'!$C$12="Off",('Activity data'!AY8*EF!$H21)*kgtoGg,('Net zero Activity data'!AY8*EF!$H21)*kgtoGg)</f>
        <v>8.100406028659024E-2</v>
      </c>
      <c r="AG933" s="100">
        <f>IF('Net zero activities &amp; levers'!$C$12="Off",('Activity data'!AZ8*EF!$H21)*kgtoGg,('Net zero Activity data'!AZ8*EF!$H21)*kgtoGg)</f>
        <v>7.9286126804775037E-2</v>
      </c>
      <c r="AH933" s="100">
        <f>IF('Net zero activities &amp; levers'!$C$12="Off",('Activity data'!BA8*EF!$H21)*kgtoGg,('Net zero Activity data'!BA8*EF!$H21)*kgtoGg)</f>
        <v>-1.8702500653157286E-2</v>
      </c>
      <c r="AI933" s="100">
        <f>IF('Net zero activities &amp; levers'!$C$12="Off",('Activity data'!BB8*EF!$H21)*kgtoGg,('Net zero Activity data'!BB8*EF!$H21)*kgtoGg)</f>
        <v>-1.8268667685025074E-2</v>
      </c>
      <c r="AJ933" s="100">
        <f>IF('Net zero activities &amp; levers'!$C$12="Off",('Activity data'!BC8*EF!$H21)*kgtoGg,('Net zero Activity data'!BC8*EF!$H21)*kgtoGg)</f>
        <v>-1.7841734022548978E-2</v>
      </c>
      <c r="AK933" s="100">
        <f>IF('Net zero activities &amp; levers'!$C$12="Off",('Activity data'!BD8*EF!$H21)*kgtoGg,('Net zero Activity data'!BD8*EF!$H21)*kgtoGg)</f>
        <v>-1.7421338317040982E-2</v>
      </c>
      <c r="AL933" s="100">
        <f>IF('Net zero activities &amp; levers'!$C$12="Off",('Activity data'!BE8*EF!$H21)*kgtoGg,('Net zero Activity data'!BE8*EF!$H21)*kgtoGg)</f>
        <v>-1.7007144202009699E-2</v>
      </c>
      <c r="AM933" s="100">
        <f>IF('Net zero activities &amp; levers'!$C$12="Off",('Activity data'!BF8*EF!$H21)*kgtoGg,('Net zero Activity data'!BF8*EF!$H21)*kgtoGg)</f>
        <v>-1.6598837978205473E-2</v>
      </c>
      <c r="AN933" s="100">
        <f>IF('Net zero activities &amp; levers'!$C$12="Off",('Activity data'!BG8*EF!$H21)*kgtoGg,('Net zero Activity data'!BG8*EF!$H21)*kgtoGg)</f>
        <v>-1.6267793993705613E-2</v>
      </c>
      <c r="AO933" s="100">
        <f>IF('Net zero activities &amp; levers'!$C$12="Off",('Activity data'!BH8*EF!$H21)*kgtoGg,('Net zero Activity data'!BH8*EF!$H21)*kgtoGg)</f>
        <v>-1.5941750028753716E-2</v>
      </c>
      <c r="AP933" s="100">
        <f>IF('Net zero activities &amp; levers'!$C$12="Off",('Activity data'!BI8*EF!$H21)*kgtoGg,('Net zero Activity data'!BI8*EF!$H21)*kgtoGg)</f>
        <v>-1.562047950725113E-2</v>
      </c>
      <c r="AQ933" s="100">
        <f>IF('Net zero activities &amp; levers'!$C$12="Off",('Activity data'!BJ8*EF!$H21)*kgtoGg,('Net zero Activity data'!BJ8*EF!$H21)*kgtoGg)</f>
        <v>-1.5303769944962587E-2</v>
      </c>
      <c r="AR933" s="100">
        <f>IF('Net zero activities &amp; levers'!$C$12="Off",('Activity data'!BK8*EF!$H21)*kgtoGg,('Net zero Activity data'!BK8*EF!$H21)*kgtoGg)</f>
        <v>-1.4991421781067962E-2</v>
      </c>
      <c r="AS933" s="100">
        <f>IF('Net zero activities &amp; levers'!$C$12="Off",('Activity data'!BL8*EF!$H21)*kgtoGg,('Net zero Activity data'!BL8*EF!$H21)*kgtoGg)</f>
        <v>-1.4673268106464171E-2</v>
      </c>
      <c r="AT933" s="100">
        <f>IF('Net zero activities &amp; levers'!$C$12="Off",('Activity data'!BM8*EF!$H21)*kgtoGg,('Net zero Activity data'!BM8*EF!$H21)*kgtoGg)</f>
        <v>-1.4359489450627001E-2</v>
      </c>
      <c r="AU933" s="100">
        <f>IF('Net zero activities &amp; levers'!$C$12="Off",('Activity data'!BN8*EF!$H21)*kgtoGg,('Net zero Activity data'!BN8*EF!$H21)*kgtoGg)</f>
        <v>-1.40499137071168E-2</v>
      </c>
      <c r="AV933" s="100">
        <f>IF('Net zero activities &amp; levers'!$C$12="Off",('Activity data'!BO8*EF!$H21)*kgtoGg,('Net zero Activity data'!BO8*EF!$H21)*kgtoGg)</f>
        <v>-1.3744378438980727E-2</v>
      </c>
      <c r="AW933" s="100">
        <f>IF('Net zero activities &amp; levers'!$C$12="Off",('Activity data'!BP8*EF!$H21)*kgtoGg,('Net zero Activity data'!BP8*EF!$H21)*kgtoGg)</f>
        <v>-1.3442730156179297E-2</v>
      </c>
      <c r="AY933" s="85"/>
      <c r="AZ933" s="85"/>
    </row>
    <row r="934" spans="1:52" x14ac:dyDescent="0.25">
      <c r="A934" s="102" t="str">
        <f t="shared" si="326"/>
        <v>DS Cattle MMCH4</v>
      </c>
      <c r="B934" s="102" t="s">
        <v>975</v>
      </c>
      <c r="C934" s="102" t="s">
        <v>1230</v>
      </c>
      <c r="D934" t="s">
        <v>15</v>
      </c>
      <c r="E934" t="s">
        <v>22</v>
      </c>
      <c r="F934" t="s">
        <v>67</v>
      </c>
      <c r="G934" t="s">
        <v>123</v>
      </c>
      <c r="H934" t="s">
        <v>1228</v>
      </c>
      <c r="I934" t="s">
        <v>121</v>
      </c>
      <c r="J934" t="s">
        <v>286</v>
      </c>
      <c r="K934" s="100">
        <f>IF('Net zero activities &amp; levers'!$C$12="Off",('Activity data'!AD9*EF!$H22)*kgtoGg,('Net zero Activity data'!AD9*EF!$H22)*kgtoGg)</f>
        <v>7.0303494563391522E-2</v>
      </c>
      <c r="L934" s="100">
        <f>IF('Net zero activities &amp; levers'!$C$12="Off",('Activity data'!AE9*EF!$H22)*kgtoGg,('Net zero Activity data'!AE9*EF!$H22)*kgtoGg)</f>
        <v>6.9837492216280578E-2</v>
      </c>
      <c r="M934" s="100">
        <f>IF('Net zero activities &amp; levers'!$C$12="Off",('Activity data'!AF9*EF!$H22)*kgtoGg,('Net zero Activity data'!AF9*EF!$H22)*kgtoGg)</f>
        <v>6.8854957495428151E-2</v>
      </c>
      <c r="N934" s="100">
        <f>IF('Net zero activities &amp; levers'!$C$12="Off",('Activity data'!AG9*EF!$H22)*kgtoGg,('Net zero Activity data'!AG9*EF!$H22)*kgtoGg)</f>
        <v>6.7198759063606908E-2</v>
      </c>
      <c r="O934" s="100">
        <f>IF('Net zero activities &amp; levers'!$C$12="Off",('Activity data'!AH9*EF!$H22)*kgtoGg,('Net zero Activity data'!AH9*EF!$H22)*kgtoGg)</f>
        <v>6.5591875173201017E-2</v>
      </c>
      <c r="P934" s="100">
        <f>IF('Net zero activities &amp; levers'!$C$12="Off",('Activity data'!AI9*EF!$H22)*kgtoGg,('Net zero Activity data'!AI9*EF!$H22)*kgtoGg)</f>
        <v>6.4355955926323108E-2</v>
      </c>
      <c r="Q934" s="100">
        <f>IF('Net zero activities &amp; levers'!$C$12="Off",('Activity data'!AJ9*EF!$H22)*kgtoGg,('Net zero Activity data'!AJ9*EF!$H22)*kgtoGg)</f>
        <v>6.3238057452470034E-2</v>
      </c>
      <c r="R934" s="100">
        <f>IF('Net zero activities &amp; levers'!$C$12="Off",('Activity data'!AK9*EF!$H22)*kgtoGg,('Net zero Activity data'!AK9*EF!$H22)*kgtoGg)</f>
        <v>6.1480433839166078E-2</v>
      </c>
      <c r="S934" s="100">
        <f>IF('Net zero activities &amp; levers'!$C$12="Off",('Activity data'!AL9*EF!$H22)*kgtoGg,('Net zero Activity data'!AL9*EF!$H22)*kgtoGg)</f>
        <v>5.392206703386089E-2</v>
      </c>
      <c r="T934" s="100">
        <f>IF('Net zero activities &amp; levers'!$C$12="Off",('Activity data'!AM9*EF!$H22)*kgtoGg,('Net zero Activity data'!AM9*EF!$H22)*kgtoGg)</f>
        <v>5.4436030789055859E-2</v>
      </c>
      <c r="U934" s="100">
        <f>IF('Net zero activities &amp; levers'!$C$12="Off",('Activity data'!AN9*EF!$H22)*kgtoGg,('Net zero Activity data'!AN9*EF!$H22)*kgtoGg)</f>
        <v>5.4783816073869653E-2</v>
      </c>
      <c r="V934" s="100">
        <f>IF('Net zero activities &amp; levers'!$C$12="Off",('Activity data'!AO9*EF!$H22)*kgtoGg,('Net zero Activity data'!AO9*EF!$H22)*kgtoGg)</f>
        <v>5.5120289397281967E-2</v>
      </c>
      <c r="W934" s="100">
        <f>IF('Net zero activities &amp; levers'!$C$12="Off",('Activity data'!AP9*EF!$H22)*kgtoGg,('Net zero Activity data'!AP9*EF!$H22)*kgtoGg)</f>
        <v>5.5676735343817389E-2</v>
      </c>
      <c r="X934" s="100">
        <f>IF('Net zero activities &amp; levers'!$C$12="Off",('Activity data'!AQ9*EF!$H22)*kgtoGg,('Net zero Activity data'!AQ9*EF!$H22)*kgtoGg)</f>
        <v>5.6214842197832481E-2</v>
      </c>
      <c r="Y934" s="100">
        <f>IF('Net zero activities &amp; levers'!$C$12="Off",('Activity data'!AR9*EF!$H22)*kgtoGg,('Net zero Activity data'!AR9*EF!$H22)*kgtoGg)</f>
        <v>5.6779773622404078E-2</v>
      </c>
      <c r="Z934" s="100">
        <f>IF('Net zero activities &amp; levers'!$C$12="Off",('Activity data'!AS9*EF!$H22)*kgtoGg,('Net zero Activity data'!AS9*EF!$H22)*kgtoGg)</f>
        <v>5.7271596391969458E-2</v>
      </c>
      <c r="AA934" s="100">
        <f>IF('Net zero activities &amp; levers'!$C$12="Off",('Activity data'!AT9*EF!$H22)*kgtoGg,('Net zero Activity data'!AT9*EF!$H22)*kgtoGg)</f>
        <v>5.7831357396200579E-2</v>
      </c>
      <c r="AB934" s="100">
        <f>IF('Net zero activities &amp; levers'!$C$12="Off",('Activity data'!AU9*EF!$H22)*kgtoGg,('Net zero Activity data'!AU9*EF!$H22)*kgtoGg)</f>
        <v>5.826938934775229E-2</v>
      </c>
      <c r="AC934" s="100">
        <f>IF('Net zero activities &amp; levers'!$C$12="Off",('Activity data'!AV9*EF!$H22)*kgtoGg,('Net zero Activity data'!AV9*EF!$H22)*kgtoGg)</f>
        <v>5.8719440160285359E-2</v>
      </c>
      <c r="AD934" s="100">
        <f>IF('Net zero activities &amp; levers'!$C$12="Off",('Activity data'!AW9*EF!$H22)*kgtoGg,('Net zero Activity data'!AW9*EF!$H22)*kgtoGg)</f>
        <v>5.8929057367639905E-2</v>
      </c>
      <c r="AE934" s="100">
        <f>IF('Net zero activities &amp; levers'!$C$12="Off",('Activity data'!AX9*EF!$H22)*kgtoGg,('Net zero Activity data'!AX9*EF!$H22)*kgtoGg)</f>
        <v>5.92164850875921E-2</v>
      </c>
      <c r="AF934" s="100">
        <f>IF('Net zero activities &amp; levers'!$C$12="Off",('Activity data'!AY9*EF!$H22)*kgtoGg,('Net zero Activity data'!AY9*EF!$H22)*kgtoGg)</f>
        <v>5.9502803519010737E-2</v>
      </c>
      <c r="AG934" s="100">
        <f>IF('Net zero activities &amp; levers'!$C$12="Off",('Activity data'!AZ9*EF!$H22)*kgtoGg,('Net zero Activity data'!AZ9*EF!$H22)*kgtoGg)</f>
        <v>5.8240868523832451E-2</v>
      </c>
      <c r="AH934" s="100">
        <f>IF('Net zero activities &amp; levers'!$C$12="Off",('Activity data'!BA9*EF!$H22)*kgtoGg,('Net zero Activity data'!BA9*EF!$H22)*kgtoGg)</f>
        <v>-1.3738215315895889E-2</v>
      </c>
      <c r="AI934" s="100">
        <f>IF('Net zero activities &amp; levers'!$C$12="Off",('Activity data'!BB9*EF!$H22)*kgtoGg,('Net zero Activity data'!BB9*EF!$H22)*kgtoGg)</f>
        <v>-1.3419536501877058E-2</v>
      </c>
      <c r="AJ934" s="100">
        <f>IF('Net zero activities &amp; levers'!$C$12="Off",('Activity data'!BC9*EF!$H22)*kgtoGg,('Net zero Activity data'!BC9*EF!$H22)*kgtoGg)</f>
        <v>-1.3105925681085005E-2</v>
      </c>
      <c r="AK934" s="100">
        <f>IF('Net zero activities &amp; levers'!$C$12="Off",('Activity data'!BD9*EF!$H22)*kgtoGg,('Net zero Activity data'!BD9*EF!$H22)*kgtoGg)</f>
        <v>-1.2797117419171011E-2</v>
      </c>
      <c r="AL934" s="100">
        <f>IF('Net zero activities &amp; levers'!$C$12="Off",('Activity data'!BE9*EF!$H22)*kgtoGg,('Net zero Activity data'!BE9*EF!$H22)*kgtoGg)</f>
        <v>-1.2492864632850905E-2</v>
      </c>
      <c r="AM934" s="100">
        <f>IF('Net zero activities &amp; levers'!$C$12="Off",('Activity data'!BF9*EF!$H22)*kgtoGg,('Net zero Activity data'!BF9*EF!$H22)*kgtoGg)</f>
        <v>-1.2192936889418591E-2</v>
      </c>
      <c r="AN934" s="100">
        <f>IF('Net zero activities &amp; levers'!$C$12="Off",('Activity data'!BG9*EF!$H22)*kgtoGg,('Net zero Activity data'!BG9*EF!$H22)*kgtoGg)</f>
        <v>-1.1949763336189845E-2</v>
      </c>
      <c r="AO934" s="100">
        <f>IF('Net zero activities &amp; levers'!$C$12="Off",('Activity data'!BH9*EF!$H22)*kgtoGg,('Net zero Activity data'!BH9*EF!$H22)*kgtoGg)</f>
        <v>-1.1710262625775411E-2</v>
      </c>
      <c r="AP934" s="100">
        <f>IF('Net zero activities &amp; levers'!$C$12="Off",('Activity data'!BI9*EF!$H22)*kgtoGg,('Net zero Activity data'!BI9*EF!$H22)*kgtoGg)</f>
        <v>-1.1474268323146819E-2</v>
      </c>
      <c r="AQ934" s="100">
        <f>IF('Net zero activities &amp; levers'!$C$12="Off",('Activity data'!BJ9*EF!$H22)*kgtoGg,('Net zero Activity data'!BJ9*EF!$H22)*kgtoGg)</f>
        <v>-1.1241624344674956E-2</v>
      </c>
      <c r="AR934" s="100">
        <f>IF('Net zero activities &amp; levers'!$C$12="Off",('Activity data'!BK9*EF!$H22)*kgtoGg,('Net zero Activity data'!BK9*EF!$H22)*kgtoGg)</f>
        <v>-1.1012184099828085E-2</v>
      </c>
      <c r="AS934" s="100">
        <f>IF('Net zero activities &amp; levers'!$C$12="Off",('Activity data'!BL9*EF!$H22)*kgtoGg,('Net zero Activity data'!BL9*EF!$H22)*kgtoGg)</f>
        <v>-1.0778479325995476E-2</v>
      </c>
      <c r="AT934" s="100">
        <f>IF('Net zero activities &amp; levers'!$C$12="Off",('Activity data'!BM9*EF!$H22)*kgtoGg,('Net zero Activity data'!BM9*EF!$H22)*kgtoGg)</f>
        <v>-1.0547988290846352E-2</v>
      </c>
      <c r="AU934" s="100">
        <f>IF('Net zero activities &amp; levers'!$C$12="Off",('Activity data'!BN9*EF!$H22)*kgtoGg,('Net zero Activity data'!BN9*EF!$H22)*kgtoGg)</f>
        <v>-1.032058457089494E-2</v>
      </c>
      <c r="AV934" s="100">
        <f>IF('Net zero activities &amp; levers'!$C$12="Off",('Activity data'!BO9*EF!$H22)*kgtoGg,('Net zero Activity data'!BO9*EF!$H22)*kgtoGg)</f>
        <v>-1.0096148845528728E-2</v>
      </c>
      <c r="AW934" s="100">
        <f>IF('Net zero activities &amp; levers'!$C$12="Off",('Activity data'!BP9*EF!$H22)*kgtoGg,('Net zero Activity data'!BP9*EF!$H22)*kgtoGg)</f>
        <v>-9.8745683662308046E-3</v>
      </c>
      <c r="AY934" s="85"/>
      <c r="AZ934" s="85"/>
    </row>
    <row r="935" spans="1:52" x14ac:dyDescent="0.25">
      <c r="A935" s="102" t="str">
        <f t="shared" si="326"/>
        <v>DS Cattle MMCH4</v>
      </c>
      <c r="B935" s="102" t="s">
        <v>975</v>
      </c>
      <c r="C935" s="102" t="s">
        <v>1230</v>
      </c>
      <c r="D935" t="s">
        <v>15</v>
      </c>
      <c r="E935" t="s">
        <v>22</v>
      </c>
      <c r="F935" t="s">
        <v>67</v>
      </c>
      <c r="G935" t="s">
        <v>135</v>
      </c>
      <c r="H935" t="s">
        <v>1228</v>
      </c>
      <c r="I935" t="s">
        <v>121</v>
      </c>
      <c r="J935" t="s">
        <v>286</v>
      </c>
      <c r="K935" s="100">
        <f>IF('Net zero activities &amp; levers'!$C$12="Off",('Activity data'!AD10*EF!$H23)*kgtoGg,('Net zero Activity data'!AD10*EF!$H23)*kgtoGg)</f>
        <v>0.47365013870542771</v>
      </c>
      <c r="L935" s="100">
        <f>IF('Net zero activities &amp; levers'!$C$12="Off",('Activity data'!AE10*EF!$H23)*kgtoGg,('Net zero Activity data'!AE10*EF!$H23)*kgtoGg)</f>
        <v>0.49051927106458876</v>
      </c>
      <c r="M935" s="100">
        <f>IF('Net zero activities &amp; levers'!$C$12="Off",('Activity data'!AF10*EF!$H23)*kgtoGg,('Net zero Activity data'!AF10*EF!$H23)*kgtoGg)</f>
        <v>0.50390876804084606</v>
      </c>
      <c r="N935" s="100">
        <f>IF('Net zero activities &amp; levers'!$C$12="Off",('Activity data'!AG10*EF!$H23)*kgtoGg,('Net zero Activity data'!AG10*EF!$H23)*kgtoGg)</f>
        <v>0.51218897212451775</v>
      </c>
      <c r="O935" s="100">
        <f>IF('Net zero activities &amp; levers'!$C$12="Off",('Activity data'!AH10*EF!$H23)*kgtoGg,('Net zero Activity data'!AH10*EF!$H23)*kgtoGg)</f>
        <v>0.5204864616851187</v>
      </c>
      <c r="P935" s="100">
        <f>IF('Net zero activities &amp; levers'!$C$12="Off",('Activity data'!AI10*EF!$H23)*kgtoGg,('Net zero Activity data'!AI10*EF!$H23)*kgtoGg)</f>
        <v>0.5315053909957832</v>
      </c>
      <c r="Q935" s="100">
        <f>IF('Net zero activities &amp; levers'!$C$12="Off",('Activity data'!AJ10*EF!$H23)*kgtoGg,('Net zero Activity data'!AJ10*EF!$H23)*kgtoGg)</f>
        <v>0.54344267992188611</v>
      </c>
      <c r="R935" s="100">
        <f>IF('Net zero activities &amp; levers'!$C$12="Off",('Activity data'!AK10*EF!$H23)*kgtoGg,('Net zero Activity data'!AK10*EF!$H23)*kgtoGg)</f>
        <v>0.54965498610396035</v>
      </c>
      <c r="S935" s="100">
        <f>IF('Net zero activities &amp; levers'!$C$12="Off",('Activity data'!AL10*EF!$H23)*kgtoGg,('Net zero Activity data'!AL10*EF!$H23)*kgtoGg)</f>
        <v>0.50146701948783567</v>
      </c>
      <c r="T935" s="100">
        <f>IF('Net zero activities &amp; levers'!$C$12="Off",('Activity data'!AM10*EF!$H23)*kgtoGg,('Net zero Activity data'!AM10*EF!$H23)*kgtoGg)</f>
        <v>0.51834473155778682</v>
      </c>
      <c r="U935" s="100">
        <f>IF('Net zero activities &amp; levers'!$C$12="Off",('Activity data'!AN10*EF!$H23)*kgtoGg,('Net zero Activity data'!AN10*EF!$H23)*kgtoGg)</f>
        <v>0.53395156186316528</v>
      </c>
      <c r="V935" s="100">
        <f>IF('Net zero activities &amp; levers'!$C$12="Off",('Activity data'!AO10*EF!$H23)*kgtoGg,('Net zero Activity data'!AO10*EF!$H23)*kgtoGg)</f>
        <v>0.54973255397230381</v>
      </c>
      <c r="W935" s="100">
        <f>IF('Net zero activities &amp; levers'!$C$12="Off",('Activity data'!AP10*EF!$H23)*kgtoGg,('Net zero Activity data'!AP10*EF!$H23)*kgtoGg)</f>
        <v>0.56805189648716081</v>
      </c>
      <c r="X935" s="100">
        <f>IF('Net zero activities &amp; levers'!$C$12="Off",('Activity data'!AQ10*EF!$H23)*kgtoGg,('Net zero Activity data'!AQ10*EF!$H23)*kgtoGg)</f>
        <v>0.58658806930488216</v>
      </c>
      <c r="Y935" s="100">
        <f>IF('Net zero activities &amp; levers'!$C$12="Off",('Activity data'!AR10*EF!$H23)*kgtoGg,('Net zero Activity data'!AR10*EF!$H23)*kgtoGg)</f>
        <v>0.60582393990405248</v>
      </c>
      <c r="Z935" s="100">
        <f>IF('Net zero activities &amp; levers'!$C$12="Off",('Activity data'!AS10*EF!$H23)*kgtoGg,('Net zero Activity data'!AS10*EF!$H23)*kgtoGg)</f>
        <v>0.62470251247800967</v>
      </c>
      <c r="AA935" s="100">
        <f>IF('Net zero activities &amp; levers'!$C$12="Off",('Activity data'!AT10*EF!$H23)*kgtoGg,('Net zero Activity data'!AT10*EF!$H23)*kgtoGg)</f>
        <v>0.64475774385290952</v>
      </c>
      <c r="AB935" s="100">
        <f>IF('Net zero activities &amp; levers'!$C$12="Off",('Activity data'!AU10*EF!$H23)*kgtoGg,('Net zero Activity data'!AU10*EF!$H23)*kgtoGg)</f>
        <v>0.66389235390041079</v>
      </c>
      <c r="AC935" s="100">
        <f>IF('Net zero activities &amp; levers'!$C$12="Off",('Activity data'!AV10*EF!$H23)*kgtoGg,('Net zero Activity data'!AV10*EF!$H23)*kgtoGg)</f>
        <v>0.68358758575882406</v>
      </c>
      <c r="AD935" s="100">
        <f>IF('Net zero activities &amp; levers'!$C$12="Off",('Activity data'!AW10*EF!$H23)*kgtoGg,('Net zero Activity data'!AW10*EF!$H23)*kgtoGg)</f>
        <v>0.7086584440058149</v>
      </c>
      <c r="AE935" s="100">
        <f>IF('Net zero activities &amp; levers'!$C$12="Off",('Activity data'!AX10*EF!$H23)*kgtoGg,('Net zero Activity data'!AX10*EF!$H23)*kgtoGg)</f>
        <v>0.73565241500726219</v>
      </c>
      <c r="AF935" s="100">
        <f>IF('Net zero activities &amp; levers'!$C$12="Off",('Activity data'!AY10*EF!$H23)*kgtoGg,('Net zero Activity data'!AY10*EF!$H23)*kgtoGg)</f>
        <v>0.76370616641189881</v>
      </c>
      <c r="AG935" s="100">
        <f>IF('Net zero activities &amp; levers'!$C$12="Off",('Activity data'!AZ10*EF!$H23)*kgtoGg,('Net zero Activity data'!AZ10*EF!$H23)*kgtoGg)</f>
        <v>0.77236145848334026</v>
      </c>
      <c r="AH935" s="100">
        <f>IF('Net zero activities &amp; levers'!$C$12="Off",('Activity data'!BA10*EF!$H23)*kgtoGg,('Net zero Activity data'!BA10*EF!$H23)*kgtoGg)</f>
        <v>-0.18826983110818521</v>
      </c>
      <c r="AI935" s="100">
        <f>IF('Net zero activities &amp; levers'!$C$12="Off",('Activity data'!BB10*EF!$H23)*kgtoGg,('Net zero Activity data'!BB10*EF!$H23)*kgtoGg)</f>
        <v>-0.19006759890243963</v>
      </c>
      <c r="AJ935" s="100">
        <f>IF('Net zero activities &amp; levers'!$C$12="Off",('Activity data'!BC10*EF!$H23)*kgtoGg,('Net zero Activity data'!BC10*EF!$H23)*kgtoGg)</f>
        <v>-0.19187998371586665</v>
      </c>
      <c r="AK935" s="100">
        <f>IF('Net zero activities &amp; levers'!$C$12="Off",('Activity data'!BD10*EF!$H23)*kgtoGg,('Net zero Activity data'!BD10*EF!$H23)*kgtoGg)</f>
        <v>-0.19370712387762709</v>
      </c>
      <c r="AL935" s="100">
        <f>IF('Net zero activities &amp; levers'!$C$12="Off",('Activity data'!BE10*EF!$H23)*kgtoGg,('Net zero Activity data'!BE10*EF!$H23)*kgtoGg)</f>
        <v>-0.19554915895887828</v>
      </c>
      <c r="AM935" s="100">
        <f>IF('Net zero activities &amp; levers'!$C$12="Off",('Activity data'!BF10*EF!$H23)*kgtoGg,('Net zero Activity data'!BF10*EF!$H23)*kgtoGg)</f>
        <v>-0.19740622978354522</v>
      </c>
      <c r="AN935" s="100">
        <f>IF('Net zero activities &amp; levers'!$C$12="Off",('Activity data'!BG10*EF!$H23)*kgtoGg,('Net zero Activity data'!BG10*EF!$H23)*kgtoGg)</f>
        <v>-0.19889654656389008</v>
      </c>
      <c r="AO935" s="100">
        <f>IF('Net zero activities &amp; levers'!$C$12="Off",('Activity data'!BH10*EF!$H23)*kgtoGg,('Net zero Activity data'!BH10*EF!$H23)*kgtoGg)</f>
        <v>-0.20039714352450921</v>
      </c>
      <c r="AP935" s="100">
        <f>IF('Net zero activities &amp; levers'!$C$12="Off",('Activity data'!BI10*EF!$H23)*kgtoGg,('Net zero Activity data'!BI10*EF!$H23)*kgtoGg)</f>
        <v>-0.20190810202695822</v>
      </c>
      <c r="AQ935" s="100">
        <f>IF('Net zero activities &amp; levers'!$C$12="Off",('Activity data'!BJ10*EF!$H23)*kgtoGg,('Net zero Activity data'!BJ10*EF!$H23)*kgtoGg)</f>
        <v>-0.20342950404688992</v>
      </c>
      <c r="AR935" s="100">
        <f>IF('Net zero activities &amp; levers'!$C$12="Off",('Activity data'!BK10*EF!$H23)*kgtoGg,('Net zero Activity data'!BK10*EF!$H23)*kgtoGg)</f>
        <v>-0.20496143217854407</v>
      </c>
      <c r="AS935" s="100">
        <f>IF('Net zero activities &amp; levers'!$C$12="Off",('Activity data'!BL10*EF!$H23)*kgtoGg,('Net zero Activity data'!BL10*EF!$H23)*kgtoGg)</f>
        <v>-0.20636362268300526</v>
      </c>
      <c r="AT935" s="100">
        <f>IF('Net zero activities &amp; levers'!$C$12="Off",('Activity data'!BM10*EF!$H23)*kgtoGg,('Net zero Activity data'!BM10*EF!$H23)*kgtoGg)</f>
        <v>-0.20777388296351235</v>
      </c>
      <c r="AU935" s="100">
        <f>IF('Net zero activities &amp; levers'!$C$12="Off",('Activity data'!BN10*EF!$H23)*kgtoGg,('Net zero Activity data'!BN10*EF!$H23)*kgtoGg)</f>
        <v>-0.20919226640364996</v>
      </c>
      <c r="AV935" s="100">
        <f>IF('Net zero activities &amp; levers'!$C$12="Off",('Activity data'!BO10*EF!$H23)*kgtoGg,('Net zero Activity data'!BO10*EF!$H23)*kgtoGg)</f>
        <v>-0.21061882672173884</v>
      </c>
      <c r="AW935" s="100">
        <f>IF('Net zero activities &amp; levers'!$C$12="Off",('Activity data'!BP10*EF!$H23)*kgtoGg,('Net zero Activity data'!BP10*EF!$H23)*kgtoGg)</f>
        <v>-0.2120536179728616</v>
      </c>
      <c r="AY935" s="85"/>
      <c r="AZ935" s="85"/>
    </row>
    <row r="936" spans="1:52" x14ac:dyDescent="0.25">
      <c r="A936" s="102" t="str">
        <f t="shared" si="326"/>
        <v>DS Sheep MMCH4</v>
      </c>
      <c r="B936" s="102" t="s">
        <v>975</v>
      </c>
      <c r="C936" s="102" t="s">
        <v>1325</v>
      </c>
      <c r="D936" t="s">
        <v>15</v>
      </c>
      <c r="E936" t="s">
        <v>22</v>
      </c>
      <c r="F936" t="s">
        <v>18</v>
      </c>
      <c r="G936" t="s">
        <v>122</v>
      </c>
      <c r="H936" t="s">
        <v>1228</v>
      </c>
      <c r="I936" t="s">
        <v>121</v>
      </c>
      <c r="J936" t="s">
        <v>286</v>
      </c>
      <c r="K936" s="100">
        <f>IF('Net zero activities &amp; levers'!$C$12="Off",('Activity data'!AD11*EF!$H24)*kgtoGg,IF('Net zero activities &amp; levers'!$C$12="PB",('Activity data'!AD11*EF!$H24)*kgtoGg,IF('Net zero activities &amp; levers'!$C$12="MS",('Net zero Activity data'!AD11*EF!$H24)*kgtoGg,"ERROR")))</f>
        <v>3.6053921478906167E-2</v>
      </c>
      <c r="L936" s="100">
        <f>IF('Net zero activities &amp; levers'!$C$12="Off",('Activity data'!AE11*EF!$H24)*kgtoGg,IF('Net zero activities &amp; levers'!$C$12="PB",('Activity data'!AE11*EF!$H24)*kgtoGg,IF('Net zero activities &amp; levers'!$C$12="MS",('Net zero Activity data'!AE11*EF!$H24)*kgtoGg,"ERROR")))</f>
        <v>3.6073610217126503E-2</v>
      </c>
      <c r="M936" s="100">
        <f>IF('Net zero activities &amp; levers'!$C$12="Off",('Activity data'!AF11*EF!$H24)*kgtoGg,IF('Net zero activities &amp; levers'!$C$12="PB",('Activity data'!AF11*EF!$H24)*kgtoGg,IF('Net zero activities &amp; levers'!$C$12="MS",('Net zero Activity data'!AF11*EF!$H24)*kgtoGg,"ERROR")))</f>
        <v>3.6117697084082141E-2</v>
      </c>
      <c r="N936" s="100">
        <f>IF('Net zero activities &amp; levers'!$C$12="Off",('Activity data'!AG11*EF!$H24)*kgtoGg,IF('Net zero activities &amp; levers'!$C$12="PB",('Activity data'!AG11*EF!$H24)*kgtoGg,IF('Net zero activities &amp; levers'!$C$12="MS",('Net zero Activity data'!AG11*EF!$H24)*kgtoGg,"ERROR")))</f>
        <v>3.618405707434337E-2</v>
      </c>
      <c r="O936" s="100">
        <f>IF('Net zero activities &amp; levers'!$C$12="Off",('Activity data'!AH11*EF!$H24)*kgtoGg,IF('Net zero activities &amp; levers'!$C$12="PB",('Activity data'!AH11*EF!$H24)*kgtoGg,IF('Net zero activities &amp; levers'!$C$12="MS",('Net zero Activity data'!AH11*EF!$H24)*kgtoGg,"ERROR")))</f>
        <v>3.6273578032260737E-2</v>
      </c>
      <c r="P936" s="100">
        <f>IF('Net zero activities &amp; levers'!$C$12="Off",('Activity data'!AI11*EF!$H24)*kgtoGg,IF('Net zero activities &amp; levers'!$C$12="PB",('Activity data'!AI11*EF!$H24)*kgtoGg,IF('Net zero activities &amp; levers'!$C$12="MS",('Net zero Activity data'!AI11*EF!$H24)*kgtoGg,"ERROR")))</f>
        <v>3.6386354948245533E-2</v>
      </c>
      <c r="Q936" s="100">
        <f>IF('Net zero activities &amp; levers'!$C$12="Off",('Activity data'!AJ11*EF!$H24)*kgtoGg,IF('Net zero activities &amp; levers'!$C$12="PB",('Activity data'!AJ11*EF!$H24)*kgtoGg,IF('Net zero activities &amp; levers'!$C$12="MS",('Net zero Activity data'!AJ11*EF!$H24)*kgtoGg,"ERROR")))</f>
        <v>3.6511983860861394E-2</v>
      </c>
      <c r="R936" s="100">
        <f>IF('Net zero activities &amp; levers'!$C$12="Off",('Activity data'!AK11*EF!$H24)*kgtoGg,IF('Net zero activities &amp; levers'!$C$12="PB",('Activity data'!AK11*EF!$H24)*kgtoGg,IF('Net zero activities &amp; levers'!$C$12="MS",('Net zero Activity data'!AK11*EF!$H24)*kgtoGg,"ERROR")))</f>
        <v>3.6648137011074396E-2</v>
      </c>
      <c r="S936" s="100">
        <f>IF('Net zero activities &amp; levers'!$C$12="Off",('Activity data'!AL11*EF!$H24)*kgtoGg,IF('Net zero activities &amp; levers'!$C$12="PB",('Activity data'!AL11*EF!$H24)*kgtoGg,IF('Net zero activities &amp; levers'!$C$12="MS",('Net zero Activity data'!AL11*EF!$H24)*kgtoGg,"ERROR")))</f>
        <v>3.6776081758532232E-2</v>
      </c>
      <c r="T936" s="100">
        <f>IF('Net zero activities &amp; levers'!$C$12="Off",('Activity data'!AM11*EF!$H24)*kgtoGg,IF('Net zero activities &amp; levers'!$C$12="PB",('Activity data'!AM11*EF!$H24)*kgtoGg,IF('Net zero activities &amp; levers'!$C$12="MS",('Net zero Activity data'!AM11*EF!$H24)*kgtoGg,"ERROR")))</f>
        <v>3.6829526757110792E-2</v>
      </c>
      <c r="U936" s="100">
        <f>IF('Net zero activities &amp; levers'!$C$12="Off",('Activity data'!AN11*EF!$H24)*kgtoGg,IF('Net zero activities &amp; levers'!$C$12="PB",('Activity data'!AN11*EF!$H24)*kgtoGg,IF('Net zero activities &amp; levers'!$C$12="MS",('Net zero Activity data'!AN11*EF!$H24)*kgtoGg,"ERROR")))</f>
        <v>3.6891543145696586E-2</v>
      </c>
      <c r="V936" s="100">
        <f>IF('Net zero activities &amp; levers'!$C$12="Off",('Activity data'!AO11*EF!$H24)*kgtoGg,IF('Net zero activities &amp; levers'!$C$12="PB",('Activity data'!AO11*EF!$H24)*kgtoGg,IF('Net zero activities &amp; levers'!$C$12="MS",('Net zero Activity data'!AO11*EF!$H24)*kgtoGg,"ERROR")))</f>
        <v>3.6962118208236874E-2</v>
      </c>
      <c r="W936" s="100">
        <f>IF('Net zero activities &amp; levers'!$C$12="Off",('Activity data'!AP11*EF!$H24)*kgtoGg,IF('Net zero activities &amp; levers'!$C$12="PB",('Activity data'!AP11*EF!$H24)*kgtoGg,IF('Net zero activities &amp; levers'!$C$12="MS",('Net zero Activity data'!AP11*EF!$H24)*kgtoGg,"ERROR")))</f>
        <v>3.7041617602425879E-2</v>
      </c>
      <c r="X936" s="100">
        <f>IF('Net zero activities &amp; levers'!$C$12="Off",('Activity data'!AQ11*EF!$H24)*kgtoGg,IF('Net zero activities &amp; levers'!$C$12="PB",('Activity data'!AQ11*EF!$H24)*kgtoGg,IF('Net zero activities &amp; levers'!$C$12="MS",('Net zero Activity data'!AQ11*EF!$H24)*kgtoGg,"ERROR")))</f>
        <v>3.71287668347723E-2</v>
      </c>
      <c r="Y936" s="100">
        <f>IF('Net zero activities &amp; levers'!$C$12="Off",('Activity data'!AR11*EF!$H24)*kgtoGg,IF('Net zero activities &amp; levers'!$C$12="PB",('Activity data'!AR11*EF!$H24)*kgtoGg,IF('Net zero activities &amp; levers'!$C$12="MS",('Net zero Activity data'!AR11*EF!$H24)*kgtoGg,"ERROR")))</f>
        <v>3.7182413833591089E-2</v>
      </c>
      <c r="Z936" s="100">
        <f>IF('Net zero activities &amp; levers'!$C$12="Off",('Activity data'!AS11*EF!$H24)*kgtoGg,IF('Net zero activities &amp; levers'!$C$12="PB",('Activity data'!AS11*EF!$H24)*kgtoGg,IF('Net zero activities &amp; levers'!$C$12="MS",('Net zero Activity data'!AS11*EF!$H24)*kgtoGg,"ERROR")))</f>
        <v>3.7242338638937944E-2</v>
      </c>
      <c r="AA936" s="100">
        <f>IF('Net zero activities &amp; levers'!$C$12="Off",('Activity data'!AT11*EF!$H24)*kgtoGg,IF('Net zero activities &amp; levers'!$C$12="PB",('Activity data'!AT11*EF!$H24)*kgtoGg,IF('Net zero activities &amp; levers'!$C$12="MS",('Net zero Activity data'!AT11*EF!$H24)*kgtoGg,"ERROR")))</f>
        <v>3.7308758714658788E-2</v>
      </c>
      <c r="AB936" s="100">
        <f>IF('Net zero activities &amp; levers'!$C$12="Off",('Activity data'!AU11*EF!$H24)*kgtoGg,IF('Net zero activities &amp; levers'!$C$12="PB",('Activity data'!AU11*EF!$H24)*kgtoGg,IF('Net zero activities &amp; levers'!$C$12="MS",('Net zero Activity data'!AU11*EF!$H24)*kgtoGg,"ERROR")))</f>
        <v>3.7380653555679967E-2</v>
      </c>
      <c r="AC936" s="100">
        <f>IF('Net zero activities &amp; levers'!$C$12="Off",('Activity data'!AV11*EF!$H24)*kgtoGg,IF('Net zero activities &amp; levers'!$C$12="PB",('Activity data'!AV11*EF!$H24)*kgtoGg,IF('Net zero activities &amp; levers'!$C$12="MS",('Net zero Activity data'!AV11*EF!$H24)*kgtoGg,"ERROR")))</f>
        <v>3.7458280228605825E-2</v>
      </c>
      <c r="AD936" s="100">
        <f>IF('Net zero activities &amp; levers'!$C$12="Off",('Activity data'!AW11*EF!$H24)*kgtoGg,IF('Net zero activities &amp; levers'!$C$12="PB",('Activity data'!AW11*EF!$H24)*kgtoGg,IF('Net zero activities &amp; levers'!$C$12="MS",('Net zero Activity data'!AW11*EF!$H24)*kgtoGg,"ERROR")))</f>
        <v>3.7509383313851091E-2</v>
      </c>
      <c r="AE936" s="100">
        <f>IF('Net zero activities &amp; levers'!$C$12="Off",('Activity data'!AX11*EF!$H24)*kgtoGg,IF('Net zero activities &amp; levers'!$C$12="PB",('Activity data'!AX11*EF!$H24)*kgtoGg,IF('Net zero activities &amp; levers'!$C$12="MS",('Net zero Activity data'!AX11*EF!$H24)*kgtoGg,"ERROR")))</f>
        <v>3.7565861655525674E-2</v>
      </c>
      <c r="AF936" s="100">
        <f>IF('Net zero activities &amp; levers'!$C$12="Off",('Activity data'!AY11*EF!$H24)*kgtoGg,IF('Net zero activities &amp; levers'!$C$12="PB",('Activity data'!AY11*EF!$H24)*kgtoGg,IF('Net zero activities &amp; levers'!$C$12="MS",('Net zero Activity data'!AY11*EF!$H24)*kgtoGg,"ERROR")))</f>
        <v>3.7627207315702967E-2</v>
      </c>
      <c r="AG936" s="100">
        <f>IF('Net zero activities &amp; levers'!$C$12="Off",('Activity data'!AZ11*EF!$H24)*kgtoGg,IF('Net zero activities &amp; levers'!$C$12="PB",('Activity data'!AZ11*EF!$H24)*kgtoGg,IF('Net zero activities &amp; levers'!$C$12="MS",('Net zero Activity data'!AZ11*EF!$H24)*kgtoGg,"ERROR")))</f>
        <v>3.7686475047494471E-2</v>
      </c>
      <c r="AH936" s="100">
        <f>IF('Net zero activities &amp; levers'!$C$12="Off",('Activity data'!BA11*EF!$H24)*kgtoGg,IF('Net zero activities &amp; levers'!$C$12="PB",('Activity data'!BA11*EF!$H24)*kgtoGg,IF('Net zero activities &amp; levers'!$C$12="MS",('Net zero Activity data'!BA11*EF!$H24)*kgtoGg,"ERROR")))</f>
        <v>3.7433087747828976E-2</v>
      </c>
      <c r="AI936" s="100">
        <f>IF('Net zero activities &amp; levers'!$C$12="Off",('Activity data'!BB11*EF!$H24)*kgtoGg,IF('Net zero activities &amp; levers'!$C$12="PB",('Activity data'!BB11*EF!$H24)*kgtoGg,IF('Net zero activities &amp; levers'!$C$12="MS",('Net zero Activity data'!BB11*EF!$H24)*kgtoGg,"ERROR")))</f>
        <v>3.7469072750832028E-2</v>
      </c>
      <c r="AJ936" s="100">
        <f>IF('Net zero activities &amp; levers'!$C$12="Off",('Activity data'!BC11*EF!$H24)*kgtoGg,IF('Net zero activities &amp; levers'!$C$12="PB",('Activity data'!BC11*EF!$H24)*kgtoGg,IF('Net zero activities &amp; levers'!$C$12="MS",('Net zero Activity data'!BC11*EF!$H24)*kgtoGg,"ERROR")))</f>
        <v>3.750878237989342E-2</v>
      </c>
      <c r="AK936" s="100">
        <f>IF('Net zero activities &amp; levers'!$C$12="Off",('Activity data'!BD11*EF!$H24)*kgtoGg,IF('Net zero activities &amp; levers'!$C$12="PB",('Activity data'!BD11*EF!$H24)*kgtoGg,IF('Net zero activities &amp; levers'!$C$12="MS",('Net zero Activity data'!BD11*EF!$H24)*kgtoGg,"ERROR")))</f>
        <v>3.7552075921765626E-2</v>
      </c>
      <c r="AL936" s="100">
        <f>IF('Net zero activities &amp; levers'!$C$12="Off",('Activity data'!BE11*EF!$H24)*kgtoGg,IF('Net zero activities &amp; levers'!$C$12="PB",('Activity data'!BE11*EF!$H24)*kgtoGg,IF('Net zero activities &amp; levers'!$C$12="MS",('Net zero Activity data'!BE11*EF!$H24)*kgtoGg,"ERROR")))</f>
        <v>3.7598823539459238E-2</v>
      </c>
      <c r="AM936" s="100">
        <f>IF('Net zero activities &amp; levers'!$C$12="Off",('Activity data'!BF11*EF!$H24)*kgtoGg,IF('Net zero activities &amp; levers'!$C$12="PB",('Activity data'!BF11*EF!$H24)*kgtoGg,IF('Net zero activities &amp; levers'!$C$12="MS",('Net zero Activity data'!BF11*EF!$H24)*kgtoGg,"ERROR")))</f>
        <v>3.7648905240168402E-2</v>
      </c>
      <c r="AN936" s="100">
        <f>IF('Net zero activities &amp; levers'!$C$12="Off",('Activity data'!BG11*EF!$H24)*kgtoGg,IF('Net zero activities &amp; levers'!$C$12="PB",('Activity data'!BG11*EF!$H24)*kgtoGg,IF('Net zero activities &amp; levers'!$C$12="MS",('Net zero Activity data'!BG11*EF!$H24)*kgtoGg,"ERROR")))</f>
        <v>3.76732099349424E-2</v>
      </c>
      <c r="AO936" s="100">
        <f>IF('Net zero activities &amp; levers'!$C$12="Off",('Activity data'!BH11*EF!$H24)*kgtoGg,IF('Net zero activities &amp; levers'!$C$12="PB",('Activity data'!BH11*EF!$H24)*kgtoGg,IF('Net zero activities &amp; levers'!$C$12="MS",('Net zero Activity data'!BH11*EF!$H24)*kgtoGg,"ERROR")))</f>
        <v>3.7700452169156254E-2</v>
      </c>
      <c r="AP936" s="100">
        <f>IF('Net zero activities &amp; levers'!$C$12="Off",('Activity data'!BI11*EF!$H24)*kgtoGg,IF('Net zero activities &amp; levers'!$C$12="PB",('Activity data'!BI11*EF!$H24)*kgtoGg,IF('Net zero activities &amp; levers'!$C$12="MS",('Net zero Activity data'!BI11*EF!$H24)*kgtoGg,"ERROR")))</f>
        <v>3.7730529709511379E-2</v>
      </c>
      <c r="AQ936" s="100">
        <f>IF('Net zero activities &amp; levers'!$C$12="Off",('Activity data'!BJ11*EF!$H24)*kgtoGg,IF('Net zero activities &amp; levers'!$C$12="PB",('Activity data'!BJ11*EF!$H24)*kgtoGg,IF('Net zero activities &amp; levers'!$C$12="MS",('Net zero Activity data'!BJ11*EF!$H24)*kgtoGg,"ERROR")))</f>
        <v>3.7763347319933152E-2</v>
      </c>
      <c r="AR936" s="100">
        <f>IF('Net zero activities &amp; levers'!$C$12="Off",('Activity data'!BK11*EF!$H24)*kgtoGg,IF('Net zero activities &amp; levers'!$C$12="PB",('Activity data'!BK11*EF!$H24)*kgtoGg,IF('Net zero activities &amp; levers'!$C$12="MS",('Net zero Activity data'!BK11*EF!$H24)*kgtoGg,"ERROR")))</f>
        <v>3.7798816167122655E-2</v>
      </c>
      <c r="AS936" s="100">
        <f>IF('Net zero activities &amp; levers'!$C$12="Off",('Activity data'!BL11*EF!$H24)*kgtoGg,IF('Net zero activities &amp; levers'!$C$12="PB",('Activity data'!BL11*EF!$H24)*kgtoGg,IF('Net zero activities &amp; levers'!$C$12="MS",('Net zero Activity data'!BL11*EF!$H24)*kgtoGg,"ERROR")))</f>
        <v>3.7807565900273503E-2</v>
      </c>
      <c r="AT936" s="100">
        <f>IF('Net zero activities &amp; levers'!$C$12="Off",('Activity data'!BM11*EF!$H24)*kgtoGg,IF('Net zero activities &amp; levers'!$C$12="PB",('Activity data'!BM11*EF!$H24)*kgtoGg,IF('Net zero activities &amp; levers'!$C$12="MS",('Net zero Activity data'!BM11*EF!$H24)*kgtoGg,"ERROR")))</f>
        <v>3.7818668604843612E-2</v>
      </c>
      <c r="AU936" s="100">
        <f>IF('Net zero activities &amp; levers'!$C$12="Off",('Activity data'!BN11*EF!$H24)*kgtoGg,IF('Net zero activities &amp; levers'!$C$12="PB",('Activity data'!BN11*EF!$H24)*kgtoGg,IF('Net zero activities &amp; levers'!$C$12="MS",('Net zero Activity data'!BN11*EF!$H24)*kgtoGg,"ERROR")))</f>
        <v>3.7832046350463708E-2</v>
      </c>
      <c r="AV936" s="100">
        <f>IF('Net zero activities &amp; levers'!$C$12="Off",('Activity data'!BO11*EF!$H24)*kgtoGg,IF('Net zero activities &amp; levers'!$C$12="PB",('Activity data'!BO11*EF!$H24)*kgtoGg,IF('Net zero activities &amp; levers'!$C$12="MS",('Net zero Activity data'!BO11*EF!$H24)*kgtoGg,"ERROR")))</f>
        <v>3.7847625965531671E-2</v>
      </c>
      <c r="AW936" s="100">
        <f>IF('Net zero activities &amp; levers'!$C$12="Off",('Activity data'!BP11*EF!$H24)*kgtoGg,IF('Net zero activities &amp; levers'!$C$12="PB",('Activity data'!BP11*EF!$H24)*kgtoGg,IF('Net zero activities &amp; levers'!$C$12="MS",('Net zero Activity data'!BP11*EF!$H24)*kgtoGg,"ERROR")))</f>
        <v>3.7865338671255785E-2</v>
      </c>
      <c r="AY936" s="85"/>
      <c r="AZ936" s="85"/>
    </row>
    <row r="937" spans="1:52" x14ac:dyDescent="0.25">
      <c r="A937" s="102" t="str">
        <f t="shared" si="326"/>
        <v>DS Sheep MMCH4</v>
      </c>
      <c r="B937" s="102" t="s">
        <v>975</v>
      </c>
      <c r="C937" s="102" t="s">
        <v>1325</v>
      </c>
      <c r="D937" t="s">
        <v>15</v>
      </c>
      <c r="E937" t="s">
        <v>22</v>
      </c>
      <c r="F937" t="s">
        <v>18</v>
      </c>
      <c r="G937" t="s">
        <v>123</v>
      </c>
      <c r="H937" t="s">
        <v>1228</v>
      </c>
      <c r="I937" t="s">
        <v>121</v>
      </c>
      <c r="J937" t="s">
        <v>286</v>
      </c>
      <c r="K937" s="100">
        <f>IF('Net zero activities &amp; levers'!$C$12="Off",('Activity data'!AD12*EF!$H25)*kgtoGg,IF('Net zero activities &amp; levers'!$C$12="PB",('Activity data'!AD12*EF!$H25)*kgtoGg,IF('Net zero activities &amp; levers'!$C$12="MS",('Net zero Activity data'!AD12*EF!$H25)*kgtoGg,"ERROR")))</f>
        <v>4.1175296849015851E-3</v>
      </c>
      <c r="L937" s="100">
        <f>IF('Net zero activities &amp; levers'!$C$12="Off",('Activity data'!AE12*EF!$H25)*kgtoGg,IF('Net zero activities &amp; levers'!$C$12="PB",('Activity data'!AE12*EF!$H25)*kgtoGg,IF('Net zero activities &amp; levers'!$C$12="MS",('Net zero Activity data'!AE12*EF!$H25)*kgtoGg,"ERROR")))</f>
        <v>4.1197782326532605E-3</v>
      </c>
      <c r="M937" s="100">
        <f>IF('Net zero activities &amp; levers'!$C$12="Off",('Activity data'!AF12*EF!$H25)*kgtoGg,IF('Net zero activities &amp; levers'!$C$12="PB",('Activity data'!AF12*EF!$H25)*kgtoGg,IF('Net zero activities &amp; levers'!$C$12="MS",('Net zero Activity data'!AF12*EF!$H25)*kgtoGg,"ERROR")))</f>
        <v>4.1248131630008617E-3</v>
      </c>
      <c r="N937" s="100">
        <f>IF('Net zero activities &amp; levers'!$C$12="Off",('Activity data'!AG12*EF!$H25)*kgtoGg,IF('Net zero activities &amp; levers'!$C$12="PB",('Activity data'!AG12*EF!$H25)*kgtoGg,IF('Net zero activities &amp; levers'!$C$12="MS",('Net zero Activity data'!AG12*EF!$H25)*kgtoGg,"ERROR")))</f>
        <v>4.1323917901954152E-3</v>
      </c>
      <c r="O937" s="100">
        <f>IF('Net zero activities &amp; levers'!$C$12="Off",('Activity data'!AH12*EF!$H25)*kgtoGg,IF('Net zero activities &amp; levers'!$C$12="PB",('Activity data'!AH12*EF!$H25)*kgtoGg,IF('Net zero activities &amp; levers'!$C$12="MS",('Net zero Activity data'!AH12*EF!$H25)*kgtoGg,"ERROR")))</f>
        <v>4.1426155102936933E-3</v>
      </c>
      <c r="P937" s="100">
        <f>IF('Net zero activities &amp; levers'!$C$12="Off",('Activity data'!AI12*EF!$H25)*kgtoGg,IF('Net zero activities &amp; levers'!$C$12="PB",('Activity data'!AI12*EF!$H25)*kgtoGg,IF('Net zero activities &amp; levers'!$C$12="MS",('Net zero Activity data'!AI12*EF!$H25)*kgtoGg,"ERROR")))</f>
        <v>4.1554951716534349E-3</v>
      </c>
      <c r="Q937" s="100">
        <f>IF('Net zero activities &amp; levers'!$C$12="Off",('Activity data'!AJ12*EF!$H25)*kgtoGg,IF('Net zero activities &amp; levers'!$C$12="PB",('Activity data'!AJ12*EF!$H25)*kgtoGg,IF('Net zero activities &amp; levers'!$C$12="MS",('Net zero Activity data'!AJ12*EF!$H25)*kgtoGg,"ERROR")))</f>
        <v>4.1698425922878412E-3</v>
      </c>
      <c r="R937" s="100">
        <f>IF('Net zero activities &amp; levers'!$C$12="Off",('Activity data'!AK12*EF!$H25)*kgtoGg,IF('Net zero activities &amp; levers'!$C$12="PB",('Activity data'!AK12*EF!$H25)*kgtoGg,IF('Net zero activities &amp; levers'!$C$12="MS",('Net zero Activity data'!AK12*EF!$H25)*kgtoGg,"ERROR")))</f>
        <v>4.1853919310199088E-3</v>
      </c>
      <c r="S937" s="100">
        <f>IF('Net zero activities &amp; levers'!$C$12="Off",('Activity data'!AL12*EF!$H25)*kgtoGg,IF('Net zero activities &amp; levers'!$C$12="PB",('Activity data'!AL12*EF!$H25)*kgtoGg,IF('Net zero activities &amp; levers'!$C$12="MS",('Net zero Activity data'!AL12*EF!$H25)*kgtoGg,"ERROR")))</f>
        <v>4.2000038310317607E-3</v>
      </c>
      <c r="T937" s="100">
        <f>IF('Net zero activities &amp; levers'!$C$12="Off",('Activity data'!AM12*EF!$H25)*kgtoGg,IF('Net zero activities &amp; levers'!$C$12="PB",('Activity data'!AM12*EF!$H25)*kgtoGg,IF('Net zero activities &amp; levers'!$C$12="MS",('Net zero Activity data'!AM12*EF!$H25)*kgtoGg,"ERROR")))</f>
        <v>4.2061075046164898E-3</v>
      </c>
      <c r="U937" s="100">
        <f>IF('Net zero activities &amp; levers'!$C$12="Off",('Activity data'!AN12*EF!$H25)*kgtoGg,IF('Net zero activities &amp; levers'!$C$12="PB",('Activity data'!AN12*EF!$H25)*kgtoGg,IF('Net zero activities &amp; levers'!$C$12="MS",('Net zero Activity data'!AN12*EF!$H25)*kgtoGg,"ERROR")))</f>
        <v>4.2131900717958127E-3</v>
      </c>
      <c r="V937" s="100">
        <f>IF('Net zero activities &amp; levers'!$C$12="Off",('Activity data'!AO12*EF!$H25)*kgtoGg,IF('Net zero activities &amp; levers'!$C$12="PB",('Activity data'!AO12*EF!$H25)*kgtoGg,IF('Net zero activities &amp; levers'!$C$12="MS",('Net zero Activity data'!AO12*EF!$H25)*kgtoGg,"ERROR")))</f>
        <v>4.2212500803358944E-3</v>
      </c>
      <c r="W937" s="100">
        <f>IF('Net zero activities &amp; levers'!$C$12="Off",('Activity data'!AP12*EF!$H25)*kgtoGg,IF('Net zero activities &amp; levers'!$C$12="PB",('Activity data'!AP12*EF!$H25)*kgtoGg,IF('Net zero activities &amp; levers'!$C$12="MS",('Net zero Activity data'!AP12*EF!$H25)*kgtoGg,"ERROR")))</f>
        <v>4.2303292900883332E-3</v>
      </c>
      <c r="X937" s="100">
        <f>IF('Net zero activities &amp; levers'!$C$12="Off",('Activity data'!AQ12*EF!$H25)*kgtoGg,IF('Net zero activities &amp; levers'!$C$12="PB",('Activity data'!AQ12*EF!$H25)*kgtoGg,IF('Net zero activities &amp; levers'!$C$12="MS",('Net zero Activity data'!AQ12*EF!$H25)*kgtoGg,"ERROR")))</f>
        <v>4.2402821478215117E-3</v>
      </c>
      <c r="Y937" s="100">
        <f>IF('Net zero activities &amp; levers'!$C$12="Off",('Activity data'!AR12*EF!$H25)*kgtoGg,IF('Net zero activities &amp; levers'!$C$12="PB",('Activity data'!AR12*EF!$H25)*kgtoGg,IF('Net zero activities &amp; levers'!$C$12="MS",('Net zero Activity data'!AR12*EF!$H25)*kgtoGg,"ERROR")))</f>
        <v>4.2464088907965165E-3</v>
      </c>
      <c r="Z937" s="100">
        <f>IF('Net zero activities &amp; levers'!$C$12="Off",('Activity data'!AS12*EF!$H25)*kgtoGg,IF('Net zero activities &amp; levers'!$C$12="PB",('Activity data'!AS12*EF!$H25)*kgtoGg,IF('Net zero activities &amp; levers'!$C$12="MS",('Net zero Activity data'!AS12*EF!$H25)*kgtoGg,"ERROR")))</f>
        <v>4.2532525892003629E-3</v>
      </c>
      <c r="AA937" s="100">
        <f>IF('Net zero activities &amp; levers'!$C$12="Off",('Activity data'!AT12*EF!$H25)*kgtoGg,IF('Net zero activities &amp; levers'!$C$12="PB",('Activity data'!AT12*EF!$H25)*kgtoGg,IF('Net zero activities &amp; levers'!$C$12="MS",('Net zero Activity data'!AT12*EF!$H25)*kgtoGg,"ERROR")))</f>
        <v>4.2608380784408054E-3</v>
      </c>
      <c r="AB937" s="100">
        <f>IF('Net zero activities &amp; levers'!$C$12="Off",('Activity data'!AU12*EF!$H25)*kgtoGg,IF('Net zero activities &amp; levers'!$C$12="PB",('Activity data'!AU12*EF!$H25)*kgtoGg,IF('Net zero activities &amp; levers'!$C$12="MS",('Net zero Activity data'!AU12*EF!$H25)*kgtoGg,"ERROR")))</f>
        <v>4.2690488119741668E-3</v>
      </c>
      <c r="AC937" s="100">
        <f>IF('Net zero activities &amp; levers'!$C$12="Off",('Activity data'!AV12*EF!$H25)*kgtoGg,IF('Net zero activities &amp; levers'!$C$12="PB",('Activity data'!AV12*EF!$H25)*kgtoGg,IF('Net zero activities &amp; levers'!$C$12="MS",('Net zero Activity data'!AV12*EF!$H25)*kgtoGg,"ERROR")))</f>
        <v>4.2779141480319745E-3</v>
      </c>
      <c r="AD937" s="100">
        <f>IF('Net zero activities &amp; levers'!$C$12="Off",('Activity data'!AW12*EF!$H25)*kgtoGg,IF('Net zero activities &amp; levers'!$C$12="PB",('Activity data'!AW12*EF!$H25)*kgtoGg,IF('Net zero activities &amp; levers'!$C$12="MS",('Net zero Activity data'!AW12*EF!$H25)*kgtoGg,"ERROR")))</f>
        <v>4.2837503639512487E-3</v>
      </c>
      <c r="AE937" s="100">
        <f>IF('Net zero activities &amp; levers'!$C$12="Off",('Activity data'!AX12*EF!$H25)*kgtoGg,IF('Net zero activities &amp; levers'!$C$12="PB",('Activity data'!AX12*EF!$H25)*kgtoGg,IF('Net zero activities &amp; levers'!$C$12="MS",('Net zero Activity data'!AX12*EF!$H25)*kgtoGg,"ERROR")))</f>
        <v>4.2902004597760585E-3</v>
      </c>
      <c r="AF937" s="100">
        <f>IF('Net zero activities &amp; levers'!$C$12="Off",('Activity data'!AY12*EF!$H25)*kgtoGg,IF('Net zero activities &amp; levers'!$C$12="PB",('Activity data'!AY12*EF!$H25)*kgtoGg,IF('Net zero activities &amp; levers'!$C$12="MS",('Net zero Activity data'!AY12*EF!$H25)*kgtoGg,"ERROR")))</f>
        <v>4.2972064265740855E-3</v>
      </c>
      <c r="AG937" s="100">
        <f>IF('Net zero activities &amp; levers'!$C$12="Off",('Activity data'!AZ12*EF!$H25)*kgtoGg,IF('Net zero activities &amp; levers'!$C$12="PB",('Activity data'!AZ12*EF!$H25)*kgtoGg,IF('Net zero activities &amp; levers'!$C$12="MS",('Net zero Activity data'!AZ12*EF!$H25)*kgtoGg,"ERROR")))</f>
        <v>4.3039750840459523E-3</v>
      </c>
      <c r="AH937" s="100">
        <f>IF('Net zero activities &amp; levers'!$C$12="Off",('Activity data'!BA12*EF!$H25)*kgtoGg,IF('Net zero activities &amp; levers'!$C$12="PB",('Activity data'!BA12*EF!$H25)*kgtoGg,IF('Net zero activities &amp; levers'!$C$12="MS",('Net zero Activity data'!BA12*EF!$H25)*kgtoGg,"ERROR")))</f>
        <v>4.2750370466466056E-3</v>
      </c>
      <c r="AI937" s="100">
        <f>IF('Net zero activities &amp; levers'!$C$12="Off",('Activity data'!BB12*EF!$H25)*kgtoGg,IF('Net zero activities &amp; levers'!$C$12="PB",('Activity data'!BB12*EF!$H25)*kgtoGg,IF('Net zero activities &amp; levers'!$C$12="MS",('Net zero Activity data'!BB12*EF!$H25)*kgtoGg,"ERROR")))</f>
        <v>4.2791467055130613E-3</v>
      </c>
      <c r="AJ937" s="100">
        <f>IF('Net zero activities &amp; levers'!$C$12="Off",('Activity data'!BC12*EF!$H25)*kgtoGg,IF('Net zero activities &amp; levers'!$C$12="PB",('Activity data'!BC12*EF!$H25)*kgtoGg,IF('Net zero activities &amp; levers'!$C$12="MS",('Net zero Activity data'!BC12*EF!$H25)*kgtoGg,"ERROR")))</f>
        <v>4.2836817344289136E-3</v>
      </c>
      <c r="AK937" s="100">
        <f>IF('Net zero activities &amp; levers'!$C$12="Off",('Activity data'!BD12*EF!$H25)*kgtoGg,IF('Net zero activities &amp; levers'!$C$12="PB",('Activity data'!BD12*EF!$H25)*kgtoGg,IF('Net zero activities &amp; levers'!$C$12="MS",('Net zero Activity data'!BD12*EF!$H25)*kgtoGg,"ERROR")))</f>
        <v>4.2886260632705817E-3</v>
      </c>
      <c r="AL937" s="100">
        <f>IF('Net zero activities &amp; levers'!$C$12="Off",('Activity data'!BE12*EF!$H25)*kgtoGg,IF('Net zero activities &amp; levers'!$C$12="PB",('Activity data'!BE12*EF!$H25)*kgtoGg,IF('Net zero activities &amp; levers'!$C$12="MS",('Net zero Activity data'!BE12*EF!$H25)*kgtoGg,"ERROR")))</f>
        <v>4.2939648640350006E-3</v>
      </c>
      <c r="AM937" s="100">
        <f>IF('Net zero activities &amp; levers'!$C$12="Off",('Activity data'!BF12*EF!$H25)*kgtoGg,IF('Net zero activities &amp; levers'!$C$12="PB",('Activity data'!BF12*EF!$H25)*kgtoGg,IF('Net zero activities &amp; levers'!$C$12="MS",('Net zero Activity data'!BF12*EF!$H25)*kgtoGg,"ERROR")))</f>
        <v>4.2996844329717928E-3</v>
      </c>
      <c r="AN937" s="100">
        <f>IF('Net zero activities &amp; levers'!$C$12="Off",('Activity data'!BG12*EF!$H25)*kgtoGg,IF('Net zero activities &amp; levers'!$C$12="PB",('Activity data'!BG12*EF!$H25)*kgtoGg,IF('Net zero activities &amp; levers'!$C$12="MS",('Net zero Activity data'!BG12*EF!$H25)*kgtoGg,"ERROR")))</f>
        <v>4.3024601449639811E-3</v>
      </c>
      <c r="AO937" s="100">
        <f>IF('Net zero activities &amp; levers'!$C$12="Off",('Activity data'!BH12*EF!$H25)*kgtoGg,IF('Net zero activities &amp; levers'!$C$12="PB",('Activity data'!BH12*EF!$H25)*kgtoGg,IF('Net zero activities &amp; levers'!$C$12="MS",('Net zero Activity data'!BH12*EF!$H25)*kgtoGg,"ERROR")))</f>
        <v>4.3055713379620639E-3</v>
      </c>
      <c r="AP937" s="100">
        <f>IF('Net zero activities &amp; levers'!$C$12="Off",('Activity data'!BI12*EF!$H25)*kgtoGg,IF('Net zero activities &amp; levers'!$C$12="PB",('Activity data'!BI12*EF!$H25)*kgtoGg,IF('Net zero activities &amp; levers'!$C$12="MS",('Net zero Activity data'!BI12*EF!$H25)*kgtoGg,"ERROR")))</f>
        <v>4.3090063364360429E-3</v>
      </c>
      <c r="AQ937" s="100">
        <f>IF('Net zero activities &amp; levers'!$C$12="Off",('Activity data'!BJ12*EF!$H25)*kgtoGg,IF('Net zero activities &amp; levers'!$C$12="PB",('Activity data'!BJ12*EF!$H25)*kgtoGg,IF('Net zero activities &amp; levers'!$C$12="MS",('Net zero Activity data'!BJ12*EF!$H25)*kgtoGg,"ERROR")))</f>
        <v>4.3127542639722558E-3</v>
      </c>
      <c r="AR937" s="100">
        <f>IF('Net zero activities &amp; levers'!$C$12="Off",('Activity data'!BK12*EF!$H25)*kgtoGg,IF('Net zero activities &amp; levers'!$C$12="PB",('Activity data'!BK12*EF!$H25)*kgtoGg,IF('Net zero activities &amp; levers'!$C$12="MS",('Net zero Activity data'!BK12*EF!$H25)*kgtoGg,"ERROR")))</f>
        <v>4.3168049753845332E-3</v>
      </c>
      <c r="AS937" s="100">
        <f>IF('Net zero activities &amp; levers'!$C$12="Off",('Activity data'!BL12*EF!$H25)*kgtoGg,IF('Net zero activities &amp; levers'!$C$12="PB",('Activity data'!BL12*EF!$H25)*kgtoGg,IF('Net zero activities &amp; levers'!$C$12="MS",('Net zero Activity data'!BL12*EF!$H25)*kgtoGg,"ERROR")))</f>
        <v>4.3178042366162055E-3</v>
      </c>
      <c r="AT937" s="100">
        <f>IF('Net zero activities &amp; levers'!$C$12="Off",('Activity data'!BM12*EF!$H25)*kgtoGg,IF('Net zero activities &amp; levers'!$C$12="PB",('Activity data'!BM12*EF!$H25)*kgtoGg,IF('Net zero activities &amp; levers'!$C$12="MS",('Net zero Activity data'!BM12*EF!$H25)*kgtoGg,"ERROR")))</f>
        <v>4.3190722183994593E-3</v>
      </c>
      <c r="AU937" s="100">
        <f>IF('Net zero activities &amp; levers'!$C$12="Off",('Activity data'!BN12*EF!$H25)*kgtoGg,IF('Net zero activities &amp; levers'!$C$12="PB",('Activity data'!BN12*EF!$H25)*kgtoGg,IF('Net zero activities &amp; levers'!$C$12="MS",('Net zero Activity data'!BN12*EF!$H25)*kgtoGg,"ERROR")))</f>
        <v>4.3206000207146669E-3</v>
      </c>
      <c r="AV937" s="100">
        <f>IF('Net zero activities &amp; levers'!$C$12="Off",('Activity data'!BO12*EF!$H25)*kgtoGg,IF('Net zero activities &amp; levers'!$C$12="PB",('Activity data'!BO12*EF!$H25)*kgtoGg,IF('Net zero activities &amp; levers'!$C$12="MS",('Net zero Activity data'!BO12*EF!$H25)*kgtoGg,"ERROR")))</f>
        <v>4.3223792870160944E-3</v>
      </c>
      <c r="AW937" s="100">
        <f>IF('Net zero activities &amp; levers'!$C$12="Off",('Activity data'!BP12*EF!$H25)*kgtoGg,IF('Net zero activities &amp; levers'!$C$12="PB",('Activity data'!BP12*EF!$H25)*kgtoGg,IF('Net zero activities &amp; levers'!$C$12="MS",('Net zero Activity data'!BP12*EF!$H25)*kgtoGg,"ERROR")))</f>
        <v>4.3244021624378867E-3</v>
      </c>
      <c r="AY937" s="85"/>
      <c r="AZ937" s="85"/>
    </row>
    <row r="938" spans="1:52" x14ac:dyDescent="0.25">
      <c r="A938" s="102" t="str">
        <f t="shared" si="326"/>
        <v>DS Goats MMCH4</v>
      </c>
      <c r="B938" s="102" t="s">
        <v>975</v>
      </c>
      <c r="C938" s="102" t="s">
        <v>1326</v>
      </c>
      <c r="D938" t="s">
        <v>15</v>
      </c>
      <c r="E938" t="s">
        <v>22</v>
      </c>
      <c r="F938" t="s">
        <v>19</v>
      </c>
      <c r="G938" t="s">
        <v>122</v>
      </c>
      <c r="H938" t="s">
        <v>1228</v>
      </c>
      <c r="I938" t="s">
        <v>121</v>
      </c>
      <c r="J938" t="s">
        <v>286</v>
      </c>
      <c r="K938" s="28">
        <f t="shared" ref="K938:Z941" si="333">K1401</f>
        <v>1.578914847670768E-2</v>
      </c>
      <c r="L938" s="28">
        <f t="shared" si="333"/>
        <v>1.5830330315974785E-2</v>
      </c>
      <c r="M938" s="28">
        <f t="shared" si="333"/>
        <v>1.5885208764738982E-2</v>
      </c>
      <c r="N938" s="28">
        <f t="shared" si="333"/>
        <v>1.5952563767257691E-2</v>
      </c>
      <c r="O938" s="28">
        <f t="shared" si="333"/>
        <v>1.6033204709528407E-2</v>
      </c>
      <c r="P938" s="28">
        <f t="shared" si="333"/>
        <v>1.6127346186936543E-2</v>
      </c>
      <c r="Q938" s="28">
        <f t="shared" si="333"/>
        <v>1.6228000781801349E-2</v>
      </c>
      <c r="R938" s="28">
        <f t="shared" si="333"/>
        <v>1.6333729215934008E-2</v>
      </c>
      <c r="S938" s="28">
        <f t="shared" si="333"/>
        <v>1.6431946287378985E-2</v>
      </c>
      <c r="T938" s="28">
        <f t="shared" si="333"/>
        <v>1.6477973799395588E-2</v>
      </c>
      <c r="U938" s="28">
        <f t="shared" si="333"/>
        <v>1.6528445517692184E-2</v>
      </c>
      <c r="V938" s="28">
        <f t="shared" si="333"/>
        <v>1.6583425492153747E-2</v>
      </c>
      <c r="W938" s="28">
        <f t="shared" si="333"/>
        <v>1.6643220540411473E-2</v>
      </c>
      <c r="X938" s="28">
        <f t="shared" si="333"/>
        <v>1.6707025590946629E-2</v>
      </c>
      <c r="Y938" s="28">
        <f t="shared" si="333"/>
        <v>1.6747356446044817E-2</v>
      </c>
      <c r="Z938" s="28">
        <f t="shared" si="333"/>
        <v>1.679099238038791E-2</v>
      </c>
      <c r="AA938" s="28">
        <f t="shared" ref="L938:AW941" si="334">AA1401</f>
        <v>1.6838113918664795E-2</v>
      </c>
      <c r="AB938" s="28">
        <f t="shared" si="334"/>
        <v>1.6888072337895171E-2</v>
      </c>
      <c r="AC938" s="28">
        <f t="shared" si="334"/>
        <v>1.6941067477261811E-2</v>
      </c>
      <c r="AD938" s="28">
        <f t="shared" si="334"/>
        <v>1.6975775774690904E-2</v>
      </c>
      <c r="AE938" s="28">
        <f t="shared" si="334"/>
        <v>1.7013417171997135E-2</v>
      </c>
      <c r="AF938" s="28">
        <f t="shared" si="334"/>
        <v>1.7053673452645857E-2</v>
      </c>
      <c r="AG938" s="28">
        <f t="shared" si="334"/>
        <v>1.7091991548522943E-2</v>
      </c>
      <c r="AH938" s="28">
        <f t="shared" si="334"/>
        <v>1.6924485926797139E-2</v>
      </c>
      <c r="AI938" s="28">
        <f t="shared" si="334"/>
        <v>1.6946898224790095E-2</v>
      </c>
      <c r="AJ938" s="28">
        <f t="shared" si="334"/>
        <v>1.6971320122511346E-2</v>
      </c>
      <c r="AK938" s="28">
        <f t="shared" si="334"/>
        <v>1.6997670008444151E-2</v>
      </c>
      <c r="AL938" s="28">
        <f t="shared" si="334"/>
        <v>1.7025872601317771E-2</v>
      </c>
      <c r="AM938" s="28">
        <f t="shared" si="334"/>
        <v>1.7055858343998281E-2</v>
      </c>
      <c r="AN938" s="28">
        <f t="shared" si="334"/>
        <v>1.706872967637315E-2</v>
      </c>
      <c r="AO938" s="28">
        <f t="shared" si="334"/>
        <v>1.7083207389206864E-2</v>
      </c>
      <c r="AP938" s="28">
        <f t="shared" si="334"/>
        <v>1.7099230922033661E-2</v>
      </c>
      <c r="AQ938" s="28">
        <f t="shared" si="334"/>
        <v>1.7116743868978143E-2</v>
      </c>
      <c r="AR938" s="28">
        <f t="shared" si="334"/>
        <v>1.7135693622819574E-2</v>
      </c>
      <c r="AS938" s="28">
        <f t="shared" si="334"/>
        <v>1.7137172081504573E-2</v>
      </c>
      <c r="AT938" s="28">
        <f t="shared" si="334"/>
        <v>1.7139965381039082E-2</v>
      </c>
      <c r="AU938" s="28">
        <f t="shared" si="334"/>
        <v>1.7144026301455787E-2</v>
      </c>
      <c r="AV938" s="28">
        <f t="shared" si="334"/>
        <v>1.7149310513066243E-2</v>
      </c>
      <c r="AW938" s="28">
        <f t="shared" si="334"/>
        <v>1.7155776352544339E-2</v>
      </c>
      <c r="AY938" s="85"/>
      <c r="AZ938" s="85"/>
    </row>
    <row r="939" spans="1:52" x14ac:dyDescent="0.25">
      <c r="A939" s="102" t="str">
        <f t="shared" si="326"/>
        <v>DS Goats MMCH4</v>
      </c>
      <c r="B939" s="102" t="s">
        <v>975</v>
      </c>
      <c r="C939" s="102" t="s">
        <v>1326</v>
      </c>
      <c r="D939" t="s">
        <v>15</v>
      </c>
      <c r="E939" t="s">
        <v>22</v>
      </c>
      <c r="F939" t="s">
        <v>19</v>
      </c>
      <c r="G939" t="s">
        <v>123</v>
      </c>
      <c r="H939" t="s">
        <v>1228</v>
      </c>
      <c r="I939" t="s">
        <v>121</v>
      </c>
      <c r="J939" t="s">
        <v>286</v>
      </c>
      <c r="K939" s="28">
        <f t="shared" si="333"/>
        <v>2.6591335822255355E-2</v>
      </c>
      <c r="L939" s="28">
        <f t="shared" si="334"/>
        <v>2.6660692324877722E-2</v>
      </c>
      <c r="M939" s="28">
        <f t="shared" si="334"/>
        <v>2.6753116008311057E-2</v>
      </c>
      <c r="N939" s="28">
        <f t="shared" si="334"/>
        <v>2.6866552112476273E-2</v>
      </c>
      <c r="O939" s="28">
        <f t="shared" si="334"/>
        <v>2.7002363766924078E-2</v>
      </c>
      <c r="P939" s="28">
        <f t="shared" si="334"/>
        <v>2.7160912383035713E-2</v>
      </c>
      <c r="Q939" s="28">
        <f t="shared" si="334"/>
        <v>2.7330430082995998E-2</v>
      </c>
      <c r="R939" s="28">
        <f t="shared" si="334"/>
        <v>2.7508492902668026E-2</v>
      </c>
      <c r="S939" s="28">
        <f t="shared" si="334"/>
        <v>2.7673905441167147E-2</v>
      </c>
      <c r="T939" s="28">
        <f t="shared" si="334"/>
        <v>2.7751422796260871E-2</v>
      </c>
      <c r="U939" s="28">
        <f t="shared" si="334"/>
        <v>2.783642487301826E-2</v>
      </c>
      <c r="V939" s="28">
        <f t="shared" si="334"/>
        <v>2.7929019541221126E-2</v>
      </c>
      <c r="W939" s="28">
        <f t="shared" si="334"/>
        <v>2.8029723528587808E-2</v>
      </c>
      <c r="X939" s="28">
        <f t="shared" si="334"/>
        <v>2.813718097180834E-2</v>
      </c>
      <c r="Y939" s="28">
        <f t="shared" si="334"/>
        <v>2.8205104287210486E-2</v>
      </c>
      <c r="Z939" s="28">
        <f t="shared" si="334"/>
        <v>2.827859386049221E-2</v>
      </c>
      <c r="AA939" s="28">
        <f t="shared" si="334"/>
        <v>2.8357953722781829E-2</v>
      </c>
      <c r="AB939" s="28">
        <f t="shared" si="334"/>
        <v>2.8442091325570455E-2</v>
      </c>
      <c r="AC939" s="28">
        <f t="shared" si="334"/>
        <v>2.8531343228541953E-2</v>
      </c>
      <c r="AD939" s="28">
        <f t="shared" si="334"/>
        <v>2.8589797298697615E-2</v>
      </c>
      <c r="AE939" s="28">
        <f t="shared" si="334"/>
        <v>2.8653191156704935E-2</v>
      </c>
      <c r="AF939" s="28">
        <f t="shared" si="334"/>
        <v>2.8720988877352402E-2</v>
      </c>
      <c r="AG939" s="28">
        <f t="shared" si="334"/>
        <v>2.8785522399032822E-2</v>
      </c>
      <c r="AH939" s="28">
        <f t="shared" si="334"/>
        <v>2.8503417366833182E-2</v>
      </c>
      <c r="AI939" s="28">
        <f t="shared" si="334"/>
        <v>2.8541163097285861E-2</v>
      </c>
      <c r="AJ939" s="28">
        <f t="shared" si="334"/>
        <v>2.8582293300392164E-2</v>
      </c>
      <c r="AK939" s="28">
        <f t="shared" si="334"/>
        <v>2.8626670529902105E-2</v>
      </c>
      <c r="AL939" s="28">
        <f t="shared" si="334"/>
        <v>2.8674168000666096E-2</v>
      </c>
      <c r="AM939" s="28">
        <f t="shared" si="334"/>
        <v>2.8724668567854592E-2</v>
      </c>
      <c r="AN939" s="28">
        <f t="shared" si="334"/>
        <v>2.8746345856035454E-2</v>
      </c>
      <c r="AO939" s="28">
        <f t="shared" si="334"/>
        <v>2.8770728534079647E-2</v>
      </c>
      <c r="AP939" s="28">
        <f t="shared" si="334"/>
        <v>2.8797714608919899E-2</v>
      </c>
      <c r="AQ939" s="28">
        <f t="shared" si="334"/>
        <v>2.8827209084453208E-2</v>
      </c>
      <c r="AR939" s="28">
        <f t="shared" si="334"/>
        <v>2.8859123362090785E-2</v>
      </c>
      <c r="AS939" s="28">
        <f t="shared" si="334"/>
        <v>2.8861613312163151E-2</v>
      </c>
      <c r="AT939" s="28">
        <f t="shared" si="334"/>
        <v>2.8866317654901063E-2</v>
      </c>
      <c r="AU939" s="28">
        <f t="shared" si="334"/>
        <v>2.887315686467273E-2</v>
      </c>
      <c r="AV939" s="28">
        <f t="shared" si="334"/>
        <v>2.888205628351705E-2</v>
      </c>
      <c r="AW939" s="28">
        <f t="shared" si="334"/>
        <v>2.8892945744034091E-2</v>
      </c>
      <c r="AY939" s="85"/>
      <c r="AZ939" s="85"/>
    </row>
    <row r="940" spans="1:52" x14ac:dyDescent="0.25">
      <c r="A940" s="102" t="str">
        <f t="shared" si="326"/>
        <v>DS Horses MMCH4</v>
      </c>
      <c r="B940" s="102" t="s">
        <v>975</v>
      </c>
      <c r="C940" s="102" t="s">
        <v>1327</v>
      </c>
      <c r="D940" t="s">
        <v>15</v>
      </c>
      <c r="E940" t="s">
        <v>22</v>
      </c>
      <c r="F940" t="s">
        <v>20</v>
      </c>
      <c r="G940" t="s">
        <v>3</v>
      </c>
      <c r="H940" t="s">
        <v>1228</v>
      </c>
      <c r="I940" t="s">
        <v>121</v>
      </c>
      <c r="J940" t="s">
        <v>286</v>
      </c>
      <c r="K940" s="28">
        <f t="shared" si="333"/>
        <v>4.1462896209668214E-3</v>
      </c>
      <c r="L940" s="28">
        <f t="shared" si="334"/>
        <v>4.1705892650270686E-3</v>
      </c>
      <c r="M940" s="28">
        <f t="shared" si="334"/>
        <v>4.1765760669998774E-3</v>
      </c>
      <c r="N940" s="28">
        <f t="shared" si="334"/>
        <v>4.1582865548880337E-3</v>
      </c>
      <c r="O940" s="28">
        <f t="shared" si="334"/>
        <v>4.1389364137095824E-3</v>
      </c>
      <c r="P940" s="28">
        <f t="shared" si="334"/>
        <v>4.1297300373309533E-3</v>
      </c>
      <c r="Q940" s="28">
        <f t="shared" si="334"/>
        <v>4.1235897943981579E-3</v>
      </c>
      <c r="R940" s="28">
        <f t="shared" si="334"/>
        <v>4.0939723150578283E-3</v>
      </c>
      <c r="S940" s="28">
        <f t="shared" si="334"/>
        <v>3.8546694485950316E-3</v>
      </c>
      <c r="T940" s="28">
        <f t="shared" si="334"/>
        <v>3.8885582856899971E-3</v>
      </c>
      <c r="U940" s="28">
        <f t="shared" si="334"/>
        <v>3.9163093014231119E-3</v>
      </c>
      <c r="V940" s="28">
        <f t="shared" si="334"/>
        <v>3.943499319412006E-3</v>
      </c>
      <c r="W940" s="28">
        <f t="shared" si="334"/>
        <v>3.9787498507285772E-3</v>
      </c>
      <c r="X940" s="28">
        <f t="shared" si="334"/>
        <v>4.0133556413366692E-3</v>
      </c>
      <c r="Y940" s="28">
        <f t="shared" si="334"/>
        <v>4.0529996928532061E-3</v>
      </c>
      <c r="Z940" s="28">
        <f t="shared" si="334"/>
        <v>4.0900631434267433E-3</v>
      </c>
      <c r="AA940" s="28">
        <f t="shared" si="334"/>
        <v>4.1299322607386601E-3</v>
      </c>
      <c r="AB940" s="28">
        <f t="shared" si="334"/>
        <v>4.1653099616518066E-3</v>
      </c>
      <c r="AC940" s="28">
        <f t="shared" si="334"/>
        <v>4.2013445039546862E-3</v>
      </c>
      <c r="AD940" s="28">
        <f t="shared" si="334"/>
        <v>4.251252835120037E-3</v>
      </c>
      <c r="AE940" s="28">
        <f t="shared" si="334"/>
        <v>4.3057143858228663E-3</v>
      </c>
      <c r="AF940" s="28">
        <f t="shared" si="334"/>
        <v>4.3617167354082645E-3</v>
      </c>
      <c r="AG940" s="28">
        <f t="shared" si="334"/>
        <v>4.3537503349345688E-3</v>
      </c>
      <c r="AH940" s="28">
        <f t="shared" si="334"/>
        <v>1.2882018816554785E-3</v>
      </c>
      <c r="AI940" s="28">
        <f t="shared" si="334"/>
        <v>1.2882018816554785E-3</v>
      </c>
      <c r="AJ940" s="28">
        <f t="shared" si="334"/>
        <v>1.2882018816554785E-3</v>
      </c>
      <c r="AK940" s="28">
        <f t="shared" si="334"/>
        <v>1.2882018816554785E-3</v>
      </c>
      <c r="AL940" s="28">
        <f t="shared" si="334"/>
        <v>1.2882018816554785E-3</v>
      </c>
      <c r="AM940" s="28">
        <f t="shared" si="334"/>
        <v>1.2882018816554785E-3</v>
      </c>
      <c r="AN940" s="28">
        <f t="shared" si="334"/>
        <v>1.2882018816554785E-3</v>
      </c>
      <c r="AO940" s="28">
        <f t="shared" si="334"/>
        <v>1.2882018816554785E-3</v>
      </c>
      <c r="AP940" s="28">
        <f t="shared" si="334"/>
        <v>1.2882018816554785E-3</v>
      </c>
      <c r="AQ940" s="28">
        <f t="shared" si="334"/>
        <v>1.2882018816554785E-3</v>
      </c>
      <c r="AR940" s="28">
        <f t="shared" si="334"/>
        <v>1.2882018816554785E-3</v>
      </c>
      <c r="AS940" s="28">
        <f t="shared" si="334"/>
        <v>1.2882018816554785E-3</v>
      </c>
      <c r="AT940" s="28">
        <f t="shared" si="334"/>
        <v>1.2882018816554785E-3</v>
      </c>
      <c r="AU940" s="28">
        <f t="shared" si="334"/>
        <v>1.2882018816554785E-3</v>
      </c>
      <c r="AV940" s="28">
        <f t="shared" si="334"/>
        <v>1.2882018816554785E-3</v>
      </c>
      <c r="AW940" s="28">
        <f t="shared" si="334"/>
        <v>1.2882018816554785E-3</v>
      </c>
      <c r="AY940" s="85"/>
      <c r="AZ940" s="85"/>
    </row>
    <row r="941" spans="1:52" x14ac:dyDescent="0.25">
      <c r="A941" s="102" t="str">
        <f t="shared" si="326"/>
        <v>DS Mules MMCH4</v>
      </c>
      <c r="B941" s="102" t="s">
        <v>975</v>
      </c>
      <c r="C941" s="102" t="s">
        <v>1328</v>
      </c>
      <c r="D941" t="s">
        <v>15</v>
      </c>
      <c r="E941" t="s">
        <v>22</v>
      </c>
      <c r="F941" t="s">
        <v>140</v>
      </c>
      <c r="G941" t="s">
        <v>124</v>
      </c>
      <c r="H941" t="s">
        <v>1228</v>
      </c>
      <c r="I941" t="s">
        <v>121</v>
      </c>
      <c r="J941" t="s">
        <v>286</v>
      </c>
      <c r="K941" s="28">
        <f t="shared" si="333"/>
        <v>7.515E-4</v>
      </c>
      <c r="L941" s="28">
        <f t="shared" si="334"/>
        <v>7.515E-4</v>
      </c>
      <c r="M941" s="28">
        <f t="shared" si="334"/>
        <v>7.515E-4</v>
      </c>
      <c r="N941" s="28">
        <f t="shared" si="334"/>
        <v>7.515E-4</v>
      </c>
      <c r="O941" s="28">
        <f t="shared" si="334"/>
        <v>7.515E-4</v>
      </c>
      <c r="P941" s="28">
        <f t="shared" si="334"/>
        <v>7.515E-4</v>
      </c>
      <c r="Q941" s="28">
        <f t="shared" si="334"/>
        <v>7.515E-4</v>
      </c>
      <c r="R941" s="28">
        <f t="shared" si="334"/>
        <v>7.515E-4</v>
      </c>
      <c r="S941" s="28">
        <f t="shared" si="334"/>
        <v>7.515E-4</v>
      </c>
      <c r="T941" s="28">
        <f t="shared" si="334"/>
        <v>7.515E-4</v>
      </c>
      <c r="U941" s="28">
        <f t="shared" si="334"/>
        <v>7.515E-4</v>
      </c>
      <c r="V941" s="28">
        <f t="shared" si="334"/>
        <v>7.515E-4</v>
      </c>
      <c r="W941" s="28">
        <f t="shared" si="334"/>
        <v>7.515E-4</v>
      </c>
      <c r="X941" s="28">
        <f t="shared" si="334"/>
        <v>7.515E-4</v>
      </c>
      <c r="Y941" s="28">
        <f t="shared" si="334"/>
        <v>7.515E-4</v>
      </c>
      <c r="Z941" s="28">
        <f t="shared" si="334"/>
        <v>7.515E-4</v>
      </c>
      <c r="AA941" s="28">
        <f t="shared" si="334"/>
        <v>7.515E-4</v>
      </c>
      <c r="AB941" s="28">
        <f t="shared" si="334"/>
        <v>7.515E-4</v>
      </c>
      <c r="AC941" s="28">
        <f t="shared" si="334"/>
        <v>7.515E-4</v>
      </c>
      <c r="AD941" s="28">
        <f t="shared" si="334"/>
        <v>7.515E-4</v>
      </c>
      <c r="AE941" s="28">
        <f t="shared" si="334"/>
        <v>7.515E-4</v>
      </c>
      <c r="AF941" s="28">
        <f t="shared" si="334"/>
        <v>7.515E-4</v>
      </c>
      <c r="AG941" s="28">
        <f t="shared" si="334"/>
        <v>7.515E-4</v>
      </c>
      <c r="AH941" s="28">
        <f t="shared" si="334"/>
        <v>7.515E-4</v>
      </c>
      <c r="AI941" s="28">
        <f t="shared" si="334"/>
        <v>7.515E-4</v>
      </c>
      <c r="AJ941" s="28">
        <f t="shared" si="334"/>
        <v>7.515E-4</v>
      </c>
      <c r="AK941" s="28">
        <f t="shared" si="334"/>
        <v>7.515E-4</v>
      </c>
      <c r="AL941" s="28">
        <f t="shared" si="334"/>
        <v>7.515E-4</v>
      </c>
      <c r="AM941" s="28">
        <f t="shared" si="334"/>
        <v>7.515E-4</v>
      </c>
      <c r="AN941" s="28">
        <f t="shared" si="334"/>
        <v>7.515E-4</v>
      </c>
      <c r="AO941" s="28">
        <f t="shared" si="334"/>
        <v>7.515E-4</v>
      </c>
      <c r="AP941" s="28">
        <f t="shared" si="334"/>
        <v>7.515E-4</v>
      </c>
      <c r="AQ941" s="28">
        <f t="shared" si="334"/>
        <v>7.515E-4</v>
      </c>
      <c r="AR941" s="28">
        <f t="shared" si="334"/>
        <v>7.515E-4</v>
      </c>
      <c r="AS941" s="28">
        <f t="shared" si="334"/>
        <v>7.515E-4</v>
      </c>
      <c r="AT941" s="28">
        <f t="shared" si="334"/>
        <v>7.515E-4</v>
      </c>
      <c r="AU941" s="28">
        <f t="shared" si="334"/>
        <v>7.515E-4</v>
      </c>
      <c r="AV941" s="28">
        <f t="shared" si="334"/>
        <v>7.515E-4</v>
      </c>
      <c r="AW941" s="28">
        <f t="shared" si="334"/>
        <v>7.515E-4</v>
      </c>
      <c r="AY941" s="85"/>
      <c r="AZ941" s="85"/>
    </row>
    <row r="942" spans="1:52" x14ac:dyDescent="0.25">
      <c r="A942" s="102" t="str">
        <f t="shared" si="326"/>
        <v>DS Swine MMCH4</v>
      </c>
      <c r="B942" s="102" t="s">
        <v>975</v>
      </c>
      <c r="C942" s="102" t="s">
        <v>1231</v>
      </c>
      <c r="D942" t="s">
        <v>15</v>
      </c>
      <c r="E942" t="s">
        <v>22</v>
      </c>
      <c r="F942" t="s">
        <v>21</v>
      </c>
      <c r="G942" t="s">
        <v>122</v>
      </c>
      <c r="H942" t="s">
        <v>1228</v>
      </c>
      <c r="I942" t="s">
        <v>121</v>
      </c>
      <c r="J942" t="s">
        <v>286</v>
      </c>
      <c r="K942" s="100">
        <f>IF('Net zero activities &amp; levers'!$C$12="Off",('Activity data'!AD17*EF!$H30)*kgtoGg,IF('Net zero activities &amp; levers'!$C$12="PB",('Activity data'!AD17*EF!$H30)*kgtoGg,IF('Net zero activities &amp; levers'!$C$12="MS",('Net zero Activity data'!AD17*EF!$H30)*kgtoGg,"ERROR")))</f>
        <v>23.457025843160746</v>
      </c>
      <c r="L942" s="100">
        <f>IF('Net zero activities &amp; levers'!$C$12="Off",('Activity data'!AE17*EF!$H30)*kgtoGg,IF('Net zero activities &amp; levers'!$C$12="PB",('Activity data'!AE17*EF!$H30)*kgtoGg,IF('Net zero activities &amp; levers'!$C$12="MS",('Net zero Activity data'!AE17*EF!$H30)*kgtoGg,"ERROR")))</f>
        <v>23.382986937378849</v>
      </c>
      <c r="M942" s="100">
        <f>IF('Net zero activities &amp; levers'!$C$12="Off",('Activity data'!AF17*EF!$H30)*kgtoGg,IF('Net zero activities &amp; levers'!$C$12="PB",('Activity data'!AF17*EF!$H30)*kgtoGg,IF('Net zero activities &amp; levers'!$C$12="MS",('Net zero Activity data'!AF17*EF!$H30)*kgtoGg,"ERROR")))</f>
        <v>23.13814083382033</v>
      </c>
      <c r="N942" s="100">
        <f>IF('Net zero activities &amp; levers'!$C$12="Off",('Activity data'!AG17*EF!$H30)*kgtoGg,IF('Net zero activities &amp; levers'!$C$12="PB",('Activity data'!AG17*EF!$H30)*kgtoGg,IF('Net zero activities &amp; levers'!$C$12="MS",('Net zero Activity data'!AG17*EF!$H30)*kgtoGg,"ERROR")))</f>
        <v>22.662740453710065</v>
      </c>
      <c r="O942" s="100">
        <f>IF('Net zero activities &amp; levers'!$C$12="Off",('Activity data'!AH17*EF!$H30)*kgtoGg,IF('Net zero activities &amp; levers'!$C$12="PB",('Activity data'!AH17*EF!$H30)*kgtoGg,IF('Net zero activities &amp; levers'!$C$12="MS",('Net zero Activity data'!AH17*EF!$H30)*kgtoGg,"ERROR")))</f>
        <v>22.20814052076085</v>
      </c>
      <c r="P942" s="100">
        <f>IF('Net zero activities &amp; levers'!$C$12="Off",('Activity data'!AI17*EF!$H30)*kgtoGg,IF('Net zero activities &amp; levers'!$C$12="PB",('Activity data'!AI17*EF!$H30)*kgtoGg,IF('Net zero activities &amp; levers'!$C$12="MS",('Net zero Activity data'!AI17*EF!$H30)*kgtoGg,"ERROR")))</f>
        <v>21.88923282801473</v>
      </c>
      <c r="Q942" s="100">
        <f>IF('Net zero activities &amp; levers'!$C$12="Off",('Activity data'!AJ17*EF!$H30)*kgtoGg,IF('Net zero activities &amp; levers'!$C$12="PB",('Activity data'!AJ17*EF!$H30)*kgtoGg,IF('Net zero activities &amp; levers'!$C$12="MS",('Net zero Activity data'!AJ17*EF!$H30)*kgtoGg,"ERROR")))</f>
        <v>21.619144612435328</v>
      </c>
      <c r="R942" s="100">
        <f>IF('Net zero activities &amp; levers'!$C$12="Off",('Activity data'!AK17*EF!$H30)*kgtoGg,IF('Net zero activities &amp; levers'!$C$12="PB",('Activity data'!AK17*EF!$H30)*kgtoGg,IF('Net zero activities &amp; levers'!$C$12="MS",('Net zero Activity data'!AK17*EF!$H30)*kgtoGg,"ERROR")))</f>
        <v>21.121805661826951</v>
      </c>
      <c r="S942" s="100">
        <f>IF('Net zero activities &amp; levers'!$C$12="Off",('Activity data'!AL17*EF!$H30)*kgtoGg,IF('Net zero activities &amp; levers'!$C$12="PB",('Activity data'!AL17*EF!$H30)*kgtoGg,IF('Net zero activities &amp; levers'!$C$12="MS",('Net zero Activity data'!AL17*EF!$H30)*kgtoGg,"ERROR")))</f>
        <v>18.490541417957555</v>
      </c>
      <c r="T942" s="100">
        <f>IF('Net zero activities &amp; levers'!$C$12="Off",('Activity data'!AM17*EF!$H30)*kgtoGg,IF('Net zero activities &amp; levers'!$C$12="PB",('Activity data'!AM17*EF!$H30)*kgtoGg,IF('Net zero activities &amp; levers'!$C$12="MS",('Net zero Activity data'!AM17*EF!$H30)*kgtoGg,"ERROR")))</f>
        <v>18.608041284910804</v>
      </c>
      <c r="U942" s="100">
        <f>IF('Net zero activities &amp; levers'!$C$12="Off",('Activity data'!AN17*EF!$H30)*kgtoGg,IF('Net zero activities &amp; levers'!$C$12="PB",('Activity data'!AN17*EF!$H30)*kgtoGg,IF('Net zero activities &amp; levers'!$C$12="MS",('Net zero Activity data'!AN17*EF!$H30)*kgtoGg,"ERROR")))</f>
        <v>18.667021404289045</v>
      </c>
      <c r="V942" s="100">
        <f>IF('Net zero activities &amp; levers'!$C$12="Off",('Activity data'!AO17*EF!$H30)*kgtoGg,IF('Net zero activities &amp; levers'!$C$12="PB",('Activity data'!AO17*EF!$H30)*kgtoGg,IF('Net zero activities &amp; levers'!$C$12="MS",('Net zero Activity data'!AO17*EF!$H30)*kgtoGg,"ERROR")))</f>
        <v>18.724361625340102</v>
      </c>
      <c r="W942" s="100">
        <f>IF('Net zero activities &amp; levers'!$C$12="Off",('Activity data'!AP17*EF!$H30)*kgtoGg,IF('Net zero activities &amp; levers'!$C$12="PB",('Activity data'!AP17*EF!$H30)*kgtoGg,IF('Net zero activities &amp; levers'!$C$12="MS",('Net zero Activity data'!AP17*EF!$H30)*kgtoGg,"ERROR")))</f>
        <v>18.864420993049936</v>
      </c>
      <c r="X942" s="100">
        <f>IF('Net zero activities &amp; levers'!$C$12="Off",('Activity data'!AQ17*EF!$H30)*kgtoGg,IF('Net zero activities &amp; levers'!$C$12="PB",('Activity data'!AQ17*EF!$H30)*kgtoGg,IF('Net zero activities &amp; levers'!$C$12="MS",('Net zero Activity data'!AQ17*EF!$H30)*kgtoGg,"ERROR")))</f>
        <v>18.999771799577022</v>
      </c>
      <c r="Y942" s="100">
        <f>IF('Net zero activities &amp; levers'!$C$12="Off",('Activity data'!AR17*EF!$H30)*kgtoGg,IF('Net zero activities &amp; levers'!$C$12="PB",('Activity data'!AR17*EF!$H30)*kgtoGg,IF('Net zero activities &amp; levers'!$C$12="MS",('Net zero Activity data'!AR17*EF!$H30)*kgtoGg,"ERROR")))</f>
        <v>19.155053851314552</v>
      </c>
      <c r="Z942" s="100">
        <f>IF('Net zero activities &amp; levers'!$C$12="Off",('Activity data'!AS17*EF!$H30)*kgtoGg,IF('Net zero activities &amp; levers'!$C$12="PB",('Activity data'!AS17*EF!$H30)*kgtoGg,IF('Net zero activities &amp; levers'!$C$12="MS",('Net zero Activity data'!AS17*EF!$H30)*kgtoGg,"ERROR")))</f>
        <v>19.285389594633891</v>
      </c>
      <c r="AA942" s="100">
        <f>IF('Net zero activities &amp; levers'!$C$12="Off",('Activity data'!AT17*EF!$H30)*kgtoGg,IF('Net zero activities &amp; levers'!$C$12="PB",('Activity data'!AT17*EF!$H30)*kgtoGg,IF('Net zero activities &amp; levers'!$C$12="MS",('Net zero Activity data'!AT17*EF!$H30)*kgtoGg,"ERROR")))</f>
        <v>19.442022836092864</v>
      </c>
      <c r="AB942" s="100">
        <f>IF('Net zero activities &amp; levers'!$C$12="Off",('Activity data'!AU17*EF!$H30)*kgtoGg,IF('Net zero activities &amp; levers'!$C$12="PB",('Activity data'!AU17*EF!$H30)*kgtoGg,IF('Net zero activities &amp; levers'!$C$12="MS",('Net zero Activity data'!AU17*EF!$H30)*kgtoGg,"ERROR")))</f>
        <v>19.556042835681847</v>
      </c>
      <c r="AC942" s="100">
        <f>IF('Net zero activities &amp; levers'!$C$12="Off",('Activity data'!AV17*EF!$H30)*kgtoGg,IF('Net zero activities &amp; levers'!$C$12="PB",('Activity data'!AV17*EF!$H30)*kgtoGg,IF('Net zero activities &amp; levers'!$C$12="MS",('Net zero Activity data'!AV17*EF!$H30)*kgtoGg,"ERROR")))</f>
        <v>19.675981891326479</v>
      </c>
      <c r="AD942" s="100">
        <f>IF('Net zero activities &amp; levers'!$C$12="Off",('Activity data'!AW17*EF!$H30)*kgtoGg,IF('Net zero activities &amp; levers'!$C$12="PB",('Activity data'!AW17*EF!$H30)*kgtoGg,IF('Net zero activities &amp; levers'!$C$12="MS",('Net zero Activity data'!AW17*EF!$H30)*kgtoGg,"ERROR")))</f>
        <v>19.897202740032366</v>
      </c>
      <c r="AE942" s="100">
        <f>IF('Net zero activities &amp; levers'!$C$12="Off",('Activity data'!AX17*EF!$H30)*kgtoGg,IF('Net zero activities &amp; levers'!$C$12="PB",('Activity data'!AX17*EF!$H30)*kgtoGg,IF('Net zero activities &amp; levers'!$C$12="MS",('Net zero Activity data'!AX17*EF!$H30)*kgtoGg,"ERROR")))</f>
        <v>20.155624807886987</v>
      </c>
      <c r="AF942" s="100">
        <f>IF('Net zero activities &amp; levers'!$C$12="Off",('Activity data'!AY17*EF!$H30)*kgtoGg,IF('Net zero activities &amp; levers'!$C$12="PB",('Activity data'!AY17*EF!$H30)*kgtoGg,IF('Net zero activities &amp; levers'!$C$12="MS",('Net zero Activity data'!AY17*EF!$H30)*kgtoGg,"ERROR")))</f>
        <v>20.423045067986479</v>
      </c>
      <c r="AG942" s="100">
        <f>IF('Net zero activities &amp; levers'!$C$12="Off",('Activity data'!AZ17*EF!$H30)*kgtoGg,IF('Net zero activities &amp; levers'!$C$12="PB",('Activity data'!AZ17*EF!$H30)*kgtoGg,IF('Net zero activities &amp; levers'!$C$12="MS",('Net zero Activity data'!AZ17*EF!$H30)*kgtoGg,"ERROR")))</f>
        <v>20.122488548289958</v>
      </c>
      <c r="AH942" s="100">
        <f>IF('Net zero activities &amp; levers'!$C$12="Off",('Activity data'!BA17*EF!$H30)*kgtoGg,IF('Net zero activities &amp; levers'!$C$12="PB",('Activity data'!BA17*EF!$H30)*kgtoGg,IF('Net zero activities &amp; levers'!$C$12="MS",('Net zero Activity data'!BA17*EF!$H30)*kgtoGg,"ERROR")))</f>
        <v>-6.7894777188619928</v>
      </c>
      <c r="AI942" s="100">
        <f>IF('Net zero activities &amp; levers'!$C$12="Off",('Activity data'!BB17*EF!$H30)*kgtoGg,IF('Net zero activities &amp; levers'!$C$12="PB",('Activity data'!BB17*EF!$H30)*kgtoGg,IF('Net zero activities &amp; levers'!$C$12="MS",('Net zero Activity data'!BB17*EF!$H30)*kgtoGg,"ERROR")))</f>
        <v>-6.7152117988933071</v>
      </c>
      <c r="AJ942" s="100">
        <f>IF('Net zero activities &amp; levers'!$C$12="Off",('Activity data'!BC17*EF!$H30)*kgtoGg,IF('Net zero activities &amp; levers'!$C$12="PB",('Activity data'!BC17*EF!$H30)*kgtoGg,IF('Net zero activities &amp; levers'!$C$12="MS",('Net zero Activity data'!BC17*EF!$H30)*kgtoGg,"ERROR")))</f>
        <v>-6.6425365492848538</v>
      </c>
      <c r="AK942" s="100">
        <f>IF('Net zero activities &amp; levers'!$C$12="Off",('Activity data'!BD17*EF!$H30)*kgtoGg,IF('Net zero activities &amp; levers'!$C$12="PB",('Activity data'!BD17*EF!$H30)*kgtoGg,IF('Net zero activities &amp; levers'!$C$12="MS",('Net zero Activity data'!BD17*EF!$H30)*kgtoGg,"ERROR")))</f>
        <v>-6.5713479103809611</v>
      </c>
      <c r="AL942" s="100">
        <f>IF('Net zero activities &amp; levers'!$C$12="Off",('Activity data'!BE17*EF!$H30)*kgtoGg,IF('Net zero activities &amp; levers'!$C$12="PB",('Activity data'!BE17*EF!$H30)*kgtoGg,IF('Net zero activities &amp; levers'!$C$12="MS",('Net zero Activity data'!BE17*EF!$H30)*kgtoGg,"ERROR")))</f>
        <v>-6.5015494417857838</v>
      </c>
      <c r="AM942" s="100">
        <f>IF('Net zero activities &amp; levers'!$C$12="Off",('Activity data'!BF17*EF!$H30)*kgtoGg,IF('Net zero activities &amp; levers'!$C$12="PB",('Activity data'!BF17*EF!$H30)*kgtoGg,IF('Net zero activities &amp; levers'!$C$12="MS",('Net zero Activity data'!BF17*EF!$H30)*kgtoGg,"ERROR")))</f>
        <v>-6.4330515855366484</v>
      </c>
      <c r="AN942" s="100">
        <f>IF('Net zero activities &amp; levers'!$C$12="Off",('Activity data'!BG17*EF!$H30)*kgtoGg,IF('Net zero activities &amp; levers'!$C$12="PB",('Activity data'!BG17*EF!$H30)*kgtoGg,IF('Net zero activities &amp; levers'!$C$12="MS",('Net zero Activity data'!BG17*EF!$H30)*kgtoGg,"ERROR")))</f>
        <v>-6.3579230849055142</v>
      </c>
      <c r="AO942" s="100">
        <f>IF('Net zero activities &amp; levers'!$C$12="Off",('Activity data'!BH17*EF!$H30)*kgtoGg,IF('Net zero activities &amp; levers'!$C$12="PB",('Activity data'!BH17*EF!$H30)*kgtoGg,IF('Net zero activities &amp; levers'!$C$12="MS",('Net zero Activity data'!BH17*EF!$H30)*kgtoGg,"ERROR")))</f>
        <v>-6.2841192058185475</v>
      </c>
      <c r="AP942" s="100">
        <f>IF('Net zero activities &amp; levers'!$C$12="Off",('Activity data'!BI17*EF!$H30)*kgtoGg,IF('Net zero activities &amp; levers'!$C$12="PB",('Activity data'!BI17*EF!$H30)*kgtoGg,IF('Net zero activities &amp; levers'!$C$12="MS",('Net zero Activity data'!BI17*EF!$H30)*kgtoGg,"ERROR")))</f>
        <v>-6.2115625843192586</v>
      </c>
      <c r="AQ942" s="100">
        <f>IF('Net zero activities &amp; levers'!$C$12="Off",('Activity data'!BJ17*EF!$H30)*kgtoGg,IF('Net zero activities &amp; levers'!$C$12="PB",('Activity data'!BJ17*EF!$H30)*kgtoGg,IF('Net zero activities &amp; levers'!$C$12="MS",('Net zero Activity data'!BJ17*EF!$H30)*kgtoGg,"ERROR")))</f>
        <v>-6.1401809096937727</v>
      </c>
      <c r="AR942" s="100">
        <f>IF('Net zero activities &amp; levers'!$C$12="Off",('Activity data'!BK17*EF!$H30)*kgtoGg,IF('Net zero activities &amp; levers'!$C$12="PB",('Activity data'!BK17*EF!$H30)*kgtoGg,IF('Net zero activities &amp; levers'!$C$12="MS",('Net zero Activity data'!BK17*EF!$H30)*kgtoGg,"ERROR")))</f>
        <v>-6.069906487857895</v>
      </c>
      <c r="AS942" s="100">
        <f>IF('Net zero activities &amp; levers'!$C$12="Off",('Activity data'!BL17*EF!$H30)*kgtoGg,IF('Net zero activities &amp; levers'!$C$12="PB",('Activity data'!BL17*EF!$H30)*kgtoGg,IF('Net zero activities &amp; levers'!$C$12="MS",('Net zero Activity data'!BL17*EF!$H30)*kgtoGg,"ERROR")))</f>
        <v>-5.9933231004711045</v>
      </c>
      <c r="AT942" s="100">
        <f>IF('Net zero activities &amp; levers'!$C$12="Off",('Activity data'!BM17*EF!$H30)*kgtoGg,IF('Net zero activities &amp; levers'!$C$12="PB",('Activity data'!BM17*EF!$H30)*kgtoGg,IF('Net zero activities &amp; levers'!$C$12="MS",('Net zero Activity data'!BM17*EF!$H30)*kgtoGg,"ERROR")))</f>
        <v>-5.917909419883066</v>
      </c>
      <c r="AU942" s="100">
        <f>IF('Net zero activities &amp; levers'!$C$12="Off",('Activity data'!BN17*EF!$H30)*kgtoGg,IF('Net zero activities &amp; levers'!$C$12="PB",('Activity data'!BN17*EF!$H30)*kgtoGg,IF('Net zero activities &amp; levers'!$C$12="MS",('Net zero Activity data'!BN17*EF!$H30)*kgtoGg,"ERROR")))</f>
        <v>-5.8436052370026852</v>
      </c>
      <c r="AV942" s="100">
        <f>IF('Net zero activities &amp; levers'!$C$12="Off",('Activity data'!BO17*EF!$H30)*kgtoGg,IF('Net zero activities &amp; levers'!$C$12="PB",('Activity data'!BO17*EF!$H30)*kgtoGg,IF('Net zero activities &amp; levers'!$C$12="MS",('Net zero Activity data'!BO17*EF!$H30)*kgtoGg,"ERROR")))</f>
        <v>-5.7703539001026636</v>
      </c>
      <c r="AW942" s="100">
        <f>IF('Net zero activities &amp; levers'!$C$12="Off",('Activity data'!BP17*EF!$H30)*kgtoGg,IF('Net zero activities &amp; levers'!$C$12="PB",('Activity data'!BP17*EF!$H30)*kgtoGg,IF('Net zero activities &amp; levers'!$C$12="MS",('Net zero Activity data'!BP17*EF!$H30)*kgtoGg,"ERROR")))</f>
        <v>-5.6981020374621041</v>
      </c>
      <c r="AY942" s="85"/>
      <c r="AZ942" s="85"/>
    </row>
    <row r="943" spans="1:52" x14ac:dyDescent="0.25">
      <c r="A943" s="102" t="str">
        <f t="shared" si="326"/>
        <v>DS Swine MMCH4</v>
      </c>
      <c r="B943" s="102" t="s">
        <v>975</v>
      </c>
      <c r="C943" s="102" t="s">
        <v>1231</v>
      </c>
      <c r="D943" t="s">
        <v>15</v>
      </c>
      <c r="E943" t="s">
        <v>22</v>
      </c>
      <c r="F943" t="s">
        <v>21</v>
      </c>
      <c r="G943" t="s">
        <v>123</v>
      </c>
      <c r="H943" t="s">
        <v>1228</v>
      </c>
      <c r="I943" t="s">
        <v>121</v>
      </c>
      <c r="J943" t="s">
        <v>286</v>
      </c>
      <c r="K943" s="100">
        <f>IF('Net zero activities &amp; levers'!$C$12="Off",('Activity data'!AD18*EF!$H31)*kgtoGg,IF('Net zero activities &amp; levers'!$C$12="PB",('Activity data'!AD18*EF!$H31)*kgtoGg,IF('Net zero activities &amp; levers'!$C$12="MS",('Net zero Activity data'!AD18*EF!$H31)*kgtoGg,"ERROR")))</f>
        <v>7.8527817196558602E-2</v>
      </c>
      <c r="L943" s="100">
        <f>IF('Net zero activities &amp; levers'!$C$12="Off",('Activity data'!AE18*EF!$H31)*kgtoGg,IF('Net zero activities &amp; levers'!$C$12="PB",('Activity data'!AE18*EF!$H31)*kgtoGg,IF('Net zero activities &amp; levers'!$C$12="MS",('Net zero Activity data'!AE18*EF!$H31)*kgtoGg,"ERROR")))</f>
        <v>7.8279954841904253E-2</v>
      </c>
      <c r="M943" s="100">
        <f>IF('Net zero activities &amp; levers'!$C$12="Off",('Activity data'!AF18*EF!$H31)*kgtoGg,IF('Net zero activities &amp; levers'!$C$12="PB",('Activity data'!AF18*EF!$H31)*kgtoGg,IF('Net zero activities &amp; levers'!$C$12="MS",('Net zero Activity data'!AF18*EF!$H31)*kgtoGg,"ERROR")))</f>
        <v>7.7460275902635017E-2</v>
      </c>
      <c r="N943" s="100">
        <f>IF('Net zero activities &amp; levers'!$C$12="Off",('Activity data'!AG18*EF!$H31)*kgtoGg,IF('Net zero activities &amp; levers'!$C$12="PB",('Activity data'!AG18*EF!$H31)*kgtoGg,IF('Net zero activities &amp; levers'!$C$12="MS",('Net zero Activity data'!AG18*EF!$H31)*kgtoGg,"ERROR")))</f>
        <v>7.5868763219224714E-2</v>
      </c>
      <c r="O943" s="100">
        <f>IF('Net zero activities &amp; levers'!$C$12="Off",('Activity data'!AH18*EF!$H31)*kgtoGg,IF('Net zero activities &amp; levers'!$C$12="PB",('Activity data'!AH18*EF!$H31)*kgtoGg,IF('Net zero activities &amp; levers'!$C$12="MS",('Net zero Activity data'!AH18*EF!$H31)*kgtoGg,"ERROR")))</f>
        <v>7.4346884841680436E-2</v>
      </c>
      <c r="P943" s="100">
        <f>IF('Net zero activities &amp; levers'!$C$12="Off",('Activity data'!AI18*EF!$H31)*kgtoGg,IF('Net zero activities &amp; levers'!$C$12="PB",('Activity data'!AI18*EF!$H31)*kgtoGg,IF('Net zero activities &amp; levers'!$C$12="MS",('Net zero Activity data'!AI18*EF!$H31)*kgtoGg,"ERROR")))</f>
        <v>7.3279267609811918E-2</v>
      </c>
      <c r="Q943" s="100">
        <f>IF('Net zero activities &amp; levers'!$C$12="Off",('Activity data'!AJ18*EF!$H31)*kgtoGg,IF('Net zero activities &amp; levers'!$C$12="PB",('Activity data'!AJ18*EF!$H31)*kgtoGg,IF('Net zero activities &amp; levers'!$C$12="MS",('Net zero Activity data'!AJ18*EF!$H31)*kgtoGg,"ERROR")))</f>
        <v>7.2375084864660211E-2</v>
      </c>
      <c r="R943" s="100">
        <f>IF('Net zero activities &amp; levers'!$C$12="Off",('Activity data'!AK18*EF!$H31)*kgtoGg,IF('Net zero activities &amp; levers'!$C$12="PB",('Activity data'!AK18*EF!$H31)*kgtoGg,IF('Net zero activities &amp; levers'!$C$12="MS",('Net zero Activity data'!AK18*EF!$H31)*kgtoGg,"ERROR")))</f>
        <v>7.0710127744382734E-2</v>
      </c>
      <c r="S943" s="100">
        <f>IF('Net zero activities &amp; levers'!$C$12="Off",('Activity data'!AL18*EF!$H31)*kgtoGg,IF('Net zero activities &amp; levers'!$C$12="PB",('Activity data'!AL18*EF!$H31)*kgtoGg,IF('Net zero activities &amp; levers'!$C$12="MS",('Net zero Activity data'!AL18*EF!$H31)*kgtoGg,"ERROR")))</f>
        <v>6.1901362348463523E-2</v>
      </c>
      <c r="T943" s="100">
        <f>IF('Net zero activities &amp; levers'!$C$12="Off",('Activity data'!AM18*EF!$H31)*kgtoGg,IF('Net zero activities &amp; levers'!$C$12="PB",('Activity data'!AM18*EF!$H31)*kgtoGg,IF('Net zero activities &amp; levers'!$C$12="MS",('Net zero Activity data'!AM18*EF!$H31)*kgtoGg,"ERROR")))</f>
        <v>6.2294720318669075E-2</v>
      </c>
      <c r="U943" s="100">
        <f>IF('Net zero activities &amp; levers'!$C$12="Off",('Activity data'!AN18*EF!$H31)*kgtoGg,IF('Net zero activities &amp; levers'!$C$12="PB",('Activity data'!AN18*EF!$H31)*kgtoGg,IF('Net zero activities &amp; levers'!$C$12="MS",('Net zero Activity data'!AN18*EF!$H31)*kgtoGg,"ERROR")))</f>
        <v>6.2492169904295722E-2</v>
      </c>
      <c r="V943" s="100">
        <f>IF('Net zero activities &amp; levers'!$C$12="Off",('Activity data'!AO18*EF!$H31)*kgtoGg,IF('Net zero activities &amp; levers'!$C$12="PB",('Activity data'!AO18*EF!$H31)*kgtoGg,IF('Net zero activities &amp; levers'!$C$12="MS",('Net zero Activity data'!AO18*EF!$H31)*kgtoGg,"ERROR")))</f>
        <v>6.2684129551133075E-2</v>
      </c>
      <c r="W943" s="100">
        <f>IF('Net zero activities &amp; levers'!$C$12="Off",('Activity data'!AP18*EF!$H31)*kgtoGg,IF('Net zero activities &amp; levers'!$C$12="PB",('Activity data'!AP18*EF!$H31)*kgtoGg,IF('Net zero activities &amp; levers'!$C$12="MS",('Net zero Activity data'!AP18*EF!$H31)*kgtoGg,"ERROR")))</f>
        <v>6.3153010665803033E-2</v>
      </c>
      <c r="X943" s="100">
        <f>IF('Net zero activities &amp; levers'!$C$12="Off",('Activity data'!AQ18*EF!$H31)*kgtoGg,IF('Net zero activities &amp; levers'!$C$12="PB",('Activity data'!AQ18*EF!$H31)*kgtoGg,IF('Net zero activities &amp; levers'!$C$12="MS",('Net zero Activity data'!AQ18*EF!$H31)*kgtoGg,"ERROR")))</f>
        <v>6.360612878331004E-2</v>
      </c>
      <c r="Y943" s="100">
        <f>IF('Net zero activities &amp; levers'!$C$12="Off",('Activity data'!AR18*EF!$H31)*kgtoGg,IF('Net zero activities &amp; levers'!$C$12="PB",('Activity data'!AR18*EF!$H31)*kgtoGg,IF('Net zero activities &amp; levers'!$C$12="MS",('Net zero Activity data'!AR18*EF!$H31)*kgtoGg,"ERROR")))</f>
        <v>6.4125971352196762E-2</v>
      </c>
      <c r="Z943" s="100">
        <f>IF('Net zero activities &amp; levers'!$C$12="Off",('Activity data'!AS18*EF!$H31)*kgtoGg,IF('Net zero activities &amp; levers'!$C$12="PB",('Activity data'!AS18*EF!$H31)*kgtoGg,IF('Net zero activities &amp; levers'!$C$12="MS",('Net zero Activity data'!AS18*EF!$H31)*kgtoGg,"ERROR")))</f>
        <v>6.4562300386149837E-2</v>
      </c>
      <c r="AA943" s="100">
        <f>IF('Net zero activities &amp; levers'!$C$12="Off",('Activity data'!AT18*EF!$H31)*kgtoGg,IF('Net zero activities &amp; levers'!$C$12="PB",('Activity data'!AT18*EF!$H31)*kgtoGg,IF('Net zero activities &amp; levers'!$C$12="MS",('Net zero Activity data'!AT18*EF!$H31)*kgtoGg,"ERROR")))</f>
        <v>6.5086666375019683E-2</v>
      </c>
      <c r="AB943" s="100">
        <f>IF('Net zero activities &amp; levers'!$C$12="Off",('Activity data'!AU18*EF!$H31)*kgtoGg,IF('Net zero activities &amp; levers'!$C$12="PB",('Activity data'!AU18*EF!$H31)*kgtoGg,IF('Net zero activities &amp; levers'!$C$12="MS",('Net zero Activity data'!AU18*EF!$H31)*kgtoGg,"ERROR")))</f>
        <v>6.5468374684689551E-2</v>
      </c>
      <c r="AC943" s="100">
        <f>IF('Net zero activities &amp; levers'!$C$12="Off",('Activity data'!AV18*EF!$H31)*kgtoGg,IF('Net zero activities &amp; levers'!$C$12="PB",('Activity data'!AV18*EF!$H31)*kgtoGg,IF('Net zero activities &amp; levers'!$C$12="MS",('Net zero Activity data'!AV18*EF!$H31)*kgtoGg,"ERROR")))</f>
        <v>6.5869898402971833E-2</v>
      </c>
      <c r="AD943" s="100">
        <f>IF('Net zero activities &amp; levers'!$C$12="Off",('Activity data'!AW18*EF!$H31)*kgtoGg,IF('Net zero activities &amp; levers'!$C$12="PB",('Activity data'!AW18*EF!$H31)*kgtoGg,IF('Net zero activities &amp; levers'!$C$12="MS",('Net zero Activity data'!AW18*EF!$H31)*kgtoGg,"ERROR")))</f>
        <v>6.6610486339541322E-2</v>
      </c>
      <c r="AE943" s="100">
        <f>IF('Net zero activities &amp; levers'!$C$12="Off",('Activity data'!AX18*EF!$H31)*kgtoGg,IF('Net zero activities &amp; levers'!$C$12="PB",('Activity data'!AX18*EF!$H31)*kgtoGg,IF('Net zero activities &amp; levers'!$C$12="MS",('Net zero Activity data'!AX18*EF!$H31)*kgtoGg,"ERROR")))</f>
        <v>6.7475613958009675E-2</v>
      </c>
      <c r="AF943" s="100">
        <f>IF('Net zero activities &amp; levers'!$C$12="Off",('Activity data'!AY18*EF!$H31)*kgtoGg,IF('Net zero activities &amp; levers'!$C$12="PB",('Activity data'!AY18*EF!$H31)*kgtoGg,IF('Net zero activities &amp; levers'!$C$12="MS",('Net zero Activity data'!AY18*EF!$H31)*kgtoGg,"ERROR")))</f>
        <v>6.8370865105369938E-2</v>
      </c>
      <c r="AG943" s="100">
        <f>IF('Net zero activities &amp; levers'!$C$12="Off",('Activity data'!AZ18*EF!$H31)*kgtoGg,IF('Net zero activities &amp; levers'!$C$12="PB",('Activity data'!AZ18*EF!$H31)*kgtoGg,IF('Net zero activities &amp; levers'!$C$12="MS",('Net zero Activity data'!AZ18*EF!$H31)*kgtoGg,"ERROR")))</f>
        <v>6.7364682668015305E-2</v>
      </c>
      <c r="AH943" s="100">
        <f>IF('Net zero activities &amp; levers'!$C$12="Off",('Activity data'!BA18*EF!$H31)*kgtoGg,IF('Net zero activities &amp; levers'!$C$12="PB",('Activity data'!BA18*EF!$H31)*kgtoGg,IF('Net zero activities &amp; levers'!$C$12="MS",('Net zero Activity data'!BA18*EF!$H31)*kgtoGg,"ERROR")))</f>
        <v>-2.2729346368621329E-2</v>
      </c>
      <c r="AI943" s="100">
        <f>IF('Net zero activities &amp; levers'!$C$12="Off",('Activity data'!BB18*EF!$H31)*kgtoGg,IF('Net zero activities &amp; levers'!$C$12="PB",('Activity data'!BB18*EF!$H31)*kgtoGg,IF('Net zero activities &amp; levers'!$C$12="MS",('Net zero Activity data'!BB18*EF!$H31)*kgtoGg,"ERROR")))</f>
        <v>-2.2480724031491765E-2</v>
      </c>
      <c r="AJ943" s="100">
        <f>IF('Net zero activities &amp; levers'!$C$12="Off",('Activity data'!BC18*EF!$H31)*kgtoGg,IF('Net zero activities &amp; levers'!$C$12="PB",('Activity data'!BC18*EF!$H31)*kgtoGg,IF('Net zero activities &amp; levers'!$C$12="MS",('Net zero Activity data'!BC18*EF!$H31)*kgtoGg,"ERROR")))</f>
        <v>-2.2237426831150792E-2</v>
      </c>
      <c r="AK943" s="100">
        <f>IF('Net zero activities &amp; levers'!$C$12="Off",('Activity data'!BD18*EF!$H31)*kgtoGg,IF('Net zero activities &amp; levers'!$C$12="PB",('Activity data'!BD18*EF!$H31)*kgtoGg,IF('Net zero activities &amp; levers'!$C$12="MS",('Net zero Activity data'!BD18*EF!$H31)*kgtoGg,"ERROR")))</f>
        <v>-2.1999106403842797E-2</v>
      </c>
      <c r="AL943" s="100">
        <f>IF('Net zero activities &amp; levers'!$C$12="Off",('Activity data'!BE18*EF!$H31)*kgtoGg,IF('Net zero activities &amp; levers'!$C$12="PB",('Activity data'!BE18*EF!$H31)*kgtoGg,IF('Net zero activities &amp; levers'!$C$12="MS",('Net zero Activity data'!BE18*EF!$H31)*kgtoGg,"ERROR")))</f>
        <v>-2.1765439893045996E-2</v>
      </c>
      <c r="AM943" s="100">
        <f>IF('Net zero activities &amp; levers'!$C$12="Off",('Activity data'!BF18*EF!$H31)*kgtoGg,IF('Net zero activities &amp; levers'!$C$12="PB",('Activity data'!BF18*EF!$H31)*kgtoGg,IF('Net zero activities &amp; levers'!$C$12="MS",('Net zero Activity data'!BF18*EF!$H31)*kgtoGg,"ERROR")))</f>
        <v>-2.1536127482774822E-2</v>
      </c>
      <c r="AN943" s="100">
        <f>IF('Net zero activities &amp; levers'!$C$12="Off",('Activity data'!BG18*EF!$H31)*kgtoGg,IF('Net zero activities &amp; levers'!$C$12="PB",('Activity data'!BG18*EF!$H31)*kgtoGg,IF('Net zero activities &amp; levers'!$C$12="MS",('Net zero Activity data'!BG18*EF!$H31)*kgtoGg,"ERROR")))</f>
        <v>-2.1284617457451926E-2</v>
      </c>
      <c r="AO943" s="100">
        <f>IF('Net zero activities &amp; levers'!$C$12="Off",('Activity data'!BH18*EF!$H31)*kgtoGg,IF('Net zero activities &amp; levers'!$C$12="PB",('Activity data'!BH18*EF!$H31)*kgtoGg,IF('Net zero activities &amp; levers'!$C$12="MS",('Net zero Activity data'!BH18*EF!$H31)*kgtoGg,"ERROR")))</f>
        <v>-2.1037541908996236E-2</v>
      </c>
      <c r="AP943" s="100">
        <f>IF('Net zero activities &amp; levers'!$C$12="Off",('Activity data'!BI18*EF!$H31)*kgtoGg,IF('Net zero activities &amp; levers'!$C$12="PB",('Activity data'!BI18*EF!$H31)*kgtoGg,IF('Net zero activities &amp; levers'!$C$12="MS",('Net zero Activity data'!BI18*EF!$H31)*kgtoGg,"ERROR")))</f>
        <v>-2.0794641843677117E-2</v>
      </c>
      <c r="AQ943" s="100">
        <f>IF('Net zero activities &amp; levers'!$C$12="Off",('Activity data'!BJ18*EF!$H31)*kgtoGg,IF('Net zero activities &amp; levers'!$C$12="PB",('Activity data'!BJ18*EF!$H31)*kgtoGg,IF('Net zero activities &amp; levers'!$C$12="MS",('Net zero Activity data'!BJ18*EF!$H31)*kgtoGg,"ERROR")))</f>
        <v>-2.0555675184661872E-2</v>
      </c>
      <c r="AR943" s="100">
        <f>IF('Net zero activities &amp; levers'!$C$12="Off",('Activity data'!BK18*EF!$H31)*kgtoGg,IF('Net zero activities &amp; levers'!$C$12="PB",('Activity data'!BK18*EF!$H31)*kgtoGg,IF('Net zero activities &amp; levers'!$C$12="MS",('Net zero Activity data'!BK18*EF!$H31)*kgtoGg,"ERROR")))</f>
        <v>-2.0320415310353012E-2</v>
      </c>
      <c r="AS943" s="100">
        <f>IF('Net zero activities &amp; levers'!$C$12="Off",('Activity data'!BL18*EF!$H31)*kgtoGg,IF('Net zero activities &amp; levers'!$C$12="PB",('Activity data'!BL18*EF!$H31)*kgtoGg,IF('Net zero activities &amp; levers'!$C$12="MS",('Net zero Activity data'!BL18*EF!$H31)*kgtoGg,"ERROR")))</f>
        <v>-2.0064034715250558E-2</v>
      </c>
      <c r="AT943" s="100">
        <f>IF('Net zero activities &amp; levers'!$C$12="Off",('Activity data'!BM18*EF!$H31)*kgtoGg,IF('Net zero activities &amp; levers'!$C$12="PB",('Activity data'!BM18*EF!$H31)*kgtoGg,IF('Net zero activities &amp; levers'!$C$12="MS",('Net zero Activity data'!BM18*EF!$H31)*kgtoGg,"ERROR")))</f>
        <v>-1.9811569984089266E-2</v>
      </c>
      <c r="AU943" s="100">
        <f>IF('Net zero activities &amp; levers'!$C$12="Off",('Activity data'!BN18*EF!$H31)*kgtoGg,IF('Net zero activities &amp; levers'!$C$12="PB",('Activity data'!BN18*EF!$H31)*kgtoGg,IF('Net zero activities &amp; levers'!$C$12="MS",('Net zero Activity data'!BN18*EF!$H31)*kgtoGg,"ERROR")))</f>
        <v>-1.9562819553016541E-2</v>
      </c>
      <c r="AV943" s="100">
        <f>IF('Net zero activities &amp; levers'!$C$12="Off",('Activity data'!BO18*EF!$H31)*kgtoGg,IF('Net zero activities &amp; levers'!$C$12="PB",('Activity data'!BO18*EF!$H31)*kgtoGg,IF('Net zero activities &amp; levers'!$C$12="MS",('Net zero Activity data'!BO18*EF!$H31)*kgtoGg,"ERROR")))</f>
        <v>-1.9317593767277572E-2</v>
      </c>
      <c r="AW943" s="100">
        <f>IF('Net zero activities &amp; levers'!$C$12="Off",('Activity data'!BP18*EF!$H31)*kgtoGg,IF('Net zero activities &amp; levers'!$C$12="PB",('Activity data'!BP18*EF!$H31)*kgtoGg,IF('Net zero activities &amp; levers'!$C$12="MS",('Net zero Activity data'!BP18*EF!$H31)*kgtoGg,"ERROR")))</f>
        <v>-1.907571395269729E-2</v>
      </c>
      <c r="AY943" s="85"/>
      <c r="AZ943" s="85"/>
    </row>
    <row r="944" spans="1:52" x14ac:dyDescent="0.25">
      <c r="A944" s="102" t="str">
        <f t="shared" si="326"/>
        <v>DS Poultry MMCH4</v>
      </c>
      <c r="B944" s="102" t="s">
        <v>975</v>
      </c>
      <c r="C944" s="102" t="s">
        <v>1232</v>
      </c>
      <c r="D944" t="s">
        <v>15</v>
      </c>
      <c r="E944" t="s">
        <v>22</v>
      </c>
      <c r="F944" t="s">
        <v>28</v>
      </c>
      <c r="G944" t="s">
        <v>131</v>
      </c>
      <c r="H944" t="s">
        <v>1228</v>
      </c>
      <c r="I944" t="s">
        <v>121</v>
      </c>
      <c r="J944" t="s">
        <v>286</v>
      </c>
      <c r="K944" s="100">
        <f>IF('Net zero activities &amp; levers'!$C$12="Off",('Activity data'!AD19*EF!$H32)*kgtoGg,IF('Net zero activities &amp; levers'!$C$12="PB",('Activity data'!AD19*EF!$H32)*kgtoGg,IF('Net zero activities &amp; levers'!$C$12="MS",('Net zero Activity data'!AD19*EF!$H32)*kgtoGg,"ERROR")))</f>
        <v>0.55890468998141496</v>
      </c>
      <c r="L944" s="100">
        <f>IF('Net zero activities &amp; levers'!$C$12="Off",('Activity data'!AE19*EF!$H32)*kgtoGg,IF('Net zero activities &amp; levers'!$C$12="PB",('Activity data'!AE19*EF!$H32)*kgtoGg,IF('Net zero activities &amp; levers'!$C$12="MS",('Net zero Activity data'!AE19*EF!$H32)*kgtoGg,"ERROR")))</f>
        <v>0.57100815822901829</v>
      </c>
      <c r="M944" s="100">
        <f>IF('Net zero activities &amp; levers'!$C$12="Off",('Activity data'!AF19*EF!$H32)*kgtoGg,IF('Net zero activities &amp; levers'!$C$12="PB",('Activity data'!AF19*EF!$H32)*kgtoGg,IF('Net zero activities &amp; levers'!$C$12="MS",('Net zero Activity data'!AF19*EF!$H32)*kgtoGg,"ERROR")))</f>
        <v>0.58076061949579127</v>
      </c>
      <c r="N944" s="100">
        <f>IF('Net zero activities &amp; levers'!$C$12="Off",('Activity data'!AG19*EF!$H32)*kgtoGg,IF('Net zero activities &amp; levers'!$C$12="PB",('Activity data'!AG19*EF!$H32)*kgtoGg,IF('Net zero activities &amp; levers'!$C$12="MS",('Net zero Activity data'!AG19*EF!$H32)*kgtoGg,"ERROR")))</f>
        <v>0.58713273634766394</v>
      </c>
      <c r="O944" s="100">
        <f>IF('Net zero activities &amp; levers'!$C$12="Off",('Activity data'!AH19*EF!$H32)*kgtoGg,IF('Net zero activities &amp; levers'!$C$12="PB",('Activity data'!AH19*EF!$H32)*kgtoGg,IF('Net zero activities &amp; levers'!$C$12="MS",('Net zero Activity data'!AH19*EF!$H32)*kgtoGg,"ERROR")))</f>
        <v>0.59359134329353236</v>
      </c>
      <c r="P944" s="100">
        <f>IF('Net zero activities &amp; levers'!$C$12="Off",('Activity data'!AI19*EF!$H32)*kgtoGg,IF('Net zero activities &amp; levers'!$C$12="PB",('Activity data'!AI19*EF!$H32)*kgtoGg,IF('Net zero activities &amp; levers'!$C$12="MS",('Net zero Activity data'!AI19*EF!$H32)*kgtoGg,"ERROR")))</f>
        <v>0.60191770622970409</v>
      </c>
      <c r="Q944" s="100">
        <f>IF('Net zero activities &amp; levers'!$C$12="Off",('Activity data'!AJ19*EF!$H32)*kgtoGg,IF('Net zero activities &amp; levers'!$C$12="PB",('Activity data'!AJ19*EF!$H32)*kgtoGg,IF('Net zero activities &amp; levers'!$C$12="MS",('Net zero Activity data'!AJ19*EF!$H32)*kgtoGg,"ERROR")))</f>
        <v>0.61082194696949044</v>
      </c>
      <c r="R944" s="100">
        <f>IF('Net zero activities &amp; levers'!$C$12="Off",('Activity data'!AK19*EF!$H32)*kgtoGg,IF('Net zero activities &amp; levers'!$C$12="PB",('Activity data'!AK19*EF!$H32)*kgtoGg,IF('Net zero activities &amp; levers'!$C$12="MS",('Net zero Activity data'!AK19*EF!$H32)*kgtoGg,"ERROR")))</f>
        <v>0.61600023875173726</v>
      </c>
      <c r="S944" s="100">
        <f>IF('Net zero activities &amp; levers'!$C$12="Off",('Activity data'!AL19*EF!$H32)*kgtoGg,IF('Net zero activities &amp; levers'!$C$12="PB",('Activity data'!AL19*EF!$H32)*kgtoGg,IF('Net zero activities &amp; levers'!$C$12="MS",('Net zero Activity data'!AL19*EF!$H32)*kgtoGg,"ERROR")))</f>
        <v>0.58621039395021657</v>
      </c>
      <c r="T944" s="100">
        <f>IF('Net zero activities &amp; levers'!$C$12="Off",('Activity data'!AM19*EF!$H32)*kgtoGg,IF('Net zero activities &amp; levers'!$C$12="PB",('Activity data'!AM19*EF!$H32)*kgtoGg,IF('Net zero activities &amp; levers'!$C$12="MS",('Net zero Activity data'!AM19*EF!$H32)*kgtoGg,"ERROR")))</f>
        <v>0.59879553943192321</v>
      </c>
      <c r="U944" s="100">
        <f>IF('Net zero activities &amp; levers'!$C$12="Off",('Activity data'!AN19*EF!$H32)*kgtoGg,IF('Net zero activities &amp; levers'!$C$12="PB",('Activity data'!AN19*EF!$H32)*kgtoGg,IF('Net zero activities &amp; levers'!$C$12="MS",('Net zero Activity data'!AN19*EF!$H32)*kgtoGg,"ERROR")))</f>
        <v>0.61054377323307962</v>
      </c>
      <c r="V944" s="100">
        <f>IF('Net zero activities &amp; levers'!$C$12="Off",('Activity data'!AO19*EF!$H32)*kgtoGg,IF('Net zero activities &amp; levers'!$C$12="PB",('Activity data'!AO19*EF!$H32)*kgtoGg,IF('Net zero activities &amp; levers'!$C$12="MS",('Net zero Activity data'!AO19*EF!$H32)*kgtoGg,"ERROR")))</f>
        <v>0.62238475303160634</v>
      </c>
      <c r="W944" s="100">
        <f>IF('Net zero activities &amp; levers'!$C$12="Off",('Activity data'!AP19*EF!$H32)*kgtoGg,IF('Net zero activities &amp; levers'!$C$12="PB",('Activity data'!AP19*EF!$H32)*kgtoGg,IF('Net zero activities &amp; levers'!$C$12="MS",('Net zero Activity data'!AP19*EF!$H32)*kgtoGg,"ERROR")))</f>
        <v>0.63582344873120078</v>
      </c>
      <c r="X944" s="100">
        <f>IF('Net zero activities &amp; levers'!$C$12="Off",('Activity data'!AQ19*EF!$H32)*kgtoGg,IF('Net zero activities &amp; levers'!$C$12="PB",('Activity data'!AQ19*EF!$H32)*kgtoGg,IF('Net zero activities &amp; levers'!$C$12="MS",('Net zero Activity data'!AQ19*EF!$H32)*kgtoGg,"ERROR")))</f>
        <v>0.6493737760577617</v>
      </c>
      <c r="Y944" s="100">
        <f>IF('Net zero activities &amp; levers'!$C$12="Off",('Activity data'!AR19*EF!$H32)*kgtoGg,IF('Net zero activities &amp; levers'!$C$12="PB",('Activity data'!AR19*EF!$H32)*kgtoGg,IF('Net zero activities &amp; levers'!$C$12="MS",('Net zero Activity data'!AR19*EF!$H32)*kgtoGg,"ERROR")))</f>
        <v>0.66294132390021665</v>
      </c>
      <c r="Z944" s="100">
        <f>IF('Net zero activities &amp; levers'!$C$12="Off",('Activity data'!AS19*EF!$H32)*kgtoGg,IF('Net zero activities &amp; levers'!$C$12="PB",('Activity data'!AS19*EF!$H32)*kgtoGg,IF('Net zero activities &amp; levers'!$C$12="MS",('Net zero Activity data'!AS19*EF!$H32)*kgtoGg,"ERROR")))</f>
        <v>0.67624718076087176</v>
      </c>
      <c r="AA944" s="100">
        <f>IF('Net zero activities &amp; levers'!$C$12="Off",('Activity data'!AT19*EF!$H32)*kgtoGg,IF('Net zero activities &amp; levers'!$C$12="PB",('Activity data'!AT19*EF!$H32)*kgtoGg,IF('Net zero activities &amp; levers'!$C$12="MS",('Net zero Activity data'!AT19*EF!$H32)*kgtoGg,"ERROR")))</f>
        <v>0.69026013489965976</v>
      </c>
      <c r="AB944" s="100">
        <f>IF('Net zero activities &amp; levers'!$C$12="Off",('Activity data'!AU19*EF!$H32)*kgtoGg,IF('Net zero activities &amp; levers'!$C$12="PB",('Activity data'!AU19*EF!$H32)*kgtoGg,IF('Net zero activities &amp; levers'!$C$12="MS",('Net zero Activity data'!AU19*EF!$H32)*kgtoGg,"ERROR")))</f>
        <v>0.70365733936336983</v>
      </c>
      <c r="AC944" s="100">
        <f>IF('Net zero activities &amp; levers'!$C$12="Off",('Activity data'!AV19*EF!$H32)*kgtoGg,IF('Net zero activities &amp; levers'!$C$12="PB",('Activity data'!AV19*EF!$H32)*kgtoGg,IF('Net zero activities &amp; levers'!$C$12="MS",('Net zero Activity data'!AV19*EF!$H32)*kgtoGg,"ERROR")))</f>
        <v>0.71737227237227463</v>
      </c>
      <c r="AD944" s="100">
        <f>IF('Net zero activities &amp; levers'!$C$12="Off",('Activity data'!AW19*EF!$H32)*kgtoGg,IF('Net zero activities &amp; levers'!$C$12="PB",('Activity data'!AW19*EF!$H32)*kgtoGg,IF('Net zero activities &amp; levers'!$C$12="MS",('Net zero Activity data'!AW19*EF!$H32)*kgtoGg,"ERROR")))</f>
        <v>0.7329223784090988</v>
      </c>
      <c r="AE944" s="100">
        <f>IF('Net zero activities &amp; levers'!$C$12="Off",('Activity data'!AX19*EF!$H32)*kgtoGg,IF('Net zero activities &amp; levers'!$C$12="PB",('Activity data'!AX19*EF!$H32)*kgtoGg,IF('Net zero activities &amp; levers'!$C$12="MS",('Net zero Activity data'!AX19*EF!$H32)*kgtoGg,"ERROR")))</f>
        <v>0.74954420563381685</v>
      </c>
      <c r="AF944" s="100">
        <f>IF('Net zero activities &amp; levers'!$C$12="Off",('Activity data'!AY19*EF!$H32)*kgtoGg,IF('Net zero activities &amp; levers'!$C$12="PB",('Activity data'!AY19*EF!$H32)*kgtoGg,IF('Net zero activities &amp; levers'!$C$12="MS",('Net zero Activity data'!AY19*EF!$H32)*kgtoGg,"ERROR")))</f>
        <v>0.76668896317960933</v>
      </c>
      <c r="AG944" s="100">
        <f>IF('Net zero activities &amp; levers'!$C$12="Off",('Activity data'!AZ19*EF!$H32)*kgtoGg,IF('Net zero activities &amp; levers'!$C$12="PB",('Activity data'!AZ19*EF!$H32)*kgtoGg,IF('Net zero activities &amp; levers'!$C$12="MS",('Net zero Activity data'!AZ19*EF!$H32)*kgtoGg,"ERROR")))</f>
        <v>0.77179208889456419</v>
      </c>
      <c r="AH944" s="100">
        <f>IF('Net zero activities &amp; levers'!$C$12="Off",('Activity data'!BA19*EF!$H32)*kgtoGg,IF('Net zero activities &amp; levers'!$C$12="PB",('Activity data'!BA19*EF!$H32)*kgtoGg,IF('Net zero activities &amp; levers'!$C$12="MS",('Net zero Activity data'!BA19*EF!$H32)*kgtoGg,"ERROR")))</f>
        <v>0.1849915255736751</v>
      </c>
      <c r="AI944" s="100">
        <f>IF('Net zero activities &amp; levers'!$C$12="Off",('Activity data'!BB19*EF!$H32)*kgtoGg,IF('Net zero activities &amp; levers'!$C$12="PB",('Activity data'!BB19*EF!$H32)*kgtoGg,IF('Net zero activities &amp; levers'!$C$12="MS",('Net zero Activity data'!BB19*EF!$H32)*kgtoGg,"ERROR")))</f>
        <v>0.18641334189853098</v>
      </c>
      <c r="AJ944" s="100">
        <f>IF('Net zero activities &amp; levers'!$C$12="Off",('Activity data'!BC19*EF!$H32)*kgtoGg,IF('Net zero activities &amp; levers'!$C$12="PB",('Activity data'!BC19*EF!$H32)*kgtoGg,IF('Net zero activities &amp; levers'!$C$12="MS",('Net zero Activity data'!BC19*EF!$H32)*kgtoGg,"ERROR")))</f>
        <v>0.18784551012942485</v>
      </c>
      <c r="AK944" s="100">
        <f>IF('Net zero activities &amp; levers'!$C$12="Off",('Activity data'!BD19*EF!$H32)*kgtoGg,IF('Net zero activities &amp; levers'!$C$12="PB",('Activity data'!BD19*EF!$H32)*kgtoGg,IF('Net zero activities &amp; levers'!$C$12="MS",('Net zero Activity data'!BD19*EF!$H32)*kgtoGg,"ERROR")))</f>
        <v>0.18928810909326649</v>
      </c>
      <c r="AL944" s="100">
        <f>IF('Net zero activities &amp; levers'!$C$12="Off",('Activity data'!BE19*EF!$H32)*kgtoGg,IF('Net zero activities &amp; levers'!$C$12="PB",('Activity data'!BE19*EF!$H32)*kgtoGg,IF('Net zero activities &amp; levers'!$C$12="MS",('Net zero Activity data'!BE19*EF!$H32)*kgtoGg,"ERROR")))</f>
        <v>0.19074121797493229</v>
      </c>
      <c r="AM944" s="100">
        <f>IF('Net zero activities &amp; levers'!$C$12="Off",('Activity data'!BF19*EF!$H32)*kgtoGg,IF('Net zero activities &amp; levers'!$C$12="PB",('Activity data'!BF19*EF!$H32)*kgtoGg,IF('Net zero activities &amp; levers'!$C$12="MS",('Net zero Activity data'!BF19*EF!$H32)*kgtoGg,"ERROR")))</f>
        <v>0.19220491634055523</v>
      </c>
      <c r="AN944" s="100">
        <f>IF('Net zero activities &amp; levers'!$C$12="Off",('Activity data'!BG19*EF!$H32)*kgtoGg,IF('Net zero activities &amp; levers'!$C$12="PB",('Activity data'!BG19*EF!$H32)*kgtoGg,IF('Net zero activities &amp; levers'!$C$12="MS",('Net zero Activity data'!BG19*EF!$H32)*kgtoGg,"ERROR")))</f>
        <v>0.19345615565117347</v>
      </c>
      <c r="AO944" s="100">
        <f>IF('Net zero activities &amp; levers'!$C$12="Off",('Activity data'!BH19*EF!$H32)*kgtoGg,IF('Net zero activities &amp; levers'!$C$12="PB",('Activity data'!BH19*EF!$H32)*kgtoGg,IF('Net zero activities &amp; levers'!$C$12="MS",('Net zero Activity data'!BH19*EF!$H32)*kgtoGg,"ERROR")))</f>
        <v>0.19471511856878457</v>
      </c>
      <c r="AP944" s="100">
        <f>IF('Net zero activities &amp; levers'!$C$12="Off",('Activity data'!BI19*EF!$H32)*kgtoGg,IF('Net zero activities &amp; levers'!$C$12="PB",('Activity data'!BI19*EF!$H32)*kgtoGg,IF('Net zero activities &amp; levers'!$C$12="MS",('Net zero Activity data'!BI19*EF!$H32)*kgtoGg,"ERROR")))</f>
        <v>0.1959818552978623</v>
      </c>
      <c r="AQ944" s="100">
        <f>IF('Net zero activities &amp; levers'!$C$12="Off",('Activity data'!BJ19*EF!$H32)*kgtoGg,IF('Net zero activities &amp; levers'!$C$12="PB",('Activity data'!BJ19*EF!$H32)*kgtoGg,IF('Net zero activities &amp; levers'!$C$12="MS",('Net zero Activity data'!BJ19*EF!$H32)*kgtoGg,"ERROR")))</f>
        <v>0.19725641621087697</v>
      </c>
      <c r="AR944" s="100">
        <f>IF('Net zero activities &amp; levers'!$C$12="Off",('Activity data'!BK19*EF!$H32)*kgtoGg,IF('Net zero activities &amp; levers'!$C$12="PB",('Activity data'!BK19*EF!$H32)*kgtoGg,IF('Net zero activities &amp; levers'!$C$12="MS",('Net zero Activity data'!BK19*EF!$H32)*kgtoGg,"ERROR")))</f>
        <v>0.19853885186147341</v>
      </c>
      <c r="AS944" s="100">
        <f>IF('Net zero activities &amp; levers'!$C$12="Off",('Activity data'!BL19*EF!$H32)*kgtoGg,IF('Net zero activities &amp; levers'!$C$12="PB",('Activity data'!BL19*EF!$H32)*kgtoGg,IF('Net zero activities &amp; levers'!$C$12="MS",('Net zero Activity data'!BL19*EF!$H32)*kgtoGg,"ERROR")))</f>
        <v>0.19959990963889776</v>
      </c>
      <c r="AT944" s="100">
        <f>IF('Net zero activities &amp; levers'!$C$12="Off",('Activity data'!BM19*EF!$H32)*kgtoGg,IF('Net zero activities &amp; levers'!$C$12="PB",('Activity data'!BM19*EF!$H32)*kgtoGg,IF('Net zero activities &amp; levers'!$C$12="MS",('Net zero Activity data'!BM19*EF!$H32)*kgtoGg,"ERROR")))</f>
        <v>0.20066634279480103</v>
      </c>
      <c r="AU944" s="100">
        <f>IF('Net zero activities &amp; levers'!$C$12="Off",('Activity data'!BN19*EF!$H32)*kgtoGg,IF('Net zero activities &amp; levers'!$C$12="PB",('Activity data'!BN19*EF!$H32)*kgtoGg,IF('Net zero activities &amp; levers'!$C$12="MS",('Net zero Activity data'!BN19*EF!$H32)*kgtoGg,"ERROR")))</f>
        <v>0.20173818048457057</v>
      </c>
      <c r="AV944" s="100">
        <f>IF('Net zero activities &amp; levers'!$C$12="Off",('Activity data'!BO19*EF!$H32)*kgtoGg,IF('Net zero activities &amp; levers'!$C$12="PB",('Activity data'!BO19*EF!$H32)*kgtoGg,IF('Net zero activities &amp; levers'!$C$12="MS",('Net zero Activity data'!BO19*EF!$H32)*kgtoGg,"ERROR")))</f>
        <v>0.20281545191264314</v>
      </c>
      <c r="AW944" s="100">
        <f>IF('Net zero activities &amp; levers'!$C$12="Off",('Activity data'!BP19*EF!$H32)*kgtoGg,IF('Net zero activities &amp; levers'!$C$12="PB",('Activity data'!BP19*EF!$H32)*kgtoGg,IF('Net zero activities &amp; levers'!$C$12="MS",('Net zero Activity data'!BP19*EF!$H32)*kgtoGg,"ERROR")))</f>
        <v>0.20389818634036988</v>
      </c>
      <c r="AY944" s="85"/>
      <c r="AZ944" s="85"/>
    </row>
    <row r="945" spans="1:52" x14ac:dyDescent="0.25">
      <c r="A945" s="102" t="str">
        <f t="shared" si="326"/>
        <v>DS Poultry MMCH4</v>
      </c>
      <c r="B945" s="102" t="s">
        <v>975</v>
      </c>
      <c r="C945" s="102" t="s">
        <v>1232</v>
      </c>
      <c r="D945" t="s">
        <v>15</v>
      </c>
      <c r="E945" t="s">
        <v>22</v>
      </c>
      <c r="F945" t="s">
        <v>28</v>
      </c>
      <c r="G945" t="s">
        <v>132</v>
      </c>
      <c r="H945" t="s">
        <v>1228</v>
      </c>
      <c r="I945" t="s">
        <v>121</v>
      </c>
      <c r="J945" t="s">
        <v>286</v>
      </c>
      <c r="K945" s="100">
        <f>IF('Net zero activities &amp; levers'!$C$12="Off",('Activity data'!AD20*EF!$H33)*kgtoGg,IF('Net zero activities &amp; levers'!$C$12="PB",('Activity data'!AD20*EF!$H33)*kgtoGg,IF('Net zero activities &amp; levers'!$C$12="MS",('Net zero Activity data'!AD20*EF!$H33)*kgtoGg,"ERROR")))</f>
        <v>2.2359130252274535</v>
      </c>
      <c r="L945" s="100">
        <f>IF('Net zero activities &amp; levers'!$C$12="Off",('Activity data'!AE20*EF!$H33)*kgtoGg,IF('Net zero activities &amp; levers'!$C$12="PB",('Activity data'!AE20*EF!$H33)*kgtoGg,IF('Net zero activities &amp; levers'!$C$12="MS",('Net zero Activity data'!AE20*EF!$H33)*kgtoGg,"ERROR")))</f>
        <v>2.2721966041793928</v>
      </c>
      <c r="M945" s="100">
        <f>IF('Net zero activities &amp; levers'!$C$12="Off",('Activity data'!AF20*EF!$H33)*kgtoGg,IF('Net zero activities &amp; levers'!$C$12="PB",('Activity data'!AF20*EF!$H33)*kgtoGg,IF('Net zero activities &amp; levers'!$C$12="MS",('Net zero Activity data'!AF20*EF!$H33)*kgtoGg,"ERROR")))</f>
        <v>2.2829699564071859</v>
      </c>
      <c r="N945" s="100">
        <f>IF('Net zero activities &amp; levers'!$C$12="Off",('Activity data'!AG20*EF!$H33)*kgtoGg,IF('Net zero activities &amp; levers'!$C$12="PB",('Activity data'!AG20*EF!$H33)*kgtoGg,IF('Net zero activities &amp; levers'!$C$12="MS",('Net zero Activity data'!AG20*EF!$H33)*kgtoGg,"ERROR")))</f>
        <v>2.2588206467778473</v>
      </c>
      <c r="O945" s="100">
        <f>IF('Net zero activities &amp; levers'!$C$12="Off",('Activity data'!AH20*EF!$H33)*kgtoGg,IF('Net zero activities &amp; levers'!$C$12="PB",('Activity data'!AH20*EF!$H33)*kgtoGg,IF('Net zero activities &amp; levers'!$C$12="MS",('Net zero Activity data'!AH20*EF!$H33)*kgtoGg,"ERROR")))</f>
        <v>2.2347231893932196</v>
      </c>
      <c r="P945" s="100">
        <f>IF('Net zero activities &amp; levers'!$C$12="Off",('Activity data'!AI20*EF!$H33)*kgtoGg,IF('Net zero activities &amp; levers'!$C$12="PB",('Activity data'!AI20*EF!$H33)*kgtoGg,IF('Net zero activities &amp; levers'!$C$12="MS",('Net zero Activity data'!AI20*EF!$H33)*kgtoGg,"ERROR")))</f>
        <v>2.2277310720056978</v>
      </c>
      <c r="Q945" s="100">
        <f>IF('Net zero activities &amp; levers'!$C$12="Off",('Activity data'!AJ20*EF!$H33)*kgtoGg,IF('Net zero activities &amp; levers'!$C$12="PB",('Activity data'!AJ20*EF!$H33)*kgtoGg,IF('Net zero activities &amp; levers'!$C$12="MS",('Net zero Activity data'!AJ20*EF!$H33)*kgtoGg,"ERROR")))</f>
        <v>2.2262744989012253</v>
      </c>
      <c r="R945" s="100">
        <f>IF('Net zero activities &amp; levers'!$C$12="Off",('Activity data'!AK20*EF!$H33)*kgtoGg,IF('Net zero activities &amp; levers'!$C$12="PB",('Activity data'!AK20*EF!$H33)*kgtoGg,IF('Net zero activities &amp; levers'!$C$12="MS",('Net zero Activity data'!AK20*EF!$H33)*kgtoGg,"ERROR")))</f>
        <v>2.1891395906785935</v>
      </c>
      <c r="S945" s="100">
        <f>IF('Net zero activities &amp; levers'!$C$12="Off",('Activity data'!AL20*EF!$H33)*kgtoGg,IF('Net zero activities &amp; levers'!$C$12="PB",('Activity data'!AL20*EF!$H33)*kgtoGg,IF('Net zero activities &amp; levers'!$C$12="MS",('Net zero Activity data'!AL20*EF!$H33)*kgtoGg,"ERROR")))</f>
        <v>1.8240868851485099</v>
      </c>
      <c r="T945" s="100">
        <f>IF('Net zero activities &amp; levers'!$C$12="Off",('Activity data'!AM20*EF!$H33)*kgtoGg,IF('Net zero activities &amp; levers'!$C$12="PB",('Activity data'!AM20*EF!$H33)*kgtoGg,IF('Net zero activities &amp; levers'!$C$12="MS",('Net zero Activity data'!AM20*EF!$H33)*kgtoGg,"ERROR")))</f>
        <v>1.8778928986212129</v>
      </c>
      <c r="U945" s="100">
        <f>IF('Net zero activities &amp; levers'!$C$12="Off",('Activity data'!AN20*EF!$H33)*kgtoGg,IF('Net zero activities &amp; levers'!$C$12="PB",('Activity data'!AN20*EF!$H33)*kgtoGg,IF('Net zero activities &amp; levers'!$C$12="MS",('Net zero Activity data'!AN20*EF!$H33)*kgtoGg,"ERROR")))</f>
        <v>1.9228674992863757</v>
      </c>
      <c r="V945" s="100">
        <f>IF('Net zero activities &amp; levers'!$C$12="Off",('Activity data'!AO20*EF!$H33)*kgtoGg,IF('Net zero activities &amp; levers'!$C$12="PB",('Activity data'!AO20*EF!$H33)*kgtoGg,IF('Net zero activities &amp; levers'!$C$12="MS",('Net zero Activity data'!AO20*EF!$H33)*kgtoGg,"ERROR")))</f>
        <v>1.9677329744500112</v>
      </c>
      <c r="W945" s="100">
        <f>IF('Net zero activities &amp; levers'!$C$12="Off",('Activity data'!AP20*EF!$H33)*kgtoGg,IF('Net zero activities &amp; levers'!$C$12="PB",('Activity data'!AP20*EF!$H33)*kgtoGg,IF('Net zero activities &amp; levers'!$C$12="MS",('Net zero Activity data'!AP20*EF!$H33)*kgtoGg,"ERROR")))</f>
        <v>2.0261043748595982</v>
      </c>
      <c r="X945" s="100">
        <f>IF('Net zero activities &amp; levers'!$C$12="Off",('Activity data'!AQ20*EF!$H33)*kgtoGg,IF('Net zero activities &amp; levers'!$C$12="PB",('Activity data'!AQ20*EF!$H33)*kgtoGg,IF('Net zero activities &amp; levers'!$C$12="MS",('Net zero Activity data'!AQ20*EF!$H33)*kgtoGg,"ERROR")))</f>
        <v>2.0843005626552618</v>
      </c>
      <c r="Y945" s="100">
        <f>IF('Net zero activities &amp; levers'!$C$12="Off",('Activity data'!AR20*EF!$H33)*kgtoGg,IF('Net zero activities &amp; levers'!$C$12="PB",('Activity data'!AR20*EF!$H33)*kgtoGg,IF('Net zero activities &amp; levers'!$C$12="MS",('Net zero Activity data'!AR20*EF!$H33)*kgtoGg,"ERROR")))</f>
        <v>2.1481960991761384</v>
      </c>
      <c r="Z945" s="100">
        <f>IF('Net zero activities &amp; levers'!$C$12="Off",('Activity data'!AS20*EF!$H33)*kgtoGg,IF('Net zero activities &amp; levers'!$C$12="PB",('Activity data'!AS20*EF!$H33)*kgtoGg,IF('Net zero activities &amp; levers'!$C$12="MS",('Net zero Activity data'!AS20*EF!$H33)*kgtoGg,"ERROR")))</f>
        <v>2.208679923214985</v>
      </c>
      <c r="AA945" s="100">
        <f>IF('Net zero activities &amp; levers'!$C$12="Off",('Activity data'!AT20*EF!$H33)*kgtoGg,IF('Net zero activities &amp; levers'!$C$12="PB",('Activity data'!AT20*EF!$H33)*kgtoGg,IF('Net zero activities &amp; levers'!$C$12="MS",('Net zero Activity data'!AT20*EF!$H33)*kgtoGg,"ERROR")))</f>
        <v>2.2743218882510807</v>
      </c>
      <c r="AB945" s="100">
        <f>IF('Net zero activities &amp; levers'!$C$12="Off",('Activity data'!AU20*EF!$H33)*kgtoGg,IF('Net zero activities &amp; levers'!$C$12="PB",('Activity data'!AU20*EF!$H33)*kgtoGg,IF('Net zero activities &amp; levers'!$C$12="MS",('Net zero Activity data'!AU20*EF!$H33)*kgtoGg,"ERROR")))</f>
        <v>2.3335097773270199</v>
      </c>
      <c r="AC945" s="100">
        <f>IF('Net zero activities &amp; levers'!$C$12="Off",('Activity data'!AV20*EF!$H33)*kgtoGg,IF('Net zero activities &amp; levers'!$C$12="PB",('Activity data'!AV20*EF!$H33)*kgtoGg,IF('Net zero activities &amp; levers'!$C$12="MS",('Net zero Activity data'!AV20*EF!$H33)*kgtoGg,"ERROR")))</f>
        <v>2.3944453885765151</v>
      </c>
      <c r="AD945" s="100">
        <f>IF('Net zero activities &amp; levers'!$C$12="Off",('Activity data'!AW20*EF!$H33)*kgtoGg,IF('Net zero activities &amp; levers'!$C$12="PB",('Activity data'!AW20*EF!$H33)*kgtoGg,IF('Net zero activities &amp; levers'!$C$12="MS",('Net zero Activity data'!AW20*EF!$H33)*kgtoGg,"ERROR")))</f>
        <v>2.4754243930729589</v>
      </c>
      <c r="AE945" s="100">
        <f>IF('Net zero activities &amp; levers'!$C$12="Off",('Activity data'!AX20*EF!$H33)*kgtoGg,IF('Net zero activities &amp; levers'!$C$12="PB",('Activity data'!AX20*EF!$H33)*kgtoGg,IF('Net zero activities &amp; levers'!$C$12="MS",('Net zero Activity data'!AX20*EF!$H33)*kgtoGg,"ERROR")))</f>
        <v>2.5643290582437364</v>
      </c>
      <c r="AF945" s="100">
        <f>IF('Net zero activities &amp; levers'!$C$12="Off",('Activity data'!AY20*EF!$H33)*kgtoGg,IF('Net zero activities &amp; levers'!$C$12="PB",('Activity data'!AY20*EF!$H33)*kgtoGg,IF('Net zero activities &amp; levers'!$C$12="MS",('Net zero Activity data'!AY20*EF!$H33)*kgtoGg,"ERROR")))</f>
        <v>2.656369337897865</v>
      </c>
      <c r="AG945" s="100">
        <f>IF('Net zero activities &amp; levers'!$C$12="Off",('Activity data'!AZ20*EF!$H33)*kgtoGg,IF('Net zero activities &amp; levers'!$C$12="PB",('Activity data'!AZ20*EF!$H33)*kgtoGg,IF('Net zero activities &amp; levers'!$C$12="MS",('Net zero Activity data'!AZ20*EF!$H33)*kgtoGg,"ERROR")))</f>
        <v>2.6461200420455202</v>
      </c>
      <c r="AH945" s="100">
        <f>IF('Net zero activities &amp; levers'!$C$12="Off",('Activity data'!BA20*EF!$H33)*kgtoGg,IF('Net zero activities &amp; levers'!$C$12="PB",('Activity data'!BA20*EF!$H33)*kgtoGg,IF('Net zero activities &amp; levers'!$C$12="MS",('Net zero Activity data'!BA20*EF!$H33)*kgtoGg,"ERROR")))</f>
        <v>-2.2948520289362109</v>
      </c>
      <c r="AI945" s="100">
        <f>IF('Net zero activities &amp; levers'!$C$12="Off",('Activity data'!BB20*EF!$H33)*kgtoGg,IF('Net zero activities &amp; levers'!$C$12="PB",('Activity data'!BB20*EF!$H33)*kgtoGg,IF('Net zero activities &amp; levers'!$C$12="MS",('Net zero Activity data'!BB20*EF!$H33)*kgtoGg,"ERROR")))</f>
        <v>-2.2981400819551214</v>
      </c>
      <c r="AJ945" s="100">
        <f>IF('Net zero activities &amp; levers'!$C$12="Off",('Activity data'!BC20*EF!$H33)*kgtoGg,IF('Net zero activities &amp; levers'!$C$12="PB",('Activity data'!BC20*EF!$H33)*kgtoGg,IF('Net zero activities &amp; levers'!$C$12="MS",('Net zero Activity data'!BC20*EF!$H33)*kgtoGg,"ERROR")))</f>
        <v>-2.3017063755775586</v>
      </c>
      <c r="AK945" s="100">
        <f>IF('Net zero activities &amp; levers'!$C$12="Off",('Activity data'!BD20*EF!$H33)*kgtoGg,IF('Net zero activities &amp; levers'!$C$12="PB",('Activity data'!BD20*EF!$H33)*kgtoGg,IF('Net zero activities &amp; levers'!$C$12="MS",('Net zero Activity data'!BD20*EF!$H33)*kgtoGg,"ERROR")))</f>
        <v>-2.3055392982644372</v>
      </c>
      <c r="AL945" s="100">
        <f>IF('Net zero activities &amp; levers'!$C$12="Off",('Activity data'!BE20*EF!$H33)*kgtoGg,IF('Net zero activities &amp; levers'!$C$12="PB",('Activity data'!BE20*EF!$H33)*kgtoGg,IF('Net zero activities &amp; levers'!$C$12="MS",('Net zero Activity data'!BE20*EF!$H33)*kgtoGg,"ERROR")))</f>
        <v>-2.3096281403729781</v>
      </c>
      <c r="AM945" s="100">
        <f>IF('Net zero activities &amp; levers'!$C$12="Off",('Activity data'!BF20*EF!$H33)*kgtoGg,IF('Net zero activities &amp; levers'!$C$12="PB",('Activity data'!BF20*EF!$H33)*kgtoGg,IF('Net zero activities &amp; levers'!$C$12="MS",('Net zero Activity data'!BF20*EF!$H33)*kgtoGg,"ERROR")))</f>
        <v>-2.3139630075215134</v>
      </c>
      <c r="AN945" s="100">
        <f>IF('Net zero activities &amp; levers'!$C$12="Off",('Activity data'!BG20*EF!$H33)*kgtoGg,IF('Net zero activities &amp; levers'!$C$12="PB",('Activity data'!BG20*EF!$H33)*kgtoGg,IF('Net zero activities &amp; levers'!$C$12="MS",('Net zero Activity data'!BG20*EF!$H33)*kgtoGg,"ERROR")))</f>
        <v>-2.3157471615489813</v>
      </c>
      <c r="AO945" s="100">
        <f>IF('Net zero activities &amp; levers'!$C$12="Off",('Activity data'!BH20*EF!$H33)*kgtoGg,IF('Net zero activities &amp; levers'!$C$12="PB",('Activity data'!BH20*EF!$H33)*kgtoGg,IF('Net zero activities &amp; levers'!$C$12="MS",('Net zero Activity data'!BH20*EF!$H33)*kgtoGg,"ERROR")))</f>
        <v>-2.3177549214936723</v>
      </c>
      <c r="AP945" s="100">
        <f>IF('Net zero activities &amp; levers'!$C$12="Off",('Activity data'!BI20*EF!$H33)*kgtoGg,IF('Net zero activities &amp; levers'!$C$12="PB",('Activity data'!BI20*EF!$H33)*kgtoGg,IF('Net zero activities &amp; levers'!$C$12="MS",('Net zero Activity data'!BI20*EF!$H33)*kgtoGg,"ERROR")))</f>
        <v>-2.3199776048516689</v>
      </c>
      <c r="AQ945" s="100">
        <f>IF('Net zero activities &amp; levers'!$C$12="Off",('Activity data'!BJ20*EF!$H33)*kgtoGg,IF('Net zero activities &amp; levers'!$C$12="PB",('Activity data'!BJ20*EF!$H33)*kgtoGg,IF('Net zero activities &amp; levers'!$C$12="MS",('Net zero Activity data'!BJ20*EF!$H33)*kgtoGg,"ERROR")))</f>
        <v>-2.3224071252966718</v>
      </c>
      <c r="AR945" s="100">
        <f>IF('Net zero activities &amp; levers'!$C$12="Off",('Activity data'!BK20*EF!$H33)*kgtoGg,IF('Net zero activities &amp; levers'!$C$12="PB",('Activity data'!BK20*EF!$H33)*kgtoGg,IF('Net zero activities &amp; levers'!$C$12="MS",('Net zero Activity data'!BK20*EF!$H33)*kgtoGg,"ERROR")))</f>
        <v>-2.3250359414523776</v>
      </c>
      <c r="AS945" s="100">
        <f>IF('Net zero activities &amp; levers'!$C$12="Off",('Activity data'!BL20*EF!$H33)*kgtoGg,IF('Net zero activities &amp; levers'!$C$12="PB",('Activity data'!BL20*EF!$H33)*kgtoGg,IF('Net zero activities &amp; levers'!$C$12="MS",('Net zero Activity data'!BL20*EF!$H33)*kgtoGg,"ERROR")))</f>
        <v>-2.3250730145110658</v>
      </c>
      <c r="AT945" s="100">
        <f>IF('Net zero activities &amp; levers'!$C$12="Off",('Activity data'!BM20*EF!$H33)*kgtoGg,IF('Net zero activities &amp; levers'!$C$12="PB",('Activity data'!BM20*EF!$H33)*kgtoGg,IF('Net zero activities &amp; levers'!$C$12="MS",('Net zero Activity data'!BM20*EF!$H33)*kgtoGg,"ERROR")))</f>
        <v>-2.3252946526138598</v>
      </c>
      <c r="AU945" s="100">
        <f>IF('Net zero activities &amp; levers'!$C$12="Off",('Activity data'!BN20*EF!$H33)*kgtoGg,IF('Net zero activities &amp; levers'!$C$12="PB",('Activity data'!BN20*EF!$H33)*kgtoGg,IF('Net zero activities &amp; levers'!$C$12="MS",('Net zero Activity data'!BN20*EF!$H33)*kgtoGg,"ERROR")))</f>
        <v>-2.3256940319059596</v>
      </c>
      <c r="AV945" s="100">
        <f>IF('Net zero activities &amp; levers'!$C$12="Off",('Activity data'!BO20*EF!$H33)*kgtoGg,IF('Net zero activities &amp; levers'!$C$12="PB",('Activity data'!BO20*EF!$H33)*kgtoGg,IF('Net zero activities &amp; levers'!$C$12="MS",('Net zero Activity data'!BO20*EF!$H33)*kgtoGg,"ERROR")))</f>
        <v>-2.3262647465769009</v>
      </c>
      <c r="AW945" s="100">
        <f>IF('Net zero activities &amp; levers'!$C$12="Off",('Activity data'!BP20*EF!$H33)*kgtoGg,IF('Net zero activities &amp; levers'!$C$12="PB",('Activity data'!BP20*EF!$H33)*kgtoGg,IF('Net zero activities &amp; levers'!$C$12="MS",('Net zero Activity data'!BP20*EF!$H33)*kgtoGg,"ERROR")))</f>
        <v>-2.3270007763918432</v>
      </c>
      <c r="AY945" s="85"/>
      <c r="AZ945" s="85"/>
    </row>
    <row r="946" spans="1:52" x14ac:dyDescent="0.25">
      <c r="A946" s="102" t="str">
        <f t="shared" si="326"/>
        <v>DS Poultry MMCH4</v>
      </c>
      <c r="B946" s="102" t="s">
        <v>975</v>
      </c>
      <c r="C946" s="102" t="s">
        <v>1232</v>
      </c>
      <c r="D946" t="s">
        <v>15</v>
      </c>
      <c r="E946" t="s">
        <v>22</v>
      </c>
      <c r="F946" t="s">
        <v>28</v>
      </c>
      <c r="G946" t="s">
        <v>134</v>
      </c>
      <c r="H946" t="s">
        <v>1228</v>
      </c>
      <c r="I946" t="s">
        <v>121</v>
      </c>
      <c r="J946" t="s">
        <v>286</v>
      </c>
      <c r="K946" s="100">
        <f>IF('Net zero activities &amp; levers'!$C$12="Off",('Activity data'!AD21*EF!$H34)*kgtoGg,IF('Net zero activities &amp; levers'!$C$12="PB",('Activity data'!AD21*EF!$H34)*kgtoGg,IF('Net zero activities &amp; levers'!$C$12="MS",('Net zero Activity data'!AD21*EF!$H34)*kgtoGg,"ERROR")))</f>
        <v>2.3287695415892307E-2</v>
      </c>
      <c r="L946" s="100">
        <f>IF('Net zero activities &amp; levers'!$C$12="Off",('Activity data'!AE21*EF!$H34)*kgtoGg,IF('Net zero activities &amp; levers'!$C$12="PB",('Activity data'!AE21*EF!$H34)*kgtoGg,IF('Net zero activities &amp; levers'!$C$12="MS",('Net zero Activity data'!AE21*EF!$H34)*kgtoGg,"ERROR")))</f>
        <v>2.3792006592875784E-2</v>
      </c>
      <c r="M946" s="100">
        <f>IF('Net zero activities &amp; levers'!$C$12="Off",('Activity data'!AF21*EF!$H34)*kgtoGg,IF('Net zero activities &amp; levers'!$C$12="PB",('Activity data'!AF21*EF!$H34)*kgtoGg,IF('Net zero activities &amp; levers'!$C$12="MS",('Net zero Activity data'!AF21*EF!$H34)*kgtoGg,"ERROR")))</f>
        <v>2.4198359145657992E-2</v>
      </c>
      <c r="N946" s="100">
        <f>IF('Net zero activities &amp; levers'!$C$12="Off",('Activity data'!AG21*EF!$H34)*kgtoGg,IF('Net zero activities &amp; levers'!$C$12="PB",('Activity data'!AG21*EF!$H34)*kgtoGg,IF('Net zero activities &amp; levers'!$C$12="MS",('Net zero Activity data'!AG21*EF!$H34)*kgtoGg,"ERROR")))</f>
        <v>2.4463864014486018E-2</v>
      </c>
      <c r="O946" s="100">
        <f>IF('Net zero activities &amp; levers'!$C$12="Off",('Activity data'!AH21*EF!$H34)*kgtoGg,IF('Net zero activities &amp; levers'!$C$12="PB",('Activity data'!AH21*EF!$H34)*kgtoGg,IF('Net zero activities &amp; levers'!$C$12="MS",('Net zero Activity data'!AH21*EF!$H34)*kgtoGg,"ERROR")))</f>
        <v>2.4732972637230538E-2</v>
      </c>
      <c r="P946" s="100">
        <f>IF('Net zero activities &amp; levers'!$C$12="Off",('Activity data'!AI21*EF!$H34)*kgtoGg,IF('Net zero activities &amp; levers'!$C$12="PB",('Activity data'!AI21*EF!$H34)*kgtoGg,IF('Net zero activities &amp; levers'!$C$12="MS",('Net zero Activity data'!AI21*EF!$H34)*kgtoGg,"ERROR")))</f>
        <v>2.5079904426237691E-2</v>
      </c>
      <c r="Q946" s="100">
        <f>IF('Net zero activities &amp; levers'!$C$12="Off",('Activity data'!AJ21*EF!$H34)*kgtoGg,IF('Net zero activities &amp; levers'!$C$12="PB",('Activity data'!AJ21*EF!$H34)*kgtoGg,IF('Net zero activities &amp; levers'!$C$12="MS",('Net zero Activity data'!AJ21*EF!$H34)*kgtoGg,"ERROR")))</f>
        <v>2.5450914457062126E-2</v>
      </c>
      <c r="R946" s="100">
        <f>IF('Net zero activities &amp; levers'!$C$12="Off",('Activity data'!AK21*EF!$H34)*kgtoGg,IF('Net zero activities &amp; levers'!$C$12="PB",('Activity data'!AK21*EF!$H34)*kgtoGg,IF('Net zero activities &amp; levers'!$C$12="MS",('Net zero Activity data'!AK21*EF!$H34)*kgtoGg,"ERROR")))</f>
        <v>2.5666676614655742E-2</v>
      </c>
      <c r="S946" s="100">
        <f>IF('Net zero activities &amp; levers'!$C$12="Off",('Activity data'!AL21*EF!$H34)*kgtoGg,IF('Net zero activities &amp; levers'!$C$12="PB",('Activity data'!AL21*EF!$H34)*kgtoGg,IF('Net zero activities &amp; levers'!$C$12="MS",('Net zero Activity data'!AL21*EF!$H34)*kgtoGg,"ERROR")))</f>
        <v>2.4425433081259044E-2</v>
      </c>
      <c r="T946" s="100">
        <f>IF('Net zero activities &amp; levers'!$C$12="Off",('Activity data'!AM21*EF!$H34)*kgtoGg,IF('Net zero activities &amp; levers'!$C$12="PB",('Activity data'!AM21*EF!$H34)*kgtoGg,IF('Net zero activities &amp; levers'!$C$12="MS",('Net zero Activity data'!AM21*EF!$H34)*kgtoGg,"ERROR")))</f>
        <v>2.4949814142996823E-2</v>
      </c>
      <c r="U946" s="100">
        <f>IF('Net zero activities &amp; levers'!$C$12="Off",('Activity data'!AN21*EF!$H34)*kgtoGg,IF('Net zero activities &amp; levers'!$C$12="PB",('Activity data'!AN21*EF!$H34)*kgtoGg,IF('Net zero activities &amp; levers'!$C$12="MS",('Net zero Activity data'!AN21*EF!$H34)*kgtoGg,"ERROR")))</f>
        <v>2.5439323884711679E-2</v>
      </c>
      <c r="V946" s="100">
        <f>IF('Net zero activities &amp; levers'!$C$12="Off",('Activity data'!AO21*EF!$H34)*kgtoGg,IF('Net zero activities &amp; levers'!$C$12="PB",('Activity data'!AO21*EF!$H34)*kgtoGg,IF('Net zero activities &amp; levers'!$C$12="MS",('Net zero Activity data'!AO21*EF!$H34)*kgtoGg,"ERROR")))</f>
        <v>2.5932698042983617E-2</v>
      </c>
      <c r="W946" s="100">
        <f>IF('Net zero activities &amp; levers'!$C$12="Off",('Activity data'!AP21*EF!$H34)*kgtoGg,IF('Net zero activities &amp; levers'!$C$12="PB",('Activity data'!AP21*EF!$H34)*kgtoGg,IF('Net zero activities &amp; levers'!$C$12="MS",('Net zero Activity data'!AP21*EF!$H34)*kgtoGg,"ERROR")))</f>
        <v>2.6492643697133385E-2</v>
      </c>
      <c r="X946" s="100">
        <f>IF('Net zero activities &amp; levers'!$C$12="Off",('Activity data'!AQ21*EF!$H34)*kgtoGg,IF('Net zero activities &amp; levers'!$C$12="PB",('Activity data'!AQ21*EF!$H34)*kgtoGg,IF('Net zero activities &amp; levers'!$C$12="MS",('Net zero Activity data'!AQ21*EF!$H34)*kgtoGg,"ERROR")))</f>
        <v>2.7057240669073435E-2</v>
      </c>
      <c r="Y946" s="100">
        <f>IF('Net zero activities &amp; levers'!$C$12="Off",('Activity data'!AR21*EF!$H34)*kgtoGg,IF('Net zero activities &amp; levers'!$C$12="PB",('Activity data'!AR21*EF!$H34)*kgtoGg,IF('Net zero activities &amp; levers'!$C$12="MS",('Net zero Activity data'!AR21*EF!$H34)*kgtoGg,"ERROR")))</f>
        <v>2.7622555162509051E-2</v>
      </c>
      <c r="Z946" s="100">
        <f>IF('Net zero activities &amp; levers'!$C$12="Off",('Activity data'!AS21*EF!$H34)*kgtoGg,IF('Net zero activities &amp; levers'!$C$12="PB",('Activity data'!AS21*EF!$H34)*kgtoGg,IF('Net zero activities &amp; levers'!$C$12="MS",('Net zero Activity data'!AS21*EF!$H34)*kgtoGg,"ERROR")))</f>
        <v>2.8176965865036346E-2</v>
      </c>
      <c r="AA946" s="100">
        <f>IF('Net zero activities &amp; levers'!$C$12="Off",('Activity data'!AT21*EF!$H34)*kgtoGg,IF('Net zero activities &amp; levers'!$C$12="PB",('Activity data'!AT21*EF!$H34)*kgtoGg,IF('Net zero activities &amp; levers'!$C$12="MS",('Net zero Activity data'!AT21*EF!$H34)*kgtoGg,"ERROR")))</f>
        <v>2.8760838954152518E-2</v>
      </c>
      <c r="AB946" s="100">
        <f>IF('Net zero activities &amp; levers'!$C$12="Off",('Activity data'!AU21*EF!$H34)*kgtoGg,IF('Net zero activities &amp; levers'!$C$12="PB",('Activity data'!AU21*EF!$H34)*kgtoGg,IF('Net zero activities &amp; levers'!$C$12="MS",('Net zero Activity data'!AU21*EF!$H34)*kgtoGg,"ERROR")))</f>
        <v>2.9319055806807104E-2</v>
      </c>
      <c r="AC946" s="100">
        <f>IF('Net zero activities &amp; levers'!$C$12="Off",('Activity data'!AV21*EF!$H34)*kgtoGg,IF('Net zero activities &amp; levers'!$C$12="PB",('Activity data'!AV21*EF!$H34)*kgtoGg,IF('Net zero activities &amp; levers'!$C$12="MS",('Net zero Activity data'!AV21*EF!$H34)*kgtoGg,"ERROR")))</f>
        <v>2.9890511348844809E-2</v>
      </c>
      <c r="AD946" s="100">
        <f>IF('Net zero activities &amp; levers'!$C$12="Off",('Activity data'!AW21*EF!$H34)*kgtoGg,IF('Net zero activities &amp; levers'!$C$12="PB",('Activity data'!AW21*EF!$H34)*kgtoGg,IF('Net zero activities &amp; levers'!$C$12="MS",('Net zero Activity data'!AW21*EF!$H34)*kgtoGg,"ERROR")))</f>
        <v>3.0538432433712476E-2</v>
      </c>
      <c r="AE946" s="100">
        <f>IF('Net zero activities &amp; levers'!$C$12="Off",('Activity data'!AX21*EF!$H34)*kgtoGg,IF('Net zero activities &amp; levers'!$C$12="PB",('Activity data'!AX21*EF!$H34)*kgtoGg,IF('Net zero activities &amp; levers'!$C$12="MS",('Net zero Activity data'!AX21*EF!$H34)*kgtoGg,"ERROR")))</f>
        <v>3.123100856807573E-2</v>
      </c>
      <c r="AF946" s="100">
        <f>IF('Net zero activities &amp; levers'!$C$12="Off",('Activity data'!AY21*EF!$H34)*kgtoGg,IF('Net zero activities &amp; levers'!$C$12="PB",('Activity data'!AY21*EF!$H34)*kgtoGg,IF('Net zero activities &amp; levers'!$C$12="MS",('Net zero Activity data'!AY21*EF!$H34)*kgtoGg,"ERROR")))</f>
        <v>3.1945373465817078E-2</v>
      </c>
      <c r="AG946" s="100">
        <f>IF('Net zero activities &amp; levers'!$C$12="Off",('Activity data'!AZ21*EF!$H34)*kgtoGg,IF('Net zero activities &amp; levers'!$C$12="PB",('Activity data'!AZ21*EF!$H34)*kgtoGg,IF('Net zero activities &amp; levers'!$C$12="MS",('Net zero Activity data'!AZ21*EF!$H34)*kgtoGg,"ERROR")))</f>
        <v>3.2158003703940202E-2</v>
      </c>
      <c r="AH946" s="100">
        <f>IF('Net zero activities &amp; levers'!$C$12="Off",('Activity data'!BA21*EF!$H34)*kgtoGg,IF('Net zero activities &amp; levers'!$C$12="PB",('Activity data'!BA21*EF!$H34)*kgtoGg,IF('Net zero activities &amp; levers'!$C$12="MS",('Net zero Activity data'!BA21*EF!$H34)*kgtoGg,"ERROR")))</f>
        <v>7.7079802322364711E-3</v>
      </c>
      <c r="AI946" s="100">
        <f>IF('Net zero activities &amp; levers'!$C$12="Off",('Activity data'!BB21*EF!$H34)*kgtoGg,IF('Net zero activities &amp; levers'!$C$12="PB",('Activity data'!BB21*EF!$H34)*kgtoGg,IF('Net zero activities &amp; levers'!$C$12="MS",('Net zero Activity data'!BB21*EF!$H34)*kgtoGg,"ERROR")))</f>
        <v>7.7672225791054648E-3</v>
      </c>
      <c r="AJ946" s="100">
        <f>IF('Net zero activities &amp; levers'!$C$12="Off",('Activity data'!BC21*EF!$H34)*kgtoGg,IF('Net zero activities &amp; levers'!$C$12="PB",('Activity data'!BC21*EF!$H34)*kgtoGg,IF('Net zero activities &amp; levers'!$C$12="MS",('Net zero Activity data'!BC21*EF!$H34)*kgtoGg,"ERROR")))</f>
        <v>7.8268962553927103E-3</v>
      </c>
      <c r="AK946" s="100">
        <f>IF('Net zero activities &amp; levers'!$C$12="Off",('Activity data'!BD21*EF!$H34)*kgtoGg,IF('Net zero activities &amp; levers'!$C$12="PB",('Activity data'!BD21*EF!$H34)*kgtoGg,IF('Net zero activities &amp; levers'!$C$12="MS",('Net zero Activity data'!BD21*EF!$H34)*kgtoGg,"ERROR")))</f>
        <v>7.8870045455527778E-3</v>
      </c>
      <c r="AL946" s="100">
        <f>IF('Net zero activities &amp; levers'!$C$12="Off",('Activity data'!BE21*EF!$H34)*kgtoGg,IF('Net zero activities &amp; levers'!$C$12="PB",('Activity data'!BE21*EF!$H34)*kgtoGg,IF('Net zero activities &amp; levers'!$C$12="MS",('Net zero Activity data'!BE21*EF!$H34)*kgtoGg,"ERROR")))</f>
        <v>7.9475507489555203E-3</v>
      </c>
      <c r="AM946" s="100">
        <f>IF('Net zero activities &amp; levers'!$C$12="Off",('Activity data'!BF21*EF!$H34)*kgtoGg,IF('Net zero activities &amp; levers'!$C$12="PB",('Activity data'!BF21*EF!$H34)*kgtoGg,IF('Net zero activities &amp; levers'!$C$12="MS",('Net zero Activity data'!BF21*EF!$H34)*kgtoGg,"ERROR")))</f>
        <v>8.0085381808564764E-3</v>
      </c>
      <c r="AN946" s="100">
        <f>IF('Net zero activities &amp; levers'!$C$12="Off",('Activity data'!BG21*EF!$H34)*kgtoGg,IF('Net zero activities &amp; levers'!$C$12="PB",('Activity data'!BG21*EF!$H34)*kgtoGg,IF('Net zero activities &amp; levers'!$C$12="MS",('Net zero Activity data'!BG21*EF!$H34)*kgtoGg,"ERROR")))</f>
        <v>8.0606731521322347E-3</v>
      </c>
      <c r="AO946" s="100">
        <f>IF('Net zero activities &amp; levers'!$C$12="Off",('Activity data'!BH21*EF!$H34)*kgtoGg,IF('Net zero activities &amp; levers'!$C$12="PB",('Activity data'!BH21*EF!$H34)*kgtoGg,IF('Net zero activities &amp; levers'!$C$12="MS",('Net zero Activity data'!BH21*EF!$H34)*kgtoGg,"ERROR")))</f>
        <v>8.1131299403660317E-3</v>
      </c>
      <c r="AP946" s="100">
        <f>IF('Net zero activities &amp; levers'!$C$12="Off",('Activity data'!BI21*EF!$H34)*kgtoGg,IF('Net zero activities &amp; levers'!$C$12="PB",('Activity data'!BI21*EF!$H34)*kgtoGg,IF('Net zero activities &amp; levers'!$C$12="MS",('Net zero Activity data'!BI21*EF!$H34)*kgtoGg,"ERROR")))</f>
        <v>8.1659106374109367E-3</v>
      </c>
      <c r="AQ946" s="100">
        <f>IF('Net zero activities &amp; levers'!$C$12="Off",('Activity data'!BJ21*EF!$H34)*kgtoGg,IF('Net zero activities &amp; levers'!$C$12="PB",('Activity data'!BJ21*EF!$H34)*kgtoGg,IF('Net zero activities &amp; levers'!$C$12="MS",('Net zero Activity data'!BJ21*EF!$H34)*kgtoGg,"ERROR")))</f>
        <v>8.2190173421198831E-3</v>
      </c>
      <c r="AR946" s="100">
        <f>IF('Net zero activities &amp; levers'!$C$12="Off",('Activity data'!BK21*EF!$H34)*kgtoGg,IF('Net zero activities &amp; levers'!$C$12="PB",('Activity data'!BK21*EF!$H34)*kgtoGg,IF('Net zero activities &amp; levers'!$C$12="MS",('Net zero Activity data'!BK21*EF!$H34)*kgtoGg,"ERROR")))</f>
        <v>8.2724521608947329E-3</v>
      </c>
      <c r="AS946" s="100">
        <f>IF('Net zero activities &amp; levers'!$C$12="Off",('Activity data'!BL21*EF!$H34)*kgtoGg,IF('Net zero activities &amp; levers'!$C$12="PB",('Activity data'!BL21*EF!$H34)*kgtoGg,IF('Net zero activities &amp; levers'!$C$12="MS",('Net zero Activity data'!BL21*EF!$H34)*kgtoGg,"ERROR")))</f>
        <v>8.3166629016207475E-3</v>
      </c>
      <c r="AT946" s="100">
        <f>IF('Net zero activities &amp; levers'!$C$12="Off",('Activity data'!BM21*EF!$H34)*kgtoGg,IF('Net zero activities &amp; levers'!$C$12="PB",('Activity data'!BM21*EF!$H34)*kgtoGg,IF('Net zero activities &amp; levers'!$C$12="MS",('Net zero Activity data'!BM21*EF!$H34)*kgtoGg,"ERROR")))</f>
        <v>8.3610976164500486E-3</v>
      </c>
      <c r="AU946" s="100">
        <f>IF('Net zero activities &amp; levers'!$C$12="Off",('Activity data'!BN21*EF!$H34)*kgtoGg,IF('Net zero activities &amp; levers'!$C$12="PB",('Activity data'!BN21*EF!$H34)*kgtoGg,IF('Net zero activities &amp; levers'!$C$12="MS",('Net zero Activity data'!BN21*EF!$H34)*kgtoGg,"ERROR")))</f>
        <v>8.4057575201904496E-3</v>
      </c>
      <c r="AV946" s="100">
        <f>IF('Net zero activities &amp; levers'!$C$12="Off",('Activity data'!BO21*EF!$H34)*kgtoGg,IF('Net zero activities &amp; levers'!$C$12="PB",('Activity data'!BO21*EF!$H34)*kgtoGg,IF('Net zero activities &amp; levers'!$C$12="MS",('Net zero Activity data'!BO21*EF!$H34)*kgtoGg,"ERROR")))</f>
        <v>8.4506438296934709E-3</v>
      </c>
      <c r="AW946" s="100">
        <f>IF('Net zero activities &amp; levers'!$C$12="Off",('Activity data'!BP21*EF!$H34)*kgtoGg,IF('Net zero activities &amp; levers'!$C$12="PB",('Activity data'!BP21*EF!$H34)*kgtoGg,IF('Net zero activities &amp; levers'!$C$12="MS",('Net zero Activity data'!BP21*EF!$H34)*kgtoGg,"ERROR")))</f>
        <v>8.495757764182087E-3</v>
      </c>
      <c r="AY946" s="85"/>
      <c r="AZ946" s="85"/>
    </row>
    <row r="947" spans="1:52" x14ac:dyDescent="0.25">
      <c r="A947" s="102" t="str">
        <f t="shared" si="326"/>
        <v>DS Poultry MMCH4</v>
      </c>
      <c r="B947" s="102" t="s">
        <v>975</v>
      </c>
      <c r="C947" s="102" t="s">
        <v>1232</v>
      </c>
      <c r="D947" t="s">
        <v>15</v>
      </c>
      <c r="E947" t="s">
        <v>22</v>
      </c>
      <c r="F947" t="s">
        <v>28</v>
      </c>
      <c r="G947" t="s">
        <v>133</v>
      </c>
      <c r="H947" t="s">
        <v>1228</v>
      </c>
      <c r="I947" t="s">
        <v>121</v>
      </c>
      <c r="J947" t="s">
        <v>286</v>
      </c>
      <c r="K947" s="100">
        <f>IF('Net zero activities &amp; levers'!$C$12="Off",('Activity data'!AD22*EF!$H35)*kgtoGg,IF('Net zero activities &amp; levers'!$C$12="PB",('Activity data'!AD22*EF!$H35)*kgtoGg,IF('Net zero activities &amp; levers'!$C$12="MS",('Net zero Activity data'!AD22*EF!$H35)*kgtoGg,"ERROR")))</f>
        <v>9.3163042717810632E-2</v>
      </c>
      <c r="L947" s="100">
        <f>IF('Net zero activities &amp; levers'!$C$12="Off",('Activity data'!AE22*EF!$H35)*kgtoGg,IF('Net zero activities &amp; levers'!$C$12="PB",('Activity data'!AE22*EF!$H35)*kgtoGg,IF('Net zero activities &amp; levers'!$C$12="MS",('Net zero Activity data'!AE22*EF!$H35)*kgtoGg,"ERROR")))</f>
        <v>9.4674858507474813E-2</v>
      </c>
      <c r="M947" s="100">
        <f>IF('Net zero activities &amp; levers'!$C$12="Off",('Activity data'!AF22*EF!$H35)*kgtoGg,IF('Net zero activities &amp; levers'!$C$12="PB",('Activity data'!AF22*EF!$H35)*kgtoGg,IF('Net zero activities &amp; levers'!$C$12="MS",('Net zero Activity data'!AF22*EF!$H35)*kgtoGg,"ERROR")))</f>
        <v>9.5123748183632839E-2</v>
      </c>
      <c r="N947" s="100">
        <f>IF('Net zero activities &amp; levers'!$C$12="Off",('Activity data'!AG22*EF!$H35)*kgtoGg,IF('Net zero activities &amp; levers'!$C$12="PB",('Activity data'!AG22*EF!$H35)*kgtoGg,IF('Net zero activities &amp; levers'!$C$12="MS",('Net zero Activity data'!AG22*EF!$H35)*kgtoGg,"ERROR")))</f>
        <v>9.411752694907706E-2</v>
      </c>
      <c r="O947" s="100">
        <f>IF('Net zero activities &amp; levers'!$C$12="Off",('Activity data'!AH22*EF!$H35)*kgtoGg,IF('Net zero activities &amp; levers'!$C$12="PB",('Activity data'!AH22*EF!$H35)*kgtoGg,IF('Net zero activities &amp; levers'!$C$12="MS",('Net zero Activity data'!AH22*EF!$H35)*kgtoGg,"ERROR")))</f>
        <v>9.3113466224717556E-2</v>
      </c>
      <c r="P947" s="100">
        <f>IF('Net zero activities &amp; levers'!$C$12="Off",('Activity data'!AI22*EF!$H35)*kgtoGg,IF('Net zero activities &amp; levers'!$C$12="PB",('Activity data'!AI22*EF!$H35)*kgtoGg,IF('Net zero activities &amp; levers'!$C$12="MS",('Net zero Activity data'!AI22*EF!$H35)*kgtoGg,"ERROR")))</f>
        <v>9.2822128000237508E-2</v>
      </c>
      <c r="Q947" s="100">
        <f>IF('Net zero activities &amp; levers'!$C$12="Off",('Activity data'!AJ22*EF!$H35)*kgtoGg,IF('Net zero activities &amp; levers'!$C$12="PB",('Activity data'!AJ22*EF!$H35)*kgtoGg,IF('Net zero activities &amp; levers'!$C$12="MS",('Net zero Activity data'!AJ22*EF!$H35)*kgtoGg,"ERROR")))</f>
        <v>9.2761437454217818E-2</v>
      </c>
      <c r="R947" s="100">
        <f>IF('Net zero activities &amp; levers'!$C$12="Off",('Activity data'!AK22*EF!$H35)*kgtoGg,IF('Net zero activities &amp; levers'!$C$12="PB",('Activity data'!AK22*EF!$H35)*kgtoGg,IF('Net zero activities &amp; levers'!$C$12="MS",('Net zero Activity data'!AK22*EF!$H35)*kgtoGg,"ERROR")))</f>
        <v>9.1214149611608147E-2</v>
      </c>
      <c r="S947" s="100">
        <f>IF('Net zero activities &amp; levers'!$C$12="Off",('Activity data'!AL22*EF!$H35)*kgtoGg,IF('Net zero activities &amp; levers'!$C$12="PB",('Activity data'!AL22*EF!$H35)*kgtoGg,IF('Net zero activities &amp; levers'!$C$12="MS",('Net zero Activity data'!AL22*EF!$H35)*kgtoGg,"ERROR")))</f>
        <v>7.6003620214521325E-2</v>
      </c>
      <c r="T947" s="100">
        <f>IF('Net zero activities &amp; levers'!$C$12="Off",('Activity data'!AM22*EF!$H35)*kgtoGg,IF('Net zero activities &amp; levers'!$C$12="PB",('Activity data'!AM22*EF!$H35)*kgtoGg,IF('Net zero activities &amp; levers'!$C$12="MS",('Net zero Activity data'!AM22*EF!$H35)*kgtoGg,"ERROR")))</f>
        <v>7.8245537442550611E-2</v>
      </c>
      <c r="U947" s="100">
        <f>IF('Net zero activities &amp; levers'!$C$12="Off",('Activity data'!AN22*EF!$H35)*kgtoGg,IF('Net zero activities &amp; levers'!$C$12="PB",('Activity data'!AN22*EF!$H35)*kgtoGg,IF('Net zero activities &amp; levers'!$C$12="MS",('Net zero Activity data'!AN22*EF!$H35)*kgtoGg,"ERROR")))</f>
        <v>8.0119479136932389E-2</v>
      </c>
      <c r="V947" s="100">
        <f>IF('Net zero activities &amp; levers'!$C$12="Off",('Activity data'!AO22*EF!$H35)*kgtoGg,IF('Net zero activities &amp; levers'!$C$12="PB",('Activity data'!AO22*EF!$H35)*kgtoGg,IF('Net zero activities &amp; levers'!$C$12="MS",('Net zero Activity data'!AO22*EF!$H35)*kgtoGg,"ERROR")))</f>
        <v>8.1988873935417206E-2</v>
      </c>
      <c r="W947" s="100">
        <f>IF('Net zero activities &amp; levers'!$C$12="Off",('Activity data'!AP22*EF!$H35)*kgtoGg,IF('Net zero activities &amp; levers'!$C$12="PB",('Activity data'!AP22*EF!$H35)*kgtoGg,IF('Net zero activities &amp; levers'!$C$12="MS",('Net zero Activity data'!AP22*EF!$H35)*kgtoGg,"ERROR")))</f>
        <v>8.4421015619150011E-2</v>
      </c>
      <c r="X947" s="100">
        <f>IF('Net zero activities &amp; levers'!$C$12="Off",('Activity data'!AQ22*EF!$H35)*kgtoGg,IF('Net zero activities &amp; levers'!$C$12="PB",('Activity data'!AQ22*EF!$H35)*kgtoGg,IF('Net zero activities &amp; levers'!$C$12="MS",('Net zero Activity data'!AQ22*EF!$H35)*kgtoGg,"ERROR")))</f>
        <v>8.6845856777302652E-2</v>
      </c>
      <c r="Y947" s="100">
        <f>IF('Net zero activities &amp; levers'!$C$12="Off",('Activity data'!AR22*EF!$H35)*kgtoGg,IF('Net zero activities &amp; levers'!$C$12="PB",('Activity data'!AR22*EF!$H35)*kgtoGg,IF('Net zero activities &amp; levers'!$C$12="MS",('Net zero Activity data'!AR22*EF!$H35)*kgtoGg,"ERROR")))</f>
        <v>8.9508170799005846E-2</v>
      </c>
      <c r="Z947" s="100">
        <f>IF('Net zero activities &amp; levers'!$C$12="Off",('Activity data'!AS22*EF!$H35)*kgtoGg,IF('Net zero activities &amp; levers'!$C$12="PB",('Activity data'!AS22*EF!$H35)*kgtoGg,IF('Net zero activities &amp; levers'!$C$12="MS",('Net zero Activity data'!AS22*EF!$H35)*kgtoGg,"ERROR")))</f>
        <v>9.2028330133957781E-2</v>
      </c>
      <c r="AA947" s="100">
        <f>IF('Net zero activities &amp; levers'!$C$12="Off",('Activity data'!AT22*EF!$H35)*kgtoGg,IF('Net zero activities &amp; levers'!$C$12="PB",('Activity data'!AT22*EF!$H35)*kgtoGg,IF('Net zero activities &amp; levers'!$C$12="MS",('Net zero Activity data'!AT22*EF!$H35)*kgtoGg,"ERROR")))</f>
        <v>9.4763412010461776E-2</v>
      </c>
      <c r="AB947" s="100">
        <f>IF('Net zero activities &amp; levers'!$C$12="Off",('Activity data'!AU22*EF!$H35)*kgtoGg,IF('Net zero activities &amp; levers'!$C$12="PB",('Activity data'!AU22*EF!$H35)*kgtoGg,IF('Net zero activities &amp; levers'!$C$12="MS",('Net zero Activity data'!AU22*EF!$H35)*kgtoGg,"ERROR")))</f>
        <v>9.7229574055292575E-2</v>
      </c>
      <c r="AC947" s="100">
        <f>IF('Net zero activities &amp; levers'!$C$12="Off",('Activity data'!AV22*EF!$H35)*kgtoGg,IF('Net zero activities &amp; levers'!$C$12="PB",('Activity data'!AV22*EF!$H35)*kgtoGg,IF('Net zero activities &amp; levers'!$C$12="MS",('Net zero Activity data'!AV22*EF!$H35)*kgtoGg,"ERROR")))</f>
        <v>9.9768557857354889E-2</v>
      </c>
      <c r="AD947" s="100">
        <f>IF('Net zero activities &amp; levers'!$C$12="Off",('Activity data'!AW22*EF!$H35)*kgtoGg,IF('Net zero activities &amp; levers'!$C$12="PB",('Activity data'!AW22*EF!$H35)*kgtoGg,IF('Net zero activities &amp; levers'!$C$12="MS",('Net zero Activity data'!AW22*EF!$H35)*kgtoGg,"ERROR")))</f>
        <v>0.10314268304470672</v>
      </c>
      <c r="AE947" s="100">
        <f>IF('Net zero activities &amp; levers'!$C$12="Off",('Activity data'!AX22*EF!$H35)*kgtoGg,IF('Net zero activities &amp; levers'!$C$12="PB",('Activity data'!AX22*EF!$H35)*kgtoGg,IF('Net zero activities &amp; levers'!$C$12="MS",('Net zero Activity data'!AX22*EF!$H35)*kgtoGg,"ERROR")))</f>
        <v>0.10684704409348912</v>
      </c>
      <c r="AF947" s="100">
        <f>IF('Net zero activities &amp; levers'!$C$12="Off",('Activity data'!AY22*EF!$H35)*kgtoGg,IF('Net zero activities &amp; levers'!$C$12="PB",('Activity data'!AY22*EF!$H35)*kgtoGg,IF('Net zero activities &amp; levers'!$C$12="MS",('Net zero Activity data'!AY22*EF!$H35)*kgtoGg,"ERROR")))</f>
        <v>0.11068205574574447</v>
      </c>
      <c r="AG947" s="100">
        <f>IF('Net zero activities &amp; levers'!$C$12="Off",('Activity data'!AZ22*EF!$H35)*kgtoGg,IF('Net zero activities &amp; levers'!$C$12="PB",('Activity data'!AZ22*EF!$H35)*kgtoGg,IF('Net zero activities &amp; levers'!$C$12="MS",('Net zero Activity data'!AZ22*EF!$H35)*kgtoGg,"ERROR")))</f>
        <v>0.11025500175189677</v>
      </c>
      <c r="AH947" s="100">
        <f>IF('Net zero activities &amp; levers'!$C$12="Off",('Activity data'!BA22*EF!$H35)*kgtoGg,IF('Net zero activities &amp; levers'!$C$12="PB",('Activity data'!BA22*EF!$H35)*kgtoGg,IF('Net zero activities &amp; levers'!$C$12="MS",('Net zero Activity data'!BA22*EF!$H35)*kgtoGg,"ERROR")))</f>
        <v>-9.5618834539008879E-2</v>
      </c>
      <c r="AI947" s="100">
        <f>IF('Net zero activities &amp; levers'!$C$12="Off",('Activity data'!BB22*EF!$H35)*kgtoGg,IF('Net zero activities &amp; levers'!$C$12="PB",('Activity data'!BB22*EF!$H35)*kgtoGg,IF('Net zero activities &amp; levers'!$C$12="MS",('Net zero Activity data'!BB22*EF!$H35)*kgtoGg,"ERROR")))</f>
        <v>-9.5755836748130152E-2</v>
      </c>
      <c r="AJ947" s="100">
        <f>IF('Net zero activities &amp; levers'!$C$12="Off",('Activity data'!BC22*EF!$H35)*kgtoGg,IF('Net zero activities &amp; levers'!$C$12="PB",('Activity data'!BC22*EF!$H35)*kgtoGg,IF('Net zero activities &amp; levers'!$C$12="MS",('Net zero Activity data'!BC22*EF!$H35)*kgtoGg,"ERROR")))</f>
        <v>-9.5904432315731702E-2</v>
      </c>
      <c r="AK947" s="100">
        <f>IF('Net zero activities &amp; levers'!$C$12="Off",('Activity data'!BD22*EF!$H35)*kgtoGg,IF('Net zero activities &amp; levers'!$C$12="PB",('Activity data'!BD22*EF!$H35)*kgtoGg,IF('Net zero activities &amp; levers'!$C$12="MS",('Net zero Activity data'!BD22*EF!$H35)*kgtoGg,"ERROR")))</f>
        <v>-9.6064137427684965E-2</v>
      </c>
      <c r="AL947" s="100">
        <f>IF('Net zero activities &amp; levers'!$C$12="Off",('Activity data'!BE22*EF!$H35)*kgtoGg,IF('Net zero activities &amp; levers'!$C$12="PB",('Activity data'!BE22*EF!$H35)*kgtoGg,IF('Net zero activities &amp; levers'!$C$12="MS",('Net zero Activity data'!BE22*EF!$H35)*kgtoGg,"ERROR")))</f>
        <v>-9.6234505848874163E-2</v>
      </c>
      <c r="AM947" s="100">
        <f>IF('Net zero activities &amp; levers'!$C$12="Off",('Activity data'!BF22*EF!$H35)*kgtoGg,IF('Net zero activities &amp; levers'!$C$12="PB",('Activity data'!BF22*EF!$H35)*kgtoGg,IF('Net zero activities &amp; levers'!$C$12="MS",('Net zero Activity data'!BF22*EF!$H35)*kgtoGg,"ERROR")))</f>
        <v>-9.641512531339648E-2</v>
      </c>
      <c r="AN947" s="100">
        <f>IF('Net zero activities &amp; levers'!$C$12="Off",('Activity data'!BG22*EF!$H35)*kgtoGg,IF('Net zero activities &amp; levers'!$C$12="PB",('Activity data'!BG22*EF!$H35)*kgtoGg,IF('Net zero activities &amp; levers'!$C$12="MS",('Net zero Activity data'!BG22*EF!$H35)*kgtoGg,"ERROR")))</f>
        <v>-9.6489465064540994E-2</v>
      </c>
      <c r="AO947" s="100">
        <f>IF('Net zero activities &amp; levers'!$C$12="Off",('Activity data'!BH22*EF!$H35)*kgtoGg,IF('Net zero activities &amp; levers'!$C$12="PB",('Activity data'!BH22*EF!$H35)*kgtoGg,IF('Net zero activities &amp; levers'!$C$12="MS",('Net zero Activity data'!BH22*EF!$H35)*kgtoGg,"ERROR")))</f>
        <v>-9.6573121728903102E-2</v>
      </c>
      <c r="AP947" s="100">
        <f>IF('Net zero activities &amp; levers'!$C$12="Off",('Activity data'!BI22*EF!$H35)*kgtoGg,IF('Net zero activities &amp; levers'!$C$12="PB",('Activity data'!BI22*EF!$H35)*kgtoGg,IF('Net zero activities &amp; levers'!$C$12="MS",('Net zero Activity data'!BI22*EF!$H35)*kgtoGg,"ERROR")))</f>
        <v>-9.6665733535486312E-2</v>
      </c>
      <c r="AQ947" s="100">
        <f>IF('Net zero activities &amp; levers'!$C$12="Off",('Activity data'!BJ22*EF!$H35)*kgtoGg,IF('Net zero activities &amp; levers'!$C$12="PB",('Activity data'!BJ22*EF!$H35)*kgtoGg,IF('Net zero activities &amp; levers'!$C$12="MS",('Net zero Activity data'!BJ22*EF!$H35)*kgtoGg,"ERROR")))</f>
        <v>-9.6766963554028085E-2</v>
      </c>
      <c r="AR947" s="100">
        <f>IF('Net zero activities &amp; levers'!$C$12="Off",('Activity data'!BK22*EF!$H35)*kgtoGg,IF('Net zero activities &amp; levers'!$C$12="PB",('Activity data'!BK22*EF!$H35)*kgtoGg,IF('Net zero activities &amp; levers'!$C$12="MS",('Net zero Activity data'!BK22*EF!$H35)*kgtoGg,"ERROR")))</f>
        <v>-9.6876497560515806E-2</v>
      </c>
      <c r="AS947" s="100">
        <f>IF('Net zero activities &amp; levers'!$C$12="Off",('Activity data'!BL22*EF!$H35)*kgtoGg,IF('Net zero activities &amp; levers'!$C$12="PB",('Activity data'!BL22*EF!$H35)*kgtoGg,IF('Net zero activities &amp; levers'!$C$12="MS",('Net zero Activity data'!BL22*EF!$H35)*kgtoGg,"ERROR")))</f>
        <v>-9.6878042271294512E-2</v>
      </c>
      <c r="AT947" s="100">
        <f>IF('Net zero activities &amp; levers'!$C$12="Off",('Activity data'!BM22*EF!$H35)*kgtoGg,IF('Net zero activities &amp; levers'!$C$12="PB",('Activity data'!BM22*EF!$H35)*kgtoGg,IF('Net zero activities &amp; levers'!$C$12="MS",('Net zero Activity data'!BM22*EF!$H35)*kgtoGg,"ERROR")))</f>
        <v>-9.6887277192244256E-2</v>
      </c>
      <c r="AU947" s="100">
        <f>IF('Net zero activities &amp; levers'!$C$12="Off",('Activity data'!BN22*EF!$H35)*kgtoGg,IF('Net zero activities &amp; levers'!$C$12="PB",('Activity data'!BN22*EF!$H35)*kgtoGg,IF('Net zero activities &amp; levers'!$C$12="MS",('Net zero Activity data'!BN22*EF!$H35)*kgtoGg,"ERROR")))</f>
        <v>-9.6903917996081751E-2</v>
      </c>
      <c r="AV947" s="100">
        <f>IF('Net zero activities &amp; levers'!$C$12="Off",('Activity data'!BO22*EF!$H35)*kgtoGg,IF('Net zero activities &amp; levers'!$C$12="PB",('Activity data'!BO22*EF!$H35)*kgtoGg,IF('Net zero activities &amp; levers'!$C$12="MS",('Net zero Activity data'!BO22*EF!$H35)*kgtoGg,"ERROR")))</f>
        <v>-9.6927697774037633E-2</v>
      </c>
      <c r="AW947" s="100">
        <f>IF('Net zero activities &amp; levers'!$C$12="Off",('Activity data'!BP22*EF!$H35)*kgtoGg,IF('Net zero activities &amp; levers'!$C$12="PB",('Activity data'!BP22*EF!$H35)*kgtoGg,IF('Net zero activities &amp; levers'!$C$12="MS",('Net zero Activity data'!BP22*EF!$H35)*kgtoGg,"ERROR")))</f>
        <v>-9.6958365682993541E-2</v>
      </c>
      <c r="AY947" s="85"/>
      <c r="AZ947" s="85"/>
    </row>
    <row r="948" spans="1:52" x14ac:dyDescent="0.25">
      <c r="A948" s="102" t="str">
        <f t="shared" si="326"/>
        <v>DS Cattle MMN2O</v>
      </c>
      <c r="B948" s="102" t="s">
        <v>975</v>
      </c>
      <c r="C948" s="102" t="s">
        <v>1233</v>
      </c>
      <c r="D948" t="s">
        <v>15</v>
      </c>
      <c r="E948" t="s">
        <v>657</v>
      </c>
      <c r="F948" t="s">
        <v>6</v>
      </c>
      <c r="G948" t="s">
        <v>136</v>
      </c>
      <c r="H948" t="s">
        <v>1228</v>
      </c>
      <c r="I948" t="s">
        <v>139</v>
      </c>
      <c r="J948" t="s">
        <v>287</v>
      </c>
      <c r="K948" s="28">
        <f t="shared" ref="K948:Z950" si="335">K1411</f>
        <v>5.9581863535910565E-2</v>
      </c>
      <c r="L948" s="28">
        <f t="shared" si="335"/>
        <v>5.9952472777501202E-2</v>
      </c>
      <c r="M948" s="28">
        <f t="shared" si="335"/>
        <v>6.0207271736418301E-2</v>
      </c>
      <c r="N948" s="28">
        <f t="shared" si="335"/>
        <v>6.0287180440683194E-2</v>
      </c>
      <c r="O948" s="28">
        <f t="shared" si="335"/>
        <v>6.0395284993714014E-2</v>
      </c>
      <c r="P948" s="28">
        <f t="shared" si="335"/>
        <v>6.0632075036082048E-2</v>
      </c>
      <c r="Q948" s="28">
        <f t="shared" si="335"/>
        <v>6.0915962278620638E-2</v>
      </c>
      <c r="R948" s="28">
        <f t="shared" si="335"/>
        <v>6.1001244967563928E-2</v>
      </c>
      <c r="S948" s="28">
        <f t="shared" si="335"/>
        <v>5.9128520448870917E-2</v>
      </c>
      <c r="T948" s="28">
        <f t="shared" si="335"/>
        <v>5.961554215328714E-2</v>
      </c>
      <c r="U948" s="28">
        <f t="shared" si="335"/>
        <v>6.0062127225246474E-2</v>
      </c>
      <c r="V948" s="28">
        <f t="shared" si="335"/>
        <v>6.0520025735654244E-2</v>
      </c>
      <c r="W948" s="28">
        <f t="shared" si="335"/>
        <v>6.107162678051329E-2</v>
      </c>
      <c r="X948" s="28">
        <f t="shared" si="335"/>
        <v>6.1633578287442058E-2</v>
      </c>
      <c r="Y948" s="28">
        <f t="shared" si="335"/>
        <v>6.2180760814939798E-2</v>
      </c>
      <c r="Z948" s="28">
        <f t="shared" si="335"/>
        <v>6.2716996536282391E-2</v>
      </c>
      <c r="AA948" s="28">
        <f t="shared" ref="L948:AW950" si="336">AA1411</f>
        <v>6.3294581219461896E-2</v>
      </c>
      <c r="AB948" s="28">
        <f t="shared" si="336"/>
        <v>6.3841542561015929E-2</v>
      </c>
      <c r="AC948" s="28">
        <f t="shared" si="336"/>
        <v>6.4408123024693842E-2</v>
      </c>
      <c r="AD948" s="28">
        <f t="shared" si="336"/>
        <v>6.5059072276654292E-2</v>
      </c>
      <c r="AE948" s="28">
        <f t="shared" si="336"/>
        <v>6.5768024439382053E-2</v>
      </c>
      <c r="AF948" s="28">
        <f t="shared" si="336"/>
        <v>6.6505116559025759E-2</v>
      </c>
      <c r="AG948" s="28">
        <f t="shared" si="336"/>
        <v>6.6608077063784327E-2</v>
      </c>
      <c r="AH948" s="28">
        <f t="shared" si="336"/>
        <v>3.5661314599783112E-2</v>
      </c>
      <c r="AI948" s="28">
        <f t="shared" si="336"/>
        <v>3.5687543278982381E-2</v>
      </c>
      <c r="AJ948" s="28">
        <f t="shared" si="336"/>
        <v>3.5717217411916767E-2</v>
      </c>
      <c r="AK948" s="28">
        <f t="shared" si="336"/>
        <v>3.5750206038134905E-2</v>
      </c>
      <c r="AL948" s="28">
        <f t="shared" si="336"/>
        <v>3.5786388283243133E-2</v>
      </c>
      <c r="AM948" s="28">
        <f t="shared" si="336"/>
        <v>3.5825652402917518E-2</v>
      </c>
      <c r="AN948" s="28">
        <f t="shared" si="336"/>
        <v>3.5842556779576207E-2</v>
      </c>
      <c r="AO948" s="28">
        <f t="shared" si="336"/>
        <v>3.5862175171675115E-2</v>
      </c>
      <c r="AP948" s="28">
        <f t="shared" si="336"/>
        <v>3.588441278699845E-2</v>
      </c>
      <c r="AQ948" s="28">
        <f t="shared" si="336"/>
        <v>3.5909181301646116E-2</v>
      </c>
      <c r="AR948" s="28">
        <f t="shared" si="336"/>
        <v>3.5936398311145284E-2</v>
      </c>
      <c r="AS948" s="28">
        <f t="shared" si="336"/>
        <v>3.5940375653704157E-2</v>
      </c>
      <c r="AT948" s="28">
        <f t="shared" si="336"/>
        <v>3.5946523647611327E-2</v>
      </c>
      <c r="AU948" s="28">
        <f t="shared" si="336"/>
        <v>3.5954770346244613E-2</v>
      </c>
      <c r="AV948" s="28">
        <f t="shared" si="336"/>
        <v>3.5965048185906283E-2</v>
      </c>
      <c r="AW948" s="28">
        <f t="shared" si="336"/>
        <v>3.5977293649132408E-2</v>
      </c>
      <c r="AY948" s="85"/>
      <c r="AZ948" s="85"/>
    </row>
    <row r="949" spans="1:52" x14ac:dyDescent="0.25">
      <c r="A949" s="102" t="str">
        <f t="shared" si="326"/>
        <v>DS Cattle MMN2O</v>
      </c>
      <c r="B949" s="102" t="s">
        <v>975</v>
      </c>
      <c r="C949" s="102" t="s">
        <v>1233</v>
      </c>
      <c r="D949" t="s">
        <v>15</v>
      </c>
      <c r="E949" t="s">
        <v>657</v>
      </c>
      <c r="F949" t="s">
        <v>6</v>
      </c>
      <c r="G949" t="s">
        <v>137</v>
      </c>
      <c r="H949" t="s">
        <v>1228</v>
      </c>
      <c r="I949" t="s">
        <v>139</v>
      </c>
      <c r="J949" t="s">
        <v>287</v>
      </c>
      <c r="K949" s="28">
        <f t="shared" si="335"/>
        <v>0.26088706231871722</v>
      </c>
      <c r="L949" s="28">
        <f t="shared" si="336"/>
        <v>0.2625098238533321</v>
      </c>
      <c r="M949" s="28">
        <f t="shared" si="336"/>
        <v>0.26362549476271357</v>
      </c>
      <c r="N949" s="28">
        <f t="shared" si="336"/>
        <v>0.2639753855830434</v>
      </c>
      <c r="O949" s="28">
        <f t="shared" si="336"/>
        <v>0.26444873565284266</v>
      </c>
      <c r="P949" s="28">
        <f t="shared" si="336"/>
        <v>0.26548555214151259</v>
      </c>
      <c r="Q949" s="28">
        <f t="shared" si="336"/>
        <v>0.26672858994429993</v>
      </c>
      <c r="R949" s="28">
        <f t="shared" si="336"/>
        <v>0.26710201146663365</v>
      </c>
      <c r="S949" s="28">
        <f t="shared" si="336"/>
        <v>0.2589020397097988</v>
      </c>
      <c r="T949" s="28">
        <f t="shared" si="336"/>
        <v>0.26103452859501175</v>
      </c>
      <c r="U949" s="28">
        <f t="shared" si="336"/>
        <v>0.26298996034193323</v>
      </c>
      <c r="V949" s="28">
        <f t="shared" si="336"/>
        <v>0.26499492947399811</v>
      </c>
      <c r="W949" s="28">
        <f t="shared" si="336"/>
        <v>0.26741018753450635</v>
      </c>
      <c r="X949" s="28">
        <f t="shared" si="336"/>
        <v>0.26987076646084124</v>
      </c>
      <c r="Y949" s="28">
        <f t="shared" si="336"/>
        <v>0.27226667745924399</v>
      </c>
      <c r="Z949" s="28">
        <f t="shared" si="336"/>
        <v>0.27461465642044425</v>
      </c>
      <c r="AA949" s="28">
        <f t="shared" si="336"/>
        <v>0.27714368727467675</v>
      </c>
      <c r="AB949" s="28">
        <f t="shared" si="336"/>
        <v>0.2795386297811987</v>
      </c>
      <c r="AC949" s="28">
        <f t="shared" si="336"/>
        <v>0.2820194772063051</v>
      </c>
      <c r="AD949" s="28">
        <f t="shared" si="336"/>
        <v>0.28486974451894415</v>
      </c>
      <c r="AE949" s="28">
        <f t="shared" si="336"/>
        <v>0.28797398524057027</v>
      </c>
      <c r="AF949" s="28">
        <f t="shared" si="336"/>
        <v>0.2912014404818154</v>
      </c>
      <c r="AG949" s="28">
        <f t="shared" si="336"/>
        <v>0.29165226665654759</v>
      </c>
      <c r="AH949" s="28">
        <f t="shared" si="336"/>
        <v>0.1561477780693053</v>
      </c>
      <c r="AI949" s="28">
        <f t="shared" si="336"/>
        <v>0.15626262380689576</v>
      </c>
      <c r="AJ949" s="28">
        <f t="shared" si="336"/>
        <v>0.1563925559189292</v>
      </c>
      <c r="AK949" s="28">
        <f t="shared" si="336"/>
        <v>0.1565370009777648</v>
      </c>
      <c r="AL949" s="28">
        <f t="shared" si="336"/>
        <v>0.15669542971889827</v>
      </c>
      <c r="AM949" s="28">
        <f t="shared" si="336"/>
        <v>0.156867352855042</v>
      </c>
      <c r="AN949" s="28">
        <f t="shared" si="336"/>
        <v>0.15694137090189544</v>
      </c>
      <c r="AO949" s="28">
        <f t="shared" si="336"/>
        <v>0.15702727262396923</v>
      </c>
      <c r="AP949" s="28">
        <f t="shared" si="336"/>
        <v>0.15712464296102122</v>
      </c>
      <c r="AQ949" s="28">
        <f t="shared" si="336"/>
        <v>0.15723309517518419</v>
      </c>
      <c r="AR949" s="28">
        <f t="shared" si="336"/>
        <v>0.15735226844758546</v>
      </c>
      <c r="AS949" s="28">
        <f t="shared" si="336"/>
        <v>0.15736968376752411</v>
      </c>
      <c r="AT949" s="28">
        <f t="shared" si="336"/>
        <v>0.15739660357120949</v>
      </c>
      <c r="AU949" s="28">
        <f t="shared" si="336"/>
        <v>0.15743271283084972</v>
      </c>
      <c r="AV949" s="28">
        <f t="shared" si="336"/>
        <v>0.15747771570986671</v>
      </c>
      <c r="AW949" s="28">
        <f t="shared" si="336"/>
        <v>0.15753133408865197</v>
      </c>
      <c r="AY949" s="85"/>
      <c r="AZ949" s="85"/>
    </row>
    <row r="950" spans="1:52" x14ac:dyDescent="0.25">
      <c r="A950" s="102" t="str">
        <f t="shared" si="326"/>
        <v>DS Cattle MMN2O</v>
      </c>
      <c r="B950" s="102" t="s">
        <v>975</v>
      </c>
      <c r="C950" s="102" t="s">
        <v>1233</v>
      </c>
      <c r="D950" t="s">
        <v>15</v>
      </c>
      <c r="E950" t="s">
        <v>657</v>
      </c>
      <c r="F950" t="s">
        <v>67</v>
      </c>
      <c r="G950" t="s">
        <v>307</v>
      </c>
      <c r="H950" t="s">
        <v>1228</v>
      </c>
      <c r="I950" t="s">
        <v>139</v>
      </c>
      <c r="J950" t="s">
        <v>287</v>
      </c>
      <c r="K950" s="28">
        <f t="shared" si="335"/>
        <v>1.1607933720950987E-2</v>
      </c>
      <c r="L950" s="28">
        <f t="shared" si="336"/>
        <v>1.1680137026746603E-2</v>
      </c>
      <c r="M950" s="28">
        <f t="shared" si="336"/>
        <v>1.1729777794116936E-2</v>
      </c>
      <c r="N950" s="28">
        <f t="shared" si="336"/>
        <v>1.1745345869497372E-2</v>
      </c>
      <c r="O950" s="28">
        <f t="shared" si="336"/>
        <v>1.1766407152445642E-2</v>
      </c>
      <c r="P950" s="28">
        <f t="shared" si="336"/>
        <v>1.1812539363733939E-2</v>
      </c>
      <c r="Q950" s="28">
        <f t="shared" si="336"/>
        <v>1.186784720575243E-2</v>
      </c>
      <c r="R950" s="28">
        <f t="shared" si="336"/>
        <v>1.1884462258421965E-2</v>
      </c>
      <c r="S950" s="28">
        <f t="shared" si="336"/>
        <v>1.1519611936520126E-2</v>
      </c>
      <c r="T950" s="28">
        <f t="shared" si="336"/>
        <v>1.1614495099449744E-2</v>
      </c>
      <c r="U950" s="28">
        <f t="shared" si="336"/>
        <v>1.1701500265257389E-2</v>
      </c>
      <c r="V950" s="28">
        <f t="shared" si="336"/>
        <v>1.1790709552182964E-2</v>
      </c>
      <c r="W950" s="28">
        <f t="shared" si="336"/>
        <v>1.189817427364593E-2</v>
      </c>
      <c r="X950" s="28">
        <f t="shared" si="336"/>
        <v>1.2007655506016015E-2</v>
      </c>
      <c r="Y950" s="28">
        <f t="shared" si="336"/>
        <v>1.2114259397460733E-2</v>
      </c>
      <c r="Z950" s="28">
        <f t="shared" si="336"/>
        <v>1.221873059629122E-2</v>
      </c>
      <c r="AA950" s="28">
        <f t="shared" si="336"/>
        <v>1.2331257535240406E-2</v>
      </c>
      <c r="AB950" s="28">
        <f t="shared" si="336"/>
        <v>1.2437818334515426E-2</v>
      </c>
      <c r="AC950" s="28">
        <f t="shared" si="336"/>
        <v>1.2548201395394263E-2</v>
      </c>
      <c r="AD950" s="28">
        <f t="shared" si="336"/>
        <v>1.2675021459823859E-2</v>
      </c>
      <c r="AE950" s="28">
        <f t="shared" si="336"/>
        <v>1.2813141841226641E-2</v>
      </c>
      <c r="AF950" s="28">
        <f t="shared" si="336"/>
        <v>1.2956744541164057E-2</v>
      </c>
      <c r="AG950" s="28">
        <f t="shared" si="336"/>
        <v>1.2976803643786663E-2</v>
      </c>
      <c r="AH950" s="28">
        <f t="shared" si="336"/>
        <v>6.9476540629980453E-3</v>
      </c>
      <c r="AI950" s="28">
        <f t="shared" si="336"/>
        <v>6.9527640201505212E-3</v>
      </c>
      <c r="AJ950" s="28">
        <f t="shared" si="336"/>
        <v>6.9585452318798495E-3</v>
      </c>
      <c r="AK950" s="28">
        <f t="shared" si="336"/>
        <v>6.9649721840421407E-3</v>
      </c>
      <c r="AL950" s="28">
        <f t="shared" si="336"/>
        <v>6.9720213274922825E-3</v>
      </c>
      <c r="AM950" s="28">
        <f t="shared" si="336"/>
        <v>6.9796708918352492E-3</v>
      </c>
      <c r="AN950" s="28">
        <f t="shared" si="336"/>
        <v>6.9829642578396519E-3</v>
      </c>
      <c r="AO950" s="28">
        <f t="shared" si="336"/>
        <v>6.986786377217614E-3</v>
      </c>
      <c r="AP950" s="28">
        <f t="shared" si="336"/>
        <v>6.9911187822393143E-3</v>
      </c>
      <c r="AQ950" s="28">
        <f t="shared" si="336"/>
        <v>6.9959442653533691E-3</v>
      </c>
      <c r="AR950" s="28">
        <f t="shared" si="336"/>
        <v>7.0012467722505977E-3</v>
      </c>
      <c r="AS950" s="28">
        <f t="shared" si="336"/>
        <v>7.0020216511494588E-3</v>
      </c>
      <c r="AT950" s="28">
        <f t="shared" si="336"/>
        <v>7.00321942345056E-3</v>
      </c>
      <c r="AU950" s="28">
        <f t="shared" si="336"/>
        <v>7.0048260722774189E-3</v>
      </c>
      <c r="AV950" s="28">
        <f t="shared" si="336"/>
        <v>7.0068284346492373E-3</v>
      </c>
      <c r="AW950" s="28">
        <f t="shared" si="336"/>
        <v>7.0092141358857468E-3</v>
      </c>
      <c r="AY950" s="85"/>
      <c r="AZ950" s="85"/>
    </row>
    <row r="951" spans="1:52" x14ac:dyDescent="0.25">
      <c r="A951" s="102" t="str">
        <f t="shared" si="326"/>
        <v>DS Cattle MMN2O</v>
      </c>
      <c r="B951" s="102" t="s">
        <v>975</v>
      </c>
      <c r="C951" s="102" t="s">
        <v>1233</v>
      </c>
      <c r="D951" t="s">
        <v>15</v>
      </c>
      <c r="E951" t="s">
        <v>657</v>
      </c>
      <c r="F951" t="s">
        <v>67</v>
      </c>
      <c r="G951" t="s">
        <v>122</v>
      </c>
      <c r="H951" t="s">
        <v>1228</v>
      </c>
      <c r="I951" t="s">
        <v>139</v>
      </c>
      <c r="J951" t="s">
        <v>287</v>
      </c>
      <c r="K951" s="100">
        <f>IF('Net zero activities &amp; levers'!$C$12="Off",('Activity data'!AD8*EF!$H39*EF!$H57)*NtoN2O*kgtoGg,('Net zero Activity data'!AD8*EF!$H39*EF!$H57)*NtoN2O*kgtoGg)</f>
        <v>0.52988033061170758</v>
      </c>
      <c r="L951" s="100">
        <f>IF('Net zero activities &amp; levers'!$C$12="Off",('Activity data'!AE8*EF!$H39*EF!$H57)*NtoN2O*kgtoGg,('Net zero Activity data'!AE8*EF!$H39*EF!$H57)*NtoN2O*kgtoGg)</f>
        <v>0.52636805175151047</v>
      </c>
      <c r="M951" s="100">
        <f>IF('Net zero activities &amp; levers'!$C$12="Off",('Activity data'!AF8*EF!$H39*EF!$H57)*NtoN2O*kgtoGg,('Net zero Activity data'!AF8*EF!$H39*EF!$H57)*NtoN2O*kgtoGg)</f>
        <v>0.51896264714173934</v>
      </c>
      <c r="N951" s="100">
        <f>IF('Net zero activities &amp; levers'!$C$12="Off",('Activity data'!AG8*EF!$H39*EF!$H57)*NtoN2O*kgtoGg,('Net zero Activity data'!AG8*EF!$H39*EF!$H57)*NtoN2O*kgtoGg)</f>
        <v>0.50647981142977161</v>
      </c>
      <c r="O951" s="100">
        <f>IF('Net zero activities &amp; levers'!$C$12="Off",('Activity data'!AH8*EF!$H39*EF!$H57)*NtoN2O*kgtoGg,('Net zero Activity data'!AH8*EF!$H39*EF!$H57)*NtoN2O*kgtoGg)</f>
        <v>0.4943686614451126</v>
      </c>
      <c r="P951" s="100">
        <f>IF('Net zero activities &amp; levers'!$C$12="Off",('Activity data'!AI8*EF!$H39*EF!$H57)*NtoN2O*kgtoGg,('Net zero Activity data'!AI8*EF!$H39*EF!$H57)*NtoN2O*kgtoGg)</f>
        <v>0.48505348723916247</v>
      </c>
      <c r="Q951" s="100">
        <f>IF('Net zero activities &amp; levers'!$C$12="Off",('Activity data'!AJ8*EF!$H39*EF!$H57)*NtoN2O*kgtoGg,('Net zero Activity data'!AJ8*EF!$H39*EF!$H57)*NtoN2O*kgtoGg)</f>
        <v>0.47662784045454271</v>
      </c>
      <c r="R951" s="100">
        <f>IF('Net zero activities &amp; levers'!$C$12="Off",('Activity data'!AK8*EF!$H39*EF!$H57)*NtoN2O*kgtoGg,('Net zero Activity data'!AK8*EF!$H39*EF!$H57)*NtoN2O*kgtoGg)</f>
        <v>0.46338055897739389</v>
      </c>
      <c r="S951" s="100">
        <f>IF('Net zero activities &amp; levers'!$C$12="Off",('Activity data'!AL8*EF!$H39*EF!$H57)*NtoN2O*kgtoGg,('Net zero Activity data'!AL8*EF!$H39*EF!$H57)*NtoN2O*kgtoGg)</f>
        <v>0.40641283743592205</v>
      </c>
      <c r="T951" s="100">
        <f>IF('Net zero activities &amp; levers'!$C$12="Off",('Activity data'!AM8*EF!$H39*EF!$H57)*NtoN2O*kgtoGg,('Net zero Activity data'!AM8*EF!$H39*EF!$H57)*NtoN2O*kgtoGg)</f>
        <v>0.41028660340184542</v>
      </c>
      <c r="U951" s="100">
        <f>IF('Net zero activities &amp; levers'!$C$12="Off",('Activity data'!AN8*EF!$H39*EF!$H57)*NtoN2O*kgtoGg,('Net zero Activity data'!AN8*EF!$H39*EF!$H57)*NtoN2O*kgtoGg)</f>
        <v>0.41290787540039242</v>
      </c>
      <c r="V951" s="100">
        <f>IF('Net zero activities &amp; levers'!$C$12="Off",('Activity data'!AO8*EF!$H39*EF!$H57)*NtoN2O*kgtoGg,('Net zero Activity data'!AO8*EF!$H39*EF!$H57)*NtoN2O*kgtoGg)</f>
        <v>0.41544388868051429</v>
      </c>
      <c r="W951" s="100">
        <f>IF('Net zero activities &amp; levers'!$C$12="Off",('Activity data'!AP8*EF!$H39*EF!$H57)*NtoN2O*kgtoGg,('Net zero Activity data'!AP8*EF!$H39*EF!$H57)*NtoN2O*kgtoGg)</f>
        <v>0.41963784467016801</v>
      </c>
      <c r="X951" s="100">
        <f>IF('Net zero activities &amp; levers'!$C$12="Off",('Activity data'!AQ8*EF!$H39*EF!$H57)*NtoN2O*kgtoGg,('Net zero Activity data'!AQ8*EF!$H39*EF!$H57)*NtoN2O*kgtoGg)</f>
        <v>0.42369357816507769</v>
      </c>
      <c r="Y951" s="100">
        <f>IF('Net zero activities &amp; levers'!$C$12="Off",('Activity data'!AR8*EF!$H39*EF!$H57)*NtoN2O*kgtoGg,('Net zero Activity data'!AR8*EF!$H39*EF!$H57)*NtoN2O*kgtoGg)</f>
        <v>0.42795148955175888</v>
      </c>
      <c r="Z951" s="100">
        <f>IF('Net zero activities &amp; levers'!$C$12="Off",('Activity data'!AS8*EF!$H39*EF!$H57)*NtoN2O*kgtoGg,('Net zero Activity data'!AS8*EF!$H39*EF!$H57)*NtoN2O*kgtoGg)</f>
        <v>0.43165837799817441</v>
      </c>
      <c r="AA951" s="100">
        <f>IF('Net zero activities &amp; levers'!$C$12="Off",('Activity data'!AT8*EF!$H39*EF!$H57)*NtoN2O*kgtoGg,('Net zero Activity data'!AT8*EF!$H39*EF!$H57)*NtoN2O*kgtoGg)</f>
        <v>0.43587731971405297</v>
      </c>
      <c r="AB951" s="100">
        <f>IF('Net zero activities &amp; levers'!$C$12="Off",('Activity data'!AU8*EF!$H39*EF!$H57)*NtoN2O*kgtoGg,('Net zero Activity data'!AU8*EF!$H39*EF!$H57)*NtoN2O*kgtoGg)</f>
        <v>0.43917878455229692</v>
      </c>
      <c r="AC951" s="100">
        <f>IF('Net zero activities &amp; levers'!$C$12="Off",('Activity data'!AV8*EF!$H39*EF!$H57)*NtoN2O*kgtoGg,('Net zero Activity data'!AV8*EF!$H39*EF!$H57)*NtoN2O*kgtoGg)</f>
        <v>0.44257083604017933</v>
      </c>
      <c r="AD951" s="100">
        <f>IF('Net zero activities &amp; levers'!$C$12="Off",('Activity data'!AW8*EF!$H39*EF!$H57)*NtoN2O*kgtoGg,('Net zero Activity data'!AW8*EF!$H39*EF!$H57)*NtoN2O*kgtoGg)</f>
        <v>0.44415072955507112</v>
      </c>
      <c r="AE951" s="100">
        <f>IF('Net zero activities &amp; levers'!$C$12="Off",('Activity data'!AX8*EF!$H39*EF!$H57)*NtoN2O*kgtoGg,('Net zero Activity data'!AX8*EF!$H39*EF!$H57)*NtoN2O*kgtoGg)</f>
        <v>0.44631708410431642</v>
      </c>
      <c r="AF951" s="100">
        <f>IF('Net zero activities &amp; levers'!$C$12="Off",('Activity data'!AY8*EF!$H39*EF!$H57)*NtoN2O*kgtoGg,('Net zero Activity data'!AY8*EF!$H39*EF!$H57)*NtoN2O*kgtoGg)</f>
        <v>0.44847507790025098</v>
      </c>
      <c r="AG951" s="100">
        <f>IF('Net zero activities &amp; levers'!$C$12="Off",('Activity data'!AZ8*EF!$H39*EF!$H57)*NtoN2O*kgtoGg,('Net zero Activity data'!AZ8*EF!$H39*EF!$H57)*NtoN2O*kgtoGg)</f>
        <v>0.43896382192914674</v>
      </c>
      <c r="AH951" s="100">
        <f>IF('Net zero activities &amp; levers'!$C$12="Off",('Activity data'!BA8*EF!$H39*EF!$H57)*NtoN2O*kgtoGg,('Net zero Activity data'!BA8*EF!$H39*EF!$H57)*NtoN2O*kgtoGg)</f>
        <v>-0.10354549398732707</v>
      </c>
      <c r="AI951" s="100">
        <f>IF('Net zero activities &amp; levers'!$C$12="Off",('Activity data'!BB8*EF!$H39*EF!$H57)*NtoN2O*kgtoGg,('Net zero Activity data'!BB8*EF!$H39*EF!$H57)*NtoN2O*kgtoGg)</f>
        <v>-0.10114359865651981</v>
      </c>
      <c r="AJ951" s="100">
        <f>IF('Net zero activities &amp; levers'!$C$12="Off",('Activity data'!BC8*EF!$H39*EF!$H57)*NtoN2O*kgtoGg,('Net zero Activity data'!BC8*EF!$H39*EF!$H57)*NtoN2O*kgtoGg)</f>
        <v>-9.8779900999145701E-2</v>
      </c>
      <c r="AK951" s="100">
        <f>IF('Net zero activities &amp; levers'!$C$12="Off",('Activity data'!BD8*EF!$H39*EF!$H57)*NtoN2O*kgtoGg,('Net zero Activity data'!BD8*EF!$H39*EF!$H57)*NtoN2O*kgtoGg)</f>
        <v>-9.645240042559923E-2</v>
      </c>
      <c r="AL951" s="100">
        <f>IF('Net zero activities &amp; levers'!$C$12="Off",('Activity data'!BE8*EF!$H39*EF!$H57)*NtoN2O*kgtoGg,('Net zero Activity data'!BE8*EF!$H39*EF!$H57)*NtoN2O*kgtoGg)</f>
        <v>-9.4159234659003305E-2</v>
      </c>
      <c r="AM951" s="100">
        <f>IF('Net zero activities &amp; levers'!$C$12="Off",('Activity data'!BF8*EF!$H39*EF!$H57)*NtoN2O*kgtoGg,('Net zero Activity data'!BF8*EF!$H39*EF!$H57)*NtoN2O*kgtoGg)</f>
        <v>-9.1898666918572763E-2</v>
      </c>
      <c r="AN951" s="100">
        <f>IF('Net zero activities &amp; levers'!$C$12="Off",('Activity data'!BG8*EF!$H39*EF!$H57)*NtoN2O*kgtoGg,('Net zero Activity data'!BG8*EF!$H39*EF!$H57)*NtoN2O*kgtoGg)</f>
        <v>-9.0065857844413774E-2</v>
      </c>
      <c r="AO951" s="100">
        <f>IF('Net zero activities &amp; levers'!$C$12="Off",('Activity data'!BH8*EF!$H39*EF!$H57)*NtoN2O*kgtoGg,('Net zero Activity data'!BH8*EF!$H39*EF!$H57)*NtoN2O*kgtoGg)</f>
        <v>-8.8260731137636633E-2</v>
      </c>
      <c r="AP951" s="100">
        <f>IF('Net zero activities &amp; levers'!$C$12="Off",('Activity data'!BI8*EF!$H39*EF!$H57)*NtoN2O*kgtoGg,('Net zero Activity data'!BI8*EF!$H39*EF!$H57)*NtoN2O*kgtoGg)</f>
        <v>-8.6482032370585105E-2</v>
      </c>
      <c r="AQ951" s="100">
        <f>IF('Net zero activities &amp; levers'!$C$12="Off",('Activity data'!BJ8*EF!$H39*EF!$H57)*NtoN2O*kgtoGg,('Net zero Activity data'!BJ8*EF!$H39*EF!$H57)*NtoN2O*kgtoGg)</f>
        <v>-8.4728585134525733E-2</v>
      </c>
      <c r="AR951" s="100">
        <f>IF('Net zero activities &amp; levers'!$C$12="Off",('Activity data'!BK8*EF!$H39*EF!$H57)*NtoN2O*kgtoGg,('Net zero Activity data'!BK8*EF!$H39*EF!$H57)*NtoN2O*kgtoGg)</f>
        <v>-8.2999284570590512E-2</v>
      </c>
      <c r="AS951" s="100">
        <f>IF('Net zero activities &amp; levers'!$C$12="Off",('Activity data'!BL8*EF!$H39*EF!$H57)*NtoN2O*kgtoGg,('Net zero Activity data'!BL8*EF!$H39*EF!$H57)*NtoN2O*kgtoGg)</f>
        <v>-8.1237842076259073E-2</v>
      </c>
      <c r="AT951" s="100">
        <f>IF('Net zero activities &amp; levers'!$C$12="Off",('Activity data'!BM8*EF!$H39*EF!$H57)*NtoN2O*kgtoGg,('Net zero Activity data'!BM8*EF!$H39*EF!$H57)*NtoN2O*kgtoGg)</f>
        <v>-7.9500621662589185E-2</v>
      </c>
      <c r="AU951" s="100">
        <f>IF('Net zero activities &amp; levers'!$C$12="Off",('Activity data'!BN8*EF!$H39*EF!$H57)*NtoN2O*kgtoGg,('Net zero Activity data'!BN8*EF!$H39*EF!$H57)*NtoN2O*kgtoGg)</f>
        <v>-7.7786670470567892E-2</v>
      </c>
      <c r="AV951" s="100">
        <f>IF('Net zero activities &amp; levers'!$C$12="Off",('Activity data'!BO8*EF!$H39*EF!$H57)*NtoN2O*kgtoGg,('Net zero Activity data'!BO8*EF!$H39*EF!$H57)*NtoN2O*kgtoGg)</f>
        <v>-7.609508917583023E-2</v>
      </c>
      <c r="AW951" s="100">
        <f>IF('Net zero activities &amp; levers'!$C$12="Off",('Activity data'!BP8*EF!$H39*EF!$H57)*NtoN2O*kgtoGg,('Net zero Activity data'!BP8*EF!$H39*EF!$H57)*NtoN2O*kgtoGg)</f>
        <v>-7.4425027988165984E-2</v>
      </c>
      <c r="AY951" s="85"/>
      <c r="AZ951" s="85"/>
    </row>
    <row r="952" spans="1:52" x14ac:dyDescent="0.25">
      <c r="A952" s="102" t="str">
        <f t="shared" si="326"/>
        <v>DS Cattle MMN2O</v>
      </c>
      <c r="B952" s="102" t="s">
        <v>975</v>
      </c>
      <c r="C952" s="102" t="s">
        <v>1233</v>
      </c>
      <c r="D952" t="s">
        <v>15</v>
      </c>
      <c r="E952" t="s">
        <v>657</v>
      </c>
      <c r="F952" t="s">
        <v>67</v>
      </c>
      <c r="G952" t="s">
        <v>123</v>
      </c>
      <c r="H952" t="s">
        <v>1228</v>
      </c>
      <c r="I952" t="s">
        <v>139</v>
      </c>
      <c r="J952" t="s">
        <v>287</v>
      </c>
      <c r="K952" s="100">
        <f>IF('Net zero activities &amp; levers'!$C$12="Off",('Activity data'!AD9*EF!$H40*EF!$H58)*NtoN2O*kgtoGg,('Net zero Activity data'!AD9*EF!$H40*EF!$H58)*NtoN2O*kgtoGg)</f>
        <v>0.81161466909134916</v>
      </c>
      <c r="L952" s="100">
        <f>IF('Net zero activities &amp; levers'!$C$12="Off",('Activity data'!AE9*EF!$H40*EF!$H58)*NtoN2O*kgtoGg,('Net zero Activity data'!AE9*EF!$H40*EF!$H58)*NtoN2O*kgtoGg)</f>
        <v>0.80623493166726978</v>
      </c>
      <c r="M952" s="100">
        <f>IF('Net zero activities &amp; levers'!$C$12="Off",('Activity data'!AF9*EF!$H40*EF!$H58)*NtoN2O*kgtoGg,('Net zero Activity data'!AF9*EF!$H40*EF!$H58)*NtoN2O*kgtoGg)</f>
        <v>0.79489211581881503</v>
      </c>
      <c r="N952" s="100">
        <f>IF('Net zero activities &amp; levers'!$C$12="Off",('Activity data'!AG9*EF!$H40*EF!$H58)*NtoN2O*kgtoGg,('Net zero Activity data'!AG9*EF!$H40*EF!$H58)*NtoN2O*kgtoGg)</f>
        <v>0.77577222781694366</v>
      </c>
      <c r="O952" s="100">
        <f>IF('Net zero activities &amp; levers'!$C$12="Off",('Activity data'!AH9*EF!$H40*EF!$H58)*NtoN2O*kgtoGg,('Net zero Activity data'!AH9*EF!$H40*EF!$H58)*NtoN2O*kgtoGg)</f>
        <v>0.75722164871587128</v>
      </c>
      <c r="P952" s="100">
        <f>IF('Net zero activities &amp; levers'!$C$12="Off",('Activity data'!AI9*EF!$H40*EF!$H58)*NtoN2O*kgtoGg,('Net zero Activity data'!AI9*EF!$H40*EF!$H58)*NtoN2O*kgtoGg)</f>
        <v>0.74295364970944966</v>
      </c>
      <c r="Q952" s="100">
        <f>IF('Net zero activities &amp; levers'!$C$12="Off",('Activity data'!AJ9*EF!$H40*EF!$H58)*NtoN2O*kgtoGg,('Net zero Activity data'!AJ9*EF!$H40*EF!$H58)*NtoN2O*kgtoGg)</f>
        <v>0.73004813476216801</v>
      </c>
      <c r="R952" s="100">
        <f>IF('Net zero activities &amp; levers'!$C$12="Off",('Activity data'!AK9*EF!$H40*EF!$H58)*NtoN2O*kgtoGg,('Net zero Activity data'!AK9*EF!$H40*EF!$H58)*NtoN2O*kgtoGg)</f>
        <v>0.7097573495578483</v>
      </c>
      <c r="S952" s="100">
        <f>IF('Net zero activities &amp; levers'!$C$12="Off",('Activity data'!AL9*EF!$H40*EF!$H58)*NtoN2O*kgtoGg,('Net zero Activity data'!AL9*EF!$H40*EF!$H58)*NtoN2O*kgtoGg)</f>
        <v>0.62250021658521282</v>
      </c>
      <c r="T952" s="100">
        <f>IF('Net zero activities &amp; levers'!$C$12="Off",('Activity data'!AM9*EF!$H40*EF!$H58)*NtoN2O*kgtoGg,('Net zero Activity data'!AM9*EF!$H40*EF!$H58)*NtoN2O*kgtoGg)</f>
        <v>0.62843364173979577</v>
      </c>
      <c r="U952" s="100">
        <f>IF('Net zero activities &amp; levers'!$C$12="Off",('Activity data'!AN9*EF!$H40*EF!$H58)*NtoN2O*kgtoGg,('Net zero Activity data'!AN9*EF!$H40*EF!$H58)*NtoN2O*kgtoGg)</f>
        <v>0.63244862905446586</v>
      </c>
      <c r="V952" s="100">
        <f>IF('Net zero activities &amp; levers'!$C$12="Off",('Activity data'!AO9*EF!$H40*EF!$H58)*NtoN2O*kgtoGg,('Net zero Activity data'!AO9*EF!$H40*EF!$H58)*NtoN2O*kgtoGg)</f>
        <v>0.63633302607818865</v>
      </c>
      <c r="W952" s="100">
        <f>IF('Net zero activities &amp; levers'!$C$12="Off",('Activity data'!AP9*EF!$H40*EF!$H58)*NtoN2O*kgtoGg,('Net zero Activity data'!AP9*EF!$H40*EF!$H58)*NtoN2O*kgtoGg)</f>
        <v>0.64275688445918766</v>
      </c>
      <c r="X952" s="100">
        <f>IF('Net zero activities &amp; levers'!$C$12="Off",('Activity data'!AQ9*EF!$H40*EF!$H58)*NtoN2O*kgtoGg,('Net zero Activity data'!AQ9*EF!$H40*EF!$H58)*NtoN2O*kgtoGg)</f>
        <v>0.64896902823624347</v>
      </c>
      <c r="Y952" s="100">
        <f>IF('Net zero activities &amp; levers'!$C$12="Off",('Activity data'!AR9*EF!$H40*EF!$H58)*NtoN2O*kgtoGg,('Net zero Activity data'!AR9*EF!$H40*EF!$H58)*NtoN2O*kgtoGg)</f>
        <v>0.65549084673275582</v>
      </c>
      <c r="Z952" s="100">
        <f>IF('Net zero activities &amp; levers'!$C$12="Off",('Activity data'!AS9*EF!$H40*EF!$H58)*NtoN2O*kgtoGg,('Net zero Activity data'!AS9*EF!$H40*EF!$H58)*NtoN2O*kgtoGg)</f>
        <v>0.66116866654600104</v>
      </c>
      <c r="AA952" s="100">
        <f>IF('Net zero activities &amp; levers'!$C$12="Off",('Activity data'!AT9*EF!$H40*EF!$H58)*NtoN2O*kgtoGg,('Net zero Activity data'!AT9*EF!$H40*EF!$H58)*NtoN2O*kgtoGg)</f>
        <v>0.66763079542082715</v>
      </c>
      <c r="AB952" s="100">
        <f>IF('Net zero activities &amp; levers'!$C$12="Off",('Activity data'!AU9*EF!$H40*EF!$H58)*NtoN2O*kgtoGg,('Net zero Activity data'!AU9*EF!$H40*EF!$H58)*NtoN2O*kgtoGg)</f>
        <v>0.67268763021428868</v>
      </c>
      <c r="AC952" s="100">
        <f>IF('Net zero activities &amp; levers'!$C$12="Off",('Activity data'!AV9*EF!$H40*EF!$H58)*NtoN2O*kgtoGg,('Net zero Activity data'!AV9*EF!$H40*EF!$H58)*NtoN2O*kgtoGg)</f>
        <v>0.67788321606043689</v>
      </c>
      <c r="AD952" s="100">
        <f>IF('Net zero activities &amp; levers'!$C$12="Off",('Activity data'!AW9*EF!$H40*EF!$H58)*NtoN2O*kgtoGg,('Net zero Activity data'!AW9*EF!$H40*EF!$H58)*NtoN2O*kgtoGg)</f>
        <v>0.68030312991307629</v>
      </c>
      <c r="AE952" s="100">
        <f>IF('Net zero activities &amp; levers'!$C$12="Off",('Activity data'!AX9*EF!$H40*EF!$H58)*NtoN2O*kgtoGg,('Net zero Activity data'!AX9*EF!$H40*EF!$H58)*NtoN2O*kgtoGg)</f>
        <v>0.68362132277483145</v>
      </c>
      <c r="AF952" s="100">
        <f>IF('Net zero activities &amp; levers'!$C$12="Off",('Activity data'!AY9*EF!$H40*EF!$H58)*NtoN2O*kgtoGg,('Net zero Activity data'!AY9*EF!$H40*EF!$H58)*NtoN2O*kgtoGg)</f>
        <v>0.68692670951860213</v>
      </c>
      <c r="AG952" s="100">
        <f>IF('Net zero activities &amp; levers'!$C$12="Off",('Activity data'!AZ9*EF!$H40*EF!$H58)*NtoN2O*kgtoGg,('Net zero Activity data'!AZ9*EF!$H40*EF!$H58)*NtoN2O*kgtoGg)</f>
        <v>0.67235837319496583</v>
      </c>
      <c r="AH952" s="100">
        <f>IF('Net zero activities &amp; levers'!$C$12="Off",('Activity data'!BA9*EF!$H40*EF!$H58)*NtoN2O*kgtoGg,('Net zero Activity data'!BA9*EF!$H40*EF!$H58)*NtoN2O*kgtoGg)</f>
        <v>-0.1586000403929089</v>
      </c>
      <c r="AI952" s="100">
        <f>IF('Net zero activities &amp; levers'!$C$12="Off",('Activity data'!BB9*EF!$H40*EF!$H58)*NtoN2O*kgtoGg,('Net zero Activity data'!BB9*EF!$H40*EF!$H58)*NtoN2O*kgtoGg)</f>
        <v>-0.15492107106439137</v>
      </c>
      <c r="AJ952" s="100">
        <f>IF('Net zero activities &amp; levers'!$C$12="Off",('Activity data'!BC9*EF!$H40*EF!$H58)*NtoN2O*kgtoGg,('Net zero Activity data'!BC9*EF!$H40*EF!$H58)*NtoN2O*kgtoGg)</f>
        <v>-0.15130060889360838</v>
      </c>
      <c r="AK952" s="100">
        <f>IF('Net zero activities &amp; levers'!$C$12="Off",('Activity data'!BD9*EF!$H40*EF!$H58)*NtoN2O*kgtoGg,('Net zero Activity data'!BD9*EF!$H40*EF!$H58)*NtoN2O*kgtoGg)</f>
        <v>-0.14773558958891347</v>
      </c>
      <c r="AL952" s="100">
        <f>IF('Net zero activities &amp; levers'!$C$12="Off",('Activity data'!BE9*EF!$H40*EF!$H58)*NtoN2O*kgtoGg,('Net zero Activity data'!BE9*EF!$H40*EF!$H58)*NtoN2O*kgtoGg)</f>
        <v>-0.14422316071147476</v>
      </c>
      <c r="AM952" s="100">
        <f>IF('Net zero activities &amp; levers'!$C$12="Off",('Activity data'!BF9*EF!$H40*EF!$H58)*NtoN2O*kgtoGg,('Net zero Activity data'!BF9*EF!$H40*EF!$H58)*NtoN2O*kgtoGg)</f>
        <v>-0.1407606620441057</v>
      </c>
      <c r="AN952" s="100">
        <f>IF('Net zero activities &amp; levers'!$C$12="Off",('Activity data'!BG9*EF!$H40*EF!$H58)*NtoN2O*kgtoGg,('Net zero Activity data'!BG9*EF!$H40*EF!$H58)*NtoN2O*kgtoGg)</f>
        <v>-0.1379533588771549</v>
      </c>
      <c r="AO952" s="100">
        <f>IF('Net zero activities &amp; levers'!$C$12="Off",('Activity data'!BH9*EF!$H40*EF!$H58)*NtoN2O*kgtoGg,('Net zero Activity data'!BH9*EF!$H40*EF!$H58)*NtoN2O*kgtoGg)</f>
        <v>-0.13518845663385484</v>
      </c>
      <c r="AP952" s="100">
        <f>IF('Net zero activities &amp; levers'!$C$12="Off",('Activity data'!BI9*EF!$H40*EF!$H58)*NtoN2O*kgtoGg,('Net zero Activity data'!BI9*EF!$H40*EF!$H58)*NtoN2O*kgtoGg)</f>
        <v>-0.13246403391454542</v>
      </c>
      <c r="AQ952" s="100">
        <f>IF('Net zero activities &amp; levers'!$C$12="Off",('Activity data'!BJ9*EF!$H40*EF!$H58)*NtoN2O*kgtoGg,('Net zero Activity data'!BJ9*EF!$H40*EF!$H58)*NtoN2O*kgtoGg)</f>
        <v>-0.12977828882070402</v>
      </c>
      <c r="AR952" s="100">
        <f>IF('Net zero activities &amp; levers'!$C$12="Off",('Activity data'!BK9*EF!$H40*EF!$H58)*NtoN2O*kgtoGg,('Net zero Activity data'!BK9*EF!$H40*EF!$H58)*NtoN2O*kgtoGg)</f>
        <v>-0.12712952904632721</v>
      </c>
      <c r="AS952" s="100">
        <f>IF('Net zero activities &amp; levers'!$C$12="Off",('Activity data'!BL9*EF!$H40*EF!$H58)*NtoN2O*kgtoGg,('Net zero Activity data'!BL9*EF!$H40*EF!$H58)*NtoN2O*kgtoGg)</f>
        <v>-0.12443153766115941</v>
      </c>
      <c r="AT952" s="100">
        <f>IF('Net zero activities &amp; levers'!$C$12="Off",('Activity data'!BM9*EF!$H40*EF!$H58)*NtoN2O*kgtoGg,('Net zero Activity data'!BM9*EF!$H40*EF!$H58)*NtoN2O*kgtoGg)</f>
        <v>-0.12177064709828132</v>
      </c>
      <c r="AU952" s="100">
        <f>IF('Net zero activities &amp; levers'!$C$12="Off",('Activity data'!BN9*EF!$H40*EF!$H58)*NtoN2O*kgtoGg,('Net zero Activity data'!BN9*EF!$H40*EF!$H58)*NtoN2O*kgtoGg)</f>
        <v>-0.11914539786899743</v>
      </c>
      <c r="AV952" s="100">
        <f>IF('Net zero activities &amp; levers'!$C$12="Off",('Activity data'!BO9*EF!$H40*EF!$H58)*NtoN2O*kgtoGg,('Net zero Activity data'!BO9*EF!$H40*EF!$H58)*NtoN2O*kgtoGg)</f>
        <v>-0.11655441248332606</v>
      </c>
      <c r="AW952" s="100">
        <f>IF('Net zero activities &amp; levers'!$C$12="Off",('Activity data'!BP9*EF!$H40*EF!$H58)*NtoN2O*kgtoGg,('Net zero Activity data'!BP9*EF!$H40*EF!$H58)*NtoN2O*kgtoGg)</f>
        <v>-0.11399638932246699</v>
      </c>
      <c r="AY952" s="85"/>
      <c r="AZ952" s="85"/>
    </row>
    <row r="953" spans="1:52" x14ac:dyDescent="0.25">
      <c r="A953" s="102" t="str">
        <f t="shared" si="326"/>
        <v>DS Cattle MMN2O</v>
      </c>
      <c r="B953" s="102" t="s">
        <v>975</v>
      </c>
      <c r="C953" s="102" t="s">
        <v>1233</v>
      </c>
      <c r="D953" t="s">
        <v>15</v>
      </c>
      <c r="E953" t="s">
        <v>657</v>
      </c>
      <c r="F953" t="s">
        <v>67</v>
      </c>
      <c r="G953" t="s">
        <v>135</v>
      </c>
      <c r="H953" t="s">
        <v>1228</v>
      </c>
      <c r="I953" t="s">
        <v>139</v>
      </c>
      <c r="J953" t="s">
        <v>287</v>
      </c>
      <c r="K953" s="100">
        <f>IF('Net zero activities &amp; levers'!$C$12="Off",('Activity data'!AD10*EF!$H41*EF!$H59)*NtoN2O*kgtoGg,('Net zero Activity data'!AD10*EF!$H41*EF!$H59)*NtoN2O*kgtoGg)</f>
        <v>0.98462431665992833</v>
      </c>
      <c r="L953" s="100">
        <f>IF('Net zero activities &amp; levers'!$C$12="Off",('Activity data'!AE10*EF!$H41*EF!$H59)*NtoN2O*kgtoGg,('Net zero Activity data'!AE10*EF!$H41*EF!$H59)*NtoN2O*kgtoGg)</f>
        <v>1.0196918835505078</v>
      </c>
      <c r="M953" s="100">
        <f>IF('Net zero activities &amp; levers'!$C$12="Off",('Activity data'!AF10*EF!$H41*EF!$H59)*NtoN2O*kgtoGg,('Net zero Activity data'!AF10*EF!$H41*EF!$H59)*NtoN2O*kgtoGg)</f>
        <v>1.0475259814074214</v>
      </c>
      <c r="N953" s="100">
        <f>IF('Net zero activities &amp; levers'!$C$12="Off",('Activity data'!AG10*EF!$H41*EF!$H59)*NtoN2O*kgtoGg,('Net zero Activity data'!AG10*EF!$H41*EF!$H59)*NtoN2O*kgtoGg)</f>
        <v>1.0647388767946648</v>
      </c>
      <c r="O953" s="100">
        <f>IF('Net zero activities &amp; levers'!$C$12="Off",('Activity data'!AH10*EF!$H41*EF!$H59)*NtoN2O*kgtoGg,('Net zero Activity data'!AH10*EF!$H41*EF!$H59)*NtoN2O*kgtoGg)</f>
        <v>1.0819877052462501</v>
      </c>
      <c r="P953" s="100">
        <f>IF('Net zero activities &amp; levers'!$C$12="Off",('Activity data'!AI10*EF!$H41*EF!$H59)*NtoN2O*kgtoGg,('Net zero Activity data'!AI10*EF!$H41*EF!$H59)*NtoN2O*kgtoGg)</f>
        <v>1.1048938649963369</v>
      </c>
      <c r="Q953" s="100">
        <f>IF('Net zero activities &amp; levers'!$C$12="Off",('Activity data'!AJ10*EF!$H41*EF!$H59)*NtoN2O*kgtoGg,('Net zero Activity data'!AJ10*EF!$H41*EF!$H59)*NtoN2O*kgtoGg)</f>
        <v>1.1297091115066857</v>
      </c>
      <c r="R953" s="100">
        <f>IF('Net zero activities &amp; levers'!$C$12="Off",('Activity data'!AK10*EF!$H41*EF!$H59)*NtoN2O*kgtoGg,('Net zero Activity data'!AK10*EF!$H41*EF!$H59)*NtoN2O*kgtoGg)</f>
        <v>1.142623258953418</v>
      </c>
      <c r="S953" s="100">
        <f>IF('Net zero activities &amp; levers'!$C$12="Off",('Activity data'!AL10*EF!$H41*EF!$H59)*NtoN2O*kgtoGg,('Net zero Activity data'!AL10*EF!$H41*EF!$H59)*NtoN2O*kgtoGg)</f>
        <v>1.0424500724104675</v>
      </c>
      <c r="T953" s="100">
        <f>IF('Net zero activities &amp; levers'!$C$12="Off",('Activity data'!AM10*EF!$H41*EF!$H59)*NtoN2O*kgtoGg,('Net zero Activity data'!AM10*EF!$H41*EF!$H59)*NtoN2O*kgtoGg)</f>
        <v>1.0775354748112338</v>
      </c>
      <c r="U953" s="100">
        <f>IF('Net zero activities &amp; levers'!$C$12="Off",('Activity data'!AN10*EF!$H41*EF!$H59)*NtoN2O*kgtoGg,('Net zero Activity data'!AN10*EF!$H41*EF!$H59)*NtoN2O*kgtoGg)</f>
        <v>1.1099789671042184</v>
      </c>
      <c r="V953" s="100">
        <f>IF('Net zero activities &amp; levers'!$C$12="Off",('Activity data'!AO10*EF!$H41*EF!$H59)*NtoN2O*kgtoGg,('Net zero Activity data'!AO10*EF!$H41*EF!$H59)*NtoN2O*kgtoGg)</f>
        <v>1.1427845071049993</v>
      </c>
      <c r="W953" s="100">
        <f>IF('Net zero activities &amp; levers'!$C$12="Off",('Activity data'!AP10*EF!$H41*EF!$H59)*NtoN2O*kgtoGg,('Net zero Activity data'!AP10*EF!$H41*EF!$H59)*NtoN2O*kgtoGg)</f>
        <v>1.1808667721174206</v>
      </c>
      <c r="X953" s="100">
        <f>IF('Net zero activities &amp; levers'!$C$12="Off",('Activity data'!AQ10*EF!$H41*EF!$H59)*NtoN2O*kgtoGg,('Net zero Activity data'!AQ10*EF!$H41*EF!$H59)*NtoN2O*kgtoGg)</f>
        <v>1.219399784150359</v>
      </c>
      <c r="Y953" s="100">
        <f>IF('Net zero activities &amp; levers'!$C$12="Off",('Activity data'!AR10*EF!$H41*EF!$H59)*NtoN2O*kgtoGg,('Net zero Activity data'!AR10*EF!$H41*EF!$H59)*NtoN2O*kgtoGg)</f>
        <v>1.2593873285345614</v>
      </c>
      <c r="Z953" s="100">
        <f>IF('Net zero activities &amp; levers'!$C$12="Off",('Activity data'!AS10*EF!$H41*EF!$H59)*NtoN2O*kgtoGg,('Net zero Activity data'!AS10*EF!$H41*EF!$H59)*NtoN2O*kgtoGg)</f>
        <v>1.2986321214759353</v>
      </c>
      <c r="AA953" s="100">
        <f>IF('Net zero activities &amp; levers'!$C$12="Off",('Activity data'!AT10*EF!$H41*EF!$H59)*NtoN2O*kgtoGg,('Net zero Activity data'!AT10*EF!$H41*EF!$H59)*NtoN2O*kgtoGg)</f>
        <v>1.3403229537470696</v>
      </c>
      <c r="AB953" s="100">
        <f>IF('Net zero activities &amp; levers'!$C$12="Off",('Activity data'!AU10*EF!$H41*EF!$H59)*NtoN2O*kgtoGg,('Net zero Activity data'!AU10*EF!$H41*EF!$H59)*NtoN2O*kgtoGg)</f>
        <v>1.3800999976091688</v>
      </c>
      <c r="AC953" s="100">
        <f>IF('Net zero activities &amp; levers'!$C$12="Off",('Activity data'!AV10*EF!$H41*EF!$H59)*NtoN2O*kgtoGg,('Net zero Activity data'!AV10*EF!$H41*EF!$H59)*NtoN2O*kgtoGg)</f>
        <v>1.4210424625750864</v>
      </c>
      <c r="AD953" s="100">
        <f>IF('Net zero activities &amp; levers'!$C$12="Off",('Activity data'!AW10*EF!$H41*EF!$H59)*NtoN2O*kgtoGg,('Net zero Activity data'!AW10*EF!$H41*EF!$H59)*NtoN2O*kgtoGg)</f>
        <v>1.4731597843117399</v>
      </c>
      <c r="AE953" s="100">
        <f>IF('Net zero activities &amp; levers'!$C$12="Off",('Activity data'!AX10*EF!$H41*EF!$H59)*NtoN2O*kgtoGg,('Net zero Activity data'!AX10*EF!$H41*EF!$H59)*NtoN2O*kgtoGg)</f>
        <v>1.5292748745002132</v>
      </c>
      <c r="AF953" s="100">
        <f>IF('Net zero activities &amp; levers'!$C$12="Off",('Activity data'!AY10*EF!$H41*EF!$H59)*NtoN2O*kgtoGg,('Net zero Activity data'!AY10*EF!$H41*EF!$H59)*NtoN2O*kgtoGg)</f>
        <v>1.58759303710444</v>
      </c>
      <c r="AG953" s="100">
        <f>IF('Net zero activities &amp; levers'!$C$12="Off",('Activity data'!AZ10*EF!$H41*EF!$H59)*NtoN2O*kgtoGg,('Net zero Activity data'!AZ10*EF!$H41*EF!$H59)*NtoN2O*kgtoGg)</f>
        <v>1.6055856657240113</v>
      </c>
      <c r="AH953" s="100">
        <f>IF('Net zero activities &amp; levers'!$C$12="Off",('Activity data'!BA10*EF!$H41*EF!$H59)*NtoN2O*kgtoGg,('Net zero Activity data'!BA10*EF!$H41*EF!$H59)*NtoN2O*kgtoGg)</f>
        <v>-0.39137548720927395</v>
      </c>
      <c r="AI953" s="100">
        <f>IF('Net zero activities &amp; levers'!$C$12="Off",('Activity data'!BB10*EF!$H41*EF!$H59)*NtoN2O*kgtoGg,('Net zero Activity data'!BB10*EF!$H41*EF!$H59)*NtoN2O*kgtoGg)</f>
        <v>-0.39511268844976988</v>
      </c>
      <c r="AJ953" s="100">
        <f>IF('Net zero activities &amp; levers'!$C$12="Off",('Activity data'!BC10*EF!$H41*EF!$H59)*NtoN2O*kgtoGg,('Net zero Activity data'!BC10*EF!$H41*EF!$H59)*NtoN2O*kgtoGg)</f>
        <v>-0.39888027556232269</v>
      </c>
      <c r="AK953" s="100">
        <f>IF('Net zero activities &amp; levers'!$C$12="Off",('Activity data'!BD10*EF!$H41*EF!$H59)*NtoN2O*kgtoGg,('Net zero Activity data'!BD10*EF!$H41*EF!$H59)*NtoN2O*kgtoGg)</f>
        <v>-0.40267853610571114</v>
      </c>
      <c r="AL953" s="100">
        <f>IF('Net zero activities &amp; levers'!$C$12="Off",('Activity data'!BE10*EF!$H41*EF!$H59)*NtoN2O*kgtoGg,('Net zero Activity data'!BE10*EF!$H41*EF!$H59)*NtoN2O*kgtoGg)</f>
        <v>-0.40650776022057733</v>
      </c>
      <c r="AM953" s="100">
        <f>IF('Net zero activities &amp; levers'!$C$12="Off",('Activity data'!BF10*EF!$H41*EF!$H59)*NtoN2O*kgtoGg,('Net zero Activity data'!BF10*EF!$H41*EF!$H59)*NtoN2O*kgtoGg)</f>
        <v>-0.41036824065181815</v>
      </c>
      <c r="AN953" s="100">
        <f>IF('Net zero activities &amp; levers'!$C$12="Off",('Activity data'!BG10*EF!$H41*EF!$H59)*NtoN2O*kgtoGg,('Net zero Activity data'!BG10*EF!$H41*EF!$H59)*NtoN2O*kgtoGg)</f>
        <v>-0.41346631245955484</v>
      </c>
      <c r="AO953" s="100">
        <f>IF('Net zero activities &amp; levers'!$C$12="Off",('Activity data'!BH10*EF!$H41*EF!$H59)*NtoN2O*kgtoGg,('Net zero Activity data'!BH10*EF!$H41*EF!$H59)*NtoN2O*kgtoGg)</f>
        <v>-0.41658575471490794</v>
      </c>
      <c r="AP953" s="100">
        <f>IF('Net zero activities &amp; levers'!$C$12="Off",('Activity data'!BI10*EF!$H41*EF!$H59)*NtoN2O*kgtoGg,('Net zero Activity data'!BI10*EF!$H41*EF!$H59)*NtoN2O*kgtoGg)</f>
        <v>-0.41972673655234932</v>
      </c>
      <c r="AQ953" s="100">
        <f>IF('Net zero activities &amp; levers'!$C$12="Off",('Activity data'!BJ10*EF!$H41*EF!$H59)*NtoN2O*kgtoGg,('Net zero Activity data'!BJ10*EF!$H41*EF!$H59)*NtoN2O*kgtoGg)</f>
        <v>-0.42288942838293692</v>
      </c>
      <c r="AR953" s="100">
        <f>IF('Net zero activities &amp; levers'!$C$12="Off",('Activity data'!BK10*EF!$H41*EF!$H59)*NtoN2O*kgtoGg,('Net zero Activity data'!BK10*EF!$H41*EF!$H59)*NtoN2O*kgtoGg)</f>
        <v>-0.42607400190364725</v>
      </c>
      <c r="AS953" s="100">
        <f>IF('Net zero activities &amp; levers'!$C$12="Off",('Activity data'!BL10*EF!$H41*EF!$H59)*NtoN2O*kgtoGg,('Net zero Activity data'!BL10*EF!$H41*EF!$H59)*NtoN2O*kgtoGg)</f>
        <v>-0.42898887673310604</v>
      </c>
      <c r="AT953" s="100">
        <f>IF('Net zero activities &amp; levers'!$C$12="Off",('Activity data'!BM10*EF!$H41*EF!$H59)*NtoN2O*kgtoGg,('Net zero Activity data'!BM10*EF!$H41*EF!$H59)*NtoN2O*kgtoGg)</f>
        <v>-0.43192052701996581</v>
      </c>
      <c r="AU953" s="100">
        <f>IF('Net zero activities &amp; levers'!$C$12="Off",('Activity data'!BN10*EF!$H41*EF!$H59)*NtoN2O*kgtoGg,('Net zero Activity data'!BN10*EF!$H41*EF!$H59)*NtoN2O*kgtoGg)</f>
        <v>-0.43486906373806822</v>
      </c>
      <c r="AV953" s="100">
        <f>IF('Net zero activities &amp; levers'!$C$12="Off",('Activity data'!BO10*EF!$H41*EF!$H59)*NtoN2O*kgtoGg,('Net zero Activity data'!BO10*EF!$H41*EF!$H59)*NtoN2O*kgtoGg)</f>
        <v>-0.43783459855710477</v>
      </c>
      <c r="AW953" s="100">
        <f>IF('Net zero activities &amp; levers'!$C$12="Off",('Activity data'!BP10*EF!$H41*EF!$H59)*NtoN2O*kgtoGg,('Net zero Activity data'!BP10*EF!$H41*EF!$H59)*NtoN2O*kgtoGg)</f>
        <v>-0.4408172438468278</v>
      </c>
      <c r="AY953" s="85"/>
      <c r="AZ953" s="85"/>
    </row>
    <row r="954" spans="1:52" x14ac:dyDescent="0.25">
      <c r="A954" s="102" t="str">
        <f t="shared" si="326"/>
        <v>DS Sheep MMN2O</v>
      </c>
      <c r="B954" s="102" t="s">
        <v>975</v>
      </c>
      <c r="C954" s="102" t="s">
        <v>1329</v>
      </c>
      <c r="D954" t="s">
        <v>15</v>
      </c>
      <c r="E954" t="s">
        <v>657</v>
      </c>
      <c r="F954" t="s">
        <v>18</v>
      </c>
      <c r="G954" t="s">
        <v>122</v>
      </c>
      <c r="H954" t="s">
        <v>1228</v>
      </c>
      <c r="I954" t="s">
        <v>139</v>
      </c>
      <c r="J954" t="s">
        <v>287</v>
      </c>
      <c r="K954" s="100">
        <f>IF('Net zero activities &amp; levers'!$C$12="Off",('Activity data'!AD11*EF!$H42*EF!$H60)*NtoN2O*kgtoGg,IF('Net zero activities &amp; levers'!$C$12="PB",('Activity data'!AD11*EF!$H42*EF!$H60)*NtoN2O*kgtoGg,IF('Net zero activities &amp; levers'!$C$12="MS",('Net zero Activity data'!AD11*EF!$H42*EF!$H60)*NtoN2O*kgtoGg,"ERROR")))</f>
        <v>0.1171858684484313</v>
      </c>
      <c r="L954" s="100">
        <f>IF('Net zero activities &amp; levers'!$C$12="Off",('Activity data'!AE11*EF!$H42*EF!$H60)*NtoN2O*kgtoGg,IF('Net zero activities &amp; levers'!$C$12="PB",('Activity data'!AE11*EF!$H42*EF!$H60)*NtoN2O*kgtoGg,IF('Net zero activities &amp; levers'!$C$12="MS",('Net zero Activity data'!AE11*EF!$H42*EF!$H60)*NtoN2O*kgtoGg,"ERROR")))</f>
        <v>0.11724986264912746</v>
      </c>
      <c r="M954" s="100">
        <f>IF('Net zero activities &amp; levers'!$C$12="Off",('Activity data'!AF11*EF!$H42*EF!$H60)*NtoN2O*kgtoGg,IF('Net zero activities &amp; levers'!$C$12="PB",('Activity data'!AF11*EF!$H42*EF!$H60)*NtoN2O*kgtoGg,IF('Net zero activities &amp; levers'!$C$12="MS",('Net zero Activity data'!AF11*EF!$H42*EF!$H60)*NtoN2O*kgtoGg,"ERROR")))</f>
        <v>0.11739315795736154</v>
      </c>
      <c r="N954" s="100">
        <f>IF('Net zero activities &amp; levers'!$C$12="Off",('Activity data'!AG11*EF!$H42*EF!$H60)*NtoN2O*kgtoGg,IF('Net zero activities &amp; levers'!$C$12="PB",('Activity data'!AG11*EF!$H42*EF!$H60)*NtoN2O*kgtoGg,IF('Net zero activities &amp; levers'!$C$12="MS",('Net zero Activity data'!AG11*EF!$H42*EF!$H60)*NtoN2O*kgtoGg,"ERROR")))</f>
        <v>0.11760884747933324</v>
      </c>
      <c r="O954" s="100">
        <f>IF('Net zero activities &amp; levers'!$C$12="Off",('Activity data'!AH11*EF!$H42*EF!$H60)*NtoN2O*kgtoGg,IF('Net zero activities &amp; levers'!$C$12="PB",('Activity data'!AH11*EF!$H42*EF!$H60)*NtoN2O*kgtoGg,IF('Net zero activities &amp; levers'!$C$12="MS",('Net zero Activity data'!AH11*EF!$H42*EF!$H60)*NtoN2O*kgtoGg,"ERROR")))</f>
        <v>0.11789981697079396</v>
      </c>
      <c r="P954" s="100">
        <f>IF('Net zero activities &amp; levers'!$C$12="Off",('Activity data'!AI11*EF!$H42*EF!$H60)*NtoN2O*kgtoGg,IF('Net zero activities &amp; levers'!$C$12="PB",('Activity data'!AI11*EF!$H42*EF!$H60)*NtoN2O*kgtoGg,IF('Net zero activities &amp; levers'!$C$12="MS",('Net zero Activity data'!AI11*EF!$H42*EF!$H60)*NtoN2O*kgtoGg,"ERROR")))</f>
        <v>0.11826637517857025</v>
      </c>
      <c r="Q954" s="100">
        <f>IF('Net zero activities &amp; levers'!$C$12="Off",('Activity data'!AJ11*EF!$H42*EF!$H60)*NtoN2O*kgtoGg,IF('Net zero activities &amp; levers'!$C$12="PB",('Activity data'!AJ11*EF!$H42*EF!$H60)*NtoN2O*kgtoGg,IF('Net zero activities &amp; levers'!$C$12="MS",('Net zero Activity data'!AJ11*EF!$H42*EF!$H60)*NtoN2O*kgtoGg,"ERROR")))</f>
        <v>0.11867470616236446</v>
      </c>
      <c r="R954" s="100">
        <f>IF('Net zero activities &amp; levers'!$C$12="Off",('Activity data'!AK11*EF!$H42*EF!$H60)*NtoN2O*kgtoGg,IF('Net zero activities &amp; levers'!$C$12="PB",('Activity data'!AK11*EF!$H42*EF!$H60)*NtoN2O*kgtoGg,IF('Net zero activities &amp; levers'!$C$12="MS",('Net zero Activity data'!AK11*EF!$H42*EF!$H60)*NtoN2O*kgtoGg,"ERROR")))</f>
        <v>0.11911724401941932</v>
      </c>
      <c r="S954" s="100">
        <f>IF('Net zero activities &amp; levers'!$C$12="Off",('Activity data'!AL11*EF!$H42*EF!$H60)*NtoN2O*kgtoGg,IF('Net zero activities &amp; levers'!$C$12="PB",('Activity data'!AL11*EF!$H42*EF!$H60)*NtoN2O*kgtoGg,IF('Net zero activities &amp; levers'!$C$12="MS",('Net zero Activity data'!AL11*EF!$H42*EF!$H60)*NtoN2O*kgtoGg,"ERROR")))</f>
        <v>0.11953310214883348</v>
      </c>
      <c r="T954" s="100">
        <f>IF('Net zero activities &amp; levers'!$C$12="Off",('Activity data'!AM11*EF!$H42*EF!$H60)*NtoN2O*kgtoGg,IF('Net zero activities &amp; levers'!$C$12="PB",('Activity data'!AM11*EF!$H42*EF!$H60)*NtoN2O*kgtoGg,IF('Net zero activities &amp; levers'!$C$12="MS",('Net zero Activity data'!AM11*EF!$H42*EF!$H60)*NtoN2O*kgtoGg,"ERROR")))</f>
        <v>0.11970681414230742</v>
      </c>
      <c r="U954" s="100">
        <f>IF('Net zero activities &amp; levers'!$C$12="Off",('Activity data'!AN11*EF!$H42*EF!$H60)*NtoN2O*kgtoGg,IF('Net zero activities &amp; levers'!$C$12="PB",('Activity data'!AN11*EF!$H42*EF!$H60)*NtoN2O*kgtoGg,IF('Net zero activities &amp; levers'!$C$12="MS",('Net zero Activity data'!AN11*EF!$H42*EF!$H60)*NtoN2O*kgtoGg,"ERROR")))</f>
        <v>0.11990838567894911</v>
      </c>
      <c r="V954" s="100">
        <f>IF('Net zero activities &amp; levers'!$C$12="Off",('Activity data'!AO11*EF!$H42*EF!$H60)*NtoN2O*kgtoGg,IF('Net zero activities &amp; levers'!$C$12="PB",('Activity data'!AO11*EF!$H42*EF!$H60)*NtoN2O*kgtoGg,IF('Net zero activities &amp; levers'!$C$12="MS",('Net zero Activity data'!AO11*EF!$H42*EF!$H60)*NtoN2O*kgtoGg,"ERROR")))</f>
        <v>0.12013777542784022</v>
      </c>
      <c r="W954" s="100">
        <f>IF('Net zero activities &amp; levers'!$C$12="Off",('Activity data'!AP11*EF!$H42*EF!$H60)*NtoN2O*kgtoGg,IF('Net zero activities &amp; levers'!$C$12="PB",('Activity data'!AP11*EF!$H42*EF!$H60)*NtoN2O*kgtoGg,IF('Net zero activities &amp; levers'!$C$12="MS",('Net zero Activity data'!AP11*EF!$H42*EF!$H60)*NtoN2O*kgtoGg,"ERROR")))</f>
        <v>0.1203961718842316</v>
      </c>
      <c r="X954" s="100">
        <f>IF('Net zero activities &amp; levers'!$C$12="Off",('Activity data'!AQ11*EF!$H42*EF!$H60)*NtoN2O*kgtoGg,IF('Net zero activities &amp; levers'!$C$12="PB",('Activity data'!AQ11*EF!$H42*EF!$H60)*NtoN2O*kgtoGg,IF('Net zero activities &amp; levers'!$C$12="MS",('Net zero Activity data'!AQ11*EF!$H42*EF!$H60)*NtoN2O*kgtoGg,"ERROR")))</f>
        <v>0.12067943256873451</v>
      </c>
      <c r="Y954" s="100">
        <f>IF('Net zero activities &amp; levers'!$C$12="Off",('Activity data'!AR11*EF!$H42*EF!$H60)*NtoN2O*kgtoGg,IF('Net zero activities &amp; levers'!$C$12="PB",('Activity data'!AR11*EF!$H42*EF!$H60)*NtoN2O*kgtoGg,IF('Net zero activities &amp; levers'!$C$12="MS",('Net zero Activity data'!AR11*EF!$H42*EF!$H60)*NtoN2O*kgtoGg,"ERROR")))</f>
        <v>0.12085380112251057</v>
      </c>
      <c r="Z954" s="100">
        <f>IF('Net zero activities &amp; levers'!$C$12="Off",('Activity data'!AS11*EF!$H42*EF!$H60)*NtoN2O*kgtoGg,IF('Net zero activities &amp; levers'!$C$12="PB",('Activity data'!AS11*EF!$H42*EF!$H60)*NtoN2O*kgtoGg,IF('Net zero activities &amp; levers'!$C$12="MS",('Net zero Activity data'!AS11*EF!$H42*EF!$H60)*NtoN2O*kgtoGg,"ERROR")))</f>
        <v>0.12104857439732014</v>
      </c>
      <c r="AA954" s="100">
        <f>IF('Net zero activities &amp; levers'!$C$12="Off",('Activity data'!AT11*EF!$H42*EF!$H60)*NtoN2O*kgtoGg,IF('Net zero activities &amp; levers'!$C$12="PB",('Activity data'!AT11*EF!$H42*EF!$H60)*NtoN2O*kgtoGg,IF('Net zero activities &amp; levers'!$C$12="MS",('Net zero Activity data'!AT11*EF!$H42*EF!$H60)*NtoN2O*kgtoGg,"ERROR")))</f>
        <v>0.1212644592147404</v>
      </c>
      <c r="AB954" s="100">
        <f>IF('Net zero activities &amp; levers'!$C$12="Off",('Activity data'!AU11*EF!$H42*EF!$H60)*NtoN2O*kgtoGg,IF('Net zero activities &amp; levers'!$C$12="PB",('Activity data'!AU11*EF!$H42*EF!$H60)*NtoN2O*kgtoGg,IF('Net zero activities &amp; levers'!$C$12="MS",('Net zero Activity data'!AU11*EF!$H42*EF!$H60)*NtoN2O*kgtoGg,"ERROR")))</f>
        <v>0.12149813863258012</v>
      </c>
      <c r="AC954" s="100">
        <f>IF('Net zero activities &amp; levers'!$C$12="Off",('Activity data'!AV11*EF!$H42*EF!$H60)*NtoN2O*kgtoGg,IF('Net zero activities &amp; levers'!$C$12="PB",('Activity data'!AV11*EF!$H42*EF!$H60)*NtoN2O*kgtoGg,IF('Net zero activities &amp; levers'!$C$12="MS",('Net zero Activity data'!AV11*EF!$H42*EF!$H60)*NtoN2O*kgtoGg,"ERROR")))</f>
        <v>0.12175044819305053</v>
      </c>
      <c r="AD954" s="100">
        <f>IF('Net zero activities &amp; levers'!$C$12="Off",('Activity data'!AW11*EF!$H42*EF!$H60)*NtoN2O*kgtoGg,IF('Net zero activities &amp; levers'!$C$12="PB",('Activity data'!AW11*EF!$H42*EF!$H60)*NtoN2O*kgtoGg,IF('Net zero activities &amp; levers'!$C$12="MS",('Net zero Activity data'!AW11*EF!$H42*EF!$H60)*NtoN2O*kgtoGg,"ERROR")))</f>
        <v>0.12191654827812352</v>
      </c>
      <c r="AE954" s="100">
        <f>IF('Net zero activities &amp; levers'!$C$12="Off",('Activity data'!AX11*EF!$H42*EF!$H60)*NtoN2O*kgtoGg,IF('Net zero activities &amp; levers'!$C$12="PB",('Activity data'!AX11*EF!$H42*EF!$H60)*NtoN2O*kgtoGg,IF('Net zero activities &amp; levers'!$C$12="MS",('Net zero Activity data'!AX11*EF!$H42*EF!$H60)*NtoN2O*kgtoGg,"ERROR")))</f>
        <v>0.12210011953046386</v>
      </c>
      <c r="AF954" s="100">
        <f>IF('Net zero activities &amp; levers'!$C$12="Off",('Activity data'!AY11*EF!$H42*EF!$H60)*NtoN2O*kgtoGg,IF('Net zero activities &amp; levers'!$C$12="PB",('Activity data'!AY11*EF!$H42*EF!$H60)*NtoN2O*kgtoGg,IF('Net zero activities &amp; levers'!$C$12="MS",('Net zero Activity data'!AY11*EF!$H42*EF!$H60)*NtoN2O*kgtoGg,"ERROR")))</f>
        <v>0.12229951100214119</v>
      </c>
      <c r="AG954" s="100">
        <f>IF('Net zero activities &amp; levers'!$C$12="Off",('Activity data'!AZ11*EF!$H42*EF!$H60)*NtoN2O*kgtoGg,IF('Net zero activities &amp; levers'!$C$12="PB",('Activity data'!AZ11*EF!$H42*EF!$H60)*NtoN2O*kgtoGg,IF('Net zero activities &amp; levers'!$C$12="MS",('Net zero Activity data'!AZ11*EF!$H42*EF!$H60)*NtoN2O*kgtoGg,"ERROR")))</f>
        <v>0.12249214859428272</v>
      </c>
      <c r="AH954" s="100">
        <f>IF('Net zero activities &amp; levers'!$C$12="Off",('Activity data'!BA11*EF!$H42*EF!$H60)*NtoN2O*kgtoGg,IF('Net zero activities &amp; levers'!$C$12="PB",('Activity data'!BA11*EF!$H42*EF!$H60)*NtoN2O*kgtoGg,IF('Net zero activities &amp; levers'!$C$12="MS",('Net zero Activity data'!BA11*EF!$H42*EF!$H60)*NtoN2O*kgtoGg,"ERROR")))</f>
        <v>0.12166856520731396</v>
      </c>
      <c r="AI954" s="100">
        <f>IF('Net zero activities &amp; levers'!$C$12="Off",('Activity data'!BB11*EF!$H42*EF!$H60)*NtoN2O*kgtoGg,IF('Net zero activities &amp; levers'!$C$12="PB",('Activity data'!BB11*EF!$H42*EF!$H60)*NtoN2O*kgtoGg,IF('Net zero activities &amp; levers'!$C$12="MS",('Net zero Activity data'!BB11*EF!$H42*EF!$H60)*NtoN2O*kgtoGg,"ERROR")))</f>
        <v>0.12178552707040835</v>
      </c>
      <c r="AJ954" s="100">
        <f>IF('Net zero activities &amp; levers'!$C$12="Off",('Activity data'!BC11*EF!$H42*EF!$H60)*NtoN2O*kgtoGg,IF('Net zero activities &amp; levers'!$C$12="PB",('Activity data'!BC11*EF!$H42*EF!$H60)*NtoN2O*kgtoGg,IF('Net zero activities &amp; levers'!$C$12="MS",('Net zero Activity data'!BC11*EF!$H42*EF!$H60)*NtoN2O*kgtoGg,"ERROR")))</f>
        <v>0.12191459506568997</v>
      </c>
      <c r="AK954" s="100">
        <f>IF('Net zero activities &amp; levers'!$C$12="Off",('Activity data'!BD11*EF!$H42*EF!$H60)*NtoN2O*kgtoGg,IF('Net zero activities &amp; levers'!$C$12="PB",('Activity data'!BD11*EF!$H42*EF!$H60)*NtoN2O*kgtoGg,IF('Net zero activities &amp; levers'!$C$12="MS",('Net zero Activity data'!BD11*EF!$H42*EF!$H60)*NtoN2O*kgtoGg,"ERROR")))</f>
        <v>0.12205531183364191</v>
      </c>
      <c r="AL954" s="100">
        <f>IF('Net zero activities &amp; levers'!$C$12="Off",('Activity data'!BE11*EF!$H42*EF!$H60)*NtoN2O*kgtoGg,IF('Net zero activities &amp; levers'!$C$12="PB",('Activity data'!BE11*EF!$H42*EF!$H60)*NtoN2O*kgtoGg,IF('Net zero activities &amp; levers'!$C$12="MS",('Net zero Activity data'!BE11*EF!$H42*EF!$H60)*NtoN2O*kgtoGg,"ERROR")))</f>
        <v>0.1222072553657907</v>
      </c>
      <c r="AM954" s="100">
        <f>IF('Net zero activities &amp; levers'!$C$12="Off",('Activity data'!BF11*EF!$H42*EF!$H60)*NtoN2O*kgtoGg,IF('Net zero activities &amp; levers'!$C$12="PB",('Activity data'!BF11*EF!$H42*EF!$H60)*NtoN2O*kgtoGg,IF('Net zero activities &amp; levers'!$C$12="MS",('Net zero Activity data'!BF11*EF!$H42*EF!$H60)*NtoN2O*kgtoGg,"ERROR")))</f>
        <v>0.12237003565016037</v>
      </c>
      <c r="AN954" s="100">
        <f>IF('Net zero activities &amp; levers'!$C$12="Off",('Activity data'!BG11*EF!$H42*EF!$H60)*NtoN2O*kgtoGg,IF('Net zero activities &amp; levers'!$C$12="PB",('Activity data'!BG11*EF!$H42*EF!$H60)*NtoN2O*kgtoGg,IF('Net zero activities &amp; levers'!$C$12="MS",('Net zero Activity data'!BG11*EF!$H42*EF!$H60)*NtoN2O*kgtoGg,"ERROR")))</f>
        <v>0.12244903306979282</v>
      </c>
      <c r="AO954" s="100">
        <f>IF('Net zero activities &amp; levers'!$C$12="Off",('Activity data'!BH11*EF!$H42*EF!$H60)*NtoN2O*kgtoGg,IF('Net zero activities &amp; levers'!$C$12="PB",('Activity data'!BH11*EF!$H42*EF!$H60)*NtoN2O*kgtoGg,IF('Net zero activities &amp; levers'!$C$12="MS",('Net zero Activity data'!BH11*EF!$H42*EF!$H60)*NtoN2O*kgtoGg,"ERROR")))</f>
        <v>0.12253757835817966</v>
      </c>
      <c r="AP954" s="100">
        <f>IF('Net zero activities &amp; levers'!$C$12="Off",('Activity data'!BI11*EF!$H42*EF!$H60)*NtoN2O*kgtoGg,IF('Net zero activities &amp; levers'!$C$12="PB",('Activity data'!BI11*EF!$H42*EF!$H60)*NtoN2O*kgtoGg,IF('Net zero activities &amp; levers'!$C$12="MS",('Net zero Activity data'!BI11*EF!$H42*EF!$H60)*NtoN2O*kgtoGg,"ERROR")))</f>
        <v>0.12263533922697641</v>
      </c>
      <c r="AQ954" s="100">
        <f>IF('Net zero activities &amp; levers'!$C$12="Off",('Activity data'!BJ11*EF!$H42*EF!$H60)*NtoN2O*kgtoGg,IF('Net zero activities &amp; levers'!$C$12="PB",('Activity data'!BJ11*EF!$H42*EF!$H60)*NtoN2O*kgtoGg,IF('Net zero activities &amp; levers'!$C$12="MS",('Net zero Activity data'!BJ11*EF!$H42*EF!$H60)*NtoN2O*kgtoGg,"ERROR")))</f>
        <v>0.12274200613087835</v>
      </c>
      <c r="AR954" s="100">
        <f>IF('Net zero activities &amp; levers'!$C$12="Off",('Activity data'!BK11*EF!$H42*EF!$H60)*NtoN2O*kgtoGg,IF('Net zero activities &amp; levers'!$C$12="PB",('Activity data'!BK11*EF!$H42*EF!$H60)*NtoN2O*kgtoGg,IF('Net zero activities &amp; levers'!$C$12="MS",('Net zero Activity data'!BK11*EF!$H42*EF!$H60)*NtoN2O*kgtoGg,"ERROR")))</f>
        <v>0.12285729033548833</v>
      </c>
      <c r="AS954" s="100">
        <f>IF('Net zero activities &amp; levers'!$C$12="Off",('Activity data'!BL11*EF!$H42*EF!$H60)*NtoN2O*kgtoGg,IF('Net zero activities &amp; levers'!$C$12="PB",('Activity data'!BL11*EF!$H42*EF!$H60)*NtoN2O*kgtoGg,IF('Net zero activities &amp; levers'!$C$12="MS",('Net zero Activity data'!BL11*EF!$H42*EF!$H60)*NtoN2O*kgtoGg,"ERROR")))</f>
        <v>0.12288572954642335</v>
      </c>
      <c r="AT954" s="100">
        <f>IF('Net zero activities &amp; levers'!$C$12="Off",('Activity data'!BM11*EF!$H42*EF!$H60)*NtoN2O*kgtoGg,IF('Net zero activities &amp; levers'!$C$12="PB",('Activity data'!BM11*EF!$H42*EF!$H60)*NtoN2O*kgtoGg,IF('Net zero activities &amp; levers'!$C$12="MS",('Net zero Activity data'!BM11*EF!$H42*EF!$H60)*NtoN2O*kgtoGg,"ERROR")))</f>
        <v>0.12292181660779716</v>
      </c>
      <c r="AU954" s="100">
        <f>IF('Net zero activities &amp; levers'!$C$12="Off",('Activity data'!BN11*EF!$H42*EF!$H60)*NtoN2O*kgtoGg,IF('Net zero activities &amp; levers'!$C$12="PB",('Activity data'!BN11*EF!$H42*EF!$H60)*NtoN2O*kgtoGg,IF('Net zero activities &amp; levers'!$C$12="MS",('Net zero Activity data'!BN11*EF!$H42*EF!$H60)*NtoN2O*kgtoGg,"ERROR")))</f>
        <v>0.12296529822294655</v>
      </c>
      <c r="AV954" s="100">
        <f>IF('Net zero activities &amp; levers'!$C$12="Off",('Activity data'!BO11*EF!$H42*EF!$H60)*NtoN2O*kgtoGg,IF('Net zero activities &amp; levers'!$C$12="PB",('Activity data'!BO11*EF!$H42*EF!$H60)*NtoN2O*kgtoGg,IF('Net zero activities &amp; levers'!$C$12="MS",('Net zero Activity data'!BO11*EF!$H42*EF!$H60)*NtoN2O*kgtoGg,"ERROR")))</f>
        <v>0.12301593656260404</v>
      </c>
      <c r="AW954" s="100">
        <f>IF('Net zero activities &amp; levers'!$C$12="Off",('Activity data'!BP11*EF!$H42*EF!$H60)*NtoN2O*kgtoGg,IF('Net zero activities &amp; levers'!$C$12="PB",('Activity data'!BP11*EF!$H42*EF!$H60)*NtoN2O*kgtoGg,IF('Net zero activities &amp; levers'!$C$12="MS",('Net zero Activity data'!BP11*EF!$H42*EF!$H60)*NtoN2O*kgtoGg,"ERROR")))</f>
        <v>0.12307350807543004</v>
      </c>
      <c r="AY954" s="85"/>
      <c r="AZ954" s="85"/>
    </row>
    <row r="955" spans="1:52" x14ac:dyDescent="0.25">
      <c r="A955" s="102" t="str">
        <f t="shared" si="326"/>
        <v>DS Sheep MMN2O</v>
      </c>
      <c r="B955" s="102" t="s">
        <v>975</v>
      </c>
      <c r="C955" s="102" t="s">
        <v>1329</v>
      </c>
      <c r="D955" t="s">
        <v>15</v>
      </c>
      <c r="E955" t="s">
        <v>657</v>
      </c>
      <c r="F955" t="s">
        <v>18</v>
      </c>
      <c r="G955" t="s">
        <v>123</v>
      </c>
      <c r="H955" t="s">
        <v>1228</v>
      </c>
      <c r="I955" t="s">
        <v>139</v>
      </c>
      <c r="J955" t="s">
        <v>287</v>
      </c>
      <c r="K955" s="100">
        <f>IF('Net zero activities &amp; levers'!$C$12="Off",('Activity data'!AD12*EF!$H43*EF!$H61)*NtoN2O*kgtoGg,IF('Net zero activities &amp; levers'!$C$12="PB",('Activity data'!AD12*EF!$H43*EF!$H61)*NtoN2O*kgtoGg,IF('Net zero activities &amp; levers'!$C$12="MS",('Net zero Activity data'!AD12*EF!$H43*EF!$H61)*NtoN2O*kgtoGg,"ERROR")))</f>
        <v>6.266414044546309E-2</v>
      </c>
      <c r="L955" s="100">
        <f>IF('Net zero activities &amp; levers'!$C$12="Off",('Activity data'!AE12*EF!$H43*EF!$H61)*NtoN2O*kgtoGg,IF('Net zero activities &amp; levers'!$C$12="PB",('Activity data'!AE12*EF!$H43*EF!$H61)*NtoN2O*kgtoGg,IF('Net zero activities &amp; levers'!$C$12="MS",('Net zero Activity data'!AE12*EF!$H43*EF!$H61)*NtoN2O*kgtoGg,"ERROR")))</f>
        <v>6.2698360796715452E-2</v>
      </c>
      <c r="M955" s="100">
        <f>IF('Net zero activities &amp; levers'!$C$12="Off",('Activity data'!AF12*EF!$H43*EF!$H61)*NtoN2O*kgtoGg,IF('Net zero activities &amp; levers'!$C$12="PB",('Activity data'!AF12*EF!$H43*EF!$H61)*NtoN2O*kgtoGg,IF('Net zero activities &amp; levers'!$C$12="MS",('Net zero Activity data'!AF12*EF!$H43*EF!$H61)*NtoN2O*kgtoGg,"ERROR")))</f>
        <v>6.2774986736679445E-2</v>
      </c>
      <c r="N955" s="100">
        <f>IF('Net zero activities &amp; levers'!$C$12="Off",('Activity data'!AG12*EF!$H43*EF!$H61)*NtoN2O*kgtoGg,IF('Net zero activities &amp; levers'!$C$12="PB",('Activity data'!AG12*EF!$H43*EF!$H61)*NtoN2O*kgtoGg,IF('Net zero activities &amp; levers'!$C$12="MS",('Net zero Activity data'!AG12*EF!$H43*EF!$H61)*NtoN2O*kgtoGg,"ERROR")))</f>
        <v>6.2890324862994521E-2</v>
      </c>
      <c r="O955" s="100">
        <f>IF('Net zero activities &amp; levers'!$C$12="Off",('Activity data'!AH12*EF!$H43*EF!$H61)*NtoN2O*kgtoGg,IF('Net zero activities &amp; levers'!$C$12="PB",('Activity data'!AH12*EF!$H43*EF!$H61)*NtoN2O*kgtoGg,IF('Net zero activities &amp; levers'!$C$12="MS",('Net zero Activity data'!AH12*EF!$H43*EF!$H61)*NtoN2O*kgtoGg,"ERROR")))</f>
        <v>6.3045918308856697E-2</v>
      </c>
      <c r="P955" s="100">
        <f>IF('Net zero activities &amp; levers'!$C$12="Off",('Activity data'!AI12*EF!$H43*EF!$H61)*NtoN2O*kgtoGg,IF('Net zero activities &amp; levers'!$C$12="PB",('Activity data'!AI12*EF!$H43*EF!$H61)*NtoN2O*kgtoGg,IF('Net zero activities &amp; levers'!$C$12="MS",('Net zero Activity data'!AI12*EF!$H43*EF!$H61)*NtoN2O*kgtoGg,"ERROR")))</f>
        <v>6.324193217398956E-2</v>
      </c>
      <c r="Q955" s="100">
        <f>IF('Net zero activities &amp; levers'!$C$12="Off",('Activity data'!AJ12*EF!$H43*EF!$H61)*NtoN2O*kgtoGg,IF('Net zero activities &amp; levers'!$C$12="PB",('Activity data'!AJ12*EF!$H43*EF!$H61)*NtoN2O*kgtoGg,IF('Net zero activities &amp; levers'!$C$12="MS",('Net zero Activity data'!AJ12*EF!$H43*EF!$H61)*NtoN2O*kgtoGg,"ERROR")))</f>
        <v>6.346028367366699E-2</v>
      </c>
      <c r="R955" s="100">
        <f>IF('Net zero activities &amp; levers'!$C$12="Off",('Activity data'!AK12*EF!$H43*EF!$H61)*NtoN2O*kgtoGg,IF('Net zero activities &amp; levers'!$C$12="PB",('Activity data'!AK12*EF!$H43*EF!$H61)*NtoN2O*kgtoGg,IF('Net zero activities &amp; levers'!$C$12="MS",('Net zero Activity data'!AK12*EF!$H43*EF!$H61)*NtoN2O*kgtoGg,"ERROR")))</f>
        <v>6.3696927006127543E-2</v>
      </c>
      <c r="S955" s="100">
        <f>IF('Net zero activities &amp; levers'!$C$12="Off",('Activity data'!AL12*EF!$H43*EF!$H61)*NtoN2O*kgtoGg,IF('Net zero activities &amp; levers'!$C$12="PB",('Activity data'!AL12*EF!$H43*EF!$H61)*NtoN2O*kgtoGg,IF('Net zero activities &amp; levers'!$C$12="MS",('Net zero Activity data'!AL12*EF!$H43*EF!$H61)*NtoN2O*kgtoGg,"ERROR")))</f>
        <v>6.3919303582518794E-2</v>
      </c>
      <c r="T955" s="100">
        <f>IF('Net zero activities &amp; levers'!$C$12="Off",('Activity data'!AM12*EF!$H43*EF!$H61)*NtoN2O*kgtoGg,IF('Net zero activities &amp; levers'!$C$12="PB",('Activity data'!AM12*EF!$H43*EF!$H61)*NtoN2O*kgtoGg,IF('Net zero activities &amp; levers'!$C$12="MS",('Net zero Activity data'!AM12*EF!$H43*EF!$H61)*NtoN2O*kgtoGg,"ERROR")))</f>
        <v>6.401219458465271E-2</v>
      </c>
      <c r="U955" s="100">
        <f>IF('Net zero activities &amp; levers'!$C$12="Off",('Activity data'!AN12*EF!$H43*EF!$H61)*NtoN2O*kgtoGg,IF('Net zero activities &amp; levers'!$C$12="PB",('Activity data'!AN12*EF!$H43*EF!$H61)*NtoN2O*kgtoGg,IF('Net zero activities &amp; levers'!$C$12="MS",('Net zero Activity data'!AN12*EF!$H43*EF!$H61)*NtoN2O*kgtoGg,"ERROR")))</f>
        <v>6.4119983239113915E-2</v>
      </c>
      <c r="V955" s="100">
        <f>IF('Net zero activities &amp; levers'!$C$12="Off",('Activity data'!AO12*EF!$H43*EF!$H61)*NtoN2O*kgtoGg,IF('Net zero activities &amp; levers'!$C$12="PB",('Activity data'!AO12*EF!$H43*EF!$H61)*NtoN2O*kgtoGg,IF('Net zero activities &amp; levers'!$C$12="MS",('Net zero Activity data'!AO12*EF!$H43*EF!$H61)*NtoN2O*kgtoGg,"ERROR")))</f>
        <v>6.4242647444547399E-2</v>
      </c>
      <c r="W955" s="100">
        <f>IF('Net zero activities &amp; levers'!$C$12="Off",('Activity data'!AP12*EF!$H43*EF!$H61)*NtoN2O*kgtoGg,IF('Net zero activities &amp; levers'!$C$12="PB",('Activity data'!AP12*EF!$H43*EF!$H61)*NtoN2O*kgtoGg,IF('Net zero activities &amp; levers'!$C$12="MS",('Net zero Activity data'!AP12*EF!$H43*EF!$H61)*NtoN2O*kgtoGg,"ERROR")))</f>
        <v>6.4380822738619198E-2</v>
      </c>
      <c r="X955" s="100">
        <f>IF('Net zero activities &amp; levers'!$C$12="Off",('Activity data'!AQ12*EF!$H43*EF!$H61)*NtoN2O*kgtoGg,IF('Net zero activities &amp; levers'!$C$12="PB",('Activity data'!AQ12*EF!$H43*EF!$H61)*NtoN2O*kgtoGg,IF('Net zero activities &amp; levers'!$C$12="MS",('Net zero Activity data'!AQ12*EF!$H43*EF!$H61)*NtoN2O*kgtoGg,"ERROR")))</f>
        <v>6.4532293965921486E-2</v>
      </c>
      <c r="Y955" s="100">
        <f>IF('Net zero activities &amp; levers'!$C$12="Off",('Activity data'!AR12*EF!$H43*EF!$H61)*NtoN2O*kgtoGg,IF('Net zero activities &amp; levers'!$C$12="PB",('Activity data'!AR12*EF!$H43*EF!$H61)*NtoN2O*kgtoGg,IF('Net zero activities &amp; levers'!$C$12="MS",('Net zero Activity data'!AR12*EF!$H43*EF!$H61)*NtoN2O*kgtoGg,"ERROR")))</f>
        <v>6.462553605805911E-2</v>
      </c>
      <c r="Z955" s="100">
        <f>IF('Net zero activities &amp; levers'!$C$12="Off",('Activity data'!AS12*EF!$H43*EF!$H61)*NtoN2O*kgtoGg,IF('Net zero activities &amp; levers'!$C$12="PB",('Activity data'!AS12*EF!$H43*EF!$H61)*NtoN2O*kgtoGg,IF('Net zero activities &amp; levers'!$C$12="MS",('Net zero Activity data'!AS12*EF!$H43*EF!$H61)*NtoN2O*kgtoGg,"ERROR")))</f>
        <v>6.4729689400175275E-2</v>
      </c>
      <c r="AA955" s="100">
        <f>IF('Net zero activities &amp; levers'!$C$12="Off",('Activity data'!AT12*EF!$H43*EF!$H61)*NtoN2O*kgtoGg,IF('Net zero activities &amp; levers'!$C$12="PB",('Activity data'!AT12*EF!$H43*EF!$H61)*NtoN2O*kgtoGg,IF('Net zero activities &amp; levers'!$C$12="MS",('Net zero Activity data'!AT12*EF!$H43*EF!$H61)*NtoN2O*kgtoGg,"ERROR")))</f>
        <v>6.4845131959060415E-2</v>
      </c>
      <c r="AB955" s="100">
        <f>IF('Net zero activities &amp; levers'!$C$12="Off",('Activity data'!AU12*EF!$H43*EF!$H61)*NtoN2O*kgtoGg,IF('Net zero activities &amp; levers'!$C$12="PB",('Activity data'!AU12*EF!$H43*EF!$H61)*NtoN2O*kgtoGg,IF('Net zero activities &amp; levers'!$C$12="MS",('Net zero Activity data'!AU12*EF!$H43*EF!$H61)*NtoN2O*kgtoGg,"ERROR")))</f>
        <v>6.4970090028259403E-2</v>
      </c>
      <c r="AC955" s="100">
        <f>IF('Net zero activities &amp; levers'!$C$12="Off",('Activity data'!AV12*EF!$H43*EF!$H61)*NtoN2O*kgtoGg,IF('Net zero activities &amp; levers'!$C$12="PB",('Activity data'!AV12*EF!$H43*EF!$H61)*NtoN2O*kgtoGg,IF('Net zero activities &amp; levers'!$C$12="MS",('Net zero Activity data'!AV12*EF!$H43*EF!$H61)*NtoN2O*kgtoGg,"ERROR")))</f>
        <v>6.5105010406820332E-2</v>
      </c>
      <c r="AD955" s="100">
        <f>IF('Net zero activities &amp; levers'!$C$12="Off",('Activity data'!AW12*EF!$H43*EF!$H61)*NtoN2O*kgtoGg,IF('Net zero activities &amp; levers'!$C$12="PB",('Activity data'!AW12*EF!$H43*EF!$H61)*NtoN2O*kgtoGg,IF('Net zero activities &amp; levers'!$C$12="MS",('Net zero Activity data'!AW12*EF!$H43*EF!$H61)*NtoN2O*kgtoGg,"ERROR")))</f>
        <v>6.5193831006068584E-2</v>
      </c>
      <c r="AE955" s="100">
        <f>IF('Net zero activities &amp; levers'!$C$12="Off",('Activity data'!AX12*EF!$H43*EF!$H61)*NtoN2O*kgtoGg,IF('Net zero activities &amp; levers'!$C$12="PB",('Activity data'!AX12*EF!$H43*EF!$H61)*NtoN2O*kgtoGg,IF('Net zero activities &amp; levers'!$C$12="MS",('Net zero Activity data'!AX12*EF!$H43*EF!$H61)*NtoN2O*kgtoGg,"ERROR")))</f>
        <v>6.5291994162520045E-2</v>
      </c>
      <c r="AF955" s="100">
        <f>IF('Net zero activities &amp; levers'!$C$12="Off",('Activity data'!AY12*EF!$H43*EF!$H61)*NtoN2O*kgtoGg,IF('Net zero activities &amp; levers'!$C$12="PB",('Activity data'!AY12*EF!$H43*EF!$H61)*NtoN2O*kgtoGg,IF('Net zero activities &amp; levers'!$C$12="MS",('Net zero Activity data'!AY12*EF!$H43*EF!$H61)*NtoN2O*kgtoGg,"ERROR")))</f>
        <v>6.5398617045895405E-2</v>
      </c>
      <c r="AG955" s="100">
        <f>IF('Net zero activities &amp; levers'!$C$12="Off",('Activity data'!AZ12*EF!$H43*EF!$H61)*NtoN2O*kgtoGg,IF('Net zero activities &amp; levers'!$C$12="PB",('Activity data'!AZ12*EF!$H43*EF!$H61)*NtoN2O*kgtoGg,IF('Net zero activities &amp; levers'!$C$12="MS",('Net zero Activity data'!AZ12*EF!$H43*EF!$H61)*NtoN2O*kgtoGg,"ERROR")))</f>
        <v>6.5501628349978927E-2</v>
      </c>
      <c r="AH955" s="100">
        <f>IF('Net zero activities &amp; levers'!$C$12="Off",('Activity data'!BA12*EF!$H43*EF!$H61)*NtoN2O*kgtoGg,IF('Net zero activities &amp; levers'!$C$12="PB",('Activity data'!BA12*EF!$H43*EF!$H61)*NtoN2O*kgtoGg,IF('Net zero activities &amp; levers'!$C$12="MS",('Net zero Activity data'!BA12*EF!$H43*EF!$H61)*NtoN2O*kgtoGg,"ERROR")))</f>
        <v>6.506122418083396E-2</v>
      </c>
      <c r="AI955" s="100">
        <f>IF('Net zero activities &amp; levers'!$C$12="Off",('Activity data'!BB12*EF!$H43*EF!$H61)*NtoN2O*kgtoGg,IF('Net zero activities &amp; levers'!$C$12="PB",('Activity data'!BB12*EF!$H43*EF!$H61)*NtoN2O*kgtoGg,IF('Net zero activities &amp; levers'!$C$12="MS",('Net zero Activity data'!BB12*EF!$H43*EF!$H61)*NtoN2O*kgtoGg,"ERROR")))</f>
        <v>6.512376853633306E-2</v>
      </c>
      <c r="AJ955" s="100">
        <f>IF('Net zero activities &amp; levers'!$C$12="Off",('Activity data'!BC12*EF!$H43*EF!$H61)*NtoN2O*kgtoGg,IF('Net zero activities &amp; levers'!$C$12="PB",('Activity data'!BC12*EF!$H43*EF!$H61)*NtoN2O*kgtoGg,IF('Net zero activities &amp; levers'!$C$12="MS",('Net zero Activity data'!BC12*EF!$H43*EF!$H61)*NtoN2O*kgtoGg,"ERROR")))</f>
        <v>6.5192786542432504E-2</v>
      </c>
      <c r="AK955" s="100">
        <f>IF('Net zero activities &amp; levers'!$C$12="Off",('Activity data'!BD12*EF!$H43*EF!$H61)*NtoN2O*kgtoGg,IF('Net zero activities &amp; levers'!$C$12="PB",('Activity data'!BD12*EF!$H43*EF!$H61)*NtoN2O*kgtoGg,IF('Net zero activities &amp; levers'!$C$12="MS",('Net zero Activity data'!BD12*EF!$H43*EF!$H61)*NtoN2O*kgtoGg,"ERROR")))</f>
        <v>6.5268033630044034E-2</v>
      </c>
      <c r="AL955" s="100">
        <f>IF('Net zero activities &amp; levers'!$C$12="Off",('Activity data'!BE12*EF!$H43*EF!$H61)*NtoN2O*kgtoGg,IF('Net zero activities &amp; levers'!$C$12="PB",('Activity data'!BE12*EF!$H43*EF!$H61)*NtoN2O*kgtoGg,IF('Net zero activities &amp; levers'!$C$12="MS",('Net zero Activity data'!BE12*EF!$H43*EF!$H61)*NtoN2O*kgtoGg,"ERROR")))</f>
        <v>6.534928413374741E-2</v>
      </c>
      <c r="AM955" s="100">
        <f>IF('Net zero activities &amp; levers'!$C$12="Off",('Activity data'!BF12*EF!$H43*EF!$H61)*NtoN2O*kgtoGg,IF('Net zero activities &amp; levers'!$C$12="PB",('Activity data'!BF12*EF!$H43*EF!$H61)*NtoN2O*kgtoGg,IF('Net zero activities &amp; levers'!$C$12="MS",('Net zero Activity data'!BF12*EF!$H43*EF!$H61)*NtoN2O*kgtoGg,"ERROR")))</f>
        <v>6.5436329497975634E-2</v>
      </c>
      <c r="AN955" s="100">
        <f>IF('Net zero activities &amp; levers'!$C$12="Off",('Activity data'!BG12*EF!$H43*EF!$H61)*NtoN2O*kgtoGg,IF('Net zero activities &amp; levers'!$C$12="PB",('Activity data'!BG12*EF!$H43*EF!$H61)*NtoN2O*kgtoGg,IF('Net zero activities &amp; levers'!$C$12="MS",('Net zero Activity data'!BG12*EF!$H43*EF!$H61)*NtoN2O*kgtoGg,"ERROR")))</f>
        <v>6.54785726921783E-2</v>
      </c>
      <c r="AO955" s="100">
        <f>IF('Net zero activities &amp; levers'!$C$12="Off",('Activity data'!BH12*EF!$H43*EF!$H61)*NtoN2O*kgtoGg,IF('Net zero activities &amp; levers'!$C$12="PB",('Activity data'!BH12*EF!$H43*EF!$H61)*NtoN2O*kgtoGg,IF('Net zero activities &amp; levers'!$C$12="MS",('Net zero Activity data'!BH12*EF!$H43*EF!$H61)*NtoN2O*kgtoGg,"ERROR")))</f>
        <v>6.552592152750053E-2</v>
      </c>
      <c r="AP955" s="100">
        <f>IF('Net zero activities &amp; levers'!$C$12="Off",('Activity data'!BI12*EF!$H43*EF!$H61)*NtoN2O*kgtoGg,IF('Net zero activities &amp; levers'!$C$12="PB",('Activity data'!BI12*EF!$H43*EF!$H61)*NtoN2O*kgtoGg,IF('Net zero activities &amp; levers'!$C$12="MS",('Net zero Activity data'!BI12*EF!$H43*EF!$H61)*NtoN2O*kgtoGg,"ERROR")))</f>
        <v>6.557819831559332E-2</v>
      </c>
      <c r="AQ955" s="100">
        <f>IF('Net zero activities &amp; levers'!$C$12="Off",('Activity data'!BJ12*EF!$H43*EF!$H61)*NtoN2O*kgtoGg,IF('Net zero activities &amp; levers'!$C$12="PB",('Activity data'!BJ12*EF!$H43*EF!$H61)*NtoN2O*kgtoGg,IF('Net zero activities &amp; levers'!$C$12="MS",('Net zero Activity data'!BJ12*EF!$H43*EF!$H61)*NtoN2O*kgtoGg,"ERROR")))</f>
        <v>6.5635237529753657E-2</v>
      </c>
      <c r="AR955" s="100">
        <f>IF('Net zero activities &amp; levers'!$C$12="Off",('Activity data'!BK12*EF!$H43*EF!$H61)*NtoN2O*kgtoGg,IF('Net zero activities &amp; levers'!$C$12="PB",('Activity data'!BK12*EF!$H43*EF!$H61)*NtoN2O*kgtoGg,IF('Net zero activities &amp; levers'!$C$12="MS",('Net zero Activity data'!BK12*EF!$H43*EF!$H61)*NtoN2O*kgtoGg,"ERROR")))</f>
        <v>6.5696884771733188E-2</v>
      </c>
      <c r="AS955" s="100">
        <f>IF('Net zero activities &amp; levers'!$C$12="Off",('Activity data'!BL12*EF!$H43*EF!$H61)*NtoN2O*kgtoGg,IF('Net zero activities &amp; levers'!$C$12="PB",('Activity data'!BL12*EF!$H43*EF!$H61)*NtoN2O*kgtoGg,IF('Net zero activities &amp; levers'!$C$12="MS",('Net zero Activity data'!BL12*EF!$H43*EF!$H61)*NtoN2O*kgtoGg,"ERROR")))</f>
        <v>6.5712092396439034E-2</v>
      </c>
      <c r="AT955" s="100">
        <f>IF('Net zero activities &amp; levers'!$C$12="Off",('Activity data'!BM12*EF!$H43*EF!$H61)*NtoN2O*kgtoGg,IF('Net zero activities &amp; levers'!$C$12="PB",('Activity data'!BM12*EF!$H43*EF!$H61)*NtoN2O*kgtoGg,IF('Net zero activities &amp; levers'!$C$12="MS",('Net zero Activity data'!BM12*EF!$H43*EF!$H61)*NtoN2O*kgtoGg,"ERROR")))</f>
        <v>6.5731389643727739E-2</v>
      </c>
      <c r="AU955" s="100">
        <f>IF('Net zero activities &amp; levers'!$C$12="Off",('Activity data'!BN12*EF!$H43*EF!$H61)*NtoN2O*kgtoGg,IF('Net zero activities &amp; levers'!$C$12="PB",('Activity data'!BN12*EF!$H43*EF!$H61)*NtoN2O*kgtoGg,IF('Net zero activities &amp; levers'!$C$12="MS",('Net zero Activity data'!BN12*EF!$H43*EF!$H61)*NtoN2O*kgtoGg,"ERROR")))</f>
        <v>6.5754641065376054E-2</v>
      </c>
      <c r="AV955" s="100">
        <f>IF('Net zero activities &amp; levers'!$C$12="Off",('Activity data'!BO12*EF!$H43*EF!$H61)*NtoN2O*kgtoGg,IF('Net zero activities &amp; levers'!$C$12="PB",('Activity data'!BO12*EF!$H43*EF!$H61)*NtoN2O*kgtoGg,IF('Net zero activities &amp; levers'!$C$12="MS",('Net zero Activity data'!BO12*EF!$H43*EF!$H61)*NtoN2O*kgtoGg,"ERROR")))</f>
        <v>6.578171948421814E-2</v>
      </c>
      <c r="AW955" s="100">
        <f>IF('Net zero activities &amp; levers'!$C$12="Off",('Activity data'!BP12*EF!$H43*EF!$H61)*NtoN2O*kgtoGg,IF('Net zero activities &amp; levers'!$C$12="PB",('Activity data'!BP12*EF!$H43*EF!$H61)*NtoN2O*kgtoGg,IF('Net zero activities &amp; levers'!$C$12="MS",('Net zero Activity data'!BP12*EF!$H43*EF!$H61)*NtoN2O*kgtoGg,"ERROR")))</f>
        <v>6.5812505358088025E-2</v>
      </c>
      <c r="AY955" s="85"/>
      <c r="AZ955" s="85"/>
    </row>
    <row r="956" spans="1:52" x14ac:dyDescent="0.25">
      <c r="A956" s="102" t="str">
        <f t="shared" si="326"/>
        <v>DS Goats MMN2O</v>
      </c>
      <c r="B956" s="102" t="s">
        <v>975</v>
      </c>
      <c r="C956" s="102" t="s">
        <v>1330</v>
      </c>
      <c r="D956" t="s">
        <v>15</v>
      </c>
      <c r="E956" t="s">
        <v>657</v>
      </c>
      <c r="F956" t="s">
        <v>19</v>
      </c>
      <c r="G956" t="s">
        <v>122</v>
      </c>
      <c r="H956" t="s">
        <v>1228</v>
      </c>
      <c r="I956" t="s">
        <v>139</v>
      </c>
      <c r="J956" t="s">
        <v>287</v>
      </c>
      <c r="K956" s="28">
        <f t="shared" ref="K956:Z959" si="337">K1419</f>
        <v>1.4485648992970149E-2</v>
      </c>
      <c r="L956" s="28">
        <f t="shared" si="337"/>
        <v>1.4523430996818442E-2</v>
      </c>
      <c r="M956" s="28">
        <f t="shared" si="337"/>
        <v>1.4573778863725229E-2</v>
      </c>
      <c r="N956" s="28">
        <f t="shared" si="337"/>
        <v>1.4635573261684437E-2</v>
      </c>
      <c r="O956" s="28">
        <f t="shared" si="337"/>
        <v>1.4709556756482728E-2</v>
      </c>
      <c r="P956" s="28">
        <f t="shared" si="337"/>
        <v>1.4795926227225602E-2</v>
      </c>
      <c r="Q956" s="28">
        <f t="shared" si="337"/>
        <v>1.4888271114151717E-2</v>
      </c>
      <c r="R956" s="28">
        <f t="shared" si="337"/>
        <v>1.4985270961083385E-2</v>
      </c>
      <c r="S956" s="28">
        <f t="shared" si="337"/>
        <v>1.5075379558400602E-2</v>
      </c>
      <c r="T956" s="28">
        <f t="shared" si="337"/>
        <v>1.5117607192403527E-2</v>
      </c>
      <c r="U956" s="28">
        <f t="shared" si="337"/>
        <v>1.5163912133825485E-2</v>
      </c>
      <c r="V956" s="28">
        <f t="shared" si="337"/>
        <v>1.5214353144806386E-2</v>
      </c>
      <c r="W956" s="28">
        <f t="shared" si="337"/>
        <v>1.5269211713136204E-2</v>
      </c>
      <c r="X956" s="28">
        <f t="shared" si="337"/>
        <v>1.5327749231318039E-2</v>
      </c>
      <c r="Y956" s="28">
        <f t="shared" si="337"/>
        <v>1.5364750505414648E-2</v>
      </c>
      <c r="Z956" s="28">
        <f t="shared" si="337"/>
        <v>1.5404784002427285E-2</v>
      </c>
      <c r="AA956" s="28">
        <f t="shared" ref="L956:AW959" si="338">AA1419</f>
        <v>1.5448015343528085E-2</v>
      </c>
      <c r="AB956" s="28">
        <f t="shared" si="338"/>
        <v>1.5493849362144254E-2</v>
      </c>
      <c r="AC956" s="28">
        <f t="shared" si="338"/>
        <v>1.5542469399401562E-2</v>
      </c>
      <c r="AD956" s="28">
        <f t="shared" si="338"/>
        <v>1.5574312295454071E-2</v>
      </c>
      <c r="AE956" s="28">
        <f t="shared" si="338"/>
        <v>1.5608846144431889E-2</v>
      </c>
      <c r="AF956" s="28">
        <f t="shared" si="338"/>
        <v>1.5645779000697076E-2</v>
      </c>
      <c r="AG956" s="28">
        <f t="shared" si="338"/>
        <v>1.5680933682266716E-2</v>
      </c>
      <c r="AH956" s="28">
        <f t="shared" si="338"/>
        <v>1.552725676648822E-2</v>
      </c>
      <c r="AI956" s="28">
        <f t="shared" si="338"/>
        <v>1.5547818779843832E-2</v>
      </c>
      <c r="AJ956" s="28">
        <f t="shared" si="338"/>
        <v>1.5570224487070797E-2</v>
      </c>
      <c r="AK956" s="28">
        <f t="shared" si="338"/>
        <v>1.5594399014227253E-2</v>
      </c>
      <c r="AL956" s="28">
        <f t="shared" si="338"/>
        <v>1.5620273295013296E-2</v>
      </c>
      <c r="AM956" s="28">
        <f t="shared" si="338"/>
        <v>1.5647783514700201E-2</v>
      </c>
      <c r="AN956" s="28">
        <f t="shared" si="338"/>
        <v>1.5659592232765602E-2</v>
      </c>
      <c r="AO956" s="28">
        <f t="shared" si="338"/>
        <v>1.5672874713872142E-2</v>
      </c>
      <c r="AP956" s="28">
        <f t="shared" si="338"/>
        <v>1.5687575397224301E-2</v>
      </c>
      <c r="AQ956" s="28">
        <f t="shared" si="338"/>
        <v>1.5703642533627795E-2</v>
      </c>
      <c r="AR956" s="28">
        <f t="shared" si="338"/>
        <v>1.5721027858938724E-2</v>
      </c>
      <c r="AS956" s="28">
        <f t="shared" si="338"/>
        <v>1.572238426100139E-2</v>
      </c>
      <c r="AT956" s="28">
        <f t="shared" si="338"/>
        <v>1.5724946955034496E-2</v>
      </c>
      <c r="AU956" s="28">
        <f t="shared" si="338"/>
        <v>1.5728672619393889E-2</v>
      </c>
      <c r="AV956" s="28">
        <f t="shared" si="338"/>
        <v>1.5733520584102465E-2</v>
      </c>
      <c r="AW956" s="28">
        <f t="shared" si="338"/>
        <v>1.5739452625419498E-2</v>
      </c>
      <c r="AY956" s="85"/>
      <c r="AZ956" s="85"/>
    </row>
    <row r="957" spans="1:52" x14ac:dyDescent="0.25">
      <c r="A957" s="102" t="str">
        <f t="shared" si="326"/>
        <v>DS Goats MMN2O</v>
      </c>
      <c r="B957" s="102" t="s">
        <v>975</v>
      </c>
      <c r="C957" s="102" t="s">
        <v>1330</v>
      </c>
      <c r="D957" t="s">
        <v>15</v>
      </c>
      <c r="E957" t="s">
        <v>657</v>
      </c>
      <c r="F957" t="s">
        <v>19</v>
      </c>
      <c r="G957" t="s">
        <v>123</v>
      </c>
      <c r="H957" t="s">
        <v>1228</v>
      </c>
      <c r="I957" t="s">
        <v>139</v>
      </c>
      <c r="J957" t="s">
        <v>287</v>
      </c>
      <c r="K957" s="28">
        <f t="shared" si="337"/>
        <v>0.1148405820648936</v>
      </c>
      <c r="L957" s="28">
        <f t="shared" si="338"/>
        <v>0.11514011350567485</v>
      </c>
      <c r="M957" s="28">
        <f t="shared" si="338"/>
        <v>0.1155392656833997</v>
      </c>
      <c r="N957" s="28">
        <f t="shared" si="338"/>
        <v>0.11602916466089314</v>
      </c>
      <c r="O957" s="28">
        <f t="shared" si="338"/>
        <v>0.11661569741548039</v>
      </c>
      <c r="P957" s="28">
        <f t="shared" si="338"/>
        <v>0.11730042478237726</v>
      </c>
      <c r="Q957" s="28">
        <f t="shared" si="338"/>
        <v>0.11803252457096508</v>
      </c>
      <c r="R957" s="28">
        <f t="shared" si="338"/>
        <v>0.11880152835445074</v>
      </c>
      <c r="S957" s="28">
        <f t="shared" si="338"/>
        <v>0.11951589909268844</v>
      </c>
      <c r="T957" s="28">
        <f t="shared" si="338"/>
        <v>0.11985067498505422</v>
      </c>
      <c r="U957" s="28">
        <f t="shared" si="338"/>
        <v>0.12021777530813667</v>
      </c>
      <c r="V957" s="28">
        <f t="shared" si="338"/>
        <v>0.12061766592151543</v>
      </c>
      <c r="W957" s="28">
        <f t="shared" si="338"/>
        <v>0.12105257842845937</v>
      </c>
      <c r="X957" s="28">
        <f t="shared" si="338"/>
        <v>0.12151665723251566</v>
      </c>
      <c r="Y957" s="28">
        <f t="shared" si="338"/>
        <v>0.12180999913638614</v>
      </c>
      <c r="Z957" s="28">
        <f t="shared" si="338"/>
        <v>0.12212738015958056</v>
      </c>
      <c r="AA957" s="28">
        <f t="shared" si="338"/>
        <v>0.12247011332796476</v>
      </c>
      <c r="AB957" s="28">
        <f t="shared" si="338"/>
        <v>0.12283348022846115</v>
      </c>
      <c r="AC957" s="28">
        <f t="shared" si="338"/>
        <v>0.12321893436871788</v>
      </c>
      <c r="AD957" s="28">
        <f t="shared" si="338"/>
        <v>0.12347138123658526</v>
      </c>
      <c r="AE957" s="28">
        <f t="shared" si="338"/>
        <v>0.12374516167400154</v>
      </c>
      <c r="AF957" s="28">
        <f t="shared" si="338"/>
        <v>0.12403796116906533</v>
      </c>
      <c r="AG957" s="28">
        <f t="shared" si="338"/>
        <v>0.12431666349684663</v>
      </c>
      <c r="AH957" s="28">
        <f t="shared" si="338"/>
        <v>0.12309833034059625</v>
      </c>
      <c r="AI957" s="28">
        <f t="shared" si="338"/>
        <v>0.12326134365006759</v>
      </c>
      <c r="AJ957" s="28">
        <f t="shared" si="338"/>
        <v>0.12343897355541526</v>
      </c>
      <c r="AK957" s="28">
        <f t="shared" si="338"/>
        <v>0.12363062646452125</v>
      </c>
      <c r="AL957" s="28">
        <f t="shared" si="338"/>
        <v>0.12383575482759435</v>
      </c>
      <c r="AM957" s="28">
        <f t="shared" si="338"/>
        <v>0.12405385272870395</v>
      </c>
      <c r="AN957" s="28">
        <f t="shared" si="338"/>
        <v>0.12414747090602753</v>
      </c>
      <c r="AO957" s="28">
        <f t="shared" si="338"/>
        <v>0.12425277290956782</v>
      </c>
      <c r="AP957" s="28">
        <f t="shared" si="338"/>
        <v>0.12436931825964037</v>
      </c>
      <c r="AQ957" s="28">
        <f t="shared" si="338"/>
        <v>0.12449669669450293</v>
      </c>
      <c r="AR957" s="28">
        <f t="shared" si="338"/>
        <v>0.12463452558149747</v>
      </c>
      <c r="AS957" s="28">
        <f t="shared" si="338"/>
        <v>0.12464527898318946</v>
      </c>
      <c r="AT957" s="28">
        <f t="shared" si="338"/>
        <v>0.12466559573078972</v>
      </c>
      <c r="AU957" s="28">
        <f t="shared" si="338"/>
        <v>0.12469513237521754</v>
      </c>
      <c r="AV957" s="28">
        <f t="shared" si="338"/>
        <v>0.1247335664895077</v>
      </c>
      <c r="AW957" s="28">
        <f t="shared" si="338"/>
        <v>0.12478059504017958</v>
      </c>
      <c r="AY957" s="85"/>
      <c r="AZ957" s="85"/>
    </row>
    <row r="958" spans="1:52" x14ac:dyDescent="0.25">
      <c r="A958" s="102" t="str">
        <f t="shared" si="326"/>
        <v>DS Horses MMN2O</v>
      </c>
      <c r="B958" s="102" t="s">
        <v>975</v>
      </c>
      <c r="C958" s="102" t="s">
        <v>1331</v>
      </c>
      <c r="D958" t="s">
        <v>15</v>
      </c>
      <c r="E958" t="s">
        <v>657</v>
      </c>
      <c r="F958" t="s">
        <v>20</v>
      </c>
      <c r="G958" t="s">
        <v>3</v>
      </c>
      <c r="H958" t="s">
        <v>1228</v>
      </c>
      <c r="I958" t="s">
        <v>139</v>
      </c>
      <c r="J958" t="s">
        <v>287</v>
      </c>
      <c r="K958" s="28" t="str">
        <f t="shared" si="337"/>
        <v>NO</v>
      </c>
      <c r="L958" s="28" t="str">
        <f t="shared" si="338"/>
        <v>NO</v>
      </c>
      <c r="M958" s="28" t="str">
        <f t="shared" si="338"/>
        <v>NO</v>
      </c>
      <c r="N958" s="28" t="str">
        <f t="shared" si="338"/>
        <v>NO</v>
      </c>
      <c r="O958" s="28" t="str">
        <f t="shared" si="338"/>
        <v>NO</v>
      </c>
      <c r="P958" s="28" t="str">
        <f t="shared" si="338"/>
        <v>NO</v>
      </c>
      <c r="Q958" s="28" t="str">
        <f t="shared" si="338"/>
        <v>NO</v>
      </c>
      <c r="R958" s="28" t="str">
        <f t="shared" si="338"/>
        <v>NO</v>
      </c>
      <c r="S958" s="28" t="str">
        <f t="shared" si="338"/>
        <v>NO</v>
      </c>
      <c r="T958" s="28" t="str">
        <f t="shared" si="338"/>
        <v>NO</v>
      </c>
      <c r="U958" s="28" t="str">
        <f t="shared" si="338"/>
        <v>NO</v>
      </c>
      <c r="V958" s="28" t="str">
        <f t="shared" si="338"/>
        <v>NO</v>
      </c>
      <c r="W958" s="28" t="str">
        <f t="shared" si="338"/>
        <v>NO</v>
      </c>
      <c r="X958" s="28" t="str">
        <f t="shared" si="338"/>
        <v>NO</v>
      </c>
      <c r="Y958" s="28" t="str">
        <f t="shared" si="338"/>
        <v>NO</v>
      </c>
      <c r="Z958" s="28" t="str">
        <f t="shared" si="338"/>
        <v>NO</v>
      </c>
      <c r="AA958" s="28" t="str">
        <f t="shared" si="338"/>
        <v>NO</v>
      </c>
      <c r="AB958" s="28" t="str">
        <f t="shared" si="338"/>
        <v>NO</v>
      </c>
      <c r="AC958" s="28" t="str">
        <f t="shared" si="338"/>
        <v>NO</v>
      </c>
      <c r="AD958" s="28" t="str">
        <f t="shared" si="338"/>
        <v>NO</v>
      </c>
      <c r="AE958" s="28" t="str">
        <f t="shared" si="338"/>
        <v>NO</v>
      </c>
      <c r="AF958" s="28" t="str">
        <f t="shared" si="338"/>
        <v>NO</v>
      </c>
      <c r="AG958" s="28" t="str">
        <f t="shared" si="338"/>
        <v>NO</v>
      </c>
      <c r="AH958" s="28" t="str">
        <f t="shared" si="338"/>
        <v>NO</v>
      </c>
      <c r="AI958" s="28" t="str">
        <f t="shared" si="338"/>
        <v>NO</v>
      </c>
      <c r="AJ958" s="28" t="str">
        <f t="shared" si="338"/>
        <v>NO</v>
      </c>
      <c r="AK958" s="28" t="str">
        <f t="shared" si="338"/>
        <v>NO</v>
      </c>
      <c r="AL958" s="28" t="str">
        <f t="shared" si="338"/>
        <v>NO</v>
      </c>
      <c r="AM958" s="28" t="str">
        <f t="shared" si="338"/>
        <v>NO</v>
      </c>
      <c r="AN958" s="28" t="str">
        <f t="shared" si="338"/>
        <v>NO</v>
      </c>
      <c r="AO958" s="28" t="str">
        <f t="shared" si="338"/>
        <v>NO</v>
      </c>
      <c r="AP958" s="28" t="str">
        <f t="shared" si="338"/>
        <v>NO</v>
      </c>
      <c r="AQ958" s="28" t="str">
        <f t="shared" si="338"/>
        <v>NO</v>
      </c>
      <c r="AR958" s="28" t="str">
        <f t="shared" si="338"/>
        <v>NO</v>
      </c>
      <c r="AS958" s="28" t="str">
        <f t="shared" si="338"/>
        <v>NO</v>
      </c>
      <c r="AT958" s="28" t="str">
        <f t="shared" si="338"/>
        <v>NO</v>
      </c>
      <c r="AU958" s="28" t="str">
        <f t="shared" si="338"/>
        <v>NO</v>
      </c>
      <c r="AV958" s="28" t="str">
        <f t="shared" si="338"/>
        <v>NO</v>
      </c>
      <c r="AW958" s="28" t="str">
        <f t="shared" si="338"/>
        <v>NO</v>
      </c>
      <c r="AY958" s="85"/>
      <c r="AZ958" s="85"/>
    </row>
    <row r="959" spans="1:52" x14ac:dyDescent="0.25">
      <c r="A959" s="102" t="str">
        <f t="shared" si="326"/>
        <v>DS Mules MMN2O</v>
      </c>
      <c r="B959" s="102" t="s">
        <v>975</v>
      </c>
      <c r="C959" s="102" t="s">
        <v>1332</v>
      </c>
      <c r="D959" t="s">
        <v>15</v>
      </c>
      <c r="E959" t="s">
        <v>657</v>
      </c>
      <c r="F959" t="s">
        <v>140</v>
      </c>
      <c r="G959" t="s">
        <v>124</v>
      </c>
      <c r="H959" t="s">
        <v>1228</v>
      </c>
      <c r="I959" t="s">
        <v>139</v>
      </c>
      <c r="J959" t="s">
        <v>287</v>
      </c>
      <c r="K959" s="28" t="str">
        <f t="shared" si="337"/>
        <v>NO</v>
      </c>
      <c r="L959" s="28" t="str">
        <f t="shared" si="338"/>
        <v>NO</v>
      </c>
      <c r="M959" s="28" t="str">
        <f t="shared" si="338"/>
        <v>NO</v>
      </c>
      <c r="N959" s="28" t="str">
        <f t="shared" si="338"/>
        <v>NO</v>
      </c>
      <c r="O959" s="28" t="str">
        <f t="shared" si="338"/>
        <v>NO</v>
      </c>
      <c r="P959" s="28" t="str">
        <f t="shared" si="338"/>
        <v>NO</v>
      </c>
      <c r="Q959" s="28" t="str">
        <f t="shared" si="338"/>
        <v>NO</v>
      </c>
      <c r="R959" s="28" t="str">
        <f t="shared" si="338"/>
        <v>NO</v>
      </c>
      <c r="S959" s="28" t="str">
        <f t="shared" si="338"/>
        <v>NO</v>
      </c>
      <c r="T959" s="28" t="str">
        <f t="shared" si="338"/>
        <v>NO</v>
      </c>
      <c r="U959" s="28" t="str">
        <f t="shared" si="338"/>
        <v>NO</v>
      </c>
      <c r="V959" s="28" t="str">
        <f t="shared" si="338"/>
        <v>NO</v>
      </c>
      <c r="W959" s="28" t="str">
        <f t="shared" si="338"/>
        <v>NO</v>
      </c>
      <c r="X959" s="28" t="str">
        <f t="shared" si="338"/>
        <v>NO</v>
      </c>
      <c r="Y959" s="28" t="str">
        <f t="shared" si="338"/>
        <v>NO</v>
      </c>
      <c r="Z959" s="28" t="str">
        <f t="shared" si="338"/>
        <v>NO</v>
      </c>
      <c r="AA959" s="28" t="str">
        <f t="shared" si="338"/>
        <v>NO</v>
      </c>
      <c r="AB959" s="28" t="str">
        <f t="shared" si="338"/>
        <v>NO</v>
      </c>
      <c r="AC959" s="28" t="str">
        <f t="shared" si="338"/>
        <v>NO</v>
      </c>
      <c r="AD959" s="28" t="str">
        <f t="shared" si="338"/>
        <v>NO</v>
      </c>
      <c r="AE959" s="28" t="str">
        <f t="shared" si="338"/>
        <v>NO</v>
      </c>
      <c r="AF959" s="28" t="str">
        <f t="shared" si="338"/>
        <v>NO</v>
      </c>
      <c r="AG959" s="28" t="str">
        <f t="shared" si="338"/>
        <v>NO</v>
      </c>
      <c r="AH959" s="28" t="str">
        <f t="shared" si="338"/>
        <v>NO</v>
      </c>
      <c r="AI959" s="28" t="str">
        <f t="shared" si="338"/>
        <v>NO</v>
      </c>
      <c r="AJ959" s="28" t="str">
        <f t="shared" si="338"/>
        <v>NO</v>
      </c>
      <c r="AK959" s="28" t="str">
        <f t="shared" si="338"/>
        <v>NO</v>
      </c>
      <c r="AL959" s="28" t="str">
        <f t="shared" si="338"/>
        <v>NO</v>
      </c>
      <c r="AM959" s="28" t="str">
        <f t="shared" si="338"/>
        <v>NO</v>
      </c>
      <c r="AN959" s="28" t="str">
        <f t="shared" si="338"/>
        <v>NO</v>
      </c>
      <c r="AO959" s="28" t="str">
        <f t="shared" si="338"/>
        <v>NO</v>
      </c>
      <c r="AP959" s="28" t="str">
        <f t="shared" si="338"/>
        <v>NO</v>
      </c>
      <c r="AQ959" s="28" t="str">
        <f t="shared" si="338"/>
        <v>NO</v>
      </c>
      <c r="AR959" s="28" t="str">
        <f t="shared" si="338"/>
        <v>NO</v>
      </c>
      <c r="AS959" s="28" t="str">
        <f t="shared" si="338"/>
        <v>NO</v>
      </c>
      <c r="AT959" s="28" t="str">
        <f t="shared" si="338"/>
        <v>NO</v>
      </c>
      <c r="AU959" s="28" t="str">
        <f t="shared" si="338"/>
        <v>NO</v>
      </c>
      <c r="AV959" s="28" t="str">
        <f t="shared" si="338"/>
        <v>NO</v>
      </c>
      <c r="AW959" s="28" t="str">
        <f t="shared" si="338"/>
        <v>NO</v>
      </c>
      <c r="AY959" s="85"/>
      <c r="AZ959" s="85"/>
    </row>
    <row r="960" spans="1:52" x14ac:dyDescent="0.25">
      <c r="A960" s="102" t="str">
        <f t="shared" si="326"/>
        <v>DS Swine MMN2O</v>
      </c>
      <c r="B960" s="102" t="s">
        <v>975</v>
      </c>
      <c r="C960" s="102" t="s">
        <v>1234</v>
      </c>
      <c r="D960" t="s">
        <v>15</v>
      </c>
      <c r="E960" t="s">
        <v>657</v>
      </c>
      <c r="F960" t="s">
        <v>21</v>
      </c>
      <c r="G960" t="s">
        <v>122</v>
      </c>
      <c r="H960" t="s">
        <v>1228</v>
      </c>
      <c r="I960" t="s">
        <v>139</v>
      </c>
      <c r="J960" t="s">
        <v>287</v>
      </c>
      <c r="K960" s="100">
        <f>IF('Net zero activities &amp; levers'!$C$12="Off",('Activity data'!AD17*EF!$H48*EF!$H66)*NtoN2O*kgtoGg,IF('Net zero activities &amp; levers'!$C$12="PB",('Activity data'!AD17*EF!$H48*EF!$H66)*NtoN2O*kgtoGg,IF('Net zero activities &amp; levers'!$C$12="MS",('Net zero Activity data'!AD17*EF!$H48*EF!$H66)*NtoN2O*kgtoGg,"ERROR")))</f>
        <v>9.8212070321961289E-2</v>
      </c>
      <c r="L960" s="100">
        <f>IF('Net zero activities &amp; levers'!$C$12="Off",('Activity data'!AE17*EF!$H48*EF!$H66)*NtoN2O*kgtoGg,IF('Net zero activities &amp; levers'!$C$12="PB",('Activity data'!AE17*EF!$H48*EF!$H66)*NtoN2O*kgtoGg,IF('Net zero activities &amp; levers'!$C$12="MS",('Net zero Activity data'!AE17*EF!$H48*EF!$H66)*NtoN2O*kgtoGg,"ERROR")))</f>
        <v>9.7902077304524535E-2</v>
      </c>
      <c r="M960" s="100">
        <f>IF('Net zero activities &amp; levers'!$C$12="Off",('Activity data'!AF17*EF!$H48*EF!$H66)*NtoN2O*kgtoGg,IF('Net zero activities &amp; levers'!$C$12="PB",('Activity data'!AF17*EF!$H48*EF!$H66)*NtoN2O*kgtoGg,IF('Net zero activities &amp; levers'!$C$12="MS",('Net zero Activity data'!AF17*EF!$H48*EF!$H66)*NtoN2O*kgtoGg,"ERROR")))</f>
        <v>9.6876932731570997E-2</v>
      </c>
      <c r="N960" s="100">
        <f>IF('Net zero activities &amp; levers'!$C$12="Off",('Activity data'!AG17*EF!$H48*EF!$H66)*NtoN2O*kgtoGg,IF('Net zero activities &amp; levers'!$C$12="PB",('Activity data'!AG17*EF!$H48*EF!$H66)*NtoN2O*kgtoGg,IF('Net zero activities &amp; levers'!$C$12="MS",('Net zero Activity data'!AG17*EF!$H48*EF!$H66)*NtoN2O*kgtoGg,"ERROR")))</f>
        <v>9.4886481944047557E-2</v>
      </c>
      <c r="O960" s="100">
        <f>IF('Net zero activities &amp; levers'!$C$12="Off",('Activity data'!AH17*EF!$H48*EF!$H66)*NtoN2O*kgtoGg,IF('Net zero activities &amp; levers'!$C$12="PB",('Activity data'!AH17*EF!$H48*EF!$H66)*NtoN2O*kgtoGg,IF('Net zero activities &amp; levers'!$C$12="MS",('Net zero Activity data'!AH17*EF!$H48*EF!$H66)*NtoN2O*kgtoGg,"ERROR")))</f>
        <v>9.2983120414683651E-2</v>
      </c>
      <c r="P960" s="100">
        <f>IF('Net zero activities &amp; levers'!$C$12="Off",('Activity data'!AI17*EF!$H48*EF!$H66)*NtoN2O*kgtoGg,IF('Net zero activities &amp; levers'!$C$12="PB",('Activity data'!AI17*EF!$H48*EF!$H66)*NtoN2O*kgtoGg,IF('Net zero activities &amp; levers'!$C$12="MS",('Net zero Activity data'!AI17*EF!$H48*EF!$H66)*NtoN2O*kgtoGg,"ERROR")))</f>
        <v>9.1647887851288232E-2</v>
      </c>
      <c r="Q960" s="100">
        <f>IF('Net zero activities &amp; levers'!$C$12="Off",('Activity data'!AJ17*EF!$H48*EF!$H66)*NtoN2O*kgtoGg,IF('Net zero activities &amp; levers'!$C$12="PB",('Activity data'!AJ17*EF!$H48*EF!$H66)*NtoN2O*kgtoGg,IF('Net zero activities &amp; levers'!$C$12="MS",('Net zero Activity data'!AJ17*EF!$H48*EF!$H66)*NtoN2O*kgtoGg,"ERROR")))</f>
        <v>9.0517057242200105E-2</v>
      </c>
      <c r="R960" s="100">
        <f>IF('Net zero activities &amp; levers'!$C$12="Off",('Activity data'!AK17*EF!$H48*EF!$H66)*NtoN2O*kgtoGg,IF('Net zero activities &amp; levers'!$C$12="PB",('Activity data'!AK17*EF!$H48*EF!$H66)*NtoN2O*kgtoGg,IF('Net zero activities &amp; levers'!$C$12="MS",('Net zero Activity data'!AK17*EF!$H48*EF!$H66)*NtoN2O*kgtoGg,"ERROR")))</f>
        <v>8.8434751995252456E-2</v>
      </c>
      <c r="S960" s="100">
        <f>IF('Net zero activities &amp; levers'!$C$12="Off",('Activity data'!AL17*EF!$H48*EF!$H66)*NtoN2O*kgtoGg,IF('Net zero activities &amp; levers'!$C$12="PB",('Activity data'!AL17*EF!$H48*EF!$H66)*NtoN2O*kgtoGg,IF('Net zero activities &amp; levers'!$C$12="MS",('Net zero Activity data'!AL17*EF!$H48*EF!$H66)*NtoN2O*kgtoGg,"ERROR")))</f>
        <v>7.7417928691120311E-2</v>
      </c>
      <c r="T960" s="100">
        <f>IF('Net zero activities &amp; levers'!$C$12="Off",('Activity data'!AM17*EF!$H48*EF!$H66)*NtoN2O*kgtoGg,IF('Net zero activities &amp; levers'!$C$12="PB",('Activity data'!AM17*EF!$H48*EF!$H66)*NtoN2O*kgtoGg,IF('Net zero activities &amp; levers'!$C$12="MS",('Net zero Activity data'!AM17*EF!$H48*EF!$H66)*NtoN2O*kgtoGg,"ERROR")))</f>
        <v>7.7909888126779042E-2</v>
      </c>
      <c r="U960" s="100">
        <f>IF('Net zero activities &amp; levers'!$C$12="Off",('Activity data'!AN17*EF!$H48*EF!$H66)*NtoN2O*kgtoGg,IF('Net zero activities &amp; levers'!$C$12="PB",('Activity data'!AN17*EF!$H48*EF!$H66)*NtoN2O*kgtoGg,IF('Net zero activities &amp; levers'!$C$12="MS",('Net zero Activity data'!AN17*EF!$H48*EF!$H66)*NtoN2O*kgtoGg,"ERROR")))</f>
        <v>7.8156831608476335E-2</v>
      </c>
      <c r="V960" s="100">
        <f>IF('Net zero activities &amp; levers'!$C$12="Off",('Activity data'!AO17*EF!$H48*EF!$H66)*NtoN2O*kgtoGg,IF('Net zero activities &amp; levers'!$C$12="PB",('Activity data'!AO17*EF!$H48*EF!$H66)*NtoN2O*kgtoGg,IF('Net zero activities &amp; levers'!$C$12="MS",('Net zero Activity data'!AO17*EF!$H48*EF!$H66)*NtoN2O*kgtoGg,"ERROR")))</f>
        <v>7.8396909010436708E-2</v>
      </c>
      <c r="W960" s="100">
        <f>IF('Net zero activities &amp; levers'!$C$12="Off",('Activity data'!AP17*EF!$H48*EF!$H66)*NtoN2O*kgtoGg,IF('Net zero activities &amp; levers'!$C$12="PB",('Activity data'!AP17*EF!$H48*EF!$H66)*NtoN2O*kgtoGg,IF('Net zero activities &amp; levers'!$C$12="MS",('Net zero Activity data'!AP17*EF!$H48*EF!$H66)*NtoN2O*kgtoGg,"ERROR")))</f>
        <v>7.8983322674416961E-2</v>
      </c>
      <c r="X960" s="100">
        <f>IF('Net zero activities &amp; levers'!$C$12="Off",('Activity data'!AQ17*EF!$H48*EF!$H66)*NtoN2O*kgtoGg,IF('Net zero activities &amp; levers'!$C$12="PB",('Activity data'!AQ17*EF!$H48*EF!$H66)*NtoN2O*kgtoGg,IF('Net zero activities &amp; levers'!$C$12="MS",('Net zero Activity data'!AQ17*EF!$H48*EF!$H66)*NtoN2O*kgtoGg,"ERROR")))</f>
        <v>7.9550022093927919E-2</v>
      </c>
      <c r="Y960" s="100">
        <f>IF('Net zero activities &amp; levers'!$C$12="Off",('Activity data'!AR17*EF!$H48*EF!$H66)*NtoN2O*kgtoGg,IF('Net zero activities &amp; levers'!$C$12="PB",('Activity data'!AR17*EF!$H48*EF!$H66)*NtoN2O*kgtoGg,IF('Net zero activities &amp; levers'!$C$12="MS",('Net zero Activity data'!AR17*EF!$H48*EF!$H66)*NtoN2O*kgtoGg,"ERROR")))</f>
        <v>8.0200171515553365E-2</v>
      </c>
      <c r="Z960" s="100">
        <f>IF('Net zero activities &amp; levers'!$C$12="Off",('Activity data'!AS17*EF!$H48*EF!$H66)*NtoN2O*kgtoGg,IF('Net zero activities &amp; levers'!$C$12="PB",('Activity data'!AS17*EF!$H48*EF!$H66)*NtoN2O*kgtoGg,IF('Net zero activities &amp; levers'!$C$12="MS",('Net zero Activity data'!AS17*EF!$H48*EF!$H66)*NtoN2O*kgtoGg,"ERROR")))</f>
        <v>8.0745873399241927E-2</v>
      </c>
      <c r="AA960" s="100">
        <f>IF('Net zero activities &amp; levers'!$C$12="Off",('Activity data'!AT17*EF!$H48*EF!$H66)*NtoN2O*kgtoGg,IF('Net zero activities &amp; levers'!$C$12="PB",('Activity data'!AT17*EF!$H48*EF!$H66)*NtoN2O*kgtoGg,IF('Net zero activities &amp; levers'!$C$12="MS",('Net zero Activity data'!AT17*EF!$H48*EF!$H66)*NtoN2O*kgtoGg,"ERROR")))</f>
        <v>8.1401680108403665E-2</v>
      </c>
      <c r="AB960" s="100">
        <f>IF('Net zero activities &amp; levers'!$C$12="Off",('Activity data'!AU17*EF!$H48*EF!$H66)*NtoN2O*kgtoGg,IF('Net zero activities &amp; levers'!$C$12="PB",('Activity data'!AU17*EF!$H48*EF!$H66)*NtoN2O*kgtoGg,IF('Net zero activities &amp; levers'!$C$12="MS",('Net zero Activity data'!AU17*EF!$H48*EF!$H66)*NtoN2O*kgtoGg,"ERROR")))</f>
        <v>8.1879069709822755E-2</v>
      </c>
      <c r="AC960" s="100">
        <f>IF('Net zero activities &amp; levers'!$C$12="Off",('Activity data'!AV17*EF!$H48*EF!$H66)*NtoN2O*kgtoGg,IF('Net zero activities &amp; levers'!$C$12="PB",('Activity data'!AV17*EF!$H48*EF!$H66)*NtoN2O*kgtoGg,IF('Net zero activities &amp; levers'!$C$12="MS",('Net zero Activity data'!AV17*EF!$H48*EF!$H66)*NtoN2O*kgtoGg,"ERROR")))</f>
        <v>8.2381241768892818E-2</v>
      </c>
      <c r="AD960" s="100">
        <f>IF('Net zero activities &amp; levers'!$C$12="Off",('Activity data'!AW17*EF!$H48*EF!$H66)*NtoN2O*kgtoGg,IF('Net zero activities &amp; levers'!$C$12="PB",('Activity data'!AW17*EF!$H48*EF!$H66)*NtoN2O*kgtoGg,IF('Net zero activities &amp; levers'!$C$12="MS",('Net zero Activity data'!AW17*EF!$H48*EF!$H66)*NtoN2O*kgtoGg,"ERROR")))</f>
        <v>8.3307469914568902E-2</v>
      </c>
      <c r="AE960" s="100">
        <f>IF('Net zero activities &amp; levers'!$C$12="Off",('Activity data'!AX17*EF!$H48*EF!$H66)*NtoN2O*kgtoGg,IF('Net zero activities &amp; levers'!$C$12="PB",('Activity data'!AX17*EF!$H48*EF!$H66)*NtoN2O*kgtoGg,IF('Net zero activities &amp; levers'!$C$12="MS",('Net zero Activity data'!AX17*EF!$H48*EF!$H66)*NtoN2O*kgtoGg,"ERROR")))</f>
        <v>8.4389455604936589E-2</v>
      </c>
      <c r="AF960" s="100">
        <f>IF('Net zero activities &amp; levers'!$C$12="Off",('Activity data'!AY17*EF!$H48*EF!$H66)*NtoN2O*kgtoGg,IF('Net zero activities &amp; levers'!$C$12="PB",('Activity data'!AY17*EF!$H48*EF!$H66)*NtoN2O*kgtoGg,IF('Net zero activities &amp; levers'!$C$12="MS",('Net zero Activity data'!AY17*EF!$H48*EF!$H66)*NtoN2O*kgtoGg,"ERROR")))</f>
        <v>8.5509115768420865E-2</v>
      </c>
      <c r="AG960" s="100">
        <f>IF('Net zero activities &amp; levers'!$C$12="Off",('Activity data'!AZ17*EF!$H48*EF!$H66)*NtoN2O*kgtoGg,IF('Net zero activities &amp; levers'!$C$12="PB",('Activity data'!AZ17*EF!$H48*EF!$H66)*NtoN2O*kgtoGg,IF('Net zero activities &amp; levers'!$C$12="MS",('Net zero Activity data'!AZ17*EF!$H48*EF!$H66)*NtoN2O*kgtoGg,"ERROR")))</f>
        <v>8.4250717613193291E-2</v>
      </c>
      <c r="AH960" s="100">
        <f>IF('Net zero activities &amp; levers'!$C$12="Off",('Activity data'!BA17*EF!$H48*EF!$H66)*NtoN2O*kgtoGg,IF('Net zero activities &amp; levers'!$C$12="PB",('Activity data'!BA17*EF!$H48*EF!$H66)*NtoN2O*kgtoGg,IF('Net zero activities &amp; levers'!$C$12="MS",('Net zero Activity data'!BA17*EF!$H48*EF!$H66)*NtoN2O*kgtoGg,"ERROR")))</f>
        <v>-2.8426820502850808E-2</v>
      </c>
      <c r="AI960" s="100">
        <f>IF('Net zero activities &amp; levers'!$C$12="Off",('Activity data'!BB17*EF!$H48*EF!$H66)*NtoN2O*kgtoGg,IF('Net zero activities &amp; levers'!$C$12="PB",('Activity data'!BB17*EF!$H48*EF!$H66)*NtoN2O*kgtoGg,IF('Net zero activities &amp; levers'!$C$12="MS",('Net zero Activity data'!BB17*EF!$H48*EF!$H66)*NtoN2O*kgtoGg,"ERROR")))</f>
        <v>-2.8115877001178527E-2</v>
      </c>
      <c r="AJ960" s="100">
        <f>IF('Net zero activities &amp; levers'!$C$12="Off",('Activity data'!BC17*EF!$H48*EF!$H66)*NtoN2O*kgtoGg,IF('Net zero activities &amp; levers'!$C$12="PB",('Activity data'!BC17*EF!$H48*EF!$H66)*NtoN2O*kgtoGg,IF('Net zero activities &amp; levers'!$C$12="MS",('Net zero Activity data'!BC17*EF!$H48*EF!$H66)*NtoN2O*kgtoGg,"ERROR")))</f>
        <v>-2.7811593466985605E-2</v>
      </c>
      <c r="AK960" s="100">
        <f>IF('Net zero activities &amp; levers'!$C$12="Off",('Activity data'!BD17*EF!$H48*EF!$H66)*NtoN2O*kgtoGg,IF('Net zero activities &amp; levers'!$C$12="PB",('Activity data'!BD17*EF!$H48*EF!$H66)*NtoN2O*kgtoGg,IF('Net zero activities &amp; levers'!$C$12="MS",('Net zero Activity data'!BD17*EF!$H48*EF!$H66)*NtoN2O*kgtoGg,"ERROR")))</f>
        <v>-2.7513534213570397E-2</v>
      </c>
      <c r="AL960" s="100">
        <f>IF('Net zero activities &amp; levers'!$C$12="Off",('Activity data'!BE17*EF!$H48*EF!$H66)*NtoN2O*kgtoGg,IF('Net zero activities &amp; levers'!$C$12="PB",('Activity data'!BE17*EF!$H48*EF!$H66)*NtoN2O*kgtoGg,IF('Net zero activities &amp; levers'!$C$12="MS",('Net zero Activity data'!BE17*EF!$H48*EF!$H66)*NtoN2O*kgtoGg,"ERROR")))</f>
        <v>-2.7221295455261082E-2</v>
      </c>
      <c r="AM960" s="100">
        <f>IF('Net zero activities &amp; levers'!$C$12="Off",('Activity data'!BF17*EF!$H48*EF!$H66)*NtoN2O*kgtoGg,IF('Net zero activities &amp; levers'!$C$12="PB",('Activity data'!BF17*EF!$H48*EF!$H66)*NtoN2O*kgtoGg,IF('Net zero activities &amp; levers'!$C$12="MS",('Net zero Activity data'!BF17*EF!$H48*EF!$H66)*NtoN2O*kgtoGg,"ERROR")))</f>
        <v>-2.6934502222400951E-2</v>
      </c>
      <c r="AN960" s="100">
        <f>IF('Net zero activities &amp; levers'!$C$12="Off",('Activity data'!BG17*EF!$H48*EF!$H66)*NtoN2O*kgtoGg,IF('Net zero activities &amp; levers'!$C$12="PB",('Activity data'!BG17*EF!$H48*EF!$H66)*NtoN2O*kgtoGg,IF('Net zero activities &amp; levers'!$C$12="MS",('Net zero Activity data'!BG17*EF!$H48*EF!$H66)*NtoN2O*kgtoGg,"ERROR")))</f>
        <v>-2.6619947187312407E-2</v>
      </c>
      <c r="AO960" s="100">
        <f>IF('Net zero activities &amp; levers'!$C$12="Off",('Activity data'!BH17*EF!$H48*EF!$H66)*NtoN2O*kgtoGg,IF('Net zero activities &amp; levers'!$C$12="PB",('Activity data'!BH17*EF!$H48*EF!$H66)*NtoN2O*kgtoGg,IF('Net zero activities &amp; levers'!$C$12="MS",('Net zero Activity data'!BH17*EF!$H48*EF!$H66)*NtoN2O*kgtoGg,"ERROR")))</f>
        <v>-2.6310938201629927E-2</v>
      </c>
      <c r="AP960" s="100">
        <f>IF('Net zero activities &amp; levers'!$C$12="Off",('Activity data'!BI17*EF!$H48*EF!$H66)*NtoN2O*kgtoGg,IF('Net zero activities &amp; levers'!$C$12="PB",('Activity data'!BI17*EF!$H48*EF!$H66)*NtoN2O*kgtoGg,IF('Net zero activities &amp; levers'!$C$12="MS",('Net zero Activity data'!BI17*EF!$H48*EF!$H66)*NtoN2O*kgtoGg,"ERROR")))</f>
        <v>-2.600715135070272E-2</v>
      </c>
      <c r="AQ960" s="100">
        <f>IF('Net zero activities &amp; levers'!$C$12="Off",('Activity data'!BJ17*EF!$H48*EF!$H66)*NtoN2O*kgtoGg,IF('Net zero activities &amp; levers'!$C$12="PB",('Activity data'!BJ17*EF!$H48*EF!$H66)*NtoN2O*kgtoGg,IF('Net zero activities &amp; levers'!$C$12="MS",('Net zero Activity data'!BJ17*EF!$H48*EF!$H66)*NtoN2O*kgtoGg,"ERROR")))</f>
        <v>-2.5708283877268884E-2</v>
      </c>
      <c r="AR960" s="100">
        <f>IF('Net zero activities &amp; levers'!$C$12="Off",('Activity data'!BK17*EF!$H48*EF!$H66)*NtoN2O*kgtoGg,IF('Net zero activities &amp; levers'!$C$12="PB",('Activity data'!BK17*EF!$H48*EF!$H66)*NtoN2O*kgtoGg,IF('Net zero activities &amp; levers'!$C$12="MS",('Net zero Activity data'!BK17*EF!$H48*EF!$H66)*NtoN2O*kgtoGg,"ERROR")))</f>
        <v>-2.5414052353403601E-2</v>
      </c>
      <c r="AS960" s="100">
        <f>IF('Net zero activities &amp; levers'!$C$12="Off",('Activity data'!BL17*EF!$H48*EF!$H66)*NtoN2O*kgtoGg,IF('Net zero activities &amp; levers'!$C$12="PB",('Activity data'!BL17*EF!$H48*EF!$H66)*NtoN2O*kgtoGg,IF('Net zero activities &amp; levers'!$C$12="MS",('Net zero Activity data'!BL17*EF!$H48*EF!$H66)*NtoN2O*kgtoGg,"ERROR")))</f>
        <v>-2.5093405862334557E-2</v>
      </c>
      <c r="AT960" s="100">
        <f>IF('Net zero activities &amp; levers'!$C$12="Off",('Activity data'!BM17*EF!$H48*EF!$H66)*NtoN2O*kgtoGg,IF('Net zero activities &amp; levers'!$C$12="PB",('Activity data'!BM17*EF!$H48*EF!$H66)*NtoN2O*kgtoGg,IF('Net zero activities &amp; levers'!$C$12="MS",('Net zero Activity data'!BM17*EF!$H48*EF!$H66)*NtoN2O*kgtoGg,"ERROR")))</f>
        <v>-2.4777656809122427E-2</v>
      </c>
      <c r="AU960" s="100">
        <f>IF('Net zero activities &amp; levers'!$C$12="Off",('Activity data'!BN17*EF!$H48*EF!$H66)*NtoN2O*kgtoGg,IF('Net zero activities &amp; levers'!$C$12="PB",('Activity data'!BN17*EF!$H48*EF!$H66)*NtoN2O*kgtoGg,IF('Net zero activities &amp; levers'!$C$12="MS",('Net zero Activity data'!BN17*EF!$H48*EF!$H66)*NtoN2O*kgtoGg,"ERROR")))</f>
        <v>-2.4466553104711776E-2</v>
      </c>
      <c r="AV960" s="100">
        <f>IF('Net zero activities &amp; levers'!$C$12="Off",('Activity data'!BO17*EF!$H48*EF!$H66)*NtoN2O*kgtoGg,IF('Net zero activities &amp; levers'!$C$12="PB",('Activity data'!BO17*EF!$H48*EF!$H66)*NtoN2O*kgtoGg,IF('Net zero activities &amp; levers'!$C$12="MS",('Net zero Activity data'!BO17*EF!$H48*EF!$H66)*NtoN2O*kgtoGg,"ERROR")))</f>
        <v>-2.415985755435068E-2</v>
      </c>
      <c r="AW960" s="100">
        <f>IF('Net zero activities &amp; levers'!$C$12="Off",('Activity data'!BP17*EF!$H48*EF!$H66)*NtoN2O*kgtoGg,IF('Net zero activities &amp; levers'!$C$12="PB",('Activity data'!BP17*EF!$H48*EF!$H66)*NtoN2O*kgtoGg,IF('Net zero activities &amp; levers'!$C$12="MS",('Net zero Activity data'!BP17*EF!$H48*EF!$H66)*NtoN2O*kgtoGg,"ERROR")))</f>
        <v>-2.3857346696324909E-2</v>
      </c>
      <c r="AY960" s="85"/>
      <c r="AZ960" s="85"/>
    </row>
    <row r="961" spans="1:52" x14ac:dyDescent="0.25">
      <c r="A961" s="102" t="str">
        <f t="shared" si="326"/>
        <v>DS Swine MMN2O</v>
      </c>
      <c r="B961" s="102" t="s">
        <v>975</v>
      </c>
      <c r="C961" s="102" t="s">
        <v>1234</v>
      </c>
      <c r="D961" t="s">
        <v>15</v>
      </c>
      <c r="E961" t="s">
        <v>657</v>
      </c>
      <c r="F961" t="s">
        <v>21</v>
      </c>
      <c r="G961" t="s">
        <v>123</v>
      </c>
      <c r="H961" t="s">
        <v>1228</v>
      </c>
      <c r="I961" t="s">
        <v>139</v>
      </c>
      <c r="J961" t="s">
        <v>287</v>
      </c>
      <c r="K961" s="100">
        <f>IF('Net zero activities &amp; levers'!$C$12="Off",('Activity data'!AD18*EF!$H49*EF!$H67)*NtoN2O*kgtoGg,IF('Net zero activities &amp; levers'!$C$12="PB",('Activity data'!AD18*EF!$H49*EF!$H67)*NtoN2O*kgtoGg,IF('Net zero activities &amp; levers'!$C$12="MS",('Net zero Activity data'!AD18*EF!$H49*EF!$H67)*NtoN2O*kgtoGg,"ERROR")))</f>
        <v>3.8422550388835235E-2</v>
      </c>
      <c r="L961" s="100">
        <f>IF('Net zero activities &amp; levers'!$C$12="Off",('Activity data'!AE18*EF!$H49*EF!$H67)*NtoN2O*kgtoGg,IF('Net zero activities &amp; levers'!$C$12="PB",('Activity data'!AE18*EF!$H49*EF!$H67)*NtoN2O*kgtoGg,IF('Net zero activities &amp; levers'!$C$12="MS",('Net zero Activity data'!AE18*EF!$H49*EF!$H67)*NtoN2O*kgtoGg,"ERROR")))</f>
        <v>3.8301274844051346E-2</v>
      </c>
      <c r="M961" s="100">
        <f>IF('Net zero activities &amp; levers'!$C$12="Off",('Activity data'!AF18*EF!$H49*EF!$H67)*NtoN2O*kgtoGg,IF('Net zero activities &amp; levers'!$C$12="PB",('Activity data'!AF18*EF!$H49*EF!$H67)*NtoN2O*kgtoGg,IF('Net zero activities &amp; levers'!$C$12="MS",('Net zero Activity data'!AF18*EF!$H49*EF!$H67)*NtoN2O*kgtoGg,"ERROR")))</f>
        <v>3.7900217531227944E-2</v>
      </c>
      <c r="N961" s="100">
        <f>IF('Net zero activities &amp; levers'!$C$12="Off",('Activity data'!AG18*EF!$H49*EF!$H67)*NtoN2O*kgtoGg,IF('Net zero activities &amp; levers'!$C$12="PB",('Activity data'!AG18*EF!$H49*EF!$H67)*NtoN2O*kgtoGg,IF('Net zero activities &amp; levers'!$C$12="MS",('Net zero Activity data'!AG18*EF!$H49*EF!$H67)*NtoN2O*kgtoGg,"ERROR")))</f>
        <v>3.712151288291534E-2</v>
      </c>
      <c r="O961" s="100">
        <f>IF('Net zero activities &amp; levers'!$C$12="Off",('Activity data'!AH18*EF!$H49*EF!$H67)*NtoN2O*kgtoGg,IF('Net zero activities &amp; levers'!$C$12="PB",('Activity data'!AH18*EF!$H49*EF!$H67)*NtoN2O*kgtoGg,IF('Net zero activities &amp; levers'!$C$12="MS",('Net zero Activity data'!AH18*EF!$H49*EF!$H67)*NtoN2O*kgtoGg,"ERROR")))</f>
        <v>3.6376879315672413E-2</v>
      </c>
      <c r="P961" s="100">
        <f>IF('Net zero activities &amp; levers'!$C$12="Off",('Activity data'!AI18*EF!$H49*EF!$H67)*NtoN2O*kgtoGg,IF('Net zero activities &amp; levers'!$C$12="PB",('Activity data'!AI18*EF!$H49*EF!$H67)*NtoN2O*kgtoGg,IF('Net zero activities &amp; levers'!$C$12="MS",('Net zero Activity data'!AI18*EF!$H49*EF!$H67)*NtoN2O*kgtoGg,"ERROR")))</f>
        <v>3.5854509302702606E-2</v>
      </c>
      <c r="Q961" s="100">
        <f>IF('Net zero activities &amp; levers'!$C$12="Off",('Activity data'!AJ18*EF!$H49*EF!$H67)*NtoN2O*kgtoGg,IF('Net zero activities &amp; levers'!$C$12="PB",('Activity data'!AJ18*EF!$H49*EF!$H67)*NtoN2O*kgtoGg,IF('Net zero activities &amp; levers'!$C$12="MS",('Net zero Activity data'!AJ18*EF!$H49*EF!$H67)*NtoN2O*kgtoGg,"ERROR")))</f>
        <v>3.5412105472740686E-2</v>
      </c>
      <c r="R961" s="100">
        <f>IF('Net zero activities &amp; levers'!$C$12="Off",('Activity data'!AK18*EF!$H49*EF!$H67)*NtoN2O*kgtoGg,IF('Net zero activities &amp; levers'!$C$12="PB",('Activity data'!AK18*EF!$H49*EF!$H67)*NtoN2O*kgtoGg,IF('Net zero activities &amp; levers'!$C$12="MS",('Net zero Activity data'!AK18*EF!$H49*EF!$H67)*NtoN2O*kgtoGg,"ERROR")))</f>
        <v>3.4597465500143629E-2</v>
      </c>
      <c r="S961" s="100">
        <f>IF('Net zero activities &amp; levers'!$C$12="Off",('Activity data'!AL18*EF!$H49*EF!$H67)*NtoN2O*kgtoGg,IF('Net zero activities &amp; levers'!$C$12="PB",('Activity data'!AL18*EF!$H49*EF!$H67)*NtoN2O*kgtoGg,IF('Net zero activities &amp; levers'!$C$12="MS",('Net zero Activity data'!AL18*EF!$H49*EF!$H67)*NtoN2O*kgtoGg,"ERROR")))</f>
        <v>3.0287461168290553E-2</v>
      </c>
      <c r="T961" s="100">
        <f>IF('Net zero activities &amp; levers'!$C$12="Off",('Activity data'!AM18*EF!$H49*EF!$H67)*NtoN2O*kgtoGg,IF('Net zero activities &amp; levers'!$C$12="PB",('Activity data'!AM18*EF!$H49*EF!$H67)*NtoN2O*kgtoGg,IF('Net zero activities &amp; levers'!$C$12="MS",('Net zero Activity data'!AM18*EF!$H49*EF!$H67)*NtoN2O*kgtoGg,"ERROR")))</f>
        <v>3.0479925660118236E-2</v>
      </c>
      <c r="U961" s="100">
        <f>IF('Net zero activities &amp; levers'!$C$12="Off",('Activity data'!AN18*EF!$H49*EF!$H67)*NtoN2O*kgtoGg,IF('Net zero activities &amp; levers'!$C$12="PB",('Activity data'!AN18*EF!$H49*EF!$H67)*NtoN2O*kgtoGg,IF('Net zero activities &amp; levers'!$C$12="MS",('Net zero Activity data'!AN18*EF!$H49*EF!$H67)*NtoN2O*kgtoGg,"ERROR")))</f>
        <v>3.0576534949970324E-2</v>
      </c>
      <c r="V961" s="100">
        <f>IF('Net zero activities &amp; levers'!$C$12="Off",('Activity data'!AO18*EF!$H49*EF!$H67)*NtoN2O*kgtoGg,IF('Net zero activities &amp; levers'!$C$12="PB",('Activity data'!AO18*EF!$H49*EF!$H67)*NtoN2O*kgtoGg,IF('Net zero activities &amp; levers'!$C$12="MS",('Net zero Activity data'!AO18*EF!$H49*EF!$H67)*NtoN2O*kgtoGg,"ERROR")))</f>
        <v>3.0670458090413286E-2</v>
      </c>
      <c r="W961" s="100">
        <f>IF('Net zero activities &amp; levers'!$C$12="Off",('Activity data'!AP18*EF!$H49*EF!$H67)*NtoN2O*kgtoGg,IF('Net zero activities &amp; levers'!$C$12="PB",('Activity data'!AP18*EF!$H49*EF!$H67)*NtoN2O*kgtoGg,IF('Net zero activities &amp; levers'!$C$12="MS",('Net zero Activity data'!AP18*EF!$H49*EF!$H67)*NtoN2O*kgtoGg,"ERROR")))</f>
        <v>3.0899874988755002E-2</v>
      </c>
      <c r="X961" s="100">
        <f>IF('Net zero activities &amp; levers'!$C$12="Off",('Activity data'!AQ18*EF!$H49*EF!$H67)*NtoN2O*kgtoGg,IF('Net zero activities &amp; levers'!$C$12="PB",('Activity data'!AQ18*EF!$H49*EF!$H67)*NtoN2O*kgtoGg,IF('Net zero activities &amp; levers'!$C$12="MS",('Net zero Activity data'!AQ18*EF!$H49*EF!$H67)*NtoN2O*kgtoGg,"ERROR")))</f>
        <v>3.1121579275510219E-2</v>
      </c>
      <c r="Y961" s="100">
        <f>IF('Net zero activities &amp; levers'!$C$12="Off",('Activity data'!AR18*EF!$H49*EF!$H67)*NtoN2O*kgtoGg,IF('Net zero activities &amp; levers'!$C$12="PB",('Activity data'!AR18*EF!$H49*EF!$H67)*NtoN2O*kgtoGg,IF('Net zero activities &amp; levers'!$C$12="MS",('Net zero Activity data'!AR18*EF!$H49*EF!$H67)*NtoN2O*kgtoGg,"ERROR")))</f>
        <v>3.1375930892687053E-2</v>
      </c>
      <c r="Z961" s="100">
        <f>IF('Net zero activities &amp; levers'!$C$12="Off",('Activity data'!AS18*EF!$H49*EF!$H67)*NtoN2O*kgtoGg,IF('Net zero activities &amp; levers'!$C$12="PB",('Activity data'!AS18*EF!$H49*EF!$H67)*NtoN2O*kgtoGg,IF('Net zero activities &amp; levers'!$C$12="MS",('Net zero Activity data'!AS18*EF!$H49*EF!$H67)*NtoN2O*kgtoGg,"ERROR")))</f>
        <v>3.1589420518295906E-2</v>
      </c>
      <c r="AA961" s="100">
        <f>IF('Net zero activities &amp; levers'!$C$12="Off",('Activity data'!AT18*EF!$H49*EF!$H67)*NtoN2O*kgtoGg,IF('Net zero activities &amp; levers'!$C$12="PB",('Activity data'!AT18*EF!$H49*EF!$H67)*NtoN2O*kgtoGg,IF('Net zero activities &amp; levers'!$C$12="MS",('Net zero Activity data'!AT18*EF!$H49*EF!$H67)*NtoN2O*kgtoGg,"ERROR")))</f>
        <v>3.1845985380898841E-2</v>
      </c>
      <c r="AB961" s="100">
        <f>IF('Net zero activities &amp; levers'!$C$12="Off",('Activity data'!AU18*EF!$H49*EF!$H67)*NtoN2O*kgtoGg,IF('Net zero activities &amp; levers'!$C$12="PB",('Activity data'!AU18*EF!$H49*EF!$H67)*NtoN2O*kgtoGg,IF('Net zero activities &amp; levers'!$C$12="MS",('Net zero Activity data'!AU18*EF!$H49*EF!$H67)*NtoN2O*kgtoGg,"ERROR")))</f>
        <v>3.2032749858579623E-2</v>
      </c>
      <c r="AC961" s="100">
        <f>IF('Net zero activities &amp; levers'!$C$12="Off",('Activity data'!AV18*EF!$H49*EF!$H67)*NtoN2O*kgtoGg,IF('Net zero activities &amp; levers'!$C$12="PB",('Activity data'!AV18*EF!$H49*EF!$H67)*NtoN2O*kgtoGg,IF('Net zero activities &amp; levers'!$C$12="MS",('Net zero Activity data'!AV18*EF!$H49*EF!$H67)*NtoN2O*kgtoGg,"ERROR")))</f>
        <v>3.222920973545864E-2</v>
      </c>
      <c r="AD961" s="100">
        <f>IF('Net zero activities &amp; levers'!$C$12="Off",('Activity data'!AW18*EF!$H49*EF!$H67)*NtoN2O*kgtoGg,IF('Net zero activities &amp; levers'!$C$12="PB",('Activity data'!AW18*EF!$H49*EF!$H67)*NtoN2O*kgtoGg,IF('Net zero activities &amp; levers'!$C$12="MS",('Net zero Activity data'!AW18*EF!$H49*EF!$H67)*NtoN2O*kgtoGg,"ERROR")))</f>
        <v>3.2591568939191247E-2</v>
      </c>
      <c r="AE961" s="100">
        <f>IF('Net zero activities &amp; levers'!$C$12="Off",('Activity data'!AX18*EF!$H49*EF!$H67)*NtoN2O*kgtoGg,IF('Net zero activities &amp; levers'!$C$12="PB",('Activity data'!AX18*EF!$H49*EF!$H67)*NtoN2O*kgtoGg,IF('Net zero activities &amp; levers'!$C$12="MS",('Net zero Activity data'!AX18*EF!$H49*EF!$H67)*NtoN2O*kgtoGg,"ERROR")))</f>
        <v>3.3014863647997064E-2</v>
      </c>
      <c r="AF961" s="100">
        <f>IF('Net zero activities &amp; levers'!$C$12="Off",('Activity data'!AY18*EF!$H49*EF!$H67)*NtoN2O*kgtoGg,IF('Net zero activities &amp; levers'!$C$12="PB",('Activity data'!AY18*EF!$H49*EF!$H67)*NtoN2O*kgtoGg,IF('Net zero activities &amp; levers'!$C$12="MS",('Net zero Activity data'!AY18*EF!$H49*EF!$H67)*NtoN2O*kgtoGg,"ERROR")))</f>
        <v>3.345289737347313E-2</v>
      </c>
      <c r="AG961" s="100">
        <f>IF('Net zero activities &amp; levers'!$C$12="Off",('Activity data'!AZ18*EF!$H49*EF!$H67)*NtoN2O*kgtoGg,IF('Net zero activities &amp; levers'!$C$12="PB",('Activity data'!AZ18*EF!$H49*EF!$H67)*NtoN2O*kgtoGg,IF('Net zero activities &amp; levers'!$C$12="MS",('Net zero Activity data'!AZ18*EF!$H49*EF!$H67)*NtoN2O*kgtoGg,"ERROR")))</f>
        <v>3.2960586536628499E-2</v>
      </c>
      <c r="AH961" s="100">
        <f>IF('Net zero activities &amp; levers'!$C$12="Off",('Activity data'!BA18*EF!$H49*EF!$H67)*NtoN2O*kgtoGg,IF('Net zero activities &amp; levers'!$C$12="PB",('Activity data'!BA18*EF!$H49*EF!$H67)*NtoN2O*kgtoGg,IF('Net zero activities &amp; levers'!$C$12="MS",('Net zero Activity data'!BA18*EF!$H49*EF!$H67)*NtoN2O*kgtoGg,"ERROR")))</f>
        <v>-1.112114773249949E-2</v>
      </c>
      <c r="AI961" s="100">
        <f>IF('Net zero activities &amp; levers'!$C$12="Off",('Activity data'!BB18*EF!$H49*EF!$H67)*NtoN2O*kgtoGg,IF('Net zero activities &amp; levers'!$C$12="PB",('Activity data'!BB18*EF!$H49*EF!$H67)*NtoN2O*kgtoGg,IF('Net zero activities &amp; levers'!$C$12="MS",('Net zero Activity data'!BB18*EF!$H49*EF!$H67)*NtoN2O*kgtoGg,"ERROR")))</f>
        <v>-1.0999500339038397E-2</v>
      </c>
      <c r="AJ961" s="100">
        <f>IF('Net zero activities &amp; levers'!$C$12="Off",('Activity data'!BC18*EF!$H49*EF!$H67)*NtoN2O*kgtoGg,IF('Net zero activities &amp; levers'!$C$12="PB",('Activity data'!BC18*EF!$H49*EF!$H67)*NtoN2O*kgtoGg,IF('Net zero activities &amp; levers'!$C$12="MS",('Net zero Activity data'!BC18*EF!$H49*EF!$H67)*NtoN2O*kgtoGg,"ERROR")))</f>
        <v>-1.0880458459698174E-2</v>
      </c>
      <c r="AK961" s="100">
        <f>IF('Net zero activities &amp; levers'!$C$12="Off",('Activity data'!BD18*EF!$H49*EF!$H67)*NtoN2O*kgtoGg,IF('Net zero activities &amp; levers'!$C$12="PB",('Activity data'!BD18*EF!$H49*EF!$H67)*NtoN2O*kgtoGg,IF('Net zero activities &amp; levers'!$C$12="MS",('Net zero Activity data'!BD18*EF!$H49*EF!$H67)*NtoN2O*kgtoGg,"ERROR")))</f>
        <v>-1.0763851645019877E-2</v>
      </c>
      <c r="AL961" s="100">
        <f>IF('Net zero activities &amp; levers'!$C$12="Off",('Activity data'!BE18*EF!$H49*EF!$H67)*NtoN2O*kgtoGg,IF('Net zero activities &amp; levers'!$C$12="PB",('Activity data'!BE18*EF!$H49*EF!$H67)*NtoN2O*kgtoGg,IF('Net zero activities &amp; levers'!$C$12="MS",('Net zero Activity data'!BE18*EF!$H49*EF!$H67)*NtoN2O*kgtoGg,"ERROR")))</f>
        <v>-1.0649521925873338E-2</v>
      </c>
      <c r="AM961" s="100">
        <f>IF('Net zero activities &amp; levers'!$C$12="Off",('Activity data'!BF18*EF!$H49*EF!$H67)*NtoN2O*kgtoGg,IF('Net zero activities &amp; levers'!$C$12="PB",('Activity data'!BF18*EF!$H49*EF!$H67)*NtoN2O*kgtoGg,IF('Net zero activities &amp; levers'!$C$12="MS",('Net zero Activity data'!BF18*EF!$H49*EF!$H67)*NtoN2O*kgtoGg,"ERROR")))</f>
        <v>-1.0537322606536911E-2</v>
      </c>
      <c r="AN961" s="100">
        <f>IF('Net zero activities &amp; levers'!$C$12="Off",('Activity data'!BG18*EF!$H49*EF!$H67)*NtoN2O*kgtoGg,IF('Net zero activities &amp; levers'!$C$12="PB",('Activity data'!BG18*EF!$H49*EF!$H67)*NtoN2O*kgtoGg,IF('Net zero activities &amp; levers'!$C$12="MS",('Net zero Activity data'!BG18*EF!$H49*EF!$H67)*NtoN2O*kgtoGg,"ERROR")))</f>
        <v>-1.0414262308081425E-2</v>
      </c>
      <c r="AO961" s="100">
        <f>IF('Net zero activities &amp; levers'!$C$12="Off",('Activity data'!BH18*EF!$H49*EF!$H67)*NtoN2O*kgtoGg,IF('Net zero activities &amp; levers'!$C$12="PB",('Activity data'!BH18*EF!$H49*EF!$H67)*NtoN2O*kgtoGg,IF('Net zero activities &amp; levers'!$C$12="MS",('Net zero Activity data'!BH18*EF!$H49*EF!$H67)*NtoN2O*kgtoGg,"ERROR")))</f>
        <v>-1.0293371736443279E-2</v>
      </c>
      <c r="AP961" s="100">
        <f>IF('Net zero activities &amp; levers'!$C$12="Off",('Activity data'!BI18*EF!$H49*EF!$H67)*NtoN2O*kgtoGg,IF('Net zero activities &amp; levers'!$C$12="PB",('Activity data'!BI18*EF!$H49*EF!$H67)*NtoN2O*kgtoGg,IF('Net zero activities &amp; levers'!$C$12="MS",('Net zero Activity data'!BI18*EF!$H49*EF!$H67)*NtoN2O*kgtoGg,"ERROR")))</f>
        <v>-1.0174524169652843E-2</v>
      </c>
      <c r="AQ961" s="100">
        <f>IF('Net zero activities &amp; levers'!$C$12="Off",('Activity data'!BJ18*EF!$H49*EF!$H67)*NtoN2O*kgtoGg,IF('Net zero activities &amp; levers'!$C$12="PB",('Activity data'!BJ18*EF!$H49*EF!$H67)*NtoN2O*kgtoGg,IF('Net zero activities &amp; levers'!$C$12="MS",('Net zero Activity data'!BJ18*EF!$H49*EF!$H67)*NtoN2O*kgtoGg,"ERROR")))</f>
        <v>-1.0057601162939404E-2</v>
      </c>
      <c r="AR961" s="100">
        <f>IF('Net zero activities &amp; levers'!$C$12="Off",('Activity data'!BK18*EF!$H49*EF!$H67)*NtoN2O*kgtoGg,IF('Net zero activities &amp; levers'!$C$12="PB",('Activity data'!BK18*EF!$H49*EF!$H67)*NtoN2O*kgtoGg,IF('Net zero activities &amp; levers'!$C$12="MS",('Net zero Activity data'!BK18*EF!$H49*EF!$H67)*NtoN2O*kgtoGg,"ERROR")))</f>
        <v>-9.9424918335602689E-3</v>
      </c>
      <c r="AS961" s="100">
        <f>IF('Net zero activities &amp; levers'!$C$12="Off",('Activity data'!BL18*EF!$H49*EF!$H67)*NtoN2O*kgtoGg,IF('Net zero activities &amp; levers'!$C$12="PB",('Activity data'!BL18*EF!$H49*EF!$H67)*NtoN2O*kgtoGg,IF('Net zero activities &amp; levers'!$C$12="MS",('Net zero Activity data'!BL18*EF!$H49*EF!$H67)*NtoN2O*kgtoGg,"ERROR")))</f>
        <v>-9.8170484341927999E-3</v>
      </c>
      <c r="AT961" s="100">
        <f>IF('Net zero activities &amp; levers'!$C$12="Off",('Activity data'!BM18*EF!$H49*EF!$H67)*NtoN2O*kgtoGg,IF('Net zero activities &amp; levers'!$C$12="PB",('Activity data'!BM18*EF!$H49*EF!$H67)*NtoN2O*kgtoGg,IF('Net zero activities &amp; levers'!$C$12="MS",('Net zero Activity data'!BM18*EF!$H49*EF!$H67)*NtoN2O*kgtoGg,"ERROR")))</f>
        <v>-9.6935210116723403E-3</v>
      </c>
      <c r="AU961" s="100">
        <f>IF('Net zero activities &amp; levers'!$C$12="Off",('Activity data'!BN18*EF!$H49*EF!$H67)*NtoN2O*kgtoGg,IF('Net zero activities &amp; levers'!$C$12="PB",('Activity data'!BN18*EF!$H49*EF!$H67)*NtoN2O*kgtoGg,IF('Net zero activities &amp; levers'!$C$12="MS",('Net zero Activity data'!BN18*EF!$H49*EF!$H67)*NtoN2O*kgtoGg,"ERROR")))</f>
        <v>-9.5718109436564065E-3</v>
      </c>
      <c r="AV961" s="100">
        <f>IF('Net zero activities &amp; levers'!$C$12="Off",('Activity data'!BO18*EF!$H49*EF!$H67)*NtoN2O*kgtoGg,IF('Net zero activities &amp; levers'!$C$12="PB",('Activity data'!BO18*EF!$H49*EF!$H67)*NtoN2O*kgtoGg,IF('Net zero activities &amp; levers'!$C$12="MS",('Net zero Activity data'!BO18*EF!$H49*EF!$H67)*NtoN2O*kgtoGg,"ERROR")))</f>
        <v>-9.4518254347556157E-3</v>
      </c>
      <c r="AW961" s="100">
        <f>IF('Net zero activities &amp; levers'!$C$12="Off",('Activity data'!BP18*EF!$H49*EF!$H67)*NtoN2O*kgtoGg,IF('Net zero activities &amp; levers'!$C$12="PB",('Activity data'!BP18*EF!$H49*EF!$H67)*NtoN2O*kgtoGg,IF('Net zero activities &amp; levers'!$C$12="MS",('Net zero Activity data'!BP18*EF!$H49*EF!$H67)*NtoN2O*kgtoGg,"ERROR")))</f>
        <v>-9.3334770622229783E-3</v>
      </c>
      <c r="AY961" s="85"/>
      <c r="AZ961" s="85"/>
    </row>
    <row r="962" spans="1:52" x14ac:dyDescent="0.25">
      <c r="A962" s="102" t="str">
        <f t="shared" si="326"/>
        <v>DS Poultry MMN2O</v>
      </c>
      <c r="B962" s="102" t="s">
        <v>975</v>
      </c>
      <c r="C962" s="102" t="s">
        <v>1235</v>
      </c>
      <c r="D962" t="s">
        <v>15</v>
      </c>
      <c r="E962" t="s">
        <v>657</v>
      </c>
      <c r="F962" t="s">
        <v>28</v>
      </c>
      <c r="G962" t="s">
        <v>131</v>
      </c>
      <c r="H962" t="s">
        <v>1228</v>
      </c>
      <c r="I962" t="s">
        <v>139</v>
      </c>
      <c r="J962" t="s">
        <v>287</v>
      </c>
      <c r="K962" s="100">
        <f>IF('Net zero activities &amp; levers'!$C$12="Off",('Activity data'!AD19*EF!$H50*EF!$H68)*NtoN2O*kgtoGg,IF('Net zero activities &amp; levers'!$C$12="PB",('Activity data'!AD19*EF!$H50*EF!$H68)*NtoN2O*kgtoGg,IF('Net zero activities &amp; levers'!$C$12="MS",('Net zero Activity data'!AD19*EF!$H50*EF!$H68)*NtoN2O*kgtoGg,"ERROR")))</f>
        <v>0.32963485119754937</v>
      </c>
      <c r="L962" s="100">
        <f>IF('Net zero activities &amp; levers'!$C$12="Off",('Activity data'!AE19*EF!$H50*EF!$H68)*NtoN2O*kgtoGg,IF('Net zero activities &amp; levers'!$C$12="PB",('Activity data'!AE19*EF!$H50*EF!$H68)*NtoN2O*kgtoGg,IF('Net zero activities &amp; levers'!$C$12="MS",('Net zero Activity data'!AE19*EF!$H50*EF!$H68)*NtoN2O*kgtoGg,"ERROR")))</f>
        <v>0.3367733222576253</v>
      </c>
      <c r="M962" s="100">
        <f>IF('Net zero activities &amp; levers'!$C$12="Off",('Activity data'!AF19*EF!$H50*EF!$H68)*NtoN2O*kgtoGg,IF('Net zero activities &amp; levers'!$C$12="PB",('Activity data'!AF19*EF!$H50*EF!$H68)*NtoN2O*kgtoGg,IF('Net zero activities &amp; levers'!$C$12="MS",('Net zero Activity data'!AF19*EF!$H50*EF!$H68)*NtoN2O*kgtoGg,"ERROR")))</f>
        <v>0.34252519941326248</v>
      </c>
      <c r="N962" s="100">
        <f>IF('Net zero activities &amp; levers'!$C$12="Off",('Activity data'!AG19*EF!$H50*EF!$H68)*NtoN2O*kgtoGg,IF('Net zero activities &amp; levers'!$C$12="PB",('Activity data'!AG19*EF!$H50*EF!$H68)*NtoN2O*kgtoGg,IF('Net zero activities &amp; levers'!$C$12="MS",('Net zero Activity data'!AG19*EF!$H50*EF!$H68)*NtoN2O*kgtoGg,"ERROR")))</f>
        <v>0.34628339258632435</v>
      </c>
      <c r="O962" s="100">
        <f>IF('Net zero activities &amp; levers'!$C$12="Off",('Activity data'!AH19*EF!$H50*EF!$H68)*NtoN2O*kgtoGg,IF('Net zero activities &amp; levers'!$C$12="PB",('Activity data'!AH19*EF!$H50*EF!$H68)*NtoN2O*kgtoGg,IF('Net zero activities &amp; levers'!$C$12="MS",('Net zero Activity data'!AH19*EF!$H50*EF!$H68)*NtoN2O*kgtoGg,"ERROR")))</f>
        <v>0.35009259651269609</v>
      </c>
      <c r="P962" s="100">
        <f>IF('Net zero activities &amp; levers'!$C$12="Off",('Activity data'!AI19*EF!$H50*EF!$H68)*NtoN2O*kgtoGg,IF('Net zero activities &amp; levers'!$C$12="PB",('Activity data'!AI19*EF!$H50*EF!$H68)*NtoN2O*kgtoGg,IF('Net zero activities &amp; levers'!$C$12="MS",('Net zero Activity data'!AI19*EF!$H50*EF!$H68)*NtoN2O*kgtoGg,"ERROR")))</f>
        <v>0.35500337907845531</v>
      </c>
      <c r="Q962" s="100">
        <f>IF('Net zero activities &amp; levers'!$C$12="Off",('Activity data'!AJ19*EF!$H50*EF!$H68)*NtoN2O*kgtoGg,IF('Net zero activities &amp; levers'!$C$12="PB",('Activity data'!AJ19*EF!$H50*EF!$H68)*NtoN2O*kgtoGg,IF('Net zero activities &amp; levers'!$C$12="MS",('Net zero Activity data'!AJ19*EF!$H50*EF!$H68)*NtoN2O*kgtoGg,"ERROR")))</f>
        <v>0.36025498659562288</v>
      </c>
      <c r="R962" s="100">
        <f>IF('Net zero activities &amp; levers'!$C$12="Off",('Activity data'!AK19*EF!$H50*EF!$H68)*NtoN2O*kgtoGg,IF('Net zero activities &amp; levers'!$C$12="PB",('Activity data'!AK19*EF!$H50*EF!$H68)*NtoN2O*kgtoGg,IF('Net zero activities &amp; levers'!$C$12="MS",('Net zero Activity data'!AK19*EF!$H50*EF!$H68)*NtoN2O*kgtoGg,"ERROR")))</f>
        <v>0.36330907698293946</v>
      </c>
      <c r="S962" s="100">
        <f>IF('Net zero activities &amp; levers'!$C$12="Off",('Activity data'!AL19*EF!$H50*EF!$H68)*NtoN2O*kgtoGg,IF('Net zero activities &amp; levers'!$C$12="PB",('Activity data'!AL19*EF!$H50*EF!$H68)*NtoN2O*kgtoGg,IF('Net zero activities &amp; levers'!$C$12="MS",('Net zero Activity data'!AL19*EF!$H50*EF!$H68)*NtoN2O*kgtoGg,"ERROR")))</f>
        <v>0.34573940681489368</v>
      </c>
      <c r="T962" s="100">
        <f>IF('Net zero activities &amp; levers'!$C$12="Off",('Activity data'!AM19*EF!$H50*EF!$H68)*NtoN2O*kgtoGg,IF('Net zero activities &amp; levers'!$C$12="PB",('Activity data'!AM19*EF!$H50*EF!$H68)*NtoN2O*kgtoGg,IF('Net zero activities &amp; levers'!$C$12="MS",('Net zero Activity data'!AM19*EF!$H50*EF!$H68)*NtoN2O*kgtoGg,"ERROR")))</f>
        <v>0.35316196495857255</v>
      </c>
      <c r="U962" s="100">
        <f>IF('Net zero activities &amp; levers'!$C$12="Off",('Activity data'!AN19*EF!$H50*EF!$H68)*NtoN2O*kgtoGg,IF('Net zero activities &amp; levers'!$C$12="PB",('Activity data'!AN19*EF!$H50*EF!$H68)*NtoN2O*kgtoGg,IF('Net zero activities &amp; levers'!$C$12="MS",('Net zero Activity data'!AN19*EF!$H50*EF!$H68)*NtoN2O*kgtoGg,"ERROR")))</f>
        <v>0.36009092327704184</v>
      </c>
      <c r="V962" s="100">
        <f>IF('Net zero activities &amp; levers'!$C$12="Off",('Activity data'!AO19*EF!$H50*EF!$H68)*NtoN2O*kgtoGg,IF('Net zero activities &amp; levers'!$C$12="PB",('Activity data'!AO19*EF!$H50*EF!$H68)*NtoN2O*kgtoGg,IF('Net zero activities &amp; levers'!$C$12="MS",('Net zero Activity data'!AO19*EF!$H50*EF!$H68)*NtoN2O*kgtoGg,"ERROR")))</f>
        <v>0.36707458200076865</v>
      </c>
      <c r="W962" s="100">
        <f>IF('Net zero activities &amp; levers'!$C$12="Off",('Activity data'!AP19*EF!$H50*EF!$H68)*NtoN2O*kgtoGg,IF('Net zero activities &amp; levers'!$C$12="PB",('Activity data'!AP19*EF!$H50*EF!$H68)*NtoN2O*kgtoGg,IF('Net zero activities &amp; levers'!$C$12="MS",('Net zero Activity data'!AP19*EF!$H50*EF!$H68)*NtoN2O*kgtoGg,"ERROR")))</f>
        <v>0.37500055316657199</v>
      </c>
      <c r="X962" s="100">
        <f>IF('Net zero activities &amp; levers'!$C$12="Off",('Activity data'!AQ19*EF!$H50*EF!$H68)*NtoN2O*kgtoGg,IF('Net zero activities &amp; levers'!$C$12="PB",('Activity data'!AQ19*EF!$H50*EF!$H68)*NtoN2O*kgtoGg,IF('Net zero activities &amp; levers'!$C$12="MS",('Net zero Activity data'!AQ19*EF!$H50*EF!$H68)*NtoN2O*kgtoGg,"ERROR")))</f>
        <v>0.38299236324087566</v>
      </c>
      <c r="Y962" s="100">
        <f>IF('Net zero activities &amp; levers'!$C$12="Off",('Activity data'!AR19*EF!$H50*EF!$H68)*NtoN2O*kgtoGg,IF('Net zero activities &amp; levers'!$C$12="PB",('Activity data'!AR19*EF!$H50*EF!$H68)*NtoN2O*kgtoGg,IF('Net zero activities &amp; levers'!$C$12="MS",('Net zero Activity data'!AR19*EF!$H50*EF!$H68)*NtoN2O*kgtoGg,"ERROR")))</f>
        <v>0.39099432975561715</v>
      </c>
      <c r="Z962" s="100">
        <f>IF('Net zero activities &amp; levers'!$C$12="Off",('Activity data'!AS19*EF!$H50*EF!$H68)*NtoN2O*kgtoGg,IF('Net zero activities &amp; levers'!$C$12="PB",('Activity data'!AS19*EF!$H50*EF!$H68)*NtoN2O*kgtoGg,IF('Net zero activities &amp; levers'!$C$12="MS",('Net zero Activity data'!AS19*EF!$H50*EF!$H68)*NtoN2O*kgtoGg,"ERROR")))</f>
        <v>0.398841954270029</v>
      </c>
      <c r="AA962" s="100">
        <f>IF('Net zero activities &amp; levers'!$C$12="Off",('Activity data'!AT19*EF!$H50*EF!$H68)*NtoN2O*kgtoGg,IF('Net zero activities &amp; levers'!$C$12="PB",('Activity data'!AT19*EF!$H50*EF!$H68)*NtoN2O*kgtoGg,IF('Net zero activities &amp; levers'!$C$12="MS",('Net zero Activity data'!AT19*EF!$H50*EF!$H68)*NtoN2O*kgtoGg,"ERROR")))</f>
        <v>0.40710661573230994</v>
      </c>
      <c r="AB962" s="100">
        <f>IF('Net zero activities &amp; levers'!$C$12="Off",('Activity data'!AU19*EF!$H50*EF!$H68)*NtoN2O*kgtoGg,IF('Net zero activities &amp; levers'!$C$12="PB",('Activity data'!AU19*EF!$H50*EF!$H68)*NtoN2O*kgtoGg,IF('Net zero activities &amp; levers'!$C$12="MS",('Net zero Activity data'!AU19*EF!$H50*EF!$H68)*NtoN2O*kgtoGg,"ERROR")))</f>
        <v>0.41500811589686409</v>
      </c>
      <c r="AC962" s="100">
        <f>IF('Net zero activities &amp; levers'!$C$12="Off",('Activity data'!AV19*EF!$H50*EF!$H68)*NtoN2O*kgtoGg,IF('Net zero activities &amp; levers'!$C$12="PB",('Activity data'!AV19*EF!$H50*EF!$H68)*NtoN2O*kgtoGg,IF('Net zero activities &amp; levers'!$C$12="MS",('Net zero Activity data'!AV19*EF!$H50*EF!$H68)*NtoN2O*kgtoGg,"ERROR")))</f>
        <v>0.42309700830126501</v>
      </c>
      <c r="AD962" s="100">
        <f>IF('Net zero activities &amp; levers'!$C$12="Off",('Activity data'!AW19*EF!$H50*EF!$H68)*NtoN2O*kgtoGg,IF('Net zero activities &amp; levers'!$C$12="PB",('Activity data'!AW19*EF!$H50*EF!$H68)*NtoN2O*kgtoGg,IF('Net zero activities &amp; levers'!$C$12="MS",('Net zero Activity data'!AW19*EF!$H50*EF!$H68)*NtoN2O*kgtoGg,"ERROR")))</f>
        <v>0.43226826232979193</v>
      </c>
      <c r="AE962" s="100">
        <f>IF('Net zero activities &amp; levers'!$C$12="Off",('Activity data'!AX19*EF!$H50*EF!$H68)*NtoN2O*kgtoGg,IF('Net zero activities &amp; levers'!$C$12="PB",('Activity data'!AX19*EF!$H50*EF!$H68)*NtoN2O*kgtoGg,IF('Net zero activities &amp; levers'!$C$12="MS",('Net zero Activity data'!AX19*EF!$H50*EF!$H68)*NtoN2O*kgtoGg,"ERROR")))</f>
        <v>0.44207160383339156</v>
      </c>
      <c r="AF962" s="100">
        <f>IF('Net zero activities &amp; levers'!$C$12="Off",('Activity data'!AY19*EF!$H50*EF!$H68)*NtoN2O*kgtoGg,IF('Net zero activities &amp; levers'!$C$12="PB",('Activity data'!AY19*EF!$H50*EF!$H68)*NtoN2O*kgtoGg,IF('Net zero activities &amp; levers'!$C$12="MS",('Net zero Activity data'!AY19*EF!$H50*EF!$H68)*NtoN2O*kgtoGg,"ERROR")))</f>
        <v>0.45218336296465478</v>
      </c>
      <c r="AG962" s="100">
        <f>IF('Net zero activities &amp; levers'!$C$12="Off",('Activity data'!AZ19*EF!$H50*EF!$H68)*NtoN2O*kgtoGg,IF('Net zero activities &amp; levers'!$C$12="PB",('Activity data'!AZ19*EF!$H50*EF!$H68)*NtoN2O*kgtoGg,IF('Net zero activities &amp; levers'!$C$12="MS",('Net zero Activity data'!AZ19*EF!$H50*EF!$H68)*NtoN2O*kgtoGg,"ERROR")))</f>
        <v>0.4551931213650493</v>
      </c>
      <c r="AH962" s="100">
        <f>IF('Net zero activities &amp; levers'!$C$12="Off",('Activity data'!BA19*EF!$H50*EF!$H68)*NtoN2O*kgtoGg,IF('Net zero activities &amp; levers'!$C$12="PB",('Activity data'!BA19*EF!$H50*EF!$H68)*NtoN2O*kgtoGg,IF('Net zero activities &amp; levers'!$C$12="MS",('Net zero Activity data'!BA19*EF!$H50*EF!$H68)*NtoN2O*kgtoGg,"ERROR")))</f>
        <v>0.10910564018941009</v>
      </c>
      <c r="AI962" s="100">
        <f>IF('Net zero activities &amp; levers'!$C$12="Off",('Activity data'!BB19*EF!$H50*EF!$H68)*NtoN2O*kgtoGg,IF('Net zero activities &amp; levers'!$C$12="PB",('Activity data'!BB19*EF!$H50*EF!$H68)*NtoN2O*kgtoGg,IF('Net zero activities &amp; levers'!$C$12="MS",('Net zero Activity data'!BB19*EF!$H50*EF!$H68)*NtoN2O*kgtoGg,"ERROR")))</f>
        <v>0.10994420930696339</v>
      </c>
      <c r="AJ962" s="100">
        <f>IF('Net zero activities &amp; levers'!$C$12="Off",('Activity data'!BC19*EF!$H50*EF!$H68)*NtoN2O*kgtoGg,IF('Net zero activities &amp; levers'!$C$12="PB",('Activity data'!BC19*EF!$H50*EF!$H68)*NtoN2O*kgtoGg,IF('Net zero activities &amp; levers'!$C$12="MS",('Net zero Activity data'!BC19*EF!$H50*EF!$H68)*NtoN2O*kgtoGg,"ERROR")))</f>
        <v>0.11078888384654588</v>
      </c>
      <c r="AK962" s="100">
        <f>IF('Net zero activities &amp; levers'!$C$12="Off",('Activity data'!BD19*EF!$H50*EF!$H68)*NtoN2O*kgtoGg,IF('Net zero activities &amp; levers'!$C$12="PB",('Activity data'!BD19*EF!$H50*EF!$H68)*NtoN2O*kgtoGg,IF('Net zero activities &amp; levers'!$C$12="MS",('Net zero Activity data'!BD19*EF!$H50*EF!$H68)*NtoN2O*kgtoGg,"ERROR")))</f>
        <v>0.11163971029926273</v>
      </c>
      <c r="AL962" s="100">
        <f>IF('Net zero activities &amp; levers'!$C$12="Off",('Activity data'!BE19*EF!$H50*EF!$H68)*NtoN2O*kgtoGg,IF('Net zero activities &amp; levers'!$C$12="PB",('Activity data'!BE19*EF!$H50*EF!$H68)*NtoN2O*kgtoGg,IF('Net zero activities &amp; levers'!$C$12="MS",('Net zero Activity data'!BE19*EF!$H50*EF!$H68)*NtoN2O*kgtoGg,"ERROR")))</f>
        <v>0.11249673536734303</v>
      </c>
      <c r="AM962" s="100">
        <f>IF('Net zero activities &amp; levers'!$C$12="Off",('Activity data'!BF19*EF!$H50*EF!$H68)*NtoN2O*kgtoGg,IF('Net zero activities &amp; levers'!$C$12="PB",('Activity data'!BF19*EF!$H50*EF!$H68)*NtoN2O*kgtoGg,IF('Net zero activities &amp; levers'!$C$12="MS",('Net zero Activity data'!BF19*EF!$H50*EF!$H68)*NtoN2O*kgtoGg,"ERROR")))</f>
        <v>0.1133600059778764</v>
      </c>
      <c r="AN962" s="100">
        <f>IF('Net zero activities &amp; levers'!$C$12="Off",('Activity data'!BG19*EF!$H50*EF!$H68)*NtoN2O*kgtoGg,IF('Net zero activities &amp; levers'!$C$12="PB",('Activity data'!BG19*EF!$H50*EF!$H68)*NtoN2O*kgtoGg,IF('Net zero activities &amp; levers'!$C$12="MS",('Net zero Activity data'!BG19*EF!$H50*EF!$H68)*NtoN2O*kgtoGg,"ERROR")))</f>
        <v>0.11409797095001123</v>
      </c>
      <c r="AO962" s="100">
        <f>IF('Net zero activities &amp; levers'!$C$12="Off",('Activity data'!BH19*EF!$H50*EF!$H68)*NtoN2O*kgtoGg,IF('Net zero activities &amp; levers'!$C$12="PB",('Activity data'!BH19*EF!$H50*EF!$H68)*NtoN2O*kgtoGg,IF('Net zero activities &amp; levers'!$C$12="MS",('Net zero Activity data'!BH19*EF!$H50*EF!$H68)*NtoN2O*kgtoGg,"ERROR")))</f>
        <v>0.11484049120695125</v>
      </c>
      <c r="AP962" s="100">
        <f>IF('Net zero activities &amp; levers'!$C$12="Off",('Activity data'!BI19*EF!$H50*EF!$H68)*NtoN2O*kgtoGg,IF('Net zero activities &amp; levers'!$C$12="PB",('Activity data'!BI19*EF!$H50*EF!$H68)*NtoN2O*kgtoGg,IF('Net zero activities &amp; levers'!$C$12="MS",('Net zero Activity data'!BI19*EF!$H50*EF!$H68)*NtoN2O*kgtoGg,"ERROR")))</f>
        <v>0.11558759635865411</v>
      </c>
      <c r="AQ962" s="100">
        <f>IF('Net zero activities &amp; levers'!$C$12="Off",('Activity data'!BJ19*EF!$H50*EF!$H68)*NtoN2O*kgtoGg,IF('Net zero activities &amp; levers'!$C$12="PB",('Activity data'!BJ19*EF!$H50*EF!$H68)*NtoN2O*kgtoGg,IF('Net zero activities &amp; levers'!$C$12="MS",('Net zero Activity data'!BJ19*EF!$H50*EF!$H68)*NtoN2O*kgtoGg,"ERROR")))</f>
        <v>0.11633931611415979</v>
      </c>
      <c r="AR962" s="100">
        <f>IF('Net zero activities &amp; levers'!$C$12="Off",('Activity data'!BK19*EF!$H50*EF!$H68)*NtoN2O*kgtoGg,IF('Net zero activities &amp; levers'!$C$12="PB",('Activity data'!BK19*EF!$H50*EF!$H68)*NtoN2O*kgtoGg,IF('Net zero activities &amp; levers'!$C$12="MS",('Net zero Activity data'!BK19*EF!$H50*EF!$H68)*NtoN2O*kgtoGg,"ERROR")))</f>
        <v>0.11709568028936261</v>
      </c>
      <c r="AS962" s="100">
        <f>IF('Net zero activities &amp; levers'!$C$12="Off",('Activity data'!BL19*EF!$H50*EF!$H68)*NtoN2O*kgtoGg,IF('Net zero activities &amp; levers'!$C$12="PB",('Activity data'!BL19*EF!$H50*EF!$H68)*NtoN2O*kgtoGg,IF('Net zero activities &amp; levers'!$C$12="MS",('Net zero Activity data'!BL19*EF!$H50*EF!$H68)*NtoN2O*kgtoGg,"ERROR")))</f>
        <v>0.11772147862106908</v>
      </c>
      <c r="AT962" s="100">
        <f>IF('Net zero activities &amp; levers'!$C$12="Off",('Activity data'!BM19*EF!$H50*EF!$H68)*NtoN2O*kgtoGg,IF('Net zero activities &amp; levers'!$C$12="PB",('Activity data'!BM19*EF!$H50*EF!$H68)*NtoN2O*kgtoGg,IF('Net zero activities &amp; levers'!$C$12="MS",('Net zero Activity data'!BM19*EF!$H50*EF!$H68)*NtoN2O*kgtoGg,"ERROR")))</f>
        <v>0.11835044728238052</v>
      </c>
      <c r="AU962" s="100">
        <f>IF('Net zero activities &amp; levers'!$C$12="Off",('Activity data'!BN19*EF!$H50*EF!$H68)*NtoN2O*kgtoGg,IF('Net zero activities &amp; levers'!$C$12="PB",('Activity data'!BN19*EF!$H50*EF!$H68)*NtoN2O*kgtoGg,IF('Net zero activities &amp; levers'!$C$12="MS",('Net zero Activity data'!BN19*EF!$H50*EF!$H68)*NtoN2O*kgtoGg,"ERROR")))</f>
        <v>0.11898260346877226</v>
      </c>
      <c r="AV962" s="100">
        <f>IF('Net zero activities &amp; levers'!$C$12="Off",('Activity data'!BO19*EF!$H50*EF!$H68)*NtoN2O*kgtoGg,IF('Net zero activities &amp; levers'!$C$12="PB",('Activity data'!BO19*EF!$H50*EF!$H68)*NtoN2O*kgtoGg,IF('Net zero activities &amp; levers'!$C$12="MS",('Net zero Activity data'!BO19*EF!$H50*EF!$H68)*NtoN2O*kgtoGg,"ERROR")))</f>
        <v>0.11961796440464827</v>
      </c>
      <c r="AW962" s="100">
        <f>IF('Net zero activities &amp; levers'!$C$12="Off",('Activity data'!BP19*EF!$H50*EF!$H68)*NtoN2O*kgtoGg,IF('Net zero activities &amp; levers'!$C$12="PB",('Activity data'!BP19*EF!$H50*EF!$H68)*NtoN2O*kgtoGg,IF('Net zero activities &amp; levers'!$C$12="MS",('Net zero Activity data'!BP19*EF!$H50*EF!$H68)*NtoN2O*kgtoGg,"ERROR")))</f>
        <v>0.12025654734797987</v>
      </c>
      <c r="AY962" s="85"/>
      <c r="AZ962" s="85"/>
    </row>
    <row r="963" spans="1:52" x14ac:dyDescent="0.25">
      <c r="A963" s="102" t="str">
        <f t="shared" si="326"/>
        <v>DS Poultry MMN2O</v>
      </c>
      <c r="B963" s="102" t="s">
        <v>975</v>
      </c>
      <c r="C963" s="102" t="s">
        <v>1235</v>
      </c>
      <c r="D963" t="s">
        <v>15</v>
      </c>
      <c r="E963" t="s">
        <v>657</v>
      </c>
      <c r="F963" t="s">
        <v>28</v>
      </c>
      <c r="G963" t="s">
        <v>132</v>
      </c>
      <c r="H963" t="s">
        <v>1228</v>
      </c>
      <c r="I963" t="s">
        <v>139</v>
      </c>
      <c r="J963" t="s">
        <v>287</v>
      </c>
      <c r="K963" s="100">
        <f>IF('Net zero activities &amp; levers'!$C$12="Off",('Activity data'!AD20*EF!$H51*EF!$H69)*NtoN2O*kgtoGg,IF('Net zero activities &amp; levers'!$C$12="PB",('Activity data'!AD20*EF!$H51*EF!$H69)*NtoN2O*kgtoGg,IF('Net zero activities &amp; levers'!$C$12="MS",('Net zero Activity data'!AD20*EF!$H51*EF!$H69)*NtoN2O*kgtoGg,"ERROR")))</f>
        <v>1.7216530294251391</v>
      </c>
      <c r="L963" s="100">
        <f>IF('Net zero activities &amp; levers'!$C$12="Off",('Activity data'!AE20*EF!$H51*EF!$H69)*NtoN2O*kgtoGg,IF('Net zero activities &amp; levers'!$C$12="PB",('Activity data'!AE20*EF!$H51*EF!$H69)*NtoN2O*kgtoGg,IF('Net zero activities &amp; levers'!$C$12="MS",('Net zero Activity data'!AE20*EF!$H51*EF!$H69)*NtoN2O*kgtoGg,"ERROR")))</f>
        <v>1.7495913852181326</v>
      </c>
      <c r="M963" s="100">
        <f>IF('Net zero activities &amp; levers'!$C$12="Off",('Activity data'!AF20*EF!$H51*EF!$H69)*NtoN2O*kgtoGg,IF('Net zero activities &amp; levers'!$C$12="PB",('Activity data'!AF20*EF!$H51*EF!$H69)*NtoN2O*kgtoGg,IF('Net zero activities &amp; levers'!$C$12="MS",('Net zero Activity data'!AF20*EF!$H51*EF!$H69)*NtoN2O*kgtoGg,"ERROR")))</f>
        <v>1.7578868664335328</v>
      </c>
      <c r="N963" s="100">
        <f>IF('Net zero activities &amp; levers'!$C$12="Off",('Activity data'!AG20*EF!$H51*EF!$H69)*NtoN2O*kgtoGg,IF('Net zero activities &amp; levers'!$C$12="PB",('Activity data'!AG20*EF!$H51*EF!$H69)*NtoN2O*kgtoGg,IF('Net zero activities &amp; levers'!$C$12="MS",('Net zero Activity data'!AG20*EF!$H51*EF!$H69)*NtoN2O*kgtoGg,"ERROR")))</f>
        <v>1.7392918980189422</v>
      </c>
      <c r="O963" s="100">
        <f>IF('Net zero activities &amp; levers'!$C$12="Off",('Activity data'!AH20*EF!$H51*EF!$H69)*NtoN2O*kgtoGg,IF('Net zero activities &amp; levers'!$C$12="PB",('Activity data'!AH20*EF!$H51*EF!$H69)*NtoN2O*kgtoGg,IF('Net zero activities &amp; levers'!$C$12="MS",('Net zero Activity data'!AH20*EF!$H51*EF!$H69)*NtoN2O*kgtoGg,"ERROR")))</f>
        <v>1.7207368558327785</v>
      </c>
      <c r="P963" s="100">
        <f>IF('Net zero activities &amp; levers'!$C$12="Off",('Activity data'!AI20*EF!$H51*EF!$H69)*NtoN2O*kgtoGg,IF('Net zero activities &amp; levers'!$C$12="PB",('Activity data'!AI20*EF!$H51*EF!$H69)*NtoN2O*kgtoGg,IF('Net zero activities &amp; levers'!$C$12="MS",('Net zero Activity data'!AI20*EF!$H51*EF!$H69)*NtoN2O*kgtoGg,"ERROR")))</f>
        <v>1.7153529254443873</v>
      </c>
      <c r="Q963" s="100">
        <f>IF('Net zero activities &amp; levers'!$C$12="Off",('Activity data'!AJ20*EF!$H51*EF!$H69)*NtoN2O*kgtoGg,IF('Net zero activities &amp; levers'!$C$12="PB",('Activity data'!AJ20*EF!$H51*EF!$H69)*NtoN2O*kgtoGg,IF('Net zero activities &amp; levers'!$C$12="MS",('Net zero Activity data'!AJ20*EF!$H51*EF!$H69)*NtoN2O*kgtoGg,"ERROR")))</f>
        <v>1.7142313641539435</v>
      </c>
      <c r="R963" s="100">
        <f>IF('Net zero activities &amp; levers'!$C$12="Off",('Activity data'!AK20*EF!$H51*EF!$H69)*NtoN2O*kgtoGg,IF('Net zero activities &amp; levers'!$C$12="PB",('Activity data'!AK20*EF!$H51*EF!$H69)*NtoN2O*kgtoGg,IF('Net zero activities &amp; levers'!$C$12="MS",('Net zero Activity data'!AK20*EF!$H51*EF!$H69)*NtoN2O*kgtoGg,"ERROR")))</f>
        <v>1.6856374848225169</v>
      </c>
      <c r="S963" s="100">
        <f>IF('Net zero activities &amp; levers'!$C$12="Off",('Activity data'!AL20*EF!$H51*EF!$H69)*NtoN2O*kgtoGg,IF('Net zero activities &amp; levers'!$C$12="PB",('Activity data'!AL20*EF!$H51*EF!$H69)*NtoN2O*kgtoGg,IF('Net zero activities &amp; levers'!$C$12="MS",('Net zero Activity data'!AL20*EF!$H51*EF!$H69)*NtoN2O*kgtoGg,"ERROR")))</f>
        <v>1.4045469015643526</v>
      </c>
      <c r="T963" s="100">
        <f>IF('Net zero activities &amp; levers'!$C$12="Off",('Activity data'!AM20*EF!$H51*EF!$H69)*NtoN2O*kgtoGg,IF('Net zero activities &amp; levers'!$C$12="PB",('Activity data'!AM20*EF!$H51*EF!$H69)*NtoN2O*kgtoGg,IF('Net zero activities &amp; levers'!$C$12="MS",('Net zero Activity data'!AM20*EF!$H51*EF!$H69)*NtoN2O*kgtoGg,"ERROR")))</f>
        <v>1.4459775319383337</v>
      </c>
      <c r="U963" s="100">
        <f>IF('Net zero activities &amp; levers'!$C$12="Off",('Activity data'!AN20*EF!$H51*EF!$H69)*NtoN2O*kgtoGg,IF('Net zero activities &amp; levers'!$C$12="PB",('Activity data'!AN20*EF!$H51*EF!$H69)*NtoN2O*kgtoGg,IF('Net zero activities &amp; levers'!$C$12="MS",('Net zero Activity data'!AN20*EF!$H51*EF!$H69)*NtoN2O*kgtoGg,"ERROR")))</f>
        <v>1.480607974450509</v>
      </c>
      <c r="V963" s="100">
        <f>IF('Net zero activities &amp; levers'!$C$12="Off",('Activity data'!AO20*EF!$H51*EF!$H69)*NtoN2O*kgtoGg,IF('Net zero activities &amp; levers'!$C$12="PB",('Activity data'!AO20*EF!$H51*EF!$H69)*NtoN2O*kgtoGg,IF('Net zero activities &amp; levers'!$C$12="MS",('Net zero Activity data'!AO20*EF!$H51*EF!$H69)*NtoN2O*kgtoGg,"ERROR")))</f>
        <v>1.5151543903265086</v>
      </c>
      <c r="W963" s="100">
        <f>IF('Net zero activities &amp; levers'!$C$12="Off",('Activity data'!AP20*EF!$H51*EF!$H69)*NtoN2O*kgtoGg,IF('Net zero activities &amp; levers'!$C$12="PB",('Activity data'!AP20*EF!$H51*EF!$H69)*NtoN2O*kgtoGg,IF('Net zero activities &amp; levers'!$C$12="MS",('Net zero Activity data'!AP20*EF!$H51*EF!$H69)*NtoN2O*kgtoGg,"ERROR")))</f>
        <v>1.5601003686418904</v>
      </c>
      <c r="X963" s="100">
        <f>IF('Net zero activities &amp; levers'!$C$12="Off",('Activity data'!AQ20*EF!$H51*EF!$H69)*NtoN2O*kgtoGg,IF('Net zero activities &amp; levers'!$C$12="PB",('Activity data'!AQ20*EF!$H51*EF!$H69)*NtoN2O*kgtoGg,IF('Net zero activities &amp; levers'!$C$12="MS",('Net zero Activity data'!AQ20*EF!$H51*EF!$H69)*NtoN2O*kgtoGg,"ERROR")))</f>
        <v>1.6049114332445515</v>
      </c>
      <c r="Y963" s="100">
        <f>IF('Net zero activities &amp; levers'!$C$12="Off",('Activity data'!AR20*EF!$H51*EF!$H69)*NtoN2O*kgtoGg,IF('Net zero activities &amp; levers'!$C$12="PB",('Activity data'!AR20*EF!$H51*EF!$H69)*NtoN2O*kgtoGg,IF('Net zero activities &amp; levers'!$C$12="MS",('Net zero Activity data'!AR20*EF!$H51*EF!$H69)*NtoN2O*kgtoGg,"ERROR")))</f>
        <v>1.6541109963656262</v>
      </c>
      <c r="Z963" s="100">
        <f>IF('Net zero activities &amp; levers'!$C$12="Off",('Activity data'!AS20*EF!$H51*EF!$H69)*NtoN2O*kgtoGg,IF('Net zero activities &amp; levers'!$C$12="PB",('Activity data'!AS20*EF!$H51*EF!$H69)*NtoN2O*kgtoGg,IF('Net zero activities &amp; levers'!$C$12="MS",('Net zero Activity data'!AS20*EF!$H51*EF!$H69)*NtoN2O*kgtoGg,"ERROR")))</f>
        <v>1.7006835408755379</v>
      </c>
      <c r="AA963" s="100">
        <f>IF('Net zero activities &amp; levers'!$C$12="Off",('Activity data'!AT20*EF!$H51*EF!$H69)*NtoN2O*kgtoGg,IF('Net zero activities &amp; levers'!$C$12="PB",('Activity data'!AT20*EF!$H51*EF!$H69)*NtoN2O*kgtoGg,IF('Net zero activities &amp; levers'!$C$12="MS",('Net zero Activity data'!AT20*EF!$H51*EF!$H69)*NtoN2O*kgtoGg,"ERROR")))</f>
        <v>1.7512278539533319</v>
      </c>
      <c r="AB963" s="100">
        <f>IF('Net zero activities &amp; levers'!$C$12="Off",('Activity data'!AU20*EF!$H51*EF!$H69)*NtoN2O*kgtoGg,IF('Net zero activities &amp; levers'!$C$12="PB",('Activity data'!AU20*EF!$H51*EF!$H69)*NtoN2O*kgtoGg,IF('Net zero activities &amp; levers'!$C$12="MS",('Net zero Activity data'!AU20*EF!$H51*EF!$H69)*NtoN2O*kgtoGg,"ERROR")))</f>
        <v>1.7968025285418052</v>
      </c>
      <c r="AC963" s="100">
        <f>IF('Net zero activities &amp; levers'!$C$12="Off",('Activity data'!AV20*EF!$H51*EF!$H69)*NtoN2O*kgtoGg,IF('Net zero activities &amp; levers'!$C$12="PB",('Activity data'!AV20*EF!$H51*EF!$H69)*NtoN2O*kgtoGg,IF('Net zero activities &amp; levers'!$C$12="MS",('Net zero Activity data'!AV20*EF!$H51*EF!$H69)*NtoN2O*kgtoGg,"ERROR")))</f>
        <v>1.8437229492039162</v>
      </c>
      <c r="AD963" s="100">
        <f>IF('Net zero activities &amp; levers'!$C$12="Off",('Activity data'!AW20*EF!$H51*EF!$H69)*NtoN2O*kgtoGg,IF('Net zero activities &amp; levers'!$C$12="PB",('Activity data'!AW20*EF!$H51*EF!$H69)*NtoN2O*kgtoGg,IF('Net zero activities &amp; levers'!$C$12="MS",('Net zero Activity data'!AW20*EF!$H51*EF!$H69)*NtoN2O*kgtoGg,"ERROR")))</f>
        <v>1.9060767826661782</v>
      </c>
      <c r="AE963" s="100">
        <f>IF('Net zero activities &amp; levers'!$C$12="Off",('Activity data'!AX20*EF!$H51*EF!$H69)*NtoN2O*kgtoGg,IF('Net zero activities &amp; levers'!$C$12="PB",('Activity data'!AX20*EF!$H51*EF!$H69)*NtoN2O*kgtoGg,IF('Net zero activities &amp; levers'!$C$12="MS",('Net zero Activity data'!AX20*EF!$H51*EF!$H69)*NtoN2O*kgtoGg,"ERROR")))</f>
        <v>1.9745333748476768</v>
      </c>
      <c r="AF963" s="100">
        <f>IF('Net zero activities &amp; levers'!$C$12="Off",('Activity data'!AY20*EF!$H51*EF!$H69)*NtoN2O*kgtoGg,IF('Net zero activities &amp; levers'!$C$12="PB",('Activity data'!AY20*EF!$H51*EF!$H69)*NtoN2O*kgtoGg,IF('Net zero activities &amp; levers'!$C$12="MS",('Net zero Activity data'!AY20*EF!$H51*EF!$H69)*NtoN2O*kgtoGg,"ERROR")))</f>
        <v>2.0454043901813557</v>
      </c>
      <c r="AG963" s="100">
        <f>IF('Net zero activities &amp; levers'!$C$12="Off",('Activity data'!AZ20*EF!$H51*EF!$H69)*NtoN2O*kgtoGg,IF('Net zero activities &amp; levers'!$C$12="PB",('Activity data'!AZ20*EF!$H51*EF!$H69)*NtoN2O*kgtoGg,IF('Net zero activities &amp; levers'!$C$12="MS",('Net zero Activity data'!AZ20*EF!$H51*EF!$H69)*NtoN2O*kgtoGg,"ERROR")))</f>
        <v>2.0375124323750504</v>
      </c>
      <c r="AH963" s="100">
        <f>IF('Net zero activities &amp; levers'!$C$12="Off",('Activity data'!BA20*EF!$H51*EF!$H69)*NtoN2O*kgtoGg,IF('Net zero activities &amp; levers'!$C$12="PB",('Activity data'!BA20*EF!$H51*EF!$H69)*NtoN2O*kgtoGg,IF('Net zero activities &amp; levers'!$C$12="MS",('Net zero Activity data'!BA20*EF!$H51*EF!$H69)*NtoN2O*kgtoGg,"ERROR")))</f>
        <v>-1.7670360622808823</v>
      </c>
      <c r="AI963" s="100">
        <f>IF('Net zero activities &amp; levers'!$C$12="Off",('Activity data'!BB20*EF!$H51*EF!$H69)*NtoN2O*kgtoGg,IF('Net zero activities &amp; levers'!$C$12="PB",('Activity data'!BB20*EF!$H51*EF!$H69)*NtoN2O*kgtoGg,IF('Net zero activities &amp; levers'!$C$12="MS",('Net zero Activity data'!BB20*EF!$H51*EF!$H69)*NtoN2O*kgtoGg,"ERROR")))</f>
        <v>-1.769567863105443</v>
      </c>
      <c r="AJ963" s="100">
        <f>IF('Net zero activities &amp; levers'!$C$12="Off",('Activity data'!BC20*EF!$H51*EF!$H69)*NtoN2O*kgtoGg,IF('Net zero activities &amp; levers'!$C$12="PB",('Activity data'!BC20*EF!$H51*EF!$H69)*NtoN2O*kgtoGg,IF('Net zero activities &amp; levers'!$C$12="MS",('Net zero Activity data'!BC20*EF!$H51*EF!$H69)*NtoN2O*kgtoGg,"ERROR")))</f>
        <v>-1.7723139091947202</v>
      </c>
      <c r="AK963" s="100">
        <f>IF('Net zero activities &amp; levers'!$C$12="Off",('Activity data'!BD20*EF!$H51*EF!$H69)*NtoN2O*kgtoGg,IF('Net zero activities &amp; levers'!$C$12="PB",('Activity data'!BD20*EF!$H51*EF!$H69)*NtoN2O*kgtoGg,IF('Net zero activities &amp; levers'!$C$12="MS",('Net zero Activity data'!BD20*EF!$H51*EF!$H69)*NtoN2O*kgtoGg,"ERROR")))</f>
        <v>-1.775265259663616</v>
      </c>
      <c r="AL963" s="100">
        <f>IF('Net zero activities &amp; levers'!$C$12="Off",('Activity data'!BE20*EF!$H51*EF!$H69)*NtoN2O*kgtoGg,IF('Net zero activities &amp; levers'!$C$12="PB",('Activity data'!BE20*EF!$H51*EF!$H69)*NtoN2O*kgtoGg,IF('Net zero activities &amp; levers'!$C$12="MS",('Net zero Activity data'!BE20*EF!$H51*EF!$H69)*NtoN2O*kgtoGg,"ERROR")))</f>
        <v>-1.7784136680871927</v>
      </c>
      <c r="AM963" s="100">
        <f>IF('Net zero activities &amp; levers'!$C$12="Off",('Activity data'!BF20*EF!$H51*EF!$H69)*NtoN2O*kgtoGg,IF('Net zero activities &amp; levers'!$C$12="PB",('Activity data'!BF20*EF!$H51*EF!$H69)*NtoN2O*kgtoGg,IF('Net zero activities &amp; levers'!$C$12="MS",('Net zero Activity data'!BF20*EF!$H51*EF!$H69)*NtoN2O*kgtoGg,"ERROR")))</f>
        <v>-1.7817515157915651</v>
      </c>
      <c r="AN963" s="100">
        <f>IF('Net zero activities &amp; levers'!$C$12="Off",('Activity data'!BG20*EF!$H51*EF!$H69)*NtoN2O*kgtoGg,IF('Net zero activities &amp; levers'!$C$12="PB",('Activity data'!BG20*EF!$H51*EF!$H69)*NtoN2O*kgtoGg,IF('Net zero activities &amp; levers'!$C$12="MS",('Net zero Activity data'!BG20*EF!$H51*EF!$H69)*NtoN2O*kgtoGg,"ERROR")))</f>
        <v>-1.7831253143927157</v>
      </c>
      <c r="AO963" s="100">
        <f>IF('Net zero activities &amp; levers'!$C$12="Off",('Activity data'!BH20*EF!$H51*EF!$H69)*NtoN2O*kgtoGg,IF('Net zero activities &amp; levers'!$C$12="PB",('Activity data'!BH20*EF!$H51*EF!$H69)*NtoN2O*kgtoGg,IF('Net zero activities &amp; levers'!$C$12="MS",('Net zero Activity data'!BH20*EF!$H51*EF!$H69)*NtoN2O*kgtoGg,"ERROR")))</f>
        <v>-1.7846712895501273</v>
      </c>
      <c r="AP963" s="100">
        <f>IF('Net zero activities &amp; levers'!$C$12="Off",('Activity data'!BI20*EF!$H51*EF!$H69)*NtoN2O*kgtoGg,IF('Net zero activities &amp; levers'!$C$12="PB",('Activity data'!BI20*EF!$H51*EF!$H69)*NtoN2O*kgtoGg,IF('Net zero activities &amp; levers'!$C$12="MS",('Net zero Activity data'!BI20*EF!$H51*EF!$H69)*NtoN2O*kgtoGg,"ERROR")))</f>
        <v>-1.7863827557357852</v>
      </c>
      <c r="AQ963" s="100">
        <f>IF('Net zero activities &amp; levers'!$C$12="Off",('Activity data'!BJ20*EF!$H51*EF!$H69)*NtoN2O*kgtoGg,IF('Net zero activities &amp; levers'!$C$12="PB",('Activity data'!BJ20*EF!$H51*EF!$H69)*NtoN2O*kgtoGg,IF('Net zero activities &amp; levers'!$C$12="MS",('Net zero Activity data'!BJ20*EF!$H51*EF!$H69)*NtoN2O*kgtoGg,"ERROR")))</f>
        <v>-1.788253486478437</v>
      </c>
      <c r="AR963" s="100">
        <f>IF('Net zero activities &amp; levers'!$C$12="Off",('Activity data'!BK20*EF!$H51*EF!$H69)*NtoN2O*kgtoGg,IF('Net zero activities &amp; levers'!$C$12="PB",('Activity data'!BK20*EF!$H51*EF!$H69)*NtoN2O*kgtoGg,IF('Net zero activities &amp; levers'!$C$12="MS",('Net zero Activity data'!BK20*EF!$H51*EF!$H69)*NtoN2O*kgtoGg,"ERROR")))</f>
        <v>-1.79027767491833</v>
      </c>
      <c r="AS963" s="100">
        <f>IF('Net zero activities &amp; levers'!$C$12="Off",('Activity data'!BL20*EF!$H51*EF!$H69)*NtoN2O*kgtoGg,IF('Net zero activities &amp; levers'!$C$12="PB",('Activity data'!BL20*EF!$H51*EF!$H69)*NtoN2O*kgtoGg,IF('Net zero activities &amp; levers'!$C$12="MS",('Net zero Activity data'!BL20*EF!$H51*EF!$H69)*NtoN2O*kgtoGg,"ERROR")))</f>
        <v>-1.7903062211735206</v>
      </c>
      <c r="AT963" s="100">
        <f>IF('Net zero activities &amp; levers'!$C$12="Off",('Activity data'!BM20*EF!$H51*EF!$H69)*NtoN2O*kgtoGg,IF('Net zero activities &amp; levers'!$C$12="PB",('Activity data'!BM20*EF!$H51*EF!$H69)*NtoN2O*kgtoGg,IF('Net zero activities &amp; levers'!$C$12="MS",('Net zero Activity data'!BM20*EF!$H51*EF!$H69)*NtoN2O*kgtoGg,"ERROR")))</f>
        <v>-1.7904768825126722</v>
      </c>
      <c r="AU963" s="100">
        <f>IF('Net zero activities &amp; levers'!$C$12="Off",('Activity data'!BN20*EF!$H51*EF!$H69)*NtoN2O*kgtoGg,IF('Net zero activities &amp; levers'!$C$12="PB",('Activity data'!BN20*EF!$H51*EF!$H69)*NtoN2O*kgtoGg,IF('Net zero activities &amp; levers'!$C$12="MS",('Net zero Activity data'!BN20*EF!$H51*EF!$H69)*NtoN2O*kgtoGg,"ERROR")))</f>
        <v>-1.7907844045675889</v>
      </c>
      <c r="AV963" s="100">
        <f>IF('Net zero activities &amp; levers'!$C$12="Off",('Activity data'!BO20*EF!$H51*EF!$H69)*NtoN2O*kgtoGg,IF('Net zero activities &amp; levers'!$C$12="PB",('Activity data'!BO20*EF!$H51*EF!$H69)*NtoN2O*kgtoGg,IF('Net zero activities &amp; levers'!$C$12="MS",('Net zero Activity data'!BO20*EF!$H51*EF!$H69)*NtoN2O*kgtoGg,"ERROR")))</f>
        <v>-1.7912238548642139</v>
      </c>
      <c r="AW963" s="100">
        <f>IF('Net zero activities &amp; levers'!$C$12="Off",('Activity data'!BP20*EF!$H51*EF!$H69)*NtoN2O*kgtoGg,IF('Net zero activities &amp; levers'!$C$12="PB",('Activity data'!BP20*EF!$H51*EF!$H69)*NtoN2O*kgtoGg,IF('Net zero activities &amp; levers'!$C$12="MS",('Net zero Activity data'!BP20*EF!$H51*EF!$H69)*NtoN2O*kgtoGg,"ERROR")))</f>
        <v>-1.7917905978217188</v>
      </c>
      <c r="AY963" s="85"/>
      <c r="AZ963" s="85"/>
    </row>
    <row r="964" spans="1:52" x14ac:dyDescent="0.25">
      <c r="A964" s="102" t="str">
        <f t="shared" si="326"/>
        <v>DS Poultry MMN2O</v>
      </c>
      <c r="B964" s="102" t="s">
        <v>975</v>
      </c>
      <c r="C964" s="102" t="s">
        <v>1235</v>
      </c>
      <c r="D964" t="s">
        <v>15</v>
      </c>
      <c r="E964" t="s">
        <v>657</v>
      </c>
      <c r="F964" t="s">
        <v>28</v>
      </c>
      <c r="G964" t="s">
        <v>134</v>
      </c>
      <c r="H964" t="s">
        <v>1228</v>
      </c>
      <c r="I964" t="s">
        <v>139</v>
      </c>
      <c r="J964" t="s">
        <v>287</v>
      </c>
      <c r="K964" s="100">
        <f>IF('Net zero activities &amp; levers'!$C$12="Off",('Activity data'!AD21*EF!$H52*EF!$H70)*NtoN2O*kgtoGg,IF('Net zero activities &amp; levers'!$C$12="PB",('Activity data'!AD21*EF!$H52*EF!$H70)*NtoN2O*kgtoGg,IF('Net zero activities &amp; levers'!$C$12="MS",('Net zero Activity data'!AD21*EF!$H52*EF!$H70)*NtoN2O*kgtoGg,"ERROR")))</f>
        <v>1.3734785466564569E-2</v>
      </c>
      <c r="L964" s="100">
        <f>IF('Net zero activities &amp; levers'!$C$12="Off",('Activity data'!AE21*EF!$H52*EF!$H70)*NtoN2O*kgtoGg,IF('Net zero activities &amp; levers'!$C$12="PB",('Activity data'!AE21*EF!$H52*EF!$H70)*NtoN2O*kgtoGg,IF('Net zero activities &amp; levers'!$C$12="MS",('Net zero Activity data'!AE21*EF!$H52*EF!$H70)*NtoN2O*kgtoGg,"ERROR")))</f>
        <v>1.40322217607344E-2</v>
      </c>
      <c r="M964" s="100">
        <f>IF('Net zero activities &amp; levers'!$C$12="Off",('Activity data'!AF21*EF!$H52*EF!$H70)*NtoN2O*kgtoGg,IF('Net zero activities &amp; levers'!$C$12="PB",('Activity data'!AF21*EF!$H52*EF!$H70)*NtoN2O*kgtoGg,IF('Net zero activities &amp; levers'!$C$12="MS",('Net zero Activity data'!AF21*EF!$H52*EF!$H70)*NtoN2O*kgtoGg,"ERROR")))</f>
        <v>1.4271883308885947E-2</v>
      </c>
      <c r="N964" s="100">
        <f>IF('Net zero activities &amp; levers'!$C$12="Off",('Activity data'!AG21*EF!$H52*EF!$H70)*NtoN2O*kgtoGg,IF('Net zero activities &amp; levers'!$C$12="PB",('Activity data'!AG21*EF!$H52*EF!$H70)*NtoN2O*kgtoGg,IF('Net zero activities &amp; levers'!$C$12="MS",('Net zero Activity data'!AG21*EF!$H52*EF!$H70)*NtoN2O*kgtoGg,"ERROR")))</f>
        <v>1.442847469109686E-2</v>
      </c>
      <c r="O964" s="100">
        <f>IF('Net zero activities &amp; levers'!$C$12="Off",('Activity data'!AH21*EF!$H52*EF!$H70)*NtoN2O*kgtoGg,IF('Net zero activities &amp; levers'!$C$12="PB",('Activity data'!AH21*EF!$H52*EF!$H70)*NtoN2O*kgtoGg,IF('Net zero activities &amp; levers'!$C$12="MS",('Net zero Activity data'!AH21*EF!$H52*EF!$H70)*NtoN2O*kgtoGg,"ERROR")))</f>
        <v>1.4587191521362352E-2</v>
      </c>
      <c r="P964" s="100">
        <f>IF('Net zero activities &amp; levers'!$C$12="Off",('Activity data'!AI21*EF!$H52*EF!$H70)*NtoN2O*kgtoGg,IF('Net zero activities &amp; levers'!$C$12="PB",('Activity data'!AI21*EF!$H52*EF!$H70)*NtoN2O*kgtoGg,IF('Net zero activities &amp; levers'!$C$12="MS",('Net zero Activity data'!AI21*EF!$H52*EF!$H70)*NtoN2O*kgtoGg,"ERROR")))</f>
        <v>1.4791807461602316E-2</v>
      </c>
      <c r="Q964" s="100">
        <f>IF('Net zero activities &amp; levers'!$C$12="Off",('Activity data'!AJ21*EF!$H52*EF!$H70)*NtoN2O*kgtoGg,IF('Net zero activities &amp; levers'!$C$12="PB",('Activity data'!AJ21*EF!$H52*EF!$H70)*NtoN2O*kgtoGg,IF('Net zero activities &amp; levers'!$C$12="MS",('Net zero Activity data'!AJ21*EF!$H52*EF!$H70)*NtoN2O*kgtoGg,"ERROR")))</f>
        <v>1.5010624441484299E-2</v>
      </c>
      <c r="R964" s="100">
        <f>IF('Net zero activities &amp; levers'!$C$12="Off",('Activity data'!AK21*EF!$H52*EF!$H70)*NtoN2O*kgtoGg,IF('Net zero activities &amp; levers'!$C$12="PB",('Activity data'!AK21*EF!$H52*EF!$H70)*NtoN2O*kgtoGg,IF('Net zero activities &amp; levers'!$C$12="MS",('Net zero Activity data'!AK21*EF!$H52*EF!$H70)*NtoN2O*kgtoGg,"ERROR")))</f>
        <v>1.5137878207622494E-2</v>
      </c>
      <c r="S964" s="100">
        <f>IF('Net zero activities &amp; levers'!$C$12="Off",('Activity data'!AL21*EF!$H52*EF!$H70)*NtoN2O*kgtoGg,IF('Net zero activities &amp; levers'!$C$12="PB",('Activity data'!AL21*EF!$H52*EF!$H70)*NtoN2O*kgtoGg,IF('Net zero activities &amp; levers'!$C$12="MS",('Net zero Activity data'!AL21*EF!$H52*EF!$H70)*NtoN2O*kgtoGg,"ERROR")))</f>
        <v>1.4405808617287252E-2</v>
      </c>
      <c r="T964" s="100">
        <f>IF('Net zero activities &amp; levers'!$C$12="Off",('Activity data'!AM21*EF!$H52*EF!$H70)*NtoN2O*kgtoGg,IF('Net zero activities &amp; levers'!$C$12="PB",('Activity data'!AM21*EF!$H52*EF!$H70)*NtoN2O*kgtoGg,IF('Net zero activities &amp; levers'!$C$12="MS",('Net zero Activity data'!AM21*EF!$H52*EF!$H70)*NtoN2O*kgtoGg,"ERROR")))</f>
        <v>1.471508187327387E-2</v>
      </c>
      <c r="U964" s="100">
        <f>IF('Net zero activities &amp; levers'!$C$12="Off",('Activity data'!AN21*EF!$H52*EF!$H70)*NtoN2O*kgtoGg,IF('Net zero activities &amp; levers'!$C$12="PB",('Activity data'!AN21*EF!$H52*EF!$H70)*NtoN2O*kgtoGg,IF('Net zero activities &amp; levers'!$C$12="MS",('Net zero Activity data'!AN21*EF!$H52*EF!$H70)*NtoN2O*kgtoGg,"ERROR")))</f>
        <v>1.5003788469876761E-2</v>
      </c>
      <c r="V964" s="100">
        <f>IF('Net zero activities &amp; levers'!$C$12="Off",('Activity data'!AO21*EF!$H52*EF!$H70)*NtoN2O*kgtoGg,IF('Net zero activities &amp; levers'!$C$12="PB",('Activity data'!AO21*EF!$H52*EF!$H70)*NtoN2O*kgtoGg,IF('Net zero activities &amp; levers'!$C$12="MS",('Net zero Activity data'!AO21*EF!$H52*EF!$H70)*NtoN2O*kgtoGg,"ERROR")))</f>
        <v>1.5294774250032041E-2</v>
      </c>
      <c r="W964" s="100">
        <f>IF('Net zero activities &amp; levers'!$C$12="Off",('Activity data'!AP21*EF!$H52*EF!$H70)*NtoN2O*kgtoGg,IF('Net zero activities &amp; levers'!$C$12="PB",('Activity data'!AP21*EF!$H52*EF!$H70)*NtoN2O*kgtoGg,IF('Net zero activities &amp; levers'!$C$12="MS",('Net zero Activity data'!AP21*EF!$H52*EF!$H70)*NtoN2O*kgtoGg,"ERROR")))</f>
        <v>1.5625023048607179E-2</v>
      </c>
      <c r="X964" s="100">
        <f>IF('Net zero activities &amp; levers'!$C$12="Off",('Activity data'!AQ21*EF!$H52*EF!$H70)*NtoN2O*kgtoGg,IF('Net zero activities &amp; levers'!$C$12="PB",('Activity data'!AQ21*EF!$H52*EF!$H70)*NtoN2O*kgtoGg,IF('Net zero activities &amp; levers'!$C$12="MS",('Net zero Activity data'!AQ21*EF!$H52*EF!$H70)*NtoN2O*kgtoGg,"ERROR")))</f>
        <v>1.5958015135036502E-2</v>
      </c>
      <c r="Y964" s="100">
        <f>IF('Net zero activities &amp; levers'!$C$12="Off",('Activity data'!AR21*EF!$H52*EF!$H70)*NtoN2O*kgtoGg,IF('Net zero activities &amp; levers'!$C$12="PB",('Activity data'!AR21*EF!$H52*EF!$H70)*NtoN2O*kgtoGg,IF('Net zero activities &amp; levers'!$C$12="MS",('Net zero Activity data'!AR21*EF!$H52*EF!$H70)*NtoN2O*kgtoGg,"ERROR")))</f>
        <v>1.6291430406484061E-2</v>
      </c>
      <c r="Z964" s="100">
        <f>IF('Net zero activities &amp; levers'!$C$12="Off",('Activity data'!AS21*EF!$H52*EF!$H70)*NtoN2O*kgtoGg,IF('Net zero activities &amp; levers'!$C$12="PB",('Activity data'!AS21*EF!$H52*EF!$H70)*NtoN2O*kgtoGg,IF('Net zero activities &amp; levers'!$C$12="MS",('Net zero Activity data'!AS21*EF!$H52*EF!$H70)*NtoN2O*kgtoGg,"ERROR")))</f>
        <v>1.6618414761251227E-2</v>
      </c>
      <c r="AA964" s="100">
        <f>IF('Net zero activities &amp; levers'!$C$12="Off",('Activity data'!AT21*EF!$H52*EF!$H70)*NtoN2O*kgtoGg,IF('Net zero activities &amp; levers'!$C$12="PB",('Activity data'!AT21*EF!$H52*EF!$H70)*NtoN2O*kgtoGg,IF('Net zero activities &amp; levers'!$C$12="MS",('Net zero Activity data'!AT21*EF!$H52*EF!$H70)*NtoN2O*kgtoGg,"ERROR")))</f>
        <v>1.6962775655512932E-2</v>
      </c>
      <c r="AB964" s="100">
        <f>IF('Net zero activities &amp; levers'!$C$12="Off",('Activity data'!AU21*EF!$H52*EF!$H70)*NtoN2O*kgtoGg,IF('Net zero activities &amp; levers'!$C$12="PB",('Activity data'!AU21*EF!$H52*EF!$H70)*NtoN2O*kgtoGg,IF('Net zero activities &amp; levers'!$C$12="MS",('Net zero Activity data'!AU21*EF!$H52*EF!$H70)*NtoN2O*kgtoGg,"ERROR")))</f>
        <v>1.7292004829036017E-2</v>
      </c>
      <c r="AC964" s="100">
        <f>IF('Net zero activities &amp; levers'!$C$12="Off",('Activity data'!AV21*EF!$H52*EF!$H70)*NtoN2O*kgtoGg,IF('Net zero activities &amp; levers'!$C$12="PB",('Activity data'!AV21*EF!$H52*EF!$H70)*NtoN2O*kgtoGg,IF('Net zero activities &amp; levers'!$C$12="MS",('Net zero Activity data'!AV21*EF!$H52*EF!$H70)*NtoN2O*kgtoGg,"ERROR")))</f>
        <v>1.7629042012552724E-2</v>
      </c>
      <c r="AD964" s="100">
        <f>IF('Net zero activities &amp; levers'!$C$12="Off",('Activity data'!AW21*EF!$H52*EF!$H70)*NtoN2O*kgtoGg,IF('Net zero activities &amp; levers'!$C$12="PB",('Activity data'!AW21*EF!$H52*EF!$H70)*NtoN2O*kgtoGg,IF('Net zero activities &amp; levers'!$C$12="MS",('Net zero Activity data'!AW21*EF!$H52*EF!$H70)*NtoN2O*kgtoGg,"ERROR")))</f>
        <v>1.8011177597074678E-2</v>
      </c>
      <c r="AE964" s="100">
        <f>IF('Net zero activities &amp; levers'!$C$12="Off",('Activity data'!AX21*EF!$H52*EF!$H70)*NtoN2O*kgtoGg,IF('Net zero activities &amp; levers'!$C$12="PB",('Activity data'!AX21*EF!$H52*EF!$H70)*NtoN2O*kgtoGg,IF('Net zero activities &amp; levers'!$C$12="MS",('Net zero Activity data'!AX21*EF!$H52*EF!$H70)*NtoN2O*kgtoGg,"ERROR")))</f>
        <v>1.8419650159724663E-2</v>
      </c>
      <c r="AF964" s="100">
        <f>IF('Net zero activities &amp; levers'!$C$12="Off",('Activity data'!AY21*EF!$H52*EF!$H70)*NtoN2O*kgtoGg,IF('Net zero activities &amp; levers'!$C$12="PB",('Activity data'!AY21*EF!$H52*EF!$H70)*NtoN2O*kgtoGg,IF('Net zero activities &amp; levers'!$C$12="MS",('Net zero Activity data'!AY21*EF!$H52*EF!$H70)*NtoN2O*kgtoGg,"ERROR")))</f>
        <v>1.884097345686063E-2</v>
      </c>
      <c r="AG964" s="100">
        <f>IF('Net zero activities &amp; levers'!$C$12="Off",('Activity data'!AZ21*EF!$H52*EF!$H70)*NtoN2O*kgtoGg,IF('Net zero activities &amp; levers'!$C$12="PB",('Activity data'!AZ21*EF!$H52*EF!$H70)*NtoN2O*kgtoGg,IF('Net zero activities &amp; levers'!$C$12="MS",('Net zero Activity data'!AZ21*EF!$H52*EF!$H70)*NtoN2O*kgtoGg,"ERROR")))</f>
        <v>1.8966380056877074E-2</v>
      </c>
      <c r="AH964" s="100">
        <f>IF('Net zero activities &amp; levers'!$C$12="Off",('Activity data'!BA21*EF!$H52*EF!$H70)*NtoN2O*kgtoGg,IF('Net zero activities &amp; levers'!$C$12="PB",('Activity data'!BA21*EF!$H52*EF!$H70)*NtoN2O*kgtoGg,IF('Net zero activities &amp; levers'!$C$12="MS",('Net zero Activity data'!BA21*EF!$H52*EF!$H70)*NtoN2O*kgtoGg,"ERROR")))</f>
        <v>4.546068341225425E-3</v>
      </c>
      <c r="AI964" s="100">
        <f>IF('Net zero activities &amp; levers'!$C$12="Off",('Activity data'!BB21*EF!$H52*EF!$H70)*NtoN2O*kgtoGg,IF('Net zero activities &amp; levers'!$C$12="PB",('Activity data'!BB21*EF!$H52*EF!$H70)*NtoN2O*kgtoGg,IF('Net zero activities &amp; levers'!$C$12="MS",('Net zero Activity data'!BB21*EF!$H52*EF!$H70)*NtoN2O*kgtoGg,"ERROR")))</f>
        <v>4.5810087211234788E-3</v>
      </c>
      <c r="AJ964" s="100">
        <f>IF('Net zero activities &amp; levers'!$C$12="Off",('Activity data'!BC21*EF!$H52*EF!$H70)*NtoN2O*kgtoGg,IF('Net zero activities &amp; levers'!$C$12="PB",('Activity data'!BC21*EF!$H52*EF!$H70)*NtoN2O*kgtoGg,IF('Net zero activities &amp; levers'!$C$12="MS",('Net zero Activity data'!BC21*EF!$H52*EF!$H70)*NtoN2O*kgtoGg,"ERROR")))</f>
        <v>4.6162034936060832E-3</v>
      </c>
      <c r="AK964" s="100">
        <f>IF('Net zero activities &amp; levers'!$C$12="Off",('Activity data'!BD21*EF!$H52*EF!$H70)*NtoN2O*kgtoGg,IF('Net zero activities &amp; levers'!$C$12="PB",('Activity data'!BD21*EF!$H52*EF!$H70)*NtoN2O*kgtoGg,IF('Net zero activities &amp; levers'!$C$12="MS",('Net zero Activity data'!BD21*EF!$H52*EF!$H70)*NtoN2O*kgtoGg,"ERROR")))</f>
        <v>4.651654595802618E-3</v>
      </c>
      <c r="AL964" s="100">
        <f>IF('Net zero activities &amp; levers'!$C$12="Off",('Activity data'!BE21*EF!$H52*EF!$H70)*NtoN2O*kgtoGg,IF('Net zero activities &amp; levers'!$C$12="PB",('Activity data'!BE21*EF!$H52*EF!$H70)*NtoN2O*kgtoGg,IF('Net zero activities &amp; levers'!$C$12="MS",('Net zero Activity data'!BE21*EF!$H52*EF!$H70)*NtoN2O*kgtoGg,"ERROR")))</f>
        <v>4.6873639736392985E-3</v>
      </c>
      <c r="AM964" s="100">
        <f>IF('Net zero activities &amp; levers'!$C$12="Off",('Activity data'!BF21*EF!$H52*EF!$H70)*NtoN2O*kgtoGg,IF('Net zero activities &amp; levers'!$C$12="PB",('Activity data'!BF21*EF!$H52*EF!$H70)*NtoN2O*kgtoGg,IF('Net zero activities &amp; levers'!$C$12="MS",('Net zero Activity data'!BF21*EF!$H52*EF!$H70)*NtoN2O*kgtoGg,"ERROR")))</f>
        <v>4.7233335824115215E-3</v>
      </c>
      <c r="AN964" s="100">
        <f>IF('Net zero activities &amp; levers'!$C$12="Off",('Activity data'!BG21*EF!$H52*EF!$H70)*NtoN2O*kgtoGg,IF('Net zero activities &amp; levers'!$C$12="PB",('Activity data'!BG21*EF!$H52*EF!$H70)*NtoN2O*kgtoGg,IF('Net zero activities &amp; levers'!$C$12="MS",('Net zero Activity data'!BG21*EF!$H52*EF!$H70)*NtoN2O*kgtoGg,"ERROR")))</f>
        <v>4.7540821229171398E-3</v>
      </c>
      <c r="AO964" s="100">
        <f>IF('Net zero activities &amp; levers'!$C$12="Off",('Activity data'!BH21*EF!$H52*EF!$H70)*NtoN2O*kgtoGg,IF('Net zero activities &amp; levers'!$C$12="PB",('Activity data'!BH21*EF!$H52*EF!$H70)*NtoN2O*kgtoGg,IF('Net zero activities &amp; levers'!$C$12="MS",('Net zero Activity data'!BH21*EF!$H52*EF!$H70)*NtoN2O*kgtoGg,"ERROR")))</f>
        <v>4.7850204669563062E-3</v>
      </c>
      <c r="AP964" s="100">
        <f>IF('Net zero activities &amp; levers'!$C$12="Off",('Activity data'!BI21*EF!$H52*EF!$H70)*NtoN2O*kgtoGg,IF('Net zero activities &amp; levers'!$C$12="PB",('Activity data'!BI21*EF!$H52*EF!$H70)*NtoN2O*kgtoGg,IF('Net zero activities &amp; levers'!$C$12="MS",('Net zero Activity data'!BI21*EF!$H52*EF!$H70)*NtoN2O*kgtoGg,"ERROR")))</f>
        <v>4.8161498482772597E-3</v>
      </c>
      <c r="AQ964" s="100">
        <f>IF('Net zero activities &amp; levers'!$C$12="Off",('Activity data'!BJ21*EF!$H52*EF!$H70)*NtoN2O*kgtoGg,IF('Net zero activities &amp; levers'!$C$12="PB",('Activity data'!BJ21*EF!$H52*EF!$H70)*NtoN2O*kgtoGg,IF('Net zero activities &amp; levers'!$C$12="MS",('Net zero Activity data'!BJ21*EF!$H52*EF!$H70)*NtoN2O*kgtoGg,"ERROR")))</f>
        <v>4.8474715047566626E-3</v>
      </c>
      <c r="AR964" s="100">
        <f>IF('Net zero activities &amp; levers'!$C$12="Off",('Activity data'!BK21*EF!$H52*EF!$H70)*NtoN2O*kgtoGg,IF('Net zero activities &amp; levers'!$C$12="PB",('Activity data'!BK21*EF!$H52*EF!$H70)*NtoN2O*kgtoGg,IF('Net zero activities &amp; levers'!$C$12="MS",('Net zero Activity data'!BK21*EF!$H52*EF!$H70)*NtoN2O*kgtoGg,"ERROR")))</f>
        <v>4.8789866787234456E-3</v>
      </c>
      <c r="AS964" s="100">
        <f>IF('Net zero activities &amp; levers'!$C$12="Off",('Activity data'!BL21*EF!$H52*EF!$H70)*NtoN2O*kgtoGg,IF('Net zero activities &amp; levers'!$C$12="PB",('Activity data'!BL21*EF!$H52*EF!$H70)*NtoN2O*kgtoGg,IF('Net zero activities &amp; levers'!$C$12="MS",('Net zero Activity data'!BL21*EF!$H52*EF!$H70)*NtoN2O*kgtoGg,"ERROR")))</f>
        <v>4.9050616092112158E-3</v>
      </c>
      <c r="AT964" s="100">
        <f>IF('Net zero activities &amp; levers'!$C$12="Off",('Activity data'!BM21*EF!$H52*EF!$H70)*NtoN2O*kgtoGg,IF('Net zero activities &amp; levers'!$C$12="PB",('Activity data'!BM21*EF!$H52*EF!$H70)*NtoN2O*kgtoGg,IF('Net zero activities &amp; levers'!$C$12="MS",('Net zero Activity data'!BM21*EF!$H52*EF!$H70)*NtoN2O*kgtoGg,"ERROR")))</f>
        <v>4.9312686367658596E-3</v>
      </c>
      <c r="AU964" s="100">
        <f>IF('Net zero activities &amp; levers'!$C$12="Off",('Activity data'!BN21*EF!$H52*EF!$H70)*NtoN2O*kgtoGg,IF('Net zero activities &amp; levers'!$C$12="PB",('Activity data'!BN21*EF!$H52*EF!$H70)*NtoN2O*kgtoGg,IF('Net zero activities &amp; levers'!$C$12="MS",('Net zero Activity data'!BN21*EF!$H52*EF!$H70)*NtoN2O*kgtoGg,"ERROR")))</f>
        <v>4.9576084778655159E-3</v>
      </c>
      <c r="AV964" s="100">
        <f>IF('Net zero activities &amp; levers'!$C$12="Off",('Activity data'!BO21*EF!$H52*EF!$H70)*NtoN2O*kgtoGg,IF('Net zero activities &amp; levers'!$C$12="PB",('Activity data'!BO21*EF!$H52*EF!$H70)*NtoN2O*kgtoGg,IF('Net zero activities &amp; levers'!$C$12="MS",('Net zero Activity data'!BO21*EF!$H52*EF!$H70)*NtoN2O*kgtoGg,"ERROR")))</f>
        <v>4.9840818501936824E-3</v>
      </c>
      <c r="AW964" s="100">
        <f>IF('Net zero activities &amp; levers'!$C$12="Off",('Activity data'!BP21*EF!$H52*EF!$H70)*NtoN2O*kgtoGg,IF('Net zero activities &amp; levers'!$C$12="PB",('Activity data'!BP21*EF!$H52*EF!$H70)*NtoN2O*kgtoGg,IF('Net zero activities &amp; levers'!$C$12="MS",('Net zero Activity data'!BP21*EF!$H52*EF!$H70)*NtoN2O*kgtoGg,"ERROR")))</f>
        <v>5.0106894728324993E-3</v>
      </c>
      <c r="AY964" s="85"/>
      <c r="AZ964" s="85"/>
    </row>
    <row r="965" spans="1:52" x14ac:dyDescent="0.25">
      <c r="A965" s="102" t="str">
        <f t="shared" si="326"/>
        <v>DS Poultry MMN2O</v>
      </c>
      <c r="B965" s="102" t="s">
        <v>975</v>
      </c>
      <c r="C965" s="102" t="s">
        <v>1235</v>
      </c>
      <c r="D965" t="s">
        <v>15</v>
      </c>
      <c r="E965" t="s">
        <v>657</v>
      </c>
      <c r="F965" t="s">
        <v>28</v>
      </c>
      <c r="G965" t="s">
        <v>133</v>
      </c>
      <c r="H965" t="s">
        <v>1228</v>
      </c>
      <c r="I965" t="s">
        <v>139</v>
      </c>
      <c r="J965" t="s">
        <v>287</v>
      </c>
      <c r="K965" s="100">
        <f>IF('Net zero activities &amp; levers'!$C$12="Off",('Activity data'!AD22*EF!$H53*EF!$H71)*NtoN2O*kgtoGg,IF('Net zero activities &amp; levers'!$C$12="PB",('Activity data'!AD22*EF!$H53*EF!$H71)*NtoN2O*kgtoGg,IF('Net zero activities &amp; levers'!$C$12="MS",('Net zero Activity data'!AD22*EF!$H53*EF!$H71)*NtoN2O*kgtoGg,"ERROR")))</f>
        <v>7.1735542892714194E-2</v>
      </c>
      <c r="L965" s="100">
        <f>IF('Net zero activities &amp; levers'!$C$12="Off",('Activity data'!AE22*EF!$H53*EF!$H71)*NtoN2O*kgtoGg,IF('Net zero activities &amp; levers'!$C$12="PB",('Activity data'!AE22*EF!$H53*EF!$H71)*NtoN2O*kgtoGg,IF('Net zero activities &amp; levers'!$C$12="MS",('Net zero Activity data'!AE22*EF!$H53*EF!$H71)*NtoN2O*kgtoGg,"ERROR")))</f>
        <v>7.2899641050755595E-2</v>
      </c>
      <c r="M965" s="100">
        <f>IF('Net zero activities &amp; levers'!$C$12="Off",('Activity data'!AF22*EF!$H53*EF!$H71)*NtoN2O*kgtoGg,IF('Net zero activities &amp; levers'!$C$12="PB",('Activity data'!AF22*EF!$H53*EF!$H71)*NtoN2O*kgtoGg,IF('Net zero activities &amp; levers'!$C$12="MS",('Net zero Activity data'!AF22*EF!$H53*EF!$H71)*NtoN2O*kgtoGg,"ERROR")))</f>
        <v>7.3245286101397272E-2</v>
      </c>
      <c r="N965" s="100">
        <f>IF('Net zero activities &amp; levers'!$C$12="Off",('Activity data'!AG22*EF!$H53*EF!$H71)*NtoN2O*kgtoGg,IF('Net zero activities &amp; levers'!$C$12="PB",('Activity data'!AG22*EF!$H53*EF!$H71)*NtoN2O*kgtoGg,IF('Net zero activities &amp; levers'!$C$12="MS",('Net zero Activity data'!AG22*EF!$H53*EF!$H71)*NtoN2O*kgtoGg,"ERROR")))</f>
        <v>7.2470495750789329E-2</v>
      </c>
      <c r="O965" s="100">
        <f>IF('Net zero activities &amp; levers'!$C$12="Off",('Activity data'!AH22*EF!$H53*EF!$H71)*NtoN2O*kgtoGg,IF('Net zero activities &amp; levers'!$C$12="PB",('Activity data'!AH22*EF!$H53*EF!$H71)*NtoN2O*kgtoGg,IF('Net zero activities &amp; levers'!$C$12="MS",('Net zero Activity data'!AH22*EF!$H53*EF!$H71)*NtoN2O*kgtoGg,"ERROR")))</f>
        <v>7.1697368993032501E-2</v>
      </c>
      <c r="P965" s="100">
        <f>IF('Net zero activities &amp; levers'!$C$12="Off",('Activity data'!AI22*EF!$H53*EF!$H71)*NtoN2O*kgtoGg,IF('Net zero activities &amp; levers'!$C$12="PB",('Activity data'!AI22*EF!$H53*EF!$H71)*NtoN2O*kgtoGg,IF('Net zero activities &amp; levers'!$C$12="MS",('Net zero Activity data'!AI22*EF!$H53*EF!$H71)*NtoN2O*kgtoGg,"ERROR")))</f>
        <v>7.1473038560182875E-2</v>
      </c>
      <c r="Q965" s="100">
        <f>IF('Net zero activities &amp; levers'!$C$12="Off",('Activity data'!AJ22*EF!$H53*EF!$H71)*NtoN2O*kgtoGg,IF('Net zero activities &amp; levers'!$C$12="PB",('Activity data'!AJ22*EF!$H53*EF!$H71)*NtoN2O*kgtoGg,IF('Net zero activities &amp; levers'!$C$12="MS",('Net zero Activity data'!AJ22*EF!$H53*EF!$H71)*NtoN2O*kgtoGg,"ERROR")))</f>
        <v>7.1426306839747711E-2</v>
      </c>
      <c r="R965" s="100">
        <f>IF('Net zero activities &amp; levers'!$C$12="Off",('Activity data'!AK22*EF!$H53*EF!$H71)*NtoN2O*kgtoGg,IF('Net zero activities &amp; levers'!$C$12="PB",('Activity data'!AK22*EF!$H53*EF!$H71)*NtoN2O*kgtoGg,IF('Net zero activities &amp; levers'!$C$12="MS",('Net zero Activity data'!AK22*EF!$H53*EF!$H71)*NtoN2O*kgtoGg,"ERROR")))</f>
        <v>7.0234895200938272E-2</v>
      </c>
      <c r="S965" s="100">
        <f>IF('Net zero activities &amp; levers'!$C$12="Off",('Activity data'!AL22*EF!$H53*EF!$H71)*NtoN2O*kgtoGg,IF('Net zero activities &amp; levers'!$C$12="PB",('Activity data'!AL22*EF!$H53*EF!$H71)*NtoN2O*kgtoGg,IF('Net zero activities &amp; levers'!$C$12="MS",('Net zero Activity data'!AL22*EF!$H53*EF!$H71)*NtoN2O*kgtoGg,"ERROR")))</f>
        <v>5.8522787565181415E-2</v>
      </c>
      <c r="T965" s="100">
        <f>IF('Net zero activities &amp; levers'!$C$12="Off",('Activity data'!AM22*EF!$H53*EF!$H71)*NtoN2O*kgtoGg,IF('Net zero activities &amp; levers'!$C$12="PB",('Activity data'!AM22*EF!$H53*EF!$H71)*NtoN2O*kgtoGg,IF('Net zero activities &amp; levers'!$C$12="MS",('Net zero Activity data'!AM22*EF!$H53*EF!$H71)*NtoN2O*kgtoGg,"ERROR")))</f>
        <v>6.0249063830763963E-2</v>
      </c>
      <c r="U965" s="100">
        <f>IF('Net zero activities &amp; levers'!$C$12="Off",('Activity data'!AN22*EF!$H53*EF!$H71)*NtoN2O*kgtoGg,IF('Net zero activities &amp; levers'!$C$12="PB",('Activity data'!AN22*EF!$H53*EF!$H71)*NtoN2O*kgtoGg,IF('Net zero activities &amp; levers'!$C$12="MS",('Net zero Activity data'!AN22*EF!$H53*EF!$H71)*NtoN2O*kgtoGg,"ERROR")))</f>
        <v>6.1691998935437933E-2</v>
      </c>
      <c r="V965" s="100">
        <f>IF('Net zero activities &amp; levers'!$C$12="Off",('Activity data'!AO22*EF!$H53*EF!$H71)*NtoN2O*kgtoGg,IF('Net zero activities &amp; levers'!$C$12="PB",('Activity data'!AO22*EF!$H53*EF!$H71)*NtoN2O*kgtoGg,IF('Net zero activities &amp; levers'!$C$12="MS",('Net zero Activity data'!AO22*EF!$H53*EF!$H71)*NtoN2O*kgtoGg,"ERROR")))</f>
        <v>6.313143293027125E-2</v>
      </c>
      <c r="W965" s="100">
        <f>IF('Net zero activities &amp; levers'!$C$12="Off",('Activity data'!AP22*EF!$H53*EF!$H71)*NtoN2O*kgtoGg,IF('Net zero activities &amp; levers'!$C$12="PB",('Activity data'!AP22*EF!$H53*EF!$H71)*NtoN2O*kgtoGg,IF('Net zero activities &amp; levers'!$C$12="MS",('Net zero Activity data'!AP22*EF!$H53*EF!$H71)*NtoN2O*kgtoGg,"ERROR")))</f>
        <v>6.5004182026745502E-2</v>
      </c>
      <c r="X965" s="100">
        <f>IF('Net zero activities &amp; levers'!$C$12="Off",('Activity data'!AQ22*EF!$H53*EF!$H71)*NtoN2O*kgtoGg,IF('Net zero activities &amp; levers'!$C$12="PB",('Activity data'!AQ22*EF!$H53*EF!$H71)*NtoN2O*kgtoGg,IF('Net zero activities &amp; levers'!$C$12="MS",('Net zero Activity data'!AQ22*EF!$H53*EF!$H71)*NtoN2O*kgtoGg,"ERROR")))</f>
        <v>6.6871309718523023E-2</v>
      </c>
      <c r="Y965" s="100">
        <f>IF('Net zero activities &amp; levers'!$C$12="Off",('Activity data'!AR22*EF!$H53*EF!$H71)*NtoN2O*kgtoGg,IF('Net zero activities &amp; levers'!$C$12="PB",('Activity data'!AR22*EF!$H53*EF!$H71)*NtoN2O*kgtoGg,IF('Net zero activities &amp; levers'!$C$12="MS",('Net zero Activity data'!AR22*EF!$H53*EF!$H71)*NtoN2O*kgtoGg,"ERROR")))</f>
        <v>6.8921291515234503E-2</v>
      </c>
      <c r="Z965" s="100">
        <f>IF('Net zero activities &amp; levers'!$C$12="Off",('Activity data'!AS22*EF!$H53*EF!$H71)*NtoN2O*kgtoGg,IF('Net zero activities &amp; levers'!$C$12="PB",('Activity data'!AS22*EF!$H53*EF!$H71)*NtoN2O*kgtoGg,IF('Net zero activities &amp; levers'!$C$12="MS",('Net zero Activity data'!AS22*EF!$H53*EF!$H71)*NtoN2O*kgtoGg,"ERROR")))</f>
        <v>7.086181420314748E-2</v>
      </c>
      <c r="AA965" s="100">
        <f>IF('Net zero activities &amp; levers'!$C$12="Off",('Activity data'!AT22*EF!$H53*EF!$H71)*NtoN2O*kgtoGg,IF('Net zero activities &amp; levers'!$C$12="PB",('Activity data'!AT22*EF!$H53*EF!$H71)*NtoN2O*kgtoGg,IF('Net zero activities &amp; levers'!$C$12="MS",('Net zero Activity data'!AT22*EF!$H53*EF!$H71)*NtoN2O*kgtoGg,"ERROR")))</f>
        <v>7.2967827248055561E-2</v>
      </c>
      <c r="AB965" s="100">
        <f>IF('Net zero activities &amp; levers'!$C$12="Off",('Activity data'!AU22*EF!$H53*EF!$H71)*NtoN2O*kgtoGg,IF('Net zero activities &amp; levers'!$C$12="PB",('Activity data'!AU22*EF!$H53*EF!$H71)*NtoN2O*kgtoGg,IF('Net zero activities &amp; levers'!$C$12="MS",('Net zero Activity data'!AU22*EF!$H53*EF!$H71)*NtoN2O*kgtoGg,"ERROR")))</f>
        <v>7.4866772022575287E-2</v>
      </c>
      <c r="AC965" s="100">
        <f>IF('Net zero activities &amp; levers'!$C$12="Off",('Activity data'!AV22*EF!$H53*EF!$H71)*NtoN2O*kgtoGg,IF('Net zero activities &amp; levers'!$C$12="PB",('Activity data'!AV22*EF!$H53*EF!$H71)*NtoN2O*kgtoGg,IF('Net zero activities &amp; levers'!$C$12="MS",('Net zero Activity data'!AV22*EF!$H53*EF!$H71)*NtoN2O*kgtoGg,"ERROR")))</f>
        <v>7.682178955016325E-2</v>
      </c>
      <c r="AD965" s="100">
        <f>IF('Net zero activities &amp; levers'!$C$12="Off",('Activity data'!AW22*EF!$H53*EF!$H71)*NtoN2O*kgtoGg,IF('Net zero activities &amp; levers'!$C$12="PB",('Activity data'!AW22*EF!$H53*EF!$H71)*NtoN2O*kgtoGg,IF('Net zero activities &amp; levers'!$C$12="MS",('Net zero Activity data'!AW22*EF!$H53*EF!$H71)*NtoN2O*kgtoGg,"ERROR")))</f>
        <v>7.9419865944424156E-2</v>
      </c>
      <c r="AE965" s="100">
        <f>IF('Net zero activities &amp; levers'!$C$12="Off",('Activity data'!AX22*EF!$H53*EF!$H71)*NtoN2O*kgtoGg,IF('Net zero activities &amp; levers'!$C$12="PB",('Activity data'!AX22*EF!$H53*EF!$H71)*NtoN2O*kgtoGg,IF('Net zero activities &amp; levers'!$C$12="MS",('Net zero Activity data'!AX22*EF!$H53*EF!$H71)*NtoN2O*kgtoGg,"ERROR")))</f>
        <v>8.2272223951986606E-2</v>
      </c>
      <c r="AF965" s="100">
        <f>IF('Net zero activities &amp; levers'!$C$12="Off",('Activity data'!AY22*EF!$H53*EF!$H71)*NtoN2O*kgtoGg,IF('Net zero activities &amp; levers'!$C$12="PB",('Activity data'!AY22*EF!$H53*EF!$H71)*NtoN2O*kgtoGg,IF('Net zero activities &amp; levers'!$C$12="MS",('Net zero Activity data'!AY22*EF!$H53*EF!$H71)*NtoN2O*kgtoGg,"ERROR")))</f>
        <v>8.5225182924223236E-2</v>
      </c>
      <c r="AG965" s="100">
        <f>IF('Net zero activities &amp; levers'!$C$12="Off",('Activity data'!AZ22*EF!$H53*EF!$H71)*NtoN2O*kgtoGg,IF('Net zero activities &amp; levers'!$C$12="PB",('Activity data'!AZ22*EF!$H53*EF!$H71)*NtoN2O*kgtoGg,IF('Net zero activities &amp; levers'!$C$12="MS",('Net zero Activity data'!AZ22*EF!$H53*EF!$H71)*NtoN2O*kgtoGg,"ERROR")))</f>
        <v>8.4896351348960508E-2</v>
      </c>
      <c r="AH965" s="100">
        <f>IF('Net zero activities &amp; levers'!$C$12="Off",('Activity data'!BA22*EF!$H53*EF!$H71)*NtoN2O*kgtoGg,IF('Net zero activities &amp; levers'!$C$12="PB",('Activity data'!BA22*EF!$H53*EF!$H71)*NtoN2O*kgtoGg,IF('Net zero activities &amp; levers'!$C$12="MS",('Net zero Activity data'!BA22*EF!$H53*EF!$H71)*NtoN2O*kgtoGg,"ERROR")))</f>
        <v>-7.3626502595036822E-2</v>
      </c>
      <c r="AI965" s="100">
        <f>IF('Net zero activities &amp; levers'!$C$12="Off",('Activity data'!BB22*EF!$H53*EF!$H71)*NtoN2O*kgtoGg,IF('Net zero activities &amp; levers'!$C$12="PB",('Activity data'!BB22*EF!$H53*EF!$H71)*NtoN2O*kgtoGg,IF('Net zero activities &amp; levers'!$C$12="MS",('Net zero Activity data'!BB22*EF!$H53*EF!$H71)*NtoN2O*kgtoGg,"ERROR")))</f>
        <v>-7.3731994296060199E-2</v>
      </c>
      <c r="AJ965" s="100">
        <f>IF('Net zero activities &amp; levers'!$C$12="Off",('Activity data'!BC22*EF!$H53*EF!$H71)*NtoN2O*kgtoGg,IF('Net zero activities &amp; levers'!$C$12="PB",('Activity data'!BC22*EF!$H53*EF!$H71)*NtoN2O*kgtoGg,IF('Net zero activities &amp; levers'!$C$12="MS",('Net zero Activity data'!BC22*EF!$H53*EF!$H71)*NtoN2O*kgtoGg,"ERROR")))</f>
        <v>-7.3846412883113402E-2</v>
      </c>
      <c r="AK965" s="100">
        <f>IF('Net zero activities &amp; levers'!$C$12="Off",('Activity data'!BD22*EF!$H53*EF!$H71)*NtoN2O*kgtoGg,IF('Net zero activities &amp; levers'!$C$12="PB",('Activity data'!BD22*EF!$H53*EF!$H71)*NtoN2O*kgtoGg,IF('Net zero activities &amp; levers'!$C$12="MS",('Net zero Activity data'!BD22*EF!$H53*EF!$H71)*NtoN2O*kgtoGg,"ERROR")))</f>
        <v>-7.3969385819317404E-2</v>
      </c>
      <c r="AL965" s="100">
        <f>IF('Net zero activities &amp; levers'!$C$12="Off",('Activity data'!BE22*EF!$H53*EF!$H71)*NtoN2O*kgtoGg,IF('Net zero activities &amp; levers'!$C$12="PB",('Activity data'!BE22*EF!$H53*EF!$H71)*NtoN2O*kgtoGg,IF('Net zero activities &amp; levers'!$C$12="MS",('Net zero Activity data'!BE22*EF!$H53*EF!$H71)*NtoN2O*kgtoGg,"ERROR")))</f>
        <v>-7.4100569503633099E-2</v>
      </c>
      <c r="AM965" s="100">
        <f>IF('Net zero activities &amp; levers'!$C$12="Off",('Activity data'!BF22*EF!$H53*EF!$H71)*NtoN2O*kgtoGg,IF('Net zero activities &amp; levers'!$C$12="PB",('Activity data'!BF22*EF!$H53*EF!$H71)*NtoN2O*kgtoGg,IF('Net zero activities &amp; levers'!$C$12="MS",('Net zero Activity data'!BF22*EF!$H53*EF!$H71)*NtoN2O*kgtoGg,"ERROR")))</f>
        <v>-7.4239646491315286E-2</v>
      </c>
      <c r="AN965" s="100">
        <f>IF('Net zero activities &amp; levers'!$C$12="Off",('Activity data'!BG22*EF!$H53*EF!$H71)*NtoN2O*kgtoGg,IF('Net zero activities &amp; levers'!$C$12="PB",('Activity data'!BG22*EF!$H53*EF!$H71)*NtoN2O*kgtoGg,IF('Net zero activities &amp; levers'!$C$12="MS",('Net zero Activity data'!BG22*EF!$H53*EF!$H71)*NtoN2O*kgtoGg,"ERROR")))</f>
        <v>-7.4296888099696562E-2</v>
      </c>
      <c r="AO965" s="100">
        <f>IF('Net zero activities &amp; levers'!$C$12="Off",('Activity data'!BH22*EF!$H53*EF!$H71)*NtoN2O*kgtoGg,IF('Net zero activities &amp; levers'!$C$12="PB",('Activity data'!BH22*EF!$H53*EF!$H71)*NtoN2O*kgtoGg,IF('Net zero activities &amp; levers'!$C$12="MS",('Net zero Activity data'!BH22*EF!$H53*EF!$H71)*NtoN2O*kgtoGg,"ERROR")))</f>
        <v>-7.4361303731255379E-2</v>
      </c>
      <c r="AP965" s="100">
        <f>IF('Net zero activities &amp; levers'!$C$12="Off",('Activity data'!BI22*EF!$H53*EF!$H71)*NtoN2O*kgtoGg,IF('Net zero activities &amp; levers'!$C$12="PB",('Activity data'!BI22*EF!$H53*EF!$H71)*NtoN2O*kgtoGg,IF('Net zero activities &amp; levers'!$C$12="MS",('Net zero Activity data'!BI22*EF!$H53*EF!$H71)*NtoN2O*kgtoGg,"ERROR")))</f>
        <v>-7.4432614822324453E-2</v>
      </c>
      <c r="AQ965" s="100">
        <f>IF('Net zero activities &amp; levers'!$C$12="Off",('Activity data'!BJ22*EF!$H53*EF!$H71)*NtoN2O*kgtoGg,IF('Net zero activities &amp; levers'!$C$12="PB",('Activity data'!BJ22*EF!$H53*EF!$H71)*NtoN2O*kgtoGg,IF('Net zero activities &amp; levers'!$C$12="MS",('Net zero Activity data'!BJ22*EF!$H53*EF!$H71)*NtoN2O*kgtoGg,"ERROR")))</f>
        <v>-7.4510561936601619E-2</v>
      </c>
      <c r="AR965" s="100">
        <f>IF('Net zero activities &amp; levers'!$C$12="Off",('Activity data'!BK22*EF!$H53*EF!$H71)*NtoN2O*kgtoGg,IF('Net zero activities &amp; levers'!$C$12="PB",('Activity data'!BK22*EF!$H53*EF!$H71)*NtoN2O*kgtoGg,IF('Net zero activities &amp; levers'!$C$12="MS",('Net zero Activity data'!BK22*EF!$H53*EF!$H71)*NtoN2O*kgtoGg,"ERROR")))</f>
        <v>-7.4594903121597153E-2</v>
      </c>
      <c r="AS965" s="100">
        <f>IF('Net zero activities &amp; levers'!$C$12="Off",('Activity data'!BL22*EF!$H53*EF!$H71)*NtoN2O*kgtoGg,IF('Net zero activities &amp; levers'!$C$12="PB",('Activity data'!BL22*EF!$H53*EF!$H71)*NtoN2O*kgtoGg,IF('Net zero activities &amp; levers'!$C$12="MS",('Net zero Activity data'!BL22*EF!$H53*EF!$H71)*NtoN2O*kgtoGg,"ERROR")))</f>
        <v>-7.4596092548896764E-2</v>
      </c>
      <c r="AT965" s="100">
        <f>IF('Net zero activities &amp; levers'!$C$12="Off",('Activity data'!BM22*EF!$H53*EF!$H71)*NtoN2O*kgtoGg,IF('Net zero activities &amp; levers'!$C$12="PB",('Activity data'!BM22*EF!$H53*EF!$H71)*NtoN2O*kgtoGg,IF('Net zero activities &amp; levers'!$C$12="MS",('Net zero Activity data'!BM22*EF!$H53*EF!$H71)*NtoN2O*kgtoGg,"ERROR")))</f>
        <v>-7.4603203438028065E-2</v>
      </c>
      <c r="AU965" s="100">
        <f>IF('Net zero activities &amp; levers'!$C$12="Off",('Activity data'!BN22*EF!$H53*EF!$H71)*NtoN2O*kgtoGg,IF('Net zero activities &amp; levers'!$C$12="PB",('Activity data'!BN22*EF!$H53*EF!$H71)*NtoN2O*kgtoGg,IF('Net zero activities &amp; levers'!$C$12="MS",('Net zero Activity data'!BN22*EF!$H53*EF!$H71)*NtoN2O*kgtoGg,"ERROR")))</f>
        <v>-7.4616016856982936E-2</v>
      </c>
      <c r="AV965" s="100">
        <f>IF('Net zero activities &amp; levers'!$C$12="Off",('Activity data'!BO22*EF!$H53*EF!$H71)*NtoN2O*kgtoGg,IF('Net zero activities &amp; levers'!$C$12="PB",('Activity data'!BO22*EF!$H53*EF!$H71)*NtoN2O*kgtoGg,IF('Net zero activities &amp; levers'!$C$12="MS",('Net zero Activity data'!BO22*EF!$H53*EF!$H71)*NtoN2O*kgtoGg,"ERROR")))</f>
        <v>-7.4634327286008981E-2</v>
      </c>
      <c r="AW965" s="100">
        <f>IF('Net zero activities &amp; levers'!$C$12="Off",('Activity data'!BP22*EF!$H53*EF!$H71)*NtoN2O*kgtoGg,IF('Net zero activities &amp; levers'!$C$12="PB",('Activity data'!BP22*EF!$H53*EF!$H71)*NtoN2O*kgtoGg,IF('Net zero activities &amp; levers'!$C$12="MS",('Net zero Activity data'!BP22*EF!$H53*EF!$H71)*NtoN2O*kgtoGg,"ERROR")))</f>
        <v>-7.465794157590501E-2</v>
      </c>
      <c r="AY965" s="85"/>
      <c r="AZ965" s="85"/>
    </row>
    <row r="966" spans="1:52" x14ac:dyDescent="0.25">
      <c r="A966" s="102" t="str">
        <f t="shared" si="326"/>
        <v>DS Synthetic</v>
      </c>
      <c r="B966" s="102" t="s">
        <v>975</v>
      </c>
      <c r="C966" s="102" t="s">
        <v>1127</v>
      </c>
      <c r="D966" t="s">
        <v>369</v>
      </c>
      <c r="E966" t="s">
        <v>55</v>
      </c>
      <c r="H966" t="s">
        <v>419</v>
      </c>
      <c r="I966" t="s">
        <v>139</v>
      </c>
      <c r="J966" t="s">
        <v>287</v>
      </c>
      <c r="K966" s="22">
        <f>K1463</f>
        <v>6.6064812063358538</v>
      </c>
      <c r="L966" s="22">
        <f t="shared" ref="L966:AW966" si="339">L1463</f>
        <v>6.6055332632324646</v>
      </c>
      <c r="M966" s="22">
        <f t="shared" si="339"/>
        <v>6.6042378924026437</v>
      </c>
      <c r="N966" s="22">
        <f t="shared" si="339"/>
        <v>6.6032976249569808</v>
      </c>
      <c r="O966" s="22">
        <f t="shared" si="339"/>
        <v>6.6028397217143464</v>
      </c>
      <c r="P966" s="22">
        <f t="shared" si="339"/>
        <v>6.6023877667619955</v>
      </c>
      <c r="Q966" s="22">
        <f t="shared" si="339"/>
        <v>6.6017040685586048</v>
      </c>
      <c r="R966" s="22">
        <f t="shared" si="339"/>
        <v>6.6009555191940086</v>
      </c>
      <c r="S966" s="22">
        <f t="shared" si="339"/>
        <v>6.6007105452260202</v>
      </c>
      <c r="T966" s="22">
        <f t="shared" si="339"/>
        <v>6.6052103201480445</v>
      </c>
      <c r="U966" s="22">
        <f t="shared" si="339"/>
        <v>6.6038066881148643</v>
      </c>
      <c r="V966" s="22">
        <f t="shared" si="339"/>
        <v>6.60254471504373</v>
      </c>
      <c r="W966" s="22">
        <f t="shared" si="339"/>
        <v>6.6012944407562824</v>
      </c>
      <c r="X966" s="22">
        <f t="shared" si="339"/>
        <v>6.5998592560706051</v>
      </c>
      <c r="Y966" s="22">
        <f t="shared" si="339"/>
        <v>6.5984396481179575</v>
      </c>
      <c r="Z966" s="22">
        <f t="shared" si="339"/>
        <v>6.5970003432051669</v>
      </c>
      <c r="AA966" s="22">
        <f t="shared" si="339"/>
        <v>6.595622302868513</v>
      </c>
      <c r="AB966" s="22">
        <f t="shared" si="339"/>
        <v>6.5941853622185969</v>
      </c>
      <c r="AC966" s="22">
        <f t="shared" si="339"/>
        <v>6.592850540390411</v>
      </c>
      <c r="AD966" s="22">
        <f t="shared" si="339"/>
        <v>6.5915038110737925</v>
      </c>
      <c r="AE966" s="22">
        <f t="shared" si="339"/>
        <v>6.5899366744546857</v>
      </c>
      <c r="AF966" s="22">
        <f t="shared" si="339"/>
        <v>6.5882822576482969</v>
      </c>
      <c r="AG966" s="22">
        <f t="shared" si="339"/>
        <v>6.5866069718802809</v>
      </c>
      <c r="AH966" s="22">
        <f t="shared" si="339"/>
        <v>6.5862744996812319</v>
      </c>
      <c r="AI966" s="22">
        <f t="shared" si="339"/>
        <v>6.7244352177988764</v>
      </c>
      <c r="AJ966" s="22">
        <f t="shared" si="339"/>
        <v>6.7246796459520661</v>
      </c>
      <c r="AK966" s="22">
        <f t="shared" si="339"/>
        <v>6.7249266471091245</v>
      </c>
      <c r="AL966" s="22">
        <f t="shared" si="339"/>
        <v>6.7251762567164626</v>
      </c>
      <c r="AM966" s="22">
        <f t="shared" si="339"/>
        <v>6.725428510887201</v>
      </c>
      <c r="AN966" s="22">
        <f t="shared" si="339"/>
        <v>6.7256834464178157</v>
      </c>
      <c r="AO966" s="22">
        <f t="shared" si="339"/>
        <v>6.7259019731905472</v>
      </c>
      <c r="AP966" s="22">
        <f t="shared" si="339"/>
        <v>6.7261224822219834</v>
      </c>
      <c r="AQ966" s="22">
        <f t="shared" si="339"/>
        <v>6.7263449972304938</v>
      </c>
      <c r="AR966" s="22">
        <f t="shared" si="339"/>
        <v>6.7265695423235661</v>
      </c>
      <c r="AS966" s="22">
        <f t="shared" si="339"/>
        <v>6.7267961420062665</v>
      </c>
      <c r="AT966" s="22">
        <f t="shared" si="339"/>
        <v>6.72698404674487</v>
      </c>
      <c r="AU966" s="22">
        <f t="shared" si="339"/>
        <v>6.7271733718738833</v>
      </c>
      <c r="AV966" s="22">
        <f t="shared" si="339"/>
        <v>6.7273641316511892</v>
      </c>
      <c r="AW966" s="22">
        <f t="shared" si="339"/>
        <v>6.7275563405315459</v>
      </c>
      <c r="AY966" s="85"/>
      <c r="AZ966" s="85"/>
    </row>
    <row r="967" spans="1:52" x14ac:dyDescent="0.25">
      <c r="A967" s="102" t="str">
        <f t="shared" si="326"/>
        <v>DS Organic</v>
      </c>
      <c r="B967" s="102" t="s">
        <v>975</v>
      </c>
      <c r="C967" s="102" t="s">
        <v>1128</v>
      </c>
      <c r="D967" t="s">
        <v>369</v>
      </c>
      <c r="E967" t="s">
        <v>55</v>
      </c>
      <c r="H967" t="s">
        <v>420</v>
      </c>
      <c r="I967" t="s">
        <v>139</v>
      </c>
      <c r="J967" t="s">
        <v>287</v>
      </c>
      <c r="K967" s="101">
        <f>IF('Net zero activities &amp; levers'!$C$12="Off",'Activity data'!AD48*ttokg*ONEF*NtoN2O*kgtoGg,IF('Net zero activities &amp; levers'!$C$12="PB",'Activity data'!AD48*ttokg*ONEF*NtoN2O*kgtoGg,IF('Net zero activities &amp; levers'!$C$12="MS",'Net zero Activity data'!AD48*ttokg*ONEF*NtoN2O*kgtoGg,"ERROR")))</f>
        <v>4.3602775961816637E-2</v>
      </c>
      <c r="L967" s="101">
        <f>IF('Net zero activities &amp; levers'!$C$12="Off",'Activity data'!AE48*ttokg*ONEF*NtoN2O*kgtoGg,IF('Net zero activities &amp; levers'!$C$12="PB",'Activity data'!AE48*ttokg*ONEF*NtoN2O*kgtoGg,IF('Net zero activities &amp; levers'!$C$12="MS",'Net zero Activity data'!AE48*ttokg*ONEF*NtoN2O*kgtoGg,"ERROR")))</f>
        <v>4.3596519537334268E-2</v>
      </c>
      <c r="M967" s="101">
        <f>IF('Net zero activities &amp; levers'!$C$12="Off",'Activity data'!AF48*ttokg*ONEF*NtoN2O*kgtoGg,IF('Net zero activities &amp; levers'!$C$12="PB",'Activity data'!AF48*ttokg*ONEF*NtoN2O*kgtoGg,IF('Net zero activities &amp; levers'!$C$12="MS",'Net zero Activity data'!AF48*ttokg*ONEF*NtoN2O*kgtoGg,"ERROR")))</f>
        <v>4.3587970089857465E-2</v>
      </c>
      <c r="N967" s="101">
        <f>IF('Net zero activities &amp; levers'!$C$12="Off",'Activity data'!AG48*ttokg*ONEF*NtoN2O*kgtoGg,IF('Net zero activities &amp; levers'!$C$12="PB",'Activity data'!AG48*ttokg*ONEF*NtoN2O*kgtoGg,IF('Net zero activities &amp; levers'!$C$12="MS",'Net zero Activity data'!AG48*ttokg*ONEF*NtoN2O*kgtoGg,"ERROR")))</f>
        <v>4.3581764324716096E-2</v>
      </c>
      <c r="O967" s="101">
        <f>IF('Net zero activities &amp; levers'!$C$12="Off",'Activity data'!AH48*ttokg*ONEF*NtoN2O*kgtoGg,IF('Net zero activities &amp; levers'!$C$12="PB",'Activity data'!AH48*ttokg*ONEF*NtoN2O*kgtoGg,IF('Net zero activities &amp; levers'!$C$12="MS",'Net zero Activity data'!AH48*ttokg*ONEF*NtoN2O*kgtoGg,"ERROR")))</f>
        <v>4.3578742163314678E-2</v>
      </c>
      <c r="P967" s="101">
        <f>IF('Net zero activities &amp; levers'!$C$12="Off",'Activity data'!AI48*ttokg*ONEF*NtoN2O*kgtoGg,IF('Net zero activities &amp; levers'!$C$12="PB",'Activity data'!AI48*ttokg*ONEF*NtoN2O*kgtoGg,IF('Net zero activities &amp; levers'!$C$12="MS",'Net zero Activity data'!AI48*ttokg*ONEF*NtoN2O*kgtoGg,"ERROR")))</f>
        <v>4.3575759260629177E-2</v>
      </c>
      <c r="Q967" s="101">
        <f>IF('Net zero activities &amp; levers'!$C$12="Off",'Activity data'!AJ48*ttokg*ONEF*NtoN2O*kgtoGg,IF('Net zero activities &amp; levers'!$C$12="PB",'Activity data'!AJ48*ttokg*ONEF*NtoN2O*kgtoGg,IF('Net zero activities &amp; levers'!$C$12="MS",'Net zero Activity data'!AJ48*ttokg*ONEF*NtoN2O*kgtoGg,"ERROR")))</f>
        <v>4.3571246852486797E-2</v>
      </c>
      <c r="R967" s="101">
        <f>IF('Net zero activities &amp; levers'!$C$12="Off",'Activity data'!AK48*ttokg*ONEF*NtoN2O*kgtoGg,IF('Net zero activities &amp; levers'!$C$12="PB",'Activity data'!AK48*ttokg*ONEF*NtoN2O*kgtoGg,IF('Net zero activities &amp; levers'!$C$12="MS",'Net zero Activity data'!AK48*ttokg*ONEF*NtoN2O*kgtoGg,"ERROR")))</f>
        <v>4.3566306426680468E-2</v>
      </c>
      <c r="S967" s="101">
        <f>IF('Net zero activities &amp; levers'!$C$12="Off",'Activity data'!AL48*ttokg*ONEF*NtoN2O*kgtoGg,IF('Net zero activities &amp; levers'!$C$12="PB",'Activity data'!AL48*ttokg*ONEF*NtoN2O*kgtoGg,IF('Net zero activities &amp; levers'!$C$12="MS",'Net zero Activity data'!AL48*ttokg*ONEF*NtoN2O*kgtoGg,"ERROR")))</f>
        <v>4.3564689598491746E-2</v>
      </c>
      <c r="T967" s="101">
        <f>IF('Net zero activities &amp; levers'!$C$12="Off",'Activity data'!AM48*ttokg*ONEF*NtoN2O*kgtoGg,IF('Net zero activities &amp; levers'!$C$12="PB",'Activity data'!AM48*ttokg*ONEF*NtoN2O*kgtoGg,IF('Net zero activities &amp; levers'!$C$12="MS",'Net zero Activity data'!AM48*ttokg*ONEF*NtoN2O*kgtoGg,"ERROR")))</f>
        <v>4.3594388112977112E-2</v>
      </c>
      <c r="U967" s="101">
        <f>IF('Net zero activities &amp; levers'!$C$12="Off",'Activity data'!AN48*ttokg*ONEF*NtoN2O*kgtoGg,IF('Net zero activities &amp; levers'!$C$12="PB",'Activity data'!AN48*ttokg*ONEF*NtoN2O*kgtoGg,IF('Net zero activities &amp; levers'!$C$12="MS",'Net zero Activity data'!AN48*ttokg*ONEF*NtoN2O*kgtoGg,"ERROR")))</f>
        <v>4.3585124141558115E-2</v>
      </c>
      <c r="V967" s="101">
        <f>IF('Net zero activities &amp; levers'!$C$12="Off",'Activity data'!AO48*ttokg*ONEF*NtoN2O*kgtoGg,IF('Net zero activities &amp; levers'!$C$12="PB",'Activity data'!AO48*ttokg*ONEF*NtoN2O*kgtoGg,IF('Net zero activities &amp; levers'!$C$12="MS",'Net zero Activity data'!AO48*ttokg*ONEF*NtoN2O*kgtoGg,"ERROR")))</f>
        <v>4.3576795119288615E-2</v>
      </c>
      <c r="W967" s="101">
        <f>IF('Net zero activities &amp; levers'!$C$12="Off",'Activity data'!AP48*ttokg*ONEF*NtoN2O*kgtoGg,IF('Net zero activities &amp; levers'!$C$12="PB",'Activity data'!AP48*ttokg*ONEF*NtoN2O*kgtoGg,IF('Net zero activities &amp; levers'!$C$12="MS",'Net zero Activity data'!AP48*ttokg*ONEF*NtoN2O*kgtoGg,"ERROR")))</f>
        <v>4.3568543308991473E-2</v>
      </c>
      <c r="X967" s="101">
        <f>IF('Net zero activities &amp; levers'!$C$12="Off",'Activity data'!AQ48*ttokg*ONEF*NtoN2O*kgtoGg,IF('Net zero activities &amp; levers'!$C$12="PB",'Activity data'!AQ48*ttokg*ONEF*NtoN2O*kgtoGg,IF('Net zero activities &amp; levers'!$C$12="MS",'Net zero Activity data'!AQ48*ttokg*ONEF*NtoN2O*kgtoGg,"ERROR")))</f>
        <v>4.3559071090065994E-2</v>
      </c>
      <c r="Y967" s="101">
        <f>IF('Net zero activities &amp; levers'!$C$12="Off",'Activity data'!AR48*ttokg*ONEF*NtoN2O*kgtoGg,IF('Net zero activities &amp; levers'!$C$12="PB",'Activity data'!AR48*ttokg*ONEF*NtoN2O*kgtoGg,IF('Net zero activities &amp; levers'!$C$12="MS",'Net zero Activity data'!AR48*ttokg*ONEF*NtoN2O*kgtoGg,"ERROR")))</f>
        <v>4.3549701677578524E-2</v>
      </c>
      <c r="Z967" s="101">
        <f>IF('Net zero activities &amp; levers'!$C$12="Off",'Activity data'!AS48*ttokg*ONEF*NtoN2O*kgtoGg,IF('Net zero activities &amp; levers'!$C$12="PB",'Activity data'!AS48*ttokg*ONEF*NtoN2O*kgtoGg,IF('Net zero activities &amp; levers'!$C$12="MS",'Net zero Activity data'!AS48*ttokg*ONEF*NtoN2O*kgtoGg,"ERROR")))</f>
        <v>4.3540202265154107E-2</v>
      </c>
      <c r="AA967" s="101">
        <f>IF('Net zero activities &amp; levers'!$C$12="Off",'Activity data'!AT48*ttokg*ONEF*NtoN2O*kgtoGg,IF('Net zero activities &amp; levers'!$C$12="PB",'Activity data'!AT48*ttokg*ONEF*NtoN2O*kgtoGg,IF('Net zero activities &amp; levers'!$C$12="MS",'Net zero Activity data'!AT48*ttokg*ONEF*NtoN2O*kgtoGg,"ERROR")))</f>
        <v>4.3531107198932197E-2</v>
      </c>
      <c r="AB967" s="101">
        <f>IF('Net zero activities &amp; levers'!$C$12="Off",'Activity data'!AU48*ttokg*ONEF*NtoN2O*kgtoGg,IF('Net zero activities &amp; levers'!$C$12="PB",'Activity data'!AU48*ttokg*ONEF*NtoN2O*kgtoGg,IF('Net zero activities &amp; levers'!$C$12="MS",'Net zero Activity data'!AU48*ttokg*ONEF*NtoN2O*kgtoGg,"ERROR")))</f>
        <v>4.352162339064275E-2</v>
      </c>
      <c r="AC967" s="101">
        <f>IF('Net zero activities &amp; levers'!$C$12="Off",'Activity data'!AV48*ttokg*ONEF*NtoN2O*kgtoGg,IF('Net zero activities &amp; levers'!$C$12="PB",'Activity data'!AV48*ttokg*ONEF*NtoN2O*kgtoGg,IF('Net zero activities &amp; levers'!$C$12="MS",'Net zero Activity data'!AV48*ttokg*ONEF*NtoN2O*kgtoGg,"ERROR")))</f>
        <v>4.351281356657672E-2</v>
      </c>
      <c r="AD967" s="101">
        <f>IF('Net zero activities &amp; levers'!$C$12="Off",'Activity data'!AW48*ttokg*ONEF*NtoN2O*kgtoGg,IF('Net zero activities &amp; levers'!$C$12="PB",'Activity data'!AW48*ttokg*ONEF*NtoN2O*kgtoGg,IF('Net zero activities &amp; levers'!$C$12="MS",'Net zero Activity data'!AW48*ttokg*ONEF*NtoN2O*kgtoGg,"ERROR")))</f>
        <v>4.3503925153087042E-2</v>
      </c>
      <c r="AE967" s="101">
        <f>IF('Net zero activities &amp; levers'!$C$12="Off",'Activity data'!AX48*ttokg*ONEF*NtoN2O*kgtoGg,IF('Net zero activities &amp; levers'!$C$12="PB",'Activity data'!AX48*ttokg*ONEF*NtoN2O*kgtoGg,IF('Net zero activities &amp; levers'!$C$12="MS",'Net zero Activity data'!AX48*ttokg*ONEF*NtoN2O*kgtoGg,"ERROR")))</f>
        <v>4.3493582051400928E-2</v>
      </c>
      <c r="AF967" s="101">
        <f>IF('Net zero activities &amp; levers'!$C$12="Off",'Activity data'!AY48*ttokg*ONEF*NtoN2O*kgtoGg,IF('Net zero activities &amp; levers'!$C$12="PB",'Activity data'!AY48*ttokg*ONEF*NtoN2O*kgtoGg,IF('Net zero activities &amp; levers'!$C$12="MS",'Net zero Activity data'!AY48*ttokg*ONEF*NtoN2O*kgtoGg,"ERROR")))</f>
        <v>4.3482662900478766E-2</v>
      </c>
      <c r="AG967" s="101">
        <f>IF('Net zero activities &amp; levers'!$C$12="Off",'Activity data'!AZ48*ttokg*ONEF*NtoN2O*kgtoGg,IF('Net zero activities &amp; levers'!$C$12="PB",'Activity data'!AZ48*ttokg*ONEF*NtoN2O*kgtoGg,IF('Net zero activities &amp; levers'!$C$12="MS",'Net zero Activity data'!AZ48*ttokg*ONEF*NtoN2O*kgtoGg,"ERROR")))</f>
        <v>4.3471606014409865E-2</v>
      </c>
      <c r="AH967" s="101">
        <f>IF('Net zero activities &amp; levers'!$C$12="Off",'Activity data'!BA48*ttokg*ONEF*NtoN2O*kgtoGg,IF('Net zero activities &amp; levers'!$C$12="PB",'Activity data'!BA48*ttokg*ONEF*NtoN2O*kgtoGg,IF('Net zero activities &amp; levers'!$C$12="MS",'Net zero Activity data'!BA48*ttokg*ONEF*NtoN2O*kgtoGg,"ERROR")))</f>
        <v>4.3469411697896136E-2</v>
      </c>
      <c r="AI967" s="101">
        <f>IF('Net zero activities &amp; levers'!$C$12="Off",'Activity data'!BB48*ttokg*ONEF*NtoN2O*kgtoGg,IF('Net zero activities &amp; levers'!$C$12="PB",'Activity data'!BB48*ttokg*ONEF*NtoN2O*kgtoGg,IF('Net zero activities &amp; levers'!$C$12="MS",'Net zero Activity data'!BB48*ttokg*ONEF*NtoN2O*kgtoGg,"ERROR")))</f>
        <v>4.4381272437472585E-2</v>
      </c>
      <c r="AJ967" s="101">
        <f>IF('Net zero activities &amp; levers'!$C$12="Off",'Activity data'!BC48*ttokg*ONEF*NtoN2O*kgtoGg,IF('Net zero activities &amp; levers'!$C$12="PB",'Activity data'!BC48*ttokg*ONEF*NtoN2O*kgtoGg,IF('Net zero activities &amp; levers'!$C$12="MS",'Net zero Activity data'!BC48*ttokg*ONEF*NtoN2O*kgtoGg,"ERROR")))</f>
        <v>4.4382885663283633E-2</v>
      </c>
      <c r="AK967" s="101">
        <f>IF('Net zero activities &amp; levers'!$C$12="Off",'Activity data'!BD48*ttokg*ONEF*NtoN2O*kgtoGg,IF('Net zero activities &amp; levers'!$C$12="PB",'Activity data'!BD48*ttokg*ONEF*NtoN2O*kgtoGg,IF('Net zero activities &amp; levers'!$C$12="MS",'Net zero Activity data'!BD48*ttokg*ONEF*NtoN2O*kgtoGg,"ERROR")))</f>
        <v>4.4384515870920224E-2</v>
      </c>
      <c r="AL967" s="101">
        <f>IF('Net zero activities &amp; levers'!$C$12="Off",'Activity data'!BE48*ttokg*ONEF*NtoN2O*kgtoGg,IF('Net zero activities &amp; levers'!$C$12="PB",'Activity data'!BE48*ttokg*ONEF*NtoN2O*kgtoGg,IF('Net zero activities &amp; levers'!$C$12="MS",'Net zero Activity data'!BE48*ttokg*ONEF*NtoN2O*kgtoGg,"ERROR")))</f>
        <v>4.4386163294328665E-2</v>
      </c>
      <c r="AM967" s="101">
        <f>IF('Net zero activities &amp; levers'!$C$12="Off",'Activity data'!BF48*ttokg*ONEF*NtoN2O*kgtoGg,IF('Net zero activities &amp; levers'!$C$12="PB",'Activity data'!BF48*ttokg*ONEF*NtoN2O*kgtoGg,IF('Net zero activities &amp; levers'!$C$12="MS",'Net zero Activity data'!BF48*ttokg*ONEF*NtoN2O*kgtoGg,"ERROR")))</f>
        <v>4.4387828171855534E-2</v>
      </c>
      <c r="AN967" s="101">
        <f>IF('Net zero activities &amp; levers'!$C$12="Off",'Activity data'!BG48*ttokg*ONEF*NtoN2O*kgtoGg,IF('Net zero activities &amp; levers'!$C$12="PB",'Activity data'!BG48*ttokg*ONEF*NtoN2O*kgtoGg,IF('Net zero activities &amp; levers'!$C$12="MS",'Net zero Activity data'!BG48*ttokg*ONEF*NtoN2O*kgtoGg,"ERROR")))</f>
        <v>4.4389510746357594E-2</v>
      </c>
      <c r="AO967" s="101">
        <f>IF('Net zero activities &amp; levers'!$C$12="Off",'Activity data'!BH48*ttokg*ONEF*NtoN2O*kgtoGg,IF('Net zero activities &amp; levers'!$C$12="PB",'Activity data'!BH48*ttokg*ONEF*NtoN2O*kgtoGg,IF('Net zero activities &amp; levers'!$C$12="MS",'Net zero Activity data'!BH48*ttokg*ONEF*NtoN2O*kgtoGg,"ERROR")))</f>
        <v>4.4390953023057615E-2</v>
      </c>
      <c r="AP967" s="101">
        <f>IF('Net zero activities &amp; levers'!$C$12="Off",'Activity data'!BI48*ttokg*ONEF*NtoN2O*kgtoGg,IF('Net zero activities &amp; levers'!$C$12="PB",'Activity data'!BI48*ttokg*ONEF*NtoN2O*kgtoGg,IF('Net zero activities &amp; levers'!$C$12="MS",'Net zero Activity data'!BI48*ttokg*ONEF*NtoN2O*kgtoGg,"ERROR")))</f>
        <v>4.4392408382665088E-2</v>
      </c>
      <c r="AQ967" s="101">
        <f>IF('Net zero activities &amp; levers'!$C$12="Off",'Activity data'!BJ48*ttokg*ONEF*NtoN2O*kgtoGg,IF('Net zero activities &amp; levers'!$C$12="PB",'Activity data'!BJ48*ttokg*ONEF*NtoN2O*kgtoGg,IF('Net zero activities &amp; levers'!$C$12="MS",'Net zero Activity data'!BJ48*ttokg*ONEF*NtoN2O*kgtoGg,"ERROR")))</f>
        <v>4.4393876981721259E-2</v>
      </c>
      <c r="AR967" s="101">
        <f>IF('Net zero activities &amp; levers'!$C$12="Off",'Activity data'!BK48*ttokg*ONEF*NtoN2O*kgtoGg,IF('Net zero activities &amp; levers'!$C$12="PB",'Activity data'!BK48*ttokg*ONEF*NtoN2O*kgtoGg,IF('Net zero activities &amp; levers'!$C$12="MS",'Net zero Activity data'!BK48*ttokg*ONEF*NtoN2O*kgtoGg,"ERROR")))</f>
        <v>4.4395358979335532E-2</v>
      </c>
      <c r="AS967" s="101">
        <f>IF('Net zero activities &amp; levers'!$C$12="Off",'Activity data'!BL48*ttokg*ONEF*NtoN2O*kgtoGg,IF('Net zero activities &amp; levers'!$C$12="PB",'Activity data'!BL48*ttokg*ONEF*NtoN2O*kgtoGg,IF('Net zero activities &amp; levers'!$C$12="MS",'Net zero Activity data'!BL48*ttokg*ONEF*NtoN2O*kgtoGg,"ERROR")))</f>
        <v>4.4396854537241355E-2</v>
      </c>
      <c r="AT967" s="101">
        <f>IF('Net zero activities &amp; levers'!$C$12="Off",'Activity data'!BM48*ttokg*ONEF*NtoN2O*kgtoGg,IF('Net zero activities &amp; levers'!$C$12="PB",'Activity data'!BM48*ttokg*ONEF*NtoN2O*kgtoGg,IF('Net zero activities &amp; levers'!$C$12="MS",'Net zero Activity data'!BM48*ttokg*ONEF*NtoN2O*kgtoGg,"ERROR")))</f>
        <v>4.4398094708516155E-2</v>
      </c>
      <c r="AU967" s="101">
        <f>IF('Net zero activities &amp; levers'!$C$12="Off",'Activity data'!BN48*ttokg*ONEF*NtoN2O*kgtoGg,IF('Net zero activities &amp; levers'!$C$12="PB",'Activity data'!BN48*ttokg*ONEF*NtoN2O*kgtoGg,IF('Net zero activities &amp; levers'!$C$12="MS",'Net zero Activity data'!BN48*ttokg*ONEF*NtoN2O*kgtoGg,"ERROR")))</f>
        <v>4.4399344254367645E-2</v>
      </c>
      <c r="AV967" s="101">
        <f>IF('Net zero activities &amp; levers'!$C$12="Off",'Activity data'!BO48*ttokg*ONEF*NtoN2O*kgtoGg,IF('Net zero activities &amp; levers'!$C$12="PB",'Activity data'!BO48*ttokg*ONEF*NtoN2O*kgtoGg,IF('Net zero activities &amp; levers'!$C$12="MS",'Net zero Activity data'!BO48*ttokg*ONEF*NtoN2O*kgtoGg,"ERROR")))</f>
        <v>4.4400603268897852E-2</v>
      </c>
      <c r="AW967" s="101">
        <f>IF('Net zero activities &amp; levers'!$C$12="Off",'Activity data'!BP48*ttokg*ONEF*NtoN2O*kgtoGg,IF('Net zero activities &amp; levers'!$C$12="PB",'Activity data'!BP48*ttokg*ONEF*NtoN2O*kgtoGg,IF('Net zero activities &amp; levers'!$C$12="MS",'Net zero Activity data'!BP48*ttokg*ONEF*NtoN2O*kgtoGg,"ERROR")))</f>
        <v>4.4401871847508219E-2</v>
      </c>
      <c r="AY967" s="85"/>
      <c r="AZ967" s="85"/>
    </row>
    <row r="968" spans="1:52" x14ac:dyDescent="0.25">
      <c r="A968" s="102" t="str">
        <f t="shared" si="326"/>
        <v>DS Crop residues</v>
      </c>
      <c r="B968" s="102" t="s">
        <v>975</v>
      </c>
      <c r="C968" s="102" t="s">
        <v>58</v>
      </c>
      <c r="D968" t="s">
        <v>369</v>
      </c>
      <c r="E968" t="s">
        <v>55</v>
      </c>
      <c r="H968" t="s">
        <v>58</v>
      </c>
      <c r="I968" t="s">
        <v>139</v>
      </c>
      <c r="J968" t="s">
        <v>287</v>
      </c>
      <c r="K968" s="22">
        <f>K1465</f>
        <v>2.94930909510781</v>
      </c>
      <c r="L968" s="22">
        <f t="shared" ref="L968:AW968" si="340">L1465</f>
        <v>2.9563860470471841</v>
      </c>
      <c r="M968" s="22">
        <f t="shared" si="340"/>
        <v>2.9660567509887259</v>
      </c>
      <c r="N968" s="22">
        <f t="shared" si="340"/>
        <v>2.9730763996357101</v>
      </c>
      <c r="O968" s="22">
        <f t="shared" si="340"/>
        <v>2.9764949162422756</v>
      </c>
      <c r="P968" s="22">
        <f t="shared" si="340"/>
        <v>2.9798690253687776</v>
      </c>
      <c r="Q968" s="22">
        <f t="shared" si="340"/>
        <v>2.9849732339537955</v>
      </c>
      <c r="R968" s="22">
        <f t="shared" si="340"/>
        <v>2.9905615945405919</v>
      </c>
      <c r="S968" s="22">
        <f t="shared" si="340"/>
        <v>2.9923904690707688</v>
      </c>
      <c r="T968" s="22">
        <f t="shared" si="340"/>
        <v>2.9587970068183171</v>
      </c>
      <c r="U968" s="22">
        <f t="shared" si="340"/>
        <v>2.9692759442185355</v>
      </c>
      <c r="V968" s="22">
        <f t="shared" si="340"/>
        <v>2.9786973142789162</v>
      </c>
      <c r="W968" s="22">
        <f t="shared" si="340"/>
        <v>2.9880313460490315</v>
      </c>
      <c r="X968" s="22">
        <f t="shared" si="340"/>
        <v>2.9987458425292064</v>
      </c>
      <c r="Y968" s="22">
        <f t="shared" si="340"/>
        <v>3.0093440495500001</v>
      </c>
      <c r="Z968" s="22">
        <f t="shared" si="340"/>
        <v>3.0200893059451359</v>
      </c>
      <c r="AA968" s="22">
        <f t="shared" si="340"/>
        <v>3.0303771863022528</v>
      </c>
      <c r="AB968" s="22">
        <f t="shared" si="340"/>
        <v>3.0411047920866441</v>
      </c>
      <c r="AC968" s="22">
        <f t="shared" si="340"/>
        <v>3.0510700208983077</v>
      </c>
      <c r="AD968" s="22">
        <f t="shared" si="340"/>
        <v>3.0611241461036762</v>
      </c>
      <c r="AE968" s="22">
        <f t="shared" si="340"/>
        <v>3.0728237412547079</v>
      </c>
      <c r="AF968" s="22">
        <f t="shared" si="340"/>
        <v>3.0851749342584296</v>
      </c>
      <c r="AG968" s="22">
        <f t="shared" si="340"/>
        <v>3.0976819263158513</v>
      </c>
      <c r="AH968" s="22">
        <f t="shared" si="340"/>
        <v>3.100164026523585</v>
      </c>
      <c r="AI968" s="22">
        <f t="shared" si="340"/>
        <v>2.0687131319155303</v>
      </c>
      <c r="AJ968" s="22">
        <f t="shared" si="340"/>
        <v>2.0668883322133484</v>
      </c>
      <c r="AK968" s="22">
        <f t="shared" si="340"/>
        <v>2.0650443235262905</v>
      </c>
      <c r="AL968" s="22">
        <f t="shared" si="340"/>
        <v>2.0631808412261146</v>
      </c>
      <c r="AM968" s="22">
        <f t="shared" si="340"/>
        <v>2.0612976157071592</v>
      </c>
      <c r="AN968" s="22">
        <f t="shared" si="340"/>
        <v>2.0593943722621146</v>
      </c>
      <c r="AO968" s="22">
        <f t="shared" si="340"/>
        <v>2.0577629415754459</v>
      </c>
      <c r="AP968" s="22">
        <f t="shared" si="340"/>
        <v>2.056116712163484</v>
      </c>
      <c r="AQ968" s="22">
        <f t="shared" si="340"/>
        <v>2.0544555069546533</v>
      </c>
      <c r="AR968" s="22">
        <f t="shared" si="340"/>
        <v>2.0527791459724298</v>
      </c>
      <c r="AS968" s="22">
        <f t="shared" si="340"/>
        <v>2.0510874462720836</v>
      </c>
      <c r="AT968" s="22">
        <f t="shared" si="340"/>
        <v>2.0496846270527396</v>
      </c>
      <c r="AU968" s="22">
        <f t="shared" si="340"/>
        <v>2.0482712037848629</v>
      </c>
      <c r="AV968" s="22">
        <f t="shared" si="340"/>
        <v>2.0468470700250148</v>
      </c>
      <c r="AW968" s="22">
        <f t="shared" si="340"/>
        <v>2.0454121178598972</v>
      </c>
      <c r="AY968" s="85"/>
      <c r="AZ968" s="85"/>
    </row>
    <row r="969" spans="1:52" x14ac:dyDescent="0.25">
      <c r="A969" s="102" t="str">
        <f t="shared" si="326"/>
        <v>DS Organic</v>
      </c>
      <c r="B969" s="102" t="s">
        <v>975</v>
      </c>
      <c r="C969" s="102" t="s">
        <v>1128</v>
      </c>
      <c r="D969" t="s">
        <v>369</v>
      </c>
      <c r="E969" t="s">
        <v>55</v>
      </c>
      <c r="F969" t="s">
        <v>421</v>
      </c>
      <c r="G969" t="s">
        <v>1153</v>
      </c>
      <c r="H969" t="s">
        <v>1154</v>
      </c>
      <c r="I969" t="s">
        <v>139</v>
      </c>
      <c r="J969" t="s">
        <v>287</v>
      </c>
      <c r="K969" s="22">
        <f>K1466</f>
        <v>0.31935878855248062</v>
      </c>
      <c r="L969" s="22">
        <f t="shared" ref="L969:AW971" si="341">L1466</f>
        <v>0.3213452540874065</v>
      </c>
      <c r="M969" s="22">
        <f t="shared" si="341"/>
        <v>0.32271097650720204</v>
      </c>
      <c r="N969" s="22">
        <f t="shared" si="341"/>
        <v>0.32313928716206192</v>
      </c>
      <c r="O969" s="22">
        <f t="shared" si="341"/>
        <v>0.32371872756630715</v>
      </c>
      <c r="P969" s="22">
        <f t="shared" si="341"/>
        <v>0.32498792219339984</v>
      </c>
      <c r="Q969" s="22">
        <f t="shared" si="341"/>
        <v>0.32650955781340663</v>
      </c>
      <c r="R969" s="22">
        <f t="shared" si="341"/>
        <v>0.32696667302614263</v>
      </c>
      <c r="S969" s="22">
        <f t="shared" si="341"/>
        <v>0.31692886960594807</v>
      </c>
      <c r="T969" s="22">
        <f t="shared" si="341"/>
        <v>0.319539305941619</v>
      </c>
      <c r="U969" s="22">
        <f t="shared" si="341"/>
        <v>0.32193300192732111</v>
      </c>
      <c r="V969" s="22">
        <f t="shared" si="341"/>
        <v>0.32438733794310681</v>
      </c>
      <c r="W969" s="22">
        <f t="shared" si="341"/>
        <v>0.32734391954355124</v>
      </c>
      <c r="X969" s="22">
        <f t="shared" si="341"/>
        <v>0.33035597962068947</v>
      </c>
      <c r="Y969" s="22">
        <f t="shared" si="341"/>
        <v>0.33328887796807738</v>
      </c>
      <c r="Z969" s="22">
        <f t="shared" si="341"/>
        <v>0.33616310143447364</v>
      </c>
      <c r="AA969" s="22">
        <f t="shared" si="341"/>
        <v>0.33925895533631584</v>
      </c>
      <c r="AB969" s="22">
        <f t="shared" si="341"/>
        <v>0.34219066812704535</v>
      </c>
      <c r="AC969" s="22">
        <f t="shared" si="341"/>
        <v>0.34522753941235912</v>
      </c>
      <c r="AD969" s="22">
        <f t="shared" si="341"/>
        <v>0.34871662740286707</v>
      </c>
      <c r="AE969" s="22">
        <f t="shared" si="341"/>
        <v>0.3525166109950878</v>
      </c>
      <c r="AF969" s="22">
        <f t="shared" si="341"/>
        <v>0.3564674247563781</v>
      </c>
      <c r="AG969" s="22">
        <f t="shared" si="341"/>
        <v>0.35701929306188401</v>
      </c>
      <c r="AH969" s="22">
        <f t="shared" si="341"/>
        <v>0.19114464625483749</v>
      </c>
      <c r="AI969" s="22">
        <f t="shared" si="341"/>
        <v>0.19128523197534555</v>
      </c>
      <c r="AJ969" s="22">
        <f t="shared" si="341"/>
        <v>0.19144428532787389</v>
      </c>
      <c r="AK969" s="22">
        <f t="shared" si="341"/>
        <v>0.19162110436440311</v>
      </c>
      <c r="AL969" s="22">
        <f t="shared" si="341"/>
        <v>0.19181504119818318</v>
      </c>
      <c r="AM969" s="22">
        <f t="shared" si="341"/>
        <v>0.19202549687963794</v>
      </c>
      <c r="AN969" s="22">
        <f t="shared" si="341"/>
        <v>0.19211610433852847</v>
      </c>
      <c r="AO969" s="22">
        <f t="shared" si="341"/>
        <v>0.19222125892017863</v>
      </c>
      <c r="AP969" s="22">
        <f t="shared" si="341"/>
        <v>0.1923404525383117</v>
      </c>
      <c r="AQ969" s="22">
        <f t="shared" si="341"/>
        <v>0.19247321177682317</v>
      </c>
      <c r="AR969" s="22">
        <f t="shared" si="341"/>
        <v>0.19261909494773871</v>
      </c>
      <c r="AS969" s="22">
        <f t="shared" si="341"/>
        <v>0.19264041350385425</v>
      </c>
      <c r="AT969" s="22">
        <f t="shared" si="341"/>
        <v>0.19267336675119676</v>
      </c>
      <c r="AU969" s="22">
        <f t="shared" si="341"/>
        <v>0.19271756905587112</v>
      </c>
      <c r="AV969" s="22">
        <f t="shared" si="341"/>
        <v>0.19277265827645768</v>
      </c>
      <c r="AW969" s="22">
        <f t="shared" si="341"/>
        <v>0.19283829395934973</v>
      </c>
      <c r="AY969" s="85"/>
      <c r="AZ969" s="85"/>
    </row>
    <row r="970" spans="1:52" x14ac:dyDescent="0.25">
      <c r="A970" s="102" t="str">
        <f t="shared" si="326"/>
        <v>DS Organic</v>
      </c>
      <c r="B970" s="102" t="s">
        <v>975</v>
      </c>
      <c r="C970" s="102" t="s">
        <v>1128</v>
      </c>
      <c r="D970" t="s">
        <v>369</v>
      </c>
      <c r="E970" t="s">
        <v>55</v>
      </c>
      <c r="F970" t="s">
        <v>421</v>
      </c>
      <c r="G970" t="s">
        <v>1155</v>
      </c>
      <c r="H970" t="s">
        <v>1156</v>
      </c>
      <c r="I970" t="s">
        <v>139</v>
      </c>
      <c r="J970" t="s">
        <v>287</v>
      </c>
      <c r="K970" s="22">
        <f t="shared" ref="K970:Z971" si="342">K1467</f>
        <v>0.93379576098906358</v>
      </c>
      <c r="L970" s="22">
        <f t="shared" si="342"/>
        <v>0.93960412813709904</v>
      </c>
      <c r="M970" s="22">
        <f t="shared" si="342"/>
        <v>0.94359746056447114</v>
      </c>
      <c r="N970" s="22">
        <f t="shared" si="342"/>
        <v>0.94484982839723786</v>
      </c>
      <c r="O970" s="22">
        <f t="shared" si="342"/>
        <v>0.94654409519879523</v>
      </c>
      <c r="P970" s="22">
        <f t="shared" si="342"/>
        <v>0.95025518318237956</v>
      </c>
      <c r="Q970" s="22">
        <f t="shared" si="342"/>
        <v>0.95470440124890821</v>
      </c>
      <c r="R970" s="22">
        <f t="shared" si="342"/>
        <v>0.95604099276677834</v>
      </c>
      <c r="S970" s="22">
        <f t="shared" si="342"/>
        <v>0.9266907490302454</v>
      </c>
      <c r="T970" s="22">
        <f t="shared" si="342"/>
        <v>0.93432358855731779</v>
      </c>
      <c r="U970" s="22">
        <f t="shared" si="342"/>
        <v>0.94132268563767829</v>
      </c>
      <c r="V970" s="22">
        <f t="shared" si="342"/>
        <v>0.94849909239313801</v>
      </c>
      <c r="W970" s="22">
        <f t="shared" si="342"/>
        <v>0.95714405055454344</v>
      </c>
      <c r="X970" s="22">
        <f t="shared" si="342"/>
        <v>0.96595122615983853</v>
      </c>
      <c r="Y970" s="22">
        <f t="shared" si="342"/>
        <v>0.97452693518170752</v>
      </c>
      <c r="Z970" s="22">
        <f t="shared" si="342"/>
        <v>0.98293108056696943</v>
      </c>
      <c r="AA970" s="22">
        <f t="shared" si="341"/>
        <v>0.99198326686591187</v>
      </c>
      <c r="AB970" s="22">
        <f t="shared" si="341"/>
        <v>1.0005555093547731</v>
      </c>
      <c r="AC970" s="22">
        <f t="shared" si="341"/>
        <v>1.0094352322073954</v>
      </c>
      <c r="AD970" s="22">
        <f t="shared" si="341"/>
        <v>1.0196372234850481</v>
      </c>
      <c r="AE970" s="22">
        <f t="shared" si="341"/>
        <v>1.0307482644127997</v>
      </c>
      <c r="AF970" s="22">
        <f t="shared" si="341"/>
        <v>1.0423003283452565</v>
      </c>
      <c r="AG970" s="22">
        <f t="shared" si="341"/>
        <v>1.0439139751361945</v>
      </c>
      <c r="AH970" s="22">
        <f t="shared" si="341"/>
        <v>0.55890135736530644</v>
      </c>
      <c r="AI970" s="22">
        <f t="shared" si="341"/>
        <v>0.55931242590192343</v>
      </c>
      <c r="AJ970" s="22">
        <f t="shared" si="341"/>
        <v>0.55977749325464987</v>
      </c>
      <c r="AK970" s="22">
        <f t="shared" si="341"/>
        <v>0.56029450694799943</v>
      </c>
      <c r="AL970" s="22">
        <f t="shared" si="341"/>
        <v>0.56086157258005664</v>
      </c>
      <c r="AM970" s="22">
        <f t="shared" si="341"/>
        <v>0.5614769388397709</v>
      </c>
      <c r="AN970" s="22">
        <f t="shared" si="341"/>
        <v>0.56174187240057738</v>
      </c>
      <c r="AO970" s="22">
        <f t="shared" si="341"/>
        <v>0.56204934132303475</v>
      </c>
      <c r="AP970" s="22">
        <f t="shared" si="341"/>
        <v>0.56239785997772429</v>
      </c>
      <c r="AQ970" s="22">
        <f t="shared" si="341"/>
        <v>0.56278604410979705</v>
      </c>
      <c r="AR970" s="22">
        <f t="shared" si="341"/>
        <v>0.56321260223652991</v>
      </c>
      <c r="AS970" s="22">
        <f t="shared" si="341"/>
        <v>0.56327493707134479</v>
      </c>
      <c r="AT970" s="22">
        <f t="shared" si="341"/>
        <v>0.56337129140315678</v>
      </c>
      <c r="AU970" s="22">
        <f t="shared" si="341"/>
        <v>0.56350053764973096</v>
      </c>
      <c r="AV970" s="22">
        <f t="shared" si="341"/>
        <v>0.5636616169201436</v>
      </c>
      <c r="AW970" s="22">
        <f t="shared" si="341"/>
        <v>0.56385353373800251</v>
      </c>
      <c r="AY970" s="85"/>
      <c r="AZ970" s="85"/>
    </row>
    <row r="971" spans="1:52" x14ac:dyDescent="0.25">
      <c r="A971" s="102" t="str">
        <f t="shared" si="326"/>
        <v>DS Organic</v>
      </c>
      <c r="B971" s="102" t="s">
        <v>975</v>
      </c>
      <c r="C971" s="102" t="s">
        <v>1128</v>
      </c>
      <c r="D971" t="s">
        <v>369</v>
      </c>
      <c r="E971" t="s">
        <v>55</v>
      </c>
      <c r="F971" t="s">
        <v>421</v>
      </c>
      <c r="G971" t="s">
        <v>1157</v>
      </c>
      <c r="H971" t="s">
        <v>1158</v>
      </c>
      <c r="I971" t="s">
        <v>139</v>
      </c>
      <c r="J971" t="s">
        <v>287</v>
      </c>
      <c r="K971" s="22">
        <f t="shared" si="342"/>
        <v>4.9952808112492433E-2</v>
      </c>
      <c r="L971" s="22">
        <f t="shared" si="341"/>
        <v>5.0263523005099557E-2</v>
      </c>
      <c r="M971" s="22">
        <f t="shared" si="341"/>
        <v>5.0477143774016554E-2</v>
      </c>
      <c r="N971" s="22">
        <f t="shared" si="341"/>
        <v>5.0544138391737034E-2</v>
      </c>
      <c r="O971" s="22">
        <f t="shared" si="341"/>
        <v>5.063477211269108E-2</v>
      </c>
      <c r="P971" s="22">
        <f t="shared" si="341"/>
        <v>5.0833294395268382E-2</v>
      </c>
      <c r="Q971" s="22">
        <f t="shared" si="341"/>
        <v>5.1071302475421292E-2</v>
      </c>
      <c r="R971" s="22">
        <f t="shared" si="341"/>
        <v>5.1142802585409194E-2</v>
      </c>
      <c r="S971" s="22">
        <f t="shared" si="341"/>
        <v>4.9572730033491622E-2</v>
      </c>
      <c r="T971" s="22">
        <f t="shared" si="341"/>
        <v>4.9981043911298741E-2</v>
      </c>
      <c r="U971" s="22">
        <f t="shared" si="341"/>
        <v>5.0355456141490972E-2</v>
      </c>
      <c r="V971" s="22">
        <f t="shared" si="341"/>
        <v>5.0739353439560694E-2</v>
      </c>
      <c r="W971" s="22">
        <f t="shared" si="341"/>
        <v>5.1201809957589661E-2</v>
      </c>
      <c r="X971" s="22">
        <f t="shared" si="341"/>
        <v>5.1672944194222255E-2</v>
      </c>
      <c r="Y971" s="22">
        <f t="shared" si="341"/>
        <v>5.2131696273739363E-2</v>
      </c>
      <c r="Z971" s="22">
        <f t="shared" si="341"/>
        <v>5.2581270666039896E-2</v>
      </c>
      <c r="AA971" s="22">
        <f t="shared" si="341"/>
        <v>5.3065511593317877E-2</v>
      </c>
      <c r="AB971" s="22">
        <f t="shared" si="341"/>
        <v>5.3524078232864716E-2</v>
      </c>
      <c r="AC971" s="22">
        <f t="shared" si="341"/>
        <v>5.3999093338179975E-2</v>
      </c>
      <c r="AD971" s="22">
        <f t="shared" si="341"/>
        <v>5.4544842348775345E-2</v>
      </c>
      <c r="AE971" s="22">
        <f t="shared" si="341"/>
        <v>5.5139220390078653E-2</v>
      </c>
      <c r="AF971" s="22">
        <f t="shared" si="341"/>
        <v>5.5757190675476007E-2</v>
      </c>
      <c r="AG971" s="22">
        <f t="shared" si="341"/>
        <v>5.5843511680428629E-2</v>
      </c>
      <c r="AH971" s="22">
        <f t="shared" si="341"/>
        <v>2.9898071317768258E-2</v>
      </c>
      <c r="AI971" s="22">
        <f t="shared" si="341"/>
        <v>2.9920061166714414E-2</v>
      </c>
      <c r="AJ971" s="22">
        <f t="shared" si="341"/>
        <v>2.994493964785629E-2</v>
      </c>
      <c r="AK971" s="22">
        <f t="shared" si="341"/>
        <v>2.9972596965328013E-2</v>
      </c>
      <c r="AL971" s="22">
        <f t="shared" si="341"/>
        <v>3.0002931779308462E-2</v>
      </c>
      <c r="AM971" s="22">
        <f t="shared" si="341"/>
        <v>3.0035850404531023E-2</v>
      </c>
      <c r="AN971" s="22">
        <f t="shared" si="341"/>
        <v>3.0050022856236633E-2</v>
      </c>
      <c r="AO971" s="22">
        <f t="shared" si="341"/>
        <v>3.0066470709959804E-2</v>
      </c>
      <c r="AP971" s="22">
        <f t="shared" si="341"/>
        <v>3.0085114492903187E-2</v>
      </c>
      <c r="AQ971" s="22">
        <f t="shared" si="341"/>
        <v>3.0105880155237338E-2</v>
      </c>
      <c r="AR971" s="22">
        <f t="shared" si="341"/>
        <v>3.0128698609918406E-2</v>
      </c>
      <c r="AS971" s="22">
        <f t="shared" si="341"/>
        <v>3.0132033172113177E-2</v>
      </c>
      <c r="AT971" s="22">
        <f t="shared" si="341"/>
        <v>3.0137187585582245E-2</v>
      </c>
      <c r="AU971" s="22">
        <f t="shared" si="341"/>
        <v>3.0144101531033828E-2</v>
      </c>
      <c r="AV971" s="22">
        <f t="shared" si="341"/>
        <v>3.0152718363773888E-2</v>
      </c>
      <c r="AW971" s="22">
        <f t="shared" si="341"/>
        <v>3.0162984831428343E-2</v>
      </c>
      <c r="AY971" s="85"/>
      <c r="AZ971" s="85"/>
    </row>
    <row r="972" spans="1:52" x14ac:dyDescent="0.25">
      <c r="A972" s="102" t="str">
        <f t="shared" si="326"/>
        <v>DS Organic</v>
      </c>
      <c r="B972" s="102" t="s">
        <v>975</v>
      </c>
      <c r="C972" s="102" t="s">
        <v>1128</v>
      </c>
      <c r="D972" t="s">
        <v>369</v>
      </c>
      <c r="E972" t="s">
        <v>55</v>
      </c>
      <c r="F972" t="s">
        <v>421</v>
      </c>
      <c r="G972" t="s">
        <v>1159</v>
      </c>
      <c r="H972" t="s">
        <v>1160</v>
      </c>
      <c r="I972" t="s">
        <v>139</v>
      </c>
      <c r="J972" t="s">
        <v>287</v>
      </c>
      <c r="K972" s="101">
        <f>IF('Net zero activities &amp; levers'!$C$12="Off",'Activity data'!AD53*ManureNEF*NtoN2O*kgtoGg,'Net zero Activity data'!AD53*ManureNEF*NtoN2O*kgtoGg)</f>
        <v>0.40352425177353124</v>
      </c>
      <c r="L972" s="101">
        <f>IF('Net zero activities &amp; levers'!$C$12="Off",'Activity data'!AE53*ManureNEF*NtoN2O*kgtoGg,'Net zero Activity data'!AE53*ManureNEF*NtoN2O*kgtoGg)</f>
        <v>0.40084951633384258</v>
      </c>
      <c r="M972" s="101">
        <f>IF('Net zero activities &amp; levers'!$C$12="Off",'Activity data'!AF53*ManureNEF*NtoN2O*kgtoGg,'Net zero Activity data'!AF53*ManureNEF*NtoN2O*kgtoGg)</f>
        <v>0.39521001590024774</v>
      </c>
      <c r="N972" s="101">
        <f>IF('Net zero activities &amp; levers'!$C$12="Off",'Activity data'!AG53*ManureNEF*NtoN2O*kgtoGg,'Net zero Activity data'!AG53*ManureNEF*NtoN2O*kgtoGg)</f>
        <v>0.3857038563965185</v>
      </c>
      <c r="O972" s="101">
        <f>IF('Net zero activities &amp; levers'!$C$12="Off",'Activity data'!AH53*ManureNEF*NtoN2O*kgtoGg,'Net zero Activity data'!AH53*ManureNEF*NtoN2O*kgtoGg)</f>
        <v>0.37648074986973956</v>
      </c>
      <c r="P972" s="101">
        <f>IF('Net zero activities &amp; levers'!$C$12="Off",'Activity data'!AI53*ManureNEF*NtoN2O*kgtoGg,'Net zero Activity data'!AI53*ManureNEF*NtoN2O*kgtoGg)</f>
        <v>0.36938688643597767</v>
      </c>
      <c r="Q972" s="101">
        <f>IF('Net zero activities &amp; levers'!$C$12="Off",'Activity data'!AJ53*ManureNEF*NtoN2O*kgtoGg,'Net zero Activity data'!AJ53*ManureNEF*NtoN2O*kgtoGg)</f>
        <v>0.36297043234615178</v>
      </c>
      <c r="R972" s="101">
        <f>IF('Net zero activities &amp; levers'!$C$12="Off",'Activity data'!AK53*ManureNEF*NtoN2O*kgtoGg,'Net zero Activity data'!AK53*ManureNEF*NtoN2O*kgtoGg)</f>
        <v>0.35288211799047686</v>
      </c>
      <c r="S972" s="101">
        <f>IF('Net zero activities &amp; levers'!$C$12="Off",'Activity data'!AL53*ManureNEF*NtoN2O*kgtoGg,'Net zero Activity data'!AL53*ManureNEF*NtoN2O*kgtoGg)</f>
        <v>0.30949900697043298</v>
      </c>
      <c r="T972" s="101">
        <f>IF('Net zero activities &amp; levers'!$C$12="Off",'Activity data'!AM53*ManureNEF*NtoN2O*kgtoGg,'Net zero Activity data'!AM53*ManureNEF*NtoN2O*kgtoGg)</f>
        <v>0.31244902874448233</v>
      </c>
      <c r="U972" s="101">
        <f>IF('Net zero activities &amp; levers'!$C$12="Off",'Activity data'!AN53*ManureNEF*NtoN2O*kgtoGg,'Net zero Activity data'!AN53*ManureNEF*NtoN2O*kgtoGg)</f>
        <v>0.31444522818952964</v>
      </c>
      <c r="V972" s="101">
        <f>IF('Net zero activities &amp; levers'!$C$12="Off",'Activity data'!AO53*ManureNEF*NtoN2O*kgtoGg,'Net zero Activity data'!AO53*ManureNEF*NtoN2O*kgtoGg)</f>
        <v>0.31637649984131477</v>
      </c>
      <c r="W972" s="101">
        <f>IF('Net zero activities &amp; levers'!$C$12="Off",'Activity data'!AP53*ManureNEF*NtoN2O*kgtoGg,'Net zero Activity data'!AP53*ManureNEF*NtoN2O*kgtoGg)</f>
        <v>0.31957035863343569</v>
      </c>
      <c r="X972" s="101">
        <f>IF('Net zero activities &amp; levers'!$C$12="Off",'Activity data'!AQ53*ManureNEF*NtoN2O*kgtoGg,'Net zero Activity data'!AQ53*ManureNEF*NtoN2O*kgtoGg)</f>
        <v>0.32265895567955921</v>
      </c>
      <c r="Y972" s="101">
        <f>IF('Net zero activities &amp; levers'!$C$12="Off",'Activity data'!AR53*ManureNEF*NtoN2O*kgtoGg,'Net zero Activity data'!AR53*ManureNEF*NtoN2O*kgtoGg)</f>
        <v>0.32590151896633945</v>
      </c>
      <c r="Z972" s="101">
        <f>IF('Net zero activities &amp; levers'!$C$12="Off",'Activity data'!AS53*ManureNEF*NtoN2O*kgtoGg,'Net zero Activity data'!AS53*ManureNEF*NtoN2O*kgtoGg)</f>
        <v>0.32872445709091741</v>
      </c>
      <c r="AA972" s="101">
        <f>IF('Net zero activities &amp; levers'!$C$12="Off",'Activity data'!AT53*ManureNEF*NtoN2O*kgtoGg,'Net zero Activity data'!AT53*ManureNEF*NtoN2O*kgtoGg)</f>
        <v>0.33193734347454801</v>
      </c>
      <c r="AB972" s="101">
        <f>IF('Net zero activities &amp; levers'!$C$12="Off",'Activity data'!AU53*ManureNEF*NtoN2O*kgtoGg,'Net zero Activity data'!AU53*ManureNEF*NtoN2O*kgtoGg)</f>
        <v>0.33445153592828769</v>
      </c>
      <c r="AC972" s="101">
        <f>IF('Net zero activities &amp; levers'!$C$12="Off",'Activity data'!AV53*ManureNEF*NtoN2O*kgtoGg,'Net zero Activity data'!AV53*ManureNEF*NtoN2O*kgtoGg)</f>
        <v>0.33703471359982889</v>
      </c>
      <c r="AD972" s="101">
        <f>IF('Net zero activities &amp; levers'!$C$12="Off",'Activity data'!AW53*ManureNEF*NtoN2O*kgtoGg,'Net zero Activity data'!AW53*ManureNEF*NtoN2O*kgtoGg)</f>
        <v>0.3382378632765542</v>
      </c>
      <c r="AE972" s="101">
        <f>IF('Net zero activities &amp; levers'!$C$12="Off",'Activity data'!AX53*ManureNEF*NtoN2O*kgtoGg,'Net zero Activity data'!AX53*ManureNEF*NtoN2O*kgtoGg)</f>
        <v>0.33988762558713326</v>
      </c>
      <c r="AF972" s="101">
        <f>IF('Net zero activities &amp; levers'!$C$12="Off",'Activity data'!AY53*ManureNEF*NtoN2O*kgtoGg,'Net zero Activity data'!AY53*ManureNEF*NtoN2O*kgtoGg)</f>
        <v>0.34153102086249887</v>
      </c>
      <c r="AG972" s="101">
        <f>IF('Net zero activities &amp; levers'!$C$12="Off",'Activity data'!AZ53*ManureNEF*NtoN2O*kgtoGg,'Net zero Activity data'!AZ53*ManureNEF*NtoN2O*kgtoGg)</f>
        <v>0.33428783362296566</v>
      </c>
      <c r="AH972" s="101">
        <f>IF('Net zero activities &amp; levers'!$C$12="Off",'Activity data'!BA53*ManureNEF*NtoN2O*kgtoGg,'Net zero Activity data'!BA53*ManureNEF*NtoN2O*kgtoGg)</f>
        <v>-7.8853876190349073E-2</v>
      </c>
      <c r="AI972" s="101">
        <f>IF('Net zero activities &amp; levers'!$C$12="Off",'Activity data'!BB53*ManureNEF*NtoN2O*kgtoGg,'Net zero Activity data'!BB53*ManureNEF*NtoN2O*kgtoGg)</f>
        <v>-7.7024740515349702E-2</v>
      </c>
      <c r="AJ972" s="101">
        <f>IF('Net zero activities &amp; levers'!$C$12="Off",'Activity data'!BC53*ManureNEF*NtoN2O*kgtoGg,'Net zero Activity data'!BC53*ManureNEF*NtoN2O*kgtoGg)</f>
        <v>-7.5224693837810969E-2</v>
      </c>
      <c r="AK972" s="101">
        <f>IF('Net zero activities &amp; levers'!$C$12="Off",'Activity data'!BD53*ManureNEF*NtoN2O*kgtoGg,'Net zero Activity data'!BD53*ManureNEF*NtoN2O*kgtoGg)</f>
        <v>-7.3452212631802502E-2</v>
      </c>
      <c r="AL972" s="101">
        <f>IF('Net zero activities &amp; levers'!$C$12="Off",'Activity data'!BE53*ManureNEF*NtoN2O*kgtoGg,'Net zero Activity data'!BE53*ManureNEF*NtoN2O*kgtoGg)</f>
        <v>-7.1705878701856365E-2</v>
      </c>
      <c r="AM972" s="101">
        <f>IF('Net zero activities &amp; levers'!$C$12="Off",'Activity data'!BF53*ManureNEF*NtoN2O*kgtoGg,'Net zero Activity data'!BF53*ManureNEF*NtoN2O*kgtoGg)</f>
        <v>-6.9984369422605414E-2</v>
      </c>
      <c r="AN972" s="101">
        <f>IF('Net zero activities &amp; levers'!$C$12="Off",'Activity data'!BG53*ManureNEF*NtoN2O*kgtoGg,'Net zero Activity data'!BG53*ManureNEF*NtoN2O*kgtoGg)</f>
        <v>-6.8588614819976648E-2</v>
      </c>
      <c r="AO972" s="101">
        <f>IF('Net zero activities &amp; levers'!$C$12="Off",'Activity data'!BH53*ManureNEF*NtoN2O*kgtoGg,'Net zero Activity data'!BH53*ManureNEF*NtoN2O*kgtoGg)</f>
        <v>-6.7213941404815583E-2</v>
      </c>
      <c r="AP972" s="101">
        <f>IF('Net zero activities &amp; levers'!$C$12="Off",'Activity data'!BI53*ManureNEF*NtoN2O*kgtoGg,'Net zero Activity data'!BI53*ManureNEF*NtoN2O*kgtoGg)</f>
        <v>-6.5859393882214817E-2</v>
      </c>
      <c r="AQ972" s="101">
        <f>IF('Net zero activities &amp; levers'!$C$12="Off",'Activity data'!BJ53*ManureNEF*NtoN2O*kgtoGg,'Net zero Activity data'!BJ53*ManureNEF*NtoN2O*kgtoGg)</f>
        <v>-6.45240763716773E-2</v>
      </c>
      <c r="AR972" s="101">
        <f>IF('Net zero activities &amp; levers'!$C$12="Off",'Activity data'!BK53*ManureNEF*NtoN2O*kgtoGg,'Net zero Activity data'!BK53*ManureNEF*NtoN2O*kgtoGg)</f>
        <v>-6.3207147480680487E-2</v>
      </c>
      <c r="AS972" s="101">
        <f>IF('Net zero activities &amp; levers'!$C$12="Off",'Activity data'!BL53*ManureNEF*NtoN2O*kgtoGg,'Net zero Activity data'!BL53*ManureNEF*NtoN2O*kgtoGg)</f>
        <v>-6.1865741273458848E-2</v>
      </c>
      <c r="AT972" s="101">
        <f>IF('Net zero activities &amp; levers'!$C$12="Off",'Activity data'!BM53*ManureNEF*NtoN2O*kgtoGg,'Net zero Activity data'!BM53*ManureNEF*NtoN2O*kgtoGg)</f>
        <v>-6.054278111227946E-2</v>
      </c>
      <c r="AU972" s="101">
        <f>IF('Net zero activities &amp; levers'!$C$12="Off",'Activity data'!BN53*ManureNEF*NtoN2O*kgtoGg,'Net zero Activity data'!BN53*ManureNEF*NtoN2O*kgtoGg)</f>
        <v>-5.9237541358355558E-2</v>
      </c>
      <c r="AV972" s="101">
        <f>IF('Net zero activities &amp; levers'!$C$12="Off",'Activity data'!BO53*ManureNEF*NtoN2O*kgtoGg,'Net zero Activity data'!BO53*ManureNEF*NtoN2O*kgtoGg)</f>
        <v>-5.7949337141593796E-2</v>
      </c>
      <c r="AW972" s="101">
        <f>IF('Net zero activities &amp; levers'!$C$12="Off",'Activity data'!BP53*ManureNEF*NtoN2O*kgtoGg,'Net zero Activity data'!BP53*ManureNEF*NtoN2O*kgtoGg)</f>
        <v>-5.667752131406488E-2</v>
      </c>
      <c r="AY972" s="85"/>
      <c r="AZ972" s="85"/>
    </row>
    <row r="973" spans="1:52" x14ac:dyDescent="0.25">
      <c r="A973" s="102" t="str">
        <f t="shared" si="326"/>
        <v>DS Organic</v>
      </c>
      <c r="B973" s="102" t="s">
        <v>975</v>
      </c>
      <c r="C973" s="102" t="s">
        <v>1128</v>
      </c>
      <c r="D973" t="s">
        <v>369</v>
      </c>
      <c r="E973" t="s">
        <v>55</v>
      </c>
      <c r="F973" t="s">
        <v>421</v>
      </c>
      <c r="G973" t="s">
        <v>1161</v>
      </c>
      <c r="H973" t="s">
        <v>1162</v>
      </c>
      <c r="I973" t="s">
        <v>139</v>
      </c>
      <c r="J973" t="s">
        <v>287</v>
      </c>
      <c r="K973" s="101">
        <f>IF('Net zero activities &amp; levers'!$C$12="Off",'Activity data'!AD54*ManureNEF*NtoN2O*kgtoGg,'Net zero Activity data'!AD54*ManureNEF*NtoN2O*kgtoGg)</f>
        <v>2.6837391724620612</v>
      </c>
      <c r="L973" s="101">
        <f>IF('Net zero activities &amp; levers'!$C$12="Off",'Activity data'!AE54*ManureNEF*NtoN2O*kgtoGg,'Net zero Activity data'!AE54*ManureNEF*NtoN2O*kgtoGg)</f>
        <v>2.6659501740464377</v>
      </c>
      <c r="M973" s="101">
        <f>IF('Net zero activities &amp; levers'!$C$12="Off",'Activity data'!AF54*ManureNEF*NtoN2O*kgtoGg,'Net zero Activity data'!AF54*ManureNEF*NtoN2O*kgtoGg)</f>
        <v>2.6284432629742147</v>
      </c>
      <c r="N973" s="101">
        <f>IF('Net zero activities &amp; levers'!$C$12="Off",'Activity data'!AG54*ManureNEF*NtoN2O*kgtoGg,'Net zero Activity data'!AG54*ManureNEF*NtoN2O*kgtoGg)</f>
        <v>2.5652201666480274</v>
      </c>
      <c r="O973" s="101">
        <f>IF('Net zero activities &amp; levers'!$C$12="Off",'Activity data'!AH54*ManureNEF*NtoN2O*kgtoGg,'Net zero Activity data'!AH54*ManureNEF*NtoN2O*kgtoGg)</f>
        <v>2.5038795850871476</v>
      </c>
      <c r="P973" s="101">
        <f>IF('Net zero activities &amp; levers'!$C$12="Off",'Activity data'!AI54*ManureNEF*NtoN2O*kgtoGg,'Net zero Activity data'!AI54*ManureNEF*NtoN2O*kgtoGg)</f>
        <v>2.4567000683725801</v>
      </c>
      <c r="Q973" s="101">
        <f>IF('Net zero activities &amp; levers'!$C$12="Off",'Activity data'!AJ54*ManureNEF*NtoN2O*kgtoGg,'Net zero Activity data'!AJ54*ManureNEF*NtoN2O*kgtoGg)</f>
        <v>2.414025832280235</v>
      </c>
      <c r="R973" s="101">
        <f>IF('Net zero activities &amp; levers'!$C$12="Off",'Activity data'!AK54*ManureNEF*NtoN2O*kgtoGg,'Net zero Activity data'!AK54*ManureNEF*NtoN2O*kgtoGg)</f>
        <v>2.3469309692046179</v>
      </c>
      <c r="S973" s="101">
        <f>IF('Net zero activities &amp; levers'!$C$12="Off",'Activity data'!AL54*ManureNEF*NtoN2O*kgtoGg,'Net zero Activity data'!AL54*ManureNEF*NtoN2O*kgtoGg)</f>
        <v>2.0584007161751039</v>
      </c>
      <c r="T973" s="101">
        <f>IF('Net zero activities &amp; levers'!$C$12="Off",'Activity data'!AM54*ManureNEF*NtoN2O*kgtoGg,'Net zero Activity data'!AM54*ManureNEF*NtoN2O*kgtoGg)</f>
        <v>2.0780205753529248</v>
      </c>
      <c r="U973" s="101">
        <f>IF('Net zero activities &amp; levers'!$C$12="Off",'Activity data'!AN54*ManureNEF*NtoN2O*kgtoGg,'Net zero Activity data'!AN54*ManureNEF*NtoN2O*kgtoGg)</f>
        <v>2.0912968000734335</v>
      </c>
      <c r="V973" s="101">
        <f>IF('Net zero activities &amp; levers'!$C$12="Off",'Activity data'!AO54*ManureNEF*NtoN2O*kgtoGg,'Net zero Activity data'!AO54*ManureNEF*NtoN2O*kgtoGg)</f>
        <v>2.1041412062318772</v>
      </c>
      <c r="W973" s="101">
        <f>IF('Net zero activities &amp; levers'!$C$12="Off",'Activity data'!AP54*ManureNEF*NtoN2O*kgtoGg,'Net zero Activity data'!AP54*ManureNEF*NtoN2O*kgtoGg)</f>
        <v>2.125382764611714</v>
      </c>
      <c r="X973" s="101">
        <f>IF('Net zero activities &amp; levers'!$C$12="Off",'Activity data'!AQ54*ManureNEF*NtoN2O*kgtoGg,'Net zero Activity data'!AQ54*ManureNEF*NtoN2O*kgtoGg)</f>
        <v>2.1459242533678449</v>
      </c>
      <c r="Y973" s="101">
        <f>IF('Net zero activities &amp; levers'!$C$12="Off",'Activity data'!AR54*ManureNEF*NtoN2O*kgtoGg,'Net zero Activity data'!AR54*ManureNEF*NtoN2O*kgtoGg)</f>
        <v>2.1674897331963128</v>
      </c>
      <c r="Z973" s="101">
        <f>IF('Net zero activities &amp; levers'!$C$12="Off",'Activity data'!AS54*ManureNEF*NtoN2O*kgtoGg,'Net zero Activity data'!AS54*ManureNEF*NtoN2O*kgtoGg)</f>
        <v>2.1862643907121093</v>
      </c>
      <c r="AA973" s="101">
        <f>IF('Net zero activities &amp; levers'!$C$12="Off",'Activity data'!AT54*ManureNEF*NtoN2O*kgtoGg,'Net zero Activity data'!AT54*ManureNEF*NtoN2O*kgtoGg)</f>
        <v>2.2076324968582024</v>
      </c>
      <c r="AB973" s="101">
        <f>IF('Net zero activities &amp; levers'!$C$12="Off",'Activity data'!AU54*ManureNEF*NtoN2O*kgtoGg,'Net zero Activity data'!AU54*ManureNEF*NtoN2O*kgtoGg)</f>
        <v>2.2243537639085806</v>
      </c>
      <c r="AC973" s="101">
        <f>IF('Net zero activities &amp; levers'!$C$12="Off",'Activity data'!AV54*ManureNEF*NtoN2O*kgtoGg,'Net zero Activity data'!AV54*ManureNEF*NtoN2O*kgtoGg)</f>
        <v>2.2415338344398443</v>
      </c>
      <c r="AD973" s="101">
        <f>IF('Net zero activities &amp; levers'!$C$12="Off",'Activity data'!AW54*ManureNEF*NtoN2O*kgtoGg,'Net zero Activity data'!AW54*ManureNEF*NtoN2O*kgtoGg)</f>
        <v>2.2495356829125717</v>
      </c>
      <c r="AE973" s="101">
        <f>IF('Net zero activities &amp; levers'!$C$12="Off",'Activity data'!AX54*ManureNEF*NtoN2O*kgtoGg,'Net zero Activity data'!AX54*ManureNEF*NtoN2O*kgtoGg)</f>
        <v>2.2605078406421084</v>
      </c>
      <c r="AF973" s="101">
        <f>IF('Net zero activities &amp; levers'!$C$12="Off",'Activity data'!AY54*ManureNEF*NtoN2O*kgtoGg,'Net zero Activity data'!AY54*ManureNEF*NtoN2O*kgtoGg)</f>
        <v>2.2714376528081774</v>
      </c>
      <c r="AG973" s="101">
        <f>IF('Net zero activities &amp; levers'!$C$12="Off",'Activity data'!AZ54*ManureNEF*NtoN2O*kgtoGg,'Net zero Activity data'!AZ54*ManureNEF*NtoN2O*kgtoGg)</f>
        <v>2.2232650206980202</v>
      </c>
      <c r="AH973" s="101">
        <f>IF('Net zero activities &amp; levers'!$C$12="Off",'Activity data'!BA54*ManureNEF*NtoN2O*kgtoGg,'Net zero Activity data'!BA54*ManureNEF*NtoN2O*kgtoGg)</f>
        <v>-0.52443746689921866</v>
      </c>
      <c r="AI973" s="101">
        <f>IF('Net zero activities &amp; levers'!$C$12="Off",'Activity data'!BB54*ManureNEF*NtoN2O*kgtoGg,'Net zero Activity data'!BB54*ManureNEF*NtoN2O*kgtoGg)</f>
        <v>-0.51227234165292079</v>
      </c>
      <c r="AJ973" s="101">
        <f>IF('Net zero activities &amp; levers'!$C$12="Off",'Activity data'!BC54*ManureNEF*NtoN2O*kgtoGg,'Net zero Activity data'!BC54*ManureNEF*NtoN2O*kgtoGg)</f>
        <v>-0.50030068007486495</v>
      </c>
      <c r="AK973" s="101">
        <f>IF('Net zero activities &amp; levers'!$C$12="Off",'Activity data'!BD54*ManureNEF*NtoN2O*kgtoGg,'Net zero Activity data'!BD54*ManureNEF*NtoN2O*kgtoGg)</f>
        <v>-0.48851234957400724</v>
      </c>
      <c r="AL973" s="101">
        <f>IF('Net zero activities &amp; levers'!$C$12="Off",'Activity data'!BE54*ManureNEF*NtoN2O*kgtoGg,'Net zero Activity data'!BE54*ManureNEF*NtoN2O*kgtoGg)</f>
        <v>-0.47689791808594317</v>
      </c>
      <c r="AM973" s="101">
        <f>IF('Net zero activities &amp; levers'!$C$12="Off",'Activity data'!BF54*ManureNEF*NtoN2O*kgtoGg,'Net zero Activity data'!BF54*ManureNEF*NtoN2O*kgtoGg)</f>
        <v>-0.46544858915917614</v>
      </c>
      <c r="AN973" s="101">
        <f>IF('Net zero activities &amp; levers'!$C$12="Off",'Activity data'!BG54*ManureNEF*NtoN2O*kgtoGg,'Net zero Activity data'!BG54*ManureNEF*NtoN2O*kgtoGg)</f>
        <v>-0.45616577335379221</v>
      </c>
      <c r="AO973" s="101">
        <f>IF('Net zero activities &amp; levers'!$C$12="Off",'Activity data'!BH54*ManureNEF*NtoN2O*kgtoGg,'Net zero Activity data'!BH54*ManureNEF*NtoN2O*kgtoGg)</f>
        <v>-0.44702316326928004</v>
      </c>
      <c r="AP973" s="101">
        <f>IF('Net zero activities &amp; levers'!$C$12="Off",'Activity data'!BI54*ManureNEF*NtoN2O*kgtoGg,'Net zero Activity data'!BI54*ManureNEF*NtoN2O*kgtoGg)</f>
        <v>-0.4380144054774302</v>
      </c>
      <c r="AQ973" s="101">
        <f>IF('Net zero activities &amp; levers'!$C$12="Off",'Activity data'!BJ54*ManureNEF*NtoN2O*kgtoGg,'Net zero Activity data'!BJ54*ManureNEF*NtoN2O*kgtoGg)</f>
        <v>-0.4291335417004612</v>
      </c>
      <c r="AR973" s="101">
        <f>IF('Net zero activities &amp; levers'!$C$12="Off",'Activity data'!BK54*ManureNEF*NtoN2O*kgtoGg,'Net zero Activity data'!BK54*ManureNEF*NtoN2O*kgtoGg)</f>
        <v>-0.42037497604652191</v>
      </c>
      <c r="AS973" s="101">
        <f>IF('Net zero activities &amp; levers'!$C$12="Off",'Activity data'!BL54*ManureNEF*NtoN2O*kgtoGg,'Net zero Activity data'!BL54*ManureNEF*NtoN2O*kgtoGg)</f>
        <v>-0.41145361786623369</v>
      </c>
      <c r="AT973" s="101">
        <f>IF('Net zero activities &amp; levers'!$C$12="Off",'Activity data'!BM54*ManureNEF*NtoN2O*kgtoGg,'Net zero Activity data'!BM54*ManureNEF*NtoN2O*kgtoGg)</f>
        <v>-0.40265493973831684</v>
      </c>
      <c r="AU973" s="101">
        <f>IF('Net zero activities &amp; levers'!$C$12="Off",'Activity data'!BN54*ManureNEF*NtoN2O*kgtoGg,'Net zero Activity data'!BN54*ManureNEF*NtoN2O*kgtoGg)</f>
        <v>-0.3939741156201515</v>
      </c>
      <c r="AV973" s="101">
        <f>IF('Net zero activities &amp; levers'!$C$12="Off",'Activity data'!BO54*ManureNEF*NtoN2O*kgtoGg,'Net zero Activity data'!BO54*ManureNEF*NtoN2O*kgtoGg)</f>
        <v>-0.38540659061153143</v>
      </c>
      <c r="AW973" s="101">
        <f>IF('Net zero activities &amp; levers'!$C$12="Off",'Activity data'!BP54*ManureNEF*NtoN2O*kgtoGg,'Net zero Activity data'!BP54*ManureNEF*NtoN2O*kgtoGg)</f>
        <v>-0.37694806069295739</v>
      </c>
      <c r="AY973" s="85"/>
      <c r="AZ973" s="85"/>
    </row>
    <row r="974" spans="1:52" x14ac:dyDescent="0.25">
      <c r="A974" s="102" t="str">
        <f t="shared" si="326"/>
        <v>DS Organic</v>
      </c>
      <c r="B974" s="102" t="s">
        <v>975</v>
      </c>
      <c r="C974" s="102" t="s">
        <v>1128</v>
      </c>
      <c r="D974" t="s">
        <v>369</v>
      </c>
      <c r="E974" t="s">
        <v>55</v>
      </c>
      <c r="F974" t="s">
        <v>421</v>
      </c>
      <c r="G974" t="s">
        <v>1163</v>
      </c>
      <c r="H974" t="s">
        <v>1164</v>
      </c>
      <c r="I974" t="s">
        <v>139</v>
      </c>
      <c r="J974" t="s">
        <v>287</v>
      </c>
      <c r="K974" s="101">
        <f>IF('Net zero activities &amp; levers'!$C$12="Off",'Activity data'!AD55*ManureNEF*NtoN2O*kgtoGg,'Net zero Activity data'!AD55*ManureNEF*NtoN2O*kgtoGg)</f>
        <v>0.34546247453096907</v>
      </c>
      <c r="L974" s="101">
        <f>IF('Net zero activities &amp; levers'!$C$12="Off",'Activity data'!AE55*ManureNEF*NtoN2O*kgtoGg,'Net zero Activity data'!AE55*ManureNEF*NtoN2O*kgtoGg)</f>
        <v>0.35776618085714956</v>
      </c>
      <c r="M974" s="101">
        <f>IF('Net zero activities &amp; levers'!$C$12="Off",'Activity data'!AF55*ManureNEF*NtoN2O*kgtoGg,'Net zero Activity data'!AF55*ManureNEF*NtoN2O*kgtoGg)</f>
        <v>0.36753197290523232</v>
      </c>
      <c r="N974" s="101">
        <f>IF('Net zero activities &amp; levers'!$C$12="Off",'Activity data'!AG55*ManureNEF*NtoN2O*kgtoGg,'Net zero Activity data'!AG55*ManureNEF*NtoN2O*kgtoGg)</f>
        <v>0.37357124020109944</v>
      </c>
      <c r="O974" s="101">
        <f>IF('Net zero activities &amp; levers'!$C$12="Off",'Activity data'!AH55*ManureNEF*NtoN2O*kgtoGg,'Net zero Activity data'!AH55*ManureNEF*NtoN2O*kgtoGg)</f>
        <v>0.37962311486925576</v>
      </c>
      <c r="P974" s="101">
        <f>IF('Net zero activities &amp; levers'!$C$12="Off",'Activity data'!AI55*ManureNEF*NtoN2O*kgtoGg,'Net zero Activity data'!AI55*ManureNEF*NtoN2O*kgtoGg)</f>
        <v>0.38765990463300043</v>
      </c>
      <c r="Q974" s="101">
        <f>IF('Net zero activities &amp; levers'!$C$12="Off",'Activity data'!AJ55*ManureNEF*NtoN2O*kgtoGg,'Net zero Activity data'!AJ55*ManureNEF*NtoN2O*kgtoGg)</f>
        <v>0.39636651112291715</v>
      </c>
      <c r="R974" s="101">
        <f>IF('Net zero activities &amp; levers'!$C$12="Off",'Activity data'!AK55*ManureNEF*NtoN2O*kgtoGg,'Net zero Activity data'!AK55*ManureNEF*NtoN2O*kgtoGg)</f>
        <v>0.40089753199851358</v>
      </c>
      <c r="S974" s="101">
        <f>IF('Net zero activities &amp; levers'!$C$12="Off",'Activity data'!AL55*ManureNEF*NtoN2O*kgtoGg,'Net zero Activity data'!AL55*ManureNEF*NtoN2O*kgtoGg)</f>
        <v>0.36575105397715829</v>
      </c>
      <c r="T974" s="101">
        <f>IF('Net zero activities &amp; levers'!$C$12="Off",'Activity data'!AM55*ManureNEF*NtoN2O*kgtoGg,'Net zero Activity data'!AM55*ManureNEF*NtoN2O*kgtoGg)</f>
        <v>0.37806101801948427</v>
      </c>
      <c r="U974" s="101">
        <f>IF('Net zero activities &amp; levers'!$C$12="Off",'Activity data'!AN55*ManureNEF*NtoN2O*kgtoGg,'Net zero Activity data'!AN55*ManureNEF*NtoN2O*kgtoGg)</f>
        <v>0.38944404902970864</v>
      </c>
      <c r="V974" s="101">
        <f>IF('Net zero activities &amp; levers'!$C$12="Off",'Activity data'!AO55*ManureNEF*NtoN2O*kgtoGg,'Net zero Activity data'!AO55*ManureNEF*NtoN2O*kgtoGg)</f>
        <v>0.40095410706426832</v>
      </c>
      <c r="W974" s="101">
        <f>IF('Net zero activities &amp; levers'!$C$12="Off",'Activity data'!AP55*ManureNEF*NtoN2O*kgtoGg,'Net zero Activity data'!AP55*ManureNEF*NtoN2O*kgtoGg)</f>
        <v>0.41431554176005497</v>
      </c>
      <c r="X974" s="101">
        <f>IF('Net zero activities &amp; levers'!$C$12="Off",'Activity data'!AQ55*ManureNEF*NtoN2O*kgtoGg,'Net zero Activity data'!AQ55*ManureNEF*NtoN2O*kgtoGg)</f>
        <v>0.42783512426761167</v>
      </c>
      <c r="Y974" s="101">
        <f>IF('Net zero activities &amp; levers'!$C$12="Off",'Activity data'!AR55*ManureNEF*NtoN2O*kgtoGg,'Net zero Activity data'!AR55*ManureNEF*NtoN2O*kgtoGg)</f>
        <v>0.44186503984012609</v>
      </c>
      <c r="Z974" s="101">
        <f>IF('Net zero activities &amp; levers'!$C$12="Off",'Activity data'!AS55*ManureNEF*NtoN2O*kgtoGg,'Net zero Activity data'!AS55*ManureNEF*NtoN2O*kgtoGg)</f>
        <v>0.45563435576355671</v>
      </c>
      <c r="AA974" s="101">
        <f>IF('Net zero activities &amp; levers'!$C$12="Off",'Activity data'!AT55*ManureNEF*NtoN2O*kgtoGg,'Net zero Activity data'!AT55*ManureNEF*NtoN2O*kgtoGg)</f>
        <v>0.47026188205754332</v>
      </c>
      <c r="AB974" s="101">
        <f>IF('Net zero activities &amp; levers'!$C$12="Off",'Activity data'!AU55*ManureNEF*NtoN2O*kgtoGg,'Net zero Activity data'!AU55*ManureNEF*NtoN2O*kgtoGg)</f>
        <v>0.48421794201830248</v>
      </c>
      <c r="AC974" s="101">
        <f>IF('Net zero activities &amp; levers'!$C$12="Off",'Activity data'!AV55*ManureNEF*NtoN2O*kgtoGg,'Net zero Activity data'!AV55*ManureNEF*NtoN2O*kgtoGg)</f>
        <v>0.49858289829777308</v>
      </c>
      <c r="AD974" s="101">
        <f>IF('Net zero activities &amp; levers'!$C$12="Off",'Activity data'!AW55*ManureNEF*NtoN2O*kgtoGg,'Net zero Activity data'!AW55*ManureNEF*NtoN2O*kgtoGg)</f>
        <v>0.51686863289566187</v>
      </c>
      <c r="AE974" s="101">
        <f>IF('Net zero activities &amp; levers'!$C$12="Off",'Activity data'!AX55*ManureNEF*NtoN2O*kgtoGg,'Net zero Activity data'!AX55*ManureNEF*NtoN2O*kgtoGg)</f>
        <v>0.53655701311036041</v>
      </c>
      <c r="AF974" s="101">
        <f>IF('Net zero activities &amp; levers'!$C$12="Off",'Activity data'!AY55*ManureNEF*NtoN2O*kgtoGg,'Net zero Activity data'!AY55*ManureNEF*NtoN2O*kgtoGg)</f>
        <v>0.55701835701835767</v>
      </c>
      <c r="AG974" s="101">
        <f>IF('Net zero activities &amp; levers'!$C$12="Off",'Activity data'!AZ55*ManureNEF*NtoN2O*kgtoGg,'Net zero Activity data'!AZ55*ManureNEF*NtoN2O*kgtoGg)</f>
        <v>0.56333119928831021</v>
      </c>
      <c r="AH974" s="101">
        <f>IF('Net zero activities &amp; levers'!$C$12="Off",'Activity data'!BA55*ManureNEF*NtoN2O*kgtoGg,'Net zero Activity data'!BA55*ManureNEF*NtoN2O*kgtoGg)</f>
        <v>-0.13731688522656813</v>
      </c>
      <c r="AI974" s="101">
        <f>IF('Net zero activities &amp; levers'!$C$12="Off",'Activity data'!BB55*ManureNEF*NtoN2O*kgtoGg,'Net zero Activity data'!BB55*ManureNEF*NtoN2O*kgtoGg)</f>
        <v>-0.13862810897609068</v>
      </c>
      <c r="AJ974" s="101">
        <f>IF('Net zero activities &amp; levers'!$C$12="Off",'Activity data'!BC55*ManureNEF*NtoN2O*kgtoGg,'Net zero Activity data'!BC55*ManureNEF*NtoN2O*kgtoGg)</f>
        <v>-0.13994999382586637</v>
      </c>
      <c r="AK974" s="101">
        <f>IF('Net zero activities &amp; levers'!$C$12="Off",'Activity data'!BD55*ManureNEF*NtoN2O*kgtoGg,'Net zero Activity data'!BD55*ManureNEF*NtoN2O*kgtoGg)</f>
        <v>-0.14128264066794663</v>
      </c>
      <c r="AL974" s="101">
        <f>IF('Net zero activities &amp; levers'!$C$12="Off",'Activity data'!BE55*ManureNEF*NtoN2O*kgtoGg,'Net zero Activity data'!BE55*ManureNEF*NtoN2O*kgtoGg)</f>
        <v>-0.14262615130024825</v>
      </c>
      <c r="AM974" s="101">
        <f>IF('Net zero activities &amp; levers'!$C$12="Off",'Activity data'!BF55*ManureNEF*NtoN2O*kgtoGg,'Net zero Activity data'!BF55*ManureNEF*NtoN2O*kgtoGg)</f>
        <v>-0.14398062843440931</v>
      </c>
      <c r="AN974" s="101">
        <f>IF('Net zero activities &amp; levers'!$C$12="Off",'Activity data'!BG55*ManureNEF*NtoN2O*kgtoGg,'Net zero Activity data'!BG55*ManureNEF*NtoN2O*kgtoGg)</f>
        <v>-0.14506760905723812</v>
      </c>
      <c r="AO974" s="101">
        <f>IF('Net zero activities &amp; levers'!$C$12="Off",'Activity data'!BH55*ManureNEF*NtoN2O*kgtoGg,'Net zero Activity data'!BH55*ManureNEF*NtoN2O*kgtoGg)</f>
        <v>-0.14616208765425914</v>
      </c>
      <c r="AP974" s="101">
        <f>IF('Net zero activities &amp; levers'!$C$12="Off",'Activity data'!BI55*ManureNEF*NtoN2O*kgtoGg,'Net zero Activity data'!BI55*ManureNEF*NtoN2O*kgtoGg)</f>
        <v>-0.14726412356751001</v>
      </c>
      <c r="AQ974" s="101">
        <f>IF('Net zero activities &amp; levers'!$C$12="Off",'Activity data'!BJ55*ManureNEF*NtoN2O*kgtoGg,'Net zero Activity data'!BJ55*ManureNEF*NtoN2O*kgtoGg)</f>
        <v>-0.14837377658692755</v>
      </c>
      <c r="AR974" s="101">
        <f>IF('Net zero activities &amp; levers'!$C$12="Off",'Activity data'!BK55*ManureNEF*NtoN2O*kgtoGg,'Net zero Activity data'!BK55*ManureNEF*NtoN2O*kgtoGg)</f>
        <v>-0.1494911069536225</v>
      </c>
      <c r="AS974" s="101">
        <f>IF('Net zero activities &amp; levers'!$C$12="Off",'Activity data'!BL55*ManureNEF*NtoN2O*kgtoGg,'Net zero Activity data'!BL55*ManureNEF*NtoN2O*kgtoGg)</f>
        <v>-0.15051381160807262</v>
      </c>
      <c r="AT974" s="101">
        <f>IF('Net zero activities &amp; levers'!$C$12="Off",'Activity data'!BM55*ManureNEF*NtoN2O*kgtoGg,'Net zero Activity data'!BM55*ManureNEF*NtoN2O*kgtoGg)</f>
        <v>-0.15154240205157654</v>
      </c>
      <c r="AU974" s="101">
        <f>IF('Net zero activities &amp; levers'!$C$12="Off",'Activity data'!BN55*ManureNEF*NtoN2O*kgtoGg,'Net zero Activity data'!BN55*ManureNEF*NtoN2O*kgtoGg)</f>
        <v>-0.15257691722009936</v>
      </c>
      <c r="AV974" s="101">
        <f>IF('Net zero activities &amp; levers'!$C$12="Off",'Activity data'!BO55*ManureNEF*NtoN2O*kgtoGg,'Net zero Activity data'!BO55*ManureNEF*NtoN2O*kgtoGg)</f>
        <v>-0.15361739629374987</v>
      </c>
      <c r="AW974" s="101">
        <f>IF('Net zero activities &amp; levers'!$C$12="Off",'Activity data'!BP55*ManureNEF*NtoN2O*kgtoGg,'Net zero Activity data'!BP55*ManureNEF*NtoN2O*kgtoGg)</f>
        <v>-0.15466387869825843</v>
      </c>
      <c r="AY974" s="85"/>
      <c r="AZ974" s="85"/>
    </row>
    <row r="975" spans="1:52" x14ac:dyDescent="0.25">
      <c r="A975" s="102" t="str">
        <f t="shared" si="326"/>
        <v>DS Organic</v>
      </c>
      <c r="B975" s="102" t="s">
        <v>975</v>
      </c>
      <c r="C975" s="102" t="s">
        <v>1128</v>
      </c>
      <c r="D975" t="s">
        <v>369</v>
      </c>
      <c r="E975" t="s">
        <v>55</v>
      </c>
      <c r="F975" t="s">
        <v>421</v>
      </c>
      <c r="G975" t="s">
        <v>1165</v>
      </c>
      <c r="H975" t="s">
        <v>1166</v>
      </c>
      <c r="I975" t="s">
        <v>139</v>
      </c>
      <c r="J975" t="s">
        <v>287</v>
      </c>
      <c r="K975" s="101">
        <f>IF('Net zero activities &amp; levers'!$C$12="Off",'Activity data'!AD56*ManureNEF*NtoN2O*kgtoGg,IF('Net zero activities &amp; levers'!$C$12="PB",'Activity data'!AD56*ManureNEF*NtoN2O*kgtoGg,IF('Net zero activities &amp; levers'!$C$12="MS",'Net zero Activity data'!AD56*ManureNEF*NtoN2O*kgtoGg,"ERROR")))</f>
        <v>5.8358562487318792E-2</v>
      </c>
      <c r="L975" s="101">
        <f>IF('Net zero activities &amp; levers'!$C$12="Off",'Activity data'!AE56*ManureNEF*NtoN2O*kgtoGg,IF('Net zero activities &amp; levers'!$C$12="PB",'Activity data'!AE56*ManureNEF*NtoN2O*kgtoGg,IF('Net zero activities &amp; levers'!$C$12="MS",'Net zero Activity data'!AE56*ManureNEF*NtoN2O*kgtoGg,"ERROR")))</f>
        <v>5.839043159926547E-2</v>
      </c>
      <c r="M975" s="101">
        <f>IF('Net zero activities &amp; levers'!$C$12="Off",'Activity data'!AF56*ManureNEF*NtoN2O*kgtoGg,IF('Net zero activities &amp; levers'!$C$12="PB",'Activity data'!AF56*ManureNEF*NtoN2O*kgtoGg,IF('Net zero activities &amp; levers'!$C$12="MS",'Net zero Activity data'!AF56*ManureNEF*NtoN2O*kgtoGg,"ERROR")))</f>
        <v>5.8461792662766042E-2</v>
      </c>
      <c r="N975" s="101">
        <f>IF('Net zero activities &amp; levers'!$C$12="Off",'Activity data'!AG56*ManureNEF*NtoN2O*kgtoGg,IF('Net zero activities &amp; levers'!$C$12="PB",'Activity data'!AG56*ManureNEF*NtoN2O*kgtoGg,IF('Net zero activities &amp; levers'!$C$12="MS",'Net zero Activity data'!AG56*ManureNEF*NtoN2O*kgtoGg,"ERROR")))</f>
        <v>5.8569206044707944E-2</v>
      </c>
      <c r="O975" s="101">
        <f>IF('Net zero activities &amp; levers'!$C$12="Off",'Activity data'!AH56*ManureNEF*NtoN2O*kgtoGg,IF('Net zero activities &amp; levers'!$C$12="PB",'Activity data'!AH56*ManureNEF*NtoN2O*kgtoGg,IF('Net zero activities &amp; levers'!$C$12="MS",'Net zero Activity data'!AH56*ManureNEF*NtoN2O*kgtoGg,"ERROR")))</f>
        <v>5.87141088514554E-2</v>
      </c>
      <c r="P975" s="101">
        <f>IF('Net zero activities &amp; levers'!$C$12="Off",'Activity data'!AI56*ManureNEF*NtoN2O*kgtoGg,IF('Net zero activities &amp; levers'!$C$12="PB",'Activity data'!AI56*ManureNEF*NtoN2O*kgtoGg,IF('Net zero activities &amp; levers'!$C$12="MS",'Net zero Activity data'!AI56*ManureNEF*NtoN2O*kgtoGg,"ERROR")))</f>
        <v>5.8896654838927982E-2</v>
      </c>
      <c r="Q975" s="101">
        <f>IF('Net zero activities &amp; levers'!$C$12="Off",'Activity data'!AJ56*ManureNEF*NtoN2O*kgtoGg,IF('Net zero activities &amp; levers'!$C$12="PB",'Activity data'!AJ56*ManureNEF*NtoN2O*kgtoGg,IF('Net zero activities &amp; levers'!$C$12="MS",'Net zero Activity data'!AJ56*ManureNEF*NtoN2O*kgtoGg,"ERROR")))</f>
        <v>5.9100003668857495E-2</v>
      </c>
      <c r="R975" s="101">
        <f>IF('Net zero activities &amp; levers'!$C$12="Off",'Activity data'!AK56*ManureNEF*NtoN2O*kgtoGg,IF('Net zero activities &amp; levers'!$C$12="PB",'Activity data'!AK56*ManureNEF*NtoN2O*kgtoGg,IF('Net zero activities &amp; levers'!$C$12="MS",'Net zero Activity data'!AK56*ManureNEF*NtoN2O*kgtoGg,"ERROR")))</f>
        <v>5.9320387521670827E-2</v>
      </c>
      <c r="S975" s="101">
        <f>IF('Net zero activities &amp; levers'!$C$12="Off",'Activity data'!AL56*ManureNEF*NtoN2O*kgtoGg,IF('Net zero activities &amp; levers'!$C$12="PB",'Activity data'!AL56*ManureNEF*NtoN2O*kgtoGg,IF('Net zero activities &amp; levers'!$C$12="MS",'Net zero Activity data'!AL56*ManureNEF*NtoN2O*kgtoGg,"ERROR")))</f>
        <v>5.9527484870119066E-2</v>
      </c>
      <c r="T975" s="101">
        <f>IF('Net zero activities &amp; levers'!$C$12="Off",'Activity data'!AM56*ManureNEF*NtoN2O*kgtoGg,IF('Net zero activities &amp; levers'!$C$12="PB",'Activity data'!AM56*ManureNEF*NtoN2O*kgtoGg,IF('Net zero activities &amp; levers'!$C$12="MS",'Net zero Activity data'!AM56*ManureNEF*NtoN2O*kgtoGg,"ERROR")))</f>
        <v>5.9613993442869086E-2</v>
      </c>
      <c r="U975" s="101">
        <f>IF('Net zero activities &amp; levers'!$C$12="Off",'Activity data'!AN56*ManureNEF*NtoN2O*kgtoGg,IF('Net zero activities &amp; levers'!$C$12="PB",'Activity data'!AN56*ManureNEF*NtoN2O*kgtoGg,IF('Net zero activities &amp; levers'!$C$12="MS",'Net zero Activity data'!AN56*ManureNEF*NtoN2O*kgtoGg,"ERROR")))</f>
        <v>5.9714376068116658E-2</v>
      </c>
      <c r="V975" s="101">
        <f>IF('Net zero activities &amp; levers'!$C$12="Off",'Activity data'!AO56*ManureNEF*NtoN2O*kgtoGg,IF('Net zero activities &amp; levers'!$C$12="PB",'Activity data'!AO56*ManureNEF*NtoN2O*kgtoGg,IF('Net zero activities &amp; levers'!$C$12="MS",'Net zero Activity data'!AO56*ManureNEF*NtoN2O*kgtoGg,"ERROR")))</f>
        <v>5.9828612163064419E-2</v>
      </c>
      <c r="W975" s="101">
        <f>IF('Net zero activities &amp; levers'!$C$12="Off",'Activity data'!AP56*ManureNEF*NtoN2O*kgtoGg,IF('Net zero activities &amp; levers'!$C$12="PB",'Activity data'!AP56*ManureNEF*NtoN2O*kgtoGg,IF('Net zero activities &amp; levers'!$C$12="MS",'Net zero Activity data'!AP56*ManureNEF*NtoN2O*kgtoGg,"ERROR")))</f>
        <v>5.9957293598347332E-2</v>
      </c>
      <c r="X975" s="101">
        <f>IF('Net zero activities &amp; levers'!$C$12="Off",'Activity data'!AQ56*ManureNEF*NtoN2O*kgtoGg,IF('Net zero activities &amp; levers'!$C$12="PB",'Activity data'!AQ56*ManureNEF*NtoN2O*kgtoGg,IF('Net zero activities &amp; levers'!$C$12="MS",'Net zero Activity data'!AQ56*ManureNEF*NtoN2O*kgtoGg,"ERROR")))</f>
        <v>6.0098357419229781E-2</v>
      </c>
      <c r="Y975" s="101">
        <f>IF('Net zero activities &amp; levers'!$C$12="Off",'Activity data'!AR56*ManureNEF*NtoN2O*kgtoGg,IF('Net zero activities &amp; levers'!$C$12="PB",'Activity data'!AR56*ManureNEF*NtoN2O*kgtoGg,IF('Net zero activities &amp; levers'!$C$12="MS",'Net zero Activity data'!AR56*ManureNEF*NtoN2O*kgtoGg,"ERROR")))</f>
        <v>6.0185192959010252E-2</v>
      </c>
      <c r="Z975" s="101">
        <f>IF('Net zero activities &amp; levers'!$C$12="Off",'Activity data'!AS56*ManureNEF*NtoN2O*kgtoGg,IF('Net zero activities &amp; levers'!$C$12="PB",'Activity data'!AS56*ManureNEF*NtoN2O*kgtoGg,IF('Net zero activities &amp; levers'!$C$12="MS",'Net zero Activity data'!AS56*ManureNEF*NtoN2O*kgtoGg,"ERROR")))</f>
        <v>6.0282190049865431E-2</v>
      </c>
      <c r="AA975" s="101">
        <f>IF('Net zero activities &amp; levers'!$C$12="Off",'Activity data'!AT56*ManureNEF*NtoN2O*kgtoGg,IF('Net zero activities &amp; levers'!$C$12="PB",'Activity data'!AT56*ManureNEF*NtoN2O*kgtoGg,IF('Net zero activities &amp; levers'!$C$12="MS",'Net zero Activity data'!AT56*ManureNEF*NtoN2O*kgtoGg,"ERROR")))</f>
        <v>6.0389700688940708E-2</v>
      </c>
      <c r="AB975" s="101">
        <f>IF('Net zero activities &amp; levers'!$C$12="Off",'Activity data'!AU56*ManureNEF*NtoN2O*kgtoGg,IF('Net zero activities &amp; levers'!$C$12="PB",'Activity data'!AU56*ManureNEF*NtoN2O*kgtoGg,IF('Net zero activities &amp; levers'!$C$12="MS",'Net zero Activity data'!AU56*ManureNEF*NtoN2O*kgtoGg,"ERROR")))</f>
        <v>6.0506073039024895E-2</v>
      </c>
      <c r="AC975" s="101">
        <f>IF('Net zero activities &amp; levers'!$C$12="Off",'Activity data'!AV56*ManureNEF*NtoN2O*kgtoGg,IF('Net zero activities &amp; levers'!$C$12="PB",'Activity data'!AV56*ManureNEF*NtoN2O*kgtoGg,IF('Net zero activities &amp; levers'!$C$12="MS",'Net zero Activity data'!AV56*ManureNEF*NtoN2O*kgtoGg,"ERROR")))</f>
        <v>6.0631723200139168E-2</v>
      </c>
      <c r="AD975" s="101">
        <f>IF('Net zero activities &amp; levers'!$C$12="Off",'Activity data'!AW56*ManureNEF*NtoN2O*kgtoGg,IF('Net zero activities &amp; levers'!$C$12="PB",'Activity data'!AW56*ManureNEF*NtoN2O*kgtoGg,IF('Net zero activities &amp; levers'!$C$12="MS",'Net zero Activity data'!AW56*ManureNEF*NtoN2O*kgtoGg,"ERROR")))</f>
        <v>6.0714441042505521E-2</v>
      </c>
      <c r="AE975" s="101">
        <f>IF('Net zero activities &amp; levers'!$C$12="Off",'Activity data'!AX56*ManureNEF*NtoN2O*kgtoGg,IF('Net zero activities &amp; levers'!$C$12="PB",'Activity data'!AX56*ManureNEF*NtoN2O*kgtoGg,IF('Net zero activities &amp; levers'!$C$12="MS",'Net zero Activity data'!AX56*ManureNEF*NtoN2O*kgtoGg,"ERROR")))</f>
        <v>6.0805859526171006E-2</v>
      </c>
      <c r="AF975" s="101">
        <f>IF('Net zero activities &amp; levers'!$C$12="Off",'Activity data'!AY56*ManureNEF*NtoN2O*kgtoGg,IF('Net zero activities &amp; levers'!$C$12="PB",'Activity data'!AY56*ManureNEF*NtoN2O*kgtoGg,IF('Net zero activities &amp; levers'!$C$12="MS",'Net zero Activity data'!AY56*ManureNEF*NtoN2O*kgtoGg,"ERROR")))</f>
        <v>6.0905156479066316E-2</v>
      </c>
      <c r="AG975" s="101">
        <f>IF('Net zero activities &amp; levers'!$C$12="Off",'Activity data'!AZ56*ManureNEF*NtoN2O*kgtoGg,IF('Net zero activities &amp; levers'!$C$12="PB",'Activity data'!AZ56*ManureNEF*NtoN2O*kgtoGg,IF('Net zero activities &amp; levers'!$C$12="MS",'Net zero Activity data'!AZ56*ManureNEF*NtoN2O*kgtoGg,"ERROR")))</f>
        <v>6.1001089999952796E-2</v>
      </c>
      <c r="AH975" s="101">
        <f>IF('Net zero activities &amp; levers'!$C$12="Off",'Activity data'!BA56*ManureNEF*NtoN2O*kgtoGg,IF('Net zero activities &amp; levers'!$C$12="PB",'Activity data'!BA56*ManureNEF*NtoN2O*kgtoGg,IF('Net zero activities &amp; levers'!$C$12="MS",'Net zero Activity data'!BA56*ManureNEF*NtoN2O*kgtoGg,"ERROR")))</f>
        <v>6.0590945473242341E-2</v>
      </c>
      <c r="AI975" s="101">
        <f>IF('Net zero activities &amp; levers'!$C$12="Off",'Activity data'!BB56*ManureNEF*NtoN2O*kgtoGg,IF('Net zero activities &amp; levers'!$C$12="PB",'Activity data'!BB56*ManureNEF*NtoN2O*kgtoGg,IF('Net zero activities &amp; levers'!$C$12="MS",'Net zero Activity data'!BB56*ManureNEF*NtoN2O*kgtoGg,"ERROR")))</f>
        <v>6.0649192481063346E-2</v>
      </c>
      <c r="AJ975" s="101">
        <f>IF('Net zero activities &amp; levers'!$C$12="Off",'Activity data'!BC56*ManureNEF*NtoN2O*kgtoGg,IF('Net zero activities &amp; levers'!$C$12="PB",'Activity data'!BC56*ManureNEF*NtoN2O*kgtoGg,IF('Net zero activities &amp; levers'!$C$12="MS",'Net zero Activity data'!BC56*ManureNEF*NtoN2O*kgtoGg,"ERROR")))</f>
        <v>6.0713468342713614E-2</v>
      </c>
      <c r="AK975" s="101">
        <f>IF('Net zero activities &amp; levers'!$C$12="Off",'Activity data'!BD56*ManureNEF*NtoN2O*kgtoGg,IF('Net zero activities &amp; levers'!$C$12="PB",'Activity data'!BD56*ManureNEF*NtoN2O*kgtoGg,IF('Net zero activities &amp; levers'!$C$12="MS",'Net zero Activity data'!BD56*ManureNEF*NtoN2O*kgtoGg,"ERROR")))</f>
        <v>6.0783545293153662E-2</v>
      </c>
      <c r="AL975" s="101">
        <f>IF('Net zero activities &amp; levers'!$C$12="Off",'Activity data'!BE56*ManureNEF*NtoN2O*kgtoGg,IF('Net zero activities &amp; levers'!$C$12="PB",'Activity data'!BE56*ManureNEF*NtoN2O*kgtoGg,IF('Net zero activities &amp; levers'!$C$12="MS",'Net zero Activity data'!BE56*ManureNEF*NtoN2O*kgtoGg,"ERROR")))</f>
        <v>6.0859213172163779E-2</v>
      </c>
      <c r="AM975" s="101">
        <f>IF('Net zero activities &amp; levers'!$C$12="Off",'Activity data'!BF56*ManureNEF*NtoN2O*kgtoGg,IF('Net zero activities &amp; levers'!$C$12="PB",'Activity data'!BF56*ManureNEF*NtoN2O*kgtoGg,IF('Net zero activities &amp; levers'!$C$12="MS",'Net zero Activity data'!BF56*ManureNEF*NtoN2O*kgtoGg,"ERROR")))</f>
        <v>6.0940277753779866E-2</v>
      </c>
      <c r="AN975" s="101">
        <f>IF('Net zero activities &amp; levers'!$C$12="Off",'Activity data'!BG56*ManureNEF*NtoN2O*kgtoGg,IF('Net zero activities &amp; levers'!$C$12="PB",'Activity data'!BG56*ManureNEF*NtoN2O*kgtoGg,IF('Net zero activities &amp; levers'!$C$12="MS",'Net zero Activity data'!BG56*ManureNEF*NtoN2O*kgtoGg,"ERROR")))</f>
        <v>6.0979618468756831E-2</v>
      </c>
      <c r="AO975" s="101">
        <f>IF('Net zero activities &amp; levers'!$C$12="Off",'Activity data'!BH56*ManureNEF*NtoN2O*kgtoGg,IF('Net zero activities &amp; levers'!$C$12="PB",'Activity data'!BH56*ManureNEF*NtoN2O*kgtoGg,IF('Net zero activities &amp; levers'!$C$12="MS",'Net zero Activity data'!BH56*ManureNEF*NtoN2O*kgtoGg,"ERROR")))</f>
        <v>6.1023714022373471E-2</v>
      </c>
      <c r="AP975" s="101">
        <f>IF('Net zero activities &amp; levers'!$C$12="Off",'Activity data'!BI56*ManureNEF*NtoN2O*kgtoGg,IF('Net zero activities &amp; levers'!$C$12="PB",'Activity data'!BI56*ManureNEF*NtoN2O*kgtoGg,IF('Net zero activities &amp; levers'!$C$12="MS",'Net zero Activity data'!BI56*ManureNEF*NtoN2O*kgtoGg,"ERROR")))</f>
        <v>6.1072398935034244E-2</v>
      </c>
      <c r="AQ975" s="101">
        <f>IF('Net zero activities &amp; levers'!$C$12="Off",'Activity data'!BJ56*ManureNEF*NtoN2O*kgtoGg,IF('Net zero activities &amp; levers'!$C$12="PB",'Activity data'!BJ56*ManureNEF*NtoN2O*kgtoGg,IF('Net zero activities &amp; levers'!$C$12="MS",'Net zero Activity data'!BJ56*ManureNEF*NtoN2O*kgtoGg,"ERROR")))</f>
        <v>6.112551905317741E-2</v>
      </c>
      <c r="AR975" s="101">
        <f>IF('Net zero activities &amp; levers'!$C$12="Off",'Activity data'!BK56*ManureNEF*NtoN2O*kgtoGg,IF('Net zero activities &amp; levers'!$C$12="PB",'Activity data'!BK56*ManureNEF*NtoN2O*kgtoGg,IF('Net zero activities &amp; levers'!$C$12="MS",'Net zero Activity data'!BK56*ManureNEF*NtoN2O*kgtoGg,"ERROR")))</f>
        <v>6.1182930587073178E-2</v>
      </c>
      <c r="AS975" s="101">
        <f>IF('Net zero activities &amp; levers'!$C$12="Off",'Activity data'!BL56*ManureNEF*NtoN2O*kgtoGg,IF('Net zero activities &amp; levers'!$C$12="PB",'Activity data'!BL56*ManureNEF*NtoN2O*kgtoGg,IF('Net zero activities &amp; levers'!$C$12="MS",'Net zero Activity data'!BL56*ManureNEF*NtoN2O*kgtoGg,"ERROR")))</f>
        <v>6.1197093314118836E-2</v>
      </c>
      <c r="AT975" s="101">
        <f>IF('Net zero activities &amp; levers'!$C$12="Off",'Activity data'!BM56*ManureNEF*NtoN2O*kgtoGg,IF('Net zero activities &amp; levers'!$C$12="PB",'Activity data'!BM56*ManureNEF*NtoN2O*kgtoGg,IF('Net zero activities &amp; levers'!$C$12="MS",'Net zero Activity data'!BM56*ManureNEF*NtoN2O*kgtoGg,"ERROR")))</f>
        <v>6.1215064670682988E-2</v>
      </c>
      <c r="AU975" s="101">
        <f>IF('Net zero activities &amp; levers'!$C$12="Off",'Activity data'!BN56*ManureNEF*NtoN2O*kgtoGg,IF('Net zero activities &amp; levers'!$C$12="PB",'Activity data'!BN56*ManureNEF*NtoN2O*kgtoGg,IF('Net zero activities &amp; levers'!$C$12="MS",'Net zero Activity data'!BN56*ManureNEF*NtoN2O*kgtoGg,"ERROR")))</f>
        <v>6.1236718515027384E-2</v>
      </c>
      <c r="AV975" s="101">
        <f>IF('Net zero activities &amp; levers'!$C$12="Off",'Activity data'!BO56*ManureNEF*NtoN2O*kgtoGg,IF('Net zero activities &amp; levers'!$C$12="PB",'Activity data'!BO56*ManureNEF*NtoN2O*kgtoGg,IF('Net zero activities &amp; levers'!$C$12="MS",'Net zero Activity data'!BO56*ManureNEF*NtoN2O*kgtoGg,"ERROR")))</f>
        <v>6.1261936408176808E-2</v>
      </c>
      <c r="AW975" s="101">
        <f>IF('Net zero activities &amp; levers'!$C$12="Off",'Activity data'!BP56*ManureNEF*NtoN2O*kgtoGg,IF('Net zero activities &amp; levers'!$C$12="PB",'Activity data'!BP56*ManureNEF*NtoN2O*kgtoGg,IF('Net zero activities &amp; levers'!$C$12="MS",'Net zero Activity data'!BP56*ManureNEF*NtoN2O*kgtoGg,"ERROR")))</f>
        <v>6.1290607021564164E-2</v>
      </c>
      <c r="AY975" s="85"/>
      <c r="AZ975" s="85"/>
    </row>
    <row r="976" spans="1:52" x14ac:dyDescent="0.25">
      <c r="A976" s="102" t="str">
        <f t="shared" si="326"/>
        <v>DS Organic</v>
      </c>
      <c r="B976" s="102" t="s">
        <v>975</v>
      </c>
      <c r="C976" s="102" t="s">
        <v>1128</v>
      </c>
      <c r="D976" t="s">
        <v>369</v>
      </c>
      <c r="E976" t="s">
        <v>55</v>
      </c>
      <c r="F976" t="s">
        <v>421</v>
      </c>
      <c r="G976" t="s">
        <v>1167</v>
      </c>
      <c r="H976" t="s">
        <v>1168</v>
      </c>
      <c r="I976" t="s">
        <v>139</v>
      </c>
      <c r="J976" t="s">
        <v>287</v>
      </c>
      <c r="K976" s="101">
        <f>IF('Net zero activities &amp; levers'!$C$12="Off",'Activity data'!AD57*ManureNEF*NtoN2O*kgtoGg,IF('Net zero activities &amp; levers'!$C$12="PB",'Activity data'!AD57*ManureNEF*NtoN2O*kgtoGg,IF('Net zero activities &amp; levers'!$C$12="MS",'Net zero Activity data'!AD57*ManureNEF*NtoN2O*kgtoGg,"ERROR")))</f>
        <v>4.7495937116525173E-2</v>
      </c>
      <c r="L976" s="101">
        <f>IF('Net zero activities &amp; levers'!$C$12="Off",'Activity data'!AE57*ManureNEF*NtoN2O*kgtoGg,IF('Net zero activities &amp; levers'!$C$12="PB",'Activity data'!AE57*ManureNEF*NtoN2O*kgtoGg,IF('Net zero activities &amp; levers'!$C$12="MS",'Net zero Activity data'!AE57*ManureNEF*NtoN2O*kgtoGg,"ERROR")))</f>
        <v>4.7521874241643836E-2</v>
      </c>
      <c r="M976" s="101">
        <f>IF('Net zero activities &amp; levers'!$C$12="Off",'Activity data'!AF57*ManureNEF*NtoN2O*kgtoGg,IF('Net zero activities &amp; levers'!$C$12="PB",'Activity data'!AF57*ManureNEF*NtoN2O*kgtoGg,IF('Net zero activities &amp; levers'!$C$12="MS",'Net zero Activity data'!AF57*ManureNEF*NtoN2O*kgtoGg,"ERROR")))</f>
        <v>4.7579952447139875E-2</v>
      </c>
      <c r="N976" s="101">
        <f>IF('Net zero activities &amp; levers'!$C$12="Off",'Activity data'!AG57*ManureNEF*NtoN2O*kgtoGg,IF('Net zero activities &amp; levers'!$C$12="PB",'Activity data'!AG57*ManureNEF*NtoN2O*kgtoGg,IF('Net zero activities &amp; levers'!$C$12="MS",'Net zero Activity data'!AG57*ManureNEF*NtoN2O*kgtoGg,"ERROR")))</f>
        <v>4.7667372339213025E-2</v>
      </c>
      <c r="O976" s="101">
        <f>IF('Net zero activities &amp; levers'!$C$12="Off",'Activity data'!AH57*ManureNEF*NtoN2O*kgtoGg,IF('Net zero activities &amp; levers'!$C$12="PB",'Activity data'!AH57*ManureNEF*NtoN2O*kgtoGg,IF('Net zero activities &amp; levers'!$C$12="MS",'Net zero Activity data'!AH57*ManureNEF*NtoN2O*kgtoGg,"ERROR")))</f>
        <v>4.7785303527096222E-2</v>
      </c>
      <c r="P976" s="101">
        <f>IF('Net zero activities &amp; levers'!$C$12="Off",'Activity data'!AI57*ManureNEF*NtoN2O*kgtoGg,IF('Net zero activities &amp; levers'!$C$12="PB",'Activity data'!AI57*ManureNEF*NtoN2O*kgtoGg,IF('Net zero activities &amp; levers'!$C$12="MS",'Net zero Activity data'!AI57*ManureNEF*NtoN2O*kgtoGg,"ERROR")))</f>
        <v>4.7933871147207763E-2</v>
      </c>
      <c r="Q976" s="101">
        <f>IF('Net zero activities &amp; levers'!$C$12="Off",'Activity data'!AJ57*ManureNEF*NtoN2O*kgtoGg,IF('Net zero activities &amp; levers'!$C$12="PB",'Activity data'!AJ57*ManureNEF*NtoN2O*kgtoGg,IF('Net zero activities &amp; levers'!$C$12="MS",'Net zero Activity data'!AJ57*ManureNEF*NtoN2O*kgtoGg,"ERROR")))</f>
        <v>4.8099369453324381E-2</v>
      </c>
      <c r="R976" s="101">
        <f>IF('Net zero activities &amp; levers'!$C$12="Off",'Activity data'!AK57*ManureNEF*NtoN2O*kgtoGg,IF('Net zero activities &amp; levers'!$C$12="PB",'Activity data'!AK57*ManureNEF*NtoN2O*kgtoGg,IF('Net zero activities &amp; levers'!$C$12="MS",'Net zero Activity data'!AK57*ManureNEF*NtoN2O*kgtoGg,"ERROR")))</f>
        <v>4.8278731952477678E-2</v>
      </c>
      <c r="S976" s="101">
        <f>IF('Net zero activities &amp; levers'!$C$12="Off",'Activity data'!AL57*ManureNEF*NtoN2O*kgtoGg,IF('Net zero activities &amp; levers'!$C$12="PB",'Activity data'!AL57*ManureNEF*NtoN2O*kgtoGg,IF('Net zero activities &amp; levers'!$C$12="MS",'Net zero Activity data'!AL57*ManureNEF*NtoN2O*kgtoGg,"ERROR")))</f>
        <v>4.8447281043127996E-2</v>
      </c>
      <c r="T976" s="101">
        <f>IF('Net zero activities &amp; levers'!$C$12="Off",'Activity data'!AM57*ManureNEF*NtoN2O*kgtoGg,IF('Net zero activities &amp; levers'!$C$12="PB",'Activity data'!AM57*ManureNEF*NtoN2O*kgtoGg,IF('Net zero activities &amp; levers'!$C$12="MS",'Net zero Activity data'!AM57*ManureNEF*NtoN2O*kgtoGg,"ERROR")))</f>
        <v>4.8517687262134283E-2</v>
      </c>
      <c r="U976" s="101">
        <f>IF('Net zero activities &amp; levers'!$C$12="Off",'Activity data'!AN57*ManureNEF*NtoN2O*kgtoGg,IF('Net zero activities &amp; levers'!$C$12="PB",'Activity data'!AN57*ManureNEF*NtoN2O*kgtoGg,IF('Net zero activities &amp; levers'!$C$12="MS",'Net zero Activity data'!AN57*ManureNEF*NtoN2O*kgtoGg,"ERROR")))</f>
        <v>4.8599385073957294E-2</v>
      </c>
      <c r="V976" s="101">
        <f>IF('Net zero activities &amp; levers'!$C$12="Off",'Activity data'!AO57*ManureNEF*NtoN2O*kgtoGg,IF('Net zero activities &amp; levers'!$C$12="PB",'Activity data'!AO57*ManureNEF*NtoN2O*kgtoGg,IF('Net zero activities &amp; levers'!$C$12="MS",'Net zero Activity data'!AO57*ManureNEF*NtoN2O*kgtoGg,"ERROR")))</f>
        <v>4.8692357726997801E-2</v>
      </c>
      <c r="W976" s="101">
        <f>IF('Net zero activities &amp; levers'!$C$12="Off",'Activity data'!AP57*ManureNEF*NtoN2O*kgtoGg,IF('Net zero activities &amp; levers'!$C$12="PB",'Activity data'!AP57*ManureNEF*NtoN2O*kgtoGg,IF('Net zero activities &amp; levers'!$C$12="MS",'Net zero Activity data'!AP57*ManureNEF*NtoN2O*kgtoGg,"ERROR")))</f>
        <v>4.8797086923498996E-2</v>
      </c>
      <c r="X976" s="101">
        <f>IF('Net zero activities &amp; levers'!$C$12="Off",'Activity data'!AQ57*ManureNEF*NtoN2O*kgtoGg,IF('Net zero activities &amp; levers'!$C$12="PB",'Activity data'!AQ57*ManureNEF*NtoN2O*kgtoGg,IF('Net zero activities &amp; levers'!$C$12="MS",'Net zero Activity data'!AQ57*ManureNEF*NtoN2O*kgtoGg,"ERROR")))</f>
        <v>4.8911893698725943E-2</v>
      </c>
      <c r="Y976" s="101">
        <f>IF('Net zero activities &amp; levers'!$C$12="Off",'Activity data'!AR57*ManureNEF*NtoN2O*kgtoGg,IF('Net zero activities &amp; levers'!$C$12="PB",'Activity data'!AR57*ManureNEF*NtoN2O*kgtoGg,IF('Net zero activities &amp; levers'!$C$12="MS",'Net zero Activity data'!AR57*ManureNEF*NtoN2O*kgtoGg,"ERROR")))</f>
        <v>4.8982566024450037E-2</v>
      </c>
      <c r="Z976" s="101">
        <f>IF('Net zero activities &amp; levers'!$C$12="Off",'Activity data'!AS57*ManureNEF*NtoN2O*kgtoGg,IF('Net zero activities &amp; levers'!$C$12="PB",'Activity data'!AS57*ManureNEF*NtoN2O*kgtoGg,IF('Net zero activities &amp; levers'!$C$12="MS",'Net zero Activity data'!AS57*ManureNEF*NtoN2O*kgtoGg,"ERROR")))</f>
        <v>4.9061508471477298E-2</v>
      </c>
      <c r="AA976" s="101">
        <f>IF('Net zero activities &amp; levers'!$C$12="Off",'Activity data'!AT57*ManureNEF*NtoN2O*kgtoGg,IF('Net zero activities &amp; levers'!$C$12="PB",'Activity data'!AT57*ManureNEF*NtoN2O*kgtoGg,IF('Net zero activities &amp; levers'!$C$12="MS",'Net zero Activity data'!AT57*ManureNEF*NtoN2O*kgtoGg,"ERROR")))</f>
        <v>4.9149007517636747E-2</v>
      </c>
      <c r="AB976" s="101">
        <f>IF('Net zero activities &amp; levers'!$C$12="Off",'Activity data'!AU57*ManureNEF*NtoN2O*kgtoGg,IF('Net zero activities &amp; levers'!$C$12="PB",'Activity data'!AU57*ManureNEF*NtoN2O*kgtoGg,IF('Net zero activities &amp; levers'!$C$12="MS",'Net zero Activity data'!AU57*ManureNEF*NtoN2O*kgtoGg,"ERROR")))</f>
        <v>4.9243718791974624E-2</v>
      </c>
      <c r="AC976" s="101">
        <f>IF('Net zero activities &amp; levers'!$C$12="Off",'Activity data'!AV57*ManureNEF*NtoN2O*kgtoGg,IF('Net zero activities &amp; levers'!$C$12="PB",'Activity data'!AV57*ManureNEF*NtoN2O*kgtoGg,IF('Net zero activities &amp; levers'!$C$12="MS",'Net zero Activity data'!AV57*ManureNEF*NtoN2O*kgtoGg,"ERROR")))</f>
        <v>4.9345980943347217E-2</v>
      </c>
      <c r="AD976" s="101">
        <f>IF('Net zero activities &amp; levers'!$C$12="Off",'Activity data'!AW57*ManureNEF*NtoN2O*kgtoGg,IF('Net zero activities &amp; levers'!$C$12="PB",'Activity data'!AW57*ManureNEF*NtoN2O*kgtoGg,IF('Net zero activities &amp; levers'!$C$12="MS",'Net zero Activity data'!AW57*ManureNEF*NtoN2O*kgtoGg,"ERROR")))</f>
        <v>4.941330202309966E-2</v>
      </c>
      <c r="AE976" s="101">
        <f>IF('Net zero activities &amp; levers'!$C$12="Off",'Activity data'!AX57*ManureNEF*NtoN2O*kgtoGg,IF('Net zero activities &amp; levers'!$C$12="PB",'Activity data'!AX57*ManureNEF*NtoN2O*kgtoGg,IF('Net zero activities &amp; levers'!$C$12="MS",'Net zero Activity data'!AX57*ManureNEF*NtoN2O*kgtoGg,"ERROR")))</f>
        <v>4.9487704242181185E-2</v>
      </c>
      <c r="AF976" s="101">
        <f>IF('Net zero activities &amp; levers'!$C$12="Off",'Activity data'!AY57*ManureNEF*NtoN2O*kgtoGg,IF('Net zero activities &amp; levers'!$C$12="PB",'Activity data'!AY57*ManureNEF*NtoN2O*kgtoGg,IF('Net zero activities &amp; levers'!$C$12="MS",'Net zero Activity data'!AY57*ManureNEF*NtoN2O*kgtoGg,"ERROR")))</f>
        <v>4.9568518464286178E-2</v>
      </c>
      <c r="AG976" s="101">
        <f>IF('Net zero activities &amp; levers'!$C$12="Off",'Activity data'!AZ57*ManureNEF*NtoN2O*kgtoGg,IF('Net zero activities &amp; levers'!$C$12="PB",'Activity data'!AZ57*ManureNEF*NtoN2O*kgtoGg,IF('Net zero activities &amp; levers'!$C$12="MS",'Net zero Activity data'!AZ57*ManureNEF*NtoN2O*kgtoGg,"ERROR")))</f>
        <v>4.9646595309931256E-2</v>
      </c>
      <c r="AH976" s="101">
        <f>IF('Net zero activities &amp; levers'!$C$12="Off",'Activity data'!BA57*ManureNEF*NtoN2O*kgtoGg,IF('Net zero activities &amp; levers'!$C$12="PB",'Activity data'!BA57*ManureNEF*NtoN2O*kgtoGg,IF('Net zero activities &amp; levers'!$C$12="MS",'Net zero Activity data'!BA57*ManureNEF*NtoN2O*kgtoGg,"ERROR")))</f>
        <v>4.9312793416617665E-2</v>
      </c>
      <c r="AI976" s="101">
        <f>IF('Net zero activities &amp; levers'!$C$12="Off",'Activity data'!BB57*ManureNEF*NtoN2O*kgtoGg,IF('Net zero activities &amp; levers'!$C$12="PB",'Activity data'!BB57*ManureNEF*NtoN2O*kgtoGg,IF('Net zero activities &amp; levers'!$C$12="MS",'Net zero Activity data'!BB57*ManureNEF*NtoN2O*kgtoGg,"ERROR")))</f>
        <v>4.9360198563399564E-2</v>
      </c>
      <c r="AJ976" s="101">
        <f>IF('Net zero activities &amp; levers'!$C$12="Off",'Activity data'!BC57*ManureNEF*NtoN2O*kgtoGg,IF('Net zero activities &amp; levers'!$C$12="PB",'Activity data'!BC57*ManureNEF*NtoN2O*kgtoGg,IF('Net zero activities &amp; levers'!$C$12="MS",'Net zero Activity data'!BC57*ManureNEF*NtoN2O*kgtoGg,"ERROR")))</f>
        <v>4.9412510377689269E-2</v>
      </c>
      <c r="AK976" s="101">
        <f>IF('Net zero activities &amp; levers'!$C$12="Off",'Activity data'!BD57*ManureNEF*NtoN2O*kgtoGg,IF('Net zero activities &amp; levers'!$C$12="PB",'Activity data'!BD57*ManureNEF*NtoN2O*kgtoGg,IF('Net zero activities &amp; levers'!$C$12="MS",'Net zero Activity data'!BD57*ManureNEF*NtoN2O*kgtoGg,"ERROR")))</f>
        <v>4.9469543489705052E-2</v>
      </c>
      <c r="AL976" s="101">
        <f>IF('Net zero activities &amp; levers'!$C$12="Off",'Activity data'!BE57*ManureNEF*NtoN2O*kgtoGg,IF('Net zero activities &amp; levers'!$C$12="PB",'Activity data'!BE57*ManureNEF*NtoN2O*kgtoGg,IF('Net zero activities &amp; levers'!$C$12="MS",'Net zero Activity data'!BE57*ManureNEF*NtoN2O*kgtoGg,"ERROR")))</f>
        <v>4.9531126857595344E-2</v>
      </c>
      <c r="AM976" s="101">
        <f>IF('Net zero activities &amp; levers'!$C$12="Off",'Activity data'!BF57*ManureNEF*NtoN2O*kgtoGg,IF('Net zero activities &amp; levers'!$C$12="PB",'Activity data'!BF57*ManureNEF*NtoN2O*kgtoGg,IF('Net zero activities &amp; levers'!$C$12="MS",'Net zero Activity data'!BF57*ManureNEF*NtoN2O*kgtoGg,"ERROR")))</f>
        <v>4.9597102407826756E-2</v>
      </c>
      <c r="AN976" s="101">
        <f>IF('Net zero activities &amp; levers'!$C$12="Off",'Activity data'!BG57*ManureNEF*NtoN2O*kgtoGg,IF('Net zero activities &amp; levers'!$C$12="PB",'Activity data'!BG57*ManureNEF*NtoN2O*kgtoGg,IF('Net zero activities &amp; levers'!$C$12="MS",'Net zero Activity data'!BG57*ManureNEF*NtoN2O*kgtoGg,"ERROR")))</f>
        <v>4.9629120402188261E-2</v>
      </c>
      <c r="AO976" s="101">
        <f>IF('Net zero activities &amp; levers'!$C$12="Off",'Activity data'!BH57*ManureNEF*NtoN2O*kgtoGg,IF('Net zero activities &amp; levers'!$C$12="PB",'Activity data'!BH57*ManureNEF*NtoN2O*kgtoGg,IF('Net zero activities &amp; levers'!$C$12="MS",'Net zero Activity data'!BH57*ManureNEF*NtoN2O*kgtoGg,"ERROR")))</f>
        <v>4.9665008188871658E-2</v>
      </c>
      <c r="AP976" s="101">
        <f>IF('Net zero activities &amp; levers'!$C$12="Off",'Activity data'!BI57*ManureNEF*NtoN2O*kgtoGg,IF('Net zero activities &amp; levers'!$C$12="PB",'Activity data'!BI57*ManureNEF*NtoN2O*kgtoGg,IF('Net zero activities &amp; levers'!$C$12="MS",'Net zero Activity data'!BI57*ManureNEF*NtoN2O*kgtoGg,"ERROR")))</f>
        <v>4.9704631089979995E-2</v>
      </c>
      <c r="AQ976" s="101">
        <f>IF('Net zero activities &amp; levers'!$C$12="Off",'Activity data'!BJ57*ManureNEF*NtoN2O*kgtoGg,IF('Net zero activities &amp; levers'!$C$12="PB",'Activity data'!BJ57*ManureNEF*NtoN2O*kgtoGg,IF('Net zero activities &amp; levers'!$C$12="MS",'Net zero Activity data'!BJ57*ManureNEF*NtoN2O*kgtoGg,"ERROR")))</f>
        <v>4.9747863645468307E-2</v>
      </c>
      <c r="AR976" s="101">
        <f>IF('Net zero activities &amp; levers'!$C$12="Off",'Activity data'!BK57*ManureNEF*NtoN2O*kgtoGg,IF('Net zero activities &amp; levers'!$C$12="PB",'Activity data'!BK57*ManureNEF*NtoN2O*kgtoGg,IF('Net zero activities &amp; levers'!$C$12="MS",'Net zero Activity data'!BK57*ManureNEF*NtoN2O*kgtoGg,"ERROR")))</f>
        <v>4.9794588830042001E-2</v>
      </c>
      <c r="AS976" s="101">
        <f>IF('Net zero activities &amp; levers'!$C$12="Off",'Activity data'!BL57*ManureNEF*NtoN2O*kgtoGg,IF('Net zero activities &amp; levers'!$C$12="PB",'Activity data'!BL57*ManureNEF*NtoN2O*kgtoGg,IF('Net zero activities &amp; levers'!$C$12="MS",'Net zero Activity data'!BL57*ManureNEF*NtoN2O*kgtoGg,"ERROR")))</f>
        <v>4.9806115364700997E-2</v>
      </c>
      <c r="AT976" s="101">
        <f>IF('Net zero activities &amp; levers'!$C$12="Off",'Activity data'!BM57*ManureNEF*NtoN2O*kgtoGg,IF('Net zero activities &amp; levers'!$C$12="PB",'Activity data'!BM57*ManureNEF*NtoN2O*kgtoGg,IF('Net zero activities &amp; levers'!$C$12="MS",'Net zero Activity data'!BM57*ManureNEF*NtoN2O*kgtoGg,"ERROR")))</f>
        <v>4.9820741606076545E-2</v>
      </c>
      <c r="AU976" s="101">
        <f>IF('Net zero activities &amp; levers'!$C$12="Off",'Activity data'!BN57*ManureNEF*NtoN2O*kgtoGg,IF('Net zero activities &amp; levers'!$C$12="PB",'Activity data'!BN57*ManureNEF*NtoN2O*kgtoGg,IF('Net zero activities &amp; levers'!$C$12="MS",'Net zero Activity data'!BN57*ManureNEF*NtoN2O*kgtoGg,"ERROR")))</f>
        <v>4.9838364891940323E-2</v>
      </c>
      <c r="AV976" s="101">
        <f>IF('Net zero activities &amp; levers'!$C$12="Off",'Activity data'!BO57*ManureNEF*NtoN2O*kgtoGg,IF('Net zero activities &amp; levers'!$C$12="PB",'Activity data'!BO57*ManureNEF*NtoN2O*kgtoGg,IF('Net zero activities &amp; levers'!$C$12="MS",'Net zero Activity data'!BO57*ManureNEF*NtoN2O*kgtoGg,"ERROR")))</f>
        <v>4.9858888829066014E-2</v>
      </c>
      <c r="AW976" s="101">
        <f>IF('Net zero activities &amp; levers'!$C$12="Off",'Activity data'!BP57*ManureNEF*NtoN2O*kgtoGg,IF('Net zero activities &amp; levers'!$C$12="PB",'Activity data'!BP57*ManureNEF*NtoN2O*kgtoGg,IF('Net zero activities &amp; levers'!$C$12="MS",'Net zero Activity data'!BP57*ManureNEF*NtoN2O*kgtoGg,"ERROR")))</f>
        <v>4.988222281113306E-2</v>
      </c>
      <c r="AY976" s="85"/>
      <c r="AZ976" s="85"/>
    </row>
    <row r="977" spans="1:52" x14ac:dyDescent="0.25">
      <c r="A977" s="102" t="str">
        <f t="shared" si="326"/>
        <v>DS Organic</v>
      </c>
      <c r="B977" s="102" t="s">
        <v>975</v>
      </c>
      <c r="C977" s="102" t="s">
        <v>1128</v>
      </c>
      <c r="D977" t="s">
        <v>369</v>
      </c>
      <c r="E977" t="s">
        <v>55</v>
      </c>
      <c r="F977" t="s">
        <v>421</v>
      </c>
      <c r="G977" t="s">
        <v>1169</v>
      </c>
      <c r="H977" t="s">
        <v>1170</v>
      </c>
      <c r="I977" t="s">
        <v>139</v>
      </c>
      <c r="J977" t="s">
        <v>287</v>
      </c>
      <c r="K977" s="22">
        <f t="shared" ref="K977:Z980" si="343">K1474</f>
        <v>7.2138531984991348E-3</v>
      </c>
      <c r="L977" s="22">
        <f t="shared" si="343"/>
        <v>7.2326686364155846E-3</v>
      </c>
      <c r="M977" s="22">
        <f t="shared" si="343"/>
        <v>7.2577418741351651E-3</v>
      </c>
      <c r="N977" s="22">
        <f t="shared" si="343"/>
        <v>7.2885154843188495E-3</v>
      </c>
      <c r="O977" s="22">
        <f t="shared" si="343"/>
        <v>7.3253592647283981E-3</v>
      </c>
      <c r="P977" s="22">
        <f t="shared" si="343"/>
        <v>7.3683712611583496E-3</v>
      </c>
      <c r="Q977" s="22">
        <f t="shared" si="343"/>
        <v>7.4143590148475543E-3</v>
      </c>
      <c r="R977" s="22">
        <f t="shared" si="343"/>
        <v>7.4626649386195258E-3</v>
      </c>
      <c r="S977" s="22">
        <f t="shared" si="343"/>
        <v>7.5075390200834997E-3</v>
      </c>
      <c r="T977" s="22">
        <f t="shared" si="343"/>
        <v>7.5285683818169559E-3</v>
      </c>
      <c r="U977" s="22">
        <f t="shared" si="343"/>
        <v>7.551628242645091E-3</v>
      </c>
      <c r="V977" s="22">
        <f t="shared" si="343"/>
        <v>7.5767478661135802E-3</v>
      </c>
      <c r="W977" s="22">
        <f t="shared" si="343"/>
        <v>7.6040674331418288E-3</v>
      </c>
      <c r="X977" s="22">
        <f t="shared" si="343"/>
        <v>7.6332191171963838E-3</v>
      </c>
      <c r="Y977" s="22">
        <f t="shared" si="343"/>
        <v>7.6516457516964944E-3</v>
      </c>
      <c r="Z977" s="22">
        <f t="shared" si="343"/>
        <v>7.671582433208788E-3</v>
      </c>
      <c r="AA977" s="22">
        <f t="shared" ref="L977:AW980" si="344">AA1474</f>
        <v>7.6931116410769856E-3</v>
      </c>
      <c r="AB977" s="22">
        <f t="shared" si="344"/>
        <v>7.715936982347839E-3</v>
      </c>
      <c r="AC977" s="22">
        <f t="shared" si="344"/>
        <v>7.7401497609019794E-3</v>
      </c>
      <c r="AD977" s="22">
        <f t="shared" si="344"/>
        <v>7.7560075231361287E-3</v>
      </c>
      <c r="AE977" s="22">
        <f t="shared" si="344"/>
        <v>7.7732053799270803E-3</v>
      </c>
      <c r="AF977" s="22">
        <f t="shared" si="344"/>
        <v>7.791597942347143E-3</v>
      </c>
      <c r="AG977" s="22">
        <f t="shared" si="344"/>
        <v>7.8091049737688241E-3</v>
      </c>
      <c r="AH977" s="22">
        <f t="shared" si="344"/>
        <v>7.7325738697111325E-3</v>
      </c>
      <c r="AI977" s="22">
        <f t="shared" si="344"/>
        <v>7.7428137523622292E-3</v>
      </c>
      <c r="AJ977" s="22">
        <f t="shared" si="344"/>
        <v>7.7539717945612581E-3</v>
      </c>
      <c r="AK977" s="22">
        <f t="shared" si="344"/>
        <v>7.7660107090851711E-3</v>
      </c>
      <c r="AL977" s="22">
        <f t="shared" si="344"/>
        <v>7.7788961009166192E-3</v>
      </c>
      <c r="AM977" s="22">
        <f t="shared" si="344"/>
        <v>7.7925961903206999E-3</v>
      </c>
      <c r="AN977" s="22">
        <f t="shared" si="344"/>
        <v>7.7984769319172685E-3</v>
      </c>
      <c r="AO977" s="22">
        <f t="shared" si="344"/>
        <v>7.8050916075083259E-3</v>
      </c>
      <c r="AP977" s="22">
        <f t="shared" si="344"/>
        <v>7.8124125478177013E-3</v>
      </c>
      <c r="AQ977" s="22">
        <f t="shared" si="344"/>
        <v>7.8204139817466406E-3</v>
      </c>
      <c r="AR977" s="22">
        <f t="shared" si="344"/>
        <v>7.8290718737514843E-3</v>
      </c>
      <c r="AS977" s="22">
        <f t="shared" si="344"/>
        <v>7.8297473619786898E-3</v>
      </c>
      <c r="AT977" s="22">
        <f t="shared" si="344"/>
        <v>7.8310235836071794E-3</v>
      </c>
      <c r="AU977" s="22">
        <f t="shared" si="344"/>
        <v>7.8328789644581572E-3</v>
      </c>
      <c r="AV977" s="22">
        <f t="shared" si="344"/>
        <v>7.835293250883028E-3</v>
      </c>
      <c r="AW977" s="22">
        <f t="shared" si="344"/>
        <v>7.8382474074589117E-3</v>
      </c>
      <c r="AY977" s="85"/>
      <c r="AZ977" s="85"/>
    </row>
    <row r="978" spans="1:52" x14ac:dyDescent="0.25">
      <c r="A978" s="102" t="str">
        <f t="shared" si="326"/>
        <v>DS Organic</v>
      </c>
      <c r="B978" s="102" t="s">
        <v>975</v>
      </c>
      <c r="C978" s="102" t="s">
        <v>1128</v>
      </c>
      <c r="D978" t="s">
        <v>369</v>
      </c>
      <c r="E978" t="s">
        <v>55</v>
      </c>
      <c r="F978" t="s">
        <v>421</v>
      </c>
      <c r="G978" t="s">
        <v>1171</v>
      </c>
      <c r="H978" t="s">
        <v>1172</v>
      </c>
      <c r="I978" t="s">
        <v>139</v>
      </c>
      <c r="J978" t="s">
        <v>287</v>
      </c>
      <c r="K978" s="22">
        <f t="shared" si="343"/>
        <v>8.7042781172852426E-2</v>
      </c>
      <c r="L978" s="22">
        <f t="shared" si="344"/>
        <v>8.7269809364329015E-2</v>
      </c>
      <c r="M978" s="22">
        <f t="shared" si="344"/>
        <v>8.7572344539923463E-2</v>
      </c>
      <c r="N978" s="22">
        <f t="shared" si="344"/>
        <v>8.7943660748253619E-2</v>
      </c>
      <c r="O978" s="22">
        <f t="shared" si="344"/>
        <v>8.8388219991077738E-2</v>
      </c>
      <c r="P978" s="22">
        <f t="shared" si="344"/>
        <v>8.8907205294776276E-2</v>
      </c>
      <c r="Q978" s="22">
        <f t="shared" si="344"/>
        <v>8.9462096262315383E-2</v>
      </c>
      <c r="R978" s="22">
        <f t="shared" si="344"/>
        <v>9.0044958407765094E-2</v>
      </c>
      <c r="S978" s="22">
        <f t="shared" si="344"/>
        <v>9.058641174008604E-2</v>
      </c>
      <c r="T978" s="22">
        <f t="shared" si="344"/>
        <v>9.0840153267838591E-2</v>
      </c>
      <c r="U978" s="22">
        <f t="shared" si="344"/>
        <v>9.1118394918272713E-2</v>
      </c>
      <c r="V978" s="22">
        <f t="shared" si="344"/>
        <v>9.1421489787068641E-2</v>
      </c>
      <c r="W978" s="22">
        <f t="shared" si="344"/>
        <v>9.1751129305526188E-2</v>
      </c>
      <c r="X978" s="22">
        <f t="shared" si="344"/>
        <v>9.2102875256845074E-2</v>
      </c>
      <c r="Y978" s="22">
        <f t="shared" si="344"/>
        <v>9.232521212320649E-2</v>
      </c>
      <c r="Z978" s="22">
        <f t="shared" si="344"/>
        <v>9.2565769306508783E-2</v>
      </c>
      <c r="AA978" s="22">
        <f t="shared" si="344"/>
        <v>9.2825542007412429E-2</v>
      </c>
      <c r="AB978" s="22">
        <f t="shared" si="344"/>
        <v>9.3100953930938646E-2</v>
      </c>
      <c r="AC978" s="22">
        <f t="shared" si="344"/>
        <v>9.339310675513432E-2</v>
      </c>
      <c r="AD978" s="22">
        <f t="shared" si="344"/>
        <v>9.3584447456151826E-2</v>
      </c>
      <c r="AE978" s="22">
        <f t="shared" si="344"/>
        <v>9.3791957817689064E-2</v>
      </c>
      <c r="AF978" s="22">
        <f t="shared" si="344"/>
        <v>9.4013883568308809E-2</v>
      </c>
      <c r="AG978" s="22">
        <f t="shared" si="344"/>
        <v>9.4225124449304393E-2</v>
      </c>
      <c r="AH978" s="22">
        <f t="shared" si="344"/>
        <v>9.3301695602041948E-2</v>
      </c>
      <c r="AI978" s="22">
        <f t="shared" si="344"/>
        <v>9.342525063432626E-2</v>
      </c>
      <c r="AJ978" s="22">
        <f t="shared" si="344"/>
        <v>9.3559884234251725E-2</v>
      </c>
      <c r="AK978" s="22">
        <f t="shared" si="344"/>
        <v>9.370514649197019E-2</v>
      </c>
      <c r="AL978" s="22">
        <f t="shared" si="344"/>
        <v>9.3860622395159451E-2</v>
      </c>
      <c r="AM978" s="22">
        <f t="shared" si="344"/>
        <v>9.4025928487650484E-2</v>
      </c>
      <c r="AN978" s="22">
        <f t="shared" si="344"/>
        <v>9.4096885865051882E-2</v>
      </c>
      <c r="AO978" s="22">
        <f t="shared" si="344"/>
        <v>9.4176698933624112E-2</v>
      </c>
      <c r="AP978" s="22">
        <f t="shared" si="344"/>
        <v>9.4265033834237441E-2</v>
      </c>
      <c r="AQ978" s="22">
        <f t="shared" si="344"/>
        <v>9.4361579611283539E-2</v>
      </c>
      <c r="AR978" s="22">
        <f t="shared" si="344"/>
        <v>9.4466046250465022E-2</v>
      </c>
      <c r="AS978" s="22">
        <f t="shared" si="344"/>
        <v>9.4474196731536342E-2</v>
      </c>
      <c r="AT978" s="22">
        <f t="shared" si="344"/>
        <v>9.4489595697509143E-2</v>
      </c>
      <c r="AU978" s="22">
        <f t="shared" si="344"/>
        <v>9.4511982833060726E-2</v>
      </c>
      <c r="AV978" s="22">
        <f t="shared" si="344"/>
        <v>9.4541113756464096E-2</v>
      </c>
      <c r="AW978" s="22">
        <f t="shared" si="344"/>
        <v>9.4576758785176129E-2</v>
      </c>
      <c r="AY978" s="85"/>
      <c r="AZ978" s="85"/>
    </row>
    <row r="979" spans="1:52" x14ac:dyDescent="0.25">
      <c r="A979" s="102" t="str">
        <f t="shared" si="326"/>
        <v>DS Organic</v>
      </c>
      <c r="B979" s="102" t="s">
        <v>975</v>
      </c>
      <c r="C979" s="102" t="s">
        <v>1128</v>
      </c>
      <c r="D979" t="s">
        <v>369</v>
      </c>
      <c r="E979" t="s">
        <v>55</v>
      </c>
      <c r="F979" t="s">
        <v>421</v>
      </c>
      <c r="G979" t="s">
        <v>1173</v>
      </c>
      <c r="H979" t="s">
        <v>1174</v>
      </c>
      <c r="I979" t="s">
        <v>139</v>
      </c>
      <c r="J979" t="s">
        <v>287</v>
      </c>
      <c r="K979" s="22">
        <f t="shared" si="343"/>
        <v>0</v>
      </c>
      <c r="L979" s="22">
        <f t="shared" si="344"/>
        <v>0</v>
      </c>
      <c r="M979" s="22">
        <f t="shared" si="344"/>
        <v>0</v>
      </c>
      <c r="N979" s="22">
        <f t="shared" si="344"/>
        <v>0</v>
      </c>
      <c r="O979" s="22">
        <f t="shared" si="344"/>
        <v>0</v>
      </c>
      <c r="P979" s="22">
        <f t="shared" si="344"/>
        <v>0</v>
      </c>
      <c r="Q979" s="22">
        <f t="shared" si="344"/>
        <v>0</v>
      </c>
      <c r="R979" s="22">
        <f t="shared" si="344"/>
        <v>0</v>
      </c>
      <c r="S979" s="22">
        <f t="shared" si="344"/>
        <v>0</v>
      </c>
      <c r="T979" s="22">
        <f t="shared" si="344"/>
        <v>0</v>
      </c>
      <c r="U979" s="22">
        <f t="shared" si="344"/>
        <v>0</v>
      </c>
      <c r="V979" s="22">
        <f t="shared" si="344"/>
        <v>0</v>
      </c>
      <c r="W979" s="22">
        <f t="shared" si="344"/>
        <v>0</v>
      </c>
      <c r="X979" s="22">
        <f t="shared" si="344"/>
        <v>0</v>
      </c>
      <c r="Y979" s="22">
        <f t="shared" si="344"/>
        <v>0</v>
      </c>
      <c r="Z979" s="22">
        <f t="shared" si="344"/>
        <v>0</v>
      </c>
      <c r="AA979" s="22">
        <f t="shared" si="344"/>
        <v>0</v>
      </c>
      <c r="AB979" s="22">
        <f t="shared" si="344"/>
        <v>0</v>
      </c>
      <c r="AC979" s="22">
        <f t="shared" si="344"/>
        <v>0</v>
      </c>
      <c r="AD979" s="22">
        <f t="shared" si="344"/>
        <v>0</v>
      </c>
      <c r="AE979" s="22">
        <f t="shared" si="344"/>
        <v>0</v>
      </c>
      <c r="AF979" s="22">
        <f t="shared" si="344"/>
        <v>0</v>
      </c>
      <c r="AG979" s="22">
        <f t="shared" si="344"/>
        <v>0</v>
      </c>
      <c r="AH979" s="22">
        <f t="shared" si="344"/>
        <v>0</v>
      </c>
      <c r="AI979" s="22">
        <f t="shared" si="344"/>
        <v>0</v>
      </c>
      <c r="AJ979" s="22">
        <f t="shared" si="344"/>
        <v>0</v>
      </c>
      <c r="AK979" s="22">
        <f t="shared" si="344"/>
        <v>0</v>
      </c>
      <c r="AL979" s="22">
        <f t="shared" si="344"/>
        <v>0</v>
      </c>
      <c r="AM979" s="22">
        <f t="shared" si="344"/>
        <v>0</v>
      </c>
      <c r="AN979" s="22">
        <f t="shared" si="344"/>
        <v>0</v>
      </c>
      <c r="AO979" s="22">
        <f t="shared" si="344"/>
        <v>0</v>
      </c>
      <c r="AP979" s="22">
        <f t="shared" si="344"/>
        <v>0</v>
      </c>
      <c r="AQ979" s="22">
        <f t="shared" si="344"/>
        <v>0</v>
      </c>
      <c r="AR979" s="22">
        <f t="shared" si="344"/>
        <v>0</v>
      </c>
      <c r="AS979" s="22">
        <f t="shared" si="344"/>
        <v>0</v>
      </c>
      <c r="AT979" s="22">
        <f t="shared" si="344"/>
        <v>0</v>
      </c>
      <c r="AU979" s="22">
        <f t="shared" si="344"/>
        <v>0</v>
      </c>
      <c r="AV979" s="22">
        <f t="shared" si="344"/>
        <v>0</v>
      </c>
      <c r="AW979" s="22">
        <f t="shared" si="344"/>
        <v>0</v>
      </c>
      <c r="AY979" s="85"/>
      <c r="AZ979" s="85"/>
    </row>
    <row r="980" spans="1:52" x14ac:dyDescent="0.25">
      <c r="A980" s="102" t="str">
        <f t="shared" ref="A980:A1057" si="345">B980&amp;" "&amp;C980</f>
        <v>DS Organic</v>
      </c>
      <c r="B980" s="102" t="s">
        <v>975</v>
      </c>
      <c r="C980" s="102" t="s">
        <v>1128</v>
      </c>
      <c r="D980" t="s">
        <v>369</v>
      </c>
      <c r="E980" t="s">
        <v>55</v>
      </c>
      <c r="F980" t="s">
        <v>421</v>
      </c>
      <c r="G980" t="s">
        <v>1175</v>
      </c>
      <c r="H980" t="s">
        <v>1176</v>
      </c>
      <c r="I980" t="s">
        <v>139</v>
      </c>
      <c r="J980" t="s">
        <v>287</v>
      </c>
      <c r="K980" s="22">
        <f t="shared" si="343"/>
        <v>0</v>
      </c>
      <c r="L980" s="22">
        <f t="shared" si="344"/>
        <v>0</v>
      </c>
      <c r="M980" s="22">
        <f t="shared" si="344"/>
        <v>0</v>
      </c>
      <c r="N980" s="22">
        <f t="shared" si="344"/>
        <v>0</v>
      </c>
      <c r="O980" s="22">
        <f t="shared" si="344"/>
        <v>0</v>
      </c>
      <c r="P980" s="22">
        <f t="shared" si="344"/>
        <v>0</v>
      </c>
      <c r="Q980" s="22">
        <f t="shared" si="344"/>
        <v>0</v>
      </c>
      <c r="R980" s="22">
        <f t="shared" si="344"/>
        <v>0</v>
      </c>
      <c r="S980" s="22">
        <f t="shared" si="344"/>
        <v>0</v>
      </c>
      <c r="T980" s="22">
        <f t="shared" si="344"/>
        <v>0</v>
      </c>
      <c r="U980" s="22">
        <f t="shared" si="344"/>
        <v>0</v>
      </c>
      <c r="V980" s="22">
        <f t="shared" si="344"/>
        <v>0</v>
      </c>
      <c r="W980" s="22">
        <f t="shared" si="344"/>
        <v>0</v>
      </c>
      <c r="X980" s="22">
        <f t="shared" si="344"/>
        <v>0</v>
      </c>
      <c r="Y980" s="22">
        <f t="shared" si="344"/>
        <v>0</v>
      </c>
      <c r="Z980" s="22">
        <f t="shared" si="344"/>
        <v>0</v>
      </c>
      <c r="AA980" s="22">
        <f t="shared" si="344"/>
        <v>0</v>
      </c>
      <c r="AB980" s="22">
        <f t="shared" si="344"/>
        <v>0</v>
      </c>
      <c r="AC980" s="22">
        <f t="shared" si="344"/>
        <v>0</v>
      </c>
      <c r="AD980" s="22">
        <f t="shared" si="344"/>
        <v>0</v>
      </c>
      <c r="AE980" s="22">
        <f t="shared" si="344"/>
        <v>0</v>
      </c>
      <c r="AF980" s="22">
        <f t="shared" si="344"/>
        <v>0</v>
      </c>
      <c r="AG980" s="22">
        <f t="shared" si="344"/>
        <v>0</v>
      </c>
      <c r="AH980" s="22">
        <f t="shared" si="344"/>
        <v>0</v>
      </c>
      <c r="AI980" s="22">
        <f t="shared" si="344"/>
        <v>0</v>
      </c>
      <c r="AJ980" s="22">
        <f t="shared" si="344"/>
        <v>0</v>
      </c>
      <c r="AK980" s="22">
        <f t="shared" si="344"/>
        <v>0</v>
      </c>
      <c r="AL980" s="22">
        <f t="shared" si="344"/>
        <v>0</v>
      </c>
      <c r="AM980" s="22">
        <f t="shared" si="344"/>
        <v>0</v>
      </c>
      <c r="AN980" s="22">
        <f t="shared" si="344"/>
        <v>0</v>
      </c>
      <c r="AO980" s="22">
        <f t="shared" si="344"/>
        <v>0</v>
      </c>
      <c r="AP980" s="22">
        <f t="shared" si="344"/>
        <v>0</v>
      </c>
      <c r="AQ980" s="22">
        <f t="shared" si="344"/>
        <v>0</v>
      </c>
      <c r="AR980" s="22">
        <f t="shared" si="344"/>
        <v>0</v>
      </c>
      <c r="AS980" s="22">
        <f t="shared" si="344"/>
        <v>0</v>
      </c>
      <c r="AT980" s="22">
        <f t="shared" si="344"/>
        <v>0</v>
      </c>
      <c r="AU980" s="22">
        <f t="shared" si="344"/>
        <v>0</v>
      </c>
      <c r="AV980" s="22">
        <f t="shared" si="344"/>
        <v>0</v>
      </c>
      <c r="AW980" s="22">
        <f t="shared" si="344"/>
        <v>0</v>
      </c>
      <c r="AY980" s="85"/>
      <c r="AZ980" s="85"/>
    </row>
    <row r="981" spans="1:52" x14ac:dyDescent="0.25">
      <c r="A981" s="102" t="str">
        <f t="shared" si="345"/>
        <v>DS Organic</v>
      </c>
      <c r="B981" s="102" t="s">
        <v>975</v>
      </c>
      <c r="C981" s="102" t="s">
        <v>1128</v>
      </c>
      <c r="D981" t="s">
        <v>369</v>
      </c>
      <c r="E981" t="s">
        <v>55</v>
      </c>
      <c r="F981" t="s">
        <v>421</v>
      </c>
      <c r="G981" t="s">
        <v>1177</v>
      </c>
      <c r="H981" t="s">
        <v>1178</v>
      </c>
      <c r="I981" t="s">
        <v>139</v>
      </c>
      <c r="J981" t="s">
        <v>287</v>
      </c>
      <c r="K981" s="101">
        <f>IF('Net zero activities &amp; levers'!$C$12="Off",'Activity data'!AD62*ManureNEF*NtoN2O*kgtoGg,IF('Net zero activities &amp; levers'!$C$12="PB",'Activity data'!AD62*ManureNEF*NtoN2O*kgtoGg,IF('Net zero activities &amp; levers'!$C$12="MS",'Net zero Activity data'!AD62*ManureNEF*NtoN2O*kgtoGg,"ERROR")))</f>
        <v>0.125581463448449</v>
      </c>
      <c r="L981" s="101">
        <f>IF('Net zero activities &amp; levers'!$C$12="Off",'Activity data'!AE62*ManureNEF*NtoN2O*kgtoGg,IF('Net zero activities &amp; levers'!$C$12="PB",'Activity data'!AE62*ManureNEF*NtoN2O*kgtoGg,IF('Net zero activities &amp; levers'!$C$12="MS",'Net zero Activity data'!AE62*ManureNEF*NtoN2O*kgtoGg,"ERROR")))</f>
        <v>0.125185082671006</v>
      </c>
      <c r="M981" s="101">
        <f>IF('Net zero activities &amp; levers'!$C$12="Off",'Activity data'!AF62*ManureNEF*NtoN2O*kgtoGg,IF('Net zero activities &amp; levers'!$C$12="PB",'Activity data'!AF62*ManureNEF*NtoN2O*kgtoGg,IF('Net zero activities &amp; levers'!$C$12="MS",'Net zero Activity data'!AF62*ManureNEF*NtoN2O*kgtoGg,"ERROR")))</f>
        <v>0.12387425442661908</v>
      </c>
      <c r="N981" s="101">
        <f>IF('Net zero activities &amp; levers'!$C$12="Off",'Activity data'!AG62*ManureNEF*NtoN2O*kgtoGg,IF('Net zero activities &amp; levers'!$C$12="PB",'Activity data'!AG62*ManureNEF*NtoN2O*kgtoGg,IF('Net zero activities &amp; levers'!$C$12="MS",'Net zero Activity data'!AG62*ManureNEF*NtoN2O*kgtoGg,"ERROR")))</f>
        <v>0.12132911183874903</v>
      </c>
      <c r="O981" s="101">
        <f>IF('Net zero activities &amp; levers'!$C$12="Off",'Activity data'!AH62*ManureNEF*NtoN2O*kgtoGg,IF('Net zero activities &amp; levers'!$C$12="PB",'Activity data'!AH62*ManureNEF*NtoN2O*kgtoGg,IF('Net zero activities &amp; levers'!$C$12="MS",'Net zero Activity data'!AH62*ManureNEF*NtoN2O*kgtoGg,"ERROR")))</f>
        <v>0.1188953282361286</v>
      </c>
      <c r="P981" s="101">
        <f>IF('Net zero activities &amp; levers'!$C$12="Off",'Activity data'!AI62*ManureNEF*NtoN2O*kgtoGg,IF('Net zero activities &amp; levers'!$C$12="PB",'Activity data'!AI62*ManureNEF*NtoN2O*kgtoGg,IF('Net zero activities &amp; levers'!$C$12="MS",'Net zero Activity data'!AI62*ManureNEF*NtoN2O*kgtoGg,"ERROR")))</f>
        <v>0.11718799777455163</v>
      </c>
      <c r="Q981" s="101">
        <f>IF('Net zero activities &amp; levers'!$C$12="Off",'Activity data'!AJ62*ManureNEF*NtoN2O*kgtoGg,IF('Net zero activities &amp; levers'!$C$12="PB",'Activity data'!AJ62*ManureNEF*NtoN2O*kgtoGg,IF('Net zero activities &amp; levers'!$C$12="MS",'Net zero Activity data'!AJ62*ManureNEF*NtoN2O*kgtoGg,"ERROR")))</f>
        <v>0.11574203128248971</v>
      </c>
      <c r="R981" s="101">
        <f>IF('Net zero activities &amp; levers'!$C$12="Off",'Activity data'!AK62*ManureNEF*NtoN2O*kgtoGg,IF('Net zero activities &amp; levers'!$C$12="PB",'Activity data'!AK62*ManureNEF*NtoN2O*kgtoGg,IF('Net zero activities &amp; levers'!$C$12="MS",'Net zero Activity data'!AK62*ManureNEF*NtoN2O*kgtoGg,"ERROR")))</f>
        <v>0.11307943655863528</v>
      </c>
      <c r="S981" s="101">
        <f>IF('Net zero activities &amp; levers'!$C$12="Off",'Activity data'!AL62*ManureNEF*NtoN2O*kgtoGg,IF('Net zero activities &amp; levers'!$C$12="PB",'Activity data'!AL62*ManureNEF*NtoN2O*kgtoGg,IF('Net zero activities &amp; levers'!$C$12="MS",'Net zero Activity data'!AL62*ManureNEF*NtoN2O*kgtoGg,"ERROR")))</f>
        <v>9.8992483819013391E-2</v>
      </c>
      <c r="T981" s="101">
        <f>IF('Net zero activities &amp; levers'!$C$12="Off",'Activity data'!AM62*ManureNEF*NtoN2O*kgtoGg,IF('Net zero activities &amp; levers'!$C$12="PB",'Activity data'!AM62*ManureNEF*NtoN2O*kgtoGg,IF('Net zero activities &amp; levers'!$C$12="MS",'Net zero Activity data'!AM62*ManureNEF*NtoN2O*kgtoGg,"ERROR")))</f>
        <v>9.9621540773874098E-2</v>
      </c>
      <c r="U981" s="101">
        <f>IF('Net zero activities &amp; levers'!$C$12="Off",'Activity data'!AN62*ManureNEF*NtoN2O*kgtoGg,IF('Net zero activities &amp; levers'!$C$12="PB",'Activity data'!AN62*ManureNEF*NtoN2O*kgtoGg,IF('Net zero activities &amp; levers'!$C$12="MS",'Net zero Activity data'!AN62*ManureNEF*NtoN2O*kgtoGg,"ERROR")))</f>
        <v>9.9937301593485559E-2</v>
      </c>
      <c r="V981" s="101">
        <f>IF('Net zero activities &amp; levers'!$C$12="Off",'Activity data'!AO62*ManureNEF*NtoN2O*kgtoGg,IF('Net zero activities &amp; levers'!$C$12="PB",'Activity data'!AO62*ManureNEF*NtoN2O*kgtoGg,IF('Net zero activities &amp; levers'!$C$12="MS",'Net zero Activity data'!AO62*ManureNEF*NtoN2O*kgtoGg,"ERROR")))</f>
        <v>0.10024428291849223</v>
      </c>
      <c r="W981" s="101">
        <f>IF('Net zero activities &amp; levers'!$C$12="Off",'Activity data'!AP62*ManureNEF*NtoN2O*kgtoGg,IF('Net zero activities &amp; levers'!$C$12="PB",'Activity data'!AP62*ManureNEF*NtoN2O*kgtoGg,IF('Net zero activities &amp; levers'!$C$12="MS",'Net zero Activity data'!AP62*ManureNEF*NtoN2O*kgtoGg,"ERROR")))</f>
        <v>0.10099411627265523</v>
      </c>
      <c r="X981" s="101">
        <f>IF('Net zero activities &amp; levers'!$C$12="Off",'Activity data'!AQ62*ManureNEF*NtoN2O*kgtoGg,IF('Net zero activities &amp; levers'!$C$12="PB",'Activity data'!AQ62*ManureNEF*NtoN2O*kgtoGg,IF('Net zero activities &amp; levers'!$C$12="MS",'Net zero Activity data'!AQ62*ManureNEF*NtoN2O*kgtoGg,"ERROR")))</f>
        <v>0.10171874148627991</v>
      </c>
      <c r="Y981" s="101">
        <f>IF('Net zero activities &amp; levers'!$C$12="Off",'Activity data'!AR62*ManureNEF*NtoN2O*kgtoGg,IF('Net zero activities &amp; levers'!$C$12="PB",'Activity data'!AR62*ManureNEF*NtoN2O*kgtoGg,IF('Net zero activities &amp; levers'!$C$12="MS",'Net zero Activity data'!AR62*ManureNEF*NtoN2O*kgtoGg,"ERROR")))</f>
        <v>0.1025500722540789</v>
      </c>
      <c r="Z981" s="101">
        <f>IF('Net zero activities &amp; levers'!$C$12="Off",'Activity data'!AS62*ManureNEF*NtoN2O*kgtoGg,IF('Net zero activities &amp; levers'!$C$12="PB",'Activity data'!AS62*ManureNEF*NtoN2O*kgtoGg,IF('Net zero activities &amp; levers'!$C$12="MS",'Net zero Activity data'!AS62*ManureNEF*NtoN2O*kgtoGg,"ERROR")))</f>
        <v>0.10324784841270714</v>
      </c>
      <c r="AA981" s="101">
        <f>IF('Net zero activities &amp; levers'!$C$12="Off",'Activity data'!AT62*ManureNEF*NtoN2O*kgtoGg,IF('Net zero activities &amp; levers'!$C$12="PB",'Activity data'!AT62*ManureNEF*NtoN2O*kgtoGg,IF('Net zero activities &amp; levers'!$C$12="MS",'Net zero Activity data'!AT62*ManureNEF*NtoN2O*kgtoGg,"ERROR")))</f>
        <v>0.10408641302096616</v>
      </c>
      <c r="AB981" s="101">
        <f>IF('Net zero activities &amp; levers'!$C$12="Off",'Activity data'!AU62*ManureNEF*NtoN2O*kgtoGg,IF('Net zero activities &amp; levers'!$C$12="PB",'Activity data'!AU62*ManureNEF*NtoN2O*kgtoGg,IF('Net zero activities &amp; levers'!$C$12="MS",'Net zero Activity data'!AU62*ManureNEF*NtoN2O*kgtoGg,"ERROR")))</f>
        <v>0.10469683987160423</v>
      </c>
      <c r="AC981" s="101">
        <f>IF('Net zero activities &amp; levers'!$C$12="Off",'Activity data'!AV62*ManureNEF*NtoN2O*kgtoGg,IF('Net zero activities &amp; levers'!$C$12="PB",'Activity data'!AV62*ManureNEF*NtoN2O*kgtoGg,IF('Net zero activities &amp; levers'!$C$12="MS",'Net zero Activity data'!AV62*ManureNEF*NtoN2O*kgtoGg,"ERROR")))</f>
        <v>0.10533895546772398</v>
      </c>
      <c r="AD981" s="101">
        <f>IF('Net zero activities &amp; levers'!$C$12="Off",'Activity data'!AW62*ManureNEF*NtoN2O*kgtoGg,IF('Net zero activities &amp; levers'!$C$12="PB",'Activity data'!AW62*ManureNEF*NtoN2O*kgtoGg,IF('Net zero activities &amp; levers'!$C$12="MS",'Net zero Activity data'!AW62*ManureNEF*NtoN2O*kgtoGg,"ERROR")))</f>
        <v>0.10652330160399656</v>
      </c>
      <c r="AE981" s="101">
        <f>IF('Net zero activities &amp; levers'!$C$12="Off",'Activity data'!AX62*ManureNEF*NtoN2O*kgtoGg,IF('Net zero activities &amp; levers'!$C$12="PB",'Activity data'!AX62*ManureNEF*NtoN2O*kgtoGg,IF('Net zero activities &amp; levers'!$C$12="MS",'Net zero Activity data'!AX62*ManureNEF*NtoN2O*kgtoGg,"ERROR")))</f>
        <v>0.10790681124778287</v>
      </c>
      <c r="AF981" s="101">
        <f>IF('Net zero activities &amp; levers'!$C$12="Off",'Activity data'!AY62*ManureNEF*NtoN2O*kgtoGg,IF('Net zero activities &amp; levers'!$C$12="PB",'Activity data'!AY62*ManureNEF*NtoN2O*kgtoGg,IF('Net zero activities &amp; levers'!$C$12="MS",'Net zero Activity data'!AY62*ManureNEF*NtoN2O*kgtoGg,"ERROR")))</f>
        <v>0.10933849435388519</v>
      </c>
      <c r="AG981" s="101">
        <f>IF('Net zero activities &amp; levers'!$C$12="Off",'Activity data'!AZ62*ManureNEF*NtoN2O*kgtoGg,IF('Net zero activities &amp; levers'!$C$12="PB",'Activity data'!AZ62*ManureNEF*NtoN2O*kgtoGg,IF('Net zero activities &amp; levers'!$C$12="MS",'Net zero Activity data'!AZ62*ManureNEF*NtoN2O*kgtoGg,"ERROR")))</f>
        <v>0.10772941024216406</v>
      </c>
      <c r="AH981" s="101">
        <f>IF('Net zero activities &amp; levers'!$C$12="Off",'Activity data'!BA62*ManureNEF*NtoN2O*kgtoGg,IF('Net zero activities &amp; levers'!$C$12="PB",'Activity data'!BA62*ManureNEF*NtoN2O*kgtoGg,IF('Net zero activities &amp; levers'!$C$12="MS",'Net zero Activity data'!BA62*ManureNEF*NtoN2O*kgtoGg,"ERROR")))</f>
        <v>-3.634870651063056E-2</v>
      </c>
      <c r="AI981" s="101">
        <f>IF('Net zero activities &amp; levers'!$C$12="Off",'Activity data'!BB62*ManureNEF*NtoN2O*kgtoGg,IF('Net zero activities &amp; levers'!$C$12="PB",'Activity data'!BB62*ManureNEF*NtoN2O*kgtoGg,IF('Net zero activities &amp; levers'!$C$12="MS",'Net zero Activity data'!BB62*ManureNEF*NtoN2O*kgtoGg,"ERROR")))</f>
        <v>-3.5951110371359889E-2</v>
      </c>
      <c r="AJ981" s="101">
        <f>IF('Net zero activities &amp; levers'!$C$12="Off",'Activity data'!BC62*ManureNEF*NtoN2O*kgtoGg,IF('Net zero activities &amp; levers'!$C$12="PB",'Activity data'!BC62*ManureNEF*NtoN2O*kgtoGg,IF('Net zero activities &amp; levers'!$C$12="MS",'Net zero Activity data'!BC62*ManureNEF*NtoN2O*kgtoGg,"ERROR")))</f>
        <v>-3.5562030175799973E-2</v>
      </c>
      <c r="AK981" s="101">
        <f>IF('Net zero activities &amp; levers'!$C$12="Off",'Activity data'!BD62*ManureNEF*NtoN2O*kgtoGg,IF('Net zero activities &amp; levers'!$C$12="PB",'Activity data'!BD62*ManureNEF*NtoN2O*kgtoGg,IF('Net zero activities &amp; levers'!$C$12="MS",'Net zero Activity data'!BD62*ManureNEF*NtoN2O*kgtoGg,"ERROR")))</f>
        <v>-3.5180908821616855E-2</v>
      </c>
      <c r="AL981" s="101">
        <f>IF('Net zero activities &amp; levers'!$C$12="Off",'Activity data'!BE62*ManureNEF*NtoN2O*kgtoGg,IF('Net zero activities &amp; levers'!$C$12="PB",'Activity data'!BE62*ManureNEF*NtoN2O*kgtoGg,IF('Net zero activities &amp; levers'!$C$12="MS",'Net zero Activity data'!BE62*ManureNEF*NtoN2O*kgtoGg,"ERROR")))</f>
        <v>-3.4807229997572818E-2</v>
      </c>
      <c r="AM981" s="101">
        <f>IF('Net zero activities &amp; levers'!$C$12="Off",'Activity data'!BF62*ManureNEF*NtoN2O*kgtoGg,IF('Net zero activities &amp; levers'!$C$12="PB",'Activity data'!BF62*ManureNEF*NtoN2O*kgtoGg,IF('Net zero activities &amp; levers'!$C$12="MS",'Net zero Activity data'!BF62*ManureNEF*NtoN2O*kgtoGg,"ERROR")))</f>
        <v>-3.4440514238790632E-2</v>
      </c>
      <c r="AN981" s="101">
        <f>IF('Net zero activities &amp; levers'!$C$12="Off",'Activity data'!BG62*ManureNEF*NtoN2O*kgtoGg,IF('Net zero activities &amp; levers'!$C$12="PB",'Activity data'!BG62*ManureNEF*NtoN2O*kgtoGg,IF('Net zero activities &amp; levers'!$C$12="MS",'Net zero Activity data'!BG62*ManureNEF*NtoN2O*kgtoGg,"ERROR")))</f>
        <v>-3.4038300116717851E-2</v>
      </c>
      <c r="AO981" s="101">
        <f>IF('Net zero activities &amp; levers'!$C$12="Off",'Activity data'!BH62*ManureNEF*NtoN2O*kgtoGg,IF('Net zero activities &amp; levers'!$C$12="PB",'Activity data'!BH62*ManureNEF*NtoN2O*kgtoGg,IF('Net zero activities &amp; levers'!$C$12="MS",'Net zero Activity data'!BH62*ManureNEF*NtoN2O*kgtoGg,"ERROR")))</f>
        <v>-3.3643177597525331E-2</v>
      </c>
      <c r="AP981" s="101">
        <f>IF('Net zero activities &amp; levers'!$C$12="Off",'Activity data'!BI62*ManureNEF*NtoN2O*kgtoGg,IF('Net zero activities &amp; levers'!$C$12="PB",'Activity data'!BI62*ManureNEF*NtoN2O*kgtoGg,IF('Net zero activities &amp; levers'!$C$12="MS",'Net zero Activity data'!BI62*ManureNEF*NtoN2O*kgtoGg,"ERROR")))</f>
        <v>-3.325473249917061E-2</v>
      </c>
      <c r="AQ981" s="101">
        <f>IF('Net zero activities &amp; levers'!$C$12="Off",'Activity data'!BJ62*ManureNEF*NtoN2O*kgtoGg,IF('Net zero activities &amp; levers'!$C$12="PB",'Activity data'!BJ62*ManureNEF*NtoN2O*kgtoGg,IF('Net zero activities &amp; levers'!$C$12="MS",'Net zero Activity data'!BJ62*ManureNEF*NtoN2O*kgtoGg,"ERROR")))</f>
        <v>-3.2872577693066611E-2</v>
      </c>
      <c r="AR981" s="101">
        <f>IF('Net zero activities &amp; levers'!$C$12="Off",'Activity data'!BK62*ManureNEF*NtoN2O*kgtoGg,IF('Net zero activities &amp; levers'!$C$12="PB",'Activity data'!BK62*ManureNEF*NtoN2O*kgtoGg,IF('Net zero activities &amp; levers'!$C$12="MS",'Net zero Activity data'!BK62*ManureNEF*NtoN2O*kgtoGg,"ERROR")))</f>
        <v>-3.2496350766594746E-2</v>
      </c>
      <c r="AS981" s="101">
        <f>IF('Net zero activities &amp; levers'!$C$12="Off",'Activity data'!BL62*ManureNEF*NtoN2O*kgtoGg,IF('Net zero activities &amp; levers'!$C$12="PB",'Activity data'!BL62*ManureNEF*NtoN2O*kgtoGg,IF('Net zero activities &amp; levers'!$C$12="MS",'Net zero Activity data'!BL62*ManureNEF*NtoN2O*kgtoGg,"ERROR")))</f>
        <v>-3.2086347643088084E-2</v>
      </c>
      <c r="AT981" s="101">
        <f>IF('Net zero activities &amp; levers'!$C$12="Off",'Activity data'!BM62*ManureNEF*NtoN2O*kgtoGg,IF('Net zero activities &amp; levers'!$C$12="PB",'Activity data'!BM62*ManureNEF*NtoN2O*kgtoGg,IF('Net zero activities &amp; levers'!$C$12="MS",'Net zero Activity data'!BM62*ManureNEF*NtoN2O*kgtoGg,"ERROR")))</f>
        <v>-3.1682606758135223E-2</v>
      </c>
      <c r="AU981" s="101">
        <f>IF('Net zero activities &amp; levers'!$C$12="Off",'Activity data'!BN62*ManureNEF*NtoN2O*kgtoGg,IF('Net zero activities &amp; levers'!$C$12="PB",'Activity data'!BN62*ManureNEF*NtoN2O*kgtoGg,IF('Net zero activities &amp; levers'!$C$12="MS",'Net zero Activity data'!BN62*ManureNEF*NtoN2O*kgtoGg,"ERROR")))</f>
        <v>-3.1284805771392483E-2</v>
      </c>
      <c r="AV981" s="101">
        <f>IF('Net zero activities &amp; levers'!$C$12="Off",'Activity data'!BO62*ManureNEF*NtoN2O*kgtoGg,IF('Net zero activities &amp; levers'!$C$12="PB",'Activity data'!BO62*ManureNEF*NtoN2O*kgtoGg,IF('Net zero activities &amp; levers'!$C$12="MS",'Net zero Activity data'!BO62*ManureNEF*NtoN2O*kgtoGg,"ERROR")))</f>
        <v>-3.0892641387511636E-2</v>
      </c>
      <c r="AW981" s="101">
        <f>IF('Net zero activities &amp; levers'!$C$12="Off",'Activity data'!BP62*ManureNEF*NtoN2O*kgtoGg,IF('Net zero activities &amp; levers'!$C$12="PB",'Activity data'!BP62*ManureNEF*NtoN2O*kgtoGg,IF('Net zero activities &amp; levers'!$C$12="MS",'Net zero Activity data'!BP62*ManureNEF*NtoN2O*kgtoGg,"ERROR")))</f>
        <v>-3.0505827871256618E-2</v>
      </c>
      <c r="AY981" s="85"/>
      <c r="AZ981" s="85"/>
    </row>
    <row r="982" spans="1:52" x14ac:dyDescent="0.25">
      <c r="A982" s="102" t="str">
        <f t="shared" si="345"/>
        <v>DS Organic</v>
      </c>
      <c r="B982" s="102" t="s">
        <v>975</v>
      </c>
      <c r="C982" s="102" t="s">
        <v>1128</v>
      </c>
      <c r="D982" t="s">
        <v>369</v>
      </c>
      <c r="E982" t="s">
        <v>55</v>
      </c>
      <c r="F982" t="s">
        <v>421</v>
      </c>
      <c r="G982" t="s">
        <v>1179</v>
      </c>
      <c r="H982" t="s">
        <v>1180</v>
      </c>
      <c r="I982" t="s">
        <v>139</v>
      </c>
      <c r="J982" t="s">
        <v>287</v>
      </c>
      <c r="K982" s="101">
        <f>IF('Net zero activities &amp; levers'!$C$12="Off",'Activity data'!AD63*ManureNEF*NtoN2O*kgtoGg,IF('Net zero activities &amp; levers'!$C$12="PB",'Activity data'!AD63*ManureNEF*NtoN2O*kgtoGg,IF('Net zero activities &amp; levers'!$C$12="MS",'Net zero Activity data'!AD63*ManureNEF*NtoN2O*kgtoGg,"ERROR")))</f>
        <v>3.1860496839281362E-2</v>
      </c>
      <c r="L982" s="101">
        <f>IF('Net zero activities &amp; levers'!$C$12="Off",'Activity data'!AE63*ManureNEF*NtoN2O*kgtoGg,IF('Net zero activities &amp; levers'!$C$12="PB",'Activity data'!AE63*ManureNEF*NtoN2O*kgtoGg,IF('Net zero activities &amp; levers'!$C$12="MS",'Net zero Activity data'!AE63*ManureNEF*NtoN2O*kgtoGg,"ERROR")))</f>
        <v>3.1759933522370665E-2</v>
      </c>
      <c r="M982" s="101">
        <f>IF('Net zero activities &amp; levers'!$C$12="Off",'Activity data'!AF63*ManureNEF*NtoN2O*kgtoGg,IF('Net zero activities &amp; levers'!$C$12="PB",'Activity data'!AF63*ManureNEF*NtoN2O*kgtoGg,IF('Net zero activities &amp; levers'!$C$12="MS",'Net zero Activity data'!AF63*ManureNEF*NtoN2O*kgtoGg,"ERROR")))</f>
        <v>3.1427371391063171E-2</v>
      </c>
      <c r="N982" s="101">
        <f>IF('Net zero activities &amp; levers'!$C$12="Off",'Activity data'!AG63*ManureNEF*NtoN2O*kgtoGg,IF('Net zero activities &amp; levers'!$C$12="PB",'Activity data'!AG63*ManureNEF*NtoN2O*kgtoGg,IF('Net zero activities &amp; levers'!$C$12="MS",'Net zero Activity data'!AG63*ManureNEF*NtoN2O*kgtoGg,"ERROR")))</f>
        <v>3.0781658997293845E-2</v>
      </c>
      <c r="O982" s="101">
        <f>IF('Net zero activities &amp; levers'!$C$12="Off",'Activity data'!AH63*ManureNEF*NtoN2O*kgtoGg,IF('Net zero activities &amp; levers'!$C$12="PB",'Activity data'!AH63*ManureNEF*NtoN2O*kgtoGg,IF('Net zero activities &amp; levers'!$C$12="MS",'Net zero Activity data'!AH63*ManureNEF*NtoN2O*kgtoGg,"ERROR")))</f>
        <v>3.0164198803332858E-2</v>
      </c>
      <c r="P982" s="101">
        <f>IF('Net zero activities &amp; levers'!$C$12="Off",'Activity data'!AI63*ManureNEF*NtoN2O*kgtoGg,IF('Net zero activities &amp; levers'!$C$12="PB",'Activity data'!AI63*ManureNEF*NtoN2O*kgtoGg,IF('Net zero activities &amp; levers'!$C$12="MS",'Net zero Activity data'!AI63*ManureNEF*NtoN2O*kgtoGg,"ERROR")))</f>
        <v>2.973104254538711E-2</v>
      </c>
      <c r="Q982" s="101">
        <f>IF('Net zero activities &amp; levers'!$C$12="Off",'Activity data'!AJ63*ManureNEF*NtoN2O*kgtoGg,IF('Net zero activities &amp; levers'!$C$12="PB",'Activity data'!AJ63*ManureNEF*NtoN2O*kgtoGg,IF('Net zero activities &amp; levers'!$C$12="MS",'Net zero Activity data'!AJ63*ManureNEF*NtoN2O*kgtoGg,"ERROR")))</f>
        <v>2.9364195324587221E-2</v>
      </c>
      <c r="R982" s="101">
        <f>IF('Net zero activities &amp; levers'!$C$12="Off",'Activity data'!AK63*ManureNEF*NtoN2O*kgtoGg,IF('Net zero activities &amp; levers'!$C$12="PB",'Activity data'!AK63*ManureNEF*NtoN2O*kgtoGg,IF('Net zero activities &amp; levers'!$C$12="MS",'Net zero Activity data'!AK63*ManureNEF*NtoN2O*kgtoGg,"ERROR")))</f>
        <v>2.8688684875400002E-2</v>
      </c>
      <c r="S982" s="101">
        <f>IF('Net zero activities &amp; levers'!$C$12="Off",'Activity data'!AL63*ManureNEF*NtoN2O*kgtoGg,IF('Net zero activities &amp; levers'!$C$12="PB",'Activity data'!AL63*ManureNEF*NtoN2O*kgtoGg,IF('Net zero activities &amp; levers'!$C$12="MS",'Net zero Activity data'!AL63*ManureNEF*NtoN2O*kgtoGg,"ERROR")))</f>
        <v>2.5114771171009475E-2</v>
      </c>
      <c r="T982" s="101">
        <f>IF('Net zero activities &amp; levers'!$C$12="Off",'Activity data'!AM63*ManureNEF*NtoN2O*kgtoGg,IF('Net zero activities &amp; levers'!$C$12="PB",'Activity data'!AM63*ManureNEF*NtoN2O*kgtoGg,IF('Net zero activities &amp; levers'!$C$12="MS",'Net zero Activity data'!AM63*ManureNEF*NtoN2O*kgtoGg,"ERROR")))</f>
        <v>2.5274365322659843E-2</v>
      </c>
      <c r="U982" s="101">
        <f>IF('Net zero activities &amp; levers'!$C$12="Off",'Activity data'!AN63*ManureNEF*NtoN2O*kgtoGg,IF('Net zero activities &amp; levers'!$C$12="PB",'Activity data'!AN63*ManureNEF*NtoN2O*kgtoGg,IF('Net zero activities &amp; levers'!$C$12="MS",'Net zero Activity data'!AN63*ManureNEF*NtoN2O*kgtoGg,"ERROR")))</f>
        <v>2.535447504840236E-2</v>
      </c>
      <c r="V982" s="101">
        <f>IF('Net zero activities &amp; levers'!$C$12="Off",'Activity data'!AO63*ManureNEF*NtoN2O*kgtoGg,IF('Net zero activities &amp; levers'!$C$12="PB",'Activity data'!AO63*ManureNEF*NtoN2O*kgtoGg,IF('Net zero activities &amp; levers'!$C$12="MS",'Net zero Activity data'!AO63*ManureNEF*NtoN2O*kgtoGg,"ERROR")))</f>
        <v>2.5432357382837084E-2</v>
      </c>
      <c r="W982" s="101">
        <f>IF('Net zero activities &amp; levers'!$C$12="Off",'Activity data'!AP63*ManureNEF*NtoN2O*kgtoGg,IF('Net zero activities &amp; levers'!$C$12="PB",'Activity data'!AP63*ManureNEF*NtoN2O*kgtoGg,IF('Net zero activities &amp; levers'!$C$12="MS",'Net zero Activity data'!AP63*ManureNEF*NtoN2O*kgtoGg,"ERROR")))</f>
        <v>2.562259296820359E-2</v>
      </c>
      <c r="X982" s="101">
        <f>IF('Net zero activities &amp; levers'!$C$12="Off",'Activity data'!AQ63*ManureNEF*NtoN2O*kgtoGg,IF('Net zero activities &amp; levers'!$C$12="PB",'Activity data'!AQ63*ManureNEF*NtoN2O*kgtoGg,IF('Net zero activities &amp; levers'!$C$12="MS",'Net zero Activity data'!AQ63*ManureNEF*NtoN2O*kgtoGg,"ERROR")))</f>
        <v>2.5806433152052291E-2</v>
      </c>
      <c r="Y982" s="101">
        <f>IF('Net zero activities &amp; levers'!$C$12="Off",'Activity data'!AR63*ManureNEF*NtoN2O*kgtoGg,IF('Net zero activities &amp; levers'!$C$12="PB",'Activity data'!AR63*ManureNEF*NtoN2O*kgtoGg,IF('Net zero activities &amp; levers'!$C$12="MS",'Net zero Activity data'!AR63*ManureNEF*NtoN2O*kgtoGg,"ERROR")))</f>
        <v>2.6017344942475328E-2</v>
      </c>
      <c r="Z982" s="101">
        <f>IF('Net zero activities &amp; levers'!$C$12="Off",'Activity data'!AS63*ManureNEF*NtoN2O*kgtoGg,IF('Net zero activities &amp; levers'!$C$12="PB",'Activity data'!AS63*ManureNEF*NtoN2O*kgtoGg,IF('Net zero activities &amp; levers'!$C$12="MS",'Net zero Activity data'!AS63*ManureNEF*NtoN2O*kgtoGg,"ERROR")))</f>
        <v>2.6194373418542003E-2</v>
      </c>
      <c r="AA982" s="101">
        <f>IF('Net zero activities &amp; levers'!$C$12="Off",'Activity data'!AT63*ManureNEF*NtoN2O*kgtoGg,IF('Net zero activities &amp; levers'!$C$12="PB",'Activity data'!AT63*ManureNEF*NtoN2O*kgtoGg,IF('Net zero activities &amp; levers'!$C$12="MS",'Net zero Activity data'!AT63*ManureNEF*NtoN2O*kgtoGg,"ERROR")))</f>
        <v>2.6407120461913867E-2</v>
      </c>
      <c r="AB982" s="101">
        <f>IF('Net zero activities &amp; levers'!$C$12="Off",'Activity data'!AU63*ManureNEF*NtoN2O*kgtoGg,IF('Net zero activities &amp; levers'!$C$12="PB",'Activity data'!AU63*ManureNEF*NtoN2O*kgtoGg,IF('Net zero activities &amp; levers'!$C$12="MS",'Net zero Activity data'!AU63*ManureNEF*NtoN2O*kgtoGg,"ERROR")))</f>
        <v>2.6561988084979515E-2</v>
      </c>
      <c r="AC982" s="101">
        <f>IF('Net zero activities &amp; levers'!$C$12="Off",'Activity data'!AV63*ManureNEF*NtoN2O*kgtoGg,IF('Net zero activities &amp; levers'!$C$12="PB",'Activity data'!AV63*ManureNEF*NtoN2O*kgtoGg,IF('Net zero activities &amp; levers'!$C$12="MS",'Net zero Activity data'!AV63*ManureNEF*NtoN2O*kgtoGg,"ERROR")))</f>
        <v>2.6724895263784808E-2</v>
      </c>
      <c r="AD982" s="101">
        <f>IF('Net zero activities &amp; levers'!$C$12="Off",'Activity data'!AW63*ManureNEF*NtoN2O*kgtoGg,IF('Net zero activities &amp; levers'!$C$12="PB",'Activity data'!AW63*ManureNEF*NtoN2O*kgtoGg,IF('Net zero activities &amp; levers'!$C$12="MS",'Net zero Activity data'!AW63*ManureNEF*NtoN2O*kgtoGg,"ERROR")))</f>
        <v>2.7025368401261952E-2</v>
      </c>
      <c r="AE982" s="101">
        <f>IF('Net zero activities &amp; levers'!$C$12="Off",'Activity data'!AX63*ManureNEF*NtoN2O*kgtoGg,IF('Net zero activities &amp; levers'!$C$12="PB",'Activity data'!AX63*ManureNEF*NtoN2O*kgtoGg,IF('Net zero activities &amp; levers'!$C$12="MS",'Net zero Activity data'!AX63*ManureNEF*NtoN2O*kgtoGg,"ERROR")))</f>
        <v>2.7376370081148127E-2</v>
      </c>
      <c r="AF982" s="101">
        <f>IF('Net zero activities &amp; levers'!$C$12="Off",'Activity data'!AY63*ManureNEF*NtoN2O*kgtoGg,IF('Net zero activities &amp; levers'!$C$12="PB",'Activity data'!AY63*ManureNEF*NtoN2O*kgtoGg,IF('Net zero activities &amp; levers'!$C$12="MS",'Net zero Activity data'!AY63*ManureNEF*NtoN2O*kgtoGg,"ERROR")))</f>
        <v>2.7739593552385582E-2</v>
      </c>
      <c r="AG982" s="101">
        <f>IF('Net zero activities &amp; levers'!$C$12="Off",'Activity data'!AZ63*ManureNEF*NtoN2O*kgtoGg,IF('Net zero activities &amp; levers'!$C$12="PB",'Activity data'!AZ63*ManureNEF*NtoN2O*kgtoGg,IF('Net zero activities &amp; levers'!$C$12="MS",'Net zero Activity data'!AZ63*ManureNEF*NtoN2O*kgtoGg,"ERROR")))</f>
        <v>2.7331362768575094E-2</v>
      </c>
      <c r="AH982" s="101">
        <f>IF('Net zero activities &amp; levers'!$C$12="Off",'Activity data'!BA63*ManureNEF*NtoN2O*kgtoGg,IF('Net zero activities &amp; levers'!$C$12="PB",'Activity data'!BA63*ManureNEF*NtoN2O*kgtoGg,IF('Net zero activities &amp; levers'!$C$12="MS",'Net zero Activity data'!BA63*ManureNEF*NtoN2O*kgtoGg,"ERROR")))</f>
        <v>-9.2218056478478912E-3</v>
      </c>
      <c r="AI982" s="101">
        <f>IF('Net zero activities &amp; levers'!$C$12="Off",'Activity data'!BB63*ManureNEF*NtoN2O*kgtoGg,IF('Net zero activities &amp; levers'!$C$12="PB",'Activity data'!BB63*ManureNEF*NtoN2O*kgtoGg,IF('Net zero activities &amp; levers'!$C$12="MS",'Net zero Activity data'!BB63*ManureNEF*NtoN2O*kgtoGg,"ERROR")))</f>
        <v>-9.1209339890003793E-3</v>
      </c>
      <c r="AJ982" s="101">
        <f>IF('Net zero activities &amp; levers'!$C$12="Off",'Activity data'!BC63*ManureNEF*NtoN2O*kgtoGg,IF('Net zero activities &amp; levers'!$C$12="PB",'Activity data'!BC63*ManureNEF*NtoN2O*kgtoGg,IF('Net zero activities &amp; levers'!$C$12="MS",'Net zero Activity data'!BC63*ManureNEF*NtoN2O*kgtoGg,"ERROR")))</f>
        <v>-9.0222228575924188E-3</v>
      </c>
      <c r="AK982" s="101">
        <f>IF('Net zero activities &amp; levers'!$C$12="Off",'Activity data'!BD63*ManureNEF*NtoN2O*kgtoGg,IF('Net zero activities &amp; levers'!$C$12="PB",'Activity data'!BD63*ManureNEF*NtoN2O*kgtoGg,IF('Net zero activities &amp; levers'!$C$12="MS",'Net zero Activity data'!BD63*ManureNEF*NtoN2O*kgtoGg,"ERROR")))</f>
        <v>-8.9255309146344646E-3</v>
      </c>
      <c r="AL982" s="101">
        <f>IF('Net zero activities &amp; levers'!$C$12="Off",'Activity data'!BE63*ManureNEF*NtoN2O*kgtoGg,IF('Net zero activities &amp; levers'!$C$12="PB",'Activity data'!BE63*ManureNEF*NtoN2O*kgtoGg,IF('Net zero activities &amp; levers'!$C$12="MS",'Net zero Activity data'!BE63*ManureNEF*NtoN2O*kgtoGg,"ERROR")))</f>
        <v>-8.8307271699938471E-3</v>
      </c>
      <c r="AM982" s="101">
        <f>IF('Net zero activities &amp; levers'!$C$12="Off",'Activity data'!BF63*ManureNEF*NtoN2O*kgtoGg,IF('Net zero activities &amp; levers'!$C$12="PB",'Activity data'!BF63*ManureNEF*NtoN2O*kgtoGg,IF('Net zero activities &amp; levers'!$C$12="MS",'Net zero Activity data'!BF63*ManureNEF*NtoN2O*kgtoGg,"ERROR")))</f>
        <v>-8.7376899816002714E-3</v>
      </c>
      <c r="AN982" s="101">
        <f>IF('Net zero activities &amp; levers'!$C$12="Off",'Activity data'!BG63*ManureNEF*NtoN2O*kgtoGg,IF('Net zero activities &amp; levers'!$C$12="PB",'Activity data'!BG63*ManureNEF*NtoN2O*kgtoGg,IF('Net zero activities &amp; levers'!$C$12="MS",'Net zero Activity data'!BG63*ManureNEF*NtoN2O*kgtoGg,"ERROR")))</f>
        <v>-8.6356467228810053E-3</v>
      </c>
      <c r="AO982" s="101">
        <f>IF('Net zero activities &amp; levers'!$C$12="Off",'Activity data'!BH63*ManureNEF*NtoN2O*kgtoGg,IF('Net zero activities &amp; levers'!$C$12="PB",'Activity data'!BH63*ManureNEF*NtoN2O*kgtoGg,IF('Net zero activities &amp; levers'!$C$12="MS",'Net zero Activity data'!BH63*ManureNEF*NtoN2O*kgtoGg,"ERROR")))</f>
        <v>-8.5354026308934166E-3</v>
      </c>
      <c r="AP982" s="101">
        <f>IF('Net zero activities &amp; levers'!$C$12="Off",'Activity data'!BI63*ManureNEF*NtoN2O*kgtoGg,IF('Net zero activities &amp; levers'!$C$12="PB",'Activity data'!BI63*ManureNEF*NtoN2O*kgtoGg,IF('Net zero activities &amp; levers'!$C$12="MS",'Net zero Activity data'!BI63*ManureNEF*NtoN2O*kgtoGg,"ERROR")))</f>
        <v>-8.436852626071684E-3</v>
      </c>
      <c r="AQ982" s="101">
        <f>IF('Net zero activities &amp; levers'!$C$12="Off",'Activity data'!BJ63*ManureNEF*NtoN2O*kgtoGg,IF('Net zero activities &amp; levers'!$C$12="PB",'Activity data'!BJ63*ManureNEF*NtoN2O*kgtoGg,IF('Net zero activities &amp; levers'!$C$12="MS",'Net zero Activity data'!BJ63*ManureNEF*NtoN2O*kgtoGg,"ERROR")))</f>
        <v>-8.3398984924149214E-3</v>
      </c>
      <c r="AR982" s="101">
        <f>IF('Net zero activities &amp; levers'!$C$12="Off",'Activity data'!BK63*ManureNEF*NtoN2O*kgtoGg,IF('Net zero activities &amp; levers'!$C$12="PB",'Activity data'!BK63*ManureNEF*NtoN2O*kgtoGg,IF('Net zero activities &amp; levers'!$C$12="MS",'Net zero Activity data'!BK63*ManureNEF*NtoN2O*kgtoGg,"ERROR")))</f>
        <v>-8.2444482844578407E-3</v>
      </c>
      <c r="AS982" s="101">
        <f>IF('Net zero activities &amp; levers'!$C$12="Off",'Activity data'!BL63*ManureNEF*NtoN2O*kgtoGg,IF('Net zero activities &amp; levers'!$C$12="PB",'Activity data'!BL63*ManureNEF*NtoN2O*kgtoGg,IF('Net zero activities &amp; levers'!$C$12="MS",'Net zero Activity data'!BL63*ManureNEF*NtoN2O*kgtoGg,"ERROR")))</f>
        <v>-8.1404289263306579E-3</v>
      </c>
      <c r="AT982" s="101">
        <f>IF('Net zero activities &amp; levers'!$C$12="Off",'Activity data'!BM63*ManureNEF*NtoN2O*kgtoGg,IF('Net zero activities &amp; levers'!$C$12="PB",'Activity data'!BM63*ManureNEF*NtoN2O*kgtoGg,IF('Net zero activities &amp; levers'!$C$12="MS",'Net zero Activity data'!BM63*ManureNEF*NtoN2O*kgtoGg,"ERROR")))</f>
        <v>-8.0379983220384144E-3</v>
      </c>
      <c r="AU982" s="101">
        <f>IF('Net zero activities &amp; levers'!$C$12="Off",'Activity data'!BN63*ManureNEF*NtoN2O*kgtoGg,IF('Net zero activities &amp; levers'!$C$12="PB",'Activity data'!BN63*ManureNEF*NtoN2O*kgtoGg,IF('Net zero activities &amp; levers'!$C$12="MS",'Net zero Activity data'!BN63*ManureNEF*NtoN2O*kgtoGg,"ERROR")))</f>
        <v>-7.9370746926049739E-3</v>
      </c>
      <c r="AV982" s="101">
        <f>IF('Net zero activities &amp; levers'!$C$12="Off",'Activity data'!BO63*ManureNEF*NtoN2O*kgtoGg,IF('Net zero activities &amp; levers'!$C$12="PB",'Activity data'!BO63*ManureNEF*NtoN2O*kgtoGg,IF('Net zero activities &amp; levers'!$C$12="MS",'Net zero Activity data'!BO63*ManureNEF*NtoN2O*kgtoGg,"ERROR")))</f>
        <v>-7.8375810908422969E-3</v>
      </c>
      <c r="AW982" s="101">
        <f>IF('Net zero activities &amp; levers'!$C$12="Off",'Activity data'!BP63*ManureNEF*NtoN2O*kgtoGg,IF('Net zero activities &amp; levers'!$C$12="PB",'Activity data'!BP63*ManureNEF*NtoN2O*kgtoGg,IF('Net zero activities &amp; levers'!$C$12="MS",'Net zero Activity data'!BP63*ManureNEF*NtoN2O*kgtoGg,"ERROR")))</f>
        <v>-7.7394450246298409E-3</v>
      </c>
      <c r="AY982" s="85"/>
      <c r="AZ982" s="85"/>
    </row>
    <row r="983" spans="1:52" x14ac:dyDescent="0.25">
      <c r="A983" s="102" t="str">
        <f t="shared" si="345"/>
        <v>DS Organic</v>
      </c>
      <c r="B983" s="102" t="s">
        <v>975</v>
      </c>
      <c r="C983" s="102" t="s">
        <v>1128</v>
      </c>
      <c r="D983" t="s">
        <v>369</v>
      </c>
      <c r="E983" t="s">
        <v>55</v>
      </c>
      <c r="F983" t="s">
        <v>421</v>
      </c>
      <c r="G983" t="s">
        <v>1181</v>
      </c>
      <c r="H983" t="s">
        <v>1182</v>
      </c>
      <c r="I983" t="s">
        <v>139</v>
      </c>
      <c r="J983" t="s">
        <v>287</v>
      </c>
      <c r="K983" s="101">
        <f>IF('Net zero activities &amp; levers'!$C$12="Off",'Activity data'!AD64*ManureNEF*NtoN2O*kgtoGg,IF('Net zero activities &amp; levers'!$C$12="PB",'Activity data'!AD64*ManureNEF*NtoN2O*kgtoGg,IF('Net zero activities &amp; levers'!$C$12="MS",'Net zero Activity data'!AD64*ManureNEF*NtoN2O*kgtoGg,"ERROR")))</f>
        <v>0.1578659423422277</v>
      </c>
      <c r="L983" s="101">
        <f>IF('Net zero activities &amp; levers'!$C$12="Off",'Activity data'!AE64*ManureNEF*NtoN2O*kgtoGg,IF('Net zero activities &amp; levers'!$C$12="PB",'Activity data'!AE64*ManureNEF*NtoN2O*kgtoGg,IF('Net zero activities &amp; levers'!$C$12="MS",'Net zero Activity data'!AE64*ManureNEF*NtoN2O*kgtoGg,"ERROR")))</f>
        <v>0.16128463868664497</v>
      </c>
      <c r="M983" s="101">
        <f>IF('Net zero activities &amp; levers'!$C$12="Off",'Activity data'!AF64*ManureNEF*NtoN2O*kgtoGg,IF('Net zero activities &amp; levers'!$C$12="PB",'Activity data'!AF64*ManureNEF*NtoN2O*kgtoGg,IF('Net zero activities &amp; levers'!$C$12="MS",'Net zero Activity data'!AF64*ManureNEF*NtoN2O*kgtoGg,"ERROR")))</f>
        <v>0.16403927917478689</v>
      </c>
      <c r="N983" s="101">
        <f>IF('Net zero activities &amp; levers'!$C$12="Off",'Activity data'!AG64*ManureNEF*NtoN2O*kgtoGg,IF('Net zero activities &amp; levers'!$C$12="PB",'Activity data'!AG64*ManureNEF*NtoN2O*kgtoGg,IF('Net zero activities &amp; levers'!$C$12="MS",'Net zero Activity data'!AG64*ManureNEF*NtoN2O*kgtoGg,"ERROR")))</f>
        <v>0.16583912134746412</v>
      </c>
      <c r="O983" s="101">
        <f>IF('Net zero activities &amp; levers'!$C$12="Off",'Activity data'!AH64*ManureNEF*NtoN2O*kgtoGg,IF('Net zero activities &amp; levers'!$C$12="PB",'Activity data'!AH64*ManureNEF*NtoN2O*kgtoGg,IF('Net zero activities &amp; levers'!$C$12="MS",'Net zero Activity data'!AH64*ManureNEF*NtoN2O*kgtoGg,"ERROR")))</f>
        <v>0.16766339315982179</v>
      </c>
      <c r="P983" s="101">
        <f>IF('Net zero activities &amp; levers'!$C$12="Off",'Activity data'!AI64*ManureNEF*NtoN2O*kgtoGg,IF('Net zero activities &amp; levers'!$C$12="PB",'Activity data'!AI64*ManureNEF*NtoN2O*kgtoGg,IF('Net zero activities &amp; levers'!$C$12="MS",'Net zero Activity data'!AI64*ManureNEF*NtoN2O*kgtoGg,"ERROR")))</f>
        <v>0.17001522372192687</v>
      </c>
      <c r="Q983" s="101">
        <f>IF('Net zero activities &amp; levers'!$C$12="Off",'Activity data'!AJ64*ManureNEF*NtoN2O*kgtoGg,IF('Net zero activities &amp; levers'!$C$12="PB",'Activity data'!AJ64*ManureNEF*NtoN2O*kgtoGg,IF('Net zero activities &amp; levers'!$C$12="MS",'Net zero Activity data'!AJ64*ManureNEF*NtoN2O*kgtoGg,"ERROR")))</f>
        <v>0.17253027929477446</v>
      </c>
      <c r="R983" s="101">
        <f>IF('Net zero activities &amp; levers'!$C$12="Off",'Activity data'!AK64*ManureNEF*NtoN2O*kgtoGg,IF('Net zero activities &amp; levers'!$C$12="PB",'Activity data'!AK64*ManureNEF*NtoN2O*kgtoGg,IF('Net zero activities &amp; levers'!$C$12="MS",'Net zero Activity data'!AK64*ManureNEF*NtoN2O*kgtoGg,"ERROR")))</f>
        <v>0.17399291850067305</v>
      </c>
      <c r="S983" s="101">
        <f>IF('Net zero activities &amp; levers'!$C$12="Off",'Activity data'!AL64*ManureNEF*NtoN2O*kgtoGg,IF('Net zero activities &amp; levers'!$C$12="PB",'Activity data'!AL64*ManureNEF*NtoN2O*kgtoGg,IF('Net zero activities &amp; levers'!$C$12="MS",'Net zero Activity data'!AL64*ManureNEF*NtoN2O*kgtoGg,"ERROR")))</f>
        <v>0.16557860027053409</v>
      </c>
      <c r="T983" s="101">
        <f>IF('Net zero activities &amp; levers'!$C$12="Off",'Activity data'!AM64*ManureNEF*NtoN2O*kgtoGg,IF('Net zero activities &amp; levers'!$C$12="PB",'Activity data'!AM64*ManureNEF*NtoN2O*kgtoGg,IF('Net zero activities &amp; levers'!$C$12="MS",'Net zero Activity data'!AM64*ManureNEF*NtoN2O*kgtoGg,"ERROR")))</f>
        <v>0.1691333492046497</v>
      </c>
      <c r="U983" s="101">
        <f>IF('Net zero activities &amp; levers'!$C$12="Off",'Activity data'!AN64*ManureNEF*NtoN2O*kgtoGg,IF('Net zero activities &amp; levers'!$C$12="PB",'Activity data'!AN64*ManureNEF*NtoN2O*kgtoGg,IF('Net zero activities &amp; levers'!$C$12="MS",'Net zero Activity data'!AN64*ManureNEF*NtoN2O*kgtoGg,"ERROR")))</f>
        <v>0.17245170747417515</v>
      </c>
      <c r="V983" s="101">
        <f>IF('Net zero activities &amp; levers'!$C$12="Off",'Activity data'!AO64*ManureNEF*NtoN2O*kgtoGg,IF('Net zero activities &amp; levers'!$C$12="PB",'Activity data'!AO64*ManureNEF*NtoN2O*kgtoGg,IF('Net zero activities &amp; levers'!$C$12="MS",'Net zero Activity data'!AO64*ManureNEF*NtoN2O*kgtoGg,"ERROR")))</f>
        <v>0.17579626240036808</v>
      </c>
      <c r="W983" s="101">
        <f>IF('Net zero activities &amp; levers'!$C$12="Off",'Activity data'!AP64*ManureNEF*NtoN2O*kgtoGg,IF('Net zero activities &amp; levers'!$C$12="PB",'Activity data'!AP64*ManureNEF*NtoN2O*kgtoGg,IF('Net zero activities &amp; levers'!$C$12="MS",'Net zero Activity data'!AP64*ManureNEF*NtoN2O*kgtoGg,"ERROR")))</f>
        <v>0.17959210165256231</v>
      </c>
      <c r="X983" s="101">
        <f>IF('Net zero activities &amp; levers'!$C$12="Off",'Activity data'!AQ64*ManureNEF*NtoN2O*kgtoGg,IF('Net zero activities &amp; levers'!$C$12="PB",'Activity data'!AQ64*ManureNEF*NtoN2O*kgtoGg,IF('Net zero activities &amp; levers'!$C$12="MS",'Net zero Activity data'!AQ64*ManureNEF*NtoN2O*kgtoGg,"ERROR")))</f>
        <v>0.18341947191943975</v>
      </c>
      <c r="Y983" s="101">
        <f>IF('Net zero activities &amp; levers'!$C$12="Off",'Activity data'!AR64*ManureNEF*NtoN2O*kgtoGg,IF('Net zero activities &amp; levers'!$C$12="PB",'Activity data'!AR64*ManureNEF*NtoN2O*kgtoGg,IF('Net zero activities &amp; levers'!$C$12="MS",'Net zero Activity data'!AR64*ManureNEF*NtoN2O*kgtoGg,"ERROR")))</f>
        <v>0.18725170622309825</v>
      </c>
      <c r="Z983" s="101">
        <f>IF('Net zero activities &amp; levers'!$C$12="Off",'Activity data'!AS64*ManureNEF*NtoN2O*kgtoGg,IF('Net zero activities &amp; levers'!$C$12="PB",'Activity data'!AS64*ManureNEF*NtoN2O*kgtoGg,IF('Net zero activities &amp; levers'!$C$12="MS",'Net zero Activity data'!AS64*ManureNEF*NtoN2O*kgtoGg,"ERROR")))</f>
        <v>0.19101002435789147</v>
      </c>
      <c r="AA983" s="101">
        <f>IF('Net zero activities &amp; levers'!$C$12="Off",'Activity data'!AT64*ManureNEF*NtoN2O*kgtoGg,IF('Net zero activities &amp; levers'!$C$12="PB",'Activity data'!AT64*ManureNEF*NtoN2O*kgtoGg,IF('Net zero activities &amp; levers'!$C$12="MS",'Net zero Activity data'!AT64*ManureNEF*NtoN2O*kgtoGg,"ERROR")))</f>
        <v>0.19496806630989533</v>
      </c>
      <c r="AB983" s="101">
        <f>IF('Net zero activities &amp; levers'!$C$12="Off",'Activity data'!AU64*ManureNEF*NtoN2O*kgtoGg,IF('Net zero activities &amp; levers'!$C$12="PB",'Activity data'!AU64*ManureNEF*NtoN2O*kgtoGg,IF('Net zero activities &amp; levers'!$C$12="MS",'Net zero Activity data'!AU64*ManureNEF*NtoN2O*kgtoGg,"ERROR")))</f>
        <v>0.1987521861165934</v>
      </c>
      <c r="AC983" s="101">
        <f>IF('Net zero activities &amp; levers'!$C$12="Off",'Activity data'!AV64*ManureNEF*NtoN2O*kgtoGg,IF('Net zero activities &amp; levers'!$C$12="PB",'Activity data'!AV64*ManureNEF*NtoN2O*kgtoGg,IF('Net zero activities &amp; levers'!$C$12="MS",'Net zero Activity data'!AV64*ManureNEF*NtoN2O*kgtoGg,"ERROR")))</f>
        <v>0.20262605023407515</v>
      </c>
      <c r="AD983" s="101">
        <f>IF('Net zero activities &amp; levers'!$C$12="Off",'Activity data'!AW64*ManureNEF*NtoN2O*kgtoGg,IF('Net zero activities &amp; levers'!$C$12="PB",'Activity data'!AW64*ManureNEF*NtoN2O*kgtoGg,IF('Net zero activities &amp; levers'!$C$12="MS",'Net zero Activity data'!AW64*ManureNEF*NtoN2O*kgtoGg,"ERROR")))</f>
        <v>0.20701826985045815</v>
      </c>
      <c r="AE983" s="101">
        <f>IF('Net zero activities &amp; levers'!$C$12="Off",'Activity data'!AX64*ManureNEF*NtoN2O*kgtoGg,IF('Net zero activities &amp; levers'!$C$12="PB",'Activity data'!AX64*ManureNEF*NtoN2O*kgtoGg,IF('Net zero activities &amp; levers'!$C$12="MS",'Net zero Activity data'!AX64*ManureNEF*NtoN2O*kgtoGg,"ERROR")))</f>
        <v>0.21171320346850861</v>
      </c>
      <c r="AF983" s="101">
        <f>IF('Net zero activities &amp; levers'!$C$12="Off",'Activity data'!AY64*ManureNEF*NtoN2O*kgtoGg,IF('Net zero activities &amp; levers'!$C$12="PB",'Activity data'!AY64*ManureNEF*NtoN2O*kgtoGg,IF('Net zero activities &amp; levers'!$C$12="MS",'Net zero Activity data'!AY64*ManureNEF*NtoN2O*kgtoGg,"ERROR")))</f>
        <v>0.21655584185518156</v>
      </c>
      <c r="AG983" s="101">
        <f>IF('Net zero activities &amp; levers'!$C$12="Off",'Activity data'!AZ64*ManureNEF*NtoN2O*kgtoGg,IF('Net zero activities &amp; levers'!$C$12="PB",'Activity data'!AZ64*ManureNEF*NtoN2O*kgtoGg,IF('Net zero activities &amp; levers'!$C$12="MS",'Net zero Activity data'!AZ64*ManureNEF*NtoN2O*kgtoGg,"ERROR")))</f>
        <v>0.21799724995986033</v>
      </c>
      <c r="AH983" s="101">
        <f>IF('Net zero activities &amp; levers'!$C$12="Off",'Activity data'!BA64*ManureNEF*NtoN2O*kgtoGg,IF('Net zero activities &amp; levers'!$C$12="PB",'Activity data'!BA64*ManureNEF*NtoN2O*kgtoGg,IF('Net zero activities &amp; levers'!$C$12="MS",'Net zero Activity data'!BA64*ManureNEF*NtoN2O*kgtoGg,"ERROR")))</f>
        <v>5.2251952852615427E-2</v>
      </c>
      <c r="AI983" s="101">
        <f>IF('Net zero activities &amp; levers'!$C$12="Off",'Activity data'!BB64*ManureNEF*NtoN2O*kgtoGg,IF('Net zero activities &amp; levers'!$C$12="PB",'Activity data'!BB64*ManureNEF*NtoN2O*kgtoGg,IF('Net zero activities &amp; levers'!$C$12="MS",'Net zero Activity data'!BB64*ManureNEF*NtoN2O*kgtoGg,"ERROR")))</f>
        <v>5.2653553300749806E-2</v>
      </c>
      <c r="AJ983" s="101">
        <f>IF('Net zero activities &amp; levers'!$C$12="Off",'Activity data'!BC64*ManureNEF*NtoN2O*kgtoGg,IF('Net zero activities &amp; levers'!$C$12="PB",'Activity data'!BC64*ManureNEF*NtoN2O*kgtoGg,IF('Net zero activities &amp; levers'!$C$12="MS",'Net zero Activity data'!BC64*ManureNEF*NtoN2O*kgtoGg,"ERROR")))</f>
        <v>5.3058077706100888E-2</v>
      </c>
      <c r="AK983" s="101">
        <f>IF('Net zero activities &amp; levers'!$C$12="Off",'Activity data'!BD64*ManureNEF*NtoN2O*kgtoGg,IF('Net zero activities &amp; levers'!$C$12="PB",'Activity data'!BD64*ManureNEF*NtoN2O*kgtoGg,IF('Net zero activities &amp; levers'!$C$12="MS",'Net zero Activity data'!BD64*ManureNEF*NtoN2O*kgtoGg,"ERROR")))</f>
        <v>5.3465548333796561E-2</v>
      </c>
      <c r="AL983" s="101">
        <f>IF('Net zero activities &amp; levers'!$C$12="Off",'Activity data'!BE64*ManureNEF*NtoN2O*kgtoGg,IF('Net zero activities &amp; levers'!$C$12="PB",'Activity data'!BE64*ManureNEF*NtoN2O*kgtoGg,IF('Net zero activities &amp; levers'!$C$12="MS",'Net zero Activity data'!BE64*ManureNEF*NtoN2O*kgtoGg,"ERROR")))</f>
        <v>5.3875987550074486E-2</v>
      </c>
      <c r="AM983" s="101">
        <f>IF('Net zero activities &amp; levers'!$C$12="Off",'Activity data'!BF64*ManureNEF*NtoN2O*kgtoGg,IF('Net zero activities &amp; levers'!$C$12="PB",'Activity data'!BF64*ManureNEF*NtoN2O*kgtoGg,IF('Net zero activities &amp; levers'!$C$12="MS",'Net zero Activity data'!BF64*ManureNEF*NtoN2O*kgtoGg,"ERROR")))</f>
        <v>5.4289417828860521E-2</v>
      </c>
      <c r="AN983" s="101">
        <f>IF('Net zero activities &amp; levers'!$C$12="Off",'Activity data'!BG64*ManureNEF*NtoN2O*kgtoGg,IF('Net zero activities &amp; levers'!$C$12="PB",'Activity data'!BG64*ManureNEF*NtoN2O*kgtoGg,IF('Net zero activities &amp; levers'!$C$12="MS",'Net zero Activity data'!BG64*ManureNEF*NtoN2O*kgtoGg,"ERROR")))</f>
        <v>5.4642837788304699E-2</v>
      </c>
      <c r="AO983" s="101">
        <f>IF('Net zero activities &amp; levers'!$C$12="Off",'Activity data'!BH64*ManureNEF*NtoN2O*kgtoGg,IF('Net zero activities &amp; levers'!$C$12="PB",'Activity data'!BH64*ManureNEF*NtoN2O*kgtoGg,IF('Net zero activities &amp; levers'!$C$12="MS",'Net zero Activity data'!BH64*ManureNEF*NtoN2O*kgtoGg,"ERROR")))</f>
        <v>5.4998439326322222E-2</v>
      </c>
      <c r="AP983" s="101">
        <f>IF('Net zero activities &amp; levers'!$C$12="Off",'Activity data'!BI64*ManureNEF*NtoN2O*kgtoGg,IF('Net zero activities &amp; levers'!$C$12="PB",'Activity data'!BI64*ManureNEF*NtoN2O*kgtoGg,IF('Net zero activities &amp; levers'!$C$12="MS",'Net zero Activity data'!BI64*ManureNEF*NtoN2O*kgtoGg,"ERROR")))</f>
        <v>5.5356236623464276E-2</v>
      </c>
      <c r="AQ983" s="101">
        <f>IF('Net zero activities &amp; levers'!$C$12="Off",'Activity data'!BJ64*ManureNEF*NtoN2O*kgtoGg,IF('Net zero activities &amp; levers'!$C$12="PB",'Activity data'!BJ64*ManureNEF*NtoN2O*kgtoGg,IF('Net zero activities &amp; levers'!$C$12="MS",'Net zero Activity data'!BJ64*ManureNEF*NtoN2O*kgtoGg,"ERROR")))</f>
        <v>5.5716243907733665E-2</v>
      </c>
      <c r="AR983" s="101">
        <f>IF('Net zero activities &amp; levers'!$C$12="Off",'Activity data'!BK64*ManureNEF*NtoN2O*kgtoGg,IF('Net zero activities &amp; levers'!$C$12="PB",'Activity data'!BK64*ManureNEF*NtoN2O*kgtoGg,IF('Net zero activities &amp; levers'!$C$12="MS",'Net zero Activity data'!BK64*ManureNEF*NtoN2O*kgtoGg,"ERROR")))</f>
        <v>5.6078475458306978E-2</v>
      </c>
      <c r="AS983" s="101">
        <f>IF('Net zero activities &amp; levers'!$C$12="Off",'Activity data'!BL64*ManureNEF*NtoN2O*kgtoGg,IF('Net zero activities &amp; levers'!$C$12="PB",'Activity data'!BL64*ManureNEF*NtoN2O*kgtoGg,IF('Net zero activities &amp; levers'!$C$12="MS",'Net zero Activity data'!BL64*ManureNEF*NtoN2O*kgtoGg,"ERROR")))</f>
        <v>5.6378177516484766E-2</v>
      </c>
      <c r="AT983" s="101">
        <f>IF('Net zero activities &amp; levers'!$C$12="Off",'Activity data'!BM64*ManureNEF*NtoN2O*kgtoGg,IF('Net zero activities &amp; levers'!$C$12="PB",'Activity data'!BM64*ManureNEF*NtoN2O*kgtoGg,IF('Net zero activities &amp; levers'!$C$12="MS",'Net zero Activity data'!BM64*ManureNEF*NtoN2O*kgtoGg,"ERROR")))</f>
        <v>5.6679397882174076E-2</v>
      </c>
      <c r="AU983" s="101">
        <f>IF('Net zero activities &amp; levers'!$C$12="Off",'Activity data'!BN64*ManureNEF*NtoN2O*kgtoGg,IF('Net zero activities &amp; levers'!$C$12="PB",'Activity data'!BN64*ManureNEF*NtoN2O*kgtoGg,IF('Net zero activities &amp; levers'!$C$12="MS",'Net zero Activity data'!BN64*ManureNEF*NtoN2O*kgtoGg,"ERROR")))</f>
        <v>5.6982144790486855E-2</v>
      </c>
      <c r="AV983" s="101">
        <f>IF('Net zero activities &amp; levers'!$C$12="Off",'Activity data'!BO64*ManureNEF*NtoN2O*kgtoGg,IF('Net zero activities &amp; levers'!$C$12="PB",'Activity data'!BO64*ManureNEF*NtoN2O*kgtoGg,IF('Net zero activities &amp; levers'!$C$12="MS",'Net zero Activity data'!BO64*ManureNEF*NtoN2O*kgtoGg,"ERROR")))</f>
        <v>5.7286426490389369E-2</v>
      </c>
      <c r="AW983" s="101">
        <f>IF('Net zero activities &amp; levers'!$C$12="Off",'Activity data'!BP64*ManureNEF*NtoN2O*kgtoGg,IF('Net zero activities &amp; levers'!$C$12="PB",'Activity data'!BP64*ManureNEF*NtoN2O*kgtoGg,IF('Net zero activities &amp; levers'!$C$12="MS",'Net zero Activity data'!BP64*ManureNEF*NtoN2O*kgtoGg,"ERROR")))</f>
        <v>5.7592251246923687E-2</v>
      </c>
      <c r="AY983" s="85"/>
      <c r="AZ983" s="85"/>
    </row>
    <row r="984" spans="1:52" x14ac:dyDescent="0.25">
      <c r="A984" s="102" t="str">
        <f t="shared" si="345"/>
        <v>DS Organic</v>
      </c>
      <c r="B984" s="102" t="s">
        <v>975</v>
      </c>
      <c r="C984" s="102" t="s">
        <v>1128</v>
      </c>
      <c r="D984" t="s">
        <v>369</v>
      </c>
      <c r="E984" t="s">
        <v>55</v>
      </c>
      <c r="F984" t="s">
        <v>421</v>
      </c>
      <c r="G984" t="s">
        <v>1183</v>
      </c>
      <c r="H984" t="s">
        <v>1184</v>
      </c>
      <c r="I984" t="s">
        <v>139</v>
      </c>
      <c r="J984" t="s">
        <v>287</v>
      </c>
      <c r="K984" s="101">
        <f>IF('Net zero activities &amp; levers'!$C$12="Off",'Activity data'!AD65*ManureNEF*NtoN2O*kgtoGg,IF('Net zero activities &amp; levers'!$C$12="PB",'Activity data'!AD65*ManureNEF*NtoN2O*kgtoGg,IF('Net zero activities &amp; levers'!$C$12="MS",'Net zero Activity data'!AD65*ManureNEF*NtoN2O*kgtoGg,"ERROR")))</f>
        <v>0.795414165570277</v>
      </c>
      <c r="L984" s="101">
        <f>IF('Net zero activities &amp; levers'!$C$12="Off",'Activity data'!AE65*ManureNEF*NtoN2O*kgtoGg,IF('Net zero activities &amp; levers'!$C$12="PB",'Activity data'!AE65*ManureNEF*NtoN2O*kgtoGg,IF('Net zero activities &amp; levers'!$C$12="MS",'Net zero Activity data'!AE65*ManureNEF*NtoN2O*kgtoGg,"ERROR")))</f>
        <v>0.8083218557846692</v>
      </c>
      <c r="M984" s="101">
        <f>IF('Net zero activities &amp; levers'!$C$12="Off",'Activity data'!AF65*ManureNEF*NtoN2O*kgtoGg,IF('Net zero activities &amp; levers'!$C$12="PB",'Activity data'!AF65*ManureNEF*NtoN2O*kgtoGg,IF('Net zero activities &amp; levers'!$C$12="MS",'Net zero Activity data'!AF65*ManureNEF*NtoN2O*kgtoGg,"ERROR")))</f>
        <v>0.81215441853464132</v>
      </c>
      <c r="N984" s="101">
        <f>IF('Net zero activities &amp; levers'!$C$12="Off",'Activity data'!AG65*ManureNEF*NtoN2O*kgtoGg,IF('Net zero activities &amp; levers'!$C$12="PB",'Activity data'!AG65*ManureNEF*NtoN2O*kgtoGg,IF('Net zero activities &amp; levers'!$C$12="MS",'Net zero Activity data'!AG65*ManureNEF*NtoN2O*kgtoGg,"ERROR")))</f>
        <v>0.80356343008777875</v>
      </c>
      <c r="O984" s="101">
        <f>IF('Net zero activities &amp; levers'!$C$12="Off",'Activity data'!AH65*ManureNEF*NtoN2O*kgtoGg,IF('Net zero activities &amp; levers'!$C$12="PB",'Activity data'!AH65*ManureNEF*NtoN2O*kgtoGg,IF('Net zero activities &amp; levers'!$C$12="MS",'Net zero Activity data'!AH65*ManureNEF*NtoN2O*kgtoGg,"ERROR")))</f>
        <v>0.79499088780116223</v>
      </c>
      <c r="P984" s="101">
        <f>IF('Net zero activities &amp; levers'!$C$12="Off",'Activity data'!AI65*ManureNEF*NtoN2O*kgtoGg,IF('Net zero activities &amp; levers'!$C$12="PB",'Activity data'!AI65*ManureNEF*NtoN2O*kgtoGg,IF('Net zero activities &amp; levers'!$C$12="MS",'Net zero Activity data'!AI65*ManureNEF*NtoN2O*kgtoGg,"ERROR")))</f>
        <v>0.79250347923266529</v>
      </c>
      <c r="Q984" s="101">
        <f>IF('Net zero activities &amp; levers'!$C$12="Off",'Activity data'!AJ65*ManureNEF*NtoN2O*kgtoGg,IF('Net zero activities &amp; levers'!$C$12="PB",'Activity data'!AJ65*ManureNEF*NtoN2O*kgtoGg,IF('Net zero activities &amp; levers'!$C$12="MS",'Net zero Activity data'!AJ65*ManureNEF*NtoN2O*kgtoGg,"ERROR")))</f>
        <v>0.79198531109847847</v>
      </c>
      <c r="R984" s="101">
        <f>IF('Net zero activities &amp; levers'!$C$12="Off",'Activity data'!AK65*ManureNEF*NtoN2O*kgtoGg,IF('Net zero activities &amp; levers'!$C$12="PB",'Activity data'!AK65*ManureNEF*NtoN2O*kgtoGg,IF('Net zero activities &amp; levers'!$C$12="MS",'Net zero Activity data'!AK65*ManureNEF*NtoN2O*kgtoGg,"ERROR")))</f>
        <v>0.77877476502438481</v>
      </c>
      <c r="S984" s="101">
        <f>IF('Net zero activities &amp; levers'!$C$12="Off",'Activity data'!AL65*ManureNEF*NtoN2O*kgtoGg,IF('Net zero activities &amp; levers'!$C$12="PB",'Activity data'!AL65*ManureNEF*NtoN2O*kgtoGg,IF('Net zero activities &amp; levers'!$C$12="MS",'Net zero Activity data'!AL65*ManureNEF*NtoN2O*kgtoGg,"ERROR")))</f>
        <v>0.64890920680176789</v>
      </c>
      <c r="T984" s="101">
        <f>IF('Net zero activities &amp; levers'!$C$12="Off",'Activity data'!AM65*ManureNEF*NtoN2O*kgtoGg,IF('Net zero activities &amp; levers'!$C$12="PB",'Activity data'!AM65*ManureNEF*NtoN2O*kgtoGg,IF('Net zero activities &amp; levers'!$C$12="MS",'Net zero Activity data'!AM65*ManureNEF*NtoN2O*kgtoGg,"ERROR")))</f>
        <v>0.66805040989248243</v>
      </c>
      <c r="U984" s="101">
        <f>IF('Net zero activities &amp; levers'!$C$12="Off",'Activity data'!AN65*ManureNEF*NtoN2O*kgtoGg,IF('Net zero activities &amp; levers'!$C$12="PB",'Activity data'!AN65*ManureNEF*NtoN2O*kgtoGg,IF('Net zero activities &amp; levers'!$C$12="MS",'Net zero Activity data'!AN65*ManureNEF*NtoN2O*kgtoGg,"ERROR")))</f>
        <v>0.68404988485251483</v>
      </c>
      <c r="V984" s="101">
        <f>IF('Net zero activities &amp; levers'!$C$12="Off",'Activity data'!AO65*ManureNEF*NtoN2O*kgtoGg,IF('Net zero activities &amp; levers'!$C$12="PB",'Activity data'!AO65*ManureNEF*NtoN2O*kgtoGg,IF('Net zero activities &amp; levers'!$C$12="MS",'Net zero Activity data'!AO65*ManureNEF*NtoN2O*kgtoGg,"ERROR")))</f>
        <v>0.70001053899583365</v>
      </c>
      <c r="W984" s="101">
        <f>IF('Net zero activities &amp; levers'!$C$12="Off",'Activity data'!AP65*ManureNEF*NtoN2O*kgtoGg,IF('Net zero activities &amp; levers'!$C$12="PB",'Activity data'!AP65*ManureNEF*NtoN2O*kgtoGg,IF('Net zero activities &amp; levers'!$C$12="MS",'Net zero Activity data'!AP65*ManureNEF*NtoN2O*kgtoGg,"ERROR")))</f>
        <v>0.72077585420537182</v>
      </c>
      <c r="X984" s="101">
        <f>IF('Net zero activities &amp; levers'!$C$12="Off",'Activity data'!AQ65*ManureNEF*NtoN2O*kgtoGg,IF('Net zero activities &amp; levers'!$C$12="PB",'Activity data'!AQ65*ManureNEF*NtoN2O*kgtoGg,IF('Net zero activities &amp; levers'!$C$12="MS",'Net zero Activity data'!AQ65*ManureNEF*NtoN2O*kgtoGg,"ERROR")))</f>
        <v>0.74147883845948881</v>
      </c>
      <c r="Y984" s="101">
        <f>IF('Net zero activities &amp; levers'!$C$12="Off",'Activity data'!AR65*ManureNEF*NtoN2O*kgtoGg,IF('Net zero activities &amp; levers'!$C$12="PB",'Activity data'!AR65*ManureNEF*NtoN2O*kgtoGg,IF('Net zero activities &amp; levers'!$C$12="MS",'Net zero Activity data'!AR65*ManureNEF*NtoN2O*kgtoGg,"ERROR")))</f>
        <v>0.76420933570691552</v>
      </c>
      <c r="Z984" s="101">
        <f>IF('Net zero activities &amp; levers'!$C$12="Off",'Activity data'!AS65*ManureNEF*NtoN2O*kgtoGg,IF('Net zero activities &amp; levers'!$C$12="PB",'Activity data'!AS65*ManureNEF*NtoN2O*kgtoGg,IF('Net zero activities &amp; levers'!$C$12="MS",'Net zero Activity data'!AS65*ManureNEF*NtoN2O*kgtoGg,"ERROR")))</f>
        <v>0.78572613438626693</v>
      </c>
      <c r="AA984" s="101">
        <f>IF('Net zero activities &amp; levers'!$C$12="Off",'Activity data'!AT65*ManureNEF*NtoN2O*kgtoGg,IF('Net zero activities &amp; levers'!$C$12="PB",'Activity data'!AT65*ManureNEF*NtoN2O*kgtoGg,IF('Net zero activities &amp; levers'!$C$12="MS",'Net zero Activity data'!AT65*ManureNEF*NtoN2O*kgtoGg,"ERROR")))</f>
        <v>0.80907791428846942</v>
      </c>
      <c r="AB984" s="101">
        <f>IF('Net zero activities &amp; levers'!$C$12="Off",'Activity data'!AU65*ManureNEF*NtoN2O*kgtoGg,IF('Net zero activities &amp; levers'!$C$12="PB",'Activity data'!AU65*ManureNEF*NtoN2O*kgtoGg,IF('Net zero activities &amp; levers'!$C$12="MS",'Net zero Activity data'!AU65*ManureNEF*NtoN2O*kgtoGg,"ERROR")))</f>
        <v>0.8301336909980378</v>
      </c>
      <c r="AC984" s="101">
        <f>IF('Net zero activities &amp; levers'!$C$12="Off",'Activity data'!AV65*ManureNEF*NtoN2O*kgtoGg,IF('Net zero activities &amp; levers'!$C$12="PB",'Activity data'!AV65*ManureNEF*NtoN2O*kgtoGg,IF('Net zero activities &amp; levers'!$C$12="MS",'Net zero Activity data'!AV65*ManureNEF*NtoN2O*kgtoGg,"ERROR")))</f>
        <v>0.85181121057445375</v>
      </c>
      <c r="AD984" s="101">
        <f>IF('Net zero activities &amp; levers'!$C$12="Off",'Activity data'!AW65*ManureNEF*NtoN2O*kgtoGg,IF('Net zero activities &amp; levers'!$C$12="PB",'Activity data'!AW65*ManureNEF*NtoN2O*kgtoGg,IF('Net zero activities &amp; levers'!$C$12="MS",'Net zero Activity data'!AW65*ManureNEF*NtoN2O*kgtoGg,"ERROR")))</f>
        <v>0.88061906068467799</v>
      </c>
      <c r="AE984" s="101">
        <f>IF('Net zero activities &amp; levers'!$C$12="Off",'Activity data'!AX65*ManureNEF*NtoN2O*kgtoGg,IF('Net zero activities &amp; levers'!$C$12="PB",'Activity data'!AX65*ManureNEF*NtoN2O*kgtoGg,IF('Net zero activities &amp; levers'!$C$12="MS",'Net zero Activity data'!AX65*ManureNEF*NtoN2O*kgtoGg,"ERROR")))</f>
        <v>0.91224642242202703</v>
      </c>
      <c r="AF984" s="101">
        <f>IF('Net zero activities &amp; levers'!$C$12="Off",'Activity data'!AY65*ManureNEF*NtoN2O*kgtoGg,IF('Net zero activities &amp; levers'!$C$12="PB",'Activity data'!AY65*ManureNEF*NtoN2O*kgtoGg,IF('Net zero activities &amp; levers'!$C$12="MS",'Net zero Activity data'!AY65*ManureNEF*NtoN2O*kgtoGg,"ERROR")))</f>
        <v>0.9449892623330276</v>
      </c>
      <c r="AG984" s="101">
        <f>IF('Net zero activities &amp; levers'!$C$12="Off",'Activity data'!AZ65*ManureNEF*NtoN2O*kgtoGg,IF('Net zero activities &amp; levers'!$C$12="PB",'Activity data'!AZ65*ManureNEF*NtoN2O*kgtoGg,IF('Net zero activities &amp; levers'!$C$12="MS",'Net zero Activity data'!AZ65*ManureNEF*NtoN2O*kgtoGg,"ERROR")))</f>
        <v>0.94134312985108715</v>
      </c>
      <c r="AH984" s="101">
        <f>IF('Net zero activities &amp; levers'!$C$12="Off",'Activity data'!BA65*ManureNEF*NtoN2O*kgtoGg,IF('Net zero activities &amp; levers'!$C$12="PB",'Activity data'!BA65*ManureNEF*NtoN2O*kgtoGg,IF('Net zero activities &amp; levers'!$C$12="MS",'Net zero Activity data'!BA65*ManureNEF*NtoN2O*kgtoGg,"ERROR")))</f>
        <v>-0.81638140263432868</v>
      </c>
      <c r="AI984" s="101">
        <f>IF('Net zero activities &amp; levers'!$C$12="Off",'Activity data'!BB65*ManureNEF*NtoN2O*kgtoGg,IF('Net zero activities &amp; levers'!$C$12="PB",'Activity data'!BB65*ManureNEF*NtoN2O*kgtoGg,IF('Net zero activities &amp; levers'!$C$12="MS",'Net zero Activity data'!BB65*ManureNEF*NtoN2O*kgtoGg,"ERROR")))</f>
        <v>-0.81755111000616232</v>
      </c>
      <c r="AJ984" s="101">
        <f>IF('Net zero activities &amp; levers'!$C$12="Off",'Activity data'!BC65*ManureNEF*NtoN2O*kgtoGg,IF('Net zero activities &amp; levers'!$C$12="PB",'Activity data'!BC65*ManureNEF*NtoN2O*kgtoGg,IF('Net zero activities &amp; levers'!$C$12="MS",'Net zero Activity data'!BC65*ManureNEF*NtoN2O*kgtoGg,"ERROR")))</f>
        <v>-0.81881979999269761</v>
      </c>
      <c r="AK984" s="101">
        <f>IF('Net zero activities &amp; levers'!$C$12="Off",'Activity data'!BD65*ManureNEF*NtoN2O*kgtoGg,IF('Net zero activities &amp; levers'!$C$12="PB",'Activity data'!BD65*ManureNEF*NtoN2O*kgtoGg,IF('Net zero activities &amp; levers'!$C$12="MS",'Net zero Activity data'!BD65*ManureNEF*NtoN2O*kgtoGg,"ERROR")))</f>
        <v>-0.82018334185066777</v>
      </c>
      <c r="AL984" s="101">
        <f>IF('Net zero activities &amp; levers'!$C$12="Off",'Activity data'!BE65*ManureNEF*NtoN2O*kgtoGg,IF('Net zero activities &amp; levers'!$C$12="PB",'Activity data'!BE65*ManureNEF*NtoN2O*kgtoGg,IF('Net zero activities &amp; levers'!$C$12="MS",'Net zero Activity data'!BE65*ManureNEF*NtoN2O*kgtoGg,"ERROR")))</f>
        <v>-0.82163792568162108</v>
      </c>
      <c r="AM984" s="101">
        <f>IF('Net zero activities &amp; levers'!$C$12="Off",'Activity data'!BF65*ManureNEF*NtoN2O*kgtoGg,IF('Net zero activities &amp; levers'!$C$12="PB",'Activity data'!BF65*ManureNEF*NtoN2O*kgtoGg,IF('Net zero activities &amp; levers'!$C$12="MS",'Net zero Activity data'!BF65*ManureNEF*NtoN2O*kgtoGg,"ERROR")))</f>
        <v>-0.82318003161190867</v>
      </c>
      <c r="AN984" s="101">
        <f>IF('Net zero activities &amp; levers'!$C$12="Off",'Activity data'!BG65*ManureNEF*NtoN2O*kgtoGg,IF('Net zero activities &amp; levers'!$C$12="PB",'Activity data'!BG65*ManureNEF*NtoN2O*kgtoGg,IF('Net zero activities &amp; levers'!$C$12="MS",'Net zero Activity data'!BG65*ManureNEF*NtoN2O*kgtoGg,"ERROR")))</f>
        <v>-0.82381473491699941</v>
      </c>
      <c r="AO984" s="101">
        <f>IF('Net zero activities &amp; levers'!$C$12="Off",'Activity data'!BH65*ManureNEF*NtoN2O*kgtoGg,IF('Net zero activities &amp; levers'!$C$12="PB",'Activity data'!BH65*ManureNEF*NtoN2O*kgtoGg,IF('Net zero activities &amp; levers'!$C$12="MS",'Net zero Activity data'!BH65*ManureNEF*NtoN2O*kgtoGg,"ERROR")))</f>
        <v>-0.82452898483774906</v>
      </c>
      <c r="AP984" s="101">
        <f>IF('Net zero activities &amp; levers'!$C$12="Off",'Activity data'!BI65*ManureNEF*NtoN2O*kgtoGg,IF('Net zero activities &amp; levers'!$C$12="PB",'Activity data'!BI65*ManureNEF*NtoN2O*kgtoGg,IF('Net zero activities &amp; levers'!$C$12="MS",'Net zero Activity data'!BI65*ManureNEF*NtoN2O*kgtoGg,"ERROR")))</f>
        <v>-0.82531969261957272</v>
      </c>
      <c r="AQ984" s="101">
        <f>IF('Net zero activities &amp; levers'!$C$12="Off",'Activity data'!BJ65*ManureNEF*NtoN2O*kgtoGg,IF('Net zero activities &amp; levers'!$C$12="PB",'Activity data'!BJ65*ManureNEF*NtoN2O*kgtoGg,IF('Net zero activities &amp; levers'!$C$12="MS",'Net zero Activity data'!BJ65*ManureNEF*NtoN2O*kgtoGg,"ERROR")))</f>
        <v>-0.82618398159490103</v>
      </c>
      <c r="AR984" s="101">
        <f>IF('Net zero activities &amp; levers'!$C$12="Off",'Activity data'!BK65*ManureNEF*NtoN2O*kgtoGg,IF('Net zero activities &amp; levers'!$C$12="PB",'Activity data'!BK65*ManureNEF*NtoN2O*kgtoGg,IF('Net zero activities &amp; levers'!$C$12="MS",'Net zero Activity data'!BK65*ManureNEF*NtoN2O*kgtoGg,"ERROR")))</f>
        <v>-0.82711916895922855</v>
      </c>
      <c r="AS984" s="101">
        <f>IF('Net zero activities &amp; levers'!$C$12="Off",'Activity data'!BL65*ManureNEF*NtoN2O*kgtoGg,IF('Net zero activities &amp; levers'!$C$12="PB",'Activity data'!BL65*ManureNEF*NtoN2O*kgtoGg,IF('Net zero activities &amp; levers'!$C$12="MS",'Net zero Activity data'!BL65*ManureNEF*NtoN2O*kgtoGg,"ERROR")))</f>
        <v>-0.82713235750266001</v>
      </c>
      <c r="AT984" s="101">
        <f>IF('Net zero activities &amp; levers'!$C$12="Off",'Activity data'!BM65*ManureNEF*NtoN2O*kgtoGg,IF('Net zero activities &amp; levers'!$C$12="PB",'Activity data'!BM65*ManureNEF*NtoN2O*kgtoGg,IF('Net zero activities &amp; levers'!$C$12="MS",'Net zero Activity data'!BM65*ManureNEF*NtoN2O*kgtoGg,"ERROR")))</f>
        <v>-0.82721120407880289</v>
      </c>
      <c r="AU984" s="101">
        <f>IF('Net zero activities &amp; levers'!$C$12="Off",'Activity data'!BN65*ManureNEF*NtoN2O*kgtoGg,IF('Net zero activities &amp; levers'!$C$12="PB",'Activity data'!BN65*ManureNEF*NtoN2O*kgtoGg,IF('Net zero activities &amp; levers'!$C$12="MS",'Net zero Activity data'!BN65*ManureNEF*NtoN2O*kgtoGg,"ERROR")))</f>
        <v>-0.82735328113760953</v>
      </c>
      <c r="AV984" s="101">
        <f>IF('Net zero activities &amp; levers'!$C$12="Off",'Activity data'!BO65*ManureNEF*NtoN2O*kgtoGg,IF('Net zero activities &amp; levers'!$C$12="PB",'Activity data'!BO65*ManureNEF*NtoN2O*kgtoGg,IF('Net zero activities &amp; levers'!$C$12="MS",'Net zero Activity data'!BO65*ManureNEF*NtoN2O*kgtoGg,"ERROR")))</f>
        <v>-0.82755630984608064</v>
      </c>
      <c r="AW984" s="101">
        <f>IF('Net zero activities &amp; levers'!$C$12="Off",'Activity data'!BP65*ManureNEF*NtoN2O*kgtoGg,IF('Net zero activities &amp; levers'!$C$12="PB",'Activity data'!BP65*ManureNEF*NtoN2O*kgtoGg,IF('Net zero activities &amp; levers'!$C$12="MS",'Net zero Activity data'!BP65*ManureNEF*NtoN2O*kgtoGg,"ERROR")))</f>
        <v>-0.82781814853769387</v>
      </c>
      <c r="AY984" s="85"/>
      <c r="AZ984" s="85"/>
    </row>
    <row r="985" spans="1:52" x14ac:dyDescent="0.25">
      <c r="A985" s="102" t="str">
        <f t="shared" si="345"/>
        <v>DS U&amp;D</v>
      </c>
      <c r="B985" s="102" t="s">
        <v>975</v>
      </c>
      <c r="C985" s="102" t="s">
        <v>1337</v>
      </c>
      <c r="D985" t="s">
        <v>369</v>
      </c>
      <c r="E985" t="s">
        <v>55</v>
      </c>
      <c r="F985" t="s">
        <v>422</v>
      </c>
      <c r="G985" t="s">
        <v>1153</v>
      </c>
      <c r="H985" t="s">
        <v>1241</v>
      </c>
      <c r="I985" t="s">
        <v>139</v>
      </c>
      <c r="J985" t="s">
        <v>287</v>
      </c>
      <c r="K985" s="22">
        <f>K1482</f>
        <v>0</v>
      </c>
      <c r="L985" s="22">
        <f t="shared" ref="L985:AW987" si="346">L1482</f>
        <v>0</v>
      </c>
      <c r="M985" s="22">
        <f t="shared" si="346"/>
        <v>0</v>
      </c>
      <c r="N985" s="22">
        <f t="shared" si="346"/>
        <v>0</v>
      </c>
      <c r="O985" s="22">
        <f t="shared" si="346"/>
        <v>0</v>
      </c>
      <c r="P985" s="22">
        <f t="shared" si="346"/>
        <v>0</v>
      </c>
      <c r="Q985" s="22">
        <f t="shared" si="346"/>
        <v>0</v>
      </c>
      <c r="R985" s="22">
        <f t="shared" si="346"/>
        <v>0</v>
      </c>
      <c r="S985" s="22">
        <f t="shared" si="346"/>
        <v>0</v>
      </c>
      <c r="T985" s="22">
        <f t="shared" si="346"/>
        <v>0</v>
      </c>
      <c r="U985" s="22">
        <f t="shared" si="346"/>
        <v>0</v>
      </c>
      <c r="V985" s="22">
        <f t="shared" si="346"/>
        <v>0</v>
      </c>
      <c r="W985" s="22">
        <f t="shared" si="346"/>
        <v>0</v>
      </c>
      <c r="X985" s="22">
        <f t="shared" si="346"/>
        <v>0</v>
      </c>
      <c r="Y985" s="22">
        <f t="shared" si="346"/>
        <v>0</v>
      </c>
      <c r="Z985" s="22">
        <f t="shared" si="346"/>
        <v>0</v>
      </c>
      <c r="AA985" s="22">
        <f t="shared" si="346"/>
        <v>0</v>
      </c>
      <c r="AB985" s="22">
        <f t="shared" si="346"/>
        <v>0</v>
      </c>
      <c r="AC985" s="22">
        <f t="shared" si="346"/>
        <v>0</v>
      </c>
      <c r="AD985" s="22">
        <f t="shared" si="346"/>
        <v>0</v>
      </c>
      <c r="AE985" s="22">
        <f t="shared" si="346"/>
        <v>0</v>
      </c>
      <c r="AF985" s="22">
        <f t="shared" si="346"/>
        <v>0</v>
      </c>
      <c r="AG985" s="22">
        <f t="shared" si="346"/>
        <v>0</v>
      </c>
      <c r="AH985" s="22">
        <f t="shared" si="346"/>
        <v>0</v>
      </c>
      <c r="AI985" s="22">
        <f t="shared" si="346"/>
        <v>0</v>
      </c>
      <c r="AJ985" s="22">
        <f t="shared" si="346"/>
        <v>0</v>
      </c>
      <c r="AK985" s="22">
        <f t="shared" si="346"/>
        <v>0</v>
      </c>
      <c r="AL985" s="22">
        <f t="shared" si="346"/>
        <v>0</v>
      </c>
      <c r="AM985" s="22">
        <f t="shared" si="346"/>
        <v>0</v>
      </c>
      <c r="AN985" s="22">
        <f t="shared" si="346"/>
        <v>0</v>
      </c>
      <c r="AO985" s="22">
        <f t="shared" si="346"/>
        <v>0</v>
      </c>
      <c r="AP985" s="22">
        <f t="shared" si="346"/>
        <v>0</v>
      </c>
      <c r="AQ985" s="22">
        <f t="shared" si="346"/>
        <v>0</v>
      </c>
      <c r="AR985" s="22">
        <f t="shared" si="346"/>
        <v>0</v>
      </c>
      <c r="AS985" s="22">
        <f t="shared" si="346"/>
        <v>0</v>
      </c>
      <c r="AT985" s="22">
        <f t="shared" si="346"/>
        <v>0</v>
      </c>
      <c r="AU985" s="22">
        <f t="shared" si="346"/>
        <v>0</v>
      </c>
      <c r="AV985" s="22">
        <f t="shared" si="346"/>
        <v>0</v>
      </c>
      <c r="AW985" s="22">
        <f t="shared" si="346"/>
        <v>0</v>
      </c>
      <c r="AY985" s="85"/>
      <c r="AZ985" s="85"/>
    </row>
    <row r="986" spans="1:52" x14ac:dyDescent="0.25">
      <c r="A986" s="102" t="str">
        <f t="shared" si="345"/>
        <v>DS U&amp;D</v>
      </c>
      <c r="B986" s="102" t="s">
        <v>975</v>
      </c>
      <c r="C986" s="102" t="s">
        <v>1337</v>
      </c>
      <c r="D986" t="s">
        <v>369</v>
      </c>
      <c r="E986" t="s">
        <v>55</v>
      </c>
      <c r="F986" t="s">
        <v>422</v>
      </c>
      <c r="G986" t="s">
        <v>1155</v>
      </c>
      <c r="H986" t="s">
        <v>1242</v>
      </c>
      <c r="I986" t="s">
        <v>139</v>
      </c>
      <c r="J986" t="s">
        <v>287</v>
      </c>
      <c r="K986" s="22">
        <f t="shared" ref="K986:Z987" si="347">K1483</f>
        <v>1.0795326716636573</v>
      </c>
      <c r="L986" s="22">
        <f t="shared" si="347"/>
        <v>1.0862475469793051</v>
      </c>
      <c r="M986" s="22">
        <f t="shared" si="347"/>
        <v>1.0908641162595043</v>
      </c>
      <c r="N986" s="22">
        <f t="shared" si="347"/>
        <v>1.0923119403436279</v>
      </c>
      <c r="O986" s="22">
        <f t="shared" si="347"/>
        <v>1.0942706302876248</v>
      </c>
      <c r="P986" s="22">
        <f t="shared" si="347"/>
        <v>1.0985609054131558</v>
      </c>
      <c r="Q986" s="22">
        <f t="shared" si="347"/>
        <v>1.1037045101143446</v>
      </c>
      <c r="R986" s="22">
        <f t="shared" si="347"/>
        <v>1.105249702620553</v>
      </c>
      <c r="S986" s="22">
        <f t="shared" si="347"/>
        <v>1.0713187850060639</v>
      </c>
      <c r="T986" s="22">
        <f t="shared" si="347"/>
        <v>1.0801428769448762</v>
      </c>
      <c r="U986" s="22">
        <f t="shared" si="347"/>
        <v>1.0882343186562755</v>
      </c>
      <c r="V986" s="22">
        <f t="shared" si="347"/>
        <v>1.0965307426510265</v>
      </c>
      <c r="W986" s="22">
        <f t="shared" si="347"/>
        <v>1.1065249139358884</v>
      </c>
      <c r="X986" s="22">
        <f t="shared" si="347"/>
        <v>1.1167066198379636</v>
      </c>
      <c r="Y986" s="22">
        <f t="shared" si="347"/>
        <v>1.1266207343141128</v>
      </c>
      <c r="Z986" s="22">
        <f t="shared" si="347"/>
        <v>1.1363365093259761</v>
      </c>
      <c r="AA986" s="22">
        <f t="shared" si="346"/>
        <v>1.146801464584869</v>
      </c>
      <c r="AB986" s="22">
        <f t="shared" si="346"/>
        <v>1.156711571508408</v>
      </c>
      <c r="AC986" s="22">
        <f t="shared" si="346"/>
        <v>1.1669771470605725</v>
      </c>
      <c r="AD986" s="22">
        <f t="shared" si="346"/>
        <v>1.1787713566301137</v>
      </c>
      <c r="AE986" s="22">
        <f t="shared" si="346"/>
        <v>1.1916164906506355</v>
      </c>
      <c r="AF986" s="22">
        <f t="shared" si="346"/>
        <v>1.2049714778557878</v>
      </c>
      <c r="AG986" s="22">
        <f t="shared" si="346"/>
        <v>1.2068369654753692</v>
      </c>
      <c r="AH986" s="22">
        <f t="shared" si="346"/>
        <v>0.64612873683850436</v>
      </c>
      <c r="AI986" s="22">
        <f t="shared" si="346"/>
        <v>0.64660396058025826</v>
      </c>
      <c r="AJ986" s="22">
        <f t="shared" si="346"/>
        <v>0.64714161069901732</v>
      </c>
      <c r="AK986" s="22">
        <f t="shared" si="346"/>
        <v>0.64773931439075094</v>
      </c>
      <c r="AL986" s="22">
        <f t="shared" si="346"/>
        <v>0.64839488159544112</v>
      </c>
      <c r="AM986" s="22">
        <f t="shared" si="346"/>
        <v>0.64910628767603584</v>
      </c>
      <c r="AN986" s="22">
        <f t="shared" si="346"/>
        <v>0.64941256924922242</v>
      </c>
      <c r="AO986" s="22">
        <f t="shared" si="346"/>
        <v>0.64976802465090699</v>
      </c>
      <c r="AP986" s="22">
        <f t="shared" si="346"/>
        <v>0.65017093639043266</v>
      </c>
      <c r="AQ986" s="22">
        <f t="shared" si="346"/>
        <v>0.65061970417317594</v>
      </c>
      <c r="AR986" s="22">
        <f t="shared" si="346"/>
        <v>0.65111283495552585</v>
      </c>
      <c r="AS986" s="22">
        <f t="shared" si="346"/>
        <v>0.65118489834837545</v>
      </c>
      <c r="AT986" s="22">
        <f t="shared" si="346"/>
        <v>0.65129629063948757</v>
      </c>
      <c r="AU986" s="22">
        <f t="shared" si="346"/>
        <v>0.65144570826558501</v>
      </c>
      <c r="AV986" s="22">
        <f t="shared" si="346"/>
        <v>0.65163192707531048</v>
      </c>
      <c r="AW986" s="22">
        <f t="shared" si="346"/>
        <v>0.6518537962289046</v>
      </c>
      <c r="AY986" s="85"/>
      <c r="AZ986" s="85"/>
    </row>
    <row r="987" spans="1:52" x14ac:dyDescent="0.25">
      <c r="A987" s="102" t="str">
        <f t="shared" si="345"/>
        <v>DS U&amp;D</v>
      </c>
      <c r="B987" s="102" t="s">
        <v>975</v>
      </c>
      <c r="C987" s="102" t="s">
        <v>1337</v>
      </c>
      <c r="D987" t="s">
        <v>369</v>
      </c>
      <c r="E987" t="s">
        <v>55</v>
      </c>
      <c r="F987" t="s">
        <v>422</v>
      </c>
      <c r="G987" t="s">
        <v>1157</v>
      </c>
      <c r="H987" t="s">
        <v>1243</v>
      </c>
      <c r="I987" t="s">
        <v>139</v>
      </c>
      <c r="J987" t="s">
        <v>287</v>
      </c>
      <c r="K987" s="22">
        <f t="shared" si="347"/>
        <v>0.73516913566022923</v>
      </c>
      <c r="L987" s="22">
        <f t="shared" si="346"/>
        <v>0.7397420116939516</v>
      </c>
      <c r="M987" s="22">
        <f t="shared" si="346"/>
        <v>0.74288592696073941</v>
      </c>
      <c r="N987" s="22">
        <f t="shared" si="346"/>
        <v>0.74387190506816692</v>
      </c>
      <c r="O987" s="22">
        <f t="shared" si="346"/>
        <v>0.74520578632155732</v>
      </c>
      <c r="P987" s="22">
        <f t="shared" si="346"/>
        <v>0.74812749303648285</v>
      </c>
      <c r="Q987" s="22">
        <f t="shared" si="346"/>
        <v>0.7516303230309872</v>
      </c>
      <c r="R987" s="22">
        <f t="shared" si="346"/>
        <v>0.75268260970005785</v>
      </c>
      <c r="S987" s="22">
        <f t="shared" si="346"/>
        <v>0.72957542264627473</v>
      </c>
      <c r="T987" s="22">
        <f t="shared" si="346"/>
        <v>0.73558468963181722</v>
      </c>
      <c r="U987" s="22">
        <f t="shared" si="346"/>
        <v>0.74109501679963463</v>
      </c>
      <c r="V987" s="22">
        <f t="shared" si="346"/>
        <v>0.74674493830492128</v>
      </c>
      <c r="W987" s="22">
        <f t="shared" si="346"/>
        <v>0.753551037330909</v>
      </c>
      <c r="X987" s="22">
        <f t="shared" si="346"/>
        <v>0.76048484871434763</v>
      </c>
      <c r="Y987" s="22">
        <f t="shared" si="346"/>
        <v>0.7672364285058465</v>
      </c>
      <c r="Z987" s="22">
        <f t="shared" si="346"/>
        <v>0.77385293776511066</v>
      </c>
      <c r="AA987" s="22">
        <f t="shared" si="346"/>
        <v>0.78097964389855901</v>
      </c>
      <c r="AB987" s="22">
        <f t="shared" si="346"/>
        <v>0.78772849451931037</v>
      </c>
      <c r="AC987" s="22">
        <f t="shared" si="346"/>
        <v>0.79471942170830334</v>
      </c>
      <c r="AD987" s="22">
        <f t="shared" si="346"/>
        <v>0.80275135912217765</v>
      </c>
      <c r="AE987" s="22">
        <f t="shared" si="346"/>
        <v>0.81149898327768732</v>
      </c>
      <c r="AF987" s="22">
        <f t="shared" si="346"/>
        <v>0.82059382094039046</v>
      </c>
      <c r="AG987" s="22">
        <f t="shared" si="346"/>
        <v>0.8218642307731554</v>
      </c>
      <c r="AH987" s="22">
        <f t="shared" si="346"/>
        <v>0.4400180906565429</v>
      </c>
      <c r="AI987" s="22">
        <f t="shared" si="346"/>
        <v>0.44034172127619964</v>
      </c>
      <c r="AJ987" s="22">
        <f t="shared" si="346"/>
        <v>0.44070786468572382</v>
      </c>
      <c r="AK987" s="22">
        <f t="shared" si="346"/>
        <v>0.44111490498933553</v>
      </c>
      <c r="AL987" s="22">
        <f t="shared" si="346"/>
        <v>0.44156135074117797</v>
      </c>
      <c r="AM987" s="22">
        <f t="shared" si="346"/>
        <v>0.44204582314956586</v>
      </c>
      <c r="AN987" s="22">
        <f t="shared" si="346"/>
        <v>0.44225440299651131</v>
      </c>
      <c r="AO987" s="22">
        <f t="shared" si="346"/>
        <v>0.44249647055711561</v>
      </c>
      <c r="AP987" s="22">
        <f t="shared" si="346"/>
        <v>0.44277085620848994</v>
      </c>
      <c r="AQ987" s="22">
        <f t="shared" si="346"/>
        <v>0.44307647013904683</v>
      </c>
      <c r="AR987" s="22">
        <f t="shared" si="346"/>
        <v>0.4434122955758712</v>
      </c>
      <c r="AS987" s="22">
        <f t="shared" si="346"/>
        <v>0.44346137123946583</v>
      </c>
      <c r="AT987" s="22">
        <f t="shared" si="346"/>
        <v>0.4435372301518688</v>
      </c>
      <c r="AU987" s="22">
        <f t="shared" si="346"/>
        <v>0.44363898457756984</v>
      </c>
      <c r="AV987" s="22">
        <f t="shared" si="346"/>
        <v>0.44376580086111833</v>
      </c>
      <c r="AW987" s="22">
        <f t="shared" si="346"/>
        <v>0.44391689527276407</v>
      </c>
      <c r="AY987" s="85"/>
      <c r="AZ987" s="85"/>
    </row>
    <row r="988" spans="1:52" x14ac:dyDescent="0.25">
      <c r="A988" s="102" t="str">
        <f t="shared" si="345"/>
        <v>DS U&amp;D</v>
      </c>
      <c r="B988" s="102" t="s">
        <v>975</v>
      </c>
      <c r="C988" s="102" t="s">
        <v>1337</v>
      </c>
      <c r="D988" t="s">
        <v>369</v>
      </c>
      <c r="E988" t="s">
        <v>55</v>
      </c>
      <c r="F988" t="s">
        <v>422</v>
      </c>
      <c r="G988" t="s">
        <v>1159</v>
      </c>
      <c r="H988" t="s">
        <v>1244</v>
      </c>
      <c r="I988" t="s">
        <v>139</v>
      </c>
      <c r="J988" t="s">
        <v>287</v>
      </c>
      <c r="K988" s="101">
        <f>IF('Net zero activities &amp; levers'!$C$12="Off",'Activity data'!AD69*UDCPPEF*NtoN2O*kgtoGg,'Net zero Activity data'!AD69*UDCPPEF*NtoN2O*kgtoGg)</f>
        <v>15.48880966403453</v>
      </c>
      <c r="L988" s="101">
        <f>IF('Net zero activities &amp; levers'!$C$12="Off",'Activity data'!AE69*UDCPPEF*NtoN2O*kgtoGg,'Net zero Activity data'!AE69*UDCPPEF*NtoN2O*kgtoGg)</f>
        <v>15.386143051197998</v>
      </c>
      <c r="M988" s="101">
        <f>IF('Net zero activities &amp; levers'!$C$12="Off",'Activity data'!AF69*UDCPPEF*NtoN2O*kgtoGg,'Net zero Activity data'!AF69*UDCPPEF*NtoN2O*kgtoGg)</f>
        <v>15.169677377989304</v>
      </c>
      <c r="N988" s="101">
        <f>IF('Net zero activities &amp; levers'!$C$12="Off",'Activity data'!AG69*UDCPPEF*NtoN2O*kgtoGg,'Net zero Activity data'!AG69*UDCPPEF*NtoN2O*kgtoGg)</f>
        <v>14.804794487947174</v>
      </c>
      <c r="O988" s="101">
        <f>IF('Net zero activities &amp; levers'!$C$12="Off",'Activity data'!AH69*UDCPPEF*NtoN2O*kgtoGg,'Net zero Activity data'!AH69*UDCPPEF*NtoN2O*kgtoGg)</f>
        <v>14.450776257626368</v>
      </c>
      <c r="P988" s="101">
        <f>IF('Net zero activities &amp; levers'!$C$12="Off",'Activity data'!AI69*UDCPPEF*NtoN2O*kgtoGg,'Net zero Activity data'!AI69*UDCPPEF*NtoN2O*kgtoGg)</f>
        <v>14.178486550067829</v>
      </c>
      <c r="Q988" s="101">
        <f>IF('Net zero activities &amp; levers'!$C$12="Off",'Activity data'!AJ69*UDCPPEF*NtoN2O*kgtoGg,'Net zero Activity data'!AJ69*UDCPPEF*NtoN2O*kgtoGg)</f>
        <v>13.932198413286633</v>
      </c>
      <c r="R988" s="101">
        <f>IF('Net zero activities &amp; levers'!$C$12="Off",'Activity data'!AK69*UDCPPEF*NtoN2O*kgtoGg,'Net zero Activity data'!AK69*UDCPPEF*NtoN2O*kgtoGg)</f>
        <v>13.544970185493053</v>
      </c>
      <c r="S988" s="101">
        <f>IF('Net zero activities &amp; levers'!$C$12="Off",'Activity data'!AL69*UDCPPEF*NtoN2O*kgtoGg,'Net zero Activity data'!AL69*UDCPPEF*NtoN2O*kgtoGg)</f>
        <v>11.879759863511568</v>
      </c>
      <c r="T988" s="101">
        <f>IF('Net zero activities &amp; levers'!$C$12="Off",'Activity data'!AM69*UDCPPEF*NtoN2O*kgtoGg,'Net zero Activity data'!AM69*UDCPPEF*NtoN2O*kgtoGg)</f>
        <v>11.992993022515481</v>
      </c>
      <c r="U988" s="101">
        <f>IF('Net zero activities &amp; levers'!$C$12="Off",'Activity data'!AN69*UDCPPEF*NtoN2O*kgtoGg,'Net zero Activity data'!AN69*UDCPPEF*NtoN2O*kgtoGg)</f>
        <v>12.069614819396085</v>
      </c>
      <c r="V988" s="101">
        <f>IF('Net zero activities &amp; levers'!$C$12="Off",'Activity data'!AO69*UDCPPEF*NtoN2O*kgtoGg,'Net zero Activity data'!AO69*UDCPPEF*NtoN2O*kgtoGg)</f>
        <v>12.143744438353496</v>
      </c>
      <c r="W988" s="101">
        <f>IF('Net zero activities &amp; levers'!$C$12="Off",'Activity data'!AP69*UDCPPEF*NtoN2O*kgtoGg,'Net zero Activity data'!AP69*UDCPPEF*NtoN2O*kgtoGg)</f>
        <v>12.266336998051067</v>
      </c>
      <c r="X988" s="101">
        <f>IF('Net zero activities &amp; levers'!$C$12="Off",'Activity data'!AQ69*UDCPPEF*NtoN2O*kgtoGg,'Net zero Activity data'!AQ69*UDCPPEF*NtoN2O*kgtoGg)</f>
        <v>12.384889207902271</v>
      </c>
      <c r="Y988" s="101">
        <f>IF('Net zero activities &amp; levers'!$C$12="Off",'Activity data'!AR69*UDCPPEF*NtoN2O*kgtoGg,'Net zero Activity data'!AR69*UDCPPEF*NtoN2O*kgtoGg)</f>
        <v>12.509351233051413</v>
      </c>
      <c r="Z988" s="101">
        <f>IF('Net zero activities &amp; levers'!$C$12="Off",'Activity data'!AS69*UDCPPEF*NtoN2O*kgtoGg,'Net zero Activity data'!AS69*UDCPPEF*NtoN2O*kgtoGg)</f>
        <v>12.61770643379279</v>
      </c>
      <c r="AA988" s="101">
        <f>IF('Net zero activities &amp; levers'!$C$12="Off",'Activity data'!AT69*UDCPPEF*NtoN2O*kgtoGg,'Net zero Activity data'!AT69*UDCPPEF*NtoN2O*kgtoGg)</f>
        <v>12.7410293454877</v>
      </c>
      <c r="AB988" s="101">
        <f>IF('Net zero activities &amp; levers'!$C$12="Off",'Activity data'!AU69*UDCPPEF*NtoN2O*kgtoGg,'Net zero Activity data'!AU69*UDCPPEF*NtoN2O*kgtoGg)</f>
        <v>12.837533702297911</v>
      </c>
      <c r="AC988" s="101">
        <f>IF('Net zero activities &amp; levers'!$C$12="Off",'Activity data'!AV69*UDCPPEF*NtoN2O*kgtoGg,'Net zero Activity data'!AV69*UDCPPEF*NtoN2O*kgtoGg)</f>
        <v>12.936685976559087</v>
      </c>
      <c r="AD988" s="101">
        <f>IF('Net zero activities &amp; levers'!$C$12="Off",'Activity data'!AW69*UDCPPEF*NtoN2O*kgtoGg,'Net zero Activity data'!AW69*UDCPPEF*NtoN2O*kgtoGg)</f>
        <v>12.98286747930208</v>
      </c>
      <c r="AE988" s="101">
        <f>IF('Net zero activities &amp; levers'!$C$12="Off",'Activity data'!AX69*UDCPPEF*NtoN2O*kgtoGg,'Net zero Activity data'!AX69*UDCPPEF*NtoN2O*kgtoGg)</f>
        <v>13.046191689203091</v>
      </c>
      <c r="AF988" s="101">
        <f>IF('Net zero activities &amp; levers'!$C$12="Off",'Activity data'!AY69*UDCPPEF*NtoN2O*kgtoGg,'Net zero Activity data'!AY69*UDCPPEF*NtoN2O*kgtoGg)</f>
        <v>13.10927150785349</v>
      </c>
      <c r="AG988" s="101">
        <f>IF('Net zero activities &amp; levers'!$C$12="Off",'Activity data'!AZ69*UDCPPEF*NtoN2O*kgtoGg,'Net zero Activity data'!AZ69*UDCPPEF*NtoN2O*kgtoGg)</f>
        <v>12.831250179467366</v>
      </c>
      <c r="AH988" s="101">
        <f>IF('Net zero activities &amp; levers'!$C$12="Off",'Activity data'!BA69*UDCPPEF*NtoN2O*kgtoGg,'Net zero Activity data'!BA69*UDCPPEF*NtoN2O*kgtoGg)</f>
        <v>-3.0267144396295609</v>
      </c>
      <c r="AI988" s="101">
        <f>IF('Net zero activities &amp; levers'!$C$12="Off",'Activity data'!BB69*UDCPPEF*NtoN2O*kgtoGg,'Net zero Activity data'!BB69*UDCPPEF*NtoN2O*kgtoGg)</f>
        <v>-2.956505191498271</v>
      </c>
      <c r="AJ988" s="101">
        <f>IF('Net zero activities &amp; levers'!$C$12="Off",'Activity data'!BC69*UDCPPEF*NtoN2O*kgtoGg,'Net zero Activity data'!BC69*UDCPPEF*NtoN2O*kgtoGg)</f>
        <v>-2.8874124907442584</v>
      </c>
      <c r="AK988" s="101">
        <f>IF('Net zero activities &amp; levers'!$C$12="Off",'Activity data'!BD69*UDCPPEF*NtoN2O*kgtoGg,'Net zero Activity data'!BD69*UDCPPEF*NtoN2O*kgtoGg)</f>
        <v>-2.8193778585944393</v>
      </c>
      <c r="AL988" s="101">
        <f>IF('Net zero activities &amp; levers'!$C$12="Off",'Activity data'!BE69*UDCPPEF*NtoN2O*kgtoGg,'Net zero Activity data'!BE69*UDCPPEF*NtoN2O*kgtoGg)</f>
        <v>-2.7523468592631737</v>
      </c>
      <c r="AM988" s="101">
        <f>IF('Net zero activities &amp; levers'!$C$12="Off",'Activity data'!BF69*UDCPPEF*NtoN2O*kgtoGg,'Net zero Activity data'!BF69*UDCPPEF*NtoN2O*kgtoGg)</f>
        <v>-2.6862687253121265</v>
      </c>
      <c r="AN988" s="101">
        <f>IF('Net zero activities &amp; levers'!$C$12="Off",'Activity data'!BG69*UDCPPEF*NtoN2O*kgtoGg,'Net zero Activity data'!BG69*UDCPPEF*NtoN2O*kgtoGg)</f>
        <v>-2.6326943062213264</v>
      </c>
      <c r="AO988" s="101">
        <f>IF('Net zero activities &amp; levers'!$C$12="Off",'Activity data'!BH69*UDCPPEF*NtoN2O*kgtoGg,'Net zero Activity data'!BH69*UDCPPEF*NtoN2O*kgtoGg)</f>
        <v>-2.5799290640232249</v>
      </c>
      <c r="AP988" s="101">
        <f>IF('Net zero activities &amp; levers'!$C$12="Off",'Activity data'!BI69*UDCPPEF*NtoN2O*kgtoGg,'Net zero Activity data'!BI69*UDCPPEF*NtoN2O*kgtoGg)</f>
        <v>-2.5279363308324876</v>
      </c>
      <c r="AQ988" s="101">
        <f>IF('Net zero activities &amp; levers'!$C$12="Off",'Activity data'!BJ69*UDCPPEF*NtoN2O*kgtoGg,'Net zero Activity data'!BJ69*UDCPPEF*NtoN2O*kgtoGg)</f>
        <v>-2.4766817193169062</v>
      </c>
      <c r="AR988" s="101">
        <f>IF('Net zero activities &amp; levers'!$C$12="Off",'Activity data'!BK69*UDCPPEF*NtoN2O*kgtoGg,'Net zero Activity data'!BK69*UDCPPEF*NtoN2O*kgtoGg)</f>
        <v>-2.4261329336018767</v>
      </c>
      <c r="AS988" s="101">
        <f>IF('Net zero activities &amp; levers'!$C$12="Off",'Activity data'!BL69*UDCPPEF*NtoN2O*kgtoGg,'Net zero Activity data'!BL69*UDCPPEF*NtoN2O*kgtoGg)</f>
        <v>-2.3746446145368036</v>
      </c>
      <c r="AT988" s="101">
        <f>IF('Net zero activities &amp; levers'!$C$12="Off",'Activity data'!BM69*UDCPPEF*NtoN2O*kgtoGg,'Net zero Activity data'!BM69*UDCPPEF*NtoN2O*kgtoGg)</f>
        <v>-2.3238643255218379</v>
      </c>
      <c r="AU988" s="101">
        <f>IF('Net zero activities &amp; levers'!$C$12="Off",'Activity data'!BN69*UDCPPEF*NtoN2O*kgtoGg,'Net zero Activity data'!BN69*UDCPPEF*NtoN2O*kgtoGg)</f>
        <v>-2.2737642137550615</v>
      </c>
      <c r="AV988" s="101">
        <f>IF('Net zero activities &amp; levers'!$C$12="Off",'Activity data'!BO69*UDCPPEF*NtoN2O*kgtoGg,'Net zero Activity data'!BO69*UDCPPEF*NtoN2O*kgtoGg)</f>
        <v>-2.2243179912934989</v>
      </c>
      <c r="AW988" s="101">
        <f>IF('Net zero activities &amp; levers'!$C$12="Off",'Activity data'!BP69*UDCPPEF*NtoN2O*kgtoGg,'Net zero Activity data'!BP69*UDCPPEF*NtoN2O*kgtoGg)</f>
        <v>-2.1755008181156215</v>
      </c>
      <c r="AY988" s="85"/>
      <c r="AZ988" s="85"/>
    </row>
    <row r="989" spans="1:52" x14ac:dyDescent="0.25">
      <c r="A989" s="102" t="str">
        <f t="shared" si="345"/>
        <v>DS U&amp;D</v>
      </c>
      <c r="B989" s="102" t="s">
        <v>975</v>
      </c>
      <c r="C989" s="102" t="s">
        <v>1337</v>
      </c>
      <c r="D989" t="s">
        <v>369</v>
      </c>
      <c r="E989" t="s">
        <v>55</v>
      </c>
      <c r="F989" t="s">
        <v>422</v>
      </c>
      <c r="G989" t="s">
        <v>1161</v>
      </c>
      <c r="H989" t="s">
        <v>1245</v>
      </c>
      <c r="I989" t="s">
        <v>139</v>
      </c>
      <c r="J989" t="s">
        <v>287</v>
      </c>
      <c r="K989" s="101">
        <f>IF('Net zero activities &amp; levers'!$C$12="Off",'Activity data'!AD70*UDCPPEF*NtoN2O*kgtoGg,'Net zero Activity data'!AD70*UDCPPEF*NtoN2O*kgtoGg)</f>
        <v>9.7393760290961886</v>
      </c>
      <c r="L989" s="101">
        <f>IF('Net zero activities &amp; levers'!$C$12="Off",'Activity data'!AE70*UDCPPEF*NtoN2O*kgtoGg,'Net zero Activity data'!AE70*UDCPPEF*NtoN2O*kgtoGg)</f>
        <v>9.6748191800072334</v>
      </c>
      <c r="M989" s="101">
        <f>IF('Net zero activities &amp; levers'!$C$12="Off",'Activity data'!AF70*UDCPPEF*NtoN2O*kgtoGg,'Net zero Activity data'!AF70*UDCPPEF*NtoN2O*kgtoGg)</f>
        <v>9.538705389825779</v>
      </c>
      <c r="N989" s="101">
        <f>IF('Net zero activities &amp; levers'!$C$12="Off",'Activity data'!AG70*UDCPPEF*NtoN2O*kgtoGg,'Net zero Activity data'!AG70*UDCPPEF*NtoN2O*kgtoGg)</f>
        <v>9.3092667338033213</v>
      </c>
      <c r="O989" s="101">
        <f>IF('Net zero activities &amp; levers'!$C$12="Off",'Activity data'!AH70*UDCPPEF*NtoN2O*kgtoGg,'Net zero Activity data'!AH70*UDCPPEF*NtoN2O*kgtoGg)</f>
        <v>9.086659784590454</v>
      </c>
      <c r="P989" s="101">
        <f>IF('Net zero activities &amp; levers'!$C$12="Off",'Activity data'!AI70*UDCPPEF*NtoN2O*kgtoGg,'Net zero Activity data'!AI70*UDCPPEF*NtoN2O*kgtoGg)</f>
        <v>8.9154437965133955</v>
      </c>
      <c r="Q989" s="101">
        <f>IF('Net zero activities &amp; levers'!$C$12="Off",'Activity data'!AJ70*UDCPPEF*NtoN2O*kgtoGg,'Net zero Activity data'!AJ70*UDCPPEF*NtoN2O*kgtoGg)</f>
        <v>8.7605776171460139</v>
      </c>
      <c r="R989" s="101">
        <f>IF('Net zero activities &amp; levers'!$C$12="Off",'Activity data'!AK70*UDCPPEF*NtoN2O*kgtoGg,'Net zero Activity data'!AK70*UDCPPEF*NtoN2O*kgtoGg)</f>
        <v>8.5170881946941783</v>
      </c>
      <c r="S989" s="101">
        <f>IF('Net zero activities &amp; levers'!$C$12="Off",'Activity data'!AL70*UDCPPEF*NtoN2O*kgtoGg,'Net zero Activity data'!AL70*UDCPPEF*NtoN2O*kgtoGg)</f>
        <v>7.4700025990225534</v>
      </c>
      <c r="T989" s="101">
        <f>IF('Net zero activities &amp; levers'!$C$12="Off",'Activity data'!AM70*UDCPPEF*NtoN2O*kgtoGg,'Net zero Activity data'!AM70*UDCPPEF*NtoN2O*kgtoGg)</f>
        <v>7.5412037008775474</v>
      </c>
      <c r="U989" s="101">
        <f>IF('Net zero activities &amp; levers'!$C$12="Off",'Activity data'!AN70*UDCPPEF*NtoN2O*kgtoGg,'Net zero Activity data'!AN70*UDCPPEF*NtoN2O*kgtoGg)</f>
        <v>7.5893835486535881</v>
      </c>
      <c r="V989" s="101">
        <f>IF('Net zero activities &amp; levers'!$C$12="Off",'Activity data'!AO70*UDCPPEF*NtoN2O*kgtoGg,'Net zero Activity data'!AO70*UDCPPEF*NtoN2O*kgtoGg)</f>
        <v>7.6359963129382633</v>
      </c>
      <c r="W989" s="101">
        <f>IF('Net zero activities &amp; levers'!$C$12="Off",'Activity data'!AP70*UDCPPEF*NtoN2O*kgtoGg,'Net zero Activity data'!AP70*UDCPPEF*NtoN2O*kgtoGg)</f>
        <v>7.7130826135102524</v>
      </c>
      <c r="X989" s="101">
        <f>IF('Net zero activities &amp; levers'!$C$12="Off",'Activity data'!AQ70*UDCPPEF*NtoN2O*kgtoGg,'Net zero Activity data'!AQ70*UDCPPEF*NtoN2O*kgtoGg)</f>
        <v>7.7876283388349208</v>
      </c>
      <c r="Y989" s="101">
        <f>IF('Net zero activities &amp; levers'!$C$12="Off",'Activity data'!AR70*UDCPPEF*NtoN2O*kgtoGg,'Net zero Activity data'!AR70*UDCPPEF*NtoN2O*kgtoGg)</f>
        <v>7.8658901607930707</v>
      </c>
      <c r="Z989" s="101">
        <f>IF('Net zero activities &amp; levers'!$C$12="Off",'Activity data'!AS70*UDCPPEF*NtoN2O*kgtoGg,'Net zero Activity data'!AS70*UDCPPEF*NtoN2O*kgtoGg)</f>
        <v>7.9340239985520107</v>
      </c>
      <c r="AA989" s="101">
        <f>IF('Net zero activities &amp; levers'!$C$12="Off",'Activity data'!AT70*UDCPPEF*NtoN2O*kgtoGg,'Net zero Activity data'!AT70*UDCPPEF*NtoN2O*kgtoGg)</f>
        <v>8.0115695450499249</v>
      </c>
      <c r="AB989" s="101">
        <f>IF('Net zero activities &amp; levers'!$C$12="Off",'Activity data'!AU70*UDCPPEF*NtoN2O*kgtoGg,'Net zero Activity data'!AU70*UDCPPEF*NtoN2O*kgtoGg)</f>
        <v>8.072251562571461</v>
      </c>
      <c r="AC989" s="101">
        <f>IF('Net zero activities &amp; levers'!$C$12="Off",'Activity data'!AV70*UDCPPEF*NtoN2O*kgtoGg,'Net zero Activity data'!AV70*UDCPPEF*NtoN2O*kgtoGg)</f>
        <v>8.1345985927252418</v>
      </c>
      <c r="AD989" s="101">
        <f>IF('Net zero activities &amp; levers'!$C$12="Off",'Activity data'!AW70*UDCPPEF*NtoN2O*kgtoGg,'Net zero Activity data'!AW70*UDCPPEF*NtoN2O*kgtoGg)</f>
        <v>8.1636375589569159</v>
      </c>
      <c r="AE989" s="101">
        <f>IF('Net zero activities &amp; levers'!$C$12="Off",'Activity data'!AX70*UDCPPEF*NtoN2O*kgtoGg,'Net zero Activity data'!AX70*UDCPPEF*NtoN2O*kgtoGg)</f>
        <v>8.2034558732979743</v>
      </c>
      <c r="AF989" s="101">
        <f>IF('Net zero activities &amp; levers'!$C$12="Off",'Activity data'!AY70*UDCPPEF*NtoN2O*kgtoGg,'Net zero Activity data'!AY70*UDCPPEF*NtoN2O*kgtoGg)</f>
        <v>8.2431205142232233</v>
      </c>
      <c r="AG989" s="101">
        <f>IF('Net zero activities &amp; levers'!$C$12="Off",'Activity data'!AZ70*UDCPPEF*NtoN2O*kgtoGg,'Net zero Activity data'!AZ70*UDCPPEF*NtoN2O*kgtoGg)</f>
        <v>8.0683004783395891</v>
      </c>
      <c r="AH989" s="101">
        <f>IF('Net zero activities &amp; levers'!$C$12="Off",'Activity data'!BA70*UDCPPEF*NtoN2O*kgtoGg,'Net zero Activity data'!BA70*UDCPPEF*NtoN2O*kgtoGg)</f>
        <v>-1.9032004847149069</v>
      </c>
      <c r="AI989" s="101">
        <f>IF('Net zero activities &amp; levers'!$C$12="Off",'Activity data'!BB70*UDCPPEF*NtoN2O*kgtoGg,'Net zero Activity data'!BB70*UDCPPEF*NtoN2O*kgtoGg)</f>
        <v>-1.8590528527726964</v>
      </c>
      <c r="AJ989" s="101">
        <f>IF('Net zero activities &amp; levers'!$C$12="Off",'Activity data'!BC70*UDCPPEF*NtoN2O*kgtoGg,'Net zero Activity data'!BC70*UDCPPEF*NtoN2O*kgtoGg)</f>
        <v>-1.8156073067233001</v>
      </c>
      <c r="AK989" s="101">
        <f>IF('Net zero activities &amp; levers'!$C$12="Off",'Activity data'!BD70*UDCPPEF*NtoN2O*kgtoGg,'Net zero Activity data'!BD70*UDCPPEF*NtoN2O*kgtoGg)</f>
        <v>-1.7728270750669619</v>
      </c>
      <c r="AL989" s="101">
        <f>IF('Net zero activities &amp; levers'!$C$12="Off",'Activity data'!BE70*UDCPPEF*NtoN2O*kgtoGg,'Net zero Activity data'!BE70*UDCPPEF*NtoN2O*kgtoGg)</f>
        <v>-1.7306779285376968</v>
      </c>
      <c r="AM989" s="101">
        <f>IF('Net zero activities &amp; levers'!$C$12="Off",'Activity data'!BF70*UDCPPEF*NtoN2O*kgtoGg,'Net zero Activity data'!BF70*UDCPPEF*NtoN2O*kgtoGg)</f>
        <v>-1.689127944529268</v>
      </c>
      <c r="AN989" s="101">
        <f>IF('Net zero activities &amp; levers'!$C$12="Off",'Activity data'!BG70*UDCPPEF*NtoN2O*kgtoGg,'Net zero Activity data'!BG70*UDCPPEF*NtoN2O*kgtoGg)</f>
        <v>-1.6554403065258587</v>
      </c>
      <c r="AO989" s="101">
        <f>IF('Net zero activities &amp; levers'!$C$12="Off",'Activity data'!BH70*UDCPPEF*NtoN2O*kgtoGg,'Net zero Activity data'!BH70*UDCPPEF*NtoN2O*kgtoGg)</f>
        <v>-1.6222614796062582</v>
      </c>
      <c r="AP989" s="101">
        <f>IF('Net zero activities &amp; levers'!$C$12="Off",'Activity data'!BI70*UDCPPEF*NtoN2O*kgtoGg,'Net zero Activity data'!BI70*UDCPPEF*NtoN2O*kgtoGg)</f>
        <v>-1.589568406974545</v>
      </c>
      <c r="AQ989" s="101">
        <f>IF('Net zero activities &amp; levers'!$C$12="Off",'Activity data'!BJ70*UDCPPEF*NtoN2O*kgtoGg,'Net zero Activity data'!BJ70*UDCPPEF*NtoN2O*kgtoGg)</f>
        <v>-1.5573394658484478</v>
      </c>
      <c r="AR989" s="101">
        <f>IF('Net zero activities &amp; levers'!$C$12="Off",'Activity data'!BK70*UDCPPEF*NtoN2O*kgtoGg,'Net zero Activity data'!BK70*UDCPPEF*NtoN2O*kgtoGg)</f>
        <v>-1.5255543485559264</v>
      </c>
      <c r="AS989" s="101">
        <f>IF('Net zero activities &amp; levers'!$C$12="Off",'Activity data'!BL70*UDCPPEF*NtoN2O*kgtoGg,'Net zero Activity data'!BL70*UDCPPEF*NtoN2O*kgtoGg)</f>
        <v>-1.4931784519339129</v>
      </c>
      <c r="AT989" s="101">
        <f>IF('Net zero activities &amp; levers'!$C$12="Off",'Activity data'!BM70*UDCPPEF*NtoN2O*kgtoGg,'Net zero Activity data'!BM70*UDCPPEF*NtoN2O*kgtoGg)</f>
        <v>-1.4612477651793758</v>
      </c>
      <c r="AU989" s="101">
        <f>IF('Net zero activities &amp; levers'!$C$12="Off",'Activity data'!BN70*UDCPPEF*NtoN2O*kgtoGg,'Net zero Activity data'!BN70*UDCPPEF*NtoN2O*kgtoGg)</f>
        <v>-1.429744774427969</v>
      </c>
      <c r="AV989" s="101">
        <f>IF('Net zero activities &amp; levers'!$C$12="Off",'Activity data'!BO70*UDCPPEF*NtoN2O*kgtoGg,'Net zero Activity data'!BO70*UDCPPEF*NtoN2O*kgtoGg)</f>
        <v>-1.3986529497999127</v>
      </c>
      <c r="AW989" s="101">
        <f>IF('Net zero activities &amp; levers'!$C$12="Off",'Activity data'!BP70*UDCPPEF*NtoN2O*kgtoGg,'Net zero Activity data'!BP70*UDCPPEF*NtoN2O*kgtoGg)</f>
        <v>-1.3679566718696037</v>
      </c>
      <c r="AY989" s="85"/>
      <c r="AZ989" s="85"/>
    </row>
    <row r="990" spans="1:52" x14ac:dyDescent="0.25">
      <c r="A990" s="102" t="str">
        <f t="shared" si="345"/>
        <v>DS U&amp;D</v>
      </c>
      <c r="B990" s="102" t="s">
        <v>975</v>
      </c>
      <c r="C990" s="102" t="s">
        <v>1337</v>
      </c>
      <c r="D990" t="s">
        <v>369</v>
      </c>
      <c r="E990" t="s">
        <v>55</v>
      </c>
      <c r="F990" t="s">
        <v>422</v>
      </c>
      <c r="G990" t="s">
        <v>1163</v>
      </c>
      <c r="H990" t="s">
        <v>1246</v>
      </c>
      <c r="I990" t="s">
        <v>139</v>
      </c>
      <c r="J990" t="s">
        <v>287</v>
      </c>
      <c r="K990" s="101">
        <f>IF('Net zero activities &amp; levers'!$C$12="Off",'Activity data'!AD71*UDCPPEF*NtoN2O*kgtoGg,'Net zero Activity data'!AD71*UDCPPEF*NtoN2O*kgtoGg)</f>
        <v>0</v>
      </c>
      <c r="L990" s="101">
        <f>IF('Net zero activities &amp; levers'!$C$12="Off",'Activity data'!AE71*UDCPPEF*NtoN2O*kgtoGg,'Net zero Activity data'!AE71*UDCPPEF*NtoN2O*kgtoGg)</f>
        <v>0</v>
      </c>
      <c r="M990" s="101">
        <f>IF('Net zero activities &amp; levers'!$C$12="Off",'Activity data'!AF71*UDCPPEF*NtoN2O*kgtoGg,'Net zero Activity data'!AF71*UDCPPEF*NtoN2O*kgtoGg)</f>
        <v>0</v>
      </c>
      <c r="N990" s="101">
        <f>IF('Net zero activities &amp; levers'!$C$12="Off",'Activity data'!AG71*UDCPPEF*NtoN2O*kgtoGg,'Net zero Activity data'!AG71*UDCPPEF*NtoN2O*kgtoGg)</f>
        <v>0</v>
      </c>
      <c r="O990" s="101">
        <f>IF('Net zero activities &amp; levers'!$C$12="Off",'Activity data'!AH71*UDCPPEF*NtoN2O*kgtoGg,'Net zero Activity data'!AH71*UDCPPEF*NtoN2O*kgtoGg)</f>
        <v>0</v>
      </c>
      <c r="P990" s="101">
        <f>IF('Net zero activities &amp; levers'!$C$12="Off",'Activity data'!AI71*UDCPPEF*NtoN2O*kgtoGg,'Net zero Activity data'!AI71*UDCPPEF*NtoN2O*kgtoGg)</f>
        <v>0</v>
      </c>
      <c r="Q990" s="101">
        <f>IF('Net zero activities &amp; levers'!$C$12="Off",'Activity data'!AJ71*UDCPPEF*NtoN2O*kgtoGg,'Net zero Activity data'!AJ71*UDCPPEF*NtoN2O*kgtoGg)</f>
        <v>0</v>
      </c>
      <c r="R990" s="101">
        <f>IF('Net zero activities &amp; levers'!$C$12="Off",'Activity data'!AK71*UDCPPEF*NtoN2O*kgtoGg,'Net zero Activity data'!AK71*UDCPPEF*NtoN2O*kgtoGg)</f>
        <v>0</v>
      </c>
      <c r="S990" s="101">
        <f>IF('Net zero activities &amp; levers'!$C$12="Off",'Activity data'!AL71*UDCPPEF*NtoN2O*kgtoGg,'Net zero Activity data'!AL71*UDCPPEF*NtoN2O*kgtoGg)</f>
        <v>0</v>
      </c>
      <c r="T990" s="101">
        <f>IF('Net zero activities &amp; levers'!$C$12="Off",'Activity data'!AM71*UDCPPEF*NtoN2O*kgtoGg,'Net zero Activity data'!AM71*UDCPPEF*NtoN2O*kgtoGg)</f>
        <v>0</v>
      </c>
      <c r="U990" s="101">
        <f>IF('Net zero activities &amp; levers'!$C$12="Off",'Activity data'!AN71*UDCPPEF*NtoN2O*kgtoGg,'Net zero Activity data'!AN71*UDCPPEF*NtoN2O*kgtoGg)</f>
        <v>0</v>
      </c>
      <c r="V990" s="101">
        <f>IF('Net zero activities &amp; levers'!$C$12="Off",'Activity data'!AO71*UDCPPEF*NtoN2O*kgtoGg,'Net zero Activity data'!AO71*UDCPPEF*NtoN2O*kgtoGg)</f>
        <v>0</v>
      </c>
      <c r="W990" s="101">
        <f>IF('Net zero activities &amp; levers'!$C$12="Off",'Activity data'!AP71*UDCPPEF*NtoN2O*kgtoGg,'Net zero Activity data'!AP71*UDCPPEF*NtoN2O*kgtoGg)</f>
        <v>0</v>
      </c>
      <c r="X990" s="101">
        <f>IF('Net zero activities &amp; levers'!$C$12="Off",'Activity data'!AQ71*UDCPPEF*NtoN2O*kgtoGg,'Net zero Activity data'!AQ71*UDCPPEF*NtoN2O*kgtoGg)</f>
        <v>0</v>
      </c>
      <c r="Y990" s="101">
        <f>IF('Net zero activities &amp; levers'!$C$12="Off",'Activity data'!AR71*UDCPPEF*NtoN2O*kgtoGg,'Net zero Activity data'!AR71*UDCPPEF*NtoN2O*kgtoGg)</f>
        <v>0</v>
      </c>
      <c r="Z990" s="101">
        <f>IF('Net zero activities &amp; levers'!$C$12="Off",'Activity data'!AS71*UDCPPEF*NtoN2O*kgtoGg,'Net zero Activity data'!AS71*UDCPPEF*NtoN2O*kgtoGg)</f>
        <v>0</v>
      </c>
      <c r="AA990" s="101">
        <f>IF('Net zero activities &amp; levers'!$C$12="Off",'Activity data'!AT71*UDCPPEF*NtoN2O*kgtoGg,'Net zero Activity data'!AT71*UDCPPEF*NtoN2O*kgtoGg)</f>
        <v>0</v>
      </c>
      <c r="AB990" s="101">
        <f>IF('Net zero activities &amp; levers'!$C$12="Off",'Activity data'!AU71*UDCPPEF*NtoN2O*kgtoGg,'Net zero Activity data'!AU71*UDCPPEF*NtoN2O*kgtoGg)</f>
        <v>0</v>
      </c>
      <c r="AC990" s="101">
        <f>IF('Net zero activities &amp; levers'!$C$12="Off",'Activity data'!AV71*UDCPPEF*NtoN2O*kgtoGg,'Net zero Activity data'!AV71*UDCPPEF*NtoN2O*kgtoGg)</f>
        <v>0</v>
      </c>
      <c r="AD990" s="101">
        <f>IF('Net zero activities &amp; levers'!$C$12="Off",'Activity data'!AW71*UDCPPEF*NtoN2O*kgtoGg,'Net zero Activity data'!AW71*UDCPPEF*NtoN2O*kgtoGg)</f>
        <v>0</v>
      </c>
      <c r="AE990" s="101">
        <f>IF('Net zero activities &amp; levers'!$C$12="Off",'Activity data'!AX71*UDCPPEF*NtoN2O*kgtoGg,'Net zero Activity data'!AX71*UDCPPEF*NtoN2O*kgtoGg)</f>
        <v>0</v>
      </c>
      <c r="AF990" s="101">
        <f>IF('Net zero activities &amp; levers'!$C$12="Off",'Activity data'!AY71*UDCPPEF*NtoN2O*kgtoGg,'Net zero Activity data'!AY71*UDCPPEF*NtoN2O*kgtoGg)</f>
        <v>0</v>
      </c>
      <c r="AG990" s="101">
        <f>IF('Net zero activities &amp; levers'!$C$12="Off",'Activity data'!AZ71*UDCPPEF*NtoN2O*kgtoGg,'Net zero Activity data'!AZ71*UDCPPEF*NtoN2O*kgtoGg)</f>
        <v>0</v>
      </c>
      <c r="AH990" s="101">
        <f>IF('Net zero activities &amp; levers'!$C$12="Off",'Activity data'!BA71*UDCPPEF*NtoN2O*kgtoGg,'Net zero Activity data'!BA71*UDCPPEF*NtoN2O*kgtoGg)</f>
        <v>0</v>
      </c>
      <c r="AI990" s="101">
        <f>IF('Net zero activities &amp; levers'!$C$12="Off",'Activity data'!BB71*UDCPPEF*NtoN2O*kgtoGg,'Net zero Activity data'!BB71*UDCPPEF*NtoN2O*kgtoGg)</f>
        <v>0</v>
      </c>
      <c r="AJ990" s="101">
        <f>IF('Net zero activities &amp; levers'!$C$12="Off",'Activity data'!BC71*UDCPPEF*NtoN2O*kgtoGg,'Net zero Activity data'!BC71*UDCPPEF*NtoN2O*kgtoGg)</f>
        <v>0</v>
      </c>
      <c r="AK990" s="101">
        <f>IF('Net zero activities &amp; levers'!$C$12="Off",'Activity data'!BD71*UDCPPEF*NtoN2O*kgtoGg,'Net zero Activity data'!BD71*UDCPPEF*NtoN2O*kgtoGg)</f>
        <v>0</v>
      </c>
      <c r="AL990" s="101">
        <f>IF('Net zero activities &amp; levers'!$C$12="Off",'Activity data'!BE71*UDCPPEF*NtoN2O*kgtoGg,'Net zero Activity data'!BE71*UDCPPEF*NtoN2O*kgtoGg)</f>
        <v>0</v>
      </c>
      <c r="AM990" s="101">
        <f>IF('Net zero activities &amp; levers'!$C$12="Off",'Activity data'!BF71*UDCPPEF*NtoN2O*kgtoGg,'Net zero Activity data'!BF71*UDCPPEF*NtoN2O*kgtoGg)</f>
        <v>0</v>
      </c>
      <c r="AN990" s="101">
        <f>IF('Net zero activities &amp; levers'!$C$12="Off",'Activity data'!BG71*UDCPPEF*NtoN2O*kgtoGg,'Net zero Activity data'!BG71*UDCPPEF*NtoN2O*kgtoGg)</f>
        <v>0</v>
      </c>
      <c r="AO990" s="101">
        <f>IF('Net zero activities &amp; levers'!$C$12="Off",'Activity data'!BH71*UDCPPEF*NtoN2O*kgtoGg,'Net zero Activity data'!BH71*UDCPPEF*NtoN2O*kgtoGg)</f>
        <v>0</v>
      </c>
      <c r="AP990" s="101">
        <f>IF('Net zero activities &amp; levers'!$C$12="Off",'Activity data'!BI71*UDCPPEF*NtoN2O*kgtoGg,'Net zero Activity data'!BI71*UDCPPEF*NtoN2O*kgtoGg)</f>
        <v>0</v>
      </c>
      <c r="AQ990" s="101">
        <f>IF('Net zero activities &amp; levers'!$C$12="Off",'Activity data'!BJ71*UDCPPEF*NtoN2O*kgtoGg,'Net zero Activity data'!BJ71*UDCPPEF*NtoN2O*kgtoGg)</f>
        <v>0</v>
      </c>
      <c r="AR990" s="101">
        <f>IF('Net zero activities &amp; levers'!$C$12="Off",'Activity data'!BK71*UDCPPEF*NtoN2O*kgtoGg,'Net zero Activity data'!BK71*UDCPPEF*NtoN2O*kgtoGg)</f>
        <v>0</v>
      </c>
      <c r="AS990" s="101">
        <f>IF('Net zero activities &amp; levers'!$C$12="Off",'Activity data'!BL71*UDCPPEF*NtoN2O*kgtoGg,'Net zero Activity data'!BL71*UDCPPEF*NtoN2O*kgtoGg)</f>
        <v>0</v>
      </c>
      <c r="AT990" s="101">
        <f>IF('Net zero activities &amp; levers'!$C$12="Off",'Activity data'!BM71*UDCPPEF*NtoN2O*kgtoGg,'Net zero Activity data'!BM71*UDCPPEF*NtoN2O*kgtoGg)</f>
        <v>0</v>
      </c>
      <c r="AU990" s="101">
        <f>IF('Net zero activities &amp; levers'!$C$12="Off",'Activity data'!BN71*UDCPPEF*NtoN2O*kgtoGg,'Net zero Activity data'!BN71*UDCPPEF*NtoN2O*kgtoGg)</f>
        <v>0</v>
      </c>
      <c r="AV990" s="101">
        <f>IF('Net zero activities &amp; levers'!$C$12="Off",'Activity data'!BO71*UDCPPEF*NtoN2O*kgtoGg,'Net zero Activity data'!BO71*UDCPPEF*NtoN2O*kgtoGg)</f>
        <v>0</v>
      </c>
      <c r="AW990" s="101">
        <f>IF('Net zero activities &amp; levers'!$C$12="Off",'Activity data'!BP71*UDCPPEF*NtoN2O*kgtoGg,'Net zero Activity data'!BP71*UDCPPEF*NtoN2O*kgtoGg)</f>
        <v>0</v>
      </c>
      <c r="AY990" s="85"/>
      <c r="AZ990" s="85"/>
    </row>
    <row r="991" spans="1:52" x14ac:dyDescent="0.25">
      <c r="A991" s="102" t="str">
        <f t="shared" si="345"/>
        <v>DS U&amp;D</v>
      </c>
      <c r="B991" s="102" t="s">
        <v>975</v>
      </c>
      <c r="C991" s="102" t="s">
        <v>1337</v>
      </c>
      <c r="D991" t="s">
        <v>369</v>
      </c>
      <c r="E991" t="s">
        <v>55</v>
      </c>
      <c r="F991" t="s">
        <v>422</v>
      </c>
      <c r="G991" t="s">
        <v>1165</v>
      </c>
      <c r="H991" t="s">
        <v>1247</v>
      </c>
      <c r="I991" t="s">
        <v>139</v>
      </c>
      <c r="J991" t="s">
        <v>287</v>
      </c>
      <c r="K991" s="101">
        <f>IF('Net zero activities &amp; levers'!$C$12="Off",'Activity data'!AD72*UDSOEF*NtoN2O*kgtoGg,IF('Net zero activities &amp; levers'!$C$12="PB",'Activity data'!AD72*UDSOEF*NtoN2O*kgtoGg,IF('Net zero activities &amp; levers'!$C$12="MS",'Net zero Activity data'!AD72*UDSOEF*NtoN2O*kgtoGg,"ERROR")))</f>
        <v>5.8007004881973501</v>
      </c>
      <c r="L991" s="101">
        <f>IF('Net zero activities &amp; levers'!$C$12="Off",'Activity data'!AE72*UDSOEF*NtoN2O*kgtoGg,IF('Net zero activities &amp; levers'!$C$12="PB",'Activity data'!AE72*UDSOEF*NtoN2O*kgtoGg,IF('Net zero activities &amp; levers'!$C$12="MS",'Net zero Activity data'!AE72*UDSOEF*NtoN2O*kgtoGg,"ERROR")))</f>
        <v>5.8038682011318086</v>
      </c>
      <c r="M991" s="101">
        <f>IF('Net zero activities &amp; levers'!$C$12="Off",'Activity data'!AF72*UDSOEF*NtoN2O*kgtoGg,IF('Net zero activities &amp; levers'!$C$12="PB",'Activity data'!AF72*UDSOEF*NtoN2O*kgtoGg,IF('Net zero activities &amp; levers'!$C$12="MS",'Net zero Activity data'!AF72*UDSOEF*NtoN2O*kgtoGg,"ERROR")))</f>
        <v>5.8109613188893956</v>
      </c>
      <c r="N991" s="101">
        <f>IF('Net zero activities &amp; levers'!$C$12="Off",'Activity data'!AG72*UDSOEF*NtoN2O*kgtoGg,IF('Net zero activities &amp; levers'!$C$12="PB",'Activity data'!AG72*UDSOEF*NtoN2O*kgtoGg,IF('Net zero activities &amp; levers'!$C$12="MS",'Net zero Activity data'!AG72*UDSOEF*NtoN2O*kgtoGg,"ERROR")))</f>
        <v>5.8216379502269948</v>
      </c>
      <c r="O991" s="101">
        <f>IF('Net zero activities &amp; levers'!$C$12="Off",'Activity data'!AH72*UDSOEF*NtoN2O*kgtoGg,IF('Net zero activities &amp; levers'!$C$12="PB",'Activity data'!AH72*UDSOEF*NtoN2O*kgtoGg,IF('Net zero activities &amp; levers'!$C$12="MS",'Net zero Activity data'!AH72*UDSOEF*NtoN2O*kgtoGg,"ERROR")))</f>
        <v>5.8360409400543007</v>
      </c>
      <c r="P991" s="101">
        <f>IF('Net zero activities &amp; levers'!$C$12="Off",'Activity data'!AI72*UDSOEF*NtoN2O*kgtoGg,IF('Net zero activities &amp; levers'!$C$12="PB",'Activity data'!AI72*UDSOEF*NtoN2O*kgtoGg,IF('Net zero activities &amp; levers'!$C$12="MS",'Net zero Activity data'!AI72*UDSOEF*NtoN2O*kgtoGg,"ERROR")))</f>
        <v>5.8541855713392259</v>
      </c>
      <c r="Q991" s="101">
        <f>IF('Net zero activities &amp; levers'!$C$12="Off",'Activity data'!AJ72*UDSOEF*NtoN2O*kgtoGg,IF('Net zero activities &amp; levers'!$C$12="PB",'Activity data'!AJ72*UDSOEF*NtoN2O*kgtoGg,IF('Net zero activities &amp; levers'!$C$12="MS",'Net zero Activity data'!AJ72*UDSOEF*NtoN2O*kgtoGg,"ERROR")))</f>
        <v>5.8743979550370415</v>
      </c>
      <c r="R991" s="101">
        <f>IF('Net zero activities &amp; levers'!$C$12="Off",'Activity data'!AK72*UDSOEF*NtoN2O*kgtoGg,IF('Net zero activities &amp; levers'!$C$12="PB",'Activity data'!AK72*UDSOEF*NtoN2O*kgtoGg,IF('Net zero activities &amp; levers'!$C$12="MS",'Net zero Activity data'!AK72*UDSOEF*NtoN2O*kgtoGg,"ERROR")))</f>
        <v>5.8963035789612563</v>
      </c>
      <c r="S991" s="101">
        <f>IF('Net zero activities &amp; levers'!$C$12="Off",'Activity data'!AL72*UDSOEF*NtoN2O*kgtoGg,IF('Net zero activities &amp; levers'!$C$12="PB",'Activity data'!AL72*UDSOEF*NtoN2O*kgtoGg,IF('Net zero activities &amp; levers'!$C$12="MS",'Net zero Activity data'!AL72*UDSOEF*NtoN2O*kgtoGg,"ERROR")))</f>
        <v>5.9168885563672573</v>
      </c>
      <c r="T991" s="101">
        <f>IF('Net zero activities &amp; levers'!$C$12="Off",'Activity data'!AM72*UDSOEF*NtoN2O*kgtoGg,IF('Net zero activities &amp; levers'!$C$12="PB",'Activity data'!AM72*UDSOEF*NtoN2O*kgtoGg,IF('Net zero activities &amp; levers'!$C$12="MS",'Net zero Activity data'!AM72*UDSOEF*NtoN2O*kgtoGg,"ERROR")))</f>
        <v>5.9254873000442174</v>
      </c>
      <c r="U991" s="101">
        <f>IF('Net zero activities &amp; levers'!$C$12="Off",'Activity data'!AN72*UDSOEF*NtoN2O*kgtoGg,IF('Net zero activities &amp; levers'!$C$12="PB",'Activity data'!AN72*UDSOEF*NtoN2O*kgtoGg,IF('Net zero activities &amp; levers'!$C$12="MS",'Net zero Activity data'!AN72*UDSOEF*NtoN2O*kgtoGg,"ERROR")))</f>
        <v>5.9354650911079814</v>
      </c>
      <c r="V991" s="101">
        <f>IF('Net zero activities &amp; levers'!$C$12="Off",'Activity data'!AO72*UDSOEF*NtoN2O*kgtoGg,IF('Net zero activities &amp; levers'!$C$12="PB",'Activity data'!AO72*UDSOEF*NtoN2O*kgtoGg,IF('Net zero activities &amp; levers'!$C$12="MS",'Net zero Activity data'!AO72*UDSOEF*NtoN2O*kgtoGg,"ERROR")))</f>
        <v>5.9468198836780894</v>
      </c>
      <c r="W991" s="101">
        <f>IF('Net zero activities &amp; levers'!$C$12="Off",'Activity data'!AP72*UDSOEF*NtoN2O*kgtoGg,IF('Net zero activities &amp; levers'!$C$12="PB",'Activity data'!AP72*UDSOEF*NtoN2O*kgtoGg,IF('Net zero activities &amp; levers'!$C$12="MS",'Net zero Activity data'!AP72*UDSOEF*NtoN2O*kgtoGg,"ERROR")))</f>
        <v>5.9596105082694644</v>
      </c>
      <c r="X991" s="101">
        <f>IF('Net zero activities &amp; levers'!$C$12="Off",'Activity data'!AQ72*UDSOEF*NtoN2O*kgtoGg,IF('Net zero activities &amp; levers'!$C$12="PB",'Activity data'!AQ72*UDSOEF*NtoN2O*kgtoGg,IF('Net zero activities &amp; levers'!$C$12="MS",'Net zero Activity data'!AQ72*UDSOEF*NtoN2O*kgtoGg,"ERROR")))</f>
        <v>5.9736319121523582</v>
      </c>
      <c r="Y991" s="101">
        <f>IF('Net zero activities &amp; levers'!$C$12="Off",'Activity data'!AR72*UDSOEF*NtoN2O*kgtoGg,IF('Net zero activities &amp; levers'!$C$12="PB",'Activity data'!AR72*UDSOEF*NtoN2O*kgtoGg,IF('Net zero activities &amp; levers'!$C$12="MS",'Net zero Activity data'!AR72*UDSOEF*NtoN2O*kgtoGg,"ERROR")))</f>
        <v>5.9822631555642722</v>
      </c>
      <c r="Z991" s="101">
        <f>IF('Net zero activities &amp; levers'!$C$12="Off",'Activity data'!AS72*UDSOEF*NtoN2O*kgtoGg,IF('Net zero activities &amp; levers'!$C$12="PB",'Activity data'!AS72*UDSOEF*NtoN2O*kgtoGg,IF('Net zero activities &amp; levers'!$C$12="MS",'Net zero Activity data'!AS72*UDSOEF*NtoN2O*kgtoGg,"ERROR")))</f>
        <v>5.9919044326673472</v>
      </c>
      <c r="AA991" s="101">
        <f>IF('Net zero activities &amp; levers'!$C$12="Off",'Activity data'!AT72*UDSOEF*NtoN2O*kgtoGg,IF('Net zero activities &amp; levers'!$C$12="PB",'Activity data'!AT72*UDSOEF*NtoN2O*kgtoGg,IF('Net zero activities &amp; levers'!$C$12="MS",'Net zero Activity data'!AT72*UDSOEF*NtoN2O*kgtoGg,"ERROR")))</f>
        <v>6.0025907311296489</v>
      </c>
      <c r="AB991" s="101">
        <f>IF('Net zero activities &amp; levers'!$C$12="Off",'Activity data'!AU72*UDSOEF*NtoN2O*kgtoGg,IF('Net zero activities &amp; levers'!$C$12="PB",'Activity data'!AU72*UDSOEF*NtoN2O*kgtoGg,IF('Net zero activities &amp; levers'!$C$12="MS",'Net zero Activity data'!AU72*UDSOEF*NtoN2O*kgtoGg,"ERROR")))</f>
        <v>6.0141578623127154</v>
      </c>
      <c r="AC991" s="101">
        <f>IF('Net zero activities &amp; levers'!$C$12="Off",'Activity data'!AV72*UDSOEF*NtoN2O*kgtoGg,IF('Net zero activities &amp; levers'!$C$12="PB",'Activity data'!AV72*UDSOEF*NtoN2O*kgtoGg,IF('Net zero activities &amp; levers'!$C$12="MS",'Net zero Activity data'!AV72*UDSOEF*NtoN2O*kgtoGg,"ERROR")))</f>
        <v>6.0266471855560004</v>
      </c>
      <c r="AD991" s="101">
        <f>IF('Net zero activities &amp; levers'!$C$12="Off",'Activity data'!AW72*UDSOEF*NtoN2O*kgtoGg,IF('Net zero activities &amp; levers'!$C$12="PB",'Activity data'!AW72*UDSOEF*NtoN2O*kgtoGg,IF('Net zero activities &amp; levers'!$C$12="MS",'Net zero Activity data'!AW72*UDSOEF*NtoN2O*kgtoGg,"ERROR")))</f>
        <v>6.0348691397671148</v>
      </c>
      <c r="AE991" s="101">
        <f>IF('Net zero activities &amp; levers'!$C$12="Off",'Activity data'!AX72*UDSOEF*NtoN2O*kgtoGg,IF('Net zero activities &amp; levers'!$C$12="PB",'Activity data'!AX72*UDSOEF*NtoN2O*kgtoGg,IF('Net zero activities &amp; levers'!$C$12="MS",'Net zero Activity data'!AX72*UDSOEF*NtoN2O*kgtoGg,"ERROR")))</f>
        <v>6.0439559167579606</v>
      </c>
      <c r="AF991" s="101">
        <f>IF('Net zero activities &amp; levers'!$C$12="Off",'Activity data'!AY72*UDSOEF*NtoN2O*kgtoGg,IF('Net zero activities &amp; levers'!$C$12="PB",'Activity data'!AY72*UDSOEF*NtoN2O*kgtoGg,IF('Net zero activities &amp; levers'!$C$12="MS",'Net zero Activity data'!AY72*UDSOEF*NtoN2O*kgtoGg,"ERROR")))</f>
        <v>6.0538257946059888</v>
      </c>
      <c r="AG991" s="101">
        <f>IF('Net zero activities &amp; levers'!$C$12="Off",'Activity data'!AZ72*UDSOEF*NtoN2O*kgtoGg,IF('Net zero activities &amp; levers'!$C$12="PB",'Activity data'!AZ72*UDSOEF*NtoN2O*kgtoGg,IF('Net zero activities &amp; levers'!$C$12="MS",'Net zero Activity data'!AZ72*UDSOEF*NtoN2O*kgtoGg,"ERROR")))</f>
        <v>6.0633613554169949</v>
      </c>
      <c r="AH991" s="101">
        <f>IF('Net zero activities &amp; levers'!$C$12="Off",'Activity data'!BA72*UDSOEF*NtoN2O*kgtoGg,IF('Net zero activities &amp; levers'!$C$12="PB",'Activity data'!BA72*UDSOEF*NtoN2O*kgtoGg,IF('Net zero activities &amp; levers'!$C$12="MS",'Net zero Activity data'!BA72*UDSOEF*NtoN2O*kgtoGg,"ERROR")))</f>
        <v>6.0225939777620399</v>
      </c>
      <c r="AI991" s="101">
        <f>IF('Net zero activities &amp; levers'!$C$12="Off",'Activity data'!BB72*UDSOEF*NtoN2O*kgtoGg,IF('Net zero activities &amp; levers'!$C$12="PB",'Activity data'!BB72*UDSOEF*NtoN2O*kgtoGg,IF('Net zero activities &amp; levers'!$C$12="MS",'Net zero Activity data'!BB72*UDSOEF*NtoN2O*kgtoGg,"ERROR")))</f>
        <v>6.0283835899852134</v>
      </c>
      <c r="AJ991" s="101">
        <f>IF('Net zero activities &amp; levers'!$C$12="Off",'Activity data'!BC72*UDSOEF*NtoN2O*kgtoGg,IF('Net zero activities &amp; levers'!$C$12="PB",'Activity data'!BC72*UDSOEF*NtoN2O*kgtoGg,IF('Net zero activities &amp; levers'!$C$12="MS",'Net zero Activity data'!BC72*UDSOEF*NtoN2O*kgtoGg,"ERROR")))</f>
        <v>6.0347724557516536</v>
      </c>
      <c r="AK991" s="101">
        <f>IF('Net zero activities &amp; levers'!$C$12="Off",'Activity data'!BD72*UDSOEF*NtoN2O*kgtoGg,IF('Net zero activities &amp; levers'!$C$12="PB",'Activity data'!BD72*UDSOEF*NtoN2O*kgtoGg,IF('Net zero activities &amp; levers'!$C$12="MS",'Net zero Activity data'!BD72*UDSOEF*NtoN2O*kgtoGg,"ERROR")))</f>
        <v>6.0417379357652736</v>
      </c>
      <c r="AL991" s="101">
        <f>IF('Net zero activities &amp; levers'!$C$12="Off",'Activity data'!BE72*UDSOEF*NtoN2O*kgtoGg,IF('Net zero activities &amp; levers'!$C$12="PB",'Activity data'!BE72*UDSOEF*NtoN2O*kgtoGg,IF('Net zero activities &amp; levers'!$C$12="MS",'Net zero Activity data'!BE72*UDSOEF*NtoN2O*kgtoGg,"ERROR")))</f>
        <v>6.0492591406066394</v>
      </c>
      <c r="AM991" s="101">
        <f>IF('Net zero activities &amp; levers'!$C$12="Off",'Activity data'!BF72*UDSOEF*NtoN2O*kgtoGg,IF('Net zero activities &amp; levers'!$C$12="PB",'Activity data'!BF72*UDSOEF*NtoN2O*kgtoGg,IF('Net zero activities &amp; levers'!$C$12="MS",'Net zero Activity data'!BF72*UDSOEF*NtoN2O*kgtoGg,"ERROR")))</f>
        <v>6.0573167646829393</v>
      </c>
      <c r="AN991" s="101">
        <f>IF('Net zero activities &amp; levers'!$C$12="Off",'Activity data'!BG72*UDSOEF*NtoN2O*kgtoGg,IF('Net zero activities &amp; levers'!$C$12="PB",'Activity data'!BG72*UDSOEF*NtoN2O*kgtoGg,IF('Net zero activities &amp; levers'!$C$12="MS",'Net zero Activity data'!BG72*UDSOEF*NtoN2O*kgtoGg,"ERROR")))</f>
        <v>6.061227136954745</v>
      </c>
      <c r="AO991" s="101">
        <f>IF('Net zero activities &amp; levers'!$C$12="Off",'Activity data'!BH72*UDSOEF*NtoN2O*kgtoGg,IF('Net zero activities &amp; levers'!$C$12="PB",'Activity data'!BH72*UDSOEF*NtoN2O*kgtoGg,IF('Net zero activities &amp; levers'!$C$12="MS",'Net zero Activity data'!BH72*UDSOEF*NtoN2O*kgtoGg,"ERROR")))</f>
        <v>6.0656101287298938</v>
      </c>
      <c r="AP991" s="101">
        <f>IF('Net zero activities &amp; levers'!$C$12="Off",'Activity data'!BI72*UDSOEF*NtoN2O*kgtoGg,IF('Net zero activities &amp; levers'!$C$12="PB",'Activity data'!BI72*UDSOEF*NtoN2O*kgtoGg,IF('Net zero activities &amp; levers'!$C$12="MS",'Net zero Activity data'!BI72*UDSOEF*NtoN2O*kgtoGg,"ERROR")))</f>
        <v>6.0704492917353319</v>
      </c>
      <c r="AQ991" s="101">
        <f>IF('Net zero activities &amp; levers'!$C$12="Off",'Activity data'!BJ72*UDSOEF*NtoN2O*kgtoGg,IF('Net zero activities &amp; levers'!$C$12="PB",'Activity data'!BJ72*UDSOEF*NtoN2O*kgtoGg,IF('Net zero activities &amp; levers'!$C$12="MS",'Net zero Activity data'!BJ72*UDSOEF*NtoN2O*kgtoGg,"ERROR")))</f>
        <v>6.0757293034784778</v>
      </c>
      <c r="AR991" s="101">
        <f>IF('Net zero activities &amp; levers'!$C$12="Off",'Activity data'!BK72*UDSOEF*NtoN2O*kgtoGg,IF('Net zero activities &amp; levers'!$C$12="PB",'Activity data'!BK72*UDSOEF*NtoN2O*kgtoGg,IF('Net zero activities &amp; levers'!$C$12="MS",'Net zero Activity data'!BK72*UDSOEF*NtoN2O*kgtoGg,"ERROR")))</f>
        <v>6.0814358716066721</v>
      </c>
      <c r="AS991" s="101">
        <f>IF('Net zero activities &amp; levers'!$C$12="Off",'Activity data'!BL72*UDSOEF*NtoN2O*kgtoGg,IF('Net zero activities &amp; levers'!$C$12="PB",'Activity data'!BL72*UDSOEF*NtoN2O*kgtoGg,IF('Net zero activities &amp; levers'!$C$12="MS",'Net zero Activity data'!BL72*UDSOEF*NtoN2O*kgtoGg,"ERROR")))</f>
        <v>6.082843612547955</v>
      </c>
      <c r="AT991" s="101">
        <f>IF('Net zero activities &amp; levers'!$C$12="Off",'Activity data'!BM72*UDSOEF*NtoN2O*kgtoGg,IF('Net zero activities &amp; levers'!$C$12="PB",'Activity data'!BM72*UDSOEF*NtoN2O*kgtoGg,IF('Net zero activities &amp; levers'!$C$12="MS",'Net zero Activity data'!BM72*UDSOEF*NtoN2O*kgtoGg,"ERROR")))</f>
        <v>6.0846299220859592</v>
      </c>
      <c r="AU991" s="101">
        <f>IF('Net zero activities &amp; levers'!$C$12="Off",'Activity data'!BN72*UDSOEF*NtoN2O*kgtoGg,IF('Net zero activities &amp; levers'!$C$12="PB",'Activity data'!BN72*UDSOEF*NtoN2O*kgtoGg,IF('Net zero activities &amp; levers'!$C$12="MS",'Net zero Activity data'!BN72*UDSOEF*NtoN2O*kgtoGg,"ERROR")))</f>
        <v>6.0867822620358538</v>
      </c>
      <c r="AV991" s="101">
        <f>IF('Net zero activities &amp; levers'!$C$12="Off",'Activity data'!BO72*UDSOEF*NtoN2O*kgtoGg,IF('Net zero activities &amp; levers'!$C$12="PB",'Activity data'!BO72*UDSOEF*NtoN2O*kgtoGg,IF('Net zero activities &amp; levers'!$C$12="MS",'Net zero Activity data'!BO72*UDSOEF*NtoN2O*kgtoGg,"ERROR")))</f>
        <v>6.0892888598488994</v>
      </c>
      <c r="AW991" s="101">
        <f>IF('Net zero activities &amp; levers'!$C$12="Off",'Activity data'!BP72*UDSOEF*NtoN2O*kgtoGg,IF('Net zero activities &amp; levers'!$C$12="PB",'Activity data'!BP72*UDSOEF*NtoN2O*kgtoGg,IF('Net zero activities &amp; levers'!$C$12="MS",'Net zero Activity data'!BP72*UDSOEF*NtoN2O*kgtoGg,"ERROR")))</f>
        <v>6.092138649733787</v>
      </c>
      <c r="AY991" s="85"/>
      <c r="AZ991" s="85"/>
    </row>
    <row r="992" spans="1:52" x14ac:dyDescent="0.25">
      <c r="A992" s="102" t="str">
        <f t="shared" si="345"/>
        <v>DS U&amp;D</v>
      </c>
      <c r="B992" s="102" t="s">
        <v>975</v>
      </c>
      <c r="C992" s="102" t="s">
        <v>1337</v>
      </c>
      <c r="D992" t="s">
        <v>369</v>
      </c>
      <c r="E992" t="s">
        <v>55</v>
      </c>
      <c r="F992" t="s">
        <v>422</v>
      </c>
      <c r="G992" t="s">
        <v>1167</v>
      </c>
      <c r="H992" t="s">
        <v>1248</v>
      </c>
      <c r="I992" t="s">
        <v>139</v>
      </c>
      <c r="J992" t="s">
        <v>287</v>
      </c>
      <c r="K992" s="101">
        <f>IF('Net zero activities &amp; levers'!$C$12="Off",'Activity data'!AD73*UDSOEF*NtoN2O*kgtoGg,IF('Net zero activities &amp; levers'!$C$12="PB",'Activity data'!AD73*UDSOEF*NtoN2O*kgtoGg,IF('Net zero activities &amp; levers'!$C$12="MS",'Net zero Activity data'!AD73*UDSOEF*NtoN2O*kgtoGg,"ERROR")))</f>
        <v>0.64752945126978523</v>
      </c>
      <c r="L992" s="101">
        <f>IF('Net zero activities &amp; levers'!$C$12="Off",'Activity data'!AE73*UDSOEF*NtoN2O*kgtoGg,IF('Net zero activities &amp; levers'!$C$12="PB",'Activity data'!AE73*UDSOEF*NtoN2O*kgtoGg,IF('Net zero activities &amp; levers'!$C$12="MS",'Net zero Activity data'!AE73*UDSOEF*NtoN2O*kgtoGg,"ERROR")))</f>
        <v>0.64788306156605957</v>
      </c>
      <c r="M992" s="101">
        <f>IF('Net zero activities &amp; levers'!$C$12="Off",'Activity data'!AF73*UDSOEF*NtoN2O*kgtoGg,IF('Net zero activities &amp; levers'!$C$12="PB",'Activity data'!AF73*UDSOEF*NtoN2O*kgtoGg,IF('Net zero activities &amp; levers'!$C$12="MS",'Net zero Activity data'!AF73*UDSOEF*NtoN2O*kgtoGg,"ERROR")))</f>
        <v>0.64867486294568755</v>
      </c>
      <c r="N992" s="101">
        <f>IF('Net zero activities &amp; levers'!$C$12="Off",'Activity data'!AG73*UDSOEF*NtoN2O*kgtoGg,IF('Net zero activities &amp; levers'!$C$12="PB",'Activity data'!AG73*UDSOEF*NtoN2O*kgtoGg,IF('Net zero activities &amp; levers'!$C$12="MS",'Net zero Activity data'!AG73*UDSOEF*NtoN2O*kgtoGg,"ERROR")))</f>
        <v>0.64986669025094335</v>
      </c>
      <c r="O992" s="101">
        <f>IF('Net zero activities &amp; levers'!$C$12="Off",'Activity data'!AH73*UDSOEF*NtoN2O*kgtoGg,IF('Net zero activities &amp; levers'!$C$12="PB",'Activity data'!AH73*UDSOEF*NtoN2O*kgtoGg,IF('Net zero activities &amp; levers'!$C$12="MS",'Net zero Activity data'!AH73*UDSOEF*NtoN2O*kgtoGg,"ERROR")))</f>
        <v>0.65147448919151907</v>
      </c>
      <c r="P992" s="101">
        <f>IF('Net zero activities &amp; levers'!$C$12="Off",'Activity data'!AI73*UDSOEF*NtoN2O*kgtoGg,IF('Net zero activities &amp; levers'!$C$12="PB",'Activity data'!AI73*UDSOEF*NtoN2O*kgtoGg,IF('Net zero activities &amp; levers'!$C$12="MS",'Net zero Activity data'!AI73*UDSOEF*NtoN2O*kgtoGg,"ERROR")))</f>
        <v>0.65349996579789205</v>
      </c>
      <c r="Q992" s="101">
        <f>IF('Net zero activities &amp; levers'!$C$12="Off",'Activity data'!AJ73*UDSOEF*NtoN2O*kgtoGg,IF('Net zero activities &amp; levers'!$C$12="PB",'Activity data'!AJ73*UDSOEF*NtoN2O*kgtoGg,IF('Net zero activities &amp; levers'!$C$12="MS",'Net zero Activity data'!AJ73*UDSOEF*NtoN2O*kgtoGg,"ERROR")))</f>
        <v>0.65575626462789216</v>
      </c>
      <c r="R992" s="101">
        <f>IF('Net zero activities &amp; levers'!$C$12="Off",'Activity data'!AK73*UDSOEF*NtoN2O*kgtoGg,IF('Net zero activities &amp; levers'!$C$12="PB",'Activity data'!AK73*UDSOEF*NtoN2O*kgtoGg,IF('Net zero activities &amp; levers'!$C$12="MS",'Net zero Activity data'!AK73*UDSOEF*NtoN2O*kgtoGg,"ERROR")))</f>
        <v>0.65820157906331789</v>
      </c>
      <c r="S992" s="101">
        <f>IF('Net zero activities &amp; levers'!$C$12="Off",'Activity data'!AL73*UDSOEF*NtoN2O*kgtoGg,IF('Net zero activities &amp; levers'!$C$12="PB",'Activity data'!AL73*UDSOEF*NtoN2O*kgtoGg,IF('Net zero activities &amp; levers'!$C$12="MS",'Net zero Activity data'!AL73*UDSOEF*NtoN2O*kgtoGg,"ERROR")))</f>
        <v>0.66049947035269418</v>
      </c>
      <c r="T992" s="101">
        <f>IF('Net zero activities &amp; levers'!$C$12="Off",'Activity data'!AM73*UDSOEF*NtoN2O*kgtoGg,IF('Net zero activities &amp; levers'!$C$12="PB",'Activity data'!AM73*UDSOEF*NtoN2O*kgtoGg,IF('Net zero activities &amp; levers'!$C$12="MS",'Net zero Activity data'!AM73*UDSOEF*NtoN2O*kgtoGg,"ERROR")))</f>
        <v>0.66145934404141127</v>
      </c>
      <c r="U992" s="101">
        <f>IF('Net zero activities &amp; levers'!$C$12="Off",'Activity data'!AN73*UDSOEF*NtoN2O*kgtoGg,IF('Net zero activities &amp; levers'!$C$12="PB",'Activity data'!AN73*UDSOEF*NtoN2O*kgtoGg,IF('Net zero activities &amp; levers'!$C$12="MS",'Net zero Activity data'!AN73*UDSOEF*NtoN2O*kgtoGg,"ERROR")))</f>
        <v>0.66257316013751044</v>
      </c>
      <c r="V992" s="101">
        <f>IF('Net zero activities &amp; levers'!$C$12="Off",'Activity data'!AO73*UDSOEF*NtoN2O*kgtoGg,IF('Net zero activities &amp; levers'!$C$12="PB",'Activity data'!AO73*UDSOEF*NtoN2O*kgtoGg,IF('Net zero activities &amp; levers'!$C$12="MS",'Net zero Activity data'!AO73*UDSOEF*NtoN2O*kgtoGg,"ERROR")))</f>
        <v>0.66384069026032311</v>
      </c>
      <c r="W992" s="101">
        <f>IF('Net zero activities &amp; levers'!$C$12="Off",'Activity data'!AP73*UDSOEF*NtoN2O*kgtoGg,IF('Net zero activities &amp; levers'!$C$12="PB",'Activity data'!AP73*UDSOEF*NtoN2O*kgtoGg,IF('Net zero activities &amp; levers'!$C$12="MS",'Net zero Activity data'!AP73*UDSOEF*NtoN2O*kgtoGg,"ERROR")))</f>
        <v>0.66526850163239837</v>
      </c>
      <c r="X992" s="101">
        <f>IF('Net zero activities &amp; levers'!$C$12="Off",'Activity data'!AQ73*UDSOEF*NtoN2O*kgtoGg,IF('Net zero activities &amp; levers'!$C$12="PB",'Activity data'!AQ73*UDSOEF*NtoN2O*kgtoGg,IF('Net zero activities &amp; levers'!$C$12="MS",'Net zero Activity data'!AQ73*UDSOEF*NtoN2O*kgtoGg,"ERROR")))</f>
        <v>0.66683370431452194</v>
      </c>
      <c r="Y992" s="101">
        <f>IF('Net zero activities &amp; levers'!$C$12="Off",'Activity data'!AR73*UDSOEF*NtoN2O*kgtoGg,IF('Net zero activities &amp; levers'!$C$12="PB",'Activity data'!AR73*UDSOEF*NtoN2O*kgtoGg,IF('Net zero activities &amp; levers'!$C$12="MS",'Net zero Activity data'!AR73*UDSOEF*NtoN2O*kgtoGg,"ERROR")))</f>
        <v>0.66779720593327729</v>
      </c>
      <c r="Z992" s="101">
        <f>IF('Net zero activities &amp; levers'!$C$12="Off",'Activity data'!AS73*UDSOEF*NtoN2O*kgtoGg,IF('Net zero activities &amp; levers'!$C$12="PB",'Activity data'!AS73*UDSOEF*NtoN2O*kgtoGg,IF('Net zero activities &amp; levers'!$C$12="MS",'Net zero Activity data'!AS73*UDSOEF*NtoN2O*kgtoGg,"ERROR")))</f>
        <v>0.66887345713514434</v>
      </c>
      <c r="AA992" s="101">
        <f>IF('Net zero activities &amp; levers'!$C$12="Off",'Activity data'!AT73*UDSOEF*NtoN2O*kgtoGg,IF('Net zero activities &amp; levers'!$C$12="PB",'Activity data'!AT73*UDSOEF*NtoN2O*kgtoGg,IF('Net zero activities &amp; levers'!$C$12="MS",'Net zero Activity data'!AT73*UDSOEF*NtoN2O*kgtoGg,"ERROR")))</f>
        <v>0.6700663635769577</v>
      </c>
      <c r="AB992" s="101">
        <f>IF('Net zero activities &amp; levers'!$C$12="Off",'Activity data'!AU73*UDSOEF*NtoN2O*kgtoGg,IF('Net zero activities &amp; levers'!$C$12="PB",'Activity data'!AU73*UDSOEF*NtoN2O*kgtoGg,IF('Net zero activities &amp; levers'!$C$12="MS",'Net zero Activity data'!AU73*UDSOEF*NtoN2O*kgtoGg,"ERROR")))</f>
        <v>0.67135759695868036</v>
      </c>
      <c r="AC992" s="101">
        <f>IF('Net zero activities &amp; levers'!$C$12="Off",'Activity data'!AV73*UDSOEF*NtoN2O*kgtoGg,IF('Net zero activities &amp; levers'!$C$12="PB",'Activity data'!AV73*UDSOEF*NtoN2O*kgtoGg,IF('Net zero activities &amp; levers'!$C$12="MS",'Net zero Activity data'!AV73*UDSOEF*NtoN2O*kgtoGg,"ERROR")))</f>
        <v>0.67275177420381005</v>
      </c>
      <c r="AD992" s="101">
        <f>IF('Net zero activities &amp; levers'!$C$12="Off",'Activity data'!AW73*UDSOEF*NtoN2O*kgtoGg,IF('Net zero activities &amp; levers'!$C$12="PB",'Activity data'!AW73*UDSOEF*NtoN2O*kgtoGg,IF('Net zero activities &amp; levers'!$C$12="MS",'Net zero Activity data'!AW73*UDSOEF*NtoN2O*kgtoGg,"ERROR")))</f>
        <v>0.67366958706270863</v>
      </c>
      <c r="AE992" s="101">
        <f>IF('Net zero activities &amp; levers'!$C$12="Off",'Activity data'!AX73*UDSOEF*NtoN2O*kgtoGg,IF('Net zero activities &amp; levers'!$C$12="PB",'Activity data'!AX73*UDSOEF*NtoN2O*kgtoGg,IF('Net zero activities &amp; levers'!$C$12="MS",'Net zero Activity data'!AX73*UDSOEF*NtoN2O*kgtoGg,"ERROR")))</f>
        <v>0.67468393967937379</v>
      </c>
      <c r="AF992" s="101">
        <f>IF('Net zero activities &amp; levers'!$C$12="Off",'Activity data'!AY73*UDSOEF*NtoN2O*kgtoGg,IF('Net zero activities &amp; levers'!$C$12="PB",'Activity data'!AY73*UDSOEF*NtoN2O*kgtoGg,IF('Net zero activities &amp; levers'!$C$12="MS",'Net zero Activity data'!AY73*UDSOEF*NtoN2O*kgtoGg,"ERROR")))</f>
        <v>0.67578570947425243</v>
      </c>
      <c r="AG992" s="101">
        <f>IF('Net zero activities &amp; levers'!$C$12="Off",'Activity data'!AZ73*UDSOEF*NtoN2O*kgtoGg,IF('Net zero activities &amp; levers'!$C$12="PB",'Activity data'!AZ73*UDSOEF*NtoN2O*kgtoGg,IF('Net zero activities &amp; levers'!$C$12="MS",'Net zero Activity data'!AZ73*UDSOEF*NtoN2O*kgtoGg,"ERROR")))</f>
        <v>0.6768501596164489</v>
      </c>
      <c r="AH992" s="101">
        <f>IF('Net zero activities &amp; levers'!$C$12="Off",'Activity data'!BA73*UDSOEF*NtoN2O*kgtoGg,IF('Net zero activities &amp; levers'!$C$12="PB",'Activity data'!BA73*UDSOEF*NtoN2O*kgtoGg,IF('Net zero activities &amp; levers'!$C$12="MS",'Net zero Activity data'!BA73*UDSOEF*NtoN2O*kgtoGg,"ERROR")))</f>
        <v>0.6722993165352843</v>
      </c>
      <c r="AI992" s="101">
        <f>IF('Net zero activities &amp; levers'!$C$12="Off",'Activity data'!BB73*UDSOEF*NtoN2O*kgtoGg,IF('Net zero activities &amp; levers'!$C$12="PB",'Activity data'!BB73*UDSOEF*NtoN2O*kgtoGg,IF('Net zero activities &amp; levers'!$C$12="MS",'Net zero Activity data'!BB73*UDSOEF*NtoN2O*kgtoGg,"ERROR")))</f>
        <v>0.67294560820877491</v>
      </c>
      <c r="AJ992" s="101">
        <f>IF('Net zero activities &amp; levers'!$C$12="Off",'Activity data'!BC73*UDSOEF*NtoN2O*kgtoGg,IF('Net zero activities &amp; levers'!$C$12="PB",'Activity data'!BC73*UDSOEF*NtoN2O*kgtoGg,IF('Net zero activities &amp; levers'!$C$12="MS",'Net zero Activity data'!BC73*UDSOEF*NtoN2O*kgtoGg,"ERROR")))</f>
        <v>0.67365879427180253</v>
      </c>
      <c r="AK992" s="101">
        <f>IF('Net zero activities &amp; levers'!$C$12="Off",'Activity data'!BD73*UDSOEF*NtoN2O*kgtoGg,IF('Net zero activities &amp; levers'!$C$12="PB",'Activity data'!BD73*UDSOEF*NtoN2O*kgtoGg,IF('Net zero activities &amp; levers'!$C$12="MS",'Net zero Activity data'!BD73*UDSOEF*NtoN2O*kgtoGg,"ERROR")))</f>
        <v>0.674436347510455</v>
      </c>
      <c r="AL992" s="101">
        <f>IF('Net zero activities &amp; levers'!$C$12="Off",'Activity data'!BE73*UDSOEF*NtoN2O*kgtoGg,IF('Net zero activities &amp; levers'!$C$12="PB",'Activity data'!BE73*UDSOEF*NtoN2O*kgtoGg,IF('Net zero activities &amp; levers'!$C$12="MS",'Net zero Activity data'!BE73*UDSOEF*NtoN2O*kgtoGg,"ERROR")))</f>
        <v>0.67527593604872327</v>
      </c>
      <c r="AM992" s="101">
        <f>IF('Net zero activities &amp; levers'!$C$12="Off",'Activity data'!BF73*UDSOEF*NtoN2O*kgtoGg,IF('Net zero activities &amp; levers'!$C$12="PB",'Activity data'!BF73*UDSOEF*NtoN2O*kgtoGg,IF('Net zero activities &amp; levers'!$C$12="MS",'Net zero Activity data'!BF73*UDSOEF*NtoN2O*kgtoGg,"ERROR")))</f>
        <v>0.67617540481241489</v>
      </c>
      <c r="AN992" s="101">
        <f>IF('Net zero activities &amp; levers'!$C$12="Off",'Activity data'!BG73*UDSOEF*NtoN2O*kgtoGg,IF('Net zero activities &amp; levers'!$C$12="PB",'Activity data'!BG73*UDSOEF*NtoN2O*kgtoGg,IF('Net zero activities &amp; levers'!$C$12="MS",'Net zero Activity data'!BG73*UDSOEF*NtoN2O*kgtoGg,"ERROR")))</f>
        <v>0.67661191781917585</v>
      </c>
      <c r="AO992" s="101">
        <f>IF('Net zero activities &amp; levers'!$C$12="Off",'Activity data'!BH73*UDSOEF*NtoN2O*kgtoGg,IF('Net zero activities &amp; levers'!$C$12="PB",'Activity data'!BH73*UDSOEF*NtoN2O*kgtoGg,IF('Net zero activities &amp; levers'!$C$12="MS",'Net zero Activity data'!BH73*UDSOEF*NtoN2O*kgtoGg,"ERROR")))</f>
        <v>0.67710118911750539</v>
      </c>
      <c r="AP992" s="101">
        <f>IF('Net zero activities &amp; levers'!$C$12="Off",'Activity data'!BI73*UDSOEF*NtoN2O*kgtoGg,IF('Net zero activities &amp; levers'!$C$12="PB",'Activity data'!BI73*UDSOEF*NtoN2O*kgtoGg,IF('Net zero activities &amp; levers'!$C$12="MS",'Net zero Activity data'!BI73*UDSOEF*NtoN2O*kgtoGg,"ERROR")))</f>
        <v>0.67764138259446438</v>
      </c>
      <c r="AQ992" s="101">
        <f>IF('Net zero activities &amp; levers'!$C$12="Off",'Activity data'!BJ73*UDSOEF*NtoN2O*kgtoGg,IF('Net zero activities &amp; levers'!$C$12="PB",'Activity data'!BJ73*UDSOEF*NtoN2O*kgtoGg,IF('Net zero activities &amp; levers'!$C$12="MS",'Net zero Activity data'!BJ73*UDSOEF*NtoN2O*kgtoGg,"ERROR")))</f>
        <v>0.6782307878074546</v>
      </c>
      <c r="AR992" s="101">
        <f>IF('Net zero activities &amp; levers'!$C$12="Off",'Activity data'!BK73*UDSOEF*NtoN2O*kgtoGg,IF('Net zero activities &amp; levers'!$C$12="PB",'Activity data'!BK73*UDSOEF*NtoN2O*kgtoGg,IF('Net zero activities &amp; levers'!$C$12="MS",'Net zero Activity data'!BK73*UDSOEF*NtoN2O*kgtoGg,"ERROR")))</f>
        <v>0.67886780930790958</v>
      </c>
      <c r="AS992" s="101">
        <f>IF('Net zero activities &amp; levers'!$C$12="Off",'Activity data'!BL73*UDSOEF*NtoN2O*kgtoGg,IF('Net zero activities &amp; levers'!$C$12="PB",'Activity data'!BL73*UDSOEF*NtoN2O*kgtoGg,IF('Net zero activities &amp; levers'!$C$12="MS",'Net zero Activity data'!BL73*UDSOEF*NtoN2O*kgtoGg,"ERROR")))</f>
        <v>0.67902495476320335</v>
      </c>
      <c r="AT992" s="101">
        <f>IF('Net zero activities &amp; levers'!$C$12="Off",'Activity data'!BM73*UDSOEF*NtoN2O*kgtoGg,IF('Net zero activities &amp; levers'!$C$12="PB",'Activity data'!BM73*UDSOEF*NtoN2O*kgtoGg,IF('Net zero activities &amp; levers'!$C$12="MS",'Net zero Activity data'!BM73*UDSOEF*NtoN2O*kgtoGg,"ERROR")))</f>
        <v>0.67922435965185335</v>
      </c>
      <c r="AU992" s="101">
        <f>IF('Net zero activities &amp; levers'!$C$12="Off",'Activity data'!BN73*UDSOEF*NtoN2O*kgtoGg,IF('Net zero activities &amp; levers'!$C$12="PB",'Activity data'!BN73*UDSOEF*NtoN2O*kgtoGg,IF('Net zero activities &amp; levers'!$C$12="MS",'Net zero Activity data'!BN73*UDSOEF*NtoN2O*kgtoGg,"ERROR")))</f>
        <v>0.67946462434221933</v>
      </c>
      <c r="AV992" s="101">
        <f>IF('Net zero activities &amp; levers'!$C$12="Off",'Activity data'!BO73*UDSOEF*NtoN2O*kgtoGg,IF('Net zero activities &amp; levers'!$C$12="PB",'Activity data'!BO73*UDSOEF*NtoN2O*kgtoGg,IF('Net zero activities &amp; levers'!$C$12="MS",'Net zero Activity data'!BO73*UDSOEF*NtoN2O*kgtoGg,"ERROR")))</f>
        <v>0.67974443467025414</v>
      </c>
      <c r="AW992" s="101">
        <f>IF('Net zero activities &amp; levers'!$C$12="Off",'Activity data'!BP73*UDSOEF*NtoN2O*kgtoGg,IF('Net zero activities &amp; levers'!$C$12="PB",'Activity data'!BP73*UDSOEF*NtoN2O*kgtoGg,IF('Net zero activities &amp; levers'!$C$12="MS",'Net zero Activity data'!BP73*UDSOEF*NtoN2O*kgtoGg,"ERROR")))</f>
        <v>0.68006255536690974</v>
      </c>
      <c r="AY992" s="85"/>
      <c r="AZ992" s="85"/>
    </row>
    <row r="993" spans="1:52" x14ac:dyDescent="0.25">
      <c r="A993" s="102" t="str">
        <f t="shared" si="345"/>
        <v>DS U&amp;D</v>
      </c>
      <c r="B993" s="102" t="s">
        <v>975</v>
      </c>
      <c r="C993" s="102" t="s">
        <v>1337</v>
      </c>
      <c r="D993" t="s">
        <v>369</v>
      </c>
      <c r="E993" t="s">
        <v>55</v>
      </c>
      <c r="F993" t="s">
        <v>422</v>
      </c>
      <c r="G993" t="s">
        <v>1169</v>
      </c>
      <c r="H993" t="s">
        <v>1249</v>
      </c>
      <c r="I993" t="s">
        <v>139</v>
      </c>
      <c r="J993" t="s">
        <v>287</v>
      </c>
      <c r="K993" s="22">
        <f t="shared" ref="K993:Z996" si="348">K1490</f>
        <v>0.71703962515202246</v>
      </c>
      <c r="L993" s="22">
        <f t="shared" si="348"/>
        <v>0.71890983434251277</v>
      </c>
      <c r="M993" s="22">
        <f t="shared" si="348"/>
        <v>0.72140205375439892</v>
      </c>
      <c r="N993" s="22">
        <f t="shared" si="348"/>
        <v>0.72446087645337953</v>
      </c>
      <c r="O993" s="22">
        <f t="shared" si="348"/>
        <v>0.72812305944589495</v>
      </c>
      <c r="P993" s="22">
        <f t="shared" si="348"/>
        <v>0.73239834824766725</v>
      </c>
      <c r="Q993" s="22">
        <f t="shared" si="348"/>
        <v>0.73696942015050981</v>
      </c>
      <c r="R993" s="22">
        <f t="shared" si="348"/>
        <v>0.74177091257362759</v>
      </c>
      <c r="S993" s="22">
        <f t="shared" si="348"/>
        <v>0.74623128814082973</v>
      </c>
      <c r="T993" s="22">
        <f t="shared" si="348"/>
        <v>0.74832155602397465</v>
      </c>
      <c r="U993" s="22">
        <f t="shared" si="348"/>
        <v>0.75061365062436147</v>
      </c>
      <c r="V993" s="22">
        <f t="shared" si="348"/>
        <v>0.75311048066791608</v>
      </c>
      <c r="W993" s="22">
        <f t="shared" si="348"/>
        <v>0.75582597980024202</v>
      </c>
      <c r="X993" s="22">
        <f t="shared" si="348"/>
        <v>0.758723586950243</v>
      </c>
      <c r="Y993" s="22">
        <f t="shared" si="348"/>
        <v>0.76055515001802498</v>
      </c>
      <c r="Z993" s="22">
        <f t="shared" si="348"/>
        <v>0.76253680812015046</v>
      </c>
      <c r="AA993" s="22">
        <f t="shared" ref="L993:AW996" si="349">AA1490</f>
        <v>0.7646767595046402</v>
      </c>
      <c r="AB993" s="22">
        <f t="shared" si="349"/>
        <v>0.76694554342614063</v>
      </c>
      <c r="AC993" s="22">
        <f t="shared" si="349"/>
        <v>0.76935223527037744</v>
      </c>
      <c r="AD993" s="22">
        <f t="shared" si="349"/>
        <v>0.7709284586249765</v>
      </c>
      <c r="AE993" s="22">
        <f t="shared" si="349"/>
        <v>0.77263788414937862</v>
      </c>
      <c r="AF993" s="22">
        <f t="shared" si="349"/>
        <v>0.77446606053450517</v>
      </c>
      <c r="AG993" s="22">
        <f t="shared" si="349"/>
        <v>0.7762062172722024</v>
      </c>
      <c r="AH993" s="22">
        <f t="shared" si="349"/>
        <v>0.76859920994116682</v>
      </c>
      <c r="AI993" s="22">
        <f t="shared" si="349"/>
        <v>0.76961702960226952</v>
      </c>
      <c r="AJ993" s="22">
        <f t="shared" si="349"/>
        <v>0.77072611211000452</v>
      </c>
      <c r="AK993" s="22">
        <f t="shared" si="349"/>
        <v>0.7719227512042488</v>
      </c>
      <c r="AL993" s="22">
        <f t="shared" si="349"/>
        <v>0.77320352810315807</v>
      </c>
      <c r="AM993" s="22">
        <f t="shared" si="349"/>
        <v>0.77456528397766</v>
      </c>
      <c r="AN993" s="22">
        <f t="shared" si="349"/>
        <v>0.7751498155218971</v>
      </c>
      <c r="AO993" s="22">
        <f t="shared" si="349"/>
        <v>0.77580729833667095</v>
      </c>
      <c r="AP993" s="22">
        <f t="shared" si="349"/>
        <v>0.77653498216260275</v>
      </c>
      <c r="AQ993" s="22">
        <f t="shared" si="349"/>
        <v>0.77733030541457571</v>
      </c>
      <c r="AR993" s="22">
        <f t="shared" si="349"/>
        <v>0.77819087901746686</v>
      </c>
      <c r="AS993" s="22">
        <f t="shared" si="349"/>
        <v>0.77825802091956864</v>
      </c>
      <c r="AT993" s="22">
        <f t="shared" si="349"/>
        <v>0.77838487427420744</v>
      </c>
      <c r="AU993" s="22">
        <f t="shared" si="349"/>
        <v>0.77856929465999758</v>
      </c>
      <c r="AV993" s="22">
        <f t="shared" si="349"/>
        <v>0.77880926891307201</v>
      </c>
      <c r="AW993" s="22">
        <f t="shared" si="349"/>
        <v>0.77910290495826517</v>
      </c>
      <c r="AY993" s="85"/>
      <c r="AZ993" s="85"/>
    </row>
    <row r="994" spans="1:52" x14ac:dyDescent="0.25">
      <c r="A994" s="102" t="str">
        <f t="shared" si="345"/>
        <v>DS U&amp;D</v>
      </c>
      <c r="B994" s="102" t="s">
        <v>975</v>
      </c>
      <c r="C994" s="102" t="s">
        <v>1337</v>
      </c>
      <c r="D994" t="s">
        <v>369</v>
      </c>
      <c r="E994" t="s">
        <v>55</v>
      </c>
      <c r="F994" t="s">
        <v>422</v>
      </c>
      <c r="G994" t="s">
        <v>1171</v>
      </c>
      <c r="H994" t="s">
        <v>1250</v>
      </c>
      <c r="I994" t="s">
        <v>139</v>
      </c>
      <c r="J994" t="s">
        <v>287</v>
      </c>
      <c r="K994" s="22">
        <f t="shared" si="348"/>
        <v>1.1866860146705673</v>
      </c>
      <c r="L994" s="22">
        <f t="shared" si="349"/>
        <v>1.1897811728919734</v>
      </c>
      <c r="M994" s="22">
        <f t="shared" si="349"/>
        <v>1.1939057453951301</v>
      </c>
      <c r="N994" s="22">
        <f t="shared" si="349"/>
        <v>1.1989680348292291</v>
      </c>
      <c r="O994" s="22">
        <f t="shared" si="349"/>
        <v>1.2050288732932972</v>
      </c>
      <c r="P994" s="22">
        <f t="shared" si="349"/>
        <v>1.2121043894178982</v>
      </c>
      <c r="Q994" s="22">
        <f t="shared" si="349"/>
        <v>1.2196694205666394</v>
      </c>
      <c r="R994" s="22">
        <f t="shared" si="349"/>
        <v>1.2276157929959912</v>
      </c>
      <c r="S994" s="22">
        <f t="shared" si="349"/>
        <v>1.2349976239577805</v>
      </c>
      <c r="T994" s="22">
        <f t="shared" si="349"/>
        <v>1.2384569748455603</v>
      </c>
      <c r="U994" s="22">
        <f t="shared" si="349"/>
        <v>1.2422503448507454</v>
      </c>
      <c r="V994" s="22">
        <f t="shared" si="349"/>
        <v>1.2463825478556594</v>
      </c>
      <c r="W994" s="22">
        <f t="shared" si="349"/>
        <v>1.2508766437607468</v>
      </c>
      <c r="X994" s="22">
        <f t="shared" si="349"/>
        <v>1.2556721247359952</v>
      </c>
      <c r="Y994" s="22">
        <f t="shared" si="349"/>
        <v>1.2587033244093235</v>
      </c>
      <c r="Z994" s="22">
        <f t="shared" si="349"/>
        <v>1.2619829283156658</v>
      </c>
      <c r="AA994" s="22">
        <f t="shared" si="349"/>
        <v>1.2655245043889694</v>
      </c>
      <c r="AB994" s="22">
        <f t="shared" si="349"/>
        <v>1.2692792956940984</v>
      </c>
      <c r="AC994" s="22">
        <f t="shared" si="349"/>
        <v>1.2732623218100843</v>
      </c>
      <c r="AD994" s="22">
        <f t="shared" si="349"/>
        <v>1.2758709394447143</v>
      </c>
      <c r="AE994" s="22">
        <f t="shared" si="349"/>
        <v>1.2787000039646823</v>
      </c>
      <c r="AF994" s="22">
        <f t="shared" si="349"/>
        <v>1.2817255987470082</v>
      </c>
      <c r="AG994" s="22">
        <f t="shared" si="349"/>
        <v>1.2846055228007487</v>
      </c>
      <c r="AH994" s="22">
        <f t="shared" si="349"/>
        <v>1.2720160801861611</v>
      </c>
      <c r="AI994" s="22">
        <f t="shared" si="349"/>
        <v>1.2737005510506982</v>
      </c>
      <c r="AJ994" s="22">
        <f t="shared" si="349"/>
        <v>1.2755360600726242</v>
      </c>
      <c r="AK994" s="22">
        <f t="shared" si="349"/>
        <v>1.2775164734667195</v>
      </c>
      <c r="AL994" s="22">
        <f t="shared" si="349"/>
        <v>1.2796361332184747</v>
      </c>
      <c r="AM994" s="22">
        <f t="shared" si="349"/>
        <v>1.2818898115299409</v>
      </c>
      <c r="AN994" s="22">
        <f t="shared" si="349"/>
        <v>1.2828571993622844</v>
      </c>
      <c r="AO994" s="22">
        <f t="shared" si="349"/>
        <v>1.283945320065534</v>
      </c>
      <c r="AP994" s="22">
        <f t="shared" si="349"/>
        <v>1.2851496220162837</v>
      </c>
      <c r="AQ994" s="22">
        <f t="shared" si="349"/>
        <v>1.2864658658431971</v>
      </c>
      <c r="AR994" s="22">
        <f t="shared" si="349"/>
        <v>1.2878900976754739</v>
      </c>
      <c r="AS994" s="22">
        <f t="shared" si="349"/>
        <v>1.2880012161596242</v>
      </c>
      <c r="AT994" s="22">
        <f t="shared" si="349"/>
        <v>1.288211155884827</v>
      </c>
      <c r="AU994" s="22">
        <f t="shared" si="349"/>
        <v>1.2885163678772478</v>
      </c>
      <c r="AV994" s="22">
        <f t="shared" si="349"/>
        <v>1.2889135203915794</v>
      </c>
      <c r="AW994" s="22">
        <f t="shared" si="349"/>
        <v>1.2893994820818555</v>
      </c>
      <c r="AY994" s="85"/>
      <c r="AZ994" s="85"/>
    </row>
    <row r="995" spans="1:52" x14ac:dyDescent="0.25">
      <c r="A995" s="102" t="str">
        <f t="shared" si="345"/>
        <v>DS U&amp;D</v>
      </c>
      <c r="B995" s="102" t="s">
        <v>975</v>
      </c>
      <c r="C995" s="102" t="s">
        <v>1337</v>
      </c>
      <c r="D995" t="s">
        <v>369</v>
      </c>
      <c r="E995" t="s">
        <v>55</v>
      </c>
      <c r="F995" t="s">
        <v>422</v>
      </c>
      <c r="G995" t="s">
        <v>1173</v>
      </c>
      <c r="H995" t="s">
        <v>1251</v>
      </c>
      <c r="I995" t="s">
        <v>139</v>
      </c>
      <c r="J995" t="s">
        <v>287</v>
      </c>
      <c r="K995" s="22">
        <f t="shared" si="348"/>
        <v>0.19206426868977441</v>
      </c>
      <c r="L995" s="22">
        <f t="shared" si="349"/>
        <v>0.19318987586932423</v>
      </c>
      <c r="M995" s="22">
        <f t="shared" si="349"/>
        <v>0.19346719628053802</v>
      </c>
      <c r="N995" s="22">
        <f t="shared" si="349"/>
        <v>0.19261999020243609</v>
      </c>
      <c r="O995" s="22">
        <f t="shared" si="349"/>
        <v>0.19172365370541722</v>
      </c>
      <c r="P995" s="22">
        <f t="shared" si="349"/>
        <v>0.19129719629214276</v>
      </c>
      <c r="Q995" s="22">
        <f t="shared" si="349"/>
        <v>0.19101276819466945</v>
      </c>
      <c r="R995" s="22">
        <f t="shared" si="349"/>
        <v>0.18964082845337171</v>
      </c>
      <c r="S995" s="22">
        <f t="shared" si="349"/>
        <v>0.17855585025741377</v>
      </c>
      <c r="T995" s="22">
        <f t="shared" si="349"/>
        <v>0.1801256476686891</v>
      </c>
      <c r="U995" s="22">
        <f t="shared" si="349"/>
        <v>0.18141112915440744</v>
      </c>
      <c r="V995" s="22">
        <f t="shared" si="349"/>
        <v>0.18267062412414889</v>
      </c>
      <c r="W995" s="22">
        <f t="shared" si="349"/>
        <v>0.18430349788289624</v>
      </c>
      <c r="X995" s="22">
        <f t="shared" si="349"/>
        <v>0.18590650598729025</v>
      </c>
      <c r="Y995" s="22">
        <f t="shared" si="349"/>
        <v>0.18774289622011922</v>
      </c>
      <c r="Z995" s="22">
        <f t="shared" si="349"/>
        <v>0.18945974795510873</v>
      </c>
      <c r="AA995" s="22">
        <f t="shared" si="349"/>
        <v>0.19130656367707333</v>
      </c>
      <c r="AB995" s="22">
        <f t="shared" si="349"/>
        <v>0.1929453281809925</v>
      </c>
      <c r="AC995" s="22">
        <f t="shared" si="349"/>
        <v>0.19461451886655767</v>
      </c>
      <c r="AD995" s="22">
        <f t="shared" si="349"/>
        <v>0.19692637066734073</v>
      </c>
      <c r="AE995" s="22">
        <f t="shared" si="349"/>
        <v>0.19944913652878843</v>
      </c>
      <c r="AF995" s="22">
        <f t="shared" si="349"/>
        <v>0.20204327521693932</v>
      </c>
      <c r="AG995" s="22">
        <f t="shared" si="349"/>
        <v>0.20167425591994353</v>
      </c>
      <c r="AH995" s="22">
        <f t="shared" si="349"/>
        <v>5.9672038121461136E-2</v>
      </c>
      <c r="AI995" s="22">
        <f t="shared" si="349"/>
        <v>5.9672038121461136E-2</v>
      </c>
      <c r="AJ995" s="22">
        <f t="shared" si="349"/>
        <v>5.9672038121461136E-2</v>
      </c>
      <c r="AK995" s="22">
        <f t="shared" si="349"/>
        <v>5.9672038121461136E-2</v>
      </c>
      <c r="AL995" s="22">
        <f t="shared" si="349"/>
        <v>5.9672038121461136E-2</v>
      </c>
      <c r="AM995" s="22">
        <f t="shared" si="349"/>
        <v>5.9672038121461136E-2</v>
      </c>
      <c r="AN995" s="22">
        <f t="shared" si="349"/>
        <v>5.9672038121461136E-2</v>
      </c>
      <c r="AO995" s="22">
        <f t="shared" si="349"/>
        <v>5.9672038121461136E-2</v>
      </c>
      <c r="AP995" s="22">
        <f t="shared" si="349"/>
        <v>5.9672038121461136E-2</v>
      </c>
      <c r="AQ995" s="22">
        <f t="shared" si="349"/>
        <v>5.9672038121461136E-2</v>
      </c>
      <c r="AR995" s="22">
        <f t="shared" si="349"/>
        <v>5.9672038121461136E-2</v>
      </c>
      <c r="AS995" s="22">
        <f t="shared" si="349"/>
        <v>5.9672038121461136E-2</v>
      </c>
      <c r="AT995" s="22">
        <f t="shared" si="349"/>
        <v>5.9672038121461136E-2</v>
      </c>
      <c r="AU995" s="22">
        <f t="shared" si="349"/>
        <v>5.9672038121461136E-2</v>
      </c>
      <c r="AV995" s="22">
        <f t="shared" si="349"/>
        <v>5.9672038121461136E-2</v>
      </c>
      <c r="AW995" s="22">
        <f t="shared" si="349"/>
        <v>5.9672038121461136E-2</v>
      </c>
      <c r="AY995" s="85"/>
      <c r="AZ995" s="85"/>
    </row>
    <row r="996" spans="1:52" x14ac:dyDescent="0.25">
      <c r="A996" s="102" t="str">
        <f t="shared" si="345"/>
        <v>DS U&amp;D</v>
      </c>
      <c r="B996" s="102" t="s">
        <v>975</v>
      </c>
      <c r="C996" s="102" t="s">
        <v>1337</v>
      </c>
      <c r="D996" t="s">
        <v>369</v>
      </c>
      <c r="E996" t="s">
        <v>55</v>
      </c>
      <c r="F996" t="s">
        <v>422</v>
      </c>
      <c r="G996" t="s">
        <v>1175</v>
      </c>
      <c r="H996" t="s">
        <v>1252</v>
      </c>
      <c r="I996" t="s">
        <v>139</v>
      </c>
      <c r="J996" t="s">
        <v>287</v>
      </c>
      <c r="K996" s="22">
        <f t="shared" si="348"/>
        <v>3.4640571428571423E-2</v>
      </c>
      <c r="L996" s="22">
        <f t="shared" si="349"/>
        <v>3.4640571428571423E-2</v>
      </c>
      <c r="M996" s="22">
        <f t="shared" si="349"/>
        <v>3.4640571428571423E-2</v>
      </c>
      <c r="N996" s="22">
        <f t="shared" si="349"/>
        <v>3.4640571428571423E-2</v>
      </c>
      <c r="O996" s="22">
        <f t="shared" si="349"/>
        <v>3.4640571428571423E-2</v>
      </c>
      <c r="P996" s="22">
        <f t="shared" si="349"/>
        <v>3.4640571428571423E-2</v>
      </c>
      <c r="Q996" s="22">
        <f t="shared" si="349"/>
        <v>3.4640571428571423E-2</v>
      </c>
      <c r="R996" s="22">
        <f t="shared" si="349"/>
        <v>3.4640571428571423E-2</v>
      </c>
      <c r="S996" s="22">
        <f t="shared" si="349"/>
        <v>3.4640571428571423E-2</v>
      </c>
      <c r="T996" s="22">
        <f t="shared" si="349"/>
        <v>3.4640571428571423E-2</v>
      </c>
      <c r="U996" s="22">
        <f t="shared" si="349"/>
        <v>3.4640571428571423E-2</v>
      </c>
      <c r="V996" s="22">
        <f t="shared" si="349"/>
        <v>3.4640571428571423E-2</v>
      </c>
      <c r="W996" s="22">
        <f t="shared" si="349"/>
        <v>3.4640571428571423E-2</v>
      </c>
      <c r="X996" s="22">
        <f t="shared" si="349"/>
        <v>3.4640571428571423E-2</v>
      </c>
      <c r="Y996" s="22">
        <f t="shared" si="349"/>
        <v>3.4640571428571423E-2</v>
      </c>
      <c r="Z996" s="22">
        <f t="shared" si="349"/>
        <v>3.4640571428571423E-2</v>
      </c>
      <c r="AA996" s="22">
        <f t="shared" si="349"/>
        <v>3.4640571428571423E-2</v>
      </c>
      <c r="AB996" s="22">
        <f t="shared" si="349"/>
        <v>3.4640571428571423E-2</v>
      </c>
      <c r="AC996" s="22">
        <f t="shared" si="349"/>
        <v>3.4640571428571423E-2</v>
      </c>
      <c r="AD996" s="22">
        <f t="shared" si="349"/>
        <v>3.4640571428571423E-2</v>
      </c>
      <c r="AE996" s="22">
        <f t="shared" si="349"/>
        <v>3.4640571428571423E-2</v>
      </c>
      <c r="AF996" s="22">
        <f t="shared" si="349"/>
        <v>3.4640571428571423E-2</v>
      </c>
      <c r="AG996" s="22">
        <f t="shared" si="349"/>
        <v>3.4640571428571423E-2</v>
      </c>
      <c r="AH996" s="22">
        <f t="shared" si="349"/>
        <v>3.4640571428571423E-2</v>
      </c>
      <c r="AI996" s="22">
        <f t="shared" si="349"/>
        <v>3.4640571428571423E-2</v>
      </c>
      <c r="AJ996" s="22">
        <f t="shared" si="349"/>
        <v>3.4640571428571423E-2</v>
      </c>
      <c r="AK996" s="22">
        <f t="shared" si="349"/>
        <v>3.4640571428571423E-2</v>
      </c>
      <c r="AL996" s="22">
        <f t="shared" si="349"/>
        <v>3.4640571428571423E-2</v>
      </c>
      <c r="AM996" s="22">
        <f t="shared" si="349"/>
        <v>3.4640571428571423E-2</v>
      </c>
      <c r="AN996" s="22">
        <f t="shared" si="349"/>
        <v>3.4640571428571423E-2</v>
      </c>
      <c r="AO996" s="22">
        <f t="shared" si="349"/>
        <v>3.4640571428571423E-2</v>
      </c>
      <c r="AP996" s="22">
        <f t="shared" si="349"/>
        <v>3.4640571428571423E-2</v>
      </c>
      <c r="AQ996" s="22">
        <f t="shared" si="349"/>
        <v>3.4640571428571423E-2</v>
      </c>
      <c r="AR996" s="22">
        <f t="shared" si="349"/>
        <v>3.4640571428571423E-2</v>
      </c>
      <c r="AS996" s="22">
        <f t="shared" si="349"/>
        <v>3.4640571428571423E-2</v>
      </c>
      <c r="AT996" s="22">
        <f t="shared" si="349"/>
        <v>3.4640571428571423E-2</v>
      </c>
      <c r="AU996" s="22">
        <f t="shared" si="349"/>
        <v>3.4640571428571423E-2</v>
      </c>
      <c r="AV996" s="22">
        <f t="shared" si="349"/>
        <v>3.4640571428571423E-2</v>
      </c>
      <c r="AW996" s="22">
        <f t="shared" si="349"/>
        <v>3.4640571428571423E-2</v>
      </c>
      <c r="AY996" s="85"/>
      <c r="AZ996" s="85"/>
    </row>
    <row r="997" spans="1:52" x14ac:dyDescent="0.25">
      <c r="A997" s="102" t="str">
        <f t="shared" si="345"/>
        <v>DS U&amp;D</v>
      </c>
      <c r="B997" s="102" t="s">
        <v>975</v>
      </c>
      <c r="C997" s="102" t="s">
        <v>1337</v>
      </c>
      <c r="D997" t="s">
        <v>369</v>
      </c>
      <c r="E997" t="s">
        <v>55</v>
      </c>
      <c r="F997" t="s">
        <v>422</v>
      </c>
      <c r="G997" t="s">
        <v>1177</v>
      </c>
      <c r="H997" t="s">
        <v>1253</v>
      </c>
      <c r="I997" t="s">
        <v>139</v>
      </c>
      <c r="J997" t="s">
        <v>287</v>
      </c>
      <c r="K997" s="101">
        <f>IF('Net zero activities &amp; levers'!$C$12="Off",'Activity data'!AD78*UDCPPEF*NtoN2O*kgtoGg,IF('Net zero activities &amp; levers'!$C$12="PB",'Activity data'!AD78*UDCPPEF*NtoN2O*kgtoGg,IF('Net zero activities &amp; levers'!$C$12="MS",'Net zero Activity data'!AD78*UDCPPEF*NtoN2O*kgtoGg,"ERROR")))</f>
        <v>0</v>
      </c>
      <c r="L997" s="101">
        <f>IF('Net zero activities &amp; levers'!$C$12="Off",'Activity data'!AE78*UDCPPEF*NtoN2O*kgtoGg,IF('Net zero activities &amp; levers'!$C$12="PB",'Activity data'!AE78*UDCPPEF*NtoN2O*kgtoGg,IF('Net zero activities &amp; levers'!$C$12="MS",'Net zero Activity data'!AE78*UDCPPEF*NtoN2O*kgtoGg,"ERROR")))</f>
        <v>0</v>
      </c>
      <c r="M997" s="101">
        <f>IF('Net zero activities &amp; levers'!$C$12="Off",'Activity data'!AF78*UDCPPEF*NtoN2O*kgtoGg,IF('Net zero activities &amp; levers'!$C$12="PB",'Activity data'!AF78*UDCPPEF*NtoN2O*kgtoGg,IF('Net zero activities &amp; levers'!$C$12="MS",'Net zero Activity data'!AF78*UDCPPEF*NtoN2O*kgtoGg,"ERROR")))</f>
        <v>0</v>
      </c>
      <c r="N997" s="101">
        <f>IF('Net zero activities &amp; levers'!$C$12="Off",'Activity data'!AG78*UDCPPEF*NtoN2O*kgtoGg,IF('Net zero activities &amp; levers'!$C$12="PB",'Activity data'!AG78*UDCPPEF*NtoN2O*kgtoGg,IF('Net zero activities &amp; levers'!$C$12="MS",'Net zero Activity data'!AG78*UDCPPEF*NtoN2O*kgtoGg,"ERROR")))</f>
        <v>0</v>
      </c>
      <c r="O997" s="101">
        <f>IF('Net zero activities &amp; levers'!$C$12="Off",'Activity data'!AH78*UDCPPEF*NtoN2O*kgtoGg,IF('Net zero activities &amp; levers'!$C$12="PB",'Activity data'!AH78*UDCPPEF*NtoN2O*kgtoGg,IF('Net zero activities &amp; levers'!$C$12="MS",'Net zero Activity data'!AH78*UDCPPEF*NtoN2O*kgtoGg,"ERROR")))</f>
        <v>0</v>
      </c>
      <c r="P997" s="101">
        <f>IF('Net zero activities &amp; levers'!$C$12="Off",'Activity data'!AI78*UDCPPEF*NtoN2O*kgtoGg,IF('Net zero activities &amp; levers'!$C$12="PB",'Activity data'!AI78*UDCPPEF*NtoN2O*kgtoGg,IF('Net zero activities &amp; levers'!$C$12="MS",'Net zero Activity data'!AI78*UDCPPEF*NtoN2O*kgtoGg,"ERROR")))</f>
        <v>0</v>
      </c>
      <c r="Q997" s="101">
        <f>IF('Net zero activities &amp; levers'!$C$12="Off",'Activity data'!AJ78*UDCPPEF*NtoN2O*kgtoGg,IF('Net zero activities &amp; levers'!$C$12="PB",'Activity data'!AJ78*UDCPPEF*NtoN2O*kgtoGg,IF('Net zero activities &amp; levers'!$C$12="MS",'Net zero Activity data'!AJ78*UDCPPEF*NtoN2O*kgtoGg,"ERROR")))</f>
        <v>0</v>
      </c>
      <c r="R997" s="101">
        <f>IF('Net zero activities &amp; levers'!$C$12="Off",'Activity data'!AK78*UDCPPEF*NtoN2O*kgtoGg,IF('Net zero activities &amp; levers'!$C$12="PB",'Activity data'!AK78*UDCPPEF*NtoN2O*kgtoGg,IF('Net zero activities &amp; levers'!$C$12="MS",'Net zero Activity data'!AK78*UDCPPEF*NtoN2O*kgtoGg,"ERROR")))</f>
        <v>0</v>
      </c>
      <c r="S997" s="101">
        <f>IF('Net zero activities &amp; levers'!$C$12="Off",'Activity data'!AL78*UDCPPEF*NtoN2O*kgtoGg,IF('Net zero activities &amp; levers'!$C$12="PB",'Activity data'!AL78*UDCPPEF*NtoN2O*kgtoGg,IF('Net zero activities &amp; levers'!$C$12="MS",'Net zero Activity data'!AL78*UDCPPEF*NtoN2O*kgtoGg,"ERROR")))</f>
        <v>0</v>
      </c>
      <c r="T997" s="101">
        <f>IF('Net zero activities &amp; levers'!$C$12="Off",'Activity data'!AM78*UDCPPEF*NtoN2O*kgtoGg,IF('Net zero activities &amp; levers'!$C$12="PB",'Activity data'!AM78*UDCPPEF*NtoN2O*kgtoGg,IF('Net zero activities &amp; levers'!$C$12="MS",'Net zero Activity data'!AM78*UDCPPEF*NtoN2O*kgtoGg,"ERROR")))</f>
        <v>0</v>
      </c>
      <c r="U997" s="101">
        <f>IF('Net zero activities &amp; levers'!$C$12="Off",'Activity data'!AN78*UDCPPEF*NtoN2O*kgtoGg,IF('Net zero activities &amp; levers'!$C$12="PB",'Activity data'!AN78*UDCPPEF*NtoN2O*kgtoGg,IF('Net zero activities &amp; levers'!$C$12="MS",'Net zero Activity data'!AN78*UDCPPEF*NtoN2O*kgtoGg,"ERROR")))</f>
        <v>0</v>
      </c>
      <c r="V997" s="101">
        <f>IF('Net zero activities &amp; levers'!$C$12="Off",'Activity data'!AO78*UDCPPEF*NtoN2O*kgtoGg,IF('Net zero activities &amp; levers'!$C$12="PB",'Activity data'!AO78*UDCPPEF*NtoN2O*kgtoGg,IF('Net zero activities &amp; levers'!$C$12="MS",'Net zero Activity data'!AO78*UDCPPEF*NtoN2O*kgtoGg,"ERROR")))</f>
        <v>0</v>
      </c>
      <c r="W997" s="101">
        <f>IF('Net zero activities &amp; levers'!$C$12="Off",'Activity data'!AP78*UDCPPEF*NtoN2O*kgtoGg,IF('Net zero activities &amp; levers'!$C$12="PB",'Activity data'!AP78*UDCPPEF*NtoN2O*kgtoGg,IF('Net zero activities &amp; levers'!$C$12="MS",'Net zero Activity data'!AP78*UDCPPEF*NtoN2O*kgtoGg,"ERROR")))</f>
        <v>0</v>
      </c>
      <c r="X997" s="101">
        <f>IF('Net zero activities &amp; levers'!$C$12="Off",'Activity data'!AQ78*UDCPPEF*NtoN2O*kgtoGg,IF('Net zero activities &amp; levers'!$C$12="PB",'Activity data'!AQ78*UDCPPEF*NtoN2O*kgtoGg,IF('Net zero activities &amp; levers'!$C$12="MS",'Net zero Activity data'!AQ78*UDCPPEF*NtoN2O*kgtoGg,"ERROR")))</f>
        <v>0</v>
      </c>
      <c r="Y997" s="101">
        <f>IF('Net zero activities &amp; levers'!$C$12="Off",'Activity data'!AR78*UDCPPEF*NtoN2O*kgtoGg,IF('Net zero activities &amp; levers'!$C$12="PB",'Activity data'!AR78*UDCPPEF*NtoN2O*kgtoGg,IF('Net zero activities &amp; levers'!$C$12="MS",'Net zero Activity data'!AR78*UDCPPEF*NtoN2O*kgtoGg,"ERROR")))</f>
        <v>0</v>
      </c>
      <c r="Z997" s="101">
        <f>IF('Net zero activities &amp; levers'!$C$12="Off",'Activity data'!AS78*UDCPPEF*NtoN2O*kgtoGg,IF('Net zero activities &amp; levers'!$C$12="PB",'Activity data'!AS78*UDCPPEF*NtoN2O*kgtoGg,IF('Net zero activities &amp; levers'!$C$12="MS",'Net zero Activity data'!AS78*UDCPPEF*NtoN2O*kgtoGg,"ERROR")))</f>
        <v>0</v>
      </c>
      <c r="AA997" s="101">
        <f>IF('Net zero activities &amp; levers'!$C$12="Off",'Activity data'!AT78*UDCPPEF*NtoN2O*kgtoGg,IF('Net zero activities &amp; levers'!$C$12="PB",'Activity data'!AT78*UDCPPEF*NtoN2O*kgtoGg,IF('Net zero activities &amp; levers'!$C$12="MS",'Net zero Activity data'!AT78*UDCPPEF*NtoN2O*kgtoGg,"ERROR")))</f>
        <v>0</v>
      </c>
      <c r="AB997" s="101">
        <f>IF('Net zero activities &amp; levers'!$C$12="Off",'Activity data'!AU78*UDCPPEF*NtoN2O*kgtoGg,IF('Net zero activities &amp; levers'!$C$12="PB",'Activity data'!AU78*UDCPPEF*NtoN2O*kgtoGg,IF('Net zero activities &amp; levers'!$C$12="MS",'Net zero Activity data'!AU78*UDCPPEF*NtoN2O*kgtoGg,"ERROR")))</f>
        <v>0</v>
      </c>
      <c r="AC997" s="101">
        <f>IF('Net zero activities &amp; levers'!$C$12="Off",'Activity data'!AV78*UDCPPEF*NtoN2O*kgtoGg,IF('Net zero activities &amp; levers'!$C$12="PB",'Activity data'!AV78*UDCPPEF*NtoN2O*kgtoGg,IF('Net zero activities &amp; levers'!$C$12="MS",'Net zero Activity data'!AV78*UDCPPEF*NtoN2O*kgtoGg,"ERROR")))</f>
        <v>0</v>
      </c>
      <c r="AD997" s="101">
        <f>IF('Net zero activities &amp; levers'!$C$12="Off",'Activity data'!AW78*UDCPPEF*NtoN2O*kgtoGg,IF('Net zero activities &amp; levers'!$C$12="PB",'Activity data'!AW78*UDCPPEF*NtoN2O*kgtoGg,IF('Net zero activities &amp; levers'!$C$12="MS",'Net zero Activity data'!AW78*UDCPPEF*NtoN2O*kgtoGg,"ERROR")))</f>
        <v>0</v>
      </c>
      <c r="AE997" s="101">
        <f>IF('Net zero activities &amp; levers'!$C$12="Off",'Activity data'!AX78*UDCPPEF*NtoN2O*kgtoGg,IF('Net zero activities &amp; levers'!$C$12="PB",'Activity data'!AX78*UDCPPEF*NtoN2O*kgtoGg,IF('Net zero activities &amp; levers'!$C$12="MS",'Net zero Activity data'!AX78*UDCPPEF*NtoN2O*kgtoGg,"ERROR")))</f>
        <v>0</v>
      </c>
      <c r="AF997" s="101">
        <f>IF('Net zero activities &amp; levers'!$C$12="Off",'Activity data'!AY78*UDCPPEF*NtoN2O*kgtoGg,IF('Net zero activities &amp; levers'!$C$12="PB",'Activity data'!AY78*UDCPPEF*NtoN2O*kgtoGg,IF('Net zero activities &amp; levers'!$C$12="MS",'Net zero Activity data'!AY78*UDCPPEF*NtoN2O*kgtoGg,"ERROR")))</f>
        <v>0</v>
      </c>
      <c r="AG997" s="101">
        <f>IF('Net zero activities &amp; levers'!$C$12="Off",'Activity data'!AZ78*UDCPPEF*NtoN2O*kgtoGg,IF('Net zero activities &amp; levers'!$C$12="PB",'Activity data'!AZ78*UDCPPEF*NtoN2O*kgtoGg,IF('Net zero activities &amp; levers'!$C$12="MS",'Net zero Activity data'!AZ78*UDCPPEF*NtoN2O*kgtoGg,"ERROR")))</f>
        <v>0</v>
      </c>
      <c r="AH997" s="101">
        <f>IF('Net zero activities &amp; levers'!$C$12="Off",'Activity data'!BA78*UDCPPEF*NtoN2O*kgtoGg,IF('Net zero activities &amp; levers'!$C$12="PB",'Activity data'!BA78*UDCPPEF*NtoN2O*kgtoGg,IF('Net zero activities &amp; levers'!$C$12="MS",'Net zero Activity data'!BA78*UDCPPEF*NtoN2O*kgtoGg,"ERROR")))</f>
        <v>0</v>
      </c>
      <c r="AI997" s="101">
        <f>IF('Net zero activities &amp; levers'!$C$12="Off",'Activity data'!BB78*UDCPPEF*NtoN2O*kgtoGg,IF('Net zero activities &amp; levers'!$C$12="PB",'Activity data'!BB78*UDCPPEF*NtoN2O*kgtoGg,IF('Net zero activities &amp; levers'!$C$12="MS",'Net zero Activity data'!BB78*UDCPPEF*NtoN2O*kgtoGg,"ERROR")))</f>
        <v>0</v>
      </c>
      <c r="AJ997" s="101">
        <f>IF('Net zero activities &amp; levers'!$C$12="Off",'Activity data'!BC78*UDCPPEF*NtoN2O*kgtoGg,IF('Net zero activities &amp; levers'!$C$12="PB",'Activity data'!BC78*UDCPPEF*NtoN2O*kgtoGg,IF('Net zero activities &amp; levers'!$C$12="MS",'Net zero Activity data'!BC78*UDCPPEF*NtoN2O*kgtoGg,"ERROR")))</f>
        <v>0</v>
      </c>
      <c r="AK997" s="101">
        <f>IF('Net zero activities &amp; levers'!$C$12="Off",'Activity data'!BD78*UDCPPEF*NtoN2O*kgtoGg,IF('Net zero activities &amp; levers'!$C$12="PB",'Activity data'!BD78*UDCPPEF*NtoN2O*kgtoGg,IF('Net zero activities &amp; levers'!$C$12="MS",'Net zero Activity data'!BD78*UDCPPEF*NtoN2O*kgtoGg,"ERROR")))</f>
        <v>0</v>
      </c>
      <c r="AL997" s="101">
        <f>IF('Net zero activities &amp; levers'!$C$12="Off",'Activity data'!BE78*UDCPPEF*NtoN2O*kgtoGg,IF('Net zero activities &amp; levers'!$C$12="PB",'Activity data'!BE78*UDCPPEF*NtoN2O*kgtoGg,IF('Net zero activities &amp; levers'!$C$12="MS",'Net zero Activity data'!BE78*UDCPPEF*NtoN2O*kgtoGg,"ERROR")))</f>
        <v>0</v>
      </c>
      <c r="AM997" s="101">
        <f>IF('Net zero activities &amp; levers'!$C$12="Off",'Activity data'!BF78*UDCPPEF*NtoN2O*kgtoGg,IF('Net zero activities &amp; levers'!$C$12="PB",'Activity data'!BF78*UDCPPEF*NtoN2O*kgtoGg,IF('Net zero activities &amp; levers'!$C$12="MS",'Net zero Activity data'!BF78*UDCPPEF*NtoN2O*kgtoGg,"ERROR")))</f>
        <v>0</v>
      </c>
      <c r="AN997" s="101">
        <f>IF('Net zero activities &amp; levers'!$C$12="Off",'Activity data'!BG78*UDCPPEF*NtoN2O*kgtoGg,IF('Net zero activities &amp; levers'!$C$12="PB",'Activity data'!BG78*UDCPPEF*NtoN2O*kgtoGg,IF('Net zero activities &amp; levers'!$C$12="MS",'Net zero Activity data'!BG78*UDCPPEF*NtoN2O*kgtoGg,"ERROR")))</f>
        <v>0</v>
      </c>
      <c r="AO997" s="101">
        <f>IF('Net zero activities &amp; levers'!$C$12="Off",'Activity data'!BH78*UDCPPEF*NtoN2O*kgtoGg,IF('Net zero activities &amp; levers'!$C$12="PB",'Activity data'!BH78*UDCPPEF*NtoN2O*kgtoGg,IF('Net zero activities &amp; levers'!$C$12="MS",'Net zero Activity data'!BH78*UDCPPEF*NtoN2O*kgtoGg,"ERROR")))</f>
        <v>0</v>
      </c>
      <c r="AP997" s="101">
        <f>IF('Net zero activities &amp; levers'!$C$12="Off",'Activity data'!BI78*UDCPPEF*NtoN2O*kgtoGg,IF('Net zero activities &amp; levers'!$C$12="PB",'Activity data'!BI78*UDCPPEF*NtoN2O*kgtoGg,IF('Net zero activities &amp; levers'!$C$12="MS",'Net zero Activity data'!BI78*UDCPPEF*NtoN2O*kgtoGg,"ERROR")))</f>
        <v>0</v>
      </c>
      <c r="AQ997" s="101">
        <f>IF('Net zero activities &amp; levers'!$C$12="Off",'Activity data'!BJ78*UDCPPEF*NtoN2O*kgtoGg,IF('Net zero activities &amp; levers'!$C$12="PB",'Activity data'!BJ78*UDCPPEF*NtoN2O*kgtoGg,IF('Net zero activities &amp; levers'!$C$12="MS",'Net zero Activity data'!BJ78*UDCPPEF*NtoN2O*kgtoGg,"ERROR")))</f>
        <v>0</v>
      </c>
      <c r="AR997" s="101">
        <f>IF('Net zero activities &amp; levers'!$C$12="Off",'Activity data'!BK78*UDCPPEF*NtoN2O*kgtoGg,IF('Net zero activities &amp; levers'!$C$12="PB",'Activity data'!BK78*UDCPPEF*NtoN2O*kgtoGg,IF('Net zero activities &amp; levers'!$C$12="MS",'Net zero Activity data'!BK78*UDCPPEF*NtoN2O*kgtoGg,"ERROR")))</f>
        <v>0</v>
      </c>
      <c r="AS997" s="101">
        <f>IF('Net zero activities &amp; levers'!$C$12="Off",'Activity data'!BL78*UDCPPEF*NtoN2O*kgtoGg,IF('Net zero activities &amp; levers'!$C$12="PB",'Activity data'!BL78*UDCPPEF*NtoN2O*kgtoGg,IF('Net zero activities &amp; levers'!$C$12="MS",'Net zero Activity data'!BL78*UDCPPEF*NtoN2O*kgtoGg,"ERROR")))</f>
        <v>0</v>
      </c>
      <c r="AT997" s="101">
        <f>IF('Net zero activities &amp; levers'!$C$12="Off",'Activity data'!BM78*UDCPPEF*NtoN2O*kgtoGg,IF('Net zero activities &amp; levers'!$C$12="PB",'Activity data'!BM78*UDCPPEF*NtoN2O*kgtoGg,IF('Net zero activities &amp; levers'!$C$12="MS",'Net zero Activity data'!BM78*UDCPPEF*NtoN2O*kgtoGg,"ERROR")))</f>
        <v>0</v>
      </c>
      <c r="AU997" s="101">
        <f>IF('Net zero activities &amp; levers'!$C$12="Off",'Activity data'!BN78*UDCPPEF*NtoN2O*kgtoGg,IF('Net zero activities &amp; levers'!$C$12="PB",'Activity data'!BN78*UDCPPEF*NtoN2O*kgtoGg,IF('Net zero activities &amp; levers'!$C$12="MS",'Net zero Activity data'!BN78*UDCPPEF*NtoN2O*kgtoGg,"ERROR")))</f>
        <v>0</v>
      </c>
      <c r="AV997" s="101">
        <f>IF('Net zero activities &amp; levers'!$C$12="Off",'Activity data'!BO78*UDCPPEF*NtoN2O*kgtoGg,IF('Net zero activities &amp; levers'!$C$12="PB",'Activity data'!BO78*UDCPPEF*NtoN2O*kgtoGg,IF('Net zero activities &amp; levers'!$C$12="MS",'Net zero Activity data'!BO78*UDCPPEF*NtoN2O*kgtoGg,"ERROR")))</f>
        <v>0</v>
      </c>
      <c r="AW997" s="101">
        <f>IF('Net zero activities &amp; levers'!$C$12="Off",'Activity data'!BP78*UDCPPEF*NtoN2O*kgtoGg,IF('Net zero activities &amp; levers'!$C$12="PB",'Activity data'!BP78*UDCPPEF*NtoN2O*kgtoGg,IF('Net zero activities &amp; levers'!$C$12="MS",'Net zero Activity data'!BP78*UDCPPEF*NtoN2O*kgtoGg,"ERROR")))</f>
        <v>0</v>
      </c>
      <c r="AY997" s="85"/>
      <c r="AZ997" s="85"/>
    </row>
    <row r="998" spans="1:52" x14ac:dyDescent="0.25">
      <c r="A998" s="102" t="str">
        <f t="shared" si="345"/>
        <v>DS U&amp;D</v>
      </c>
      <c r="B998" s="102" t="s">
        <v>975</v>
      </c>
      <c r="C998" s="102" t="s">
        <v>1337</v>
      </c>
      <c r="D998" t="s">
        <v>369</v>
      </c>
      <c r="E998" t="s">
        <v>55</v>
      </c>
      <c r="F998" t="s">
        <v>422</v>
      </c>
      <c r="G998" t="s">
        <v>1179</v>
      </c>
      <c r="H998" t="s">
        <v>1254</v>
      </c>
      <c r="I998" t="s">
        <v>139</v>
      </c>
      <c r="J998" t="s">
        <v>287</v>
      </c>
      <c r="K998" s="101">
        <f>IF('Net zero activities &amp; levers'!$C$12="Off",'Activity data'!AD79*UDCPPEF*NtoN2O*kgtoGg,IF('Net zero activities &amp; levers'!$C$12="PB",'Activity data'!AD79*UDCPPEF*NtoN2O*kgtoGg,IF('Net zero activities &amp; levers'!$C$12="MS",'Net zero Activity data'!AD79*UDCPPEF*NtoN2O*kgtoGg,"ERROR")))</f>
        <v>0</v>
      </c>
      <c r="L998" s="101">
        <f>IF('Net zero activities &amp; levers'!$C$12="Off",'Activity data'!AE79*UDCPPEF*NtoN2O*kgtoGg,IF('Net zero activities &amp; levers'!$C$12="PB",'Activity data'!AE79*UDCPPEF*NtoN2O*kgtoGg,IF('Net zero activities &amp; levers'!$C$12="MS",'Net zero Activity data'!AE79*UDCPPEF*NtoN2O*kgtoGg,"ERROR")))</f>
        <v>0</v>
      </c>
      <c r="M998" s="101">
        <f>IF('Net zero activities &amp; levers'!$C$12="Off",'Activity data'!AF79*UDCPPEF*NtoN2O*kgtoGg,IF('Net zero activities &amp; levers'!$C$12="PB",'Activity data'!AF79*UDCPPEF*NtoN2O*kgtoGg,IF('Net zero activities &amp; levers'!$C$12="MS",'Net zero Activity data'!AF79*UDCPPEF*NtoN2O*kgtoGg,"ERROR")))</f>
        <v>0</v>
      </c>
      <c r="N998" s="101">
        <f>IF('Net zero activities &amp; levers'!$C$12="Off",'Activity data'!AG79*UDCPPEF*NtoN2O*kgtoGg,IF('Net zero activities &amp; levers'!$C$12="PB",'Activity data'!AG79*UDCPPEF*NtoN2O*kgtoGg,IF('Net zero activities &amp; levers'!$C$12="MS",'Net zero Activity data'!AG79*UDCPPEF*NtoN2O*kgtoGg,"ERROR")))</f>
        <v>0</v>
      </c>
      <c r="O998" s="101">
        <f>IF('Net zero activities &amp; levers'!$C$12="Off",'Activity data'!AH79*UDCPPEF*NtoN2O*kgtoGg,IF('Net zero activities &amp; levers'!$C$12="PB",'Activity data'!AH79*UDCPPEF*NtoN2O*kgtoGg,IF('Net zero activities &amp; levers'!$C$12="MS",'Net zero Activity data'!AH79*UDCPPEF*NtoN2O*kgtoGg,"ERROR")))</f>
        <v>0</v>
      </c>
      <c r="P998" s="101">
        <f>IF('Net zero activities &amp; levers'!$C$12="Off",'Activity data'!AI79*UDCPPEF*NtoN2O*kgtoGg,IF('Net zero activities &amp; levers'!$C$12="PB",'Activity data'!AI79*UDCPPEF*NtoN2O*kgtoGg,IF('Net zero activities &amp; levers'!$C$12="MS",'Net zero Activity data'!AI79*UDCPPEF*NtoN2O*kgtoGg,"ERROR")))</f>
        <v>0</v>
      </c>
      <c r="Q998" s="101">
        <f>IF('Net zero activities &amp; levers'!$C$12="Off",'Activity data'!AJ79*UDCPPEF*NtoN2O*kgtoGg,IF('Net zero activities &amp; levers'!$C$12="PB",'Activity data'!AJ79*UDCPPEF*NtoN2O*kgtoGg,IF('Net zero activities &amp; levers'!$C$12="MS",'Net zero Activity data'!AJ79*UDCPPEF*NtoN2O*kgtoGg,"ERROR")))</f>
        <v>0</v>
      </c>
      <c r="R998" s="101">
        <f>IF('Net zero activities &amp; levers'!$C$12="Off",'Activity data'!AK79*UDCPPEF*NtoN2O*kgtoGg,IF('Net zero activities &amp; levers'!$C$12="PB",'Activity data'!AK79*UDCPPEF*NtoN2O*kgtoGg,IF('Net zero activities &amp; levers'!$C$12="MS",'Net zero Activity data'!AK79*UDCPPEF*NtoN2O*kgtoGg,"ERROR")))</f>
        <v>0</v>
      </c>
      <c r="S998" s="101">
        <f>IF('Net zero activities &amp; levers'!$C$12="Off",'Activity data'!AL79*UDCPPEF*NtoN2O*kgtoGg,IF('Net zero activities &amp; levers'!$C$12="PB",'Activity data'!AL79*UDCPPEF*NtoN2O*kgtoGg,IF('Net zero activities &amp; levers'!$C$12="MS",'Net zero Activity data'!AL79*UDCPPEF*NtoN2O*kgtoGg,"ERROR")))</f>
        <v>0</v>
      </c>
      <c r="T998" s="101">
        <f>IF('Net zero activities &amp; levers'!$C$12="Off",'Activity data'!AM79*UDCPPEF*NtoN2O*kgtoGg,IF('Net zero activities &amp; levers'!$C$12="PB",'Activity data'!AM79*UDCPPEF*NtoN2O*kgtoGg,IF('Net zero activities &amp; levers'!$C$12="MS",'Net zero Activity data'!AM79*UDCPPEF*NtoN2O*kgtoGg,"ERROR")))</f>
        <v>0</v>
      </c>
      <c r="U998" s="101">
        <f>IF('Net zero activities &amp; levers'!$C$12="Off",'Activity data'!AN79*UDCPPEF*NtoN2O*kgtoGg,IF('Net zero activities &amp; levers'!$C$12="PB",'Activity data'!AN79*UDCPPEF*NtoN2O*kgtoGg,IF('Net zero activities &amp; levers'!$C$12="MS",'Net zero Activity data'!AN79*UDCPPEF*NtoN2O*kgtoGg,"ERROR")))</f>
        <v>0</v>
      </c>
      <c r="V998" s="101">
        <f>IF('Net zero activities &amp; levers'!$C$12="Off",'Activity data'!AO79*UDCPPEF*NtoN2O*kgtoGg,IF('Net zero activities &amp; levers'!$C$12="PB",'Activity data'!AO79*UDCPPEF*NtoN2O*kgtoGg,IF('Net zero activities &amp; levers'!$C$12="MS",'Net zero Activity data'!AO79*UDCPPEF*NtoN2O*kgtoGg,"ERROR")))</f>
        <v>0</v>
      </c>
      <c r="W998" s="101">
        <f>IF('Net zero activities &amp; levers'!$C$12="Off",'Activity data'!AP79*UDCPPEF*NtoN2O*kgtoGg,IF('Net zero activities &amp; levers'!$C$12="PB",'Activity data'!AP79*UDCPPEF*NtoN2O*kgtoGg,IF('Net zero activities &amp; levers'!$C$12="MS",'Net zero Activity data'!AP79*UDCPPEF*NtoN2O*kgtoGg,"ERROR")))</f>
        <v>0</v>
      </c>
      <c r="X998" s="101">
        <f>IF('Net zero activities &amp; levers'!$C$12="Off",'Activity data'!AQ79*UDCPPEF*NtoN2O*kgtoGg,IF('Net zero activities &amp; levers'!$C$12="PB",'Activity data'!AQ79*UDCPPEF*NtoN2O*kgtoGg,IF('Net zero activities &amp; levers'!$C$12="MS",'Net zero Activity data'!AQ79*UDCPPEF*NtoN2O*kgtoGg,"ERROR")))</f>
        <v>0</v>
      </c>
      <c r="Y998" s="101">
        <f>IF('Net zero activities &amp; levers'!$C$12="Off",'Activity data'!AR79*UDCPPEF*NtoN2O*kgtoGg,IF('Net zero activities &amp; levers'!$C$12="PB",'Activity data'!AR79*UDCPPEF*NtoN2O*kgtoGg,IF('Net zero activities &amp; levers'!$C$12="MS",'Net zero Activity data'!AR79*UDCPPEF*NtoN2O*kgtoGg,"ERROR")))</f>
        <v>0</v>
      </c>
      <c r="Z998" s="101">
        <f>IF('Net zero activities &amp; levers'!$C$12="Off",'Activity data'!AS79*UDCPPEF*NtoN2O*kgtoGg,IF('Net zero activities &amp; levers'!$C$12="PB",'Activity data'!AS79*UDCPPEF*NtoN2O*kgtoGg,IF('Net zero activities &amp; levers'!$C$12="MS",'Net zero Activity data'!AS79*UDCPPEF*NtoN2O*kgtoGg,"ERROR")))</f>
        <v>0</v>
      </c>
      <c r="AA998" s="101">
        <f>IF('Net zero activities &amp; levers'!$C$12="Off",'Activity data'!AT79*UDCPPEF*NtoN2O*kgtoGg,IF('Net zero activities &amp; levers'!$C$12="PB",'Activity data'!AT79*UDCPPEF*NtoN2O*kgtoGg,IF('Net zero activities &amp; levers'!$C$12="MS",'Net zero Activity data'!AT79*UDCPPEF*NtoN2O*kgtoGg,"ERROR")))</f>
        <v>0</v>
      </c>
      <c r="AB998" s="101">
        <f>IF('Net zero activities &amp; levers'!$C$12="Off",'Activity data'!AU79*UDCPPEF*NtoN2O*kgtoGg,IF('Net zero activities &amp; levers'!$C$12="PB",'Activity data'!AU79*UDCPPEF*NtoN2O*kgtoGg,IF('Net zero activities &amp; levers'!$C$12="MS",'Net zero Activity data'!AU79*UDCPPEF*NtoN2O*kgtoGg,"ERROR")))</f>
        <v>0</v>
      </c>
      <c r="AC998" s="101">
        <f>IF('Net zero activities &amp; levers'!$C$12="Off",'Activity data'!AV79*UDCPPEF*NtoN2O*kgtoGg,IF('Net zero activities &amp; levers'!$C$12="PB",'Activity data'!AV79*UDCPPEF*NtoN2O*kgtoGg,IF('Net zero activities &amp; levers'!$C$12="MS",'Net zero Activity data'!AV79*UDCPPEF*NtoN2O*kgtoGg,"ERROR")))</f>
        <v>0</v>
      </c>
      <c r="AD998" s="101">
        <f>IF('Net zero activities &amp; levers'!$C$12="Off",'Activity data'!AW79*UDCPPEF*NtoN2O*kgtoGg,IF('Net zero activities &amp; levers'!$C$12="PB",'Activity data'!AW79*UDCPPEF*NtoN2O*kgtoGg,IF('Net zero activities &amp; levers'!$C$12="MS",'Net zero Activity data'!AW79*UDCPPEF*NtoN2O*kgtoGg,"ERROR")))</f>
        <v>0</v>
      </c>
      <c r="AE998" s="101">
        <f>IF('Net zero activities &amp; levers'!$C$12="Off",'Activity data'!AX79*UDCPPEF*NtoN2O*kgtoGg,IF('Net zero activities &amp; levers'!$C$12="PB",'Activity data'!AX79*UDCPPEF*NtoN2O*kgtoGg,IF('Net zero activities &amp; levers'!$C$12="MS",'Net zero Activity data'!AX79*UDCPPEF*NtoN2O*kgtoGg,"ERROR")))</f>
        <v>0</v>
      </c>
      <c r="AF998" s="101">
        <f>IF('Net zero activities &amp; levers'!$C$12="Off",'Activity data'!AY79*UDCPPEF*NtoN2O*kgtoGg,IF('Net zero activities &amp; levers'!$C$12="PB",'Activity data'!AY79*UDCPPEF*NtoN2O*kgtoGg,IF('Net zero activities &amp; levers'!$C$12="MS",'Net zero Activity data'!AY79*UDCPPEF*NtoN2O*kgtoGg,"ERROR")))</f>
        <v>0</v>
      </c>
      <c r="AG998" s="101">
        <f>IF('Net zero activities &amp; levers'!$C$12="Off",'Activity data'!AZ79*UDCPPEF*NtoN2O*kgtoGg,IF('Net zero activities &amp; levers'!$C$12="PB",'Activity data'!AZ79*UDCPPEF*NtoN2O*kgtoGg,IF('Net zero activities &amp; levers'!$C$12="MS",'Net zero Activity data'!AZ79*UDCPPEF*NtoN2O*kgtoGg,"ERROR")))</f>
        <v>0</v>
      </c>
      <c r="AH998" s="101">
        <f>IF('Net zero activities &amp; levers'!$C$12="Off",'Activity data'!BA79*UDCPPEF*NtoN2O*kgtoGg,IF('Net zero activities &amp; levers'!$C$12="PB",'Activity data'!BA79*UDCPPEF*NtoN2O*kgtoGg,IF('Net zero activities &amp; levers'!$C$12="MS",'Net zero Activity data'!BA79*UDCPPEF*NtoN2O*kgtoGg,"ERROR")))</f>
        <v>0</v>
      </c>
      <c r="AI998" s="101">
        <f>IF('Net zero activities &amp; levers'!$C$12="Off",'Activity data'!BB79*UDCPPEF*NtoN2O*kgtoGg,IF('Net zero activities &amp; levers'!$C$12="PB",'Activity data'!BB79*UDCPPEF*NtoN2O*kgtoGg,IF('Net zero activities &amp; levers'!$C$12="MS",'Net zero Activity data'!BB79*UDCPPEF*NtoN2O*kgtoGg,"ERROR")))</f>
        <v>0</v>
      </c>
      <c r="AJ998" s="101">
        <f>IF('Net zero activities &amp; levers'!$C$12="Off",'Activity data'!BC79*UDCPPEF*NtoN2O*kgtoGg,IF('Net zero activities &amp; levers'!$C$12="PB",'Activity data'!BC79*UDCPPEF*NtoN2O*kgtoGg,IF('Net zero activities &amp; levers'!$C$12="MS",'Net zero Activity data'!BC79*UDCPPEF*NtoN2O*kgtoGg,"ERROR")))</f>
        <v>0</v>
      </c>
      <c r="AK998" s="101">
        <f>IF('Net zero activities &amp; levers'!$C$12="Off",'Activity data'!BD79*UDCPPEF*NtoN2O*kgtoGg,IF('Net zero activities &amp; levers'!$C$12="PB",'Activity data'!BD79*UDCPPEF*NtoN2O*kgtoGg,IF('Net zero activities &amp; levers'!$C$12="MS",'Net zero Activity data'!BD79*UDCPPEF*NtoN2O*kgtoGg,"ERROR")))</f>
        <v>0</v>
      </c>
      <c r="AL998" s="101">
        <f>IF('Net zero activities &amp; levers'!$C$12="Off",'Activity data'!BE79*UDCPPEF*NtoN2O*kgtoGg,IF('Net zero activities &amp; levers'!$C$12="PB",'Activity data'!BE79*UDCPPEF*NtoN2O*kgtoGg,IF('Net zero activities &amp; levers'!$C$12="MS",'Net zero Activity data'!BE79*UDCPPEF*NtoN2O*kgtoGg,"ERROR")))</f>
        <v>0</v>
      </c>
      <c r="AM998" s="101">
        <f>IF('Net zero activities &amp; levers'!$C$12="Off",'Activity data'!BF79*UDCPPEF*NtoN2O*kgtoGg,IF('Net zero activities &amp; levers'!$C$12="PB",'Activity data'!BF79*UDCPPEF*NtoN2O*kgtoGg,IF('Net zero activities &amp; levers'!$C$12="MS",'Net zero Activity data'!BF79*UDCPPEF*NtoN2O*kgtoGg,"ERROR")))</f>
        <v>0</v>
      </c>
      <c r="AN998" s="101">
        <f>IF('Net zero activities &amp; levers'!$C$12="Off",'Activity data'!BG79*UDCPPEF*NtoN2O*kgtoGg,IF('Net zero activities &amp; levers'!$C$12="PB",'Activity data'!BG79*UDCPPEF*NtoN2O*kgtoGg,IF('Net zero activities &amp; levers'!$C$12="MS",'Net zero Activity data'!BG79*UDCPPEF*NtoN2O*kgtoGg,"ERROR")))</f>
        <v>0</v>
      </c>
      <c r="AO998" s="101">
        <f>IF('Net zero activities &amp; levers'!$C$12="Off",'Activity data'!BH79*UDCPPEF*NtoN2O*kgtoGg,IF('Net zero activities &amp; levers'!$C$12="PB",'Activity data'!BH79*UDCPPEF*NtoN2O*kgtoGg,IF('Net zero activities &amp; levers'!$C$12="MS",'Net zero Activity data'!BH79*UDCPPEF*NtoN2O*kgtoGg,"ERROR")))</f>
        <v>0</v>
      </c>
      <c r="AP998" s="101">
        <f>IF('Net zero activities &amp; levers'!$C$12="Off",'Activity data'!BI79*UDCPPEF*NtoN2O*kgtoGg,IF('Net zero activities &amp; levers'!$C$12="PB",'Activity data'!BI79*UDCPPEF*NtoN2O*kgtoGg,IF('Net zero activities &amp; levers'!$C$12="MS",'Net zero Activity data'!BI79*UDCPPEF*NtoN2O*kgtoGg,"ERROR")))</f>
        <v>0</v>
      </c>
      <c r="AQ998" s="101">
        <f>IF('Net zero activities &amp; levers'!$C$12="Off",'Activity data'!BJ79*UDCPPEF*NtoN2O*kgtoGg,IF('Net zero activities &amp; levers'!$C$12="PB",'Activity data'!BJ79*UDCPPEF*NtoN2O*kgtoGg,IF('Net zero activities &amp; levers'!$C$12="MS",'Net zero Activity data'!BJ79*UDCPPEF*NtoN2O*kgtoGg,"ERROR")))</f>
        <v>0</v>
      </c>
      <c r="AR998" s="101">
        <f>IF('Net zero activities &amp; levers'!$C$12="Off",'Activity data'!BK79*UDCPPEF*NtoN2O*kgtoGg,IF('Net zero activities &amp; levers'!$C$12="PB",'Activity data'!BK79*UDCPPEF*NtoN2O*kgtoGg,IF('Net zero activities &amp; levers'!$C$12="MS",'Net zero Activity data'!BK79*UDCPPEF*NtoN2O*kgtoGg,"ERROR")))</f>
        <v>0</v>
      </c>
      <c r="AS998" s="101">
        <f>IF('Net zero activities &amp; levers'!$C$12="Off",'Activity data'!BL79*UDCPPEF*NtoN2O*kgtoGg,IF('Net zero activities &amp; levers'!$C$12="PB",'Activity data'!BL79*UDCPPEF*NtoN2O*kgtoGg,IF('Net zero activities &amp; levers'!$C$12="MS",'Net zero Activity data'!BL79*UDCPPEF*NtoN2O*kgtoGg,"ERROR")))</f>
        <v>0</v>
      </c>
      <c r="AT998" s="101">
        <f>IF('Net zero activities &amp; levers'!$C$12="Off",'Activity data'!BM79*UDCPPEF*NtoN2O*kgtoGg,IF('Net zero activities &amp; levers'!$C$12="PB",'Activity data'!BM79*UDCPPEF*NtoN2O*kgtoGg,IF('Net zero activities &amp; levers'!$C$12="MS",'Net zero Activity data'!BM79*UDCPPEF*NtoN2O*kgtoGg,"ERROR")))</f>
        <v>0</v>
      </c>
      <c r="AU998" s="101">
        <f>IF('Net zero activities &amp; levers'!$C$12="Off",'Activity data'!BN79*UDCPPEF*NtoN2O*kgtoGg,IF('Net zero activities &amp; levers'!$C$12="PB",'Activity data'!BN79*UDCPPEF*NtoN2O*kgtoGg,IF('Net zero activities &amp; levers'!$C$12="MS",'Net zero Activity data'!BN79*UDCPPEF*NtoN2O*kgtoGg,"ERROR")))</f>
        <v>0</v>
      </c>
      <c r="AV998" s="101">
        <f>IF('Net zero activities &amp; levers'!$C$12="Off",'Activity data'!BO79*UDCPPEF*NtoN2O*kgtoGg,IF('Net zero activities &amp; levers'!$C$12="PB",'Activity data'!BO79*UDCPPEF*NtoN2O*kgtoGg,IF('Net zero activities &amp; levers'!$C$12="MS",'Net zero Activity data'!BO79*UDCPPEF*NtoN2O*kgtoGg,"ERROR")))</f>
        <v>0</v>
      </c>
      <c r="AW998" s="101">
        <f>IF('Net zero activities &amp; levers'!$C$12="Off",'Activity data'!BP79*UDCPPEF*NtoN2O*kgtoGg,IF('Net zero activities &amp; levers'!$C$12="PB",'Activity data'!BP79*UDCPPEF*NtoN2O*kgtoGg,IF('Net zero activities &amp; levers'!$C$12="MS",'Net zero Activity data'!BP79*UDCPPEF*NtoN2O*kgtoGg,"ERROR")))</f>
        <v>0</v>
      </c>
      <c r="AY998" s="85"/>
      <c r="AZ998" s="85"/>
    </row>
    <row r="999" spans="1:52" x14ac:dyDescent="0.25">
      <c r="A999" s="102" t="str">
        <f t="shared" si="345"/>
        <v>DS U&amp;D</v>
      </c>
      <c r="B999" s="102" t="s">
        <v>975</v>
      </c>
      <c r="C999" s="102" t="s">
        <v>1337</v>
      </c>
      <c r="D999" t="s">
        <v>369</v>
      </c>
      <c r="E999" t="s">
        <v>55</v>
      </c>
      <c r="F999" t="s">
        <v>422</v>
      </c>
      <c r="G999" t="s">
        <v>1181</v>
      </c>
      <c r="H999" t="s">
        <v>1255</v>
      </c>
      <c r="I999" t="s">
        <v>139</v>
      </c>
      <c r="J999" t="s">
        <v>287</v>
      </c>
      <c r="K999" s="101">
        <f>IF('Net zero activities &amp; levers'!$C$12="Off",'Activity data'!AD80*UDCPPEF*NtoN2O*kgtoGg,IF('Net zero activities &amp; levers'!$C$12="PB",'Activity data'!AD80*UDCPPEF*NtoN2O*kgtoGg,IF('Net zero activities &amp; levers'!$C$12="MS",'Net zero Activity data'!AD80*UDCPPEF*NtoN2O*kgtoGg,"ERROR")))</f>
        <v>0</v>
      </c>
      <c r="L999" s="101">
        <f>IF('Net zero activities &amp; levers'!$C$12="Off",'Activity data'!AE80*UDCPPEF*NtoN2O*kgtoGg,IF('Net zero activities &amp; levers'!$C$12="PB",'Activity data'!AE80*UDCPPEF*NtoN2O*kgtoGg,IF('Net zero activities &amp; levers'!$C$12="MS",'Net zero Activity data'!AE80*UDCPPEF*NtoN2O*kgtoGg,"ERROR")))</f>
        <v>0</v>
      </c>
      <c r="M999" s="101">
        <f>IF('Net zero activities &amp; levers'!$C$12="Off",'Activity data'!AF80*UDCPPEF*NtoN2O*kgtoGg,IF('Net zero activities &amp; levers'!$C$12="PB",'Activity data'!AF80*UDCPPEF*NtoN2O*kgtoGg,IF('Net zero activities &amp; levers'!$C$12="MS",'Net zero Activity data'!AF80*UDCPPEF*NtoN2O*kgtoGg,"ERROR")))</f>
        <v>0</v>
      </c>
      <c r="N999" s="101">
        <f>IF('Net zero activities &amp; levers'!$C$12="Off",'Activity data'!AG80*UDCPPEF*NtoN2O*kgtoGg,IF('Net zero activities &amp; levers'!$C$12="PB",'Activity data'!AG80*UDCPPEF*NtoN2O*kgtoGg,IF('Net zero activities &amp; levers'!$C$12="MS",'Net zero Activity data'!AG80*UDCPPEF*NtoN2O*kgtoGg,"ERROR")))</f>
        <v>0</v>
      </c>
      <c r="O999" s="101">
        <f>IF('Net zero activities &amp; levers'!$C$12="Off",'Activity data'!AH80*UDCPPEF*NtoN2O*kgtoGg,IF('Net zero activities &amp; levers'!$C$12="PB",'Activity data'!AH80*UDCPPEF*NtoN2O*kgtoGg,IF('Net zero activities &amp; levers'!$C$12="MS",'Net zero Activity data'!AH80*UDCPPEF*NtoN2O*kgtoGg,"ERROR")))</f>
        <v>0</v>
      </c>
      <c r="P999" s="101">
        <f>IF('Net zero activities &amp; levers'!$C$12="Off",'Activity data'!AI80*UDCPPEF*NtoN2O*kgtoGg,IF('Net zero activities &amp; levers'!$C$12="PB",'Activity data'!AI80*UDCPPEF*NtoN2O*kgtoGg,IF('Net zero activities &amp; levers'!$C$12="MS",'Net zero Activity data'!AI80*UDCPPEF*NtoN2O*kgtoGg,"ERROR")))</f>
        <v>0</v>
      </c>
      <c r="Q999" s="101">
        <f>IF('Net zero activities &amp; levers'!$C$12="Off",'Activity data'!AJ80*UDCPPEF*NtoN2O*kgtoGg,IF('Net zero activities &amp; levers'!$C$12="PB",'Activity data'!AJ80*UDCPPEF*NtoN2O*kgtoGg,IF('Net zero activities &amp; levers'!$C$12="MS",'Net zero Activity data'!AJ80*UDCPPEF*NtoN2O*kgtoGg,"ERROR")))</f>
        <v>0</v>
      </c>
      <c r="R999" s="101">
        <f>IF('Net zero activities &amp; levers'!$C$12="Off",'Activity data'!AK80*UDCPPEF*NtoN2O*kgtoGg,IF('Net zero activities &amp; levers'!$C$12="PB",'Activity data'!AK80*UDCPPEF*NtoN2O*kgtoGg,IF('Net zero activities &amp; levers'!$C$12="MS",'Net zero Activity data'!AK80*UDCPPEF*NtoN2O*kgtoGg,"ERROR")))</f>
        <v>0</v>
      </c>
      <c r="S999" s="101">
        <f>IF('Net zero activities &amp; levers'!$C$12="Off",'Activity data'!AL80*UDCPPEF*NtoN2O*kgtoGg,IF('Net zero activities &amp; levers'!$C$12="PB",'Activity data'!AL80*UDCPPEF*NtoN2O*kgtoGg,IF('Net zero activities &amp; levers'!$C$12="MS",'Net zero Activity data'!AL80*UDCPPEF*NtoN2O*kgtoGg,"ERROR")))</f>
        <v>0</v>
      </c>
      <c r="T999" s="101">
        <f>IF('Net zero activities &amp; levers'!$C$12="Off",'Activity data'!AM80*UDCPPEF*NtoN2O*kgtoGg,IF('Net zero activities &amp; levers'!$C$12="PB",'Activity data'!AM80*UDCPPEF*NtoN2O*kgtoGg,IF('Net zero activities &amp; levers'!$C$12="MS",'Net zero Activity data'!AM80*UDCPPEF*NtoN2O*kgtoGg,"ERROR")))</f>
        <v>0</v>
      </c>
      <c r="U999" s="101">
        <f>IF('Net zero activities &amp; levers'!$C$12="Off",'Activity data'!AN80*UDCPPEF*NtoN2O*kgtoGg,IF('Net zero activities &amp; levers'!$C$12="PB",'Activity data'!AN80*UDCPPEF*NtoN2O*kgtoGg,IF('Net zero activities &amp; levers'!$C$12="MS",'Net zero Activity data'!AN80*UDCPPEF*NtoN2O*kgtoGg,"ERROR")))</f>
        <v>0</v>
      </c>
      <c r="V999" s="101">
        <f>IF('Net zero activities &amp; levers'!$C$12="Off",'Activity data'!AO80*UDCPPEF*NtoN2O*kgtoGg,IF('Net zero activities &amp; levers'!$C$12="PB",'Activity data'!AO80*UDCPPEF*NtoN2O*kgtoGg,IF('Net zero activities &amp; levers'!$C$12="MS",'Net zero Activity data'!AO80*UDCPPEF*NtoN2O*kgtoGg,"ERROR")))</f>
        <v>0</v>
      </c>
      <c r="W999" s="101">
        <f>IF('Net zero activities &amp; levers'!$C$12="Off",'Activity data'!AP80*UDCPPEF*NtoN2O*kgtoGg,IF('Net zero activities &amp; levers'!$C$12="PB",'Activity data'!AP80*UDCPPEF*NtoN2O*kgtoGg,IF('Net zero activities &amp; levers'!$C$12="MS",'Net zero Activity data'!AP80*UDCPPEF*NtoN2O*kgtoGg,"ERROR")))</f>
        <v>0</v>
      </c>
      <c r="X999" s="101">
        <f>IF('Net zero activities &amp; levers'!$C$12="Off",'Activity data'!AQ80*UDCPPEF*NtoN2O*kgtoGg,IF('Net zero activities &amp; levers'!$C$12="PB",'Activity data'!AQ80*UDCPPEF*NtoN2O*kgtoGg,IF('Net zero activities &amp; levers'!$C$12="MS",'Net zero Activity data'!AQ80*UDCPPEF*NtoN2O*kgtoGg,"ERROR")))</f>
        <v>0</v>
      </c>
      <c r="Y999" s="101">
        <f>IF('Net zero activities &amp; levers'!$C$12="Off",'Activity data'!AR80*UDCPPEF*NtoN2O*kgtoGg,IF('Net zero activities &amp; levers'!$C$12="PB",'Activity data'!AR80*UDCPPEF*NtoN2O*kgtoGg,IF('Net zero activities &amp; levers'!$C$12="MS",'Net zero Activity data'!AR80*UDCPPEF*NtoN2O*kgtoGg,"ERROR")))</f>
        <v>0</v>
      </c>
      <c r="Z999" s="101">
        <f>IF('Net zero activities &amp; levers'!$C$12="Off",'Activity data'!AS80*UDCPPEF*NtoN2O*kgtoGg,IF('Net zero activities &amp; levers'!$C$12="PB",'Activity data'!AS80*UDCPPEF*NtoN2O*kgtoGg,IF('Net zero activities &amp; levers'!$C$12="MS",'Net zero Activity data'!AS80*UDCPPEF*NtoN2O*kgtoGg,"ERROR")))</f>
        <v>0</v>
      </c>
      <c r="AA999" s="101">
        <f>IF('Net zero activities &amp; levers'!$C$12="Off",'Activity data'!AT80*UDCPPEF*NtoN2O*kgtoGg,IF('Net zero activities &amp; levers'!$C$12="PB",'Activity data'!AT80*UDCPPEF*NtoN2O*kgtoGg,IF('Net zero activities &amp; levers'!$C$12="MS",'Net zero Activity data'!AT80*UDCPPEF*NtoN2O*kgtoGg,"ERROR")))</f>
        <v>0</v>
      </c>
      <c r="AB999" s="101">
        <f>IF('Net zero activities &amp; levers'!$C$12="Off",'Activity data'!AU80*UDCPPEF*NtoN2O*kgtoGg,IF('Net zero activities &amp; levers'!$C$12="PB",'Activity data'!AU80*UDCPPEF*NtoN2O*kgtoGg,IF('Net zero activities &amp; levers'!$C$12="MS",'Net zero Activity data'!AU80*UDCPPEF*NtoN2O*kgtoGg,"ERROR")))</f>
        <v>0</v>
      </c>
      <c r="AC999" s="101">
        <f>IF('Net zero activities &amp; levers'!$C$12="Off",'Activity data'!AV80*UDCPPEF*NtoN2O*kgtoGg,IF('Net zero activities &amp; levers'!$C$12="PB",'Activity data'!AV80*UDCPPEF*NtoN2O*kgtoGg,IF('Net zero activities &amp; levers'!$C$12="MS",'Net zero Activity data'!AV80*UDCPPEF*NtoN2O*kgtoGg,"ERROR")))</f>
        <v>0</v>
      </c>
      <c r="AD999" s="101">
        <f>IF('Net zero activities &amp; levers'!$C$12="Off",'Activity data'!AW80*UDCPPEF*NtoN2O*kgtoGg,IF('Net zero activities &amp; levers'!$C$12="PB",'Activity data'!AW80*UDCPPEF*NtoN2O*kgtoGg,IF('Net zero activities &amp; levers'!$C$12="MS",'Net zero Activity data'!AW80*UDCPPEF*NtoN2O*kgtoGg,"ERROR")))</f>
        <v>0</v>
      </c>
      <c r="AE999" s="101">
        <f>IF('Net zero activities &amp; levers'!$C$12="Off",'Activity data'!AX80*UDCPPEF*NtoN2O*kgtoGg,IF('Net zero activities &amp; levers'!$C$12="PB",'Activity data'!AX80*UDCPPEF*NtoN2O*kgtoGg,IF('Net zero activities &amp; levers'!$C$12="MS",'Net zero Activity data'!AX80*UDCPPEF*NtoN2O*kgtoGg,"ERROR")))</f>
        <v>0</v>
      </c>
      <c r="AF999" s="101">
        <f>IF('Net zero activities &amp; levers'!$C$12="Off",'Activity data'!AY80*UDCPPEF*NtoN2O*kgtoGg,IF('Net zero activities &amp; levers'!$C$12="PB",'Activity data'!AY80*UDCPPEF*NtoN2O*kgtoGg,IF('Net zero activities &amp; levers'!$C$12="MS",'Net zero Activity data'!AY80*UDCPPEF*NtoN2O*kgtoGg,"ERROR")))</f>
        <v>0</v>
      </c>
      <c r="AG999" s="101">
        <f>IF('Net zero activities &amp; levers'!$C$12="Off",'Activity data'!AZ80*UDCPPEF*NtoN2O*kgtoGg,IF('Net zero activities &amp; levers'!$C$12="PB",'Activity data'!AZ80*UDCPPEF*NtoN2O*kgtoGg,IF('Net zero activities &amp; levers'!$C$12="MS",'Net zero Activity data'!AZ80*UDCPPEF*NtoN2O*kgtoGg,"ERROR")))</f>
        <v>0</v>
      </c>
      <c r="AH999" s="101">
        <f>IF('Net zero activities &amp; levers'!$C$12="Off",'Activity data'!BA80*UDCPPEF*NtoN2O*kgtoGg,IF('Net zero activities &amp; levers'!$C$12="PB",'Activity data'!BA80*UDCPPEF*NtoN2O*kgtoGg,IF('Net zero activities &amp; levers'!$C$12="MS",'Net zero Activity data'!BA80*UDCPPEF*NtoN2O*kgtoGg,"ERROR")))</f>
        <v>0</v>
      </c>
      <c r="AI999" s="101">
        <f>IF('Net zero activities &amp; levers'!$C$12="Off",'Activity data'!BB80*UDCPPEF*NtoN2O*kgtoGg,IF('Net zero activities &amp; levers'!$C$12="PB",'Activity data'!BB80*UDCPPEF*NtoN2O*kgtoGg,IF('Net zero activities &amp; levers'!$C$12="MS",'Net zero Activity data'!BB80*UDCPPEF*NtoN2O*kgtoGg,"ERROR")))</f>
        <v>0</v>
      </c>
      <c r="AJ999" s="101">
        <f>IF('Net zero activities &amp; levers'!$C$12="Off",'Activity data'!BC80*UDCPPEF*NtoN2O*kgtoGg,IF('Net zero activities &amp; levers'!$C$12="PB",'Activity data'!BC80*UDCPPEF*NtoN2O*kgtoGg,IF('Net zero activities &amp; levers'!$C$12="MS",'Net zero Activity data'!BC80*UDCPPEF*NtoN2O*kgtoGg,"ERROR")))</f>
        <v>0</v>
      </c>
      <c r="AK999" s="101">
        <f>IF('Net zero activities &amp; levers'!$C$12="Off",'Activity data'!BD80*UDCPPEF*NtoN2O*kgtoGg,IF('Net zero activities &amp; levers'!$C$12="PB",'Activity data'!BD80*UDCPPEF*NtoN2O*kgtoGg,IF('Net zero activities &amp; levers'!$C$12="MS",'Net zero Activity data'!BD80*UDCPPEF*NtoN2O*kgtoGg,"ERROR")))</f>
        <v>0</v>
      </c>
      <c r="AL999" s="101">
        <f>IF('Net zero activities &amp; levers'!$C$12="Off",'Activity data'!BE80*UDCPPEF*NtoN2O*kgtoGg,IF('Net zero activities &amp; levers'!$C$12="PB",'Activity data'!BE80*UDCPPEF*NtoN2O*kgtoGg,IF('Net zero activities &amp; levers'!$C$12="MS",'Net zero Activity data'!BE80*UDCPPEF*NtoN2O*kgtoGg,"ERROR")))</f>
        <v>0</v>
      </c>
      <c r="AM999" s="101">
        <f>IF('Net zero activities &amp; levers'!$C$12="Off",'Activity data'!BF80*UDCPPEF*NtoN2O*kgtoGg,IF('Net zero activities &amp; levers'!$C$12="PB",'Activity data'!BF80*UDCPPEF*NtoN2O*kgtoGg,IF('Net zero activities &amp; levers'!$C$12="MS",'Net zero Activity data'!BF80*UDCPPEF*NtoN2O*kgtoGg,"ERROR")))</f>
        <v>0</v>
      </c>
      <c r="AN999" s="101">
        <f>IF('Net zero activities &amp; levers'!$C$12="Off",'Activity data'!BG80*UDCPPEF*NtoN2O*kgtoGg,IF('Net zero activities &amp; levers'!$C$12="PB",'Activity data'!BG80*UDCPPEF*NtoN2O*kgtoGg,IF('Net zero activities &amp; levers'!$C$12="MS",'Net zero Activity data'!BG80*UDCPPEF*NtoN2O*kgtoGg,"ERROR")))</f>
        <v>0</v>
      </c>
      <c r="AO999" s="101">
        <f>IF('Net zero activities &amp; levers'!$C$12="Off",'Activity data'!BH80*UDCPPEF*NtoN2O*kgtoGg,IF('Net zero activities &amp; levers'!$C$12="PB",'Activity data'!BH80*UDCPPEF*NtoN2O*kgtoGg,IF('Net zero activities &amp; levers'!$C$12="MS",'Net zero Activity data'!BH80*UDCPPEF*NtoN2O*kgtoGg,"ERROR")))</f>
        <v>0</v>
      </c>
      <c r="AP999" s="101">
        <f>IF('Net zero activities &amp; levers'!$C$12="Off",'Activity data'!BI80*UDCPPEF*NtoN2O*kgtoGg,IF('Net zero activities &amp; levers'!$C$12="PB",'Activity data'!BI80*UDCPPEF*NtoN2O*kgtoGg,IF('Net zero activities &amp; levers'!$C$12="MS",'Net zero Activity data'!BI80*UDCPPEF*NtoN2O*kgtoGg,"ERROR")))</f>
        <v>0</v>
      </c>
      <c r="AQ999" s="101">
        <f>IF('Net zero activities &amp; levers'!$C$12="Off",'Activity data'!BJ80*UDCPPEF*NtoN2O*kgtoGg,IF('Net zero activities &amp; levers'!$C$12="PB",'Activity data'!BJ80*UDCPPEF*NtoN2O*kgtoGg,IF('Net zero activities &amp; levers'!$C$12="MS",'Net zero Activity data'!BJ80*UDCPPEF*NtoN2O*kgtoGg,"ERROR")))</f>
        <v>0</v>
      </c>
      <c r="AR999" s="101">
        <f>IF('Net zero activities &amp; levers'!$C$12="Off",'Activity data'!BK80*UDCPPEF*NtoN2O*kgtoGg,IF('Net zero activities &amp; levers'!$C$12="PB",'Activity data'!BK80*UDCPPEF*NtoN2O*kgtoGg,IF('Net zero activities &amp; levers'!$C$12="MS",'Net zero Activity data'!BK80*UDCPPEF*NtoN2O*kgtoGg,"ERROR")))</f>
        <v>0</v>
      </c>
      <c r="AS999" s="101">
        <f>IF('Net zero activities &amp; levers'!$C$12="Off",'Activity data'!BL80*UDCPPEF*NtoN2O*kgtoGg,IF('Net zero activities &amp; levers'!$C$12="PB",'Activity data'!BL80*UDCPPEF*NtoN2O*kgtoGg,IF('Net zero activities &amp; levers'!$C$12="MS",'Net zero Activity data'!BL80*UDCPPEF*NtoN2O*kgtoGg,"ERROR")))</f>
        <v>0</v>
      </c>
      <c r="AT999" s="101">
        <f>IF('Net zero activities &amp; levers'!$C$12="Off",'Activity data'!BM80*UDCPPEF*NtoN2O*kgtoGg,IF('Net zero activities &amp; levers'!$C$12="PB",'Activity data'!BM80*UDCPPEF*NtoN2O*kgtoGg,IF('Net zero activities &amp; levers'!$C$12="MS",'Net zero Activity data'!BM80*UDCPPEF*NtoN2O*kgtoGg,"ERROR")))</f>
        <v>0</v>
      </c>
      <c r="AU999" s="101">
        <f>IF('Net zero activities &amp; levers'!$C$12="Off",'Activity data'!BN80*UDCPPEF*NtoN2O*kgtoGg,IF('Net zero activities &amp; levers'!$C$12="PB",'Activity data'!BN80*UDCPPEF*NtoN2O*kgtoGg,IF('Net zero activities &amp; levers'!$C$12="MS",'Net zero Activity data'!BN80*UDCPPEF*NtoN2O*kgtoGg,"ERROR")))</f>
        <v>0</v>
      </c>
      <c r="AV999" s="101">
        <f>IF('Net zero activities &amp; levers'!$C$12="Off",'Activity data'!BO80*UDCPPEF*NtoN2O*kgtoGg,IF('Net zero activities &amp; levers'!$C$12="PB",'Activity data'!BO80*UDCPPEF*NtoN2O*kgtoGg,IF('Net zero activities &amp; levers'!$C$12="MS",'Net zero Activity data'!BO80*UDCPPEF*NtoN2O*kgtoGg,"ERROR")))</f>
        <v>0</v>
      </c>
      <c r="AW999" s="101">
        <f>IF('Net zero activities &amp; levers'!$C$12="Off",'Activity data'!BP80*UDCPPEF*NtoN2O*kgtoGg,IF('Net zero activities &amp; levers'!$C$12="PB",'Activity data'!BP80*UDCPPEF*NtoN2O*kgtoGg,IF('Net zero activities &amp; levers'!$C$12="MS",'Net zero Activity data'!BP80*UDCPPEF*NtoN2O*kgtoGg,"ERROR")))</f>
        <v>0</v>
      </c>
      <c r="AY999" s="85"/>
      <c r="AZ999" s="85"/>
    </row>
    <row r="1000" spans="1:52" x14ac:dyDescent="0.25">
      <c r="A1000" s="102" t="str">
        <f t="shared" si="345"/>
        <v>DS U&amp;D</v>
      </c>
      <c r="B1000" s="102" t="s">
        <v>975</v>
      </c>
      <c r="C1000" s="102" t="s">
        <v>1337</v>
      </c>
      <c r="D1000" t="s">
        <v>369</v>
      </c>
      <c r="E1000" t="s">
        <v>55</v>
      </c>
      <c r="F1000" t="s">
        <v>422</v>
      </c>
      <c r="G1000" t="s">
        <v>1183</v>
      </c>
      <c r="H1000" t="s">
        <v>1256</v>
      </c>
      <c r="I1000" t="s">
        <v>139</v>
      </c>
      <c r="J1000" t="s">
        <v>287</v>
      </c>
      <c r="K1000" s="101">
        <f>IF('Net zero activities &amp; levers'!$C$12="Off",'Activity data'!AD81*UDCPPEF*NtoN2O*kgtoGg,IF('Net zero activities &amp; levers'!$C$12="PB",'Activity data'!AD81*UDCPPEF*NtoN2O*kgtoGg,IF('Net zero activities &amp; levers'!$C$12="MS",'Net zero Activity data'!AD81*UDCPPEF*NtoN2O*kgtoGg,"ERROR")))</f>
        <v>0</v>
      </c>
      <c r="L1000" s="101">
        <f>IF('Net zero activities &amp; levers'!$C$12="Off",'Activity data'!AE81*UDCPPEF*NtoN2O*kgtoGg,IF('Net zero activities &amp; levers'!$C$12="PB",'Activity data'!AE81*UDCPPEF*NtoN2O*kgtoGg,IF('Net zero activities &amp; levers'!$C$12="MS",'Net zero Activity data'!AE81*UDCPPEF*NtoN2O*kgtoGg,"ERROR")))</f>
        <v>0</v>
      </c>
      <c r="M1000" s="101">
        <f>IF('Net zero activities &amp; levers'!$C$12="Off",'Activity data'!AF81*UDCPPEF*NtoN2O*kgtoGg,IF('Net zero activities &amp; levers'!$C$12="PB",'Activity data'!AF81*UDCPPEF*NtoN2O*kgtoGg,IF('Net zero activities &amp; levers'!$C$12="MS",'Net zero Activity data'!AF81*UDCPPEF*NtoN2O*kgtoGg,"ERROR")))</f>
        <v>0</v>
      </c>
      <c r="N1000" s="101">
        <f>IF('Net zero activities &amp; levers'!$C$12="Off",'Activity data'!AG81*UDCPPEF*NtoN2O*kgtoGg,IF('Net zero activities &amp; levers'!$C$12="PB",'Activity data'!AG81*UDCPPEF*NtoN2O*kgtoGg,IF('Net zero activities &amp; levers'!$C$12="MS",'Net zero Activity data'!AG81*UDCPPEF*NtoN2O*kgtoGg,"ERROR")))</f>
        <v>0</v>
      </c>
      <c r="O1000" s="101">
        <f>IF('Net zero activities &amp; levers'!$C$12="Off",'Activity data'!AH81*UDCPPEF*NtoN2O*kgtoGg,IF('Net zero activities &amp; levers'!$C$12="PB",'Activity data'!AH81*UDCPPEF*NtoN2O*kgtoGg,IF('Net zero activities &amp; levers'!$C$12="MS",'Net zero Activity data'!AH81*UDCPPEF*NtoN2O*kgtoGg,"ERROR")))</f>
        <v>0</v>
      </c>
      <c r="P1000" s="101">
        <f>IF('Net zero activities &amp; levers'!$C$12="Off",'Activity data'!AI81*UDCPPEF*NtoN2O*kgtoGg,IF('Net zero activities &amp; levers'!$C$12="PB",'Activity data'!AI81*UDCPPEF*NtoN2O*kgtoGg,IF('Net zero activities &amp; levers'!$C$12="MS",'Net zero Activity data'!AI81*UDCPPEF*NtoN2O*kgtoGg,"ERROR")))</f>
        <v>0</v>
      </c>
      <c r="Q1000" s="101">
        <f>IF('Net zero activities &amp; levers'!$C$12="Off",'Activity data'!AJ81*UDCPPEF*NtoN2O*kgtoGg,IF('Net zero activities &amp; levers'!$C$12="PB",'Activity data'!AJ81*UDCPPEF*NtoN2O*kgtoGg,IF('Net zero activities &amp; levers'!$C$12="MS",'Net zero Activity data'!AJ81*UDCPPEF*NtoN2O*kgtoGg,"ERROR")))</f>
        <v>0</v>
      </c>
      <c r="R1000" s="101">
        <f>IF('Net zero activities &amp; levers'!$C$12="Off",'Activity data'!AK81*UDCPPEF*NtoN2O*kgtoGg,IF('Net zero activities &amp; levers'!$C$12="PB",'Activity data'!AK81*UDCPPEF*NtoN2O*kgtoGg,IF('Net zero activities &amp; levers'!$C$12="MS",'Net zero Activity data'!AK81*UDCPPEF*NtoN2O*kgtoGg,"ERROR")))</f>
        <v>0</v>
      </c>
      <c r="S1000" s="101">
        <f>IF('Net zero activities &amp; levers'!$C$12="Off",'Activity data'!AL81*UDCPPEF*NtoN2O*kgtoGg,IF('Net zero activities &amp; levers'!$C$12="PB",'Activity data'!AL81*UDCPPEF*NtoN2O*kgtoGg,IF('Net zero activities &amp; levers'!$C$12="MS",'Net zero Activity data'!AL81*UDCPPEF*NtoN2O*kgtoGg,"ERROR")))</f>
        <v>0</v>
      </c>
      <c r="T1000" s="101">
        <f>IF('Net zero activities &amp; levers'!$C$12="Off",'Activity data'!AM81*UDCPPEF*NtoN2O*kgtoGg,IF('Net zero activities &amp; levers'!$C$12="PB",'Activity data'!AM81*UDCPPEF*NtoN2O*kgtoGg,IF('Net zero activities &amp; levers'!$C$12="MS",'Net zero Activity data'!AM81*UDCPPEF*NtoN2O*kgtoGg,"ERROR")))</f>
        <v>0</v>
      </c>
      <c r="U1000" s="101">
        <f>IF('Net zero activities &amp; levers'!$C$12="Off",'Activity data'!AN81*UDCPPEF*NtoN2O*kgtoGg,IF('Net zero activities &amp; levers'!$C$12="PB",'Activity data'!AN81*UDCPPEF*NtoN2O*kgtoGg,IF('Net zero activities &amp; levers'!$C$12="MS",'Net zero Activity data'!AN81*UDCPPEF*NtoN2O*kgtoGg,"ERROR")))</f>
        <v>0</v>
      </c>
      <c r="V1000" s="101">
        <f>IF('Net zero activities &amp; levers'!$C$12="Off",'Activity data'!AO81*UDCPPEF*NtoN2O*kgtoGg,IF('Net zero activities &amp; levers'!$C$12="PB",'Activity data'!AO81*UDCPPEF*NtoN2O*kgtoGg,IF('Net zero activities &amp; levers'!$C$12="MS",'Net zero Activity data'!AO81*UDCPPEF*NtoN2O*kgtoGg,"ERROR")))</f>
        <v>0</v>
      </c>
      <c r="W1000" s="101">
        <f>IF('Net zero activities &amp; levers'!$C$12="Off",'Activity data'!AP81*UDCPPEF*NtoN2O*kgtoGg,IF('Net zero activities &amp; levers'!$C$12="PB",'Activity data'!AP81*UDCPPEF*NtoN2O*kgtoGg,IF('Net zero activities &amp; levers'!$C$12="MS",'Net zero Activity data'!AP81*UDCPPEF*NtoN2O*kgtoGg,"ERROR")))</f>
        <v>0</v>
      </c>
      <c r="X1000" s="101">
        <f>IF('Net zero activities &amp; levers'!$C$12="Off",'Activity data'!AQ81*UDCPPEF*NtoN2O*kgtoGg,IF('Net zero activities &amp; levers'!$C$12="PB",'Activity data'!AQ81*UDCPPEF*NtoN2O*kgtoGg,IF('Net zero activities &amp; levers'!$C$12="MS",'Net zero Activity data'!AQ81*UDCPPEF*NtoN2O*kgtoGg,"ERROR")))</f>
        <v>0</v>
      </c>
      <c r="Y1000" s="101">
        <f>IF('Net zero activities &amp; levers'!$C$12="Off",'Activity data'!AR81*UDCPPEF*NtoN2O*kgtoGg,IF('Net zero activities &amp; levers'!$C$12="PB",'Activity data'!AR81*UDCPPEF*NtoN2O*kgtoGg,IF('Net zero activities &amp; levers'!$C$12="MS",'Net zero Activity data'!AR81*UDCPPEF*NtoN2O*kgtoGg,"ERROR")))</f>
        <v>0</v>
      </c>
      <c r="Z1000" s="101">
        <f>IF('Net zero activities &amp; levers'!$C$12="Off",'Activity data'!AS81*UDCPPEF*NtoN2O*kgtoGg,IF('Net zero activities &amp; levers'!$C$12="PB",'Activity data'!AS81*UDCPPEF*NtoN2O*kgtoGg,IF('Net zero activities &amp; levers'!$C$12="MS",'Net zero Activity data'!AS81*UDCPPEF*NtoN2O*kgtoGg,"ERROR")))</f>
        <v>0</v>
      </c>
      <c r="AA1000" s="101">
        <f>IF('Net zero activities &amp; levers'!$C$12="Off",'Activity data'!AT81*UDCPPEF*NtoN2O*kgtoGg,IF('Net zero activities &amp; levers'!$C$12="PB",'Activity data'!AT81*UDCPPEF*NtoN2O*kgtoGg,IF('Net zero activities &amp; levers'!$C$12="MS",'Net zero Activity data'!AT81*UDCPPEF*NtoN2O*kgtoGg,"ERROR")))</f>
        <v>0</v>
      </c>
      <c r="AB1000" s="101">
        <f>IF('Net zero activities &amp; levers'!$C$12="Off",'Activity data'!AU81*UDCPPEF*NtoN2O*kgtoGg,IF('Net zero activities &amp; levers'!$C$12="PB",'Activity data'!AU81*UDCPPEF*NtoN2O*kgtoGg,IF('Net zero activities &amp; levers'!$C$12="MS",'Net zero Activity data'!AU81*UDCPPEF*NtoN2O*kgtoGg,"ERROR")))</f>
        <v>0</v>
      </c>
      <c r="AC1000" s="101">
        <f>IF('Net zero activities &amp; levers'!$C$12="Off",'Activity data'!AV81*UDCPPEF*NtoN2O*kgtoGg,IF('Net zero activities &amp; levers'!$C$12="PB",'Activity data'!AV81*UDCPPEF*NtoN2O*kgtoGg,IF('Net zero activities &amp; levers'!$C$12="MS",'Net zero Activity data'!AV81*UDCPPEF*NtoN2O*kgtoGg,"ERROR")))</f>
        <v>0</v>
      </c>
      <c r="AD1000" s="101">
        <f>IF('Net zero activities &amp; levers'!$C$12="Off",'Activity data'!AW81*UDCPPEF*NtoN2O*kgtoGg,IF('Net zero activities &amp; levers'!$C$12="PB",'Activity data'!AW81*UDCPPEF*NtoN2O*kgtoGg,IF('Net zero activities &amp; levers'!$C$12="MS",'Net zero Activity data'!AW81*UDCPPEF*NtoN2O*kgtoGg,"ERROR")))</f>
        <v>0</v>
      </c>
      <c r="AE1000" s="101">
        <f>IF('Net zero activities &amp; levers'!$C$12="Off",'Activity data'!AX81*UDCPPEF*NtoN2O*kgtoGg,IF('Net zero activities &amp; levers'!$C$12="PB",'Activity data'!AX81*UDCPPEF*NtoN2O*kgtoGg,IF('Net zero activities &amp; levers'!$C$12="MS",'Net zero Activity data'!AX81*UDCPPEF*NtoN2O*kgtoGg,"ERROR")))</f>
        <v>0</v>
      </c>
      <c r="AF1000" s="101">
        <f>IF('Net zero activities &amp; levers'!$C$12="Off",'Activity data'!AY81*UDCPPEF*NtoN2O*kgtoGg,IF('Net zero activities &amp; levers'!$C$12="PB",'Activity data'!AY81*UDCPPEF*NtoN2O*kgtoGg,IF('Net zero activities &amp; levers'!$C$12="MS",'Net zero Activity data'!AY81*UDCPPEF*NtoN2O*kgtoGg,"ERROR")))</f>
        <v>0</v>
      </c>
      <c r="AG1000" s="101">
        <f>IF('Net zero activities &amp; levers'!$C$12="Off",'Activity data'!AZ81*UDCPPEF*NtoN2O*kgtoGg,IF('Net zero activities &amp; levers'!$C$12="PB",'Activity data'!AZ81*UDCPPEF*NtoN2O*kgtoGg,IF('Net zero activities &amp; levers'!$C$12="MS",'Net zero Activity data'!AZ81*UDCPPEF*NtoN2O*kgtoGg,"ERROR")))</f>
        <v>0</v>
      </c>
      <c r="AH1000" s="101">
        <f>IF('Net zero activities &amp; levers'!$C$12="Off",'Activity data'!BA81*UDCPPEF*NtoN2O*kgtoGg,IF('Net zero activities &amp; levers'!$C$12="PB",'Activity data'!BA81*UDCPPEF*NtoN2O*kgtoGg,IF('Net zero activities &amp; levers'!$C$12="MS",'Net zero Activity data'!BA81*UDCPPEF*NtoN2O*kgtoGg,"ERROR")))</f>
        <v>0</v>
      </c>
      <c r="AI1000" s="101">
        <f>IF('Net zero activities &amp; levers'!$C$12="Off",'Activity data'!BB81*UDCPPEF*NtoN2O*kgtoGg,IF('Net zero activities &amp; levers'!$C$12="PB",'Activity data'!BB81*UDCPPEF*NtoN2O*kgtoGg,IF('Net zero activities &amp; levers'!$C$12="MS",'Net zero Activity data'!BB81*UDCPPEF*NtoN2O*kgtoGg,"ERROR")))</f>
        <v>0</v>
      </c>
      <c r="AJ1000" s="101">
        <f>IF('Net zero activities &amp; levers'!$C$12="Off",'Activity data'!BC81*UDCPPEF*NtoN2O*kgtoGg,IF('Net zero activities &amp; levers'!$C$12="PB",'Activity data'!BC81*UDCPPEF*NtoN2O*kgtoGg,IF('Net zero activities &amp; levers'!$C$12="MS",'Net zero Activity data'!BC81*UDCPPEF*NtoN2O*kgtoGg,"ERROR")))</f>
        <v>0</v>
      </c>
      <c r="AK1000" s="101">
        <f>IF('Net zero activities &amp; levers'!$C$12="Off",'Activity data'!BD81*UDCPPEF*NtoN2O*kgtoGg,IF('Net zero activities &amp; levers'!$C$12="PB",'Activity data'!BD81*UDCPPEF*NtoN2O*kgtoGg,IF('Net zero activities &amp; levers'!$C$12="MS",'Net zero Activity data'!BD81*UDCPPEF*NtoN2O*kgtoGg,"ERROR")))</f>
        <v>0</v>
      </c>
      <c r="AL1000" s="101">
        <f>IF('Net zero activities &amp; levers'!$C$12="Off",'Activity data'!BE81*UDCPPEF*NtoN2O*kgtoGg,IF('Net zero activities &amp; levers'!$C$12="PB",'Activity data'!BE81*UDCPPEF*NtoN2O*kgtoGg,IF('Net zero activities &amp; levers'!$C$12="MS",'Net zero Activity data'!BE81*UDCPPEF*NtoN2O*kgtoGg,"ERROR")))</f>
        <v>0</v>
      </c>
      <c r="AM1000" s="101">
        <f>IF('Net zero activities &amp; levers'!$C$12="Off",'Activity data'!BF81*UDCPPEF*NtoN2O*kgtoGg,IF('Net zero activities &amp; levers'!$C$12="PB",'Activity data'!BF81*UDCPPEF*NtoN2O*kgtoGg,IF('Net zero activities &amp; levers'!$C$12="MS",'Net zero Activity data'!BF81*UDCPPEF*NtoN2O*kgtoGg,"ERROR")))</f>
        <v>0</v>
      </c>
      <c r="AN1000" s="101">
        <f>IF('Net zero activities &amp; levers'!$C$12="Off",'Activity data'!BG81*UDCPPEF*NtoN2O*kgtoGg,IF('Net zero activities &amp; levers'!$C$12="PB",'Activity data'!BG81*UDCPPEF*NtoN2O*kgtoGg,IF('Net zero activities &amp; levers'!$C$12="MS",'Net zero Activity data'!BG81*UDCPPEF*NtoN2O*kgtoGg,"ERROR")))</f>
        <v>0</v>
      </c>
      <c r="AO1000" s="101">
        <f>IF('Net zero activities &amp; levers'!$C$12="Off",'Activity data'!BH81*UDCPPEF*NtoN2O*kgtoGg,IF('Net zero activities &amp; levers'!$C$12="PB",'Activity data'!BH81*UDCPPEF*NtoN2O*kgtoGg,IF('Net zero activities &amp; levers'!$C$12="MS",'Net zero Activity data'!BH81*UDCPPEF*NtoN2O*kgtoGg,"ERROR")))</f>
        <v>0</v>
      </c>
      <c r="AP1000" s="101">
        <f>IF('Net zero activities &amp; levers'!$C$12="Off",'Activity data'!BI81*UDCPPEF*NtoN2O*kgtoGg,IF('Net zero activities &amp; levers'!$C$12="PB",'Activity data'!BI81*UDCPPEF*NtoN2O*kgtoGg,IF('Net zero activities &amp; levers'!$C$12="MS",'Net zero Activity data'!BI81*UDCPPEF*NtoN2O*kgtoGg,"ERROR")))</f>
        <v>0</v>
      </c>
      <c r="AQ1000" s="101">
        <f>IF('Net zero activities &amp; levers'!$C$12="Off",'Activity data'!BJ81*UDCPPEF*NtoN2O*kgtoGg,IF('Net zero activities &amp; levers'!$C$12="PB",'Activity data'!BJ81*UDCPPEF*NtoN2O*kgtoGg,IF('Net zero activities &amp; levers'!$C$12="MS",'Net zero Activity data'!BJ81*UDCPPEF*NtoN2O*kgtoGg,"ERROR")))</f>
        <v>0</v>
      </c>
      <c r="AR1000" s="101">
        <f>IF('Net zero activities &amp; levers'!$C$12="Off",'Activity data'!BK81*UDCPPEF*NtoN2O*kgtoGg,IF('Net zero activities &amp; levers'!$C$12="PB",'Activity data'!BK81*UDCPPEF*NtoN2O*kgtoGg,IF('Net zero activities &amp; levers'!$C$12="MS",'Net zero Activity data'!BK81*UDCPPEF*NtoN2O*kgtoGg,"ERROR")))</f>
        <v>0</v>
      </c>
      <c r="AS1000" s="101">
        <f>IF('Net zero activities &amp; levers'!$C$12="Off",'Activity data'!BL81*UDCPPEF*NtoN2O*kgtoGg,IF('Net zero activities &amp; levers'!$C$12="PB",'Activity data'!BL81*UDCPPEF*NtoN2O*kgtoGg,IF('Net zero activities &amp; levers'!$C$12="MS",'Net zero Activity data'!BL81*UDCPPEF*NtoN2O*kgtoGg,"ERROR")))</f>
        <v>0</v>
      </c>
      <c r="AT1000" s="101">
        <f>IF('Net zero activities &amp; levers'!$C$12="Off",'Activity data'!BM81*UDCPPEF*NtoN2O*kgtoGg,IF('Net zero activities &amp; levers'!$C$12="PB",'Activity data'!BM81*UDCPPEF*NtoN2O*kgtoGg,IF('Net zero activities &amp; levers'!$C$12="MS",'Net zero Activity data'!BM81*UDCPPEF*NtoN2O*kgtoGg,"ERROR")))</f>
        <v>0</v>
      </c>
      <c r="AU1000" s="101">
        <f>IF('Net zero activities &amp; levers'!$C$12="Off",'Activity data'!BN81*UDCPPEF*NtoN2O*kgtoGg,IF('Net zero activities &amp; levers'!$C$12="PB",'Activity data'!BN81*UDCPPEF*NtoN2O*kgtoGg,IF('Net zero activities &amp; levers'!$C$12="MS",'Net zero Activity data'!BN81*UDCPPEF*NtoN2O*kgtoGg,"ERROR")))</f>
        <v>0</v>
      </c>
      <c r="AV1000" s="101">
        <f>IF('Net zero activities &amp; levers'!$C$12="Off",'Activity data'!BO81*UDCPPEF*NtoN2O*kgtoGg,IF('Net zero activities &amp; levers'!$C$12="PB",'Activity data'!BO81*UDCPPEF*NtoN2O*kgtoGg,IF('Net zero activities &amp; levers'!$C$12="MS",'Net zero Activity data'!BO81*UDCPPEF*NtoN2O*kgtoGg,"ERROR")))</f>
        <v>0</v>
      </c>
      <c r="AW1000" s="101">
        <f>IF('Net zero activities &amp; levers'!$C$12="Off",'Activity data'!BP81*UDCPPEF*NtoN2O*kgtoGg,IF('Net zero activities &amp; levers'!$C$12="PB",'Activity data'!BP81*UDCPPEF*NtoN2O*kgtoGg,IF('Net zero activities &amp; levers'!$C$12="MS",'Net zero Activity data'!BP81*UDCPPEF*NtoN2O*kgtoGg,"ERROR")))</f>
        <v>0</v>
      </c>
      <c r="AY1000" s="85"/>
      <c r="AZ1000" s="85"/>
    </row>
    <row r="1001" spans="1:52" x14ac:dyDescent="0.25">
      <c r="A1001" s="102" t="str">
        <f t="shared" si="345"/>
        <v>DS FSOM</v>
      </c>
      <c r="B1001" s="102" t="s">
        <v>975</v>
      </c>
      <c r="C1001" s="102" t="s">
        <v>60</v>
      </c>
      <c r="D1001" t="s">
        <v>369</v>
      </c>
      <c r="E1001" t="s">
        <v>55</v>
      </c>
      <c r="F1001" t="s">
        <v>60</v>
      </c>
      <c r="G1001" t="s">
        <v>1267</v>
      </c>
      <c r="H1001" t="s">
        <v>1268</v>
      </c>
      <c r="J1001" t="s">
        <v>287</v>
      </c>
      <c r="K1001" s="22" t="str">
        <f t="shared" ref="K1001:Z1013" si="350">K1498</f>
        <v>NO</v>
      </c>
      <c r="L1001" s="22" t="str">
        <f t="shared" si="350"/>
        <v>NO</v>
      </c>
      <c r="M1001" s="22" t="str">
        <f t="shared" si="350"/>
        <v>NO</v>
      </c>
      <c r="N1001" s="22" t="str">
        <f t="shared" si="350"/>
        <v>NO</v>
      </c>
      <c r="O1001" s="22" t="str">
        <f t="shared" si="350"/>
        <v>NO</v>
      </c>
      <c r="P1001" s="22" t="str">
        <f t="shared" si="350"/>
        <v>NO</v>
      </c>
      <c r="Q1001" s="22" t="str">
        <f t="shared" si="350"/>
        <v>NO</v>
      </c>
      <c r="R1001" s="22" t="str">
        <f t="shared" si="350"/>
        <v>NO</v>
      </c>
      <c r="S1001" s="22" t="str">
        <f t="shared" si="350"/>
        <v>NO</v>
      </c>
      <c r="T1001" s="22" t="str">
        <f t="shared" si="350"/>
        <v>NO</v>
      </c>
      <c r="U1001" s="22" t="str">
        <f t="shared" si="350"/>
        <v>NO</v>
      </c>
      <c r="V1001" s="22" t="str">
        <f t="shared" si="350"/>
        <v>NO</v>
      </c>
      <c r="W1001" s="22" t="str">
        <f t="shared" si="350"/>
        <v>NO</v>
      </c>
      <c r="X1001" s="22" t="str">
        <f t="shared" si="350"/>
        <v>NO</v>
      </c>
      <c r="Y1001" s="22" t="str">
        <f t="shared" si="350"/>
        <v>NO</v>
      </c>
      <c r="Z1001" s="22" t="str">
        <f t="shared" si="350"/>
        <v>NO</v>
      </c>
      <c r="AA1001" s="22" t="str">
        <f t="shared" ref="L1001:AW1008" si="351">AA1498</f>
        <v>NO</v>
      </c>
      <c r="AB1001" s="22" t="str">
        <f t="shared" si="351"/>
        <v>NO</v>
      </c>
      <c r="AC1001" s="22" t="str">
        <f t="shared" si="351"/>
        <v>NO</v>
      </c>
      <c r="AD1001" s="22" t="str">
        <f t="shared" si="351"/>
        <v>NO</v>
      </c>
      <c r="AE1001" s="22" t="str">
        <f t="shared" si="351"/>
        <v>NO</v>
      </c>
      <c r="AF1001" s="22" t="str">
        <f t="shared" si="351"/>
        <v>NO</v>
      </c>
      <c r="AG1001" s="22" t="str">
        <f t="shared" si="351"/>
        <v>NO</v>
      </c>
      <c r="AH1001" s="22" t="str">
        <f t="shared" si="351"/>
        <v>NO</v>
      </c>
      <c r="AI1001" s="22" t="str">
        <f t="shared" si="351"/>
        <v>NO</v>
      </c>
      <c r="AJ1001" s="22" t="str">
        <f t="shared" si="351"/>
        <v>NO</v>
      </c>
      <c r="AK1001" s="22" t="str">
        <f t="shared" si="351"/>
        <v>NO</v>
      </c>
      <c r="AL1001" s="22" t="str">
        <f t="shared" si="351"/>
        <v>NO</v>
      </c>
      <c r="AM1001" s="22" t="str">
        <f t="shared" si="351"/>
        <v>NO</v>
      </c>
      <c r="AN1001" s="22" t="str">
        <f t="shared" si="351"/>
        <v>NO</v>
      </c>
      <c r="AO1001" s="22" t="str">
        <f t="shared" si="351"/>
        <v>NO</v>
      </c>
      <c r="AP1001" s="22" t="str">
        <f t="shared" si="351"/>
        <v>NO</v>
      </c>
      <c r="AQ1001" s="22" t="str">
        <f t="shared" si="351"/>
        <v>NO</v>
      </c>
      <c r="AR1001" s="22" t="str">
        <f t="shared" si="351"/>
        <v>NO</v>
      </c>
      <c r="AS1001" s="22" t="str">
        <f t="shared" si="351"/>
        <v>NO</v>
      </c>
      <c r="AT1001" s="22" t="str">
        <f t="shared" si="351"/>
        <v>NO</v>
      </c>
      <c r="AU1001" s="22" t="str">
        <f t="shared" si="351"/>
        <v>NO</v>
      </c>
      <c r="AV1001" s="22" t="str">
        <f t="shared" si="351"/>
        <v>NO</v>
      </c>
      <c r="AW1001" s="22" t="str">
        <f t="shared" si="351"/>
        <v>NO</v>
      </c>
      <c r="AY1001" s="85"/>
      <c r="AZ1001" s="85"/>
    </row>
    <row r="1002" spans="1:52" x14ac:dyDescent="0.25">
      <c r="A1002" s="102" t="str">
        <f t="shared" si="345"/>
        <v>DS FSOM</v>
      </c>
      <c r="B1002" s="102" t="s">
        <v>975</v>
      </c>
      <c r="C1002" s="102" t="s">
        <v>60</v>
      </c>
      <c r="D1002" t="s">
        <v>369</v>
      </c>
      <c r="E1002" t="s">
        <v>55</v>
      </c>
      <c r="F1002" t="s">
        <v>60</v>
      </c>
      <c r="G1002" t="s">
        <v>1269</v>
      </c>
      <c r="H1002" t="s">
        <v>1270</v>
      </c>
      <c r="J1002" t="s">
        <v>287</v>
      </c>
      <c r="K1002" s="22" t="str">
        <f t="shared" si="350"/>
        <v>NO</v>
      </c>
      <c r="L1002" s="22" t="str">
        <f t="shared" si="351"/>
        <v>NO</v>
      </c>
      <c r="M1002" s="22" t="str">
        <f t="shared" si="351"/>
        <v>NO</v>
      </c>
      <c r="N1002" s="22" t="str">
        <f t="shared" si="351"/>
        <v>NO</v>
      </c>
      <c r="O1002" s="22" t="str">
        <f t="shared" si="351"/>
        <v>NO</v>
      </c>
      <c r="P1002" s="22" t="str">
        <f t="shared" si="351"/>
        <v>NO</v>
      </c>
      <c r="Q1002" s="22" t="str">
        <f t="shared" si="351"/>
        <v>NO</v>
      </c>
      <c r="R1002" s="22" t="str">
        <f t="shared" si="351"/>
        <v>NO</v>
      </c>
      <c r="S1002" s="22" t="str">
        <f t="shared" si="351"/>
        <v>NO</v>
      </c>
      <c r="T1002" s="22" t="str">
        <f t="shared" si="351"/>
        <v>NO</v>
      </c>
      <c r="U1002" s="22" t="str">
        <f t="shared" si="351"/>
        <v>NO</v>
      </c>
      <c r="V1002" s="22" t="str">
        <f t="shared" si="351"/>
        <v>NO</v>
      </c>
      <c r="W1002" s="22" t="str">
        <f t="shared" si="351"/>
        <v>NO</v>
      </c>
      <c r="X1002" s="22" t="str">
        <f t="shared" si="351"/>
        <v>NO</v>
      </c>
      <c r="Y1002" s="22" t="str">
        <f t="shared" si="351"/>
        <v>NO</v>
      </c>
      <c r="Z1002" s="22" t="str">
        <f t="shared" si="351"/>
        <v>NO</v>
      </c>
      <c r="AA1002" s="22" t="str">
        <f t="shared" si="351"/>
        <v>NO</v>
      </c>
      <c r="AB1002" s="22" t="str">
        <f t="shared" si="351"/>
        <v>NO</v>
      </c>
      <c r="AC1002" s="22" t="str">
        <f t="shared" si="351"/>
        <v>NO</v>
      </c>
      <c r="AD1002" s="22" t="str">
        <f t="shared" si="351"/>
        <v>NO</v>
      </c>
      <c r="AE1002" s="22" t="str">
        <f t="shared" si="351"/>
        <v>NO</v>
      </c>
      <c r="AF1002" s="22" t="str">
        <f t="shared" si="351"/>
        <v>NO</v>
      </c>
      <c r="AG1002" s="22" t="str">
        <f t="shared" si="351"/>
        <v>NO</v>
      </c>
      <c r="AH1002" s="22" t="str">
        <f t="shared" si="351"/>
        <v>NO</v>
      </c>
      <c r="AI1002" s="22" t="str">
        <f t="shared" si="351"/>
        <v>NO</v>
      </c>
      <c r="AJ1002" s="22" t="str">
        <f t="shared" si="351"/>
        <v>NO</v>
      </c>
      <c r="AK1002" s="22" t="str">
        <f t="shared" si="351"/>
        <v>NO</v>
      </c>
      <c r="AL1002" s="22" t="str">
        <f t="shared" si="351"/>
        <v>NO</v>
      </c>
      <c r="AM1002" s="22" t="str">
        <f t="shared" si="351"/>
        <v>NO</v>
      </c>
      <c r="AN1002" s="22" t="str">
        <f t="shared" si="351"/>
        <v>NO</v>
      </c>
      <c r="AO1002" s="22" t="str">
        <f t="shared" si="351"/>
        <v>NO</v>
      </c>
      <c r="AP1002" s="22" t="str">
        <f t="shared" si="351"/>
        <v>NO</v>
      </c>
      <c r="AQ1002" s="22" t="str">
        <f t="shared" si="351"/>
        <v>NO</v>
      </c>
      <c r="AR1002" s="22" t="str">
        <f t="shared" si="351"/>
        <v>NO</v>
      </c>
      <c r="AS1002" s="22" t="str">
        <f t="shared" si="351"/>
        <v>NO</v>
      </c>
      <c r="AT1002" s="22" t="str">
        <f t="shared" si="351"/>
        <v>NO</v>
      </c>
      <c r="AU1002" s="22" t="str">
        <f t="shared" si="351"/>
        <v>NO</v>
      </c>
      <c r="AV1002" s="22" t="str">
        <f t="shared" si="351"/>
        <v>NO</v>
      </c>
      <c r="AW1002" s="22" t="str">
        <f t="shared" si="351"/>
        <v>NO</v>
      </c>
      <c r="AY1002" s="85"/>
      <c r="AZ1002" s="85"/>
    </row>
    <row r="1003" spans="1:52" x14ac:dyDescent="0.25">
      <c r="A1003" s="102" t="str">
        <f t="shared" si="345"/>
        <v>DS FSOM</v>
      </c>
      <c r="B1003" s="102" t="s">
        <v>975</v>
      </c>
      <c r="C1003" s="102" t="s">
        <v>60</v>
      </c>
      <c r="D1003" t="s">
        <v>369</v>
      </c>
      <c r="E1003" t="s">
        <v>55</v>
      </c>
      <c r="F1003" t="s">
        <v>60</v>
      </c>
      <c r="G1003" t="s">
        <v>1271</v>
      </c>
      <c r="H1003" t="s">
        <v>1272</v>
      </c>
      <c r="J1003" t="s">
        <v>287</v>
      </c>
      <c r="K1003" s="22">
        <f t="shared" si="350"/>
        <v>3.4398813895090996E-3</v>
      </c>
      <c r="L1003" s="22">
        <f t="shared" si="351"/>
        <v>3.4358310252377683E-3</v>
      </c>
      <c r="M1003" s="22">
        <f t="shared" si="351"/>
        <v>3.4317806609664363E-3</v>
      </c>
      <c r="N1003" s="22">
        <f t="shared" si="351"/>
        <v>3.4277302966951037E-3</v>
      </c>
      <c r="O1003" s="22">
        <f t="shared" si="351"/>
        <v>3.4236799324237725E-3</v>
      </c>
      <c r="P1003" s="22">
        <f t="shared" si="351"/>
        <v>3.4196295681524396E-3</v>
      </c>
      <c r="Q1003" s="22">
        <f t="shared" si="351"/>
        <v>3.4155792038811079E-3</v>
      </c>
      <c r="R1003" s="22">
        <f t="shared" si="351"/>
        <v>3.4115288396097763E-3</v>
      </c>
      <c r="S1003" s="22">
        <f t="shared" si="351"/>
        <v>3.4074784753384451E-3</v>
      </c>
      <c r="T1003" s="22">
        <f t="shared" si="351"/>
        <v>3.4034281110671134E-3</v>
      </c>
      <c r="U1003" s="22">
        <f t="shared" si="351"/>
        <v>3.39937774679578E-3</v>
      </c>
      <c r="V1003" s="22">
        <f t="shared" si="351"/>
        <v>3.3953273825244488E-3</v>
      </c>
      <c r="W1003" s="22">
        <f t="shared" si="351"/>
        <v>3.3912770182531172E-3</v>
      </c>
      <c r="X1003" s="22">
        <f t="shared" si="351"/>
        <v>3.387226653981786E-3</v>
      </c>
      <c r="Y1003" s="22">
        <f t="shared" si="351"/>
        <v>3.3831762897104547E-3</v>
      </c>
      <c r="Z1003" s="22">
        <f t="shared" si="351"/>
        <v>3.3791259254391218E-3</v>
      </c>
      <c r="AA1003" s="22">
        <f t="shared" si="351"/>
        <v>3.375075561167791E-3</v>
      </c>
      <c r="AB1003" s="22">
        <f t="shared" si="351"/>
        <v>3.3710251968964585E-3</v>
      </c>
      <c r="AC1003" s="22">
        <f t="shared" si="351"/>
        <v>3.3669748326251273E-3</v>
      </c>
      <c r="AD1003" s="22">
        <f t="shared" si="351"/>
        <v>3.3629244683537943E-3</v>
      </c>
      <c r="AE1003" s="22">
        <f t="shared" si="351"/>
        <v>3.358874104082464E-3</v>
      </c>
      <c r="AF1003" s="22">
        <f t="shared" si="351"/>
        <v>3.3548237398111319E-3</v>
      </c>
      <c r="AG1003" s="22">
        <f t="shared" si="351"/>
        <v>3.3507733755397998E-3</v>
      </c>
      <c r="AH1003" s="22">
        <f t="shared" si="351"/>
        <v>3.3467230112684673E-3</v>
      </c>
      <c r="AI1003" s="22">
        <f t="shared" si="351"/>
        <v>3.3426726469971361E-3</v>
      </c>
      <c r="AJ1003" s="22">
        <f t="shared" si="351"/>
        <v>3.3386222827258044E-3</v>
      </c>
      <c r="AK1003" s="22">
        <f t="shared" si="351"/>
        <v>3.3345719184544728E-3</v>
      </c>
      <c r="AL1003" s="22">
        <f t="shared" si="351"/>
        <v>3.3305215541831416E-3</v>
      </c>
      <c r="AM1003" s="22">
        <f t="shared" si="351"/>
        <v>3.3264711899118095E-3</v>
      </c>
      <c r="AN1003" s="22">
        <f t="shared" si="351"/>
        <v>3.3224208256404765E-3</v>
      </c>
      <c r="AO1003" s="22">
        <f t="shared" si="351"/>
        <v>3.3183704613691458E-3</v>
      </c>
      <c r="AP1003" s="22">
        <f t="shared" si="351"/>
        <v>3.3143200970978137E-3</v>
      </c>
      <c r="AQ1003" s="22">
        <f t="shared" si="351"/>
        <v>3.3102697328264833E-3</v>
      </c>
      <c r="AR1003" s="22">
        <f t="shared" si="351"/>
        <v>3.3062193685551499E-3</v>
      </c>
      <c r="AS1003" s="22">
        <f t="shared" si="351"/>
        <v>3.3021690042838187E-3</v>
      </c>
      <c r="AT1003" s="22">
        <f t="shared" si="351"/>
        <v>3.2981186400124866E-3</v>
      </c>
      <c r="AU1003" s="22">
        <f t="shared" si="351"/>
        <v>3.2940682757411541E-3</v>
      </c>
      <c r="AV1003" s="22">
        <f t="shared" si="351"/>
        <v>3.2900179114698229E-3</v>
      </c>
      <c r="AW1003" s="22">
        <f t="shared" si="351"/>
        <v>3.2859675471984908E-3</v>
      </c>
      <c r="AY1003" s="85"/>
      <c r="AZ1003" s="85"/>
    </row>
    <row r="1004" spans="1:52" x14ac:dyDescent="0.25">
      <c r="A1004" s="102" t="str">
        <f t="shared" si="345"/>
        <v>DS FSOM</v>
      </c>
      <c r="B1004" s="102" t="s">
        <v>975</v>
      </c>
      <c r="C1004" s="102" t="s">
        <v>60</v>
      </c>
      <c r="D1004" t="s">
        <v>369</v>
      </c>
      <c r="E1004" t="s">
        <v>55</v>
      </c>
      <c r="F1004" t="s">
        <v>60</v>
      </c>
      <c r="G1004" t="s">
        <v>1273</v>
      </c>
      <c r="H1004" t="s">
        <v>1274</v>
      </c>
      <c r="J1004" t="s">
        <v>287</v>
      </c>
      <c r="K1004" s="22">
        <f t="shared" si="350"/>
        <v>0.49020960547040615</v>
      </c>
      <c r="L1004" s="22">
        <f t="shared" si="351"/>
        <v>0.49134551154341793</v>
      </c>
      <c r="M1004" s="22">
        <f t="shared" si="351"/>
        <v>0.49248141761642988</v>
      </c>
      <c r="N1004" s="22">
        <f t="shared" si="351"/>
        <v>0.49361732368944172</v>
      </c>
      <c r="O1004" s="22">
        <f t="shared" si="351"/>
        <v>0.49475322976245356</v>
      </c>
      <c r="P1004" s="22">
        <f t="shared" si="351"/>
        <v>0.49588913583546534</v>
      </c>
      <c r="Q1004" s="22">
        <f t="shared" si="351"/>
        <v>0.49702504190847724</v>
      </c>
      <c r="R1004" s="22">
        <f t="shared" si="351"/>
        <v>0.49816094798148913</v>
      </c>
      <c r="S1004" s="22">
        <f t="shared" si="351"/>
        <v>0.49929685405450086</v>
      </c>
      <c r="T1004" s="22">
        <f t="shared" si="351"/>
        <v>0.50043276012751292</v>
      </c>
      <c r="U1004" s="22">
        <f t="shared" si="351"/>
        <v>0.50156866620052454</v>
      </c>
      <c r="V1004" s="22">
        <f t="shared" si="351"/>
        <v>0.50270457227353649</v>
      </c>
      <c r="W1004" s="22">
        <f t="shared" si="351"/>
        <v>0.50384047834654833</v>
      </c>
      <c r="X1004" s="22">
        <f t="shared" si="351"/>
        <v>0.50497638441956039</v>
      </c>
      <c r="Y1004" s="22">
        <f t="shared" si="351"/>
        <v>0.506112290492572</v>
      </c>
      <c r="Z1004" s="22">
        <f t="shared" si="351"/>
        <v>0.50724819656558406</v>
      </c>
      <c r="AA1004" s="22">
        <f t="shared" si="351"/>
        <v>0.50838410263859568</v>
      </c>
      <c r="AB1004" s="22">
        <f t="shared" si="351"/>
        <v>0.50952000871160763</v>
      </c>
      <c r="AC1004" s="22">
        <f t="shared" si="351"/>
        <v>0.51065591478461958</v>
      </c>
      <c r="AD1004" s="22">
        <f t="shared" si="351"/>
        <v>0.51179182085763142</v>
      </c>
      <c r="AE1004" s="22">
        <f t="shared" si="351"/>
        <v>0.51292772693064326</v>
      </c>
      <c r="AF1004" s="22">
        <f t="shared" si="351"/>
        <v>0.5140636330036551</v>
      </c>
      <c r="AG1004" s="22">
        <f t="shared" si="351"/>
        <v>0.51519953907666705</v>
      </c>
      <c r="AH1004" s="22">
        <f t="shared" si="351"/>
        <v>0.51633544514967877</v>
      </c>
      <c r="AI1004" s="22">
        <f t="shared" si="351"/>
        <v>0.51747135122269072</v>
      </c>
      <c r="AJ1004" s="22">
        <f t="shared" si="351"/>
        <v>0.51860725729570256</v>
      </c>
      <c r="AK1004" s="22">
        <f t="shared" si="351"/>
        <v>0.5197431633687144</v>
      </c>
      <c r="AL1004" s="22">
        <f t="shared" si="351"/>
        <v>0.52087906944172624</v>
      </c>
      <c r="AM1004" s="22">
        <f t="shared" si="351"/>
        <v>0.52201497551473808</v>
      </c>
      <c r="AN1004" s="22">
        <f t="shared" si="351"/>
        <v>0.52315088158774992</v>
      </c>
      <c r="AO1004" s="22">
        <f t="shared" si="351"/>
        <v>0.52428678766076187</v>
      </c>
      <c r="AP1004" s="22">
        <f t="shared" si="351"/>
        <v>0.52542269373377359</v>
      </c>
      <c r="AQ1004" s="22">
        <f t="shared" si="351"/>
        <v>0.52655859980678543</v>
      </c>
      <c r="AR1004" s="22">
        <f t="shared" si="351"/>
        <v>0.52769450587979749</v>
      </c>
      <c r="AS1004" s="22">
        <f t="shared" si="351"/>
        <v>0.52883041195280922</v>
      </c>
      <c r="AT1004" s="22">
        <f t="shared" si="351"/>
        <v>0.52996631802582106</v>
      </c>
      <c r="AU1004" s="22">
        <f t="shared" si="351"/>
        <v>0.53110222409883301</v>
      </c>
      <c r="AV1004" s="22">
        <f t="shared" si="351"/>
        <v>0.53223813017184474</v>
      </c>
      <c r="AW1004" s="22">
        <f t="shared" si="351"/>
        <v>0.5333740362448568</v>
      </c>
      <c r="AY1004" s="85"/>
      <c r="AZ1004" s="85"/>
    </row>
    <row r="1005" spans="1:52" x14ac:dyDescent="0.25">
      <c r="A1005" s="102" t="str">
        <f t="shared" si="345"/>
        <v>DS FSOM</v>
      </c>
      <c r="B1005" s="102" t="s">
        <v>975</v>
      </c>
      <c r="C1005" s="102" t="s">
        <v>60</v>
      </c>
      <c r="D1005" t="s">
        <v>369</v>
      </c>
      <c r="E1005" t="s">
        <v>55</v>
      </c>
      <c r="F1005" t="s">
        <v>60</v>
      </c>
      <c r="G1005" t="s">
        <v>1275</v>
      </c>
      <c r="H1005" t="s">
        <v>1276</v>
      </c>
      <c r="J1005" t="s">
        <v>287</v>
      </c>
      <c r="K1005" s="22">
        <f t="shared" si="350"/>
        <v>0.57597220909378744</v>
      </c>
      <c r="L1005" s="22">
        <f t="shared" si="351"/>
        <v>0.57597220909378744</v>
      </c>
      <c r="M1005" s="22">
        <f t="shared" si="351"/>
        <v>0.57597220909378744</v>
      </c>
      <c r="N1005" s="22">
        <f t="shared" si="351"/>
        <v>0.57597220909378744</v>
      </c>
      <c r="O1005" s="22">
        <f t="shared" si="351"/>
        <v>0.57597220909378744</v>
      </c>
      <c r="P1005" s="22">
        <f t="shared" si="351"/>
        <v>0.57597220909378744</v>
      </c>
      <c r="Q1005" s="22">
        <f t="shared" si="351"/>
        <v>0.57597220909378744</v>
      </c>
      <c r="R1005" s="22">
        <f t="shared" si="351"/>
        <v>0.57597220909378744</v>
      </c>
      <c r="S1005" s="22">
        <f t="shared" si="351"/>
        <v>0.57597220909378744</v>
      </c>
      <c r="T1005" s="22">
        <f t="shared" si="351"/>
        <v>0.57597220909378744</v>
      </c>
      <c r="U1005" s="22">
        <f t="shared" si="351"/>
        <v>0.57597220909378744</v>
      </c>
      <c r="V1005" s="22">
        <f t="shared" si="351"/>
        <v>0.57597220909378744</v>
      </c>
      <c r="W1005" s="22">
        <f t="shared" si="351"/>
        <v>0.57597220909378744</v>
      </c>
      <c r="X1005" s="22">
        <f t="shared" si="351"/>
        <v>0.57597220909378744</v>
      </c>
      <c r="Y1005" s="22">
        <f t="shared" si="351"/>
        <v>0.57597220909378744</v>
      </c>
      <c r="Z1005" s="22">
        <f t="shared" si="351"/>
        <v>0.57597220909378744</v>
      </c>
      <c r="AA1005" s="22">
        <f t="shared" si="351"/>
        <v>0.57597220909378744</v>
      </c>
      <c r="AB1005" s="22">
        <f t="shared" si="351"/>
        <v>0.57597220909378744</v>
      </c>
      <c r="AC1005" s="22">
        <f t="shared" si="351"/>
        <v>0.57597220909378744</v>
      </c>
      <c r="AD1005" s="22">
        <f t="shared" si="351"/>
        <v>0.57597220909378744</v>
      </c>
      <c r="AE1005" s="22">
        <f t="shared" si="351"/>
        <v>0.57597220909378744</v>
      </c>
      <c r="AF1005" s="22">
        <f t="shared" si="351"/>
        <v>0.57597220909378744</v>
      </c>
      <c r="AG1005" s="22">
        <f t="shared" si="351"/>
        <v>0.57597220909378744</v>
      </c>
      <c r="AH1005" s="22">
        <f t="shared" si="351"/>
        <v>0.57597220909378744</v>
      </c>
      <c r="AI1005" s="22">
        <f t="shared" si="351"/>
        <v>0.57597220909378744</v>
      </c>
      <c r="AJ1005" s="22">
        <f t="shared" si="351"/>
        <v>0.57597220909378744</v>
      </c>
      <c r="AK1005" s="22">
        <f t="shared" si="351"/>
        <v>0.57597220909378744</v>
      </c>
      <c r="AL1005" s="22">
        <f t="shared" si="351"/>
        <v>0.57597220909378744</v>
      </c>
      <c r="AM1005" s="22">
        <f t="shared" si="351"/>
        <v>0.57597220909378744</v>
      </c>
      <c r="AN1005" s="22">
        <f t="shared" si="351"/>
        <v>0.57597220909378744</v>
      </c>
      <c r="AO1005" s="22">
        <f t="shared" si="351"/>
        <v>0.57597220909378744</v>
      </c>
      <c r="AP1005" s="22">
        <f t="shared" si="351"/>
        <v>0.57597220909378744</v>
      </c>
      <c r="AQ1005" s="22">
        <f t="shared" si="351"/>
        <v>0.57597220909378744</v>
      </c>
      <c r="AR1005" s="22">
        <f t="shared" si="351"/>
        <v>0.57597220909378744</v>
      </c>
      <c r="AS1005" s="22">
        <f t="shared" si="351"/>
        <v>0.57597220909378744</v>
      </c>
      <c r="AT1005" s="22">
        <f t="shared" si="351"/>
        <v>0.57597220909378744</v>
      </c>
      <c r="AU1005" s="22">
        <f t="shared" si="351"/>
        <v>0.57597220909378744</v>
      </c>
      <c r="AV1005" s="22">
        <f t="shared" si="351"/>
        <v>0.57597220909378744</v>
      </c>
      <c r="AW1005" s="22">
        <f t="shared" si="351"/>
        <v>0.57597220909378744</v>
      </c>
      <c r="AY1005" s="85"/>
      <c r="AZ1005" s="85"/>
    </row>
    <row r="1006" spans="1:52" x14ac:dyDescent="0.25">
      <c r="A1006" s="102" t="str">
        <f t="shared" si="345"/>
        <v>DS FSOM</v>
      </c>
      <c r="B1006" s="102" t="s">
        <v>975</v>
      </c>
      <c r="C1006" s="102" t="s">
        <v>60</v>
      </c>
      <c r="D1006" t="s">
        <v>369</v>
      </c>
      <c r="E1006" t="s">
        <v>55</v>
      </c>
      <c r="F1006" t="s">
        <v>60</v>
      </c>
      <c r="G1006" t="s">
        <v>1277</v>
      </c>
      <c r="H1006" t="s">
        <v>1278</v>
      </c>
      <c r="J1006" t="s">
        <v>287</v>
      </c>
      <c r="K1006" s="22" t="str">
        <f t="shared" si="350"/>
        <v>NO</v>
      </c>
      <c r="L1006" s="22" t="str">
        <f t="shared" si="351"/>
        <v>NO</v>
      </c>
      <c r="M1006" s="22" t="str">
        <f t="shared" si="351"/>
        <v>NO</v>
      </c>
      <c r="N1006" s="22" t="str">
        <f t="shared" si="351"/>
        <v>NO</v>
      </c>
      <c r="O1006" s="22" t="str">
        <f t="shared" si="351"/>
        <v>NO</v>
      </c>
      <c r="P1006" s="22" t="str">
        <f t="shared" si="351"/>
        <v>NO</v>
      </c>
      <c r="Q1006" s="22" t="str">
        <f t="shared" si="351"/>
        <v>NO</v>
      </c>
      <c r="R1006" s="22" t="str">
        <f t="shared" si="351"/>
        <v>NO</v>
      </c>
      <c r="S1006" s="22" t="str">
        <f t="shared" si="351"/>
        <v>NO</v>
      </c>
      <c r="T1006" s="22" t="str">
        <f t="shared" si="351"/>
        <v>NO</v>
      </c>
      <c r="U1006" s="22" t="str">
        <f t="shared" si="351"/>
        <v>NO</v>
      </c>
      <c r="V1006" s="22" t="str">
        <f t="shared" si="351"/>
        <v>NO</v>
      </c>
      <c r="W1006" s="22" t="str">
        <f t="shared" si="351"/>
        <v>NO</v>
      </c>
      <c r="X1006" s="22" t="str">
        <f t="shared" si="351"/>
        <v>NO</v>
      </c>
      <c r="Y1006" s="22" t="str">
        <f t="shared" si="351"/>
        <v>NO</v>
      </c>
      <c r="Z1006" s="22" t="str">
        <f t="shared" si="351"/>
        <v>NO</v>
      </c>
      <c r="AA1006" s="22" t="str">
        <f t="shared" si="351"/>
        <v>NO</v>
      </c>
      <c r="AB1006" s="22" t="str">
        <f t="shared" si="351"/>
        <v>NO</v>
      </c>
      <c r="AC1006" s="22" t="str">
        <f t="shared" si="351"/>
        <v>NO</v>
      </c>
      <c r="AD1006" s="22" t="str">
        <f t="shared" si="351"/>
        <v>NO</v>
      </c>
      <c r="AE1006" s="22" t="str">
        <f t="shared" si="351"/>
        <v>NO</v>
      </c>
      <c r="AF1006" s="22" t="str">
        <f t="shared" si="351"/>
        <v>NO</v>
      </c>
      <c r="AG1006" s="22" t="str">
        <f t="shared" si="351"/>
        <v>NO</v>
      </c>
      <c r="AH1006" s="22" t="str">
        <f t="shared" si="351"/>
        <v>NO</v>
      </c>
      <c r="AI1006" s="22" t="str">
        <f t="shared" si="351"/>
        <v>NO</v>
      </c>
      <c r="AJ1006" s="22" t="str">
        <f t="shared" si="351"/>
        <v>NO</v>
      </c>
      <c r="AK1006" s="22" t="str">
        <f t="shared" si="351"/>
        <v>NO</v>
      </c>
      <c r="AL1006" s="22" t="str">
        <f t="shared" si="351"/>
        <v>NO</v>
      </c>
      <c r="AM1006" s="22" t="str">
        <f t="shared" si="351"/>
        <v>NO</v>
      </c>
      <c r="AN1006" s="22" t="str">
        <f t="shared" si="351"/>
        <v>NO</v>
      </c>
      <c r="AO1006" s="22" t="str">
        <f t="shared" si="351"/>
        <v>NO</v>
      </c>
      <c r="AP1006" s="22" t="str">
        <f t="shared" si="351"/>
        <v>NO</v>
      </c>
      <c r="AQ1006" s="22" t="str">
        <f t="shared" si="351"/>
        <v>NO</v>
      </c>
      <c r="AR1006" s="22" t="str">
        <f t="shared" si="351"/>
        <v>NO</v>
      </c>
      <c r="AS1006" s="22" t="str">
        <f t="shared" si="351"/>
        <v>NO</v>
      </c>
      <c r="AT1006" s="22" t="str">
        <f t="shared" si="351"/>
        <v>NO</v>
      </c>
      <c r="AU1006" s="22" t="str">
        <f t="shared" si="351"/>
        <v>NO</v>
      </c>
      <c r="AV1006" s="22" t="str">
        <f t="shared" si="351"/>
        <v>NO</v>
      </c>
      <c r="AW1006" s="22" t="str">
        <f t="shared" si="351"/>
        <v>NO</v>
      </c>
      <c r="AY1006" s="85"/>
      <c r="AZ1006" s="85"/>
    </row>
    <row r="1007" spans="1:52" x14ac:dyDescent="0.25">
      <c r="A1007" s="102" t="str">
        <f t="shared" si="345"/>
        <v>DS FSOM</v>
      </c>
      <c r="B1007" s="102" t="s">
        <v>975</v>
      </c>
      <c r="C1007" s="102" t="s">
        <v>60</v>
      </c>
      <c r="D1007" t="s">
        <v>369</v>
      </c>
      <c r="E1007" t="s">
        <v>55</v>
      </c>
      <c r="F1007" t="s">
        <v>60</v>
      </c>
      <c r="G1007" t="s">
        <v>1279</v>
      </c>
      <c r="H1007" t="s">
        <v>1280</v>
      </c>
      <c r="J1007" t="s">
        <v>287</v>
      </c>
      <c r="K1007" s="22" t="str">
        <f t="shared" si="350"/>
        <v>NO</v>
      </c>
      <c r="L1007" s="22" t="str">
        <f t="shared" si="351"/>
        <v>NO</v>
      </c>
      <c r="M1007" s="22" t="str">
        <f t="shared" si="351"/>
        <v>NO</v>
      </c>
      <c r="N1007" s="22" t="str">
        <f t="shared" si="351"/>
        <v>NO</v>
      </c>
      <c r="O1007" s="22" t="str">
        <f t="shared" si="351"/>
        <v>NO</v>
      </c>
      <c r="P1007" s="22" t="str">
        <f t="shared" si="351"/>
        <v>NO</v>
      </c>
      <c r="Q1007" s="22" t="str">
        <f t="shared" si="351"/>
        <v>NO</v>
      </c>
      <c r="R1007" s="22" t="str">
        <f t="shared" si="351"/>
        <v>NO</v>
      </c>
      <c r="S1007" s="22" t="str">
        <f t="shared" si="351"/>
        <v>NO</v>
      </c>
      <c r="T1007" s="22" t="str">
        <f t="shared" si="351"/>
        <v>NO</v>
      </c>
      <c r="U1007" s="22" t="str">
        <f t="shared" si="351"/>
        <v>NO</v>
      </c>
      <c r="V1007" s="22" t="str">
        <f t="shared" si="351"/>
        <v>NO</v>
      </c>
      <c r="W1007" s="22" t="str">
        <f t="shared" si="351"/>
        <v>NO</v>
      </c>
      <c r="X1007" s="22" t="str">
        <f t="shared" si="351"/>
        <v>NO</v>
      </c>
      <c r="Y1007" s="22" t="str">
        <f t="shared" si="351"/>
        <v>NO</v>
      </c>
      <c r="Z1007" s="22" t="str">
        <f t="shared" si="351"/>
        <v>NO</v>
      </c>
      <c r="AA1007" s="22" t="str">
        <f t="shared" si="351"/>
        <v>NO</v>
      </c>
      <c r="AB1007" s="22" t="str">
        <f t="shared" si="351"/>
        <v>NO</v>
      </c>
      <c r="AC1007" s="22" t="str">
        <f t="shared" si="351"/>
        <v>NO</v>
      </c>
      <c r="AD1007" s="22" t="str">
        <f t="shared" si="351"/>
        <v>NO</v>
      </c>
      <c r="AE1007" s="22" t="str">
        <f t="shared" si="351"/>
        <v>NO</v>
      </c>
      <c r="AF1007" s="22" t="str">
        <f t="shared" si="351"/>
        <v>NO</v>
      </c>
      <c r="AG1007" s="22" t="str">
        <f t="shared" si="351"/>
        <v>NO</v>
      </c>
      <c r="AH1007" s="22" t="str">
        <f t="shared" si="351"/>
        <v>NO</v>
      </c>
      <c r="AI1007" s="22" t="str">
        <f t="shared" si="351"/>
        <v>NO</v>
      </c>
      <c r="AJ1007" s="22" t="str">
        <f t="shared" si="351"/>
        <v>NO</v>
      </c>
      <c r="AK1007" s="22" t="str">
        <f t="shared" si="351"/>
        <v>NO</v>
      </c>
      <c r="AL1007" s="22" t="str">
        <f t="shared" si="351"/>
        <v>NO</v>
      </c>
      <c r="AM1007" s="22" t="str">
        <f t="shared" si="351"/>
        <v>NO</v>
      </c>
      <c r="AN1007" s="22" t="str">
        <f t="shared" si="351"/>
        <v>NO</v>
      </c>
      <c r="AO1007" s="22" t="str">
        <f t="shared" si="351"/>
        <v>NO</v>
      </c>
      <c r="AP1007" s="22" t="str">
        <f t="shared" si="351"/>
        <v>NO</v>
      </c>
      <c r="AQ1007" s="22" t="str">
        <f t="shared" si="351"/>
        <v>NO</v>
      </c>
      <c r="AR1007" s="22" t="str">
        <f t="shared" si="351"/>
        <v>NO</v>
      </c>
      <c r="AS1007" s="22" t="str">
        <f t="shared" si="351"/>
        <v>NO</v>
      </c>
      <c r="AT1007" s="22" t="str">
        <f t="shared" si="351"/>
        <v>NO</v>
      </c>
      <c r="AU1007" s="22" t="str">
        <f t="shared" si="351"/>
        <v>NO</v>
      </c>
      <c r="AV1007" s="22" t="str">
        <f t="shared" si="351"/>
        <v>NO</v>
      </c>
      <c r="AW1007" s="22" t="str">
        <f t="shared" si="351"/>
        <v>NO</v>
      </c>
      <c r="AY1007" s="85"/>
      <c r="AZ1007" s="85"/>
    </row>
    <row r="1008" spans="1:52" x14ac:dyDescent="0.25">
      <c r="A1008" s="102" t="str">
        <f t="shared" si="345"/>
        <v>DS FSOM</v>
      </c>
      <c r="B1008" s="102" t="s">
        <v>975</v>
      </c>
      <c r="C1008" s="102" t="s">
        <v>60</v>
      </c>
      <c r="D1008" t="s">
        <v>369</v>
      </c>
      <c r="E1008" t="s">
        <v>55</v>
      </c>
      <c r="F1008" t="s">
        <v>60</v>
      </c>
      <c r="G1008" t="s">
        <v>1281</v>
      </c>
      <c r="H1008" t="s">
        <v>1282</v>
      </c>
      <c r="J1008" t="s">
        <v>287</v>
      </c>
      <c r="K1008" s="22" t="str">
        <f t="shared" si="350"/>
        <v>NO</v>
      </c>
      <c r="L1008" s="22" t="str">
        <f t="shared" si="351"/>
        <v>NO</v>
      </c>
      <c r="M1008" s="22" t="str">
        <f t="shared" si="351"/>
        <v>NO</v>
      </c>
      <c r="N1008" s="22" t="str">
        <f t="shared" si="351"/>
        <v>NO</v>
      </c>
      <c r="O1008" s="22" t="str">
        <f t="shared" si="351"/>
        <v>NO</v>
      </c>
      <c r="P1008" s="22" t="str">
        <f t="shared" ref="L1008:AW1012" si="352">P1505</f>
        <v>NO</v>
      </c>
      <c r="Q1008" s="22" t="str">
        <f t="shared" si="352"/>
        <v>NO</v>
      </c>
      <c r="R1008" s="22" t="str">
        <f t="shared" si="352"/>
        <v>NO</v>
      </c>
      <c r="S1008" s="22" t="str">
        <f t="shared" si="352"/>
        <v>NO</v>
      </c>
      <c r="T1008" s="22" t="str">
        <f t="shared" si="352"/>
        <v>NO</v>
      </c>
      <c r="U1008" s="22" t="str">
        <f t="shared" si="352"/>
        <v>NO</v>
      </c>
      <c r="V1008" s="22" t="str">
        <f t="shared" si="352"/>
        <v>NO</v>
      </c>
      <c r="W1008" s="22" t="str">
        <f t="shared" si="352"/>
        <v>NO</v>
      </c>
      <c r="X1008" s="22" t="str">
        <f t="shared" si="352"/>
        <v>NO</v>
      </c>
      <c r="Y1008" s="22" t="str">
        <f t="shared" si="352"/>
        <v>NO</v>
      </c>
      <c r="Z1008" s="22" t="str">
        <f t="shared" si="352"/>
        <v>NO</v>
      </c>
      <c r="AA1008" s="22" t="str">
        <f t="shared" si="352"/>
        <v>NO</v>
      </c>
      <c r="AB1008" s="22" t="str">
        <f t="shared" si="352"/>
        <v>NO</v>
      </c>
      <c r="AC1008" s="22" t="str">
        <f t="shared" si="352"/>
        <v>NO</v>
      </c>
      <c r="AD1008" s="22" t="str">
        <f t="shared" si="352"/>
        <v>NO</v>
      </c>
      <c r="AE1008" s="22" t="str">
        <f t="shared" si="352"/>
        <v>NO</v>
      </c>
      <c r="AF1008" s="22" t="str">
        <f t="shared" si="352"/>
        <v>NO</v>
      </c>
      <c r="AG1008" s="22" t="str">
        <f t="shared" si="352"/>
        <v>NO</v>
      </c>
      <c r="AH1008" s="22" t="str">
        <f t="shared" si="352"/>
        <v>NO</v>
      </c>
      <c r="AI1008" s="22" t="str">
        <f t="shared" si="352"/>
        <v>NO</v>
      </c>
      <c r="AJ1008" s="22" t="str">
        <f t="shared" si="352"/>
        <v>NO</v>
      </c>
      <c r="AK1008" s="22" t="str">
        <f t="shared" si="352"/>
        <v>NO</v>
      </c>
      <c r="AL1008" s="22" t="str">
        <f t="shared" si="352"/>
        <v>NO</v>
      </c>
      <c r="AM1008" s="22" t="str">
        <f t="shared" si="352"/>
        <v>NO</v>
      </c>
      <c r="AN1008" s="22" t="str">
        <f t="shared" si="352"/>
        <v>NO</v>
      </c>
      <c r="AO1008" s="22" t="str">
        <f t="shared" si="352"/>
        <v>NO</v>
      </c>
      <c r="AP1008" s="22" t="str">
        <f t="shared" si="352"/>
        <v>NO</v>
      </c>
      <c r="AQ1008" s="22" t="str">
        <f t="shared" si="352"/>
        <v>NO</v>
      </c>
      <c r="AR1008" s="22" t="str">
        <f t="shared" si="352"/>
        <v>NO</v>
      </c>
      <c r="AS1008" s="22" t="str">
        <f t="shared" si="352"/>
        <v>NO</v>
      </c>
      <c r="AT1008" s="22" t="str">
        <f t="shared" si="352"/>
        <v>NO</v>
      </c>
      <c r="AU1008" s="22" t="str">
        <f t="shared" si="352"/>
        <v>NO</v>
      </c>
      <c r="AV1008" s="22" t="str">
        <f t="shared" si="352"/>
        <v>NO</v>
      </c>
      <c r="AW1008" s="22" t="str">
        <f t="shared" si="352"/>
        <v>NO</v>
      </c>
      <c r="AY1008" s="85"/>
      <c r="AZ1008" s="85"/>
    </row>
    <row r="1009" spans="1:52" x14ac:dyDescent="0.25">
      <c r="A1009" s="102" t="str">
        <f t="shared" si="345"/>
        <v>DS FSOM</v>
      </c>
      <c r="B1009" s="102" t="s">
        <v>975</v>
      </c>
      <c r="C1009" s="102" t="s">
        <v>60</v>
      </c>
      <c r="D1009" t="s">
        <v>369</v>
      </c>
      <c r="E1009" t="s">
        <v>55</v>
      </c>
      <c r="F1009" t="s">
        <v>60</v>
      </c>
      <c r="G1009" t="s">
        <v>1283</v>
      </c>
      <c r="H1009" t="s">
        <v>1284</v>
      </c>
      <c r="J1009" t="s">
        <v>287</v>
      </c>
      <c r="K1009" s="22">
        <f t="shared" si="350"/>
        <v>5.604018730639919E-5</v>
      </c>
      <c r="L1009" s="22">
        <f t="shared" si="352"/>
        <v>5.604018730639919E-5</v>
      </c>
      <c r="M1009" s="22">
        <f t="shared" si="352"/>
        <v>5.604018730639919E-5</v>
      </c>
      <c r="N1009" s="22">
        <f t="shared" si="352"/>
        <v>5.604018730639919E-5</v>
      </c>
      <c r="O1009" s="22">
        <f t="shared" si="352"/>
        <v>5.604018730639919E-5</v>
      </c>
      <c r="P1009" s="22">
        <f t="shared" si="352"/>
        <v>5.604018730639919E-5</v>
      </c>
      <c r="Q1009" s="22">
        <f t="shared" si="352"/>
        <v>5.604018730639919E-5</v>
      </c>
      <c r="R1009" s="22">
        <f t="shared" si="352"/>
        <v>5.604018730639919E-5</v>
      </c>
      <c r="S1009" s="22">
        <f t="shared" si="352"/>
        <v>5.604018730639919E-5</v>
      </c>
      <c r="T1009" s="22">
        <f t="shared" si="352"/>
        <v>5.604018730639919E-5</v>
      </c>
      <c r="U1009" s="22">
        <f t="shared" si="352"/>
        <v>5.604018730639919E-5</v>
      </c>
      <c r="V1009" s="22">
        <f t="shared" si="352"/>
        <v>5.604018730639919E-5</v>
      </c>
      <c r="W1009" s="22">
        <f t="shared" si="352"/>
        <v>5.604018730639919E-5</v>
      </c>
      <c r="X1009" s="22">
        <f t="shared" si="352"/>
        <v>5.604018730639919E-5</v>
      </c>
      <c r="Y1009" s="22">
        <f t="shared" si="352"/>
        <v>5.604018730639919E-5</v>
      </c>
      <c r="Z1009" s="22">
        <f t="shared" si="352"/>
        <v>5.604018730639919E-5</v>
      </c>
      <c r="AA1009" s="22">
        <f t="shared" si="352"/>
        <v>5.604018730639919E-5</v>
      </c>
      <c r="AB1009" s="22">
        <f t="shared" si="352"/>
        <v>5.604018730639919E-5</v>
      </c>
      <c r="AC1009" s="22">
        <f t="shared" si="352"/>
        <v>5.604018730639919E-5</v>
      </c>
      <c r="AD1009" s="22">
        <f t="shared" si="352"/>
        <v>5.604018730639919E-5</v>
      </c>
      <c r="AE1009" s="22">
        <f t="shared" si="352"/>
        <v>5.604018730639919E-5</v>
      </c>
      <c r="AF1009" s="22">
        <f t="shared" si="352"/>
        <v>5.604018730639919E-5</v>
      </c>
      <c r="AG1009" s="22">
        <f t="shared" si="352"/>
        <v>5.604018730639919E-5</v>
      </c>
      <c r="AH1009" s="22">
        <f t="shared" si="352"/>
        <v>5.604018730639919E-5</v>
      </c>
      <c r="AI1009" s="22">
        <f t="shared" si="352"/>
        <v>5.604018730639919E-5</v>
      </c>
      <c r="AJ1009" s="22">
        <f t="shared" si="352"/>
        <v>5.604018730639919E-5</v>
      </c>
      <c r="AK1009" s="22">
        <f t="shared" si="352"/>
        <v>5.604018730639919E-5</v>
      </c>
      <c r="AL1009" s="22">
        <f t="shared" si="352"/>
        <v>5.604018730639919E-5</v>
      </c>
      <c r="AM1009" s="22">
        <f t="shared" si="352"/>
        <v>5.604018730639919E-5</v>
      </c>
      <c r="AN1009" s="22">
        <f t="shared" si="352"/>
        <v>5.604018730639919E-5</v>
      </c>
      <c r="AO1009" s="22">
        <f t="shared" si="352"/>
        <v>5.604018730639919E-5</v>
      </c>
      <c r="AP1009" s="22">
        <f t="shared" si="352"/>
        <v>5.604018730639919E-5</v>
      </c>
      <c r="AQ1009" s="22">
        <f t="shared" si="352"/>
        <v>5.604018730639919E-5</v>
      </c>
      <c r="AR1009" s="22">
        <f t="shared" si="352"/>
        <v>5.604018730639919E-5</v>
      </c>
      <c r="AS1009" s="22">
        <f t="shared" si="352"/>
        <v>5.604018730639919E-5</v>
      </c>
      <c r="AT1009" s="22">
        <f t="shared" si="352"/>
        <v>5.604018730639919E-5</v>
      </c>
      <c r="AU1009" s="22">
        <f t="shared" si="352"/>
        <v>5.604018730639919E-5</v>
      </c>
      <c r="AV1009" s="22">
        <f t="shared" si="352"/>
        <v>5.604018730639919E-5</v>
      </c>
      <c r="AW1009" s="22">
        <f t="shared" si="352"/>
        <v>5.604018730639919E-5</v>
      </c>
      <c r="AY1009" s="85"/>
      <c r="AZ1009" s="85"/>
    </row>
    <row r="1010" spans="1:52" x14ac:dyDescent="0.25">
      <c r="A1010" s="102" t="str">
        <f t="shared" si="345"/>
        <v>DS FSOM</v>
      </c>
      <c r="B1010" s="102" t="s">
        <v>975</v>
      </c>
      <c r="C1010" s="102" t="s">
        <v>60</v>
      </c>
      <c r="D1010" t="s">
        <v>369</v>
      </c>
      <c r="E1010" t="s">
        <v>55</v>
      </c>
      <c r="F1010" t="s">
        <v>60</v>
      </c>
      <c r="G1010" t="s">
        <v>1285</v>
      </c>
      <c r="H1010" t="s">
        <v>1286</v>
      </c>
      <c r="J1010" t="s">
        <v>287</v>
      </c>
      <c r="K1010" s="22">
        <f t="shared" si="350"/>
        <v>6.110857899094551E-2</v>
      </c>
      <c r="L1010" s="22">
        <f t="shared" si="352"/>
        <v>6.110857899094551E-2</v>
      </c>
      <c r="M1010" s="22">
        <f t="shared" si="352"/>
        <v>6.110857899094551E-2</v>
      </c>
      <c r="N1010" s="22">
        <f t="shared" si="352"/>
        <v>6.110857899094551E-2</v>
      </c>
      <c r="O1010" s="22">
        <f t="shared" si="352"/>
        <v>6.110857899094551E-2</v>
      </c>
      <c r="P1010" s="22">
        <f t="shared" si="352"/>
        <v>6.110857899094551E-2</v>
      </c>
      <c r="Q1010" s="22">
        <f t="shared" si="352"/>
        <v>6.110857899094551E-2</v>
      </c>
      <c r="R1010" s="22">
        <f t="shared" si="352"/>
        <v>6.110857899094551E-2</v>
      </c>
      <c r="S1010" s="22">
        <f t="shared" si="352"/>
        <v>6.110857899094551E-2</v>
      </c>
      <c r="T1010" s="22">
        <f t="shared" si="352"/>
        <v>6.110857899094551E-2</v>
      </c>
      <c r="U1010" s="22">
        <f t="shared" si="352"/>
        <v>6.110857899094551E-2</v>
      </c>
      <c r="V1010" s="22">
        <f t="shared" si="352"/>
        <v>6.110857899094551E-2</v>
      </c>
      <c r="W1010" s="22">
        <f t="shared" si="352"/>
        <v>6.110857899094551E-2</v>
      </c>
      <c r="X1010" s="22">
        <f t="shared" si="352"/>
        <v>6.110857899094551E-2</v>
      </c>
      <c r="Y1010" s="22">
        <f t="shared" si="352"/>
        <v>6.110857899094551E-2</v>
      </c>
      <c r="Z1010" s="22">
        <f t="shared" si="352"/>
        <v>6.110857899094551E-2</v>
      </c>
      <c r="AA1010" s="22">
        <f t="shared" si="352"/>
        <v>6.110857899094551E-2</v>
      </c>
      <c r="AB1010" s="22">
        <f t="shared" si="352"/>
        <v>6.110857899094551E-2</v>
      </c>
      <c r="AC1010" s="22">
        <f t="shared" si="352"/>
        <v>6.110857899094551E-2</v>
      </c>
      <c r="AD1010" s="22">
        <f t="shared" si="352"/>
        <v>6.110857899094551E-2</v>
      </c>
      <c r="AE1010" s="22">
        <f t="shared" si="352"/>
        <v>6.110857899094551E-2</v>
      </c>
      <c r="AF1010" s="22">
        <f t="shared" si="352"/>
        <v>6.110857899094551E-2</v>
      </c>
      <c r="AG1010" s="22">
        <f t="shared" si="352"/>
        <v>6.110857899094551E-2</v>
      </c>
      <c r="AH1010" s="22">
        <f t="shared" si="352"/>
        <v>6.110857899094551E-2</v>
      </c>
      <c r="AI1010" s="22">
        <f t="shared" si="352"/>
        <v>6.110857899094551E-2</v>
      </c>
      <c r="AJ1010" s="22">
        <f t="shared" si="352"/>
        <v>6.110857899094551E-2</v>
      </c>
      <c r="AK1010" s="22">
        <f t="shared" si="352"/>
        <v>6.110857899094551E-2</v>
      </c>
      <c r="AL1010" s="22">
        <f t="shared" si="352"/>
        <v>6.110857899094551E-2</v>
      </c>
      <c r="AM1010" s="22">
        <f t="shared" si="352"/>
        <v>6.110857899094551E-2</v>
      </c>
      <c r="AN1010" s="22">
        <f t="shared" si="352"/>
        <v>6.110857899094551E-2</v>
      </c>
      <c r="AO1010" s="22">
        <f t="shared" si="352"/>
        <v>6.110857899094551E-2</v>
      </c>
      <c r="AP1010" s="22">
        <f t="shared" si="352"/>
        <v>6.110857899094551E-2</v>
      </c>
      <c r="AQ1010" s="22">
        <f t="shared" si="352"/>
        <v>6.110857899094551E-2</v>
      </c>
      <c r="AR1010" s="22">
        <f t="shared" si="352"/>
        <v>6.110857899094551E-2</v>
      </c>
      <c r="AS1010" s="22">
        <f t="shared" si="352"/>
        <v>6.110857899094551E-2</v>
      </c>
      <c r="AT1010" s="22">
        <f t="shared" si="352"/>
        <v>6.110857899094551E-2</v>
      </c>
      <c r="AU1010" s="22">
        <f t="shared" si="352"/>
        <v>6.110857899094551E-2</v>
      </c>
      <c r="AV1010" s="22">
        <f t="shared" si="352"/>
        <v>6.110857899094551E-2</v>
      </c>
      <c r="AW1010" s="22">
        <f t="shared" si="352"/>
        <v>6.110857899094551E-2</v>
      </c>
      <c r="AY1010" s="85"/>
      <c r="AZ1010" s="85"/>
    </row>
    <row r="1011" spans="1:52" x14ac:dyDescent="0.25">
      <c r="A1011" s="102" t="str">
        <f t="shared" si="345"/>
        <v>DS FSOM</v>
      </c>
      <c r="B1011" s="102" t="s">
        <v>975</v>
      </c>
      <c r="C1011" s="102" t="s">
        <v>60</v>
      </c>
      <c r="D1011" t="s">
        <v>369</v>
      </c>
      <c r="E1011" t="s">
        <v>55</v>
      </c>
      <c r="F1011" t="s">
        <v>60</v>
      </c>
      <c r="G1011" t="s">
        <v>1287</v>
      </c>
      <c r="H1011" t="s">
        <v>1288</v>
      </c>
      <c r="J1011" t="s">
        <v>287</v>
      </c>
      <c r="K1011" s="22" t="str">
        <f t="shared" si="350"/>
        <v>NO</v>
      </c>
      <c r="L1011" s="22" t="str">
        <f t="shared" si="352"/>
        <v>NO</v>
      </c>
      <c r="M1011" s="22" t="str">
        <f t="shared" si="352"/>
        <v>NO</v>
      </c>
      <c r="N1011" s="22" t="str">
        <f t="shared" si="352"/>
        <v>NO</v>
      </c>
      <c r="O1011" s="22" t="str">
        <f t="shared" si="352"/>
        <v>NO</v>
      </c>
      <c r="P1011" s="22" t="str">
        <f t="shared" si="352"/>
        <v>NO</v>
      </c>
      <c r="Q1011" s="22" t="str">
        <f t="shared" si="352"/>
        <v>NO</v>
      </c>
      <c r="R1011" s="22" t="str">
        <f t="shared" si="352"/>
        <v>NO</v>
      </c>
      <c r="S1011" s="22" t="str">
        <f t="shared" si="352"/>
        <v>NO</v>
      </c>
      <c r="T1011" s="22" t="str">
        <f t="shared" si="352"/>
        <v>NO</v>
      </c>
      <c r="U1011" s="22" t="str">
        <f t="shared" si="352"/>
        <v>NO</v>
      </c>
      <c r="V1011" s="22" t="str">
        <f t="shared" si="352"/>
        <v>NO</v>
      </c>
      <c r="W1011" s="22" t="str">
        <f t="shared" si="352"/>
        <v>NO</v>
      </c>
      <c r="X1011" s="22" t="str">
        <f t="shared" si="352"/>
        <v>NO</v>
      </c>
      <c r="Y1011" s="22" t="str">
        <f t="shared" si="352"/>
        <v>NO</v>
      </c>
      <c r="Z1011" s="22" t="str">
        <f t="shared" si="352"/>
        <v>NO</v>
      </c>
      <c r="AA1011" s="22" t="str">
        <f t="shared" si="352"/>
        <v>NO</v>
      </c>
      <c r="AB1011" s="22" t="str">
        <f t="shared" si="352"/>
        <v>NO</v>
      </c>
      <c r="AC1011" s="22" t="str">
        <f t="shared" si="352"/>
        <v>NO</v>
      </c>
      <c r="AD1011" s="22" t="str">
        <f t="shared" si="352"/>
        <v>NO</v>
      </c>
      <c r="AE1011" s="22" t="str">
        <f t="shared" si="352"/>
        <v>NO</v>
      </c>
      <c r="AF1011" s="22" t="str">
        <f t="shared" si="352"/>
        <v>NO</v>
      </c>
      <c r="AG1011" s="22" t="str">
        <f t="shared" si="352"/>
        <v>NO</v>
      </c>
      <c r="AH1011" s="22" t="str">
        <f t="shared" si="352"/>
        <v>NO</v>
      </c>
      <c r="AI1011" s="22" t="str">
        <f t="shared" si="352"/>
        <v>NO</v>
      </c>
      <c r="AJ1011" s="22" t="str">
        <f t="shared" si="352"/>
        <v>NO</v>
      </c>
      <c r="AK1011" s="22" t="str">
        <f t="shared" si="352"/>
        <v>NO</v>
      </c>
      <c r="AL1011" s="22" t="str">
        <f t="shared" si="352"/>
        <v>NO</v>
      </c>
      <c r="AM1011" s="22" t="str">
        <f t="shared" si="352"/>
        <v>NO</v>
      </c>
      <c r="AN1011" s="22" t="str">
        <f t="shared" si="352"/>
        <v>NO</v>
      </c>
      <c r="AO1011" s="22" t="str">
        <f t="shared" si="352"/>
        <v>NO</v>
      </c>
      <c r="AP1011" s="22" t="str">
        <f t="shared" si="352"/>
        <v>NO</v>
      </c>
      <c r="AQ1011" s="22" t="str">
        <f t="shared" si="352"/>
        <v>NO</v>
      </c>
      <c r="AR1011" s="22" t="str">
        <f t="shared" si="352"/>
        <v>NO</v>
      </c>
      <c r="AS1011" s="22" t="str">
        <f t="shared" si="352"/>
        <v>NO</v>
      </c>
      <c r="AT1011" s="22" t="str">
        <f t="shared" si="352"/>
        <v>NO</v>
      </c>
      <c r="AU1011" s="22" t="str">
        <f t="shared" si="352"/>
        <v>NO</v>
      </c>
      <c r="AV1011" s="22" t="str">
        <f t="shared" si="352"/>
        <v>NO</v>
      </c>
      <c r="AW1011" s="22" t="str">
        <f t="shared" si="352"/>
        <v>NO</v>
      </c>
      <c r="AY1011" s="85"/>
      <c r="AZ1011" s="85"/>
    </row>
    <row r="1012" spans="1:52" x14ac:dyDescent="0.25">
      <c r="A1012" s="102" t="str">
        <f t="shared" si="345"/>
        <v>DS FSOM</v>
      </c>
      <c r="B1012" s="102" t="s">
        <v>975</v>
      </c>
      <c r="C1012" s="102" t="s">
        <v>60</v>
      </c>
      <c r="D1012" t="s">
        <v>369</v>
      </c>
      <c r="E1012" t="s">
        <v>55</v>
      </c>
      <c r="F1012" t="s">
        <v>60</v>
      </c>
      <c r="G1012" t="s">
        <v>1289</v>
      </c>
      <c r="H1012" t="s">
        <v>1290</v>
      </c>
      <c r="J1012" t="s">
        <v>287</v>
      </c>
      <c r="K1012" s="22">
        <f t="shared" si="350"/>
        <v>3.1961717215001131</v>
      </c>
      <c r="L1012" s="22">
        <f t="shared" si="352"/>
        <v>3.1961717215001131</v>
      </c>
      <c r="M1012" s="22">
        <f t="shared" si="352"/>
        <v>3.1961717215001131</v>
      </c>
      <c r="N1012" s="22">
        <f t="shared" si="352"/>
        <v>3.1961717215001131</v>
      </c>
      <c r="O1012" s="22">
        <f t="shared" si="352"/>
        <v>3.1961717215001131</v>
      </c>
      <c r="P1012" s="22">
        <f t="shared" si="352"/>
        <v>3.1961717215001131</v>
      </c>
      <c r="Q1012" s="22">
        <f t="shared" si="352"/>
        <v>3.1961717215001131</v>
      </c>
      <c r="R1012" s="22">
        <f t="shared" si="352"/>
        <v>3.1961717215001131</v>
      </c>
      <c r="S1012" s="22">
        <f t="shared" si="352"/>
        <v>3.1961717215001131</v>
      </c>
      <c r="T1012" s="22">
        <f t="shared" si="352"/>
        <v>3.1961717215001131</v>
      </c>
      <c r="U1012" s="22">
        <f t="shared" si="352"/>
        <v>3.1961717215001131</v>
      </c>
      <c r="V1012" s="22">
        <f t="shared" si="352"/>
        <v>3.1961717215001131</v>
      </c>
      <c r="W1012" s="22">
        <f t="shared" si="352"/>
        <v>3.1961717215001131</v>
      </c>
      <c r="X1012" s="22">
        <f t="shared" si="352"/>
        <v>3.1961717215001131</v>
      </c>
      <c r="Y1012" s="22">
        <f t="shared" si="352"/>
        <v>3.1961717215001131</v>
      </c>
      <c r="Z1012" s="22">
        <f t="shared" si="352"/>
        <v>3.1961717215001131</v>
      </c>
      <c r="AA1012" s="22">
        <f t="shared" si="352"/>
        <v>3.1961717215001131</v>
      </c>
      <c r="AB1012" s="22">
        <f t="shared" si="352"/>
        <v>3.1961717215001131</v>
      </c>
      <c r="AC1012" s="22">
        <f t="shared" si="352"/>
        <v>3.1961717215001131</v>
      </c>
      <c r="AD1012" s="22">
        <f t="shared" si="352"/>
        <v>3.1961717215001131</v>
      </c>
      <c r="AE1012" s="22">
        <f t="shared" si="352"/>
        <v>3.1961717215001131</v>
      </c>
      <c r="AF1012" s="22">
        <f t="shared" si="352"/>
        <v>3.1961717215001131</v>
      </c>
      <c r="AG1012" s="22">
        <f t="shared" si="352"/>
        <v>3.1961717215001131</v>
      </c>
      <c r="AH1012" s="22">
        <f t="shared" si="352"/>
        <v>3.1961717215001131</v>
      </c>
      <c r="AI1012" s="22">
        <f t="shared" si="352"/>
        <v>3.1961717215001131</v>
      </c>
      <c r="AJ1012" s="22">
        <f t="shared" si="352"/>
        <v>3.1961717215001131</v>
      </c>
      <c r="AK1012" s="22">
        <f t="shared" si="352"/>
        <v>3.1961717215001131</v>
      </c>
      <c r="AL1012" s="22">
        <f t="shared" si="352"/>
        <v>3.1961717215001131</v>
      </c>
      <c r="AM1012" s="22">
        <f t="shared" si="352"/>
        <v>3.1961717215001131</v>
      </c>
      <c r="AN1012" s="22">
        <f t="shared" si="352"/>
        <v>3.1961717215001131</v>
      </c>
      <c r="AO1012" s="22">
        <f t="shared" si="352"/>
        <v>3.1961717215001131</v>
      </c>
      <c r="AP1012" s="22">
        <f t="shared" si="352"/>
        <v>3.1961717215001131</v>
      </c>
      <c r="AQ1012" s="22">
        <f t="shared" si="352"/>
        <v>3.1961717215001131</v>
      </c>
      <c r="AR1012" s="22">
        <f t="shared" si="352"/>
        <v>3.1961717215001131</v>
      </c>
      <c r="AS1012" s="22">
        <f t="shared" si="352"/>
        <v>3.1961717215001131</v>
      </c>
      <c r="AT1012" s="22">
        <f t="shared" si="352"/>
        <v>3.1961717215001131</v>
      </c>
      <c r="AU1012" s="22">
        <f t="shared" si="352"/>
        <v>3.1961717215001131</v>
      </c>
      <c r="AV1012" s="22">
        <f t="shared" si="352"/>
        <v>3.1961717215001131</v>
      </c>
      <c r="AW1012" s="22">
        <f t="shared" si="352"/>
        <v>3.1961717215001131</v>
      </c>
      <c r="AY1012" s="85"/>
      <c r="AZ1012" s="85"/>
    </row>
    <row r="1013" spans="1:52" x14ac:dyDescent="0.25">
      <c r="A1013" s="102" t="str">
        <f t="shared" si="345"/>
        <v>DS Volatilisation</v>
      </c>
      <c r="B1013" s="102" t="s">
        <v>975</v>
      </c>
      <c r="C1013" s="102" t="s">
        <v>62</v>
      </c>
      <c r="D1013" t="s">
        <v>369</v>
      </c>
      <c r="E1013" t="s">
        <v>61</v>
      </c>
      <c r="F1013" t="s">
        <v>62</v>
      </c>
      <c r="G1013" t="s">
        <v>435</v>
      </c>
      <c r="H1013" t="s">
        <v>1185</v>
      </c>
      <c r="I1013" t="s">
        <v>139</v>
      </c>
      <c r="J1013" t="s">
        <v>287</v>
      </c>
      <c r="K1013" s="22">
        <f t="shared" si="350"/>
        <v>0.66064812063358536</v>
      </c>
      <c r="L1013" s="22">
        <f t="shared" ref="L1013:AW1013" si="353">L1510</f>
        <v>0.66055332632324659</v>
      </c>
      <c r="M1013" s="22">
        <f t="shared" si="353"/>
        <v>0.66042378924026446</v>
      </c>
      <c r="N1013" s="22">
        <f t="shared" si="353"/>
        <v>0.66032976249569819</v>
      </c>
      <c r="O1013" s="22">
        <f t="shared" si="353"/>
        <v>0.66028397217143464</v>
      </c>
      <c r="P1013" s="22">
        <f t="shared" si="353"/>
        <v>0.66023877667619957</v>
      </c>
      <c r="Q1013" s="22">
        <f t="shared" si="353"/>
        <v>0.66017040685586048</v>
      </c>
      <c r="R1013" s="22">
        <f t="shared" si="353"/>
        <v>0.66009555191940106</v>
      </c>
      <c r="S1013" s="22">
        <f t="shared" si="353"/>
        <v>0.66007105452260206</v>
      </c>
      <c r="T1013" s="22">
        <f t="shared" si="353"/>
        <v>0.6605210320148045</v>
      </c>
      <c r="U1013" s="22">
        <f t="shared" si="353"/>
        <v>0.66038066881148649</v>
      </c>
      <c r="V1013" s="22">
        <f t="shared" si="353"/>
        <v>0.660254471504373</v>
      </c>
      <c r="W1013" s="22">
        <f t="shared" si="353"/>
        <v>0.66012944407562835</v>
      </c>
      <c r="X1013" s="22">
        <f t="shared" si="353"/>
        <v>0.65998592560706049</v>
      </c>
      <c r="Y1013" s="22">
        <f t="shared" si="353"/>
        <v>0.65984396481179586</v>
      </c>
      <c r="Z1013" s="22">
        <f t="shared" si="353"/>
        <v>0.65970003432051683</v>
      </c>
      <c r="AA1013" s="22">
        <f t="shared" si="353"/>
        <v>0.65956223028685135</v>
      </c>
      <c r="AB1013" s="22">
        <f t="shared" si="353"/>
        <v>0.65941853622185975</v>
      </c>
      <c r="AC1013" s="22">
        <f t="shared" si="353"/>
        <v>0.65928505403904103</v>
      </c>
      <c r="AD1013" s="22">
        <f t="shared" si="353"/>
        <v>0.65915038110737934</v>
      </c>
      <c r="AE1013" s="22">
        <f t="shared" si="353"/>
        <v>0.65899366744546872</v>
      </c>
      <c r="AF1013" s="22">
        <f t="shared" si="353"/>
        <v>0.65882822576482969</v>
      </c>
      <c r="AG1013" s="22">
        <f t="shared" si="353"/>
        <v>0.65866069718802811</v>
      </c>
      <c r="AH1013" s="22">
        <f t="shared" si="353"/>
        <v>0.65862744996812317</v>
      </c>
      <c r="AI1013" s="22">
        <f t="shared" si="353"/>
        <v>0.67244352177988753</v>
      </c>
      <c r="AJ1013" s="22">
        <f t="shared" si="353"/>
        <v>0.67246796459520652</v>
      </c>
      <c r="AK1013" s="22">
        <f t="shared" si="353"/>
        <v>0.67249266471091262</v>
      </c>
      <c r="AL1013" s="22">
        <f t="shared" si="353"/>
        <v>0.6725176256716463</v>
      </c>
      <c r="AM1013" s="22">
        <f t="shared" si="353"/>
        <v>0.67254285108872014</v>
      </c>
      <c r="AN1013" s="22">
        <f t="shared" si="353"/>
        <v>0.67256834464178161</v>
      </c>
      <c r="AO1013" s="22">
        <f t="shared" si="353"/>
        <v>0.67259019731905478</v>
      </c>
      <c r="AP1013" s="22">
        <f t="shared" si="353"/>
        <v>0.67261224822219834</v>
      </c>
      <c r="AQ1013" s="22">
        <f t="shared" si="353"/>
        <v>0.67263449972304945</v>
      </c>
      <c r="AR1013" s="22">
        <f t="shared" si="353"/>
        <v>0.67265695423235672</v>
      </c>
      <c r="AS1013" s="22">
        <f t="shared" si="353"/>
        <v>0.67267961420062661</v>
      </c>
      <c r="AT1013" s="22">
        <f t="shared" si="353"/>
        <v>0.67269840467448694</v>
      </c>
      <c r="AU1013" s="22">
        <f t="shared" si="353"/>
        <v>0.67271733718738858</v>
      </c>
      <c r="AV1013" s="22">
        <f t="shared" si="353"/>
        <v>0.67273641316511901</v>
      </c>
      <c r="AW1013" s="22">
        <f t="shared" si="353"/>
        <v>0.67275563405315475</v>
      </c>
      <c r="AY1013" s="85"/>
      <c r="AZ1013" s="85"/>
    </row>
    <row r="1014" spans="1:52" x14ac:dyDescent="0.25">
      <c r="A1014" s="102" t="str">
        <f t="shared" si="345"/>
        <v>DS Volatilisation</v>
      </c>
      <c r="B1014" s="102" t="s">
        <v>975</v>
      </c>
      <c r="C1014" s="102" t="s">
        <v>62</v>
      </c>
      <c r="D1014" t="s">
        <v>369</v>
      </c>
      <c r="E1014" t="s">
        <v>61</v>
      </c>
      <c r="F1014" t="s">
        <v>62</v>
      </c>
      <c r="G1014" t="s">
        <v>436</v>
      </c>
      <c r="H1014" t="s">
        <v>1186</v>
      </c>
      <c r="I1014" t="s">
        <v>139</v>
      </c>
      <c r="J1014" t="s">
        <v>287</v>
      </c>
      <c r="K1014" s="101">
        <f>IF('Net zero activities &amp; levers'!$C$12="Off",'Activity data'!AD48*ttokg*FracGASM*MSVolatEF*NtoN2O*kgtoGg,'Net zero Activity data'!AD48*ttokg*FracGASM*MSVolatEF*NtoN2O*kgtoGg)</f>
        <v>8.720555192363328E-3</v>
      </c>
      <c r="L1014" s="101">
        <f>IF('Net zero activities &amp; levers'!$C$12="Off",'Activity data'!AE48*ttokg*FracGASM*MSVolatEF*NtoN2O*kgtoGg,'Net zero Activity data'!AE48*ttokg*FracGASM*MSVolatEF*NtoN2O*kgtoGg)</f>
        <v>8.7193039074668528E-3</v>
      </c>
      <c r="M1014" s="101">
        <f>IF('Net zero activities &amp; levers'!$C$12="Off",'Activity data'!AF48*ttokg*FracGASM*MSVolatEF*NtoN2O*kgtoGg,'Net zero Activity data'!AF48*ttokg*FracGASM*MSVolatEF*NtoN2O*kgtoGg)</f>
        <v>8.7175940179714945E-3</v>
      </c>
      <c r="N1014" s="101">
        <f>IF('Net zero activities &amp; levers'!$C$12="Off",'Activity data'!AG48*ttokg*FracGASM*MSVolatEF*NtoN2O*kgtoGg,'Net zero Activity data'!AG48*ttokg*FracGASM*MSVolatEF*NtoN2O*kgtoGg)</f>
        <v>8.7163528649432196E-3</v>
      </c>
      <c r="O1014" s="101">
        <f>IF('Net zero activities &amp; levers'!$C$12="Off",'Activity data'!AH48*ttokg*FracGASM*MSVolatEF*NtoN2O*kgtoGg,'Net zero Activity data'!AH48*ttokg*FracGASM*MSVolatEF*NtoN2O*kgtoGg)</f>
        <v>8.7157484326629356E-3</v>
      </c>
      <c r="P1014" s="101">
        <f>IF('Net zero activities &amp; levers'!$C$12="Off",'Activity data'!AI48*ttokg*FracGASM*MSVolatEF*NtoN2O*kgtoGg,'Net zero Activity data'!AI48*ttokg*FracGASM*MSVolatEF*NtoN2O*kgtoGg)</f>
        <v>8.715151852125836E-3</v>
      </c>
      <c r="Q1014" s="101">
        <f>IF('Net zero activities &amp; levers'!$C$12="Off",'Activity data'!AJ48*ttokg*FracGASM*MSVolatEF*NtoN2O*kgtoGg,'Net zero Activity data'!AJ48*ttokg*FracGASM*MSVolatEF*NtoN2O*kgtoGg)</f>
        <v>8.7142493704973605E-3</v>
      </c>
      <c r="R1014" s="101">
        <f>IF('Net zero activities &amp; levers'!$C$12="Off",'Activity data'!AK48*ttokg*FracGASM*MSVolatEF*NtoN2O*kgtoGg,'Net zero Activity data'!AK48*ttokg*FracGASM*MSVolatEF*NtoN2O*kgtoGg)</f>
        <v>8.713261285336095E-3</v>
      </c>
      <c r="S1014" s="101">
        <f>IF('Net zero activities &amp; levers'!$C$12="Off",'Activity data'!AL48*ttokg*FracGASM*MSVolatEF*NtoN2O*kgtoGg,'Net zero Activity data'!AL48*ttokg*FracGASM*MSVolatEF*NtoN2O*kgtoGg)</f>
        <v>8.7129379196983492E-3</v>
      </c>
      <c r="T1014" s="101">
        <f>IF('Net zero activities &amp; levers'!$C$12="Off",'Activity data'!AM48*ttokg*FracGASM*MSVolatEF*NtoN2O*kgtoGg,'Net zero Activity data'!AM48*ttokg*FracGASM*MSVolatEF*NtoN2O*kgtoGg)</f>
        <v>8.7188776225954213E-3</v>
      </c>
      <c r="U1014" s="101">
        <f>IF('Net zero activities &amp; levers'!$C$12="Off",'Activity data'!AN48*ttokg*FracGASM*MSVolatEF*NtoN2O*kgtoGg,'Net zero Activity data'!AN48*ttokg*FracGASM*MSVolatEF*NtoN2O*kgtoGg)</f>
        <v>8.7170248283116227E-3</v>
      </c>
      <c r="V1014" s="101">
        <f>IF('Net zero activities &amp; levers'!$C$12="Off",'Activity data'!AO48*ttokg*FracGASM*MSVolatEF*NtoN2O*kgtoGg,'Net zero Activity data'!AO48*ttokg*FracGASM*MSVolatEF*NtoN2O*kgtoGg)</f>
        <v>8.7153590238577237E-3</v>
      </c>
      <c r="W1014" s="101">
        <f>IF('Net zero activities &amp; levers'!$C$12="Off",'Activity data'!AP48*ttokg*FracGASM*MSVolatEF*NtoN2O*kgtoGg,'Net zero Activity data'!AP48*ttokg*FracGASM*MSVolatEF*NtoN2O*kgtoGg)</f>
        <v>8.7137086617982938E-3</v>
      </c>
      <c r="X1014" s="101">
        <f>IF('Net zero activities &amp; levers'!$C$12="Off",'Activity data'!AQ48*ttokg*FracGASM*MSVolatEF*NtoN2O*kgtoGg,'Net zero Activity data'!AQ48*ttokg*FracGASM*MSVolatEF*NtoN2O*kgtoGg)</f>
        <v>8.7118142180131995E-3</v>
      </c>
      <c r="Y1014" s="101">
        <f>IF('Net zero activities &amp; levers'!$C$12="Off",'Activity data'!AR48*ttokg*FracGASM*MSVolatEF*NtoN2O*kgtoGg,'Net zero Activity data'!AR48*ttokg*FracGASM*MSVolatEF*NtoN2O*kgtoGg)</f>
        <v>8.7099403355157048E-3</v>
      </c>
      <c r="Z1014" s="101">
        <f>IF('Net zero activities &amp; levers'!$C$12="Off",'Activity data'!AS48*ttokg*FracGASM*MSVolatEF*NtoN2O*kgtoGg,'Net zero Activity data'!AS48*ttokg*FracGASM*MSVolatEF*NtoN2O*kgtoGg)</f>
        <v>8.7080404530308231E-3</v>
      </c>
      <c r="AA1014" s="101">
        <f>IF('Net zero activities &amp; levers'!$C$12="Off",'Activity data'!AT48*ttokg*FracGASM*MSVolatEF*NtoN2O*kgtoGg,'Net zero Activity data'!AT48*ttokg*FracGASM*MSVolatEF*NtoN2O*kgtoGg)</f>
        <v>8.7062214397864383E-3</v>
      </c>
      <c r="AB1014" s="101">
        <f>IF('Net zero activities &amp; levers'!$C$12="Off",'Activity data'!AU48*ttokg*FracGASM*MSVolatEF*NtoN2O*kgtoGg,'Net zero Activity data'!AU48*ttokg*FracGASM*MSVolatEF*NtoN2O*kgtoGg)</f>
        <v>8.704324678128551E-3</v>
      </c>
      <c r="AC1014" s="101">
        <f>IF('Net zero activities &amp; levers'!$C$12="Off",'Activity data'!AV48*ttokg*FracGASM*MSVolatEF*NtoN2O*kgtoGg,'Net zero Activity data'!AV48*ttokg*FracGASM*MSVolatEF*NtoN2O*kgtoGg)</f>
        <v>8.7025627133153448E-3</v>
      </c>
      <c r="AD1014" s="101">
        <f>IF('Net zero activities &amp; levers'!$C$12="Off",'Activity data'!AW48*ttokg*FracGASM*MSVolatEF*NtoN2O*kgtoGg,'Net zero Activity data'!AW48*ttokg*FracGASM*MSVolatEF*NtoN2O*kgtoGg)</f>
        <v>8.7007850306174105E-3</v>
      </c>
      <c r="AE1014" s="101">
        <f>IF('Net zero activities &amp; levers'!$C$12="Off",'Activity data'!AX48*ttokg*FracGASM*MSVolatEF*NtoN2O*kgtoGg,'Net zero Activity data'!AX48*ttokg*FracGASM*MSVolatEF*NtoN2O*kgtoGg)</f>
        <v>8.698716410280187E-3</v>
      </c>
      <c r="AF1014" s="101">
        <f>IF('Net zero activities &amp; levers'!$C$12="Off",'Activity data'!AY48*ttokg*FracGASM*MSVolatEF*NtoN2O*kgtoGg,'Net zero Activity data'!AY48*ttokg*FracGASM*MSVolatEF*NtoN2O*kgtoGg)</f>
        <v>8.6965325800957543E-3</v>
      </c>
      <c r="AG1014" s="101">
        <f>IF('Net zero activities &amp; levers'!$C$12="Off",'Activity data'!AZ48*ttokg*FracGASM*MSVolatEF*NtoN2O*kgtoGg,'Net zero Activity data'!AZ48*ttokg*FracGASM*MSVolatEF*NtoN2O*kgtoGg)</f>
        <v>8.694321202881973E-3</v>
      </c>
      <c r="AH1014" s="101">
        <f>IF('Net zero activities &amp; levers'!$C$12="Off",'Activity data'!BA48*ttokg*FracGASM*MSVolatEF*NtoN2O*kgtoGg,'Net zero Activity data'!BA48*ttokg*FracGASM*MSVolatEF*NtoN2O*kgtoGg)</f>
        <v>8.6938823395792293E-3</v>
      </c>
      <c r="AI1014" s="101">
        <f>IF('Net zero activities &amp; levers'!$C$12="Off",'Activity data'!BB48*ttokg*FracGASM*MSVolatEF*NtoN2O*kgtoGg,'Net zero Activity data'!BB48*ttokg*FracGASM*MSVolatEF*NtoN2O*kgtoGg)</f>
        <v>8.8762544874945153E-3</v>
      </c>
      <c r="AJ1014" s="101">
        <f>IF('Net zero activities &amp; levers'!$C$12="Off",'Activity data'!BC48*ttokg*FracGASM*MSVolatEF*NtoN2O*kgtoGg,'Net zero Activity data'!BC48*ttokg*FracGASM*MSVolatEF*NtoN2O*kgtoGg)</f>
        <v>8.876577132656726E-3</v>
      </c>
      <c r="AK1014" s="101">
        <f>IF('Net zero activities &amp; levers'!$C$12="Off",'Activity data'!BD48*ttokg*FracGASM*MSVolatEF*NtoN2O*kgtoGg,'Net zero Activity data'!BD48*ttokg*FracGASM*MSVolatEF*NtoN2O*kgtoGg)</f>
        <v>8.8769031741840459E-3</v>
      </c>
      <c r="AL1014" s="101">
        <f>IF('Net zero activities &amp; levers'!$C$12="Off",'Activity data'!BE48*ttokg*FracGASM*MSVolatEF*NtoN2O*kgtoGg,'Net zero Activity data'!BE48*ttokg*FracGASM*MSVolatEF*NtoN2O*kgtoGg)</f>
        <v>8.8772326588657333E-3</v>
      </c>
      <c r="AM1014" s="101">
        <f>IF('Net zero activities &amp; levers'!$C$12="Off",'Activity data'!BF48*ttokg*FracGASM*MSVolatEF*NtoN2O*kgtoGg,'Net zero Activity data'!BF48*ttokg*FracGASM*MSVolatEF*NtoN2O*kgtoGg)</f>
        <v>8.8775656343711064E-3</v>
      </c>
      <c r="AN1014" s="101">
        <f>IF('Net zero activities &amp; levers'!$C$12="Off",'Activity data'!BG48*ttokg*FracGASM*MSVolatEF*NtoN2O*kgtoGg,'Net zero Activity data'!BG48*ttokg*FracGASM*MSVolatEF*NtoN2O*kgtoGg)</f>
        <v>8.877902149271517E-3</v>
      </c>
      <c r="AO1014" s="101">
        <f>IF('Net zero activities &amp; levers'!$C$12="Off",'Activity data'!BH48*ttokg*FracGASM*MSVolatEF*NtoN2O*kgtoGg,'Net zero Activity data'!BH48*ttokg*FracGASM*MSVolatEF*NtoN2O*kgtoGg)</f>
        <v>8.8781906046115251E-3</v>
      </c>
      <c r="AP1014" s="101">
        <f>IF('Net zero activities &amp; levers'!$C$12="Off",'Activity data'!BI48*ttokg*FracGASM*MSVolatEF*NtoN2O*kgtoGg,'Net zero Activity data'!BI48*ttokg*FracGASM*MSVolatEF*NtoN2O*kgtoGg)</f>
        <v>8.8784816765330177E-3</v>
      </c>
      <c r="AQ1014" s="101">
        <f>IF('Net zero activities &amp; levers'!$C$12="Off",'Activity data'!BJ48*ttokg*FracGASM*MSVolatEF*NtoN2O*kgtoGg,'Net zero Activity data'!BJ48*ttokg*FracGASM*MSVolatEF*NtoN2O*kgtoGg)</f>
        <v>8.8787753963442528E-3</v>
      </c>
      <c r="AR1014" s="101">
        <f>IF('Net zero activities &amp; levers'!$C$12="Off",'Activity data'!BK48*ttokg*FracGASM*MSVolatEF*NtoN2O*kgtoGg,'Net zero Activity data'!BK48*ttokg*FracGASM*MSVolatEF*NtoN2O*kgtoGg)</f>
        <v>8.8790717958671054E-3</v>
      </c>
      <c r="AS1014" s="101">
        <f>IF('Net zero activities &amp; levers'!$C$12="Off",'Activity data'!BL48*ttokg*FracGASM*MSVolatEF*NtoN2O*kgtoGg,'Net zero Activity data'!BL48*ttokg*FracGASM*MSVolatEF*NtoN2O*kgtoGg)</f>
        <v>8.8793709074482721E-3</v>
      </c>
      <c r="AT1014" s="101">
        <f>IF('Net zero activities &amp; levers'!$C$12="Off",'Activity data'!BM48*ttokg*FracGASM*MSVolatEF*NtoN2O*kgtoGg,'Net zero Activity data'!BM48*ttokg*FracGASM*MSVolatEF*NtoN2O*kgtoGg)</f>
        <v>8.8796189417032281E-3</v>
      </c>
      <c r="AU1014" s="101">
        <f>IF('Net zero activities &amp; levers'!$C$12="Off",'Activity data'!BN48*ttokg*FracGASM*MSVolatEF*NtoN2O*kgtoGg,'Net zero Activity data'!BN48*ttokg*FracGASM*MSVolatEF*NtoN2O*kgtoGg)</f>
        <v>8.8798688508735287E-3</v>
      </c>
      <c r="AV1014" s="101">
        <f>IF('Net zero activities &amp; levers'!$C$12="Off",'Activity data'!BO48*ttokg*FracGASM*MSVolatEF*NtoN2O*kgtoGg,'Net zero Activity data'!BO48*ttokg*FracGASM*MSVolatEF*NtoN2O*kgtoGg)</f>
        <v>8.8801206537795687E-3</v>
      </c>
      <c r="AW1014" s="101">
        <f>IF('Net zero activities &amp; levers'!$C$12="Off",'Activity data'!BP48*ttokg*FracGASM*MSVolatEF*NtoN2O*kgtoGg,'Net zero Activity data'!BP48*ttokg*FracGASM*MSVolatEF*NtoN2O*kgtoGg)</f>
        <v>8.8803743695016445E-3</v>
      </c>
      <c r="AY1014" s="85"/>
      <c r="AZ1014" s="85"/>
    </row>
    <row r="1015" spans="1:52" x14ac:dyDescent="0.25">
      <c r="A1015" s="102" t="str">
        <f t="shared" si="345"/>
        <v>DS Volatilisation</v>
      </c>
      <c r="B1015" s="102" t="s">
        <v>975</v>
      </c>
      <c r="C1015" s="102" t="s">
        <v>62</v>
      </c>
      <c r="D1015" t="s">
        <v>369</v>
      </c>
      <c r="E1015" t="s">
        <v>61</v>
      </c>
      <c r="F1015" t="s">
        <v>62</v>
      </c>
      <c r="G1015" t="s">
        <v>437</v>
      </c>
      <c r="H1015" t="s">
        <v>1187</v>
      </c>
      <c r="I1015" t="s">
        <v>139</v>
      </c>
      <c r="J1015" t="s">
        <v>287</v>
      </c>
      <c r="K1015" s="101">
        <f>IF('Net zero activities &amp; levers'!$C$12="Off",SUM('Activity data'!AD50:AD65)*FracGASM*MSVolatEF*NtoN2O*kgtoGg,SUM('Net zero Activity data'!AD50:AD65)*FracGASM*MSVolatEF*NtoN2O*kgtoGg)</f>
        <v>1.2093332917192059</v>
      </c>
      <c r="L1015" s="101">
        <f>IF('Net zero activities &amp; levers'!$C$12="Off",SUM('Activity data'!AE50:AE65)*FracGASM*MSVolatEF*NtoN2O*kgtoGg,SUM('Net zero Activity data'!AE50:AE65)*FracGASM*MSVolatEF*NtoN2O*kgtoGg)</f>
        <v>1.212549014194676</v>
      </c>
      <c r="M1015" s="101">
        <f>IF('Net zero activities &amp; levers'!$C$12="Off",SUM('Activity data'!AF50:AF65)*FracGASM*MSVolatEF*NtoN2O*kgtoGg,SUM('Net zero Activity data'!AF50:AF65)*FracGASM*MSVolatEF*NtoN2O*kgtoGg)</f>
        <v>1.2080675975352919</v>
      </c>
      <c r="N1015" s="101">
        <f>IF('Net zero activities &amp; levers'!$C$12="Off",SUM('Activity data'!AG50:AG65)*FracGASM*MSVolatEF*NtoN2O*kgtoGg,SUM('Net zero Activity data'!AG50:AG65)*FracGASM*MSVolatEF*NtoN2O*kgtoGg)</f>
        <v>1.1932021188168924</v>
      </c>
      <c r="O1015" s="101">
        <f>IF('Net zero activities &amp; levers'!$C$12="Off",SUM('Activity data'!AH50:AH65)*FracGASM*MSVolatEF*NtoN2O*kgtoGg,SUM('Net zero Activity data'!AH50:AH65)*FracGASM*MSVolatEF*NtoN2O*kgtoGg)</f>
        <v>1.1789615688677482</v>
      </c>
      <c r="P1015" s="101">
        <f>IF('Net zero activities &amp; levers'!$C$12="Off",SUM('Activity data'!AI50:AI65)*FracGASM*MSVolatEF*NtoN2O*kgtoGg,SUM('Net zero Activity data'!AI50:AI65)*FracGASM*MSVolatEF*NtoN2O*kgtoGg)</f>
        <v>1.1704734210058418</v>
      </c>
      <c r="Q1015" s="101">
        <f>IF('Net zero activities &amp; levers'!$C$12="Off",SUM('Activity data'!AJ50:AJ65)*FracGASM*MSVolatEF*NtoN2O*kgtoGg,SUM('Net zero Activity data'!AJ50:AJ65)*FracGASM*MSVolatEF*NtoN2O*kgtoGg)</f>
        <v>1.1638691365373428</v>
      </c>
      <c r="R1015" s="101">
        <f>IF('Net zero activities &amp; levers'!$C$12="Off",SUM('Activity data'!AK50:AK65)*FracGASM*MSVolatEF*NtoN2O*kgtoGg,SUM('Net zero Activity data'!AK50:AK65)*FracGASM*MSVolatEF*NtoN2O*kgtoGg)</f>
        <v>1.1469007270703131</v>
      </c>
      <c r="S1015" s="101">
        <f>IF('Net zero activities &amp; levers'!$C$12="Off",SUM('Activity data'!AL50:AL65)*FracGASM*MSVolatEF*NtoN2O*kgtoGg,SUM('Net zero Activity data'!AL50:AL65)*FracGASM*MSVolatEF*NtoN2O*kgtoGg)</f>
        <v>1.0343013809056243</v>
      </c>
      <c r="T1015" s="101">
        <f>IF('Net zero activities &amp; levers'!$C$12="Off",SUM('Activity data'!AM50:AM65)*FracGASM*MSVolatEF*NtoN2O*kgtoGg,SUM('Net zero Activity data'!AM50:AM65)*FracGASM*MSVolatEF*NtoN2O*kgtoGg)</f>
        <v>1.0481909256150905</v>
      </c>
      <c r="U1015" s="101">
        <f>IF('Net zero activities &amp; levers'!$C$12="Off",SUM('Activity data'!AN50:AN65)*FracGASM*MSVolatEF*NtoN2O*kgtoGg,SUM('Net zero Activity data'!AN50:AN65)*FracGASM*MSVolatEF*NtoN2O*kgtoGg)</f>
        <v>1.0595148748541463</v>
      </c>
      <c r="V1015" s="101">
        <f>IF('Net zero activities &amp; levers'!$C$12="Off",SUM('Activity data'!AO50:AO65)*FracGASM*MSVolatEF*NtoN2O*kgtoGg,SUM('Net zero Activity data'!AO50:AO65)*FracGASM*MSVolatEF*NtoN2O*kgtoGg)</f>
        <v>1.0708200492308082</v>
      </c>
      <c r="W1015" s="101">
        <f>IF('Net zero activities &amp; levers'!$C$12="Off",SUM('Activity data'!AP50:AP65)*FracGASM*MSVolatEF*NtoN2O*kgtoGg,SUM('Net zero Activity data'!AP50:AP65)*FracGASM*MSVolatEF*NtoN2O*kgtoGg)</f>
        <v>1.0860105374840394</v>
      </c>
      <c r="X1015" s="101">
        <f>IF('Net zero activities &amp; levers'!$C$12="Off",SUM('Activity data'!AQ50:AQ65)*FracGASM*MSVolatEF*NtoN2O*kgtoGg,SUM('Net zero Activity data'!AQ50:AQ65)*FracGASM*MSVolatEF*NtoN2O*kgtoGg)</f>
        <v>1.1011136627598048</v>
      </c>
      <c r="Y1015" s="101">
        <f>IF('Net zero activities &amp; levers'!$C$12="Off",SUM('Activity data'!AR50:AR65)*FracGASM*MSVolatEF*NtoN2O*kgtoGg,SUM('Net zero Activity data'!AR50:AR65)*FracGASM*MSVolatEF*NtoN2O*kgtoGg)</f>
        <v>1.1168753754822469</v>
      </c>
      <c r="Z1015" s="101">
        <f>IF('Net zero activities &amp; levers'!$C$12="Off",SUM('Activity data'!AS50:AS65)*FracGASM*MSVolatEF*NtoN2O*kgtoGg,SUM('Net zero Activity data'!AS50:AS65)*FracGASM*MSVolatEF*NtoN2O*kgtoGg)</f>
        <v>1.1316116174141071</v>
      </c>
      <c r="AA1015" s="101">
        <f>IF('Net zero activities &amp; levers'!$C$12="Off",SUM('Activity data'!AT50:AT65)*FracGASM*MSVolatEF*NtoN2O*kgtoGg,SUM('Net zero Activity data'!AT50:AT65)*FracGASM*MSVolatEF*NtoN2O*kgtoGg)</f>
        <v>1.1477472664244306</v>
      </c>
      <c r="AB1015" s="101">
        <f>IF('Net zero activities &amp; levers'!$C$12="Off",SUM('Activity data'!AU50:AU65)*FracGASM*MSVolatEF*NtoN2O*kgtoGg,SUM('Net zero Activity data'!AU50:AU65)*FracGASM*MSVolatEF*NtoN2O*kgtoGg)</f>
        <v>1.162000977077071</v>
      </c>
      <c r="AC1015" s="101">
        <f>IF('Net zero activities &amp; levers'!$C$12="Off",SUM('Activity data'!AV50:AV65)*FracGASM*MSVolatEF*NtoN2O*kgtoGg,SUM('Net zero Activity data'!AV50:AV65)*FracGASM*MSVolatEF*NtoN2O*kgtoGg)</f>
        <v>1.1766850766989885</v>
      </c>
      <c r="AD1015" s="101">
        <f>IF('Net zero activities &amp; levers'!$C$12="Off",SUM('Activity data'!AW50:AW65)*FracGASM*MSVolatEF*NtoN2O*kgtoGg,SUM('Net zero Activity data'!AW50:AW65)*FracGASM*MSVolatEF*NtoN2O*kgtoGg)</f>
        <v>1.1920390141813535</v>
      </c>
      <c r="AE1015" s="101">
        <f>IF('Net zero activities &amp; levers'!$C$12="Off",SUM('Activity data'!AX50:AX65)*FracGASM*MSVolatEF*NtoN2O*kgtoGg,SUM('Net zero Activity data'!AX50:AX65)*FracGASM*MSVolatEF*NtoN2O*kgtoGg)</f>
        <v>1.209291621864601</v>
      </c>
      <c r="AF1015" s="101">
        <f>IF('Net zero activities &amp; levers'!$C$12="Off",SUM('Activity data'!AY50:AY65)*FracGASM*MSVolatEF*NtoN2O*kgtoGg,SUM('Net zero Activity data'!AY50:AY65)*FracGASM*MSVolatEF*NtoN2O*kgtoGg)</f>
        <v>1.2270828646029268</v>
      </c>
      <c r="AG1015" s="101">
        <f>IF('Net zero activities &amp; levers'!$C$12="Off",SUM('Activity data'!AZ50:AZ65)*FracGASM*MSVolatEF*NtoN2O*kgtoGg,SUM('Net zero Activity data'!AZ50:AZ65)*FracGASM*MSVolatEF*NtoN2O*kgtoGg)</f>
        <v>1.2169487802084893</v>
      </c>
      <c r="AH1015" s="101">
        <f>IF('Net zero activities &amp; levers'!$C$12="Off",SUM('Activity data'!BA50:BA65)*FracGASM*MSVolatEF*NtoN2O*kgtoGg,SUM('Net zero Activity data'!BA50:BA65)*FracGASM*MSVolatEF*NtoN2O*kgtoGg)</f>
        <v>-0.11188522139136049</v>
      </c>
      <c r="AI1015" s="101">
        <f>IF('Net zero activities &amp; levers'!$C$12="Off",SUM('Activity data'!BB50:BB65)*FracGASM*MSVolatEF*NtoN2O*kgtoGg,SUM('Net zero Activity data'!BB50:BB65)*FracGASM*MSVolatEF*NtoN2O*kgtoGg)</f>
        <v>-0.10923992354699982</v>
      </c>
      <c r="AJ1015" s="101">
        <f>IF('Net zero activities &amp; levers'!$C$12="Off",SUM('Activity data'!BC50:BC65)*FracGASM*MSVolatEF*NtoN2O*kgtoGg,SUM('Net zero Activity data'!BC50:BC65)*FracGASM*MSVolatEF*NtoN2O*kgtoGg)</f>
        <v>-0.10664295801578709</v>
      </c>
      <c r="AK1015" s="101">
        <f>IF('Net zero activities &amp; levers'!$C$12="Off",SUM('Activity data'!BD50:BD65)*FracGASM*MSVolatEF*NtoN2O*kgtoGg,SUM('Net zero Activity data'!BD50:BD65)*FracGASM*MSVolatEF*NtoN2O*kgtoGg)</f>
        <v>-0.10409179637304686</v>
      </c>
      <c r="AL1015" s="101">
        <f>IF('Net zero activities &amp; levers'!$C$12="Off",SUM('Activity data'!BE50:BE65)*FracGASM*MSVolatEF*NtoN2O*kgtoGg,SUM('Net zero Activity data'!BE50:BE65)*FracGASM*MSVolatEF*NtoN2O*kgtoGg)</f>
        <v>-0.10158408786075553</v>
      </c>
      <c r="AM1015" s="101">
        <f>IF('Net zero activities &amp; levers'!$C$12="Off",SUM('Activity data'!BF50:BF65)*FracGASM*MSVolatEF*NtoN2O*kgtoGg,SUM('Net zero Activity data'!BF50:BF65)*FracGASM*MSVolatEF*NtoN2O*kgtoGg)</f>
        <v>-9.911764281122247E-2</v>
      </c>
      <c r="AN1015" s="101">
        <f>IF('Net zero activities &amp; levers'!$C$12="Off",SUM('Activity data'!BG50:BG65)*FracGASM*MSVolatEF*NtoN2O*kgtoGg,SUM('Net zero Activity data'!BG50:BG65)*FracGASM*MSVolatEF*NtoN2O*kgtoGg)</f>
        <v>-9.7051147987208763E-2</v>
      </c>
      <c r="AO1015" s="101">
        <f>IF('Net zero activities &amp; levers'!$C$12="Off",SUM('Activity data'!BH50:BH65)*FracGASM*MSVolatEF*NtoN2O*kgtoGg,SUM('Net zero Activity data'!BH50:BH65)*FracGASM*MSVolatEF*NtoN2O*kgtoGg)</f>
        <v>-9.5020146872529937E-2</v>
      </c>
      <c r="AP1015" s="101">
        <f>IF('Net zero activities &amp; levers'!$C$12="Off",SUM('Activity data'!BI50:BI65)*FracGASM*MSVolatEF*NtoN2O*kgtoGg,SUM('Net zero Activity data'!BI50:BI65)*FracGASM*MSVolatEF*NtoN2O*kgtoGg)</f>
        <v>-9.3023012126499452E-2</v>
      </c>
      <c r="AQ1015" s="101">
        <f>IF('Net zero activities &amp; levers'!$C$12="Off",SUM('Activity data'!BJ50:BJ65)*FracGASM*MSVolatEF*NtoN2O*kgtoGg,SUM('Net zero Activity data'!BJ50:BJ65)*FracGASM*MSVolatEF*NtoN2O*kgtoGg)</f>
        <v>-9.1058219239636279E-2</v>
      </c>
      <c r="AR1015" s="101">
        <f>IF('Net zero activities &amp; levers'!$C$12="Off",SUM('Activity data'!BK50:BK65)*FracGASM*MSVolatEF*NtoN2O*kgtoGg,SUM('Net zero Activity data'!BK50:BK65)*FracGASM*MSVolatEF*NtoN2O*kgtoGg)</f>
        <v>-8.9124337939456066E-2</v>
      </c>
      <c r="AS1015" s="101">
        <f>IF('Net zero activities &amp; levers'!$C$12="Off",SUM('Activity data'!BL50:BL65)*FracGASM*MSVolatEF*NtoN2O*kgtoGg,SUM('Net zero Activity data'!BL50:BL65)*FracGASM*MSVolatEF*NtoN2O*kgtoGg)</f>
        <v>-8.7091918156742387E-2</v>
      </c>
      <c r="AT1015" s="101">
        <f>IF('Net zero activities &amp; levers'!$C$12="Off",SUM('Activity data'!BM50:BM65)*FracGASM*MSVolatEF*NtoN2O*kgtoGg,SUM('Net zero Activity data'!BM50:BM65)*FracGASM*MSVolatEF*NtoN2O*kgtoGg)</f>
        <v>-8.5090852576232723E-2</v>
      </c>
      <c r="AU1015" s="101">
        <f>IF('Net zero activities &amp; levers'!$C$12="Off",SUM('Activity data'!BN50:BN65)*FracGASM*MSVolatEF*NtoN2O*kgtoGg,SUM('Net zero Activity data'!BN50:BN65)*FracGASM*MSVolatEF*NtoN2O*kgtoGg)</f>
        <v>-8.3119887513720792E-2</v>
      </c>
      <c r="AV1015" s="101">
        <f>IF('Net zero activities &amp; levers'!$C$12="Off",SUM('Activity data'!BO50:BO65)*FracGASM*MSVolatEF*NtoN2O*kgtoGg,SUM('Net zero Activity data'!BO50:BO65)*FracGASM*MSVolatEF*NtoN2O*kgtoGg)</f>
        <v>-8.1177840815191041E-2</v>
      </c>
      <c r="AW1015" s="101">
        <f>IF('Net zero activities &amp; levers'!$C$12="Off",SUM('Activity data'!BP50:BP65)*FracGASM*MSVolatEF*NtoN2O*kgtoGg,SUM('Net zero Activity data'!BP50:BP65)*FracGASM*MSVolatEF*NtoN2O*kgtoGg)</f>
        <v>-7.9263596467564895E-2</v>
      </c>
      <c r="AY1015" s="85"/>
      <c r="AZ1015" s="85"/>
    </row>
    <row r="1016" spans="1:52" x14ac:dyDescent="0.25">
      <c r="A1016" s="102" t="str">
        <f t="shared" si="345"/>
        <v>DS Volatilisation</v>
      </c>
      <c r="B1016" s="102" t="s">
        <v>975</v>
      </c>
      <c r="C1016" s="102" t="s">
        <v>62</v>
      </c>
      <c r="D1016" t="s">
        <v>369</v>
      </c>
      <c r="E1016" t="s">
        <v>61</v>
      </c>
      <c r="F1016" t="s">
        <v>62</v>
      </c>
      <c r="G1016" t="s">
        <v>438</v>
      </c>
      <c r="H1016" t="s">
        <v>1266</v>
      </c>
      <c r="I1016" t="s">
        <v>139</v>
      </c>
      <c r="J1016" t="s">
        <v>287</v>
      </c>
      <c r="K1016" s="101">
        <f>IF('Net zero activities &amp; levers'!$C$12="Off",SUM('Activity data'!AD66:AD81)*FracGASM*MSVolatEF*NtoN2O*kgtoGg,SUM('Net zero Activity data'!AD66:AD81)*FracGASM*MSVolatEF*NtoN2O*kgtoGg)</f>
        <v>4.4200208339270741</v>
      </c>
      <c r="L1016" s="101">
        <f>IF('Net zero activities &amp; levers'!$C$12="Off",SUM('Activity data'!AE66:AE81)*FracGASM*MSVolatEF*NtoN2O*kgtoGg,SUM('Net zero Activity data'!AE66:AE81)*FracGASM*MSVolatEF*NtoN2O*kgtoGg)</f>
        <v>4.4063497224338981</v>
      </c>
      <c r="M1016" s="101">
        <f>IF('Net zero activities &amp; levers'!$C$12="Off",SUM('Activity data'!AF66:AF81)*FracGASM*MSVolatEF*NtoN2O*kgtoGg,SUM('Net zero Activity data'!AF66:AF81)*FracGASM*MSVolatEF*NtoN2O*kgtoGg)</f>
        <v>4.3748236308422763</v>
      </c>
      <c r="N1016" s="101">
        <f>IF('Net zero activities &amp; levers'!$C$12="Off",SUM('Activity data'!AG66:AG81)*FracGASM*MSVolatEF*NtoN2O*kgtoGg,SUM('Net zero Activity data'!AG66:AG81)*FracGASM*MSVolatEF*NtoN2O*kgtoGg)</f>
        <v>4.3194633293945399</v>
      </c>
      <c r="O1016" s="101">
        <f>IF('Net zero activities &amp; levers'!$C$12="Off",SUM('Activity data'!AH66:AH81)*FracGASM*MSVolatEF*NtoN2O*kgtoGg,SUM('Net zero Activity data'!AH66:AH81)*FracGASM*MSVolatEF*NtoN2O*kgtoGg)</f>
        <v>4.2670975633063994</v>
      </c>
      <c r="P1016" s="101">
        <f>IF('Net zero activities &amp; levers'!$C$12="Off",SUM('Activity data'!AI66:AI81)*FracGASM*MSVolatEF*NtoN2O*kgtoGg,SUM('Net zero Activity data'!AI66:AI81)*FracGASM*MSVolatEF*NtoN2O*kgtoGg)</f>
        <v>4.2296870830077653</v>
      </c>
      <c r="Q1016" s="101">
        <f>IF('Net zero activities &amp; levers'!$C$12="Off",SUM('Activity data'!AJ66:AJ81)*FracGASM*MSVolatEF*NtoN2O*kgtoGg,SUM('Net zero Activity data'!AJ66:AJ81)*FracGASM*MSVolatEF*NtoN2O*kgtoGg)</f>
        <v>4.1973003663588617</v>
      </c>
      <c r="R1016" s="101">
        <f>IF('Net zero activities &amp; levers'!$C$12="Off",SUM('Activity data'!AK66:AK81)*FracGASM*MSVolatEF*NtoN2O*kgtoGg,SUM('Net zero Activity data'!AK66:AK81)*FracGASM*MSVolatEF*NtoN2O*kgtoGg)</f>
        <v>4.1416337219460111</v>
      </c>
      <c r="S1016" s="101">
        <f>IF('Net zero activities &amp; levers'!$C$12="Off",SUM('Activity data'!AL66:AL81)*FracGASM*MSVolatEF*NtoN2O*kgtoGg,SUM('Net zero Activity data'!AL66:AL81)*FracGASM*MSVolatEF*NtoN2O*kgtoGg)</f>
        <v>3.8694283391195556</v>
      </c>
      <c r="T1016" s="101">
        <f>IF('Net zero activities &amp; levers'!$C$12="Off",SUM('Activity data'!AM66:AM81)*FracGASM*MSVolatEF*NtoN2O*kgtoGg,SUM('Net zero Activity data'!AM66:AM81)*FracGASM*MSVolatEF*NtoN2O*kgtoGg)</f>
        <v>3.892690707807458</v>
      </c>
      <c r="U1016" s="101">
        <f>IF('Net zero activities &amp; levers'!$C$12="Off",SUM('Activity data'!AN66:AN81)*FracGASM*MSVolatEF*NtoN2O*kgtoGg,SUM('Net zero Activity data'!AN66:AN81)*FracGASM*MSVolatEF*NtoN2O*kgtoGg)</f>
        <v>3.910223559811274</v>
      </c>
      <c r="V1016" s="101">
        <f>IF('Net zero activities &amp; levers'!$C$12="Off",SUM('Activity data'!AO66:AO81)*FracGASM*MSVolatEF*NtoN2O*kgtoGg,SUM('Net zero Activity data'!AO66:AO81)*FracGASM*MSVolatEF*NtoN2O*kgtoGg)</f>
        <v>3.9277946028277135</v>
      </c>
      <c r="W1016" s="101">
        <f>IF('Net zero activities &amp; levers'!$C$12="Off",SUM('Activity data'!AP66:AP81)*FracGASM*MSVolatEF*NtoN2O*kgtoGg,SUM('Net zero Activity data'!AP66:AP81)*FracGASM*MSVolatEF*NtoN2O*kgtoGg)</f>
        <v>3.9540546968376762</v>
      </c>
      <c r="X1016" s="101">
        <f>IF('Net zero activities &amp; levers'!$C$12="Off",SUM('Activity data'!AQ66:AQ81)*FracGASM*MSVolatEF*NtoN2O*kgtoGg,SUM('Net zero Activity data'!AQ66:AQ81)*FracGASM*MSVolatEF*NtoN2O*kgtoGg)</f>
        <v>3.9800525826427466</v>
      </c>
      <c r="Y1016" s="101">
        <f>IF('Net zero activities &amp; levers'!$C$12="Off",SUM('Activity data'!AR66:AR81)*FracGASM*MSVolatEF*NtoN2O*kgtoGg,SUM('Net zero Activity data'!AR66:AR81)*FracGASM*MSVolatEF*NtoN2O*kgtoGg)</f>
        <v>4.0052503163811615</v>
      </c>
      <c r="Z1016" s="101">
        <f>IF('Net zero activities &amp; levers'!$C$12="Off",SUM('Activity data'!AS66:AS81)*FracGASM*MSVolatEF*NtoN2O*kgtoGg,SUM('Net zero Activity data'!AS66:AS81)*FracGASM*MSVolatEF*NtoN2O*kgtoGg)</f>
        <v>4.0280715770679869</v>
      </c>
      <c r="AA1016" s="101">
        <f>IF('Net zero activities &amp; levers'!$C$12="Off",SUM('Activity data'!AT66:AT81)*FracGASM*MSVolatEF*NtoN2O*kgtoGg,SUM('Net zero Activity data'!AT66:AT81)*FracGASM*MSVolatEF*NtoN2O*kgtoGg)</f>
        <v>4.0537990986432781</v>
      </c>
      <c r="AB1016" s="101">
        <f>IF('Net zero activities &amp; levers'!$C$12="Off",SUM('Activity data'!AU66:AU81)*FracGASM*MSVolatEF*NtoN2O*kgtoGg,SUM('Net zero Activity data'!AU66:AU81)*FracGASM*MSVolatEF*NtoN2O*kgtoGg)</f>
        <v>4.0752877726899488</v>
      </c>
      <c r="AC1016" s="101">
        <f>IF('Net zero activities &amp; levers'!$C$12="Off",SUM('Activity data'!AV66:AV81)*FracGASM*MSVolatEF*NtoN2O*kgtoGg,SUM('Net zero Activity data'!AV66:AV81)*FracGASM*MSVolatEF*NtoN2O*kgtoGg)</f>
        <v>4.0975518352324007</v>
      </c>
      <c r="AD1016" s="101">
        <f>IF('Net zero activities &amp; levers'!$C$12="Off",SUM('Activity data'!AW66:AW81)*FracGASM*MSVolatEF*NtoN2O*kgtoGg,SUM('Net zero Activity data'!AW66:AW81)*FracGASM*MSVolatEF*NtoN2O*kgtoGg)</f>
        <v>4.1101837888002137</v>
      </c>
      <c r="AE1016" s="101">
        <f>IF('Net zero activities &amp; levers'!$C$12="Off",SUM('Activity data'!AX66:AX81)*FracGASM*MSVolatEF*NtoN2O*kgtoGg,SUM('Net zero Activity data'!AX66:AX81)*FracGASM*MSVolatEF*NtoN2O*kgtoGg)</f>
        <v>4.1260897941446899</v>
      </c>
      <c r="AF1016" s="101">
        <f>IF('Net zero activities &amp; levers'!$C$12="Off",SUM('Activity data'!AY66:AY81)*FracGASM*MSVolatEF*NtoN2O*kgtoGg,SUM('Net zero Activity data'!AY66:AY81)*FracGASM*MSVolatEF*NtoN2O*kgtoGg)</f>
        <v>4.1422931340887423</v>
      </c>
      <c r="AG1016" s="101">
        <f>IF('Net zero activities &amp; levers'!$C$12="Off",SUM('Activity data'!AZ66:AZ81)*FracGASM*MSVolatEF*NtoN2O*kgtoGg,SUM('Net zero Activity data'!AZ66:AZ81)*FracGASM*MSVolatEF*NtoN2O*kgtoGg)</f>
        <v>4.1002928018965292</v>
      </c>
      <c r="AH1016" s="101">
        <f>IF('Net zero activities &amp; levers'!$C$12="Off",SUM('Activity data'!BA66:BA81)*FracGASM*MSVolatEF*NtoN2O*kgtoGg,SUM('Net zero Activity data'!BA66:BA81)*FracGASM*MSVolatEF*NtoN2O*kgtoGg)</f>
        <v>1.3815874291099948</v>
      </c>
      <c r="AI1016" s="101">
        <f>IF('Net zero activities &amp; levers'!$C$12="Off",SUM('Activity data'!BB66:BB81)*FracGASM*MSVolatEF*NtoN2O*kgtoGg,SUM('Net zero Activity data'!BB66:BB81)*FracGASM*MSVolatEF*NtoN2O*kgtoGg)</f>
        <v>1.3949306414379468</v>
      </c>
      <c r="AJ1016" s="101">
        <f>IF('Net zero activities &amp; levers'!$C$12="Off",SUM('Activity data'!BC66:BC81)*FracGASM*MSVolatEF*NtoN2O*kgtoGg,SUM('Net zero Activity data'!BC66:BC81)*FracGASM*MSVolatEF*NtoN2O*kgtoGg)</f>
        <v>1.4082841741429419</v>
      </c>
      <c r="AK1016" s="101">
        <f>IF('Net zero activities &amp; levers'!$C$12="Off",SUM('Activity data'!BD66:BD81)*FracGASM*MSVolatEF*NtoN2O*kgtoGg,SUM('Net zero Activity data'!BD66:BD81)*FracGASM*MSVolatEF*NtoN2O*kgtoGg)</f>
        <v>1.4216501520712144</v>
      </c>
      <c r="AL1016" s="101">
        <f>IF('Net zero activities &amp; levers'!$C$12="Off",SUM('Activity data'!BE66:BE81)*FracGASM*MSVolatEF*NtoN2O*kgtoGg,SUM('Net zero Activity data'!BE66:BE81)*FracGASM*MSVolatEF*NtoN2O*kgtoGg)</f>
        <v>1.4350306139589808</v>
      </c>
      <c r="AM1016" s="101">
        <f>IF('Net zero activities &amp; levers'!$C$12="Off",SUM('Activity data'!BF66:BF81)*FracGASM*MSVolatEF*NtoN2O*kgtoGg,SUM('Net zero Activity data'!BF66:BF81)*FracGASM*MSVolatEF*NtoN2O*kgtoGg)</f>
        <v>1.4484275190090183</v>
      </c>
      <c r="AN1016" s="101">
        <f>IF('Net zero activities &amp; levers'!$C$12="Off",SUM('Activity data'!BG66:BG81)*FracGASM*MSVolatEF*NtoN2O*kgtoGg,SUM('Net zero Activity data'!BG66:BG81)*FracGASM*MSVolatEF*NtoN2O*kgtoGg)</f>
        <v>1.4583849717914823</v>
      </c>
      <c r="AO1016" s="101">
        <f>IF('Net zero activities &amp; levers'!$C$12="Off",SUM('Activity data'!BH66:BH81)*FracGASM*MSVolatEF*NtoN2O*kgtoGg,SUM('Net zero Activity data'!BH66:BH81)*FracGASM*MSVolatEF*NtoN2O*kgtoGg)</f>
        <v>1.4683627043177812</v>
      </c>
      <c r="AP1016" s="101">
        <f>IF('Net zero activities &amp; levers'!$C$12="Off",SUM('Activity data'!BI66:BI81)*FracGASM*MSVolatEF*NtoN2O*kgtoGg,SUM('Net zero Activity data'!BI66:BI81)*FracGASM*MSVolatEF*NtoN2O*kgtoGg)</f>
        <v>1.4783612830909323</v>
      </c>
      <c r="AQ1016" s="101">
        <f>IF('Net zero activities &amp; levers'!$C$12="Off",SUM('Activity data'!BJ66:BJ81)*FracGASM*MSVolatEF*NtoN2O*kgtoGg,SUM('Net zero Activity data'!BJ66:BJ81)*FracGASM*MSVolatEF*NtoN2O*kgtoGg)</f>
        <v>1.4883812733334345</v>
      </c>
      <c r="AR1016" s="101">
        <f>IF('Net zero activities &amp; levers'!$C$12="Off",SUM('Activity data'!BK66:BK81)*FracGASM*MSVolatEF*NtoN2O*kgtoGg,SUM('Net zero Activity data'!BK66:BK81)*FracGASM*MSVolatEF*NtoN2O*kgtoGg)</f>
        <v>1.4984232382688703</v>
      </c>
      <c r="AS1016" s="101">
        <f>IF('Net zero activities &amp; levers'!$C$12="Off",SUM('Activity data'!BL66:BL81)*FracGASM*MSVolatEF*NtoN2O*kgtoGg,SUM('Net zero Activity data'!BL66:BL81)*FracGASM*MSVolatEF*NtoN2O*kgtoGg)</f>
        <v>1.5071704030997894</v>
      </c>
      <c r="AT1016" s="101">
        <f>IF('Net zero activities &amp; levers'!$C$12="Off",SUM('Activity data'!BM66:BM81)*FracGASM*MSVolatEF*NtoN2O*kgtoGg,SUM('Net zero Activity data'!BM66:BM81)*FracGASM*MSVolatEF*NtoN2O*kgtoGg)</f>
        <v>1.5159247272983905</v>
      </c>
      <c r="AU1016" s="101">
        <f>IF('Net zero activities &amp; levers'!$C$12="Off",SUM('Activity data'!BN66:BN81)*FracGASM*MSVolatEF*NtoN2O*kgtoGg,SUM('Net zero Activity data'!BN66:BN81)*FracGASM*MSVolatEF*NtoN2O*kgtoGg)</f>
        <v>1.5246866021590828</v>
      </c>
      <c r="AV1016" s="101">
        <f>IF('Net zero activities &amp; levers'!$C$12="Off",SUM('Activity data'!BO66:BO81)*FracGASM*MSVolatEF*NtoN2O*kgtoGg,SUM('Net zero Activity data'!BO66:BO81)*FracGASM*MSVolatEF*NtoN2O*kgtoGg)</f>
        <v>1.5334564173590695</v>
      </c>
      <c r="AW1016" s="101">
        <f>IF('Net zero activities &amp; levers'!$C$12="Off",SUM('Activity data'!BP66:BP81)*FracGASM*MSVolatEF*NtoN2O*kgtoGg,SUM('Net zero Activity data'!BP66:BP81)*FracGASM*MSVolatEF*NtoN2O*kgtoGg)</f>
        <v>1.5422345604898144</v>
      </c>
      <c r="AY1016" s="85"/>
      <c r="AZ1016" s="85"/>
    </row>
    <row r="1017" spans="1:52" x14ac:dyDescent="0.25">
      <c r="A1017" s="102" t="str">
        <f t="shared" si="345"/>
        <v>DS Leaching</v>
      </c>
      <c r="B1017" s="102" t="s">
        <v>975</v>
      </c>
      <c r="C1017" s="102" t="s">
        <v>1191</v>
      </c>
      <c r="D1017" t="s">
        <v>369</v>
      </c>
      <c r="E1017" t="s">
        <v>61</v>
      </c>
      <c r="F1017" t="s">
        <v>63</v>
      </c>
      <c r="G1017" t="s">
        <v>435</v>
      </c>
      <c r="H1017" t="s">
        <v>1188</v>
      </c>
      <c r="I1017" t="s">
        <v>139</v>
      </c>
      <c r="J1017" t="s">
        <v>287</v>
      </c>
      <c r="K1017" s="22">
        <f t="shared" ref="K1017" si="354">K1514</f>
        <v>2.2792360161858692E-4</v>
      </c>
      <c r="L1017" s="22">
        <f t="shared" ref="L1017:AW1017" si="355">L1514</f>
        <v>2.2789089758152E-4</v>
      </c>
      <c r="M1017" s="22">
        <f t="shared" si="355"/>
        <v>2.2784620728789122E-4</v>
      </c>
      <c r="N1017" s="22">
        <f t="shared" si="355"/>
        <v>2.2781376806101585E-4</v>
      </c>
      <c r="O1017" s="22">
        <f t="shared" si="355"/>
        <v>2.277979703991449E-4</v>
      </c>
      <c r="P1017" s="22">
        <f t="shared" si="355"/>
        <v>2.2778237795328883E-4</v>
      </c>
      <c r="Q1017" s="22">
        <f t="shared" si="355"/>
        <v>2.2775879036527182E-4</v>
      </c>
      <c r="R1017" s="22">
        <f t="shared" si="355"/>
        <v>2.2773296541219322E-4</v>
      </c>
      <c r="S1017" s="22">
        <f t="shared" si="355"/>
        <v>2.2772451381029767E-4</v>
      </c>
      <c r="T1017" s="22">
        <f t="shared" si="355"/>
        <v>2.2787975604510752E-4</v>
      </c>
      <c r="U1017" s="22">
        <f t="shared" si="355"/>
        <v>2.2783133073996282E-4</v>
      </c>
      <c r="V1017" s="22">
        <f t="shared" si="355"/>
        <v>2.2778779266900863E-4</v>
      </c>
      <c r="W1017" s="22">
        <f t="shared" si="355"/>
        <v>2.2774465820609167E-4</v>
      </c>
      <c r="X1017" s="22">
        <f t="shared" si="355"/>
        <v>2.2769514433443585E-4</v>
      </c>
      <c r="Y1017" s="22">
        <f t="shared" si="355"/>
        <v>2.2764616786006951E-4</v>
      </c>
      <c r="Z1017" s="22">
        <f t="shared" si="355"/>
        <v>2.2759651184057824E-4</v>
      </c>
      <c r="AA1017" s="22">
        <f t="shared" si="355"/>
        <v>2.2754896944896373E-4</v>
      </c>
      <c r="AB1017" s="22">
        <f t="shared" si="355"/>
        <v>2.2749939499654159E-4</v>
      </c>
      <c r="AC1017" s="22">
        <f t="shared" si="355"/>
        <v>2.2745334364346914E-4</v>
      </c>
      <c r="AD1017" s="22">
        <f t="shared" si="355"/>
        <v>2.2740688148204587E-4</v>
      </c>
      <c r="AE1017" s="22">
        <f t="shared" si="355"/>
        <v>2.2735281526868665E-4</v>
      </c>
      <c r="AF1017" s="22">
        <f t="shared" si="355"/>
        <v>2.2729573788886622E-4</v>
      </c>
      <c r="AG1017" s="22">
        <f t="shared" si="355"/>
        <v>2.2723794052986968E-4</v>
      </c>
      <c r="AH1017" s="22">
        <f t="shared" si="355"/>
        <v>2.2722647023900249E-4</v>
      </c>
      <c r="AI1017" s="22">
        <f t="shared" si="355"/>
        <v>2.3199301501406117E-4</v>
      </c>
      <c r="AJ1017" s="22">
        <f t="shared" si="355"/>
        <v>2.3200144778534623E-4</v>
      </c>
      <c r="AK1017" s="22">
        <f t="shared" si="355"/>
        <v>2.3200996932526481E-4</v>
      </c>
      <c r="AL1017" s="22">
        <f t="shared" si="355"/>
        <v>2.3201858085671791E-4</v>
      </c>
      <c r="AM1017" s="22">
        <f t="shared" si="355"/>
        <v>2.3202728362560843E-4</v>
      </c>
      <c r="AN1017" s="22">
        <f t="shared" si="355"/>
        <v>2.3203607890141459E-4</v>
      </c>
      <c r="AO1017" s="22">
        <f t="shared" si="355"/>
        <v>2.3204361807507387E-4</v>
      </c>
      <c r="AP1017" s="22">
        <f t="shared" si="355"/>
        <v>2.3205122563665836E-4</v>
      </c>
      <c r="AQ1017" s="22">
        <f t="shared" si="355"/>
        <v>2.3205890240445205E-4</v>
      </c>
      <c r="AR1017" s="22">
        <f t="shared" si="355"/>
        <v>2.3206664921016296E-4</v>
      </c>
      <c r="AS1017" s="22">
        <f t="shared" si="355"/>
        <v>2.3207446689921618E-4</v>
      </c>
      <c r="AT1017" s="22">
        <f t="shared" si="355"/>
        <v>2.3208094961269798E-4</v>
      </c>
      <c r="AU1017" s="22">
        <f t="shared" si="355"/>
        <v>2.3208748132964898E-4</v>
      </c>
      <c r="AV1017" s="22">
        <f t="shared" si="355"/>
        <v>2.3209406254196601E-4</v>
      </c>
      <c r="AW1017" s="22">
        <f t="shared" si="355"/>
        <v>2.3210069374833838E-4</v>
      </c>
      <c r="AY1017" s="85"/>
      <c r="AZ1017" s="85"/>
    </row>
    <row r="1018" spans="1:52" x14ac:dyDescent="0.25">
      <c r="A1018" s="102" t="str">
        <f t="shared" si="345"/>
        <v>DS Leaching</v>
      </c>
      <c r="B1018" s="102" t="s">
        <v>975</v>
      </c>
      <c r="C1018" s="102" t="s">
        <v>1191</v>
      </c>
      <c r="D1018" t="s">
        <v>369</v>
      </c>
      <c r="E1018" t="s">
        <v>61</v>
      </c>
      <c r="F1018" t="s">
        <v>63</v>
      </c>
      <c r="G1018" t="s">
        <v>436</v>
      </c>
      <c r="H1018" t="s">
        <v>1189</v>
      </c>
      <c r="I1018" t="s">
        <v>139</v>
      </c>
      <c r="J1018" t="s">
        <v>287</v>
      </c>
      <c r="K1018" s="101">
        <f>IF('Net zero activities &amp; levers'!$C$12="Off",'Activity data'!AD48*FracLEACH*MSLeachEF*NtoN2O*kgtoGg,'Net zero Activity data'!H48*FracLEACH*MSLeachEF*NtoN2O*kgtoGg)</f>
        <v>1.5042957706826741E-6</v>
      </c>
      <c r="L1018" s="101">
        <f>IF('Net zero activities &amp; levers'!$C$12="Off",'Activity data'!AE48*FracLEACH*MSLeachEF*NtoN2O*kgtoGg,'Net zero Activity data'!I48*FracLEACH*MSLeachEF*NtoN2O*kgtoGg)</f>
        <v>1.5040799240380321E-6</v>
      </c>
      <c r="M1018" s="101">
        <f>IF('Net zero activities &amp; levers'!$C$12="Off",'Activity data'!AF48*FracLEACH*MSLeachEF*NtoN2O*kgtoGg,'Net zero Activity data'!J48*FracLEACH*MSLeachEF*NtoN2O*kgtoGg)</f>
        <v>1.5037849681000825E-6</v>
      </c>
      <c r="N1018" s="101">
        <f>IF('Net zero activities &amp; levers'!$C$12="Off",'Activity data'!AG48*FracLEACH*MSLeachEF*NtoN2O*kgtoGg,'Net zero Activity data'!K48*FracLEACH*MSLeachEF*NtoN2O*kgtoGg)</f>
        <v>1.5035708692027049E-6</v>
      </c>
      <c r="O1018" s="101">
        <f>IF('Net zero activities &amp; levers'!$C$12="Off",'Activity data'!AH48*FracLEACH*MSLeachEF*NtoN2O*kgtoGg,'Net zero Activity data'!L48*FracLEACH*MSLeachEF*NtoN2O*kgtoGg)</f>
        <v>1.5034666046343562E-6</v>
      </c>
      <c r="P1018" s="101">
        <f>IF('Net zero activities &amp; levers'!$C$12="Off",'Activity data'!AI48*FracLEACH*MSLeachEF*NtoN2O*kgtoGg,'Net zero Activity data'!M48*FracLEACH*MSLeachEF*NtoN2O*kgtoGg)</f>
        <v>1.5033636944917065E-6</v>
      </c>
      <c r="Q1018" s="101">
        <f>IF('Net zero activities &amp; levers'!$C$12="Off",'Activity data'!AJ48*FracLEACH*MSLeachEF*NtoN2O*kgtoGg,'Net zero Activity data'!N48*FracLEACH*MSLeachEF*NtoN2O*kgtoGg)</f>
        <v>1.5032080164107946E-6</v>
      </c>
      <c r="R1018" s="101">
        <f>IF('Net zero activities &amp; levers'!$C$12="Off",'Activity data'!AK48*FracLEACH*MSLeachEF*NtoN2O*kgtoGg,'Net zero Activity data'!O48*FracLEACH*MSLeachEF*NtoN2O*kgtoGg)</f>
        <v>1.5030375717204757E-6</v>
      </c>
      <c r="S1018" s="101">
        <f>IF('Net zero activities &amp; levers'!$C$12="Off",'Activity data'!AL48*FracLEACH*MSLeachEF*NtoN2O*kgtoGg,'Net zero Activity data'!P48*FracLEACH*MSLeachEF*NtoN2O*kgtoGg)</f>
        <v>1.5029817911479652E-6</v>
      </c>
      <c r="T1018" s="101">
        <f>IF('Net zero activities &amp; levers'!$C$12="Off",'Activity data'!AM48*FracLEACH*MSLeachEF*NtoN2O*kgtoGg,'Net zero Activity data'!Q48*FracLEACH*MSLeachEF*NtoN2O*kgtoGg)</f>
        <v>1.5040063898977102E-6</v>
      </c>
      <c r="U1018" s="101">
        <f>IF('Net zero activities &amp; levers'!$C$12="Off",'Activity data'!AN48*FracLEACH*MSLeachEF*NtoN2O*kgtoGg,'Net zero Activity data'!R48*FracLEACH*MSLeachEF*NtoN2O*kgtoGg)</f>
        <v>1.503686782883755E-6</v>
      </c>
      <c r="V1018" s="101">
        <f>IF('Net zero activities &amp; levers'!$C$12="Off",'Activity data'!AO48*FracLEACH*MSLeachEF*NtoN2O*kgtoGg,'Net zero Activity data'!S48*FracLEACH*MSLeachEF*NtoN2O*kgtoGg)</f>
        <v>1.5033994316154569E-6</v>
      </c>
      <c r="W1018" s="101">
        <f>IF('Net zero activities &amp; levers'!$C$12="Off",'Activity data'!AP48*FracLEACH*MSLeachEF*NtoN2O*kgtoGg,'Net zero Activity data'!T48*FracLEACH*MSLeachEF*NtoN2O*kgtoGg)</f>
        <v>1.5031147441602057E-6</v>
      </c>
      <c r="X1018" s="101">
        <f>IF('Net zero activities &amp; levers'!$C$12="Off",'Activity data'!AQ48*FracLEACH*MSLeachEF*NtoN2O*kgtoGg,'Net zero Activity data'!U48*FracLEACH*MSLeachEF*NtoN2O*kgtoGg)</f>
        <v>1.5027879526072768E-6</v>
      </c>
      <c r="Y1018" s="101">
        <f>IF('Net zero activities &amp; levers'!$C$12="Off",'Activity data'!AR48*FracLEACH*MSLeachEF*NtoN2O*kgtoGg,'Net zero Activity data'!V48*FracLEACH*MSLeachEF*NtoN2O*kgtoGg)</f>
        <v>1.5024647078764589E-6</v>
      </c>
      <c r="Z1018" s="101">
        <f>IF('Net zero activities &amp; levers'!$C$12="Off",'Activity data'!AS48*FracLEACH*MSLeachEF*NtoN2O*kgtoGg,'Net zero Activity data'!W48*FracLEACH*MSLeachEF*NtoN2O*kgtoGg)</f>
        <v>1.5021369781478169E-6</v>
      </c>
      <c r="AA1018" s="101">
        <f>IF('Net zero activities &amp; levers'!$C$12="Off",'Activity data'!AT48*FracLEACH*MSLeachEF*NtoN2O*kgtoGg,'Net zero Activity data'!X48*FracLEACH*MSLeachEF*NtoN2O*kgtoGg)</f>
        <v>1.5018231983631605E-6</v>
      </c>
      <c r="AB1018" s="101">
        <f>IF('Net zero activities &amp; levers'!$C$12="Off",'Activity data'!AU48*FracLEACH*MSLeachEF*NtoN2O*kgtoGg,'Net zero Activity data'!Y48*FracLEACH*MSLeachEF*NtoN2O*kgtoGg)</f>
        <v>1.5014960069771748E-6</v>
      </c>
      <c r="AC1018" s="101">
        <f>IF('Net zero activities &amp; levers'!$C$12="Off",'Activity data'!AV48*FracLEACH*MSLeachEF*NtoN2O*kgtoGg,'Net zero Activity data'!Z48*FracLEACH*MSLeachEF*NtoN2O*kgtoGg)</f>
        <v>1.5011920680468966E-6</v>
      </c>
      <c r="AD1018" s="101">
        <f>IF('Net zero activities &amp; levers'!$C$12="Off",'Activity data'!AW48*FracLEACH*MSLeachEF*NtoN2O*kgtoGg,'Net zero Activity data'!AA48*FracLEACH*MSLeachEF*NtoN2O*kgtoGg)</f>
        <v>1.5008854177815029E-6</v>
      </c>
      <c r="AE1018" s="101">
        <f>IF('Net zero activities &amp; levers'!$C$12="Off",'Activity data'!AX48*FracLEACH*MSLeachEF*NtoN2O*kgtoGg,'Net zero Activity data'!AB48*FracLEACH*MSLeachEF*NtoN2O*kgtoGg)</f>
        <v>1.5005285807733322E-6</v>
      </c>
      <c r="AF1018" s="101">
        <f>IF('Net zero activities &amp; levers'!$C$12="Off",'Activity data'!AY48*FracLEACH*MSLeachEF*NtoN2O*kgtoGg,'Net zero Activity data'!AC48*FracLEACH*MSLeachEF*NtoN2O*kgtoGg)</f>
        <v>1.5001518700665174E-6</v>
      </c>
      <c r="AG1018" s="101">
        <f>IF('Net zero activities &amp; levers'!$C$12="Off",'Activity data'!AZ48*FracLEACH*MSLeachEF*NtoN2O*kgtoGg,'Net zero Activity data'!AD48*FracLEACH*MSLeachEF*NtoN2O*kgtoGg)</f>
        <v>1.4997704074971401E-6</v>
      </c>
      <c r="AH1018" s="101">
        <f>IF('Net zero activities &amp; levers'!$C$12="Off",'Activity data'!BA48*FracLEACH*MSLeachEF*NtoN2O*kgtoGg,'Net zero Activity data'!AE48*FracLEACH*MSLeachEF*NtoN2O*kgtoGg)</f>
        <v>1.4996947035774166E-6</v>
      </c>
      <c r="AI1018" s="101">
        <f>IF('Net zero activities &amp; levers'!$C$12="Off",'Activity data'!BB48*FracLEACH*MSLeachEF*NtoN2O*kgtoGg,'Net zero Activity data'!AF48*FracLEACH*MSLeachEF*NtoN2O*kgtoGg)</f>
        <v>1.5311538990928041E-6</v>
      </c>
      <c r="AJ1018" s="101">
        <f>IF('Net zero activities &amp; levers'!$C$12="Off",'Activity data'!BC48*FracLEACH*MSLeachEF*NtoN2O*kgtoGg,'Net zero Activity data'!AG48*FracLEACH*MSLeachEF*NtoN2O*kgtoGg)</f>
        <v>1.531209555383285E-6</v>
      </c>
      <c r="AK1018" s="101">
        <f>IF('Net zero activities &amp; levers'!$C$12="Off",'Activity data'!BD48*FracLEACH*MSLeachEF*NtoN2O*kgtoGg,'Net zero Activity data'!AH48*FracLEACH*MSLeachEF*NtoN2O*kgtoGg)</f>
        <v>1.5312657975467479E-6</v>
      </c>
      <c r="AL1018" s="101">
        <f>IF('Net zero activities &amp; levers'!$C$12="Off",'Activity data'!BE48*FracLEACH*MSLeachEF*NtoN2O*kgtoGg,'Net zero Activity data'!AI48*FracLEACH*MSLeachEF*NtoN2O*kgtoGg)</f>
        <v>1.5313226336543386E-6</v>
      </c>
      <c r="AM1018" s="101">
        <f>IF('Net zero activities &amp; levers'!$C$12="Off",'Activity data'!BF48*FracLEACH*MSLeachEF*NtoN2O*kgtoGg,'Net zero Activity data'!AJ48*FracLEACH*MSLeachEF*NtoN2O*kgtoGg)</f>
        <v>1.5313800719290159E-6</v>
      </c>
      <c r="AN1018" s="101">
        <f>IF('Net zero activities &amp; levers'!$C$12="Off",'Activity data'!BG48*FracLEACH*MSLeachEF*NtoN2O*kgtoGg,'Net zero Activity data'!AK48*FracLEACH*MSLeachEF*NtoN2O*kgtoGg)</f>
        <v>1.5314381207493371E-6</v>
      </c>
      <c r="AO1018" s="101">
        <f>IF('Net zero activities &amp; levers'!$C$12="Off",'Activity data'!BH48*FracLEACH*MSLeachEF*NtoN2O*kgtoGg,'Net zero Activity data'!AL48*FracLEACH*MSLeachEF*NtoN2O*kgtoGg)</f>
        <v>1.5314878792954879E-6</v>
      </c>
      <c r="AP1018" s="101">
        <f>IF('Net zero activities &amp; levers'!$C$12="Off",'Activity data'!BI48*FracLEACH*MSLeachEF*NtoN2O*kgtoGg,'Net zero Activity data'!AM48*FracLEACH*MSLeachEF*NtoN2O*kgtoGg)</f>
        <v>1.5315380892019456E-6</v>
      </c>
      <c r="AQ1018" s="101">
        <f>IF('Net zero activities &amp; levers'!$C$12="Off",'Activity data'!BJ48*FracLEACH*MSLeachEF*NtoN2O*kgtoGg,'Net zero Activity data'!AN48*FracLEACH*MSLeachEF*NtoN2O*kgtoGg)</f>
        <v>1.5315887558693837E-6</v>
      </c>
      <c r="AR1018" s="101">
        <f>IF('Net zero activities &amp; levers'!$C$12="Off",'Activity data'!BK48*FracLEACH*MSLeachEF*NtoN2O*kgtoGg,'Net zero Activity data'!AO48*FracLEACH*MSLeachEF*NtoN2O*kgtoGg)</f>
        <v>1.5316398847870756E-6</v>
      </c>
      <c r="AS1018" s="101">
        <f>IF('Net zero activities &amp; levers'!$C$12="Off",'Activity data'!BL48*FracLEACH*MSLeachEF*NtoN2O*kgtoGg,'Net zero Activity data'!AP48*FracLEACH*MSLeachEF*NtoN2O*kgtoGg)</f>
        <v>1.5316914815348266E-6</v>
      </c>
      <c r="AT1018" s="101">
        <f>IF('Net zero activities &amp; levers'!$C$12="Off",'Activity data'!BM48*FracLEACH*MSLeachEF*NtoN2O*kgtoGg,'Net zero Activity data'!AQ48*FracLEACH*MSLeachEF*NtoN2O*kgtoGg)</f>
        <v>1.5317342674438069E-6</v>
      </c>
      <c r="AU1018" s="101">
        <f>IF('Net zero activities &amp; levers'!$C$12="Off",'Activity data'!BN48*FracLEACH*MSLeachEF*NtoN2O*kgtoGg,'Net zero Activity data'!AR48*FracLEACH*MSLeachEF*NtoN2O*kgtoGg)</f>
        <v>1.531777376775684E-6</v>
      </c>
      <c r="AV1018" s="101">
        <f>IF('Net zero activities &amp; levers'!$C$12="Off",'Activity data'!BO48*FracLEACH*MSLeachEF*NtoN2O*kgtoGg,'Net zero Activity data'!AS48*FracLEACH*MSLeachEF*NtoN2O*kgtoGg)</f>
        <v>1.5318208127769759E-6</v>
      </c>
      <c r="AW1018" s="101">
        <f>IF('Net zero activities &amp; levers'!$C$12="Off",'Activity data'!BP48*FracLEACH*MSLeachEF*NtoN2O*kgtoGg,'Net zero Activity data'!AT48*FracLEACH*MSLeachEF*NtoN2O*kgtoGg)</f>
        <v>1.5318645787390334E-6</v>
      </c>
      <c r="AY1018" s="85"/>
      <c r="AZ1018" s="85"/>
    </row>
    <row r="1019" spans="1:52" x14ac:dyDescent="0.25">
      <c r="A1019" s="102" t="str">
        <f t="shared" si="345"/>
        <v>DS Leaching</v>
      </c>
      <c r="B1019" s="102" t="s">
        <v>975</v>
      </c>
      <c r="C1019" s="102" t="s">
        <v>1191</v>
      </c>
      <c r="D1019" t="s">
        <v>369</v>
      </c>
      <c r="E1019" t="s">
        <v>61</v>
      </c>
      <c r="F1019" t="s">
        <v>63</v>
      </c>
      <c r="G1019" t="s">
        <v>437</v>
      </c>
      <c r="H1019" t="s">
        <v>1190</v>
      </c>
      <c r="I1019" t="s">
        <v>139</v>
      </c>
      <c r="J1019" t="s">
        <v>287</v>
      </c>
      <c r="K1019" s="101">
        <f>IF('Net zero activities &amp; levers'!$C$12="Off",SUM('Activity data'!AD50:AD65)*FracLEACH*MSLeachEF*NtoN2O*kgtoGg,SUM('Net zero Activity data'!AD50:AD65)*FracLEACH*MSLeachEF*NtoN2O*kgtoGg)</f>
        <v>0.20860999282156298</v>
      </c>
      <c r="L1019" s="101">
        <f>IF('Net zero activities &amp; levers'!$C$12="Off",SUM('Activity data'!AE50:AE65)*FracLEACH*MSLeachEF*NtoN2O*kgtoGg,SUM('Net zero Activity data'!AE50:AE65)*FracLEACH*MSLeachEF*NtoN2O*kgtoGg)</f>
        <v>0.20916470494858161</v>
      </c>
      <c r="M1019" s="101">
        <f>IF('Net zero activities &amp; levers'!$C$12="Off",SUM('Activity data'!AF50:AF65)*FracLEACH*MSLeachEF*NtoN2O*kgtoGg,SUM('Net zero Activity data'!AF50:AF65)*FracLEACH*MSLeachEF*NtoN2O*kgtoGg)</f>
        <v>0.20839166057483782</v>
      </c>
      <c r="N1019" s="101">
        <f>IF('Net zero activities &amp; levers'!$C$12="Off",SUM('Activity data'!AG50:AG65)*FracLEACH*MSLeachEF*NtoN2O*kgtoGg,SUM('Net zero Activity data'!AG50:AG65)*FracLEACH*MSLeachEF*NtoN2O*kgtoGg)</f>
        <v>0.20582736549591388</v>
      </c>
      <c r="O1019" s="101">
        <f>IF('Net zero activities &amp; levers'!$C$12="Off",SUM('Activity data'!AH50:AH65)*FracLEACH*MSLeachEF*NtoN2O*kgtoGg,SUM('Net zero Activity data'!AH50:AH65)*FracLEACH*MSLeachEF*NtoN2O*kgtoGg)</f>
        <v>0.20337087062968656</v>
      </c>
      <c r="P1019" s="101">
        <f>IF('Net zero activities &amp; levers'!$C$12="Off",SUM('Activity data'!AI50:AI65)*FracLEACH*MSLeachEF*NtoN2O*kgtoGg,SUM('Net zero Activity data'!AI50:AI65)*FracLEACH*MSLeachEF*NtoN2O*kgtoGg)</f>
        <v>0.20190666512350769</v>
      </c>
      <c r="Q1019" s="101">
        <f>IF('Net zero activities &amp; levers'!$C$12="Off",SUM('Activity data'!AJ50:AJ65)*FracLEACH*MSLeachEF*NtoN2O*kgtoGg,SUM('Net zero Activity data'!AJ50:AJ65)*FracLEACH*MSLeachEF*NtoN2O*kgtoGg)</f>
        <v>0.2007674260526916</v>
      </c>
      <c r="R1019" s="101">
        <f>IF('Net zero activities &amp; levers'!$C$12="Off",SUM('Activity data'!AK50:AK65)*FracLEACH*MSLeachEF*NtoN2O*kgtoGg,SUM('Net zero Activity data'!AK50:AK65)*FracLEACH*MSLeachEF*NtoN2O*kgtoGg)</f>
        <v>0.19784037541962898</v>
      </c>
      <c r="S1019" s="101">
        <f>IF('Net zero activities &amp; levers'!$C$12="Off",SUM('Activity data'!AL50:AL65)*FracLEACH*MSLeachEF*NtoN2O*kgtoGg,SUM('Net zero Activity data'!AL50:AL65)*FracLEACH*MSLeachEF*NtoN2O*kgtoGg)</f>
        <v>0.17841698820622015</v>
      </c>
      <c r="T1019" s="101">
        <f>IF('Net zero activities &amp; levers'!$C$12="Off",SUM('Activity data'!AM50:AM65)*FracLEACH*MSLeachEF*NtoN2O*kgtoGg,SUM('Net zero Activity data'!AM50:AM65)*FracLEACH*MSLeachEF*NtoN2O*kgtoGg)</f>
        <v>0.18081293466860307</v>
      </c>
      <c r="U1019" s="101">
        <f>IF('Net zero activities &amp; levers'!$C$12="Off",SUM('Activity data'!AN50:AN65)*FracLEACH*MSLeachEF*NtoN2O*kgtoGg,SUM('Net zero Activity data'!AN50:AN65)*FracLEACH*MSLeachEF*NtoN2O*kgtoGg)</f>
        <v>0.18276631591234022</v>
      </c>
      <c r="V1019" s="101">
        <f>IF('Net zero activities &amp; levers'!$C$12="Off",SUM('Activity data'!AO50:AO65)*FracLEACH*MSLeachEF*NtoN2O*kgtoGg,SUM('Net zero Activity data'!AO50:AO65)*FracLEACH*MSLeachEF*NtoN2O*kgtoGg)</f>
        <v>0.18471645849231438</v>
      </c>
      <c r="W1019" s="101">
        <f>IF('Net zero activities &amp; levers'!$C$12="Off",SUM('Activity data'!AP50:AP65)*FracLEACH*MSLeachEF*NtoN2O*kgtoGg,SUM('Net zero Activity data'!AP50:AP65)*FracLEACH*MSLeachEF*NtoN2O*kgtoGg)</f>
        <v>0.18733681771599675</v>
      </c>
      <c r="X1019" s="101">
        <f>IF('Net zero activities &amp; levers'!$C$12="Off",SUM('Activity data'!AQ50:AQ65)*FracLEACH*MSLeachEF*NtoN2O*kgtoGg,SUM('Net zero Activity data'!AQ50:AQ65)*FracLEACH*MSLeachEF*NtoN2O*kgtoGg)</f>
        <v>0.18994210682606633</v>
      </c>
      <c r="Y1019" s="101">
        <f>IF('Net zero activities &amp; levers'!$C$12="Off",SUM('Activity data'!AR50:AR65)*FracLEACH*MSLeachEF*NtoN2O*kgtoGg,SUM('Net zero Activity data'!AR50:AR65)*FracLEACH*MSLeachEF*NtoN2O*kgtoGg)</f>
        <v>0.19266100227068755</v>
      </c>
      <c r="Z1019" s="101">
        <f>IF('Net zero activities &amp; levers'!$C$12="Off",SUM('Activity data'!AS50:AS65)*FracLEACH*MSLeachEF*NtoN2O*kgtoGg,SUM('Net zero Activity data'!AS50:AS65)*FracLEACH*MSLeachEF*NtoN2O*kgtoGg)</f>
        <v>0.19520300400393342</v>
      </c>
      <c r="AA1019" s="101">
        <f>IF('Net zero activities &amp; levers'!$C$12="Off",SUM('Activity data'!AT50:AT65)*FracLEACH*MSLeachEF*NtoN2O*kgtoGg,SUM('Net zero Activity data'!AT50:AT65)*FracLEACH*MSLeachEF*NtoN2O*kgtoGg)</f>
        <v>0.19798640345821425</v>
      </c>
      <c r="AB1019" s="101">
        <f>IF('Net zero activities &amp; levers'!$C$12="Off",SUM('Activity data'!AU50:AU65)*FracLEACH*MSLeachEF*NtoN2O*kgtoGg,SUM('Net zero Activity data'!AU50:AU65)*FracLEACH*MSLeachEF*NtoN2O*kgtoGg)</f>
        <v>0.20044516854579475</v>
      </c>
      <c r="AC1019" s="101">
        <f>IF('Net zero activities &amp; levers'!$C$12="Off",SUM('Activity data'!AV50:AV65)*FracLEACH*MSLeachEF*NtoN2O*kgtoGg,SUM('Net zero Activity data'!AV50:AV65)*FracLEACH*MSLeachEF*NtoN2O*kgtoGg)</f>
        <v>0.20297817573057544</v>
      </c>
      <c r="AD1019" s="101">
        <f>IF('Net zero activities &amp; levers'!$C$12="Off",SUM('Activity data'!AW50:AW65)*FracLEACH*MSLeachEF*NtoN2O*kgtoGg,SUM('Net zero Activity data'!AW50:AW65)*FracLEACH*MSLeachEF*NtoN2O*kgtoGg)</f>
        <v>0.2056267299462835</v>
      </c>
      <c r="AE1019" s="101">
        <f>IF('Net zero activities &amp; levers'!$C$12="Off",SUM('Activity data'!AX50:AX65)*FracLEACH*MSLeachEF*NtoN2O*kgtoGg,SUM('Net zero Activity data'!AX50:AX65)*FracLEACH*MSLeachEF*NtoN2O*kgtoGg)</f>
        <v>0.20860280477164364</v>
      </c>
      <c r="AF1019" s="101">
        <f>IF('Net zero activities &amp; levers'!$C$12="Off",SUM('Activity data'!AY50:AY65)*FracLEACH*MSLeachEF*NtoN2O*kgtoGg,SUM('Net zero Activity data'!AY50:AY65)*FracLEACH*MSLeachEF*NtoN2O*kgtoGg)</f>
        <v>0.21167179414400486</v>
      </c>
      <c r="AG1019" s="101">
        <f>IF('Net zero activities &amp; levers'!$C$12="Off",SUM('Activity data'!AZ50:AZ65)*FracLEACH*MSLeachEF*NtoN2O*kgtoGg,SUM('Net zero Activity data'!AZ50:AZ65)*FracLEACH*MSLeachEF*NtoN2O*kgtoGg)</f>
        <v>0.20992366458596434</v>
      </c>
      <c r="AH1019" s="101">
        <f>IF('Net zero activities &amp; levers'!$C$12="Off",SUM('Activity data'!BA50:BA65)*FracLEACH*MSLeachEF*NtoN2O*kgtoGg,SUM('Net zero Activity data'!BA50:BA65)*FracLEACH*MSLeachEF*NtoN2O*kgtoGg)</f>
        <v>-1.9300200690009681E-2</v>
      </c>
      <c r="AI1019" s="101">
        <f>IF('Net zero activities &amp; levers'!$C$12="Off",SUM('Activity data'!BB50:BB65)*FracLEACH*MSLeachEF*NtoN2O*kgtoGg,SUM('Net zero Activity data'!BB50:BB65)*FracLEACH*MSLeachEF*NtoN2O*kgtoGg)</f>
        <v>-1.8843886811857471E-2</v>
      </c>
      <c r="AJ1019" s="101">
        <f>IF('Net zero activities &amp; levers'!$C$12="Off",SUM('Activity data'!BC50:BC65)*FracLEACH*MSLeachEF*NtoN2O*kgtoGg,SUM('Net zero Activity data'!BC50:BC65)*FracLEACH*MSLeachEF*NtoN2O*kgtoGg)</f>
        <v>-1.8395910257723268E-2</v>
      </c>
      <c r="AK1019" s="101">
        <f>IF('Net zero activities &amp; levers'!$C$12="Off",SUM('Activity data'!BD50:BD65)*FracLEACH*MSLeachEF*NtoN2O*kgtoGg,SUM('Net zero Activity data'!BD50:BD65)*FracLEACH*MSLeachEF*NtoN2O*kgtoGg)</f>
        <v>-1.7955834874350582E-2</v>
      </c>
      <c r="AL1019" s="101">
        <f>IF('Net zero activities &amp; levers'!$C$12="Off",SUM('Activity data'!BE50:BE65)*FracLEACH*MSLeachEF*NtoN2O*kgtoGg,SUM('Net zero Activity data'!BE50:BE65)*FracLEACH*MSLeachEF*NtoN2O*kgtoGg)</f>
        <v>-1.7523255155980324E-2</v>
      </c>
      <c r="AM1019" s="101">
        <f>IF('Net zero activities &amp; levers'!$C$12="Off",SUM('Activity data'!BF50:BF65)*FracLEACH*MSLeachEF*NtoN2O*kgtoGg,SUM('Net zero Activity data'!BF50:BF65)*FracLEACH*MSLeachEF*NtoN2O*kgtoGg)</f>
        <v>-1.7097793384935875E-2</v>
      </c>
      <c r="AN1019" s="101">
        <f>IF('Net zero activities &amp; levers'!$C$12="Off",SUM('Activity data'!BG50:BG65)*FracLEACH*MSLeachEF*NtoN2O*kgtoGg,SUM('Net zero Activity data'!BG50:BG65)*FracLEACH*MSLeachEF*NtoN2O*kgtoGg)</f>
        <v>-1.6741323027793506E-2</v>
      </c>
      <c r="AO1019" s="101">
        <f>IF('Net zero activities &amp; levers'!$C$12="Off",SUM('Activity data'!BH50:BH65)*FracLEACH*MSLeachEF*NtoN2O*kgtoGg,SUM('Net zero Activity data'!BH50:BH65)*FracLEACH*MSLeachEF*NtoN2O*kgtoGg)</f>
        <v>-1.6390975335511412E-2</v>
      </c>
      <c r="AP1019" s="101">
        <f>IF('Net zero activities &amp; levers'!$C$12="Off",SUM('Activity data'!BI50:BI65)*FracLEACH*MSLeachEF*NtoN2O*kgtoGg,SUM('Net zero Activity data'!BI50:BI65)*FracLEACH*MSLeachEF*NtoN2O*kgtoGg)</f>
        <v>-1.6046469591821155E-2</v>
      </c>
      <c r="AQ1019" s="101">
        <f>IF('Net zero activities &amp; levers'!$C$12="Off",SUM('Activity data'!BJ50:BJ65)*FracLEACH*MSLeachEF*NtoN2O*kgtoGg,SUM('Net zero Activity data'!BJ50:BJ65)*FracLEACH*MSLeachEF*NtoN2O*kgtoGg)</f>
        <v>-1.5707542818837256E-2</v>
      </c>
      <c r="AR1019" s="101">
        <f>IF('Net zero activities &amp; levers'!$C$12="Off",SUM('Activity data'!BK50:BK65)*FracLEACH*MSLeachEF*NtoN2O*kgtoGg,SUM('Net zero Activity data'!BK50:BK65)*FracLEACH*MSLeachEF*NtoN2O*kgtoGg)</f>
        <v>-1.5373948294556171E-2</v>
      </c>
      <c r="AS1019" s="101">
        <f>IF('Net zero activities &amp; levers'!$C$12="Off",SUM('Activity data'!BL50:BL65)*FracLEACH*MSLeachEF*NtoN2O*kgtoGg,SUM('Net zero Activity data'!BL50:BL65)*FracLEACH*MSLeachEF*NtoN2O*kgtoGg)</f>
        <v>-1.5023355882038061E-2</v>
      </c>
      <c r="AT1019" s="101">
        <f>IF('Net zero activities &amp; levers'!$C$12="Off",SUM('Activity data'!BM50:BM65)*FracLEACH*MSLeachEF*NtoN2O*kgtoGg,SUM('Net zero Activity data'!BM50:BM65)*FracLEACH*MSLeachEF*NtoN2O*kgtoGg)</f>
        <v>-1.4678172069400145E-2</v>
      </c>
      <c r="AU1019" s="101">
        <f>IF('Net zero activities &amp; levers'!$C$12="Off",SUM('Activity data'!BN50:BN65)*FracLEACH*MSLeachEF*NtoN2O*kgtoGg,SUM('Net zero Activity data'!BN50:BN65)*FracLEACH*MSLeachEF*NtoN2O*kgtoGg)</f>
        <v>-1.4338180596116832E-2</v>
      </c>
      <c r="AV1019" s="101">
        <f>IF('Net zero activities &amp; levers'!$C$12="Off",SUM('Activity data'!BO50:BO65)*FracLEACH*MSLeachEF*NtoN2O*kgtoGg,SUM('Net zero Activity data'!BO50:BO65)*FracLEACH*MSLeachEF*NtoN2O*kgtoGg)</f>
        <v>-1.4003177540620452E-2</v>
      </c>
      <c r="AW1019" s="101">
        <f>IF('Net zero activities &amp; levers'!$C$12="Off",SUM('Activity data'!BP50:BP65)*FracLEACH*MSLeachEF*NtoN2O*kgtoGg,SUM('Net zero Activity data'!BP50:BP65)*FracLEACH*MSLeachEF*NtoN2O*kgtoGg)</f>
        <v>-1.367297039065494E-2</v>
      </c>
      <c r="AY1019" s="85"/>
      <c r="AZ1019" s="85"/>
    </row>
    <row r="1020" spans="1:52" x14ac:dyDescent="0.25">
      <c r="A1020" s="102" t="str">
        <f t="shared" si="345"/>
        <v>DS Leaching</v>
      </c>
      <c r="B1020" s="102" t="s">
        <v>975</v>
      </c>
      <c r="C1020" s="102" t="s">
        <v>1191</v>
      </c>
      <c r="D1020" t="s">
        <v>369</v>
      </c>
      <c r="E1020" t="s">
        <v>61</v>
      </c>
      <c r="F1020" t="s">
        <v>63</v>
      </c>
      <c r="G1020" t="s">
        <v>438</v>
      </c>
      <c r="H1020" t="s">
        <v>1192</v>
      </c>
      <c r="I1020" t="s">
        <v>139</v>
      </c>
      <c r="J1020" t="s">
        <v>287</v>
      </c>
      <c r="K1020" s="101">
        <f>IF('Net zero activities &amp; levers'!$C$12="Off",SUM('Activity data'!AD66:AD81)*FracLEACHUD*MSLeachEF*NtoN2O*kgtoGg,SUM('Net zero Activity data'!AD66:AD81)*FracLEACHUD*MSLeachEF*NtoN2O*kgtoGg)</f>
        <v>0</v>
      </c>
      <c r="L1020" s="101">
        <f>IF('Net zero activities &amp; levers'!$C$12="Off",SUM('Activity data'!AE66:AE81)*FracLEACHUD*MSLeachEF*NtoN2O*kgtoGg,SUM('Net zero Activity data'!AE66:AE81)*FracLEACHUD*MSLeachEF*NtoN2O*kgtoGg)</f>
        <v>0</v>
      </c>
      <c r="M1020" s="101">
        <f>IF('Net zero activities &amp; levers'!$C$12="Off",SUM('Activity data'!AF66:AF81)*FracLEACHUD*MSLeachEF*NtoN2O*kgtoGg,SUM('Net zero Activity data'!AF66:AF81)*FracLEACHUD*MSLeachEF*NtoN2O*kgtoGg)</f>
        <v>0</v>
      </c>
      <c r="N1020" s="101">
        <f>IF('Net zero activities &amp; levers'!$C$12="Off",SUM('Activity data'!AG66:AG81)*FracLEACHUD*MSLeachEF*NtoN2O*kgtoGg,SUM('Net zero Activity data'!AG66:AG81)*FracLEACHUD*MSLeachEF*NtoN2O*kgtoGg)</f>
        <v>0</v>
      </c>
      <c r="O1020" s="101">
        <f>IF('Net zero activities &amp; levers'!$C$12="Off",SUM('Activity data'!AH66:AH81)*FracLEACHUD*MSLeachEF*NtoN2O*kgtoGg,SUM('Net zero Activity data'!AH66:AH81)*FracLEACHUD*MSLeachEF*NtoN2O*kgtoGg)</f>
        <v>0</v>
      </c>
      <c r="P1020" s="101">
        <f>IF('Net zero activities &amp; levers'!$C$12="Off",SUM('Activity data'!AI66:AI81)*FracLEACHUD*MSLeachEF*NtoN2O*kgtoGg,SUM('Net zero Activity data'!AI66:AI81)*FracLEACHUD*MSLeachEF*NtoN2O*kgtoGg)</f>
        <v>0</v>
      </c>
      <c r="Q1020" s="101">
        <f>IF('Net zero activities &amp; levers'!$C$12="Off",SUM('Activity data'!AJ66:AJ81)*FracLEACHUD*MSLeachEF*NtoN2O*kgtoGg,SUM('Net zero Activity data'!AJ66:AJ81)*FracLEACHUD*MSLeachEF*NtoN2O*kgtoGg)</f>
        <v>0</v>
      </c>
      <c r="R1020" s="101">
        <f>IF('Net zero activities &amp; levers'!$C$12="Off",SUM('Activity data'!AK66:AK81)*FracLEACHUD*MSLeachEF*NtoN2O*kgtoGg,SUM('Net zero Activity data'!AK66:AK81)*FracLEACHUD*MSLeachEF*NtoN2O*kgtoGg)</f>
        <v>0</v>
      </c>
      <c r="S1020" s="101">
        <f>IF('Net zero activities &amp; levers'!$C$12="Off",SUM('Activity data'!AL66:AL81)*FracLEACHUD*MSLeachEF*NtoN2O*kgtoGg,SUM('Net zero Activity data'!AL66:AL81)*FracLEACHUD*MSLeachEF*NtoN2O*kgtoGg)</f>
        <v>0</v>
      </c>
      <c r="T1020" s="101">
        <f>IF('Net zero activities &amp; levers'!$C$12="Off",SUM('Activity data'!AM66:AM81)*FracLEACHUD*MSLeachEF*NtoN2O*kgtoGg,SUM('Net zero Activity data'!AM66:AM81)*FracLEACHUD*MSLeachEF*NtoN2O*kgtoGg)</f>
        <v>0</v>
      </c>
      <c r="U1020" s="101">
        <f>IF('Net zero activities &amp; levers'!$C$12="Off",SUM('Activity data'!AN66:AN81)*FracLEACHUD*MSLeachEF*NtoN2O*kgtoGg,SUM('Net zero Activity data'!AN66:AN81)*FracLEACHUD*MSLeachEF*NtoN2O*kgtoGg)</f>
        <v>0</v>
      </c>
      <c r="V1020" s="101">
        <f>IF('Net zero activities &amp; levers'!$C$12="Off",SUM('Activity data'!AO66:AO81)*FracLEACHUD*MSLeachEF*NtoN2O*kgtoGg,SUM('Net zero Activity data'!AO66:AO81)*FracLEACHUD*MSLeachEF*NtoN2O*kgtoGg)</f>
        <v>0</v>
      </c>
      <c r="W1020" s="101">
        <f>IF('Net zero activities &amp; levers'!$C$12="Off",SUM('Activity data'!AP66:AP81)*FracLEACHUD*MSLeachEF*NtoN2O*kgtoGg,SUM('Net zero Activity data'!AP66:AP81)*FracLEACHUD*MSLeachEF*NtoN2O*kgtoGg)</f>
        <v>0</v>
      </c>
      <c r="X1020" s="101">
        <f>IF('Net zero activities &amp; levers'!$C$12="Off",SUM('Activity data'!AQ66:AQ81)*FracLEACHUD*MSLeachEF*NtoN2O*kgtoGg,SUM('Net zero Activity data'!AQ66:AQ81)*FracLEACHUD*MSLeachEF*NtoN2O*kgtoGg)</f>
        <v>0</v>
      </c>
      <c r="Y1020" s="101">
        <f>IF('Net zero activities &amp; levers'!$C$12="Off",SUM('Activity data'!AR66:AR81)*FracLEACHUD*MSLeachEF*NtoN2O*kgtoGg,SUM('Net zero Activity data'!AR66:AR81)*FracLEACHUD*MSLeachEF*NtoN2O*kgtoGg)</f>
        <v>0</v>
      </c>
      <c r="Z1020" s="101">
        <f>IF('Net zero activities &amp; levers'!$C$12="Off",SUM('Activity data'!AS66:AS81)*FracLEACHUD*MSLeachEF*NtoN2O*kgtoGg,SUM('Net zero Activity data'!AS66:AS81)*FracLEACHUD*MSLeachEF*NtoN2O*kgtoGg)</f>
        <v>0</v>
      </c>
      <c r="AA1020" s="101">
        <f>IF('Net zero activities &amp; levers'!$C$12="Off",SUM('Activity data'!AT66:AT81)*FracLEACHUD*MSLeachEF*NtoN2O*kgtoGg,SUM('Net zero Activity data'!AT66:AT81)*FracLEACHUD*MSLeachEF*NtoN2O*kgtoGg)</f>
        <v>0</v>
      </c>
      <c r="AB1020" s="101">
        <f>IF('Net zero activities &amp; levers'!$C$12="Off",SUM('Activity data'!AU66:AU81)*FracLEACHUD*MSLeachEF*NtoN2O*kgtoGg,SUM('Net zero Activity data'!AU66:AU81)*FracLEACHUD*MSLeachEF*NtoN2O*kgtoGg)</f>
        <v>0</v>
      </c>
      <c r="AC1020" s="101">
        <f>IF('Net zero activities &amp; levers'!$C$12="Off",SUM('Activity data'!AV66:AV81)*FracLEACHUD*MSLeachEF*NtoN2O*kgtoGg,SUM('Net zero Activity data'!AV66:AV81)*FracLEACHUD*MSLeachEF*NtoN2O*kgtoGg)</f>
        <v>0</v>
      </c>
      <c r="AD1020" s="101">
        <f>IF('Net zero activities &amp; levers'!$C$12="Off",SUM('Activity data'!AW66:AW81)*FracLEACHUD*MSLeachEF*NtoN2O*kgtoGg,SUM('Net zero Activity data'!AW66:AW81)*FracLEACHUD*MSLeachEF*NtoN2O*kgtoGg)</f>
        <v>0</v>
      </c>
      <c r="AE1020" s="101">
        <f>IF('Net zero activities &amp; levers'!$C$12="Off",SUM('Activity data'!AX66:AX81)*FracLEACHUD*MSLeachEF*NtoN2O*kgtoGg,SUM('Net zero Activity data'!AX66:AX81)*FracLEACHUD*MSLeachEF*NtoN2O*kgtoGg)</f>
        <v>0</v>
      </c>
      <c r="AF1020" s="101">
        <f>IF('Net zero activities &amp; levers'!$C$12="Off",SUM('Activity data'!AY66:AY81)*FracLEACHUD*MSLeachEF*NtoN2O*kgtoGg,SUM('Net zero Activity data'!AY66:AY81)*FracLEACHUD*MSLeachEF*NtoN2O*kgtoGg)</f>
        <v>0</v>
      </c>
      <c r="AG1020" s="101">
        <f>IF('Net zero activities &amp; levers'!$C$12="Off",SUM('Activity data'!AZ66:AZ81)*FracLEACHUD*MSLeachEF*NtoN2O*kgtoGg,SUM('Net zero Activity data'!AZ66:AZ81)*FracLEACHUD*MSLeachEF*NtoN2O*kgtoGg)</f>
        <v>0</v>
      </c>
      <c r="AH1020" s="101">
        <f>IF('Net zero activities &amp; levers'!$C$12="Off",SUM('Activity data'!BA66:BA81)*FracLEACHUD*MSLeachEF*NtoN2O*kgtoGg,SUM('Net zero Activity data'!BA66:BA81)*FracLEACHUD*MSLeachEF*NtoN2O*kgtoGg)</f>
        <v>0</v>
      </c>
      <c r="AI1020" s="101">
        <f>IF('Net zero activities &amp; levers'!$C$12="Off",SUM('Activity data'!BB66:BB81)*FracLEACHUD*MSLeachEF*NtoN2O*kgtoGg,SUM('Net zero Activity data'!BB66:BB81)*FracLEACHUD*MSLeachEF*NtoN2O*kgtoGg)</f>
        <v>0</v>
      </c>
      <c r="AJ1020" s="101">
        <f>IF('Net zero activities &amp; levers'!$C$12="Off",SUM('Activity data'!BC66:BC81)*FracLEACHUD*MSLeachEF*NtoN2O*kgtoGg,SUM('Net zero Activity data'!BC66:BC81)*FracLEACHUD*MSLeachEF*NtoN2O*kgtoGg)</f>
        <v>0</v>
      </c>
      <c r="AK1020" s="101">
        <f>IF('Net zero activities &amp; levers'!$C$12="Off",SUM('Activity data'!BD66:BD81)*FracLEACHUD*MSLeachEF*NtoN2O*kgtoGg,SUM('Net zero Activity data'!BD66:BD81)*FracLEACHUD*MSLeachEF*NtoN2O*kgtoGg)</f>
        <v>0</v>
      </c>
      <c r="AL1020" s="101">
        <f>IF('Net zero activities &amp; levers'!$C$12="Off",SUM('Activity data'!BE66:BE81)*FracLEACHUD*MSLeachEF*NtoN2O*kgtoGg,SUM('Net zero Activity data'!BE66:BE81)*FracLEACHUD*MSLeachEF*NtoN2O*kgtoGg)</f>
        <v>0</v>
      </c>
      <c r="AM1020" s="101">
        <f>IF('Net zero activities &amp; levers'!$C$12="Off",SUM('Activity data'!BF66:BF81)*FracLEACHUD*MSLeachEF*NtoN2O*kgtoGg,SUM('Net zero Activity data'!BF66:BF81)*FracLEACHUD*MSLeachEF*NtoN2O*kgtoGg)</f>
        <v>0</v>
      </c>
      <c r="AN1020" s="101">
        <f>IF('Net zero activities &amp; levers'!$C$12="Off",SUM('Activity data'!BG66:BG81)*FracLEACHUD*MSLeachEF*NtoN2O*kgtoGg,SUM('Net zero Activity data'!BG66:BG81)*FracLEACHUD*MSLeachEF*NtoN2O*kgtoGg)</f>
        <v>0</v>
      </c>
      <c r="AO1020" s="101">
        <f>IF('Net zero activities &amp; levers'!$C$12="Off",SUM('Activity data'!BH66:BH81)*FracLEACHUD*MSLeachEF*NtoN2O*kgtoGg,SUM('Net zero Activity data'!BH66:BH81)*FracLEACHUD*MSLeachEF*NtoN2O*kgtoGg)</f>
        <v>0</v>
      </c>
      <c r="AP1020" s="101">
        <f>IF('Net zero activities &amp; levers'!$C$12="Off",SUM('Activity data'!BI66:BI81)*FracLEACHUD*MSLeachEF*NtoN2O*kgtoGg,SUM('Net zero Activity data'!BI66:BI81)*FracLEACHUD*MSLeachEF*NtoN2O*kgtoGg)</f>
        <v>0</v>
      </c>
      <c r="AQ1020" s="101">
        <f>IF('Net zero activities &amp; levers'!$C$12="Off",SUM('Activity data'!BJ66:BJ81)*FracLEACHUD*MSLeachEF*NtoN2O*kgtoGg,SUM('Net zero Activity data'!BJ66:BJ81)*FracLEACHUD*MSLeachEF*NtoN2O*kgtoGg)</f>
        <v>0</v>
      </c>
      <c r="AR1020" s="101">
        <f>IF('Net zero activities &amp; levers'!$C$12="Off",SUM('Activity data'!BK66:BK81)*FracLEACHUD*MSLeachEF*NtoN2O*kgtoGg,SUM('Net zero Activity data'!BK66:BK81)*FracLEACHUD*MSLeachEF*NtoN2O*kgtoGg)</f>
        <v>0</v>
      </c>
      <c r="AS1020" s="101">
        <f>IF('Net zero activities &amp; levers'!$C$12="Off",SUM('Activity data'!BL66:BL81)*FracLEACHUD*MSLeachEF*NtoN2O*kgtoGg,SUM('Net zero Activity data'!BL66:BL81)*FracLEACHUD*MSLeachEF*NtoN2O*kgtoGg)</f>
        <v>0</v>
      </c>
      <c r="AT1020" s="101">
        <f>IF('Net zero activities &amp; levers'!$C$12="Off",SUM('Activity data'!BM66:BM81)*FracLEACHUD*MSLeachEF*NtoN2O*kgtoGg,SUM('Net zero Activity data'!BM66:BM81)*FracLEACHUD*MSLeachEF*NtoN2O*kgtoGg)</f>
        <v>0</v>
      </c>
      <c r="AU1020" s="101">
        <f>IF('Net zero activities &amp; levers'!$C$12="Off",SUM('Activity data'!BN66:BN81)*FracLEACHUD*MSLeachEF*NtoN2O*kgtoGg,SUM('Net zero Activity data'!BN66:BN81)*FracLEACHUD*MSLeachEF*NtoN2O*kgtoGg)</f>
        <v>0</v>
      </c>
      <c r="AV1020" s="101">
        <f>IF('Net zero activities &amp; levers'!$C$12="Off",SUM('Activity data'!BO66:BO81)*FracLEACHUD*MSLeachEF*NtoN2O*kgtoGg,SUM('Net zero Activity data'!BO66:BO81)*FracLEACHUD*MSLeachEF*NtoN2O*kgtoGg)</f>
        <v>0</v>
      </c>
      <c r="AW1020" s="101">
        <f>IF('Net zero activities &amp; levers'!$C$12="Off",SUM('Activity data'!BP66:BP81)*FracLEACHUD*MSLeachEF*NtoN2O*kgtoGg,SUM('Net zero Activity data'!BP66:BP81)*FracLEACHUD*MSLeachEF*NtoN2O*kgtoGg)</f>
        <v>0</v>
      </c>
      <c r="AY1020" s="85"/>
      <c r="AZ1020" s="85"/>
    </row>
    <row r="1021" spans="1:52" x14ac:dyDescent="0.25">
      <c r="A1021" s="102" t="str">
        <f t="shared" si="345"/>
        <v>DS Leaching</v>
      </c>
      <c r="B1021" s="102" t="s">
        <v>975</v>
      </c>
      <c r="C1021" s="102" t="s">
        <v>1191</v>
      </c>
      <c r="D1021" t="s">
        <v>369</v>
      </c>
      <c r="E1021" t="s">
        <v>61</v>
      </c>
      <c r="F1021" t="s">
        <v>63</v>
      </c>
      <c r="G1021" t="s">
        <v>439</v>
      </c>
      <c r="H1021" t="s">
        <v>1193</v>
      </c>
      <c r="I1021" t="s">
        <v>139</v>
      </c>
      <c r="J1021" t="s">
        <v>287</v>
      </c>
      <c r="K1021" s="22">
        <f t="shared" ref="K1021:AW1021" si="356">K1518</f>
        <v>0.10175116378121943</v>
      </c>
      <c r="L1021" s="22">
        <f t="shared" si="356"/>
        <v>0.10199531862312783</v>
      </c>
      <c r="M1021" s="22">
        <f t="shared" si="356"/>
        <v>0.10232895790911103</v>
      </c>
      <c r="N1021" s="22">
        <f t="shared" si="356"/>
        <v>0.102571135787432</v>
      </c>
      <c r="O1021" s="22">
        <f t="shared" si="356"/>
        <v>0.10268907461035851</v>
      </c>
      <c r="P1021" s="22">
        <f t="shared" si="356"/>
        <v>0.10280548137522282</v>
      </c>
      <c r="Q1021" s="22">
        <f t="shared" si="356"/>
        <v>0.10298157657140594</v>
      </c>
      <c r="R1021" s="22">
        <f t="shared" si="356"/>
        <v>0.10317437501165042</v>
      </c>
      <c r="S1021" s="22">
        <f t="shared" si="356"/>
        <v>0.10323747118294155</v>
      </c>
      <c r="T1021" s="22">
        <f t="shared" si="356"/>
        <v>0.10207849673523195</v>
      </c>
      <c r="U1021" s="22">
        <f t="shared" si="356"/>
        <v>0.10244002007553947</v>
      </c>
      <c r="V1021" s="22">
        <f t="shared" si="356"/>
        <v>0.10276505734262262</v>
      </c>
      <c r="W1021" s="22">
        <f t="shared" si="356"/>
        <v>0.10308708143869158</v>
      </c>
      <c r="X1021" s="22">
        <f t="shared" si="356"/>
        <v>0.10345673156725761</v>
      </c>
      <c r="Y1021" s="22">
        <f t="shared" si="356"/>
        <v>0.10382236970947499</v>
      </c>
      <c r="Z1021" s="22">
        <f t="shared" si="356"/>
        <v>0.10419308105510718</v>
      </c>
      <c r="AA1021" s="22">
        <f t="shared" si="356"/>
        <v>0.1045480129274277</v>
      </c>
      <c r="AB1021" s="22">
        <f t="shared" si="356"/>
        <v>0.10491811532698922</v>
      </c>
      <c r="AC1021" s="22">
        <f t="shared" si="356"/>
        <v>0.10526191572099161</v>
      </c>
      <c r="AD1021" s="22">
        <f t="shared" si="356"/>
        <v>0.10560878304057683</v>
      </c>
      <c r="AE1021" s="22">
        <f t="shared" si="356"/>
        <v>0.10601241907328743</v>
      </c>
      <c r="AF1021" s="22">
        <f t="shared" si="356"/>
        <v>0.10643853523191582</v>
      </c>
      <c r="AG1021" s="22">
        <f t="shared" si="356"/>
        <v>0.10687002645789688</v>
      </c>
      <c r="AH1021" s="22">
        <f t="shared" si="356"/>
        <v>0.10695565891506367</v>
      </c>
      <c r="AI1021" s="22">
        <f t="shared" si="356"/>
        <v>7.1370603051085779E-2</v>
      </c>
      <c r="AJ1021" s="22">
        <f t="shared" si="356"/>
        <v>7.1307647461360521E-2</v>
      </c>
      <c r="AK1021" s="22">
        <f t="shared" si="356"/>
        <v>7.1244029161657008E-2</v>
      </c>
      <c r="AL1021" s="22">
        <f t="shared" si="356"/>
        <v>7.1179739022300959E-2</v>
      </c>
      <c r="AM1021" s="22">
        <f t="shared" si="356"/>
        <v>7.1114767741896984E-2</v>
      </c>
      <c r="AN1021" s="22">
        <f t="shared" si="356"/>
        <v>7.1049105843042956E-2</v>
      </c>
      <c r="AO1021" s="22">
        <f t="shared" si="356"/>
        <v>7.0992821484352875E-2</v>
      </c>
      <c r="AP1021" s="22">
        <f t="shared" si="356"/>
        <v>7.0936026569640209E-2</v>
      </c>
      <c r="AQ1021" s="22">
        <f t="shared" si="356"/>
        <v>7.0878714989935504E-2</v>
      </c>
      <c r="AR1021" s="22">
        <f t="shared" si="356"/>
        <v>7.0820880536048819E-2</v>
      </c>
      <c r="AS1021" s="22">
        <f t="shared" si="356"/>
        <v>7.0762516896386879E-2</v>
      </c>
      <c r="AT1021" s="22">
        <f t="shared" si="356"/>
        <v>7.0714119633319514E-2</v>
      </c>
      <c r="AU1021" s="22">
        <f t="shared" si="356"/>
        <v>7.0665356530577775E-2</v>
      </c>
      <c r="AV1021" s="22">
        <f t="shared" si="356"/>
        <v>7.0616223915862988E-2</v>
      </c>
      <c r="AW1021" s="22">
        <f t="shared" si="356"/>
        <v>7.0566718066166448E-2</v>
      </c>
      <c r="AY1021" s="85"/>
      <c r="AZ1021" s="85"/>
    </row>
    <row r="1022" spans="1:52" x14ac:dyDescent="0.25">
      <c r="A1022" s="102" t="str">
        <f t="shared" si="345"/>
        <v>DS Leaching</v>
      </c>
      <c r="B1022" s="102" t="s">
        <v>975</v>
      </c>
      <c r="C1022" s="102" t="s">
        <v>1191</v>
      </c>
      <c r="D1022" t="s">
        <v>369</v>
      </c>
      <c r="E1022" t="s">
        <v>61</v>
      </c>
      <c r="F1022" t="s">
        <v>63</v>
      </c>
      <c r="G1022" t="s">
        <v>1194</v>
      </c>
      <c r="H1022" t="s">
        <v>1195</v>
      </c>
      <c r="I1022" t="s">
        <v>139</v>
      </c>
      <c r="J1022" t="s">
        <v>287</v>
      </c>
      <c r="K1022" s="22" t="str">
        <f t="shared" ref="K1022:Z1033" si="357">K1519</f>
        <v>NO</v>
      </c>
      <c r="L1022" s="22" t="str">
        <f t="shared" si="357"/>
        <v>NO</v>
      </c>
      <c r="M1022" s="22" t="str">
        <f t="shared" si="357"/>
        <v>NO</v>
      </c>
      <c r="N1022" s="22" t="str">
        <f t="shared" si="357"/>
        <v>NO</v>
      </c>
      <c r="O1022" s="22" t="str">
        <f t="shared" si="357"/>
        <v>NO</v>
      </c>
      <c r="P1022" s="22" t="str">
        <f t="shared" si="357"/>
        <v>NO</v>
      </c>
      <c r="Q1022" s="22" t="str">
        <f t="shared" si="357"/>
        <v>NO</v>
      </c>
      <c r="R1022" s="22" t="str">
        <f t="shared" si="357"/>
        <v>NO</v>
      </c>
      <c r="S1022" s="22" t="str">
        <f t="shared" si="357"/>
        <v>NO</v>
      </c>
      <c r="T1022" s="22" t="str">
        <f t="shared" si="357"/>
        <v>NO</v>
      </c>
      <c r="U1022" s="22" t="str">
        <f t="shared" si="357"/>
        <v>NO</v>
      </c>
      <c r="V1022" s="22" t="str">
        <f t="shared" si="357"/>
        <v>NO</v>
      </c>
      <c r="W1022" s="22" t="str">
        <f t="shared" si="357"/>
        <v>NO</v>
      </c>
      <c r="X1022" s="22" t="str">
        <f t="shared" si="357"/>
        <v>NO</v>
      </c>
      <c r="Y1022" s="22" t="str">
        <f t="shared" si="357"/>
        <v>NO</v>
      </c>
      <c r="Z1022" s="22" t="str">
        <f t="shared" si="357"/>
        <v>NO</v>
      </c>
      <c r="AA1022" s="22" t="str">
        <f t="shared" ref="L1022:AW1029" si="358">AA1519</f>
        <v>NO</v>
      </c>
      <c r="AB1022" s="22" t="str">
        <f t="shared" si="358"/>
        <v>NO</v>
      </c>
      <c r="AC1022" s="22" t="str">
        <f t="shared" si="358"/>
        <v>NO</v>
      </c>
      <c r="AD1022" s="22" t="str">
        <f t="shared" si="358"/>
        <v>NO</v>
      </c>
      <c r="AE1022" s="22" t="str">
        <f t="shared" si="358"/>
        <v>NO</v>
      </c>
      <c r="AF1022" s="22" t="str">
        <f t="shared" si="358"/>
        <v>NO</v>
      </c>
      <c r="AG1022" s="22" t="str">
        <f t="shared" si="358"/>
        <v>NO</v>
      </c>
      <c r="AH1022" s="22" t="str">
        <f t="shared" si="358"/>
        <v>NO</v>
      </c>
      <c r="AI1022" s="22" t="str">
        <f t="shared" si="358"/>
        <v>NO</v>
      </c>
      <c r="AJ1022" s="22" t="str">
        <f t="shared" si="358"/>
        <v>NO</v>
      </c>
      <c r="AK1022" s="22" t="str">
        <f t="shared" si="358"/>
        <v>NO</v>
      </c>
      <c r="AL1022" s="22" t="str">
        <f t="shared" si="358"/>
        <v>NO</v>
      </c>
      <c r="AM1022" s="22" t="str">
        <f t="shared" si="358"/>
        <v>NO</v>
      </c>
      <c r="AN1022" s="22" t="str">
        <f t="shared" si="358"/>
        <v>NO</v>
      </c>
      <c r="AO1022" s="22" t="str">
        <f t="shared" si="358"/>
        <v>NO</v>
      </c>
      <c r="AP1022" s="22" t="str">
        <f t="shared" si="358"/>
        <v>NO</v>
      </c>
      <c r="AQ1022" s="22" t="str">
        <f t="shared" si="358"/>
        <v>NO</v>
      </c>
      <c r="AR1022" s="22" t="str">
        <f t="shared" si="358"/>
        <v>NO</v>
      </c>
      <c r="AS1022" s="22" t="str">
        <f t="shared" si="358"/>
        <v>NO</v>
      </c>
      <c r="AT1022" s="22" t="str">
        <f t="shared" si="358"/>
        <v>NO</v>
      </c>
      <c r="AU1022" s="22" t="str">
        <f t="shared" si="358"/>
        <v>NO</v>
      </c>
      <c r="AV1022" s="22" t="str">
        <f t="shared" si="358"/>
        <v>NO</v>
      </c>
      <c r="AW1022" s="22" t="str">
        <f t="shared" si="358"/>
        <v>NO</v>
      </c>
      <c r="AY1022" s="85"/>
      <c r="AZ1022" s="85"/>
    </row>
    <row r="1023" spans="1:52" x14ac:dyDescent="0.25">
      <c r="A1023" s="102" t="str">
        <f t="shared" si="345"/>
        <v>DS Leaching</v>
      </c>
      <c r="B1023" s="102" t="s">
        <v>975</v>
      </c>
      <c r="C1023" s="102" t="s">
        <v>1191</v>
      </c>
      <c r="D1023" t="s">
        <v>369</v>
      </c>
      <c r="E1023" t="s">
        <v>61</v>
      </c>
      <c r="F1023" t="s">
        <v>63</v>
      </c>
      <c r="G1023" t="s">
        <v>1196</v>
      </c>
      <c r="H1023" t="s">
        <v>1197</v>
      </c>
      <c r="I1023" t="s">
        <v>139</v>
      </c>
      <c r="J1023" t="s">
        <v>287</v>
      </c>
      <c r="K1023" s="22" t="str">
        <f t="shared" si="357"/>
        <v>NO</v>
      </c>
      <c r="L1023" s="22" t="str">
        <f t="shared" si="358"/>
        <v>NO</v>
      </c>
      <c r="M1023" s="22" t="str">
        <f t="shared" si="358"/>
        <v>NO</v>
      </c>
      <c r="N1023" s="22" t="str">
        <f t="shared" si="358"/>
        <v>NO</v>
      </c>
      <c r="O1023" s="22" t="str">
        <f t="shared" si="358"/>
        <v>NO</v>
      </c>
      <c r="P1023" s="22" t="str">
        <f t="shared" si="358"/>
        <v>NO</v>
      </c>
      <c r="Q1023" s="22" t="str">
        <f t="shared" si="358"/>
        <v>NO</v>
      </c>
      <c r="R1023" s="22" t="str">
        <f t="shared" si="358"/>
        <v>NO</v>
      </c>
      <c r="S1023" s="22" t="str">
        <f t="shared" si="358"/>
        <v>NO</v>
      </c>
      <c r="T1023" s="22" t="str">
        <f t="shared" si="358"/>
        <v>NO</v>
      </c>
      <c r="U1023" s="22" t="str">
        <f t="shared" si="358"/>
        <v>NO</v>
      </c>
      <c r="V1023" s="22" t="str">
        <f t="shared" si="358"/>
        <v>NO</v>
      </c>
      <c r="W1023" s="22" t="str">
        <f t="shared" si="358"/>
        <v>NO</v>
      </c>
      <c r="X1023" s="22" t="str">
        <f t="shared" si="358"/>
        <v>NO</v>
      </c>
      <c r="Y1023" s="22" t="str">
        <f t="shared" si="358"/>
        <v>NO</v>
      </c>
      <c r="Z1023" s="22" t="str">
        <f t="shared" si="358"/>
        <v>NO</v>
      </c>
      <c r="AA1023" s="22" t="str">
        <f t="shared" si="358"/>
        <v>NO</v>
      </c>
      <c r="AB1023" s="22" t="str">
        <f t="shared" si="358"/>
        <v>NO</v>
      </c>
      <c r="AC1023" s="22" t="str">
        <f t="shared" si="358"/>
        <v>NO</v>
      </c>
      <c r="AD1023" s="22" t="str">
        <f t="shared" si="358"/>
        <v>NO</v>
      </c>
      <c r="AE1023" s="22" t="str">
        <f t="shared" si="358"/>
        <v>NO</v>
      </c>
      <c r="AF1023" s="22" t="str">
        <f t="shared" si="358"/>
        <v>NO</v>
      </c>
      <c r="AG1023" s="22" t="str">
        <f t="shared" si="358"/>
        <v>NO</v>
      </c>
      <c r="AH1023" s="22" t="str">
        <f t="shared" si="358"/>
        <v>NO</v>
      </c>
      <c r="AI1023" s="22" t="str">
        <f t="shared" si="358"/>
        <v>NO</v>
      </c>
      <c r="AJ1023" s="22" t="str">
        <f t="shared" si="358"/>
        <v>NO</v>
      </c>
      <c r="AK1023" s="22" t="str">
        <f t="shared" si="358"/>
        <v>NO</v>
      </c>
      <c r="AL1023" s="22" t="str">
        <f t="shared" si="358"/>
        <v>NO</v>
      </c>
      <c r="AM1023" s="22" t="str">
        <f t="shared" si="358"/>
        <v>NO</v>
      </c>
      <c r="AN1023" s="22" t="str">
        <f t="shared" si="358"/>
        <v>NO</v>
      </c>
      <c r="AO1023" s="22" t="str">
        <f t="shared" si="358"/>
        <v>NO</v>
      </c>
      <c r="AP1023" s="22" t="str">
        <f t="shared" si="358"/>
        <v>NO</v>
      </c>
      <c r="AQ1023" s="22" t="str">
        <f t="shared" si="358"/>
        <v>NO</v>
      </c>
      <c r="AR1023" s="22" t="str">
        <f t="shared" si="358"/>
        <v>NO</v>
      </c>
      <c r="AS1023" s="22" t="str">
        <f t="shared" si="358"/>
        <v>NO</v>
      </c>
      <c r="AT1023" s="22" t="str">
        <f t="shared" si="358"/>
        <v>NO</v>
      </c>
      <c r="AU1023" s="22" t="str">
        <f t="shared" si="358"/>
        <v>NO</v>
      </c>
      <c r="AV1023" s="22" t="str">
        <f t="shared" si="358"/>
        <v>NO</v>
      </c>
      <c r="AW1023" s="22" t="str">
        <f t="shared" si="358"/>
        <v>NO</v>
      </c>
      <c r="AY1023" s="85"/>
      <c r="AZ1023" s="85"/>
    </row>
    <row r="1024" spans="1:52" x14ac:dyDescent="0.25">
      <c r="A1024" s="102" t="str">
        <f t="shared" si="345"/>
        <v>DS Leaching</v>
      </c>
      <c r="B1024" s="102" t="s">
        <v>975</v>
      </c>
      <c r="C1024" s="102" t="s">
        <v>1191</v>
      </c>
      <c r="D1024" t="s">
        <v>369</v>
      </c>
      <c r="E1024" t="s">
        <v>61</v>
      </c>
      <c r="F1024" t="s">
        <v>63</v>
      </c>
      <c r="G1024" t="s">
        <v>1198</v>
      </c>
      <c r="H1024" t="s">
        <v>1199</v>
      </c>
      <c r="I1024" t="s">
        <v>139</v>
      </c>
      <c r="J1024" t="s">
        <v>287</v>
      </c>
      <c r="K1024" s="22">
        <f t="shared" si="357"/>
        <v>1.1867590793806392E-4</v>
      </c>
      <c r="L1024" s="22">
        <f t="shared" si="358"/>
        <v>1.1853617037070301E-4</v>
      </c>
      <c r="M1024" s="22">
        <f t="shared" si="358"/>
        <v>1.1839643280334203E-4</v>
      </c>
      <c r="N1024" s="22">
        <f t="shared" si="358"/>
        <v>1.1825669523598106E-4</v>
      </c>
      <c r="O1024" s="22">
        <f t="shared" si="358"/>
        <v>1.1811695766862012E-4</v>
      </c>
      <c r="P1024" s="22">
        <f t="shared" si="358"/>
        <v>1.1797722010125916E-4</v>
      </c>
      <c r="Q1024" s="22">
        <f t="shared" si="358"/>
        <v>1.178374825338982E-4</v>
      </c>
      <c r="R1024" s="22">
        <f t="shared" si="358"/>
        <v>1.1769774496653728E-4</v>
      </c>
      <c r="S1024" s="22">
        <f t="shared" si="358"/>
        <v>1.1755800739917633E-4</v>
      </c>
      <c r="T1024" s="22">
        <f t="shared" si="358"/>
        <v>1.174182698318154E-4</v>
      </c>
      <c r="U1024" s="22">
        <f t="shared" si="358"/>
        <v>1.1727853226445441E-4</v>
      </c>
      <c r="V1024" s="22">
        <f t="shared" si="358"/>
        <v>1.1713879469709348E-4</v>
      </c>
      <c r="W1024" s="22">
        <f t="shared" si="358"/>
        <v>1.1699905712973254E-4</v>
      </c>
      <c r="X1024" s="22">
        <f t="shared" si="358"/>
        <v>1.168593195623716E-4</v>
      </c>
      <c r="Y1024" s="22">
        <f t="shared" si="358"/>
        <v>1.1671958199501069E-4</v>
      </c>
      <c r="Z1024" s="22">
        <f t="shared" si="358"/>
        <v>1.1657984442764968E-4</v>
      </c>
      <c r="AA1024" s="22">
        <f t="shared" si="358"/>
        <v>1.1644010686028878E-4</v>
      </c>
      <c r="AB1024" s="22">
        <f t="shared" si="358"/>
        <v>1.1630036929292779E-4</v>
      </c>
      <c r="AC1024" s="22">
        <f t="shared" si="358"/>
        <v>1.1616063172556689E-4</v>
      </c>
      <c r="AD1024" s="22">
        <f t="shared" si="358"/>
        <v>1.1602089415820588E-4</v>
      </c>
      <c r="AE1024" s="22">
        <f t="shared" si="358"/>
        <v>1.1588115659084502E-4</v>
      </c>
      <c r="AF1024" s="22">
        <f t="shared" si="358"/>
        <v>1.1574141902348403E-4</v>
      </c>
      <c r="AG1024" s="22">
        <f t="shared" si="358"/>
        <v>1.1560168145612309E-4</v>
      </c>
      <c r="AH1024" s="22">
        <f t="shared" si="358"/>
        <v>1.154619438887621E-4</v>
      </c>
      <c r="AI1024" s="22">
        <f t="shared" si="358"/>
        <v>1.1532220632140118E-4</v>
      </c>
      <c r="AJ1024" s="22">
        <f t="shared" si="358"/>
        <v>1.1518246875404022E-4</v>
      </c>
      <c r="AK1024" s="22">
        <f t="shared" si="358"/>
        <v>1.1504273118667928E-4</v>
      </c>
      <c r="AL1024" s="22">
        <f t="shared" si="358"/>
        <v>1.1490299361931835E-4</v>
      </c>
      <c r="AM1024" s="22">
        <f t="shared" si="358"/>
        <v>1.1476325605195744E-4</v>
      </c>
      <c r="AN1024" s="22">
        <f t="shared" si="358"/>
        <v>1.1462351848459642E-4</v>
      </c>
      <c r="AO1024" s="22">
        <f t="shared" si="358"/>
        <v>1.1448378091723552E-4</v>
      </c>
      <c r="AP1024" s="22">
        <f t="shared" si="358"/>
        <v>1.1434404334987458E-4</v>
      </c>
      <c r="AQ1024" s="22">
        <f t="shared" si="358"/>
        <v>1.1420430578251366E-4</v>
      </c>
      <c r="AR1024" s="22">
        <f t="shared" si="358"/>
        <v>1.1406456821515268E-4</v>
      </c>
      <c r="AS1024" s="22">
        <f t="shared" si="358"/>
        <v>1.1392483064779174E-4</v>
      </c>
      <c r="AT1024" s="22">
        <f t="shared" si="358"/>
        <v>1.1378509308043078E-4</v>
      </c>
      <c r="AU1024" s="22">
        <f t="shared" si="358"/>
        <v>1.136453555130698E-4</v>
      </c>
      <c r="AV1024" s="22">
        <f t="shared" si="358"/>
        <v>1.1350561794570888E-4</v>
      </c>
      <c r="AW1024" s="22">
        <f t="shared" si="358"/>
        <v>1.1336588037834792E-4</v>
      </c>
      <c r="AY1024" s="85"/>
      <c r="AZ1024" s="85"/>
    </row>
    <row r="1025" spans="1:52" x14ac:dyDescent="0.25">
      <c r="A1025" s="102" t="str">
        <f t="shared" si="345"/>
        <v>DS Leaching</v>
      </c>
      <c r="B1025" s="102" t="s">
        <v>975</v>
      </c>
      <c r="C1025" s="102" t="s">
        <v>1191</v>
      </c>
      <c r="D1025" t="s">
        <v>369</v>
      </c>
      <c r="E1025" t="s">
        <v>61</v>
      </c>
      <c r="F1025" t="s">
        <v>63</v>
      </c>
      <c r="G1025" t="s">
        <v>1200</v>
      </c>
      <c r="H1025" t="s">
        <v>1201</v>
      </c>
      <c r="I1025" t="s">
        <v>139</v>
      </c>
      <c r="J1025" t="s">
        <v>287</v>
      </c>
      <c r="K1025" s="22">
        <f t="shared" si="357"/>
        <v>1.6912231388729011E-2</v>
      </c>
      <c r="L1025" s="22">
        <f t="shared" si="358"/>
        <v>1.6951420148247919E-2</v>
      </c>
      <c r="M1025" s="22">
        <f t="shared" si="358"/>
        <v>1.6990608907766828E-2</v>
      </c>
      <c r="N1025" s="22">
        <f t="shared" si="358"/>
        <v>1.702979766728574E-2</v>
      </c>
      <c r="O1025" s="22">
        <f t="shared" si="358"/>
        <v>1.7068986426804648E-2</v>
      </c>
      <c r="P1025" s="22">
        <f t="shared" si="358"/>
        <v>1.7108175186323554E-2</v>
      </c>
      <c r="Q1025" s="22">
        <f t="shared" si="358"/>
        <v>1.7147363945842466E-2</v>
      </c>
      <c r="R1025" s="22">
        <f t="shared" si="358"/>
        <v>1.7186552705361371E-2</v>
      </c>
      <c r="S1025" s="22">
        <f t="shared" si="358"/>
        <v>1.7225741464880276E-2</v>
      </c>
      <c r="T1025" s="22">
        <f t="shared" si="358"/>
        <v>1.7264930224399191E-2</v>
      </c>
      <c r="U1025" s="22">
        <f t="shared" si="358"/>
        <v>1.7304118983918097E-2</v>
      </c>
      <c r="V1025" s="22">
        <f t="shared" si="358"/>
        <v>1.7343307743437009E-2</v>
      </c>
      <c r="W1025" s="22">
        <f t="shared" si="358"/>
        <v>1.7382496502955917E-2</v>
      </c>
      <c r="X1025" s="22">
        <f t="shared" si="358"/>
        <v>1.7421685262474829E-2</v>
      </c>
      <c r="Y1025" s="22">
        <f t="shared" si="358"/>
        <v>1.7460874021993734E-2</v>
      </c>
      <c r="Z1025" s="22">
        <f t="shared" si="358"/>
        <v>1.750006278151265E-2</v>
      </c>
      <c r="AA1025" s="22">
        <f t="shared" si="358"/>
        <v>1.7539251541031548E-2</v>
      </c>
      <c r="AB1025" s="22">
        <f t="shared" si="358"/>
        <v>1.7578440300550464E-2</v>
      </c>
      <c r="AC1025" s="22">
        <f t="shared" si="358"/>
        <v>1.7617629060069376E-2</v>
      </c>
      <c r="AD1025" s="22">
        <f t="shared" si="358"/>
        <v>1.7656817819588281E-2</v>
      </c>
      <c r="AE1025" s="22">
        <f t="shared" si="358"/>
        <v>1.769600657910719E-2</v>
      </c>
      <c r="AF1025" s="22">
        <f t="shared" si="358"/>
        <v>1.7735195338626102E-2</v>
      </c>
      <c r="AG1025" s="22">
        <f t="shared" si="358"/>
        <v>1.777438409814501E-2</v>
      </c>
      <c r="AH1025" s="22">
        <f t="shared" si="358"/>
        <v>1.7813572857663919E-2</v>
      </c>
      <c r="AI1025" s="22">
        <f t="shared" si="358"/>
        <v>1.7852761617182831E-2</v>
      </c>
      <c r="AJ1025" s="22">
        <f t="shared" si="358"/>
        <v>1.7891950376701736E-2</v>
      </c>
      <c r="AK1025" s="22">
        <f t="shared" si="358"/>
        <v>1.7931139136220645E-2</v>
      </c>
      <c r="AL1025" s="22">
        <f t="shared" si="358"/>
        <v>1.7970327895739557E-2</v>
      </c>
      <c r="AM1025" s="22">
        <f t="shared" si="358"/>
        <v>1.8009516655258465E-2</v>
      </c>
      <c r="AN1025" s="22">
        <f t="shared" si="358"/>
        <v>1.8048705414777374E-2</v>
      </c>
      <c r="AO1025" s="22">
        <f t="shared" si="358"/>
        <v>1.8087894174296286E-2</v>
      </c>
      <c r="AP1025" s="22">
        <f t="shared" si="358"/>
        <v>1.8127082933815188E-2</v>
      </c>
      <c r="AQ1025" s="22">
        <f t="shared" si="358"/>
        <v>1.8166271693334096E-2</v>
      </c>
      <c r="AR1025" s="22">
        <f t="shared" si="358"/>
        <v>1.8205460452853015E-2</v>
      </c>
      <c r="AS1025" s="22">
        <f t="shared" si="358"/>
        <v>1.8244649212371917E-2</v>
      </c>
      <c r="AT1025" s="22">
        <f t="shared" si="358"/>
        <v>1.8283837971890825E-2</v>
      </c>
      <c r="AU1025" s="22">
        <f t="shared" si="358"/>
        <v>1.8323026731409734E-2</v>
      </c>
      <c r="AV1025" s="22">
        <f t="shared" si="358"/>
        <v>1.8362215490928643E-2</v>
      </c>
      <c r="AW1025" s="22">
        <f t="shared" si="358"/>
        <v>1.8401404250447555E-2</v>
      </c>
      <c r="AY1025" s="85"/>
      <c r="AZ1025" s="85"/>
    </row>
    <row r="1026" spans="1:52" x14ac:dyDescent="0.25">
      <c r="A1026" s="102" t="str">
        <f t="shared" si="345"/>
        <v>DS Leaching</v>
      </c>
      <c r="B1026" s="102" t="s">
        <v>975</v>
      </c>
      <c r="C1026" s="102" t="s">
        <v>1191</v>
      </c>
      <c r="D1026" t="s">
        <v>369</v>
      </c>
      <c r="E1026" t="s">
        <v>61</v>
      </c>
      <c r="F1026" t="s">
        <v>63</v>
      </c>
      <c r="G1026" t="s">
        <v>1202</v>
      </c>
      <c r="H1026" t="s">
        <v>1203</v>
      </c>
      <c r="I1026" t="s">
        <v>139</v>
      </c>
      <c r="J1026" t="s">
        <v>287</v>
      </c>
      <c r="K1026" s="22">
        <f t="shared" si="357"/>
        <v>1.9871041213735664E-2</v>
      </c>
      <c r="L1026" s="22">
        <f t="shared" si="358"/>
        <v>1.9871041213735664E-2</v>
      </c>
      <c r="M1026" s="22">
        <f t="shared" si="358"/>
        <v>1.9871041213735664E-2</v>
      </c>
      <c r="N1026" s="22">
        <f t="shared" si="358"/>
        <v>1.9871041213735664E-2</v>
      </c>
      <c r="O1026" s="22">
        <f t="shared" si="358"/>
        <v>1.9871041213735664E-2</v>
      </c>
      <c r="P1026" s="22">
        <f t="shared" si="358"/>
        <v>1.9871041213735664E-2</v>
      </c>
      <c r="Q1026" s="22">
        <f t="shared" si="358"/>
        <v>1.9871041213735664E-2</v>
      </c>
      <c r="R1026" s="22">
        <f t="shared" si="358"/>
        <v>1.9871041213735664E-2</v>
      </c>
      <c r="S1026" s="22">
        <f t="shared" si="358"/>
        <v>1.9871041213735664E-2</v>
      </c>
      <c r="T1026" s="22">
        <f t="shared" si="358"/>
        <v>1.9871041213735664E-2</v>
      </c>
      <c r="U1026" s="22">
        <f t="shared" si="358"/>
        <v>1.9871041213735664E-2</v>
      </c>
      <c r="V1026" s="22">
        <f t="shared" si="358"/>
        <v>1.9871041213735664E-2</v>
      </c>
      <c r="W1026" s="22">
        <f t="shared" si="358"/>
        <v>1.9871041213735664E-2</v>
      </c>
      <c r="X1026" s="22">
        <f t="shared" si="358"/>
        <v>1.9871041213735664E-2</v>
      </c>
      <c r="Y1026" s="22">
        <f t="shared" si="358"/>
        <v>1.9871041213735664E-2</v>
      </c>
      <c r="Z1026" s="22">
        <f t="shared" si="358"/>
        <v>1.9871041213735664E-2</v>
      </c>
      <c r="AA1026" s="22">
        <f t="shared" si="358"/>
        <v>1.9871041213735664E-2</v>
      </c>
      <c r="AB1026" s="22">
        <f t="shared" si="358"/>
        <v>1.9871041213735664E-2</v>
      </c>
      <c r="AC1026" s="22">
        <f t="shared" si="358"/>
        <v>1.9871041213735664E-2</v>
      </c>
      <c r="AD1026" s="22">
        <f t="shared" si="358"/>
        <v>1.9871041213735664E-2</v>
      </c>
      <c r="AE1026" s="22">
        <f t="shared" si="358"/>
        <v>1.9871041213735664E-2</v>
      </c>
      <c r="AF1026" s="22">
        <f t="shared" si="358"/>
        <v>1.9871041213735664E-2</v>
      </c>
      <c r="AG1026" s="22">
        <f t="shared" si="358"/>
        <v>1.9871041213735664E-2</v>
      </c>
      <c r="AH1026" s="22">
        <f t="shared" si="358"/>
        <v>1.9871041213735664E-2</v>
      </c>
      <c r="AI1026" s="22">
        <f t="shared" si="358"/>
        <v>1.9871041213735664E-2</v>
      </c>
      <c r="AJ1026" s="22">
        <f t="shared" si="358"/>
        <v>1.9871041213735664E-2</v>
      </c>
      <c r="AK1026" s="22">
        <f t="shared" si="358"/>
        <v>1.9871041213735664E-2</v>
      </c>
      <c r="AL1026" s="22">
        <f t="shared" si="358"/>
        <v>1.9871041213735664E-2</v>
      </c>
      <c r="AM1026" s="22">
        <f t="shared" si="358"/>
        <v>1.9871041213735664E-2</v>
      </c>
      <c r="AN1026" s="22">
        <f t="shared" si="358"/>
        <v>1.9871041213735664E-2</v>
      </c>
      <c r="AO1026" s="22">
        <f t="shared" si="358"/>
        <v>1.9871041213735664E-2</v>
      </c>
      <c r="AP1026" s="22">
        <f t="shared" si="358"/>
        <v>1.9871041213735664E-2</v>
      </c>
      <c r="AQ1026" s="22">
        <f t="shared" si="358"/>
        <v>1.9871041213735664E-2</v>
      </c>
      <c r="AR1026" s="22">
        <f t="shared" si="358"/>
        <v>1.9871041213735664E-2</v>
      </c>
      <c r="AS1026" s="22">
        <f t="shared" si="358"/>
        <v>1.9871041213735664E-2</v>
      </c>
      <c r="AT1026" s="22">
        <f t="shared" si="358"/>
        <v>1.9871041213735664E-2</v>
      </c>
      <c r="AU1026" s="22">
        <f t="shared" si="358"/>
        <v>1.9871041213735664E-2</v>
      </c>
      <c r="AV1026" s="22">
        <f t="shared" si="358"/>
        <v>1.9871041213735664E-2</v>
      </c>
      <c r="AW1026" s="22">
        <f t="shared" si="358"/>
        <v>1.9871041213735664E-2</v>
      </c>
      <c r="AY1026" s="85"/>
      <c r="AZ1026" s="85"/>
    </row>
    <row r="1027" spans="1:52" x14ac:dyDescent="0.25">
      <c r="A1027" s="102" t="str">
        <f t="shared" si="345"/>
        <v>DS Leaching</v>
      </c>
      <c r="B1027" s="102" t="s">
        <v>975</v>
      </c>
      <c r="C1027" s="102" t="s">
        <v>1191</v>
      </c>
      <c r="D1027" t="s">
        <v>369</v>
      </c>
      <c r="E1027" t="s">
        <v>61</v>
      </c>
      <c r="F1027" t="s">
        <v>63</v>
      </c>
      <c r="G1027" t="s">
        <v>1204</v>
      </c>
      <c r="H1027" t="s">
        <v>1205</v>
      </c>
      <c r="I1027" t="s">
        <v>139</v>
      </c>
      <c r="J1027" t="s">
        <v>287</v>
      </c>
      <c r="K1027" s="22" t="str">
        <f t="shared" si="357"/>
        <v>NO</v>
      </c>
      <c r="L1027" s="22" t="str">
        <f t="shared" si="358"/>
        <v>NO</v>
      </c>
      <c r="M1027" s="22" t="str">
        <f t="shared" si="358"/>
        <v>NO</v>
      </c>
      <c r="N1027" s="22" t="str">
        <f t="shared" si="358"/>
        <v>NO</v>
      </c>
      <c r="O1027" s="22" t="str">
        <f t="shared" si="358"/>
        <v>NO</v>
      </c>
      <c r="P1027" s="22" t="str">
        <f t="shared" si="358"/>
        <v>NO</v>
      </c>
      <c r="Q1027" s="22" t="str">
        <f t="shared" si="358"/>
        <v>NO</v>
      </c>
      <c r="R1027" s="22" t="str">
        <f t="shared" si="358"/>
        <v>NO</v>
      </c>
      <c r="S1027" s="22" t="str">
        <f t="shared" si="358"/>
        <v>NO</v>
      </c>
      <c r="T1027" s="22" t="str">
        <f t="shared" si="358"/>
        <v>NO</v>
      </c>
      <c r="U1027" s="22" t="str">
        <f t="shared" si="358"/>
        <v>NO</v>
      </c>
      <c r="V1027" s="22" t="str">
        <f t="shared" si="358"/>
        <v>NO</v>
      </c>
      <c r="W1027" s="22" t="str">
        <f t="shared" si="358"/>
        <v>NO</v>
      </c>
      <c r="X1027" s="22" t="str">
        <f t="shared" si="358"/>
        <v>NO</v>
      </c>
      <c r="Y1027" s="22" t="str">
        <f t="shared" si="358"/>
        <v>NO</v>
      </c>
      <c r="Z1027" s="22" t="str">
        <f t="shared" si="358"/>
        <v>NO</v>
      </c>
      <c r="AA1027" s="22" t="str">
        <f t="shared" si="358"/>
        <v>NO</v>
      </c>
      <c r="AB1027" s="22" t="str">
        <f t="shared" si="358"/>
        <v>NO</v>
      </c>
      <c r="AC1027" s="22" t="str">
        <f t="shared" si="358"/>
        <v>NO</v>
      </c>
      <c r="AD1027" s="22" t="str">
        <f t="shared" si="358"/>
        <v>NO</v>
      </c>
      <c r="AE1027" s="22" t="str">
        <f t="shared" si="358"/>
        <v>NO</v>
      </c>
      <c r="AF1027" s="22" t="str">
        <f t="shared" si="358"/>
        <v>NO</v>
      </c>
      <c r="AG1027" s="22" t="str">
        <f t="shared" si="358"/>
        <v>NO</v>
      </c>
      <c r="AH1027" s="22" t="str">
        <f t="shared" si="358"/>
        <v>NO</v>
      </c>
      <c r="AI1027" s="22" t="str">
        <f t="shared" si="358"/>
        <v>NO</v>
      </c>
      <c r="AJ1027" s="22" t="str">
        <f t="shared" si="358"/>
        <v>NO</v>
      </c>
      <c r="AK1027" s="22" t="str">
        <f t="shared" si="358"/>
        <v>NO</v>
      </c>
      <c r="AL1027" s="22" t="str">
        <f t="shared" si="358"/>
        <v>NO</v>
      </c>
      <c r="AM1027" s="22" t="str">
        <f t="shared" si="358"/>
        <v>NO</v>
      </c>
      <c r="AN1027" s="22" t="str">
        <f t="shared" si="358"/>
        <v>NO</v>
      </c>
      <c r="AO1027" s="22" t="str">
        <f t="shared" si="358"/>
        <v>NO</v>
      </c>
      <c r="AP1027" s="22" t="str">
        <f t="shared" si="358"/>
        <v>NO</v>
      </c>
      <c r="AQ1027" s="22" t="str">
        <f t="shared" si="358"/>
        <v>NO</v>
      </c>
      <c r="AR1027" s="22" t="str">
        <f t="shared" si="358"/>
        <v>NO</v>
      </c>
      <c r="AS1027" s="22" t="str">
        <f t="shared" si="358"/>
        <v>NO</v>
      </c>
      <c r="AT1027" s="22" t="str">
        <f t="shared" si="358"/>
        <v>NO</v>
      </c>
      <c r="AU1027" s="22" t="str">
        <f t="shared" si="358"/>
        <v>NO</v>
      </c>
      <c r="AV1027" s="22" t="str">
        <f t="shared" si="358"/>
        <v>NO</v>
      </c>
      <c r="AW1027" s="22" t="str">
        <f t="shared" si="358"/>
        <v>NO</v>
      </c>
      <c r="AY1027" s="85"/>
      <c r="AZ1027" s="85"/>
    </row>
    <row r="1028" spans="1:52" x14ac:dyDescent="0.25">
      <c r="A1028" s="102" t="str">
        <f t="shared" si="345"/>
        <v>DS Leaching</v>
      </c>
      <c r="B1028" s="102" t="s">
        <v>975</v>
      </c>
      <c r="C1028" s="102" t="s">
        <v>1191</v>
      </c>
      <c r="D1028" t="s">
        <v>369</v>
      </c>
      <c r="E1028" t="s">
        <v>61</v>
      </c>
      <c r="F1028" t="s">
        <v>63</v>
      </c>
      <c r="G1028" t="s">
        <v>1206</v>
      </c>
      <c r="H1028" t="s">
        <v>1207</v>
      </c>
      <c r="I1028" t="s">
        <v>139</v>
      </c>
      <c r="J1028" t="s">
        <v>287</v>
      </c>
      <c r="K1028" s="22" t="str">
        <f t="shared" si="357"/>
        <v>NO</v>
      </c>
      <c r="L1028" s="22" t="str">
        <f t="shared" si="358"/>
        <v>NO</v>
      </c>
      <c r="M1028" s="22" t="str">
        <f t="shared" si="358"/>
        <v>NO</v>
      </c>
      <c r="N1028" s="22" t="str">
        <f t="shared" si="358"/>
        <v>NO</v>
      </c>
      <c r="O1028" s="22" t="str">
        <f t="shared" si="358"/>
        <v>NO</v>
      </c>
      <c r="P1028" s="22" t="str">
        <f t="shared" si="358"/>
        <v>NO</v>
      </c>
      <c r="Q1028" s="22" t="str">
        <f t="shared" si="358"/>
        <v>NO</v>
      </c>
      <c r="R1028" s="22" t="str">
        <f t="shared" si="358"/>
        <v>NO</v>
      </c>
      <c r="S1028" s="22" t="str">
        <f t="shared" si="358"/>
        <v>NO</v>
      </c>
      <c r="T1028" s="22" t="str">
        <f t="shared" si="358"/>
        <v>NO</v>
      </c>
      <c r="U1028" s="22" t="str">
        <f t="shared" si="358"/>
        <v>NO</v>
      </c>
      <c r="V1028" s="22" t="str">
        <f t="shared" si="358"/>
        <v>NO</v>
      </c>
      <c r="W1028" s="22" t="str">
        <f t="shared" si="358"/>
        <v>NO</v>
      </c>
      <c r="X1028" s="22" t="str">
        <f t="shared" si="358"/>
        <v>NO</v>
      </c>
      <c r="Y1028" s="22" t="str">
        <f t="shared" si="358"/>
        <v>NO</v>
      </c>
      <c r="Z1028" s="22" t="str">
        <f t="shared" si="358"/>
        <v>NO</v>
      </c>
      <c r="AA1028" s="22" t="str">
        <f t="shared" si="358"/>
        <v>NO</v>
      </c>
      <c r="AB1028" s="22" t="str">
        <f t="shared" si="358"/>
        <v>NO</v>
      </c>
      <c r="AC1028" s="22" t="str">
        <f t="shared" si="358"/>
        <v>NO</v>
      </c>
      <c r="AD1028" s="22" t="str">
        <f t="shared" si="358"/>
        <v>NO</v>
      </c>
      <c r="AE1028" s="22" t="str">
        <f t="shared" si="358"/>
        <v>NO</v>
      </c>
      <c r="AF1028" s="22" t="str">
        <f t="shared" si="358"/>
        <v>NO</v>
      </c>
      <c r="AG1028" s="22" t="str">
        <f t="shared" si="358"/>
        <v>NO</v>
      </c>
      <c r="AH1028" s="22" t="str">
        <f t="shared" si="358"/>
        <v>NO</v>
      </c>
      <c r="AI1028" s="22" t="str">
        <f t="shared" si="358"/>
        <v>NO</v>
      </c>
      <c r="AJ1028" s="22" t="str">
        <f t="shared" si="358"/>
        <v>NO</v>
      </c>
      <c r="AK1028" s="22" t="str">
        <f t="shared" si="358"/>
        <v>NO</v>
      </c>
      <c r="AL1028" s="22" t="str">
        <f t="shared" si="358"/>
        <v>NO</v>
      </c>
      <c r="AM1028" s="22" t="str">
        <f t="shared" si="358"/>
        <v>NO</v>
      </c>
      <c r="AN1028" s="22" t="str">
        <f t="shared" si="358"/>
        <v>NO</v>
      </c>
      <c r="AO1028" s="22" t="str">
        <f t="shared" si="358"/>
        <v>NO</v>
      </c>
      <c r="AP1028" s="22" t="str">
        <f t="shared" si="358"/>
        <v>NO</v>
      </c>
      <c r="AQ1028" s="22" t="str">
        <f t="shared" si="358"/>
        <v>NO</v>
      </c>
      <c r="AR1028" s="22" t="str">
        <f t="shared" si="358"/>
        <v>NO</v>
      </c>
      <c r="AS1028" s="22" t="str">
        <f t="shared" si="358"/>
        <v>NO</v>
      </c>
      <c r="AT1028" s="22" t="str">
        <f t="shared" si="358"/>
        <v>NO</v>
      </c>
      <c r="AU1028" s="22" t="str">
        <f t="shared" si="358"/>
        <v>NO</v>
      </c>
      <c r="AV1028" s="22" t="str">
        <f t="shared" si="358"/>
        <v>NO</v>
      </c>
      <c r="AW1028" s="22" t="str">
        <f t="shared" si="358"/>
        <v>NO</v>
      </c>
      <c r="AY1028" s="85"/>
      <c r="AZ1028" s="85"/>
    </row>
    <row r="1029" spans="1:52" x14ac:dyDescent="0.25">
      <c r="A1029" s="102" t="str">
        <f t="shared" si="345"/>
        <v>DS Leaching</v>
      </c>
      <c r="B1029" s="102" t="s">
        <v>975</v>
      </c>
      <c r="C1029" s="102" t="s">
        <v>1191</v>
      </c>
      <c r="D1029" t="s">
        <v>369</v>
      </c>
      <c r="E1029" t="s">
        <v>61</v>
      </c>
      <c r="F1029" t="s">
        <v>63</v>
      </c>
      <c r="G1029" t="s">
        <v>1208</v>
      </c>
      <c r="H1029" t="s">
        <v>1209</v>
      </c>
      <c r="I1029" t="s">
        <v>139</v>
      </c>
      <c r="J1029" t="s">
        <v>287</v>
      </c>
      <c r="K1029" s="22" t="str">
        <f t="shared" si="357"/>
        <v>NO</v>
      </c>
      <c r="L1029" s="22" t="str">
        <f t="shared" si="358"/>
        <v>NO</v>
      </c>
      <c r="M1029" s="22" t="str">
        <f t="shared" si="358"/>
        <v>NO</v>
      </c>
      <c r="N1029" s="22" t="str">
        <f t="shared" si="358"/>
        <v>NO</v>
      </c>
      <c r="O1029" s="22" t="str">
        <f t="shared" si="358"/>
        <v>NO</v>
      </c>
      <c r="P1029" s="22" t="str">
        <f t="shared" ref="L1029:AW1033" si="359">P1526</f>
        <v>NO</v>
      </c>
      <c r="Q1029" s="22" t="str">
        <f t="shared" si="359"/>
        <v>NO</v>
      </c>
      <c r="R1029" s="22" t="str">
        <f t="shared" si="359"/>
        <v>NO</v>
      </c>
      <c r="S1029" s="22" t="str">
        <f t="shared" si="359"/>
        <v>NO</v>
      </c>
      <c r="T1029" s="22" t="str">
        <f t="shared" si="359"/>
        <v>NO</v>
      </c>
      <c r="U1029" s="22" t="str">
        <f t="shared" si="359"/>
        <v>NO</v>
      </c>
      <c r="V1029" s="22" t="str">
        <f t="shared" si="359"/>
        <v>NO</v>
      </c>
      <c r="W1029" s="22" t="str">
        <f t="shared" si="359"/>
        <v>NO</v>
      </c>
      <c r="X1029" s="22" t="str">
        <f t="shared" si="359"/>
        <v>NO</v>
      </c>
      <c r="Y1029" s="22" t="str">
        <f t="shared" si="359"/>
        <v>NO</v>
      </c>
      <c r="Z1029" s="22" t="str">
        <f t="shared" si="359"/>
        <v>NO</v>
      </c>
      <c r="AA1029" s="22" t="str">
        <f t="shared" si="359"/>
        <v>NO</v>
      </c>
      <c r="AB1029" s="22" t="str">
        <f t="shared" si="359"/>
        <v>NO</v>
      </c>
      <c r="AC1029" s="22" t="str">
        <f t="shared" si="359"/>
        <v>NO</v>
      </c>
      <c r="AD1029" s="22" t="str">
        <f t="shared" si="359"/>
        <v>NO</v>
      </c>
      <c r="AE1029" s="22" t="str">
        <f t="shared" si="359"/>
        <v>NO</v>
      </c>
      <c r="AF1029" s="22" t="str">
        <f t="shared" si="359"/>
        <v>NO</v>
      </c>
      <c r="AG1029" s="22" t="str">
        <f t="shared" si="359"/>
        <v>NO</v>
      </c>
      <c r="AH1029" s="22" t="str">
        <f t="shared" si="359"/>
        <v>NO</v>
      </c>
      <c r="AI1029" s="22" t="str">
        <f t="shared" si="359"/>
        <v>NO</v>
      </c>
      <c r="AJ1029" s="22" t="str">
        <f t="shared" si="359"/>
        <v>NO</v>
      </c>
      <c r="AK1029" s="22" t="str">
        <f t="shared" si="359"/>
        <v>NO</v>
      </c>
      <c r="AL1029" s="22" t="str">
        <f t="shared" si="359"/>
        <v>NO</v>
      </c>
      <c r="AM1029" s="22" t="str">
        <f t="shared" si="359"/>
        <v>NO</v>
      </c>
      <c r="AN1029" s="22" t="str">
        <f t="shared" si="359"/>
        <v>NO</v>
      </c>
      <c r="AO1029" s="22" t="str">
        <f t="shared" si="359"/>
        <v>NO</v>
      </c>
      <c r="AP1029" s="22" t="str">
        <f t="shared" si="359"/>
        <v>NO</v>
      </c>
      <c r="AQ1029" s="22" t="str">
        <f t="shared" si="359"/>
        <v>NO</v>
      </c>
      <c r="AR1029" s="22" t="str">
        <f t="shared" si="359"/>
        <v>NO</v>
      </c>
      <c r="AS1029" s="22" t="str">
        <f t="shared" si="359"/>
        <v>NO</v>
      </c>
      <c r="AT1029" s="22" t="str">
        <f t="shared" si="359"/>
        <v>NO</v>
      </c>
      <c r="AU1029" s="22" t="str">
        <f t="shared" si="359"/>
        <v>NO</v>
      </c>
      <c r="AV1029" s="22" t="str">
        <f t="shared" si="359"/>
        <v>NO</v>
      </c>
      <c r="AW1029" s="22" t="str">
        <f t="shared" si="359"/>
        <v>NO</v>
      </c>
      <c r="AY1029" s="85"/>
      <c r="AZ1029" s="85"/>
    </row>
    <row r="1030" spans="1:52" x14ac:dyDescent="0.25">
      <c r="A1030" s="102" t="str">
        <f t="shared" si="345"/>
        <v>DS Leaching</v>
      </c>
      <c r="B1030" s="102" t="s">
        <v>975</v>
      </c>
      <c r="C1030" s="102" t="s">
        <v>1191</v>
      </c>
      <c r="D1030" t="s">
        <v>369</v>
      </c>
      <c r="E1030" t="s">
        <v>61</v>
      </c>
      <c r="F1030" t="s">
        <v>63</v>
      </c>
      <c r="G1030" t="s">
        <v>1210</v>
      </c>
      <c r="H1030" t="s">
        <v>1211</v>
      </c>
      <c r="I1030" t="s">
        <v>139</v>
      </c>
      <c r="J1030" t="s">
        <v>287</v>
      </c>
      <c r="K1030" s="22">
        <f t="shared" si="357"/>
        <v>1.9333864620707719E-6</v>
      </c>
      <c r="L1030" s="22">
        <f t="shared" si="359"/>
        <v>1.9333864620707719E-6</v>
      </c>
      <c r="M1030" s="22">
        <f t="shared" si="359"/>
        <v>1.9333864620707719E-6</v>
      </c>
      <c r="N1030" s="22">
        <f t="shared" si="359"/>
        <v>1.9333864620707719E-6</v>
      </c>
      <c r="O1030" s="22">
        <f t="shared" si="359"/>
        <v>1.9333864620707719E-6</v>
      </c>
      <c r="P1030" s="22">
        <f t="shared" si="359"/>
        <v>1.9333864620707719E-6</v>
      </c>
      <c r="Q1030" s="22">
        <f t="shared" si="359"/>
        <v>1.9333864620707719E-6</v>
      </c>
      <c r="R1030" s="22">
        <f t="shared" si="359"/>
        <v>1.9333864620707719E-6</v>
      </c>
      <c r="S1030" s="22">
        <f t="shared" si="359"/>
        <v>1.9333864620707719E-6</v>
      </c>
      <c r="T1030" s="22">
        <f t="shared" si="359"/>
        <v>1.9333864620707719E-6</v>
      </c>
      <c r="U1030" s="22">
        <f t="shared" si="359"/>
        <v>1.9333864620707719E-6</v>
      </c>
      <c r="V1030" s="22">
        <f t="shared" si="359"/>
        <v>1.9333864620707719E-6</v>
      </c>
      <c r="W1030" s="22">
        <f t="shared" si="359"/>
        <v>1.9333864620707719E-6</v>
      </c>
      <c r="X1030" s="22">
        <f t="shared" si="359"/>
        <v>1.9333864620707719E-6</v>
      </c>
      <c r="Y1030" s="22">
        <f t="shared" si="359"/>
        <v>1.9333864620707719E-6</v>
      </c>
      <c r="Z1030" s="22">
        <f t="shared" si="359"/>
        <v>1.9333864620707719E-6</v>
      </c>
      <c r="AA1030" s="22">
        <f t="shared" si="359"/>
        <v>1.9333864620707719E-6</v>
      </c>
      <c r="AB1030" s="22">
        <f t="shared" si="359"/>
        <v>1.9333864620707719E-6</v>
      </c>
      <c r="AC1030" s="22">
        <f t="shared" si="359"/>
        <v>1.9333864620707719E-6</v>
      </c>
      <c r="AD1030" s="22">
        <f t="shared" si="359"/>
        <v>1.9333864620707719E-6</v>
      </c>
      <c r="AE1030" s="22">
        <f t="shared" si="359"/>
        <v>1.9333864620707719E-6</v>
      </c>
      <c r="AF1030" s="22">
        <f t="shared" si="359"/>
        <v>1.9333864620707719E-6</v>
      </c>
      <c r="AG1030" s="22">
        <f t="shared" si="359"/>
        <v>1.9333864620707719E-6</v>
      </c>
      <c r="AH1030" s="22">
        <f t="shared" si="359"/>
        <v>1.9333864620707719E-6</v>
      </c>
      <c r="AI1030" s="22">
        <f t="shared" si="359"/>
        <v>1.9333864620707719E-6</v>
      </c>
      <c r="AJ1030" s="22">
        <f t="shared" si="359"/>
        <v>1.9333864620707719E-6</v>
      </c>
      <c r="AK1030" s="22">
        <f t="shared" si="359"/>
        <v>1.9333864620707719E-6</v>
      </c>
      <c r="AL1030" s="22">
        <f t="shared" si="359"/>
        <v>1.9333864620707719E-6</v>
      </c>
      <c r="AM1030" s="22">
        <f t="shared" si="359"/>
        <v>1.9333864620707719E-6</v>
      </c>
      <c r="AN1030" s="22">
        <f t="shared" si="359"/>
        <v>1.9333864620707719E-6</v>
      </c>
      <c r="AO1030" s="22">
        <f t="shared" si="359"/>
        <v>1.9333864620707719E-6</v>
      </c>
      <c r="AP1030" s="22">
        <f t="shared" si="359"/>
        <v>1.9333864620707719E-6</v>
      </c>
      <c r="AQ1030" s="22">
        <f t="shared" si="359"/>
        <v>1.9333864620707719E-6</v>
      </c>
      <c r="AR1030" s="22">
        <f t="shared" si="359"/>
        <v>1.9333864620707719E-6</v>
      </c>
      <c r="AS1030" s="22">
        <f t="shared" si="359"/>
        <v>1.9333864620707719E-6</v>
      </c>
      <c r="AT1030" s="22">
        <f t="shared" si="359"/>
        <v>1.9333864620707719E-6</v>
      </c>
      <c r="AU1030" s="22">
        <f t="shared" si="359"/>
        <v>1.9333864620707719E-6</v>
      </c>
      <c r="AV1030" s="22">
        <f t="shared" si="359"/>
        <v>1.9333864620707719E-6</v>
      </c>
      <c r="AW1030" s="22">
        <f t="shared" si="359"/>
        <v>1.9333864620707719E-6</v>
      </c>
      <c r="AY1030" s="85"/>
      <c r="AZ1030" s="85"/>
    </row>
    <row r="1031" spans="1:52" x14ac:dyDescent="0.25">
      <c r="A1031" s="102" t="str">
        <f t="shared" si="345"/>
        <v>DS Leaching</v>
      </c>
      <c r="B1031" s="102" t="s">
        <v>975</v>
      </c>
      <c r="C1031" s="102" t="s">
        <v>1191</v>
      </c>
      <c r="D1031" t="s">
        <v>369</v>
      </c>
      <c r="E1031" t="s">
        <v>61</v>
      </c>
      <c r="F1031" t="s">
        <v>63</v>
      </c>
      <c r="G1031" t="s">
        <v>1212</v>
      </c>
      <c r="H1031" t="s">
        <v>1213</v>
      </c>
      <c r="I1031" t="s">
        <v>139</v>
      </c>
      <c r="J1031" t="s">
        <v>287</v>
      </c>
      <c r="K1031" s="22">
        <f t="shared" si="357"/>
        <v>2.1082459751876198E-3</v>
      </c>
      <c r="L1031" s="22">
        <f t="shared" si="359"/>
        <v>2.1082459751876198E-3</v>
      </c>
      <c r="M1031" s="22">
        <f t="shared" si="359"/>
        <v>2.1082459751876198E-3</v>
      </c>
      <c r="N1031" s="22">
        <f t="shared" si="359"/>
        <v>2.1082459751876198E-3</v>
      </c>
      <c r="O1031" s="22">
        <f t="shared" si="359"/>
        <v>2.1082459751876198E-3</v>
      </c>
      <c r="P1031" s="22">
        <f t="shared" si="359"/>
        <v>2.1082459751876198E-3</v>
      </c>
      <c r="Q1031" s="22">
        <f t="shared" si="359"/>
        <v>2.1082459751876198E-3</v>
      </c>
      <c r="R1031" s="22">
        <f t="shared" si="359"/>
        <v>2.1082459751876198E-3</v>
      </c>
      <c r="S1031" s="22">
        <f t="shared" si="359"/>
        <v>2.1082459751876198E-3</v>
      </c>
      <c r="T1031" s="22">
        <f t="shared" si="359"/>
        <v>2.1082459751876198E-3</v>
      </c>
      <c r="U1031" s="22">
        <f t="shared" si="359"/>
        <v>2.1082459751876198E-3</v>
      </c>
      <c r="V1031" s="22">
        <f t="shared" si="359"/>
        <v>2.1082459751876198E-3</v>
      </c>
      <c r="W1031" s="22">
        <f t="shared" si="359"/>
        <v>2.1082459751876198E-3</v>
      </c>
      <c r="X1031" s="22">
        <f t="shared" si="359"/>
        <v>2.1082459751876198E-3</v>
      </c>
      <c r="Y1031" s="22">
        <f t="shared" si="359"/>
        <v>2.1082459751876198E-3</v>
      </c>
      <c r="Z1031" s="22">
        <f t="shared" si="359"/>
        <v>2.1082459751876198E-3</v>
      </c>
      <c r="AA1031" s="22">
        <f t="shared" si="359"/>
        <v>2.1082459751876198E-3</v>
      </c>
      <c r="AB1031" s="22">
        <f t="shared" si="359"/>
        <v>2.1082459751876198E-3</v>
      </c>
      <c r="AC1031" s="22">
        <f t="shared" si="359"/>
        <v>2.1082459751876198E-3</v>
      </c>
      <c r="AD1031" s="22">
        <f t="shared" si="359"/>
        <v>2.1082459751876198E-3</v>
      </c>
      <c r="AE1031" s="22">
        <f t="shared" si="359"/>
        <v>2.1082459751876198E-3</v>
      </c>
      <c r="AF1031" s="22">
        <f t="shared" si="359"/>
        <v>2.1082459751876198E-3</v>
      </c>
      <c r="AG1031" s="22">
        <f t="shared" si="359"/>
        <v>2.1082459751876198E-3</v>
      </c>
      <c r="AH1031" s="22">
        <f t="shared" si="359"/>
        <v>2.1082459751876198E-3</v>
      </c>
      <c r="AI1031" s="22">
        <f t="shared" si="359"/>
        <v>2.1082459751876198E-3</v>
      </c>
      <c r="AJ1031" s="22">
        <f t="shared" si="359"/>
        <v>2.1082459751876198E-3</v>
      </c>
      <c r="AK1031" s="22">
        <f t="shared" si="359"/>
        <v>2.1082459751876198E-3</v>
      </c>
      <c r="AL1031" s="22">
        <f t="shared" si="359"/>
        <v>2.1082459751876198E-3</v>
      </c>
      <c r="AM1031" s="22">
        <f t="shared" si="359"/>
        <v>2.1082459751876198E-3</v>
      </c>
      <c r="AN1031" s="22">
        <f t="shared" si="359"/>
        <v>2.1082459751876198E-3</v>
      </c>
      <c r="AO1031" s="22">
        <f t="shared" si="359"/>
        <v>2.1082459751876198E-3</v>
      </c>
      <c r="AP1031" s="22">
        <f t="shared" si="359"/>
        <v>2.1082459751876198E-3</v>
      </c>
      <c r="AQ1031" s="22">
        <f t="shared" si="359"/>
        <v>2.1082459751876198E-3</v>
      </c>
      <c r="AR1031" s="22">
        <f t="shared" si="359"/>
        <v>2.1082459751876198E-3</v>
      </c>
      <c r="AS1031" s="22">
        <f t="shared" si="359"/>
        <v>2.1082459751876198E-3</v>
      </c>
      <c r="AT1031" s="22">
        <f t="shared" si="359"/>
        <v>2.1082459751876198E-3</v>
      </c>
      <c r="AU1031" s="22">
        <f t="shared" si="359"/>
        <v>2.1082459751876198E-3</v>
      </c>
      <c r="AV1031" s="22">
        <f t="shared" si="359"/>
        <v>2.1082459751876198E-3</v>
      </c>
      <c r="AW1031" s="22">
        <f t="shared" si="359"/>
        <v>2.1082459751876198E-3</v>
      </c>
      <c r="AY1031" s="85"/>
      <c r="AZ1031" s="85"/>
    </row>
    <row r="1032" spans="1:52" x14ac:dyDescent="0.25">
      <c r="A1032" s="102" t="str">
        <f t="shared" si="345"/>
        <v>DS Leaching</v>
      </c>
      <c r="B1032" s="102" t="s">
        <v>975</v>
      </c>
      <c r="C1032" s="102" t="s">
        <v>1191</v>
      </c>
      <c r="D1032" t="s">
        <v>369</v>
      </c>
      <c r="E1032" t="s">
        <v>61</v>
      </c>
      <c r="F1032" t="s">
        <v>63</v>
      </c>
      <c r="G1032" t="s">
        <v>1214</v>
      </c>
      <c r="H1032" t="s">
        <v>1215</v>
      </c>
      <c r="I1032" t="s">
        <v>139</v>
      </c>
      <c r="J1032" t="s">
        <v>287</v>
      </c>
      <c r="K1032" s="22" t="str">
        <f t="shared" si="357"/>
        <v>NO</v>
      </c>
      <c r="L1032" s="22" t="str">
        <f t="shared" si="359"/>
        <v>NO</v>
      </c>
      <c r="M1032" s="22" t="str">
        <f t="shared" si="359"/>
        <v>NO</v>
      </c>
      <c r="N1032" s="22" t="str">
        <f t="shared" si="359"/>
        <v>NO</v>
      </c>
      <c r="O1032" s="22" t="str">
        <f t="shared" si="359"/>
        <v>NO</v>
      </c>
      <c r="P1032" s="22" t="str">
        <f t="shared" si="359"/>
        <v>NO</v>
      </c>
      <c r="Q1032" s="22" t="str">
        <f t="shared" si="359"/>
        <v>NO</v>
      </c>
      <c r="R1032" s="22" t="str">
        <f t="shared" si="359"/>
        <v>NO</v>
      </c>
      <c r="S1032" s="22" t="str">
        <f t="shared" si="359"/>
        <v>NO</v>
      </c>
      <c r="T1032" s="22" t="str">
        <f t="shared" si="359"/>
        <v>NO</v>
      </c>
      <c r="U1032" s="22" t="str">
        <f t="shared" si="359"/>
        <v>NO</v>
      </c>
      <c r="V1032" s="22" t="str">
        <f t="shared" si="359"/>
        <v>NO</v>
      </c>
      <c r="W1032" s="22" t="str">
        <f t="shared" si="359"/>
        <v>NO</v>
      </c>
      <c r="X1032" s="22" t="str">
        <f t="shared" si="359"/>
        <v>NO</v>
      </c>
      <c r="Y1032" s="22" t="str">
        <f t="shared" si="359"/>
        <v>NO</v>
      </c>
      <c r="Z1032" s="22" t="str">
        <f t="shared" si="359"/>
        <v>NO</v>
      </c>
      <c r="AA1032" s="22" t="str">
        <f t="shared" si="359"/>
        <v>NO</v>
      </c>
      <c r="AB1032" s="22" t="str">
        <f t="shared" si="359"/>
        <v>NO</v>
      </c>
      <c r="AC1032" s="22" t="str">
        <f t="shared" si="359"/>
        <v>NO</v>
      </c>
      <c r="AD1032" s="22" t="str">
        <f t="shared" si="359"/>
        <v>NO</v>
      </c>
      <c r="AE1032" s="22" t="str">
        <f t="shared" si="359"/>
        <v>NO</v>
      </c>
      <c r="AF1032" s="22" t="str">
        <f t="shared" si="359"/>
        <v>NO</v>
      </c>
      <c r="AG1032" s="22" t="str">
        <f t="shared" si="359"/>
        <v>NO</v>
      </c>
      <c r="AH1032" s="22" t="str">
        <f t="shared" si="359"/>
        <v>NO</v>
      </c>
      <c r="AI1032" s="22" t="str">
        <f t="shared" si="359"/>
        <v>NO</v>
      </c>
      <c r="AJ1032" s="22" t="str">
        <f t="shared" si="359"/>
        <v>NO</v>
      </c>
      <c r="AK1032" s="22" t="str">
        <f t="shared" si="359"/>
        <v>NO</v>
      </c>
      <c r="AL1032" s="22" t="str">
        <f t="shared" si="359"/>
        <v>NO</v>
      </c>
      <c r="AM1032" s="22" t="str">
        <f t="shared" si="359"/>
        <v>NO</v>
      </c>
      <c r="AN1032" s="22" t="str">
        <f t="shared" si="359"/>
        <v>NO</v>
      </c>
      <c r="AO1032" s="22" t="str">
        <f t="shared" si="359"/>
        <v>NO</v>
      </c>
      <c r="AP1032" s="22" t="str">
        <f t="shared" si="359"/>
        <v>NO</v>
      </c>
      <c r="AQ1032" s="22" t="str">
        <f t="shared" si="359"/>
        <v>NO</v>
      </c>
      <c r="AR1032" s="22" t="str">
        <f t="shared" si="359"/>
        <v>NO</v>
      </c>
      <c r="AS1032" s="22" t="str">
        <f t="shared" si="359"/>
        <v>NO</v>
      </c>
      <c r="AT1032" s="22" t="str">
        <f t="shared" si="359"/>
        <v>NO</v>
      </c>
      <c r="AU1032" s="22" t="str">
        <f t="shared" si="359"/>
        <v>NO</v>
      </c>
      <c r="AV1032" s="22" t="str">
        <f t="shared" si="359"/>
        <v>NO</v>
      </c>
      <c r="AW1032" s="22" t="str">
        <f t="shared" si="359"/>
        <v>NO</v>
      </c>
      <c r="AY1032" s="85"/>
      <c r="AZ1032" s="85"/>
    </row>
    <row r="1033" spans="1:52" x14ac:dyDescent="0.25">
      <c r="A1033" s="102" t="str">
        <f t="shared" si="345"/>
        <v xml:space="preserve">DS </v>
      </c>
      <c r="B1033" s="102" t="s">
        <v>975</v>
      </c>
      <c r="C1033" s="102"/>
      <c r="D1033" t="s">
        <v>369</v>
      </c>
      <c r="E1033" t="s">
        <v>61</v>
      </c>
      <c r="F1033" t="s">
        <v>63</v>
      </c>
      <c r="G1033" t="s">
        <v>1216</v>
      </c>
      <c r="H1033" t="s">
        <v>1217</v>
      </c>
      <c r="I1033" t="s">
        <v>139</v>
      </c>
      <c r="J1033" t="s">
        <v>287</v>
      </c>
      <c r="K1033" s="22">
        <f t="shared" si="357"/>
        <v>0.11026792439175388</v>
      </c>
      <c r="L1033" s="22">
        <f t="shared" si="359"/>
        <v>0.11026792439175388</v>
      </c>
      <c r="M1033" s="22">
        <f t="shared" si="359"/>
        <v>0.11026792439175388</v>
      </c>
      <c r="N1033" s="22">
        <f t="shared" si="359"/>
        <v>0.11026792439175388</v>
      </c>
      <c r="O1033" s="22">
        <f t="shared" si="359"/>
        <v>0.11026792439175388</v>
      </c>
      <c r="P1033" s="22">
        <f t="shared" si="359"/>
        <v>0.11026792439175388</v>
      </c>
      <c r="Q1033" s="22">
        <f t="shared" si="359"/>
        <v>0.11026792439175388</v>
      </c>
      <c r="R1033" s="22">
        <f t="shared" si="359"/>
        <v>0.11026792439175388</v>
      </c>
      <c r="S1033" s="22">
        <f t="shared" si="359"/>
        <v>0.11026792439175388</v>
      </c>
      <c r="T1033" s="22">
        <f t="shared" si="359"/>
        <v>0.11026792439175388</v>
      </c>
      <c r="U1033" s="22">
        <f t="shared" si="359"/>
        <v>0.11026792439175388</v>
      </c>
      <c r="V1033" s="22">
        <f t="shared" si="359"/>
        <v>0.11026792439175388</v>
      </c>
      <c r="W1033" s="22">
        <f t="shared" si="359"/>
        <v>0.11026792439175388</v>
      </c>
      <c r="X1033" s="22">
        <f t="shared" si="359"/>
        <v>0.11026792439175388</v>
      </c>
      <c r="Y1033" s="22">
        <f t="shared" si="359"/>
        <v>0.11026792439175388</v>
      </c>
      <c r="Z1033" s="22">
        <f t="shared" si="359"/>
        <v>0.11026792439175388</v>
      </c>
      <c r="AA1033" s="22">
        <f t="shared" si="359"/>
        <v>0.11026792439175388</v>
      </c>
      <c r="AB1033" s="22">
        <f t="shared" si="359"/>
        <v>0.11026792439175388</v>
      </c>
      <c r="AC1033" s="22">
        <f t="shared" si="359"/>
        <v>0.11026792439175388</v>
      </c>
      <c r="AD1033" s="22">
        <f t="shared" si="359"/>
        <v>0.11026792439175388</v>
      </c>
      <c r="AE1033" s="22">
        <f t="shared" si="359"/>
        <v>0.11026792439175388</v>
      </c>
      <c r="AF1033" s="22">
        <f t="shared" si="359"/>
        <v>0.11026792439175388</v>
      </c>
      <c r="AG1033" s="22">
        <f t="shared" si="359"/>
        <v>0.11026792439175388</v>
      </c>
      <c r="AH1033" s="22">
        <f t="shared" si="359"/>
        <v>0.11026792439175388</v>
      </c>
      <c r="AI1033" s="22">
        <f t="shared" si="359"/>
        <v>0.11026792439175388</v>
      </c>
      <c r="AJ1033" s="22">
        <f t="shared" si="359"/>
        <v>0.11026792439175388</v>
      </c>
      <c r="AK1033" s="22">
        <f t="shared" si="359"/>
        <v>0.11026792439175388</v>
      </c>
      <c r="AL1033" s="22">
        <f t="shared" si="359"/>
        <v>0.11026792439175388</v>
      </c>
      <c r="AM1033" s="22">
        <f t="shared" si="359"/>
        <v>0.11026792439175388</v>
      </c>
      <c r="AN1033" s="22">
        <f t="shared" si="359"/>
        <v>0.11026792439175388</v>
      </c>
      <c r="AO1033" s="22">
        <f t="shared" si="359"/>
        <v>0.11026792439175388</v>
      </c>
      <c r="AP1033" s="22">
        <f t="shared" si="359"/>
        <v>0.11026792439175388</v>
      </c>
      <c r="AQ1033" s="22">
        <f t="shared" si="359"/>
        <v>0.11026792439175388</v>
      </c>
      <c r="AR1033" s="22">
        <f t="shared" si="359"/>
        <v>0.11026792439175388</v>
      </c>
      <c r="AS1033" s="22">
        <f t="shared" si="359"/>
        <v>0.11026792439175388</v>
      </c>
      <c r="AT1033" s="22">
        <f t="shared" si="359"/>
        <v>0.11026792439175388</v>
      </c>
      <c r="AU1033" s="22">
        <f t="shared" si="359"/>
        <v>0.11026792439175388</v>
      </c>
      <c r="AV1033" s="22">
        <f t="shared" si="359"/>
        <v>0.11026792439175388</v>
      </c>
      <c r="AW1033" s="22">
        <f t="shared" si="359"/>
        <v>0.11026792439175388</v>
      </c>
      <c r="AY1033" s="85"/>
      <c r="AZ1033" s="85"/>
    </row>
    <row r="1034" spans="1:52" x14ac:dyDescent="0.25">
      <c r="A1034" s="102" t="str">
        <f t="shared" si="345"/>
        <v>DS MM Volatilisation</v>
      </c>
      <c r="B1034" s="102" t="s">
        <v>975</v>
      </c>
      <c r="C1034" s="102" t="s">
        <v>1333</v>
      </c>
      <c r="D1034" t="s">
        <v>369</v>
      </c>
      <c r="E1034" t="s">
        <v>64</v>
      </c>
      <c r="F1034" t="s">
        <v>62</v>
      </c>
      <c r="G1034" t="s">
        <v>1153</v>
      </c>
      <c r="H1034" t="s">
        <v>1291</v>
      </c>
      <c r="I1034" t="s">
        <v>139</v>
      </c>
      <c r="J1034" t="s">
        <v>287</v>
      </c>
      <c r="K1034" s="22">
        <f t="shared" ref="K1034:AW1034" si="360">K1531</f>
        <v>0.39681521114916435</v>
      </c>
      <c r="L1034" s="22">
        <f t="shared" si="360"/>
        <v>0.39928346869815806</v>
      </c>
      <c r="M1034" s="22">
        <f t="shared" si="360"/>
        <v>0.4009804297645459</v>
      </c>
      <c r="N1034" s="22">
        <f t="shared" si="360"/>
        <v>0.40151262173495006</v>
      </c>
      <c r="O1034" s="22">
        <f t="shared" si="360"/>
        <v>0.40223259805813538</v>
      </c>
      <c r="P1034" s="22">
        <f t="shared" si="360"/>
        <v>0.40380961974030649</v>
      </c>
      <c r="Q1034" s="22">
        <f t="shared" si="360"/>
        <v>0.40570030877561336</v>
      </c>
      <c r="R1034" s="22">
        <f t="shared" si="360"/>
        <v>0.4062682914839757</v>
      </c>
      <c r="S1034" s="22">
        <f t="shared" si="360"/>
        <v>0.39379594618948027</v>
      </c>
      <c r="T1034" s="22">
        <f t="shared" si="360"/>
        <v>0.39703951074089222</v>
      </c>
      <c r="U1034" s="22">
        <f t="shared" si="360"/>
        <v>0.40001376732014149</v>
      </c>
      <c r="V1034" s="22">
        <f t="shared" si="360"/>
        <v>0.4030633713994573</v>
      </c>
      <c r="W1034" s="22">
        <f t="shared" si="360"/>
        <v>0.40673703435821862</v>
      </c>
      <c r="X1034" s="22">
        <f t="shared" si="360"/>
        <v>0.41047963139436411</v>
      </c>
      <c r="Y1034" s="22">
        <f t="shared" si="360"/>
        <v>0.41412386702749909</v>
      </c>
      <c r="Z1034" s="22">
        <f t="shared" si="360"/>
        <v>0.41769519693164076</v>
      </c>
      <c r="AA1034" s="22">
        <f t="shared" si="360"/>
        <v>0.42154191092161625</v>
      </c>
      <c r="AB1034" s="22">
        <f t="shared" si="360"/>
        <v>0.42518467345636607</v>
      </c>
      <c r="AC1034" s="22">
        <f t="shared" si="360"/>
        <v>0.42895809934446105</v>
      </c>
      <c r="AD1034" s="22">
        <f t="shared" si="360"/>
        <v>0.43329342136251764</v>
      </c>
      <c r="AE1034" s="22">
        <f t="shared" si="360"/>
        <v>0.43801504276628445</v>
      </c>
      <c r="AF1034" s="22">
        <f t="shared" si="360"/>
        <v>0.44292407628311159</v>
      </c>
      <c r="AG1034" s="22">
        <f t="shared" si="360"/>
        <v>0.44360979324480354</v>
      </c>
      <c r="AH1034" s="22">
        <f t="shared" si="360"/>
        <v>0.23750435523455551</v>
      </c>
      <c r="AI1034" s="22">
        <f t="shared" si="360"/>
        <v>0.23767903823802267</v>
      </c>
      <c r="AJ1034" s="22">
        <f t="shared" si="360"/>
        <v>0.23787666796336571</v>
      </c>
      <c r="AK1034" s="22">
        <f t="shared" si="360"/>
        <v>0.23809637221397845</v>
      </c>
      <c r="AL1034" s="22">
        <f t="shared" si="360"/>
        <v>0.2383373459663993</v>
      </c>
      <c r="AM1034" s="22">
        <f t="shared" si="360"/>
        <v>0.23859884500343068</v>
      </c>
      <c r="AN1034" s="22">
        <f t="shared" si="360"/>
        <v>0.23871142815197754</v>
      </c>
      <c r="AO1034" s="22">
        <f t="shared" si="360"/>
        <v>0.23884208664335624</v>
      </c>
      <c r="AP1034" s="22">
        <f t="shared" si="360"/>
        <v>0.23899018916140971</v>
      </c>
      <c r="AQ1034" s="22">
        <f t="shared" si="360"/>
        <v>0.2391551474689631</v>
      </c>
      <c r="AR1034" s="22">
        <f t="shared" si="360"/>
        <v>0.23933641275222764</v>
      </c>
      <c r="AS1034" s="22">
        <f t="shared" si="360"/>
        <v>0.23936290185366965</v>
      </c>
      <c r="AT1034" s="22">
        <f t="shared" si="360"/>
        <v>0.23940384749309143</v>
      </c>
      <c r="AU1034" s="22">
        <f t="shared" si="360"/>
        <v>0.23945877050598915</v>
      </c>
      <c r="AV1034" s="22">
        <f t="shared" si="360"/>
        <v>0.23952722091813589</v>
      </c>
      <c r="AW1034" s="22">
        <f t="shared" si="360"/>
        <v>0.23960877570322184</v>
      </c>
      <c r="AY1034" s="85"/>
      <c r="AZ1034" s="85"/>
    </row>
    <row r="1035" spans="1:52" x14ac:dyDescent="0.25">
      <c r="A1035" s="102" t="str">
        <f t="shared" si="345"/>
        <v>DS MM Volatilisation</v>
      </c>
      <c r="B1035" s="102" t="s">
        <v>975</v>
      </c>
      <c r="C1035" s="102" t="s">
        <v>1333</v>
      </c>
      <c r="D1035" t="s">
        <v>369</v>
      </c>
      <c r="E1035" t="s">
        <v>64</v>
      </c>
      <c r="F1035" t="s">
        <v>62</v>
      </c>
      <c r="G1035" t="s">
        <v>1155</v>
      </c>
      <c r="H1035" t="s">
        <v>1292</v>
      </c>
      <c r="I1035" t="s">
        <v>139</v>
      </c>
      <c r="J1035" t="s">
        <v>287</v>
      </c>
      <c r="K1035" s="22">
        <f t="shared" ref="K1035:AW1035" si="361">K1532</f>
        <v>3.1306447478246062E-2</v>
      </c>
      <c r="L1035" s="22">
        <f t="shared" si="361"/>
        <v>3.1501178862399851E-2</v>
      </c>
      <c r="M1035" s="22">
        <f t="shared" si="361"/>
        <v>3.163505937152563E-2</v>
      </c>
      <c r="N1035" s="22">
        <f t="shared" si="361"/>
        <v>3.167704626996521E-2</v>
      </c>
      <c r="O1035" s="22">
        <f t="shared" si="361"/>
        <v>3.1733848278341123E-2</v>
      </c>
      <c r="P1035" s="22">
        <f t="shared" si="361"/>
        <v>3.1858266256981516E-2</v>
      </c>
      <c r="Q1035" s="22">
        <f t="shared" si="361"/>
        <v>3.2007430793315993E-2</v>
      </c>
      <c r="R1035" s="22">
        <f t="shared" si="361"/>
        <v>3.2052241375996028E-2</v>
      </c>
      <c r="S1035" s="22">
        <f t="shared" si="361"/>
        <v>3.1068244765175855E-2</v>
      </c>
      <c r="T1035" s="22">
        <f t="shared" si="361"/>
        <v>3.1324143431401406E-2</v>
      </c>
      <c r="U1035" s="22">
        <f t="shared" si="361"/>
        <v>3.1558795241031987E-2</v>
      </c>
      <c r="V1035" s="22">
        <f t="shared" si="361"/>
        <v>3.1799391536879773E-2</v>
      </c>
      <c r="W1035" s="22">
        <f t="shared" si="361"/>
        <v>3.2089222504140757E-2</v>
      </c>
      <c r="X1035" s="22">
        <f t="shared" si="361"/>
        <v>3.2384491975300946E-2</v>
      </c>
      <c r="Y1035" s="22">
        <f t="shared" si="361"/>
        <v>3.2672001295109276E-2</v>
      </c>
      <c r="Z1035" s="22">
        <f t="shared" si="361"/>
        <v>3.2953758770453305E-2</v>
      </c>
      <c r="AA1035" s="22">
        <f t="shared" si="361"/>
        <v>3.3257242472961211E-2</v>
      </c>
      <c r="AB1035" s="22">
        <f t="shared" si="361"/>
        <v>3.3544635573743833E-2</v>
      </c>
      <c r="AC1035" s="22">
        <f t="shared" si="361"/>
        <v>3.3842337264756606E-2</v>
      </c>
      <c r="AD1035" s="22">
        <f t="shared" si="361"/>
        <v>3.4184369342273299E-2</v>
      </c>
      <c r="AE1035" s="22">
        <f t="shared" si="361"/>
        <v>3.4556878228868437E-2</v>
      </c>
      <c r="AF1035" s="22">
        <f t="shared" si="361"/>
        <v>3.494417285781784E-2</v>
      </c>
      <c r="AG1035" s="22">
        <f t="shared" si="361"/>
        <v>3.4998271998785704E-2</v>
      </c>
      <c r="AH1035" s="22">
        <f t="shared" si="361"/>
        <v>1.873773336831663E-2</v>
      </c>
      <c r="AI1035" s="22">
        <f t="shared" si="361"/>
        <v>1.8751514856827491E-2</v>
      </c>
      <c r="AJ1035" s="22">
        <f t="shared" si="361"/>
        <v>1.8767106710271497E-2</v>
      </c>
      <c r="AK1035" s="22">
        <f t="shared" si="361"/>
        <v>1.8784440117331772E-2</v>
      </c>
      <c r="AL1035" s="22">
        <f t="shared" si="361"/>
        <v>1.8803451566267792E-2</v>
      </c>
      <c r="AM1035" s="22">
        <f t="shared" si="361"/>
        <v>1.882408234260504E-2</v>
      </c>
      <c r="AN1035" s="22">
        <f t="shared" si="361"/>
        <v>1.883296450822745E-2</v>
      </c>
      <c r="AO1035" s="22">
        <f t="shared" si="361"/>
        <v>1.8843272714876302E-2</v>
      </c>
      <c r="AP1035" s="22">
        <f t="shared" si="361"/>
        <v>1.8854957155322545E-2</v>
      </c>
      <c r="AQ1035" s="22">
        <f t="shared" si="361"/>
        <v>1.8867971421022103E-2</v>
      </c>
      <c r="AR1035" s="22">
        <f t="shared" si="361"/>
        <v>1.8882272213710256E-2</v>
      </c>
      <c r="AS1035" s="22">
        <f t="shared" si="361"/>
        <v>1.888436205210289E-2</v>
      </c>
      <c r="AT1035" s="22">
        <f t="shared" si="361"/>
        <v>1.8887592428545139E-2</v>
      </c>
      <c r="AU1035" s="22">
        <f t="shared" si="361"/>
        <v>1.8891925539701964E-2</v>
      </c>
      <c r="AV1035" s="22">
        <f t="shared" si="361"/>
        <v>1.8897325885184005E-2</v>
      </c>
      <c r="AW1035" s="22">
        <f t="shared" si="361"/>
        <v>1.8903760090638235E-2</v>
      </c>
      <c r="AY1035" s="85"/>
      <c r="AZ1035" s="85"/>
    </row>
    <row r="1036" spans="1:52" x14ac:dyDescent="0.25">
      <c r="A1036" s="102" t="str">
        <f t="shared" si="345"/>
        <v>DS MM Volatilisation</v>
      </c>
      <c r="B1036" s="102" t="s">
        <v>975</v>
      </c>
      <c r="C1036" s="102" t="s">
        <v>1333</v>
      </c>
      <c r="D1036" t="s">
        <v>369</v>
      </c>
      <c r="E1036" t="s">
        <v>64</v>
      </c>
      <c r="F1036" t="s">
        <v>62</v>
      </c>
      <c r="G1036" t="s">
        <v>1157</v>
      </c>
      <c r="H1036" t="s">
        <v>1293</v>
      </c>
      <c r="I1036" t="s">
        <v>139</v>
      </c>
      <c r="J1036" t="s">
        <v>287</v>
      </c>
      <c r="K1036" s="22">
        <f t="shared" ref="K1036:AW1036" si="362">K1533</f>
        <v>2.9019834302377478E-4</v>
      </c>
      <c r="L1036" s="22">
        <f t="shared" si="362"/>
        <v>2.9200342566866507E-4</v>
      </c>
      <c r="M1036" s="22">
        <f t="shared" si="362"/>
        <v>2.9324444485292345E-4</v>
      </c>
      <c r="N1036" s="22">
        <f t="shared" si="362"/>
        <v>2.9363364673743434E-4</v>
      </c>
      <c r="O1036" s="22">
        <f t="shared" si="362"/>
        <v>2.9416017881114109E-4</v>
      </c>
      <c r="P1036" s="22">
        <f t="shared" si="362"/>
        <v>2.9531348409334853E-4</v>
      </c>
      <c r="Q1036" s="22">
        <f t="shared" si="362"/>
        <v>2.9669618014381078E-4</v>
      </c>
      <c r="R1036" s="22">
        <f t="shared" si="362"/>
        <v>2.971115564605491E-4</v>
      </c>
      <c r="S1036" s="22">
        <f t="shared" si="362"/>
        <v>2.879902984130032E-4</v>
      </c>
      <c r="T1036" s="22">
        <f t="shared" si="362"/>
        <v>2.9036237748624366E-4</v>
      </c>
      <c r="U1036" s="22">
        <f t="shared" si="362"/>
        <v>2.9253750663143477E-4</v>
      </c>
      <c r="V1036" s="22">
        <f t="shared" si="362"/>
        <v>2.9476773880457414E-4</v>
      </c>
      <c r="W1036" s="22">
        <f t="shared" si="362"/>
        <v>2.9745435684114832E-4</v>
      </c>
      <c r="X1036" s="22">
        <f t="shared" si="362"/>
        <v>3.0019138765040044E-4</v>
      </c>
      <c r="Y1036" s="22">
        <f t="shared" si="362"/>
        <v>3.0285648493651841E-4</v>
      </c>
      <c r="Z1036" s="22">
        <f t="shared" si="362"/>
        <v>3.0546826490728061E-4</v>
      </c>
      <c r="AA1036" s="22">
        <f t="shared" si="362"/>
        <v>3.0828143838101019E-4</v>
      </c>
      <c r="AB1036" s="22">
        <f t="shared" si="362"/>
        <v>3.1094545836288565E-4</v>
      </c>
      <c r="AC1036" s="22">
        <f t="shared" si="362"/>
        <v>3.1370503488485662E-4</v>
      </c>
      <c r="AD1036" s="22">
        <f t="shared" si="362"/>
        <v>3.1687553649559658E-4</v>
      </c>
      <c r="AE1036" s="22">
        <f t="shared" si="362"/>
        <v>3.2032854603066614E-4</v>
      </c>
      <c r="AF1036" s="22">
        <f t="shared" si="362"/>
        <v>3.2391861352910146E-4</v>
      </c>
      <c r="AG1036" s="22">
        <f t="shared" si="362"/>
        <v>3.2442009109466666E-4</v>
      </c>
      <c r="AH1036" s="22">
        <f t="shared" si="362"/>
        <v>1.7369135157495116E-4</v>
      </c>
      <c r="AI1036" s="22">
        <f t="shared" si="362"/>
        <v>1.7381910050376308E-4</v>
      </c>
      <c r="AJ1036" s="22">
        <f t="shared" si="362"/>
        <v>1.7396363079699625E-4</v>
      </c>
      <c r="AK1036" s="22">
        <f t="shared" si="362"/>
        <v>1.7412430460105353E-4</v>
      </c>
      <c r="AL1036" s="22">
        <f t="shared" si="362"/>
        <v>1.7430053318730711E-4</v>
      </c>
      <c r="AM1036" s="22">
        <f t="shared" si="362"/>
        <v>1.7449177229588125E-4</v>
      </c>
      <c r="AN1036" s="22">
        <f t="shared" si="362"/>
        <v>1.7457410644599133E-4</v>
      </c>
      <c r="AO1036" s="22">
        <f t="shared" si="362"/>
        <v>1.7466965943044039E-4</v>
      </c>
      <c r="AP1036" s="22">
        <f t="shared" si="362"/>
        <v>1.7477796955598287E-4</v>
      </c>
      <c r="AQ1036" s="22">
        <f t="shared" si="362"/>
        <v>1.7489860663383425E-4</v>
      </c>
      <c r="AR1036" s="22">
        <f t="shared" si="362"/>
        <v>1.7503116930626492E-4</v>
      </c>
      <c r="AS1036" s="22">
        <f t="shared" si="362"/>
        <v>1.7505054127873651E-4</v>
      </c>
      <c r="AT1036" s="22">
        <f t="shared" si="362"/>
        <v>1.7508048558626403E-4</v>
      </c>
      <c r="AU1036" s="22">
        <f t="shared" si="362"/>
        <v>1.7512065180693548E-4</v>
      </c>
      <c r="AV1036" s="22">
        <f t="shared" si="362"/>
        <v>1.7517071086623097E-4</v>
      </c>
      <c r="AW1036" s="22">
        <f t="shared" si="362"/>
        <v>1.752303533971437E-4</v>
      </c>
      <c r="AY1036" s="85"/>
      <c r="AZ1036" s="85"/>
    </row>
    <row r="1037" spans="1:52" x14ac:dyDescent="0.25">
      <c r="A1037" s="102" t="str">
        <f t="shared" si="345"/>
        <v>DS MM Volatilisation</v>
      </c>
      <c r="B1037" s="102" t="s">
        <v>975</v>
      </c>
      <c r="C1037" s="102" t="s">
        <v>1333</v>
      </c>
      <c r="D1037" t="s">
        <v>369</v>
      </c>
      <c r="E1037" t="s">
        <v>64</v>
      </c>
      <c r="F1037" t="s">
        <v>62</v>
      </c>
      <c r="G1037" t="s">
        <v>1159</v>
      </c>
      <c r="H1037" t="s">
        <v>1294</v>
      </c>
      <c r="I1037" t="s">
        <v>139</v>
      </c>
      <c r="J1037" t="s">
        <v>287</v>
      </c>
      <c r="K1037" s="101">
        <f>IF('Net zero activities &amp; levers'!$C$12="Off",Constants!$H66*'Activity data'!AD8*Constants!$H84*EF!$H209*MMVolatEF*NtoN2O*kgtoGg,Constants!$H66*'Net zero Activity data'!AD8*Constants!$H84*EF!$H209*MMVolatEF*NtoN2O*kgtoGg)</f>
        <v>3.2608020345335862E-3</v>
      </c>
      <c r="L1037" s="101">
        <f>IF('Net zero activities &amp; levers'!$C$12="Off",Constants!$H66*'Activity data'!AE8*Constants!$H84*EF!$H209*MMVolatEF*NtoN2O*kgtoGg,Constants!$H66*'Net zero Activity data'!AE8*Constants!$H84*EF!$H209*MMVolatEF*NtoN2O*kgtoGg)</f>
        <v>3.2391880107785257E-3</v>
      </c>
      <c r="M1037" s="101">
        <f>IF('Net zero activities &amp; levers'!$C$12="Off",Constants!$H66*'Activity data'!AF8*Constants!$H84*EF!$H209*MMVolatEF*NtoN2O*kgtoGg,Constants!$H66*'Net zero Activity data'!AF8*Constants!$H84*EF!$H209*MMVolatEF*NtoN2O*kgtoGg)</f>
        <v>3.1936162901030117E-3</v>
      </c>
      <c r="N1037" s="101">
        <f>IF('Net zero activities &amp; levers'!$C$12="Off",Constants!$H66*'Activity data'!AG8*Constants!$H84*EF!$H209*MMVolatEF*NtoN2O*kgtoGg,Constants!$H66*'Net zero Activity data'!AG8*Constants!$H84*EF!$H209*MMVolatEF*NtoN2O*kgtoGg)</f>
        <v>3.1167988395678259E-3</v>
      </c>
      <c r="O1037" s="101">
        <f>IF('Net zero activities &amp; levers'!$C$12="Off",Constants!$H66*'Activity data'!AH8*Constants!$H84*EF!$H209*MMVolatEF*NtoN2O*kgtoGg,Constants!$H66*'Net zero Activity data'!AH8*Constants!$H84*EF!$H209*MMVolatEF*NtoN2O*kgtoGg)</f>
        <v>3.0422686858160779E-3</v>
      </c>
      <c r="P1037" s="101">
        <f>IF('Net zero activities &amp; levers'!$C$12="Off",Constants!$H66*'Activity data'!AI8*Constants!$H84*EF!$H209*MMVolatEF*NtoN2O*kgtoGg,Constants!$H66*'Net zero Activity data'!AI8*Constants!$H84*EF!$H209*MMVolatEF*NtoN2O*kgtoGg)</f>
        <v>2.9849445368563851E-3</v>
      </c>
      <c r="Q1037" s="101">
        <f>IF('Net zero activities &amp; levers'!$C$12="Off",Constants!$H66*'Activity data'!AJ8*Constants!$H84*EF!$H209*MMVolatEF*NtoN2O*kgtoGg,Constants!$H66*'Net zero Activity data'!AJ8*Constants!$H84*EF!$H209*MMVolatEF*NtoN2O*kgtoGg)</f>
        <v>2.9330944027971869E-3</v>
      </c>
      <c r="R1037" s="101">
        <f>IF('Net zero activities &amp; levers'!$C$12="Off",Constants!$H66*'Activity data'!AK8*Constants!$H84*EF!$H209*MMVolatEF*NtoN2O*kgtoGg,Constants!$H66*'Net zero Activity data'!AK8*Constants!$H84*EF!$H209*MMVolatEF*NtoN2O*kgtoGg)</f>
        <v>2.8515726706301167E-3</v>
      </c>
      <c r="S1037" s="101">
        <f>IF('Net zero activities &amp; levers'!$C$12="Off",Constants!$H66*'Activity data'!AL8*Constants!$H84*EF!$H209*MMVolatEF*NtoN2O*kgtoGg,Constants!$H66*'Net zero Activity data'!AL8*Constants!$H84*EF!$H209*MMVolatEF*NtoN2O*kgtoGg)</f>
        <v>2.5010020765287512E-3</v>
      </c>
      <c r="T1037" s="101">
        <f>IF('Net zero activities &amp; levers'!$C$12="Off",Constants!$H66*'Activity data'!AM8*Constants!$H84*EF!$H209*MMVolatEF*NtoN2O*kgtoGg,Constants!$H66*'Net zero Activity data'!AM8*Constants!$H84*EF!$H209*MMVolatEF*NtoN2O*kgtoGg)</f>
        <v>2.5248406363190491E-3</v>
      </c>
      <c r="U1037" s="101">
        <f>IF('Net zero activities &amp; levers'!$C$12="Off",Constants!$H66*'Activity data'!AN8*Constants!$H84*EF!$H209*MMVolatEF*NtoN2O*kgtoGg,Constants!$H66*'Net zero Activity data'!AN8*Constants!$H84*EF!$H209*MMVolatEF*NtoN2O*kgtoGg)</f>
        <v>2.5409715409254918E-3</v>
      </c>
      <c r="V1037" s="101">
        <f>IF('Net zero activities &amp; levers'!$C$12="Off",Constants!$H66*'Activity data'!AO8*Constants!$H84*EF!$H209*MMVolatEF*NtoN2O*kgtoGg,Constants!$H66*'Net zero Activity data'!AO8*Constants!$H84*EF!$H209*MMVolatEF*NtoN2O*kgtoGg)</f>
        <v>2.5565777764954734E-3</v>
      </c>
      <c r="W1037" s="101">
        <f>IF('Net zero activities &amp; levers'!$C$12="Off",Constants!$H66*'Activity data'!AP8*Constants!$H84*EF!$H209*MMVolatEF*NtoN2O*kgtoGg,Constants!$H66*'Net zero Activity data'!AP8*Constants!$H84*EF!$H209*MMVolatEF*NtoN2O*kgtoGg)</f>
        <v>2.5823867364318034E-3</v>
      </c>
      <c r="X1037" s="101">
        <f>IF('Net zero activities &amp; levers'!$C$12="Off",Constants!$H66*'Activity data'!AQ8*Constants!$H84*EF!$H209*MMVolatEF*NtoN2O*kgtoGg,Constants!$H66*'Net zero Activity data'!AQ8*Constants!$H84*EF!$H209*MMVolatEF*NtoN2O*kgtoGg)</f>
        <v>2.6073450964004788E-3</v>
      </c>
      <c r="Y1037" s="101">
        <f>IF('Net zero activities &amp; levers'!$C$12="Off",Constants!$H66*'Activity data'!AR8*Constants!$H84*EF!$H209*MMVolatEF*NtoN2O*kgtoGg,Constants!$H66*'Net zero Activity data'!AR8*Constants!$H84*EF!$H209*MMVolatEF*NtoN2O*kgtoGg)</f>
        <v>2.6335476280108239E-3</v>
      </c>
      <c r="Z1037" s="101">
        <f>IF('Net zero activities &amp; levers'!$C$12="Off",Constants!$H66*'Activity data'!AS8*Constants!$H84*EF!$H209*MMVolatEF*NtoN2O*kgtoGg,Constants!$H66*'Net zero Activity data'!AS8*Constants!$H84*EF!$H209*MMVolatEF*NtoN2O*kgtoGg)</f>
        <v>2.6563592492195348E-3</v>
      </c>
      <c r="AA1037" s="101">
        <f>IF('Net zero activities &amp; levers'!$C$12="Off",Constants!$H66*'Activity data'!AT8*Constants!$H84*EF!$H209*MMVolatEF*NtoN2O*kgtoGg,Constants!$H66*'Net zero Activity data'!AT8*Constants!$H84*EF!$H209*MMVolatEF*NtoN2O*kgtoGg)</f>
        <v>2.6823219674710947E-3</v>
      </c>
      <c r="AB1037" s="101">
        <f>IF('Net zero activities &amp; levers'!$C$12="Off",Constants!$H66*'Activity data'!AU8*Constants!$H84*EF!$H209*MMVolatEF*NtoN2O*kgtoGg,Constants!$H66*'Net zero Activity data'!AU8*Constants!$H84*EF!$H209*MMVolatEF*NtoN2O*kgtoGg)</f>
        <v>2.7026386741679817E-3</v>
      </c>
      <c r="AC1037" s="101">
        <f>IF('Net zero activities &amp; levers'!$C$12="Off",Constants!$H66*'Activity data'!AV8*Constants!$H84*EF!$H209*MMVolatEF*NtoN2O*kgtoGg,Constants!$H66*'Net zero Activity data'!AV8*Constants!$H84*EF!$H209*MMVolatEF*NtoN2O*kgtoGg)</f>
        <v>2.7235128371703343E-3</v>
      </c>
      <c r="AD1037" s="101">
        <f>IF('Net zero activities &amp; levers'!$C$12="Off",Constants!$H66*'Activity data'!AW8*Constants!$H84*EF!$H209*MMVolatEF*NtoN2O*kgtoGg,Constants!$H66*'Net zero Activity data'!AW8*Constants!$H84*EF!$H209*MMVolatEF*NtoN2O*kgtoGg)</f>
        <v>2.7332352588004378E-3</v>
      </c>
      <c r="AE1037" s="101">
        <f>IF('Net zero activities &amp; levers'!$C$12="Off",Constants!$H66*'Activity data'!AX8*Constants!$H84*EF!$H209*MMVolatEF*NtoN2O*kgtoGg,Constants!$H66*'Net zero Activity data'!AX8*Constants!$H84*EF!$H209*MMVolatEF*NtoN2O*kgtoGg)</f>
        <v>2.7465666714111786E-3</v>
      </c>
      <c r="AF1037" s="101">
        <f>IF('Net zero activities &amp; levers'!$C$12="Off",Constants!$H66*'Activity data'!AY8*Constants!$H84*EF!$H209*MMVolatEF*NtoN2O*kgtoGg,Constants!$H66*'Net zero Activity data'!AY8*Constants!$H84*EF!$H209*MMVolatEF*NtoN2O*kgtoGg)</f>
        <v>2.7598466332323141E-3</v>
      </c>
      <c r="AG1037" s="101">
        <f>IF('Net zero activities &amp; levers'!$C$12="Off",Constants!$H66*'Activity data'!AZ8*Constants!$H84*EF!$H209*MMVolatEF*NtoN2O*kgtoGg,Constants!$H66*'Net zero Activity data'!AZ8*Constants!$H84*EF!$H209*MMVolatEF*NtoN2O*kgtoGg)</f>
        <v>2.7013158272562879E-3</v>
      </c>
      <c r="AH1037" s="101">
        <f>IF('Net zero activities &amp; levers'!$C$12="Off",Constants!$H66*'Activity data'!BA8*Constants!$H84*EF!$H209*MMVolatEF*NtoN2O*kgtoGg,Constants!$H66*'Net zero Activity data'!BA8*Constants!$H84*EF!$H209*MMVolatEF*NtoN2O*kgtoGg)</f>
        <v>-6.3720303992201288E-4</v>
      </c>
      <c r="AI1037" s="101">
        <f>IF('Net zero activities &amp; levers'!$C$12="Off",Constants!$H66*'Activity data'!BB8*Constants!$H84*EF!$H209*MMVolatEF*NtoN2O*kgtoGg,Constants!$H66*'Net zero Activity data'!BB8*Constants!$H84*EF!$H209*MMVolatEF*NtoN2O*kgtoGg)</f>
        <v>-6.2242214557858356E-4</v>
      </c>
      <c r="AJ1037" s="101">
        <f>IF('Net zero activities &amp; levers'!$C$12="Off",Constants!$H66*'Activity data'!BC8*Constants!$H84*EF!$H209*MMVolatEF*NtoN2O*kgtoGg,Constants!$H66*'Net zero Activity data'!BC8*Constants!$H84*EF!$H209*MMVolatEF*NtoN2O*kgtoGg)</f>
        <v>-6.0787631384089666E-4</v>
      </c>
      <c r="AK1037" s="101">
        <f>IF('Net zero activities &amp; levers'!$C$12="Off",Constants!$H66*'Activity data'!BD8*Constants!$H84*EF!$H209*MMVolatEF*NtoN2O*kgtoGg,Constants!$H66*'Net zero Activity data'!BD8*Constants!$H84*EF!$H209*MMVolatEF*NtoN2O*kgtoGg)</f>
        <v>-5.9355323338830307E-4</v>
      </c>
      <c r="AL1037" s="101">
        <f>IF('Net zero activities &amp; levers'!$C$12="Off",Constants!$H66*'Activity data'!BE8*Constants!$H84*EF!$H209*MMVolatEF*NtoN2O*kgtoGg,Constants!$H66*'Net zero Activity data'!BE8*Constants!$H84*EF!$H209*MMVolatEF*NtoN2O*kgtoGg)</f>
        <v>-5.7944144405540506E-4</v>
      </c>
      <c r="AM1037" s="101">
        <f>IF('Net zero activities &amp; levers'!$C$12="Off",Constants!$H66*'Activity data'!BF8*Constants!$H84*EF!$H209*MMVolatEF*NtoN2O*kgtoGg,Constants!$H66*'Net zero Activity data'!BF8*Constants!$H84*EF!$H209*MMVolatEF*NtoN2O*kgtoGg)</f>
        <v>-5.6553025796044789E-4</v>
      </c>
      <c r="AN1037" s="101">
        <f>IF('Net zero activities &amp; levers'!$C$12="Off",Constants!$H66*'Activity data'!BG8*Constants!$H84*EF!$H209*MMVolatEF*NtoN2O*kgtoGg,Constants!$H66*'Net zero Activity data'!BG8*Constants!$H84*EF!$H209*MMVolatEF*NtoN2O*kgtoGg)</f>
        <v>-5.5425143288870022E-4</v>
      </c>
      <c r="AO1037" s="101">
        <f>IF('Net zero activities &amp; levers'!$C$12="Off",Constants!$H66*'Activity data'!BH8*Constants!$H84*EF!$H209*MMVolatEF*NtoN2O*kgtoGg,Constants!$H66*'Net zero Activity data'!BH8*Constants!$H84*EF!$H209*MMVolatEF*NtoN2O*kgtoGg)</f>
        <v>-5.4314296084699478E-4</v>
      </c>
      <c r="AP1037" s="101">
        <f>IF('Net zero activities &amp; levers'!$C$12="Off",Constants!$H66*'Activity data'!BI8*Constants!$H84*EF!$H209*MMVolatEF*NtoN2O*kgtoGg,Constants!$H66*'Net zero Activity data'!BI8*Constants!$H84*EF!$H209*MMVolatEF*NtoN2O*kgtoGg)</f>
        <v>-5.3219712228052369E-4</v>
      </c>
      <c r="AQ1037" s="101">
        <f>IF('Net zero activities &amp; levers'!$C$12="Off",Constants!$H66*'Activity data'!BJ8*Constants!$H84*EF!$H209*MMVolatEF*NtoN2O*kgtoGg,Constants!$H66*'Net zero Activity data'!BJ8*Constants!$H84*EF!$H209*MMVolatEF*NtoN2O*kgtoGg)</f>
        <v>-5.2140667775092773E-4</v>
      </c>
      <c r="AR1037" s="101">
        <f>IF('Net zero activities &amp; levers'!$C$12="Off",Constants!$H66*'Activity data'!BK8*Constants!$H84*EF!$H209*MMVolatEF*NtoN2O*kgtoGg,Constants!$H66*'Net zero Activity data'!BK8*Constants!$H84*EF!$H209*MMVolatEF*NtoN2O*kgtoGg)</f>
        <v>-5.107648281267109E-4</v>
      </c>
      <c r="AS1037" s="101">
        <f>IF('Net zero activities &amp; levers'!$C$12="Off",Constants!$H66*'Activity data'!BL8*Constants!$H84*EF!$H209*MMVolatEF*NtoN2O*kgtoGg,Constants!$H66*'Net zero Activity data'!BL8*Constants!$H84*EF!$H209*MMVolatEF*NtoN2O*kgtoGg)</f>
        <v>-4.999251820077483E-4</v>
      </c>
      <c r="AT1037" s="101">
        <f>IF('Net zero activities &amp; levers'!$C$12="Off",Constants!$H66*'Activity data'!BM8*Constants!$H84*EF!$H209*MMVolatEF*NtoN2O*kgtoGg,Constants!$H66*'Net zero Activity data'!BM8*Constants!$H84*EF!$H209*MMVolatEF*NtoN2O*kgtoGg)</f>
        <v>-4.8923459484670278E-4</v>
      </c>
      <c r="AU1037" s="101">
        <f>IF('Net zero activities &amp; levers'!$C$12="Off",Constants!$H66*'Activity data'!BN8*Constants!$H84*EF!$H209*MMVolatEF*NtoN2O*kgtoGg,Constants!$H66*'Net zero Activity data'!BN8*Constants!$H84*EF!$H209*MMVolatEF*NtoN2O*kgtoGg)</f>
        <v>-4.7868720289580258E-4</v>
      </c>
      <c r="AV1037" s="101">
        <f>IF('Net zero activities &amp; levers'!$C$12="Off",Constants!$H66*'Activity data'!BO8*Constants!$H84*EF!$H209*MMVolatEF*NtoN2O*kgtoGg,Constants!$H66*'Net zero Activity data'!BO8*Constants!$H84*EF!$H209*MMVolatEF*NtoN2O*kgtoGg)</f>
        <v>-4.6827747185126305E-4</v>
      </c>
      <c r="AW1037" s="101">
        <f>IF('Net zero activities &amp; levers'!$C$12="Off",Constants!$H66*'Activity data'!BP8*Constants!$H84*EF!$H209*MMVolatEF*NtoN2O*kgtoGg,Constants!$H66*'Net zero Activity data'!BP8*Constants!$H84*EF!$H209*MMVolatEF*NtoN2O*kgtoGg)</f>
        <v>-4.5800017223486766E-4</v>
      </c>
      <c r="AY1037" s="85"/>
      <c r="AZ1037" s="85"/>
    </row>
    <row r="1038" spans="1:52" x14ac:dyDescent="0.25">
      <c r="A1038" s="102" t="str">
        <f t="shared" si="345"/>
        <v>DS MM Volatilisation</v>
      </c>
      <c r="B1038" s="102" t="s">
        <v>975</v>
      </c>
      <c r="C1038" s="102" t="s">
        <v>1333</v>
      </c>
      <c r="D1038" t="s">
        <v>369</v>
      </c>
      <c r="E1038" t="s">
        <v>64</v>
      </c>
      <c r="F1038" t="s">
        <v>62</v>
      </c>
      <c r="G1038" t="s">
        <v>1161</v>
      </c>
      <c r="H1038" t="s">
        <v>1295</v>
      </c>
      <c r="I1038" t="s">
        <v>139</v>
      </c>
      <c r="J1038" t="s">
        <v>287</v>
      </c>
      <c r="K1038" s="101">
        <f>IF('Net zero activities &amp; levers'!$C$12="Off",Constants!$H67*'Activity data'!AD9*Constants!$H85*EF!$H210*MMVolatEF*NtoN2O*kgtoGg,Constants!$H67*'Net zero Activity data'!AD9*Constants!$H85*EF!$H210*MMVolatEF*NtoN2O*kgtoGg)</f>
        <v>1.6232293381826982E-2</v>
      </c>
      <c r="L1038" s="101">
        <f>IF('Net zero activities &amp; levers'!$C$12="Off",Constants!$H67*'Activity data'!AE9*Constants!$H85*EF!$H210*MMVolatEF*NtoN2O*kgtoGg,Constants!$H67*'Net zero Activity data'!AE9*Constants!$H85*EF!$H210*MMVolatEF*NtoN2O*kgtoGg)</f>
        <v>1.612469863334539E-2</v>
      </c>
      <c r="M1038" s="101">
        <f>IF('Net zero activities &amp; levers'!$C$12="Off",Constants!$H67*'Activity data'!AF9*Constants!$H85*EF!$H210*MMVolatEF*NtoN2O*kgtoGg,Constants!$H67*'Net zero Activity data'!AF9*Constants!$H85*EF!$H210*MMVolatEF*NtoN2O*kgtoGg)</f>
        <v>1.5897842316376299E-2</v>
      </c>
      <c r="N1038" s="101">
        <f>IF('Net zero activities &amp; levers'!$C$12="Off",Constants!$H67*'Activity data'!AG9*Constants!$H85*EF!$H210*MMVolatEF*NtoN2O*kgtoGg,Constants!$H67*'Net zero Activity data'!AG9*Constants!$H85*EF!$H210*MMVolatEF*NtoN2O*kgtoGg)</f>
        <v>1.5515444556338871E-2</v>
      </c>
      <c r="O1038" s="101">
        <f>IF('Net zero activities &amp; levers'!$C$12="Off",Constants!$H67*'Activity data'!AH9*Constants!$H85*EF!$H210*MMVolatEF*NtoN2O*kgtoGg,Constants!$H67*'Net zero Activity data'!AH9*Constants!$H85*EF!$H210*MMVolatEF*NtoN2O*kgtoGg)</f>
        <v>1.5144432974317425E-2</v>
      </c>
      <c r="P1038" s="101">
        <f>IF('Net zero activities &amp; levers'!$C$12="Off",Constants!$H67*'Activity data'!AI9*Constants!$H85*EF!$H210*MMVolatEF*NtoN2O*kgtoGg,Constants!$H67*'Net zero Activity data'!AI9*Constants!$H85*EF!$H210*MMVolatEF*NtoN2O*kgtoGg)</f>
        <v>1.4859072994188992E-2</v>
      </c>
      <c r="Q1038" s="101">
        <f>IF('Net zero activities &amp; levers'!$C$12="Off",Constants!$H67*'Activity data'!AJ9*Constants!$H85*EF!$H210*MMVolatEF*NtoN2O*kgtoGg,Constants!$H67*'Net zero Activity data'!AJ9*Constants!$H85*EF!$H210*MMVolatEF*NtoN2O*kgtoGg)</f>
        <v>1.4600962695243356E-2</v>
      </c>
      <c r="R1038" s="101">
        <f>IF('Net zero activities &amp; levers'!$C$12="Off",Constants!$H67*'Activity data'!AK9*Constants!$H85*EF!$H210*MMVolatEF*NtoN2O*kgtoGg,Constants!$H67*'Net zero Activity data'!AK9*Constants!$H85*EF!$H210*MMVolatEF*NtoN2O*kgtoGg)</f>
        <v>1.4195146991156963E-2</v>
      </c>
      <c r="S1038" s="101">
        <f>IF('Net zero activities &amp; levers'!$C$12="Off",Constants!$H67*'Activity data'!AL9*Constants!$H85*EF!$H210*MMVolatEF*NtoN2O*kgtoGg,Constants!$H67*'Net zero Activity data'!AL9*Constants!$H85*EF!$H210*MMVolatEF*NtoN2O*kgtoGg)</f>
        <v>1.2450004331704253E-2</v>
      </c>
      <c r="T1038" s="101">
        <f>IF('Net zero activities &amp; levers'!$C$12="Off",Constants!$H67*'Activity data'!AM9*Constants!$H85*EF!$H210*MMVolatEF*NtoN2O*kgtoGg,Constants!$H67*'Net zero Activity data'!AM9*Constants!$H85*EF!$H210*MMVolatEF*NtoN2O*kgtoGg)</f>
        <v>1.2568672834795916E-2</v>
      </c>
      <c r="U1038" s="101">
        <f>IF('Net zero activities &amp; levers'!$C$12="Off",Constants!$H67*'Activity data'!AN9*Constants!$H85*EF!$H210*MMVolatEF*NtoN2O*kgtoGg,Constants!$H67*'Net zero Activity data'!AN9*Constants!$H85*EF!$H210*MMVolatEF*NtoN2O*kgtoGg)</f>
        <v>1.2648972581089315E-2</v>
      </c>
      <c r="V1038" s="101">
        <f>IF('Net zero activities &amp; levers'!$C$12="Off",Constants!$H67*'Activity data'!AO9*Constants!$H85*EF!$H210*MMVolatEF*NtoN2O*kgtoGg,Constants!$H67*'Net zero Activity data'!AO9*Constants!$H85*EF!$H210*MMVolatEF*NtoN2O*kgtoGg)</f>
        <v>1.2726660521563772E-2</v>
      </c>
      <c r="W1038" s="101">
        <f>IF('Net zero activities &amp; levers'!$C$12="Off",Constants!$H67*'Activity data'!AP9*Constants!$H85*EF!$H210*MMVolatEF*NtoN2O*kgtoGg,Constants!$H67*'Net zero Activity data'!AP9*Constants!$H85*EF!$H210*MMVolatEF*NtoN2O*kgtoGg)</f>
        <v>1.2855137689183753E-2</v>
      </c>
      <c r="X1038" s="101">
        <f>IF('Net zero activities &amp; levers'!$C$12="Off",Constants!$H67*'Activity data'!AQ9*Constants!$H85*EF!$H210*MMVolatEF*NtoN2O*kgtoGg,Constants!$H67*'Net zero Activity data'!AQ9*Constants!$H85*EF!$H210*MMVolatEF*NtoN2O*kgtoGg)</f>
        <v>1.297938056472487E-2</v>
      </c>
      <c r="Y1038" s="101">
        <f>IF('Net zero activities &amp; levers'!$C$12="Off",Constants!$H67*'Activity data'!AR9*Constants!$H85*EF!$H210*MMVolatEF*NtoN2O*kgtoGg,Constants!$H67*'Net zero Activity data'!AR9*Constants!$H85*EF!$H210*MMVolatEF*NtoN2O*kgtoGg)</f>
        <v>1.3109816934655115E-2</v>
      </c>
      <c r="Z1038" s="101">
        <f>IF('Net zero activities &amp; levers'!$C$12="Off",Constants!$H67*'Activity data'!AS9*Constants!$H85*EF!$H210*MMVolatEF*NtoN2O*kgtoGg,Constants!$H67*'Net zero Activity data'!AS9*Constants!$H85*EF!$H210*MMVolatEF*NtoN2O*kgtoGg)</f>
        <v>1.3223373330920015E-2</v>
      </c>
      <c r="AA1038" s="101">
        <f>IF('Net zero activities &amp; levers'!$C$12="Off",Constants!$H67*'Activity data'!AT9*Constants!$H85*EF!$H210*MMVolatEF*NtoN2O*kgtoGg,Constants!$H67*'Net zero Activity data'!AT9*Constants!$H85*EF!$H210*MMVolatEF*NtoN2O*kgtoGg)</f>
        <v>1.3352615908416542E-2</v>
      </c>
      <c r="AB1038" s="101">
        <f>IF('Net zero activities &amp; levers'!$C$12="Off",Constants!$H67*'Activity data'!AU9*Constants!$H85*EF!$H210*MMVolatEF*NtoN2O*kgtoGg,Constants!$H67*'Net zero Activity data'!AU9*Constants!$H85*EF!$H210*MMVolatEF*NtoN2O*kgtoGg)</f>
        <v>1.345375260428577E-2</v>
      </c>
      <c r="AC1038" s="101">
        <f>IF('Net zero activities &amp; levers'!$C$12="Off",Constants!$H67*'Activity data'!AV9*Constants!$H85*EF!$H210*MMVolatEF*NtoN2O*kgtoGg,Constants!$H67*'Net zero Activity data'!AV9*Constants!$H85*EF!$H210*MMVolatEF*NtoN2O*kgtoGg)</f>
        <v>1.3557664321208735E-2</v>
      </c>
      <c r="AD1038" s="101">
        <f>IF('Net zero activities &amp; levers'!$C$12="Off",Constants!$H67*'Activity data'!AW9*Constants!$H85*EF!$H210*MMVolatEF*NtoN2O*kgtoGg,Constants!$H67*'Net zero Activity data'!AW9*Constants!$H85*EF!$H210*MMVolatEF*NtoN2O*kgtoGg)</f>
        <v>1.3606062598261524E-2</v>
      </c>
      <c r="AE1038" s="101">
        <f>IF('Net zero activities &amp; levers'!$C$12="Off",Constants!$H67*'Activity data'!AX9*Constants!$H85*EF!$H210*MMVolatEF*NtoN2O*kgtoGg,Constants!$H67*'Net zero Activity data'!AX9*Constants!$H85*EF!$H210*MMVolatEF*NtoN2O*kgtoGg)</f>
        <v>1.3672426455496624E-2</v>
      </c>
      <c r="AF1038" s="101">
        <f>IF('Net zero activities &amp; levers'!$C$12="Off",Constants!$H67*'Activity data'!AY9*Constants!$H85*EF!$H210*MMVolatEF*NtoN2O*kgtoGg,Constants!$H67*'Net zero Activity data'!AY9*Constants!$H85*EF!$H210*MMVolatEF*NtoN2O*kgtoGg)</f>
        <v>1.3738534190372041E-2</v>
      </c>
      <c r="AG1038" s="101">
        <f>IF('Net zero activities &amp; levers'!$C$12="Off",Constants!$H67*'Activity data'!AZ9*Constants!$H85*EF!$H210*MMVolatEF*NtoN2O*kgtoGg,Constants!$H67*'Net zero Activity data'!AZ9*Constants!$H85*EF!$H210*MMVolatEF*NtoN2O*kgtoGg)</f>
        <v>1.3447167463899316E-2</v>
      </c>
      <c r="AH1038" s="101">
        <f>IF('Net zero activities &amp; levers'!$C$12="Off",Constants!$H67*'Activity data'!BA9*Constants!$H85*EF!$H210*MMVolatEF*NtoN2O*kgtoGg,Constants!$H67*'Net zero Activity data'!BA9*Constants!$H85*EF!$H210*MMVolatEF*NtoN2O*kgtoGg)</f>
        <v>-3.1720008078581774E-3</v>
      </c>
      <c r="AI1038" s="101">
        <f>IF('Net zero activities &amp; levers'!$C$12="Off",Constants!$H67*'Activity data'!BB9*Constants!$H85*EF!$H210*MMVolatEF*NtoN2O*kgtoGg,Constants!$H67*'Net zero Activity data'!BB9*Constants!$H85*EF!$H210*MMVolatEF*NtoN2O*kgtoGg)</f>
        <v>-3.098421421287828E-3</v>
      </c>
      <c r="AJ1038" s="101">
        <f>IF('Net zero activities &amp; levers'!$C$12="Off",Constants!$H67*'Activity data'!BC9*Constants!$H85*EF!$H210*MMVolatEF*NtoN2O*kgtoGg,Constants!$H67*'Net zero Activity data'!BC9*Constants!$H85*EF!$H210*MMVolatEF*NtoN2O*kgtoGg)</f>
        <v>-3.0260121778721673E-3</v>
      </c>
      <c r="AK1038" s="101">
        <f>IF('Net zero activities &amp; levers'!$C$12="Off",Constants!$H67*'Activity data'!BD9*Constants!$H85*EF!$H210*MMVolatEF*NtoN2O*kgtoGg,Constants!$H67*'Net zero Activity data'!BD9*Constants!$H85*EF!$H210*MMVolatEF*NtoN2O*kgtoGg)</f>
        <v>-2.9547117917782697E-3</v>
      </c>
      <c r="AL1038" s="101">
        <f>IF('Net zero activities &amp; levers'!$C$12="Off",Constants!$H67*'Activity data'!BE9*Constants!$H85*EF!$H210*MMVolatEF*NtoN2O*kgtoGg,Constants!$H67*'Net zero Activity data'!BE9*Constants!$H85*EF!$H210*MMVolatEF*NtoN2O*kgtoGg)</f>
        <v>-2.8844632142294947E-3</v>
      </c>
      <c r="AM1038" s="101">
        <f>IF('Net zero activities &amp; levers'!$C$12="Off",Constants!$H67*'Activity data'!BF9*Constants!$H85*EF!$H210*MMVolatEF*NtoN2O*kgtoGg,Constants!$H67*'Net zero Activity data'!BF9*Constants!$H85*EF!$H210*MMVolatEF*NtoN2O*kgtoGg)</f>
        <v>-2.8152132408821133E-3</v>
      </c>
      <c r="AN1038" s="101">
        <f>IF('Net zero activities &amp; levers'!$C$12="Off",Constants!$H67*'Activity data'!BG9*Constants!$H85*EF!$H210*MMVolatEF*NtoN2O*kgtoGg,Constants!$H67*'Net zero Activity data'!BG9*Constants!$H85*EF!$H210*MMVolatEF*NtoN2O*kgtoGg)</f>
        <v>-2.7590671775430979E-3</v>
      </c>
      <c r="AO1038" s="101">
        <f>IF('Net zero activities &amp; levers'!$C$12="Off",Constants!$H67*'Activity data'!BH9*Constants!$H85*EF!$H210*MMVolatEF*NtoN2O*kgtoGg,Constants!$H67*'Net zero Activity data'!BH9*Constants!$H85*EF!$H210*MMVolatEF*NtoN2O*kgtoGg)</f>
        <v>-2.7037691326770971E-3</v>
      </c>
      <c r="AP1038" s="101">
        <f>IF('Net zero activities &amp; levers'!$C$12="Off",Constants!$H67*'Activity data'!BI9*Constants!$H85*EF!$H210*MMVolatEF*NtoN2O*kgtoGg,Constants!$H67*'Net zero Activity data'!BI9*Constants!$H85*EF!$H210*MMVolatEF*NtoN2O*kgtoGg)</f>
        <v>-2.6492806782909082E-3</v>
      </c>
      <c r="AQ1038" s="101">
        <f>IF('Net zero activities &amp; levers'!$C$12="Off",Constants!$H67*'Activity data'!BJ9*Constants!$H85*EF!$H210*MMVolatEF*NtoN2O*kgtoGg,Constants!$H67*'Net zero Activity data'!BJ9*Constants!$H85*EF!$H210*MMVolatEF*NtoN2O*kgtoGg)</f>
        <v>-2.5955657764140799E-3</v>
      </c>
      <c r="AR1038" s="101">
        <f>IF('Net zero activities &amp; levers'!$C$12="Off",Constants!$H67*'Activity data'!BK9*Constants!$H85*EF!$H210*MMVolatEF*NtoN2O*kgtoGg,Constants!$H67*'Net zero Activity data'!BK9*Constants!$H85*EF!$H210*MMVolatEF*NtoN2O*kgtoGg)</f>
        <v>-2.5425905809265438E-3</v>
      </c>
      <c r="AS1038" s="101">
        <f>IF('Net zero activities &amp; levers'!$C$12="Off",Constants!$H67*'Activity data'!BL9*Constants!$H85*EF!$H210*MMVolatEF*NtoN2O*kgtoGg,Constants!$H67*'Net zero Activity data'!BL9*Constants!$H85*EF!$H210*MMVolatEF*NtoN2O*kgtoGg)</f>
        <v>-2.4886307532231877E-3</v>
      </c>
      <c r="AT1038" s="101">
        <f>IF('Net zero activities &amp; levers'!$C$12="Off",Constants!$H67*'Activity data'!BM9*Constants!$H85*EF!$H210*MMVolatEF*NtoN2O*kgtoGg,Constants!$H67*'Net zero Activity data'!BM9*Constants!$H85*EF!$H210*MMVolatEF*NtoN2O*kgtoGg)</f>
        <v>-2.4354129419656258E-3</v>
      </c>
      <c r="AU1038" s="101">
        <f>IF('Net zero activities &amp; levers'!$C$12="Off",Constants!$H67*'Activity data'!BN9*Constants!$H85*EF!$H210*MMVolatEF*NtoN2O*kgtoGg,Constants!$H67*'Net zero Activity data'!BN9*Constants!$H85*EF!$H210*MMVolatEF*NtoN2O*kgtoGg)</f>
        <v>-2.3829079573799484E-3</v>
      </c>
      <c r="AV1038" s="101">
        <f>IF('Net zero activities &amp; levers'!$C$12="Off",Constants!$H67*'Activity data'!BO9*Constants!$H85*EF!$H210*MMVolatEF*NtoN2O*kgtoGg,Constants!$H67*'Net zero Activity data'!BO9*Constants!$H85*EF!$H210*MMVolatEF*NtoN2O*kgtoGg)</f>
        <v>-2.3310882496665208E-3</v>
      </c>
      <c r="AW1038" s="101">
        <f>IF('Net zero activities &amp; levers'!$C$12="Off",Constants!$H67*'Activity data'!BP9*Constants!$H85*EF!$H210*MMVolatEF*NtoN2O*kgtoGg,Constants!$H67*'Net zero Activity data'!BP9*Constants!$H85*EF!$H210*MMVolatEF*NtoN2O*kgtoGg)</f>
        <v>-2.279927786449339E-3</v>
      </c>
      <c r="AY1038" s="85"/>
      <c r="AZ1038" s="85"/>
    </row>
    <row r="1039" spans="1:52" x14ac:dyDescent="0.25">
      <c r="A1039" s="102" t="str">
        <f t="shared" si="345"/>
        <v>DS MM Volatilisation</v>
      </c>
      <c r="B1039" s="102" t="s">
        <v>975</v>
      </c>
      <c r="C1039" s="102" t="s">
        <v>1333</v>
      </c>
      <c r="D1039" t="s">
        <v>369</v>
      </c>
      <c r="E1039" t="s">
        <v>64</v>
      </c>
      <c r="F1039" t="s">
        <v>62</v>
      </c>
      <c r="G1039" t="s">
        <v>1163</v>
      </c>
      <c r="H1039" t="s">
        <v>1296</v>
      </c>
      <c r="I1039" t="s">
        <v>139</v>
      </c>
      <c r="J1039" t="s">
        <v>287</v>
      </c>
      <c r="K1039" s="101">
        <f>IF('Net zero activities &amp; levers'!$C$12="Off",Constants!$H68*'Activity data'!AD10*Constants!$H86*EF!$H211*MMVolatEF*NtoN2O*kgtoGg,Constants!$H68*'Net zero Activity data'!AD10*Constants!$H86*EF!$H211*MMVolatEF*NtoN2O*kgtoGg)</f>
        <v>0.15922781806557695</v>
      </c>
      <c r="L1039" s="101">
        <f>IF('Net zero activities &amp; levers'!$C$12="Off",Constants!$H68*'Activity data'!AE10*Constants!$H86*EF!$H211*MMVolatEF*NtoN2O*kgtoGg,Constants!$H68*'Net zero Activity data'!AE10*Constants!$H86*EF!$H211*MMVolatEF*NtoN2O*kgtoGg)</f>
        <v>0.16489874459702494</v>
      </c>
      <c r="M1039" s="101">
        <f>IF('Net zero activities &amp; levers'!$C$12="Off",Constants!$H68*'Activity data'!AF10*Constants!$H86*EF!$H211*MMVolatEF*NtoN2O*kgtoGg,Constants!$H68*'Net zero Activity data'!AF10*Constants!$H86*EF!$H211*MMVolatEF*NtoN2O*kgtoGg)</f>
        <v>0.16939991585045727</v>
      </c>
      <c r="N1039" s="101">
        <f>IF('Net zero activities &amp; levers'!$C$12="Off",Constants!$H68*'Activity data'!AG10*Constants!$H86*EF!$H211*MMVolatEF*NtoN2O*kgtoGg,Constants!$H68*'Net zero Activity data'!AG10*Constants!$H86*EF!$H211*MMVolatEF*NtoN2O*kgtoGg)</f>
        <v>0.17218348693308003</v>
      </c>
      <c r="O1039" s="101">
        <f>IF('Net zero activities &amp; levers'!$C$12="Off",Constants!$H68*'Activity data'!AH10*Constants!$H86*EF!$H211*MMVolatEF*NtoN2O*kgtoGg,Constants!$H68*'Net zero Activity data'!AH10*Constants!$H86*EF!$H211*MMVolatEF*NtoN2O*kgtoGg)</f>
        <v>0.17497286890553645</v>
      </c>
      <c r="P1039" s="101">
        <f>IF('Net zero activities &amp; levers'!$C$12="Off",Constants!$H68*'Activity data'!AI10*Constants!$H86*EF!$H211*MMVolatEF*NtoN2O*kgtoGg,Constants!$H68*'Net zero Activity data'!AI10*Constants!$H86*EF!$H211*MMVolatEF*NtoN2O*kgtoGg)</f>
        <v>0.17867712216797899</v>
      </c>
      <c r="Q1039" s="101">
        <f>IF('Net zero activities &amp; levers'!$C$12="Off",Constants!$H68*'Activity data'!AJ10*Constants!$H86*EF!$H211*MMVolatEF*NtoN2O*kgtoGg,Constants!$H68*'Net zero Activity data'!AJ10*Constants!$H86*EF!$H211*MMVolatEF*NtoN2O*kgtoGg)</f>
        <v>0.18269010203222399</v>
      </c>
      <c r="R1039" s="101">
        <f>IF('Net zero activities &amp; levers'!$C$12="Off",Constants!$H68*'Activity data'!AK10*Constants!$H86*EF!$H211*MMVolatEF*NtoN2O*kgtoGg,Constants!$H68*'Net zero Activity data'!AK10*Constants!$H86*EF!$H211*MMVolatEF*NtoN2O*kgtoGg)</f>
        <v>0.18477850416218133</v>
      </c>
      <c r="S1039" s="101">
        <f>IF('Net zero activities &amp; levers'!$C$12="Off",Constants!$H68*'Activity data'!AL10*Constants!$H86*EF!$H211*MMVolatEF*NtoN2O*kgtoGg,Constants!$H68*'Net zero Activity data'!AL10*Constants!$H86*EF!$H211*MMVolatEF*NtoN2O*kgtoGg)</f>
        <v>0.16857906885266413</v>
      </c>
      <c r="T1039" s="101">
        <f>IF('Net zero activities &amp; levers'!$C$12="Off",Constants!$H68*'Activity data'!AM10*Constants!$H86*EF!$H211*MMVolatEF*NtoN2O*kgtoGg,Constants!$H68*'Net zero Activity data'!AM10*Constants!$H86*EF!$H211*MMVolatEF*NtoN2O*kgtoGg)</f>
        <v>0.17425287964090236</v>
      </c>
      <c r="U1039" s="101">
        <f>IF('Net zero activities &amp; levers'!$C$12="Off",Constants!$H68*'Activity data'!AN10*Constants!$H86*EF!$H211*MMVolatEF*NtoN2O*kgtoGg,Constants!$H68*'Net zero Activity data'!AN10*Constants!$H86*EF!$H211*MMVolatEF*NtoN2O*kgtoGg)</f>
        <v>0.17949945582313931</v>
      </c>
      <c r="V1039" s="101">
        <f>IF('Net zero activities &amp; levers'!$C$12="Off",Constants!$H68*'Activity data'!AO10*Constants!$H86*EF!$H211*MMVolatEF*NtoN2O*kgtoGg,Constants!$H68*'Net zero Activity data'!AO10*Constants!$H86*EF!$H211*MMVolatEF*NtoN2O*kgtoGg)</f>
        <v>0.18480458029183697</v>
      </c>
      <c r="W1039" s="101">
        <f>IF('Net zero activities &amp; levers'!$C$12="Off",Constants!$H68*'Activity data'!AP10*Constants!$H86*EF!$H211*MMVolatEF*NtoN2O*kgtoGg,Constants!$H68*'Net zero Activity data'!AP10*Constants!$H86*EF!$H211*MMVolatEF*NtoN2O*kgtoGg)</f>
        <v>0.19096302657670283</v>
      </c>
      <c r="X1039" s="101">
        <f>IF('Net zero activities &amp; levers'!$C$12="Off",Constants!$H68*'Activity data'!AQ10*Constants!$H86*EF!$H211*MMVolatEF*NtoN2O*kgtoGg,Constants!$H68*'Net zero Activity data'!AQ10*Constants!$H86*EF!$H211*MMVolatEF*NtoN2O*kgtoGg)</f>
        <v>0.19719436509402946</v>
      </c>
      <c r="Y1039" s="101">
        <f>IF('Net zero activities &amp; levers'!$C$12="Off",Constants!$H68*'Activity data'!AR10*Constants!$H86*EF!$H211*MMVolatEF*NtoN2O*kgtoGg,Constants!$H68*'Net zero Activity data'!AR10*Constants!$H86*EF!$H211*MMVolatEF*NtoN2O*kgtoGg)</f>
        <v>0.20366092227158905</v>
      </c>
      <c r="Z1039" s="101">
        <f>IF('Net zero activities &amp; levers'!$C$12="Off",Constants!$H68*'Activity data'!AS10*Constants!$H86*EF!$H211*MMVolatEF*NtoN2O*kgtoGg,Constants!$H68*'Net zero Activity data'!AS10*Constants!$H86*EF!$H211*MMVolatEF*NtoN2O*kgtoGg)</f>
        <v>0.21000736593010838</v>
      </c>
      <c r="AA1039" s="101">
        <f>IF('Net zero activities &amp; levers'!$C$12="Off",Constants!$H68*'Activity data'!AT10*Constants!$H86*EF!$H211*MMVolatEF*NtoN2O*kgtoGg,Constants!$H68*'Net zero Activity data'!AT10*Constants!$H86*EF!$H211*MMVolatEF*NtoN2O*kgtoGg)</f>
        <v>0.21674936909166895</v>
      </c>
      <c r="AB1039" s="101">
        <f>IF('Net zero activities &amp; levers'!$C$12="Off",Constants!$H68*'Activity data'!AU10*Constants!$H86*EF!$H211*MMVolatEF*NtoN2O*kgtoGg,Constants!$H68*'Net zero Activity data'!AU10*Constants!$H86*EF!$H211*MMVolatEF*NtoN2O*kgtoGg)</f>
        <v>0.22318188532765407</v>
      </c>
      <c r="AC1039" s="101">
        <f>IF('Net zero activities &amp; levers'!$C$12="Off",Constants!$H68*'Activity data'!AV10*Constants!$H86*EF!$H211*MMVolatEF*NtoN2O*kgtoGg,Constants!$H68*'Net zero Activity data'!AV10*Constants!$H86*EF!$H211*MMVolatEF*NtoN2O*kgtoGg)</f>
        <v>0.22980286680499964</v>
      </c>
      <c r="AD1039" s="101">
        <f>IF('Net zero activities &amp; levers'!$C$12="Off",Constants!$H68*'Activity data'!AW10*Constants!$H86*EF!$H211*MMVolatEF*NtoN2O*kgtoGg,Constants!$H68*'Net zero Activity data'!AW10*Constants!$H86*EF!$H211*MMVolatEF*NtoN2O*kgtoGg)</f>
        <v>0.2382309822629842</v>
      </c>
      <c r="AE1039" s="101">
        <f>IF('Net zero activities &amp; levers'!$C$12="Off",Constants!$H68*'Activity data'!AX10*Constants!$H86*EF!$H211*MMVolatEF*NtoN2O*kgtoGg,Constants!$H68*'Net zero Activity data'!AX10*Constants!$H86*EF!$H211*MMVolatEF*NtoN2O*kgtoGg)</f>
        <v>0.24730559399060587</v>
      </c>
      <c r="AF1039" s="101">
        <f>IF('Net zero activities &amp; levers'!$C$12="Off",Constants!$H68*'Activity data'!AY10*Constants!$H86*EF!$H211*MMVolatEF*NtoN2O*kgtoGg,Constants!$H68*'Net zero Activity data'!AY10*Constants!$H86*EF!$H211*MMVolatEF*NtoN2O*kgtoGg)</f>
        <v>0.25673647400031802</v>
      </c>
      <c r="AG1039" s="101">
        <f>IF('Net zero activities &amp; levers'!$C$12="Off",Constants!$H68*'Activity data'!AZ10*Constants!$H86*EF!$H211*MMVolatEF*NtoN2O*kgtoGg,Constants!$H68*'Net zero Activity data'!AZ10*Constants!$H86*EF!$H211*MMVolatEF*NtoN2O*kgtoGg)</f>
        <v>0.25964613908565431</v>
      </c>
      <c r="AH1039" s="101">
        <f>IF('Net zero activities &amp; levers'!$C$12="Off",Constants!$H68*'Activity data'!BA10*Constants!$H86*EF!$H211*MMVolatEF*NtoN2O*kgtoGg,Constants!$H68*'Net zero Activity data'!BA10*Constants!$H86*EF!$H211*MMVolatEF*NtoN2O*kgtoGg)</f>
        <v>-6.3291007360128299E-2</v>
      </c>
      <c r="AI1039" s="101">
        <f>IF('Net zero activities &amp; levers'!$C$12="Off",Constants!$H68*'Activity data'!BB10*Constants!$H86*EF!$H211*MMVolatEF*NtoN2O*kgtoGg,Constants!$H68*'Net zero Activity data'!BB10*Constants!$H86*EF!$H211*MMVolatEF*NtoN2O*kgtoGg)</f>
        <v>-6.3895366189305636E-2</v>
      </c>
      <c r="AJ1039" s="101">
        <f>IF('Net zero activities &amp; levers'!$C$12="Off",Constants!$H68*'Activity data'!BC10*Constants!$H86*EF!$H211*MMVolatEF*NtoN2O*kgtoGg,Constants!$H68*'Net zero Activity data'!BC10*Constants!$H86*EF!$H211*MMVolatEF*NtoN2O*kgtoGg)</f>
        <v>-6.4504638848078458E-2</v>
      </c>
      <c r="AK1039" s="101">
        <f>IF('Net zero activities &amp; levers'!$C$12="Off",Constants!$H68*'Activity data'!BD10*Constants!$H86*EF!$H211*MMVolatEF*NtoN2O*kgtoGg,Constants!$H68*'Net zero Activity data'!BD10*Constants!$H86*EF!$H211*MMVolatEF*NtoN2O*kgtoGg)</f>
        <v>-6.5118871838809281E-2</v>
      </c>
      <c r="AL1039" s="101">
        <f>IF('Net zero activities &amp; levers'!$C$12="Off",Constants!$H68*'Activity data'!BE10*Constants!$H86*EF!$H211*MMVolatEF*NtoN2O*kgtoGg,Constants!$H68*'Net zero Activity data'!BE10*Constants!$H86*EF!$H211*MMVolatEF*NtoN2O*kgtoGg)</f>
        <v>-6.5738112081384775E-2</v>
      </c>
      <c r="AM1039" s="101">
        <f>IF('Net zero activities &amp; levers'!$C$12="Off",Constants!$H68*'Activity data'!BF10*Constants!$H86*EF!$H211*MMVolatEF*NtoN2O*kgtoGg,Constants!$H68*'Net zero Activity data'!BF10*Constants!$H86*EF!$H211*MMVolatEF*NtoN2O*kgtoGg)</f>
        <v>-6.6362406916836855E-2</v>
      </c>
      <c r="AN1039" s="101">
        <f>IF('Net zero activities &amp; levers'!$C$12="Off",Constants!$H68*'Activity data'!BG10*Constants!$H86*EF!$H211*MMVolatEF*NtoN2O*kgtoGg,Constants!$H68*'Net zero Activity data'!BG10*Constants!$H86*EF!$H211*MMVolatEF*NtoN2O*kgtoGg)</f>
        <v>-6.6863409386316588E-2</v>
      </c>
      <c r="AO1039" s="101">
        <f>IF('Net zero activities &amp; levers'!$C$12="Off",Constants!$H68*'Activity data'!BH10*Constants!$H86*EF!$H211*MMVolatEF*NtoN2O*kgtoGg,Constants!$H68*'Net zero Activity data'!BH10*Constants!$H86*EF!$H211*MMVolatEF*NtoN2O*kgtoGg)</f>
        <v>-6.7367867762467962E-2</v>
      </c>
      <c r="AP1039" s="101">
        <f>IF('Net zero activities &amp; levers'!$C$12="Off",Constants!$H68*'Activity data'!BI10*Constants!$H86*EF!$H211*MMVolatEF*NtoN2O*kgtoGg,Constants!$H68*'Net zero Activity data'!BI10*Constants!$H86*EF!$H211*MMVolatEF*NtoN2O*kgtoGg)</f>
        <v>-6.7875809396751335E-2</v>
      </c>
      <c r="AQ1039" s="101">
        <f>IF('Net zero activities &amp; levers'!$C$12="Off",Constants!$H68*'Activity data'!BJ10*Constants!$H86*EF!$H211*MMVolatEF*NtoN2O*kgtoGg,Constants!$H68*'Net zero Activity data'!BJ10*Constants!$H86*EF!$H211*MMVolatEF*NtoN2O*kgtoGg)</f>
        <v>-6.8387261847069211E-2</v>
      </c>
      <c r="AR1039" s="101">
        <f>IF('Net zero activities &amp; levers'!$C$12="Off",Constants!$H68*'Activity data'!BK10*Constants!$H86*EF!$H211*MMVolatEF*NtoN2O*kgtoGg,Constants!$H68*'Net zero Activity data'!BK10*Constants!$H86*EF!$H211*MMVolatEF*NtoN2O*kgtoGg)</f>
        <v>-6.8902252879275511E-2</v>
      </c>
      <c r="AS1039" s="101">
        <f>IF('Net zero activities &amp; levers'!$C$12="Off",Constants!$H68*'Activity data'!BL10*Constants!$H86*EF!$H211*MMVolatEF*NtoN2O*kgtoGg,Constants!$H68*'Net zero Activity data'!BL10*Constants!$H86*EF!$H211*MMVolatEF*NtoN2O*kgtoGg)</f>
        <v>-6.9373629780267981E-2</v>
      </c>
      <c r="AT1039" s="101">
        <f>IF('Net zero activities &amp; levers'!$C$12="Off",Constants!$H68*'Activity data'!BM10*Constants!$H86*EF!$H211*MMVolatEF*NtoN2O*kgtoGg,Constants!$H68*'Net zero Activity data'!BM10*Constants!$H86*EF!$H211*MMVolatEF*NtoN2O*kgtoGg)</f>
        <v>-6.9847719512371606E-2</v>
      </c>
      <c r="AU1039" s="101">
        <f>IF('Net zero activities &amp; levers'!$C$12="Off",Constants!$H68*'Activity data'!BN10*Constants!$H86*EF!$H211*MMVolatEF*NtoN2O*kgtoGg,Constants!$H68*'Net zero Activity data'!BN10*Constants!$H86*EF!$H211*MMVolatEF*NtoN2O*kgtoGg)</f>
        <v>-7.0324540021641888E-2</v>
      </c>
      <c r="AV1039" s="101">
        <f>IF('Net zero activities &amp; levers'!$C$12="Off",Constants!$H68*'Activity data'!BO10*Constants!$H86*EF!$H211*MMVolatEF*NtoN2O*kgtoGg,Constants!$H68*'Net zero Activity data'!BO10*Constants!$H86*EF!$H211*MMVolatEF*NtoN2O*kgtoGg)</f>
        <v>-7.0804109366663218E-2</v>
      </c>
      <c r="AW1039" s="101">
        <f>IF('Net zero activities &amp; levers'!$C$12="Off",Constants!$H68*'Activity data'!BP10*Constants!$H86*EF!$H211*MMVolatEF*NtoN2O*kgtoGg,Constants!$H68*'Net zero Activity data'!BP10*Constants!$H86*EF!$H211*MMVolatEF*NtoN2O*kgtoGg)</f>
        <v>-7.1286445719229846E-2</v>
      </c>
      <c r="AY1039" s="85"/>
      <c r="AZ1039" s="85"/>
    </row>
    <row r="1040" spans="1:52" x14ac:dyDescent="0.25">
      <c r="A1040" s="102" t="str">
        <f t="shared" si="345"/>
        <v>DS MM Volatilisation</v>
      </c>
      <c r="B1040" s="102" t="s">
        <v>975</v>
      </c>
      <c r="C1040" s="102" t="s">
        <v>1333</v>
      </c>
      <c r="D1040" t="s">
        <v>369</v>
      </c>
      <c r="E1040" t="s">
        <v>64</v>
      </c>
      <c r="F1040" t="s">
        <v>62</v>
      </c>
      <c r="G1040" t="s">
        <v>1165</v>
      </c>
      <c r="H1040" t="s">
        <v>1297</v>
      </c>
      <c r="I1040" t="s">
        <v>139</v>
      </c>
      <c r="J1040" t="s">
        <v>287</v>
      </c>
      <c r="K1040" s="101">
        <f>IF('Net zero activities &amp; levers'!$C$12="Off",Constants!$H69*'Activity data'!AD11*Constants!$H87*EF!$H212*MMVolatEF*NtoN2O*kgtoGg,IF('Net zero activities &amp; levers'!$C$12="PB",Constants!$H69*'Activity data'!AD11*Constants!$H87*EF!$H212*MMVolatEF*NtoN2O*kgtoGg,IF('Net zero activities &amp; levers'!$C$12="MS",Constants!$H69*'Net zero Activity data'!AD11*Constants!$H87*EF!$H212*MMVolatEF*NtoN2O*kgtoGg,"ERROR")))</f>
        <v>1.171858684484313E-4</v>
      </c>
      <c r="L1040" s="101">
        <f>IF('Net zero activities &amp; levers'!$C$12="Off",Constants!$H69*'Activity data'!AE11*Constants!$H87*EF!$H212*MMVolatEF*NtoN2O*kgtoGg,IF('Net zero activities &amp; levers'!$C$12="PB",Constants!$H69*'Activity data'!AE11*Constants!$H87*EF!$H212*MMVolatEF*NtoN2O*kgtoGg,IF('Net zero activities &amp; levers'!$C$12="MS",Constants!$H69*'Net zero Activity data'!AE11*Constants!$H87*EF!$H212*MMVolatEF*NtoN2O*kgtoGg,"ERROR")))</f>
        <v>1.1724986264912743E-4</v>
      </c>
      <c r="M1040" s="101">
        <f>IF('Net zero activities &amp; levers'!$C$12="Off",Constants!$H69*'Activity data'!AF11*Constants!$H87*EF!$H212*MMVolatEF*NtoN2O*kgtoGg,IF('Net zero activities &amp; levers'!$C$12="PB",Constants!$H69*'Activity data'!AF11*Constants!$H87*EF!$H212*MMVolatEF*NtoN2O*kgtoGg,IF('Net zero activities &amp; levers'!$C$12="MS",Constants!$H69*'Net zero Activity data'!AF11*Constants!$H87*EF!$H212*MMVolatEF*NtoN2O*kgtoGg,"ERROR")))</f>
        <v>1.1739315795736154E-4</v>
      </c>
      <c r="N1040" s="101">
        <f>IF('Net zero activities &amp; levers'!$C$12="Off",Constants!$H69*'Activity data'!AG11*Constants!$H87*EF!$H212*MMVolatEF*NtoN2O*kgtoGg,IF('Net zero activities &amp; levers'!$C$12="PB",Constants!$H69*'Activity data'!AG11*Constants!$H87*EF!$H212*MMVolatEF*NtoN2O*kgtoGg,IF('Net zero activities &amp; levers'!$C$12="MS",Constants!$H69*'Net zero Activity data'!AG11*Constants!$H87*EF!$H212*MMVolatEF*NtoN2O*kgtoGg,"ERROR")))</f>
        <v>1.1760884747933323E-4</v>
      </c>
      <c r="O1040" s="101">
        <f>IF('Net zero activities &amp; levers'!$C$12="Off",Constants!$H69*'Activity data'!AH11*Constants!$H87*EF!$H212*MMVolatEF*NtoN2O*kgtoGg,IF('Net zero activities &amp; levers'!$C$12="PB",Constants!$H69*'Activity data'!AH11*Constants!$H87*EF!$H212*MMVolatEF*NtoN2O*kgtoGg,IF('Net zero activities &amp; levers'!$C$12="MS",Constants!$H69*'Net zero Activity data'!AH11*Constants!$H87*EF!$H212*MMVolatEF*NtoN2O*kgtoGg,"ERROR")))</f>
        <v>1.1789981697079396E-4</v>
      </c>
      <c r="P1040" s="101">
        <f>IF('Net zero activities &amp; levers'!$C$12="Off",Constants!$H69*'Activity data'!AI11*Constants!$H87*EF!$H212*MMVolatEF*NtoN2O*kgtoGg,IF('Net zero activities &amp; levers'!$C$12="PB",Constants!$H69*'Activity data'!AI11*Constants!$H87*EF!$H212*MMVolatEF*NtoN2O*kgtoGg,IF('Net zero activities &amp; levers'!$C$12="MS",Constants!$H69*'Net zero Activity data'!AI11*Constants!$H87*EF!$H212*MMVolatEF*NtoN2O*kgtoGg,"ERROR")))</f>
        <v>1.1826637517857024E-4</v>
      </c>
      <c r="Q1040" s="101">
        <f>IF('Net zero activities &amp; levers'!$C$12="Off",Constants!$H69*'Activity data'!AJ11*Constants!$H87*EF!$H212*MMVolatEF*NtoN2O*kgtoGg,IF('Net zero activities &amp; levers'!$C$12="PB",Constants!$H69*'Activity data'!AJ11*Constants!$H87*EF!$H212*MMVolatEF*NtoN2O*kgtoGg,IF('Net zero activities &amp; levers'!$C$12="MS",Constants!$H69*'Net zero Activity data'!AJ11*Constants!$H87*EF!$H212*MMVolatEF*NtoN2O*kgtoGg,"ERROR")))</f>
        <v>1.1867470616236446E-4</v>
      </c>
      <c r="R1040" s="101">
        <f>IF('Net zero activities &amp; levers'!$C$12="Off",Constants!$H69*'Activity data'!AK11*Constants!$H87*EF!$H212*MMVolatEF*NtoN2O*kgtoGg,IF('Net zero activities &amp; levers'!$C$12="PB",Constants!$H69*'Activity data'!AK11*Constants!$H87*EF!$H212*MMVolatEF*NtoN2O*kgtoGg,IF('Net zero activities &amp; levers'!$C$12="MS",Constants!$H69*'Net zero Activity data'!AK11*Constants!$H87*EF!$H212*MMVolatEF*NtoN2O*kgtoGg,"ERROR")))</f>
        <v>1.1911724401941935E-4</v>
      </c>
      <c r="S1040" s="101">
        <f>IF('Net zero activities &amp; levers'!$C$12="Off",Constants!$H69*'Activity data'!AL11*Constants!$H87*EF!$H212*MMVolatEF*NtoN2O*kgtoGg,IF('Net zero activities &amp; levers'!$C$12="PB",Constants!$H69*'Activity data'!AL11*Constants!$H87*EF!$H212*MMVolatEF*NtoN2O*kgtoGg,IF('Net zero activities &amp; levers'!$C$12="MS",Constants!$H69*'Net zero Activity data'!AL11*Constants!$H87*EF!$H212*MMVolatEF*NtoN2O*kgtoGg,"ERROR")))</f>
        <v>1.1953310214883348E-4</v>
      </c>
      <c r="T1040" s="101">
        <f>IF('Net zero activities &amp; levers'!$C$12="Off",Constants!$H69*'Activity data'!AM11*Constants!$H87*EF!$H212*MMVolatEF*NtoN2O*kgtoGg,IF('Net zero activities &amp; levers'!$C$12="PB",Constants!$H69*'Activity data'!AM11*Constants!$H87*EF!$H212*MMVolatEF*NtoN2O*kgtoGg,IF('Net zero activities &amp; levers'!$C$12="MS",Constants!$H69*'Net zero Activity data'!AM11*Constants!$H87*EF!$H212*MMVolatEF*NtoN2O*kgtoGg,"ERROR")))</f>
        <v>1.197068141423074E-4</v>
      </c>
      <c r="U1040" s="101">
        <f>IF('Net zero activities &amp; levers'!$C$12="Off",Constants!$H69*'Activity data'!AN11*Constants!$H87*EF!$H212*MMVolatEF*NtoN2O*kgtoGg,IF('Net zero activities &amp; levers'!$C$12="PB",Constants!$H69*'Activity data'!AN11*Constants!$H87*EF!$H212*MMVolatEF*NtoN2O*kgtoGg,IF('Net zero activities &amp; levers'!$C$12="MS",Constants!$H69*'Net zero Activity data'!AN11*Constants!$H87*EF!$H212*MMVolatEF*NtoN2O*kgtoGg,"ERROR")))</f>
        <v>1.199083856789491E-4</v>
      </c>
      <c r="V1040" s="101">
        <f>IF('Net zero activities &amp; levers'!$C$12="Off",Constants!$H69*'Activity data'!AO11*Constants!$H87*EF!$H212*MMVolatEF*NtoN2O*kgtoGg,IF('Net zero activities &amp; levers'!$C$12="PB",Constants!$H69*'Activity data'!AO11*Constants!$H87*EF!$H212*MMVolatEF*NtoN2O*kgtoGg,IF('Net zero activities &amp; levers'!$C$12="MS",Constants!$H69*'Net zero Activity data'!AO11*Constants!$H87*EF!$H212*MMVolatEF*NtoN2O*kgtoGg,"ERROR")))</f>
        <v>1.201377754278402E-4</v>
      </c>
      <c r="W1040" s="101">
        <f>IF('Net zero activities &amp; levers'!$C$12="Off",Constants!$H69*'Activity data'!AP11*Constants!$H87*EF!$H212*MMVolatEF*NtoN2O*kgtoGg,IF('Net zero activities &amp; levers'!$C$12="PB",Constants!$H69*'Activity data'!AP11*Constants!$H87*EF!$H212*MMVolatEF*NtoN2O*kgtoGg,IF('Net zero activities &amp; levers'!$C$12="MS",Constants!$H69*'Net zero Activity data'!AP11*Constants!$H87*EF!$H212*MMVolatEF*NtoN2O*kgtoGg,"ERROR")))</f>
        <v>1.2039617188423161E-4</v>
      </c>
      <c r="X1040" s="101">
        <f>IF('Net zero activities &amp; levers'!$C$12="Off",Constants!$H69*'Activity data'!AQ11*Constants!$H87*EF!$H212*MMVolatEF*NtoN2O*kgtoGg,IF('Net zero activities &amp; levers'!$C$12="PB",Constants!$H69*'Activity data'!AQ11*Constants!$H87*EF!$H212*MMVolatEF*NtoN2O*kgtoGg,IF('Net zero activities &amp; levers'!$C$12="MS",Constants!$H69*'Net zero Activity data'!AQ11*Constants!$H87*EF!$H212*MMVolatEF*NtoN2O*kgtoGg,"ERROR")))</f>
        <v>1.2067943256873451E-4</v>
      </c>
      <c r="Y1040" s="101">
        <f>IF('Net zero activities &amp; levers'!$C$12="Off",Constants!$H69*'Activity data'!AR11*Constants!$H87*EF!$H212*MMVolatEF*NtoN2O*kgtoGg,IF('Net zero activities &amp; levers'!$C$12="PB",Constants!$H69*'Activity data'!AR11*Constants!$H87*EF!$H212*MMVolatEF*NtoN2O*kgtoGg,IF('Net zero activities &amp; levers'!$C$12="MS",Constants!$H69*'Net zero Activity data'!AR11*Constants!$H87*EF!$H212*MMVolatEF*NtoN2O*kgtoGg,"ERROR")))</f>
        <v>1.2085380112251055E-4</v>
      </c>
      <c r="Z1040" s="101">
        <f>IF('Net zero activities &amp; levers'!$C$12="Off",Constants!$H69*'Activity data'!AS11*Constants!$H87*EF!$H212*MMVolatEF*NtoN2O*kgtoGg,IF('Net zero activities &amp; levers'!$C$12="PB",Constants!$H69*'Activity data'!AS11*Constants!$H87*EF!$H212*MMVolatEF*NtoN2O*kgtoGg,IF('Net zero activities &amp; levers'!$C$12="MS",Constants!$H69*'Net zero Activity data'!AS11*Constants!$H87*EF!$H212*MMVolatEF*NtoN2O*kgtoGg,"ERROR")))</f>
        <v>1.2104857439732012E-4</v>
      </c>
      <c r="AA1040" s="101">
        <f>IF('Net zero activities &amp; levers'!$C$12="Off",Constants!$H69*'Activity data'!AT11*Constants!$H87*EF!$H212*MMVolatEF*NtoN2O*kgtoGg,IF('Net zero activities &amp; levers'!$C$12="PB",Constants!$H69*'Activity data'!AT11*Constants!$H87*EF!$H212*MMVolatEF*NtoN2O*kgtoGg,IF('Net zero activities &amp; levers'!$C$12="MS",Constants!$H69*'Net zero Activity data'!AT11*Constants!$H87*EF!$H212*MMVolatEF*NtoN2O*kgtoGg,"ERROR")))</f>
        <v>1.2126445921474039E-4</v>
      </c>
      <c r="AB1040" s="101">
        <f>IF('Net zero activities &amp; levers'!$C$12="Off",Constants!$H69*'Activity data'!AU11*Constants!$H87*EF!$H212*MMVolatEF*NtoN2O*kgtoGg,IF('Net zero activities &amp; levers'!$C$12="PB",Constants!$H69*'Activity data'!AU11*Constants!$H87*EF!$H212*MMVolatEF*NtoN2O*kgtoGg,IF('Net zero activities &amp; levers'!$C$12="MS",Constants!$H69*'Net zero Activity data'!AU11*Constants!$H87*EF!$H212*MMVolatEF*NtoN2O*kgtoGg,"ERROR")))</f>
        <v>1.2149813863258011E-4</v>
      </c>
      <c r="AC1040" s="101">
        <f>IF('Net zero activities &amp; levers'!$C$12="Off",Constants!$H69*'Activity data'!AV11*Constants!$H87*EF!$H212*MMVolatEF*NtoN2O*kgtoGg,IF('Net zero activities &amp; levers'!$C$12="PB",Constants!$H69*'Activity data'!AV11*Constants!$H87*EF!$H212*MMVolatEF*NtoN2O*kgtoGg,IF('Net zero activities &amp; levers'!$C$12="MS",Constants!$H69*'Net zero Activity data'!AV11*Constants!$H87*EF!$H212*MMVolatEF*NtoN2O*kgtoGg,"ERROR")))</f>
        <v>1.2175044819305052E-4</v>
      </c>
      <c r="AD1040" s="101">
        <f>IF('Net zero activities &amp; levers'!$C$12="Off",Constants!$H69*'Activity data'!AW11*Constants!$H87*EF!$H212*MMVolatEF*NtoN2O*kgtoGg,IF('Net zero activities &amp; levers'!$C$12="PB",Constants!$H69*'Activity data'!AW11*Constants!$H87*EF!$H212*MMVolatEF*NtoN2O*kgtoGg,IF('Net zero activities &amp; levers'!$C$12="MS",Constants!$H69*'Net zero Activity data'!AW11*Constants!$H87*EF!$H212*MMVolatEF*NtoN2O*kgtoGg,"ERROR")))</f>
        <v>1.2191654827812353E-4</v>
      </c>
      <c r="AE1040" s="101">
        <f>IF('Net zero activities &amp; levers'!$C$12="Off",Constants!$H69*'Activity data'!AX11*Constants!$H87*EF!$H212*MMVolatEF*NtoN2O*kgtoGg,IF('Net zero activities &amp; levers'!$C$12="PB",Constants!$H69*'Activity data'!AX11*Constants!$H87*EF!$H212*MMVolatEF*NtoN2O*kgtoGg,IF('Net zero activities &amp; levers'!$C$12="MS",Constants!$H69*'Net zero Activity data'!AX11*Constants!$H87*EF!$H212*MMVolatEF*NtoN2O*kgtoGg,"ERROR")))</f>
        <v>1.2210011953046386E-4</v>
      </c>
      <c r="AF1040" s="101">
        <f>IF('Net zero activities &amp; levers'!$C$12="Off",Constants!$H69*'Activity data'!AY11*Constants!$H87*EF!$H212*MMVolatEF*NtoN2O*kgtoGg,IF('Net zero activities &amp; levers'!$C$12="PB",Constants!$H69*'Activity data'!AY11*Constants!$H87*EF!$H212*MMVolatEF*NtoN2O*kgtoGg,IF('Net zero activities &amp; levers'!$C$12="MS",Constants!$H69*'Net zero Activity data'!AY11*Constants!$H87*EF!$H212*MMVolatEF*NtoN2O*kgtoGg,"ERROR")))</f>
        <v>1.2229951100214118E-4</v>
      </c>
      <c r="AG1040" s="101">
        <f>IF('Net zero activities &amp; levers'!$C$12="Off",Constants!$H69*'Activity data'!AZ11*Constants!$H87*EF!$H212*MMVolatEF*NtoN2O*kgtoGg,IF('Net zero activities &amp; levers'!$C$12="PB",Constants!$H69*'Activity data'!AZ11*Constants!$H87*EF!$H212*MMVolatEF*NtoN2O*kgtoGg,IF('Net zero activities &amp; levers'!$C$12="MS",Constants!$H69*'Net zero Activity data'!AZ11*Constants!$H87*EF!$H212*MMVolatEF*NtoN2O*kgtoGg,"ERROR")))</f>
        <v>1.2249214859428272E-4</v>
      </c>
      <c r="AH1040" s="101">
        <f>IF('Net zero activities &amp; levers'!$C$12="Off",Constants!$H69*'Activity data'!BA11*Constants!$H87*EF!$H212*MMVolatEF*NtoN2O*kgtoGg,IF('Net zero activities &amp; levers'!$C$12="PB",Constants!$H69*'Activity data'!BA11*Constants!$H87*EF!$H212*MMVolatEF*NtoN2O*kgtoGg,IF('Net zero activities &amp; levers'!$C$12="MS",Constants!$H69*'Net zero Activity data'!BA11*Constants!$H87*EF!$H212*MMVolatEF*NtoN2O*kgtoGg,"ERROR")))</f>
        <v>1.2166856520731395E-4</v>
      </c>
      <c r="AI1040" s="101">
        <f>IF('Net zero activities &amp; levers'!$C$12="Off",Constants!$H69*'Activity data'!BB11*Constants!$H87*EF!$H212*MMVolatEF*NtoN2O*kgtoGg,IF('Net zero activities &amp; levers'!$C$12="PB",Constants!$H69*'Activity data'!BB11*Constants!$H87*EF!$H212*MMVolatEF*NtoN2O*kgtoGg,IF('Net zero activities &amp; levers'!$C$12="MS",Constants!$H69*'Net zero Activity data'!BB11*Constants!$H87*EF!$H212*MMVolatEF*NtoN2O*kgtoGg,"ERROR")))</f>
        <v>1.2178552707040833E-4</v>
      </c>
      <c r="AJ1040" s="101">
        <f>IF('Net zero activities &amp; levers'!$C$12="Off",Constants!$H69*'Activity data'!BC11*Constants!$H87*EF!$H212*MMVolatEF*NtoN2O*kgtoGg,IF('Net zero activities &amp; levers'!$C$12="PB",Constants!$H69*'Activity data'!BC11*Constants!$H87*EF!$H212*MMVolatEF*NtoN2O*kgtoGg,IF('Net zero activities &amp; levers'!$C$12="MS",Constants!$H69*'Net zero Activity data'!BC11*Constants!$H87*EF!$H212*MMVolatEF*NtoN2O*kgtoGg,"ERROR")))</f>
        <v>1.2191459506568997E-4</v>
      </c>
      <c r="AK1040" s="101">
        <f>IF('Net zero activities &amp; levers'!$C$12="Off",Constants!$H69*'Activity data'!BD11*Constants!$H87*EF!$H212*MMVolatEF*NtoN2O*kgtoGg,IF('Net zero activities &amp; levers'!$C$12="PB",Constants!$H69*'Activity data'!BD11*Constants!$H87*EF!$H212*MMVolatEF*NtoN2O*kgtoGg,IF('Net zero activities &amp; levers'!$C$12="MS",Constants!$H69*'Net zero Activity data'!BD11*Constants!$H87*EF!$H212*MMVolatEF*NtoN2O*kgtoGg,"ERROR")))</f>
        <v>1.220553118336419E-4</v>
      </c>
      <c r="AL1040" s="101">
        <f>IF('Net zero activities &amp; levers'!$C$12="Off",Constants!$H69*'Activity data'!BE11*Constants!$H87*EF!$H212*MMVolatEF*NtoN2O*kgtoGg,IF('Net zero activities &amp; levers'!$C$12="PB",Constants!$H69*'Activity data'!BE11*Constants!$H87*EF!$H212*MMVolatEF*NtoN2O*kgtoGg,IF('Net zero activities &amp; levers'!$C$12="MS",Constants!$H69*'Net zero Activity data'!BE11*Constants!$H87*EF!$H212*MMVolatEF*NtoN2O*kgtoGg,"ERROR")))</f>
        <v>1.2220725536579073E-4</v>
      </c>
      <c r="AM1040" s="101">
        <f>IF('Net zero activities &amp; levers'!$C$12="Off",Constants!$H69*'Activity data'!BF11*Constants!$H87*EF!$H212*MMVolatEF*NtoN2O*kgtoGg,IF('Net zero activities &amp; levers'!$C$12="PB",Constants!$H69*'Activity data'!BF11*Constants!$H87*EF!$H212*MMVolatEF*NtoN2O*kgtoGg,IF('Net zero activities &amp; levers'!$C$12="MS",Constants!$H69*'Net zero Activity data'!BF11*Constants!$H87*EF!$H212*MMVolatEF*NtoN2O*kgtoGg,"ERROR")))</f>
        <v>1.2237003565016038E-4</v>
      </c>
      <c r="AN1040" s="101">
        <f>IF('Net zero activities &amp; levers'!$C$12="Off",Constants!$H69*'Activity data'!BG11*Constants!$H87*EF!$H212*MMVolatEF*NtoN2O*kgtoGg,IF('Net zero activities &amp; levers'!$C$12="PB",Constants!$H69*'Activity data'!BG11*Constants!$H87*EF!$H212*MMVolatEF*NtoN2O*kgtoGg,IF('Net zero activities &amp; levers'!$C$12="MS",Constants!$H69*'Net zero Activity data'!BG11*Constants!$H87*EF!$H212*MMVolatEF*NtoN2O*kgtoGg,"ERROR")))</f>
        <v>1.2244903306979284E-4</v>
      </c>
      <c r="AO1040" s="101">
        <f>IF('Net zero activities &amp; levers'!$C$12="Off",Constants!$H69*'Activity data'!BH11*Constants!$H87*EF!$H212*MMVolatEF*NtoN2O*kgtoGg,IF('Net zero activities &amp; levers'!$C$12="PB",Constants!$H69*'Activity data'!BH11*Constants!$H87*EF!$H212*MMVolatEF*NtoN2O*kgtoGg,IF('Net zero activities &amp; levers'!$C$12="MS",Constants!$H69*'Net zero Activity data'!BH11*Constants!$H87*EF!$H212*MMVolatEF*NtoN2O*kgtoGg,"ERROR")))</f>
        <v>1.2253757835817969E-4</v>
      </c>
      <c r="AP1040" s="101">
        <f>IF('Net zero activities &amp; levers'!$C$12="Off",Constants!$H69*'Activity data'!BI11*Constants!$H87*EF!$H212*MMVolatEF*NtoN2O*kgtoGg,IF('Net zero activities &amp; levers'!$C$12="PB",Constants!$H69*'Activity data'!BI11*Constants!$H87*EF!$H212*MMVolatEF*NtoN2O*kgtoGg,IF('Net zero activities &amp; levers'!$C$12="MS",Constants!$H69*'Net zero Activity data'!BI11*Constants!$H87*EF!$H212*MMVolatEF*NtoN2O*kgtoGg,"ERROR")))</f>
        <v>1.226353392269764E-4</v>
      </c>
      <c r="AQ1040" s="101">
        <f>IF('Net zero activities &amp; levers'!$C$12="Off",Constants!$H69*'Activity data'!BJ11*Constants!$H87*EF!$H212*MMVolatEF*NtoN2O*kgtoGg,IF('Net zero activities &amp; levers'!$C$12="PB",Constants!$H69*'Activity data'!BJ11*Constants!$H87*EF!$H212*MMVolatEF*NtoN2O*kgtoGg,IF('Net zero activities &amp; levers'!$C$12="MS",Constants!$H69*'Net zero Activity data'!BJ11*Constants!$H87*EF!$H212*MMVolatEF*NtoN2O*kgtoGg,"ERROR")))</f>
        <v>1.2274200613087834E-4</v>
      </c>
      <c r="AR1040" s="101">
        <f>IF('Net zero activities &amp; levers'!$C$12="Off",Constants!$H69*'Activity data'!BK11*Constants!$H87*EF!$H212*MMVolatEF*NtoN2O*kgtoGg,IF('Net zero activities &amp; levers'!$C$12="PB",Constants!$H69*'Activity data'!BK11*Constants!$H87*EF!$H212*MMVolatEF*NtoN2O*kgtoGg,IF('Net zero activities &amp; levers'!$C$12="MS",Constants!$H69*'Net zero Activity data'!BK11*Constants!$H87*EF!$H212*MMVolatEF*NtoN2O*kgtoGg,"ERROR")))</f>
        <v>1.228572903354883E-4</v>
      </c>
      <c r="AS1040" s="101">
        <f>IF('Net zero activities &amp; levers'!$C$12="Off",Constants!$H69*'Activity data'!BL11*Constants!$H87*EF!$H212*MMVolatEF*NtoN2O*kgtoGg,IF('Net zero activities &amp; levers'!$C$12="PB",Constants!$H69*'Activity data'!BL11*Constants!$H87*EF!$H212*MMVolatEF*NtoN2O*kgtoGg,IF('Net zero activities &amp; levers'!$C$12="MS",Constants!$H69*'Net zero Activity data'!BL11*Constants!$H87*EF!$H212*MMVolatEF*NtoN2O*kgtoGg,"ERROR")))</f>
        <v>1.2288572954642337E-4</v>
      </c>
      <c r="AT1040" s="101">
        <f>IF('Net zero activities &amp; levers'!$C$12="Off",Constants!$H69*'Activity data'!BM11*Constants!$H87*EF!$H212*MMVolatEF*NtoN2O*kgtoGg,IF('Net zero activities &amp; levers'!$C$12="PB",Constants!$H69*'Activity data'!BM11*Constants!$H87*EF!$H212*MMVolatEF*NtoN2O*kgtoGg,IF('Net zero activities &amp; levers'!$C$12="MS",Constants!$H69*'Net zero Activity data'!BM11*Constants!$H87*EF!$H212*MMVolatEF*NtoN2O*kgtoGg,"ERROR")))</f>
        <v>1.2292181660779718E-4</v>
      </c>
      <c r="AU1040" s="101">
        <f>IF('Net zero activities &amp; levers'!$C$12="Off",Constants!$H69*'Activity data'!BN11*Constants!$H87*EF!$H212*MMVolatEF*NtoN2O*kgtoGg,IF('Net zero activities &amp; levers'!$C$12="PB",Constants!$H69*'Activity data'!BN11*Constants!$H87*EF!$H212*MMVolatEF*NtoN2O*kgtoGg,IF('Net zero activities &amp; levers'!$C$12="MS",Constants!$H69*'Net zero Activity data'!BN11*Constants!$H87*EF!$H212*MMVolatEF*NtoN2O*kgtoGg,"ERROR")))</f>
        <v>1.2296529822294655E-4</v>
      </c>
      <c r="AV1040" s="101">
        <f>IF('Net zero activities &amp; levers'!$C$12="Off",Constants!$H69*'Activity data'!BO11*Constants!$H87*EF!$H212*MMVolatEF*NtoN2O*kgtoGg,IF('Net zero activities &amp; levers'!$C$12="PB",Constants!$H69*'Activity data'!BO11*Constants!$H87*EF!$H212*MMVolatEF*NtoN2O*kgtoGg,IF('Net zero activities &amp; levers'!$C$12="MS",Constants!$H69*'Net zero Activity data'!BO11*Constants!$H87*EF!$H212*MMVolatEF*NtoN2O*kgtoGg,"ERROR")))</f>
        <v>1.2301593656260403E-4</v>
      </c>
      <c r="AW1040" s="101">
        <f>IF('Net zero activities &amp; levers'!$C$12="Off",Constants!$H69*'Activity data'!BP11*Constants!$H87*EF!$H212*MMVolatEF*NtoN2O*kgtoGg,IF('Net zero activities &amp; levers'!$C$12="PB",Constants!$H69*'Activity data'!BP11*Constants!$H87*EF!$H212*MMVolatEF*NtoN2O*kgtoGg,IF('Net zero activities &amp; levers'!$C$12="MS",Constants!$H69*'Net zero Activity data'!BP11*Constants!$H87*EF!$H212*MMVolatEF*NtoN2O*kgtoGg,"ERROR")))</f>
        <v>1.2307350807543003E-4</v>
      </c>
      <c r="AY1040" s="85"/>
      <c r="AZ1040" s="85"/>
    </row>
    <row r="1041" spans="1:52" x14ac:dyDescent="0.25">
      <c r="A1041" s="102" t="str">
        <f t="shared" si="345"/>
        <v>DS MM Volatilisation</v>
      </c>
      <c r="B1041" s="102" t="s">
        <v>975</v>
      </c>
      <c r="C1041" s="102" t="s">
        <v>1333</v>
      </c>
      <c r="D1041" t="s">
        <v>369</v>
      </c>
      <c r="E1041" t="s">
        <v>64</v>
      </c>
      <c r="F1041" t="s">
        <v>62</v>
      </c>
      <c r="G1041" t="s">
        <v>1167</v>
      </c>
      <c r="H1041" t="s">
        <v>1298</v>
      </c>
      <c r="I1041" t="s">
        <v>139</v>
      </c>
      <c r="J1041" t="s">
        <v>287</v>
      </c>
      <c r="K1041" s="101">
        <f>IF('Net zero activities &amp; levers'!$C$12="Off",Constants!$H70*'Activity data'!AD12*Constants!$H88*EF!$H213*MMVolatEF*NtoN2O*kgtoGg,IF('Net zero activities &amp; levers'!$C$12="PB",Constants!$H70*'Activity data'!AD12*Constants!$H88*EF!$H213*MMVolatEF*NtoN2O*kgtoGg,IF('Net zero activities &amp; levers'!$C$12="MS",Constants!$H70*'Net zero Activity data'!AD12*Constants!$H88*EF!$H213*MMVolatEF*NtoN2O*kgtoGg,"ERROR")))</f>
        <v>8.0418980238344318E-4</v>
      </c>
      <c r="L1041" s="101">
        <f>IF('Net zero activities &amp; levers'!$C$12="Off",Constants!$H70*'Activity data'!AE12*Constants!$H88*EF!$H213*MMVolatEF*NtoN2O*kgtoGg,IF('Net zero activities &amp; levers'!$C$12="PB",Constants!$H70*'Activity data'!AE12*Constants!$H88*EF!$H213*MMVolatEF*NtoN2O*kgtoGg,IF('Net zero activities &amp; levers'!$C$12="MS",Constants!$H70*'Net zero Activity data'!AE12*Constants!$H88*EF!$H213*MMVolatEF*NtoN2O*kgtoGg,"ERROR")))</f>
        <v>8.0462896355784847E-4</v>
      </c>
      <c r="M1041" s="101">
        <f>IF('Net zero activities &amp; levers'!$C$12="Off",Constants!$H70*'Activity data'!AF12*Constants!$H88*EF!$H213*MMVolatEF*NtoN2O*kgtoGg,IF('Net zero activities &amp; levers'!$C$12="PB",Constants!$H70*'Activity data'!AF12*Constants!$H88*EF!$H213*MMVolatEF*NtoN2O*kgtoGg,IF('Net zero activities &amp; levers'!$C$12="MS",Constants!$H70*'Net zero Activity data'!AF12*Constants!$H88*EF!$H213*MMVolatEF*NtoN2O*kgtoGg,"ERROR")))</f>
        <v>8.0561232978738613E-4</v>
      </c>
      <c r="N1041" s="101">
        <f>IF('Net zero activities &amp; levers'!$C$12="Off",Constants!$H70*'Activity data'!AG12*Constants!$H88*EF!$H213*MMVolatEF*NtoN2O*kgtoGg,IF('Net zero activities &amp; levers'!$C$12="PB",Constants!$H70*'Activity data'!AG12*Constants!$H88*EF!$H213*MMVolatEF*NtoN2O*kgtoGg,IF('Net zero activities &amp; levers'!$C$12="MS",Constants!$H70*'Net zero Activity data'!AG12*Constants!$H88*EF!$H213*MMVolatEF*NtoN2O*kgtoGg,"ERROR")))</f>
        <v>8.0709250240842989E-4</v>
      </c>
      <c r="O1041" s="101">
        <f>IF('Net zero activities &amp; levers'!$C$12="Off",Constants!$H70*'Activity data'!AH12*Constants!$H88*EF!$H213*MMVolatEF*NtoN2O*kgtoGg,IF('Net zero activities &amp; levers'!$C$12="PB",Constants!$H70*'Activity data'!AH12*Constants!$H88*EF!$H213*MMVolatEF*NtoN2O*kgtoGg,IF('Net zero activities &amp; levers'!$C$12="MS",Constants!$H70*'Net zero Activity data'!AH12*Constants!$H88*EF!$H213*MMVolatEF*NtoN2O*kgtoGg,"ERROR")))</f>
        <v>8.090892849636611E-4</v>
      </c>
      <c r="P1041" s="101">
        <f>IF('Net zero activities &amp; levers'!$C$12="Off",Constants!$H70*'Activity data'!AI12*Constants!$H88*EF!$H213*MMVolatEF*NtoN2O*kgtoGg,IF('Net zero activities &amp; levers'!$C$12="PB",Constants!$H70*'Activity data'!AI12*Constants!$H88*EF!$H213*MMVolatEF*NtoN2O*kgtoGg,IF('Net zero activities &amp; levers'!$C$12="MS",Constants!$H70*'Net zero Activity data'!AI12*Constants!$H88*EF!$H213*MMVolatEF*NtoN2O*kgtoGg,"ERROR")))</f>
        <v>8.1160479623286605E-4</v>
      </c>
      <c r="Q1041" s="101">
        <f>IF('Net zero activities &amp; levers'!$C$12="Off",Constants!$H70*'Activity data'!AJ12*Constants!$H88*EF!$H213*MMVolatEF*NtoN2O*kgtoGg,IF('Net zero activities &amp; levers'!$C$12="PB",Constants!$H70*'Activity data'!AJ12*Constants!$H88*EF!$H213*MMVolatEF*NtoN2O*kgtoGg,IF('Net zero activities &amp; levers'!$C$12="MS",Constants!$H70*'Net zero Activity data'!AJ12*Constants!$H88*EF!$H213*MMVolatEF*NtoN2O*kgtoGg,"ERROR")))</f>
        <v>8.1440697381205979E-4</v>
      </c>
      <c r="R1041" s="101">
        <f>IF('Net zero activities &amp; levers'!$C$12="Off",Constants!$H70*'Activity data'!AK12*Constants!$H88*EF!$H213*MMVolatEF*NtoN2O*kgtoGg,IF('Net zero activities &amp; levers'!$C$12="PB",Constants!$H70*'Activity data'!AK12*Constants!$H88*EF!$H213*MMVolatEF*NtoN2O*kgtoGg,IF('Net zero activities &amp; levers'!$C$12="MS",Constants!$H70*'Net zero Activity data'!AK12*Constants!$H88*EF!$H213*MMVolatEF*NtoN2O*kgtoGg,"ERROR")))</f>
        <v>8.1744389657863702E-4</v>
      </c>
      <c r="S1041" s="101">
        <f>IF('Net zero activities &amp; levers'!$C$12="Off",Constants!$H70*'Activity data'!AL12*Constants!$H88*EF!$H213*MMVolatEF*NtoN2O*kgtoGg,IF('Net zero activities &amp; levers'!$C$12="PB",Constants!$H70*'Activity data'!AL12*Constants!$H88*EF!$H213*MMVolatEF*NtoN2O*kgtoGg,IF('Net zero activities &amp; levers'!$C$12="MS",Constants!$H70*'Net zero Activity data'!AL12*Constants!$H88*EF!$H213*MMVolatEF*NtoN2O*kgtoGg,"ERROR")))</f>
        <v>8.2029772930899112E-4</v>
      </c>
      <c r="T1041" s="101">
        <f>IF('Net zero activities &amp; levers'!$C$12="Off",Constants!$H70*'Activity data'!AM12*Constants!$H88*EF!$H213*MMVolatEF*NtoN2O*kgtoGg,IF('Net zero activities &amp; levers'!$C$12="PB",Constants!$H70*'Activity data'!AM12*Constants!$H88*EF!$H213*MMVolatEF*NtoN2O*kgtoGg,IF('Net zero activities &amp; levers'!$C$12="MS",Constants!$H70*'Net zero Activity data'!AM12*Constants!$H88*EF!$H213*MMVolatEF*NtoN2O*kgtoGg,"ERROR")))</f>
        <v>8.214898305030433E-4</v>
      </c>
      <c r="U1041" s="101">
        <f>IF('Net zero activities &amp; levers'!$C$12="Off",Constants!$H70*'Activity data'!AN12*Constants!$H88*EF!$H213*MMVolatEF*NtoN2O*kgtoGg,IF('Net zero activities &amp; levers'!$C$12="PB",Constants!$H70*'Activity data'!AN12*Constants!$H88*EF!$H213*MMVolatEF*NtoN2O*kgtoGg,IF('Net zero activities &amp; levers'!$C$12="MS",Constants!$H70*'Net zero Activity data'!AN12*Constants!$H88*EF!$H213*MMVolatEF*NtoN2O*kgtoGg,"ERROR")))</f>
        <v>8.2287311823529526E-4</v>
      </c>
      <c r="V1041" s="101">
        <f>IF('Net zero activities &amp; levers'!$C$12="Off",Constants!$H70*'Activity data'!AO12*Constants!$H88*EF!$H213*MMVolatEF*NtoN2O*kgtoGg,IF('Net zero activities &amp; levers'!$C$12="PB",Constants!$H70*'Activity data'!AO12*Constants!$H88*EF!$H213*MMVolatEF*NtoN2O*kgtoGg,IF('Net zero activities &amp; levers'!$C$12="MS",Constants!$H70*'Net zero Activity data'!AO12*Constants!$H88*EF!$H213*MMVolatEF*NtoN2O*kgtoGg,"ERROR")))</f>
        <v>8.2444730887169186E-4</v>
      </c>
      <c r="W1041" s="101">
        <f>IF('Net zero activities &amp; levers'!$C$12="Off",Constants!$H70*'Activity data'!AP12*Constants!$H88*EF!$H213*MMVolatEF*NtoN2O*kgtoGg,IF('Net zero activities &amp; levers'!$C$12="PB",Constants!$H70*'Activity data'!AP12*Constants!$H88*EF!$H213*MMVolatEF*NtoN2O*kgtoGg,IF('Net zero activities &amp; levers'!$C$12="MS",Constants!$H70*'Net zero Activity data'!AP12*Constants!$H88*EF!$H213*MMVolatEF*NtoN2O*kgtoGg,"ERROR")))</f>
        <v>8.2622055847894659E-4</v>
      </c>
      <c r="X1041" s="101">
        <f>IF('Net zero activities &amp; levers'!$C$12="Off",Constants!$H70*'Activity data'!AQ12*Constants!$H88*EF!$H213*MMVolatEF*NtoN2O*kgtoGg,IF('Net zero activities &amp; levers'!$C$12="PB",Constants!$H70*'Activity data'!AQ12*Constants!$H88*EF!$H213*MMVolatEF*NtoN2O*kgtoGg,IF('Net zero activities &amp; levers'!$C$12="MS",Constants!$H70*'Net zero Activity data'!AQ12*Constants!$H88*EF!$H213*MMVolatEF*NtoN2O*kgtoGg,"ERROR")))</f>
        <v>8.2816443922932592E-4</v>
      </c>
      <c r="Y1041" s="101">
        <f>IF('Net zero activities &amp; levers'!$C$12="Off",Constants!$H70*'Activity data'!AR12*Constants!$H88*EF!$H213*MMVolatEF*NtoN2O*kgtoGg,IF('Net zero activities &amp; levers'!$C$12="PB",Constants!$H70*'Activity data'!AR12*Constants!$H88*EF!$H213*MMVolatEF*NtoN2O*kgtoGg,IF('Net zero activities &amp; levers'!$C$12="MS",Constants!$H70*'Net zero Activity data'!AR12*Constants!$H88*EF!$H213*MMVolatEF*NtoN2O*kgtoGg,"ERROR")))</f>
        <v>8.2936104607842529E-4</v>
      </c>
      <c r="Z1041" s="101">
        <f>IF('Net zero activities &amp; levers'!$C$12="Off",Constants!$H70*'Activity data'!AS12*Constants!$H88*EF!$H213*MMVolatEF*NtoN2O*kgtoGg,IF('Net zero activities &amp; levers'!$C$12="PB",Constants!$H70*'Activity data'!AS12*Constants!$H88*EF!$H213*MMVolatEF*NtoN2O*kgtoGg,IF('Net zero activities &amp; levers'!$C$12="MS",Constants!$H70*'Net zero Activity data'!AS12*Constants!$H88*EF!$H213*MMVolatEF*NtoN2O*kgtoGg,"ERROR")))</f>
        <v>8.3069768063558287E-4</v>
      </c>
      <c r="AA1041" s="101">
        <f>IF('Net zero activities &amp; levers'!$C$12="Off",Constants!$H70*'Activity data'!AT12*Constants!$H88*EF!$H213*MMVolatEF*NtoN2O*kgtoGg,IF('Net zero activities &amp; levers'!$C$12="PB",Constants!$H70*'Activity data'!AT12*Constants!$H88*EF!$H213*MMVolatEF*NtoN2O*kgtoGg,IF('Net zero activities &amp; levers'!$C$12="MS",Constants!$H70*'Net zero Activity data'!AT12*Constants!$H88*EF!$H213*MMVolatEF*NtoN2O*kgtoGg,"ERROR")))</f>
        <v>8.3217919347460879E-4</v>
      </c>
      <c r="AB1041" s="101">
        <f>IF('Net zero activities &amp; levers'!$C$12="Off",Constants!$H70*'Activity data'!AU12*Constants!$H88*EF!$H213*MMVolatEF*NtoN2O*kgtoGg,IF('Net zero activities &amp; levers'!$C$12="PB",Constants!$H70*'Activity data'!AU12*Constants!$H88*EF!$H213*MMVolatEF*NtoN2O*kgtoGg,IF('Net zero activities &amp; levers'!$C$12="MS",Constants!$H70*'Net zero Activity data'!AU12*Constants!$H88*EF!$H213*MMVolatEF*NtoN2O*kgtoGg,"ERROR")))</f>
        <v>8.337828220293293E-4</v>
      </c>
      <c r="AC1041" s="101">
        <f>IF('Net zero activities &amp; levers'!$C$12="Off",Constants!$H70*'Activity data'!AV12*Constants!$H88*EF!$H213*MMVolatEF*NtoN2O*kgtoGg,IF('Net zero activities &amp; levers'!$C$12="PB",Constants!$H70*'Activity data'!AV12*Constants!$H88*EF!$H213*MMVolatEF*NtoN2O*kgtoGg,IF('Net zero activities &amp; levers'!$C$12="MS",Constants!$H70*'Net zero Activity data'!AV12*Constants!$H88*EF!$H213*MMVolatEF*NtoN2O*kgtoGg,"ERROR")))</f>
        <v>8.3551430022086096E-4</v>
      </c>
      <c r="AD1041" s="101">
        <f>IF('Net zero activities &amp; levers'!$C$12="Off",Constants!$H70*'Activity data'!AW12*Constants!$H88*EF!$H213*MMVolatEF*NtoN2O*kgtoGg,IF('Net zero activities &amp; levers'!$C$12="PB",Constants!$H70*'Activity data'!AW12*Constants!$H88*EF!$H213*MMVolatEF*NtoN2O*kgtoGg,IF('Net zero activities &amp; levers'!$C$12="MS",Constants!$H70*'Net zero Activity data'!AW12*Constants!$H88*EF!$H213*MMVolatEF*NtoN2O*kgtoGg,"ERROR")))</f>
        <v>8.3665416457788034E-4</v>
      </c>
      <c r="AE1041" s="101">
        <f>IF('Net zero activities &amp; levers'!$C$12="Off",Constants!$H70*'Activity data'!AX12*Constants!$H88*EF!$H213*MMVolatEF*NtoN2O*kgtoGg,IF('Net zero activities &amp; levers'!$C$12="PB",Constants!$H70*'Activity data'!AX12*Constants!$H88*EF!$H213*MMVolatEF*NtoN2O*kgtoGg,IF('Net zero activities &amp; levers'!$C$12="MS",Constants!$H70*'Net zero Activity data'!AX12*Constants!$H88*EF!$H213*MMVolatEF*NtoN2O*kgtoGg,"ERROR")))</f>
        <v>8.3791392508567411E-4</v>
      </c>
      <c r="AF1041" s="101">
        <f>IF('Net zero activities &amp; levers'!$C$12="Off",Constants!$H70*'Activity data'!AY12*Constants!$H88*EF!$H213*MMVolatEF*NtoN2O*kgtoGg,IF('Net zero activities &amp; levers'!$C$12="PB",Constants!$H70*'Activity data'!AY12*Constants!$H88*EF!$H213*MMVolatEF*NtoN2O*kgtoGg,IF('Net zero activities &amp; levers'!$C$12="MS",Constants!$H70*'Net zero Activity data'!AY12*Constants!$H88*EF!$H213*MMVolatEF*NtoN2O*kgtoGg,"ERROR")))</f>
        <v>8.3928225208899118E-4</v>
      </c>
      <c r="AG1041" s="101">
        <f>IF('Net zero activities &amp; levers'!$C$12="Off",Constants!$H70*'Activity data'!AZ12*Constants!$H88*EF!$H213*MMVolatEF*NtoN2O*kgtoGg,IF('Net zero activities &amp; levers'!$C$12="PB",Constants!$H70*'Activity data'!AZ12*Constants!$H88*EF!$H213*MMVolatEF*NtoN2O*kgtoGg,IF('Net zero activities &amp; levers'!$C$12="MS",Constants!$H70*'Net zero Activity data'!AZ12*Constants!$H88*EF!$H213*MMVolatEF*NtoN2O*kgtoGg,"ERROR")))</f>
        <v>8.4060423049139648E-4</v>
      </c>
      <c r="AH1041" s="101">
        <f>IF('Net zero activities &amp; levers'!$C$12="Off",Constants!$H70*'Activity data'!BA12*Constants!$H88*EF!$H213*MMVolatEF*NtoN2O*kgtoGg,IF('Net zero activities &amp; levers'!$C$12="PB",Constants!$H70*'Activity data'!BA12*Constants!$H88*EF!$H213*MMVolatEF*NtoN2O*kgtoGg,IF('Net zero activities &amp; levers'!$C$12="MS",Constants!$H70*'Net zero Activity data'!BA12*Constants!$H88*EF!$H213*MMVolatEF*NtoN2O*kgtoGg,"ERROR")))</f>
        <v>8.349523769873693E-4</v>
      </c>
      <c r="AI1041" s="101">
        <f>IF('Net zero activities &amp; levers'!$C$12="Off",Constants!$H70*'Activity data'!BB12*Constants!$H88*EF!$H213*MMVolatEF*NtoN2O*kgtoGg,IF('Net zero activities &amp; levers'!$C$12="PB",Constants!$H70*'Activity data'!BB12*Constants!$H88*EF!$H213*MMVolatEF*NtoN2O*kgtoGg,IF('Net zero activities &amp; levers'!$C$12="MS",Constants!$H70*'Net zero Activity data'!BB12*Constants!$H88*EF!$H213*MMVolatEF*NtoN2O*kgtoGg,"ERROR")))</f>
        <v>8.3575502954960786E-4</v>
      </c>
      <c r="AJ1041" s="101">
        <f>IF('Net zero activities &amp; levers'!$C$12="Off",Constants!$H70*'Activity data'!BC12*Constants!$H88*EF!$H213*MMVolatEF*NtoN2O*kgtoGg,IF('Net zero activities &amp; levers'!$C$12="PB",Constants!$H70*'Activity data'!BC12*Constants!$H88*EF!$H213*MMVolatEF*NtoN2O*kgtoGg,IF('Net zero activities &amp; levers'!$C$12="MS",Constants!$H70*'Net zero Activity data'!BC12*Constants!$H88*EF!$H213*MMVolatEF*NtoN2O*kgtoGg,"ERROR")))</f>
        <v>8.3664076062788407E-4</v>
      </c>
      <c r="AK1041" s="101">
        <f>IF('Net zero activities &amp; levers'!$C$12="Off",Constants!$H70*'Activity data'!BD12*Constants!$H88*EF!$H213*MMVolatEF*NtoN2O*kgtoGg,IF('Net zero activities &amp; levers'!$C$12="PB",Constants!$H70*'Activity data'!BD12*Constants!$H88*EF!$H213*MMVolatEF*NtoN2O*kgtoGg,IF('Net zero activities &amp; levers'!$C$12="MS",Constants!$H70*'Net zero Activity data'!BD12*Constants!$H88*EF!$H213*MMVolatEF*NtoN2O*kgtoGg,"ERROR")))</f>
        <v>8.3760643158556521E-4</v>
      </c>
      <c r="AL1041" s="101">
        <f>IF('Net zero activities &amp; levers'!$C$12="Off",Constants!$H70*'Activity data'!BE12*Constants!$H88*EF!$H213*MMVolatEF*NtoN2O*kgtoGg,IF('Net zero activities &amp; levers'!$C$12="PB",Constants!$H70*'Activity data'!BE12*Constants!$H88*EF!$H213*MMVolatEF*NtoN2O*kgtoGg,IF('Net zero activities &amp; levers'!$C$12="MS",Constants!$H70*'Net zero Activity data'!BE12*Constants!$H88*EF!$H213*MMVolatEF*NtoN2O*kgtoGg,"ERROR")))</f>
        <v>8.3864914638309197E-4</v>
      </c>
      <c r="AM1041" s="101">
        <f>IF('Net zero activities &amp; levers'!$C$12="Off",Constants!$H70*'Activity data'!BF12*Constants!$H88*EF!$H213*MMVolatEF*NtoN2O*kgtoGg,IF('Net zero activities &amp; levers'!$C$12="PB",Constants!$H70*'Activity data'!BF12*Constants!$H88*EF!$H213*MMVolatEF*NtoN2O*kgtoGg,IF('Net zero activities &amp; levers'!$C$12="MS",Constants!$H70*'Net zero Activity data'!BF12*Constants!$H88*EF!$H213*MMVolatEF*NtoN2O*kgtoGg,"ERROR")))</f>
        <v>8.3976622855735407E-4</v>
      </c>
      <c r="AN1041" s="101">
        <f>IF('Net zero activities &amp; levers'!$C$12="Off",Constants!$H70*'Activity data'!BG12*Constants!$H88*EF!$H213*MMVolatEF*NtoN2O*kgtoGg,IF('Net zero activities &amp; levers'!$C$12="PB",Constants!$H70*'Activity data'!BG12*Constants!$H88*EF!$H213*MMVolatEF*NtoN2O*kgtoGg,IF('Net zero activities &amp; levers'!$C$12="MS",Constants!$H70*'Net zero Activity data'!BG12*Constants!$H88*EF!$H213*MMVolatEF*NtoN2O*kgtoGg,"ERROR")))</f>
        <v>8.4030834954962157E-4</v>
      </c>
      <c r="AO1041" s="101">
        <f>IF('Net zero activities &amp; levers'!$C$12="Off",Constants!$H70*'Activity data'!BH12*Constants!$H88*EF!$H213*MMVolatEF*NtoN2O*kgtoGg,IF('Net zero activities &amp; levers'!$C$12="PB",Constants!$H70*'Activity data'!BH12*Constants!$H88*EF!$H213*MMVolatEF*NtoN2O*kgtoGg,IF('Net zero activities &amp; levers'!$C$12="MS",Constants!$H70*'Net zero Activity data'!BH12*Constants!$H88*EF!$H213*MMVolatEF*NtoN2O*kgtoGg,"ERROR")))</f>
        <v>8.40915992936257E-4</v>
      </c>
      <c r="AP1041" s="101">
        <f>IF('Net zero activities &amp; levers'!$C$12="Off",Constants!$H70*'Activity data'!BI12*Constants!$H88*EF!$H213*MMVolatEF*NtoN2O*kgtoGg,IF('Net zero activities &amp; levers'!$C$12="PB",Constants!$H70*'Activity data'!BI12*Constants!$H88*EF!$H213*MMVolatEF*NtoN2O*kgtoGg,IF('Net zero activities &amp; levers'!$C$12="MS",Constants!$H70*'Net zero Activity data'!BI12*Constants!$H88*EF!$H213*MMVolatEF*NtoN2O*kgtoGg,"ERROR")))</f>
        <v>8.4158687838344786E-4</v>
      </c>
      <c r="AQ1041" s="101">
        <f>IF('Net zero activities &amp; levers'!$C$12="Off",Constants!$H70*'Activity data'!BJ12*Constants!$H88*EF!$H213*MMVolatEF*NtoN2O*kgtoGg,IF('Net zero activities &amp; levers'!$C$12="PB",Constants!$H70*'Activity data'!BJ12*Constants!$H88*EF!$H213*MMVolatEF*NtoN2O*kgtoGg,IF('Net zero activities &amp; levers'!$C$12="MS",Constants!$H70*'Net zero Activity data'!BJ12*Constants!$H88*EF!$H213*MMVolatEF*NtoN2O*kgtoGg,"ERROR")))</f>
        <v>8.4231888163183893E-4</v>
      </c>
      <c r="AR1041" s="101">
        <f>IF('Net zero activities &amp; levers'!$C$12="Off",Constants!$H70*'Activity data'!BK12*Constants!$H88*EF!$H213*MMVolatEF*NtoN2O*kgtoGg,IF('Net zero activities &amp; levers'!$C$12="PB",Constants!$H70*'Activity data'!BK12*Constants!$H88*EF!$H213*MMVolatEF*NtoN2O*kgtoGg,IF('Net zero activities &amp; levers'!$C$12="MS",Constants!$H70*'Net zero Activity data'!BK12*Constants!$H88*EF!$H213*MMVolatEF*NtoN2O*kgtoGg,"ERROR")))</f>
        <v>8.4311002123724286E-4</v>
      </c>
      <c r="AS1041" s="101">
        <f>IF('Net zero activities &amp; levers'!$C$12="Off",Constants!$H70*'Activity data'!BL12*Constants!$H88*EF!$H213*MMVolatEF*NtoN2O*kgtoGg,IF('Net zero activities &amp; levers'!$C$12="PB",Constants!$H70*'Activity data'!BL12*Constants!$H88*EF!$H213*MMVolatEF*NtoN2O*kgtoGg,IF('Net zero activities &amp; levers'!$C$12="MS",Constants!$H70*'Net zero Activity data'!BL12*Constants!$H88*EF!$H213*MMVolatEF*NtoN2O*kgtoGg,"ERROR")))</f>
        <v>8.4330518575430119E-4</v>
      </c>
      <c r="AT1041" s="101">
        <f>IF('Net zero activities &amp; levers'!$C$12="Off",Constants!$H70*'Activity data'!BM12*Constants!$H88*EF!$H213*MMVolatEF*NtoN2O*kgtoGg,IF('Net zero activities &amp; levers'!$C$12="PB",Constants!$H70*'Activity data'!BM12*Constants!$H88*EF!$H213*MMVolatEF*NtoN2O*kgtoGg,IF('Net zero activities &amp; levers'!$C$12="MS",Constants!$H70*'Net zero Activity data'!BM12*Constants!$H88*EF!$H213*MMVolatEF*NtoN2O*kgtoGg,"ERROR")))</f>
        <v>8.4355283376117286E-4</v>
      </c>
      <c r="AU1041" s="101">
        <f>IF('Net zero activities &amp; levers'!$C$12="Off",Constants!$H70*'Activity data'!BN12*Constants!$H88*EF!$H213*MMVolatEF*NtoN2O*kgtoGg,IF('Net zero activities &amp; levers'!$C$12="PB",Constants!$H70*'Activity data'!BN12*Constants!$H88*EF!$H213*MMVolatEF*NtoN2O*kgtoGg,IF('Net zero activities &amp; levers'!$C$12="MS",Constants!$H70*'Net zero Activity data'!BN12*Constants!$H88*EF!$H213*MMVolatEF*NtoN2O*kgtoGg,"ERROR")))</f>
        <v>8.4385122700565967E-4</v>
      </c>
      <c r="AV1041" s="101">
        <f>IF('Net zero activities &amp; levers'!$C$12="Off",Constants!$H70*'Activity data'!BO12*Constants!$H88*EF!$H213*MMVolatEF*NtoN2O*kgtoGg,IF('Net zero activities &amp; levers'!$C$12="PB",Constants!$H70*'Activity data'!BO12*Constants!$H88*EF!$H213*MMVolatEF*NtoN2O*kgtoGg,IF('Net zero activities &amp; levers'!$C$12="MS",Constants!$H70*'Net zero Activity data'!BO12*Constants!$H88*EF!$H213*MMVolatEF*NtoN2O*kgtoGg,"ERROR")))</f>
        <v>8.4419873338079966E-4</v>
      </c>
      <c r="AW1041" s="101">
        <f>IF('Net zero activities &amp; levers'!$C$12="Off",Constants!$H70*'Activity data'!BP12*Constants!$H88*EF!$H213*MMVolatEF*NtoN2O*kgtoGg,IF('Net zero activities &amp; levers'!$C$12="PB",Constants!$H70*'Activity data'!BP12*Constants!$H88*EF!$H213*MMVolatEF*NtoN2O*kgtoGg,IF('Net zero activities &amp; levers'!$C$12="MS",Constants!$H70*'Net zero Activity data'!BP12*Constants!$H88*EF!$H213*MMVolatEF*NtoN2O*kgtoGg,"ERROR")))</f>
        <v>8.4459381876212985E-4</v>
      </c>
      <c r="AY1041" s="85"/>
      <c r="AZ1041" s="85"/>
    </row>
    <row r="1042" spans="1:52" x14ac:dyDescent="0.25">
      <c r="A1042" s="102" t="str">
        <f t="shared" si="345"/>
        <v>DS MM Volatilisation</v>
      </c>
      <c r="B1042" s="102" t="s">
        <v>975</v>
      </c>
      <c r="C1042" s="102" t="s">
        <v>1333</v>
      </c>
      <c r="D1042" t="s">
        <v>369</v>
      </c>
      <c r="E1042" t="s">
        <v>64</v>
      </c>
      <c r="F1042" t="s">
        <v>62</v>
      </c>
      <c r="G1042" t="s">
        <v>1169</v>
      </c>
      <c r="H1042" t="s">
        <v>1299</v>
      </c>
      <c r="I1042" t="s">
        <v>139</v>
      </c>
      <c r="J1042" t="s">
        <v>287</v>
      </c>
      <c r="K1042" s="22">
        <f t="shared" ref="K1042:Z1045" si="363">K1539</f>
        <v>1.448564899297015E-5</v>
      </c>
      <c r="L1042" s="22">
        <f t="shared" si="363"/>
        <v>1.4523430996818443E-5</v>
      </c>
      <c r="M1042" s="22">
        <f t="shared" si="363"/>
        <v>1.4573778863725232E-5</v>
      </c>
      <c r="N1042" s="22">
        <f t="shared" si="363"/>
        <v>1.4635573261684436E-5</v>
      </c>
      <c r="O1042" s="22">
        <f t="shared" si="363"/>
        <v>1.4709556756482727E-5</v>
      </c>
      <c r="P1042" s="22">
        <f t="shared" si="363"/>
        <v>1.4795926227225603E-5</v>
      </c>
      <c r="Q1042" s="22">
        <f t="shared" si="363"/>
        <v>1.4888271114151717E-5</v>
      </c>
      <c r="R1042" s="22">
        <f t="shared" si="363"/>
        <v>1.4985270961083386E-5</v>
      </c>
      <c r="S1042" s="22">
        <f t="shared" si="363"/>
        <v>1.5075379558400601E-5</v>
      </c>
      <c r="T1042" s="22">
        <f t="shared" si="363"/>
        <v>1.5117607192403529E-5</v>
      </c>
      <c r="U1042" s="22">
        <f t="shared" si="363"/>
        <v>1.5163912133825485E-5</v>
      </c>
      <c r="V1042" s="22">
        <f t="shared" si="363"/>
        <v>1.5214353144806387E-5</v>
      </c>
      <c r="W1042" s="22">
        <f t="shared" si="363"/>
        <v>1.5269211713136201E-5</v>
      </c>
      <c r="X1042" s="22">
        <f t="shared" si="363"/>
        <v>1.532774923131804E-5</v>
      </c>
      <c r="Y1042" s="22">
        <f t="shared" si="363"/>
        <v>1.5364750505414648E-5</v>
      </c>
      <c r="Z1042" s="22">
        <f t="shared" si="363"/>
        <v>1.5404784002427286E-5</v>
      </c>
      <c r="AA1042" s="22">
        <f t="shared" ref="L1042:AW1045" si="364">AA1539</f>
        <v>1.5448015343528086E-5</v>
      </c>
      <c r="AB1042" s="22">
        <f t="shared" si="364"/>
        <v>1.5493849362144256E-5</v>
      </c>
      <c r="AC1042" s="22">
        <f t="shared" si="364"/>
        <v>1.5542469399401565E-5</v>
      </c>
      <c r="AD1042" s="22">
        <f t="shared" si="364"/>
        <v>1.5574312295454071E-5</v>
      </c>
      <c r="AE1042" s="22">
        <f t="shared" si="364"/>
        <v>1.5608846144431889E-5</v>
      </c>
      <c r="AF1042" s="22">
        <f t="shared" si="364"/>
        <v>1.5645779000697075E-5</v>
      </c>
      <c r="AG1042" s="22">
        <f t="shared" si="364"/>
        <v>1.5680933682266714E-5</v>
      </c>
      <c r="AH1042" s="22">
        <f t="shared" si="364"/>
        <v>1.5527256766488218E-5</v>
      </c>
      <c r="AI1042" s="22">
        <f t="shared" si="364"/>
        <v>1.554781877984383E-5</v>
      </c>
      <c r="AJ1042" s="22">
        <f t="shared" si="364"/>
        <v>1.55702244870708E-5</v>
      </c>
      <c r="AK1042" s="22">
        <f t="shared" si="364"/>
        <v>1.5594399014227251E-5</v>
      </c>
      <c r="AL1042" s="22">
        <f t="shared" si="364"/>
        <v>1.5620273295013295E-5</v>
      </c>
      <c r="AM1042" s="22">
        <f t="shared" si="364"/>
        <v>1.5647783514700204E-5</v>
      </c>
      <c r="AN1042" s="22">
        <f t="shared" si="364"/>
        <v>1.5659592232765599E-5</v>
      </c>
      <c r="AO1042" s="22">
        <f t="shared" si="364"/>
        <v>1.567287471387214E-5</v>
      </c>
      <c r="AP1042" s="22">
        <f t="shared" si="364"/>
        <v>1.5687575397224304E-5</v>
      </c>
      <c r="AQ1042" s="22">
        <f t="shared" si="364"/>
        <v>1.5703642533627797E-5</v>
      </c>
      <c r="AR1042" s="22">
        <f t="shared" si="364"/>
        <v>1.5721027858938722E-5</v>
      </c>
      <c r="AS1042" s="22">
        <f t="shared" si="364"/>
        <v>1.5722384261001388E-5</v>
      </c>
      <c r="AT1042" s="22">
        <f t="shared" si="364"/>
        <v>1.5724946955034498E-5</v>
      </c>
      <c r="AU1042" s="22">
        <f t="shared" si="364"/>
        <v>1.572867261939389E-5</v>
      </c>
      <c r="AV1042" s="22">
        <f t="shared" si="364"/>
        <v>1.5733520584102464E-5</v>
      </c>
      <c r="AW1042" s="22">
        <f t="shared" si="364"/>
        <v>1.5739452625419502E-5</v>
      </c>
      <c r="AY1042" s="85"/>
      <c r="AZ1042" s="85"/>
    </row>
    <row r="1043" spans="1:52" x14ac:dyDescent="0.25">
      <c r="A1043" s="102" t="str">
        <f t="shared" si="345"/>
        <v>DS MM Volatilisation</v>
      </c>
      <c r="B1043" s="102" t="s">
        <v>975</v>
      </c>
      <c r="C1043" s="102" t="s">
        <v>1333</v>
      </c>
      <c r="D1043" t="s">
        <v>369</v>
      </c>
      <c r="E1043" t="s">
        <v>64</v>
      </c>
      <c r="F1043" t="s">
        <v>62</v>
      </c>
      <c r="G1043" t="s">
        <v>1171</v>
      </c>
      <c r="H1043" t="s">
        <v>1300</v>
      </c>
      <c r="I1043" t="s">
        <v>139</v>
      </c>
      <c r="J1043" t="s">
        <v>287</v>
      </c>
      <c r="K1043" s="22">
        <f t="shared" si="363"/>
        <v>1.4737874698328016E-3</v>
      </c>
      <c r="L1043" s="22">
        <f t="shared" si="364"/>
        <v>1.4776314566561611E-3</v>
      </c>
      <c r="M1043" s="22">
        <f t="shared" si="364"/>
        <v>1.4827539096036295E-3</v>
      </c>
      <c r="N1043" s="22">
        <f t="shared" si="364"/>
        <v>1.4890409464814621E-3</v>
      </c>
      <c r="O1043" s="22">
        <f t="shared" si="364"/>
        <v>1.4965681168319985E-3</v>
      </c>
      <c r="P1043" s="22">
        <f t="shared" si="364"/>
        <v>1.5053554513738414E-3</v>
      </c>
      <c r="Q1043" s="22">
        <f t="shared" si="364"/>
        <v>1.5147507319940522E-3</v>
      </c>
      <c r="R1043" s="22">
        <f t="shared" si="364"/>
        <v>1.5246196138821182E-3</v>
      </c>
      <c r="S1043" s="22">
        <f t="shared" si="364"/>
        <v>1.5337873716895019E-3</v>
      </c>
      <c r="T1043" s="22">
        <f t="shared" si="364"/>
        <v>1.5380836623081961E-3</v>
      </c>
      <c r="U1043" s="22">
        <f t="shared" si="364"/>
        <v>1.5427947831210876E-3</v>
      </c>
      <c r="V1043" s="22">
        <f t="shared" si="364"/>
        <v>1.5479267126594486E-3</v>
      </c>
      <c r="W1043" s="22">
        <f t="shared" si="364"/>
        <v>1.5535080898318955E-3</v>
      </c>
      <c r="X1043" s="22">
        <f t="shared" si="364"/>
        <v>1.5594637678172844E-3</v>
      </c>
      <c r="Y1043" s="22">
        <f t="shared" si="364"/>
        <v>1.5632283222502894E-3</v>
      </c>
      <c r="Z1043" s="22">
        <f t="shared" si="364"/>
        <v>1.5673013787146175E-3</v>
      </c>
      <c r="AA1043" s="22">
        <f t="shared" si="364"/>
        <v>1.5716997877088814E-3</v>
      </c>
      <c r="AB1043" s="22">
        <f t="shared" si="364"/>
        <v>1.5763629962652517E-3</v>
      </c>
      <c r="AC1043" s="22">
        <f t="shared" si="364"/>
        <v>1.5813096577318795E-3</v>
      </c>
      <c r="AD1043" s="22">
        <f t="shared" si="364"/>
        <v>1.5845493925361778E-3</v>
      </c>
      <c r="AE1043" s="22">
        <f t="shared" si="364"/>
        <v>1.5880629081496864E-3</v>
      </c>
      <c r="AF1043" s="22">
        <f t="shared" si="364"/>
        <v>1.591820501669672E-3</v>
      </c>
      <c r="AG1043" s="22">
        <f t="shared" si="364"/>
        <v>1.5953971815428655E-3</v>
      </c>
      <c r="AH1043" s="22">
        <f t="shared" si="364"/>
        <v>1.5797619060376521E-3</v>
      </c>
      <c r="AI1043" s="22">
        <f t="shared" si="364"/>
        <v>1.5818539101758679E-3</v>
      </c>
      <c r="AJ1043" s="22">
        <f t="shared" si="364"/>
        <v>1.5841334939611631E-3</v>
      </c>
      <c r="AK1043" s="22">
        <f t="shared" si="364"/>
        <v>1.5865930396280227E-3</v>
      </c>
      <c r="AL1043" s="22">
        <f t="shared" si="364"/>
        <v>1.5892255202874612E-3</v>
      </c>
      <c r="AM1043" s="22">
        <f t="shared" si="364"/>
        <v>1.5920244433517013E-3</v>
      </c>
      <c r="AN1043" s="22">
        <f t="shared" si="364"/>
        <v>1.5932258766273534E-3</v>
      </c>
      <c r="AO1043" s="22">
        <f t="shared" si="364"/>
        <v>1.5945772523394538E-3</v>
      </c>
      <c r="AP1043" s="22">
        <f t="shared" si="364"/>
        <v>1.5960729176653851E-3</v>
      </c>
      <c r="AQ1043" s="22">
        <f t="shared" si="364"/>
        <v>1.5977076075794545E-3</v>
      </c>
      <c r="AR1043" s="22">
        <f t="shared" si="364"/>
        <v>1.599476411629218E-3</v>
      </c>
      <c r="AS1043" s="22">
        <f t="shared" si="364"/>
        <v>1.5996144136175981E-3</v>
      </c>
      <c r="AT1043" s="22">
        <f t="shared" si="364"/>
        <v>1.599875145211802E-3</v>
      </c>
      <c r="AU1043" s="22">
        <f t="shared" si="364"/>
        <v>1.6002541988152919E-3</v>
      </c>
      <c r="AV1043" s="22">
        <f t="shared" si="364"/>
        <v>1.6007474366153491E-3</v>
      </c>
      <c r="AW1043" s="22">
        <f t="shared" si="364"/>
        <v>1.601350969682305E-3</v>
      </c>
      <c r="AY1043" s="85"/>
      <c r="AZ1043" s="85"/>
    </row>
    <row r="1044" spans="1:52" x14ac:dyDescent="0.25">
      <c r="A1044" s="102" t="str">
        <f t="shared" si="345"/>
        <v>DS MM Volatilisation</v>
      </c>
      <c r="B1044" s="102" t="s">
        <v>975</v>
      </c>
      <c r="C1044" s="102" t="s">
        <v>1333</v>
      </c>
      <c r="D1044" t="s">
        <v>369</v>
      </c>
      <c r="E1044" t="s">
        <v>64</v>
      </c>
      <c r="F1044" t="s">
        <v>62</v>
      </c>
      <c r="G1044" t="s">
        <v>1173</v>
      </c>
      <c r="H1044" t="s">
        <v>1301</v>
      </c>
      <c r="I1044" t="s">
        <v>139</v>
      </c>
      <c r="J1044" t="s">
        <v>287</v>
      </c>
      <c r="K1044" s="22">
        <f t="shared" si="363"/>
        <v>0</v>
      </c>
      <c r="L1044" s="22">
        <f t="shared" si="364"/>
        <v>0</v>
      </c>
      <c r="M1044" s="22">
        <f t="shared" si="364"/>
        <v>0</v>
      </c>
      <c r="N1044" s="22">
        <f t="shared" si="364"/>
        <v>0</v>
      </c>
      <c r="O1044" s="22">
        <f t="shared" si="364"/>
        <v>0</v>
      </c>
      <c r="P1044" s="22">
        <f t="shared" si="364"/>
        <v>0</v>
      </c>
      <c r="Q1044" s="22">
        <f t="shared" si="364"/>
        <v>0</v>
      </c>
      <c r="R1044" s="22">
        <f t="shared" si="364"/>
        <v>0</v>
      </c>
      <c r="S1044" s="22">
        <f t="shared" si="364"/>
        <v>0</v>
      </c>
      <c r="T1044" s="22">
        <f t="shared" si="364"/>
        <v>0</v>
      </c>
      <c r="U1044" s="22">
        <f t="shared" si="364"/>
        <v>0</v>
      </c>
      <c r="V1044" s="22">
        <f t="shared" si="364"/>
        <v>0</v>
      </c>
      <c r="W1044" s="22">
        <f t="shared" si="364"/>
        <v>0</v>
      </c>
      <c r="X1044" s="22">
        <f t="shared" si="364"/>
        <v>0</v>
      </c>
      <c r="Y1044" s="22">
        <f t="shared" si="364"/>
        <v>0</v>
      </c>
      <c r="Z1044" s="22">
        <f t="shared" si="364"/>
        <v>0</v>
      </c>
      <c r="AA1044" s="22">
        <f t="shared" si="364"/>
        <v>0</v>
      </c>
      <c r="AB1044" s="22">
        <f t="shared" si="364"/>
        <v>0</v>
      </c>
      <c r="AC1044" s="22">
        <f t="shared" si="364"/>
        <v>0</v>
      </c>
      <c r="AD1044" s="22">
        <f t="shared" si="364"/>
        <v>0</v>
      </c>
      <c r="AE1044" s="22">
        <f t="shared" si="364"/>
        <v>0</v>
      </c>
      <c r="AF1044" s="22">
        <f t="shared" si="364"/>
        <v>0</v>
      </c>
      <c r="AG1044" s="22">
        <f t="shared" si="364"/>
        <v>0</v>
      </c>
      <c r="AH1044" s="22">
        <f t="shared" si="364"/>
        <v>0</v>
      </c>
      <c r="AI1044" s="22">
        <f t="shared" si="364"/>
        <v>0</v>
      </c>
      <c r="AJ1044" s="22">
        <f t="shared" si="364"/>
        <v>0</v>
      </c>
      <c r="AK1044" s="22">
        <f t="shared" si="364"/>
        <v>0</v>
      </c>
      <c r="AL1044" s="22">
        <f t="shared" si="364"/>
        <v>0</v>
      </c>
      <c r="AM1044" s="22">
        <f t="shared" si="364"/>
        <v>0</v>
      </c>
      <c r="AN1044" s="22">
        <f t="shared" si="364"/>
        <v>0</v>
      </c>
      <c r="AO1044" s="22">
        <f t="shared" si="364"/>
        <v>0</v>
      </c>
      <c r="AP1044" s="22">
        <f t="shared" si="364"/>
        <v>0</v>
      </c>
      <c r="AQ1044" s="22">
        <f t="shared" si="364"/>
        <v>0</v>
      </c>
      <c r="AR1044" s="22">
        <f t="shared" si="364"/>
        <v>0</v>
      </c>
      <c r="AS1044" s="22">
        <f t="shared" si="364"/>
        <v>0</v>
      </c>
      <c r="AT1044" s="22">
        <f t="shared" si="364"/>
        <v>0</v>
      </c>
      <c r="AU1044" s="22">
        <f t="shared" si="364"/>
        <v>0</v>
      </c>
      <c r="AV1044" s="22">
        <f t="shared" si="364"/>
        <v>0</v>
      </c>
      <c r="AW1044" s="22">
        <f t="shared" si="364"/>
        <v>0</v>
      </c>
      <c r="AY1044" s="85"/>
      <c r="AZ1044" s="85"/>
    </row>
    <row r="1045" spans="1:52" x14ac:dyDescent="0.25">
      <c r="A1045" s="102" t="str">
        <f t="shared" si="345"/>
        <v>DS MM Volatilisation</v>
      </c>
      <c r="B1045" s="102" t="s">
        <v>975</v>
      </c>
      <c r="C1045" s="102" t="s">
        <v>1333</v>
      </c>
      <c r="D1045" t="s">
        <v>369</v>
      </c>
      <c r="E1045" t="s">
        <v>64</v>
      </c>
      <c r="F1045" t="s">
        <v>62</v>
      </c>
      <c r="G1045" t="s">
        <v>1175</v>
      </c>
      <c r="H1045" t="s">
        <v>1302</v>
      </c>
      <c r="I1045" t="s">
        <v>139</v>
      </c>
      <c r="J1045" t="s">
        <v>287</v>
      </c>
      <c r="K1045" s="22">
        <f t="shared" si="363"/>
        <v>0</v>
      </c>
      <c r="L1045" s="22">
        <f t="shared" si="364"/>
        <v>0</v>
      </c>
      <c r="M1045" s="22">
        <f t="shared" si="364"/>
        <v>0</v>
      </c>
      <c r="N1045" s="22">
        <f t="shared" si="364"/>
        <v>0</v>
      </c>
      <c r="O1045" s="22">
        <f t="shared" si="364"/>
        <v>0</v>
      </c>
      <c r="P1045" s="22">
        <f t="shared" si="364"/>
        <v>0</v>
      </c>
      <c r="Q1045" s="22">
        <f t="shared" si="364"/>
        <v>0</v>
      </c>
      <c r="R1045" s="22">
        <f t="shared" si="364"/>
        <v>0</v>
      </c>
      <c r="S1045" s="22">
        <f t="shared" si="364"/>
        <v>0</v>
      </c>
      <c r="T1045" s="22">
        <f t="shared" si="364"/>
        <v>0</v>
      </c>
      <c r="U1045" s="22">
        <f t="shared" si="364"/>
        <v>0</v>
      </c>
      <c r="V1045" s="22">
        <f t="shared" si="364"/>
        <v>0</v>
      </c>
      <c r="W1045" s="22">
        <f t="shared" si="364"/>
        <v>0</v>
      </c>
      <c r="X1045" s="22">
        <f t="shared" si="364"/>
        <v>0</v>
      </c>
      <c r="Y1045" s="22">
        <f t="shared" si="364"/>
        <v>0</v>
      </c>
      <c r="Z1045" s="22">
        <f t="shared" si="364"/>
        <v>0</v>
      </c>
      <c r="AA1045" s="22">
        <f t="shared" si="364"/>
        <v>0</v>
      </c>
      <c r="AB1045" s="22">
        <f t="shared" si="364"/>
        <v>0</v>
      </c>
      <c r="AC1045" s="22">
        <f t="shared" si="364"/>
        <v>0</v>
      </c>
      <c r="AD1045" s="22">
        <f t="shared" si="364"/>
        <v>0</v>
      </c>
      <c r="AE1045" s="22">
        <f t="shared" si="364"/>
        <v>0</v>
      </c>
      <c r="AF1045" s="22">
        <f t="shared" si="364"/>
        <v>0</v>
      </c>
      <c r="AG1045" s="22">
        <f t="shared" si="364"/>
        <v>0</v>
      </c>
      <c r="AH1045" s="22">
        <f t="shared" si="364"/>
        <v>0</v>
      </c>
      <c r="AI1045" s="22">
        <f t="shared" si="364"/>
        <v>0</v>
      </c>
      <c r="AJ1045" s="22">
        <f t="shared" si="364"/>
        <v>0</v>
      </c>
      <c r="AK1045" s="22">
        <f t="shared" si="364"/>
        <v>0</v>
      </c>
      <c r="AL1045" s="22">
        <f t="shared" si="364"/>
        <v>0</v>
      </c>
      <c r="AM1045" s="22">
        <f t="shared" si="364"/>
        <v>0</v>
      </c>
      <c r="AN1045" s="22">
        <f t="shared" si="364"/>
        <v>0</v>
      </c>
      <c r="AO1045" s="22">
        <f t="shared" si="364"/>
        <v>0</v>
      </c>
      <c r="AP1045" s="22">
        <f t="shared" si="364"/>
        <v>0</v>
      </c>
      <c r="AQ1045" s="22">
        <f t="shared" si="364"/>
        <v>0</v>
      </c>
      <c r="AR1045" s="22">
        <f t="shared" si="364"/>
        <v>0</v>
      </c>
      <c r="AS1045" s="22">
        <f t="shared" si="364"/>
        <v>0</v>
      </c>
      <c r="AT1045" s="22">
        <f t="shared" si="364"/>
        <v>0</v>
      </c>
      <c r="AU1045" s="22">
        <f t="shared" si="364"/>
        <v>0</v>
      </c>
      <c r="AV1045" s="22">
        <f t="shared" si="364"/>
        <v>0</v>
      </c>
      <c r="AW1045" s="22">
        <f t="shared" si="364"/>
        <v>0</v>
      </c>
      <c r="AY1045" s="85"/>
      <c r="AZ1045" s="85"/>
    </row>
    <row r="1046" spans="1:52" x14ac:dyDescent="0.25">
      <c r="A1046" s="102" t="str">
        <f t="shared" si="345"/>
        <v>DS MM Volatilisation</v>
      </c>
      <c r="B1046" s="102" t="s">
        <v>975</v>
      </c>
      <c r="C1046" s="102" t="s">
        <v>1333</v>
      </c>
      <c r="D1046" t="s">
        <v>369</v>
      </c>
      <c r="E1046" t="s">
        <v>64</v>
      </c>
      <c r="F1046" t="s">
        <v>62</v>
      </c>
      <c r="G1046" t="s">
        <v>1177</v>
      </c>
      <c r="H1046" t="s">
        <v>1303</v>
      </c>
      <c r="I1046" t="s">
        <v>139</v>
      </c>
      <c r="J1046" t="s">
        <v>287</v>
      </c>
      <c r="K1046" s="101">
        <f>IF('Net zero activities &amp; levers'!$C$12="Off",Constants!$H75*'Activity data'!AD17*Constants!$H93*EF!$H218*MMVolatEF*NtoN2O*kgtoGg,IF('Net zero activities &amp; levers'!$C$12="PB",Constants!$H75*'Activity data'!AD17*Constants!$H93*EF!$H218*MMVolatEF*NtoN2O*kgtoGg,IF('Net zero activities &amp; levers'!$C$12="MS",Constants!$H75*'Net zero Activity data'!AD17*Constants!$H93*EF!$H218*MMVolatEF*NtoN2O*kgtoGg,"ERROR")))</f>
        <v>0.13175582522236642</v>
      </c>
      <c r="L1046" s="101">
        <f>IF('Net zero activities &amp; levers'!$C$12="Off",Constants!$H75*'Activity data'!AE17*Constants!$H93*EF!$H218*MMVolatEF*NtoN2O*kgtoGg,IF('Net zero activities &amp; levers'!$C$12="PB",Constants!$H75*'Activity data'!AE17*Constants!$H93*EF!$H218*MMVolatEF*NtoN2O*kgtoGg,IF('Net zero activities &amp; levers'!$C$12="MS",Constants!$H75*'Net zero Activity data'!AE17*Constants!$H93*EF!$H218*MMVolatEF*NtoN2O*kgtoGg,"ERROR")))</f>
        <v>0.13133995591331252</v>
      </c>
      <c r="M1046" s="101">
        <f>IF('Net zero activities &amp; levers'!$C$12="Off",Constants!$H75*'Activity data'!AF17*Constants!$H93*EF!$H218*MMVolatEF*NtoN2O*kgtoGg,IF('Net zero activities &amp; levers'!$C$12="PB",Constants!$H75*'Activity data'!AF17*Constants!$H93*EF!$H218*MMVolatEF*NtoN2O*kgtoGg,IF('Net zero activities &amp; levers'!$C$12="MS",Constants!$H75*'Net zero Activity data'!AF17*Constants!$H93*EF!$H218*MMVolatEF*NtoN2O*kgtoGg,"ERROR")))</f>
        <v>0.12996467924172889</v>
      </c>
      <c r="N1046" s="101">
        <f>IF('Net zero activities &amp; levers'!$C$12="Off",Constants!$H75*'Activity data'!AG17*Constants!$H93*EF!$H218*MMVolatEF*NtoN2O*kgtoGg,IF('Net zero activities &amp; levers'!$C$12="PB",Constants!$H75*'Activity data'!AG17*Constants!$H93*EF!$H218*MMVolatEF*NtoN2O*kgtoGg,IF('Net zero activities &amp; levers'!$C$12="MS",Constants!$H75*'Net zero Activity data'!AG17*Constants!$H93*EF!$H218*MMVolatEF*NtoN2O*kgtoGg,"ERROR")))</f>
        <v>0.12729440169626086</v>
      </c>
      <c r="O1046" s="101">
        <f>IF('Net zero activities &amp; levers'!$C$12="Off",Constants!$H75*'Activity data'!AH17*Constants!$H93*EF!$H218*MMVolatEF*NtoN2O*kgtoGg,IF('Net zero activities &amp; levers'!$C$12="PB",Constants!$H75*'Activity data'!AH17*Constants!$H93*EF!$H218*MMVolatEF*NtoN2O*kgtoGg,IF('Net zero activities &amp; levers'!$C$12="MS",Constants!$H75*'Net zero Activity data'!AH17*Constants!$H93*EF!$H218*MMVolatEF*NtoN2O*kgtoGg,"ERROR")))</f>
        <v>0.124740958232787</v>
      </c>
      <c r="P1046" s="101">
        <f>IF('Net zero activities &amp; levers'!$C$12="Off",Constants!$H75*'Activity data'!AI17*Constants!$H93*EF!$H218*MMVolatEF*NtoN2O*kgtoGg,IF('Net zero activities &amp; levers'!$C$12="PB",Constants!$H75*'Activity data'!AI17*Constants!$H93*EF!$H218*MMVolatEF*NtoN2O*kgtoGg,IF('Net zero activities &amp; levers'!$C$12="MS",Constants!$H75*'Net zero Activity data'!AI17*Constants!$H93*EF!$H218*MMVolatEF*NtoN2O*kgtoGg,"ERROR")))</f>
        <v>0.12294968484167307</v>
      </c>
      <c r="Q1046" s="101">
        <f>IF('Net zero activities &amp; levers'!$C$12="Off",Constants!$H75*'Activity data'!AJ17*Constants!$H93*EF!$H218*MMVolatEF*NtoN2O*kgtoGg,IF('Net zero activities &amp; levers'!$C$12="PB",Constants!$H75*'Activity data'!AJ17*Constants!$H93*EF!$H218*MMVolatEF*NtoN2O*kgtoGg,IF('Net zero activities &amp; levers'!$C$12="MS",Constants!$H75*'Net zero Activity data'!AJ17*Constants!$H93*EF!$H218*MMVolatEF*NtoN2O*kgtoGg,"ERROR")))</f>
        <v>0.12143262568999565</v>
      </c>
      <c r="R1046" s="101">
        <f>IF('Net zero activities &amp; levers'!$C$12="Off",Constants!$H75*'Activity data'!AK17*Constants!$H93*EF!$H218*MMVolatEF*NtoN2O*kgtoGg,IF('Net zero activities &amp; levers'!$C$12="PB",Constants!$H75*'Activity data'!AK17*Constants!$H93*EF!$H218*MMVolatEF*NtoN2O*kgtoGg,IF('Net zero activities &amp; levers'!$C$12="MS",Constants!$H75*'Net zero Activity data'!AK17*Constants!$H93*EF!$H218*MMVolatEF*NtoN2O*kgtoGg,"ERROR")))</f>
        <v>0.11863912133480742</v>
      </c>
      <c r="S1046" s="101">
        <f>IF('Net zero activities &amp; levers'!$C$12="Off",Constants!$H75*'Activity data'!AL17*Constants!$H93*EF!$H218*MMVolatEF*NtoN2O*kgtoGg,IF('Net zero activities &amp; levers'!$C$12="PB",Constants!$H75*'Activity data'!AL17*Constants!$H93*EF!$H218*MMVolatEF*NtoN2O*kgtoGg,IF('Net zero activities &amp; levers'!$C$12="MS",Constants!$H75*'Net zero Activity data'!AL17*Constants!$H93*EF!$H218*MMVolatEF*NtoN2O*kgtoGg,"ERROR")))</f>
        <v>0.10385956683599189</v>
      </c>
      <c r="T1046" s="101">
        <f>IF('Net zero activities &amp; levers'!$C$12="Off",Constants!$H75*'Activity data'!AM17*Constants!$H93*EF!$H218*MMVolatEF*NtoN2O*kgtoGg,IF('Net zero activities &amp; levers'!$C$12="PB",Constants!$H75*'Activity data'!AM17*Constants!$H93*EF!$H218*MMVolatEF*NtoN2O*kgtoGg,IF('Net zero activities &amp; levers'!$C$12="MS",Constants!$H75*'Net zero Activity data'!AM17*Constants!$H93*EF!$H218*MMVolatEF*NtoN2O*kgtoGg,"ERROR")))</f>
        <v>0.10451955212302086</v>
      </c>
      <c r="U1046" s="101">
        <f>IF('Net zero activities &amp; levers'!$C$12="Off",Constants!$H75*'Activity data'!AN17*Constants!$H93*EF!$H218*MMVolatEF*NtoN2O*kgtoGg,IF('Net zero activities &amp; levers'!$C$12="PB",Constants!$H75*'Activity data'!AN17*Constants!$H93*EF!$H218*MMVolatEF*NtoN2O*kgtoGg,IF('Net zero activities &amp; levers'!$C$12="MS",Constants!$H75*'Net zero Activity data'!AN17*Constants!$H93*EF!$H218*MMVolatEF*NtoN2O*kgtoGg,"ERROR")))</f>
        <v>0.10485083769828313</v>
      </c>
      <c r="V1046" s="101">
        <f>IF('Net zero activities &amp; levers'!$C$12="Off",Constants!$H75*'Activity data'!AO17*Constants!$H93*EF!$H218*MMVolatEF*NtoN2O*kgtoGg,IF('Net zero activities &amp; levers'!$C$12="PB",Constants!$H75*'Activity data'!AO17*Constants!$H93*EF!$H218*MMVolatEF*NtoN2O*kgtoGg,IF('Net zero activities &amp; levers'!$C$12="MS",Constants!$H75*'Net zero Activity data'!AO17*Constants!$H93*EF!$H218*MMVolatEF*NtoN2O*kgtoGg,"ERROR")))</f>
        <v>0.10517291212466306</v>
      </c>
      <c r="W1046" s="101">
        <f>IF('Net zero activities &amp; levers'!$C$12="Off",Constants!$H75*'Activity data'!AP17*Constants!$H93*EF!$H218*MMVolatEF*NtoN2O*kgtoGg,IF('Net zero activities &amp; levers'!$C$12="PB",Constants!$H75*'Activity data'!AP17*Constants!$H93*EF!$H218*MMVolatEF*NtoN2O*kgtoGg,IF('Net zero activities &amp; levers'!$C$12="MS",Constants!$H75*'Net zero Activity data'!AP17*Constants!$H93*EF!$H218*MMVolatEF*NtoN2O*kgtoGg,"ERROR")))</f>
        <v>0.10595961192608362</v>
      </c>
      <c r="X1046" s="101">
        <f>IF('Net zero activities &amp; levers'!$C$12="Off",Constants!$H75*'Activity data'!AQ17*Constants!$H93*EF!$H218*MMVolatEF*NtoN2O*kgtoGg,IF('Net zero activities &amp; levers'!$C$12="PB",Constants!$H75*'Activity data'!AQ17*Constants!$H93*EF!$H218*MMVolatEF*NtoN2O*kgtoGg,IF('Net zero activities &amp; levers'!$C$12="MS",Constants!$H75*'Net zero Activity data'!AQ17*Constants!$H93*EF!$H218*MMVolatEF*NtoN2O*kgtoGg,"ERROR")))</f>
        <v>0.10671986419880256</v>
      </c>
      <c r="Y1046" s="101">
        <f>IF('Net zero activities &amp; levers'!$C$12="Off",Constants!$H75*'Activity data'!AR17*Constants!$H93*EF!$H218*MMVolatEF*NtoN2O*kgtoGg,IF('Net zero activities &amp; levers'!$C$12="PB",Constants!$H75*'Activity data'!AR17*Constants!$H93*EF!$H218*MMVolatEF*NtoN2O*kgtoGg,IF('Net zero activities &amp; levers'!$C$12="MS",Constants!$H75*'Net zero Activity data'!AR17*Constants!$H93*EF!$H218*MMVolatEF*NtoN2O*kgtoGg,"ERROR")))</f>
        <v>0.10759206833097582</v>
      </c>
      <c r="Z1046" s="101">
        <f>IF('Net zero activities &amp; levers'!$C$12="Off",Constants!$H75*'Activity data'!AS17*Constants!$H93*EF!$H218*MMVolatEF*NtoN2O*kgtoGg,IF('Net zero activities &amp; levers'!$C$12="PB",Constants!$H75*'Activity data'!AS17*Constants!$H93*EF!$H218*MMVolatEF*NtoN2O*kgtoGg,IF('Net zero activities &amp; levers'!$C$12="MS",Constants!$H75*'Net zero Activity data'!AS17*Constants!$H93*EF!$H218*MMVolatEF*NtoN2O*kgtoGg,"ERROR")))</f>
        <v>0.10832415148302713</v>
      </c>
      <c r="AA1046" s="101">
        <f>IF('Net zero activities &amp; levers'!$C$12="Off",Constants!$H75*'Activity data'!AT17*Constants!$H93*EF!$H218*MMVolatEF*NtoN2O*kgtoGg,IF('Net zero activities &amp; levers'!$C$12="PB",Constants!$H75*'Activity data'!AT17*Constants!$H93*EF!$H218*MMVolatEF*NtoN2O*kgtoGg,IF('Net zero activities &amp; levers'!$C$12="MS",Constants!$H75*'Net zero Activity data'!AT17*Constants!$H93*EF!$H218*MMVolatEF*NtoN2O*kgtoGg,"ERROR")))</f>
        <v>0.10920394511601654</v>
      </c>
      <c r="AB1046" s="101">
        <f>IF('Net zero activities &amp; levers'!$C$12="Off",Constants!$H75*'Activity data'!AU17*Constants!$H93*EF!$H218*MMVolatEF*NtoN2O*kgtoGg,IF('Net zero activities &amp; levers'!$C$12="PB",Constants!$H75*'Activity data'!AU17*Constants!$H93*EF!$H218*MMVolatEF*NtoN2O*kgtoGg,IF('Net zero activities &amp; levers'!$C$12="MS",Constants!$H75*'Net zero Activity data'!AU17*Constants!$H93*EF!$H218*MMVolatEF*NtoN2O*kgtoGg,"ERROR")))</f>
        <v>0.10984438432762617</v>
      </c>
      <c r="AC1046" s="101">
        <f>IF('Net zero activities &amp; levers'!$C$12="Off",Constants!$H75*'Activity data'!AV17*Constants!$H93*EF!$H218*MMVolatEF*NtoN2O*kgtoGg,IF('Net zero activities &amp; levers'!$C$12="PB",Constants!$H75*'Activity data'!AV17*Constants!$H93*EF!$H218*MMVolatEF*NtoN2O*kgtoGg,IF('Net zero activities &amp; levers'!$C$12="MS",Constants!$H75*'Net zero Activity data'!AV17*Constants!$H93*EF!$H218*MMVolatEF*NtoN2O*kgtoGg,"ERROR")))</f>
        <v>0.11051807029951835</v>
      </c>
      <c r="AD1046" s="101">
        <f>IF('Net zero activities &amp; levers'!$C$12="Off",Constants!$H75*'Activity data'!AW17*Constants!$H93*EF!$H218*MMVolatEF*NtoN2O*kgtoGg,IF('Net zero activities &amp; levers'!$C$12="PB",Constants!$H75*'Activity data'!AW17*Constants!$H93*EF!$H218*MMVolatEF*NtoN2O*kgtoGg,IF('Net zero activities &amp; levers'!$C$12="MS",Constants!$H75*'Net zero Activity data'!AW17*Constants!$H93*EF!$H218*MMVolatEF*NtoN2O*kgtoGg,"ERROR")))</f>
        <v>0.11176064621994924</v>
      </c>
      <c r="AE1046" s="101">
        <f>IF('Net zero activities &amp; levers'!$C$12="Off",Constants!$H75*'Activity data'!AX17*Constants!$H93*EF!$H218*MMVolatEF*NtoN2O*kgtoGg,IF('Net zero activities &amp; levers'!$C$12="PB",Constants!$H75*'Activity data'!AX17*Constants!$H93*EF!$H218*MMVolatEF*NtoN2O*kgtoGg,IF('Net zero activities &amp; levers'!$C$12="MS",Constants!$H75*'Net zero Activity data'!AX17*Constants!$H93*EF!$H218*MMVolatEF*NtoN2O*kgtoGg,"ERROR")))</f>
        <v>0.11321217775824029</v>
      </c>
      <c r="AF1046" s="101">
        <f>IF('Net zero activities &amp; levers'!$C$12="Off",Constants!$H75*'Activity data'!AY17*Constants!$H93*EF!$H218*MMVolatEF*NtoN2O*kgtoGg,IF('Net zero activities &amp; levers'!$C$12="PB",Constants!$H75*'Activity data'!AY17*Constants!$H93*EF!$H218*MMVolatEF*NtoN2O*kgtoGg,IF('Net zero activities &amp; levers'!$C$12="MS",Constants!$H75*'Net zero Activity data'!AY17*Constants!$H93*EF!$H218*MMVolatEF*NtoN2O*kgtoGg,"ERROR")))</f>
        <v>0.11471425126432638</v>
      </c>
      <c r="AG1046" s="101">
        <f>IF('Net zero activities &amp; levers'!$C$12="Off",Constants!$H75*'Activity data'!AZ17*Constants!$H93*EF!$H218*MMVolatEF*NtoN2O*kgtoGg,IF('Net zero activities &amp; levers'!$C$12="PB",Constants!$H75*'Activity data'!AZ17*Constants!$H93*EF!$H218*MMVolatEF*NtoN2O*kgtoGg,IF('Net zero activities &amp; levers'!$C$12="MS",Constants!$H75*'Net zero Activity data'!AZ17*Constants!$H93*EF!$H218*MMVolatEF*NtoN2O*kgtoGg,"ERROR")))</f>
        <v>0.11302605462152289</v>
      </c>
      <c r="AH1046" s="101">
        <f>IF('Net zero activities &amp; levers'!$C$12="Off",Constants!$H75*'Activity data'!BA17*Constants!$H93*EF!$H218*MMVolatEF*NtoN2O*kgtoGg,IF('Net zero activities &amp; levers'!$C$12="PB",Constants!$H75*'Activity data'!BA17*Constants!$H93*EF!$H218*MMVolatEF*NtoN2O*kgtoGg,IF('Net zero activities &amp; levers'!$C$12="MS",Constants!$H75*'Net zero Activity data'!BA17*Constants!$H93*EF!$H218*MMVolatEF*NtoN2O*kgtoGg,"ERROR")))</f>
        <v>-3.8135833829008307E-2</v>
      </c>
      <c r="AI1046" s="101">
        <f>IF('Net zero activities &amp; levers'!$C$12="Off",Constants!$H75*'Activity data'!BB17*Constants!$H93*EF!$H218*MMVolatEF*NtoN2O*kgtoGg,IF('Net zero activities &amp; levers'!$C$12="PB",Constants!$H75*'Activity data'!BB17*Constants!$H93*EF!$H218*MMVolatEF*NtoN2O*kgtoGg,IF('Net zero activities &amp; levers'!$C$12="MS",Constants!$H75*'Net zero Activity data'!BB17*Constants!$H93*EF!$H218*MMVolatEF*NtoN2O*kgtoGg,"ERROR")))</f>
        <v>-3.7718689403419284E-2</v>
      </c>
      <c r="AJ1046" s="101">
        <f>IF('Net zero activities &amp; levers'!$C$12="Off",Constants!$H75*'Activity data'!BC17*Constants!$H93*EF!$H218*MMVolatEF*NtoN2O*kgtoGg,IF('Net zero activities &amp; levers'!$C$12="PB",Constants!$H75*'Activity data'!BC17*Constants!$H93*EF!$H218*MMVolatEF*NtoN2O*kgtoGg,IF('Net zero activities &amp; levers'!$C$12="MS",Constants!$H75*'Net zero Activity data'!BC17*Constants!$H93*EF!$H218*MMVolatEF*NtoN2O*kgtoGg,"ERROR")))</f>
        <v>-3.7310479618025916E-2</v>
      </c>
      <c r="AK1046" s="101">
        <f>IF('Net zero activities &amp; levers'!$C$12="Off",Constants!$H75*'Activity data'!BD17*Constants!$H93*EF!$H218*MMVolatEF*NtoN2O*kgtoGg,IF('Net zero activities &amp; levers'!$C$12="PB",Constants!$H75*'Activity data'!BD17*Constants!$H93*EF!$H218*MMVolatEF*NtoN2O*kgtoGg,IF('Net zero activities &amp; levers'!$C$12="MS",Constants!$H75*'Net zero Activity data'!BD17*Constants!$H93*EF!$H218*MMVolatEF*NtoN2O*kgtoGg,"ERROR")))</f>
        <v>-3.6910619979896454E-2</v>
      </c>
      <c r="AL1046" s="101">
        <f>IF('Net zero activities &amp; levers'!$C$12="Off",Constants!$H75*'Activity data'!BE17*Constants!$H93*EF!$H218*MMVolatEF*NtoN2O*kgtoGg,IF('Net zero activities &amp; levers'!$C$12="PB",Constants!$H75*'Activity data'!BE17*Constants!$H93*EF!$H218*MMVolatEF*NtoN2O*kgtoGg,IF('Net zero activities &amp; levers'!$C$12="MS",Constants!$H75*'Net zero Activity data'!BE17*Constants!$H93*EF!$H218*MMVolatEF*NtoN2O*kgtoGg,"ERROR")))</f>
        <v>-3.6518568792738119E-2</v>
      </c>
      <c r="AM1046" s="101">
        <f>IF('Net zero activities &amp; levers'!$C$12="Off",Constants!$H75*'Activity data'!BF17*Constants!$H93*EF!$H218*MMVolatEF*NtoN2O*kgtoGg,IF('Net zero activities &amp; levers'!$C$12="PB",Constants!$H75*'Activity data'!BF17*Constants!$H93*EF!$H218*MMVolatEF*NtoN2O*kgtoGg,IF('Net zero activities &amp; levers'!$C$12="MS",Constants!$H75*'Net zero Activity data'!BF17*Constants!$H93*EF!$H218*MMVolatEF*NtoN2O*kgtoGg,"ERROR")))</f>
        <v>-3.6133823018213627E-2</v>
      </c>
      <c r="AN1046" s="101">
        <f>IF('Net zero activities &amp; levers'!$C$12="Off",Constants!$H75*'Activity data'!BG17*Constants!$H93*EF!$H218*MMVolatEF*NtoN2O*kgtoGg,IF('Net zero activities &amp; levers'!$C$12="PB",Constants!$H75*'Activity data'!BG17*Constants!$H93*EF!$H218*MMVolatEF*NtoN2O*kgtoGg,IF('Net zero activities &amp; levers'!$C$12="MS",Constants!$H75*'Net zero Activity data'!BG17*Constants!$H93*EF!$H218*MMVolatEF*NtoN2O*kgtoGg,"ERROR")))</f>
        <v>-3.5711833561214323E-2</v>
      </c>
      <c r="AO1046" s="101">
        <f>IF('Net zero activities &amp; levers'!$C$12="Off",Constants!$H75*'Activity data'!BH17*Constants!$H93*EF!$H218*MMVolatEF*NtoN2O*kgtoGg,IF('Net zero activities &amp; levers'!$C$12="PB",Constants!$H75*'Activity data'!BH17*Constants!$H93*EF!$H218*MMVolatEF*NtoN2O*kgtoGg,IF('Net zero activities &amp; levers'!$C$12="MS",Constants!$H75*'Net zero Activity data'!BH17*Constants!$H93*EF!$H218*MMVolatEF*NtoN2O*kgtoGg,"ERROR")))</f>
        <v>-3.5297284374171914E-2</v>
      </c>
      <c r="AP1046" s="101">
        <f>IF('Net zero activities &amp; levers'!$C$12="Off",Constants!$H75*'Activity data'!BI17*Constants!$H93*EF!$H218*MMVolatEF*NtoN2O*kgtoGg,IF('Net zero activities &amp; levers'!$C$12="PB",Constants!$H75*'Activity data'!BI17*Constants!$H93*EF!$H218*MMVolatEF*NtoN2O*kgtoGg,IF('Net zero activities &amp; levers'!$C$12="MS",Constants!$H75*'Net zero Activity data'!BI17*Constants!$H93*EF!$H218*MMVolatEF*NtoN2O*kgtoGg,"ERROR")))</f>
        <v>-3.4889740911291982E-2</v>
      </c>
      <c r="AQ1046" s="101">
        <f>IF('Net zero activities &amp; levers'!$C$12="Off",Constants!$H75*'Activity data'!BJ17*Constants!$H93*EF!$H218*MMVolatEF*NtoN2O*kgtoGg,IF('Net zero activities &amp; levers'!$C$12="PB",Constants!$H75*'Activity data'!BJ17*Constants!$H93*EF!$H218*MMVolatEF*NtoN2O*kgtoGg,IF('Net zero activities &amp; levers'!$C$12="MS",Constants!$H75*'Net zero Activity data'!BJ17*Constants!$H93*EF!$H218*MMVolatEF*NtoN2O*kgtoGg,"ERROR")))</f>
        <v>-3.4488797010350791E-2</v>
      </c>
      <c r="AR1046" s="101">
        <f>IF('Net zero activities &amp; levers'!$C$12="Off",Constants!$H75*'Activity data'!BK17*Constants!$H93*EF!$H218*MMVolatEF*NtoN2O*kgtoGg,IF('Net zero activities &amp; levers'!$C$12="PB",Constants!$H75*'Activity data'!BK17*Constants!$H93*EF!$H218*MMVolatEF*NtoN2O*kgtoGg,IF('Net zero activities &amp; levers'!$C$12="MS",Constants!$H75*'Net zero Activity data'!BK17*Constants!$H93*EF!$H218*MMVolatEF*NtoN2O*kgtoGg,"ERROR")))</f>
        <v>-3.4094072440282994E-2</v>
      </c>
      <c r="AS1046" s="101">
        <f>IF('Net zero activities &amp; levers'!$C$12="Off",Constants!$H75*'Activity data'!BL17*Constants!$H93*EF!$H218*MMVolatEF*NtoN2O*kgtoGg,IF('Net zero activities &amp; levers'!$C$12="PB",Constants!$H75*'Activity data'!BL17*Constants!$H93*EF!$H218*MMVolatEF*NtoN2O*kgtoGg,IF('Net zero activities &amp; levers'!$C$12="MS",Constants!$H75*'Net zero Activity data'!BL17*Constants!$H93*EF!$H218*MMVolatEF*NtoN2O*kgtoGg,"ERROR")))</f>
        <v>-3.3663911026345139E-2</v>
      </c>
      <c r="AT1046" s="101">
        <f>IF('Net zero activities &amp; levers'!$C$12="Off",Constants!$H75*'Activity data'!BM17*Constants!$H93*EF!$H218*MMVolatEF*NtoN2O*kgtoGg,IF('Net zero activities &amp; levers'!$C$12="PB",Constants!$H75*'Activity data'!BM17*Constants!$H93*EF!$H218*MMVolatEF*NtoN2O*kgtoGg,IF('Net zero activities &amp; levers'!$C$12="MS",Constants!$H75*'Net zero Activity data'!BM17*Constants!$H93*EF!$H218*MMVolatEF*NtoN2O*kgtoGg,"ERROR")))</f>
        <v>-3.3240319741355787E-2</v>
      </c>
      <c r="AU1046" s="101">
        <f>IF('Net zero activities &amp; levers'!$C$12="Off",Constants!$H75*'Activity data'!BN17*Constants!$H93*EF!$H218*MMVolatEF*NtoN2O*kgtoGg,IF('Net zero activities &amp; levers'!$C$12="PB",Constants!$H75*'Activity data'!BN17*Constants!$H93*EF!$H218*MMVolatEF*NtoN2O*kgtoGg,IF('Net zero activities &amp; levers'!$C$12="MS",Constants!$H75*'Net zero Activity data'!BN17*Constants!$H93*EF!$H218*MMVolatEF*NtoN2O*kgtoGg,"ERROR")))</f>
        <v>-3.2822960396725463E-2</v>
      </c>
      <c r="AV1046" s="101">
        <f>IF('Net zero activities &amp; levers'!$C$12="Off",Constants!$H75*'Activity data'!BO17*Constants!$H93*EF!$H218*MMVolatEF*NtoN2O*kgtoGg,IF('Net zero activities &amp; levers'!$C$12="PB",Constants!$H75*'Activity data'!BO17*Constants!$H93*EF!$H218*MMVolatEF*NtoN2O*kgtoGg,IF('Net zero activities &amp; levers'!$C$12="MS",Constants!$H75*'Net zero Activity data'!BO17*Constants!$H93*EF!$H218*MMVolatEF*NtoN2O*kgtoGg,"ERROR")))</f>
        <v>-3.2411514785230008E-2</v>
      </c>
      <c r="AW1046" s="101">
        <f>IF('Net zero activities &amp; levers'!$C$12="Off",Constants!$H75*'Activity data'!BP17*Constants!$H93*EF!$H218*MMVolatEF*NtoN2O*kgtoGg,IF('Net zero activities &amp; levers'!$C$12="PB",Constants!$H75*'Activity data'!BP17*Constants!$H93*EF!$H218*MMVolatEF*NtoN2O*kgtoGg,IF('Net zero activities &amp; levers'!$C$12="MS",Constants!$H75*'Net zero Activity data'!BP17*Constants!$H93*EF!$H218*MMVolatEF*NtoN2O*kgtoGg,"ERROR")))</f>
        <v>-3.2005683123121166E-2</v>
      </c>
      <c r="AY1046" s="85"/>
      <c r="AZ1046" s="85"/>
    </row>
    <row r="1047" spans="1:52" x14ac:dyDescent="0.25">
      <c r="A1047" s="102" t="str">
        <f t="shared" si="345"/>
        <v>DS MM Volatilisation</v>
      </c>
      <c r="B1047" s="102" t="s">
        <v>975</v>
      </c>
      <c r="C1047" s="102" t="s">
        <v>1333</v>
      </c>
      <c r="D1047" t="s">
        <v>369</v>
      </c>
      <c r="E1047" t="s">
        <v>64</v>
      </c>
      <c r="F1047" t="s">
        <v>62</v>
      </c>
      <c r="G1047" t="s">
        <v>1179</v>
      </c>
      <c r="H1047" t="s">
        <v>1304</v>
      </c>
      <c r="I1047" t="s">
        <v>139</v>
      </c>
      <c r="J1047" t="s">
        <v>287</v>
      </c>
      <c r="K1047" s="101">
        <f>IF('Net zero activities &amp; levers'!$C$12="Off",Constants!$H76*'Activity data'!AD18*Constants!$H94*EF!$H219*MMVolatEF*NtoN2O*kgtoGg,IF('Net zero activities &amp; levers'!$C$12="PB",Constants!$H76*'Activity data'!AD18*Constants!$H94*EF!$H219*MMVolatEF*NtoN2O*kgtoGg,IF('Net zero activities &amp; levers'!$C$12="MS",Constants!$H76*'Net zero Activity data'!AD18*Constants!$H94*EF!$H219*MMVolatEF*NtoN2O*kgtoGg,"ERROR")))</f>
        <v>1.2821907264588839E-2</v>
      </c>
      <c r="L1047" s="101">
        <f>IF('Net zero activities &amp; levers'!$C$12="Off",Constants!$H76*'Activity data'!AE18*Constants!$H94*EF!$H219*MMVolatEF*NtoN2O*kgtoGg,IF('Net zero activities &amp; levers'!$C$12="PB",Constants!$H76*'Activity data'!AE18*Constants!$H94*EF!$H219*MMVolatEF*NtoN2O*kgtoGg,IF('Net zero activities &amp; levers'!$C$12="MS",Constants!$H76*'Net zero Activity data'!AE18*Constants!$H94*EF!$H219*MMVolatEF*NtoN2O*kgtoGg,"ERROR")))</f>
        <v>1.2781436661441853E-2</v>
      </c>
      <c r="M1047" s="101">
        <f>IF('Net zero activities &amp; levers'!$C$12="Off",Constants!$H76*'Activity data'!AF18*Constants!$H94*EF!$H219*MMVolatEF*NtoN2O*kgtoGg,IF('Net zero activities &amp; levers'!$C$12="PB",Constants!$H76*'Activity data'!AF18*Constants!$H94*EF!$H219*MMVolatEF*NtoN2O*kgtoGg,IF('Net zero activities &amp; levers'!$C$12="MS",Constants!$H76*'Net zero Activity data'!AF18*Constants!$H94*EF!$H219*MMVolatEF*NtoN2O*kgtoGg,"ERROR")))</f>
        <v>1.2647600681769325E-2</v>
      </c>
      <c r="N1047" s="101">
        <f>IF('Net zero activities &amp; levers'!$C$12="Off",Constants!$H76*'Activity data'!AG18*Constants!$H94*EF!$H219*MMVolatEF*NtoN2O*kgtoGg,IF('Net zero activities &amp; levers'!$C$12="PB",Constants!$H76*'Activity data'!AG18*Constants!$H94*EF!$H219*MMVolatEF*NtoN2O*kgtoGg,IF('Net zero activities &amp; levers'!$C$12="MS",Constants!$H76*'Net zero Activity data'!AG18*Constants!$H94*EF!$H219*MMVolatEF*NtoN2O*kgtoGg,"ERROR")))</f>
        <v>1.2387740815984108E-2</v>
      </c>
      <c r="O1047" s="101">
        <f>IF('Net zero activities &amp; levers'!$C$12="Off",Constants!$H76*'Activity data'!AH18*Constants!$H94*EF!$H219*MMVolatEF*NtoN2O*kgtoGg,IF('Net zero activities &amp; levers'!$C$12="PB",Constants!$H76*'Activity data'!AH18*Constants!$H94*EF!$H219*MMVolatEF*NtoN2O*kgtoGg,IF('Net zero activities &amp; levers'!$C$12="MS",Constants!$H76*'Net zero Activity data'!AH18*Constants!$H94*EF!$H219*MMVolatEF*NtoN2O*kgtoGg,"ERROR")))</f>
        <v>1.2139250737926637E-2</v>
      </c>
      <c r="P1047" s="101">
        <f>IF('Net zero activities &amp; levers'!$C$12="Off",Constants!$H76*'Activity data'!AI18*Constants!$H94*EF!$H219*MMVolatEF*NtoN2O*kgtoGg,IF('Net zero activities &amp; levers'!$C$12="PB",Constants!$H76*'Activity data'!AI18*Constants!$H94*EF!$H219*MMVolatEF*NtoN2O*kgtoGg,IF('Net zero activities &amp; levers'!$C$12="MS",Constants!$H76*'Net zero Activity data'!AI18*Constants!$H94*EF!$H219*MMVolatEF*NtoN2O*kgtoGg,"ERROR")))</f>
        <v>1.196493175607042E-2</v>
      </c>
      <c r="Q1047" s="101">
        <f>IF('Net zero activities &amp; levers'!$C$12="Off",Constants!$H76*'Activity data'!AJ18*Constants!$H94*EF!$H219*MMVolatEF*NtoN2O*kgtoGg,IF('Net zero activities &amp; levers'!$C$12="PB",Constants!$H76*'Activity data'!AJ18*Constants!$H94*EF!$H219*MMVolatEF*NtoN2O*kgtoGg,IF('Net zero activities &amp; levers'!$C$12="MS",Constants!$H76*'Net zero Activity data'!AJ18*Constants!$H94*EF!$H219*MMVolatEF*NtoN2O*kgtoGg,"ERROR")))</f>
        <v>1.1817298118431442E-2</v>
      </c>
      <c r="R1047" s="101">
        <f>IF('Net zero activities &amp; levers'!$C$12="Off",Constants!$H76*'Activity data'!AK18*Constants!$H94*EF!$H219*MMVolatEF*NtoN2O*kgtoGg,IF('Net zero activities &amp; levers'!$C$12="PB",Constants!$H76*'Activity data'!AK18*Constants!$H94*EF!$H219*MMVolatEF*NtoN2O*kgtoGg,IF('Net zero activities &amp; levers'!$C$12="MS",Constants!$H76*'Net zero Activity data'!AK18*Constants!$H94*EF!$H219*MMVolatEF*NtoN2O*kgtoGg,"ERROR")))</f>
        <v>1.1545446352295121E-2</v>
      </c>
      <c r="S1047" s="101">
        <f>IF('Net zero activities &amp; levers'!$C$12="Off",Constants!$H76*'Activity data'!AL18*Constants!$H94*EF!$H219*MMVolatEF*NtoN2O*kgtoGg,IF('Net zero activities &amp; levers'!$C$12="PB",Constants!$H76*'Activity data'!AL18*Constants!$H94*EF!$H219*MMVolatEF*NtoN2O*kgtoGg,IF('Net zero activities &amp; levers'!$C$12="MS",Constants!$H76*'Net zero Activity data'!AL18*Constants!$H94*EF!$H219*MMVolatEF*NtoN2O*kgtoGg,"ERROR")))</f>
        <v>1.0107164007845277E-2</v>
      </c>
      <c r="T1047" s="101">
        <f>IF('Net zero activities &amp; levers'!$C$12="Off",Constants!$H76*'Activity data'!AM18*Constants!$H94*EF!$H219*MMVolatEF*NtoN2O*kgtoGg,IF('Net zero activities &amp; levers'!$C$12="PB",Constants!$H76*'Activity data'!AM18*Constants!$H94*EF!$H219*MMVolatEF*NtoN2O*kgtoGg,IF('Net zero activities &amp; levers'!$C$12="MS",Constants!$H76*'Net zero Activity data'!AM18*Constants!$H94*EF!$H219*MMVolatEF*NtoN2O*kgtoGg,"ERROR")))</f>
        <v>1.0171390922533838E-2</v>
      </c>
      <c r="U1047" s="101">
        <f>IF('Net zero activities &amp; levers'!$C$12="Off",Constants!$H76*'Activity data'!AN18*Constants!$H94*EF!$H219*MMVolatEF*NtoN2O*kgtoGg,IF('Net zero activities &amp; levers'!$C$12="PB",Constants!$H76*'Activity data'!AN18*Constants!$H94*EF!$H219*MMVolatEF*NtoN2O*kgtoGg,IF('Net zero activities &amp; levers'!$C$12="MS",Constants!$H76*'Net zero Activity data'!AN18*Constants!$H94*EF!$H219*MMVolatEF*NtoN2O*kgtoGg,"ERROR")))</f>
        <v>1.020363020240583E-2</v>
      </c>
      <c r="V1047" s="101">
        <f>IF('Net zero activities &amp; levers'!$C$12="Off",Constants!$H76*'Activity data'!AO18*Constants!$H94*EF!$H219*MMVolatEF*NtoN2O*kgtoGg,IF('Net zero activities &amp; levers'!$C$12="PB",Constants!$H76*'Activity data'!AO18*Constants!$H94*EF!$H219*MMVolatEF*NtoN2O*kgtoGg,IF('Net zero activities &amp; levers'!$C$12="MS",Constants!$H76*'Net zero Activity data'!AO18*Constants!$H94*EF!$H219*MMVolatEF*NtoN2O*kgtoGg,"ERROR")))</f>
        <v>1.0234973093092974E-2</v>
      </c>
      <c r="W1047" s="101">
        <f>IF('Net zero activities &amp; levers'!$C$12="Off",Constants!$H76*'Activity data'!AP18*Constants!$H94*EF!$H219*MMVolatEF*NtoN2O*kgtoGg,IF('Net zero activities &amp; levers'!$C$12="PB",Constants!$H76*'Activity data'!AP18*Constants!$H94*EF!$H219*MMVolatEF*NtoN2O*kgtoGg,IF('Net zero activities &amp; levers'!$C$12="MS",Constants!$H76*'Net zero Activity data'!AP18*Constants!$H94*EF!$H219*MMVolatEF*NtoN2O*kgtoGg,"ERROR")))</f>
        <v>1.0311531316472175E-2</v>
      </c>
      <c r="X1047" s="101">
        <f>IF('Net zero activities &amp; levers'!$C$12="Off",Constants!$H76*'Activity data'!AQ18*Constants!$H94*EF!$H219*MMVolatEF*NtoN2O*kgtoGg,IF('Net zero activities &amp; levers'!$C$12="PB",Constants!$H76*'Activity data'!AQ18*Constants!$H94*EF!$H219*MMVolatEF*NtoN2O*kgtoGg,IF('Net zero activities &amp; levers'!$C$12="MS",Constants!$H76*'Net zero Activity data'!AQ18*Constants!$H94*EF!$H219*MMVolatEF*NtoN2O*kgtoGg,"ERROR")))</f>
        <v>1.0385515780703972E-2</v>
      </c>
      <c r="Y1047" s="101">
        <f>IF('Net zero activities &amp; levers'!$C$12="Off",Constants!$H76*'Activity data'!AR18*Constants!$H94*EF!$H219*MMVolatEF*NtoN2O*kgtoGg,IF('Net zero activities &amp; levers'!$C$12="PB",Constants!$H76*'Activity data'!AR18*Constants!$H94*EF!$H219*MMVolatEF*NtoN2O*kgtoGg,IF('Net zero activities &amp; levers'!$C$12="MS",Constants!$H76*'Net zero Activity data'!AR18*Constants!$H94*EF!$H219*MMVolatEF*NtoN2O*kgtoGg,"ERROR")))</f>
        <v>1.0470394915874219E-2</v>
      </c>
      <c r="Z1047" s="101">
        <f>IF('Net zero activities &amp; levers'!$C$12="Off",Constants!$H76*'Activity data'!AS18*Constants!$H94*EF!$H219*MMVolatEF*NtoN2O*kgtoGg,IF('Net zero activities &amp; levers'!$C$12="PB",Constants!$H76*'Activity data'!AS18*Constants!$H94*EF!$H219*MMVolatEF*NtoN2O*kgtoGg,IF('Net zero activities &amp; levers'!$C$12="MS",Constants!$H76*'Net zero Activity data'!AS18*Constants!$H94*EF!$H219*MMVolatEF*NtoN2O*kgtoGg,"ERROR")))</f>
        <v>1.0541638083071781E-2</v>
      </c>
      <c r="AA1047" s="101">
        <f>IF('Net zero activities &amp; levers'!$C$12="Off",Constants!$H76*'Activity data'!AT18*Constants!$H94*EF!$H219*MMVolatEF*NtoN2O*kgtoGg,IF('Net zero activities &amp; levers'!$C$12="PB",Constants!$H76*'Activity data'!AT18*Constants!$H94*EF!$H219*MMVolatEF*NtoN2O*kgtoGg,IF('Net zero activities &amp; levers'!$C$12="MS",Constants!$H76*'Net zero Activity data'!AT18*Constants!$H94*EF!$H219*MMVolatEF*NtoN2O*kgtoGg,"ERROR")))</f>
        <v>1.0627255795648265E-2</v>
      </c>
      <c r="AB1047" s="101">
        <f>IF('Net zero activities &amp; levers'!$C$12="Off",Constants!$H76*'Activity data'!AU18*Constants!$H94*EF!$H219*MMVolatEF*NtoN2O*kgtoGg,IF('Net zero activities &amp; levers'!$C$12="PB",Constants!$H76*'Activity data'!AU18*Constants!$H94*EF!$H219*MMVolatEF*NtoN2O*kgtoGg,IF('Net zero activities &amp; levers'!$C$12="MS",Constants!$H76*'Net zero Activity data'!AU18*Constants!$H94*EF!$H219*MMVolatEF*NtoN2O*kgtoGg,"ERROR")))</f>
        <v>1.0689580570784438E-2</v>
      </c>
      <c r="AC1047" s="101">
        <f>IF('Net zero activities &amp; levers'!$C$12="Off",Constants!$H76*'Activity data'!AV18*Constants!$H94*EF!$H219*MMVolatEF*NtoN2O*kgtoGg,IF('Net zero activities &amp; levers'!$C$12="PB",Constants!$H76*'Activity data'!AV18*Constants!$H94*EF!$H219*MMVolatEF*NtoN2O*kgtoGg,IF('Net zero activities &amp; levers'!$C$12="MS",Constants!$H76*'Net zero Activity data'!AV18*Constants!$H94*EF!$H219*MMVolatEF*NtoN2O*kgtoGg,"ERROR")))</f>
        <v>1.0755140776889006E-2</v>
      </c>
      <c r="AD1047" s="101">
        <f>IF('Net zero activities &amp; levers'!$C$12="Off",Constants!$H76*'Activity data'!AW18*Constants!$H94*EF!$H219*MMVolatEF*NtoN2O*kgtoGg,IF('Net zero activities &amp; levers'!$C$12="PB",Constants!$H76*'Activity data'!AW18*Constants!$H94*EF!$H219*MMVolatEF*NtoN2O*kgtoGg,IF('Net zero activities &amp; levers'!$C$12="MS",Constants!$H76*'Net zero Activity data'!AW18*Constants!$H94*EF!$H219*MMVolatEF*NtoN2O*kgtoGg,"ERROR")))</f>
        <v>1.0876062893190786E-2</v>
      </c>
      <c r="AE1047" s="101">
        <f>IF('Net zero activities &amp; levers'!$C$12="Off",Constants!$H76*'Activity data'!AX18*Constants!$H94*EF!$H219*MMVolatEF*NtoN2O*kgtoGg,IF('Net zero activities &amp; levers'!$C$12="PB",Constants!$H76*'Activity data'!AX18*Constants!$H94*EF!$H219*MMVolatEF*NtoN2O*kgtoGg,IF('Net zero activities &amp; levers'!$C$12="MS",Constants!$H76*'Net zero Activity data'!AX18*Constants!$H94*EF!$H219*MMVolatEF*NtoN2O*kgtoGg,"ERROR")))</f>
        <v>1.1017319666803515E-2</v>
      </c>
      <c r="AF1047" s="101">
        <f>IF('Net zero activities &amp; levers'!$C$12="Off",Constants!$H76*'Activity data'!AY18*Constants!$H94*EF!$H219*MMVolatEF*NtoN2O*kgtoGg,IF('Net zero activities &amp; levers'!$C$12="PB",Constants!$H76*'Activity data'!AY18*Constants!$H94*EF!$H219*MMVolatEF*NtoN2O*kgtoGg,IF('Net zero activities &amp; levers'!$C$12="MS",Constants!$H76*'Net zero Activity data'!AY18*Constants!$H94*EF!$H219*MMVolatEF*NtoN2O*kgtoGg,"ERROR")))</f>
        <v>1.1163494966203955E-2</v>
      </c>
      <c r="AG1047" s="101">
        <f>IF('Net zero activities &amp; levers'!$C$12="Off",Constants!$H76*'Activity data'!AZ18*Constants!$H94*EF!$H219*MMVolatEF*NtoN2O*kgtoGg,IF('Net zero activities &amp; levers'!$C$12="PB",Constants!$H76*'Activity data'!AZ18*Constants!$H94*EF!$H219*MMVolatEF*NtoN2O*kgtoGg,IF('Net zero activities &amp; levers'!$C$12="MS",Constants!$H76*'Net zero Activity data'!AZ18*Constants!$H94*EF!$H219*MMVolatEF*NtoN2O*kgtoGg,"ERROR")))</f>
        <v>1.0999206967841195E-2</v>
      </c>
      <c r="AH1047" s="101">
        <f>IF('Net zero activities &amp; levers'!$C$12="Off",Constants!$H76*'Activity data'!BA18*Constants!$H94*EF!$H219*MMVolatEF*NtoN2O*kgtoGg,IF('Net zero activities &amp; levers'!$C$12="PB",Constants!$H76*'Activity data'!BA18*Constants!$H94*EF!$H219*MMVolatEF*NtoN2O*kgtoGg,IF('Net zero activities &amp; levers'!$C$12="MS",Constants!$H76*'Net zero Activity data'!BA18*Constants!$H94*EF!$H219*MMVolatEF*NtoN2O*kgtoGg,"ERROR")))</f>
        <v>-3.7112144680363467E-3</v>
      </c>
      <c r="AI1047" s="101">
        <f>IF('Net zero activities &amp; levers'!$C$12="Off",Constants!$H76*'Activity data'!BB18*Constants!$H94*EF!$H219*MMVolatEF*NtoN2O*kgtoGg,IF('Net zero activities &amp; levers'!$C$12="PB",Constants!$H76*'Activity data'!BB18*Constants!$H94*EF!$H219*MMVolatEF*NtoN2O*kgtoGg,IF('Net zero activities &amp; levers'!$C$12="MS",Constants!$H76*'Net zero Activity data'!BB18*Constants!$H94*EF!$H219*MMVolatEF*NtoN2O*kgtoGg,"ERROR")))</f>
        <v>-3.6706197760611272E-3</v>
      </c>
      <c r="AJ1047" s="101">
        <f>IF('Net zero activities &amp; levers'!$C$12="Off",Constants!$H76*'Activity data'!BC18*Constants!$H94*EF!$H219*MMVolatEF*NtoN2O*kgtoGg,IF('Net zero activities &amp; levers'!$C$12="PB",Constants!$H76*'Activity data'!BC18*Constants!$H94*EF!$H219*MMVolatEF*NtoN2O*kgtoGg,IF('Net zero activities &amp; levers'!$C$12="MS",Constants!$H76*'Net zero Activity data'!BC18*Constants!$H94*EF!$H219*MMVolatEF*NtoN2O*kgtoGg,"ERROR")))</f>
        <v>-3.6308945646408518E-3</v>
      </c>
      <c r="AK1047" s="101">
        <f>IF('Net zero activities &amp; levers'!$C$12="Off",Constants!$H76*'Activity data'!BD18*Constants!$H94*EF!$H219*MMVolatEF*NtoN2O*kgtoGg,IF('Net zero activities &amp; levers'!$C$12="PB",Constants!$H76*'Activity data'!BD18*Constants!$H94*EF!$H219*MMVolatEF*NtoN2O*kgtoGg,IF('Net zero activities &amp; levers'!$C$12="MS",Constants!$H76*'Net zero Activity data'!BD18*Constants!$H94*EF!$H219*MMVolatEF*NtoN2O*kgtoGg,"ERROR")))</f>
        <v>-3.5919819534504542E-3</v>
      </c>
      <c r="AL1047" s="101">
        <f>IF('Net zero activities &amp; levers'!$C$12="Off",Constants!$H76*'Activity data'!BE18*Constants!$H94*EF!$H219*MMVolatEF*NtoN2O*kgtoGg,IF('Net zero activities &amp; levers'!$C$12="PB",Constants!$H76*'Activity data'!BE18*Constants!$H94*EF!$H219*MMVolatEF*NtoN2O*kgtoGg,IF('Net zero activities &amp; levers'!$C$12="MS",Constants!$H76*'Net zero Activity data'!BE18*Constants!$H94*EF!$H219*MMVolatEF*NtoN2O*kgtoGg,"ERROR")))</f>
        <v>-3.5538292269487438E-3</v>
      </c>
      <c r="AM1047" s="101">
        <f>IF('Net zero activities &amp; levers'!$C$12="Off",Constants!$H76*'Activity data'!BF18*Constants!$H94*EF!$H219*MMVolatEF*NtoN2O*kgtoGg,IF('Net zero activities &amp; levers'!$C$12="PB",Constants!$H76*'Activity data'!BF18*Constants!$H94*EF!$H219*MMVolatEF*NtoN2O*kgtoGg,IF('Net zero activities &amp; levers'!$C$12="MS",Constants!$H76*'Net zero Activity data'!BF18*Constants!$H94*EF!$H219*MMVolatEF*NtoN2O*kgtoGg,"ERROR")))</f>
        <v>-3.5163874316196208E-3</v>
      </c>
      <c r="AN1047" s="101">
        <f>IF('Net zero activities &amp; levers'!$C$12="Off",Constants!$H76*'Activity data'!BG18*Constants!$H94*EF!$H219*MMVolatEF*NtoN2O*kgtoGg,IF('Net zero activities &amp; levers'!$C$12="PB",Constants!$H76*'Activity data'!BG18*Constants!$H94*EF!$H219*MMVolatEF*NtoN2O*kgtoGg,IF('Net zero activities &amp; levers'!$C$12="MS",Constants!$H76*'Net zero Activity data'!BG18*Constants!$H94*EF!$H219*MMVolatEF*NtoN2O*kgtoGg,"ERROR")))</f>
        <v>-3.4753212421350377E-3</v>
      </c>
      <c r="AO1047" s="101">
        <f>IF('Net zero activities &amp; levers'!$C$12="Off",Constants!$H76*'Activity data'!BH18*Constants!$H94*EF!$H219*MMVolatEF*NtoN2O*kgtoGg,IF('Net zero activities &amp; levers'!$C$12="PB",Constants!$H76*'Activity data'!BH18*Constants!$H94*EF!$H219*MMVolatEF*NtoN2O*kgtoGg,IF('Net zero activities &amp; levers'!$C$12="MS",Constants!$H76*'Net zero Activity data'!BH18*Constants!$H94*EF!$H219*MMVolatEF*NtoN2O*kgtoGg,"ERROR")))</f>
        <v>-3.4349791075546665E-3</v>
      </c>
      <c r="AP1047" s="101">
        <f>IF('Net zero activities &amp; levers'!$C$12="Off",Constants!$H76*'Activity data'!BI18*Constants!$H94*EF!$H219*MMVolatEF*NtoN2O*kgtoGg,IF('Net zero activities &amp; levers'!$C$12="PB",Constants!$H76*'Activity data'!BI18*Constants!$H94*EF!$H219*MMVolatEF*NtoN2O*kgtoGg,IF('Net zero activities &amp; levers'!$C$12="MS",Constants!$H76*'Net zero Activity data'!BI18*Constants!$H94*EF!$H219*MMVolatEF*NtoN2O*kgtoGg,"ERROR")))</f>
        <v>-3.3953187397605549E-3</v>
      </c>
      <c r="AQ1047" s="101">
        <f>IF('Net zero activities &amp; levers'!$C$12="Off",Constants!$H76*'Activity data'!BJ18*Constants!$H94*EF!$H219*MMVolatEF*NtoN2O*kgtoGg,IF('Net zero activities &amp; levers'!$C$12="PB",Constants!$H76*'Activity data'!BJ18*Constants!$H94*EF!$H219*MMVolatEF*NtoN2O*kgtoGg,IF('Net zero activities &amp; levers'!$C$12="MS",Constants!$H76*'Net zero Activity data'!BJ18*Constants!$H94*EF!$H219*MMVolatEF*NtoN2O*kgtoGg,"ERROR")))</f>
        <v>-3.3563006128011267E-3</v>
      </c>
      <c r="AR1047" s="101">
        <f>IF('Net zero activities &amp; levers'!$C$12="Off",Constants!$H76*'Activity data'!BK18*Constants!$H94*EF!$H219*MMVolatEF*NtoN2O*kgtoGg,IF('Net zero activities &amp; levers'!$C$12="PB",Constants!$H76*'Activity data'!BK18*Constants!$H94*EF!$H219*MMVolatEF*NtoN2O*kgtoGg,IF('Net zero activities &amp; levers'!$C$12="MS",Constants!$H76*'Net zero Activity data'!BK18*Constants!$H94*EF!$H219*MMVolatEF*NtoN2O*kgtoGg,"ERROR")))</f>
        <v>-3.3178877242330336E-3</v>
      </c>
      <c r="AS1047" s="101">
        <f>IF('Net zero activities &amp; levers'!$C$12="Off",Constants!$H76*'Activity data'!BL18*Constants!$H94*EF!$H219*MMVolatEF*NtoN2O*kgtoGg,IF('Net zero activities &amp; levers'!$C$12="PB",Constants!$H76*'Activity data'!BL18*Constants!$H94*EF!$H219*MMVolatEF*NtoN2O*kgtoGg,IF('Net zero activities &amp; levers'!$C$12="MS",Constants!$H76*'Net zero Activity data'!BL18*Constants!$H94*EF!$H219*MMVolatEF*NtoN2O*kgtoGg,"ERROR")))</f>
        <v>-3.2760262752306304E-3</v>
      </c>
      <c r="AT1047" s="101">
        <f>IF('Net zero activities &amp; levers'!$C$12="Off",Constants!$H76*'Activity data'!BM18*Constants!$H94*EF!$H219*MMVolatEF*NtoN2O*kgtoGg,IF('Net zero activities &amp; levers'!$C$12="PB",Constants!$H76*'Activity data'!BM18*Constants!$H94*EF!$H219*MMVolatEF*NtoN2O*kgtoGg,IF('Net zero activities &amp; levers'!$C$12="MS",Constants!$H76*'Net zero Activity data'!BM18*Constants!$H94*EF!$H219*MMVolatEF*NtoN2O*kgtoGg,"ERROR")))</f>
        <v>-3.2348042027715565E-3</v>
      </c>
      <c r="AU1047" s="101">
        <f>IF('Net zero activities &amp; levers'!$C$12="Off",Constants!$H76*'Activity data'!BN18*Constants!$H94*EF!$H219*MMVolatEF*NtoN2O*kgtoGg,IF('Net zero activities &amp; levers'!$C$12="PB",Constants!$H76*'Activity data'!BN18*Constants!$H94*EF!$H219*MMVolatEF*NtoN2O*kgtoGg,IF('Net zero activities &amp; levers'!$C$12="MS",Constants!$H76*'Net zero Activity data'!BN18*Constants!$H94*EF!$H219*MMVolatEF*NtoN2O*kgtoGg,"ERROR")))</f>
        <v>-3.1941885958044411E-3</v>
      </c>
      <c r="AV1047" s="101">
        <f>IF('Net zero activities &amp; levers'!$C$12="Off",Constants!$H76*'Activity data'!BO18*Constants!$H94*EF!$H219*MMVolatEF*NtoN2O*kgtoGg,IF('Net zero activities &amp; levers'!$C$12="PB",Constants!$H76*'Activity data'!BO18*Constants!$H94*EF!$H219*MMVolatEF*NtoN2O*kgtoGg,IF('Net zero activities &amp; levers'!$C$12="MS",Constants!$H76*'Net zero Activity data'!BO18*Constants!$H94*EF!$H219*MMVolatEF*NtoN2O*kgtoGg,"ERROR")))</f>
        <v>-3.1541484877779971E-3</v>
      </c>
      <c r="AW1047" s="101">
        <f>IF('Net zero activities &amp; levers'!$C$12="Off",Constants!$H76*'Activity data'!BP18*Constants!$H94*EF!$H219*MMVolatEF*NtoN2O*kgtoGg,IF('Net zero activities &amp; levers'!$C$12="PB",Constants!$H76*'Activity data'!BP18*Constants!$H94*EF!$H219*MMVolatEF*NtoN2O*kgtoGg,IF('Net zero activities &amp; levers'!$C$12="MS",Constants!$H76*'Net zero Activity data'!BP18*Constants!$H94*EF!$H219*MMVolatEF*NtoN2O*kgtoGg,"ERROR")))</f>
        <v>-3.1146547050339602E-3</v>
      </c>
      <c r="AY1047" s="85"/>
      <c r="AZ1047" s="85"/>
    </row>
    <row r="1048" spans="1:52" x14ac:dyDescent="0.25">
      <c r="A1048" s="102" t="str">
        <f t="shared" si="345"/>
        <v>DS MM Volatilisation</v>
      </c>
      <c r="B1048" s="102" t="s">
        <v>975</v>
      </c>
      <c r="C1048" s="102" t="s">
        <v>1333</v>
      </c>
      <c r="D1048" t="s">
        <v>369</v>
      </c>
      <c r="E1048" t="s">
        <v>64</v>
      </c>
      <c r="F1048" t="s">
        <v>62</v>
      </c>
      <c r="G1048" t="s">
        <v>1181</v>
      </c>
      <c r="H1048" t="s">
        <v>1305</v>
      </c>
      <c r="I1048" t="s">
        <v>139</v>
      </c>
      <c r="J1048" t="s">
        <v>287</v>
      </c>
      <c r="K1048" s="101">
        <f>IF('Net zero activities &amp; levers'!$C$12="Off",Constants!$H77*'Activity data'!AD19*Constants!$H95*EF!$H220*MMVolatEF*NtoN2O*kgtoGg,IF('Net zero activities &amp; levers'!$C$12="PB",Constants!$H77*'Activity data'!AD19*Constants!$H95*EF!$H220*MMVolatEF*NtoN2O*kgtoGg,IF('Net zero activities &amp; levers'!$C$12="MS",Constants!$H77*'Net zero Activity data'!AD19*Constants!$H95*EF!$H220*MMVolatEF*NtoN2O*kgtoGg,"ERROR")))</f>
        <v>6.4805763262647462E-2</v>
      </c>
      <c r="L1048" s="101">
        <f>IF('Net zero activities &amp; levers'!$C$12="Off",Constants!$H77*'Activity data'!AE19*Constants!$H95*EF!$H220*MMVolatEF*NtoN2O*kgtoGg,IF('Net zero activities &amp; levers'!$C$12="PB",Constants!$H77*'Activity data'!AE19*Constants!$H95*EF!$H220*MMVolatEF*NtoN2O*kgtoGg,IF('Net zero activities &amp; levers'!$C$12="MS",Constants!$H77*'Net zero Activity data'!AE19*Constants!$H95*EF!$H220*MMVolatEF*NtoN2O*kgtoGg,"ERROR")))</f>
        <v>6.620917696085285E-2</v>
      </c>
      <c r="M1048" s="101">
        <f>IF('Net zero activities &amp; levers'!$C$12="Off",Constants!$H77*'Activity data'!AF19*Constants!$H95*EF!$H220*MMVolatEF*NtoN2O*kgtoGg,IF('Net zero activities &amp; levers'!$C$12="PB",Constants!$H77*'Activity data'!AF19*Constants!$H95*EF!$H220*MMVolatEF*NtoN2O*kgtoGg,IF('Net zero activities &amp; levers'!$C$12="MS",Constants!$H77*'Net zero Activity data'!AF19*Constants!$H95*EF!$H220*MMVolatEF*NtoN2O*kgtoGg,"ERROR")))</f>
        <v>6.7339988183967914E-2</v>
      </c>
      <c r="N1048" s="101">
        <f>IF('Net zero activities &amp; levers'!$C$12="Off",Constants!$H77*'Activity data'!AG19*Constants!$H95*EF!$H220*MMVolatEF*NtoN2O*kgtoGg,IF('Net zero activities &amp; levers'!$C$12="PB",Constants!$H77*'Activity data'!AG19*Constants!$H95*EF!$H220*MMVolatEF*NtoN2O*kgtoGg,IF('Net zero activities &amp; levers'!$C$12="MS",Constants!$H77*'Net zero Activity data'!AG19*Constants!$H95*EF!$H220*MMVolatEF*NtoN2O*kgtoGg,"ERROR")))</f>
        <v>6.8078843848603895E-2</v>
      </c>
      <c r="O1048" s="101">
        <f>IF('Net zero activities &amp; levers'!$C$12="Off",Constants!$H77*'Activity data'!AH19*Constants!$H95*EF!$H220*MMVolatEF*NtoN2O*kgtoGg,IF('Net zero activities &amp; levers'!$C$12="PB",Constants!$H77*'Activity data'!AH19*Constants!$H95*EF!$H220*MMVolatEF*NtoN2O*kgtoGg,IF('Net zero activities &amp; levers'!$C$12="MS",Constants!$H77*'Net zero Activity data'!AH19*Constants!$H95*EF!$H220*MMVolatEF*NtoN2O*kgtoGg,"ERROR")))</f>
        <v>6.8827728157938209E-2</v>
      </c>
      <c r="P1048" s="101">
        <f>IF('Net zero activities &amp; levers'!$C$12="Off",Constants!$H77*'Activity data'!AI19*Constants!$H95*EF!$H220*MMVolatEF*NtoN2O*kgtoGg,IF('Net zero activities &amp; levers'!$C$12="PB",Constants!$H77*'Activity data'!AI19*Constants!$H95*EF!$H220*MMVolatEF*NtoN2O*kgtoGg,IF('Net zero activities &amp; levers'!$C$12="MS",Constants!$H77*'Net zero Activity data'!AI19*Constants!$H95*EF!$H220*MMVolatEF*NtoN2O*kgtoGg,"ERROR")))</f>
        <v>6.9793181329029633E-2</v>
      </c>
      <c r="Q1048" s="101">
        <f>IF('Net zero activities &amp; levers'!$C$12="Off",Constants!$H77*'Activity data'!AJ19*Constants!$H95*EF!$H220*MMVolatEF*NtoN2O*kgtoGg,IF('Net zero activities &amp; levers'!$C$12="PB",Constants!$H77*'Activity data'!AJ19*Constants!$H95*EF!$H220*MMVolatEF*NtoN2O*kgtoGg,IF('Net zero activities &amp; levers'!$C$12="MS",Constants!$H77*'Net zero Activity data'!AJ19*Constants!$H95*EF!$H220*MMVolatEF*NtoN2O*kgtoGg,"ERROR")))</f>
        <v>7.0825640221860539E-2</v>
      </c>
      <c r="R1048" s="101">
        <f>IF('Net zero activities &amp; levers'!$C$12="Off",Constants!$H77*'Activity data'!AK19*Constants!$H95*EF!$H220*MMVolatEF*NtoN2O*kgtoGg,IF('Net zero activities &amp; levers'!$C$12="PB",Constants!$H77*'Activity data'!AK19*Constants!$H95*EF!$H220*MMVolatEF*NtoN2O*kgtoGg,IF('Net zero activities &amp; levers'!$C$12="MS",Constants!$H77*'Net zero Activity data'!AK19*Constants!$H95*EF!$H220*MMVolatEF*NtoN2O*kgtoGg,"ERROR")))</f>
        <v>7.1426070236781977E-2</v>
      </c>
      <c r="S1048" s="101">
        <f>IF('Net zero activities &amp; levers'!$C$12="Off",Constants!$H77*'Activity data'!AL19*Constants!$H95*EF!$H220*MMVolatEF*NtoN2O*kgtoGg,IF('Net zero activities &amp; levers'!$C$12="PB",Constants!$H77*'Activity data'!AL19*Constants!$H95*EF!$H220*MMVolatEF*NtoN2O*kgtoGg,IF('Net zero activities &amp; levers'!$C$12="MS",Constants!$H77*'Net zero Activity data'!AL19*Constants!$H95*EF!$H220*MMVolatEF*NtoN2O*kgtoGg,"ERROR")))</f>
        <v>6.7971896986057309E-2</v>
      </c>
      <c r="T1048" s="101">
        <f>IF('Net zero activities &amp; levers'!$C$12="Off",Constants!$H77*'Activity data'!AM19*Constants!$H95*EF!$H220*MMVolatEF*NtoN2O*kgtoGg,IF('Net zero activities &amp; levers'!$C$12="PB",Constants!$H77*'Activity data'!AM19*Constants!$H95*EF!$H220*MMVolatEF*NtoN2O*kgtoGg,IF('Net zero activities &amp; levers'!$C$12="MS",Constants!$H77*'Net zero Activity data'!AM19*Constants!$H95*EF!$H220*MMVolatEF*NtoN2O*kgtoGg,"ERROR")))</f>
        <v>6.9431161818386017E-2</v>
      </c>
      <c r="U1048" s="101">
        <f>IF('Net zero activities &amp; levers'!$C$12="Off",Constants!$H77*'Activity data'!AN19*Constants!$H95*EF!$H220*MMVolatEF*NtoN2O*kgtoGg,IF('Net zero activities &amp; levers'!$C$12="PB",Constants!$H77*'Activity data'!AN19*Constants!$H95*EF!$H220*MMVolatEF*NtoN2O*kgtoGg,IF('Net zero activities &amp; levers'!$C$12="MS",Constants!$H77*'Net zero Activity data'!AN19*Constants!$H95*EF!$H220*MMVolatEF*NtoN2O*kgtoGg,"ERROR")))</f>
        <v>7.0793385596642902E-2</v>
      </c>
      <c r="V1048" s="101">
        <f>IF('Net zero activities &amp; levers'!$C$12="Off",Constants!$H77*'Activity data'!AO19*Constants!$H95*EF!$H220*MMVolatEF*NtoN2O*kgtoGg,IF('Net zero activities &amp; levers'!$C$12="PB",Constants!$H77*'Activity data'!AO19*Constants!$H95*EF!$H220*MMVolatEF*NtoN2O*kgtoGg,IF('Net zero activities &amp; levers'!$C$12="MS",Constants!$H77*'Net zero Activity data'!AO19*Constants!$H95*EF!$H220*MMVolatEF*NtoN2O*kgtoGg,"ERROR")))</f>
        <v>7.216636340015109E-2</v>
      </c>
      <c r="W1048" s="101">
        <f>IF('Net zero activities &amp; levers'!$C$12="Off",Constants!$H77*'Activity data'!AP19*Constants!$H95*EF!$H220*MMVolatEF*NtoN2O*kgtoGg,IF('Net zero activities &amp; levers'!$C$12="PB",Constants!$H77*'Activity data'!AP19*Constants!$H95*EF!$H220*MMVolatEF*NtoN2O*kgtoGg,IF('Net zero activities &amp; levers'!$C$12="MS",Constants!$H77*'Net zero Activity data'!AP19*Constants!$H95*EF!$H220*MMVolatEF*NtoN2O*kgtoGg,"ERROR")))</f>
        <v>7.3724598547713793E-2</v>
      </c>
      <c r="X1048" s="101">
        <f>IF('Net zero activities &amp; levers'!$C$12="Off",Constants!$H77*'Activity data'!AQ19*Constants!$H95*EF!$H220*MMVolatEF*NtoN2O*kgtoGg,IF('Net zero activities &amp; levers'!$C$12="PB",Constants!$H77*'Activity data'!AQ19*Constants!$H95*EF!$H220*MMVolatEF*NtoN2O*kgtoGg,IF('Net zero activities &amp; levers'!$C$12="MS",Constants!$H77*'Net zero Activity data'!AQ19*Constants!$H95*EF!$H220*MMVolatEF*NtoN2O*kgtoGg,"ERROR")))</f>
        <v>7.5295777535110922E-2</v>
      </c>
      <c r="Y1048" s="101">
        <f>IF('Net zero activities &amp; levers'!$C$12="Off",Constants!$H77*'Activity data'!AR19*Constants!$H95*EF!$H220*MMVolatEF*NtoN2O*kgtoGg,IF('Net zero activities &amp; levers'!$C$12="PB",Constants!$H77*'Activity data'!AR19*Constants!$H95*EF!$H220*MMVolatEF*NtoN2O*kgtoGg,IF('Net zero activities &amp; levers'!$C$12="MS",Constants!$H77*'Net zero Activity data'!AR19*Constants!$H95*EF!$H220*MMVolatEF*NtoN2O*kgtoGg,"ERROR")))</f>
        <v>7.6868953264879816E-2</v>
      </c>
      <c r="Z1048" s="101">
        <f>IF('Net zero activities &amp; levers'!$C$12="Off",Constants!$H77*'Activity data'!AS19*Constants!$H95*EF!$H220*MMVolatEF*NtoN2O*kgtoGg,IF('Net zero activities &amp; levers'!$C$12="PB",Constants!$H77*'Activity data'!AS19*Constants!$H95*EF!$H220*MMVolatEF*NtoN2O*kgtoGg,IF('Net zero activities &amp; levers'!$C$12="MS",Constants!$H77*'Net zero Activity data'!AS19*Constants!$H95*EF!$H220*MMVolatEF*NtoN2O*kgtoGg,"ERROR")))</f>
        <v>7.8411785567373049E-2</v>
      </c>
      <c r="AA1048" s="101">
        <f>IF('Net zero activities &amp; levers'!$C$12="Off",Constants!$H77*'Activity data'!AT19*Constants!$H95*EF!$H220*MMVolatEF*NtoN2O*kgtoGg,IF('Net zero activities &amp; levers'!$C$12="PB",Constants!$H77*'Activity data'!AT19*Constants!$H95*EF!$H220*MMVolatEF*NtoN2O*kgtoGg,IF('Net zero activities &amp; levers'!$C$12="MS",Constants!$H77*'Net zero Activity data'!AT19*Constants!$H95*EF!$H220*MMVolatEF*NtoN2O*kgtoGg,"ERROR")))</f>
        <v>8.0036606766420104E-2</v>
      </c>
      <c r="AB1048" s="101">
        <f>IF('Net zero activities &amp; levers'!$C$12="Off",Constants!$H77*'Activity data'!AU19*Constants!$H95*EF!$H220*MMVolatEF*NtoN2O*kgtoGg,IF('Net zero activities &amp; levers'!$C$12="PB",Constants!$H77*'Activity data'!AU19*Constants!$H95*EF!$H220*MMVolatEF*NtoN2O*kgtoGg,IF('Net zero activities &amp; levers'!$C$12="MS",Constants!$H77*'Net zero Activity data'!AU19*Constants!$H95*EF!$H220*MMVolatEF*NtoN2O*kgtoGg,"ERROR")))</f>
        <v>8.1590030948431091E-2</v>
      </c>
      <c r="AC1048" s="101">
        <f>IF('Net zero activities &amp; levers'!$C$12="Off",Constants!$H77*'Activity data'!AV19*Constants!$H95*EF!$H220*MMVolatEF*NtoN2O*kgtoGg,IF('Net zero activities &amp; levers'!$C$12="PB",Constants!$H77*'Activity data'!AV19*Constants!$H95*EF!$H220*MMVolatEF*NtoN2O*kgtoGg,IF('Net zero activities &amp; levers'!$C$12="MS",Constants!$H77*'Net zero Activity data'!AV19*Constants!$H95*EF!$H220*MMVolatEF*NtoN2O*kgtoGg,"ERROR")))</f>
        <v>8.3180296189840519E-2</v>
      </c>
      <c r="AD1048" s="101">
        <f>IF('Net zero activities &amp; levers'!$C$12="Off",Constants!$H77*'Activity data'!AW19*Constants!$H95*EF!$H220*MMVolatEF*NtoN2O*kgtoGg,IF('Net zero activities &amp; levers'!$C$12="PB",Constants!$H77*'Activity data'!AW19*Constants!$H95*EF!$H220*MMVolatEF*NtoN2O*kgtoGg,IF('Net zero activities &amp; levers'!$C$12="MS",Constants!$H77*'Net zero Activity data'!AW19*Constants!$H95*EF!$H220*MMVolatEF*NtoN2O*kgtoGg,"ERROR")))</f>
        <v>8.498335225395226E-2</v>
      </c>
      <c r="AE1048" s="101">
        <f>IF('Net zero activities &amp; levers'!$C$12="Off",Constants!$H77*'Activity data'!AX19*Constants!$H95*EF!$H220*MMVolatEF*NtoN2O*kgtoGg,IF('Net zero activities &amp; levers'!$C$12="PB",Constants!$H77*'Activity data'!AX19*Constants!$H95*EF!$H220*MMVolatEF*NtoN2O*kgtoGg,IF('Net zero activities &amp; levers'!$C$12="MS",Constants!$H77*'Net zero Activity data'!AX19*Constants!$H95*EF!$H220*MMVolatEF*NtoN2O*kgtoGg,"ERROR")))</f>
        <v>8.691067585568038E-2</v>
      </c>
      <c r="AF1048" s="101">
        <f>IF('Net zero activities &amp; levers'!$C$12="Off",Constants!$H77*'Activity data'!AY19*Constants!$H95*EF!$H220*MMVolatEF*NtoN2O*kgtoGg,IF('Net zero activities &amp; levers'!$C$12="PB",Constants!$H77*'Activity data'!AY19*Constants!$H95*EF!$H220*MMVolatEF*NtoN2O*kgtoGg,IF('Net zero activities &amp; levers'!$C$12="MS",Constants!$H77*'Net zero Activity data'!AY19*Constants!$H95*EF!$H220*MMVolatEF*NtoN2O*kgtoGg,"ERROR")))</f>
        <v>8.8898633943391286E-2</v>
      </c>
      <c r="AG1048" s="101">
        <f>IF('Net zero activities &amp; levers'!$C$12="Off",Constants!$H77*'Activity data'!AZ19*Constants!$H95*EF!$H220*MMVolatEF*NtoN2O*kgtoGg,IF('Net zero activities &amp; levers'!$C$12="PB",Constants!$H77*'Activity data'!AZ19*Constants!$H95*EF!$H220*MMVolatEF*NtoN2O*kgtoGg,IF('Net zero activities &amp; levers'!$C$12="MS",Constants!$H77*'Net zero Activity data'!AZ19*Constants!$H95*EF!$H220*MMVolatEF*NtoN2O*kgtoGg,"ERROR")))</f>
        <v>8.9490348349999485E-2</v>
      </c>
      <c r="AH1048" s="101">
        <f>IF('Net zero activities &amp; levers'!$C$12="Off",Constants!$H77*'Activity data'!BA19*Constants!$H95*EF!$H220*MMVolatEF*NtoN2O*kgtoGg,IF('Net zero activities &amp; levers'!$C$12="PB",Constants!$H77*'Activity data'!BA19*Constants!$H95*EF!$H220*MMVolatEF*NtoN2O*kgtoGg,IF('Net zero activities &amp; levers'!$C$12="MS",Constants!$H77*'Net zero Activity data'!BA19*Constants!$H95*EF!$H220*MMVolatEF*NtoN2O*kgtoGg,"ERROR")))</f>
        <v>2.1450020418190146E-2</v>
      </c>
      <c r="AI1048" s="101">
        <f>IF('Net zero activities &amp; levers'!$C$12="Off",Constants!$H77*'Activity data'!BB19*Constants!$H95*EF!$H220*MMVolatEF*NtoN2O*kgtoGg,IF('Net zero activities &amp; levers'!$C$12="PB",Constants!$H77*'Activity data'!BB19*Constants!$H95*EF!$H220*MMVolatEF*NtoN2O*kgtoGg,IF('Net zero activities &amp; levers'!$C$12="MS",Constants!$H77*'Net zero Activity data'!BB19*Constants!$H95*EF!$H220*MMVolatEF*NtoN2O*kgtoGg,"ERROR")))</f>
        <v>2.1614881965790762E-2</v>
      </c>
      <c r="AJ1048" s="101">
        <f>IF('Net zero activities &amp; levers'!$C$12="Off",Constants!$H77*'Activity data'!BC19*Constants!$H95*EF!$H220*MMVolatEF*NtoN2O*kgtoGg,IF('Net zero activities &amp; levers'!$C$12="PB",Constants!$H77*'Activity data'!BC19*Constants!$H95*EF!$H220*MMVolatEF*NtoN2O*kgtoGg,IF('Net zero activities &amp; levers'!$C$12="MS",Constants!$H77*'Net zero Activity data'!BC19*Constants!$H95*EF!$H220*MMVolatEF*NtoN2O*kgtoGg,"ERROR")))</f>
        <v>2.1780943831055617E-2</v>
      </c>
      <c r="AK1048" s="101">
        <f>IF('Net zero activities &amp; levers'!$C$12="Off",Constants!$H77*'Activity data'!BD19*Constants!$H95*EF!$H220*MMVolatEF*NtoN2O*kgtoGg,IF('Net zero activities &amp; levers'!$C$12="PB",Constants!$H77*'Activity data'!BD19*Constants!$H95*EF!$H220*MMVolatEF*NtoN2O*kgtoGg,IF('Net zero activities &amp; levers'!$C$12="MS",Constants!$H77*'Net zero Activity data'!BD19*Constants!$H95*EF!$H220*MMVolatEF*NtoN2O*kgtoGg,"ERROR")))</f>
        <v>2.1948215154072734E-2</v>
      </c>
      <c r="AL1048" s="101">
        <f>IF('Net zero activities &amp; levers'!$C$12="Off",Constants!$H77*'Activity data'!BE19*Constants!$H95*EF!$H220*MMVolatEF*NtoN2O*kgtoGg,IF('Net zero activities &amp; levers'!$C$12="PB",Constants!$H77*'Activity data'!BE19*Constants!$H95*EF!$H220*MMVolatEF*NtoN2O*kgtoGg,IF('Net zero activities &amp; levers'!$C$12="MS",Constants!$H77*'Net zero Activity data'!BE19*Constants!$H95*EF!$H220*MMVolatEF*NtoN2O*kgtoGg,"ERROR")))</f>
        <v>2.2116705116436826E-2</v>
      </c>
      <c r="AM1048" s="101">
        <f>IF('Net zero activities &amp; levers'!$C$12="Off",Constants!$H77*'Activity data'!BF19*Constants!$H95*EF!$H220*MMVolatEF*NtoN2O*kgtoGg,IF('Net zero activities &amp; levers'!$C$12="PB",Constants!$H77*'Activity data'!BF19*Constants!$H95*EF!$H220*MMVolatEF*NtoN2O*kgtoGg,IF('Net zero activities &amp; levers'!$C$12="MS",Constants!$H77*'Net zero Activity data'!BF19*Constants!$H95*EF!$H220*MMVolatEF*NtoN2O*kgtoGg,"ERROR")))</f>
        <v>2.2286422943949849E-2</v>
      </c>
      <c r="AN1048" s="101">
        <f>IF('Net zero activities &amp; levers'!$C$12="Off",Constants!$H77*'Activity data'!BG19*Constants!$H95*EF!$H220*MMVolatEF*NtoN2O*kgtoGg,IF('Net zero activities &amp; levers'!$C$12="PB",Constants!$H77*'Activity data'!BG19*Constants!$H95*EF!$H220*MMVolatEF*NtoN2O*kgtoGg,IF('Net zero activities &amp; levers'!$C$12="MS",Constants!$H77*'Net zero Activity data'!BG19*Constants!$H95*EF!$H220*MMVolatEF*NtoN2O*kgtoGg,"ERROR")))</f>
        <v>2.2431505853437582E-2</v>
      </c>
      <c r="AO1048" s="101">
        <f>IF('Net zero activities &amp; levers'!$C$12="Off",Constants!$H77*'Activity data'!BH19*Constants!$H95*EF!$H220*MMVolatEF*NtoN2O*kgtoGg,IF('Net zero activities &amp; levers'!$C$12="PB",Constants!$H77*'Activity data'!BH19*Constants!$H95*EF!$H220*MMVolatEF*NtoN2O*kgtoGg,IF('Net zero activities &amp; levers'!$C$12="MS",Constants!$H77*'Net zero Activity data'!BH19*Constants!$H95*EF!$H220*MMVolatEF*NtoN2O*kgtoGg,"ERROR")))</f>
        <v>2.2577484325720341E-2</v>
      </c>
      <c r="AP1048" s="101">
        <f>IF('Net zero activities &amp; levers'!$C$12="Off",Constants!$H77*'Activity data'!BI19*Constants!$H95*EF!$H220*MMVolatEF*NtoN2O*kgtoGg,IF('Net zero activities &amp; levers'!$C$12="PB",Constants!$H77*'Activity data'!BI19*Constants!$H95*EF!$H220*MMVolatEF*NtoN2O*kgtoGg,IF('Net zero activities &amp; levers'!$C$12="MS",Constants!$H77*'Net zero Activity data'!BI19*Constants!$H95*EF!$H220*MMVolatEF*NtoN2O*kgtoGg,"ERROR")))</f>
        <v>2.2724364182075539E-2</v>
      </c>
      <c r="AQ1048" s="101">
        <f>IF('Net zero activities &amp; levers'!$C$12="Off",Constants!$H77*'Activity data'!BJ19*Constants!$H95*EF!$H220*MMVolatEF*NtoN2O*kgtoGg,IF('Net zero activities &amp; levers'!$C$12="PB",Constants!$H77*'Activity data'!BJ19*Constants!$H95*EF!$H220*MMVolatEF*NtoN2O*kgtoGg,IF('Net zero activities &amp; levers'!$C$12="MS",Constants!$H77*'Net zero Activity data'!BJ19*Constants!$H95*EF!$H220*MMVolatEF*NtoN2O*kgtoGg,"ERROR")))</f>
        <v>2.2872151263259987E-2</v>
      </c>
      <c r="AR1048" s="101">
        <f>IF('Net zero activities &amp; levers'!$C$12="Off",Constants!$H77*'Activity data'!BK19*Constants!$H95*EF!$H220*MMVolatEF*NtoN2O*kgtoGg,IF('Net zero activities &amp; levers'!$C$12="PB",Constants!$H77*'Activity data'!BK19*Constants!$H95*EF!$H220*MMVolatEF*NtoN2O*kgtoGg,IF('Net zero activities &amp; levers'!$C$12="MS",Constants!$H77*'Net zero Activity data'!BK19*Constants!$H95*EF!$H220*MMVolatEF*NtoN2O*kgtoGg,"ERROR")))</f>
        <v>2.3020851431037954E-2</v>
      </c>
      <c r="AS1048" s="101">
        <f>IF('Net zero activities &amp; levers'!$C$12="Off",Constants!$H77*'Activity data'!BL19*Constants!$H95*EF!$H220*MMVolatEF*NtoN2O*kgtoGg,IF('Net zero activities &amp; levers'!$C$12="PB",Constants!$H77*'Activity data'!BL19*Constants!$H95*EF!$H220*MMVolatEF*NtoN2O*kgtoGg,IF('Net zero activities &amp; levers'!$C$12="MS",Constants!$H77*'Net zero Activity data'!BL19*Constants!$H95*EF!$H220*MMVolatEF*NtoN2O*kgtoGg,"ERROR")))</f>
        <v>2.3143882531625137E-2</v>
      </c>
      <c r="AT1048" s="101">
        <f>IF('Net zero activities &amp; levers'!$C$12="Off",Constants!$H77*'Activity data'!BM19*Constants!$H95*EF!$H220*MMVolatEF*NtoN2O*kgtoGg,IF('Net zero activities &amp; levers'!$C$12="PB",Constants!$H77*'Activity data'!BM19*Constants!$H95*EF!$H220*MMVolatEF*NtoN2O*kgtoGg,IF('Net zero activities &amp; levers'!$C$12="MS",Constants!$H77*'Net zero Activity data'!BM19*Constants!$H95*EF!$H220*MMVolatEF*NtoN2O*kgtoGg,"ERROR")))</f>
        <v>2.3267536914699297E-2</v>
      </c>
      <c r="AU1048" s="101">
        <f>IF('Net zero activities &amp; levers'!$C$12="Off",Constants!$H77*'Activity data'!BN19*Constants!$H95*EF!$H220*MMVolatEF*NtoN2O*kgtoGg,IF('Net zero activities &amp; levers'!$C$12="PB",Constants!$H77*'Activity data'!BN19*Constants!$H95*EF!$H220*MMVolatEF*NtoN2O*kgtoGg,IF('Net zero activities &amp; levers'!$C$12="MS",Constants!$H77*'Net zero Activity data'!BN19*Constants!$H95*EF!$H220*MMVolatEF*NtoN2O*kgtoGg,"ERROR")))</f>
        <v>2.3391817960867468E-2</v>
      </c>
      <c r="AV1048" s="101">
        <f>IF('Net zero activities &amp; levers'!$C$12="Off",Constants!$H77*'Activity data'!BO19*Constants!$H95*EF!$H220*MMVolatEF*NtoN2O*kgtoGg,IF('Net zero activities &amp; levers'!$C$12="PB",Constants!$H77*'Activity data'!BO19*Constants!$H95*EF!$H220*MMVolatEF*NtoN2O*kgtoGg,IF('Net zero activities &amp; levers'!$C$12="MS",Constants!$H77*'Net zero Activity data'!BO19*Constants!$H95*EF!$H220*MMVolatEF*NtoN2O*kgtoGg,"ERROR")))</f>
        <v>2.3516729056424043E-2</v>
      </c>
      <c r="AW1048" s="101">
        <f>IF('Net zero activities &amp; levers'!$C$12="Off",Constants!$H77*'Activity data'!BP19*Constants!$H95*EF!$H220*MMVolatEF*NtoN2O*kgtoGg,IF('Net zero activities &amp; levers'!$C$12="PB",Constants!$H77*'Activity data'!BP19*Constants!$H95*EF!$H220*MMVolatEF*NtoN2O*kgtoGg,IF('Net zero activities &amp; levers'!$C$12="MS",Constants!$H77*'Net zero Activity data'!BP19*Constants!$H95*EF!$H220*MMVolatEF*NtoN2O*kgtoGg,"ERROR")))</f>
        <v>2.3642273594262703E-2</v>
      </c>
      <c r="AY1048" s="85"/>
      <c r="AZ1048" s="85"/>
    </row>
    <row r="1049" spans="1:52" x14ac:dyDescent="0.25">
      <c r="A1049" s="102" t="str">
        <f t="shared" si="345"/>
        <v>DS MM Volatilisation</v>
      </c>
      <c r="B1049" s="102" t="s">
        <v>975</v>
      </c>
      <c r="C1049" s="102" t="s">
        <v>1333</v>
      </c>
      <c r="D1049" t="s">
        <v>369</v>
      </c>
      <c r="E1049" t="s">
        <v>64</v>
      </c>
      <c r="F1049" t="s">
        <v>62</v>
      </c>
      <c r="G1049" t="s">
        <v>1183</v>
      </c>
      <c r="H1049" t="s">
        <v>1306</v>
      </c>
      <c r="I1049" t="s">
        <v>139</v>
      </c>
      <c r="J1049" t="s">
        <v>287</v>
      </c>
      <c r="K1049" s="101">
        <f>IF('Net zero activities &amp; levers'!$C$12="Off",Constants!$H78*'Activity data'!AD20*Constants!$H96*EF!$H221*MMVolatEF*NtoN2O*kgtoGg,IF('Net zero activities &amp; levers'!$C$12="PB",Constants!$H78*'Activity data'!AD20*Constants!$H96*EF!$H221*MMVolatEF*NtoN2O*kgtoGg,IF('Net zero activities &amp; levers'!$C$12="MS",Constants!$H78*'Net zero Activity data'!AD20*Constants!$H96*EF!$H221*MMVolatEF*NtoN2O*kgtoGg,"ERROR")))</f>
        <v>0.31397927588300406</v>
      </c>
      <c r="L1049" s="101">
        <f>IF('Net zero activities &amp; levers'!$C$12="Off",Constants!$H78*'Activity data'!AE20*Constants!$H96*EF!$H221*MMVolatEF*NtoN2O*kgtoGg,IF('Net zero activities &amp; levers'!$C$12="PB",Constants!$H78*'Activity data'!AE20*Constants!$H96*EF!$H221*MMVolatEF*NtoN2O*kgtoGg,IF('Net zero activities &amp; levers'!$C$12="MS",Constants!$H78*'Net zero Activity data'!AE20*Constants!$H96*EF!$H221*MMVolatEF*NtoN2O*kgtoGg,"ERROR")))</f>
        <v>0.31907441675710629</v>
      </c>
      <c r="M1049" s="101">
        <f>IF('Net zero activities &amp; levers'!$C$12="Off",Constants!$H78*'Activity data'!AF20*Constants!$H96*EF!$H221*MMVolatEF*NtoN2O*kgtoGg,IF('Net zero activities &amp; levers'!$C$12="PB",Constants!$H78*'Activity data'!AF20*Constants!$H96*EF!$H221*MMVolatEF*NtoN2O*kgtoGg,IF('Net zero activities &amp; levers'!$C$12="MS",Constants!$H78*'Net zero Activity data'!AF20*Constants!$H96*EF!$H221*MMVolatEF*NtoN2O*kgtoGg,"ERROR")))</f>
        <v>0.3205872704742006</v>
      </c>
      <c r="N1049" s="101">
        <f>IF('Net zero activities &amp; levers'!$C$12="Off",Constants!$H78*'Activity data'!AG20*Constants!$H96*EF!$H221*MMVolatEF*NtoN2O*kgtoGg,IF('Net zero activities &amp; levers'!$C$12="PB",Constants!$H78*'Activity data'!AG20*Constants!$H96*EF!$H221*MMVolatEF*NtoN2O*kgtoGg,IF('Net zero activities &amp; levers'!$C$12="MS",Constants!$H78*'Net zero Activity data'!AG20*Constants!$H96*EF!$H221*MMVolatEF*NtoN2O*kgtoGg,"ERROR")))</f>
        <v>0.31719609082412314</v>
      </c>
      <c r="O1049" s="101">
        <f>IF('Net zero activities &amp; levers'!$C$12="Off",Constants!$H78*'Activity data'!AH20*Constants!$H96*EF!$H221*MMVolatEF*NtoN2O*kgtoGg,IF('Net zero activities &amp; levers'!$C$12="PB",Constants!$H78*'Activity data'!AH20*Constants!$H96*EF!$H221*MMVolatEF*NtoN2O*kgtoGg,IF('Net zero activities &amp; levers'!$C$12="MS",Constants!$H78*'Net zero Activity data'!AH20*Constants!$H96*EF!$H221*MMVolatEF*NtoN2O*kgtoGg,"ERROR")))</f>
        <v>0.3138121925530904</v>
      </c>
      <c r="P1049" s="101">
        <f>IF('Net zero activities &amp; levers'!$C$12="Off",Constants!$H78*'Activity data'!AI20*Constants!$H96*EF!$H221*MMVolatEF*NtoN2O*kgtoGg,IF('Net zero activities &amp; levers'!$C$12="PB",Constants!$H78*'Activity data'!AI20*Constants!$H96*EF!$H221*MMVolatEF*NtoN2O*kgtoGg,IF('Net zero activities &amp; levers'!$C$12="MS",Constants!$H78*'Net zero Activity data'!AI20*Constants!$H96*EF!$H221*MMVolatEF*NtoN2O*kgtoGg,"ERROR")))</f>
        <v>0.31283032074973627</v>
      </c>
      <c r="Q1049" s="101">
        <f>IF('Net zero activities &amp; levers'!$C$12="Off",Constants!$H78*'Activity data'!AJ20*Constants!$H96*EF!$H221*MMVolatEF*NtoN2O*kgtoGg,IF('Net zero activities &amp; levers'!$C$12="PB",Constants!$H78*'Activity data'!AJ20*Constants!$H96*EF!$H221*MMVolatEF*NtoN2O*kgtoGg,IF('Net zero activities &amp; levers'!$C$12="MS",Constants!$H78*'Net zero Activity data'!AJ20*Constants!$H96*EF!$H221*MMVolatEF*NtoN2O*kgtoGg,"ERROR")))</f>
        <v>0.31262578069676783</v>
      </c>
      <c r="R1049" s="101">
        <f>IF('Net zero activities &amp; levers'!$C$12="Off",Constants!$H78*'Activity data'!AK20*Constants!$H96*EF!$H221*MMVolatEF*NtoN2O*kgtoGg,IF('Net zero activities &amp; levers'!$C$12="PB",Constants!$H78*'Activity data'!AK20*Constants!$H96*EF!$H221*MMVolatEF*NtoN2O*kgtoGg,IF('Net zero activities &amp; levers'!$C$12="MS",Constants!$H78*'Net zero Activity data'!AK20*Constants!$H96*EF!$H221*MMVolatEF*NtoN2O*kgtoGg,"ERROR")))</f>
        <v>0.30741109145699391</v>
      </c>
      <c r="S1049" s="101">
        <f>IF('Net zero activities &amp; levers'!$C$12="Off",Constants!$H78*'Activity data'!AL20*Constants!$H96*EF!$H221*MMVolatEF*NtoN2O*kgtoGg,IF('Net zero activities &amp; levers'!$C$12="PB",Constants!$H78*'Activity data'!AL20*Constants!$H96*EF!$H221*MMVolatEF*NtoN2O*kgtoGg,IF('Net zero activities &amp; levers'!$C$12="MS",Constants!$H78*'Net zero Activity data'!AL20*Constants!$H96*EF!$H221*MMVolatEF*NtoN2O*kgtoGg,"ERROR")))</f>
        <v>0.256148371105961</v>
      </c>
      <c r="T1049" s="101">
        <f>IF('Net zero activities &amp; levers'!$C$12="Off",Constants!$H78*'Activity data'!AM20*Constants!$H96*EF!$H221*MMVolatEF*NtoN2O*kgtoGg,IF('Net zero activities &amp; levers'!$C$12="PB",Constants!$H78*'Activity data'!AM20*Constants!$H96*EF!$H221*MMVolatEF*NtoN2O*kgtoGg,IF('Net zero activities &amp; levers'!$C$12="MS",Constants!$H78*'Net zero Activity data'!AM20*Constants!$H96*EF!$H221*MMVolatEF*NtoN2O*kgtoGg,"ERROR")))</f>
        <v>0.26370410916808512</v>
      </c>
      <c r="U1049" s="101">
        <f>IF('Net zero activities &amp; levers'!$C$12="Off",Constants!$H78*'Activity data'!AN20*Constants!$H96*EF!$H221*MMVolatEF*NtoN2O*kgtoGg,IF('Net zero activities &amp; levers'!$C$12="PB",Constants!$H78*'Activity data'!AN20*Constants!$H96*EF!$H221*MMVolatEF*NtoN2O*kgtoGg,IF('Net zero activities &amp; levers'!$C$12="MS",Constants!$H78*'Net zero Activity data'!AN20*Constants!$H96*EF!$H221*MMVolatEF*NtoN2O*kgtoGg,"ERROR")))</f>
        <v>0.27001969138915061</v>
      </c>
      <c r="V1049" s="101">
        <f>IF('Net zero activities &amp; levers'!$C$12="Off",Constants!$H78*'Activity data'!AO20*Constants!$H96*EF!$H221*MMVolatEF*NtoN2O*kgtoGg,IF('Net zero activities &amp; levers'!$C$12="PB",Constants!$H78*'Activity data'!AO20*Constants!$H96*EF!$H221*MMVolatEF*NtoN2O*kgtoGg,IF('Net zero activities &amp; levers'!$C$12="MS",Constants!$H78*'Net zero Activity data'!AO20*Constants!$H96*EF!$H221*MMVolatEF*NtoN2O*kgtoGg,"ERROR")))</f>
        <v>0.2763199496036185</v>
      </c>
      <c r="W1049" s="101">
        <f>IF('Net zero activities &amp; levers'!$C$12="Off",Constants!$H78*'Activity data'!AP20*Constants!$H96*EF!$H221*MMVolatEF*NtoN2O*kgtoGg,IF('Net zero activities &amp; levers'!$C$12="PB",Constants!$H78*'Activity data'!AP20*Constants!$H96*EF!$H221*MMVolatEF*NtoN2O*kgtoGg,IF('Net zero activities &amp; levers'!$C$12="MS",Constants!$H78*'Net zero Activity data'!AP20*Constants!$H96*EF!$H221*MMVolatEF*NtoN2O*kgtoGg,"ERROR")))</f>
        <v>0.28451678455475204</v>
      </c>
      <c r="X1049" s="101">
        <f>IF('Net zero activities &amp; levers'!$C$12="Off",Constants!$H78*'Activity data'!AQ20*Constants!$H96*EF!$H221*MMVolatEF*NtoN2O*kgtoGg,IF('Net zero activities &amp; levers'!$C$12="PB",Constants!$H78*'Activity data'!AQ20*Constants!$H96*EF!$H221*MMVolatEF*NtoN2O*kgtoGg,IF('Net zero activities &amp; levers'!$C$12="MS",Constants!$H78*'Net zero Activity data'!AQ20*Constants!$H96*EF!$H221*MMVolatEF*NtoN2O*kgtoGg,"ERROR")))</f>
        <v>0.29268901518137719</v>
      </c>
      <c r="Y1049" s="101">
        <f>IF('Net zero activities &amp; levers'!$C$12="Off",Constants!$H78*'Activity data'!AR20*Constants!$H96*EF!$H221*MMVolatEF*NtoN2O*kgtoGg,IF('Net zero activities &amp; levers'!$C$12="PB",Constants!$H78*'Activity data'!AR20*Constants!$H96*EF!$H221*MMVolatEF*NtoN2O*kgtoGg,IF('Net zero activities &amp; levers'!$C$12="MS",Constants!$H78*'Net zero Activity data'!AR20*Constants!$H96*EF!$H221*MMVolatEF*NtoN2O*kgtoGg,"ERROR")))</f>
        <v>0.30166157988430881</v>
      </c>
      <c r="Z1049" s="101">
        <f>IF('Net zero activities &amp; levers'!$C$12="Off",Constants!$H78*'Activity data'!AS20*Constants!$H96*EF!$H221*MMVolatEF*NtoN2O*kgtoGg,IF('Net zero activities &amp; levers'!$C$12="PB",Constants!$H78*'Activity data'!AS20*Constants!$H96*EF!$H221*MMVolatEF*NtoN2O*kgtoGg,IF('Net zero activities &amp; levers'!$C$12="MS",Constants!$H78*'Net zero Activity data'!AS20*Constants!$H96*EF!$H221*MMVolatEF*NtoN2O*kgtoGg,"ERROR")))</f>
        <v>0.31015505304721058</v>
      </c>
      <c r="AA1049" s="101">
        <f>IF('Net zero activities &amp; levers'!$C$12="Off",Constants!$H78*'Activity data'!AT20*Constants!$H96*EF!$H221*MMVolatEF*NtoN2O*kgtoGg,IF('Net zero activities &amp; levers'!$C$12="PB",Constants!$H78*'Activity data'!AT20*Constants!$H96*EF!$H221*MMVolatEF*NtoN2O*kgtoGg,IF('Net zero activities &amp; levers'!$C$12="MS",Constants!$H78*'Net zero Activity data'!AT20*Constants!$H96*EF!$H221*MMVolatEF*NtoN2O*kgtoGg,"ERROR")))</f>
        <v>0.31937286090334316</v>
      </c>
      <c r="AB1049" s="101">
        <f>IF('Net zero activities &amp; levers'!$C$12="Off",Constants!$H78*'Activity data'!AU20*Constants!$H96*EF!$H221*MMVolatEF*NtoN2O*kgtoGg,IF('Net zero activities &amp; levers'!$C$12="PB",Constants!$H78*'Activity data'!AU20*Constants!$H96*EF!$H221*MMVolatEF*NtoN2O*kgtoGg,IF('Net zero activities &amp; levers'!$C$12="MS",Constants!$H78*'Net zero Activity data'!AU20*Constants!$H96*EF!$H221*MMVolatEF*NtoN2O*kgtoGg,"ERROR")))</f>
        <v>0.32768435170975169</v>
      </c>
      <c r="AC1049" s="101">
        <f>IF('Net zero activities &amp; levers'!$C$12="Off",Constants!$H78*'Activity data'!AV20*Constants!$H96*EF!$H221*MMVolatEF*NtoN2O*kgtoGg,IF('Net zero activities &amp; levers'!$C$12="PB",Constants!$H78*'Activity data'!AV20*Constants!$H96*EF!$H221*MMVolatEF*NtoN2O*kgtoGg,IF('Net zero activities &amp; levers'!$C$12="MS",Constants!$H78*'Net zero Activity data'!AV20*Constants!$H96*EF!$H221*MMVolatEF*NtoN2O*kgtoGg,"ERROR")))</f>
        <v>0.3362412673320212</v>
      </c>
      <c r="AD1049" s="101">
        <f>IF('Net zero activities &amp; levers'!$C$12="Off",Constants!$H78*'Activity data'!AW20*Constants!$H96*EF!$H221*MMVolatEF*NtoN2O*kgtoGg,IF('Net zero activities &amp; levers'!$C$12="PB",Constants!$H78*'Activity data'!AW20*Constants!$H96*EF!$H221*MMVolatEF*NtoN2O*kgtoGg,IF('Net zero activities &amp; levers'!$C$12="MS",Constants!$H78*'Net zero Activity data'!AW20*Constants!$H96*EF!$H221*MMVolatEF*NtoN2O*kgtoGg,"ERROR")))</f>
        <v>0.34761278711237292</v>
      </c>
      <c r="AE1049" s="101">
        <f>IF('Net zero activities &amp; levers'!$C$12="Off",Constants!$H78*'Activity data'!AX20*Constants!$H96*EF!$H221*MMVolatEF*NtoN2O*kgtoGg,IF('Net zero activities &amp; levers'!$C$12="PB",Constants!$H78*'Activity data'!AX20*Constants!$H96*EF!$H221*MMVolatEF*NtoN2O*kgtoGg,IF('Net zero activities &amp; levers'!$C$12="MS",Constants!$H78*'Net zero Activity data'!AX20*Constants!$H96*EF!$H221*MMVolatEF*NtoN2O*kgtoGg,"ERROR")))</f>
        <v>0.36009727200869485</v>
      </c>
      <c r="AF1049" s="101">
        <f>IF('Net zero activities &amp; levers'!$C$12="Off",Constants!$H78*'Activity data'!AY20*Constants!$H96*EF!$H221*MMVolatEF*NtoN2O*kgtoGg,IF('Net zero activities &amp; levers'!$C$12="PB",Constants!$H78*'Activity data'!AY20*Constants!$H96*EF!$H221*MMVolatEF*NtoN2O*kgtoGg,IF('Net zero activities &amp; levers'!$C$12="MS",Constants!$H78*'Net zero Activity data'!AY20*Constants!$H96*EF!$H221*MMVolatEF*NtoN2O*kgtoGg,"ERROR")))</f>
        <v>0.37302207723672137</v>
      </c>
      <c r="AG1049" s="101">
        <f>IF('Net zero activities &amp; levers'!$C$12="Off",Constants!$H78*'Activity data'!AZ20*Constants!$H96*EF!$H221*MMVolatEF*NtoN2O*kgtoGg,IF('Net zero activities &amp; levers'!$C$12="PB",Constants!$H78*'Activity data'!AZ20*Constants!$H96*EF!$H221*MMVolatEF*NtoN2O*kgtoGg,IF('Net zero activities &amp; levers'!$C$12="MS",Constants!$H78*'Net zero Activity data'!AZ20*Constants!$H96*EF!$H221*MMVolatEF*NtoN2O*kgtoGg,"ERROR")))</f>
        <v>0.37158281441490282</v>
      </c>
      <c r="AH1049" s="101">
        <f>IF('Net zero activities &amp; levers'!$C$12="Off",Constants!$H78*'Activity data'!BA20*Constants!$H96*EF!$H221*MMVolatEF*NtoN2O*kgtoGg,IF('Net zero activities &amp; levers'!$C$12="PB",Constants!$H78*'Activity data'!BA20*Constants!$H96*EF!$H221*MMVolatEF*NtoN2O*kgtoGg,IF('Net zero activities &amp; levers'!$C$12="MS",Constants!$H78*'Net zero Activity data'!BA20*Constants!$H96*EF!$H221*MMVolatEF*NtoN2O*kgtoGg,"ERROR")))</f>
        <v>-0.32225581682934024</v>
      </c>
      <c r="AI1049" s="101">
        <f>IF('Net zero activities &amp; levers'!$C$12="Off",Constants!$H78*'Activity data'!BB20*Constants!$H96*EF!$H221*MMVolatEF*NtoN2O*kgtoGg,IF('Net zero activities &amp; levers'!$C$12="PB",Constants!$H78*'Activity data'!BB20*Constants!$H96*EF!$H221*MMVolatEF*NtoN2O*kgtoGg,IF('Net zero activities &amp; levers'!$C$12="MS",Constants!$H78*'Net zero Activity data'!BB20*Constants!$H96*EF!$H221*MMVolatEF*NtoN2O*kgtoGg,"ERROR")))</f>
        <v>-0.32271754342348513</v>
      </c>
      <c r="AJ1049" s="101">
        <f>IF('Net zero activities &amp; levers'!$C$12="Off",Constants!$H78*'Activity data'!BC20*Constants!$H96*EF!$H221*MMVolatEF*NtoN2O*kgtoGg,IF('Net zero activities &amp; levers'!$C$12="PB",Constants!$H78*'Activity data'!BC20*Constants!$H96*EF!$H221*MMVolatEF*NtoN2O*kgtoGg,IF('Net zero activities &amp; levers'!$C$12="MS",Constants!$H78*'Net zero Activity data'!BC20*Constants!$H96*EF!$H221*MMVolatEF*NtoN2O*kgtoGg,"ERROR")))</f>
        <v>-0.32321834210238065</v>
      </c>
      <c r="AK1049" s="101">
        <f>IF('Net zero activities &amp; levers'!$C$12="Off",Constants!$H78*'Activity data'!BD20*Constants!$H96*EF!$H221*MMVolatEF*NtoN2O*kgtoGg,IF('Net zero activities &amp; levers'!$C$12="PB",Constants!$H78*'Activity data'!BD20*Constants!$H96*EF!$H221*MMVolatEF*NtoN2O*kgtoGg,IF('Net zero activities &amp; levers'!$C$12="MS",Constants!$H78*'Net zero Activity data'!BD20*Constants!$H96*EF!$H221*MMVolatEF*NtoN2O*kgtoGg,"ERROR")))</f>
        <v>-0.32375658230947413</v>
      </c>
      <c r="AL1049" s="101">
        <f>IF('Net zero activities &amp; levers'!$C$12="Off",Constants!$H78*'Activity data'!BE20*Constants!$H96*EF!$H221*MMVolatEF*NtoN2O*kgtoGg,IF('Net zero activities &amp; levers'!$C$12="PB",Constants!$H78*'Activity data'!BE20*Constants!$H96*EF!$H221*MMVolatEF*NtoN2O*kgtoGg,IF('Net zero activities &amp; levers'!$C$12="MS",Constants!$H78*'Net zero Activity data'!BE20*Constants!$H96*EF!$H221*MMVolatEF*NtoN2O*kgtoGg,"ERROR")))</f>
        <v>-0.32433076013748197</v>
      </c>
      <c r="AM1049" s="101">
        <f>IF('Net zero activities &amp; levers'!$C$12="Off",Constants!$H78*'Activity data'!BF20*Constants!$H96*EF!$H221*MMVolatEF*NtoN2O*kgtoGg,IF('Net zero activities &amp; levers'!$C$12="PB",Constants!$H78*'Activity data'!BF20*Constants!$H96*EF!$H221*MMVolatEF*NtoN2O*kgtoGg,IF('Net zero activities &amp; levers'!$C$12="MS",Constants!$H78*'Net zero Activity data'!BF20*Constants!$H96*EF!$H221*MMVolatEF*NtoN2O*kgtoGg,"ERROR")))</f>
        <v>-0.32493948616259549</v>
      </c>
      <c r="AN1049" s="101">
        <f>IF('Net zero activities &amp; levers'!$C$12="Off",Constants!$H78*'Activity data'!BG20*Constants!$H96*EF!$H221*MMVolatEF*NtoN2O*kgtoGg,IF('Net zero activities &amp; levers'!$C$12="PB",Constants!$H78*'Activity data'!BG20*Constants!$H96*EF!$H221*MMVolatEF*NtoN2O*kgtoGg,IF('Net zero activities &amp; levers'!$C$12="MS",Constants!$H78*'Net zero Activity data'!BG20*Constants!$H96*EF!$H221*MMVolatEF*NtoN2O*kgtoGg,"ERROR")))</f>
        <v>-0.32519002694092081</v>
      </c>
      <c r="AO1049" s="101">
        <f>IF('Net zero activities &amp; levers'!$C$12="Off",Constants!$H78*'Activity data'!BH20*Constants!$H96*EF!$H221*MMVolatEF*NtoN2O*kgtoGg,IF('Net zero activities &amp; levers'!$C$12="PB",Constants!$H78*'Activity data'!BH20*Constants!$H96*EF!$H221*MMVolatEF*NtoN2O*kgtoGg,IF('Net zero activities &amp; levers'!$C$12="MS",Constants!$H78*'Net zero Activity data'!BH20*Constants!$H96*EF!$H221*MMVolatEF*NtoN2O*kgtoGg,"ERROR")))</f>
        <v>-0.32547196769911135</v>
      </c>
      <c r="AP1049" s="101">
        <f>IF('Net zero activities &amp; levers'!$C$12="Off",Constants!$H78*'Activity data'!BI20*Constants!$H96*EF!$H221*MMVolatEF*NtoN2O*kgtoGg,IF('Net zero activities &amp; levers'!$C$12="PB",Constants!$H78*'Activity data'!BI20*Constants!$H96*EF!$H221*MMVolatEF*NtoN2O*kgtoGg,IF('Net zero activities &amp; levers'!$C$12="MS",Constants!$H78*'Net zero Activity data'!BI20*Constants!$H96*EF!$H221*MMVolatEF*NtoN2O*kgtoGg,"ERROR")))</f>
        <v>-0.32578408919193652</v>
      </c>
      <c r="AQ1049" s="101">
        <f>IF('Net zero activities &amp; levers'!$C$12="Off",Constants!$H78*'Activity data'!BJ20*Constants!$H96*EF!$H221*MMVolatEF*NtoN2O*kgtoGg,IF('Net zero activities &amp; levers'!$C$12="PB",Constants!$H78*'Activity data'!BJ20*Constants!$H96*EF!$H221*MMVolatEF*NtoN2O*kgtoGg,IF('Net zero activities &amp; levers'!$C$12="MS",Constants!$H78*'Net zero Activity data'!BJ20*Constants!$H96*EF!$H221*MMVolatEF*NtoN2O*kgtoGg,"ERROR")))</f>
        <v>-0.32612525589272406</v>
      </c>
      <c r="AR1049" s="101">
        <f>IF('Net zero activities &amp; levers'!$C$12="Off",Constants!$H78*'Activity data'!BK20*Constants!$H96*EF!$H221*MMVolatEF*NtoN2O*kgtoGg,IF('Net zero activities &amp; levers'!$C$12="PB",Constants!$H78*'Activity data'!BK20*Constants!$H96*EF!$H221*MMVolatEF*NtoN2O*kgtoGg,IF('Net zero activities &amp; levers'!$C$12="MS",Constants!$H78*'Net zero Activity data'!BK20*Constants!$H96*EF!$H221*MMVolatEF*NtoN2O*kgtoGg,"ERROR")))</f>
        <v>-0.32649440879969549</v>
      </c>
      <c r="AS1049" s="101">
        <f>IF('Net zero activities &amp; levers'!$C$12="Off",Constants!$H78*'Activity data'!BL20*Constants!$H96*EF!$H221*MMVolatEF*NtoN2O*kgtoGg,IF('Net zero activities &amp; levers'!$C$12="PB",Constants!$H78*'Activity data'!BL20*Constants!$H96*EF!$H221*MMVolatEF*NtoN2O*kgtoGg,IF('Net zero activities &amp; levers'!$C$12="MS",Constants!$H78*'Net zero Activity data'!BL20*Constants!$H96*EF!$H221*MMVolatEF*NtoN2O*kgtoGg,"ERROR")))</f>
        <v>-0.32649961480368156</v>
      </c>
      <c r="AT1049" s="101">
        <f>IF('Net zero activities &amp; levers'!$C$12="Off",Constants!$H78*'Activity data'!BM20*Constants!$H96*EF!$H221*MMVolatEF*NtoN2O*kgtoGg,IF('Net zero activities &amp; levers'!$C$12="PB",Constants!$H78*'Activity data'!BM20*Constants!$H96*EF!$H221*MMVolatEF*NtoN2O*kgtoGg,IF('Net zero activities &amp; levers'!$C$12="MS",Constants!$H78*'Net zero Activity data'!BM20*Constants!$H96*EF!$H221*MMVolatEF*NtoN2O*kgtoGg,"ERROR")))</f>
        <v>-0.32653073845215902</v>
      </c>
      <c r="AU1049" s="101">
        <f>IF('Net zero activities &amp; levers'!$C$12="Off",Constants!$H78*'Activity data'!BN20*Constants!$H96*EF!$H221*MMVolatEF*NtoN2O*kgtoGg,IF('Net zero activities &amp; levers'!$C$12="PB",Constants!$H78*'Activity data'!BN20*Constants!$H96*EF!$H221*MMVolatEF*NtoN2O*kgtoGg,IF('Net zero activities &amp; levers'!$C$12="MS",Constants!$H78*'Net zero Activity data'!BN20*Constants!$H96*EF!$H221*MMVolatEF*NtoN2O*kgtoGg,"ERROR")))</f>
        <v>-0.326586821501688</v>
      </c>
      <c r="AV1049" s="101">
        <f>IF('Net zero activities &amp; levers'!$C$12="Off",Constants!$H78*'Activity data'!BO20*Constants!$H96*EF!$H221*MMVolatEF*NtoN2O*kgtoGg,IF('Net zero activities &amp; levers'!$C$12="PB",Constants!$H78*'Activity data'!BO20*Constants!$H96*EF!$H221*MMVolatEF*NtoN2O*kgtoGg,IF('Net zero activities &amp; levers'!$C$12="MS",Constants!$H78*'Net zero Activity data'!BO20*Constants!$H96*EF!$H221*MMVolatEF*NtoN2O*kgtoGg,"ERROR")))</f>
        <v>-0.32666696441292659</v>
      </c>
      <c r="AW1049" s="101">
        <f>IF('Net zero activities &amp; levers'!$C$12="Off",Constants!$H78*'Activity data'!BP20*Constants!$H96*EF!$H221*MMVolatEF*NtoN2O*kgtoGg,IF('Net zero activities &amp; levers'!$C$12="PB",Constants!$H78*'Activity data'!BP20*Constants!$H96*EF!$H221*MMVolatEF*NtoN2O*kgtoGg,IF('Net zero activities &amp; levers'!$C$12="MS",Constants!$H78*'Net zero Activity data'!BP20*Constants!$H96*EF!$H221*MMVolatEF*NtoN2O*kgtoGg,"ERROR")))</f>
        <v>-0.32677032179119497</v>
      </c>
      <c r="AY1049" s="85"/>
      <c r="AZ1049" s="85"/>
    </row>
    <row r="1050" spans="1:52" x14ac:dyDescent="0.25">
      <c r="A1050" s="102" t="str">
        <f t="shared" si="345"/>
        <v>DS MM Leaching</v>
      </c>
      <c r="B1050" s="102" t="s">
        <v>975</v>
      </c>
      <c r="C1050" s="102" t="s">
        <v>1334</v>
      </c>
      <c r="D1050" t="s">
        <v>369</v>
      </c>
      <c r="E1050" t="s">
        <v>64</v>
      </c>
      <c r="F1050" t="s">
        <v>63</v>
      </c>
      <c r="G1050" t="s">
        <v>1153</v>
      </c>
      <c r="H1050" t="s">
        <v>1307</v>
      </c>
      <c r="I1050" t="s">
        <v>139</v>
      </c>
      <c r="J1050" t="s">
        <v>287</v>
      </c>
      <c r="K1050" s="22">
        <f t="shared" ref="K1050:AW1050" si="365">K1547</f>
        <v>8.937279530386584E-2</v>
      </c>
      <c r="L1050" s="22">
        <f t="shared" si="365"/>
        <v>8.99287091662518E-2</v>
      </c>
      <c r="M1050" s="22">
        <f t="shared" si="365"/>
        <v>9.0310907604627441E-2</v>
      </c>
      <c r="N1050" s="22">
        <f t="shared" si="365"/>
        <v>9.0430770661024784E-2</v>
      </c>
      <c r="O1050" s="22">
        <f t="shared" si="365"/>
        <v>9.0592927490571046E-2</v>
      </c>
      <c r="P1050" s="22">
        <f t="shared" si="365"/>
        <v>9.0948112554123092E-2</v>
      </c>
      <c r="Q1050" s="22">
        <f t="shared" si="365"/>
        <v>9.1373943417930939E-2</v>
      </c>
      <c r="R1050" s="22">
        <f t="shared" si="365"/>
        <v>9.1501867451345892E-2</v>
      </c>
      <c r="S1050" s="22">
        <f t="shared" si="365"/>
        <v>8.8692780673306368E-2</v>
      </c>
      <c r="T1050" s="22">
        <f t="shared" si="365"/>
        <v>8.942331322993069E-2</v>
      </c>
      <c r="U1050" s="22">
        <f t="shared" si="365"/>
        <v>9.0093190837869708E-2</v>
      </c>
      <c r="V1050" s="22">
        <f t="shared" si="365"/>
        <v>9.0780038603481383E-2</v>
      </c>
      <c r="W1050" s="22">
        <f t="shared" si="365"/>
        <v>9.1607440170769952E-2</v>
      </c>
      <c r="X1050" s="22">
        <f t="shared" si="365"/>
        <v>9.2450367431163069E-2</v>
      </c>
      <c r="Y1050" s="22">
        <f t="shared" si="365"/>
        <v>9.3271141222409717E-2</v>
      </c>
      <c r="Z1050" s="22">
        <f t="shared" si="365"/>
        <v>9.4075494804423593E-2</v>
      </c>
      <c r="AA1050" s="22">
        <f t="shared" si="365"/>
        <v>9.494187182919285E-2</v>
      </c>
      <c r="AB1050" s="22">
        <f t="shared" si="365"/>
        <v>9.5762313841523894E-2</v>
      </c>
      <c r="AC1050" s="22">
        <f t="shared" si="365"/>
        <v>9.6612184537040763E-2</v>
      </c>
      <c r="AD1050" s="22">
        <f t="shared" si="365"/>
        <v>9.7588608414981418E-2</v>
      </c>
      <c r="AE1050" s="22">
        <f t="shared" si="365"/>
        <v>9.8652036659073086E-2</v>
      </c>
      <c r="AF1050" s="22">
        <f t="shared" si="365"/>
        <v>9.9757674838538646E-2</v>
      </c>
      <c r="AG1050" s="22">
        <f t="shared" si="365"/>
        <v>9.9912115595676476E-2</v>
      </c>
      <c r="AH1050" s="22">
        <f t="shared" si="365"/>
        <v>5.3491971899674674E-2</v>
      </c>
      <c r="AI1050" s="22">
        <f t="shared" si="365"/>
        <v>5.3531314918473571E-2</v>
      </c>
      <c r="AJ1050" s="22">
        <f t="shared" si="365"/>
        <v>5.357582611787514E-2</v>
      </c>
      <c r="AK1050" s="22">
        <f t="shared" si="365"/>
        <v>5.3625309057202357E-2</v>
      </c>
      <c r="AL1050" s="22">
        <f t="shared" si="365"/>
        <v>5.3679582424864689E-2</v>
      </c>
      <c r="AM1050" s="22">
        <f t="shared" si="365"/>
        <v>5.3738478604376284E-2</v>
      </c>
      <c r="AN1050" s="22">
        <f t="shared" si="365"/>
        <v>5.3763835169364317E-2</v>
      </c>
      <c r="AO1050" s="22">
        <f t="shared" si="365"/>
        <v>5.3793262757512665E-2</v>
      </c>
      <c r="AP1050" s="22">
        <f t="shared" si="365"/>
        <v>5.3826619180497665E-2</v>
      </c>
      <c r="AQ1050" s="22">
        <f t="shared" si="365"/>
        <v>5.3863771952469164E-2</v>
      </c>
      <c r="AR1050" s="22">
        <f t="shared" si="365"/>
        <v>5.3904597466717913E-2</v>
      </c>
      <c r="AS1050" s="22">
        <f t="shared" si="365"/>
        <v>5.3910563480556228E-2</v>
      </c>
      <c r="AT1050" s="22">
        <f t="shared" si="365"/>
        <v>5.3919785471416987E-2</v>
      </c>
      <c r="AU1050" s="22">
        <f t="shared" si="365"/>
        <v>5.3932155519366927E-2</v>
      </c>
      <c r="AV1050" s="22">
        <f t="shared" si="365"/>
        <v>5.3947572278859428E-2</v>
      </c>
      <c r="AW1050" s="22">
        <f t="shared" si="365"/>
        <v>5.3965940473698626E-2</v>
      </c>
      <c r="AY1050" s="85"/>
      <c r="AZ1050" s="85"/>
    </row>
    <row r="1051" spans="1:52" x14ac:dyDescent="0.25">
      <c r="A1051" s="102" t="str">
        <f t="shared" si="345"/>
        <v>DS MM Leaching</v>
      </c>
      <c r="B1051" s="102" t="s">
        <v>975</v>
      </c>
      <c r="C1051" s="102" t="s">
        <v>1334</v>
      </c>
      <c r="D1051" t="s">
        <v>369</v>
      </c>
      <c r="E1051" t="s">
        <v>64</v>
      </c>
      <c r="F1051" t="s">
        <v>63</v>
      </c>
      <c r="G1051" t="s">
        <v>1155</v>
      </c>
      <c r="H1051" t="s">
        <v>1308</v>
      </c>
      <c r="I1051" t="s">
        <v>139</v>
      </c>
      <c r="J1051" t="s">
        <v>287</v>
      </c>
      <c r="K1051" s="22">
        <f t="shared" ref="K1051:AW1051" si="366">K1548</f>
        <v>2.6988316791591433E-2</v>
      </c>
      <c r="L1051" s="22">
        <f t="shared" si="366"/>
        <v>2.7156188674482627E-2</v>
      </c>
      <c r="M1051" s="22">
        <f t="shared" si="366"/>
        <v>2.7271602906487613E-2</v>
      </c>
      <c r="N1051" s="22">
        <f t="shared" si="366"/>
        <v>2.7307798508590695E-2</v>
      </c>
      <c r="O1051" s="22">
        <f t="shared" si="366"/>
        <v>2.7356765757190617E-2</v>
      </c>
      <c r="P1051" s="22">
        <f t="shared" si="366"/>
        <v>2.7464022635328895E-2</v>
      </c>
      <c r="Q1051" s="22">
        <f t="shared" si="366"/>
        <v>2.7592612752858615E-2</v>
      </c>
      <c r="R1051" s="22">
        <f t="shared" si="366"/>
        <v>2.7631242565513824E-2</v>
      </c>
      <c r="S1051" s="22">
        <f t="shared" si="366"/>
        <v>2.6782969625151597E-2</v>
      </c>
      <c r="T1051" s="22">
        <f t="shared" si="366"/>
        <v>2.7003571923621898E-2</v>
      </c>
      <c r="U1051" s="22">
        <f t="shared" si="366"/>
        <v>2.7205857966406888E-2</v>
      </c>
      <c r="V1051" s="22">
        <f t="shared" si="366"/>
        <v>2.7413268566275666E-2</v>
      </c>
      <c r="W1051" s="22">
        <f t="shared" si="366"/>
        <v>2.7663122848397212E-2</v>
      </c>
      <c r="X1051" s="22">
        <f t="shared" si="366"/>
        <v>2.7917665495949085E-2</v>
      </c>
      <c r="Y1051" s="22">
        <f t="shared" si="366"/>
        <v>2.8165518357852821E-2</v>
      </c>
      <c r="Z1051" s="22">
        <f t="shared" si="366"/>
        <v>2.8408412733149407E-2</v>
      </c>
      <c r="AA1051" s="22">
        <f t="shared" si="366"/>
        <v>2.8670036614621735E-2</v>
      </c>
      <c r="AB1051" s="22">
        <f t="shared" si="366"/>
        <v>2.8917789287710199E-2</v>
      </c>
      <c r="AC1051" s="22">
        <f t="shared" si="366"/>
        <v>2.9174428676514319E-2</v>
      </c>
      <c r="AD1051" s="22">
        <f t="shared" si="366"/>
        <v>2.9469283915752844E-2</v>
      </c>
      <c r="AE1051" s="22">
        <f t="shared" si="366"/>
        <v>2.979041226626589E-2</v>
      </c>
      <c r="AF1051" s="22">
        <f t="shared" si="366"/>
        <v>3.0124286946394699E-2</v>
      </c>
      <c r="AG1051" s="22">
        <f t="shared" si="366"/>
        <v>3.0170924136884231E-2</v>
      </c>
      <c r="AH1051" s="22">
        <f t="shared" si="366"/>
        <v>1.6153218420962612E-2</v>
      </c>
      <c r="AI1051" s="22">
        <f t="shared" si="366"/>
        <v>1.6165099014506461E-2</v>
      </c>
      <c r="AJ1051" s="22">
        <f t="shared" si="366"/>
        <v>1.6178540267475436E-2</v>
      </c>
      <c r="AK1051" s="22">
        <f t="shared" si="366"/>
        <v>1.6193482859768772E-2</v>
      </c>
      <c r="AL1051" s="22">
        <f t="shared" si="366"/>
        <v>1.6209872039886029E-2</v>
      </c>
      <c r="AM1051" s="22">
        <f t="shared" si="366"/>
        <v>1.6227657191900897E-2</v>
      </c>
      <c r="AN1051" s="22">
        <f t="shared" si="366"/>
        <v>1.6235314231230563E-2</v>
      </c>
      <c r="AO1051" s="22">
        <f t="shared" si="366"/>
        <v>1.6244200616272676E-2</v>
      </c>
      <c r="AP1051" s="22">
        <f t="shared" si="366"/>
        <v>1.6254273409760815E-2</v>
      </c>
      <c r="AQ1051" s="22">
        <f t="shared" si="366"/>
        <v>1.6265492604329402E-2</v>
      </c>
      <c r="AR1051" s="22">
        <f t="shared" si="366"/>
        <v>1.6277820873888151E-2</v>
      </c>
      <c r="AS1051" s="22">
        <f t="shared" si="366"/>
        <v>1.6279622458709387E-2</v>
      </c>
      <c r="AT1051" s="22">
        <f t="shared" si="366"/>
        <v>1.6282407265987193E-2</v>
      </c>
      <c r="AU1051" s="22">
        <f t="shared" si="366"/>
        <v>1.6286142706639629E-2</v>
      </c>
      <c r="AV1051" s="22">
        <f t="shared" si="366"/>
        <v>1.6290798176882768E-2</v>
      </c>
      <c r="AW1051" s="22">
        <f t="shared" si="366"/>
        <v>1.6296344905722616E-2</v>
      </c>
      <c r="AY1051" s="85"/>
      <c r="AZ1051" s="85"/>
    </row>
    <row r="1052" spans="1:52" x14ac:dyDescent="0.25">
      <c r="A1052" s="102" t="str">
        <f t="shared" si="345"/>
        <v>DS MM Leaching</v>
      </c>
      <c r="B1052" s="102" t="s">
        <v>975</v>
      </c>
      <c r="C1052" s="102" t="s">
        <v>1334</v>
      </c>
      <c r="D1052" t="s">
        <v>369</v>
      </c>
      <c r="E1052" t="s">
        <v>64</v>
      </c>
      <c r="F1052" t="s">
        <v>63</v>
      </c>
      <c r="G1052" t="s">
        <v>1157</v>
      </c>
      <c r="H1052" t="s">
        <v>1309</v>
      </c>
      <c r="I1052" t="s">
        <v>139</v>
      </c>
      <c r="J1052" t="s">
        <v>287</v>
      </c>
      <c r="K1052" s="22">
        <f t="shared" ref="K1052:AW1052" si="367">K1549</f>
        <v>1.4509917151188738E-3</v>
      </c>
      <c r="L1052" s="22">
        <f t="shared" si="367"/>
        <v>1.4600171283433256E-3</v>
      </c>
      <c r="M1052" s="22">
        <f t="shared" si="367"/>
        <v>1.4662222242646174E-3</v>
      </c>
      <c r="N1052" s="22">
        <f t="shared" si="367"/>
        <v>1.4681682336871716E-3</v>
      </c>
      <c r="O1052" s="22">
        <f t="shared" si="367"/>
        <v>1.4708008940557055E-3</v>
      </c>
      <c r="P1052" s="22">
        <f t="shared" si="367"/>
        <v>1.4765674204667426E-3</v>
      </c>
      <c r="Q1052" s="22">
        <f t="shared" si="367"/>
        <v>1.4834809007190539E-3</v>
      </c>
      <c r="R1052" s="22">
        <f t="shared" si="367"/>
        <v>1.485557782302746E-3</v>
      </c>
      <c r="S1052" s="22">
        <f t="shared" si="367"/>
        <v>1.439951492065016E-3</v>
      </c>
      <c r="T1052" s="22">
        <f t="shared" si="367"/>
        <v>1.4518118874312183E-3</v>
      </c>
      <c r="U1052" s="22">
        <f t="shared" si="367"/>
        <v>1.4626875331571739E-3</v>
      </c>
      <c r="V1052" s="22">
        <f t="shared" si="367"/>
        <v>1.4738386940228707E-3</v>
      </c>
      <c r="W1052" s="22">
        <f t="shared" si="367"/>
        <v>1.4872717842057417E-3</v>
      </c>
      <c r="X1052" s="22">
        <f t="shared" si="367"/>
        <v>1.5009569382520018E-3</v>
      </c>
      <c r="Y1052" s="22">
        <f t="shared" si="367"/>
        <v>1.5142824246825921E-3</v>
      </c>
      <c r="Z1052" s="22">
        <f t="shared" si="367"/>
        <v>1.5273413245364029E-3</v>
      </c>
      <c r="AA1052" s="22">
        <f t="shared" si="367"/>
        <v>1.5414071919050509E-3</v>
      </c>
      <c r="AB1052" s="22">
        <f t="shared" si="367"/>
        <v>1.5547272918144282E-3</v>
      </c>
      <c r="AC1052" s="22">
        <f t="shared" si="367"/>
        <v>1.568525174424283E-3</v>
      </c>
      <c r="AD1052" s="22">
        <f t="shared" si="367"/>
        <v>1.5843776824779826E-3</v>
      </c>
      <c r="AE1052" s="22">
        <f t="shared" si="367"/>
        <v>1.6016427301533305E-3</v>
      </c>
      <c r="AF1052" s="22">
        <f t="shared" si="367"/>
        <v>1.6195930676455074E-3</v>
      </c>
      <c r="AG1052" s="22">
        <f t="shared" si="367"/>
        <v>1.6221004554733333E-3</v>
      </c>
      <c r="AH1052" s="22">
        <f t="shared" si="367"/>
        <v>8.6845675787475588E-4</v>
      </c>
      <c r="AI1052" s="22">
        <f t="shared" si="367"/>
        <v>8.6909550251881536E-4</v>
      </c>
      <c r="AJ1052" s="22">
        <f t="shared" si="367"/>
        <v>8.6981815398498119E-4</v>
      </c>
      <c r="AK1052" s="22">
        <f t="shared" si="367"/>
        <v>8.7062152300526781E-4</v>
      </c>
      <c r="AL1052" s="22">
        <f t="shared" si="367"/>
        <v>8.7150266593653532E-4</v>
      </c>
      <c r="AM1052" s="22">
        <f t="shared" si="367"/>
        <v>8.7245886147940626E-4</v>
      </c>
      <c r="AN1052" s="22">
        <f t="shared" si="367"/>
        <v>8.728705322299566E-4</v>
      </c>
      <c r="AO1052" s="22">
        <f t="shared" si="367"/>
        <v>8.7334829715220207E-4</v>
      </c>
      <c r="AP1052" s="22">
        <f t="shared" si="367"/>
        <v>8.7388984777991429E-4</v>
      </c>
      <c r="AQ1052" s="22">
        <f t="shared" si="367"/>
        <v>8.7449303316917135E-4</v>
      </c>
      <c r="AR1052" s="22">
        <f t="shared" si="367"/>
        <v>8.7515584653132471E-4</v>
      </c>
      <c r="AS1052" s="22">
        <f t="shared" si="367"/>
        <v>8.7525270639368256E-4</v>
      </c>
      <c r="AT1052" s="22">
        <f t="shared" si="367"/>
        <v>8.7540242793132E-4</v>
      </c>
      <c r="AU1052" s="22">
        <f t="shared" si="367"/>
        <v>8.7560325903467736E-4</v>
      </c>
      <c r="AV1052" s="22">
        <f t="shared" si="367"/>
        <v>8.7585355433115466E-4</v>
      </c>
      <c r="AW1052" s="22">
        <f t="shared" si="367"/>
        <v>8.7615176698571857E-4</v>
      </c>
      <c r="AY1052" s="85"/>
      <c r="AZ1052" s="85"/>
    </row>
    <row r="1053" spans="1:52" x14ac:dyDescent="0.25">
      <c r="A1053" s="102" t="str">
        <f t="shared" si="345"/>
        <v>DS MM Leaching</v>
      </c>
      <c r="B1053" s="102" t="s">
        <v>975</v>
      </c>
      <c r="C1053" s="102" t="s">
        <v>1334</v>
      </c>
      <c r="D1053" t="s">
        <v>369</v>
      </c>
      <c r="E1053" t="s">
        <v>64</v>
      </c>
      <c r="F1053" t="s">
        <v>63</v>
      </c>
      <c r="G1053" t="s">
        <v>1159</v>
      </c>
      <c r="H1053" t="s">
        <v>1310</v>
      </c>
      <c r="I1053" t="s">
        <v>139</v>
      </c>
      <c r="J1053" t="s">
        <v>287</v>
      </c>
      <c r="K1053" s="101">
        <f>IF('Net zero activities &amp; levers'!$C$12="Off",Constants!$H66*'Activity data'!AD8*Constants!$H84*FracLEACHMM*MMLeachEF*NtoN2O*kgtoGg,Constants!$H66*'Net zero Activity data'!AD8*Constants!$H84*FracLEACHMM*MMLeachEF*NtoN2O*kgtoGg)</f>
        <v>3.0570019073752373E-2</v>
      </c>
      <c r="L1053" s="101">
        <f>IF('Net zero activities &amp; levers'!$C$12="Off",Constants!$H66*'Activity data'!AE8*Constants!$H84*FracLEACHMM*MMLeachEF*NtoN2O*kgtoGg,Constants!$H66*'Net zero Activity data'!AE8*Constants!$H84*FracLEACHMM*MMLeachEF*NtoN2O*kgtoGg)</f>
        <v>3.0367387601048686E-2</v>
      </c>
      <c r="M1053" s="101">
        <f>IF('Net zero activities &amp; levers'!$C$12="Off",Constants!$H66*'Activity data'!AF8*Constants!$H84*FracLEACHMM*MMLeachEF*NtoN2O*kgtoGg,Constants!$H66*'Net zero Activity data'!AF8*Constants!$H84*FracLEACHMM*MMLeachEF*NtoN2O*kgtoGg)</f>
        <v>2.9940152719715736E-2</v>
      </c>
      <c r="N1053" s="101">
        <f>IF('Net zero activities &amp; levers'!$C$12="Off",Constants!$H66*'Activity data'!AG8*Constants!$H84*FracLEACHMM*MMLeachEF*NtoN2O*kgtoGg,Constants!$H66*'Net zero Activity data'!AG8*Constants!$H84*FracLEACHMM*MMLeachEF*NtoN2O*kgtoGg)</f>
        <v>2.9219989120948371E-2</v>
      </c>
      <c r="O1053" s="101">
        <f>IF('Net zero activities &amp; levers'!$C$12="Off",Constants!$H66*'Activity data'!AH8*Constants!$H84*FracLEACHMM*MMLeachEF*NtoN2O*kgtoGg,Constants!$H66*'Net zero Activity data'!AH8*Constants!$H84*FracLEACHMM*MMLeachEF*NtoN2O*kgtoGg)</f>
        <v>2.852126892952573E-2</v>
      </c>
      <c r="P1053" s="101">
        <f>IF('Net zero activities &amp; levers'!$C$12="Off",Constants!$H66*'Activity data'!AI8*Constants!$H84*FracLEACHMM*MMLeachEF*NtoN2O*kgtoGg,Constants!$H66*'Net zero Activity data'!AI8*Constants!$H84*FracLEACHMM*MMLeachEF*NtoN2O*kgtoGg)</f>
        <v>2.7983855033028606E-2</v>
      </c>
      <c r="Q1053" s="101">
        <f>IF('Net zero activities &amp; levers'!$C$12="Off",Constants!$H66*'Activity data'!AJ8*Constants!$H84*FracLEACHMM*MMLeachEF*NtoN2O*kgtoGg,Constants!$H66*'Net zero Activity data'!AJ8*Constants!$H84*FracLEACHMM*MMLeachEF*NtoN2O*kgtoGg)</f>
        <v>2.749776002622362E-2</v>
      </c>
      <c r="R1053" s="101">
        <f>IF('Net zero activities &amp; levers'!$C$12="Off",Constants!$H66*'Activity data'!AK8*Constants!$H84*FracLEACHMM*MMLeachEF*NtoN2O*kgtoGg,Constants!$H66*'Net zero Activity data'!AK8*Constants!$H84*FracLEACHMM*MMLeachEF*NtoN2O*kgtoGg)</f>
        <v>2.6733493787157343E-2</v>
      </c>
      <c r="S1053" s="101">
        <f>IF('Net zero activities &amp; levers'!$C$12="Off",Constants!$H66*'Activity data'!AL8*Constants!$H84*FracLEACHMM*MMLeachEF*NtoN2O*kgtoGg,Constants!$H66*'Net zero Activity data'!AL8*Constants!$H84*FracLEACHMM*MMLeachEF*NtoN2O*kgtoGg)</f>
        <v>2.3446894467457041E-2</v>
      </c>
      <c r="T1053" s="101">
        <f>IF('Net zero activities &amp; levers'!$C$12="Off",Constants!$H66*'Activity data'!AM8*Constants!$H84*FracLEACHMM*MMLeachEF*NtoN2O*kgtoGg,Constants!$H66*'Net zero Activity data'!AM8*Constants!$H84*FracLEACHMM*MMLeachEF*NtoN2O*kgtoGg)</f>
        <v>2.3670380965491088E-2</v>
      </c>
      <c r="U1053" s="101">
        <f>IF('Net zero activities &amp; levers'!$C$12="Off",Constants!$H66*'Activity data'!AN8*Constants!$H84*FracLEACHMM*MMLeachEF*NtoN2O*kgtoGg,Constants!$H66*'Net zero Activity data'!AN8*Constants!$H84*FracLEACHMM*MMLeachEF*NtoN2O*kgtoGg)</f>
        <v>2.3821608196176489E-2</v>
      </c>
      <c r="V1053" s="101">
        <f>IF('Net zero activities &amp; levers'!$C$12="Off",Constants!$H66*'Activity data'!AO8*Constants!$H84*FracLEACHMM*MMLeachEF*NtoN2O*kgtoGg,Constants!$H66*'Net zero Activity data'!AO8*Constants!$H84*FracLEACHMM*MMLeachEF*NtoN2O*kgtoGg)</f>
        <v>2.3967916654645059E-2</v>
      </c>
      <c r="W1053" s="101">
        <f>IF('Net zero activities &amp; levers'!$C$12="Off",Constants!$H66*'Activity data'!AP8*Constants!$H84*FracLEACHMM*MMLeachEF*NtoN2O*kgtoGg,Constants!$H66*'Net zero Activity data'!AP8*Constants!$H84*FracLEACHMM*MMLeachEF*NtoN2O*kgtoGg)</f>
        <v>2.4209875654048162E-2</v>
      </c>
      <c r="X1053" s="101">
        <f>IF('Net zero activities &amp; levers'!$C$12="Off",Constants!$H66*'Activity data'!AQ8*Constants!$H84*FracLEACHMM*MMLeachEF*NtoN2O*kgtoGg,Constants!$H66*'Net zero Activity data'!AQ8*Constants!$H84*FracLEACHMM*MMLeachEF*NtoN2O*kgtoGg)</f>
        <v>2.4443860278754486E-2</v>
      </c>
      <c r="Y1053" s="101">
        <f>IF('Net zero activities &amp; levers'!$C$12="Off",Constants!$H66*'Activity data'!AR8*Constants!$H84*FracLEACHMM*MMLeachEF*NtoN2O*kgtoGg,Constants!$H66*'Net zero Activity data'!AR8*Constants!$H84*FracLEACHMM*MMLeachEF*NtoN2O*kgtoGg)</f>
        <v>2.4689509012601481E-2</v>
      </c>
      <c r="Z1053" s="101">
        <f>IF('Net zero activities &amp; levers'!$C$12="Off",Constants!$H66*'Activity data'!AS8*Constants!$H84*FracLEACHMM*MMLeachEF*NtoN2O*kgtoGg,Constants!$H66*'Net zero Activity data'!AS8*Constants!$H84*FracLEACHMM*MMLeachEF*NtoN2O*kgtoGg)</f>
        <v>2.4903367961433137E-2</v>
      </c>
      <c r="AA1053" s="101">
        <f>IF('Net zero activities &amp; levers'!$C$12="Off",Constants!$H66*'Activity data'!AT8*Constants!$H84*FracLEACHMM*MMLeachEF*NtoN2O*kgtoGg,Constants!$H66*'Net zero Activity data'!AT8*Constants!$H84*FracLEACHMM*MMLeachEF*NtoN2O*kgtoGg)</f>
        <v>2.5146768445041517E-2</v>
      </c>
      <c r="AB1053" s="101">
        <f>IF('Net zero activities &amp; levers'!$C$12="Off",Constants!$H66*'Activity data'!AU8*Constants!$H84*FracLEACHMM*MMLeachEF*NtoN2O*kgtoGg,Constants!$H66*'Net zero Activity data'!AU8*Constants!$H84*FracLEACHMM*MMLeachEF*NtoN2O*kgtoGg)</f>
        <v>2.5337237570324824E-2</v>
      </c>
      <c r="AC1053" s="101">
        <f>IF('Net zero activities &amp; levers'!$C$12="Off",Constants!$H66*'Activity data'!AV8*Constants!$H84*FracLEACHMM*MMLeachEF*NtoN2O*kgtoGg,Constants!$H66*'Net zero Activity data'!AV8*Constants!$H84*FracLEACHMM*MMLeachEF*NtoN2O*kgtoGg)</f>
        <v>2.5532932848471888E-2</v>
      </c>
      <c r="AD1053" s="101">
        <f>IF('Net zero activities &amp; levers'!$C$12="Off",Constants!$H66*'Activity data'!AW8*Constants!$H84*FracLEACHMM*MMLeachEF*NtoN2O*kgtoGg,Constants!$H66*'Net zero Activity data'!AW8*Constants!$H84*FracLEACHMM*MMLeachEF*NtoN2O*kgtoGg)</f>
        <v>2.5624080551254102E-2</v>
      </c>
      <c r="AE1053" s="101">
        <f>IF('Net zero activities &amp; levers'!$C$12="Off",Constants!$H66*'Activity data'!AX8*Constants!$H84*FracLEACHMM*MMLeachEF*NtoN2O*kgtoGg,Constants!$H66*'Net zero Activity data'!AX8*Constants!$H84*FracLEACHMM*MMLeachEF*NtoN2O*kgtoGg)</f>
        <v>2.5749062544479791E-2</v>
      </c>
      <c r="AF1053" s="101">
        <f>IF('Net zero activities &amp; levers'!$C$12="Off",Constants!$H66*'Activity data'!AY8*Constants!$H84*FracLEACHMM*MMLeachEF*NtoN2O*kgtoGg,Constants!$H66*'Net zero Activity data'!AY8*Constants!$H84*FracLEACHMM*MMLeachEF*NtoN2O*kgtoGg)</f>
        <v>2.5873562186552946E-2</v>
      </c>
      <c r="AG1053" s="101">
        <f>IF('Net zero activities &amp; levers'!$C$12="Off",Constants!$H66*'Activity data'!AZ8*Constants!$H84*FracLEACHMM*MMLeachEF*NtoN2O*kgtoGg,Constants!$H66*'Net zero Activity data'!AZ8*Constants!$H84*FracLEACHMM*MMLeachEF*NtoN2O*kgtoGg)</f>
        <v>2.53248358805277E-2</v>
      </c>
      <c r="AH1053" s="101">
        <f>IF('Net zero activities &amp; levers'!$C$12="Off",Constants!$H66*'Activity data'!BA8*Constants!$H84*FracLEACHMM*MMLeachEF*NtoN2O*kgtoGg,Constants!$H66*'Net zero Activity data'!BA8*Constants!$H84*FracLEACHMM*MMLeachEF*NtoN2O*kgtoGg)</f>
        <v>-5.9737784992688692E-3</v>
      </c>
      <c r="AI1053" s="101">
        <f>IF('Net zero activities &amp; levers'!$C$12="Off",Constants!$H66*'Activity data'!BB8*Constants!$H84*FracLEACHMM*MMLeachEF*NtoN2O*kgtoGg,Constants!$H66*'Net zero Activity data'!BB8*Constants!$H84*FracLEACHMM*MMLeachEF*NtoN2O*kgtoGg)</f>
        <v>-5.8352076147992196E-3</v>
      </c>
      <c r="AJ1053" s="101">
        <f>IF('Net zero activities &amp; levers'!$C$12="Off",Constants!$H66*'Activity data'!BC8*Constants!$H84*FracLEACHMM*MMLeachEF*NtoN2O*kgtoGg,Constants!$H66*'Net zero Activity data'!BC8*Constants!$H84*FracLEACHMM*MMLeachEF*NtoN2O*kgtoGg)</f>
        <v>-5.6988404422584063E-3</v>
      </c>
      <c r="AK1053" s="101">
        <f>IF('Net zero activities &amp; levers'!$C$12="Off",Constants!$H66*'Activity data'!BD8*Constants!$H84*FracLEACHMM*MMLeachEF*NtoN2O*kgtoGg,Constants!$H66*'Net zero Activity data'!BD8*Constants!$H84*FracLEACHMM*MMLeachEF*NtoN2O*kgtoGg)</f>
        <v>-5.5645615630153409E-3</v>
      </c>
      <c r="AL1053" s="101">
        <f>IF('Net zero activities &amp; levers'!$C$12="Off",Constants!$H66*'Activity data'!BE8*Constants!$H84*FracLEACHMM*MMLeachEF*NtoN2O*kgtoGg,Constants!$H66*'Net zero Activity data'!BE8*Constants!$H84*FracLEACHMM*MMLeachEF*NtoN2O*kgtoGg)</f>
        <v>-5.4322635380194221E-3</v>
      </c>
      <c r="AM1053" s="101">
        <f>IF('Net zero activities &amp; levers'!$C$12="Off",Constants!$H66*'Activity data'!BF8*Constants!$H84*FracLEACHMM*MMLeachEF*NtoN2O*kgtoGg,Constants!$H66*'Net zero Activity data'!BF8*Constants!$H84*FracLEACHMM*MMLeachEF*NtoN2O*kgtoGg)</f>
        <v>-5.3018461683791993E-3</v>
      </c>
      <c r="AN1053" s="101">
        <f>IF('Net zero activities &amp; levers'!$C$12="Off",Constants!$H66*'Activity data'!BG8*Constants!$H84*FracLEACHMM*MMLeachEF*NtoN2O*kgtoGg,Constants!$H66*'Net zero Activity data'!BG8*Constants!$H84*FracLEACHMM*MMLeachEF*NtoN2O*kgtoGg)</f>
        <v>-5.1961071833315654E-3</v>
      </c>
      <c r="AO1053" s="101">
        <f>IF('Net zero activities &amp; levers'!$C$12="Off",Constants!$H66*'Activity data'!BH8*Constants!$H84*FracLEACHMM*MMLeachEF*NtoN2O*kgtoGg,Constants!$H66*'Net zero Activity data'!BH8*Constants!$H84*FracLEACHMM*MMLeachEF*NtoN2O*kgtoGg)</f>
        <v>-5.0919652579405755E-3</v>
      </c>
      <c r="AP1053" s="101">
        <f>IF('Net zero activities &amp; levers'!$C$12="Off",Constants!$H66*'Activity data'!BI8*Constants!$H84*FracLEACHMM*MMLeachEF*NtoN2O*kgtoGg,Constants!$H66*'Net zero Activity data'!BI8*Constants!$H84*FracLEACHMM*MMLeachEF*NtoN2O*kgtoGg)</f>
        <v>-4.9893480213799102E-3</v>
      </c>
      <c r="AQ1053" s="101">
        <f>IF('Net zero activities &amp; levers'!$C$12="Off",Constants!$H66*'Activity data'!BJ8*Constants!$H84*FracLEACHMM*MMLeachEF*NtoN2O*kgtoGg,Constants!$H66*'Net zero Activity data'!BJ8*Constants!$H84*FracLEACHMM*MMLeachEF*NtoN2O*kgtoGg)</f>
        <v>-4.8881876039149471E-3</v>
      </c>
      <c r="AR1053" s="101">
        <f>IF('Net zero activities &amp; levers'!$C$12="Off",Constants!$H66*'Activity data'!BK8*Constants!$H84*FracLEACHMM*MMLeachEF*NtoN2O*kgtoGg,Constants!$H66*'Net zero Activity data'!BK8*Constants!$H84*FracLEACHMM*MMLeachEF*NtoN2O*kgtoGg)</f>
        <v>-4.7884202636879142E-3</v>
      </c>
      <c r="AS1053" s="101">
        <f>IF('Net zero activities &amp; levers'!$C$12="Off",Constants!$H66*'Activity data'!BL8*Constants!$H84*FracLEACHMM*MMLeachEF*NtoN2O*kgtoGg,Constants!$H66*'Net zero Activity data'!BL8*Constants!$H84*FracLEACHMM*MMLeachEF*NtoN2O*kgtoGg)</f>
        <v>-4.6867985813226392E-3</v>
      </c>
      <c r="AT1053" s="101">
        <f>IF('Net zero activities &amp; levers'!$C$12="Off",Constants!$H66*'Activity data'!BM8*Constants!$H84*FracLEACHMM*MMLeachEF*NtoN2O*kgtoGg,Constants!$H66*'Net zero Activity data'!BM8*Constants!$H84*FracLEACHMM*MMLeachEF*NtoN2O*kgtoGg)</f>
        <v>-4.5865743266878378E-3</v>
      </c>
      <c r="AU1053" s="101">
        <f>IF('Net zero activities &amp; levers'!$C$12="Off",Constants!$H66*'Activity data'!BN8*Constants!$H84*FracLEACHMM*MMLeachEF*NtoN2O*kgtoGg,Constants!$H66*'Net zero Activity data'!BN8*Constants!$H84*FracLEACHMM*MMLeachEF*NtoN2O*kgtoGg)</f>
        <v>-4.4876925271481486E-3</v>
      </c>
      <c r="AV1053" s="101">
        <f>IF('Net zero activities &amp; levers'!$C$12="Off",Constants!$H66*'Activity data'!BO8*Constants!$H84*FracLEACHMM*MMLeachEF*NtoN2O*kgtoGg,Constants!$H66*'Net zero Activity data'!BO8*Constants!$H84*FracLEACHMM*MMLeachEF*NtoN2O*kgtoGg)</f>
        <v>-4.3901012986055903E-3</v>
      </c>
      <c r="AW1053" s="101">
        <f>IF('Net zero activities &amp; levers'!$C$12="Off",Constants!$H66*'Activity data'!BP8*Constants!$H84*FracLEACHMM*MMLeachEF*NtoN2O*kgtoGg,Constants!$H66*'Net zero Activity data'!BP8*Constants!$H84*FracLEACHMM*MMLeachEF*NtoN2O*kgtoGg)</f>
        <v>-4.2937516147018842E-3</v>
      </c>
      <c r="AY1053" s="85"/>
      <c r="AZ1053" s="85"/>
    </row>
    <row r="1054" spans="1:52" x14ac:dyDescent="0.25">
      <c r="A1054" s="102" t="str">
        <f t="shared" si="345"/>
        <v>DS MM Leaching</v>
      </c>
      <c r="B1054" s="102" t="s">
        <v>975</v>
      </c>
      <c r="C1054" s="102" t="s">
        <v>1334</v>
      </c>
      <c r="D1054" t="s">
        <v>369</v>
      </c>
      <c r="E1054" t="s">
        <v>64</v>
      </c>
      <c r="F1054" t="s">
        <v>63</v>
      </c>
      <c r="G1054" t="s">
        <v>1161</v>
      </c>
      <c r="H1054" t="s">
        <v>1311</v>
      </c>
      <c r="I1054" t="s">
        <v>139</v>
      </c>
      <c r="J1054" t="s">
        <v>287</v>
      </c>
      <c r="K1054" s="101">
        <f>IF('Net zero activities &amp; levers'!$C$12="Off",Constants!$H67*'Activity data'!AD9*Constants!$H85*FracLEACHMM*MMLeachEF*NtoN2O*kgtoGg,Constants!$H67*'Net zero Activity data'!AD9*Constants!$H85*FracLEACHMM*MMLeachEF*NtoN2O*kgtoGg)</f>
        <v>4.0580733454567468E-2</v>
      </c>
      <c r="L1054" s="101">
        <f>IF('Net zero activities &amp; levers'!$C$12="Off",Constants!$H67*'Activity data'!AE9*Constants!$H85*FracLEACHMM*MMLeachEF*NtoN2O*kgtoGg,Constants!$H67*'Net zero Activity data'!AE9*Constants!$H85*FracLEACHMM*MMLeachEF*NtoN2O*kgtoGg)</f>
        <v>4.0311746583363478E-2</v>
      </c>
      <c r="M1054" s="101">
        <f>IF('Net zero activities &amp; levers'!$C$12="Off",Constants!$H67*'Activity data'!AF9*Constants!$H85*FracLEACHMM*MMLeachEF*NtoN2O*kgtoGg,Constants!$H67*'Net zero Activity data'!AF9*Constants!$H85*FracLEACHMM*MMLeachEF*NtoN2O*kgtoGg)</f>
        <v>3.9744605790940746E-2</v>
      </c>
      <c r="N1054" s="101">
        <f>IF('Net zero activities &amp; levers'!$C$12="Off",Constants!$H67*'Activity data'!AG9*Constants!$H85*FracLEACHMM*MMLeachEF*NtoN2O*kgtoGg,Constants!$H67*'Net zero Activity data'!AG9*Constants!$H85*FracLEACHMM*MMLeachEF*NtoN2O*kgtoGg)</f>
        <v>3.8788611390847182E-2</v>
      </c>
      <c r="O1054" s="101">
        <f>IF('Net zero activities &amp; levers'!$C$12="Off",Constants!$H67*'Activity data'!AH9*Constants!$H85*FracLEACHMM*MMLeachEF*NtoN2O*kgtoGg,Constants!$H67*'Net zero Activity data'!AH9*Constants!$H85*FracLEACHMM*MMLeachEF*NtoN2O*kgtoGg)</f>
        <v>3.7861082435793565E-2</v>
      </c>
      <c r="P1054" s="101">
        <f>IF('Net zero activities &amp; levers'!$C$12="Off",Constants!$H67*'Activity data'!AI9*Constants!$H85*FracLEACHMM*MMLeachEF*NtoN2O*kgtoGg,Constants!$H67*'Net zero Activity data'!AI9*Constants!$H85*FracLEACHMM*MMLeachEF*NtoN2O*kgtoGg)</f>
        <v>3.7147682485472483E-2</v>
      </c>
      <c r="Q1054" s="101">
        <f>IF('Net zero activities &amp; levers'!$C$12="Off",Constants!$H67*'Activity data'!AJ9*Constants!$H85*FracLEACHMM*MMLeachEF*NtoN2O*kgtoGg,Constants!$H67*'Net zero Activity data'!AJ9*Constants!$H85*FracLEACHMM*MMLeachEF*NtoN2O*kgtoGg)</f>
        <v>3.6502406738108395E-2</v>
      </c>
      <c r="R1054" s="101">
        <f>IF('Net zero activities &amp; levers'!$C$12="Off",Constants!$H67*'Activity data'!AK9*Constants!$H85*FracLEACHMM*MMLeachEF*NtoN2O*kgtoGg,Constants!$H67*'Net zero Activity data'!AK9*Constants!$H85*FracLEACHMM*MMLeachEF*NtoN2O*kgtoGg)</f>
        <v>3.5487867477892406E-2</v>
      </c>
      <c r="S1054" s="101">
        <f>IF('Net zero activities &amp; levers'!$C$12="Off",Constants!$H67*'Activity data'!AL9*Constants!$H85*FracLEACHMM*MMLeachEF*NtoN2O*kgtoGg,Constants!$H67*'Net zero Activity data'!AL9*Constants!$H85*FracLEACHMM*MMLeachEF*NtoN2O*kgtoGg)</f>
        <v>3.1125010829260641E-2</v>
      </c>
      <c r="T1054" s="101">
        <f>IF('Net zero activities &amp; levers'!$C$12="Off",Constants!$H67*'Activity data'!AM9*Constants!$H85*FracLEACHMM*MMLeachEF*NtoN2O*kgtoGg,Constants!$H67*'Net zero Activity data'!AM9*Constants!$H85*FracLEACHMM*MMLeachEF*NtoN2O*kgtoGg)</f>
        <v>3.142168208698979E-2</v>
      </c>
      <c r="U1054" s="101">
        <f>IF('Net zero activities &amp; levers'!$C$12="Off",Constants!$H67*'Activity data'!AN9*Constants!$H85*FracLEACHMM*MMLeachEF*NtoN2O*kgtoGg,Constants!$H67*'Net zero Activity data'!AN9*Constants!$H85*FracLEACHMM*MMLeachEF*NtoN2O*kgtoGg)</f>
        <v>3.1622431452723296E-2</v>
      </c>
      <c r="V1054" s="101">
        <f>IF('Net zero activities &amp; levers'!$C$12="Off",Constants!$H67*'Activity data'!AO9*Constants!$H85*FracLEACHMM*MMLeachEF*NtoN2O*kgtoGg,Constants!$H67*'Net zero Activity data'!AO9*Constants!$H85*FracLEACHMM*MMLeachEF*NtoN2O*kgtoGg)</f>
        <v>3.1816651303909434E-2</v>
      </c>
      <c r="W1054" s="101">
        <f>IF('Net zero activities &amp; levers'!$C$12="Off",Constants!$H67*'Activity data'!AP9*Constants!$H85*FracLEACHMM*MMLeachEF*NtoN2O*kgtoGg,Constants!$H67*'Net zero Activity data'!AP9*Constants!$H85*FracLEACHMM*MMLeachEF*NtoN2O*kgtoGg)</f>
        <v>3.2137844222959386E-2</v>
      </c>
      <c r="X1054" s="101">
        <f>IF('Net zero activities &amp; levers'!$C$12="Off",Constants!$H67*'Activity data'!AQ9*Constants!$H85*FracLEACHMM*MMLeachEF*NtoN2O*kgtoGg,Constants!$H67*'Net zero Activity data'!AQ9*Constants!$H85*FracLEACHMM*MMLeachEF*NtoN2O*kgtoGg)</f>
        <v>3.2448451411812178E-2</v>
      </c>
      <c r="Y1054" s="101">
        <f>IF('Net zero activities &amp; levers'!$C$12="Off",Constants!$H67*'Activity data'!AR9*Constants!$H85*FracLEACHMM*MMLeachEF*NtoN2O*kgtoGg,Constants!$H67*'Net zero Activity data'!AR9*Constants!$H85*FracLEACHMM*MMLeachEF*NtoN2O*kgtoGg)</f>
        <v>3.2774542336637791E-2</v>
      </c>
      <c r="Z1054" s="101">
        <f>IF('Net zero activities &amp; levers'!$C$12="Off",Constants!$H67*'Activity data'!AS9*Constants!$H85*FracLEACHMM*MMLeachEF*NtoN2O*kgtoGg,Constants!$H67*'Net zero Activity data'!AS9*Constants!$H85*FracLEACHMM*MMLeachEF*NtoN2O*kgtoGg)</f>
        <v>3.3058433327300053E-2</v>
      </c>
      <c r="AA1054" s="101">
        <f>IF('Net zero activities &amp; levers'!$C$12="Off",Constants!$H67*'Activity data'!AT9*Constants!$H85*FracLEACHMM*MMLeachEF*NtoN2O*kgtoGg,Constants!$H67*'Net zero Activity data'!AT9*Constants!$H85*FracLEACHMM*MMLeachEF*NtoN2O*kgtoGg)</f>
        <v>3.3381539771041358E-2</v>
      </c>
      <c r="AB1054" s="101">
        <f>IF('Net zero activities &amp; levers'!$C$12="Off",Constants!$H67*'Activity data'!AU9*Constants!$H85*FracLEACHMM*MMLeachEF*NtoN2O*kgtoGg,Constants!$H67*'Net zero Activity data'!AU9*Constants!$H85*FracLEACHMM*MMLeachEF*NtoN2O*kgtoGg)</f>
        <v>3.3634381510714434E-2</v>
      </c>
      <c r="AC1054" s="101">
        <f>IF('Net zero activities &amp; levers'!$C$12="Off",Constants!$H67*'Activity data'!AV9*Constants!$H85*FracLEACHMM*MMLeachEF*NtoN2O*kgtoGg,Constants!$H67*'Net zero Activity data'!AV9*Constants!$H85*FracLEACHMM*MMLeachEF*NtoN2O*kgtoGg)</f>
        <v>3.3894160803021843E-2</v>
      </c>
      <c r="AD1054" s="101">
        <f>IF('Net zero activities &amp; levers'!$C$12="Off",Constants!$H67*'Activity data'!AW9*Constants!$H85*FracLEACHMM*MMLeachEF*NtoN2O*kgtoGg,Constants!$H67*'Net zero Activity data'!AW9*Constants!$H85*FracLEACHMM*MMLeachEF*NtoN2O*kgtoGg)</f>
        <v>3.4015156495653814E-2</v>
      </c>
      <c r="AE1054" s="101">
        <f>IF('Net zero activities &amp; levers'!$C$12="Off",Constants!$H67*'Activity data'!AX9*Constants!$H85*FracLEACHMM*MMLeachEF*NtoN2O*kgtoGg,Constants!$H67*'Net zero Activity data'!AX9*Constants!$H85*FracLEACHMM*MMLeachEF*NtoN2O*kgtoGg)</f>
        <v>3.4181066138741563E-2</v>
      </c>
      <c r="AF1054" s="101">
        <f>IF('Net zero activities &amp; levers'!$C$12="Off",Constants!$H67*'Activity data'!AY9*Constants!$H85*FracLEACHMM*MMLeachEF*NtoN2O*kgtoGg,Constants!$H67*'Net zero Activity data'!AY9*Constants!$H85*FracLEACHMM*MMLeachEF*NtoN2O*kgtoGg)</f>
        <v>3.4346335475930106E-2</v>
      </c>
      <c r="AG1054" s="101">
        <f>IF('Net zero activities &amp; levers'!$C$12="Off",Constants!$H67*'Activity data'!AZ9*Constants!$H85*FracLEACHMM*MMLeachEF*NtoN2O*kgtoGg,Constants!$H67*'Net zero Activity data'!AZ9*Constants!$H85*FracLEACHMM*MMLeachEF*NtoN2O*kgtoGg)</f>
        <v>3.3617918659748287E-2</v>
      </c>
      <c r="AH1054" s="101">
        <f>IF('Net zero activities &amp; levers'!$C$12="Off",Constants!$H67*'Activity data'!BA9*Constants!$H85*FracLEACHMM*MMLeachEF*NtoN2O*kgtoGg,Constants!$H67*'Net zero Activity data'!BA9*Constants!$H85*FracLEACHMM*MMLeachEF*NtoN2O*kgtoGg)</f>
        <v>-7.9300020196454452E-3</v>
      </c>
      <c r="AI1054" s="101">
        <f>IF('Net zero activities &amp; levers'!$C$12="Off",Constants!$H67*'Activity data'!BB9*Constants!$H85*FracLEACHMM*MMLeachEF*NtoN2O*kgtoGg,Constants!$H67*'Net zero Activity data'!BB9*Constants!$H85*FracLEACHMM*MMLeachEF*NtoN2O*kgtoGg)</f>
        <v>-7.7460535532195693E-3</v>
      </c>
      <c r="AJ1054" s="101">
        <f>IF('Net zero activities &amp; levers'!$C$12="Off",Constants!$H67*'Activity data'!BC9*Constants!$H85*FracLEACHMM*MMLeachEF*NtoN2O*kgtoGg,Constants!$H67*'Net zero Activity data'!BC9*Constants!$H85*FracLEACHMM*MMLeachEF*NtoN2O*kgtoGg)</f>
        <v>-7.565030444680417E-3</v>
      </c>
      <c r="AK1054" s="101">
        <f>IF('Net zero activities &amp; levers'!$C$12="Off",Constants!$H67*'Activity data'!BD9*Constants!$H85*FracLEACHMM*MMLeachEF*NtoN2O*kgtoGg,Constants!$H67*'Net zero Activity data'!BD9*Constants!$H85*FracLEACHMM*MMLeachEF*NtoN2O*kgtoGg)</f>
        <v>-7.3867794794456746E-3</v>
      </c>
      <c r="AL1054" s="101">
        <f>IF('Net zero activities &amp; levers'!$C$12="Off",Constants!$H67*'Activity data'!BE9*Constants!$H85*FracLEACHMM*MMLeachEF*NtoN2O*kgtoGg,Constants!$H67*'Net zero Activity data'!BE9*Constants!$H85*FracLEACHMM*MMLeachEF*NtoN2O*kgtoGg)</f>
        <v>-7.211158035573738E-3</v>
      </c>
      <c r="AM1054" s="101">
        <f>IF('Net zero activities &amp; levers'!$C$12="Off",Constants!$H67*'Activity data'!BF9*Constants!$H85*FracLEACHMM*MMLeachEF*NtoN2O*kgtoGg,Constants!$H67*'Net zero Activity data'!BF9*Constants!$H85*FracLEACHMM*MMLeachEF*NtoN2O*kgtoGg)</f>
        <v>-7.038033102205285E-3</v>
      </c>
      <c r="AN1054" s="101">
        <f>IF('Net zero activities &amp; levers'!$C$12="Off",Constants!$H67*'Activity data'!BG9*Constants!$H85*FracLEACHMM*MMLeachEF*NtoN2O*kgtoGg,Constants!$H67*'Net zero Activity data'!BG9*Constants!$H85*FracLEACHMM*MMLeachEF*NtoN2O*kgtoGg)</f>
        <v>-6.8976679438577443E-3</v>
      </c>
      <c r="AO1054" s="101">
        <f>IF('Net zero activities &amp; levers'!$C$12="Off",Constants!$H67*'Activity data'!BH9*Constants!$H85*FracLEACHMM*MMLeachEF*NtoN2O*kgtoGg,Constants!$H67*'Net zero Activity data'!BH9*Constants!$H85*FracLEACHMM*MMLeachEF*NtoN2O*kgtoGg)</f>
        <v>-6.7594228316927426E-3</v>
      </c>
      <c r="AP1054" s="101">
        <f>IF('Net zero activities &amp; levers'!$C$12="Off",Constants!$H67*'Activity data'!BI9*Constants!$H85*FracLEACHMM*MMLeachEF*NtoN2O*kgtoGg,Constants!$H67*'Net zero Activity data'!BI9*Constants!$H85*FracLEACHMM*MMLeachEF*NtoN2O*kgtoGg)</f>
        <v>-6.6232016957272714E-3</v>
      </c>
      <c r="AQ1054" s="101">
        <f>IF('Net zero activities &amp; levers'!$C$12="Off",Constants!$H67*'Activity data'!BJ9*Constants!$H85*FracLEACHMM*MMLeachEF*NtoN2O*kgtoGg,Constants!$H67*'Net zero Activity data'!BJ9*Constants!$H85*FracLEACHMM*MMLeachEF*NtoN2O*kgtoGg)</f>
        <v>-6.4889144410352007E-3</v>
      </c>
      <c r="AR1054" s="101">
        <f>IF('Net zero activities &amp; levers'!$C$12="Off",Constants!$H67*'Activity data'!BK9*Constants!$H85*FracLEACHMM*MMLeachEF*NtoN2O*kgtoGg,Constants!$H67*'Net zero Activity data'!BK9*Constants!$H85*FracLEACHMM*MMLeachEF*NtoN2O*kgtoGg)</f>
        <v>-6.3564764523163604E-3</v>
      </c>
      <c r="AS1054" s="101">
        <f>IF('Net zero activities &amp; levers'!$C$12="Off",Constants!$H67*'Activity data'!BL9*Constants!$H85*FracLEACHMM*MMLeachEF*NtoN2O*kgtoGg,Constants!$H67*'Net zero Activity data'!BL9*Constants!$H85*FracLEACHMM*MMLeachEF*NtoN2O*kgtoGg)</f>
        <v>-6.2215768830579691E-3</v>
      </c>
      <c r="AT1054" s="101">
        <f>IF('Net zero activities &amp; levers'!$C$12="Off",Constants!$H67*'Activity data'!BM9*Constants!$H85*FracLEACHMM*MMLeachEF*NtoN2O*kgtoGg,Constants!$H67*'Net zero Activity data'!BM9*Constants!$H85*FracLEACHMM*MMLeachEF*NtoN2O*kgtoGg)</f>
        <v>-6.0885323549140658E-3</v>
      </c>
      <c r="AU1054" s="101">
        <f>IF('Net zero activities &amp; levers'!$C$12="Off",Constants!$H67*'Activity data'!BN9*Constants!$H85*FracLEACHMM*MMLeachEF*NtoN2O*kgtoGg,Constants!$H67*'Net zero Activity data'!BN9*Constants!$H85*FracLEACHMM*MMLeachEF*NtoN2O*kgtoGg)</f>
        <v>-5.9572698934498708E-3</v>
      </c>
      <c r="AV1054" s="101">
        <f>IF('Net zero activities &amp; levers'!$C$12="Off",Constants!$H67*'Activity data'!BO9*Constants!$H85*FracLEACHMM*MMLeachEF*NtoN2O*kgtoGg,Constants!$H67*'Net zero Activity data'!BO9*Constants!$H85*FracLEACHMM*MMLeachEF*NtoN2O*kgtoGg)</f>
        <v>-5.8277206241663026E-3</v>
      </c>
      <c r="AW1054" s="101">
        <f>IF('Net zero activities &amp; levers'!$C$12="Off",Constants!$H67*'Activity data'!BP9*Constants!$H85*FracLEACHMM*MMLeachEF*NtoN2O*kgtoGg,Constants!$H67*'Net zero Activity data'!BP9*Constants!$H85*FracLEACHMM*MMLeachEF*NtoN2O*kgtoGg)</f>
        <v>-5.6998194661233492E-3</v>
      </c>
      <c r="AY1054" s="85"/>
      <c r="AZ1054" s="85"/>
    </row>
    <row r="1055" spans="1:52" x14ac:dyDescent="0.25">
      <c r="A1055" s="102" t="str">
        <f t="shared" si="345"/>
        <v>DS MM Leaching</v>
      </c>
      <c r="B1055" s="102" t="s">
        <v>975</v>
      </c>
      <c r="C1055" s="102" t="s">
        <v>1334</v>
      </c>
      <c r="D1055" t="s">
        <v>369</v>
      </c>
      <c r="E1055" t="s">
        <v>64</v>
      </c>
      <c r="F1055" t="s">
        <v>63</v>
      </c>
      <c r="G1055" t="s">
        <v>1163</v>
      </c>
      <c r="H1055" t="s">
        <v>1312</v>
      </c>
      <c r="I1055" t="s">
        <v>139</v>
      </c>
      <c r="J1055" t="s">
        <v>287</v>
      </c>
      <c r="K1055" s="101">
        <f>IF('Net zero activities &amp; levers'!$C$12="Off",Constants!$H68*'Activity data'!AD10*Constants!$H86*FracLEACHMM*MMLeachEF*NtoN2O*kgtoGg,Constants!$H68*'Net zero Activity data'!AD10*Constants!$H86*FracLEACHMM*MMLeachEF*NtoN2O*kgtoGg)</f>
        <v>4.2198184999711216E-2</v>
      </c>
      <c r="L1055" s="101">
        <f>IF('Net zero activities &amp; levers'!$C$12="Off",Constants!$H68*'Activity data'!AE10*Constants!$H86*FracLEACHMM*MMLeachEF*NtoN2O*kgtoGg,Constants!$H68*'Net zero Activity data'!AE10*Constants!$H86*FracLEACHMM*MMLeachEF*NtoN2O*kgtoGg)</f>
        <v>4.3701080723593189E-2</v>
      </c>
      <c r="M1055" s="101">
        <f>IF('Net zero activities &amp; levers'!$C$12="Off",Constants!$H68*'Activity data'!AF10*Constants!$H86*FracLEACHMM*MMLeachEF*NtoN2O*kgtoGg,Constants!$H68*'Net zero Activity data'!AF10*Constants!$H86*FracLEACHMM*MMLeachEF*NtoN2O*kgtoGg)</f>
        <v>4.4893970631746632E-2</v>
      </c>
      <c r="N1055" s="101">
        <f>IF('Net zero activities &amp; levers'!$C$12="Off",Constants!$H68*'Activity data'!AG10*Constants!$H86*FracLEACHMM*MMLeachEF*NtoN2O*kgtoGg,Constants!$H68*'Net zero Activity data'!AG10*Constants!$H86*FracLEACHMM*MMLeachEF*NtoN2O*kgtoGg)</f>
        <v>4.5631666148342777E-2</v>
      </c>
      <c r="O1055" s="101">
        <f>IF('Net zero activities &amp; levers'!$C$12="Off",Constants!$H68*'Activity data'!AH10*Constants!$H86*FracLEACHMM*MMLeachEF*NtoN2O*kgtoGg,Constants!$H68*'Net zero Activity data'!AH10*Constants!$H86*FracLEACHMM*MMLeachEF*NtoN2O*kgtoGg)</f>
        <v>4.6370901653410727E-2</v>
      </c>
      <c r="P1055" s="101">
        <f>IF('Net zero activities &amp; levers'!$C$12="Off",Constants!$H68*'Activity data'!AI10*Constants!$H86*FracLEACHMM*MMLeachEF*NtoN2O*kgtoGg,Constants!$H68*'Net zero Activity data'!AI10*Constants!$H86*FracLEACHMM*MMLeachEF*NtoN2O*kgtoGg)</f>
        <v>4.7352594214128713E-2</v>
      </c>
      <c r="Q1055" s="101">
        <f>IF('Net zero activities &amp; levers'!$C$12="Off",Constants!$H68*'Activity data'!AJ10*Constants!$H86*FracLEACHMM*MMLeachEF*NtoN2O*kgtoGg,Constants!$H68*'Net zero Activity data'!AJ10*Constants!$H86*FracLEACHMM*MMLeachEF*NtoN2O*kgtoGg)</f>
        <v>4.8416104778857959E-2</v>
      </c>
      <c r="R1055" s="101">
        <f>IF('Net zero activities &amp; levers'!$C$12="Off",Constants!$H68*'Activity data'!AK10*Constants!$H86*FracLEACHMM*MMLeachEF*NtoN2O*kgtoGg,Constants!$H68*'Net zero Activity data'!AK10*Constants!$H86*FracLEACHMM*MMLeachEF*NtoN2O*kgtoGg)</f>
        <v>4.8969568240860781E-2</v>
      </c>
      <c r="S1055" s="101">
        <f>IF('Net zero activities &amp; levers'!$C$12="Off",Constants!$H68*'Activity data'!AL10*Constants!$H86*FracLEACHMM*MMLeachEF*NtoN2O*kgtoGg,Constants!$H68*'Net zero Activity data'!AL10*Constants!$H86*FracLEACHMM*MMLeachEF*NtoN2O*kgtoGg)</f>
        <v>4.467643167473432E-2</v>
      </c>
      <c r="T1055" s="101">
        <f>IF('Net zero activities &amp; levers'!$C$12="Off",Constants!$H68*'Activity data'!AM10*Constants!$H86*FracLEACHMM*MMLeachEF*NtoN2O*kgtoGg,Constants!$H68*'Net zero Activity data'!AM10*Constants!$H86*FracLEACHMM*MMLeachEF*NtoN2O*kgtoGg)</f>
        <v>4.6180091777624298E-2</v>
      </c>
      <c r="U1055" s="101">
        <f>IF('Net zero activities &amp; levers'!$C$12="Off",Constants!$H68*'Activity data'!AN10*Constants!$H86*FracLEACHMM*MMLeachEF*NtoN2O*kgtoGg,Constants!$H68*'Net zero Activity data'!AN10*Constants!$H86*FracLEACHMM*MMLeachEF*NtoN2O*kgtoGg)</f>
        <v>4.7570527161609366E-2</v>
      </c>
      <c r="V1055" s="101">
        <f>IF('Net zero activities &amp; levers'!$C$12="Off",Constants!$H68*'Activity data'!AO10*Constants!$H86*FracLEACHMM*MMLeachEF*NtoN2O*kgtoGg,Constants!$H68*'Net zero Activity data'!AO10*Constants!$H86*FracLEACHMM*MMLeachEF*NtoN2O*kgtoGg)</f>
        <v>4.8976478875928542E-2</v>
      </c>
      <c r="W1055" s="101">
        <f>IF('Net zero activities &amp; levers'!$C$12="Off",Constants!$H68*'Activity data'!AP10*Constants!$H86*FracLEACHMM*MMLeachEF*NtoN2O*kgtoGg,Constants!$H68*'Net zero Activity data'!AP10*Constants!$H86*FracLEACHMM*MMLeachEF*NtoN2O*kgtoGg)</f>
        <v>5.0608575947889443E-2</v>
      </c>
      <c r="X1055" s="101">
        <f>IF('Net zero activities &amp; levers'!$C$12="Off",Constants!$H68*'Activity data'!AQ10*Constants!$H86*FracLEACHMM*MMLeachEF*NtoN2O*kgtoGg,Constants!$H68*'Net zero Activity data'!AQ10*Constants!$H86*FracLEACHMM*MMLeachEF*NtoN2O*kgtoGg)</f>
        <v>5.2259990749301093E-2</v>
      </c>
      <c r="Y1055" s="101">
        <f>IF('Net zero activities &amp; levers'!$C$12="Off",Constants!$H68*'Activity data'!AR10*Constants!$H86*FracLEACHMM*MMLeachEF*NtoN2O*kgtoGg,Constants!$H68*'Net zero Activity data'!AR10*Constants!$H86*FracLEACHMM*MMLeachEF*NtoN2O*kgtoGg)</f>
        <v>5.3973742651481194E-2</v>
      </c>
      <c r="Z1055" s="101">
        <f>IF('Net zero activities &amp; levers'!$C$12="Off",Constants!$H68*'Activity data'!AS10*Constants!$H86*FracLEACHMM*MMLeachEF*NtoN2O*kgtoGg,Constants!$H68*'Net zero Activity data'!AS10*Constants!$H86*FracLEACHMM*MMLeachEF*NtoN2O*kgtoGg)</f>
        <v>5.5655662348968654E-2</v>
      </c>
      <c r="AA1055" s="101">
        <f>IF('Net zero activities &amp; levers'!$C$12="Off",Constants!$H68*'Activity data'!AT10*Constants!$H86*FracLEACHMM*MMLeachEF*NtoN2O*kgtoGg,Constants!$H68*'Net zero Activity data'!AT10*Constants!$H86*FracLEACHMM*MMLeachEF*NtoN2O*kgtoGg)</f>
        <v>5.7442412303445836E-2</v>
      </c>
      <c r="AB1055" s="101">
        <f>IF('Net zero activities &amp; levers'!$C$12="Off",Constants!$H68*'Activity data'!AU10*Constants!$H86*FracLEACHMM*MMLeachEF*NtoN2O*kgtoGg,Constants!$H68*'Net zero Activity data'!AU10*Constants!$H86*FracLEACHMM*MMLeachEF*NtoN2O*kgtoGg)</f>
        <v>5.9147142754678653E-2</v>
      </c>
      <c r="AC1055" s="101">
        <f>IF('Net zero activities &amp; levers'!$C$12="Off",Constants!$H68*'Activity data'!AV10*Constants!$H86*FracLEACHMM*MMLeachEF*NtoN2O*kgtoGg,Constants!$H68*'Net zero Activity data'!AV10*Constants!$H86*FracLEACHMM*MMLeachEF*NtoN2O*kgtoGg)</f>
        <v>6.0901819824646548E-2</v>
      </c>
      <c r="AD1055" s="101">
        <f>IF('Net zero activities &amp; levers'!$C$12="Off",Constants!$H68*'Activity data'!AW10*Constants!$H86*FracLEACHMM*MMLeachEF*NtoN2O*kgtoGg,Constants!$H68*'Net zero Activity data'!AW10*Constants!$H86*FracLEACHMM*MMLeachEF*NtoN2O*kgtoGg)</f>
        <v>6.3135419327645992E-2</v>
      </c>
      <c r="AE1055" s="101">
        <f>IF('Net zero activities &amp; levers'!$C$12="Off",Constants!$H68*'Activity data'!AX10*Constants!$H86*FracLEACHMM*MMLeachEF*NtoN2O*kgtoGg,Constants!$H68*'Net zero Activity data'!AX10*Constants!$H86*FracLEACHMM*MMLeachEF*NtoN2O*kgtoGg)</f>
        <v>6.5540351764294846E-2</v>
      </c>
      <c r="AF1055" s="101">
        <f>IF('Net zero activities &amp; levers'!$C$12="Off",Constants!$H68*'Activity data'!AY10*Constants!$H86*FracLEACHMM*MMLeachEF*NtoN2O*kgtoGg,Constants!$H68*'Net zero Activity data'!AY10*Constants!$H86*FracLEACHMM*MMLeachEF*NtoN2O*kgtoGg)</f>
        <v>6.8039701590190294E-2</v>
      </c>
      <c r="AG1055" s="101">
        <f>IF('Net zero activities &amp; levers'!$C$12="Off",Constants!$H68*'Activity data'!AZ10*Constants!$H86*FracLEACHMM*MMLeachEF*NtoN2O*kgtoGg,Constants!$H68*'Net zero Activity data'!AZ10*Constants!$H86*FracLEACHMM*MMLeachEF*NtoN2O*kgtoGg)</f>
        <v>6.8810814245314753E-2</v>
      </c>
      <c r="AH1055" s="101">
        <f>IF('Net zero activities &amp; levers'!$C$12="Off",Constants!$H68*'Activity data'!BA10*Constants!$H86*FracLEACHMM*MMLeachEF*NtoN2O*kgtoGg,Constants!$H68*'Net zero Activity data'!BA10*Constants!$H86*FracLEACHMM*MMLeachEF*NtoN2O*kgtoGg)</f>
        <v>-1.6773235166111743E-2</v>
      </c>
      <c r="AI1055" s="101">
        <f>IF('Net zero activities &amp; levers'!$C$12="Off",Constants!$H68*'Activity data'!BB10*Constants!$H86*FracLEACHMM*MMLeachEF*NtoN2O*kgtoGg,Constants!$H68*'Net zero Activity data'!BB10*Constants!$H86*FracLEACHMM*MMLeachEF*NtoN2O*kgtoGg)</f>
        <v>-1.6933400933561566E-2</v>
      </c>
      <c r="AJ1055" s="101">
        <f>IF('Net zero activities &amp; levers'!$C$12="Off",Constants!$H68*'Activity data'!BC10*Constants!$H86*FracLEACHMM*MMLeachEF*NtoN2O*kgtoGg,Constants!$H68*'Net zero Activity data'!BC10*Constants!$H86*FracLEACHMM*MMLeachEF*NtoN2O*kgtoGg)</f>
        <v>-1.7094868952670969E-2</v>
      </c>
      <c r="AK1055" s="101">
        <f>IF('Net zero activities &amp; levers'!$C$12="Off",Constants!$H68*'Activity data'!BD10*Constants!$H86*FracLEACHMM*MMLeachEF*NtoN2O*kgtoGg,Constants!$H68*'Net zero Activity data'!BD10*Constants!$H86*FracLEACHMM*MMLeachEF*NtoN2O*kgtoGg)</f>
        <v>-1.7257651547387617E-2</v>
      </c>
      <c r="AL1055" s="101">
        <f>IF('Net zero activities &amp; levers'!$C$12="Off",Constants!$H68*'Activity data'!BE10*Constants!$H86*FracLEACHMM*MMLeachEF*NtoN2O*kgtoGg,Constants!$H68*'Net zero Activity data'!BE10*Constants!$H86*FracLEACHMM*MMLeachEF*NtoN2O*kgtoGg)</f>
        <v>-1.7421761152310457E-2</v>
      </c>
      <c r="AM1055" s="101">
        <f>IF('Net zero activities &amp; levers'!$C$12="Off",Constants!$H68*'Activity data'!BF10*Constants!$H86*FracLEACHMM*MMLeachEF*NtoN2O*kgtoGg,Constants!$H68*'Net zero Activity data'!BF10*Constants!$H86*FracLEACHMM*MMLeachEF*NtoN2O*kgtoGg)</f>
        <v>-1.7587210313649345E-2</v>
      </c>
      <c r="AN1055" s="101">
        <f>IF('Net zero activities &amp; levers'!$C$12="Off",Constants!$H68*'Activity data'!BG10*Constants!$H86*FracLEACHMM*MMLeachEF*NtoN2O*kgtoGg,Constants!$H68*'Net zero Activity data'!BG10*Constants!$H86*FracLEACHMM*MMLeachEF*NtoN2O*kgtoGg)</f>
        <v>-1.7719984819695212E-2</v>
      </c>
      <c r="AO1055" s="101">
        <f>IF('Net zero activities &amp; levers'!$C$12="Off",Constants!$H68*'Activity data'!BH10*Constants!$H86*FracLEACHMM*MMLeachEF*NtoN2O*kgtoGg,Constants!$H68*'Net zero Activity data'!BH10*Constants!$H86*FracLEACHMM*MMLeachEF*NtoN2O*kgtoGg)</f>
        <v>-1.7853675202067487E-2</v>
      </c>
      <c r="AP1055" s="101">
        <f>IF('Net zero activities &amp; levers'!$C$12="Off",Constants!$H68*'Activity data'!BI10*Constants!$H86*FracLEACHMM*MMLeachEF*NtoN2O*kgtoGg,Constants!$H68*'Net zero Activity data'!BI10*Constants!$H86*FracLEACHMM*MMLeachEF*NtoN2O*kgtoGg)</f>
        <v>-1.7988288709386402E-2</v>
      </c>
      <c r="AQ1055" s="101">
        <f>IF('Net zero activities &amp; levers'!$C$12="Off",Constants!$H68*'Activity data'!BJ10*Constants!$H86*FracLEACHMM*MMLeachEF*NtoN2O*kgtoGg,Constants!$H68*'Net zero Activity data'!BJ10*Constants!$H86*FracLEACHMM*MMLeachEF*NtoN2O*kgtoGg)</f>
        <v>-1.8123832644983004E-2</v>
      </c>
      <c r="AR1055" s="101">
        <f>IF('Net zero activities &amp; levers'!$C$12="Off",Constants!$H68*'Activity data'!BK10*Constants!$H86*FracLEACHMM*MMLeachEF*NtoN2O*kgtoGg,Constants!$H68*'Net zero Activity data'!BK10*Constants!$H86*FracLEACHMM*MMLeachEF*NtoN2O*kgtoGg)</f>
        <v>-1.8260314367299166E-2</v>
      </c>
      <c r="AS1055" s="101">
        <f>IF('Net zero activities &amp; levers'!$C$12="Off",Constants!$H68*'Activity data'!BL10*Constants!$H86*FracLEACHMM*MMLeachEF*NtoN2O*kgtoGg,Constants!$H68*'Net zero Activity data'!BL10*Constants!$H86*FracLEACHMM*MMLeachEF*NtoN2O*kgtoGg)</f>
        <v>-1.8385237574275969E-2</v>
      </c>
      <c r="AT1055" s="101">
        <f>IF('Net zero activities &amp; levers'!$C$12="Off",Constants!$H68*'Activity data'!BM10*Constants!$H86*FracLEACHMM*MMLeachEF*NtoN2O*kgtoGg,Constants!$H68*'Net zero Activity data'!BM10*Constants!$H86*FracLEACHMM*MMLeachEF*NtoN2O*kgtoGg)</f>
        <v>-1.8510879729427106E-2</v>
      </c>
      <c r="AU1055" s="101">
        <f>IF('Net zero activities &amp; levers'!$C$12="Off",Constants!$H68*'Activity data'!BN10*Constants!$H86*FracLEACHMM*MMLeachEF*NtoN2O*kgtoGg,Constants!$H68*'Net zero Activity data'!BN10*Constants!$H86*FracLEACHMM*MMLeachEF*NtoN2O*kgtoGg)</f>
        <v>-1.8637245588774352E-2</v>
      </c>
      <c r="AV1055" s="101">
        <f>IF('Net zero activities &amp; levers'!$C$12="Off",Constants!$H68*'Activity data'!BO10*Constants!$H86*FracLEACHMM*MMLeachEF*NtoN2O*kgtoGg,Constants!$H68*'Net zero Activity data'!BO10*Constants!$H86*FracLEACHMM*MMLeachEF*NtoN2O*kgtoGg)</f>
        <v>-1.8764339938161633E-2</v>
      </c>
      <c r="AW1055" s="101">
        <f>IF('Net zero activities &amp; levers'!$C$12="Off",Constants!$H68*'Activity data'!BP10*Constants!$H86*FracLEACHMM*MMLeachEF*NtoN2O*kgtoGg,Constants!$H68*'Net zero Activity data'!BP10*Constants!$H86*FracLEACHMM*MMLeachEF*NtoN2O*kgtoGg)</f>
        <v>-1.8892167593435472E-2</v>
      </c>
      <c r="AY1055" s="85"/>
      <c r="AZ1055" s="85"/>
    </row>
    <row r="1056" spans="1:52" x14ac:dyDescent="0.25">
      <c r="A1056" s="102" t="str">
        <f t="shared" si="345"/>
        <v>DS MM Leaching</v>
      </c>
      <c r="B1056" s="102" t="s">
        <v>975</v>
      </c>
      <c r="C1056" s="102" t="s">
        <v>1334</v>
      </c>
      <c r="D1056" t="s">
        <v>369</v>
      </c>
      <c r="E1056" t="s">
        <v>64</v>
      </c>
      <c r="F1056" t="s">
        <v>63</v>
      </c>
      <c r="G1056" t="s">
        <v>1165</v>
      </c>
      <c r="H1056" t="s">
        <v>1313</v>
      </c>
      <c r="I1056" t="s">
        <v>139</v>
      </c>
      <c r="J1056" t="s">
        <v>287</v>
      </c>
      <c r="K1056" s="101">
        <f>IF('Net zero activities &amp; levers'!$C$12="Off",Constants!$H69*'Activity data'!AD11*Constants!$H87*FracLEACHMM*MMLeachEF*NtoN2O*kgtoGg,IF('Net zero activities &amp; levers'!$C$12="PB",Constants!$H69*'Activity data'!AD11*Constants!$H87*FracLEACHMM*MMLeachEF*NtoN2O*kgtoGg,IF('Net zero activities &amp; levers'!$C$12="MS",Constants!$H69*'Net zero Activity data'!AD11*Constants!$H87*FracLEACHMM*MMLeachEF*NtoN2O*kgtoGg,"ERROR")))</f>
        <v>4.3944700668161743E-3</v>
      </c>
      <c r="L1056" s="101">
        <f>IF('Net zero activities &amp; levers'!$C$12="Off",Constants!$H69*'Activity data'!AE11*Constants!$H87*FracLEACHMM*MMLeachEF*NtoN2O*kgtoGg,IF('Net zero activities &amp; levers'!$C$12="PB",Constants!$H69*'Activity data'!AE11*Constants!$H87*FracLEACHMM*MMLeachEF*NtoN2O*kgtoGg,IF('Net zero activities &amp; levers'!$C$12="MS",Constants!$H69*'Net zero Activity data'!AE11*Constants!$H87*FracLEACHMM*MMLeachEF*NtoN2O*kgtoGg,"ERROR")))</f>
        <v>4.3968698493422791E-3</v>
      </c>
      <c r="M1056" s="101">
        <f>IF('Net zero activities &amp; levers'!$C$12="Off",Constants!$H69*'Activity data'!AF11*Constants!$H87*FracLEACHMM*MMLeachEF*NtoN2O*kgtoGg,IF('Net zero activities &amp; levers'!$C$12="PB",Constants!$H69*'Activity data'!AF11*Constants!$H87*FracLEACHMM*MMLeachEF*NtoN2O*kgtoGg,IF('Net zero activities &amp; levers'!$C$12="MS",Constants!$H69*'Net zero Activity data'!AF11*Constants!$H87*FracLEACHMM*MMLeachEF*NtoN2O*kgtoGg,"ERROR")))</f>
        <v>4.4022434234010565E-3</v>
      </c>
      <c r="N1056" s="101">
        <f>IF('Net zero activities &amp; levers'!$C$12="Off",Constants!$H69*'Activity data'!AG11*Constants!$H87*FracLEACHMM*MMLeachEF*NtoN2O*kgtoGg,IF('Net zero activities &amp; levers'!$C$12="PB",Constants!$H69*'Activity data'!AG11*Constants!$H87*FracLEACHMM*MMLeachEF*NtoN2O*kgtoGg,IF('Net zero activities &amp; levers'!$C$12="MS",Constants!$H69*'Net zero Activity data'!AG11*Constants!$H87*FracLEACHMM*MMLeachEF*NtoN2O*kgtoGg,"ERROR")))</f>
        <v>4.4103317804749962E-3</v>
      </c>
      <c r="O1056" s="101">
        <f>IF('Net zero activities &amp; levers'!$C$12="Off",Constants!$H69*'Activity data'!AH11*Constants!$H87*FracLEACHMM*MMLeachEF*NtoN2O*kgtoGg,IF('Net zero activities &amp; levers'!$C$12="PB",Constants!$H69*'Activity data'!AH11*Constants!$H87*FracLEACHMM*MMLeachEF*NtoN2O*kgtoGg,IF('Net zero activities &amp; levers'!$C$12="MS",Constants!$H69*'Net zero Activity data'!AH11*Constants!$H87*FracLEACHMM*MMLeachEF*NtoN2O*kgtoGg,"ERROR")))</f>
        <v>4.4212431364047738E-3</v>
      </c>
      <c r="P1056" s="101">
        <f>IF('Net zero activities &amp; levers'!$C$12="Off",Constants!$H69*'Activity data'!AI11*Constants!$H87*FracLEACHMM*MMLeachEF*NtoN2O*kgtoGg,IF('Net zero activities &amp; levers'!$C$12="PB",Constants!$H69*'Activity data'!AI11*Constants!$H87*FracLEACHMM*MMLeachEF*NtoN2O*kgtoGg,IF('Net zero activities &amp; levers'!$C$12="MS",Constants!$H69*'Net zero Activity data'!AI11*Constants!$H87*FracLEACHMM*MMLeachEF*NtoN2O*kgtoGg,"ERROR")))</f>
        <v>4.4349890691963833E-3</v>
      </c>
      <c r="Q1056" s="101">
        <f>IF('Net zero activities &amp; levers'!$C$12="Off",Constants!$H69*'Activity data'!AJ11*Constants!$H87*FracLEACHMM*MMLeachEF*NtoN2O*kgtoGg,IF('Net zero activities &amp; levers'!$C$12="PB",Constants!$H69*'Activity data'!AJ11*Constants!$H87*FracLEACHMM*MMLeachEF*NtoN2O*kgtoGg,IF('Net zero activities &amp; levers'!$C$12="MS",Constants!$H69*'Net zero Activity data'!AJ11*Constants!$H87*FracLEACHMM*MMLeachEF*NtoN2O*kgtoGg,"ERROR")))</f>
        <v>4.4503014810886657E-3</v>
      </c>
      <c r="R1056" s="101">
        <f>IF('Net zero activities &amp; levers'!$C$12="Off",Constants!$H69*'Activity data'!AK11*Constants!$H87*FracLEACHMM*MMLeachEF*NtoN2O*kgtoGg,IF('Net zero activities &amp; levers'!$C$12="PB",Constants!$H69*'Activity data'!AK11*Constants!$H87*FracLEACHMM*MMLeachEF*NtoN2O*kgtoGg,IF('Net zero activities &amp; levers'!$C$12="MS",Constants!$H69*'Net zero Activity data'!AK11*Constants!$H87*FracLEACHMM*MMLeachEF*NtoN2O*kgtoGg,"ERROR")))</f>
        <v>4.4668966507282254E-3</v>
      </c>
      <c r="S1056" s="101">
        <f>IF('Net zero activities &amp; levers'!$C$12="Off",Constants!$H69*'Activity data'!AL11*Constants!$H87*FracLEACHMM*MMLeachEF*NtoN2O*kgtoGg,IF('Net zero activities &amp; levers'!$C$12="PB",Constants!$H69*'Activity data'!AL11*Constants!$H87*FracLEACHMM*MMLeachEF*NtoN2O*kgtoGg,IF('Net zero activities &amp; levers'!$C$12="MS",Constants!$H69*'Net zero Activity data'!AL11*Constants!$H87*FracLEACHMM*MMLeachEF*NtoN2O*kgtoGg,"ERROR")))</f>
        <v>4.4824913305812559E-3</v>
      </c>
      <c r="T1056" s="101">
        <f>IF('Net zero activities &amp; levers'!$C$12="Off",Constants!$H69*'Activity data'!AM11*Constants!$H87*FracLEACHMM*MMLeachEF*NtoN2O*kgtoGg,IF('Net zero activities &amp; levers'!$C$12="PB",Constants!$H69*'Activity data'!AM11*Constants!$H87*FracLEACHMM*MMLeachEF*NtoN2O*kgtoGg,IF('Net zero activities &amp; levers'!$C$12="MS",Constants!$H69*'Net zero Activity data'!AM11*Constants!$H87*FracLEACHMM*MMLeachEF*NtoN2O*kgtoGg,"ERROR")))</f>
        <v>4.4890055303365281E-3</v>
      </c>
      <c r="U1056" s="101">
        <f>IF('Net zero activities &amp; levers'!$C$12="Off",Constants!$H69*'Activity data'!AN11*Constants!$H87*FracLEACHMM*MMLeachEF*NtoN2O*kgtoGg,IF('Net zero activities &amp; levers'!$C$12="PB",Constants!$H69*'Activity data'!AN11*Constants!$H87*FracLEACHMM*MMLeachEF*NtoN2O*kgtoGg,IF('Net zero activities &amp; levers'!$C$12="MS",Constants!$H69*'Net zero Activity data'!AN11*Constants!$H87*FracLEACHMM*MMLeachEF*NtoN2O*kgtoGg,"ERROR")))</f>
        <v>4.4965644629605924E-3</v>
      </c>
      <c r="V1056" s="101">
        <f>IF('Net zero activities &amp; levers'!$C$12="Off",Constants!$H69*'Activity data'!AO11*Constants!$H87*FracLEACHMM*MMLeachEF*NtoN2O*kgtoGg,IF('Net zero activities &amp; levers'!$C$12="PB",Constants!$H69*'Activity data'!AO11*Constants!$H87*FracLEACHMM*MMLeachEF*NtoN2O*kgtoGg,IF('Net zero activities &amp; levers'!$C$12="MS",Constants!$H69*'Net zero Activity data'!AO11*Constants!$H87*FracLEACHMM*MMLeachEF*NtoN2O*kgtoGg,"ERROR")))</f>
        <v>4.5051665785440084E-3</v>
      </c>
      <c r="W1056" s="101">
        <f>IF('Net zero activities &amp; levers'!$C$12="Off",Constants!$H69*'Activity data'!AP11*Constants!$H87*FracLEACHMM*MMLeachEF*NtoN2O*kgtoGg,IF('Net zero activities &amp; levers'!$C$12="PB",Constants!$H69*'Activity data'!AP11*Constants!$H87*FracLEACHMM*MMLeachEF*NtoN2O*kgtoGg,IF('Net zero activities &amp; levers'!$C$12="MS",Constants!$H69*'Net zero Activity data'!AP11*Constants!$H87*FracLEACHMM*MMLeachEF*NtoN2O*kgtoGg,"ERROR")))</f>
        <v>4.5148564456586847E-3</v>
      </c>
      <c r="X1056" s="101">
        <f>IF('Net zero activities &amp; levers'!$C$12="Off",Constants!$H69*'Activity data'!AQ11*Constants!$H87*FracLEACHMM*MMLeachEF*NtoN2O*kgtoGg,IF('Net zero activities &amp; levers'!$C$12="PB",Constants!$H69*'Activity data'!AQ11*Constants!$H87*FracLEACHMM*MMLeachEF*NtoN2O*kgtoGg,IF('Net zero activities &amp; levers'!$C$12="MS",Constants!$H69*'Net zero Activity data'!AQ11*Constants!$H87*FracLEACHMM*MMLeachEF*NtoN2O*kgtoGg,"ERROR")))</f>
        <v>4.525478721327544E-3</v>
      </c>
      <c r="Y1056" s="101">
        <f>IF('Net zero activities &amp; levers'!$C$12="Off",Constants!$H69*'Activity data'!AR11*Constants!$H87*FracLEACHMM*MMLeachEF*NtoN2O*kgtoGg,IF('Net zero activities &amp; levers'!$C$12="PB",Constants!$H69*'Activity data'!AR11*Constants!$H87*FracLEACHMM*MMLeachEF*NtoN2O*kgtoGg,IF('Net zero activities &amp; levers'!$C$12="MS",Constants!$H69*'Net zero Activity data'!AR11*Constants!$H87*FracLEACHMM*MMLeachEF*NtoN2O*kgtoGg,"ERROR")))</f>
        <v>4.5320175420941466E-3</v>
      </c>
      <c r="Z1056" s="101">
        <f>IF('Net zero activities &amp; levers'!$C$12="Off",Constants!$H69*'Activity data'!AS11*Constants!$H87*FracLEACHMM*MMLeachEF*NtoN2O*kgtoGg,IF('Net zero activities &amp; levers'!$C$12="PB",Constants!$H69*'Activity data'!AS11*Constants!$H87*FracLEACHMM*MMLeachEF*NtoN2O*kgtoGg,IF('Net zero activities &amp; levers'!$C$12="MS",Constants!$H69*'Net zero Activity data'!AS11*Constants!$H87*FracLEACHMM*MMLeachEF*NtoN2O*kgtoGg,"ERROR")))</f>
        <v>4.5393215398995043E-3</v>
      </c>
      <c r="AA1056" s="101">
        <f>IF('Net zero activities &amp; levers'!$C$12="Off",Constants!$H69*'Activity data'!AT11*Constants!$H87*FracLEACHMM*MMLeachEF*NtoN2O*kgtoGg,IF('Net zero activities &amp; levers'!$C$12="PB",Constants!$H69*'Activity data'!AT11*Constants!$H87*FracLEACHMM*MMLeachEF*NtoN2O*kgtoGg,IF('Net zero activities &amp; levers'!$C$12="MS",Constants!$H69*'Net zero Activity data'!AT11*Constants!$H87*FracLEACHMM*MMLeachEF*NtoN2O*kgtoGg,"ERROR")))</f>
        <v>4.5474172205527642E-3</v>
      </c>
      <c r="AB1056" s="101">
        <f>IF('Net zero activities &amp; levers'!$C$12="Off",Constants!$H69*'Activity data'!AU11*Constants!$H87*FracLEACHMM*MMLeachEF*NtoN2O*kgtoGg,IF('Net zero activities &amp; levers'!$C$12="PB",Constants!$H69*'Activity data'!AU11*Constants!$H87*FracLEACHMM*MMLeachEF*NtoN2O*kgtoGg,IF('Net zero activities &amp; levers'!$C$12="MS",Constants!$H69*'Net zero Activity data'!AU11*Constants!$H87*FracLEACHMM*MMLeachEF*NtoN2O*kgtoGg,"ERROR")))</f>
        <v>4.5561801987217551E-3</v>
      </c>
      <c r="AC1056" s="101">
        <f>IF('Net zero activities &amp; levers'!$C$12="Off",Constants!$H69*'Activity data'!AV11*Constants!$H87*FracLEACHMM*MMLeachEF*NtoN2O*kgtoGg,IF('Net zero activities &amp; levers'!$C$12="PB",Constants!$H69*'Activity data'!AV11*Constants!$H87*FracLEACHMM*MMLeachEF*NtoN2O*kgtoGg,IF('Net zero activities &amp; levers'!$C$12="MS",Constants!$H69*'Net zero Activity data'!AV11*Constants!$H87*FracLEACHMM*MMLeachEF*NtoN2O*kgtoGg,"ERROR")))</f>
        <v>4.5656418072393947E-3</v>
      </c>
      <c r="AD1056" s="101">
        <f>IF('Net zero activities &amp; levers'!$C$12="Off",Constants!$H69*'Activity data'!AW11*Constants!$H87*FracLEACHMM*MMLeachEF*NtoN2O*kgtoGg,IF('Net zero activities &amp; levers'!$C$12="PB",Constants!$H69*'Activity data'!AW11*Constants!$H87*FracLEACHMM*MMLeachEF*NtoN2O*kgtoGg,IF('Net zero activities &amp; levers'!$C$12="MS",Constants!$H69*'Net zero Activity data'!AW11*Constants!$H87*FracLEACHMM*MMLeachEF*NtoN2O*kgtoGg,"ERROR")))</f>
        <v>4.5718705604296328E-3</v>
      </c>
      <c r="AE1056" s="101">
        <f>IF('Net zero activities &amp; levers'!$C$12="Off",Constants!$H69*'Activity data'!AX11*Constants!$H87*FracLEACHMM*MMLeachEF*NtoN2O*kgtoGg,IF('Net zero activities &amp; levers'!$C$12="PB",Constants!$H69*'Activity data'!AX11*Constants!$H87*FracLEACHMM*MMLeachEF*NtoN2O*kgtoGg,IF('Net zero activities &amp; levers'!$C$12="MS",Constants!$H69*'Net zero Activity data'!AX11*Constants!$H87*FracLEACHMM*MMLeachEF*NtoN2O*kgtoGg,"ERROR")))</f>
        <v>4.5787544823923942E-3</v>
      </c>
      <c r="AF1056" s="101">
        <f>IF('Net zero activities &amp; levers'!$C$12="Off",Constants!$H69*'Activity data'!AY11*Constants!$H87*FracLEACHMM*MMLeachEF*NtoN2O*kgtoGg,IF('Net zero activities &amp; levers'!$C$12="PB",Constants!$H69*'Activity data'!AY11*Constants!$H87*FracLEACHMM*MMLeachEF*NtoN2O*kgtoGg,IF('Net zero activities &amp; levers'!$C$12="MS",Constants!$H69*'Net zero Activity data'!AY11*Constants!$H87*FracLEACHMM*MMLeachEF*NtoN2O*kgtoGg,"ERROR")))</f>
        <v>4.586231662580295E-3</v>
      </c>
      <c r="AG1056" s="101">
        <f>IF('Net zero activities &amp; levers'!$C$12="Off",Constants!$H69*'Activity data'!AZ11*Constants!$H87*FracLEACHMM*MMLeachEF*NtoN2O*kgtoGg,IF('Net zero activities &amp; levers'!$C$12="PB",Constants!$H69*'Activity data'!AZ11*Constants!$H87*FracLEACHMM*MMLeachEF*NtoN2O*kgtoGg,IF('Net zero activities &amp; levers'!$C$12="MS",Constants!$H69*'Net zero Activity data'!AZ11*Constants!$H87*FracLEACHMM*MMLeachEF*NtoN2O*kgtoGg,"ERROR")))</f>
        <v>4.5934555722856032E-3</v>
      </c>
      <c r="AH1056" s="101">
        <f>IF('Net zero activities &amp; levers'!$C$12="Off",Constants!$H69*'Activity data'!BA11*Constants!$H87*FracLEACHMM*MMLeachEF*NtoN2O*kgtoGg,IF('Net zero activities &amp; levers'!$C$12="PB",Constants!$H69*'Activity data'!BA11*Constants!$H87*FracLEACHMM*MMLeachEF*NtoN2O*kgtoGg,IF('Net zero activities &amp; levers'!$C$12="MS",Constants!$H69*'Net zero Activity data'!BA11*Constants!$H87*FracLEACHMM*MMLeachEF*NtoN2O*kgtoGg,"ERROR")))</f>
        <v>4.562571195274273E-3</v>
      </c>
      <c r="AI1056" s="101">
        <f>IF('Net zero activities &amp; levers'!$C$12="Off",Constants!$H69*'Activity data'!BB11*Constants!$H87*FracLEACHMM*MMLeachEF*NtoN2O*kgtoGg,IF('Net zero activities &amp; levers'!$C$12="PB",Constants!$H69*'Activity data'!BB11*Constants!$H87*FracLEACHMM*MMLeachEF*NtoN2O*kgtoGg,IF('Net zero activities &amp; levers'!$C$12="MS",Constants!$H69*'Net zero Activity data'!BB11*Constants!$H87*FracLEACHMM*MMLeachEF*NtoN2O*kgtoGg,"ERROR")))</f>
        <v>4.5669572651403133E-3</v>
      </c>
      <c r="AJ1056" s="101">
        <f>IF('Net zero activities &amp; levers'!$C$12="Off",Constants!$H69*'Activity data'!BC11*Constants!$H87*FracLEACHMM*MMLeachEF*NtoN2O*kgtoGg,IF('Net zero activities &amp; levers'!$C$12="PB",Constants!$H69*'Activity data'!BC11*Constants!$H87*FracLEACHMM*MMLeachEF*NtoN2O*kgtoGg,IF('Net zero activities &amp; levers'!$C$12="MS",Constants!$H69*'Net zero Activity data'!BC11*Constants!$H87*FracLEACHMM*MMLeachEF*NtoN2O*kgtoGg,"ERROR")))</f>
        <v>4.5717973149633755E-3</v>
      </c>
      <c r="AK1056" s="101">
        <f>IF('Net zero activities &amp; levers'!$C$12="Off",Constants!$H69*'Activity data'!BD11*Constants!$H87*FracLEACHMM*MMLeachEF*NtoN2O*kgtoGg,IF('Net zero activities &amp; levers'!$C$12="PB",Constants!$H69*'Activity data'!BD11*Constants!$H87*FracLEACHMM*MMLeachEF*NtoN2O*kgtoGg,IF('Net zero activities &amp; levers'!$C$12="MS",Constants!$H69*'Net zero Activity data'!BD11*Constants!$H87*FracLEACHMM*MMLeachEF*NtoN2O*kgtoGg,"ERROR")))</f>
        <v>4.5770741937615714E-3</v>
      </c>
      <c r="AL1056" s="101">
        <f>IF('Net zero activities &amp; levers'!$C$12="Off",Constants!$H69*'Activity data'!BE11*Constants!$H87*FracLEACHMM*MMLeachEF*NtoN2O*kgtoGg,IF('Net zero activities &amp; levers'!$C$12="PB",Constants!$H69*'Activity data'!BE11*Constants!$H87*FracLEACHMM*MMLeachEF*NtoN2O*kgtoGg,IF('Net zero activities &amp; levers'!$C$12="MS",Constants!$H69*'Net zero Activity data'!BE11*Constants!$H87*FracLEACHMM*MMLeachEF*NtoN2O*kgtoGg,"ERROR")))</f>
        <v>4.5827720762171521E-3</v>
      </c>
      <c r="AM1056" s="101">
        <f>IF('Net zero activities &amp; levers'!$C$12="Off",Constants!$H69*'Activity data'!BF11*Constants!$H87*FracLEACHMM*MMLeachEF*NtoN2O*kgtoGg,IF('Net zero activities &amp; levers'!$C$12="PB",Constants!$H69*'Activity data'!BF11*Constants!$H87*FracLEACHMM*MMLeachEF*NtoN2O*kgtoGg,IF('Net zero activities &amp; levers'!$C$12="MS",Constants!$H69*'Net zero Activity data'!BF11*Constants!$H87*FracLEACHMM*MMLeachEF*NtoN2O*kgtoGg,"ERROR")))</f>
        <v>4.5888763368810139E-3</v>
      </c>
      <c r="AN1056" s="101">
        <f>IF('Net zero activities &amp; levers'!$C$12="Off",Constants!$H69*'Activity data'!BG11*Constants!$H87*FracLEACHMM*MMLeachEF*NtoN2O*kgtoGg,IF('Net zero activities &amp; levers'!$C$12="PB",Constants!$H69*'Activity data'!BG11*Constants!$H87*FracLEACHMM*MMLeachEF*NtoN2O*kgtoGg,IF('Net zero activities &amp; levers'!$C$12="MS",Constants!$H69*'Net zero Activity data'!BG11*Constants!$H87*FracLEACHMM*MMLeachEF*NtoN2O*kgtoGg,"ERROR")))</f>
        <v>4.5918387401172314E-3</v>
      </c>
      <c r="AO1056" s="101">
        <f>IF('Net zero activities &amp; levers'!$C$12="Off",Constants!$H69*'Activity data'!BH11*Constants!$H87*FracLEACHMM*MMLeachEF*NtoN2O*kgtoGg,IF('Net zero activities &amp; levers'!$C$12="PB",Constants!$H69*'Activity data'!BH11*Constants!$H87*FracLEACHMM*MMLeachEF*NtoN2O*kgtoGg,IF('Net zero activities &amp; levers'!$C$12="MS",Constants!$H69*'Net zero Activity data'!BH11*Constants!$H87*FracLEACHMM*MMLeachEF*NtoN2O*kgtoGg,"ERROR")))</f>
        <v>4.5951591884317378E-3</v>
      </c>
      <c r="AP1056" s="101">
        <f>IF('Net zero activities &amp; levers'!$C$12="Off",Constants!$H69*'Activity data'!BI11*Constants!$H87*FracLEACHMM*MMLeachEF*NtoN2O*kgtoGg,IF('Net zero activities &amp; levers'!$C$12="PB",Constants!$H69*'Activity data'!BI11*Constants!$H87*FracLEACHMM*MMLeachEF*NtoN2O*kgtoGg,IF('Net zero activities &amp; levers'!$C$12="MS",Constants!$H69*'Net zero Activity data'!BI11*Constants!$H87*FracLEACHMM*MMLeachEF*NtoN2O*kgtoGg,"ERROR")))</f>
        <v>4.5988252210116161E-3</v>
      </c>
      <c r="AQ1056" s="101">
        <f>IF('Net zero activities &amp; levers'!$C$12="Off",Constants!$H69*'Activity data'!BJ11*Constants!$H87*FracLEACHMM*MMLeachEF*NtoN2O*kgtoGg,IF('Net zero activities &amp; levers'!$C$12="PB",Constants!$H69*'Activity data'!BJ11*Constants!$H87*FracLEACHMM*MMLeachEF*NtoN2O*kgtoGg,IF('Net zero activities &amp; levers'!$C$12="MS",Constants!$H69*'Net zero Activity data'!BJ11*Constants!$H87*FracLEACHMM*MMLeachEF*NtoN2O*kgtoGg,"ERROR")))</f>
        <v>4.6028252299079387E-3</v>
      </c>
      <c r="AR1056" s="101">
        <f>IF('Net zero activities &amp; levers'!$C$12="Off",Constants!$H69*'Activity data'!BK11*Constants!$H87*FracLEACHMM*MMLeachEF*NtoN2O*kgtoGg,IF('Net zero activities &amp; levers'!$C$12="PB",Constants!$H69*'Activity data'!BK11*Constants!$H87*FracLEACHMM*MMLeachEF*NtoN2O*kgtoGg,IF('Net zero activities &amp; levers'!$C$12="MS",Constants!$H69*'Net zero Activity data'!BK11*Constants!$H87*FracLEACHMM*MMLeachEF*NtoN2O*kgtoGg,"ERROR")))</f>
        <v>4.6071483875808113E-3</v>
      </c>
      <c r="AS1056" s="101">
        <f>IF('Net zero activities &amp; levers'!$C$12="Off",Constants!$H69*'Activity data'!BL11*Constants!$H87*FracLEACHMM*MMLeachEF*NtoN2O*kgtoGg,IF('Net zero activities &amp; levers'!$C$12="PB",Constants!$H69*'Activity data'!BL11*Constants!$H87*FracLEACHMM*MMLeachEF*NtoN2O*kgtoGg,IF('Net zero activities &amp; levers'!$C$12="MS",Constants!$H69*'Net zero Activity data'!BL11*Constants!$H87*FracLEACHMM*MMLeachEF*NtoN2O*kgtoGg,"ERROR")))</f>
        <v>4.6082148579908756E-3</v>
      </c>
      <c r="AT1056" s="101">
        <f>IF('Net zero activities &amp; levers'!$C$12="Off",Constants!$H69*'Activity data'!BM11*Constants!$H87*FracLEACHMM*MMLeachEF*NtoN2O*kgtoGg,IF('Net zero activities &amp; levers'!$C$12="PB",Constants!$H69*'Activity data'!BM11*Constants!$H87*FracLEACHMM*MMLeachEF*NtoN2O*kgtoGg,IF('Net zero activities &amp; levers'!$C$12="MS",Constants!$H69*'Net zero Activity data'!BM11*Constants!$H87*FracLEACHMM*MMLeachEF*NtoN2O*kgtoGg,"ERROR")))</f>
        <v>4.609568122792394E-3</v>
      </c>
      <c r="AU1056" s="101">
        <f>IF('Net zero activities &amp; levers'!$C$12="Off",Constants!$H69*'Activity data'!BN11*Constants!$H87*FracLEACHMM*MMLeachEF*NtoN2O*kgtoGg,IF('Net zero activities &amp; levers'!$C$12="PB",Constants!$H69*'Activity data'!BN11*Constants!$H87*FracLEACHMM*MMLeachEF*NtoN2O*kgtoGg,IF('Net zero activities &amp; levers'!$C$12="MS",Constants!$H69*'Net zero Activity data'!BN11*Constants!$H87*FracLEACHMM*MMLeachEF*NtoN2O*kgtoGg,"ERROR")))</f>
        <v>4.6111986833604953E-3</v>
      </c>
      <c r="AV1056" s="101">
        <f>IF('Net zero activities &amp; levers'!$C$12="Off",Constants!$H69*'Activity data'!BO11*Constants!$H87*FracLEACHMM*MMLeachEF*NtoN2O*kgtoGg,IF('Net zero activities &amp; levers'!$C$12="PB",Constants!$H69*'Activity data'!BO11*Constants!$H87*FracLEACHMM*MMLeachEF*NtoN2O*kgtoGg,IF('Net zero activities &amp; levers'!$C$12="MS",Constants!$H69*'Net zero Activity data'!BO11*Constants!$H87*FracLEACHMM*MMLeachEF*NtoN2O*kgtoGg,"ERROR")))</f>
        <v>4.6130976210976499E-3</v>
      </c>
      <c r="AW1056" s="101">
        <f>IF('Net zero activities &amp; levers'!$C$12="Off",Constants!$H69*'Activity data'!BP11*Constants!$H87*FracLEACHMM*MMLeachEF*NtoN2O*kgtoGg,IF('Net zero activities &amp; levers'!$C$12="PB",Constants!$H69*'Activity data'!BP11*Constants!$H87*FracLEACHMM*MMLeachEF*NtoN2O*kgtoGg,IF('Net zero activities &amp; levers'!$C$12="MS",Constants!$H69*'Net zero Activity data'!BP11*Constants!$H87*FracLEACHMM*MMLeachEF*NtoN2O*kgtoGg,"ERROR")))</f>
        <v>4.6152565528286265E-3</v>
      </c>
      <c r="AY1056" s="85"/>
      <c r="AZ1056" s="85"/>
    </row>
    <row r="1057" spans="1:52" x14ac:dyDescent="0.25">
      <c r="A1057" s="102" t="str">
        <f t="shared" si="345"/>
        <v>DS MM Leaching</v>
      </c>
      <c r="B1057" s="102" t="s">
        <v>975</v>
      </c>
      <c r="C1057" s="102" t="s">
        <v>1334</v>
      </c>
      <c r="D1057" t="s">
        <v>369</v>
      </c>
      <c r="E1057" t="s">
        <v>64</v>
      </c>
      <c r="F1057" t="s">
        <v>63</v>
      </c>
      <c r="G1057" t="s">
        <v>1167</v>
      </c>
      <c r="H1057" t="s">
        <v>1314</v>
      </c>
      <c r="I1057" t="s">
        <v>139</v>
      </c>
      <c r="J1057" t="s">
        <v>287</v>
      </c>
      <c r="K1057" s="101">
        <f>IF('Net zero activities &amp; levers'!$C$12="Off",Constants!$H70*'Activity data'!AD12*Constants!$H88*FracLEACHMM*MMLeachEF*NtoN2O*kgtoGg,IF('Net zero activities &amp; levers'!$C$12="PB",Constants!$H70*'Activity data'!AD12*Constants!$H88*FracLEACHMM*MMLeachEF*NtoN2O*kgtoGg,IF('Net zero activities &amp; levers'!$C$12="MS",Constants!$H70*'Net zero Activity data'!AD12*Constants!$H88*FracLEACHMM*MMLeachEF*NtoN2O*kgtoGg,"ERROR")))</f>
        <v>3.6554081926520139E-3</v>
      </c>
      <c r="L1057" s="101">
        <f>IF('Net zero activities &amp; levers'!$C$12="Off",Constants!$H70*'Activity data'!AE12*Constants!$H88*FracLEACHMM*MMLeachEF*NtoN2O*kgtoGg,IF('Net zero activities &amp; levers'!$C$12="PB",Constants!$H70*'Activity data'!AE12*Constants!$H88*FracLEACHMM*MMLeachEF*NtoN2O*kgtoGg,IF('Net zero activities &amp; levers'!$C$12="MS",Constants!$H70*'Net zero Activity data'!AE12*Constants!$H88*FracLEACHMM*MMLeachEF*NtoN2O*kgtoGg,"ERROR")))</f>
        <v>3.6574043798084017E-3</v>
      </c>
      <c r="M1057" s="101">
        <f>IF('Net zero activities &amp; levers'!$C$12="Off",Constants!$H70*'Activity data'!AF12*Constants!$H88*FracLEACHMM*MMLeachEF*NtoN2O*kgtoGg,IF('Net zero activities &amp; levers'!$C$12="PB",Constants!$H70*'Activity data'!AF12*Constants!$H88*FracLEACHMM*MMLeachEF*NtoN2O*kgtoGg,IF('Net zero activities &amp; levers'!$C$12="MS",Constants!$H70*'Net zero Activity data'!AF12*Constants!$H88*FracLEACHMM*MMLeachEF*NtoN2O*kgtoGg,"ERROR")))</f>
        <v>3.6618742263063008E-3</v>
      </c>
      <c r="N1057" s="101">
        <f>IF('Net zero activities &amp; levers'!$C$12="Off",Constants!$H70*'Activity data'!AG12*Constants!$H88*FracLEACHMM*MMLeachEF*NtoN2O*kgtoGg,IF('Net zero activities &amp; levers'!$C$12="PB",Constants!$H70*'Activity data'!AG12*Constants!$H88*FracLEACHMM*MMLeachEF*NtoN2O*kgtoGg,IF('Net zero activities &amp; levers'!$C$12="MS",Constants!$H70*'Net zero Activity data'!AG12*Constants!$H88*FracLEACHMM*MMLeachEF*NtoN2O*kgtoGg,"ERROR")))</f>
        <v>3.6686022836746814E-3</v>
      </c>
      <c r="O1057" s="101">
        <f>IF('Net zero activities &amp; levers'!$C$12="Off",Constants!$H70*'Activity data'!AH12*Constants!$H88*FracLEACHMM*MMLeachEF*NtoN2O*kgtoGg,IF('Net zero activities &amp; levers'!$C$12="PB",Constants!$H70*'Activity data'!AH12*Constants!$H88*FracLEACHMM*MMLeachEF*NtoN2O*kgtoGg,IF('Net zero activities &amp; levers'!$C$12="MS",Constants!$H70*'Net zero Activity data'!AH12*Constants!$H88*FracLEACHMM*MMLeachEF*NtoN2O*kgtoGg,"ERROR")))</f>
        <v>3.6776785680166413E-3</v>
      </c>
      <c r="P1057" s="101">
        <f>IF('Net zero activities &amp; levers'!$C$12="Off",Constants!$H70*'Activity data'!AI12*Constants!$H88*FracLEACHMM*MMLeachEF*NtoN2O*kgtoGg,IF('Net zero activities &amp; levers'!$C$12="PB",Constants!$H70*'Activity data'!AI12*Constants!$H88*FracLEACHMM*MMLeachEF*NtoN2O*kgtoGg,IF('Net zero activities &amp; levers'!$C$12="MS",Constants!$H70*'Net zero Activity data'!AI12*Constants!$H88*FracLEACHMM*MMLeachEF*NtoN2O*kgtoGg,"ERROR")))</f>
        <v>3.6891127101493907E-3</v>
      </c>
      <c r="Q1057" s="101">
        <f>IF('Net zero activities &amp; levers'!$C$12="Off",Constants!$H70*'Activity data'!AJ12*Constants!$H88*FracLEACHMM*MMLeachEF*NtoN2O*kgtoGg,IF('Net zero activities &amp; levers'!$C$12="PB",Constants!$H70*'Activity data'!AJ12*Constants!$H88*FracLEACHMM*MMLeachEF*NtoN2O*kgtoGg,IF('Net zero activities &amp; levers'!$C$12="MS",Constants!$H70*'Net zero Activity data'!AJ12*Constants!$H88*FracLEACHMM*MMLeachEF*NtoN2O*kgtoGg,"ERROR")))</f>
        <v>3.7018498809639078E-3</v>
      </c>
      <c r="R1057" s="101">
        <f>IF('Net zero activities &amp; levers'!$C$12="Off",Constants!$H70*'Activity data'!AK12*Constants!$H88*FracLEACHMM*MMLeachEF*NtoN2O*kgtoGg,IF('Net zero activities &amp; levers'!$C$12="PB",Constants!$H70*'Activity data'!AK12*Constants!$H88*FracLEACHMM*MMLeachEF*NtoN2O*kgtoGg,IF('Net zero activities &amp; levers'!$C$12="MS",Constants!$H70*'Net zero Activity data'!AK12*Constants!$H88*FracLEACHMM*MMLeachEF*NtoN2O*kgtoGg,"ERROR")))</f>
        <v>3.7156540753574409E-3</v>
      </c>
      <c r="S1057" s="101">
        <f>IF('Net zero activities &amp; levers'!$C$12="Off",Constants!$H70*'Activity data'!AL12*Constants!$H88*FracLEACHMM*MMLeachEF*NtoN2O*kgtoGg,IF('Net zero activities &amp; levers'!$C$12="PB",Constants!$H70*'Activity data'!AL12*Constants!$H88*FracLEACHMM*MMLeachEF*NtoN2O*kgtoGg,IF('Net zero activities &amp; levers'!$C$12="MS",Constants!$H70*'Net zero Activity data'!AL12*Constants!$H88*FracLEACHMM*MMLeachEF*NtoN2O*kgtoGg,"ERROR")))</f>
        <v>3.7286260423135963E-3</v>
      </c>
      <c r="T1057" s="101">
        <f>IF('Net zero activities &amp; levers'!$C$12="Off",Constants!$H70*'Activity data'!AM12*Constants!$H88*FracLEACHMM*MMLeachEF*NtoN2O*kgtoGg,IF('Net zero activities &amp; levers'!$C$12="PB",Constants!$H70*'Activity data'!AM12*Constants!$H88*FracLEACHMM*MMLeachEF*NtoN2O*kgtoGg,IF('Net zero activities &amp; levers'!$C$12="MS",Constants!$H70*'Net zero Activity data'!AM12*Constants!$H88*FracLEACHMM*MMLeachEF*NtoN2O*kgtoGg,"ERROR")))</f>
        <v>3.7340446841047422E-3</v>
      </c>
      <c r="U1057" s="101">
        <f>IF('Net zero activities &amp; levers'!$C$12="Off",Constants!$H70*'Activity data'!AN12*Constants!$H88*FracLEACHMM*MMLeachEF*NtoN2O*kgtoGg,IF('Net zero activities &amp; levers'!$C$12="PB",Constants!$H70*'Activity data'!AN12*Constants!$H88*FracLEACHMM*MMLeachEF*NtoN2O*kgtoGg,IF('Net zero activities &amp; levers'!$C$12="MS",Constants!$H70*'Net zero Activity data'!AN12*Constants!$H88*FracLEACHMM*MMLeachEF*NtoN2O*kgtoGg,"ERROR")))</f>
        <v>3.7403323556149792E-3</v>
      </c>
      <c r="V1057" s="101">
        <f>IF('Net zero activities &amp; levers'!$C$12="Off",Constants!$H70*'Activity data'!AO12*Constants!$H88*FracLEACHMM*MMLeachEF*NtoN2O*kgtoGg,IF('Net zero activities &amp; levers'!$C$12="PB",Constants!$H70*'Activity data'!AO12*Constants!$H88*FracLEACHMM*MMLeachEF*NtoN2O*kgtoGg,IF('Net zero activities &amp; levers'!$C$12="MS",Constants!$H70*'Net zero Activity data'!AO12*Constants!$H88*FracLEACHMM*MMLeachEF*NtoN2O*kgtoGg,"ERROR")))</f>
        <v>3.7474877675985991E-3</v>
      </c>
      <c r="W1057" s="101">
        <f>IF('Net zero activities &amp; levers'!$C$12="Off",Constants!$H70*'Activity data'!AP12*Constants!$H88*FracLEACHMM*MMLeachEF*NtoN2O*kgtoGg,IF('Net zero activities &amp; levers'!$C$12="PB",Constants!$H70*'Activity data'!AP12*Constants!$H88*FracLEACHMM*MMLeachEF*NtoN2O*kgtoGg,IF('Net zero activities &amp; levers'!$C$12="MS",Constants!$H70*'Net zero Activity data'!AP12*Constants!$H88*FracLEACHMM*MMLeachEF*NtoN2O*kgtoGg,"ERROR")))</f>
        <v>3.7555479930861213E-3</v>
      </c>
      <c r="X1057" s="101">
        <f>IF('Net zero activities &amp; levers'!$C$12="Off",Constants!$H70*'Activity data'!AQ12*Constants!$H88*FracLEACHMM*MMLeachEF*NtoN2O*kgtoGg,IF('Net zero activities &amp; levers'!$C$12="PB",Constants!$H70*'Activity data'!AQ12*Constants!$H88*FracLEACHMM*MMLeachEF*NtoN2O*kgtoGg,IF('Net zero activities &amp; levers'!$C$12="MS",Constants!$H70*'Net zero Activity data'!AQ12*Constants!$H88*FracLEACHMM*MMLeachEF*NtoN2O*kgtoGg,"ERROR")))</f>
        <v>3.7643838146787538E-3</v>
      </c>
      <c r="Y1057" s="101">
        <f>IF('Net zero activities &amp; levers'!$C$12="Off",Constants!$H70*'Activity data'!AR12*Constants!$H88*FracLEACHMM*MMLeachEF*NtoN2O*kgtoGg,IF('Net zero activities &amp; levers'!$C$12="PB",Constants!$H70*'Activity data'!AR12*Constants!$H88*FracLEACHMM*MMLeachEF*NtoN2O*kgtoGg,IF('Net zero activities &amp; levers'!$C$12="MS",Constants!$H70*'Net zero Activity data'!AR12*Constants!$H88*FracLEACHMM*MMLeachEF*NtoN2O*kgtoGg,"ERROR")))</f>
        <v>3.769822936720115E-3</v>
      </c>
      <c r="Z1057" s="101">
        <f>IF('Net zero activities &amp; levers'!$C$12="Off",Constants!$H70*'Activity data'!AS12*Constants!$H88*FracLEACHMM*MMLeachEF*NtoN2O*kgtoGg,IF('Net zero activities &amp; levers'!$C$12="PB",Constants!$H70*'Activity data'!AS12*Constants!$H88*FracLEACHMM*MMLeachEF*NtoN2O*kgtoGg,IF('Net zero activities &amp; levers'!$C$12="MS",Constants!$H70*'Net zero Activity data'!AS12*Constants!$H88*FracLEACHMM*MMLeachEF*NtoN2O*kgtoGg,"ERROR")))</f>
        <v>3.7758985483435582E-3</v>
      </c>
      <c r="AA1057" s="101">
        <f>IF('Net zero activities &amp; levers'!$C$12="Off",Constants!$H70*'Activity data'!AT12*Constants!$H88*FracLEACHMM*MMLeachEF*NtoN2O*kgtoGg,IF('Net zero activities &amp; levers'!$C$12="PB",Constants!$H70*'Activity data'!AT12*Constants!$H88*FracLEACHMM*MMLeachEF*NtoN2O*kgtoGg,IF('Net zero activities &amp; levers'!$C$12="MS",Constants!$H70*'Net zero Activity data'!AT12*Constants!$H88*FracLEACHMM*MMLeachEF*NtoN2O*kgtoGg,"ERROR")))</f>
        <v>3.7826326976118578E-3</v>
      </c>
      <c r="AB1057" s="101">
        <f>IF('Net zero activities &amp; levers'!$C$12="Off",Constants!$H70*'Activity data'!AU12*Constants!$H88*FracLEACHMM*MMLeachEF*NtoN2O*kgtoGg,IF('Net zero activities &amp; levers'!$C$12="PB",Constants!$H70*'Activity data'!AU12*Constants!$H88*FracLEACHMM*MMLeachEF*NtoN2O*kgtoGg,IF('Net zero activities &amp; levers'!$C$12="MS",Constants!$H70*'Net zero Activity data'!AU12*Constants!$H88*FracLEACHMM*MMLeachEF*NtoN2O*kgtoGg,"ERROR")))</f>
        <v>3.7899219183151331E-3</v>
      </c>
      <c r="AC1057" s="101">
        <f>IF('Net zero activities &amp; levers'!$C$12="Off",Constants!$H70*'Activity data'!AV12*Constants!$H88*FracLEACHMM*MMLeachEF*NtoN2O*kgtoGg,IF('Net zero activities &amp; levers'!$C$12="PB",Constants!$H70*'Activity data'!AV12*Constants!$H88*FracLEACHMM*MMLeachEF*NtoN2O*kgtoGg,IF('Net zero activities &amp; levers'!$C$12="MS",Constants!$H70*'Net zero Activity data'!AV12*Constants!$H88*FracLEACHMM*MMLeachEF*NtoN2O*kgtoGg,"ERROR")))</f>
        <v>3.7977922737311865E-3</v>
      </c>
      <c r="AD1057" s="101">
        <f>IF('Net zero activities &amp; levers'!$C$12="Off",Constants!$H70*'Activity data'!AW12*Constants!$H88*FracLEACHMM*MMLeachEF*NtoN2O*kgtoGg,IF('Net zero activities &amp; levers'!$C$12="PB",Constants!$H70*'Activity data'!AW12*Constants!$H88*FracLEACHMM*MMLeachEF*NtoN2O*kgtoGg,IF('Net zero activities &amp; levers'!$C$12="MS",Constants!$H70*'Net zero Activity data'!AW12*Constants!$H88*FracLEACHMM*MMLeachEF*NtoN2O*kgtoGg,"ERROR")))</f>
        <v>3.8029734753540017E-3</v>
      </c>
      <c r="AE1057" s="101">
        <f>IF('Net zero activities &amp; levers'!$C$12="Off",Constants!$H70*'Activity data'!AX12*Constants!$H88*FracLEACHMM*MMLeachEF*NtoN2O*kgtoGg,IF('Net zero activities &amp; levers'!$C$12="PB",Constants!$H70*'Activity data'!AX12*Constants!$H88*FracLEACHMM*MMLeachEF*NtoN2O*kgtoGg,IF('Net zero activities &amp; levers'!$C$12="MS",Constants!$H70*'Net zero Activity data'!AX12*Constants!$H88*FracLEACHMM*MMLeachEF*NtoN2O*kgtoGg,"ERROR")))</f>
        <v>3.8086996594803367E-3</v>
      </c>
      <c r="AF1057" s="101">
        <f>IF('Net zero activities &amp; levers'!$C$12="Off",Constants!$H70*'Activity data'!AY12*Constants!$H88*FracLEACHMM*MMLeachEF*NtoN2O*kgtoGg,IF('Net zero activities &amp; levers'!$C$12="PB",Constants!$H70*'Activity data'!AY12*Constants!$H88*FracLEACHMM*MMLeachEF*NtoN2O*kgtoGg,IF('Net zero activities &amp; levers'!$C$12="MS",Constants!$H70*'Net zero Activity data'!AY12*Constants!$H88*FracLEACHMM*MMLeachEF*NtoN2O*kgtoGg,"ERROR")))</f>
        <v>3.8149193276772325E-3</v>
      </c>
      <c r="AG1057" s="101">
        <f>IF('Net zero activities &amp; levers'!$C$12="Off",Constants!$H70*'Activity data'!AZ12*Constants!$H88*FracLEACHMM*MMLeachEF*NtoN2O*kgtoGg,IF('Net zero activities &amp; levers'!$C$12="PB",Constants!$H70*'Activity data'!AZ12*Constants!$H88*FracLEACHMM*MMLeachEF*NtoN2O*kgtoGg,IF('Net zero activities &amp; levers'!$C$12="MS",Constants!$H70*'Net zero Activity data'!AZ12*Constants!$H88*FracLEACHMM*MMLeachEF*NtoN2O*kgtoGg,"ERROR")))</f>
        <v>3.8209283204154385E-3</v>
      </c>
      <c r="AH1057" s="101">
        <f>IF('Net zero activities &amp; levers'!$C$12="Off",Constants!$H70*'Activity data'!BA12*Constants!$H88*FracLEACHMM*MMLeachEF*NtoN2O*kgtoGg,IF('Net zero activities &amp; levers'!$C$12="PB",Constants!$H70*'Activity data'!BA12*Constants!$H88*FracLEACHMM*MMLeachEF*NtoN2O*kgtoGg,IF('Net zero activities &amp; levers'!$C$12="MS",Constants!$H70*'Net zero Activity data'!BA12*Constants!$H88*FracLEACHMM*MMLeachEF*NtoN2O*kgtoGg,"ERROR")))</f>
        <v>3.7952380772153156E-3</v>
      </c>
      <c r="AI1057" s="101">
        <f>IF('Net zero activities &amp; levers'!$C$12="Off",Constants!$H70*'Activity data'!BB12*Constants!$H88*FracLEACHMM*MMLeachEF*NtoN2O*kgtoGg,IF('Net zero activities &amp; levers'!$C$12="PB",Constants!$H70*'Activity data'!BB12*Constants!$H88*FracLEACHMM*MMLeachEF*NtoN2O*kgtoGg,IF('Net zero activities &amp; levers'!$C$12="MS",Constants!$H70*'Net zero Activity data'!BB12*Constants!$H88*FracLEACHMM*MMLeachEF*NtoN2O*kgtoGg,"ERROR")))</f>
        <v>3.7988864979527624E-3</v>
      </c>
      <c r="AJ1057" s="101">
        <f>IF('Net zero activities &amp; levers'!$C$12="Off",Constants!$H70*'Activity data'!BC12*Constants!$H88*FracLEACHMM*MMLeachEF*NtoN2O*kgtoGg,IF('Net zero activities &amp; levers'!$C$12="PB",Constants!$H70*'Activity data'!BC12*Constants!$H88*FracLEACHMM*MMLeachEF*NtoN2O*kgtoGg,IF('Net zero activities &amp; levers'!$C$12="MS",Constants!$H70*'Net zero Activity data'!BC12*Constants!$H88*FracLEACHMM*MMLeachEF*NtoN2O*kgtoGg,"ERROR")))</f>
        <v>3.8029125483085634E-3</v>
      </c>
      <c r="AK1057" s="101">
        <f>IF('Net zero activities &amp; levers'!$C$12="Off",Constants!$H70*'Activity data'!BD12*Constants!$H88*FracLEACHMM*MMLeachEF*NtoN2O*kgtoGg,IF('Net zero activities &amp; levers'!$C$12="PB",Constants!$H70*'Activity data'!BD12*Constants!$H88*FracLEACHMM*MMLeachEF*NtoN2O*kgtoGg,IF('Net zero activities &amp; levers'!$C$12="MS",Constants!$H70*'Net zero Activity data'!BD12*Constants!$H88*FracLEACHMM*MMLeachEF*NtoN2O*kgtoGg,"ERROR")))</f>
        <v>3.8073019617525694E-3</v>
      </c>
      <c r="AL1057" s="101">
        <f>IF('Net zero activities &amp; levers'!$C$12="Off",Constants!$H70*'Activity data'!BE12*Constants!$H88*FracLEACHMM*MMLeachEF*NtoN2O*kgtoGg,IF('Net zero activities &amp; levers'!$C$12="PB",Constants!$H70*'Activity data'!BE12*Constants!$H88*FracLEACHMM*MMLeachEF*NtoN2O*kgtoGg,IF('Net zero activities &amp; levers'!$C$12="MS",Constants!$H70*'Net zero Activity data'!BE12*Constants!$H88*FracLEACHMM*MMLeachEF*NtoN2O*kgtoGg,"ERROR")))</f>
        <v>3.8120415744685989E-3</v>
      </c>
      <c r="AM1057" s="101">
        <f>IF('Net zero activities &amp; levers'!$C$12="Off",Constants!$H70*'Activity data'!BF12*Constants!$H88*FracLEACHMM*MMLeachEF*NtoN2O*kgtoGg,IF('Net zero activities &amp; levers'!$C$12="PB",Constants!$H70*'Activity data'!BF12*Constants!$H88*FracLEACHMM*MMLeachEF*NtoN2O*kgtoGg,IF('Net zero activities &amp; levers'!$C$12="MS",Constants!$H70*'Net zero Activity data'!BF12*Constants!$H88*FracLEACHMM*MMLeachEF*NtoN2O*kgtoGg,"ERROR")))</f>
        <v>3.8171192207152455E-3</v>
      </c>
      <c r="AN1057" s="101">
        <f>IF('Net zero activities &amp; levers'!$C$12="Off",Constants!$H70*'Activity data'!BG12*Constants!$H88*FracLEACHMM*MMLeachEF*NtoN2O*kgtoGg,IF('Net zero activities &amp; levers'!$C$12="PB",Constants!$H70*'Activity data'!BG12*Constants!$H88*FracLEACHMM*MMLeachEF*NtoN2O*kgtoGg,IF('Net zero activities &amp; levers'!$C$12="MS",Constants!$H70*'Net zero Activity data'!BG12*Constants!$H88*FracLEACHMM*MMLeachEF*NtoN2O*kgtoGg,"ERROR")))</f>
        <v>3.8195834070437343E-3</v>
      </c>
      <c r="AO1057" s="101">
        <f>IF('Net zero activities &amp; levers'!$C$12="Off",Constants!$H70*'Activity data'!BH12*Constants!$H88*FracLEACHMM*MMLeachEF*NtoN2O*kgtoGg,IF('Net zero activities &amp; levers'!$C$12="PB",Constants!$H70*'Activity data'!BH12*Constants!$H88*FracLEACHMM*MMLeachEF*NtoN2O*kgtoGg,IF('Net zero activities &amp; levers'!$C$12="MS",Constants!$H70*'Net zero Activity data'!BH12*Constants!$H88*FracLEACHMM*MMLeachEF*NtoN2O*kgtoGg,"ERROR")))</f>
        <v>3.8223454224375316E-3</v>
      </c>
      <c r="AP1057" s="101">
        <f>IF('Net zero activities &amp; levers'!$C$12="Off",Constants!$H70*'Activity data'!BI12*Constants!$H88*FracLEACHMM*MMLeachEF*NtoN2O*kgtoGg,IF('Net zero activities &amp; levers'!$C$12="PB",Constants!$H70*'Activity data'!BI12*Constants!$H88*FracLEACHMM*MMLeachEF*NtoN2O*kgtoGg,IF('Net zero activities &amp; levers'!$C$12="MS",Constants!$H70*'Net zero Activity data'!BI12*Constants!$H88*FracLEACHMM*MMLeachEF*NtoN2O*kgtoGg,"ERROR")))</f>
        <v>3.8253949017429448E-3</v>
      </c>
      <c r="AQ1057" s="101">
        <f>IF('Net zero activities &amp; levers'!$C$12="Off",Constants!$H70*'Activity data'!BJ12*Constants!$H88*FracLEACHMM*MMLeachEF*NtoN2O*kgtoGg,IF('Net zero activities &amp; levers'!$C$12="PB",Constants!$H70*'Activity data'!BJ12*Constants!$H88*FracLEACHMM*MMLeachEF*NtoN2O*kgtoGg,IF('Net zero activities &amp; levers'!$C$12="MS",Constants!$H70*'Net zero Activity data'!BJ12*Constants!$H88*FracLEACHMM*MMLeachEF*NtoN2O*kgtoGg,"ERROR")))</f>
        <v>3.8287221892356308E-3</v>
      </c>
      <c r="AR1057" s="101">
        <f>IF('Net zero activities &amp; levers'!$C$12="Off",Constants!$H70*'Activity data'!BK12*Constants!$H88*FracLEACHMM*MMLeachEF*NtoN2O*kgtoGg,IF('Net zero activities &amp; levers'!$C$12="PB",Constants!$H70*'Activity data'!BK12*Constants!$H88*FracLEACHMM*MMLeachEF*NtoN2O*kgtoGg,IF('Net zero activities &amp; levers'!$C$12="MS",Constants!$H70*'Net zero Activity data'!BK12*Constants!$H88*FracLEACHMM*MMLeachEF*NtoN2O*kgtoGg,"ERROR")))</f>
        <v>3.8323182783511038E-3</v>
      </c>
      <c r="AS1057" s="101">
        <f>IF('Net zero activities &amp; levers'!$C$12="Off",Constants!$H70*'Activity data'!BL12*Constants!$H88*FracLEACHMM*MMLeachEF*NtoN2O*kgtoGg,IF('Net zero activities &amp; levers'!$C$12="PB",Constants!$H70*'Activity data'!BL12*Constants!$H88*FracLEACHMM*MMLeachEF*NtoN2O*kgtoGg,IF('Net zero activities &amp; levers'!$C$12="MS",Constants!$H70*'Net zero Activity data'!BL12*Constants!$H88*FracLEACHMM*MMLeachEF*NtoN2O*kgtoGg,"ERROR")))</f>
        <v>3.833205389792278E-3</v>
      </c>
      <c r="AT1057" s="101">
        <f>IF('Net zero activities &amp; levers'!$C$12="Off",Constants!$H70*'Activity data'!BM12*Constants!$H88*FracLEACHMM*MMLeachEF*NtoN2O*kgtoGg,IF('Net zero activities &amp; levers'!$C$12="PB",Constants!$H70*'Activity data'!BM12*Constants!$H88*FracLEACHMM*MMLeachEF*NtoN2O*kgtoGg,IF('Net zero activities &amp; levers'!$C$12="MS",Constants!$H70*'Net zero Activity data'!BM12*Constants!$H88*FracLEACHMM*MMLeachEF*NtoN2O*kgtoGg,"ERROR")))</f>
        <v>3.8343310625507851E-3</v>
      </c>
      <c r="AU1057" s="101">
        <f>IF('Net zero activities &amp; levers'!$C$12="Off",Constants!$H70*'Activity data'!BN12*Constants!$H88*FracLEACHMM*MMLeachEF*NtoN2O*kgtoGg,IF('Net zero activities &amp; levers'!$C$12="PB",Constants!$H70*'Activity data'!BN12*Constants!$H88*FracLEACHMM*MMLeachEF*NtoN2O*kgtoGg,IF('Net zero activities &amp; levers'!$C$12="MS",Constants!$H70*'Net zero Activity data'!BN12*Constants!$H88*FracLEACHMM*MMLeachEF*NtoN2O*kgtoGg,"ERROR")))</f>
        <v>3.8356873954802709E-3</v>
      </c>
      <c r="AV1057" s="101">
        <f>IF('Net zero activities &amp; levers'!$C$12="Off",Constants!$H70*'Activity data'!BO12*Constants!$H88*FracLEACHMM*MMLeachEF*NtoN2O*kgtoGg,IF('Net zero activities &amp; levers'!$C$12="PB",Constants!$H70*'Activity data'!BO12*Constants!$H88*FracLEACHMM*MMLeachEF*NtoN2O*kgtoGg,IF('Net zero activities &amp; levers'!$C$12="MS",Constants!$H70*'Net zero Activity data'!BO12*Constants!$H88*FracLEACHMM*MMLeachEF*NtoN2O*kgtoGg,"ERROR")))</f>
        <v>3.8372669699127259E-3</v>
      </c>
      <c r="AW1057" s="101">
        <f>IF('Net zero activities &amp; levers'!$C$12="Off",Constants!$H70*'Activity data'!BP12*Constants!$H88*FracLEACHMM*MMLeachEF*NtoN2O*kgtoGg,IF('Net zero activities &amp; levers'!$C$12="PB",Constants!$H70*'Activity data'!BP12*Constants!$H88*FracLEACHMM*MMLeachEF*NtoN2O*kgtoGg,IF('Net zero activities &amp; levers'!$C$12="MS",Constants!$H70*'Net zero Activity data'!BP12*Constants!$H88*FracLEACHMM*MMLeachEF*NtoN2O*kgtoGg,"ERROR")))</f>
        <v>3.8390628125551359E-3</v>
      </c>
      <c r="AY1057" s="85"/>
      <c r="AZ1057" s="85"/>
    </row>
    <row r="1058" spans="1:52" x14ac:dyDescent="0.25">
      <c r="A1058" s="102" t="str">
        <f t="shared" ref="A1058:A1065" si="368">B1058&amp;" "&amp;C1058</f>
        <v>DS MM Leaching</v>
      </c>
      <c r="B1058" s="102" t="s">
        <v>975</v>
      </c>
      <c r="C1058" s="102" t="s">
        <v>1334</v>
      </c>
      <c r="D1058" t="s">
        <v>369</v>
      </c>
      <c r="E1058" t="s">
        <v>64</v>
      </c>
      <c r="F1058" t="s">
        <v>63</v>
      </c>
      <c r="G1058" t="s">
        <v>1169</v>
      </c>
      <c r="H1058" t="s">
        <v>1315</v>
      </c>
      <c r="I1058" t="s">
        <v>139</v>
      </c>
      <c r="J1058" t="s">
        <v>287</v>
      </c>
      <c r="K1058" s="22">
        <f t="shared" ref="K1058:AW1058" si="369">K1555</f>
        <v>5.4321183723638063E-4</v>
      </c>
      <c r="L1058" s="22">
        <f t="shared" si="369"/>
        <v>5.4462866238069155E-4</v>
      </c>
      <c r="M1058" s="22">
        <f t="shared" si="369"/>
        <v>5.4651670738969612E-4</v>
      </c>
      <c r="N1058" s="22">
        <f t="shared" si="369"/>
        <v>5.4883399731316639E-4</v>
      </c>
      <c r="O1058" s="22">
        <f t="shared" si="369"/>
        <v>5.5160837836810213E-4</v>
      </c>
      <c r="P1058" s="22">
        <f t="shared" si="369"/>
        <v>5.5484723352096008E-4</v>
      </c>
      <c r="Q1058" s="22">
        <f t="shared" si="369"/>
        <v>5.5831016678068942E-4</v>
      </c>
      <c r="R1058" s="22">
        <f t="shared" si="369"/>
        <v>5.61947661040627E-4</v>
      </c>
      <c r="S1058" s="22">
        <f t="shared" si="369"/>
        <v>5.6532673344002258E-4</v>
      </c>
      <c r="T1058" s="22">
        <f t="shared" si="369"/>
        <v>5.6691026971513229E-4</v>
      </c>
      <c r="U1058" s="22">
        <f t="shared" si="369"/>
        <v>5.6864670501845574E-4</v>
      </c>
      <c r="V1058" s="22">
        <f t="shared" si="369"/>
        <v>5.7053824293023939E-4</v>
      </c>
      <c r="W1058" s="22">
        <f t="shared" si="369"/>
        <v>5.7259543924260763E-4</v>
      </c>
      <c r="X1058" s="22">
        <f t="shared" si="369"/>
        <v>5.7479059617442649E-4</v>
      </c>
      <c r="Y1058" s="22">
        <f t="shared" si="369"/>
        <v>5.7617814395304924E-4</v>
      </c>
      <c r="Z1058" s="22">
        <f t="shared" si="369"/>
        <v>5.7767940009102313E-4</v>
      </c>
      <c r="AA1058" s="22">
        <f t="shared" si="369"/>
        <v>5.7930057538230326E-4</v>
      </c>
      <c r="AB1058" s="22">
        <f t="shared" si="369"/>
        <v>5.8101935108040965E-4</v>
      </c>
      <c r="AC1058" s="22">
        <f t="shared" si="369"/>
        <v>5.8284260247755859E-4</v>
      </c>
      <c r="AD1058" s="22">
        <f t="shared" si="369"/>
        <v>5.8403671107952763E-4</v>
      </c>
      <c r="AE1058" s="22">
        <f t="shared" si="369"/>
        <v>5.8533173041619576E-4</v>
      </c>
      <c r="AF1058" s="22">
        <f t="shared" si="369"/>
        <v>5.8671671252614034E-4</v>
      </c>
      <c r="AG1058" s="22">
        <f t="shared" si="369"/>
        <v>5.8803501308500182E-4</v>
      </c>
      <c r="AH1058" s="22">
        <f t="shared" si="369"/>
        <v>5.8227212874330822E-4</v>
      </c>
      <c r="AI1058" s="22">
        <f t="shared" si="369"/>
        <v>5.8304320424414362E-4</v>
      </c>
      <c r="AJ1058" s="22">
        <f t="shared" si="369"/>
        <v>5.8388341826515493E-4</v>
      </c>
      <c r="AK1058" s="22">
        <f t="shared" si="369"/>
        <v>5.847899630335218E-4</v>
      </c>
      <c r="AL1058" s="22">
        <f t="shared" si="369"/>
        <v>5.8576024856299858E-4</v>
      </c>
      <c r="AM1058" s="22">
        <f t="shared" si="369"/>
        <v>5.8679188180125747E-4</v>
      </c>
      <c r="AN1058" s="22">
        <f t="shared" si="369"/>
        <v>5.8723470872871001E-4</v>
      </c>
      <c r="AO1058" s="22">
        <f t="shared" si="369"/>
        <v>5.8773280177020523E-4</v>
      </c>
      <c r="AP1058" s="22">
        <f t="shared" si="369"/>
        <v>5.8828407739591119E-4</v>
      </c>
      <c r="AQ1058" s="22">
        <f t="shared" si="369"/>
        <v>5.8888659501104234E-4</v>
      </c>
      <c r="AR1058" s="22">
        <f t="shared" si="369"/>
        <v>5.895385447102022E-4</v>
      </c>
      <c r="AS1058" s="22">
        <f t="shared" si="369"/>
        <v>5.8958940978755205E-4</v>
      </c>
      <c r="AT1058" s="22">
        <f t="shared" si="369"/>
        <v>5.8968551081379366E-4</v>
      </c>
      <c r="AU1058" s="22">
        <f t="shared" si="369"/>
        <v>5.8982522322727085E-4</v>
      </c>
      <c r="AV1058" s="22">
        <f t="shared" si="369"/>
        <v>5.9000702190384238E-4</v>
      </c>
      <c r="AW1058" s="22">
        <f t="shared" si="369"/>
        <v>5.9022947345323132E-4</v>
      </c>
      <c r="AY1058" s="85"/>
      <c r="AZ1058" s="85"/>
    </row>
    <row r="1059" spans="1:52" x14ac:dyDescent="0.25">
      <c r="A1059" s="102" t="str">
        <f t="shared" si="368"/>
        <v>DS MM Leaching</v>
      </c>
      <c r="B1059" s="102" t="s">
        <v>975</v>
      </c>
      <c r="C1059" s="102" t="s">
        <v>1334</v>
      </c>
      <c r="D1059" t="s">
        <v>369</v>
      </c>
      <c r="E1059" t="s">
        <v>64</v>
      </c>
      <c r="F1059" t="s">
        <v>63</v>
      </c>
      <c r="G1059" t="s">
        <v>1171</v>
      </c>
      <c r="H1059" t="s">
        <v>1316</v>
      </c>
      <c r="I1059" t="s">
        <v>139</v>
      </c>
      <c r="J1059" t="s">
        <v>287</v>
      </c>
      <c r="K1059" s="22">
        <f t="shared" ref="K1059:AW1059" si="370">K1556</f>
        <v>6.6990339537854613E-3</v>
      </c>
      <c r="L1059" s="22">
        <f t="shared" si="370"/>
        <v>6.7165066211643688E-3</v>
      </c>
      <c r="M1059" s="22">
        <f t="shared" si="370"/>
        <v>6.7397904981983149E-3</v>
      </c>
      <c r="N1059" s="22">
        <f t="shared" si="370"/>
        <v>6.7683679385521006E-3</v>
      </c>
      <c r="O1059" s="22">
        <f t="shared" si="370"/>
        <v>6.8025823492363574E-3</v>
      </c>
      <c r="P1059" s="22">
        <f t="shared" si="370"/>
        <v>6.8425247789720067E-3</v>
      </c>
      <c r="Q1059" s="22">
        <f t="shared" si="370"/>
        <v>6.8852305999729637E-3</v>
      </c>
      <c r="R1059" s="22">
        <f t="shared" si="370"/>
        <v>6.9300891540096266E-3</v>
      </c>
      <c r="S1059" s="22">
        <f t="shared" si="370"/>
        <v>6.9717607804068256E-3</v>
      </c>
      <c r="T1059" s="22">
        <f t="shared" si="370"/>
        <v>6.9912893741281628E-3</v>
      </c>
      <c r="U1059" s="22">
        <f t="shared" si="370"/>
        <v>7.0127035596413059E-3</v>
      </c>
      <c r="V1059" s="22">
        <f t="shared" si="370"/>
        <v>7.0360305120884007E-3</v>
      </c>
      <c r="W1059" s="22">
        <f t="shared" si="370"/>
        <v>7.0614004083267975E-3</v>
      </c>
      <c r="X1059" s="22">
        <f t="shared" si="370"/>
        <v>7.0884716718967464E-3</v>
      </c>
      <c r="Y1059" s="22">
        <f t="shared" si="370"/>
        <v>7.1055832829558596E-3</v>
      </c>
      <c r="Z1059" s="22">
        <f t="shared" si="370"/>
        <v>7.1240971759755339E-3</v>
      </c>
      <c r="AA1059" s="22">
        <f t="shared" si="370"/>
        <v>7.1440899441312785E-3</v>
      </c>
      <c r="AB1059" s="22">
        <f t="shared" si="370"/>
        <v>7.1652863466602334E-3</v>
      </c>
      <c r="AC1059" s="22">
        <f t="shared" si="370"/>
        <v>7.1877711715085417E-3</v>
      </c>
      <c r="AD1059" s="22">
        <f t="shared" si="370"/>
        <v>7.2024972388008085E-3</v>
      </c>
      <c r="AE1059" s="22">
        <f t="shared" si="370"/>
        <v>7.2184677643167576E-3</v>
      </c>
      <c r="AF1059" s="22">
        <f t="shared" si="370"/>
        <v>7.2355477348621461E-3</v>
      </c>
      <c r="AG1059" s="22">
        <f t="shared" si="370"/>
        <v>7.251805370649388E-3</v>
      </c>
      <c r="AH1059" s="22">
        <f t="shared" si="370"/>
        <v>7.1807359365347809E-3</v>
      </c>
      <c r="AI1059" s="22">
        <f t="shared" si="370"/>
        <v>7.190245046253943E-3</v>
      </c>
      <c r="AJ1059" s="22">
        <f t="shared" si="370"/>
        <v>7.2006067907325584E-3</v>
      </c>
      <c r="AK1059" s="22">
        <f t="shared" si="370"/>
        <v>7.2117865437637393E-3</v>
      </c>
      <c r="AL1059" s="22">
        <f t="shared" si="370"/>
        <v>7.2237523649430046E-3</v>
      </c>
      <c r="AM1059" s="22">
        <f t="shared" si="370"/>
        <v>7.2364747425077329E-3</v>
      </c>
      <c r="AN1059" s="22">
        <f t="shared" si="370"/>
        <v>7.2419358028516061E-3</v>
      </c>
      <c r="AO1059" s="22">
        <f t="shared" si="370"/>
        <v>7.2480784197247895E-3</v>
      </c>
      <c r="AP1059" s="22">
        <f t="shared" si="370"/>
        <v>7.2548768984790225E-3</v>
      </c>
      <c r="AQ1059" s="22">
        <f t="shared" si="370"/>
        <v>7.2623073071793384E-3</v>
      </c>
      <c r="AR1059" s="22">
        <f t="shared" si="370"/>
        <v>7.2703473255873539E-3</v>
      </c>
      <c r="AS1059" s="22">
        <f t="shared" si="370"/>
        <v>7.2709746073527197E-3</v>
      </c>
      <c r="AT1059" s="22">
        <f t="shared" si="370"/>
        <v>7.272159750962735E-3</v>
      </c>
      <c r="AU1059" s="22">
        <f t="shared" si="370"/>
        <v>7.2738827218876909E-3</v>
      </c>
      <c r="AV1059" s="22">
        <f t="shared" si="370"/>
        <v>7.2761247118879498E-3</v>
      </c>
      <c r="AW1059" s="22">
        <f t="shared" si="370"/>
        <v>7.2788680440104758E-3</v>
      </c>
      <c r="AY1059" s="85"/>
      <c r="AZ1059" s="85"/>
    </row>
    <row r="1060" spans="1:52" x14ac:dyDescent="0.25">
      <c r="A1060" s="102" t="str">
        <f t="shared" si="368"/>
        <v>DS MM Leaching</v>
      </c>
      <c r="B1060" s="102" t="s">
        <v>975</v>
      </c>
      <c r="C1060" s="102" t="s">
        <v>1334</v>
      </c>
      <c r="D1060" t="s">
        <v>369</v>
      </c>
      <c r="E1060" t="s">
        <v>64</v>
      </c>
      <c r="F1060" t="s">
        <v>63</v>
      </c>
      <c r="G1060" t="s">
        <v>1173</v>
      </c>
      <c r="H1060" t="s">
        <v>1317</v>
      </c>
      <c r="I1060" t="s">
        <v>139</v>
      </c>
      <c r="J1060" t="s">
        <v>287</v>
      </c>
      <c r="K1060" s="22">
        <f t="shared" ref="K1060:AW1060" si="371">K1557</f>
        <v>0</v>
      </c>
      <c r="L1060" s="22">
        <f t="shared" si="371"/>
        <v>0</v>
      </c>
      <c r="M1060" s="22">
        <f t="shared" si="371"/>
        <v>0</v>
      </c>
      <c r="N1060" s="22">
        <f t="shared" si="371"/>
        <v>0</v>
      </c>
      <c r="O1060" s="22">
        <f t="shared" si="371"/>
        <v>0</v>
      </c>
      <c r="P1060" s="22">
        <f t="shared" si="371"/>
        <v>0</v>
      </c>
      <c r="Q1060" s="22">
        <f t="shared" si="371"/>
        <v>0</v>
      </c>
      <c r="R1060" s="22">
        <f t="shared" si="371"/>
        <v>0</v>
      </c>
      <c r="S1060" s="22">
        <f t="shared" si="371"/>
        <v>0</v>
      </c>
      <c r="T1060" s="22">
        <f t="shared" si="371"/>
        <v>0</v>
      </c>
      <c r="U1060" s="22">
        <f t="shared" si="371"/>
        <v>0</v>
      </c>
      <c r="V1060" s="22">
        <f t="shared" si="371"/>
        <v>0</v>
      </c>
      <c r="W1060" s="22">
        <f t="shared" si="371"/>
        <v>0</v>
      </c>
      <c r="X1060" s="22">
        <f t="shared" si="371"/>
        <v>0</v>
      </c>
      <c r="Y1060" s="22">
        <f t="shared" si="371"/>
        <v>0</v>
      </c>
      <c r="Z1060" s="22">
        <f t="shared" si="371"/>
        <v>0</v>
      </c>
      <c r="AA1060" s="22">
        <f t="shared" si="371"/>
        <v>0</v>
      </c>
      <c r="AB1060" s="22">
        <f t="shared" si="371"/>
        <v>0</v>
      </c>
      <c r="AC1060" s="22">
        <f t="shared" si="371"/>
        <v>0</v>
      </c>
      <c r="AD1060" s="22">
        <f t="shared" si="371"/>
        <v>0</v>
      </c>
      <c r="AE1060" s="22">
        <f t="shared" si="371"/>
        <v>0</v>
      </c>
      <c r="AF1060" s="22">
        <f t="shared" si="371"/>
        <v>0</v>
      </c>
      <c r="AG1060" s="22">
        <f t="shared" si="371"/>
        <v>0</v>
      </c>
      <c r="AH1060" s="22">
        <f t="shared" si="371"/>
        <v>0</v>
      </c>
      <c r="AI1060" s="22">
        <f t="shared" si="371"/>
        <v>0</v>
      </c>
      <c r="AJ1060" s="22">
        <f t="shared" si="371"/>
        <v>0</v>
      </c>
      <c r="AK1060" s="22">
        <f t="shared" si="371"/>
        <v>0</v>
      </c>
      <c r="AL1060" s="22">
        <f t="shared" si="371"/>
        <v>0</v>
      </c>
      <c r="AM1060" s="22">
        <f t="shared" si="371"/>
        <v>0</v>
      </c>
      <c r="AN1060" s="22">
        <f t="shared" si="371"/>
        <v>0</v>
      </c>
      <c r="AO1060" s="22">
        <f t="shared" si="371"/>
        <v>0</v>
      </c>
      <c r="AP1060" s="22">
        <f t="shared" si="371"/>
        <v>0</v>
      </c>
      <c r="AQ1060" s="22">
        <f t="shared" si="371"/>
        <v>0</v>
      </c>
      <c r="AR1060" s="22">
        <f t="shared" si="371"/>
        <v>0</v>
      </c>
      <c r="AS1060" s="22">
        <f t="shared" si="371"/>
        <v>0</v>
      </c>
      <c r="AT1060" s="22">
        <f t="shared" si="371"/>
        <v>0</v>
      </c>
      <c r="AU1060" s="22">
        <f t="shared" si="371"/>
        <v>0</v>
      </c>
      <c r="AV1060" s="22">
        <f t="shared" si="371"/>
        <v>0</v>
      </c>
      <c r="AW1060" s="22">
        <f t="shared" si="371"/>
        <v>0</v>
      </c>
      <c r="AY1060" s="85"/>
      <c r="AZ1060" s="85"/>
    </row>
    <row r="1061" spans="1:52" x14ac:dyDescent="0.25">
      <c r="A1061" s="102" t="str">
        <f t="shared" si="368"/>
        <v>DS MM Leaching</v>
      </c>
      <c r="B1061" s="102" t="s">
        <v>975</v>
      </c>
      <c r="C1061" s="102" t="s">
        <v>1334</v>
      </c>
      <c r="D1061" t="s">
        <v>369</v>
      </c>
      <c r="E1061" t="s">
        <v>64</v>
      </c>
      <c r="F1061" t="s">
        <v>63</v>
      </c>
      <c r="G1061" t="s">
        <v>1175</v>
      </c>
      <c r="H1061" t="s">
        <v>1318</v>
      </c>
      <c r="I1061" t="s">
        <v>139</v>
      </c>
      <c r="J1061" t="s">
        <v>287</v>
      </c>
      <c r="K1061" s="22">
        <f t="shared" ref="K1061:AW1061" si="372">K1558</f>
        <v>0</v>
      </c>
      <c r="L1061" s="22">
        <f t="shared" si="372"/>
        <v>0</v>
      </c>
      <c r="M1061" s="22">
        <f t="shared" si="372"/>
        <v>0</v>
      </c>
      <c r="N1061" s="22">
        <f t="shared" si="372"/>
        <v>0</v>
      </c>
      <c r="O1061" s="22">
        <f t="shared" si="372"/>
        <v>0</v>
      </c>
      <c r="P1061" s="22">
        <f t="shared" si="372"/>
        <v>0</v>
      </c>
      <c r="Q1061" s="22">
        <f t="shared" si="372"/>
        <v>0</v>
      </c>
      <c r="R1061" s="22">
        <f t="shared" si="372"/>
        <v>0</v>
      </c>
      <c r="S1061" s="22">
        <f t="shared" si="372"/>
        <v>0</v>
      </c>
      <c r="T1061" s="22">
        <f t="shared" si="372"/>
        <v>0</v>
      </c>
      <c r="U1061" s="22">
        <f t="shared" si="372"/>
        <v>0</v>
      </c>
      <c r="V1061" s="22">
        <f t="shared" si="372"/>
        <v>0</v>
      </c>
      <c r="W1061" s="22">
        <f t="shared" si="372"/>
        <v>0</v>
      </c>
      <c r="X1061" s="22">
        <f t="shared" si="372"/>
        <v>0</v>
      </c>
      <c r="Y1061" s="22">
        <f t="shared" si="372"/>
        <v>0</v>
      </c>
      <c r="Z1061" s="22">
        <f t="shared" si="372"/>
        <v>0</v>
      </c>
      <c r="AA1061" s="22">
        <f t="shared" si="372"/>
        <v>0</v>
      </c>
      <c r="AB1061" s="22">
        <f t="shared" si="372"/>
        <v>0</v>
      </c>
      <c r="AC1061" s="22">
        <f t="shared" si="372"/>
        <v>0</v>
      </c>
      <c r="AD1061" s="22">
        <f t="shared" si="372"/>
        <v>0</v>
      </c>
      <c r="AE1061" s="22">
        <f t="shared" si="372"/>
        <v>0</v>
      </c>
      <c r="AF1061" s="22">
        <f t="shared" si="372"/>
        <v>0</v>
      </c>
      <c r="AG1061" s="22">
        <f t="shared" si="372"/>
        <v>0</v>
      </c>
      <c r="AH1061" s="22">
        <f t="shared" si="372"/>
        <v>0</v>
      </c>
      <c r="AI1061" s="22">
        <f t="shared" si="372"/>
        <v>0</v>
      </c>
      <c r="AJ1061" s="22">
        <f t="shared" si="372"/>
        <v>0</v>
      </c>
      <c r="AK1061" s="22">
        <f t="shared" si="372"/>
        <v>0</v>
      </c>
      <c r="AL1061" s="22">
        <f t="shared" si="372"/>
        <v>0</v>
      </c>
      <c r="AM1061" s="22">
        <f t="shared" si="372"/>
        <v>0</v>
      </c>
      <c r="AN1061" s="22">
        <f t="shared" si="372"/>
        <v>0</v>
      </c>
      <c r="AO1061" s="22">
        <f t="shared" si="372"/>
        <v>0</v>
      </c>
      <c r="AP1061" s="22">
        <f t="shared" si="372"/>
        <v>0</v>
      </c>
      <c r="AQ1061" s="22">
        <f t="shared" si="372"/>
        <v>0</v>
      </c>
      <c r="AR1061" s="22">
        <f t="shared" si="372"/>
        <v>0</v>
      </c>
      <c r="AS1061" s="22">
        <f t="shared" si="372"/>
        <v>0</v>
      </c>
      <c r="AT1061" s="22">
        <f t="shared" si="372"/>
        <v>0</v>
      </c>
      <c r="AU1061" s="22">
        <f t="shared" si="372"/>
        <v>0</v>
      </c>
      <c r="AV1061" s="22">
        <f t="shared" si="372"/>
        <v>0</v>
      </c>
      <c r="AW1061" s="22">
        <f t="shared" si="372"/>
        <v>0</v>
      </c>
      <c r="AY1061" s="85"/>
      <c r="AZ1061" s="85"/>
    </row>
    <row r="1062" spans="1:52" x14ac:dyDescent="0.25">
      <c r="A1062" s="102" t="str">
        <f t="shared" si="368"/>
        <v>DS MM Leaching</v>
      </c>
      <c r="B1062" s="102" t="s">
        <v>975</v>
      </c>
      <c r="C1062" s="102" t="s">
        <v>1334</v>
      </c>
      <c r="D1062" t="s">
        <v>369</v>
      </c>
      <c r="E1062" t="s">
        <v>64</v>
      </c>
      <c r="F1062" t="s">
        <v>63</v>
      </c>
      <c r="G1062" t="s">
        <v>1177</v>
      </c>
      <c r="H1062" t="s">
        <v>1319</v>
      </c>
      <c r="I1062" t="s">
        <v>139</v>
      </c>
      <c r="J1062" t="s">
        <v>287</v>
      </c>
      <c r="K1062" s="101">
        <f>IF('Net zero activities &amp; levers'!$C$12="Off",Constants!$H75*'Activity data'!AD17*Constants!$H93*FracLEACHMM*MMLeachEF*NtoN2O*kgtoGg,IF('Net zero activities &amp; levers'!$C$12="PB",Constants!$H75*'Activity data'!AD17*Constants!$H93*FracLEACHMM*MMLeachEF*NtoN2O*kgtoGg,IF('Net zero activities &amp; levers'!$C$14="MS",Constants!$H75*'Net zero Activity data'!AD17*Constants!$H93*FracLEACHMM*MMLeachEF*NtoN2O*kgtoGg,"ERROR")))</f>
        <v>2.7080534096129025E-2</v>
      </c>
      <c r="L1062" s="101">
        <f>IF('Net zero activities &amp; levers'!$C$12="Off",Constants!$H75*'Activity data'!AE17*Constants!$H93*FracLEACHMM*MMLeachEF*NtoN2O*kgtoGg,IF('Net zero activities &amp; levers'!$C$12="PB",Constants!$H75*'Activity data'!AE17*Constants!$H93*FracLEACHMM*MMLeachEF*NtoN2O*kgtoGg,IF('Net zero activities &amp; levers'!$C$14="MS",Constants!$H75*'Net zero Activity data'!AE17*Constants!$H93*FracLEACHMM*MMLeachEF*NtoN2O*kgtoGg,"ERROR")))</f>
        <v>2.6995058080291692E-2</v>
      </c>
      <c r="M1062" s="101">
        <f>IF('Net zero activities &amp; levers'!$C$12="Off",Constants!$H75*'Activity data'!AF17*Constants!$H93*FracLEACHMM*MMLeachEF*NtoN2O*kgtoGg,IF('Net zero activities &amp; levers'!$C$12="PB",Constants!$H75*'Activity data'!AF17*Constants!$H93*FracLEACHMM*MMLeachEF*NtoN2O*kgtoGg,IF('Net zero activities &amp; levers'!$C$14="MS",Constants!$H75*'Net zero Activity data'!AF17*Constants!$H93*FracLEACHMM*MMLeachEF*NtoN2O*kgtoGg,"ERROR")))</f>
        <v>2.6712389539955236E-2</v>
      </c>
      <c r="N1062" s="101">
        <f>IF('Net zero activities &amp; levers'!$C$12="Off",Constants!$H75*'Activity data'!AG17*Constants!$H93*FracLEACHMM*MMLeachEF*NtoN2O*kgtoGg,IF('Net zero activities &amp; levers'!$C$12="PB",Constants!$H75*'Activity data'!AG17*Constants!$H93*FracLEACHMM*MMLeachEF*NtoN2O*kgtoGg,IF('Net zero activities &amp; levers'!$C$14="MS",Constants!$H75*'Net zero Activity data'!AG17*Constants!$H93*FracLEACHMM*MMLeachEF*NtoN2O*kgtoGg,"ERROR")))</f>
        <v>2.6163552006630762E-2</v>
      </c>
      <c r="O1062" s="101">
        <f>IF('Net zero activities &amp; levers'!$C$12="Off",Constants!$H75*'Activity data'!AH17*Constants!$H93*FracLEACHMM*MMLeachEF*NtoN2O*kgtoGg,IF('Net zero activities &amp; levers'!$C$12="PB",Constants!$H75*'Activity data'!AH17*Constants!$H93*FracLEACHMM*MMLeachEF*NtoN2O*kgtoGg,IF('Net zero activities &amp; levers'!$C$14="MS",Constants!$H75*'Net zero Activity data'!AH17*Constants!$H93*FracLEACHMM*MMLeachEF*NtoN2O*kgtoGg,"ERROR")))</f>
        <v>2.5638728055519384E-2</v>
      </c>
      <c r="P1062" s="101">
        <f>IF('Net zero activities &amp; levers'!$C$12="Off",Constants!$H75*'Activity data'!AI17*Constants!$H93*FracLEACHMM*MMLeachEF*NtoN2O*kgtoGg,IF('Net zero activities &amp; levers'!$C$12="PB",Constants!$H75*'Activity data'!AI17*Constants!$H93*FracLEACHMM*MMLeachEF*NtoN2O*kgtoGg,IF('Net zero activities &amp; levers'!$C$14="MS",Constants!$H75*'Net zero Activity data'!AI17*Constants!$H93*FracLEACHMM*MMLeachEF*NtoN2O*kgtoGg,"ERROR")))</f>
        <v>2.5270557311936091E-2</v>
      </c>
      <c r="Q1062" s="101">
        <f>IF('Net zero activities &amp; levers'!$C$12="Off",Constants!$H75*'Activity data'!AJ17*Constants!$H93*FracLEACHMM*MMLeachEF*NtoN2O*kgtoGg,IF('Net zero activities &amp; levers'!$C$12="PB",Constants!$H75*'Activity data'!AJ17*Constants!$H93*FracLEACHMM*MMLeachEF*NtoN2O*kgtoGg,IF('Net zero activities &amp; levers'!$C$14="MS",Constants!$H75*'Net zero Activity data'!AJ17*Constants!$H93*FracLEACHMM*MMLeachEF*NtoN2O*kgtoGg,"ERROR")))</f>
        <v>2.4958747401341939E-2</v>
      </c>
      <c r="R1062" s="101">
        <f>IF('Net zero activities &amp; levers'!$C$12="Off",Constants!$H75*'Activity data'!AK17*Constants!$H93*FracLEACHMM*MMLeachEF*NtoN2O*kgtoGg,IF('Net zero activities &amp; levers'!$C$12="PB",Constants!$H75*'Activity data'!AK17*Constants!$H93*FracLEACHMM*MMLeachEF*NtoN2O*kgtoGg,IF('Net zero activities &amp; levers'!$C$14="MS",Constants!$H75*'Net zero Activity data'!AK17*Constants!$H93*FracLEACHMM*MMLeachEF*NtoN2O*kgtoGg,"ERROR")))</f>
        <v>2.4384582351632111E-2</v>
      </c>
      <c r="S1062" s="101">
        <f>IF('Net zero activities &amp; levers'!$C$12="Off",Constants!$H75*'Activity data'!AL17*Constants!$H93*FracLEACHMM*MMLeachEF*NtoN2O*kgtoGg,IF('Net zero activities &amp; levers'!$C$12="PB",Constants!$H75*'Activity data'!AL17*Constants!$H93*FracLEACHMM*MMLeachEF*NtoN2O*kgtoGg,IF('Net zero activities &amp; levers'!$C$14="MS",Constants!$H75*'Net zero Activity data'!AL17*Constants!$H93*FracLEACHMM*MMLeachEF*NtoN2O*kgtoGg,"ERROR")))</f>
        <v>2.1346855337625082E-2</v>
      </c>
      <c r="T1062" s="101">
        <f>IF('Net zero activities &amp; levers'!$C$12="Off",Constants!$H75*'Activity data'!AM17*Constants!$H93*FracLEACHMM*MMLeachEF*NtoN2O*kgtoGg,IF('Net zero activities &amp; levers'!$C$12="PB",Constants!$H75*'Activity data'!AM17*Constants!$H93*FracLEACHMM*MMLeachEF*NtoN2O*kgtoGg,IF('Net zero activities &amp; levers'!$C$14="MS",Constants!$H75*'Net zero Activity data'!AM17*Constants!$H93*FracLEACHMM*MMLeachEF*NtoN2O*kgtoGg,"ERROR")))</f>
        <v>2.1482505917310397E-2</v>
      </c>
      <c r="U1062" s="101">
        <f>IF('Net zero activities &amp; levers'!$C$12="Off",Constants!$H75*'Activity data'!AN17*Constants!$H93*FracLEACHMM*MMLeachEF*NtoN2O*kgtoGg,IF('Net zero activities &amp; levers'!$C$12="PB",Constants!$H75*'Activity data'!AN17*Constants!$H93*FracLEACHMM*MMLeachEF*NtoN2O*kgtoGg,IF('Net zero activities &amp; levers'!$C$14="MS",Constants!$H75*'Net zero Activity data'!AN17*Constants!$H93*FracLEACHMM*MMLeachEF*NtoN2O*kgtoGg,"ERROR")))</f>
        <v>2.1550596950866634E-2</v>
      </c>
      <c r="V1062" s="101">
        <f>IF('Net zero activities &amp; levers'!$C$12="Off",Constants!$H75*'Activity data'!AO17*Constants!$H93*FracLEACHMM*MMLeachEF*NtoN2O*kgtoGg,IF('Net zero activities &amp; levers'!$C$12="PB",Constants!$H75*'Activity data'!AO17*Constants!$H93*FracLEACHMM*MMLeachEF*NtoN2O*kgtoGg,IF('Net zero activities &amp; levers'!$C$14="MS",Constants!$H75*'Net zero Activity data'!AO17*Constants!$H93*FracLEACHMM*MMLeachEF*NtoN2O*kgtoGg,"ERROR")))</f>
        <v>2.1616794763907179E-2</v>
      </c>
      <c r="W1062" s="101">
        <f>IF('Net zero activities &amp; levers'!$C$12="Off",Constants!$H75*'Activity data'!AP17*Constants!$H93*FracLEACHMM*MMLeachEF*NtoN2O*kgtoGg,IF('Net zero activities &amp; levers'!$C$12="PB",Constants!$H75*'Activity data'!AP17*Constants!$H93*FracLEACHMM*MMLeachEF*NtoN2O*kgtoGg,IF('Net zero activities &amp; levers'!$C$14="MS",Constants!$H75*'Net zero Activity data'!AP17*Constants!$H93*FracLEACHMM*MMLeachEF*NtoN2O*kgtoGg,"ERROR")))</f>
        <v>2.1778489708019384E-2</v>
      </c>
      <c r="X1062" s="101">
        <f>IF('Net zero activities &amp; levers'!$C$12="Off",Constants!$H75*'Activity data'!AQ17*Constants!$H93*FracLEACHMM*MMLeachEF*NtoN2O*kgtoGg,IF('Net zero activities &amp; levers'!$C$12="PB",Constants!$H75*'Activity data'!AQ17*Constants!$H93*FracLEACHMM*MMLeachEF*NtoN2O*kgtoGg,IF('Net zero activities &amp; levers'!$C$14="MS",Constants!$H75*'Net zero Activity data'!AQ17*Constants!$H93*FracLEACHMM*MMLeachEF*NtoN2O*kgtoGg,"ERROR")))</f>
        <v>2.1934748739134539E-2</v>
      </c>
      <c r="Y1062" s="101">
        <f>IF('Net zero activities &amp; levers'!$C$12="Off",Constants!$H75*'Activity data'!AR17*Constants!$H93*FracLEACHMM*MMLeachEF*NtoN2O*kgtoGg,IF('Net zero activities &amp; levers'!$C$12="PB",Constants!$H75*'Activity data'!AR17*Constants!$H93*FracLEACHMM*MMLeachEF*NtoN2O*kgtoGg,IF('Net zero activities &amp; levers'!$C$14="MS",Constants!$H75*'Net zero Activity data'!AR17*Constants!$H93*FracLEACHMM*MMLeachEF*NtoN2O*kgtoGg,"ERROR")))</f>
        <v>2.2114017881126848E-2</v>
      </c>
      <c r="Z1062" s="101">
        <f>IF('Net zero activities &amp; levers'!$C$12="Off",Constants!$H75*'Activity data'!AS17*Constants!$H93*FracLEACHMM*MMLeachEF*NtoN2O*kgtoGg,IF('Net zero activities &amp; levers'!$C$12="PB",Constants!$H75*'Activity data'!AS17*Constants!$H93*FracLEACHMM*MMLeachEF*NtoN2O*kgtoGg,IF('Net zero activities &amp; levers'!$C$14="MS",Constants!$H75*'Net zero Activity data'!AS17*Constants!$H93*FracLEACHMM*MMLeachEF*NtoN2O*kgtoGg,"ERROR")))</f>
        <v>2.2264487150526265E-2</v>
      </c>
      <c r="AA1062" s="101">
        <f>IF('Net zero activities &amp; levers'!$C$12="Off",Constants!$H75*'Activity data'!AT17*Constants!$H93*FracLEACHMM*MMLeachEF*NtoN2O*kgtoGg,IF('Net zero activities &amp; levers'!$C$12="PB",Constants!$H75*'Activity data'!AT17*Constants!$H93*FracLEACHMM*MMLeachEF*NtoN2O*kgtoGg,IF('Net zero activities &amp; levers'!$C$14="MS",Constants!$H75*'Net zero Activity data'!AT17*Constants!$H93*FracLEACHMM*MMLeachEF*NtoN2O*kgtoGg,"ERROR")))</f>
        <v>2.2445316206361306E-2</v>
      </c>
      <c r="AB1062" s="101">
        <f>IF('Net zero activities &amp; levers'!$C$12="Off",Constants!$H75*'Activity data'!AU17*Constants!$H93*FracLEACHMM*MMLeachEF*NtoN2O*kgtoGg,IF('Net zero activities &amp; levers'!$C$12="PB",Constants!$H75*'Activity data'!AU17*Constants!$H93*FracLEACHMM*MMLeachEF*NtoN2O*kgtoGg,IF('Net zero activities &amp; levers'!$C$14="MS",Constants!$H75*'Net zero Activity data'!AU17*Constants!$H93*FracLEACHMM*MMLeachEF*NtoN2O*kgtoGg,"ERROR")))</f>
        <v>2.2576949368517302E-2</v>
      </c>
      <c r="AC1062" s="101">
        <f>IF('Net zero activities &amp; levers'!$C$12="Off",Constants!$H75*'Activity data'!AV17*Constants!$H93*FracLEACHMM*MMLeachEF*NtoN2O*kgtoGg,IF('Net zero activities &amp; levers'!$C$12="PB",Constants!$H75*'Activity data'!AV17*Constants!$H93*FracLEACHMM*MMLeachEF*NtoN2O*kgtoGg,IF('Net zero activities &amp; levers'!$C$14="MS",Constants!$H75*'Net zero Activity data'!AV17*Constants!$H93*FracLEACHMM*MMLeachEF*NtoN2O*kgtoGg,"ERROR")))</f>
        <v>2.271541592892265E-2</v>
      </c>
      <c r="AD1062" s="101">
        <f>IF('Net zero activities &amp; levers'!$C$12="Off",Constants!$H75*'Activity data'!AW17*Constants!$H93*FracLEACHMM*MMLeachEF*NtoN2O*kgtoGg,IF('Net zero activities &amp; levers'!$C$12="PB",Constants!$H75*'Activity data'!AW17*Constants!$H93*FracLEACHMM*MMLeachEF*NtoN2O*kgtoGg,IF('Net zero activities &amp; levers'!$C$14="MS",Constants!$H75*'Net zero Activity data'!AW17*Constants!$H93*FracLEACHMM*MMLeachEF*NtoN2O*kgtoGg,"ERROR")))</f>
        <v>2.2970809719090692E-2</v>
      </c>
      <c r="AE1062" s="101">
        <f>IF('Net zero activities &amp; levers'!$C$12="Off",Constants!$H75*'Activity data'!AX17*Constants!$H93*FracLEACHMM*MMLeachEF*NtoN2O*kgtoGg,IF('Net zero activities &amp; levers'!$C$12="PB",Constants!$H75*'Activity data'!AX17*Constants!$H93*FracLEACHMM*MMLeachEF*NtoN2O*kgtoGg,IF('Net zero activities &amp; levers'!$C$14="MS",Constants!$H75*'Net zero Activity data'!AX17*Constants!$H93*FracLEACHMM*MMLeachEF*NtoN2O*kgtoGg,"ERROR")))</f>
        <v>2.3269151361655305E-2</v>
      </c>
      <c r="AF1062" s="101">
        <f>IF('Net zero activities &amp; levers'!$C$12="Off",Constants!$H75*'Activity data'!AY17*Constants!$H93*FracLEACHMM*MMLeachEF*NtoN2O*kgtoGg,IF('Net zero activities &amp; levers'!$C$12="PB",Constants!$H75*'Activity data'!AY17*Constants!$H93*FracLEACHMM*MMLeachEF*NtoN2O*kgtoGg,IF('Net zero activities &amp; levers'!$C$14="MS",Constants!$H75*'Net zero Activity data'!AY17*Constants!$H93*FracLEACHMM*MMLeachEF*NtoN2O*kgtoGg,"ERROR")))</f>
        <v>2.3577881186145462E-2</v>
      </c>
      <c r="AG1062" s="101">
        <f>IF('Net zero activities &amp; levers'!$C$12="Off",Constants!$H75*'Activity data'!AZ17*Constants!$H93*FracLEACHMM*MMLeachEF*NtoN2O*kgtoGg,IF('Net zero activities &amp; levers'!$C$12="PB",Constants!$H75*'Activity data'!AZ17*Constants!$H93*FracLEACHMM*MMLeachEF*NtoN2O*kgtoGg,IF('Net zero activities &amp; levers'!$C$14="MS",Constants!$H75*'Net zero Activity data'!AZ17*Constants!$H93*FracLEACHMM*MMLeachEF*NtoN2O*kgtoGg,"ERROR")))</f>
        <v>2.3230896400696678E-2</v>
      </c>
      <c r="AH1062" s="101">
        <f>IF('Net zero activities &amp; levers'!$C$12="Off",Constants!$H75*'Activity data'!BA17*Constants!$H93*FracLEACHMM*MMLeachEF*NtoN2O*kgtoGg,IF('Net zero activities &amp; levers'!$C$12="PB",Constants!$H75*'Activity data'!BA17*Constants!$H93*FracLEACHMM*MMLeachEF*NtoN2O*kgtoGg,IF('Net zero activities &amp; levers'!$C$14="MS",Constants!$H75*'Net zero Activity data'!BA17*Constants!$H93*FracLEACHMM*MMLeachEF*NtoN2O*kgtoGg,"ERROR")))</f>
        <v>-7.8382777121831278E-3</v>
      </c>
      <c r="AI1062" s="101">
        <f>IF('Net zero activities &amp; levers'!$C$12="Off",Constants!$H75*'Activity data'!BB17*Constants!$H93*FracLEACHMM*MMLeachEF*NtoN2O*kgtoGg,IF('Net zero activities &amp; levers'!$C$12="PB",Constants!$H75*'Activity data'!BB17*Constants!$H93*FracLEACHMM*MMLeachEF*NtoN2O*kgtoGg,IF('Net zero activities &amp; levers'!$C$14="MS",Constants!$H75*'Net zero Activity data'!BB17*Constants!$H93*FracLEACHMM*MMLeachEF*NtoN2O*kgtoGg,"ERROR")))</f>
        <v>-7.7525396142955495E-3</v>
      </c>
      <c r="AJ1062" s="101">
        <f>IF('Net zero activities &amp; levers'!$C$12="Off",Constants!$H75*'Activity data'!BC17*Constants!$H93*FracLEACHMM*MMLeachEF*NtoN2O*kgtoGg,IF('Net zero activities &amp; levers'!$C$12="PB",Constants!$H75*'Activity data'!BC17*Constants!$H93*FracLEACHMM*MMLeachEF*NtoN2O*kgtoGg,IF('Net zero activities &amp; levers'!$C$14="MS",Constants!$H75*'Net zero Activity data'!BC17*Constants!$H93*FracLEACHMM*MMLeachEF*NtoN2O*kgtoGg,"ERROR")))</f>
        <v>-7.6686379044997068E-3</v>
      </c>
      <c r="AK1062" s="101">
        <f>IF('Net zero activities &amp; levers'!$C$12="Off",Constants!$H75*'Activity data'!BD17*Constants!$H93*FracLEACHMM*MMLeachEF*NtoN2O*kgtoGg,IF('Net zero activities &amp; levers'!$C$12="PB",Constants!$H75*'Activity data'!BD17*Constants!$H93*FracLEACHMM*MMLeachEF*NtoN2O*kgtoGg,IF('Net zero activities &amp; levers'!$C$14="MS",Constants!$H75*'Net zero Activity data'!BD17*Constants!$H93*FracLEACHMM*MMLeachEF*NtoN2O*kgtoGg,"ERROR")))</f>
        <v>-7.586452448594779E-3</v>
      </c>
      <c r="AL1062" s="101">
        <f>IF('Net zero activities &amp; levers'!$C$12="Off",Constants!$H75*'Activity data'!BE17*Constants!$H93*FracLEACHMM*MMLeachEF*NtoN2O*kgtoGg,IF('Net zero activities &amp; levers'!$C$12="PB",Constants!$H75*'Activity data'!BE17*Constants!$H93*FracLEACHMM*MMLeachEF*NtoN2O*kgtoGg,IF('Net zero activities &amp; levers'!$C$14="MS",Constants!$H75*'Net zero Activity data'!BE17*Constants!$H93*FracLEACHMM*MMLeachEF*NtoN2O*kgtoGg,"ERROR")))</f>
        <v>-7.5058719086197852E-3</v>
      </c>
      <c r="AM1062" s="101">
        <f>IF('Net zero activities &amp; levers'!$C$12="Off",Constants!$H75*'Activity data'!BF17*Constants!$H93*FracLEACHMM*MMLeachEF*NtoN2O*kgtoGg,IF('Net zero activities &amp; levers'!$C$12="PB",Constants!$H75*'Activity data'!BF17*Constants!$H93*FracLEACHMM*MMLeachEF*NtoN2O*kgtoGg,IF('Net zero activities &amp; levers'!$C$14="MS",Constants!$H75*'Net zero Activity data'!BF17*Constants!$H93*FracLEACHMM*MMLeachEF*NtoN2O*kgtoGg,"ERROR")))</f>
        <v>-7.4267928922061455E-3</v>
      </c>
      <c r="AN1062" s="101">
        <f>IF('Net zero activities &amp; levers'!$C$12="Off",Constants!$H75*'Activity data'!BG17*Constants!$H93*FracLEACHMM*MMLeachEF*NtoN2O*kgtoGg,IF('Net zero activities &amp; levers'!$C$12="PB",Constants!$H75*'Activity data'!BG17*Constants!$H93*FracLEACHMM*MMLeachEF*NtoN2O*kgtoGg,IF('Net zero activities &amp; levers'!$C$14="MS",Constants!$H75*'Net zero Activity data'!BG17*Constants!$H93*FracLEACHMM*MMLeachEF*NtoN2O*kgtoGg,"ERROR")))</f>
        <v>-7.3400589670898171E-3</v>
      </c>
      <c r="AO1062" s="101">
        <f>IF('Net zero activities &amp; levers'!$C$12="Off",Constants!$H75*'Activity data'!BH17*Constants!$H93*FracLEACHMM*MMLeachEF*NtoN2O*kgtoGg,IF('Net zero activities &amp; levers'!$C$12="PB",Constants!$H75*'Activity data'!BH17*Constants!$H93*FracLEACHMM*MMLeachEF*NtoN2O*kgtoGg,IF('Net zero activities &amp; levers'!$C$14="MS",Constants!$H75*'Net zero Activity data'!BH17*Constants!$H93*FracLEACHMM*MMLeachEF*NtoN2O*kgtoGg,"ERROR")))</f>
        <v>-7.2548542835376628E-3</v>
      </c>
      <c r="AP1062" s="101">
        <f>IF('Net zero activities &amp; levers'!$C$12="Off",Constants!$H75*'Activity data'!BI17*Constants!$H93*FracLEACHMM*MMLeachEF*NtoN2O*kgtoGg,IF('Net zero activities &amp; levers'!$C$12="PB",Constants!$H75*'Activity data'!BI17*Constants!$H93*FracLEACHMM*MMLeachEF*NtoN2O*kgtoGg,IF('Net zero activities &amp; levers'!$C$14="MS",Constants!$H75*'Net zero Activity data'!BI17*Constants!$H93*FracLEACHMM*MMLeachEF*NtoN2O*kgtoGg,"ERROR")))</f>
        <v>-7.1710895268481756E-3</v>
      </c>
      <c r="AQ1062" s="101">
        <f>IF('Net zero activities &amp; levers'!$C$12="Off",Constants!$H75*'Activity data'!BJ17*Constants!$H93*FracLEACHMM*MMLeachEF*NtoN2O*kgtoGg,IF('Net zero activities &amp; levers'!$C$12="PB",Constants!$H75*'Activity data'!BJ17*Constants!$H93*FracLEACHMM*MMLeachEF*NtoN2O*kgtoGg,IF('Net zero activities &amp; levers'!$C$14="MS",Constants!$H75*'Net zero Activity data'!BJ17*Constants!$H93*FracLEACHMM*MMLeachEF*NtoN2O*kgtoGg,"ERROR")))</f>
        <v>-7.0886812161586998E-3</v>
      </c>
      <c r="AR1062" s="101">
        <f>IF('Net zero activities &amp; levers'!$C$12="Off",Constants!$H75*'Activity data'!BK17*Constants!$H93*FracLEACHMM*MMLeachEF*NtoN2O*kgtoGg,IF('Net zero activities &amp; levers'!$C$12="PB",Constants!$H75*'Activity data'!BK17*Constants!$H93*FracLEACHMM*MMLeachEF*NtoN2O*kgtoGg,IF('Net zero activities &amp; levers'!$C$14="MS",Constants!$H75*'Net zero Activity data'!BK17*Constants!$H93*FracLEACHMM*MMLeachEF*NtoN2O*kgtoGg,"ERROR")))</f>
        <v>-7.0075512003870211E-3</v>
      </c>
      <c r="AS1062" s="101">
        <f>IF('Net zero activities &amp; levers'!$C$12="Off",Constants!$H75*'Activity data'!BL17*Constants!$H93*FracLEACHMM*MMLeachEF*NtoN2O*kgtoGg,IF('Net zero activities &amp; levers'!$C$12="PB",Constants!$H75*'Activity data'!BL17*Constants!$H93*FracLEACHMM*MMLeachEF*NtoN2O*kgtoGg,IF('Net zero activities &amp; levers'!$C$14="MS",Constants!$H75*'Net zero Activity data'!BL17*Constants!$H93*FracLEACHMM*MMLeachEF*NtoN2O*kgtoGg,"ERROR")))</f>
        <v>-6.9191376458643079E-3</v>
      </c>
      <c r="AT1062" s="101">
        <f>IF('Net zero activities &amp; levers'!$C$12="Off",Constants!$H75*'Activity data'!BM17*Constants!$H93*FracLEACHMM*MMLeachEF*NtoN2O*kgtoGg,IF('Net zero activities &amp; levers'!$C$12="PB",Constants!$H75*'Activity data'!BM17*Constants!$H93*FracLEACHMM*MMLeachEF*NtoN2O*kgtoGg,IF('Net zero activities &amp; levers'!$C$14="MS",Constants!$H75*'Net zero Activity data'!BM17*Constants!$H93*FracLEACHMM*MMLeachEF*NtoN2O*kgtoGg,"ERROR")))</f>
        <v>-6.8320744878094938E-3</v>
      </c>
      <c r="AU1062" s="101">
        <f>IF('Net zero activities &amp; levers'!$C$12="Off",Constants!$H75*'Activity data'!BN17*Constants!$H93*FracLEACHMM*MMLeachEF*NtoN2O*kgtoGg,IF('Net zero activities &amp; levers'!$C$12="PB",Constants!$H75*'Activity data'!BN17*Constants!$H93*FracLEACHMM*MMLeachEF*NtoN2O*kgtoGg,IF('Net zero activities &amp; levers'!$C$14="MS",Constants!$H75*'Net zero Activity data'!BN17*Constants!$H93*FracLEACHMM*MMLeachEF*NtoN2O*kgtoGg,"ERROR")))</f>
        <v>-6.7462922163727323E-3</v>
      </c>
      <c r="AV1062" s="101">
        <f>IF('Net zero activities &amp; levers'!$C$12="Off",Constants!$H75*'Activity data'!BO17*Constants!$H93*FracLEACHMM*MMLeachEF*NtoN2O*kgtoGg,IF('Net zero activities &amp; levers'!$C$12="PB",Constants!$H75*'Activity data'!BO17*Constants!$H93*FracLEACHMM*MMLeachEF*NtoN2O*kgtoGg,IF('Net zero activities &amp; levers'!$C$14="MS",Constants!$H75*'Net zero Activity data'!BO17*Constants!$H93*FracLEACHMM*MMLeachEF*NtoN2O*kgtoGg,"ERROR")))</f>
        <v>-6.6617254285893414E-3</v>
      </c>
      <c r="AW1062" s="101">
        <f>IF('Net zero activities &amp; levers'!$C$12="Off",Constants!$H75*'Activity data'!BP17*Constants!$H93*FracLEACHMM*MMLeachEF*NtoN2O*kgtoGg,IF('Net zero activities &amp; levers'!$C$12="PB",Constants!$H75*'Activity data'!BP17*Constants!$H93*FracLEACHMM*MMLeachEF*NtoN2O*kgtoGg,IF('Net zero activities &amp; levers'!$C$14="MS",Constants!$H75*'Net zero Activity data'!BP17*Constants!$H93*FracLEACHMM*MMLeachEF*NtoN2O*kgtoGg,"ERROR")))</f>
        <v>-6.5783125081778221E-3</v>
      </c>
      <c r="AY1062" s="85"/>
      <c r="AZ1062" s="85"/>
    </row>
    <row r="1063" spans="1:52" x14ac:dyDescent="0.25">
      <c r="A1063" s="102" t="str">
        <f t="shared" si="368"/>
        <v>DS MM Leaching</v>
      </c>
      <c r="B1063" s="102" t="s">
        <v>975</v>
      </c>
      <c r="C1063" s="102" t="s">
        <v>1334</v>
      </c>
      <c r="D1063" t="s">
        <v>369</v>
      </c>
      <c r="E1063" t="s">
        <v>64</v>
      </c>
      <c r="F1063" t="s">
        <v>63</v>
      </c>
      <c r="G1063" t="s">
        <v>1179</v>
      </c>
      <c r="H1063" t="s">
        <v>1320</v>
      </c>
      <c r="I1063" t="s">
        <v>139</v>
      </c>
      <c r="J1063" t="s">
        <v>287</v>
      </c>
      <c r="K1063" s="101">
        <f>IF('Net zero activities &amp; levers'!$C$12="Off",Constants!$H76*'Activity data'!AD18*Constants!$H94*FracLEACHMM*MMLeachEF*NtoN2O*kgtoGg,IF('Net zero activities &amp; levers'!$C$12="PB",Constants!$H76*'Activity data'!AD18*Constants!$H94*FracLEACHMM*MMLeachEF*NtoN2O*kgtoGg,IF('Net zero activities &amp; levers'!$C$14="MS",Constants!$H76*'Net zero Activity data'!AD18*Constants!$H94*FracLEACHMM*MMLeachEF*NtoN2O*kgtoGg,"ERROR")))</f>
        <v>4.0473192123070822E-3</v>
      </c>
      <c r="L1063" s="101">
        <f>IF('Net zero activities &amp; levers'!$C$12="Off",Constants!$H76*'Activity data'!AE18*Constants!$H94*FracLEACHMM*MMLeachEF*NtoN2O*kgtoGg,IF('Net zero activities &amp; levers'!$C$12="PB",Constants!$H76*'Activity data'!AE18*Constants!$H94*FracLEACHMM*MMLeachEF*NtoN2O*kgtoGg,IF('Net zero activities &amp; levers'!$C$14="MS",Constants!$H76*'Net zero Activity data'!AE18*Constants!$H94*FracLEACHMM*MMLeachEF*NtoN2O*kgtoGg,"ERROR")))</f>
        <v>4.0345444007076556E-3</v>
      </c>
      <c r="M1063" s="101">
        <f>IF('Net zero activities &amp; levers'!$C$12="Off",Constants!$H76*'Activity data'!AF18*Constants!$H94*FracLEACHMM*MMLeachEF*NtoN2O*kgtoGg,IF('Net zero activities &amp; levers'!$C$12="PB",Constants!$H76*'Activity data'!AF18*Constants!$H94*FracLEACHMM*MMLeachEF*NtoN2O*kgtoGg,IF('Net zero activities &amp; levers'!$C$14="MS",Constants!$H76*'Net zero Activity data'!AF18*Constants!$H94*FracLEACHMM*MMLeachEF*NtoN2O*kgtoGg,"ERROR")))</f>
        <v>3.9922981950029426E-3</v>
      </c>
      <c r="N1063" s="101">
        <f>IF('Net zero activities &amp; levers'!$C$12="Off",Constants!$H76*'Activity data'!AG18*Constants!$H94*FracLEACHMM*MMLeachEF*NtoN2O*kgtoGg,IF('Net zero activities &amp; levers'!$C$12="PB",Constants!$H76*'Activity data'!AG18*Constants!$H94*FracLEACHMM*MMLeachEF*NtoN2O*kgtoGg,IF('Net zero activities &amp; levers'!$C$14="MS",Constants!$H76*'Net zero Activity data'!AG18*Constants!$H94*FracLEACHMM*MMLeachEF*NtoN2O*kgtoGg,"ERROR")))</f>
        <v>3.9102717222172061E-3</v>
      </c>
      <c r="O1063" s="101">
        <f>IF('Net zero activities &amp; levers'!$C$12="Off",Constants!$H76*'Activity data'!AH18*Constants!$H94*FracLEACHMM*MMLeachEF*NtoN2O*kgtoGg,IF('Net zero activities &amp; levers'!$C$12="PB",Constants!$H76*'Activity data'!AH18*Constants!$H94*FracLEACHMM*MMLeachEF*NtoN2O*kgtoGg,IF('Net zero activities &amp; levers'!$C$14="MS",Constants!$H76*'Net zero Activity data'!AH18*Constants!$H94*FracLEACHMM*MMLeachEF*NtoN2O*kgtoGg,"ERROR")))</f>
        <v>3.8318341975778526E-3</v>
      </c>
      <c r="P1063" s="101">
        <f>IF('Net zero activities &amp; levers'!$C$12="Off",Constants!$H76*'Activity data'!AI18*Constants!$H94*FracLEACHMM*MMLeachEF*NtoN2O*kgtoGg,IF('Net zero activities &amp; levers'!$C$12="PB",Constants!$H76*'Activity data'!AI18*Constants!$H94*FracLEACHMM*MMLeachEF*NtoN2O*kgtoGg,IF('Net zero activities &amp; levers'!$C$14="MS",Constants!$H76*'Net zero Activity data'!AI18*Constants!$H94*FracLEACHMM*MMLeachEF*NtoN2O*kgtoGg,"ERROR")))</f>
        <v>3.7768092664363703E-3</v>
      </c>
      <c r="Q1063" s="101">
        <f>IF('Net zero activities &amp; levers'!$C$12="Off",Constants!$H76*'Activity data'!AJ18*Constants!$H94*FracLEACHMM*MMLeachEF*NtoN2O*kgtoGg,IF('Net zero activities &amp; levers'!$C$12="PB",Constants!$H76*'Activity data'!AJ18*Constants!$H94*FracLEACHMM*MMLeachEF*NtoN2O*kgtoGg,IF('Net zero activities &amp; levers'!$C$14="MS",Constants!$H76*'Net zero Activity data'!AJ18*Constants!$H94*FracLEACHMM*MMLeachEF*NtoN2O*kgtoGg,"ERROR")))</f>
        <v>3.7302077394038642E-3</v>
      </c>
      <c r="R1063" s="101">
        <f>IF('Net zero activities &amp; levers'!$C$12="Off",Constants!$H76*'Activity data'!AK18*Constants!$H94*FracLEACHMM*MMLeachEF*NtoN2O*kgtoGg,IF('Net zero activities &amp; levers'!$C$12="PB",Constants!$H76*'Activity data'!AK18*Constants!$H94*FracLEACHMM*MMLeachEF*NtoN2O*kgtoGg,IF('Net zero activities &amp; levers'!$C$14="MS",Constants!$H76*'Net zero Activity data'!AK18*Constants!$H94*FracLEACHMM*MMLeachEF*NtoN2O*kgtoGg,"ERROR")))</f>
        <v>3.6443959445376013E-3</v>
      </c>
      <c r="S1063" s="101">
        <f>IF('Net zero activities &amp; levers'!$C$12="Off",Constants!$H76*'Activity data'!AL18*Constants!$H94*FracLEACHMM*MMLeachEF*NtoN2O*kgtoGg,IF('Net zero activities &amp; levers'!$C$12="PB",Constants!$H76*'Activity data'!AL18*Constants!$H94*FracLEACHMM*MMLeachEF*NtoN2O*kgtoGg,IF('Net zero activities &amp; levers'!$C$14="MS",Constants!$H76*'Net zero Activity data'!AL18*Constants!$H94*FracLEACHMM*MMLeachEF*NtoN2O*kgtoGg,"ERROR")))</f>
        <v>3.1903926792440892E-3</v>
      </c>
      <c r="T1063" s="101">
        <f>IF('Net zero activities &amp; levers'!$C$12="Off",Constants!$H76*'Activity data'!AM18*Constants!$H94*FracLEACHMM*MMLeachEF*NtoN2O*kgtoGg,IF('Net zero activities &amp; levers'!$C$12="PB",Constants!$H76*'Activity data'!AM18*Constants!$H94*FracLEACHMM*MMLeachEF*NtoN2O*kgtoGg,IF('Net zero activities &amp; levers'!$C$14="MS",Constants!$H76*'Net zero Activity data'!AM18*Constants!$H94*FracLEACHMM*MMLeachEF*NtoN2O*kgtoGg,"ERROR")))</f>
        <v>3.2106663265573984E-3</v>
      </c>
      <c r="U1063" s="101">
        <f>IF('Net zero activities &amp; levers'!$C$12="Off",Constants!$H76*'Activity data'!AN18*Constants!$H94*FracLEACHMM*MMLeachEF*NtoN2O*kgtoGg,IF('Net zero activities &amp; levers'!$C$12="PB",Constants!$H76*'Activity data'!AN18*Constants!$H94*FracLEACHMM*MMLeachEF*NtoN2O*kgtoGg,IF('Net zero activities &amp; levers'!$C$14="MS",Constants!$H76*'Net zero Activity data'!AN18*Constants!$H94*FracLEACHMM*MMLeachEF*NtoN2O*kgtoGg,"ERROR")))</f>
        <v>3.2208428669210313E-3</v>
      </c>
      <c r="V1063" s="101">
        <f>IF('Net zero activities &amp; levers'!$C$12="Off",Constants!$H76*'Activity data'!AO18*Constants!$H94*FracLEACHMM*MMLeachEF*NtoN2O*kgtoGg,IF('Net zero activities &amp; levers'!$C$12="PB",Constants!$H76*'Activity data'!AO18*Constants!$H94*FracLEACHMM*MMLeachEF*NtoN2O*kgtoGg,IF('Net zero activities &amp; levers'!$C$14="MS",Constants!$H76*'Net zero Activity data'!AO18*Constants!$H94*FracLEACHMM*MMLeachEF*NtoN2O*kgtoGg,"ERROR")))</f>
        <v>3.2307364561530842E-3</v>
      </c>
      <c r="W1063" s="101">
        <f>IF('Net zero activities &amp; levers'!$C$12="Off",Constants!$H76*'Activity data'!AP18*Constants!$H94*FracLEACHMM*MMLeachEF*NtoN2O*kgtoGg,IF('Net zero activities &amp; levers'!$C$12="PB",Constants!$H76*'Activity data'!AP18*Constants!$H94*FracLEACHMM*MMLeachEF*NtoN2O*kgtoGg,IF('Net zero activities &amp; levers'!$C$14="MS",Constants!$H76*'Net zero Activity data'!AP18*Constants!$H94*FracLEACHMM*MMLeachEF*NtoN2O*kgtoGg,"ERROR")))</f>
        <v>3.254902562017731E-3</v>
      </c>
      <c r="X1063" s="101">
        <f>IF('Net zero activities &amp; levers'!$C$12="Off",Constants!$H76*'Activity data'!AQ18*Constants!$H94*FracLEACHMM*MMLeachEF*NtoN2O*kgtoGg,IF('Net zero activities &amp; levers'!$C$12="PB",Constants!$H76*'Activity data'!AQ18*Constants!$H94*FracLEACHMM*MMLeachEF*NtoN2O*kgtoGg,IF('Net zero activities &amp; levers'!$C$14="MS",Constants!$H76*'Net zero Activity data'!AQ18*Constants!$H94*FracLEACHMM*MMLeachEF*NtoN2O*kgtoGg,"ERROR")))</f>
        <v>3.2782562439090815E-3</v>
      </c>
      <c r="Y1063" s="101">
        <f>IF('Net zero activities &amp; levers'!$C$12="Off",Constants!$H76*'Activity data'!AR18*Constants!$H94*FracLEACHMM*MMLeachEF*NtoN2O*kgtoGg,IF('Net zero activities &amp; levers'!$C$12="PB",Constants!$H76*'Activity data'!AR18*Constants!$H94*FracLEACHMM*MMLeachEF*NtoN2O*kgtoGg,IF('Net zero activities &amp; levers'!$C$14="MS",Constants!$H76*'Net zero Activity data'!AR18*Constants!$H94*FracLEACHMM*MMLeachEF*NtoN2O*kgtoGg,"ERROR")))</f>
        <v>3.3050489002128215E-3</v>
      </c>
      <c r="Z1063" s="101">
        <f>IF('Net zero activities &amp; levers'!$C$12="Off",Constants!$H76*'Activity data'!AS18*Constants!$H94*FracLEACHMM*MMLeachEF*NtoN2O*kgtoGg,IF('Net zero activities &amp; levers'!$C$12="PB",Constants!$H76*'Activity data'!AS18*Constants!$H94*FracLEACHMM*MMLeachEF*NtoN2O*kgtoGg,IF('Net zero activities &amp; levers'!$C$14="MS",Constants!$H76*'Net zero Activity data'!AS18*Constants!$H94*FracLEACHMM*MMLeachEF*NtoN2O*kgtoGg,"ERROR")))</f>
        <v>3.3275372736969E-3</v>
      </c>
      <c r="AA1063" s="101">
        <f>IF('Net zero activities &amp; levers'!$C$12="Off",Constants!$H76*'Activity data'!AT18*Constants!$H94*FracLEACHMM*MMLeachEF*NtoN2O*kgtoGg,IF('Net zero activities &amp; levers'!$C$12="PB",Constants!$H76*'Activity data'!AT18*Constants!$H94*FracLEACHMM*MMLeachEF*NtoN2O*kgtoGg,IF('Net zero activities &amp; levers'!$C$14="MS",Constants!$H76*'Net zero Activity data'!AT18*Constants!$H94*FracLEACHMM*MMLeachEF*NtoN2O*kgtoGg,"ERROR")))</f>
        <v>3.3545630668081641E-3</v>
      </c>
      <c r="AB1063" s="101">
        <f>IF('Net zero activities &amp; levers'!$C$12="Off",Constants!$H76*'Activity data'!AU18*Constants!$H94*FracLEACHMM*MMLeachEF*NtoN2O*kgtoGg,IF('Net zero activities &amp; levers'!$C$12="PB",Constants!$H76*'Activity data'!AU18*Constants!$H94*FracLEACHMM*MMLeachEF*NtoN2O*kgtoGg,IF('Net zero activities &amp; levers'!$C$14="MS",Constants!$H76*'Net zero Activity data'!AU18*Constants!$H94*FracLEACHMM*MMLeachEF*NtoN2O*kgtoGg,"ERROR")))</f>
        <v>3.374236291282967E-3</v>
      </c>
      <c r="AC1063" s="101">
        <f>IF('Net zero activities &amp; levers'!$C$12="Off",Constants!$H76*'Activity data'!AV18*Constants!$H94*FracLEACHMM*MMLeachEF*NtoN2O*kgtoGg,IF('Net zero activities &amp; levers'!$C$12="PB",Constants!$H76*'Activity data'!AV18*Constants!$H94*FracLEACHMM*MMLeachEF*NtoN2O*kgtoGg,IF('Net zero activities &amp; levers'!$C$14="MS",Constants!$H76*'Net zero Activity data'!AV18*Constants!$H94*FracLEACHMM*MMLeachEF*NtoN2O*kgtoGg,"ERROR")))</f>
        <v>3.3949308007856708E-3</v>
      </c>
      <c r="AD1063" s="101">
        <f>IF('Net zero activities &amp; levers'!$C$12="Off",Constants!$H76*'Activity data'!AW18*Constants!$H94*FracLEACHMM*MMLeachEF*NtoN2O*kgtoGg,IF('Net zero activities &amp; levers'!$C$12="PB",Constants!$H76*'Activity data'!AW18*Constants!$H94*FracLEACHMM*MMLeachEF*NtoN2O*kgtoGg,IF('Net zero activities &amp; levers'!$C$14="MS",Constants!$H76*'Net zero Activity data'!AW18*Constants!$H94*FracLEACHMM*MMLeachEF*NtoN2O*kgtoGg,"ERROR")))</f>
        <v>3.4331006607294153E-3</v>
      </c>
      <c r="AE1063" s="101">
        <f>IF('Net zero activities &amp; levers'!$C$12="Off",Constants!$H76*'Activity data'!AX18*Constants!$H94*FracLEACHMM*MMLeachEF*NtoN2O*kgtoGg,IF('Net zero activities &amp; levers'!$C$12="PB",Constants!$H76*'Activity data'!AX18*Constants!$H94*FracLEACHMM*MMLeachEF*NtoN2O*kgtoGg,IF('Net zero activities &amp; levers'!$C$14="MS",Constants!$H76*'Net zero Activity data'!AX18*Constants!$H94*FracLEACHMM*MMLeachEF*NtoN2O*kgtoGg,"ERROR")))</f>
        <v>3.4776892887637355E-3</v>
      </c>
      <c r="AF1063" s="101">
        <f>IF('Net zero activities &amp; levers'!$C$12="Off",Constants!$H76*'Activity data'!AY18*Constants!$H94*FracLEACHMM*MMLeachEF*NtoN2O*kgtoGg,IF('Net zero activities &amp; levers'!$C$12="PB",Constants!$H76*'Activity data'!AY18*Constants!$H94*FracLEACHMM*MMLeachEF*NtoN2O*kgtoGg,IF('Net zero activities &amp; levers'!$C$14="MS",Constants!$H76*'Net zero Activity data'!AY18*Constants!$H94*FracLEACHMM*MMLeachEF*NtoN2O*kgtoGg,"ERROR")))</f>
        <v>3.5238304817562988E-3</v>
      </c>
      <c r="AG1063" s="101">
        <f>IF('Net zero activities &amp; levers'!$C$12="Off",Constants!$H76*'Activity data'!AZ18*Constants!$H94*FracLEACHMM*MMLeachEF*NtoN2O*kgtoGg,IF('Net zero activities &amp; levers'!$C$12="PB",Constants!$H76*'Activity data'!AZ18*Constants!$H94*FracLEACHMM*MMLeachEF*NtoN2O*kgtoGg,IF('Net zero activities &amp; levers'!$C$14="MS",Constants!$H76*'Net zero Activity data'!AZ18*Constants!$H94*FracLEACHMM*MMLeachEF*NtoN2O*kgtoGg,"ERROR")))</f>
        <v>3.4719718964145189E-3</v>
      </c>
      <c r="AH1063" s="101">
        <f>IF('Net zero activities &amp; levers'!$C$12="Off",Constants!$H76*'Activity data'!BA18*Constants!$H94*FracLEACHMM*MMLeachEF*NtoN2O*kgtoGg,IF('Net zero activities &amp; levers'!$C$12="PB",Constants!$H76*'Activity data'!BA18*Constants!$H94*FracLEACHMM*MMLeachEF*NtoN2O*kgtoGg,IF('Net zero activities &amp; levers'!$C$14="MS",Constants!$H76*'Net zero Activity data'!BA18*Constants!$H94*FracLEACHMM*MMLeachEF*NtoN2O*kgtoGg,"ERROR")))</f>
        <v>-1.1714692133953115E-3</v>
      </c>
      <c r="AI1063" s="101">
        <f>IF('Net zero activities &amp; levers'!$C$12="Off",Constants!$H76*'Activity data'!BB18*Constants!$H94*FracLEACHMM*MMLeachEF*NtoN2O*kgtoGg,IF('Net zero activities &amp; levers'!$C$12="PB",Constants!$H76*'Activity data'!BB18*Constants!$H94*FracLEACHMM*MMLeachEF*NtoN2O*kgtoGg,IF('Net zero activities &amp; levers'!$C$14="MS",Constants!$H76*'Net zero Activity data'!BB18*Constants!$H94*FracLEACHMM*MMLeachEF*NtoN2O*kgtoGg,"ERROR")))</f>
        <v>-1.1586552323425276E-3</v>
      </c>
      <c r="AJ1063" s="101">
        <f>IF('Net zero activities &amp; levers'!$C$12="Off",Constants!$H76*'Activity data'!BC18*Constants!$H94*FracLEACHMM*MMLeachEF*NtoN2O*kgtoGg,IF('Net zero activities &amp; levers'!$C$12="PB",Constants!$H76*'Activity data'!BC18*Constants!$H94*FracLEACHMM*MMLeachEF*NtoN2O*kgtoGg,IF('Net zero activities &amp; levers'!$C$14="MS",Constants!$H76*'Net zero Activity data'!BC18*Constants!$H94*FracLEACHMM*MMLeachEF*NtoN2O*kgtoGg,"ERROR")))</f>
        <v>-1.1461157085356224E-3</v>
      </c>
      <c r="AK1063" s="101">
        <f>IF('Net zero activities &amp; levers'!$C$12="Off",Constants!$H76*'Activity data'!BD18*Constants!$H94*FracLEACHMM*MMLeachEF*NtoN2O*kgtoGg,IF('Net zero activities &amp; levers'!$C$12="PB",Constants!$H76*'Activity data'!BD18*Constants!$H94*FracLEACHMM*MMLeachEF*NtoN2O*kgtoGg,IF('Net zero activities &amp; levers'!$C$14="MS",Constants!$H76*'Net zero Activity data'!BD18*Constants!$H94*FracLEACHMM*MMLeachEF*NtoN2O*kgtoGg,"ERROR")))</f>
        <v>-1.133832687326532E-3</v>
      </c>
      <c r="AL1063" s="101">
        <f>IF('Net zero activities &amp; levers'!$C$12="Off",Constants!$H76*'Activity data'!BE18*Constants!$H94*FracLEACHMM*MMLeachEF*NtoN2O*kgtoGg,IF('Net zero activities &amp; levers'!$C$12="PB",Constants!$H76*'Activity data'!BE18*Constants!$H94*FracLEACHMM*MMLeachEF*NtoN2O*kgtoGg,IF('Net zero activities &amp; levers'!$C$14="MS",Constants!$H76*'Net zero Activity data'!BE18*Constants!$H94*FracLEACHMM*MMLeachEF*NtoN2O*kgtoGg,"ERROR")))</f>
        <v>-1.1217895287085682E-3</v>
      </c>
      <c r="AM1063" s="101">
        <f>IF('Net zero activities &amp; levers'!$C$12="Off",Constants!$H76*'Activity data'!BF18*Constants!$H94*FracLEACHMM*MMLeachEF*NtoN2O*kgtoGg,IF('Net zero activities &amp; levers'!$C$12="PB",Constants!$H76*'Activity data'!BF18*Constants!$H94*FracLEACHMM*MMLeachEF*NtoN2O*kgtoGg,IF('Net zero activities &amp; levers'!$C$14="MS",Constants!$H76*'Net zero Activity data'!BF18*Constants!$H94*FracLEACHMM*MMLeachEF*NtoN2O*kgtoGg,"ERROR")))</f>
        <v>-1.109970780182961E-3</v>
      </c>
      <c r="AN1063" s="101">
        <f>IF('Net zero activities &amp; levers'!$C$12="Off",Constants!$H76*'Activity data'!BG18*Constants!$H94*FracLEACHMM*MMLeachEF*NtoN2O*kgtoGg,IF('Net zero activities &amp; levers'!$C$12="PB",Constants!$H76*'Activity data'!BG18*Constants!$H94*FracLEACHMM*MMLeachEF*NtoN2O*kgtoGg,IF('Net zero activities &amp; levers'!$C$14="MS",Constants!$H76*'Net zero Activity data'!BG18*Constants!$H94*FracLEACHMM*MMLeachEF*NtoN2O*kgtoGg,"ERROR")))</f>
        <v>-1.0970079678456562E-3</v>
      </c>
      <c r="AO1063" s="101">
        <f>IF('Net zero activities &amp; levers'!$C$12="Off",Constants!$H76*'Activity data'!BH18*Constants!$H94*FracLEACHMM*MMLeachEF*NtoN2O*kgtoGg,IF('Net zero activities &amp; levers'!$C$12="PB",Constants!$H76*'Activity data'!BH18*Constants!$H94*FracLEACHMM*MMLeachEF*NtoN2O*kgtoGg,IF('Net zero activities &amp; levers'!$C$14="MS",Constants!$H76*'Net zero Activity data'!BH18*Constants!$H94*FracLEACHMM*MMLeachEF*NtoN2O*kgtoGg,"ERROR")))</f>
        <v>-1.0842737081927609E-3</v>
      </c>
      <c r="AP1063" s="101">
        <f>IF('Net zero activities &amp; levers'!$C$12="Off",Constants!$H76*'Activity data'!BI18*Constants!$H94*FracLEACHMM*MMLeachEF*NtoN2O*kgtoGg,IF('Net zero activities &amp; levers'!$C$12="PB",Constants!$H76*'Activity data'!BI18*Constants!$H94*FracLEACHMM*MMLeachEF*NtoN2O*kgtoGg,IF('Net zero activities &amp; levers'!$C$14="MS",Constants!$H76*'Net zero Activity data'!BI18*Constants!$H94*FracLEACHMM*MMLeachEF*NtoN2O*kgtoGg,"ERROR")))</f>
        <v>-1.0717546527021955E-3</v>
      </c>
      <c r="AQ1063" s="101">
        <f>IF('Net zero activities &amp; levers'!$C$12="Off",Constants!$H76*'Activity data'!BJ18*Constants!$H94*FracLEACHMM*MMLeachEF*NtoN2O*kgtoGg,IF('Net zero activities &amp; levers'!$C$12="PB",Constants!$H76*'Activity data'!BJ18*Constants!$H94*FracLEACHMM*MMLeachEF*NtoN2O*kgtoGg,IF('Net zero activities &amp; levers'!$C$14="MS",Constants!$H76*'Net zero Activity data'!BJ18*Constants!$H94*FracLEACHMM*MMLeachEF*NtoN2O*kgtoGg,"ERROR")))</f>
        <v>-1.0594383247478308E-3</v>
      </c>
      <c r="AR1063" s="101">
        <f>IF('Net zero activities &amp; levers'!$C$12="Off",Constants!$H76*'Activity data'!BK18*Constants!$H94*FracLEACHMM*MMLeachEF*NtoN2O*kgtoGg,IF('Net zero activities &amp; levers'!$C$12="PB",Constants!$H76*'Activity data'!BK18*Constants!$H94*FracLEACHMM*MMLeachEF*NtoN2O*kgtoGg,IF('Net zero activities &amp; levers'!$C$14="MS",Constants!$H76*'Net zero Activity data'!BK18*Constants!$H94*FracLEACHMM*MMLeachEF*NtoN2O*kgtoGg,"ERROR")))</f>
        <v>-1.0473130442654776E-3</v>
      </c>
      <c r="AS1063" s="101">
        <f>IF('Net zero activities &amp; levers'!$C$12="Off",Constants!$H76*'Activity data'!BL18*Constants!$H94*FracLEACHMM*MMLeachEF*NtoN2O*kgtoGg,IF('Net zero activities &amp; levers'!$C$12="PB",Constants!$H76*'Activity data'!BL18*Constants!$H94*FracLEACHMM*MMLeachEF*NtoN2O*kgtoGg,IF('Net zero activities &amp; levers'!$C$14="MS",Constants!$H76*'Net zero Activity data'!BL18*Constants!$H94*FracLEACHMM*MMLeachEF*NtoN2O*kgtoGg,"ERROR")))</f>
        <v>-1.0340992030399717E-3</v>
      </c>
      <c r="AT1063" s="101">
        <f>IF('Net zero activities &amp; levers'!$C$12="Off",Constants!$H76*'Activity data'!BM18*Constants!$H94*FracLEACHMM*MMLeachEF*NtoN2O*kgtoGg,IF('Net zero activities &amp; levers'!$C$12="PB",Constants!$H76*'Activity data'!BM18*Constants!$H94*FracLEACHMM*MMLeachEF*NtoN2O*kgtoGg,IF('Net zero activities &amp; levers'!$C$14="MS",Constants!$H76*'Net zero Activity data'!BM18*Constants!$H94*FracLEACHMM*MMLeachEF*NtoN2O*kgtoGg,"ERROR")))</f>
        <v>-1.0210871852182944E-3</v>
      </c>
      <c r="AU1063" s="101">
        <f>IF('Net zero activities &amp; levers'!$C$12="Off",Constants!$H76*'Activity data'!BN18*Constants!$H94*FracLEACHMM*MMLeachEF*NtoN2O*kgtoGg,IF('Net zero activities &amp; levers'!$C$12="PB",Constants!$H76*'Activity data'!BN18*Constants!$H94*FracLEACHMM*MMLeachEF*NtoN2O*kgtoGg,IF('Net zero activities &amp; levers'!$C$14="MS",Constants!$H76*'Net zero Activity data'!BN18*Constants!$H94*FracLEACHMM*MMLeachEF*NtoN2O*kgtoGg,"ERROR")))</f>
        <v>-1.0082666022109977E-3</v>
      </c>
      <c r="AV1063" s="101">
        <f>IF('Net zero activities &amp; levers'!$C$12="Off",Constants!$H76*'Activity data'!BO18*Constants!$H94*FracLEACHMM*MMLeachEF*NtoN2O*kgtoGg,IF('Net zero activities &amp; levers'!$C$12="PB",Constants!$H76*'Activity data'!BO18*Constants!$H94*FracLEACHMM*MMLeachEF*NtoN2O*kgtoGg,IF('Net zero activities &amp; levers'!$C$14="MS",Constants!$H76*'Net zero Activity data'!BO18*Constants!$H94*FracLEACHMM*MMLeachEF*NtoN2O*kgtoGg,"ERROR")))</f>
        <v>-9.9562767922285289E-4</v>
      </c>
      <c r="AW1063" s="101">
        <f>IF('Net zero activities &amp; levers'!$C$12="Off",Constants!$H76*'Activity data'!BP18*Constants!$H94*FracLEACHMM*MMLeachEF*NtoN2O*kgtoGg,IF('Net zero activities &amp; levers'!$C$12="PB",Constants!$H76*'Activity data'!BP18*Constants!$H94*FracLEACHMM*MMLeachEF*NtoN2O*kgtoGg,IF('Net zero activities &amp; levers'!$C$14="MS",Constants!$H76*'Net zero Activity data'!BP18*Constants!$H94*FracLEACHMM*MMLeachEF*NtoN2O*kgtoGg,"ERROR")))</f>
        <v>-9.8316120739708342E-4</v>
      </c>
      <c r="AY1063" s="85"/>
      <c r="AZ1063" s="85"/>
    </row>
    <row r="1064" spans="1:52" x14ac:dyDescent="0.25">
      <c r="A1064" s="102" t="str">
        <f t="shared" si="368"/>
        <v>DS MM Leaching</v>
      </c>
      <c r="B1064" s="102" t="s">
        <v>975</v>
      </c>
      <c r="C1064" s="102" t="s">
        <v>1334</v>
      </c>
      <c r="D1064" t="s">
        <v>369</v>
      </c>
      <c r="E1064" t="s">
        <v>64</v>
      </c>
      <c r="F1064" t="s">
        <v>63</v>
      </c>
      <c r="G1064" t="s">
        <v>1181</v>
      </c>
      <c r="H1064" t="s">
        <v>1321</v>
      </c>
      <c r="I1064" t="s">
        <v>139</v>
      </c>
      <c r="J1064" t="s">
        <v>287</v>
      </c>
      <c r="K1064" s="101">
        <f>IF('Net zero activities &amp; levers'!$C$12="Off",Constants!$H77*'Activity data'!AD19*Constants!$H95*FracLEACHMM*MMLeachEF*NtoN2O*kgtoGg,IF('Net zero activities &amp; levers'!$C$12="PB",Constants!$H77*'Activity data'!AD19*Constants!$H95*FracLEACHMM*MMLeachEF*NtoN2O*kgtoGg,IF('Net zero activities &amp; levers'!$C$14="MS",Constants!$H77*'Net zero Activity data'!AD19*Constants!$H95*FracLEACHMM*MMLeachEF*NtoN2O*kgtoGg,"ERROR")))</f>
        <v>1.6818104652936192E-2</v>
      </c>
      <c r="L1064" s="101">
        <f>IF('Net zero activities &amp; levers'!$C$12="Off",Constants!$H77*'Activity data'!AE19*Constants!$H95*FracLEACHMM*MMLeachEF*NtoN2O*kgtoGg,IF('Net zero activities &amp; levers'!$C$12="PB",Constants!$H77*'Activity data'!AE19*Constants!$H95*FracLEACHMM*MMLeachEF*NtoN2O*kgtoGg,IF('Net zero activities &amp; levers'!$C$14="MS",Constants!$H77*'Net zero Activity data'!AE19*Constants!$H95*FracLEACHMM*MMLeachEF*NtoN2O*kgtoGg,"ERROR")))</f>
        <v>1.718231236008292E-2</v>
      </c>
      <c r="M1064" s="101">
        <f>IF('Net zero activities &amp; levers'!$C$12="Off",Constants!$H77*'Activity data'!AF19*Constants!$H95*FracLEACHMM*MMLeachEF*NtoN2O*kgtoGg,IF('Net zero activities &amp; levers'!$C$12="PB",Constants!$H77*'Activity data'!AF19*Constants!$H95*FracLEACHMM*MMLeachEF*NtoN2O*kgtoGg,IF('Net zero activities &amp; levers'!$C$14="MS",Constants!$H77*'Net zero Activity data'!AF19*Constants!$H95*FracLEACHMM*MMLeachEF*NtoN2O*kgtoGg,"ERROR")))</f>
        <v>1.7475775480268494E-2</v>
      </c>
      <c r="N1064" s="101">
        <f>IF('Net zero activities &amp; levers'!$C$12="Off",Constants!$H77*'Activity data'!AG19*Constants!$H95*FracLEACHMM*MMLeachEF*NtoN2O*kgtoGg,IF('Net zero activities &amp; levers'!$C$12="PB",Constants!$H77*'Activity data'!AG19*Constants!$H95*FracLEACHMM*MMLeachEF*NtoN2O*kgtoGg,IF('Net zero activities &amp; levers'!$C$14="MS",Constants!$H77*'Net zero Activity data'!AG19*Constants!$H95*FracLEACHMM*MMLeachEF*NtoN2O*kgtoGg,"ERROR")))</f>
        <v>1.7667520029914504E-2</v>
      </c>
      <c r="O1064" s="101">
        <f>IF('Net zero activities &amp; levers'!$C$12="Off",Constants!$H77*'Activity data'!AH19*Constants!$H95*FracLEACHMM*MMLeachEF*NtoN2O*kgtoGg,IF('Net zero activities &amp; levers'!$C$12="PB",Constants!$H77*'Activity data'!AH19*Constants!$H95*FracLEACHMM*MMLeachEF*NtoN2O*kgtoGg,IF('Net zero activities &amp; levers'!$C$14="MS",Constants!$H77*'Net zero Activity data'!AH19*Constants!$H95*FracLEACHMM*MMLeachEF*NtoN2O*kgtoGg,"ERROR")))</f>
        <v>1.7861867169015104E-2</v>
      </c>
      <c r="P1064" s="101">
        <f>IF('Net zero activities &amp; levers'!$C$12="Off",Constants!$H77*'Activity data'!AI19*Constants!$H95*FracLEACHMM*MMLeachEF*NtoN2O*kgtoGg,IF('Net zero activities &amp; levers'!$C$12="PB",Constants!$H77*'Activity data'!AI19*Constants!$H95*FracLEACHMM*MMLeachEF*NtoN2O*kgtoGg,IF('Net zero activities &amp; levers'!$C$14="MS",Constants!$H77*'Net zero Activity data'!AI19*Constants!$H95*FracLEACHMM*MMLeachEF*NtoN2O*kgtoGg,"ERROR")))</f>
        <v>1.8112417299921187E-2</v>
      </c>
      <c r="Q1064" s="101">
        <f>IF('Net zero activities &amp; levers'!$C$12="Off",Constants!$H77*'Activity data'!AJ19*Constants!$H95*FracLEACHMM*MMLeachEF*NtoN2O*kgtoGg,IF('Net zero activities &amp; levers'!$C$12="PB",Constants!$H77*'Activity data'!AJ19*Constants!$H95*FracLEACHMM*MMLeachEF*NtoN2O*kgtoGg,IF('Net zero activities &amp; levers'!$C$14="MS",Constants!$H77*'Net zero Activity data'!AJ19*Constants!$H95*FracLEACHMM*MMLeachEF*NtoN2O*kgtoGg,"ERROR")))</f>
        <v>1.8380356458960346E-2</v>
      </c>
      <c r="R1064" s="101">
        <f>IF('Net zero activities &amp; levers'!$C$12="Off",Constants!$H77*'Activity data'!AK19*Constants!$H95*FracLEACHMM*MMLeachEF*NtoN2O*kgtoGg,IF('Net zero activities &amp; levers'!$C$12="PB",Constants!$H77*'Activity data'!AK19*Constants!$H95*FracLEACHMM*MMLeachEF*NtoN2O*kgtoGg,IF('Net zero activities &amp; levers'!$C$14="MS",Constants!$H77*'Net zero Activity data'!AK19*Constants!$H95*FracLEACHMM*MMLeachEF*NtoN2O*kgtoGg,"ERROR")))</f>
        <v>1.8536177397088752E-2</v>
      </c>
      <c r="S1064" s="101">
        <f>IF('Net zero activities &amp; levers'!$C$12="Off",Constants!$H77*'Activity data'!AL19*Constants!$H95*FracLEACHMM*MMLeachEF*NtoN2O*kgtoGg,IF('Net zero activities &amp; levers'!$C$12="PB",Constants!$H77*'Activity data'!AL19*Constants!$H95*FracLEACHMM*MMLeachEF*NtoN2O*kgtoGg,IF('Net zero activities &amp; levers'!$C$14="MS",Constants!$H77*'Net zero Activity data'!AL19*Constants!$H95*FracLEACHMM*MMLeachEF*NtoN2O*kgtoGg,"ERROR")))</f>
        <v>1.76397656538211E-2</v>
      </c>
      <c r="T1064" s="101">
        <f>IF('Net zero activities &amp; levers'!$C$12="Off",Constants!$H77*'Activity data'!AM19*Constants!$H95*FracLEACHMM*MMLeachEF*NtoN2O*kgtoGg,IF('Net zero activities &amp; levers'!$C$12="PB",Constants!$H77*'Activity data'!AM19*Constants!$H95*FracLEACHMM*MMLeachEF*NtoN2O*kgtoGg,IF('Net zero activities &amp; levers'!$C$14="MS",Constants!$H77*'Net zero Activity data'!AM19*Constants!$H95*FracLEACHMM*MMLeachEF*NtoN2O*kgtoGg,"ERROR")))</f>
        <v>1.801846759992717E-2</v>
      </c>
      <c r="U1064" s="101">
        <f>IF('Net zero activities &amp; levers'!$C$12="Off",Constants!$H77*'Activity data'!AN19*Constants!$H95*FracLEACHMM*MMLeachEF*NtoN2O*kgtoGg,IF('Net zero activities &amp; levers'!$C$12="PB",Constants!$H77*'Activity data'!AN19*Constants!$H95*FracLEACHMM*MMLeachEF*NtoN2O*kgtoGg,IF('Net zero activities &amp; levers'!$C$14="MS",Constants!$H77*'Net zero Activity data'!AN19*Constants!$H95*FracLEACHMM*MMLeachEF*NtoN2O*kgtoGg,"ERROR")))</f>
        <v>1.8371985881481728E-2</v>
      </c>
      <c r="V1064" s="101">
        <f>IF('Net zero activities &amp; levers'!$C$12="Off",Constants!$H77*'Activity data'!AO19*Constants!$H95*FracLEACHMM*MMLeachEF*NtoN2O*kgtoGg,IF('Net zero activities &amp; levers'!$C$12="PB",Constants!$H77*'Activity data'!AO19*Constants!$H95*FracLEACHMM*MMLeachEF*NtoN2O*kgtoGg,IF('Net zero activities &amp; levers'!$C$14="MS",Constants!$H77*'Net zero Activity data'!AO19*Constants!$H95*FracLEACHMM*MMLeachEF*NtoN2O*kgtoGg,"ERROR")))</f>
        <v>1.8728295000039214E-2</v>
      </c>
      <c r="W1064" s="101">
        <f>IF('Net zero activities &amp; levers'!$C$12="Off",Constants!$H77*'Activity data'!AP19*Constants!$H95*FracLEACHMM*MMLeachEF*NtoN2O*kgtoGg,IF('Net zero activities &amp; levers'!$C$12="PB",Constants!$H77*'Activity data'!AP19*Constants!$H95*FracLEACHMM*MMLeachEF*NtoN2O*kgtoGg,IF('Net zero activities &amp; levers'!$C$14="MS",Constants!$H77*'Net zero Activity data'!AP19*Constants!$H95*FracLEACHMM*MMLeachEF*NtoN2O*kgtoGg,"ERROR")))</f>
        <v>1.9132681284008777E-2</v>
      </c>
      <c r="X1064" s="101">
        <f>IF('Net zero activities &amp; levers'!$C$12="Off",Constants!$H77*'Activity data'!AQ19*Constants!$H95*FracLEACHMM*MMLeachEF*NtoN2O*kgtoGg,IF('Net zero activities &amp; levers'!$C$12="PB",Constants!$H77*'Activity data'!AQ19*Constants!$H95*FracLEACHMM*MMLeachEF*NtoN2O*kgtoGg,IF('Net zero activities &amp; levers'!$C$14="MS",Constants!$H77*'Net zero Activity data'!AQ19*Constants!$H95*FracLEACHMM*MMLeachEF*NtoN2O*kgtoGg,"ERROR")))</f>
        <v>1.9540426695963047E-2</v>
      </c>
      <c r="Y1064" s="101">
        <f>IF('Net zero activities &amp; levers'!$C$12="Off",Constants!$H77*'Activity data'!AR19*Constants!$H95*FracLEACHMM*MMLeachEF*NtoN2O*kgtoGg,IF('Net zero activities &amp; levers'!$C$12="PB",Constants!$H77*'Activity data'!AR19*Constants!$H95*FracLEACHMM*MMLeachEF*NtoN2O*kgtoGg,IF('Net zero activities &amp; levers'!$C$14="MS",Constants!$H77*'Net zero Activity data'!AR19*Constants!$H95*FracLEACHMM*MMLeachEF*NtoN2O*kgtoGg,"ERROR")))</f>
        <v>1.9948690293653936E-2</v>
      </c>
      <c r="Z1064" s="101">
        <f>IF('Net zero activities &amp; levers'!$C$12="Off",Constants!$H77*'Activity data'!AS19*Constants!$H95*FracLEACHMM*MMLeachEF*NtoN2O*kgtoGg,IF('Net zero activities &amp; levers'!$C$12="PB",Constants!$H77*'Activity data'!AS19*Constants!$H95*FracLEACHMM*MMLeachEF*NtoN2O*kgtoGg,IF('Net zero activities &amp; levers'!$C$14="MS",Constants!$H77*'Net zero Activity data'!AS19*Constants!$H95*FracLEACHMM*MMLeachEF*NtoN2O*kgtoGg,"ERROR")))</f>
        <v>2.0349079299491275E-2</v>
      </c>
      <c r="AA1064" s="101">
        <f>IF('Net zero activities &amp; levers'!$C$12="Off",Constants!$H77*'Activity data'!AT19*Constants!$H95*FracLEACHMM*MMLeachEF*NtoN2O*kgtoGg,IF('Net zero activities &amp; levers'!$C$12="PB",Constants!$H77*'Activity data'!AT19*Constants!$H95*FracLEACHMM*MMLeachEF*NtoN2O*kgtoGg,IF('Net zero activities &amp; levers'!$C$14="MS",Constants!$H77*'Net zero Activity data'!AT19*Constants!$H95*FracLEACHMM*MMLeachEF*NtoN2O*kgtoGg,"ERROR")))</f>
        <v>2.0770745700628056E-2</v>
      </c>
      <c r="AB1064" s="101">
        <f>IF('Net zero activities &amp; levers'!$C$12="Off",Constants!$H77*'Activity data'!AU19*Constants!$H95*FracLEACHMM*MMLeachEF*NtoN2O*kgtoGg,IF('Net zero activities &amp; levers'!$C$12="PB",Constants!$H77*'Activity data'!AU19*Constants!$H95*FracLEACHMM*MMLeachEF*NtoN2O*kgtoGg,IF('Net zero activities &amp; levers'!$C$14="MS",Constants!$H77*'Net zero Activity data'!AU19*Constants!$H95*FracLEACHMM*MMLeachEF*NtoN2O*kgtoGg,"ERROR")))</f>
        <v>2.1173883464125715E-2</v>
      </c>
      <c r="AC1064" s="101">
        <f>IF('Net zero activities &amp; levers'!$C$12="Off",Constants!$H77*'Activity data'!AV19*Constants!$H95*FracLEACHMM*MMLeachEF*NtoN2O*kgtoGg,IF('Net zero activities &amp; levers'!$C$12="PB",Constants!$H77*'Activity data'!AV19*Constants!$H95*FracLEACHMM*MMLeachEF*NtoN2O*kgtoGg,IF('Net zero activities &amp; levers'!$C$14="MS",Constants!$H77*'Net zero Activity data'!AV19*Constants!$H95*FracLEACHMM*MMLeachEF*NtoN2O*kgtoGg,"ERROR")))</f>
        <v>2.1586582056186982E-2</v>
      </c>
      <c r="AD1064" s="101">
        <f>IF('Net zero activities &amp; levers'!$C$12="Off",Constants!$H77*'Activity data'!AW19*Constants!$H95*FracLEACHMM*MMLeachEF*NtoN2O*kgtoGg,IF('Net zero activities &amp; levers'!$C$12="PB",Constants!$H77*'Activity data'!AW19*Constants!$H95*FracLEACHMM*MMLeachEF*NtoN2O*kgtoGg,IF('Net zero activities &amp; levers'!$C$14="MS",Constants!$H77*'Net zero Activity data'!AW19*Constants!$H95*FracLEACHMM*MMLeachEF*NtoN2O*kgtoGg,"ERROR")))</f>
        <v>2.2054503180091424E-2</v>
      </c>
      <c r="AE1064" s="101">
        <f>IF('Net zero activities &amp; levers'!$C$12="Off",Constants!$H77*'Activity data'!AX19*Constants!$H95*FracLEACHMM*MMLeachEF*NtoN2O*kgtoGg,IF('Net zero activities &amp; levers'!$C$12="PB",Constants!$H77*'Activity data'!AX19*Constants!$H95*FracLEACHMM*MMLeachEF*NtoN2O*kgtoGg,IF('Net zero activities &amp; levers'!$C$14="MS",Constants!$H77*'Net zero Activity data'!AX19*Constants!$H95*FracLEACHMM*MMLeachEF*NtoN2O*kgtoGg,"ERROR")))</f>
        <v>2.2554673664968956E-2</v>
      </c>
      <c r="AF1064" s="101">
        <f>IF('Net zero activities &amp; levers'!$C$12="Off",Constants!$H77*'Activity data'!AY19*Constants!$H95*FracLEACHMM*MMLeachEF*NtoN2O*kgtoGg,IF('Net zero activities &amp; levers'!$C$12="PB",Constants!$H77*'Activity data'!AY19*Constants!$H95*FracLEACHMM*MMLeachEF*NtoN2O*kgtoGg,IF('Net zero activities &amp; levers'!$C$14="MS",Constants!$H77*'Net zero Activity data'!AY19*Constants!$H95*FracLEACHMM*MMLeachEF*NtoN2O*kgtoGg,"ERROR")))</f>
        <v>2.3070579743094625E-2</v>
      </c>
      <c r="AG1064" s="101">
        <f>IF('Net zero activities &amp; levers'!$C$12="Off",Constants!$H77*'Activity data'!AZ19*Constants!$H95*FracLEACHMM*MMLeachEF*NtoN2O*kgtoGg,IF('Net zero activities &amp; levers'!$C$12="PB",Constants!$H77*'Activity data'!AZ19*Constants!$H95*FracLEACHMM*MMLeachEF*NtoN2O*kgtoGg,IF('Net zero activities &amp; levers'!$C$14="MS",Constants!$H77*'Net zero Activity data'!AZ19*Constants!$H95*FracLEACHMM*MMLeachEF*NtoN2O*kgtoGg,"ERROR")))</f>
        <v>2.3224138845155579E-2</v>
      </c>
      <c r="AH1064" s="101">
        <f>IF('Net zero activities &amp; levers'!$C$12="Off",Constants!$H77*'Activity data'!BA19*Constants!$H95*FracLEACHMM*MMLeachEF*NtoN2O*kgtoGg,IF('Net zero activities &amp; levers'!$C$12="PB",Constants!$H77*'Activity data'!BA19*Constants!$H95*FracLEACHMM*MMLeachEF*NtoN2O*kgtoGg,IF('Net zero activities &amp; levers'!$C$14="MS",Constants!$H77*'Net zero Activity data'!BA19*Constants!$H95*FracLEACHMM*MMLeachEF*NtoN2O*kgtoGg,"ERROR")))</f>
        <v>5.566614295378065E-3</v>
      </c>
      <c r="AI1064" s="101">
        <f>IF('Net zero activities &amp; levers'!$C$12="Off",Constants!$H77*'Activity data'!BB19*Constants!$H95*FracLEACHMM*MMLeachEF*NtoN2O*kgtoGg,IF('Net zero activities &amp; levers'!$C$12="PB",Constants!$H77*'Activity data'!BB19*Constants!$H95*FracLEACHMM*MMLeachEF*NtoN2O*kgtoGg,IF('Net zero activities &amp; levers'!$C$14="MS",Constants!$H77*'Net zero Activity data'!BB19*Constants!$H95*FracLEACHMM*MMLeachEF*NtoN2O*kgtoGg,"ERROR")))</f>
        <v>5.6093984340287433E-3</v>
      </c>
      <c r="AJ1064" s="101">
        <f>IF('Net zero activities &amp; levers'!$C$12="Off",Constants!$H77*'Activity data'!BC19*Constants!$H95*FracLEACHMM*MMLeachEF*NtoN2O*kgtoGg,IF('Net zero activities &amp; levers'!$C$12="PB",Constants!$H77*'Activity data'!BC19*Constants!$H95*FracLEACHMM*MMLeachEF*NtoN2O*kgtoGg,IF('Net zero activities &amp; levers'!$C$14="MS",Constants!$H77*'Net zero Activity data'!BC19*Constants!$H95*FracLEACHMM*MMLeachEF*NtoN2O*kgtoGg,"ERROR")))</f>
        <v>5.652494073803362E-3</v>
      </c>
      <c r="AK1064" s="101">
        <f>IF('Net zero activities &amp; levers'!$C$12="Off",Constants!$H77*'Activity data'!BD19*Constants!$H95*FracLEACHMM*MMLeachEF*NtoN2O*kgtoGg,IF('Net zero activities &amp; levers'!$C$12="PB",Constants!$H77*'Activity data'!BD19*Constants!$H95*FracLEACHMM*MMLeachEF*NtoN2O*kgtoGg,IF('Net zero activities &amp; levers'!$C$14="MS",Constants!$H77*'Net zero Activity data'!BD19*Constants!$H95*FracLEACHMM*MMLeachEF*NtoN2O*kgtoGg,"ERROR")))</f>
        <v>5.6959035866970768E-3</v>
      </c>
      <c r="AL1064" s="101">
        <f>IF('Net zero activities &amp; levers'!$C$12="Off",Constants!$H77*'Activity data'!BE19*Constants!$H95*FracLEACHMM*MMLeachEF*NtoN2O*kgtoGg,IF('Net zero activities &amp; levers'!$C$12="PB",Constants!$H77*'Activity data'!BE19*Constants!$H95*FracLEACHMM*MMLeachEF*NtoN2O*kgtoGg,IF('Net zero activities &amp; levers'!$C$14="MS",Constants!$H77*'Net zero Activity data'!BE19*Constants!$H95*FracLEACHMM*MMLeachEF*NtoN2O*kgtoGg,"ERROR")))</f>
        <v>5.7396293554766858E-3</v>
      </c>
      <c r="AM1064" s="101">
        <f>IF('Net zero activities &amp; levers'!$C$12="Off",Constants!$H77*'Activity data'!BF19*Constants!$H95*FracLEACHMM*MMLeachEF*NtoN2O*kgtoGg,IF('Net zero activities &amp; levers'!$C$12="PB",Constants!$H77*'Activity data'!BF19*Constants!$H95*FracLEACHMM*MMLeachEF*NtoN2O*kgtoGg,IF('Net zero activities &amp; levers'!$C$14="MS",Constants!$H77*'Net zero Activity data'!BF19*Constants!$H95*FracLEACHMM*MMLeachEF*NtoN2O*kgtoGg,"ERROR")))</f>
        <v>5.7836737743814492E-3</v>
      </c>
      <c r="AN1064" s="101">
        <f>IF('Net zero activities &amp; levers'!$C$12="Off",Constants!$H77*'Activity data'!BG19*Constants!$H95*FracLEACHMM*MMLeachEF*NtoN2O*kgtoGg,IF('Net zero activities &amp; levers'!$C$12="PB",Constants!$H77*'Activity data'!BG19*Constants!$H95*FracLEACHMM*MMLeachEF*NtoN2O*kgtoGg,IF('Net zero activities &amp; levers'!$C$14="MS",Constants!$H77*'Net zero Activity data'!BG19*Constants!$H95*FracLEACHMM*MMLeachEF*NtoN2O*kgtoGg,"ERROR")))</f>
        <v>5.821325048469962E-3</v>
      </c>
      <c r="AO1064" s="101">
        <f>IF('Net zero activities &amp; levers'!$C$12="Off",Constants!$H77*'Activity data'!BH19*Constants!$H95*FracLEACHMM*MMLeachEF*NtoN2O*kgtoGg,IF('Net zero activities &amp; levers'!$C$12="PB",Constants!$H77*'Activity data'!BH19*Constants!$H95*FracLEACHMM*MMLeachEF*NtoN2O*kgtoGg,IF('Net zero activities &amp; levers'!$C$14="MS",Constants!$H77*'Net zero Activity data'!BH19*Constants!$H95*FracLEACHMM*MMLeachEF*NtoN2O*kgtoGg,"ERROR")))</f>
        <v>5.8592087350485328E-3</v>
      </c>
      <c r="AP1064" s="101">
        <f>IF('Net zero activities &amp; levers'!$C$12="Off",Constants!$H77*'Activity data'!BI19*Constants!$H95*FracLEACHMM*MMLeachEF*NtoN2O*kgtoGg,IF('Net zero activities &amp; levers'!$C$12="PB",Constants!$H77*'Activity data'!BI19*Constants!$H95*FracLEACHMM*MMLeachEF*NtoN2O*kgtoGg,IF('Net zero activities &amp; levers'!$C$14="MS",Constants!$H77*'Net zero Activity data'!BI19*Constants!$H95*FracLEACHMM*MMLeachEF*NtoN2O*kgtoGg,"ERROR")))</f>
        <v>5.8973263448292906E-3</v>
      </c>
      <c r="AQ1064" s="101">
        <f>IF('Net zero activities &amp; levers'!$C$12="Off",Constants!$H77*'Activity data'!BJ19*Constants!$H95*FracLEACHMM*MMLeachEF*NtoN2O*kgtoGg,IF('Net zero activities &amp; levers'!$C$12="PB",Constants!$H77*'Activity data'!BJ19*Constants!$H95*FracLEACHMM*MMLeachEF*NtoN2O*kgtoGg,IF('Net zero activities &amp; levers'!$C$14="MS",Constants!$H77*'Net zero Activity data'!BJ19*Constants!$H95*FracLEACHMM*MMLeachEF*NtoN2O*kgtoGg,"ERROR")))</f>
        <v>5.9356793935795814E-3</v>
      </c>
      <c r="AR1064" s="101">
        <f>IF('Net zero activities &amp; levers'!$C$12="Off",Constants!$H77*'Activity data'!BK19*Constants!$H95*FracLEACHMM*MMLeachEF*NtoN2O*kgtoGg,IF('Net zero activities &amp; levers'!$C$12="PB",Constants!$H77*'Activity data'!BK19*Constants!$H95*FracLEACHMM*MMLeachEF*NtoN2O*kgtoGg,IF('Net zero activities &amp; levers'!$C$14="MS",Constants!$H77*'Net zero Activity data'!BK19*Constants!$H95*FracLEACHMM*MMLeachEF*NtoN2O*kgtoGg,"ERROR")))</f>
        <v>5.9742694025184985E-3</v>
      </c>
      <c r="AS1064" s="101">
        <f>IF('Net zero activities &amp; levers'!$C$12="Off",Constants!$H77*'Activity data'!BL19*Constants!$H95*FracLEACHMM*MMLeachEF*NtoN2O*kgtoGg,IF('Net zero activities &amp; levers'!$C$12="PB",Constants!$H77*'Activity data'!BL19*Constants!$H95*FracLEACHMM*MMLeachEF*NtoN2O*kgtoGg,IF('Net zero activities &amp; levers'!$C$14="MS",Constants!$H77*'Net zero Activity data'!BL19*Constants!$H95*FracLEACHMM*MMLeachEF*NtoN2O*kgtoGg,"ERROR")))</f>
        <v>6.0061978888300534E-3</v>
      </c>
      <c r="AT1064" s="101">
        <f>IF('Net zero activities &amp; levers'!$C$12="Off",Constants!$H77*'Activity data'!BM19*Constants!$H95*FracLEACHMM*MMLeachEF*NtoN2O*kgtoGg,IF('Net zero activities &amp; levers'!$C$12="PB",Constants!$H77*'Activity data'!BM19*Constants!$H95*FracLEACHMM*MMLeachEF*NtoN2O*kgtoGg,IF('Net zero activities &amp; levers'!$C$14="MS",Constants!$H77*'Net zero Activity data'!BM19*Constants!$H95*FracLEACHMM*MMLeachEF*NtoN2O*kgtoGg,"ERROR")))</f>
        <v>6.0382881266520675E-3</v>
      </c>
      <c r="AU1064" s="101">
        <f>IF('Net zero activities &amp; levers'!$C$12="Off",Constants!$H77*'Activity data'!BN19*Constants!$H95*FracLEACHMM*MMLeachEF*NtoN2O*kgtoGg,IF('Net zero activities &amp; levers'!$C$12="PB",Constants!$H77*'Activity data'!BN19*Constants!$H95*FracLEACHMM*MMLeachEF*NtoN2O*kgtoGg,IF('Net zero activities &amp; levers'!$C$14="MS",Constants!$H77*'Net zero Activity data'!BN19*Constants!$H95*FracLEACHMM*MMLeachEF*NtoN2O*kgtoGg,"ERROR")))</f>
        <v>6.0705409933047069E-3</v>
      </c>
      <c r="AV1064" s="101">
        <f>IF('Net zero activities &amp; levers'!$C$12="Off",Constants!$H77*'Activity data'!BO19*Constants!$H95*FracLEACHMM*MMLeachEF*NtoN2O*kgtoGg,IF('Net zero activities &amp; levers'!$C$12="PB",Constants!$H77*'Activity data'!BO19*Constants!$H95*FracLEACHMM*MMLeachEF*NtoN2O*kgtoGg,IF('Net zero activities &amp; levers'!$C$14="MS",Constants!$H77*'Net zero Activity data'!BO19*Constants!$H95*FracLEACHMM*MMLeachEF*NtoN2O*kgtoGg,"ERROR")))</f>
        <v>6.1029573675840942E-3</v>
      </c>
      <c r="AW1064" s="101">
        <f>IF('Net zero activities &amp; levers'!$C$12="Off",Constants!$H77*'Activity data'!BP19*Constants!$H95*FracLEACHMM*MMLeachEF*NtoN2O*kgtoGg,IF('Net zero activities &amp; levers'!$C$12="PB",Constants!$H77*'Activity data'!BP19*Constants!$H95*FracLEACHMM*MMLeachEF*NtoN2O*kgtoGg,IF('Net zero activities &amp; levers'!$C$14="MS",Constants!$H77*'Net zero Activity data'!BP19*Constants!$H95*FracLEACHMM*MMLeachEF*NtoN2O*kgtoGg,"ERROR")))</f>
        <v>6.1355381299989719E-3</v>
      </c>
      <c r="AY1064" s="85"/>
      <c r="AZ1064" s="85"/>
    </row>
    <row r="1065" spans="1:52" x14ac:dyDescent="0.25">
      <c r="A1065" s="102" t="str">
        <f t="shared" si="368"/>
        <v>DS MM Leaching</v>
      </c>
      <c r="B1065" s="102" t="s">
        <v>975</v>
      </c>
      <c r="C1065" s="102" t="s">
        <v>1334</v>
      </c>
      <c r="D1065" t="s">
        <v>369</v>
      </c>
      <c r="E1065" t="s">
        <v>64</v>
      </c>
      <c r="F1065" t="s">
        <v>63</v>
      </c>
      <c r="G1065" t="s">
        <v>1183</v>
      </c>
      <c r="H1065" t="s">
        <v>1322</v>
      </c>
      <c r="I1065" t="s">
        <v>139</v>
      </c>
      <c r="J1065" t="s">
        <v>287</v>
      </c>
      <c r="K1065" s="101">
        <f>IF('Net zero activities &amp; levers'!$C$12="Off",Constants!$H78*'Activity data'!AD20*Constants!$H96*FracLEACHMM*MMLeachEF*NtoN2O*kgtoGg,IF('Net zero activities &amp; levers'!$C$12="PB",Constants!$H78*'Activity data'!AD20*Constants!$H96*FracLEACHMM*MMLeachEF*NtoN2O*kgtoGg,IF('Net zero activities &amp; levers'!$C$14="MS",Constants!$H78*'Net zero Activity data'!AD20*Constants!$H96*FracLEACHMM*MMLeachEF*NtoN2O*kgtoGg,"ERROR")))</f>
        <v>7.8494818970751015E-2</v>
      </c>
      <c r="L1065" s="101">
        <f>IF('Net zero activities &amp; levers'!$C$12="Off",Constants!$H78*'Activity data'!AE20*Constants!$H96*FracLEACHMM*MMLeachEF*NtoN2O*kgtoGg,IF('Net zero activities &amp; levers'!$C$12="PB",Constants!$H78*'Activity data'!AE20*Constants!$H96*FracLEACHMM*MMLeachEF*NtoN2O*kgtoGg,IF('Net zero activities &amp; levers'!$C$14="MS",Constants!$H78*'Net zero Activity data'!AE20*Constants!$H96*FracLEACHMM*MMLeachEF*NtoN2O*kgtoGg,"ERROR")))</f>
        <v>7.9768604189276573E-2</v>
      </c>
      <c r="M1065" s="101">
        <f>IF('Net zero activities &amp; levers'!$C$12="Off",Constants!$H78*'Activity data'!AF20*Constants!$H96*FracLEACHMM*MMLeachEF*NtoN2O*kgtoGg,IF('Net zero activities &amp; levers'!$C$12="PB",Constants!$H78*'Activity data'!AF20*Constants!$H96*FracLEACHMM*MMLeachEF*NtoN2O*kgtoGg,IF('Net zero activities &amp; levers'!$C$14="MS",Constants!$H78*'Net zero Activity data'!AF20*Constants!$H96*FracLEACHMM*MMLeachEF*NtoN2O*kgtoGg,"ERROR")))</f>
        <v>8.0146817618550151E-2</v>
      </c>
      <c r="N1065" s="101">
        <f>IF('Net zero activities &amp; levers'!$C$12="Off",Constants!$H78*'Activity data'!AG20*Constants!$H96*FracLEACHMM*MMLeachEF*NtoN2O*kgtoGg,IF('Net zero activities &amp; levers'!$C$12="PB",Constants!$H78*'Activity data'!AG20*Constants!$H96*FracLEACHMM*MMLeachEF*NtoN2O*kgtoGg,IF('Net zero activities &amp; levers'!$C$14="MS",Constants!$H78*'Net zero Activity data'!AG20*Constants!$H96*FracLEACHMM*MMLeachEF*NtoN2O*kgtoGg,"ERROR")))</f>
        <v>7.92990227060308E-2</v>
      </c>
      <c r="O1065" s="101">
        <f>IF('Net zero activities &amp; levers'!$C$12="Off",Constants!$H78*'Activity data'!AH20*Constants!$H96*FracLEACHMM*MMLeachEF*NtoN2O*kgtoGg,IF('Net zero activities &amp; levers'!$C$12="PB",Constants!$H78*'Activity data'!AH20*Constants!$H96*FracLEACHMM*MMLeachEF*NtoN2O*kgtoGg,IF('Net zero activities &amp; levers'!$C$14="MS",Constants!$H78*'Net zero Activity data'!AH20*Constants!$H96*FracLEACHMM*MMLeachEF*NtoN2O*kgtoGg,"ERROR")))</f>
        <v>7.8453048138272599E-2</v>
      </c>
      <c r="P1065" s="101">
        <f>IF('Net zero activities &amp; levers'!$C$12="Off",Constants!$H78*'Activity data'!AI20*Constants!$H96*FracLEACHMM*MMLeachEF*NtoN2O*kgtoGg,IF('Net zero activities &amp; levers'!$C$12="PB",Constants!$H78*'Activity data'!AI20*Constants!$H96*FracLEACHMM*MMLeachEF*NtoN2O*kgtoGg,IF('Net zero activities &amp; levers'!$C$14="MS",Constants!$H78*'Net zero Activity data'!AI20*Constants!$H96*FracLEACHMM*MMLeachEF*NtoN2O*kgtoGg,"ERROR")))</f>
        <v>7.8207580187434067E-2</v>
      </c>
      <c r="Q1065" s="101">
        <f>IF('Net zero activities &amp; levers'!$C$12="Off",Constants!$H78*'Activity data'!AJ20*Constants!$H96*FracLEACHMM*MMLeachEF*NtoN2O*kgtoGg,IF('Net zero activities &amp; levers'!$C$12="PB",Constants!$H78*'Activity data'!AJ20*Constants!$H96*FracLEACHMM*MMLeachEF*NtoN2O*kgtoGg,IF('Net zero activities &amp; levers'!$C$14="MS",Constants!$H78*'Net zero Activity data'!AJ20*Constants!$H96*FracLEACHMM*MMLeachEF*NtoN2O*kgtoGg,"ERROR")))</f>
        <v>7.8156445174191957E-2</v>
      </c>
      <c r="R1065" s="101">
        <f>IF('Net zero activities &amp; levers'!$C$12="Off",Constants!$H78*'Activity data'!AK20*Constants!$H96*FracLEACHMM*MMLeachEF*NtoN2O*kgtoGg,IF('Net zero activities &amp; levers'!$C$12="PB",Constants!$H78*'Activity data'!AK20*Constants!$H96*FracLEACHMM*MMLeachEF*NtoN2O*kgtoGg,IF('Net zero activities &amp; levers'!$C$14="MS",Constants!$H78*'Net zero Activity data'!AK20*Constants!$H96*FracLEACHMM*MMLeachEF*NtoN2O*kgtoGg,"ERROR")))</f>
        <v>7.6852772864248492E-2</v>
      </c>
      <c r="S1065" s="101">
        <f>IF('Net zero activities &amp; levers'!$C$12="Off",Constants!$H78*'Activity data'!AL20*Constants!$H96*FracLEACHMM*MMLeachEF*NtoN2O*kgtoGg,IF('Net zero activities &amp; levers'!$C$12="PB",Constants!$H78*'Activity data'!AL20*Constants!$H96*FracLEACHMM*MMLeachEF*NtoN2O*kgtoGg,IF('Net zero activities &amp; levers'!$C$14="MS",Constants!$H78*'Net zero Activity data'!AL20*Constants!$H96*FracLEACHMM*MMLeachEF*NtoN2O*kgtoGg,"ERROR")))</f>
        <v>6.4037092776490251E-2</v>
      </c>
      <c r="T1065" s="101">
        <f>IF('Net zero activities &amp; levers'!$C$12="Off",Constants!$H78*'Activity data'!AM20*Constants!$H96*FracLEACHMM*MMLeachEF*NtoN2O*kgtoGg,IF('Net zero activities &amp; levers'!$C$12="PB",Constants!$H78*'Activity data'!AM20*Constants!$H96*FracLEACHMM*MMLeachEF*NtoN2O*kgtoGg,IF('Net zero activities &amp; levers'!$C$14="MS",Constants!$H78*'Net zero Activity data'!AM20*Constants!$H96*FracLEACHMM*MMLeachEF*NtoN2O*kgtoGg,"ERROR")))</f>
        <v>6.592602729202128E-2</v>
      </c>
      <c r="U1065" s="101">
        <f>IF('Net zero activities &amp; levers'!$C$12="Off",Constants!$H78*'Activity data'!AN20*Constants!$H96*FracLEACHMM*MMLeachEF*NtoN2O*kgtoGg,IF('Net zero activities &amp; levers'!$C$12="PB",Constants!$H78*'Activity data'!AN20*Constants!$H96*FracLEACHMM*MMLeachEF*NtoN2O*kgtoGg,IF('Net zero activities &amp; levers'!$C$14="MS",Constants!$H78*'Net zero Activity data'!AN20*Constants!$H96*FracLEACHMM*MMLeachEF*NtoN2O*kgtoGg,"ERROR")))</f>
        <v>6.7504922847287652E-2</v>
      </c>
      <c r="V1065" s="101">
        <f>IF('Net zero activities &amp; levers'!$C$12="Off",Constants!$H78*'Activity data'!AO20*Constants!$H96*FracLEACHMM*MMLeachEF*NtoN2O*kgtoGg,IF('Net zero activities &amp; levers'!$C$12="PB",Constants!$H78*'Activity data'!AO20*Constants!$H96*FracLEACHMM*MMLeachEF*NtoN2O*kgtoGg,IF('Net zero activities &amp; levers'!$C$14="MS",Constants!$H78*'Net zero Activity data'!AO20*Constants!$H96*FracLEACHMM*MMLeachEF*NtoN2O*kgtoGg,"ERROR")))</f>
        <v>6.9079987400904638E-2</v>
      </c>
      <c r="W1065" s="101">
        <f>IF('Net zero activities &amp; levers'!$C$12="Off",Constants!$H78*'Activity data'!AP20*Constants!$H96*FracLEACHMM*MMLeachEF*NtoN2O*kgtoGg,IF('Net zero activities &amp; levers'!$C$12="PB",Constants!$H78*'Activity data'!AP20*Constants!$H96*FracLEACHMM*MMLeachEF*NtoN2O*kgtoGg,IF('Net zero activities &amp; levers'!$C$14="MS",Constants!$H78*'Net zero Activity data'!AP20*Constants!$H96*FracLEACHMM*MMLeachEF*NtoN2O*kgtoGg,"ERROR")))</f>
        <v>7.1129196138688011E-2</v>
      </c>
      <c r="X1065" s="101">
        <f>IF('Net zero activities &amp; levers'!$C$12="Off",Constants!$H78*'Activity data'!AQ20*Constants!$H96*FracLEACHMM*MMLeachEF*NtoN2O*kgtoGg,IF('Net zero activities &amp; levers'!$C$12="PB",Constants!$H78*'Activity data'!AQ20*Constants!$H96*FracLEACHMM*MMLeachEF*NtoN2O*kgtoGg,IF('Net zero activities &amp; levers'!$C$14="MS",Constants!$H78*'Net zero Activity data'!AQ20*Constants!$H96*FracLEACHMM*MMLeachEF*NtoN2O*kgtoGg,"ERROR")))</f>
        <v>7.3172253795344297E-2</v>
      </c>
      <c r="Y1065" s="101">
        <f>IF('Net zero activities &amp; levers'!$C$12="Off",Constants!$H78*'Activity data'!AR20*Constants!$H96*FracLEACHMM*MMLeachEF*NtoN2O*kgtoGg,IF('Net zero activities &amp; levers'!$C$12="PB",Constants!$H78*'Activity data'!AR20*Constants!$H96*FracLEACHMM*MMLeachEF*NtoN2O*kgtoGg,IF('Net zero activities &amp; levers'!$C$14="MS",Constants!$H78*'Net zero Activity data'!AR20*Constants!$H96*FracLEACHMM*MMLeachEF*NtoN2O*kgtoGg,"ERROR")))</f>
        <v>7.5415394971077201E-2</v>
      </c>
      <c r="Z1065" s="101">
        <f>IF('Net zero activities &amp; levers'!$C$12="Off",Constants!$H78*'Activity data'!AS20*Constants!$H96*FracLEACHMM*MMLeachEF*NtoN2O*kgtoGg,IF('Net zero activities &amp; levers'!$C$12="PB",Constants!$H78*'Activity data'!AS20*Constants!$H96*FracLEACHMM*MMLeachEF*NtoN2O*kgtoGg,IF('Net zero activities &amp; levers'!$C$14="MS",Constants!$H78*'Net zero Activity data'!AS20*Constants!$H96*FracLEACHMM*MMLeachEF*NtoN2O*kgtoGg,"ERROR")))</f>
        <v>7.7538763261802646E-2</v>
      </c>
      <c r="AA1065" s="101">
        <f>IF('Net zero activities &amp; levers'!$C$12="Off",Constants!$H78*'Activity data'!AT20*Constants!$H96*FracLEACHMM*MMLeachEF*NtoN2O*kgtoGg,IF('Net zero activities &amp; levers'!$C$12="PB",Constants!$H78*'Activity data'!AT20*Constants!$H96*FracLEACHMM*MMLeachEF*NtoN2O*kgtoGg,IF('Net zero activities &amp; levers'!$C$14="MS",Constants!$H78*'Net zero Activity data'!AT20*Constants!$H96*FracLEACHMM*MMLeachEF*NtoN2O*kgtoGg,"ERROR")))</f>
        <v>7.984321522583579E-2</v>
      </c>
      <c r="AB1065" s="101">
        <f>IF('Net zero activities &amp; levers'!$C$12="Off",Constants!$H78*'Activity data'!AU20*Constants!$H96*FracLEACHMM*MMLeachEF*NtoN2O*kgtoGg,IF('Net zero activities &amp; levers'!$C$12="PB",Constants!$H78*'Activity data'!AU20*Constants!$H96*FracLEACHMM*MMLeachEF*NtoN2O*kgtoGg,IF('Net zero activities &amp; levers'!$C$14="MS",Constants!$H78*'Net zero Activity data'!AU20*Constants!$H96*FracLEACHMM*MMLeachEF*NtoN2O*kgtoGg,"ERROR")))</f>
        <v>8.1921087927437922E-2</v>
      </c>
      <c r="AC1065" s="101">
        <f>IF('Net zero activities &amp; levers'!$C$12="Off",Constants!$H78*'Activity data'!AV20*Constants!$H96*FracLEACHMM*MMLeachEF*NtoN2O*kgtoGg,IF('Net zero activities &amp; levers'!$C$12="PB",Constants!$H78*'Activity data'!AV20*Constants!$H96*FracLEACHMM*MMLeachEF*NtoN2O*kgtoGg,IF('Net zero activities &amp; levers'!$C$14="MS",Constants!$H78*'Net zero Activity data'!AV20*Constants!$H96*FracLEACHMM*MMLeachEF*NtoN2O*kgtoGg,"ERROR")))</f>
        <v>8.4060316833005314E-2</v>
      </c>
      <c r="AD1065" s="101">
        <f>IF('Net zero activities &amp; levers'!$C$12="Off",Constants!$H78*'Activity data'!AW20*Constants!$H96*FracLEACHMM*MMLeachEF*NtoN2O*kgtoGg,IF('Net zero activities &amp; levers'!$C$12="PB",Constants!$H78*'Activity data'!AW20*Constants!$H96*FracLEACHMM*MMLeachEF*NtoN2O*kgtoGg,IF('Net zero activities &amp; levers'!$C$14="MS",Constants!$H78*'Net zero Activity data'!AW20*Constants!$H96*FracLEACHMM*MMLeachEF*NtoN2O*kgtoGg,"ERROR")))</f>
        <v>8.6903196778093231E-2</v>
      </c>
      <c r="AE1065" s="101">
        <f>IF('Net zero activities &amp; levers'!$C$12="Off",Constants!$H78*'Activity data'!AX20*Constants!$H96*FracLEACHMM*MMLeachEF*NtoN2O*kgtoGg,IF('Net zero activities &amp; levers'!$C$12="PB",Constants!$H78*'Activity data'!AX20*Constants!$H96*FracLEACHMM*MMLeachEF*NtoN2O*kgtoGg,IF('Net zero activities &amp; levers'!$C$14="MS",Constants!$H78*'Net zero Activity data'!AX20*Constants!$H96*FracLEACHMM*MMLeachEF*NtoN2O*kgtoGg,"ERROR")))</f>
        <v>9.0024318002173712E-2</v>
      </c>
      <c r="AF1065" s="101">
        <f>IF('Net zero activities &amp; levers'!$C$12="Off",Constants!$H78*'Activity data'!AY20*Constants!$H96*FracLEACHMM*MMLeachEF*NtoN2O*kgtoGg,IF('Net zero activities &amp; levers'!$C$12="PB",Constants!$H78*'Activity data'!AY20*Constants!$H96*FracLEACHMM*MMLeachEF*NtoN2O*kgtoGg,IF('Net zero activities &amp; levers'!$C$14="MS",Constants!$H78*'Net zero Activity data'!AY20*Constants!$H96*FracLEACHMM*MMLeachEF*NtoN2O*kgtoGg,"ERROR")))</f>
        <v>9.3255519309180357E-2</v>
      </c>
      <c r="AG1065" s="101">
        <f>IF('Net zero activities &amp; levers'!$C$12="Off",Constants!$H78*'Activity data'!AZ20*Constants!$H96*FracLEACHMM*MMLeachEF*NtoN2O*kgtoGg,IF('Net zero activities &amp; levers'!$C$12="PB",Constants!$H78*'Activity data'!AZ20*Constants!$H96*FracLEACHMM*MMLeachEF*NtoN2O*kgtoGg,IF('Net zero activities &amp; levers'!$C$14="MS",Constants!$H78*'Net zero Activity data'!AZ20*Constants!$H96*FracLEACHMM*MMLeachEF*NtoN2O*kgtoGg,"ERROR")))</f>
        <v>9.2895703603725718E-2</v>
      </c>
      <c r="AH1065" s="101">
        <f>IF('Net zero activities &amp; levers'!$C$12="Off",Constants!$H78*'Activity data'!BA20*Constants!$H96*FracLEACHMM*MMLeachEF*NtoN2O*kgtoGg,IF('Net zero activities &amp; levers'!$C$12="PB",Constants!$H78*'Activity data'!BA20*Constants!$H96*FracLEACHMM*MMLeachEF*NtoN2O*kgtoGg,IF('Net zero activities &amp; levers'!$C$14="MS",Constants!$H78*'Net zero Activity data'!BA20*Constants!$H96*FracLEACHMM*MMLeachEF*NtoN2O*kgtoGg,"ERROR")))</f>
        <v>-8.0563954207335059E-2</v>
      </c>
      <c r="AI1065" s="101">
        <f>IF('Net zero activities &amp; levers'!$C$12="Off",Constants!$H78*'Activity data'!BB20*Constants!$H96*FracLEACHMM*MMLeachEF*NtoN2O*kgtoGg,IF('Net zero activities &amp; levers'!$C$12="PB",Constants!$H78*'Activity data'!BB20*Constants!$H96*FracLEACHMM*MMLeachEF*NtoN2O*kgtoGg,IF('Net zero activities &amp; levers'!$C$14="MS",Constants!$H78*'Net zero Activity data'!BB20*Constants!$H96*FracLEACHMM*MMLeachEF*NtoN2O*kgtoGg,"ERROR")))</f>
        <v>-8.0679385855871269E-2</v>
      </c>
      <c r="AJ1065" s="101">
        <f>IF('Net zero activities &amp; levers'!$C$12="Off",Constants!$H78*'Activity data'!BC20*Constants!$H96*FracLEACHMM*MMLeachEF*NtoN2O*kgtoGg,IF('Net zero activities &amp; levers'!$C$12="PB",Constants!$H78*'Activity data'!BC20*Constants!$H96*FracLEACHMM*MMLeachEF*NtoN2O*kgtoGg,IF('Net zero activities &amp; levers'!$C$14="MS",Constants!$H78*'Net zero Activity data'!BC20*Constants!$H96*FracLEACHMM*MMLeachEF*NtoN2O*kgtoGg,"ERROR")))</f>
        <v>-8.0804585525595149E-2</v>
      </c>
      <c r="AK1065" s="101">
        <f>IF('Net zero activities &amp; levers'!$C$12="Off",Constants!$H78*'Activity data'!BD20*Constants!$H96*FracLEACHMM*MMLeachEF*NtoN2O*kgtoGg,IF('Net zero activities &amp; levers'!$C$12="PB",Constants!$H78*'Activity data'!BD20*Constants!$H96*FracLEACHMM*MMLeachEF*NtoN2O*kgtoGg,IF('Net zero activities &amp; levers'!$C$14="MS",Constants!$H78*'Net zero Activity data'!BD20*Constants!$H96*FracLEACHMM*MMLeachEF*NtoN2O*kgtoGg,"ERROR")))</f>
        <v>-8.0939145577368532E-2</v>
      </c>
      <c r="AL1065" s="101">
        <f>IF('Net zero activities &amp; levers'!$C$12="Off",Constants!$H78*'Activity data'!BE20*Constants!$H96*FracLEACHMM*MMLeachEF*NtoN2O*kgtoGg,IF('Net zero activities &amp; levers'!$C$12="PB",Constants!$H78*'Activity data'!BE20*Constants!$H96*FracLEACHMM*MMLeachEF*NtoN2O*kgtoGg,IF('Net zero activities &amp; levers'!$C$14="MS",Constants!$H78*'Net zero Activity data'!BE20*Constants!$H96*FracLEACHMM*MMLeachEF*NtoN2O*kgtoGg,"ERROR")))</f>
        <v>-8.1082690034370505E-2</v>
      </c>
      <c r="AM1065" s="101">
        <f>IF('Net zero activities &amp; levers'!$C$12="Off",Constants!$H78*'Activity data'!BF20*Constants!$H96*FracLEACHMM*MMLeachEF*NtoN2O*kgtoGg,IF('Net zero activities &amp; levers'!$C$12="PB",Constants!$H78*'Activity data'!BF20*Constants!$H96*FracLEACHMM*MMLeachEF*NtoN2O*kgtoGg,IF('Net zero activities &amp; levers'!$C$14="MS",Constants!$H78*'Net zero Activity data'!BF20*Constants!$H96*FracLEACHMM*MMLeachEF*NtoN2O*kgtoGg,"ERROR")))</f>
        <v>-8.1234871540648887E-2</v>
      </c>
      <c r="AN1065" s="101">
        <f>IF('Net zero activities &amp; levers'!$C$12="Off",Constants!$H78*'Activity data'!BG20*Constants!$H96*FracLEACHMM*MMLeachEF*NtoN2O*kgtoGg,IF('Net zero activities &amp; levers'!$C$12="PB",Constants!$H78*'Activity data'!BG20*Constants!$H96*FracLEACHMM*MMLeachEF*NtoN2O*kgtoGg,IF('Net zero activities &amp; levers'!$C$14="MS",Constants!$H78*'Net zero Activity data'!BG20*Constants!$H96*FracLEACHMM*MMLeachEF*NtoN2O*kgtoGg,"ERROR")))</f>
        <v>-8.1297506735230202E-2</v>
      </c>
      <c r="AO1065" s="101">
        <f>IF('Net zero activities &amp; levers'!$C$12="Off",Constants!$H78*'Activity data'!BH20*Constants!$H96*FracLEACHMM*MMLeachEF*NtoN2O*kgtoGg,IF('Net zero activities &amp; levers'!$C$12="PB",Constants!$H78*'Activity data'!BH20*Constants!$H96*FracLEACHMM*MMLeachEF*NtoN2O*kgtoGg,IF('Net zero activities &amp; levers'!$C$14="MS",Constants!$H78*'Net zero Activity data'!BH20*Constants!$H96*FracLEACHMM*MMLeachEF*NtoN2O*kgtoGg,"ERROR")))</f>
        <v>-8.1367991924777852E-2</v>
      </c>
      <c r="AP1065" s="101">
        <f>IF('Net zero activities &amp; levers'!$C$12="Off",Constants!$H78*'Activity data'!BI20*Constants!$H96*FracLEACHMM*MMLeachEF*NtoN2O*kgtoGg,IF('Net zero activities &amp; levers'!$C$12="PB",Constants!$H78*'Activity data'!BI20*Constants!$H96*FracLEACHMM*MMLeachEF*NtoN2O*kgtoGg,IF('Net zero activities &amp; levers'!$C$14="MS",Constants!$H78*'Net zero Activity data'!BI20*Constants!$H96*FracLEACHMM*MMLeachEF*NtoN2O*kgtoGg,"ERROR")))</f>
        <v>-8.144602229798413E-2</v>
      </c>
      <c r="AQ1065" s="101">
        <f>IF('Net zero activities &amp; levers'!$C$12="Off",Constants!$H78*'Activity data'!BJ20*Constants!$H96*FracLEACHMM*MMLeachEF*NtoN2O*kgtoGg,IF('Net zero activities &amp; levers'!$C$12="PB",Constants!$H78*'Activity data'!BJ20*Constants!$H96*FracLEACHMM*MMLeachEF*NtoN2O*kgtoGg,IF('Net zero activities &amp; levers'!$C$14="MS",Constants!$H78*'Net zero Activity data'!BJ20*Constants!$H96*FracLEACHMM*MMLeachEF*NtoN2O*kgtoGg,"ERROR")))</f>
        <v>-8.1531313973181002E-2</v>
      </c>
      <c r="AR1065" s="101">
        <f>IF('Net zero activities &amp; levers'!$C$12="Off",Constants!$H78*'Activity data'!BK20*Constants!$H96*FracLEACHMM*MMLeachEF*NtoN2O*kgtoGg,IF('Net zero activities &amp; levers'!$C$12="PB",Constants!$H78*'Activity data'!BK20*Constants!$H96*FracLEACHMM*MMLeachEF*NtoN2O*kgtoGg,IF('Net zero activities &amp; levers'!$C$14="MS",Constants!$H78*'Net zero Activity data'!BK20*Constants!$H96*FracLEACHMM*MMLeachEF*NtoN2O*kgtoGg,"ERROR")))</f>
        <v>-8.1623602199923873E-2</v>
      </c>
      <c r="AS1065" s="101">
        <f>IF('Net zero activities &amp; levers'!$C$12="Off",Constants!$H78*'Activity data'!BL20*Constants!$H96*FracLEACHMM*MMLeachEF*NtoN2O*kgtoGg,IF('Net zero activities &amp; levers'!$C$12="PB",Constants!$H78*'Activity data'!BL20*Constants!$H96*FracLEACHMM*MMLeachEF*NtoN2O*kgtoGg,IF('Net zero activities &amp; levers'!$C$14="MS",Constants!$H78*'Net zero Activity data'!BL20*Constants!$H96*FracLEACHMM*MMLeachEF*NtoN2O*kgtoGg,"ERROR")))</f>
        <v>-8.1624903700920404E-2</v>
      </c>
      <c r="AT1065" s="101">
        <f>IF('Net zero activities &amp; levers'!$C$12="Off",Constants!$H78*'Activity data'!BM20*Constants!$H96*FracLEACHMM*MMLeachEF*NtoN2O*kgtoGg,IF('Net zero activities &amp; levers'!$C$12="PB",Constants!$H78*'Activity data'!BM20*Constants!$H96*FracLEACHMM*MMLeachEF*NtoN2O*kgtoGg,IF('Net zero activities &amp; levers'!$C$14="MS",Constants!$H78*'Net zero Activity data'!BM20*Constants!$H96*FracLEACHMM*MMLeachEF*NtoN2O*kgtoGg,"ERROR")))</f>
        <v>-8.1632684613039755E-2</v>
      </c>
      <c r="AU1065" s="101">
        <f>IF('Net zero activities &amp; levers'!$C$12="Off",Constants!$H78*'Activity data'!BN20*Constants!$H96*FracLEACHMM*MMLeachEF*NtoN2O*kgtoGg,IF('Net zero activities &amp; levers'!$C$12="PB",Constants!$H78*'Activity data'!BN20*Constants!$H96*FracLEACHMM*MMLeachEF*NtoN2O*kgtoGg,IF('Net zero activities &amp; levers'!$C$14="MS",Constants!$H78*'Net zero Activity data'!BN20*Constants!$H96*FracLEACHMM*MMLeachEF*NtoN2O*kgtoGg,"ERROR")))</f>
        <v>-8.1646705375421999E-2</v>
      </c>
      <c r="AV1065" s="101">
        <f>IF('Net zero activities &amp; levers'!$C$12="Off",Constants!$H78*'Activity data'!BO20*Constants!$H96*FracLEACHMM*MMLeachEF*NtoN2O*kgtoGg,IF('Net zero activities &amp; levers'!$C$12="PB",Constants!$H78*'Activity data'!BO20*Constants!$H96*FracLEACHMM*MMLeachEF*NtoN2O*kgtoGg,IF('Net zero activities &amp; levers'!$C$14="MS",Constants!$H78*'Net zero Activity data'!BO20*Constants!$H96*FracLEACHMM*MMLeachEF*NtoN2O*kgtoGg,"ERROR")))</f>
        <v>-8.1666741103231646E-2</v>
      </c>
      <c r="AW1065" s="101">
        <f>IF('Net zero activities &amp; levers'!$C$12="Off",Constants!$H78*'Activity data'!BP20*Constants!$H96*FracLEACHMM*MMLeachEF*NtoN2O*kgtoGg,IF('Net zero activities &amp; levers'!$C$12="PB",Constants!$H78*'Activity data'!BP20*Constants!$H96*FracLEACHMM*MMLeachEF*NtoN2O*kgtoGg,IF('Net zero activities &amp; levers'!$C$14="MS",Constants!$H78*'Net zero Activity data'!BP20*Constants!$H96*FracLEACHMM*MMLeachEF*NtoN2O*kgtoGg,"ERROR")))</f>
        <v>-8.1692580447798743E-2</v>
      </c>
      <c r="AY1065" s="85"/>
      <c r="AZ1065" s="85"/>
    </row>
    <row r="1067" spans="1:52" x14ac:dyDescent="0.25">
      <c r="A1067" s="102" t="str">
        <f t="shared" ref="A1067:A1089" si="373">B1067&amp;" "&amp;C1067</f>
        <v>CM Cattle</v>
      </c>
      <c r="B1067" s="102" t="s">
        <v>1323</v>
      </c>
      <c r="C1067" s="102" t="s">
        <v>1109</v>
      </c>
      <c r="D1067" t="s">
        <v>15</v>
      </c>
      <c r="E1067" t="s">
        <v>16</v>
      </c>
      <c r="F1067" t="s">
        <v>6</v>
      </c>
      <c r="G1067" t="s">
        <v>136</v>
      </c>
      <c r="H1067" t="s">
        <v>1021</v>
      </c>
      <c r="I1067" t="s">
        <v>121</v>
      </c>
      <c r="J1067" t="s">
        <v>286</v>
      </c>
      <c r="K1067" s="100">
        <f>IF('Net zero activities &amp; levers'!$C$14="Off",('Activity data'!AD5*EF!$H4)*kgtoGg,IF('Net zero activities &amp; levers'!$C$14="On",('Net zero Activity data'!AD5*EF!$H4)*kgtoGg,"ERROR"))</f>
        <v>72.376996171709351</v>
      </c>
      <c r="L1067" s="100">
        <f>IF('Net zero activities &amp; levers'!$C$14="Off",('Activity data'!AE5*EF!$H4)*kgtoGg,IF('Net zero activities &amp; levers'!$C$14="On",('Net zero Activity data'!AE5*EF!$H4)*kgtoGg,"ERROR"))</f>
        <v>72.827193296605245</v>
      </c>
      <c r="M1067" s="100">
        <f>IF('Net zero activities &amp; levers'!$C$14="Off",('Activity data'!AF5*EF!$H4)*kgtoGg,IF('Net zero activities &amp; levers'!$C$14="On",('Net zero Activity data'!AF5*EF!$H4)*kgtoGg,"ERROR"))</f>
        <v>73.136710021656683</v>
      </c>
      <c r="N1067" s="100">
        <f>IF('Net zero activities &amp; levers'!$C$14="Off",('Activity data'!AG5*EF!$H4)*kgtoGg,IF('Net zero activities &amp; levers'!$C$14="On",('Net zero Activity data'!AG5*EF!$H4)*kgtoGg,"ERROR"))</f>
        <v>73.233779022849987</v>
      </c>
      <c r="O1067" s="100">
        <f>IF('Net zero activities &amp; levers'!$C$14="Off",('Activity data'!AH5*EF!$H4)*kgtoGg,IF('Net zero activities &amp; levers'!$C$14="On",('Net zero Activity data'!AH5*EF!$H4)*kgtoGg,"ERROR"))</f>
        <v>73.365098896994937</v>
      </c>
      <c r="P1067" s="100">
        <f>IF('Net zero activities &amp; levers'!$C$14="Off",('Activity data'!AI5*EF!$H4)*kgtoGg,IF('Net zero activities &amp; levers'!$C$14="On",('Net zero Activity data'!AI5*EF!$H4)*kgtoGg,"ERROR"))</f>
        <v>73.652739312599607</v>
      </c>
      <c r="Q1067" s="100">
        <f>IF('Net zero activities &amp; levers'!$C$14="Off",('Activity data'!AJ5*EF!$H4)*kgtoGg,IF('Net zero activities &amp; levers'!$C$14="On",('Net zero Activity data'!AJ5*EF!$H4)*kgtoGg,"ERROR"))</f>
        <v>73.997590994756678</v>
      </c>
      <c r="R1067" s="100">
        <f>IF('Net zero activities &amp; levers'!$C$14="Off",('Activity data'!AK5*EF!$H4)*kgtoGg,IF('Net zero activities &amp; levers'!$C$14="On",('Net zero Activity data'!AK5*EF!$H4)*kgtoGg,"ERROR"))</f>
        <v>74.101188037293639</v>
      </c>
      <c r="S1067" s="100">
        <f>IF('Net zero activities &amp; levers'!$C$14="Off",('Activity data'!AL5*EF!$H4)*kgtoGg,IF('Net zero activities &amp; levers'!$C$14="On",('Net zero Activity data'!AL5*EF!$H4)*kgtoGg,"ERROR"))</f>
        <v>71.826298208807202</v>
      </c>
      <c r="T1067" s="100">
        <f>IF('Net zero activities &amp; levers'!$C$14="Off",('Activity data'!AM5*EF!$H4)*kgtoGg,IF('Net zero activities &amp; levers'!$C$14="On",('Net zero Activity data'!AM5*EF!$H4)*kgtoGg,"ERROR"))</f>
        <v>72.417907231153862</v>
      </c>
      <c r="U1067" s="100">
        <f>IF('Net zero activities &amp; levers'!$C$14="Off",('Activity data'!AN5*EF!$H4)*kgtoGg,IF('Net zero activities &amp; levers'!$C$14="On",('Net zero Activity data'!AN5*EF!$H4)*kgtoGg,"ERROR"))</f>
        <v>72.960395903467088</v>
      </c>
      <c r="V1067" s="100">
        <f>IF('Net zero activities &amp; levers'!$C$14="Off",('Activity data'!AO5*EF!$H4)*kgtoGg,IF('Net zero activities &amp; levers'!$C$14="On",('Net zero Activity data'!AO5*EF!$H4)*kgtoGg,"ERROR"))</f>
        <v>73.516627561358078</v>
      </c>
      <c r="W1067" s="100">
        <f>IF('Net zero activities &amp; levers'!$C$14="Off",('Activity data'!AP5*EF!$H4)*kgtoGg,IF('Net zero activities &amp; levers'!$C$14="On",('Net zero Activity data'!AP5*EF!$H4)*kgtoGg,"ERROR"))</f>
        <v>74.186684258863224</v>
      </c>
      <c r="X1067" s="100">
        <f>IF('Net zero activities &amp; levers'!$C$14="Off",('Activity data'!AQ5*EF!$H4)*kgtoGg,IF('Net zero activities &amp; levers'!$C$14="On",('Net zero Activity data'!AQ5*EF!$H4)*kgtoGg,"ERROR"))</f>
        <v>74.869314167562791</v>
      </c>
      <c r="Y1067" s="100">
        <f>IF('Net zero activities &amp; levers'!$C$14="Off",('Activity data'!AR5*EF!$H4)*kgtoGg,IF('Net zero activities &amp; levers'!$C$14="On",('Net zero Activity data'!AR5*EF!$H4)*kgtoGg,"ERROR"))</f>
        <v>75.534003476484159</v>
      </c>
      <c r="Z1067" s="100">
        <f>IF('Net zero activities &amp; levers'!$C$14="Off",('Activity data'!AS5*EF!$H4)*kgtoGg,IF('Net zero activities &amp; levers'!$C$14="On",('Net zero Activity data'!AS5*EF!$H4)*kgtoGg,"ERROR"))</f>
        <v>76.185395165959491</v>
      </c>
      <c r="AA1067" s="100">
        <f>IF('Net zero activities &amp; levers'!$C$14="Off",('Activity data'!AT5*EF!$H4)*kgtoGg,IF('Net zero activities &amp; levers'!$C$14="On",('Net zero Activity data'!AT5*EF!$H4)*kgtoGg,"ERROR"))</f>
        <v>76.887015456471644</v>
      </c>
      <c r="AB1067" s="100">
        <f>IF('Net zero activities &amp; levers'!$C$14="Off",('Activity data'!AU5*EF!$H4)*kgtoGg,IF('Net zero activities &amp; levers'!$C$14="On",('Net zero Activity data'!AU5*EF!$H4)*kgtoGg,"ERROR"))</f>
        <v>77.551436080037234</v>
      </c>
      <c r="AC1067" s="100">
        <f>IF('Net zero activities &amp; levers'!$C$14="Off",('Activity data'!AV5*EF!$H4)*kgtoGg,IF('Net zero activities &amp; levers'!$C$14="On",('Net zero Activity data'!AV5*EF!$H4)*kgtoGg,"ERROR"))</f>
        <v>78.239689008310734</v>
      </c>
      <c r="AD1067" s="100">
        <f>IF('Net zero activities &amp; levers'!$C$14="Off",('Activity data'!AW5*EF!$H4)*kgtoGg,IF('Net zero activities &amp; levers'!$C$14="On",('Net zero Activity data'!AW5*EF!$H4)*kgtoGg,"ERROR"))</f>
        <v>79.030428819406467</v>
      </c>
      <c r="AE1067" s="100">
        <f>IF('Net zero activities &amp; levers'!$C$14="Off",('Activity data'!AX5*EF!$H4)*kgtoGg,IF('Net zero activities &amp; levers'!$C$14="On",('Net zero Activity data'!AX5*EF!$H4)*kgtoGg,"ERROR"))</f>
        <v>79.891627595721104</v>
      </c>
      <c r="AF1067" s="100">
        <f>IF('Net zero activities &amp; levers'!$C$14="Off",('Activity data'!AY5*EF!$H4)*kgtoGg,IF('Net zero activities &amp; levers'!$C$14="On",('Net zero Activity data'!AY5*EF!$H4)*kgtoGg,"ERROR"))</f>
        <v>80.787009350430679</v>
      </c>
      <c r="AG1067" s="100">
        <f>IF('Net zero activities &amp; levers'!$C$14="Off",('Activity data'!AZ5*EF!$H4)*kgtoGg,IF('Net zero activities &amp; levers'!$C$14="On",('Net zero Activity data'!AZ5*EF!$H4)*kgtoGg,"ERROR"))</f>
        <v>80.912080498201277</v>
      </c>
      <c r="AH1067" s="100">
        <f>IF('Net zero activities &amp; levers'!$C$14="Off",('Activity data'!BA5*EF!$H4)*kgtoGg,IF('Net zero activities &amp; levers'!$C$14="On",('Net zero Activity data'!BA5*EF!$H4)*kgtoGg,"ERROR"))</f>
        <v>43.319538481890476</v>
      </c>
      <c r="AI1067" s="100">
        <f>IF('Net zero activities &amp; levers'!$C$14="Off",('Activity data'!BB5*EF!$H4)*kgtoGg,IF('Net zero activities &amp; levers'!$C$14="On",('Net zero Activity data'!BB5*EF!$H4)*kgtoGg,"ERROR"))</f>
        <v>43.351399738006613</v>
      </c>
      <c r="AJ1067" s="100">
        <f>IF('Net zero activities &amp; levers'!$C$14="Off",('Activity data'!BC5*EF!$H4)*kgtoGg,IF('Net zero activities &amp; levers'!$C$14="On",('Net zero Activity data'!BC5*EF!$H4)*kgtoGg,"ERROR"))</f>
        <v>43.387446354851633</v>
      </c>
      <c r="AK1067" s="100">
        <f>IF('Net zero activities &amp; levers'!$C$14="Off",('Activity data'!BD5*EF!$H4)*kgtoGg,IF('Net zero activities &amp; levers'!$C$14="On",('Net zero Activity data'!BD5*EF!$H4)*kgtoGg,"ERROR"))</f>
        <v>43.427519248376711</v>
      </c>
      <c r="AL1067" s="100">
        <f>IF('Net zero activities &amp; levers'!$C$14="Off",('Activity data'!BE5*EF!$H4)*kgtoGg,IF('Net zero activities &amp; levers'!$C$14="On",('Net zero Activity data'!BE5*EF!$H4)*kgtoGg,"ERROR"))</f>
        <v>43.471471586559346</v>
      </c>
      <c r="AM1067" s="100">
        <f>IF('Net zero activities &amp; levers'!$C$14="Off",('Activity data'!BF5*EF!$H4)*kgtoGg,IF('Net zero activities &amp; levers'!$C$14="On",('Net zero Activity data'!BF5*EF!$H4)*kgtoGg,"ERROR"))</f>
        <v>43.519167628118126</v>
      </c>
      <c r="AN1067" s="100">
        <f>IF('Net zero activities &amp; levers'!$C$14="Off",('Activity data'!BG5*EF!$H4)*kgtoGg,IF('Net zero activities &amp; levers'!$C$14="On",('Net zero Activity data'!BG5*EF!$H4)*kgtoGg,"ERROR"))</f>
        <v>43.539702199078199</v>
      </c>
      <c r="AO1067" s="100">
        <f>IF('Net zero activities &amp; levers'!$C$14="Off",('Activity data'!BH5*EF!$H4)*kgtoGg,IF('Net zero activities &amp; levers'!$C$14="On",('Net zero Activity data'!BH5*EF!$H4)*kgtoGg,"ERROR"))</f>
        <v>43.56353361698914</v>
      </c>
      <c r="AP1067" s="100">
        <f>IF('Net zero activities &amp; levers'!$C$14="Off",('Activity data'!BI5*EF!$H4)*kgtoGg,IF('Net zero activities &amp; levers'!$C$14="On",('Net zero Activity data'!BI5*EF!$H4)*kgtoGg,"ERROR"))</f>
        <v>43.590546733122295</v>
      </c>
      <c r="AQ1067" s="100">
        <f>IF('Net zero activities &amp; levers'!$C$14="Off",('Activity data'!BJ5*EF!$H4)*kgtoGg,IF('Net zero activities &amp; levers'!$C$14="On",('Net zero Activity data'!BJ5*EF!$H4)*kgtoGg,"ERROR"))</f>
        <v>43.620634256127552</v>
      </c>
      <c r="AR1067" s="100">
        <f>IF('Net zero activities &amp; levers'!$C$14="Off",('Activity data'!BK5*EF!$H4)*kgtoGg,IF('Net zero activities &amp; levers'!$C$14="On",('Net zero Activity data'!BK5*EF!$H4)*kgtoGg,"ERROR"))</f>
        <v>43.653696085271918</v>
      </c>
      <c r="AS1067" s="100">
        <f>IF('Net zero activities &amp; levers'!$C$14="Off",('Activity data'!BL5*EF!$H4)*kgtoGg,IF('Net zero activities &amp; levers'!$C$14="On",('Net zero Activity data'!BL5*EF!$H4)*kgtoGg,"ERROR"))</f>
        <v>43.658527557301703</v>
      </c>
      <c r="AT1067" s="100">
        <f>IF('Net zero activities &amp; levers'!$C$14="Off",('Activity data'!BM5*EF!$H4)*kgtoGg,IF('Net zero activities &amp; levers'!$C$14="On",('Net zero Activity data'!BM5*EF!$H4)*kgtoGg,"ERROR"))</f>
        <v>43.665995825413447</v>
      </c>
      <c r="AU1067" s="100">
        <f>IF('Net zero activities &amp; levers'!$C$14="Off",('Activity data'!BN5*EF!$H4)*kgtoGg,IF('Net zero activities &amp; levers'!$C$14="On",('Net zero Activity data'!BN5*EF!$H4)*kgtoGg,"ERROR"))</f>
        <v>43.676013492535439</v>
      </c>
      <c r="AV1067" s="100">
        <f>IF('Net zero activities &amp; levers'!$C$14="Off",('Activity data'!BO5*EF!$H4)*kgtoGg,IF('Net zero activities &amp; levers'!$C$14="On",('Net zero Activity data'!BO5*EF!$H4)*kgtoGg,"ERROR"))</f>
        <v>43.688498485748141</v>
      </c>
      <c r="AW1067" s="100">
        <f>IF('Net zero activities &amp; levers'!$C$14="Off",('Activity data'!BP5*EF!$H4)*kgtoGg,IF('Net zero activities &amp; levers'!$C$14="On",('Net zero Activity data'!BP5*EF!$H4)*kgtoGg,"ERROR"))</f>
        <v>43.703373647289609</v>
      </c>
      <c r="AY1067" s="85"/>
    </row>
    <row r="1068" spans="1:52" x14ac:dyDescent="0.25">
      <c r="A1068" s="102" t="str">
        <f t="shared" si="373"/>
        <v>CM Cattle</v>
      </c>
      <c r="B1068" s="102" t="s">
        <v>1323</v>
      </c>
      <c r="C1068" s="102" t="s">
        <v>1109</v>
      </c>
      <c r="D1068" t="s">
        <v>15</v>
      </c>
      <c r="E1068" t="s">
        <v>16</v>
      </c>
      <c r="F1068" t="s">
        <v>6</v>
      </c>
      <c r="G1068" t="s">
        <v>137</v>
      </c>
      <c r="H1068" t="s">
        <v>1021</v>
      </c>
      <c r="I1068" t="s">
        <v>121</v>
      </c>
      <c r="J1068" t="s">
        <v>286</v>
      </c>
      <c r="K1068" s="100">
        <f>IF('Net zero activities &amp; levers'!$C$14="Off",('Activity data'!AD6*EF!$H5)*kgtoGg,IF('Net zero activities &amp; levers'!$C$14="On",('Net zero Activity data'!AD6*EF!$H5)*kgtoGg,"ERROR"))</f>
        <v>57.888319714675518</v>
      </c>
      <c r="L1068" s="100">
        <f>IF('Net zero activities &amp; levers'!$C$14="Off",('Activity data'!AE6*EF!$H5)*kgtoGg,IF('Net zero activities &amp; levers'!$C$14="On",('Net zero Activity data'!AE6*EF!$H5)*kgtoGg,"ERROR"))</f>
        <v>58.248394828027457</v>
      </c>
      <c r="M1068" s="100">
        <f>IF('Net zero activities &amp; levers'!$C$14="Off",('Activity data'!AF6*EF!$H5)*kgtoGg,IF('Net zero activities &amp; levers'!$C$14="On",('Net zero Activity data'!AF6*EF!$H5)*kgtoGg,"ERROR"))</f>
        <v>58.495951428667674</v>
      </c>
      <c r="N1068" s="100">
        <f>IF('Net zero activities &amp; levers'!$C$14="Off",('Activity data'!AG6*EF!$H5)*kgtoGg,IF('Net zero activities &amp; levers'!$C$14="On",('Net zero Activity data'!AG6*EF!$H5)*kgtoGg,"ERROR"))</f>
        <v>58.573588822766354</v>
      </c>
      <c r="O1068" s="100">
        <f>IF('Net zero activities &amp; levers'!$C$14="Off",('Activity data'!AH6*EF!$H5)*kgtoGg,IF('Net zero activities &amp; levers'!$C$14="On",('Net zero Activity data'!AH6*EF!$H5)*kgtoGg,"ERROR"))</f>
        <v>58.678620632063321</v>
      </c>
      <c r="P1068" s="100">
        <f>IF('Net zero activities &amp; levers'!$C$14="Off",('Activity data'!AI6*EF!$H5)*kgtoGg,IF('Net zero activities &amp; levers'!$C$14="On",('Net zero Activity data'!AI6*EF!$H5)*kgtoGg,"ERROR"))</f>
        <v>58.908680198253116</v>
      </c>
      <c r="Q1068" s="100">
        <f>IF('Net zero activities &amp; levers'!$C$14="Off",('Activity data'!AJ6*EF!$H5)*kgtoGg,IF('Net zero activities &amp; levers'!$C$14="On",('Net zero Activity data'!AJ6*EF!$H5)*kgtoGg,"ERROR"))</f>
        <v>59.184498282544595</v>
      </c>
      <c r="R1068" s="100">
        <f>IF('Net zero activities &amp; levers'!$C$14="Off",('Activity data'!AK6*EF!$H5)*kgtoGg,IF('Net zero activities &amp; levers'!$C$14="On",('Net zero Activity data'!AK6*EF!$H5)*kgtoGg,"ERROR"))</f>
        <v>59.267356912179451</v>
      </c>
      <c r="S1068" s="100">
        <f>IF('Net zero activities &amp; levers'!$C$14="Off",('Activity data'!AL6*EF!$H5)*kgtoGg,IF('Net zero activities &amp; levers'!$C$14="On",('Net zero Activity data'!AL6*EF!$H5)*kgtoGg,"ERROR"))</f>
        <v>57.447862367329009</v>
      </c>
      <c r="T1068" s="100">
        <f>IF('Net zero activities &amp; levers'!$C$14="Off",('Activity data'!AM6*EF!$H5)*kgtoGg,IF('Net zero activities &amp; levers'!$C$14="On",('Net zero Activity data'!AM6*EF!$H5)*kgtoGg,"ERROR"))</f>
        <v>57.921041057287908</v>
      </c>
      <c r="U1068" s="100">
        <f>IF('Net zero activities &amp; levers'!$C$14="Off",('Activity data'!AN6*EF!$H5)*kgtoGg,IF('Net zero activities &amp; levers'!$C$14="On",('Net zero Activity data'!AN6*EF!$H5)*kgtoGg,"ERROR"))</f>
        <v>58.354932478119395</v>
      </c>
      <c r="V1068" s="100">
        <f>IF('Net zero activities &amp; levers'!$C$14="Off",('Activity data'!AO6*EF!$H5)*kgtoGg,IF('Net zero activities &amp; levers'!$C$14="On",('Net zero Activity data'!AO6*EF!$H5)*kgtoGg,"ERROR"))</f>
        <v>58.799815766326432</v>
      </c>
      <c r="W1068" s="100">
        <f>IF('Net zero activities &amp; levers'!$C$14="Off",('Activity data'!AP6*EF!$H5)*kgtoGg,IF('Net zero activities &amp; levers'!$C$14="On",('Net zero Activity data'!AP6*EF!$H5)*kgtoGg,"ERROR"))</f>
        <v>59.33573820555165</v>
      </c>
      <c r="X1068" s="100">
        <f>IF('Net zero activities &amp; levers'!$C$14="Off",('Activity data'!AQ6*EF!$H5)*kgtoGg,IF('Net zero activities &amp; levers'!$C$14="On",('Net zero Activity data'!AQ6*EF!$H5)*kgtoGg,"ERROR"))</f>
        <v>59.881716907235422</v>
      </c>
      <c r="Y1068" s="100">
        <f>IF('Net zero activities &amp; levers'!$C$14="Off",('Activity data'!AR6*EF!$H5)*kgtoGg,IF('Net zero activities &amp; levers'!$C$14="On",('Net zero Activity data'!AR6*EF!$H5)*kgtoGg,"ERROR"))</f>
        <v>60.413346420216044</v>
      </c>
      <c r="Z1068" s="100">
        <f>IF('Net zero activities &amp; levers'!$C$14="Off",('Activity data'!AS6*EF!$H5)*kgtoGg,IF('Net zero activities &amp; levers'!$C$14="On",('Net zero Activity data'!AS6*EF!$H5)*kgtoGg,"ERROR"))</f>
        <v>60.934340277026173</v>
      </c>
      <c r="AA1068" s="100">
        <f>IF('Net zero activities &amp; levers'!$C$14="Off",('Activity data'!AT6*EF!$H5)*kgtoGg,IF('Net zero activities &amp; levers'!$C$14="On",('Net zero Activity data'!AT6*EF!$H5)*kgtoGg,"ERROR"))</f>
        <v>61.495507800462953</v>
      </c>
      <c r="AB1068" s="100">
        <f>IF('Net zero activities &amp; levers'!$C$14="Off",('Activity data'!AU6*EF!$H5)*kgtoGg,IF('Net zero activities &amp; levers'!$C$14="On",('Net zero Activity data'!AU6*EF!$H5)*kgtoGg,"ERROR"))</f>
        <v>62.026922414448045</v>
      </c>
      <c r="AC1068" s="100">
        <f>IF('Net zero activities &amp; levers'!$C$14="Off",('Activity data'!AV6*EF!$H5)*kgtoGg,IF('Net zero activities &amp; levers'!$C$14="On",('Net zero Activity data'!AV6*EF!$H5)*kgtoGg,"ERROR"))</f>
        <v>62.577398500274199</v>
      </c>
      <c r="AD1068" s="100">
        <f>IF('Net zero activities &amp; levers'!$C$14="Off",('Activity data'!AW6*EF!$H5)*kgtoGg,IF('Net zero activities &amp; levers'!$C$14="On",('Net zero Activity data'!AW6*EF!$H5)*kgtoGg,"ERROR"))</f>
        <v>63.209845291617057</v>
      </c>
      <c r="AE1068" s="100">
        <f>IF('Net zero activities &amp; levers'!$C$14="Off",('Activity data'!AX6*EF!$H5)*kgtoGg,IF('Net zero activities &amp; levers'!$C$14="On",('Net zero Activity data'!AX6*EF!$H5)*kgtoGg,"ERROR"))</f>
        <v>63.898646329766187</v>
      </c>
      <c r="AF1068" s="100">
        <f>IF('Net zero activities &amp; levers'!$C$14="Off",('Activity data'!AY6*EF!$H5)*kgtoGg,IF('Net zero activities &amp; levers'!$C$14="On",('Net zero Activity data'!AY6*EF!$H5)*kgtoGg,"ERROR"))</f>
        <v>64.614787479923166</v>
      </c>
      <c r="AG1068" s="100">
        <f>IF('Net zero activities &amp; levers'!$C$14="Off",('Activity data'!AZ6*EF!$H5)*kgtoGg,IF('Net zero activities &amp; levers'!$C$14="On",('Net zero Activity data'!AZ6*EF!$H5)*kgtoGg,"ERROR"))</f>
        <v>64.714821454420374</v>
      </c>
      <c r="AH1068" s="100">
        <f>IF('Net zero activities &amp; levers'!$C$14="Off",('Activity data'!BA6*EF!$H5)*kgtoGg,IF('Net zero activities &amp; levers'!$C$14="On",('Net zero Activity data'!BA6*EF!$H5)*kgtoGg,"ERROR"))</f>
        <v>34.647684018034326</v>
      </c>
      <c r="AI1068" s="100">
        <f>IF('Net zero activities &amp; levers'!$C$14="Off",('Activity data'!BB6*EF!$H5)*kgtoGg,IF('Net zero activities &amp; levers'!$C$14="On",('Net zero Activity data'!BB6*EF!$H5)*kgtoGg,"ERROR"))</f>
        <v>34.67316717812826</v>
      </c>
      <c r="AJ1068" s="100">
        <f>IF('Net zero activities &amp; levers'!$C$14="Off",('Activity data'!BC6*EF!$H5)*kgtoGg,IF('Net zero activities &amp; levers'!$C$14="On",('Net zero Activity data'!BC6*EF!$H5)*kgtoGg,"ERROR"))</f>
        <v>34.701997859020388</v>
      </c>
      <c r="AK1068" s="100">
        <f>IF('Net zero activities &amp; levers'!$C$14="Off",('Activity data'!BD6*EF!$H5)*kgtoGg,IF('Net zero activities &amp; levers'!$C$14="On",('Net zero Activity data'!BD6*EF!$H5)*kgtoGg,"ERROR"))</f>
        <v>34.734048822654856</v>
      </c>
      <c r="AL1068" s="100">
        <f>IF('Net zero activities &amp; levers'!$C$14="Off",('Activity data'!BE6*EF!$H5)*kgtoGg,IF('Net zero activities &amp; levers'!$C$14="On",('Net zero Activity data'!BE6*EF!$H5)*kgtoGg,"ERROR"))</f>
        <v>34.769202630349326</v>
      </c>
      <c r="AM1068" s="100">
        <f>IF('Net zero activities &amp; levers'!$C$14="Off",('Activity data'!BF6*EF!$H5)*kgtoGg,IF('Net zero activities &amp; levers'!$C$14="On",('Net zero Activity data'!BF6*EF!$H5)*kgtoGg,"ERROR"))</f>
        <v>34.80735071397978</v>
      </c>
      <c r="AN1068" s="100">
        <f>IF('Net zero activities &amp; levers'!$C$14="Off",('Activity data'!BG6*EF!$H5)*kgtoGg,IF('Net zero activities &amp; levers'!$C$14="On",('Net zero Activity data'!BG6*EF!$H5)*kgtoGg,"ERROR"))</f>
        <v>34.823774603776485</v>
      </c>
      <c r="AO1068" s="100">
        <f>IF('Net zero activities &amp; levers'!$C$14="Off",('Activity data'!BH6*EF!$H5)*kgtoGg,IF('Net zero activities &amp; levers'!$C$14="On",('Net zero Activity data'!BH6*EF!$H5)*kgtoGg,"ERROR"))</f>
        <v>34.842835366342669</v>
      </c>
      <c r="AP1068" s="100">
        <f>IF('Net zero activities &amp; levers'!$C$14="Off",('Activity data'!BI6*EF!$H5)*kgtoGg,IF('Net zero activities &amp; levers'!$C$14="On",('Net zero Activity data'!BI6*EF!$H5)*kgtoGg,"ERROR"))</f>
        <v>34.86444090381891</v>
      </c>
      <c r="AQ1068" s="100">
        <f>IF('Net zero activities &amp; levers'!$C$14="Off",('Activity data'!BJ6*EF!$H5)*kgtoGg,IF('Net zero activities &amp; levers'!$C$14="On",('Net zero Activity data'!BJ6*EF!$H5)*kgtoGg,"ERROR"))</f>
        <v>34.888505402807219</v>
      </c>
      <c r="AR1068" s="100">
        <f>IF('Net zero activities &amp; levers'!$C$14="Off",('Activity data'!BK6*EF!$H5)*kgtoGg,IF('Net zero activities &amp; levers'!$C$14="On",('Net zero Activity data'!BK6*EF!$H5)*kgtoGg,"ERROR"))</f>
        <v>34.914948801084201</v>
      </c>
      <c r="AS1068" s="100">
        <f>IF('Net zero activities &amp; levers'!$C$14="Off",('Activity data'!BL6*EF!$H5)*kgtoGg,IF('Net zero activities &amp; levers'!$C$14="On",('Net zero Activity data'!BL6*EF!$H5)*kgtoGg,"ERROR"))</f>
        <v>34.918813092397009</v>
      </c>
      <c r="AT1068" s="100">
        <f>IF('Net zero activities &amp; levers'!$C$14="Off",('Activity data'!BM6*EF!$H5)*kgtoGg,IF('Net zero activities &amp; levers'!$C$14="On",('Net zero Activity data'!BM6*EF!$H5)*kgtoGg,"ERROR"))</f>
        <v>34.92478633686742</v>
      </c>
      <c r="AU1068" s="100">
        <f>IF('Net zero activities &amp; levers'!$C$14="Off",('Activity data'!BN6*EF!$H5)*kgtoGg,IF('Net zero activities &amp; levers'!$C$14="On",('Net zero Activity data'!BN6*EF!$H5)*kgtoGg,"ERROR"))</f>
        <v>34.932798632870664</v>
      </c>
      <c r="AV1068" s="100">
        <f>IF('Net zero activities &amp; levers'!$C$14="Off",('Activity data'!BO6*EF!$H5)*kgtoGg,IF('Net zero activities &amp; levers'!$C$14="On",('Net zero Activity data'!BO6*EF!$H5)*kgtoGg,"ERROR"))</f>
        <v>34.942784337126994</v>
      </c>
      <c r="AW1068" s="100">
        <f>IF('Net zero activities &amp; levers'!$C$14="Off",('Activity data'!BP6*EF!$H5)*kgtoGg,IF('Net zero activities &amp; levers'!$C$14="On",('Net zero Activity data'!BP6*EF!$H5)*kgtoGg,"ERROR"))</f>
        <v>34.954681737581105</v>
      </c>
      <c r="AY1068" s="85"/>
    </row>
    <row r="1069" spans="1:52" x14ac:dyDescent="0.25">
      <c r="A1069" s="102" t="str">
        <f t="shared" si="373"/>
        <v>CM Cattle</v>
      </c>
      <c r="B1069" s="102" t="s">
        <v>1323</v>
      </c>
      <c r="C1069" s="102" t="s">
        <v>1109</v>
      </c>
      <c r="D1069" t="s">
        <v>15</v>
      </c>
      <c r="E1069" t="s">
        <v>16</v>
      </c>
      <c r="F1069" t="s">
        <v>67</v>
      </c>
      <c r="G1069" t="s">
        <v>307</v>
      </c>
      <c r="H1069" t="s">
        <v>1021</v>
      </c>
      <c r="I1069" t="s">
        <v>121</v>
      </c>
      <c r="J1069" t="s">
        <v>286</v>
      </c>
      <c r="K1069" s="100">
        <f>IF('Net zero activities &amp; levers'!$C$14="Off",('Activity data'!AD7*EF!$H6)*kgtoGg,IF('Net zero activities &amp; levers'!$C$14="On",('Net zero Activity data'!AD7*EF!$H6)*kgtoGg,"ERROR"))</f>
        <v>26.173540124634229</v>
      </c>
      <c r="L1069" s="100">
        <f>IF('Net zero activities &amp; levers'!$C$14="Off",('Activity data'!AE7*EF!$H6)*kgtoGg,IF('Net zero activities &amp; levers'!$C$14="On",('Net zero Activity data'!AE7*EF!$H6)*kgtoGg,"ERROR"))</f>
        <v>26.336343959218663</v>
      </c>
      <c r="M1069" s="100">
        <f>IF('Net zero activities &amp; levers'!$C$14="Off",('Activity data'!AF7*EF!$H6)*kgtoGg,IF('Net zero activities &amp; levers'!$C$14="On",('Net zero Activity data'!AF7*EF!$H6)*kgtoGg,"ERROR"))</f>
        <v>26.448273838197906</v>
      </c>
      <c r="N1069" s="100">
        <f>IF('Net zero activities &amp; levers'!$C$14="Off",('Activity data'!AG7*EF!$H6)*kgtoGg,IF('Net zero activities &amp; levers'!$C$14="On",('Net zero Activity data'!AG7*EF!$H6)*kgtoGg,"ERROR"))</f>
        <v>26.483376695900965</v>
      </c>
      <c r="O1069" s="100">
        <f>IF('Net zero activities &amp; levers'!$C$14="Off",('Activity data'!AH7*EF!$H6)*kgtoGg,IF('Net zero activities &amp; levers'!$C$14="On",('Net zero Activity data'!AH7*EF!$H6)*kgtoGg,"ERROR"))</f>
        <v>26.530865624385104</v>
      </c>
      <c r="P1069" s="100">
        <f>IF('Net zero activities &amp; levers'!$C$14="Off",('Activity data'!AI7*EF!$H6)*kgtoGg,IF('Net zero activities &amp; levers'!$C$14="On",('Net zero Activity data'!AI7*EF!$H6)*kgtoGg,"ERROR"))</f>
        <v>26.634884419824388</v>
      </c>
      <c r="Q1069" s="100">
        <f>IF('Net zero activities &amp; levers'!$C$14="Off",('Activity data'!AJ7*EF!$H6)*kgtoGg,IF('Net zero activities &amp; levers'!$C$14="On",('Net zero Activity data'!AJ7*EF!$H6)*kgtoGg,"ERROR"))</f>
        <v>26.759592404645588</v>
      </c>
      <c r="R1069" s="100">
        <f>IF('Net zero activities &amp; levers'!$C$14="Off",('Activity data'!AK7*EF!$H6)*kgtoGg,IF('Net zero activities &amp; levers'!$C$14="On",('Net zero Activity data'!AK7*EF!$H6)*kgtoGg,"ERROR"))</f>
        <v>26.797055984139856</v>
      </c>
      <c r="S1069" s="100">
        <f>IF('Net zero activities &amp; levers'!$C$14="Off",('Activity data'!AL7*EF!$H6)*kgtoGg,IF('Net zero activities &amp; levers'!$C$14="On",('Net zero Activity data'!AL7*EF!$H6)*kgtoGg,"ERROR"))</f>
        <v>25.97439238445476</v>
      </c>
      <c r="T1069" s="100">
        <f>IF('Net zero activities &amp; levers'!$C$14="Off",('Activity data'!AM7*EF!$H6)*kgtoGg,IF('Net zero activities &amp; levers'!$C$14="On",('Net zero Activity data'!AM7*EF!$H6)*kgtoGg,"ERROR"))</f>
        <v>26.188334704577446</v>
      </c>
      <c r="U1069" s="100">
        <f>IF('Net zero activities &amp; levers'!$C$14="Off",('Activity data'!AN7*EF!$H6)*kgtoGg,IF('Net zero activities &amp; levers'!$C$14="On",('Net zero Activity data'!AN7*EF!$H6)*kgtoGg,"ERROR"))</f>
        <v>26.384513736355224</v>
      </c>
      <c r="V1069" s="100">
        <f>IF('Net zero activities &amp; levers'!$C$14="Off",('Activity data'!AO7*EF!$H6)*kgtoGg,IF('Net zero activities &amp; levers'!$C$14="On",('Net zero Activity data'!AO7*EF!$H6)*kgtoGg,"ERROR"))</f>
        <v>26.585662614955584</v>
      </c>
      <c r="W1069" s="100">
        <f>IF('Net zero activities &amp; levers'!$C$14="Off",('Activity data'!AP7*EF!$H6)*kgtoGg,IF('Net zero activities &amp; levers'!$C$14="On",('Net zero Activity data'!AP7*EF!$H6)*kgtoGg,"ERROR"))</f>
        <v>26.827973802011808</v>
      </c>
      <c r="X1069" s="100">
        <f>IF('Net zero activities &amp; levers'!$C$14="Off",('Activity data'!AQ7*EF!$H6)*kgtoGg,IF('Net zero activities &amp; levers'!$C$14="On",('Net zero Activity data'!AQ7*EF!$H6)*kgtoGg,"ERROR"))</f>
        <v>27.074831812853205</v>
      </c>
      <c r="Y1069" s="100">
        <f>IF('Net zero activities &amp; levers'!$C$14="Off",('Activity data'!AR7*EF!$H6)*kgtoGg,IF('Net zero activities &amp; levers'!$C$14="On",('Net zero Activity data'!AR7*EF!$H6)*kgtoGg,"ERROR"))</f>
        <v>27.315202002522234</v>
      </c>
      <c r="Z1069" s="100">
        <f>IF('Net zero activities &amp; levers'!$C$14="Off",('Activity data'!AS7*EF!$H6)*kgtoGg,IF('Net zero activities &amp; levers'!$C$14="On",('Net zero Activity data'!AS7*EF!$H6)*kgtoGg,"ERROR"))</f>
        <v>27.550763402181431</v>
      </c>
      <c r="AA1069" s="100">
        <f>IF('Net zero activities &amp; levers'!$C$14="Off",('Activity data'!AT7*EF!$H6)*kgtoGg,IF('Net zero activities &amp; levers'!$C$14="On",('Net zero Activity data'!AT7*EF!$H6)*kgtoGg,"ERROR"))</f>
        <v>27.804488864653102</v>
      </c>
      <c r="AB1069" s="100">
        <f>IF('Net zero activities &amp; levers'!$C$14="Off",('Activity data'!AU7*EF!$H6)*kgtoGg,IF('Net zero activities &amp; levers'!$C$14="On",('Net zero Activity data'!AU7*EF!$H6)*kgtoGg,"ERROR"))</f>
        <v>28.044761890204914</v>
      </c>
      <c r="AC1069" s="100">
        <f>IF('Net zero activities &amp; levers'!$C$14="Off",('Activity data'!AV7*EF!$H6)*kgtoGg,IF('Net zero activities &amp; levers'!$C$14="On",('Net zero Activity data'!AV7*EF!$H6)*kgtoGg,"ERROR"))</f>
        <v>28.293653341728078</v>
      </c>
      <c r="AD1069" s="100">
        <f>IF('Net zero activities &amp; levers'!$C$14="Off",('Activity data'!AW7*EF!$H6)*kgtoGg,IF('Net zero activities &amp; levers'!$C$14="On",('Net zero Activity data'!AW7*EF!$H6)*kgtoGg,"ERROR"))</f>
        <v>28.579606908034688</v>
      </c>
      <c r="AE1069" s="100">
        <f>IF('Net zero activities &amp; levers'!$C$14="Off",('Activity data'!AX7*EF!$H6)*kgtoGg,IF('Net zero activities &amp; levers'!$C$14="On",('Net zero Activity data'!AX7*EF!$H6)*kgtoGg,"ERROR"))</f>
        <v>28.891040400987077</v>
      </c>
      <c r="AF1069" s="100">
        <f>IF('Net zero activities &amp; levers'!$C$14="Off",('Activity data'!AY7*EF!$H6)*kgtoGg,IF('Net zero activities &amp; levers'!$C$14="On",('Net zero Activity data'!AY7*EF!$H6)*kgtoGg,"ERROR"))</f>
        <v>29.214835412155512</v>
      </c>
      <c r="AG1069" s="100">
        <f>IF('Net zero activities &amp; levers'!$C$14="Off",('Activity data'!AZ7*EF!$H6)*kgtoGg,IF('Net zero activities &amp; levers'!$C$14="On",('Net zero Activity data'!AZ7*EF!$H6)*kgtoGg,"ERROR"))</f>
        <v>29.260064626930344</v>
      </c>
      <c r="AH1069" s="100">
        <f>IF('Net zero activities &amp; levers'!$C$14="Off",('Activity data'!BA7*EF!$H6)*kgtoGg,IF('Net zero activities &amp; levers'!$C$14="On",('Net zero Activity data'!BA7*EF!$H6)*kgtoGg,"ERROR"))</f>
        <v>15.665553126113098</v>
      </c>
      <c r="AI1069" s="100">
        <f>IF('Net zero activities &amp; levers'!$C$14="Off",('Activity data'!BB7*EF!$H6)*kgtoGg,IF('Net zero activities &amp; levers'!$C$14="On",('Net zero Activity data'!BB7*EF!$H6)*kgtoGg,"ERROR"))</f>
        <v>15.677075044809452</v>
      </c>
      <c r="AJ1069" s="100">
        <f>IF('Net zero activities &amp; levers'!$C$14="Off",('Activity data'!BC7*EF!$H6)*kgtoGg,IF('Net zero activities &amp; levers'!$C$14="On",('Net zero Activity data'!BC7*EF!$H6)*kgtoGg,"ERROR"))</f>
        <v>15.690110506658574</v>
      </c>
      <c r="AK1069" s="100">
        <f>IF('Net zero activities &amp; levers'!$C$14="Off",('Activity data'!BD7*EF!$H6)*kgtoGg,IF('Net zero activities &amp; levers'!$C$14="On",('Net zero Activity data'!BD7*EF!$H6)*kgtoGg,"ERROR"))</f>
        <v>15.704601982432184</v>
      </c>
      <c r="AL1069" s="100">
        <f>IF('Net zero activities &amp; levers'!$C$14="Off",('Activity data'!BE7*EF!$H6)*kgtoGg,IF('Net zero activities &amp; levers'!$C$14="On",('Net zero Activity data'!BE7*EF!$H6)*kgtoGg,"ERROR"))</f>
        <v>15.720496373576371</v>
      </c>
      <c r="AM1069" s="100">
        <f>IF('Net zero activities &amp; levers'!$C$14="Off",('Activity data'!BF7*EF!$H6)*kgtoGg,IF('Net zero activities &amp; levers'!$C$14="On",('Net zero Activity data'!BF7*EF!$H6)*kgtoGg,"ERROR"))</f>
        <v>15.737744592258499</v>
      </c>
      <c r="AN1069" s="100">
        <f>IF('Net zero activities &amp; levers'!$C$14="Off",('Activity data'!BG7*EF!$H6)*kgtoGg,IF('Net zero activities &amp; levers'!$C$14="On",('Net zero Activity data'!BG7*EF!$H6)*kgtoGg,"ERROR"))</f>
        <v>15.745170465745849</v>
      </c>
      <c r="AO1069" s="100">
        <f>IF('Net zero activities &amp; levers'!$C$14="Off",('Activity data'!BH7*EF!$H6)*kgtoGg,IF('Net zero activities &amp; levers'!$C$14="On",('Net zero Activity data'!BH7*EF!$H6)*kgtoGg,"ERROR"))</f>
        <v>15.753788571026694</v>
      </c>
      <c r="AP1069" s="100">
        <f>IF('Net zero activities &amp; levers'!$C$14="Off",('Activity data'!BI7*EF!$H6)*kgtoGg,IF('Net zero activities &amp; levers'!$C$14="On",('Net zero Activity data'!BI7*EF!$H6)*kgtoGg,"ERROR"))</f>
        <v>15.7635572671097</v>
      </c>
      <c r="AQ1069" s="100">
        <f>IF('Net zero activities &amp; levers'!$C$14="Off",('Activity data'!BJ7*EF!$H6)*kgtoGg,IF('Net zero activities &amp; levers'!$C$14="On",('Net zero Activity data'!BJ7*EF!$H6)*kgtoGg,"ERROR"))</f>
        <v>15.774437754450743</v>
      </c>
      <c r="AR1069" s="100">
        <f>IF('Net zero activities &amp; levers'!$C$14="Off",('Activity data'!BK7*EF!$H6)*kgtoGg,IF('Net zero activities &amp; levers'!$C$14="On",('Net zero Activity data'!BK7*EF!$H6)*kgtoGg,"ERROR"))</f>
        <v>15.786393833833351</v>
      </c>
      <c r="AS1069" s="100">
        <f>IF('Net zero activities &amp; levers'!$C$14="Off",('Activity data'!BL7*EF!$H6)*kgtoGg,IF('Net zero activities &amp; levers'!$C$14="On",('Net zero Activity data'!BL7*EF!$H6)*kgtoGg,"ERROR"))</f>
        <v>15.788141028850022</v>
      </c>
      <c r="AT1069" s="100">
        <f>IF('Net zero activities &amp; levers'!$C$14="Off",('Activity data'!BM7*EF!$H6)*kgtoGg,IF('Net zero activities &amp; levers'!$C$14="On",('Net zero Activity data'!BM7*EF!$H6)*kgtoGg,"ERROR"))</f>
        <v>15.790841762859769</v>
      </c>
      <c r="AU1069" s="100">
        <f>IF('Net zero activities &amp; levers'!$C$14="Off",('Activity data'!BN7*EF!$H6)*kgtoGg,IF('Net zero activities &amp; levers'!$C$14="On",('Net zero Activity data'!BN7*EF!$H6)*kgtoGg,"ERROR"))</f>
        <v>15.794464430644307</v>
      </c>
      <c r="AV1069" s="100">
        <f>IF('Net zero activities &amp; levers'!$C$14="Off",('Activity data'!BO7*EF!$H6)*kgtoGg,IF('Net zero activities &amp; levers'!$C$14="On",('Net zero Activity data'!BO7*EF!$H6)*kgtoGg,"ERROR"))</f>
        <v>15.798979352347233</v>
      </c>
      <c r="AW1069" s="100">
        <f>IF('Net zero activities &amp; levers'!$C$14="Off",('Activity data'!BP7*EF!$H6)*kgtoGg,IF('Net zero activities &amp; levers'!$C$14="On",('Net zero Activity data'!BP7*EF!$H6)*kgtoGg,"ERROR"))</f>
        <v>15.804358625570211</v>
      </c>
      <c r="AY1069" s="85"/>
    </row>
    <row r="1070" spans="1:52" x14ac:dyDescent="0.25">
      <c r="A1070" s="102" t="str">
        <f t="shared" si="373"/>
        <v>CM Cattle</v>
      </c>
      <c r="B1070" s="102" t="s">
        <v>1323</v>
      </c>
      <c r="C1070" s="102" t="s">
        <v>1109</v>
      </c>
      <c r="D1070" t="s">
        <v>15</v>
      </c>
      <c r="E1070" t="s">
        <v>16</v>
      </c>
      <c r="F1070" t="s">
        <v>67</v>
      </c>
      <c r="G1070" t="s">
        <v>122</v>
      </c>
      <c r="H1070" t="s">
        <v>1021</v>
      </c>
      <c r="I1070" t="s">
        <v>121</v>
      </c>
      <c r="J1070" t="s">
        <v>286</v>
      </c>
      <c r="K1070" s="100">
        <f>IF('Net zero activities &amp; levers'!$C$14="Off",('Activity data'!AD8*EF!$H7)*kgtoGg,IF('Net zero activities &amp; levers'!$C$14="On",('Net zero Activity data'!AD8*EF!$H7)*kgtoGg,"ERROR"))</f>
        <v>467.31662309373525</v>
      </c>
      <c r="L1070" s="100">
        <f>IF('Net zero activities &amp; levers'!$C$14="Off",('Activity data'!AE8*EF!$H7)*kgtoGg,IF('Net zero activities &amp; levers'!$C$14="On",('Net zero Activity data'!AE8*EF!$H7)*kgtoGg,"ERROR"))</f>
        <v>464.21904388294246</v>
      </c>
      <c r="M1070" s="100">
        <f>IF('Net zero activities &amp; levers'!$C$14="Off",('Activity data'!AF8*EF!$H7)*kgtoGg,IF('Net zero activities &amp; levers'!$C$14="On",('Net zero Activity data'!AF8*EF!$H7)*kgtoGg,"ERROR"))</f>
        <v>457.68800569383677</v>
      </c>
      <c r="N1070" s="100">
        <f>IF('Net zero activities &amp; levers'!$C$14="Off",('Activity data'!AG8*EF!$H7)*kgtoGg,IF('Net zero activities &amp; levers'!$C$14="On",('Net zero Activity data'!AG8*EF!$H7)*kgtoGg,"ERROR"))</f>
        <v>446.67903575374419</v>
      </c>
      <c r="O1070" s="100">
        <f>IF('Net zero activities &amp; levers'!$C$14="Off",('Activity data'!AH8*EF!$H7)*kgtoGg,IF('Net zero activities &amp; levers'!$C$14="On",('Net zero Activity data'!AH8*EF!$H7)*kgtoGg,"ERROR"))</f>
        <v>435.99786609024881</v>
      </c>
      <c r="P1070" s="100">
        <f>IF('Net zero activities &amp; levers'!$C$14="Off",('Activity data'!AI8*EF!$H7)*kgtoGg,IF('Net zero activities &amp; levers'!$C$14="On",('Net zero Activity data'!AI8*EF!$H7)*kgtoGg,"ERROR"))</f>
        <v>427.78254745702264</v>
      </c>
      <c r="Q1070" s="100">
        <f>IF('Net zero activities &amp; levers'!$C$14="Off",('Activity data'!AJ8*EF!$H7)*kgtoGg,IF('Net zero activities &amp; levers'!$C$14="On",('Net zero Activity data'!AJ8*EF!$H7)*kgtoGg,"ERROR"))</f>
        <v>420.35172850546115</v>
      </c>
      <c r="R1070" s="100">
        <f>IF('Net zero activities &amp; levers'!$C$14="Off",('Activity data'!AK8*EF!$H7)*kgtoGg,IF('Net zero activities &amp; levers'!$C$14="On",('Net zero Activity data'!AK8*EF!$H7)*kgtoGg,"ERROR"))</f>
        <v>408.66857197476548</v>
      </c>
      <c r="S1070" s="100">
        <f>IF('Net zero activities &amp; levers'!$C$14="Off",('Activity data'!AL8*EF!$H7)*kgtoGg,IF('Net zero activities &amp; levers'!$C$14="On",('Net zero Activity data'!AL8*EF!$H7)*kgtoGg,"ERROR"))</f>
        <v>358.42710853834808</v>
      </c>
      <c r="T1070" s="100">
        <f>IF('Net zero activities &amp; levers'!$C$14="Off",('Activity data'!AM8*EF!$H7)*kgtoGg,IF('Net zero activities &amp; levers'!$C$14="On",('Net zero Activity data'!AM8*EF!$H7)*kgtoGg,"ERROR"))</f>
        <v>361.84349356958882</v>
      </c>
      <c r="U1070" s="100">
        <f>IF('Net zero activities &amp; levers'!$C$14="Off",('Activity data'!AN8*EF!$H7)*kgtoGg,IF('Net zero activities &amp; levers'!$C$14="On",('Net zero Activity data'!AN8*EF!$H7)*kgtoGg,"ERROR"))</f>
        <v>364.15526833797293</v>
      </c>
      <c r="V1070" s="100">
        <f>IF('Net zero activities &amp; levers'!$C$14="Off",('Activity data'!AO8*EF!$H7)*kgtoGg,IF('Net zero activities &amp; levers'!$C$14="On",('Net zero Activity data'!AO8*EF!$H7)*kgtoGg,"ERROR"))</f>
        <v>366.39185100338204</v>
      </c>
      <c r="W1070" s="100">
        <f>IF('Net zero activities &amp; levers'!$C$14="Off",('Activity data'!AP8*EF!$H7)*kgtoGg,IF('Net zero activities &amp; levers'!$C$14="On",('Net zero Activity data'!AP8*EF!$H7)*kgtoGg,"ERROR"))</f>
        <v>370.09062077697638</v>
      </c>
      <c r="X1070" s="100">
        <f>IF('Net zero activities &amp; levers'!$C$14="Off",('Activity data'!AQ8*EF!$H7)*kgtoGg,IF('Net zero activities &amp; levers'!$C$14="On",('Net zero Activity data'!AQ8*EF!$H7)*kgtoGg,"ERROR"))</f>
        <v>373.66748817800135</v>
      </c>
      <c r="Y1070" s="100">
        <f>IF('Net zero activities &amp; levers'!$C$14="Off",('Activity data'!AR8*EF!$H7)*kgtoGg,IF('Net zero activities &amp; levers'!$C$14="On",('Net zero Activity data'!AR8*EF!$H7)*kgtoGg,"ERROR"))</f>
        <v>377.42266204595586</v>
      </c>
      <c r="Z1070" s="100">
        <f>IF('Net zero activities &amp; levers'!$C$14="Off",('Activity data'!AS8*EF!$H7)*kgtoGg,IF('Net zero activities &amp; levers'!$C$14="On",('Net zero Activity data'!AS8*EF!$H7)*kgtoGg,"ERROR"))</f>
        <v>380.69187301848672</v>
      </c>
      <c r="AA1070" s="100">
        <f>IF('Net zero activities &amp; levers'!$C$14="Off",('Activity data'!AT8*EF!$H7)*kgtoGg,IF('Net zero activities &amp; levers'!$C$14="On",('Net zero Activity data'!AT8*EF!$H7)*kgtoGg,"ERROR"))</f>
        <v>384.41267841886389</v>
      </c>
      <c r="AB1070" s="100">
        <f>IF('Net zero activities &amp; levers'!$C$14="Off",('Activity data'!AU8*EF!$H7)*kgtoGg,IF('Net zero activities &amp; levers'!$C$14="On",('Net zero Activity data'!AU8*EF!$H7)*kgtoGg,"ERROR"))</f>
        <v>387.32433471244582</v>
      </c>
      <c r="AC1070" s="100">
        <f>IF('Net zero activities &amp; levers'!$C$14="Off",('Activity data'!AV8*EF!$H7)*kgtoGg,IF('Net zero activities &amp; levers'!$C$14="On",('Net zero Activity data'!AV8*EF!$H7)*kgtoGg,"ERROR"))</f>
        <v>390.31588196396831</v>
      </c>
      <c r="AD1070" s="100">
        <f>IF('Net zero activities &amp; levers'!$C$14="Off",('Activity data'!AW8*EF!$H7)*kgtoGg,IF('Net zero activities &amp; levers'!$C$14="On",('Net zero Activity data'!AW8*EF!$H7)*kgtoGg,"ERROR"))</f>
        <v>391.70923525446432</v>
      </c>
      <c r="AE1070" s="100">
        <f>IF('Net zero activities &amp; levers'!$C$14="Off",('Activity data'!AX8*EF!$H7)*kgtoGg,IF('Net zero activities &amp; levers'!$C$14="On",('Net zero Activity data'!AX8*EF!$H7)*kgtoGg,"ERROR"))</f>
        <v>393.61980530942054</v>
      </c>
      <c r="AF1070" s="100">
        <f>IF('Net zero activities &amp; levers'!$C$14="Off",('Activity data'!AY8*EF!$H7)*kgtoGg,IF('Net zero activities &amp; levers'!$C$14="On",('Net zero Activity data'!AY8*EF!$H7)*kgtoGg,"ERROR"))</f>
        <v>395.52300177683651</v>
      </c>
      <c r="AG1070" s="100">
        <f>IF('Net zero activities &amp; levers'!$C$14="Off",('Activity data'!AZ8*EF!$H7)*kgtoGg,IF('Net zero activities &amp; levers'!$C$14="On",('Net zero Activity data'!AZ8*EF!$H7)*kgtoGg,"ERROR"))</f>
        <v>387.13475302515064</v>
      </c>
      <c r="AH1070" s="100">
        <f>IF('Net zero activities &amp; levers'!$C$14="Off",('Activity data'!BA8*EF!$H7)*kgtoGg,IF('Net zero activities &amp; levers'!$C$14="On",('Net zero Activity data'!BA8*EF!$H7)*kgtoGg,"ERROR"))</f>
        <v>-91.319733515809844</v>
      </c>
      <c r="AI1070" s="100">
        <f>IF('Net zero activities &amp; levers'!$C$14="Off",('Activity data'!BB8*EF!$H7)*kgtoGg,IF('Net zero activities &amp; levers'!$C$14="On",('Net zero Activity data'!BB8*EF!$H7)*kgtoGg,"ERROR"))</f>
        <v>-89.201433306927441</v>
      </c>
      <c r="AJ1070" s="100">
        <f>IF('Net zero activities &amp; levers'!$C$14="Off",('Activity data'!BC8*EF!$H7)*kgtoGg,IF('Net zero activities &amp; levers'!$C$14="On",('Net zero Activity data'!BC8*EF!$H7)*kgtoGg,"ERROR"))</f>
        <v>-87.116820719055994</v>
      </c>
      <c r="AK1070" s="100">
        <f>IF('Net zero activities &amp; levers'!$C$14="Off",('Activity data'!BD8*EF!$H7)*kgtoGg,IF('Net zero activities &amp; levers'!$C$14="On",('Net zero Activity data'!BD8*EF!$H7)*kgtoGg,"ERROR"))</f>
        <v>-85.0641313749869</v>
      </c>
      <c r="AL1070" s="100">
        <f>IF('Net zero activities &amp; levers'!$C$14="Off",('Activity data'!BE8*EF!$H7)*kgtoGg,IF('Net zero activities &amp; levers'!$C$14="On",('Net zero Activity data'!BE8*EF!$H7)*kgtoGg,"ERROR"))</f>
        <v>-83.041722879463705</v>
      </c>
      <c r="AM1070" s="100">
        <f>IF('Net zero activities &amp; levers'!$C$14="Off",('Activity data'!BF8*EF!$H7)*kgtoGg,IF('Net zero activities &amp; levers'!$C$14="On",('Net zero Activity data'!BF8*EF!$H7)*kgtoGg,"ERROR"))</f>
        <v>-81.048063515823799</v>
      </c>
      <c r="AN1070" s="100">
        <f>IF('Net zero activities &amp; levers'!$C$14="Off",('Activity data'!BG8*EF!$H7)*kgtoGg,IF('Net zero activities &amp; levers'!$C$14="On",('Net zero Activity data'!BG8*EF!$H7)*kgtoGg,"ERROR"))</f>
        <v>-79.431656757862484</v>
      </c>
      <c r="AO1070" s="100">
        <f>IF('Net zero activities &amp; levers'!$C$14="Off",('Activity data'!BH8*EF!$H7)*kgtoGg,IF('Net zero activities &amp; levers'!$C$14="On",('Net zero Activity data'!BH8*EF!$H7)*kgtoGg,"ERROR"))</f>
        <v>-77.839663871669529</v>
      </c>
      <c r="AP1070" s="100">
        <f>IF('Net zero activities &amp; levers'!$C$14="Off",('Activity data'!BI8*EF!$H7)*kgtoGg,IF('Net zero activities &amp; levers'!$C$14="On",('Net zero Activity data'!BI8*EF!$H7)*kgtoGg,"ERROR"))</f>
        <v>-76.270978541606539</v>
      </c>
      <c r="AQ1070" s="100">
        <f>IF('Net zero activities &amp; levers'!$C$14="Off",('Activity data'!BJ8*EF!$H7)*kgtoGg,IF('Net zero activities &amp; levers'!$C$14="On",('Net zero Activity data'!BJ8*EF!$H7)*kgtoGg,"ERROR"))</f>
        <v>-74.724563259155232</v>
      </c>
      <c r="AR1070" s="100">
        <f>IF('Net zero activities &amp; levers'!$C$14="Off",('Activity data'!BK8*EF!$H7)*kgtoGg,IF('Net zero activities &amp; levers'!$C$14="On",('Net zero Activity data'!BK8*EF!$H7)*kgtoGg,"ERROR"))</f>
        <v>-73.199443617670568</v>
      </c>
      <c r="AS1070" s="100">
        <f>IF('Net zero activities &amp; levers'!$C$14="Off",('Activity data'!BL8*EF!$H7)*kgtoGg,IF('Net zero activities &amp; levers'!$C$14="On",('Net zero Activity data'!BL8*EF!$H7)*kgtoGg,"ERROR"))</f>
        <v>-71.645977088210017</v>
      </c>
      <c r="AT1070" s="100">
        <f>IF('Net zero activities &amp; levers'!$C$14="Off",('Activity data'!BM8*EF!$H7)*kgtoGg,IF('Net zero activities &amp; levers'!$C$14="On",('Net zero Activity data'!BM8*EF!$H7)*kgtoGg,"ERROR"))</f>
        <v>-70.113872704662668</v>
      </c>
      <c r="AU1070" s="100">
        <f>IF('Net zero activities &amp; levers'!$C$14="Off",('Activity data'!BN8*EF!$H7)*kgtoGg,IF('Net zero activities &amp; levers'!$C$14="On",('Net zero Activity data'!BN8*EF!$H7)*kgtoGg,"ERROR"))</f>
        <v>-68.602290113404337</v>
      </c>
      <c r="AV1070" s="100">
        <f>IF('Net zero activities &amp; levers'!$C$14="Off",('Activity data'!BO8*EF!$H7)*kgtoGg,IF('Net zero activities &amp; levers'!$C$14="On",('Net zero Activity data'!BO8*EF!$H7)*kgtoGg,"ERROR"))</f>
        <v>-67.110436174548425</v>
      </c>
      <c r="AW1070" s="100">
        <f>IF('Net zero activities &amp; levers'!$C$14="Off",('Activity data'!BP8*EF!$H7)*kgtoGg,IF('Net zero activities &amp; levers'!$C$14="On",('Net zero Activity data'!BP8*EF!$H7)*kgtoGg,"ERROR"))</f>
        <v>-65.637561433796705</v>
      </c>
      <c r="AY1070" s="85"/>
    </row>
    <row r="1071" spans="1:52" x14ac:dyDescent="0.25">
      <c r="A1071" s="102" t="str">
        <f t="shared" si="373"/>
        <v>CM Cattle</v>
      </c>
      <c r="B1071" s="102" t="s">
        <v>1323</v>
      </c>
      <c r="C1071" s="102" t="s">
        <v>1109</v>
      </c>
      <c r="D1071" t="s">
        <v>15</v>
      </c>
      <c r="E1071" t="s">
        <v>16</v>
      </c>
      <c r="F1071" t="s">
        <v>67</v>
      </c>
      <c r="G1071" t="s">
        <v>123</v>
      </c>
      <c r="H1071" t="s">
        <v>1021</v>
      </c>
      <c r="I1071" t="s">
        <v>121</v>
      </c>
      <c r="J1071" t="s">
        <v>286</v>
      </c>
      <c r="K1071" s="100">
        <f>IF('Net zero activities &amp; levers'!$C$14="Off",('Activity data'!AD9*EF!$H8)*kgtoGg,IF('Net zero activities &amp; levers'!$C$14="On",('Net zero Activity data'!AD9*EF!$H8)*kgtoGg,"ERROR"))</f>
        <v>329.0746130615014</v>
      </c>
      <c r="L1071" s="100">
        <f>IF('Net zero activities &amp; levers'!$C$14="Off",('Activity data'!AE9*EF!$H8)*kgtoGg,IF('Net zero activities &amp; levers'!$C$14="On",('Net zero Activity data'!AE9*EF!$H8)*kgtoGg,"ERROR"))</f>
        <v>326.8933624278929</v>
      </c>
      <c r="M1071" s="100">
        <f>IF('Net zero activities &amp; levers'!$C$14="Off",('Activity data'!AF9*EF!$H8)*kgtoGg,IF('Net zero activities &amp; levers'!$C$14="On",('Net zero Activity data'!AF9*EF!$H8)*kgtoGg,"ERROR"))</f>
        <v>322.29434163821571</v>
      </c>
      <c r="N1071" s="100">
        <f>IF('Net zero activities &amp; levers'!$C$14="Off",('Activity data'!AG9*EF!$H8)*kgtoGg,IF('Net zero activities &amp; levers'!$C$14="On",('Net zero Activity data'!AG9*EF!$H8)*kgtoGg,"ERROR"))</f>
        <v>314.54205476415126</v>
      </c>
      <c r="O1071" s="100">
        <f>IF('Net zero activities &amp; levers'!$C$14="Off",('Activity data'!AH9*EF!$H8)*kgtoGg,IF('Net zero activities &amp; levers'!$C$14="On",('Net zero Activity data'!AH9*EF!$H8)*kgtoGg,"ERROR"))</f>
        <v>307.02059800365856</v>
      </c>
      <c r="P1071" s="100">
        <f>IF('Net zero activities &amp; levers'!$C$14="Off",('Activity data'!AI9*EF!$H8)*kgtoGg,IF('Net zero activities &amp; levers'!$C$14="On",('Net zero Activity data'!AI9*EF!$H8)*kgtoGg,"ERROR"))</f>
        <v>301.23554207624824</v>
      </c>
      <c r="Q1071" s="100">
        <f>IF('Net zero activities &amp; levers'!$C$14="Off",('Activity data'!AJ9*EF!$H8)*kgtoGg,IF('Net zero activities &amp; levers'!$C$14="On",('Net zero Activity data'!AJ9*EF!$H8)*kgtoGg,"ERROR"))</f>
        <v>296.00291445211866</v>
      </c>
      <c r="R1071" s="100">
        <f>IF('Net zero activities &amp; levers'!$C$14="Off",('Activity data'!AK9*EF!$H8)*kgtoGg,IF('Net zero activities &amp; levers'!$C$14="On",('Net zero Activity data'!AK9*EF!$H8)*kgtoGg,"ERROR"))</f>
        <v>287.77587945125919</v>
      </c>
      <c r="S1071" s="100">
        <f>IF('Net zero activities &amp; levers'!$C$14="Off",('Activity data'!AL9*EF!$H8)*kgtoGg,IF('Net zero activities &amp; levers'!$C$14="On",('Net zero Activity data'!AL9*EF!$H8)*kgtoGg,"ERROR"))</f>
        <v>252.39688944116838</v>
      </c>
      <c r="T1071" s="100">
        <f>IF('Net zero activities &amp; levers'!$C$14="Off",('Activity data'!AM9*EF!$H8)*kgtoGg,IF('Net zero activities &amp; levers'!$C$14="On",('Net zero Activity data'!AM9*EF!$H8)*kgtoGg,"ERROR"))</f>
        <v>254.80263648004308</v>
      </c>
      <c r="U1071" s="100">
        <f>IF('Net zero activities &amp; levers'!$C$14="Off",('Activity data'!AN9*EF!$H8)*kgtoGg,IF('Net zero activities &amp; levers'!$C$14="On",('Net zero Activity data'!AN9*EF!$H8)*kgtoGg,"ERROR"))</f>
        <v>256.43054002508501</v>
      </c>
      <c r="V1071" s="100">
        <f>IF('Net zero activities &amp; levers'!$C$14="Off",('Activity data'!AO9*EF!$H8)*kgtoGg,IF('Net zero activities &amp; levers'!$C$14="On",('Net zero Activity data'!AO9*EF!$H8)*kgtoGg,"ERROR"))</f>
        <v>258.00549486047498</v>
      </c>
      <c r="W1071" s="100">
        <f>IF('Net zero activities &amp; levers'!$C$14="Off",('Activity data'!AP9*EF!$H8)*kgtoGg,IF('Net zero activities &amp; levers'!$C$14="On",('Net zero Activity data'!AP9*EF!$H8)*kgtoGg,"ERROR"))</f>
        <v>260.61009134153147</v>
      </c>
      <c r="X1071" s="100">
        <f>IF('Net zero activities &amp; levers'!$C$14="Off",('Activity data'!AQ9*EF!$H8)*kgtoGg,IF('Net zero activities &amp; levers'!$C$14="On",('Net zero Activity data'!AQ9*EF!$H8)*kgtoGg,"ERROR"))</f>
        <v>263.12884671593309</v>
      </c>
      <c r="Y1071" s="100">
        <f>IF('Net zero activities &amp; levers'!$C$14="Off",('Activity data'!AR9*EF!$H8)*kgtoGg,IF('Net zero activities &amp; levers'!$C$14="On",('Net zero Activity data'!AR9*EF!$H8)*kgtoGg,"ERROR"))</f>
        <v>265.77316178308178</v>
      </c>
      <c r="Z1071" s="100">
        <f>IF('Net zero activities &amp; levers'!$C$14="Off",('Activity data'!AS9*EF!$H8)*kgtoGg,IF('Net zero activities &amp; levers'!$C$14="On",('Net zero Activity data'!AS9*EF!$H8)*kgtoGg,"ERROR"))</f>
        <v>268.07527192134285</v>
      </c>
      <c r="AA1071" s="100">
        <f>IF('Net zero activities &amp; levers'!$C$14="Off",('Activity data'!AT9*EF!$H8)*kgtoGg,IF('Net zero activities &amp; levers'!$C$14="On",('Net zero Activity data'!AT9*EF!$H8)*kgtoGg,"ERROR"))</f>
        <v>270.6953854308951</v>
      </c>
      <c r="AB1071" s="100">
        <f>IF('Net zero activities &amp; levers'!$C$14="Off",('Activity data'!AU9*EF!$H8)*kgtoGg,IF('Net zero activities &amp; levers'!$C$14="On",('Net zero Activity data'!AU9*EF!$H8)*kgtoGg,"ERROR"))</f>
        <v>272.7457130264242</v>
      </c>
      <c r="AC1071" s="100">
        <f>IF('Net zero activities &amp; levers'!$C$14="Off",('Activity data'!AV9*EF!$H8)*kgtoGg,IF('Net zero activities &amp; levers'!$C$14="On",('Net zero Activity data'!AV9*EF!$H8)*kgtoGg,"ERROR"))</f>
        <v>274.85229816720681</v>
      </c>
      <c r="AD1071" s="100">
        <f>IF('Net zero activities &amp; levers'!$C$14="Off",('Activity data'!AW9*EF!$H8)*kgtoGg,IF('Net zero activities &amp; levers'!$C$14="On",('Net zero Activity data'!AW9*EF!$H8)*kgtoGg,"ERROR"))</f>
        <v>275.83346847502179</v>
      </c>
      <c r="AE1071" s="100">
        <f>IF('Net zero activities &amp; levers'!$C$14="Off",('Activity data'!AX9*EF!$H8)*kgtoGg,IF('Net zero activities &amp; levers'!$C$14="On",('Net zero Activity data'!AX9*EF!$H8)*kgtoGg,"ERROR"))</f>
        <v>277.17885203403011</v>
      </c>
      <c r="AF1071" s="100">
        <f>IF('Net zero activities &amp; levers'!$C$14="Off",('Activity data'!AY9*EF!$H8)*kgtoGg,IF('Net zero activities &amp; levers'!$C$14="On",('Net zero Activity data'!AY9*EF!$H8)*kgtoGg,"ERROR"))</f>
        <v>278.51904326657984</v>
      </c>
      <c r="AG1071" s="100">
        <f>IF('Net zero activities &amp; levers'!$C$14="Off",('Activity data'!AZ9*EF!$H8)*kgtoGg,IF('Net zero activities &amp; levers'!$C$14="On",('Net zero Activity data'!AZ9*EF!$H8)*kgtoGg,"ERROR"))</f>
        <v>272.6122135588102</v>
      </c>
      <c r="AH1071" s="100">
        <f>IF('Net zero activities &amp; levers'!$C$14="Off",('Activity data'!BA9*EF!$H8)*kgtoGg,IF('Net zero activities &amp; levers'!$C$14="On",('Net zero Activity data'!BA9*EF!$H8)*kgtoGg,"ERROR"))</f>
        <v>-64.305450494464566</v>
      </c>
      <c r="AI1071" s="100">
        <f>IF('Net zero activities &amp; levers'!$C$14="Off",('Activity data'!BB9*EF!$H8)*kgtoGg,IF('Net zero activities &amp; levers'!$C$14="On",('Net zero Activity data'!BB9*EF!$H8)*kgtoGg,"ERROR"))</f>
        <v>-62.813787696400013</v>
      </c>
      <c r="AJ1071" s="100">
        <f>IF('Net zero activities &amp; levers'!$C$14="Off",('Activity data'!BC9*EF!$H8)*kgtoGg,IF('Net zero activities &amp; levers'!$C$14="On",('Net zero Activity data'!BC9*EF!$H8)*kgtoGg,"ERROR"))</f>
        <v>-61.345847017989065</v>
      </c>
      <c r="AK1071" s="100">
        <f>IF('Net zero activities &amp; levers'!$C$14="Off",('Activity data'!BD9*EF!$H8)*kgtoGg,IF('Net zero activities &amp; levers'!$C$14="On",('Net zero Activity data'!BD9*EF!$H8)*kgtoGg,"ERROR"))</f>
        <v>-59.900386021624051</v>
      </c>
      <c r="AL1071" s="100">
        <f>IF('Net zero activities &amp; levers'!$C$14="Off",('Activity data'!BE9*EF!$H8)*kgtoGg,IF('Net zero activities &amp; levers'!$C$14="On",('Net zero Activity data'!BE9*EF!$H8)*kgtoGg,"ERROR"))</f>
        <v>-58.476248166842247</v>
      </c>
      <c r="AM1071" s="100">
        <f>IF('Net zero activities &amp; levers'!$C$14="Off",('Activity data'!BF9*EF!$H8)*kgtoGg,IF('Net zero activities &amp; levers'!$C$14="On",('Net zero Activity data'!BF9*EF!$H8)*kgtoGg,"ERROR"))</f>
        <v>-57.072354850736843</v>
      </c>
      <c r="AN1071" s="100">
        <f>IF('Net zero activities &amp; levers'!$C$14="Off",('Activity data'!BG9*EF!$H8)*kgtoGg,IF('Net zero activities &amp; levers'!$C$14="On",('Net zero Activity data'!BG9*EF!$H8)*kgtoGg,"ERROR"))</f>
        <v>-55.934114946269716</v>
      </c>
      <c r="AO1071" s="100">
        <f>IF('Net zero activities &amp; levers'!$C$14="Off",('Activity data'!BH9*EF!$H8)*kgtoGg,IF('Net zero activities &amp; levers'!$C$14="On",('Net zero Activity data'!BH9*EF!$H8)*kgtoGg,"ERROR"))</f>
        <v>-54.81306678078316</v>
      </c>
      <c r="AP1071" s="100">
        <f>IF('Net zero activities &amp; levers'!$C$14="Off",('Activity data'!BI9*EF!$H8)*kgtoGg,IF('Net zero activities &amp; levers'!$C$14="On",('Net zero Activity data'!BI9*EF!$H8)*kgtoGg,"ERROR"))</f>
        <v>-53.708431309893463</v>
      </c>
      <c r="AQ1071" s="100">
        <f>IF('Net zero activities &amp; levers'!$C$14="Off",('Activity data'!BJ9*EF!$H8)*kgtoGg,IF('Net zero activities &amp; levers'!$C$14="On",('Net zero Activity data'!BJ9*EF!$H8)*kgtoGg,"ERROR"))</f>
        <v>-52.619477941754887</v>
      </c>
      <c r="AR1071" s="100">
        <f>IF('Net zero activities &amp; levers'!$C$14="Off",('Activity data'!BK9*EF!$H8)*kgtoGg,IF('Net zero activities &amp; levers'!$C$14="On",('Net zero Activity data'!BK9*EF!$H8)*kgtoGg,"ERROR"))</f>
        <v>-51.54552051954397</v>
      </c>
      <c r="AS1071" s="100">
        <f>IF('Net zero activities &amp; levers'!$C$14="Off",('Activity data'!BL9*EF!$H8)*kgtoGg,IF('Net zero activities &amp; levers'!$C$14="On",('Net zero Activity data'!BL9*EF!$H8)*kgtoGg,"ERROR"))</f>
        <v>-50.451601810421387</v>
      </c>
      <c r="AT1071" s="100">
        <f>IF('Net zero activities &amp; levers'!$C$14="Off",('Activity data'!BM9*EF!$H8)*kgtoGg,IF('Net zero activities &amp; levers'!$C$14="On",('Net zero Activity data'!BM9*EF!$H8)*kgtoGg,"ERROR"))</f>
        <v>-49.372725878621843</v>
      </c>
      <c r="AU1071" s="100">
        <f>IF('Net zero activities &amp; levers'!$C$14="Off",('Activity data'!BN9*EF!$H8)*kgtoGg,IF('Net zero activities &amp; levers'!$C$14="On",('Net zero Activity data'!BN9*EF!$H8)*kgtoGg,"ERROR"))</f>
        <v>-48.308300964661392</v>
      </c>
      <c r="AV1071" s="100">
        <f>IF('Net zero activities &amp; levers'!$C$14="Off",('Activity data'!BO9*EF!$H8)*kgtoGg,IF('Net zero activities &amp; levers'!$C$14="On",('Net zero Activity data'!BO9*EF!$H8)*kgtoGg,"ERROR"))</f>
        <v>-47.257768555984775</v>
      </c>
      <c r="AW1071" s="100">
        <f>IF('Net zero activities &amp; levers'!$C$14="Off",('Activity data'!BP9*EF!$H8)*kgtoGg,IF('Net zero activities &amp; levers'!$C$14="On",('Net zero Activity data'!BP9*EF!$H8)*kgtoGg,"ERROR"))</f>
        <v>-46.22060090251631</v>
      </c>
      <c r="AY1071" s="85"/>
    </row>
    <row r="1072" spans="1:52" x14ac:dyDescent="0.25">
      <c r="A1072" s="102" t="str">
        <f t="shared" si="373"/>
        <v>CM Cattle</v>
      </c>
      <c r="B1072" s="102" t="s">
        <v>1323</v>
      </c>
      <c r="C1072" s="102" t="s">
        <v>1109</v>
      </c>
      <c r="D1072" t="s">
        <v>15</v>
      </c>
      <c r="E1072" t="s">
        <v>16</v>
      </c>
      <c r="F1072" t="s">
        <v>67</v>
      </c>
      <c r="G1072" t="s">
        <v>135</v>
      </c>
      <c r="H1072" t="s">
        <v>1021</v>
      </c>
      <c r="I1072" t="s">
        <v>121</v>
      </c>
      <c r="J1072" t="s">
        <v>286</v>
      </c>
      <c r="K1072" s="100">
        <f>IF('Net zero activities &amp; levers'!$C$14="Off",('Activity data'!AD10*EF!$H9)*kgtoGg,IF('Net zero activities &amp; levers'!$C$14="On",('Net zero Activity data'!AD10*EF!$H9)*kgtoGg,"ERROR"))</f>
        <v>32.066658815804246</v>
      </c>
      <c r="L1072" s="100">
        <f>IF('Net zero activities &amp; levers'!$C$14="Off",('Activity data'!AE10*EF!$H9)*kgtoGg,IF('Net zero activities &amp; levers'!$C$14="On",('Net zero Activity data'!AE10*EF!$H9)*kgtoGg,"ERROR"))</f>
        <v>33.208718466326758</v>
      </c>
      <c r="M1072" s="100">
        <f>IF('Net zero activities &amp; levers'!$C$14="Off",('Activity data'!AF10*EF!$H9)*kgtoGg,IF('Net zero activities &amp; levers'!$C$14="On",('Net zero Activity data'!AF10*EF!$H9)*kgtoGg,"ERROR"))</f>
        <v>34.11520280184579</v>
      </c>
      <c r="N1072" s="100">
        <f>IF('Net zero activities &amp; levers'!$C$14="Off",('Activity data'!AG10*EF!$H9)*kgtoGg,IF('Net zero activities &amp; levers'!$C$14="On",('Net zero Activity data'!AG10*EF!$H9)*kgtoGg,"ERROR"))</f>
        <v>34.675782135786314</v>
      </c>
      <c r="O1072" s="100">
        <f>IF('Net zero activities &amp; levers'!$C$14="Off",('Activity data'!AH10*EF!$H9)*kgtoGg,IF('Net zero activities &amp; levers'!$C$14="On",('Net zero Activity data'!AH10*EF!$H9)*kgtoGg,"ERROR"))</f>
        <v>35.237531716383323</v>
      </c>
      <c r="P1072" s="100">
        <f>IF('Net zero activities &amp; levers'!$C$14="Off",('Activity data'!AI10*EF!$H9)*kgtoGg,IF('Net zero activities &amp; levers'!$C$14="On",('Net zero Activity data'!AI10*EF!$H9)*kgtoGg,"ERROR"))</f>
        <v>35.983525896151299</v>
      </c>
      <c r="Q1072" s="100">
        <f>IF('Net zero activities &amp; levers'!$C$14="Off",('Activity data'!AJ10*EF!$H9)*kgtoGg,IF('Net zero activities &amp; levers'!$C$14="On",('Net zero Activity data'!AJ10*EF!$H9)*kgtoGg,"ERROR"))</f>
        <v>36.791694077470218</v>
      </c>
      <c r="R1072" s="100">
        <f>IF('Net zero activities &amp; levers'!$C$14="Off",('Activity data'!AK10*EF!$H9)*kgtoGg,IF('Net zero activities &amp; levers'!$C$14="On",('Net zero Activity data'!AK10*EF!$H9)*kgtoGg,"ERROR"))</f>
        <v>37.212274346578468</v>
      </c>
      <c r="S1072" s="100">
        <f>IF('Net zero activities &amp; levers'!$C$14="Off",('Activity data'!AL10*EF!$H9)*kgtoGg,IF('Net zero activities &amp; levers'!$C$14="On",('Net zero Activity data'!AL10*EF!$H9)*kgtoGg,"ERROR"))</f>
        <v>33.949893618199454</v>
      </c>
      <c r="T1072" s="100">
        <f>IF('Net zero activities &amp; levers'!$C$14="Off",('Activity data'!AM10*EF!$H9)*kgtoGg,IF('Net zero activities &amp; levers'!$C$14="On",('Net zero Activity data'!AM10*EF!$H9)*kgtoGg,"ERROR"))</f>
        <v>35.092534125004185</v>
      </c>
      <c r="U1072" s="100">
        <f>IF('Net zero activities &amp; levers'!$C$14="Off",('Activity data'!AN10*EF!$H9)*kgtoGg,IF('Net zero activities &amp; levers'!$C$14="On",('Net zero Activity data'!AN10*EF!$H9)*kgtoGg,"ERROR"))</f>
        <v>36.14913447556372</v>
      </c>
      <c r="V1072" s="100">
        <f>IF('Net zero activities &amp; levers'!$C$14="Off",('Activity data'!AO10*EF!$H9)*kgtoGg,IF('Net zero activities &amp; levers'!$C$14="On",('Net zero Activity data'!AO10*EF!$H9)*kgtoGg,"ERROR"))</f>
        <v>37.217525780423792</v>
      </c>
      <c r="W1072" s="100">
        <f>IF('Net zero activities &amp; levers'!$C$14="Off",('Activity data'!AP10*EF!$H9)*kgtoGg,IF('Net zero activities &amp; levers'!$C$14="On",('Net zero Activity data'!AP10*EF!$H9)*kgtoGg,"ERROR"))</f>
        <v>38.457766325395134</v>
      </c>
      <c r="X1072" s="100">
        <f>IF('Net zero activities &amp; levers'!$C$14="Off",('Activity data'!AQ10*EF!$H9)*kgtoGg,IF('Net zero activities &amp; levers'!$C$14="On",('Net zero Activity data'!AQ10*EF!$H9)*kgtoGg,"ERROR"))</f>
        <v>39.712686531100644</v>
      </c>
      <c r="Y1072" s="100">
        <f>IF('Net zero activities &amp; levers'!$C$14="Off",('Activity data'!AR10*EF!$H9)*kgtoGg,IF('Net zero activities &amp; levers'!$C$14="On",('Net zero Activity data'!AR10*EF!$H9)*kgtoGg,"ERROR"))</f>
        <v>41.014977080860561</v>
      </c>
      <c r="Z1072" s="100">
        <f>IF('Net zero activities &amp; levers'!$C$14="Off",('Activity data'!AS10*EF!$H9)*kgtoGg,IF('Net zero activities &amp; levers'!$C$14="On",('Net zero Activity data'!AS10*EF!$H9)*kgtoGg,"ERROR"))</f>
        <v>42.293078143626175</v>
      </c>
      <c r="AA1072" s="100">
        <f>IF('Net zero activities &amp; levers'!$C$14="Off",('Activity data'!AT10*EF!$H9)*kgtoGg,IF('Net zero activities &amp; levers'!$C$14="On",('Net zero Activity data'!AT10*EF!$H9)*kgtoGg,"ERROR"))</f>
        <v>43.650840359696986</v>
      </c>
      <c r="AB1072" s="100">
        <f>IF('Net zero activities &amp; levers'!$C$14="Off",('Activity data'!AU10*EF!$H9)*kgtoGg,IF('Net zero activities &amp; levers'!$C$14="On",('Net zero Activity data'!AU10*EF!$H9)*kgtoGg,"ERROR"))</f>
        <v>44.946275453717462</v>
      </c>
      <c r="AC1072" s="100">
        <f>IF('Net zero activities &amp; levers'!$C$14="Off",('Activity data'!AV10*EF!$H9)*kgtoGg,IF('Net zero activities &amp; levers'!$C$14="On",('Net zero Activity data'!AV10*EF!$H9)*kgtoGg,"ERROR"))</f>
        <v>46.279665288729582</v>
      </c>
      <c r="AD1072" s="100">
        <f>IF('Net zero activities &amp; levers'!$C$14="Off",('Activity data'!AW10*EF!$H9)*kgtoGg,IF('Net zero activities &amp; levers'!$C$14="On",('Net zero Activity data'!AW10*EF!$H9)*kgtoGg,"ERROR"))</f>
        <v>47.976991209129309</v>
      </c>
      <c r="AE1072" s="100">
        <f>IF('Net zero activities &amp; levers'!$C$14="Off",('Activity data'!AX10*EF!$H9)*kgtoGg,IF('Net zero activities &amp; levers'!$C$14="On",('Net zero Activity data'!AX10*EF!$H9)*kgtoGg,"ERROR"))</f>
        <v>49.804514073480171</v>
      </c>
      <c r="AF1072" s="100">
        <f>IF('Net zero activities &amp; levers'!$C$14="Off",('Activity data'!AY10*EF!$H9)*kgtoGg,IF('Net zero activities &amp; levers'!$C$14="On",('Net zero Activity data'!AY10*EF!$H9)*kgtoGg,"ERROR"))</f>
        <v>51.703785289265333</v>
      </c>
      <c r="AG1072" s="100">
        <f>IF('Net zero activities &amp; levers'!$C$14="Off",('Activity data'!AZ10*EF!$H9)*kgtoGg,IF('Net zero activities &amp; levers'!$C$14="On",('Net zero Activity data'!AZ10*EF!$H9)*kgtoGg,"ERROR"))</f>
        <v>52.28975851111349</v>
      </c>
      <c r="AH1072" s="100">
        <f>IF('Net zero activities &amp; levers'!$C$14="Off",('Activity data'!BA10*EF!$H9)*kgtoGg,IF('Net zero activities &amp; levers'!$C$14="On",('Net zero Activity data'!BA10*EF!$H9)*kgtoGg,"ERROR"))</f>
        <v>-12.746083968128861</v>
      </c>
      <c r="AI1072" s="100">
        <f>IF('Net zero activities &amp; levers'!$C$14="Off",('Activity data'!BB10*EF!$H9)*kgtoGg,IF('Net zero activities &amp; levers'!$C$14="On",('Net zero Activity data'!BB10*EF!$H9)*kgtoGg,"ERROR"))</f>
        <v>-12.867794914199649</v>
      </c>
      <c r="AJ1072" s="100">
        <f>IF('Net zero activities &amp; levers'!$C$14="Off",('Activity data'!BC10*EF!$H9)*kgtoGg,IF('Net zero activities &amp; levers'!$C$14="On",('Net zero Activity data'!BC10*EF!$H9)*kgtoGg,"ERROR"))</f>
        <v>-12.990495449269591</v>
      </c>
      <c r="AK1072" s="100">
        <f>IF('Net zero activities &amp; levers'!$C$14="Off",('Activity data'!BD10*EF!$H9)*kgtoGg,IF('Net zero activities &amp; levers'!$C$14="On",('Net zero Activity data'!BD10*EF!$H9)*kgtoGg,"ERROR"))</f>
        <v>-13.11419493838188</v>
      </c>
      <c r="AL1072" s="100">
        <f>IF('Net zero activities &amp; levers'!$C$14="Off",('Activity data'!BE10*EF!$H9)*kgtoGg,IF('Net zero activities &amp; levers'!$C$14="On",('Net zero Activity data'!BE10*EF!$H9)*kgtoGg,"ERROR"))</f>
        <v>-13.238902830664287</v>
      </c>
      <c r="AM1072" s="100">
        <f>IF('Net zero activities &amp; levers'!$C$14="Off",('Activity data'!BF10*EF!$H9)*kgtoGg,IF('Net zero activities &amp; levers'!$C$14="On",('Net zero Activity data'!BF10*EF!$H9)*kgtoGg,"ERROR"))</f>
        <v>-13.364628660058406</v>
      </c>
      <c r="AN1072" s="100">
        <f>IF('Net zero activities &amp; levers'!$C$14="Off",('Activity data'!BG10*EF!$H9)*kgtoGg,IF('Net zero activities &amp; levers'!$C$14="On",('Net zero Activity data'!BG10*EF!$H9)*kgtoGg,"ERROR"))</f>
        <v>-13.465524819095547</v>
      </c>
      <c r="AO1072" s="100">
        <f>IF('Net zero activities &amp; levers'!$C$14="Off",('Activity data'!BH10*EF!$H9)*kgtoGg,IF('Net zero activities &amp; levers'!$C$14="On",('Net zero Activity data'!BH10*EF!$H9)*kgtoGg,"ERROR"))</f>
        <v>-13.567116958153555</v>
      </c>
      <c r="AP1072" s="100">
        <f>IF('Net zero activities &amp; levers'!$C$14="Off",('Activity data'!BI10*EF!$H9)*kgtoGg,IF('Net zero activities &amp; levers'!$C$14="On",('Net zero Activity data'!BI10*EF!$H9)*kgtoGg,"ERROR"))</f>
        <v>-13.669410585503263</v>
      </c>
      <c r="AQ1072" s="100">
        <f>IF('Net zero activities &amp; levers'!$C$14="Off",('Activity data'!BJ10*EF!$H9)*kgtoGg,IF('Net zero activities &amp; levers'!$C$14="On",('Net zero Activity data'!BJ10*EF!$H9)*kgtoGg,"ERROR"))</f>
        <v>-13.772411250990594</v>
      </c>
      <c r="AR1072" s="100">
        <f>IF('Net zero activities &amp; levers'!$C$14="Off",('Activity data'!BK10*EF!$H9)*kgtoGg,IF('Net zero activities &amp; levers'!$C$14="On",('Net zero Activity data'!BK10*EF!$H9)*kgtoGg,"ERROR"))</f>
        <v>-13.876124546340513</v>
      </c>
      <c r="AS1072" s="100">
        <f>IF('Net zero activities &amp; levers'!$C$14="Off",('Activity data'!BL10*EF!$H9)*kgtoGg,IF('Net zero activities &amp; levers'!$C$14="On",('Net zero Activity data'!BL10*EF!$H9)*kgtoGg,"ERROR"))</f>
        <v>-13.971054455205756</v>
      </c>
      <c r="AT1072" s="100">
        <f>IF('Net zero activities &amp; levers'!$C$14="Off",('Activity data'!BM10*EF!$H9)*kgtoGg,IF('Net zero activities &amp; levers'!$C$14="On",('Net zero Activity data'!BM10*EF!$H9)*kgtoGg,"ERROR"))</f>
        <v>-14.066530697184916</v>
      </c>
      <c r="AU1072" s="100">
        <f>IF('Net zero activities &amp; levers'!$C$14="Off",('Activity data'!BN10*EF!$H9)*kgtoGg,IF('Net zero activities &amp; levers'!$C$14="On",('Net zero Activity data'!BN10*EF!$H9)*kgtoGg,"ERROR"))</f>
        <v>-14.162556886408025</v>
      </c>
      <c r="AV1072" s="100">
        <f>IF('Net zero activities &amp; levers'!$C$14="Off",('Activity data'!BO10*EF!$H9)*kgtoGg,IF('Net zero activities &amp; levers'!$C$14="On",('Net zero Activity data'!BO10*EF!$H9)*kgtoGg,"ERROR"))</f>
        <v>-14.259136659667147</v>
      </c>
      <c r="AW1072" s="100">
        <f>IF('Net zero activities &amp; levers'!$C$14="Off",('Activity data'!BP10*EF!$H9)*kgtoGg,IF('Net zero activities &amp; levers'!$C$14="On",('Net zero Activity data'!BP10*EF!$H9)*kgtoGg,"ERROR"))</f>
        <v>-14.356273676553505</v>
      </c>
      <c r="AY1072" s="85"/>
    </row>
    <row r="1073" spans="1:51" x14ac:dyDescent="0.25">
      <c r="A1073" s="102" t="str">
        <f t="shared" si="373"/>
        <v>CM Sheep</v>
      </c>
      <c r="B1073" s="102" t="s">
        <v>1323</v>
      </c>
      <c r="C1073" s="102" t="s">
        <v>152</v>
      </c>
      <c r="D1073" t="s">
        <v>15</v>
      </c>
      <c r="E1073" t="s">
        <v>16</v>
      </c>
      <c r="F1073" t="s">
        <v>18</v>
      </c>
      <c r="G1073" t="s">
        <v>122</v>
      </c>
      <c r="H1073" t="s">
        <v>1021</v>
      </c>
      <c r="I1073" t="s">
        <v>121</v>
      </c>
      <c r="J1073" t="s">
        <v>286</v>
      </c>
      <c r="K1073" s="100">
        <f>IF('Net zero activities &amp; levers'!$C$14="Off",('Activity data'!AD11*EF!$H10)*kgtoGg,IF('Net zero activities &amp; levers'!$C$14="On",('Net zero Activity data'!AD11*EF!$H10)*kgtoGg,"ERROR"))</f>
        <v>132.58757058147904</v>
      </c>
      <c r="L1073" s="100">
        <f>IF('Net zero activities &amp; levers'!$C$14="Off",('Activity data'!AE11*EF!$H10)*kgtoGg,IF('Net zero activities &amp; levers'!$C$14="On",('Net zero Activity data'!AE11*EF!$H10)*kgtoGg,"ERROR"))</f>
        <v>132.65997552000914</v>
      </c>
      <c r="M1073" s="100">
        <f>IF('Net zero activities &amp; levers'!$C$14="Off",('Activity data'!AF11*EF!$H10)*kgtoGg,IF('Net zero activities &amp; levers'!$C$14="On",('Net zero Activity data'!AF11*EF!$H10)*kgtoGg,"ERROR"))</f>
        <v>132.82210408590223</v>
      </c>
      <c r="N1073" s="100">
        <f>IF('Net zero activities &amp; levers'!$C$14="Off",('Activity data'!AG11*EF!$H10)*kgtoGg,IF('Net zero activities &amp; levers'!$C$14="On",('Net zero Activity data'!AG11*EF!$H10)*kgtoGg,"ERROR"))</f>
        <v>133.06614161446052</v>
      </c>
      <c r="O1073" s="100">
        <f>IF('Net zero activities &amp; levers'!$C$14="Off",('Activity data'!AH11*EF!$H10)*kgtoGg,IF('Net zero activities &amp; levers'!$C$14="On",('Net zero Activity data'!AH11*EF!$H10)*kgtoGg,"ERROR"))</f>
        <v>133.3953531354135</v>
      </c>
      <c r="P1073" s="100">
        <f>IF('Net zero activities &amp; levers'!$C$14="Off",('Activity data'!AI11*EF!$H10)*kgtoGg,IF('Net zero activities &amp; levers'!$C$14="On",('Net zero Activity data'!AI11*EF!$H10)*kgtoGg,"ERROR"))</f>
        <v>133.81008797408685</v>
      </c>
      <c r="Q1073" s="100">
        <f>IF('Net zero activities &amp; levers'!$C$14="Off",('Activity data'!AJ11*EF!$H10)*kgtoGg,IF('Net zero activities &amp; levers'!$C$14="On",('Net zero Activity data'!AJ11*EF!$H10)*kgtoGg,"ERROR"))</f>
        <v>134.27208577169884</v>
      </c>
      <c r="R1073" s="100">
        <f>IF('Net zero activities &amp; levers'!$C$14="Off",('Activity data'!AK11*EF!$H10)*kgtoGg,IF('Net zero activities &amp; levers'!$C$14="On",('Net zero Activity data'!AK11*EF!$H10)*kgtoGg,"ERROR"))</f>
        <v>134.77278624125299</v>
      </c>
      <c r="S1073" s="100">
        <f>IF('Net zero activities &amp; levers'!$C$14="Off",('Activity data'!AL11*EF!$H10)*kgtoGg,IF('Net zero activities &amp; levers'!$C$14="On",('Net zero Activity data'!AL11*EF!$H10)*kgtoGg,"ERROR"))</f>
        <v>135.24330047488556</v>
      </c>
      <c r="T1073" s="100">
        <f>IF('Net zero activities &amp; levers'!$C$14="Off",('Activity data'!AM11*EF!$H10)*kgtoGg,IF('Net zero activities &amp; levers'!$C$14="On",('Net zero Activity data'!AM11*EF!$H10)*kgtoGg,"ERROR"))</f>
        <v>135.43984338147078</v>
      </c>
      <c r="U1073" s="100">
        <f>IF('Net zero activities &amp; levers'!$C$14="Off",('Activity data'!AN11*EF!$H10)*kgtoGg,IF('Net zero activities &amp; levers'!$C$14="On",('Net zero Activity data'!AN11*EF!$H10)*kgtoGg,"ERROR"))</f>
        <v>135.66790740229135</v>
      </c>
      <c r="V1073" s="100">
        <f>IF('Net zero activities &amp; levers'!$C$14="Off",('Activity data'!AO11*EF!$H10)*kgtoGg,IF('Net zero activities &amp; levers'!$C$14="On",('Net zero Activity data'!AO11*EF!$H10)*kgtoGg,"ERROR"))</f>
        <v>135.92744577431912</v>
      </c>
      <c r="W1073" s="100">
        <f>IF('Net zero activities &amp; levers'!$C$14="Off",('Activity data'!AP11*EF!$H10)*kgtoGg,IF('Net zero activities &amp; levers'!$C$14="On",('Net zero Activity data'!AP11*EF!$H10)*kgtoGg,"ERROR"))</f>
        <v>136.21980319636509</v>
      </c>
      <c r="X1073" s="100">
        <f>IF('Net zero activities &amp; levers'!$C$14="Off",('Activity data'!AQ11*EF!$H10)*kgtoGg,IF('Net zero activities &amp; levers'!$C$14="On",('Net zero Activity data'!AQ11*EF!$H10)*kgtoGg,"ERROR"))</f>
        <v>136.54029274426662</v>
      </c>
      <c r="Y1073" s="100">
        <f>IF('Net zero activities &amp; levers'!$C$14="Off",('Activity data'!AR11*EF!$H10)*kgtoGg,IF('Net zero activities &amp; levers'!$C$14="On",('Net zero Activity data'!AR11*EF!$H10)*kgtoGg,"ERROR"))</f>
        <v>136.73757850266969</v>
      </c>
      <c r="Z1073" s="100">
        <f>IF('Net zero activities &amp; levers'!$C$14="Off",('Activity data'!AS11*EF!$H10)*kgtoGg,IF('Net zero activities &amp; levers'!$C$14="On",('Net zero Activity data'!AS11*EF!$H10)*kgtoGg,"ERROR"))</f>
        <v>136.95795076822631</v>
      </c>
      <c r="AA1073" s="100">
        <f>IF('Net zero activities &amp; levers'!$C$14="Off",('Activity data'!AT11*EF!$H10)*kgtoGg,IF('Net zero activities &amp; levers'!$C$14="On",('Net zero Activity data'!AT11*EF!$H10)*kgtoGg,"ERROR"))</f>
        <v>137.20220925985299</v>
      </c>
      <c r="AB1073" s="100">
        <f>IF('Net zero activities &amp; levers'!$C$14="Off",('Activity data'!AU11*EF!$H10)*kgtoGg,IF('Net zero activities &amp; levers'!$C$14="On",('Net zero Activity data'!AU11*EF!$H10)*kgtoGg,"ERROR"))</f>
        <v>137.46660109068114</v>
      </c>
      <c r="AC1073" s="100">
        <f>IF('Net zero activities &amp; levers'!$C$14="Off",('Activity data'!AV11*EF!$H10)*kgtoGg,IF('Net zero activities &amp; levers'!$C$14="On",('Net zero Activity data'!AV11*EF!$H10)*kgtoGg,"ERROR"))</f>
        <v>137.75207161797405</v>
      </c>
      <c r="AD1073" s="100">
        <f>IF('Net zero activities &amp; levers'!$C$14="Off",('Activity data'!AW11*EF!$H10)*kgtoGg,IF('Net zero activities &amp; levers'!$C$14="On",('Net zero Activity data'!AW11*EF!$H10)*kgtoGg,"ERROR"))</f>
        <v>137.94000218541183</v>
      </c>
      <c r="AE1073" s="100">
        <f>IF('Net zero activities &amp; levers'!$C$14="Off",('Activity data'!AX11*EF!$H10)*kgtoGg,IF('Net zero activities &amp; levers'!$C$14="On",('Net zero Activity data'!AX11*EF!$H10)*kgtoGg,"ERROR"))</f>
        <v>138.14770015018067</v>
      </c>
      <c r="AF1073" s="100">
        <f>IF('Net zero activities &amp; levers'!$C$14="Off",('Activity data'!AY11*EF!$H10)*kgtoGg,IF('Net zero activities &amp; levers'!$C$14="On",('Net zero Activity data'!AY11*EF!$H10)*kgtoGg,"ERROR"))</f>
        <v>138.37329758077868</v>
      </c>
      <c r="AG1073" s="100">
        <f>IF('Net zero activities &amp; levers'!$C$14="Off",('Activity data'!AZ11*EF!$H10)*kgtoGg,IF('Net zero activities &amp; levers'!$C$14="On",('Net zero Activity data'!AZ11*EF!$H10)*kgtoGg,"ERROR"))</f>
        <v>138.59125347156044</v>
      </c>
      <c r="AH1073" s="100">
        <f>IF('Net zero activities &amp; levers'!$C$14="Off",('Activity data'!BA11*EF!$H10)*kgtoGg,IF('Net zero activities &amp; levers'!$C$14="On",('Net zero Activity data'!BA11*EF!$H10)*kgtoGg,"ERROR"))</f>
        <v>137.6594267769662</v>
      </c>
      <c r="AI1073" s="100">
        <f>IF('Net zero activities &amp; levers'!$C$14="Off",('Activity data'!BB11*EF!$H10)*kgtoGg,IF('Net zero activities &amp; levers'!$C$14="On",('Net zero Activity data'!BB11*EF!$H10)*kgtoGg,"ERROR"))</f>
        <v>137.79176090123983</v>
      </c>
      <c r="AJ1073" s="100">
        <f>IF('Net zero activities &amp; levers'!$C$14="Off",('Activity data'!BC11*EF!$H10)*kgtoGg,IF('Net zero activities &amp; levers'!$C$14="On",('Net zero Activity data'!BC11*EF!$H10)*kgtoGg,"ERROR"))</f>
        <v>137.93779226287748</v>
      </c>
      <c r="AK1073" s="100">
        <f>IF('Net zero activities &amp; levers'!$C$14="Off",('Activity data'!BD11*EF!$H10)*kgtoGg,IF('Net zero activities &amp; levers'!$C$14="On",('Net zero Activity data'!BD11*EF!$H10)*kgtoGg,"ERROR"))</f>
        <v>138.09700339174353</v>
      </c>
      <c r="AL1073" s="100">
        <f>IF('Net zero activities &amp; levers'!$C$14="Off",('Activity data'!BE11*EF!$H10)*kgtoGg,IF('Net zero activities &amp; levers'!$C$14="On",('Net zero Activity data'!BE11*EF!$H10)*kgtoGg,"ERROR"))</f>
        <v>138.26891681492259</v>
      </c>
      <c r="AM1073" s="100">
        <f>IF('Net zero activities &amp; levers'!$C$14="Off",('Activity data'!BF11*EF!$H10)*kgtoGg,IF('Net zero activities &amp; levers'!$C$14="On",('Net zero Activity data'!BF11*EF!$H10)*kgtoGg,"ERROR"))</f>
        <v>138.45309126128626</v>
      </c>
      <c r="AN1073" s="100">
        <f>IF('Net zero activities &amp; levers'!$C$14="Off",('Activity data'!BG11*EF!$H10)*kgtoGg,IF('Net zero activities &amp; levers'!$C$14="On",('Net zero Activity data'!BG11*EF!$H10)*kgtoGg,"ERROR"))</f>
        <v>138.54247128713709</v>
      </c>
      <c r="AO1073" s="100">
        <f>IF('Net zero activities &amp; levers'!$C$14="Off",('Activity data'!BH11*EF!$H10)*kgtoGg,IF('Net zero activities &amp; levers'!$C$14="On",('Net zero Activity data'!BH11*EF!$H10)*kgtoGg,"ERROR"))</f>
        <v>138.64265405515414</v>
      </c>
      <c r="AP1073" s="100">
        <f>IF('Net zero activities &amp; levers'!$C$14="Off",('Activity data'!BI11*EF!$H10)*kgtoGg,IF('Net zero activities &amp; levers'!$C$14="On",('Net zero Activity data'!BI11*EF!$H10)*kgtoGg,"ERROR"))</f>
        <v>138.75326360443952</v>
      </c>
      <c r="AQ1073" s="100">
        <f>IF('Net zero activities &amp; levers'!$C$14="Off",('Activity data'!BJ11*EF!$H10)*kgtoGg,IF('Net zero activities &amp; levers'!$C$14="On",('Net zero Activity data'!BJ11*EF!$H10)*kgtoGg,"ERROR"))</f>
        <v>138.87394970624567</v>
      </c>
      <c r="AR1073" s="100">
        <f>IF('Net zero activities &amp; levers'!$C$14="Off",('Activity data'!BK11*EF!$H10)*kgtoGg,IF('Net zero activities &amp; levers'!$C$14="On",('Net zero Activity data'!BK11*EF!$H10)*kgtoGg,"ERROR"))</f>
        <v>139.00438567790363</v>
      </c>
      <c r="AS1073" s="100">
        <f>IF('Net zero activities &amp; levers'!$C$14="Off",('Activity data'!BL11*EF!$H10)*kgtoGg,IF('Net zero activities &amp; levers'!$C$14="On",('Net zero Activity data'!BL11*EF!$H10)*kgtoGg,"ERROR"))</f>
        <v>139.03656264546001</v>
      </c>
      <c r="AT1073" s="100">
        <f>IF('Net zero activities &amp; levers'!$C$14="Off",('Activity data'!BM11*EF!$H10)*kgtoGg,IF('Net zero activities &amp; levers'!$C$14="On",('Net zero Activity data'!BM11*EF!$H10)*kgtoGg,"ERROR"))</f>
        <v>139.07739261805247</v>
      </c>
      <c r="AU1073" s="100">
        <f>IF('Net zero activities &amp; levers'!$C$14="Off",('Activity data'!BN11*EF!$H10)*kgtoGg,IF('Net zero activities &amp; levers'!$C$14="On",('Net zero Activity data'!BN11*EF!$H10)*kgtoGg,"ERROR"))</f>
        <v>139.1265890083165</v>
      </c>
      <c r="AV1073" s="100">
        <f>IF('Net zero activities &amp; levers'!$C$14="Off",('Activity data'!BO11*EF!$H10)*kgtoGg,IF('Net zero activities &amp; levers'!$C$14="On",('Net zero Activity data'!BO11*EF!$H10)*kgtoGg,"ERROR"))</f>
        <v>139.18388272915809</v>
      </c>
      <c r="AW1073" s="100">
        <f>IF('Net zero activities &amp; levers'!$C$14="Off",('Activity data'!BP11*EF!$H10)*kgtoGg,IF('Net zero activities &amp; levers'!$C$14="On",('Net zero Activity data'!BP11*EF!$H10)*kgtoGg,"ERROR"))</f>
        <v>139.24902084795488</v>
      </c>
      <c r="AY1073" s="85"/>
    </row>
    <row r="1074" spans="1:51" x14ac:dyDescent="0.25">
      <c r="A1074" s="102" t="str">
        <f t="shared" si="373"/>
        <v>CM Sheep</v>
      </c>
      <c r="B1074" s="102" t="s">
        <v>1323</v>
      </c>
      <c r="C1074" s="102" t="s">
        <v>152</v>
      </c>
      <c r="D1074" t="s">
        <v>15</v>
      </c>
      <c r="E1074" t="s">
        <v>16</v>
      </c>
      <c r="F1074" t="s">
        <v>18</v>
      </c>
      <c r="G1074" t="s">
        <v>123</v>
      </c>
      <c r="H1074" t="s">
        <v>1021</v>
      </c>
      <c r="I1074" t="s">
        <v>121</v>
      </c>
      <c r="J1074" t="s">
        <v>286</v>
      </c>
      <c r="K1074" s="100">
        <f>IF('Net zero activities &amp; levers'!$C$14="Off",('Activity data'!AD12*EF!$H11)*kgtoGg,IF('Net zero activities &amp; levers'!$C$14="On",('Net zero Activity data'!AD12*EF!$H11)*kgtoGg,"ERROR"))</f>
        <v>14.369021000318453</v>
      </c>
      <c r="L1074" s="100">
        <f>IF('Net zero activities &amp; levers'!$C$14="Off",('Activity data'!AE12*EF!$H11)*kgtoGg,IF('Net zero activities &amp; levers'!$C$14="On",('Net zero Activity data'!AE12*EF!$H11)*kgtoGg,"ERROR"))</f>
        <v>14.376867799816345</v>
      </c>
      <c r="M1074" s="100">
        <f>IF('Net zero activities &amp; levers'!$C$14="Off",('Activity data'!AF12*EF!$H11)*kgtoGg,IF('Net zero activities &amp; levers'!$C$14="On",('Net zero Activity data'!AF12*EF!$H11)*kgtoGg,"ERROR"))</f>
        <v>14.394438291211975</v>
      </c>
      <c r="N1074" s="100">
        <f>IF('Net zero activities &amp; levers'!$C$14="Off",('Activity data'!AG12*EF!$H11)*kgtoGg,IF('Net zero activities &amp; levers'!$C$14="On",('Net zero Activity data'!AG12*EF!$H11)*kgtoGg,"ERROR"))</f>
        <v>14.420885569469965</v>
      </c>
      <c r="O1074" s="100">
        <f>IF('Net zero activities &amp; levers'!$C$14="Off",('Activity data'!AH12*EF!$H11)*kgtoGg,IF('Net zero activities &amp; levers'!$C$14="On",('Net zero Activity data'!AH12*EF!$H11)*kgtoGg,"ERROR"))</f>
        <v>14.456563478322018</v>
      </c>
      <c r="P1074" s="100">
        <f>IF('Net zero activities &amp; levers'!$C$14="Off",('Activity data'!AI12*EF!$H11)*kgtoGg,IF('Net zero activities &amp; levers'!$C$14="On",('Net zero Activity data'!AI12*EF!$H11)*kgtoGg,"ERROR"))</f>
        <v>14.50150987548674</v>
      </c>
      <c r="Q1074" s="100">
        <f>IF('Net zero activities &amp; levers'!$C$14="Off",('Activity data'!AJ12*EF!$H11)*kgtoGg,IF('Net zero activities &amp; levers'!$C$14="On",('Net zero Activity data'!AJ12*EF!$H11)*kgtoGg,"ERROR"))</f>
        <v>14.55157833987502</v>
      </c>
      <c r="R1074" s="100">
        <f>IF('Net zero activities &amp; levers'!$C$14="Off",('Activity data'!AK12*EF!$H11)*kgtoGg,IF('Net zero activities &amp; levers'!$C$14="On",('Net zero Activity data'!AK12*EF!$H11)*kgtoGg,"ERROR"))</f>
        <v>14.60584116051756</v>
      </c>
      <c r="S1074" s="100">
        <f>IF('Net zero activities &amp; levers'!$C$14="Off",('Activity data'!AL12*EF!$H11)*kgtoGg,IF('Net zero activities &amp; levers'!$C$14="On",('Net zero Activity data'!AL12*EF!$H11)*kgtoGg,"ERROR"))</f>
        <v>14.656832583577541</v>
      </c>
      <c r="T1074" s="100">
        <f>IF('Net zero activities &amp; levers'!$C$14="Off",('Activity data'!AM12*EF!$H11)*kgtoGg,IF('Net zero activities &amp; levers'!$C$14="On",('Net zero Activity data'!AM12*EF!$H11)*kgtoGg,"ERROR"))</f>
        <v>14.678132688404874</v>
      </c>
      <c r="U1074" s="100">
        <f>IF('Net zero activities &amp; levers'!$C$14="Off",('Activity data'!AN12*EF!$H11)*kgtoGg,IF('Net zero activities &amp; levers'!$C$14="On",('Net zero Activity data'!AN12*EF!$H11)*kgtoGg,"ERROR"))</f>
        <v>14.702848856671748</v>
      </c>
      <c r="V1074" s="100">
        <f>IF('Net zero activities &amp; levers'!$C$14="Off",('Activity data'!AO12*EF!$H11)*kgtoGg,IF('Net zero activities &amp; levers'!$C$14="On",('Net zero Activity data'!AO12*EF!$H11)*kgtoGg,"ERROR"))</f>
        <v>14.730976020490347</v>
      </c>
      <c r="W1074" s="100">
        <f>IF('Net zero activities &amp; levers'!$C$14="Off",('Activity data'!AP12*EF!$H11)*kgtoGg,IF('Net zero activities &amp; levers'!$C$14="On",('Net zero Activity data'!AP12*EF!$H11)*kgtoGg,"ERROR"))</f>
        <v>14.762659910002416</v>
      </c>
      <c r="X1074" s="100">
        <f>IF('Net zero activities &amp; levers'!$C$14="Off",('Activity data'!AQ12*EF!$H11)*kgtoGg,IF('Net zero activities &amp; levers'!$C$14="On",('Net zero Activity data'!AQ12*EF!$H11)*kgtoGg,"ERROR"))</f>
        <v>14.797392585350364</v>
      </c>
      <c r="Y1074" s="100">
        <f>IF('Net zero activities &amp; levers'!$C$14="Off",('Activity data'!AR12*EF!$H11)*kgtoGg,IF('Net zero activities &amp; levers'!$C$14="On",('Net zero Activity data'!AR12*EF!$H11)*kgtoGg,"ERROR"))</f>
        <v>14.818773195864045</v>
      </c>
      <c r="Z1074" s="100">
        <f>IF('Net zero activities &amp; levers'!$C$14="Off",('Activity data'!AS12*EF!$H11)*kgtoGg,IF('Net zero activities &amp; levers'!$C$14="On",('Net zero Activity data'!AS12*EF!$H11)*kgtoGg,"ERROR"))</f>
        <v>14.842655779259934</v>
      </c>
      <c r="AA1074" s="100">
        <f>IF('Net zero activities &amp; levers'!$C$14="Off",('Activity data'!AT12*EF!$H11)*kgtoGg,IF('Net zero activities &amp; levers'!$C$14="On",('Net zero Activity data'!AT12*EF!$H11)*kgtoGg,"ERROR"))</f>
        <v>14.869127004128885</v>
      </c>
      <c r="AB1074" s="100">
        <f>IF('Net zero activities &amp; levers'!$C$14="Off",('Activity data'!AU12*EF!$H11)*kgtoGg,IF('Net zero activities &amp; levers'!$C$14="On",('Net zero Activity data'!AU12*EF!$H11)*kgtoGg,"ERROR"))</f>
        <v>14.897780155799289</v>
      </c>
      <c r="AC1074" s="100">
        <f>IF('Net zero activities &amp; levers'!$C$14="Off",('Activity data'!AV12*EF!$H11)*kgtoGg,IF('Net zero activities &amp; levers'!$C$14="On",('Net zero Activity data'!AV12*EF!$H11)*kgtoGg,"ERROR"))</f>
        <v>14.928717686245429</v>
      </c>
      <c r="AD1074" s="100">
        <f>IF('Net zero activities &amp; levers'!$C$14="Off",('Activity data'!AW12*EF!$H11)*kgtoGg,IF('Net zero activities &amp; levers'!$C$14="On",('Net zero Activity data'!AW12*EF!$H11)*kgtoGg,"ERROR"))</f>
        <v>14.949084439013225</v>
      </c>
      <c r="AE1074" s="100">
        <f>IF('Net zero activities &amp; levers'!$C$14="Off",('Activity data'!AX12*EF!$H11)*kgtoGg,IF('Net zero activities &amp; levers'!$C$14="On",('Net zero Activity data'!AX12*EF!$H11)*kgtoGg,"ERROR"))</f>
        <v>14.971593460065483</v>
      </c>
      <c r="AF1074" s="100">
        <f>IF('Net zero activities &amp; levers'!$C$14="Off",('Activity data'!AY12*EF!$H11)*kgtoGg,IF('Net zero activities &amp; levers'!$C$14="On",('Net zero Activity data'!AY12*EF!$H11)*kgtoGg,"ERROR"))</f>
        <v>14.996042314537018</v>
      </c>
      <c r="AG1074" s="100">
        <f>IF('Net zero activities &amp; levers'!$C$14="Off",('Activity data'!AZ12*EF!$H11)*kgtoGg,IF('Net zero activities &amp; levers'!$C$14="On",('Net zero Activity data'!AZ12*EF!$H11)*kgtoGg,"ERROR"))</f>
        <v>15.019663026177268</v>
      </c>
      <c r="AH1074" s="100">
        <f>IF('Net zero activities &amp; levers'!$C$14="Off",('Activity data'!BA12*EF!$H11)*kgtoGg,IF('Net zero activities &amp; levers'!$C$14="On",('Net zero Activity data'!BA12*EF!$H11)*kgtoGg,"ERROR"))</f>
        <v>14.918677411277161</v>
      </c>
      <c r="AI1074" s="100">
        <f>IF('Net zero activities &amp; levers'!$C$14="Off",('Activity data'!BB12*EF!$H11)*kgtoGg,IF('Net zero activities &amp; levers'!$C$14="On",('Net zero Activity data'!BB12*EF!$H11)*kgtoGg,"ERROR"))</f>
        <v>14.933018965333902</v>
      </c>
      <c r="AJ1074" s="100">
        <f>IF('Net zero activities &amp; levers'!$C$14="Off",('Activity data'!BC12*EF!$H11)*kgtoGg,IF('Net zero activities &amp; levers'!$C$14="On",('Net zero Activity data'!BC12*EF!$H11)*kgtoGg,"ERROR"))</f>
        <v>14.948844941274739</v>
      </c>
      <c r="AK1074" s="100">
        <f>IF('Net zero activities &amp; levers'!$C$14="Off",('Activity data'!BD12*EF!$H11)*kgtoGg,IF('Net zero activities &amp; levers'!$C$14="On",('Net zero Activity data'!BD12*EF!$H11)*kgtoGg,"ERROR"))</f>
        <v>14.966099258886322</v>
      </c>
      <c r="AL1074" s="100">
        <f>IF('Net zero activities &amp; levers'!$C$14="Off",('Activity data'!BE12*EF!$H11)*kgtoGg,IF('Net zero activities &amp; levers'!$C$14="On",('Net zero Activity data'!BE12*EF!$H11)*kgtoGg,"ERROR"))</f>
        <v>14.984730172606687</v>
      </c>
      <c r="AM1074" s="100">
        <f>IF('Net zero activities &amp; levers'!$C$14="Off",('Activity data'!BF12*EF!$H11)*kgtoGg,IF('Net zero activities &amp; levers'!$C$14="On",('Net zero Activity data'!BF12*EF!$H11)*kgtoGg,"ERROR"))</f>
        <v>15.004689860199688</v>
      </c>
      <c r="AN1074" s="100">
        <f>IF('Net zero activities &amp; levers'!$C$14="Off",('Activity data'!BG12*EF!$H11)*kgtoGg,IF('Net zero activities &amp; levers'!$C$14="On",('Net zero Activity data'!BG12*EF!$H11)*kgtoGg,"ERROR"))</f>
        <v>15.014376314690312</v>
      </c>
      <c r="AO1074" s="100">
        <f>IF('Net zero activities &amp; levers'!$C$14="Off",('Activity data'!BH12*EF!$H11)*kgtoGg,IF('Net zero activities &amp; levers'!$C$14="On",('Net zero Activity data'!BH12*EF!$H11)*kgtoGg,"ERROR"))</f>
        <v>15.025233503574562</v>
      </c>
      <c r="AP1074" s="100">
        <f>IF('Net zero activities &amp; levers'!$C$14="Off",('Activity data'!BI12*EF!$H11)*kgtoGg,IF('Net zero activities &amp; levers'!$C$14="On",('Net zero Activity data'!BI12*EF!$H11)*kgtoGg,"ERROR"))</f>
        <v>15.037220682535205</v>
      </c>
      <c r="AQ1074" s="100">
        <f>IF('Net zero activities &amp; levers'!$C$14="Off",('Activity data'!BJ12*EF!$H11)*kgtoGg,IF('Net zero activities &amp; levers'!$C$14="On",('Net zero Activity data'!BJ12*EF!$H11)*kgtoGg,"ERROR"))</f>
        <v>15.050299895946342</v>
      </c>
      <c r="AR1074" s="100">
        <f>IF('Net zero activities &amp; levers'!$C$14="Off",('Activity data'!BK12*EF!$H11)*kgtoGg,IF('Net zero activities &amp; levers'!$C$14="On",('Net zero Activity data'!BK12*EF!$H11)*kgtoGg,"ERROR"))</f>
        <v>15.064435739960453</v>
      </c>
      <c r="AS1074" s="100">
        <f>IF('Net zero activities &amp; levers'!$C$14="Off",('Activity data'!BL12*EF!$H11)*kgtoGg,IF('Net zero activities &amp; levers'!$C$14="On",('Net zero Activity data'!BL12*EF!$H11)*kgtoGg,"ERROR"))</f>
        <v>15.067922880727245</v>
      </c>
      <c r="AT1074" s="100">
        <f>IF('Net zero activities &amp; levers'!$C$14="Off",('Activity data'!BM12*EF!$H11)*kgtoGg,IF('Net zero activities &amp; levers'!$C$14="On",('Net zero Activity data'!BM12*EF!$H11)*kgtoGg,"ERROR"))</f>
        <v>15.072347780671114</v>
      </c>
      <c r="AU1074" s="100">
        <f>IF('Net zero activities &amp; levers'!$C$14="Off",('Activity data'!BN12*EF!$H11)*kgtoGg,IF('Net zero activities &amp; levers'!$C$14="On",('Net zero Activity data'!BN12*EF!$H11)*kgtoGg,"ERROR"))</f>
        <v>15.077679381225703</v>
      </c>
      <c r="AV1074" s="100">
        <f>IF('Net zero activities &amp; levers'!$C$14="Off",('Activity data'!BO12*EF!$H11)*kgtoGg,IF('Net zero activities &amp; levers'!$C$14="On",('Net zero Activity data'!BO12*EF!$H11)*kgtoGg,"ERROR"))</f>
        <v>15.083888520395751</v>
      </c>
      <c r="AW1074" s="100">
        <f>IF('Net zero activities &amp; levers'!$C$14="Off",('Activity data'!BP12*EF!$H11)*kgtoGg,IF('Net zero activities &amp; levers'!$C$14="On",('Net zero Activity data'!BP12*EF!$H11)*kgtoGg,"ERROR"))</f>
        <v>15.090947786907744</v>
      </c>
      <c r="AY1074" s="85"/>
    </row>
    <row r="1075" spans="1:51" x14ac:dyDescent="0.25">
      <c r="A1075" s="102" t="str">
        <f t="shared" si="373"/>
        <v>CM Goats</v>
      </c>
      <c r="B1075" s="102" t="s">
        <v>1323</v>
      </c>
      <c r="C1075" s="102" t="s">
        <v>153</v>
      </c>
      <c r="D1075" t="s">
        <v>15</v>
      </c>
      <c r="E1075" t="s">
        <v>16</v>
      </c>
      <c r="F1075" t="s">
        <v>19</v>
      </c>
      <c r="G1075" t="s">
        <v>122</v>
      </c>
      <c r="H1075" t="s">
        <v>1021</v>
      </c>
      <c r="I1075" t="s">
        <v>121</v>
      </c>
      <c r="J1075" t="s">
        <v>286</v>
      </c>
      <c r="K1075" s="100">
        <f>IF('Net zero activities &amp; levers'!$C$14="Off",('Activity data'!AD13*EF!$H12)*kgtoGg,IF('Net zero activities &amp; levers'!$C$14="On",('Net zero Activity data'!AD13*EF!$H12)*kgtoGg,"ERROR"))</f>
        <v>15.122912034052119</v>
      </c>
      <c r="L1075" s="100">
        <f>IF('Net zero activities &amp; levers'!$C$14="Off",('Activity data'!AE13*EF!$H12)*kgtoGg,IF('Net zero activities &amp; levers'!$C$14="On",('Net zero Activity data'!AE13*EF!$H12)*kgtoGg,"ERROR"))</f>
        <v>15.16235617086264</v>
      </c>
      <c r="M1075" s="100">
        <f>IF('Net zero activities &amp; levers'!$C$14="Off",('Activity data'!AF13*EF!$H12)*kgtoGg,IF('Net zero activities &amp; levers'!$C$14="On",('Net zero Activity data'!AF13*EF!$H12)*kgtoGg,"ERROR"))</f>
        <v>15.214918977175502</v>
      </c>
      <c r="N1075" s="100">
        <f>IF('Net zero activities &amp; levers'!$C$14="Off",('Activity data'!AG13*EF!$H12)*kgtoGg,IF('Net zero activities &amp; levers'!$C$14="On",('Net zero Activity data'!AG13*EF!$H12)*kgtoGg,"ERROR"))</f>
        <v>15.279431878529646</v>
      </c>
      <c r="O1075" s="100">
        <f>IF('Net zero activities &amp; levers'!$C$14="Off",('Activity data'!AH13*EF!$H12)*kgtoGg,IF('Net zero activities &amp; levers'!$C$14="On",('Net zero Activity data'!AH13*EF!$H12)*kgtoGg,"ERROR"))</f>
        <v>15.356670108197457</v>
      </c>
      <c r="P1075" s="100">
        <f>IF('Net zero activities &amp; levers'!$C$14="Off",('Activity data'!AI13*EF!$H12)*kgtoGg,IF('Net zero activities &amp; levers'!$C$14="On",('Net zero Activity data'!AI13*EF!$H12)*kgtoGg,"ERROR"))</f>
        <v>15.446839206530987</v>
      </c>
      <c r="Q1075" s="100">
        <f>IF('Net zero activities &amp; levers'!$C$14="Off",('Activity data'!AJ13*EF!$H12)*kgtoGg,IF('Net zero activities &amp; levers'!$C$14="On",('Net zero Activity data'!AJ13*EF!$H12)*kgtoGg,"ERROR"))</f>
        <v>15.543246595834415</v>
      </c>
      <c r="R1075" s="100">
        <f>IF('Net zero activities &amp; levers'!$C$14="Off",('Activity data'!AK13*EF!$H12)*kgtoGg,IF('Net zero activities &amp; levers'!$C$14="On",('Net zero Activity data'!AK13*EF!$H12)*kgtoGg,"ERROR"))</f>
        <v>15.644513729476552</v>
      </c>
      <c r="S1075" s="100">
        <f>IF('Net zero activities &amp; levers'!$C$14="Off",('Activity data'!AL13*EF!$H12)*kgtoGg,IF('Net zero activities &amp; levers'!$C$14="On",('Net zero Activity data'!AL13*EF!$H12)*kgtoGg,"ERROR"))</f>
        <v>15.738586448717601</v>
      </c>
      <c r="T1075" s="100">
        <f>IF('Net zero activities &amp; levers'!$C$14="Off",('Activity data'!AM13*EF!$H12)*kgtoGg,IF('Net zero activities &amp; levers'!$C$14="On",('Net zero Activity data'!AM13*EF!$H12)*kgtoGg,"ERROR"))</f>
        <v>15.782671791027241</v>
      </c>
      <c r="U1075" s="100">
        <f>IF('Net zero activities &amp; levers'!$C$14="Off",('Activity data'!AN13*EF!$H12)*kgtoGg,IF('Net zero activities &amp; levers'!$C$14="On",('Net zero Activity data'!AN13*EF!$H12)*kgtoGg,"ERROR"))</f>
        <v>15.831013812582922</v>
      </c>
      <c r="V1075" s="100">
        <f>IF('Net zero activities &amp; levers'!$C$14="Off",('Activity data'!AO13*EF!$H12)*kgtoGg,IF('Net zero activities &amp; levers'!$C$14="On",('Net zero Activity data'!AO13*EF!$H12)*kgtoGg,"ERROR"))</f>
        <v>15.883673860630685</v>
      </c>
      <c r="W1075" s="100">
        <f>IF('Net zero activities &amp; levers'!$C$14="Off",('Activity data'!AP13*EF!$H12)*kgtoGg,IF('Net zero activities &amp; levers'!$C$14="On",('Net zero Activity data'!AP13*EF!$H12)*kgtoGg,"ERROR"))</f>
        <v>15.940945806372881</v>
      </c>
      <c r="X1075" s="100">
        <f>IF('Net zero activities &amp; levers'!$C$14="Off",('Activity data'!AQ13*EF!$H12)*kgtoGg,IF('Net zero activities &amp; levers'!$C$14="On",('Net zero Activity data'!AQ13*EF!$H12)*kgtoGg,"ERROR"))</f>
        <v>16.002058548962822</v>
      </c>
      <c r="Y1075" s="100">
        <f>IF('Net zero activities &amp; levers'!$C$14="Off",('Activity data'!AR13*EF!$H12)*kgtoGg,IF('Net zero activities &amp; levers'!$C$14="On",('Net zero Activity data'!AR13*EF!$H12)*kgtoGg,"ERROR"))</f>
        <v>16.040687609599484</v>
      </c>
      <c r="Z1075" s="100">
        <f>IF('Net zero activities &amp; levers'!$C$14="Off",('Activity data'!AS13*EF!$H12)*kgtoGg,IF('Net zero activities &amp; levers'!$C$14="On",('Net zero Activity data'!AS13*EF!$H12)*kgtoGg,"ERROR"))</f>
        <v>16.082482288873532</v>
      </c>
      <c r="AA1075" s="100">
        <f>IF('Net zero activities &amp; levers'!$C$14="Off",('Activity data'!AT13*EF!$H12)*kgtoGg,IF('Net zero activities &amp; levers'!$C$14="On",('Net zero Activity data'!AT13*EF!$H12)*kgtoGg,"ERROR"))</f>
        <v>16.127615494082271</v>
      </c>
      <c r="AB1075" s="100">
        <f>IF('Net zero activities &amp; levers'!$C$14="Off",('Activity data'!AU13*EF!$H12)*kgtoGg,IF('Net zero activities &amp; levers'!$C$14="On",('Net zero Activity data'!AU13*EF!$H12)*kgtoGg,"ERROR"))</f>
        <v>16.175465875658951</v>
      </c>
      <c r="AC1075" s="100">
        <f>IF('Net zero activities &amp; levers'!$C$14="Off",('Activity data'!AV13*EF!$H12)*kgtoGg,IF('Net zero activities &amp; levers'!$C$14="On",('Net zero Activity data'!AV13*EF!$H12)*kgtoGg,"ERROR"))</f>
        <v>16.226224840403397</v>
      </c>
      <c r="AD1075" s="100">
        <f>IF('Net zero activities &amp; levers'!$C$14="Off",('Activity data'!AW13*EF!$H12)*kgtoGg,IF('Net zero activities &amp; levers'!$C$14="On",('Net zero Activity data'!AW13*EF!$H12)*kgtoGg,"ERROR"))</f>
        <v>16.259468591936052</v>
      </c>
      <c r="AE1075" s="100">
        <f>IF('Net zero activities &amp; levers'!$C$14="Off",('Activity data'!AX13*EF!$H12)*kgtoGg,IF('Net zero activities &amp; levers'!$C$14="On",('Net zero Activity data'!AX13*EF!$H12)*kgtoGg,"ERROR"))</f>
        <v>16.295521678721617</v>
      </c>
      <c r="AF1075" s="100">
        <f>IF('Net zero activities &amp; levers'!$C$14="Off",('Activity data'!AY13*EF!$H12)*kgtoGg,IF('Net zero activities &amp; levers'!$C$14="On",('Net zero Activity data'!AY13*EF!$H12)*kgtoGg,"ERROR"))</f>
        <v>16.334079311640636</v>
      </c>
      <c r="AG1075" s="100">
        <f>IF('Net zero activities &amp; levers'!$C$14="Off",('Activity data'!AZ13*EF!$H12)*kgtoGg,IF('Net zero activities &amp; levers'!$C$14="On",('Net zero Activity data'!AZ13*EF!$H12)*kgtoGg,"ERROR"))</f>
        <v>16.370780543129868</v>
      </c>
      <c r="AH1075" s="100">
        <f>IF('Net zero activities &amp; levers'!$C$14="Off",('Activity data'!BA13*EF!$H12)*kgtoGg,IF('Net zero activities &amp; levers'!$C$14="On",('Net zero Activity data'!BA13*EF!$H12)*kgtoGg,"ERROR"))</f>
        <v>16.210342962451882</v>
      </c>
      <c r="AI1075" s="100">
        <f>IF('Net zero activities &amp; levers'!$C$14="Off",('Activity data'!BB13*EF!$H12)*kgtoGg,IF('Net zero activities &amp; levers'!$C$14="On",('Net zero Activity data'!BB13*EF!$H12)*kgtoGg,"ERROR"))</f>
        <v>16.231809554619815</v>
      </c>
      <c r="AJ1075" s="100">
        <f>IF('Net zero activities &amp; levers'!$C$14="Off",('Activity data'!BC13*EF!$H12)*kgtoGg,IF('Net zero activities &amp; levers'!$C$14="On",('Net zero Activity data'!BC13*EF!$H12)*kgtoGg,"ERROR"))</f>
        <v>16.255200949759832</v>
      </c>
      <c r="AK1075" s="100">
        <f>IF('Net zero activities &amp; levers'!$C$14="Off",('Activity data'!BD13*EF!$H12)*kgtoGg,IF('Net zero activities &amp; levers'!$C$14="On",('Net zero Activity data'!BD13*EF!$H12)*kgtoGg,"ERROR"))</f>
        <v>16.280438980022009</v>
      </c>
      <c r="AL1075" s="100">
        <f>IF('Net zero activities &amp; levers'!$C$14="Off",('Activity data'!BE13*EF!$H12)*kgtoGg,IF('Net zero activities &amp; levers'!$C$14="On",('Net zero Activity data'!BE13*EF!$H12)*kgtoGg,"ERROR"))</f>
        <v>16.307451540692337</v>
      </c>
      <c r="AM1075" s="100">
        <f>IF('Net zero activities &amp; levers'!$C$14="Off",('Activity data'!BF13*EF!$H12)*kgtoGg,IF('Net zero activities &amp; levers'!$C$14="On",('Net zero Activity data'!BF13*EF!$H12)*kgtoGg,"ERROR"))</f>
        <v>16.33617200965886</v>
      </c>
      <c r="AN1075" s="100">
        <f>IF('Net zero activities &amp; levers'!$C$14="Off",('Activity data'!BG13*EF!$H12)*kgtoGg,IF('Net zero activities &amp; levers'!$C$14="On",('Net zero Activity data'!BG13*EF!$H12)*kgtoGg,"ERROR"))</f>
        <v>16.348500225303503</v>
      </c>
      <c r="AO1075" s="100">
        <f>IF('Net zero activities &amp; levers'!$C$14="Off",('Activity data'!BH13*EF!$H12)*kgtoGg,IF('Net zero activities &amp; levers'!$C$14="On",('Net zero Activity data'!BH13*EF!$H12)*kgtoGg,"ERROR"))</f>
        <v>16.362367038828094</v>
      </c>
      <c r="AP1075" s="100">
        <f>IF('Net zero activities &amp; levers'!$C$14="Off",('Activity data'!BI13*EF!$H12)*kgtoGg,IF('Net zero activities &amp; levers'!$C$14="On",('Net zero Activity data'!BI13*EF!$H12)*kgtoGg,"ERROR"))</f>
        <v>16.377714445166813</v>
      </c>
      <c r="AQ1075" s="100">
        <f>IF('Net zero activities &amp; levers'!$C$14="Off",('Activity data'!BJ13*EF!$H12)*kgtoGg,IF('Net zero activities &amp; levers'!$C$14="On",('Net zero Activity data'!BJ13*EF!$H12)*kgtoGg,"ERROR"))</f>
        <v>16.394488418537772</v>
      </c>
      <c r="AR1075" s="100">
        <f>IF('Net zero activities &amp; levers'!$C$14="Off",('Activity data'!BK13*EF!$H12)*kgtoGg,IF('Net zero activities &amp; levers'!$C$14="On",('Net zero Activity data'!BK13*EF!$H12)*kgtoGg,"ERROR"))</f>
        <v>16.412638571526305</v>
      </c>
      <c r="AS1075" s="100">
        <f>IF('Net zero activities &amp; levers'!$C$14="Off",('Activity data'!BL13*EF!$H12)*kgtoGg,IF('Net zero activities &amp; levers'!$C$14="On",('Net zero Activity data'!BL13*EF!$H12)*kgtoGg,"ERROR"))</f>
        <v>16.414054645399585</v>
      </c>
      <c r="AT1075" s="100">
        <f>IF('Net zero activities &amp; levers'!$C$14="Off",('Activity data'!BM13*EF!$H12)*kgtoGg,IF('Net zero activities &amp; levers'!$C$14="On",('Net zero Activity data'!BM13*EF!$H12)*kgtoGg,"ERROR"))</f>
        <v>16.416730079303285</v>
      </c>
      <c r="AU1075" s="100">
        <f>IF('Net zero activities &amp; levers'!$C$14="Off",('Activity data'!BN13*EF!$H12)*kgtoGg,IF('Net zero activities &amp; levers'!$C$14="On",('Net zero Activity data'!BN13*EF!$H12)*kgtoGg,"ERROR"))</f>
        <v>16.420619645756457</v>
      </c>
      <c r="AV1075" s="100">
        <f>IF('Net zero activities &amp; levers'!$C$14="Off",('Activity data'!BO13*EF!$H12)*kgtoGg,IF('Net zero activities &amp; levers'!$C$14="On",('Net zero Activity data'!BO13*EF!$H12)*kgtoGg,"ERROR"))</f>
        <v>16.425680885599256</v>
      </c>
      <c r="AW1075" s="100">
        <f>IF('Net zero activities &amp; levers'!$C$14="Off",('Activity data'!BP13*EF!$H12)*kgtoGg,IF('Net zero activities &amp; levers'!$C$14="On",('Net zero Activity data'!BP13*EF!$H12)*kgtoGg,"ERROR"))</f>
        <v>16.431873893524784</v>
      </c>
      <c r="AY1075" s="85"/>
    </row>
    <row r="1076" spans="1:51" x14ac:dyDescent="0.25">
      <c r="A1076" s="102" t="str">
        <f t="shared" si="373"/>
        <v>CM Goats</v>
      </c>
      <c r="B1076" s="102" t="s">
        <v>1323</v>
      </c>
      <c r="C1076" s="102" t="s">
        <v>153</v>
      </c>
      <c r="D1076" t="s">
        <v>15</v>
      </c>
      <c r="E1076" t="s">
        <v>16</v>
      </c>
      <c r="F1076" t="s">
        <v>19</v>
      </c>
      <c r="G1076" t="s">
        <v>123</v>
      </c>
      <c r="H1076" t="s">
        <v>1021</v>
      </c>
      <c r="I1076" t="s">
        <v>121</v>
      </c>
      <c r="J1076" t="s">
        <v>286</v>
      </c>
      <c r="K1076" s="100">
        <f>IF('Net zero activities &amp; levers'!$C$14="Off",('Activity data'!AD14*EF!$H13)*kgtoGg,IF('Net zero activities &amp; levers'!$C$14="On",('Net zero Activity data'!AD14*EF!$H13)*kgtoGg,"ERROR"))</f>
        <v>22.380358537009105</v>
      </c>
      <c r="L1076" s="100">
        <f>IF('Net zero activities &amp; levers'!$C$14="Off",('Activity data'!AE14*EF!$H13)*kgtoGg,IF('Net zero activities &amp; levers'!$C$14="On",('Net zero Activity data'!AE14*EF!$H13)*kgtoGg,"ERROR"))</f>
        <v>22.438731813400228</v>
      </c>
      <c r="M1076" s="100">
        <f>IF('Net zero activities &amp; levers'!$C$14="Off",('Activity data'!AF14*EF!$H13)*kgtoGg,IF('Net zero activities &amp; levers'!$C$14="On",('Net zero Activity data'!AF14*EF!$H13)*kgtoGg,"ERROR"))</f>
        <v>22.516519374971988</v>
      </c>
      <c r="N1076" s="100">
        <f>IF('Net zero activities &amp; levers'!$C$14="Off",('Activity data'!AG14*EF!$H13)*kgtoGg,IF('Net zero activities &amp; levers'!$C$14="On",('Net zero Activity data'!AG14*EF!$H13)*kgtoGg,"ERROR"))</f>
        <v>22.611991851391704</v>
      </c>
      <c r="O1076" s="100">
        <f>IF('Net zero activities &amp; levers'!$C$14="Off",('Activity data'!AH14*EF!$H13)*kgtoGg,IF('Net zero activities &amp; levers'!$C$14="On",('Net zero Activity data'!AH14*EF!$H13)*kgtoGg,"ERROR"))</f>
        <v>22.726296508380855</v>
      </c>
      <c r="P1076" s="100">
        <f>IF('Net zero activities &amp; levers'!$C$14="Off",('Activity data'!AI14*EF!$H13)*kgtoGg,IF('Net zero activities &amp; levers'!$C$14="On",('Net zero Activity data'!AI14*EF!$H13)*kgtoGg,"ERROR"))</f>
        <v>22.859737524576634</v>
      </c>
      <c r="Q1076" s="100">
        <f>IF('Net zero activities &amp; levers'!$C$14="Off",('Activity data'!AJ14*EF!$H13)*kgtoGg,IF('Net zero activities &amp; levers'!$C$14="On",('Net zero Activity data'!AJ14*EF!$H13)*kgtoGg,"ERROR"))</f>
        <v>23.002410571498377</v>
      </c>
      <c r="R1076" s="100">
        <f>IF('Net zero activities &amp; levers'!$C$14="Off",('Activity data'!AK14*EF!$H13)*kgtoGg,IF('Net zero activities &amp; levers'!$C$14="On",('Net zero Activity data'!AK14*EF!$H13)*kgtoGg,"ERROR"))</f>
        <v>23.152275541540064</v>
      </c>
      <c r="S1076" s="100">
        <f>IF('Net zero activities &amp; levers'!$C$14="Off",('Activity data'!AL14*EF!$H13)*kgtoGg,IF('Net zero activities &amp; levers'!$C$14="On",('Net zero Activity data'!AL14*EF!$H13)*kgtoGg,"ERROR"))</f>
        <v>23.291493516254551</v>
      </c>
      <c r="T1076" s="100">
        <f>IF('Net zero activities &amp; levers'!$C$14="Off",('Activity data'!AM14*EF!$H13)*kgtoGg,IF('Net zero activities &amp; levers'!$C$14="On",('Net zero Activity data'!AM14*EF!$H13)*kgtoGg,"ERROR"))</f>
        <v>23.356735300700223</v>
      </c>
      <c r="U1076" s="100">
        <f>IF('Net zero activities &amp; levers'!$C$14="Off",('Activity data'!AN14*EF!$H13)*kgtoGg,IF('Net zero activities &amp; levers'!$C$14="On",('Net zero Activity data'!AN14*EF!$H13)*kgtoGg,"ERROR"))</f>
        <v>23.428276533789713</v>
      </c>
      <c r="V1076" s="100">
        <f>IF('Net zero activities &amp; levers'!$C$14="Off",('Activity data'!AO14*EF!$H13)*kgtoGg,IF('Net zero activities &amp; levers'!$C$14="On",('Net zero Activity data'!AO14*EF!$H13)*kgtoGg,"ERROR"))</f>
        <v>23.506208003154299</v>
      </c>
      <c r="W1076" s="100">
        <f>IF('Net zero activities &amp; levers'!$C$14="Off",('Activity data'!AP14*EF!$H13)*kgtoGg,IF('Net zero activities &amp; levers'!$C$14="On",('Net zero Activity data'!AP14*EF!$H13)*kgtoGg,"ERROR"))</f>
        <v>23.590964608028823</v>
      </c>
      <c r="X1076" s="100">
        <f>IF('Net zero activities &amp; levers'!$C$14="Off",('Activity data'!AQ14*EF!$H13)*kgtoGg,IF('Net zero activities &amp; levers'!$C$14="On",('Net zero Activity data'!AQ14*EF!$H13)*kgtoGg,"ERROR"))</f>
        <v>23.681405198257956</v>
      </c>
      <c r="Y1076" s="100">
        <f>IF('Net zero activities &amp; levers'!$C$14="Off",('Activity data'!AR14*EF!$H13)*kgtoGg,IF('Net zero activities &amp; levers'!$C$14="On",('Net zero Activity data'!AR14*EF!$H13)*kgtoGg,"ERROR"))</f>
        <v>23.738572245520402</v>
      </c>
      <c r="Z1076" s="100">
        <f>IF('Net zero activities &amp; levers'!$C$14="Off",('Activity data'!AS14*EF!$H13)*kgtoGg,IF('Net zero activities &amp; levers'!$C$14="On",('Net zero Activity data'!AS14*EF!$H13)*kgtoGg,"ERROR"))</f>
        <v>23.800424083644316</v>
      </c>
      <c r="AA1076" s="100">
        <f>IF('Net zero activities &amp; levers'!$C$14="Off",('Activity data'!AT14*EF!$H13)*kgtoGg,IF('Net zero activities &amp; levers'!$C$14="On",('Net zero Activity data'!AT14*EF!$H13)*kgtoGg,"ERROR"))</f>
        <v>23.8672165976933</v>
      </c>
      <c r="AB1076" s="100">
        <f>IF('Net zero activities &amp; levers'!$C$14="Off",('Activity data'!AU14*EF!$H13)*kgtoGg,IF('Net zero activities &amp; levers'!$C$14="On",('Net zero Activity data'!AU14*EF!$H13)*kgtoGg,"ERROR"))</f>
        <v>23.938030254045156</v>
      </c>
      <c r="AC1076" s="100">
        <f>IF('Net zero activities &amp; levers'!$C$14="Off",('Activity data'!AV14*EF!$H13)*kgtoGg,IF('Net zero activities &amp; levers'!$C$14="On",('Net zero Activity data'!AV14*EF!$H13)*kgtoGg,"ERROR"))</f>
        <v>24.013148315129573</v>
      </c>
      <c r="AD1076" s="100">
        <f>IF('Net zero activities &amp; levers'!$C$14="Off",('Activity data'!AW14*EF!$H13)*kgtoGg,IF('Net zero activities &amp; levers'!$C$14="On",('Net zero Activity data'!AW14*EF!$H13)*kgtoGg,"ERROR"))</f>
        <v>24.062345657330646</v>
      </c>
      <c r="AE1076" s="100">
        <f>IF('Net zero activities &amp; levers'!$C$14="Off",('Activity data'!AX14*EF!$H13)*kgtoGg,IF('Net zero activities &amp; levers'!$C$14="On",('Net zero Activity data'!AX14*EF!$H13)*kgtoGg,"ERROR"))</f>
        <v>24.115700527530912</v>
      </c>
      <c r="AF1076" s="100">
        <f>IF('Net zero activities &amp; levers'!$C$14="Off",('Activity data'!AY14*EF!$H13)*kgtoGg,IF('Net zero activities &amp; levers'!$C$14="On",('Net zero Activity data'!AY14*EF!$H13)*kgtoGg,"ERROR"))</f>
        <v>24.172761869098128</v>
      </c>
      <c r="AG1076" s="100">
        <f>IF('Net zero activities &amp; levers'!$C$14="Off",('Activity data'!AZ14*EF!$H13)*kgtoGg,IF('Net zero activities &amp; levers'!$C$14="On",('Net zero Activity data'!AZ14*EF!$H13)*kgtoGg,"ERROR"))</f>
        <v>24.227075926974639</v>
      </c>
      <c r="AH1076" s="100">
        <f>IF('Net zero activities &amp; levers'!$C$14="Off",('Activity data'!BA14*EF!$H13)*kgtoGg,IF('Net zero activities &amp; levers'!$C$14="On",('Net zero Activity data'!BA14*EF!$H13)*kgtoGg,"ERROR"))</f>
        <v>23.989644764887686</v>
      </c>
      <c r="AI1076" s="100">
        <f>IF('Net zero activities &amp; levers'!$C$14="Off",('Activity data'!BB14*EF!$H13)*kgtoGg,IF('Net zero activities &amp; levers'!$C$14="On",('Net zero Activity data'!BB14*EF!$H13)*kgtoGg,"ERROR"))</f>
        <v>24.021413119302785</v>
      </c>
      <c r="AJ1076" s="100">
        <f>IF('Net zero activities &amp; levers'!$C$14="Off",('Activity data'!BC14*EF!$H13)*kgtoGg,IF('Net zero activities &amp; levers'!$C$14="On",('Net zero Activity data'!BC14*EF!$H13)*kgtoGg,"ERROR"))</f>
        <v>24.056029984674726</v>
      </c>
      <c r="AK1076" s="100">
        <f>IF('Net zero activities &amp; levers'!$C$14="Off",('Activity data'!BD14*EF!$H13)*kgtoGg,IF('Net zero activities &amp; levers'!$C$14="On",('Net zero Activity data'!BD14*EF!$H13)*kgtoGg,"ERROR"))</f>
        <v>24.093379680603892</v>
      </c>
      <c r="AL1076" s="100">
        <f>IF('Net zero activities &amp; levers'!$C$14="Off",('Activity data'!BE14*EF!$H13)*kgtoGg,IF('Net zero activities &amp; levers'!$C$14="On",('Net zero Activity data'!BE14*EF!$H13)*kgtoGg,"ERROR"))</f>
        <v>24.133355499509896</v>
      </c>
      <c r="AM1076" s="100">
        <f>IF('Net zero activities &amp; levers'!$C$14="Off",('Activity data'!BF14*EF!$H13)*kgtoGg,IF('Net zero activities &amp; levers'!$C$14="On",('Net zero Activity data'!BF14*EF!$H13)*kgtoGg,"ERROR"))</f>
        <v>24.175858847500976</v>
      </c>
      <c r="AN1076" s="100">
        <f>IF('Net zero activities &amp; levers'!$C$14="Off",('Activity data'!BG14*EF!$H13)*kgtoGg,IF('Net zero activities &amp; levers'!$C$14="On",('Net zero Activity data'!BG14*EF!$H13)*kgtoGg,"ERROR"))</f>
        <v>24.194103342055165</v>
      </c>
      <c r="AO1076" s="100">
        <f>IF('Net zero activities &amp; levers'!$C$14="Off",('Activity data'!BH14*EF!$H13)*kgtoGg,IF('Net zero activities &amp; levers'!$C$14="On",('Net zero Activity data'!BH14*EF!$H13)*kgtoGg,"ERROR"))</f>
        <v>24.214624803645847</v>
      </c>
      <c r="AP1076" s="100">
        <f>IF('Net zero activities &amp; levers'!$C$14="Off",('Activity data'!BI14*EF!$H13)*kgtoGg,IF('Net zero activities &amp; levers'!$C$14="On",('Net zero Activity data'!BI14*EF!$H13)*kgtoGg,"ERROR"))</f>
        <v>24.23733739072566</v>
      </c>
      <c r="AQ1076" s="100">
        <f>IF('Net zero activities &amp; levers'!$C$14="Off",('Activity data'!BJ14*EF!$H13)*kgtoGg,IF('Net zero activities &amp; levers'!$C$14="On",('Net zero Activity data'!BJ14*EF!$H13)*kgtoGg,"ERROR"))</f>
        <v>24.26216115067923</v>
      </c>
      <c r="AR1076" s="100">
        <f>IF('Net zero activities &amp; levers'!$C$14="Off",('Activity data'!BK14*EF!$H13)*kgtoGg,IF('Net zero activities &amp; levers'!$C$14="On",('Net zero Activity data'!BK14*EF!$H13)*kgtoGg,"ERROR"))</f>
        <v>24.289021515301489</v>
      </c>
      <c r="AS1076" s="100">
        <f>IF('Net zero activities &amp; levers'!$C$14="Off",('Activity data'!BL14*EF!$H13)*kgtoGg,IF('Net zero activities &amp; levers'!$C$14="On",('Net zero Activity data'!BL14*EF!$H13)*kgtoGg,"ERROR"))</f>
        <v>24.291117159376356</v>
      </c>
      <c r="AT1076" s="100">
        <f>IF('Net zero activities &amp; levers'!$C$14="Off",('Activity data'!BM14*EF!$H13)*kgtoGg,IF('Net zero activities &amp; levers'!$C$14="On",('Net zero Activity data'!BM14*EF!$H13)*kgtoGg,"ERROR"))</f>
        <v>24.295076527113999</v>
      </c>
      <c r="AU1076" s="100">
        <f>IF('Net zero activities &amp; levers'!$C$14="Off",('Activity data'!BN14*EF!$H13)*kgtoGg,IF('Net zero activities &amp; levers'!$C$14="On",('Net zero Activity data'!BN14*EF!$H13)*kgtoGg,"ERROR"))</f>
        <v>24.300832686481954</v>
      </c>
      <c r="AV1076" s="100">
        <f>IF('Net zero activities &amp; levers'!$C$14="Off",('Activity data'!BO14*EF!$H13)*kgtoGg,IF('Net zero activities &amp; levers'!$C$14="On",('Net zero Activity data'!BO14*EF!$H13)*kgtoGg,"ERROR"))</f>
        <v>24.308322802279001</v>
      </c>
      <c r="AW1076" s="100">
        <f>IF('Net zero activities &amp; levers'!$C$14="Off",('Activity data'!BP14*EF!$H13)*kgtoGg,IF('Net zero activities &amp; levers'!$C$14="On",('Net zero Activity data'!BP14*EF!$H13)*kgtoGg,"ERROR"))</f>
        <v>24.317487818744329</v>
      </c>
      <c r="AY1076" s="85"/>
    </row>
    <row r="1077" spans="1:51" x14ac:dyDescent="0.25">
      <c r="A1077" s="102" t="str">
        <f t="shared" si="373"/>
        <v>CM Horses</v>
      </c>
      <c r="B1077" s="102" t="s">
        <v>1323</v>
      </c>
      <c r="C1077" s="102" t="s">
        <v>3</v>
      </c>
      <c r="D1077" t="s">
        <v>15</v>
      </c>
      <c r="E1077" t="s">
        <v>16</v>
      </c>
      <c r="F1077" t="s">
        <v>20</v>
      </c>
      <c r="G1077" t="s">
        <v>3</v>
      </c>
      <c r="H1077" t="s">
        <v>1021</v>
      </c>
      <c r="I1077" t="s">
        <v>121</v>
      </c>
      <c r="J1077" t="s">
        <v>286</v>
      </c>
      <c r="K1077" s="100">
        <f>IF('Net zero activities &amp; levers'!$C$14="Off",('Activity data'!AD15*EF!$H14)*kgtoGg,IF('Net zero activities &amp; levers'!$C$14="On",('Net zero Activity data'!AD15*EF!$H14)*kgtoGg,"ERROR"))</f>
        <v>5.5696427744330439</v>
      </c>
      <c r="L1077" s="100">
        <f>IF('Net zero activities &amp; levers'!$C$14="Off",('Activity data'!AE15*EF!$H14)*kgtoGg,IF('Net zero activities &amp; levers'!$C$14="On",('Net zero Activity data'!AE15*EF!$H14)*kgtoGg,"ERROR"))</f>
        <v>5.6022840873497932</v>
      </c>
      <c r="M1077" s="100">
        <f>IF('Net zero activities &amp; levers'!$C$14="Off",('Activity data'!AF15*EF!$H14)*kgtoGg,IF('Net zero activities &amp; levers'!$C$14="On",('Net zero Activity data'!AF15*EF!$H14)*kgtoGg,"ERROR"))</f>
        <v>5.6103260601490881</v>
      </c>
      <c r="N1077" s="100">
        <f>IF('Net zero activities &amp; levers'!$C$14="Off",('Activity data'!AG15*EF!$H14)*kgtoGg,IF('Net zero activities &amp; levers'!$C$14="On",('Net zero Activity data'!AG15*EF!$H14)*kgtoGg,"ERROR"))</f>
        <v>5.5857580588048208</v>
      </c>
      <c r="O1077" s="100">
        <f>IF('Net zero activities &amp; levers'!$C$14="Off",('Activity data'!AH15*EF!$H14)*kgtoGg,IF('Net zero activities &amp; levers'!$C$14="On",('Net zero Activity data'!AH15*EF!$H14)*kgtoGg,"ERROR"))</f>
        <v>5.559765331848693</v>
      </c>
      <c r="P1077" s="100">
        <f>IF('Net zero activities &amp; levers'!$C$14="Off",('Activity data'!AI15*EF!$H14)*kgtoGg,IF('Net zero activities &amp; levers'!$C$14="On",('Net zero Activity data'!AI15*EF!$H14)*kgtoGg,"ERROR"))</f>
        <v>5.5473985576087426</v>
      </c>
      <c r="Q1077" s="100">
        <f>IF('Net zero activities &amp; levers'!$C$14="Off",('Activity data'!AJ15*EF!$H14)*kgtoGg,IF('Net zero activities &amp; levers'!$C$14="On",('Net zero Activity data'!AJ15*EF!$H14)*kgtoGg,"ERROR"))</f>
        <v>5.5391504700870771</v>
      </c>
      <c r="R1077" s="100">
        <f>IF('Net zero activities &amp; levers'!$C$14="Off",('Activity data'!AK15*EF!$H14)*kgtoGg,IF('Net zero activities &amp; levers'!$C$14="On",('Net zero Activity data'!AK15*EF!$H14)*kgtoGg,"ERROR"))</f>
        <v>5.4993657963463365</v>
      </c>
      <c r="S1077" s="100">
        <f>IF('Net zero activities &amp; levers'!$C$14="Off",('Activity data'!AL15*EF!$H14)*kgtoGg,IF('Net zero activities &amp; levers'!$C$14="On",('Net zero Activity data'!AL15*EF!$H14)*kgtoGg,"ERROR"))</f>
        <v>5.1779141846798922</v>
      </c>
      <c r="T1077" s="100">
        <f>IF('Net zero activities &amp; levers'!$C$14="Off",('Activity data'!AM15*EF!$H14)*kgtoGg,IF('Net zero activities &amp; levers'!$C$14="On",('Net zero Activity data'!AM15*EF!$H14)*kgtoGg,"ERROR"))</f>
        <v>5.2234365031656678</v>
      </c>
      <c r="U1077" s="100">
        <f>IF('Net zero activities &amp; levers'!$C$14="Off",('Activity data'!AN15*EF!$H14)*kgtoGg,IF('Net zero activities &amp; levers'!$C$14="On",('Net zero Activity data'!AN15*EF!$H14)*kgtoGg,"ERROR"))</f>
        <v>5.2607139869862687</v>
      </c>
      <c r="V1077" s="100">
        <f>IF('Net zero activities &amp; levers'!$C$14="Off",('Activity data'!AO15*EF!$H14)*kgtoGg,IF('Net zero activities &amp; levers'!$C$14="On",('Net zero Activity data'!AO15*EF!$H14)*kgtoGg,"ERROR"))</f>
        <v>5.2972378917474705</v>
      </c>
      <c r="W1077" s="100">
        <f>IF('Net zero activities &amp; levers'!$C$14="Off",('Activity data'!AP15*EF!$H14)*kgtoGg,IF('Net zero activities &amp; levers'!$C$14="On",('Net zero Activity data'!AP15*EF!$H14)*kgtoGg,"ERROR"))</f>
        <v>5.3445893517249541</v>
      </c>
      <c r="X1077" s="100">
        <f>IF('Net zero activities &amp; levers'!$C$14="Off",('Activity data'!AQ15*EF!$H14)*kgtoGg,IF('Net zero activities &amp; levers'!$C$14="On",('Net zero Activity data'!AQ15*EF!$H14)*kgtoGg,"ERROR"))</f>
        <v>5.391074742094033</v>
      </c>
      <c r="Y1077" s="100">
        <f>IF('Net zero activities &amp; levers'!$C$14="Off",('Activity data'!AR15*EF!$H14)*kgtoGg,IF('Net zero activities &amp; levers'!$C$14="On",('Net zero Activity data'!AR15*EF!$H14)*kgtoGg,"ERROR"))</f>
        <v>5.4443279456237095</v>
      </c>
      <c r="Z1077" s="100">
        <f>IF('Net zero activities &amp; levers'!$C$14="Off",('Activity data'!AS15*EF!$H14)*kgtoGg,IF('Net zero activities &amp; levers'!$C$14="On",('Net zero Activity data'!AS15*EF!$H14)*kgtoGg,"ERROR"))</f>
        <v>5.4941146702747297</v>
      </c>
      <c r="AA1077" s="100">
        <f>IF('Net zero activities &amp; levers'!$C$14="Off",('Activity data'!AT15*EF!$H14)*kgtoGg,IF('Net zero activities &amp; levers'!$C$14="On",('Net zero Activity data'!AT15*EF!$H14)*kgtoGg,"ERROR"))</f>
        <v>5.5476702009922301</v>
      </c>
      <c r="AB1077" s="100">
        <f>IF('Net zero activities &amp; levers'!$C$14="Off",('Activity data'!AU15*EF!$H14)*kgtoGg,IF('Net zero activities &amp; levers'!$C$14="On",('Net zero Activity data'!AU15*EF!$H14)*kgtoGg,"ERROR"))</f>
        <v>5.5951924858009336</v>
      </c>
      <c r="AC1077" s="100">
        <f>IF('Net zero activities &amp; levers'!$C$14="Off",('Activity data'!AV15*EF!$H14)*kgtoGg,IF('Net zero activities &amp; levers'!$C$14="On",('Net zero Activity data'!AV15*EF!$H14)*kgtoGg,"ERROR"))</f>
        <v>5.6435970948645044</v>
      </c>
      <c r="AD1077" s="100">
        <f>IF('Net zero activities &amp; levers'!$C$14="Off",('Activity data'!AW15*EF!$H14)*kgtoGg,IF('Net zero activities &amp; levers'!$C$14="On",('Net zero Activity data'!AW15*EF!$H14)*kgtoGg,"ERROR"))</f>
        <v>5.7106381367284076</v>
      </c>
      <c r="AE1077" s="100">
        <f>IF('Net zero activities &amp; levers'!$C$14="Off",('Activity data'!AX15*EF!$H14)*kgtoGg,IF('Net zero activities &amp; levers'!$C$14="On",('Net zero Activity data'!AX15*EF!$H14)*kgtoGg,"ERROR"))</f>
        <v>5.7837954436426573</v>
      </c>
      <c r="AF1077" s="100">
        <f>IF('Net zero activities &amp; levers'!$C$14="Off",('Activity data'!AY15*EF!$H14)*kgtoGg,IF('Net zero activities &amp; levers'!$C$14="On",('Net zero Activity data'!AY15*EF!$H14)*kgtoGg,"ERROR"))</f>
        <v>5.8590224803991617</v>
      </c>
      <c r="AG1077" s="100">
        <f>IF('Net zero activities &amp; levers'!$C$14="Off",('Activity data'!AZ15*EF!$H14)*kgtoGg,IF('Net zero activities &amp; levers'!$C$14="On",('Net zero Activity data'!AZ15*EF!$H14)*kgtoGg,"ERROR"))</f>
        <v>5.8483213454344947</v>
      </c>
      <c r="AH1077" s="100">
        <f>IF('Net zero activities &amp; levers'!$C$14="Off",('Activity data'!BA15*EF!$H14)*kgtoGg,IF('Net zero activities &amp; levers'!$C$14="On",('Net zero Activity data'!BA15*EF!$H14)*kgtoGg,"ERROR"))</f>
        <v>1.7304204380446728</v>
      </c>
      <c r="AI1077" s="100">
        <f>IF('Net zero activities &amp; levers'!$C$14="Off",('Activity data'!BB15*EF!$H14)*kgtoGg,IF('Net zero activities &amp; levers'!$C$14="On",('Net zero Activity data'!BB15*EF!$H14)*kgtoGg,"ERROR"))</f>
        <v>1.7304204380446728</v>
      </c>
      <c r="AJ1077" s="100">
        <f>IF('Net zero activities &amp; levers'!$C$14="Off",('Activity data'!BC15*EF!$H14)*kgtoGg,IF('Net zero activities &amp; levers'!$C$14="On",('Net zero Activity data'!BC15*EF!$H14)*kgtoGg,"ERROR"))</f>
        <v>1.7304204380446728</v>
      </c>
      <c r="AK1077" s="100">
        <f>IF('Net zero activities &amp; levers'!$C$14="Off",('Activity data'!BD15*EF!$H14)*kgtoGg,IF('Net zero activities &amp; levers'!$C$14="On",('Net zero Activity data'!BD15*EF!$H14)*kgtoGg,"ERROR"))</f>
        <v>1.7304204380446728</v>
      </c>
      <c r="AL1077" s="100">
        <f>IF('Net zero activities &amp; levers'!$C$14="Off",('Activity data'!BE15*EF!$H14)*kgtoGg,IF('Net zero activities &amp; levers'!$C$14="On",('Net zero Activity data'!BE15*EF!$H14)*kgtoGg,"ERROR"))</f>
        <v>1.7304204380446728</v>
      </c>
      <c r="AM1077" s="100">
        <f>IF('Net zero activities &amp; levers'!$C$14="Off",('Activity data'!BF15*EF!$H14)*kgtoGg,IF('Net zero activities &amp; levers'!$C$14="On",('Net zero Activity data'!BF15*EF!$H14)*kgtoGg,"ERROR"))</f>
        <v>1.7304204380446728</v>
      </c>
      <c r="AN1077" s="100">
        <f>IF('Net zero activities &amp; levers'!$C$14="Off",('Activity data'!BG15*EF!$H14)*kgtoGg,IF('Net zero activities &amp; levers'!$C$14="On",('Net zero Activity data'!BG15*EF!$H14)*kgtoGg,"ERROR"))</f>
        <v>1.7304204380446728</v>
      </c>
      <c r="AO1077" s="100">
        <f>IF('Net zero activities &amp; levers'!$C$14="Off",('Activity data'!BH15*EF!$H14)*kgtoGg,IF('Net zero activities &amp; levers'!$C$14="On",('Net zero Activity data'!BH15*EF!$H14)*kgtoGg,"ERROR"))</f>
        <v>1.7304204380446728</v>
      </c>
      <c r="AP1077" s="100">
        <f>IF('Net zero activities &amp; levers'!$C$14="Off",('Activity data'!BI15*EF!$H14)*kgtoGg,IF('Net zero activities &amp; levers'!$C$14="On",('Net zero Activity data'!BI15*EF!$H14)*kgtoGg,"ERROR"))</f>
        <v>1.7304204380446728</v>
      </c>
      <c r="AQ1077" s="100">
        <f>IF('Net zero activities &amp; levers'!$C$14="Off",('Activity data'!BJ15*EF!$H14)*kgtoGg,IF('Net zero activities &amp; levers'!$C$14="On",('Net zero Activity data'!BJ15*EF!$H14)*kgtoGg,"ERROR"))</f>
        <v>1.7304204380446728</v>
      </c>
      <c r="AR1077" s="100">
        <f>IF('Net zero activities &amp; levers'!$C$14="Off",('Activity data'!BK15*EF!$H14)*kgtoGg,IF('Net zero activities &amp; levers'!$C$14="On",('Net zero Activity data'!BK15*EF!$H14)*kgtoGg,"ERROR"))</f>
        <v>1.7304204380446728</v>
      </c>
      <c r="AS1077" s="100">
        <f>IF('Net zero activities &amp; levers'!$C$14="Off",('Activity data'!BL15*EF!$H14)*kgtoGg,IF('Net zero activities &amp; levers'!$C$14="On",('Net zero Activity data'!BL15*EF!$H14)*kgtoGg,"ERROR"))</f>
        <v>1.7304204380446728</v>
      </c>
      <c r="AT1077" s="100">
        <f>IF('Net zero activities &amp; levers'!$C$14="Off",('Activity data'!BM15*EF!$H14)*kgtoGg,IF('Net zero activities &amp; levers'!$C$14="On",('Net zero Activity data'!BM15*EF!$H14)*kgtoGg,"ERROR"))</f>
        <v>1.7304204380446728</v>
      </c>
      <c r="AU1077" s="100">
        <f>IF('Net zero activities &amp; levers'!$C$14="Off",('Activity data'!BN15*EF!$H14)*kgtoGg,IF('Net zero activities &amp; levers'!$C$14="On",('Net zero Activity data'!BN15*EF!$H14)*kgtoGg,"ERROR"))</f>
        <v>1.7304204380446728</v>
      </c>
      <c r="AV1077" s="100">
        <f>IF('Net zero activities &amp; levers'!$C$14="Off",('Activity data'!BO15*EF!$H14)*kgtoGg,IF('Net zero activities &amp; levers'!$C$14="On",('Net zero Activity data'!BO15*EF!$H14)*kgtoGg,"ERROR"))</f>
        <v>1.7304204380446728</v>
      </c>
      <c r="AW1077" s="100">
        <f>IF('Net zero activities &amp; levers'!$C$14="Off",('Activity data'!BP15*EF!$H14)*kgtoGg,IF('Net zero activities &amp; levers'!$C$14="On",('Net zero Activity data'!BP15*EF!$H14)*kgtoGg,"ERROR"))</f>
        <v>1.7304204380446728</v>
      </c>
      <c r="AY1077" s="85"/>
    </row>
    <row r="1078" spans="1:51" x14ac:dyDescent="0.25">
      <c r="A1078" s="102" t="str">
        <f t="shared" si="373"/>
        <v>CM Mules&amp;Asses</v>
      </c>
      <c r="B1078" s="102" t="s">
        <v>1323</v>
      </c>
      <c r="C1078" s="102" t="s">
        <v>1324</v>
      </c>
      <c r="D1078" t="s">
        <v>15</v>
      </c>
      <c r="E1078" t="s">
        <v>16</v>
      </c>
      <c r="F1078" t="s">
        <v>140</v>
      </c>
      <c r="G1078" t="s">
        <v>124</v>
      </c>
      <c r="H1078" t="s">
        <v>1021</v>
      </c>
      <c r="I1078" t="s">
        <v>121</v>
      </c>
      <c r="J1078" t="s">
        <v>286</v>
      </c>
      <c r="K1078" s="100">
        <f>IF('Net zero activities &amp; levers'!$C$14="Off",('Activity data'!AD16*EF!$H15)*kgtoGg,IF('Net zero activities &amp; levers'!$C$14="On",('Net zero Activity data'!AD16*EF!$H15)*kgtoGg,"ERROR"))</f>
        <v>1.67</v>
      </c>
      <c r="L1078" s="100">
        <f>IF('Net zero activities &amp; levers'!$C$14="Off",('Activity data'!AE16*EF!$H15)*kgtoGg,IF('Net zero activities &amp; levers'!$C$14="On",('Net zero Activity data'!AE16*EF!$H15)*kgtoGg,"ERROR"))</f>
        <v>1.67</v>
      </c>
      <c r="M1078" s="100">
        <f>IF('Net zero activities &amp; levers'!$C$14="Off",('Activity data'!AF16*EF!$H15)*kgtoGg,IF('Net zero activities &amp; levers'!$C$14="On",('Net zero Activity data'!AF16*EF!$H15)*kgtoGg,"ERROR"))</f>
        <v>1.67</v>
      </c>
      <c r="N1078" s="100">
        <f>IF('Net zero activities &amp; levers'!$C$14="Off",('Activity data'!AG16*EF!$H15)*kgtoGg,IF('Net zero activities &amp; levers'!$C$14="On",('Net zero Activity data'!AG16*EF!$H15)*kgtoGg,"ERROR"))</f>
        <v>1.67</v>
      </c>
      <c r="O1078" s="100">
        <f>IF('Net zero activities &amp; levers'!$C$14="Off",('Activity data'!AH16*EF!$H15)*kgtoGg,IF('Net zero activities &amp; levers'!$C$14="On",('Net zero Activity data'!AH16*EF!$H15)*kgtoGg,"ERROR"))</f>
        <v>1.67</v>
      </c>
      <c r="P1078" s="100">
        <f>IF('Net zero activities &amp; levers'!$C$14="Off",('Activity data'!AI16*EF!$H15)*kgtoGg,IF('Net zero activities &amp; levers'!$C$14="On",('Net zero Activity data'!AI16*EF!$H15)*kgtoGg,"ERROR"))</f>
        <v>1.67</v>
      </c>
      <c r="Q1078" s="100">
        <f>IF('Net zero activities &amp; levers'!$C$14="Off",('Activity data'!AJ16*EF!$H15)*kgtoGg,IF('Net zero activities &amp; levers'!$C$14="On",('Net zero Activity data'!AJ16*EF!$H15)*kgtoGg,"ERROR"))</f>
        <v>1.67</v>
      </c>
      <c r="R1078" s="100">
        <f>IF('Net zero activities &amp; levers'!$C$14="Off",('Activity data'!AK16*EF!$H15)*kgtoGg,IF('Net zero activities &amp; levers'!$C$14="On",('Net zero Activity data'!AK16*EF!$H15)*kgtoGg,"ERROR"))</f>
        <v>1.67</v>
      </c>
      <c r="S1078" s="100">
        <f>IF('Net zero activities &amp; levers'!$C$14="Off",('Activity data'!AL16*EF!$H15)*kgtoGg,IF('Net zero activities &amp; levers'!$C$14="On",('Net zero Activity data'!AL16*EF!$H15)*kgtoGg,"ERROR"))</f>
        <v>1.67</v>
      </c>
      <c r="T1078" s="100">
        <f>IF('Net zero activities &amp; levers'!$C$14="Off",('Activity data'!AM16*EF!$H15)*kgtoGg,IF('Net zero activities &amp; levers'!$C$14="On",('Net zero Activity data'!AM16*EF!$H15)*kgtoGg,"ERROR"))</f>
        <v>1.67</v>
      </c>
      <c r="U1078" s="100">
        <f>IF('Net zero activities &amp; levers'!$C$14="Off",('Activity data'!AN16*EF!$H15)*kgtoGg,IF('Net zero activities &amp; levers'!$C$14="On",('Net zero Activity data'!AN16*EF!$H15)*kgtoGg,"ERROR"))</f>
        <v>1.67</v>
      </c>
      <c r="V1078" s="100">
        <f>IF('Net zero activities &amp; levers'!$C$14="Off",('Activity data'!AO16*EF!$H15)*kgtoGg,IF('Net zero activities &amp; levers'!$C$14="On",('Net zero Activity data'!AO16*EF!$H15)*kgtoGg,"ERROR"))</f>
        <v>1.67</v>
      </c>
      <c r="W1078" s="100">
        <f>IF('Net zero activities &amp; levers'!$C$14="Off",('Activity data'!AP16*EF!$H15)*kgtoGg,IF('Net zero activities &amp; levers'!$C$14="On",('Net zero Activity data'!AP16*EF!$H15)*kgtoGg,"ERROR"))</f>
        <v>1.67</v>
      </c>
      <c r="X1078" s="100">
        <f>IF('Net zero activities &amp; levers'!$C$14="Off",('Activity data'!AQ16*EF!$H15)*kgtoGg,IF('Net zero activities &amp; levers'!$C$14="On",('Net zero Activity data'!AQ16*EF!$H15)*kgtoGg,"ERROR"))</f>
        <v>1.67</v>
      </c>
      <c r="Y1078" s="100">
        <f>IF('Net zero activities &amp; levers'!$C$14="Off",('Activity data'!AR16*EF!$H15)*kgtoGg,IF('Net zero activities &amp; levers'!$C$14="On",('Net zero Activity data'!AR16*EF!$H15)*kgtoGg,"ERROR"))</f>
        <v>1.67</v>
      </c>
      <c r="Z1078" s="100">
        <f>IF('Net zero activities &amp; levers'!$C$14="Off",('Activity data'!AS16*EF!$H15)*kgtoGg,IF('Net zero activities &amp; levers'!$C$14="On",('Net zero Activity data'!AS16*EF!$H15)*kgtoGg,"ERROR"))</f>
        <v>1.67</v>
      </c>
      <c r="AA1078" s="100">
        <f>IF('Net zero activities &amp; levers'!$C$14="Off",('Activity data'!AT16*EF!$H15)*kgtoGg,IF('Net zero activities &amp; levers'!$C$14="On",('Net zero Activity data'!AT16*EF!$H15)*kgtoGg,"ERROR"))</f>
        <v>1.67</v>
      </c>
      <c r="AB1078" s="100">
        <f>IF('Net zero activities &amp; levers'!$C$14="Off",('Activity data'!AU16*EF!$H15)*kgtoGg,IF('Net zero activities &amp; levers'!$C$14="On",('Net zero Activity data'!AU16*EF!$H15)*kgtoGg,"ERROR"))</f>
        <v>1.67</v>
      </c>
      <c r="AC1078" s="100">
        <f>IF('Net zero activities &amp; levers'!$C$14="Off",('Activity data'!AV16*EF!$H15)*kgtoGg,IF('Net zero activities &amp; levers'!$C$14="On",('Net zero Activity data'!AV16*EF!$H15)*kgtoGg,"ERROR"))</f>
        <v>1.67</v>
      </c>
      <c r="AD1078" s="100">
        <f>IF('Net zero activities &amp; levers'!$C$14="Off",('Activity data'!AW16*EF!$H15)*kgtoGg,IF('Net zero activities &amp; levers'!$C$14="On",('Net zero Activity data'!AW16*EF!$H15)*kgtoGg,"ERROR"))</f>
        <v>1.67</v>
      </c>
      <c r="AE1078" s="100">
        <f>IF('Net zero activities &amp; levers'!$C$14="Off",('Activity data'!AX16*EF!$H15)*kgtoGg,IF('Net zero activities &amp; levers'!$C$14="On",('Net zero Activity data'!AX16*EF!$H15)*kgtoGg,"ERROR"))</f>
        <v>1.67</v>
      </c>
      <c r="AF1078" s="100">
        <f>IF('Net zero activities &amp; levers'!$C$14="Off",('Activity data'!AY16*EF!$H15)*kgtoGg,IF('Net zero activities &amp; levers'!$C$14="On",('Net zero Activity data'!AY16*EF!$H15)*kgtoGg,"ERROR"))</f>
        <v>1.67</v>
      </c>
      <c r="AG1078" s="100">
        <f>IF('Net zero activities &amp; levers'!$C$14="Off",('Activity data'!AZ16*EF!$H15)*kgtoGg,IF('Net zero activities &amp; levers'!$C$14="On",('Net zero Activity data'!AZ16*EF!$H15)*kgtoGg,"ERROR"))</f>
        <v>1.67</v>
      </c>
      <c r="AH1078" s="100">
        <f>IF('Net zero activities &amp; levers'!$C$14="Off",('Activity data'!BA16*EF!$H15)*kgtoGg,IF('Net zero activities &amp; levers'!$C$14="On",('Net zero Activity data'!BA16*EF!$H15)*kgtoGg,"ERROR"))</f>
        <v>1.67</v>
      </c>
      <c r="AI1078" s="100">
        <f>IF('Net zero activities &amp; levers'!$C$14="Off",('Activity data'!BB16*EF!$H15)*kgtoGg,IF('Net zero activities &amp; levers'!$C$14="On",('Net zero Activity data'!BB16*EF!$H15)*kgtoGg,"ERROR"))</f>
        <v>1.67</v>
      </c>
      <c r="AJ1078" s="100">
        <f>IF('Net zero activities &amp; levers'!$C$14="Off",('Activity data'!BC16*EF!$H15)*kgtoGg,IF('Net zero activities &amp; levers'!$C$14="On",('Net zero Activity data'!BC16*EF!$H15)*kgtoGg,"ERROR"))</f>
        <v>1.67</v>
      </c>
      <c r="AK1078" s="100">
        <f>IF('Net zero activities &amp; levers'!$C$14="Off",('Activity data'!BD16*EF!$H15)*kgtoGg,IF('Net zero activities &amp; levers'!$C$14="On",('Net zero Activity data'!BD16*EF!$H15)*kgtoGg,"ERROR"))</f>
        <v>1.67</v>
      </c>
      <c r="AL1078" s="100">
        <f>IF('Net zero activities &amp; levers'!$C$14="Off",('Activity data'!BE16*EF!$H15)*kgtoGg,IF('Net zero activities &amp; levers'!$C$14="On",('Net zero Activity data'!BE16*EF!$H15)*kgtoGg,"ERROR"))</f>
        <v>1.67</v>
      </c>
      <c r="AM1078" s="100">
        <f>IF('Net zero activities &amp; levers'!$C$14="Off",('Activity data'!BF16*EF!$H15)*kgtoGg,IF('Net zero activities &amp; levers'!$C$14="On",('Net zero Activity data'!BF16*EF!$H15)*kgtoGg,"ERROR"))</f>
        <v>1.67</v>
      </c>
      <c r="AN1078" s="100">
        <f>IF('Net zero activities &amp; levers'!$C$14="Off",('Activity data'!BG16*EF!$H15)*kgtoGg,IF('Net zero activities &amp; levers'!$C$14="On",('Net zero Activity data'!BG16*EF!$H15)*kgtoGg,"ERROR"))</f>
        <v>1.67</v>
      </c>
      <c r="AO1078" s="100">
        <f>IF('Net zero activities &amp; levers'!$C$14="Off",('Activity data'!BH16*EF!$H15)*kgtoGg,IF('Net zero activities &amp; levers'!$C$14="On",('Net zero Activity data'!BH16*EF!$H15)*kgtoGg,"ERROR"))</f>
        <v>1.67</v>
      </c>
      <c r="AP1078" s="100">
        <f>IF('Net zero activities &amp; levers'!$C$14="Off",('Activity data'!BI16*EF!$H15)*kgtoGg,IF('Net zero activities &amp; levers'!$C$14="On",('Net zero Activity data'!BI16*EF!$H15)*kgtoGg,"ERROR"))</f>
        <v>1.67</v>
      </c>
      <c r="AQ1078" s="100">
        <f>IF('Net zero activities &amp; levers'!$C$14="Off",('Activity data'!BJ16*EF!$H15)*kgtoGg,IF('Net zero activities &amp; levers'!$C$14="On",('Net zero Activity data'!BJ16*EF!$H15)*kgtoGg,"ERROR"))</f>
        <v>1.67</v>
      </c>
      <c r="AR1078" s="100">
        <f>IF('Net zero activities &amp; levers'!$C$14="Off",('Activity data'!BK16*EF!$H15)*kgtoGg,IF('Net zero activities &amp; levers'!$C$14="On",('Net zero Activity data'!BK16*EF!$H15)*kgtoGg,"ERROR"))</f>
        <v>1.67</v>
      </c>
      <c r="AS1078" s="100">
        <f>IF('Net zero activities &amp; levers'!$C$14="Off",('Activity data'!BL16*EF!$H15)*kgtoGg,IF('Net zero activities &amp; levers'!$C$14="On",('Net zero Activity data'!BL16*EF!$H15)*kgtoGg,"ERROR"))</f>
        <v>1.67</v>
      </c>
      <c r="AT1078" s="100">
        <f>IF('Net zero activities &amp; levers'!$C$14="Off",('Activity data'!BM16*EF!$H15)*kgtoGg,IF('Net zero activities &amp; levers'!$C$14="On",('Net zero Activity data'!BM16*EF!$H15)*kgtoGg,"ERROR"))</f>
        <v>1.67</v>
      </c>
      <c r="AU1078" s="100">
        <f>IF('Net zero activities &amp; levers'!$C$14="Off",('Activity data'!BN16*EF!$H15)*kgtoGg,IF('Net zero activities &amp; levers'!$C$14="On",('Net zero Activity data'!BN16*EF!$H15)*kgtoGg,"ERROR"))</f>
        <v>1.67</v>
      </c>
      <c r="AV1078" s="100">
        <f>IF('Net zero activities &amp; levers'!$C$14="Off",('Activity data'!BO16*EF!$H15)*kgtoGg,IF('Net zero activities &amp; levers'!$C$14="On",('Net zero Activity data'!BO16*EF!$H15)*kgtoGg,"ERROR"))</f>
        <v>1.67</v>
      </c>
      <c r="AW1078" s="100">
        <f>IF('Net zero activities &amp; levers'!$C$14="Off",('Activity data'!BP16*EF!$H15)*kgtoGg,IF('Net zero activities &amp; levers'!$C$14="On",('Net zero Activity data'!BP16*EF!$H15)*kgtoGg,"ERROR"))</f>
        <v>1.67</v>
      </c>
      <c r="AY1078" s="85"/>
    </row>
    <row r="1079" spans="1:51" x14ac:dyDescent="0.25">
      <c r="A1079" s="102" t="str">
        <f t="shared" si="373"/>
        <v>CM Swine</v>
      </c>
      <c r="B1079" s="102" t="s">
        <v>1323</v>
      </c>
      <c r="C1079" s="102" t="s">
        <v>155</v>
      </c>
      <c r="D1079" t="s">
        <v>15</v>
      </c>
      <c r="E1079" t="s">
        <v>16</v>
      </c>
      <c r="F1079" t="s">
        <v>21</v>
      </c>
      <c r="G1079" t="s">
        <v>122</v>
      </c>
      <c r="H1079" t="s">
        <v>1021</v>
      </c>
      <c r="I1079" t="s">
        <v>121</v>
      </c>
      <c r="J1079" t="s">
        <v>286</v>
      </c>
      <c r="K1079" s="100">
        <f>IF('Net zero activities &amp; levers'!$C$14="Off",('Activity data'!AD17*EF!$H16)*kgtoGg,IF('Net zero activities &amp; levers'!$C$14="On",('Net zero Activity data'!AD17*EF!$H16)*kgtoGg,"ERROR"))</f>
        <v>1.8541666894574054</v>
      </c>
      <c r="L1079" s="100">
        <f>IF('Net zero activities &amp; levers'!$C$14="Off",('Activity data'!AE17*EF!$H16)*kgtoGg,IF('Net zero activities &amp; levers'!$C$14="On",('Net zero Activity data'!AE17*EF!$H16)*kgtoGg,"ERROR"))</f>
        <v>1.8483142649538657</v>
      </c>
      <c r="M1079" s="100">
        <f>IF('Net zero activities &amp; levers'!$C$14="Off",('Activity data'!AF17*EF!$H16)*kgtoGg,IF('Net zero activities &amp; levers'!$C$14="On",('Net zero Activity data'!AF17*EF!$H16)*kgtoGg,"ERROR"))</f>
        <v>1.8289603412170248</v>
      </c>
      <c r="N1079" s="100">
        <f>IF('Net zero activities &amp; levers'!$C$14="Off",('Activity data'!AG17*EF!$H16)*kgtoGg,IF('Net zero activities &amp; levers'!$C$14="On",('Net zero Activity data'!AG17*EF!$H16)*kgtoGg,"ERROR"))</f>
        <v>1.7913821949145237</v>
      </c>
      <c r="O1079" s="100">
        <f>IF('Net zero activities &amp; levers'!$C$14="Off",('Activity data'!AH17*EF!$H16)*kgtoGg,IF('Net zero activities &amp; levers'!$C$14="On",('Net zero Activity data'!AH17*EF!$H16)*kgtoGg,"ERROR"))</f>
        <v>1.7554482253507835</v>
      </c>
      <c r="P1079" s="100">
        <f>IF('Net zero activities &amp; levers'!$C$14="Off",('Activity data'!AI17*EF!$H16)*kgtoGg,IF('Net zero activities &amp; levers'!$C$14="On",('Net zero Activity data'!AI17*EF!$H16)*kgtoGg,"ERROR"))</f>
        <v>1.7302400840947183</v>
      </c>
      <c r="Q1079" s="100">
        <f>IF('Net zero activities &amp; levers'!$C$14="Off",('Activity data'!AJ17*EF!$H16)*kgtoGg,IF('Net zero activities &amp; levers'!$C$14="On",('Net zero Activity data'!AJ17*EF!$H16)*kgtoGg,"ERROR"))</f>
        <v>1.708890891068684</v>
      </c>
      <c r="R1079" s="100">
        <f>IF('Net zero activities &amp; levers'!$C$14="Off",('Activity data'!AK17*EF!$H16)*kgtoGg,IF('Net zero activities &amp; levers'!$C$14="On",('Net zero Activity data'!AK17*EF!$H16)*kgtoGg,"ERROR"))</f>
        <v>1.6695786047731636</v>
      </c>
      <c r="S1079" s="100">
        <f>IF('Net zero activities &amp; levers'!$C$14="Off",('Activity data'!AL17*EF!$H16)*kgtoGg,IF('Net zero activities &amp; levers'!$C$14="On",('Net zero Activity data'!AL17*EF!$H16)*kgtoGg,"ERROR"))</f>
        <v>1.4615896404106821</v>
      </c>
      <c r="T1079" s="100">
        <f>IF('Net zero activities &amp; levers'!$C$14="Off",('Activity data'!AM17*EF!$H16)*kgtoGg,IF('Net zero activities &amp; levers'!$C$14="On",('Net zero Activity data'!AM17*EF!$H16)*kgtoGg,"ERROR"))</f>
        <v>1.4708774478581006</v>
      </c>
      <c r="U1079" s="100">
        <f>IF('Net zero activities &amp; levers'!$C$14="Off",('Activity data'!AN17*EF!$H16)*kgtoGg,IF('Net zero activities &amp; levers'!$C$14="On",('Net zero Activity data'!AN17*EF!$H16)*kgtoGg,"ERROR"))</f>
        <v>1.475539546686083</v>
      </c>
      <c r="V1079" s="100">
        <f>IF('Net zero activities &amp; levers'!$C$14="Off",('Activity data'!AO17*EF!$H16)*kgtoGg,IF('Net zero activities &amp; levers'!$C$14="On",('Net zero Activity data'!AO17*EF!$H16)*kgtoGg,"ERROR"))</f>
        <v>1.4800720193256183</v>
      </c>
      <c r="W1079" s="100">
        <f>IF('Net zero activities &amp; levers'!$C$14="Off",('Activity data'!AP17*EF!$H16)*kgtoGg,IF('Net zero activities &amp; levers'!$C$14="On",('Net zero Activity data'!AP17*EF!$H16)*kgtoGg,"ERROR"))</f>
        <v>1.4911430483593251</v>
      </c>
      <c r="X1079" s="100">
        <f>IF('Net zero activities &amp; levers'!$C$14="Off",('Activity data'!AQ17*EF!$H16)*kgtoGg,IF('Net zero activities &amp; levers'!$C$14="On",('Net zero Activity data'!AQ17*EF!$H16)*kgtoGg,"ERROR"))</f>
        <v>1.5018418879535562</v>
      </c>
      <c r="Y1079" s="100">
        <f>IF('Net zero activities &amp; levers'!$C$14="Off",('Activity data'!AR17*EF!$H16)*kgtoGg,IF('Net zero activities &amp; levers'!$C$14="On",('Net zero Activity data'!AR17*EF!$H16)*kgtoGg,"ERROR"))</f>
        <v>1.5141161979930053</v>
      </c>
      <c r="Z1079" s="100">
        <f>IF('Net zero activities &amp; levers'!$C$14="Off",('Activity data'!AS17*EF!$H16)*kgtoGg,IF('Net zero activities &amp; levers'!$C$14="On",('Net zero Activity data'!AS17*EF!$H16)*kgtoGg,"ERROR"))</f>
        <v>1.5244186206157291</v>
      </c>
      <c r="AA1079" s="100">
        <f>IF('Net zero activities &amp; levers'!$C$14="Off",('Activity data'!AT17*EF!$H16)*kgtoGg,IF('Net zero activities &amp; levers'!$C$14="On",('Net zero Activity data'!AT17*EF!$H16)*kgtoGg,"ERROR"))</f>
        <v>1.5367997357970316</v>
      </c>
      <c r="AB1079" s="100">
        <f>IF('Net zero activities &amp; levers'!$C$14="Off",('Activity data'!AU17*EF!$H16)*kgtoGg,IF('Net zero activities &amp; levers'!$C$14="On",('Net zero Activity data'!AU17*EF!$H16)*kgtoGg,"ERROR"))</f>
        <v>1.5458124762264192</v>
      </c>
      <c r="AC1079" s="100">
        <f>IF('Net zero activities &amp; levers'!$C$14="Off",('Activity data'!AV17*EF!$H16)*kgtoGg,IF('Net zero activities &amp; levers'!$C$14="On",('Net zero Activity data'!AV17*EF!$H16)*kgtoGg,"ERROR"))</f>
        <v>1.5552930899763542</v>
      </c>
      <c r="AD1079" s="100">
        <f>IF('Net zero activities &amp; levers'!$C$14="Off",('Activity data'!AW17*EF!$H16)*kgtoGg,IF('Net zero activities &amp; levers'!$C$14="On",('Net zero Activity data'!AW17*EF!$H16)*kgtoGg,"ERROR"))</f>
        <v>1.5727795493180676</v>
      </c>
      <c r="AE1079" s="100">
        <f>IF('Net zero activities &amp; levers'!$C$14="Off",('Activity data'!AX17*EF!$H16)*kgtoGg,IF('Net zero activities &amp; levers'!$C$14="On",('Net zero Activity data'!AX17*EF!$H16)*kgtoGg,"ERROR"))</f>
        <v>1.5932065886725237</v>
      </c>
      <c r="AF1079" s="100">
        <f>IF('Net zero activities &amp; levers'!$C$14="Off",('Activity data'!AY17*EF!$H16)*kgtoGg,IF('Net zero activities &amp; levers'!$C$14="On",('Net zero Activity data'!AY17*EF!$H16)*kgtoGg,"ERROR"))</f>
        <v>1.61434489246593</v>
      </c>
      <c r="AG1079" s="100">
        <f>IF('Net zero activities &amp; levers'!$C$14="Off",('Activity data'!AZ17*EF!$H16)*kgtoGg,IF('Net zero activities &amp; levers'!$C$14="On",('Net zero Activity data'!AZ17*EF!$H16)*kgtoGg,"ERROR"))</f>
        <v>1.5905873244414643</v>
      </c>
      <c r="AH1079" s="100">
        <f>IF('Net zero activities &amp; levers'!$C$14="Off",('Activity data'!BA17*EF!$H16)*kgtoGg,IF('Net zero activities &amp; levers'!$C$14="On",('Net zero Activity data'!BA17*EF!$H16)*kgtoGg,"ERROR"))</f>
        <v>-0.53667602659003</v>
      </c>
      <c r="AI1079" s="100">
        <f>IF('Net zero activities &amp; levers'!$C$14="Off",('Activity data'!BB17*EF!$H16)*kgtoGg,IF('Net zero activities &amp; levers'!$C$14="On",('Net zero Activity data'!BB17*EF!$H16)*kgtoGg,"ERROR"))</f>
        <v>-0.53080565769123822</v>
      </c>
      <c r="AJ1079" s="100">
        <f>IF('Net zero activities &amp; levers'!$C$14="Off",('Activity data'!BC17*EF!$H16)*kgtoGg,IF('Net zero activities &amp; levers'!$C$14="On",('Net zero Activity data'!BC17*EF!$H16)*kgtoGg,"ERROR"))</f>
        <v>-0.52506102374348274</v>
      </c>
      <c r="AK1079" s="100">
        <f>IF('Net zero activities &amp; levers'!$C$14="Off",('Activity data'!BD17*EF!$H16)*kgtoGg,IF('Net zero activities &amp; levers'!$C$14="On",('Net zero Activity data'!BD17*EF!$H16)*kgtoGg,"ERROR"))</f>
        <v>-0.51943389932430173</v>
      </c>
      <c r="AL1079" s="100">
        <f>IF('Net zero activities &amp; levers'!$C$14="Off",('Activity data'!BE17*EF!$H16)*kgtoGg,IF('Net zero activities &amp; levers'!$C$14="On",('Net zero Activity data'!BE17*EF!$H16)*kgtoGg,"ERROR"))</f>
        <v>-0.51391666127760161</v>
      </c>
      <c r="AM1079" s="100">
        <f>IF('Net zero activities &amp; levers'!$C$14="Off",('Activity data'!BF17*EF!$H16)*kgtoGg,IF('Net zero activities &amp; levers'!$C$14="On",('Net zero Activity data'!BF17*EF!$H16)*kgtoGg,"ERROR"))</f>
        <v>-0.50850223047100296</v>
      </c>
      <c r="AN1079" s="100">
        <f>IF('Net zero activities &amp; levers'!$C$14="Off",('Activity data'!BG17*EF!$H16)*kgtoGg,IF('Net zero activities &amp; levers'!$C$14="On",('Net zero Activity data'!BG17*EF!$H16)*kgtoGg,"ERROR"))</f>
        <v>-0.50256367866010732</v>
      </c>
      <c r="AO1079" s="100">
        <f>IF('Net zero activities &amp; levers'!$C$14="Off",('Activity data'!BH17*EF!$H16)*kgtoGg,IF('Net zero activities &amp; levers'!$C$14="On",('Net zero Activity data'!BH17*EF!$H16)*kgtoGg,"ERROR"))</f>
        <v>-0.496729831902604</v>
      </c>
      <c r="AP1079" s="100">
        <f>IF('Net zero activities &amp; levers'!$C$14="Off",('Activity data'!BI17*EF!$H16)*kgtoGg,IF('Net zero activities &amp; levers'!$C$14="On",('Net zero Activity data'!BI17*EF!$H16)*kgtoGg,"ERROR"))</f>
        <v>-0.49099457494449417</v>
      </c>
      <c r="AQ1079" s="100">
        <f>IF('Net zero activities &amp; levers'!$C$14="Off",('Activity data'!BJ17*EF!$H16)*kgtoGg,IF('Net zero activities &amp; levers'!$C$14="On",('Net zero Activity data'!BJ17*EF!$H16)*kgtoGg,"ERROR"))</f>
        <v>-0.48535219196665164</v>
      </c>
      <c r="AR1079" s="100">
        <f>IF('Net zero activities &amp; levers'!$C$14="Off",('Activity data'!BK17*EF!$H16)*kgtoGg,IF('Net zero activities &amp; levers'!$C$14="On",('Net zero Activity data'!BK17*EF!$H16)*kgtoGg,"ERROR"))</f>
        <v>-0.47979733207264019</v>
      </c>
      <c r="AS1079" s="100">
        <f>IF('Net zero activities &amp; levers'!$C$14="Off",('Activity data'!BL17*EF!$H16)*kgtoGg,IF('Net zero activities &amp; levers'!$C$14="On",('Net zero Activity data'!BL17*EF!$H16)*kgtoGg,"ERROR"))</f>
        <v>-0.47374377836093629</v>
      </c>
      <c r="AT1079" s="100">
        <f>IF('Net zero activities &amp; levers'!$C$14="Off",('Activity data'!BM17*EF!$H16)*kgtoGg,IF('Net zero activities &amp; levers'!$C$14="On",('Net zero Activity data'!BM17*EF!$H16)*kgtoGg,"ERROR"))</f>
        <v>-0.46778268442640875</v>
      </c>
      <c r="AU1079" s="100">
        <f>IF('Net zero activities &amp; levers'!$C$14="Off",('Activity data'!BN17*EF!$H16)*kgtoGg,IF('Net zero activities &amp; levers'!$C$14="On",('Net zero Activity data'!BN17*EF!$H16)*kgtoGg,"ERROR"))</f>
        <v>-0.46190929102584166</v>
      </c>
      <c r="AV1079" s="100">
        <f>IF('Net zero activities &amp; levers'!$C$14="Off",('Activity data'!BO17*EF!$H16)*kgtoGg,IF('Net zero activities &amp; levers'!$C$14="On",('Net zero Activity data'!BO17*EF!$H16)*kgtoGg,"ERROR"))</f>
        <v>-0.45611912010876249</v>
      </c>
      <c r="AW1079" s="100">
        <f>IF('Net zero activities &amp; levers'!$C$14="Off",('Activity data'!BP17*EF!$H16)*kgtoGg,IF('Net zero activities &amp; levers'!$C$14="On",('Net zero Activity data'!BP17*EF!$H16)*kgtoGg,"ERROR"))</f>
        <v>-0.45040795289365548</v>
      </c>
      <c r="AY1079" s="85"/>
    </row>
    <row r="1080" spans="1:51" x14ac:dyDescent="0.25">
      <c r="A1080" s="102" t="str">
        <f t="shared" si="373"/>
        <v>CM Swine</v>
      </c>
      <c r="B1080" s="102" t="s">
        <v>1323</v>
      </c>
      <c r="C1080" s="102" t="s">
        <v>155</v>
      </c>
      <c r="D1080" t="s">
        <v>15</v>
      </c>
      <c r="E1080" t="s">
        <v>16</v>
      </c>
      <c r="F1080" t="s">
        <v>21</v>
      </c>
      <c r="G1080" t="s">
        <v>123</v>
      </c>
      <c r="H1080" t="s">
        <v>1021</v>
      </c>
      <c r="I1080" t="s">
        <v>121</v>
      </c>
      <c r="J1080" t="s">
        <v>286</v>
      </c>
      <c r="K1080" s="100">
        <f>IF('Net zero activities &amp; levers'!$C$14="Off",('Activity data'!AD18*EF!$H17)*kgtoGg,IF('Net zero activities &amp; levers'!$C$14="On",('Net zero Activity data'!AD18*EF!$H17)*kgtoGg,"ERROR"))</f>
        <v>0.2569163489011142</v>
      </c>
      <c r="L1080" s="100">
        <f>IF('Net zero activities &amp; levers'!$C$14="Off",('Activity data'!AE18*EF!$H17)*kgtoGg,IF('Net zero activities &amp; levers'!$C$14="On",('Net zero Activity data'!AE18*EF!$H17)*kgtoGg,"ERROR"))</f>
        <v>0.25610542745364245</v>
      </c>
      <c r="M1080" s="100">
        <f>IF('Net zero activities &amp; levers'!$C$14="Off",('Activity data'!AF18*EF!$H17)*kgtoGg,IF('Net zero activities &amp; levers'!$C$14="On",('Net zero Activity data'!AF18*EF!$H17)*kgtoGg,"ERROR"))</f>
        <v>0.25342371633691707</v>
      </c>
      <c r="N1080" s="100">
        <f>IF('Net zero activities &amp; levers'!$C$14="Off",('Activity data'!AG18*EF!$H17)*kgtoGg,IF('Net zero activities &amp; levers'!$C$14="On",('Net zero Activity data'!AG18*EF!$H17)*kgtoGg,"ERROR"))</f>
        <v>0.2482168273331373</v>
      </c>
      <c r="O1080" s="100">
        <f>IF('Net zero activities &amp; levers'!$C$14="Off",('Activity data'!AH18*EF!$H17)*kgtoGg,IF('Net zero activities &amp; levers'!$C$14="On",('Net zero Activity data'!AH18*EF!$H17)*kgtoGg,"ERROR"))</f>
        <v>0.24323775812952569</v>
      </c>
      <c r="P1080" s="100">
        <f>IF('Net zero activities &amp; levers'!$C$14="Off",('Activity data'!AI18*EF!$H17)*kgtoGg,IF('Net zero activities &amp; levers'!$C$14="On",('Net zero Activity data'!AI18*EF!$H17)*kgtoGg,"ERROR"))</f>
        <v>0.23974487712216219</v>
      </c>
      <c r="Q1080" s="100">
        <f>IF('Net zero activities &amp; levers'!$C$14="Off",('Activity data'!AJ18*EF!$H17)*kgtoGg,IF('Net zero activities &amp; levers'!$C$14="On",('Net zero Activity data'!AJ18*EF!$H17)*kgtoGg,"ERROR"))</f>
        <v>0.23678669825107104</v>
      </c>
      <c r="R1080" s="100">
        <f>IF('Net zero activities &amp; levers'!$C$14="Off",('Activity data'!AK18*EF!$H17)*kgtoGg,IF('Net zero activities &amp; levers'!$C$14="On",('Net zero Activity data'!AK18*EF!$H17)*kgtoGg,"ERROR"))</f>
        <v>0.23133952399245247</v>
      </c>
      <c r="S1080" s="100">
        <f>IF('Net zero activities &amp; levers'!$C$14="Off",('Activity data'!AL18*EF!$H17)*kgtoGg,IF('Net zero activities &amp; levers'!$C$14="On",('Net zero Activity data'!AL18*EF!$H17)*kgtoGg,"ERROR"))</f>
        <v>0.20252023517685527</v>
      </c>
      <c r="T1080" s="100">
        <f>IF('Net zero activities &amp; levers'!$C$14="Off",('Activity data'!AM18*EF!$H17)*kgtoGg,IF('Net zero activities &amp; levers'!$C$14="On",('Net zero Activity data'!AM18*EF!$H17)*kgtoGg,"ERROR"))</f>
        <v>0.20380716886639622</v>
      </c>
      <c r="U1080" s="100">
        <f>IF('Net zero activities &amp; levers'!$C$14="Off",('Activity data'!AN18*EF!$H17)*kgtoGg,IF('Net zero activities &amp; levers'!$C$14="On",('Net zero Activity data'!AN18*EF!$H17)*kgtoGg,"ERROR"))</f>
        <v>0.20445315685437584</v>
      </c>
      <c r="V1080" s="100">
        <f>IF('Net zero activities &amp; levers'!$C$14="Off",('Activity data'!AO18*EF!$H17)*kgtoGg,IF('Net zero activities &amp; levers'!$C$14="On",('Net zero Activity data'!AO18*EF!$H17)*kgtoGg,"ERROR"))</f>
        <v>0.20508118362708436</v>
      </c>
      <c r="W1080" s="100">
        <f>IF('Net zero activities &amp; levers'!$C$14="Off",('Activity data'!AP18*EF!$H17)*kgtoGg,IF('Net zero activities &amp; levers'!$C$14="On",('Net zero Activity data'!AP18*EF!$H17)*kgtoGg,"ERROR"))</f>
        <v>0.20661520339676887</v>
      </c>
      <c r="X1080" s="100">
        <f>IF('Net zero activities &amp; levers'!$C$14="Off",('Activity data'!AQ18*EF!$H17)*kgtoGg,IF('Net zero activities &amp; levers'!$C$14="On",('Net zero Activity data'!AQ18*EF!$H17)*kgtoGg,"ERROR"))</f>
        <v>0.20809765199303451</v>
      </c>
      <c r="Y1080" s="100">
        <f>IF('Net zero activities &amp; levers'!$C$14="Off",('Activity data'!AR18*EF!$H17)*kgtoGg,IF('Net zero activities &amp; levers'!$C$14="On",('Net zero Activity data'!AR18*EF!$H17)*kgtoGg,"ERROR"))</f>
        <v>0.20979840033380981</v>
      </c>
      <c r="Z1080" s="100">
        <f>IF('Net zero activities &amp; levers'!$C$14="Off",('Activity data'!AS18*EF!$H17)*kgtoGg,IF('Net zero activities &amp; levers'!$C$14="On",('Net zero Activity data'!AS18*EF!$H17)*kgtoGg,"ERROR"))</f>
        <v>0.21122592075045635</v>
      </c>
      <c r="AA1080" s="100">
        <f>IF('Net zero activities &amp; levers'!$C$14="Off",('Activity data'!AT18*EF!$H17)*kgtoGg,IF('Net zero activities &amp; levers'!$C$14="On",('Net zero Activity data'!AT18*EF!$H17)*kgtoGg,"ERROR"))</f>
        <v>0.21294146818521006</v>
      </c>
      <c r="AB1080" s="100">
        <f>IF('Net zero activities &amp; levers'!$C$14="Off",('Activity data'!AU18*EF!$H17)*kgtoGg,IF('Net zero activities &amp; levers'!$C$14="On",('Net zero Activity data'!AU18*EF!$H17)*kgtoGg,"ERROR"))</f>
        <v>0.21419028814183935</v>
      </c>
      <c r="AC1080" s="100">
        <f>IF('Net zero activities &amp; levers'!$C$14="Off",('Activity data'!AV18*EF!$H17)*kgtoGg,IF('Net zero activities &amp; levers'!$C$14="On",('Net zero Activity data'!AV18*EF!$H17)*kgtoGg,"ERROR"))</f>
        <v>0.21550393738590373</v>
      </c>
      <c r="AD1080" s="100">
        <f>IF('Net zero activities &amp; levers'!$C$14="Off",('Activity data'!AW18*EF!$H17)*kgtoGg,IF('Net zero activities &amp; levers'!$C$14="On",('Net zero Activity data'!AW18*EF!$H17)*kgtoGg,"ERROR"))</f>
        <v>0.21792688960202594</v>
      </c>
      <c r="AE1080" s="100">
        <f>IF('Net zero activities &amp; levers'!$C$14="Off",('Activity data'!AX18*EF!$H17)*kgtoGg,IF('Net zero activities &amp; levers'!$C$14="On",('Net zero Activity data'!AX18*EF!$H17)*kgtoGg,"ERROR"))</f>
        <v>0.22075729336218733</v>
      </c>
      <c r="AF1080" s="100">
        <f>IF('Net zero activities &amp; levers'!$C$14="Off",('Activity data'!AY18*EF!$H17)*kgtoGg,IF('Net zero activities &amp; levers'!$C$14="On",('Net zero Activity data'!AY18*EF!$H17)*kgtoGg,"ERROR"))</f>
        <v>0.22368625107857998</v>
      </c>
      <c r="AG1080" s="100">
        <f>IF('Net zero activities &amp; levers'!$C$14="Off",('Activity data'!AZ18*EF!$H17)*kgtoGg,IF('Net zero activities &amp; levers'!$C$14="On",('Net zero Activity data'!AZ18*EF!$H17)*kgtoGg,"ERROR"))</f>
        <v>0.22039436385489045</v>
      </c>
      <c r="AH1080" s="100">
        <f>IF('Net zero activities &amp; levers'!$C$14="Off",('Activity data'!BA18*EF!$H17)*kgtoGg,IF('Net zero activities &amp; levers'!$C$14="On",('Net zero Activity data'!BA18*EF!$H17)*kgtoGg,"ERROR"))</f>
        <v>-7.4362702166015399E-2</v>
      </c>
      <c r="AI1080" s="100">
        <f>IF('Net zero activities &amp; levers'!$C$14="Off",('Activity data'!BB18*EF!$H17)*kgtoGg,IF('Net zero activities &amp; levers'!$C$14="On",('Net zero Activity data'!BB18*EF!$H17)*kgtoGg,"ERROR"))</f>
        <v>-7.3549294313983729E-2</v>
      </c>
      <c r="AJ1080" s="100">
        <f>IF('Net zero activities &amp; levers'!$C$14="Off",('Activity data'!BC18*EF!$H17)*kgtoGg,IF('Net zero activities &amp; levers'!$C$14="On",('Net zero Activity data'!BC18*EF!$H17)*kgtoGg,"ERROR"))</f>
        <v>-7.2753308501045513E-2</v>
      </c>
      <c r="AK1080" s="100">
        <f>IF('Net zero activities &amp; levers'!$C$14="Off",('Activity data'!BD18*EF!$H17)*kgtoGg,IF('Net zero activities &amp; levers'!$C$14="On",('Net zero Activity data'!BD18*EF!$H17)*kgtoGg,"ERROR"))</f>
        <v>-7.1973604999300819E-2</v>
      </c>
      <c r="AL1080" s="100">
        <f>IF('Net zero activities &amp; levers'!$C$14="Off",('Activity data'!BE18*EF!$H17)*kgtoGg,IF('Net zero activities &amp; levers'!$C$14="On",('Net zero Activity data'!BE18*EF!$H17)*kgtoGg,"ERROR"))</f>
        <v>-7.1209127531856237E-2</v>
      </c>
      <c r="AM1080" s="100">
        <f>IF('Net zero activities &amp; levers'!$C$14="Off",('Activity data'!BF18*EF!$H17)*kgtoGg,IF('Net zero activities &amp; levers'!$C$14="On",('Net zero Activity data'!BF18*EF!$H17)*kgtoGg,"ERROR"))</f>
        <v>-7.0458895202628005E-2</v>
      </c>
      <c r="AN1080" s="100">
        <f>IF('Net zero activities &amp; levers'!$C$14="Off",('Activity data'!BG18*EF!$H17)*kgtoGg,IF('Net zero activities &amp; levers'!$C$14="On",('Net zero Activity data'!BG18*EF!$H17)*kgtoGg,"ERROR"))</f>
        <v>-6.9636039815520426E-2</v>
      </c>
      <c r="AO1080" s="100">
        <f>IF('Net zero activities &amp; levers'!$C$14="Off",('Activity data'!BH18*EF!$H17)*kgtoGg,IF('Net zero activities &amp; levers'!$C$14="On",('Net zero Activity data'!BH18*EF!$H17)*kgtoGg,"ERROR"))</f>
        <v>-6.8827692530722115E-2</v>
      </c>
      <c r="AP1080" s="100">
        <f>IF('Net zero activities &amp; levers'!$C$14="Off",('Activity data'!BI18*EF!$H17)*kgtoGg,IF('Net zero activities &amp; levers'!$C$14="On",('Net zero Activity data'!BI18*EF!$H17)*kgtoGg,"ERROR"))</f>
        <v>-6.8033006008703711E-2</v>
      </c>
      <c r="AQ1080" s="100">
        <f>IF('Net zero activities &amp; levers'!$C$14="Off",('Activity data'!BJ18*EF!$H17)*kgtoGg,IF('Net zero activities &amp; levers'!$C$14="On",('Net zero Activity data'!BJ18*EF!$H17)*kgtoGg,"ERROR"))</f>
        <v>-6.7251188256280764E-2</v>
      </c>
      <c r="AR1080" s="100">
        <f>IF('Net zero activities &amp; levers'!$C$14="Off",('Activity data'!BK18*EF!$H17)*kgtoGg,IF('Net zero activities &amp; levers'!$C$14="On",('Net zero Activity data'!BK18*EF!$H17)*kgtoGg,"ERROR"))</f>
        <v>-6.6481497844549611E-2</v>
      </c>
      <c r="AS1080" s="100">
        <f>IF('Net zero activities &amp; levers'!$C$14="Off",('Activity data'!BL18*EF!$H17)*kgtoGg,IF('Net zero activities &amp; levers'!$C$14="On",('Net zero Activity data'!BL18*EF!$H17)*kgtoGg,"ERROR"))</f>
        <v>-6.5642707607225875E-2</v>
      </c>
      <c r="AT1080" s="100">
        <f>IF('Net zero activities &amp; levers'!$C$14="Off",('Activity data'!BM18*EF!$H17)*kgtoGg,IF('Net zero activities &amp; levers'!$C$14="On",('Net zero Activity data'!BM18*EF!$H17)*kgtoGg,"ERROR"))</f>
        <v>-6.4816728746844354E-2</v>
      </c>
      <c r="AU1080" s="100">
        <f>IF('Net zero activities &amp; levers'!$C$14="Off",('Activity data'!BN18*EF!$H17)*kgtoGg,IF('Net zero activities &amp; levers'!$C$14="On",('Net zero Activity data'!BN18*EF!$H17)*kgtoGg,"ERROR"))</f>
        <v>-6.4002901814932872E-2</v>
      </c>
      <c r="AV1080" s="100">
        <f>IF('Net zero activities &amp; levers'!$C$14="Off",('Activity data'!BO18*EF!$H17)*kgtoGg,IF('Net zero activities &amp; levers'!$C$14="On",('Net zero Activity data'!BO18*EF!$H17)*kgtoGg,"ERROR"))</f>
        <v>-6.3200606325542585E-2</v>
      </c>
      <c r="AW1080" s="100">
        <f>IF('Net zero activities &amp; levers'!$C$14="Off",('Activity data'!BP18*EF!$H17)*kgtoGg,IF('Net zero activities &amp; levers'!$C$14="On",('Net zero Activity data'!BP18*EF!$H17)*kgtoGg,"ERROR"))</f>
        <v>-6.2409257717452565E-2</v>
      </c>
      <c r="AY1080" s="85"/>
    </row>
    <row r="1081" spans="1:51" x14ac:dyDescent="0.25">
      <c r="A1081" s="102" t="str">
        <f t="shared" si="373"/>
        <v>CM Cattle MMCH4</v>
      </c>
      <c r="B1081" s="102" t="s">
        <v>1323</v>
      </c>
      <c r="C1081" s="102" t="s">
        <v>1230</v>
      </c>
      <c r="D1081" t="s">
        <v>15</v>
      </c>
      <c r="E1081" t="s">
        <v>22</v>
      </c>
      <c r="F1081" t="s">
        <v>6</v>
      </c>
      <c r="G1081" t="s">
        <v>136</v>
      </c>
      <c r="H1081" t="s">
        <v>1228</v>
      </c>
      <c r="I1081" t="s">
        <v>121</v>
      </c>
      <c r="J1081" t="s">
        <v>286</v>
      </c>
      <c r="K1081" s="100">
        <f>IF('Net zero activities &amp; levers'!$C$14="Off",('Activity data'!AD5*EF!$H18)*kgtoGg,IF('Net zero activities &amp; levers'!$C$14="On",('Net zero Activity data'!AD5*EF!$H18)*kgtoGg,"ERROR"))</f>
        <v>7.3646534170257834</v>
      </c>
      <c r="L1081" s="100">
        <f>IF('Net zero activities &amp; levers'!$C$14="Off",('Activity data'!AE5*EF!$H18)*kgtoGg,IF('Net zero activities &amp; levers'!$C$14="On",('Net zero Activity data'!AE5*EF!$H18)*kgtoGg,"ERROR"))</f>
        <v>7.4104628035653102</v>
      </c>
      <c r="M1081" s="100">
        <f>IF('Net zero activities &amp; levers'!$C$14="Off",('Activity data'!AF5*EF!$H18)*kgtoGg,IF('Net zero activities &amp; levers'!$C$14="On",('Net zero Activity data'!AF5*EF!$H18)*kgtoGg,"ERROR"))</f>
        <v>7.4419573878579355</v>
      </c>
      <c r="N1081" s="100">
        <f>IF('Net zero activities &amp; levers'!$C$14="Off",('Activity data'!AG5*EF!$H18)*kgtoGg,IF('Net zero activities &amp; levers'!$C$14="On",('Net zero Activity data'!AG5*EF!$H18)*kgtoGg,"ERROR"))</f>
        <v>7.4518345531057086</v>
      </c>
      <c r="O1081" s="100">
        <f>IF('Net zero activities &amp; levers'!$C$14="Off",('Activity data'!AH5*EF!$H18)*kgtoGg,IF('Net zero activities &amp; levers'!$C$14="On",('Net zero Activity data'!AH5*EF!$H18)*kgtoGg,"ERROR"))</f>
        <v>7.4651968838323191</v>
      </c>
      <c r="P1081" s="100">
        <f>IF('Net zero activities &amp; levers'!$C$14="Off",('Activity data'!AI5*EF!$H18)*kgtoGg,IF('Net zero activities &amp; levers'!$C$14="On",('Net zero Activity data'!AI5*EF!$H18)*kgtoGg,"ERROR"))</f>
        <v>7.494465464758667</v>
      </c>
      <c r="Q1081" s="100">
        <f>IF('Net zero activities &amp; levers'!$C$14="Off",('Activity data'!AJ5*EF!$H18)*kgtoGg,IF('Net zero activities &amp; levers'!$C$14="On",('Net zero Activity data'!AJ5*EF!$H18)*kgtoGg,"ERROR"))</f>
        <v>7.5295555244972592</v>
      </c>
      <c r="R1081" s="100">
        <f>IF('Net zero activities &amp; levers'!$C$14="Off",('Activity data'!AK5*EF!$H18)*kgtoGg,IF('Net zero activities &amp; levers'!$C$14="On",('Net zero Activity data'!AK5*EF!$H18)*kgtoGg,"ERROR"))</f>
        <v>7.5400969444741763</v>
      </c>
      <c r="S1081" s="100">
        <f>IF('Net zero activities &amp; levers'!$C$14="Off",('Activity data'!AL5*EF!$H18)*kgtoGg,IF('Net zero activities &amp; levers'!$C$14="On",('Net zero Activity data'!AL5*EF!$H18)*kgtoGg,"ERROR"))</f>
        <v>7.3086176618997394</v>
      </c>
      <c r="T1081" s="100">
        <f>IF('Net zero activities &amp; levers'!$C$14="Off",('Activity data'!AM5*EF!$H18)*kgtoGg,IF('Net zero activities &amp; levers'!$C$14="On",('Net zero Activity data'!AM5*EF!$H18)*kgtoGg,"ERROR"))</f>
        <v>7.3688162835395774</v>
      </c>
      <c r="U1081" s="100">
        <f>IF('Net zero activities &amp; levers'!$C$14="Off",('Activity data'!AN5*EF!$H18)*kgtoGg,IF('Net zero activities &amp; levers'!$C$14="On",('Net zero Activity data'!AN5*EF!$H18)*kgtoGg,"ERROR"))</f>
        <v>7.4240167099951169</v>
      </c>
      <c r="V1081" s="100">
        <f>IF('Net zero activities &amp; levers'!$C$14="Off",('Activity data'!AO5*EF!$H18)*kgtoGg,IF('Net zero activities &amp; levers'!$C$14="On",('Net zero Activity data'!AO5*EF!$H18)*kgtoGg,"ERROR"))</f>
        <v>7.4806155410688238</v>
      </c>
      <c r="W1081" s="100">
        <f>IF('Net zero activities &amp; levers'!$C$14="Off",('Activity data'!AP5*EF!$H18)*kgtoGg,IF('Net zero activities &amp; levers'!$C$14="On",('Net zero Activity data'!AP5*EF!$H18)*kgtoGg,"ERROR"))</f>
        <v>7.5487965323768202</v>
      </c>
      <c r="X1081" s="100">
        <f>IF('Net zero activities &amp; levers'!$C$14="Off",('Activity data'!AQ5*EF!$H18)*kgtoGg,IF('Net zero activities &amp; levers'!$C$14="On",('Net zero Activity data'!AQ5*EF!$H18)*kgtoGg,"ERROR"))</f>
        <v>7.6182568990068642</v>
      </c>
      <c r="Y1081" s="100">
        <f>IF('Net zero activities &amp; levers'!$C$14="Off",('Activity data'!AR5*EF!$H18)*kgtoGg,IF('Net zero activities &amp; levers'!$C$14="On",('Net zero Activity data'!AR5*EF!$H18)*kgtoGg,"ERROR"))</f>
        <v>7.6858917367195918</v>
      </c>
      <c r="Z1081" s="100">
        <f>IF('Net zero activities &amp; levers'!$C$14="Off",('Activity data'!AS5*EF!$H18)*kgtoGg,IF('Net zero activities &amp; levers'!$C$14="On",('Net zero Activity data'!AS5*EF!$H18)*kgtoGg,"ERROR"))</f>
        <v>7.7521734876275126</v>
      </c>
      <c r="AA1081" s="100">
        <f>IF('Net zero activities &amp; levers'!$C$14="Off",('Activity data'!AT5*EF!$H18)*kgtoGg,IF('Net zero activities &amp; levers'!$C$14="On",('Net zero Activity data'!AT5*EF!$H18)*kgtoGg,"ERROR"))</f>
        <v>7.8235662027619757</v>
      </c>
      <c r="AB1081" s="100">
        <f>IF('Net zero activities &amp; levers'!$C$14="Off",('Activity data'!AU5*EF!$H18)*kgtoGg,IF('Net zero activities &amp; levers'!$C$14="On",('Net zero Activity data'!AU5*EF!$H18)*kgtoGg,"ERROR"))</f>
        <v>7.8911737006481246</v>
      </c>
      <c r="AC1081" s="100">
        <f>IF('Net zero activities &amp; levers'!$C$14="Off",('Activity data'!AV5*EF!$H18)*kgtoGg,IF('Net zero activities &amp; levers'!$C$14="On",('Net zero Activity data'!AV5*EF!$H18)*kgtoGg,"ERROR"))</f>
        <v>7.961206232365277</v>
      </c>
      <c r="AD1081" s="100">
        <f>IF('Net zero activities &amp; levers'!$C$14="Off",('Activity data'!AW5*EF!$H18)*kgtoGg,IF('Net zero activities &amp; levers'!$C$14="On",('Net zero Activity data'!AW5*EF!$H18)*kgtoGg,"ERROR"))</f>
        <v>8.0416672207979634</v>
      </c>
      <c r="AE1081" s="100">
        <f>IF('Net zero activities &amp; levers'!$C$14="Off",('Activity data'!AX5*EF!$H18)*kgtoGg,IF('Net zero activities &amp; levers'!$C$14="On",('Net zero Activity data'!AX5*EF!$H18)*kgtoGg,"ERROR"))</f>
        <v>8.1292976952055653</v>
      </c>
      <c r="AF1081" s="100">
        <f>IF('Net zero activities &amp; levers'!$C$14="Off",('Activity data'!AY5*EF!$H18)*kgtoGg,IF('Net zero activities &amp; levers'!$C$14="On",('Net zero Activity data'!AY5*EF!$H18)*kgtoGg,"ERROR"))</f>
        <v>8.2204064265450114</v>
      </c>
      <c r="AG1081" s="100">
        <f>IF('Net zero activities &amp; levers'!$C$14="Off",('Activity data'!AZ5*EF!$H18)*kgtoGg,IF('Net zero activities &amp; levers'!$C$14="On",('Net zero Activity data'!AZ5*EF!$H18)*kgtoGg,"ERROR"))</f>
        <v>8.2331329239754218</v>
      </c>
      <c r="AH1081" s="100">
        <f>IF('Net zero activities &amp; levers'!$C$14="Off",('Activity data'!BA5*EF!$H18)*kgtoGg,IF('Net zero activities &amp; levers'!$C$14="On",('Net zero Activity data'!BA5*EF!$H18)*kgtoGg,"ERROR"))</f>
        <v>4.4079390411250321</v>
      </c>
      <c r="AI1081" s="100">
        <f>IF('Net zero activities &amp; levers'!$C$14="Off",('Activity data'!BB5*EF!$H18)*kgtoGg,IF('Net zero activities &amp; levers'!$C$14="On",('Net zero Activity data'!BB5*EF!$H18)*kgtoGg,"ERROR"))</f>
        <v>4.4111810533822107</v>
      </c>
      <c r="AJ1081" s="100">
        <f>IF('Net zero activities &amp; levers'!$C$14="Off",('Activity data'!BC5*EF!$H18)*kgtoGg,IF('Net zero activities &amp; levers'!$C$14="On",('Net zero Activity data'!BC5*EF!$H18)*kgtoGg,"ERROR"))</f>
        <v>4.4148489430980264</v>
      </c>
      <c r="AK1081" s="100">
        <f>IF('Net zero activities &amp; levers'!$C$14="Off",('Activity data'!BD5*EF!$H18)*kgtoGg,IF('Net zero activities &amp; levers'!$C$14="On",('Net zero Activity data'!BD5*EF!$H18)*kgtoGg,"ERROR"))</f>
        <v>4.4189265228241794</v>
      </c>
      <c r="AL1081" s="100">
        <f>IF('Net zero activities &amp; levers'!$C$14="Off",('Activity data'!BE5*EF!$H18)*kgtoGg,IF('Net zero activities &amp; levers'!$C$14="On",('Net zero Activity data'!BE5*EF!$H18)*kgtoGg,"ERROR"))</f>
        <v>4.4233988518058229</v>
      </c>
      <c r="AM1081" s="100">
        <f>IF('Net zero activities &amp; levers'!$C$14="Off",('Activity data'!BF5*EF!$H18)*kgtoGg,IF('Net zero activities &amp; levers'!$C$14="On",('Net zero Activity data'!BF5*EF!$H18)*kgtoGg,"ERROR"))</f>
        <v>4.4282521178160774</v>
      </c>
      <c r="AN1081" s="100">
        <f>IF('Net zero activities &amp; levers'!$C$14="Off",('Activity data'!BG5*EF!$H18)*kgtoGg,IF('Net zero activities &amp; levers'!$C$14="On",('Net zero Activity data'!BG5*EF!$H18)*kgtoGg,"ERROR"))</f>
        <v>4.4303415938400539</v>
      </c>
      <c r="AO1081" s="100">
        <f>IF('Net zero activities &amp; levers'!$C$14="Off",('Activity data'!BH5*EF!$H18)*kgtoGg,IF('Net zero activities &amp; levers'!$C$14="On",('Net zero Activity data'!BH5*EF!$H18)*kgtoGg,"ERROR"))</f>
        <v>4.432766537435862</v>
      </c>
      <c r="AP1081" s="100">
        <f>IF('Net zero activities &amp; levers'!$C$14="Off",('Activity data'!BI5*EF!$H18)*kgtoGg,IF('Net zero activities &amp; levers'!$C$14="On",('Net zero Activity data'!BI5*EF!$H18)*kgtoGg,"ERROR"))</f>
        <v>4.4355152317525279</v>
      </c>
      <c r="AQ1081" s="100">
        <f>IF('Net zero activities &amp; levers'!$C$14="Off",('Activity data'!BJ5*EF!$H18)*kgtoGg,IF('Net zero activities &amp; levers'!$C$14="On",('Net zero Activity data'!BJ5*EF!$H18)*kgtoGg,"ERROR"))</f>
        <v>4.4385767594592709</v>
      </c>
      <c r="AR1081" s="100">
        <f>IF('Net zero activities &amp; levers'!$C$14="Off",('Activity data'!BK5*EF!$H18)*kgtoGg,IF('Net zero activities &amp; levers'!$C$14="On",('Net zero Activity data'!BK5*EF!$H18)*kgtoGg,"ERROR"))</f>
        <v>4.4419409348998142</v>
      </c>
      <c r="AS1081" s="100">
        <f>IF('Net zero activities &amp; levers'!$C$14="Off",('Activity data'!BL5*EF!$H18)*kgtoGg,IF('Net zero activities &amp; levers'!$C$14="On",('Net zero Activity data'!BL5*EF!$H18)*kgtoGg,"ERROR"))</f>
        <v>4.4424325568083702</v>
      </c>
      <c r="AT1081" s="100">
        <f>IF('Net zero activities &amp; levers'!$C$14="Off",('Activity data'!BM5*EF!$H18)*kgtoGg,IF('Net zero activities &amp; levers'!$C$14="On",('Net zero Activity data'!BM5*EF!$H18)*kgtoGg,"ERROR"))</f>
        <v>4.4431924834311589</v>
      </c>
      <c r="AU1081" s="100">
        <f>IF('Net zero activities &amp; levers'!$C$14="Off",('Activity data'!BN5*EF!$H18)*kgtoGg,IF('Net zero activities &amp; levers'!$C$14="On",('Net zero Activity data'!BN5*EF!$H18)*kgtoGg,"ERROR"))</f>
        <v>4.4442118217610558</v>
      </c>
      <c r="AV1081" s="100">
        <f>IF('Net zero activities &amp; levers'!$C$14="Off",('Activity data'!BO5*EF!$H18)*kgtoGg,IF('Net zero activities &amp; levers'!$C$14="On",('Net zero Activity data'!BO5*EF!$H18)*kgtoGg,"ERROR"))</f>
        <v>4.4454822205450464</v>
      </c>
      <c r="AW1081" s="100">
        <f>IF('Net zero activities &amp; levers'!$C$14="Off",('Activity data'!BP5*EF!$H18)*kgtoGg,IF('Net zero activities &amp; levers'!$C$14="On",('Net zero Activity data'!BP5*EF!$H18)*kgtoGg,"ERROR"))</f>
        <v>4.4469958286673741</v>
      </c>
      <c r="AY1081" s="85"/>
    </row>
    <row r="1082" spans="1:51" x14ac:dyDescent="0.25">
      <c r="A1082" s="102" t="str">
        <f t="shared" si="373"/>
        <v>CM Cattle MMCH4</v>
      </c>
      <c r="B1082" s="102" t="s">
        <v>1323</v>
      </c>
      <c r="C1082" s="102" t="s">
        <v>1230</v>
      </c>
      <c r="D1082" t="s">
        <v>15</v>
      </c>
      <c r="E1082" t="s">
        <v>22</v>
      </c>
      <c r="F1082" t="s">
        <v>6</v>
      </c>
      <c r="G1082" t="s">
        <v>137</v>
      </c>
      <c r="H1082" t="s">
        <v>1228</v>
      </c>
      <c r="I1082" t="s">
        <v>121</v>
      </c>
      <c r="J1082" t="s">
        <v>286</v>
      </c>
      <c r="K1082" s="100">
        <f>IF('Net zero activities &amp; levers'!$C$14="Off",('Activity data'!AD6*EF!$H19)*kgtoGg,IF('Net zero activities &amp; levers'!$C$14="On",('Net zero Activity data'!AD6*EF!$H19)*kgtoGg,"ERROR"))</f>
        <v>2.0982448441600319</v>
      </c>
      <c r="L1082" s="100">
        <f>IF('Net zero activities &amp; levers'!$C$14="Off",('Activity data'!AE6*EF!$H19)*kgtoGg,IF('Net zero activities &amp; levers'!$C$14="On",('Net zero Activity data'!AE6*EF!$H19)*kgtoGg,"ERROR"))</f>
        <v>2.1112962810271738</v>
      </c>
      <c r="M1082" s="100">
        <f>IF('Net zero activities &amp; levers'!$C$14="Off",('Activity data'!AF6*EF!$H19)*kgtoGg,IF('Net zero activities &amp; levers'!$C$14="On",('Net zero Activity data'!AF6*EF!$H19)*kgtoGg,"ERROR"))</f>
        <v>2.1202693236632593</v>
      </c>
      <c r="N1082" s="100">
        <f>IF('Net zero activities &amp; levers'!$C$14="Off",('Activity data'!AG6*EF!$H19)*kgtoGg,IF('Net zero activities &amp; levers'!$C$14="On",('Net zero Activity data'!AG6*EF!$H19)*kgtoGg,"ERROR"))</f>
        <v>2.1230834019209199</v>
      </c>
      <c r="O1082" s="100">
        <f>IF('Net zero activities &amp; levers'!$C$14="Off",('Activity data'!AH6*EF!$H19)*kgtoGg,IF('Net zero activities &amp; levers'!$C$14="On",('Net zero Activity data'!AH6*EF!$H19)*kgtoGg,"ERROR"))</f>
        <v>2.1268904298916125</v>
      </c>
      <c r="P1082" s="100">
        <f>IF('Net zero activities &amp; levers'!$C$14="Off",('Activity data'!AI6*EF!$H19)*kgtoGg,IF('Net zero activities &amp; levers'!$C$14="On",('Net zero Activity data'!AI6*EF!$H19)*kgtoGg,"ERROR"))</f>
        <v>2.1352292675187319</v>
      </c>
      <c r="Q1082" s="100">
        <f>IF('Net zero activities &amp; levers'!$C$14="Off",('Activity data'!AJ6*EF!$H19)*kgtoGg,IF('Net zero activities &amp; levers'!$C$14="On",('Net zero Activity data'!AJ6*EF!$H19)*kgtoGg,"ERROR"))</f>
        <v>2.1452266880025732</v>
      </c>
      <c r="R1082" s="100">
        <f>IF('Net zero activities &amp; levers'!$C$14="Off",('Activity data'!AK6*EF!$H19)*kgtoGg,IF('Net zero activities &amp; levers'!$C$14="On",('Net zero Activity data'!AK6*EF!$H19)*kgtoGg,"ERROR"))</f>
        <v>2.1482300174010156</v>
      </c>
      <c r="S1082" s="100">
        <f>IF('Net zero activities &amp; levers'!$C$14="Off",('Activity data'!AL6*EF!$H19)*kgtoGg,IF('Net zero activities &amp; levers'!$C$14="On",('Net zero Activity data'!AL6*EF!$H19)*kgtoGg,"ERROR"))</f>
        <v>2.0822798383920729</v>
      </c>
      <c r="T1082" s="100">
        <f>IF('Net zero activities &amp; levers'!$C$14="Off",('Activity data'!AM6*EF!$H19)*kgtoGg,IF('Net zero activities &amp; levers'!$C$14="On",('Net zero Activity data'!AM6*EF!$H19)*kgtoGg,"ERROR"))</f>
        <v>2.099430875966946</v>
      </c>
      <c r="U1082" s="100">
        <f>IF('Net zero activities &amp; levers'!$C$14="Off",('Activity data'!AN6*EF!$H19)*kgtoGg,IF('Net zero activities &amp; levers'!$C$14="On",('Net zero Activity data'!AN6*EF!$H19)*kgtoGg,"ERROR"))</f>
        <v>2.1151578903486419</v>
      </c>
      <c r="V1082" s="100">
        <f>IF('Net zero activities &amp; levers'!$C$14="Off",('Activity data'!AO6*EF!$H19)*kgtoGg,IF('Net zero activities &amp; levers'!$C$14="On",('Net zero Activity data'!AO6*EF!$H19)*kgtoGg,"ERROR"))</f>
        <v>2.1312833206657489</v>
      </c>
      <c r="W1082" s="100">
        <f>IF('Net zero activities &amp; levers'!$C$14="Off",('Activity data'!AP6*EF!$H19)*kgtoGg,IF('Net zero activities &amp; levers'!$C$14="On",('Net zero Activity data'!AP6*EF!$H19)*kgtoGg,"ERROR"))</f>
        <v>2.1507085950650837</v>
      </c>
      <c r="X1082" s="100">
        <f>IF('Net zero activities &amp; levers'!$C$14="Off",('Activity data'!AQ6*EF!$H19)*kgtoGg,IF('Net zero activities &amp; levers'!$C$14="On",('Net zero Activity data'!AQ6*EF!$H19)*kgtoGg,"ERROR"))</f>
        <v>2.1704983730630572</v>
      </c>
      <c r="Y1082" s="100">
        <f>IF('Net zero activities &amp; levers'!$C$14="Off",('Activity data'!AR6*EF!$H19)*kgtoGg,IF('Net zero activities &amp; levers'!$C$14="On",('Net zero Activity data'!AR6*EF!$H19)*kgtoGg,"ERROR"))</f>
        <v>2.1897680442180159</v>
      </c>
      <c r="Z1082" s="100">
        <f>IF('Net zero activities &amp; levers'!$C$14="Off",('Activity data'!AS6*EF!$H19)*kgtoGg,IF('Net zero activities &amp; levers'!$C$14="On",('Net zero Activity data'!AS6*EF!$H19)*kgtoGg,"ERROR"))</f>
        <v>2.2086522108215552</v>
      </c>
      <c r="AA1082" s="100">
        <f>IF('Net zero activities &amp; levers'!$C$14="Off",('Activity data'!AT6*EF!$H19)*kgtoGg,IF('Net zero activities &amp; levers'!$C$14="On",('Net zero Activity data'!AT6*EF!$H19)*kgtoGg,"ERROR"))</f>
        <v>2.2289925293618906</v>
      </c>
      <c r="AB1082" s="100">
        <f>IF('Net zero activities &amp; levers'!$C$14="Off",('Activity data'!AU6*EF!$H19)*kgtoGg,IF('Net zero activities &amp; levers'!$C$14="On",('Net zero Activity data'!AU6*EF!$H19)*kgtoGg,"ERROR"))</f>
        <v>2.2482544111957634</v>
      </c>
      <c r="AC1082" s="100">
        <f>IF('Net zero activities &amp; levers'!$C$14="Off",('Activity data'!AV6*EF!$H19)*kgtoGg,IF('Net zero activities &amp; levers'!$C$14="On",('Net zero Activity data'!AV6*EF!$H19)*kgtoGg,"ERROR"))</f>
        <v>2.2682072033066958</v>
      </c>
      <c r="AD1082" s="100">
        <f>IF('Net zero activities &amp; levers'!$C$14="Off",('Activity data'!AW6*EF!$H19)*kgtoGg,IF('Net zero activities &amp; levers'!$C$14="On",('Net zero Activity data'!AW6*EF!$H19)*kgtoGg,"ERROR"))</f>
        <v>2.2911311407379684</v>
      </c>
      <c r="AE1082" s="100">
        <f>IF('Net zero activities &amp; levers'!$C$14="Off",('Activity data'!AX6*EF!$H19)*kgtoGg,IF('Net zero activities &amp; levers'!$C$14="On",('Net zero Activity data'!AX6*EF!$H19)*kgtoGg,"ERROR"))</f>
        <v>2.3160977183493427</v>
      </c>
      <c r="AF1082" s="100">
        <f>IF('Net zero activities &amp; levers'!$C$14="Off",('Activity data'!AY6*EF!$H19)*kgtoGg,IF('Net zero activities &amp; levers'!$C$14="On",('Net zero Activity data'!AY6*EF!$H19)*kgtoGg,"ERROR"))</f>
        <v>2.3420552773770367</v>
      </c>
      <c r="AG1082" s="100">
        <f>IF('Net zero activities &amp; levers'!$C$14="Off",('Activity data'!AZ6*EF!$H19)*kgtoGg,IF('Net zero activities &amp; levers'!$C$14="On",('Net zero Activity data'!AZ6*EF!$H19)*kgtoGg,"ERROR"))</f>
        <v>2.3456811516857772</v>
      </c>
      <c r="AH1082" s="100">
        <f>IF('Net zero activities &amp; levers'!$C$14="Off",('Activity data'!BA6*EF!$H19)*kgtoGg,IF('Net zero activities &amp; levers'!$C$14="On",('Net zero Activity data'!BA6*EF!$H19)*kgtoGg,"ERROR"))</f>
        <v>1.2558548030285308</v>
      </c>
      <c r="AI1082" s="100">
        <f>IF('Net zero activities &amp; levers'!$C$14="Off",('Activity data'!BB6*EF!$H19)*kgtoGg,IF('Net zero activities &amp; levers'!$C$14="On",('Net zero Activity data'!BB6*EF!$H19)*kgtoGg,"ERROR"))</f>
        <v>1.2567784765699908</v>
      </c>
      <c r="AJ1082" s="100">
        <f>IF('Net zero activities &amp; levers'!$C$14="Off",('Activity data'!BC6*EF!$H19)*kgtoGg,IF('Net zero activities &amp; levers'!$C$14="On",('Net zero Activity data'!BC6*EF!$H19)*kgtoGg,"ERROR"))</f>
        <v>1.2578234857848665</v>
      </c>
      <c r="AK1082" s="100">
        <f>IF('Net zero activities &amp; levers'!$C$14="Off",('Activity data'!BD6*EF!$H19)*kgtoGg,IF('Net zero activities &amp; levers'!$C$14="On",('Net zero Activity data'!BD6*EF!$H19)*kgtoGg,"ERROR"))</f>
        <v>1.2589852187480597</v>
      </c>
      <c r="AL1082" s="100">
        <f>IF('Net zero activities &amp; levers'!$C$14="Off",('Activity data'!BE6*EF!$H19)*kgtoGg,IF('Net zero activities &amp; levers'!$C$14="On",('Net zero Activity data'!BE6*EF!$H19)*kgtoGg,"ERROR"))</f>
        <v>1.2602594187267613</v>
      </c>
      <c r="AM1082" s="100">
        <f>IF('Net zero activities &amp; levers'!$C$14="Off",('Activity data'!BF6*EF!$H19)*kgtoGg,IF('Net zero activities &amp; levers'!$C$14="On",('Net zero Activity data'!BF6*EF!$H19)*kgtoGg,"ERROR"))</f>
        <v>1.2616421505142221</v>
      </c>
      <c r="AN1082" s="100">
        <f>IF('Net zero activities &amp; levers'!$C$14="Off",('Activity data'!BG6*EF!$H19)*kgtoGg,IF('Net zero activities &amp; levers'!$C$14="On",('Net zero Activity data'!BG6*EF!$H19)*kgtoGg,"ERROR"))</f>
        <v>1.2622374578621782</v>
      </c>
      <c r="AO1082" s="100">
        <f>IF('Net zero activities &amp; levers'!$C$14="Off",('Activity data'!BH6*EF!$H19)*kgtoGg,IF('Net zero activities &amp; levers'!$C$14="On",('Net zero Activity data'!BH6*EF!$H19)*kgtoGg,"ERROR"))</f>
        <v>1.2629283424305575</v>
      </c>
      <c r="AP1082" s="100">
        <f>IF('Net zero activities &amp; levers'!$C$14="Off",('Activity data'!BI6*EF!$H19)*kgtoGg,IF('Net zero activities &amp; levers'!$C$14="On",('Net zero Activity data'!BI6*EF!$H19)*kgtoGg,"ERROR"))</f>
        <v>1.2637114660008781</v>
      </c>
      <c r="AQ1082" s="100">
        <f>IF('Net zero activities &amp; levers'!$C$14="Off",('Activity data'!BJ6*EF!$H19)*kgtoGg,IF('Net zero activities &amp; levers'!$C$14="On",('Net zero Activity data'!BJ6*EF!$H19)*kgtoGg,"ERROR"))</f>
        <v>1.2645837181439423</v>
      </c>
      <c r="AR1082" s="100">
        <f>IF('Net zero activities &amp; levers'!$C$14="Off",('Activity data'!BK6*EF!$H19)*kgtoGg,IF('Net zero activities &amp; levers'!$C$14="On",('Net zero Activity data'!BK6*EF!$H19)*kgtoGg,"ERROR"))</f>
        <v>1.2655421968900908</v>
      </c>
      <c r="AS1082" s="100">
        <f>IF('Net zero activities &amp; levers'!$C$14="Off",('Activity data'!BL6*EF!$H19)*kgtoGg,IF('Net zero activities &amp; levers'!$C$14="On",('Net zero Activity data'!BL6*EF!$H19)*kgtoGg,"ERROR"))</f>
        <v>1.2656822636490397</v>
      </c>
      <c r="AT1082" s="100">
        <f>IF('Net zero activities &amp; levers'!$C$14="Off",('Activity data'!BM6*EF!$H19)*kgtoGg,IF('Net zero activities &amp; levers'!$C$14="On",('Net zero Activity data'!BM6*EF!$H19)*kgtoGg,"ERROR"))</f>
        <v>1.2658987724279214</v>
      </c>
      <c r="AU1082" s="100">
        <f>IF('Net zero activities &amp; levers'!$C$14="Off",('Activity data'!BN6*EF!$H19)*kgtoGg,IF('Net zero activities &amp; levers'!$C$14="On",('Net zero Activity data'!BN6*EF!$H19)*kgtoGg,"ERROR"))</f>
        <v>1.2661891895424888</v>
      </c>
      <c r="AV1082" s="100">
        <f>IF('Net zero activities &amp; levers'!$C$14="Off",('Activity data'!BO6*EF!$H19)*kgtoGg,IF('Net zero activities &amp; levers'!$C$14="On",('Net zero Activity data'!BO6*EF!$H19)*kgtoGg,"ERROR"))</f>
        <v>1.2665511356582928</v>
      </c>
      <c r="AW1082" s="100">
        <f>IF('Net zero activities &amp; levers'!$C$14="Off",('Activity data'!BP6*EF!$H19)*kgtoGg,IF('Net zero activities &amp; levers'!$C$14="On",('Net zero Activity data'!BP6*EF!$H19)*kgtoGg,"ERROR"))</f>
        <v>1.2669823739337303</v>
      </c>
      <c r="AY1082" s="85"/>
    </row>
    <row r="1083" spans="1:51" x14ac:dyDescent="0.25">
      <c r="A1083" s="102" t="str">
        <f t="shared" si="373"/>
        <v>CM Cattle MMCH4</v>
      </c>
      <c r="B1083" s="102" t="s">
        <v>1323</v>
      </c>
      <c r="C1083" s="102" t="s">
        <v>1230</v>
      </c>
      <c r="D1083" t="s">
        <v>15</v>
      </c>
      <c r="E1083" t="s">
        <v>22</v>
      </c>
      <c r="F1083" t="s">
        <v>67</v>
      </c>
      <c r="G1083" t="s">
        <v>307</v>
      </c>
      <c r="H1083" t="s">
        <v>1228</v>
      </c>
      <c r="I1083" t="s">
        <v>121</v>
      </c>
      <c r="J1083" t="s">
        <v>286</v>
      </c>
      <c r="K1083" s="100">
        <f>IF('Net zero activities &amp; levers'!$C$14="Off",('Activity data'!AD7*EF!$H20)*kgtoGg,IF('Net zero activities &amp; levers'!$C$14="On",('Net zero Activity data'!AD7*EF!$H20)*kgtoGg,"ERROR"))</f>
        <v>0.43336774046245513</v>
      </c>
      <c r="L1083" s="100">
        <f>IF('Net zero activities &amp; levers'!$C$14="Off",('Activity data'!AE7*EF!$H20)*kgtoGg,IF('Net zero activities &amp; levers'!$C$14="On",('Net zero Activity data'!AE7*EF!$H20)*kgtoGg,"ERROR"))</f>
        <v>0.43606336090953701</v>
      </c>
      <c r="M1083" s="100">
        <f>IF('Net zero activities &amp; levers'!$C$14="Off",('Activity data'!AF7*EF!$H20)*kgtoGg,IF('Net zero activities &amp; levers'!$C$14="On",('Net zero Activity data'!AF7*EF!$H20)*kgtoGg,"ERROR"))</f>
        <v>0.43791663710039563</v>
      </c>
      <c r="N1083" s="100">
        <f>IF('Net zero activities &amp; levers'!$C$14="Off",('Activity data'!AG7*EF!$H20)*kgtoGg,IF('Net zero activities &amp; levers'!$C$14="On",('Net zero Activity data'!AG7*EF!$H20)*kgtoGg,"ERROR"))</f>
        <v>0.43849785179485851</v>
      </c>
      <c r="O1083" s="100">
        <f>IF('Net zero activities &amp; levers'!$C$14="Off",('Activity data'!AH7*EF!$H20)*kgtoGg,IF('Net zero activities &amp; levers'!$C$14="On",('Net zero Activity data'!AH7*EF!$H20)*kgtoGg,"ERROR"))</f>
        <v>0.43928414854860887</v>
      </c>
      <c r="P1083" s="100">
        <f>IF('Net zero activities &amp; levers'!$C$14="Off",('Activity data'!AI7*EF!$H20)*kgtoGg,IF('Net zero activities &amp; levers'!$C$14="On",('Net zero Activity data'!AI7*EF!$H20)*kgtoGg,"ERROR"))</f>
        <v>0.44100643717026611</v>
      </c>
      <c r="Q1083" s="100">
        <f>IF('Net zero activities &amp; levers'!$C$14="Off",('Activity data'!AJ7*EF!$H20)*kgtoGg,IF('Net zero activities &amp; levers'!$C$14="On",('Net zero Activity data'!AJ7*EF!$H20)*kgtoGg,"ERROR"))</f>
        <v>0.44307128653119471</v>
      </c>
      <c r="R1083" s="100">
        <f>IF('Net zero activities &amp; levers'!$C$14="Off",('Activity data'!AK7*EF!$H20)*kgtoGg,IF('Net zero activities &amp; levers'!$C$14="On",('Net zero Activity data'!AK7*EF!$H20)*kgtoGg,"ERROR"))</f>
        <v>0.44369158881807513</v>
      </c>
      <c r="S1083" s="100">
        <f>IF('Net zero activities &amp; levers'!$C$14="Off",('Activity data'!AL7*EF!$H20)*kgtoGg,IF('Net zero activities &amp; levers'!$C$14="On",('Net zero Activity data'!AL7*EF!$H20)*kgtoGg,"ERROR"))</f>
        <v>0.43007035670126681</v>
      </c>
      <c r="T1083" s="100">
        <f>IF('Net zero activities &amp; levers'!$C$14="Off",('Activity data'!AM7*EF!$H20)*kgtoGg,IF('Net zero activities &amp; levers'!$C$14="On",('Net zero Activity data'!AM7*EF!$H20)*kgtoGg,"ERROR"))</f>
        <v>0.43361270135236735</v>
      </c>
      <c r="U1083" s="100">
        <f>IF('Net zero activities &amp; levers'!$C$14="Off",('Activity data'!AN7*EF!$H20)*kgtoGg,IF('Net zero activities &amp; levers'!$C$14="On",('Net zero Activity data'!AN7*EF!$H20)*kgtoGg,"ERROR"))</f>
        <v>0.43686093079793747</v>
      </c>
      <c r="V1083" s="100">
        <f>IF('Net zero activities &amp; levers'!$C$14="Off",('Activity data'!AO7*EF!$H20)*kgtoGg,IF('Net zero activities &amp; levers'!$C$14="On",('Net zero Activity data'!AO7*EF!$H20)*kgtoGg,"ERROR"))</f>
        <v>0.44019144835882135</v>
      </c>
      <c r="W1083" s="100">
        <f>IF('Net zero activities &amp; levers'!$C$14="Off",('Activity data'!AP7*EF!$H20)*kgtoGg,IF('Net zero activities &amp; levers'!$C$14="On",('Net zero Activity data'!AP7*EF!$H20)*kgtoGg,"ERROR"))</f>
        <v>0.44420350981949086</v>
      </c>
      <c r="X1083" s="100">
        <f>IF('Net zero activities &amp; levers'!$C$14="Off",('Activity data'!AQ7*EF!$H20)*kgtoGg,IF('Net zero activities &amp; levers'!$C$14="On",('Net zero Activity data'!AQ7*EF!$H20)*kgtoGg,"ERROR"))</f>
        <v>0.44829085520204021</v>
      </c>
      <c r="Y1083" s="100">
        <f>IF('Net zero activities &amp; levers'!$C$14="Off",('Activity data'!AR7*EF!$H20)*kgtoGg,IF('Net zero activities &amp; levers'!$C$14="On",('Net zero Activity data'!AR7*EF!$H20)*kgtoGg,"ERROR"))</f>
        <v>0.45227077864668558</v>
      </c>
      <c r="Z1083" s="100">
        <f>IF('Net zero activities &amp; levers'!$C$14="Off",('Activity data'!AS7*EF!$H20)*kgtoGg,IF('Net zero activities &amp; levers'!$C$14="On",('Net zero Activity data'!AS7*EF!$H20)*kgtoGg,"ERROR"))</f>
        <v>0.45617108067019357</v>
      </c>
      <c r="AA1083" s="100">
        <f>IF('Net zero activities &amp; levers'!$C$14="Off",('Activity data'!AT7*EF!$H20)*kgtoGg,IF('Net zero activities &amp; levers'!$C$14="On",('Net zero Activity data'!AT7*EF!$H20)*kgtoGg,"ERROR"))</f>
        <v>0.46037213371252356</v>
      </c>
      <c r="AB1083" s="100">
        <f>IF('Net zero activities &amp; levers'!$C$14="Off",('Activity data'!AU7*EF!$H20)*kgtoGg,IF('Net zero activities &amp; levers'!$C$14="On",('Net zero Activity data'!AU7*EF!$H20)*kgtoGg,"ERROR"))</f>
        <v>0.46435044836471168</v>
      </c>
      <c r="AC1083" s="100">
        <f>IF('Net zero activities &amp; levers'!$C$14="Off",('Activity data'!AV7*EF!$H20)*kgtoGg,IF('Net zero activities &amp; levers'!$C$14="On",('Net zero Activity data'!AV7*EF!$H20)*kgtoGg,"ERROR"))</f>
        <v>0.46847146239083864</v>
      </c>
      <c r="AD1083" s="100">
        <f>IF('Net zero activities &amp; levers'!$C$14="Off",('Activity data'!AW7*EF!$H20)*kgtoGg,IF('Net zero activities &amp; levers'!$C$14="On",('Net zero Activity data'!AW7*EF!$H20)*kgtoGg,"ERROR"))</f>
        <v>0.47320613146186896</v>
      </c>
      <c r="AE1083" s="100">
        <f>IF('Net zero activities &amp; levers'!$C$14="Off",('Activity data'!AX7*EF!$H20)*kgtoGg,IF('Net zero activities &amp; levers'!$C$14="On",('Net zero Activity data'!AX7*EF!$H20)*kgtoGg,"ERROR"))</f>
        <v>0.47836268378541491</v>
      </c>
      <c r="AF1083" s="100">
        <f>IF('Net zero activities &amp; levers'!$C$14="Off",('Activity data'!AY7*EF!$H20)*kgtoGg,IF('Net zero activities &amp; levers'!$C$14="On",('Net zero Activity data'!AY7*EF!$H20)*kgtoGg,"ERROR"))</f>
        <v>0.4837239116397628</v>
      </c>
      <c r="AG1083" s="100">
        <f>IF('Net zero activities &amp; levers'!$C$14="Off",('Activity data'!AZ7*EF!$H20)*kgtoGg,IF('Net zero activities &amp; levers'!$C$14="On",('Net zero Activity data'!AZ7*EF!$H20)*kgtoGg,"ERROR"))</f>
        <v>0.48447279323990261</v>
      </c>
      <c r="AH1083" s="100">
        <f>IF('Net zero activities &amp; levers'!$C$14="Off",('Activity data'!BA7*EF!$H20)*kgtoGg,IF('Net zero activities &amp; levers'!$C$14="On",('Net zero Activity data'!BA7*EF!$H20)*kgtoGg,"ERROR"))</f>
        <v>0.25938200675301493</v>
      </c>
      <c r="AI1083" s="100">
        <f>IF('Net zero activities &amp; levers'!$C$14="Off",('Activity data'!BB7*EF!$H20)*kgtoGg,IF('Net zero activities &amp; levers'!$C$14="On",('Net zero Activity data'!BB7*EF!$H20)*kgtoGg,"ERROR"))</f>
        <v>0.25957278063562522</v>
      </c>
      <c r="AJ1083" s="100">
        <f>IF('Net zero activities &amp; levers'!$C$14="Off",('Activity data'!BC7*EF!$H20)*kgtoGg,IF('Net zero activities &amp; levers'!$C$14="On",('Net zero Activity data'!BC7*EF!$H20)*kgtoGg,"ERROR"))</f>
        <v>0.25978861497139094</v>
      </c>
      <c r="AK1083" s="100">
        <f>IF('Net zero activities &amp; levers'!$C$14="Off",('Activity data'!BD7*EF!$H20)*kgtoGg,IF('Net zero activities &amp; levers'!$C$14="On",('Net zero Activity data'!BD7*EF!$H20)*kgtoGg,"ERROR"))</f>
        <v>0.260028557221544</v>
      </c>
      <c r="AL1083" s="100">
        <f>IF('Net zero activities &amp; levers'!$C$14="Off",('Activity data'!BE7*EF!$H20)*kgtoGg,IF('Net zero activities &amp; levers'!$C$14="On",('Net zero Activity data'!BE7*EF!$H20)*kgtoGg,"ERROR"))</f>
        <v>0.26029172820809693</v>
      </c>
      <c r="AM1083" s="100">
        <f>IF('Net zero activities &amp; levers'!$C$14="Off",('Activity data'!BF7*EF!$H20)*kgtoGg,IF('Net zero activities &amp; levers'!$C$14="On",('Net zero Activity data'!BF7*EF!$H20)*kgtoGg,"ERROR"))</f>
        <v>0.26057731516048022</v>
      </c>
      <c r="AN1083" s="100">
        <f>IF('Net zero activities &amp; levers'!$C$14="Off",('Activity data'!BG7*EF!$H20)*kgtoGg,IF('Net zero activities &amp; levers'!$C$14="On",('Net zero Activity data'!BG7*EF!$H20)*kgtoGg,"ERROR"))</f>
        <v>0.26070026887628817</v>
      </c>
      <c r="AO1083" s="100">
        <f>IF('Net zero activities &amp; levers'!$C$14="Off",('Activity data'!BH7*EF!$H20)*kgtoGg,IF('Net zero activities &amp; levers'!$C$14="On",('Net zero Activity data'!BH7*EF!$H20)*kgtoGg,"ERROR"))</f>
        <v>0.26084296294040193</v>
      </c>
      <c r="AP1083" s="100">
        <f>IF('Net zero activities &amp; levers'!$C$14="Off",('Activity data'!BI7*EF!$H20)*kgtoGg,IF('Net zero activities &amp; levers'!$C$14="On",('Net zero Activity data'!BI7*EF!$H20)*kgtoGg,"ERROR"))</f>
        <v>0.26100470788314173</v>
      </c>
      <c r="AQ1083" s="100">
        <f>IF('Net zero activities &amp; levers'!$C$14="Off",('Activity data'!BJ7*EF!$H20)*kgtoGg,IF('Net zero activities &amp; levers'!$C$14="On",('Net zero Activity data'!BJ7*EF!$H20)*kgtoGg,"ERROR"))</f>
        <v>0.26118486128201956</v>
      </c>
      <c r="AR1083" s="100">
        <f>IF('Net zero activities &amp; levers'!$C$14="Off",('Activity data'!BK7*EF!$H20)*kgtoGg,IF('Net zero activities &amp; levers'!$C$14="On",('Net zero Activity data'!BK7*EF!$H20)*kgtoGg,"ERROR"))</f>
        <v>0.26138282376940786</v>
      </c>
      <c r="AS1083" s="100">
        <f>IF('Net zero activities &amp; levers'!$C$14="Off",('Activity data'!BL7*EF!$H20)*kgtoGg,IF('Net zero activities &amp; levers'!$C$14="On",('Net zero Activity data'!BL7*EF!$H20)*kgtoGg,"ERROR"))</f>
        <v>0.26141175290749602</v>
      </c>
      <c r="AT1083" s="100">
        <f>IF('Net zero activities &amp; levers'!$C$14="Off",('Activity data'!BM7*EF!$H20)*kgtoGg,IF('Net zero activities &amp; levers'!$C$14="On",('Net zero Activity data'!BM7*EF!$H20)*kgtoGg,"ERROR"))</f>
        <v>0.26145647024377611</v>
      </c>
      <c r="AU1083" s="100">
        <f>IF('Net zero activities &amp; levers'!$C$14="Off",('Activity data'!BN7*EF!$H20)*kgtoGg,IF('Net zero activities &amp; levers'!$C$14="On",('Net zero Activity data'!BN7*EF!$H20)*kgtoGg,"ERROR"))</f>
        <v>0.26151645247563149</v>
      </c>
      <c r="AV1083" s="100">
        <f>IF('Net zero activities &amp; levers'!$C$14="Off",('Activity data'!BO7*EF!$H20)*kgtoGg,IF('Net zero activities &amp; levers'!$C$14="On",('Net zero Activity data'!BO7*EF!$H20)*kgtoGg,"ERROR"))</f>
        <v>0.26159120817957698</v>
      </c>
      <c r="AW1083" s="100">
        <f>IF('Net zero activities &amp; levers'!$C$14="Off",('Activity data'!BP7*EF!$H20)*kgtoGg,IF('Net zero activities &amp; levers'!$C$14="On",('Net zero Activity data'!BP7*EF!$H20)*kgtoGg,"ERROR"))</f>
        <v>0.26168027536234517</v>
      </c>
      <c r="AY1083" s="85"/>
    </row>
    <row r="1084" spans="1:51" x14ac:dyDescent="0.25">
      <c r="A1084" s="102" t="str">
        <f t="shared" si="373"/>
        <v>CM Cattle MMCH4</v>
      </c>
      <c r="B1084" s="102" t="s">
        <v>1323</v>
      </c>
      <c r="C1084" s="102" t="s">
        <v>1230</v>
      </c>
      <c r="D1084" t="s">
        <v>15</v>
      </c>
      <c r="E1084" t="s">
        <v>22</v>
      </c>
      <c r="F1084" t="s">
        <v>67</v>
      </c>
      <c r="G1084" t="s">
        <v>122</v>
      </c>
      <c r="H1084" t="s">
        <v>1228</v>
      </c>
      <c r="I1084" t="s">
        <v>121</v>
      </c>
      <c r="J1084" t="s">
        <v>286</v>
      </c>
      <c r="K1084" s="100">
        <f>IF('Net zero activities &amp; levers'!$C$14="Off",('Activity data'!AD8*EF!$H21)*kgtoGg,IF('Net zero activities &amp; levers'!$C$14="On",('Net zero Activity data'!AD8*EF!$H21)*kgtoGg,"ERROR"))</f>
        <v>9.5707566285535867E-2</v>
      </c>
      <c r="L1084" s="100">
        <f>IF('Net zero activities &amp; levers'!$C$14="Off",('Activity data'!AE8*EF!$H21)*kgtoGg,IF('Net zero activities &amp; levers'!$C$14="On",('Net zero Activity data'!AE8*EF!$H21)*kgtoGg,"ERROR"))</f>
        <v>9.507317462688053E-2</v>
      </c>
      <c r="M1084" s="100">
        <f>IF('Net zero activities &amp; levers'!$C$14="Off",('Activity data'!AF8*EF!$H21)*kgtoGg,IF('Net zero activities &amp; levers'!$C$14="On",('Net zero Activity data'!AF8*EF!$H21)*kgtoGg,"ERROR"))</f>
        <v>9.3735602326843109E-2</v>
      </c>
      <c r="N1084" s="100">
        <f>IF('Net zero activities &amp; levers'!$C$14="Off",('Activity data'!AG8*EF!$H21)*kgtoGg,IF('Net zero activities &amp; levers'!$C$14="On",('Net zero Activity data'!AG8*EF!$H21)*kgtoGg,"ERROR"))</f>
        <v>9.1480938854138993E-2</v>
      </c>
      <c r="O1084" s="100">
        <f>IF('Net zero activities &amp; levers'!$C$14="Off",('Activity data'!AH8*EF!$H21)*kgtoGg,IF('Net zero activities &amp; levers'!$C$14="On",('Net zero Activity data'!AH8*EF!$H21)*kgtoGg,"ERROR"))</f>
        <v>8.9293409665024345E-2</v>
      </c>
      <c r="P1084" s="100">
        <f>IF('Net zero activities &amp; levers'!$C$14="Off",('Activity data'!AI8*EF!$H21)*kgtoGg,IF('Net zero activities &amp; levers'!$C$14="On",('Net zero Activity data'!AI8*EF!$H21)*kgtoGg,"ERROR"))</f>
        <v>8.7610892686618924E-2</v>
      </c>
      <c r="Q1084" s="100">
        <f>IF('Net zero activities &amp; levers'!$C$14="Off",('Activity data'!AJ8*EF!$H21)*kgtoGg,IF('Net zero activities &amp; levers'!$C$14="On",('Net zero Activity data'!AJ8*EF!$H21)*kgtoGg,"ERROR"))</f>
        <v>8.6089043126348228E-2</v>
      </c>
      <c r="R1084" s="100">
        <f>IF('Net zero activities &amp; levers'!$C$14="Off",('Activity data'!AK8*EF!$H21)*kgtoGg,IF('Net zero activities &amp; levers'!$C$14="On",('Net zero Activity data'!AK8*EF!$H21)*kgtoGg,"ERROR"))</f>
        <v>8.3696304621384818E-2</v>
      </c>
      <c r="S1084" s="100">
        <f>IF('Net zero activities &amp; levers'!$C$14="Off",('Activity data'!AL8*EF!$H21)*kgtoGg,IF('Net zero activities &amp; levers'!$C$14="On",('Net zero Activity data'!AL8*EF!$H21)*kgtoGg,"ERROR"))</f>
        <v>7.34067322961163E-2</v>
      </c>
      <c r="T1084" s="100">
        <f>IF('Net zero activities &amp; levers'!$C$14="Off",('Activity data'!AM8*EF!$H21)*kgtoGg,IF('Net zero activities &amp; levers'!$C$14="On",('Net zero Activity data'!AM8*EF!$H21)*kgtoGg,"ERROR"))</f>
        <v>7.4106416152148968E-2</v>
      </c>
      <c r="U1084" s="100">
        <f>IF('Net zero activities &amp; levers'!$C$14="Off",('Activity data'!AN8*EF!$H21)*kgtoGg,IF('Net zero activities &amp; levers'!$C$14="On",('Net zero Activity data'!AN8*EF!$H21)*kgtoGg,"ERROR"))</f>
        <v>7.4579873174536918E-2</v>
      </c>
      <c r="V1084" s="100">
        <f>IF('Net zero activities &amp; levers'!$C$14="Off",('Activity data'!AO8*EF!$H21)*kgtoGg,IF('Net zero activities &amp; levers'!$C$14="On",('Net zero Activity data'!AO8*EF!$H21)*kgtoGg,"ERROR"))</f>
        <v>7.5037930673723691E-2</v>
      </c>
      <c r="W1084" s="100">
        <f>IF('Net zero activities &amp; levers'!$C$14="Off",('Activity data'!AP8*EF!$H21)*kgtoGg,IF('Net zero activities &amp; levers'!$C$14="On",('Net zero Activity data'!AP8*EF!$H21)*kgtoGg,"ERROR"))</f>
        <v>7.5795447602904714E-2</v>
      </c>
      <c r="X1084" s="100">
        <f>IF('Net zero activities &amp; levers'!$C$14="Off",('Activity data'!AQ8*EF!$H21)*kgtoGg,IF('Net zero activities &amp; levers'!$C$14="On",('Net zero Activity data'!AQ8*EF!$H21)*kgtoGg,"ERROR"))</f>
        <v>7.6527998633535405E-2</v>
      </c>
      <c r="Y1084" s="100">
        <f>IF('Net zero activities &amp; levers'!$C$14="Off",('Activity data'!AR8*EF!$H21)*kgtoGg,IF('Net zero activities &amp; levers'!$C$14="On",('Net zero Activity data'!AR8*EF!$H21)*kgtoGg,"ERROR"))</f>
        <v>7.7297067256649366E-2</v>
      </c>
      <c r="Z1084" s="100">
        <f>IF('Net zero activities &amp; levers'!$C$14="Off",('Activity data'!AS8*EF!$H21)*kgtoGg,IF('Net zero activities &amp; levers'!$C$14="On",('Net zero Activity data'!AS8*EF!$H21)*kgtoGg,"ERROR"))</f>
        <v>7.7966609512140975E-2</v>
      </c>
      <c r="AA1084" s="100">
        <f>IF('Net zero activities &amp; levers'!$C$14="Off",('Activity data'!AT8*EF!$H21)*kgtoGg,IF('Net zero activities &amp; levers'!$C$14="On",('Net zero Activity data'!AT8*EF!$H21)*kgtoGg,"ERROR"))</f>
        <v>7.8728639390587538E-2</v>
      </c>
      <c r="AB1084" s="100">
        <f>IF('Net zero activities &amp; levers'!$C$14="Off",('Activity data'!AU8*EF!$H21)*kgtoGg,IF('Net zero activities &amp; levers'!$C$14="On",('Net zero Activity data'!AU8*EF!$H21)*kgtoGg,"ERROR"))</f>
        <v>7.9324953589457362E-2</v>
      </c>
      <c r="AC1084" s="100">
        <f>IF('Net zero activities &amp; levers'!$C$14="Off",('Activity data'!AV8*EF!$H21)*kgtoGg,IF('Net zero activities &amp; levers'!$C$14="On",('Net zero Activity data'!AV8*EF!$H21)*kgtoGg,"ERROR"))</f>
        <v>7.9937629648305739E-2</v>
      </c>
      <c r="AD1084" s="100">
        <f>IF('Net zero activities &amp; levers'!$C$14="Off",('Activity data'!AW8*EF!$H21)*kgtoGg,IF('Net zero activities &amp; levers'!$C$14="On",('Net zero Activity data'!AW8*EF!$H21)*kgtoGg,"ERROR"))</f>
        <v>8.0222991747189526E-2</v>
      </c>
      <c r="AE1084" s="100">
        <f>IF('Net zero activities &amp; levers'!$C$14="Off",('Activity data'!AX8*EF!$H21)*kgtoGg,IF('Net zero activities &amp; levers'!$C$14="On",('Net zero Activity data'!AX8*EF!$H21)*kgtoGg,"ERROR"))</f>
        <v>8.0614281081104813E-2</v>
      </c>
      <c r="AF1084" s="100">
        <f>IF('Net zero activities &amp; levers'!$C$14="Off",('Activity data'!AY8*EF!$H21)*kgtoGg,IF('Net zero activities &amp; levers'!$C$14="On",('Net zero Activity data'!AY8*EF!$H21)*kgtoGg,"ERROR"))</f>
        <v>8.100406028659024E-2</v>
      </c>
      <c r="AG1084" s="100">
        <f>IF('Net zero activities &amp; levers'!$C$14="Off",('Activity data'!AZ8*EF!$H21)*kgtoGg,IF('Net zero activities &amp; levers'!$C$14="On",('Net zero Activity data'!AZ8*EF!$H21)*kgtoGg,"ERROR"))</f>
        <v>7.9286126804775037E-2</v>
      </c>
      <c r="AH1084" s="100">
        <f>IF('Net zero activities &amp; levers'!$C$14="Off",('Activity data'!BA8*EF!$H21)*kgtoGg,IF('Net zero activities &amp; levers'!$C$14="On",('Net zero Activity data'!BA8*EF!$H21)*kgtoGg,"ERROR"))</f>
        <v>-1.8702500653157286E-2</v>
      </c>
      <c r="AI1084" s="100">
        <f>IF('Net zero activities &amp; levers'!$C$14="Off",('Activity data'!BB8*EF!$H21)*kgtoGg,IF('Net zero activities &amp; levers'!$C$14="On",('Net zero Activity data'!BB8*EF!$H21)*kgtoGg,"ERROR"))</f>
        <v>-1.8268667685025074E-2</v>
      </c>
      <c r="AJ1084" s="100">
        <f>IF('Net zero activities &amp; levers'!$C$14="Off",('Activity data'!BC8*EF!$H21)*kgtoGg,IF('Net zero activities &amp; levers'!$C$14="On",('Net zero Activity data'!BC8*EF!$H21)*kgtoGg,"ERROR"))</f>
        <v>-1.7841734022548978E-2</v>
      </c>
      <c r="AK1084" s="100">
        <f>IF('Net zero activities &amp; levers'!$C$14="Off",('Activity data'!BD8*EF!$H21)*kgtoGg,IF('Net zero activities &amp; levers'!$C$14="On",('Net zero Activity data'!BD8*EF!$H21)*kgtoGg,"ERROR"))</f>
        <v>-1.7421338317040982E-2</v>
      </c>
      <c r="AL1084" s="100">
        <f>IF('Net zero activities &amp; levers'!$C$14="Off",('Activity data'!BE8*EF!$H21)*kgtoGg,IF('Net zero activities &amp; levers'!$C$14="On",('Net zero Activity data'!BE8*EF!$H21)*kgtoGg,"ERROR"))</f>
        <v>-1.7007144202009699E-2</v>
      </c>
      <c r="AM1084" s="100">
        <f>IF('Net zero activities &amp; levers'!$C$14="Off",('Activity data'!BF8*EF!$H21)*kgtoGg,IF('Net zero activities &amp; levers'!$C$14="On",('Net zero Activity data'!BF8*EF!$H21)*kgtoGg,"ERROR"))</f>
        <v>-1.6598837978205473E-2</v>
      </c>
      <c r="AN1084" s="100">
        <f>IF('Net zero activities &amp; levers'!$C$14="Off",('Activity data'!BG8*EF!$H21)*kgtoGg,IF('Net zero activities &amp; levers'!$C$14="On",('Net zero Activity data'!BG8*EF!$H21)*kgtoGg,"ERROR"))</f>
        <v>-1.6267793993705613E-2</v>
      </c>
      <c r="AO1084" s="100">
        <f>IF('Net zero activities &amp; levers'!$C$14="Off",('Activity data'!BH8*EF!$H21)*kgtoGg,IF('Net zero activities &amp; levers'!$C$14="On",('Net zero Activity data'!BH8*EF!$H21)*kgtoGg,"ERROR"))</f>
        <v>-1.5941750028753716E-2</v>
      </c>
      <c r="AP1084" s="100">
        <f>IF('Net zero activities &amp; levers'!$C$14="Off",('Activity data'!BI8*EF!$H21)*kgtoGg,IF('Net zero activities &amp; levers'!$C$14="On",('Net zero Activity data'!BI8*EF!$H21)*kgtoGg,"ERROR"))</f>
        <v>-1.562047950725113E-2</v>
      </c>
      <c r="AQ1084" s="100">
        <f>IF('Net zero activities &amp; levers'!$C$14="Off",('Activity data'!BJ8*EF!$H21)*kgtoGg,IF('Net zero activities &amp; levers'!$C$14="On",('Net zero Activity data'!BJ8*EF!$H21)*kgtoGg,"ERROR"))</f>
        <v>-1.5303769944962587E-2</v>
      </c>
      <c r="AR1084" s="100">
        <f>IF('Net zero activities &amp; levers'!$C$14="Off",('Activity data'!BK8*EF!$H21)*kgtoGg,IF('Net zero activities &amp; levers'!$C$14="On",('Net zero Activity data'!BK8*EF!$H21)*kgtoGg,"ERROR"))</f>
        <v>-1.4991421781067962E-2</v>
      </c>
      <c r="AS1084" s="100">
        <f>IF('Net zero activities &amp; levers'!$C$14="Off",('Activity data'!BL8*EF!$H21)*kgtoGg,IF('Net zero activities &amp; levers'!$C$14="On",('Net zero Activity data'!BL8*EF!$H21)*kgtoGg,"ERROR"))</f>
        <v>-1.4673268106464171E-2</v>
      </c>
      <c r="AT1084" s="100">
        <f>IF('Net zero activities &amp; levers'!$C$14="Off",('Activity data'!BM8*EF!$H21)*kgtoGg,IF('Net zero activities &amp; levers'!$C$14="On",('Net zero Activity data'!BM8*EF!$H21)*kgtoGg,"ERROR"))</f>
        <v>-1.4359489450627001E-2</v>
      </c>
      <c r="AU1084" s="100">
        <f>IF('Net zero activities &amp; levers'!$C$14="Off",('Activity data'!BN8*EF!$H21)*kgtoGg,IF('Net zero activities &amp; levers'!$C$14="On",('Net zero Activity data'!BN8*EF!$H21)*kgtoGg,"ERROR"))</f>
        <v>-1.40499137071168E-2</v>
      </c>
      <c r="AV1084" s="100">
        <f>IF('Net zero activities &amp; levers'!$C$14="Off",('Activity data'!BO8*EF!$H21)*kgtoGg,IF('Net zero activities &amp; levers'!$C$14="On",('Net zero Activity data'!BO8*EF!$H21)*kgtoGg,"ERROR"))</f>
        <v>-1.3744378438980727E-2</v>
      </c>
      <c r="AW1084" s="100">
        <f>IF('Net zero activities &amp; levers'!$C$14="Off",('Activity data'!BP8*EF!$H21)*kgtoGg,IF('Net zero activities &amp; levers'!$C$14="On",('Net zero Activity data'!BP8*EF!$H21)*kgtoGg,"ERROR"))</f>
        <v>-1.3442730156179297E-2</v>
      </c>
      <c r="AY1084" s="85"/>
    </row>
    <row r="1085" spans="1:51" x14ac:dyDescent="0.25">
      <c r="A1085" s="102" t="str">
        <f t="shared" si="373"/>
        <v>CM Cattle MMCH4</v>
      </c>
      <c r="B1085" s="102" t="s">
        <v>1323</v>
      </c>
      <c r="C1085" s="102" t="s">
        <v>1230</v>
      </c>
      <c r="D1085" t="s">
        <v>15</v>
      </c>
      <c r="E1085" t="s">
        <v>22</v>
      </c>
      <c r="F1085" t="s">
        <v>67</v>
      </c>
      <c r="G1085" t="s">
        <v>123</v>
      </c>
      <c r="H1085" t="s">
        <v>1228</v>
      </c>
      <c r="I1085" t="s">
        <v>121</v>
      </c>
      <c r="J1085" t="s">
        <v>286</v>
      </c>
      <c r="K1085" s="100">
        <f>IF('Net zero activities &amp; levers'!$C$14="Off",('Activity data'!AD9*EF!$H22)*kgtoGg,IF('Net zero activities &amp; levers'!$C$14="On",('Net zero Activity data'!AD9*EF!$H22)*kgtoGg,"ERROR"))</f>
        <v>7.0303494563391522E-2</v>
      </c>
      <c r="L1085" s="100">
        <f>IF('Net zero activities &amp; levers'!$C$14="Off",('Activity data'!AE9*EF!$H22)*kgtoGg,IF('Net zero activities &amp; levers'!$C$14="On",('Net zero Activity data'!AE9*EF!$H22)*kgtoGg,"ERROR"))</f>
        <v>6.9837492216280578E-2</v>
      </c>
      <c r="M1085" s="100">
        <f>IF('Net zero activities &amp; levers'!$C$14="Off",('Activity data'!AF9*EF!$H22)*kgtoGg,IF('Net zero activities &amp; levers'!$C$14="On",('Net zero Activity data'!AF9*EF!$H22)*kgtoGg,"ERROR"))</f>
        <v>6.8854957495428151E-2</v>
      </c>
      <c r="N1085" s="100">
        <f>IF('Net zero activities &amp; levers'!$C$14="Off",('Activity data'!AG9*EF!$H22)*kgtoGg,IF('Net zero activities &amp; levers'!$C$14="On",('Net zero Activity data'!AG9*EF!$H22)*kgtoGg,"ERROR"))</f>
        <v>6.7198759063606908E-2</v>
      </c>
      <c r="O1085" s="100">
        <f>IF('Net zero activities &amp; levers'!$C$14="Off",('Activity data'!AH9*EF!$H22)*kgtoGg,IF('Net zero activities &amp; levers'!$C$14="On",('Net zero Activity data'!AH9*EF!$H22)*kgtoGg,"ERROR"))</f>
        <v>6.5591875173201017E-2</v>
      </c>
      <c r="P1085" s="100">
        <f>IF('Net zero activities &amp; levers'!$C$14="Off",('Activity data'!AI9*EF!$H22)*kgtoGg,IF('Net zero activities &amp; levers'!$C$14="On",('Net zero Activity data'!AI9*EF!$H22)*kgtoGg,"ERROR"))</f>
        <v>6.4355955926323108E-2</v>
      </c>
      <c r="Q1085" s="100">
        <f>IF('Net zero activities &amp; levers'!$C$14="Off",('Activity data'!AJ9*EF!$H22)*kgtoGg,IF('Net zero activities &amp; levers'!$C$14="On",('Net zero Activity data'!AJ9*EF!$H22)*kgtoGg,"ERROR"))</f>
        <v>6.3238057452470034E-2</v>
      </c>
      <c r="R1085" s="100">
        <f>IF('Net zero activities &amp; levers'!$C$14="Off",('Activity data'!AK9*EF!$H22)*kgtoGg,IF('Net zero activities &amp; levers'!$C$14="On",('Net zero Activity data'!AK9*EF!$H22)*kgtoGg,"ERROR"))</f>
        <v>6.1480433839166078E-2</v>
      </c>
      <c r="S1085" s="100">
        <f>IF('Net zero activities &amp; levers'!$C$14="Off",('Activity data'!AL9*EF!$H22)*kgtoGg,IF('Net zero activities &amp; levers'!$C$14="On",('Net zero Activity data'!AL9*EF!$H22)*kgtoGg,"ERROR"))</f>
        <v>5.392206703386089E-2</v>
      </c>
      <c r="T1085" s="100">
        <f>IF('Net zero activities &amp; levers'!$C$14="Off",('Activity data'!AM9*EF!$H22)*kgtoGg,IF('Net zero activities &amp; levers'!$C$14="On",('Net zero Activity data'!AM9*EF!$H22)*kgtoGg,"ERROR"))</f>
        <v>5.4436030789055859E-2</v>
      </c>
      <c r="U1085" s="100">
        <f>IF('Net zero activities &amp; levers'!$C$14="Off",('Activity data'!AN9*EF!$H22)*kgtoGg,IF('Net zero activities &amp; levers'!$C$14="On",('Net zero Activity data'!AN9*EF!$H22)*kgtoGg,"ERROR"))</f>
        <v>5.4783816073869653E-2</v>
      </c>
      <c r="V1085" s="100">
        <f>IF('Net zero activities &amp; levers'!$C$14="Off",('Activity data'!AO9*EF!$H22)*kgtoGg,IF('Net zero activities &amp; levers'!$C$14="On",('Net zero Activity data'!AO9*EF!$H22)*kgtoGg,"ERROR"))</f>
        <v>5.5120289397281967E-2</v>
      </c>
      <c r="W1085" s="100">
        <f>IF('Net zero activities &amp; levers'!$C$14="Off",('Activity data'!AP9*EF!$H22)*kgtoGg,IF('Net zero activities &amp; levers'!$C$14="On",('Net zero Activity data'!AP9*EF!$H22)*kgtoGg,"ERROR"))</f>
        <v>5.5676735343817389E-2</v>
      </c>
      <c r="X1085" s="100">
        <f>IF('Net zero activities &amp; levers'!$C$14="Off",('Activity data'!AQ9*EF!$H22)*kgtoGg,IF('Net zero activities &amp; levers'!$C$14="On",('Net zero Activity data'!AQ9*EF!$H22)*kgtoGg,"ERROR"))</f>
        <v>5.6214842197832481E-2</v>
      </c>
      <c r="Y1085" s="100">
        <f>IF('Net zero activities &amp; levers'!$C$14="Off",('Activity data'!AR9*EF!$H22)*kgtoGg,IF('Net zero activities &amp; levers'!$C$14="On",('Net zero Activity data'!AR9*EF!$H22)*kgtoGg,"ERROR"))</f>
        <v>5.6779773622404078E-2</v>
      </c>
      <c r="Z1085" s="100">
        <f>IF('Net zero activities &amp; levers'!$C$14="Off",('Activity data'!AS9*EF!$H22)*kgtoGg,IF('Net zero activities &amp; levers'!$C$14="On",('Net zero Activity data'!AS9*EF!$H22)*kgtoGg,"ERROR"))</f>
        <v>5.7271596391969458E-2</v>
      </c>
      <c r="AA1085" s="100">
        <f>IF('Net zero activities &amp; levers'!$C$14="Off",('Activity data'!AT9*EF!$H22)*kgtoGg,IF('Net zero activities &amp; levers'!$C$14="On",('Net zero Activity data'!AT9*EF!$H22)*kgtoGg,"ERROR"))</f>
        <v>5.7831357396200579E-2</v>
      </c>
      <c r="AB1085" s="100">
        <f>IF('Net zero activities &amp; levers'!$C$14="Off",('Activity data'!AU9*EF!$H22)*kgtoGg,IF('Net zero activities &amp; levers'!$C$14="On",('Net zero Activity data'!AU9*EF!$H22)*kgtoGg,"ERROR"))</f>
        <v>5.826938934775229E-2</v>
      </c>
      <c r="AC1085" s="100">
        <f>IF('Net zero activities &amp; levers'!$C$14="Off",('Activity data'!AV9*EF!$H22)*kgtoGg,IF('Net zero activities &amp; levers'!$C$14="On",('Net zero Activity data'!AV9*EF!$H22)*kgtoGg,"ERROR"))</f>
        <v>5.8719440160285359E-2</v>
      </c>
      <c r="AD1085" s="100">
        <f>IF('Net zero activities &amp; levers'!$C$14="Off",('Activity data'!AW9*EF!$H22)*kgtoGg,IF('Net zero activities &amp; levers'!$C$14="On",('Net zero Activity data'!AW9*EF!$H22)*kgtoGg,"ERROR"))</f>
        <v>5.8929057367639905E-2</v>
      </c>
      <c r="AE1085" s="100">
        <f>IF('Net zero activities &amp; levers'!$C$14="Off",('Activity data'!AX9*EF!$H22)*kgtoGg,IF('Net zero activities &amp; levers'!$C$14="On",('Net zero Activity data'!AX9*EF!$H22)*kgtoGg,"ERROR"))</f>
        <v>5.92164850875921E-2</v>
      </c>
      <c r="AF1085" s="100">
        <f>IF('Net zero activities &amp; levers'!$C$14="Off",('Activity data'!AY9*EF!$H22)*kgtoGg,IF('Net zero activities &amp; levers'!$C$14="On",('Net zero Activity data'!AY9*EF!$H22)*kgtoGg,"ERROR"))</f>
        <v>5.9502803519010737E-2</v>
      </c>
      <c r="AG1085" s="100">
        <f>IF('Net zero activities &amp; levers'!$C$14="Off",('Activity data'!AZ9*EF!$H22)*kgtoGg,IF('Net zero activities &amp; levers'!$C$14="On",('Net zero Activity data'!AZ9*EF!$H22)*kgtoGg,"ERROR"))</f>
        <v>5.8240868523832451E-2</v>
      </c>
      <c r="AH1085" s="100">
        <f>IF('Net zero activities &amp; levers'!$C$14="Off",('Activity data'!BA9*EF!$H22)*kgtoGg,IF('Net zero activities &amp; levers'!$C$14="On",('Net zero Activity data'!BA9*EF!$H22)*kgtoGg,"ERROR"))</f>
        <v>-1.3738215315895889E-2</v>
      </c>
      <c r="AI1085" s="100">
        <f>IF('Net zero activities &amp; levers'!$C$14="Off",('Activity data'!BB9*EF!$H22)*kgtoGg,IF('Net zero activities &amp; levers'!$C$14="On",('Net zero Activity data'!BB9*EF!$H22)*kgtoGg,"ERROR"))</f>
        <v>-1.3419536501877058E-2</v>
      </c>
      <c r="AJ1085" s="100">
        <f>IF('Net zero activities &amp; levers'!$C$14="Off",('Activity data'!BC9*EF!$H22)*kgtoGg,IF('Net zero activities &amp; levers'!$C$14="On",('Net zero Activity data'!BC9*EF!$H22)*kgtoGg,"ERROR"))</f>
        <v>-1.3105925681085005E-2</v>
      </c>
      <c r="AK1085" s="100">
        <f>IF('Net zero activities &amp; levers'!$C$14="Off",('Activity data'!BD9*EF!$H22)*kgtoGg,IF('Net zero activities &amp; levers'!$C$14="On",('Net zero Activity data'!BD9*EF!$H22)*kgtoGg,"ERROR"))</f>
        <v>-1.2797117419171011E-2</v>
      </c>
      <c r="AL1085" s="100">
        <f>IF('Net zero activities &amp; levers'!$C$14="Off",('Activity data'!BE9*EF!$H22)*kgtoGg,IF('Net zero activities &amp; levers'!$C$14="On",('Net zero Activity data'!BE9*EF!$H22)*kgtoGg,"ERROR"))</f>
        <v>-1.2492864632850905E-2</v>
      </c>
      <c r="AM1085" s="100">
        <f>IF('Net zero activities &amp; levers'!$C$14="Off",('Activity data'!BF9*EF!$H22)*kgtoGg,IF('Net zero activities &amp; levers'!$C$14="On",('Net zero Activity data'!BF9*EF!$H22)*kgtoGg,"ERROR"))</f>
        <v>-1.2192936889418591E-2</v>
      </c>
      <c r="AN1085" s="100">
        <f>IF('Net zero activities &amp; levers'!$C$14="Off",('Activity data'!BG9*EF!$H22)*kgtoGg,IF('Net zero activities &amp; levers'!$C$14="On",('Net zero Activity data'!BG9*EF!$H22)*kgtoGg,"ERROR"))</f>
        <v>-1.1949763336189845E-2</v>
      </c>
      <c r="AO1085" s="100">
        <f>IF('Net zero activities &amp; levers'!$C$14="Off",('Activity data'!BH9*EF!$H22)*kgtoGg,IF('Net zero activities &amp; levers'!$C$14="On",('Net zero Activity data'!BH9*EF!$H22)*kgtoGg,"ERROR"))</f>
        <v>-1.1710262625775411E-2</v>
      </c>
      <c r="AP1085" s="100">
        <f>IF('Net zero activities &amp; levers'!$C$14="Off",('Activity data'!BI9*EF!$H22)*kgtoGg,IF('Net zero activities &amp; levers'!$C$14="On",('Net zero Activity data'!BI9*EF!$H22)*kgtoGg,"ERROR"))</f>
        <v>-1.1474268323146819E-2</v>
      </c>
      <c r="AQ1085" s="100">
        <f>IF('Net zero activities &amp; levers'!$C$14="Off",('Activity data'!BJ9*EF!$H22)*kgtoGg,IF('Net zero activities &amp; levers'!$C$14="On",('Net zero Activity data'!BJ9*EF!$H22)*kgtoGg,"ERROR"))</f>
        <v>-1.1241624344674956E-2</v>
      </c>
      <c r="AR1085" s="100">
        <f>IF('Net zero activities &amp; levers'!$C$14="Off",('Activity data'!BK9*EF!$H22)*kgtoGg,IF('Net zero activities &amp; levers'!$C$14="On",('Net zero Activity data'!BK9*EF!$H22)*kgtoGg,"ERROR"))</f>
        <v>-1.1012184099828085E-2</v>
      </c>
      <c r="AS1085" s="100">
        <f>IF('Net zero activities &amp; levers'!$C$14="Off",('Activity data'!BL9*EF!$H22)*kgtoGg,IF('Net zero activities &amp; levers'!$C$14="On",('Net zero Activity data'!BL9*EF!$H22)*kgtoGg,"ERROR"))</f>
        <v>-1.0778479325995476E-2</v>
      </c>
      <c r="AT1085" s="100">
        <f>IF('Net zero activities &amp; levers'!$C$14="Off",('Activity data'!BM9*EF!$H22)*kgtoGg,IF('Net zero activities &amp; levers'!$C$14="On",('Net zero Activity data'!BM9*EF!$H22)*kgtoGg,"ERROR"))</f>
        <v>-1.0547988290846352E-2</v>
      </c>
      <c r="AU1085" s="100">
        <f>IF('Net zero activities &amp; levers'!$C$14="Off",('Activity data'!BN9*EF!$H22)*kgtoGg,IF('Net zero activities &amp; levers'!$C$14="On",('Net zero Activity data'!BN9*EF!$H22)*kgtoGg,"ERROR"))</f>
        <v>-1.032058457089494E-2</v>
      </c>
      <c r="AV1085" s="100">
        <f>IF('Net zero activities &amp; levers'!$C$14="Off",('Activity data'!BO9*EF!$H22)*kgtoGg,IF('Net zero activities &amp; levers'!$C$14="On",('Net zero Activity data'!BO9*EF!$H22)*kgtoGg,"ERROR"))</f>
        <v>-1.0096148845528728E-2</v>
      </c>
      <c r="AW1085" s="100">
        <f>IF('Net zero activities &amp; levers'!$C$14="Off",('Activity data'!BP9*EF!$H22)*kgtoGg,IF('Net zero activities &amp; levers'!$C$14="On",('Net zero Activity data'!BP9*EF!$H22)*kgtoGg,"ERROR"))</f>
        <v>-9.8745683662308046E-3</v>
      </c>
      <c r="AY1085" s="85"/>
    </row>
    <row r="1086" spans="1:51" x14ac:dyDescent="0.25">
      <c r="A1086" s="102" t="str">
        <f t="shared" si="373"/>
        <v>CM Cattle MMCH4</v>
      </c>
      <c r="B1086" s="102" t="s">
        <v>1323</v>
      </c>
      <c r="C1086" s="102" t="s">
        <v>1230</v>
      </c>
      <c r="D1086" t="s">
        <v>15</v>
      </c>
      <c r="E1086" t="s">
        <v>22</v>
      </c>
      <c r="F1086" t="s">
        <v>67</v>
      </c>
      <c r="G1086" t="s">
        <v>135</v>
      </c>
      <c r="H1086" t="s">
        <v>1228</v>
      </c>
      <c r="I1086" t="s">
        <v>121</v>
      </c>
      <c r="J1086" t="s">
        <v>286</v>
      </c>
      <c r="K1086" s="100">
        <f>IF('Net zero activities &amp; levers'!$C$14="Off",('Activity data'!AD10*EF!$H23)*kgtoGg,IF('Net zero activities &amp; levers'!$C$14="On",('Net zero Activity data'!AD10*EF!$H23)*kgtoGg,"ERROR"))</f>
        <v>0.47365013870542771</v>
      </c>
      <c r="L1086" s="100">
        <f>IF('Net zero activities &amp; levers'!$C$14="Off",('Activity data'!AE10*EF!$H23)*kgtoGg,IF('Net zero activities &amp; levers'!$C$14="On",('Net zero Activity data'!AE10*EF!$H23)*kgtoGg,"ERROR"))</f>
        <v>0.49051927106458876</v>
      </c>
      <c r="M1086" s="100">
        <f>IF('Net zero activities &amp; levers'!$C$14="Off",('Activity data'!AF10*EF!$H23)*kgtoGg,IF('Net zero activities &amp; levers'!$C$14="On",('Net zero Activity data'!AF10*EF!$H23)*kgtoGg,"ERROR"))</f>
        <v>0.50390876804084606</v>
      </c>
      <c r="N1086" s="100">
        <f>IF('Net zero activities &amp; levers'!$C$14="Off",('Activity data'!AG10*EF!$H23)*kgtoGg,IF('Net zero activities &amp; levers'!$C$14="On",('Net zero Activity data'!AG10*EF!$H23)*kgtoGg,"ERROR"))</f>
        <v>0.51218897212451775</v>
      </c>
      <c r="O1086" s="100">
        <f>IF('Net zero activities &amp; levers'!$C$14="Off",('Activity data'!AH10*EF!$H23)*kgtoGg,IF('Net zero activities &amp; levers'!$C$14="On",('Net zero Activity data'!AH10*EF!$H23)*kgtoGg,"ERROR"))</f>
        <v>0.5204864616851187</v>
      </c>
      <c r="P1086" s="100">
        <f>IF('Net zero activities &amp; levers'!$C$14="Off",('Activity data'!AI10*EF!$H23)*kgtoGg,IF('Net zero activities &amp; levers'!$C$14="On",('Net zero Activity data'!AI10*EF!$H23)*kgtoGg,"ERROR"))</f>
        <v>0.5315053909957832</v>
      </c>
      <c r="Q1086" s="100">
        <f>IF('Net zero activities &amp; levers'!$C$14="Off",('Activity data'!AJ10*EF!$H23)*kgtoGg,IF('Net zero activities &amp; levers'!$C$14="On",('Net zero Activity data'!AJ10*EF!$H23)*kgtoGg,"ERROR"))</f>
        <v>0.54344267992188611</v>
      </c>
      <c r="R1086" s="100">
        <f>IF('Net zero activities &amp; levers'!$C$14="Off",('Activity data'!AK10*EF!$H23)*kgtoGg,IF('Net zero activities &amp; levers'!$C$14="On",('Net zero Activity data'!AK10*EF!$H23)*kgtoGg,"ERROR"))</f>
        <v>0.54965498610396035</v>
      </c>
      <c r="S1086" s="100">
        <f>IF('Net zero activities &amp; levers'!$C$14="Off",('Activity data'!AL10*EF!$H23)*kgtoGg,IF('Net zero activities &amp; levers'!$C$14="On",('Net zero Activity data'!AL10*EF!$H23)*kgtoGg,"ERROR"))</f>
        <v>0.50146701948783567</v>
      </c>
      <c r="T1086" s="100">
        <f>IF('Net zero activities &amp; levers'!$C$14="Off",('Activity data'!AM10*EF!$H23)*kgtoGg,IF('Net zero activities &amp; levers'!$C$14="On",('Net zero Activity data'!AM10*EF!$H23)*kgtoGg,"ERROR"))</f>
        <v>0.51834473155778682</v>
      </c>
      <c r="U1086" s="100">
        <f>IF('Net zero activities &amp; levers'!$C$14="Off",('Activity data'!AN10*EF!$H23)*kgtoGg,IF('Net zero activities &amp; levers'!$C$14="On",('Net zero Activity data'!AN10*EF!$H23)*kgtoGg,"ERROR"))</f>
        <v>0.53395156186316528</v>
      </c>
      <c r="V1086" s="100">
        <f>IF('Net zero activities &amp; levers'!$C$14="Off",('Activity data'!AO10*EF!$H23)*kgtoGg,IF('Net zero activities &amp; levers'!$C$14="On",('Net zero Activity data'!AO10*EF!$H23)*kgtoGg,"ERROR"))</f>
        <v>0.54973255397230381</v>
      </c>
      <c r="W1086" s="100">
        <f>IF('Net zero activities &amp; levers'!$C$14="Off",('Activity data'!AP10*EF!$H23)*kgtoGg,IF('Net zero activities &amp; levers'!$C$14="On",('Net zero Activity data'!AP10*EF!$H23)*kgtoGg,"ERROR"))</f>
        <v>0.56805189648716081</v>
      </c>
      <c r="X1086" s="100">
        <f>IF('Net zero activities &amp; levers'!$C$14="Off",('Activity data'!AQ10*EF!$H23)*kgtoGg,IF('Net zero activities &amp; levers'!$C$14="On",('Net zero Activity data'!AQ10*EF!$H23)*kgtoGg,"ERROR"))</f>
        <v>0.58658806930488216</v>
      </c>
      <c r="Y1086" s="100">
        <f>IF('Net zero activities &amp; levers'!$C$14="Off",('Activity data'!AR10*EF!$H23)*kgtoGg,IF('Net zero activities &amp; levers'!$C$14="On",('Net zero Activity data'!AR10*EF!$H23)*kgtoGg,"ERROR"))</f>
        <v>0.60582393990405248</v>
      </c>
      <c r="Z1086" s="100">
        <f>IF('Net zero activities &amp; levers'!$C$14="Off",('Activity data'!AS10*EF!$H23)*kgtoGg,IF('Net zero activities &amp; levers'!$C$14="On",('Net zero Activity data'!AS10*EF!$H23)*kgtoGg,"ERROR"))</f>
        <v>0.62470251247800967</v>
      </c>
      <c r="AA1086" s="100">
        <f>IF('Net zero activities &amp; levers'!$C$14="Off",('Activity data'!AT10*EF!$H23)*kgtoGg,IF('Net zero activities &amp; levers'!$C$14="On",('Net zero Activity data'!AT10*EF!$H23)*kgtoGg,"ERROR"))</f>
        <v>0.64475774385290952</v>
      </c>
      <c r="AB1086" s="100">
        <f>IF('Net zero activities &amp; levers'!$C$14="Off",('Activity data'!AU10*EF!$H23)*kgtoGg,IF('Net zero activities &amp; levers'!$C$14="On",('Net zero Activity data'!AU10*EF!$H23)*kgtoGg,"ERROR"))</f>
        <v>0.66389235390041079</v>
      </c>
      <c r="AC1086" s="100">
        <f>IF('Net zero activities &amp; levers'!$C$14="Off",('Activity data'!AV10*EF!$H23)*kgtoGg,IF('Net zero activities &amp; levers'!$C$14="On",('Net zero Activity data'!AV10*EF!$H23)*kgtoGg,"ERROR"))</f>
        <v>0.68358758575882406</v>
      </c>
      <c r="AD1086" s="100">
        <f>IF('Net zero activities &amp; levers'!$C$14="Off",('Activity data'!AW10*EF!$H23)*kgtoGg,IF('Net zero activities &amp; levers'!$C$14="On",('Net zero Activity data'!AW10*EF!$H23)*kgtoGg,"ERROR"))</f>
        <v>0.7086584440058149</v>
      </c>
      <c r="AE1086" s="100">
        <f>IF('Net zero activities &amp; levers'!$C$14="Off",('Activity data'!AX10*EF!$H23)*kgtoGg,IF('Net zero activities &amp; levers'!$C$14="On",('Net zero Activity data'!AX10*EF!$H23)*kgtoGg,"ERROR"))</f>
        <v>0.73565241500726219</v>
      </c>
      <c r="AF1086" s="100">
        <f>IF('Net zero activities &amp; levers'!$C$14="Off",('Activity data'!AY10*EF!$H23)*kgtoGg,IF('Net zero activities &amp; levers'!$C$14="On",('Net zero Activity data'!AY10*EF!$H23)*kgtoGg,"ERROR"))</f>
        <v>0.76370616641189881</v>
      </c>
      <c r="AG1086" s="100">
        <f>IF('Net zero activities &amp; levers'!$C$14="Off",('Activity data'!AZ10*EF!$H23)*kgtoGg,IF('Net zero activities &amp; levers'!$C$14="On",('Net zero Activity data'!AZ10*EF!$H23)*kgtoGg,"ERROR"))</f>
        <v>0.77236145848334026</v>
      </c>
      <c r="AH1086" s="100">
        <f>IF('Net zero activities &amp; levers'!$C$14="Off",('Activity data'!BA10*EF!$H23)*kgtoGg,IF('Net zero activities &amp; levers'!$C$14="On",('Net zero Activity data'!BA10*EF!$H23)*kgtoGg,"ERROR"))</f>
        <v>-0.18826983110818521</v>
      </c>
      <c r="AI1086" s="100">
        <f>IF('Net zero activities &amp; levers'!$C$14="Off",('Activity data'!BB10*EF!$H23)*kgtoGg,IF('Net zero activities &amp; levers'!$C$14="On",('Net zero Activity data'!BB10*EF!$H23)*kgtoGg,"ERROR"))</f>
        <v>-0.19006759890243963</v>
      </c>
      <c r="AJ1086" s="100">
        <f>IF('Net zero activities &amp; levers'!$C$14="Off",('Activity data'!BC10*EF!$H23)*kgtoGg,IF('Net zero activities &amp; levers'!$C$14="On",('Net zero Activity data'!BC10*EF!$H23)*kgtoGg,"ERROR"))</f>
        <v>-0.19187998371586665</v>
      </c>
      <c r="AK1086" s="100">
        <f>IF('Net zero activities &amp; levers'!$C$14="Off",('Activity data'!BD10*EF!$H23)*kgtoGg,IF('Net zero activities &amp; levers'!$C$14="On",('Net zero Activity data'!BD10*EF!$H23)*kgtoGg,"ERROR"))</f>
        <v>-0.19370712387762709</v>
      </c>
      <c r="AL1086" s="100">
        <f>IF('Net zero activities &amp; levers'!$C$14="Off",('Activity data'!BE10*EF!$H23)*kgtoGg,IF('Net zero activities &amp; levers'!$C$14="On",('Net zero Activity data'!BE10*EF!$H23)*kgtoGg,"ERROR"))</f>
        <v>-0.19554915895887828</v>
      </c>
      <c r="AM1086" s="100">
        <f>IF('Net zero activities &amp; levers'!$C$14="Off",('Activity data'!BF10*EF!$H23)*kgtoGg,IF('Net zero activities &amp; levers'!$C$14="On",('Net zero Activity data'!BF10*EF!$H23)*kgtoGg,"ERROR"))</f>
        <v>-0.19740622978354522</v>
      </c>
      <c r="AN1086" s="100">
        <f>IF('Net zero activities &amp; levers'!$C$14="Off",('Activity data'!BG10*EF!$H23)*kgtoGg,IF('Net zero activities &amp; levers'!$C$14="On",('Net zero Activity data'!BG10*EF!$H23)*kgtoGg,"ERROR"))</f>
        <v>-0.19889654656389008</v>
      </c>
      <c r="AO1086" s="100">
        <f>IF('Net zero activities &amp; levers'!$C$14="Off",('Activity data'!BH10*EF!$H23)*kgtoGg,IF('Net zero activities &amp; levers'!$C$14="On",('Net zero Activity data'!BH10*EF!$H23)*kgtoGg,"ERROR"))</f>
        <v>-0.20039714352450921</v>
      </c>
      <c r="AP1086" s="100">
        <f>IF('Net zero activities &amp; levers'!$C$14="Off",('Activity data'!BI10*EF!$H23)*kgtoGg,IF('Net zero activities &amp; levers'!$C$14="On",('Net zero Activity data'!BI10*EF!$H23)*kgtoGg,"ERROR"))</f>
        <v>-0.20190810202695822</v>
      </c>
      <c r="AQ1086" s="100">
        <f>IF('Net zero activities &amp; levers'!$C$14="Off",('Activity data'!BJ10*EF!$H23)*kgtoGg,IF('Net zero activities &amp; levers'!$C$14="On",('Net zero Activity data'!BJ10*EF!$H23)*kgtoGg,"ERROR"))</f>
        <v>-0.20342950404688992</v>
      </c>
      <c r="AR1086" s="100">
        <f>IF('Net zero activities &amp; levers'!$C$14="Off",('Activity data'!BK10*EF!$H23)*kgtoGg,IF('Net zero activities &amp; levers'!$C$14="On",('Net zero Activity data'!BK10*EF!$H23)*kgtoGg,"ERROR"))</f>
        <v>-0.20496143217854407</v>
      </c>
      <c r="AS1086" s="100">
        <f>IF('Net zero activities &amp; levers'!$C$14="Off",('Activity data'!BL10*EF!$H23)*kgtoGg,IF('Net zero activities &amp; levers'!$C$14="On",('Net zero Activity data'!BL10*EF!$H23)*kgtoGg,"ERROR"))</f>
        <v>-0.20636362268300526</v>
      </c>
      <c r="AT1086" s="100">
        <f>IF('Net zero activities &amp; levers'!$C$14="Off",('Activity data'!BM10*EF!$H23)*kgtoGg,IF('Net zero activities &amp; levers'!$C$14="On",('Net zero Activity data'!BM10*EF!$H23)*kgtoGg,"ERROR"))</f>
        <v>-0.20777388296351235</v>
      </c>
      <c r="AU1086" s="100">
        <f>IF('Net zero activities &amp; levers'!$C$14="Off",('Activity data'!BN10*EF!$H23)*kgtoGg,IF('Net zero activities &amp; levers'!$C$14="On",('Net zero Activity data'!BN10*EF!$H23)*kgtoGg,"ERROR"))</f>
        <v>-0.20919226640364996</v>
      </c>
      <c r="AV1086" s="100">
        <f>IF('Net zero activities &amp; levers'!$C$14="Off",('Activity data'!BO10*EF!$H23)*kgtoGg,IF('Net zero activities &amp; levers'!$C$14="On",('Net zero Activity data'!BO10*EF!$H23)*kgtoGg,"ERROR"))</f>
        <v>-0.21061882672173884</v>
      </c>
      <c r="AW1086" s="100">
        <f>IF('Net zero activities &amp; levers'!$C$14="Off",('Activity data'!BP10*EF!$H23)*kgtoGg,IF('Net zero activities &amp; levers'!$C$14="On",('Net zero Activity data'!BP10*EF!$H23)*kgtoGg,"ERROR"))</f>
        <v>-0.2120536179728616</v>
      </c>
      <c r="AY1086" s="85"/>
    </row>
    <row r="1087" spans="1:51" x14ac:dyDescent="0.25">
      <c r="A1087" s="102" t="str">
        <f t="shared" si="373"/>
        <v>CM Sheep MMCH4</v>
      </c>
      <c r="B1087" s="102" t="s">
        <v>1323</v>
      </c>
      <c r="C1087" s="102" t="s">
        <v>1325</v>
      </c>
      <c r="D1087" t="s">
        <v>15</v>
      </c>
      <c r="E1087" t="s">
        <v>22</v>
      </c>
      <c r="F1087" t="s">
        <v>18</v>
      </c>
      <c r="G1087" t="s">
        <v>122</v>
      </c>
      <c r="H1087" t="s">
        <v>1228</v>
      </c>
      <c r="I1087" t="s">
        <v>121</v>
      </c>
      <c r="J1087" t="s">
        <v>286</v>
      </c>
      <c r="K1087" s="100">
        <f>IF('Net zero activities &amp; levers'!$C$14="Off",('Activity data'!AD11*EF!$H24)*kgtoGg,IF('Net zero activities &amp; levers'!$C$14="On",('Net zero Activity data'!AD11*EF!$H24)*kgtoGg,"ERROR"))</f>
        <v>3.6053921478906167E-2</v>
      </c>
      <c r="L1087" s="100">
        <f>IF('Net zero activities &amp; levers'!$C$14="Off",('Activity data'!AE11*EF!$H24)*kgtoGg,IF('Net zero activities &amp; levers'!$C$14="On",('Net zero Activity data'!AE11*EF!$H24)*kgtoGg,"ERROR"))</f>
        <v>3.6073610217126503E-2</v>
      </c>
      <c r="M1087" s="100">
        <f>IF('Net zero activities &amp; levers'!$C$14="Off",('Activity data'!AF11*EF!$H24)*kgtoGg,IF('Net zero activities &amp; levers'!$C$14="On",('Net zero Activity data'!AF11*EF!$H24)*kgtoGg,"ERROR"))</f>
        <v>3.6117697084082141E-2</v>
      </c>
      <c r="N1087" s="100">
        <f>IF('Net zero activities &amp; levers'!$C$14="Off",('Activity data'!AG11*EF!$H24)*kgtoGg,IF('Net zero activities &amp; levers'!$C$14="On",('Net zero Activity data'!AG11*EF!$H24)*kgtoGg,"ERROR"))</f>
        <v>3.618405707434337E-2</v>
      </c>
      <c r="O1087" s="100">
        <f>IF('Net zero activities &amp; levers'!$C$14="Off",('Activity data'!AH11*EF!$H24)*kgtoGg,IF('Net zero activities &amp; levers'!$C$14="On",('Net zero Activity data'!AH11*EF!$H24)*kgtoGg,"ERROR"))</f>
        <v>3.6273578032260737E-2</v>
      </c>
      <c r="P1087" s="100">
        <f>IF('Net zero activities &amp; levers'!$C$14="Off",('Activity data'!AI11*EF!$H24)*kgtoGg,IF('Net zero activities &amp; levers'!$C$14="On",('Net zero Activity data'!AI11*EF!$H24)*kgtoGg,"ERROR"))</f>
        <v>3.6386354948245533E-2</v>
      </c>
      <c r="Q1087" s="100">
        <f>IF('Net zero activities &amp; levers'!$C$14="Off",('Activity data'!AJ11*EF!$H24)*kgtoGg,IF('Net zero activities &amp; levers'!$C$14="On",('Net zero Activity data'!AJ11*EF!$H24)*kgtoGg,"ERROR"))</f>
        <v>3.6511983860861394E-2</v>
      </c>
      <c r="R1087" s="100">
        <f>IF('Net zero activities &amp; levers'!$C$14="Off",('Activity data'!AK11*EF!$H24)*kgtoGg,IF('Net zero activities &amp; levers'!$C$14="On",('Net zero Activity data'!AK11*EF!$H24)*kgtoGg,"ERROR"))</f>
        <v>3.6648137011074396E-2</v>
      </c>
      <c r="S1087" s="100">
        <f>IF('Net zero activities &amp; levers'!$C$14="Off",('Activity data'!AL11*EF!$H24)*kgtoGg,IF('Net zero activities &amp; levers'!$C$14="On",('Net zero Activity data'!AL11*EF!$H24)*kgtoGg,"ERROR"))</f>
        <v>3.6776081758532232E-2</v>
      </c>
      <c r="T1087" s="100">
        <f>IF('Net zero activities &amp; levers'!$C$14="Off",('Activity data'!AM11*EF!$H24)*kgtoGg,IF('Net zero activities &amp; levers'!$C$14="On",('Net zero Activity data'!AM11*EF!$H24)*kgtoGg,"ERROR"))</f>
        <v>3.6829526757110792E-2</v>
      </c>
      <c r="U1087" s="100">
        <f>IF('Net zero activities &amp; levers'!$C$14="Off",('Activity data'!AN11*EF!$H24)*kgtoGg,IF('Net zero activities &amp; levers'!$C$14="On",('Net zero Activity data'!AN11*EF!$H24)*kgtoGg,"ERROR"))</f>
        <v>3.6891543145696586E-2</v>
      </c>
      <c r="V1087" s="100">
        <f>IF('Net zero activities &amp; levers'!$C$14="Off",('Activity data'!AO11*EF!$H24)*kgtoGg,IF('Net zero activities &amp; levers'!$C$14="On",('Net zero Activity data'!AO11*EF!$H24)*kgtoGg,"ERROR"))</f>
        <v>3.6962118208236874E-2</v>
      </c>
      <c r="W1087" s="100">
        <f>IF('Net zero activities &amp; levers'!$C$14="Off",('Activity data'!AP11*EF!$H24)*kgtoGg,IF('Net zero activities &amp; levers'!$C$14="On",('Net zero Activity data'!AP11*EF!$H24)*kgtoGg,"ERROR"))</f>
        <v>3.7041617602425879E-2</v>
      </c>
      <c r="X1087" s="100">
        <f>IF('Net zero activities &amp; levers'!$C$14="Off",('Activity data'!AQ11*EF!$H24)*kgtoGg,IF('Net zero activities &amp; levers'!$C$14="On",('Net zero Activity data'!AQ11*EF!$H24)*kgtoGg,"ERROR"))</f>
        <v>3.71287668347723E-2</v>
      </c>
      <c r="Y1087" s="100">
        <f>IF('Net zero activities &amp; levers'!$C$14="Off",('Activity data'!AR11*EF!$H24)*kgtoGg,IF('Net zero activities &amp; levers'!$C$14="On",('Net zero Activity data'!AR11*EF!$H24)*kgtoGg,"ERROR"))</f>
        <v>3.7182413833591089E-2</v>
      </c>
      <c r="Z1087" s="100">
        <f>IF('Net zero activities &amp; levers'!$C$14="Off",('Activity data'!AS11*EF!$H24)*kgtoGg,IF('Net zero activities &amp; levers'!$C$14="On",('Net zero Activity data'!AS11*EF!$H24)*kgtoGg,"ERROR"))</f>
        <v>3.7242338638937944E-2</v>
      </c>
      <c r="AA1087" s="100">
        <f>IF('Net zero activities &amp; levers'!$C$14="Off",('Activity data'!AT11*EF!$H24)*kgtoGg,IF('Net zero activities &amp; levers'!$C$14="On",('Net zero Activity data'!AT11*EF!$H24)*kgtoGg,"ERROR"))</f>
        <v>3.7308758714658788E-2</v>
      </c>
      <c r="AB1087" s="100">
        <f>IF('Net zero activities &amp; levers'!$C$14="Off",('Activity data'!AU11*EF!$H24)*kgtoGg,IF('Net zero activities &amp; levers'!$C$14="On",('Net zero Activity data'!AU11*EF!$H24)*kgtoGg,"ERROR"))</f>
        <v>3.7380653555679967E-2</v>
      </c>
      <c r="AC1087" s="100">
        <f>IF('Net zero activities &amp; levers'!$C$14="Off",('Activity data'!AV11*EF!$H24)*kgtoGg,IF('Net zero activities &amp; levers'!$C$14="On",('Net zero Activity data'!AV11*EF!$H24)*kgtoGg,"ERROR"))</f>
        <v>3.7458280228605825E-2</v>
      </c>
      <c r="AD1087" s="100">
        <f>IF('Net zero activities &amp; levers'!$C$14="Off",('Activity data'!AW11*EF!$H24)*kgtoGg,IF('Net zero activities &amp; levers'!$C$14="On",('Net zero Activity data'!AW11*EF!$H24)*kgtoGg,"ERROR"))</f>
        <v>3.7509383313851091E-2</v>
      </c>
      <c r="AE1087" s="100">
        <f>IF('Net zero activities &amp; levers'!$C$14="Off",('Activity data'!AX11*EF!$H24)*kgtoGg,IF('Net zero activities &amp; levers'!$C$14="On",('Net zero Activity data'!AX11*EF!$H24)*kgtoGg,"ERROR"))</f>
        <v>3.7565861655525674E-2</v>
      </c>
      <c r="AF1087" s="100">
        <f>IF('Net zero activities &amp; levers'!$C$14="Off",('Activity data'!AY11*EF!$H24)*kgtoGg,IF('Net zero activities &amp; levers'!$C$14="On",('Net zero Activity data'!AY11*EF!$H24)*kgtoGg,"ERROR"))</f>
        <v>3.7627207315702967E-2</v>
      </c>
      <c r="AG1087" s="100">
        <f>IF('Net zero activities &amp; levers'!$C$14="Off",('Activity data'!AZ11*EF!$H24)*kgtoGg,IF('Net zero activities &amp; levers'!$C$14="On",('Net zero Activity data'!AZ11*EF!$H24)*kgtoGg,"ERROR"))</f>
        <v>3.7686475047494471E-2</v>
      </c>
      <c r="AH1087" s="100">
        <f>IF('Net zero activities &amp; levers'!$C$14="Off",('Activity data'!BA11*EF!$H24)*kgtoGg,IF('Net zero activities &amp; levers'!$C$14="On",('Net zero Activity data'!BA11*EF!$H24)*kgtoGg,"ERROR"))</f>
        <v>3.7433087747828976E-2</v>
      </c>
      <c r="AI1087" s="100">
        <f>IF('Net zero activities &amp; levers'!$C$14="Off",('Activity data'!BB11*EF!$H24)*kgtoGg,IF('Net zero activities &amp; levers'!$C$14="On",('Net zero Activity data'!BB11*EF!$H24)*kgtoGg,"ERROR"))</f>
        <v>3.7469072750832028E-2</v>
      </c>
      <c r="AJ1087" s="100">
        <f>IF('Net zero activities &amp; levers'!$C$14="Off",('Activity data'!BC11*EF!$H24)*kgtoGg,IF('Net zero activities &amp; levers'!$C$14="On",('Net zero Activity data'!BC11*EF!$H24)*kgtoGg,"ERROR"))</f>
        <v>3.750878237989342E-2</v>
      </c>
      <c r="AK1087" s="100">
        <f>IF('Net zero activities &amp; levers'!$C$14="Off",('Activity data'!BD11*EF!$H24)*kgtoGg,IF('Net zero activities &amp; levers'!$C$14="On",('Net zero Activity data'!BD11*EF!$H24)*kgtoGg,"ERROR"))</f>
        <v>3.7552075921765626E-2</v>
      </c>
      <c r="AL1087" s="100">
        <f>IF('Net zero activities &amp; levers'!$C$14="Off",('Activity data'!BE11*EF!$H24)*kgtoGg,IF('Net zero activities &amp; levers'!$C$14="On",('Net zero Activity data'!BE11*EF!$H24)*kgtoGg,"ERROR"))</f>
        <v>3.7598823539459238E-2</v>
      </c>
      <c r="AM1087" s="100">
        <f>IF('Net zero activities &amp; levers'!$C$14="Off",('Activity data'!BF11*EF!$H24)*kgtoGg,IF('Net zero activities &amp; levers'!$C$14="On",('Net zero Activity data'!BF11*EF!$H24)*kgtoGg,"ERROR"))</f>
        <v>3.7648905240168402E-2</v>
      </c>
      <c r="AN1087" s="100">
        <f>IF('Net zero activities &amp; levers'!$C$14="Off",('Activity data'!BG11*EF!$H24)*kgtoGg,IF('Net zero activities &amp; levers'!$C$14="On",('Net zero Activity data'!BG11*EF!$H24)*kgtoGg,"ERROR"))</f>
        <v>3.76732099349424E-2</v>
      </c>
      <c r="AO1087" s="100">
        <f>IF('Net zero activities &amp; levers'!$C$14="Off",('Activity data'!BH11*EF!$H24)*kgtoGg,IF('Net zero activities &amp; levers'!$C$14="On",('Net zero Activity data'!BH11*EF!$H24)*kgtoGg,"ERROR"))</f>
        <v>3.7700452169156254E-2</v>
      </c>
      <c r="AP1087" s="100">
        <f>IF('Net zero activities &amp; levers'!$C$14="Off",('Activity data'!BI11*EF!$H24)*kgtoGg,IF('Net zero activities &amp; levers'!$C$14="On",('Net zero Activity data'!BI11*EF!$H24)*kgtoGg,"ERROR"))</f>
        <v>3.7730529709511379E-2</v>
      </c>
      <c r="AQ1087" s="100">
        <f>IF('Net zero activities &amp; levers'!$C$14="Off",('Activity data'!BJ11*EF!$H24)*kgtoGg,IF('Net zero activities &amp; levers'!$C$14="On",('Net zero Activity data'!BJ11*EF!$H24)*kgtoGg,"ERROR"))</f>
        <v>3.7763347319933152E-2</v>
      </c>
      <c r="AR1087" s="100">
        <f>IF('Net zero activities &amp; levers'!$C$14="Off",('Activity data'!BK11*EF!$H24)*kgtoGg,IF('Net zero activities &amp; levers'!$C$14="On",('Net zero Activity data'!BK11*EF!$H24)*kgtoGg,"ERROR"))</f>
        <v>3.7798816167122655E-2</v>
      </c>
      <c r="AS1087" s="100">
        <f>IF('Net zero activities &amp; levers'!$C$14="Off",('Activity data'!BL11*EF!$H24)*kgtoGg,IF('Net zero activities &amp; levers'!$C$14="On",('Net zero Activity data'!BL11*EF!$H24)*kgtoGg,"ERROR"))</f>
        <v>3.7807565900273503E-2</v>
      </c>
      <c r="AT1087" s="100">
        <f>IF('Net zero activities &amp; levers'!$C$14="Off",('Activity data'!BM11*EF!$H24)*kgtoGg,IF('Net zero activities &amp; levers'!$C$14="On",('Net zero Activity data'!BM11*EF!$H24)*kgtoGg,"ERROR"))</f>
        <v>3.7818668604843612E-2</v>
      </c>
      <c r="AU1087" s="100">
        <f>IF('Net zero activities &amp; levers'!$C$14="Off",('Activity data'!BN11*EF!$H24)*kgtoGg,IF('Net zero activities &amp; levers'!$C$14="On",('Net zero Activity data'!BN11*EF!$H24)*kgtoGg,"ERROR"))</f>
        <v>3.7832046350463708E-2</v>
      </c>
      <c r="AV1087" s="100">
        <f>IF('Net zero activities &amp; levers'!$C$14="Off",('Activity data'!BO11*EF!$H24)*kgtoGg,IF('Net zero activities &amp; levers'!$C$14="On",('Net zero Activity data'!BO11*EF!$H24)*kgtoGg,"ERROR"))</f>
        <v>3.7847625965531671E-2</v>
      </c>
      <c r="AW1087" s="100">
        <f>IF('Net zero activities &amp; levers'!$C$14="Off",('Activity data'!BP11*EF!$H24)*kgtoGg,IF('Net zero activities &amp; levers'!$C$14="On",('Net zero Activity data'!BP11*EF!$H24)*kgtoGg,"ERROR"))</f>
        <v>3.7865338671255785E-2</v>
      </c>
      <c r="AY1087" s="85"/>
    </row>
    <row r="1088" spans="1:51" x14ac:dyDescent="0.25">
      <c r="A1088" s="102" t="str">
        <f t="shared" si="373"/>
        <v>CM Sheep MMCH4</v>
      </c>
      <c r="B1088" s="102" t="s">
        <v>1323</v>
      </c>
      <c r="C1088" s="102" t="s">
        <v>1325</v>
      </c>
      <c r="D1088" t="s">
        <v>15</v>
      </c>
      <c r="E1088" t="s">
        <v>22</v>
      </c>
      <c r="F1088" t="s">
        <v>18</v>
      </c>
      <c r="G1088" t="s">
        <v>123</v>
      </c>
      <c r="H1088" t="s">
        <v>1228</v>
      </c>
      <c r="I1088" t="s">
        <v>121</v>
      </c>
      <c r="J1088" t="s">
        <v>286</v>
      </c>
      <c r="K1088" s="100">
        <f>IF('Net zero activities &amp; levers'!$C$14="Off",('Activity data'!AD12*EF!$H25)*kgtoGg,IF('Net zero activities &amp; levers'!$C$14="On",('Net zero Activity data'!AD12*EF!$H25)*kgtoGg,"ERROR"))</f>
        <v>4.1175296849015851E-3</v>
      </c>
      <c r="L1088" s="100">
        <f>IF('Net zero activities &amp; levers'!$C$14="Off",('Activity data'!AE12*EF!$H25)*kgtoGg,IF('Net zero activities &amp; levers'!$C$14="On",('Net zero Activity data'!AE12*EF!$H25)*kgtoGg,"ERROR"))</f>
        <v>4.1197782326532605E-3</v>
      </c>
      <c r="M1088" s="100">
        <f>IF('Net zero activities &amp; levers'!$C$14="Off",('Activity data'!AF12*EF!$H25)*kgtoGg,IF('Net zero activities &amp; levers'!$C$14="On",('Net zero Activity data'!AF12*EF!$H25)*kgtoGg,"ERROR"))</f>
        <v>4.1248131630008617E-3</v>
      </c>
      <c r="N1088" s="100">
        <f>IF('Net zero activities &amp; levers'!$C$14="Off",('Activity data'!AG12*EF!$H25)*kgtoGg,IF('Net zero activities &amp; levers'!$C$14="On",('Net zero Activity data'!AG12*EF!$H25)*kgtoGg,"ERROR"))</f>
        <v>4.1323917901954152E-3</v>
      </c>
      <c r="O1088" s="100">
        <f>IF('Net zero activities &amp; levers'!$C$14="Off",('Activity data'!AH12*EF!$H25)*kgtoGg,IF('Net zero activities &amp; levers'!$C$14="On",('Net zero Activity data'!AH12*EF!$H25)*kgtoGg,"ERROR"))</f>
        <v>4.1426155102936933E-3</v>
      </c>
      <c r="P1088" s="100">
        <f>IF('Net zero activities &amp; levers'!$C$14="Off",('Activity data'!AI12*EF!$H25)*kgtoGg,IF('Net zero activities &amp; levers'!$C$14="On",('Net zero Activity data'!AI12*EF!$H25)*kgtoGg,"ERROR"))</f>
        <v>4.1554951716534349E-3</v>
      </c>
      <c r="Q1088" s="100">
        <f>IF('Net zero activities &amp; levers'!$C$14="Off",('Activity data'!AJ12*EF!$H25)*kgtoGg,IF('Net zero activities &amp; levers'!$C$14="On",('Net zero Activity data'!AJ12*EF!$H25)*kgtoGg,"ERROR"))</f>
        <v>4.1698425922878412E-3</v>
      </c>
      <c r="R1088" s="100">
        <f>IF('Net zero activities &amp; levers'!$C$14="Off",('Activity data'!AK12*EF!$H25)*kgtoGg,IF('Net zero activities &amp; levers'!$C$14="On",('Net zero Activity data'!AK12*EF!$H25)*kgtoGg,"ERROR"))</f>
        <v>4.1853919310199088E-3</v>
      </c>
      <c r="S1088" s="100">
        <f>IF('Net zero activities &amp; levers'!$C$14="Off",('Activity data'!AL12*EF!$H25)*kgtoGg,IF('Net zero activities &amp; levers'!$C$14="On",('Net zero Activity data'!AL12*EF!$H25)*kgtoGg,"ERROR"))</f>
        <v>4.2000038310317607E-3</v>
      </c>
      <c r="T1088" s="100">
        <f>IF('Net zero activities &amp; levers'!$C$14="Off",('Activity data'!AM12*EF!$H25)*kgtoGg,IF('Net zero activities &amp; levers'!$C$14="On",('Net zero Activity data'!AM12*EF!$H25)*kgtoGg,"ERROR"))</f>
        <v>4.2061075046164898E-3</v>
      </c>
      <c r="U1088" s="100">
        <f>IF('Net zero activities &amp; levers'!$C$14="Off",('Activity data'!AN12*EF!$H25)*kgtoGg,IF('Net zero activities &amp; levers'!$C$14="On",('Net zero Activity data'!AN12*EF!$H25)*kgtoGg,"ERROR"))</f>
        <v>4.2131900717958127E-3</v>
      </c>
      <c r="V1088" s="100">
        <f>IF('Net zero activities &amp; levers'!$C$14="Off",('Activity data'!AO12*EF!$H25)*kgtoGg,IF('Net zero activities &amp; levers'!$C$14="On",('Net zero Activity data'!AO12*EF!$H25)*kgtoGg,"ERROR"))</f>
        <v>4.2212500803358944E-3</v>
      </c>
      <c r="W1088" s="100">
        <f>IF('Net zero activities &amp; levers'!$C$14="Off",('Activity data'!AP12*EF!$H25)*kgtoGg,IF('Net zero activities &amp; levers'!$C$14="On",('Net zero Activity data'!AP12*EF!$H25)*kgtoGg,"ERROR"))</f>
        <v>4.2303292900883332E-3</v>
      </c>
      <c r="X1088" s="100">
        <f>IF('Net zero activities &amp; levers'!$C$14="Off",('Activity data'!AQ12*EF!$H25)*kgtoGg,IF('Net zero activities &amp; levers'!$C$14="On",('Net zero Activity data'!AQ12*EF!$H25)*kgtoGg,"ERROR"))</f>
        <v>4.2402821478215117E-3</v>
      </c>
      <c r="Y1088" s="100">
        <f>IF('Net zero activities &amp; levers'!$C$14="Off",('Activity data'!AR12*EF!$H25)*kgtoGg,IF('Net zero activities &amp; levers'!$C$14="On",('Net zero Activity data'!AR12*EF!$H25)*kgtoGg,"ERROR"))</f>
        <v>4.2464088907965165E-3</v>
      </c>
      <c r="Z1088" s="100">
        <f>IF('Net zero activities &amp; levers'!$C$14="Off",('Activity data'!AS12*EF!$H25)*kgtoGg,IF('Net zero activities &amp; levers'!$C$14="On",('Net zero Activity data'!AS12*EF!$H25)*kgtoGg,"ERROR"))</f>
        <v>4.2532525892003629E-3</v>
      </c>
      <c r="AA1088" s="100">
        <f>IF('Net zero activities &amp; levers'!$C$14="Off",('Activity data'!AT12*EF!$H25)*kgtoGg,IF('Net zero activities &amp; levers'!$C$14="On",('Net zero Activity data'!AT12*EF!$H25)*kgtoGg,"ERROR"))</f>
        <v>4.2608380784408054E-3</v>
      </c>
      <c r="AB1088" s="100">
        <f>IF('Net zero activities &amp; levers'!$C$14="Off",('Activity data'!AU12*EF!$H25)*kgtoGg,IF('Net zero activities &amp; levers'!$C$14="On",('Net zero Activity data'!AU12*EF!$H25)*kgtoGg,"ERROR"))</f>
        <v>4.2690488119741668E-3</v>
      </c>
      <c r="AC1088" s="100">
        <f>IF('Net zero activities &amp; levers'!$C$14="Off",('Activity data'!AV12*EF!$H25)*kgtoGg,IF('Net zero activities &amp; levers'!$C$14="On",('Net zero Activity data'!AV12*EF!$H25)*kgtoGg,"ERROR"))</f>
        <v>4.2779141480319745E-3</v>
      </c>
      <c r="AD1088" s="100">
        <f>IF('Net zero activities &amp; levers'!$C$14="Off",('Activity data'!AW12*EF!$H25)*kgtoGg,IF('Net zero activities &amp; levers'!$C$14="On",('Net zero Activity data'!AW12*EF!$H25)*kgtoGg,"ERROR"))</f>
        <v>4.2837503639512487E-3</v>
      </c>
      <c r="AE1088" s="100">
        <f>IF('Net zero activities &amp; levers'!$C$14="Off",('Activity data'!AX12*EF!$H25)*kgtoGg,IF('Net zero activities &amp; levers'!$C$14="On",('Net zero Activity data'!AX12*EF!$H25)*kgtoGg,"ERROR"))</f>
        <v>4.2902004597760585E-3</v>
      </c>
      <c r="AF1088" s="100">
        <f>IF('Net zero activities &amp; levers'!$C$14="Off",('Activity data'!AY12*EF!$H25)*kgtoGg,IF('Net zero activities &amp; levers'!$C$14="On",('Net zero Activity data'!AY12*EF!$H25)*kgtoGg,"ERROR"))</f>
        <v>4.2972064265740855E-3</v>
      </c>
      <c r="AG1088" s="100">
        <f>IF('Net zero activities &amp; levers'!$C$14="Off",('Activity data'!AZ12*EF!$H25)*kgtoGg,IF('Net zero activities &amp; levers'!$C$14="On",('Net zero Activity data'!AZ12*EF!$H25)*kgtoGg,"ERROR"))</f>
        <v>4.3039750840459523E-3</v>
      </c>
      <c r="AH1088" s="100">
        <f>IF('Net zero activities &amp; levers'!$C$14="Off",('Activity data'!BA12*EF!$H25)*kgtoGg,IF('Net zero activities &amp; levers'!$C$14="On",('Net zero Activity data'!BA12*EF!$H25)*kgtoGg,"ERROR"))</f>
        <v>4.2750370466466056E-3</v>
      </c>
      <c r="AI1088" s="100">
        <f>IF('Net zero activities &amp; levers'!$C$14="Off",('Activity data'!BB12*EF!$H25)*kgtoGg,IF('Net zero activities &amp; levers'!$C$14="On",('Net zero Activity data'!BB12*EF!$H25)*kgtoGg,"ERROR"))</f>
        <v>4.2791467055130613E-3</v>
      </c>
      <c r="AJ1088" s="100">
        <f>IF('Net zero activities &amp; levers'!$C$14="Off",('Activity data'!BC12*EF!$H25)*kgtoGg,IF('Net zero activities &amp; levers'!$C$14="On",('Net zero Activity data'!BC12*EF!$H25)*kgtoGg,"ERROR"))</f>
        <v>4.2836817344289136E-3</v>
      </c>
      <c r="AK1088" s="100">
        <f>IF('Net zero activities &amp; levers'!$C$14="Off",('Activity data'!BD12*EF!$H25)*kgtoGg,IF('Net zero activities &amp; levers'!$C$14="On",('Net zero Activity data'!BD12*EF!$H25)*kgtoGg,"ERROR"))</f>
        <v>4.2886260632705817E-3</v>
      </c>
      <c r="AL1088" s="100">
        <f>IF('Net zero activities &amp; levers'!$C$14="Off",('Activity data'!BE12*EF!$H25)*kgtoGg,IF('Net zero activities &amp; levers'!$C$14="On",('Net zero Activity data'!BE12*EF!$H25)*kgtoGg,"ERROR"))</f>
        <v>4.2939648640350006E-3</v>
      </c>
      <c r="AM1088" s="100">
        <f>IF('Net zero activities &amp; levers'!$C$14="Off",('Activity data'!BF12*EF!$H25)*kgtoGg,IF('Net zero activities &amp; levers'!$C$14="On",('Net zero Activity data'!BF12*EF!$H25)*kgtoGg,"ERROR"))</f>
        <v>4.2996844329717928E-3</v>
      </c>
      <c r="AN1088" s="100">
        <f>IF('Net zero activities &amp; levers'!$C$14="Off",('Activity data'!BG12*EF!$H25)*kgtoGg,IF('Net zero activities &amp; levers'!$C$14="On",('Net zero Activity data'!BG12*EF!$H25)*kgtoGg,"ERROR"))</f>
        <v>4.3024601449639811E-3</v>
      </c>
      <c r="AO1088" s="100">
        <f>IF('Net zero activities &amp; levers'!$C$14="Off",('Activity data'!BH12*EF!$H25)*kgtoGg,IF('Net zero activities &amp; levers'!$C$14="On",('Net zero Activity data'!BH12*EF!$H25)*kgtoGg,"ERROR"))</f>
        <v>4.3055713379620639E-3</v>
      </c>
      <c r="AP1088" s="100">
        <f>IF('Net zero activities &amp; levers'!$C$14="Off",('Activity data'!BI12*EF!$H25)*kgtoGg,IF('Net zero activities &amp; levers'!$C$14="On",('Net zero Activity data'!BI12*EF!$H25)*kgtoGg,"ERROR"))</f>
        <v>4.3090063364360429E-3</v>
      </c>
      <c r="AQ1088" s="100">
        <f>IF('Net zero activities &amp; levers'!$C$14="Off",('Activity data'!BJ12*EF!$H25)*kgtoGg,IF('Net zero activities &amp; levers'!$C$14="On",('Net zero Activity data'!BJ12*EF!$H25)*kgtoGg,"ERROR"))</f>
        <v>4.3127542639722558E-3</v>
      </c>
      <c r="AR1088" s="100">
        <f>IF('Net zero activities &amp; levers'!$C$14="Off",('Activity data'!BK12*EF!$H25)*kgtoGg,IF('Net zero activities &amp; levers'!$C$14="On",('Net zero Activity data'!BK12*EF!$H25)*kgtoGg,"ERROR"))</f>
        <v>4.3168049753845332E-3</v>
      </c>
      <c r="AS1088" s="100">
        <f>IF('Net zero activities &amp; levers'!$C$14="Off",('Activity data'!BL12*EF!$H25)*kgtoGg,IF('Net zero activities &amp; levers'!$C$14="On",('Net zero Activity data'!BL12*EF!$H25)*kgtoGg,"ERROR"))</f>
        <v>4.3178042366162055E-3</v>
      </c>
      <c r="AT1088" s="100">
        <f>IF('Net zero activities &amp; levers'!$C$14="Off",('Activity data'!BM12*EF!$H25)*kgtoGg,IF('Net zero activities &amp; levers'!$C$14="On",('Net zero Activity data'!BM12*EF!$H25)*kgtoGg,"ERROR"))</f>
        <v>4.3190722183994593E-3</v>
      </c>
      <c r="AU1088" s="100">
        <f>IF('Net zero activities &amp; levers'!$C$14="Off",('Activity data'!BN12*EF!$H25)*kgtoGg,IF('Net zero activities &amp; levers'!$C$14="On",('Net zero Activity data'!BN12*EF!$H25)*kgtoGg,"ERROR"))</f>
        <v>4.3206000207146669E-3</v>
      </c>
      <c r="AV1088" s="100">
        <f>IF('Net zero activities &amp; levers'!$C$14="Off",('Activity data'!BO12*EF!$H25)*kgtoGg,IF('Net zero activities &amp; levers'!$C$14="On",('Net zero Activity data'!BO12*EF!$H25)*kgtoGg,"ERROR"))</f>
        <v>4.3223792870160944E-3</v>
      </c>
      <c r="AW1088" s="100">
        <f>IF('Net zero activities &amp; levers'!$C$14="Off",('Activity data'!BP12*EF!$H25)*kgtoGg,IF('Net zero activities &amp; levers'!$C$14="On",('Net zero Activity data'!BP12*EF!$H25)*kgtoGg,"ERROR"))</f>
        <v>4.3244021624378867E-3</v>
      </c>
      <c r="AY1088" s="85"/>
    </row>
    <row r="1089" spans="1:51" x14ac:dyDescent="0.25">
      <c r="A1089" s="102" t="str">
        <f t="shared" si="373"/>
        <v>CM Goats MMCH4</v>
      </c>
      <c r="B1089" s="102" t="s">
        <v>1323</v>
      </c>
      <c r="C1089" s="102" t="s">
        <v>1326</v>
      </c>
      <c r="D1089" t="s">
        <v>15</v>
      </c>
      <c r="E1089" t="s">
        <v>22</v>
      </c>
      <c r="F1089" t="s">
        <v>19</v>
      </c>
      <c r="G1089" t="s">
        <v>122</v>
      </c>
      <c r="H1089" t="s">
        <v>1228</v>
      </c>
      <c r="I1089" t="s">
        <v>121</v>
      </c>
      <c r="J1089" t="s">
        <v>286</v>
      </c>
      <c r="K1089" s="100">
        <f>IF('Net zero activities &amp; levers'!$C$14="Off",('Activity data'!AD13*EF!$H26)*kgtoGg,IF('Net zero activities &amp; levers'!$C$14="On",('Net zero Activity data'!AD13*EF!$H26)*kgtoGg,"ERROR"))</f>
        <v>1.578914847670768E-2</v>
      </c>
      <c r="L1089" s="100">
        <f>IF('Net zero activities &amp; levers'!$C$14="Off",('Activity data'!AE13*EF!$H26)*kgtoGg,IF('Net zero activities &amp; levers'!$C$14="On",('Net zero Activity data'!AE13*EF!$H26)*kgtoGg,"ERROR"))</f>
        <v>1.5830330315974785E-2</v>
      </c>
      <c r="M1089" s="100">
        <f>IF('Net zero activities &amp; levers'!$C$14="Off",('Activity data'!AF13*EF!$H26)*kgtoGg,IF('Net zero activities &amp; levers'!$C$14="On",('Net zero Activity data'!AF13*EF!$H26)*kgtoGg,"ERROR"))</f>
        <v>1.5885208764738982E-2</v>
      </c>
      <c r="N1089" s="100">
        <f>IF('Net zero activities &amp; levers'!$C$14="Off",('Activity data'!AG13*EF!$H26)*kgtoGg,IF('Net zero activities &amp; levers'!$C$14="On",('Net zero Activity data'!AG13*EF!$H26)*kgtoGg,"ERROR"))</f>
        <v>1.5952563767257691E-2</v>
      </c>
      <c r="O1089" s="100">
        <f>IF('Net zero activities &amp; levers'!$C$14="Off",('Activity data'!AH13*EF!$H26)*kgtoGg,IF('Net zero activities &amp; levers'!$C$14="On",('Net zero Activity data'!AH13*EF!$H26)*kgtoGg,"ERROR"))</f>
        <v>1.6033204709528407E-2</v>
      </c>
      <c r="P1089" s="100">
        <f>IF('Net zero activities &amp; levers'!$C$14="Off",('Activity data'!AI13*EF!$H26)*kgtoGg,IF('Net zero activities &amp; levers'!$C$14="On",('Net zero Activity data'!AI13*EF!$H26)*kgtoGg,"ERROR"))</f>
        <v>1.6127346186936543E-2</v>
      </c>
      <c r="Q1089" s="100">
        <f>IF('Net zero activities &amp; levers'!$C$14="Off",('Activity data'!AJ13*EF!$H26)*kgtoGg,IF('Net zero activities &amp; levers'!$C$14="On",('Net zero Activity data'!AJ13*EF!$H26)*kgtoGg,"ERROR"))</f>
        <v>1.6228000781801349E-2</v>
      </c>
      <c r="R1089" s="100">
        <f>IF('Net zero activities &amp; levers'!$C$14="Off",('Activity data'!AK13*EF!$H26)*kgtoGg,IF('Net zero activities &amp; levers'!$C$14="On",('Net zero Activity data'!AK13*EF!$H26)*kgtoGg,"ERROR"))</f>
        <v>1.6333729215934008E-2</v>
      </c>
      <c r="S1089" s="100">
        <f>IF('Net zero activities &amp; levers'!$C$14="Off",('Activity data'!AL13*EF!$H26)*kgtoGg,IF('Net zero activities &amp; levers'!$C$14="On",('Net zero Activity data'!AL13*EF!$H26)*kgtoGg,"ERROR"))</f>
        <v>1.6431946287378985E-2</v>
      </c>
      <c r="T1089" s="100">
        <f>IF('Net zero activities &amp; levers'!$C$14="Off",('Activity data'!AM13*EF!$H26)*kgtoGg,IF('Net zero activities &amp; levers'!$C$14="On",('Net zero Activity data'!AM13*EF!$H26)*kgtoGg,"ERROR"))</f>
        <v>1.6477973799395588E-2</v>
      </c>
      <c r="U1089" s="100">
        <f>IF('Net zero activities &amp; levers'!$C$14="Off",('Activity data'!AN13*EF!$H26)*kgtoGg,IF('Net zero activities &amp; levers'!$C$14="On",('Net zero Activity data'!AN13*EF!$H26)*kgtoGg,"ERROR"))</f>
        <v>1.6528445517692184E-2</v>
      </c>
      <c r="V1089" s="100">
        <f>IF('Net zero activities &amp; levers'!$C$14="Off",('Activity data'!AO13*EF!$H26)*kgtoGg,IF('Net zero activities &amp; levers'!$C$14="On",('Net zero Activity data'!AO13*EF!$H26)*kgtoGg,"ERROR"))</f>
        <v>1.6583425492153747E-2</v>
      </c>
      <c r="W1089" s="100">
        <f>IF('Net zero activities &amp; levers'!$C$14="Off",('Activity data'!AP13*EF!$H26)*kgtoGg,IF('Net zero activities &amp; levers'!$C$14="On",('Net zero Activity data'!AP13*EF!$H26)*kgtoGg,"ERROR"))</f>
        <v>1.6643220540411473E-2</v>
      </c>
      <c r="X1089" s="100">
        <f>IF('Net zero activities &amp; levers'!$C$14="Off",('Activity data'!AQ13*EF!$H26)*kgtoGg,IF('Net zero activities &amp; levers'!$C$14="On",('Net zero Activity data'!AQ13*EF!$H26)*kgtoGg,"ERROR"))</f>
        <v>1.6707025590946629E-2</v>
      </c>
      <c r="Y1089" s="100">
        <f>IF('Net zero activities &amp; levers'!$C$14="Off",('Activity data'!AR13*EF!$H26)*kgtoGg,IF('Net zero activities &amp; levers'!$C$14="On",('Net zero Activity data'!AR13*EF!$H26)*kgtoGg,"ERROR"))</f>
        <v>1.6747356446044817E-2</v>
      </c>
      <c r="Z1089" s="100">
        <f>IF('Net zero activities &amp; levers'!$C$14="Off",('Activity data'!AS13*EF!$H26)*kgtoGg,IF('Net zero activities &amp; levers'!$C$14="On",('Net zero Activity data'!AS13*EF!$H26)*kgtoGg,"ERROR"))</f>
        <v>1.679099238038791E-2</v>
      </c>
      <c r="AA1089" s="100">
        <f>IF('Net zero activities &amp; levers'!$C$14="Off",('Activity data'!AT13*EF!$H26)*kgtoGg,IF('Net zero activities &amp; levers'!$C$14="On",('Net zero Activity data'!AT13*EF!$H26)*kgtoGg,"ERROR"))</f>
        <v>1.6838113918664795E-2</v>
      </c>
      <c r="AB1089" s="100">
        <f>IF('Net zero activities &amp; levers'!$C$14="Off",('Activity data'!AU13*EF!$H26)*kgtoGg,IF('Net zero activities &amp; levers'!$C$14="On",('Net zero Activity data'!AU13*EF!$H26)*kgtoGg,"ERROR"))</f>
        <v>1.6888072337895171E-2</v>
      </c>
      <c r="AC1089" s="100">
        <f>IF('Net zero activities &amp; levers'!$C$14="Off",('Activity data'!AV13*EF!$H26)*kgtoGg,IF('Net zero activities &amp; levers'!$C$14="On",('Net zero Activity data'!AV13*EF!$H26)*kgtoGg,"ERROR"))</f>
        <v>1.6941067477261811E-2</v>
      </c>
      <c r="AD1089" s="100">
        <f>IF('Net zero activities &amp; levers'!$C$14="Off",('Activity data'!AW13*EF!$H26)*kgtoGg,IF('Net zero activities &amp; levers'!$C$14="On",('Net zero Activity data'!AW13*EF!$H26)*kgtoGg,"ERROR"))</f>
        <v>1.6975775774690904E-2</v>
      </c>
      <c r="AE1089" s="100">
        <f>IF('Net zero activities &amp; levers'!$C$14="Off",('Activity data'!AX13*EF!$H26)*kgtoGg,IF('Net zero activities &amp; levers'!$C$14="On",('Net zero Activity data'!AX13*EF!$H26)*kgtoGg,"ERROR"))</f>
        <v>1.7013417171997135E-2</v>
      </c>
      <c r="AF1089" s="100">
        <f>IF('Net zero activities &amp; levers'!$C$14="Off",('Activity data'!AY13*EF!$H26)*kgtoGg,IF('Net zero activities &amp; levers'!$C$14="On",('Net zero Activity data'!AY13*EF!$H26)*kgtoGg,"ERROR"))</f>
        <v>1.7053673452645857E-2</v>
      </c>
      <c r="AG1089" s="100">
        <f>IF('Net zero activities &amp; levers'!$C$14="Off",('Activity data'!AZ13*EF!$H26)*kgtoGg,IF('Net zero activities &amp; levers'!$C$14="On",('Net zero Activity data'!AZ13*EF!$H26)*kgtoGg,"ERROR"))</f>
        <v>1.7091991548522943E-2</v>
      </c>
      <c r="AH1089" s="100">
        <f>IF('Net zero activities &amp; levers'!$C$14="Off",('Activity data'!BA13*EF!$H26)*kgtoGg,IF('Net zero activities &amp; levers'!$C$14="On",('Net zero Activity data'!BA13*EF!$H26)*kgtoGg,"ERROR"))</f>
        <v>1.6924485926797139E-2</v>
      </c>
      <c r="AI1089" s="100">
        <f>IF('Net zero activities &amp; levers'!$C$14="Off",('Activity data'!BB13*EF!$H26)*kgtoGg,IF('Net zero activities &amp; levers'!$C$14="On",('Net zero Activity data'!BB13*EF!$H26)*kgtoGg,"ERROR"))</f>
        <v>1.6946898224790095E-2</v>
      </c>
      <c r="AJ1089" s="100">
        <f>IF('Net zero activities &amp; levers'!$C$14="Off",('Activity data'!BC13*EF!$H26)*kgtoGg,IF('Net zero activities &amp; levers'!$C$14="On",('Net zero Activity data'!BC13*EF!$H26)*kgtoGg,"ERROR"))</f>
        <v>1.6971320122511346E-2</v>
      </c>
      <c r="AK1089" s="100">
        <f>IF('Net zero activities &amp; levers'!$C$14="Off",('Activity data'!BD13*EF!$H26)*kgtoGg,IF('Net zero activities &amp; levers'!$C$14="On",('Net zero Activity data'!BD13*EF!$H26)*kgtoGg,"ERROR"))</f>
        <v>1.6997670008444151E-2</v>
      </c>
      <c r="AL1089" s="100">
        <f>IF('Net zero activities &amp; levers'!$C$14="Off",('Activity data'!BE13*EF!$H26)*kgtoGg,IF('Net zero activities &amp; levers'!$C$14="On",('Net zero Activity data'!BE13*EF!$H26)*kgtoGg,"ERROR"))</f>
        <v>1.7025872601317771E-2</v>
      </c>
      <c r="AM1089" s="100">
        <f>IF('Net zero activities &amp; levers'!$C$14="Off",('Activity data'!BF13*EF!$H26)*kgtoGg,IF('Net zero activities &amp; levers'!$C$14="On",('Net zero Activity data'!BF13*EF!$H26)*kgtoGg,"ERROR"))</f>
        <v>1.7055858343998281E-2</v>
      </c>
      <c r="AN1089" s="100">
        <f>IF('Net zero activities &amp; levers'!$C$14="Off",('Activity data'!BG13*EF!$H26)*kgtoGg,IF('Net zero activities &amp; levers'!$C$14="On",('Net zero Activity data'!BG13*EF!$H26)*kgtoGg,"ERROR"))</f>
        <v>1.706872967637315E-2</v>
      </c>
      <c r="AO1089" s="100">
        <f>IF('Net zero activities &amp; levers'!$C$14="Off",('Activity data'!BH13*EF!$H26)*kgtoGg,IF('Net zero activities &amp; levers'!$C$14="On",('Net zero Activity data'!BH13*EF!$H26)*kgtoGg,"ERROR"))</f>
        <v>1.7083207389206864E-2</v>
      </c>
      <c r="AP1089" s="100">
        <f>IF('Net zero activities &amp; levers'!$C$14="Off",('Activity data'!BI13*EF!$H26)*kgtoGg,IF('Net zero activities &amp; levers'!$C$14="On",('Net zero Activity data'!BI13*EF!$H26)*kgtoGg,"ERROR"))</f>
        <v>1.7099230922033661E-2</v>
      </c>
      <c r="AQ1089" s="100">
        <f>IF('Net zero activities &amp; levers'!$C$14="Off",('Activity data'!BJ13*EF!$H26)*kgtoGg,IF('Net zero activities &amp; levers'!$C$14="On",('Net zero Activity data'!BJ13*EF!$H26)*kgtoGg,"ERROR"))</f>
        <v>1.7116743868978143E-2</v>
      </c>
      <c r="AR1089" s="100">
        <f>IF('Net zero activities &amp; levers'!$C$14="Off",('Activity data'!BK13*EF!$H26)*kgtoGg,IF('Net zero activities &amp; levers'!$C$14="On",('Net zero Activity data'!BK13*EF!$H26)*kgtoGg,"ERROR"))</f>
        <v>1.7135693622819574E-2</v>
      </c>
      <c r="AS1089" s="100">
        <f>IF('Net zero activities &amp; levers'!$C$14="Off",('Activity data'!BL13*EF!$H26)*kgtoGg,IF('Net zero activities &amp; levers'!$C$14="On",('Net zero Activity data'!BL13*EF!$H26)*kgtoGg,"ERROR"))</f>
        <v>1.7137172081504573E-2</v>
      </c>
      <c r="AT1089" s="100">
        <f>IF('Net zero activities &amp; levers'!$C$14="Off",('Activity data'!BM13*EF!$H26)*kgtoGg,IF('Net zero activities &amp; levers'!$C$14="On",('Net zero Activity data'!BM13*EF!$H26)*kgtoGg,"ERROR"))</f>
        <v>1.7139965381039082E-2</v>
      </c>
      <c r="AU1089" s="100">
        <f>IF('Net zero activities &amp; levers'!$C$14="Off",('Activity data'!BN13*EF!$H26)*kgtoGg,IF('Net zero activities &amp; levers'!$C$14="On",('Net zero Activity data'!BN13*EF!$H26)*kgtoGg,"ERROR"))</f>
        <v>1.7144026301455787E-2</v>
      </c>
      <c r="AV1089" s="100">
        <f>IF('Net zero activities &amp; levers'!$C$14="Off",('Activity data'!BO13*EF!$H26)*kgtoGg,IF('Net zero activities &amp; levers'!$C$14="On",('Net zero Activity data'!BO13*EF!$H26)*kgtoGg,"ERROR"))</f>
        <v>1.7149310513066243E-2</v>
      </c>
      <c r="AW1089" s="100">
        <f>IF('Net zero activities &amp; levers'!$C$14="Off",('Activity data'!BP13*EF!$H26)*kgtoGg,IF('Net zero activities &amp; levers'!$C$14="On",('Net zero Activity data'!BP13*EF!$H26)*kgtoGg,"ERROR"))</f>
        <v>1.7155776352544339E-2</v>
      </c>
      <c r="AY1089" s="85"/>
    </row>
    <row r="1090" spans="1:51" x14ac:dyDescent="0.25">
      <c r="A1090" s="102" t="str">
        <f t="shared" ref="A1090:A1167" si="374">B1090&amp;" "&amp;C1090</f>
        <v>CM Goats MMCH4</v>
      </c>
      <c r="B1090" s="102" t="s">
        <v>1323</v>
      </c>
      <c r="C1090" s="102" t="s">
        <v>1326</v>
      </c>
      <c r="D1090" t="s">
        <v>15</v>
      </c>
      <c r="E1090" t="s">
        <v>22</v>
      </c>
      <c r="F1090" t="s">
        <v>19</v>
      </c>
      <c r="G1090" t="s">
        <v>123</v>
      </c>
      <c r="H1090" t="s">
        <v>1228</v>
      </c>
      <c r="I1090" t="s">
        <v>121</v>
      </c>
      <c r="J1090" t="s">
        <v>286</v>
      </c>
      <c r="K1090" s="100">
        <f>IF('Net zero activities &amp; levers'!$C$14="Off",('Activity data'!AD14*EF!$H27)*kgtoGg,IF('Net zero activities &amp; levers'!$C$14="On",('Net zero Activity data'!AD14*EF!$H27)*kgtoGg,"ERROR"))</f>
        <v>2.6591335822255355E-2</v>
      </c>
      <c r="L1090" s="100">
        <f>IF('Net zero activities &amp; levers'!$C$14="Off",('Activity data'!AE14*EF!$H27)*kgtoGg,IF('Net zero activities &amp; levers'!$C$14="On",('Net zero Activity data'!AE14*EF!$H27)*kgtoGg,"ERROR"))</f>
        <v>2.6660692324877722E-2</v>
      </c>
      <c r="M1090" s="100">
        <f>IF('Net zero activities &amp; levers'!$C$14="Off",('Activity data'!AF14*EF!$H27)*kgtoGg,IF('Net zero activities &amp; levers'!$C$14="On",('Net zero Activity data'!AF14*EF!$H27)*kgtoGg,"ERROR"))</f>
        <v>2.6753116008311057E-2</v>
      </c>
      <c r="N1090" s="100">
        <f>IF('Net zero activities &amp; levers'!$C$14="Off",('Activity data'!AG14*EF!$H27)*kgtoGg,IF('Net zero activities &amp; levers'!$C$14="On",('Net zero Activity data'!AG14*EF!$H27)*kgtoGg,"ERROR"))</f>
        <v>2.6866552112476273E-2</v>
      </c>
      <c r="O1090" s="100">
        <f>IF('Net zero activities &amp; levers'!$C$14="Off",('Activity data'!AH14*EF!$H27)*kgtoGg,IF('Net zero activities &amp; levers'!$C$14="On",('Net zero Activity data'!AH14*EF!$H27)*kgtoGg,"ERROR"))</f>
        <v>2.7002363766924078E-2</v>
      </c>
      <c r="P1090" s="100">
        <f>IF('Net zero activities &amp; levers'!$C$14="Off",('Activity data'!AI14*EF!$H27)*kgtoGg,IF('Net zero activities &amp; levers'!$C$14="On",('Net zero Activity data'!AI14*EF!$H27)*kgtoGg,"ERROR"))</f>
        <v>2.7160912383035713E-2</v>
      </c>
      <c r="Q1090" s="100">
        <f>IF('Net zero activities &amp; levers'!$C$14="Off",('Activity data'!AJ14*EF!$H27)*kgtoGg,IF('Net zero activities &amp; levers'!$C$14="On",('Net zero Activity data'!AJ14*EF!$H27)*kgtoGg,"ERROR"))</f>
        <v>2.7330430082995998E-2</v>
      </c>
      <c r="R1090" s="100">
        <f>IF('Net zero activities &amp; levers'!$C$14="Off",('Activity data'!AK14*EF!$H27)*kgtoGg,IF('Net zero activities &amp; levers'!$C$14="On",('Net zero Activity data'!AK14*EF!$H27)*kgtoGg,"ERROR"))</f>
        <v>2.7508492902668026E-2</v>
      </c>
      <c r="S1090" s="100">
        <f>IF('Net zero activities &amp; levers'!$C$14="Off",('Activity data'!AL14*EF!$H27)*kgtoGg,IF('Net zero activities &amp; levers'!$C$14="On",('Net zero Activity data'!AL14*EF!$H27)*kgtoGg,"ERROR"))</f>
        <v>2.7673905441167147E-2</v>
      </c>
      <c r="T1090" s="100">
        <f>IF('Net zero activities &amp; levers'!$C$14="Off",('Activity data'!AM14*EF!$H27)*kgtoGg,IF('Net zero activities &amp; levers'!$C$14="On",('Net zero Activity data'!AM14*EF!$H27)*kgtoGg,"ERROR"))</f>
        <v>2.7751422796260871E-2</v>
      </c>
      <c r="U1090" s="100">
        <f>IF('Net zero activities &amp; levers'!$C$14="Off",('Activity data'!AN14*EF!$H27)*kgtoGg,IF('Net zero activities &amp; levers'!$C$14="On",('Net zero Activity data'!AN14*EF!$H27)*kgtoGg,"ERROR"))</f>
        <v>2.783642487301826E-2</v>
      </c>
      <c r="V1090" s="100">
        <f>IF('Net zero activities &amp; levers'!$C$14="Off",('Activity data'!AO14*EF!$H27)*kgtoGg,IF('Net zero activities &amp; levers'!$C$14="On",('Net zero Activity data'!AO14*EF!$H27)*kgtoGg,"ERROR"))</f>
        <v>2.7929019541221126E-2</v>
      </c>
      <c r="W1090" s="100">
        <f>IF('Net zero activities &amp; levers'!$C$14="Off",('Activity data'!AP14*EF!$H27)*kgtoGg,IF('Net zero activities &amp; levers'!$C$14="On",('Net zero Activity data'!AP14*EF!$H27)*kgtoGg,"ERROR"))</f>
        <v>2.8029723528587808E-2</v>
      </c>
      <c r="X1090" s="100">
        <f>IF('Net zero activities &amp; levers'!$C$14="Off",('Activity data'!AQ14*EF!$H27)*kgtoGg,IF('Net zero activities &amp; levers'!$C$14="On",('Net zero Activity data'!AQ14*EF!$H27)*kgtoGg,"ERROR"))</f>
        <v>2.813718097180834E-2</v>
      </c>
      <c r="Y1090" s="100">
        <f>IF('Net zero activities &amp; levers'!$C$14="Off",('Activity data'!AR14*EF!$H27)*kgtoGg,IF('Net zero activities &amp; levers'!$C$14="On",('Net zero Activity data'!AR14*EF!$H27)*kgtoGg,"ERROR"))</f>
        <v>2.8205104287210486E-2</v>
      </c>
      <c r="Z1090" s="100">
        <f>IF('Net zero activities &amp; levers'!$C$14="Off",('Activity data'!AS14*EF!$H27)*kgtoGg,IF('Net zero activities &amp; levers'!$C$14="On",('Net zero Activity data'!AS14*EF!$H27)*kgtoGg,"ERROR"))</f>
        <v>2.827859386049221E-2</v>
      </c>
      <c r="AA1090" s="100">
        <f>IF('Net zero activities &amp; levers'!$C$14="Off",('Activity data'!AT14*EF!$H27)*kgtoGg,IF('Net zero activities &amp; levers'!$C$14="On",('Net zero Activity data'!AT14*EF!$H27)*kgtoGg,"ERROR"))</f>
        <v>2.8357953722781829E-2</v>
      </c>
      <c r="AB1090" s="100">
        <f>IF('Net zero activities &amp; levers'!$C$14="Off",('Activity data'!AU14*EF!$H27)*kgtoGg,IF('Net zero activities &amp; levers'!$C$14="On",('Net zero Activity data'!AU14*EF!$H27)*kgtoGg,"ERROR"))</f>
        <v>2.8442091325570455E-2</v>
      </c>
      <c r="AC1090" s="100">
        <f>IF('Net zero activities &amp; levers'!$C$14="Off",('Activity data'!AV14*EF!$H27)*kgtoGg,IF('Net zero activities &amp; levers'!$C$14="On",('Net zero Activity data'!AV14*EF!$H27)*kgtoGg,"ERROR"))</f>
        <v>2.8531343228541953E-2</v>
      </c>
      <c r="AD1090" s="100">
        <f>IF('Net zero activities &amp; levers'!$C$14="Off",('Activity data'!AW14*EF!$H27)*kgtoGg,IF('Net zero activities &amp; levers'!$C$14="On",('Net zero Activity data'!AW14*EF!$H27)*kgtoGg,"ERROR"))</f>
        <v>2.8589797298697615E-2</v>
      </c>
      <c r="AE1090" s="100">
        <f>IF('Net zero activities &amp; levers'!$C$14="Off",('Activity data'!AX14*EF!$H27)*kgtoGg,IF('Net zero activities &amp; levers'!$C$14="On",('Net zero Activity data'!AX14*EF!$H27)*kgtoGg,"ERROR"))</f>
        <v>2.8653191156704935E-2</v>
      </c>
      <c r="AF1090" s="100">
        <f>IF('Net zero activities &amp; levers'!$C$14="Off",('Activity data'!AY14*EF!$H27)*kgtoGg,IF('Net zero activities &amp; levers'!$C$14="On",('Net zero Activity data'!AY14*EF!$H27)*kgtoGg,"ERROR"))</f>
        <v>2.8720988877352402E-2</v>
      </c>
      <c r="AG1090" s="100">
        <f>IF('Net zero activities &amp; levers'!$C$14="Off",('Activity data'!AZ14*EF!$H27)*kgtoGg,IF('Net zero activities &amp; levers'!$C$14="On",('Net zero Activity data'!AZ14*EF!$H27)*kgtoGg,"ERROR"))</f>
        <v>2.8785522399032822E-2</v>
      </c>
      <c r="AH1090" s="100">
        <f>IF('Net zero activities &amp; levers'!$C$14="Off",('Activity data'!BA14*EF!$H27)*kgtoGg,IF('Net zero activities &amp; levers'!$C$14="On",('Net zero Activity data'!BA14*EF!$H27)*kgtoGg,"ERROR"))</f>
        <v>2.8503417366833182E-2</v>
      </c>
      <c r="AI1090" s="100">
        <f>IF('Net zero activities &amp; levers'!$C$14="Off",('Activity data'!BB14*EF!$H27)*kgtoGg,IF('Net zero activities &amp; levers'!$C$14="On",('Net zero Activity data'!BB14*EF!$H27)*kgtoGg,"ERROR"))</f>
        <v>2.8541163097285861E-2</v>
      </c>
      <c r="AJ1090" s="100">
        <f>IF('Net zero activities &amp; levers'!$C$14="Off",('Activity data'!BC14*EF!$H27)*kgtoGg,IF('Net zero activities &amp; levers'!$C$14="On",('Net zero Activity data'!BC14*EF!$H27)*kgtoGg,"ERROR"))</f>
        <v>2.8582293300392164E-2</v>
      </c>
      <c r="AK1090" s="100">
        <f>IF('Net zero activities &amp; levers'!$C$14="Off",('Activity data'!BD14*EF!$H27)*kgtoGg,IF('Net zero activities &amp; levers'!$C$14="On",('Net zero Activity data'!BD14*EF!$H27)*kgtoGg,"ERROR"))</f>
        <v>2.8626670529902105E-2</v>
      </c>
      <c r="AL1090" s="100">
        <f>IF('Net zero activities &amp; levers'!$C$14="Off",('Activity data'!BE14*EF!$H27)*kgtoGg,IF('Net zero activities &amp; levers'!$C$14="On",('Net zero Activity data'!BE14*EF!$H27)*kgtoGg,"ERROR"))</f>
        <v>2.8674168000666096E-2</v>
      </c>
      <c r="AM1090" s="100">
        <f>IF('Net zero activities &amp; levers'!$C$14="Off",('Activity data'!BF14*EF!$H27)*kgtoGg,IF('Net zero activities &amp; levers'!$C$14="On",('Net zero Activity data'!BF14*EF!$H27)*kgtoGg,"ERROR"))</f>
        <v>2.8724668567854592E-2</v>
      </c>
      <c r="AN1090" s="100">
        <f>IF('Net zero activities &amp; levers'!$C$14="Off",('Activity data'!BG14*EF!$H27)*kgtoGg,IF('Net zero activities &amp; levers'!$C$14="On",('Net zero Activity data'!BG14*EF!$H27)*kgtoGg,"ERROR"))</f>
        <v>2.8746345856035454E-2</v>
      </c>
      <c r="AO1090" s="100">
        <f>IF('Net zero activities &amp; levers'!$C$14="Off",('Activity data'!BH14*EF!$H27)*kgtoGg,IF('Net zero activities &amp; levers'!$C$14="On",('Net zero Activity data'!BH14*EF!$H27)*kgtoGg,"ERROR"))</f>
        <v>2.8770728534079647E-2</v>
      </c>
      <c r="AP1090" s="100">
        <f>IF('Net zero activities &amp; levers'!$C$14="Off",('Activity data'!BI14*EF!$H27)*kgtoGg,IF('Net zero activities &amp; levers'!$C$14="On",('Net zero Activity data'!BI14*EF!$H27)*kgtoGg,"ERROR"))</f>
        <v>2.8797714608919899E-2</v>
      </c>
      <c r="AQ1090" s="100">
        <f>IF('Net zero activities &amp; levers'!$C$14="Off",('Activity data'!BJ14*EF!$H27)*kgtoGg,IF('Net zero activities &amp; levers'!$C$14="On",('Net zero Activity data'!BJ14*EF!$H27)*kgtoGg,"ERROR"))</f>
        <v>2.8827209084453208E-2</v>
      </c>
      <c r="AR1090" s="100">
        <f>IF('Net zero activities &amp; levers'!$C$14="Off",('Activity data'!BK14*EF!$H27)*kgtoGg,IF('Net zero activities &amp; levers'!$C$14="On",('Net zero Activity data'!BK14*EF!$H27)*kgtoGg,"ERROR"))</f>
        <v>2.8859123362090785E-2</v>
      </c>
      <c r="AS1090" s="100">
        <f>IF('Net zero activities &amp; levers'!$C$14="Off",('Activity data'!BL14*EF!$H27)*kgtoGg,IF('Net zero activities &amp; levers'!$C$14="On",('Net zero Activity data'!BL14*EF!$H27)*kgtoGg,"ERROR"))</f>
        <v>2.8861613312163151E-2</v>
      </c>
      <c r="AT1090" s="100">
        <f>IF('Net zero activities &amp; levers'!$C$14="Off",('Activity data'!BM14*EF!$H27)*kgtoGg,IF('Net zero activities &amp; levers'!$C$14="On",('Net zero Activity data'!BM14*EF!$H27)*kgtoGg,"ERROR"))</f>
        <v>2.8866317654901063E-2</v>
      </c>
      <c r="AU1090" s="100">
        <f>IF('Net zero activities &amp; levers'!$C$14="Off",('Activity data'!BN14*EF!$H27)*kgtoGg,IF('Net zero activities &amp; levers'!$C$14="On",('Net zero Activity data'!BN14*EF!$H27)*kgtoGg,"ERROR"))</f>
        <v>2.887315686467273E-2</v>
      </c>
      <c r="AV1090" s="100">
        <f>IF('Net zero activities &amp; levers'!$C$14="Off",('Activity data'!BO14*EF!$H27)*kgtoGg,IF('Net zero activities &amp; levers'!$C$14="On",('Net zero Activity data'!BO14*EF!$H27)*kgtoGg,"ERROR"))</f>
        <v>2.888205628351705E-2</v>
      </c>
      <c r="AW1090" s="100">
        <f>IF('Net zero activities &amp; levers'!$C$14="Off",('Activity data'!BP14*EF!$H27)*kgtoGg,IF('Net zero activities &amp; levers'!$C$14="On",('Net zero Activity data'!BP14*EF!$H27)*kgtoGg,"ERROR"))</f>
        <v>2.8892945744034091E-2</v>
      </c>
      <c r="AY1090" s="85"/>
    </row>
    <row r="1091" spans="1:51" x14ac:dyDescent="0.25">
      <c r="A1091" s="102" t="str">
        <f t="shared" si="374"/>
        <v>CM Horses MMCH4</v>
      </c>
      <c r="B1091" s="102" t="s">
        <v>1323</v>
      </c>
      <c r="C1091" s="102" t="s">
        <v>1327</v>
      </c>
      <c r="D1091" t="s">
        <v>15</v>
      </c>
      <c r="E1091" t="s">
        <v>22</v>
      </c>
      <c r="F1091" t="s">
        <v>20</v>
      </c>
      <c r="G1091" t="s">
        <v>3</v>
      </c>
      <c r="H1091" t="s">
        <v>1228</v>
      </c>
      <c r="I1091" t="s">
        <v>121</v>
      </c>
      <c r="J1091" t="s">
        <v>286</v>
      </c>
      <c r="K1091" s="100">
        <f>IF('Net zero activities &amp; levers'!$C$14="Off",('Activity data'!AD15*EF!$H28)*kgtoGg,IF('Net zero activities &amp; levers'!$C$14="On",('Net zero Activity data'!AD15*EF!$H28)*kgtoGg,"ERROR"))</f>
        <v>4.1462896209668214E-3</v>
      </c>
      <c r="L1091" s="100">
        <f>IF('Net zero activities &amp; levers'!$C$14="Off",('Activity data'!AE15*EF!$H28)*kgtoGg,IF('Net zero activities &amp; levers'!$C$14="On",('Net zero Activity data'!AE15*EF!$H28)*kgtoGg,"ERROR"))</f>
        <v>4.1705892650270686E-3</v>
      </c>
      <c r="M1091" s="100">
        <f>IF('Net zero activities &amp; levers'!$C$14="Off",('Activity data'!AF15*EF!$H28)*kgtoGg,IF('Net zero activities &amp; levers'!$C$14="On",('Net zero Activity data'!AF15*EF!$H28)*kgtoGg,"ERROR"))</f>
        <v>4.1765760669998774E-3</v>
      </c>
      <c r="N1091" s="100">
        <f>IF('Net zero activities &amp; levers'!$C$14="Off",('Activity data'!AG15*EF!$H28)*kgtoGg,IF('Net zero activities &amp; levers'!$C$14="On",('Net zero Activity data'!AG15*EF!$H28)*kgtoGg,"ERROR"))</f>
        <v>4.1582865548880337E-3</v>
      </c>
      <c r="O1091" s="100">
        <f>IF('Net zero activities &amp; levers'!$C$14="Off",('Activity data'!AH15*EF!$H28)*kgtoGg,IF('Net zero activities &amp; levers'!$C$14="On",('Net zero Activity data'!AH15*EF!$H28)*kgtoGg,"ERROR"))</f>
        <v>4.1389364137095824E-3</v>
      </c>
      <c r="P1091" s="100">
        <f>IF('Net zero activities &amp; levers'!$C$14="Off",('Activity data'!AI15*EF!$H28)*kgtoGg,IF('Net zero activities &amp; levers'!$C$14="On",('Net zero Activity data'!AI15*EF!$H28)*kgtoGg,"ERROR"))</f>
        <v>4.1297300373309533E-3</v>
      </c>
      <c r="Q1091" s="100">
        <f>IF('Net zero activities &amp; levers'!$C$14="Off",('Activity data'!AJ15*EF!$H28)*kgtoGg,IF('Net zero activities &amp; levers'!$C$14="On",('Net zero Activity data'!AJ15*EF!$H28)*kgtoGg,"ERROR"))</f>
        <v>4.1235897943981579E-3</v>
      </c>
      <c r="R1091" s="100">
        <f>IF('Net zero activities &amp; levers'!$C$14="Off",('Activity data'!AK15*EF!$H28)*kgtoGg,IF('Net zero activities &amp; levers'!$C$14="On",('Net zero Activity data'!AK15*EF!$H28)*kgtoGg,"ERROR"))</f>
        <v>4.0939723150578283E-3</v>
      </c>
      <c r="S1091" s="100">
        <f>IF('Net zero activities &amp; levers'!$C$14="Off",('Activity data'!AL15*EF!$H28)*kgtoGg,IF('Net zero activities &amp; levers'!$C$14="On",('Net zero Activity data'!AL15*EF!$H28)*kgtoGg,"ERROR"))</f>
        <v>3.8546694485950316E-3</v>
      </c>
      <c r="T1091" s="100">
        <f>IF('Net zero activities &amp; levers'!$C$14="Off",('Activity data'!AM15*EF!$H28)*kgtoGg,IF('Net zero activities &amp; levers'!$C$14="On",('Net zero Activity data'!AM15*EF!$H28)*kgtoGg,"ERROR"))</f>
        <v>3.8885582856899971E-3</v>
      </c>
      <c r="U1091" s="100">
        <f>IF('Net zero activities &amp; levers'!$C$14="Off",('Activity data'!AN15*EF!$H28)*kgtoGg,IF('Net zero activities &amp; levers'!$C$14="On",('Net zero Activity data'!AN15*EF!$H28)*kgtoGg,"ERROR"))</f>
        <v>3.9163093014231119E-3</v>
      </c>
      <c r="V1091" s="100">
        <f>IF('Net zero activities &amp; levers'!$C$14="Off",('Activity data'!AO15*EF!$H28)*kgtoGg,IF('Net zero activities &amp; levers'!$C$14="On",('Net zero Activity data'!AO15*EF!$H28)*kgtoGg,"ERROR"))</f>
        <v>3.943499319412006E-3</v>
      </c>
      <c r="W1091" s="100">
        <f>IF('Net zero activities &amp; levers'!$C$14="Off",('Activity data'!AP15*EF!$H28)*kgtoGg,IF('Net zero activities &amp; levers'!$C$14="On",('Net zero Activity data'!AP15*EF!$H28)*kgtoGg,"ERROR"))</f>
        <v>3.9787498507285772E-3</v>
      </c>
      <c r="X1091" s="100">
        <f>IF('Net zero activities &amp; levers'!$C$14="Off",('Activity data'!AQ15*EF!$H28)*kgtoGg,IF('Net zero activities &amp; levers'!$C$14="On",('Net zero Activity data'!AQ15*EF!$H28)*kgtoGg,"ERROR"))</f>
        <v>4.0133556413366692E-3</v>
      </c>
      <c r="Y1091" s="100">
        <f>IF('Net zero activities &amp; levers'!$C$14="Off",('Activity data'!AR15*EF!$H28)*kgtoGg,IF('Net zero activities &amp; levers'!$C$14="On",('Net zero Activity data'!AR15*EF!$H28)*kgtoGg,"ERROR"))</f>
        <v>4.0529996928532061E-3</v>
      </c>
      <c r="Z1091" s="100">
        <f>IF('Net zero activities &amp; levers'!$C$14="Off",('Activity data'!AS15*EF!$H28)*kgtoGg,IF('Net zero activities &amp; levers'!$C$14="On",('Net zero Activity data'!AS15*EF!$H28)*kgtoGg,"ERROR"))</f>
        <v>4.0900631434267433E-3</v>
      </c>
      <c r="AA1091" s="100">
        <f>IF('Net zero activities &amp; levers'!$C$14="Off",('Activity data'!AT15*EF!$H28)*kgtoGg,IF('Net zero activities &amp; levers'!$C$14="On",('Net zero Activity data'!AT15*EF!$H28)*kgtoGg,"ERROR"))</f>
        <v>4.1299322607386601E-3</v>
      </c>
      <c r="AB1091" s="100">
        <f>IF('Net zero activities &amp; levers'!$C$14="Off",('Activity data'!AU15*EF!$H28)*kgtoGg,IF('Net zero activities &amp; levers'!$C$14="On",('Net zero Activity data'!AU15*EF!$H28)*kgtoGg,"ERROR"))</f>
        <v>4.1653099616518066E-3</v>
      </c>
      <c r="AC1091" s="100">
        <f>IF('Net zero activities &amp; levers'!$C$14="Off",('Activity data'!AV15*EF!$H28)*kgtoGg,IF('Net zero activities &amp; levers'!$C$14="On",('Net zero Activity data'!AV15*EF!$H28)*kgtoGg,"ERROR"))</f>
        <v>4.2013445039546862E-3</v>
      </c>
      <c r="AD1091" s="100">
        <f>IF('Net zero activities &amp; levers'!$C$14="Off",('Activity data'!AW15*EF!$H28)*kgtoGg,IF('Net zero activities &amp; levers'!$C$14="On",('Net zero Activity data'!AW15*EF!$H28)*kgtoGg,"ERROR"))</f>
        <v>4.251252835120037E-3</v>
      </c>
      <c r="AE1091" s="100">
        <f>IF('Net zero activities &amp; levers'!$C$14="Off",('Activity data'!AX15*EF!$H28)*kgtoGg,IF('Net zero activities &amp; levers'!$C$14="On",('Net zero Activity data'!AX15*EF!$H28)*kgtoGg,"ERROR"))</f>
        <v>4.3057143858228663E-3</v>
      </c>
      <c r="AF1091" s="100">
        <f>IF('Net zero activities &amp; levers'!$C$14="Off",('Activity data'!AY15*EF!$H28)*kgtoGg,IF('Net zero activities &amp; levers'!$C$14="On",('Net zero Activity data'!AY15*EF!$H28)*kgtoGg,"ERROR"))</f>
        <v>4.3617167354082645E-3</v>
      </c>
      <c r="AG1091" s="100">
        <f>IF('Net zero activities &amp; levers'!$C$14="Off",('Activity data'!AZ15*EF!$H28)*kgtoGg,IF('Net zero activities &amp; levers'!$C$14="On",('Net zero Activity data'!AZ15*EF!$H28)*kgtoGg,"ERROR"))</f>
        <v>4.3537503349345688E-3</v>
      </c>
      <c r="AH1091" s="100">
        <f>IF('Net zero activities &amp; levers'!$C$14="Off",('Activity data'!BA15*EF!$H28)*kgtoGg,IF('Net zero activities &amp; levers'!$C$14="On",('Net zero Activity data'!BA15*EF!$H28)*kgtoGg,"ERROR"))</f>
        <v>1.2882018816554785E-3</v>
      </c>
      <c r="AI1091" s="100">
        <f>IF('Net zero activities &amp; levers'!$C$14="Off",('Activity data'!BB15*EF!$H28)*kgtoGg,IF('Net zero activities &amp; levers'!$C$14="On",('Net zero Activity data'!BB15*EF!$H28)*kgtoGg,"ERROR"))</f>
        <v>1.2882018816554785E-3</v>
      </c>
      <c r="AJ1091" s="100">
        <f>IF('Net zero activities &amp; levers'!$C$14="Off",('Activity data'!BC15*EF!$H28)*kgtoGg,IF('Net zero activities &amp; levers'!$C$14="On",('Net zero Activity data'!BC15*EF!$H28)*kgtoGg,"ERROR"))</f>
        <v>1.2882018816554785E-3</v>
      </c>
      <c r="AK1091" s="100">
        <f>IF('Net zero activities &amp; levers'!$C$14="Off",('Activity data'!BD15*EF!$H28)*kgtoGg,IF('Net zero activities &amp; levers'!$C$14="On",('Net zero Activity data'!BD15*EF!$H28)*kgtoGg,"ERROR"))</f>
        <v>1.2882018816554785E-3</v>
      </c>
      <c r="AL1091" s="100">
        <f>IF('Net zero activities &amp; levers'!$C$14="Off",('Activity data'!BE15*EF!$H28)*kgtoGg,IF('Net zero activities &amp; levers'!$C$14="On",('Net zero Activity data'!BE15*EF!$H28)*kgtoGg,"ERROR"))</f>
        <v>1.2882018816554785E-3</v>
      </c>
      <c r="AM1091" s="100">
        <f>IF('Net zero activities &amp; levers'!$C$14="Off",('Activity data'!BF15*EF!$H28)*kgtoGg,IF('Net zero activities &amp; levers'!$C$14="On",('Net zero Activity data'!BF15*EF!$H28)*kgtoGg,"ERROR"))</f>
        <v>1.2882018816554785E-3</v>
      </c>
      <c r="AN1091" s="100">
        <f>IF('Net zero activities &amp; levers'!$C$14="Off",('Activity data'!BG15*EF!$H28)*kgtoGg,IF('Net zero activities &amp; levers'!$C$14="On",('Net zero Activity data'!BG15*EF!$H28)*kgtoGg,"ERROR"))</f>
        <v>1.2882018816554785E-3</v>
      </c>
      <c r="AO1091" s="100">
        <f>IF('Net zero activities &amp; levers'!$C$14="Off",('Activity data'!BH15*EF!$H28)*kgtoGg,IF('Net zero activities &amp; levers'!$C$14="On",('Net zero Activity data'!BH15*EF!$H28)*kgtoGg,"ERROR"))</f>
        <v>1.2882018816554785E-3</v>
      </c>
      <c r="AP1091" s="100">
        <f>IF('Net zero activities &amp; levers'!$C$14="Off",('Activity data'!BI15*EF!$H28)*kgtoGg,IF('Net zero activities &amp; levers'!$C$14="On",('Net zero Activity data'!BI15*EF!$H28)*kgtoGg,"ERROR"))</f>
        <v>1.2882018816554785E-3</v>
      </c>
      <c r="AQ1091" s="100">
        <f>IF('Net zero activities &amp; levers'!$C$14="Off",('Activity data'!BJ15*EF!$H28)*kgtoGg,IF('Net zero activities &amp; levers'!$C$14="On",('Net zero Activity data'!BJ15*EF!$H28)*kgtoGg,"ERROR"))</f>
        <v>1.2882018816554785E-3</v>
      </c>
      <c r="AR1091" s="100">
        <f>IF('Net zero activities &amp; levers'!$C$14="Off",('Activity data'!BK15*EF!$H28)*kgtoGg,IF('Net zero activities &amp; levers'!$C$14="On",('Net zero Activity data'!BK15*EF!$H28)*kgtoGg,"ERROR"))</f>
        <v>1.2882018816554785E-3</v>
      </c>
      <c r="AS1091" s="100">
        <f>IF('Net zero activities &amp; levers'!$C$14="Off",('Activity data'!BL15*EF!$H28)*kgtoGg,IF('Net zero activities &amp; levers'!$C$14="On",('Net zero Activity data'!BL15*EF!$H28)*kgtoGg,"ERROR"))</f>
        <v>1.2882018816554785E-3</v>
      </c>
      <c r="AT1091" s="100">
        <f>IF('Net zero activities &amp; levers'!$C$14="Off",('Activity data'!BM15*EF!$H28)*kgtoGg,IF('Net zero activities &amp; levers'!$C$14="On",('Net zero Activity data'!BM15*EF!$H28)*kgtoGg,"ERROR"))</f>
        <v>1.2882018816554785E-3</v>
      </c>
      <c r="AU1091" s="100">
        <f>IF('Net zero activities &amp; levers'!$C$14="Off",('Activity data'!BN15*EF!$H28)*kgtoGg,IF('Net zero activities &amp; levers'!$C$14="On",('Net zero Activity data'!BN15*EF!$H28)*kgtoGg,"ERROR"))</f>
        <v>1.2882018816554785E-3</v>
      </c>
      <c r="AV1091" s="100">
        <f>IF('Net zero activities &amp; levers'!$C$14="Off",('Activity data'!BO15*EF!$H28)*kgtoGg,IF('Net zero activities &amp; levers'!$C$14="On",('Net zero Activity data'!BO15*EF!$H28)*kgtoGg,"ERROR"))</f>
        <v>1.2882018816554785E-3</v>
      </c>
      <c r="AW1091" s="100">
        <f>IF('Net zero activities &amp; levers'!$C$14="Off",('Activity data'!BP15*EF!$H28)*kgtoGg,IF('Net zero activities &amp; levers'!$C$14="On",('Net zero Activity data'!BP15*EF!$H28)*kgtoGg,"ERROR"))</f>
        <v>1.2882018816554785E-3</v>
      </c>
      <c r="AY1091" s="85"/>
    </row>
    <row r="1092" spans="1:51" x14ac:dyDescent="0.25">
      <c r="A1092" s="102" t="str">
        <f t="shared" si="374"/>
        <v>CM Mules MMCH4</v>
      </c>
      <c r="B1092" s="102" t="s">
        <v>1323</v>
      </c>
      <c r="C1092" s="102" t="s">
        <v>1328</v>
      </c>
      <c r="D1092" t="s">
        <v>15</v>
      </c>
      <c r="E1092" t="s">
        <v>22</v>
      </c>
      <c r="F1092" t="s">
        <v>140</v>
      </c>
      <c r="G1092" t="s">
        <v>124</v>
      </c>
      <c r="H1092" t="s">
        <v>1228</v>
      </c>
      <c r="I1092" t="s">
        <v>121</v>
      </c>
      <c r="J1092" t="s">
        <v>286</v>
      </c>
      <c r="K1092" s="100">
        <f>IF('Net zero activities &amp; levers'!$C$14="Off",('Activity data'!AD16*EF!$H29)*kgtoGg,IF('Net zero activities &amp; levers'!$C$14="On",('Net zero Activity data'!AD16*EF!$H29)*kgtoGg,"ERROR"))</f>
        <v>7.515E-4</v>
      </c>
      <c r="L1092" s="100">
        <f>IF('Net zero activities &amp; levers'!$C$14="Off",('Activity data'!AE16*EF!$H29)*kgtoGg,IF('Net zero activities &amp; levers'!$C$14="On",('Net zero Activity data'!AE16*EF!$H29)*kgtoGg,"ERROR"))</f>
        <v>7.515E-4</v>
      </c>
      <c r="M1092" s="100">
        <f>IF('Net zero activities &amp; levers'!$C$14="Off",('Activity data'!AF16*EF!$H29)*kgtoGg,IF('Net zero activities &amp; levers'!$C$14="On",('Net zero Activity data'!AF16*EF!$H29)*kgtoGg,"ERROR"))</f>
        <v>7.515E-4</v>
      </c>
      <c r="N1092" s="100">
        <f>IF('Net zero activities &amp; levers'!$C$14="Off",('Activity data'!AG16*EF!$H29)*kgtoGg,IF('Net zero activities &amp; levers'!$C$14="On",('Net zero Activity data'!AG16*EF!$H29)*kgtoGg,"ERROR"))</f>
        <v>7.515E-4</v>
      </c>
      <c r="O1092" s="100">
        <f>IF('Net zero activities &amp; levers'!$C$14="Off",('Activity data'!AH16*EF!$H29)*kgtoGg,IF('Net zero activities &amp; levers'!$C$14="On",('Net zero Activity data'!AH16*EF!$H29)*kgtoGg,"ERROR"))</f>
        <v>7.515E-4</v>
      </c>
      <c r="P1092" s="100">
        <f>IF('Net zero activities &amp; levers'!$C$14="Off",('Activity data'!AI16*EF!$H29)*kgtoGg,IF('Net zero activities &amp; levers'!$C$14="On",('Net zero Activity data'!AI16*EF!$H29)*kgtoGg,"ERROR"))</f>
        <v>7.515E-4</v>
      </c>
      <c r="Q1092" s="100">
        <f>IF('Net zero activities &amp; levers'!$C$14="Off",('Activity data'!AJ16*EF!$H29)*kgtoGg,IF('Net zero activities &amp; levers'!$C$14="On",('Net zero Activity data'!AJ16*EF!$H29)*kgtoGg,"ERROR"))</f>
        <v>7.515E-4</v>
      </c>
      <c r="R1092" s="100">
        <f>IF('Net zero activities &amp; levers'!$C$14="Off",('Activity data'!AK16*EF!$H29)*kgtoGg,IF('Net zero activities &amp; levers'!$C$14="On",('Net zero Activity data'!AK16*EF!$H29)*kgtoGg,"ERROR"))</f>
        <v>7.515E-4</v>
      </c>
      <c r="S1092" s="100">
        <f>IF('Net zero activities &amp; levers'!$C$14="Off",('Activity data'!AL16*EF!$H29)*kgtoGg,IF('Net zero activities &amp; levers'!$C$14="On",('Net zero Activity data'!AL16*EF!$H29)*kgtoGg,"ERROR"))</f>
        <v>7.515E-4</v>
      </c>
      <c r="T1092" s="100">
        <f>IF('Net zero activities &amp; levers'!$C$14="Off",('Activity data'!AM16*EF!$H29)*kgtoGg,IF('Net zero activities &amp; levers'!$C$14="On",('Net zero Activity data'!AM16*EF!$H29)*kgtoGg,"ERROR"))</f>
        <v>7.515E-4</v>
      </c>
      <c r="U1092" s="100">
        <f>IF('Net zero activities &amp; levers'!$C$14="Off",('Activity data'!AN16*EF!$H29)*kgtoGg,IF('Net zero activities &amp; levers'!$C$14="On",('Net zero Activity data'!AN16*EF!$H29)*kgtoGg,"ERROR"))</f>
        <v>7.515E-4</v>
      </c>
      <c r="V1092" s="100">
        <f>IF('Net zero activities &amp; levers'!$C$14="Off",('Activity data'!AO16*EF!$H29)*kgtoGg,IF('Net zero activities &amp; levers'!$C$14="On",('Net zero Activity data'!AO16*EF!$H29)*kgtoGg,"ERROR"))</f>
        <v>7.515E-4</v>
      </c>
      <c r="W1092" s="100">
        <f>IF('Net zero activities &amp; levers'!$C$14="Off",('Activity data'!AP16*EF!$H29)*kgtoGg,IF('Net zero activities &amp; levers'!$C$14="On",('Net zero Activity data'!AP16*EF!$H29)*kgtoGg,"ERROR"))</f>
        <v>7.515E-4</v>
      </c>
      <c r="X1092" s="100">
        <f>IF('Net zero activities &amp; levers'!$C$14="Off",('Activity data'!AQ16*EF!$H29)*kgtoGg,IF('Net zero activities &amp; levers'!$C$14="On",('Net zero Activity data'!AQ16*EF!$H29)*kgtoGg,"ERROR"))</f>
        <v>7.515E-4</v>
      </c>
      <c r="Y1092" s="100">
        <f>IF('Net zero activities &amp; levers'!$C$14="Off",('Activity data'!AR16*EF!$H29)*kgtoGg,IF('Net zero activities &amp; levers'!$C$14="On",('Net zero Activity data'!AR16*EF!$H29)*kgtoGg,"ERROR"))</f>
        <v>7.515E-4</v>
      </c>
      <c r="Z1092" s="100">
        <f>IF('Net zero activities &amp; levers'!$C$14="Off",('Activity data'!AS16*EF!$H29)*kgtoGg,IF('Net zero activities &amp; levers'!$C$14="On",('Net zero Activity data'!AS16*EF!$H29)*kgtoGg,"ERROR"))</f>
        <v>7.515E-4</v>
      </c>
      <c r="AA1092" s="100">
        <f>IF('Net zero activities &amp; levers'!$C$14="Off",('Activity data'!AT16*EF!$H29)*kgtoGg,IF('Net zero activities &amp; levers'!$C$14="On",('Net zero Activity data'!AT16*EF!$H29)*kgtoGg,"ERROR"))</f>
        <v>7.515E-4</v>
      </c>
      <c r="AB1092" s="100">
        <f>IF('Net zero activities &amp; levers'!$C$14="Off",('Activity data'!AU16*EF!$H29)*kgtoGg,IF('Net zero activities &amp; levers'!$C$14="On",('Net zero Activity data'!AU16*EF!$H29)*kgtoGg,"ERROR"))</f>
        <v>7.515E-4</v>
      </c>
      <c r="AC1092" s="100">
        <f>IF('Net zero activities &amp; levers'!$C$14="Off",('Activity data'!AV16*EF!$H29)*kgtoGg,IF('Net zero activities &amp; levers'!$C$14="On",('Net zero Activity data'!AV16*EF!$H29)*kgtoGg,"ERROR"))</f>
        <v>7.515E-4</v>
      </c>
      <c r="AD1092" s="100">
        <f>IF('Net zero activities &amp; levers'!$C$14="Off",('Activity data'!AW16*EF!$H29)*kgtoGg,IF('Net zero activities &amp; levers'!$C$14="On",('Net zero Activity data'!AW16*EF!$H29)*kgtoGg,"ERROR"))</f>
        <v>7.515E-4</v>
      </c>
      <c r="AE1092" s="100">
        <f>IF('Net zero activities &amp; levers'!$C$14="Off",('Activity data'!AX16*EF!$H29)*kgtoGg,IF('Net zero activities &amp; levers'!$C$14="On",('Net zero Activity data'!AX16*EF!$H29)*kgtoGg,"ERROR"))</f>
        <v>7.515E-4</v>
      </c>
      <c r="AF1092" s="100">
        <f>IF('Net zero activities &amp; levers'!$C$14="Off",('Activity data'!AY16*EF!$H29)*kgtoGg,IF('Net zero activities &amp; levers'!$C$14="On",('Net zero Activity data'!AY16*EF!$H29)*kgtoGg,"ERROR"))</f>
        <v>7.515E-4</v>
      </c>
      <c r="AG1092" s="100">
        <f>IF('Net zero activities &amp; levers'!$C$14="Off",('Activity data'!AZ16*EF!$H29)*kgtoGg,IF('Net zero activities &amp; levers'!$C$14="On",('Net zero Activity data'!AZ16*EF!$H29)*kgtoGg,"ERROR"))</f>
        <v>7.515E-4</v>
      </c>
      <c r="AH1092" s="100">
        <f>IF('Net zero activities &amp; levers'!$C$14="Off",('Activity data'!BA16*EF!$H29)*kgtoGg,IF('Net zero activities &amp; levers'!$C$14="On",('Net zero Activity data'!BA16*EF!$H29)*kgtoGg,"ERROR"))</f>
        <v>7.515E-4</v>
      </c>
      <c r="AI1092" s="100">
        <f>IF('Net zero activities &amp; levers'!$C$14="Off",('Activity data'!BB16*EF!$H29)*kgtoGg,IF('Net zero activities &amp; levers'!$C$14="On",('Net zero Activity data'!BB16*EF!$H29)*kgtoGg,"ERROR"))</f>
        <v>7.515E-4</v>
      </c>
      <c r="AJ1092" s="100">
        <f>IF('Net zero activities &amp; levers'!$C$14="Off",('Activity data'!BC16*EF!$H29)*kgtoGg,IF('Net zero activities &amp; levers'!$C$14="On",('Net zero Activity data'!BC16*EF!$H29)*kgtoGg,"ERROR"))</f>
        <v>7.515E-4</v>
      </c>
      <c r="AK1092" s="100">
        <f>IF('Net zero activities &amp; levers'!$C$14="Off",('Activity data'!BD16*EF!$H29)*kgtoGg,IF('Net zero activities &amp; levers'!$C$14="On",('Net zero Activity data'!BD16*EF!$H29)*kgtoGg,"ERROR"))</f>
        <v>7.515E-4</v>
      </c>
      <c r="AL1092" s="100">
        <f>IF('Net zero activities &amp; levers'!$C$14="Off",('Activity data'!BE16*EF!$H29)*kgtoGg,IF('Net zero activities &amp; levers'!$C$14="On",('Net zero Activity data'!BE16*EF!$H29)*kgtoGg,"ERROR"))</f>
        <v>7.515E-4</v>
      </c>
      <c r="AM1092" s="100">
        <f>IF('Net zero activities &amp; levers'!$C$14="Off",('Activity data'!BF16*EF!$H29)*kgtoGg,IF('Net zero activities &amp; levers'!$C$14="On",('Net zero Activity data'!BF16*EF!$H29)*kgtoGg,"ERROR"))</f>
        <v>7.515E-4</v>
      </c>
      <c r="AN1092" s="100">
        <f>IF('Net zero activities &amp; levers'!$C$14="Off",('Activity data'!BG16*EF!$H29)*kgtoGg,IF('Net zero activities &amp; levers'!$C$14="On",('Net zero Activity data'!BG16*EF!$H29)*kgtoGg,"ERROR"))</f>
        <v>7.515E-4</v>
      </c>
      <c r="AO1092" s="100">
        <f>IF('Net zero activities &amp; levers'!$C$14="Off",('Activity data'!BH16*EF!$H29)*kgtoGg,IF('Net zero activities &amp; levers'!$C$14="On",('Net zero Activity data'!BH16*EF!$H29)*kgtoGg,"ERROR"))</f>
        <v>7.515E-4</v>
      </c>
      <c r="AP1092" s="100">
        <f>IF('Net zero activities &amp; levers'!$C$14="Off",('Activity data'!BI16*EF!$H29)*kgtoGg,IF('Net zero activities &amp; levers'!$C$14="On",('Net zero Activity data'!BI16*EF!$H29)*kgtoGg,"ERROR"))</f>
        <v>7.515E-4</v>
      </c>
      <c r="AQ1092" s="100">
        <f>IF('Net zero activities &amp; levers'!$C$14="Off",('Activity data'!BJ16*EF!$H29)*kgtoGg,IF('Net zero activities &amp; levers'!$C$14="On",('Net zero Activity data'!BJ16*EF!$H29)*kgtoGg,"ERROR"))</f>
        <v>7.515E-4</v>
      </c>
      <c r="AR1092" s="100">
        <f>IF('Net zero activities &amp; levers'!$C$14="Off",('Activity data'!BK16*EF!$H29)*kgtoGg,IF('Net zero activities &amp; levers'!$C$14="On",('Net zero Activity data'!BK16*EF!$H29)*kgtoGg,"ERROR"))</f>
        <v>7.515E-4</v>
      </c>
      <c r="AS1092" s="100">
        <f>IF('Net zero activities &amp; levers'!$C$14="Off",('Activity data'!BL16*EF!$H29)*kgtoGg,IF('Net zero activities &amp; levers'!$C$14="On",('Net zero Activity data'!BL16*EF!$H29)*kgtoGg,"ERROR"))</f>
        <v>7.515E-4</v>
      </c>
      <c r="AT1092" s="100">
        <f>IF('Net zero activities &amp; levers'!$C$14="Off",('Activity data'!BM16*EF!$H29)*kgtoGg,IF('Net zero activities &amp; levers'!$C$14="On",('Net zero Activity data'!BM16*EF!$H29)*kgtoGg,"ERROR"))</f>
        <v>7.515E-4</v>
      </c>
      <c r="AU1092" s="100">
        <f>IF('Net zero activities &amp; levers'!$C$14="Off",('Activity data'!BN16*EF!$H29)*kgtoGg,IF('Net zero activities &amp; levers'!$C$14="On",('Net zero Activity data'!BN16*EF!$H29)*kgtoGg,"ERROR"))</f>
        <v>7.515E-4</v>
      </c>
      <c r="AV1092" s="100">
        <f>IF('Net zero activities &amp; levers'!$C$14="Off",('Activity data'!BO16*EF!$H29)*kgtoGg,IF('Net zero activities &amp; levers'!$C$14="On",('Net zero Activity data'!BO16*EF!$H29)*kgtoGg,"ERROR"))</f>
        <v>7.515E-4</v>
      </c>
      <c r="AW1092" s="100">
        <f>IF('Net zero activities &amp; levers'!$C$14="Off",('Activity data'!BP16*EF!$H29)*kgtoGg,IF('Net zero activities &amp; levers'!$C$14="On",('Net zero Activity data'!BP16*EF!$H29)*kgtoGg,"ERROR"))</f>
        <v>7.515E-4</v>
      </c>
      <c r="AY1092" s="85"/>
    </row>
    <row r="1093" spans="1:51" x14ac:dyDescent="0.25">
      <c r="A1093" s="102" t="str">
        <f t="shared" si="374"/>
        <v>CM Swine MMCH4</v>
      </c>
      <c r="B1093" s="102" t="s">
        <v>1323</v>
      </c>
      <c r="C1093" s="102" t="s">
        <v>1231</v>
      </c>
      <c r="D1093" t="s">
        <v>15</v>
      </c>
      <c r="E1093" t="s">
        <v>22</v>
      </c>
      <c r="F1093" t="s">
        <v>21</v>
      </c>
      <c r="G1093" t="s">
        <v>122</v>
      </c>
      <c r="H1093" t="s">
        <v>1228</v>
      </c>
      <c r="I1093" t="s">
        <v>121</v>
      </c>
      <c r="J1093" t="s">
        <v>286</v>
      </c>
      <c r="K1093" s="100">
        <f>IF('Net zero activities &amp; levers'!$C$14="Off",('Activity data'!AD17*EF!$H30)*kgtoGg,IF('Net zero activities &amp; levers'!$C$14="On",('Net zero Activity data'!AD17*EF!$H30)*kgtoGg,"ERROR"))</f>
        <v>23.457025843160746</v>
      </c>
      <c r="L1093" s="100">
        <f>IF('Net zero activities &amp; levers'!$C$14="Off",('Activity data'!AE17*EF!$H30)*kgtoGg,IF('Net zero activities &amp; levers'!$C$14="On",('Net zero Activity data'!AE17*EF!$H30)*kgtoGg,"ERROR"))</f>
        <v>23.382986937378849</v>
      </c>
      <c r="M1093" s="100">
        <f>IF('Net zero activities &amp; levers'!$C$14="Off",('Activity data'!AF17*EF!$H30)*kgtoGg,IF('Net zero activities &amp; levers'!$C$14="On",('Net zero Activity data'!AF17*EF!$H30)*kgtoGg,"ERROR"))</f>
        <v>23.13814083382033</v>
      </c>
      <c r="N1093" s="100">
        <f>IF('Net zero activities &amp; levers'!$C$14="Off",('Activity data'!AG17*EF!$H30)*kgtoGg,IF('Net zero activities &amp; levers'!$C$14="On",('Net zero Activity data'!AG17*EF!$H30)*kgtoGg,"ERROR"))</f>
        <v>22.662740453710065</v>
      </c>
      <c r="O1093" s="100">
        <f>IF('Net zero activities &amp; levers'!$C$14="Off",('Activity data'!AH17*EF!$H30)*kgtoGg,IF('Net zero activities &amp; levers'!$C$14="On",('Net zero Activity data'!AH17*EF!$H30)*kgtoGg,"ERROR"))</f>
        <v>22.20814052076085</v>
      </c>
      <c r="P1093" s="100">
        <f>IF('Net zero activities &amp; levers'!$C$14="Off",('Activity data'!AI17*EF!$H30)*kgtoGg,IF('Net zero activities &amp; levers'!$C$14="On",('Net zero Activity data'!AI17*EF!$H30)*kgtoGg,"ERROR"))</f>
        <v>21.88923282801473</v>
      </c>
      <c r="Q1093" s="100">
        <f>IF('Net zero activities &amp; levers'!$C$14="Off",('Activity data'!AJ17*EF!$H30)*kgtoGg,IF('Net zero activities &amp; levers'!$C$14="On",('Net zero Activity data'!AJ17*EF!$H30)*kgtoGg,"ERROR"))</f>
        <v>21.619144612435328</v>
      </c>
      <c r="R1093" s="100">
        <f>IF('Net zero activities &amp; levers'!$C$14="Off",('Activity data'!AK17*EF!$H30)*kgtoGg,IF('Net zero activities &amp; levers'!$C$14="On",('Net zero Activity data'!AK17*EF!$H30)*kgtoGg,"ERROR"))</f>
        <v>21.121805661826951</v>
      </c>
      <c r="S1093" s="100">
        <f>IF('Net zero activities &amp; levers'!$C$14="Off",('Activity data'!AL17*EF!$H30)*kgtoGg,IF('Net zero activities &amp; levers'!$C$14="On",('Net zero Activity data'!AL17*EF!$H30)*kgtoGg,"ERROR"))</f>
        <v>18.490541417957555</v>
      </c>
      <c r="T1093" s="100">
        <f>IF('Net zero activities &amp; levers'!$C$14="Off",('Activity data'!AM17*EF!$H30)*kgtoGg,IF('Net zero activities &amp; levers'!$C$14="On",('Net zero Activity data'!AM17*EF!$H30)*kgtoGg,"ERROR"))</f>
        <v>18.608041284910804</v>
      </c>
      <c r="U1093" s="100">
        <f>IF('Net zero activities &amp; levers'!$C$14="Off",('Activity data'!AN17*EF!$H30)*kgtoGg,IF('Net zero activities &amp; levers'!$C$14="On",('Net zero Activity data'!AN17*EF!$H30)*kgtoGg,"ERROR"))</f>
        <v>18.667021404289045</v>
      </c>
      <c r="V1093" s="100">
        <f>IF('Net zero activities &amp; levers'!$C$14="Off",('Activity data'!AO17*EF!$H30)*kgtoGg,IF('Net zero activities &amp; levers'!$C$14="On",('Net zero Activity data'!AO17*EF!$H30)*kgtoGg,"ERROR"))</f>
        <v>18.724361625340102</v>
      </c>
      <c r="W1093" s="100">
        <f>IF('Net zero activities &amp; levers'!$C$14="Off",('Activity data'!AP17*EF!$H30)*kgtoGg,IF('Net zero activities &amp; levers'!$C$14="On",('Net zero Activity data'!AP17*EF!$H30)*kgtoGg,"ERROR"))</f>
        <v>18.864420993049936</v>
      </c>
      <c r="X1093" s="100">
        <f>IF('Net zero activities &amp; levers'!$C$14="Off",('Activity data'!AQ17*EF!$H30)*kgtoGg,IF('Net zero activities &amp; levers'!$C$14="On",('Net zero Activity data'!AQ17*EF!$H30)*kgtoGg,"ERROR"))</f>
        <v>18.999771799577022</v>
      </c>
      <c r="Y1093" s="100">
        <f>IF('Net zero activities &amp; levers'!$C$14="Off",('Activity data'!AR17*EF!$H30)*kgtoGg,IF('Net zero activities &amp; levers'!$C$14="On",('Net zero Activity data'!AR17*EF!$H30)*kgtoGg,"ERROR"))</f>
        <v>19.155053851314552</v>
      </c>
      <c r="Z1093" s="100">
        <f>IF('Net zero activities &amp; levers'!$C$14="Off",('Activity data'!AS17*EF!$H30)*kgtoGg,IF('Net zero activities &amp; levers'!$C$14="On",('Net zero Activity data'!AS17*EF!$H30)*kgtoGg,"ERROR"))</f>
        <v>19.285389594633891</v>
      </c>
      <c r="AA1093" s="100">
        <f>IF('Net zero activities &amp; levers'!$C$14="Off",('Activity data'!AT17*EF!$H30)*kgtoGg,IF('Net zero activities &amp; levers'!$C$14="On",('Net zero Activity data'!AT17*EF!$H30)*kgtoGg,"ERROR"))</f>
        <v>19.442022836092864</v>
      </c>
      <c r="AB1093" s="100">
        <f>IF('Net zero activities &amp; levers'!$C$14="Off",('Activity data'!AU17*EF!$H30)*kgtoGg,IF('Net zero activities &amp; levers'!$C$14="On",('Net zero Activity data'!AU17*EF!$H30)*kgtoGg,"ERROR"))</f>
        <v>19.556042835681847</v>
      </c>
      <c r="AC1093" s="100">
        <f>IF('Net zero activities &amp; levers'!$C$14="Off",('Activity data'!AV17*EF!$H30)*kgtoGg,IF('Net zero activities &amp; levers'!$C$14="On",('Net zero Activity data'!AV17*EF!$H30)*kgtoGg,"ERROR"))</f>
        <v>19.675981891326479</v>
      </c>
      <c r="AD1093" s="100">
        <f>IF('Net zero activities &amp; levers'!$C$14="Off",('Activity data'!AW17*EF!$H30)*kgtoGg,IF('Net zero activities &amp; levers'!$C$14="On",('Net zero Activity data'!AW17*EF!$H30)*kgtoGg,"ERROR"))</f>
        <v>19.897202740032366</v>
      </c>
      <c r="AE1093" s="100">
        <f>IF('Net zero activities &amp; levers'!$C$14="Off",('Activity data'!AX17*EF!$H30)*kgtoGg,IF('Net zero activities &amp; levers'!$C$14="On",('Net zero Activity data'!AX17*EF!$H30)*kgtoGg,"ERROR"))</f>
        <v>20.155624807886987</v>
      </c>
      <c r="AF1093" s="100">
        <f>IF('Net zero activities &amp; levers'!$C$14="Off",('Activity data'!AY17*EF!$H30)*kgtoGg,IF('Net zero activities &amp; levers'!$C$14="On",('Net zero Activity data'!AY17*EF!$H30)*kgtoGg,"ERROR"))</f>
        <v>20.423045067986479</v>
      </c>
      <c r="AG1093" s="100">
        <f>IF('Net zero activities &amp; levers'!$C$14="Off",('Activity data'!AZ17*EF!$H30)*kgtoGg,IF('Net zero activities &amp; levers'!$C$14="On",('Net zero Activity data'!AZ17*EF!$H30)*kgtoGg,"ERROR"))</f>
        <v>20.122488548289958</v>
      </c>
      <c r="AH1093" s="100">
        <f>IF('Net zero activities &amp; levers'!$C$14="Off",('Activity data'!BA17*EF!$H30)*kgtoGg,IF('Net zero activities &amp; levers'!$C$14="On",('Net zero Activity data'!BA17*EF!$H30)*kgtoGg,"ERROR"))</f>
        <v>-6.7894777188619928</v>
      </c>
      <c r="AI1093" s="100">
        <f>IF('Net zero activities &amp; levers'!$C$14="Off",('Activity data'!BB17*EF!$H30)*kgtoGg,IF('Net zero activities &amp; levers'!$C$14="On",('Net zero Activity data'!BB17*EF!$H30)*kgtoGg,"ERROR"))</f>
        <v>-6.7152117988933071</v>
      </c>
      <c r="AJ1093" s="100">
        <f>IF('Net zero activities &amp; levers'!$C$14="Off",('Activity data'!BC17*EF!$H30)*kgtoGg,IF('Net zero activities &amp; levers'!$C$14="On",('Net zero Activity data'!BC17*EF!$H30)*kgtoGg,"ERROR"))</f>
        <v>-6.6425365492848538</v>
      </c>
      <c r="AK1093" s="100">
        <f>IF('Net zero activities &amp; levers'!$C$14="Off",('Activity data'!BD17*EF!$H30)*kgtoGg,IF('Net zero activities &amp; levers'!$C$14="On",('Net zero Activity data'!BD17*EF!$H30)*kgtoGg,"ERROR"))</f>
        <v>-6.5713479103809611</v>
      </c>
      <c r="AL1093" s="100">
        <f>IF('Net zero activities &amp; levers'!$C$14="Off",('Activity data'!BE17*EF!$H30)*kgtoGg,IF('Net zero activities &amp; levers'!$C$14="On",('Net zero Activity data'!BE17*EF!$H30)*kgtoGg,"ERROR"))</f>
        <v>-6.5015494417857838</v>
      </c>
      <c r="AM1093" s="100">
        <f>IF('Net zero activities &amp; levers'!$C$14="Off",('Activity data'!BF17*EF!$H30)*kgtoGg,IF('Net zero activities &amp; levers'!$C$14="On",('Net zero Activity data'!BF17*EF!$H30)*kgtoGg,"ERROR"))</f>
        <v>-6.4330515855366484</v>
      </c>
      <c r="AN1093" s="100">
        <f>IF('Net zero activities &amp; levers'!$C$14="Off",('Activity data'!BG17*EF!$H30)*kgtoGg,IF('Net zero activities &amp; levers'!$C$14="On",('Net zero Activity data'!BG17*EF!$H30)*kgtoGg,"ERROR"))</f>
        <v>-6.3579230849055142</v>
      </c>
      <c r="AO1093" s="100">
        <f>IF('Net zero activities &amp; levers'!$C$14="Off",('Activity data'!BH17*EF!$H30)*kgtoGg,IF('Net zero activities &amp; levers'!$C$14="On",('Net zero Activity data'!BH17*EF!$H30)*kgtoGg,"ERROR"))</f>
        <v>-6.2841192058185475</v>
      </c>
      <c r="AP1093" s="100">
        <f>IF('Net zero activities &amp; levers'!$C$14="Off",('Activity data'!BI17*EF!$H30)*kgtoGg,IF('Net zero activities &amp; levers'!$C$14="On",('Net zero Activity data'!BI17*EF!$H30)*kgtoGg,"ERROR"))</f>
        <v>-6.2115625843192586</v>
      </c>
      <c r="AQ1093" s="100">
        <f>IF('Net zero activities &amp; levers'!$C$14="Off",('Activity data'!BJ17*EF!$H30)*kgtoGg,IF('Net zero activities &amp; levers'!$C$14="On",('Net zero Activity data'!BJ17*EF!$H30)*kgtoGg,"ERROR"))</f>
        <v>-6.1401809096937727</v>
      </c>
      <c r="AR1093" s="100">
        <f>IF('Net zero activities &amp; levers'!$C$14="Off",('Activity data'!BK17*EF!$H30)*kgtoGg,IF('Net zero activities &amp; levers'!$C$14="On",('Net zero Activity data'!BK17*EF!$H30)*kgtoGg,"ERROR"))</f>
        <v>-6.069906487857895</v>
      </c>
      <c r="AS1093" s="100">
        <f>IF('Net zero activities &amp; levers'!$C$14="Off",('Activity data'!BL17*EF!$H30)*kgtoGg,IF('Net zero activities &amp; levers'!$C$14="On",('Net zero Activity data'!BL17*EF!$H30)*kgtoGg,"ERROR"))</f>
        <v>-5.9933231004711045</v>
      </c>
      <c r="AT1093" s="100">
        <f>IF('Net zero activities &amp; levers'!$C$14="Off",('Activity data'!BM17*EF!$H30)*kgtoGg,IF('Net zero activities &amp; levers'!$C$14="On",('Net zero Activity data'!BM17*EF!$H30)*kgtoGg,"ERROR"))</f>
        <v>-5.917909419883066</v>
      </c>
      <c r="AU1093" s="100">
        <f>IF('Net zero activities &amp; levers'!$C$14="Off",('Activity data'!BN17*EF!$H30)*kgtoGg,IF('Net zero activities &amp; levers'!$C$14="On",('Net zero Activity data'!BN17*EF!$H30)*kgtoGg,"ERROR"))</f>
        <v>-5.8436052370026852</v>
      </c>
      <c r="AV1093" s="100">
        <f>IF('Net zero activities &amp; levers'!$C$14="Off",('Activity data'!BO17*EF!$H30)*kgtoGg,IF('Net zero activities &amp; levers'!$C$14="On",('Net zero Activity data'!BO17*EF!$H30)*kgtoGg,"ERROR"))</f>
        <v>-5.7703539001026636</v>
      </c>
      <c r="AW1093" s="100">
        <f>IF('Net zero activities &amp; levers'!$C$14="Off",('Activity data'!BP17*EF!$H30)*kgtoGg,IF('Net zero activities &amp; levers'!$C$14="On",('Net zero Activity data'!BP17*EF!$H30)*kgtoGg,"ERROR"))</f>
        <v>-5.6981020374621041</v>
      </c>
      <c r="AY1093" s="85"/>
    </row>
    <row r="1094" spans="1:51" x14ac:dyDescent="0.25">
      <c r="A1094" s="102" t="str">
        <f t="shared" si="374"/>
        <v>CM Swine MMCH4</v>
      </c>
      <c r="B1094" s="102" t="s">
        <v>1323</v>
      </c>
      <c r="C1094" s="102" t="s">
        <v>1231</v>
      </c>
      <c r="D1094" t="s">
        <v>15</v>
      </c>
      <c r="E1094" t="s">
        <v>22</v>
      </c>
      <c r="F1094" t="s">
        <v>21</v>
      </c>
      <c r="G1094" t="s">
        <v>123</v>
      </c>
      <c r="H1094" t="s">
        <v>1228</v>
      </c>
      <c r="I1094" t="s">
        <v>121</v>
      </c>
      <c r="J1094" t="s">
        <v>286</v>
      </c>
      <c r="K1094" s="100">
        <f>IF('Net zero activities &amp; levers'!$C$14="Off",('Activity data'!AD18*EF!$H31)*kgtoGg,IF('Net zero activities &amp; levers'!$C$14="On",('Net zero Activity data'!AD18*EF!$H31)*kgtoGg,"ERROR"))</f>
        <v>7.8527817196558602E-2</v>
      </c>
      <c r="L1094" s="100">
        <f>IF('Net zero activities &amp; levers'!$C$14="Off",('Activity data'!AE18*EF!$H31)*kgtoGg,IF('Net zero activities &amp; levers'!$C$14="On",('Net zero Activity data'!AE18*EF!$H31)*kgtoGg,"ERROR"))</f>
        <v>7.8279954841904253E-2</v>
      </c>
      <c r="M1094" s="100">
        <f>IF('Net zero activities &amp; levers'!$C$14="Off",('Activity data'!AF18*EF!$H31)*kgtoGg,IF('Net zero activities &amp; levers'!$C$14="On",('Net zero Activity data'!AF18*EF!$H31)*kgtoGg,"ERROR"))</f>
        <v>7.7460275902635017E-2</v>
      </c>
      <c r="N1094" s="100">
        <f>IF('Net zero activities &amp; levers'!$C$14="Off",('Activity data'!AG18*EF!$H31)*kgtoGg,IF('Net zero activities &amp; levers'!$C$14="On",('Net zero Activity data'!AG18*EF!$H31)*kgtoGg,"ERROR"))</f>
        <v>7.5868763219224714E-2</v>
      </c>
      <c r="O1094" s="100">
        <f>IF('Net zero activities &amp; levers'!$C$14="Off",('Activity data'!AH18*EF!$H31)*kgtoGg,IF('Net zero activities &amp; levers'!$C$14="On",('Net zero Activity data'!AH18*EF!$H31)*kgtoGg,"ERROR"))</f>
        <v>7.4346884841680436E-2</v>
      </c>
      <c r="P1094" s="100">
        <f>IF('Net zero activities &amp; levers'!$C$14="Off",('Activity data'!AI18*EF!$H31)*kgtoGg,IF('Net zero activities &amp; levers'!$C$14="On",('Net zero Activity data'!AI18*EF!$H31)*kgtoGg,"ERROR"))</f>
        <v>7.3279267609811918E-2</v>
      </c>
      <c r="Q1094" s="100">
        <f>IF('Net zero activities &amp; levers'!$C$14="Off",('Activity data'!AJ18*EF!$H31)*kgtoGg,IF('Net zero activities &amp; levers'!$C$14="On",('Net zero Activity data'!AJ18*EF!$H31)*kgtoGg,"ERROR"))</f>
        <v>7.2375084864660211E-2</v>
      </c>
      <c r="R1094" s="100">
        <f>IF('Net zero activities &amp; levers'!$C$14="Off",('Activity data'!AK18*EF!$H31)*kgtoGg,IF('Net zero activities &amp; levers'!$C$14="On",('Net zero Activity data'!AK18*EF!$H31)*kgtoGg,"ERROR"))</f>
        <v>7.0710127744382734E-2</v>
      </c>
      <c r="S1094" s="100">
        <f>IF('Net zero activities &amp; levers'!$C$14="Off",('Activity data'!AL18*EF!$H31)*kgtoGg,IF('Net zero activities &amp; levers'!$C$14="On",('Net zero Activity data'!AL18*EF!$H31)*kgtoGg,"ERROR"))</f>
        <v>6.1901362348463523E-2</v>
      </c>
      <c r="T1094" s="100">
        <f>IF('Net zero activities &amp; levers'!$C$14="Off",('Activity data'!AM18*EF!$H31)*kgtoGg,IF('Net zero activities &amp; levers'!$C$14="On",('Net zero Activity data'!AM18*EF!$H31)*kgtoGg,"ERROR"))</f>
        <v>6.2294720318669075E-2</v>
      </c>
      <c r="U1094" s="100">
        <f>IF('Net zero activities &amp; levers'!$C$14="Off",('Activity data'!AN18*EF!$H31)*kgtoGg,IF('Net zero activities &amp; levers'!$C$14="On",('Net zero Activity data'!AN18*EF!$H31)*kgtoGg,"ERROR"))</f>
        <v>6.2492169904295722E-2</v>
      </c>
      <c r="V1094" s="100">
        <f>IF('Net zero activities &amp; levers'!$C$14="Off",('Activity data'!AO18*EF!$H31)*kgtoGg,IF('Net zero activities &amp; levers'!$C$14="On",('Net zero Activity data'!AO18*EF!$H31)*kgtoGg,"ERROR"))</f>
        <v>6.2684129551133075E-2</v>
      </c>
      <c r="W1094" s="100">
        <f>IF('Net zero activities &amp; levers'!$C$14="Off",('Activity data'!AP18*EF!$H31)*kgtoGg,IF('Net zero activities &amp; levers'!$C$14="On",('Net zero Activity data'!AP18*EF!$H31)*kgtoGg,"ERROR"))</f>
        <v>6.3153010665803033E-2</v>
      </c>
      <c r="X1094" s="100">
        <f>IF('Net zero activities &amp; levers'!$C$14="Off",('Activity data'!AQ18*EF!$H31)*kgtoGg,IF('Net zero activities &amp; levers'!$C$14="On",('Net zero Activity data'!AQ18*EF!$H31)*kgtoGg,"ERROR"))</f>
        <v>6.360612878331004E-2</v>
      </c>
      <c r="Y1094" s="100">
        <f>IF('Net zero activities &amp; levers'!$C$14="Off",('Activity data'!AR18*EF!$H31)*kgtoGg,IF('Net zero activities &amp; levers'!$C$14="On",('Net zero Activity data'!AR18*EF!$H31)*kgtoGg,"ERROR"))</f>
        <v>6.4125971352196762E-2</v>
      </c>
      <c r="Z1094" s="100">
        <f>IF('Net zero activities &amp; levers'!$C$14="Off",('Activity data'!AS18*EF!$H31)*kgtoGg,IF('Net zero activities &amp; levers'!$C$14="On",('Net zero Activity data'!AS18*EF!$H31)*kgtoGg,"ERROR"))</f>
        <v>6.4562300386149837E-2</v>
      </c>
      <c r="AA1094" s="100">
        <f>IF('Net zero activities &amp; levers'!$C$14="Off",('Activity data'!AT18*EF!$H31)*kgtoGg,IF('Net zero activities &amp; levers'!$C$14="On",('Net zero Activity data'!AT18*EF!$H31)*kgtoGg,"ERROR"))</f>
        <v>6.5086666375019683E-2</v>
      </c>
      <c r="AB1094" s="100">
        <f>IF('Net zero activities &amp; levers'!$C$14="Off",('Activity data'!AU18*EF!$H31)*kgtoGg,IF('Net zero activities &amp; levers'!$C$14="On",('Net zero Activity data'!AU18*EF!$H31)*kgtoGg,"ERROR"))</f>
        <v>6.5468374684689551E-2</v>
      </c>
      <c r="AC1094" s="100">
        <f>IF('Net zero activities &amp; levers'!$C$14="Off",('Activity data'!AV18*EF!$H31)*kgtoGg,IF('Net zero activities &amp; levers'!$C$14="On",('Net zero Activity data'!AV18*EF!$H31)*kgtoGg,"ERROR"))</f>
        <v>6.5869898402971833E-2</v>
      </c>
      <c r="AD1094" s="100">
        <f>IF('Net zero activities &amp; levers'!$C$14="Off",('Activity data'!AW18*EF!$H31)*kgtoGg,IF('Net zero activities &amp; levers'!$C$14="On",('Net zero Activity data'!AW18*EF!$H31)*kgtoGg,"ERROR"))</f>
        <v>6.6610486339541322E-2</v>
      </c>
      <c r="AE1094" s="100">
        <f>IF('Net zero activities &amp; levers'!$C$14="Off",('Activity data'!AX18*EF!$H31)*kgtoGg,IF('Net zero activities &amp; levers'!$C$14="On",('Net zero Activity data'!AX18*EF!$H31)*kgtoGg,"ERROR"))</f>
        <v>6.7475613958009675E-2</v>
      </c>
      <c r="AF1094" s="100">
        <f>IF('Net zero activities &amp; levers'!$C$14="Off",('Activity data'!AY18*EF!$H31)*kgtoGg,IF('Net zero activities &amp; levers'!$C$14="On",('Net zero Activity data'!AY18*EF!$H31)*kgtoGg,"ERROR"))</f>
        <v>6.8370865105369938E-2</v>
      </c>
      <c r="AG1094" s="100">
        <f>IF('Net zero activities &amp; levers'!$C$14="Off",('Activity data'!AZ18*EF!$H31)*kgtoGg,IF('Net zero activities &amp; levers'!$C$14="On",('Net zero Activity data'!AZ18*EF!$H31)*kgtoGg,"ERROR"))</f>
        <v>6.7364682668015305E-2</v>
      </c>
      <c r="AH1094" s="100">
        <f>IF('Net zero activities &amp; levers'!$C$14="Off",('Activity data'!BA18*EF!$H31)*kgtoGg,IF('Net zero activities &amp; levers'!$C$14="On",('Net zero Activity data'!BA18*EF!$H31)*kgtoGg,"ERROR"))</f>
        <v>-2.2729346368621329E-2</v>
      </c>
      <c r="AI1094" s="100">
        <f>IF('Net zero activities &amp; levers'!$C$14="Off",('Activity data'!BB18*EF!$H31)*kgtoGg,IF('Net zero activities &amp; levers'!$C$14="On",('Net zero Activity data'!BB18*EF!$H31)*kgtoGg,"ERROR"))</f>
        <v>-2.2480724031491765E-2</v>
      </c>
      <c r="AJ1094" s="100">
        <f>IF('Net zero activities &amp; levers'!$C$14="Off",('Activity data'!BC18*EF!$H31)*kgtoGg,IF('Net zero activities &amp; levers'!$C$14="On",('Net zero Activity data'!BC18*EF!$H31)*kgtoGg,"ERROR"))</f>
        <v>-2.2237426831150792E-2</v>
      </c>
      <c r="AK1094" s="100">
        <f>IF('Net zero activities &amp; levers'!$C$14="Off",('Activity data'!BD18*EF!$H31)*kgtoGg,IF('Net zero activities &amp; levers'!$C$14="On",('Net zero Activity data'!BD18*EF!$H31)*kgtoGg,"ERROR"))</f>
        <v>-2.1999106403842797E-2</v>
      </c>
      <c r="AL1094" s="100">
        <f>IF('Net zero activities &amp; levers'!$C$14="Off",('Activity data'!BE18*EF!$H31)*kgtoGg,IF('Net zero activities &amp; levers'!$C$14="On",('Net zero Activity data'!BE18*EF!$H31)*kgtoGg,"ERROR"))</f>
        <v>-2.1765439893045996E-2</v>
      </c>
      <c r="AM1094" s="100">
        <f>IF('Net zero activities &amp; levers'!$C$14="Off",('Activity data'!BF18*EF!$H31)*kgtoGg,IF('Net zero activities &amp; levers'!$C$14="On",('Net zero Activity data'!BF18*EF!$H31)*kgtoGg,"ERROR"))</f>
        <v>-2.1536127482774822E-2</v>
      </c>
      <c r="AN1094" s="100">
        <f>IF('Net zero activities &amp; levers'!$C$14="Off",('Activity data'!BG18*EF!$H31)*kgtoGg,IF('Net zero activities &amp; levers'!$C$14="On",('Net zero Activity data'!BG18*EF!$H31)*kgtoGg,"ERROR"))</f>
        <v>-2.1284617457451926E-2</v>
      </c>
      <c r="AO1094" s="100">
        <f>IF('Net zero activities &amp; levers'!$C$14="Off",('Activity data'!BH18*EF!$H31)*kgtoGg,IF('Net zero activities &amp; levers'!$C$14="On",('Net zero Activity data'!BH18*EF!$H31)*kgtoGg,"ERROR"))</f>
        <v>-2.1037541908996236E-2</v>
      </c>
      <c r="AP1094" s="100">
        <f>IF('Net zero activities &amp; levers'!$C$14="Off",('Activity data'!BI18*EF!$H31)*kgtoGg,IF('Net zero activities &amp; levers'!$C$14="On",('Net zero Activity data'!BI18*EF!$H31)*kgtoGg,"ERROR"))</f>
        <v>-2.0794641843677117E-2</v>
      </c>
      <c r="AQ1094" s="100">
        <f>IF('Net zero activities &amp; levers'!$C$14="Off",('Activity data'!BJ18*EF!$H31)*kgtoGg,IF('Net zero activities &amp; levers'!$C$14="On",('Net zero Activity data'!BJ18*EF!$H31)*kgtoGg,"ERROR"))</f>
        <v>-2.0555675184661872E-2</v>
      </c>
      <c r="AR1094" s="100">
        <f>IF('Net zero activities &amp; levers'!$C$14="Off",('Activity data'!BK18*EF!$H31)*kgtoGg,IF('Net zero activities &amp; levers'!$C$14="On",('Net zero Activity data'!BK18*EF!$H31)*kgtoGg,"ERROR"))</f>
        <v>-2.0320415310353012E-2</v>
      </c>
      <c r="AS1094" s="100">
        <f>IF('Net zero activities &amp; levers'!$C$14="Off",('Activity data'!BL18*EF!$H31)*kgtoGg,IF('Net zero activities &amp; levers'!$C$14="On",('Net zero Activity data'!BL18*EF!$H31)*kgtoGg,"ERROR"))</f>
        <v>-2.0064034715250558E-2</v>
      </c>
      <c r="AT1094" s="100">
        <f>IF('Net zero activities &amp; levers'!$C$14="Off",('Activity data'!BM18*EF!$H31)*kgtoGg,IF('Net zero activities &amp; levers'!$C$14="On",('Net zero Activity data'!BM18*EF!$H31)*kgtoGg,"ERROR"))</f>
        <v>-1.9811569984089266E-2</v>
      </c>
      <c r="AU1094" s="100">
        <f>IF('Net zero activities &amp; levers'!$C$14="Off",('Activity data'!BN18*EF!$H31)*kgtoGg,IF('Net zero activities &amp; levers'!$C$14="On",('Net zero Activity data'!BN18*EF!$H31)*kgtoGg,"ERROR"))</f>
        <v>-1.9562819553016541E-2</v>
      </c>
      <c r="AV1094" s="100">
        <f>IF('Net zero activities &amp; levers'!$C$14="Off",('Activity data'!BO18*EF!$H31)*kgtoGg,IF('Net zero activities &amp; levers'!$C$14="On",('Net zero Activity data'!BO18*EF!$H31)*kgtoGg,"ERROR"))</f>
        <v>-1.9317593767277572E-2</v>
      </c>
      <c r="AW1094" s="100">
        <f>IF('Net zero activities &amp; levers'!$C$14="Off",('Activity data'!BP18*EF!$H31)*kgtoGg,IF('Net zero activities &amp; levers'!$C$14="On",('Net zero Activity data'!BP18*EF!$H31)*kgtoGg,"ERROR"))</f>
        <v>-1.907571395269729E-2</v>
      </c>
      <c r="AY1094" s="85"/>
    </row>
    <row r="1095" spans="1:51" x14ac:dyDescent="0.25">
      <c r="A1095" s="102" t="str">
        <f t="shared" si="374"/>
        <v>CM Poultry MMCH4</v>
      </c>
      <c r="B1095" s="102" t="s">
        <v>1323</v>
      </c>
      <c r="C1095" s="102" t="s">
        <v>1232</v>
      </c>
      <c r="D1095" t="s">
        <v>15</v>
      </c>
      <c r="E1095" t="s">
        <v>22</v>
      </c>
      <c r="F1095" t="s">
        <v>28</v>
      </c>
      <c r="G1095" t="s">
        <v>131</v>
      </c>
      <c r="H1095" t="s">
        <v>1228</v>
      </c>
      <c r="I1095" t="s">
        <v>121</v>
      </c>
      <c r="J1095" t="s">
        <v>286</v>
      </c>
      <c r="K1095" s="100">
        <f>IF('Net zero activities &amp; levers'!$C$14="Off",('Activity data'!AD19*EF!$H32)*kgtoGg,IF('Net zero activities &amp; levers'!$C$14="On",('Net zero Activity data'!AD19*EF!$H32)*kgtoGg,"ERROR"))</f>
        <v>0.55890468998141496</v>
      </c>
      <c r="L1095" s="100">
        <f>IF('Net zero activities &amp; levers'!$C$14="Off",('Activity data'!AE19*EF!$H32)*kgtoGg,IF('Net zero activities &amp; levers'!$C$14="On",('Net zero Activity data'!AE19*EF!$H32)*kgtoGg,"ERROR"))</f>
        <v>0.57100815822901829</v>
      </c>
      <c r="M1095" s="100">
        <f>IF('Net zero activities &amp; levers'!$C$14="Off",('Activity data'!AF19*EF!$H32)*kgtoGg,IF('Net zero activities &amp; levers'!$C$14="On",('Net zero Activity data'!AF19*EF!$H32)*kgtoGg,"ERROR"))</f>
        <v>0.58076061949579127</v>
      </c>
      <c r="N1095" s="100">
        <f>IF('Net zero activities &amp; levers'!$C$14="Off",('Activity data'!AG19*EF!$H32)*kgtoGg,IF('Net zero activities &amp; levers'!$C$14="On",('Net zero Activity data'!AG19*EF!$H32)*kgtoGg,"ERROR"))</f>
        <v>0.58713273634766394</v>
      </c>
      <c r="O1095" s="100">
        <f>IF('Net zero activities &amp; levers'!$C$14="Off",('Activity data'!AH19*EF!$H32)*kgtoGg,IF('Net zero activities &amp; levers'!$C$14="On",('Net zero Activity data'!AH19*EF!$H32)*kgtoGg,"ERROR"))</f>
        <v>0.59359134329353236</v>
      </c>
      <c r="P1095" s="100">
        <f>IF('Net zero activities &amp; levers'!$C$14="Off",('Activity data'!AI19*EF!$H32)*kgtoGg,IF('Net zero activities &amp; levers'!$C$14="On",('Net zero Activity data'!AI19*EF!$H32)*kgtoGg,"ERROR"))</f>
        <v>0.60191770622970409</v>
      </c>
      <c r="Q1095" s="100">
        <f>IF('Net zero activities &amp; levers'!$C$14="Off",('Activity data'!AJ19*EF!$H32)*kgtoGg,IF('Net zero activities &amp; levers'!$C$14="On",('Net zero Activity data'!AJ19*EF!$H32)*kgtoGg,"ERROR"))</f>
        <v>0.61082194696949044</v>
      </c>
      <c r="R1095" s="100">
        <f>IF('Net zero activities &amp; levers'!$C$14="Off",('Activity data'!AK19*EF!$H32)*kgtoGg,IF('Net zero activities &amp; levers'!$C$14="On",('Net zero Activity data'!AK19*EF!$H32)*kgtoGg,"ERROR"))</f>
        <v>0.61600023875173726</v>
      </c>
      <c r="S1095" s="100">
        <f>IF('Net zero activities &amp; levers'!$C$14="Off",('Activity data'!AL19*EF!$H32)*kgtoGg,IF('Net zero activities &amp; levers'!$C$14="On",('Net zero Activity data'!AL19*EF!$H32)*kgtoGg,"ERROR"))</f>
        <v>0.58621039395021657</v>
      </c>
      <c r="T1095" s="100">
        <f>IF('Net zero activities &amp; levers'!$C$14="Off",('Activity data'!AM19*EF!$H32)*kgtoGg,IF('Net zero activities &amp; levers'!$C$14="On",('Net zero Activity data'!AM19*EF!$H32)*kgtoGg,"ERROR"))</f>
        <v>0.59879553943192321</v>
      </c>
      <c r="U1095" s="100">
        <f>IF('Net zero activities &amp; levers'!$C$14="Off",('Activity data'!AN19*EF!$H32)*kgtoGg,IF('Net zero activities &amp; levers'!$C$14="On",('Net zero Activity data'!AN19*EF!$H32)*kgtoGg,"ERROR"))</f>
        <v>0.61054377323307962</v>
      </c>
      <c r="V1095" s="100">
        <f>IF('Net zero activities &amp; levers'!$C$14="Off",('Activity data'!AO19*EF!$H32)*kgtoGg,IF('Net zero activities &amp; levers'!$C$14="On",('Net zero Activity data'!AO19*EF!$H32)*kgtoGg,"ERROR"))</f>
        <v>0.62238475303160634</v>
      </c>
      <c r="W1095" s="100">
        <f>IF('Net zero activities &amp; levers'!$C$14="Off",('Activity data'!AP19*EF!$H32)*kgtoGg,IF('Net zero activities &amp; levers'!$C$14="On",('Net zero Activity data'!AP19*EF!$H32)*kgtoGg,"ERROR"))</f>
        <v>0.63582344873120078</v>
      </c>
      <c r="X1095" s="100">
        <f>IF('Net zero activities &amp; levers'!$C$14="Off",('Activity data'!AQ19*EF!$H32)*kgtoGg,IF('Net zero activities &amp; levers'!$C$14="On",('Net zero Activity data'!AQ19*EF!$H32)*kgtoGg,"ERROR"))</f>
        <v>0.6493737760577617</v>
      </c>
      <c r="Y1095" s="100">
        <f>IF('Net zero activities &amp; levers'!$C$14="Off",('Activity data'!AR19*EF!$H32)*kgtoGg,IF('Net zero activities &amp; levers'!$C$14="On",('Net zero Activity data'!AR19*EF!$H32)*kgtoGg,"ERROR"))</f>
        <v>0.66294132390021665</v>
      </c>
      <c r="Z1095" s="100">
        <f>IF('Net zero activities &amp; levers'!$C$14="Off",('Activity data'!AS19*EF!$H32)*kgtoGg,IF('Net zero activities &amp; levers'!$C$14="On",('Net zero Activity data'!AS19*EF!$H32)*kgtoGg,"ERROR"))</f>
        <v>0.67624718076087176</v>
      </c>
      <c r="AA1095" s="100">
        <f>IF('Net zero activities &amp; levers'!$C$14="Off",('Activity data'!AT19*EF!$H32)*kgtoGg,IF('Net zero activities &amp; levers'!$C$14="On",('Net zero Activity data'!AT19*EF!$H32)*kgtoGg,"ERROR"))</f>
        <v>0.69026013489965976</v>
      </c>
      <c r="AB1095" s="100">
        <f>IF('Net zero activities &amp; levers'!$C$14="Off",('Activity data'!AU19*EF!$H32)*kgtoGg,IF('Net zero activities &amp; levers'!$C$14="On",('Net zero Activity data'!AU19*EF!$H32)*kgtoGg,"ERROR"))</f>
        <v>0.70365733936336983</v>
      </c>
      <c r="AC1095" s="100">
        <f>IF('Net zero activities &amp; levers'!$C$14="Off",('Activity data'!AV19*EF!$H32)*kgtoGg,IF('Net zero activities &amp; levers'!$C$14="On",('Net zero Activity data'!AV19*EF!$H32)*kgtoGg,"ERROR"))</f>
        <v>0.71737227237227463</v>
      </c>
      <c r="AD1095" s="100">
        <f>IF('Net zero activities &amp; levers'!$C$14="Off",('Activity data'!AW19*EF!$H32)*kgtoGg,IF('Net zero activities &amp; levers'!$C$14="On",('Net zero Activity data'!AW19*EF!$H32)*kgtoGg,"ERROR"))</f>
        <v>0.7329223784090988</v>
      </c>
      <c r="AE1095" s="100">
        <f>IF('Net zero activities &amp; levers'!$C$14="Off",('Activity data'!AX19*EF!$H32)*kgtoGg,IF('Net zero activities &amp; levers'!$C$14="On",('Net zero Activity data'!AX19*EF!$H32)*kgtoGg,"ERROR"))</f>
        <v>0.74954420563381685</v>
      </c>
      <c r="AF1095" s="100">
        <f>IF('Net zero activities &amp; levers'!$C$14="Off",('Activity data'!AY19*EF!$H32)*kgtoGg,IF('Net zero activities &amp; levers'!$C$14="On",('Net zero Activity data'!AY19*EF!$H32)*kgtoGg,"ERROR"))</f>
        <v>0.76668896317960933</v>
      </c>
      <c r="AG1095" s="100">
        <f>IF('Net zero activities &amp; levers'!$C$14="Off",('Activity data'!AZ19*EF!$H32)*kgtoGg,IF('Net zero activities &amp; levers'!$C$14="On",('Net zero Activity data'!AZ19*EF!$H32)*kgtoGg,"ERROR"))</f>
        <v>0.77179208889456419</v>
      </c>
      <c r="AH1095" s="100">
        <f>IF('Net zero activities &amp; levers'!$C$14="Off",('Activity data'!BA19*EF!$H32)*kgtoGg,IF('Net zero activities &amp; levers'!$C$14="On",('Net zero Activity data'!BA19*EF!$H32)*kgtoGg,"ERROR"))</f>
        <v>0.1849915255736751</v>
      </c>
      <c r="AI1095" s="100">
        <f>IF('Net zero activities &amp; levers'!$C$14="Off",('Activity data'!BB19*EF!$H32)*kgtoGg,IF('Net zero activities &amp; levers'!$C$14="On",('Net zero Activity data'!BB19*EF!$H32)*kgtoGg,"ERROR"))</f>
        <v>0.18641334189853098</v>
      </c>
      <c r="AJ1095" s="100">
        <f>IF('Net zero activities &amp; levers'!$C$14="Off",('Activity data'!BC19*EF!$H32)*kgtoGg,IF('Net zero activities &amp; levers'!$C$14="On",('Net zero Activity data'!BC19*EF!$H32)*kgtoGg,"ERROR"))</f>
        <v>0.18784551012942485</v>
      </c>
      <c r="AK1095" s="100">
        <f>IF('Net zero activities &amp; levers'!$C$14="Off",('Activity data'!BD19*EF!$H32)*kgtoGg,IF('Net zero activities &amp; levers'!$C$14="On",('Net zero Activity data'!BD19*EF!$H32)*kgtoGg,"ERROR"))</f>
        <v>0.18928810909326649</v>
      </c>
      <c r="AL1095" s="100">
        <f>IF('Net zero activities &amp; levers'!$C$14="Off",('Activity data'!BE19*EF!$H32)*kgtoGg,IF('Net zero activities &amp; levers'!$C$14="On",('Net zero Activity data'!BE19*EF!$H32)*kgtoGg,"ERROR"))</f>
        <v>0.19074121797493229</v>
      </c>
      <c r="AM1095" s="100">
        <f>IF('Net zero activities &amp; levers'!$C$14="Off",('Activity data'!BF19*EF!$H32)*kgtoGg,IF('Net zero activities &amp; levers'!$C$14="On",('Net zero Activity data'!BF19*EF!$H32)*kgtoGg,"ERROR"))</f>
        <v>0.19220491634055523</v>
      </c>
      <c r="AN1095" s="100">
        <f>IF('Net zero activities &amp; levers'!$C$14="Off",('Activity data'!BG19*EF!$H32)*kgtoGg,IF('Net zero activities &amp; levers'!$C$14="On",('Net zero Activity data'!BG19*EF!$H32)*kgtoGg,"ERROR"))</f>
        <v>0.19345615565117347</v>
      </c>
      <c r="AO1095" s="100">
        <f>IF('Net zero activities &amp; levers'!$C$14="Off",('Activity data'!BH19*EF!$H32)*kgtoGg,IF('Net zero activities &amp; levers'!$C$14="On",('Net zero Activity data'!BH19*EF!$H32)*kgtoGg,"ERROR"))</f>
        <v>0.19471511856878457</v>
      </c>
      <c r="AP1095" s="100">
        <f>IF('Net zero activities &amp; levers'!$C$14="Off",('Activity data'!BI19*EF!$H32)*kgtoGg,IF('Net zero activities &amp; levers'!$C$14="On",('Net zero Activity data'!BI19*EF!$H32)*kgtoGg,"ERROR"))</f>
        <v>0.1959818552978623</v>
      </c>
      <c r="AQ1095" s="100">
        <f>IF('Net zero activities &amp; levers'!$C$14="Off",('Activity data'!BJ19*EF!$H32)*kgtoGg,IF('Net zero activities &amp; levers'!$C$14="On",('Net zero Activity data'!BJ19*EF!$H32)*kgtoGg,"ERROR"))</f>
        <v>0.19725641621087697</v>
      </c>
      <c r="AR1095" s="100">
        <f>IF('Net zero activities &amp; levers'!$C$14="Off",('Activity data'!BK19*EF!$H32)*kgtoGg,IF('Net zero activities &amp; levers'!$C$14="On",('Net zero Activity data'!BK19*EF!$H32)*kgtoGg,"ERROR"))</f>
        <v>0.19853885186147341</v>
      </c>
      <c r="AS1095" s="100">
        <f>IF('Net zero activities &amp; levers'!$C$14="Off",('Activity data'!BL19*EF!$H32)*kgtoGg,IF('Net zero activities &amp; levers'!$C$14="On",('Net zero Activity data'!BL19*EF!$H32)*kgtoGg,"ERROR"))</f>
        <v>0.19959990963889776</v>
      </c>
      <c r="AT1095" s="100">
        <f>IF('Net zero activities &amp; levers'!$C$14="Off",('Activity data'!BM19*EF!$H32)*kgtoGg,IF('Net zero activities &amp; levers'!$C$14="On",('Net zero Activity data'!BM19*EF!$H32)*kgtoGg,"ERROR"))</f>
        <v>0.20066634279480103</v>
      </c>
      <c r="AU1095" s="100">
        <f>IF('Net zero activities &amp; levers'!$C$14="Off",('Activity data'!BN19*EF!$H32)*kgtoGg,IF('Net zero activities &amp; levers'!$C$14="On",('Net zero Activity data'!BN19*EF!$H32)*kgtoGg,"ERROR"))</f>
        <v>0.20173818048457057</v>
      </c>
      <c r="AV1095" s="100">
        <f>IF('Net zero activities &amp; levers'!$C$14="Off",('Activity data'!BO19*EF!$H32)*kgtoGg,IF('Net zero activities &amp; levers'!$C$14="On",('Net zero Activity data'!BO19*EF!$H32)*kgtoGg,"ERROR"))</f>
        <v>0.20281545191264314</v>
      </c>
      <c r="AW1095" s="100">
        <f>IF('Net zero activities &amp; levers'!$C$14="Off",('Activity data'!BP19*EF!$H32)*kgtoGg,IF('Net zero activities &amp; levers'!$C$14="On",('Net zero Activity data'!BP19*EF!$H32)*kgtoGg,"ERROR"))</f>
        <v>0.20389818634036988</v>
      </c>
      <c r="AY1095" s="85"/>
    </row>
    <row r="1096" spans="1:51" x14ac:dyDescent="0.25">
      <c r="A1096" s="102" t="str">
        <f t="shared" si="374"/>
        <v>CM Poultry MMCH4</v>
      </c>
      <c r="B1096" s="102" t="s">
        <v>1323</v>
      </c>
      <c r="C1096" s="102" t="s">
        <v>1232</v>
      </c>
      <c r="D1096" t="s">
        <v>15</v>
      </c>
      <c r="E1096" t="s">
        <v>22</v>
      </c>
      <c r="F1096" t="s">
        <v>28</v>
      </c>
      <c r="G1096" t="s">
        <v>132</v>
      </c>
      <c r="H1096" t="s">
        <v>1228</v>
      </c>
      <c r="I1096" t="s">
        <v>121</v>
      </c>
      <c r="J1096" t="s">
        <v>286</v>
      </c>
      <c r="K1096" s="100">
        <f>IF('Net zero activities &amp; levers'!$C$14="Off",('Activity data'!AD20*EF!$H33)*kgtoGg,IF('Net zero activities &amp; levers'!$C$14="On",('Net zero Activity data'!AD20*EF!$H33)*kgtoGg,"ERROR"))</f>
        <v>2.2359130252274535</v>
      </c>
      <c r="L1096" s="100">
        <f>IF('Net zero activities &amp; levers'!$C$14="Off",('Activity data'!AE20*EF!$H33)*kgtoGg,IF('Net zero activities &amp; levers'!$C$14="On",('Net zero Activity data'!AE20*EF!$H33)*kgtoGg,"ERROR"))</f>
        <v>2.2721966041793928</v>
      </c>
      <c r="M1096" s="100">
        <f>IF('Net zero activities &amp; levers'!$C$14="Off",('Activity data'!AF20*EF!$H33)*kgtoGg,IF('Net zero activities &amp; levers'!$C$14="On",('Net zero Activity data'!AF20*EF!$H33)*kgtoGg,"ERROR"))</f>
        <v>2.2829699564071859</v>
      </c>
      <c r="N1096" s="100">
        <f>IF('Net zero activities &amp; levers'!$C$14="Off",('Activity data'!AG20*EF!$H33)*kgtoGg,IF('Net zero activities &amp; levers'!$C$14="On",('Net zero Activity data'!AG20*EF!$H33)*kgtoGg,"ERROR"))</f>
        <v>2.2588206467778473</v>
      </c>
      <c r="O1096" s="100">
        <f>IF('Net zero activities &amp; levers'!$C$14="Off",('Activity data'!AH20*EF!$H33)*kgtoGg,IF('Net zero activities &amp; levers'!$C$14="On",('Net zero Activity data'!AH20*EF!$H33)*kgtoGg,"ERROR"))</f>
        <v>2.2347231893932196</v>
      </c>
      <c r="P1096" s="100">
        <f>IF('Net zero activities &amp; levers'!$C$14="Off",('Activity data'!AI20*EF!$H33)*kgtoGg,IF('Net zero activities &amp; levers'!$C$14="On",('Net zero Activity data'!AI20*EF!$H33)*kgtoGg,"ERROR"))</f>
        <v>2.2277310720056978</v>
      </c>
      <c r="Q1096" s="100">
        <f>IF('Net zero activities &amp; levers'!$C$14="Off",('Activity data'!AJ20*EF!$H33)*kgtoGg,IF('Net zero activities &amp; levers'!$C$14="On",('Net zero Activity data'!AJ20*EF!$H33)*kgtoGg,"ERROR"))</f>
        <v>2.2262744989012253</v>
      </c>
      <c r="R1096" s="100">
        <f>IF('Net zero activities &amp; levers'!$C$14="Off",('Activity data'!AK20*EF!$H33)*kgtoGg,IF('Net zero activities &amp; levers'!$C$14="On",('Net zero Activity data'!AK20*EF!$H33)*kgtoGg,"ERROR"))</f>
        <v>2.1891395906785935</v>
      </c>
      <c r="S1096" s="100">
        <f>IF('Net zero activities &amp; levers'!$C$14="Off",('Activity data'!AL20*EF!$H33)*kgtoGg,IF('Net zero activities &amp; levers'!$C$14="On",('Net zero Activity data'!AL20*EF!$H33)*kgtoGg,"ERROR"))</f>
        <v>1.8240868851485099</v>
      </c>
      <c r="T1096" s="100">
        <f>IF('Net zero activities &amp; levers'!$C$14="Off",('Activity data'!AM20*EF!$H33)*kgtoGg,IF('Net zero activities &amp; levers'!$C$14="On",('Net zero Activity data'!AM20*EF!$H33)*kgtoGg,"ERROR"))</f>
        <v>1.8778928986212129</v>
      </c>
      <c r="U1096" s="100">
        <f>IF('Net zero activities &amp; levers'!$C$14="Off",('Activity data'!AN20*EF!$H33)*kgtoGg,IF('Net zero activities &amp; levers'!$C$14="On",('Net zero Activity data'!AN20*EF!$H33)*kgtoGg,"ERROR"))</f>
        <v>1.9228674992863757</v>
      </c>
      <c r="V1096" s="100">
        <f>IF('Net zero activities &amp; levers'!$C$14="Off",('Activity data'!AO20*EF!$H33)*kgtoGg,IF('Net zero activities &amp; levers'!$C$14="On",('Net zero Activity data'!AO20*EF!$H33)*kgtoGg,"ERROR"))</f>
        <v>1.9677329744500112</v>
      </c>
      <c r="W1096" s="100">
        <f>IF('Net zero activities &amp; levers'!$C$14="Off",('Activity data'!AP20*EF!$H33)*kgtoGg,IF('Net zero activities &amp; levers'!$C$14="On",('Net zero Activity data'!AP20*EF!$H33)*kgtoGg,"ERROR"))</f>
        <v>2.0261043748595982</v>
      </c>
      <c r="X1096" s="100">
        <f>IF('Net zero activities &amp; levers'!$C$14="Off",('Activity data'!AQ20*EF!$H33)*kgtoGg,IF('Net zero activities &amp; levers'!$C$14="On",('Net zero Activity data'!AQ20*EF!$H33)*kgtoGg,"ERROR"))</f>
        <v>2.0843005626552618</v>
      </c>
      <c r="Y1096" s="100">
        <f>IF('Net zero activities &amp; levers'!$C$14="Off",('Activity data'!AR20*EF!$H33)*kgtoGg,IF('Net zero activities &amp; levers'!$C$14="On",('Net zero Activity data'!AR20*EF!$H33)*kgtoGg,"ERROR"))</f>
        <v>2.1481960991761384</v>
      </c>
      <c r="Z1096" s="100">
        <f>IF('Net zero activities &amp; levers'!$C$14="Off",('Activity data'!AS20*EF!$H33)*kgtoGg,IF('Net zero activities &amp; levers'!$C$14="On",('Net zero Activity data'!AS20*EF!$H33)*kgtoGg,"ERROR"))</f>
        <v>2.208679923214985</v>
      </c>
      <c r="AA1096" s="100">
        <f>IF('Net zero activities &amp; levers'!$C$14="Off",('Activity data'!AT20*EF!$H33)*kgtoGg,IF('Net zero activities &amp; levers'!$C$14="On",('Net zero Activity data'!AT20*EF!$H33)*kgtoGg,"ERROR"))</f>
        <v>2.2743218882510807</v>
      </c>
      <c r="AB1096" s="100">
        <f>IF('Net zero activities &amp; levers'!$C$14="Off",('Activity data'!AU20*EF!$H33)*kgtoGg,IF('Net zero activities &amp; levers'!$C$14="On",('Net zero Activity data'!AU20*EF!$H33)*kgtoGg,"ERROR"))</f>
        <v>2.3335097773270199</v>
      </c>
      <c r="AC1096" s="100">
        <f>IF('Net zero activities &amp; levers'!$C$14="Off",('Activity data'!AV20*EF!$H33)*kgtoGg,IF('Net zero activities &amp; levers'!$C$14="On",('Net zero Activity data'!AV20*EF!$H33)*kgtoGg,"ERROR"))</f>
        <v>2.3944453885765151</v>
      </c>
      <c r="AD1096" s="100">
        <f>IF('Net zero activities &amp; levers'!$C$14="Off",('Activity data'!AW20*EF!$H33)*kgtoGg,IF('Net zero activities &amp; levers'!$C$14="On",('Net zero Activity data'!AW20*EF!$H33)*kgtoGg,"ERROR"))</f>
        <v>2.4754243930729589</v>
      </c>
      <c r="AE1096" s="100">
        <f>IF('Net zero activities &amp; levers'!$C$14="Off",('Activity data'!AX20*EF!$H33)*kgtoGg,IF('Net zero activities &amp; levers'!$C$14="On",('Net zero Activity data'!AX20*EF!$H33)*kgtoGg,"ERROR"))</f>
        <v>2.5643290582437364</v>
      </c>
      <c r="AF1096" s="100">
        <f>IF('Net zero activities &amp; levers'!$C$14="Off",('Activity data'!AY20*EF!$H33)*kgtoGg,IF('Net zero activities &amp; levers'!$C$14="On",('Net zero Activity data'!AY20*EF!$H33)*kgtoGg,"ERROR"))</f>
        <v>2.656369337897865</v>
      </c>
      <c r="AG1096" s="100">
        <f>IF('Net zero activities &amp; levers'!$C$14="Off",('Activity data'!AZ20*EF!$H33)*kgtoGg,IF('Net zero activities &amp; levers'!$C$14="On",('Net zero Activity data'!AZ20*EF!$H33)*kgtoGg,"ERROR"))</f>
        <v>2.6461200420455202</v>
      </c>
      <c r="AH1096" s="100">
        <f>IF('Net zero activities &amp; levers'!$C$14="Off",('Activity data'!BA20*EF!$H33)*kgtoGg,IF('Net zero activities &amp; levers'!$C$14="On",('Net zero Activity data'!BA20*EF!$H33)*kgtoGg,"ERROR"))</f>
        <v>-2.2948520289362109</v>
      </c>
      <c r="AI1096" s="100">
        <f>IF('Net zero activities &amp; levers'!$C$14="Off",('Activity data'!BB20*EF!$H33)*kgtoGg,IF('Net zero activities &amp; levers'!$C$14="On",('Net zero Activity data'!BB20*EF!$H33)*kgtoGg,"ERROR"))</f>
        <v>-2.2981400819551214</v>
      </c>
      <c r="AJ1096" s="100">
        <f>IF('Net zero activities &amp; levers'!$C$14="Off",('Activity data'!BC20*EF!$H33)*kgtoGg,IF('Net zero activities &amp; levers'!$C$14="On",('Net zero Activity data'!BC20*EF!$H33)*kgtoGg,"ERROR"))</f>
        <v>-2.3017063755775586</v>
      </c>
      <c r="AK1096" s="100">
        <f>IF('Net zero activities &amp; levers'!$C$14="Off",('Activity data'!BD20*EF!$H33)*kgtoGg,IF('Net zero activities &amp; levers'!$C$14="On",('Net zero Activity data'!BD20*EF!$H33)*kgtoGg,"ERROR"))</f>
        <v>-2.3055392982644372</v>
      </c>
      <c r="AL1096" s="100">
        <f>IF('Net zero activities &amp; levers'!$C$14="Off",('Activity data'!BE20*EF!$H33)*kgtoGg,IF('Net zero activities &amp; levers'!$C$14="On",('Net zero Activity data'!BE20*EF!$H33)*kgtoGg,"ERROR"))</f>
        <v>-2.3096281403729781</v>
      </c>
      <c r="AM1096" s="100">
        <f>IF('Net zero activities &amp; levers'!$C$14="Off",('Activity data'!BF20*EF!$H33)*kgtoGg,IF('Net zero activities &amp; levers'!$C$14="On",('Net zero Activity data'!BF20*EF!$H33)*kgtoGg,"ERROR"))</f>
        <v>-2.3139630075215134</v>
      </c>
      <c r="AN1096" s="100">
        <f>IF('Net zero activities &amp; levers'!$C$14="Off",('Activity data'!BG20*EF!$H33)*kgtoGg,IF('Net zero activities &amp; levers'!$C$14="On",('Net zero Activity data'!BG20*EF!$H33)*kgtoGg,"ERROR"))</f>
        <v>-2.3157471615489813</v>
      </c>
      <c r="AO1096" s="100">
        <f>IF('Net zero activities &amp; levers'!$C$14="Off",('Activity data'!BH20*EF!$H33)*kgtoGg,IF('Net zero activities &amp; levers'!$C$14="On",('Net zero Activity data'!BH20*EF!$H33)*kgtoGg,"ERROR"))</f>
        <v>-2.3177549214936723</v>
      </c>
      <c r="AP1096" s="100">
        <f>IF('Net zero activities &amp; levers'!$C$14="Off",('Activity data'!BI20*EF!$H33)*kgtoGg,IF('Net zero activities &amp; levers'!$C$14="On",('Net zero Activity data'!BI20*EF!$H33)*kgtoGg,"ERROR"))</f>
        <v>-2.3199776048516689</v>
      </c>
      <c r="AQ1096" s="100">
        <f>IF('Net zero activities &amp; levers'!$C$14="Off",('Activity data'!BJ20*EF!$H33)*kgtoGg,IF('Net zero activities &amp; levers'!$C$14="On",('Net zero Activity data'!BJ20*EF!$H33)*kgtoGg,"ERROR"))</f>
        <v>-2.3224071252966718</v>
      </c>
      <c r="AR1096" s="100">
        <f>IF('Net zero activities &amp; levers'!$C$14="Off",('Activity data'!BK20*EF!$H33)*kgtoGg,IF('Net zero activities &amp; levers'!$C$14="On",('Net zero Activity data'!BK20*EF!$H33)*kgtoGg,"ERROR"))</f>
        <v>-2.3250359414523776</v>
      </c>
      <c r="AS1096" s="100">
        <f>IF('Net zero activities &amp; levers'!$C$14="Off",('Activity data'!BL20*EF!$H33)*kgtoGg,IF('Net zero activities &amp; levers'!$C$14="On",('Net zero Activity data'!BL20*EF!$H33)*kgtoGg,"ERROR"))</f>
        <v>-2.3250730145110658</v>
      </c>
      <c r="AT1096" s="100">
        <f>IF('Net zero activities &amp; levers'!$C$14="Off",('Activity data'!BM20*EF!$H33)*kgtoGg,IF('Net zero activities &amp; levers'!$C$14="On",('Net zero Activity data'!BM20*EF!$H33)*kgtoGg,"ERROR"))</f>
        <v>-2.3252946526138598</v>
      </c>
      <c r="AU1096" s="100">
        <f>IF('Net zero activities &amp; levers'!$C$14="Off",('Activity data'!BN20*EF!$H33)*kgtoGg,IF('Net zero activities &amp; levers'!$C$14="On",('Net zero Activity data'!BN20*EF!$H33)*kgtoGg,"ERROR"))</f>
        <v>-2.3256940319059596</v>
      </c>
      <c r="AV1096" s="100">
        <f>IF('Net zero activities &amp; levers'!$C$14="Off",('Activity data'!BO20*EF!$H33)*kgtoGg,IF('Net zero activities &amp; levers'!$C$14="On",('Net zero Activity data'!BO20*EF!$H33)*kgtoGg,"ERROR"))</f>
        <v>-2.3262647465769009</v>
      </c>
      <c r="AW1096" s="100">
        <f>IF('Net zero activities &amp; levers'!$C$14="Off",('Activity data'!BP20*EF!$H33)*kgtoGg,IF('Net zero activities &amp; levers'!$C$14="On",('Net zero Activity data'!BP20*EF!$H33)*kgtoGg,"ERROR"))</f>
        <v>-2.3270007763918432</v>
      </c>
      <c r="AY1096" s="85"/>
    </row>
    <row r="1097" spans="1:51" x14ac:dyDescent="0.25">
      <c r="A1097" s="102" t="str">
        <f t="shared" si="374"/>
        <v>CM Poultry MMCH4</v>
      </c>
      <c r="B1097" s="102" t="s">
        <v>1323</v>
      </c>
      <c r="C1097" s="102" t="s">
        <v>1232</v>
      </c>
      <c r="D1097" t="s">
        <v>15</v>
      </c>
      <c r="E1097" t="s">
        <v>22</v>
      </c>
      <c r="F1097" t="s">
        <v>28</v>
      </c>
      <c r="G1097" t="s">
        <v>134</v>
      </c>
      <c r="H1097" t="s">
        <v>1228</v>
      </c>
      <c r="I1097" t="s">
        <v>121</v>
      </c>
      <c r="J1097" t="s">
        <v>286</v>
      </c>
      <c r="K1097" s="100">
        <f>IF('Net zero activities &amp; levers'!$C$14="Off",('Activity data'!AD21*EF!$H34)*kgtoGg,IF('Net zero activities &amp; levers'!$C$14="On",('Net zero Activity data'!AD21*EF!$H34)*kgtoGg,"ERROR"))</f>
        <v>2.3287695415892307E-2</v>
      </c>
      <c r="L1097" s="100">
        <f>IF('Net zero activities &amp; levers'!$C$14="Off",('Activity data'!AE21*EF!$H34)*kgtoGg,IF('Net zero activities &amp; levers'!$C$14="On",('Net zero Activity data'!AE21*EF!$H34)*kgtoGg,"ERROR"))</f>
        <v>2.3792006592875784E-2</v>
      </c>
      <c r="M1097" s="100">
        <f>IF('Net zero activities &amp; levers'!$C$14="Off",('Activity data'!AF21*EF!$H34)*kgtoGg,IF('Net zero activities &amp; levers'!$C$14="On",('Net zero Activity data'!AF21*EF!$H34)*kgtoGg,"ERROR"))</f>
        <v>2.4198359145657992E-2</v>
      </c>
      <c r="N1097" s="100">
        <f>IF('Net zero activities &amp; levers'!$C$14="Off",('Activity data'!AG21*EF!$H34)*kgtoGg,IF('Net zero activities &amp; levers'!$C$14="On",('Net zero Activity data'!AG21*EF!$H34)*kgtoGg,"ERROR"))</f>
        <v>2.4463864014486018E-2</v>
      </c>
      <c r="O1097" s="100">
        <f>IF('Net zero activities &amp; levers'!$C$14="Off",('Activity data'!AH21*EF!$H34)*kgtoGg,IF('Net zero activities &amp; levers'!$C$14="On",('Net zero Activity data'!AH21*EF!$H34)*kgtoGg,"ERROR"))</f>
        <v>2.4732972637230538E-2</v>
      </c>
      <c r="P1097" s="100">
        <f>IF('Net zero activities &amp; levers'!$C$14="Off",('Activity data'!AI21*EF!$H34)*kgtoGg,IF('Net zero activities &amp; levers'!$C$14="On",('Net zero Activity data'!AI21*EF!$H34)*kgtoGg,"ERROR"))</f>
        <v>2.5079904426237691E-2</v>
      </c>
      <c r="Q1097" s="100">
        <f>IF('Net zero activities &amp; levers'!$C$14="Off",('Activity data'!AJ21*EF!$H34)*kgtoGg,IF('Net zero activities &amp; levers'!$C$14="On",('Net zero Activity data'!AJ21*EF!$H34)*kgtoGg,"ERROR"))</f>
        <v>2.5450914457062126E-2</v>
      </c>
      <c r="R1097" s="100">
        <f>IF('Net zero activities &amp; levers'!$C$14="Off",('Activity data'!AK21*EF!$H34)*kgtoGg,IF('Net zero activities &amp; levers'!$C$14="On",('Net zero Activity data'!AK21*EF!$H34)*kgtoGg,"ERROR"))</f>
        <v>2.5666676614655742E-2</v>
      </c>
      <c r="S1097" s="100">
        <f>IF('Net zero activities &amp; levers'!$C$14="Off",('Activity data'!AL21*EF!$H34)*kgtoGg,IF('Net zero activities &amp; levers'!$C$14="On",('Net zero Activity data'!AL21*EF!$H34)*kgtoGg,"ERROR"))</f>
        <v>2.4425433081259044E-2</v>
      </c>
      <c r="T1097" s="100">
        <f>IF('Net zero activities &amp; levers'!$C$14="Off",('Activity data'!AM21*EF!$H34)*kgtoGg,IF('Net zero activities &amp; levers'!$C$14="On",('Net zero Activity data'!AM21*EF!$H34)*kgtoGg,"ERROR"))</f>
        <v>2.4949814142996823E-2</v>
      </c>
      <c r="U1097" s="100">
        <f>IF('Net zero activities &amp; levers'!$C$14="Off",('Activity data'!AN21*EF!$H34)*kgtoGg,IF('Net zero activities &amp; levers'!$C$14="On",('Net zero Activity data'!AN21*EF!$H34)*kgtoGg,"ERROR"))</f>
        <v>2.5439323884711679E-2</v>
      </c>
      <c r="V1097" s="100">
        <f>IF('Net zero activities &amp; levers'!$C$14="Off",('Activity data'!AO21*EF!$H34)*kgtoGg,IF('Net zero activities &amp; levers'!$C$14="On",('Net zero Activity data'!AO21*EF!$H34)*kgtoGg,"ERROR"))</f>
        <v>2.5932698042983617E-2</v>
      </c>
      <c r="W1097" s="100">
        <f>IF('Net zero activities &amp; levers'!$C$14="Off",('Activity data'!AP21*EF!$H34)*kgtoGg,IF('Net zero activities &amp; levers'!$C$14="On",('Net zero Activity data'!AP21*EF!$H34)*kgtoGg,"ERROR"))</f>
        <v>2.6492643697133385E-2</v>
      </c>
      <c r="X1097" s="100">
        <f>IF('Net zero activities &amp; levers'!$C$14="Off",('Activity data'!AQ21*EF!$H34)*kgtoGg,IF('Net zero activities &amp; levers'!$C$14="On",('Net zero Activity data'!AQ21*EF!$H34)*kgtoGg,"ERROR"))</f>
        <v>2.7057240669073435E-2</v>
      </c>
      <c r="Y1097" s="100">
        <f>IF('Net zero activities &amp; levers'!$C$14="Off",('Activity data'!AR21*EF!$H34)*kgtoGg,IF('Net zero activities &amp; levers'!$C$14="On",('Net zero Activity data'!AR21*EF!$H34)*kgtoGg,"ERROR"))</f>
        <v>2.7622555162509051E-2</v>
      </c>
      <c r="Z1097" s="100">
        <f>IF('Net zero activities &amp; levers'!$C$14="Off",('Activity data'!AS21*EF!$H34)*kgtoGg,IF('Net zero activities &amp; levers'!$C$14="On",('Net zero Activity data'!AS21*EF!$H34)*kgtoGg,"ERROR"))</f>
        <v>2.8176965865036346E-2</v>
      </c>
      <c r="AA1097" s="100">
        <f>IF('Net zero activities &amp; levers'!$C$14="Off",('Activity data'!AT21*EF!$H34)*kgtoGg,IF('Net zero activities &amp; levers'!$C$14="On",('Net zero Activity data'!AT21*EF!$H34)*kgtoGg,"ERROR"))</f>
        <v>2.8760838954152518E-2</v>
      </c>
      <c r="AB1097" s="100">
        <f>IF('Net zero activities &amp; levers'!$C$14="Off",('Activity data'!AU21*EF!$H34)*kgtoGg,IF('Net zero activities &amp; levers'!$C$14="On",('Net zero Activity data'!AU21*EF!$H34)*kgtoGg,"ERROR"))</f>
        <v>2.9319055806807104E-2</v>
      </c>
      <c r="AC1097" s="100">
        <f>IF('Net zero activities &amp; levers'!$C$14="Off",('Activity data'!AV21*EF!$H34)*kgtoGg,IF('Net zero activities &amp; levers'!$C$14="On",('Net zero Activity data'!AV21*EF!$H34)*kgtoGg,"ERROR"))</f>
        <v>2.9890511348844809E-2</v>
      </c>
      <c r="AD1097" s="100">
        <f>IF('Net zero activities &amp; levers'!$C$14="Off",('Activity data'!AW21*EF!$H34)*kgtoGg,IF('Net zero activities &amp; levers'!$C$14="On",('Net zero Activity data'!AW21*EF!$H34)*kgtoGg,"ERROR"))</f>
        <v>3.0538432433712476E-2</v>
      </c>
      <c r="AE1097" s="100">
        <f>IF('Net zero activities &amp; levers'!$C$14="Off",('Activity data'!AX21*EF!$H34)*kgtoGg,IF('Net zero activities &amp; levers'!$C$14="On",('Net zero Activity data'!AX21*EF!$H34)*kgtoGg,"ERROR"))</f>
        <v>3.123100856807573E-2</v>
      </c>
      <c r="AF1097" s="100">
        <f>IF('Net zero activities &amp; levers'!$C$14="Off",('Activity data'!AY21*EF!$H34)*kgtoGg,IF('Net zero activities &amp; levers'!$C$14="On",('Net zero Activity data'!AY21*EF!$H34)*kgtoGg,"ERROR"))</f>
        <v>3.1945373465817078E-2</v>
      </c>
      <c r="AG1097" s="100">
        <f>IF('Net zero activities &amp; levers'!$C$14="Off",('Activity data'!AZ21*EF!$H34)*kgtoGg,IF('Net zero activities &amp; levers'!$C$14="On",('Net zero Activity data'!AZ21*EF!$H34)*kgtoGg,"ERROR"))</f>
        <v>3.2158003703940202E-2</v>
      </c>
      <c r="AH1097" s="100">
        <f>IF('Net zero activities &amp; levers'!$C$14="Off",('Activity data'!BA21*EF!$H34)*kgtoGg,IF('Net zero activities &amp; levers'!$C$14="On",('Net zero Activity data'!BA21*EF!$H34)*kgtoGg,"ERROR"))</f>
        <v>7.7079802322364711E-3</v>
      </c>
      <c r="AI1097" s="100">
        <f>IF('Net zero activities &amp; levers'!$C$14="Off",('Activity data'!BB21*EF!$H34)*kgtoGg,IF('Net zero activities &amp; levers'!$C$14="On",('Net zero Activity data'!BB21*EF!$H34)*kgtoGg,"ERROR"))</f>
        <v>7.7672225791054648E-3</v>
      </c>
      <c r="AJ1097" s="100">
        <f>IF('Net zero activities &amp; levers'!$C$14="Off",('Activity data'!BC21*EF!$H34)*kgtoGg,IF('Net zero activities &amp; levers'!$C$14="On",('Net zero Activity data'!BC21*EF!$H34)*kgtoGg,"ERROR"))</f>
        <v>7.8268962553927103E-3</v>
      </c>
      <c r="AK1097" s="100">
        <f>IF('Net zero activities &amp; levers'!$C$14="Off",('Activity data'!BD21*EF!$H34)*kgtoGg,IF('Net zero activities &amp; levers'!$C$14="On",('Net zero Activity data'!BD21*EF!$H34)*kgtoGg,"ERROR"))</f>
        <v>7.8870045455527778E-3</v>
      </c>
      <c r="AL1097" s="100">
        <f>IF('Net zero activities &amp; levers'!$C$14="Off",('Activity data'!BE21*EF!$H34)*kgtoGg,IF('Net zero activities &amp; levers'!$C$14="On",('Net zero Activity data'!BE21*EF!$H34)*kgtoGg,"ERROR"))</f>
        <v>7.9475507489555203E-3</v>
      </c>
      <c r="AM1097" s="100">
        <f>IF('Net zero activities &amp; levers'!$C$14="Off",('Activity data'!BF21*EF!$H34)*kgtoGg,IF('Net zero activities &amp; levers'!$C$14="On",('Net zero Activity data'!BF21*EF!$H34)*kgtoGg,"ERROR"))</f>
        <v>8.0085381808564764E-3</v>
      </c>
      <c r="AN1097" s="100">
        <f>IF('Net zero activities &amp; levers'!$C$14="Off",('Activity data'!BG21*EF!$H34)*kgtoGg,IF('Net zero activities &amp; levers'!$C$14="On",('Net zero Activity data'!BG21*EF!$H34)*kgtoGg,"ERROR"))</f>
        <v>8.0606731521322347E-3</v>
      </c>
      <c r="AO1097" s="100">
        <f>IF('Net zero activities &amp; levers'!$C$14="Off",('Activity data'!BH21*EF!$H34)*kgtoGg,IF('Net zero activities &amp; levers'!$C$14="On",('Net zero Activity data'!BH21*EF!$H34)*kgtoGg,"ERROR"))</f>
        <v>8.1131299403660317E-3</v>
      </c>
      <c r="AP1097" s="100">
        <f>IF('Net zero activities &amp; levers'!$C$14="Off",('Activity data'!BI21*EF!$H34)*kgtoGg,IF('Net zero activities &amp; levers'!$C$14="On",('Net zero Activity data'!BI21*EF!$H34)*kgtoGg,"ERROR"))</f>
        <v>8.1659106374109367E-3</v>
      </c>
      <c r="AQ1097" s="100">
        <f>IF('Net zero activities &amp; levers'!$C$14="Off",('Activity data'!BJ21*EF!$H34)*kgtoGg,IF('Net zero activities &amp; levers'!$C$14="On",('Net zero Activity data'!BJ21*EF!$H34)*kgtoGg,"ERROR"))</f>
        <v>8.2190173421198831E-3</v>
      </c>
      <c r="AR1097" s="100">
        <f>IF('Net zero activities &amp; levers'!$C$14="Off",('Activity data'!BK21*EF!$H34)*kgtoGg,IF('Net zero activities &amp; levers'!$C$14="On",('Net zero Activity data'!BK21*EF!$H34)*kgtoGg,"ERROR"))</f>
        <v>8.2724521608947329E-3</v>
      </c>
      <c r="AS1097" s="100">
        <f>IF('Net zero activities &amp; levers'!$C$14="Off",('Activity data'!BL21*EF!$H34)*kgtoGg,IF('Net zero activities &amp; levers'!$C$14="On",('Net zero Activity data'!BL21*EF!$H34)*kgtoGg,"ERROR"))</f>
        <v>8.3166629016207475E-3</v>
      </c>
      <c r="AT1097" s="100">
        <f>IF('Net zero activities &amp; levers'!$C$14="Off",('Activity data'!BM21*EF!$H34)*kgtoGg,IF('Net zero activities &amp; levers'!$C$14="On",('Net zero Activity data'!BM21*EF!$H34)*kgtoGg,"ERROR"))</f>
        <v>8.3610976164500486E-3</v>
      </c>
      <c r="AU1097" s="100">
        <f>IF('Net zero activities &amp; levers'!$C$14="Off",('Activity data'!BN21*EF!$H34)*kgtoGg,IF('Net zero activities &amp; levers'!$C$14="On",('Net zero Activity data'!BN21*EF!$H34)*kgtoGg,"ERROR"))</f>
        <v>8.4057575201904496E-3</v>
      </c>
      <c r="AV1097" s="100">
        <f>IF('Net zero activities &amp; levers'!$C$14="Off",('Activity data'!BO21*EF!$H34)*kgtoGg,IF('Net zero activities &amp; levers'!$C$14="On",('Net zero Activity data'!BO21*EF!$H34)*kgtoGg,"ERROR"))</f>
        <v>8.4506438296934709E-3</v>
      </c>
      <c r="AW1097" s="100">
        <f>IF('Net zero activities &amp; levers'!$C$14="Off",('Activity data'!BP21*EF!$H34)*kgtoGg,IF('Net zero activities &amp; levers'!$C$14="On",('Net zero Activity data'!BP21*EF!$H34)*kgtoGg,"ERROR"))</f>
        <v>8.495757764182087E-3</v>
      </c>
      <c r="AY1097" s="85"/>
    </row>
    <row r="1098" spans="1:51" x14ac:dyDescent="0.25">
      <c r="A1098" s="102" t="str">
        <f t="shared" si="374"/>
        <v>CM Poultry MMCH4</v>
      </c>
      <c r="B1098" s="102" t="s">
        <v>1323</v>
      </c>
      <c r="C1098" s="102" t="s">
        <v>1232</v>
      </c>
      <c r="D1098" t="s">
        <v>15</v>
      </c>
      <c r="E1098" t="s">
        <v>22</v>
      </c>
      <c r="F1098" t="s">
        <v>28</v>
      </c>
      <c r="G1098" t="s">
        <v>133</v>
      </c>
      <c r="H1098" t="s">
        <v>1228</v>
      </c>
      <c r="I1098" t="s">
        <v>121</v>
      </c>
      <c r="J1098" t="s">
        <v>286</v>
      </c>
      <c r="K1098" s="100">
        <f>IF('Net zero activities &amp; levers'!$C$14="Off",('Activity data'!AD22*EF!$H35)*kgtoGg,IF('Net zero activities &amp; levers'!$C$14="On",('Net zero Activity data'!AD22*EF!$H35)*kgtoGg,"ERROR"))</f>
        <v>9.3163042717810632E-2</v>
      </c>
      <c r="L1098" s="100">
        <f>IF('Net zero activities &amp; levers'!$C$14="Off",('Activity data'!AE22*EF!$H35)*kgtoGg,IF('Net zero activities &amp; levers'!$C$14="On",('Net zero Activity data'!AE22*EF!$H35)*kgtoGg,"ERROR"))</f>
        <v>9.4674858507474813E-2</v>
      </c>
      <c r="M1098" s="100">
        <f>IF('Net zero activities &amp; levers'!$C$14="Off",('Activity data'!AF22*EF!$H35)*kgtoGg,IF('Net zero activities &amp; levers'!$C$14="On",('Net zero Activity data'!AF22*EF!$H35)*kgtoGg,"ERROR"))</f>
        <v>9.5123748183632839E-2</v>
      </c>
      <c r="N1098" s="100">
        <f>IF('Net zero activities &amp; levers'!$C$14="Off",('Activity data'!AG22*EF!$H35)*kgtoGg,IF('Net zero activities &amp; levers'!$C$14="On",('Net zero Activity data'!AG22*EF!$H35)*kgtoGg,"ERROR"))</f>
        <v>9.411752694907706E-2</v>
      </c>
      <c r="O1098" s="100">
        <f>IF('Net zero activities &amp; levers'!$C$14="Off",('Activity data'!AH22*EF!$H35)*kgtoGg,IF('Net zero activities &amp; levers'!$C$14="On",('Net zero Activity data'!AH22*EF!$H35)*kgtoGg,"ERROR"))</f>
        <v>9.3113466224717556E-2</v>
      </c>
      <c r="P1098" s="100">
        <f>IF('Net zero activities &amp; levers'!$C$14="Off",('Activity data'!AI22*EF!$H35)*kgtoGg,IF('Net zero activities &amp; levers'!$C$14="On",('Net zero Activity data'!AI22*EF!$H35)*kgtoGg,"ERROR"))</f>
        <v>9.2822128000237508E-2</v>
      </c>
      <c r="Q1098" s="100">
        <f>IF('Net zero activities &amp; levers'!$C$14="Off",('Activity data'!AJ22*EF!$H35)*kgtoGg,IF('Net zero activities &amp; levers'!$C$14="On",('Net zero Activity data'!AJ22*EF!$H35)*kgtoGg,"ERROR"))</f>
        <v>9.2761437454217818E-2</v>
      </c>
      <c r="R1098" s="100">
        <f>IF('Net zero activities &amp; levers'!$C$14="Off",('Activity data'!AK22*EF!$H35)*kgtoGg,IF('Net zero activities &amp; levers'!$C$14="On",('Net zero Activity data'!AK22*EF!$H35)*kgtoGg,"ERROR"))</f>
        <v>9.1214149611608147E-2</v>
      </c>
      <c r="S1098" s="100">
        <f>IF('Net zero activities &amp; levers'!$C$14="Off",('Activity data'!AL22*EF!$H35)*kgtoGg,IF('Net zero activities &amp; levers'!$C$14="On",('Net zero Activity data'!AL22*EF!$H35)*kgtoGg,"ERROR"))</f>
        <v>7.6003620214521325E-2</v>
      </c>
      <c r="T1098" s="100">
        <f>IF('Net zero activities &amp; levers'!$C$14="Off",('Activity data'!AM22*EF!$H35)*kgtoGg,IF('Net zero activities &amp; levers'!$C$14="On",('Net zero Activity data'!AM22*EF!$H35)*kgtoGg,"ERROR"))</f>
        <v>7.8245537442550611E-2</v>
      </c>
      <c r="U1098" s="100">
        <f>IF('Net zero activities &amp; levers'!$C$14="Off",('Activity data'!AN22*EF!$H35)*kgtoGg,IF('Net zero activities &amp; levers'!$C$14="On",('Net zero Activity data'!AN22*EF!$H35)*kgtoGg,"ERROR"))</f>
        <v>8.0119479136932389E-2</v>
      </c>
      <c r="V1098" s="100">
        <f>IF('Net zero activities &amp; levers'!$C$14="Off",('Activity data'!AO22*EF!$H35)*kgtoGg,IF('Net zero activities &amp; levers'!$C$14="On",('Net zero Activity data'!AO22*EF!$H35)*kgtoGg,"ERROR"))</f>
        <v>8.1988873935417206E-2</v>
      </c>
      <c r="W1098" s="100">
        <f>IF('Net zero activities &amp; levers'!$C$14="Off",('Activity data'!AP22*EF!$H35)*kgtoGg,IF('Net zero activities &amp; levers'!$C$14="On",('Net zero Activity data'!AP22*EF!$H35)*kgtoGg,"ERROR"))</f>
        <v>8.4421015619150011E-2</v>
      </c>
      <c r="X1098" s="100">
        <f>IF('Net zero activities &amp; levers'!$C$14="Off",('Activity data'!AQ22*EF!$H35)*kgtoGg,IF('Net zero activities &amp; levers'!$C$14="On",('Net zero Activity data'!AQ22*EF!$H35)*kgtoGg,"ERROR"))</f>
        <v>8.6845856777302652E-2</v>
      </c>
      <c r="Y1098" s="100">
        <f>IF('Net zero activities &amp; levers'!$C$14="Off",('Activity data'!AR22*EF!$H35)*kgtoGg,IF('Net zero activities &amp; levers'!$C$14="On",('Net zero Activity data'!AR22*EF!$H35)*kgtoGg,"ERROR"))</f>
        <v>8.9508170799005846E-2</v>
      </c>
      <c r="Z1098" s="100">
        <f>IF('Net zero activities &amp; levers'!$C$14="Off",('Activity data'!AS22*EF!$H35)*kgtoGg,IF('Net zero activities &amp; levers'!$C$14="On",('Net zero Activity data'!AS22*EF!$H35)*kgtoGg,"ERROR"))</f>
        <v>9.2028330133957781E-2</v>
      </c>
      <c r="AA1098" s="100">
        <f>IF('Net zero activities &amp; levers'!$C$14="Off",('Activity data'!AT22*EF!$H35)*kgtoGg,IF('Net zero activities &amp; levers'!$C$14="On",('Net zero Activity data'!AT22*EF!$H35)*kgtoGg,"ERROR"))</f>
        <v>9.4763412010461776E-2</v>
      </c>
      <c r="AB1098" s="100">
        <f>IF('Net zero activities &amp; levers'!$C$14="Off",('Activity data'!AU22*EF!$H35)*kgtoGg,IF('Net zero activities &amp; levers'!$C$14="On",('Net zero Activity data'!AU22*EF!$H35)*kgtoGg,"ERROR"))</f>
        <v>9.7229574055292575E-2</v>
      </c>
      <c r="AC1098" s="100">
        <f>IF('Net zero activities &amp; levers'!$C$14="Off",('Activity data'!AV22*EF!$H35)*kgtoGg,IF('Net zero activities &amp; levers'!$C$14="On",('Net zero Activity data'!AV22*EF!$H35)*kgtoGg,"ERROR"))</f>
        <v>9.9768557857354889E-2</v>
      </c>
      <c r="AD1098" s="100">
        <f>IF('Net zero activities &amp; levers'!$C$14="Off",('Activity data'!AW22*EF!$H35)*kgtoGg,IF('Net zero activities &amp; levers'!$C$14="On",('Net zero Activity data'!AW22*EF!$H35)*kgtoGg,"ERROR"))</f>
        <v>0.10314268304470672</v>
      </c>
      <c r="AE1098" s="100">
        <f>IF('Net zero activities &amp; levers'!$C$14="Off",('Activity data'!AX22*EF!$H35)*kgtoGg,IF('Net zero activities &amp; levers'!$C$14="On",('Net zero Activity data'!AX22*EF!$H35)*kgtoGg,"ERROR"))</f>
        <v>0.10684704409348912</v>
      </c>
      <c r="AF1098" s="100">
        <f>IF('Net zero activities &amp; levers'!$C$14="Off",('Activity data'!AY22*EF!$H35)*kgtoGg,IF('Net zero activities &amp; levers'!$C$14="On",('Net zero Activity data'!AY22*EF!$H35)*kgtoGg,"ERROR"))</f>
        <v>0.11068205574574447</v>
      </c>
      <c r="AG1098" s="100">
        <f>IF('Net zero activities &amp; levers'!$C$14="Off",('Activity data'!AZ22*EF!$H35)*kgtoGg,IF('Net zero activities &amp; levers'!$C$14="On",('Net zero Activity data'!AZ22*EF!$H35)*kgtoGg,"ERROR"))</f>
        <v>0.11025500175189677</v>
      </c>
      <c r="AH1098" s="100">
        <f>IF('Net zero activities &amp; levers'!$C$14="Off",('Activity data'!BA22*EF!$H35)*kgtoGg,IF('Net zero activities &amp; levers'!$C$14="On",('Net zero Activity data'!BA22*EF!$H35)*kgtoGg,"ERROR"))</f>
        <v>-9.5618834539008879E-2</v>
      </c>
      <c r="AI1098" s="100">
        <f>IF('Net zero activities &amp; levers'!$C$14="Off",('Activity data'!BB22*EF!$H35)*kgtoGg,IF('Net zero activities &amp; levers'!$C$14="On",('Net zero Activity data'!BB22*EF!$H35)*kgtoGg,"ERROR"))</f>
        <v>-9.5755836748130152E-2</v>
      </c>
      <c r="AJ1098" s="100">
        <f>IF('Net zero activities &amp; levers'!$C$14="Off",('Activity data'!BC22*EF!$H35)*kgtoGg,IF('Net zero activities &amp; levers'!$C$14="On",('Net zero Activity data'!BC22*EF!$H35)*kgtoGg,"ERROR"))</f>
        <v>-9.5904432315731702E-2</v>
      </c>
      <c r="AK1098" s="100">
        <f>IF('Net zero activities &amp; levers'!$C$14="Off",('Activity data'!BD22*EF!$H35)*kgtoGg,IF('Net zero activities &amp; levers'!$C$14="On",('Net zero Activity data'!BD22*EF!$H35)*kgtoGg,"ERROR"))</f>
        <v>-9.6064137427684965E-2</v>
      </c>
      <c r="AL1098" s="100">
        <f>IF('Net zero activities &amp; levers'!$C$14="Off",('Activity data'!BE22*EF!$H35)*kgtoGg,IF('Net zero activities &amp; levers'!$C$14="On",('Net zero Activity data'!BE22*EF!$H35)*kgtoGg,"ERROR"))</f>
        <v>-9.6234505848874163E-2</v>
      </c>
      <c r="AM1098" s="100">
        <f>IF('Net zero activities &amp; levers'!$C$14="Off",('Activity data'!BF22*EF!$H35)*kgtoGg,IF('Net zero activities &amp; levers'!$C$14="On",('Net zero Activity data'!BF22*EF!$H35)*kgtoGg,"ERROR"))</f>
        <v>-9.641512531339648E-2</v>
      </c>
      <c r="AN1098" s="100">
        <f>IF('Net zero activities &amp; levers'!$C$14="Off",('Activity data'!BG22*EF!$H35)*kgtoGg,IF('Net zero activities &amp; levers'!$C$14="On",('Net zero Activity data'!BG22*EF!$H35)*kgtoGg,"ERROR"))</f>
        <v>-9.6489465064540994E-2</v>
      </c>
      <c r="AO1098" s="100">
        <f>IF('Net zero activities &amp; levers'!$C$14="Off",('Activity data'!BH22*EF!$H35)*kgtoGg,IF('Net zero activities &amp; levers'!$C$14="On",('Net zero Activity data'!BH22*EF!$H35)*kgtoGg,"ERROR"))</f>
        <v>-9.6573121728903102E-2</v>
      </c>
      <c r="AP1098" s="100">
        <f>IF('Net zero activities &amp; levers'!$C$14="Off",('Activity data'!BI22*EF!$H35)*kgtoGg,IF('Net zero activities &amp; levers'!$C$14="On",('Net zero Activity data'!BI22*EF!$H35)*kgtoGg,"ERROR"))</f>
        <v>-9.6665733535486312E-2</v>
      </c>
      <c r="AQ1098" s="100">
        <f>IF('Net zero activities &amp; levers'!$C$14="Off",('Activity data'!BJ22*EF!$H35)*kgtoGg,IF('Net zero activities &amp; levers'!$C$14="On",('Net zero Activity data'!BJ22*EF!$H35)*kgtoGg,"ERROR"))</f>
        <v>-9.6766963554028085E-2</v>
      </c>
      <c r="AR1098" s="100">
        <f>IF('Net zero activities &amp; levers'!$C$14="Off",('Activity data'!BK22*EF!$H35)*kgtoGg,IF('Net zero activities &amp; levers'!$C$14="On",('Net zero Activity data'!BK22*EF!$H35)*kgtoGg,"ERROR"))</f>
        <v>-9.6876497560515806E-2</v>
      </c>
      <c r="AS1098" s="100">
        <f>IF('Net zero activities &amp; levers'!$C$14="Off",('Activity data'!BL22*EF!$H35)*kgtoGg,IF('Net zero activities &amp; levers'!$C$14="On",('Net zero Activity data'!BL22*EF!$H35)*kgtoGg,"ERROR"))</f>
        <v>-9.6878042271294512E-2</v>
      </c>
      <c r="AT1098" s="100">
        <f>IF('Net zero activities &amp; levers'!$C$14="Off",('Activity data'!BM22*EF!$H35)*kgtoGg,IF('Net zero activities &amp; levers'!$C$14="On",('Net zero Activity data'!BM22*EF!$H35)*kgtoGg,"ERROR"))</f>
        <v>-9.6887277192244256E-2</v>
      </c>
      <c r="AU1098" s="100">
        <f>IF('Net zero activities &amp; levers'!$C$14="Off",('Activity data'!BN22*EF!$H35)*kgtoGg,IF('Net zero activities &amp; levers'!$C$14="On",('Net zero Activity data'!BN22*EF!$H35)*kgtoGg,"ERROR"))</f>
        <v>-9.6903917996081751E-2</v>
      </c>
      <c r="AV1098" s="100">
        <f>IF('Net zero activities &amp; levers'!$C$14="Off",('Activity data'!BO22*EF!$H35)*kgtoGg,IF('Net zero activities &amp; levers'!$C$14="On",('Net zero Activity data'!BO22*EF!$H35)*kgtoGg,"ERROR"))</f>
        <v>-9.6927697774037633E-2</v>
      </c>
      <c r="AW1098" s="100">
        <f>IF('Net zero activities &amp; levers'!$C$14="Off",('Activity data'!BP22*EF!$H35)*kgtoGg,IF('Net zero activities &amp; levers'!$C$14="On",('Net zero Activity data'!BP22*EF!$H35)*kgtoGg,"ERROR"))</f>
        <v>-9.6958365682993541E-2</v>
      </c>
      <c r="AY1098" s="85"/>
    </row>
    <row r="1099" spans="1:51" x14ac:dyDescent="0.25">
      <c r="A1099" s="102" t="str">
        <f t="shared" si="374"/>
        <v>CM Cattle MMN2O</v>
      </c>
      <c r="B1099" s="102" t="s">
        <v>1323</v>
      </c>
      <c r="C1099" s="102" t="s">
        <v>1233</v>
      </c>
      <c r="D1099" t="s">
        <v>15</v>
      </c>
      <c r="E1099" t="s">
        <v>657</v>
      </c>
      <c r="F1099" t="s">
        <v>6</v>
      </c>
      <c r="G1099" t="s">
        <v>136</v>
      </c>
      <c r="H1099" t="s">
        <v>1228</v>
      </c>
      <c r="I1099" t="s">
        <v>139</v>
      </c>
      <c r="J1099" t="s">
        <v>287</v>
      </c>
      <c r="K1099" s="100">
        <f>IF('Net zero activities &amp; levers'!$C$14="Off",('Activity data'!AD5*EF!$H36*EF!$H54)*NtoN2O*kgtoGg,IF('Net zero activities &amp; levers'!$C$14="On",('Net zero Activity data'!AD5*EF!$H36*EF!$H54)*NtoN2O*kgtoGg,"ERROR"))</f>
        <v>5.9581863535910565E-2</v>
      </c>
      <c r="L1099" s="100">
        <f>IF('Net zero activities &amp; levers'!$C$14="Off",('Activity data'!AE5*EF!$H36*EF!$H54)*NtoN2O*kgtoGg,IF('Net zero activities &amp; levers'!$C$14="On",('Net zero Activity data'!AE5*EF!$H36*EF!$H54)*NtoN2O*kgtoGg,"ERROR"))</f>
        <v>5.9952472777501202E-2</v>
      </c>
      <c r="M1099" s="100">
        <f>IF('Net zero activities &amp; levers'!$C$14="Off",('Activity data'!AF5*EF!$H36*EF!$H54)*NtoN2O*kgtoGg,IF('Net zero activities &amp; levers'!$C$14="On",('Net zero Activity data'!AF5*EF!$H36*EF!$H54)*NtoN2O*kgtoGg,"ERROR"))</f>
        <v>6.0207271736418301E-2</v>
      </c>
      <c r="N1099" s="100">
        <f>IF('Net zero activities &amp; levers'!$C$14="Off",('Activity data'!AG5*EF!$H36*EF!$H54)*NtoN2O*kgtoGg,IF('Net zero activities &amp; levers'!$C$14="On",('Net zero Activity data'!AG5*EF!$H36*EF!$H54)*NtoN2O*kgtoGg,"ERROR"))</f>
        <v>6.0287180440683194E-2</v>
      </c>
      <c r="O1099" s="100">
        <f>IF('Net zero activities &amp; levers'!$C$14="Off",('Activity data'!AH5*EF!$H36*EF!$H54)*NtoN2O*kgtoGg,IF('Net zero activities &amp; levers'!$C$14="On",('Net zero Activity data'!AH5*EF!$H36*EF!$H54)*NtoN2O*kgtoGg,"ERROR"))</f>
        <v>6.0395284993714014E-2</v>
      </c>
      <c r="P1099" s="100">
        <f>IF('Net zero activities &amp; levers'!$C$14="Off",('Activity data'!AI5*EF!$H36*EF!$H54)*NtoN2O*kgtoGg,IF('Net zero activities &amp; levers'!$C$14="On",('Net zero Activity data'!AI5*EF!$H36*EF!$H54)*NtoN2O*kgtoGg,"ERROR"))</f>
        <v>6.0632075036082048E-2</v>
      </c>
      <c r="Q1099" s="100">
        <f>IF('Net zero activities &amp; levers'!$C$14="Off",('Activity data'!AJ5*EF!$H36*EF!$H54)*NtoN2O*kgtoGg,IF('Net zero activities &amp; levers'!$C$14="On",('Net zero Activity data'!AJ5*EF!$H36*EF!$H54)*NtoN2O*kgtoGg,"ERROR"))</f>
        <v>6.0915962278620638E-2</v>
      </c>
      <c r="R1099" s="100">
        <f>IF('Net zero activities &amp; levers'!$C$14="Off",('Activity data'!AK5*EF!$H36*EF!$H54)*NtoN2O*kgtoGg,IF('Net zero activities &amp; levers'!$C$14="On",('Net zero Activity data'!AK5*EF!$H36*EF!$H54)*NtoN2O*kgtoGg,"ERROR"))</f>
        <v>6.1001244967563928E-2</v>
      </c>
      <c r="S1099" s="100">
        <f>IF('Net zero activities &amp; levers'!$C$14="Off",('Activity data'!AL5*EF!$H36*EF!$H54)*NtoN2O*kgtoGg,IF('Net zero activities &amp; levers'!$C$14="On",('Net zero Activity data'!AL5*EF!$H36*EF!$H54)*NtoN2O*kgtoGg,"ERROR"))</f>
        <v>5.9128520448870917E-2</v>
      </c>
      <c r="T1099" s="100">
        <f>IF('Net zero activities &amp; levers'!$C$14="Off",('Activity data'!AM5*EF!$H36*EF!$H54)*NtoN2O*kgtoGg,IF('Net zero activities &amp; levers'!$C$14="On",('Net zero Activity data'!AM5*EF!$H36*EF!$H54)*NtoN2O*kgtoGg,"ERROR"))</f>
        <v>5.961554215328714E-2</v>
      </c>
      <c r="U1099" s="100">
        <f>IF('Net zero activities &amp; levers'!$C$14="Off",('Activity data'!AN5*EF!$H36*EF!$H54)*NtoN2O*kgtoGg,IF('Net zero activities &amp; levers'!$C$14="On",('Net zero Activity data'!AN5*EF!$H36*EF!$H54)*NtoN2O*kgtoGg,"ERROR"))</f>
        <v>6.0062127225246474E-2</v>
      </c>
      <c r="V1099" s="100">
        <f>IF('Net zero activities &amp; levers'!$C$14="Off",('Activity data'!AO5*EF!$H36*EF!$H54)*NtoN2O*kgtoGg,IF('Net zero activities &amp; levers'!$C$14="On",('Net zero Activity data'!AO5*EF!$H36*EF!$H54)*NtoN2O*kgtoGg,"ERROR"))</f>
        <v>6.0520025735654244E-2</v>
      </c>
      <c r="W1099" s="100">
        <f>IF('Net zero activities &amp; levers'!$C$14="Off",('Activity data'!AP5*EF!$H36*EF!$H54)*NtoN2O*kgtoGg,IF('Net zero activities &amp; levers'!$C$14="On",('Net zero Activity data'!AP5*EF!$H36*EF!$H54)*NtoN2O*kgtoGg,"ERROR"))</f>
        <v>6.107162678051329E-2</v>
      </c>
      <c r="X1099" s="100">
        <f>IF('Net zero activities &amp; levers'!$C$14="Off",('Activity data'!AQ5*EF!$H36*EF!$H54)*NtoN2O*kgtoGg,IF('Net zero activities &amp; levers'!$C$14="On",('Net zero Activity data'!AQ5*EF!$H36*EF!$H54)*NtoN2O*kgtoGg,"ERROR"))</f>
        <v>6.1633578287442058E-2</v>
      </c>
      <c r="Y1099" s="100">
        <f>IF('Net zero activities &amp; levers'!$C$14="Off",('Activity data'!AR5*EF!$H36*EF!$H54)*NtoN2O*kgtoGg,IF('Net zero activities &amp; levers'!$C$14="On",('Net zero Activity data'!AR5*EF!$H36*EF!$H54)*NtoN2O*kgtoGg,"ERROR"))</f>
        <v>6.2180760814939798E-2</v>
      </c>
      <c r="Z1099" s="100">
        <f>IF('Net zero activities &amp; levers'!$C$14="Off",('Activity data'!AS5*EF!$H36*EF!$H54)*NtoN2O*kgtoGg,IF('Net zero activities &amp; levers'!$C$14="On",('Net zero Activity data'!AS5*EF!$H36*EF!$H54)*NtoN2O*kgtoGg,"ERROR"))</f>
        <v>6.2716996536282391E-2</v>
      </c>
      <c r="AA1099" s="100">
        <f>IF('Net zero activities &amp; levers'!$C$14="Off",('Activity data'!AT5*EF!$H36*EF!$H54)*NtoN2O*kgtoGg,IF('Net zero activities &amp; levers'!$C$14="On",('Net zero Activity data'!AT5*EF!$H36*EF!$H54)*NtoN2O*kgtoGg,"ERROR"))</f>
        <v>6.3294581219461896E-2</v>
      </c>
      <c r="AB1099" s="100">
        <f>IF('Net zero activities &amp; levers'!$C$14="Off",('Activity data'!AU5*EF!$H36*EF!$H54)*NtoN2O*kgtoGg,IF('Net zero activities &amp; levers'!$C$14="On",('Net zero Activity data'!AU5*EF!$H36*EF!$H54)*NtoN2O*kgtoGg,"ERROR"))</f>
        <v>6.3841542561015929E-2</v>
      </c>
      <c r="AC1099" s="100">
        <f>IF('Net zero activities &amp; levers'!$C$14="Off",('Activity data'!AV5*EF!$H36*EF!$H54)*NtoN2O*kgtoGg,IF('Net zero activities &amp; levers'!$C$14="On",('Net zero Activity data'!AV5*EF!$H36*EF!$H54)*NtoN2O*kgtoGg,"ERROR"))</f>
        <v>6.4408123024693842E-2</v>
      </c>
      <c r="AD1099" s="100">
        <f>IF('Net zero activities &amp; levers'!$C$14="Off",('Activity data'!AW5*EF!$H36*EF!$H54)*NtoN2O*kgtoGg,IF('Net zero activities &amp; levers'!$C$14="On",('Net zero Activity data'!AW5*EF!$H36*EF!$H54)*NtoN2O*kgtoGg,"ERROR"))</f>
        <v>6.5059072276654292E-2</v>
      </c>
      <c r="AE1099" s="100">
        <f>IF('Net zero activities &amp; levers'!$C$14="Off",('Activity data'!AX5*EF!$H36*EF!$H54)*NtoN2O*kgtoGg,IF('Net zero activities &amp; levers'!$C$14="On",('Net zero Activity data'!AX5*EF!$H36*EF!$H54)*NtoN2O*kgtoGg,"ERROR"))</f>
        <v>6.5768024439382053E-2</v>
      </c>
      <c r="AF1099" s="100">
        <f>IF('Net zero activities &amp; levers'!$C$14="Off",('Activity data'!AY5*EF!$H36*EF!$H54)*NtoN2O*kgtoGg,IF('Net zero activities &amp; levers'!$C$14="On",('Net zero Activity data'!AY5*EF!$H36*EF!$H54)*NtoN2O*kgtoGg,"ERROR"))</f>
        <v>6.6505116559025759E-2</v>
      </c>
      <c r="AG1099" s="100">
        <f>IF('Net zero activities &amp; levers'!$C$14="Off",('Activity data'!AZ5*EF!$H36*EF!$H54)*NtoN2O*kgtoGg,IF('Net zero activities &amp; levers'!$C$14="On",('Net zero Activity data'!AZ5*EF!$H36*EF!$H54)*NtoN2O*kgtoGg,"ERROR"))</f>
        <v>6.6608077063784327E-2</v>
      </c>
      <c r="AH1099" s="100">
        <f>IF('Net zero activities &amp; levers'!$C$14="Off",('Activity data'!BA5*EF!$H36*EF!$H54)*NtoN2O*kgtoGg,IF('Net zero activities &amp; levers'!$C$14="On",('Net zero Activity data'!BA5*EF!$H36*EF!$H54)*NtoN2O*kgtoGg,"ERROR"))</f>
        <v>3.5661314599783112E-2</v>
      </c>
      <c r="AI1099" s="100">
        <f>IF('Net zero activities &amp; levers'!$C$14="Off",('Activity data'!BB5*EF!$H36*EF!$H54)*NtoN2O*kgtoGg,IF('Net zero activities &amp; levers'!$C$14="On",('Net zero Activity data'!BB5*EF!$H36*EF!$H54)*NtoN2O*kgtoGg,"ERROR"))</f>
        <v>3.5687543278982381E-2</v>
      </c>
      <c r="AJ1099" s="100">
        <f>IF('Net zero activities &amp; levers'!$C$14="Off",('Activity data'!BC5*EF!$H36*EF!$H54)*NtoN2O*kgtoGg,IF('Net zero activities &amp; levers'!$C$14="On",('Net zero Activity data'!BC5*EF!$H36*EF!$H54)*NtoN2O*kgtoGg,"ERROR"))</f>
        <v>3.5717217411916767E-2</v>
      </c>
      <c r="AK1099" s="100">
        <f>IF('Net zero activities &amp; levers'!$C$14="Off",('Activity data'!BD5*EF!$H36*EF!$H54)*NtoN2O*kgtoGg,IF('Net zero activities &amp; levers'!$C$14="On",('Net zero Activity data'!BD5*EF!$H36*EF!$H54)*NtoN2O*kgtoGg,"ERROR"))</f>
        <v>3.5750206038134905E-2</v>
      </c>
      <c r="AL1099" s="100">
        <f>IF('Net zero activities &amp; levers'!$C$14="Off",('Activity data'!BE5*EF!$H36*EF!$H54)*NtoN2O*kgtoGg,IF('Net zero activities &amp; levers'!$C$14="On",('Net zero Activity data'!BE5*EF!$H36*EF!$H54)*NtoN2O*kgtoGg,"ERROR"))</f>
        <v>3.5786388283243133E-2</v>
      </c>
      <c r="AM1099" s="100">
        <f>IF('Net zero activities &amp; levers'!$C$14="Off",('Activity data'!BF5*EF!$H36*EF!$H54)*NtoN2O*kgtoGg,IF('Net zero activities &amp; levers'!$C$14="On",('Net zero Activity data'!BF5*EF!$H36*EF!$H54)*NtoN2O*kgtoGg,"ERROR"))</f>
        <v>3.5825652402917518E-2</v>
      </c>
      <c r="AN1099" s="100">
        <f>IF('Net zero activities &amp; levers'!$C$14="Off",('Activity data'!BG5*EF!$H36*EF!$H54)*NtoN2O*kgtoGg,IF('Net zero activities &amp; levers'!$C$14="On",('Net zero Activity data'!BG5*EF!$H36*EF!$H54)*NtoN2O*kgtoGg,"ERROR"))</f>
        <v>3.5842556779576207E-2</v>
      </c>
      <c r="AO1099" s="100">
        <f>IF('Net zero activities &amp; levers'!$C$14="Off",('Activity data'!BH5*EF!$H36*EF!$H54)*NtoN2O*kgtoGg,IF('Net zero activities &amp; levers'!$C$14="On",('Net zero Activity data'!BH5*EF!$H36*EF!$H54)*NtoN2O*kgtoGg,"ERROR"))</f>
        <v>3.5862175171675115E-2</v>
      </c>
      <c r="AP1099" s="100">
        <f>IF('Net zero activities &amp; levers'!$C$14="Off",('Activity data'!BI5*EF!$H36*EF!$H54)*NtoN2O*kgtoGg,IF('Net zero activities &amp; levers'!$C$14="On",('Net zero Activity data'!BI5*EF!$H36*EF!$H54)*NtoN2O*kgtoGg,"ERROR"))</f>
        <v>3.588441278699845E-2</v>
      </c>
      <c r="AQ1099" s="100">
        <f>IF('Net zero activities &amp; levers'!$C$14="Off",('Activity data'!BJ5*EF!$H36*EF!$H54)*NtoN2O*kgtoGg,IF('Net zero activities &amp; levers'!$C$14="On",('Net zero Activity data'!BJ5*EF!$H36*EF!$H54)*NtoN2O*kgtoGg,"ERROR"))</f>
        <v>3.5909181301646116E-2</v>
      </c>
      <c r="AR1099" s="100">
        <f>IF('Net zero activities &amp; levers'!$C$14="Off",('Activity data'!BK5*EF!$H36*EF!$H54)*NtoN2O*kgtoGg,IF('Net zero activities &amp; levers'!$C$14="On",('Net zero Activity data'!BK5*EF!$H36*EF!$H54)*NtoN2O*kgtoGg,"ERROR"))</f>
        <v>3.5936398311145284E-2</v>
      </c>
      <c r="AS1099" s="100">
        <f>IF('Net zero activities &amp; levers'!$C$14="Off",('Activity data'!BL5*EF!$H36*EF!$H54)*NtoN2O*kgtoGg,IF('Net zero activities &amp; levers'!$C$14="On",('Net zero Activity data'!BL5*EF!$H36*EF!$H54)*NtoN2O*kgtoGg,"ERROR"))</f>
        <v>3.5940375653704157E-2</v>
      </c>
      <c r="AT1099" s="100">
        <f>IF('Net zero activities &amp; levers'!$C$14="Off",('Activity data'!BM5*EF!$H36*EF!$H54)*NtoN2O*kgtoGg,IF('Net zero activities &amp; levers'!$C$14="On",('Net zero Activity data'!BM5*EF!$H36*EF!$H54)*NtoN2O*kgtoGg,"ERROR"))</f>
        <v>3.5946523647611327E-2</v>
      </c>
      <c r="AU1099" s="100">
        <f>IF('Net zero activities &amp; levers'!$C$14="Off",('Activity data'!BN5*EF!$H36*EF!$H54)*NtoN2O*kgtoGg,IF('Net zero activities &amp; levers'!$C$14="On",('Net zero Activity data'!BN5*EF!$H36*EF!$H54)*NtoN2O*kgtoGg,"ERROR"))</f>
        <v>3.5954770346244613E-2</v>
      </c>
      <c r="AV1099" s="100">
        <f>IF('Net zero activities &amp; levers'!$C$14="Off",('Activity data'!BO5*EF!$H36*EF!$H54)*NtoN2O*kgtoGg,IF('Net zero activities &amp; levers'!$C$14="On",('Net zero Activity data'!BO5*EF!$H36*EF!$H54)*NtoN2O*kgtoGg,"ERROR"))</f>
        <v>3.5965048185906283E-2</v>
      </c>
      <c r="AW1099" s="100">
        <f>IF('Net zero activities &amp; levers'!$C$14="Off",('Activity data'!BP5*EF!$H36*EF!$H54)*NtoN2O*kgtoGg,IF('Net zero activities &amp; levers'!$C$14="On",('Net zero Activity data'!BP5*EF!$H36*EF!$H54)*NtoN2O*kgtoGg,"ERROR"))</f>
        <v>3.5977293649132408E-2</v>
      </c>
      <c r="AY1099" s="85"/>
    </row>
    <row r="1100" spans="1:51" x14ac:dyDescent="0.25">
      <c r="A1100" s="102" t="str">
        <f t="shared" si="374"/>
        <v>CM Cattle MMN2O</v>
      </c>
      <c r="B1100" s="102" t="s">
        <v>1323</v>
      </c>
      <c r="C1100" s="102" t="s">
        <v>1233</v>
      </c>
      <c r="D1100" t="s">
        <v>15</v>
      </c>
      <c r="E1100" t="s">
        <v>657</v>
      </c>
      <c r="F1100" t="s">
        <v>6</v>
      </c>
      <c r="G1100" t="s">
        <v>137</v>
      </c>
      <c r="H1100" t="s">
        <v>1228</v>
      </c>
      <c r="I1100" t="s">
        <v>139</v>
      </c>
      <c r="J1100" t="s">
        <v>287</v>
      </c>
      <c r="K1100" s="100">
        <f>IF('Net zero activities &amp; levers'!$C$14="Off",('Activity data'!AD6*EF!$H37*EF!$H55)*NtoN2O*kgtoGg,IF('Net zero activities &amp; levers'!$C$14="On",('Net zero Activity data'!AD6*EF!$H37*EF!$H55)*NtoN2O*kgtoGg,"ERROR"))</f>
        <v>0.26088706231871722</v>
      </c>
      <c r="L1100" s="100">
        <f>IF('Net zero activities &amp; levers'!$C$14="Off",('Activity data'!AE6*EF!$H37*EF!$H55)*NtoN2O*kgtoGg,IF('Net zero activities &amp; levers'!$C$14="On",('Net zero Activity data'!AE6*EF!$H37*EF!$H55)*NtoN2O*kgtoGg,"ERROR"))</f>
        <v>0.2625098238533321</v>
      </c>
      <c r="M1100" s="100">
        <f>IF('Net zero activities &amp; levers'!$C$14="Off",('Activity data'!AF6*EF!$H37*EF!$H55)*NtoN2O*kgtoGg,IF('Net zero activities &amp; levers'!$C$14="On",('Net zero Activity data'!AF6*EF!$H37*EF!$H55)*NtoN2O*kgtoGg,"ERROR"))</f>
        <v>0.26362549476271357</v>
      </c>
      <c r="N1100" s="100">
        <f>IF('Net zero activities &amp; levers'!$C$14="Off",('Activity data'!AG6*EF!$H37*EF!$H55)*NtoN2O*kgtoGg,IF('Net zero activities &amp; levers'!$C$14="On",('Net zero Activity data'!AG6*EF!$H37*EF!$H55)*NtoN2O*kgtoGg,"ERROR"))</f>
        <v>0.2639753855830434</v>
      </c>
      <c r="O1100" s="100">
        <f>IF('Net zero activities &amp; levers'!$C$14="Off",('Activity data'!AH6*EF!$H37*EF!$H55)*NtoN2O*kgtoGg,IF('Net zero activities &amp; levers'!$C$14="On",('Net zero Activity data'!AH6*EF!$H37*EF!$H55)*NtoN2O*kgtoGg,"ERROR"))</f>
        <v>0.26444873565284266</v>
      </c>
      <c r="P1100" s="100">
        <f>IF('Net zero activities &amp; levers'!$C$14="Off",('Activity data'!AI6*EF!$H37*EF!$H55)*NtoN2O*kgtoGg,IF('Net zero activities &amp; levers'!$C$14="On",('Net zero Activity data'!AI6*EF!$H37*EF!$H55)*NtoN2O*kgtoGg,"ERROR"))</f>
        <v>0.26548555214151259</v>
      </c>
      <c r="Q1100" s="100">
        <f>IF('Net zero activities &amp; levers'!$C$14="Off",('Activity data'!AJ6*EF!$H37*EF!$H55)*NtoN2O*kgtoGg,IF('Net zero activities &amp; levers'!$C$14="On",('Net zero Activity data'!AJ6*EF!$H37*EF!$H55)*NtoN2O*kgtoGg,"ERROR"))</f>
        <v>0.26672858994429993</v>
      </c>
      <c r="R1100" s="100">
        <f>IF('Net zero activities &amp; levers'!$C$14="Off",('Activity data'!AK6*EF!$H37*EF!$H55)*NtoN2O*kgtoGg,IF('Net zero activities &amp; levers'!$C$14="On",('Net zero Activity data'!AK6*EF!$H37*EF!$H55)*NtoN2O*kgtoGg,"ERROR"))</f>
        <v>0.26710201146663365</v>
      </c>
      <c r="S1100" s="100">
        <f>IF('Net zero activities &amp; levers'!$C$14="Off",('Activity data'!AL6*EF!$H37*EF!$H55)*NtoN2O*kgtoGg,IF('Net zero activities &amp; levers'!$C$14="On",('Net zero Activity data'!AL6*EF!$H37*EF!$H55)*NtoN2O*kgtoGg,"ERROR"))</f>
        <v>0.2589020397097988</v>
      </c>
      <c r="T1100" s="100">
        <f>IF('Net zero activities &amp; levers'!$C$14="Off",('Activity data'!AM6*EF!$H37*EF!$H55)*NtoN2O*kgtoGg,IF('Net zero activities &amp; levers'!$C$14="On",('Net zero Activity data'!AM6*EF!$H37*EF!$H55)*NtoN2O*kgtoGg,"ERROR"))</f>
        <v>0.26103452859501175</v>
      </c>
      <c r="U1100" s="100">
        <f>IF('Net zero activities &amp; levers'!$C$14="Off",('Activity data'!AN6*EF!$H37*EF!$H55)*NtoN2O*kgtoGg,IF('Net zero activities &amp; levers'!$C$14="On",('Net zero Activity data'!AN6*EF!$H37*EF!$H55)*NtoN2O*kgtoGg,"ERROR"))</f>
        <v>0.26298996034193323</v>
      </c>
      <c r="V1100" s="100">
        <f>IF('Net zero activities &amp; levers'!$C$14="Off",('Activity data'!AO6*EF!$H37*EF!$H55)*NtoN2O*kgtoGg,IF('Net zero activities &amp; levers'!$C$14="On",('Net zero Activity data'!AO6*EF!$H37*EF!$H55)*NtoN2O*kgtoGg,"ERROR"))</f>
        <v>0.26499492947399811</v>
      </c>
      <c r="W1100" s="100">
        <f>IF('Net zero activities &amp; levers'!$C$14="Off",('Activity data'!AP6*EF!$H37*EF!$H55)*NtoN2O*kgtoGg,IF('Net zero activities &amp; levers'!$C$14="On",('Net zero Activity data'!AP6*EF!$H37*EF!$H55)*NtoN2O*kgtoGg,"ERROR"))</f>
        <v>0.26741018753450635</v>
      </c>
      <c r="X1100" s="100">
        <f>IF('Net zero activities &amp; levers'!$C$14="Off",('Activity data'!AQ6*EF!$H37*EF!$H55)*NtoN2O*kgtoGg,IF('Net zero activities &amp; levers'!$C$14="On",('Net zero Activity data'!AQ6*EF!$H37*EF!$H55)*NtoN2O*kgtoGg,"ERROR"))</f>
        <v>0.26987076646084124</v>
      </c>
      <c r="Y1100" s="100">
        <f>IF('Net zero activities &amp; levers'!$C$14="Off",('Activity data'!AR6*EF!$H37*EF!$H55)*NtoN2O*kgtoGg,IF('Net zero activities &amp; levers'!$C$14="On",('Net zero Activity data'!AR6*EF!$H37*EF!$H55)*NtoN2O*kgtoGg,"ERROR"))</f>
        <v>0.27226667745924399</v>
      </c>
      <c r="Z1100" s="100">
        <f>IF('Net zero activities &amp; levers'!$C$14="Off",('Activity data'!AS6*EF!$H37*EF!$H55)*NtoN2O*kgtoGg,IF('Net zero activities &amp; levers'!$C$14="On",('Net zero Activity data'!AS6*EF!$H37*EF!$H55)*NtoN2O*kgtoGg,"ERROR"))</f>
        <v>0.27461465642044425</v>
      </c>
      <c r="AA1100" s="100">
        <f>IF('Net zero activities &amp; levers'!$C$14="Off",('Activity data'!AT6*EF!$H37*EF!$H55)*NtoN2O*kgtoGg,IF('Net zero activities &amp; levers'!$C$14="On",('Net zero Activity data'!AT6*EF!$H37*EF!$H55)*NtoN2O*kgtoGg,"ERROR"))</f>
        <v>0.27714368727467675</v>
      </c>
      <c r="AB1100" s="100">
        <f>IF('Net zero activities &amp; levers'!$C$14="Off",('Activity data'!AU6*EF!$H37*EF!$H55)*NtoN2O*kgtoGg,IF('Net zero activities &amp; levers'!$C$14="On",('Net zero Activity data'!AU6*EF!$H37*EF!$H55)*NtoN2O*kgtoGg,"ERROR"))</f>
        <v>0.2795386297811987</v>
      </c>
      <c r="AC1100" s="100">
        <f>IF('Net zero activities &amp; levers'!$C$14="Off",('Activity data'!AV6*EF!$H37*EF!$H55)*NtoN2O*kgtoGg,IF('Net zero activities &amp; levers'!$C$14="On",('Net zero Activity data'!AV6*EF!$H37*EF!$H55)*NtoN2O*kgtoGg,"ERROR"))</f>
        <v>0.2820194772063051</v>
      </c>
      <c r="AD1100" s="100">
        <f>IF('Net zero activities &amp; levers'!$C$14="Off",('Activity data'!AW6*EF!$H37*EF!$H55)*NtoN2O*kgtoGg,IF('Net zero activities &amp; levers'!$C$14="On",('Net zero Activity data'!AW6*EF!$H37*EF!$H55)*NtoN2O*kgtoGg,"ERROR"))</f>
        <v>0.28486974451894415</v>
      </c>
      <c r="AE1100" s="100">
        <f>IF('Net zero activities &amp; levers'!$C$14="Off",('Activity data'!AX6*EF!$H37*EF!$H55)*NtoN2O*kgtoGg,IF('Net zero activities &amp; levers'!$C$14="On",('Net zero Activity data'!AX6*EF!$H37*EF!$H55)*NtoN2O*kgtoGg,"ERROR"))</f>
        <v>0.28797398524057027</v>
      </c>
      <c r="AF1100" s="100">
        <f>IF('Net zero activities &amp; levers'!$C$14="Off",('Activity data'!AY6*EF!$H37*EF!$H55)*NtoN2O*kgtoGg,IF('Net zero activities &amp; levers'!$C$14="On",('Net zero Activity data'!AY6*EF!$H37*EF!$H55)*NtoN2O*kgtoGg,"ERROR"))</f>
        <v>0.2912014404818154</v>
      </c>
      <c r="AG1100" s="100">
        <f>IF('Net zero activities &amp; levers'!$C$14="Off",('Activity data'!AZ6*EF!$H37*EF!$H55)*NtoN2O*kgtoGg,IF('Net zero activities &amp; levers'!$C$14="On",('Net zero Activity data'!AZ6*EF!$H37*EF!$H55)*NtoN2O*kgtoGg,"ERROR"))</f>
        <v>0.29165226665654759</v>
      </c>
      <c r="AH1100" s="100">
        <f>IF('Net zero activities &amp; levers'!$C$14="Off",('Activity data'!BA6*EF!$H37*EF!$H55)*NtoN2O*kgtoGg,IF('Net zero activities &amp; levers'!$C$14="On",('Net zero Activity data'!BA6*EF!$H37*EF!$H55)*NtoN2O*kgtoGg,"ERROR"))</f>
        <v>0.1561477780693053</v>
      </c>
      <c r="AI1100" s="100">
        <f>IF('Net zero activities &amp; levers'!$C$14="Off",('Activity data'!BB6*EF!$H37*EF!$H55)*NtoN2O*kgtoGg,IF('Net zero activities &amp; levers'!$C$14="On",('Net zero Activity data'!BB6*EF!$H37*EF!$H55)*NtoN2O*kgtoGg,"ERROR"))</f>
        <v>0.15626262380689576</v>
      </c>
      <c r="AJ1100" s="100">
        <f>IF('Net zero activities &amp; levers'!$C$14="Off",('Activity data'!BC6*EF!$H37*EF!$H55)*NtoN2O*kgtoGg,IF('Net zero activities &amp; levers'!$C$14="On",('Net zero Activity data'!BC6*EF!$H37*EF!$H55)*NtoN2O*kgtoGg,"ERROR"))</f>
        <v>0.1563925559189292</v>
      </c>
      <c r="AK1100" s="100">
        <f>IF('Net zero activities &amp; levers'!$C$14="Off",('Activity data'!BD6*EF!$H37*EF!$H55)*NtoN2O*kgtoGg,IF('Net zero activities &amp; levers'!$C$14="On",('Net zero Activity data'!BD6*EF!$H37*EF!$H55)*NtoN2O*kgtoGg,"ERROR"))</f>
        <v>0.1565370009777648</v>
      </c>
      <c r="AL1100" s="100">
        <f>IF('Net zero activities &amp; levers'!$C$14="Off",('Activity data'!BE6*EF!$H37*EF!$H55)*NtoN2O*kgtoGg,IF('Net zero activities &amp; levers'!$C$14="On",('Net zero Activity data'!BE6*EF!$H37*EF!$H55)*NtoN2O*kgtoGg,"ERROR"))</f>
        <v>0.15669542971889827</v>
      </c>
      <c r="AM1100" s="100">
        <f>IF('Net zero activities &amp; levers'!$C$14="Off",('Activity data'!BF6*EF!$H37*EF!$H55)*NtoN2O*kgtoGg,IF('Net zero activities &amp; levers'!$C$14="On",('Net zero Activity data'!BF6*EF!$H37*EF!$H55)*NtoN2O*kgtoGg,"ERROR"))</f>
        <v>0.156867352855042</v>
      </c>
      <c r="AN1100" s="100">
        <f>IF('Net zero activities &amp; levers'!$C$14="Off",('Activity data'!BG6*EF!$H37*EF!$H55)*NtoN2O*kgtoGg,IF('Net zero activities &amp; levers'!$C$14="On",('Net zero Activity data'!BG6*EF!$H37*EF!$H55)*NtoN2O*kgtoGg,"ERROR"))</f>
        <v>0.15694137090189544</v>
      </c>
      <c r="AO1100" s="100">
        <f>IF('Net zero activities &amp; levers'!$C$14="Off",('Activity data'!BH6*EF!$H37*EF!$H55)*NtoN2O*kgtoGg,IF('Net zero activities &amp; levers'!$C$14="On",('Net zero Activity data'!BH6*EF!$H37*EF!$H55)*NtoN2O*kgtoGg,"ERROR"))</f>
        <v>0.15702727262396923</v>
      </c>
      <c r="AP1100" s="100">
        <f>IF('Net zero activities &amp; levers'!$C$14="Off",('Activity data'!BI6*EF!$H37*EF!$H55)*NtoN2O*kgtoGg,IF('Net zero activities &amp; levers'!$C$14="On",('Net zero Activity data'!BI6*EF!$H37*EF!$H55)*NtoN2O*kgtoGg,"ERROR"))</f>
        <v>0.15712464296102122</v>
      </c>
      <c r="AQ1100" s="100">
        <f>IF('Net zero activities &amp; levers'!$C$14="Off",('Activity data'!BJ6*EF!$H37*EF!$H55)*NtoN2O*kgtoGg,IF('Net zero activities &amp; levers'!$C$14="On",('Net zero Activity data'!BJ6*EF!$H37*EF!$H55)*NtoN2O*kgtoGg,"ERROR"))</f>
        <v>0.15723309517518419</v>
      </c>
      <c r="AR1100" s="100">
        <f>IF('Net zero activities &amp; levers'!$C$14="Off",('Activity data'!BK6*EF!$H37*EF!$H55)*NtoN2O*kgtoGg,IF('Net zero activities &amp; levers'!$C$14="On",('Net zero Activity data'!BK6*EF!$H37*EF!$H55)*NtoN2O*kgtoGg,"ERROR"))</f>
        <v>0.15735226844758546</v>
      </c>
      <c r="AS1100" s="100">
        <f>IF('Net zero activities &amp; levers'!$C$14="Off",('Activity data'!BL6*EF!$H37*EF!$H55)*NtoN2O*kgtoGg,IF('Net zero activities &amp; levers'!$C$14="On",('Net zero Activity data'!BL6*EF!$H37*EF!$H55)*NtoN2O*kgtoGg,"ERROR"))</f>
        <v>0.15736968376752411</v>
      </c>
      <c r="AT1100" s="100">
        <f>IF('Net zero activities &amp; levers'!$C$14="Off",('Activity data'!BM6*EF!$H37*EF!$H55)*NtoN2O*kgtoGg,IF('Net zero activities &amp; levers'!$C$14="On",('Net zero Activity data'!BM6*EF!$H37*EF!$H55)*NtoN2O*kgtoGg,"ERROR"))</f>
        <v>0.15739660357120949</v>
      </c>
      <c r="AU1100" s="100">
        <f>IF('Net zero activities &amp; levers'!$C$14="Off",('Activity data'!BN6*EF!$H37*EF!$H55)*NtoN2O*kgtoGg,IF('Net zero activities &amp; levers'!$C$14="On",('Net zero Activity data'!BN6*EF!$H37*EF!$H55)*NtoN2O*kgtoGg,"ERROR"))</f>
        <v>0.15743271283084972</v>
      </c>
      <c r="AV1100" s="100">
        <f>IF('Net zero activities &amp; levers'!$C$14="Off",('Activity data'!BO6*EF!$H37*EF!$H55)*NtoN2O*kgtoGg,IF('Net zero activities &amp; levers'!$C$14="On",('Net zero Activity data'!BO6*EF!$H37*EF!$H55)*NtoN2O*kgtoGg,"ERROR"))</f>
        <v>0.15747771570986671</v>
      </c>
      <c r="AW1100" s="100">
        <f>IF('Net zero activities &amp; levers'!$C$14="Off",('Activity data'!BP6*EF!$H37*EF!$H55)*NtoN2O*kgtoGg,IF('Net zero activities &amp; levers'!$C$14="On",('Net zero Activity data'!BP6*EF!$H37*EF!$H55)*NtoN2O*kgtoGg,"ERROR"))</f>
        <v>0.15753133408865197</v>
      </c>
      <c r="AY1100" s="85"/>
    </row>
    <row r="1101" spans="1:51" x14ac:dyDescent="0.25">
      <c r="A1101" s="102" t="str">
        <f t="shared" si="374"/>
        <v>CM Cattle MMN2O</v>
      </c>
      <c r="B1101" s="102" t="s">
        <v>1323</v>
      </c>
      <c r="C1101" s="102" t="s">
        <v>1233</v>
      </c>
      <c r="D1101" t="s">
        <v>15</v>
      </c>
      <c r="E1101" t="s">
        <v>657</v>
      </c>
      <c r="F1101" t="s">
        <v>67</v>
      </c>
      <c r="G1101" t="s">
        <v>307</v>
      </c>
      <c r="H1101" t="s">
        <v>1228</v>
      </c>
      <c r="I1101" t="s">
        <v>139</v>
      </c>
      <c r="J1101" t="s">
        <v>287</v>
      </c>
      <c r="K1101" s="100">
        <f>IF('Net zero activities &amp; levers'!$C$14="Off",('Activity data'!AD7*EF!$H38*EF!$H56)*NtoN2O*kgtoGg,IF('Net zero activities &amp; levers'!$C$14="On",('Net zero Activity data'!AD7*EF!$H38*EF!$H56)*NtoN2O*kgtoGg,"ERROR"))</f>
        <v>1.1607933720950987E-2</v>
      </c>
      <c r="L1101" s="100">
        <f>IF('Net zero activities &amp; levers'!$C$14="Off",('Activity data'!AE7*EF!$H38*EF!$H56)*NtoN2O*kgtoGg,IF('Net zero activities &amp; levers'!$C$14="On",('Net zero Activity data'!AE7*EF!$H38*EF!$H56)*NtoN2O*kgtoGg,"ERROR"))</f>
        <v>1.1680137026746603E-2</v>
      </c>
      <c r="M1101" s="100">
        <f>IF('Net zero activities &amp; levers'!$C$14="Off",('Activity data'!AF7*EF!$H38*EF!$H56)*NtoN2O*kgtoGg,IF('Net zero activities &amp; levers'!$C$14="On",('Net zero Activity data'!AF7*EF!$H38*EF!$H56)*NtoN2O*kgtoGg,"ERROR"))</f>
        <v>1.1729777794116936E-2</v>
      </c>
      <c r="N1101" s="100">
        <f>IF('Net zero activities &amp; levers'!$C$14="Off",('Activity data'!AG7*EF!$H38*EF!$H56)*NtoN2O*kgtoGg,IF('Net zero activities &amp; levers'!$C$14="On",('Net zero Activity data'!AG7*EF!$H38*EF!$H56)*NtoN2O*kgtoGg,"ERROR"))</f>
        <v>1.1745345869497372E-2</v>
      </c>
      <c r="O1101" s="100">
        <f>IF('Net zero activities &amp; levers'!$C$14="Off",('Activity data'!AH7*EF!$H38*EF!$H56)*NtoN2O*kgtoGg,IF('Net zero activities &amp; levers'!$C$14="On",('Net zero Activity data'!AH7*EF!$H38*EF!$H56)*NtoN2O*kgtoGg,"ERROR"))</f>
        <v>1.1766407152445642E-2</v>
      </c>
      <c r="P1101" s="100">
        <f>IF('Net zero activities &amp; levers'!$C$14="Off",('Activity data'!AI7*EF!$H38*EF!$H56)*NtoN2O*kgtoGg,IF('Net zero activities &amp; levers'!$C$14="On",('Net zero Activity data'!AI7*EF!$H38*EF!$H56)*NtoN2O*kgtoGg,"ERROR"))</f>
        <v>1.1812539363733939E-2</v>
      </c>
      <c r="Q1101" s="100">
        <f>IF('Net zero activities &amp; levers'!$C$14="Off",('Activity data'!AJ7*EF!$H38*EF!$H56)*NtoN2O*kgtoGg,IF('Net zero activities &amp; levers'!$C$14="On",('Net zero Activity data'!AJ7*EF!$H38*EF!$H56)*NtoN2O*kgtoGg,"ERROR"))</f>
        <v>1.186784720575243E-2</v>
      </c>
      <c r="R1101" s="100">
        <f>IF('Net zero activities &amp; levers'!$C$14="Off",('Activity data'!AK7*EF!$H38*EF!$H56)*NtoN2O*kgtoGg,IF('Net zero activities &amp; levers'!$C$14="On",('Net zero Activity data'!AK7*EF!$H38*EF!$H56)*NtoN2O*kgtoGg,"ERROR"))</f>
        <v>1.1884462258421965E-2</v>
      </c>
      <c r="S1101" s="100">
        <f>IF('Net zero activities &amp; levers'!$C$14="Off",('Activity data'!AL7*EF!$H38*EF!$H56)*NtoN2O*kgtoGg,IF('Net zero activities &amp; levers'!$C$14="On",('Net zero Activity data'!AL7*EF!$H38*EF!$H56)*NtoN2O*kgtoGg,"ERROR"))</f>
        <v>1.1519611936520126E-2</v>
      </c>
      <c r="T1101" s="100">
        <f>IF('Net zero activities &amp; levers'!$C$14="Off",('Activity data'!AM7*EF!$H38*EF!$H56)*NtoN2O*kgtoGg,IF('Net zero activities &amp; levers'!$C$14="On",('Net zero Activity data'!AM7*EF!$H38*EF!$H56)*NtoN2O*kgtoGg,"ERROR"))</f>
        <v>1.1614495099449744E-2</v>
      </c>
      <c r="U1101" s="100">
        <f>IF('Net zero activities &amp; levers'!$C$14="Off",('Activity data'!AN7*EF!$H38*EF!$H56)*NtoN2O*kgtoGg,IF('Net zero activities &amp; levers'!$C$14="On",('Net zero Activity data'!AN7*EF!$H38*EF!$H56)*NtoN2O*kgtoGg,"ERROR"))</f>
        <v>1.1701500265257389E-2</v>
      </c>
      <c r="V1101" s="100">
        <f>IF('Net zero activities &amp; levers'!$C$14="Off",('Activity data'!AO7*EF!$H38*EF!$H56)*NtoN2O*kgtoGg,IF('Net zero activities &amp; levers'!$C$14="On",('Net zero Activity data'!AO7*EF!$H38*EF!$H56)*NtoN2O*kgtoGg,"ERROR"))</f>
        <v>1.1790709552182964E-2</v>
      </c>
      <c r="W1101" s="100">
        <f>IF('Net zero activities &amp; levers'!$C$14="Off",('Activity data'!AP7*EF!$H38*EF!$H56)*NtoN2O*kgtoGg,IF('Net zero activities &amp; levers'!$C$14="On",('Net zero Activity data'!AP7*EF!$H38*EF!$H56)*NtoN2O*kgtoGg,"ERROR"))</f>
        <v>1.189817427364593E-2</v>
      </c>
      <c r="X1101" s="100">
        <f>IF('Net zero activities &amp; levers'!$C$14="Off",('Activity data'!AQ7*EF!$H38*EF!$H56)*NtoN2O*kgtoGg,IF('Net zero activities &amp; levers'!$C$14="On",('Net zero Activity data'!AQ7*EF!$H38*EF!$H56)*NtoN2O*kgtoGg,"ERROR"))</f>
        <v>1.2007655506016015E-2</v>
      </c>
      <c r="Y1101" s="100">
        <f>IF('Net zero activities &amp; levers'!$C$14="Off",('Activity data'!AR7*EF!$H38*EF!$H56)*NtoN2O*kgtoGg,IF('Net zero activities &amp; levers'!$C$14="On",('Net zero Activity data'!AR7*EF!$H38*EF!$H56)*NtoN2O*kgtoGg,"ERROR"))</f>
        <v>1.2114259397460733E-2</v>
      </c>
      <c r="Z1101" s="100">
        <f>IF('Net zero activities &amp; levers'!$C$14="Off",('Activity data'!AS7*EF!$H38*EF!$H56)*NtoN2O*kgtoGg,IF('Net zero activities &amp; levers'!$C$14="On",('Net zero Activity data'!AS7*EF!$H38*EF!$H56)*NtoN2O*kgtoGg,"ERROR"))</f>
        <v>1.221873059629122E-2</v>
      </c>
      <c r="AA1101" s="100">
        <f>IF('Net zero activities &amp; levers'!$C$14="Off",('Activity data'!AT7*EF!$H38*EF!$H56)*NtoN2O*kgtoGg,IF('Net zero activities &amp; levers'!$C$14="On",('Net zero Activity data'!AT7*EF!$H38*EF!$H56)*NtoN2O*kgtoGg,"ERROR"))</f>
        <v>1.2331257535240406E-2</v>
      </c>
      <c r="AB1101" s="100">
        <f>IF('Net zero activities &amp; levers'!$C$14="Off",('Activity data'!AU7*EF!$H38*EF!$H56)*NtoN2O*kgtoGg,IF('Net zero activities &amp; levers'!$C$14="On",('Net zero Activity data'!AU7*EF!$H38*EF!$H56)*NtoN2O*kgtoGg,"ERROR"))</f>
        <v>1.2437818334515426E-2</v>
      </c>
      <c r="AC1101" s="100">
        <f>IF('Net zero activities &amp; levers'!$C$14="Off",('Activity data'!AV7*EF!$H38*EF!$H56)*NtoN2O*kgtoGg,IF('Net zero activities &amp; levers'!$C$14="On",('Net zero Activity data'!AV7*EF!$H38*EF!$H56)*NtoN2O*kgtoGg,"ERROR"))</f>
        <v>1.2548201395394263E-2</v>
      </c>
      <c r="AD1101" s="100">
        <f>IF('Net zero activities &amp; levers'!$C$14="Off",('Activity data'!AW7*EF!$H38*EF!$H56)*NtoN2O*kgtoGg,IF('Net zero activities &amp; levers'!$C$14="On",('Net zero Activity data'!AW7*EF!$H38*EF!$H56)*NtoN2O*kgtoGg,"ERROR"))</f>
        <v>1.2675021459823859E-2</v>
      </c>
      <c r="AE1101" s="100">
        <f>IF('Net zero activities &amp; levers'!$C$14="Off",('Activity data'!AX7*EF!$H38*EF!$H56)*NtoN2O*kgtoGg,IF('Net zero activities &amp; levers'!$C$14="On",('Net zero Activity data'!AX7*EF!$H38*EF!$H56)*NtoN2O*kgtoGg,"ERROR"))</f>
        <v>1.2813141841226641E-2</v>
      </c>
      <c r="AF1101" s="100">
        <f>IF('Net zero activities &amp; levers'!$C$14="Off",('Activity data'!AY7*EF!$H38*EF!$H56)*NtoN2O*kgtoGg,IF('Net zero activities &amp; levers'!$C$14="On",('Net zero Activity data'!AY7*EF!$H38*EF!$H56)*NtoN2O*kgtoGg,"ERROR"))</f>
        <v>1.2956744541164057E-2</v>
      </c>
      <c r="AG1101" s="100">
        <f>IF('Net zero activities &amp; levers'!$C$14="Off",('Activity data'!AZ7*EF!$H38*EF!$H56)*NtoN2O*kgtoGg,IF('Net zero activities &amp; levers'!$C$14="On",('Net zero Activity data'!AZ7*EF!$H38*EF!$H56)*NtoN2O*kgtoGg,"ERROR"))</f>
        <v>1.2976803643786663E-2</v>
      </c>
      <c r="AH1101" s="100">
        <f>IF('Net zero activities &amp; levers'!$C$14="Off",('Activity data'!BA7*EF!$H38*EF!$H56)*NtoN2O*kgtoGg,IF('Net zero activities &amp; levers'!$C$14="On",('Net zero Activity data'!BA7*EF!$H38*EF!$H56)*NtoN2O*kgtoGg,"ERROR"))</f>
        <v>6.9476540629980453E-3</v>
      </c>
      <c r="AI1101" s="100">
        <f>IF('Net zero activities &amp; levers'!$C$14="Off",('Activity data'!BB7*EF!$H38*EF!$H56)*NtoN2O*kgtoGg,IF('Net zero activities &amp; levers'!$C$14="On",('Net zero Activity data'!BB7*EF!$H38*EF!$H56)*NtoN2O*kgtoGg,"ERROR"))</f>
        <v>6.9527640201505212E-3</v>
      </c>
      <c r="AJ1101" s="100">
        <f>IF('Net zero activities &amp; levers'!$C$14="Off",('Activity data'!BC7*EF!$H38*EF!$H56)*NtoN2O*kgtoGg,IF('Net zero activities &amp; levers'!$C$14="On",('Net zero Activity data'!BC7*EF!$H38*EF!$H56)*NtoN2O*kgtoGg,"ERROR"))</f>
        <v>6.9585452318798495E-3</v>
      </c>
      <c r="AK1101" s="100">
        <f>IF('Net zero activities &amp; levers'!$C$14="Off",('Activity data'!BD7*EF!$H38*EF!$H56)*NtoN2O*kgtoGg,IF('Net zero activities &amp; levers'!$C$14="On",('Net zero Activity data'!BD7*EF!$H38*EF!$H56)*NtoN2O*kgtoGg,"ERROR"))</f>
        <v>6.9649721840421407E-3</v>
      </c>
      <c r="AL1101" s="100">
        <f>IF('Net zero activities &amp; levers'!$C$14="Off",('Activity data'!BE7*EF!$H38*EF!$H56)*NtoN2O*kgtoGg,IF('Net zero activities &amp; levers'!$C$14="On",('Net zero Activity data'!BE7*EF!$H38*EF!$H56)*NtoN2O*kgtoGg,"ERROR"))</f>
        <v>6.9720213274922825E-3</v>
      </c>
      <c r="AM1101" s="100">
        <f>IF('Net zero activities &amp; levers'!$C$14="Off",('Activity data'!BF7*EF!$H38*EF!$H56)*NtoN2O*kgtoGg,IF('Net zero activities &amp; levers'!$C$14="On",('Net zero Activity data'!BF7*EF!$H38*EF!$H56)*NtoN2O*kgtoGg,"ERROR"))</f>
        <v>6.9796708918352492E-3</v>
      </c>
      <c r="AN1101" s="100">
        <f>IF('Net zero activities &amp; levers'!$C$14="Off",('Activity data'!BG7*EF!$H38*EF!$H56)*NtoN2O*kgtoGg,IF('Net zero activities &amp; levers'!$C$14="On",('Net zero Activity data'!BG7*EF!$H38*EF!$H56)*NtoN2O*kgtoGg,"ERROR"))</f>
        <v>6.9829642578396519E-3</v>
      </c>
      <c r="AO1101" s="100">
        <f>IF('Net zero activities &amp; levers'!$C$14="Off",('Activity data'!BH7*EF!$H38*EF!$H56)*NtoN2O*kgtoGg,IF('Net zero activities &amp; levers'!$C$14="On",('Net zero Activity data'!BH7*EF!$H38*EF!$H56)*NtoN2O*kgtoGg,"ERROR"))</f>
        <v>6.986786377217614E-3</v>
      </c>
      <c r="AP1101" s="100">
        <f>IF('Net zero activities &amp; levers'!$C$14="Off",('Activity data'!BI7*EF!$H38*EF!$H56)*NtoN2O*kgtoGg,IF('Net zero activities &amp; levers'!$C$14="On",('Net zero Activity data'!BI7*EF!$H38*EF!$H56)*NtoN2O*kgtoGg,"ERROR"))</f>
        <v>6.9911187822393143E-3</v>
      </c>
      <c r="AQ1101" s="100">
        <f>IF('Net zero activities &amp; levers'!$C$14="Off",('Activity data'!BJ7*EF!$H38*EF!$H56)*NtoN2O*kgtoGg,IF('Net zero activities &amp; levers'!$C$14="On",('Net zero Activity data'!BJ7*EF!$H38*EF!$H56)*NtoN2O*kgtoGg,"ERROR"))</f>
        <v>6.9959442653533691E-3</v>
      </c>
      <c r="AR1101" s="100">
        <f>IF('Net zero activities &amp; levers'!$C$14="Off",('Activity data'!BK7*EF!$H38*EF!$H56)*NtoN2O*kgtoGg,IF('Net zero activities &amp; levers'!$C$14="On",('Net zero Activity data'!BK7*EF!$H38*EF!$H56)*NtoN2O*kgtoGg,"ERROR"))</f>
        <v>7.0012467722505977E-3</v>
      </c>
      <c r="AS1101" s="100">
        <f>IF('Net zero activities &amp; levers'!$C$14="Off",('Activity data'!BL7*EF!$H38*EF!$H56)*NtoN2O*kgtoGg,IF('Net zero activities &amp; levers'!$C$14="On",('Net zero Activity data'!BL7*EF!$H38*EF!$H56)*NtoN2O*kgtoGg,"ERROR"))</f>
        <v>7.0020216511494588E-3</v>
      </c>
      <c r="AT1101" s="100">
        <f>IF('Net zero activities &amp; levers'!$C$14="Off",('Activity data'!BM7*EF!$H38*EF!$H56)*NtoN2O*kgtoGg,IF('Net zero activities &amp; levers'!$C$14="On",('Net zero Activity data'!BM7*EF!$H38*EF!$H56)*NtoN2O*kgtoGg,"ERROR"))</f>
        <v>7.00321942345056E-3</v>
      </c>
      <c r="AU1101" s="100">
        <f>IF('Net zero activities &amp; levers'!$C$14="Off",('Activity data'!BN7*EF!$H38*EF!$H56)*NtoN2O*kgtoGg,IF('Net zero activities &amp; levers'!$C$14="On",('Net zero Activity data'!BN7*EF!$H38*EF!$H56)*NtoN2O*kgtoGg,"ERROR"))</f>
        <v>7.0048260722774189E-3</v>
      </c>
      <c r="AV1101" s="100">
        <f>IF('Net zero activities &amp; levers'!$C$14="Off",('Activity data'!BO7*EF!$H38*EF!$H56)*NtoN2O*kgtoGg,IF('Net zero activities &amp; levers'!$C$14="On",('Net zero Activity data'!BO7*EF!$H38*EF!$H56)*NtoN2O*kgtoGg,"ERROR"))</f>
        <v>7.0068284346492373E-3</v>
      </c>
      <c r="AW1101" s="100">
        <f>IF('Net zero activities &amp; levers'!$C$14="Off",('Activity data'!BP7*EF!$H38*EF!$H56)*NtoN2O*kgtoGg,IF('Net zero activities &amp; levers'!$C$14="On",('Net zero Activity data'!BP7*EF!$H38*EF!$H56)*NtoN2O*kgtoGg,"ERROR"))</f>
        <v>7.0092141358857468E-3</v>
      </c>
      <c r="AY1101" s="85"/>
    </row>
    <row r="1102" spans="1:51" x14ac:dyDescent="0.25">
      <c r="A1102" s="102" t="str">
        <f t="shared" si="374"/>
        <v>CM Cattle MMN2O</v>
      </c>
      <c r="B1102" s="102" t="s">
        <v>1323</v>
      </c>
      <c r="C1102" s="102" t="s">
        <v>1233</v>
      </c>
      <c r="D1102" t="s">
        <v>15</v>
      </c>
      <c r="E1102" t="s">
        <v>657</v>
      </c>
      <c r="F1102" t="s">
        <v>67</v>
      </c>
      <c r="G1102" t="s">
        <v>122</v>
      </c>
      <c r="H1102" t="s">
        <v>1228</v>
      </c>
      <c r="I1102" t="s">
        <v>139</v>
      </c>
      <c r="J1102" t="s">
        <v>287</v>
      </c>
      <c r="K1102" s="100">
        <f>IF('Net zero activities &amp; levers'!$C$14="Off",('Activity data'!AD8*EF!$H39*EF!$H57)*NtoN2O*kgtoGg,IF('Net zero activities &amp; levers'!$C$14="On",('Net zero Activity data'!AD8*EF!$H39*EF!$H57)*NtoN2O*kgtoGg,"ERROR"))</f>
        <v>0.52988033061170758</v>
      </c>
      <c r="L1102" s="100">
        <f>IF('Net zero activities &amp; levers'!$C$14="Off",('Activity data'!AE8*EF!$H39*EF!$H57)*NtoN2O*kgtoGg,IF('Net zero activities &amp; levers'!$C$14="On",('Net zero Activity data'!AE8*EF!$H39*EF!$H57)*NtoN2O*kgtoGg,"ERROR"))</f>
        <v>0.52636805175151047</v>
      </c>
      <c r="M1102" s="100">
        <f>IF('Net zero activities &amp; levers'!$C$14="Off",('Activity data'!AF8*EF!$H39*EF!$H57)*NtoN2O*kgtoGg,IF('Net zero activities &amp; levers'!$C$14="On",('Net zero Activity data'!AF8*EF!$H39*EF!$H57)*NtoN2O*kgtoGg,"ERROR"))</f>
        <v>0.51896264714173934</v>
      </c>
      <c r="N1102" s="100">
        <f>IF('Net zero activities &amp; levers'!$C$14="Off",('Activity data'!AG8*EF!$H39*EF!$H57)*NtoN2O*kgtoGg,IF('Net zero activities &amp; levers'!$C$14="On",('Net zero Activity data'!AG8*EF!$H39*EF!$H57)*NtoN2O*kgtoGg,"ERROR"))</f>
        <v>0.50647981142977161</v>
      </c>
      <c r="O1102" s="100">
        <f>IF('Net zero activities &amp; levers'!$C$14="Off",('Activity data'!AH8*EF!$H39*EF!$H57)*NtoN2O*kgtoGg,IF('Net zero activities &amp; levers'!$C$14="On",('Net zero Activity data'!AH8*EF!$H39*EF!$H57)*NtoN2O*kgtoGg,"ERROR"))</f>
        <v>0.4943686614451126</v>
      </c>
      <c r="P1102" s="100">
        <f>IF('Net zero activities &amp; levers'!$C$14="Off",('Activity data'!AI8*EF!$H39*EF!$H57)*NtoN2O*kgtoGg,IF('Net zero activities &amp; levers'!$C$14="On",('Net zero Activity data'!AI8*EF!$H39*EF!$H57)*NtoN2O*kgtoGg,"ERROR"))</f>
        <v>0.48505348723916247</v>
      </c>
      <c r="Q1102" s="100">
        <f>IF('Net zero activities &amp; levers'!$C$14="Off",('Activity data'!AJ8*EF!$H39*EF!$H57)*NtoN2O*kgtoGg,IF('Net zero activities &amp; levers'!$C$14="On",('Net zero Activity data'!AJ8*EF!$H39*EF!$H57)*NtoN2O*kgtoGg,"ERROR"))</f>
        <v>0.47662784045454271</v>
      </c>
      <c r="R1102" s="100">
        <f>IF('Net zero activities &amp; levers'!$C$14="Off",('Activity data'!AK8*EF!$H39*EF!$H57)*NtoN2O*kgtoGg,IF('Net zero activities &amp; levers'!$C$14="On",('Net zero Activity data'!AK8*EF!$H39*EF!$H57)*NtoN2O*kgtoGg,"ERROR"))</f>
        <v>0.46338055897739389</v>
      </c>
      <c r="S1102" s="100">
        <f>IF('Net zero activities &amp; levers'!$C$14="Off",('Activity data'!AL8*EF!$H39*EF!$H57)*NtoN2O*kgtoGg,IF('Net zero activities &amp; levers'!$C$14="On",('Net zero Activity data'!AL8*EF!$H39*EF!$H57)*NtoN2O*kgtoGg,"ERROR"))</f>
        <v>0.40641283743592205</v>
      </c>
      <c r="T1102" s="100">
        <f>IF('Net zero activities &amp; levers'!$C$14="Off",('Activity data'!AM8*EF!$H39*EF!$H57)*NtoN2O*kgtoGg,IF('Net zero activities &amp; levers'!$C$14="On",('Net zero Activity data'!AM8*EF!$H39*EF!$H57)*NtoN2O*kgtoGg,"ERROR"))</f>
        <v>0.41028660340184542</v>
      </c>
      <c r="U1102" s="100">
        <f>IF('Net zero activities &amp; levers'!$C$14="Off",('Activity data'!AN8*EF!$H39*EF!$H57)*NtoN2O*kgtoGg,IF('Net zero activities &amp; levers'!$C$14="On",('Net zero Activity data'!AN8*EF!$H39*EF!$H57)*NtoN2O*kgtoGg,"ERROR"))</f>
        <v>0.41290787540039242</v>
      </c>
      <c r="V1102" s="100">
        <f>IF('Net zero activities &amp; levers'!$C$14="Off",('Activity data'!AO8*EF!$H39*EF!$H57)*NtoN2O*kgtoGg,IF('Net zero activities &amp; levers'!$C$14="On",('Net zero Activity data'!AO8*EF!$H39*EF!$H57)*NtoN2O*kgtoGg,"ERROR"))</f>
        <v>0.41544388868051429</v>
      </c>
      <c r="W1102" s="100">
        <f>IF('Net zero activities &amp; levers'!$C$14="Off",('Activity data'!AP8*EF!$H39*EF!$H57)*NtoN2O*kgtoGg,IF('Net zero activities &amp; levers'!$C$14="On",('Net zero Activity data'!AP8*EF!$H39*EF!$H57)*NtoN2O*kgtoGg,"ERROR"))</f>
        <v>0.41963784467016801</v>
      </c>
      <c r="X1102" s="100">
        <f>IF('Net zero activities &amp; levers'!$C$14="Off",('Activity data'!AQ8*EF!$H39*EF!$H57)*NtoN2O*kgtoGg,IF('Net zero activities &amp; levers'!$C$14="On",('Net zero Activity data'!AQ8*EF!$H39*EF!$H57)*NtoN2O*kgtoGg,"ERROR"))</f>
        <v>0.42369357816507769</v>
      </c>
      <c r="Y1102" s="100">
        <f>IF('Net zero activities &amp; levers'!$C$14="Off",('Activity data'!AR8*EF!$H39*EF!$H57)*NtoN2O*kgtoGg,IF('Net zero activities &amp; levers'!$C$14="On",('Net zero Activity data'!AR8*EF!$H39*EF!$H57)*NtoN2O*kgtoGg,"ERROR"))</f>
        <v>0.42795148955175888</v>
      </c>
      <c r="Z1102" s="100">
        <f>IF('Net zero activities &amp; levers'!$C$14="Off",('Activity data'!AS8*EF!$H39*EF!$H57)*NtoN2O*kgtoGg,IF('Net zero activities &amp; levers'!$C$14="On",('Net zero Activity data'!AS8*EF!$H39*EF!$H57)*NtoN2O*kgtoGg,"ERROR"))</f>
        <v>0.43165837799817441</v>
      </c>
      <c r="AA1102" s="100">
        <f>IF('Net zero activities &amp; levers'!$C$14="Off",('Activity data'!AT8*EF!$H39*EF!$H57)*NtoN2O*kgtoGg,IF('Net zero activities &amp; levers'!$C$14="On",('Net zero Activity data'!AT8*EF!$H39*EF!$H57)*NtoN2O*kgtoGg,"ERROR"))</f>
        <v>0.43587731971405297</v>
      </c>
      <c r="AB1102" s="100">
        <f>IF('Net zero activities &amp; levers'!$C$14="Off",('Activity data'!AU8*EF!$H39*EF!$H57)*NtoN2O*kgtoGg,IF('Net zero activities &amp; levers'!$C$14="On",('Net zero Activity data'!AU8*EF!$H39*EF!$H57)*NtoN2O*kgtoGg,"ERROR"))</f>
        <v>0.43917878455229692</v>
      </c>
      <c r="AC1102" s="100">
        <f>IF('Net zero activities &amp; levers'!$C$14="Off",('Activity data'!AV8*EF!$H39*EF!$H57)*NtoN2O*kgtoGg,IF('Net zero activities &amp; levers'!$C$14="On",('Net zero Activity data'!AV8*EF!$H39*EF!$H57)*NtoN2O*kgtoGg,"ERROR"))</f>
        <v>0.44257083604017933</v>
      </c>
      <c r="AD1102" s="100">
        <f>IF('Net zero activities &amp; levers'!$C$14="Off",('Activity data'!AW8*EF!$H39*EF!$H57)*NtoN2O*kgtoGg,IF('Net zero activities &amp; levers'!$C$14="On",('Net zero Activity data'!AW8*EF!$H39*EF!$H57)*NtoN2O*kgtoGg,"ERROR"))</f>
        <v>0.44415072955507112</v>
      </c>
      <c r="AE1102" s="100">
        <f>IF('Net zero activities &amp; levers'!$C$14="Off",('Activity data'!AX8*EF!$H39*EF!$H57)*NtoN2O*kgtoGg,IF('Net zero activities &amp; levers'!$C$14="On",('Net zero Activity data'!AX8*EF!$H39*EF!$H57)*NtoN2O*kgtoGg,"ERROR"))</f>
        <v>0.44631708410431642</v>
      </c>
      <c r="AF1102" s="100">
        <f>IF('Net zero activities &amp; levers'!$C$14="Off",('Activity data'!AY8*EF!$H39*EF!$H57)*NtoN2O*kgtoGg,IF('Net zero activities &amp; levers'!$C$14="On",('Net zero Activity data'!AY8*EF!$H39*EF!$H57)*NtoN2O*kgtoGg,"ERROR"))</f>
        <v>0.44847507790025098</v>
      </c>
      <c r="AG1102" s="100">
        <f>IF('Net zero activities &amp; levers'!$C$14="Off",('Activity data'!AZ8*EF!$H39*EF!$H57)*NtoN2O*kgtoGg,IF('Net zero activities &amp; levers'!$C$14="On",('Net zero Activity data'!AZ8*EF!$H39*EF!$H57)*NtoN2O*kgtoGg,"ERROR"))</f>
        <v>0.43896382192914674</v>
      </c>
      <c r="AH1102" s="100">
        <f>IF('Net zero activities &amp; levers'!$C$14="Off",('Activity data'!BA8*EF!$H39*EF!$H57)*NtoN2O*kgtoGg,IF('Net zero activities &amp; levers'!$C$14="On",('Net zero Activity data'!BA8*EF!$H39*EF!$H57)*NtoN2O*kgtoGg,"ERROR"))</f>
        <v>-0.10354549398732707</v>
      </c>
      <c r="AI1102" s="100">
        <f>IF('Net zero activities &amp; levers'!$C$14="Off",('Activity data'!BB8*EF!$H39*EF!$H57)*NtoN2O*kgtoGg,IF('Net zero activities &amp; levers'!$C$14="On",('Net zero Activity data'!BB8*EF!$H39*EF!$H57)*NtoN2O*kgtoGg,"ERROR"))</f>
        <v>-0.10114359865651981</v>
      </c>
      <c r="AJ1102" s="100">
        <f>IF('Net zero activities &amp; levers'!$C$14="Off",('Activity data'!BC8*EF!$H39*EF!$H57)*NtoN2O*kgtoGg,IF('Net zero activities &amp; levers'!$C$14="On",('Net zero Activity data'!BC8*EF!$H39*EF!$H57)*NtoN2O*kgtoGg,"ERROR"))</f>
        <v>-9.8779900999145701E-2</v>
      </c>
      <c r="AK1102" s="100">
        <f>IF('Net zero activities &amp; levers'!$C$14="Off",('Activity data'!BD8*EF!$H39*EF!$H57)*NtoN2O*kgtoGg,IF('Net zero activities &amp; levers'!$C$14="On",('Net zero Activity data'!BD8*EF!$H39*EF!$H57)*NtoN2O*kgtoGg,"ERROR"))</f>
        <v>-9.645240042559923E-2</v>
      </c>
      <c r="AL1102" s="100">
        <f>IF('Net zero activities &amp; levers'!$C$14="Off",('Activity data'!BE8*EF!$H39*EF!$H57)*NtoN2O*kgtoGg,IF('Net zero activities &amp; levers'!$C$14="On",('Net zero Activity data'!BE8*EF!$H39*EF!$H57)*NtoN2O*kgtoGg,"ERROR"))</f>
        <v>-9.4159234659003305E-2</v>
      </c>
      <c r="AM1102" s="100">
        <f>IF('Net zero activities &amp; levers'!$C$14="Off",('Activity data'!BF8*EF!$H39*EF!$H57)*NtoN2O*kgtoGg,IF('Net zero activities &amp; levers'!$C$14="On",('Net zero Activity data'!BF8*EF!$H39*EF!$H57)*NtoN2O*kgtoGg,"ERROR"))</f>
        <v>-9.1898666918572763E-2</v>
      </c>
      <c r="AN1102" s="100">
        <f>IF('Net zero activities &amp; levers'!$C$14="Off",('Activity data'!BG8*EF!$H39*EF!$H57)*NtoN2O*kgtoGg,IF('Net zero activities &amp; levers'!$C$14="On",('Net zero Activity data'!BG8*EF!$H39*EF!$H57)*NtoN2O*kgtoGg,"ERROR"))</f>
        <v>-9.0065857844413774E-2</v>
      </c>
      <c r="AO1102" s="100">
        <f>IF('Net zero activities &amp; levers'!$C$14="Off",('Activity data'!BH8*EF!$H39*EF!$H57)*NtoN2O*kgtoGg,IF('Net zero activities &amp; levers'!$C$14="On",('Net zero Activity data'!BH8*EF!$H39*EF!$H57)*NtoN2O*kgtoGg,"ERROR"))</f>
        <v>-8.8260731137636633E-2</v>
      </c>
      <c r="AP1102" s="100">
        <f>IF('Net zero activities &amp; levers'!$C$14="Off",('Activity data'!BI8*EF!$H39*EF!$H57)*NtoN2O*kgtoGg,IF('Net zero activities &amp; levers'!$C$14="On",('Net zero Activity data'!BI8*EF!$H39*EF!$H57)*NtoN2O*kgtoGg,"ERROR"))</f>
        <v>-8.6482032370585105E-2</v>
      </c>
      <c r="AQ1102" s="100">
        <f>IF('Net zero activities &amp; levers'!$C$14="Off",('Activity data'!BJ8*EF!$H39*EF!$H57)*NtoN2O*kgtoGg,IF('Net zero activities &amp; levers'!$C$14="On",('Net zero Activity data'!BJ8*EF!$H39*EF!$H57)*NtoN2O*kgtoGg,"ERROR"))</f>
        <v>-8.4728585134525733E-2</v>
      </c>
      <c r="AR1102" s="100">
        <f>IF('Net zero activities &amp; levers'!$C$14="Off",('Activity data'!BK8*EF!$H39*EF!$H57)*NtoN2O*kgtoGg,IF('Net zero activities &amp; levers'!$C$14="On",('Net zero Activity data'!BK8*EF!$H39*EF!$H57)*NtoN2O*kgtoGg,"ERROR"))</f>
        <v>-8.2999284570590512E-2</v>
      </c>
      <c r="AS1102" s="100">
        <f>IF('Net zero activities &amp; levers'!$C$14="Off",('Activity data'!BL8*EF!$H39*EF!$H57)*NtoN2O*kgtoGg,IF('Net zero activities &amp; levers'!$C$14="On",('Net zero Activity data'!BL8*EF!$H39*EF!$H57)*NtoN2O*kgtoGg,"ERROR"))</f>
        <v>-8.1237842076259073E-2</v>
      </c>
      <c r="AT1102" s="100">
        <f>IF('Net zero activities &amp; levers'!$C$14="Off",('Activity data'!BM8*EF!$H39*EF!$H57)*NtoN2O*kgtoGg,IF('Net zero activities &amp; levers'!$C$14="On",('Net zero Activity data'!BM8*EF!$H39*EF!$H57)*NtoN2O*kgtoGg,"ERROR"))</f>
        <v>-7.9500621662589185E-2</v>
      </c>
      <c r="AU1102" s="100">
        <f>IF('Net zero activities &amp; levers'!$C$14="Off",('Activity data'!BN8*EF!$H39*EF!$H57)*NtoN2O*kgtoGg,IF('Net zero activities &amp; levers'!$C$14="On",('Net zero Activity data'!BN8*EF!$H39*EF!$H57)*NtoN2O*kgtoGg,"ERROR"))</f>
        <v>-7.7786670470567892E-2</v>
      </c>
      <c r="AV1102" s="100">
        <f>IF('Net zero activities &amp; levers'!$C$14="Off",('Activity data'!BO8*EF!$H39*EF!$H57)*NtoN2O*kgtoGg,IF('Net zero activities &amp; levers'!$C$14="On",('Net zero Activity data'!BO8*EF!$H39*EF!$H57)*NtoN2O*kgtoGg,"ERROR"))</f>
        <v>-7.609508917583023E-2</v>
      </c>
      <c r="AW1102" s="100">
        <f>IF('Net zero activities &amp; levers'!$C$14="Off",('Activity data'!BP8*EF!$H39*EF!$H57)*NtoN2O*kgtoGg,IF('Net zero activities &amp; levers'!$C$14="On",('Net zero Activity data'!BP8*EF!$H39*EF!$H57)*NtoN2O*kgtoGg,"ERROR"))</f>
        <v>-7.4425027988165984E-2</v>
      </c>
      <c r="AY1102" s="85"/>
    </row>
    <row r="1103" spans="1:51" x14ac:dyDescent="0.25">
      <c r="A1103" s="102" t="str">
        <f t="shared" si="374"/>
        <v>CM Cattle MMN2O</v>
      </c>
      <c r="B1103" s="102" t="s">
        <v>1323</v>
      </c>
      <c r="C1103" s="102" t="s">
        <v>1233</v>
      </c>
      <c r="D1103" t="s">
        <v>15</v>
      </c>
      <c r="E1103" t="s">
        <v>657</v>
      </c>
      <c r="F1103" t="s">
        <v>67</v>
      </c>
      <c r="G1103" t="s">
        <v>123</v>
      </c>
      <c r="H1103" t="s">
        <v>1228</v>
      </c>
      <c r="I1103" t="s">
        <v>139</v>
      </c>
      <c r="J1103" t="s">
        <v>287</v>
      </c>
      <c r="K1103" s="100">
        <f>IF('Net zero activities &amp; levers'!$C$14="Off",('Activity data'!AD9*EF!$H40*EF!$H58)*NtoN2O*kgtoGg,IF('Net zero activities &amp; levers'!$C$14="On",('Net zero Activity data'!AD9*EF!$H40*EF!$H58)*NtoN2O*kgtoGg,"ERROR"))</f>
        <v>0.81161466909134916</v>
      </c>
      <c r="L1103" s="100">
        <f>IF('Net zero activities &amp; levers'!$C$14="Off",('Activity data'!AE9*EF!$H40*EF!$H58)*NtoN2O*kgtoGg,IF('Net zero activities &amp; levers'!$C$14="On",('Net zero Activity data'!AE9*EF!$H40*EF!$H58)*NtoN2O*kgtoGg,"ERROR"))</f>
        <v>0.80623493166726978</v>
      </c>
      <c r="M1103" s="100">
        <f>IF('Net zero activities &amp; levers'!$C$14="Off",('Activity data'!AF9*EF!$H40*EF!$H58)*NtoN2O*kgtoGg,IF('Net zero activities &amp; levers'!$C$14="On",('Net zero Activity data'!AF9*EF!$H40*EF!$H58)*NtoN2O*kgtoGg,"ERROR"))</f>
        <v>0.79489211581881503</v>
      </c>
      <c r="N1103" s="100">
        <f>IF('Net zero activities &amp; levers'!$C$14="Off",('Activity data'!AG9*EF!$H40*EF!$H58)*NtoN2O*kgtoGg,IF('Net zero activities &amp; levers'!$C$14="On",('Net zero Activity data'!AG9*EF!$H40*EF!$H58)*NtoN2O*kgtoGg,"ERROR"))</f>
        <v>0.77577222781694366</v>
      </c>
      <c r="O1103" s="100">
        <f>IF('Net zero activities &amp; levers'!$C$14="Off",('Activity data'!AH9*EF!$H40*EF!$H58)*NtoN2O*kgtoGg,IF('Net zero activities &amp; levers'!$C$14="On",('Net zero Activity data'!AH9*EF!$H40*EF!$H58)*NtoN2O*kgtoGg,"ERROR"))</f>
        <v>0.75722164871587128</v>
      </c>
      <c r="P1103" s="100">
        <f>IF('Net zero activities &amp; levers'!$C$14="Off",('Activity data'!AI9*EF!$H40*EF!$H58)*NtoN2O*kgtoGg,IF('Net zero activities &amp; levers'!$C$14="On",('Net zero Activity data'!AI9*EF!$H40*EF!$H58)*NtoN2O*kgtoGg,"ERROR"))</f>
        <v>0.74295364970944966</v>
      </c>
      <c r="Q1103" s="100">
        <f>IF('Net zero activities &amp; levers'!$C$14="Off",('Activity data'!AJ9*EF!$H40*EF!$H58)*NtoN2O*kgtoGg,IF('Net zero activities &amp; levers'!$C$14="On",('Net zero Activity data'!AJ9*EF!$H40*EF!$H58)*NtoN2O*kgtoGg,"ERROR"))</f>
        <v>0.73004813476216801</v>
      </c>
      <c r="R1103" s="100">
        <f>IF('Net zero activities &amp; levers'!$C$14="Off",('Activity data'!AK9*EF!$H40*EF!$H58)*NtoN2O*kgtoGg,IF('Net zero activities &amp; levers'!$C$14="On",('Net zero Activity data'!AK9*EF!$H40*EF!$H58)*NtoN2O*kgtoGg,"ERROR"))</f>
        <v>0.7097573495578483</v>
      </c>
      <c r="S1103" s="100">
        <f>IF('Net zero activities &amp; levers'!$C$14="Off",('Activity data'!AL9*EF!$H40*EF!$H58)*NtoN2O*kgtoGg,IF('Net zero activities &amp; levers'!$C$14="On",('Net zero Activity data'!AL9*EF!$H40*EF!$H58)*NtoN2O*kgtoGg,"ERROR"))</f>
        <v>0.62250021658521282</v>
      </c>
      <c r="T1103" s="100">
        <f>IF('Net zero activities &amp; levers'!$C$14="Off",('Activity data'!AM9*EF!$H40*EF!$H58)*NtoN2O*kgtoGg,IF('Net zero activities &amp; levers'!$C$14="On",('Net zero Activity data'!AM9*EF!$H40*EF!$H58)*NtoN2O*kgtoGg,"ERROR"))</f>
        <v>0.62843364173979577</v>
      </c>
      <c r="U1103" s="100">
        <f>IF('Net zero activities &amp; levers'!$C$14="Off",('Activity data'!AN9*EF!$H40*EF!$H58)*NtoN2O*kgtoGg,IF('Net zero activities &amp; levers'!$C$14="On",('Net zero Activity data'!AN9*EF!$H40*EF!$H58)*NtoN2O*kgtoGg,"ERROR"))</f>
        <v>0.63244862905446586</v>
      </c>
      <c r="V1103" s="100">
        <f>IF('Net zero activities &amp; levers'!$C$14="Off",('Activity data'!AO9*EF!$H40*EF!$H58)*NtoN2O*kgtoGg,IF('Net zero activities &amp; levers'!$C$14="On",('Net zero Activity data'!AO9*EF!$H40*EF!$H58)*NtoN2O*kgtoGg,"ERROR"))</f>
        <v>0.63633302607818865</v>
      </c>
      <c r="W1103" s="100">
        <f>IF('Net zero activities &amp; levers'!$C$14="Off",('Activity data'!AP9*EF!$H40*EF!$H58)*NtoN2O*kgtoGg,IF('Net zero activities &amp; levers'!$C$14="On",('Net zero Activity data'!AP9*EF!$H40*EF!$H58)*NtoN2O*kgtoGg,"ERROR"))</f>
        <v>0.64275688445918766</v>
      </c>
      <c r="X1103" s="100">
        <f>IF('Net zero activities &amp; levers'!$C$14="Off",('Activity data'!AQ9*EF!$H40*EF!$H58)*NtoN2O*kgtoGg,IF('Net zero activities &amp; levers'!$C$14="On",('Net zero Activity data'!AQ9*EF!$H40*EF!$H58)*NtoN2O*kgtoGg,"ERROR"))</f>
        <v>0.64896902823624347</v>
      </c>
      <c r="Y1103" s="100">
        <f>IF('Net zero activities &amp; levers'!$C$14="Off",('Activity data'!AR9*EF!$H40*EF!$H58)*NtoN2O*kgtoGg,IF('Net zero activities &amp; levers'!$C$14="On",('Net zero Activity data'!AR9*EF!$H40*EF!$H58)*NtoN2O*kgtoGg,"ERROR"))</f>
        <v>0.65549084673275582</v>
      </c>
      <c r="Z1103" s="100">
        <f>IF('Net zero activities &amp; levers'!$C$14="Off",('Activity data'!AS9*EF!$H40*EF!$H58)*NtoN2O*kgtoGg,IF('Net zero activities &amp; levers'!$C$14="On",('Net zero Activity data'!AS9*EF!$H40*EF!$H58)*NtoN2O*kgtoGg,"ERROR"))</f>
        <v>0.66116866654600104</v>
      </c>
      <c r="AA1103" s="100">
        <f>IF('Net zero activities &amp; levers'!$C$14="Off",('Activity data'!AT9*EF!$H40*EF!$H58)*NtoN2O*kgtoGg,IF('Net zero activities &amp; levers'!$C$14="On",('Net zero Activity data'!AT9*EF!$H40*EF!$H58)*NtoN2O*kgtoGg,"ERROR"))</f>
        <v>0.66763079542082715</v>
      </c>
      <c r="AB1103" s="100">
        <f>IF('Net zero activities &amp; levers'!$C$14="Off",('Activity data'!AU9*EF!$H40*EF!$H58)*NtoN2O*kgtoGg,IF('Net zero activities &amp; levers'!$C$14="On",('Net zero Activity data'!AU9*EF!$H40*EF!$H58)*NtoN2O*kgtoGg,"ERROR"))</f>
        <v>0.67268763021428868</v>
      </c>
      <c r="AC1103" s="100">
        <f>IF('Net zero activities &amp; levers'!$C$14="Off",('Activity data'!AV9*EF!$H40*EF!$H58)*NtoN2O*kgtoGg,IF('Net zero activities &amp; levers'!$C$14="On",('Net zero Activity data'!AV9*EF!$H40*EF!$H58)*NtoN2O*kgtoGg,"ERROR"))</f>
        <v>0.67788321606043689</v>
      </c>
      <c r="AD1103" s="100">
        <f>IF('Net zero activities &amp; levers'!$C$14="Off",('Activity data'!AW9*EF!$H40*EF!$H58)*NtoN2O*kgtoGg,IF('Net zero activities &amp; levers'!$C$14="On",('Net zero Activity data'!AW9*EF!$H40*EF!$H58)*NtoN2O*kgtoGg,"ERROR"))</f>
        <v>0.68030312991307629</v>
      </c>
      <c r="AE1103" s="100">
        <f>IF('Net zero activities &amp; levers'!$C$14="Off",('Activity data'!AX9*EF!$H40*EF!$H58)*NtoN2O*kgtoGg,IF('Net zero activities &amp; levers'!$C$14="On",('Net zero Activity data'!AX9*EF!$H40*EF!$H58)*NtoN2O*kgtoGg,"ERROR"))</f>
        <v>0.68362132277483145</v>
      </c>
      <c r="AF1103" s="100">
        <f>IF('Net zero activities &amp; levers'!$C$14="Off",('Activity data'!AY9*EF!$H40*EF!$H58)*NtoN2O*kgtoGg,IF('Net zero activities &amp; levers'!$C$14="On",('Net zero Activity data'!AY9*EF!$H40*EF!$H58)*NtoN2O*kgtoGg,"ERROR"))</f>
        <v>0.68692670951860213</v>
      </c>
      <c r="AG1103" s="100">
        <f>IF('Net zero activities &amp; levers'!$C$14="Off",('Activity data'!AZ9*EF!$H40*EF!$H58)*NtoN2O*kgtoGg,IF('Net zero activities &amp; levers'!$C$14="On",('Net zero Activity data'!AZ9*EF!$H40*EF!$H58)*NtoN2O*kgtoGg,"ERROR"))</f>
        <v>0.67235837319496583</v>
      </c>
      <c r="AH1103" s="100">
        <f>IF('Net zero activities &amp; levers'!$C$14="Off",('Activity data'!BA9*EF!$H40*EF!$H58)*NtoN2O*kgtoGg,IF('Net zero activities &amp; levers'!$C$14="On",('Net zero Activity data'!BA9*EF!$H40*EF!$H58)*NtoN2O*kgtoGg,"ERROR"))</f>
        <v>-0.1586000403929089</v>
      </c>
      <c r="AI1103" s="100">
        <f>IF('Net zero activities &amp; levers'!$C$14="Off",('Activity data'!BB9*EF!$H40*EF!$H58)*NtoN2O*kgtoGg,IF('Net zero activities &amp; levers'!$C$14="On",('Net zero Activity data'!BB9*EF!$H40*EF!$H58)*NtoN2O*kgtoGg,"ERROR"))</f>
        <v>-0.15492107106439137</v>
      </c>
      <c r="AJ1103" s="100">
        <f>IF('Net zero activities &amp; levers'!$C$14="Off",('Activity data'!BC9*EF!$H40*EF!$H58)*NtoN2O*kgtoGg,IF('Net zero activities &amp; levers'!$C$14="On",('Net zero Activity data'!BC9*EF!$H40*EF!$H58)*NtoN2O*kgtoGg,"ERROR"))</f>
        <v>-0.15130060889360838</v>
      </c>
      <c r="AK1103" s="100">
        <f>IF('Net zero activities &amp; levers'!$C$14="Off",('Activity data'!BD9*EF!$H40*EF!$H58)*NtoN2O*kgtoGg,IF('Net zero activities &amp; levers'!$C$14="On",('Net zero Activity data'!BD9*EF!$H40*EF!$H58)*NtoN2O*kgtoGg,"ERROR"))</f>
        <v>-0.14773558958891347</v>
      </c>
      <c r="AL1103" s="100">
        <f>IF('Net zero activities &amp; levers'!$C$14="Off",('Activity data'!BE9*EF!$H40*EF!$H58)*NtoN2O*kgtoGg,IF('Net zero activities &amp; levers'!$C$14="On",('Net zero Activity data'!BE9*EF!$H40*EF!$H58)*NtoN2O*kgtoGg,"ERROR"))</f>
        <v>-0.14422316071147476</v>
      </c>
      <c r="AM1103" s="100">
        <f>IF('Net zero activities &amp; levers'!$C$14="Off",('Activity data'!BF9*EF!$H40*EF!$H58)*NtoN2O*kgtoGg,IF('Net zero activities &amp; levers'!$C$14="On",('Net zero Activity data'!BF9*EF!$H40*EF!$H58)*NtoN2O*kgtoGg,"ERROR"))</f>
        <v>-0.1407606620441057</v>
      </c>
      <c r="AN1103" s="100">
        <f>IF('Net zero activities &amp; levers'!$C$14="Off",('Activity data'!BG9*EF!$H40*EF!$H58)*NtoN2O*kgtoGg,IF('Net zero activities &amp; levers'!$C$14="On",('Net zero Activity data'!BG9*EF!$H40*EF!$H58)*NtoN2O*kgtoGg,"ERROR"))</f>
        <v>-0.1379533588771549</v>
      </c>
      <c r="AO1103" s="100">
        <f>IF('Net zero activities &amp; levers'!$C$14="Off",('Activity data'!BH9*EF!$H40*EF!$H58)*NtoN2O*kgtoGg,IF('Net zero activities &amp; levers'!$C$14="On",('Net zero Activity data'!BH9*EF!$H40*EF!$H58)*NtoN2O*kgtoGg,"ERROR"))</f>
        <v>-0.13518845663385484</v>
      </c>
      <c r="AP1103" s="100">
        <f>IF('Net zero activities &amp; levers'!$C$14="Off",('Activity data'!BI9*EF!$H40*EF!$H58)*NtoN2O*kgtoGg,IF('Net zero activities &amp; levers'!$C$14="On",('Net zero Activity data'!BI9*EF!$H40*EF!$H58)*NtoN2O*kgtoGg,"ERROR"))</f>
        <v>-0.13246403391454542</v>
      </c>
      <c r="AQ1103" s="100">
        <f>IF('Net zero activities &amp; levers'!$C$14="Off",('Activity data'!BJ9*EF!$H40*EF!$H58)*NtoN2O*kgtoGg,IF('Net zero activities &amp; levers'!$C$14="On",('Net zero Activity data'!BJ9*EF!$H40*EF!$H58)*NtoN2O*kgtoGg,"ERROR"))</f>
        <v>-0.12977828882070402</v>
      </c>
      <c r="AR1103" s="100">
        <f>IF('Net zero activities &amp; levers'!$C$14="Off",('Activity data'!BK9*EF!$H40*EF!$H58)*NtoN2O*kgtoGg,IF('Net zero activities &amp; levers'!$C$14="On",('Net zero Activity data'!BK9*EF!$H40*EF!$H58)*NtoN2O*kgtoGg,"ERROR"))</f>
        <v>-0.12712952904632721</v>
      </c>
      <c r="AS1103" s="100">
        <f>IF('Net zero activities &amp; levers'!$C$14="Off",('Activity data'!BL9*EF!$H40*EF!$H58)*NtoN2O*kgtoGg,IF('Net zero activities &amp; levers'!$C$14="On",('Net zero Activity data'!BL9*EF!$H40*EF!$H58)*NtoN2O*kgtoGg,"ERROR"))</f>
        <v>-0.12443153766115941</v>
      </c>
      <c r="AT1103" s="100">
        <f>IF('Net zero activities &amp; levers'!$C$14="Off",('Activity data'!BM9*EF!$H40*EF!$H58)*NtoN2O*kgtoGg,IF('Net zero activities &amp; levers'!$C$14="On",('Net zero Activity data'!BM9*EF!$H40*EF!$H58)*NtoN2O*kgtoGg,"ERROR"))</f>
        <v>-0.12177064709828132</v>
      </c>
      <c r="AU1103" s="100">
        <f>IF('Net zero activities &amp; levers'!$C$14="Off",('Activity data'!BN9*EF!$H40*EF!$H58)*NtoN2O*kgtoGg,IF('Net zero activities &amp; levers'!$C$14="On",('Net zero Activity data'!BN9*EF!$H40*EF!$H58)*NtoN2O*kgtoGg,"ERROR"))</f>
        <v>-0.11914539786899743</v>
      </c>
      <c r="AV1103" s="100">
        <f>IF('Net zero activities &amp; levers'!$C$14="Off",('Activity data'!BO9*EF!$H40*EF!$H58)*NtoN2O*kgtoGg,IF('Net zero activities &amp; levers'!$C$14="On",('Net zero Activity data'!BO9*EF!$H40*EF!$H58)*NtoN2O*kgtoGg,"ERROR"))</f>
        <v>-0.11655441248332606</v>
      </c>
      <c r="AW1103" s="100">
        <f>IF('Net zero activities &amp; levers'!$C$14="Off",('Activity data'!BP9*EF!$H40*EF!$H58)*NtoN2O*kgtoGg,IF('Net zero activities &amp; levers'!$C$14="On",('Net zero Activity data'!BP9*EF!$H40*EF!$H58)*NtoN2O*kgtoGg,"ERROR"))</f>
        <v>-0.11399638932246699</v>
      </c>
      <c r="AY1103" s="85"/>
    </row>
    <row r="1104" spans="1:51" x14ac:dyDescent="0.25">
      <c r="A1104" s="102" t="str">
        <f t="shared" si="374"/>
        <v>CM Cattle MMN2O</v>
      </c>
      <c r="B1104" s="102" t="s">
        <v>1323</v>
      </c>
      <c r="C1104" s="102" t="s">
        <v>1233</v>
      </c>
      <c r="D1104" t="s">
        <v>15</v>
      </c>
      <c r="E1104" t="s">
        <v>657</v>
      </c>
      <c r="F1104" t="s">
        <v>67</v>
      </c>
      <c r="G1104" t="s">
        <v>135</v>
      </c>
      <c r="H1104" t="s">
        <v>1228</v>
      </c>
      <c r="I1104" t="s">
        <v>139</v>
      </c>
      <c r="J1104" t="s">
        <v>287</v>
      </c>
      <c r="K1104" s="100">
        <f>IF('Net zero activities &amp; levers'!$C$14="Off",('Activity data'!AD10*EF!$H41*EF!$H59)*NtoN2O*kgtoGg,IF('Net zero activities &amp; levers'!$C$14="On",('Net zero Activity data'!AD10*EF!$H41*EF!$H59)*NtoN2O*kgtoGg,"ERROR"))</f>
        <v>0.98462431665992833</v>
      </c>
      <c r="L1104" s="100">
        <f>IF('Net zero activities &amp; levers'!$C$14="Off",('Activity data'!AE10*EF!$H41*EF!$H59)*NtoN2O*kgtoGg,IF('Net zero activities &amp; levers'!$C$14="On",('Net zero Activity data'!AE10*EF!$H41*EF!$H59)*NtoN2O*kgtoGg,"ERROR"))</f>
        <v>1.0196918835505078</v>
      </c>
      <c r="M1104" s="100">
        <f>IF('Net zero activities &amp; levers'!$C$14="Off",('Activity data'!AF10*EF!$H41*EF!$H59)*NtoN2O*kgtoGg,IF('Net zero activities &amp; levers'!$C$14="On",('Net zero Activity data'!AF10*EF!$H41*EF!$H59)*NtoN2O*kgtoGg,"ERROR"))</f>
        <v>1.0475259814074214</v>
      </c>
      <c r="N1104" s="100">
        <f>IF('Net zero activities &amp; levers'!$C$14="Off",('Activity data'!AG10*EF!$H41*EF!$H59)*NtoN2O*kgtoGg,IF('Net zero activities &amp; levers'!$C$14="On",('Net zero Activity data'!AG10*EF!$H41*EF!$H59)*NtoN2O*kgtoGg,"ERROR"))</f>
        <v>1.0647388767946648</v>
      </c>
      <c r="O1104" s="100">
        <f>IF('Net zero activities &amp; levers'!$C$14="Off",('Activity data'!AH10*EF!$H41*EF!$H59)*NtoN2O*kgtoGg,IF('Net zero activities &amp; levers'!$C$14="On",('Net zero Activity data'!AH10*EF!$H41*EF!$H59)*NtoN2O*kgtoGg,"ERROR"))</f>
        <v>1.0819877052462501</v>
      </c>
      <c r="P1104" s="100">
        <f>IF('Net zero activities &amp; levers'!$C$14="Off",('Activity data'!AI10*EF!$H41*EF!$H59)*NtoN2O*kgtoGg,IF('Net zero activities &amp; levers'!$C$14="On",('Net zero Activity data'!AI10*EF!$H41*EF!$H59)*NtoN2O*kgtoGg,"ERROR"))</f>
        <v>1.1048938649963369</v>
      </c>
      <c r="Q1104" s="100">
        <f>IF('Net zero activities &amp; levers'!$C$14="Off",('Activity data'!AJ10*EF!$H41*EF!$H59)*NtoN2O*kgtoGg,IF('Net zero activities &amp; levers'!$C$14="On",('Net zero Activity data'!AJ10*EF!$H41*EF!$H59)*NtoN2O*kgtoGg,"ERROR"))</f>
        <v>1.1297091115066857</v>
      </c>
      <c r="R1104" s="100">
        <f>IF('Net zero activities &amp; levers'!$C$14="Off",('Activity data'!AK10*EF!$H41*EF!$H59)*NtoN2O*kgtoGg,IF('Net zero activities &amp; levers'!$C$14="On",('Net zero Activity data'!AK10*EF!$H41*EF!$H59)*NtoN2O*kgtoGg,"ERROR"))</f>
        <v>1.142623258953418</v>
      </c>
      <c r="S1104" s="100">
        <f>IF('Net zero activities &amp; levers'!$C$14="Off",('Activity data'!AL10*EF!$H41*EF!$H59)*NtoN2O*kgtoGg,IF('Net zero activities &amp; levers'!$C$14="On",('Net zero Activity data'!AL10*EF!$H41*EF!$H59)*NtoN2O*kgtoGg,"ERROR"))</f>
        <v>1.0424500724104675</v>
      </c>
      <c r="T1104" s="100">
        <f>IF('Net zero activities &amp; levers'!$C$14="Off",('Activity data'!AM10*EF!$H41*EF!$H59)*NtoN2O*kgtoGg,IF('Net zero activities &amp; levers'!$C$14="On",('Net zero Activity data'!AM10*EF!$H41*EF!$H59)*NtoN2O*kgtoGg,"ERROR"))</f>
        <v>1.0775354748112338</v>
      </c>
      <c r="U1104" s="100">
        <f>IF('Net zero activities &amp; levers'!$C$14="Off",('Activity data'!AN10*EF!$H41*EF!$H59)*NtoN2O*kgtoGg,IF('Net zero activities &amp; levers'!$C$14="On",('Net zero Activity data'!AN10*EF!$H41*EF!$H59)*NtoN2O*kgtoGg,"ERROR"))</f>
        <v>1.1099789671042184</v>
      </c>
      <c r="V1104" s="100">
        <f>IF('Net zero activities &amp; levers'!$C$14="Off",('Activity data'!AO10*EF!$H41*EF!$H59)*NtoN2O*kgtoGg,IF('Net zero activities &amp; levers'!$C$14="On",('Net zero Activity data'!AO10*EF!$H41*EF!$H59)*NtoN2O*kgtoGg,"ERROR"))</f>
        <v>1.1427845071049993</v>
      </c>
      <c r="W1104" s="100">
        <f>IF('Net zero activities &amp; levers'!$C$14="Off",('Activity data'!AP10*EF!$H41*EF!$H59)*NtoN2O*kgtoGg,IF('Net zero activities &amp; levers'!$C$14="On",('Net zero Activity data'!AP10*EF!$H41*EF!$H59)*NtoN2O*kgtoGg,"ERROR"))</f>
        <v>1.1808667721174206</v>
      </c>
      <c r="X1104" s="100">
        <f>IF('Net zero activities &amp; levers'!$C$14="Off",('Activity data'!AQ10*EF!$H41*EF!$H59)*NtoN2O*kgtoGg,IF('Net zero activities &amp; levers'!$C$14="On",('Net zero Activity data'!AQ10*EF!$H41*EF!$H59)*NtoN2O*kgtoGg,"ERROR"))</f>
        <v>1.219399784150359</v>
      </c>
      <c r="Y1104" s="100">
        <f>IF('Net zero activities &amp; levers'!$C$14="Off",('Activity data'!AR10*EF!$H41*EF!$H59)*NtoN2O*kgtoGg,IF('Net zero activities &amp; levers'!$C$14="On",('Net zero Activity data'!AR10*EF!$H41*EF!$H59)*NtoN2O*kgtoGg,"ERROR"))</f>
        <v>1.2593873285345614</v>
      </c>
      <c r="Z1104" s="100">
        <f>IF('Net zero activities &amp; levers'!$C$14="Off",('Activity data'!AS10*EF!$H41*EF!$H59)*NtoN2O*kgtoGg,IF('Net zero activities &amp; levers'!$C$14="On",('Net zero Activity data'!AS10*EF!$H41*EF!$H59)*NtoN2O*kgtoGg,"ERROR"))</f>
        <v>1.2986321214759353</v>
      </c>
      <c r="AA1104" s="100">
        <f>IF('Net zero activities &amp; levers'!$C$14="Off",('Activity data'!AT10*EF!$H41*EF!$H59)*NtoN2O*kgtoGg,IF('Net zero activities &amp; levers'!$C$14="On",('Net zero Activity data'!AT10*EF!$H41*EF!$H59)*NtoN2O*kgtoGg,"ERROR"))</f>
        <v>1.3403229537470696</v>
      </c>
      <c r="AB1104" s="100">
        <f>IF('Net zero activities &amp; levers'!$C$14="Off",('Activity data'!AU10*EF!$H41*EF!$H59)*NtoN2O*kgtoGg,IF('Net zero activities &amp; levers'!$C$14="On",('Net zero Activity data'!AU10*EF!$H41*EF!$H59)*NtoN2O*kgtoGg,"ERROR"))</f>
        <v>1.3800999976091688</v>
      </c>
      <c r="AC1104" s="100">
        <f>IF('Net zero activities &amp; levers'!$C$14="Off",('Activity data'!AV10*EF!$H41*EF!$H59)*NtoN2O*kgtoGg,IF('Net zero activities &amp; levers'!$C$14="On",('Net zero Activity data'!AV10*EF!$H41*EF!$H59)*NtoN2O*kgtoGg,"ERROR"))</f>
        <v>1.4210424625750864</v>
      </c>
      <c r="AD1104" s="100">
        <f>IF('Net zero activities &amp; levers'!$C$14="Off",('Activity data'!AW10*EF!$H41*EF!$H59)*NtoN2O*kgtoGg,IF('Net zero activities &amp; levers'!$C$14="On",('Net zero Activity data'!AW10*EF!$H41*EF!$H59)*NtoN2O*kgtoGg,"ERROR"))</f>
        <v>1.4731597843117399</v>
      </c>
      <c r="AE1104" s="100">
        <f>IF('Net zero activities &amp; levers'!$C$14="Off",('Activity data'!AX10*EF!$H41*EF!$H59)*NtoN2O*kgtoGg,IF('Net zero activities &amp; levers'!$C$14="On",('Net zero Activity data'!AX10*EF!$H41*EF!$H59)*NtoN2O*kgtoGg,"ERROR"))</f>
        <v>1.5292748745002132</v>
      </c>
      <c r="AF1104" s="100">
        <f>IF('Net zero activities &amp; levers'!$C$14="Off",('Activity data'!AY10*EF!$H41*EF!$H59)*NtoN2O*kgtoGg,IF('Net zero activities &amp; levers'!$C$14="On",('Net zero Activity data'!AY10*EF!$H41*EF!$H59)*NtoN2O*kgtoGg,"ERROR"))</f>
        <v>1.58759303710444</v>
      </c>
      <c r="AG1104" s="100">
        <f>IF('Net zero activities &amp; levers'!$C$14="Off",('Activity data'!AZ10*EF!$H41*EF!$H59)*NtoN2O*kgtoGg,IF('Net zero activities &amp; levers'!$C$14="On",('Net zero Activity data'!AZ10*EF!$H41*EF!$H59)*NtoN2O*kgtoGg,"ERROR"))</f>
        <v>1.6055856657240113</v>
      </c>
      <c r="AH1104" s="100">
        <f>IF('Net zero activities &amp; levers'!$C$14="Off",('Activity data'!BA10*EF!$H41*EF!$H59)*NtoN2O*kgtoGg,IF('Net zero activities &amp; levers'!$C$14="On",('Net zero Activity data'!BA10*EF!$H41*EF!$H59)*NtoN2O*kgtoGg,"ERROR"))</f>
        <v>-0.39137548720927395</v>
      </c>
      <c r="AI1104" s="100">
        <f>IF('Net zero activities &amp; levers'!$C$14="Off",('Activity data'!BB10*EF!$H41*EF!$H59)*NtoN2O*kgtoGg,IF('Net zero activities &amp; levers'!$C$14="On",('Net zero Activity data'!BB10*EF!$H41*EF!$H59)*NtoN2O*kgtoGg,"ERROR"))</f>
        <v>-0.39511268844976988</v>
      </c>
      <c r="AJ1104" s="100">
        <f>IF('Net zero activities &amp; levers'!$C$14="Off",('Activity data'!BC10*EF!$H41*EF!$H59)*NtoN2O*kgtoGg,IF('Net zero activities &amp; levers'!$C$14="On",('Net zero Activity data'!BC10*EF!$H41*EF!$H59)*NtoN2O*kgtoGg,"ERROR"))</f>
        <v>-0.39888027556232269</v>
      </c>
      <c r="AK1104" s="100">
        <f>IF('Net zero activities &amp; levers'!$C$14="Off",('Activity data'!BD10*EF!$H41*EF!$H59)*NtoN2O*kgtoGg,IF('Net zero activities &amp; levers'!$C$14="On",('Net zero Activity data'!BD10*EF!$H41*EF!$H59)*NtoN2O*kgtoGg,"ERROR"))</f>
        <v>-0.40267853610571114</v>
      </c>
      <c r="AL1104" s="100">
        <f>IF('Net zero activities &amp; levers'!$C$14="Off",('Activity data'!BE10*EF!$H41*EF!$H59)*NtoN2O*kgtoGg,IF('Net zero activities &amp; levers'!$C$14="On",('Net zero Activity data'!BE10*EF!$H41*EF!$H59)*NtoN2O*kgtoGg,"ERROR"))</f>
        <v>-0.40650776022057733</v>
      </c>
      <c r="AM1104" s="100">
        <f>IF('Net zero activities &amp; levers'!$C$14="Off",('Activity data'!BF10*EF!$H41*EF!$H59)*NtoN2O*kgtoGg,IF('Net zero activities &amp; levers'!$C$14="On",('Net zero Activity data'!BF10*EF!$H41*EF!$H59)*NtoN2O*kgtoGg,"ERROR"))</f>
        <v>-0.41036824065181815</v>
      </c>
      <c r="AN1104" s="100">
        <f>IF('Net zero activities &amp; levers'!$C$14="Off",('Activity data'!BG10*EF!$H41*EF!$H59)*NtoN2O*kgtoGg,IF('Net zero activities &amp; levers'!$C$14="On",('Net zero Activity data'!BG10*EF!$H41*EF!$H59)*NtoN2O*kgtoGg,"ERROR"))</f>
        <v>-0.41346631245955484</v>
      </c>
      <c r="AO1104" s="100">
        <f>IF('Net zero activities &amp; levers'!$C$14="Off",('Activity data'!BH10*EF!$H41*EF!$H59)*NtoN2O*kgtoGg,IF('Net zero activities &amp; levers'!$C$14="On",('Net zero Activity data'!BH10*EF!$H41*EF!$H59)*NtoN2O*kgtoGg,"ERROR"))</f>
        <v>-0.41658575471490794</v>
      </c>
      <c r="AP1104" s="100">
        <f>IF('Net zero activities &amp; levers'!$C$14="Off",('Activity data'!BI10*EF!$H41*EF!$H59)*NtoN2O*kgtoGg,IF('Net zero activities &amp; levers'!$C$14="On",('Net zero Activity data'!BI10*EF!$H41*EF!$H59)*NtoN2O*kgtoGg,"ERROR"))</f>
        <v>-0.41972673655234932</v>
      </c>
      <c r="AQ1104" s="100">
        <f>IF('Net zero activities &amp; levers'!$C$14="Off",('Activity data'!BJ10*EF!$H41*EF!$H59)*NtoN2O*kgtoGg,IF('Net zero activities &amp; levers'!$C$14="On",('Net zero Activity data'!BJ10*EF!$H41*EF!$H59)*NtoN2O*kgtoGg,"ERROR"))</f>
        <v>-0.42288942838293692</v>
      </c>
      <c r="AR1104" s="100">
        <f>IF('Net zero activities &amp; levers'!$C$14="Off",('Activity data'!BK10*EF!$H41*EF!$H59)*NtoN2O*kgtoGg,IF('Net zero activities &amp; levers'!$C$14="On",('Net zero Activity data'!BK10*EF!$H41*EF!$H59)*NtoN2O*kgtoGg,"ERROR"))</f>
        <v>-0.42607400190364725</v>
      </c>
      <c r="AS1104" s="100">
        <f>IF('Net zero activities &amp; levers'!$C$14="Off",('Activity data'!BL10*EF!$H41*EF!$H59)*NtoN2O*kgtoGg,IF('Net zero activities &amp; levers'!$C$14="On",('Net zero Activity data'!BL10*EF!$H41*EF!$H59)*NtoN2O*kgtoGg,"ERROR"))</f>
        <v>-0.42898887673310604</v>
      </c>
      <c r="AT1104" s="100">
        <f>IF('Net zero activities &amp; levers'!$C$14="Off",('Activity data'!BM10*EF!$H41*EF!$H59)*NtoN2O*kgtoGg,IF('Net zero activities &amp; levers'!$C$14="On",('Net zero Activity data'!BM10*EF!$H41*EF!$H59)*NtoN2O*kgtoGg,"ERROR"))</f>
        <v>-0.43192052701996581</v>
      </c>
      <c r="AU1104" s="100">
        <f>IF('Net zero activities &amp; levers'!$C$14="Off",('Activity data'!BN10*EF!$H41*EF!$H59)*NtoN2O*kgtoGg,IF('Net zero activities &amp; levers'!$C$14="On",('Net zero Activity data'!BN10*EF!$H41*EF!$H59)*NtoN2O*kgtoGg,"ERROR"))</f>
        <v>-0.43486906373806822</v>
      </c>
      <c r="AV1104" s="100">
        <f>IF('Net zero activities &amp; levers'!$C$14="Off",('Activity data'!BO10*EF!$H41*EF!$H59)*NtoN2O*kgtoGg,IF('Net zero activities &amp; levers'!$C$14="On",('Net zero Activity data'!BO10*EF!$H41*EF!$H59)*NtoN2O*kgtoGg,"ERROR"))</f>
        <v>-0.43783459855710477</v>
      </c>
      <c r="AW1104" s="100">
        <f>IF('Net zero activities &amp; levers'!$C$14="Off",('Activity data'!BP10*EF!$H41*EF!$H59)*NtoN2O*kgtoGg,IF('Net zero activities &amp; levers'!$C$14="On",('Net zero Activity data'!BP10*EF!$H41*EF!$H59)*NtoN2O*kgtoGg,"ERROR"))</f>
        <v>-0.4408172438468278</v>
      </c>
      <c r="AY1104" s="85"/>
    </row>
    <row r="1105" spans="1:51" x14ac:dyDescent="0.25">
      <c r="A1105" s="102" t="str">
        <f t="shared" si="374"/>
        <v>CM Sheep MMN2O</v>
      </c>
      <c r="B1105" s="102" t="s">
        <v>1323</v>
      </c>
      <c r="C1105" s="102" t="s">
        <v>1329</v>
      </c>
      <c r="D1105" t="s">
        <v>15</v>
      </c>
      <c r="E1105" t="s">
        <v>657</v>
      </c>
      <c r="F1105" t="s">
        <v>18</v>
      </c>
      <c r="G1105" t="s">
        <v>122</v>
      </c>
      <c r="H1105" t="s">
        <v>1228</v>
      </c>
      <c r="I1105" t="s">
        <v>139</v>
      </c>
      <c r="J1105" t="s">
        <v>287</v>
      </c>
      <c r="K1105" s="100">
        <f>IF('Net zero activities &amp; levers'!$C$14="Off",('Activity data'!AD11*EF!$H42*EF!$H60)*NtoN2O*kgtoGg,IF('Net zero activities &amp; levers'!$C$14="On",('Net zero Activity data'!AD11*EF!$H42*EF!$H60)*NtoN2O*kgtoGg,"ERROR"))</f>
        <v>0.1171858684484313</v>
      </c>
      <c r="L1105" s="100">
        <f>IF('Net zero activities &amp; levers'!$C$14="Off",('Activity data'!AE11*EF!$H42*EF!$H60)*NtoN2O*kgtoGg,IF('Net zero activities &amp; levers'!$C$14="On",('Net zero Activity data'!AE11*EF!$H42*EF!$H60)*NtoN2O*kgtoGg,"ERROR"))</f>
        <v>0.11724986264912746</v>
      </c>
      <c r="M1105" s="100">
        <f>IF('Net zero activities &amp; levers'!$C$14="Off",('Activity data'!AF11*EF!$H42*EF!$H60)*NtoN2O*kgtoGg,IF('Net zero activities &amp; levers'!$C$14="On",('Net zero Activity data'!AF11*EF!$H42*EF!$H60)*NtoN2O*kgtoGg,"ERROR"))</f>
        <v>0.11739315795736154</v>
      </c>
      <c r="N1105" s="100">
        <f>IF('Net zero activities &amp; levers'!$C$14="Off",('Activity data'!AG11*EF!$H42*EF!$H60)*NtoN2O*kgtoGg,IF('Net zero activities &amp; levers'!$C$14="On",('Net zero Activity data'!AG11*EF!$H42*EF!$H60)*NtoN2O*kgtoGg,"ERROR"))</f>
        <v>0.11760884747933324</v>
      </c>
      <c r="O1105" s="100">
        <f>IF('Net zero activities &amp; levers'!$C$14="Off",('Activity data'!AH11*EF!$H42*EF!$H60)*NtoN2O*kgtoGg,IF('Net zero activities &amp; levers'!$C$14="On",('Net zero Activity data'!AH11*EF!$H42*EF!$H60)*NtoN2O*kgtoGg,"ERROR"))</f>
        <v>0.11789981697079396</v>
      </c>
      <c r="P1105" s="100">
        <f>IF('Net zero activities &amp; levers'!$C$14="Off",('Activity data'!AI11*EF!$H42*EF!$H60)*NtoN2O*kgtoGg,IF('Net zero activities &amp; levers'!$C$14="On",('Net zero Activity data'!AI11*EF!$H42*EF!$H60)*NtoN2O*kgtoGg,"ERROR"))</f>
        <v>0.11826637517857025</v>
      </c>
      <c r="Q1105" s="100">
        <f>IF('Net zero activities &amp; levers'!$C$14="Off",('Activity data'!AJ11*EF!$H42*EF!$H60)*NtoN2O*kgtoGg,IF('Net zero activities &amp; levers'!$C$14="On",('Net zero Activity data'!AJ11*EF!$H42*EF!$H60)*NtoN2O*kgtoGg,"ERROR"))</f>
        <v>0.11867470616236446</v>
      </c>
      <c r="R1105" s="100">
        <f>IF('Net zero activities &amp; levers'!$C$14="Off",('Activity data'!AK11*EF!$H42*EF!$H60)*NtoN2O*kgtoGg,IF('Net zero activities &amp; levers'!$C$14="On",('Net zero Activity data'!AK11*EF!$H42*EF!$H60)*NtoN2O*kgtoGg,"ERROR"))</f>
        <v>0.11911724401941932</v>
      </c>
      <c r="S1105" s="100">
        <f>IF('Net zero activities &amp; levers'!$C$14="Off",('Activity data'!AL11*EF!$H42*EF!$H60)*NtoN2O*kgtoGg,IF('Net zero activities &amp; levers'!$C$14="On",('Net zero Activity data'!AL11*EF!$H42*EF!$H60)*NtoN2O*kgtoGg,"ERROR"))</f>
        <v>0.11953310214883348</v>
      </c>
      <c r="T1105" s="100">
        <f>IF('Net zero activities &amp; levers'!$C$14="Off",('Activity data'!AM11*EF!$H42*EF!$H60)*NtoN2O*kgtoGg,IF('Net zero activities &amp; levers'!$C$14="On",('Net zero Activity data'!AM11*EF!$H42*EF!$H60)*NtoN2O*kgtoGg,"ERROR"))</f>
        <v>0.11970681414230742</v>
      </c>
      <c r="U1105" s="100">
        <f>IF('Net zero activities &amp; levers'!$C$14="Off",('Activity data'!AN11*EF!$H42*EF!$H60)*NtoN2O*kgtoGg,IF('Net zero activities &amp; levers'!$C$14="On",('Net zero Activity data'!AN11*EF!$H42*EF!$H60)*NtoN2O*kgtoGg,"ERROR"))</f>
        <v>0.11990838567894911</v>
      </c>
      <c r="V1105" s="100">
        <f>IF('Net zero activities &amp; levers'!$C$14="Off",('Activity data'!AO11*EF!$H42*EF!$H60)*NtoN2O*kgtoGg,IF('Net zero activities &amp; levers'!$C$14="On",('Net zero Activity data'!AO11*EF!$H42*EF!$H60)*NtoN2O*kgtoGg,"ERROR"))</f>
        <v>0.12013777542784022</v>
      </c>
      <c r="W1105" s="100">
        <f>IF('Net zero activities &amp; levers'!$C$14="Off",('Activity data'!AP11*EF!$H42*EF!$H60)*NtoN2O*kgtoGg,IF('Net zero activities &amp; levers'!$C$14="On",('Net zero Activity data'!AP11*EF!$H42*EF!$H60)*NtoN2O*kgtoGg,"ERROR"))</f>
        <v>0.1203961718842316</v>
      </c>
      <c r="X1105" s="100">
        <f>IF('Net zero activities &amp; levers'!$C$14="Off",('Activity data'!AQ11*EF!$H42*EF!$H60)*NtoN2O*kgtoGg,IF('Net zero activities &amp; levers'!$C$14="On",('Net zero Activity data'!AQ11*EF!$H42*EF!$H60)*NtoN2O*kgtoGg,"ERROR"))</f>
        <v>0.12067943256873451</v>
      </c>
      <c r="Y1105" s="100">
        <f>IF('Net zero activities &amp; levers'!$C$14="Off",('Activity data'!AR11*EF!$H42*EF!$H60)*NtoN2O*kgtoGg,IF('Net zero activities &amp; levers'!$C$14="On",('Net zero Activity data'!AR11*EF!$H42*EF!$H60)*NtoN2O*kgtoGg,"ERROR"))</f>
        <v>0.12085380112251057</v>
      </c>
      <c r="Z1105" s="100">
        <f>IF('Net zero activities &amp; levers'!$C$14="Off",('Activity data'!AS11*EF!$H42*EF!$H60)*NtoN2O*kgtoGg,IF('Net zero activities &amp; levers'!$C$14="On",('Net zero Activity data'!AS11*EF!$H42*EF!$H60)*NtoN2O*kgtoGg,"ERROR"))</f>
        <v>0.12104857439732014</v>
      </c>
      <c r="AA1105" s="100">
        <f>IF('Net zero activities &amp; levers'!$C$14="Off",('Activity data'!AT11*EF!$H42*EF!$H60)*NtoN2O*kgtoGg,IF('Net zero activities &amp; levers'!$C$14="On",('Net zero Activity data'!AT11*EF!$H42*EF!$H60)*NtoN2O*kgtoGg,"ERROR"))</f>
        <v>0.1212644592147404</v>
      </c>
      <c r="AB1105" s="100">
        <f>IF('Net zero activities &amp; levers'!$C$14="Off",('Activity data'!AU11*EF!$H42*EF!$H60)*NtoN2O*kgtoGg,IF('Net zero activities &amp; levers'!$C$14="On",('Net zero Activity data'!AU11*EF!$H42*EF!$H60)*NtoN2O*kgtoGg,"ERROR"))</f>
        <v>0.12149813863258012</v>
      </c>
      <c r="AC1105" s="100">
        <f>IF('Net zero activities &amp; levers'!$C$14="Off",('Activity data'!AV11*EF!$H42*EF!$H60)*NtoN2O*kgtoGg,IF('Net zero activities &amp; levers'!$C$14="On",('Net zero Activity data'!AV11*EF!$H42*EF!$H60)*NtoN2O*kgtoGg,"ERROR"))</f>
        <v>0.12175044819305053</v>
      </c>
      <c r="AD1105" s="100">
        <f>IF('Net zero activities &amp; levers'!$C$14="Off",('Activity data'!AW11*EF!$H42*EF!$H60)*NtoN2O*kgtoGg,IF('Net zero activities &amp; levers'!$C$14="On",('Net zero Activity data'!AW11*EF!$H42*EF!$H60)*NtoN2O*kgtoGg,"ERROR"))</f>
        <v>0.12191654827812352</v>
      </c>
      <c r="AE1105" s="100">
        <f>IF('Net zero activities &amp; levers'!$C$14="Off",('Activity data'!AX11*EF!$H42*EF!$H60)*NtoN2O*kgtoGg,IF('Net zero activities &amp; levers'!$C$14="On",('Net zero Activity data'!AX11*EF!$H42*EF!$H60)*NtoN2O*kgtoGg,"ERROR"))</f>
        <v>0.12210011953046386</v>
      </c>
      <c r="AF1105" s="100">
        <f>IF('Net zero activities &amp; levers'!$C$14="Off",('Activity data'!AY11*EF!$H42*EF!$H60)*NtoN2O*kgtoGg,IF('Net zero activities &amp; levers'!$C$14="On",('Net zero Activity data'!AY11*EF!$H42*EF!$H60)*NtoN2O*kgtoGg,"ERROR"))</f>
        <v>0.12229951100214119</v>
      </c>
      <c r="AG1105" s="100">
        <f>IF('Net zero activities &amp; levers'!$C$14="Off",('Activity data'!AZ11*EF!$H42*EF!$H60)*NtoN2O*kgtoGg,IF('Net zero activities &amp; levers'!$C$14="On",('Net zero Activity data'!AZ11*EF!$H42*EF!$H60)*NtoN2O*kgtoGg,"ERROR"))</f>
        <v>0.12249214859428272</v>
      </c>
      <c r="AH1105" s="100">
        <f>IF('Net zero activities &amp; levers'!$C$14="Off",('Activity data'!BA11*EF!$H42*EF!$H60)*NtoN2O*kgtoGg,IF('Net zero activities &amp; levers'!$C$14="On",('Net zero Activity data'!BA11*EF!$H42*EF!$H60)*NtoN2O*kgtoGg,"ERROR"))</f>
        <v>0.12166856520731396</v>
      </c>
      <c r="AI1105" s="100">
        <f>IF('Net zero activities &amp; levers'!$C$14="Off",('Activity data'!BB11*EF!$H42*EF!$H60)*NtoN2O*kgtoGg,IF('Net zero activities &amp; levers'!$C$14="On",('Net zero Activity data'!BB11*EF!$H42*EF!$H60)*NtoN2O*kgtoGg,"ERROR"))</f>
        <v>0.12178552707040835</v>
      </c>
      <c r="AJ1105" s="100">
        <f>IF('Net zero activities &amp; levers'!$C$14="Off",('Activity data'!BC11*EF!$H42*EF!$H60)*NtoN2O*kgtoGg,IF('Net zero activities &amp; levers'!$C$14="On",('Net zero Activity data'!BC11*EF!$H42*EF!$H60)*NtoN2O*kgtoGg,"ERROR"))</f>
        <v>0.12191459506568997</v>
      </c>
      <c r="AK1105" s="100">
        <f>IF('Net zero activities &amp; levers'!$C$14="Off",('Activity data'!BD11*EF!$H42*EF!$H60)*NtoN2O*kgtoGg,IF('Net zero activities &amp; levers'!$C$14="On",('Net zero Activity data'!BD11*EF!$H42*EF!$H60)*NtoN2O*kgtoGg,"ERROR"))</f>
        <v>0.12205531183364191</v>
      </c>
      <c r="AL1105" s="100">
        <f>IF('Net zero activities &amp; levers'!$C$14="Off",('Activity data'!BE11*EF!$H42*EF!$H60)*NtoN2O*kgtoGg,IF('Net zero activities &amp; levers'!$C$14="On",('Net zero Activity data'!BE11*EF!$H42*EF!$H60)*NtoN2O*kgtoGg,"ERROR"))</f>
        <v>0.1222072553657907</v>
      </c>
      <c r="AM1105" s="100">
        <f>IF('Net zero activities &amp; levers'!$C$14="Off",('Activity data'!BF11*EF!$H42*EF!$H60)*NtoN2O*kgtoGg,IF('Net zero activities &amp; levers'!$C$14="On",('Net zero Activity data'!BF11*EF!$H42*EF!$H60)*NtoN2O*kgtoGg,"ERROR"))</f>
        <v>0.12237003565016037</v>
      </c>
      <c r="AN1105" s="100">
        <f>IF('Net zero activities &amp; levers'!$C$14="Off",('Activity data'!BG11*EF!$H42*EF!$H60)*NtoN2O*kgtoGg,IF('Net zero activities &amp; levers'!$C$14="On",('Net zero Activity data'!BG11*EF!$H42*EF!$H60)*NtoN2O*kgtoGg,"ERROR"))</f>
        <v>0.12244903306979282</v>
      </c>
      <c r="AO1105" s="100">
        <f>IF('Net zero activities &amp; levers'!$C$14="Off",('Activity data'!BH11*EF!$H42*EF!$H60)*NtoN2O*kgtoGg,IF('Net zero activities &amp; levers'!$C$14="On",('Net zero Activity data'!BH11*EF!$H42*EF!$H60)*NtoN2O*kgtoGg,"ERROR"))</f>
        <v>0.12253757835817966</v>
      </c>
      <c r="AP1105" s="100">
        <f>IF('Net zero activities &amp; levers'!$C$14="Off",('Activity data'!BI11*EF!$H42*EF!$H60)*NtoN2O*kgtoGg,IF('Net zero activities &amp; levers'!$C$14="On",('Net zero Activity data'!BI11*EF!$H42*EF!$H60)*NtoN2O*kgtoGg,"ERROR"))</f>
        <v>0.12263533922697641</v>
      </c>
      <c r="AQ1105" s="100">
        <f>IF('Net zero activities &amp; levers'!$C$14="Off",('Activity data'!BJ11*EF!$H42*EF!$H60)*NtoN2O*kgtoGg,IF('Net zero activities &amp; levers'!$C$14="On",('Net zero Activity data'!BJ11*EF!$H42*EF!$H60)*NtoN2O*kgtoGg,"ERROR"))</f>
        <v>0.12274200613087835</v>
      </c>
      <c r="AR1105" s="100">
        <f>IF('Net zero activities &amp; levers'!$C$14="Off",('Activity data'!BK11*EF!$H42*EF!$H60)*NtoN2O*kgtoGg,IF('Net zero activities &amp; levers'!$C$14="On",('Net zero Activity data'!BK11*EF!$H42*EF!$H60)*NtoN2O*kgtoGg,"ERROR"))</f>
        <v>0.12285729033548833</v>
      </c>
      <c r="AS1105" s="100">
        <f>IF('Net zero activities &amp; levers'!$C$14="Off",('Activity data'!BL11*EF!$H42*EF!$H60)*NtoN2O*kgtoGg,IF('Net zero activities &amp; levers'!$C$14="On",('Net zero Activity data'!BL11*EF!$H42*EF!$H60)*NtoN2O*kgtoGg,"ERROR"))</f>
        <v>0.12288572954642335</v>
      </c>
      <c r="AT1105" s="100">
        <f>IF('Net zero activities &amp; levers'!$C$14="Off",('Activity data'!BM11*EF!$H42*EF!$H60)*NtoN2O*kgtoGg,IF('Net zero activities &amp; levers'!$C$14="On",('Net zero Activity data'!BM11*EF!$H42*EF!$H60)*NtoN2O*kgtoGg,"ERROR"))</f>
        <v>0.12292181660779716</v>
      </c>
      <c r="AU1105" s="100">
        <f>IF('Net zero activities &amp; levers'!$C$14="Off",('Activity data'!BN11*EF!$H42*EF!$H60)*NtoN2O*kgtoGg,IF('Net zero activities &amp; levers'!$C$14="On",('Net zero Activity data'!BN11*EF!$H42*EF!$H60)*NtoN2O*kgtoGg,"ERROR"))</f>
        <v>0.12296529822294655</v>
      </c>
      <c r="AV1105" s="100">
        <f>IF('Net zero activities &amp; levers'!$C$14="Off",('Activity data'!BO11*EF!$H42*EF!$H60)*NtoN2O*kgtoGg,IF('Net zero activities &amp; levers'!$C$14="On",('Net zero Activity data'!BO11*EF!$H42*EF!$H60)*NtoN2O*kgtoGg,"ERROR"))</f>
        <v>0.12301593656260404</v>
      </c>
      <c r="AW1105" s="100">
        <f>IF('Net zero activities &amp; levers'!$C$14="Off",('Activity data'!BP11*EF!$H42*EF!$H60)*NtoN2O*kgtoGg,IF('Net zero activities &amp; levers'!$C$14="On",('Net zero Activity data'!BP11*EF!$H42*EF!$H60)*NtoN2O*kgtoGg,"ERROR"))</f>
        <v>0.12307350807543004</v>
      </c>
      <c r="AY1105" s="85"/>
    </row>
    <row r="1106" spans="1:51" x14ac:dyDescent="0.25">
      <c r="A1106" s="102" t="str">
        <f t="shared" si="374"/>
        <v>CM Sheep MMN2O</v>
      </c>
      <c r="B1106" s="102" t="s">
        <v>1323</v>
      </c>
      <c r="C1106" s="102" t="s">
        <v>1329</v>
      </c>
      <c r="D1106" t="s">
        <v>15</v>
      </c>
      <c r="E1106" t="s">
        <v>657</v>
      </c>
      <c r="F1106" t="s">
        <v>18</v>
      </c>
      <c r="G1106" t="s">
        <v>123</v>
      </c>
      <c r="H1106" t="s">
        <v>1228</v>
      </c>
      <c r="I1106" t="s">
        <v>139</v>
      </c>
      <c r="J1106" t="s">
        <v>287</v>
      </c>
      <c r="K1106" s="100">
        <f>IF('Net zero activities &amp; levers'!$C$14="Off",('Activity data'!AD12*EF!$H43*EF!$H61)*NtoN2O*kgtoGg,IF('Net zero activities &amp; levers'!$C$14="On",('Net zero Activity data'!AD12*EF!$H43*EF!$H61)*NtoN2O*kgtoGg,"ERROR"))</f>
        <v>6.266414044546309E-2</v>
      </c>
      <c r="L1106" s="100">
        <f>IF('Net zero activities &amp; levers'!$C$14="Off",('Activity data'!AE12*EF!$H43*EF!$H61)*NtoN2O*kgtoGg,IF('Net zero activities &amp; levers'!$C$14="On",('Net zero Activity data'!AE12*EF!$H43*EF!$H61)*NtoN2O*kgtoGg,"ERROR"))</f>
        <v>6.2698360796715452E-2</v>
      </c>
      <c r="M1106" s="100">
        <f>IF('Net zero activities &amp; levers'!$C$14="Off",('Activity data'!AF12*EF!$H43*EF!$H61)*NtoN2O*kgtoGg,IF('Net zero activities &amp; levers'!$C$14="On",('Net zero Activity data'!AF12*EF!$H43*EF!$H61)*NtoN2O*kgtoGg,"ERROR"))</f>
        <v>6.2774986736679445E-2</v>
      </c>
      <c r="N1106" s="100">
        <f>IF('Net zero activities &amp; levers'!$C$14="Off",('Activity data'!AG12*EF!$H43*EF!$H61)*NtoN2O*kgtoGg,IF('Net zero activities &amp; levers'!$C$14="On",('Net zero Activity data'!AG12*EF!$H43*EF!$H61)*NtoN2O*kgtoGg,"ERROR"))</f>
        <v>6.2890324862994521E-2</v>
      </c>
      <c r="O1106" s="100">
        <f>IF('Net zero activities &amp; levers'!$C$14="Off",('Activity data'!AH12*EF!$H43*EF!$H61)*NtoN2O*kgtoGg,IF('Net zero activities &amp; levers'!$C$14="On",('Net zero Activity data'!AH12*EF!$H43*EF!$H61)*NtoN2O*kgtoGg,"ERROR"))</f>
        <v>6.3045918308856697E-2</v>
      </c>
      <c r="P1106" s="100">
        <f>IF('Net zero activities &amp; levers'!$C$14="Off",('Activity data'!AI12*EF!$H43*EF!$H61)*NtoN2O*kgtoGg,IF('Net zero activities &amp; levers'!$C$14="On",('Net zero Activity data'!AI12*EF!$H43*EF!$H61)*NtoN2O*kgtoGg,"ERROR"))</f>
        <v>6.324193217398956E-2</v>
      </c>
      <c r="Q1106" s="100">
        <f>IF('Net zero activities &amp; levers'!$C$14="Off",('Activity data'!AJ12*EF!$H43*EF!$H61)*NtoN2O*kgtoGg,IF('Net zero activities &amp; levers'!$C$14="On",('Net zero Activity data'!AJ12*EF!$H43*EF!$H61)*NtoN2O*kgtoGg,"ERROR"))</f>
        <v>6.346028367366699E-2</v>
      </c>
      <c r="R1106" s="100">
        <f>IF('Net zero activities &amp; levers'!$C$14="Off",('Activity data'!AK12*EF!$H43*EF!$H61)*NtoN2O*kgtoGg,IF('Net zero activities &amp; levers'!$C$14="On",('Net zero Activity data'!AK12*EF!$H43*EF!$H61)*NtoN2O*kgtoGg,"ERROR"))</f>
        <v>6.3696927006127543E-2</v>
      </c>
      <c r="S1106" s="100">
        <f>IF('Net zero activities &amp; levers'!$C$14="Off",('Activity data'!AL12*EF!$H43*EF!$H61)*NtoN2O*kgtoGg,IF('Net zero activities &amp; levers'!$C$14="On",('Net zero Activity data'!AL12*EF!$H43*EF!$H61)*NtoN2O*kgtoGg,"ERROR"))</f>
        <v>6.3919303582518794E-2</v>
      </c>
      <c r="T1106" s="100">
        <f>IF('Net zero activities &amp; levers'!$C$14="Off",('Activity data'!AM12*EF!$H43*EF!$H61)*NtoN2O*kgtoGg,IF('Net zero activities &amp; levers'!$C$14="On",('Net zero Activity data'!AM12*EF!$H43*EF!$H61)*NtoN2O*kgtoGg,"ERROR"))</f>
        <v>6.401219458465271E-2</v>
      </c>
      <c r="U1106" s="100">
        <f>IF('Net zero activities &amp; levers'!$C$14="Off",('Activity data'!AN12*EF!$H43*EF!$H61)*NtoN2O*kgtoGg,IF('Net zero activities &amp; levers'!$C$14="On",('Net zero Activity data'!AN12*EF!$H43*EF!$H61)*NtoN2O*kgtoGg,"ERROR"))</f>
        <v>6.4119983239113915E-2</v>
      </c>
      <c r="V1106" s="100">
        <f>IF('Net zero activities &amp; levers'!$C$14="Off",('Activity data'!AO12*EF!$H43*EF!$H61)*NtoN2O*kgtoGg,IF('Net zero activities &amp; levers'!$C$14="On",('Net zero Activity data'!AO12*EF!$H43*EF!$H61)*NtoN2O*kgtoGg,"ERROR"))</f>
        <v>6.4242647444547399E-2</v>
      </c>
      <c r="W1106" s="100">
        <f>IF('Net zero activities &amp; levers'!$C$14="Off",('Activity data'!AP12*EF!$H43*EF!$H61)*NtoN2O*kgtoGg,IF('Net zero activities &amp; levers'!$C$14="On",('Net zero Activity data'!AP12*EF!$H43*EF!$H61)*NtoN2O*kgtoGg,"ERROR"))</f>
        <v>6.4380822738619198E-2</v>
      </c>
      <c r="X1106" s="100">
        <f>IF('Net zero activities &amp; levers'!$C$14="Off",('Activity data'!AQ12*EF!$H43*EF!$H61)*NtoN2O*kgtoGg,IF('Net zero activities &amp; levers'!$C$14="On",('Net zero Activity data'!AQ12*EF!$H43*EF!$H61)*NtoN2O*kgtoGg,"ERROR"))</f>
        <v>6.4532293965921486E-2</v>
      </c>
      <c r="Y1106" s="100">
        <f>IF('Net zero activities &amp; levers'!$C$14="Off",('Activity data'!AR12*EF!$H43*EF!$H61)*NtoN2O*kgtoGg,IF('Net zero activities &amp; levers'!$C$14="On",('Net zero Activity data'!AR12*EF!$H43*EF!$H61)*NtoN2O*kgtoGg,"ERROR"))</f>
        <v>6.462553605805911E-2</v>
      </c>
      <c r="Z1106" s="100">
        <f>IF('Net zero activities &amp; levers'!$C$14="Off",('Activity data'!AS12*EF!$H43*EF!$H61)*NtoN2O*kgtoGg,IF('Net zero activities &amp; levers'!$C$14="On",('Net zero Activity data'!AS12*EF!$H43*EF!$H61)*NtoN2O*kgtoGg,"ERROR"))</f>
        <v>6.4729689400175275E-2</v>
      </c>
      <c r="AA1106" s="100">
        <f>IF('Net zero activities &amp; levers'!$C$14="Off",('Activity data'!AT12*EF!$H43*EF!$H61)*NtoN2O*kgtoGg,IF('Net zero activities &amp; levers'!$C$14="On",('Net zero Activity data'!AT12*EF!$H43*EF!$H61)*NtoN2O*kgtoGg,"ERROR"))</f>
        <v>6.4845131959060415E-2</v>
      </c>
      <c r="AB1106" s="100">
        <f>IF('Net zero activities &amp; levers'!$C$14="Off",('Activity data'!AU12*EF!$H43*EF!$H61)*NtoN2O*kgtoGg,IF('Net zero activities &amp; levers'!$C$14="On",('Net zero Activity data'!AU12*EF!$H43*EF!$H61)*NtoN2O*kgtoGg,"ERROR"))</f>
        <v>6.4970090028259403E-2</v>
      </c>
      <c r="AC1106" s="100">
        <f>IF('Net zero activities &amp; levers'!$C$14="Off",('Activity data'!AV12*EF!$H43*EF!$H61)*NtoN2O*kgtoGg,IF('Net zero activities &amp; levers'!$C$14="On",('Net zero Activity data'!AV12*EF!$H43*EF!$H61)*NtoN2O*kgtoGg,"ERROR"))</f>
        <v>6.5105010406820332E-2</v>
      </c>
      <c r="AD1106" s="100">
        <f>IF('Net zero activities &amp; levers'!$C$14="Off",('Activity data'!AW12*EF!$H43*EF!$H61)*NtoN2O*kgtoGg,IF('Net zero activities &amp; levers'!$C$14="On",('Net zero Activity data'!AW12*EF!$H43*EF!$H61)*NtoN2O*kgtoGg,"ERROR"))</f>
        <v>6.5193831006068584E-2</v>
      </c>
      <c r="AE1106" s="100">
        <f>IF('Net zero activities &amp; levers'!$C$14="Off",('Activity data'!AX12*EF!$H43*EF!$H61)*NtoN2O*kgtoGg,IF('Net zero activities &amp; levers'!$C$14="On",('Net zero Activity data'!AX12*EF!$H43*EF!$H61)*NtoN2O*kgtoGg,"ERROR"))</f>
        <v>6.5291994162520045E-2</v>
      </c>
      <c r="AF1106" s="100">
        <f>IF('Net zero activities &amp; levers'!$C$14="Off",('Activity data'!AY12*EF!$H43*EF!$H61)*NtoN2O*kgtoGg,IF('Net zero activities &amp; levers'!$C$14="On",('Net zero Activity data'!AY12*EF!$H43*EF!$H61)*NtoN2O*kgtoGg,"ERROR"))</f>
        <v>6.5398617045895405E-2</v>
      </c>
      <c r="AG1106" s="100">
        <f>IF('Net zero activities &amp; levers'!$C$14="Off",('Activity data'!AZ12*EF!$H43*EF!$H61)*NtoN2O*kgtoGg,IF('Net zero activities &amp; levers'!$C$14="On",('Net zero Activity data'!AZ12*EF!$H43*EF!$H61)*NtoN2O*kgtoGg,"ERROR"))</f>
        <v>6.5501628349978927E-2</v>
      </c>
      <c r="AH1106" s="100">
        <f>IF('Net zero activities &amp; levers'!$C$14="Off",('Activity data'!BA12*EF!$H43*EF!$H61)*NtoN2O*kgtoGg,IF('Net zero activities &amp; levers'!$C$14="On",('Net zero Activity data'!BA12*EF!$H43*EF!$H61)*NtoN2O*kgtoGg,"ERROR"))</f>
        <v>6.506122418083396E-2</v>
      </c>
      <c r="AI1106" s="100">
        <f>IF('Net zero activities &amp; levers'!$C$14="Off",('Activity data'!BB12*EF!$H43*EF!$H61)*NtoN2O*kgtoGg,IF('Net zero activities &amp; levers'!$C$14="On",('Net zero Activity data'!BB12*EF!$H43*EF!$H61)*NtoN2O*kgtoGg,"ERROR"))</f>
        <v>6.512376853633306E-2</v>
      </c>
      <c r="AJ1106" s="100">
        <f>IF('Net zero activities &amp; levers'!$C$14="Off",('Activity data'!BC12*EF!$H43*EF!$H61)*NtoN2O*kgtoGg,IF('Net zero activities &amp; levers'!$C$14="On",('Net zero Activity data'!BC12*EF!$H43*EF!$H61)*NtoN2O*kgtoGg,"ERROR"))</f>
        <v>6.5192786542432504E-2</v>
      </c>
      <c r="AK1106" s="100">
        <f>IF('Net zero activities &amp; levers'!$C$14="Off",('Activity data'!BD12*EF!$H43*EF!$H61)*NtoN2O*kgtoGg,IF('Net zero activities &amp; levers'!$C$14="On",('Net zero Activity data'!BD12*EF!$H43*EF!$H61)*NtoN2O*kgtoGg,"ERROR"))</f>
        <v>6.5268033630044034E-2</v>
      </c>
      <c r="AL1106" s="100">
        <f>IF('Net zero activities &amp; levers'!$C$14="Off",('Activity data'!BE12*EF!$H43*EF!$H61)*NtoN2O*kgtoGg,IF('Net zero activities &amp; levers'!$C$14="On",('Net zero Activity data'!BE12*EF!$H43*EF!$H61)*NtoN2O*kgtoGg,"ERROR"))</f>
        <v>6.534928413374741E-2</v>
      </c>
      <c r="AM1106" s="100">
        <f>IF('Net zero activities &amp; levers'!$C$14="Off",('Activity data'!BF12*EF!$H43*EF!$H61)*NtoN2O*kgtoGg,IF('Net zero activities &amp; levers'!$C$14="On",('Net zero Activity data'!BF12*EF!$H43*EF!$H61)*NtoN2O*kgtoGg,"ERROR"))</f>
        <v>6.5436329497975634E-2</v>
      </c>
      <c r="AN1106" s="100">
        <f>IF('Net zero activities &amp; levers'!$C$14="Off",('Activity data'!BG12*EF!$H43*EF!$H61)*NtoN2O*kgtoGg,IF('Net zero activities &amp; levers'!$C$14="On",('Net zero Activity data'!BG12*EF!$H43*EF!$H61)*NtoN2O*kgtoGg,"ERROR"))</f>
        <v>6.54785726921783E-2</v>
      </c>
      <c r="AO1106" s="100">
        <f>IF('Net zero activities &amp; levers'!$C$14="Off",('Activity data'!BH12*EF!$H43*EF!$H61)*NtoN2O*kgtoGg,IF('Net zero activities &amp; levers'!$C$14="On",('Net zero Activity data'!BH12*EF!$H43*EF!$H61)*NtoN2O*kgtoGg,"ERROR"))</f>
        <v>6.552592152750053E-2</v>
      </c>
      <c r="AP1106" s="100">
        <f>IF('Net zero activities &amp; levers'!$C$14="Off",('Activity data'!BI12*EF!$H43*EF!$H61)*NtoN2O*kgtoGg,IF('Net zero activities &amp; levers'!$C$14="On",('Net zero Activity data'!BI12*EF!$H43*EF!$H61)*NtoN2O*kgtoGg,"ERROR"))</f>
        <v>6.557819831559332E-2</v>
      </c>
      <c r="AQ1106" s="100">
        <f>IF('Net zero activities &amp; levers'!$C$14="Off",('Activity data'!BJ12*EF!$H43*EF!$H61)*NtoN2O*kgtoGg,IF('Net zero activities &amp; levers'!$C$14="On",('Net zero Activity data'!BJ12*EF!$H43*EF!$H61)*NtoN2O*kgtoGg,"ERROR"))</f>
        <v>6.5635237529753657E-2</v>
      </c>
      <c r="AR1106" s="100">
        <f>IF('Net zero activities &amp; levers'!$C$14="Off",('Activity data'!BK12*EF!$H43*EF!$H61)*NtoN2O*kgtoGg,IF('Net zero activities &amp; levers'!$C$14="On",('Net zero Activity data'!BK12*EF!$H43*EF!$H61)*NtoN2O*kgtoGg,"ERROR"))</f>
        <v>6.5696884771733188E-2</v>
      </c>
      <c r="AS1106" s="100">
        <f>IF('Net zero activities &amp; levers'!$C$14="Off",('Activity data'!BL12*EF!$H43*EF!$H61)*NtoN2O*kgtoGg,IF('Net zero activities &amp; levers'!$C$14="On",('Net zero Activity data'!BL12*EF!$H43*EF!$H61)*NtoN2O*kgtoGg,"ERROR"))</f>
        <v>6.5712092396439034E-2</v>
      </c>
      <c r="AT1106" s="100">
        <f>IF('Net zero activities &amp; levers'!$C$14="Off",('Activity data'!BM12*EF!$H43*EF!$H61)*NtoN2O*kgtoGg,IF('Net zero activities &amp; levers'!$C$14="On",('Net zero Activity data'!BM12*EF!$H43*EF!$H61)*NtoN2O*kgtoGg,"ERROR"))</f>
        <v>6.5731389643727739E-2</v>
      </c>
      <c r="AU1106" s="100">
        <f>IF('Net zero activities &amp; levers'!$C$14="Off",('Activity data'!BN12*EF!$H43*EF!$H61)*NtoN2O*kgtoGg,IF('Net zero activities &amp; levers'!$C$14="On",('Net zero Activity data'!BN12*EF!$H43*EF!$H61)*NtoN2O*kgtoGg,"ERROR"))</f>
        <v>6.5754641065376054E-2</v>
      </c>
      <c r="AV1106" s="100">
        <f>IF('Net zero activities &amp; levers'!$C$14="Off",('Activity data'!BO12*EF!$H43*EF!$H61)*NtoN2O*kgtoGg,IF('Net zero activities &amp; levers'!$C$14="On",('Net zero Activity data'!BO12*EF!$H43*EF!$H61)*NtoN2O*kgtoGg,"ERROR"))</f>
        <v>6.578171948421814E-2</v>
      </c>
      <c r="AW1106" s="100">
        <f>IF('Net zero activities &amp; levers'!$C$14="Off",('Activity data'!BP12*EF!$H43*EF!$H61)*NtoN2O*kgtoGg,IF('Net zero activities &amp; levers'!$C$14="On",('Net zero Activity data'!BP12*EF!$H43*EF!$H61)*NtoN2O*kgtoGg,"ERROR"))</f>
        <v>6.5812505358088025E-2</v>
      </c>
      <c r="AY1106" s="85"/>
    </row>
    <row r="1107" spans="1:51" x14ac:dyDescent="0.25">
      <c r="A1107" s="102" t="str">
        <f t="shared" si="374"/>
        <v>CM Goats MMN2O</v>
      </c>
      <c r="B1107" s="102" t="s">
        <v>1323</v>
      </c>
      <c r="C1107" s="102" t="s">
        <v>1330</v>
      </c>
      <c r="D1107" t="s">
        <v>15</v>
      </c>
      <c r="E1107" t="s">
        <v>657</v>
      </c>
      <c r="F1107" t="s">
        <v>19</v>
      </c>
      <c r="G1107" t="s">
        <v>122</v>
      </c>
      <c r="H1107" t="s">
        <v>1228</v>
      </c>
      <c r="I1107" t="s">
        <v>139</v>
      </c>
      <c r="J1107" t="s">
        <v>287</v>
      </c>
      <c r="K1107" s="100">
        <f>IF('Net zero activities &amp; levers'!$C$14="Off",('Activity data'!AD13*EF!$H44*EF!$H62)*NtoN2O*kgtoGg,IF('Net zero activities &amp; levers'!$C$14="On",('Net zero Activity data'!AD13*EF!$H44*EF!$H62)*NtoN2O*kgtoGg,"ERROR"))</f>
        <v>1.4485648992970149E-2</v>
      </c>
      <c r="L1107" s="100">
        <f>IF('Net zero activities &amp; levers'!$C$14="Off",('Activity data'!AE13*EF!$H44*EF!$H62)*NtoN2O*kgtoGg,IF('Net zero activities &amp; levers'!$C$14="On",('Net zero Activity data'!AE13*EF!$H44*EF!$H62)*NtoN2O*kgtoGg,"ERROR"))</f>
        <v>1.4523430996818442E-2</v>
      </c>
      <c r="M1107" s="100">
        <f>IF('Net zero activities &amp; levers'!$C$14="Off",('Activity data'!AF13*EF!$H44*EF!$H62)*NtoN2O*kgtoGg,IF('Net zero activities &amp; levers'!$C$14="On",('Net zero Activity data'!AF13*EF!$H44*EF!$H62)*NtoN2O*kgtoGg,"ERROR"))</f>
        <v>1.4573778863725229E-2</v>
      </c>
      <c r="N1107" s="100">
        <f>IF('Net zero activities &amp; levers'!$C$14="Off",('Activity data'!AG13*EF!$H44*EF!$H62)*NtoN2O*kgtoGg,IF('Net zero activities &amp; levers'!$C$14="On",('Net zero Activity data'!AG13*EF!$H44*EF!$H62)*NtoN2O*kgtoGg,"ERROR"))</f>
        <v>1.4635573261684437E-2</v>
      </c>
      <c r="O1107" s="100">
        <f>IF('Net zero activities &amp; levers'!$C$14="Off",('Activity data'!AH13*EF!$H44*EF!$H62)*NtoN2O*kgtoGg,IF('Net zero activities &amp; levers'!$C$14="On",('Net zero Activity data'!AH13*EF!$H44*EF!$H62)*NtoN2O*kgtoGg,"ERROR"))</f>
        <v>1.4709556756482728E-2</v>
      </c>
      <c r="P1107" s="100">
        <f>IF('Net zero activities &amp; levers'!$C$14="Off",('Activity data'!AI13*EF!$H44*EF!$H62)*NtoN2O*kgtoGg,IF('Net zero activities &amp; levers'!$C$14="On",('Net zero Activity data'!AI13*EF!$H44*EF!$H62)*NtoN2O*kgtoGg,"ERROR"))</f>
        <v>1.4795926227225602E-2</v>
      </c>
      <c r="Q1107" s="100">
        <f>IF('Net zero activities &amp; levers'!$C$14="Off",('Activity data'!AJ13*EF!$H44*EF!$H62)*NtoN2O*kgtoGg,IF('Net zero activities &amp; levers'!$C$14="On",('Net zero Activity data'!AJ13*EF!$H44*EF!$H62)*NtoN2O*kgtoGg,"ERROR"))</f>
        <v>1.4888271114151717E-2</v>
      </c>
      <c r="R1107" s="100">
        <f>IF('Net zero activities &amp; levers'!$C$14="Off",('Activity data'!AK13*EF!$H44*EF!$H62)*NtoN2O*kgtoGg,IF('Net zero activities &amp; levers'!$C$14="On",('Net zero Activity data'!AK13*EF!$H44*EF!$H62)*NtoN2O*kgtoGg,"ERROR"))</f>
        <v>1.4985270961083385E-2</v>
      </c>
      <c r="S1107" s="100">
        <f>IF('Net zero activities &amp; levers'!$C$14="Off",('Activity data'!AL13*EF!$H44*EF!$H62)*NtoN2O*kgtoGg,IF('Net zero activities &amp; levers'!$C$14="On",('Net zero Activity data'!AL13*EF!$H44*EF!$H62)*NtoN2O*kgtoGg,"ERROR"))</f>
        <v>1.5075379558400602E-2</v>
      </c>
      <c r="T1107" s="100">
        <f>IF('Net zero activities &amp; levers'!$C$14="Off",('Activity data'!AM13*EF!$H44*EF!$H62)*NtoN2O*kgtoGg,IF('Net zero activities &amp; levers'!$C$14="On",('Net zero Activity data'!AM13*EF!$H44*EF!$H62)*NtoN2O*kgtoGg,"ERROR"))</f>
        <v>1.5117607192403527E-2</v>
      </c>
      <c r="U1107" s="100">
        <f>IF('Net zero activities &amp; levers'!$C$14="Off",('Activity data'!AN13*EF!$H44*EF!$H62)*NtoN2O*kgtoGg,IF('Net zero activities &amp; levers'!$C$14="On",('Net zero Activity data'!AN13*EF!$H44*EF!$H62)*NtoN2O*kgtoGg,"ERROR"))</f>
        <v>1.5163912133825485E-2</v>
      </c>
      <c r="V1107" s="100">
        <f>IF('Net zero activities &amp; levers'!$C$14="Off",('Activity data'!AO13*EF!$H44*EF!$H62)*NtoN2O*kgtoGg,IF('Net zero activities &amp; levers'!$C$14="On",('Net zero Activity data'!AO13*EF!$H44*EF!$H62)*NtoN2O*kgtoGg,"ERROR"))</f>
        <v>1.5214353144806386E-2</v>
      </c>
      <c r="W1107" s="100">
        <f>IF('Net zero activities &amp; levers'!$C$14="Off",('Activity data'!AP13*EF!$H44*EF!$H62)*NtoN2O*kgtoGg,IF('Net zero activities &amp; levers'!$C$14="On",('Net zero Activity data'!AP13*EF!$H44*EF!$H62)*NtoN2O*kgtoGg,"ERROR"))</f>
        <v>1.5269211713136204E-2</v>
      </c>
      <c r="X1107" s="100">
        <f>IF('Net zero activities &amp; levers'!$C$14="Off",('Activity data'!AQ13*EF!$H44*EF!$H62)*NtoN2O*kgtoGg,IF('Net zero activities &amp; levers'!$C$14="On",('Net zero Activity data'!AQ13*EF!$H44*EF!$H62)*NtoN2O*kgtoGg,"ERROR"))</f>
        <v>1.5327749231318039E-2</v>
      </c>
      <c r="Y1107" s="100">
        <f>IF('Net zero activities &amp; levers'!$C$14="Off",('Activity data'!AR13*EF!$H44*EF!$H62)*NtoN2O*kgtoGg,IF('Net zero activities &amp; levers'!$C$14="On",('Net zero Activity data'!AR13*EF!$H44*EF!$H62)*NtoN2O*kgtoGg,"ERROR"))</f>
        <v>1.5364750505414648E-2</v>
      </c>
      <c r="Z1107" s="100">
        <f>IF('Net zero activities &amp; levers'!$C$14="Off",('Activity data'!AS13*EF!$H44*EF!$H62)*NtoN2O*kgtoGg,IF('Net zero activities &amp; levers'!$C$14="On",('Net zero Activity data'!AS13*EF!$H44*EF!$H62)*NtoN2O*kgtoGg,"ERROR"))</f>
        <v>1.5404784002427285E-2</v>
      </c>
      <c r="AA1107" s="100">
        <f>IF('Net zero activities &amp; levers'!$C$14="Off",('Activity data'!AT13*EF!$H44*EF!$H62)*NtoN2O*kgtoGg,IF('Net zero activities &amp; levers'!$C$14="On",('Net zero Activity data'!AT13*EF!$H44*EF!$H62)*NtoN2O*kgtoGg,"ERROR"))</f>
        <v>1.5448015343528085E-2</v>
      </c>
      <c r="AB1107" s="100">
        <f>IF('Net zero activities &amp; levers'!$C$14="Off",('Activity data'!AU13*EF!$H44*EF!$H62)*NtoN2O*kgtoGg,IF('Net zero activities &amp; levers'!$C$14="On",('Net zero Activity data'!AU13*EF!$H44*EF!$H62)*NtoN2O*kgtoGg,"ERROR"))</f>
        <v>1.5493849362144254E-2</v>
      </c>
      <c r="AC1107" s="100">
        <f>IF('Net zero activities &amp; levers'!$C$14="Off",('Activity data'!AV13*EF!$H44*EF!$H62)*NtoN2O*kgtoGg,IF('Net zero activities &amp; levers'!$C$14="On",('Net zero Activity data'!AV13*EF!$H44*EF!$H62)*NtoN2O*kgtoGg,"ERROR"))</f>
        <v>1.5542469399401562E-2</v>
      </c>
      <c r="AD1107" s="100">
        <f>IF('Net zero activities &amp; levers'!$C$14="Off",('Activity data'!AW13*EF!$H44*EF!$H62)*NtoN2O*kgtoGg,IF('Net zero activities &amp; levers'!$C$14="On",('Net zero Activity data'!AW13*EF!$H44*EF!$H62)*NtoN2O*kgtoGg,"ERROR"))</f>
        <v>1.5574312295454071E-2</v>
      </c>
      <c r="AE1107" s="100">
        <f>IF('Net zero activities &amp; levers'!$C$14="Off",('Activity data'!AX13*EF!$H44*EF!$H62)*NtoN2O*kgtoGg,IF('Net zero activities &amp; levers'!$C$14="On",('Net zero Activity data'!AX13*EF!$H44*EF!$H62)*NtoN2O*kgtoGg,"ERROR"))</f>
        <v>1.5608846144431889E-2</v>
      </c>
      <c r="AF1107" s="100">
        <f>IF('Net zero activities &amp; levers'!$C$14="Off",('Activity data'!AY13*EF!$H44*EF!$H62)*NtoN2O*kgtoGg,IF('Net zero activities &amp; levers'!$C$14="On",('Net zero Activity data'!AY13*EF!$H44*EF!$H62)*NtoN2O*kgtoGg,"ERROR"))</f>
        <v>1.5645779000697076E-2</v>
      </c>
      <c r="AG1107" s="100">
        <f>IF('Net zero activities &amp; levers'!$C$14="Off",('Activity data'!AZ13*EF!$H44*EF!$H62)*NtoN2O*kgtoGg,IF('Net zero activities &amp; levers'!$C$14="On",('Net zero Activity data'!AZ13*EF!$H44*EF!$H62)*NtoN2O*kgtoGg,"ERROR"))</f>
        <v>1.5680933682266716E-2</v>
      </c>
      <c r="AH1107" s="100">
        <f>IF('Net zero activities &amp; levers'!$C$14="Off",('Activity data'!BA13*EF!$H44*EF!$H62)*NtoN2O*kgtoGg,IF('Net zero activities &amp; levers'!$C$14="On",('Net zero Activity data'!BA13*EF!$H44*EF!$H62)*NtoN2O*kgtoGg,"ERROR"))</f>
        <v>1.552725676648822E-2</v>
      </c>
      <c r="AI1107" s="100">
        <f>IF('Net zero activities &amp; levers'!$C$14="Off",('Activity data'!BB13*EF!$H44*EF!$H62)*NtoN2O*kgtoGg,IF('Net zero activities &amp; levers'!$C$14="On",('Net zero Activity data'!BB13*EF!$H44*EF!$H62)*NtoN2O*kgtoGg,"ERROR"))</f>
        <v>1.5547818779843832E-2</v>
      </c>
      <c r="AJ1107" s="100">
        <f>IF('Net zero activities &amp; levers'!$C$14="Off",('Activity data'!BC13*EF!$H44*EF!$H62)*NtoN2O*kgtoGg,IF('Net zero activities &amp; levers'!$C$14="On",('Net zero Activity data'!BC13*EF!$H44*EF!$H62)*NtoN2O*kgtoGg,"ERROR"))</f>
        <v>1.5570224487070797E-2</v>
      </c>
      <c r="AK1107" s="100">
        <f>IF('Net zero activities &amp; levers'!$C$14="Off",('Activity data'!BD13*EF!$H44*EF!$H62)*NtoN2O*kgtoGg,IF('Net zero activities &amp; levers'!$C$14="On",('Net zero Activity data'!BD13*EF!$H44*EF!$H62)*NtoN2O*kgtoGg,"ERROR"))</f>
        <v>1.5594399014227253E-2</v>
      </c>
      <c r="AL1107" s="100">
        <f>IF('Net zero activities &amp; levers'!$C$14="Off",('Activity data'!BE13*EF!$H44*EF!$H62)*NtoN2O*kgtoGg,IF('Net zero activities &amp; levers'!$C$14="On",('Net zero Activity data'!BE13*EF!$H44*EF!$H62)*NtoN2O*kgtoGg,"ERROR"))</f>
        <v>1.5620273295013296E-2</v>
      </c>
      <c r="AM1107" s="100">
        <f>IF('Net zero activities &amp; levers'!$C$14="Off",('Activity data'!BF13*EF!$H44*EF!$H62)*NtoN2O*kgtoGg,IF('Net zero activities &amp; levers'!$C$14="On",('Net zero Activity data'!BF13*EF!$H44*EF!$H62)*NtoN2O*kgtoGg,"ERROR"))</f>
        <v>1.5647783514700201E-2</v>
      </c>
      <c r="AN1107" s="100">
        <f>IF('Net zero activities &amp; levers'!$C$14="Off",('Activity data'!BG13*EF!$H44*EF!$H62)*NtoN2O*kgtoGg,IF('Net zero activities &amp; levers'!$C$14="On",('Net zero Activity data'!BG13*EF!$H44*EF!$H62)*NtoN2O*kgtoGg,"ERROR"))</f>
        <v>1.5659592232765602E-2</v>
      </c>
      <c r="AO1107" s="100">
        <f>IF('Net zero activities &amp; levers'!$C$14="Off",('Activity data'!BH13*EF!$H44*EF!$H62)*NtoN2O*kgtoGg,IF('Net zero activities &amp; levers'!$C$14="On",('Net zero Activity data'!BH13*EF!$H44*EF!$H62)*NtoN2O*kgtoGg,"ERROR"))</f>
        <v>1.5672874713872142E-2</v>
      </c>
      <c r="AP1107" s="100">
        <f>IF('Net zero activities &amp; levers'!$C$14="Off",('Activity data'!BI13*EF!$H44*EF!$H62)*NtoN2O*kgtoGg,IF('Net zero activities &amp; levers'!$C$14="On",('Net zero Activity data'!BI13*EF!$H44*EF!$H62)*NtoN2O*kgtoGg,"ERROR"))</f>
        <v>1.5687575397224301E-2</v>
      </c>
      <c r="AQ1107" s="100">
        <f>IF('Net zero activities &amp; levers'!$C$14="Off",('Activity data'!BJ13*EF!$H44*EF!$H62)*NtoN2O*kgtoGg,IF('Net zero activities &amp; levers'!$C$14="On",('Net zero Activity data'!BJ13*EF!$H44*EF!$H62)*NtoN2O*kgtoGg,"ERROR"))</f>
        <v>1.5703642533627795E-2</v>
      </c>
      <c r="AR1107" s="100">
        <f>IF('Net zero activities &amp; levers'!$C$14="Off",('Activity data'!BK13*EF!$H44*EF!$H62)*NtoN2O*kgtoGg,IF('Net zero activities &amp; levers'!$C$14="On",('Net zero Activity data'!BK13*EF!$H44*EF!$H62)*NtoN2O*kgtoGg,"ERROR"))</f>
        <v>1.5721027858938724E-2</v>
      </c>
      <c r="AS1107" s="100">
        <f>IF('Net zero activities &amp; levers'!$C$14="Off",('Activity data'!BL13*EF!$H44*EF!$H62)*NtoN2O*kgtoGg,IF('Net zero activities &amp; levers'!$C$14="On",('Net zero Activity data'!BL13*EF!$H44*EF!$H62)*NtoN2O*kgtoGg,"ERROR"))</f>
        <v>1.572238426100139E-2</v>
      </c>
      <c r="AT1107" s="100">
        <f>IF('Net zero activities &amp; levers'!$C$14="Off",('Activity data'!BM13*EF!$H44*EF!$H62)*NtoN2O*kgtoGg,IF('Net zero activities &amp; levers'!$C$14="On",('Net zero Activity data'!BM13*EF!$H44*EF!$H62)*NtoN2O*kgtoGg,"ERROR"))</f>
        <v>1.5724946955034496E-2</v>
      </c>
      <c r="AU1107" s="100">
        <f>IF('Net zero activities &amp; levers'!$C$14="Off",('Activity data'!BN13*EF!$H44*EF!$H62)*NtoN2O*kgtoGg,IF('Net zero activities &amp; levers'!$C$14="On",('Net zero Activity data'!BN13*EF!$H44*EF!$H62)*NtoN2O*kgtoGg,"ERROR"))</f>
        <v>1.5728672619393889E-2</v>
      </c>
      <c r="AV1107" s="100">
        <f>IF('Net zero activities &amp; levers'!$C$14="Off",('Activity data'!BO13*EF!$H44*EF!$H62)*NtoN2O*kgtoGg,IF('Net zero activities &amp; levers'!$C$14="On",('Net zero Activity data'!BO13*EF!$H44*EF!$H62)*NtoN2O*kgtoGg,"ERROR"))</f>
        <v>1.5733520584102465E-2</v>
      </c>
      <c r="AW1107" s="100">
        <f>IF('Net zero activities &amp; levers'!$C$14="Off",('Activity data'!BP13*EF!$H44*EF!$H62)*NtoN2O*kgtoGg,IF('Net zero activities &amp; levers'!$C$14="On",('Net zero Activity data'!BP13*EF!$H44*EF!$H62)*NtoN2O*kgtoGg,"ERROR"))</f>
        <v>1.5739452625419498E-2</v>
      </c>
      <c r="AY1107" s="85"/>
    </row>
    <row r="1108" spans="1:51" x14ac:dyDescent="0.25">
      <c r="A1108" s="102" t="str">
        <f t="shared" si="374"/>
        <v>CM Goats MMN2O</v>
      </c>
      <c r="B1108" s="102" t="s">
        <v>1323</v>
      </c>
      <c r="C1108" s="102" t="s">
        <v>1330</v>
      </c>
      <c r="D1108" t="s">
        <v>15</v>
      </c>
      <c r="E1108" t="s">
        <v>657</v>
      </c>
      <c r="F1108" t="s">
        <v>19</v>
      </c>
      <c r="G1108" t="s">
        <v>123</v>
      </c>
      <c r="H1108" t="s">
        <v>1228</v>
      </c>
      <c r="I1108" t="s">
        <v>139</v>
      </c>
      <c r="J1108" t="s">
        <v>287</v>
      </c>
      <c r="K1108" s="100">
        <f>IF('Net zero activities &amp; levers'!$C$14="Off",('Activity data'!AD14*EF!$H45*EF!$H63)*NtoN2O*kgtoGg,IF('Net zero activities &amp; levers'!$C$14="On",('Net zero Activity data'!AD14*EF!$H45*EF!$H63)*NtoN2O*kgtoGg,"ERROR"))</f>
        <v>0.1148405820648936</v>
      </c>
      <c r="L1108" s="100">
        <f>IF('Net zero activities &amp; levers'!$C$14="Off",('Activity data'!AE14*EF!$H45*EF!$H63)*NtoN2O*kgtoGg,IF('Net zero activities &amp; levers'!$C$14="On",('Net zero Activity data'!AE14*EF!$H45*EF!$H63)*NtoN2O*kgtoGg,"ERROR"))</f>
        <v>0.11514011350567485</v>
      </c>
      <c r="M1108" s="100">
        <f>IF('Net zero activities &amp; levers'!$C$14="Off",('Activity data'!AF14*EF!$H45*EF!$H63)*NtoN2O*kgtoGg,IF('Net zero activities &amp; levers'!$C$14="On",('Net zero Activity data'!AF14*EF!$H45*EF!$H63)*NtoN2O*kgtoGg,"ERROR"))</f>
        <v>0.1155392656833997</v>
      </c>
      <c r="N1108" s="100">
        <f>IF('Net zero activities &amp; levers'!$C$14="Off",('Activity data'!AG14*EF!$H45*EF!$H63)*NtoN2O*kgtoGg,IF('Net zero activities &amp; levers'!$C$14="On",('Net zero Activity data'!AG14*EF!$H45*EF!$H63)*NtoN2O*kgtoGg,"ERROR"))</f>
        <v>0.11602916466089314</v>
      </c>
      <c r="O1108" s="100">
        <f>IF('Net zero activities &amp; levers'!$C$14="Off",('Activity data'!AH14*EF!$H45*EF!$H63)*NtoN2O*kgtoGg,IF('Net zero activities &amp; levers'!$C$14="On",('Net zero Activity data'!AH14*EF!$H45*EF!$H63)*NtoN2O*kgtoGg,"ERROR"))</f>
        <v>0.11661569741548039</v>
      </c>
      <c r="P1108" s="100">
        <f>IF('Net zero activities &amp; levers'!$C$14="Off",('Activity data'!AI14*EF!$H45*EF!$H63)*NtoN2O*kgtoGg,IF('Net zero activities &amp; levers'!$C$14="On",('Net zero Activity data'!AI14*EF!$H45*EF!$H63)*NtoN2O*kgtoGg,"ERROR"))</f>
        <v>0.11730042478237726</v>
      </c>
      <c r="Q1108" s="100">
        <f>IF('Net zero activities &amp; levers'!$C$14="Off",('Activity data'!AJ14*EF!$H45*EF!$H63)*NtoN2O*kgtoGg,IF('Net zero activities &amp; levers'!$C$14="On",('Net zero Activity data'!AJ14*EF!$H45*EF!$H63)*NtoN2O*kgtoGg,"ERROR"))</f>
        <v>0.11803252457096508</v>
      </c>
      <c r="R1108" s="100">
        <f>IF('Net zero activities &amp; levers'!$C$14="Off",('Activity data'!AK14*EF!$H45*EF!$H63)*NtoN2O*kgtoGg,IF('Net zero activities &amp; levers'!$C$14="On",('Net zero Activity data'!AK14*EF!$H45*EF!$H63)*NtoN2O*kgtoGg,"ERROR"))</f>
        <v>0.11880152835445074</v>
      </c>
      <c r="S1108" s="100">
        <f>IF('Net zero activities &amp; levers'!$C$14="Off",('Activity data'!AL14*EF!$H45*EF!$H63)*NtoN2O*kgtoGg,IF('Net zero activities &amp; levers'!$C$14="On",('Net zero Activity data'!AL14*EF!$H45*EF!$H63)*NtoN2O*kgtoGg,"ERROR"))</f>
        <v>0.11951589909268844</v>
      </c>
      <c r="T1108" s="100">
        <f>IF('Net zero activities &amp; levers'!$C$14="Off",('Activity data'!AM14*EF!$H45*EF!$H63)*NtoN2O*kgtoGg,IF('Net zero activities &amp; levers'!$C$14="On",('Net zero Activity data'!AM14*EF!$H45*EF!$H63)*NtoN2O*kgtoGg,"ERROR"))</f>
        <v>0.11985067498505422</v>
      </c>
      <c r="U1108" s="100">
        <f>IF('Net zero activities &amp; levers'!$C$14="Off",('Activity data'!AN14*EF!$H45*EF!$H63)*NtoN2O*kgtoGg,IF('Net zero activities &amp; levers'!$C$14="On",('Net zero Activity data'!AN14*EF!$H45*EF!$H63)*NtoN2O*kgtoGg,"ERROR"))</f>
        <v>0.12021777530813667</v>
      </c>
      <c r="V1108" s="100">
        <f>IF('Net zero activities &amp; levers'!$C$14="Off",('Activity data'!AO14*EF!$H45*EF!$H63)*NtoN2O*kgtoGg,IF('Net zero activities &amp; levers'!$C$14="On",('Net zero Activity data'!AO14*EF!$H45*EF!$H63)*NtoN2O*kgtoGg,"ERROR"))</f>
        <v>0.12061766592151543</v>
      </c>
      <c r="W1108" s="100">
        <f>IF('Net zero activities &amp; levers'!$C$14="Off",('Activity data'!AP14*EF!$H45*EF!$H63)*NtoN2O*kgtoGg,IF('Net zero activities &amp; levers'!$C$14="On",('Net zero Activity data'!AP14*EF!$H45*EF!$H63)*NtoN2O*kgtoGg,"ERROR"))</f>
        <v>0.12105257842845937</v>
      </c>
      <c r="X1108" s="100">
        <f>IF('Net zero activities &amp; levers'!$C$14="Off",('Activity data'!AQ14*EF!$H45*EF!$H63)*NtoN2O*kgtoGg,IF('Net zero activities &amp; levers'!$C$14="On",('Net zero Activity data'!AQ14*EF!$H45*EF!$H63)*NtoN2O*kgtoGg,"ERROR"))</f>
        <v>0.12151665723251566</v>
      </c>
      <c r="Y1108" s="100">
        <f>IF('Net zero activities &amp; levers'!$C$14="Off",('Activity data'!AR14*EF!$H45*EF!$H63)*NtoN2O*kgtoGg,IF('Net zero activities &amp; levers'!$C$14="On",('Net zero Activity data'!AR14*EF!$H45*EF!$H63)*NtoN2O*kgtoGg,"ERROR"))</f>
        <v>0.12180999913638614</v>
      </c>
      <c r="Z1108" s="100">
        <f>IF('Net zero activities &amp; levers'!$C$14="Off",('Activity data'!AS14*EF!$H45*EF!$H63)*NtoN2O*kgtoGg,IF('Net zero activities &amp; levers'!$C$14="On",('Net zero Activity data'!AS14*EF!$H45*EF!$H63)*NtoN2O*kgtoGg,"ERROR"))</f>
        <v>0.12212738015958056</v>
      </c>
      <c r="AA1108" s="100">
        <f>IF('Net zero activities &amp; levers'!$C$14="Off",('Activity data'!AT14*EF!$H45*EF!$H63)*NtoN2O*kgtoGg,IF('Net zero activities &amp; levers'!$C$14="On",('Net zero Activity data'!AT14*EF!$H45*EF!$H63)*NtoN2O*kgtoGg,"ERROR"))</f>
        <v>0.12247011332796476</v>
      </c>
      <c r="AB1108" s="100">
        <f>IF('Net zero activities &amp; levers'!$C$14="Off",('Activity data'!AU14*EF!$H45*EF!$H63)*NtoN2O*kgtoGg,IF('Net zero activities &amp; levers'!$C$14="On",('Net zero Activity data'!AU14*EF!$H45*EF!$H63)*NtoN2O*kgtoGg,"ERROR"))</f>
        <v>0.12283348022846115</v>
      </c>
      <c r="AC1108" s="100">
        <f>IF('Net zero activities &amp; levers'!$C$14="Off",('Activity data'!AV14*EF!$H45*EF!$H63)*NtoN2O*kgtoGg,IF('Net zero activities &amp; levers'!$C$14="On",('Net zero Activity data'!AV14*EF!$H45*EF!$H63)*NtoN2O*kgtoGg,"ERROR"))</f>
        <v>0.12321893436871788</v>
      </c>
      <c r="AD1108" s="100">
        <f>IF('Net zero activities &amp; levers'!$C$14="Off",('Activity data'!AW14*EF!$H45*EF!$H63)*NtoN2O*kgtoGg,IF('Net zero activities &amp; levers'!$C$14="On",('Net zero Activity data'!AW14*EF!$H45*EF!$H63)*NtoN2O*kgtoGg,"ERROR"))</f>
        <v>0.12347138123658526</v>
      </c>
      <c r="AE1108" s="100">
        <f>IF('Net zero activities &amp; levers'!$C$14="Off",('Activity data'!AX14*EF!$H45*EF!$H63)*NtoN2O*kgtoGg,IF('Net zero activities &amp; levers'!$C$14="On",('Net zero Activity data'!AX14*EF!$H45*EF!$H63)*NtoN2O*kgtoGg,"ERROR"))</f>
        <v>0.12374516167400154</v>
      </c>
      <c r="AF1108" s="100">
        <f>IF('Net zero activities &amp; levers'!$C$14="Off",('Activity data'!AY14*EF!$H45*EF!$H63)*NtoN2O*kgtoGg,IF('Net zero activities &amp; levers'!$C$14="On",('Net zero Activity data'!AY14*EF!$H45*EF!$H63)*NtoN2O*kgtoGg,"ERROR"))</f>
        <v>0.12403796116906533</v>
      </c>
      <c r="AG1108" s="100">
        <f>IF('Net zero activities &amp; levers'!$C$14="Off",('Activity data'!AZ14*EF!$H45*EF!$H63)*NtoN2O*kgtoGg,IF('Net zero activities &amp; levers'!$C$14="On",('Net zero Activity data'!AZ14*EF!$H45*EF!$H63)*NtoN2O*kgtoGg,"ERROR"))</f>
        <v>0.12431666349684663</v>
      </c>
      <c r="AH1108" s="100">
        <f>IF('Net zero activities &amp; levers'!$C$14="Off",('Activity data'!BA14*EF!$H45*EF!$H63)*NtoN2O*kgtoGg,IF('Net zero activities &amp; levers'!$C$14="On",('Net zero Activity data'!BA14*EF!$H45*EF!$H63)*NtoN2O*kgtoGg,"ERROR"))</f>
        <v>0.12309833034059625</v>
      </c>
      <c r="AI1108" s="100">
        <f>IF('Net zero activities &amp; levers'!$C$14="Off",('Activity data'!BB14*EF!$H45*EF!$H63)*NtoN2O*kgtoGg,IF('Net zero activities &amp; levers'!$C$14="On",('Net zero Activity data'!BB14*EF!$H45*EF!$H63)*NtoN2O*kgtoGg,"ERROR"))</f>
        <v>0.12326134365006759</v>
      </c>
      <c r="AJ1108" s="100">
        <f>IF('Net zero activities &amp; levers'!$C$14="Off",('Activity data'!BC14*EF!$H45*EF!$H63)*NtoN2O*kgtoGg,IF('Net zero activities &amp; levers'!$C$14="On",('Net zero Activity data'!BC14*EF!$H45*EF!$H63)*NtoN2O*kgtoGg,"ERROR"))</f>
        <v>0.12343897355541526</v>
      </c>
      <c r="AK1108" s="100">
        <f>IF('Net zero activities &amp; levers'!$C$14="Off",('Activity data'!BD14*EF!$H45*EF!$H63)*NtoN2O*kgtoGg,IF('Net zero activities &amp; levers'!$C$14="On",('Net zero Activity data'!BD14*EF!$H45*EF!$H63)*NtoN2O*kgtoGg,"ERROR"))</f>
        <v>0.12363062646452125</v>
      </c>
      <c r="AL1108" s="100">
        <f>IF('Net zero activities &amp; levers'!$C$14="Off",('Activity data'!BE14*EF!$H45*EF!$H63)*NtoN2O*kgtoGg,IF('Net zero activities &amp; levers'!$C$14="On",('Net zero Activity data'!BE14*EF!$H45*EF!$H63)*NtoN2O*kgtoGg,"ERROR"))</f>
        <v>0.12383575482759435</v>
      </c>
      <c r="AM1108" s="100">
        <f>IF('Net zero activities &amp; levers'!$C$14="Off",('Activity data'!BF14*EF!$H45*EF!$H63)*NtoN2O*kgtoGg,IF('Net zero activities &amp; levers'!$C$14="On",('Net zero Activity data'!BF14*EF!$H45*EF!$H63)*NtoN2O*kgtoGg,"ERROR"))</f>
        <v>0.12405385272870395</v>
      </c>
      <c r="AN1108" s="100">
        <f>IF('Net zero activities &amp; levers'!$C$14="Off",('Activity data'!BG14*EF!$H45*EF!$H63)*NtoN2O*kgtoGg,IF('Net zero activities &amp; levers'!$C$14="On",('Net zero Activity data'!BG14*EF!$H45*EF!$H63)*NtoN2O*kgtoGg,"ERROR"))</f>
        <v>0.12414747090602753</v>
      </c>
      <c r="AO1108" s="100">
        <f>IF('Net zero activities &amp; levers'!$C$14="Off",('Activity data'!BH14*EF!$H45*EF!$H63)*NtoN2O*kgtoGg,IF('Net zero activities &amp; levers'!$C$14="On",('Net zero Activity data'!BH14*EF!$H45*EF!$H63)*NtoN2O*kgtoGg,"ERROR"))</f>
        <v>0.12425277290956782</v>
      </c>
      <c r="AP1108" s="100">
        <f>IF('Net zero activities &amp; levers'!$C$14="Off",('Activity data'!BI14*EF!$H45*EF!$H63)*NtoN2O*kgtoGg,IF('Net zero activities &amp; levers'!$C$14="On",('Net zero Activity data'!BI14*EF!$H45*EF!$H63)*NtoN2O*kgtoGg,"ERROR"))</f>
        <v>0.12436931825964037</v>
      </c>
      <c r="AQ1108" s="100">
        <f>IF('Net zero activities &amp; levers'!$C$14="Off",('Activity data'!BJ14*EF!$H45*EF!$H63)*NtoN2O*kgtoGg,IF('Net zero activities &amp; levers'!$C$14="On",('Net zero Activity data'!BJ14*EF!$H45*EF!$H63)*NtoN2O*kgtoGg,"ERROR"))</f>
        <v>0.12449669669450293</v>
      </c>
      <c r="AR1108" s="100">
        <f>IF('Net zero activities &amp; levers'!$C$14="Off",('Activity data'!BK14*EF!$H45*EF!$H63)*NtoN2O*kgtoGg,IF('Net zero activities &amp; levers'!$C$14="On",('Net zero Activity data'!BK14*EF!$H45*EF!$H63)*NtoN2O*kgtoGg,"ERROR"))</f>
        <v>0.12463452558149747</v>
      </c>
      <c r="AS1108" s="100">
        <f>IF('Net zero activities &amp; levers'!$C$14="Off",('Activity data'!BL14*EF!$H45*EF!$H63)*NtoN2O*kgtoGg,IF('Net zero activities &amp; levers'!$C$14="On",('Net zero Activity data'!BL14*EF!$H45*EF!$H63)*NtoN2O*kgtoGg,"ERROR"))</f>
        <v>0.12464527898318946</v>
      </c>
      <c r="AT1108" s="100">
        <f>IF('Net zero activities &amp; levers'!$C$14="Off",('Activity data'!BM14*EF!$H45*EF!$H63)*NtoN2O*kgtoGg,IF('Net zero activities &amp; levers'!$C$14="On",('Net zero Activity data'!BM14*EF!$H45*EF!$H63)*NtoN2O*kgtoGg,"ERROR"))</f>
        <v>0.12466559573078972</v>
      </c>
      <c r="AU1108" s="100">
        <f>IF('Net zero activities &amp; levers'!$C$14="Off",('Activity data'!BN14*EF!$H45*EF!$H63)*NtoN2O*kgtoGg,IF('Net zero activities &amp; levers'!$C$14="On",('Net zero Activity data'!BN14*EF!$H45*EF!$H63)*NtoN2O*kgtoGg,"ERROR"))</f>
        <v>0.12469513237521754</v>
      </c>
      <c r="AV1108" s="100">
        <f>IF('Net zero activities &amp; levers'!$C$14="Off",('Activity data'!BO14*EF!$H45*EF!$H63)*NtoN2O*kgtoGg,IF('Net zero activities &amp; levers'!$C$14="On",('Net zero Activity data'!BO14*EF!$H45*EF!$H63)*NtoN2O*kgtoGg,"ERROR"))</f>
        <v>0.1247335664895077</v>
      </c>
      <c r="AW1108" s="100">
        <f>IF('Net zero activities &amp; levers'!$C$14="Off",('Activity data'!BP14*EF!$H45*EF!$H63)*NtoN2O*kgtoGg,IF('Net zero activities &amp; levers'!$C$14="On",('Net zero Activity data'!BP14*EF!$H45*EF!$H63)*NtoN2O*kgtoGg,"ERROR"))</f>
        <v>0.12478059504017958</v>
      </c>
      <c r="AY1108" s="85"/>
    </row>
    <row r="1109" spans="1:51" x14ac:dyDescent="0.25">
      <c r="A1109" s="102" t="str">
        <f t="shared" si="374"/>
        <v>CM Horses MMN2O</v>
      </c>
      <c r="B1109" s="102" t="s">
        <v>1323</v>
      </c>
      <c r="C1109" s="102" t="s">
        <v>1331</v>
      </c>
      <c r="D1109" t="s">
        <v>15</v>
      </c>
      <c r="E1109" t="s">
        <v>657</v>
      </c>
      <c r="F1109" t="s">
        <v>20</v>
      </c>
      <c r="G1109" t="s">
        <v>3</v>
      </c>
      <c r="H1109" t="s">
        <v>1228</v>
      </c>
      <c r="I1109" t="s">
        <v>139</v>
      </c>
      <c r="J1109" t="s">
        <v>287</v>
      </c>
      <c r="K1109" s="100">
        <f>IF('Net zero activities &amp; levers'!$C$14="Off",('Activity data'!AD15*EF!$H46*EF!$H64)*NtoN2O*kgtoGg,IF('Net zero activities &amp; levers'!$C$14="On",('Net zero Activity data'!AD15*EF!$H46*EF!$H64)*NtoN2O*kgtoGg,"ERROR"))</f>
        <v>0</v>
      </c>
      <c r="L1109" s="100">
        <f>IF('Net zero activities &amp; levers'!$C$14="Off",('Activity data'!AE15*EF!$H46*EF!$H64)*NtoN2O*kgtoGg,IF('Net zero activities &amp; levers'!$C$14="On",('Net zero Activity data'!AE15*EF!$H46*EF!$H64)*NtoN2O*kgtoGg,"ERROR"))</f>
        <v>0</v>
      </c>
      <c r="M1109" s="100">
        <f>IF('Net zero activities &amp; levers'!$C$14="Off",('Activity data'!AF15*EF!$H46*EF!$H64)*NtoN2O*kgtoGg,IF('Net zero activities &amp; levers'!$C$14="On",('Net zero Activity data'!AF15*EF!$H46*EF!$H64)*NtoN2O*kgtoGg,"ERROR"))</f>
        <v>0</v>
      </c>
      <c r="N1109" s="100">
        <f>IF('Net zero activities &amp; levers'!$C$14="Off",('Activity data'!AG15*EF!$H46*EF!$H64)*NtoN2O*kgtoGg,IF('Net zero activities &amp; levers'!$C$14="On",('Net zero Activity data'!AG15*EF!$H46*EF!$H64)*NtoN2O*kgtoGg,"ERROR"))</f>
        <v>0</v>
      </c>
      <c r="O1109" s="100">
        <f>IF('Net zero activities &amp; levers'!$C$14="Off",('Activity data'!AH15*EF!$H46*EF!$H64)*NtoN2O*kgtoGg,IF('Net zero activities &amp; levers'!$C$14="On",('Net zero Activity data'!AH15*EF!$H46*EF!$H64)*NtoN2O*kgtoGg,"ERROR"))</f>
        <v>0</v>
      </c>
      <c r="P1109" s="100">
        <f>IF('Net zero activities &amp; levers'!$C$14="Off",('Activity data'!AI15*EF!$H46*EF!$H64)*NtoN2O*kgtoGg,IF('Net zero activities &amp; levers'!$C$14="On",('Net zero Activity data'!AI15*EF!$H46*EF!$H64)*NtoN2O*kgtoGg,"ERROR"))</f>
        <v>0</v>
      </c>
      <c r="Q1109" s="100">
        <f>IF('Net zero activities &amp; levers'!$C$14="Off",('Activity data'!AJ15*EF!$H46*EF!$H64)*NtoN2O*kgtoGg,IF('Net zero activities &amp; levers'!$C$14="On",('Net zero Activity data'!AJ15*EF!$H46*EF!$H64)*NtoN2O*kgtoGg,"ERROR"))</f>
        <v>0</v>
      </c>
      <c r="R1109" s="100">
        <f>IF('Net zero activities &amp; levers'!$C$14="Off",('Activity data'!AK15*EF!$H46*EF!$H64)*NtoN2O*kgtoGg,IF('Net zero activities &amp; levers'!$C$14="On",('Net zero Activity data'!AK15*EF!$H46*EF!$H64)*NtoN2O*kgtoGg,"ERROR"))</f>
        <v>0</v>
      </c>
      <c r="S1109" s="100">
        <f>IF('Net zero activities &amp; levers'!$C$14="Off",('Activity data'!AL15*EF!$H46*EF!$H64)*NtoN2O*kgtoGg,IF('Net zero activities &amp; levers'!$C$14="On",('Net zero Activity data'!AL15*EF!$H46*EF!$H64)*NtoN2O*kgtoGg,"ERROR"))</f>
        <v>0</v>
      </c>
      <c r="T1109" s="100">
        <f>IF('Net zero activities &amp; levers'!$C$14="Off",('Activity data'!AM15*EF!$H46*EF!$H64)*NtoN2O*kgtoGg,IF('Net zero activities &amp; levers'!$C$14="On",('Net zero Activity data'!AM15*EF!$H46*EF!$H64)*NtoN2O*kgtoGg,"ERROR"))</f>
        <v>0</v>
      </c>
      <c r="U1109" s="100">
        <f>IF('Net zero activities &amp; levers'!$C$14="Off",('Activity data'!AN15*EF!$H46*EF!$H64)*NtoN2O*kgtoGg,IF('Net zero activities &amp; levers'!$C$14="On",('Net zero Activity data'!AN15*EF!$H46*EF!$H64)*NtoN2O*kgtoGg,"ERROR"))</f>
        <v>0</v>
      </c>
      <c r="V1109" s="100">
        <f>IF('Net zero activities &amp; levers'!$C$14="Off",('Activity data'!AO15*EF!$H46*EF!$H64)*NtoN2O*kgtoGg,IF('Net zero activities &amp; levers'!$C$14="On",('Net zero Activity data'!AO15*EF!$H46*EF!$H64)*NtoN2O*kgtoGg,"ERROR"))</f>
        <v>0</v>
      </c>
      <c r="W1109" s="100">
        <f>IF('Net zero activities &amp; levers'!$C$14="Off",('Activity data'!AP15*EF!$H46*EF!$H64)*NtoN2O*kgtoGg,IF('Net zero activities &amp; levers'!$C$14="On",('Net zero Activity data'!AP15*EF!$H46*EF!$H64)*NtoN2O*kgtoGg,"ERROR"))</f>
        <v>0</v>
      </c>
      <c r="X1109" s="100">
        <f>IF('Net zero activities &amp; levers'!$C$14="Off",('Activity data'!AQ15*EF!$H46*EF!$H64)*NtoN2O*kgtoGg,IF('Net zero activities &amp; levers'!$C$14="On",('Net zero Activity data'!AQ15*EF!$H46*EF!$H64)*NtoN2O*kgtoGg,"ERROR"))</f>
        <v>0</v>
      </c>
      <c r="Y1109" s="100">
        <f>IF('Net zero activities &amp; levers'!$C$14="Off",('Activity data'!AR15*EF!$H46*EF!$H64)*NtoN2O*kgtoGg,IF('Net zero activities &amp; levers'!$C$14="On",('Net zero Activity data'!AR15*EF!$H46*EF!$H64)*NtoN2O*kgtoGg,"ERROR"))</f>
        <v>0</v>
      </c>
      <c r="Z1109" s="100">
        <f>IF('Net zero activities &amp; levers'!$C$14="Off",('Activity data'!AS15*EF!$H46*EF!$H64)*NtoN2O*kgtoGg,IF('Net zero activities &amp; levers'!$C$14="On",('Net zero Activity data'!AS15*EF!$H46*EF!$H64)*NtoN2O*kgtoGg,"ERROR"))</f>
        <v>0</v>
      </c>
      <c r="AA1109" s="100">
        <f>IF('Net zero activities &amp; levers'!$C$14="Off",('Activity data'!AT15*EF!$H46*EF!$H64)*NtoN2O*kgtoGg,IF('Net zero activities &amp; levers'!$C$14="On",('Net zero Activity data'!AT15*EF!$H46*EF!$H64)*NtoN2O*kgtoGg,"ERROR"))</f>
        <v>0</v>
      </c>
      <c r="AB1109" s="100">
        <f>IF('Net zero activities &amp; levers'!$C$14="Off",('Activity data'!AU15*EF!$H46*EF!$H64)*NtoN2O*kgtoGg,IF('Net zero activities &amp; levers'!$C$14="On",('Net zero Activity data'!AU15*EF!$H46*EF!$H64)*NtoN2O*kgtoGg,"ERROR"))</f>
        <v>0</v>
      </c>
      <c r="AC1109" s="100">
        <f>IF('Net zero activities &amp; levers'!$C$14="Off",('Activity data'!AV15*EF!$H46*EF!$H64)*NtoN2O*kgtoGg,IF('Net zero activities &amp; levers'!$C$14="On",('Net zero Activity data'!AV15*EF!$H46*EF!$H64)*NtoN2O*kgtoGg,"ERROR"))</f>
        <v>0</v>
      </c>
      <c r="AD1109" s="100">
        <f>IF('Net zero activities &amp; levers'!$C$14="Off",('Activity data'!AW15*EF!$H46*EF!$H64)*NtoN2O*kgtoGg,IF('Net zero activities &amp; levers'!$C$14="On",('Net zero Activity data'!AW15*EF!$H46*EF!$H64)*NtoN2O*kgtoGg,"ERROR"))</f>
        <v>0</v>
      </c>
      <c r="AE1109" s="100">
        <f>IF('Net zero activities &amp; levers'!$C$14="Off",('Activity data'!AX15*EF!$H46*EF!$H64)*NtoN2O*kgtoGg,IF('Net zero activities &amp; levers'!$C$14="On",('Net zero Activity data'!AX15*EF!$H46*EF!$H64)*NtoN2O*kgtoGg,"ERROR"))</f>
        <v>0</v>
      </c>
      <c r="AF1109" s="100">
        <f>IF('Net zero activities &amp; levers'!$C$14="Off",('Activity data'!AY15*EF!$H46*EF!$H64)*NtoN2O*kgtoGg,IF('Net zero activities &amp; levers'!$C$14="On",('Net zero Activity data'!AY15*EF!$H46*EF!$H64)*NtoN2O*kgtoGg,"ERROR"))</f>
        <v>0</v>
      </c>
      <c r="AG1109" s="100">
        <f>IF('Net zero activities &amp; levers'!$C$14="Off",('Activity data'!AZ15*EF!$H46*EF!$H64)*NtoN2O*kgtoGg,IF('Net zero activities &amp; levers'!$C$14="On",('Net zero Activity data'!AZ15*EF!$H46*EF!$H64)*NtoN2O*kgtoGg,"ERROR"))</f>
        <v>0</v>
      </c>
      <c r="AH1109" s="100">
        <f>IF('Net zero activities &amp; levers'!$C$14="Off",('Activity data'!BA15*EF!$H46*EF!$H64)*NtoN2O*kgtoGg,IF('Net zero activities &amp; levers'!$C$14="On",('Net zero Activity data'!BA15*EF!$H46*EF!$H64)*NtoN2O*kgtoGg,"ERROR"))</f>
        <v>0</v>
      </c>
      <c r="AI1109" s="100">
        <f>IF('Net zero activities &amp; levers'!$C$14="Off",('Activity data'!BB15*EF!$H46*EF!$H64)*NtoN2O*kgtoGg,IF('Net zero activities &amp; levers'!$C$14="On",('Net zero Activity data'!BB15*EF!$H46*EF!$H64)*NtoN2O*kgtoGg,"ERROR"))</f>
        <v>0</v>
      </c>
      <c r="AJ1109" s="100">
        <f>IF('Net zero activities &amp; levers'!$C$14="Off",('Activity data'!BC15*EF!$H46*EF!$H64)*NtoN2O*kgtoGg,IF('Net zero activities &amp; levers'!$C$14="On",('Net zero Activity data'!BC15*EF!$H46*EF!$H64)*NtoN2O*kgtoGg,"ERROR"))</f>
        <v>0</v>
      </c>
      <c r="AK1109" s="100">
        <f>IF('Net zero activities &amp; levers'!$C$14="Off",('Activity data'!BD15*EF!$H46*EF!$H64)*NtoN2O*kgtoGg,IF('Net zero activities &amp; levers'!$C$14="On",('Net zero Activity data'!BD15*EF!$H46*EF!$H64)*NtoN2O*kgtoGg,"ERROR"))</f>
        <v>0</v>
      </c>
      <c r="AL1109" s="100">
        <f>IF('Net zero activities &amp; levers'!$C$14="Off",('Activity data'!BE15*EF!$H46*EF!$H64)*NtoN2O*kgtoGg,IF('Net zero activities &amp; levers'!$C$14="On",('Net zero Activity data'!BE15*EF!$H46*EF!$H64)*NtoN2O*kgtoGg,"ERROR"))</f>
        <v>0</v>
      </c>
      <c r="AM1109" s="100">
        <f>IF('Net zero activities &amp; levers'!$C$14="Off",('Activity data'!BF15*EF!$H46*EF!$H64)*NtoN2O*kgtoGg,IF('Net zero activities &amp; levers'!$C$14="On",('Net zero Activity data'!BF15*EF!$H46*EF!$H64)*NtoN2O*kgtoGg,"ERROR"))</f>
        <v>0</v>
      </c>
      <c r="AN1109" s="100">
        <f>IF('Net zero activities &amp; levers'!$C$14="Off",('Activity data'!BG15*EF!$H46*EF!$H64)*NtoN2O*kgtoGg,IF('Net zero activities &amp; levers'!$C$14="On",('Net zero Activity data'!BG15*EF!$H46*EF!$H64)*NtoN2O*kgtoGg,"ERROR"))</f>
        <v>0</v>
      </c>
      <c r="AO1109" s="100">
        <f>IF('Net zero activities &amp; levers'!$C$14="Off",('Activity data'!BH15*EF!$H46*EF!$H64)*NtoN2O*kgtoGg,IF('Net zero activities &amp; levers'!$C$14="On",('Net zero Activity data'!BH15*EF!$H46*EF!$H64)*NtoN2O*kgtoGg,"ERROR"))</f>
        <v>0</v>
      </c>
      <c r="AP1109" s="100">
        <f>IF('Net zero activities &amp; levers'!$C$14="Off",('Activity data'!BI15*EF!$H46*EF!$H64)*NtoN2O*kgtoGg,IF('Net zero activities &amp; levers'!$C$14="On",('Net zero Activity data'!BI15*EF!$H46*EF!$H64)*NtoN2O*kgtoGg,"ERROR"))</f>
        <v>0</v>
      </c>
      <c r="AQ1109" s="100">
        <f>IF('Net zero activities &amp; levers'!$C$14="Off",('Activity data'!BJ15*EF!$H46*EF!$H64)*NtoN2O*kgtoGg,IF('Net zero activities &amp; levers'!$C$14="On",('Net zero Activity data'!BJ15*EF!$H46*EF!$H64)*NtoN2O*kgtoGg,"ERROR"))</f>
        <v>0</v>
      </c>
      <c r="AR1109" s="100">
        <f>IF('Net zero activities &amp; levers'!$C$14="Off",('Activity data'!BK15*EF!$H46*EF!$H64)*NtoN2O*kgtoGg,IF('Net zero activities &amp; levers'!$C$14="On",('Net zero Activity data'!BK15*EF!$H46*EF!$H64)*NtoN2O*kgtoGg,"ERROR"))</f>
        <v>0</v>
      </c>
      <c r="AS1109" s="100">
        <f>IF('Net zero activities &amp; levers'!$C$14="Off",('Activity data'!BL15*EF!$H46*EF!$H64)*NtoN2O*kgtoGg,IF('Net zero activities &amp; levers'!$C$14="On",('Net zero Activity data'!BL15*EF!$H46*EF!$H64)*NtoN2O*kgtoGg,"ERROR"))</f>
        <v>0</v>
      </c>
      <c r="AT1109" s="100">
        <f>IF('Net zero activities &amp; levers'!$C$14="Off",('Activity data'!BM15*EF!$H46*EF!$H64)*NtoN2O*kgtoGg,IF('Net zero activities &amp; levers'!$C$14="On",('Net zero Activity data'!BM15*EF!$H46*EF!$H64)*NtoN2O*kgtoGg,"ERROR"))</f>
        <v>0</v>
      </c>
      <c r="AU1109" s="100">
        <f>IF('Net zero activities &amp; levers'!$C$14="Off",('Activity data'!BN15*EF!$H46*EF!$H64)*NtoN2O*kgtoGg,IF('Net zero activities &amp; levers'!$C$14="On",('Net zero Activity data'!BN15*EF!$H46*EF!$H64)*NtoN2O*kgtoGg,"ERROR"))</f>
        <v>0</v>
      </c>
      <c r="AV1109" s="100">
        <f>IF('Net zero activities &amp; levers'!$C$14="Off",('Activity data'!BO15*EF!$H46*EF!$H64)*NtoN2O*kgtoGg,IF('Net zero activities &amp; levers'!$C$14="On",('Net zero Activity data'!BO15*EF!$H46*EF!$H64)*NtoN2O*kgtoGg,"ERROR"))</f>
        <v>0</v>
      </c>
      <c r="AW1109" s="100">
        <f>IF('Net zero activities &amp; levers'!$C$14="Off",('Activity data'!BP15*EF!$H46*EF!$H64)*NtoN2O*kgtoGg,IF('Net zero activities &amp; levers'!$C$14="On",('Net zero Activity data'!BP15*EF!$H46*EF!$H64)*NtoN2O*kgtoGg,"ERROR"))</f>
        <v>0</v>
      </c>
      <c r="AY1109" s="85"/>
    </row>
    <row r="1110" spans="1:51" x14ac:dyDescent="0.25">
      <c r="A1110" s="102" t="str">
        <f t="shared" si="374"/>
        <v>CM Mules MMN2O</v>
      </c>
      <c r="B1110" s="102" t="s">
        <v>1323</v>
      </c>
      <c r="C1110" s="102" t="s">
        <v>1332</v>
      </c>
      <c r="D1110" t="s">
        <v>15</v>
      </c>
      <c r="E1110" t="s">
        <v>657</v>
      </c>
      <c r="F1110" t="s">
        <v>140</v>
      </c>
      <c r="G1110" t="s">
        <v>124</v>
      </c>
      <c r="H1110" t="s">
        <v>1228</v>
      </c>
      <c r="I1110" t="s">
        <v>139</v>
      </c>
      <c r="J1110" t="s">
        <v>287</v>
      </c>
      <c r="K1110" s="100">
        <f>IF('Net zero activities &amp; levers'!$C$14="Off",('Activity data'!AD16*EF!$H47*EF!$H65)*NtoN2O*kgtoGg,IF('Net zero activities &amp; levers'!$C$14="On",('Net zero Activity data'!AD16*EF!$H47*EF!$H65)*NtoN2O*kgtoGg,"ERROR"))</f>
        <v>0</v>
      </c>
      <c r="L1110" s="100">
        <f>IF('Net zero activities &amp; levers'!$C$14="Off",('Activity data'!AE16*EF!$H47*EF!$H65)*NtoN2O*kgtoGg,IF('Net zero activities &amp; levers'!$C$14="On",('Net zero Activity data'!AE16*EF!$H47*EF!$H65)*NtoN2O*kgtoGg,"ERROR"))</f>
        <v>0</v>
      </c>
      <c r="M1110" s="100">
        <f>IF('Net zero activities &amp; levers'!$C$14="Off",('Activity data'!AF16*EF!$H47*EF!$H65)*NtoN2O*kgtoGg,IF('Net zero activities &amp; levers'!$C$14="On",('Net zero Activity data'!AF16*EF!$H47*EF!$H65)*NtoN2O*kgtoGg,"ERROR"))</f>
        <v>0</v>
      </c>
      <c r="N1110" s="100">
        <f>IF('Net zero activities &amp; levers'!$C$14="Off",('Activity data'!AG16*EF!$H47*EF!$H65)*NtoN2O*kgtoGg,IF('Net zero activities &amp; levers'!$C$14="On",('Net zero Activity data'!AG16*EF!$H47*EF!$H65)*NtoN2O*kgtoGg,"ERROR"))</f>
        <v>0</v>
      </c>
      <c r="O1110" s="100">
        <f>IF('Net zero activities &amp; levers'!$C$14="Off",('Activity data'!AH16*EF!$H47*EF!$H65)*NtoN2O*kgtoGg,IF('Net zero activities &amp; levers'!$C$14="On",('Net zero Activity data'!AH16*EF!$H47*EF!$H65)*NtoN2O*kgtoGg,"ERROR"))</f>
        <v>0</v>
      </c>
      <c r="P1110" s="100">
        <f>IF('Net zero activities &amp; levers'!$C$14="Off",('Activity data'!AI16*EF!$H47*EF!$H65)*NtoN2O*kgtoGg,IF('Net zero activities &amp; levers'!$C$14="On",('Net zero Activity data'!AI16*EF!$H47*EF!$H65)*NtoN2O*kgtoGg,"ERROR"))</f>
        <v>0</v>
      </c>
      <c r="Q1110" s="100">
        <f>IF('Net zero activities &amp; levers'!$C$14="Off",('Activity data'!AJ16*EF!$H47*EF!$H65)*NtoN2O*kgtoGg,IF('Net zero activities &amp; levers'!$C$14="On",('Net zero Activity data'!AJ16*EF!$H47*EF!$H65)*NtoN2O*kgtoGg,"ERROR"))</f>
        <v>0</v>
      </c>
      <c r="R1110" s="100">
        <f>IF('Net zero activities &amp; levers'!$C$14="Off",('Activity data'!AK16*EF!$H47*EF!$H65)*NtoN2O*kgtoGg,IF('Net zero activities &amp; levers'!$C$14="On",('Net zero Activity data'!AK16*EF!$H47*EF!$H65)*NtoN2O*kgtoGg,"ERROR"))</f>
        <v>0</v>
      </c>
      <c r="S1110" s="100">
        <f>IF('Net zero activities &amp; levers'!$C$14="Off",('Activity data'!AL16*EF!$H47*EF!$H65)*NtoN2O*kgtoGg,IF('Net zero activities &amp; levers'!$C$14="On",('Net zero Activity data'!AL16*EF!$H47*EF!$H65)*NtoN2O*kgtoGg,"ERROR"))</f>
        <v>0</v>
      </c>
      <c r="T1110" s="100">
        <f>IF('Net zero activities &amp; levers'!$C$14="Off",('Activity data'!AM16*EF!$H47*EF!$H65)*NtoN2O*kgtoGg,IF('Net zero activities &amp; levers'!$C$14="On",('Net zero Activity data'!AM16*EF!$H47*EF!$H65)*NtoN2O*kgtoGg,"ERROR"))</f>
        <v>0</v>
      </c>
      <c r="U1110" s="100">
        <f>IF('Net zero activities &amp; levers'!$C$14="Off",('Activity data'!AN16*EF!$H47*EF!$H65)*NtoN2O*kgtoGg,IF('Net zero activities &amp; levers'!$C$14="On",('Net zero Activity data'!AN16*EF!$H47*EF!$H65)*NtoN2O*kgtoGg,"ERROR"))</f>
        <v>0</v>
      </c>
      <c r="V1110" s="100">
        <f>IF('Net zero activities &amp; levers'!$C$14="Off",('Activity data'!AO16*EF!$H47*EF!$H65)*NtoN2O*kgtoGg,IF('Net zero activities &amp; levers'!$C$14="On",('Net zero Activity data'!AO16*EF!$H47*EF!$H65)*NtoN2O*kgtoGg,"ERROR"))</f>
        <v>0</v>
      </c>
      <c r="W1110" s="100">
        <f>IF('Net zero activities &amp; levers'!$C$14="Off",('Activity data'!AP16*EF!$H47*EF!$H65)*NtoN2O*kgtoGg,IF('Net zero activities &amp; levers'!$C$14="On",('Net zero Activity data'!AP16*EF!$H47*EF!$H65)*NtoN2O*kgtoGg,"ERROR"))</f>
        <v>0</v>
      </c>
      <c r="X1110" s="100">
        <f>IF('Net zero activities &amp; levers'!$C$14="Off",('Activity data'!AQ16*EF!$H47*EF!$H65)*NtoN2O*kgtoGg,IF('Net zero activities &amp; levers'!$C$14="On",('Net zero Activity data'!AQ16*EF!$H47*EF!$H65)*NtoN2O*kgtoGg,"ERROR"))</f>
        <v>0</v>
      </c>
      <c r="Y1110" s="100">
        <f>IF('Net zero activities &amp; levers'!$C$14="Off",('Activity data'!AR16*EF!$H47*EF!$H65)*NtoN2O*kgtoGg,IF('Net zero activities &amp; levers'!$C$14="On",('Net zero Activity data'!AR16*EF!$H47*EF!$H65)*NtoN2O*kgtoGg,"ERROR"))</f>
        <v>0</v>
      </c>
      <c r="Z1110" s="100">
        <f>IF('Net zero activities &amp; levers'!$C$14="Off",('Activity data'!AS16*EF!$H47*EF!$H65)*NtoN2O*kgtoGg,IF('Net zero activities &amp; levers'!$C$14="On",('Net zero Activity data'!AS16*EF!$H47*EF!$H65)*NtoN2O*kgtoGg,"ERROR"))</f>
        <v>0</v>
      </c>
      <c r="AA1110" s="100">
        <f>IF('Net zero activities &amp; levers'!$C$14="Off",('Activity data'!AT16*EF!$H47*EF!$H65)*NtoN2O*kgtoGg,IF('Net zero activities &amp; levers'!$C$14="On",('Net zero Activity data'!AT16*EF!$H47*EF!$H65)*NtoN2O*kgtoGg,"ERROR"))</f>
        <v>0</v>
      </c>
      <c r="AB1110" s="100">
        <f>IF('Net zero activities &amp; levers'!$C$14="Off",('Activity data'!AU16*EF!$H47*EF!$H65)*NtoN2O*kgtoGg,IF('Net zero activities &amp; levers'!$C$14="On",('Net zero Activity data'!AU16*EF!$H47*EF!$H65)*NtoN2O*kgtoGg,"ERROR"))</f>
        <v>0</v>
      </c>
      <c r="AC1110" s="100">
        <f>IF('Net zero activities &amp; levers'!$C$14="Off",('Activity data'!AV16*EF!$H47*EF!$H65)*NtoN2O*kgtoGg,IF('Net zero activities &amp; levers'!$C$14="On",('Net zero Activity data'!AV16*EF!$H47*EF!$H65)*NtoN2O*kgtoGg,"ERROR"))</f>
        <v>0</v>
      </c>
      <c r="AD1110" s="100">
        <f>IF('Net zero activities &amp; levers'!$C$14="Off",('Activity data'!AW16*EF!$H47*EF!$H65)*NtoN2O*kgtoGg,IF('Net zero activities &amp; levers'!$C$14="On",('Net zero Activity data'!AW16*EF!$H47*EF!$H65)*NtoN2O*kgtoGg,"ERROR"))</f>
        <v>0</v>
      </c>
      <c r="AE1110" s="100">
        <f>IF('Net zero activities &amp; levers'!$C$14="Off",('Activity data'!AX16*EF!$H47*EF!$H65)*NtoN2O*kgtoGg,IF('Net zero activities &amp; levers'!$C$14="On",('Net zero Activity data'!AX16*EF!$H47*EF!$H65)*NtoN2O*kgtoGg,"ERROR"))</f>
        <v>0</v>
      </c>
      <c r="AF1110" s="100">
        <f>IF('Net zero activities &amp; levers'!$C$14="Off",('Activity data'!AY16*EF!$H47*EF!$H65)*NtoN2O*kgtoGg,IF('Net zero activities &amp; levers'!$C$14="On",('Net zero Activity data'!AY16*EF!$H47*EF!$H65)*NtoN2O*kgtoGg,"ERROR"))</f>
        <v>0</v>
      </c>
      <c r="AG1110" s="100">
        <f>IF('Net zero activities &amp; levers'!$C$14="Off",('Activity data'!AZ16*EF!$H47*EF!$H65)*NtoN2O*kgtoGg,IF('Net zero activities &amp; levers'!$C$14="On",('Net zero Activity data'!AZ16*EF!$H47*EF!$H65)*NtoN2O*kgtoGg,"ERROR"))</f>
        <v>0</v>
      </c>
      <c r="AH1110" s="100">
        <f>IF('Net zero activities &amp; levers'!$C$14="Off",('Activity data'!BA16*EF!$H47*EF!$H65)*NtoN2O*kgtoGg,IF('Net zero activities &amp; levers'!$C$14="On",('Net zero Activity data'!BA16*EF!$H47*EF!$H65)*NtoN2O*kgtoGg,"ERROR"))</f>
        <v>0</v>
      </c>
      <c r="AI1110" s="100">
        <f>IF('Net zero activities &amp; levers'!$C$14="Off",('Activity data'!BB16*EF!$H47*EF!$H65)*NtoN2O*kgtoGg,IF('Net zero activities &amp; levers'!$C$14="On",('Net zero Activity data'!BB16*EF!$H47*EF!$H65)*NtoN2O*kgtoGg,"ERROR"))</f>
        <v>0</v>
      </c>
      <c r="AJ1110" s="100">
        <f>IF('Net zero activities &amp; levers'!$C$14="Off",('Activity data'!BC16*EF!$H47*EF!$H65)*NtoN2O*kgtoGg,IF('Net zero activities &amp; levers'!$C$14="On",('Net zero Activity data'!BC16*EF!$H47*EF!$H65)*NtoN2O*kgtoGg,"ERROR"))</f>
        <v>0</v>
      </c>
      <c r="AK1110" s="100">
        <f>IF('Net zero activities &amp; levers'!$C$14="Off",('Activity data'!BD16*EF!$H47*EF!$H65)*NtoN2O*kgtoGg,IF('Net zero activities &amp; levers'!$C$14="On",('Net zero Activity data'!BD16*EF!$H47*EF!$H65)*NtoN2O*kgtoGg,"ERROR"))</f>
        <v>0</v>
      </c>
      <c r="AL1110" s="100">
        <f>IF('Net zero activities &amp; levers'!$C$14="Off",('Activity data'!BE16*EF!$H47*EF!$H65)*NtoN2O*kgtoGg,IF('Net zero activities &amp; levers'!$C$14="On",('Net zero Activity data'!BE16*EF!$H47*EF!$H65)*NtoN2O*kgtoGg,"ERROR"))</f>
        <v>0</v>
      </c>
      <c r="AM1110" s="100">
        <f>IF('Net zero activities &amp; levers'!$C$14="Off",('Activity data'!BF16*EF!$H47*EF!$H65)*NtoN2O*kgtoGg,IF('Net zero activities &amp; levers'!$C$14="On",('Net zero Activity data'!BF16*EF!$H47*EF!$H65)*NtoN2O*kgtoGg,"ERROR"))</f>
        <v>0</v>
      </c>
      <c r="AN1110" s="100">
        <f>IF('Net zero activities &amp; levers'!$C$14="Off",('Activity data'!BG16*EF!$H47*EF!$H65)*NtoN2O*kgtoGg,IF('Net zero activities &amp; levers'!$C$14="On",('Net zero Activity data'!BG16*EF!$H47*EF!$H65)*NtoN2O*kgtoGg,"ERROR"))</f>
        <v>0</v>
      </c>
      <c r="AO1110" s="100">
        <f>IF('Net zero activities &amp; levers'!$C$14="Off",('Activity data'!BH16*EF!$H47*EF!$H65)*NtoN2O*kgtoGg,IF('Net zero activities &amp; levers'!$C$14="On",('Net zero Activity data'!BH16*EF!$H47*EF!$H65)*NtoN2O*kgtoGg,"ERROR"))</f>
        <v>0</v>
      </c>
      <c r="AP1110" s="100">
        <f>IF('Net zero activities &amp; levers'!$C$14="Off",('Activity data'!BI16*EF!$H47*EF!$H65)*NtoN2O*kgtoGg,IF('Net zero activities &amp; levers'!$C$14="On",('Net zero Activity data'!BI16*EF!$H47*EF!$H65)*NtoN2O*kgtoGg,"ERROR"))</f>
        <v>0</v>
      </c>
      <c r="AQ1110" s="100">
        <f>IF('Net zero activities &amp; levers'!$C$14="Off",('Activity data'!BJ16*EF!$H47*EF!$H65)*NtoN2O*kgtoGg,IF('Net zero activities &amp; levers'!$C$14="On",('Net zero Activity data'!BJ16*EF!$H47*EF!$H65)*NtoN2O*kgtoGg,"ERROR"))</f>
        <v>0</v>
      </c>
      <c r="AR1110" s="100">
        <f>IF('Net zero activities &amp; levers'!$C$14="Off",('Activity data'!BK16*EF!$H47*EF!$H65)*NtoN2O*kgtoGg,IF('Net zero activities &amp; levers'!$C$14="On",('Net zero Activity data'!BK16*EF!$H47*EF!$H65)*NtoN2O*kgtoGg,"ERROR"))</f>
        <v>0</v>
      </c>
      <c r="AS1110" s="100">
        <f>IF('Net zero activities &amp; levers'!$C$14="Off",('Activity data'!BL16*EF!$H47*EF!$H65)*NtoN2O*kgtoGg,IF('Net zero activities &amp; levers'!$C$14="On",('Net zero Activity data'!BL16*EF!$H47*EF!$H65)*NtoN2O*kgtoGg,"ERROR"))</f>
        <v>0</v>
      </c>
      <c r="AT1110" s="100">
        <f>IF('Net zero activities &amp; levers'!$C$14="Off",('Activity data'!BM16*EF!$H47*EF!$H65)*NtoN2O*kgtoGg,IF('Net zero activities &amp; levers'!$C$14="On",('Net zero Activity data'!BM16*EF!$H47*EF!$H65)*NtoN2O*kgtoGg,"ERROR"))</f>
        <v>0</v>
      </c>
      <c r="AU1110" s="100">
        <f>IF('Net zero activities &amp; levers'!$C$14="Off",('Activity data'!BN16*EF!$H47*EF!$H65)*NtoN2O*kgtoGg,IF('Net zero activities &amp; levers'!$C$14="On",('Net zero Activity data'!BN16*EF!$H47*EF!$H65)*NtoN2O*kgtoGg,"ERROR"))</f>
        <v>0</v>
      </c>
      <c r="AV1110" s="100">
        <f>IF('Net zero activities &amp; levers'!$C$14="Off",('Activity data'!BO16*EF!$H47*EF!$H65)*NtoN2O*kgtoGg,IF('Net zero activities &amp; levers'!$C$14="On",('Net zero Activity data'!BO16*EF!$H47*EF!$H65)*NtoN2O*kgtoGg,"ERROR"))</f>
        <v>0</v>
      </c>
      <c r="AW1110" s="100">
        <f>IF('Net zero activities &amp; levers'!$C$14="Off",('Activity data'!BP16*EF!$H47*EF!$H65)*NtoN2O*kgtoGg,IF('Net zero activities &amp; levers'!$C$14="On",('Net zero Activity data'!BP16*EF!$H47*EF!$H65)*NtoN2O*kgtoGg,"ERROR"))</f>
        <v>0</v>
      </c>
      <c r="AY1110" s="85"/>
    </row>
    <row r="1111" spans="1:51" x14ac:dyDescent="0.25">
      <c r="A1111" s="102" t="str">
        <f t="shared" si="374"/>
        <v>CM Swine MMN2O</v>
      </c>
      <c r="B1111" s="102" t="s">
        <v>1323</v>
      </c>
      <c r="C1111" s="102" t="s">
        <v>1234</v>
      </c>
      <c r="D1111" t="s">
        <v>15</v>
      </c>
      <c r="E1111" t="s">
        <v>657</v>
      </c>
      <c r="F1111" t="s">
        <v>21</v>
      </c>
      <c r="G1111" t="s">
        <v>122</v>
      </c>
      <c r="H1111" t="s">
        <v>1228</v>
      </c>
      <c r="I1111" t="s">
        <v>139</v>
      </c>
      <c r="J1111" t="s">
        <v>287</v>
      </c>
      <c r="K1111" s="100">
        <f>IF('Net zero activities &amp; levers'!$C$14="Off",('Activity data'!AD17*EF!$H48*EF!$H66)*NtoN2O*kgtoGg,IF('Net zero activities &amp; levers'!$C$14="On",('Net zero Activity data'!AD17*EF!$H48*EF!$H66)*NtoN2O*kgtoGg,"ERROR"))</f>
        <v>9.8212070321961289E-2</v>
      </c>
      <c r="L1111" s="100">
        <f>IF('Net zero activities &amp; levers'!$C$14="Off",('Activity data'!AE17*EF!$H48*EF!$H66)*NtoN2O*kgtoGg,IF('Net zero activities &amp; levers'!$C$14="On",('Net zero Activity data'!AE17*EF!$H48*EF!$H66)*NtoN2O*kgtoGg,"ERROR"))</f>
        <v>9.7902077304524535E-2</v>
      </c>
      <c r="M1111" s="100">
        <f>IF('Net zero activities &amp; levers'!$C$14="Off",('Activity data'!AF17*EF!$H48*EF!$H66)*NtoN2O*kgtoGg,IF('Net zero activities &amp; levers'!$C$14="On",('Net zero Activity data'!AF17*EF!$H48*EF!$H66)*NtoN2O*kgtoGg,"ERROR"))</f>
        <v>9.6876932731570997E-2</v>
      </c>
      <c r="N1111" s="100">
        <f>IF('Net zero activities &amp; levers'!$C$14="Off",('Activity data'!AG17*EF!$H48*EF!$H66)*NtoN2O*kgtoGg,IF('Net zero activities &amp; levers'!$C$14="On",('Net zero Activity data'!AG17*EF!$H48*EF!$H66)*NtoN2O*kgtoGg,"ERROR"))</f>
        <v>9.4886481944047557E-2</v>
      </c>
      <c r="O1111" s="100">
        <f>IF('Net zero activities &amp; levers'!$C$14="Off",('Activity data'!AH17*EF!$H48*EF!$H66)*NtoN2O*kgtoGg,IF('Net zero activities &amp; levers'!$C$14="On",('Net zero Activity data'!AH17*EF!$H48*EF!$H66)*NtoN2O*kgtoGg,"ERROR"))</f>
        <v>9.2983120414683651E-2</v>
      </c>
      <c r="P1111" s="100">
        <f>IF('Net zero activities &amp; levers'!$C$14="Off",('Activity data'!AI17*EF!$H48*EF!$H66)*NtoN2O*kgtoGg,IF('Net zero activities &amp; levers'!$C$14="On",('Net zero Activity data'!AI17*EF!$H48*EF!$H66)*NtoN2O*kgtoGg,"ERROR"))</f>
        <v>9.1647887851288232E-2</v>
      </c>
      <c r="Q1111" s="100">
        <f>IF('Net zero activities &amp; levers'!$C$14="Off",('Activity data'!AJ17*EF!$H48*EF!$H66)*NtoN2O*kgtoGg,IF('Net zero activities &amp; levers'!$C$14="On",('Net zero Activity data'!AJ17*EF!$H48*EF!$H66)*NtoN2O*kgtoGg,"ERROR"))</f>
        <v>9.0517057242200105E-2</v>
      </c>
      <c r="R1111" s="100">
        <f>IF('Net zero activities &amp; levers'!$C$14="Off",('Activity data'!AK17*EF!$H48*EF!$H66)*NtoN2O*kgtoGg,IF('Net zero activities &amp; levers'!$C$14="On",('Net zero Activity data'!AK17*EF!$H48*EF!$H66)*NtoN2O*kgtoGg,"ERROR"))</f>
        <v>8.8434751995252456E-2</v>
      </c>
      <c r="S1111" s="100">
        <f>IF('Net zero activities &amp; levers'!$C$14="Off",('Activity data'!AL17*EF!$H48*EF!$H66)*NtoN2O*kgtoGg,IF('Net zero activities &amp; levers'!$C$14="On",('Net zero Activity data'!AL17*EF!$H48*EF!$H66)*NtoN2O*kgtoGg,"ERROR"))</f>
        <v>7.7417928691120311E-2</v>
      </c>
      <c r="T1111" s="100">
        <f>IF('Net zero activities &amp; levers'!$C$14="Off",('Activity data'!AM17*EF!$H48*EF!$H66)*NtoN2O*kgtoGg,IF('Net zero activities &amp; levers'!$C$14="On",('Net zero Activity data'!AM17*EF!$H48*EF!$H66)*NtoN2O*kgtoGg,"ERROR"))</f>
        <v>7.7909888126779042E-2</v>
      </c>
      <c r="U1111" s="100">
        <f>IF('Net zero activities &amp; levers'!$C$14="Off",('Activity data'!AN17*EF!$H48*EF!$H66)*NtoN2O*kgtoGg,IF('Net zero activities &amp; levers'!$C$14="On",('Net zero Activity data'!AN17*EF!$H48*EF!$H66)*NtoN2O*kgtoGg,"ERROR"))</f>
        <v>7.8156831608476335E-2</v>
      </c>
      <c r="V1111" s="100">
        <f>IF('Net zero activities &amp; levers'!$C$14="Off",('Activity data'!AO17*EF!$H48*EF!$H66)*NtoN2O*kgtoGg,IF('Net zero activities &amp; levers'!$C$14="On",('Net zero Activity data'!AO17*EF!$H48*EF!$H66)*NtoN2O*kgtoGg,"ERROR"))</f>
        <v>7.8396909010436708E-2</v>
      </c>
      <c r="W1111" s="100">
        <f>IF('Net zero activities &amp; levers'!$C$14="Off",('Activity data'!AP17*EF!$H48*EF!$H66)*NtoN2O*kgtoGg,IF('Net zero activities &amp; levers'!$C$14="On",('Net zero Activity data'!AP17*EF!$H48*EF!$H66)*NtoN2O*kgtoGg,"ERROR"))</f>
        <v>7.8983322674416961E-2</v>
      </c>
      <c r="X1111" s="100">
        <f>IF('Net zero activities &amp; levers'!$C$14="Off",('Activity data'!AQ17*EF!$H48*EF!$H66)*NtoN2O*kgtoGg,IF('Net zero activities &amp; levers'!$C$14="On",('Net zero Activity data'!AQ17*EF!$H48*EF!$H66)*NtoN2O*kgtoGg,"ERROR"))</f>
        <v>7.9550022093927919E-2</v>
      </c>
      <c r="Y1111" s="100">
        <f>IF('Net zero activities &amp; levers'!$C$14="Off",('Activity data'!AR17*EF!$H48*EF!$H66)*NtoN2O*kgtoGg,IF('Net zero activities &amp; levers'!$C$14="On",('Net zero Activity data'!AR17*EF!$H48*EF!$H66)*NtoN2O*kgtoGg,"ERROR"))</f>
        <v>8.0200171515553365E-2</v>
      </c>
      <c r="Z1111" s="100">
        <f>IF('Net zero activities &amp; levers'!$C$14="Off",('Activity data'!AS17*EF!$H48*EF!$H66)*NtoN2O*kgtoGg,IF('Net zero activities &amp; levers'!$C$14="On",('Net zero Activity data'!AS17*EF!$H48*EF!$H66)*NtoN2O*kgtoGg,"ERROR"))</f>
        <v>8.0745873399241927E-2</v>
      </c>
      <c r="AA1111" s="100">
        <f>IF('Net zero activities &amp; levers'!$C$14="Off",('Activity data'!AT17*EF!$H48*EF!$H66)*NtoN2O*kgtoGg,IF('Net zero activities &amp; levers'!$C$14="On",('Net zero Activity data'!AT17*EF!$H48*EF!$H66)*NtoN2O*kgtoGg,"ERROR"))</f>
        <v>8.1401680108403665E-2</v>
      </c>
      <c r="AB1111" s="100">
        <f>IF('Net zero activities &amp; levers'!$C$14="Off",('Activity data'!AU17*EF!$H48*EF!$H66)*NtoN2O*kgtoGg,IF('Net zero activities &amp; levers'!$C$14="On",('Net zero Activity data'!AU17*EF!$H48*EF!$H66)*NtoN2O*kgtoGg,"ERROR"))</f>
        <v>8.1879069709822755E-2</v>
      </c>
      <c r="AC1111" s="100">
        <f>IF('Net zero activities &amp; levers'!$C$14="Off",('Activity data'!AV17*EF!$H48*EF!$H66)*NtoN2O*kgtoGg,IF('Net zero activities &amp; levers'!$C$14="On",('Net zero Activity data'!AV17*EF!$H48*EF!$H66)*NtoN2O*kgtoGg,"ERROR"))</f>
        <v>8.2381241768892818E-2</v>
      </c>
      <c r="AD1111" s="100">
        <f>IF('Net zero activities &amp; levers'!$C$14="Off",('Activity data'!AW17*EF!$H48*EF!$H66)*NtoN2O*kgtoGg,IF('Net zero activities &amp; levers'!$C$14="On",('Net zero Activity data'!AW17*EF!$H48*EF!$H66)*NtoN2O*kgtoGg,"ERROR"))</f>
        <v>8.3307469914568902E-2</v>
      </c>
      <c r="AE1111" s="100">
        <f>IF('Net zero activities &amp; levers'!$C$14="Off",('Activity data'!AX17*EF!$H48*EF!$H66)*NtoN2O*kgtoGg,IF('Net zero activities &amp; levers'!$C$14="On",('Net zero Activity data'!AX17*EF!$H48*EF!$H66)*NtoN2O*kgtoGg,"ERROR"))</f>
        <v>8.4389455604936589E-2</v>
      </c>
      <c r="AF1111" s="100">
        <f>IF('Net zero activities &amp; levers'!$C$14="Off",('Activity data'!AY17*EF!$H48*EF!$H66)*NtoN2O*kgtoGg,IF('Net zero activities &amp; levers'!$C$14="On",('Net zero Activity data'!AY17*EF!$H48*EF!$H66)*NtoN2O*kgtoGg,"ERROR"))</f>
        <v>8.5509115768420865E-2</v>
      </c>
      <c r="AG1111" s="100">
        <f>IF('Net zero activities &amp; levers'!$C$14="Off",('Activity data'!AZ17*EF!$H48*EF!$H66)*NtoN2O*kgtoGg,IF('Net zero activities &amp; levers'!$C$14="On",('Net zero Activity data'!AZ17*EF!$H48*EF!$H66)*NtoN2O*kgtoGg,"ERROR"))</f>
        <v>8.4250717613193291E-2</v>
      </c>
      <c r="AH1111" s="100">
        <f>IF('Net zero activities &amp; levers'!$C$14="Off",('Activity data'!BA17*EF!$H48*EF!$H66)*NtoN2O*kgtoGg,IF('Net zero activities &amp; levers'!$C$14="On",('Net zero Activity data'!BA17*EF!$H48*EF!$H66)*NtoN2O*kgtoGg,"ERROR"))</f>
        <v>-2.8426820502850808E-2</v>
      </c>
      <c r="AI1111" s="100">
        <f>IF('Net zero activities &amp; levers'!$C$14="Off",('Activity data'!BB17*EF!$H48*EF!$H66)*NtoN2O*kgtoGg,IF('Net zero activities &amp; levers'!$C$14="On",('Net zero Activity data'!BB17*EF!$H48*EF!$H66)*NtoN2O*kgtoGg,"ERROR"))</f>
        <v>-2.8115877001178527E-2</v>
      </c>
      <c r="AJ1111" s="100">
        <f>IF('Net zero activities &amp; levers'!$C$14="Off",('Activity data'!BC17*EF!$H48*EF!$H66)*NtoN2O*kgtoGg,IF('Net zero activities &amp; levers'!$C$14="On",('Net zero Activity data'!BC17*EF!$H48*EF!$H66)*NtoN2O*kgtoGg,"ERROR"))</f>
        <v>-2.7811593466985605E-2</v>
      </c>
      <c r="AK1111" s="100">
        <f>IF('Net zero activities &amp; levers'!$C$14="Off",('Activity data'!BD17*EF!$H48*EF!$H66)*NtoN2O*kgtoGg,IF('Net zero activities &amp; levers'!$C$14="On",('Net zero Activity data'!BD17*EF!$H48*EF!$H66)*NtoN2O*kgtoGg,"ERROR"))</f>
        <v>-2.7513534213570397E-2</v>
      </c>
      <c r="AL1111" s="100">
        <f>IF('Net zero activities &amp; levers'!$C$14="Off",('Activity data'!BE17*EF!$H48*EF!$H66)*NtoN2O*kgtoGg,IF('Net zero activities &amp; levers'!$C$14="On",('Net zero Activity data'!BE17*EF!$H48*EF!$H66)*NtoN2O*kgtoGg,"ERROR"))</f>
        <v>-2.7221295455261082E-2</v>
      </c>
      <c r="AM1111" s="100">
        <f>IF('Net zero activities &amp; levers'!$C$14="Off",('Activity data'!BF17*EF!$H48*EF!$H66)*NtoN2O*kgtoGg,IF('Net zero activities &amp; levers'!$C$14="On",('Net zero Activity data'!BF17*EF!$H48*EF!$H66)*NtoN2O*kgtoGg,"ERROR"))</f>
        <v>-2.6934502222400951E-2</v>
      </c>
      <c r="AN1111" s="100">
        <f>IF('Net zero activities &amp; levers'!$C$14="Off",('Activity data'!BG17*EF!$H48*EF!$H66)*NtoN2O*kgtoGg,IF('Net zero activities &amp; levers'!$C$14="On",('Net zero Activity data'!BG17*EF!$H48*EF!$H66)*NtoN2O*kgtoGg,"ERROR"))</f>
        <v>-2.6619947187312407E-2</v>
      </c>
      <c r="AO1111" s="100">
        <f>IF('Net zero activities &amp; levers'!$C$14="Off",('Activity data'!BH17*EF!$H48*EF!$H66)*NtoN2O*kgtoGg,IF('Net zero activities &amp; levers'!$C$14="On",('Net zero Activity data'!BH17*EF!$H48*EF!$H66)*NtoN2O*kgtoGg,"ERROR"))</f>
        <v>-2.6310938201629927E-2</v>
      </c>
      <c r="AP1111" s="100">
        <f>IF('Net zero activities &amp; levers'!$C$14="Off",('Activity data'!BI17*EF!$H48*EF!$H66)*NtoN2O*kgtoGg,IF('Net zero activities &amp; levers'!$C$14="On",('Net zero Activity data'!BI17*EF!$H48*EF!$H66)*NtoN2O*kgtoGg,"ERROR"))</f>
        <v>-2.600715135070272E-2</v>
      </c>
      <c r="AQ1111" s="100">
        <f>IF('Net zero activities &amp; levers'!$C$14="Off",('Activity data'!BJ17*EF!$H48*EF!$H66)*NtoN2O*kgtoGg,IF('Net zero activities &amp; levers'!$C$14="On",('Net zero Activity data'!BJ17*EF!$H48*EF!$H66)*NtoN2O*kgtoGg,"ERROR"))</f>
        <v>-2.5708283877268884E-2</v>
      </c>
      <c r="AR1111" s="100">
        <f>IF('Net zero activities &amp; levers'!$C$14="Off",('Activity data'!BK17*EF!$H48*EF!$H66)*NtoN2O*kgtoGg,IF('Net zero activities &amp; levers'!$C$14="On",('Net zero Activity data'!BK17*EF!$H48*EF!$H66)*NtoN2O*kgtoGg,"ERROR"))</f>
        <v>-2.5414052353403601E-2</v>
      </c>
      <c r="AS1111" s="100">
        <f>IF('Net zero activities &amp; levers'!$C$14="Off",('Activity data'!BL17*EF!$H48*EF!$H66)*NtoN2O*kgtoGg,IF('Net zero activities &amp; levers'!$C$14="On",('Net zero Activity data'!BL17*EF!$H48*EF!$H66)*NtoN2O*kgtoGg,"ERROR"))</f>
        <v>-2.5093405862334557E-2</v>
      </c>
      <c r="AT1111" s="100">
        <f>IF('Net zero activities &amp; levers'!$C$14="Off",('Activity data'!BM17*EF!$H48*EF!$H66)*NtoN2O*kgtoGg,IF('Net zero activities &amp; levers'!$C$14="On",('Net zero Activity data'!BM17*EF!$H48*EF!$H66)*NtoN2O*kgtoGg,"ERROR"))</f>
        <v>-2.4777656809122427E-2</v>
      </c>
      <c r="AU1111" s="100">
        <f>IF('Net zero activities &amp; levers'!$C$14="Off",('Activity data'!BN17*EF!$H48*EF!$H66)*NtoN2O*kgtoGg,IF('Net zero activities &amp; levers'!$C$14="On",('Net zero Activity data'!BN17*EF!$H48*EF!$H66)*NtoN2O*kgtoGg,"ERROR"))</f>
        <v>-2.4466553104711776E-2</v>
      </c>
      <c r="AV1111" s="100">
        <f>IF('Net zero activities &amp; levers'!$C$14="Off",('Activity data'!BO17*EF!$H48*EF!$H66)*NtoN2O*kgtoGg,IF('Net zero activities &amp; levers'!$C$14="On",('Net zero Activity data'!BO17*EF!$H48*EF!$H66)*NtoN2O*kgtoGg,"ERROR"))</f>
        <v>-2.415985755435068E-2</v>
      </c>
      <c r="AW1111" s="100">
        <f>IF('Net zero activities &amp; levers'!$C$14="Off",('Activity data'!BP17*EF!$H48*EF!$H66)*NtoN2O*kgtoGg,IF('Net zero activities &amp; levers'!$C$14="On",('Net zero Activity data'!BP17*EF!$H48*EF!$H66)*NtoN2O*kgtoGg,"ERROR"))</f>
        <v>-2.3857346696324909E-2</v>
      </c>
      <c r="AY1111" s="85"/>
    </row>
    <row r="1112" spans="1:51" x14ac:dyDescent="0.25">
      <c r="A1112" s="102" t="str">
        <f t="shared" si="374"/>
        <v>CM Swine MMN2O</v>
      </c>
      <c r="B1112" s="102" t="s">
        <v>1323</v>
      </c>
      <c r="C1112" s="102" t="s">
        <v>1234</v>
      </c>
      <c r="D1112" t="s">
        <v>15</v>
      </c>
      <c r="E1112" t="s">
        <v>657</v>
      </c>
      <c r="F1112" t="s">
        <v>21</v>
      </c>
      <c r="G1112" t="s">
        <v>123</v>
      </c>
      <c r="H1112" t="s">
        <v>1228</v>
      </c>
      <c r="I1112" t="s">
        <v>139</v>
      </c>
      <c r="J1112" t="s">
        <v>287</v>
      </c>
      <c r="K1112" s="100">
        <f>IF('Net zero activities &amp; levers'!$C$14="Off",('Activity data'!AD18*EF!$H49*EF!$H67)*NtoN2O*kgtoGg,IF('Net zero activities &amp; levers'!$C$14="On",('Net zero Activity data'!AD18*EF!$H49*EF!$H67)*NtoN2O*kgtoGg,"ERROR"))</f>
        <v>3.8422550388835235E-2</v>
      </c>
      <c r="L1112" s="100">
        <f>IF('Net zero activities &amp; levers'!$C$14="Off",('Activity data'!AE18*EF!$H49*EF!$H67)*NtoN2O*kgtoGg,IF('Net zero activities &amp; levers'!$C$14="On",('Net zero Activity data'!AE18*EF!$H49*EF!$H67)*NtoN2O*kgtoGg,"ERROR"))</f>
        <v>3.8301274844051346E-2</v>
      </c>
      <c r="M1112" s="100">
        <f>IF('Net zero activities &amp; levers'!$C$14="Off",('Activity data'!AF18*EF!$H49*EF!$H67)*NtoN2O*kgtoGg,IF('Net zero activities &amp; levers'!$C$14="On",('Net zero Activity data'!AF18*EF!$H49*EF!$H67)*NtoN2O*kgtoGg,"ERROR"))</f>
        <v>3.7900217531227944E-2</v>
      </c>
      <c r="N1112" s="100">
        <f>IF('Net zero activities &amp; levers'!$C$14="Off",('Activity data'!AG18*EF!$H49*EF!$H67)*NtoN2O*kgtoGg,IF('Net zero activities &amp; levers'!$C$14="On",('Net zero Activity data'!AG18*EF!$H49*EF!$H67)*NtoN2O*kgtoGg,"ERROR"))</f>
        <v>3.712151288291534E-2</v>
      </c>
      <c r="O1112" s="100">
        <f>IF('Net zero activities &amp; levers'!$C$14="Off",('Activity data'!AH18*EF!$H49*EF!$H67)*NtoN2O*kgtoGg,IF('Net zero activities &amp; levers'!$C$14="On",('Net zero Activity data'!AH18*EF!$H49*EF!$H67)*NtoN2O*kgtoGg,"ERROR"))</f>
        <v>3.6376879315672413E-2</v>
      </c>
      <c r="P1112" s="100">
        <f>IF('Net zero activities &amp; levers'!$C$14="Off",('Activity data'!AI18*EF!$H49*EF!$H67)*NtoN2O*kgtoGg,IF('Net zero activities &amp; levers'!$C$14="On",('Net zero Activity data'!AI18*EF!$H49*EF!$H67)*NtoN2O*kgtoGg,"ERROR"))</f>
        <v>3.5854509302702606E-2</v>
      </c>
      <c r="Q1112" s="100">
        <f>IF('Net zero activities &amp; levers'!$C$14="Off",('Activity data'!AJ18*EF!$H49*EF!$H67)*NtoN2O*kgtoGg,IF('Net zero activities &amp; levers'!$C$14="On",('Net zero Activity data'!AJ18*EF!$H49*EF!$H67)*NtoN2O*kgtoGg,"ERROR"))</f>
        <v>3.5412105472740686E-2</v>
      </c>
      <c r="R1112" s="100">
        <f>IF('Net zero activities &amp; levers'!$C$14="Off",('Activity data'!AK18*EF!$H49*EF!$H67)*NtoN2O*kgtoGg,IF('Net zero activities &amp; levers'!$C$14="On",('Net zero Activity data'!AK18*EF!$H49*EF!$H67)*NtoN2O*kgtoGg,"ERROR"))</f>
        <v>3.4597465500143629E-2</v>
      </c>
      <c r="S1112" s="100">
        <f>IF('Net zero activities &amp; levers'!$C$14="Off",('Activity data'!AL18*EF!$H49*EF!$H67)*NtoN2O*kgtoGg,IF('Net zero activities &amp; levers'!$C$14="On",('Net zero Activity data'!AL18*EF!$H49*EF!$H67)*NtoN2O*kgtoGg,"ERROR"))</f>
        <v>3.0287461168290553E-2</v>
      </c>
      <c r="T1112" s="100">
        <f>IF('Net zero activities &amp; levers'!$C$14="Off",('Activity data'!AM18*EF!$H49*EF!$H67)*NtoN2O*kgtoGg,IF('Net zero activities &amp; levers'!$C$14="On",('Net zero Activity data'!AM18*EF!$H49*EF!$H67)*NtoN2O*kgtoGg,"ERROR"))</f>
        <v>3.0479925660118236E-2</v>
      </c>
      <c r="U1112" s="100">
        <f>IF('Net zero activities &amp; levers'!$C$14="Off",('Activity data'!AN18*EF!$H49*EF!$H67)*NtoN2O*kgtoGg,IF('Net zero activities &amp; levers'!$C$14="On",('Net zero Activity data'!AN18*EF!$H49*EF!$H67)*NtoN2O*kgtoGg,"ERROR"))</f>
        <v>3.0576534949970324E-2</v>
      </c>
      <c r="V1112" s="100">
        <f>IF('Net zero activities &amp; levers'!$C$14="Off",('Activity data'!AO18*EF!$H49*EF!$H67)*NtoN2O*kgtoGg,IF('Net zero activities &amp; levers'!$C$14="On",('Net zero Activity data'!AO18*EF!$H49*EF!$H67)*NtoN2O*kgtoGg,"ERROR"))</f>
        <v>3.0670458090413286E-2</v>
      </c>
      <c r="W1112" s="100">
        <f>IF('Net zero activities &amp; levers'!$C$14="Off",('Activity data'!AP18*EF!$H49*EF!$H67)*NtoN2O*kgtoGg,IF('Net zero activities &amp; levers'!$C$14="On",('Net zero Activity data'!AP18*EF!$H49*EF!$H67)*NtoN2O*kgtoGg,"ERROR"))</f>
        <v>3.0899874988755002E-2</v>
      </c>
      <c r="X1112" s="100">
        <f>IF('Net zero activities &amp; levers'!$C$14="Off",('Activity data'!AQ18*EF!$H49*EF!$H67)*NtoN2O*kgtoGg,IF('Net zero activities &amp; levers'!$C$14="On",('Net zero Activity data'!AQ18*EF!$H49*EF!$H67)*NtoN2O*kgtoGg,"ERROR"))</f>
        <v>3.1121579275510219E-2</v>
      </c>
      <c r="Y1112" s="100">
        <f>IF('Net zero activities &amp; levers'!$C$14="Off",('Activity data'!AR18*EF!$H49*EF!$H67)*NtoN2O*kgtoGg,IF('Net zero activities &amp; levers'!$C$14="On",('Net zero Activity data'!AR18*EF!$H49*EF!$H67)*NtoN2O*kgtoGg,"ERROR"))</f>
        <v>3.1375930892687053E-2</v>
      </c>
      <c r="Z1112" s="100">
        <f>IF('Net zero activities &amp; levers'!$C$14="Off",('Activity data'!AS18*EF!$H49*EF!$H67)*NtoN2O*kgtoGg,IF('Net zero activities &amp; levers'!$C$14="On",('Net zero Activity data'!AS18*EF!$H49*EF!$H67)*NtoN2O*kgtoGg,"ERROR"))</f>
        <v>3.1589420518295906E-2</v>
      </c>
      <c r="AA1112" s="100">
        <f>IF('Net zero activities &amp; levers'!$C$14="Off",('Activity data'!AT18*EF!$H49*EF!$H67)*NtoN2O*kgtoGg,IF('Net zero activities &amp; levers'!$C$14="On",('Net zero Activity data'!AT18*EF!$H49*EF!$H67)*NtoN2O*kgtoGg,"ERROR"))</f>
        <v>3.1845985380898841E-2</v>
      </c>
      <c r="AB1112" s="100">
        <f>IF('Net zero activities &amp; levers'!$C$14="Off",('Activity data'!AU18*EF!$H49*EF!$H67)*NtoN2O*kgtoGg,IF('Net zero activities &amp; levers'!$C$14="On",('Net zero Activity data'!AU18*EF!$H49*EF!$H67)*NtoN2O*kgtoGg,"ERROR"))</f>
        <v>3.2032749858579623E-2</v>
      </c>
      <c r="AC1112" s="100">
        <f>IF('Net zero activities &amp; levers'!$C$14="Off",('Activity data'!AV18*EF!$H49*EF!$H67)*NtoN2O*kgtoGg,IF('Net zero activities &amp; levers'!$C$14="On",('Net zero Activity data'!AV18*EF!$H49*EF!$H67)*NtoN2O*kgtoGg,"ERROR"))</f>
        <v>3.222920973545864E-2</v>
      </c>
      <c r="AD1112" s="100">
        <f>IF('Net zero activities &amp; levers'!$C$14="Off",('Activity data'!AW18*EF!$H49*EF!$H67)*NtoN2O*kgtoGg,IF('Net zero activities &amp; levers'!$C$14="On",('Net zero Activity data'!AW18*EF!$H49*EF!$H67)*NtoN2O*kgtoGg,"ERROR"))</f>
        <v>3.2591568939191247E-2</v>
      </c>
      <c r="AE1112" s="100">
        <f>IF('Net zero activities &amp; levers'!$C$14="Off",('Activity data'!AX18*EF!$H49*EF!$H67)*NtoN2O*kgtoGg,IF('Net zero activities &amp; levers'!$C$14="On",('Net zero Activity data'!AX18*EF!$H49*EF!$H67)*NtoN2O*kgtoGg,"ERROR"))</f>
        <v>3.3014863647997064E-2</v>
      </c>
      <c r="AF1112" s="100">
        <f>IF('Net zero activities &amp; levers'!$C$14="Off",('Activity data'!AY18*EF!$H49*EF!$H67)*NtoN2O*kgtoGg,IF('Net zero activities &amp; levers'!$C$14="On",('Net zero Activity data'!AY18*EF!$H49*EF!$H67)*NtoN2O*kgtoGg,"ERROR"))</f>
        <v>3.345289737347313E-2</v>
      </c>
      <c r="AG1112" s="100">
        <f>IF('Net zero activities &amp; levers'!$C$14="Off",('Activity data'!AZ18*EF!$H49*EF!$H67)*NtoN2O*kgtoGg,IF('Net zero activities &amp; levers'!$C$14="On",('Net zero Activity data'!AZ18*EF!$H49*EF!$H67)*NtoN2O*kgtoGg,"ERROR"))</f>
        <v>3.2960586536628499E-2</v>
      </c>
      <c r="AH1112" s="100">
        <f>IF('Net zero activities &amp; levers'!$C$14="Off",('Activity data'!BA18*EF!$H49*EF!$H67)*NtoN2O*kgtoGg,IF('Net zero activities &amp; levers'!$C$14="On",('Net zero Activity data'!BA18*EF!$H49*EF!$H67)*NtoN2O*kgtoGg,"ERROR"))</f>
        <v>-1.112114773249949E-2</v>
      </c>
      <c r="AI1112" s="100">
        <f>IF('Net zero activities &amp; levers'!$C$14="Off",('Activity data'!BB18*EF!$H49*EF!$H67)*NtoN2O*kgtoGg,IF('Net zero activities &amp; levers'!$C$14="On",('Net zero Activity data'!BB18*EF!$H49*EF!$H67)*NtoN2O*kgtoGg,"ERROR"))</f>
        <v>-1.0999500339038397E-2</v>
      </c>
      <c r="AJ1112" s="100">
        <f>IF('Net zero activities &amp; levers'!$C$14="Off",('Activity data'!BC18*EF!$H49*EF!$H67)*NtoN2O*kgtoGg,IF('Net zero activities &amp; levers'!$C$14="On",('Net zero Activity data'!BC18*EF!$H49*EF!$H67)*NtoN2O*kgtoGg,"ERROR"))</f>
        <v>-1.0880458459698174E-2</v>
      </c>
      <c r="AK1112" s="100">
        <f>IF('Net zero activities &amp; levers'!$C$14="Off",('Activity data'!BD18*EF!$H49*EF!$H67)*NtoN2O*kgtoGg,IF('Net zero activities &amp; levers'!$C$14="On",('Net zero Activity data'!BD18*EF!$H49*EF!$H67)*NtoN2O*kgtoGg,"ERROR"))</f>
        <v>-1.0763851645019877E-2</v>
      </c>
      <c r="AL1112" s="100">
        <f>IF('Net zero activities &amp; levers'!$C$14="Off",('Activity data'!BE18*EF!$H49*EF!$H67)*NtoN2O*kgtoGg,IF('Net zero activities &amp; levers'!$C$14="On",('Net zero Activity data'!BE18*EF!$H49*EF!$H67)*NtoN2O*kgtoGg,"ERROR"))</f>
        <v>-1.0649521925873338E-2</v>
      </c>
      <c r="AM1112" s="100">
        <f>IF('Net zero activities &amp; levers'!$C$14="Off",('Activity data'!BF18*EF!$H49*EF!$H67)*NtoN2O*kgtoGg,IF('Net zero activities &amp; levers'!$C$14="On",('Net zero Activity data'!BF18*EF!$H49*EF!$H67)*NtoN2O*kgtoGg,"ERROR"))</f>
        <v>-1.0537322606536911E-2</v>
      </c>
      <c r="AN1112" s="100">
        <f>IF('Net zero activities &amp; levers'!$C$14="Off",('Activity data'!BG18*EF!$H49*EF!$H67)*NtoN2O*kgtoGg,IF('Net zero activities &amp; levers'!$C$14="On",('Net zero Activity data'!BG18*EF!$H49*EF!$H67)*NtoN2O*kgtoGg,"ERROR"))</f>
        <v>-1.0414262308081425E-2</v>
      </c>
      <c r="AO1112" s="100">
        <f>IF('Net zero activities &amp; levers'!$C$14="Off",('Activity data'!BH18*EF!$H49*EF!$H67)*NtoN2O*kgtoGg,IF('Net zero activities &amp; levers'!$C$14="On",('Net zero Activity data'!BH18*EF!$H49*EF!$H67)*NtoN2O*kgtoGg,"ERROR"))</f>
        <v>-1.0293371736443279E-2</v>
      </c>
      <c r="AP1112" s="100">
        <f>IF('Net zero activities &amp; levers'!$C$14="Off",('Activity data'!BI18*EF!$H49*EF!$H67)*NtoN2O*kgtoGg,IF('Net zero activities &amp; levers'!$C$14="On",('Net zero Activity data'!BI18*EF!$H49*EF!$H67)*NtoN2O*kgtoGg,"ERROR"))</f>
        <v>-1.0174524169652843E-2</v>
      </c>
      <c r="AQ1112" s="100">
        <f>IF('Net zero activities &amp; levers'!$C$14="Off",('Activity data'!BJ18*EF!$H49*EF!$H67)*NtoN2O*kgtoGg,IF('Net zero activities &amp; levers'!$C$14="On",('Net zero Activity data'!BJ18*EF!$H49*EF!$H67)*NtoN2O*kgtoGg,"ERROR"))</f>
        <v>-1.0057601162939404E-2</v>
      </c>
      <c r="AR1112" s="100">
        <f>IF('Net zero activities &amp; levers'!$C$14="Off",('Activity data'!BK18*EF!$H49*EF!$H67)*NtoN2O*kgtoGg,IF('Net zero activities &amp; levers'!$C$14="On",('Net zero Activity data'!BK18*EF!$H49*EF!$H67)*NtoN2O*kgtoGg,"ERROR"))</f>
        <v>-9.9424918335602689E-3</v>
      </c>
      <c r="AS1112" s="100">
        <f>IF('Net zero activities &amp; levers'!$C$14="Off",('Activity data'!BL18*EF!$H49*EF!$H67)*NtoN2O*kgtoGg,IF('Net zero activities &amp; levers'!$C$14="On",('Net zero Activity data'!BL18*EF!$H49*EF!$H67)*NtoN2O*kgtoGg,"ERROR"))</f>
        <v>-9.8170484341927999E-3</v>
      </c>
      <c r="AT1112" s="100">
        <f>IF('Net zero activities &amp; levers'!$C$14="Off",('Activity data'!BM18*EF!$H49*EF!$H67)*NtoN2O*kgtoGg,IF('Net zero activities &amp; levers'!$C$14="On",('Net zero Activity data'!BM18*EF!$H49*EF!$H67)*NtoN2O*kgtoGg,"ERROR"))</f>
        <v>-9.6935210116723403E-3</v>
      </c>
      <c r="AU1112" s="100">
        <f>IF('Net zero activities &amp; levers'!$C$14="Off",('Activity data'!BN18*EF!$H49*EF!$H67)*NtoN2O*kgtoGg,IF('Net zero activities &amp; levers'!$C$14="On",('Net zero Activity data'!BN18*EF!$H49*EF!$H67)*NtoN2O*kgtoGg,"ERROR"))</f>
        <v>-9.5718109436564065E-3</v>
      </c>
      <c r="AV1112" s="100">
        <f>IF('Net zero activities &amp; levers'!$C$14="Off",('Activity data'!BO18*EF!$H49*EF!$H67)*NtoN2O*kgtoGg,IF('Net zero activities &amp; levers'!$C$14="On",('Net zero Activity data'!BO18*EF!$H49*EF!$H67)*NtoN2O*kgtoGg,"ERROR"))</f>
        <v>-9.4518254347556157E-3</v>
      </c>
      <c r="AW1112" s="100">
        <f>IF('Net zero activities &amp; levers'!$C$14="Off",('Activity data'!BP18*EF!$H49*EF!$H67)*NtoN2O*kgtoGg,IF('Net zero activities &amp; levers'!$C$14="On",('Net zero Activity data'!BP18*EF!$H49*EF!$H67)*NtoN2O*kgtoGg,"ERROR"))</f>
        <v>-9.3334770622229783E-3</v>
      </c>
      <c r="AY1112" s="85"/>
    </row>
    <row r="1113" spans="1:51" x14ac:dyDescent="0.25">
      <c r="A1113" s="102" t="str">
        <f t="shared" si="374"/>
        <v>CM Poultry MMN2O</v>
      </c>
      <c r="B1113" s="102" t="s">
        <v>1323</v>
      </c>
      <c r="C1113" s="102" t="s">
        <v>1235</v>
      </c>
      <c r="D1113" t="s">
        <v>15</v>
      </c>
      <c r="E1113" t="s">
        <v>657</v>
      </c>
      <c r="F1113" t="s">
        <v>28</v>
      </c>
      <c r="G1113" t="s">
        <v>131</v>
      </c>
      <c r="H1113" t="s">
        <v>1228</v>
      </c>
      <c r="I1113" t="s">
        <v>139</v>
      </c>
      <c r="J1113" t="s">
        <v>287</v>
      </c>
      <c r="K1113" s="100">
        <f>IF('Net zero activities &amp; levers'!$C$14="Off",('Activity data'!AD19*EF!$H50*EF!$H68)*NtoN2O*kgtoGg,IF('Net zero activities &amp; levers'!$C$14="On",('Net zero Activity data'!AD19*EF!$H50*EF!$H68)*NtoN2O*kgtoGg,"ERROR"))</f>
        <v>0.32963485119754937</v>
      </c>
      <c r="L1113" s="100">
        <f>IF('Net zero activities &amp; levers'!$C$14="Off",('Activity data'!AE19*EF!$H50*EF!$H68)*NtoN2O*kgtoGg,IF('Net zero activities &amp; levers'!$C$14="On",('Net zero Activity data'!AE19*EF!$H50*EF!$H68)*NtoN2O*kgtoGg,"ERROR"))</f>
        <v>0.3367733222576253</v>
      </c>
      <c r="M1113" s="100">
        <f>IF('Net zero activities &amp; levers'!$C$14="Off",('Activity data'!AF19*EF!$H50*EF!$H68)*NtoN2O*kgtoGg,IF('Net zero activities &amp; levers'!$C$14="On",('Net zero Activity data'!AF19*EF!$H50*EF!$H68)*NtoN2O*kgtoGg,"ERROR"))</f>
        <v>0.34252519941326248</v>
      </c>
      <c r="N1113" s="100">
        <f>IF('Net zero activities &amp; levers'!$C$14="Off",('Activity data'!AG19*EF!$H50*EF!$H68)*NtoN2O*kgtoGg,IF('Net zero activities &amp; levers'!$C$14="On",('Net zero Activity data'!AG19*EF!$H50*EF!$H68)*NtoN2O*kgtoGg,"ERROR"))</f>
        <v>0.34628339258632435</v>
      </c>
      <c r="O1113" s="100">
        <f>IF('Net zero activities &amp; levers'!$C$14="Off",('Activity data'!AH19*EF!$H50*EF!$H68)*NtoN2O*kgtoGg,IF('Net zero activities &amp; levers'!$C$14="On",('Net zero Activity data'!AH19*EF!$H50*EF!$H68)*NtoN2O*kgtoGg,"ERROR"))</f>
        <v>0.35009259651269609</v>
      </c>
      <c r="P1113" s="100">
        <f>IF('Net zero activities &amp; levers'!$C$14="Off",('Activity data'!AI19*EF!$H50*EF!$H68)*NtoN2O*kgtoGg,IF('Net zero activities &amp; levers'!$C$14="On",('Net zero Activity data'!AI19*EF!$H50*EF!$H68)*NtoN2O*kgtoGg,"ERROR"))</f>
        <v>0.35500337907845531</v>
      </c>
      <c r="Q1113" s="100">
        <f>IF('Net zero activities &amp; levers'!$C$14="Off",('Activity data'!AJ19*EF!$H50*EF!$H68)*NtoN2O*kgtoGg,IF('Net zero activities &amp; levers'!$C$14="On",('Net zero Activity data'!AJ19*EF!$H50*EF!$H68)*NtoN2O*kgtoGg,"ERROR"))</f>
        <v>0.36025498659562288</v>
      </c>
      <c r="R1113" s="100">
        <f>IF('Net zero activities &amp; levers'!$C$14="Off",('Activity data'!AK19*EF!$H50*EF!$H68)*NtoN2O*kgtoGg,IF('Net zero activities &amp; levers'!$C$14="On",('Net zero Activity data'!AK19*EF!$H50*EF!$H68)*NtoN2O*kgtoGg,"ERROR"))</f>
        <v>0.36330907698293946</v>
      </c>
      <c r="S1113" s="100">
        <f>IF('Net zero activities &amp; levers'!$C$14="Off",('Activity data'!AL19*EF!$H50*EF!$H68)*NtoN2O*kgtoGg,IF('Net zero activities &amp; levers'!$C$14="On",('Net zero Activity data'!AL19*EF!$H50*EF!$H68)*NtoN2O*kgtoGg,"ERROR"))</f>
        <v>0.34573940681489368</v>
      </c>
      <c r="T1113" s="100">
        <f>IF('Net zero activities &amp; levers'!$C$14="Off",('Activity data'!AM19*EF!$H50*EF!$H68)*NtoN2O*kgtoGg,IF('Net zero activities &amp; levers'!$C$14="On",('Net zero Activity data'!AM19*EF!$H50*EF!$H68)*NtoN2O*kgtoGg,"ERROR"))</f>
        <v>0.35316196495857255</v>
      </c>
      <c r="U1113" s="100">
        <f>IF('Net zero activities &amp; levers'!$C$14="Off",('Activity data'!AN19*EF!$H50*EF!$H68)*NtoN2O*kgtoGg,IF('Net zero activities &amp; levers'!$C$14="On",('Net zero Activity data'!AN19*EF!$H50*EF!$H68)*NtoN2O*kgtoGg,"ERROR"))</f>
        <v>0.36009092327704184</v>
      </c>
      <c r="V1113" s="100">
        <f>IF('Net zero activities &amp; levers'!$C$14="Off",('Activity data'!AO19*EF!$H50*EF!$H68)*NtoN2O*kgtoGg,IF('Net zero activities &amp; levers'!$C$14="On",('Net zero Activity data'!AO19*EF!$H50*EF!$H68)*NtoN2O*kgtoGg,"ERROR"))</f>
        <v>0.36707458200076865</v>
      </c>
      <c r="W1113" s="100">
        <f>IF('Net zero activities &amp; levers'!$C$14="Off",('Activity data'!AP19*EF!$H50*EF!$H68)*NtoN2O*kgtoGg,IF('Net zero activities &amp; levers'!$C$14="On",('Net zero Activity data'!AP19*EF!$H50*EF!$H68)*NtoN2O*kgtoGg,"ERROR"))</f>
        <v>0.37500055316657199</v>
      </c>
      <c r="X1113" s="100">
        <f>IF('Net zero activities &amp; levers'!$C$14="Off",('Activity data'!AQ19*EF!$H50*EF!$H68)*NtoN2O*kgtoGg,IF('Net zero activities &amp; levers'!$C$14="On",('Net zero Activity data'!AQ19*EF!$H50*EF!$H68)*NtoN2O*kgtoGg,"ERROR"))</f>
        <v>0.38299236324087566</v>
      </c>
      <c r="Y1113" s="100">
        <f>IF('Net zero activities &amp; levers'!$C$14="Off",('Activity data'!AR19*EF!$H50*EF!$H68)*NtoN2O*kgtoGg,IF('Net zero activities &amp; levers'!$C$14="On",('Net zero Activity data'!AR19*EF!$H50*EF!$H68)*NtoN2O*kgtoGg,"ERROR"))</f>
        <v>0.39099432975561715</v>
      </c>
      <c r="Z1113" s="100">
        <f>IF('Net zero activities &amp; levers'!$C$14="Off",('Activity data'!AS19*EF!$H50*EF!$H68)*NtoN2O*kgtoGg,IF('Net zero activities &amp; levers'!$C$14="On",('Net zero Activity data'!AS19*EF!$H50*EF!$H68)*NtoN2O*kgtoGg,"ERROR"))</f>
        <v>0.398841954270029</v>
      </c>
      <c r="AA1113" s="100">
        <f>IF('Net zero activities &amp; levers'!$C$14="Off",('Activity data'!AT19*EF!$H50*EF!$H68)*NtoN2O*kgtoGg,IF('Net zero activities &amp; levers'!$C$14="On",('Net zero Activity data'!AT19*EF!$H50*EF!$H68)*NtoN2O*kgtoGg,"ERROR"))</f>
        <v>0.40710661573230994</v>
      </c>
      <c r="AB1113" s="100">
        <f>IF('Net zero activities &amp; levers'!$C$14="Off",('Activity data'!AU19*EF!$H50*EF!$H68)*NtoN2O*kgtoGg,IF('Net zero activities &amp; levers'!$C$14="On",('Net zero Activity data'!AU19*EF!$H50*EF!$H68)*NtoN2O*kgtoGg,"ERROR"))</f>
        <v>0.41500811589686409</v>
      </c>
      <c r="AC1113" s="100">
        <f>IF('Net zero activities &amp; levers'!$C$14="Off",('Activity data'!AV19*EF!$H50*EF!$H68)*NtoN2O*kgtoGg,IF('Net zero activities &amp; levers'!$C$14="On",('Net zero Activity data'!AV19*EF!$H50*EF!$H68)*NtoN2O*kgtoGg,"ERROR"))</f>
        <v>0.42309700830126501</v>
      </c>
      <c r="AD1113" s="100">
        <f>IF('Net zero activities &amp; levers'!$C$14="Off",('Activity data'!AW19*EF!$H50*EF!$H68)*NtoN2O*kgtoGg,IF('Net zero activities &amp; levers'!$C$14="On",('Net zero Activity data'!AW19*EF!$H50*EF!$H68)*NtoN2O*kgtoGg,"ERROR"))</f>
        <v>0.43226826232979193</v>
      </c>
      <c r="AE1113" s="100">
        <f>IF('Net zero activities &amp; levers'!$C$14="Off",('Activity data'!AX19*EF!$H50*EF!$H68)*NtoN2O*kgtoGg,IF('Net zero activities &amp; levers'!$C$14="On",('Net zero Activity data'!AX19*EF!$H50*EF!$H68)*NtoN2O*kgtoGg,"ERROR"))</f>
        <v>0.44207160383339156</v>
      </c>
      <c r="AF1113" s="100">
        <f>IF('Net zero activities &amp; levers'!$C$14="Off",('Activity data'!AY19*EF!$H50*EF!$H68)*NtoN2O*kgtoGg,IF('Net zero activities &amp; levers'!$C$14="On",('Net zero Activity data'!AY19*EF!$H50*EF!$H68)*NtoN2O*kgtoGg,"ERROR"))</f>
        <v>0.45218336296465478</v>
      </c>
      <c r="AG1113" s="100">
        <f>IF('Net zero activities &amp; levers'!$C$14="Off",('Activity data'!AZ19*EF!$H50*EF!$H68)*NtoN2O*kgtoGg,IF('Net zero activities &amp; levers'!$C$14="On",('Net zero Activity data'!AZ19*EF!$H50*EF!$H68)*NtoN2O*kgtoGg,"ERROR"))</f>
        <v>0.4551931213650493</v>
      </c>
      <c r="AH1113" s="100">
        <f>IF('Net zero activities &amp; levers'!$C$14="Off",('Activity data'!BA19*EF!$H50*EF!$H68)*NtoN2O*kgtoGg,IF('Net zero activities &amp; levers'!$C$14="On",('Net zero Activity data'!BA19*EF!$H50*EF!$H68)*NtoN2O*kgtoGg,"ERROR"))</f>
        <v>0.10910564018941009</v>
      </c>
      <c r="AI1113" s="100">
        <f>IF('Net zero activities &amp; levers'!$C$14="Off",('Activity data'!BB19*EF!$H50*EF!$H68)*NtoN2O*kgtoGg,IF('Net zero activities &amp; levers'!$C$14="On",('Net zero Activity data'!BB19*EF!$H50*EF!$H68)*NtoN2O*kgtoGg,"ERROR"))</f>
        <v>0.10994420930696339</v>
      </c>
      <c r="AJ1113" s="100">
        <f>IF('Net zero activities &amp; levers'!$C$14="Off",('Activity data'!BC19*EF!$H50*EF!$H68)*NtoN2O*kgtoGg,IF('Net zero activities &amp; levers'!$C$14="On",('Net zero Activity data'!BC19*EF!$H50*EF!$H68)*NtoN2O*kgtoGg,"ERROR"))</f>
        <v>0.11078888384654588</v>
      </c>
      <c r="AK1113" s="100">
        <f>IF('Net zero activities &amp; levers'!$C$14="Off",('Activity data'!BD19*EF!$H50*EF!$H68)*NtoN2O*kgtoGg,IF('Net zero activities &amp; levers'!$C$14="On",('Net zero Activity data'!BD19*EF!$H50*EF!$H68)*NtoN2O*kgtoGg,"ERROR"))</f>
        <v>0.11163971029926273</v>
      </c>
      <c r="AL1113" s="100">
        <f>IF('Net zero activities &amp; levers'!$C$14="Off",('Activity data'!BE19*EF!$H50*EF!$H68)*NtoN2O*kgtoGg,IF('Net zero activities &amp; levers'!$C$14="On",('Net zero Activity data'!BE19*EF!$H50*EF!$H68)*NtoN2O*kgtoGg,"ERROR"))</f>
        <v>0.11249673536734303</v>
      </c>
      <c r="AM1113" s="100">
        <f>IF('Net zero activities &amp; levers'!$C$14="Off",('Activity data'!BF19*EF!$H50*EF!$H68)*NtoN2O*kgtoGg,IF('Net zero activities &amp; levers'!$C$14="On",('Net zero Activity data'!BF19*EF!$H50*EF!$H68)*NtoN2O*kgtoGg,"ERROR"))</f>
        <v>0.1133600059778764</v>
      </c>
      <c r="AN1113" s="100">
        <f>IF('Net zero activities &amp; levers'!$C$14="Off",('Activity data'!BG19*EF!$H50*EF!$H68)*NtoN2O*kgtoGg,IF('Net zero activities &amp; levers'!$C$14="On",('Net zero Activity data'!BG19*EF!$H50*EF!$H68)*NtoN2O*kgtoGg,"ERROR"))</f>
        <v>0.11409797095001123</v>
      </c>
      <c r="AO1113" s="100">
        <f>IF('Net zero activities &amp; levers'!$C$14="Off",('Activity data'!BH19*EF!$H50*EF!$H68)*NtoN2O*kgtoGg,IF('Net zero activities &amp; levers'!$C$14="On",('Net zero Activity data'!BH19*EF!$H50*EF!$H68)*NtoN2O*kgtoGg,"ERROR"))</f>
        <v>0.11484049120695125</v>
      </c>
      <c r="AP1113" s="100">
        <f>IF('Net zero activities &amp; levers'!$C$14="Off",('Activity data'!BI19*EF!$H50*EF!$H68)*NtoN2O*kgtoGg,IF('Net zero activities &amp; levers'!$C$14="On",('Net zero Activity data'!BI19*EF!$H50*EF!$H68)*NtoN2O*kgtoGg,"ERROR"))</f>
        <v>0.11558759635865411</v>
      </c>
      <c r="AQ1113" s="100">
        <f>IF('Net zero activities &amp; levers'!$C$14="Off",('Activity data'!BJ19*EF!$H50*EF!$H68)*NtoN2O*kgtoGg,IF('Net zero activities &amp; levers'!$C$14="On",('Net zero Activity data'!BJ19*EF!$H50*EF!$H68)*NtoN2O*kgtoGg,"ERROR"))</f>
        <v>0.11633931611415979</v>
      </c>
      <c r="AR1113" s="100">
        <f>IF('Net zero activities &amp; levers'!$C$14="Off",('Activity data'!BK19*EF!$H50*EF!$H68)*NtoN2O*kgtoGg,IF('Net zero activities &amp; levers'!$C$14="On",('Net zero Activity data'!BK19*EF!$H50*EF!$H68)*NtoN2O*kgtoGg,"ERROR"))</f>
        <v>0.11709568028936261</v>
      </c>
      <c r="AS1113" s="100">
        <f>IF('Net zero activities &amp; levers'!$C$14="Off",('Activity data'!BL19*EF!$H50*EF!$H68)*NtoN2O*kgtoGg,IF('Net zero activities &amp; levers'!$C$14="On",('Net zero Activity data'!BL19*EF!$H50*EF!$H68)*NtoN2O*kgtoGg,"ERROR"))</f>
        <v>0.11772147862106908</v>
      </c>
      <c r="AT1113" s="100">
        <f>IF('Net zero activities &amp; levers'!$C$14="Off",('Activity data'!BM19*EF!$H50*EF!$H68)*NtoN2O*kgtoGg,IF('Net zero activities &amp; levers'!$C$14="On",('Net zero Activity data'!BM19*EF!$H50*EF!$H68)*NtoN2O*kgtoGg,"ERROR"))</f>
        <v>0.11835044728238052</v>
      </c>
      <c r="AU1113" s="100">
        <f>IF('Net zero activities &amp; levers'!$C$14="Off",('Activity data'!BN19*EF!$H50*EF!$H68)*NtoN2O*kgtoGg,IF('Net zero activities &amp; levers'!$C$14="On",('Net zero Activity data'!BN19*EF!$H50*EF!$H68)*NtoN2O*kgtoGg,"ERROR"))</f>
        <v>0.11898260346877226</v>
      </c>
      <c r="AV1113" s="100">
        <f>IF('Net zero activities &amp; levers'!$C$14="Off",('Activity data'!BO19*EF!$H50*EF!$H68)*NtoN2O*kgtoGg,IF('Net zero activities &amp; levers'!$C$14="On",('Net zero Activity data'!BO19*EF!$H50*EF!$H68)*NtoN2O*kgtoGg,"ERROR"))</f>
        <v>0.11961796440464827</v>
      </c>
      <c r="AW1113" s="100">
        <f>IF('Net zero activities &amp; levers'!$C$14="Off",('Activity data'!BP19*EF!$H50*EF!$H68)*NtoN2O*kgtoGg,IF('Net zero activities &amp; levers'!$C$14="On",('Net zero Activity data'!BP19*EF!$H50*EF!$H68)*NtoN2O*kgtoGg,"ERROR"))</f>
        <v>0.12025654734797987</v>
      </c>
      <c r="AY1113" s="85"/>
    </row>
    <row r="1114" spans="1:51" x14ac:dyDescent="0.25">
      <c r="A1114" s="102" t="str">
        <f t="shared" si="374"/>
        <v>CM Poultry MMN2O</v>
      </c>
      <c r="B1114" s="102" t="s">
        <v>1323</v>
      </c>
      <c r="C1114" s="102" t="s">
        <v>1235</v>
      </c>
      <c r="D1114" t="s">
        <v>15</v>
      </c>
      <c r="E1114" t="s">
        <v>657</v>
      </c>
      <c r="F1114" t="s">
        <v>28</v>
      </c>
      <c r="G1114" t="s">
        <v>132</v>
      </c>
      <c r="H1114" t="s">
        <v>1228</v>
      </c>
      <c r="I1114" t="s">
        <v>139</v>
      </c>
      <c r="J1114" t="s">
        <v>287</v>
      </c>
      <c r="K1114" s="100">
        <f>IF('Net zero activities &amp; levers'!$C$14="Off",('Activity data'!AD20*EF!$H51*EF!$H69)*NtoN2O*kgtoGg,IF('Net zero activities &amp; levers'!$C$14="On",('Net zero Activity data'!AD20*EF!$H51*EF!$H69)*NtoN2O*kgtoGg,"ERROR"))</f>
        <v>1.7216530294251391</v>
      </c>
      <c r="L1114" s="100">
        <f>IF('Net zero activities &amp; levers'!$C$14="Off",('Activity data'!AE20*EF!$H51*EF!$H69)*NtoN2O*kgtoGg,IF('Net zero activities &amp; levers'!$C$14="On",('Net zero Activity data'!AE20*EF!$H51*EF!$H69)*NtoN2O*kgtoGg,"ERROR"))</f>
        <v>1.7495913852181326</v>
      </c>
      <c r="M1114" s="100">
        <f>IF('Net zero activities &amp; levers'!$C$14="Off",('Activity data'!AF20*EF!$H51*EF!$H69)*NtoN2O*kgtoGg,IF('Net zero activities &amp; levers'!$C$14="On",('Net zero Activity data'!AF20*EF!$H51*EF!$H69)*NtoN2O*kgtoGg,"ERROR"))</f>
        <v>1.7578868664335328</v>
      </c>
      <c r="N1114" s="100">
        <f>IF('Net zero activities &amp; levers'!$C$14="Off",('Activity data'!AG20*EF!$H51*EF!$H69)*NtoN2O*kgtoGg,IF('Net zero activities &amp; levers'!$C$14="On",('Net zero Activity data'!AG20*EF!$H51*EF!$H69)*NtoN2O*kgtoGg,"ERROR"))</f>
        <v>1.7392918980189422</v>
      </c>
      <c r="O1114" s="100">
        <f>IF('Net zero activities &amp; levers'!$C$14="Off",('Activity data'!AH20*EF!$H51*EF!$H69)*NtoN2O*kgtoGg,IF('Net zero activities &amp; levers'!$C$14="On",('Net zero Activity data'!AH20*EF!$H51*EF!$H69)*NtoN2O*kgtoGg,"ERROR"))</f>
        <v>1.7207368558327785</v>
      </c>
      <c r="P1114" s="100">
        <f>IF('Net zero activities &amp; levers'!$C$14="Off",('Activity data'!AI20*EF!$H51*EF!$H69)*NtoN2O*kgtoGg,IF('Net zero activities &amp; levers'!$C$14="On",('Net zero Activity data'!AI20*EF!$H51*EF!$H69)*NtoN2O*kgtoGg,"ERROR"))</f>
        <v>1.7153529254443873</v>
      </c>
      <c r="Q1114" s="100">
        <f>IF('Net zero activities &amp; levers'!$C$14="Off",('Activity data'!AJ20*EF!$H51*EF!$H69)*NtoN2O*kgtoGg,IF('Net zero activities &amp; levers'!$C$14="On",('Net zero Activity data'!AJ20*EF!$H51*EF!$H69)*NtoN2O*kgtoGg,"ERROR"))</f>
        <v>1.7142313641539435</v>
      </c>
      <c r="R1114" s="100">
        <f>IF('Net zero activities &amp; levers'!$C$14="Off",('Activity data'!AK20*EF!$H51*EF!$H69)*NtoN2O*kgtoGg,IF('Net zero activities &amp; levers'!$C$14="On",('Net zero Activity data'!AK20*EF!$H51*EF!$H69)*NtoN2O*kgtoGg,"ERROR"))</f>
        <v>1.6856374848225169</v>
      </c>
      <c r="S1114" s="100">
        <f>IF('Net zero activities &amp; levers'!$C$14="Off",('Activity data'!AL20*EF!$H51*EF!$H69)*NtoN2O*kgtoGg,IF('Net zero activities &amp; levers'!$C$14="On",('Net zero Activity data'!AL20*EF!$H51*EF!$H69)*NtoN2O*kgtoGg,"ERROR"))</f>
        <v>1.4045469015643526</v>
      </c>
      <c r="T1114" s="100">
        <f>IF('Net zero activities &amp; levers'!$C$14="Off",('Activity data'!AM20*EF!$H51*EF!$H69)*NtoN2O*kgtoGg,IF('Net zero activities &amp; levers'!$C$14="On",('Net zero Activity data'!AM20*EF!$H51*EF!$H69)*NtoN2O*kgtoGg,"ERROR"))</f>
        <v>1.4459775319383337</v>
      </c>
      <c r="U1114" s="100">
        <f>IF('Net zero activities &amp; levers'!$C$14="Off",('Activity data'!AN20*EF!$H51*EF!$H69)*NtoN2O*kgtoGg,IF('Net zero activities &amp; levers'!$C$14="On",('Net zero Activity data'!AN20*EF!$H51*EF!$H69)*NtoN2O*kgtoGg,"ERROR"))</f>
        <v>1.480607974450509</v>
      </c>
      <c r="V1114" s="100">
        <f>IF('Net zero activities &amp; levers'!$C$14="Off",('Activity data'!AO20*EF!$H51*EF!$H69)*NtoN2O*kgtoGg,IF('Net zero activities &amp; levers'!$C$14="On",('Net zero Activity data'!AO20*EF!$H51*EF!$H69)*NtoN2O*kgtoGg,"ERROR"))</f>
        <v>1.5151543903265086</v>
      </c>
      <c r="W1114" s="100">
        <f>IF('Net zero activities &amp; levers'!$C$14="Off",('Activity data'!AP20*EF!$H51*EF!$H69)*NtoN2O*kgtoGg,IF('Net zero activities &amp; levers'!$C$14="On",('Net zero Activity data'!AP20*EF!$H51*EF!$H69)*NtoN2O*kgtoGg,"ERROR"))</f>
        <v>1.5601003686418904</v>
      </c>
      <c r="X1114" s="100">
        <f>IF('Net zero activities &amp; levers'!$C$14="Off",('Activity data'!AQ20*EF!$H51*EF!$H69)*NtoN2O*kgtoGg,IF('Net zero activities &amp; levers'!$C$14="On",('Net zero Activity data'!AQ20*EF!$H51*EF!$H69)*NtoN2O*kgtoGg,"ERROR"))</f>
        <v>1.6049114332445515</v>
      </c>
      <c r="Y1114" s="100">
        <f>IF('Net zero activities &amp; levers'!$C$14="Off",('Activity data'!AR20*EF!$H51*EF!$H69)*NtoN2O*kgtoGg,IF('Net zero activities &amp; levers'!$C$14="On",('Net zero Activity data'!AR20*EF!$H51*EF!$H69)*NtoN2O*kgtoGg,"ERROR"))</f>
        <v>1.6541109963656262</v>
      </c>
      <c r="Z1114" s="100">
        <f>IF('Net zero activities &amp; levers'!$C$14="Off",('Activity data'!AS20*EF!$H51*EF!$H69)*NtoN2O*kgtoGg,IF('Net zero activities &amp; levers'!$C$14="On",('Net zero Activity data'!AS20*EF!$H51*EF!$H69)*NtoN2O*kgtoGg,"ERROR"))</f>
        <v>1.7006835408755379</v>
      </c>
      <c r="AA1114" s="100">
        <f>IF('Net zero activities &amp; levers'!$C$14="Off",('Activity data'!AT20*EF!$H51*EF!$H69)*NtoN2O*kgtoGg,IF('Net zero activities &amp; levers'!$C$14="On",('Net zero Activity data'!AT20*EF!$H51*EF!$H69)*NtoN2O*kgtoGg,"ERROR"))</f>
        <v>1.7512278539533319</v>
      </c>
      <c r="AB1114" s="100">
        <f>IF('Net zero activities &amp; levers'!$C$14="Off",('Activity data'!AU20*EF!$H51*EF!$H69)*NtoN2O*kgtoGg,IF('Net zero activities &amp; levers'!$C$14="On",('Net zero Activity data'!AU20*EF!$H51*EF!$H69)*NtoN2O*kgtoGg,"ERROR"))</f>
        <v>1.7968025285418052</v>
      </c>
      <c r="AC1114" s="100">
        <f>IF('Net zero activities &amp; levers'!$C$14="Off",('Activity data'!AV20*EF!$H51*EF!$H69)*NtoN2O*kgtoGg,IF('Net zero activities &amp; levers'!$C$14="On",('Net zero Activity data'!AV20*EF!$H51*EF!$H69)*NtoN2O*kgtoGg,"ERROR"))</f>
        <v>1.8437229492039162</v>
      </c>
      <c r="AD1114" s="100">
        <f>IF('Net zero activities &amp; levers'!$C$14="Off",('Activity data'!AW20*EF!$H51*EF!$H69)*NtoN2O*kgtoGg,IF('Net zero activities &amp; levers'!$C$14="On",('Net zero Activity data'!AW20*EF!$H51*EF!$H69)*NtoN2O*kgtoGg,"ERROR"))</f>
        <v>1.9060767826661782</v>
      </c>
      <c r="AE1114" s="100">
        <f>IF('Net zero activities &amp; levers'!$C$14="Off",('Activity data'!AX20*EF!$H51*EF!$H69)*NtoN2O*kgtoGg,IF('Net zero activities &amp; levers'!$C$14="On",('Net zero Activity data'!AX20*EF!$H51*EF!$H69)*NtoN2O*kgtoGg,"ERROR"))</f>
        <v>1.9745333748476768</v>
      </c>
      <c r="AF1114" s="100">
        <f>IF('Net zero activities &amp; levers'!$C$14="Off",('Activity data'!AY20*EF!$H51*EF!$H69)*NtoN2O*kgtoGg,IF('Net zero activities &amp; levers'!$C$14="On",('Net zero Activity data'!AY20*EF!$H51*EF!$H69)*NtoN2O*kgtoGg,"ERROR"))</f>
        <v>2.0454043901813557</v>
      </c>
      <c r="AG1114" s="100">
        <f>IF('Net zero activities &amp; levers'!$C$14="Off",('Activity data'!AZ20*EF!$H51*EF!$H69)*NtoN2O*kgtoGg,IF('Net zero activities &amp; levers'!$C$14="On",('Net zero Activity data'!AZ20*EF!$H51*EF!$H69)*NtoN2O*kgtoGg,"ERROR"))</f>
        <v>2.0375124323750504</v>
      </c>
      <c r="AH1114" s="100">
        <f>IF('Net zero activities &amp; levers'!$C$14="Off",('Activity data'!BA20*EF!$H51*EF!$H69)*NtoN2O*kgtoGg,IF('Net zero activities &amp; levers'!$C$14="On",('Net zero Activity data'!BA20*EF!$H51*EF!$H69)*NtoN2O*kgtoGg,"ERROR"))</f>
        <v>-1.7670360622808823</v>
      </c>
      <c r="AI1114" s="100">
        <f>IF('Net zero activities &amp; levers'!$C$14="Off",('Activity data'!BB20*EF!$H51*EF!$H69)*NtoN2O*kgtoGg,IF('Net zero activities &amp; levers'!$C$14="On",('Net zero Activity data'!BB20*EF!$H51*EF!$H69)*NtoN2O*kgtoGg,"ERROR"))</f>
        <v>-1.769567863105443</v>
      </c>
      <c r="AJ1114" s="100">
        <f>IF('Net zero activities &amp; levers'!$C$14="Off",('Activity data'!BC20*EF!$H51*EF!$H69)*NtoN2O*kgtoGg,IF('Net zero activities &amp; levers'!$C$14="On",('Net zero Activity data'!BC20*EF!$H51*EF!$H69)*NtoN2O*kgtoGg,"ERROR"))</f>
        <v>-1.7723139091947202</v>
      </c>
      <c r="AK1114" s="100">
        <f>IF('Net zero activities &amp; levers'!$C$14="Off",('Activity data'!BD20*EF!$H51*EF!$H69)*NtoN2O*kgtoGg,IF('Net zero activities &amp; levers'!$C$14="On",('Net zero Activity data'!BD20*EF!$H51*EF!$H69)*NtoN2O*kgtoGg,"ERROR"))</f>
        <v>-1.775265259663616</v>
      </c>
      <c r="AL1114" s="100">
        <f>IF('Net zero activities &amp; levers'!$C$14="Off",('Activity data'!BE20*EF!$H51*EF!$H69)*NtoN2O*kgtoGg,IF('Net zero activities &amp; levers'!$C$14="On",('Net zero Activity data'!BE20*EF!$H51*EF!$H69)*NtoN2O*kgtoGg,"ERROR"))</f>
        <v>-1.7784136680871927</v>
      </c>
      <c r="AM1114" s="100">
        <f>IF('Net zero activities &amp; levers'!$C$14="Off",('Activity data'!BF20*EF!$H51*EF!$H69)*NtoN2O*kgtoGg,IF('Net zero activities &amp; levers'!$C$14="On",('Net zero Activity data'!BF20*EF!$H51*EF!$H69)*NtoN2O*kgtoGg,"ERROR"))</f>
        <v>-1.7817515157915651</v>
      </c>
      <c r="AN1114" s="100">
        <f>IF('Net zero activities &amp; levers'!$C$14="Off",('Activity data'!BG20*EF!$H51*EF!$H69)*NtoN2O*kgtoGg,IF('Net zero activities &amp; levers'!$C$14="On",('Net zero Activity data'!BG20*EF!$H51*EF!$H69)*NtoN2O*kgtoGg,"ERROR"))</f>
        <v>-1.7831253143927157</v>
      </c>
      <c r="AO1114" s="100">
        <f>IF('Net zero activities &amp; levers'!$C$14="Off",('Activity data'!BH20*EF!$H51*EF!$H69)*NtoN2O*kgtoGg,IF('Net zero activities &amp; levers'!$C$14="On",('Net zero Activity data'!BH20*EF!$H51*EF!$H69)*NtoN2O*kgtoGg,"ERROR"))</f>
        <v>-1.7846712895501273</v>
      </c>
      <c r="AP1114" s="100">
        <f>IF('Net zero activities &amp; levers'!$C$14="Off",('Activity data'!BI20*EF!$H51*EF!$H69)*NtoN2O*kgtoGg,IF('Net zero activities &amp; levers'!$C$14="On",('Net zero Activity data'!BI20*EF!$H51*EF!$H69)*NtoN2O*kgtoGg,"ERROR"))</f>
        <v>-1.7863827557357852</v>
      </c>
      <c r="AQ1114" s="100">
        <f>IF('Net zero activities &amp; levers'!$C$14="Off",('Activity data'!BJ20*EF!$H51*EF!$H69)*NtoN2O*kgtoGg,IF('Net zero activities &amp; levers'!$C$14="On",('Net zero Activity data'!BJ20*EF!$H51*EF!$H69)*NtoN2O*kgtoGg,"ERROR"))</f>
        <v>-1.788253486478437</v>
      </c>
      <c r="AR1114" s="100">
        <f>IF('Net zero activities &amp; levers'!$C$14="Off",('Activity data'!BK20*EF!$H51*EF!$H69)*NtoN2O*kgtoGg,IF('Net zero activities &amp; levers'!$C$14="On",('Net zero Activity data'!BK20*EF!$H51*EF!$H69)*NtoN2O*kgtoGg,"ERROR"))</f>
        <v>-1.79027767491833</v>
      </c>
      <c r="AS1114" s="100">
        <f>IF('Net zero activities &amp; levers'!$C$14="Off",('Activity data'!BL20*EF!$H51*EF!$H69)*NtoN2O*kgtoGg,IF('Net zero activities &amp; levers'!$C$14="On",('Net zero Activity data'!BL20*EF!$H51*EF!$H69)*NtoN2O*kgtoGg,"ERROR"))</f>
        <v>-1.7903062211735206</v>
      </c>
      <c r="AT1114" s="100">
        <f>IF('Net zero activities &amp; levers'!$C$14="Off",('Activity data'!BM20*EF!$H51*EF!$H69)*NtoN2O*kgtoGg,IF('Net zero activities &amp; levers'!$C$14="On",('Net zero Activity data'!BM20*EF!$H51*EF!$H69)*NtoN2O*kgtoGg,"ERROR"))</f>
        <v>-1.7904768825126722</v>
      </c>
      <c r="AU1114" s="100">
        <f>IF('Net zero activities &amp; levers'!$C$14="Off",('Activity data'!BN20*EF!$H51*EF!$H69)*NtoN2O*kgtoGg,IF('Net zero activities &amp; levers'!$C$14="On",('Net zero Activity data'!BN20*EF!$H51*EF!$H69)*NtoN2O*kgtoGg,"ERROR"))</f>
        <v>-1.7907844045675889</v>
      </c>
      <c r="AV1114" s="100">
        <f>IF('Net zero activities &amp; levers'!$C$14="Off",('Activity data'!BO20*EF!$H51*EF!$H69)*NtoN2O*kgtoGg,IF('Net zero activities &amp; levers'!$C$14="On",('Net zero Activity data'!BO20*EF!$H51*EF!$H69)*NtoN2O*kgtoGg,"ERROR"))</f>
        <v>-1.7912238548642139</v>
      </c>
      <c r="AW1114" s="100">
        <f>IF('Net zero activities &amp; levers'!$C$14="Off",('Activity data'!BP20*EF!$H51*EF!$H69)*NtoN2O*kgtoGg,IF('Net zero activities &amp; levers'!$C$14="On",('Net zero Activity data'!BP20*EF!$H51*EF!$H69)*NtoN2O*kgtoGg,"ERROR"))</f>
        <v>-1.7917905978217188</v>
      </c>
      <c r="AY1114" s="85"/>
    </row>
    <row r="1115" spans="1:51" x14ac:dyDescent="0.25">
      <c r="A1115" s="102" t="str">
        <f t="shared" si="374"/>
        <v>CM Poultry MMN2O</v>
      </c>
      <c r="B1115" s="102" t="s">
        <v>1323</v>
      </c>
      <c r="C1115" s="102" t="s">
        <v>1235</v>
      </c>
      <c r="D1115" t="s">
        <v>15</v>
      </c>
      <c r="E1115" t="s">
        <v>657</v>
      </c>
      <c r="F1115" t="s">
        <v>28</v>
      </c>
      <c r="G1115" t="s">
        <v>134</v>
      </c>
      <c r="H1115" t="s">
        <v>1228</v>
      </c>
      <c r="I1115" t="s">
        <v>139</v>
      </c>
      <c r="J1115" t="s">
        <v>287</v>
      </c>
      <c r="K1115" s="100">
        <f>IF('Net zero activities &amp; levers'!$C$14="Off",('Activity data'!AD21*EF!$H52*EF!$H70)*NtoN2O*kgtoGg,IF('Net zero activities &amp; levers'!$C$14="On",('Net zero Activity data'!AD21*EF!$H52*EF!$H70)*NtoN2O*kgtoGg,"ERROR"))</f>
        <v>1.3734785466564569E-2</v>
      </c>
      <c r="L1115" s="100">
        <f>IF('Net zero activities &amp; levers'!$C$14="Off",('Activity data'!AE21*EF!$H52*EF!$H70)*NtoN2O*kgtoGg,IF('Net zero activities &amp; levers'!$C$14="On",('Net zero Activity data'!AE21*EF!$H52*EF!$H70)*NtoN2O*kgtoGg,"ERROR"))</f>
        <v>1.40322217607344E-2</v>
      </c>
      <c r="M1115" s="100">
        <f>IF('Net zero activities &amp; levers'!$C$14="Off",('Activity data'!AF21*EF!$H52*EF!$H70)*NtoN2O*kgtoGg,IF('Net zero activities &amp; levers'!$C$14="On",('Net zero Activity data'!AF21*EF!$H52*EF!$H70)*NtoN2O*kgtoGg,"ERROR"))</f>
        <v>1.4271883308885947E-2</v>
      </c>
      <c r="N1115" s="100">
        <f>IF('Net zero activities &amp; levers'!$C$14="Off",('Activity data'!AG21*EF!$H52*EF!$H70)*NtoN2O*kgtoGg,IF('Net zero activities &amp; levers'!$C$14="On",('Net zero Activity data'!AG21*EF!$H52*EF!$H70)*NtoN2O*kgtoGg,"ERROR"))</f>
        <v>1.442847469109686E-2</v>
      </c>
      <c r="O1115" s="100">
        <f>IF('Net zero activities &amp; levers'!$C$14="Off",('Activity data'!AH21*EF!$H52*EF!$H70)*NtoN2O*kgtoGg,IF('Net zero activities &amp; levers'!$C$14="On",('Net zero Activity data'!AH21*EF!$H52*EF!$H70)*NtoN2O*kgtoGg,"ERROR"))</f>
        <v>1.4587191521362352E-2</v>
      </c>
      <c r="P1115" s="100">
        <f>IF('Net zero activities &amp; levers'!$C$14="Off",('Activity data'!AI21*EF!$H52*EF!$H70)*NtoN2O*kgtoGg,IF('Net zero activities &amp; levers'!$C$14="On",('Net zero Activity data'!AI21*EF!$H52*EF!$H70)*NtoN2O*kgtoGg,"ERROR"))</f>
        <v>1.4791807461602316E-2</v>
      </c>
      <c r="Q1115" s="100">
        <f>IF('Net zero activities &amp; levers'!$C$14="Off",('Activity data'!AJ21*EF!$H52*EF!$H70)*NtoN2O*kgtoGg,IF('Net zero activities &amp; levers'!$C$14="On",('Net zero Activity data'!AJ21*EF!$H52*EF!$H70)*NtoN2O*kgtoGg,"ERROR"))</f>
        <v>1.5010624441484299E-2</v>
      </c>
      <c r="R1115" s="100">
        <f>IF('Net zero activities &amp; levers'!$C$14="Off",('Activity data'!AK21*EF!$H52*EF!$H70)*NtoN2O*kgtoGg,IF('Net zero activities &amp; levers'!$C$14="On",('Net zero Activity data'!AK21*EF!$H52*EF!$H70)*NtoN2O*kgtoGg,"ERROR"))</f>
        <v>1.5137878207622494E-2</v>
      </c>
      <c r="S1115" s="100">
        <f>IF('Net zero activities &amp; levers'!$C$14="Off",('Activity data'!AL21*EF!$H52*EF!$H70)*NtoN2O*kgtoGg,IF('Net zero activities &amp; levers'!$C$14="On",('Net zero Activity data'!AL21*EF!$H52*EF!$H70)*NtoN2O*kgtoGg,"ERROR"))</f>
        <v>1.4405808617287252E-2</v>
      </c>
      <c r="T1115" s="100">
        <f>IF('Net zero activities &amp; levers'!$C$14="Off",('Activity data'!AM21*EF!$H52*EF!$H70)*NtoN2O*kgtoGg,IF('Net zero activities &amp; levers'!$C$14="On",('Net zero Activity data'!AM21*EF!$H52*EF!$H70)*NtoN2O*kgtoGg,"ERROR"))</f>
        <v>1.471508187327387E-2</v>
      </c>
      <c r="U1115" s="100">
        <f>IF('Net zero activities &amp; levers'!$C$14="Off",('Activity data'!AN21*EF!$H52*EF!$H70)*NtoN2O*kgtoGg,IF('Net zero activities &amp; levers'!$C$14="On",('Net zero Activity data'!AN21*EF!$H52*EF!$H70)*NtoN2O*kgtoGg,"ERROR"))</f>
        <v>1.5003788469876761E-2</v>
      </c>
      <c r="V1115" s="100">
        <f>IF('Net zero activities &amp; levers'!$C$14="Off",('Activity data'!AO21*EF!$H52*EF!$H70)*NtoN2O*kgtoGg,IF('Net zero activities &amp; levers'!$C$14="On",('Net zero Activity data'!AO21*EF!$H52*EF!$H70)*NtoN2O*kgtoGg,"ERROR"))</f>
        <v>1.5294774250032041E-2</v>
      </c>
      <c r="W1115" s="100">
        <f>IF('Net zero activities &amp; levers'!$C$14="Off",('Activity data'!AP21*EF!$H52*EF!$H70)*NtoN2O*kgtoGg,IF('Net zero activities &amp; levers'!$C$14="On",('Net zero Activity data'!AP21*EF!$H52*EF!$H70)*NtoN2O*kgtoGg,"ERROR"))</f>
        <v>1.5625023048607179E-2</v>
      </c>
      <c r="X1115" s="100">
        <f>IF('Net zero activities &amp; levers'!$C$14="Off",('Activity data'!AQ21*EF!$H52*EF!$H70)*NtoN2O*kgtoGg,IF('Net zero activities &amp; levers'!$C$14="On",('Net zero Activity data'!AQ21*EF!$H52*EF!$H70)*NtoN2O*kgtoGg,"ERROR"))</f>
        <v>1.5958015135036502E-2</v>
      </c>
      <c r="Y1115" s="100">
        <f>IF('Net zero activities &amp; levers'!$C$14="Off",('Activity data'!AR21*EF!$H52*EF!$H70)*NtoN2O*kgtoGg,IF('Net zero activities &amp; levers'!$C$14="On",('Net zero Activity data'!AR21*EF!$H52*EF!$H70)*NtoN2O*kgtoGg,"ERROR"))</f>
        <v>1.6291430406484061E-2</v>
      </c>
      <c r="Z1115" s="100">
        <f>IF('Net zero activities &amp; levers'!$C$14="Off",('Activity data'!AS21*EF!$H52*EF!$H70)*NtoN2O*kgtoGg,IF('Net zero activities &amp; levers'!$C$14="On",('Net zero Activity data'!AS21*EF!$H52*EF!$H70)*NtoN2O*kgtoGg,"ERROR"))</f>
        <v>1.6618414761251227E-2</v>
      </c>
      <c r="AA1115" s="100">
        <f>IF('Net zero activities &amp; levers'!$C$14="Off",('Activity data'!AT21*EF!$H52*EF!$H70)*NtoN2O*kgtoGg,IF('Net zero activities &amp; levers'!$C$14="On",('Net zero Activity data'!AT21*EF!$H52*EF!$H70)*NtoN2O*kgtoGg,"ERROR"))</f>
        <v>1.6962775655512932E-2</v>
      </c>
      <c r="AB1115" s="100">
        <f>IF('Net zero activities &amp; levers'!$C$14="Off",('Activity data'!AU21*EF!$H52*EF!$H70)*NtoN2O*kgtoGg,IF('Net zero activities &amp; levers'!$C$14="On",('Net zero Activity data'!AU21*EF!$H52*EF!$H70)*NtoN2O*kgtoGg,"ERROR"))</f>
        <v>1.7292004829036017E-2</v>
      </c>
      <c r="AC1115" s="100">
        <f>IF('Net zero activities &amp; levers'!$C$14="Off",('Activity data'!AV21*EF!$H52*EF!$H70)*NtoN2O*kgtoGg,IF('Net zero activities &amp; levers'!$C$14="On",('Net zero Activity data'!AV21*EF!$H52*EF!$H70)*NtoN2O*kgtoGg,"ERROR"))</f>
        <v>1.7629042012552724E-2</v>
      </c>
      <c r="AD1115" s="100">
        <f>IF('Net zero activities &amp; levers'!$C$14="Off",('Activity data'!AW21*EF!$H52*EF!$H70)*NtoN2O*kgtoGg,IF('Net zero activities &amp; levers'!$C$14="On",('Net zero Activity data'!AW21*EF!$H52*EF!$H70)*NtoN2O*kgtoGg,"ERROR"))</f>
        <v>1.8011177597074678E-2</v>
      </c>
      <c r="AE1115" s="100">
        <f>IF('Net zero activities &amp; levers'!$C$14="Off",('Activity data'!AX21*EF!$H52*EF!$H70)*NtoN2O*kgtoGg,IF('Net zero activities &amp; levers'!$C$14="On",('Net zero Activity data'!AX21*EF!$H52*EF!$H70)*NtoN2O*kgtoGg,"ERROR"))</f>
        <v>1.8419650159724663E-2</v>
      </c>
      <c r="AF1115" s="100">
        <f>IF('Net zero activities &amp; levers'!$C$14="Off",('Activity data'!AY21*EF!$H52*EF!$H70)*NtoN2O*kgtoGg,IF('Net zero activities &amp; levers'!$C$14="On",('Net zero Activity data'!AY21*EF!$H52*EF!$H70)*NtoN2O*kgtoGg,"ERROR"))</f>
        <v>1.884097345686063E-2</v>
      </c>
      <c r="AG1115" s="100">
        <f>IF('Net zero activities &amp; levers'!$C$14="Off",('Activity data'!AZ21*EF!$H52*EF!$H70)*NtoN2O*kgtoGg,IF('Net zero activities &amp; levers'!$C$14="On",('Net zero Activity data'!AZ21*EF!$H52*EF!$H70)*NtoN2O*kgtoGg,"ERROR"))</f>
        <v>1.8966380056877074E-2</v>
      </c>
      <c r="AH1115" s="100">
        <f>IF('Net zero activities &amp; levers'!$C$14="Off",('Activity data'!BA21*EF!$H52*EF!$H70)*NtoN2O*kgtoGg,IF('Net zero activities &amp; levers'!$C$14="On",('Net zero Activity data'!BA21*EF!$H52*EF!$H70)*NtoN2O*kgtoGg,"ERROR"))</f>
        <v>4.546068341225425E-3</v>
      </c>
      <c r="AI1115" s="100">
        <f>IF('Net zero activities &amp; levers'!$C$14="Off",('Activity data'!BB21*EF!$H52*EF!$H70)*NtoN2O*kgtoGg,IF('Net zero activities &amp; levers'!$C$14="On",('Net zero Activity data'!BB21*EF!$H52*EF!$H70)*NtoN2O*kgtoGg,"ERROR"))</f>
        <v>4.5810087211234788E-3</v>
      </c>
      <c r="AJ1115" s="100">
        <f>IF('Net zero activities &amp; levers'!$C$14="Off",('Activity data'!BC21*EF!$H52*EF!$H70)*NtoN2O*kgtoGg,IF('Net zero activities &amp; levers'!$C$14="On",('Net zero Activity data'!BC21*EF!$H52*EF!$H70)*NtoN2O*kgtoGg,"ERROR"))</f>
        <v>4.6162034936060832E-3</v>
      </c>
      <c r="AK1115" s="100">
        <f>IF('Net zero activities &amp; levers'!$C$14="Off",('Activity data'!BD21*EF!$H52*EF!$H70)*NtoN2O*kgtoGg,IF('Net zero activities &amp; levers'!$C$14="On",('Net zero Activity data'!BD21*EF!$H52*EF!$H70)*NtoN2O*kgtoGg,"ERROR"))</f>
        <v>4.651654595802618E-3</v>
      </c>
      <c r="AL1115" s="100">
        <f>IF('Net zero activities &amp; levers'!$C$14="Off",('Activity data'!BE21*EF!$H52*EF!$H70)*NtoN2O*kgtoGg,IF('Net zero activities &amp; levers'!$C$14="On",('Net zero Activity data'!BE21*EF!$H52*EF!$H70)*NtoN2O*kgtoGg,"ERROR"))</f>
        <v>4.6873639736392985E-3</v>
      </c>
      <c r="AM1115" s="100">
        <f>IF('Net zero activities &amp; levers'!$C$14="Off",('Activity data'!BF21*EF!$H52*EF!$H70)*NtoN2O*kgtoGg,IF('Net zero activities &amp; levers'!$C$14="On",('Net zero Activity data'!BF21*EF!$H52*EF!$H70)*NtoN2O*kgtoGg,"ERROR"))</f>
        <v>4.7233335824115215E-3</v>
      </c>
      <c r="AN1115" s="100">
        <f>IF('Net zero activities &amp; levers'!$C$14="Off",('Activity data'!BG21*EF!$H52*EF!$H70)*NtoN2O*kgtoGg,IF('Net zero activities &amp; levers'!$C$14="On",('Net zero Activity data'!BG21*EF!$H52*EF!$H70)*NtoN2O*kgtoGg,"ERROR"))</f>
        <v>4.7540821229171398E-3</v>
      </c>
      <c r="AO1115" s="100">
        <f>IF('Net zero activities &amp; levers'!$C$14="Off",('Activity data'!BH21*EF!$H52*EF!$H70)*NtoN2O*kgtoGg,IF('Net zero activities &amp; levers'!$C$14="On",('Net zero Activity data'!BH21*EF!$H52*EF!$H70)*NtoN2O*kgtoGg,"ERROR"))</f>
        <v>4.7850204669563062E-3</v>
      </c>
      <c r="AP1115" s="100">
        <f>IF('Net zero activities &amp; levers'!$C$14="Off",('Activity data'!BI21*EF!$H52*EF!$H70)*NtoN2O*kgtoGg,IF('Net zero activities &amp; levers'!$C$14="On",('Net zero Activity data'!BI21*EF!$H52*EF!$H70)*NtoN2O*kgtoGg,"ERROR"))</f>
        <v>4.8161498482772597E-3</v>
      </c>
      <c r="AQ1115" s="100">
        <f>IF('Net zero activities &amp; levers'!$C$14="Off",('Activity data'!BJ21*EF!$H52*EF!$H70)*NtoN2O*kgtoGg,IF('Net zero activities &amp; levers'!$C$14="On",('Net zero Activity data'!BJ21*EF!$H52*EF!$H70)*NtoN2O*kgtoGg,"ERROR"))</f>
        <v>4.8474715047566626E-3</v>
      </c>
      <c r="AR1115" s="100">
        <f>IF('Net zero activities &amp; levers'!$C$14="Off",('Activity data'!BK21*EF!$H52*EF!$H70)*NtoN2O*kgtoGg,IF('Net zero activities &amp; levers'!$C$14="On",('Net zero Activity data'!BK21*EF!$H52*EF!$H70)*NtoN2O*kgtoGg,"ERROR"))</f>
        <v>4.8789866787234456E-3</v>
      </c>
      <c r="AS1115" s="100">
        <f>IF('Net zero activities &amp; levers'!$C$14="Off",('Activity data'!BL21*EF!$H52*EF!$H70)*NtoN2O*kgtoGg,IF('Net zero activities &amp; levers'!$C$14="On",('Net zero Activity data'!BL21*EF!$H52*EF!$H70)*NtoN2O*kgtoGg,"ERROR"))</f>
        <v>4.9050616092112158E-3</v>
      </c>
      <c r="AT1115" s="100">
        <f>IF('Net zero activities &amp; levers'!$C$14="Off",('Activity data'!BM21*EF!$H52*EF!$H70)*NtoN2O*kgtoGg,IF('Net zero activities &amp; levers'!$C$14="On",('Net zero Activity data'!BM21*EF!$H52*EF!$H70)*NtoN2O*kgtoGg,"ERROR"))</f>
        <v>4.9312686367658596E-3</v>
      </c>
      <c r="AU1115" s="100">
        <f>IF('Net zero activities &amp; levers'!$C$14="Off",('Activity data'!BN21*EF!$H52*EF!$H70)*NtoN2O*kgtoGg,IF('Net zero activities &amp; levers'!$C$14="On",('Net zero Activity data'!BN21*EF!$H52*EF!$H70)*NtoN2O*kgtoGg,"ERROR"))</f>
        <v>4.9576084778655159E-3</v>
      </c>
      <c r="AV1115" s="100">
        <f>IF('Net zero activities &amp; levers'!$C$14="Off",('Activity data'!BO21*EF!$H52*EF!$H70)*NtoN2O*kgtoGg,IF('Net zero activities &amp; levers'!$C$14="On",('Net zero Activity data'!BO21*EF!$H52*EF!$H70)*NtoN2O*kgtoGg,"ERROR"))</f>
        <v>4.9840818501936824E-3</v>
      </c>
      <c r="AW1115" s="100">
        <f>IF('Net zero activities &amp; levers'!$C$14="Off",('Activity data'!BP21*EF!$H52*EF!$H70)*NtoN2O*kgtoGg,IF('Net zero activities &amp; levers'!$C$14="On",('Net zero Activity data'!BP21*EF!$H52*EF!$H70)*NtoN2O*kgtoGg,"ERROR"))</f>
        <v>5.0106894728324993E-3</v>
      </c>
      <c r="AY1115" s="85"/>
    </row>
    <row r="1116" spans="1:51" x14ac:dyDescent="0.25">
      <c r="A1116" s="102" t="str">
        <f t="shared" si="374"/>
        <v>CM Poultry MMN2O</v>
      </c>
      <c r="B1116" s="102" t="s">
        <v>1323</v>
      </c>
      <c r="C1116" s="102" t="s">
        <v>1235</v>
      </c>
      <c r="D1116" t="s">
        <v>15</v>
      </c>
      <c r="E1116" t="s">
        <v>657</v>
      </c>
      <c r="F1116" t="s">
        <v>28</v>
      </c>
      <c r="G1116" t="s">
        <v>133</v>
      </c>
      <c r="H1116" t="s">
        <v>1228</v>
      </c>
      <c r="I1116" t="s">
        <v>139</v>
      </c>
      <c r="J1116" t="s">
        <v>287</v>
      </c>
      <c r="K1116" s="100">
        <f>IF('Net zero activities &amp; levers'!$C$14="Off",('Activity data'!AD22*EF!$H53*EF!$H71)*NtoN2O*kgtoGg,IF('Net zero activities &amp; levers'!$C$14="On",('Net zero Activity data'!AD22*EF!$H53*EF!$H71)*NtoN2O*kgtoGg,"ERROR"))</f>
        <v>7.1735542892714194E-2</v>
      </c>
      <c r="L1116" s="100">
        <f>IF('Net zero activities &amp; levers'!$C$14="Off",('Activity data'!AE22*EF!$H53*EF!$H71)*NtoN2O*kgtoGg,IF('Net zero activities &amp; levers'!$C$14="On",('Net zero Activity data'!AE22*EF!$H53*EF!$H71)*NtoN2O*kgtoGg,"ERROR"))</f>
        <v>7.2899641050755595E-2</v>
      </c>
      <c r="M1116" s="100">
        <f>IF('Net zero activities &amp; levers'!$C$14="Off",('Activity data'!AF22*EF!$H53*EF!$H71)*NtoN2O*kgtoGg,IF('Net zero activities &amp; levers'!$C$14="On",('Net zero Activity data'!AF22*EF!$H53*EF!$H71)*NtoN2O*kgtoGg,"ERROR"))</f>
        <v>7.3245286101397272E-2</v>
      </c>
      <c r="N1116" s="100">
        <f>IF('Net zero activities &amp; levers'!$C$14="Off",('Activity data'!AG22*EF!$H53*EF!$H71)*NtoN2O*kgtoGg,IF('Net zero activities &amp; levers'!$C$14="On",('Net zero Activity data'!AG22*EF!$H53*EF!$H71)*NtoN2O*kgtoGg,"ERROR"))</f>
        <v>7.2470495750789329E-2</v>
      </c>
      <c r="O1116" s="100">
        <f>IF('Net zero activities &amp; levers'!$C$14="Off",('Activity data'!AH22*EF!$H53*EF!$H71)*NtoN2O*kgtoGg,IF('Net zero activities &amp; levers'!$C$14="On",('Net zero Activity data'!AH22*EF!$H53*EF!$H71)*NtoN2O*kgtoGg,"ERROR"))</f>
        <v>7.1697368993032501E-2</v>
      </c>
      <c r="P1116" s="100">
        <f>IF('Net zero activities &amp; levers'!$C$14="Off",('Activity data'!AI22*EF!$H53*EF!$H71)*NtoN2O*kgtoGg,IF('Net zero activities &amp; levers'!$C$14="On",('Net zero Activity data'!AI22*EF!$H53*EF!$H71)*NtoN2O*kgtoGg,"ERROR"))</f>
        <v>7.1473038560182875E-2</v>
      </c>
      <c r="Q1116" s="100">
        <f>IF('Net zero activities &amp; levers'!$C$14="Off",('Activity data'!AJ22*EF!$H53*EF!$H71)*NtoN2O*kgtoGg,IF('Net zero activities &amp; levers'!$C$14="On",('Net zero Activity data'!AJ22*EF!$H53*EF!$H71)*NtoN2O*kgtoGg,"ERROR"))</f>
        <v>7.1426306839747711E-2</v>
      </c>
      <c r="R1116" s="100">
        <f>IF('Net zero activities &amp; levers'!$C$14="Off",('Activity data'!AK22*EF!$H53*EF!$H71)*NtoN2O*kgtoGg,IF('Net zero activities &amp; levers'!$C$14="On",('Net zero Activity data'!AK22*EF!$H53*EF!$H71)*NtoN2O*kgtoGg,"ERROR"))</f>
        <v>7.0234895200938272E-2</v>
      </c>
      <c r="S1116" s="100">
        <f>IF('Net zero activities &amp; levers'!$C$14="Off",('Activity data'!AL22*EF!$H53*EF!$H71)*NtoN2O*kgtoGg,IF('Net zero activities &amp; levers'!$C$14="On",('Net zero Activity data'!AL22*EF!$H53*EF!$H71)*NtoN2O*kgtoGg,"ERROR"))</f>
        <v>5.8522787565181415E-2</v>
      </c>
      <c r="T1116" s="100">
        <f>IF('Net zero activities &amp; levers'!$C$14="Off",('Activity data'!AM22*EF!$H53*EF!$H71)*NtoN2O*kgtoGg,IF('Net zero activities &amp; levers'!$C$14="On",('Net zero Activity data'!AM22*EF!$H53*EF!$H71)*NtoN2O*kgtoGg,"ERROR"))</f>
        <v>6.0249063830763963E-2</v>
      </c>
      <c r="U1116" s="100">
        <f>IF('Net zero activities &amp; levers'!$C$14="Off",('Activity data'!AN22*EF!$H53*EF!$H71)*NtoN2O*kgtoGg,IF('Net zero activities &amp; levers'!$C$14="On",('Net zero Activity data'!AN22*EF!$H53*EF!$H71)*NtoN2O*kgtoGg,"ERROR"))</f>
        <v>6.1691998935437933E-2</v>
      </c>
      <c r="V1116" s="100">
        <f>IF('Net zero activities &amp; levers'!$C$14="Off",('Activity data'!AO22*EF!$H53*EF!$H71)*NtoN2O*kgtoGg,IF('Net zero activities &amp; levers'!$C$14="On",('Net zero Activity data'!AO22*EF!$H53*EF!$H71)*NtoN2O*kgtoGg,"ERROR"))</f>
        <v>6.313143293027125E-2</v>
      </c>
      <c r="W1116" s="100">
        <f>IF('Net zero activities &amp; levers'!$C$14="Off",('Activity data'!AP22*EF!$H53*EF!$H71)*NtoN2O*kgtoGg,IF('Net zero activities &amp; levers'!$C$14="On",('Net zero Activity data'!AP22*EF!$H53*EF!$H71)*NtoN2O*kgtoGg,"ERROR"))</f>
        <v>6.5004182026745502E-2</v>
      </c>
      <c r="X1116" s="100">
        <f>IF('Net zero activities &amp; levers'!$C$14="Off",('Activity data'!AQ22*EF!$H53*EF!$H71)*NtoN2O*kgtoGg,IF('Net zero activities &amp; levers'!$C$14="On",('Net zero Activity data'!AQ22*EF!$H53*EF!$H71)*NtoN2O*kgtoGg,"ERROR"))</f>
        <v>6.6871309718523023E-2</v>
      </c>
      <c r="Y1116" s="100">
        <f>IF('Net zero activities &amp; levers'!$C$14="Off",('Activity data'!AR22*EF!$H53*EF!$H71)*NtoN2O*kgtoGg,IF('Net zero activities &amp; levers'!$C$14="On",('Net zero Activity data'!AR22*EF!$H53*EF!$H71)*NtoN2O*kgtoGg,"ERROR"))</f>
        <v>6.8921291515234503E-2</v>
      </c>
      <c r="Z1116" s="100">
        <f>IF('Net zero activities &amp; levers'!$C$14="Off",('Activity data'!AS22*EF!$H53*EF!$H71)*NtoN2O*kgtoGg,IF('Net zero activities &amp; levers'!$C$14="On",('Net zero Activity data'!AS22*EF!$H53*EF!$H71)*NtoN2O*kgtoGg,"ERROR"))</f>
        <v>7.086181420314748E-2</v>
      </c>
      <c r="AA1116" s="100">
        <f>IF('Net zero activities &amp; levers'!$C$14="Off",('Activity data'!AT22*EF!$H53*EF!$H71)*NtoN2O*kgtoGg,IF('Net zero activities &amp; levers'!$C$14="On",('Net zero Activity data'!AT22*EF!$H53*EF!$H71)*NtoN2O*kgtoGg,"ERROR"))</f>
        <v>7.2967827248055561E-2</v>
      </c>
      <c r="AB1116" s="100">
        <f>IF('Net zero activities &amp; levers'!$C$14="Off",('Activity data'!AU22*EF!$H53*EF!$H71)*NtoN2O*kgtoGg,IF('Net zero activities &amp; levers'!$C$14="On",('Net zero Activity data'!AU22*EF!$H53*EF!$H71)*NtoN2O*kgtoGg,"ERROR"))</f>
        <v>7.4866772022575287E-2</v>
      </c>
      <c r="AC1116" s="100">
        <f>IF('Net zero activities &amp; levers'!$C$14="Off",('Activity data'!AV22*EF!$H53*EF!$H71)*NtoN2O*kgtoGg,IF('Net zero activities &amp; levers'!$C$14="On",('Net zero Activity data'!AV22*EF!$H53*EF!$H71)*NtoN2O*kgtoGg,"ERROR"))</f>
        <v>7.682178955016325E-2</v>
      </c>
      <c r="AD1116" s="100">
        <f>IF('Net zero activities &amp; levers'!$C$14="Off",('Activity data'!AW22*EF!$H53*EF!$H71)*NtoN2O*kgtoGg,IF('Net zero activities &amp; levers'!$C$14="On",('Net zero Activity data'!AW22*EF!$H53*EF!$H71)*NtoN2O*kgtoGg,"ERROR"))</f>
        <v>7.9419865944424156E-2</v>
      </c>
      <c r="AE1116" s="100">
        <f>IF('Net zero activities &amp; levers'!$C$14="Off",('Activity data'!AX22*EF!$H53*EF!$H71)*NtoN2O*kgtoGg,IF('Net zero activities &amp; levers'!$C$14="On",('Net zero Activity data'!AX22*EF!$H53*EF!$H71)*NtoN2O*kgtoGg,"ERROR"))</f>
        <v>8.2272223951986606E-2</v>
      </c>
      <c r="AF1116" s="100">
        <f>IF('Net zero activities &amp; levers'!$C$14="Off",('Activity data'!AY22*EF!$H53*EF!$H71)*NtoN2O*kgtoGg,IF('Net zero activities &amp; levers'!$C$14="On",('Net zero Activity data'!AY22*EF!$H53*EF!$H71)*NtoN2O*kgtoGg,"ERROR"))</f>
        <v>8.5225182924223236E-2</v>
      </c>
      <c r="AG1116" s="100">
        <f>IF('Net zero activities &amp; levers'!$C$14="Off",('Activity data'!AZ22*EF!$H53*EF!$H71)*NtoN2O*kgtoGg,IF('Net zero activities &amp; levers'!$C$14="On",('Net zero Activity data'!AZ22*EF!$H53*EF!$H71)*NtoN2O*kgtoGg,"ERROR"))</f>
        <v>8.4896351348960508E-2</v>
      </c>
      <c r="AH1116" s="100">
        <f>IF('Net zero activities &amp; levers'!$C$14="Off",('Activity data'!BA22*EF!$H53*EF!$H71)*NtoN2O*kgtoGg,IF('Net zero activities &amp; levers'!$C$14="On",('Net zero Activity data'!BA22*EF!$H53*EF!$H71)*NtoN2O*kgtoGg,"ERROR"))</f>
        <v>-7.3626502595036822E-2</v>
      </c>
      <c r="AI1116" s="100">
        <f>IF('Net zero activities &amp; levers'!$C$14="Off",('Activity data'!BB22*EF!$H53*EF!$H71)*NtoN2O*kgtoGg,IF('Net zero activities &amp; levers'!$C$14="On",('Net zero Activity data'!BB22*EF!$H53*EF!$H71)*NtoN2O*kgtoGg,"ERROR"))</f>
        <v>-7.3731994296060199E-2</v>
      </c>
      <c r="AJ1116" s="100">
        <f>IF('Net zero activities &amp; levers'!$C$14="Off",('Activity data'!BC22*EF!$H53*EF!$H71)*NtoN2O*kgtoGg,IF('Net zero activities &amp; levers'!$C$14="On",('Net zero Activity data'!BC22*EF!$H53*EF!$H71)*NtoN2O*kgtoGg,"ERROR"))</f>
        <v>-7.3846412883113402E-2</v>
      </c>
      <c r="AK1116" s="100">
        <f>IF('Net zero activities &amp; levers'!$C$14="Off",('Activity data'!BD22*EF!$H53*EF!$H71)*NtoN2O*kgtoGg,IF('Net zero activities &amp; levers'!$C$14="On",('Net zero Activity data'!BD22*EF!$H53*EF!$H71)*NtoN2O*kgtoGg,"ERROR"))</f>
        <v>-7.3969385819317404E-2</v>
      </c>
      <c r="AL1116" s="100">
        <f>IF('Net zero activities &amp; levers'!$C$14="Off",('Activity data'!BE22*EF!$H53*EF!$H71)*NtoN2O*kgtoGg,IF('Net zero activities &amp; levers'!$C$14="On",('Net zero Activity data'!BE22*EF!$H53*EF!$H71)*NtoN2O*kgtoGg,"ERROR"))</f>
        <v>-7.4100569503633099E-2</v>
      </c>
      <c r="AM1116" s="100">
        <f>IF('Net zero activities &amp; levers'!$C$14="Off",('Activity data'!BF22*EF!$H53*EF!$H71)*NtoN2O*kgtoGg,IF('Net zero activities &amp; levers'!$C$14="On",('Net zero Activity data'!BF22*EF!$H53*EF!$H71)*NtoN2O*kgtoGg,"ERROR"))</f>
        <v>-7.4239646491315286E-2</v>
      </c>
      <c r="AN1116" s="100">
        <f>IF('Net zero activities &amp; levers'!$C$14="Off",('Activity data'!BG22*EF!$H53*EF!$H71)*NtoN2O*kgtoGg,IF('Net zero activities &amp; levers'!$C$14="On",('Net zero Activity data'!BG22*EF!$H53*EF!$H71)*NtoN2O*kgtoGg,"ERROR"))</f>
        <v>-7.4296888099696562E-2</v>
      </c>
      <c r="AO1116" s="100">
        <f>IF('Net zero activities &amp; levers'!$C$14="Off",('Activity data'!BH22*EF!$H53*EF!$H71)*NtoN2O*kgtoGg,IF('Net zero activities &amp; levers'!$C$14="On",('Net zero Activity data'!BH22*EF!$H53*EF!$H71)*NtoN2O*kgtoGg,"ERROR"))</f>
        <v>-7.4361303731255379E-2</v>
      </c>
      <c r="AP1116" s="100">
        <f>IF('Net zero activities &amp; levers'!$C$14="Off",('Activity data'!BI22*EF!$H53*EF!$H71)*NtoN2O*kgtoGg,IF('Net zero activities &amp; levers'!$C$14="On",('Net zero Activity data'!BI22*EF!$H53*EF!$H71)*NtoN2O*kgtoGg,"ERROR"))</f>
        <v>-7.4432614822324453E-2</v>
      </c>
      <c r="AQ1116" s="100">
        <f>IF('Net zero activities &amp; levers'!$C$14="Off",('Activity data'!BJ22*EF!$H53*EF!$H71)*NtoN2O*kgtoGg,IF('Net zero activities &amp; levers'!$C$14="On",('Net zero Activity data'!BJ22*EF!$H53*EF!$H71)*NtoN2O*kgtoGg,"ERROR"))</f>
        <v>-7.4510561936601619E-2</v>
      </c>
      <c r="AR1116" s="100">
        <f>IF('Net zero activities &amp; levers'!$C$14="Off",('Activity data'!BK22*EF!$H53*EF!$H71)*NtoN2O*kgtoGg,IF('Net zero activities &amp; levers'!$C$14="On",('Net zero Activity data'!BK22*EF!$H53*EF!$H71)*NtoN2O*kgtoGg,"ERROR"))</f>
        <v>-7.4594903121597153E-2</v>
      </c>
      <c r="AS1116" s="100">
        <f>IF('Net zero activities &amp; levers'!$C$14="Off",('Activity data'!BL22*EF!$H53*EF!$H71)*NtoN2O*kgtoGg,IF('Net zero activities &amp; levers'!$C$14="On",('Net zero Activity data'!BL22*EF!$H53*EF!$H71)*NtoN2O*kgtoGg,"ERROR"))</f>
        <v>-7.4596092548896764E-2</v>
      </c>
      <c r="AT1116" s="100">
        <f>IF('Net zero activities &amp; levers'!$C$14="Off",('Activity data'!BM22*EF!$H53*EF!$H71)*NtoN2O*kgtoGg,IF('Net zero activities &amp; levers'!$C$14="On",('Net zero Activity data'!BM22*EF!$H53*EF!$H71)*NtoN2O*kgtoGg,"ERROR"))</f>
        <v>-7.4603203438028065E-2</v>
      </c>
      <c r="AU1116" s="100">
        <f>IF('Net zero activities &amp; levers'!$C$14="Off",('Activity data'!BN22*EF!$H53*EF!$H71)*NtoN2O*kgtoGg,IF('Net zero activities &amp; levers'!$C$14="On",('Net zero Activity data'!BN22*EF!$H53*EF!$H71)*NtoN2O*kgtoGg,"ERROR"))</f>
        <v>-7.4616016856982936E-2</v>
      </c>
      <c r="AV1116" s="100">
        <f>IF('Net zero activities &amp; levers'!$C$14="Off",('Activity data'!BO22*EF!$H53*EF!$H71)*NtoN2O*kgtoGg,IF('Net zero activities &amp; levers'!$C$14="On",('Net zero Activity data'!BO22*EF!$H53*EF!$H71)*NtoN2O*kgtoGg,"ERROR"))</f>
        <v>-7.4634327286008981E-2</v>
      </c>
      <c r="AW1116" s="100">
        <f>IF('Net zero activities &amp; levers'!$C$14="Off",('Activity data'!BP22*EF!$H53*EF!$H71)*NtoN2O*kgtoGg,IF('Net zero activities &amp; levers'!$C$14="On",('Net zero Activity data'!BP22*EF!$H53*EF!$H71)*NtoN2O*kgtoGg,"ERROR"))</f>
        <v>-7.465794157590501E-2</v>
      </c>
      <c r="AY1116" s="85"/>
    </row>
    <row r="1117" spans="1:51" x14ac:dyDescent="0.25">
      <c r="A1117" s="102" t="str">
        <f t="shared" si="374"/>
        <v>CM Synthetic</v>
      </c>
      <c r="B1117" s="102" t="s">
        <v>1323</v>
      </c>
      <c r="C1117" s="102" t="s">
        <v>1127</v>
      </c>
      <c r="D1117" t="s">
        <v>369</v>
      </c>
      <c r="E1117" t="s">
        <v>55</v>
      </c>
      <c r="H1117" t="s">
        <v>419</v>
      </c>
      <c r="I1117" t="s">
        <v>139</v>
      </c>
      <c r="J1117" t="s">
        <v>287</v>
      </c>
      <c r="K1117" s="22">
        <f>K1463</f>
        <v>6.6064812063358538</v>
      </c>
      <c r="L1117" s="22">
        <f t="shared" ref="L1117:AW1117" si="375">L1463</f>
        <v>6.6055332632324646</v>
      </c>
      <c r="M1117" s="22">
        <f t="shared" si="375"/>
        <v>6.6042378924026437</v>
      </c>
      <c r="N1117" s="22">
        <f t="shared" si="375"/>
        <v>6.6032976249569808</v>
      </c>
      <c r="O1117" s="22">
        <f t="shared" si="375"/>
        <v>6.6028397217143464</v>
      </c>
      <c r="P1117" s="22">
        <f t="shared" si="375"/>
        <v>6.6023877667619955</v>
      </c>
      <c r="Q1117" s="22">
        <f t="shared" si="375"/>
        <v>6.6017040685586048</v>
      </c>
      <c r="R1117" s="22">
        <f t="shared" si="375"/>
        <v>6.6009555191940086</v>
      </c>
      <c r="S1117" s="22">
        <f t="shared" si="375"/>
        <v>6.6007105452260202</v>
      </c>
      <c r="T1117" s="22">
        <f t="shared" si="375"/>
        <v>6.6052103201480445</v>
      </c>
      <c r="U1117" s="22">
        <f t="shared" si="375"/>
        <v>6.6038066881148643</v>
      </c>
      <c r="V1117" s="22">
        <f t="shared" si="375"/>
        <v>6.60254471504373</v>
      </c>
      <c r="W1117" s="22">
        <f t="shared" si="375"/>
        <v>6.6012944407562824</v>
      </c>
      <c r="X1117" s="22">
        <f t="shared" si="375"/>
        <v>6.5998592560706051</v>
      </c>
      <c r="Y1117" s="22">
        <f t="shared" si="375"/>
        <v>6.5984396481179575</v>
      </c>
      <c r="Z1117" s="22">
        <f t="shared" si="375"/>
        <v>6.5970003432051669</v>
      </c>
      <c r="AA1117" s="22">
        <f t="shared" si="375"/>
        <v>6.595622302868513</v>
      </c>
      <c r="AB1117" s="22">
        <f t="shared" si="375"/>
        <v>6.5941853622185969</v>
      </c>
      <c r="AC1117" s="22">
        <f t="shared" si="375"/>
        <v>6.592850540390411</v>
      </c>
      <c r="AD1117" s="22">
        <f t="shared" si="375"/>
        <v>6.5915038110737925</v>
      </c>
      <c r="AE1117" s="22">
        <f t="shared" si="375"/>
        <v>6.5899366744546857</v>
      </c>
      <c r="AF1117" s="22">
        <f t="shared" si="375"/>
        <v>6.5882822576482969</v>
      </c>
      <c r="AG1117" s="22">
        <f t="shared" si="375"/>
        <v>6.5866069718802809</v>
      </c>
      <c r="AH1117" s="22">
        <f t="shared" si="375"/>
        <v>6.5862744996812319</v>
      </c>
      <c r="AI1117" s="22">
        <f t="shared" si="375"/>
        <v>6.7244352177988764</v>
      </c>
      <c r="AJ1117" s="22">
        <f t="shared" si="375"/>
        <v>6.7246796459520661</v>
      </c>
      <c r="AK1117" s="22">
        <f t="shared" si="375"/>
        <v>6.7249266471091245</v>
      </c>
      <c r="AL1117" s="22">
        <f t="shared" si="375"/>
        <v>6.7251762567164626</v>
      </c>
      <c r="AM1117" s="22">
        <f t="shared" si="375"/>
        <v>6.725428510887201</v>
      </c>
      <c r="AN1117" s="22">
        <f t="shared" si="375"/>
        <v>6.7256834464178157</v>
      </c>
      <c r="AO1117" s="22">
        <f t="shared" si="375"/>
        <v>6.7259019731905472</v>
      </c>
      <c r="AP1117" s="22">
        <f t="shared" si="375"/>
        <v>6.7261224822219834</v>
      </c>
      <c r="AQ1117" s="22">
        <f t="shared" si="375"/>
        <v>6.7263449972304938</v>
      </c>
      <c r="AR1117" s="22">
        <f t="shared" si="375"/>
        <v>6.7265695423235661</v>
      </c>
      <c r="AS1117" s="22">
        <f t="shared" si="375"/>
        <v>6.7267961420062665</v>
      </c>
      <c r="AT1117" s="22">
        <f t="shared" si="375"/>
        <v>6.72698404674487</v>
      </c>
      <c r="AU1117" s="22">
        <f t="shared" si="375"/>
        <v>6.7271733718738833</v>
      </c>
      <c r="AV1117" s="22">
        <f t="shared" si="375"/>
        <v>6.7273641316511892</v>
      </c>
      <c r="AW1117" s="22">
        <f t="shared" si="375"/>
        <v>6.7275563405315459</v>
      </c>
      <c r="AY1117" s="85"/>
    </row>
    <row r="1118" spans="1:51" x14ac:dyDescent="0.25">
      <c r="A1118" s="102" t="str">
        <f t="shared" si="374"/>
        <v>CM Organic</v>
      </c>
      <c r="B1118" s="102" t="s">
        <v>1323</v>
      </c>
      <c r="C1118" s="102" t="s">
        <v>1128</v>
      </c>
      <c r="D1118" t="s">
        <v>369</v>
      </c>
      <c r="E1118" t="s">
        <v>55</v>
      </c>
      <c r="H1118" t="s">
        <v>420</v>
      </c>
      <c r="I1118" t="s">
        <v>139</v>
      </c>
      <c r="J1118" t="s">
        <v>287</v>
      </c>
      <c r="K1118" s="101">
        <f>IF('Net zero activities &amp; levers'!$C$14="Off",'Activity data'!AD48*ttokg*ONEF*NtoN2O*kgtoGg,IF('Net zero activities &amp; levers'!$C$14="On",'Net zero Activity data'!AD48*ttokg*ONEF*NtoN2O*kgtoGg,"ERROR"))</f>
        <v>4.3602775961816637E-2</v>
      </c>
      <c r="L1118" s="101">
        <f>IF('Net zero activities &amp; levers'!$C$14="Off",'Activity data'!AE48*ttokg*ONEF*NtoN2O*kgtoGg,IF('Net zero activities &amp; levers'!$C$14="On",'Net zero Activity data'!AE48*ttokg*ONEF*NtoN2O*kgtoGg,"ERROR"))</f>
        <v>4.3596519537334268E-2</v>
      </c>
      <c r="M1118" s="101">
        <f>IF('Net zero activities &amp; levers'!$C$14="Off",'Activity data'!AF48*ttokg*ONEF*NtoN2O*kgtoGg,IF('Net zero activities &amp; levers'!$C$14="On",'Net zero Activity data'!AF48*ttokg*ONEF*NtoN2O*kgtoGg,"ERROR"))</f>
        <v>4.3587970089857465E-2</v>
      </c>
      <c r="N1118" s="101">
        <f>IF('Net zero activities &amp; levers'!$C$14="Off",'Activity data'!AG48*ttokg*ONEF*NtoN2O*kgtoGg,IF('Net zero activities &amp; levers'!$C$14="On",'Net zero Activity data'!AG48*ttokg*ONEF*NtoN2O*kgtoGg,"ERROR"))</f>
        <v>4.3581764324716096E-2</v>
      </c>
      <c r="O1118" s="101">
        <f>IF('Net zero activities &amp; levers'!$C$14="Off",'Activity data'!AH48*ttokg*ONEF*NtoN2O*kgtoGg,IF('Net zero activities &amp; levers'!$C$14="On",'Net zero Activity data'!AH48*ttokg*ONEF*NtoN2O*kgtoGg,"ERROR"))</f>
        <v>4.3578742163314678E-2</v>
      </c>
      <c r="P1118" s="101">
        <f>IF('Net zero activities &amp; levers'!$C$14="Off",'Activity data'!AI48*ttokg*ONEF*NtoN2O*kgtoGg,IF('Net zero activities &amp; levers'!$C$14="On",'Net zero Activity data'!AI48*ttokg*ONEF*NtoN2O*kgtoGg,"ERROR"))</f>
        <v>4.3575759260629177E-2</v>
      </c>
      <c r="Q1118" s="101">
        <f>IF('Net zero activities &amp; levers'!$C$14="Off",'Activity data'!AJ48*ttokg*ONEF*NtoN2O*kgtoGg,IF('Net zero activities &amp; levers'!$C$14="On",'Net zero Activity data'!AJ48*ttokg*ONEF*NtoN2O*kgtoGg,"ERROR"))</f>
        <v>4.3571246852486797E-2</v>
      </c>
      <c r="R1118" s="101">
        <f>IF('Net zero activities &amp; levers'!$C$14="Off",'Activity data'!AK48*ttokg*ONEF*NtoN2O*kgtoGg,IF('Net zero activities &amp; levers'!$C$14="On",'Net zero Activity data'!AK48*ttokg*ONEF*NtoN2O*kgtoGg,"ERROR"))</f>
        <v>4.3566306426680468E-2</v>
      </c>
      <c r="S1118" s="101">
        <f>IF('Net zero activities &amp; levers'!$C$14="Off",'Activity data'!AL48*ttokg*ONEF*NtoN2O*kgtoGg,IF('Net zero activities &amp; levers'!$C$14="On",'Net zero Activity data'!AL48*ttokg*ONEF*NtoN2O*kgtoGg,"ERROR"))</f>
        <v>4.3564689598491746E-2</v>
      </c>
      <c r="T1118" s="101">
        <f>IF('Net zero activities &amp; levers'!$C$14="Off",'Activity data'!AM48*ttokg*ONEF*NtoN2O*kgtoGg,IF('Net zero activities &amp; levers'!$C$14="On",'Net zero Activity data'!AM48*ttokg*ONEF*NtoN2O*kgtoGg,"ERROR"))</f>
        <v>4.3594388112977112E-2</v>
      </c>
      <c r="U1118" s="101">
        <f>IF('Net zero activities &amp; levers'!$C$14="Off",'Activity data'!AN48*ttokg*ONEF*NtoN2O*kgtoGg,IF('Net zero activities &amp; levers'!$C$14="On",'Net zero Activity data'!AN48*ttokg*ONEF*NtoN2O*kgtoGg,"ERROR"))</f>
        <v>4.3585124141558115E-2</v>
      </c>
      <c r="V1118" s="101">
        <f>IF('Net zero activities &amp; levers'!$C$14="Off",'Activity data'!AO48*ttokg*ONEF*NtoN2O*kgtoGg,IF('Net zero activities &amp; levers'!$C$14="On",'Net zero Activity data'!AO48*ttokg*ONEF*NtoN2O*kgtoGg,"ERROR"))</f>
        <v>4.3576795119288615E-2</v>
      </c>
      <c r="W1118" s="101">
        <f>IF('Net zero activities &amp; levers'!$C$14="Off",'Activity data'!AP48*ttokg*ONEF*NtoN2O*kgtoGg,IF('Net zero activities &amp; levers'!$C$14="On",'Net zero Activity data'!AP48*ttokg*ONEF*NtoN2O*kgtoGg,"ERROR"))</f>
        <v>4.3568543308991473E-2</v>
      </c>
      <c r="X1118" s="101">
        <f>IF('Net zero activities &amp; levers'!$C$14="Off",'Activity data'!AQ48*ttokg*ONEF*NtoN2O*kgtoGg,IF('Net zero activities &amp; levers'!$C$14="On",'Net zero Activity data'!AQ48*ttokg*ONEF*NtoN2O*kgtoGg,"ERROR"))</f>
        <v>4.3559071090065994E-2</v>
      </c>
      <c r="Y1118" s="101">
        <f>IF('Net zero activities &amp; levers'!$C$14="Off",'Activity data'!AR48*ttokg*ONEF*NtoN2O*kgtoGg,IF('Net zero activities &amp; levers'!$C$14="On",'Net zero Activity data'!AR48*ttokg*ONEF*NtoN2O*kgtoGg,"ERROR"))</f>
        <v>4.3549701677578524E-2</v>
      </c>
      <c r="Z1118" s="101">
        <f>IF('Net zero activities &amp; levers'!$C$14="Off",'Activity data'!AS48*ttokg*ONEF*NtoN2O*kgtoGg,IF('Net zero activities &amp; levers'!$C$14="On",'Net zero Activity data'!AS48*ttokg*ONEF*NtoN2O*kgtoGg,"ERROR"))</f>
        <v>4.3540202265154107E-2</v>
      </c>
      <c r="AA1118" s="101">
        <f>IF('Net zero activities &amp; levers'!$C$14="Off",'Activity data'!AT48*ttokg*ONEF*NtoN2O*kgtoGg,IF('Net zero activities &amp; levers'!$C$14="On",'Net zero Activity data'!AT48*ttokg*ONEF*NtoN2O*kgtoGg,"ERROR"))</f>
        <v>4.3531107198932197E-2</v>
      </c>
      <c r="AB1118" s="101">
        <f>IF('Net zero activities &amp; levers'!$C$14="Off",'Activity data'!AU48*ttokg*ONEF*NtoN2O*kgtoGg,IF('Net zero activities &amp; levers'!$C$14="On",'Net zero Activity data'!AU48*ttokg*ONEF*NtoN2O*kgtoGg,"ERROR"))</f>
        <v>4.352162339064275E-2</v>
      </c>
      <c r="AC1118" s="101">
        <f>IF('Net zero activities &amp; levers'!$C$14="Off",'Activity data'!AV48*ttokg*ONEF*NtoN2O*kgtoGg,IF('Net zero activities &amp; levers'!$C$14="On",'Net zero Activity data'!AV48*ttokg*ONEF*NtoN2O*kgtoGg,"ERROR"))</f>
        <v>4.351281356657672E-2</v>
      </c>
      <c r="AD1118" s="101">
        <f>IF('Net zero activities &amp; levers'!$C$14="Off",'Activity data'!AW48*ttokg*ONEF*NtoN2O*kgtoGg,IF('Net zero activities &amp; levers'!$C$14="On",'Net zero Activity data'!AW48*ttokg*ONEF*NtoN2O*kgtoGg,"ERROR"))</f>
        <v>4.3503925153087042E-2</v>
      </c>
      <c r="AE1118" s="101">
        <f>IF('Net zero activities &amp; levers'!$C$14="Off",'Activity data'!AX48*ttokg*ONEF*NtoN2O*kgtoGg,IF('Net zero activities &amp; levers'!$C$14="On",'Net zero Activity data'!AX48*ttokg*ONEF*NtoN2O*kgtoGg,"ERROR"))</f>
        <v>4.3493582051400928E-2</v>
      </c>
      <c r="AF1118" s="101">
        <f>IF('Net zero activities &amp; levers'!$C$14="Off",'Activity data'!AY48*ttokg*ONEF*NtoN2O*kgtoGg,IF('Net zero activities &amp; levers'!$C$14="On",'Net zero Activity data'!AY48*ttokg*ONEF*NtoN2O*kgtoGg,"ERROR"))</f>
        <v>4.3482662900478766E-2</v>
      </c>
      <c r="AG1118" s="101">
        <f>IF('Net zero activities &amp; levers'!$C$14="Off",'Activity data'!AZ48*ttokg*ONEF*NtoN2O*kgtoGg,IF('Net zero activities &amp; levers'!$C$14="On",'Net zero Activity data'!AZ48*ttokg*ONEF*NtoN2O*kgtoGg,"ERROR"))</f>
        <v>4.3471606014409865E-2</v>
      </c>
      <c r="AH1118" s="101">
        <f>IF('Net zero activities &amp; levers'!$C$14="Off",'Activity data'!BA48*ttokg*ONEF*NtoN2O*kgtoGg,IF('Net zero activities &amp; levers'!$C$14="On",'Net zero Activity data'!BA48*ttokg*ONEF*NtoN2O*kgtoGg,"ERROR"))</f>
        <v>4.3469411697896136E-2</v>
      </c>
      <c r="AI1118" s="101">
        <f>IF('Net zero activities &amp; levers'!$C$14="Off",'Activity data'!BB48*ttokg*ONEF*NtoN2O*kgtoGg,IF('Net zero activities &amp; levers'!$C$14="On",'Net zero Activity data'!BB48*ttokg*ONEF*NtoN2O*kgtoGg,"ERROR"))</f>
        <v>4.4381272437472585E-2</v>
      </c>
      <c r="AJ1118" s="101">
        <f>IF('Net zero activities &amp; levers'!$C$14="Off",'Activity data'!BC48*ttokg*ONEF*NtoN2O*kgtoGg,IF('Net zero activities &amp; levers'!$C$14="On",'Net zero Activity data'!BC48*ttokg*ONEF*NtoN2O*kgtoGg,"ERROR"))</f>
        <v>4.4382885663283633E-2</v>
      </c>
      <c r="AK1118" s="101">
        <f>IF('Net zero activities &amp; levers'!$C$14="Off",'Activity data'!BD48*ttokg*ONEF*NtoN2O*kgtoGg,IF('Net zero activities &amp; levers'!$C$14="On",'Net zero Activity data'!BD48*ttokg*ONEF*NtoN2O*kgtoGg,"ERROR"))</f>
        <v>4.4384515870920224E-2</v>
      </c>
      <c r="AL1118" s="101">
        <f>IF('Net zero activities &amp; levers'!$C$14="Off",'Activity data'!BE48*ttokg*ONEF*NtoN2O*kgtoGg,IF('Net zero activities &amp; levers'!$C$14="On",'Net zero Activity data'!BE48*ttokg*ONEF*NtoN2O*kgtoGg,"ERROR"))</f>
        <v>4.4386163294328665E-2</v>
      </c>
      <c r="AM1118" s="101">
        <f>IF('Net zero activities &amp; levers'!$C$14="Off",'Activity data'!BF48*ttokg*ONEF*NtoN2O*kgtoGg,IF('Net zero activities &amp; levers'!$C$14="On",'Net zero Activity data'!BF48*ttokg*ONEF*NtoN2O*kgtoGg,"ERROR"))</f>
        <v>4.4387828171855534E-2</v>
      </c>
      <c r="AN1118" s="101">
        <f>IF('Net zero activities &amp; levers'!$C$14="Off",'Activity data'!BG48*ttokg*ONEF*NtoN2O*kgtoGg,IF('Net zero activities &amp; levers'!$C$14="On",'Net zero Activity data'!BG48*ttokg*ONEF*NtoN2O*kgtoGg,"ERROR"))</f>
        <v>4.4389510746357594E-2</v>
      </c>
      <c r="AO1118" s="101">
        <f>IF('Net zero activities &amp; levers'!$C$14="Off",'Activity data'!BH48*ttokg*ONEF*NtoN2O*kgtoGg,IF('Net zero activities &amp; levers'!$C$14="On",'Net zero Activity data'!BH48*ttokg*ONEF*NtoN2O*kgtoGg,"ERROR"))</f>
        <v>4.4390953023057615E-2</v>
      </c>
      <c r="AP1118" s="101">
        <f>IF('Net zero activities &amp; levers'!$C$14="Off",'Activity data'!BI48*ttokg*ONEF*NtoN2O*kgtoGg,IF('Net zero activities &amp; levers'!$C$14="On",'Net zero Activity data'!BI48*ttokg*ONEF*NtoN2O*kgtoGg,"ERROR"))</f>
        <v>4.4392408382665088E-2</v>
      </c>
      <c r="AQ1118" s="101">
        <f>IF('Net zero activities &amp; levers'!$C$14="Off",'Activity data'!BJ48*ttokg*ONEF*NtoN2O*kgtoGg,IF('Net zero activities &amp; levers'!$C$14="On",'Net zero Activity data'!BJ48*ttokg*ONEF*NtoN2O*kgtoGg,"ERROR"))</f>
        <v>4.4393876981721259E-2</v>
      </c>
      <c r="AR1118" s="101">
        <f>IF('Net zero activities &amp; levers'!$C$14="Off",'Activity data'!BK48*ttokg*ONEF*NtoN2O*kgtoGg,IF('Net zero activities &amp; levers'!$C$14="On",'Net zero Activity data'!BK48*ttokg*ONEF*NtoN2O*kgtoGg,"ERROR"))</f>
        <v>4.4395358979335532E-2</v>
      </c>
      <c r="AS1118" s="101">
        <f>IF('Net zero activities &amp; levers'!$C$14="Off",'Activity data'!BL48*ttokg*ONEF*NtoN2O*kgtoGg,IF('Net zero activities &amp; levers'!$C$14="On",'Net zero Activity data'!BL48*ttokg*ONEF*NtoN2O*kgtoGg,"ERROR"))</f>
        <v>4.4396854537241355E-2</v>
      </c>
      <c r="AT1118" s="101">
        <f>IF('Net zero activities &amp; levers'!$C$14="Off",'Activity data'!BM48*ttokg*ONEF*NtoN2O*kgtoGg,IF('Net zero activities &amp; levers'!$C$14="On",'Net zero Activity data'!BM48*ttokg*ONEF*NtoN2O*kgtoGg,"ERROR"))</f>
        <v>4.4398094708516155E-2</v>
      </c>
      <c r="AU1118" s="101">
        <f>IF('Net zero activities &amp; levers'!$C$14="Off",'Activity data'!BN48*ttokg*ONEF*NtoN2O*kgtoGg,IF('Net zero activities &amp; levers'!$C$14="On",'Net zero Activity data'!BN48*ttokg*ONEF*NtoN2O*kgtoGg,"ERROR"))</f>
        <v>4.4399344254367645E-2</v>
      </c>
      <c r="AV1118" s="101">
        <f>IF('Net zero activities &amp; levers'!$C$14="Off",'Activity data'!BO48*ttokg*ONEF*NtoN2O*kgtoGg,IF('Net zero activities &amp; levers'!$C$14="On",'Net zero Activity data'!BO48*ttokg*ONEF*NtoN2O*kgtoGg,"ERROR"))</f>
        <v>4.4400603268897852E-2</v>
      </c>
      <c r="AW1118" s="101">
        <f>IF('Net zero activities &amp; levers'!$C$14="Off",'Activity data'!BP48*ttokg*ONEF*NtoN2O*kgtoGg,IF('Net zero activities &amp; levers'!$C$14="On",'Net zero Activity data'!BP48*ttokg*ONEF*NtoN2O*kgtoGg,"ERROR"))</f>
        <v>4.4401871847508219E-2</v>
      </c>
      <c r="AY1118" s="85"/>
    </row>
    <row r="1119" spans="1:51" x14ac:dyDescent="0.25">
      <c r="A1119" s="102" t="str">
        <f t="shared" si="374"/>
        <v>CM Crop residues</v>
      </c>
      <c r="B1119" s="102" t="s">
        <v>1323</v>
      </c>
      <c r="C1119" s="102" t="s">
        <v>58</v>
      </c>
      <c r="D1119" t="s">
        <v>369</v>
      </c>
      <c r="E1119" t="s">
        <v>55</v>
      </c>
      <c r="H1119" t="s">
        <v>58</v>
      </c>
      <c r="I1119" t="s">
        <v>139</v>
      </c>
      <c r="J1119" t="s">
        <v>287</v>
      </c>
      <c r="K1119" s="22">
        <f>K1465</f>
        <v>2.94930909510781</v>
      </c>
      <c r="L1119" s="22">
        <f t="shared" ref="L1119:AW1119" si="376">L1465</f>
        <v>2.9563860470471841</v>
      </c>
      <c r="M1119" s="22">
        <f t="shared" si="376"/>
        <v>2.9660567509887259</v>
      </c>
      <c r="N1119" s="22">
        <f t="shared" si="376"/>
        <v>2.9730763996357101</v>
      </c>
      <c r="O1119" s="22">
        <f t="shared" si="376"/>
        <v>2.9764949162422756</v>
      </c>
      <c r="P1119" s="22">
        <f t="shared" si="376"/>
        <v>2.9798690253687776</v>
      </c>
      <c r="Q1119" s="22">
        <f t="shared" si="376"/>
        <v>2.9849732339537955</v>
      </c>
      <c r="R1119" s="22">
        <f t="shared" si="376"/>
        <v>2.9905615945405919</v>
      </c>
      <c r="S1119" s="22">
        <f t="shared" si="376"/>
        <v>2.9923904690707688</v>
      </c>
      <c r="T1119" s="22">
        <f t="shared" si="376"/>
        <v>2.9587970068183171</v>
      </c>
      <c r="U1119" s="22">
        <f t="shared" si="376"/>
        <v>2.9692759442185355</v>
      </c>
      <c r="V1119" s="22">
        <f t="shared" si="376"/>
        <v>2.9786973142789162</v>
      </c>
      <c r="W1119" s="22">
        <f t="shared" si="376"/>
        <v>2.9880313460490315</v>
      </c>
      <c r="X1119" s="22">
        <f t="shared" si="376"/>
        <v>2.9987458425292064</v>
      </c>
      <c r="Y1119" s="22">
        <f t="shared" si="376"/>
        <v>3.0093440495500001</v>
      </c>
      <c r="Z1119" s="22">
        <f t="shared" si="376"/>
        <v>3.0200893059451359</v>
      </c>
      <c r="AA1119" s="22">
        <f t="shared" si="376"/>
        <v>3.0303771863022528</v>
      </c>
      <c r="AB1119" s="22">
        <f t="shared" si="376"/>
        <v>3.0411047920866441</v>
      </c>
      <c r="AC1119" s="22">
        <f t="shared" si="376"/>
        <v>3.0510700208983077</v>
      </c>
      <c r="AD1119" s="22">
        <f t="shared" si="376"/>
        <v>3.0611241461036762</v>
      </c>
      <c r="AE1119" s="22">
        <f t="shared" si="376"/>
        <v>3.0728237412547079</v>
      </c>
      <c r="AF1119" s="22">
        <f t="shared" si="376"/>
        <v>3.0851749342584296</v>
      </c>
      <c r="AG1119" s="22">
        <f t="shared" si="376"/>
        <v>3.0976819263158513</v>
      </c>
      <c r="AH1119" s="22">
        <f t="shared" si="376"/>
        <v>3.100164026523585</v>
      </c>
      <c r="AI1119" s="22">
        <f t="shared" si="376"/>
        <v>2.0687131319155303</v>
      </c>
      <c r="AJ1119" s="22">
        <f t="shared" si="376"/>
        <v>2.0668883322133484</v>
      </c>
      <c r="AK1119" s="22">
        <f t="shared" si="376"/>
        <v>2.0650443235262905</v>
      </c>
      <c r="AL1119" s="22">
        <f t="shared" si="376"/>
        <v>2.0631808412261146</v>
      </c>
      <c r="AM1119" s="22">
        <f t="shared" si="376"/>
        <v>2.0612976157071592</v>
      </c>
      <c r="AN1119" s="22">
        <f t="shared" si="376"/>
        <v>2.0593943722621146</v>
      </c>
      <c r="AO1119" s="22">
        <f t="shared" si="376"/>
        <v>2.0577629415754459</v>
      </c>
      <c r="AP1119" s="22">
        <f t="shared" si="376"/>
        <v>2.056116712163484</v>
      </c>
      <c r="AQ1119" s="22">
        <f t="shared" si="376"/>
        <v>2.0544555069546533</v>
      </c>
      <c r="AR1119" s="22">
        <f t="shared" si="376"/>
        <v>2.0527791459724298</v>
      </c>
      <c r="AS1119" s="22">
        <f t="shared" si="376"/>
        <v>2.0510874462720836</v>
      </c>
      <c r="AT1119" s="22">
        <f t="shared" si="376"/>
        <v>2.0496846270527396</v>
      </c>
      <c r="AU1119" s="22">
        <f t="shared" si="376"/>
        <v>2.0482712037848629</v>
      </c>
      <c r="AV1119" s="22">
        <f t="shared" si="376"/>
        <v>2.0468470700250148</v>
      </c>
      <c r="AW1119" s="22">
        <f t="shared" si="376"/>
        <v>2.0454121178598972</v>
      </c>
      <c r="AY1119" s="85"/>
    </row>
    <row r="1120" spans="1:51" x14ac:dyDescent="0.25">
      <c r="A1120" s="102" t="str">
        <f t="shared" si="374"/>
        <v>CM Organic</v>
      </c>
      <c r="B1120" s="102" t="s">
        <v>1323</v>
      </c>
      <c r="C1120" s="102" t="s">
        <v>1128</v>
      </c>
      <c r="D1120" t="s">
        <v>369</v>
      </c>
      <c r="E1120" t="s">
        <v>55</v>
      </c>
      <c r="F1120" t="s">
        <v>421</v>
      </c>
      <c r="G1120" t="s">
        <v>1153</v>
      </c>
      <c r="H1120" t="s">
        <v>1154</v>
      </c>
      <c r="I1120" t="s">
        <v>139</v>
      </c>
      <c r="J1120" t="s">
        <v>287</v>
      </c>
      <c r="K1120" s="101">
        <f>IF('Net zero activities &amp; levers'!$C$14="Off",'Activity data'!AD50*ManureNEF*NtoN2O*kgtoGg,IF('Net zero activities &amp; levers'!$C$14="On",'Net zero Activity data'!AD50*ManureNEF*NtoN2O*kgtoGg,"ERROR"))</f>
        <v>0.31935878855248062</v>
      </c>
      <c r="L1120" s="101">
        <f>IF('Net zero activities &amp; levers'!$C$14="Off",'Activity data'!AE50*ManureNEF*NtoN2O*kgtoGg,IF('Net zero activities &amp; levers'!$C$14="On",'Net zero Activity data'!AE50*ManureNEF*NtoN2O*kgtoGg,"ERROR"))</f>
        <v>0.3213452540874065</v>
      </c>
      <c r="M1120" s="101">
        <f>IF('Net zero activities &amp; levers'!$C$14="Off",'Activity data'!AF50*ManureNEF*NtoN2O*kgtoGg,IF('Net zero activities &amp; levers'!$C$14="On",'Net zero Activity data'!AF50*ManureNEF*NtoN2O*kgtoGg,"ERROR"))</f>
        <v>0.32271097650720204</v>
      </c>
      <c r="N1120" s="101">
        <f>IF('Net zero activities &amp; levers'!$C$14="Off",'Activity data'!AG50*ManureNEF*NtoN2O*kgtoGg,IF('Net zero activities &amp; levers'!$C$14="On",'Net zero Activity data'!AG50*ManureNEF*NtoN2O*kgtoGg,"ERROR"))</f>
        <v>0.32313928716206192</v>
      </c>
      <c r="O1120" s="101">
        <f>IF('Net zero activities &amp; levers'!$C$14="Off",'Activity data'!AH50*ManureNEF*NtoN2O*kgtoGg,IF('Net zero activities &amp; levers'!$C$14="On",'Net zero Activity data'!AH50*ManureNEF*NtoN2O*kgtoGg,"ERROR"))</f>
        <v>0.32371872756630715</v>
      </c>
      <c r="P1120" s="101">
        <f>IF('Net zero activities &amp; levers'!$C$14="Off",'Activity data'!AI50*ManureNEF*NtoN2O*kgtoGg,IF('Net zero activities &amp; levers'!$C$14="On",'Net zero Activity data'!AI50*ManureNEF*NtoN2O*kgtoGg,"ERROR"))</f>
        <v>0.32498792219339984</v>
      </c>
      <c r="Q1120" s="101">
        <f>IF('Net zero activities &amp; levers'!$C$14="Off",'Activity data'!AJ50*ManureNEF*NtoN2O*kgtoGg,IF('Net zero activities &amp; levers'!$C$14="On",'Net zero Activity data'!AJ50*ManureNEF*NtoN2O*kgtoGg,"ERROR"))</f>
        <v>0.32650955781340663</v>
      </c>
      <c r="R1120" s="101">
        <f>IF('Net zero activities &amp; levers'!$C$14="Off",'Activity data'!AK50*ManureNEF*NtoN2O*kgtoGg,IF('Net zero activities &amp; levers'!$C$14="On",'Net zero Activity data'!AK50*ManureNEF*NtoN2O*kgtoGg,"ERROR"))</f>
        <v>0.32696667302614263</v>
      </c>
      <c r="S1120" s="101">
        <f>IF('Net zero activities &amp; levers'!$C$14="Off",'Activity data'!AL50*ManureNEF*NtoN2O*kgtoGg,IF('Net zero activities &amp; levers'!$C$14="On",'Net zero Activity data'!AL50*ManureNEF*NtoN2O*kgtoGg,"ERROR"))</f>
        <v>0.31692886960594807</v>
      </c>
      <c r="T1120" s="101">
        <f>IF('Net zero activities &amp; levers'!$C$14="Off",'Activity data'!AM50*ManureNEF*NtoN2O*kgtoGg,IF('Net zero activities &amp; levers'!$C$14="On",'Net zero Activity data'!AM50*ManureNEF*NtoN2O*kgtoGg,"ERROR"))</f>
        <v>0.319539305941619</v>
      </c>
      <c r="U1120" s="101">
        <f>IF('Net zero activities &amp; levers'!$C$14="Off",'Activity data'!AN50*ManureNEF*NtoN2O*kgtoGg,IF('Net zero activities &amp; levers'!$C$14="On",'Net zero Activity data'!AN50*ManureNEF*NtoN2O*kgtoGg,"ERROR"))</f>
        <v>0.32193300192732111</v>
      </c>
      <c r="V1120" s="101">
        <f>IF('Net zero activities &amp; levers'!$C$14="Off",'Activity data'!AO50*ManureNEF*NtoN2O*kgtoGg,IF('Net zero activities &amp; levers'!$C$14="On",'Net zero Activity data'!AO50*ManureNEF*NtoN2O*kgtoGg,"ERROR"))</f>
        <v>0.32438733794310681</v>
      </c>
      <c r="W1120" s="101">
        <f>IF('Net zero activities &amp; levers'!$C$14="Off",'Activity data'!AP50*ManureNEF*NtoN2O*kgtoGg,IF('Net zero activities &amp; levers'!$C$14="On",'Net zero Activity data'!AP50*ManureNEF*NtoN2O*kgtoGg,"ERROR"))</f>
        <v>0.32734391954355124</v>
      </c>
      <c r="X1120" s="101">
        <f>IF('Net zero activities &amp; levers'!$C$14="Off",'Activity data'!AQ50*ManureNEF*NtoN2O*kgtoGg,IF('Net zero activities &amp; levers'!$C$14="On",'Net zero Activity data'!AQ50*ManureNEF*NtoN2O*kgtoGg,"ERROR"))</f>
        <v>0.33035597962068947</v>
      </c>
      <c r="Y1120" s="101">
        <f>IF('Net zero activities &amp; levers'!$C$14="Off",'Activity data'!AR50*ManureNEF*NtoN2O*kgtoGg,IF('Net zero activities &amp; levers'!$C$14="On",'Net zero Activity data'!AR50*ManureNEF*NtoN2O*kgtoGg,"ERROR"))</f>
        <v>0.33328887796807738</v>
      </c>
      <c r="Z1120" s="101">
        <f>IF('Net zero activities &amp; levers'!$C$14="Off",'Activity data'!AS50*ManureNEF*NtoN2O*kgtoGg,IF('Net zero activities &amp; levers'!$C$14="On",'Net zero Activity data'!AS50*ManureNEF*NtoN2O*kgtoGg,"ERROR"))</f>
        <v>0.33616310143447364</v>
      </c>
      <c r="AA1120" s="101">
        <f>IF('Net zero activities &amp; levers'!$C$14="Off",'Activity data'!AT50*ManureNEF*NtoN2O*kgtoGg,IF('Net zero activities &amp; levers'!$C$14="On",'Net zero Activity data'!AT50*ManureNEF*NtoN2O*kgtoGg,"ERROR"))</f>
        <v>0.33925895533631584</v>
      </c>
      <c r="AB1120" s="101">
        <f>IF('Net zero activities &amp; levers'!$C$14="Off",'Activity data'!AU50*ManureNEF*NtoN2O*kgtoGg,IF('Net zero activities &amp; levers'!$C$14="On",'Net zero Activity data'!AU50*ManureNEF*NtoN2O*kgtoGg,"ERROR"))</f>
        <v>0.34219066812704535</v>
      </c>
      <c r="AC1120" s="101">
        <f>IF('Net zero activities &amp; levers'!$C$14="Off",'Activity data'!AV50*ManureNEF*NtoN2O*kgtoGg,IF('Net zero activities &amp; levers'!$C$14="On",'Net zero Activity data'!AV50*ManureNEF*NtoN2O*kgtoGg,"ERROR"))</f>
        <v>0.34522753941235912</v>
      </c>
      <c r="AD1120" s="101">
        <f>IF('Net zero activities &amp; levers'!$C$14="Off",'Activity data'!AW50*ManureNEF*NtoN2O*kgtoGg,IF('Net zero activities &amp; levers'!$C$14="On",'Net zero Activity data'!AW50*ManureNEF*NtoN2O*kgtoGg,"ERROR"))</f>
        <v>0.34871662740286707</v>
      </c>
      <c r="AE1120" s="101">
        <f>IF('Net zero activities &amp; levers'!$C$14="Off",'Activity data'!AX50*ManureNEF*NtoN2O*kgtoGg,IF('Net zero activities &amp; levers'!$C$14="On",'Net zero Activity data'!AX50*ManureNEF*NtoN2O*kgtoGg,"ERROR"))</f>
        <v>0.3525166109950878</v>
      </c>
      <c r="AF1120" s="101">
        <f>IF('Net zero activities &amp; levers'!$C$14="Off",'Activity data'!AY50*ManureNEF*NtoN2O*kgtoGg,IF('Net zero activities &amp; levers'!$C$14="On",'Net zero Activity data'!AY50*ManureNEF*NtoN2O*kgtoGg,"ERROR"))</f>
        <v>0.3564674247563781</v>
      </c>
      <c r="AG1120" s="101">
        <f>IF('Net zero activities &amp; levers'!$C$14="Off",'Activity data'!AZ50*ManureNEF*NtoN2O*kgtoGg,IF('Net zero activities &amp; levers'!$C$14="On",'Net zero Activity data'!AZ50*ManureNEF*NtoN2O*kgtoGg,"ERROR"))</f>
        <v>0.35701929306188401</v>
      </c>
      <c r="AH1120" s="101">
        <f>IF('Net zero activities &amp; levers'!$C$14="Off",'Activity data'!BA50*ManureNEF*NtoN2O*kgtoGg,IF('Net zero activities &amp; levers'!$C$14="On",'Net zero Activity data'!BA50*ManureNEF*NtoN2O*kgtoGg,"ERROR"))</f>
        <v>0.19114464625483749</v>
      </c>
      <c r="AI1120" s="101">
        <f>IF('Net zero activities &amp; levers'!$C$14="Off",'Activity data'!BB50*ManureNEF*NtoN2O*kgtoGg,IF('Net zero activities &amp; levers'!$C$14="On",'Net zero Activity data'!BB50*ManureNEF*NtoN2O*kgtoGg,"ERROR"))</f>
        <v>0.19128523197534555</v>
      </c>
      <c r="AJ1120" s="101">
        <f>IF('Net zero activities &amp; levers'!$C$14="Off",'Activity data'!BC50*ManureNEF*NtoN2O*kgtoGg,IF('Net zero activities &amp; levers'!$C$14="On",'Net zero Activity data'!BC50*ManureNEF*NtoN2O*kgtoGg,"ERROR"))</f>
        <v>0.19144428532787389</v>
      </c>
      <c r="AK1120" s="101">
        <f>IF('Net zero activities &amp; levers'!$C$14="Off",'Activity data'!BD50*ManureNEF*NtoN2O*kgtoGg,IF('Net zero activities &amp; levers'!$C$14="On",'Net zero Activity data'!BD50*ManureNEF*NtoN2O*kgtoGg,"ERROR"))</f>
        <v>0.19162110436440311</v>
      </c>
      <c r="AL1120" s="101">
        <f>IF('Net zero activities &amp; levers'!$C$14="Off",'Activity data'!BE50*ManureNEF*NtoN2O*kgtoGg,IF('Net zero activities &amp; levers'!$C$14="On",'Net zero Activity data'!BE50*ManureNEF*NtoN2O*kgtoGg,"ERROR"))</f>
        <v>0.19181504119818318</v>
      </c>
      <c r="AM1120" s="101">
        <f>IF('Net zero activities &amp; levers'!$C$14="Off",'Activity data'!BF50*ManureNEF*NtoN2O*kgtoGg,IF('Net zero activities &amp; levers'!$C$14="On",'Net zero Activity data'!BF50*ManureNEF*NtoN2O*kgtoGg,"ERROR"))</f>
        <v>0.19202549687963794</v>
      </c>
      <c r="AN1120" s="101">
        <f>IF('Net zero activities &amp; levers'!$C$14="Off",'Activity data'!BG50*ManureNEF*NtoN2O*kgtoGg,IF('Net zero activities &amp; levers'!$C$14="On",'Net zero Activity data'!BG50*ManureNEF*NtoN2O*kgtoGg,"ERROR"))</f>
        <v>0.19211610433852847</v>
      </c>
      <c r="AO1120" s="101">
        <f>IF('Net zero activities &amp; levers'!$C$14="Off",'Activity data'!BH50*ManureNEF*NtoN2O*kgtoGg,IF('Net zero activities &amp; levers'!$C$14="On",'Net zero Activity data'!BH50*ManureNEF*NtoN2O*kgtoGg,"ERROR"))</f>
        <v>0.19222125892017863</v>
      </c>
      <c r="AP1120" s="101">
        <f>IF('Net zero activities &amp; levers'!$C$14="Off",'Activity data'!BI50*ManureNEF*NtoN2O*kgtoGg,IF('Net zero activities &amp; levers'!$C$14="On",'Net zero Activity data'!BI50*ManureNEF*NtoN2O*kgtoGg,"ERROR"))</f>
        <v>0.1923404525383117</v>
      </c>
      <c r="AQ1120" s="101">
        <f>IF('Net zero activities &amp; levers'!$C$14="Off",'Activity data'!BJ50*ManureNEF*NtoN2O*kgtoGg,IF('Net zero activities &amp; levers'!$C$14="On",'Net zero Activity data'!BJ50*ManureNEF*NtoN2O*kgtoGg,"ERROR"))</f>
        <v>0.19247321177682317</v>
      </c>
      <c r="AR1120" s="101">
        <f>IF('Net zero activities &amp; levers'!$C$14="Off",'Activity data'!BK50*ManureNEF*NtoN2O*kgtoGg,IF('Net zero activities &amp; levers'!$C$14="On",'Net zero Activity data'!BK50*ManureNEF*NtoN2O*kgtoGg,"ERROR"))</f>
        <v>0.19261909494773871</v>
      </c>
      <c r="AS1120" s="101">
        <f>IF('Net zero activities &amp; levers'!$C$14="Off",'Activity data'!BL50*ManureNEF*NtoN2O*kgtoGg,IF('Net zero activities &amp; levers'!$C$14="On",'Net zero Activity data'!BL50*ManureNEF*NtoN2O*kgtoGg,"ERROR"))</f>
        <v>0.19264041350385425</v>
      </c>
      <c r="AT1120" s="101">
        <f>IF('Net zero activities &amp; levers'!$C$14="Off",'Activity data'!BM50*ManureNEF*NtoN2O*kgtoGg,IF('Net zero activities &amp; levers'!$C$14="On",'Net zero Activity data'!BM50*ManureNEF*NtoN2O*kgtoGg,"ERROR"))</f>
        <v>0.19267336675119676</v>
      </c>
      <c r="AU1120" s="101">
        <f>IF('Net zero activities &amp; levers'!$C$14="Off",'Activity data'!BN50*ManureNEF*NtoN2O*kgtoGg,IF('Net zero activities &amp; levers'!$C$14="On",'Net zero Activity data'!BN50*ManureNEF*NtoN2O*kgtoGg,"ERROR"))</f>
        <v>0.19271756905587112</v>
      </c>
      <c r="AV1120" s="101">
        <f>IF('Net zero activities &amp; levers'!$C$14="Off",'Activity data'!BO50*ManureNEF*NtoN2O*kgtoGg,IF('Net zero activities &amp; levers'!$C$14="On",'Net zero Activity data'!BO50*ManureNEF*NtoN2O*kgtoGg,"ERROR"))</f>
        <v>0.19277265827645768</v>
      </c>
      <c r="AW1120" s="101">
        <f>IF('Net zero activities &amp; levers'!$C$14="Off",'Activity data'!BP50*ManureNEF*NtoN2O*kgtoGg,IF('Net zero activities &amp; levers'!$C$14="On",'Net zero Activity data'!BP50*ManureNEF*NtoN2O*kgtoGg,"ERROR"))</f>
        <v>0.19283829395934973</v>
      </c>
      <c r="AY1120" s="85"/>
    </row>
    <row r="1121" spans="1:51" x14ac:dyDescent="0.25">
      <c r="A1121" s="102" t="str">
        <f t="shared" si="374"/>
        <v>CM Organic</v>
      </c>
      <c r="B1121" s="102" t="s">
        <v>1323</v>
      </c>
      <c r="C1121" s="102" t="s">
        <v>1128</v>
      </c>
      <c r="D1121" t="s">
        <v>369</v>
      </c>
      <c r="E1121" t="s">
        <v>55</v>
      </c>
      <c r="F1121" t="s">
        <v>421</v>
      </c>
      <c r="G1121" t="s">
        <v>1155</v>
      </c>
      <c r="H1121" t="s">
        <v>1156</v>
      </c>
      <c r="I1121" t="s">
        <v>139</v>
      </c>
      <c r="J1121" t="s">
        <v>287</v>
      </c>
      <c r="K1121" s="101">
        <f>IF('Net zero activities &amp; levers'!$C$14="Off",'Activity data'!AD51*ManureNEF*NtoN2O*kgtoGg,IF('Net zero activities &amp; levers'!$C$14="On",'Net zero Activity data'!AD51*ManureNEF*NtoN2O*kgtoGg,"ERROR"))</f>
        <v>0.93379576098906358</v>
      </c>
      <c r="L1121" s="101">
        <f>IF('Net zero activities &amp; levers'!$C$14="Off",'Activity data'!AE51*ManureNEF*NtoN2O*kgtoGg,IF('Net zero activities &amp; levers'!$C$14="On",'Net zero Activity data'!AE51*ManureNEF*NtoN2O*kgtoGg,"ERROR"))</f>
        <v>0.93960412813709904</v>
      </c>
      <c r="M1121" s="101">
        <f>IF('Net zero activities &amp; levers'!$C$14="Off",'Activity data'!AF51*ManureNEF*NtoN2O*kgtoGg,IF('Net zero activities &amp; levers'!$C$14="On",'Net zero Activity data'!AF51*ManureNEF*NtoN2O*kgtoGg,"ERROR"))</f>
        <v>0.94359746056447114</v>
      </c>
      <c r="N1121" s="101">
        <f>IF('Net zero activities &amp; levers'!$C$14="Off",'Activity data'!AG51*ManureNEF*NtoN2O*kgtoGg,IF('Net zero activities &amp; levers'!$C$14="On",'Net zero Activity data'!AG51*ManureNEF*NtoN2O*kgtoGg,"ERROR"))</f>
        <v>0.94484982839723786</v>
      </c>
      <c r="O1121" s="101">
        <f>IF('Net zero activities &amp; levers'!$C$14="Off",'Activity data'!AH51*ManureNEF*NtoN2O*kgtoGg,IF('Net zero activities &amp; levers'!$C$14="On",'Net zero Activity data'!AH51*ManureNEF*NtoN2O*kgtoGg,"ERROR"))</f>
        <v>0.94654409519879523</v>
      </c>
      <c r="P1121" s="101">
        <f>IF('Net zero activities &amp; levers'!$C$14="Off",'Activity data'!AI51*ManureNEF*NtoN2O*kgtoGg,IF('Net zero activities &amp; levers'!$C$14="On",'Net zero Activity data'!AI51*ManureNEF*NtoN2O*kgtoGg,"ERROR"))</f>
        <v>0.95025518318237956</v>
      </c>
      <c r="Q1121" s="101">
        <f>IF('Net zero activities &amp; levers'!$C$14="Off",'Activity data'!AJ51*ManureNEF*NtoN2O*kgtoGg,IF('Net zero activities &amp; levers'!$C$14="On",'Net zero Activity data'!AJ51*ManureNEF*NtoN2O*kgtoGg,"ERROR"))</f>
        <v>0.95470440124890821</v>
      </c>
      <c r="R1121" s="101">
        <f>IF('Net zero activities &amp; levers'!$C$14="Off",'Activity data'!AK51*ManureNEF*NtoN2O*kgtoGg,IF('Net zero activities &amp; levers'!$C$14="On",'Net zero Activity data'!AK51*ManureNEF*NtoN2O*kgtoGg,"ERROR"))</f>
        <v>0.95604099276677834</v>
      </c>
      <c r="S1121" s="101">
        <f>IF('Net zero activities &amp; levers'!$C$14="Off",'Activity data'!AL51*ManureNEF*NtoN2O*kgtoGg,IF('Net zero activities &amp; levers'!$C$14="On",'Net zero Activity data'!AL51*ManureNEF*NtoN2O*kgtoGg,"ERROR"))</f>
        <v>0.9266907490302454</v>
      </c>
      <c r="T1121" s="101">
        <f>IF('Net zero activities &amp; levers'!$C$14="Off",'Activity data'!AM51*ManureNEF*NtoN2O*kgtoGg,IF('Net zero activities &amp; levers'!$C$14="On",'Net zero Activity data'!AM51*ManureNEF*NtoN2O*kgtoGg,"ERROR"))</f>
        <v>0.93432358855731779</v>
      </c>
      <c r="U1121" s="101">
        <f>IF('Net zero activities &amp; levers'!$C$14="Off",'Activity data'!AN51*ManureNEF*NtoN2O*kgtoGg,IF('Net zero activities &amp; levers'!$C$14="On",'Net zero Activity data'!AN51*ManureNEF*NtoN2O*kgtoGg,"ERROR"))</f>
        <v>0.94132268563767829</v>
      </c>
      <c r="V1121" s="101">
        <f>IF('Net zero activities &amp; levers'!$C$14="Off",'Activity data'!AO51*ManureNEF*NtoN2O*kgtoGg,IF('Net zero activities &amp; levers'!$C$14="On",'Net zero Activity data'!AO51*ManureNEF*NtoN2O*kgtoGg,"ERROR"))</f>
        <v>0.94849909239313801</v>
      </c>
      <c r="W1121" s="101">
        <f>IF('Net zero activities &amp; levers'!$C$14="Off",'Activity data'!AP51*ManureNEF*NtoN2O*kgtoGg,IF('Net zero activities &amp; levers'!$C$14="On",'Net zero Activity data'!AP51*ManureNEF*NtoN2O*kgtoGg,"ERROR"))</f>
        <v>0.95714405055454344</v>
      </c>
      <c r="X1121" s="101">
        <f>IF('Net zero activities &amp; levers'!$C$14="Off",'Activity data'!AQ51*ManureNEF*NtoN2O*kgtoGg,IF('Net zero activities &amp; levers'!$C$14="On",'Net zero Activity data'!AQ51*ManureNEF*NtoN2O*kgtoGg,"ERROR"))</f>
        <v>0.96595122615983853</v>
      </c>
      <c r="Y1121" s="101">
        <f>IF('Net zero activities &amp; levers'!$C$14="Off",'Activity data'!AR51*ManureNEF*NtoN2O*kgtoGg,IF('Net zero activities &amp; levers'!$C$14="On",'Net zero Activity data'!AR51*ManureNEF*NtoN2O*kgtoGg,"ERROR"))</f>
        <v>0.97452693518170752</v>
      </c>
      <c r="Z1121" s="101">
        <f>IF('Net zero activities &amp; levers'!$C$14="Off",'Activity data'!AS51*ManureNEF*NtoN2O*kgtoGg,IF('Net zero activities &amp; levers'!$C$14="On",'Net zero Activity data'!AS51*ManureNEF*NtoN2O*kgtoGg,"ERROR"))</f>
        <v>0.98293108056696943</v>
      </c>
      <c r="AA1121" s="101">
        <f>IF('Net zero activities &amp; levers'!$C$14="Off",'Activity data'!AT51*ManureNEF*NtoN2O*kgtoGg,IF('Net zero activities &amp; levers'!$C$14="On",'Net zero Activity data'!AT51*ManureNEF*NtoN2O*kgtoGg,"ERROR"))</f>
        <v>0.99198326686591187</v>
      </c>
      <c r="AB1121" s="101">
        <f>IF('Net zero activities &amp; levers'!$C$14="Off",'Activity data'!AU51*ManureNEF*NtoN2O*kgtoGg,IF('Net zero activities &amp; levers'!$C$14="On",'Net zero Activity data'!AU51*ManureNEF*NtoN2O*kgtoGg,"ERROR"))</f>
        <v>1.0005555093547731</v>
      </c>
      <c r="AC1121" s="101">
        <f>IF('Net zero activities &amp; levers'!$C$14="Off",'Activity data'!AV51*ManureNEF*NtoN2O*kgtoGg,IF('Net zero activities &amp; levers'!$C$14="On",'Net zero Activity data'!AV51*ManureNEF*NtoN2O*kgtoGg,"ERROR"))</f>
        <v>1.0094352322073954</v>
      </c>
      <c r="AD1121" s="101">
        <f>IF('Net zero activities &amp; levers'!$C$14="Off",'Activity data'!AW51*ManureNEF*NtoN2O*kgtoGg,IF('Net zero activities &amp; levers'!$C$14="On",'Net zero Activity data'!AW51*ManureNEF*NtoN2O*kgtoGg,"ERROR"))</f>
        <v>1.0196372234850481</v>
      </c>
      <c r="AE1121" s="101">
        <f>IF('Net zero activities &amp; levers'!$C$14="Off",'Activity data'!AX51*ManureNEF*NtoN2O*kgtoGg,IF('Net zero activities &amp; levers'!$C$14="On",'Net zero Activity data'!AX51*ManureNEF*NtoN2O*kgtoGg,"ERROR"))</f>
        <v>1.0307482644127997</v>
      </c>
      <c r="AF1121" s="101">
        <f>IF('Net zero activities &amp; levers'!$C$14="Off",'Activity data'!AY51*ManureNEF*NtoN2O*kgtoGg,IF('Net zero activities &amp; levers'!$C$14="On",'Net zero Activity data'!AY51*ManureNEF*NtoN2O*kgtoGg,"ERROR"))</f>
        <v>1.0423003283452565</v>
      </c>
      <c r="AG1121" s="101">
        <f>IF('Net zero activities &amp; levers'!$C$14="Off",'Activity data'!AZ51*ManureNEF*NtoN2O*kgtoGg,IF('Net zero activities &amp; levers'!$C$14="On",'Net zero Activity data'!AZ51*ManureNEF*NtoN2O*kgtoGg,"ERROR"))</f>
        <v>1.0439139751361945</v>
      </c>
      <c r="AH1121" s="101">
        <f>IF('Net zero activities &amp; levers'!$C$14="Off",'Activity data'!BA51*ManureNEF*NtoN2O*kgtoGg,IF('Net zero activities &amp; levers'!$C$14="On",'Net zero Activity data'!BA51*ManureNEF*NtoN2O*kgtoGg,"ERROR"))</f>
        <v>0.55890135736530644</v>
      </c>
      <c r="AI1121" s="101">
        <f>IF('Net zero activities &amp; levers'!$C$14="Off",'Activity data'!BB51*ManureNEF*NtoN2O*kgtoGg,IF('Net zero activities &amp; levers'!$C$14="On",'Net zero Activity data'!BB51*ManureNEF*NtoN2O*kgtoGg,"ERROR"))</f>
        <v>0.55931242590192343</v>
      </c>
      <c r="AJ1121" s="101">
        <f>IF('Net zero activities &amp; levers'!$C$14="Off",'Activity data'!BC51*ManureNEF*NtoN2O*kgtoGg,IF('Net zero activities &amp; levers'!$C$14="On",'Net zero Activity data'!BC51*ManureNEF*NtoN2O*kgtoGg,"ERROR"))</f>
        <v>0.55977749325464987</v>
      </c>
      <c r="AK1121" s="101">
        <f>IF('Net zero activities &amp; levers'!$C$14="Off",'Activity data'!BD51*ManureNEF*NtoN2O*kgtoGg,IF('Net zero activities &amp; levers'!$C$14="On",'Net zero Activity data'!BD51*ManureNEF*NtoN2O*kgtoGg,"ERROR"))</f>
        <v>0.56029450694799943</v>
      </c>
      <c r="AL1121" s="101">
        <f>IF('Net zero activities &amp; levers'!$C$14="Off",'Activity data'!BE51*ManureNEF*NtoN2O*kgtoGg,IF('Net zero activities &amp; levers'!$C$14="On",'Net zero Activity data'!BE51*ManureNEF*NtoN2O*kgtoGg,"ERROR"))</f>
        <v>0.56086157258005664</v>
      </c>
      <c r="AM1121" s="101">
        <f>IF('Net zero activities &amp; levers'!$C$14="Off",'Activity data'!BF51*ManureNEF*NtoN2O*kgtoGg,IF('Net zero activities &amp; levers'!$C$14="On",'Net zero Activity data'!BF51*ManureNEF*NtoN2O*kgtoGg,"ERROR"))</f>
        <v>0.5614769388397709</v>
      </c>
      <c r="AN1121" s="101">
        <f>IF('Net zero activities &amp; levers'!$C$14="Off",'Activity data'!BG51*ManureNEF*NtoN2O*kgtoGg,IF('Net zero activities &amp; levers'!$C$14="On",'Net zero Activity data'!BG51*ManureNEF*NtoN2O*kgtoGg,"ERROR"))</f>
        <v>0.56174187240057738</v>
      </c>
      <c r="AO1121" s="101">
        <f>IF('Net zero activities &amp; levers'!$C$14="Off",'Activity data'!BH51*ManureNEF*NtoN2O*kgtoGg,IF('Net zero activities &amp; levers'!$C$14="On",'Net zero Activity data'!BH51*ManureNEF*NtoN2O*kgtoGg,"ERROR"))</f>
        <v>0.56204934132303475</v>
      </c>
      <c r="AP1121" s="101">
        <f>IF('Net zero activities &amp; levers'!$C$14="Off",'Activity data'!BI51*ManureNEF*NtoN2O*kgtoGg,IF('Net zero activities &amp; levers'!$C$14="On",'Net zero Activity data'!BI51*ManureNEF*NtoN2O*kgtoGg,"ERROR"))</f>
        <v>0.56239785997772429</v>
      </c>
      <c r="AQ1121" s="101">
        <f>IF('Net zero activities &amp; levers'!$C$14="Off",'Activity data'!BJ51*ManureNEF*NtoN2O*kgtoGg,IF('Net zero activities &amp; levers'!$C$14="On",'Net zero Activity data'!BJ51*ManureNEF*NtoN2O*kgtoGg,"ERROR"))</f>
        <v>0.56278604410979705</v>
      </c>
      <c r="AR1121" s="101">
        <f>IF('Net zero activities &amp; levers'!$C$14="Off",'Activity data'!BK51*ManureNEF*NtoN2O*kgtoGg,IF('Net zero activities &amp; levers'!$C$14="On",'Net zero Activity data'!BK51*ManureNEF*NtoN2O*kgtoGg,"ERROR"))</f>
        <v>0.56321260223652991</v>
      </c>
      <c r="AS1121" s="101">
        <f>IF('Net zero activities &amp; levers'!$C$14="Off",'Activity data'!BL51*ManureNEF*NtoN2O*kgtoGg,IF('Net zero activities &amp; levers'!$C$14="On",'Net zero Activity data'!BL51*ManureNEF*NtoN2O*kgtoGg,"ERROR"))</f>
        <v>0.56327493707134479</v>
      </c>
      <c r="AT1121" s="101">
        <f>IF('Net zero activities &amp; levers'!$C$14="Off",'Activity data'!BM51*ManureNEF*NtoN2O*kgtoGg,IF('Net zero activities &amp; levers'!$C$14="On",'Net zero Activity data'!BM51*ManureNEF*NtoN2O*kgtoGg,"ERROR"))</f>
        <v>0.56337129140315678</v>
      </c>
      <c r="AU1121" s="101">
        <f>IF('Net zero activities &amp; levers'!$C$14="Off",'Activity data'!BN51*ManureNEF*NtoN2O*kgtoGg,IF('Net zero activities &amp; levers'!$C$14="On",'Net zero Activity data'!BN51*ManureNEF*NtoN2O*kgtoGg,"ERROR"))</f>
        <v>0.56350053764973096</v>
      </c>
      <c r="AV1121" s="101">
        <f>IF('Net zero activities &amp; levers'!$C$14="Off",'Activity data'!BO51*ManureNEF*NtoN2O*kgtoGg,IF('Net zero activities &amp; levers'!$C$14="On",'Net zero Activity data'!BO51*ManureNEF*NtoN2O*kgtoGg,"ERROR"))</f>
        <v>0.5636616169201436</v>
      </c>
      <c r="AW1121" s="101">
        <f>IF('Net zero activities &amp; levers'!$C$14="Off",'Activity data'!BP51*ManureNEF*NtoN2O*kgtoGg,IF('Net zero activities &amp; levers'!$C$14="On",'Net zero Activity data'!BP51*ManureNEF*NtoN2O*kgtoGg,"ERROR"))</f>
        <v>0.56385353373800251</v>
      </c>
      <c r="AY1121" s="85"/>
    </row>
    <row r="1122" spans="1:51" x14ac:dyDescent="0.25">
      <c r="A1122" s="102" t="str">
        <f t="shared" si="374"/>
        <v>CM Organic</v>
      </c>
      <c r="B1122" s="102" t="s">
        <v>1323</v>
      </c>
      <c r="C1122" s="102" t="s">
        <v>1128</v>
      </c>
      <c r="D1122" t="s">
        <v>369</v>
      </c>
      <c r="E1122" t="s">
        <v>55</v>
      </c>
      <c r="F1122" t="s">
        <v>421</v>
      </c>
      <c r="G1122" t="s">
        <v>1157</v>
      </c>
      <c r="H1122" t="s">
        <v>1158</v>
      </c>
      <c r="I1122" t="s">
        <v>139</v>
      </c>
      <c r="J1122" t="s">
        <v>287</v>
      </c>
      <c r="K1122" s="101">
        <f>IF('Net zero activities &amp; levers'!$C$14="Off",'Activity data'!AD52*ManureNEF*NtoN2O*kgtoGg,IF('Net zero activities &amp; levers'!$C$14="On",'Net zero Activity data'!AD52*ManureNEF*NtoN2O*kgtoGg,"ERROR"))</f>
        <v>4.9952808112492433E-2</v>
      </c>
      <c r="L1122" s="101">
        <f>IF('Net zero activities &amp; levers'!$C$14="Off",'Activity data'!AE52*ManureNEF*NtoN2O*kgtoGg,IF('Net zero activities &amp; levers'!$C$14="On",'Net zero Activity data'!AE52*ManureNEF*NtoN2O*kgtoGg,"ERROR"))</f>
        <v>5.0263523005099557E-2</v>
      </c>
      <c r="M1122" s="101">
        <f>IF('Net zero activities &amp; levers'!$C$14="Off",'Activity data'!AF52*ManureNEF*NtoN2O*kgtoGg,IF('Net zero activities &amp; levers'!$C$14="On",'Net zero Activity data'!AF52*ManureNEF*NtoN2O*kgtoGg,"ERROR"))</f>
        <v>5.0477143774016554E-2</v>
      </c>
      <c r="N1122" s="101">
        <f>IF('Net zero activities &amp; levers'!$C$14="Off",'Activity data'!AG52*ManureNEF*NtoN2O*kgtoGg,IF('Net zero activities &amp; levers'!$C$14="On",'Net zero Activity data'!AG52*ManureNEF*NtoN2O*kgtoGg,"ERROR"))</f>
        <v>5.0544138391737034E-2</v>
      </c>
      <c r="O1122" s="101">
        <f>IF('Net zero activities &amp; levers'!$C$14="Off",'Activity data'!AH52*ManureNEF*NtoN2O*kgtoGg,IF('Net zero activities &amp; levers'!$C$14="On",'Net zero Activity data'!AH52*ManureNEF*NtoN2O*kgtoGg,"ERROR"))</f>
        <v>5.063477211269108E-2</v>
      </c>
      <c r="P1122" s="101">
        <f>IF('Net zero activities &amp; levers'!$C$14="Off",'Activity data'!AI52*ManureNEF*NtoN2O*kgtoGg,IF('Net zero activities &amp; levers'!$C$14="On",'Net zero Activity data'!AI52*ManureNEF*NtoN2O*kgtoGg,"ERROR"))</f>
        <v>5.0833294395268382E-2</v>
      </c>
      <c r="Q1122" s="101">
        <f>IF('Net zero activities &amp; levers'!$C$14="Off",'Activity data'!AJ52*ManureNEF*NtoN2O*kgtoGg,IF('Net zero activities &amp; levers'!$C$14="On",'Net zero Activity data'!AJ52*ManureNEF*NtoN2O*kgtoGg,"ERROR"))</f>
        <v>5.1071302475421292E-2</v>
      </c>
      <c r="R1122" s="101">
        <f>IF('Net zero activities &amp; levers'!$C$14="Off",'Activity data'!AK52*ManureNEF*NtoN2O*kgtoGg,IF('Net zero activities &amp; levers'!$C$14="On",'Net zero Activity data'!AK52*ManureNEF*NtoN2O*kgtoGg,"ERROR"))</f>
        <v>5.1142802585409194E-2</v>
      </c>
      <c r="S1122" s="101">
        <f>IF('Net zero activities &amp; levers'!$C$14="Off",'Activity data'!AL52*ManureNEF*NtoN2O*kgtoGg,IF('Net zero activities &amp; levers'!$C$14="On",'Net zero Activity data'!AL52*ManureNEF*NtoN2O*kgtoGg,"ERROR"))</f>
        <v>4.9572730033491622E-2</v>
      </c>
      <c r="T1122" s="101">
        <f>IF('Net zero activities &amp; levers'!$C$14="Off",'Activity data'!AM52*ManureNEF*NtoN2O*kgtoGg,IF('Net zero activities &amp; levers'!$C$14="On",'Net zero Activity data'!AM52*ManureNEF*NtoN2O*kgtoGg,"ERROR"))</f>
        <v>4.9981043911298741E-2</v>
      </c>
      <c r="U1122" s="101">
        <f>IF('Net zero activities &amp; levers'!$C$14="Off",'Activity data'!AN52*ManureNEF*NtoN2O*kgtoGg,IF('Net zero activities &amp; levers'!$C$14="On",'Net zero Activity data'!AN52*ManureNEF*NtoN2O*kgtoGg,"ERROR"))</f>
        <v>5.0355456141490972E-2</v>
      </c>
      <c r="V1122" s="101">
        <f>IF('Net zero activities &amp; levers'!$C$14="Off",'Activity data'!AO52*ManureNEF*NtoN2O*kgtoGg,IF('Net zero activities &amp; levers'!$C$14="On",'Net zero Activity data'!AO52*ManureNEF*NtoN2O*kgtoGg,"ERROR"))</f>
        <v>5.0739353439560694E-2</v>
      </c>
      <c r="W1122" s="101">
        <f>IF('Net zero activities &amp; levers'!$C$14="Off",'Activity data'!AP52*ManureNEF*NtoN2O*kgtoGg,IF('Net zero activities &amp; levers'!$C$14="On",'Net zero Activity data'!AP52*ManureNEF*NtoN2O*kgtoGg,"ERROR"))</f>
        <v>5.1201809957589661E-2</v>
      </c>
      <c r="X1122" s="101">
        <f>IF('Net zero activities &amp; levers'!$C$14="Off",'Activity data'!AQ52*ManureNEF*NtoN2O*kgtoGg,IF('Net zero activities &amp; levers'!$C$14="On",'Net zero Activity data'!AQ52*ManureNEF*NtoN2O*kgtoGg,"ERROR"))</f>
        <v>5.1672944194222255E-2</v>
      </c>
      <c r="Y1122" s="101">
        <f>IF('Net zero activities &amp; levers'!$C$14="Off",'Activity data'!AR52*ManureNEF*NtoN2O*kgtoGg,IF('Net zero activities &amp; levers'!$C$14="On",'Net zero Activity data'!AR52*ManureNEF*NtoN2O*kgtoGg,"ERROR"))</f>
        <v>5.2131696273739363E-2</v>
      </c>
      <c r="Z1122" s="101">
        <f>IF('Net zero activities &amp; levers'!$C$14="Off",'Activity data'!AS52*ManureNEF*NtoN2O*kgtoGg,IF('Net zero activities &amp; levers'!$C$14="On",'Net zero Activity data'!AS52*ManureNEF*NtoN2O*kgtoGg,"ERROR"))</f>
        <v>5.2581270666039896E-2</v>
      </c>
      <c r="AA1122" s="101">
        <f>IF('Net zero activities &amp; levers'!$C$14="Off",'Activity data'!AT52*ManureNEF*NtoN2O*kgtoGg,IF('Net zero activities &amp; levers'!$C$14="On",'Net zero Activity data'!AT52*ManureNEF*NtoN2O*kgtoGg,"ERROR"))</f>
        <v>5.3065511593317877E-2</v>
      </c>
      <c r="AB1122" s="101">
        <f>IF('Net zero activities &amp; levers'!$C$14="Off",'Activity data'!AU52*ManureNEF*NtoN2O*kgtoGg,IF('Net zero activities &amp; levers'!$C$14="On",'Net zero Activity data'!AU52*ManureNEF*NtoN2O*kgtoGg,"ERROR"))</f>
        <v>5.3524078232864716E-2</v>
      </c>
      <c r="AC1122" s="101">
        <f>IF('Net zero activities &amp; levers'!$C$14="Off",'Activity data'!AV52*ManureNEF*NtoN2O*kgtoGg,IF('Net zero activities &amp; levers'!$C$14="On",'Net zero Activity data'!AV52*ManureNEF*NtoN2O*kgtoGg,"ERROR"))</f>
        <v>5.3999093338179975E-2</v>
      </c>
      <c r="AD1122" s="101">
        <f>IF('Net zero activities &amp; levers'!$C$14="Off",'Activity data'!AW52*ManureNEF*NtoN2O*kgtoGg,IF('Net zero activities &amp; levers'!$C$14="On",'Net zero Activity data'!AW52*ManureNEF*NtoN2O*kgtoGg,"ERROR"))</f>
        <v>5.4544842348775345E-2</v>
      </c>
      <c r="AE1122" s="101">
        <f>IF('Net zero activities &amp; levers'!$C$14="Off",'Activity data'!AX52*ManureNEF*NtoN2O*kgtoGg,IF('Net zero activities &amp; levers'!$C$14="On",'Net zero Activity data'!AX52*ManureNEF*NtoN2O*kgtoGg,"ERROR"))</f>
        <v>5.5139220390078653E-2</v>
      </c>
      <c r="AF1122" s="101">
        <f>IF('Net zero activities &amp; levers'!$C$14="Off",'Activity data'!AY52*ManureNEF*NtoN2O*kgtoGg,IF('Net zero activities &amp; levers'!$C$14="On",'Net zero Activity data'!AY52*ManureNEF*NtoN2O*kgtoGg,"ERROR"))</f>
        <v>5.5757190675476007E-2</v>
      </c>
      <c r="AG1122" s="101">
        <f>IF('Net zero activities &amp; levers'!$C$14="Off",'Activity data'!AZ52*ManureNEF*NtoN2O*kgtoGg,IF('Net zero activities &amp; levers'!$C$14="On",'Net zero Activity data'!AZ52*ManureNEF*NtoN2O*kgtoGg,"ERROR"))</f>
        <v>5.5843511680428629E-2</v>
      </c>
      <c r="AH1122" s="101">
        <f>IF('Net zero activities &amp; levers'!$C$14="Off",'Activity data'!BA52*ManureNEF*NtoN2O*kgtoGg,IF('Net zero activities &amp; levers'!$C$14="On",'Net zero Activity data'!BA52*ManureNEF*NtoN2O*kgtoGg,"ERROR"))</f>
        <v>2.9898071317768258E-2</v>
      </c>
      <c r="AI1122" s="101">
        <f>IF('Net zero activities &amp; levers'!$C$14="Off",'Activity data'!BB52*ManureNEF*NtoN2O*kgtoGg,IF('Net zero activities &amp; levers'!$C$14="On",'Net zero Activity data'!BB52*ManureNEF*NtoN2O*kgtoGg,"ERROR"))</f>
        <v>2.9920061166714414E-2</v>
      </c>
      <c r="AJ1122" s="101">
        <f>IF('Net zero activities &amp; levers'!$C$14="Off",'Activity data'!BC52*ManureNEF*NtoN2O*kgtoGg,IF('Net zero activities &amp; levers'!$C$14="On",'Net zero Activity data'!BC52*ManureNEF*NtoN2O*kgtoGg,"ERROR"))</f>
        <v>2.994493964785629E-2</v>
      </c>
      <c r="AK1122" s="101">
        <f>IF('Net zero activities &amp; levers'!$C$14="Off",'Activity data'!BD52*ManureNEF*NtoN2O*kgtoGg,IF('Net zero activities &amp; levers'!$C$14="On",'Net zero Activity data'!BD52*ManureNEF*NtoN2O*kgtoGg,"ERROR"))</f>
        <v>2.9972596965328013E-2</v>
      </c>
      <c r="AL1122" s="101">
        <f>IF('Net zero activities &amp; levers'!$C$14="Off",'Activity data'!BE52*ManureNEF*NtoN2O*kgtoGg,IF('Net zero activities &amp; levers'!$C$14="On",'Net zero Activity data'!BE52*ManureNEF*NtoN2O*kgtoGg,"ERROR"))</f>
        <v>3.0002931779308462E-2</v>
      </c>
      <c r="AM1122" s="101">
        <f>IF('Net zero activities &amp; levers'!$C$14="Off",'Activity data'!BF52*ManureNEF*NtoN2O*kgtoGg,IF('Net zero activities &amp; levers'!$C$14="On",'Net zero Activity data'!BF52*ManureNEF*NtoN2O*kgtoGg,"ERROR"))</f>
        <v>3.0035850404531023E-2</v>
      </c>
      <c r="AN1122" s="101">
        <f>IF('Net zero activities &amp; levers'!$C$14="Off",'Activity data'!BG52*ManureNEF*NtoN2O*kgtoGg,IF('Net zero activities &amp; levers'!$C$14="On",'Net zero Activity data'!BG52*ManureNEF*NtoN2O*kgtoGg,"ERROR"))</f>
        <v>3.0050022856236633E-2</v>
      </c>
      <c r="AO1122" s="101">
        <f>IF('Net zero activities &amp; levers'!$C$14="Off",'Activity data'!BH52*ManureNEF*NtoN2O*kgtoGg,IF('Net zero activities &amp; levers'!$C$14="On",'Net zero Activity data'!BH52*ManureNEF*NtoN2O*kgtoGg,"ERROR"))</f>
        <v>3.0066470709959804E-2</v>
      </c>
      <c r="AP1122" s="101">
        <f>IF('Net zero activities &amp; levers'!$C$14="Off",'Activity data'!BI52*ManureNEF*NtoN2O*kgtoGg,IF('Net zero activities &amp; levers'!$C$14="On",'Net zero Activity data'!BI52*ManureNEF*NtoN2O*kgtoGg,"ERROR"))</f>
        <v>3.0085114492903187E-2</v>
      </c>
      <c r="AQ1122" s="101">
        <f>IF('Net zero activities &amp; levers'!$C$14="Off",'Activity data'!BJ52*ManureNEF*NtoN2O*kgtoGg,IF('Net zero activities &amp; levers'!$C$14="On",'Net zero Activity data'!BJ52*ManureNEF*NtoN2O*kgtoGg,"ERROR"))</f>
        <v>3.0105880155237338E-2</v>
      </c>
      <c r="AR1122" s="101">
        <f>IF('Net zero activities &amp; levers'!$C$14="Off",'Activity data'!BK52*ManureNEF*NtoN2O*kgtoGg,IF('Net zero activities &amp; levers'!$C$14="On",'Net zero Activity data'!BK52*ManureNEF*NtoN2O*kgtoGg,"ERROR"))</f>
        <v>3.0128698609918406E-2</v>
      </c>
      <c r="AS1122" s="101">
        <f>IF('Net zero activities &amp; levers'!$C$14="Off",'Activity data'!BL52*ManureNEF*NtoN2O*kgtoGg,IF('Net zero activities &amp; levers'!$C$14="On",'Net zero Activity data'!BL52*ManureNEF*NtoN2O*kgtoGg,"ERROR"))</f>
        <v>3.0132033172113177E-2</v>
      </c>
      <c r="AT1122" s="101">
        <f>IF('Net zero activities &amp; levers'!$C$14="Off",'Activity data'!BM52*ManureNEF*NtoN2O*kgtoGg,IF('Net zero activities &amp; levers'!$C$14="On",'Net zero Activity data'!BM52*ManureNEF*NtoN2O*kgtoGg,"ERROR"))</f>
        <v>3.0137187585582245E-2</v>
      </c>
      <c r="AU1122" s="101">
        <f>IF('Net zero activities &amp; levers'!$C$14="Off",'Activity data'!BN52*ManureNEF*NtoN2O*kgtoGg,IF('Net zero activities &amp; levers'!$C$14="On",'Net zero Activity data'!BN52*ManureNEF*NtoN2O*kgtoGg,"ERROR"))</f>
        <v>3.0144101531033828E-2</v>
      </c>
      <c r="AV1122" s="101">
        <f>IF('Net zero activities &amp; levers'!$C$14="Off",'Activity data'!BO52*ManureNEF*NtoN2O*kgtoGg,IF('Net zero activities &amp; levers'!$C$14="On",'Net zero Activity data'!BO52*ManureNEF*NtoN2O*kgtoGg,"ERROR"))</f>
        <v>3.0152718363773888E-2</v>
      </c>
      <c r="AW1122" s="101">
        <f>IF('Net zero activities &amp; levers'!$C$14="Off",'Activity data'!BP52*ManureNEF*NtoN2O*kgtoGg,IF('Net zero activities &amp; levers'!$C$14="On",'Net zero Activity data'!BP52*ManureNEF*NtoN2O*kgtoGg,"ERROR"))</f>
        <v>3.0162984831428343E-2</v>
      </c>
      <c r="AY1122" s="85"/>
    </row>
    <row r="1123" spans="1:51" x14ac:dyDescent="0.25">
      <c r="A1123" s="102" t="str">
        <f t="shared" si="374"/>
        <v>CM Organic</v>
      </c>
      <c r="B1123" s="102" t="s">
        <v>1323</v>
      </c>
      <c r="C1123" s="102" t="s">
        <v>1128</v>
      </c>
      <c r="D1123" t="s">
        <v>369</v>
      </c>
      <c r="E1123" t="s">
        <v>55</v>
      </c>
      <c r="F1123" t="s">
        <v>421</v>
      </c>
      <c r="G1123" t="s">
        <v>1159</v>
      </c>
      <c r="H1123" t="s">
        <v>1160</v>
      </c>
      <c r="I1123" t="s">
        <v>139</v>
      </c>
      <c r="J1123" t="s">
        <v>287</v>
      </c>
      <c r="K1123" s="101">
        <f>IF('Net zero activities &amp; levers'!$C$14="Off",'Activity data'!AD53*ManureNEF*NtoN2O*kgtoGg,IF('Net zero activities &amp; levers'!$C$14="On",'Net zero Activity data'!AD53*ManureNEF*NtoN2O*kgtoGg,"ERROR"))</f>
        <v>0.40352425177353124</v>
      </c>
      <c r="L1123" s="101">
        <f>IF('Net zero activities &amp; levers'!$C$14="Off",'Activity data'!AE53*ManureNEF*NtoN2O*kgtoGg,IF('Net zero activities &amp; levers'!$C$14="On",'Net zero Activity data'!AE53*ManureNEF*NtoN2O*kgtoGg,"ERROR"))</f>
        <v>0.40084951633384258</v>
      </c>
      <c r="M1123" s="101">
        <f>IF('Net zero activities &amp; levers'!$C$14="Off",'Activity data'!AF53*ManureNEF*NtoN2O*kgtoGg,IF('Net zero activities &amp; levers'!$C$14="On",'Net zero Activity data'!AF53*ManureNEF*NtoN2O*kgtoGg,"ERROR"))</f>
        <v>0.39521001590024774</v>
      </c>
      <c r="N1123" s="101">
        <f>IF('Net zero activities &amp; levers'!$C$14="Off",'Activity data'!AG53*ManureNEF*NtoN2O*kgtoGg,IF('Net zero activities &amp; levers'!$C$14="On",'Net zero Activity data'!AG53*ManureNEF*NtoN2O*kgtoGg,"ERROR"))</f>
        <v>0.3857038563965185</v>
      </c>
      <c r="O1123" s="101">
        <f>IF('Net zero activities &amp; levers'!$C$14="Off",'Activity data'!AH53*ManureNEF*NtoN2O*kgtoGg,IF('Net zero activities &amp; levers'!$C$14="On",'Net zero Activity data'!AH53*ManureNEF*NtoN2O*kgtoGg,"ERROR"))</f>
        <v>0.37648074986973956</v>
      </c>
      <c r="P1123" s="101">
        <f>IF('Net zero activities &amp; levers'!$C$14="Off",'Activity data'!AI53*ManureNEF*NtoN2O*kgtoGg,IF('Net zero activities &amp; levers'!$C$14="On",'Net zero Activity data'!AI53*ManureNEF*NtoN2O*kgtoGg,"ERROR"))</f>
        <v>0.36938688643597767</v>
      </c>
      <c r="Q1123" s="101">
        <f>IF('Net zero activities &amp; levers'!$C$14="Off",'Activity data'!AJ53*ManureNEF*NtoN2O*kgtoGg,IF('Net zero activities &amp; levers'!$C$14="On",'Net zero Activity data'!AJ53*ManureNEF*NtoN2O*kgtoGg,"ERROR"))</f>
        <v>0.36297043234615178</v>
      </c>
      <c r="R1123" s="101">
        <f>IF('Net zero activities &amp; levers'!$C$14="Off",'Activity data'!AK53*ManureNEF*NtoN2O*kgtoGg,IF('Net zero activities &amp; levers'!$C$14="On",'Net zero Activity data'!AK53*ManureNEF*NtoN2O*kgtoGg,"ERROR"))</f>
        <v>0.35288211799047686</v>
      </c>
      <c r="S1123" s="101">
        <f>IF('Net zero activities &amp; levers'!$C$14="Off",'Activity data'!AL53*ManureNEF*NtoN2O*kgtoGg,IF('Net zero activities &amp; levers'!$C$14="On",'Net zero Activity data'!AL53*ManureNEF*NtoN2O*kgtoGg,"ERROR"))</f>
        <v>0.30949900697043298</v>
      </c>
      <c r="T1123" s="101">
        <f>IF('Net zero activities &amp; levers'!$C$14="Off",'Activity data'!AM53*ManureNEF*NtoN2O*kgtoGg,IF('Net zero activities &amp; levers'!$C$14="On",'Net zero Activity data'!AM53*ManureNEF*NtoN2O*kgtoGg,"ERROR"))</f>
        <v>0.31244902874448233</v>
      </c>
      <c r="U1123" s="101">
        <f>IF('Net zero activities &amp; levers'!$C$14="Off",'Activity data'!AN53*ManureNEF*NtoN2O*kgtoGg,IF('Net zero activities &amp; levers'!$C$14="On",'Net zero Activity data'!AN53*ManureNEF*NtoN2O*kgtoGg,"ERROR"))</f>
        <v>0.31444522818952964</v>
      </c>
      <c r="V1123" s="101">
        <f>IF('Net zero activities &amp; levers'!$C$14="Off",'Activity data'!AO53*ManureNEF*NtoN2O*kgtoGg,IF('Net zero activities &amp; levers'!$C$14="On",'Net zero Activity data'!AO53*ManureNEF*NtoN2O*kgtoGg,"ERROR"))</f>
        <v>0.31637649984131477</v>
      </c>
      <c r="W1123" s="101">
        <f>IF('Net zero activities &amp; levers'!$C$14="Off",'Activity data'!AP53*ManureNEF*NtoN2O*kgtoGg,IF('Net zero activities &amp; levers'!$C$14="On",'Net zero Activity data'!AP53*ManureNEF*NtoN2O*kgtoGg,"ERROR"))</f>
        <v>0.31957035863343569</v>
      </c>
      <c r="X1123" s="101">
        <f>IF('Net zero activities &amp; levers'!$C$14="Off",'Activity data'!AQ53*ManureNEF*NtoN2O*kgtoGg,IF('Net zero activities &amp; levers'!$C$14="On",'Net zero Activity data'!AQ53*ManureNEF*NtoN2O*kgtoGg,"ERROR"))</f>
        <v>0.32265895567955921</v>
      </c>
      <c r="Y1123" s="101">
        <f>IF('Net zero activities &amp; levers'!$C$14="Off",'Activity data'!AR53*ManureNEF*NtoN2O*kgtoGg,IF('Net zero activities &amp; levers'!$C$14="On",'Net zero Activity data'!AR53*ManureNEF*NtoN2O*kgtoGg,"ERROR"))</f>
        <v>0.32590151896633945</v>
      </c>
      <c r="Z1123" s="101">
        <f>IF('Net zero activities &amp; levers'!$C$14="Off",'Activity data'!AS53*ManureNEF*NtoN2O*kgtoGg,IF('Net zero activities &amp; levers'!$C$14="On",'Net zero Activity data'!AS53*ManureNEF*NtoN2O*kgtoGg,"ERROR"))</f>
        <v>0.32872445709091741</v>
      </c>
      <c r="AA1123" s="101">
        <f>IF('Net zero activities &amp; levers'!$C$14="Off",'Activity data'!AT53*ManureNEF*NtoN2O*kgtoGg,IF('Net zero activities &amp; levers'!$C$14="On",'Net zero Activity data'!AT53*ManureNEF*NtoN2O*kgtoGg,"ERROR"))</f>
        <v>0.33193734347454801</v>
      </c>
      <c r="AB1123" s="101">
        <f>IF('Net zero activities &amp; levers'!$C$14="Off",'Activity data'!AU53*ManureNEF*NtoN2O*kgtoGg,IF('Net zero activities &amp; levers'!$C$14="On",'Net zero Activity data'!AU53*ManureNEF*NtoN2O*kgtoGg,"ERROR"))</f>
        <v>0.33445153592828769</v>
      </c>
      <c r="AC1123" s="101">
        <f>IF('Net zero activities &amp; levers'!$C$14="Off",'Activity data'!AV53*ManureNEF*NtoN2O*kgtoGg,IF('Net zero activities &amp; levers'!$C$14="On",'Net zero Activity data'!AV53*ManureNEF*NtoN2O*kgtoGg,"ERROR"))</f>
        <v>0.33703471359982889</v>
      </c>
      <c r="AD1123" s="101">
        <f>IF('Net zero activities &amp; levers'!$C$14="Off",'Activity data'!AW53*ManureNEF*NtoN2O*kgtoGg,IF('Net zero activities &amp; levers'!$C$14="On",'Net zero Activity data'!AW53*ManureNEF*NtoN2O*kgtoGg,"ERROR"))</f>
        <v>0.3382378632765542</v>
      </c>
      <c r="AE1123" s="101">
        <f>IF('Net zero activities &amp; levers'!$C$14="Off",'Activity data'!AX53*ManureNEF*NtoN2O*kgtoGg,IF('Net zero activities &amp; levers'!$C$14="On",'Net zero Activity data'!AX53*ManureNEF*NtoN2O*kgtoGg,"ERROR"))</f>
        <v>0.33988762558713326</v>
      </c>
      <c r="AF1123" s="101">
        <f>IF('Net zero activities &amp; levers'!$C$14="Off",'Activity data'!AY53*ManureNEF*NtoN2O*kgtoGg,IF('Net zero activities &amp; levers'!$C$14="On",'Net zero Activity data'!AY53*ManureNEF*NtoN2O*kgtoGg,"ERROR"))</f>
        <v>0.34153102086249887</v>
      </c>
      <c r="AG1123" s="101">
        <f>IF('Net zero activities &amp; levers'!$C$14="Off",'Activity data'!AZ53*ManureNEF*NtoN2O*kgtoGg,IF('Net zero activities &amp; levers'!$C$14="On",'Net zero Activity data'!AZ53*ManureNEF*NtoN2O*kgtoGg,"ERROR"))</f>
        <v>0.33428783362296566</v>
      </c>
      <c r="AH1123" s="101">
        <f>IF('Net zero activities &amp; levers'!$C$14="Off",'Activity data'!BA53*ManureNEF*NtoN2O*kgtoGg,IF('Net zero activities &amp; levers'!$C$14="On",'Net zero Activity data'!BA53*ManureNEF*NtoN2O*kgtoGg,"ERROR"))</f>
        <v>-7.8853876190349073E-2</v>
      </c>
      <c r="AI1123" s="101">
        <f>IF('Net zero activities &amp; levers'!$C$14="Off",'Activity data'!BB53*ManureNEF*NtoN2O*kgtoGg,IF('Net zero activities &amp; levers'!$C$14="On",'Net zero Activity data'!BB53*ManureNEF*NtoN2O*kgtoGg,"ERROR"))</f>
        <v>-7.7024740515349702E-2</v>
      </c>
      <c r="AJ1123" s="101">
        <f>IF('Net zero activities &amp; levers'!$C$14="Off",'Activity data'!BC53*ManureNEF*NtoN2O*kgtoGg,IF('Net zero activities &amp; levers'!$C$14="On",'Net zero Activity data'!BC53*ManureNEF*NtoN2O*kgtoGg,"ERROR"))</f>
        <v>-7.5224693837810969E-2</v>
      </c>
      <c r="AK1123" s="101">
        <f>IF('Net zero activities &amp; levers'!$C$14="Off",'Activity data'!BD53*ManureNEF*NtoN2O*kgtoGg,IF('Net zero activities &amp; levers'!$C$14="On",'Net zero Activity data'!BD53*ManureNEF*NtoN2O*kgtoGg,"ERROR"))</f>
        <v>-7.3452212631802502E-2</v>
      </c>
      <c r="AL1123" s="101">
        <f>IF('Net zero activities &amp; levers'!$C$14="Off",'Activity data'!BE53*ManureNEF*NtoN2O*kgtoGg,IF('Net zero activities &amp; levers'!$C$14="On",'Net zero Activity data'!BE53*ManureNEF*NtoN2O*kgtoGg,"ERROR"))</f>
        <v>-7.1705878701856365E-2</v>
      </c>
      <c r="AM1123" s="101">
        <f>IF('Net zero activities &amp; levers'!$C$14="Off",'Activity data'!BF53*ManureNEF*NtoN2O*kgtoGg,IF('Net zero activities &amp; levers'!$C$14="On",'Net zero Activity data'!BF53*ManureNEF*NtoN2O*kgtoGg,"ERROR"))</f>
        <v>-6.9984369422605414E-2</v>
      </c>
      <c r="AN1123" s="101">
        <f>IF('Net zero activities &amp; levers'!$C$14="Off",'Activity data'!BG53*ManureNEF*NtoN2O*kgtoGg,IF('Net zero activities &amp; levers'!$C$14="On",'Net zero Activity data'!BG53*ManureNEF*NtoN2O*kgtoGg,"ERROR"))</f>
        <v>-6.8588614819976648E-2</v>
      </c>
      <c r="AO1123" s="101">
        <f>IF('Net zero activities &amp; levers'!$C$14="Off",'Activity data'!BH53*ManureNEF*NtoN2O*kgtoGg,IF('Net zero activities &amp; levers'!$C$14="On",'Net zero Activity data'!BH53*ManureNEF*NtoN2O*kgtoGg,"ERROR"))</f>
        <v>-6.7213941404815583E-2</v>
      </c>
      <c r="AP1123" s="101">
        <f>IF('Net zero activities &amp; levers'!$C$14="Off",'Activity data'!BI53*ManureNEF*NtoN2O*kgtoGg,IF('Net zero activities &amp; levers'!$C$14="On",'Net zero Activity data'!BI53*ManureNEF*NtoN2O*kgtoGg,"ERROR"))</f>
        <v>-6.5859393882214817E-2</v>
      </c>
      <c r="AQ1123" s="101">
        <f>IF('Net zero activities &amp; levers'!$C$14="Off",'Activity data'!BJ53*ManureNEF*NtoN2O*kgtoGg,IF('Net zero activities &amp; levers'!$C$14="On",'Net zero Activity data'!BJ53*ManureNEF*NtoN2O*kgtoGg,"ERROR"))</f>
        <v>-6.45240763716773E-2</v>
      </c>
      <c r="AR1123" s="101">
        <f>IF('Net zero activities &amp; levers'!$C$14="Off",'Activity data'!BK53*ManureNEF*NtoN2O*kgtoGg,IF('Net zero activities &amp; levers'!$C$14="On",'Net zero Activity data'!BK53*ManureNEF*NtoN2O*kgtoGg,"ERROR"))</f>
        <v>-6.3207147480680487E-2</v>
      </c>
      <c r="AS1123" s="101">
        <f>IF('Net zero activities &amp; levers'!$C$14="Off",'Activity data'!BL53*ManureNEF*NtoN2O*kgtoGg,IF('Net zero activities &amp; levers'!$C$14="On",'Net zero Activity data'!BL53*ManureNEF*NtoN2O*kgtoGg,"ERROR"))</f>
        <v>-6.1865741273458848E-2</v>
      </c>
      <c r="AT1123" s="101">
        <f>IF('Net zero activities &amp; levers'!$C$14="Off",'Activity data'!BM53*ManureNEF*NtoN2O*kgtoGg,IF('Net zero activities &amp; levers'!$C$14="On",'Net zero Activity data'!BM53*ManureNEF*NtoN2O*kgtoGg,"ERROR"))</f>
        <v>-6.054278111227946E-2</v>
      </c>
      <c r="AU1123" s="101">
        <f>IF('Net zero activities &amp; levers'!$C$14="Off",'Activity data'!BN53*ManureNEF*NtoN2O*kgtoGg,IF('Net zero activities &amp; levers'!$C$14="On",'Net zero Activity data'!BN53*ManureNEF*NtoN2O*kgtoGg,"ERROR"))</f>
        <v>-5.9237541358355558E-2</v>
      </c>
      <c r="AV1123" s="101">
        <f>IF('Net zero activities &amp; levers'!$C$14="Off",'Activity data'!BO53*ManureNEF*NtoN2O*kgtoGg,IF('Net zero activities &amp; levers'!$C$14="On",'Net zero Activity data'!BO53*ManureNEF*NtoN2O*kgtoGg,"ERROR"))</f>
        <v>-5.7949337141593796E-2</v>
      </c>
      <c r="AW1123" s="101">
        <f>IF('Net zero activities &amp; levers'!$C$14="Off",'Activity data'!BP53*ManureNEF*NtoN2O*kgtoGg,IF('Net zero activities &amp; levers'!$C$14="On",'Net zero Activity data'!BP53*ManureNEF*NtoN2O*kgtoGg,"ERROR"))</f>
        <v>-5.667752131406488E-2</v>
      </c>
      <c r="AY1123" s="85"/>
    </row>
    <row r="1124" spans="1:51" x14ac:dyDescent="0.25">
      <c r="A1124" s="102" t="str">
        <f t="shared" si="374"/>
        <v>CM Organic</v>
      </c>
      <c r="B1124" s="102" t="s">
        <v>1323</v>
      </c>
      <c r="C1124" s="102" t="s">
        <v>1128</v>
      </c>
      <c r="D1124" t="s">
        <v>369</v>
      </c>
      <c r="E1124" t="s">
        <v>55</v>
      </c>
      <c r="F1124" t="s">
        <v>421</v>
      </c>
      <c r="G1124" t="s">
        <v>1161</v>
      </c>
      <c r="H1124" t="s">
        <v>1162</v>
      </c>
      <c r="I1124" t="s">
        <v>139</v>
      </c>
      <c r="J1124" t="s">
        <v>287</v>
      </c>
      <c r="K1124" s="101">
        <f>IF('Net zero activities &amp; levers'!$C$14="Off",'Activity data'!AD54*ManureNEF*NtoN2O*kgtoGg,IF('Net zero activities &amp; levers'!$C$14="On",'Net zero Activity data'!AD54*ManureNEF*NtoN2O*kgtoGg,"ERROR"))</f>
        <v>2.6837391724620612</v>
      </c>
      <c r="L1124" s="101">
        <f>IF('Net zero activities &amp; levers'!$C$14="Off",'Activity data'!AE54*ManureNEF*NtoN2O*kgtoGg,IF('Net zero activities &amp; levers'!$C$14="On",'Net zero Activity data'!AE54*ManureNEF*NtoN2O*kgtoGg,"ERROR"))</f>
        <v>2.6659501740464377</v>
      </c>
      <c r="M1124" s="101">
        <f>IF('Net zero activities &amp; levers'!$C$14="Off",'Activity data'!AF54*ManureNEF*NtoN2O*kgtoGg,IF('Net zero activities &amp; levers'!$C$14="On",'Net zero Activity data'!AF54*ManureNEF*NtoN2O*kgtoGg,"ERROR"))</f>
        <v>2.6284432629742147</v>
      </c>
      <c r="N1124" s="101">
        <f>IF('Net zero activities &amp; levers'!$C$14="Off",'Activity data'!AG54*ManureNEF*NtoN2O*kgtoGg,IF('Net zero activities &amp; levers'!$C$14="On",'Net zero Activity data'!AG54*ManureNEF*NtoN2O*kgtoGg,"ERROR"))</f>
        <v>2.5652201666480274</v>
      </c>
      <c r="O1124" s="101">
        <f>IF('Net zero activities &amp; levers'!$C$14="Off",'Activity data'!AH54*ManureNEF*NtoN2O*kgtoGg,IF('Net zero activities &amp; levers'!$C$14="On",'Net zero Activity data'!AH54*ManureNEF*NtoN2O*kgtoGg,"ERROR"))</f>
        <v>2.5038795850871476</v>
      </c>
      <c r="P1124" s="101">
        <f>IF('Net zero activities &amp; levers'!$C$14="Off",'Activity data'!AI54*ManureNEF*NtoN2O*kgtoGg,IF('Net zero activities &amp; levers'!$C$14="On",'Net zero Activity data'!AI54*ManureNEF*NtoN2O*kgtoGg,"ERROR"))</f>
        <v>2.4567000683725801</v>
      </c>
      <c r="Q1124" s="101">
        <f>IF('Net zero activities &amp; levers'!$C$14="Off",'Activity data'!AJ54*ManureNEF*NtoN2O*kgtoGg,IF('Net zero activities &amp; levers'!$C$14="On",'Net zero Activity data'!AJ54*ManureNEF*NtoN2O*kgtoGg,"ERROR"))</f>
        <v>2.414025832280235</v>
      </c>
      <c r="R1124" s="101">
        <f>IF('Net zero activities &amp; levers'!$C$14="Off",'Activity data'!AK54*ManureNEF*NtoN2O*kgtoGg,IF('Net zero activities &amp; levers'!$C$14="On",'Net zero Activity data'!AK54*ManureNEF*NtoN2O*kgtoGg,"ERROR"))</f>
        <v>2.3469309692046179</v>
      </c>
      <c r="S1124" s="101">
        <f>IF('Net zero activities &amp; levers'!$C$14="Off",'Activity data'!AL54*ManureNEF*NtoN2O*kgtoGg,IF('Net zero activities &amp; levers'!$C$14="On",'Net zero Activity data'!AL54*ManureNEF*NtoN2O*kgtoGg,"ERROR"))</f>
        <v>2.0584007161751039</v>
      </c>
      <c r="T1124" s="101">
        <f>IF('Net zero activities &amp; levers'!$C$14="Off",'Activity data'!AM54*ManureNEF*NtoN2O*kgtoGg,IF('Net zero activities &amp; levers'!$C$14="On",'Net zero Activity data'!AM54*ManureNEF*NtoN2O*kgtoGg,"ERROR"))</f>
        <v>2.0780205753529248</v>
      </c>
      <c r="U1124" s="101">
        <f>IF('Net zero activities &amp; levers'!$C$14="Off",'Activity data'!AN54*ManureNEF*NtoN2O*kgtoGg,IF('Net zero activities &amp; levers'!$C$14="On",'Net zero Activity data'!AN54*ManureNEF*NtoN2O*kgtoGg,"ERROR"))</f>
        <v>2.0912968000734335</v>
      </c>
      <c r="V1124" s="101">
        <f>IF('Net zero activities &amp; levers'!$C$14="Off",'Activity data'!AO54*ManureNEF*NtoN2O*kgtoGg,IF('Net zero activities &amp; levers'!$C$14="On",'Net zero Activity data'!AO54*ManureNEF*NtoN2O*kgtoGg,"ERROR"))</f>
        <v>2.1041412062318772</v>
      </c>
      <c r="W1124" s="101">
        <f>IF('Net zero activities &amp; levers'!$C$14="Off",'Activity data'!AP54*ManureNEF*NtoN2O*kgtoGg,IF('Net zero activities &amp; levers'!$C$14="On",'Net zero Activity data'!AP54*ManureNEF*NtoN2O*kgtoGg,"ERROR"))</f>
        <v>2.125382764611714</v>
      </c>
      <c r="X1124" s="101">
        <f>IF('Net zero activities &amp; levers'!$C$14="Off",'Activity data'!AQ54*ManureNEF*NtoN2O*kgtoGg,IF('Net zero activities &amp; levers'!$C$14="On",'Net zero Activity data'!AQ54*ManureNEF*NtoN2O*kgtoGg,"ERROR"))</f>
        <v>2.1459242533678449</v>
      </c>
      <c r="Y1124" s="101">
        <f>IF('Net zero activities &amp; levers'!$C$14="Off",'Activity data'!AR54*ManureNEF*NtoN2O*kgtoGg,IF('Net zero activities &amp; levers'!$C$14="On",'Net zero Activity data'!AR54*ManureNEF*NtoN2O*kgtoGg,"ERROR"))</f>
        <v>2.1674897331963128</v>
      </c>
      <c r="Z1124" s="101">
        <f>IF('Net zero activities &amp; levers'!$C$14="Off",'Activity data'!AS54*ManureNEF*NtoN2O*kgtoGg,IF('Net zero activities &amp; levers'!$C$14="On",'Net zero Activity data'!AS54*ManureNEF*NtoN2O*kgtoGg,"ERROR"))</f>
        <v>2.1862643907121093</v>
      </c>
      <c r="AA1124" s="101">
        <f>IF('Net zero activities &amp; levers'!$C$14="Off",'Activity data'!AT54*ManureNEF*NtoN2O*kgtoGg,IF('Net zero activities &amp; levers'!$C$14="On",'Net zero Activity data'!AT54*ManureNEF*NtoN2O*kgtoGg,"ERROR"))</f>
        <v>2.2076324968582024</v>
      </c>
      <c r="AB1124" s="101">
        <f>IF('Net zero activities &amp; levers'!$C$14="Off",'Activity data'!AU54*ManureNEF*NtoN2O*kgtoGg,IF('Net zero activities &amp; levers'!$C$14="On",'Net zero Activity data'!AU54*ManureNEF*NtoN2O*kgtoGg,"ERROR"))</f>
        <v>2.2243537639085806</v>
      </c>
      <c r="AC1124" s="101">
        <f>IF('Net zero activities &amp; levers'!$C$14="Off",'Activity data'!AV54*ManureNEF*NtoN2O*kgtoGg,IF('Net zero activities &amp; levers'!$C$14="On",'Net zero Activity data'!AV54*ManureNEF*NtoN2O*kgtoGg,"ERROR"))</f>
        <v>2.2415338344398443</v>
      </c>
      <c r="AD1124" s="101">
        <f>IF('Net zero activities &amp; levers'!$C$14="Off",'Activity data'!AW54*ManureNEF*NtoN2O*kgtoGg,IF('Net zero activities &amp; levers'!$C$14="On",'Net zero Activity data'!AW54*ManureNEF*NtoN2O*kgtoGg,"ERROR"))</f>
        <v>2.2495356829125717</v>
      </c>
      <c r="AE1124" s="101">
        <f>IF('Net zero activities &amp; levers'!$C$14="Off",'Activity data'!AX54*ManureNEF*NtoN2O*kgtoGg,IF('Net zero activities &amp; levers'!$C$14="On",'Net zero Activity data'!AX54*ManureNEF*NtoN2O*kgtoGg,"ERROR"))</f>
        <v>2.2605078406421084</v>
      </c>
      <c r="AF1124" s="101">
        <f>IF('Net zero activities &amp; levers'!$C$14="Off",'Activity data'!AY54*ManureNEF*NtoN2O*kgtoGg,IF('Net zero activities &amp; levers'!$C$14="On",'Net zero Activity data'!AY54*ManureNEF*NtoN2O*kgtoGg,"ERROR"))</f>
        <v>2.2714376528081774</v>
      </c>
      <c r="AG1124" s="101">
        <f>IF('Net zero activities &amp; levers'!$C$14="Off",'Activity data'!AZ54*ManureNEF*NtoN2O*kgtoGg,IF('Net zero activities &amp; levers'!$C$14="On",'Net zero Activity data'!AZ54*ManureNEF*NtoN2O*kgtoGg,"ERROR"))</f>
        <v>2.2232650206980202</v>
      </c>
      <c r="AH1124" s="101">
        <f>IF('Net zero activities &amp; levers'!$C$14="Off",'Activity data'!BA54*ManureNEF*NtoN2O*kgtoGg,IF('Net zero activities &amp; levers'!$C$14="On",'Net zero Activity data'!BA54*ManureNEF*NtoN2O*kgtoGg,"ERROR"))</f>
        <v>-0.52443746689921866</v>
      </c>
      <c r="AI1124" s="101">
        <f>IF('Net zero activities &amp; levers'!$C$14="Off",'Activity data'!BB54*ManureNEF*NtoN2O*kgtoGg,IF('Net zero activities &amp; levers'!$C$14="On",'Net zero Activity data'!BB54*ManureNEF*NtoN2O*kgtoGg,"ERROR"))</f>
        <v>-0.51227234165292079</v>
      </c>
      <c r="AJ1124" s="101">
        <f>IF('Net zero activities &amp; levers'!$C$14="Off",'Activity data'!BC54*ManureNEF*NtoN2O*kgtoGg,IF('Net zero activities &amp; levers'!$C$14="On",'Net zero Activity data'!BC54*ManureNEF*NtoN2O*kgtoGg,"ERROR"))</f>
        <v>-0.50030068007486495</v>
      </c>
      <c r="AK1124" s="101">
        <f>IF('Net zero activities &amp; levers'!$C$14="Off",'Activity data'!BD54*ManureNEF*NtoN2O*kgtoGg,IF('Net zero activities &amp; levers'!$C$14="On",'Net zero Activity data'!BD54*ManureNEF*NtoN2O*kgtoGg,"ERROR"))</f>
        <v>-0.48851234957400724</v>
      </c>
      <c r="AL1124" s="101">
        <f>IF('Net zero activities &amp; levers'!$C$14="Off",'Activity data'!BE54*ManureNEF*NtoN2O*kgtoGg,IF('Net zero activities &amp; levers'!$C$14="On",'Net zero Activity data'!BE54*ManureNEF*NtoN2O*kgtoGg,"ERROR"))</f>
        <v>-0.47689791808594317</v>
      </c>
      <c r="AM1124" s="101">
        <f>IF('Net zero activities &amp; levers'!$C$14="Off",'Activity data'!BF54*ManureNEF*NtoN2O*kgtoGg,IF('Net zero activities &amp; levers'!$C$14="On",'Net zero Activity data'!BF54*ManureNEF*NtoN2O*kgtoGg,"ERROR"))</f>
        <v>-0.46544858915917614</v>
      </c>
      <c r="AN1124" s="101">
        <f>IF('Net zero activities &amp; levers'!$C$14="Off",'Activity data'!BG54*ManureNEF*NtoN2O*kgtoGg,IF('Net zero activities &amp; levers'!$C$14="On",'Net zero Activity data'!BG54*ManureNEF*NtoN2O*kgtoGg,"ERROR"))</f>
        <v>-0.45616577335379221</v>
      </c>
      <c r="AO1124" s="101">
        <f>IF('Net zero activities &amp; levers'!$C$14="Off",'Activity data'!BH54*ManureNEF*NtoN2O*kgtoGg,IF('Net zero activities &amp; levers'!$C$14="On",'Net zero Activity data'!BH54*ManureNEF*NtoN2O*kgtoGg,"ERROR"))</f>
        <v>-0.44702316326928004</v>
      </c>
      <c r="AP1124" s="101">
        <f>IF('Net zero activities &amp; levers'!$C$14="Off",'Activity data'!BI54*ManureNEF*NtoN2O*kgtoGg,IF('Net zero activities &amp; levers'!$C$14="On",'Net zero Activity data'!BI54*ManureNEF*NtoN2O*kgtoGg,"ERROR"))</f>
        <v>-0.4380144054774302</v>
      </c>
      <c r="AQ1124" s="101">
        <f>IF('Net zero activities &amp; levers'!$C$14="Off",'Activity data'!BJ54*ManureNEF*NtoN2O*kgtoGg,IF('Net zero activities &amp; levers'!$C$14="On",'Net zero Activity data'!BJ54*ManureNEF*NtoN2O*kgtoGg,"ERROR"))</f>
        <v>-0.4291335417004612</v>
      </c>
      <c r="AR1124" s="101">
        <f>IF('Net zero activities &amp; levers'!$C$14="Off",'Activity data'!BK54*ManureNEF*NtoN2O*kgtoGg,IF('Net zero activities &amp; levers'!$C$14="On",'Net zero Activity data'!BK54*ManureNEF*NtoN2O*kgtoGg,"ERROR"))</f>
        <v>-0.42037497604652191</v>
      </c>
      <c r="AS1124" s="101">
        <f>IF('Net zero activities &amp; levers'!$C$14="Off",'Activity data'!BL54*ManureNEF*NtoN2O*kgtoGg,IF('Net zero activities &amp; levers'!$C$14="On",'Net zero Activity data'!BL54*ManureNEF*NtoN2O*kgtoGg,"ERROR"))</f>
        <v>-0.41145361786623369</v>
      </c>
      <c r="AT1124" s="101">
        <f>IF('Net zero activities &amp; levers'!$C$14="Off",'Activity data'!BM54*ManureNEF*NtoN2O*kgtoGg,IF('Net zero activities &amp; levers'!$C$14="On",'Net zero Activity data'!BM54*ManureNEF*NtoN2O*kgtoGg,"ERROR"))</f>
        <v>-0.40265493973831684</v>
      </c>
      <c r="AU1124" s="101">
        <f>IF('Net zero activities &amp; levers'!$C$14="Off",'Activity data'!BN54*ManureNEF*NtoN2O*kgtoGg,IF('Net zero activities &amp; levers'!$C$14="On",'Net zero Activity data'!BN54*ManureNEF*NtoN2O*kgtoGg,"ERROR"))</f>
        <v>-0.3939741156201515</v>
      </c>
      <c r="AV1124" s="101">
        <f>IF('Net zero activities &amp; levers'!$C$14="Off",'Activity data'!BO54*ManureNEF*NtoN2O*kgtoGg,IF('Net zero activities &amp; levers'!$C$14="On",'Net zero Activity data'!BO54*ManureNEF*NtoN2O*kgtoGg,"ERROR"))</f>
        <v>-0.38540659061153143</v>
      </c>
      <c r="AW1124" s="101">
        <f>IF('Net zero activities &amp; levers'!$C$14="Off",'Activity data'!BP54*ManureNEF*NtoN2O*kgtoGg,IF('Net zero activities &amp; levers'!$C$14="On",'Net zero Activity data'!BP54*ManureNEF*NtoN2O*kgtoGg,"ERROR"))</f>
        <v>-0.37694806069295739</v>
      </c>
      <c r="AY1124" s="85"/>
    </row>
    <row r="1125" spans="1:51" x14ac:dyDescent="0.25">
      <c r="A1125" s="102" t="str">
        <f t="shared" si="374"/>
        <v>CM Organic</v>
      </c>
      <c r="B1125" s="102" t="s">
        <v>1323</v>
      </c>
      <c r="C1125" s="102" t="s">
        <v>1128</v>
      </c>
      <c r="D1125" t="s">
        <v>369</v>
      </c>
      <c r="E1125" t="s">
        <v>55</v>
      </c>
      <c r="F1125" t="s">
        <v>421</v>
      </c>
      <c r="G1125" t="s">
        <v>1163</v>
      </c>
      <c r="H1125" t="s">
        <v>1164</v>
      </c>
      <c r="I1125" t="s">
        <v>139</v>
      </c>
      <c r="J1125" t="s">
        <v>287</v>
      </c>
      <c r="K1125" s="101">
        <f>IF('Net zero activities &amp; levers'!$C$14="Off",'Activity data'!AD55*ManureNEF*NtoN2O*kgtoGg,IF('Net zero activities &amp; levers'!$C$14="On",'Net zero Activity data'!AD55*ManureNEF*NtoN2O*kgtoGg,"ERROR"))</f>
        <v>0.34546247453096907</v>
      </c>
      <c r="L1125" s="101">
        <f>IF('Net zero activities &amp; levers'!$C$14="Off",'Activity data'!AE55*ManureNEF*NtoN2O*kgtoGg,IF('Net zero activities &amp; levers'!$C$14="On",'Net zero Activity data'!AE55*ManureNEF*NtoN2O*kgtoGg,"ERROR"))</f>
        <v>0.35776618085714956</v>
      </c>
      <c r="M1125" s="101">
        <f>IF('Net zero activities &amp; levers'!$C$14="Off",'Activity data'!AF55*ManureNEF*NtoN2O*kgtoGg,IF('Net zero activities &amp; levers'!$C$14="On",'Net zero Activity data'!AF55*ManureNEF*NtoN2O*kgtoGg,"ERROR"))</f>
        <v>0.36753197290523232</v>
      </c>
      <c r="N1125" s="101">
        <f>IF('Net zero activities &amp; levers'!$C$14="Off",'Activity data'!AG55*ManureNEF*NtoN2O*kgtoGg,IF('Net zero activities &amp; levers'!$C$14="On",'Net zero Activity data'!AG55*ManureNEF*NtoN2O*kgtoGg,"ERROR"))</f>
        <v>0.37357124020109944</v>
      </c>
      <c r="O1125" s="101">
        <f>IF('Net zero activities &amp; levers'!$C$14="Off",'Activity data'!AH55*ManureNEF*NtoN2O*kgtoGg,IF('Net zero activities &amp; levers'!$C$14="On",'Net zero Activity data'!AH55*ManureNEF*NtoN2O*kgtoGg,"ERROR"))</f>
        <v>0.37962311486925576</v>
      </c>
      <c r="P1125" s="101">
        <f>IF('Net zero activities &amp; levers'!$C$14="Off",'Activity data'!AI55*ManureNEF*NtoN2O*kgtoGg,IF('Net zero activities &amp; levers'!$C$14="On",'Net zero Activity data'!AI55*ManureNEF*NtoN2O*kgtoGg,"ERROR"))</f>
        <v>0.38765990463300043</v>
      </c>
      <c r="Q1125" s="101">
        <f>IF('Net zero activities &amp; levers'!$C$14="Off",'Activity data'!AJ55*ManureNEF*NtoN2O*kgtoGg,IF('Net zero activities &amp; levers'!$C$14="On",'Net zero Activity data'!AJ55*ManureNEF*NtoN2O*kgtoGg,"ERROR"))</f>
        <v>0.39636651112291715</v>
      </c>
      <c r="R1125" s="101">
        <f>IF('Net zero activities &amp; levers'!$C$14="Off",'Activity data'!AK55*ManureNEF*NtoN2O*kgtoGg,IF('Net zero activities &amp; levers'!$C$14="On",'Net zero Activity data'!AK55*ManureNEF*NtoN2O*kgtoGg,"ERROR"))</f>
        <v>0.40089753199851358</v>
      </c>
      <c r="S1125" s="101">
        <f>IF('Net zero activities &amp; levers'!$C$14="Off",'Activity data'!AL55*ManureNEF*NtoN2O*kgtoGg,IF('Net zero activities &amp; levers'!$C$14="On",'Net zero Activity data'!AL55*ManureNEF*NtoN2O*kgtoGg,"ERROR"))</f>
        <v>0.36575105397715829</v>
      </c>
      <c r="T1125" s="101">
        <f>IF('Net zero activities &amp; levers'!$C$14="Off",'Activity data'!AM55*ManureNEF*NtoN2O*kgtoGg,IF('Net zero activities &amp; levers'!$C$14="On",'Net zero Activity data'!AM55*ManureNEF*NtoN2O*kgtoGg,"ERROR"))</f>
        <v>0.37806101801948427</v>
      </c>
      <c r="U1125" s="101">
        <f>IF('Net zero activities &amp; levers'!$C$14="Off",'Activity data'!AN55*ManureNEF*NtoN2O*kgtoGg,IF('Net zero activities &amp; levers'!$C$14="On",'Net zero Activity data'!AN55*ManureNEF*NtoN2O*kgtoGg,"ERROR"))</f>
        <v>0.38944404902970864</v>
      </c>
      <c r="V1125" s="101">
        <f>IF('Net zero activities &amp; levers'!$C$14="Off",'Activity data'!AO55*ManureNEF*NtoN2O*kgtoGg,IF('Net zero activities &amp; levers'!$C$14="On",'Net zero Activity data'!AO55*ManureNEF*NtoN2O*kgtoGg,"ERROR"))</f>
        <v>0.40095410706426832</v>
      </c>
      <c r="W1125" s="101">
        <f>IF('Net zero activities &amp; levers'!$C$14="Off",'Activity data'!AP55*ManureNEF*NtoN2O*kgtoGg,IF('Net zero activities &amp; levers'!$C$14="On",'Net zero Activity data'!AP55*ManureNEF*NtoN2O*kgtoGg,"ERROR"))</f>
        <v>0.41431554176005497</v>
      </c>
      <c r="X1125" s="101">
        <f>IF('Net zero activities &amp; levers'!$C$14="Off",'Activity data'!AQ55*ManureNEF*NtoN2O*kgtoGg,IF('Net zero activities &amp; levers'!$C$14="On",'Net zero Activity data'!AQ55*ManureNEF*NtoN2O*kgtoGg,"ERROR"))</f>
        <v>0.42783512426761167</v>
      </c>
      <c r="Y1125" s="101">
        <f>IF('Net zero activities &amp; levers'!$C$14="Off",'Activity data'!AR55*ManureNEF*NtoN2O*kgtoGg,IF('Net zero activities &amp; levers'!$C$14="On",'Net zero Activity data'!AR55*ManureNEF*NtoN2O*kgtoGg,"ERROR"))</f>
        <v>0.44186503984012609</v>
      </c>
      <c r="Z1125" s="101">
        <f>IF('Net zero activities &amp; levers'!$C$14="Off",'Activity data'!AS55*ManureNEF*NtoN2O*kgtoGg,IF('Net zero activities &amp; levers'!$C$14="On",'Net zero Activity data'!AS55*ManureNEF*NtoN2O*kgtoGg,"ERROR"))</f>
        <v>0.45563435576355671</v>
      </c>
      <c r="AA1125" s="101">
        <f>IF('Net zero activities &amp; levers'!$C$14="Off",'Activity data'!AT55*ManureNEF*NtoN2O*kgtoGg,IF('Net zero activities &amp; levers'!$C$14="On",'Net zero Activity data'!AT55*ManureNEF*NtoN2O*kgtoGg,"ERROR"))</f>
        <v>0.47026188205754332</v>
      </c>
      <c r="AB1125" s="101">
        <f>IF('Net zero activities &amp; levers'!$C$14="Off",'Activity data'!AU55*ManureNEF*NtoN2O*kgtoGg,IF('Net zero activities &amp; levers'!$C$14="On",'Net zero Activity data'!AU55*ManureNEF*NtoN2O*kgtoGg,"ERROR"))</f>
        <v>0.48421794201830248</v>
      </c>
      <c r="AC1125" s="101">
        <f>IF('Net zero activities &amp; levers'!$C$14="Off",'Activity data'!AV55*ManureNEF*NtoN2O*kgtoGg,IF('Net zero activities &amp; levers'!$C$14="On",'Net zero Activity data'!AV55*ManureNEF*NtoN2O*kgtoGg,"ERROR"))</f>
        <v>0.49858289829777308</v>
      </c>
      <c r="AD1125" s="101">
        <f>IF('Net zero activities &amp; levers'!$C$14="Off",'Activity data'!AW55*ManureNEF*NtoN2O*kgtoGg,IF('Net zero activities &amp; levers'!$C$14="On",'Net zero Activity data'!AW55*ManureNEF*NtoN2O*kgtoGg,"ERROR"))</f>
        <v>0.51686863289566187</v>
      </c>
      <c r="AE1125" s="101">
        <f>IF('Net zero activities &amp; levers'!$C$14="Off",'Activity data'!AX55*ManureNEF*NtoN2O*kgtoGg,IF('Net zero activities &amp; levers'!$C$14="On",'Net zero Activity data'!AX55*ManureNEF*NtoN2O*kgtoGg,"ERROR"))</f>
        <v>0.53655701311036041</v>
      </c>
      <c r="AF1125" s="101">
        <f>IF('Net zero activities &amp; levers'!$C$14="Off",'Activity data'!AY55*ManureNEF*NtoN2O*kgtoGg,IF('Net zero activities &amp; levers'!$C$14="On",'Net zero Activity data'!AY55*ManureNEF*NtoN2O*kgtoGg,"ERROR"))</f>
        <v>0.55701835701835767</v>
      </c>
      <c r="AG1125" s="101">
        <f>IF('Net zero activities &amp; levers'!$C$14="Off",'Activity data'!AZ55*ManureNEF*NtoN2O*kgtoGg,IF('Net zero activities &amp; levers'!$C$14="On",'Net zero Activity data'!AZ55*ManureNEF*NtoN2O*kgtoGg,"ERROR"))</f>
        <v>0.56333119928831021</v>
      </c>
      <c r="AH1125" s="101">
        <f>IF('Net zero activities &amp; levers'!$C$14="Off",'Activity data'!BA55*ManureNEF*NtoN2O*kgtoGg,IF('Net zero activities &amp; levers'!$C$14="On",'Net zero Activity data'!BA55*ManureNEF*NtoN2O*kgtoGg,"ERROR"))</f>
        <v>-0.13731688522656813</v>
      </c>
      <c r="AI1125" s="101">
        <f>IF('Net zero activities &amp; levers'!$C$14="Off",'Activity data'!BB55*ManureNEF*NtoN2O*kgtoGg,IF('Net zero activities &amp; levers'!$C$14="On",'Net zero Activity data'!BB55*ManureNEF*NtoN2O*kgtoGg,"ERROR"))</f>
        <v>-0.13862810897609068</v>
      </c>
      <c r="AJ1125" s="101">
        <f>IF('Net zero activities &amp; levers'!$C$14="Off",'Activity data'!BC55*ManureNEF*NtoN2O*kgtoGg,IF('Net zero activities &amp; levers'!$C$14="On",'Net zero Activity data'!BC55*ManureNEF*NtoN2O*kgtoGg,"ERROR"))</f>
        <v>-0.13994999382586637</v>
      </c>
      <c r="AK1125" s="101">
        <f>IF('Net zero activities &amp; levers'!$C$14="Off",'Activity data'!BD55*ManureNEF*NtoN2O*kgtoGg,IF('Net zero activities &amp; levers'!$C$14="On",'Net zero Activity data'!BD55*ManureNEF*NtoN2O*kgtoGg,"ERROR"))</f>
        <v>-0.14128264066794663</v>
      </c>
      <c r="AL1125" s="101">
        <f>IF('Net zero activities &amp; levers'!$C$14="Off",'Activity data'!BE55*ManureNEF*NtoN2O*kgtoGg,IF('Net zero activities &amp; levers'!$C$14="On",'Net zero Activity data'!BE55*ManureNEF*NtoN2O*kgtoGg,"ERROR"))</f>
        <v>-0.14262615130024825</v>
      </c>
      <c r="AM1125" s="101">
        <f>IF('Net zero activities &amp; levers'!$C$14="Off",'Activity data'!BF55*ManureNEF*NtoN2O*kgtoGg,IF('Net zero activities &amp; levers'!$C$14="On",'Net zero Activity data'!BF55*ManureNEF*NtoN2O*kgtoGg,"ERROR"))</f>
        <v>-0.14398062843440931</v>
      </c>
      <c r="AN1125" s="101">
        <f>IF('Net zero activities &amp; levers'!$C$14="Off",'Activity data'!BG55*ManureNEF*NtoN2O*kgtoGg,IF('Net zero activities &amp; levers'!$C$14="On",'Net zero Activity data'!BG55*ManureNEF*NtoN2O*kgtoGg,"ERROR"))</f>
        <v>-0.14506760905723812</v>
      </c>
      <c r="AO1125" s="101">
        <f>IF('Net zero activities &amp; levers'!$C$14="Off",'Activity data'!BH55*ManureNEF*NtoN2O*kgtoGg,IF('Net zero activities &amp; levers'!$C$14="On",'Net zero Activity data'!BH55*ManureNEF*NtoN2O*kgtoGg,"ERROR"))</f>
        <v>-0.14616208765425914</v>
      </c>
      <c r="AP1125" s="101">
        <f>IF('Net zero activities &amp; levers'!$C$14="Off",'Activity data'!BI55*ManureNEF*NtoN2O*kgtoGg,IF('Net zero activities &amp; levers'!$C$14="On",'Net zero Activity data'!BI55*ManureNEF*NtoN2O*kgtoGg,"ERROR"))</f>
        <v>-0.14726412356751001</v>
      </c>
      <c r="AQ1125" s="101">
        <f>IF('Net zero activities &amp; levers'!$C$14="Off",'Activity data'!BJ55*ManureNEF*NtoN2O*kgtoGg,IF('Net zero activities &amp; levers'!$C$14="On",'Net zero Activity data'!BJ55*ManureNEF*NtoN2O*kgtoGg,"ERROR"))</f>
        <v>-0.14837377658692755</v>
      </c>
      <c r="AR1125" s="101">
        <f>IF('Net zero activities &amp; levers'!$C$14="Off",'Activity data'!BK55*ManureNEF*NtoN2O*kgtoGg,IF('Net zero activities &amp; levers'!$C$14="On",'Net zero Activity data'!BK55*ManureNEF*NtoN2O*kgtoGg,"ERROR"))</f>
        <v>-0.1494911069536225</v>
      </c>
      <c r="AS1125" s="101">
        <f>IF('Net zero activities &amp; levers'!$C$14="Off",'Activity data'!BL55*ManureNEF*NtoN2O*kgtoGg,IF('Net zero activities &amp; levers'!$C$14="On",'Net zero Activity data'!BL55*ManureNEF*NtoN2O*kgtoGg,"ERROR"))</f>
        <v>-0.15051381160807262</v>
      </c>
      <c r="AT1125" s="101">
        <f>IF('Net zero activities &amp; levers'!$C$14="Off",'Activity data'!BM55*ManureNEF*NtoN2O*kgtoGg,IF('Net zero activities &amp; levers'!$C$14="On",'Net zero Activity data'!BM55*ManureNEF*NtoN2O*kgtoGg,"ERROR"))</f>
        <v>-0.15154240205157654</v>
      </c>
      <c r="AU1125" s="101">
        <f>IF('Net zero activities &amp; levers'!$C$14="Off",'Activity data'!BN55*ManureNEF*NtoN2O*kgtoGg,IF('Net zero activities &amp; levers'!$C$14="On",'Net zero Activity data'!BN55*ManureNEF*NtoN2O*kgtoGg,"ERROR"))</f>
        <v>-0.15257691722009936</v>
      </c>
      <c r="AV1125" s="101">
        <f>IF('Net zero activities &amp; levers'!$C$14="Off",'Activity data'!BO55*ManureNEF*NtoN2O*kgtoGg,IF('Net zero activities &amp; levers'!$C$14="On",'Net zero Activity data'!BO55*ManureNEF*NtoN2O*kgtoGg,"ERROR"))</f>
        <v>-0.15361739629374987</v>
      </c>
      <c r="AW1125" s="101">
        <f>IF('Net zero activities &amp; levers'!$C$14="Off",'Activity data'!BP55*ManureNEF*NtoN2O*kgtoGg,IF('Net zero activities &amp; levers'!$C$14="On",'Net zero Activity data'!BP55*ManureNEF*NtoN2O*kgtoGg,"ERROR"))</f>
        <v>-0.15466387869825843</v>
      </c>
      <c r="AY1125" s="85"/>
    </row>
    <row r="1126" spans="1:51" x14ac:dyDescent="0.25">
      <c r="A1126" s="102" t="str">
        <f t="shared" si="374"/>
        <v>CM Organic</v>
      </c>
      <c r="B1126" s="102" t="s">
        <v>1323</v>
      </c>
      <c r="C1126" s="102" t="s">
        <v>1128</v>
      </c>
      <c r="D1126" t="s">
        <v>369</v>
      </c>
      <c r="E1126" t="s">
        <v>55</v>
      </c>
      <c r="F1126" t="s">
        <v>421</v>
      </c>
      <c r="G1126" t="s">
        <v>1165</v>
      </c>
      <c r="H1126" t="s">
        <v>1166</v>
      </c>
      <c r="I1126" t="s">
        <v>139</v>
      </c>
      <c r="J1126" t="s">
        <v>287</v>
      </c>
      <c r="K1126" s="101">
        <f>IF('Net zero activities &amp; levers'!$C$14="Off",'Activity data'!AD56*ManureNEF*NtoN2O*kgtoGg,IF('Net zero activities &amp; levers'!$C$14="On",'Net zero Activity data'!AD56*ManureNEF*NtoN2O*kgtoGg,"ERROR"))</f>
        <v>5.8358562487318792E-2</v>
      </c>
      <c r="L1126" s="101">
        <f>IF('Net zero activities &amp; levers'!$C$14="Off",'Activity data'!AE56*ManureNEF*NtoN2O*kgtoGg,IF('Net zero activities &amp; levers'!$C$14="On",'Net zero Activity data'!AE56*ManureNEF*NtoN2O*kgtoGg,"ERROR"))</f>
        <v>5.839043159926547E-2</v>
      </c>
      <c r="M1126" s="101">
        <f>IF('Net zero activities &amp; levers'!$C$14="Off",'Activity data'!AF56*ManureNEF*NtoN2O*kgtoGg,IF('Net zero activities &amp; levers'!$C$14="On",'Net zero Activity data'!AF56*ManureNEF*NtoN2O*kgtoGg,"ERROR"))</f>
        <v>5.8461792662766042E-2</v>
      </c>
      <c r="N1126" s="101">
        <f>IF('Net zero activities &amp; levers'!$C$14="Off",'Activity data'!AG56*ManureNEF*NtoN2O*kgtoGg,IF('Net zero activities &amp; levers'!$C$14="On",'Net zero Activity data'!AG56*ManureNEF*NtoN2O*kgtoGg,"ERROR"))</f>
        <v>5.8569206044707944E-2</v>
      </c>
      <c r="O1126" s="101">
        <f>IF('Net zero activities &amp; levers'!$C$14="Off",'Activity data'!AH56*ManureNEF*NtoN2O*kgtoGg,IF('Net zero activities &amp; levers'!$C$14="On",'Net zero Activity data'!AH56*ManureNEF*NtoN2O*kgtoGg,"ERROR"))</f>
        <v>5.87141088514554E-2</v>
      </c>
      <c r="P1126" s="101">
        <f>IF('Net zero activities &amp; levers'!$C$14="Off",'Activity data'!AI56*ManureNEF*NtoN2O*kgtoGg,IF('Net zero activities &amp; levers'!$C$14="On",'Net zero Activity data'!AI56*ManureNEF*NtoN2O*kgtoGg,"ERROR"))</f>
        <v>5.8896654838927982E-2</v>
      </c>
      <c r="Q1126" s="101">
        <f>IF('Net zero activities &amp; levers'!$C$14="Off",'Activity data'!AJ56*ManureNEF*NtoN2O*kgtoGg,IF('Net zero activities &amp; levers'!$C$14="On",'Net zero Activity data'!AJ56*ManureNEF*NtoN2O*kgtoGg,"ERROR"))</f>
        <v>5.9100003668857495E-2</v>
      </c>
      <c r="R1126" s="101">
        <f>IF('Net zero activities &amp; levers'!$C$14="Off",'Activity data'!AK56*ManureNEF*NtoN2O*kgtoGg,IF('Net zero activities &amp; levers'!$C$14="On",'Net zero Activity data'!AK56*ManureNEF*NtoN2O*kgtoGg,"ERROR"))</f>
        <v>5.9320387521670827E-2</v>
      </c>
      <c r="S1126" s="101">
        <f>IF('Net zero activities &amp; levers'!$C$14="Off",'Activity data'!AL56*ManureNEF*NtoN2O*kgtoGg,IF('Net zero activities &amp; levers'!$C$14="On",'Net zero Activity data'!AL56*ManureNEF*NtoN2O*kgtoGg,"ERROR"))</f>
        <v>5.9527484870119066E-2</v>
      </c>
      <c r="T1126" s="101">
        <f>IF('Net zero activities &amp; levers'!$C$14="Off",'Activity data'!AM56*ManureNEF*NtoN2O*kgtoGg,IF('Net zero activities &amp; levers'!$C$14="On",'Net zero Activity data'!AM56*ManureNEF*NtoN2O*kgtoGg,"ERROR"))</f>
        <v>5.9613993442869086E-2</v>
      </c>
      <c r="U1126" s="101">
        <f>IF('Net zero activities &amp; levers'!$C$14="Off",'Activity data'!AN56*ManureNEF*NtoN2O*kgtoGg,IF('Net zero activities &amp; levers'!$C$14="On",'Net zero Activity data'!AN56*ManureNEF*NtoN2O*kgtoGg,"ERROR"))</f>
        <v>5.9714376068116658E-2</v>
      </c>
      <c r="V1126" s="101">
        <f>IF('Net zero activities &amp; levers'!$C$14="Off",'Activity data'!AO56*ManureNEF*NtoN2O*kgtoGg,IF('Net zero activities &amp; levers'!$C$14="On",'Net zero Activity data'!AO56*ManureNEF*NtoN2O*kgtoGg,"ERROR"))</f>
        <v>5.9828612163064419E-2</v>
      </c>
      <c r="W1126" s="101">
        <f>IF('Net zero activities &amp; levers'!$C$14="Off",'Activity data'!AP56*ManureNEF*NtoN2O*kgtoGg,IF('Net zero activities &amp; levers'!$C$14="On",'Net zero Activity data'!AP56*ManureNEF*NtoN2O*kgtoGg,"ERROR"))</f>
        <v>5.9957293598347332E-2</v>
      </c>
      <c r="X1126" s="101">
        <f>IF('Net zero activities &amp; levers'!$C$14="Off",'Activity data'!AQ56*ManureNEF*NtoN2O*kgtoGg,IF('Net zero activities &amp; levers'!$C$14="On",'Net zero Activity data'!AQ56*ManureNEF*NtoN2O*kgtoGg,"ERROR"))</f>
        <v>6.0098357419229781E-2</v>
      </c>
      <c r="Y1126" s="101">
        <f>IF('Net zero activities &amp; levers'!$C$14="Off",'Activity data'!AR56*ManureNEF*NtoN2O*kgtoGg,IF('Net zero activities &amp; levers'!$C$14="On",'Net zero Activity data'!AR56*ManureNEF*NtoN2O*kgtoGg,"ERROR"))</f>
        <v>6.0185192959010252E-2</v>
      </c>
      <c r="Z1126" s="101">
        <f>IF('Net zero activities &amp; levers'!$C$14="Off",'Activity data'!AS56*ManureNEF*NtoN2O*kgtoGg,IF('Net zero activities &amp; levers'!$C$14="On",'Net zero Activity data'!AS56*ManureNEF*NtoN2O*kgtoGg,"ERROR"))</f>
        <v>6.0282190049865431E-2</v>
      </c>
      <c r="AA1126" s="101">
        <f>IF('Net zero activities &amp; levers'!$C$14="Off",'Activity data'!AT56*ManureNEF*NtoN2O*kgtoGg,IF('Net zero activities &amp; levers'!$C$14="On",'Net zero Activity data'!AT56*ManureNEF*NtoN2O*kgtoGg,"ERROR"))</f>
        <v>6.0389700688940708E-2</v>
      </c>
      <c r="AB1126" s="101">
        <f>IF('Net zero activities &amp; levers'!$C$14="Off",'Activity data'!AU56*ManureNEF*NtoN2O*kgtoGg,IF('Net zero activities &amp; levers'!$C$14="On",'Net zero Activity data'!AU56*ManureNEF*NtoN2O*kgtoGg,"ERROR"))</f>
        <v>6.0506073039024895E-2</v>
      </c>
      <c r="AC1126" s="101">
        <f>IF('Net zero activities &amp; levers'!$C$14="Off",'Activity data'!AV56*ManureNEF*NtoN2O*kgtoGg,IF('Net zero activities &amp; levers'!$C$14="On",'Net zero Activity data'!AV56*ManureNEF*NtoN2O*kgtoGg,"ERROR"))</f>
        <v>6.0631723200139168E-2</v>
      </c>
      <c r="AD1126" s="101">
        <f>IF('Net zero activities &amp; levers'!$C$14="Off",'Activity data'!AW56*ManureNEF*NtoN2O*kgtoGg,IF('Net zero activities &amp; levers'!$C$14="On",'Net zero Activity data'!AW56*ManureNEF*NtoN2O*kgtoGg,"ERROR"))</f>
        <v>6.0714441042505521E-2</v>
      </c>
      <c r="AE1126" s="101">
        <f>IF('Net zero activities &amp; levers'!$C$14="Off",'Activity data'!AX56*ManureNEF*NtoN2O*kgtoGg,IF('Net zero activities &amp; levers'!$C$14="On",'Net zero Activity data'!AX56*ManureNEF*NtoN2O*kgtoGg,"ERROR"))</f>
        <v>6.0805859526171006E-2</v>
      </c>
      <c r="AF1126" s="101">
        <f>IF('Net zero activities &amp; levers'!$C$14="Off",'Activity data'!AY56*ManureNEF*NtoN2O*kgtoGg,IF('Net zero activities &amp; levers'!$C$14="On",'Net zero Activity data'!AY56*ManureNEF*NtoN2O*kgtoGg,"ERROR"))</f>
        <v>6.0905156479066316E-2</v>
      </c>
      <c r="AG1126" s="101">
        <f>IF('Net zero activities &amp; levers'!$C$14="Off",'Activity data'!AZ56*ManureNEF*NtoN2O*kgtoGg,IF('Net zero activities &amp; levers'!$C$14="On",'Net zero Activity data'!AZ56*ManureNEF*NtoN2O*kgtoGg,"ERROR"))</f>
        <v>6.1001089999952796E-2</v>
      </c>
      <c r="AH1126" s="101">
        <f>IF('Net zero activities &amp; levers'!$C$14="Off",'Activity data'!BA56*ManureNEF*NtoN2O*kgtoGg,IF('Net zero activities &amp; levers'!$C$14="On",'Net zero Activity data'!BA56*ManureNEF*NtoN2O*kgtoGg,"ERROR"))</f>
        <v>6.0590945473242341E-2</v>
      </c>
      <c r="AI1126" s="101">
        <f>IF('Net zero activities &amp; levers'!$C$14="Off",'Activity data'!BB56*ManureNEF*NtoN2O*kgtoGg,IF('Net zero activities &amp; levers'!$C$14="On",'Net zero Activity data'!BB56*ManureNEF*NtoN2O*kgtoGg,"ERROR"))</f>
        <v>6.0649192481063346E-2</v>
      </c>
      <c r="AJ1126" s="101">
        <f>IF('Net zero activities &amp; levers'!$C$14="Off",'Activity data'!BC56*ManureNEF*NtoN2O*kgtoGg,IF('Net zero activities &amp; levers'!$C$14="On",'Net zero Activity data'!BC56*ManureNEF*NtoN2O*kgtoGg,"ERROR"))</f>
        <v>6.0713468342713614E-2</v>
      </c>
      <c r="AK1126" s="101">
        <f>IF('Net zero activities &amp; levers'!$C$14="Off",'Activity data'!BD56*ManureNEF*NtoN2O*kgtoGg,IF('Net zero activities &amp; levers'!$C$14="On",'Net zero Activity data'!BD56*ManureNEF*NtoN2O*kgtoGg,"ERROR"))</f>
        <v>6.0783545293153662E-2</v>
      </c>
      <c r="AL1126" s="101">
        <f>IF('Net zero activities &amp; levers'!$C$14="Off",'Activity data'!BE56*ManureNEF*NtoN2O*kgtoGg,IF('Net zero activities &amp; levers'!$C$14="On",'Net zero Activity data'!BE56*ManureNEF*NtoN2O*kgtoGg,"ERROR"))</f>
        <v>6.0859213172163779E-2</v>
      </c>
      <c r="AM1126" s="101">
        <f>IF('Net zero activities &amp; levers'!$C$14="Off",'Activity data'!BF56*ManureNEF*NtoN2O*kgtoGg,IF('Net zero activities &amp; levers'!$C$14="On",'Net zero Activity data'!BF56*ManureNEF*NtoN2O*kgtoGg,"ERROR"))</f>
        <v>6.0940277753779866E-2</v>
      </c>
      <c r="AN1126" s="101">
        <f>IF('Net zero activities &amp; levers'!$C$14="Off",'Activity data'!BG56*ManureNEF*NtoN2O*kgtoGg,IF('Net zero activities &amp; levers'!$C$14="On",'Net zero Activity data'!BG56*ManureNEF*NtoN2O*kgtoGg,"ERROR"))</f>
        <v>6.0979618468756831E-2</v>
      </c>
      <c r="AO1126" s="101">
        <f>IF('Net zero activities &amp; levers'!$C$14="Off",'Activity data'!BH56*ManureNEF*NtoN2O*kgtoGg,IF('Net zero activities &amp; levers'!$C$14="On",'Net zero Activity data'!BH56*ManureNEF*NtoN2O*kgtoGg,"ERROR"))</f>
        <v>6.1023714022373471E-2</v>
      </c>
      <c r="AP1126" s="101">
        <f>IF('Net zero activities &amp; levers'!$C$14="Off",'Activity data'!BI56*ManureNEF*NtoN2O*kgtoGg,IF('Net zero activities &amp; levers'!$C$14="On",'Net zero Activity data'!BI56*ManureNEF*NtoN2O*kgtoGg,"ERROR"))</f>
        <v>6.1072398935034244E-2</v>
      </c>
      <c r="AQ1126" s="101">
        <f>IF('Net zero activities &amp; levers'!$C$14="Off",'Activity data'!BJ56*ManureNEF*NtoN2O*kgtoGg,IF('Net zero activities &amp; levers'!$C$14="On",'Net zero Activity data'!BJ56*ManureNEF*NtoN2O*kgtoGg,"ERROR"))</f>
        <v>6.112551905317741E-2</v>
      </c>
      <c r="AR1126" s="101">
        <f>IF('Net zero activities &amp; levers'!$C$14="Off",'Activity data'!BK56*ManureNEF*NtoN2O*kgtoGg,IF('Net zero activities &amp; levers'!$C$14="On",'Net zero Activity data'!BK56*ManureNEF*NtoN2O*kgtoGg,"ERROR"))</f>
        <v>6.1182930587073178E-2</v>
      </c>
      <c r="AS1126" s="101">
        <f>IF('Net zero activities &amp; levers'!$C$14="Off",'Activity data'!BL56*ManureNEF*NtoN2O*kgtoGg,IF('Net zero activities &amp; levers'!$C$14="On",'Net zero Activity data'!BL56*ManureNEF*NtoN2O*kgtoGg,"ERROR"))</f>
        <v>6.1197093314118836E-2</v>
      </c>
      <c r="AT1126" s="101">
        <f>IF('Net zero activities &amp; levers'!$C$14="Off",'Activity data'!BM56*ManureNEF*NtoN2O*kgtoGg,IF('Net zero activities &amp; levers'!$C$14="On",'Net zero Activity data'!BM56*ManureNEF*NtoN2O*kgtoGg,"ERROR"))</f>
        <v>6.1215064670682988E-2</v>
      </c>
      <c r="AU1126" s="101">
        <f>IF('Net zero activities &amp; levers'!$C$14="Off",'Activity data'!BN56*ManureNEF*NtoN2O*kgtoGg,IF('Net zero activities &amp; levers'!$C$14="On",'Net zero Activity data'!BN56*ManureNEF*NtoN2O*kgtoGg,"ERROR"))</f>
        <v>6.1236718515027384E-2</v>
      </c>
      <c r="AV1126" s="101">
        <f>IF('Net zero activities &amp; levers'!$C$14="Off",'Activity data'!BO56*ManureNEF*NtoN2O*kgtoGg,IF('Net zero activities &amp; levers'!$C$14="On",'Net zero Activity data'!BO56*ManureNEF*NtoN2O*kgtoGg,"ERROR"))</f>
        <v>6.1261936408176808E-2</v>
      </c>
      <c r="AW1126" s="101">
        <f>IF('Net zero activities &amp; levers'!$C$14="Off",'Activity data'!BP56*ManureNEF*NtoN2O*kgtoGg,IF('Net zero activities &amp; levers'!$C$14="On",'Net zero Activity data'!BP56*ManureNEF*NtoN2O*kgtoGg,"ERROR"))</f>
        <v>6.1290607021564164E-2</v>
      </c>
      <c r="AY1126" s="85"/>
    </row>
    <row r="1127" spans="1:51" x14ac:dyDescent="0.25">
      <c r="A1127" s="102" t="str">
        <f t="shared" si="374"/>
        <v>CM Organic</v>
      </c>
      <c r="B1127" s="102" t="s">
        <v>1323</v>
      </c>
      <c r="C1127" s="102" t="s">
        <v>1128</v>
      </c>
      <c r="D1127" t="s">
        <v>369</v>
      </c>
      <c r="E1127" t="s">
        <v>55</v>
      </c>
      <c r="F1127" t="s">
        <v>421</v>
      </c>
      <c r="G1127" t="s">
        <v>1167</v>
      </c>
      <c r="H1127" t="s">
        <v>1168</v>
      </c>
      <c r="I1127" t="s">
        <v>139</v>
      </c>
      <c r="J1127" t="s">
        <v>287</v>
      </c>
      <c r="K1127" s="101">
        <f>IF('Net zero activities &amp; levers'!$C$14="Off",'Activity data'!AD57*ManureNEF*NtoN2O*kgtoGg,IF('Net zero activities &amp; levers'!$C$14="On",'Net zero Activity data'!AD57*ManureNEF*NtoN2O*kgtoGg,"ERROR"))</f>
        <v>4.7495937116525173E-2</v>
      </c>
      <c r="L1127" s="101">
        <f>IF('Net zero activities &amp; levers'!$C$14="Off",'Activity data'!AE57*ManureNEF*NtoN2O*kgtoGg,IF('Net zero activities &amp; levers'!$C$14="On",'Net zero Activity data'!AE57*ManureNEF*NtoN2O*kgtoGg,"ERROR"))</f>
        <v>4.7521874241643836E-2</v>
      </c>
      <c r="M1127" s="101">
        <f>IF('Net zero activities &amp; levers'!$C$14="Off",'Activity data'!AF57*ManureNEF*NtoN2O*kgtoGg,IF('Net zero activities &amp; levers'!$C$14="On",'Net zero Activity data'!AF57*ManureNEF*NtoN2O*kgtoGg,"ERROR"))</f>
        <v>4.7579952447139875E-2</v>
      </c>
      <c r="N1127" s="101">
        <f>IF('Net zero activities &amp; levers'!$C$14="Off",'Activity data'!AG57*ManureNEF*NtoN2O*kgtoGg,IF('Net zero activities &amp; levers'!$C$14="On",'Net zero Activity data'!AG57*ManureNEF*NtoN2O*kgtoGg,"ERROR"))</f>
        <v>4.7667372339213025E-2</v>
      </c>
      <c r="O1127" s="101">
        <f>IF('Net zero activities &amp; levers'!$C$14="Off",'Activity data'!AH57*ManureNEF*NtoN2O*kgtoGg,IF('Net zero activities &amp; levers'!$C$14="On",'Net zero Activity data'!AH57*ManureNEF*NtoN2O*kgtoGg,"ERROR"))</f>
        <v>4.7785303527096222E-2</v>
      </c>
      <c r="P1127" s="101">
        <f>IF('Net zero activities &amp; levers'!$C$14="Off",'Activity data'!AI57*ManureNEF*NtoN2O*kgtoGg,IF('Net zero activities &amp; levers'!$C$14="On",'Net zero Activity data'!AI57*ManureNEF*NtoN2O*kgtoGg,"ERROR"))</f>
        <v>4.7933871147207763E-2</v>
      </c>
      <c r="Q1127" s="101">
        <f>IF('Net zero activities &amp; levers'!$C$14="Off",'Activity data'!AJ57*ManureNEF*NtoN2O*kgtoGg,IF('Net zero activities &amp; levers'!$C$14="On",'Net zero Activity data'!AJ57*ManureNEF*NtoN2O*kgtoGg,"ERROR"))</f>
        <v>4.8099369453324381E-2</v>
      </c>
      <c r="R1127" s="101">
        <f>IF('Net zero activities &amp; levers'!$C$14="Off",'Activity data'!AK57*ManureNEF*NtoN2O*kgtoGg,IF('Net zero activities &amp; levers'!$C$14="On",'Net zero Activity data'!AK57*ManureNEF*NtoN2O*kgtoGg,"ERROR"))</f>
        <v>4.8278731952477678E-2</v>
      </c>
      <c r="S1127" s="101">
        <f>IF('Net zero activities &amp; levers'!$C$14="Off",'Activity data'!AL57*ManureNEF*NtoN2O*kgtoGg,IF('Net zero activities &amp; levers'!$C$14="On",'Net zero Activity data'!AL57*ManureNEF*NtoN2O*kgtoGg,"ERROR"))</f>
        <v>4.8447281043127996E-2</v>
      </c>
      <c r="T1127" s="101">
        <f>IF('Net zero activities &amp; levers'!$C$14="Off",'Activity data'!AM57*ManureNEF*NtoN2O*kgtoGg,IF('Net zero activities &amp; levers'!$C$14="On",'Net zero Activity data'!AM57*ManureNEF*NtoN2O*kgtoGg,"ERROR"))</f>
        <v>4.8517687262134283E-2</v>
      </c>
      <c r="U1127" s="101">
        <f>IF('Net zero activities &amp; levers'!$C$14="Off",'Activity data'!AN57*ManureNEF*NtoN2O*kgtoGg,IF('Net zero activities &amp; levers'!$C$14="On",'Net zero Activity data'!AN57*ManureNEF*NtoN2O*kgtoGg,"ERROR"))</f>
        <v>4.8599385073957294E-2</v>
      </c>
      <c r="V1127" s="101">
        <f>IF('Net zero activities &amp; levers'!$C$14="Off",'Activity data'!AO57*ManureNEF*NtoN2O*kgtoGg,IF('Net zero activities &amp; levers'!$C$14="On",'Net zero Activity data'!AO57*ManureNEF*NtoN2O*kgtoGg,"ERROR"))</f>
        <v>4.8692357726997801E-2</v>
      </c>
      <c r="W1127" s="101">
        <f>IF('Net zero activities &amp; levers'!$C$14="Off",'Activity data'!AP57*ManureNEF*NtoN2O*kgtoGg,IF('Net zero activities &amp; levers'!$C$14="On",'Net zero Activity data'!AP57*ManureNEF*NtoN2O*kgtoGg,"ERROR"))</f>
        <v>4.8797086923498996E-2</v>
      </c>
      <c r="X1127" s="101">
        <f>IF('Net zero activities &amp; levers'!$C$14="Off",'Activity data'!AQ57*ManureNEF*NtoN2O*kgtoGg,IF('Net zero activities &amp; levers'!$C$14="On",'Net zero Activity data'!AQ57*ManureNEF*NtoN2O*kgtoGg,"ERROR"))</f>
        <v>4.8911893698725943E-2</v>
      </c>
      <c r="Y1127" s="101">
        <f>IF('Net zero activities &amp; levers'!$C$14="Off",'Activity data'!AR57*ManureNEF*NtoN2O*kgtoGg,IF('Net zero activities &amp; levers'!$C$14="On",'Net zero Activity data'!AR57*ManureNEF*NtoN2O*kgtoGg,"ERROR"))</f>
        <v>4.8982566024450037E-2</v>
      </c>
      <c r="Z1127" s="101">
        <f>IF('Net zero activities &amp; levers'!$C$14="Off",'Activity data'!AS57*ManureNEF*NtoN2O*kgtoGg,IF('Net zero activities &amp; levers'!$C$14="On",'Net zero Activity data'!AS57*ManureNEF*NtoN2O*kgtoGg,"ERROR"))</f>
        <v>4.9061508471477298E-2</v>
      </c>
      <c r="AA1127" s="101">
        <f>IF('Net zero activities &amp; levers'!$C$14="Off",'Activity data'!AT57*ManureNEF*NtoN2O*kgtoGg,IF('Net zero activities &amp; levers'!$C$14="On",'Net zero Activity data'!AT57*ManureNEF*NtoN2O*kgtoGg,"ERROR"))</f>
        <v>4.9149007517636747E-2</v>
      </c>
      <c r="AB1127" s="101">
        <f>IF('Net zero activities &amp; levers'!$C$14="Off",'Activity data'!AU57*ManureNEF*NtoN2O*kgtoGg,IF('Net zero activities &amp; levers'!$C$14="On",'Net zero Activity data'!AU57*ManureNEF*NtoN2O*kgtoGg,"ERROR"))</f>
        <v>4.9243718791974624E-2</v>
      </c>
      <c r="AC1127" s="101">
        <f>IF('Net zero activities &amp; levers'!$C$14="Off",'Activity data'!AV57*ManureNEF*NtoN2O*kgtoGg,IF('Net zero activities &amp; levers'!$C$14="On",'Net zero Activity data'!AV57*ManureNEF*NtoN2O*kgtoGg,"ERROR"))</f>
        <v>4.9345980943347217E-2</v>
      </c>
      <c r="AD1127" s="101">
        <f>IF('Net zero activities &amp; levers'!$C$14="Off",'Activity data'!AW57*ManureNEF*NtoN2O*kgtoGg,IF('Net zero activities &amp; levers'!$C$14="On",'Net zero Activity data'!AW57*ManureNEF*NtoN2O*kgtoGg,"ERROR"))</f>
        <v>4.941330202309966E-2</v>
      </c>
      <c r="AE1127" s="101">
        <f>IF('Net zero activities &amp; levers'!$C$14="Off",'Activity data'!AX57*ManureNEF*NtoN2O*kgtoGg,IF('Net zero activities &amp; levers'!$C$14="On",'Net zero Activity data'!AX57*ManureNEF*NtoN2O*kgtoGg,"ERROR"))</f>
        <v>4.9487704242181185E-2</v>
      </c>
      <c r="AF1127" s="101">
        <f>IF('Net zero activities &amp; levers'!$C$14="Off",'Activity data'!AY57*ManureNEF*NtoN2O*kgtoGg,IF('Net zero activities &amp; levers'!$C$14="On",'Net zero Activity data'!AY57*ManureNEF*NtoN2O*kgtoGg,"ERROR"))</f>
        <v>4.9568518464286178E-2</v>
      </c>
      <c r="AG1127" s="101">
        <f>IF('Net zero activities &amp; levers'!$C$14="Off",'Activity data'!AZ57*ManureNEF*NtoN2O*kgtoGg,IF('Net zero activities &amp; levers'!$C$14="On",'Net zero Activity data'!AZ57*ManureNEF*NtoN2O*kgtoGg,"ERROR"))</f>
        <v>4.9646595309931256E-2</v>
      </c>
      <c r="AH1127" s="101">
        <f>IF('Net zero activities &amp; levers'!$C$14="Off",'Activity data'!BA57*ManureNEF*NtoN2O*kgtoGg,IF('Net zero activities &amp; levers'!$C$14="On",'Net zero Activity data'!BA57*ManureNEF*NtoN2O*kgtoGg,"ERROR"))</f>
        <v>4.9312793416617665E-2</v>
      </c>
      <c r="AI1127" s="101">
        <f>IF('Net zero activities &amp; levers'!$C$14="Off",'Activity data'!BB57*ManureNEF*NtoN2O*kgtoGg,IF('Net zero activities &amp; levers'!$C$14="On",'Net zero Activity data'!BB57*ManureNEF*NtoN2O*kgtoGg,"ERROR"))</f>
        <v>4.9360198563399564E-2</v>
      </c>
      <c r="AJ1127" s="101">
        <f>IF('Net zero activities &amp; levers'!$C$14="Off",'Activity data'!BC57*ManureNEF*NtoN2O*kgtoGg,IF('Net zero activities &amp; levers'!$C$14="On",'Net zero Activity data'!BC57*ManureNEF*NtoN2O*kgtoGg,"ERROR"))</f>
        <v>4.9412510377689269E-2</v>
      </c>
      <c r="AK1127" s="101">
        <f>IF('Net zero activities &amp; levers'!$C$14="Off",'Activity data'!BD57*ManureNEF*NtoN2O*kgtoGg,IF('Net zero activities &amp; levers'!$C$14="On",'Net zero Activity data'!BD57*ManureNEF*NtoN2O*kgtoGg,"ERROR"))</f>
        <v>4.9469543489705052E-2</v>
      </c>
      <c r="AL1127" s="101">
        <f>IF('Net zero activities &amp; levers'!$C$14="Off",'Activity data'!BE57*ManureNEF*NtoN2O*kgtoGg,IF('Net zero activities &amp; levers'!$C$14="On",'Net zero Activity data'!BE57*ManureNEF*NtoN2O*kgtoGg,"ERROR"))</f>
        <v>4.9531126857595344E-2</v>
      </c>
      <c r="AM1127" s="101">
        <f>IF('Net zero activities &amp; levers'!$C$14="Off",'Activity data'!BF57*ManureNEF*NtoN2O*kgtoGg,IF('Net zero activities &amp; levers'!$C$14="On",'Net zero Activity data'!BF57*ManureNEF*NtoN2O*kgtoGg,"ERROR"))</f>
        <v>4.9597102407826756E-2</v>
      </c>
      <c r="AN1127" s="101">
        <f>IF('Net zero activities &amp; levers'!$C$14="Off",'Activity data'!BG57*ManureNEF*NtoN2O*kgtoGg,IF('Net zero activities &amp; levers'!$C$14="On",'Net zero Activity data'!BG57*ManureNEF*NtoN2O*kgtoGg,"ERROR"))</f>
        <v>4.9629120402188261E-2</v>
      </c>
      <c r="AO1127" s="101">
        <f>IF('Net zero activities &amp; levers'!$C$14="Off",'Activity data'!BH57*ManureNEF*NtoN2O*kgtoGg,IF('Net zero activities &amp; levers'!$C$14="On",'Net zero Activity data'!BH57*ManureNEF*NtoN2O*kgtoGg,"ERROR"))</f>
        <v>4.9665008188871658E-2</v>
      </c>
      <c r="AP1127" s="101">
        <f>IF('Net zero activities &amp; levers'!$C$14="Off",'Activity data'!BI57*ManureNEF*NtoN2O*kgtoGg,IF('Net zero activities &amp; levers'!$C$14="On",'Net zero Activity data'!BI57*ManureNEF*NtoN2O*kgtoGg,"ERROR"))</f>
        <v>4.9704631089979995E-2</v>
      </c>
      <c r="AQ1127" s="101">
        <f>IF('Net zero activities &amp; levers'!$C$14="Off",'Activity data'!BJ57*ManureNEF*NtoN2O*kgtoGg,IF('Net zero activities &amp; levers'!$C$14="On",'Net zero Activity data'!BJ57*ManureNEF*NtoN2O*kgtoGg,"ERROR"))</f>
        <v>4.9747863645468307E-2</v>
      </c>
      <c r="AR1127" s="101">
        <f>IF('Net zero activities &amp; levers'!$C$14="Off",'Activity data'!BK57*ManureNEF*NtoN2O*kgtoGg,IF('Net zero activities &amp; levers'!$C$14="On",'Net zero Activity data'!BK57*ManureNEF*NtoN2O*kgtoGg,"ERROR"))</f>
        <v>4.9794588830042001E-2</v>
      </c>
      <c r="AS1127" s="101">
        <f>IF('Net zero activities &amp; levers'!$C$14="Off",'Activity data'!BL57*ManureNEF*NtoN2O*kgtoGg,IF('Net zero activities &amp; levers'!$C$14="On",'Net zero Activity data'!BL57*ManureNEF*NtoN2O*kgtoGg,"ERROR"))</f>
        <v>4.9806115364700997E-2</v>
      </c>
      <c r="AT1127" s="101">
        <f>IF('Net zero activities &amp; levers'!$C$14="Off",'Activity data'!BM57*ManureNEF*NtoN2O*kgtoGg,IF('Net zero activities &amp; levers'!$C$14="On",'Net zero Activity data'!BM57*ManureNEF*NtoN2O*kgtoGg,"ERROR"))</f>
        <v>4.9820741606076545E-2</v>
      </c>
      <c r="AU1127" s="101">
        <f>IF('Net zero activities &amp; levers'!$C$14="Off",'Activity data'!BN57*ManureNEF*NtoN2O*kgtoGg,IF('Net zero activities &amp; levers'!$C$14="On",'Net zero Activity data'!BN57*ManureNEF*NtoN2O*kgtoGg,"ERROR"))</f>
        <v>4.9838364891940323E-2</v>
      </c>
      <c r="AV1127" s="101">
        <f>IF('Net zero activities &amp; levers'!$C$14="Off",'Activity data'!BO57*ManureNEF*NtoN2O*kgtoGg,IF('Net zero activities &amp; levers'!$C$14="On",'Net zero Activity data'!BO57*ManureNEF*NtoN2O*kgtoGg,"ERROR"))</f>
        <v>4.9858888829066014E-2</v>
      </c>
      <c r="AW1127" s="101">
        <f>IF('Net zero activities &amp; levers'!$C$14="Off",'Activity data'!BP57*ManureNEF*NtoN2O*kgtoGg,IF('Net zero activities &amp; levers'!$C$14="On",'Net zero Activity data'!BP57*ManureNEF*NtoN2O*kgtoGg,"ERROR"))</f>
        <v>4.988222281113306E-2</v>
      </c>
      <c r="AY1127" s="85"/>
    </row>
    <row r="1128" spans="1:51" x14ac:dyDescent="0.25">
      <c r="A1128" s="102" t="str">
        <f t="shared" si="374"/>
        <v>CM Organic</v>
      </c>
      <c r="B1128" s="102" t="s">
        <v>1323</v>
      </c>
      <c r="C1128" s="102" t="s">
        <v>1128</v>
      </c>
      <c r="D1128" t="s">
        <v>369</v>
      </c>
      <c r="E1128" t="s">
        <v>55</v>
      </c>
      <c r="F1128" t="s">
        <v>421</v>
      </c>
      <c r="G1128" t="s">
        <v>1169</v>
      </c>
      <c r="H1128" t="s">
        <v>1170</v>
      </c>
      <c r="I1128" t="s">
        <v>139</v>
      </c>
      <c r="J1128" t="s">
        <v>287</v>
      </c>
      <c r="K1128" s="101">
        <f>IF('Net zero activities &amp; levers'!$C$14="Off",'Activity data'!AD58*ManureNEF*NtoN2O*kgtoGg,IF('Net zero activities &amp; levers'!$C$14="On",'Net zero Activity data'!AD58*ManureNEF*NtoN2O*kgtoGg,"ERROR"))</f>
        <v>7.2138531984991348E-3</v>
      </c>
      <c r="L1128" s="101">
        <f>IF('Net zero activities &amp; levers'!$C$14="Off",'Activity data'!AE58*ManureNEF*NtoN2O*kgtoGg,IF('Net zero activities &amp; levers'!$C$14="On",'Net zero Activity data'!AE58*ManureNEF*NtoN2O*kgtoGg,"ERROR"))</f>
        <v>7.2326686364155846E-3</v>
      </c>
      <c r="M1128" s="101">
        <f>IF('Net zero activities &amp; levers'!$C$14="Off",'Activity data'!AF58*ManureNEF*NtoN2O*kgtoGg,IF('Net zero activities &amp; levers'!$C$14="On",'Net zero Activity data'!AF58*ManureNEF*NtoN2O*kgtoGg,"ERROR"))</f>
        <v>7.2577418741351651E-3</v>
      </c>
      <c r="N1128" s="101">
        <f>IF('Net zero activities &amp; levers'!$C$14="Off",'Activity data'!AG58*ManureNEF*NtoN2O*kgtoGg,IF('Net zero activities &amp; levers'!$C$14="On",'Net zero Activity data'!AG58*ManureNEF*NtoN2O*kgtoGg,"ERROR"))</f>
        <v>7.2885154843188495E-3</v>
      </c>
      <c r="O1128" s="101">
        <f>IF('Net zero activities &amp; levers'!$C$14="Off",'Activity data'!AH58*ManureNEF*NtoN2O*kgtoGg,IF('Net zero activities &amp; levers'!$C$14="On",'Net zero Activity data'!AH58*ManureNEF*NtoN2O*kgtoGg,"ERROR"))</f>
        <v>7.3253592647283981E-3</v>
      </c>
      <c r="P1128" s="101">
        <f>IF('Net zero activities &amp; levers'!$C$14="Off",'Activity data'!AI58*ManureNEF*NtoN2O*kgtoGg,IF('Net zero activities &amp; levers'!$C$14="On",'Net zero Activity data'!AI58*ManureNEF*NtoN2O*kgtoGg,"ERROR"))</f>
        <v>7.3683712611583496E-3</v>
      </c>
      <c r="Q1128" s="101">
        <f>IF('Net zero activities &amp; levers'!$C$14="Off",'Activity data'!AJ58*ManureNEF*NtoN2O*kgtoGg,IF('Net zero activities &amp; levers'!$C$14="On",'Net zero Activity data'!AJ58*ManureNEF*NtoN2O*kgtoGg,"ERROR"))</f>
        <v>7.4143590148475543E-3</v>
      </c>
      <c r="R1128" s="101">
        <f>IF('Net zero activities &amp; levers'!$C$14="Off",'Activity data'!AK58*ManureNEF*NtoN2O*kgtoGg,IF('Net zero activities &amp; levers'!$C$14="On",'Net zero Activity data'!AK58*ManureNEF*NtoN2O*kgtoGg,"ERROR"))</f>
        <v>7.4626649386195258E-3</v>
      </c>
      <c r="S1128" s="101">
        <f>IF('Net zero activities &amp; levers'!$C$14="Off",'Activity data'!AL58*ManureNEF*NtoN2O*kgtoGg,IF('Net zero activities &amp; levers'!$C$14="On",'Net zero Activity data'!AL58*ManureNEF*NtoN2O*kgtoGg,"ERROR"))</f>
        <v>7.5075390200834997E-3</v>
      </c>
      <c r="T1128" s="101">
        <f>IF('Net zero activities &amp; levers'!$C$14="Off",'Activity data'!AM58*ManureNEF*NtoN2O*kgtoGg,IF('Net zero activities &amp; levers'!$C$14="On",'Net zero Activity data'!AM58*ManureNEF*NtoN2O*kgtoGg,"ERROR"))</f>
        <v>7.5285683818169559E-3</v>
      </c>
      <c r="U1128" s="101">
        <f>IF('Net zero activities &amp; levers'!$C$14="Off",'Activity data'!AN58*ManureNEF*NtoN2O*kgtoGg,IF('Net zero activities &amp; levers'!$C$14="On",'Net zero Activity data'!AN58*ManureNEF*NtoN2O*kgtoGg,"ERROR"))</f>
        <v>7.551628242645091E-3</v>
      </c>
      <c r="V1128" s="101">
        <f>IF('Net zero activities &amp; levers'!$C$14="Off",'Activity data'!AO58*ManureNEF*NtoN2O*kgtoGg,IF('Net zero activities &amp; levers'!$C$14="On",'Net zero Activity data'!AO58*ManureNEF*NtoN2O*kgtoGg,"ERROR"))</f>
        <v>7.5767478661135802E-3</v>
      </c>
      <c r="W1128" s="101">
        <f>IF('Net zero activities &amp; levers'!$C$14="Off",'Activity data'!AP58*ManureNEF*NtoN2O*kgtoGg,IF('Net zero activities &amp; levers'!$C$14="On",'Net zero Activity data'!AP58*ManureNEF*NtoN2O*kgtoGg,"ERROR"))</f>
        <v>7.6040674331418288E-3</v>
      </c>
      <c r="X1128" s="101">
        <f>IF('Net zero activities &amp; levers'!$C$14="Off",'Activity data'!AQ58*ManureNEF*NtoN2O*kgtoGg,IF('Net zero activities &amp; levers'!$C$14="On",'Net zero Activity data'!AQ58*ManureNEF*NtoN2O*kgtoGg,"ERROR"))</f>
        <v>7.6332191171963838E-3</v>
      </c>
      <c r="Y1128" s="101">
        <f>IF('Net zero activities &amp; levers'!$C$14="Off",'Activity data'!AR58*ManureNEF*NtoN2O*kgtoGg,IF('Net zero activities &amp; levers'!$C$14="On",'Net zero Activity data'!AR58*ManureNEF*NtoN2O*kgtoGg,"ERROR"))</f>
        <v>7.6516457516964944E-3</v>
      </c>
      <c r="Z1128" s="101">
        <f>IF('Net zero activities &amp; levers'!$C$14="Off",'Activity data'!AS58*ManureNEF*NtoN2O*kgtoGg,IF('Net zero activities &amp; levers'!$C$14="On",'Net zero Activity data'!AS58*ManureNEF*NtoN2O*kgtoGg,"ERROR"))</f>
        <v>7.671582433208788E-3</v>
      </c>
      <c r="AA1128" s="101">
        <f>IF('Net zero activities &amp; levers'!$C$14="Off",'Activity data'!AT58*ManureNEF*NtoN2O*kgtoGg,IF('Net zero activities &amp; levers'!$C$14="On",'Net zero Activity data'!AT58*ManureNEF*NtoN2O*kgtoGg,"ERROR"))</f>
        <v>7.6931116410769856E-3</v>
      </c>
      <c r="AB1128" s="101">
        <f>IF('Net zero activities &amp; levers'!$C$14="Off",'Activity data'!AU58*ManureNEF*NtoN2O*kgtoGg,IF('Net zero activities &amp; levers'!$C$14="On",'Net zero Activity data'!AU58*ManureNEF*NtoN2O*kgtoGg,"ERROR"))</f>
        <v>7.715936982347839E-3</v>
      </c>
      <c r="AC1128" s="101">
        <f>IF('Net zero activities &amp; levers'!$C$14="Off",'Activity data'!AV58*ManureNEF*NtoN2O*kgtoGg,IF('Net zero activities &amp; levers'!$C$14="On",'Net zero Activity data'!AV58*ManureNEF*NtoN2O*kgtoGg,"ERROR"))</f>
        <v>7.7401497609019794E-3</v>
      </c>
      <c r="AD1128" s="101">
        <f>IF('Net zero activities &amp; levers'!$C$14="Off",'Activity data'!AW58*ManureNEF*NtoN2O*kgtoGg,IF('Net zero activities &amp; levers'!$C$14="On",'Net zero Activity data'!AW58*ManureNEF*NtoN2O*kgtoGg,"ERROR"))</f>
        <v>7.7560075231361287E-3</v>
      </c>
      <c r="AE1128" s="101">
        <f>IF('Net zero activities &amp; levers'!$C$14="Off",'Activity data'!AX58*ManureNEF*NtoN2O*kgtoGg,IF('Net zero activities &amp; levers'!$C$14="On",'Net zero Activity data'!AX58*ManureNEF*NtoN2O*kgtoGg,"ERROR"))</f>
        <v>7.7732053799270803E-3</v>
      </c>
      <c r="AF1128" s="101">
        <f>IF('Net zero activities &amp; levers'!$C$14="Off",'Activity data'!AY58*ManureNEF*NtoN2O*kgtoGg,IF('Net zero activities &amp; levers'!$C$14="On",'Net zero Activity data'!AY58*ManureNEF*NtoN2O*kgtoGg,"ERROR"))</f>
        <v>7.791597942347143E-3</v>
      </c>
      <c r="AG1128" s="101">
        <f>IF('Net zero activities &amp; levers'!$C$14="Off",'Activity data'!AZ58*ManureNEF*NtoN2O*kgtoGg,IF('Net zero activities &amp; levers'!$C$14="On",'Net zero Activity data'!AZ58*ManureNEF*NtoN2O*kgtoGg,"ERROR"))</f>
        <v>7.8091049737688241E-3</v>
      </c>
      <c r="AH1128" s="101">
        <f>IF('Net zero activities &amp; levers'!$C$14="Off",'Activity data'!BA58*ManureNEF*NtoN2O*kgtoGg,IF('Net zero activities &amp; levers'!$C$14="On",'Net zero Activity data'!BA58*ManureNEF*NtoN2O*kgtoGg,"ERROR"))</f>
        <v>7.7325738697111325E-3</v>
      </c>
      <c r="AI1128" s="101">
        <f>IF('Net zero activities &amp; levers'!$C$14="Off",'Activity data'!BB58*ManureNEF*NtoN2O*kgtoGg,IF('Net zero activities &amp; levers'!$C$14="On",'Net zero Activity data'!BB58*ManureNEF*NtoN2O*kgtoGg,"ERROR"))</f>
        <v>7.7428137523622292E-3</v>
      </c>
      <c r="AJ1128" s="101">
        <f>IF('Net zero activities &amp; levers'!$C$14="Off",'Activity data'!BC58*ManureNEF*NtoN2O*kgtoGg,IF('Net zero activities &amp; levers'!$C$14="On",'Net zero Activity data'!BC58*ManureNEF*NtoN2O*kgtoGg,"ERROR"))</f>
        <v>7.7539717945612581E-3</v>
      </c>
      <c r="AK1128" s="101">
        <f>IF('Net zero activities &amp; levers'!$C$14="Off",'Activity data'!BD58*ManureNEF*NtoN2O*kgtoGg,IF('Net zero activities &amp; levers'!$C$14="On",'Net zero Activity data'!BD58*ManureNEF*NtoN2O*kgtoGg,"ERROR"))</f>
        <v>7.7660107090851711E-3</v>
      </c>
      <c r="AL1128" s="101">
        <f>IF('Net zero activities &amp; levers'!$C$14="Off",'Activity data'!BE58*ManureNEF*NtoN2O*kgtoGg,IF('Net zero activities &amp; levers'!$C$14="On",'Net zero Activity data'!BE58*ManureNEF*NtoN2O*kgtoGg,"ERROR"))</f>
        <v>7.7788961009166192E-3</v>
      </c>
      <c r="AM1128" s="101">
        <f>IF('Net zero activities &amp; levers'!$C$14="Off",'Activity data'!BF58*ManureNEF*NtoN2O*kgtoGg,IF('Net zero activities &amp; levers'!$C$14="On",'Net zero Activity data'!BF58*ManureNEF*NtoN2O*kgtoGg,"ERROR"))</f>
        <v>7.7925961903206999E-3</v>
      </c>
      <c r="AN1128" s="101">
        <f>IF('Net zero activities &amp; levers'!$C$14="Off",'Activity data'!BG58*ManureNEF*NtoN2O*kgtoGg,IF('Net zero activities &amp; levers'!$C$14="On",'Net zero Activity data'!BG58*ManureNEF*NtoN2O*kgtoGg,"ERROR"))</f>
        <v>7.7984769319172685E-3</v>
      </c>
      <c r="AO1128" s="101">
        <f>IF('Net zero activities &amp; levers'!$C$14="Off",'Activity data'!BH58*ManureNEF*NtoN2O*kgtoGg,IF('Net zero activities &amp; levers'!$C$14="On",'Net zero Activity data'!BH58*ManureNEF*NtoN2O*kgtoGg,"ERROR"))</f>
        <v>7.8050916075083259E-3</v>
      </c>
      <c r="AP1128" s="101">
        <f>IF('Net zero activities &amp; levers'!$C$14="Off",'Activity data'!BI58*ManureNEF*NtoN2O*kgtoGg,IF('Net zero activities &amp; levers'!$C$14="On",'Net zero Activity data'!BI58*ManureNEF*NtoN2O*kgtoGg,"ERROR"))</f>
        <v>7.8124125478177013E-3</v>
      </c>
      <c r="AQ1128" s="101">
        <f>IF('Net zero activities &amp; levers'!$C$14="Off",'Activity data'!BJ58*ManureNEF*NtoN2O*kgtoGg,IF('Net zero activities &amp; levers'!$C$14="On",'Net zero Activity data'!BJ58*ManureNEF*NtoN2O*kgtoGg,"ERROR"))</f>
        <v>7.8204139817466406E-3</v>
      </c>
      <c r="AR1128" s="101">
        <f>IF('Net zero activities &amp; levers'!$C$14="Off",'Activity data'!BK58*ManureNEF*NtoN2O*kgtoGg,IF('Net zero activities &amp; levers'!$C$14="On",'Net zero Activity data'!BK58*ManureNEF*NtoN2O*kgtoGg,"ERROR"))</f>
        <v>7.8290718737514843E-3</v>
      </c>
      <c r="AS1128" s="101">
        <f>IF('Net zero activities &amp; levers'!$C$14="Off",'Activity data'!BL58*ManureNEF*NtoN2O*kgtoGg,IF('Net zero activities &amp; levers'!$C$14="On",'Net zero Activity data'!BL58*ManureNEF*NtoN2O*kgtoGg,"ERROR"))</f>
        <v>7.8297473619786898E-3</v>
      </c>
      <c r="AT1128" s="101">
        <f>IF('Net zero activities &amp; levers'!$C$14="Off",'Activity data'!BM58*ManureNEF*NtoN2O*kgtoGg,IF('Net zero activities &amp; levers'!$C$14="On",'Net zero Activity data'!BM58*ManureNEF*NtoN2O*kgtoGg,"ERROR"))</f>
        <v>7.8310235836071794E-3</v>
      </c>
      <c r="AU1128" s="101">
        <f>IF('Net zero activities &amp; levers'!$C$14="Off",'Activity data'!BN58*ManureNEF*NtoN2O*kgtoGg,IF('Net zero activities &amp; levers'!$C$14="On",'Net zero Activity data'!BN58*ManureNEF*NtoN2O*kgtoGg,"ERROR"))</f>
        <v>7.8328789644581572E-3</v>
      </c>
      <c r="AV1128" s="101">
        <f>IF('Net zero activities &amp; levers'!$C$14="Off",'Activity data'!BO58*ManureNEF*NtoN2O*kgtoGg,IF('Net zero activities &amp; levers'!$C$14="On",'Net zero Activity data'!BO58*ManureNEF*NtoN2O*kgtoGg,"ERROR"))</f>
        <v>7.835293250883028E-3</v>
      </c>
      <c r="AW1128" s="101">
        <f>IF('Net zero activities &amp; levers'!$C$14="Off",'Activity data'!BP58*ManureNEF*NtoN2O*kgtoGg,IF('Net zero activities &amp; levers'!$C$14="On",'Net zero Activity data'!BP58*ManureNEF*NtoN2O*kgtoGg,"ERROR"))</f>
        <v>7.8382474074589117E-3</v>
      </c>
      <c r="AY1128" s="85"/>
    </row>
    <row r="1129" spans="1:51" x14ac:dyDescent="0.25">
      <c r="A1129" s="102" t="str">
        <f t="shared" si="374"/>
        <v>CM Organic</v>
      </c>
      <c r="B1129" s="102" t="s">
        <v>1323</v>
      </c>
      <c r="C1129" s="102" t="s">
        <v>1128</v>
      </c>
      <c r="D1129" t="s">
        <v>369</v>
      </c>
      <c r="E1129" t="s">
        <v>55</v>
      </c>
      <c r="F1129" t="s">
        <v>421</v>
      </c>
      <c r="G1129" t="s">
        <v>1171</v>
      </c>
      <c r="H1129" t="s">
        <v>1172</v>
      </c>
      <c r="I1129" t="s">
        <v>139</v>
      </c>
      <c r="J1129" t="s">
        <v>287</v>
      </c>
      <c r="K1129" s="101">
        <f>IF('Net zero activities &amp; levers'!$C$14="Off",'Activity data'!AD59*ManureNEF*NtoN2O*kgtoGg,IF('Net zero activities &amp; levers'!$C$14="On",'Net zero Activity data'!AD59*ManureNEF*NtoN2O*kgtoGg,"ERROR"))</f>
        <v>8.7042781172852426E-2</v>
      </c>
      <c r="L1129" s="101">
        <f>IF('Net zero activities &amp; levers'!$C$14="Off",'Activity data'!AE59*ManureNEF*NtoN2O*kgtoGg,IF('Net zero activities &amp; levers'!$C$14="On",'Net zero Activity data'!AE59*ManureNEF*NtoN2O*kgtoGg,"ERROR"))</f>
        <v>8.7269809364329015E-2</v>
      </c>
      <c r="M1129" s="101">
        <f>IF('Net zero activities &amp; levers'!$C$14="Off",'Activity data'!AF59*ManureNEF*NtoN2O*kgtoGg,IF('Net zero activities &amp; levers'!$C$14="On",'Net zero Activity data'!AF59*ManureNEF*NtoN2O*kgtoGg,"ERROR"))</f>
        <v>8.7572344539923463E-2</v>
      </c>
      <c r="N1129" s="101">
        <f>IF('Net zero activities &amp; levers'!$C$14="Off",'Activity data'!AG59*ManureNEF*NtoN2O*kgtoGg,IF('Net zero activities &amp; levers'!$C$14="On",'Net zero Activity data'!AG59*ManureNEF*NtoN2O*kgtoGg,"ERROR"))</f>
        <v>8.7943660748253619E-2</v>
      </c>
      <c r="O1129" s="101">
        <f>IF('Net zero activities &amp; levers'!$C$14="Off",'Activity data'!AH59*ManureNEF*NtoN2O*kgtoGg,IF('Net zero activities &amp; levers'!$C$14="On",'Net zero Activity data'!AH59*ManureNEF*NtoN2O*kgtoGg,"ERROR"))</f>
        <v>8.8388219991077738E-2</v>
      </c>
      <c r="P1129" s="101">
        <f>IF('Net zero activities &amp; levers'!$C$14="Off",'Activity data'!AI59*ManureNEF*NtoN2O*kgtoGg,IF('Net zero activities &amp; levers'!$C$14="On",'Net zero Activity data'!AI59*ManureNEF*NtoN2O*kgtoGg,"ERROR"))</f>
        <v>8.8907205294776276E-2</v>
      </c>
      <c r="Q1129" s="101">
        <f>IF('Net zero activities &amp; levers'!$C$14="Off",'Activity data'!AJ59*ManureNEF*NtoN2O*kgtoGg,IF('Net zero activities &amp; levers'!$C$14="On",'Net zero Activity data'!AJ59*ManureNEF*NtoN2O*kgtoGg,"ERROR"))</f>
        <v>8.9462096262315383E-2</v>
      </c>
      <c r="R1129" s="101">
        <f>IF('Net zero activities &amp; levers'!$C$14="Off",'Activity data'!AK59*ManureNEF*NtoN2O*kgtoGg,IF('Net zero activities &amp; levers'!$C$14="On",'Net zero Activity data'!AK59*ManureNEF*NtoN2O*kgtoGg,"ERROR"))</f>
        <v>9.0044958407765094E-2</v>
      </c>
      <c r="S1129" s="101">
        <f>IF('Net zero activities &amp; levers'!$C$14="Off",'Activity data'!AL59*ManureNEF*NtoN2O*kgtoGg,IF('Net zero activities &amp; levers'!$C$14="On",'Net zero Activity data'!AL59*ManureNEF*NtoN2O*kgtoGg,"ERROR"))</f>
        <v>9.058641174008604E-2</v>
      </c>
      <c r="T1129" s="101">
        <f>IF('Net zero activities &amp; levers'!$C$14="Off",'Activity data'!AM59*ManureNEF*NtoN2O*kgtoGg,IF('Net zero activities &amp; levers'!$C$14="On",'Net zero Activity data'!AM59*ManureNEF*NtoN2O*kgtoGg,"ERROR"))</f>
        <v>9.0840153267838591E-2</v>
      </c>
      <c r="U1129" s="101">
        <f>IF('Net zero activities &amp; levers'!$C$14="Off",'Activity data'!AN59*ManureNEF*NtoN2O*kgtoGg,IF('Net zero activities &amp; levers'!$C$14="On",'Net zero Activity data'!AN59*ManureNEF*NtoN2O*kgtoGg,"ERROR"))</f>
        <v>9.1118394918272713E-2</v>
      </c>
      <c r="V1129" s="101">
        <f>IF('Net zero activities &amp; levers'!$C$14="Off",'Activity data'!AO59*ManureNEF*NtoN2O*kgtoGg,IF('Net zero activities &amp; levers'!$C$14="On",'Net zero Activity data'!AO59*ManureNEF*NtoN2O*kgtoGg,"ERROR"))</f>
        <v>9.1421489787068641E-2</v>
      </c>
      <c r="W1129" s="101">
        <f>IF('Net zero activities &amp; levers'!$C$14="Off",'Activity data'!AP59*ManureNEF*NtoN2O*kgtoGg,IF('Net zero activities &amp; levers'!$C$14="On",'Net zero Activity data'!AP59*ManureNEF*NtoN2O*kgtoGg,"ERROR"))</f>
        <v>9.1751129305526188E-2</v>
      </c>
      <c r="X1129" s="101">
        <f>IF('Net zero activities &amp; levers'!$C$14="Off",'Activity data'!AQ59*ManureNEF*NtoN2O*kgtoGg,IF('Net zero activities &amp; levers'!$C$14="On",'Net zero Activity data'!AQ59*ManureNEF*NtoN2O*kgtoGg,"ERROR"))</f>
        <v>9.2102875256845074E-2</v>
      </c>
      <c r="Y1129" s="101">
        <f>IF('Net zero activities &amp; levers'!$C$14="Off",'Activity data'!AR59*ManureNEF*NtoN2O*kgtoGg,IF('Net zero activities &amp; levers'!$C$14="On",'Net zero Activity data'!AR59*ManureNEF*NtoN2O*kgtoGg,"ERROR"))</f>
        <v>9.232521212320649E-2</v>
      </c>
      <c r="Z1129" s="101">
        <f>IF('Net zero activities &amp; levers'!$C$14="Off",'Activity data'!AS59*ManureNEF*NtoN2O*kgtoGg,IF('Net zero activities &amp; levers'!$C$14="On",'Net zero Activity data'!AS59*ManureNEF*NtoN2O*kgtoGg,"ERROR"))</f>
        <v>9.2565769306508783E-2</v>
      </c>
      <c r="AA1129" s="101">
        <f>IF('Net zero activities &amp; levers'!$C$14="Off",'Activity data'!AT59*ManureNEF*NtoN2O*kgtoGg,IF('Net zero activities &amp; levers'!$C$14="On",'Net zero Activity data'!AT59*ManureNEF*NtoN2O*kgtoGg,"ERROR"))</f>
        <v>9.2825542007412429E-2</v>
      </c>
      <c r="AB1129" s="101">
        <f>IF('Net zero activities &amp; levers'!$C$14="Off",'Activity data'!AU59*ManureNEF*NtoN2O*kgtoGg,IF('Net zero activities &amp; levers'!$C$14="On",'Net zero Activity data'!AU59*ManureNEF*NtoN2O*kgtoGg,"ERROR"))</f>
        <v>9.3100953930938646E-2</v>
      </c>
      <c r="AC1129" s="101">
        <f>IF('Net zero activities &amp; levers'!$C$14="Off",'Activity data'!AV59*ManureNEF*NtoN2O*kgtoGg,IF('Net zero activities &amp; levers'!$C$14="On",'Net zero Activity data'!AV59*ManureNEF*NtoN2O*kgtoGg,"ERROR"))</f>
        <v>9.339310675513432E-2</v>
      </c>
      <c r="AD1129" s="101">
        <f>IF('Net zero activities &amp; levers'!$C$14="Off",'Activity data'!AW59*ManureNEF*NtoN2O*kgtoGg,IF('Net zero activities &amp; levers'!$C$14="On",'Net zero Activity data'!AW59*ManureNEF*NtoN2O*kgtoGg,"ERROR"))</f>
        <v>9.3584447456151826E-2</v>
      </c>
      <c r="AE1129" s="101">
        <f>IF('Net zero activities &amp; levers'!$C$14="Off",'Activity data'!AX59*ManureNEF*NtoN2O*kgtoGg,IF('Net zero activities &amp; levers'!$C$14="On",'Net zero Activity data'!AX59*ManureNEF*NtoN2O*kgtoGg,"ERROR"))</f>
        <v>9.3791957817689064E-2</v>
      </c>
      <c r="AF1129" s="101">
        <f>IF('Net zero activities &amp; levers'!$C$14="Off",'Activity data'!AY59*ManureNEF*NtoN2O*kgtoGg,IF('Net zero activities &amp; levers'!$C$14="On",'Net zero Activity data'!AY59*ManureNEF*NtoN2O*kgtoGg,"ERROR"))</f>
        <v>9.4013883568308809E-2</v>
      </c>
      <c r="AG1129" s="101">
        <f>IF('Net zero activities &amp; levers'!$C$14="Off",'Activity data'!AZ59*ManureNEF*NtoN2O*kgtoGg,IF('Net zero activities &amp; levers'!$C$14="On",'Net zero Activity data'!AZ59*ManureNEF*NtoN2O*kgtoGg,"ERROR"))</f>
        <v>9.4225124449304393E-2</v>
      </c>
      <c r="AH1129" s="101">
        <f>IF('Net zero activities &amp; levers'!$C$14="Off",'Activity data'!BA59*ManureNEF*NtoN2O*kgtoGg,IF('Net zero activities &amp; levers'!$C$14="On",'Net zero Activity data'!BA59*ManureNEF*NtoN2O*kgtoGg,"ERROR"))</f>
        <v>9.3301695602041948E-2</v>
      </c>
      <c r="AI1129" s="101">
        <f>IF('Net zero activities &amp; levers'!$C$14="Off",'Activity data'!BB59*ManureNEF*NtoN2O*kgtoGg,IF('Net zero activities &amp; levers'!$C$14="On",'Net zero Activity data'!BB59*ManureNEF*NtoN2O*kgtoGg,"ERROR"))</f>
        <v>9.342525063432626E-2</v>
      </c>
      <c r="AJ1129" s="101">
        <f>IF('Net zero activities &amp; levers'!$C$14="Off",'Activity data'!BC59*ManureNEF*NtoN2O*kgtoGg,IF('Net zero activities &amp; levers'!$C$14="On",'Net zero Activity data'!BC59*ManureNEF*NtoN2O*kgtoGg,"ERROR"))</f>
        <v>9.3559884234251725E-2</v>
      </c>
      <c r="AK1129" s="101">
        <f>IF('Net zero activities &amp; levers'!$C$14="Off",'Activity data'!BD59*ManureNEF*NtoN2O*kgtoGg,IF('Net zero activities &amp; levers'!$C$14="On",'Net zero Activity data'!BD59*ManureNEF*NtoN2O*kgtoGg,"ERROR"))</f>
        <v>9.370514649197019E-2</v>
      </c>
      <c r="AL1129" s="101">
        <f>IF('Net zero activities &amp; levers'!$C$14="Off",'Activity data'!BE59*ManureNEF*NtoN2O*kgtoGg,IF('Net zero activities &amp; levers'!$C$14="On",'Net zero Activity data'!BE59*ManureNEF*NtoN2O*kgtoGg,"ERROR"))</f>
        <v>9.3860622395159451E-2</v>
      </c>
      <c r="AM1129" s="101">
        <f>IF('Net zero activities &amp; levers'!$C$14="Off",'Activity data'!BF59*ManureNEF*NtoN2O*kgtoGg,IF('Net zero activities &amp; levers'!$C$14="On",'Net zero Activity data'!BF59*ManureNEF*NtoN2O*kgtoGg,"ERROR"))</f>
        <v>9.4025928487650484E-2</v>
      </c>
      <c r="AN1129" s="101">
        <f>IF('Net zero activities &amp; levers'!$C$14="Off",'Activity data'!BG59*ManureNEF*NtoN2O*kgtoGg,IF('Net zero activities &amp; levers'!$C$14="On",'Net zero Activity data'!BG59*ManureNEF*NtoN2O*kgtoGg,"ERROR"))</f>
        <v>9.4096885865051882E-2</v>
      </c>
      <c r="AO1129" s="101">
        <f>IF('Net zero activities &amp; levers'!$C$14="Off",'Activity data'!BH59*ManureNEF*NtoN2O*kgtoGg,IF('Net zero activities &amp; levers'!$C$14="On",'Net zero Activity data'!BH59*ManureNEF*NtoN2O*kgtoGg,"ERROR"))</f>
        <v>9.4176698933624112E-2</v>
      </c>
      <c r="AP1129" s="101">
        <f>IF('Net zero activities &amp; levers'!$C$14="Off",'Activity data'!BI59*ManureNEF*NtoN2O*kgtoGg,IF('Net zero activities &amp; levers'!$C$14="On",'Net zero Activity data'!BI59*ManureNEF*NtoN2O*kgtoGg,"ERROR"))</f>
        <v>9.4265033834237441E-2</v>
      </c>
      <c r="AQ1129" s="101">
        <f>IF('Net zero activities &amp; levers'!$C$14="Off",'Activity data'!BJ59*ManureNEF*NtoN2O*kgtoGg,IF('Net zero activities &amp; levers'!$C$14="On",'Net zero Activity data'!BJ59*ManureNEF*NtoN2O*kgtoGg,"ERROR"))</f>
        <v>9.4361579611283539E-2</v>
      </c>
      <c r="AR1129" s="101">
        <f>IF('Net zero activities &amp; levers'!$C$14="Off",'Activity data'!BK59*ManureNEF*NtoN2O*kgtoGg,IF('Net zero activities &amp; levers'!$C$14="On",'Net zero Activity data'!BK59*ManureNEF*NtoN2O*kgtoGg,"ERROR"))</f>
        <v>9.4466046250465022E-2</v>
      </c>
      <c r="AS1129" s="101">
        <f>IF('Net zero activities &amp; levers'!$C$14="Off",'Activity data'!BL59*ManureNEF*NtoN2O*kgtoGg,IF('Net zero activities &amp; levers'!$C$14="On",'Net zero Activity data'!BL59*ManureNEF*NtoN2O*kgtoGg,"ERROR"))</f>
        <v>9.4474196731536342E-2</v>
      </c>
      <c r="AT1129" s="101">
        <f>IF('Net zero activities &amp; levers'!$C$14="Off",'Activity data'!BM59*ManureNEF*NtoN2O*kgtoGg,IF('Net zero activities &amp; levers'!$C$14="On",'Net zero Activity data'!BM59*ManureNEF*NtoN2O*kgtoGg,"ERROR"))</f>
        <v>9.4489595697509143E-2</v>
      </c>
      <c r="AU1129" s="101">
        <f>IF('Net zero activities &amp; levers'!$C$14="Off",'Activity data'!BN59*ManureNEF*NtoN2O*kgtoGg,IF('Net zero activities &amp; levers'!$C$14="On",'Net zero Activity data'!BN59*ManureNEF*NtoN2O*kgtoGg,"ERROR"))</f>
        <v>9.4511982833060726E-2</v>
      </c>
      <c r="AV1129" s="101">
        <f>IF('Net zero activities &amp; levers'!$C$14="Off",'Activity data'!BO59*ManureNEF*NtoN2O*kgtoGg,IF('Net zero activities &amp; levers'!$C$14="On",'Net zero Activity data'!BO59*ManureNEF*NtoN2O*kgtoGg,"ERROR"))</f>
        <v>9.4541113756464096E-2</v>
      </c>
      <c r="AW1129" s="101">
        <f>IF('Net zero activities &amp; levers'!$C$14="Off",'Activity data'!BP59*ManureNEF*NtoN2O*kgtoGg,IF('Net zero activities &amp; levers'!$C$14="On",'Net zero Activity data'!BP59*ManureNEF*NtoN2O*kgtoGg,"ERROR"))</f>
        <v>9.4576758785176129E-2</v>
      </c>
      <c r="AY1129" s="85"/>
    </row>
    <row r="1130" spans="1:51" x14ac:dyDescent="0.25">
      <c r="A1130" s="102" t="str">
        <f t="shared" si="374"/>
        <v>CM Organic</v>
      </c>
      <c r="B1130" s="102" t="s">
        <v>1323</v>
      </c>
      <c r="C1130" s="102" t="s">
        <v>1128</v>
      </c>
      <c r="D1130" t="s">
        <v>369</v>
      </c>
      <c r="E1130" t="s">
        <v>55</v>
      </c>
      <c r="F1130" t="s">
        <v>421</v>
      </c>
      <c r="G1130" t="s">
        <v>1173</v>
      </c>
      <c r="H1130" t="s">
        <v>1174</v>
      </c>
      <c r="I1130" t="s">
        <v>139</v>
      </c>
      <c r="J1130" t="s">
        <v>287</v>
      </c>
      <c r="K1130" s="101">
        <f>IF('Net zero activities &amp; levers'!$C$14="Off",'Activity data'!AD60*ManureNEF*NtoN2O*kgtoGg,IF('Net zero activities &amp; levers'!$C$14="On",'Net zero Activity data'!AD60*ManureNEF*NtoN2O*kgtoGg,"ERROR"))</f>
        <v>0</v>
      </c>
      <c r="L1130" s="101">
        <f>IF('Net zero activities &amp; levers'!$C$14="Off",'Activity data'!AE60*ManureNEF*NtoN2O*kgtoGg,IF('Net zero activities &amp; levers'!$C$14="On",'Net zero Activity data'!AE60*ManureNEF*NtoN2O*kgtoGg,"ERROR"))</f>
        <v>0</v>
      </c>
      <c r="M1130" s="101">
        <f>IF('Net zero activities &amp; levers'!$C$14="Off",'Activity data'!AF60*ManureNEF*NtoN2O*kgtoGg,IF('Net zero activities &amp; levers'!$C$14="On",'Net zero Activity data'!AF60*ManureNEF*NtoN2O*kgtoGg,"ERROR"))</f>
        <v>0</v>
      </c>
      <c r="N1130" s="101">
        <f>IF('Net zero activities &amp; levers'!$C$14="Off",'Activity data'!AG60*ManureNEF*NtoN2O*kgtoGg,IF('Net zero activities &amp; levers'!$C$14="On",'Net zero Activity data'!AG60*ManureNEF*NtoN2O*kgtoGg,"ERROR"))</f>
        <v>0</v>
      </c>
      <c r="O1130" s="101">
        <f>IF('Net zero activities &amp; levers'!$C$14="Off",'Activity data'!AH60*ManureNEF*NtoN2O*kgtoGg,IF('Net zero activities &amp; levers'!$C$14="On",'Net zero Activity data'!AH60*ManureNEF*NtoN2O*kgtoGg,"ERROR"))</f>
        <v>0</v>
      </c>
      <c r="P1130" s="101">
        <f>IF('Net zero activities &amp; levers'!$C$14="Off",'Activity data'!AI60*ManureNEF*NtoN2O*kgtoGg,IF('Net zero activities &amp; levers'!$C$14="On",'Net zero Activity data'!AI60*ManureNEF*NtoN2O*kgtoGg,"ERROR"))</f>
        <v>0</v>
      </c>
      <c r="Q1130" s="101">
        <f>IF('Net zero activities &amp; levers'!$C$14="Off",'Activity data'!AJ60*ManureNEF*NtoN2O*kgtoGg,IF('Net zero activities &amp; levers'!$C$14="On",'Net zero Activity data'!AJ60*ManureNEF*NtoN2O*kgtoGg,"ERROR"))</f>
        <v>0</v>
      </c>
      <c r="R1130" s="101">
        <f>IF('Net zero activities &amp; levers'!$C$14="Off",'Activity data'!AK60*ManureNEF*NtoN2O*kgtoGg,IF('Net zero activities &amp; levers'!$C$14="On",'Net zero Activity data'!AK60*ManureNEF*NtoN2O*kgtoGg,"ERROR"))</f>
        <v>0</v>
      </c>
      <c r="S1130" s="101">
        <f>IF('Net zero activities &amp; levers'!$C$14="Off",'Activity data'!AL60*ManureNEF*NtoN2O*kgtoGg,IF('Net zero activities &amp; levers'!$C$14="On",'Net zero Activity data'!AL60*ManureNEF*NtoN2O*kgtoGg,"ERROR"))</f>
        <v>0</v>
      </c>
      <c r="T1130" s="101">
        <f>IF('Net zero activities &amp; levers'!$C$14="Off",'Activity data'!AM60*ManureNEF*NtoN2O*kgtoGg,IF('Net zero activities &amp; levers'!$C$14="On",'Net zero Activity data'!AM60*ManureNEF*NtoN2O*kgtoGg,"ERROR"))</f>
        <v>0</v>
      </c>
      <c r="U1130" s="101">
        <f>IF('Net zero activities &amp; levers'!$C$14="Off",'Activity data'!AN60*ManureNEF*NtoN2O*kgtoGg,IF('Net zero activities &amp; levers'!$C$14="On",'Net zero Activity data'!AN60*ManureNEF*NtoN2O*kgtoGg,"ERROR"))</f>
        <v>0</v>
      </c>
      <c r="V1130" s="101">
        <f>IF('Net zero activities &amp; levers'!$C$14="Off",'Activity data'!AO60*ManureNEF*NtoN2O*kgtoGg,IF('Net zero activities &amp; levers'!$C$14="On",'Net zero Activity data'!AO60*ManureNEF*NtoN2O*kgtoGg,"ERROR"))</f>
        <v>0</v>
      </c>
      <c r="W1130" s="101">
        <f>IF('Net zero activities &amp; levers'!$C$14="Off",'Activity data'!AP60*ManureNEF*NtoN2O*kgtoGg,IF('Net zero activities &amp; levers'!$C$14="On",'Net zero Activity data'!AP60*ManureNEF*NtoN2O*kgtoGg,"ERROR"))</f>
        <v>0</v>
      </c>
      <c r="X1130" s="101">
        <f>IF('Net zero activities &amp; levers'!$C$14="Off",'Activity data'!AQ60*ManureNEF*NtoN2O*kgtoGg,IF('Net zero activities &amp; levers'!$C$14="On",'Net zero Activity data'!AQ60*ManureNEF*NtoN2O*kgtoGg,"ERROR"))</f>
        <v>0</v>
      </c>
      <c r="Y1130" s="101">
        <f>IF('Net zero activities &amp; levers'!$C$14="Off",'Activity data'!AR60*ManureNEF*NtoN2O*kgtoGg,IF('Net zero activities &amp; levers'!$C$14="On",'Net zero Activity data'!AR60*ManureNEF*NtoN2O*kgtoGg,"ERROR"))</f>
        <v>0</v>
      </c>
      <c r="Z1130" s="101">
        <f>IF('Net zero activities &amp; levers'!$C$14="Off",'Activity data'!AS60*ManureNEF*NtoN2O*kgtoGg,IF('Net zero activities &amp; levers'!$C$14="On",'Net zero Activity data'!AS60*ManureNEF*NtoN2O*kgtoGg,"ERROR"))</f>
        <v>0</v>
      </c>
      <c r="AA1130" s="101">
        <f>IF('Net zero activities &amp; levers'!$C$14="Off",'Activity data'!AT60*ManureNEF*NtoN2O*kgtoGg,IF('Net zero activities &amp; levers'!$C$14="On",'Net zero Activity data'!AT60*ManureNEF*NtoN2O*kgtoGg,"ERROR"))</f>
        <v>0</v>
      </c>
      <c r="AB1130" s="101">
        <f>IF('Net zero activities &amp; levers'!$C$14="Off",'Activity data'!AU60*ManureNEF*NtoN2O*kgtoGg,IF('Net zero activities &amp; levers'!$C$14="On",'Net zero Activity data'!AU60*ManureNEF*NtoN2O*kgtoGg,"ERROR"))</f>
        <v>0</v>
      </c>
      <c r="AC1130" s="101">
        <f>IF('Net zero activities &amp; levers'!$C$14="Off",'Activity data'!AV60*ManureNEF*NtoN2O*kgtoGg,IF('Net zero activities &amp; levers'!$C$14="On",'Net zero Activity data'!AV60*ManureNEF*NtoN2O*kgtoGg,"ERROR"))</f>
        <v>0</v>
      </c>
      <c r="AD1130" s="101">
        <f>IF('Net zero activities &amp; levers'!$C$14="Off",'Activity data'!AW60*ManureNEF*NtoN2O*kgtoGg,IF('Net zero activities &amp; levers'!$C$14="On",'Net zero Activity data'!AW60*ManureNEF*NtoN2O*kgtoGg,"ERROR"))</f>
        <v>0</v>
      </c>
      <c r="AE1130" s="101">
        <f>IF('Net zero activities &amp; levers'!$C$14="Off",'Activity data'!AX60*ManureNEF*NtoN2O*kgtoGg,IF('Net zero activities &amp; levers'!$C$14="On",'Net zero Activity data'!AX60*ManureNEF*NtoN2O*kgtoGg,"ERROR"))</f>
        <v>0</v>
      </c>
      <c r="AF1130" s="101">
        <f>IF('Net zero activities &amp; levers'!$C$14="Off",'Activity data'!AY60*ManureNEF*NtoN2O*kgtoGg,IF('Net zero activities &amp; levers'!$C$14="On",'Net zero Activity data'!AY60*ManureNEF*NtoN2O*kgtoGg,"ERROR"))</f>
        <v>0</v>
      </c>
      <c r="AG1130" s="101">
        <f>IF('Net zero activities &amp; levers'!$C$14="Off",'Activity data'!AZ60*ManureNEF*NtoN2O*kgtoGg,IF('Net zero activities &amp; levers'!$C$14="On",'Net zero Activity data'!AZ60*ManureNEF*NtoN2O*kgtoGg,"ERROR"))</f>
        <v>0</v>
      </c>
      <c r="AH1130" s="101">
        <f>IF('Net zero activities &amp; levers'!$C$14="Off",'Activity data'!BA60*ManureNEF*NtoN2O*kgtoGg,IF('Net zero activities &amp; levers'!$C$14="On",'Net zero Activity data'!BA60*ManureNEF*NtoN2O*kgtoGg,"ERROR"))</f>
        <v>0</v>
      </c>
      <c r="AI1130" s="101">
        <f>IF('Net zero activities &amp; levers'!$C$14="Off",'Activity data'!BB60*ManureNEF*NtoN2O*kgtoGg,IF('Net zero activities &amp; levers'!$C$14="On",'Net zero Activity data'!BB60*ManureNEF*NtoN2O*kgtoGg,"ERROR"))</f>
        <v>0</v>
      </c>
      <c r="AJ1130" s="101">
        <f>IF('Net zero activities &amp; levers'!$C$14="Off",'Activity data'!BC60*ManureNEF*NtoN2O*kgtoGg,IF('Net zero activities &amp; levers'!$C$14="On",'Net zero Activity data'!BC60*ManureNEF*NtoN2O*kgtoGg,"ERROR"))</f>
        <v>0</v>
      </c>
      <c r="AK1130" s="101">
        <f>IF('Net zero activities &amp; levers'!$C$14="Off",'Activity data'!BD60*ManureNEF*NtoN2O*kgtoGg,IF('Net zero activities &amp; levers'!$C$14="On",'Net zero Activity data'!BD60*ManureNEF*NtoN2O*kgtoGg,"ERROR"))</f>
        <v>0</v>
      </c>
      <c r="AL1130" s="101">
        <f>IF('Net zero activities &amp; levers'!$C$14="Off",'Activity data'!BE60*ManureNEF*NtoN2O*kgtoGg,IF('Net zero activities &amp; levers'!$C$14="On",'Net zero Activity data'!BE60*ManureNEF*NtoN2O*kgtoGg,"ERROR"))</f>
        <v>0</v>
      </c>
      <c r="AM1130" s="101">
        <f>IF('Net zero activities &amp; levers'!$C$14="Off",'Activity data'!BF60*ManureNEF*NtoN2O*kgtoGg,IF('Net zero activities &amp; levers'!$C$14="On",'Net zero Activity data'!BF60*ManureNEF*NtoN2O*kgtoGg,"ERROR"))</f>
        <v>0</v>
      </c>
      <c r="AN1130" s="101">
        <f>IF('Net zero activities &amp; levers'!$C$14="Off",'Activity data'!BG60*ManureNEF*NtoN2O*kgtoGg,IF('Net zero activities &amp; levers'!$C$14="On",'Net zero Activity data'!BG60*ManureNEF*NtoN2O*kgtoGg,"ERROR"))</f>
        <v>0</v>
      </c>
      <c r="AO1130" s="101">
        <f>IF('Net zero activities &amp; levers'!$C$14="Off",'Activity data'!BH60*ManureNEF*NtoN2O*kgtoGg,IF('Net zero activities &amp; levers'!$C$14="On",'Net zero Activity data'!BH60*ManureNEF*NtoN2O*kgtoGg,"ERROR"))</f>
        <v>0</v>
      </c>
      <c r="AP1130" s="101">
        <f>IF('Net zero activities &amp; levers'!$C$14="Off",'Activity data'!BI60*ManureNEF*NtoN2O*kgtoGg,IF('Net zero activities &amp; levers'!$C$14="On",'Net zero Activity data'!BI60*ManureNEF*NtoN2O*kgtoGg,"ERROR"))</f>
        <v>0</v>
      </c>
      <c r="AQ1130" s="101">
        <f>IF('Net zero activities &amp; levers'!$C$14="Off",'Activity data'!BJ60*ManureNEF*NtoN2O*kgtoGg,IF('Net zero activities &amp; levers'!$C$14="On",'Net zero Activity data'!BJ60*ManureNEF*NtoN2O*kgtoGg,"ERROR"))</f>
        <v>0</v>
      </c>
      <c r="AR1130" s="101">
        <f>IF('Net zero activities &amp; levers'!$C$14="Off",'Activity data'!BK60*ManureNEF*NtoN2O*kgtoGg,IF('Net zero activities &amp; levers'!$C$14="On",'Net zero Activity data'!BK60*ManureNEF*NtoN2O*kgtoGg,"ERROR"))</f>
        <v>0</v>
      </c>
      <c r="AS1130" s="101">
        <f>IF('Net zero activities &amp; levers'!$C$14="Off",'Activity data'!BL60*ManureNEF*NtoN2O*kgtoGg,IF('Net zero activities &amp; levers'!$C$14="On",'Net zero Activity data'!BL60*ManureNEF*NtoN2O*kgtoGg,"ERROR"))</f>
        <v>0</v>
      </c>
      <c r="AT1130" s="101">
        <f>IF('Net zero activities &amp; levers'!$C$14="Off",'Activity data'!BM60*ManureNEF*NtoN2O*kgtoGg,IF('Net zero activities &amp; levers'!$C$14="On",'Net zero Activity data'!BM60*ManureNEF*NtoN2O*kgtoGg,"ERROR"))</f>
        <v>0</v>
      </c>
      <c r="AU1130" s="101">
        <f>IF('Net zero activities &amp; levers'!$C$14="Off",'Activity data'!BN60*ManureNEF*NtoN2O*kgtoGg,IF('Net zero activities &amp; levers'!$C$14="On",'Net zero Activity data'!BN60*ManureNEF*NtoN2O*kgtoGg,"ERROR"))</f>
        <v>0</v>
      </c>
      <c r="AV1130" s="101">
        <f>IF('Net zero activities &amp; levers'!$C$14="Off",'Activity data'!BO60*ManureNEF*NtoN2O*kgtoGg,IF('Net zero activities &amp; levers'!$C$14="On",'Net zero Activity data'!BO60*ManureNEF*NtoN2O*kgtoGg,"ERROR"))</f>
        <v>0</v>
      </c>
      <c r="AW1130" s="101">
        <f>IF('Net zero activities &amp; levers'!$C$14="Off",'Activity data'!BP60*ManureNEF*NtoN2O*kgtoGg,IF('Net zero activities &amp; levers'!$C$14="On",'Net zero Activity data'!BP60*ManureNEF*NtoN2O*kgtoGg,"ERROR"))</f>
        <v>0</v>
      </c>
      <c r="AY1130" s="85"/>
    </row>
    <row r="1131" spans="1:51" x14ac:dyDescent="0.25">
      <c r="A1131" s="102" t="str">
        <f t="shared" si="374"/>
        <v>CM Organic</v>
      </c>
      <c r="B1131" s="102" t="s">
        <v>1323</v>
      </c>
      <c r="C1131" s="102" t="s">
        <v>1128</v>
      </c>
      <c r="D1131" t="s">
        <v>369</v>
      </c>
      <c r="E1131" t="s">
        <v>55</v>
      </c>
      <c r="F1131" t="s">
        <v>421</v>
      </c>
      <c r="G1131" t="s">
        <v>1175</v>
      </c>
      <c r="H1131" t="s">
        <v>1176</v>
      </c>
      <c r="I1131" t="s">
        <v>139</v>
      </c>
      <c r="J1131" t="s">
        <v>287</v>
      </c>
      <c r="K1131" s="101">
        <f>IF('Net zero activities &amp; levers'!$C$14="Off",'Activity data'!AD61*ManureNEF*NtoN2O*kgtoGg,IF('Net zero activities &amp; levers'!$C$14="On",'Net zero Activity data'!AD61*ManureNEF*NtoN2O*kgtoGg,"ERROR"))</f>
        <v>0</v>
      </c>
      <c r="L1131" s="101">
        <f>IF('Net zero activities &amp; levers'!$C$14="Off",'Activity data'!AE61*ManureNEF*NtoN2O*kgtoGg,IF('Net zero activities &amp; levers'!$C$14="On",'Net zero Activity data'!AE61*ManureNEF*NtoN2O*kgtoGg,"ERROR"))</f>
        <v>0</v>
      </c>
      <c r="M1131" s="101">
        <f>IF('Net zero activities &amp; levers'!$C$14="Off",'Activity data'!AF61*ManureNEF*NtoN2O*kgtoGg,IF('Net zero activities &amp; levers'!$C$14="On",'Net zero Activity data'!AF61*ManureNEF*NtoN2O*kgtoGg,"ERROR"))</f>
        <v>0</v>
      </c>
      <c r="N1131" s="101">
        <f>IF('Net zero activities &amp; levers'!$C$14="Off",'Activity data'!AG61*ManureNEF*NtoN2O*kgtoGg,IF('Net zero activities &amp; levers'!$C$14="On",'Net zero Activity data'!AG61*ManureNEF*NtoN2O*kgtoGg,"ERROR"))</f>
        <v>0</v>
      </c>
      <c r="O1131" s="101">
        <f>IF('Net zero activities &amp; levers'!$C$14="Off",'Activity data'!AH61*ManureNEF*NtoN2O*kgtoGg,IF('Net zero activities &amp; levers'!$C$14="On",'Net zero Activity data'!AH61*ManureNEF*NtoN2O*kgtoGg,"ERROR"))</f>
        <v>0</v>
      </c>
      <c r="P1131" s="101">
        <f>IF('Net zero activities &amp; levers'!$C$14="Off",'Activity data'!AI61*ManureNEF*NtoN2O*kgtoGg,IF('Net zero activities &amp; levers'!$C$14="On",'Net zero Activity data'!AI61*ManureNEF*NtoN2O*kgtoGg,"ERROR"))</f>
        <v>0</v>
      </c>
      <c r="Q1131" s="101">
        <f>IF('Net zero activities &amp; levers'!$C$14="Off",'Activity data'!AJ61*ManureNEF*NtoN2O*kgtoGg,IF('Net zero activities &amp; levers'!$C$14="On",'Net zero Activity data'!AJ61*ManureNEF*NtoN2O*kgtoGg,"ERROR"))</f>
        <v>0</v>
      </c>
      <c r="R1131" s="101">
        <f>IF('Net zero activities &amp; levers'!$C$14="Off",'Activity data'!AK61*ManureNEF*NtoN2O*kgtoGg,IF('Net zero activities &amp; levers'!$C$14="On",'Net zero Activity data'!AK61*ManureNEF*NtoN2O*kgtoGg,"ERROR"))</f>
        <v>0</v>
      </c>
      <c r="S1131" s="101">
        <f>IF('Net zero activities &amp; levers'!$C$14="Off",'Activity data'!AL61*ManureNEF*NtoN2O*kgtoGg,IF('Net zero activities &amp; levers'!$C$14="On",'Net zero Activity data'!AL61*ManureNEF*NtoN2O*kgtoGg,"ERROR"))</f>
        <v>0</v>
      </c>
      <c r="T1131" s="101">
        <f>IF('Net zero activities &amp; levers'!$C$14="Off",'Activity data'!AM61*ManureNEF*NtoN2O*kgtoGg,IF('Net zero activities &amp; levers'!$C$14="On",'Net zero Activity data'!AM61*ManureNEF*NtoN2O*kgtoGg,"ERROR"))</f>
        <v>0</v>
      </c>
      <c r="U1131" s="101">
        <f>IF('Net zero activities &amp; levers'!$C$14="Off",'Activity data'!AN61*ManureNEF*NtoN2O*kgtoGg,IF('Net zero activities &amp; levers'!$C$14="On",'Net zero Activity data'!AN61*ManureNEF*NtoN2O*kgtoGg,"ERROR"))</f>
        <v>0</v>
      </c>
      <c r="V1131" s="101">
        <f>IF('Net zero activities &amp; levers'!$C$14="Off",'Activity data'!AO61*ManureNEF*NtoN2O*kgtoGg,IF('Net zero activities &amp; levers'!$C$14="On",'Net zero Activity data'!AO61*ManureNEF*NtoN2O*kgtoGg,"ERROR"))</f>
        <v>0</v>
      </c>
      <c r="W1131" s="101">
        <f>IF('Net zero activities &amp; levers'!$C$14="Off",'Activity data'!AP61*ManureNEF*NtoN2O*kgtoGg,IF('Net zero activities &amp; levers'!$C$14="On",'Net zero Activity data'!AP61*ManureNEF*NtoN2O*kgtoGg,"ERROR"))</f>
        <v>0</v>
      </c>
      <c r="X1131" s="101">
        <f>IF('Net zero activities &amp; levers'!$C$14="Off",'Activity data'!AQ61*ManureNEF*NtoN2O*kgtoGg,IF('Net zero activities &amp; levers'!$C$14="On",'Net zero Activity data'!AQ61*ManureNEF*NtoN2O*kgtoGg,"ERROR"))</f>
        <v>0</v>
      </c>
      <c r="Y1131" s="101">
        <f>IF('Net zero activities &amp; levers'!$C$14="Off",'Activity data'!AR61*ManureNEF*NtoN2O*kgtoGg,IF('Net zero activities &amp; levers'!$C$14="On",'Net zero Activity data'!AR61*ManureNEF*NtoN2O*kgtoGg,"ERROR"))</f>
        <v>0</v>
      </c>
      <c r="Z1131" s="101">
        <f>IF('Net zero activities &amp; levers'!$C$14="Off",'Activity data'!AS61*ManureNEF*NtoN2O*kgtoGg,IF('Net zero activities &amp; levers'!$C$14="On",'Net zero Activity data'!AS61*ManureNEF*NtoN2O*kgtoGg,"ERROR"))</f>
        <v>0</v>
      </c>
      <c r="AA1131" s="101">
        <f>IF('Net zero activities &amp; levers'!$C$14="Off",'Activity data'!AT61*ManureNEF*NtoN2O*kgtoGg,IF('Net zero activities &amp; levers'!$C$14="On",'Net zero Activity data'!AT61*ManureNEF*NtoN2O*kgtoGg,"ERROR"))</f>
        <v>0</v>
      </c>
      <c r="AB1131" s="101">
        <f>IF('Net zero activities &amp; levers'!$C$14="Off",'Activity data'!AU61*ManureNEF*NtoN2O*kgtoGg,IF('Net zero activities &amp; levers'!$C$14="On",'Net zero Activity data'!AU61*ManureNEF*NtoN2O*kgtoGg,"ERROR"))</f>
        <v>0</v>
      </c>
      <c r="AC1131" s="101">
        <f>IF('Net zero activities &amp; levers'!$C$14="Off",'Activity data'!AV61*ManureNEF*NtoN2O*kgtoGg,IF('Net zero activities &amp; levers'!$C$14="On",'Net zero Activity data'!AV61*ManureNEF*NtoN2O*kgtoGg,"ERROR"))</f>
        <v>0</v>
      </c>
      <c r="AD1131" s="101">
        <f>IF('Net zero activities &amp; levers'!$C$14="Off",'Activity data'!AW61*ManureNEF*NtoN2O*kgtoGg,IF('Net zero activities &amp; levers'!$C$14="On",'Net zero Activity data'!AW61*ManureNEF*NtoN2O*kgtoGg,"ERROR"))</f>
        <v>0</v>
      </c>
      <c r="AE1131" s="101">
        <f>IF('Net zero activities &amp; levers'!$C$14="Off",'Activity data'!AX61*ManureNEF*NtoN2O*kgtoGg,IF('Net zero activities &amp; levers'!$C$14="On",'Net zero Activity data'!AX61*ManureNEF*NtoN2O*kgtoGg,"ERROR"))</f>
        <v>0</v>
      </c>
      <c r="AF1131" s="101">
        <f>IF('Net zero activities &amp; levers'!$C$14="Off",'Activity data'!AY61*ManureNEF*NtoN2O*kgtoGg,IF('Net zero activities &amp; levers'!$C$14="On",'Net zero Activity data'!AY61*ManureNEF*NtoN2O*kgtoGg,"ERROR"))</f>
        <v>0</v>
      </c>
      <c r="AG1131" s="101">
        <f>IF('Net zero activities &amp; levers'!$C$14="Off",'Activity data'!AZ61*ManureNEF*NtoN2O*kgtoGg,IF('Net zero activities &amp; levers'!$C$14="On",'Net zero Activity data'!AZ61*ManureNEF*NtoN2O*kgtoGg,"ERROR"))</f>
        <v>0</v>
      </c>
      <c r="AH1131" s="101">
        <f>IF('Net zero activities &amp; levers'!$C$14="Off",'Activity data'!BA61*ManureNEF*NtoN2O*kgtoGg,IF('Net zero activities &amp; levers'!$C$14="On",'Net zero Activity data'!BA61*ManureNEF*NtoN2O*kgtoGg,"ERROR"))</f>
        <v>0</v>
      </c>
      <c r="AI1131" s="101">
        <f>IF('Net zero activities &amp; levers'!$C$14="Off",'Activity data'!BB61*ManureNEF*NtoN2O*kgtoGg,IF('Net zero activities &amp; levers'!$C$14="On",'Net zero Activity data'!BB61*ManureNEF*NtoN2O*kgtoGg,"ERROR"))</f>
        <v>0</v>
      </c>
      <c r="AJ1131" s="101">
        <f>IF('Net zero activities &amp; levers'!$C$14="Off",'Activity data'!BC61*ManureNEF*NtoN2O*kgtoGg,IF('Net zero activities &amp; levers'!$C$14="On",'Net zero Activity data'!BC61*ManureNEF*NtoN2O*kgtoGg,"ERROR"))</f>
        <v>0</v>
      </c>
      <c r="AK1131" s="101">
        <f>IF('Net zero activities &amp; levers'!$C$14="Off",'Activity data'!BD61*ManureNEF*NtoN2O*kgtoGg,IF('Net zero activities &amp; levers'!$C$14="On",'Net zero Activity data'!BD61*ManureNEF*NtoN2O*kgtoGg,"ERROR"))</f>
        <v>0</v>
      </c>
      <c r="AL1131" s="101">
        <f>IF('Net zero activities &amp; levers'!$C$14="Off",'Activity data'!BE61*ManureNEF*NtoN2O*kgtoGg,IF('Net zero activities &amp; levers'!$C$14="On",'Net zero Activity data'!BE61*ManureNEF*NtoN2O*kgtoGg,"ERROR"))</f>
        <v>0</v>
      </c>
      <c r="AM1131" s="101">
        <f>IF('Net zero activities &amp; levers'!$C$14="Off",'Activity data'!BF61*ManureNEF*NtoN2O*kgtoGg,IF('Net zero activities &amp; levers'!$C$14="On",'Net zero Activity data'!BF61*ManureNEF*NtoN2O*kgtoGg,"ERROR"))</f>
        <v>0</v>
      </c>
      <c r="AN1131" s="101">
        <f>IF('Net zero activities &amp; levers'!$C$14="Off",'Activity data'!BG61*ManureNEF*NtoN2O*kgtoGg,IF('Net zero activities &amp; levers'!$C$14="On",'Net zero Activity data'!BG61*ManureNEF*NtoN2O*kgtoGg,"ERROR"))</f>
        <v>0</v>
      </c>
      <c r="AO1131" s="101">
        <f>IF('Net zero activities &amp; levers'!$C$14="Off",'Activity data'!BH61*ManureNEF*NtoN2O*kgtoGg,IF('Net zero activities &amp; levers'!$C$14="On",'Net zero Activity data'!BH61*ManureNEF*NtoN2O*kgtoGg,"ERROR"))</f>
        <v>0</v>
      </c>
      <c r="AP1131" s="101">
        <f>IF('Net zero activities &amp; levers'!$C$14="Off",'Activity data'!BI61*ManureNEF*NtoN2O*kgtoGg,IF('Net zero activities &amp; levers'!$C$14="On",'Net zero Activity data'!BI61*ManureNEF*NtoN2O*kgtoGg,"ERROR"))</f>
        <v>0</v>
      </c>
      <c r="AQ1131" s="101">
        <f>IF('Net zero activities &amp; levers'!$C$14="Off",'Activity data'!BJ61*ManureNEF*NtoN2O*kgtoGg,IF('Net zero activities &amp; levers'!$C$14="On",'Net zero Activity data'!BJ61*ManureNEF*NtoN2O*kgtoGg,"ERROR"))</f>
        <v>0</v>
      </c>
      <c r="AR1131" s="101">
        <f>IF('Net zero activities &amp; levers'!$C$14="Off",'Activity data'!BK61*ManureNEF*NtoN2O*kgtoGg,IF('Net zero activities &amp; levers'!$C$14="On",'Net zero Activity data'!BK61*ManureNEF*NtoN2O*kgtoGg,"ERROR"))</f>
        <v>0</v>
      </c>
      <c r="AS1131" s="101">
        <f>IF('Net zero activities &amp; levers'!$C$14="Off",'Activity data'!BL61*ManureNEF*NtoN2O*kgtoGg,IF('Net zero activities &amp; levers'!$C$14="On",'Net zero Activity data'!BL61*ManureNEF*NtoN2O*kgtoGg,"ERROR"))</f>
        <v>0</v>
      </c>
      <c r="AT1131" s="101">
        <f>IF('Net zero activities &amp; levers'!$C$14="Off",'Activity data'!BM61*ManureNEF*NtoN2O*kgtoGg,IF('Net zero activities &amp; levers'!$C$14="On",'Net zero Activity data'!BM61*ManureNEF*NtoN2O*kgtoGg,"ERROR"))</f>
        <v>0</v>
      </c>
      <c r="AU1131" s="101">
        <f>IF('Net zero activities &amp; levers'!$C$14="Off",'Activity data'!BN61*ManureNEF*NtoN2O*kgtoGg,IF('Net zero activities &amp; levers'!$C$14="On",'Net zero Activity data'!BN61*ManureNEF*NtoN2O*kgtoGg,"ERROR"))</f>
        <v>0</v>
      </c>
      <c r="AV1131" s="101">
        <f>IF('Net zero activities &amp; levers'!$C$14="Off",'Activity data'!BO61*ManureNEF*NtoN2O*kgtoGg,IF('Net zero activities &amp; levers'!$C$14="On",'Net zero Activity data'!BO61*ManureNEF*NtoN2O*kgtoGg,"ERROR"))</f>
        <v>0</v>
      </c>
      <c r="AW1131" s="101">
        <f>IF('Net zero activities &amp; levers'!$C$14="Off",'Activity data'!BP61*ManureNEF*NtoN2O*kgtoGg,IF('Net zero activities &amp; levers'!$C$14="On",'Net zero Activity data'!BP61*ManureNEF*NtoN2O*kgtoGg,"ERROR"))</f>
        <v>0</v>
      </c>
      <c r="AY1131" s="85"/>
    </row>
    <row r="1132" spans="1:51" x14ac:dyDescent="0.25">
      <c r="A1132" s="102" t="str">
        <f t="shared" si="374"/>
        <v>CM Organic</v>
      </c>
      <c r="B1132" s="102" t="s">
        <v>1323</v>
      </c>
      <c r="C1132" s="102" t="s">
        <v>1128</v>
      </c>
      <c r="D1132" t="s">
        <v>369</v>
      </c>
      <c r="E1132" t="s">
        <v>55</v>
      </c>
      <c r="F1132" t="s">
        <v>421</v>
      </c>
      <c r="G1132" t="s">
        <v>1177</v>
      </c>
      <c r="H1132" t="s">
        <v>1178</v>
      </c>
      <c r="I1132" t="s">
        <v>139</v>
      </c>
      <c r="J1132" t="s">
        <v>287</v>
      </c>
      <c r="K1132" s="101">
        <f>IF('Net zero activities &amp; levers'!$C$14="Off",'Activity data'!AD62*ManureNEF*NtoN2O*kgtoGg,IF('Net zero activities &amp; levers'!$C$14="On",'Net zero Activity data'!AD62*ManureNEF*NtoN2O*kgtoGg,"ERROR"))</f>
        <v>0.125581463448449</v>
      </c>
      <c r="L1132" s="101">
        <f>IF('Net zero activities &amp; levers'!$C$14="Off",'Activity data'!AE62*ManureNEF*NtoN2O*kgtoGg,IF('Net zero activities &amp; levers'!$C$14="On",'Net zero Activity data'!AE62*ManureNEF*NtoN2O*kgtoGg,"ERROR"))</f>
        <v>0.125185082671006</v>
      </c>
      <c r="M1132" s="101">
        <f>IF('Net zero activities &amp; levers'!$C$14="Off",'Activity data'!AF62*ManureNEF*NtoN2O*kgtoGg,IF('Net zero activities &amp; levers'!$C$14="On",'Net zero Activity data'!AF62*ManureNEF*NtoN2O*kgtoGg,"ERROR"))</f>
        <v>0.12387425442661908</v>
      </c>
      <c r="N1132" s="101">
        <f>IF('Net zero activities &amp; levers'!$C$14="Off",'Activity data'!AG62*ManureNEF*NtoN2O*kgtoGg,IF('Net zero activities &amp; levers'!$C$14="On",'Net zero Activity data'!AG62*ManureNEF*NtoN2O*kgtoGg,"ERROR"))</f>
        <v>0.12132911183874903</v>
      </c>
      <c r="O1132" s="101">
        <f>IF('Net zero activities &amp; levers'!$C$14="Off",'Activity data'!AH62*ManureNEF*NtoN2O*kgtoGg,IF('Net zero activities &amp; levers'!$C$14="On",'Net zero Activity data'!AH62*ManureNEF*NtoN2O*kgtoGg,"ERROR"))</f>
        <v>0.1188953282361286</v>
      </c>
      <c r="P1132" s="101">
        <f>IF('Net zero activities &amp; levers'!$C$14="Off",'Activity data'!AI62*ManureNEF*NtoN2O*kgtoGg,IF('Net zero activities &amp; levers'!$C$14="On",'Net zero Activity data'!AI62*ManureNEF*NtoN2O*kgtoGg,"ERROR"))</f>
        <v>0.11718799777455163</v>
      </c>
      <c r="Q1132" s="101">
        <f>IF('Net zero activities &amp; levers'!$C$14="Off",'Activity data'!AJ62*ManureNEF*NtoN2O*kgtoGg,IF('Net zero activities &amp; levers'!$C$14="On",'Net zero Activity data'!AJ62*ManureNEF*NtoN2O*kgtoGg,"ERROR"))</f>
        <v>0.11574203128248971</v>
      </c>
      <c r="R1132" s="101">
        <f>IF('Net zero activities &amp; levers'!$C$14="Off",'Activity data'!AK62*ManureNEF*NtoN2O*kgtoGg,IF('Net zero activities &amp; levers'!$C$14="On",'Net zero Activity data'!AK62*ManureNEF*NtoN2O*kgtoGg,"ERROR"))</f>
        <v>0.11307943655863528</v>
      </c>
      <c r="S1132" s="101">
        <f>IF('Net zero activities &amp; levers'!$C$14="Off",'Activity data'!AL62*ManureNEF*NtoN2O*kgtoGg,IF('Net zero activities &amp; levers'!$C$14="On",'Net zero Activity data'!AL62*ManureNEF*NtoN2O*kgtoGg,"ERROR"))</f>
        <v>9.8992483819013391E-2</v>
      </c>
      <c r="T1132" s="101">
        <f>IF('Net zero activities &amp; levers'!$C$14="Off",'Activity data'!AM62*ManureNEF*NtoN2O*kgtoGg,IF('Net zero activities &amp; levers'!$C$14="On",'Net zero Activity data'!AM62*ManureNEF*NtoN2O*kgtoGg,"ERROR"))</f>
        <v>9.9621540773874098E-2</v>
      </c>
      <c r="U1132" s="101">
        <f>IF('Net zero activities &amp; levers'!$C$14="Off",'Activity data'!AN62*ManureNEF*NtoN2O*kgtoGg,IF('Net zero activities &amp; levers'!$C$14="On",'Net zero Activity data'!AN62*ManureNEF*NtoN2O*kgtoGg,"ERROR"))</f>
        <v>9.9937301593485559E-2</v>
      </c>
      <c r="V1132" s="101">
        <f>IF('Net zero activities &amp; levers'!$C$14="Off",'Activity data'!AO62*ManureNEF*NtoN2O*kgtoGg,IF('Net zero activities &amp; levers'!$C$14="On",'Net zero Activity data'!AO62*ManureNEF*NtoN2O*kgtoGg,"ERROR"))</f>
        <v>0.10024428291849223</v>
      </c>
      <c r="W1132" s="101">
        <f>IF('Net zero activities &amp; levers'!$C$14="Off",'Activity data'!AP62*ManureNEF*NtoN2O*kgtoGg,IF('Net zero activities &amp; levers'!$C$14="On",'Net zero Activity data'!AP62*ManureNEF*NtoN2O*kgtoGg,"ERROR"))</f>
        <v>0.10099411627265523</v>
      </c>
      <c r="X1132" s="101">
        <f>IF('Net zero activities &amp; levers'!$C$14="Off",'Activity data'!AQ62*ManureNEF*NtoN2O*kgtoGg,IF('Net zero activities &amp; levers'!$C$14="On",'Net zero Activity data'!AQ62*ManureNEF*NtoN2O*kgtoGg,"ERROR"))</f>
        <v>0.10171874148627991</v>
      </c>
      <c r="Y1132" s="101">
        <f>IF('Net zero activities &amp; levers'!$C$14="Off",'Activity data'!AR62*ManureNEF*NtoN2O*kgtoGg,IF('Net zero activities &amp; levers'!$C$14="On",'Net zero Activity data'!AR62*ManureNEF*NtoN2O*kgtoGg,"ERROR"))</f>
        <v>0.1025500722540789</v>
      </c>
      <c r="Z1132" s="101">
        <f>IF('Net zero activities &amp; levers'!$C$14="Off",'Activity data'!AS62*ManureNEF*NtoN2O*kgtoGg,IF('Net zero activities &amp; levers'!$C$14="On",'Net zero Activity data'!AS62*ManureNEF*NtoN2O*kgtoGg,"ERROR"))</f>
        <v>0.10324784841270714</v>
      </c>
      <c r="AA1132" s="101">
        <f>IF('Net zero activities &amp; levers'!$C$14="Off",'Activity data'!AT62*ManureNEF*NtoN2O*kgtoGg,IF('Net zero activities &amp; levers'!$C$14="On",'Net zero Activity data'!AT62*ManureNEF*NtoN2O*kgtoGg,"ERROR"))</f>
        <v>0.10408641302096616</v>
      </c>
      <c r="AB1132" s="101">
        <f>IF('Net zero activities &amp; levers'!$C$14="Off",'Activity data'!AU62*ManureNEF*NtoN2O*kgtoGg,IF('Net zero activities &amp; levers'!$C$14="On",'Net zero Activity data'!AU62*ManureNEF*NtoN2O*kgtoGg,"ERROR"))</f>
        <v>0.10469683987160423</v>
      </c>
      <c r="AC1132" s="101">
        <f>IF('Net zero activities &amp; levers'!$C$14="Off",'Activity data'!AV62*ManureNEF*NtoN2O*kgtoGg,IF('Net zero activities &amp; levers'!$C$14="On",'Net zero Activity data'!AV62*ManureNEF*NtoN2O*kgtoGg,"ERROR"))</f>
        <v>0.10533895546772398</v>
      </c>
      <c r="AD1132" s="101">
        <f>IF('Net zero activities &amp; levers'!$C$14="Off",'Activity data'!AW62*ManureNEF*NtoN2O*kgtoGg,IF('Net zero activities &amp; levers'!$C$14="On",'Net zero Activity data'!AW62*ManureNEF*NtoN2O*kgtoGg,"ERROR"))</f>
        <v>0.10652330160399656</v>
      </c>
      <c r="AE1132" s="101">
        <f>IF('Net zero activities &amp; levers'!$C$14="Off",'Activity data'!AX62*ManureNEF*NtoN2O*kgtoGg,IF('Net zero activities &amp; levers'!$C$14="On",'Net zero Activity data'!AX62*ManureNEF*NtoN2O*kgtoGg,"ERROR"))</f>
        <v>0.10790681124778287</v>
      </c>
      <c r="AF1132" s="101">
        <f>IF('Net zero activities &amp; levers'!$C$14="Off",'Activity data'!AY62*ManureNEF*NtoN2O*kgtoGg,IF('Net zero activities &amp; levers'!$C$14="On",'Net zero Activity data'!AY62*ManureNEF*NtoN2O*kgtoGg,"ERROR"))</f>
        <v>0.10933849435388519</v>
      </c>
      <c r="AG1132" s="101">
        <f>IF('Net zero activities &amp; levers'!$C$14="Off",'Activity data'!AZ62*ManureNEF*NtoN2O*kgtoGg,IF('Net zero activities &amp; levers'!$C$14="On",'Net zero Activity data'!AZ62*ManureNEF*NtoN2O*kgtoGg,"ERROR"))</f>
        <v>0.10772941024216406</v>
      </c>
      <c r="AH1132" s="101">
        <f>IF('Net zero activities &amp; levers'!$C$14="Off",'Activity data'!BA62*ManureNEF*NtoN2O*kgtoGg,IF('Net zero activities &amp; levers'!$C$14="On",'Net zero Activity data'!BA62*ManureNEF*NtoN2O*kgtoGg,"ERROR"))</f>
        <v>-3.634870651063056E-2</v>
      </c>
      <c r="AI1132" s="101">
        <f>IF('Net zero activities &amp; levers'!$C$14="Off",'Activity data'!BB62*ManureNEF*NtoN2O*kgtoGg,IF('Net zero activities &amp; levers'!$C$14="On",'Net zero Activity data'!BB62*ManureNEF*NtoN2O*kgtoGg,"ERROR"))</f>
        <v>-3.5951110371359889E-2</v>
      </c>
      <c r="AJ1132" s="101">
        <f>IF('Net zero activities &amp; levers'!$C$14="Off",'Activity data'!BC62*ManureNEF*NtoN2O*kgtoGg,IF('Net zero activities &amp; levers'!$C$14="On",'Net zero Activity data'!BC62*ManureNEF*NtoN2O*kgtoGg,"ERROR"))</f>
        <v>-3.5562030175799973E-2</v>
      </c>
      <c r="AK1132" s="101">
        <f>IF('Net zero activities &amp; levers'!$C$14="Off",'Activity data'!BD62*ManureNEF*NtoN2O*kgtoGg,IF('Net zero activities &amp; levers'!$C$14="On",'Net zero Activity data'!BD62*ManureNEF*NtoN2O*kgtoGg,"ERROR"))</f>
        <v>-3.5180908821616855E-2</v>
      </c>
      <c r="AL1132" s="101">
        <f>IF('Net zero activities &amp; levers'!$C$14="Off",'Activity data'!BE62*ManureNEF*NtoN2O*kgtoGg,IF('Net zero activities &amp; levers'!$C$14="On",'Net zero Activity data'!BE62*ManureNEF*NtoN2O*kgtoGg,"ERROR"))</f>
        <v>-3.4807229997572818E-2</v>
      </c>
      <c r="AM1132" s="101">
        <f>IF('Net zero activities &amp; levers'!$C$14="Off",'Activity data'!BF62*ManureNEF*NtoN2O*kgtoGg,IF('Net zero activities &amp; levers'!$C$14="On",'Net zero Activity data'!BF62*ManureNEF*NtoN2O*kgtoGg,"ERROR"))</f>
        <v>-3.4440514238790632E-2</v>
      </c>
      <c r="AN1132" s="101">
        <f>IF('Net zero activities &amp; levers'!$C$14="Off",'Activity data'!BG62*ManureNEF*NtoN2O*kgtoGg,IF('Net zero activities &amp; levers'!$C$14="On",'Net zero Activity data'!BG62*ManureNEF*NtoN2O*kgtoGg,"ERROR"))</f>
        <v>-3.4038300116717851E-2</v>
      </c>
      <c r="AO1132" s="101">
        <f>IF('Net zero activities &amp; levers'!$C$14="Off",'Activity data'!BH62*ManureNEF*NtoN2O*kgtoGg,IF('Net zero activities &amp; levers'!$C$14="On",'Net zero Activity data'!BH62*ManureNEF*NtoN2O*kgtoGg,"ERROR"))</f>
        <v>-3.3643177597525331E-2</v>
      </c>
      <c r="AP1132" s="101">
        <f>IF('Net zero activities &amp; levers'!$C$14="Off",'Activity data'!BI62*ManureNEF*NtoN2O*kgtoGg,IF('Net zero activities &amp; levers'!$C$14="On",'Net zero Activity data'!BI62*ManureNEF*NtoN2O*kgtoGg,"ERROR"))</f>
        <v>-3.325473249917061E-2</v>
      </c>
      <c r="AQ1132" s="101">
        <f>IF('Net zero activities &amp; levers'!$C$14="Off",'Activity data'!BJ62*ManureNEF*NtoN2O*kgtoGg,IF('Net zero activities &amp; levers'!$C$14="On",'Net zero Activity data'!BJ62*ManureNEF*NtoN2O*kgtoGg,"ERROR"))</f>
        <v>-3.2872577693066611E-2</v>
      </c>
      <c r="AR1132" s="101">
        <f>IF('Net zero activities &amp; levers'!$C$14="Off",'Activity data'!BK62*ManureNEF*NtoN2O*kgtoGg,IF('Net zero activities &amp; levers'!$C$14="On",'Net zero Activity data'!BK62*ManureNEF*NtoN2O*kgtoGg,"ERROR"))</f>
        <v>-3.2496350766594746E-2</v>
      </c>
      <c r="AS1132" s="101">
        <f>IF('Net zero activities &amp; levers'!$C$14="Off",'Activity data'!BL62*ManureNEF*NtoN2O*kgtoGg,IF('Net zero activities &amp; levers'!$C$14="On",'Net zero Activity data'!BL62*ManureNEF*NtoN2O*kgtoGg,"ERROR"))</f>
        <v>-3.2086347643088084E-2</v>
      </c>
      <c r="AT1132" s="101">
        <f>IF('Net zero activities &amp; levers'!$C$14="Off",'Activity data'!BM62*ManureNEF*NtoN2O*kgtoGg,IF('Net zero activities &amp; levers'!$C$14="On",'Net zero Activity data'!BM62*ManureNEF*NtoN2O*kgtoGg,"ERROR"))</f>
        <v>-3.1682606758135223E-2</v>
      </c>
      <c r="AU1132" s="101">
        <f>IF('Net zero activities &amp; levers'!$C$14="Off",'Activity data'!BN62*ManureNEF*NtoN2O*kgtoGg,IF('Net zero activities &amp; levers'!$C$14="On",'Net zero Activity data'!BN62*ManureNEF*NtoN2O*kgtoGg,"ERROR"))</f>
        <v>-3.1284805771392483E-2</v>
      </c>
      <c r="AV1132" s="101">
        <f>IF('Net zero activities &amp; levers'!$C$14="Off",'Activity data'!BO62*ManureNEF*NtoN2O*kgtoGg,IF('Net zero activities &amp; levers'!$C$14="On",'Net zero Activity data'!BO62*ManureNEF*NtoN2O*kgtoGg,"ERROR"))</f>
        <v>-3.0892641387511636E-2</v>
      </c>
      <c r="AW1132" s="101">
        <f>IF('Net zero activities &amp; levers'!$C$14="Off",'Activity data'!BP62*ManureNEF*NtoN2O*kgtoGg,IF('Net zero activities &amp; levers'!$C$14="On",'Net zero Activity data'!BP62*ManureNEF*NtoN2O*kgtoGg,"ERROR"))</f>
        <v>-3.0505827871256618E-2</v>
      </c>
      <c r="AY1132" s="85"/>
    </row>
    <row r="1133" spans="1:51" x14ac:dyDescent="0.25">
      <c r="A1133" s="102" t="str">
        <f t="shared" si="374"/>
        <v>CM Organic</v>
      </c>
      <c r="B1133" s="102" t="s">
        <v>1323</v>
      </c>
      <c r="C1133" s="102" t="s">
        <v>1128</v>
      </c>
      <c r="D1133" t="s">
        <v>369</v>
      </c>
      <c r="E1133" t="s">
        <v>55</v>
      </c>
      <c r="F1133" t="s">
        <v>421</v>
      </c>
      <c r="G1133" t="s">
        <v>1179</v>
      </c>
      <c r="H1133" t="s">
        <v>1180</v>
      </c>
      <c r="I1133" t="s">
        <v>139</v>
      </c>
      <c r="J1133" t="s">
        <v>287</v>
      </c>
      <c r="K1133" s="101">
        <f>IF('Net zero activities &amp; levers'!$C$14="Off",'Activity data'!AD63*ManureNEF*NtoN2O*kgtoGg,IF('Net zero activities &amp; levers'!$C$14="On",'Net zero Activity data'!AD63*ManureNEF*NtoN2O*kgtoGg,"ERROR"))</f>
        <v>3.1860496839281362E-2</v>
      </c>
      <c r="L1133" s="101">
        <f>IF('Net zero activities &amp; levers'!$C$14="Off",'Activity data'!AE63*ManureNEF*NtoN2O*kgtoGg,IF('Net zero activities &amp; levers'!$C$14="On",'Net zero Activity data'!AE63*ManureNEF*NtoN2O*kgtoGg,"ERROR"))</f>
        <v>3.1759933522370665E-2</v>
      </c>
      <c r="M1133" s="101">
        <f>IF('Net zero activities &amp; levers'!$C$14="Off",'Activity data'!AF63*ManureNEF*NtoN2O*kgtoGg,IF('Net zero activities &amp; levers'!$C$14="On",'Net zero Activity data'!AF63*ManureNEF*NtoN2O*kgtoGg,"ERROR"))</f>
        <v>3.1427371391063171E-2</v>
      </c>
      <c r="N1133" s="101">
        <f>IF('Net zero activities &amp; levers'!$C$14="Off",'Activity data'!AG63*ManureNEF*NtoN2O*kgtoGg,IF('Net zero activities &amp; levers'!$C$14="On",'Net zero Activity data'!AG63*ManureNEF*NtoN2O*kgtoGg,"ERROR"))</f>
        <v>3.0781658997293845E-2</v>
      </c>
      <c r="O1133" s="101">
        <f>IF('Net zero activities &amp; levers'!$C$14="Off",'Activity data'!AH63*ManureNEF*NtoN2O*kgtoGg,IF('Net zero activities &amp; levers'!$C$14="On",'Net zero Activity data'!AH63*ManureNEF*NtoN2O*kgtoGg,"ERROR"))</f>
        <v>3.0164198803332858E-2</v>
      </c>
      <c r="P1133" s="101">
        <f>IF('Net zero activities &amp; levers'!$C$14="Off",'Activity data'!AI63*ManureNEF*NtoN2O*kgtoGg,IF('Net zero activities &amp; levers'!$C$14="On",'Net zero Activity data'!AI63*ManureNEF*NtoN2O*kgtoGg,"ERROR"))</f>
        <v>2.973104254538711E-2</v>
      </c>
      <c r="Q1133" s="101">
        <f>IF('Net zero activities &amp; levers'!$C$14="Off",'Activity data'!AJ63*ManureNEF*NtoN2O*kgtoGg,IF('Net zero activities &amp; levers'!$C$14="On",'Net zero Activity data'!AJ63*ManureNEF*NtoN2O*kgtoGg,"ERROR"))</f>
        <v>2.9364195324587221E-2</v>
      </c>
      <c r="R1133" s="101">
        <f>IF('Net zero activities &amp; levers'!$C$14="Off",'Activity data'!AK63*ManureNEF*NtoN2O*kgtoGg,IF('Net zero activities &amp; levers'!$C$14="On",'Net zero Activity data'!AK63*ManureNEF*NtoN2O*kgtoGg,"ERROR"))</f>
        <v>2.8688684875400002E-2</v>
      </c>
      <c r="S1133" s="101">
        <f>IF('Net zero activities &amp; levers'!$C$14="Off",'Activity data'!AL63*ManureNEF*NtoN2O*kgtoGg,IF('Net zero activities &amp; levers'!$C$14="On",'Net zero Activity data'!AL63*ManureNEF*NtoN2O*kgtoGg,"ERROR"))</f>
        <v>2.5114771171009475E-2</v>
      </c>
      <c r="T1133" s="101">
        <f>IF('Net zero activities &amp; levers'!$C$14="Off",'Activity data'!AM63*ManureNEF*NtoN2O*kgtoGg,IF('Net zero activities &amp; levers'!$C$14="On",'Net zero Activity data'!AM63*ManureNEF*NtoN2O*kgtoGg,"ERROR"))</f>
        <v>2.5274365322659843E-2</v>
      </c>
      <c r="U1133" s="101">
        <f>IF('Net zero activities &amp; levers'!$C$14="Off",'Activity data'!AN63*ManureNEF*NtoN2O*kgtoGg,IF('Net zero activities &amp; levers'!$C$14="On",'Net zero Activity data'!AN63*ManureNEF*NtoN2O*kgtoGg,"ERROR"))</f>
        <v>2.535447504840236E-2</v>
      </c>
      <c r="V1133" s="101">
        <f>IF('Net zero activities &amp; levers'!$C$14="Off",'Activity data'!AO63*ManureNEF*NtoN2O*kgtoGg,IF('Net zero activities &amp; levers'!$C$14="On",'Net zero Activity data'!AO63*ManureNEF*NtoN2O*kgtoGg,"ERROR"))</f>
        <v>2.5432357382837084E-2</v>
      </c>
      <c r="W1133" s="101">
        <f>IF('Net zero activities &amp; levers'!$C$14="Off",'Activity data'!AP63*ManureNEF*NtoN2O*kgtoGg,IF('Net zero activities &amp; levers'!$C$14="On",'Net zero Activity data'!AP63*ManureNEF*NtoN2O*kgtoGg,"ERROR"))</f>
        <v>2.562259296820359E-2</v>
      </c>
      <c r="X1133" s="101">
        <f>IF('Net zero activities &amp; levers'!$C$14="Off",'Activity data'!AQ63*ManureNEF*NtoN2O*kgtoGg,IF('Net zero activities &amp; levers'!$C$14="On",'Net zero Activity data'!AQ63*ManureNEF*NtoN2O*kgtoGg,"ERROR"))</f>
        <v>2.5806433152052291E-2</v>
      </c>
      <c r="Y1133" s="101">
        <f>IF('Net zero activities &amp; levers'!$C$14="Off",'Activity data'!AR63*ManureNEF*NtoN2O*kgtoGg,IF('Net zero activities &amp; levers'!$C$14="On",'Net zero Activity data'!AR63*ManureNEF*NtoN2O*kgtoGg,"ERROR"))</f>
        <v>2.6017344942475328E-2</v>
      </c>
      <c r="Z1133" s="101">
        <f>IF('Net zero activities &amp; levers'!$C$14="Off",'Activity data'!AS63*ManureNEF*NtoN2O*kgtoGg,IF('Net zero activities &amp; levers'!$C$14="On",'Net zero Activity data'!AS63*ManureNEF*NtoN2O*kgtoGg,"ERROR"))</f>
        <v>2.6194373418542003E-2</v>
      </c>
      <c r="AA1133" s="101">
        <f>IF('Net zero activities &amp; levers'!$C$14="Off",'Activity data'!AT63*ManureNEF*NtoN2O*kgtoGg,IF('Net zero activities &amp; levers'!$C$14="On",'Net zero Activity data'!AT63*ManureNEF*NtoN2O*kgtoGg,"ERROR"))</f>
        <v>2.6407120461913867E-2</v>
      </c>
      <c r="AB1133" s="101">
        <f>IF('Net zero activities &amp; levers'!$C$14="Off",'Activity data'!AU63*ManureNEF*NtoN2O*kgtoGg,IF('Net zero activities &amp; levers'!$C$14="On",'Net zero Activity data'!AU63*ManureNEF*NtoN2O*kgtoGg,"ERROR"))</f>
        <v>2.6561988084979515E-2</v>
      </c>
      <c r="AC1133" s="101">
        <f>IF('Net zero activities &amp; levers'!$C$14="Off",'Activity data'!AV63*ManureNEF*NtoN2O*kgtoGg,IF('Net zero activities &amp; levers'!$C$14="On",'Net zero Activity data'!AV63*ManureNEF*NtoN2O*kgtoGg,"ERROR"))</f>
        <v>2.6724895263784808E-2</v>
      </c>
      <c r="AD1133" s="101">
        <f>IF('Net zero activities &amp; levers'!$C$14="Off",'Activity data'!AW63*ManureNEF*NtoN2O*kgtoGg,IF('Net zero activities &amp; levers'!$C$14="On",'Net zero Activity data'!AW63*ManureNEF*NtoN2O*kgtoGg,"ERROR"))</f>
        <v>2.7025368401261952E-2</v>
      </c>
      <c r="AE1133" s="101">
        <f>IF('Net zero activities &amp; levers'!$C$14="Off",'Activity data'!AX63*ManureNEF*NtoN2O*kgtoGg,IF('Net zero activities &amp; levers'!$C$14="On",'Net zero Activity data'!AX63*ManureNEF*NtoN2O*kgtoGg,"ERROR"))</f>
        <v>2.7376370081148127E-2</v>
      </c>
      <c r="AF1133" s="101">
        <f>IF('Net zero activities &amp; levers'!$C$14="Off",'Activity data'!AY63*ManureNEF*NtoN2O*kgtoGg,IF('Net zero activities &amp; levers'!$C$14="On",'Net zero Activity data'!AY63*ManureNEF*NtoN2O*kgtoGg,"ERROR"))</f>
        <v>2.7739593552385582E-2</v>
      </c>
      <c r="AG1133" s="101">
        <f>IF('Net zero activities &amp; levers'!$C$14="Off",'Activity data'!AZ63*ManureNEF*NtoN2O*kgtoGg,IF('Net zero activities &amp; levers'!$C$14="On",'Net zero Activity data'!AZ63*ManureNEF*NtoN2O*kgtoGg,"ERROR"))</f>
        <v>2.7331362768575094E-2</v>
      </c>
      <c r="AH1133" s="101">
        <f>IF('Net zero activities &amp; levers'!$C$14="Off",'Activity data'!BA63*ManureNEF*NtoN2O*kgtoGg,IF('Net zero activities &amp; levers'!$C$14="On",'Net zero Activity data'!BA63*ManureNEF*NtoN2O*kgtoGg,"ERROR"))</f>
        <v>-9.2218056478478912E-3</v>
      </c>
      <c r="AI1133" s="101">
        <f>IF('Net zero activities &amp; levers'!$C$14="Off",'Activity data'!BB63*ManureNEF*NtoN2O*kgtoGg,IF('Net zero activities &amp; levers'!$C$14="On",'Net zero Activity data'!BB63*ManureNEF*NtoN2O*kgtoGg,"ERROR"))</f>
        <v>-9.1209339890003793E-3</v>
      </c>
      <c r="AJ1133" s="101">
        <f>IF('Net zero activities &amp; levers'!$C$14="Off",'Activity data'!BC63*ManureNEF*NtoN2O*kgtoGg,IF('Net zero activities &amp; levers'!$C$14="On",'Net zero Activity data'!BC63*ManureNEF*NtoN2O*kgtoGg,"ERROR"))</f>
        <v>-9.0222228575924188E-3</v>
      </c>
      <c r="AK1133" s="101">
        <f>IF('Net zero activities &amp; levers'!$C$14="Off",'Activity data'!BD63*ManureNEF*NtoN2O*kgtoGg,IF('Net zero activities &amp; levers'!$C$14="On",'Net zero Activity data'!BD63*ManureNEF*NtoN2O*kgtoGg,"ERROR"))</f>
        <v>-8.9255309146344646E-3</v>
      </c>
      <c r="AL1133" s="101">
        <f>IF('Net zero activities &amp; levers'!$C$14="Off",'Activity data'!BE63*ManureNEF*NtoN2O*kgtoGg,IF('Net zero activities &amp; levers'!$C$14="On",'Net zero Activity data'!BE63*ManureNEF*NtoN2O*kgtoGg,"ERROR"))</f>
        <v>-8.8307271699938471E-3</v>
      </c>
      <c r="AM1133" s="101">
        <f>IF('Net zero activities &amp; levers'!$C$14="Off",'Activity data'!BF63*ManureNEF*NtoN2O*kgtoGg,IF('Net zero activities &amp; levers'!$C$14="On",'Net zero Activity data'!BF63*ManureNEF*NtoN2O*kgtoGg,"ERROR"))</f>
        <v>-8.7376899816002714E-3</v>
      </c>
      <c r="AN1133" s="101">
        <f>IF('Net zero activities &amp; levers'!$C$14="Off",'Activity data'!BG63*ManureNEF*NtoN2O*kgtoGg,IF('Net zero activities &amp; levers'!$C$14="On",'Net zero Activity data'!BG63*ManureNEF*NtoN2O*kgtoGg,"ERROR"))</f>
        <v>-8.6356467228810053E-3</v>
      </c>
      <c r="AO1133" s="101">
        <f>IF('Net zero activities &amp; levers'!$C$14="Off",'Activity data'!BH63*ManureNEF*NtoN2O*kgtoGg,IF('Net zero activities &amp; levers'!$C$14="On",'Net zero Activity data'!BH63*ManureNEF*NtoN2O*kgtoGg,"ERROR"))</f>
        <v>-8.5354026308934166E-3</v>
      </c>
      <c r="AP1133" s="101">
        <f>IF('Net zero activities &amp; levers'!$C$14="Off",'Activity data'!BI63*ManureNEF*NtoN2O*kgtoGg,IF('Net zero activities &amp; levers'!$C$14="On",'Net zero Activity data'!BI63*ManureNEF*NtoN2O*kgtoGg,"ERROR"))</f>
        <v>-8.436852626071684E-3</v>
      </c>
      <c r="AQ1133" s="101">
        <f>IF('Net zero activities &amp; levers'!$C$14="Off",'Activity data'!BJ63*ManureNEF*NtoN2O*kgtoGg,IF('Net zero activities &amp; levers'!$C$14="On",'Net zero Activity data'!BJ63*ManureNEF*NtoN2O*kgtoGg,"ERROR"))</f>
        <v>-8.3398984924149214E-3</v>
      </c>
      <c r="AR1133" s="101">
        <f>IF('Net zero activities &amp; levers'!$C$14="Off",'Activity data'!BK63*ManureNEF*NtoN2O*kgtoGg,IF('Net zero activities &amp; levers'!$C$14="On",'Net zero Activity data'!BK63*ManureNEF*NtoN2O*kgtoGg,"ERROR"))</f>
        <v>-8.2444482844578407E-3</v>
      </c>
      <c r="AS1133" s="101">
        <f>IF('Net zero activities &amp; levers'!$C$14="Off",'Activity data'!BL63*ManureNEF*NtoN2O*kgtoGg,IF('Net zero activities &amp; levers'!$C$14="On",'Net zero Activity data'!BL63*ManureNEF*NtoN2O*kgtoGg,"ERROR"))</f>
        <v>-8.1404289263306579E-3</v>
      </c>
      <c r="AT1133" s="101">
        <f>IF('Net zero activities &amp; levers'!$C$14="Off",'Activity data'!BM63*ManureNEF*NtoN2O*kgtoGg,IF('Net zero activities &amp; levers'!$C$14="On",'Net zero Activity data'!BM63*ManureNEF*NtoN2O*kgtoGg,"ERROR"))</f>
        <v>-8.0379983220384144E-3</v>
      </c>
      <c r="AU1133" s="101">
        <f>IF('Net zero activities &amp; levers'!$C$14="Off",'Activity data'!BN63*ManureNEF*NtoN2O*kgtoGg,IF('Net zero activities &amp; levers'!$C$14="On",'Net zero Activity data'!BN63*ManureNEF*NtoN2O*kgtoGg,"ERROR"))</f>
        <v>-7.9370746926049739E-3</v>
      </c>
      <c r="AV1133" s="101">
        <f>IF('Net zero activities &amp; levers'!$C$14="Off",'Activity data'!BO63*ManureNEF*NtoN2O*kgtoGg,IF('Net zero activities &amp; levers'!$C$14="On",'Net zero Activity data'!BO63*ManureNEF*NtoN2O*kgtoGg,"ERROR"))</f>
        <v>-7.8375810908422969E-3</v>
      </c>
      <c r="AW1133" s="101">
        <f>IF('Net zero activities &amp; levers'!$C$14="Off",'Activity data'!BP63*ManureNEF*NtoN2O*kgtoGg,IF('Net zero activities &amp; levers'!$C$14="On",'Net zero Activity data'!BP63*ManureNEF*NtoN2O*kgtoGg,"ERROR"))</f>
        <v>-7.7394450246298409E-3</v>
      </c>
      <c r="AY1133" s="85"/>
    </row>
    <row r="1134" spans="1:51" x14ac:dyDescent="0.25">
      <c r="A1134" s="102" t="str">
        <f t="shared" si="374"/>
        <v>CM Organic</v>
      </c>
      <c r="B1134" s="102" t="s">
        <v>1323</v>
      </c>
      <c r="C1134" s="102" t="s">
        <v>1128</v>
      </c>
      <c r="D1134" t="s">
        <v>369</v>
      </c>
      <c r="E1134" t="s">
        <v>55</v>
      </c>
      <c r="F1134" t="s">
        <v>421</v>
      </c>
      <c r="G1134" t="s">
        <v>1181</v>
      </c>
      <c r="H1134" t="s">
        <v>1182</v>
      </c>
      <c r="I1134" t="s">
        <v>139</v>
      </c>
      <c r="J1134" t="s">
        <v>287</v>
      </c>
      <c r="K1134" s="101">
        <f>IF('Net zero activities &amp; levers'!$C$14="Off",'Activity data'!AD64*ManureNEF*NtoN2O*kgtoGg,IF('Net zero activities &amp; levers'!$C$14="On",'Net zero Activity data'!AD64*ManureNEF*NtoN2O*kgtoGg,"ERROR"))</f>
        <v>0.1578659423422277</v>
      </c>
      <c r="L1134" s="101">
        <f>IF('Net zero activities &amp; levers'!$C$14="Off",'Activity data'!AE64*ManureNEF*NtoN2O*kgtoGg,IF('Net zero activities &amp; levers'!$C$14="On",'Net zero Activity data'!AE64*ManureNEF*NtoN2O*kgtoGg,"ERROR"))</f>
        <v>0.16128463868664497</v>
      </c>
      <c r="M1134" s="101">
        <f>IF('Net zero activities &amp; levers'!$C$14="Off",'Activity data'!AF64*ManureNEF*NtoN2O*kgtoGg,IF('Net zero activities &amp; levers'!$C$14="On",'Net zero Activity data'!AF64*ManureNEF*NtoN2O*kgtoGg,"ERROR"))</f>
        <v>0.16403927917478689</v>
      </c>
      <c r="N1134" s="101">
        <f>IF('Net zero activities &amp; levers'!$C$14="Off",'Activity data'!AG64*ManureNEF*NtoN2O*kgtoGg,IF('Net zero activities &amp; levers'!$C$14="On",'Net zero Activity data'!AG64*ManureNEF*NtoN2O*kgtoGg,"ERROR"))</f>
        <v>0.16583912134746412</v>
      </c>
      <c r="O1134" s="101">
        <f>IF('Net zero activities &amp; levers'!$C$14="Off",'Activity data'!AH64*ManureNEF*NtoN2O*kgtoGg,IF('Net zero activities &amp; levers'!$C$14="On",'Net zero Activity data'!AH64*ManureNEF*NtoN2O*kgtoGg,"ERROR"))</f>
        <v>0.16766339315982179</v>
      </c>
      <c r="P1134" s="101">
        <f>IF('Net zero activities &amp; levers'!$C$14="Off",'Activity data'!AI64*ManureNEF*NtoN2O*kgtoGg,IF('Net zero activities &amp; levers'!$C$14="On",'Net zero Activity data'!AI64*ManureNEF*NtoN2O*kgtoGg,"ERROR"))</f>
        <v>0.17001522372192687</v>
      </c>
      <c r="Q1134" s="101">
        <f>IF('Net zero activities &amp; levers'!$C$14="Off",'Activity data'!AJ64*ManureNEF*NtoN2O*kgtoGg,IF('Net zero activities &amp; levers'!$C$14="On",'Net zero Activity data'!AJ64*ManureNEF*NtoN2O*kgtoGg,"ERROR"))</f>
        <v>0.17253027929477446</v>
      </c>
      <c r="R1134" s="101">
        <f>IF('Net zero activities &amp; levers'!$C$14="Off",'Activity data'!AK64*ManureNEF*NtoN2O*kgtoGg,IF('Net zero activities &amp; levers'!$C$14="On",'Net zero Activity data'!AK64*ManureNEF*NtoN2O*kgtoGg,"ERROR"))</f>
        <v>0.17399291850067305</v>
      </c>
      <c r="S1134" s="101">
        <f>IF('Net zero activities &amp; levers'!$C$14="Off",'Activity data'!AL64*ManureNEF*NtoN2O*kgtoGg,IF('Net zero activities &amp; levers'!$C$14="On",'Net zero Activity data'!AL64*ManureNEF*NtoN2O*kgtoGg,"ERROR"))</f>
        <v>0.16557860027053409</v>
      </c>
      <c r="T1134" s="101">
        <f>IF('Net zero activities &amp; levers'!$C$14="Off",'Activity data'!AM64*ManureNEF*NtoN2O*kgtoGg,IF('Net zero activities &amp; levers'!$C$14="On",'Net zero Activity data'!AM64*ManureNEF*NtoN2O*kgtoGg,"ERROR"))</f>
        <v>0.1691333492046497</v>
      </c>
      <c r="U1134" s="101">
        <f>IF('Net zero activities &amp; levers'!$C$14="Off",'Activity data'!AN64*ManureNEF*NtoN2O*kgtoGg,IF('Net zero activities &amp; levers'!$C$14="On",'Net zero Activity data'!AN64*ManureNEF*NtoN2O*kgtoGg,"ERROR"))</f>
        <v>0.17245170747417515</v>
      </c>
      <c r="V1134" s="101">
        <f>IF('Net zero activities &amp; levers'!$C$14="Off",'Activity data'!AO64*ManureNEF*NtoN2O*kgtoGg,IF('Net zero activities &amp; levers'!$C$14="On",'Net zero Activity data'!AO64*ManureNEF*NtoN2O*kgtoGg,"ERROR"))</f>
        <v>0.17579626240036808</v>
      </c>
      <c r="W1134" s="101">
        <f>IF('Net zero activities &amp; levers'!$C$14="Off",'Activity data'!AP64*ManureNEF*NtoN2O*kgtoGg,IF('Net zero activities &amp; levers'!$C$14="On",'Net zero Activity data'!AP64*ManureNEF*NtoN2O*kgtoGg,"ERROR"))</f>
        <v>0.17959210165256231</v>
      </c>
      <c r="X1134" s="101">
        <f>IF('Net zero activities &amp; levers'!$C$14="Off",'Activity data'!AQ64*ManureNEF*NtoN2O*kgtoGg,IF('Net zero activities &amp; levers'!$C$14="On",'Net zero Activity data'!AQ64*ManureNEF*NtoN2O*kgtoGg,"ERROR"))</f>
        <v>0.18341947191943975</v>
      </c>
      <c r="Y1134" s="101">
        <f>IF('Net zero activities &amp; levers'!$C$14="Off",'Activity data'!AR64*ManureNEF*NtoN2O*kgtoGg,IF('Net zero activities &amp; levers'!$C$14="On",'Net zero Activity data'!AR64*ManureNEF*NtoN2O*kgtoGg,"ERROR"))</f>
        <v>0.18725170622309825</v>
      </c>
      <c r="Z1134" s="101">
        <f>IF('Net zero activities &amp; levers'!$C$14="Off",'Activity data'!AS64*ManureNEF*NtoN2O*kgtoGg,IF('Net zero activities &amp; levers'!$C$14="On",'Net zero Activity data'!AS64*ManureNEF*NtoN2O*kgtoGg,"ERROR"))</f>
        <v>0.19101002435789147</v>
      </c>
      <c r="AA1134" s="101">
        <f>IF('Net zero activities &amp; levers'!$C$14="Off",'Activity data'!AT64*ManureNEF*NtoN2O*kgtoGg,IF('Net zero activities &amp; levers'!$C$14="On",'Net zero Activity data'!AT64*ManureNEF*NtoN2O*kgtoGg,"ERROR"))</f>
        <v>0.19496806630989533</v>
      </c>
      <c r="AB1134" s="101">
        <f>IF('Net zero activities &amp; levers'!$C$14="Off",'Activity data'!AU64*ManureNEF*NtoN2O*kgtoGg,IF('Net zero activities &amp; levers'!$C$14="On",'Net zero Activity data'!AU64*ManureNEF*NtoN2O*kgtoGg,"ERROR"))</f>
        <v>0.1987521861165934</v>
      </c>
      <c r="AC1134" s="101">
        <f>IF('Net zero activities &amp; levers'!$C$14="Off",'Activity data'!AV64*ManureNEF*NtoN2O*kgtoGg,IF('Net zero activities &amp; levers'!$C$14="On",'Net zero Activity data'!AV64*ManureNEF*NtoN2O*kgtoGg,"ERROR"))</f>
        <v>0.20262605023407515</v>
      </c>
      <c r="AD1134" s="101">
        <f>IF('Net zero activities &amp; levers'!$C$14="Off",'Activity data'!AW64*ManureNEF*NtoN2O*kgtoGg,IF('Net zero activities &amp; levers'!$C$14="On",'Net zero Activity data'!AW64*ManureNEF*NtoN2O*kgtoGg,"ERROR"))</f>
        <v>0.20701826985045815</v>
      </c>
      <c r="AE1134" s="101">
        <f>IF('Net zero activities &amp; levers'!$C$14="Off",'Activity data'!AX64*ManureNEF*NtoN2O*kgtoGg,IF('Net zero activities &amp; levers'!$C$14="On",'Net zero Activity data'!AX64*ManureNEF*NtoN2O*kgtoGg,"ERROR"))</f>
        <v>0.21171320346850861</v>
      </c>
      <c r="AF1134" s="101">
        <f>IF('Net zero activities &amp; levers'!$C$14="Off",'Activity data'!AY64*ManureNEF*NtoN2O*kgtoGg,IF('Net zero activities &amp; levers'!$C$14="On",'Net zero Activity data'!AY64*ManureNEF*NtoN2O*kgtoGg,"ERROR"))</f>
        <v>0.21655584185518156</v>
      </c>
      <c r="AG1134" s="101">
        <f>IF('Net zero activities &amp; levers'!$C$14="Off",'Activity data'!AZ64*ManureNEF*NtoN2O*kgtoGg,IF('Net zero activities &amp; levers'!$C$14="On",'Net zero Activity data'!AZ64*ManureNEF*NtoN2O*kgtoGg,"ERROR"))</f>
        <v>0.21799724995986033</v>
      </c>
      <c r="AH1134" s="101">
        <f>IF('Net zero activities &amp; levers'!$C$14="Off",'Activity data'!BA64*ManureNEF*NtoN2O*kgtoGg,IF('Net zero activities &amp; levers'!$C$14="On",'Net zero Activity data'!BA64*ManureNEF*NtoN2O*kgtoGg,"ERROR"))</f>
        <v>5.2251952852615427E-2</v>
      </c>
      <c r="AI1134" s="101">
        <f>IF('Net zero activities &amp; levers'!$C$14="Off",'Activity data'!BB64*ManureNEF*NtoN2O*kgtoGg,IF('Net zero activities &amp; levers'!$C$14="On",'Net zero Activity data'!BB64*ManureNEF*NtoN2O*kgtoGg,"ERROR"))</f>
        <v>5.2653553300749806E-2</v>
      </c>
      <c r="AJ1134" s="101">
        <f>IF('Net zero activities &amp; levers'!$C$14="Off",'Activity data'!BC64*ManureNEF*NtoN2O*kgtoGg,IF('Net zero activities &amp; levers'!$C$14="On",'Net zero Activity data'!BC64*ManureNEF*NtoN2O*kgtoGg,"ERROR"))</f>
        <v>5.3058077706100888E-2</v>
      </c>
      <c r="AK1134" s="101">
        <f>IF('Net zero activities &amp; levers'!$C$14="Off",'Activity data'!BD64*ManureNEF*NtoN2O*kgtoGg,IF('Net zero activities &amp; levers'!$C$14="On",'Net zero Activity data'!BD64*ManureNEF*NtoN2O*kgtoGg,"ERROR"))</f>
        <v>5.3465548333796561E-2</v>
      </c>
      <c r="AL1134" s="101">
        <f>IF('Net zero activities &amp; levers'!$C$14="Off",'Activity data'!BE64*ManureNEF*NtoN2O*kgtoGg,IF('Net zero activities &amp; levers'!$C$14="On",'Net zero Activity data'!BE64*ManureNEF*NtoN2O*kgtoGg,"ERROR"))</f>
        <v>5.3875987550074486E-2</v>
      </c>
      <c r="AM1134" s="101">
        <f>IF('Net zero activities &amp; levers'!$C$14="Off",'Activity data'!BF64*ManureNEF*NtoN2O*kgtoGg,IF('Net zero activities &amp; levers'!$C$14="On",'Net zero Activity data'!BF64*ManureNEF*NtoN2O*kgtoGg,"ERROR"))</f>
        <v>5.4289417828860521E-2</v>
      </c>
      <c r="AN1134" s="101">
        <f>IF('Net zero activities &amp; levers'!$C$14="Off",'Activity data'!BG64*ManureNEF*NtoN2O*kgtoGg,IF('Net zero activities &amp; levers'!$C$14="On",'Net zero Activity data'!BG64*ManureNEF*NtoN2O*kgtoGg,"ERROR"))</f>
        <v>5.4642837788304699E-2</v>
      </c>
      <c r="AO1134" s="101">
        <f>IF('Net zero activities &amp; levers'!$C$14="Off",'Activity data'!BH64*ManureNEF*NtoN2O*kgtoGg,IF('Net zero activities &amp; levers'!$C$14="On",'Net zero Activity data'!BH64*ManureNEF*NtoN2O*kgtoGg,"ERROR"))</f>
        <v>5.4998439326322222E-2</v>
      </c>
      <c r="AP1134" s="101">
        <f>IF('Net zero activities &amp; levers'!$C$14="Off",'Activity data'!BI64*ManureNEF*NtoN2O*kgtoGg,IF('Net zero activities &amp; levers'!$C$14="On",'Net zero Activity data'!BI64*ManureNEF*NtoN2O*kgtoGg,"ERROR"))</f>
        <v>5.5356236623464276E-2</v>
      </c>
      <c r="AQ1134" s="101">
        <f>IF('Net zero activities &amp; levers'!$C$14="Off",'Activity data'!BJ64*ManureNEF*NtoN2O*kgtoGg,IF('Net zero activities &amp; levers'!$C$14="On",'Net zero Activity data'!BJ64*ManureNEF*NtoN2O*kgtoGg,"ERROR"))</f>
        <v>5.5716243907733665E-2</v>
      </c>
      <c r="AR1134" s="101">
        <f>IF('Net zero activities &amp; levers'!$C$14="Off",'Activity data'!BK64*ManureNEF*NtoN2O*kgtoGg,IF('Net zero activities &amp; levers'!$C$14="On",'Net zero Activity data'!BK64*ManureNEF*NtoN2O*kgtoGg,"ERROR"))</f>
        <v>5.6078475458306978E-2</v>
      </c>
      <c r="AS1134" s="101">
        <f>IF('Net zero activities &amp; levers'!$C$14="Off",'Activity data'!BL64*ManureNEF*NtoN2O*kgtoGg,IF('Net zero activities &amp; levers'!$C$14="On",'Net zero Activity data'!BL64*ManureNEF*NtoN2O*kgtoGg,"ERROR"))</f>
        <v>5.6378177516484766E-2</v>
      </c>
      <c r="AT1134" s="101">
        <f>IF('Net zero activities &amp; levers'!$C$14="Off",'Activity data'!BM64*ManureNEF*NtoN2O*kgtoGg,IF('Net zero activities &amp; levers'!$C$14="On",'Net zero Activity data'!BM64*ManureNEF*NtoN2O*kgtoGg,"ERROR"))</f>
        <v>5.6679397882174076E-2</v>
      </c>
      <c r="AU1134" s="101">
        <f>IF('Net zero activities &amp; levers'!$C$14="Off",'Activity data'!BN64*ManureNEF*NtoN2O*kgtoGg,IF('Net zero activities &amp; levers'!$C$14="On",'Net zero Activity data'!BN64*ManureNEF*NtoN2O*kgtoGg,"ERROR"))</f>
        <v>5.6982144790486855E-2</v>
      </c>
      <c r="AV1134" s="101">
        <f>IF('Net zero activities &amp; levers'!$C$14="Off",'Activity data'!BO64*ManureNEF*NtoN2O*kgtoGg,IF('Net zero activities &amp; levers'!$C$14="On",'Net zero Activity data'!BO64*ManureNEF*NtoN2O*kgtoGg,"ERROR"))</f>
        <v>5.7286426490389369E-2</v>
      </c>
      <c r="AW1134" s="101">
        <f>IF('Net zero activities &amp; levers'!$C$14="Off",'Activity data'!BP64*ManureNEF*NtoN2O*kgtoGg,IF('Net zero activities &amp; levers'!$C$14="On",'Net zero Activity data'!BP64*ManureNEF*NtoN2O*kgtoGg,"ERROR"))</f>
        <v>5.7592251246923687E-2</v>
      </c>
      <c r="AY1134" s="85"/>
    </row>
    <row r="1135" spans="1:51" x14ac:dyDescent="0.25">
      <c r="A1135" s="102" t="str">
        <f t="shared" si="374"/>
        <v>CM Organic</v>
      </c>
      <c r="B1135" s="102" t="s">
        <v>1323</v>
      </c>
      <c r="C1135" s="102" t="s">
        <v>1128</v>
      </c>
      <c r="D1135" t="s">
        <v>369</v>
      </c>
      <c r="E1135" t="s">
        <v>55</v>
      </c>
      <c r="F1135" t="s">
        <v>421</v>
      </c>
      <c r="G1135" t="s">
        <v>1183</v>
      </c>
      <c r="H1135" t="s">
        <v>1184</v>
      </c>
      <c r="I1135" t="s">
        <v>139</v>
      </c>
      <c r="J1135" t="s">
        <v>287</v>
      </c>
      <c r="K1135" s="101">
        <f>IF('Net zero activities &amp; levers'!$C$14="Off",'Activity data'!AD65*ManureNEF*NtoN2O*kgtoGg,IF('Net zero activities &amp; levers'!$C$14="On",'Net zero Activity data'!AD65*ManureNEF*NtoN2O*kgtoGg,"ERROR"))</f>
        <v>0.795414165570277</v>
      </c>
      <c r="L1135" s="101">
        <f>IF('Net zero activities &amp; levers'!$C$14="Off",'Activity data'!AE65*ManureNEF*NtoN2O*kgtoGg,IF('Net zero activities &amp; levers'!$C$14="On",'Net zero Activity data'!AE65*ManureNEF*NtoN2O*kgtoGg,"ERROR"))</f>
        <v>0.8083218557846692</v>
      </c>
      <c r="M1135" s="101">
        <f>IF('Net zero activities &amp; levers'!$C$14="Off",'Activity data'!AF65*ManureNEF*NtoN2O*kgtoGg,IF('Net zero activities &amp; levers'!$C$14="On",'Net zero Activity data'!AF65*ManureNEF*NtoN2O*kgtoGg,"ERROR"))</f>
        <v>0.81215441853464132</v>
      </c>
      <c r="N1135" s="101">
        <f>IF('Net zero activities &amp; levers'!$C$14="Off",'Activity data'!AG65*ManureNEF*NtoN2O*kgtoGg,IF('Net zero activities &amp; levers'!$C$14="On",'Net zero Activity data'!AG65*ManureNEF*NtoN2O*kgtoGg,"ERROR"))</f>
        <v>0.80356343008777875</v>
      </c>
      <c r="O1135" s="101">
        <f>IF('Net zero activities &amp; levers'!$C$14="Off",'Activity data'!AH65*ManureNEF*NtoN2O*kgtoGg,IF('Net zero activities &amp; levers'!$C$14="On",'Net zero Activity data'!AH65*ManureNEF*NtoN2O*kgtoGg,"ERROR"))</f>
        <v>0.79499088780116223</v>
      </c>
      <c r="P1135" s="101">
        <f>IF('Net zero activities &amp; levers'!$C$14="Off",'Activity data'!AI65*ManureNEF*NtoN2O*kgtoGg,IF('Net zero activities &amp; levers'!$C$14="On",'Net zero Activity data'!AI65*ManureNEF*NtoN2O*kgtoGg,"ERROR"))</f>
        <v>0.79250347923266529</v>
      </c>
      <c r="Q1135" s="101">
        <f>IF('Net zero activities &amp; levers'!$C$14="Off",'Activity data'!AJ65*ManureNEF*NtoN2O*kgtoGg,IF('Net zero activities &amp; levers'!$C$14="On",'Net zero Activity data'!AJ65*ManureNEF*NtoN2O*kgtoGg,"ERROR"))</f>
        <v>0.79198531109847847</v>
      </c>
      <c r="R1135" s="101">
        <f>IF('Net zero activities &amp; levers'!$C$14="Off",'Activity data'!AK65*ManureNEF*NtoN2O*kgtoGg,IF('Net zero activities &amp; levers'!$C$14="On",'Net zero Activity data'!AK65*ManureNEF*NtoN2O*kgtoGg,"ERROR"))</f>
        <v>0.77877476502438481</v>
      </c>
      <c r="S1135" s="101">
        <f>IF('Net zero activities &amp; levers'!$C$14="Off",'Activity data'!AL65*ManureNEF*NtoN2O*kgtoGg,IF('Net zero activities &amp; levers'!$C$14="On",'Net zero Activity data'!AL65*ManureNEF*NtoN2O*kgtoGg,"ERROR"))</f>
        <v>0.64890920680176789</v>
      </c>
      <c r="T1135" s="101">
        <f>IF('Net zero activities &amp; levers'!$C$14="Off",'Activity data'!AM65*ManureNEF*NtoN2O*kgtoGg,IF('Net zero activities &amp; levers'!$C$14="On",'Net zero Activity data'!AM65*ManureNEF*NtoN2O*kgtoGg,"ERROR"))</f>
        <v>0.66805040989248243</v>
      </c>
      <c r="U1135" s="101">
        <f>IF('Net zero activities &amp; levers'!$C$14="Off",'Activity data'!AN65*ManureNEF*NtoN2O*kgtoGg,IF('Net zero activities &amp; levers'!$C$14="On",'Net zero Activity data'!AN65*ManureNEF*NtoN2O*kgtoGg,"ERROR"))</f>
        <v>0.68404988485251483</v>
      </c>
      <c r="V1135" s="101">
        <f>IF('Net zero activities &amp; levers'!$C$14="Off",'Activity data'!AO65*ManureNEF*NtoN2O*kgtoGg,IF('Net zero activities &amp; levers'!$C$14="On",'Net zero Activity data'!AO65*ManureNEF*NtoN2O*kgtoGg,"ERROR"))</f>
        <v>0.70001053899583365</v>
      </c>
      <c r="W1135" s="101">
        <f>IF('Net zero activities &amp; levers'!$C$14="Off",'Activity data'!AP65*ManureNEF*NtoN2O*kgtoGg,IF('Net zero activities &amp; levers'!$C$14="On",'Net zero Activity data'!AP65*ManureNEF*NtoN2O*kgtoGg,"ERROR"))</f>
        <v>0.72077585420537182</v>
      </c>
      <c r="X1135" s="101">
        <f>IF('Net zero activities &amp; levers'!$C$14="Off",'Activity data'!AQ65*ManureNEF*NtoN2O*kgtoGg,IF('Net zero activities &amp; levers'!$C$14="On",'Net zero Activity data'!AQ65*ManureNEF*NtoN2O*kgtoGg,"ERROR"))</f>
        <v>0.74147883845948881</v>
      </c>
      <c r="Y1135" s="101">
        <f>IF('Net zero activities &amp; levers'!$C$14="Off",'Activity data'!AR65*ManureNEF*NtoN2O*kgtoGg,IF('Net zero activities &amp; levers'!$C$14="On",'Net zero Activity data'!AR65*ManureNEF*NtoN2O*kgtoGg,"ERROR"))</f>
        <v>0.76420933570691552</v>
      </c>
      <c r="Z1135" s="101">
        <f>IF('Net zero activities &amp; levers'!$C$14="Off",'Activity data'!AS65*ManureNEF*NtoN2O*kgtoGg,IF('Net zero activities &amp; levers'!$C$14="On",'Net zero Activity data'!AS65*ManureNEF*NtoN2O*kgtoGg,"ERROR"))</f>
        <v>0.78572613438626693</v>
      </c>
      <c r="AA1135" s="101">
        <f>IF('Net zero activities &amp; levers'!$C$14="Off",'Activity data'!AT65*ManureNEF*NtoN2O*kgtoGg,IF('Net zero activities &amp; levers'!$C$14="On",'Net zero Activity data'!AT65*ManureNEF*NtoN2O*kgtoGg,"ERROR"))</f>
        <v>0.80907791428846942</v>
      </c>
      <c r="AB1135" s="101">
        <f>IF('Net zero activities &amp; levers'!$C$14="Off",'Activity data'!AU65*ManureNEF*NtoN2O*kgtoGg,IF('Net zero activities &amp; levers'!$C$14="On",'Net zero Activity data'!AU65*ManureNEF*NtoN2O*kgtoGg,"ERROR"))</f>
        <v>0.8301336909980378</v>
      </c>
      <c r="AC1135" s="101">
        <f>IF('Net zero activities &amp; levers'!$C$14="Off",'Activity data'!AV65*ManureNEF*NtoN2O*kgtoGg,IF('Net zero activities &amp; levers'!$C$14="On",'Net zero Activity data'!AV65*ManureNEF*NtoN2O*kgtoGg,"ERROR"))</f>
        <v>0.85181121057445375</v>
      </c>
      <c r="AD1135" s="101">
        <f>IF('Net zero activities &amp; levers'!$C$14="Off",'Activity data'!AW65*ManureNEF*NtoN2O*kgtoGg,IF('Net zero activities &amp; levers'!$C$14="On",'Net zero Activity data'!AW65*ManureNEF*NtoN2O*kgtoGg,"ERROR"))</f>
        <v>0.88061906068467799</v>
      </c>
      <c r="AE1135" s="101">
        <f>IF('Net zero activities &amp; levers'!$C$14="Off",'Activity data'!AX65*ManureNEF*NtoN2O*kgtoGg,IF('Net zero activities &amp; levers'!$C$14="On",'Net zero Activity data'!AX65*ManureNEF*NtoN2O*kgtoGg,"ERROR"))</f>
        <v>0.91224642242202703</v>
      </c>
      <c r="AF1135" s="101">
        <f>IF('Net zero activities &amp; levers'!$C$14="Off",'Activity data'!AY65*ManureNEF*NtoN2O*kgtoGg,IF('Net zero activities &amp; levers'!$C$14="On",'Net zero Activity data'!AY65*ManureNEF*NtoN2O*kgtoGg,"ERROR"))</f>
        <v>0.9449892623330276</v>
      </c>
      <c r="AG1135" s="101">
        <f>IF('Net zero activities &amp; levers'!$C$14="Off",'Activity data'!AZ65*ManureNEF*NtoN2O*kgtoGg,IF('Net zero activities &amp; levers'!$C$14="On",'Net zero Activity data'!AZ65*ManureNEF*NtoN2O*kgtoGg,"ERROR"))</f>
        <v>0.94134312985108715</v>
      </c>
      <c r="AH1135" s="101">
        <f>IF('Net zero activities &amp; levers'!$C$14="Off",'Activity data'!BA65*ManureNEF*NtoN2O*kgtoGg,IF('Net zero activities &amp; levers'!$C$14="On",'Net zero Activity data'!BA65*ManureNEF*NtoN2O*kgtoGg,"ERROR"))</f>
        <v>-0.81638140263432868</v>
      </c>
      <c r="AI1135" s="101">
        <f>IF('Net zero activities &amp; levers'!$C$14="Off",'Activity data'!BB65*ManureNEF*NtoN2O*kgtoGg,IF('Net zero activities &amp; levers'!$C$14="On",'Net zero Activity data'!BB65*ManureNEF*NtoN2O*kgtoGg,"ERROR"))</f>
        <v>-0.81755111000616232</v>
      </c>
      <c r="AJ1135" s="101">
        <f>IF('Net zero activities &amp; levers'!$C$14="Off",'Activity data'!BC65*ManureNEF*NtoN2O*kgtoGg,IF('Net zero activities &amp; levers'!$C$14="On",'Net zero Activity data'!BC65*ManureNEF*NtoN2O*kgtoGg,"ERROR"))</f>
        <v>-0.81881979999269761</v>
      </c>
      <c r="AK1135" s="101">
        <f>IF('Net zero activities &amp; levers'!$C$14="Off",'Activity data'!BD65*ManureNEF*NtoN2O*kgtoGg,IF('Net zero activities &amp; levers'!$C$14="On",'Net zero Activity data'!BD65*ManureNEF*NtoN2O*kgtoGg,"ERROR"))</f>
        <v>-0.82018334185066777</v>
      </c>
      <c r="AL1135" s="101">
        <f>IF('Net zero activities &amp; levers'!$C$14="Off",'Activity data'!BE65*ManureNEF*NtoN2O*kgtoGg,IF('Net zero activities &amp; levers'!$C$14="On",'Net zero Activity data'!BE65*ManureNEF*NtoN2O*kgtoGg,"ERROR"))</f>
        <v>-0.82163792568162108</v>
      </c>
      <c r="AM1135" s="101">
        <f>IF('Net zero activities &amp; levers'!$C$14="Off",'Activity data'!BF65*ManureNEF*NtoN2O*kgtoGg,IF('Net zero activities &amp; levers'!$C$14="On",'Net zero Activity data'!BF65*ManureNEF*NtoN2O*kgtoGg,"ERROR"))</f>
        <v>-0.82318003161190867</v>
      </c>
      <c r="AN1135" s="101">
        <f>IF('Net zero activities &amp; levers'!$C$14="Off",'Activity data'!BG65*ManureNEF*NtoN2O*kgtoGg,IF('Net zero activities &amp; levers'!$C$14="On",'Net zero Activity data'!BG65*ManureNEF*NtoN2O*kgtoGg,"ERROR"))</f>
        <v>-0.82381473491699941</v>
      </c>
      <c r="AO1135" s="101">
        <f>IF('Net zero activities &amp; levers'!$C$14="Off",'Activity data'!BH65*ManureNEF*NtoN2O*kgtoGg,IF('Net zero activities &amp; levers'!$C$14="On",'Net zero Activity data'!BH65*ManureNEF*NtoN2O*kgtoGg,"ERROR"))</f>
        <v>-0.82452898483774906</v>
      </c>
      <c r="AP1135" s="101">
        <f>IF('Net zero activities &amp; levers'!$C$14="Off",'Activity data'!BI65*ManureNEF*NtoN2O*kgtoGg,IF('Net zero activities &amp; levers'!$C$14="On",'Net zero Activity data'!BI65*ManureNEF*NtoN2O*kgtoGg,"ERROR"))</f>
        <v>-0.82531969261957272</v>
      </c>
      <c r="AQ1135" s="101">
        <f>IF('Net zero activities &amp; levers'!$C$14="Off",'Activity data'!BJ65*ManureNEF*NtoN2O*kgtoGg,IF('Net zero activities &amp; levers'!$C$14="On",'Net zero Activity data'!BJ65*ManureNEF*NtoN2O*kgtoGg,"ERROR"))</f>
        <v>-0.82618398159490103</v>
      </c>
      <c r="AR1135" s="101">
        <f>IF('Net zero activities &amp; levers'!$C$14="Off",'Activity data'!BK65*ManureNEF*NtoN2O*kgtoGg,IF('Net zero activities &amp; levers'!$C$14="On",'Net zero Activity data'!BK65*ManureNEF*NtoN2O*kgtoGg,"ERROR"))</f>
        <v>-0.82711916895922855</v>
      </c>
      <c r="AS1135" s="101">
        <f>IF('Net zero activities &amp; levers'!$C$14="Off",'Activity data'!BL65*ManureNEF*NtoN2O*kgtoGg,IF('Net zero activities &amp; levers'!$C$14="On",'Net zero Activity data'!BL65*ManureNEF*NtoN2O*kgtoGg,"ERROR"))</f>
        <v>-0.82713235750266001</v>
      </c>
      <c r="AT1135" s="101">
        <f>IF('Net zero activities &amp; levers'!$C$14="Off",'Activity data'!BM65*ManureNEF*NtoN2O*kgtoGg,IF('Net zero activities &amp; levers'!$C$14="On",'Net zero Activity data'!BM65*ManureNEF*NtoN2O*kgtoGg,"ERROR"))</f>
        <v>-0.82721120407880289</v>
      </c>
      <c r="AU1135" s="101">
        <f>IF('Net zero activities &amp; levers'!$C$14="Off",'Activity data'!BN65*ManureNEF*NtoN2O*kgtoGg,IF('Net zero activities &amp; levers'!$C$14="On",'Net zero Activity data'!BN65*ManureNEF*NtoN2O*kgtoGg,"ERROR"))</f>
        <v>-0.82735328113760953</v>
      </c>
      <c r="AV1135" s="101">
        <f>IF('Net zero activities &amp; levers'!$C$14="Off",'Activity data'!BO65*ManureNEF*NtoN2O*kgtoGg,IF('Net zero activities &amp; levers'!$C$14="On",'Net zero Activity data'!BO65*ManureNEF*NtoN2O*kgtoGg,"ERROR"))</f>
        <v>-0.82755630984608064</v>
      </c>
      <c r="AW1135" s="101">
        <f>IF('Net zero activities &amp; levers'!$C$14="Off",'Activity data'!BP65*ManureNEF*NtoN2O*kgtoGg,IF('Net zero activities &amp; levers'!$C$14="On",'Net zero Activity data'!BP65*ManureNEF*NtoN2O*kgtoGg,"ERROR"))</f>
        <v>-0.82781814853769387</v>
      </c>
      <c r="AY1135" s="85"/>
    </row>
    <row r="1136" spans="1:51" x14ac:dyDescent="0.25">
      <c r="A1136" s="102" t="str">
        <f t="shared" si="374"/>
        <v>CM U&amp;D</v>
      </c>
      <c r="B1136" s="102" t="s">
        <v>1323</v>
      </c>
      <c r="C1136" s="102" t="s">
        <v>1337</v>
      </c>
      <c r="D1136" t="s">
        <v>369</v>
      </c>
      <c r="E1136" t="s">
        <v>55</v>
      </c>
      <c r="F1136" t="s">
        <v>422</v>
      </c>
      <c r="G1136" t="s">
        <v>1153</v>
      </c>
      <c r="H1136" t="s">
        <v>1241</v>
      </c>
      <c r="I1136" t="s">
        <v>139</v>
      </c>
      <c r="J1136" t="s">
        <v>287</v>
      </c>
      <c r="K1136" s="101">
        <f>IF('Net zero activities &amp; levers'!$C$14="Off",'Activity data'!AD66*UDCPPEF*NtoN2O*kgtoGg,IF('Net zero activities &amp; levers'!$C$14="On",'Net zero Activity data'!AD66*UDCPPEF*NtoN2O*kgtoGg,"ERROR"))</f>
        <v>0</v>
      </c>
      <c r="L1136" s="101">
        <f>IF('Net zero activities &amp; levers'!$C$14="Off",'Activity data'!AE66*UDCPPEF*NtoN2O*kgtoGg,IF('Net zero activities &amp; levers'!$C$14="On",'Net zero Activity data'!AE66*UDCPPEF*NtoN2O*kgtoGg,"ERROR"))</f>
        <v>0</v>
      </c>
      <c r="M1136" s="101">
        <f>IF('Net zero activities &amp; levers'!$C$14="Off",'Activity data'!AF66*UDCPPEF*NtoN2O*kgtoGg,IF('Net zero activities &amp; levers'!$C$14="On",'Net zero Activity data'!AF66*UDCPPEF*NtoN2O*kgtoGg,"ERROR"))</f>
        <v>0</v>
      </c>
      <c r="N1136" s="101">
        <f>IF('Net zero activities &amp; levers'!$C$14="Off",'Activity data'!AG66*UDCPPEF*NtoN2O*kgtoGg,IF('Net zero activities &amp; levers'!$C$14="On",'Net zero Activity data'!AG66*UDCPPEF*NtoN2O*kgtoGg,"ERROR"))</f>
        <v>0</v>
      </c>
      <c r="O1136" s="101">
        <f>IF('Net zero activities &amp; levers'!$C$14="Off",'Activity data'!AH66*UDCPPEF*NtoN2O*kgtoGg,IF('Net zero activities &amp; levers'!$C$14="On",'Net zero Activity data'!AH66*UDCPPEF*NtoN2O*kgtoGg,"ERROR"))</f>
        <v>0</v>
      </c>
      <c r="P1136" s="101">
        <f>IF('Net zero activities &amp; levers'!$C$14="Off",'Activity data'!AI66*UDCPPEF*NtoN2O*kgtoGg,IF('Net zero activities &amp; levers'!$C$14="On",'Net zero Activity data'!AI66*UDCPPEF*NtoN2O*kgtoGg,"ERROR"))</f>
        <v>0</v>
      </c>
      <c r="Q1136" s="101">
        <f>IF('Net zero activities &amp; levers'!$C$14="Off",'Activity data'!AJ66*UDCPPEF*NtoN2O*kgtoGg,IF('Net zero activities &amp; levers'!$C$14="On",'Net zero Activity data'!AJ66*UDCPPEF*NtoN2O*kgtoGg,"ERROR"))</f>
        <v>0</v>
      </c>
      <c r="R1136" s="101">
        <f>IF('Net zero activities &amp; levers'!$C$14="Off",'Activity data'!AK66*UDCPPEF*NtoN2O*kgtoGg,IF('Net zero activities &amp; levers'!$C$14="On",'Net zero Activity data'!AK66*UDCPPEF*NtoN2O*kgtoGg,"ERROR"))</f>
        <v>0</v>
      </c>
      <c r="S1136" s="101">
        <f>IF('Net zero activities &amp; levers'!$C$14="Off",'Activity data'!AL66*UDCPPEF*NtoN2O*kgtoGg,IF('Net zero activities &amp; levers'!$C$14="On",'Net zero Activity data'!AL66*UDCPPEF*NtoN2O*kgtoGg,"ERROR"))</f>
        <v>0</v>
      </c>
      <c r="T1136" s="101">
        <f>IF('Net zero activities &amp; levers'!$C$14="Off",'Activity data'!AM66*UDCPPEF*NtoN2O*kgtoGg,IF('Net zero activities &amp; levers'!$C$14="On",'Net zero Activity data'!AM66*UDCPPEF*NtoN2O*kgtoGg,"ERROR"))</f>
        <v>0</v>
      </c>
      <c r="U1136" s="101">
        <f>IF('Net zero activities &amp; levers'!$C$14="Off",'Activity data'!AN66*UDCPPEF*NtoN2O*kgtoGg,IF('Net zero activities &amp; levers'!$C$14="On",'Net zero Activity data'!AN66*UDCPPEF*NtoN2O*kgtoGg,"ERROR"))</f>
        <v>0</v>
      </c>
      <c r="V1136" s="101">
        <f>IF('Net zero activities &amp; levers'!$C$14="Off",'Activity data'!AO66*UDCPPEF*NtoN2O*kgtoGg,IF('Net zero activities &amp; levers'!$C$14="On",'Net zero Activity data'!AO66*UDCPPEF*NtoN2O*kgtoGg,"ERROR"))</f>
        <v>0</v>
      </c>
      <c r="W1136" s="101">
        <f>IF('Net zero activities &amp; levers'!$C$14="Off",'Activity data'!AP66*UDCPPEF*NtoN2O*kgtoGg,IF('Net zero activities &amp; levers'!$C$14="On",'Net zero Activity data'!AP66*UDCPPEF*NtoN2O*kgtoGg,"ERROR"))</f>
        <v>0</v>
      </c>
      <c r="X1136" s="101">
        <f>IF('Net zero activities &amp; levers'!$C$14="Off",'Activity data'!AQ66*UDCPPEF*NtoN2O*kgtoGg,IF('Net zero activities &amp; levers'!$C$14="On",'Net zero Activity data'!AQ66*UDCPPEF*NtoN2O*kgtoGg,"ERROR"))</f>
        <v>0</v>
      </c>
      <c r="Y1136" s="101">
        <f>IF('Net zero activities &amp; levers'!$C$14="Off",'Activity data'!AR66*UDCPPEF*NtoN2O*kgtoGg,IF('Net zero activities &amp; levers'!$C$14="On",'Net zero Activity data'!AR66*UDCPPEF*NtoN2O*kgtoGg,"ERROR"))</f>
        <v>0</v>
      </c>
      <c r="Z1136" s="101">
        <f>IF('Net zero activities &amp; levers'!$C$14="Off",'Activity data'!AS66*UDCPPEF*NtoN2O*kgtoGg,IF('Net zero activities &amp; levers'!$C$14="On",'Net zero Activity data'!AS66*UDCPPEF*NtoN2O*kgtoGg,"ERROR"))</f>
        <v>0</v>
      </c>
      <c r="AA1136" s="101">
        <f>IF('Net zero activities &amp; levers'!$C$14="Off",'Activity data'!AT66*UDCPPEF*NtoN2O*kgtoGg,IF('Net zero activities &amp; levers'!$C$14="On",'Net zero Activity data'!AT66*UDCPPEF*NtoN2O*kgtoGg,"ERROR"))</f>
        <v>0</v>
      </c>
      <c r="AB1136" s="101">
        <f>IF('Net zero activities &amp; levers'!$C$14="Off",'Activity data'!AU66*UDCPPEF*NtoN2O*kgtoGg,IF('Net zero activities &amp; levers'!$C$14="On",'Net zero Activity data'!AU66*UDCPPEF*NtoN2O*kgtoGg,"ERROR"))</f>
        <v>0</v>
      </c>
      <c r="AC1136" s="101">
        <f>IF('Net zero activities &amp; levers'!$C$14="Off",'Activity data'!AV66*UDCPPEF*NtoN2O*kgtoGg,IF('Net zero activities &amp; levers'!$C$14="On",'Net zero Activity data'!AV66*UDCPPEF*NtoN2O*kgtoGg,"ERROR"))</f>
        <v>0</v>
      </c>
      <c r="AD1136" s="101">
        <f>IF('Net zero activities &amp; levers'!$C$14="Off",'Activity data'!AW66*UDCPPEF*NtoN2O*kgtoGg,IF('Net zero activities &amp; levers'!$C$14="On",'Net zero Activity data'!AW66*UDCPPEF*NtoN2O*kgtoGg,"ERROR"))</f>
        <v>0</v>
      </c>
      <c r="AE1136" s="101">
        <f>IF('Net zero activities &amp; levers'!$C$14="Off",'Activity data'!AX66*UDCPPEF*NtoN2O*kgtoGg,IF('Net zero activities &amp; levers'!$C$14="On",'Net zero Activity data'!AX66*UDCPPEF*NtoN2O*kgtoGg,"ERROR"))</f>
        <v>0</v>
      </c>
      <c r="AF1136" s="101">
        <f>IF('Net zero activities &amp; levers'!$C$14="Off",'Activity data'!AY66*UDCPPEF*NtoN2O*kgtoGg,IF('Net zero activities &amp; levers'!$C$14="On",'Net zero Activity data'!AY66*UDCPPEF*NtoN2O*kgtoGg,"ERROR"))</f>
        <v>0</v>
      </c>
      <c r="AG1136" s="101">
        <f>IF('Net zero activities &amp; levers'!$C$14="Off",'Activity data'!AZ66*UDCPPEF*NtoN2O*kgtoGg,IF('Net zero activities &amp; levers'!$C$14="On",'Net zero Activity data'!AZ66*UDCPPEF*NtoN2O*kgtoGg,"ERROR"))</f>
        <v>0</v>
      </c>
      <c r="AH1136" s="101">
        <f>IF('Net zero activities &amp; levers'!$C$14="Off",'Activity data'!BA66*UDCPPEF*NtoN2O*kgtoGg,IF('Net zero activities &amp; levers'!$C$14="On",'Net zero Activity data'!BA66*UDCPPEF*NtoN2O*kgtoGg,"ERROR"))</f>
        <v>0</v>
      </c>
      <c r="AI1136" s="101">
        <f>IF('Net zero activities &amp; levers'!$C$14="Off",'Activity data'!BB66*UDCPPEF*NtoN2O*kgtoGg,IF('Net zero activities &amp; levers'!$C$14="On",'Net zero Activity data'!BB66*UDCPPEF*NtoN2O*kgtoGg,"ERROR"))</f>
        <v>0</v>
      </c>
      <c r="AJ1136" s="101">
        <f>IF('Net zero activities &amp; levers'!$C$14="Off",'Activity data'!BC66*UDCPPEF*NtoN2O*kgtoGg,IF('Net zero activities &amp; levers'!$C$14="On",'Net zero Activity data'!BC66*UDCPPEF*NtoN2O*kgtoGg,"ERROR"))</f>
        <v>0</v>
      </c>
      <c r="AK1136" s="101">
        <f>IF('Net zero activities &amp; levers'!$C$14="Off",'Activity data'!BD66*UDCPPEF*NtoN2O*kgtoGg,IF('Net zero activities &amp; levers'!$C$14="On",'Net zero Activity data'!BD66*UDCPPEF*NtoN2O*kgtoGg,"ERROR"))</f>
        <v>0</v>
      </c>
      <c r="AL1136" s="101">
        <f>IF('Net zero activities &amp; levers'!$C$14="Off",'Activity data'!BE66*UDCPPEF*NtoN2O*kgtoGg,IF('Net zero activities &amp; levers'!$C$14="On",'Net zero Activity data'!BE66*UDCPPEF*NtoN2O*kgtoGg,"ERROR"))</f>
        <v>0</v>
      </c>
      <c r="AM1136" s="101">
        <f>IF('Net zero activities &amp; levers'!$C$14="Off",'Activity data'!BF66*UDCPPEF*NtoN2O*kgtoGg,IF('Net zero activities &amp; levers'!$C$14="On",'Net zero Activity data'!BF66*UDCPPEF*NtoN2O*kgtoGg,"ERROR"))</f>
        <v>0</v>
      </c>
      <c r="AN1136" s="101">
        <f>IF('Net zero activities &amp; levers'!$C$14="Off",'Activity data'!BG66*UDCPPEF*NtoN2O*kgtoGg,IF('Net zero activities &amp; levers'!$C$14="On",'Net zero Activity data'!BG66*UDCPPEF*NtoN2O*kgtoGg,"ERROR"))</f>
        <v>0</v>
      </c>
      <c r="AO1136" s="101">
        <f>IF('Net zero activities &amp; levers'!$C$14="Off",'Activity data'!BH66*UDCPPEF*NtoN2O*kgtoGg,IF('Net zero activities &amp; levers'!$C$14="On",'Net zero Activity data'!BH66*UDCPPEF*NtoN2O*kgtoGg,"ERROR"))</f>
        <v>0</v>
      </c>
      <c r="AP1136" s="101">
        <f>IF('Net zero activities &amp; levers'!$C$14="Off",'Activity data'!BI66*UDCPPEF*NtoN2O*kgtoGg,IF('Net zero activities &amp; levers'!$C$14="On",'Net zero Activity data'!BI66*UDCPPEF*NtoN2O*kgtoGg,"ERROR"))</f>
        <v>0</v>
      </c>
      <c r="AQ1136" s="101">
        <f>IF('Net zero activities &amp; levers'!$C$14="Off",'Activity data'!BJ66*UDCPPEF*NtoN2O*kgtoGg,IF('Net zero activities &amp; levers'!$C$14="On",'Net zero Activity data'!BJ66*UDCPPEF*NtoN2O*kgtoGg,"ERROR"))</f>
        <v>0</v>
      </c>
      <c r="AR1136" s="101">
        <f>IF('Net zero activities &amp; levers'!$C$14="Off",'Activity data'!BK66*UDCPPEF*NtoN2O*kgtoGg,IF('Net zero activities &amp; levers'!$C$14="On",'Net zero Activity data'!BK66*UDCPPEF*NtoN2O*kgtoGg,"ERROR"))</f>
        <v>0</v>
      </c>
      <c r="AS1136" s="101">
        <f>IF('Net zero activities &amp; levers'!$C$14="Off",'Activity data'!BL66*UDCPPEF*NtoN2O*kgtoGg,IF('Net zero activities &amp; levers'!$C$14="On",'Net zero Activity data'!BL66*UDCPPEF*NtoN2O*kgtoGg,"ERROR"))</f>
        <v>0</v>
      </c>
      <c r="AT1136" s="101">
        <f>IF('Net zero activities &amp; levers'!$C$14="Off",'Activity data'!BM66*UDCPPEF*NtoN2O*kgtoGg,IF('Net zero activities &amp; levers'!$C$14="On",'Net zero Activity data'!BM66*UDCPPEF*NtoN2O*kgtoGg,"ERROR"))</f>
        <v>0</v>
      </c>
      <c r="AU1136" s="101">
        <f>IF('Net zero activities &amp; levers'!$C$14="Off",'Activity data'!BN66*UDCPPEF*NtoN2O*kgtoGg,IF('Net zero activities &amp; levers'!$C$14="On",'Net zero Activity data'!BN66*UDCPPEF*NtoN2O*kgtoGg,"ERROR"))</f>
        <v>0</v>
      </c>
      <c r="AV1136" s="101">
        <f>IF('Net zero activities &amp; levers'!$C$14="Off",'Activity data'!BO66*UDCPPEF*NtoN2O*kgtoGg,IF('Net zero activities &amp; levers'!$C$14="On",'Net zero Activity data'!BO66*UDCPPEF*NtoN2O*kgtoGg,"ERROR"))</f>
        <v>0</v>
      </c>
      <c r="AW1136" s="101">
        <f>IF('Net zero activities &amp; levers'!$C$14="Off",'Activity data'!BP66*UDCPPEF*NtoN2O*kgtoGg,IF('Net zero activities &amp; levers'!$C$14="On",'Net zero Activity data'!BP66*UDCPPEF*NtoN2O*kgtoGg,"ERROR"))</f>
        <v>0</v>
      </c>
      <c r="AY1136" s="85"/>
    </row>
    <row r="1137" spans="1:51" x14ac:dyDescent="0.25">
      <c r="A1137" s="102" t="str">
        <f t="shared" si="374"/>
        <v>CM U&amp;D</v>
      </c>
      <c r="B1137" s="102" t="s">
        <v>1323</v>
      </c>
      <c r="C1137" s="102" t="s">
        <v>1337</v>
      </c>
      <c r="D1137" t="s">
        <v>369</v>
      </c>
      <c r="E1137" t="s">
        <v>55</v>
      </c>
      <c r="F1137" t="s">
        <v>422</v>
      </c>
      <c r="G1137" t="s">
        <v>1155</v>
      </c>
      <c r="H1137" t="s">
        <v>1242</v>
      </c>
      <c r="I1137" t="s">
        <v>139</v>
      </c>
      <c r="J1137" t="s">
        <v>287</v>
      </c>
      <c r="K1137" s="101">
        <f>IF('Net zero activities &amp; levers'!$C$14="Off",'Activity data'!AD67*UDCPPEF*NtoN2O*kgtoGg,IF('Net zero activities &amp; levers'!$C$14="On",'Net zero Activity data'!AD67*UDCPPEF*NtoN2O*kgtoGg,"ERROR"))</f>
        <v>1.0795326716636573</v>
      </c>
      <c r="L1137" s="101">
        <f>IF('Net zero activities &amp; levers'!$C$14="Off",'Activity data'!AE67*UDCPPEF*NtoN2O*kgtoGg,IF('Net zero activities &amp; levers'!$C$14="On",'Net zero Activity data'!AE67*UDCPPEF*NtoN2O*kgtoGg,"ERROR"))</f>
        <v>1.0862475469793051</v>
      </c>
      <c r="M1137" s="101">
        <f>IF('Net zero activities &amp; levers'!$C$14="Off",'Activity data'!AF67*UDCPPEF*NtoN2O*kgtoGg,IF('Net zero activities &amp; levers'!$C$14="On",'Net zero Activity data'!AF67*UDCPPEF*NtoN2O*kgtoGg,"ERROR"))</f>
        <v>1.0908641162595043</v>
      </c>
      <c r="N1137" s="101">
        <f>IF('Net zero activities &amp; levers'!$C$14="Off",'Activity data'!AG67*UDCPPEF*NtoN2O*kgtoGg,IF('Net zero activities &amp; levers'!$C$14="On",'Net zero Activity data'!AG67*UDCPPEF*NtoN2O*kgtoGg,"ERROR"))</f>
        <v>1.0923119403436279</v>
      </c>
      <c r="O1137" s="101">
        <f>IF('Net zero activities &amp; levers'!$C$14="Off",'Activity data'!AH67*UDCPPEF*NtoN2O*kgtoGg,IF('Net zero activities &amp; levers'!$C$14="On",'Net zero Activity data'!AH67*UDCPPEF*NtoN2O*kgtoGg,"ERROR"))</f>
        <v>1.0942706302876248</v>
      </c>
      <c r="P1137" s="101">
        <f>IF('Net zero activities &amp; levers'!$C$14="Off",'Activity data'!AI67*UDCPPEF*NtoN2O*kgtoGg,IF('Net zero activities &amp; levers'!$C$14="On",'Net zero Activity data'!AI67*UDCPPEF*NtoN2O*kgtoGg,"ERROR"))</f>
        <v>1.0985609054131558</v>
      </c>
      <c r="Q1137" s="101">
        <f>IF('Net zero activities &amp; levers'!$C$14="Off",'Activity data'!AJ67*UDCPPEF*NtoN2O*kgtoGg,IF('Net zero activities &amp; levers'!$C$14="On",'Net zero Activity data'!AJ67*UDCPPEF*NtoN2O*kgtoGg,"ERROR"))</f>
        <v>1.1037045101143446</v>
      </c>
      <c r="R1137" s="101">
        <f>IF('Net zero activities &amp; levers'!$C$14="Off",'Activity data'!AK67*UDCPPEF*NtoN2O*kgtoGg,IF('Net zero activities &amp; levers'!$C$14="On",'Net zero Activity data'!AK67*UDCPPEF*NtoN2O*kgtoGg,"ERROR"))</f>
        <v>1.105249702620553</v>
      </c>
      <c r="S1137" s="101">
        <f>IF('Net zero activities &amp; levers'!$C$14="Off",'Activity data'!AL67*UDCPPEF*NtoN2O*kgtoGg,IF('Net zero activities &amp; levers'!$C$14="On",'Net zero Activity data'!AL67*UDCPPEF*NtoN2O*kgtoGg,"ERROR"))</f>
        <v>1.0713187850060639</v>
      </c>
      <c r="T1137" s="101">
        <f>IF('Net zero activities &amp; levers'!$C$14="Off",'Activity data'!AM67*UDCPPEF*NtoN2O*kgtoGg,IF('Net zero activities &amp; levers'!$C$14="On",'Net zero Activity data'!AM67*UDCPPEF*NtoN2O*kgtoGg,"ERROR"))</f>
        <v>1.0801428769448762</v>
      </c>
      <c r="U1137" s="101">
        <f>IF('Net zero activities &amp; levers'!$C$14="Off",'Activity data'!AN67*UDCPPEF*NtoN2O*kgtoGg,IF('Net zero activities &amp; levers'!$C$14="On",'Net zero Activity data'!AN67*UDCPPEF*NtoN2O*kgtoGg,"ERROR"))</f>
        <v>1.0882343186562755</v>
      </c>
      <c r="V1137" s="101">
        <f>IF('Net zero activities &amp; levers'!$C$14="Off",'Activity data'!AO67*UDCPPEF*NtoN2O*kgtoGg,IF('Net zero activities &amp; levers'!$C$14="On",'Net zero Activity data'!AO67*UDCPPEF*NtoN2O*kgtoGg,"ERROR"))</f>
        <v>1.0965307426510265</v>
      </c>
      <c r="W1137" s="101">
        <f>IF('Net zero activities &amp; levers'!$C$14="Off",'Activity data'!AP67*UDCPPEF*NtoN2O*kgtoGg,IF('Net zero activities &amp; levers'!$C$14="On",'Net zero Activity data'!AP67*UDCPPEF*NtoN2O*kgtoGg,"ERROR"))</f>
        <v>1.1065249139358884</v>
      </c>
      <c r="X1137" s="101">
        <f>IF('Net zero activities &amp; levers'!$C$14="Off",'Activity data'!AQ67*UDCPPEF*NtoN2O*kgtoGg,IF('Net zero activities &amp; levers'!$C$14="On",'Net zero Activity data'!AQ67*UDCPPEF*NtoN2O*kgtoGg,"ERROR"))</f>
        <v>1.1167066198379636</v>
      </c>
      <c r="Y1137" s="101">
        <f>IF('Net zero activities &amp; levers'!$C$14="Off",'Activity data'!AR67*UDCPPEF*NtoN2O*kgtoGg,IF('Net zero activities &amp; levers'!$C$14="On",'Net zero Activity data'!AR67*UDCPPEF*NtoN2O*kgtoGg,"ERROR"))</f>
        <v>1.1266207343141128</v>
      </c>
      <c r="Z1137" s="101">
        <f>IF('Net zero activities &amp; levers'!$C$14="Off",'Activity data'!AS67*UDCPPEF*NtoN2O*kgtoGg,IF('Net zero activities &amp; levers'!$C$14="On",'Net zero Activity data'!AS67*UDCPPEF*NtoN2O*kgtoGg,"ERROR"))</f>
        <v>1.1363365093259761</v>
      </c>
      <c r="AA1137" s="101">
        <f>IF('Net zero activities &amp; levers'!$C$14="Off",'Activity data'!AT67*UDCPPEF*NtoN2O*kgtoGg,IF('Net zero activities &amp; levers'!$C$14="On",'Net zero Activity data'!AT67*UDCPPEF*NtoN2O*kgtoGg,"ERROR"))</f>
        <v>1.146801464584869</v>
      </c>
      <c r="AB1137" s="101">
        <f>IF('Net zero activities &amp; levers'!$C$14="Off",'Activity data'!AU67*UDCPPEF*NtoN2O*kgtoGg,IF('Net zero activities &amp; levers'!$C$14="On",'Net zero Activity data'!AU67*UDCPPEF*NtoN2O*kgtoGg,"ERROR"))</f>
        <v>1.156711571508408</v>
      </c>
      <c r="AC1137" s="101">
        <f>IF('Net zero activities &amp; levers'!$C$14="Off",'Activity data'!AV67*UDCPPEF*NtoN2O*kgtoGg,IF('Net zero activities &amp; levers'!$C$14="On",'Net zero Activity data'!AV67*UDCPPEF*NtoN2O*kgtoGg,"ERROR"))</f>
        <v>1.1669771470605725</v>
      </c>
      <c r="AD1137" s="101">
        <f>IF('Net zero activities &amp; levers'!$C$14="Off",'Activity data'!AW67*UDCPPEF*NtoN2O*kgtoGg,IF('Net zero activities &amp; levers'!$C$14="On",'Net zero Activity data'!AW67*UDCPPEF*NtoN2O*kgtoGg,"ERROR"))</f>
        <v>1.1787713566301137</v>
      </c>
      <c r="AE1137" s="101">
        <f>IF('Net zero activities &amp; levers'!$C$14="Off",'Activity data'!AX67*UDCPPEF*NtoN2O*kgtoGg,IF('Net zero activities &amp; levers'!$C$14="On",'Net zero Activity data'!AX67*UDCPPEF*NtoN2O*kgtoGg,"ERROR"))</f>
        <v>1.1916164906506355</v>
      </c>
      <c r="AF1137" s="101">
        <f>IF('Net zero activities &amp; levers'!$C$14="Off",'Activity data'!AY67*UDCPPEF*NtoN2O*kgtoGg,IF('Net zero activities &amp; levers'!$C$14="On",'Net zero Activity data'!AY67*UDCPPEF*NtoN2O*kgtoGg,"ERROR"))</f>
        <v>1.2049714778557878</v>
      </c>
      <c r="AG1137" s="101">
        <f>IF('Net zero activities &amp; levers'!$C$14="Off",'Activity data'!AZ67*UDCPPEF*NtoN2O*kgtoGg,IF('Net zero activities &amp; levers'!$C$14="On",'Net zero Activity data'!AZ67*UDCPPEF*NtoN2O*kgtoGg,"ERROR"))</f>
        <v>1.2068369654753692</v>
      </c>
      <c r="AH1137" s="101">
        <f>IF('Net zero activities &amp; levers'!$C$14="Off",'Activity data'!BA67*UDCPPEF*NtoN2O*kgtoGg,IF('Net zero activities &amp; levers'!$C$14="On",'Net zero Activity data'!BA67*UDCPPEF*NtoN2O*kgtoGg,"ERROR"))</f>
        <v>0.64612873683850436</v>
      </c>
      <c r="AI1137" s="101">
        <f>IF('Net zero activities &amp; levers'!$C$14="Off",'Activity data'!BB67*UDCPPEF*NtoN2O*kgtoGg,IF('Net zero activities &amp; levers'!$C$14="On",'Net zero Activity data'!BB67*UDCPPEF*NtoN2O*kgtoGg,"ERROR"))</f>
        <v>0.64660396058025826</v>
      </c>
      <c r="AJ1137" s="101">
        <f>IF('Net zero activities &amp; levers'!$C$14="Off",'Activity data'!BC67*UDCPPEF*NtoN2O*kgtoGg,IF('Net zero activities &amp; levers'!$C$14="On",'Net zero Activity data'!BC67*UDCPPEF*NtoN2O*kgtoGg,"ERROR"))</f>
        <v>0.64714161069901732</v>
      </c>
      <c r="AK1137" s="101">
        <f>IF('Net zero activities &amp; levers'!$C$14="Off",'Activity data'!BD67*UDCPPEF*NtoN2O*kgtoGg,IF('Net zero activities &amp; levers'!$C$14="On",'Net zero Activity data'!BD67*UDCPPEF*NtoN2O*kgtoGg,"ERROR"))</f>
        <v>0.64773931439075094</v>
      </c>
      <c r="AL1137" s="101">
        <f>IF('Net zero activities &amp; levers'!$C$14="Off",'Activity data'!BE67*UDCPPEF*NtoN2O*kgtoGg,IF('Net zero activities &amp; levers'!$C$14="On",'Net zero Activity data'!BE67*UDCPPEF*NtoN2O*kgtoGg,"ERROR"))</f>
        <v>0.64839488159544112</v>
      </c>
      <c r="AM1137" s="101">
        <f>IF('Net zero activities &amp; levers'!$C$14="Off",'Activity data'!BF67*UDCPPEF*NtoN2O*kgtoGg,IF('Net zero activities &amp; levers'!$C$14="On",'Net zero Activity data'!BF67*UDCPPEF*NtoN2O*kgtoGg,"ERROR"))</f>
        <v>0.64910628767603584</v>
      </c>
      <c r="AN1137" s="101">
        <f>IF('Net zero activities &amp; levers'!$C$14="Off",'Activity data'!BG67*UDCPPEF*NtoN2O*kgtoGg,IF('Net zero activities &amp; levers'!$C$14="On",'Net zero Activity data'!BG67*UDCPPEF*NtoN2O*kgtoGg,"ERROR"))</f>
        <v>0.64941256924922242</v>
      </c>
      <c r="AO1137" s="101">
        <f>IF('Net zero activities &amp; levers'!$C$14="Off",'Activity data'!BH67*UDCPPEF*NtoN2O*kgtoGg,IF('Net zero activities &amp; levers'!$C$14="On",'Net zero Activity data'!BH67*UDCPPEF*NtoN2O*kgtoGg,"ERROR"))</f>
        <v>0.64976802465090699</v>
      </c>
      <c r="AP1137" s="101">
        <f>IF('Net zero activities &amp; levers'!$C$14="Off",'Activity data'!BI67*UDCPPEF*NtoN2O*kgtoGg,IF('Net zero activities &amp; levers'!$C$14="On",'Net zero Activity data'!BI67*UDCPPEF*NtoN2O*kgtoGg,"ERROR"))</f>
        <v>0.65017093639043266</v>
      </c>
      <c r="AQ1137" s="101">
        <f>IF('Net zero activities &amp; levers'!$C$14="Off",'Activity data'!BJ67*UDCPPEF*NtoN2O*kgtoGg,IF('Net zero activities &amp; levers'!$C$14="On",'Net zero Activity data'!BJ67*UDCPPEF*NtoN2O*kgtoGg,"ERROR"))</f>
        <v>0.65061970417317594</v>
      </c>
      <c r="AR1137" s="101">
        <f>IF('Net zero activities &amp; levers'!$C$14="Off",'Activity data'!BK67*UDCPPEF*NtoN2O*kgtoGg,IF('Net zero activities &amp; levers'!$C$14="On",'Net zero Activity data'!BK67*UDCPPEF*NtoN2O*kgtoGg,"ERROR"))</f>
        <v>0.65111283495552585</v>
      </c>
      <c r="AS1137" s="101">
        <f>IF('Net zero activities &amp; levers'!$C$14="Off",'Activity data'!BL67*UDCPPEF*NtoN2O*kgtoGg,IF('Net zero activities &amp; levers'!$C$14="On",'Net zero Activity data'!BL67*UDCPPEF*NtoN2O*kgtoGg,"ERROR"))</f>
        <v>0.65118489834837545</v>
      </c>
      <c r="AT1137" s="101">
        <f>IF('Net zero activities &amp; levers'!$C$14="Off",'Activity data'!BM67*UDCPPEF*NtoN2O*kgtoGg,IF('Net zero activities &amp; levers'!$C$14="On",'Net zero Activity data'!BM67*UDCPPEF*NtoN2O*kgtoGg,"ERROR"))</f>
        <v>0.65129629063948757</v>
      </c>
      <c r="AU1137" s="101">
        <f>IF('Net zero activities &amp; levers'!$C$14="Off",'Activity data'!BN67*UDCPPEF*NtoN2O*kgtoGg,IF('Net zero activities &amp; levers'!$C$14="On",'Net zero Activity data'!BN67*UDCPPEF*NtoN2O*kgtoGg,"ERROR"))</f>
        <v>0.65144570826558501</v>
      </c>
      <c r="AV1137" s="101">
        <f>IF('Net zero activities &amp; levers'!$C$14="Off",'Activity data'!BO67*UDCPPEF*NtoN2O*kgtoGg,IF('Net zero activities &amp; levers'!$C$14="On",'Net zero Activity data'!BO67*UDCPPEF*NtoN2O*kgtoGg,"ERROR"))</f>
        <v>0.65163192707531048</v>
      </c>
      <c r="AW1137" s="101">
        <f>IF('Net zero activities &amp; levers'!$C$14="Off",'Activity data'!BP67*UDCPPEF*NtoN2O*kgtoGg,IF('Net zero activities &amp; levers'!$C$14="On",'Net zero Activity data'!BP67*UDCPPEF*NtoN2O*kgtoGg,"ERROR"))</f>
        <v>0.6518537962289046</v>
      </c>
      <c r="AY1137" s="85"/>
    </row>
    <row r="1138" spans="1:51" x14ac:dyDescent="0.25">
      <c r="A1138" s="102" t="str">
        <f t="shared" si="374"/>
        <v>CM U&amp;D</v>
      </c>
      <c r="B1138" s="102" t="s">
        <v>1323</v>
      </c>
      <c r="C1138" s="102" t="s">
        <v>1337</v>
      </c>
      <c r="D1138" t="s">
        <v>369</v>
      </c>
      <c r="E1138" t="s">
        <v>55</v>
      </c>
      <c r="F1138" t="s">
        <v>422</v>
      </c>
      <c r="G1138" t="s">
        <v>1157</v>
      </c>
      <c r="H1138" t="s">
        <v>1243</v>
      </c>
      <c r="I1138" t="s">
        <v>139</v>
      </c>
      <c r="J1138" t="s">
        <v>287</v>
      </c>
      <c r="K1138" s="101">
        <f>IF('Net zero activities &amp; levers'!$C$14="Off",'Activity data'!AD68*UDCPPEF*NtoN2O*kgtoGg,IF('Net zero activities &amp; levers'!$C$14="On",'Net zero Activity data'!AD68*UDCPPEF*NtoN2O*kgtoGg,"ERROR"))</f>
        <v>0.73516913566022923</v>
      </c>
      <c r="L1138" s="101">
        <f>IF('Net zero activities &amp; levers'!$C$14="Off",'Activity data'!AE68*UDCPPEF*NtoN2O*kgtoGg,IF('Net zero activities &amp; levers'!$C$14="On",'Net zero Activity data'!AE68*UDCPPEF*NtoN2O*kgtoGg,"ERROR"))</f>
        <v>0.7397420116939516</v>
      </c>
      <c r="M1138" s="101">
        <f>IF('Net zero activities &amp; levers'!$C$14="Off",'Activity data'!AF68*UDCPPEF*NtoN2O*kgtoGg,IF('Net zero activities &amp; levers'!$C$14="On",'Net zero Activity data'!AF68*UDCPPEF*NtoN2O*kgtoGg,"ERROR"))</f>
        <v>0.74288592696073941</v>
      </c>
      <c r="N1138" s="101">
        <f>IF('Net zero activities &amp; levers'!$C$14="Off",'Activity data'!AG68*UDCPPEF*NtoN2O*kgtoGg,IF('Net zero activities &amp; levers'!$C$14="On",'Net zero Activity data'!AG68*UDCPPEF*NtoN2O*kgtoGg,"ERROR"))</f>
        <v>0.74387190506816692</v>
      </c>
      <c r="O1138" s="101">
        <f>IF('Net zero activities &amp; levers'!$C$14="Off",'Activity data'!AH68*UDCPPEF*NtoN2O*kgtoGg,IF('Net zero activities &amp; levers'!$C$14="On",'Net zero Activity data'!AH68*UDCPPEF*NtoN2O*kgtoGg,"ERROR"))</f>
        <v>0.74520578632155732</v>
      </c>
      <c r="P1138" s="101">
        <f>IF('Net zero activities &amp; levers'!$C$14="Off",'Activity data'!AI68*UDCPPEF*NtoN2O*kgtoGg,IF('Net zero activities &amp; levers'!$C$14="On",'Net zero Activity data'!AI68*UDCPPEF*NtoN2O*kgtoGg,"ERROR"))</f>
        <v>0.74812749303648285</v>
      </c>
      <c r="Q1138" s="101">
        <f>IF('Net zero activities &amp; levers'!$C$14="Off",'Activity data'!AJ68*UDCPPEF*NtoN2O*kgtoGg,IF('Net zero activities &amp; levers'!$C$14="On",'Net zero Activity data'!AJ68*UDCPPEF*NtoN2O*kgtoGg,"ERROR"))</f>
        <v>0.7516303230309872</v>
      </c>
      <c r="R1138" s="101">
        <f>IF('Net zero activities &amp; levers'!$C$14="Off",'Activity data'!AK68*UDCPPEF*NtoN2O*kgtoGg,IF('Net zero activities &amp; levers'!$C$14="On",'Net zero Activity data'!AK68*UDCPPEF*NtoN2O*kgtoGg,"ERROR"))</f>
        <v>0.75268260970005785</v>
      </c>
      <c r="S1138" s="101">
        <f>IF('Net zero activities &amp; levers'!$C$14="Off",'Activity data'!AL68*UDCPPEF*NtoN2O*kgtoGg,IF('Net zero activities &amp; levers'!$C$14="On",'Net zero Activity data'!AL68*UDCPPEF*NtoN2O*kgtoGg,"ERROR"))</f>
        <v>0.72957542264627473</v>
      </c>
      <c r="T1138" s="101">
        <f>IF('Net zero activities &amp; levers'!$C$14="Off",'Activity data'!AM68*UDCPPEF*NtoN2O*kgtoGg,IF('Net zero activities &amp; levers'!$C$14="On",'Net zero Activity data'!AM68*UDCPPEF*NtoN2O*kgtoGg,"ERROR"))</f>
        <v>0.73558468963181722</v>
      </c>
      <c r="U1138" s="101">
        <f>IF('Net zero activities &amp; levers'!$C$14="Off",'Activity data'!AN68*UDCPPEF*NtoN2O*kgtoGg,IF('Net zero activities &amp; levers'!$C$14="On",'Net zero Activity data'!AN68*UDCPPEF*NtoN2O*kgtoGg,"ERROR"))</f>
        <v>0.74109501679963463</v>
      </c>
      <c r="V1138" s="101">
        <f>IF('Net zero activities &amp; levers'!$C$14="Off",'Activity data'!AO68*UDCPPEF*NtoN2O*kgtoGg,IF('Net zero activities &amp; levers'!$C$14="On",'Net zero Activity data'!AO68*UDCPPEF*NtoN2O*kgtoGg,"ERROR"))</f>
        <v>0.74674493830492128</v>
      </c>
      <c r="W1138" s="101">
        <f>IF('Net zero activities &amp; levers'!$C$14="Off",'Activity data'!AP68*UDCPPEF*NtoN2O*kgtoGg,IF('Net zero activities &amp; levers'!$C$14="On",'Net zero Activity data'!AP68*UDCPPEF*NtoN2O*kgtoGg,"ERROR"))</f>
        <v>0.753551037330909</v>
      </c>
      <c r="X1138" s="101">
        <f>IF('Net zero activities &amp; levers'!$C$14="Off",'Activity data'!AQ68*UDCPPEF*NtoN2O*kgtoGg,IF('Net zero activities &amp; levers'!$C$14="On",'Net zero Activity data'!AQ68*UDCPPEF*NtoN2O*kgtoGg,"ERROR"))</f>
        <v>0.76048484871434763</v>
      </c>
      <c r="Y1138" s="101">
        <f>IF('Net zero activities &amp; levers'!$C$14="Off",'Activity data'!AR68*UDCPPEF*NtoN2O*kgtoGg,IF('Net zero activities &amp; levers'!$C$14="On",'Net zero Activity data'!AR68*UDCPPEF*NtoN2O*kgtoGg,"ERROR"))</f>
        <v>0.7672364285058465</v>
      </c>
      <c r="Z1138" s="101">
        <f>IF('Net zero activities &amp; levers'!$C$14="Off",'Activity data'!AS68*UDCPPEF*NtoN2O*kgtoGg,IF('Net zero activities &amp; levers'!$C$14="On",'Net zero Activity data'!AS68*UDCPPEF*NtoN2O*kgtoGg,"ERROR"))</f>
        <v>0.77385293776511066</v>
      </c>
      <c r="AA1138" s="101">
        <f>IF('Net zero activities &amp; levers'!$C$14="Off",'Activity data'!AT68*UDCPPEF*NtoN2O*kgtoGg,IF('Net zero activities &amp; levers'!$C$14="On",'Net zero Activity data'!AT68*UDCPPEF*NtoN2O*kgtoGg,"ERROR"))</f>
        <v>0.78097964389855901</v>
      </c>
      <c r="AB1138" s="101">
        <f>IF('Net zero activities &amp; levers'!$C$14="Off",'Activity data'!AU68*UDCPPEF*NtoN2O*kgtoGg,IF('Net zero activities &amp; levers'!$C$14="On",'Net zero Activity data'!AU68*UDCPPEF*NtoN2O*kgtoGg,"ERROR"))</f>
        <v>0.78772849451931037</v>
      </c>
      <c r="AC1138" s="101">
        <f>IF('Net zero activities &amp; levers'!$C$14="Off",'Activity data'!AV68*UDCPPEF*NtoN2O*kgtoGg,IF('Net zero activities &amp; levers'!$C$14="On",'Net zero Activity data'!AV68*UDCPPEF*NtoN2O*kgtoGg,"ERROR"))</f>
        <v>0.79471942170830334</v>
      </c>
      <c r="AD1138" s="101">
        <f>IF('Net zero activities &amp; levers'!$C$14="Off",'Activity data'!AW68*UDCPPEF*NtoN2O*kgtoGg,IF('Net zero activities &amp; levers'!$C$14="On",'Net zero Activity data'!AW68*UDCPPEF*NtoN2O*kgtoGg,"ERROR"))</f>
        <v>0.80275135912217765</v>
      </c>
      <c r="AE1138" s="101">
        <f>IF('Net zero activities &amp; levers'!$C$14="Off",'Activity data'!AX68*UDCPPEF*NtoN2O*kgtoGg,IF('Net zero activities &amp; levers'!$C$14="On",'Net zero Activity data'!AX68*UDCPPEF*NtoN2O*kgtoGg,"ERROR"))</f>
        <v>0.81149898327768732</v>
      </c>
      <c r="AF1138" s="101">
        <f>IF('Net zero activities &amp; levers'!$C$14="Off",'Activity data'!AY68*UDCPPEF*NtoN2O*kgtoGg,IF('Net zero activities &amp; levers'!$C$14="On",'Net zero Activity data'!AY68*UDCPPEF*NtoN2O*kgtoGg,"ERROR"))</f>
        <v>0.82059382094039046</v>
      </c>
      <c r="AG1138" s="101">
        <f>IF('Net zero activities &amp; levers'!$C$14="Off",'Activity data'!AZ68*UDCPPEF*NtoN2O*kgtoGg,IF('Net zero activities &amp; levers'!$C$14="On",'Net zero Activity data'!AZ68*UDCPPEF*NtoN2O*kgtoGg,"ERROR"))</f>
        <v>0.8218642307731554</v>
      </c>
      <c r="AH1138" s="101">
        <f>IF('Net zero activities &amp; levers'!$C$14="Off",'Activity data'!BA68*UDCPPEF*NtoN2O*kgtoGg,IF('Net zero activities &amp; levers'!$C$14="On",'Net zero Activity data'!BA68*UDCPPEF*NtoN2O*kgtoGg,"ERROR"))</f>
        <v>0.4400180906565429</v>
      </c>
      <c r="AI1138" s="101">
        <f>IF('Net zero activities &amp; levers'!$C$14="Off",'Activity data'!BB68*UDCPPEF*NtoN2O*kgtoGg,IF('Net zero activities &amp; levers'!$C$14="On",'Net zero Activity data'!BB68*UDCPPEF*NtoN2O*kgtoGg,"ERROR"))</f>
        <v>0.44034172127619964</v>
      </c>
      <c r="AJ1138" s="101">
        <f>IF('Net zero activities &amp; levers'!$C$14="Off",'Activity data'!BC68*UDCPPEF*NtoN2O*kgtoGg,IF('Net zero activities &amp; levers'!$C$14="On",'Net zero Activity data'!BC68*UDCPPEF*NtoN2O*kgtoGg,"ERROR"))</f>
        <v>0.44070786468572382</v>
      </c>
      <c r="AK1138" s="101">
        <f>IF('Net zero activities &amp; levers'!$C$14="Off",'Activity data'!BD68*UDCPPEF*NtoN2O*kgtoGg,IF('Net zero activities &amp; levers'!$C$14="On",'Net zero Activity data'!BD68*UDCPPEF*NtoN2O*kgtoGg,"ERROR"))</f>
        <v>0.44111490498933553</v>
      </c>
      <c r="AL1138" s="101">
        <f>IF('Net zero activities &amp; levers'!$C$14="Off",'Activity data'!BE68*UDCPPEF*NtoN2O*kgtoGg,IF('Net zero activities &amp; levers'!$C$14="On",'Net zero Activity data'!BE68*UDCPPEF*NtoN2O*kgtoGg,"ERROR"))</f>
        <v>0.44156135074117797</v>
      </c>
      <c r="AM1138" s="101">
        <f>IF('Net zero activities &amp; levers'!$C$14="Off",'Activity data'!BF68*UDCPPEF*NtoN2O*kgtoGg,IF('Net zero activities &amp; levers'!$C$14="On",'Net zero Activity data'!BF68*UDCPPEF*NtoN2O*kgtoGg,"ERROR"))</f>
        <v>0.44204582314956586</v>
      </c>
      <c r="AN1138" s="101">
        <f>IF('Net zero activities &amp; levers'!$C$14="Off",'Activity data'!BG68*UDCPPEF*NtoN2O*kgtoGg,IF('Net zero activities &amp; levers'!$C$14="On",'Net zero Activity data'!BG68*UDCPPEF*NtoN2O*kgtoGg,"ERROR"))</f>
        <v>0.44225440299651131</v>
      </c>
      <c r="AO1138" s="101">
        <f>IF('Net zero activities &amp; levers'!$C$14="Off",'Activity data'!BH68*UDCPPEF*NtoN2O*kgtoGg,IF('Net zero activities &amp; levers'!$C$14="On",'Net zero Activity data'!BH68*UDCPPEF*NtoN2O*kgtoGg,"ERROR"))</f>
        <v>0.44249647055711561</v>
      </c>
      <c r="AP1138" s="101">
        <f>IF('Net zero activities &amp; levers'!$C$14="Off",'Activity data'!BI68*UDCPPEF*NtoN2O*kgtoGg,IF('Net zero activities &amp; levers'!$C$14="On",'Net zero Activity data'!BI68*UDCPPEF*NtoN2O*kgtoGg,"ERROR"))</f>
        <v>0.44277085620848994</v>
      </c>
      <c r="AQ1138" s="101">
        <f>IF('Net zero activities &amp; levers'!$C$14="Off",'Activity data'!BJ68*UDCPPEF*NtoN2O*kgtoGg,IF('Net zero activities &amp; levers'!$C$14="On",'Net zero Activity data'!BJ68*UDCPPEF*NtoN2O*kgtoGg,"ERROR"))</f>
        <v>0.44307647013904683</v>
      </c>
      <c r="AR1138" s="101">
        <f>IF('Net zero activities &amp; levers'!$C$14="Off",'Activity data'!BK68*UDCPPEF*NtoN2O*kgtoGg,IF('Net zero activities &amp; levers'!$C$14="On",'Net zero Activity data'!BK68*UDCPPEF*NtoN2O*kgtoGg,"ERROR"))</f>
        <v>0.4434122955758712</v>
      </c>
      <c r="AS1138" s="101">
        <f>IF('Net zero activities &amp; levers'!$C$14="Off",'Activity data'!BL68*UDCPPEF*NtoN2O*kgtoGg,IF('Net zero activities &amp; levers'!$C$14="On",'Net zero Activity data'!BL68*UDCPPEF*NtoN2O*kgtoGg,"ERROR"))</f>
        <v>0.44346137123946583</v>
      </c>
      <c r="AT1138" s="101">
        <f>IF('Net zero activities &amp; levers'!$C$14="Off",'Activity data'!BM68*UDCPPEF*NtoN2O*kgtoGg,IF('Net zero activities &amp; levers'!$C$14="On",'Net zero Activity data'!BM68*UDCPPEF*NtoN2O*kgtoGg,"ERROR"))</f>
        <v>0.4435372301518688</v>
      </c>
      <c r="AU1138" s="101">
        <f>IF('Net zero activities &amp; levers'!$C$14="Off",'Activity data'!BN68*UDCPPEF*NtoN2O*kgtoGg,IF('Net zero activities &amp; levers'!$C$14="On",'Net zero Activity data'!BN68*UDCPPEF*NtoN2O*kgtoGg,"ERROR"))</f>
        <v>0.44363898457756984</v>
      </c>
      <c r="AV1138" s="101">
        <f>IF('Net zero activities &amp; levers'!$C$14="Off",'Activity data'!BO68*UDCPPEF*NtoN2O*kgtoGg,IF('Net zero activities &amp; levers'!$C$14="On",'Net zero Activity data'!BO68*UDCPPEF*NtoN2O*kgtoGg,"ERROR"))</f>
        <v>0.44376580086111833</v>
      </c>
      <c r="AW1138" s="101">
        <f>IF('Net zero activities &amp; levers'!$C$14="Off",'Activity data'!BP68*UDCPPEF*NtoN2O*kgtoGg,IF('Net zero activities &amp; levers'!$C$14="On",'Net zero Activity data'!BP68*UDCPPEF*NtoN2O*kgtoGg,"ERROR"))</f>
        <v>0.44391689527276407</v>
      </c>
      <c r="AY1138" s="85"/>
    </row>
    <row r="1139" spans="1:51" x14ac:dyDescent="0.25">
      <c r="A1139" s="102" t="str">
        <f t="shared" si="374"/>
        <v>CM U&amp;D</v>
      </c>
      <c r="B1139" s="102" t="s">
        <v>1323</v>
      </c>
      <c r="C1139" s="102" t="s">
        <v>1337</v>
      </c>
      <c r="D1139" t="s">
        <v>369</v>
      </c>
      <c r="E1139" t="s">
        <v>55</v>
      </c>
      <c r="F1139" t="s">
        <v>422</v>
      </c>
      <c r="G1139" t="s">
        <v>1159</v>
      </c>
      <c r="H1139" t="s">
        <v>1244</v>
      </c>
      <c r="I1139" t="s">
        <v>139</v>
      </c>
      <c r="J1139" t="s">
        <v>287</v>
      </c>
      <c r="K1139" s="101">
        <f>IF('Net zero activities &amp; levers'!$C$14="Off",'Activity data'!AD69*UDCPPEF*NtoN2O*kgtoGg,IF('Net zero activities &amp; levers'!$C$14="On",'Net zero Activity data'!AD69*UDCPPEF*NtoN2O*kgtoGg,"ERROR"))</f>
        <v>15.48880966403453</v>
      </c>
      <c r="L1139" s="101">
        <f>IF('Net zero activities &amp; levers'!$C$14="Off",'Activity data'!AE69*UDCPPEF*NtoN2O*kgtoGg,IF('Net zero activities &amp; levers'!$C$14="On",'Net zero Activity data'!AE69*UDCPPEF*NtoN2O*kgtoGg,"ERROR"))</f>
        <v>15.386143051197998</v>
      </c>
      <c r="M1139" s="101">
        <f>IF('Net zero activities &amp; levers'!$C$14="Off",'Activity data'!AF69*UDCPPEF*NtoN2O*kgtoGg,IF('Net zero activities &amp; levers'!$C$14="On",'Net zero Activity data'!AF69*UDCPPEF*NtoN2O*kgtoGg,"ERROR"))</f>
        <v>15.169677377989304</v>
      </c>
      <c r="N1139" s="101">
        <f>IF('Net zero activities &amp; levers'!$C$14="Off",'Activity data'!AG69*UDCPPEF*NtoN2O*kgtoGg,IF('Net zero activities &amp; levers'!$C$14="On",'Net zero Activity data'!AG69*UDCPPEF*NtoN2O*kgtoGg,"ERROR"))</f>
        <v>14.804794487947174</v>
      </c>
      <c r="O1139" s="101">
        <f>IF('Net zero activities &amp; levers'!$C$14="Off",'Activity data'!AH69*UDCPPEF*NtoN2O*kgtoGg,IF('Net zero activities &amp; levers'!$C$14="On",'Net zero Activity data'!AH69*UDCPPEF*NtoN2O*kgtoGg,"ERROR"))</f>
        <v>14.450776257626368</v>
      </c>
      <c r="P1139" s="101">
        <f>IF('Net zero activities &amp; levers'!$C$14="Off",'Activity data'!AI69*UDCPPEF*NtoN2O*kgtoGg,IF('Net zero activities &amp; levers'!$C$14="On",'Net zero Activity data'!AI69*UDCPPEF*NtoN2O*kgtoGg,"ERROR"))</f>
        <v>14.178486550067829</v>
      </c>
      <c r="Q1139" s="101">
        <f>IF('Net zero activities &amp; levers'!$C$14="Off",'Activity data'!AJ69*UDCPPEF*NtoN2O*kgtoGg,IF('Net zero activities &amp; levers'!$C$14="On",'Net zero Activity data'!AJ69*UDCPPEF*NtoN2O*kgtoGg,"ERROR"))</f>
        <v>13.932198413286633</v>
      </c>
      <c r="R1139" s="101">
        <f>IF('Net zero activities &amp; levers'!$C$14="Off",'Activity data'!AK69*UDCPPEF*NtoN2O*kgtoGg,IF('Net zero activities &amp; levers'!$C$14="On",'Net zero Activity data'!AK69*UDCPPEF*NtoN2O*kgtoGg,"ERROR"))</f>
        <v>13.544970185493053</v>
      </c>
      <c r="S1139" s="101">
        <f>IF('Net zero activities &amp; levers'!$C$14="Off",'Activity data'!AL69*UDCPPEF*NtoN2O*kgtoGg,IF('Net zero activities &amp; levers'!$C$14="On",'Net zero Activity data'!AL69*UDCPPEF*NtoN2O*kgtoGg,"ERROR"))</f>
        <v>11.879759863511568</v>
      </c>
      <c r="T1139" s="101">
        <f>IF('Net zero activities &amp; levers'!$C$14="Off",'Activity data'!AM69*UDCPPEF*NtoN2O*kgtoGg,IF('Net zero activities &amp; levers'!$C$14="On",'Net zero Activity data'!AM69*UDCPPEF*NtoN2O*kgtoGg,"ERROR"))</f>
        <v>11.992993022515481</v>
      </c>
      <c r="U1139" s="101">
        <f>IF('Net zero activities &amp; levers'!$C$14="Off",'Activity data'!AN69*UDCPPEF*NtoN2O*kgtoGg,IF('Net zero activities &amp; levers'!$C$14="On",'Net zero Activity data'!AN69*UDCPPEF*NtoN2O*kgtoGg,"ERROR"))</f>
        <v>12.069614819396085</v>
      </c>
      <c r="V1139" s="101">
        <f>IF('Net zero activities &amp; levers'!$C$14="Off",'Activity data'!AO69*UDCPPEF*NtoN2O*kgtoGg,IF('Net zero activities &amp; levers'!$C$14="On",'Net zero Activity data'!AO69*UDCPPEF*NtoN2O*kgtoGg,"ERROR"))</f>
        <v>12.143744438353496</v>
      </c>
      <c r="W1139" s="101">
        <f>IF('Net zero activities &amp; levers'!$C$14="Off",'Activity data'!AP69*UDCPPEF*NtoN2O*kgtoGg,IF('Net zero activities &amp; levers'!$C$14="On",'Net zero Activity data'!AP69*UDCPPEF*NtoN2O*kgtoGg,"ERROR"))</f>
        <v>12.266336998051067</v>
      </c>
      <c r="X1139" s="101">
        <f>IF('Net zero activities &amp; levers'!$C$14="Off",'Activity data'!AQ69*UDCPPEF*NtoN2O*kgtoGg,IF('Net zero activities &amp; levers'!$C$14="On",'Net zero Activity data'!AQ69*UDCPPEF*NtoN2O*kgtoGg,"ERROR"))</f>
        <v>12.384889207902271</v>
      </c>
      <c r="Y1139" s="101">
        <f>IF('Net zero activities &amp; levers'!$C$14="Off",'Activity data'!AR69*UDCPPEF*NtoN2O*kgtoGg,IF('Net zero activities &amp; levers'!$C$14="On",'Net zero Activity data'!AR69*UDCPPEF*NtoN2O*kgtoGg,"ERROR"))</f>
        <v>12.509351233051413</v>
      </c>
      <c r="Z1139" s="101">
        <f>IF('Net zero activities &amp; levers'!$C$14="Off",'Activity data'!AS69*UDCPPEF*NtoN2O*kgtoGg,IF('Net zero activities &amp; levers'!$C$14="On",'Net zero Activity data'!AS69*UDCPPEF*NtoN2O*kgtoGg,"ERROR"))</f>
        <v>12.61770643379279</v>
      </c>
      <c r="AA1139" s="101">
        <f>IF('Net zero activities &amp; levers'!$C$14="Off",'Activity data'!AT69*UDCPPEF*NtoN2O*kgtoGg,IF('Net zero activities &amp; levers'!$C$14="On",'Net zero Activity data'!AT69*UDCPPEF*NtoN2O*kgtoGg,"ERROR"))</f>
        <v>12.7410293454877</v>
      </c>
      <c r="AB1139" s="101">
        <f>IF('Net zero activities &amp; levers'!$C$14="Off",'Activity data'!AU69*UDCPPEF*NtoN2O*kgtoGg,IF('Net zero activities &amp; levers'!$C$14="On",'Net zero Activity data'!AU69*UDCPPEF*NtoN2O*kgtoGg,"ERROR"))</f>
        <v>12.837533702297911</v>
      </c>
      <c r="AC1139" s="101">
        <f>IF('Net zero activities &amp; levers'!$C$14="Off",'Activity data'!AV69*UDCPPEF*NtoN2O*kgtoGg,IF('Net zero activities &amp; levers'!$C$14="On",'Net zero Activity data'!AV69*UDCPPEF*NtoN2O*kgtoGg,"ERROR"))</f>
        <v>12.936685976559087</v>
      </c>
      <c r="AD1139" s="101">
        <f>IF('Net zero activities &amp; levers'!$C$14="Off",'Activity data'!AW69*UDCPPEF*NtoN2O*kgtoGg,IF('Net zero activities &amp; levers'!$C$14="On",'Net zero Activity data'!AW69*UDCPPEF*NtoN2O*kgtoGg,"ERROR"))</f>
        <v>12.98286747930208</v>
      </c>
      <c r="AE1139" s="101">
        <f>IF('Net zero activities &amp; levers'!$C$14="Off",'Activity data'!AX69*UDCPPEF*NtoN2O*kgtoGg,IF('Net zero activities &amp; levers'!$C$14="On",'Net zero Activity data'!AX69*UDCPPEF*NtoN2O*kgtoGg,"ERROR"))</f>
        <v>13.046191689203091</v>
      </c>
      <c r="AF1139" s="101">
        <f>IF('Net zero activities &amp; levers'!$C$14="Off",'Activity data'!AY69*UDCPPEF*NtoN2O*kgtoGg,IF('Net zero activities &amp; levers'!$C$14="On",'Net zero Activity data'!AY69*UDCPPEF*NtoN2O*kgtoGg,"ERROR"))</f>
        <v>13.10927150785349</v>
      </c>
      <c r="AG1139" s="101">
        <f>IF('Net zero activities &amp; levers'!$C$14="Off",'Activity data'!AZ69*UDCPPEF*NtoN2O*kgtoGg,IF('Net zero activities &amp; levers'!$C$14="On",'Net zero Activity data'!AZ69*UDCPPEF*NtoN2O*kgtoGg,"ERROR"))</f>
        <v>12.831250179467366</v>
      </c>
      <c r="AH1139" s="101">
        <f>IF('Net zero activities &amp; levers'!$C$14="Off",'Activity data'!BA69*UDCPPEF*NtoN2O*kgtoGg,IF('Net zero activities &amp; levers'!$C$14="On",'Net zero Activity data'!BA69*UDCPPEF*NtoN2O*kgtoGg,"ERROR"))</f>
        <v>-3.0267144396295609</v>
      </c>
      <c r="AI1139" s="101">
        <f>IF('Net zero activities &amp; levers'!$C$14="Off",'Activity data'!BB69*UDCPPEF*NtoN2O*kgtoGg,IF('Net zero activities &amp; levers'!$C$14="On",'Net zero Activity data'!BB69*UDCPPEF*NtoN2O*kgtoGg,"ERROR"))</f>
        <v>-2.956505191498271</v>
      </c>
      <c r="AJ1139" s="101">
        <f>IF('Net zero activities &amp; levers'!$C$14="Off",'Activity data'!BC69*UDCPPEF*NtoN2O*kgtoGg,IF('Net zero activities &amp; levers'!$C$14="On",'Net zero Activity data'!BC69*UDCPPEF*NtoN2O*kgtoGg,"ERROR"))</f>
        <v>-2.8874124907442584</v>
      </c>
      <c r="AK1139" s="101">
        <f>IF('Net zero activities &amp; levers'!$C$14="Off",'Activity data'!BD69*UDCPPEF*NtoN2O*kgtoGg,IF('Net zero activities &amp; levers'!$C$14="On",'Net zero Activity data'!BD69*UDCPPEF*NtoN2O*kgtoGg,"ERROR"))</f>
        <v>-2.8193778585944393</v>
      </c>
      <c r="AL1139" s="101">
        <f>IF('Net zero activities &amp; levers'!$C$14="Off",'Activity data'!BE69*UDCPPEF*NtoN2O*kgtoGg,IF('Net zero activities &amp; levers'!$C$14="On",'Net zero Activity data'!BE69*UDCPPEF*NtoN2O*kgtoGg,"ERROR"))</f>
        <v>-2.7523468592631737</v>
      </c>
      <c r="AM1139" s="101">
        <f>IF('Net zero activities &amp; levers'!$C$14="Off",'Activity data'!BF69*UDCPPEF*NtoN2O*kgtoGg,IF('Net zero activities &amp; levers'!$C$14="On",'Net zero Activity data'!BF69*UDCPPEF*NtoN2O*kgtoGg,"ERROR"))</f>
        <v>-2.6862687253121265</v>
      </c>
      <c r="AN1139" s="101">
        <f>IF('Net zero activities &amp; levers'!$C$14="Off",'Activity data'!BG69*UDCPPEF*NtoN2O*kgtoGg,IF('Net zero activities &amp; levers'!$C$14="On",'Net zero Activity data'!BG69*UDCPPEF*NtoN2O*kgtoGg,"ERROR"))</f>
        <v>-2.6326943062213264</v>
      </c>
      <c r="AO1139" s="101">
        <f>IF('Net zero activities &amp; levers'!$C$14="Off",'Activity data'!BH69*UDCPPEF*NtoN2O*kgtoGg,IF('Net zero activities &amp; levers'!$C$14="On",'Net zero Activity data'!BH69*UDCPPEF*NtoN2O*kgtoGg,"ERROR"))</f>
        <v>-2.5799290640232249</v>
      </c>
      <c r="AP1139" s="101">
        <f>IF('Net zero activities &amp; levers'!$C$14="Off",'Activity data'!BI69*UDCPPEF*NtoN2O*kgtoGg,IF('Net zero activities &amp; levers'!$C$14="On",'Net zero Activity data'!BI69*UDCPPEF*NtoN2O*kgtoGg,"ERROR"))</f>
        <v>-2.5279363308324876</v>
      </c>
      <c r="AQ1139" s="101">
        <f>IF('Net zero activities &amp; levers'!$C$14="Off",'Activity data'!BJ69*UDCPPEF*NtoN2O*kgtoGg,IF('Net zero activities &amp; levers'!$C$14="On",'Net zero Activity data'!BJ69*UDCPPEF*NtoN2O*kgtoGg,"ERROR"))</f>
        <v>-2.4766817193169062</v>
      </c>
      <c r="AR1139" s="101">
        <f>IF('Net zero activities &amp; levers'!$C$14="Off",'Activity data'!BK69*UDCPPEF*NtoN2O*kgtoGg,IF('Net zero activities &amp; levers'!$C$14="On",'Net zero Activity data'!BK69*UDCPPEF*NtoN2O*kgtoGg,"ERROR"))</f>
        <v>-2.4261329336018767</v>
      </c>
      <c r="AS1139" s="101">
        <f>IF('Net zero activities &amp; levers'!$C$14="Off",'Activity data'!BL69*UDCPPEF*NtoN2O*kgtoGg,IF('Net zero activities &amp; levers'!$C$14="On",'Net zero Activity data'!BL69*UDCPPEF*NtoN2O*kgtoGg,"ERROR"))</f>
        <v>-2.3746446145368036</v>
      </c>
      <c r="AT1139" s="101">
        <f>IF('Net zero activities &amp; levers'!$C$14="Off",'Activity data'!BM69*UDCPPEF*NtoN2O*kgtoGg,IF('Net zero activities &amp; levers'!$C$14="On",'Net zero Activity data'!BM69*UDCPPEF*NtoN2O*kgtoGg,"ERROR"))</f>
        <v>-2.3238643255218379</v>
      </c>
      <c r="AU1139" s="101">
        <f>IF('Net zero activities &amp; levers'!$C$14="Off",'Activity data'!BN69*UDCPPEF*NtoN2O*kgtoGg,IF('Net zero activities &amp; levers'!$C$14="On",'Net zero Activity data'!BN69*UDCPPEF*NtoN2O*kgtoGg,"ERROR"))</f>
        <v>-2.2737642137550615</v>
      </c>
      <c r="AV1139" s="101">
        <f>IF('Net zero activities &amp; levers'!$C$14="Off",'Activity data'!BO69*UDCPPEF*NtoN2O*kgtoGg,IF('Net zero activities &amp; levers'!$C$14="On",'Net zero Activity data'!BO69*UDCPPEF*NtoN2O*kgtoGg,"ERROR"))</f>
        <v>-2.2243179912934989</v>
      </c>
      <c r="AW1139" s="101">
        <f>IF('Net zero activities &amp; levers'!$C$14="Off",'Activity data'!BP69*UDCPPEF*NtoN2O*kgtoGg,IF('Net zero activities &amp; levers'!$C$14="On",'Net zero Activity data'!BP69*UDCPPEF*NtoN2O*kgtoGg,"ERROR"))</f>
        <v>-2.1755008181156215</v>
      </c>
      <c r="AY1139" s="85"/>
    </row>
    <row r="1140" spans="1:51" x14ac:dyDescent="0.25">
      <c r="A1140" s="102" t="str">
        <f t="shared" si="374"/>
        <v>CM U&amp;D</v>
      </c>
      <c r="B1140" s="102" t="s">
        <v>1323</v>
      </c>
      <c r="C1140" s="102" t="s">
        <v>1337</v>
      </c>
      <c r="D1140" t="s">
        <v>369</v>
      </c>
      <c r="E1140" t="s">
        <v>55</v>
      </c>
      <c r="F1140" t="s">
        <v>422</v>
      </c>
      <c r="G1140" t="s">
        <v>1161</v>
      </c>
      <c r="H1140" t="s">
        <v>1245</v>
      </c>
      <c r="I1140" t="s">
        <v>139</v>
      </c>
      <c r="J1140" t="s">
        <v>287</v>
      </c>
      <c r="K1140" s="101">
        <f>IF('Net zero activities &amp; levers'!$C$14="Off",'Activity data'!AD70*UDCPPEF*NtoN2O*kgtoGg,IF('Net zero activities &amp; levers'!$C$14="On",'Net zero Activity data'!AD70*UDCPPEF*NtoN2O*kgtoGg,"ERROR"))</f>
        <v>9.7393760290961886</v>
      </c>
      <c r="L1140" s="101">
        <f>IF('Net zero activities &amp; levers'!$C$14="Off",'Activity data'!AE70*UDCPPEF*NtoN2O*kgtoGg,IF('Net zero activities &amp; levers'!$C$14="On",'Net zero Activity data'!AE70*UDCPPEF*NtoN2O*kgtoGg,"ERROR"))</f>
        <v>9.6748191800072334</v>
      </c>
      <c r="M1140" s="101">
        <f>IF('Net zero activities &amp; levers'!$C$14="Off",'Activity data'!AF70*UDCPPEF*NtoN2O*kgtoGg,IF('Net zero activities &amp; levers'!$C$14="On",'Net zero Activity data'!AF70*UDCPPEF*NtoN2O*kgtoGg,"ERROR"))</f>
        <v>9.538705389825779</v>
      </c>
      <c r="N1140" s="101">
        <f>IF('Net zero activities &amp; levers'!$C$14="Off",'Activity data'!AG70*UDCPPEF*NtoN2O*kgtoGg,IF('Net zero activities &amp; levers'!$C$14="On",'Net zero Activity data'!AG70*UDCPPEF*NtoN2O*kgtoGg,"ERROR"))</f>
        <v>9.3092667338033213</v>
      </c>
      <c r="O1140" s="101">
        <f>IF('Net zero activities &amp; levers'!$C$14="Off",'Activity data'!AH70*UDCPPEF*NtoN2O*kgtoGg,IF('Net zero activities &amp; levers'!$C$14="On",'Net zero Activity data'!AH70*UDCPPEF*NtoN2O*kgtoGg,"ERROR"))</f>
        <v>9.086659784590454</v>
      </c>
      <c r="P1140" s="101">
        <f>IF('Net zero activities &amp; levers'!$C$14="Off",'Activity data'!AI70*UDCPPEF*NtoN2O*kgtoGg,IF('Net zero activities &amp; levers'!$C$14="On",'Net zero Activity data'!AI70*UDCPPEF*NtoN2O*kgtoGg,"ERROR"))</f>
        <v>8.9154437965133955</v>
      </c>
      <c r="Q1140" s="101">
        <f>IF('Net zero activities &amp; levers'!$C$14="Off",'Activity data'!AJ70*UDCPPEF*NtoN2O*kgtoGg,IF('Net zero activities &amp; levers'!$C$14="On",'Net zero Activity data'!AJ70*UDCPPEF*NtoN2O*kgtoGg,"ERROR"))</f>
        <v>8.7605776171460139</v>
      </c>
      <c r="R1140" s="101">
        <f>IF('Net zero activities &amp; levers'!$C$14="Off",'Activity data'!AK70*UDCPPEF*NtoN2O*kgtoGg,IF('Net zero activities &amp; levers'!$C$14="On",'Net zero Activity data'!AK70*UDCPPEF*NtoN2O*kgtoGg,"ERROR"))</f>
        <v>8.5170881946941783</v>
      </c>
      <c r="S1140" s="101">
        <f>IF('Net zero activities &amp; levers'!$C$14="Off",'Activity data'!AL70*UDCPPEF*NtoN2O*kgtoGg,IF('Net zero activities &amp; levers'!$C$14="On",'Net zero Activity data'!AL70*UDCPPEF*NtoN2O*kgtoGg,"ERROR"))</f>
        <v>7.4700025990225534</v>
      </c>
      <c r="T1140" s="101">
        <f>IF('Net zero activities &amp; levers'!$C$14="Off",'Activity data'!AM70*UDCPPEF*NtoN2O*kgtoGg,IF('Net zero activities &amp; levers'!$C$14="On",'Net zero Activity data'!AM70*UDCPPEF*NtoN2O*kgtoGg,"ERROR"))</f>
        <v>7.5412037008775474</v>
      </c>
      <c r="U1140" s="101">
        <f>IF('Net zero activities &amp; levers'!$C$14="Off",'Activity data'!AN70*UDCPPEF*NtoN2O*kgtoGg,IF('Net zero activities &amp; levers'!$C$14="On",'Net zero Activity data'!AN70*UDCPPEF*NtoN2O*kgtoGg,"ERROR"))</f>
        <v>7.5893835486535881</v>
      </c>
      <c r="V1140" s="101">
        <f>IF('Net zero activities &amp; levers'!$C$14="Off",'Activity data'!AO70*UDCPPEF*NtoN2O*kgtoGg,IF('Net zero activities &amp; levers'!$C$14="On",'Net zero Activity data'!AO70*UDCPPEF*NtoN2O*kgtoGg,"ERROR"))</f>
        <v>7.6359963129382633</v>
      </c>
      <c r="W1140" s="101">
        <f>IF('Net zero activities &amp; levers'!$C$14="Off",'Activity data'!AP70*UDCPPEF*NtoN2O*kgtoGg,IF('Net zero activities &amp; levers'!$C$14="On",'Net zero Activity data'!AP70*UDCPPEF*NtoN2O*kgtoGg,"ERROR"))</f>
        <v>7.7130826135102524</v>
      </c>
      <c r="X1140" s="101">
        <f>IF('Net zero activities &amp; levers'!$C$14="Off",'Activity data'!AQ70*UDCPPEF*NtoN2O*kgtoGg,IF('Net zero activities &amp; levers'!$C$14="On",'Net zero Activity data'!AQ70*UDCPPEF*NtoN2O*kgtoGg,"ERROR"))</f>
        <v>7.7876283388349208</v>
      </c>
      <c r="Y1140" s="101">
        <f>IF('Net zero activities &amp; levers'!$C$14="Off",'Activity data'!AR70*UDCPPEF*NtoN2O*kgtoGg,IF('Net zero activities &amp; levers'!$C$14="On",'Net zero Activity data'!AR70*UDCPPEF*NtoN2O*kgtoGg,"ERROR"))</f>
        <v>7.8658901607930707</v>
      </c>
      <c r="Z1140" s="101">
        <f>IF('Net zero activities &amp; levers'!$C$14="Off",'Activity data'!AS70*UDCPPEF*NtoN2O*kgtoGg,IF('Net zero activities &amp; levers'!$C$14="On",'Net zero Activity data'!AS70*UDCPPEF*NtoN2O*kgtoGg,"ERROR"))</f>
        <v>7.9340239985520107</v>
      </c>
      <c r="AA1140" s="101">
        <f>IF('Net zero activities &amp; levers'!$C$14="Off",'Activity data'!AT70*UDCPPEF*NtoN2O*kgtoGg,IF('Net zero activities &amp; levers'!$C$14="On",'Net zero Activity data'!AT70*UDCPPEF*NtoN2O*kgtoGg,"ERROR"))</f>
        <v>8.0115695450499249</v>
      </c>
      <c r="AB1140" s="101">
        <f>IF('Net zero activities &amp; levers'!$C$14="Off",'Activity data'!AU70*UDCPPEF*NtoN2O*kgtoGg,IF('Net zero activities &amp; levers'!$C$14="On",'Net zero Activity data'!AU70*UDCPPEF*NtoN2O*kgtoGg,"ERROR"))</f>
        <v>8.072251562571461</v>
      </c>
      <c r="AC1140" s="101">
        <f>IF('Net zero activities &amp; levers'!$C$14="Off",'Activity data'!AV70*UDCPPEF*NtoN2O*kgtoGg,IF('Net zero activities &amp; levers'!$C$14="On",'Net zero Activity data'!AV70*UDCPPEF*NtoN2O*kgtoGg,"ERROR"))</f>
        <v>8.1345985927252418</v>
      </c>
      <c r="AD1140" s="101">
        <f>IF('Net zero activities &amp; levers'!$C$14="Off",'Activity data'!AW70*UDCPPEF*NtoN2O*kgtoGg,IF('Net zero activities &amp; levers'!$C$14="On",'Net zero Activity data'!AW70*UDCPPEF*NtoN2O*kgtoGg,"ERROR"))</f>
        <v>8.1636375589569159</v>
      </c>
      <c r="AE1140" s="101">
        <f>IF('Net zero activities &amp; levers'!$C$14="Off",'Activity data'!AX70*UDCPPEF*NtoN2O*kgtoGg,IF('Net zero activities &amp; levers'!$C$14="On",'Net zero Activity data'!AX70*UDCPPEF*NtoN2O*kgtoGg,"ERROR"))</f>
        <v>8.2034558732979743</v>
      </c>
      <c r="AF1140" s="101">
        <f>IF('Net zero activities &amp; levers'!$C$14="Off",'Activity data'!AY70*UDCPPEF*NtoN2O*kgtoGg,IF('Net zero activities &amp; levers'!$C$14="On",'Net zero Activity data'!AY70*UDCPPEF*NtoN2O*kgtoGg,"ERROR"))</f>
        <v>8.2431205142232233</v>
      </c>
      <c r="AG1140" s="101">
        <f>IF('Net zero activities &amp; levers'!$C$14="Off",'Activity data'!AZ70*UDCPPEF*NtoN2O*kgtoGg,IF('Net zero activities &amp; levers'!$C$14="On",'Net zero Activity data'!AZ70*UDCPPEF*NtoN2O*kgtoGg,"ERROR"))</f>
        <v>8.0683004783395891</v>
      </c>
      <c r="AH1140" s="101">
        <f>IF('Net zero activities &amp; levers'!$C$14="Off",'Activity data'!BA70*UDCPPEF*NtoN2O*kgtoGg,IF('Net zero activities &amp; levers'!$C$14="On",'Net zero Activity data'!BA70*UDCPPEF*NtoN2O*kgtoGg,"ERROR"))</f>
        <v>-1.9032004847149069</v>
      </c>
      <c r="AI1140" s="101">
        <f>IF('Net zero activities &amp; levers'!$C$14="Off",'Activity data'!BB70*UDCPPEF*NtoN2O*kgtoGg,IF('Net zero activities &amp; levers'!$C$14="On",'Net zero Activity data'!BB70*UDCPPEF*NtoN2O*kgtoGg,"ERROR"))</f>
        <v>-1.8590528527726964</v>
      </c>
      <c r="AJ1140" s="101">
        <f>IF('Net zero activities &amp; levers'!$C$14="Off",'Activity data'!BC70*UDCPPEF*NtoN2O*kgtoGg,IF('Net zero activities &amp; levers'!$C$14="On",'Net zero Activity data'!BC70*UDCPPEF*NtoN2O*kgtoGg,"ERROR"))</f>
        <v>-1.8156073067233001</v>
      </c>
      <c r="AK1140" s="101">
        <f>IF('Net zero activities &amp; levers'!$C$14="Off",'Activity data'!BD70*UDCPPEF*NtoN2O*kgtoGg,IF('Net zero activities &amp; levers'!$C$14="On",'Net zero Activity data'!BD70*UDCPPEF*NtoN2O*kgtoGg,"ERROR"))</f>
        <v>-1.7728270750669619</v>
      </c>
      <c r="AL1140" s="101">
        <f>IF('Net zero activities &amp; levers'!$C$14="Off",'Activity data'!BE70*UDCPPEF*NtoN2O*kgtoGg,IF('Net zero activities &amp; levers'!$C$14="On",'Net zero Activity data'!BE70*UDCPPEF*NtoN2O*kgtoGg,"ERROR"))</f>
        <v>-1.7306779285376968</v>
      </c>
      <c r="AM1140" s="101">
        <f>IF('Net zero activities &amp; levers'!$C$14="Off",'Activity data'!BF70*UDCPPEF*NtoN2O*kgtoGg,IF('Net zero activities &amp; levers'!$C$14="On",'Net zero Activity data'!BF70*UDCPPEF*NtoN2O*kgtoGg,"ERROR"))</f>
        <v>-1.689127944529268</v>
      </c>
      <c r="AN1140" s="101">
        <f>IF('Net zero activities &amp; levers'!$C$14="Off",'Activity data'!BG70*UDCPPEF*NtoN2O*kgtoGg,IF('Net zero activities &amp; levers'!$C$14="On",'Net zero Activity data'!BG70*UDCPPEF*NtoN2O*kgtoGg,"ERROR"))</f>
        <v>-1.6554403065258587</v>
      </c>
      <c r="AO1140" s="101">
        <f>IF('Net zero activities &amp; levers'!$C$14="Off",'Activity data'!BH70*UDCPPEF*NtoN2O*kgtoGg,IF('Net zero activities &amp; levers'!$C$14="On",'Net zero Activity data'!BH70*UDCPPEF*NtoN2O*kgtoGg,"ERROR"))</f>
        <v>-1.6222614796062582</v>
      </c>
      <c r="AP1140" s="101">
        <f>IF('Net zero activities &amp; levers'!$C$14="Off",'Activity data'!BI70*UDCPPEF*NtoN2O*kgtoGg,IF('Net zero activities &amp; levers'!$C$14="On",'Net zero Activity data'!BI70*UDCPPEF*NtoN2O*kgtoGg,"ERROR"))</f>
        <v>-1.589568406974545</v>
      </c>
      <c r="AQ1140" s="101">
        <f>IF('Net zero activities &amp; levers'!$C$14="Off",'Activity data'!BJ70*UDCPPEF*NtoN2O*kgtoGg,IF('Net zero activities &amp; levers'!$C$14="On",'Net zero Activity data'!BJ70*UDCPPEF*NtoN2O*kgtoGg,"ERROR"))</f>
        <v>-1.5573394658484478</v>
      </c>
      <c r="AR1140" s="101">
        <f>IF('Net zero activities &amp; levers'!$C$14="Off",'Activity data'!BK70*UDCPPEF*NtoN2O*kgtoGg,IF('Net zero activities &amp; levers'!$C$14="On",'Net zero Activity data'!BK70*UDCPPEF*NtoN2O*kgtoGg,"ERROR"))</f>
        <v>-1.5255543485559264</v>
      </c>
      <c r="AS1140" s="101">
        <f>IF('Net zero activities &amp; levers'!$C$14="Off",'Activity data'!BL70*UDCPPEF*NtoN2O*kgtoGg,IF('Net zero activities &amp; levers'!$C$14="On",'Net zero Activity data'!BL70*UDCPPEF*NtoN2O*kgtoGg,"ERROR"))</f>
        <v>-1.4931784519339129</v>
      </c>
      <c r="AT1140" s="101">
        <f>IF('Net zero activities &amp; levers'!$C$14="Off",'Activity data'!BM70*UDCPPEF*NtoN2O*kgtoGg,IF('Net zero activities &amp; levers'!$C$14="On",'Net zero Activity data'!BM70*UDCPPEF*NtoN2O*kgtoGg,"ERROR"))</f>
        <v>-1.4612477651793758</v>
      </c>
      <c r="AU1140" s="101">
        <f>IF('Net zero activities &amp; levers'!$C$14="Off",'Activity data'!BN70*UDCPPEF*NtoN2O*kgtoGg,IF('Net zero activities &amp; levers'!$C$14="On",'Net zero Activity data'!BN70*UDCPPEF*NtoN2O*kgtoGg,"ERROR"))</f>
        <v>-1.429744774427969</v>
      </c>
      <c r="AV1140" s="101">
        <f>IF('Net zero activities &amp; levers'!$C$14="Off",'Activity data'!BO70*UDCPPEF*NtoN2O*kgtoGg,IF('Net zero activities &amp; levers'!$C$14="On",'Net zero Activity data'!BO70*UDCPPEF*NtoN2O*kgtoGg,"ERROR"))</f>
        <v>-1.3986529497999127</v>
      </c>
      <c r="AW1140" s="101">
        <f>IF('Net zero activities &amp; levers'!$C$14="Off",'Activity data'!BP70*UDCPPEF*NtoN2O*kgtoGg,IF('Net zero activities &amp; levers'!$C$14="On",'Net zero Activity data'!BP70*UDCPPEF*NtoN2O*kgtoGg,"ERROR"))</f>
        <v>-1.3679566718696037</v>
      </c>
      <c r="AY1140" s="85"/>
    </row>
    <row r="1141" spans="1:51" x14ac:dyDescent="0.25">
      <c r="A1141" s="102" t="str">
        <f t="shared" si="374"/>
        <v>CM U&amp;D</v>
      </c>
      <c r="B1141" s="102" t="s">
        <v>1323</v>
      </c>
      <c r="C1141" s="102" t="s">
        <v>1337</v>
      </c>
      <c r="D1141" t="s">
        <v>369</v>
      </c>
      <c r="E1141" t="s">
        <v>55</v>
      </c>
      <c r="F1141" t="s">
        <v>422</v>
      </c>
      <c r="G1141" t="s">
        <v>1163</v>
      </c>
      <c r="H1141" t="s">
        <v>1246</v>
      </c>
      <c r="I1141" t="s">
        <v>139</v>
      </c>
      <c r="J1141" t="s">
        <v>287</v>
      </c>
      <c r="K1141" s="101">
        <f>IF('Net zero activities &amp; levers'!$C$14="Off",'Activity data'!AD71*UDCPPEF*NtoN2O*kgtoGg,IF('Net zero activities &amp; levers'!$C$14="On",'Net zero Activity data'!AD71*UDCPPEF*NtoN2O*kgtoGg,"ERROR"))</f>
        <v>0</v>
      </c>
      <c r="L1141" s="101">
        <f>IF('Net zero activities &amp; levers'!$C$14="Off",'Activity data'!AE71*UDCPPEF*NtoN2O*kgtoGg,IF('Net zero activities &amp; levers'!$C$14="On",'Net zero Activity data'!AE71*UDCPPEF*NtoN2O*kgtoGg,"ERROR"))</f>
        <v>0</v>
      </c>
      <c r="M1141" s="101">
        <f>IF('Net zero activities &amp; levers'!$C$14="Off",'Activity data'!AF71*UDCPPEF*NtoN2O*kgtoGg,IF('Net zero activities &amp; levers'!$C$14="On",'Net zero Activity data'!AF71*UDCPPEF*NtoN2O*kgtoGg,"ERROR"))</f>
        <v>0</v>
      </c>
      <c r="N1141" s="101">
        <f>IF('Net zero activities &amp; levers'!$C$14="Off",'Activity data'!AG71*UDCPPEF*NtoN2O*kgtoGg,IF('Net zero activities &amp; levers'!$C$14="On",'Net zero Activity data'!AG71*UDCPPEF*NtoN2O*kgtoGg,"ERROR"))</f>
        <v>0</v>
      </c>
      <c r="O1141" s="101">
        <f>IF('Net zero activities &amp; levers'!$C$14="Off",'Activity data'!AH71*UDCPPEF*NtoN2O*kgtoGg,IF('Net zero activities &amp; levers'!$C$14="On",'Net zero Activity data'!AH71*UDCPPEF*NtoN2O*kgtoGg,"ERROR"))</f>
        <v>0</v>
      </c>
      <c r="P1141" s="101">
        <f>IF('Net zero activities &amp; levers'!$C$14="Off",'Activity data'!AI71*UDCPPEF*NtoN2O*kgtoGg,IF('Net zero activities &amp; levers'!$C$14="On",'Net zero Activity data'!AI71*UDCPPEF*NtoN2O*kgtoGg,"ERROR"))</f>
        <v>0</v>
      </c>
      <c r="Q1141" s="101">
        <f>IF('Net zero activities &amp; levers'!$C$14="Off",'Activity data'!AJ71*UDCPPEF*NtoN2O*kgtoGg,IF('Net zero activities &amp; levers'!$C$14="On",'Net zero Activity data'!AJ71*UDCPPEF*NtoN2O*kgtoGg,"ERROR"))</f>
        <v>0</v>
      </c>
      <c r="R1141" s="101">
        <f>IF('Net zero activities &amp; levers'!$C$14="Off",'Activity data'!AK71*UDCPPEF*NtoN2O*kgtoGg,IF('Net zero activities &amp; levers'!$C$14="On",'Net zero Activity data'!AK71*UDCPPEF*NtoN2O*kgtoGg,"ERROR"))</f>
        <v>0</v>
      </c>
      <c r="S1141" s="101">
        <f>IF('Net zero activities &amp; levers'!$C$14="Off",'Activity data'!AL71*UDCPPEF*NtoN2O*kgtoGg,IF('Net zero activities &amp; levers'!$C$14="On",'Net zero Activity data'!AL71*UDCPPEF*NtoN2O*kgtoGg,"ERROR"))</f>
        <v>0</v>
      </c>
      <c r="T1141" s="101">
        <f>IF('Net zero activities &amp; levers'!$C$14="Off",'Activity data'!AM71*UDCPPEF*NtoN2O*kgtoGg,IF('Net zero activities &amp; levers'!$C$14="On",'Net zero Activity data'!AM71*UDCPPEF*NtoN2O*kgtoGg,"ERROR"))</f>
        <v>0</v>
      </c>
      <c r="U1141" s="101">
        <f>IF('Net zero activities &amp; levers'!$C$14="Off",'Activity data'!AN71*UDCPPEF*NtoN2O*kgtoGg,IF('Net zero activities &amp; levers'!$C$14="On",'Net zero Activity data'!AN71*UDCPPEF*NtoN2O*kgtoGg,"ERROR"))</f>
        <v>0</v>
      </c>
      <c r="V1141" s="101">
        <f>IF('Net zero activities &amp; levers'!$C$14="Off",'Activity data'!AO71*UDCPPEF*NtoN2O*kgtoGg,IF('Net zero activities &amp; levers'!$C$14="On",'Net zero Activity data'!AO71*UDCPPEF*NtoN2O*kgtoGg,"ERROR"))</f>
        <v>0</v>
      </c>
      <c r="W1141" s="101">
        <f>IF('Net zero activities &amp; levers'!$C$14="Off",'Activity data'!AP71*UDCPPEF*NtoN2O*kgtoGg,IF('Net zero activities &amp; levers'!$C$14="On",'Net zero Activity data'!AP71*UDCPPEF*NtoN2O*kgtoGg,"ERROR"))</f>
        <v>0</v>
      </c>
      <c r="X1141" s="101">
        <f>IF('Net zero activities &amp; levers'!$C$14="Off",'Activity data'!AQ71*UDCPPEF*NtoN2O*kgtoGg,IF('Net zero activities &amp; levers'!$C$14="On",'Net zero Activity data'!AQ71*UDCPPEF*NtoN2O*kgtoGg,"ERROR"))</f>
        <v>0</v>
      </c>
      <c r="Y1141" s="101">
        <f>IF('Net zero activities &amp; levers'!$C$14="Off",'Activity data'!AR71*UDCPPEF*NtoN2O*kgtoGg,IF('Net zero activities &amp; levers'!$C$14="On",'Net zero Activity data'!AR71*UDCPPEF*NtoN2O*kgtoGg,"ERROR"))</f>
        <v>0</v>
      </c>
      <c r="Z1141" s="101">
        <f>IF('Net zero activities &amp; levers'!$C$14="Off",'Activity data'!AS71*UDCPPEF*NtoN2O*kgtoGg,IF('Net zero activities &amp; levers'!$C$14="On",'Net zero Activity data'!AS71*UDCPPEF*NtoN2O*kgtoGg,"ERROR"))</f>
        <v>0</v>
      </c>
      <c r="AA1141" s="101">
        <f>IF('Net zero activities &amp; levers'!$C$14="Off",'Activity data'!AT71*UDCPPEF*NtoN2O*kgtoGg,IF('Net zero activities &amp; levers'!$C$14="On",'Net zero Activity data'!AT71*UDCPPEF*NtoN2O*kgtoGg,"ERROR"))</f>
        <v>0</v>
      </c>
      <c r="AB1141" s="101">
        <f>IF('Net zero activities &amp; levers'!$C$14="Off",'Activity data'!AU71*UDCPPEF*NtoN2O*kgtoGg,IF('Net zero activities &amp; levers'!$C$14="On",'Net zero Activity data'!AU71*UDCPPEF*NtoN2O*kgtoGg,"ERROR"))</f>
        <v>0</v>
      </c>
      <c r="AC1141" s="101">
        <f>IF('Net zero activities &amp; levers'!$C$14="Off",'Activity data'!AV71*UDCPPEF*NtoN2O*kgtoGg,IF('Net zero activities &amp; levers'!$C$14="On",'Net zero Activity data'!AV71*UDCPPEF*NtoN2O*kgtoGg,"ERROR"))</f>
        <v>0</v>
      </c>
      <c r="AD1141" s="101">
        <f>IF('Net zero activities &amp; levers'!$C$14="Off",'Activity data'!AW71*UDCPPEF*NtoN2O*kgtoGg,IF('Net zero activities &amp; levers'!$C$14="On",'Net zero Activity data'!AW71*UDCPPEF*NtoN2O*kgtoGg,"ERROR"))</f>
        <v>0</v>
      </c>
      <c r="AE1141" s="101">
        <f>IF('Net zero activities &amp; levers'!$C$14="Off",'Activity data'!AX71*UDCPPEF*NtoN2O*kgtoGg,IF('Net zero activities &amp; levers'!$C$14="On",'Net zero Activity data'!AX71*UDCPPEF*NtoN2O*kgtoGg,"ERROR"))</f>
        <v>0</v>
      </c>
      <c r="AF1141" s="101">
        <f>IF('Net zero activities &amp; levers'!$C$14="Off",'Activity data'!AY71*UDCPPEF*NtoN2O*kgtoGg,IF('Net zero activities &amp; levers'!$C$14="On",'Net zero Activity data'!AY71*UDCPPEF*NtoN2O*kgtoGg,"ERROR"))</f>
        <v>0</v>
      </c>
      <c r="AG1141" s="101">
        <f>IF('Net zero activities &amp; levers'!$C$14="Off",'Activity data'!AZ71*UDCPPEF*NtoN2O*kgtoGg,IF('Net zero activities &amp; levers'!$C$14="On",'Net zero Activity data'!AZ71*UDCPPEF*NtoN2O*kgtoGg,"ERROR"))</f>
        <v>0</v>
      </c>
      <c r="AH1141" s="101">
        <f>IF('Net zero activities &amp; levers'!$C$14="Off",'Activity data'!BA71*UDCPPEF*NtoN2O*kgtoGg,IF('Net zero activities &amp; levers'!$C$14="On",'Net zero Activity data'!BA71*UDCPPEF*NtoN2O*kgtoGg,"ERROR"))</f>
        <v>0</v>
      </c>
      <c r="AI1141" s="101">
        <f>IF('Net zero activities &amp; levers'!$C$14="Off",'Activity data'!BB71*UDCPPEF*NtoN2O*kgtoGg,IF('Net zero activities &amp; levers'!$C$14="On",'Net zero Activity data'!BB71*UDCPPEF*NtoN2O*kgtoGg,"ERROR"))</f>
        <v>0</v>
      </c>
      <c r="AJ1141" s="101">
        <f>IF('Net zero activities &amp; levers'!$C$14="Off",'Activity data'!BC71*UDCPPEF*NtoN2O*kgtoGg,IF('Net zero activities &amp; levers'!$C$14="On",'Net zero Activity data'!BC71*UDCPPEF*NtoN2O*kgtoGg,"ERROR"))</f>
        <v>0</v>
      </c>
      <c r="AK1141" s="101">
        <f>IF('Net zero activities &amp; levers'!$C$14="Off",'Activity data'!BD71*UDCPPEF*NtoN2O*kgtoGg,IF('Net zero activities &amp; levers'!$C$14="On",'Net zero Activity data'!BD71*UDCPPEF*NtoN2O*kgtoGg,"ERROR"))</f>
        <v>0</v>
      </c>
      <c r="AL1141" s="101">
        <f>IF('Net zero activities &amp; levers'!$C$14="Off",'Activity data'!BE71*UDCPPEF*NtoN2O*kgtoGg,IF('Net zero activities &amp; levers'!$C$14="On",'Net zero Activity data'!BE71*UDCPPEF*NtoN2O*kgtoGg,"ERROR"))</f>
        <v>0</v>
      </c>
      <c r="AM1141" s="101">
        <f>IF('Net zero activities &amp; levers'!$C$14="Off",'Activity data'!BF71*UDCPPEF*NtoN2O*kgtoGg,IF('Net zero activities &amp; levers'!$C$14="On",'Net zero Activity data'!BF71*UDCPPEF*NtoN2O*kgtoGg,"ERROR"))</f>
        <v>0</v>
      </c>
      <c r="AN1141" s="101">
        <f>IF('Net zero activities &amp; levers'!$C$14="Off",'Activity data'!BG71*UDCPPEF*NtoN2O*kgtoGg,IF('Net zero activities &amp; levers'!$C$14="On",'Net zero Activity data'!BG71*UDCPPEF*NtoN2O*kgtoGg,"ERROR"))</f>
        <v>0</v>
      </c>
      <c r="AO1141" s="101">
        <f>IF('Net zero activities &amp; levers'!$C$14="Off",'Activity data'!BH71*UDCPPEF*NtoN2O*kgtoGg,IF('Net zero activities &amp; levers'!$C$14="On",'Net zero Activity data'!BH71*UDCPPEF*NtoN2O*kgtoGg,"ERROR"))</f>
        <v>0</v>
      </c>
      <c r="AP1141" s="101">
        <f>IF('Net zero activities &amp; levers'!$C$14="Off",'Activity data'!BI71*UDCPPEF*NtoN2O*kgtoGg,IF('Net zero activities &amp; levers'!$C$14="On",'Net zero Activity data'!BI71*UDCPPEF*NtoN2O*kgtoGg,"ERROR"))</f>
        <v>0</v>
      </c>
      <c r="AQ1141" s="101">
        <f>IF('Net zero activities &amp; levers'!$C$14="Off",'Activity data'!BJ71*UDCPPEF*NtoN2O*kgtoGg,IF('Net zero activities &amp; levers'!$C$14="On",'Net zero Activity data'!BJ71*UDCPPEF*NtoN2O*kgtoGg,"ERROR"))</f>
        <v>0</v>
      </c>
      <c r="AR1141" s="101">
        <f>IF('Net zero activities &amp; levers'!$C$14="Off",'Activity data'!BK71*UDCPPEF*NtoN2O*kgtoGg,IF('Net zero activities &amp; levers'!$C$14="On",'Net zero Activity data'!BK71*UDCPPEF*NtoN2O*kgtoGg,"ERROR"))</f>
        <v>0</v>
      </c>
      <c r="AS1141" s="101">
        <f>IF('Net zero activities &amp; levers'!$C$14="Off",'Activity data'!BL71*UDCPPEF*NtoN2O*kgtoGg,IF('Net zero activities &amp; levers'!$C$14="On",'Net zero Activity data'!BL71*UDCPPEF*NtoN2O*kgtoGg,"ERROR"))</f>
        <v>0</v>
      </c>
      <c r="AT1141" s="101">
        <f>IF('Net zero activities &amp; levers'!$C$14="Off",'Activity data'!BM71*UDCPPEF*NtoN2O*kgtoGg,IF('Net zero activities &amp; levers'!$C$14="On",'Net zero Activity data'!BM71*UDCPPEF*NtoN2O*kgtoGg,"ERROR"))</f>
        <v>0</v>
      </c>
      <c r="AU1141" s="101">
        <f>IF('Net zero activities &amp; levers'!$C$14="Off",'Activity data'!BN71*UDCPPEF*NtoN2O*kgtoGg,IF('Net zero activities &amp; levers'!$C$14="On",'Net zero Activity data'!BN71*UDCPPEF*NtoN2O*kgtoGg,"ERROR"))</f>
        <v>0</v>
      </c>
      <c r="AV1141" s="101">
        <f>IF('Net zero activities &amp; levers'!$C$14="Off",'Activity data'!BO71*UDCPPEF*NtoN2O*kgtoGg,IF('Net zero activities &amp; levers'!$C$14="On",'Net zero Activity data'!BO71*UDCPPEF*NtoN2O*kgtoGg,"ERROR"))</f>
        <v>0</v>
      </c>
      <c r="AW1141" s="101">
        <f>IF('Net zero activities &amp; levers'!$C$14="Off",'Activity data'!BP71*UDCPPEF*NtoN2O*kgtoGg,IF('Net zero activities &amp; levers'!$C$14="On",'Net zero Activity data'!BP71*UDCPPEF*NtoN2O*kgtoGg,"ERROR"))</f>
        <v>0</v>
      </c>
      <c r="AY1141" s="85"/>
    </row>
    <row r="1142" spans="1:51" x14ac:dyDescent="0.25">
      <c r="A1142" s="102" t="str">
        <f t="shared" si="374"/>
        <v>CM U&amp;D</v>
      </c>
      <c r="B1142" s="102" t="s">
        <v>1323</v>
      </c>
      <c r="C1142" s="102" t="s">
        <v>1337</v>
      </c>
      <c r="D1142" t="s">
        <v>369</v>
      </c>
      <c r="E1142" t="s">
        <v>55</v>
      </c>
      <c r="F1142" t="s">
        <v>422</v>
      </c>
      <c r="G1142" t="s">
        <v>1165</v>
      </c>
      <c r="H1142" t="s">
        <v>1247</v>
      </c>
      <c r="I1142" t="s">
        <v>139</v>
      </c>
      <c r="J1142" t="s">
        <v>287</v>
      </c>
      <c r="K1142" s="101">
        <f>IF('Net zero activities &amp; levers'!$C$14="Off",'Activity data'!AD72*UDSOEF*NtoN2O*kgtoGg,IF('Net zero activities &amp; levers'!$C$14="On",'Net zero Activity data'!AD72*UDSOEF*NtoN2O*kgtoGg,"ERROR"))</f>
        <v>5.8007004881973501</v>
      </c>
      <c r="L1142" s="101">
        <f>IF('Net zero activities &amp; levers'!$C$14="Off",'Activity data'!AE72*UDSOEF*NtoN2O*kgtoGg,IF('Net zero activities &amp; levers'!$C$14="On",'Net zero Activity data'!AE72*UDSOEF*NtoN2O*kgtoGg,"ERROR"))</f>
        <v>5.8038682011318086</v>
      </c>
      <c r="M1142" s="101">
        <f>IF('Net zero activities &amp; levers'!$C$14="Off",'Activity data'!AF72*UDSOEF*NtoN2O*kgtoGg,IF('Net zero activities &amp; levers'!$C$14="On",'Net zero Activity data'!AF72*UDSOEF*NtoN2O*kgtoGg,"ERROR"))</f>
        <v>5.8109613188893956</v>
      </c>
      <c r="N1142" s="101">
        <f>IF('Net zero activities &amp; levers'!$C$14="Off",'Activity data'!AG72*UDSOEF*NtoN2O*kgtoGg,IF('Net zero activities &amp; levers'!$C$14="On",'Net zero Activity data'!AG72*UDSOEF*NtoN2O*kgtoGg,"ERROR"))</f>
        <v>5.8216379502269948</v>
      </c>
      <c r="O1142" s="101">
        <f>IF('Net zero activities &amp; levers'!$C$14="Off",'Activity data'!AH72*UDSOEF*NtoN2O*kgtoGg,IF('Net zero activities &amp; levers'!$C$14="On",'Net zero Activity data'!AH72*UDSOEF*NtoN2O*kgtoGg,"ERROR"))</f>
        <v>5.8360409400543007</v>
      </c>
      <c r="P1142" s="101">
        <f>IF('Net zero activities &amp; levers'!$C$14="Off",'Activity data'!AI72*UDSOEF*NtoN2O*kgtoGg,IF('Net zero activities &amp; levers'!$C$14="On",'Net zero Activity data'!AI72*UDSOEF*NtoN2O*kgtoGg,"ERROR"))</f>
        <v>5.8541855713392259</v>
      </c>
      <c r="Q1142" s="101">
        <f>IF('Net zero activities &amp; levers'!$C$14="Off",'Activity data'!AJ72*UDSOEF*NtoN2O*kgtoGg,IF('Net zero activities &amp; levers'!$C$14="On",'Net zero Activity data'!AJ72*UDSOEF*NtoN2O*kgtoGg,"ERROR"))</f>
        <v>5.8743979550370415</v>
      </c>
      <c r="R1142" s="101">
        <f>IF('Net zero activities &amp; levers'!$C$14="Off",'Activity data'!AK72*UDSOEF*NtoN2O*kgtoGg,IF('Net zero activities &amp; levers'!$C$14="On",'Net zero Activity data'!AK72*UDSOEF*NtoN2O*kgtoGg,"ERROR"))</f>
        <v>5.8963035789612563</v>
      </c>
      <c r="S1142" s="101">
        <f>IF('Net zero activities &amp; levers'!$C$14="Off",'Activity data'!AL72*UDSOEF*NtoN2O*kgtoGg,IF('Net zero activities &amp; levers'!$C$14="On",'Net zero Activity data'!AL72*UDSOEF*NtoN2O*kgtoGg,"ERROR"))</f>
        <v>5.9168885563672573</v>
      </c>
      <c r="T1142" s="101">
        <f>IF('Net zero activities &amp; levers'!$C$14="Off",'Activity data'!AM72*UDSOEF*NtoN2O*kgtoGg,IF('Net zero activities &amp; levers'!$C$14="On",'Net zero Activity data'!AM72*UDSOEF*NtoN2O*kgtoGg,"ERROR"))</f>
        <v>5.9254873000442174</v>
      </c>
      <c r="U1142" s="101">
        <f>IF('Net zero activities &amp; levers'!$C$14="Off",'Activity data'!AN72*UDSOEF*NtoN2O*kgtoGg,IF('Net zero activities &amp; levers'!$C$14="On",'Net zero Activity data'!AN72*UDSOEF*NtoN2O*kgtoGg,"ERROR"))</f>
        <v>5.9354650911079814</v>
      </c>
      <c r="V1142" s="101">
        <f>IF('Net zero activities &amp; levers'!$C$14="Off",'Activity data'!AO72*UDSOEF*NtoN2O*kgtoGg,IF('Net zero activities &amp; levers'!$C$14="On",'Net zero Activity data'!AO72*UDSOEF*NtoN2O*kgtoGg,"ERROR"))</f>
        <v>5.9468198836780894</v>
      </c>
      <c r="W1142" s="101">
        <f>IF('Net zero activities &amp; levers'!$C$14="Off",'Activity data'!AP72*UDSOEF*NtoN2O*kgtoGg,IF('Net zero activities &amp; levers'!$C$14="On",'Net zero Activity data'!AP72*UDSOEF*NtoN2O*kgtoGg,"ERROR"))</f>
        <v>5.9596105082694644</v>
      </c>
      <c r="X1142" s="101">
        <f>IF('Net zero activities &amp; levers'!$C$14="Off",'Activity data'!AQ72*UDSOEF*NtoN2O*kgtoGg,IF('Net zero activities &amp; levers'!$C$14="On",'Net zero Activity data'!AQ72*UDSOEF*NtoN2O*kgtoGg,"ERROR"))</f>
        <v>5.9736319121523582</v>
      </c>
      <c r="Y1142" s="101">
        <f>IF('Net zero activities &amp; levers'!$C$14="Off",'Activity data'!AR72*UDSOEF*NtoN2O*kgtoGg,IF('Net zero activities &amp; levers'!$C$14="On",'Net zero Activity data'!AR72*UDSOEF*NtoN2O*kgtoGg,"ERROR"))</f>
        <v>5.9822631555642722</v>
      </c>
      <c r="Z1142" s="101">
        <f>IF('Net zero activities &amp; levers'!$C$14="Off",'Activity data'!AS72*UDSOEF*NtoN2O*kgtoGg,IF('Net zero activities &amp; levers'!$C$14="On",'Net zero Activity data'!AS72*UDSOEF*NtoN2O*kgtoGg,"ERROR"))</f>
        <v>5.9919044326673472</v>
      </c>
      <c r="AA1142" s="101">
        <f>IF('Net zero activities &amp; levers'!$C$14="Off",'Activity data'!AT72*UDSOEF*NtoN2O*kgtoGg,IF('Net zero activities &amp; levers'!$C$14="On",'Net zero Activity data'!AT72*UDSOEF*NtoN2O*kgtoGg,"ERROR"))</f>
        <v>6.0025907311296489</v>
      </c>
      <c r="AB1142" s="101">
        <f>IF('Net zero activities &amp; levers'!$C$14="Off",'Activity data'!AU72*UDSOEF*NtoN2O*kgtoGg,IF('Net zero activities &amp; levers'!$C$14="On",'Net zero Activity data'!AU72*UDSOEF*NtoN2O*kgtoGg,"ERROR"))</f>
        <v>6.0141578623127154</v>
      </c>
      <c r="AC1142" s="101">
        <f>IF('Net zero activities &amp; levers'!$C$14="Off",'Activity data'!AV72*UDSOEF*NtoN2O*kgtoGg,IF('Net zero activities &amp; levers'!$C$14="On",'Net zero Activity data'!AV72*UDSOEF*NtoN2O*kgtoGg,"ERROR"))</f>
        <v>6.0266471855560004</v>
      </c>
      <c r="AD1142" s="101">
        <f>IF('Net zero activities &amp; levers'!$C$14="Off",'Activity data'!AW72*UDSOEF*NtoN2O*kgtoGg,IF('Net zero activities &amp; levers'!$C$14="On",'Net zero Activity data'!AW72*UDSOEF*NtoN2O*kgtoGg,"ERROR"))</f>
        <v>6.0348691397671148</v>
      </c>
      <c r="AE1142" s="101">
        <f>IF('Net zero activities &amp; levers'!$C$14="Off",'Activity data'!AX72*UDSOEF*NtoN2O*kgtoGg,IF('Net zero activities &amp; levers'!$C$14="On",'Net zero Activity data'!AX72*UDSOEF*NtoN2O*kgtoGg,"ERROR"))</f>
        <v>6.0439559167579606</v>
      </c>
      <c r="AF1142" s="101">
        <f>IF('Net zero activities &amp; levers'!$C$14="Off",'Activity data'!AY72*UDSOEF*NtoN2O*kgtoGg,IF('Net zero activities &amp; levers'!$C$14="On",'Net zero Activity data'!AY72*UDSOEF*NtoN2O*kgtoGg,"ERROR"))</f>
        <v>6.0538257946059888</v>
      </c>
      <c r="AG1142" s="101">
        <f>IF('Net zero activities &amp; levers'!$C$14="Off",'Activity data'!AZ72*UDSOEF*NtoN2O*kgtoGg,IF('Net zero activities &amp; levers'!$C$14="On",'Net zero Activity data'!AZ72*UDSOEF*NtoN2O*kgtoGg,"ERROR"))</f>
        <v>6.0633613554169949</v>
      </c>
      <c r="AH1142" s="101">
        <f>IF('Net zero activities &amp; levers'!$C$14="Off",'Activity data'!BA72*UDSOEF*NtoN2O*kgtoGg,IF('Net zero activities &amp; levers'!$C$14="On",'Net zero Activity data'!BA72*UDSOEF*NtoN2O*kgtoGg,"ERROR"))</f>
        <v>6.0225939777620399</v>
      </c>
      <c r="AI1142" s="101">
        <f>IF('Net zero activities &amp; levers'!$C$14="Off",'Activity data'!BB72*UDSOEF*NtoN2O*kgtoGg,IF('Net zero activities &amp; levers'!$C$14="On",'Net zero Activity data'!BB72*UDSOEF*NtoN2O*kgtoGg,"ERROR"))</f>
        <v>6.0283835899852134</v>
      </c>
      <c r="AJ1142" s="101">
        <f>IF('Net zero activities &amp; levers'!$C$14="Off",'Activity data'!BC72*UDSOEF*NtoN2O*kgtoGg,IF('Net zero activities &amp; levers'!$C$14="On",'Net zero Activity data'!BC72*UDSOEF*NtoN2O*kgtoGg,"ERROR"))</f>
        <v>6.0347724557516536</v>
      </c>
      <c r="AK1142" s="101">
        <f>IF('Net zero activities &amp; levers'!$C$14="Off",'Activity data'!BD72*UDSOEF*NtoN2O*kgtoGg,IF('Net zero activities &amp; levers'!$C$14="On",'Net zero Activity data'!BD72*UDSOEF*NtoN2O*kgtoGg,"ERROR"))</f>
        <v>6.0417379357652736</v>
      </c>
      <c r="AL1142" s="101">
        <f>IF('Net zero activities &amp; levers'!$C$14="Off",'Activity data'!BE72*UDSOEF*NtoN2O*kgtoGg,IF('Net zero activities &amp; levers'!$C$14="On",'Net zero Activity data'!BE72*UDSOEF*NtoN2O*kgtoGg,"ERROR"))</f>
        <v>6.0492591406066394</v>
      </c>
      <c r="AM1142" s="101">
        <f>IF('Net zero activities &amp; levers'!$C$14="Off",'Activity data'!BF72*UDSOEF*NtoN2O*kgtoGg,IF('Net zero activities &amp; levers'!$C$14="On",'Net zero Activity data'!BF72*UDSOEF*NtoN2O*kgtoGg,"ERROR"))</f>
        <v>6.0573167646829393</v>
      </c>
      <c r="AN1142" s="101">
        <f>IF('Net zero activities &amp; levers'!$C$14="Off",'Activity data'!BG72*UDSOEF*NtoN2O*kgtoGg,IF('Net zero activities &amp; levers'!$C$14="On",'Net zero Activity data'!BG72*UDSOEF*NtoN2O*kgtoGg,"ERROR"))</f>
        <v>6.061227136954745</v>
      </c>
      <c r="AO1142" s="101">
        <f>IF('Net zero activities &amp; levers'!$C$14="Off",'Activity data'!BH72*UDSOEF*NtoN2O*kgtoGg,IF('Net zero activities &amp; levers'!$C$14="On",'Net zero Activity data'!BH72*UDSOEF*NtoN2O*kgtoGg,"ERROR"))</f>
        <v>6.0656101287298938</v>
      </c>
      <c r="AP1142" s="101">
        <f>IF('Net zero activities &amp; levers'!$C$14="Off",'Activity data'!BI72*UDSOEF*NtoN2O*kgtoGg,IF('Net zero activities &amp; levers'!$C$14="On",'Net zero Activity data'!BI72*UDSOEF*NtoN2O*kgtoGg,"ERROR"))</f>
        <v>6.0704492917353319</v>
      </c>
      <c r="AQ1142" s="101">
        <f>IF('Net zero activities &amp; levers'!$C$14="Off",'Activity data'!BJ72*UDSOEF*NtoN2O*kgtoGg,IF('Net zero activities &amp; levers'!$C$14="On",'Net zero Activity data'!BJ72*UDSOEF*NtoN2O*kgtoGg,"ERROR"))</f>
        <v>6.0757293034784778</v>
      </c>
      <c r="AR1142" s="101">
        <f>IF('Net zero activities &amp; levers'!$C$14="Off",'Activity data'!BK72*UDSOEF*NtoN2O*kgtoGg,IF('Net zero activities &amp; levers'!$C$14="On",'Net zero Activity data'!BK72*UDSOEF*NtoN2O*kgtoGg,"ERROR"))</f>
        <v>6.0814358716066721</v>
      </c>
      <c r="AS1142" s="101">
        <f>IF('Net zero activities &amp; levers'!$C$14="Off",'Activity data'!BL72*UDSOEF*NtoN2O*kgtoGg,IF('Net zero activities &amp; levers'!$C$14="On",'Net zero Activity data'!BL72*UDSOEF*NtoN2O*kgtoGg,"ERROR"))</f>
        <v>6.082843612547955</v>
      </c>
      <c r="AT1142" s="101">
        <f>IF('Net zero activities &amp; levers'!$C$14="Off",'Activity data'!BM72*UDSOEF*NtoN2O*kgtoGg,IF('Net zero activities &amp; levers'!$C$14="On",'Net zero Activity data'!BM72*UDSOEF*NtoN2O*kgtoGg,"ERROR"))</f>
        <v>6.0846299220859592</v>
      </c>
      <c r="AU1142" s="101">
        <f>IF('Net zero activities &amp; levers'!$C$14="Off",'Activity data'!BN72*UDSOEF*NtoN2O*kgtoGg,IF('Net zero activities &amp; levers'!$C$14="On",'Net zero Activity data'!BN72*UDSOEF*NtoN2O*kgtoGg,"ERROR"))</f>
        <v>6.0867822620358538</v>
      </c>
      <c r="AV1142" s="101">
        <f>IF('Net zero activities &amp; levers'!$C$14="Off",'Activity data'!BO72*UDSOEF*NtoN2O*kgtoGg,IF('Net zero activities &amp; levers'!$C$14="On",'Net zero Activity data'!BO72*UDSOEF*NtoN2O*kgtoGg,"ERROR"))</f>
        <v>6.0892888598488994</v>
      </c>
      <c r="AW1142" s="101">
        <f>IF('Net zero activities &amp; levers'!$C$14="Off",'Activity data'!BP72*UDSOEF*NtoN2O*kgtoGg,IF('Net zero activities &amp; levers'!$C$14="On",'Net zero Activity data'!BP72*UDSOEF*NtoN2O*kgtoGg,"ERROR"))</f>
        <v>6.092138649733787</v>
      </c>
      <c r="AY1142" s="85"/>
    </row>
    <row r="1143" spans="1:51" x14ac:dyDescent="0.25">
      <c r="A1143" s="102" t="str">
        <f t="shared" si="374"/>
        <v>CM U&amp;D</v>
      </c>
      <c r="B1143" s="102" t="s">
        <v>1323</v>
      </c>
      <c r="C1143" s="102" t="s">
        <v>1337</v>
      </c>
      <c r="D1143" t="s">
        <v>369</v>
      </c>
      <c r="E1143" t="s">
        <v>55</v>
      </c>
      <c r="F1143" t="s">
        <v>422</v>
      </c>
      <c r="G1143" t="s">
        <v>1167</v>
      </c>
      <c r="H1143" t="s">
        <v>1248</v>
      </c>
      <c r="I1143" t="s">
        <v>139</v>
      </c>
      <c r="J1143" t="s">
        <v>287</v>
      </c>
      <c r="K1143" s="101">
        <f>IF('Net zero activities &amp; levers'!$C$14="Off",'Activity data'!AD73*UDSOEF*NtoN2O*kgtoGg,IF('Net zero activities &amp; levers'!$C$14="On",'Net zero Activity data'!AD73*UDSOEF*NtoN2O*kgtoGg,"ERROR"))</f>
        <v>0.64752945126978523</v>
      </c>
      <c r="L1143" s="101">
        <f>IF('Net zero activities &amp; levers'!$C$14="Off",'Activity data'!AE73*UDSOEF*NtoN2O*kgtoGg,IF('Net zero activities &amp; levers'!$C$14="On",'Net zero Activity data'!AE73*UDSOEF*NtoN2O*kgtoGg,"ERROR"))</f>
        <v>0.64788306156605957</v>
      </c>
      <c r="M1143" s="101">
        <f>IF('Net zero activities &amp; levers'!$C$14="Off",'Activity data'!AF73*UDSOEF*NtoN2O*kgtoGg,IF('Net zero activities &amp; levers'!$C$14="On",'Net zero Activity data'!AF73*UDSOEF*NtoN2O*kgtoGg,"ERROR"))</f>
        <v>0.64867486294568755</v>
      </c>
      <c r="N1143" s="101">
        <f>IF('Net zero activities &amp; levers'!$C$14="Off",'Activity data'!AG73*UDSOEF*NtoN2O*kgtoGg,IF('Net zero activities &amp; levers'!$C$14="On",'Net zero Activity data'!AG73*UDSOEF*NtoN2O*kgtoGg,"ERROR"))</f>
        <v>0.64986669025094335</v>
      </c>
      <c r="O1143" s="101">
        <f>IF('Net zero activities &amp; levers'!$C$14="Off",'Activity data'!AH73*UDSOEF*NtoN2O*kgtoGg,IF('Net zero activities &amp; levers'!$C$14="On",'Net zero Activity data'!AH73*UDSOEF*NtoN2O*kgtoGg,"ERROR"))</f>
        <v>0.65147448919151907</v>
      </c>
      <c r="P1143" s="101">
        <f>IF('Net zero activities &amp; levers'!$C$14="Off",'Activity data'!AI73*UDSOEF*NtoN2O*kgtoGg,IF('Net zero activities &amp; levers'!$C$14="On",'Net zero Activity data'!AI73*UDSOEF*NtoN2O*kgtoGg,"ERROR"))</f>
        <v>0.65349996579789205</v>
      </c>
      <c r="Q1143" s="101">
        <f>IF('Net zero activities &amp; levers'!$C$14="Off",'Activity data'!AJ73*UDSOEF*NtoN2O*kgtoGg,IF('Net zero activities &amp; levers'!$C$14="On",'Net zero Activity data'!AJ73*UDSOEF*NtoN2O*kgtoGg,"ERROR"))</f>
        <v>0.65575626462789216</v>
      </c>
      <c r="R1143" s="101">
        <f>IF('Net zero activities &amp; levers'!$C$14="Off",'Activity data'!AK73*UDSOEF*NtoN2O*kgtoGg,IF('Net zero activities &amp; levers'!$C$14="On",'Net zero Activity data'!AK73*UDSOEF*NtoN2O*kgtoGg,"ERROR"))</f>
        <v>0.65820157906331789</v>
      </c>
      <c r="S1143" s="101">
        <f>IF('Net zero activities &amp; levers'!$C$14="Off",'Activity data'!AL73*UDSOEF*NtoN2O*kgtoGg,IF('Net zero activities &amp; levers'!$C$14="On",'Net zero Activity data'!AL73*UDSOEF*NtoN2O*kgtoGg,"ERROR"))</f>
        <v>0.66049947035269418</v>
      </c>
      <c r="T1143" s="101">
        <f>IF('Net zero activities &amp; levers'!$C$14="Off",'Activity data'!AM73*UDSOEF*NtoN2O*kgtoGg,IF('Net zero activities &amp; levers'!$C$14="On",'Net zero Activity data'!AM73*UDSOEF*NtoN2O*kgtoGg,"ERROR"))</f>
        <v>0.66145934404141127</v>
      </c>
      <c r="U1143" s="101">
        <f>IF('Net zero activities &amp; levers'!$C$14="Off",'Activity data'!AN73*UDSOEF*NtoN2O*kgtoGg,IF('Net zero activities &amp; levers'!$C$14="On",'Net zero Activity data'!AN73*UDSOEF*NtoN2O*kgtoGg,"ERROR"))</f>
        <v>0.66257316013751044</v>
      </c>
      <c r="V1143" s="101">
        <f>IF('Net zero activities &amp; levers'!$C$14="Off",'Activity data'!AO73*UDSOEF*NtoN2O*kgtoGg,IF('Net zero activities &amp; levers'!$C$14="On",'Net zero Activity data'!AO73*UDSOEF*NtoN2O*kgtoGg,"ERROR"))</f>
        <v>0.66384069026032311</v>
      </c>
      <c r="W1143" s="101">
        <f>IF('Net zero activities &amp; levers'!$C$14="Off",'Activity data'!AP73*UDSOEF*NtoN2O*kgtoGg,IF('Net zero activities &amp; levers'!$C$14="On",'Net zero Activity data'!AP73*UDSOEF*NtoN2O*kgtoGg,"ERROR"))</f>
        <v>0.66526850163239837</v>
      </c>
      <c r="X1143" s="101">
        <f>IF('Net zero activities &amp; levers'!$C$14="Off",'Activity data'!AQ73*UDSOEF*NtoN2O*kgtoGg,IF('Net zero activities &amp; levers'!$C$14="On",'Net zero Activity data'!AQ73*UDSOEF*NtoN2O*kgtoGg,"ERROR"))</f>
        <v>0.66683370431452194</v>
      </c>
      <c r="Y1143" s="101">
        <f>IF('Net zero activities &amp; levers'!$C$14="Off",'Activity data'!AR73*UDSOEF*NtoN2O*kgtoGg,IF('Net zero activities &amp; levers'!$C$14="On",'Net zero Activity data'!AR73*UDSOEF*NtoN2O*kgtoGg,"ERROR"))</f>
        <v>0.66779720593327729</v>
      </c>
      <c r="Z1143" s="101">
        <f>IF('Net zero activities &amp; levers'!$C$14="Off",'Activity data'!AS73*UDSOEF*NtoN2O*kgtoGg,IF('Net zero activities &amp; levers'!$C$14="On",'Net zero Activity data'!AS73*UDSOEF*NtoN2O*kgtoGg,"ERROR"))</f>
        <v>0.66887345713514434</v>
      </c>
      <c r="AA1143" s="101">
        <f>IF('Net zero activities &amp; levers'!$C$14="Off",'Activity data'!AT73*UDSOEF*NtoN2O*kgtoGg,IF('Net zero activities &amp; levers'!$C$14="On",'Net zero Activity data'!AT73*UDSOEF*NtoN2O*kgtoGg,"ERROR"))</f>
        <v>0.6700663635769577</v>
      </c>
      <c r="AB1143" s="101">
        <f>IF('Net zero activities &amp; levers'!$C$14="Off",'Activity data'!AU73*UDSOEF*NtoN2O*kgtoGg,IF('Net zero activities &amp; levers'!$C$14="On",'Net zero Activity data'!AU73*UDSOEF*NtoN2O*kgtoGg,"ERROR"))</f>
        <v>0.67135759695868036</v>
      </c>
      <c r="AC1143" s="101">
        <f>IF('Net zero activities &amp; levers'!$C$14="Off",'Activity data'!AV73*UDSOEF*NtoN2O*kgtoGg,IF('Net zero activities &amp; levers'!$C$14="On",'Net zero Activity data'!AV73*UDSOEF*NtoN2O*kgtoGg,"ERROR"))</f>
        <v>0.67275177420381005</v>
      </c>
      <c r="AD1143" s="101">
        <f>IF('Net zero activities &amp; levers'!$C$14="Off",'Activity data'!AW73*UDSOEF*NtoN2O*kgtoGg,IF('Net zero activities &amp; levers'!$C$14="On",'Net zero Activity data'!AW73*UDSOEF*NtoN2O*kgtoGg,"ERROR"))</f>
        <v>0.67366958706270863</v>
      </c>
      <c r="AE1143" s="101">
        <f>IF('Net zero activities &amp; levers'!$C$14="Off",'Activity data'!AX73*UDSOEF*NtoN2O*kgtoGg,IF('Net zero activities &amp; levers'!$C$14="On",'Net zero Activity data'!AX73*UDSOEF*NtoN2O*kgtoGg,"ERROR"))</f>
        <v>0.67468393967937379</v>
      </c>
      <c r="AF1143" s="101">
        <f>IF('Net zero activities &amp; levers'!$C$14="Off",'Activity data'!AY73*UDSOEF*NtoN2O*kgtoGg,IF('Net zero activities &amp; levers'!$C$14="On",'Net zero Activity data'!AY73*UDSOEF*NtoN2O*kgtoGg,"ERROR"))</f>
        <v>0.67578570947425243</v>
      </c>
      <c r="AG1143" s="101">
        <f>IF('Net zero activities &amp; levers'!$C$14="Off",'Activity data'!AZ73*UDSOEF*NtoN2O*kgtoGg,IF('Net zero activities &amp; levers'!$C$14="On",'Net zero Activity data'!AZ73*UDSOEF*NtoN2O*kgtoGg,"ERROR"))</f>
        <v>0.6768501596164489</v>
      </c>
      <c r="AH1143" s="101">
        <f>IF('Net zero activities &amp; levers'!$C$14="Off",'Activity data'!BA73*UDSOEF*NtoN2O*kgtoGg,IF('Net zero activities &amp; levers'!$C$14="On",'Net zero Activity data'!BA73*UDSOEF*NtoN2O*kgtoGg,"ERROR"))</f>
        <v>0.6722993165352843</v>
      </c>
      <c r="AI1143" s="101">
        <f>IF('Net zero activities &amp; levers'!$C$14="Off",'Activity data'!BB73*UDSOEF*NtoN2O*kgtoGg,IF('Net zero activities &amp; levers'!$C$14="On",'Net zero Activity data'!BB73*UDSOEF*NtoN2O*kgtoGg,"ERROR"))</f>
        <v>0.67294560820877491</v>
      </c>
      <c r="AJ1143" s="101">
        <f>IF('Net zero activities &amp; levers'!$C$14="Off",'Activity data'!BC73*UDSOEF*NtoN2O*kgtoGg,IF('Net zero activities &amp; levers'!$C$14="On",'Net zero Activity data'!BC73*UDSOEF*NtoN2O*kgtoGg,"ERROR"))</f>
        <v>0.67365879427180253</v>
      </c>
      <c r="AK1143" s="101">
        <f>IF('Net zero activities &amp; levers'!$C$14="Off",'Activity data'!BD73*UDSOEF*NtoN2O*kgtoGg,IF('Net zero activities &amp; levers'!$C$14="On",'Net zero Activity data'!BD73*UDSOEF*NtoN2O*kgtoGg,"ERROR"))</f>
        <v>0.674436347510455</v>
      </c>
      <c r="AL1143" s="101">
        <f>IF('Net zero activities &amp; levers'!$C$14="Off",'Activity data'!BE73*UDSOEF*NtoN2O*kgtoGg,IF('Net zero activities &amp; levers'!$C$14="On",'Net zero Activity data'!BE73*UDSOEF*NtoN2O*kgtoGg,"ERROR"))</f>
        <v>0.67527593604872327</v>
      </c>
      <c r="AM1143" s="101">
        <f>IF('Net zero activities &amp; levers'!$C$14="Off",'Activity data'!BF73*UDSOEF*NtoN2O*kgtoGg,IF('Net zero activities &amp; levers'!$C$14="On",'Net zero Activity data'!BF73*UDSOEF*NtoN2O*kgtoGg,"ERROR"))</f>
        <v>0.67617540481241489</v>
      </c>
      <c r="AN1143" s="101">
        <f>IF('Net zero activities &amp; levers'!$C$14="Off",'Activity data'!BG73*UDSOEF*NtoN2O*kgtoGg,IF('Net zero activities &amp; levers'!$C$14="On",'Net zero Activity data'!BG73*UDSOEF*NtoN2O*kgtoGg,"ERROR"))</f>
        <v>0.67661191781917585</v>
      </c>
      <c r="AO1143" s="101">
        <f>IF('Net zero activities &amp; levers'!$C$14="Off",'Activity data'!BH73*UDSOEF*NtoN2O*kgtoGg,IF('Net zero activities &amp; levers'!$C$14="On",'Net zero Activity data'!BH73*UDSOEF*NtoN2O*kgtoGg,"ERROR"))</f>
        <v>0.67710118911750539</v>
      </c>
      <c r="AP1143" s="101">
        <f>IF('Net zero activities &amp; levers'!$C$14="Off",'Activity data'!BI73*UDSOEF*NtoN2O*kgtoGg,IF('Net zero activities &amp; levers'!$C$14="On",'Net zero Activity data'!BI73*UDSOEF*NtoN2O*kgtoGg,"ERROR"))</f>
        <v>0.67764138259446438</v>
      </c>
      <c r="AQ1143" s="101">
        <f>IF('Net zero activities &amp; levers'!$C$14="Off",'Activity data'!BJ73*UDSOEF*NtoN2O*kgtoGg,IF('Net zero activities &amp; levers'!$C$14="On",'Net zero Activity data'!BJ73*UDSOEF*NtoN2O*kgtoGg,"ERROR"))</f>
        <v>0.6782307878074546</v>
      </c>
      <c r="AR1143" s="101">
        <f>IF('Net zero activities &amp; levers'!$C$14="Off",'Activity data'!BK73*UDSOEF*NtoN2O*kgtoGg,IF('Net zero activities &amp; levers'!$C$14="On",'Net zero Activity data'!BK73*UDSOEF*NtoN2O*kgtoGg,"ERROR"))</f>
        <v>0.67886780930790958</v>
      </c>
      <c r="AS1143" s="101">
        <f>IF('Net zero activities &amp; levers'!$C$14="Off",'Activity data'!BL73*UDSOEF*NtoN2O*kgtoGg,IF('Net zero activities &amp; levers'!$C$14="On",'Net zero Activity data'!BL73*UDSOEF*NtoN2O*kgtoGg,"ERROR"))</f>
        <v>0.67902495476320335</v>
      </c>
      <c r="AT1143" s="101">
        <f>IF('Net zero activities &amp; levers'!$C$14="Off",'Activity data'!BM73*UDSOEF*NtoN2O*kgtoGg,IF('Net zero activities &amp; levers'!$C$14="On",'Net zero Activity data'!BM73*UDSOEF*NtoN2O*kgtoGg,"ERROR"))</f>
        <v>0.67922435965185335</v>
      </c>
      <c r="AU1143" s="101">
        <f>IF('Net zero activities &amp; levers'!$C$14="Off",'Activity data'!BN73*UDSOEF*NtoN2O*kgtoGg,IF('Net zero activities &amp; levers'!$C$14="On",'Net zero Activity data'!BN73*UDSOEF*NtoN2O*kgtoGg,"ERROR"))</f>
        <v>0.67946462434221933</v>
      </c>
      <c r="AV1143" s="101">
        <f>IF('Net zero activities &amp; levers'!$C$14="Off",'Activity data'!BO73*UDSOEF*NtoN2O*kgtoGg,IF('Net zero activities &amp; levers'!$C$14="On",'Net zero Activity data'!BO73*UDSOEF*NtoN2O*kgtoGg,"ERROR"))</f>
        <v>0.67974443467025414</v>
      </c>
      <c r="AW1143" s="101">
        <f>IF('Net zero activities &amp; levers'!$C$14="Off",'Activity data'!BP73*UDSOEF*NtoN2O*kgtoGg,IF('Net zero activities &amp; levers'!$C$14="On",'Net zero Activity data'!BP73*UDSOEF*NtoN2O*kgtoGg,"ERROR"))</f>
        <v>0.68006255536690974</v>
      </c>
      <c r="AY1143" s="85"/>
    </row>
    <row r="1144" spans="1:51" x14ac:dyDescent="0.25">
      <c r="A1144" s="102" t="str">
        <f t="shared" si="374"/>
        <v>CM U&amp;D</v>
      </c>
      <c r="B1144" s="102" t="s">
        <v>1323</v>
      </c>
      <c r="C1144" s="102" t="s">
        <v>1337</v>
      </c>
      <c r="D1144" t="s">
        <v>369</v>
      </c>
      <c r="E1144" t="s">
        <v>55</v>
      </c>
      <c r="F1144" t="s">
        <v>422</v>
      </c>
      <c r="G1144" t="s">
        <v>1169</v>
      </c>
      <c r="H1144" t="s">
        <v>1249</v>
      </c>
      <c r="I1144" t="s">
        <v>139</v>
      </c>
      <c r="J1144" t="s">
        <v>287</v>
      </c>
      <c r="K1144" s="101">
        <f>IF('Net zero activities &amp; levers'!$C$14="Off",'Activity data'!AD74*UDSOEF*NtoN2O*kgtoGg,IF('Net zero activities &amp; levers'!$C$14="On",'Net zero Activity data'!AD74*UDSOEF*NtoN2O*kgtoGg,"ERROR"))</f>
        <v>0.71703962515202246</v>
      </c>
      <c r="L1144" s="101">
        <f>IF('Net zero activities &amp; levers'!$C$14="Off",'Activity data'!AE74*UDSOEF*NtoN2O*kgtoGg,IF('Net zero activities &amp; levers'!$C$14="On",'Net zero Activity data'!AE74*UDSOEF*NtoN2O*kgtoGg,"ERROR"))</f>
        <v>0.71890983434251277</v>
      </c>
      <c r="M1144" s="101">
        <f>IF('Net zero activities &amp; levers'!$C$14="Off",'Activity data'!AF74*UDSOEF*NtoN2O*kgtoGg,IF('Net zero activities &amp; levers'!$C$14="On",'Net zero Activity data'!AF74*UDSOEF*NtoN2O*kgtoGg,"ERROR"))</f>
        <v>0.72140205375439892</v>
      </c>
      <c r="N1144" s="101">
        <f>IF('Net zero activities &amp; levers'!$C$14="Off",'Activity data'!AG74*UDSOEF*NtoN2O*kgtoGg,IF('Net zero activities &amp; levers'!$C$14="On",'Net zero Activity data'!AG74*UDSOEF*NtoN2O*kgtoGg,"ERROR"))</f>
        <v>0.72446087645337953</v>
      </c>
      <c r="O1144" s="101">
        <f>IF('Net zero activities &amp; levers'!$C$14="Off",'Activity data'!AH74*UDSOEF*NtoN2O*kgtoGg,IF('Net zero activities &amp; levers'!$C$14="On",'Net zero Activity data'!AH74*UDSOEF*NtoN2O*kgtoGg,"ERROR"))</f>
        <v>0.72812305944589495</v>
      </c>
      <c r="P1144" s="101">
        <f>IF('Net zero activities &amp; levers'!$C$14="Off",'Activity data'!AI74*UDSOEF*NtoN2O*kgtoGg,IF('Net zero activities &amp; levers'!$C$14="On",'Net zero Activity data'!AI74*UDSOEF*NtoN2O*kgtoGg,"ERROR"))</f>
        <v>0.73239834824766725</v>
      </c>
      <c r="Q1144" s="101">
        <f>IF('Net zero activities &amp; levers'!$C$14="Off",'Activity data'!AJ74*UDSOEF*NtoN2O*kgtoGg,IF('Net zero activities &amp; levers'!$C$14="On",'Net zero Activity data'!AJ74*UDSOEF*NtoN2O*kgtoGg,"ERROR"))</f>
        <v>0.73696942015050981</v>
      </c>
      <c r="R1144" s="101">
        <f>IF('Net zero activities &amp; levers'!$C$14="Off",'Activity data'!AK74*UDSOEF*NtoN2O*kgtoGg,IF('Net zero activities &amp; levers'!$C$14="On",'Net zero Activity data'!AK74*UDSOEF*NtoN2O*kgtoGg,"ERROR"))</f>
        <v>0.74177091257362759</v>
      </c>
      <c r="S1144" s="101">
        <f>IF('Net zero activities &amp; levers'!$C$14="Off",'Activity data'!AL74*UDSOEF*NtoN2O*kgtoGg,IF('Net zero activities &amp; levers'!$C$14="On",'Net zero Activity data'!AL74*UDSOEF*NtoN2O*kgtoGg,"ERROR"))</f>
        <v>0.74623128814082973</v>
      </c>
      <c r="T1144" s="101">
        <f>IF('Net zero activities &amp; levers'!$C$14="Off",'Activity data'!AM74*UDSOEF*NtoN2O*kgtoGg,IF('Net zero activities &amp; levers'!$C$14="On",'Net zero Activity data'!AM74*UDSOEF*NtoN2O*kgtoGg,"ERROR"))</f>
        <v>0.74832155602397465</v>
      </c>
      <c r="U1144" s="101">
        <f>IF('Net zero activities &amp; levers'!$C$14="Off",'Activity data'!AN74*UDSOEF*NtoN2O*kgtoGg,IF('Net zero activities &amp; levers'!$C$14="On",'Net zero Activity data'!AN74*UDSOEF*NtoN2O*kgtoGg,"ERROR"))</f>
        <v>0.75061365062436147</v>
      </c>
      <c r="V1144" s="101">
        <f>IF('Net zero activities &amp; levers'!$C$14="Off",'Activity data'!AO74*UDSOEF*NtoN2O*kgtoGg,IF('Net zero activities &amp; levers'!$C$14="On",'Net zero Activity data'!AO74*UDSOEF*NtoN2O*kgtoGg,"ERROR"))</f>
        <v>0.75311048066791608</v>
      </c>
      <c r="W1144" s="101">
        <f>IF('Net zero activities &amp; levers'!$C$14="Off",'Activity data'!AP74*UDSOEF*NtoN2O*kgtoGg,IF('Net zero activities &amp; levers'!$C$14="On",'Net zero Activity data'!AP74*UDSOEF*NtoN2O*kgtoGg,"ERROR"))</f>
        <v>0.75582597980024202</v>
      </c>
      <c r="X1144" s="101">
        <f>IF('Net zero activities &amp; levers'!$C$14="Off",'Activity data'!AQ74*UDSOEF*NtoN2O*kgtoGg,IF('Net zero activities &amp; levers'!$C$14="On",'Net zero Activity data'!AQ74*UDSOEF*NtoN2O*kgtoGg,"ERROR"))</f>
        <v>0.758723586950243</v>
      </c>
      <c r="Y1144" s="101">
        <f>IF('Net zero activities &amp; levers'!$C$14="Off",'Activity data'!AR74*UDSOEF*NtoN2O*kgtoGg,IF('Net zero activities &amp; levers'!$C$14="On",'Net zero Activity data'!AR74*UDSOEF*NtoN2O*kgtoGg,"ERROR"))</f>
        <v>0.76055515001802498</v>
      </c>
      <c r="Z1144" s="101">
        <f>IF('Net zero activities &amp; levers'!$C$14="Off",'Activity data'!AS74*UDSOEF*NtoN2O*kgtoGg,IF('Net zero activities &amp; levers'!$C$14="On",'Net zero Activity data'!AS74*UDSOEF*NtoN2O*kgtoGg,"ERROR"))</f>
        <v>0.76253680812015046</v>
      </c>
      <c r="AA1144" s="101">
        <f>IF('Net zero activities &amp; levers'!$C$14="Off",'Activity data'!AT74*UDSOEF*NtoN2O*kgtoGg,IF('Net zero activities &amp; levers'!$C$14="On",'Net zero Activity data'!AT74*UDSOEF*NtoN2O*kgtoGg,"ERROR"))</f>
        <v>0.7646767595046402</v>
      </c>
      <c r="AB1144" s="101">
        <f>IF('Net zero activities &amp; levers'!$C$14="Off",'Activity data'!AU74*UDSOEF*NtoN2O*kgtoGg,IF('Net zero activities &amp; levers'!$C$14="On",'Net zero Activity data'!AU74*UDSOEF*NtoN2O*kgtoGg,"ERROR"))</f>
        <v>0.76694554342614063</v>
      </c>
      <c r="AC1144" s="101">
        <f>IF('Net zero activities &amp; levers'!$C$14="Off",'Activity data'!AV74*UDSOEF*NtoN2O*kgtoGg,IF('Net zero activities &amp; levers'!$C$14="On",'Net zero Activity data'!AV74*UDSOEF*NtoN2O*kgtoGg,"ERROR"))</f>
        <v>0.76935223527037744</v>
      </c>
      <c r="AD1144" s="101">
        <f>IF('Net zero activities &amp; levers'!$C$14="Off",'Activity data'!AW74*UDSOEF*NtoN2O*kgtoGg,IF('Net zero activities &amp; levers'!$C$14="On",'Net zero Activity data'!AW74*UDSOEF*NtoN2O*kgtoGg,"ERROR"))</f>
        <v>0.7709284586249765</v>
      </c>
      <c r="AE1144" s="101">
        <f>IF('Net zero activities &amp; levers'!$C$14="Off",'Activity data'!AX74*UDSOEF*NtoN2O*kgtoGg,IF('Net zero activities &amp; levers'!$C$14="On",'Net zero Activity data'!AX74*UDSOEF*NtoN2O*kgtoGg,"ERROR"))</f>
        <v>0.77263788414937862</v>
      </c>
      <c r="AF1144" s="101">
        <f>IF('Net zero activities &amp; levers'!$C$14="Off",'Activity data'!AY74*UDSOEF*NtoN2O*kgtoGg,IF('Net zero activities &amp; levers'!$C$14="On",'Net zero Activity data'!AY74*UDSOEF*NtoN2O*kgtoGg,"ERROR"))</f>
        <v>0.77446606053450517</v>
      </c>
      <c r="AG1144" s="101">
        <f>IF('Net zero activities &amp; levers'!$C$14="Off",'Activity data'!AZ74*UDSOEF*NtoN2O*kgtoGg,IF('Net zero activities &amp; levers'!$C$14="On",'Net zero Activity data'!AZ74*UDSOEF*NtoN2O*kgtoGg,"ERROR"))</f>
        <v>0.7762062172722024</v>
      </c>
      <c r="AH1144" s="101">
        <f>IF('Net zero activities &amp; levers'!$C$14="Off",'Activity data'!BA74*UDSOEF*NtoN2O*kgtoGg,IF('Net zero activities &amp; levers'!$C$14="On",'Net zero Activity data'!BA74*UDSOEF*NtoN2O*kgtoGg,"ERROR"))</f>
        <v>0.76859920994116682</v>
      </c>
      <c r="AI1144" s="101">
        <f>IF('Net zero activities &amp; levers'!$C$14="Off",'Activity data'!BB74*UDSOEF*NtoN2O*kgtoGg,IF('Net zero activities &amp; levers'!$C$14="On",'Net zero Activity data'!BB74*UDSOEF*NtoN2O*kgtoGg,"ERROR"))</f>
        <v>0.76961702960226952</v>
      </c>
      <c r="AJ1144" s="101">
        <f>IF('Net zero activities &amp; levers'!$C$14="Off",'Activity data'!BC74*UDSOEF*NtoN2O*kgtoGg,IF('Net zero activities &amp; levers'!$C$14="On",'Net zero Activity data'!BC74*UDSOEF*NtoN2O*kgtoGg,"ERROR"))</f>
        <v>0.77072611211000452</v>
      </c>
      <c r="AK1144" s="101">
        <f>IF('Net zero activities &amp; levers'!$C$14="Off",'Activity data'!BD74*UDSOEF*NtoN2O*kgtoGg,IF('Net zero activities &amp; levers'!$C$14="On",'Net zero Activity data'!BD74*UDSOEF*NtoN2O*kgtoGg,"ERROR"))</f>
        <v>0.7719227512042488</v>
      </c>
      <c r="AL1144" s="101">
        <f>IF('Net zero activities &amp; levers'!$C$14="Off",'Activity data'!BE74*UDSOEF*NtoN2O*kgtoGg,IF('Net zero activities &amp; levers'!$C$14="On",'Net zero Activity data'!BE74*UDSOEF*NtoN2O*kgtoGg,"ERROR"))</f>
        <v>0.77320352810315807</v>
      </c>
      <c r="AM1144" s="101">
        <f>IF('Net zero activities &amp; levers'!$C$14="Off",'Activity data'!BF74*UDSOEF*NtoN2O*kgtoGg,IF('Net zero activities &amp; levers'!$C$14="On",'Net zero Activity data'!BF74*UDSOEF*NtoN2O*kgtoGg,"ERROR"))</f>
        <v>0.77456528397766</v>
      </c>
      <c r="AN1144" s="101">
        <f>IF('Net zero activities &amp; levers'!$C$14="Off",'Activity data'!BG74*UDSOEF*NtoN2O*kgtoGg,IF('Net zero activities &amp; levers'!$C$14="On",'Net zero Activity data'!BG74*UDSOEF*NtoN2O*kgtoGg,"ERROR"))</f>
        <v>0.7751498155218971</v>
      </c>
      <c r="AO1144" s="101">
        <f>IF('Net zero activities &amp; levers'!$C$14="Off",'Activity data'!BH74*UDSOEF*NtoN2O*kgtoGg,IF('Net zero activities &amp; levers'!$C$14="On",'Net zero Activity data'!BH74*UDSOEF*NtoN2O*kgtoGg,"ERROR"))</f>
        <v>0.77580729833667095</v>
      </c>
      <c r="AP1144" s="101">
        <f>IF('Net zero activities &amp; levers'!$C$14="Off",'Activity data'!BI74*UDSOEF*NtoN2O*kgtoGg,IF('Net zero activities &amp; levers'!$C$14="On",'Net zero Activity data'!BI74*UDSOEF*NtoN2O*kgtoGg,"ERROR"))</f>
        <v>0.77653498216260275</v>
      </c>
      <c r="AQ1144" s="101">
        <f>IF('Net zero activities &amp; levers'!$C$14="Off",'Activity data'!BJ74*UDSOEF*NtoN2O*kgtoGg,IF('Net zero activities &amp; levers'!$C$14="On",'Net zero Activity data'!BJ74*UDSOEF*NtoN2O*kgtoGg,"ERROR"))</f>
        <v>0.77733030541457571</v>
      </c>
      <c r="AR1144" s="101">
        <f>IF('Net zero activities &amp; levers'!$C$14="Off",'Activity data'!BK74*UDSOEF*NtoN2O*kgtoGg,IF('Net zero activities &amp; levers'!$C$14="On",'Net zero Activity data'!BK74*UDSOEF*NtoN2O*kgtoGg,"ERROR"))</f>
        <v>0.77819087901746686</v>
      </c>
      <c r="AS1144" s="101">
        <f>IF('Net zero activities &amp; levers'!$C$14="Off",'Activity data'!BL74*UDSOEF*NtoN2O*kgtoGg,IF('Net zero activities &amp; levers'!$C$14="On",'Net zero Activity data'!BL74*UDSOEF*NtoN2O*kgtoGg,"ERROR"))</f>
        <v>0.77825802091956864</v>
      </c>
      <c r="AT1144" s="101">
        <f>IF('Net zero activities &amp; levers'!$C$14="Off",'Activity data'!BM74*UDSOEF*NtoN2O*kgtoGg,IF('Net zero activities &amp; levers'!$C$14="On",'Net zero Activity data'!BM74*UDSOEF*NtoN2O*kgtoGg,"ERROR"))</f>
        <v>0.77838487427420744</v>
      </c>
      <c r="AU1144" s="101">
        <f>IF('Net zero activities &amp; levers'!$C$14="Off",'Activity data'!BN74*UDSOEF*NtoN2O*kgtoGg,IF('Net zero activities &amp; levers'!$C$14="On",'Net zero Activity data'!BN74*UDSOEF*NtoN2O*kgtoGg,"ERROR"))</f>
        <v>0.77856929465999758</v>
      </c>
      <c r="AV1144" s="101">
        <f>IF('Net zero activities &amp; levers'!$C$14="Off",'Activity data'!BO74*UDSOEF*NtoN2O*kgtoGg,IF('Net zero activities &amp; levers'!$C$14="On",'Net zero Activity data'!BO74*UDSOEF*NtoN2O*kgtoGg,"ERROR"))</f>
        <v>0.77880926891307201</v>
      </c>
      <c r="AW1144" s="101">
        <f>IF('Net zero activities &amp; levers'!$C$14="Off",'Activity data'!BP74*UDSOEF*NtoN2O*kgtoGg,IF('Net zero activities &amp; levers'!$C$14="On",'Net zero Activity data'!BP74*UDSOEF*NtoN2O*kgtoGg,"ERROR"))</f>
        <v>0.77910290495826517</v>
      </c>
      <c r="AY1144" s="85"/>
    </row>
    <row r="1145" spans="1:51" x14ac:dyDescent="0.25">
      <c r="A1145" s="102" t="str">
        <f t="shared" si="374"/>
        <v>CM U&amp;D</v>
      </c>
      <c r="B1145" s="102" t="s">
        <v>1323</v>
      </c>
      <c r="C1145" s="102" t="s">
        <v>1337</v>
      </c>
      <c r="D1145" t="s">
        <v>369</v>
      </c>
      <c r="E1145" t="s">
        <v>55</v>
      </c>
      <c r="F1145" t="s">
        <v>422</v>
      </c>
      <c r="G1145" t="s">
        <v>1171</v>
      </c>
      <c r="H1145" t="s">
        <v>1250</v>
      </c>
      <c r="I1145" t="s">
        <v>139</v>
      </c>
      <c r="J1145" t="s">
        <v>287</v>
      </c>
      <c r="K1145" s="101">
        <f>IF('Net zero activities &amp; levers'!$C$14="Off",'Activity data'!AD75*UDSOEF*NtoN2O*kgtoGg,IF('Net zero activities &amp; levers'!$C$14="On",'Net zero Activity data'!AD75*UDSOEF*NtoN2O*kgtoGg,"ERROR"))</f>
        <v>1.1866860146705673</v>
      </c>
      <c r="L1145" s="101">
        <f>IF('Net zero activities &amp; levers'!$C$14="Off",'Activity data'!AE75*UDSOEF*NtoN2O*kgtoGg,IF('Net zero activities &amp; levers'!$C$14="On",'Net zero Activity data'!AE75*UDSOEF*NtoN2O*kgtoGg,"ERROR"))</f>
        <v>1.1897811728919734</v>
      </c>
      <c r="M1145" s="101">
        <f>IF('Net zero activities &amp; levers'!$C$14="Off",'Activity data'!AF75*UDSOEF*NtoN2O*kgtoGg,IF('Net zero activities &amp; levers'!$C$14="On",'Net zero Activity data'!AF75*UDSOEF*NtoN2O*kgtoGg,"ERROR"))</f>
        <v>1.1939057453951301</v>
      </c>
      <c r="N1145" s="101">
        <f>IF('Net zero activities &amp; levers'!$C$14="Off",'Activity data'!AG75*UDSOEF*NtoN2O*kgtoGg,IF('Net zero activities &amp; levers'!$C$14="On",'Net zero Activity data'!AG75*UDSOEF*NtoN2O*kgtoGg,"ERROR"))</f>
        <v>1.1989680348292291</v>
      </c>
      <c r="O1145" s="101">
        <f>IF('Net zero activities &amp; levers'!$C$14="Off",'Activity data'!AH75*UDSOEF*NtoN2O*kgtoGg,IF('Net zero activities &amp; levers'!$C$14="On",'Net zero Activity data'!AH75*UDSOEF*NtoN2O*kgtoGg,"ERROR"))</f>
        <v>1.2050288732932972</v>
      </c>
      <c r="P1145" s="101">
        <f>IF('Net zero activities &amp; levers'!$C$14="Off",'Activity data'!AI75*UDSOEF*NtoN2O*kgtoGg,IF('Net zero activities &amp; levers'!$C$14="On",'Net zero Activity data'!AI75*UDSOEF*NtoN2O*kgtoGg,"ERROR"))</f>
        <v>1.2121043894178982</v>
      </c>
      <c r="Q1145" s="101">
        <f>IF('Net zero activities &amp; levers'!$C$14="Off",'Activity data'!AJ75*UDSOEF*NtoN2O*kgtoGg,IF('Net zero activities &amp; levers'!$C$14="On",'Net zero Activity data'!AJ75*UDSOEF*NtoN2O*kgtoGg,"ERROR"))</f>
        <v>1.2196694205666394</v>
      </c>
      <c r="R1145" s="101">
        <f>IF('Net zero activities &amp; levers'!$C$14="Off",'Activity data'!AK75*UDSOEF*NtoN2O*kgtoGg,IF('Net zero activities &amp; levers'!$C$14="On",'Net zero Activity data'!AK75*UDSOEF*NtoN2O*kgtoGg,"ERROR"))</f>
        <v>1.2276157929959912</v>
      </c>
      <c r="S1145" s="101">
        <f>IF('Net zero activities &amp; levers'!$C$14="Off",'Activity data'!AL75*UDSOEF*NtoN2O*kgtoGg,IF('Net zero activities &amp; levers'!$C$14="On",'Net zero Activity data'!AL75*UDSOEF*NtoN2O*kgtoGg,"ERROR"))</f>
        <v>1.2349976239577805</v>
      </c>
      <c r="T1145" s="101">
        <f>IF('Net zero activities &amp; levers'!$C$14="Off",'Activity data'!AM75*UDSOEF*NtoN2O*kgtoGg,IF('Net zero activities &amp; levers'!$C$14="On",'Net zero Activity data'!AM75*UDSOEF*NtoN2O*kgtoGg,"ERROR"))</f>
        <v>1.2384569748455603</v>
      </c>
      <c r="U1145" s="101">
        <f>IF('Net zero activities &amp; levers'!$C$14="Off",'Activity data'!AN75*UDSOEF*NtoN2O*kgtoGg,IF('Net zero activities &amp; levers'!$C$14="On",'Net zero Activity data'!AN75*UDSOEF*NtoN2O*kgtoGg,"ERROR"))</f>
        <v>1.2422503448507454</v>
      </c>
      <c r="V1145" s="101">
        <f>IF('Net zero activities &amp; levers'!$C$14="Off",'Activity data'!AO75*UDSOEF*NtoN2O*kgtoGg,IF('Net zero activities &amp; levers'!$C$14="On",'Net zero Activity data'!AO75*UDSOEF*NtoN2O*kgtoGg,"ERROR"))</f>
        <v>1.2463825478556594</v>
      </c>
      <c r="W1145" s="101">
        <f>IF('Net zero activities &amp; levers'!$C$14="Off",'Activity data'!AP75*UDSOEF*NtoN2O*kgtoGg,IF('Net zero activities &amp; levers'!$C$14="On",'Net zero Activity data'!AP75*UDSOEF*NtoN2O*kgtoGg,"ERROR"))</f>
        <v>1.2508766437607468</v>
      </c>
      <c r="X1145" s="101">
        <f>IF('Net zero activities &amp; levers'!$C$14="Off",'Activity data'!AQ75*UDSOEF*NtoN2O*kgtoGg,IF('Net zero activities &amp; levers'!$C$14="On",'Net zero Activity data'!AQ75*UDSOEF*NtoN2O*kgtoGg,"ERROR"))</f>
        <v>1.2556721247359952</v>
      </c>
      <c r="Y1145" s="101">
        <f>IF('Net zero activities &amp; levers'!$C$14="Off",'Activity data'!AR75*UDSOEF*NtoN2O*kgtoGg,IF('Net zero activities &amp; levers'!$C$14="On",'Net zero Activity data'!AR75*UDSOEF*NtoN2O*kgtoGg,"ERROR"))</f>
        <v>1.2587033244093235</v>
      </c>
      <c r="Z1145" s="101">
        <f>IF('Net zero activities &amp; levers'!$C$14="Off",'Activity data'!AS75*UDSOEF*NtoN2O*kgtoGg,IF('Net zero activities &amp; levers'!$C$14="On",'Net zero Activity data'!AS75*UDSOEF*NtoN2O*kgtoGg,"ERROR"))</f>
        <v>1.2619829283156658</v>
      </c>
      <c r="AA1145" s="101">
        <f>IF('Net zero activities &amp; levers'!$C$14="Off",'Activity data'!AT75*UDSOEF*NtoN2O*kgtoGg,IF('Net zero activities &amp; levers'!$C$14="On",'Net zero Activity data'!AT75*UDSOEF*NtoN2O*kgtoGg,"ERROR"))</f>
        <v>1.2655245043889694</v>
      </c>
      <c r="AB1145" s="101">
        <f>IF('Net zero activities &amp; levers'!$C$14="Off",'Activity data'!AU75*UDSOEF*NtoN2O*kgtoGg,IF('Net zero activities &amp; levers'!$C$14="On",'Net zero Activity data'!AU75*UDSOEF*NtoN2O*kgtoGg,"ERROR"))</f>
        <v>1.2692792956940984</v>
      </c>
      <c r="AC1145" s="101">
        <f>IF('Net zero activities &amp; levers'!$C$14="Off",'Activity data'!AV75*UDSOEF*NtoN2O*kgtoGg,IF('Net zero activities &amp; levers'!$C$14="On",'Net zero Activity data'!AV75*UDSOEF*NtoN2O*kgtoGg,"ERROR"))</f>
        <v>1.2732623218100843</v>
      </c>
      <c r="AD1145" s="101">
        <f>IF('Net zero activities &amp; levers'!$C$14="Off",'Activity data'!AW75*UDSOEF*NtoN2O*kgtoGg,IF('Net zero activities &amp; levers'!$C$14="On",'Net zero Activity data'!AW75*UDSOEF*NtoN2O*kgtoGg,"ERROR"))</f>
        <v>1.2758709394447143</v>
      </c>
      <c r="AE1145" s="101">
        <f>IF('Net zero activities &amp; levers'!$C$14="Off",'Activity data'!AX75*UDSOEF*NtoN2O*kgtoGg,IF('Net zero activities &amp; levers'!$C$14="On",'Net zero Activity data'!AX75*UDSOEF*NtoN2O*kgtoGg,"ERROR"))</f>
        <v>1.2787000039646823</v>
      </c>
      <c r="AF1145" s="101">
        <f>IF('Net zero activities &amp; levers'!$C$14="Off",'Activity data'!AY75*UDSOEF*NtoN2O*kgtoGg,IF('Net zero activities &amp; levers'!$C$14="On",'Net zero Activity data'!AY75*UDSOEF*NtoN2O*kgtoGg,"ERROR"))</f>
        <v>1.2817255987470082</v>
      </c>
      <c r="AG1145" s="101">
        <f>IF('Net zero activities &amp; levers'!$C$14="Off",'Activity data'!AZ75*UDSOEF*NtoN2O*kgtoGg,IF('Net zero activities &amp; levers'!$C$14="On",'Net zero Activity data'!AZ75*UDSOEF*NtoN2O*kgtoGg,"ERROR"))</f>
        <v>1.2846055228007487</v>
      </c>
      <c r="AH1145" s="101">
        <f>IF('Net zero activities &amp; levers'!$C$14="Off",'Activity data'!BA75*UDSOEF*NtoN2O*kgtoGg,IF('Net zero activities &amp; levers'!$C$14="On",'Net zero Activity data'!BA75*UDSOEF*NtoN2O*kgtoGg,"ERROR"))</f>
        <v>1.2720160801861611</v>
      </c>
      <c r="AI1145" s="101">
        <f>IF('Net zero activities &amp; levers'!$C$14="Off",'Activity data'!BB75*UDSOEF*NtoN2O*kgtoGg,IF('Net zero activities &amp; levers'!$C$14="On",'Net zero Activity data'!BB75*UDSOEF*NtoN2O*kgtoGg,"ERROR"))</f>
        <v>1.2737005510506982</v>
      </c>
      <c r="AJ1145" s="101">
        <f>IF('Net zero activities &amp; levers'!$C$14="Off",'Activity data'!BC75*UDSOEF*NtoN2O*kgtoGg,IF('Net zero activities &amp; levers'!$C$14="On",'Net zero Activity data'!BC75*UDSOEF*NtoN2O*kgtoGg,"ERROR"))</f>
        <v>1.2755360600726242</v>
      </c>
      <c r="AK1145" s="101">
        <f>IF('Net zero activities &amp; levers'!$C$14="Off",'Activity data'!BD75*UDSOEF*NtoN2O*kgtoGg,IF('Net zero activities &amp; levers'!$C$14="On",'Net zero Activity data'!BD75*UDSOEF*NtoN2O*kgtoGg,"ERROR"))</f>
        <v>1.2775164734667195</v>
      </c>
      <c r="AL1145" s="101">
        <f>IF('Net zero activities &amp; levers'!$C$14="Off",'Activity data'!BE75*UDSOEF*NtoN2O*kgtoGg,IF('Net zero activities &amp; levers'!$C$14="On",'Net zero Activity data'!BE75*UDSOEF*NtoN2O*kgtoGg,"ERROR"))</f>
        <v>1.2796361332184747</v>
      </c>
      <c r="AM1145" s="101">
        <f>IF('Net zero activities &amp; levers'!$C$14="Off",'Activity data'!BF75*UDSOEF*NtoN2O*kgtoGg,IF('Net zero activities &amp; levers'!$C$14="On",'Net zero Activity data'!BF75*UDSOEF*NtoN2O*kgtoGg,"ERROR"))</f>
        <v>1.2818898115299409</v>
      </c>
      <c r="AN1145" s="101">
        <f>IF('Net zero activities &amp; levers'!$C$14="Off",'Activity data'!BG75*UDSOEF*NtoN2O*kgtoGg,IF('Net zero activities &amp; levers'!$C$14="On",'Net zero Activity data'!BG75*UDSOEF*NtoN2O*kgtoGg,"ERROR"))</f>
        <v>1.2828571993622844</v>
      </c>
      <c r="AO1145" s="101">
        <f>IF('Net zero activities &amp; levers'!$C$14="Off",'Activity data'!BH75*UDSOEF*NtoN2O*kgtoGg,IF('Net zero activities &amp; levers'!$C$14="On",'Net zero Activity data'!BH75*UDSOEF*NtoN2O*kgtoGg,"ERROR"))</f>
        <v>1.283945320065534</v>
      </c>
      <c r="AP1145" s="101">
        <f>IF('Net zero activities &amp; levers'!$C$14="Off",'Activity data'!BI75*UDSOEF*NtoN2O*kgtoGg,IF('Net zero activities &amp; levers'!$C$14="On",'Net zero Activity data'!BI75*UDSOEF*NtoN2O*kgtoGg,"ERROR"))</f>
        <v>1.2851496220162837</v>
      </c>
      <c r="AQ1145" s="101">
        <f>IF('Net zero activities &amp; levers'!$C$14="Off",'Activity data'!BJ75*UDSOEF*NtoN2O*kgtoGg,IF('Net zero activities &amp; levers'!$C$14="On",'Net zero Activity data'!BJ75*UDSOEF*NtoN2O*kgtoGg,"ERROR"))</f>
        <v>1.2864658658431971</v>
      </c>
      <c r="AR1145" s="101">
        <f>IF('Net zero activities &amp; levers'!$C$14="Off",'Activity data'!BK75*UDSOEF*NtoN2O*kgtoGg,IF('Net zero activities &amp; levers'!$C$14="On",'Net zero Activity data'!BK75*UDSOEF*NtoN2O*kgtoGg,"ERROR"))</f>
        <v>1.2878900976754739</v>
      </c>
      <c r="AS1145" s="101">
        <f>IF('Net zero activities &amp; levers'!$C$14="Off",'Activity data'!BL75*UDSOEF*NtoN2O*kgtoGg,IF('Net zero activities &amp; levers'!$C$14="On",'Net zero Activity data'!BL75*UDSOEF*NtoN2O*kgtoGg,"ERROR"))</f>
        <v>1.2880012161596242</v>
      </c>
      <c r="AT1145" s="101">
        <f>IF('Net zero activities &amp; levers'!$C$14="Off",'Activity data'!BM75*UDSOEF*NtoN2O*kgtoGg,IF('Net zero activities &amp; levers'!$C$14="On",'Net zero Activity data'!BM75*UDSOEF*NtoN2O*kgtoGg,"ERROR"))</f>
        <v>1.288211155884827</v>
      </c>
      <c r="AU1145" s="101">
        <f>IF('Net zero activities &amp; levers'!$C$14="Off",'Activity data'!BN75*UDSOEF*NtoN2O*kgtoGg,IF('Net zero activities &amp; levers'!$C$14="On",'Net zero Activity data'!BN75*UDSOEF*NtoN2O*kgtoGg,"ERROR"))</f>
        <v>1.2885163678772478</v>
      </c>
      <c r="AV1145" s="101">
        <f>IF('Net zero activities &amp; levers'!$C$14="Off",'Activity data'!BO75*UDSOEF*NtoN2O*kgtoGg,IF('Net zero activities &amp; levers'!$C$14="On",'Net zero Activity data'!BO75*UDSOEF*NtoN2O*kgtoGg,"ERROR"))</f>
        <v>1.2889135203915794</v>
      </c>
      <c r="AW1145" s="101">
        <f>IF('Net zero activities &amp; levers'!$C$14="Off",'Activity data'!BP75*UDSOEF*NtoN2O*kgtoGg,IF('Net zero activities &amp; levers'!$C$14="On",'Net zero Activity data'!BP75*UDSOEF*NtoN2O*kgtoGg,"ERROR"))</f>
        <v>1.2893994820818555</v>
      </c>
      <c r="AY1145" s="85"/>
    </row>
    <row r="1146" spans="1:51" x14ac:dyDescent="0.25">
      <c r="A1146" s="102" t="str">
        <f t="shared" si="374"/>
        <v>CM U&amp;D</v>
      </c>
      <c r="B1146" s="102" t="s">
        <v>1323</v>
      </c>
      <c r="C1146" s="102" t="s">
        <v>1337</v>
      </c>
      <c r="D1146" t="s">
        <v>369</v>
      </c>
      <c r="E1146" t="s">
        <v>55</v>
      </c>
      <c r="F1146" t="s">
        <v>422</v>
      </c>
      <c r="G1146" t="s">
        <v>1173</v>
      </c>
      <c r="H1146" t="s">
        <v>1251</v>
      </c>
      <c r="I1146" t="s">
        <v>139</v>
      </c>
      <c r="J1146" t="s">
        <v>287</v>
      </c>
      <c r="K1146" s="101">
        <f>IF('Net zero activities &amp; levers'!$C$14="Off",'Activity data'!AD76*UDSOEF*NtoN2O*kgtoGg,IF('Net zero activities &amp; levers'!$C$14="On",'Net zero Activity data'!AD76*UDSOEF*NtoN2O*kgtoGg,"ERROR"))</f>
        <v>0.19206426868977441</v>
      </c>
      <c r="L1146" s="101">
        <f>IF('Net zero activities &amp; levers'!$C$14="Off",'Activity data'!AE76*UDSOEF*NtoN2O*kgtoGg,IF('Net zero activities &amp; levers'!$C$14="On",'Net zero Activity data'!AE76*UDSOEF*NtoN2O*kgtoGg,"ERROR"))</f>
        <v>0.19318987586932423</v>
      </c>
      <c r="M1146" s="101">
        <f>IF('Net zero activities &amp; levers'!$C$14="Off",'Activity data'!AF76*UDSOEF*NtoN2O*kgtoGg,IF('Net zero activities &amp; levers'!$C$14="On",'Net zero Activity data'!AF76*UDSOEF*NtoN2O*kgtoGg,"ERROR"))</f>
        <v>0.19346719628053802</v>
      </c>
      <c r="N1146" s="101">
        <f>IF('Net zero activities &amp; levers'!$C$14="Off",'Activity data'!AG76*UDSOEF*NtoN2O*kgtoGg,IF('Net zero activities &amp; levers'!$C$14="On",'Net zero Activity data'!AG76*UDSOEF*NtoN2O*kgtoGg,"ERROR"))</f>
        <v>0.19261999020243609</v>
      </c>
      <c r="O1146" s="101">
        <f>IF('Net zero activities &amp; levers'!$C$14="Off",'Activity data'!AH76*UDSOEF*NtoN2O*kgtoGg,IF('Net zero activities &amp; levers'!$C$14="On",'Net zero Activity data'!AH76*UDSOEF*NtoN2O*kgtoGg,"ERROR"))</f>
        <v>0.19172365370541722</v>
      </c>
      <c r="P1146" s="101">
        <f>IF('Net zero activities &amp; levers'!$C$14="Off",'Activity data'!AI76*UDSOEF*NtoN2O*kgtoGg,IF('Net zero activities &amp; levers'!$C$14="On",'Net zero Activity data'!AI76*UDSOEF*NtoN2O*kgtoGg,"ERROR"))</f>
        <v>0.19129719629214276</v>
      </c>
      <c r="Q1146" s="101">
        <f>IF('Net zero activities &amp; levers'!$C$14="Off",'Activity data'!AJ76*UDSOEF*NtoN2O*kgtoGg,IF('Net zero activities &amp; levers'!$C$14="On",'Net zero Activity data'!AJ76*UDSOEF*NtoN2O*kgtoGg,"ERROR"))</f>
        <v>0.19101276819466945</v>
      </c>
      <c r="R1146" s="101">
        <f>IF('Net zero activities &amp; levers'!$C$14="Off",'Activity data'!AK76*UDSOEF*NtoN2O*kgtoGg,IF('Net zero activities &amp; levers'!$C$14="On",'Net zero Activity data'!AK76*UDSOEF*NtoN2O*kgtoGg,"ERROR"))</f>
        <v>0.18964082845337171</v>
      </c>
      <c r="S1146" s="101">
        <f>IF('Net zero activities &amp; levers'!$C$14="Off",'Activity data'!AL76*UDSOEF*NtoN2O*kgtoGg,IF('Net zero activities &amp; levers'!$C$14="On",'Net zero Activity data'!AL76*UDSOEF*NtoN2O*kgtoGg,"ERROR"))</f>
        <v>0.17855585025741377</v>
      </c>
      <c r="T1146" s="101">
        <f>IF('Net zero activities &amp; levers'!$C$14="Off",'Activity data'!AM76*UDSOEF*NtoN2O*kgtoGg,IF('Net zero activities &amp; levers'!$C$14="On",'Net zero Activity data'!AM76*UDSOEF*NtoN2O*kgtoGg,"ERROR"))</f>
        <v>0.1801256476686891</v>
      </c>
      <c r="U1146" s="101">
        <f>IF('Net zero activities &amp; levers'!$C$14="Off",'Activity data'!AN76*UDSOEF*NtoN2O*kgtoGg,IF('Net zero activities &amp; levers'!$C$14="On",'Net zero Activity data'!AN76*UDSOEF*NtoN2O*kgtoGg,"ERROR"))</f>
        <v>0.18141112915440744</v>
      </c>
      <c r="V1146" s="101">
        <f>IF('Net zero activities &amp; levers'!$C$14="Off",'Activity data'!AO76*UDSOEF*NtoN2O*kgtoGg,IF('Net zero activities &amp; levers'!$C$14="On",'Net zero Activity data'!AO76*UDSOEF*NtoN2O*kgtoGg,"ERROR"))</f>
        <v>0.18267062412414889</v>
      </c>
      <c r="W1146" s="101">
        <f>IF('Net zero activities &amp; levers'!$C$14="Off",'Activity data'!AP76*UDSOEF*NtoN2O*kgtoGg,IF('Net zero activities &amp; levers'!$C$14="On",'Net zero Activity data'!AP76*UDSOEF*NtoN2O*kgtoGg,"ERROR"))</f>
        <v>0.18430349788289624</v>
      </c>
      <c r="X1146" s="101">
        <f>IF('Net zero activities &amp; levers'!$C$14="Off",'Activity data'!AQ76*UDSOEF*NtoN2O*kgtoGg,IF('Net zero activities &amp; levers'!$C$14="On",'Net zero Activity data'!AQ76*UDSOEF*NtoN2O*kgtoGg,"ERROR"))</f>
        <v>0.18590650598729025</v>
      </c>
      <c r="Y1146" s="101">
        <f>IF('Net zero activities &amp; levers'!$C$14="Off",'Activity data'!AR76*UDSOEF*NtoN2O*kgtoGg,IF('Net zero activities &amp; levers'!$C$14="On",'Net zero Activity data'!AR76*UDSOEF*NtoN2O*kgtoGg,"ERROR"))</f>
        <v>0.18774289622011922</v>
      </c>
      <c r="Z1146" s="101">
        <f>IF('Net zero activities &amp; levers'!$C$14="Off",'Activity data'!AS76*UDSOEF*NtoN2O*kgtoGg,IF('Net zero activities &amp; levers'!$C$14="On",'Net zero Activity data'!AS76*UDSOEF*NtoN2O*kgtoGg,"ERROR"))</f>
        <v>0.18945974795510873</v>
      </c>
      <c r="AA1146" s="101">
        <f>IF('Net zero activities &amp; levers'!$C$14="Off",'Activity data'!AT76*UDSOEF*NtoN2O*kgtoGg,IF('Net zero activities &amp; levers'!$C$14="On",'Net zero Activity data'!AT76*UDSOEF*NtoN2O*kgtoGg,"ERROR"))</f>
        <v>0.19130656367707333</v>
      </c>
      <c r="AB1146" s="101">
        <f>IF('Net zero activities &amp; levers'!$C$14="Off",'Activity data'!AU76*UDSOEF*NtoN2O*kgtoGg,IF('Net zero activities &amp; levers'!$C$14="On",'Net zero Activity data'!AU76*UDSOEF*NtoN2O*kgtoGg,"ERROR"))</f>
        <v>0.1929453281809925</v>
      </c>
      <c r="AC1146" s="101">
        <f>IF('Net zero activities &amp; levers'!$C$14="Off",'Activity data'!AV76*UDSOEF*NtoN2O*kgtoGg,IF('Net zero activities &amp; levers'!$C$14="On",'Net zero Activity data'!AV76*UDSOEF*NtoN2O*kgtoGg,"ERROR"))</f>
        <v>0.19461451886655767</v>
      </c>
      <c r="AD1146" s="101">
        <f>IF('Net zero activities &amp; levers'!$C$14="Off",'Activity data'!AW76*UDSOEF*NtoN2O*kgtoGg,IF('Net zero activities &amp; levers'!$C$14="On",'Net zero Activity data'!AW76*UDSOEF*NtoN2O*kgtoGg,"ERROR"))</f>
        <v>0.19692637066734073</v>
      </c>
      <c r="AE1146" s="101">
        <f>IF('Net zero activities &amp; levers'!$C$14="Off",'Activity data'!AX76*UDSOEF*NtoN2O*kgtoGg,IF('Net zero activities &amp; levers'!$C$14="On",'Net zero Activity data'!AX76*UDSOEF*NtoN2O*kgtoGg,"ERROR"))</f>
        <v>0.19944913652878843</v>
      </c>
      <c r="AF1146" s="101">
        <f>IF('Net zero activities &amp; levers'!$C$14="Off",'Activity data'!AY76*UDSOEF*NtoN2O*kgtoGg,IF('Net zero activities &amp; levers'!$C$14="On",'Net zero Activity data'!AY76*UDSOEF*NtoN2O*kgtoGg,"ERROR"))</f>
        <v>0.20204327521693932</v>
      </c>
      <c r="AG1146" s="101">
        <f>IF('Net zero activities &amp; levers'!$C$14="Off",'Activity data'!AZ76*UDSOEF*NtoN2O*kgtoGg,IF('Net zero activities &amp; levers'!$C$14="On",'Net zero Activity data'!AZ76*UDSOEF*NtoN2O*kgtoGg,"ERROR"))</f>
        <v>0.20167425591994353</v>
      </c>
      <c r="AH1146" s="101">
        <f>IF('Net zero activities &amp; levers'!$C$14="Off",'Activity data'!BA76*UDSOEF*NtoN2O*kgtoGg,IF('Net zero activities &amp; levers'!$C$14="On",'Net zero Activity data'!BA76*UDSOEF*NtoN2O*kgtoGg,"ERROR"))</f>
        <v>5.9672038121461136E-2</v>
      </c>
      <c r="AI1146" s="101">
        <f>IF('Net zero activities &amp; levers'!$C$14="Off",'Activity data'!BB76*UDSOEF*NtoN2O*kgtoGg,IF('Net zero activities &amp; levers'!$C$14="On",'Net zero Activity data'!BB76*UDSOEF*NtoN2O*kgtoGg,"ERROR"))</f>
        <v>5.9672038121461136E-2</v>
      </c>
      <c r="AJ1146" s="101">
        <f>IF('Net zero activities &amp; levers'!$C$14="Off",'Activity data'!BC76*UDSOEF*NtoN2O*kgtoGg,IF('Net zero activities &amp; levers'!$C$14="On",'Net zero Activity data'!BC76*UDSOEF*NtoN2O*kgtoGg,"ERROR"))</f>
        <v>5.9672038121461136E-2</v>
      </c>
      <c r="AK1146" s="101">
        <f>IF('Net zero activities &amp; levers'!$C$14="Off",'Activity data'!BD76*UDSOEF*NtoN2O*kgtoGg,IF('Net zero activities &amp; levers'!$C$14="On",'Net zero Activity data'!BD76*UDSOEF*NtoN2O*kgtoGg,"ERROR"))</f>
        <v>5.9672038121461136E-2</v>
      </c>
      <c r="AL1146" s="101">
        <f>IF('Net zero activities &amp; levers'!$C$14="Off",'Activity data'!BE76*UDSOEF*NtoN2O*kgtoGg,IF('Net zero activities &amp; levers'!$C$14="On",'Net zero Activity data'!BE76*UDSOEF*NtoN2O*kgtoGg,"ERROR"))</f>
        <v>5.9672038121461136E-2</v>
      </c>
      <c r="AM1146" s="101">
        <f>IF('Net zero activities &amp; levers'!$C$14="Off",'Activity data'!BF76*UDSOEF*NtoN2O*kgtoGg,IF('Net zero activities &amp; levers'!$C$14="On",'Net zero Activity data'!BF76*UDSOEF*NtoN2O*kgtoGg,"ERROR"))</f>
        <v>5.9672038121461136E-2</v>
      </c>
      <c r="AN1146" s="101">
        <f>IF('Net zero activities &amp; levers'!$C$14="Off",'Activity data'!BG76*UDSOEF*NtoN2O*kgtoGg,IF('Net zero activities &amp; levers'!$C$14="On",'Net zero Activity data'!BG76*UDSOEF*NtoN2O*kgtoGg,"ERROR"))</f>
        <v>5.9672038121461136E-2</v>
      </c>
      <c r="AO1146" s="101">
        <f>IF('Net zero activities &amp; levers'!$C$14="Off",'Activity data'!BH76*UDSOEF*NtoN2O*kgtoGg,IF('Net zero activities &amp; levers'!$C$14="On",'Net zero Activity data'!BH76*UDSOEF*NtoN2O*kgtoGg,"ERROR"))</f>
        <v>5.9672038121461136E-2</v>
      </c>
      <c r="AP1146" s="101">
        <f>IF('Net zero activities &amp; levers'!$C$14="Off",'Activity data'!BI76*UDSOEF*NtoN2O*kgtoGg,IF('Net zero activities &amp; levers'!$C$14="On",'Net zero Activity data'!BI76*UDSOEF*NtoN2O*kgtoGg,"ERROR"))</f>
        <v>5.9672038121461136E-2</v>
      </c>
      <c r="AQ1146" s="101">
        <f>IF('Net zero activities &amp; levers'!$C$14="Off",'Activity data'!BJ76*UDSOEF*NtoN2O*kgtoGg,IF('Net zero activities &amp; levers'!$C$14="On",'Net zero Activity data'!BJ76*UDSOEF*NtoN2O*kgtoGg,"ERROR"))</f>
        <v>5.9672038121461136E-2</v>
      </c>
      <c r="AR1146" s="101">
        <f>IF('Net zero activities &amp; levers'!$C$14="Off",'Activity data'!BK76*UDSOEF*NtoN2O*kgtoGg,IF('Net zero activities &amp; levers'!$C$14="On",'Net zero Activity data'!BK76*UDSOEF*NtoN2O*kgtoGg,"ERROR"))</f>
        <v>5.9672038121461136E-2</v>
      </c>
      <c r="AS1146" s="101">
        <f>IF('Net zero activities &amp; levers'!$C$14="Off",'Activity data'!BL76*UDSOEF*NtoN2O*kgtoGg,IF('Net zero activities &amp; levers'!$C$14="On",'Net zero Activity data'!BL76*UDSOEF*NtoN2O*kgtoGg,"ERROR"))</f>
        <v>5.9672038121461136E-2</v>
      </c>
      <c r="AT1146" s="101">
        <f>IF('Net zero activities &amp; levers'!$C$14="Off",'Activity data'!BM76*UDSOEF*NtoN2O*kgtoGg,IF('Net zero activities &amp; levers'!$C$14="On",'Net zero Activity data'!BM76*UDSOEF*NtoN2O*kgtoGg,"ERROR"))</f>
        <v>5.9672038121461136E-2</v>
      </c>
      <c r="AU1146" s="101">
        <f>IF('Net zero activities &amp; levers'!$C$14="Off",'Activity data'!BN76*UDSOEF*NtoN2O*kgtoGg,IF('Net zero activities &amp; levers'!$C$14="On",'Net zero Activity data'!BN76*UDSOEF*NtoN2O*kgtoGg,"ERROR"))</f>
        <v>5.9672038121461136E-2</v>
      </c>
      <c r="AV1146" s="101">
        <f>IF('Net zero activities &amp; levers'!$C$14="Off",'Activity data'!BO76*UDSOEF*NtoN2O*kgtoGg,IF('Net zero activities &amp; levers'!$C$14="On",'Net zero Activity data'!BO76*UDSOEF*NtoN2O*kgtoGg,"ERROR"))</f>
        <v>5.9672038121461136E-2</v>
      </c>
      <c r="AW1146" s="101">
        <f>IF('Net zero activities &amp; levers'!$C$14="Off",'Activity data'!BP76*UDSOEF*NtoN2O*kgtoGg,IF('Net zero activities &amp; levers'!$C$14="On",'Net zero Activity data'!BP76*UDSOEF*NtoN2O*kgtoGg,"ERROR"))</f>
        <v>5.9672038121461136E-2</v>
      </c>
      <c r="AY1146" s="85"/>
    </row>
    <row r="1147" spans="1:51" x14ac:dyDescent="0.25">
      <c r="A1147" s="102" t="str">
        <f t="shared" si="374"/>
        <v>CM U&amp;D</v>
      </c>
      <c r="B1147" s="102" t="s">
        <v>1323</v>
      </c>
      <c r="C1147" s="102" t="s">
        <v>1337</v>
      </c>
      <c r="D1147" t="s">
        <v>369</v>
      </c>
      <c r="E1147" t="s">
        <v>55</v>
      </c>
      <c r="F1147" t="s">
        <v>422</v>
      </c>
      <c r="G1147" t="s">
        <v>1175</v>
      </c>
      <c r="H1147" t="s">
        <v>1252</v>
      </c>
      <c r="I1147" t="s">
        <v>139</v>
      </c>
      <c r="J1147" t="s">
        <v>287</v>
      </c>
      <c r="K1147" s="101">
        <f>IF('Net zero activities &amp; levers'!$C$14="Off",'Activity data'!AD77*UDSOEF*NtoN2O*kgtoGg,IF('Net zero activities &amp; levers'!$C$14="On",'Net zero Activity data'!AD77*UDSOEF*NtoN2O*kgtoGg,"ERROR"))</f>
        <v>3.4640571428571423E-2</v>
      </c>
      <c r="L1147" s="101">
        <f>IF('Net zero activities &amp; levers'!$C$14="Off",'Activity data'!AE77*UDSOEF*NtoN2O*kgtoGg,IF('Net zero activities &amp; levers'!$C$14="On",'Net zero Activity data'!AE77*UDSOEF*NtoN2O*kgtoGg,"ERROR"))</f>
        <v>3.4640571428571423E-2</v>
      </c>
      <c r="M1147" s="101">
        <f>IF('Net zero activities &amp; levers'!$C$14="Off",'Activity data'!AF77*UDSOEF*NtoN2O*kgtoGg,IF('Net zero activities &amp; levers'!$C$14="On",'Net zero Activity data'!AF77*UDSOEF*NtoN2O*kgtoGg,"ERROR"))</f>
        <v>3.4640571428571423E-2</v>
      </c>
      <c r="N1147" s="101">
        <f>IF('Net zero activities &amp; levers'!$C$14="Off",'Activity data'!AG77*UDSOEF*NtoN2O*kgtoGg,IF('Net zero activities &amp; levers'!$C$14="On",'Net zero Activity data'!AG77*UDSOEF*NtoN2O*kgtoGg,"ERROR"))</f>
        <v>3.4640571428571423E-2</v>
      </c>
      <c r="O1147" s="101">
        <f>IF('Net zero activities &amp; levers'!$C$14="Off",'Activity data'!AH77*UDSOEF*NtoN2O*kgtoGg,IF('Net zero activities &amp; levers'!$C$14="On",'Net zero Activity data'!AH77*UDSOEF*NtoN2O*kgtoGg,"ERROR"))</f>
        <v>3.4640571428571423E-2</v>
      </c>
      <c r="P1147" s="101">
        <f>IF('Net zero activities &amp; levers'!$C$14="Off",'Activity data'!AI77*UDSOEF*NtoN2O*kgtoGg,IF('Net zero activities &amp; levers'!$C$14="On",'Net zero Activity data'!AI77*UDSOEF*NtoN2O*kgtoGg,"ERROR"))</f>
        <v>3.4640571428571423E-2</v>
      </c>
      <c r="Q1147" s="101">
        <f>IF('Net zero activities &amp; levers'!$C$14="Off",'Activity data'!AJ77*UDSOEF*NtoN2O*kgtoGg,IF('Net zero activities &amp; levers'!$C$14="On",'Net zero Activity data'!AJ77*UDSOEF*NtoN2O*kgtoGg,"ERROR"))</f>
        <v>3.4640571428571423E-2</v>
      </c>
      <c r="R1147" s="101">
        <f>IF('Net zero activities &amp; levers'!$C$14="Off",'Activity data'!AK77*UDSOEF*NtoN2O*kgtoGg,IF('Net zero activities &amp; levers'!$C$14="On",'Net zero Activity data'!AK77*UDSOEF*NtoN2O*kgtoGg,"ERROR"))</f>
        <v>3.4640571428571423E-2</v>
      </c>
      <c r="S1147" s="101">
        <f>IF('Net zero activities &amp; levers'!$C$14="Off",'Activity data'!AL77*UDSOEF*NtoN2O*kgtoGg,IF('Net zero activities &amp; levers'!$C$14="On",'Net zero Activity data'!AL77*UDSOEF*NtoN2O*kgtoGg,"ERROR"))</f>
        <v>3.4640571428571423E-2</v>
      </c>
      <c r="T1147" s="101">
        <f>IF('Net zero activities &amp; levers'!$C$14="Off",'Activity data'!AM77*UDSOEF*NtoN2O*kgtoGg,IF('Net zero activities &amp; levers'!$C$14="On",'Net zero Activity data'!AM77*UDSOEF*NtoN2O*kgtoGg,"ERROR"))</f>
        <v>3.4640571428571423E-2</v>
      </c>
      <c r="U1147" s="101">
        <f>IF('Net zero activities &amp; levers'!$C$14="Off",'Activity data'!AN77*UDSOEF*NtoN2O*kgtoGg,IF('Net zero activities &amp; levers'!$C$14="On",'Net zero Activity data'!AN77*UDSOEF*NtoN2O*kgtoGg,"ERROR"))</f>
        <v>3.4640571428571423E-2</v>
      </c>
      <c r="V1147" s="101">
        <f>IF('Net zero activities &amp; levers'!$C$14="Off",'Activity data'!AO77*UDSOEF*NtoN2O*kgtoGg,IF('Net zero activities &amp; levers'!$C$14="On",'Net zero Activity data'!AO77*UDSOEF*NtoN2O*kgtoGg,"ERROR"))</f>
        <v>3.4640571428571423E-2</v>
      </c>
      <c r="W1147" s="101">
        <f>IF('Net zero activities &amp; levers'!$C$14="Off",'Activity data'!AP77*UDSOEF*NtoN2O*kgtoGg,IF('Net zero activities &amp; levers'!$C$14="On",'Net zero Activity data'!AP77*UDSOEF*NtoN2O*kgtoGg,"ERROR"))</f>
        <v>3.4640571428571423E-2</v>
      </c>
      <c r="X1147" s="101">
        <f>IF('Net zero activities &amp; levers'!$C$14="Off",'Activity data'!AQ77*UDSOEF*NtoN2O*kgtoGg,IF('Net zero activities &amp; levers'!$C$14="On",'Net zero Activity data'!AQ77*UDSOEF*NtoN2O*kgtoGg,"ERROR"))</f>
        <v>3.4640571428571423E-2</v>
      </c>
      <c r="Y1147" s="101">
        <f>IF('Net zero activities &amp; levers'!$C$14="Off",'Activity data'!AR77*UDSOEF*NtoN2O*kgtoGg,IF('Net zero activities &amp; levers'!$C$14="On",'Net zero Activity data'!AR77*UDSOEF*NtoN2O*kgtoGg,"ERROR"))</f>
        <v>3.4640571428571423E-2</v>
      </c>
      <c r="Z1147" s="101">
        <f>IF('Net zero activities &amp; levers'!$C$14="Off",'Activity data'!AS77*UDSOEF*NtoN2O*kgtoGg,IF('Net zero activities &amp; levers'!$C$14="On",'Net zero Activity data'!AS77*UDSOEF*NtoN2O*kgtoGg,"ERROR"))</f>
        <v>3.4640571428571423E-2</v>
      </c>
      <c r="AA1147" s="101">
        <f>IF('Net zero activities &amp; levers'!$C$14="Off",'Activity data'!AT77*UDSOEF*NtoN2O*kgtoGg,IF('Net zero activities &amp; levers'!$C$14="On",'Net zero Activity data'!AT77*UDSOEF*NtoN2O*kgtoGg,"ERROR"))</f>
        <v>3.4640571428571423E-2</v>
      </c>
      <c r="AB1147" s="101">
        <f>IF('Net zero activities &amp; levers'!$C$14="Off",'Activity data'!AU77*UDSOEF*NtoN2O*kgtoGg,IF('Net zero activities &amp; levers'!$C$14="On",'Net zero Activity data'!AU77*UDSOEF*NtoN2O*kgtoGg,"ERROR"))</f>
        <v>3.4640571428571423E-2</v>
      </c>
      <c r="AC1147" s="101">
        <f>IF('Net zero activities &amp; levers'!$C$14="Off",'Activity data'!AV77*UDSOEF*NtoN2O*kgtoGg,IF('Net zero activities &amp; levers'!$C$14="On",'Net zero Activity data'!AV77*UDSOEF*NtoN2O*kgtoGg,"ERROR"))</f>
        <v>3.4640571428571423E-2</v>
      </c>
      <c r="AD1147" s="101">
        <f>IF('Net zero activities &amp; levers'!$C$14="Off",'Activity data'!AW77*UDSOEF*NtoN2O*kgtoGg,IF('Net zero activities &amp; levers'!$C$14="On",'Net zero Activity data'!AW77*UDSOEF*NtoN2O*kgtoGg,"ERROR"))</f>
        <v>3.4640571428571423E-2</v>
      </c>
      <c r="AE1147" s="101">
        <f>IF('Net zero activities &amp; levers'!$C$14="Off",'Activity data'!AX77*UDSOEF*NtoN2O*kgtoGg,IF('Net zero activities &amp; levers'!$C$14="On",'Net zero Activity data'!AX77*UDSOEF*NtoN2O*kgtoGg,"ERROR"))</f>
        <v>3.4640571428571423E-2</v>
      </c>
      <c r="AF1147" s="101">
        <f>IF('Net zero activities &amp; levers'!$C$14="Off",'Activity data'!AY77*UDSOEF*NtoN2O*kgtoGg,IF('Net zero activities &amp; levers'!$C$14="On",'Net zero Activity data'!AY77*UDSOEF*NtoN2O*kgtoGg,"ERROR"))</f>
        <v>3.4640571428571423E-2</v>
      </c>
      <c r="AG1147" s="101">
        <f>IF('Net zero activities &amp; levers'!$C$14="Off",'Activity data'!AZ77*UDSOEF*NtoN2O*kgtoGg,IF('Net zero activities &amp; levers'!$C$14="On",'Net zero Activity data'!AZ77*UDSOEF*NtoN2O*kgtoGg,"ERROR"))</f>
        <v>3.4640571428571423E-2</v>
      </c>
      <c r="AH1147" s="101">
        <f>IF('Net zero activities &amp; levers'!$C$14="Off",'Activity data'!BA77*UDSOEF*NtoN2O*kgtoGg,IF('Net zero activities &amp; levers'!$C$14="On",'Net zero Activity data'!BA77*UDSOEF*NtoN2O*kgtoGg,"ERROR"))</f>
        <v>3.4640571428571423E-2</v>
      </c>
      <c r="AI1147" s="101">
        <f>IF('Net zero activities &amp; levers'!$C$14="Off",'Activity data'!BB77*UDSOEF*NtoN2O*kgtoGg,IF('Net zero activities &amp; levers'!$C$14="On",'Net zero Activity data'!BB77*UDSOEF*NtoN2O*kgtoGg,"ERROR"))</f>
        <v>3.4640571428571423E-2</v>
      </c>
      <c r="AJ1147" s="101">
        <f>IF('Net zero activities &amp; levers'!$C$14="Off",'Activity data'!BC77*UDSOEF*NtoN2O*kgtoGg,IF('Net zero activities &amp; levers'!$C$14="On",'Net zero Activity data'!BC77*UDSOEF*NtoN2O*kgtoGg,"ERROR"))</f>
        <v>3.4640571428571423E-2</v>
      </c>
      <c r="AK1147" s="101">
        <f>IF('Net zero activities &amp; levers'!$C$14="Off",'Activity data'!BD77*UDSOEF*NtoN2O*kgtoGg,IF('Net zero activities &amp; levers'!$C$14="On",'Net zero Activity data'!BD77*UDSOEF*NtoN2O*kgtoGg,"ERROR"))</f>
        <v>3.4640571428571423E-2</v>
      </c>
      <c r="AL1147" s="101">
        <f>IF('Net zero activities &amp; levers'!$C$14="Off",'Activity data'!BE77*UDSOEF*NtoN2O*kgtoGg,IF('Net zero activities &amp; levers'!$C$14="On",'Net zero Activity data'!BE77*UDSOEF*NtoN2O*kgtoGg,"ERROR"))</f>
        <v>3.4640571428571423E-2</v>
      </c>
      <c r="AM1147" s="101">
        <f>IF('Net zero activities &amp; levers'!$C$14="Off",'Activity data'!BF77*UDSOEF*NtoN2O*kgtoGg,IF('Net zero activities &amp; levers'!$C$14="On",'Net zero Activity data'!BF77*UDSOEF*NtoN2O*kgtoGg,"ERROR"))</f>
        <v>3.4640571428571423E-2</v>
      </c>
      <c r="AN1147" s="101">
        <f>IF('Net zero activities &amp; levers'!$C$14="Off",'Activity data'!BG77*UDSOEF*NtoN2O*kgtoGg,IF('Net zero activities &amp; levers'!$C$14="On",'Net zero Activity data'!BG77*UDSOEF*NtoN2O*kgtoGg,"ERROR"))</f>
        <v>3.4640571428571423E-2</v>
      </c>
      <c r="AO1147" s="101">
        <f>IF('Net zero activities &amp; levers'!$C$14="Off",'Activity data'!BH77*UDSOEF*NtoN2O*kgtoGg,IF('Net zero activities &amp; levers'!$C$14="On",'Net zero Activity data'!BH77*UDSOEF*NtoN2O*kgtoGg,"ERROR"))</f>
        <v>3.4640571428571423E-2</v>
      </c>
      <c r="AP1147" s="101">
        <f>IF('Net zero activities &amp; levers'!$C$14="Off",'Activity data'!BI77*UDSOEF*NtoN2O*kgtoGg,IF('Net zero activities &amp; levers'!$C$14="On",'Net zero Activity data'!BI77*UDSOEF*NtoN2O*kgtoGg,"ERROR"))</f>
        <v>3.4640571428571423E-2</v>
      </c>
      <c r="AQ1147" s="101">
        <f>IF('Net zero activities &amp; levers'!$C$14="Off",'Activity data'!BJ77*UDSOEF*NtoN2O*kgtoGg,IF('Net zero activities &amp; levers'!$C$14="On",'Net zero Activity data'!BJ77*UDSOEF*NtoN2O*kgtoGg,"ERROR"))</f>
        <v>3.4640571428571423E-2</v>
      </c>
      <c r="AR1147" s="101">
        <f>IF('Net zero activities &amp; levers'!$C$14="Off",'Activity data'!BK77*UDSOEF*NtoN2O*kgtoGg,IF('Net zero activities &amp; levers'!$C$14="On",'Net zero Activity data'!BK77*UDSOEF*NtoN2O*kgtoGg,"ERROR"))</f>
        <v>3.4640571428571423E-2</v>
      </c>
      <c r="AS1147" s="101">
        <f>IF('Net zero activities &amp; levers'!$C$14="Off",'Activity data'!BL77*UDSOEF*NtoN2O*kgtoGg,IF('Net zero activities &amp; levers'!$C$14="On",'Net zero Activity data'!BL77*UDSOEF*NtoN2O*kgtoGg,"ERROR"))</f>
        <v>3.4640571428571423E-2</v>
      </c>
      <c r="AT1147" s="101">
        <f>IF('Net zero activities &amp; levers'!$C$14="Off",'Activity data'!BM77*UDSOEF*NtoN2O*kgtoGg,IF('Net zero activities &amp; levers'!$C$14="On",'Net zero Activity data'!BM77*UDSOEF*NtoN2O*kgtoGg,"ERROR"))</f>
        <v>3.4640571428571423E-2</v>
      </c>
      <c r="AU1147" s="101">
        <f>IF('Net zero activities &amp; levers'!$C$14="Off",'Activity data'!BN77*UDSOEF*NtoN2O*kgtoGg,IF('Net zero activities &amp; levers'!$C$14="On",'Net zero Activity data'!BN77*UDSOEF*NtoN2O*kgtoGg,"ERROR"))</f>
        <v>3.4640571428571423E-2</v>
      </c>
      <c r="AV1147" s="101">
        <f>IF('Net zero activities &amp; levers'!$C$14="Off",'Activity data'!BO77*UDSOEF*NtoN2O*kgtoGg,IF('Net zero activities &amp; levers'!$C$14="On",'Net zero Activity data'!BO77*UDSOEF*NtoN2O*kgtoGg,"ERROR"))</f>
        <v>3.4640571428571423E-2</v>
      </c>
      <c r="AW1147" s="101">
        <f>IF('Net zero activities &amp; levers'!$C$14="Off",'Activity data'!BP77*UDSOEF*NtoN2O*kgtoGg,IF('Net zero activities &amp; levers'!$C$14="On",'Net zero Activity data'!BP77*UDSOEF*NtoN2O*kgtoGg,"ERROR"))</f>
        <v>3.4640571428571423E-2</v>
      </c>
      <c r="AY1147" s="85"/>
    </row>
    <row r="1148" spans="1:51" x14ac:dyDescent="0.25">
      <c r="A1148" s="102" t="str">
        <f t="shared" si="374"/>
        <v>CM U&amp;D</v>
      </c>
      <c r="B1148" s="102" t="s">
        <v>1323</v>
      </c>
      <c r="C1148" s="102" t="s">
        <v>1337</v>
      </c>
      <c r="D1148" t="s">
        <v>369</v>
      </c>
      <c r="E1148" t="s">
        <v>55</v>
      </c>
      <c r="F1148" t="s">
        <v>422</v>
      </c>
      <c r="G1148" t="s">
        <v>1177</v>
      </c>
      <c r="H1148" t="s">
        <v>1253</v>
      </c>
      <c r="I1148" t="s">
        <v>139</v>
      </c>
      <c r="J1148" t="s">
        <v>287</v>
      </c>
      <c r="K1148" s="101">
        <f>IF('Net zero activities &amp; levers'!$C$14="Off",'Activity data'!AD78*UDCPPEF*NtoN2O*kgtoGg,IF('Net zero activities &amp; levers'!$C$14="On",'Net zero Activity data'!AD78*UDCPPEF*NtoN2O*kgtoGg,"ERROR"))</f>
        <v>0</v>
      </c>
      <c r="L1148" s="101">
        <f>IF('Net zero activities &amp; levers'!$C$14="Off",'Activity data'!AE78*UDCPPEF*NtoN2O*kgtoGg,IF('Net zero activities &amp; levers'!$C$14="On",'Net zero Activity data'!AE78*UDCPPEF*NtoN2O*kgtoGg,"ERROR"))</f>
        <v>0</v>
      </c>
      <c r="M1148" s="101">
        <f>IF('Net zero activities &amp; levers'!$C$14="Off",'Activity data'!AF78*UDCPPEF*NtoN2O*kgtoGg,IF('Net zero activities &amp; levers'!$C$14="On",'Net zero Activity data'!AF78*UDCPPEF*NtoN2O*kgtoGg,"ERROR"))</f>
        <v>0</v>
      </c>
      <c r="N1148" s="101">
        <f>IF('Net zero activities &amp; levers'!$C$14="Off",'Activity data'!AG78*UDCPPEF*NtoN2O*kgtoGg,IF('Net zero activities &amp; levers'!$C$14="On",'Net zero Activity data'!AG78*UDCPPEF*NtoN2O*kgtoGg,"ERROR"))</f>
        <v>0</v>
      </c>
      <c r="O1148" s="101">
        <f>IF('Net zero activities &amp; levers'!$C$14="Off",'Activity data'!AH78*UDCPPEF*NtoN2O*kgtoGg,IF('Net zero activities &amp; levers'!$C$14="On",'Net zero Activity data'!AH78*UDCPPEF*NtoN2O*kgtoGg,"ERROR"))</f>
        <v>0</v>
      </c>
      <c r="P1148" s="101">
        <f>IF('Net zero activities &amp; levers'!$C$14="Off",'Activity data'!AI78*UDCPPEF*NtoN2O*kgtoGg,IF('Net zero activities &amp; levers'!$C$14="On",'Net zero Activity data'!AI78*UDCPPEF*NtoN2O*kgtoGg,"ERROR"))</f>
        <v>0</v>
      </c>
      <c r="Q1148" s="101">
        <f>IF('Net zero activities &amp; levers'!$C$14="Off",'Activity data'!AJ78*UDCPPEF*NtoN2O*kgtoGg,IF('Net zero activities &amp; levers'!$C$14="On",'Net zero Activity data'!AJ78*UDCPPEF*NtoN2O*kgtoGg,"ERROR"))</f>
        <v>0</v>
      </c>
      <c r="R1148" s="101">
        <f>IF('Net zero activities &amp; levers'!$C$14="Off",'Activity data'!AK78*UDCPPEF*NtoN2O*kgtoGg,IF('Net zero activities &amp; levers'!$C$14="On",'Net zero Activity data'!AK78*UDCPPEF*NtoN2O*kgtoGg,"ERROR"))</f>
        <v>0</v>
      </c>
      <c r="S1148" s="101">
        <f>IF('Net zero activities &amp; levers'!$C$14="Off",'Activity data'!AL78*UDCPPEF*NtoN2O*kgtoGg,IF('Net zero activities &amp; levers'!$C$14="On",'Net zero Activity data'!AL78*UDCPPEF*NtoN2O*kgtoGg,"ERROR"))</f>
        <v>0</v>
      </c>
      <c r="T1148" s="101">
        <f>IF('Net zero activities &amp; levers'!$C$14="Off",'Activity data'!AM78*UDCPPEF*NtoN2O*kgtoGg,IF('Net zero activities &amp; levers'!$C$14="On",'Net zero Activity data'!AM78*UDCPPEF*NtoN2O*kgtoGg,"ERROR"))</f>
        <v>0</v>
      </c>
      <c r="U1148" s="101">
        <f>IF('Net zero activities &amp; levers'!$C$14="Off",'Activity data'!AN78*UDCPPEF*NtoN2O*kgtoGg,IF('Net zero activities &amp; levers'!$C$14="On",'Net zero Activity data'!AN78*UDCPPEF*NtoN2O*kgtoGg,"ERROR"))</f>
        <v>0</v>
      </c>
      <c r="V1148" s="101">
        <f>IF('Net zero activities &amp; levers'!$C$14="Off",'Activity data'!AO78*UDCPPEF*NtoN2O*kgtoGg,IF('Net zero activities &amp; levers'!$C$14="On",'Net zero Activity data'!AO78*UDCPPEF*NtoN2O*kgtoGg,"ERROR"))</f>
        <v>0</v>
      </c>
      <c r="W1148" s="101">
        <f>IF('Net zero activities &amp; levers'!$C$14="Off",'Activity data'!AP78*UDCPPEF*NtoN2O*kgtoGg,IF('Net zero activities &amp; levers'!$C$14="On",'Net zero Activity data'!AP78*UDCPPEF*NtoN2O*kgtoGg,"ERROR"))</f>
        <v>0</v>
      </c>
      <c r="X1148" s="101">
        <f>IF('Net zero activities &amp; levers'!$C$14="Off",'Activity data'!AQ78*UDCPPEF*NtoN2O*kgtoGg,IF('Net zero activities &amp; levers'!$C$14="On",'Net zero Activity data'!AQ78*UDCPPEF*NtoN2O*kgtoGg,"ERROR"))</f>
        <v>0</v>
      </c>
      <c r="Y1148" s="101">
        <f>IF('Net zero activities &amp; levers'!$C$14="Off",'Activity data'!AR78*UDCPPEF*NtoN2O*kgtoGg,IF('Net zero activities &amp; levers'!$C$14="On",'Net zero Activity data'!AR78*UDCPPEF*NtoN2O*kgtoGg,"ERROR"))</f>
        <v>0</v>
      </c>
      <c r="Z1148" s="101">
        <f>IF('Net zero activities &amp; levers'!$C$14="Off",'Activity data'!AS78*UDCPPEF*NtoN2O*kgtoGg,IF('Net zero activities &amp; levers'!$C$14="On",'Net zero Activity data'!AS78*UDCPPEF*NtoN2O*kgtoGg,"ERROR"))</f>
        <v>0</v>
      </c>
      <c r="AA1148" s="101">
        <f>IF('Net zero activities &amp; levers'!$C$14="Off",'Activity data'!AT78*UDCPPEF*NtoN2O*kgtoGg,IF('Net zero activities &amp; levers'!$C$14="On",'Net zero Activity data'!AT78*UDCPPEF*NtoN2O*kgtoGg,"ERROR"))</f>
        <v>0</v>
      </c>
      <c r="AB1148" s="101">
        <f>IF('Net zero activities &amp; levers'!$C$14="Off",'Activity data'!AU78*UDCPPEF*NtoN2O*kgtoGg,IF('Net zero activities &amp; levers'!$C$14="On",'Net zero Activity data'!AU78*UDCPPEF*NtoN2O*kgtoGg,"ERROR"))</f>
        <v>0</v>
      </c>
      <c r="AC1148" s="101">
        <f>IF('Net zero activities &amp; levers'!$C$14="Off",'Activity data'!AV78*UDCPPEF*NtoN2O*kgtoGg,IF('Net zero activities &amp; levers'!$C$14="On",'Net zero Activity data'!AV78*UDCPPEF*NtoN2O*kgtoGg,"ERROR"))</f>
        <v>0</v>
      </c>
      <c r="AD1148" s="101">
        <f>IF('Net zero activities &amp; levers'!$C$14="Off",'Activity data'!AW78*UDCPPEF*NtoN2O*kgtoGg,IF('Net zero activities &amp; levers'!$C$14="On",'Net zero Activity data'!AW78*UDCPPEF*NtoN2O*kgtoGg,"ERROR"))</f>
        <v>0</v>
      </c>
      <c r="AE1148" s="101">
        <f>IF('Net zero activities &amp; levers'!$C$14="Off",'Activity data'!AX78*UDCPPEF*NtoN2O*kgtoGg,IF('Net zero activities &amp; levers'!$C$14="On",'Net zero Activity data'!AX78*UDCPPEF*NtoN2O*kgtoGg,"ERROR"))</f>
        <v>0</v>
      </c>
      <c r="AF1148" s="101">
        <f>IF('Net zero activities &amp; levers'!$C$14="Off",'Activity data'!AY78*UDCPPEF*NtoN2O*kgtoGg,IF('Net zero activities &amp; levers'!$C$14="On",'Net zero Activity data'!AY78*UDCPPEF*NtoN2O*kgtoGg,"ERROR"))</f>
        <v>0</v>
      </c>
      <c r="AG1148" s="101">
        <f>IF('Net zero activities &amp; levers'!$C$14="Off",'Activity data'!AZ78*UDCPPEF*NtoN2O*kgtoGg,IF('Net zero activities &amp; levers'!$C$14="On",'Net zero Activity data'!AZ78*UDCPPEF*NtoN2O*kgtoGg,"ERROR"))</f>
        <v>0</v>
      </c>
      <c r="AH1148" s="101">
        <f>IF('Net zero activities &amp; levers'!$C$14="Off",'Activity data'!BA78*UDCPPEF*NtoN2O*kgtoGg,IF('Net zero activities &amp; levers'!$C$14="On",'Net zero Activity data'!BA78*UDCPPEF*NtoN2O*kgtoGg,"ERROR"))</f>
        <v>0</v>
      </c>
      <c r="AI1148" s="101">
        <f>IF('Net zero activities &amp; levers'!$C$14="Off",'Activity data'!BB78*UDCPPEF*NtoN2O*kgtoGg,IF('Net zero activities &amp; levers'!$C$14="On",'Net zero Activity data'!BB78*UDCPPEF*NtoN2O*kgtoGg,"ERROR"))</f>
        <v>0</v>
      </c>
      <c r="AJ1148" s="101">
        <f>IF('Net zero activities &amp; levers'!$C$14="Off",'Activity data'!BC78*UDCPPEF*NtoN2O*kgtoGg,IF('Net zero activities &amp; levers'!$C$14="On",'Net zero Activity data'!BC78*UDCPPEF*NtoN2O*kgtoGg,"ERROR"))</f>
        <v>0</v>
      </c>
      <c r="AK1148" s="101">
        <f>IF('Net zero activities &amp; levers'!$C$14="Off",'Activity data'!BD78*UDCPPEF*NtoN2O*kgtoGg,IF('Net zero activities &amp; levers'!$C$14="On",'Net zero Activity data'!BD78*UDCPPEF*NtoN2O*kgtoGg,"ERROR"))</f>
        <v>0</v>
      </c>
      <c r="AL1148" s="101">
        <f>IF('Net zero activities &amp; levers'!$C$14="Off",'Activity data'!BE78*UDCPPEF*NtoN2O*kgtoGg,IF('Net zero activities &amp; levers'!$C$14="On",'Net zero Activity data'!BE78*UDCPPEF*NtoN2O*kgtoGg,"ERROR"))</f>
        <v>0</v>
      </c>
      <c r="AM1148" s="101">
        <f>IF('Net zero activities &amp; levers'!$C$14="Off",'Activity data'!BF78*UDCPPEF*NtoN2O*kgtoGg,IF('Net zero activities &amp; levers'!$C$14="On",'Net zero Activity data'!BF78*UDCPPEF*NtoN2O*kgtoGg,"ERROR"))</f>
        <v>0</v>
      </c>
      <c r="AN1148" s="101">
        <f>IF('Net zero activities &amp; levers'!$C$14="Off",'Activity data'!BG78*UDCPPEF*NtoN2O*kgtoGg,IF('Net zero activities &amp; levers'!$C$14="On",'Net zero Activity data'!BG78*UDCPPEF*NtoN2O*kgtoGg,"ERROR"))</f>
        <v>0</v>
      </c>
      <c r="AO1148" s="101">
        <f>IF('Net zero activities &amp; levers'!$C$14="Off",'Activity data'!BH78*UDCPPEF*NtoN2O*kgtoGg,IF('Net zero activities &amp; levers'!$C$14="On",'Net zero Activity data'!BH78*UDCPPEF*NtoN2O*kgtoGg,"ERROR"))</f>
        <v>0</v>
      </c>
      <c r="AP1148" s="101">
        <f>IF('Net zero activities &amp; levers'!$C$14="Off",'Activity data'!BI78*UDCPPEF*NtoN2O*kgtoGg,IF('Net zero activities &amp; levers'!$C$14="On",'Net zero Activity data'!BI78*UDCPPEF*NtoN2O*kgtoGg,"ERROR"))</f>
        <v>0</v>
      </c>
      <c r="AQ1148" s="101">
        <f>IF('Net zero activities &amp; levers'!$C$14="Off",'Activity data'!BJ78*UDCPPEF*NtoN2O*kgtoGg,IF('Net zero activities &amp; levers'!$C$14="On",'Net zero Activity data'!BJ78*UDCPPEF*NtoN2O*kgtoGg,"ERROR"))</f>
        <v>0</v>
      </c>
      <c r="AR1148" s="101">
        <f>IF('Net zero activities &amp; levers'!$C$14="Off",'Activity data'!BK78*UDCPPEF*NtoN2O*kgtoGg,IF('Net zero activities &amp; levers'!$C$14="On",'Net zero Activity data'!BK78*UDCPPEF*NtoN2O*kgtoGg,"ERROR"))</f>
        <v>0</v>
      </c>
      <c r="AS1148" s="101">
        <f>IF('Net zero activities &amp; levers'!$C$14="Off",'Activity data'!BL78*UDCPPEF*NtoN2O*kgtoGg,IF('Net zero activities &amp; levers'!$C$14="On",'Net zero Activity data'!BL78*UDCPPEF*NtoN2O*kgtoGg,"ERROR"))</f>
        <v>0</v>
      </c>
      <c r="AT1148" s="101">
        <f>IF('Net zero activities &amp; levers'!$C$14="Off",'Activity data'!BM78*UDCPPEF*NtoN2O*kgtoGg,IF('Net zero activities &amp; levers'!$C$14="On",'Net zero Activity data'!BM78*UDCPPEF*NtoN2O*kgtoGg,"ERROR"))</f>
        <v>0</v>
      </c>
      <c r="AU1148" s="101">
        <f>IF('Net zero activities &amp; levers'!$C$14="Off",'Activity data'!BN78*UDCPPEF*NtoN2O*kgtoGg,IF('Net zero activities &amp; levers'!$C$14="On",'Net zero Activity data'!BN78*UDCPPEF*NtoN2O*kgtoGg,"ERROR"))</f>
        <v>0</v>
      </c>
      <c r="AV1148" s="101">
        <f>IF('Net zero activities &amp; levers'!$C$14="Off",'Activity data'!BO78*UDCPPEF*NtoN2O*kgtoGg,IF('Net zero activities &amp; levers'!$C$14="On",'Net zero Activity data'!BO78*UDCPPEF*NtoN2O*kgtoGg,"ERROR"))</f>
        <v>0</v>
      </c>
      <c r="AW1148" s="101">
        <f>IF('Net zero activities &amp; levers'!$C$14="Off",'Activity data'!BP78*UDCPPEF*NtoN2O*kgtoGg,IF('Net zero activities &amp; levers'!$C$14="On",'Net zero Activity data'!BP78*UDCPPEF*NtoN2O*kgtoGg,"ERROR"))</f>
        <v>0</v>
      </c>
      <c r="AY1148" s="85"/>
    </row>
    <row r="1149" spans="1:51" x14ac:dyDescent="0.25">
      <c r="A1149" s="102" t="str">
        <f t="shared" si="374"/>
        <v>CM U&amp;D</v>
      </c>
      <c r="B1149" s="102" t="s">
        <v>1323</v>
      </c>
      <c r="C1149" s="102" t="s">
        <v>1337</v>
      </c>
      <c r="D1149" t="s">
        <v>369</v>
      </c>
      <c r="E1149" t="s">
        <v>55</v>
      </c>
      <c r="F1149" t="s">
        <v>422</v>
      </c>
      <c r="G1149" t="s">
        <v>1179</v>
      </c>
      <c r="H1149" t="s">
        <v>1254</v>
      </c>
      <c r="I1149" t="s">
        <v>139</v>
      </c>
      <c r="J1149" t="s">
        <v>287</v>
      </c>
      <c r="K1149" s="101">
        <f>IF('Net zero activities &amp; levers'!$C$14="Off",'Activity data'!AD79*UDCPPEF*NtoN2O*kgtoGg,IF('Net zero activities &amp; levers'!$C$14="On",'Net zero Activity data'!AD79*UDCPPEF*NtoN2O*kgtoGg,"ERROR"))</f>
        <v>0</v>
      </c>
      <c r="L1149" s="101">
        <f>IF('Net zero activities &amp; levers'!$C$14="Off",'Activity data'!AE79*UDCPPEF*NtoN2O*kgtoGg,IF('Net zero activities &amp; levers'!$C$14="On",'Net zero Activity data'!AE79*UDCPPEF*NtoN2O*kgtoGg,"ERROR"))</f>
        <v>0</v>
      </c>
      <c r="M1149" s="101">
        <f>IF('Net zero activities &amp; levers'!$C$14="Off",'Activity data'!AF79*UDCPPEF*NtoN2O*kgtoGg,IF('Net zero activities &amp; levers'!$C$14="On",'Net zero Activity data'!AF79*UDCPPEF*NtoN2O*kgtoGg,"ERROR"))</f>
        <v>0</v>
      </c>
      <c r="N1149" s="101">
        <f>IF('Net zero activities &amp; levers'!$C$14="Off",'Activity data'!AG79*UDCPPEF*NtoN2O*kgtoGg,IF('Net zero activities &amp; levers'!$C$14="On",'Net zero Activity data'!AG79*UDCPPEF*NtoN2O*kgtoGg,"ERROR"))</f>
        <v>0</v>
      </c>
      <c r="O1149" s="101">
        <f>IF('Net zero activities &amp; levers'!$C$14="Off",'Activity data'!AH79*UDCPPEF*NtoN2O*kgtoGg,IF('Net zero activities &amp; levers'!$C$14="On",'Net zero Activity data'!AH79*UDCPPEF*NtoN2O*kgtoGg,"ERROR"))</f>
        <v>0</v>
      </c>
      <c r="P1149" s="101">
        <f>IF('Net zero activities &amp; levers'!$C$14="Off",'Activity data'!AI79*UDCPPEF*NtoN2O*kgtoGg,IF('Net zero activities &amp; levers'!$C$14="On",'Net zero Activity data'!AI79*UDCPPEF*NtoN2O*kgtoGg,"ERROR"))</f>
        <v>0</v>
      </c>
      <c r="Q1149" s="101">
        <f>IF('Net zero activities &amp; levers'!$C$14="Off",'Activity data'!AJ79*UDCPPEF*NtoN2O*kgtoGg,IF('Net zero activities &amp; levers'!$C$14="On",'Net zero Activity data'!AJ79*UDCPPEF*NtoN2O*kgtoGg,"ERROR"))</f>
        <v>0</v>
      </c>
      <c r="R1149" s="101">
        <f>IF('Net zero activities &amp; levers'!$C$14="Off",'Activity data'!AK79*UDCPPEF*NtoN2O*kgtoGg,IF('Net zero activities &amp; levers'!$C$14="On",'Net zero Activity data'!AK79*UDCPPEF*NtoN2O*kgtoGg,"ERROR"))</f>
        <v>0</v>
      </c>
      <c r="S1149" s="101">
        <f>IF('Net zero activities &amp; levers'!$C$14="Off",'Activity data'!AL79*UDCPPEF*NtoN2O*kgtoGg,IF('Net zero activities &amp; levers'!$C$14="On",'Net zero Activity data'!AL79*UDCPPEF*NtoN2O*kgtoGg,"ERROR"))</f>
        <v>0</v>
      </c>
      <c r="T1149" s="101">
        <f>IF('Net zero activities &amp; levers'!$C$14="Off",'Activity data'!AM79*UDCPPEF*NtoN2O*kgtoGg,IF('Net zero activities &amp; levers'!$C$14="On",'Net zero Activity data'!AM79*UDCPPEF*NtoN2O*kgtoGg,"ERROR"))</f>
        <v>0</v>
      </c>
      <c r="U1149" s="101">
        <f>IF('Net zero activities &amp; levers'!$C$14="Off",'Activity data'!AN79*UDCPPEF*NtoN2O*kgtoGg,IF('Net zero activities &amp; levers'!$C$14="On",'Net zero Activity data'!AN79*UDCPPEF*NtoN2O*kgtoGg,"ERROR"))</f>
        <v>0</v>
      </c>
      <c r="V1149" s="101">
        <f>IF('Net zero activities &amp; levers'!$C$14="Off",'Activity data'!AO79*UDCPPEF*NtoN2O*kgtoGg,IF('Net zero activities &amp; levers'!$C$14="On",'Net zero Activity data'!AO79*UDCPPEF*NtoN2O*kgtoGg,"ERROR"))</f>
        <v>0</v>
      </c>
      <c r="W1149" s="101">
        <f>IF('Net zero activities &amp; levers'!$C$14="Off",'Activity data'!AP79*UDCPPEF*NtoN2O*kgtoGg,IF('Net zero activities &amp; levers'!$C$14="On",'Net zero Activity data'!AP79*UDCPPEF*NtoN2O*kgtoGg,"ERROR"))</f>
        <v>0</v>
      </c>
      <c r="X1149" s="101">
        <f>IF('Net zero activities &amp; levers'!$C$14="Off",'Activity data'!AQ79*UDCPPEF*NtoN2O*kgtoGg,IF('Net zero activities &amp; levers'!$C$14="On",'Net zero Activity data'!AQ79*UDCPPEF*NtoN2O*kgtoGg,"ERROR"))</f>
        <v>0</v>
      </c>
      <c r="Y1149" s="101">
        <f>IF('Net zero activities &amp; levers'!$C$14="Off",'Activity data'!AR79*UDCPPEF*NtoN2O*kgtoGg,IF('Net zero activities &amp; levers'!$C$14="On",'Net zero Activity data'!AR79*UDCPPEF*NtoN2O*kgtoGg,"ERROR"))</f>
        <v>0</v>
      </c>
      <c r="Z1149" s="101">
        <f>IF('Net zero activities &amp; levers'!$C$14="Off",'Activity data'!AS79*UDCPPEF*NtoN2O*kgtoGg,IF('Net zero activities &amp; levers'!$C$14="On",'Net zero Activity data'!AS79*UDCPPEF*NtoN2O*kgtoGg,"ERROR"))</f>
        <v>0</v>
      </c>
      <c r="AA1149" s="101">
        <f>IF('Net zero activities &amp; levers'!$C$14="Off",'Activity data'!AT79*UDCPPEF*NtoN2O*kgtoGg,IF('Net zero activities &amp; levers'!$C$14="On",'Net zero Activity data'!AT79*UDCPPEF*NtoN2O*kgtoGg,"ERROR"))</f>
        <v>0</v>
      </c>
      <c r="AB1149" s="101">
        <f>IF('Net zero activities &amp; levers'!$C$14="Off",'Activity data'!AU79*UDCPPEF*NtoN2O*kgtoGg,IF('Net zero activities &amp; levers'!$C$14="On",'Net zero Activity data'!AU79*UDCPPEF*NtoN2O*kgtoGg,"ERROR"))</f>
        <v>0</v>
      </c>
      <c r="AC1149" s="101">
        <f>IF('Net zero activities &amp; levers'!$C$14="Off",'Activity data'!AV79*UDCPPEF*NtoN2O*kgtoGg,IF('Net zero activities &amp; levers'!$C$14="On",'Net zero Activity data'!AV79*UDCPPEF*NtoN2O*kgtoGg,"ERROR"))</f>
        <v>0</v>
      </c>
      <c r="AD1149" s="101">
        <f>IF('Net zero activities &amp; levers'!$C$14="Off",'Activity data'!AW79*UDCPPEF*NtoN2O*kgtoGg,IF('Net zero activities &amp; levers'!$C$14="On",'Net zero Activity data'!AW79*UDCPPEF*NtoN2O*kgtoGg,"ERROR"))</f>
        <v>0</v>
      </c>
      <c r="AE1149" s="101">
        <f>IF('Net zero activities &amp; levers'!$C$14="Off",'Activity data'!AX79*UDCPPEF*NtoN2O*kgtoGg,IF('Net zero activities &amp; levers'!$C$14="On",'Net zero Activity data'!AX79*UDCPPEF*NtoN2O*kgtoGg,"ERROR"))</f>
        <v>0</v>
      </c>
      <c r="AF1149" s="101">
        <f>IF('Net zero activities &amp; levers'!$C$14="Off",'Activity data'!AY79*UDCPPEF*NtoN2O*kgtoGg,IF('Net zero activities &amp; levers'!$C$14="On",'Net zero Activity data'!AY79*UDCPPEF*NtoN2O*kgtoGg,"ERROR"))</f>
        <v>0</v>
      </c>
      <c r="AG1149" s="101">
        <f>IF('Net zero activities &amp; levers'!$C$14="Off",'Activity data'!AZ79*UDCPPEF*NtoN2O*kgtoGg,IF('Net zero activities &amp; levers'!$C$14="On",'Net zero Activity data'!AZ79*UDCPPEF*NtoN2O*kgtoGg,"ERROR"))</f>
        <v>0</v>
      </c>
      <c r="AH1149" s="101">
        <f>IF('Net zero activities &amp; levers'!$C$14="Off",'Activity data'!BA79*UDCPPEF*NtoN2O*kgtoGg,IF('Net zero activities &amp; levers'!$C$14="On",'Net zero Activity data'!BA79*UDCPPEF*NtoN2O*kgtoGg,"ERROR"))</f>
        <v>0</v>
      </c>
      <c r="AI1149" s="101">
        <f>IF('Net zero activities &amp; levers'!$C$14="Off",'Activity data'!BB79*UDCPPEF*NtoN2O*kgtoGg,IF('Net zero activities &amp; levers'!$C$14="On",'Net zero Activity data'!BB79*UDCPPEF*NtoN2O*kgtoGg,"ERROR"))</f>
        <v>0</v>
      </c>
      <c r="AJ1149" s="101">
        <f>IF('Net zero activities &amp; levers'!$C$14="Off",'Activity data'!BC79*UDCPPEF*NtoN2O*kgtoGg,IF('Net zero activities &amp; levers'!$C$14="On",'Net zero Activity data'!BC79*UDCPPEF*NtoN2O*kgtoGg,"ERROR"))</f>
        <v>0</v>
      </c>
      <c r="AK1149" s="101">
        <f>IF('Net zero activities &amp; levers'!$C$14="Off",'Activity data'!BD79*UDCPPEF*NtoN2O*kgtoGg,IF('Net zero activities &amp; levers'!$C$14="On",'Net zero Activity data'!BD79*UDCPPEF*NtoN2O*kgtoGg,"ERROR"))</f>
        <v>0</v>
      </c>
      <c r="AL1149" s="101">
        <f>IF('Net zero activities &amp; levers'!$C$14="Off",'Activity data'!BE79*UDCPPEF*NtoN2O*kgtoGg,IF('Net zero activities &amp; levers'!$C$14="On",'Net zero Activity data'!BE79*UDCPPEF*NtoN2O*kgtoGg,"ERROR"))</f>
        <v>0</v>
      </c>
      <c r="AM1149" s="101">
        <f>IF('Net zero activities &amp; levers'!$C$14="Off",'Activity data'!BF79*UDCPPEF*NtoN2O*kgtoGg,IF('Net zero activities &amp; levers'!$C$14="On",'Net zero Activity data'!BF79*UDCPPEF*NtoN2O*kgtoGg,"ERROR"))</f>
        <v>0</v>
      </c>
      <c r="AN1149" s="101">
        <f>IF('Net zero activities &amp; levers'!$C$14="Off",'Activity data'!BG79*UDCPPEF*NtoN2O*kgtoGg,IF('Net zero activities &amp; levers'!$C$14="On",'Net zero Activity data'!BG79*UDCPPEF*NtoN2O*kgtoGg,"ERROR"))</f>
        <v>0</v>
      </c>
      <c r="AO1149" s="101">
        <f>IF('Net zero activities &amp; levers'!$C$14="Off",'Activity data'!BH79*UDCPPEF*NtoN2O*kgtoGg,IF('Net zero activities &amp; levers'!$C$14="On",'Net zero Activity data'!BH79*UDCPPEF*NtoN2O*kgtoGg,"ERROR"))</f>
        <v>0</v>
      </c>
      <c r="AP1149" s="101">
        <f>IF('Net zero activities &amp; levers'!$C$14="Off",'Activity data'!BI79*UDCPPEF*NtoN2O*kgtoGg,IF('Net zero activities &amp; levers'!$C$14="On",'Net zero Activity data'!BI79*UDCPPEF*NtoN2O*kgtoGg,"ERROR"))</f>
        <v>0</v>
      </c>
      <c r="AQ1149" s="101">
        <f>IF('Net zero activities &amp; levers'!$C$14="Off",'Activity data'!BJ79*UDCPPEF*NtoN2O*kgtoGg,IF('Net zero activities &amp; levers'!$C$14="On",'Net zero Activity data'!BJ79*UDCPPEF*NtoN2O*kgtoGg,"ERROR"))</f>
        <v>0</v>
      </c>
      <c r="AR1149" s="101">
        <f>IF('Net zero activities &amp; levers'!$C$14="Off",'Activity data'!BK79*UDCPPEF*NtoN2O*kgtoGg,IF('Net zero activities &amp; levers'!$C$14="On",'Net zero Activity data'!BK79*UDCPPEF*NtoN2O*kgtoGg,"ERROR"))</f>
        <v>0</v>
      </c>
      <c r="AS1149" s="101">
        <f>IF('Net zero activities &amp; levers'!$C$14="Off",'Activity data'!BL79*UDCPPEF*NtoN2O*kgtoGg,IF('Net zero activities &amp; levers'!$C$14="On",'Net zero Activity data'!BL79*UDCPPEF*NtoN2O*kgtoGg,"ERROR"))</f>
        <v>0</v>
      </c>
      <c r="AT1149" s="101">
        <f>IF('Net zero activities &amp; levers'!$C$14="Off",'Activity data'!BM79*UDCPPEF*NtoN2O*kgtoGg,IF('Net zero activities &amp; levers'!$C$14="On",'Net zero Activity data'!BM79*UDCPPEF*NtoN2O*kgtoGg,"ERROR"))</f>
        <v>0</v>
      </c>
      <c r="AU1149" s="101">
        <f>IF('Net zero activities &amp; levers'!$C$14="Off",'Activity data'!BN79*UDCPPEF*NtoN2O*kgtoGg,IF('Net zero activities &amp; levers'!$C$14="On",'Net zero Activity data'!BN79*UDCPPEF*NtoN2O*kgtoGg,"ERROR"))</f>
        <v>0</v>
      </c>
      <c r="AV1149" s="101">
        <f>IF('Net zero activities &amp; levers'!$C$14="Off",'Activity data'!BO79*UDCPPEF*NtoN2O*kgtoGg,IF('Net zero activities &amp; levers'!$C$14="On",'Net zero Activity data'!BO79*UDCPPEF*NtoN2O*kgtoGg,"ERROR"))</f>
        <v>0</v>
      </c>
      <c r="AW1149" s="101">
        <f>IF('Net zero activities &amp; levers'!$C$14="Off",'Activity data'!BP79*UDCPPEF*NtoN2O*kgtoGg,IF('Net zero activities &amp; levers'!$C$14="On",'Net zero Activity data'!BP79*UDCPPEF*NtoN2O*kgtoGg,"ERROR"))</f>
        <v>0</v>
      </c>
      <c r="AY1149" s="85"/>
    </row>
    <row r="1150" spans="1:51" x14ac:dyDescent="0.25">
      <c r="A1150" s="102" t="str">
        <f t="shared" si="374"/>
        <v>CM U&amp;D</v>
      </c>
      <c r="B1150" s="102" t="s">
        <v>1323</v>
      </c>
      <c r="C1150" s="102" t="s">
        <v>1337</v>
      </c>
      <c r="D1150" t="s">
        <v>369</v>
      </c>
      <c r="E1150" t="s">
        <v>55</v>
      </c>
      <c r="F1150" t="s">
        <v>422</v>
      </c>
      <c r="G1150" t="s">
        <v>1181</v>
      </c>
      <c r="H1150" t="s">
        <v>1255</v>
      </c>
      <c r="I1150" t="s">
        <v>139</v>
      </c>
      <c r="J1150" t="s">
        <v>287</v>
      </c>
      <c r="K1150" s="101">
        <f>IF('Net zero activities &amp; levers'!$C$14="Off",'Activity data'!AD80*UDCPPEF*NtoN2O*kgtoGg,IF('Net zero activities &amp; levers'!$C$14="On",'Net zero Activity data'!AD80*UDCPPEF*NtoN2O*kgtoGg,"ERROR"))</f>
        <v>0</v>
      </c>
      <c r="L1150" s="101">
        <f>IF('Net zero activities &amp; levers'!$C$14="Off",'Activity data'!AE80*UDCPPEF*NtoN2O*kgtoGg,IF('Net zero activities &amp; levers'!$C$14="On",'Net zero Activity data'!AE80*UDCPPEF*NtoN2O*kgtoGg,"ERROR"))</f>
        <v>0</v>
      </c>
      <c r="M1150" s="101">
        <f>IF('Net zero activities &amp; levers'!$C$14="Off",'Activity data'!AF80*UDCPPEF*NtoN2O*kgtoGg,IF('Net zero activities &amp; levers'!$C$14="On",'Net zero Activity data'!AF80*UDCPPEF*NtoN2O*kgtoGg,"ERROR"))</f>
        <v>0</v>
      </c>
      <c r="N1150" s="101">
        <f>IF('Net zero activities &amp; levers'!$C$14="Off",'Activity data'!AG80*UDCPPEF*NtoN2O*kgtoGg,IF('Net zero activities &amp; levers'!$C$14="On",'Net zero Activity data'!AG80*UDCPPEF*NtoN2O*kgtoGg,"ERROR"))</f>
        <v>0</v>
      </c>
      <c r="O1150" s="101">
        <f>IF('Net zero activities &amp; levers'!$C$14="Off",'Activity data'!AH80*UDCPPEF*NtoN2O*kgtoGg,IF('Net zero activities &amp; levers'!$C$14="On",'Net zero Activity data'!AH80*UDCPPEF*NtoN2O*kgtoGg,"ERROR"))</f>
        <v>0</v>
      </c>
      <c r="P1150" s="101">
        <f>IF('Net zero activities &amp; levers'!$C$14="Off",'Activity data'!AI80*UDCPPEF*NtoN2O*kgtoGg,IF('Net zero activities &amp; levers'!$C$14="On",'Net zero Activity data'!AI80*UDCPPEF*NtoN2O*kgtoGg,"ERROR"))</f>
        <v>0</v>
      </c>
      <c r="Q1150" s="101">
        <f>IF('Net zero activities &amp; levers'!$C$14="Off",'Activity data'!AJ80*UDCPPEF*NtoN2O*kgtoGg,IF('Net zero activities &amp; levers'!$C$14="On",'Net zero Activity data'!AJ80*UDCPPEF*NtoN2O*kgtoGg,"ERROR"))</f>
        <v>0</v>
      </c>
      <c r="R1150" s="101">
        <f>IF('Net zero activities &amp; levers'!$C$14="Off",'Activity data'!AK80*UDCPPEF*NtoN2O*kgtoGg,IF('Net zero activities &amp; levers'!$C$14="On",'Net zero Activity data'!AK80*UDCPPEF*NtoN2O*kgtoGg,"ERROR"))</f>
        <v>0</v>
      </c>
      <c r="S1150" s="101">
        <f>IF('Net zero activities &amp; levers'!$C$14="Off",'Activity data'!AL80*UDCPPEF*NtoN2O*kgtoGg,IF('Net zero activities &amp; levers'!$C$14="On",'Net zero Activity data'!AL80*UDCPPEF*NtoN2O*kgtoGg,"ERROR"))</f>
        <v>0</v>
      </c>
      <c r="T1150" s="101">
        <f>IF('Net zero activities &amp; levers'!$C$14="Off",'Activity data'!AM80*UDCPPEF*NtoN2O*kgtoGg,IF('Net zero activities &amp; levers'!$C$14="On",'Net zero Activity data'!AM80*UDCPPEF*NtoN2O*kgtoGg,"ERROR"))</f>
        <v>0</v>
      </c>
      <c r="U1150" s="101">
        <f>IF('Net zero activities &amp; levers'!$C$14="Off",'Activity data'!AN80*UDCPPEF*NtoN2O*kgtoGg,IF('Net zero activities &amp; levers'!$C$14="On",'Net zero Activity data'!AN80*UDCPPEF*NtoN2O*kgtoGg,"ERROR"))</f>
        <v>0</v>
      </c>
      <c r="V1150" s="101">
        <f>IF('Net zero activities &amp; levers'!$C$14="Off",'Activity data'!AO80*UDCPPEF*NtoN2O*kgtoGg,IF('Net zero activities &amp; levers'!$C$14="On",'Net zero Activity data'!AO80*UDCPPEF*NtoN2O*kgtoGg,"ERROR"))</f>
        <v>0</v>
      </c>
      <c r="W1150" s="101">
        <f>IF('Net zero activities &amp; levers'!$C$14="Off",'Activity data'!AP80*UDCPPEF*NtoN2O*kgtoGg,IF('Net zero activities &amp; levers'!$C$14="On",'Net zero Activity data'!AP80*UDCPPEF*NtoN2O*kgtoGg,"ERROR"))</f>
        <v>0</v>
      </c>
      <c r="X1150" s="101">
        <f>IF('Net zero activities &amp; levers'!$C$14="Off",'Activity data'!AQ80*UDCPPEF*NtoN2O*kgtoGg,IF('Net zero activities &amp; levers'!$C$14="On",'Net zero Activity data'!AQ80*UDCPPEF*NtoN2O*kgtoGg,"ERROR"))</f>
        <v>0</v>
      </c>
      <c r="Y1150" s="101">
        <f>IF('Net zero activities &amp; levers'!$C$14="Off",'Activity data'!AR80*UDCPPEF*NtoN2O*kgtoGg,IF('Net zero activities &amp; levers'!$C$14="On",'Net zero Activity data'!AR80*UDCPPEF*NtoN2O*kgtoGg,"ERROR"))</f>
        <v>0</v>
      </c>
      <c r="Z1150" s="101">
        <f>IF('Net zero activities &amp; levers'!$C$14="Off",'Activity data'!AS80*UDCPPEF*NtoN2O*kgtoGg,IF('Net zero activities &amp; levers'!$C$14="On",'Net zero Activity data'!AS80*UDCPPEF*NtoN2O*kgtoGg,"ERROR"))</f>
        <v>0</v>
      </c>
      <c r="AA1150" s="101">
        <f>IF('Net zero activities &amp; levers'!$C$14="Off",'Activity data'!AT80*UDCPPEF*NtoN2O*kgtoGg,IF('Net zero activities &amp; levers'!$C$14="On",'Net zero Activity data'!AT80*UDCPPEF*NtoN2O*kgtoGg,"ERROR"))</f>
        <v>0</v>
      </c>
      <c r="AB1150" s="101">
        <f>IF('Net zero activities &amp; levers'!$C$14="Off",'Activity data'!AU80*UDCPPEF*NtoN2O*kgtoGg,IF('Net zero activities &amp; levers'!$C$14="On",'Net zero Activity data'!AU80*UDCPPEF*NtoN2O*kgtoGg,"ERROR"))</f>
        <v>0</v>
      </c>
      <c r="AC1150" s="101">
        <f>IF('Net zero activities &amp; levers'!$C$14="Off",'Activity data'!AV80*UDCPPEF*NtoN2O*kgtoGg,IF('Net zero activities &amp; levers'!$C$14="On",'Net zero Activity data'!AV80*UDCPPEF*NtoN2O*kgtoGg,"ERROR"))</f>
        <v>0</v>
      </c>
      <c r="AD1150" s="101">
        <f>IF('Net zero activities &amp; levers'!$C$14="Off",'Activity data'!AW80*UDCPPEF*NtoN2O*kgtoGg,IF('Net zero activities &amp; levers'!$C$14="On",'Net zero Activity data'!AW80*UDCPPEF*NtoN2O*kgtoGg,"ERROR"))</f>
        <v>0</v>
      </c>
      <c r="AE1150" s="101">
        <f>IF('Net zero activities &amp; levers'!$C$14="Off",'Activity data'!AX80*UDCPPEF*NtoN2O*kgtoGg,IF('Net zero activities &amp; levers'!$C$14="On",'Net zero Activity data'!AX80*UDCPPEF*NtoN2O*kgtoGg,"ERROR"))</f>
        <v>0</v>
      </c>
      <c r="AF1150" s="101">
        <f>IF('Net zero activities &amp; levers'!$C$14="Off",'Activity data'!AY80*UDCPPEF*NtoN2O*kgtoGg,IF('Net zero activities &amp; levers'!$C$14="On",'Net zero Activity data'!AY80*UDCPPEF*NtoN2O*kgtoGg,"ERROR"))</f>
        <v>0</v>
      </c>
      <c r="AG1150" s="101">
        <f>IF('Net zero activities &amp; levers'!$C$14="Off",'Activity data'!AZ80*UDCPPEF*NtoN2O*kgtoGg,IF('Net zero activities &amp; levers'!$C$14="On",'Net zero Activity data'!AZ80*UDCPPEF*NtoN2O*kgtoGg,"ERROR"))</f>
        <v>0</v>
      </c>
      <c r="AH1150" s="101">
        <f>IF('Net zero activities &amp; levers'!$C$14="Off",'Activity data'!BA80*UDCPPEF*NtoN2O*kgtoGg,IF('Net zero activities &amp; levers'!$C$14="On",'Net zero Activity data'!BA80*UDCPPEF*NtoN2O*kgtoGg,"ERROR"))</f>
        <v>0</v>
      </c>
      <c r="AI1150" s="101">
        <f>IF('Net zero activities &amp; levers'!$C$14="Off",'Activity data'!BB80*UDCPPEF*NtoN2O*kgtoGg,IF('Net zero activities &amp; levers'!$C$14="On",'Net zero Activity data'!BB80*UDCPPEF*NtoN2O*kgtoGg,"ERROR"))</f>
        <v>0</v>
      </c>
      <c r="AJ1150" s="101">
        <f>IF('Net zero activities &amp; levers'!$C$14="Off",'Activity data'!BC80*UDCPPEF*NtoN2O*kgtoGg,IF('Net zero activities &amp; levers'!$C$14="On",'Net zero Activity data'!BC80*UDCPPEF*NtoN2O*kgtoGg,"ERROR"))</f>
        <v>0</v>
      </c>
      <c r="AK1150" s="101">
        <f>IF('Net zero activities &amp; levers'!$C$14="Off",'Activity data'!BD80*UDCPPEF*NtoN2O*kgtoGg,IF('Net zero activities &amp; levers'!$C$14="On",'Net zero Activity data'!BD80*UDCPPEF*NtoN2O*kgtoGg,"ERROR"))</f>
        <v>0</v>
      </c>
      <c r="AL1150" s="101">
        <f>IF('Net zero activities &amp; levers'!$C$14="Off",'Activity data'!BE80*UDCPPEF*NtoN2O*kgtoGg,IF('Net zero activities &amp; levers'!$C$14="On",'Net zero Activity data'!BE80*UDCPPEF*NtoN2O*kgtoGg,"ERROR"))</f>
        <v>0</v>
      </c>
      <c r="AM1150" s="101">
        <f>IF('Net zero activities &amp; levers'!$C$14="Off",'Activity data'!BF80*UDCPPEF*NtoN2O*kgtoGg,IF('Net zero activities &amp; levers'!$C$14="On",'Net zero Activity data'!BF80*UDCPPEF*NtoN2O*kgtoGg,"ERROR"))</f>
        <v>0</v>
      </c>
      <c r="AN1150" s="101">
        <f>IF('Net zero activities &amp; levers'!$C$14="Off",'Activity data'!BG80*UDCPPEF*NtoN2O*kgtoGg,IF('Net zero activities &amp; levers'!$C$14="On",'Net zero Activity data'!BG80*UDCPPEF*NtoN2O*kgtoGg,"ERROR"))</f>
        <v>0</v>
      </c>
      <c r="AO1150" s="101">
        <f>IF('Net zero activities &amp; levers'!$C$14="Off",'Activity data'!BH80*UDCPPEF*NtoN2O*kgtoGg,IF('Net zero activities &amp; levers'!$C$14="On",'Net zero Activity data'!BH80*UDCPPEF*NtoN2O*kgtoGg,"ERROR"))</f>
        <v>0</v>
      </c>
      <c r="AP1150" s="101">
        <f>IF('Net zero activities &amp; levers'!$C$14="Off",'Activity data'!BI80*UDCPPEF*NtoN2O*kgtoGg,IF('Net zero activities &amp; levers'!$C$14="On",'Net zero Activity data'!BI80*UDCPPEF*NtoN2O*kgtoGg,"ERROR"))</f>
        <v>0</v>
      </c>
      <c r="AQ1150" s="101">
        <f>IF('Net zero activities &amp; levers'!$C$14="Off",'Activity data'!BJ80*UDCPPEF*NtoN2O*kgtoGg,IF('Net zero activities &amp; levers'!$C$14="On",'Net zero Activity data'!BJ80*UDCPPEF*NtoN2O*kgtoGg,"ERROR"))</f>
        <v>0</v>
      </c>
      <c r="AR1150" s="101">
        <f>IF('Net zero activities &amp; levers'!$C$14="Off",'Activity data'!BK80*UDCPPEF*NtoN2O*kgtoGg,IF('Net zero activities &amp; levers'!$C$14="On",'Net zero Activity data'!BK80*UDCPPEF*NtoN2O*kgtoGg,"ERROR"))</f>
        <v>0</v>
      </c>
      <c r="AS1150" s="101">
        <f>IF('Net zero activities &amp; levers'!$C$14="Off",'Activity data'!BL80*UDCPPEF*NtoN2O*kgtoGg,IF('Net zero activities &amp; levers'!$C$14="On",'Net zero Activity data'!BL80*UDCPPEF*NtoN2O*kgtoGg,"ERROR"))</f>
        <v>0</v>
      </c>
      <c r="AT1150" s="101">
        <f>IF('Net zero activities &amp; levers'!$C$14="Off",'Activity data'!BM80*UDCPPEF*NtoN2O*kgtoGg,IF('Net zero activities &amp; levers'!$C$14="On",'Net zero Activity data'!BM80*UDCPPEF*NtoN2O*kgtoGg,"ERROR"))</f>
        <v>0</v>
      </c>
      <c r="AU1150" s="101">
        <f>IF('Net zero activities &amp; levers'!$C$14="Off",'Activity data'!BN80*UDCPPEF*NtoN2O*kgtoGg,IF('Net zero activities &amp; levers'!$C$14="On",'Net zero Activity data'!BN80*UDCPPEF*NtoN2O*kgtoGg,"ERROR"))</f>
        <v>0</v>
      </c>
      <c r="AV1150" s="101">
        <f>IF('Net zero activities &amp; levers'!$C$14="Off",'Activity data'!BO80*UDCPPEF*NtoN2O*kgtoGg,IF('Net zero activities &amp; levers'!$C$14="On",'Net zero Activity data'!BO80*UDCPPEF*NtoN2O*kgtoGg,"ERROR"))</f>
        <v>0</v>
      </c>
      <c r="AW1150" s="101">
        <f>IF('Net zero activities &amp; levers'!$C$14="Off",'Activity data'!BP80*UDCPPEF*NtoN2O*kgtoGg,IF('Net zero activities &amp; levers'!$C$14="On",'Net zero Activity data'!BP80*UDCPPEF*NtoN2O*kgtoGg,"ERROR"))</f>
        <v>0</v>
      </c>
      <c r="AY1150" s="85"/>
    </row>
    <row r="1151" spans="1:51" x14ac:dyDescent="0.25">
      <c r="A1151" s="102" t="str">
        <f t="shared" si="374"/>
        <v>CM U&amp;D</v>
      </c>
      <c r="B1151" s="102" t="s">
        <v>1323</v>
      </c>
      <c r="C1151" s="102" t="s">
        <v>1337</v>
      </c>
      <c r="D1151" t="s">
        <v>369</v>
      </c>
      <c r="E1151" t="s">
        <v>55</v>
      </c>
      <c r="F1151" t="s">
        <v>422</v>
      </c>
      <c r="G1151" t="s">
        <v>1183</v>
      </c>
      <c r="H1151" t="s">
        <v>1256</v>
      </c>
      <c r="I1151" t="s">
        <v>139</v>
      </c>
      <c r="J1151" t="s">
        <v>287</v>
      </c>
      <c r="K1151" s="101">
        <f>IF('Net zero activities &amp; levers'!$C$14="Off",'Activity data'!AD81*UDCPPEF*NtoN2O*kgtoGg,IF('Net zero activities &amp; levers'!$C$14="On",'Net zero Activity data'!AD81*UDCPPEF*NtoN2O*kgtoGg,"ERROR"))</f>
        <v>0</v>
      </c>
      <c r="L1151" s="101">
        <f>IF('Net zero activities &amp; levers'!$C$14="Off",'Activity data'!AE81*UDCPPEF*NtoN2O*kgtoGg,IF('Net zero activities &amp; levers'!$C$14="On",'Net zero Activity data'!AE81*UDCPPEF*NtoN2O*kgtoGg,"ERROR"))</f>
        <v>0</v>
      </c>
      <c r="M1151" s="101">
        <f>IF('Net zero activities &amp; levers'!$C$14="Off",'Activity data'!AF81*UDCPPEF*NtoN2O*kgtoGg,IF('Net zero activities &amp; levers'!$C$14="On",'Net zero Activity data'!AF81*UDCPPEF*NtoN2O*kgtoGg,"ERROR"))</f>
        <v>0</v>
      </c>
      <c r="N1151" s="101">
        <f>IF('Net zero activities &amp; levers'!$C$14="Off",'Activity data'!AG81*UDCPPEF*NtoN2O*kgtoGg,IF('Net zero activities &amp; levers'!$C$14="On",'Net zero Activity data'!AG81*UDCPPEF*NtoN2O*kgtoGg,"ERROR"))</f>
        <v>0</v>
      </c>
      <c r="O1151" s="101">
        <f>IF('Net zero activities &amp; levers'!$C$14="Off",'Activity data'!AH81*UDCPPEF*NtoN2O*kgtoGg,IF('Net zero activities &amp; levers'!$C$14="On",'Net zero Activity data'!AH81*UDCPPEF*NtoN2O*kgtoGg,"ERROR"))</f>
        <v>0</v>
      </c>
      <c r="P1151" s="101">
        <f>IF('Net zero activities &amp; levers'!$C$14="Off",'Activity data'!AI81*UDCPPEF*NtoN2O*kgtoGg,IF('Net zero activities &amp; levers'!$C$14="On",'Net zero Activity data'!AI81*UDCPPEF*NtoN2O*kgtoGg,"ERROR"))</f>
        <v>0</v>
      </c>
      <c r="Q1151" s="101">
        <f>IF('Net zero activities &amp; levers'!$C$14="Off",'Activity data'!AJ81*UDCPPEF*NtoN2O*kgtoGg,IF('Net zero activities &amp; levers'!$C$14="On",'Net zero Activity data'!AJ81*UDCPPEF*NtoN2O*kgtoGg,"ERROR"))</f>
        <v>0</v>
      </c>
      <c r="R1151" s="101">
        <f>IF('Net zero activities &amp; levers'!$C$14="Off",'Activity data'!AK81*UDCPPEF*NtoN2O*kgtoGg,IF('Net zero activities &amp; levers'!$C$14="On",'Net zero Activity data'!AK81*UDCPPEF*NtoN2O*kgtoGg,"ERROR"))</f>
        <v>0</v>
      </c>
      <c r="S1151" s="101">
        <f>IF('Net zero activities &amp; levers'!$C$14="Off",'Activity data'!AL81*UDCPPEF*NtoN2O*kgtoGg,IF('Net zero activities &amp; levers'!$C$14="On",'Net zero Activity data'!AL81*UDCPPEF*NtoN2O*kgtoGg,"ERROR"))</f>
        <v>0</v>
      </c>
      <c r="T1151" s="101">
        <f>IF('Net zero activities &amp; levers'!$C$14="Off",'Activity data'!AM81*UDCPPEF*NtoN2O*kgtoGg,IF('Net zero activities &amp; levers'!$C$14="On",'Net zero Activity data'!AM81*UDCPPEF*NtoN2O*kgtoGg,"ERROR"))</f>
        <v>0</v>
      </c>
      <c r="U1151" s="101">
        <f>IF('Net zero activities &amp; levers'!$C$14="Off",'Activity data'!AN81*UDCPPEF*NtoN2O*kgtoGg,IF('Net zero activities &amp; levers'!$C$14="On",'Net zero Activity data'!AN81*UDCPPEF*NtoN2O*kgtoGg,"ERROR"))</f>
        <v>0</v>
      </c>
      <c r="V1151" s="101">
        <f>IF('Net zero activities &amp; levers'!$C$14="Off",'Activity data'!AO81*UDCPPEF*NtoN2O*kgtoGg,IF('Net zero activities &amp; levers'!$C$14="On",'Net zero Activity data'!AO81*UDCPPEF*NtoN2O*kgtoGg,"ERROR"))</f>
        <v>0</v>
      </c>
      <c r="W1151" s="101">
        <f>IF('Net zero activities &amp; levers'!$C$14="Off",'Activity data'!AP81*UDCPPEF*NtoN2O*kgtoGg,IF('Net zero activities &amp; levers'!$C$14="On",'Net zero Activity data'!AP81*UDCPPEF*NtoN2O*kgtoGg,"ERROR"))</f>
        <v>0</v>
      </c>
      <c r="X1151" s="101">
        <f>IF('Net zero activities &amp; levers'!$C$14="Off",'Activity data'!AQ81*UDCPPEF*NtoN2O*kgtoGg,IF('Net zero activities &amp; levers'!$C$14="On",'Net zero Activity data'!AQ81*UDCPPEF*NtoN2O*kgtoGg,"ERROR"))</f>
        <v>0</v>
      </c>
      <c r="Y1151" s="101">
        <f>IF('Net zero activities &amp; levers'!$C$14="Off",'Activity data'!AR81*UDCPPEF*NtoN2O*kgtoGg,IF('Net zero activities &amp; levers'!$C$14="On",'Net zero Activity data'!AR81*UDCPPEF*NtoN2O*kgtoGg,"ERROR"))</f>
        <v>0</v>
      </c>
      <c r="Z1151" s="101">
        <f>IF('Net zero activities &amp; levers'!$C$14="Off",'Activity data'!AS81*UDCPPEF*NtoN2O*kgtoGg,IF('Net zero activities &amp; levers'!$C$14="On",'Net zero Activity data'!AS81*UDCPPEF*NtoN2O*kgtoGg,"ERROR"))</f>
        <v>0</v>
      </c>
      <c r="AA1151" s="101">
        <f>IF('Net zero activities &amp; levers'!$C$14="Off",'Activity data'!AT81*UDCPPEF*NtoN2O*kgtoGg,IF('Net zero activities &amp; levers'!$C$14="On",'Net zero Activity data'!AT81*UDCPPEF*NtoN2O*kgtoGg,"ERROR"))</f>
        <v>0</v>
      </c>
      <c r="AB1151" s="101">
        <f>IF('Net zero activities &amp; levers'!$C$14="Off",'Activity data'!AU81*UDCPPEF*NtoN2O*kgtoGg,IF('Net zero activities &amp; levers'!$C$14="On",'Net zero Activity data'!AU81*UDCPPEF*NtoN2O*kgtoGg,"ERROR"))</f>
        <v>0</v>
      </c>
      <c r="AC1151" s="101">
        <f>IF('Net zero activities &amp; levers'!$C$14="Off",'Activity data'!AV81*UDCPPEF*NtoN2O*kgtoGg,IF('Net zero activities &amp; levers'!$C$14="On",'Net zero Activity data'!AV81*UDCPPEF*NtoN2O*kgtoGg,"ERROR"))</f>
        <v>0</v>
      </c>
      <c r="AD1151" s="101">
        <f>IF('Net zero activities &amp; levers'!$C$14="Off",'Activity data'!AW81*UDCPPEF*NtoN2O*kgtoGg,IF('Net zero activities &amp; levers'!$C$14="On",'Net zero Activity data'!AW81*UDCPPEF*NtoN2O*kgtoGg,"ERROR"))</f>
        <v>0</v>
      </c>
      <c r="AE1151" s="101">
        <f>IF('Net zero activities &amp; levers'!$C$14="Off",'Activity data'!AX81*UDCPPEF*NtoN2O*kgtoGg,IF('Net zero activities &amp; levers'!$C$14="On",'Net zero Activity data'!AX81*UDCPPEF*NtoN2O*kgtoGg,"ERROR"))</f>
        <v>0</v>
      </c>
      <c r="AF1151" s="101">
        <f>IF('Net zero activities &amp; levers'!$C$14="Off",'Activity data'!AY81*UDCPPEF*NtoN2O*kgtoGg,IF('Net zero activities &amp; levers'!$C$14="On",'Net zero Activity data'!AY81*UDCPPEF*NtoN2O*kgtoGg,"ERROR"))</f>
        <v>0</v>
      </c>
      <c r="AG1151" s="101">
        <f>IF('Net zero activities &amp; levers'!$C$14="Off",'Activity data'!AZ81*UDCPPEF*NtoN2O*kgtoGg,IF('Net zero activities &amp; levers'!$C$14="On",'Net zero Activity data'!AZ81*UDCPPEF*NtoN2O*kgtoGg,"ERROR"))</f>
        <v>0</v>
      </c>
      <c r="AH1151" s="101">
        <f>IF('Net zero activities &amp; levers'!$C$14="Off",'Activity data'!BA81*UDCPPEF*NtoN2O*kgtoGg,IF('Net zero activities &amp; levers'!$C$14="On",'Net zero Activity data'!BA81*UDCPPEF*NtoN2O*kgtoGg,"ERROR"))</f>
        <v>0</v>
      </c>
      <c r="AI1151" s="101">
        <f>IF('Net zero activities &amp; levers'!$C$14="Off",'Activity data'!BB81*UDCPPEF*NtoN2O*kgtoGg,IF('Net zero activities &amp; levers'!$C$14="On",'Net zero Activity data'!BB81*UDCPPEF*NtoN2O*kgtoGg,"ERROR"))</f>
        <v>0</v>
      </c>
      <c r="AJ1151" s="101">
        <f>IF('Net zero activities &amp; levers'!$C$14="Off",'Activity data'!BC81*UDCPPEF*NtoN2O*kgtoGg,IF('Net zero activities &amp; levers'!$C$14="On",'Net zero Activity data'!BC81*UDCPPEF*NtoN2O*kgtoGg,"ERROR"))</f>
        <v>0</v>
      </c>
      <c r="AK1151" s="101">
        <f>IF('Net zero activities &amp; levers'!$C$14="Off",'Activity data'!BD81*UDCPPEF*NtoN2O*kgtoGg,IF('Net zero activities &amp; levers'!$C$14="On",'Net zero Activity data'!BD81*UDCPPEF*NtoN2O*kgtoGg,"ERROR"))</f>
        <v>0</v>
      </c>
      <c r="AL1151" s="101">
        <f>IF('Net zero activities &amp; levers'!$C$14="Off",'Activity data'!BE81*UDCPPEF*NtoN2O*kgtoGg,IF('Net zero activities &amp; levers'!$C$14="On",'Net zero Activity data'!BE81*UDCPPEF*NtoN2O*kgtoGg,"ERROR"))</f>
        <v>0</v>
      </c>
      <c r="AM1151" s="101">
        <f>IF('Net zero activities &amp; levers'!$C$14="Off",'Activity data'!BF81*UDCPPEF*NtoN2O*kgtoGg,IF('Net zero activities &amp; levers'!$C$14="On",'Net zero Activity data'!BF81*UDCPPEF*NtoN2O*kgtoGg,"ERROR"))</f>
        <v>0</v>
      </c>
      <c r="AN1151" s="101">
        <f>IF('Net zero activities &amp; levers'!$C$14="Off",'Activity data'!BG81*UDCPPEF*NtoN2O*kgtoGg,IF('Net zero activities &amp; levers'!$C$14="On",'Net zero Activity data'!BG81*UDCPPEF*NtoN2O*kgtoGg,"ERROR"))</f>
        <v>0</v>
      </c>
      <c r="AO1151" s="101">
        <f>IF('Net zero activities &amp; levers'!$C$14="Off",'Activity data'!BH81*UDCPPEF*NtoN2O*kgtoGg,IF('Net zero activities &amp; levers'!$C$14="On",'Net zero Activity data'!BH81*UDCPPEF*NtoN2O*kgtoGg,"ERROR"))</f>
        <v>0</v>
      </c>
      <c r="AP1151" s="101">
        <f>IF('Net zero activities &amp; levers'!$C$14="Off",'Activity data'!BI81*UDCPPEF*NtoN2O*kgtoGg,IF('Net zero activities &amp; levers'!$C$14="On",'Net zero Activity data'!BI81*UDCPPEF*NtoN2O*kgtoGg,"ERROR"))</f>
        <v>0</v>
      </c>
      <c r="AQ1151" s="101">
        <f>IF('Net zero activities &amp; levers'!$C$14="Off",'Activity data'!BJ81*UDCPPEF*NtoN2O*kgtoGg,IF('Net zero activities &amp; levers'!$C$14="On",'Net zero Activity data'!BJ81*UDCPPEF*NtoN2O*kgtoGg,"ERROR"))</f>
        <v>0</v>
      </c>
      <c r="AR1151" s="101">
        <f>IF('Net zero activities &amp; levers'!$C$14="Off",'Activity data'!BK81*UDCPPEF*NtoN2O*kgtoGg,IF('Net zero activities &amp; levers'!$C$14="On",'Net zero Activity data'!BK81*UDCPPEF*NtoN2O*kgtoGg,"ERROR"))</f>
        <v>0</v>
      </c>
      <c r="AS1151" s="101">
        <f>IF('Net zero activities &amp; levers'!$C$14="Off",'Activity data'!BL81*UDCPPEF*NtoN2O*kgtoGg,IF('Net zero activities &amp; levers'!$C$14="On",'Net zero Activity data'!BL81*UDCPPEF*NtoN2O*kgtoGg,"ERROR"))</f>
        <v>0</v>
      </c>
      <c r="AT1151" s="101">
        <f>IF('Net zero activities &amp; levers'!$C$14="Off",'Activity data'!BM81*UDCPPEF*NtoN2O*kgtoGg,IF('Net zero activities &amp; levers'!$C$14="On",'Net zero Activity data'!BM81*UDCPPEF*NtoN2O*kgtoGg,"ERROR"))</f>
        <v>0</v>
      </c>
      <c r="AU1151" s="101">
        <f>IF('Net zero activities &amp; levers'!$C$14="Off",'Activity data'!BN81*UDCPPEF*NtoN2O*kgtoGg,IF('Net zero activities &amp; levers'!$C$14="On",'Net zero Activity data'!BN81*UDCPPEF*NtoN2O*kgtoGg,"ERROR"))</f>
        <v>0</v>
      </c>
      <c r="AV1151" s="101">
        <f>IF('Net zero activities &amp; levers'!$C$14="Off",'Activity data'!BO81*UDCPPEF*NtoN2O*kgtoGg,IF('Net zero activities &amp; levers'!$C$14="On",'Net zero Activity data'!BO81*UDCPPEF*NtoN2O*kgtoGg,"ERROR"))</f>
        <v>0</v>
      </c>
      <c r="AW1151" s="101">
        <f>IF('Net zero activities &amp; levers'!$C$14="Off",'Activity data'!BP81*UDCPPEF*NtoN2O*kgtoGg,IF('Net zero activities &amp; levers'!$C$14="On",'Net zero Activity data'!BP81*UDCPPEF*NtoN2O*kgtoGg,"ERROR"))</f>
        <v>0</v>
      </c>
      <c r="AY1151" s="85"/>
    </row>
    <row r="1152" spans="1:51" x14ac:dyDescent="0.25">
      <c r="A1152" s="102" t="str">
        <f t="shared" si="374"/>
        <v>CM FSOM</v>
      </c>
      <c r="B1152" s="102" t="s">
        <v>1323</v>
      </c>
      <c r="C1152" s="102" t="s">
        <v>60</v>
      </c>
      <c r="D1152" t="s">
        <v>369</v>
      </c>
      <c r="E1152" t="s">
        <v>55</v>
      </c>
      <c r="F1152" t="s">
        <v>60</v>
      </c>
      <c r="G1152" t="s">
        <v>1267</v>
      </c>
      <c r="H1152" t="s">
        <v>1268</v>
      </c>
      <c r="J1152" t="s">
        <v>287</v>
      </c>
      <c r="K1152" s="22" t="str">
        <f>K1498</f>
        <v>NO</v>
      </c>
      <c r="L1152" s="22" t="str">
        <f t="shared" ref="L1152:AW1159" si="377">L1498</f>
        <v>NO</v>
      </c>
      <c r="M1152" s="22" t="str">
        <f t="shared" si="377"/>
        <v>NO</v>
      </c>
      <c r="N1152" s="22" t="str">
        <f t="shared" si="377"/>
        <v>NO</v>
      </c>
      <c r="O1152" s="22" t="str">
        <f t="shared" si="377"/>
        <v>NO</v>
      </c>
      <c r="P1152" s="22" t="str">
        <f t="shared" si="377"/>
        <v>NO</v>
      </c>
      <c r="Q1152" s="22" t="str">
        <f t="shared" si="377"/>
        <v>NO</v>
      </c>
      <c r="R1152" s="22" t="str">
        <f t="shared" si="377"/>
        <v>NO</v>
      </c>
      <c r="S1152" s="22" t="str">
        <f t="shared" si="377"/>
        <v>NO</v>
      </c>
      <c r="T1152" s="22" t="str">
        <f t="shared" si="377"/>
        <v>NO</v>
      </c>
      <c r="U1152" s="22" t="str">
        <f t="shared" si="377"/>
        <v>NO</v>
      </c>
      <c r="V1152" s="22" t="str">
        <f t="shared" si="377"/>
        <v>NO</v>
      </c>
      <c r="W1152" s="22" t="str">
        <f t="shared" si="377"/>
        <v>NO</v>
      </c>
      <c r="X1152" s="22" t="str">
        <f t="shared" si="377"/>
        <v>NO</v>
      </c>
      <c r="Y1152" s="22" t="str">
        <f t="shared" si="377"/>
        <v>NO</v>
      </c>
      <c r="Z1152" s="22" t="str">
        <f t="shared" si="377"/>
        <v>NO</v>
      </c>
      <c r="AA1152" s="22" t="str">
        <f t="shared" si="377"/>
        <v>NO</v>
      </c>
      <c r="AB1152" s="22" t="str">
        <f t="shared" si="377"/>
        <v>NO</v>
      </c>
      <c r="AC1152" s="22" t="str">
        <f t="shared" si="377"/>
        <v>NO</v>
      </c>
      <c r="AD1152" s="22" t="str">
        <f t="shared" si="377"/>
        <v>NO</v>
      </c>
      <c r="AE1152" s="22" t="str">
        <f t="shared" si="377"/>
        <v>NO</v>
      </c>
      <c r="AF1152" s="22" t="str">
        <f t="shared" si="377"/>
        <v>NO</v>
      </c>
      <c r="AG1152" s="22" t="str">
        <f t="shared" si="377"/>
        <v>NO</v>
      </c>
      <c r="AH1152" s="22" t="str">
        <f t="shared" si="377"/>
        <v>NO</v>
      </c>
      <c r="AI1152" s="22" t="str">
        <f t="shared" si="377"/>
        <v>NO</v>
      </c>
      <c r="AJ1152" s="22" t="str">
        <f t="shared" si="377"/>
        <v>NO</v>
      </c>
      <c r="AK1152" s="22" t="str">
        <f t="shared" si="377"/>
        <v>NO</v>
      </c>
      <c r="AL1152" s="22" t="str">
        <f t="shared" si="377"/>
        <v>NO</v>
      </c>
      <c r="AM1152" s="22" t="str">
        <f t="shared" si="377"/>
        <v>NO</v>
      </c>
      <c r="AN1152" s="22" t="str">
        <f t="shared" si="377"/>
        <v>NO</v>
      </c>
      <c r="AO1152" s="22" t="str">
        <f t="shared" si="377"/>
        <v>NO</v>
      </c>
      <c r="AP1152" s="22" t="str">
        <f t="shared" si="377"/>
        <v>NO</v>
      </c>
      <c r="AQ1152" s="22" t="str">
        <f t="shared" si="377"/>
        <v>NO</v>
      </c>
      <c r="AR1152" s="22" t="str">
        <f t="shared" si="377"/>
        <v>NO</v>
      </c>
      <c r="AS1152" s="22" t="str">
        <f t="shared" si="377"/>
        <v>NO</v>
      </c>
      <c r="AT1152" s="22" t="str">
        <f t="shared" si="377"/>
        <v>NO</v>
      </c>
      <c r="AU1152" s="22" t="str">
        <f t="shared" si="377"/>
        <v>NO</v>
      </c>
      <c r="AV1152" s="22" t="str">
        <f t="shared" si="377"/>
        <v>NO</v>
      </c>
      <c r="AW1152" s="22" t="str">
        <f t="shared" si="377"/>
        <v>NO</v>
      </c>
      <c r="AY1152" s="85"/>
    </row>
    <row r="1153" spans="1:51" x14ac:dyDescent="0.25">
      <c r="A1153" s="102" t="str">
        <f t="shared" si="374"/>
        <v>CM FSOM</v>
      </c>
      <c r="B1153" s="102" t="s">
        <v>1323</v>
      </c>
      <c r="C1153" s="102" t="s">
        <v>60</v>
      </c>
      <c r="D1153" t="s">
        <v>369</v>
      </c>
      <c r="E1153" t="s">
        <v>55</v>
      </c>
      <c r="F1153" t="s">
        <v>60</v>
      </c>
      <c r="G1153" t="s">
        <v>1269</v>
      </c>
      <c r="H1153" t="s">
        <v>1270</v>
      </c>
      <c r="J1153" t="s">
        <v>287</v>
      </c>
      <c r="K1153" s="22" t="str">
        <f t="shared" ref="K1153:Z1163" si="378">K1499</f>
        <v>NO</v>
      </c>
      <c r="L1153" s="22" t="str">
        <f t="shared" si="378"/>
        <v>NO</v>
      </c>
      <c r="M1153" s="22" t="str">
        <f t="shared" si="378"/>
        <v>NO</v>
      </c>
      <c r="N1153" s="22" t="str">
        <f t="shared" si="378"/>
        <v>NO</v>
      </c>
      <c r="O1153" s="22" t="str">
        <f t="shared" si="378"/>
        <v>NO</v>
      </c>
      <c r="P1153" s="22" t="str">
        <f t="shared" si="378"/>
        <v>NO</v>
      </c>
      <c r="Q1153" s="22" t="str">
        <f t="shared" si="378"/>
        <v>NO</v>
      </c>
      <c r="R1153" s="22" t="str">
        <f t="shared" si="378"/>
        <v>NO</v>
      </c>
      <c r="S1153" s="22" t="str">
        <f t="shared" si="378"/>
        <v>NO</v>
      </c>
      <c r="T1153" s="22" t="str">
        <f t="shared" si="378"/>
        <v>NO</v>
      </c>
      <c r="U1153" s="22" t="str">
        <f t="shared" si="378"/>
        <v>NO</v>
      </c>
      <c r="V1153" s="22" t="str">
        <f t="shared" si="378"/>
        <v>NO</v>
      </c>
      <c r="W1153" s="22" t="str">
        <f t="shared" si="378"/>
        <v>NO</v>
      </c>
      <c r="X1153" s="22" t="str">
        <f t="shared" si="378"/>
        <v>NO</v>
      </c>
      <c r="Y1153" s="22" t="str">
        <f t="shared" si="378"/>
        <v>NO</v>
      </c>
      <c r="Z1153" s="22" t="str">
        <f t="shared" si="378"/>
        <v>NO</v>
      </c>
      <c r="AA1153" s="22" t="str">
        <f t="shared" si="377"/>
        <v>NO</v>
      </c>
      <c r="AB1153" s="22" t="str">
        <f t="shared" si="377"/>
        <v>NO</v>
      </c>
      <c r="AC1153" s="22" t="str">
        <f t="shared" si="377"/>
        <v>NO</v>
      </c>
      <c r="AD1153" s="22" t="str">
        <f t="shared" si="377"/>
        <v>NO</v>
      </c>
      <c r="AE1153" s="22" t="str">
        <f t="shared" si="377"/>
        <v>NO</v>
      </c>
      <c r="AF1153" s="22" t="str">
        <f t="shared" si="377"/>
        <v>NO</v>
      </c>
      <c r="AG1153" s="22" t="str">
        <f t="shared" si="377"/>
        <v>NO</v>
      </c>
      <c r="AH1153" s="22" t="str">
        <f t="shared" si="377"/>
        <v>NO</v>
      </c>
      <c r="AI1153" s="22" t="str">
        <f t="shared" si="377"/>
        <v>NO</v>
      </c>
      <c r="AJ1153" s="22" t="str">
        <f t="shared" si="377"/>
        <v>NO</v>
      </c>
      <c r="AK1153" s="22" t="str">
        <f t="shared" si="377"/>
        <v>NO</v>
      </c>
      <c r="AL1153" s="22" t="str">
        <f t="shared" si="377"/>
        <v>NO</v>
      </c>
      <c r="AM1153" s="22" t="str">
        <f t="shared" si="377"/>
        <v>NO</v>
      </c>
      <c r="AN1153" s="22" t="str">
        <f t="shared" si="377"/>
        <v>NO</v>
      </c>
      <c r="AO1153" s="22" t="str">
        <f t="shared" si="377"/>
        <v>NO</v>
      </c>
      <c r="AP1153" s="22" t="str">
        <f t="shared" si="377"/>
        <v>NO</v>
      </c>
      <c r="AQ1153" s="22" t="str">
        <f t="shared" si="377"/>
        <v>NO</v>
      </c>
      <c r="AR1153" s="22" t="str">
        <f t="shared" si="377"/>
        <v>NO</v>
      </c>
      <c r="AS1153" s="22" t="str">
        <f t="shared" si="377"/>
        <v>NO</v>
      </c>
      <c r="AT1153" s="22" t="str">
        <f t="shared" si="377"/>
        <v>NO</v>
      </c>
      <c r="AU1153" s="22" t="str">
        <f t="shared" si="377"/>
        <v>NO</v>
      </c>
      <c r="AV1153" s="22" t="str">
        <f t="shared" si="377"/>
        <v>NO</v>
      </c>
      <c r="AW1153" s="22" t="str">
        <f t="shared" si="377"/>
        <v>NO</v>
      </c>
      <c r="AY1153" s="85"/>
    </row>
    <row r="1154" spans="1:51" x14ac:dyDescent="0.25">
      <c r="A1154" s="102" t="str">
        <f t="shared" si="374"/>
        <v>CM FSOM</v>
      </c>
      <c r="B1154" s="102" t="s">
        <v>1323</v>
      </c>
      <c r="C1154" s="102" t="s">
        <v>60</v>
      </c>
      <c r="D1154" t="s">
        <v>369</v>
      </c>
      <c r="E1154" t="s">
        <v>55</v>
      </c>
      <c r="F1154" t="s">
        <v>60</v>
      </c>
      <c r="G1154" t="s">
        <v>1271</v>
      </c>
      <c r="H1154" t="s">
        <v>1272</v>
      </c>
      <c r="J1154" t="s">
        <v>287</v>
      </c>
      <c r="K1154" s="22">
        <f t="shared" si="378"/>
        <v>3.4398813895090996E-3</v>
      </c>
      <c r="L1154" s="22">
        <f t="shared" si="377"/>
        <v>3.4358310252377683E-3</v>
      </c>
      <c r="M1154" s="22">
        <f t="shared" si="377"/>
        <v>3.4317806609664363E-3</v>
      </c>
      <c r="N1154" s="22">
        <f t="shared" si="377"/>
        <v>3.4277302966951037E-3</v>
      </c>
      <c r="O1154" s="22">
        <f t="shared" si="377"/>
        <v>3.4236799324237725E-3</v>
      </c>
      <c r="P1154" s="22">
        <f t="shared" si="377"/>
        <v>3.4196295681524396E-3</v>
      </c>
      <c r="Q1154" s="22">
        <f t="shared" si="377"/>
        <v>3.4155792038811079E-3</v>
      </c>
      <c r="R1154" s="22">
        <f t="shared" si="377"/>
        <v>3.4115288396097763E-3</v>
      </c>
      <c r="S1154" s="22">
        <f t="shared" si="377"/>
        <v>3.4074784753384451E-3</v>
      </c>
      <c r="T1154" s="22">
        <f t="shared" si="377"/>
        <v>3.4034281110671134E-3</v>
      </c>
      <c r="U1154" s="22">
        <f t="shared" si="377"/>
        <v>3.39937774679578E-3</v>
      </c>
      <c r="V1154" s="22">
        <f t="shared" si="377"/>
        <v>3.3953273825244488E-3</v>
      </c>
      <c r="W1154" s="22">
        <f t="shared" si="377"/>
        <v>3.3912770182531172E-3</v>
      </c>
      <c r="X1154" s="22">
        <f t="shared" si="377"/>
        <v>3.387226653981786E-3</v>
      </c>
      <c r="Y1154" s="22">
        <f t="shared" si="377"/>
        <v>3.3831762897104547E-3</v>
      </c>
      <c r="Z1154" s="22">
        <f t="shared" si="377"/>
        <v>3.3791259254391218E-3</v>
      </c>
      <c r="AA1154" s="22">
        <f t="shared" si="377"/>
        <v>3.375075561167791E-3</v>
      </c>
      <c r="AB1154" s="22">
        <f t="shared" si="377"/>
        <v>3.3710251968964585E-3</v>
      </c>
      <c r="AC1154" s="22">
        <f t="shared" si="377"/>
        <v>3.3669748326251273E-3</v>
      </c>
      <c r="AD1154" s="22">
        <f t="shared" si="377"/>
        <v>3.3629244683537943E-3</v>
      </c>
      <c r="AE1154" s="22">
        <f t="shared" si="377"/>
        <v>3.358874104082464E-3</v>
      </c>
      <c r="AF1154" s="22">
        <f t="shared" si="377"/>
        <v>3.3548237398111319E-3</v>
      </c>
      <c r="AG1154" s="22">
        <f t="shared" si="377"/>
        <v>3.3507733755397998E-3</v>
      </c>
      <c r="AH1154" s="22">
        <f t="shared" si="377"/>
        <v>3.3467230112684673E-3</v>
      </c>
      <c r="AI1154" s="22">
        <f t="shared" si="377"/>
        <v>3.3426726469971361E-3</v>
      </c>
      <c r="AJ1154" s="22">
        <f t="shared" si="377"/>
        <v>3.3386222827258044E-3</v>
      </c>
      <c r="AK1154" s="22">
        <f t="shared" si="377"/>
        <v>3.3345719184544728E-3</v>
      </c>
      <c r="AL1154" s="22">
        <f t="shared" si="377"/>
        <v>3.3305215541831416E-3</v>
      </c>
      <c r="AM1154" s="22">
        <f t="shared" si="377"/>
        <v>3.3264711899118095E-3</v>
      </c>
      <c r="AN1154" s="22">
        <f t="shared" si="377"/>
        <v>3.3224208256404765E-3</v>
      </c>
      <c r="AO1154" s="22">
        <f t="shared" si="377"/>
        <v>3.3183704613691458E-3</v>
      </c>
      <c r="AP1154" s="22">
        <f t="shared" si="377"/>
        <v>3.3143200970978137E-3</v>
      </c>
      <c r="AQ1154" s="22">
        <f t="shared" si="377"/>
        <v>3.3102697328264833E-3</v>
      </c>
      <c r="AR1154" s="22">
        <f t="shared" si="377"/>
        <v>3.3062193685551499E-3</v>
      </c>
      <c r="AS1154" s="22">
        <f t="shared" si="377"/>
        <v>3.3021690042838187E-3</v>
      </c>
      <c r="AT1154" s="22">
        <f t="shared" si="377"/>
        <v>3.2981186400124866E-3</v>
      </c>
      <c r="AU1154" s="22">
        <f t="shared" si="377"/>
        <v>3.2940682757411541E-3</v>
      </c>
      <c r="AV1154" s="22">
        <f t="shared" si="377"/>
        <v>3.2900179114698229E-3</v>
      </c>
      <c r="AW1154" s="22">
        <f t="shared" si="377"/>
        <v>3.2859675471984908E-3</v>
      </c>
      <c r="AY1154" s="85"/>
    </row>
    <row r="1155" spans="1:51" x14ac:dyDescent="0.25">
      <c r="A1155" s="102" t="str">
        <f t="shared" si="374"/>
        <v>CM FSOM</v>
      </c>
      <c r="B1155" s="102" t="s">
        <v>1323</v>
      </c>
      <c r="C1155" s="102" t="s">
        <v>60</v>
      </c>
      <c r="D1155" t="s">
        <v>369</v>
      </c>
      <c r="E1155" t="s">
        <v>55</v>
      </c>
      <c r="F1155" t="s">
        <v>60</v>
      </c>
      <c r="G1155" t="s">
        <v>1273</v>
      </c>
      <c r="H1155" t="s">
        <v>1274</v>
      </c>
      <c r="J1155" t="s">
        <v>287</v>
      </c>
      <c r="K1155" s="22">
        <f t="shared" si="378"/>
        <v>0.49020960547040615</v>
      </c>
      <c r="L1155" s="22">
        <f t="shared" si="377"/>
        <v>0.49134551154341793</v>
      </c>
      <c r="M1155" s="22">
        <f t="shared" si="377"/>
        <v>0.49248141761642988</v>
      </c>
      <c r="N1155" s="22">
        <f t="shared" si="377"/>
        <v>0.49361732368944172</v>
      </c>
      <c r="O1155" s="22">
        <f t="shared" si="377"/>
        <v>0.49475322976245356</v>
      </c>
      <c r="P1155" s="22">
        <f t="shared" si="377"/>
        <v>0.49588913583546534</v>
      </c>
      <c r="Q1155" s="22">
        <f t="shared" si="377"/>
        <v>0.49702504190847724</v>
      </c>
      <c r="R1155" s="22">
        <f t="shared" si="377"/>
        <v>0.49816094798148913</v>
      </c>
      <c r="S1155" s="22">
        <f t="shared" si="377"/>
        <v>0.49929685405450086</v>
      </c>
      <c r="T1155" s="22">
        <f t="shared" si="377"/>
        <v>0.50043276012751292</v>
      </c>
      <c r="U1155" s="22">
        <f t="shared" si="377"/>
        <v>0.50156866620052454</v>
      </c>
      <c r="V1155" s="22">
        <f t="shared" si="377"/>
        <v>0.50270457227353649</v>
      </c>
      <c r="W1155" s="22">
        <f t="shared" si="377"/>
        <v>0.50384047834654833</v>
      </c>
      <c r="X1155" s="22">
        <f t="shared" si="377"/>
        <v>0.50497638441956039</v>
      </c>
      <c r="Y1155" s="22">
        <f t="shared" si="377"/>
        <v>0.506112290492572</v>
      </c>
      <c r="Z1155" s="22">
        <f t="shared" si="377"/>
        <v>0.50724819656558406</v>
      </c>
      <c r="AA1155" s="22">
        <f t="shared" si="377"/>
        <v>0.50838410263859568</v>
      </c>
      <c r="AB1155" s="22">
        <f t="shared" si="377"/>
        <v>0.50952000871160763</v>
      </c>
      <c r="AC1155" s="22">
        <f t="shared" si="377"/>
        <v>0.51065591478461958</v>
      </c>
      <c r="AD1155" s="22">
        <f t="shared" si="377"/>
        <v>0.51179182085763142</v>
      </c>
      <c r="AE1155" s="22">
        <f t="shared" si="377"/>
        <v>0.51292772693064326</v>
      </c>
      <c r="AF1155" s="22">
        <f t="shared" si="377"/>
        <v>0.5140636330036551</v>
      </c>
      <c r="AG1155" s="22">
        <f t="shared" si="377"/>
        <v>0.51519953907666705</v>
      </c>
      <c r="AH1155" s="22">
        <f t="shared" si="377"/>
        <v>0.51633544514967877</v>
      </c>
      <c r="AI1155" s="22">
        <f t="shared" si="377"/>
        <v>0.51747135122269072</v>
      </c>
      <c r="AJ1155" s="22">
        <f t="shared" si="377"/>
        <v>0.51860725729570256</v>
      </c>
      <c r="AK1155" s="22">
        <f t="shared" si="377"/>
        <v>0.5197431633687144</v>
      </c>
      <c r="AL1155" s="22">
        <f t="shared" si="377"/>
        <v>0.52087906944172624</v>
      </c>
      <c r="AM1155" s="22">
        <f t="shared" si="377"/>
        <v>0.52201497551473808</v>
      </c>
      <c r="AN1155" s="22">
        <f t="shared" si="377"/>
        <v>0.52315088158774992</v>
      </c>
      <c r="AO1155" s="22">
        <f t="shared" si="377"/>
        <v>0.52428678766076187</v>
      </c>
      <c r="AP1155" s="22">
        <f t="shared" si="377"/>
        <v>0.52542269373377359</v>
      </c>
      <c r="AQ1155" s="22">
        <f t="shared" si="377"/>
        <v>0.52655859980678543</v>
      </c>
      <c r="AR1155" s="22">
        <f t="shared" si="377"/>
        <v>0.52769450587979749</v>
      </c>
      <c r="AS1155" s="22">
        <f t="shared" si="377"/>
        <v>0.52883041195280922</v>
      </c>
      <c r="AT1155" s="22">
        <f t="shared" si="377"/>
        <v>0.52996631802582106</v>
      </c>
      <c r="AU1155" s="22">
        <f t="shared" si="377"/>
        <v>0.53110222409883301</v>
      </c>
      <c r="AV1155" s="22">
        <f t="shared" si="377"/>
        <v>0.53223813017184474</v>
      </c>
      <c r="AW1155" s="22">
        <f t="shared" si="377"/>
        <v>0.5333740362448568</v>
      </c>
      <c r="AY1155" s="85"/>
    </row>
    <row r="1156" spans="1:51" x14ac:dyDescent="0.25">
      <c r="A1156" s="102" t="str">
        <f t="shared" si="374"/>
        <v>CM FSOM</v>
      </c>
      <c r="B1156" s="102" t="s">
        <v>1323</v>
      </c>
      <c r="C1156" s="102" t="s">
        <v>60</v>
      </c>
      <c r="D1156" t="s">
        <v>369</v>
      </c>
      <c r="E1156" t="s">
        <v>55</v>
      </c>
      <c r="F1156" t="s">
        <v>60</v>
      </c>
      <c r="G1156" t="s">
        <v>1275</v>
      </c>
      <c r="H1156" t="s">
        <v>1276</v>
      </c>
      <c r="J1156" t="s">
        <v>287</v>
      </c>
      <c r="K1156" s="22">
        <f t="shared" si="378"/>
        <v>0.57597220909378744</v>
      </c>
      <c r="L1156" s="22">
        <f t="shared" si="377"/>
        <v>0.57597220909378744</v>
      </c>
      <c r="M1156" s="22">
        <f t="shared" si="377"/>
        <v>0.57597220909378744</v>
      </c>
      <c r="N1156" s="22">
        <f t="shared" si="377"/>
        <v>0.57597220909378744</v>
      </c>
      <c r="O1156" s="22">
        <f t="shared" si="377"/>
        <v>0.57597220909378744</v>
      </c>
      <c r="P1156" s="22">
        <f t="shared" si="377"/>
        <v>0.57597220909378744</v>
      </c>
      <c r="Q1156" s="22">
        <f t="shared" si="377"/>
        <v>0.57597220909378744</v>
      </c>
      <c r="R1156" s="22">
        <f t="shared" si="377"/>
        <v>0.57597220909378744</v>
      </c>
      <c r="S1156" s="22">
        <f t="shared" si="377"/>
        <v>0.57597220909378744</v>
      </c>
      <c r="T1156" s="22">
        <f t="shared" si="377"/>
        <v>0.57597220909378744</v>
      </c>
      <c r="U1156" s="22">
        <f t="shared" si="377"/>
        <v>0.57597220909378744</v>
      </c>
      <c r="V1156" s="22">
        <f t="shared" si="377"/>
        <v>0.57597220909378744</v>
      </c>
      <c r="W1156" s="22">
        <f t="shared" si="377"/>
        <v>0.57597220909378744</v>
      </c>
      <c r="X1156" s="22">
        <f t="shared" si="377"/>
        <v>0.57597220909378744</v>
      </c>
      <c r="Y1156" s="22">
        <f t="shared" si="377"/>
        <v>0.57597220909378744</v>
      </c>
      <c r="Z1156" s="22">
        <f t="shared" si="377"/>
        <v>0.57597220909378744</v>
      </c>
      <c r="AA1156" s="22">
        <f t="shared" si="377"/>
        <v>0.57597220909378744</v>
      </c>
      <c r="AB1156" s="22">
        <f t="shared" si="377"/>
        <v>0.57597220909378744</v>
      </c>
      <c r="AC1156" s="22">
        <f t="shared" si="377"/>
        <v>0.57597220909378744</v>
      </c>
      <c r="AD1156" s="22">
        <f t="shared" si="377"/>
        <v>0.57597220909378744</v>
      </c>
      <c r="AE1156" s="22">
        <f t="shared" si="377"/>
        <v>0.57597220909378744</v>
      </c>
      <c r="AF1156" s="22">
        <f t="shared" si="377"/>
        <v>0.57597220909378744</v>
      </c>
      <c r="AG1156" s="22">
        <f t="shared" si="377"/>
        <v>0.57597220909378744</v>
      </c>
      <c r="AH1156" s="22">
        <f t="shared" si="377"/>
        <v>0.57597220909378744</v>
      </c>
      <c r="AI1156" s="22">
        <f t="shared" si="377"/>
        <v>0.57597220909378744</v>
      </c>
      <c r="AJ1156" s="22">
        <f t="shared" si="377"/>
        <v>0.57597220909378744</v>
      </c>
      <c r="AK1156" s="22">
        <f t="shared" si="377"/>
        <v>0.57597220909378744</v>
      </c>
      <c r="AL1156" s="22">
        <f t="shared" si="377"/>
        <v>0.57597220909378744</v>
      </c>
      <c r="AM1156" s="22">
        <f t="shared" si="377"/>
        <v>0.57597220909378744</v>
      </c>
      <c r="AN1156" s="22">
        <f t="shared" si="377"/>
        <v>0.57597220909378744</v>
      </c>
      <c r="AO1156" s="22">
        <f t="shared" si="377"/>
        <v>0.57597220909378744</v>
      </c>
      <c r="AP1156" s="22">
        <f t="shared" si="377"/>
        <v>0.57597220909378744</v>
      </c>
      <c r="AQ1156" s="22">
        <f t="shared" si="377"/>
        <v>0.57597220909378744</v>
      </c>
      <c r="AR1156" s="22">
        <f t="shared" si="377"/>
        <v>0.57597220909378744</v>
      </c>
      <c r="AS1156" s="22">
        <f t="shared" si="377"/>
        <v>0.57597220909378744</v>
      </c>
      <c r="AT1156" s="22">
        <f t="shared" si="377"/>
        <v>0.57597220909378744</v>
      </c>
      <c r="AU1156" s="22">
        <f t="shared" si="377"/>
        <v>0.57597220909378744</v>
      </c>
      <c r="AV1156" s="22">
        <f t="shared" si="377"/>
        <v>0.57597220909378744</v>
      </c>
      <c r="AW1156" s="22">
        <f t="shared" si="377"/>
        <v>0.57597220909378744</v>
      </c>
      <c r="AY1156" s="85"/>
    </row>
    <row r="1157" spans="1:51" x14ac:dyDescent="0.25">
      <c r="A1157" s="102" t="str">
        <f t="shared" si="374"/>
        <v>CM FSOM</v>
      </c>
      <c r="B1157" s="102" t="s">
        <v>1323</v>
      </c>
      <c r="C1157" s="102" t="s">
        <v>60</v>
      </c>
      <c r="D1157" t="s">
        <v>369</v>
      </c>
      <c r="E1157" t="s">
        <v>55</v>
      </c>
      <c r="F1157" t="s">
        <v>60</v>
      </c>
      <c r="G1157" t="s">
        <v>1277</v>
      </c>
      <c r="H1157" t="s">
        <v>1278</v>
      </c>
      <c r="J1157" t="s">
        <v>287</v>
      </c>
      <c r="K1157" s="22" t="str">
        <f t="shared" si="378"/>
        <v>NO</v>
      </c>
      <c r="L1157" s="22" t="str">
        <f t="shared" si="377"/>
        <v>NO</v>
      </c>
      <c r="M1157" s="22" t="str">
        <f t="shared" si="377"/>
        <v>NO</v>
      </c>
      <c r="N1157" s="22" t="str">
        <f t="shared" si="377"/>
        <v>NO</v>
      </c>
      <c r="O1157" s="22" t="str">
        <f t="shared" si="377"/>
        <v>NO</v>
      </c>
      <c r="P1157" s="22" t="str">
        <f t="shared" si="377"/>
        <v>NO</v>
      </c>
      <c r="Q1157" s="22" t="str">
        <f t="shared" si="377"/>
        <v>NO</v>
      </c>
      <c r="R1157" s="22" t="str">
        <f t="shared" si="377"/>
        <v>NO</v>
      </c>
      <c r="S1157" s="22" t="str">
        <f t="shared" si="377"/>
        <v>NO</v>
      </c>
      <c r="T1157" s="22" t="str">
        <f t="shared" si="377"/>
        <v>NO</v>
      </c>
      <c r="U1157" s="22" t="str">
        <f t="shared" si="377"/>
        <v>NO</v>
      </c>
      <c r="V1157" s="22" t="str">
        <f t="shared" si="377"/>
        <v>NO</v>
      </c>
      <c r="W1157" s="22" t="str">
        <f t="shared" si="377"/>
        <v>NO</v>
      </c>
      <c r="X1157" s="22" t="str">
        <f t="shared" si="377"/>
        <v>NO</v>
      </c>
      <c r="Y1157" s="22" t="str">
        <f t="shared" si="377"/>
        <v>NO</v>
      </c>
      <c r="Z1157" s="22" t="str">
        <f t="shared" si="377"/>
        <v>NO</v>
      </c>
      <c r="AA1157" s="22" t="str">
        <f t="shared" si="377"/>
        <v>NO</v>
      </c>
      <c r="AB1157" s="22" t="str">
        <f t="shared" si="377"/>
        <v>NO</v>
      </c>
      <c r="AC1157" s="22" t="str">
        <f t="shared" si="377"/>
        <v>NO</v>
      </c>
      <c r="AD1157" s="22" t="str">
        <f t="shared" si="377"/>
        <v>NO</v>
      </c>
      <c r="AE1157" s="22" t="str">
        <f t="shared" si="377"/>
        <v>NO</v>
      </c>
      <c r="AF1157" s="22" t="str">
        <f t="shared" si="377"/>
        <v>NO</v>
      </c>
      <c r="AG1157" s="22" t="str">
        <f t="shared" si="377"/>
        <v>NO</v>
      </c>
      <c r="AH1157" s="22" t="str">
        <f t="shared" si="377"/>
        <v>NO</v>
      </c>
      <c r="AI1157" s="22" t="str">
        <f t="shared" si="377"/>
        <v>NO</v>
      </c>
      <c r="AJ1157" s="22" t="str">
        <f t="shared" si="377"/>
        <v>NO</v>
      </c>
      <c r="AK1157" s="22" t="str">
        <f t="shared" si="377"/>
        <v>NO</v>
      </c>
      <c r="AL1157" s="22" t="str">
        <f t="shared" si="377"/>
        <v>NO</v>
      </c>
      <c r="AM1157" s="22" t="str">
        <f t="shared" si="377"/>
        <v>NO</v>
      </c>
      <c r="AN1157" s="22" t="str">
        <f t="shared" si="377"/>
        <v>NO</v>
      </c>
      <c r="AO1157" s="22" t="str">
        <f t="shared" si="377"/>
        <v>NO</v>
      </c>
      <c r="AP1157" s="22" t="str">
        <f t="shared" si="377"/>
        <v>NO</v>
      </c>
      <c r="AQ1157" s="22" t="str">
        <f t="shared" si="377"/>
        <v>NO</v>
      </c>
      <c r="AR1157" s="22" t="str">
        <f t="shared" si="377"/>
        <v>NO</v>
      </c>
      <c r="AS1157" s="22" t="str">
        <f t="shared" si="377"/>
        <v>NO</v>
      </c>
      <c r="AT1157" s="22" t="str">
        <f t="shared" si="377"/>
        <v>NO</v>
      </c>
      <c r="AU1157" s="22" t="str">
        <f t="shared" si="377"/>
        <v>NO</v>
      </c>
      <c r="AV1157" s="22" t="str">
        <f t="shared" si="377"/>
        <v>NO</v>
      </c>
      <c r="AW1157" s="22" t="str">
        <f t="shared" si="377"/>
        <v>NO</v>
      </c>
      <c r="AY1157" s="85"/>
    </row>
    <row r="1158" spans="1:51" x14ac:dyDescent="0.25">
      <c r="A1158" s="102" t="str">
        <f t="shared" si="374"/>
        <v>CM FSOM</v>
      </c>
      <c r="B1158" s="102" t="s">
        <v>1323</v>
      </c>
      <c r="C1158" s="102" t="s">
        <v>60</v>
      </c>
      <c r="D1158" t="s">
        <v>369</v>
      </c>
      <c r="E1158" t="s">
        <v>55</v>
      </c>
      <c r="F1158" t="s">
        <v>60</v>
      </c>
      <c r="G1158" t="s">
        <v>1279</v>
      </c>
      <c r="H1158" t="s">
        <v>1280</v>
      </c>
      <c r="J1158" t="s">
        <v>287</v>
      </c>
      <c r="K1158" s="22" t="str">
        <f t="shared" si="378"/>
        <v>NO</v>
      </c>
      <c r="L1158" s="22" t="str">
        <f t="shared" si="377"/>
        <v>NO</v>
      </c>
      <c r="M1158" s="22" t="str">
        <f t="shared" si="377"/>
        <v>NO</v>
      </c>
      <c r="N1158" s="22" t="str">
        <f t="shared" si="377"/>
        <v>NO</v>
      </c>
      <c r="O1158" s="22" t="str">
        <f t="shared" si="377"/>
        <v>NO</v>
      </c>
      <c r="P1158" s="22" t="str">
        <f t="shared" si="377"/>
        <v>NO</v>
      </c>
      <c r="Q1158" s="22" t="str">
        <f t="shared" si="377"/>
        <v>NO</v>
      </c>
      <c r="R1158" s="22" t="str">
        <f t="shared" si="377"/>
        <v>NO</v>
      </c>
      <c r="S1158" s="22" t="str">
        <f t="shared" si="377"/>
        <v>NO</v>
      </c>
      <c r="T1158" s="22" t="str">
        <f t="shared" si="377"/>
        <v>NO</v>
      </c>
      <c r="U1158" s="22" t="str">
        <f t="shared" si="377"/>
        <v>NO</v>
      </c>
      <c r="V1158" s="22" t="str">
        <f t="shared" si="377"/>
        <v>NO</v>
      </c>
      <c r="W1158" s="22" t="str">
        <f t="shared" si="377"/>
        <v>NO</v>
      </c>
      <c r="X1158" s="22" t="str">
        <f t="shared" si="377"/>
        <v>NO</v>
      </c>
      <c r="Y1158" s="22" t="str">
        <f t="shared" si="377"/>
        <v>NO</v>
      </c>
      <c r="Z1158" s="22" t="str">
        <f t="shared" si="377"/>
        <v>NO</v>
      </c>
      <c r="AA1158" s="22" t="str">
        <f t="shared" si="377"/>
        <v>NO</v>
      </c>
      <c r="AB1158" s="22" t="str">
        <f t="shared" si="377"/>
        <v>NO</v>
      </c>
      <c r="AC1158" s="22" t="str">
        <f t="shared" si="377"/>
        <v>NO</v>
      </c>
      <c r="AD1158" s="22" t="str">
        <f t="shared" si="377"/>
        <v>NO</v>
      </c>
      <c r="AE1158" s="22" t="str">
        <f t="shared" si="377"/>
        <v>NO</v>
      </c>
      <c r="AF1158" s="22" t="str">
        <f t="shared" si="377"/>
        <v>NO</v>
      </c>
      <c r="AG1158" s="22" t="str">
        <f t="shared" si="377"/>
        <v>NO</v>
      </c>
      <c r="AH1158" s="22" t="str">
        <f t="shared" si="377"/>
        <v>NO</v>
      </c>
      <c r="AI1158" s="22" t="str">
        <f t="shared" si="377"/>
        <v>NO</v>
      </c>
      <c r="AJ1158" s="22" t="str">
        <f t="shared" si="377"/>
        <v>NO</v>
      </c>
      <c r="AK1158" s="22" t="str">
        <f t="shared" si="377"/>
        <v>NO</v>
      </c>
      <c r="AL1158" s="22" t="str">
        <f t="shared" si="377"/>
        <v>NO</v>
      </c>
      <c r="AM1158" s="22" t="str">
        <f t="shared" si="377"/>
        <v>NO</v>
      </c>
      <c r="AN1158" s="22" t="str">
        <f t="shared" si="377"/>
        <v>NO</v>
      </c>
      <c r="AO1158" s="22" t="str">
        <f t="shared" si="377"/>
        <v>NO</v>
      </c>
      <c r="AP1158" s="22" t="str">
        <f t="shared" si="377"/>
        <v>NO</v>
      </c>
      <c r="AQ1158" s="22" t="str">
        <f t="shared" si="377"/>
        <v>NO</v>
      </c>
      <c r="AR1158" s="22" t="str">
        <f t="shared" si="377"/>
        <v>NO</v>
      </c>
      <c r="AS1158" s="22" t="str">
        <f t="shared" si="377"/>
        <v>NO</v>
      </c>
      <c r="AT1158" s="22" t="str">
        <f t="shared" si="377"/>
        <v>NO</v>
      </c>
      <c r="AU1158" s="22" t="str">
        <f t="shared" si="377"/>
        <v>NO</v>
      </c>
      <c r="AV1158" s="22" t="str">
        <f t="shared" si="377"/>
        <v>NO</v>
      </c>
      <c r="AW1158" s="22" t="str">
        <f t="shared" si="377"/>
        <v>NO</v>
      </c>
      <c r="AY1158" s="85"/>
    </row>
    <row r="1159" spans="1:51" x14ac:dyDescent="0.25">
      <c r="A1159" s="102" t="str">
        <f t="shared" si="374"/>
        <v>CM FSOM</v>
      </c>
      <c r="B1159" s="102" t="s">
        <v>1323</v>
      </c>
      <c r="C1159" s="102" t="s">
        <v>60</v>
      </c>
      <c r="D1159" t="s">
        <v>369</v>
      </c>
      <c r="E1159" t="s">
        <v>55</v>
      </c>
      <c r="F1159" t="s">
        <v>60</v>
      </c>
      <c r="G1159" t="s">
        <v>1281</v>
      </c>
      <c r="H1159" t="s">
        <v>1282</v>
      </c>
      <c r="J1159" t="s">
        <v>287</v>
      </c>
      <c r="K1159" s="22" t="str">
        <f t="shared" si="378"/>
        <v>NO</v>
      </c>
      <c r="L1159" s="22" t="str">
        <f t="shared" si="377"/>
        <v>NO</v>
      </c>
      <c r="M1159" s="22" t="str">
        <f t="shared" si="377"/>
        <v>NO</v>
      </c>
      <c r="N1159" s="22" t="str">
        <f t="shared" si="377"/>
        <v>NO</v>
      </c>
      <c r="O1159" s="22" t="str">
        <f t="shared" si="377"/>
        <v>NO</v>
      </c>
      <c r="P1159" s="22" t="str">
        <f t="shared" ref="L1159:AW1163" si="379">P1505</f>
        <v>NO</v>
      </c>
      <c r="Q1159" s="22" t="str">
        <f t="shared" si="379"/>
        <v>NO</v>
      </c>
      <c r="R1159" s="22" t="str">
        <f t="shared" si="379"/>
        <v>NO</v>
      </c>
      <c r="S1159" s="22" t="str">
        <f t="shared" si="379"/>
        <v>NO</v>
      </c>
      <c r="T1159" s="22" t="str">
        <f t="shared" si="379"/>
        <v>NO</v>
      </c>
      <c r="U1159" s="22" t="str">
        <f t="shared" si="379"/>
        <v>NO</v>
      </c>
      <c r="V1159" s="22" t="str">
        <f t="shared" si="379"/>
        <v>NO</v>
      </c>
      <c r="W1159" s="22" t="str">
        <f t="shared" si="379"/>
        <v>NO</v>
      </c>
      <c r="X1159" s="22" t="str">
        <f t="shared" si="379"/>
        <v>NO</v>
      </c>
      <c r="Y1159" s="22" t="str">
        <f t="shared" si="379"/>
        <v>NO</v>
      </c>
      <c r="Z1159" s="22" t="str">
        <f t="shared" si="379"/>
        <v>NO</v>
      </c>
      <c r="AA1159" s="22" t="str">
        <f t="shared" si="379"/>
        <v>NO</v>
      </c>
      <c r="AB1159" s="22" t="str">
        <f t="shared" si="379"/>
        <v>NO</v>
      </c>
      <c r="AC1159" s="22" t="str">
        <f t="shared" si="379"/>
        <v>NO</v>
      </c>
      <c r="AD1159" s="22" t="str">
        <f t="shared" si="379"/>
        <v>NO</v>
      </c>
      <c r="AE1159" s="22" t="str">
        <f t="shared" si="379"/>
        <v>NO</v>
      </c>
      <c r="AF1159" s="22" t="str">
        <f t="shared" si="379"/>
        <v>NO</v>
      </c>
      <c r="AG1159" s="22" t="str">
        <f t="shared" si="379"/>
        <v>NO</v>
      </c>
      <c r="AH1159" s="22" t="str">
        <f t="shared" si="379"/>
        <v>NO</v>
      </c>
      <c r="AI1159" s="22" t="str">
        <f t="shared" si="379"/>
        <v>NO</v>
      </c>
      <c r="AJ1159" s="22" t="str">
        <f t="shared" si="379"/>
        <v>NO</v>
      </c>
      <c r="AK1159" s="22" t="str">
        <f t="shared" si="379"/>
        <v>NO</v>
      </c>
      <c r="AL1159" s="22" t="str">
        <f t="shared" si="379"/>
        <v>NO</v>
      </c>
      <c r="AM1159" s="22" t="str">
        <f t="shared" si="379"/>
        <v>NO</v>
      </c>
      <c r="AN1159" s="22" t="str">
        <f t="shared" si="379"/>
        <v>NO</v>
      </c>
      <c r="AO1159" s="22" t="str">
        <f t="shared" si="379"/>
        <v>NO</v>
      </c>
      <c r="AP1159" s="22" t="str">
        <f t="shared" si="379"/>
        <v>NO</v>
      </c>
      <c r="AQ1159" s="22" t="str">
        <f t="shared" si="379"/>
        <v>NO</v>
      </c>
      <c r="AR1159" s="22" t="str">
        <f t="shared" si="379"/>
        <v>NO</v>
      </c>
      <c r="AS1159" s="22" t="str">
        <f t="shared" si="379"/>
        <v>NO</v>
      </c>
      <c r="AT1159" s="22" t="str">
        <f t="shared" si="379"/>
        <v>NO</v>
      </c>
      <c r="AU1159" s="22" t="str">
        <f t="shared" si="379"/>
        <v>NO</v>
      </c>
      <c r="AV1159" s="22" t="str">
        <f t="shared" si="379"/>
        <v>NO</v>
      </c>
      <c r="AW1159" s="22" t="str">
        <f t="shared" si="379"/>
        <v>NO</v>
      </c>
      <c r="AY1159" s="85"/>
    </row>
    <row r="1160" spans="1:51" x14ac:dyDescent="0.25">
      <c r="A1160" s="102" t="str">
        <f t="shared" si="374"/>
        <v>CM FSOM</v>
      </c>
      <c r="B1160" s="102" t="s">
        <v>1323</v>
      </c>
      <c r="C1160" s="102" t="s">
        <v>60</v>
      </c>
      <c r="D1160" t="s">
        <v>369</v>
      </c>
      <c r="E1160" t="s">
        <v>55</v>
      </c>
      <c r="F1160" t="s">
        <v>60</v>
      </c>
      <c r="G1160" t="s">
        <v>1283</v>
      </c>
      <c r="H1160" t="s">
        <v>1284</v>
      </c>
      <c r="J1160" t="s">
        <v>287</v>
      </c>
      <c r="K1160" s="22">
        <f t="shared" si="378"/>
        <v>5.604018730639919E-5</v>
      </c>
      <c r="L1160" s="22">
        <f t="shared" si="379"/>
        <v>5.604018730639919E-5</v>
      </c>
      <c r="M1160" s="22">
        <f t="shared" si="379"/>
        <v>5.604018730639919E-5</v>
      </c>
      <c r="N1160" s="22">
        <f t="shared" si="379"/>
        <v>5.604018730639919E-5</v>
      </c>
      <c r="O1160" s="22">
        <f t="shared" si="379"/>
        <v>5.604018730639919E-5</v>
      </c>
      <c r="P1160" s="22">
        <f t="shared" si="379"/>
        <v>5.604018730639919E-5</v>
      </c>
      <c r="Q1160" s="22">
        <f t="shared" si="379"/>
        <v>5.604018730639919E-5</v>
      </c>
      <c r="R1160" s="22">
        <f t="shared" si="379"/>
        <v>5.604018730639919E-5</v>
      </c>
      <c r="S1160" s="22">
        <f t="shared" si="379"/>
        <v>5.604018730639919E-5</v>
      </c>
      <c r="T1160" s="22">
        <f t="shared" si="379"/>
        <v>5.604018730639919E-5</v>
      </c>
      <c r="U1160" s="22">
        <f t="shared" si="379"/>
        <v>5.604018730639919E-5</v>
      </c>
      <c r="V1160" s="22">
        <f t="shared" si="379"/>
        <v>5.604018730639919E-5</v>
      </c>
      <c r="W1160" s="22">
        <f t="shared" si="379"/>
        <v>5.604018730639919E-5</v>
      </c>
      <c r="X1160" s="22">
        <f t="shared" si="379"/>
        <v>5.604018730639919E-5</v>
      </c>
      <c r="Y1160" s="22">
        <f t="shared" si="379"/>
        <v>5.604018730639919E-5</v>
      </c>
      <c r="Z1160" s="22">
        <f t="shared" si="379"/>
        <v>5.604018730639919E-5</v>
      </c>
      <c r="AA1160" s="22">
        <f t="shared" si="379"/>
        <v>5.604018730639919E-5</v>
      </c>
      <c r="AB1160" s="22">
        <f t="shared" si="379"/>
        <v>5.604018730639919E-5</v>
      </c>
      <c r="AC1160" s="22">
        <f t="shared" si="379"/>
        <v>5.604018730639919E-5</v>
      </c>
      <c r="AD1160" s="22">
        <f t="shared" si="379"/>
        <v>5.604018730639919E-5</v>
      </c>
      <c r="AE1160" s="22">
        <f t="shared" si="379"/>
        <v>5.604018730639919E-5</v>
      </c>
      <c r="AF1160" s="22">
        <f t="shared" si="379"/>
        <v>5.604018730639919E-5</v>
      </c>
      <c r="AG1160" s="22">
        <f t="shared" si="379"/>
        <v>5.604018730639919E-5</v>
      </c>
      <c r="AH1160" s="22">
        <f t="shared" si="379"/>
        <v>5.604018730639919E-5</v>
      </c>
      <c r="AI1160" s="22">
        <f t="shared" si="379"/>
        <v>5.604018730639919E-5</v>
      </c>
      <c r="AJ1160" s="22">
        <f t="shared" si="379"/>
        <v>5.604018730639919E-5</v>
      </c>
      <c r="AK1160" s="22">
        <f t="shared" si="379"/>
        <v>5.604018730639919E-5</v>
      </c>
      <c r="AL1160" s="22">
        <f t="shared" si="379"/>
        <v>5.604018730639919E-5</v>
      </c>
      <c r="AM1160" s="22">
        <f t="shared" si="379"/>
        <v>5.604018730639919E-5</v>
      </c>
      <c r="AN1160" s="22">
        <f t="shared" si="379"/>
        <v>5.604018730639919E-5</v>
      </c>
      <c r="AO1160" s="22">
        <f t="shared" si="379"/>
        <v>5.604018730639919E-5</v>
      </c>
      <c r="AP1160" s="22">
        <f t="shared" si="379"/>
        <v>5.604018730639919E-5</v>
      </c>
      <c r="AQ1160" s="22">
        <f t="shared" si="379"/>
        <v>5.604018730639919E-5</v>
      </c>
      <c r="AR1160" s="22">
        <f t="shared" si="379"/>
        <v>5.604018730639919E-5</v>
      </c>
      <c r="AS1160" s="22">
        <f t="shared" si="379"/>
        <v>5.604018730639919E-5</v>
      </c>
      <c r="AT1160" s="22">
        <f t="shared" si="379"/>
        <v>5.604018730639919E-5</v>
      </c>
      <c r="AU1160" s="22">
        <f t="shared" si="379"/>
        <v>5.604018730639919E-5</v>
      </c>
      <c r="AV1160" s="22">
        <f t="shared" si="379"/>
        <v>5.604018730639919E-5</v>
      </c>
      <c r="AW1160" s="22">
        <f t="shared" si="379"/>
        <v>5.604018730639919E-5</v>
      </c>
      <c r="AY1160" s="85"/>
    </row>
    <row r="1161" spans="1:51" x14ac:dyDescent="0.25">
      <c r="A1161" s="102" t="str">
        <f t="shared" si="374"/>
        <v>CM FSOM</v>
      </c>
      <c r="B1161" s="102" t="s">
        <v>1323</v>
      </c>
      <c r="C1161" s="102" t="s">
        <v>60</v>
      </c>
      <c r="D1161" t="s">
        <v>369</v>
      </c>
      <c r="E1161" t="s">
        <v>55</v>
      </c>
      <c r="F1161" t="s">
        <v>60</v>
      </c>
      <c r="G1161" t="s">
        <v>1285</v>
      </c>
      <c r="H1161" t="s">
        <v>1286</v>
      </c>
      <c r="J1161" t="s">
        <v>287</v>
      </c>
      <c r="K1161" s="22">
        <f t="shared" si="378"/>
        <v>6.110857899094551E-2</v>
      </c>
      <c r="L1161" s="22">
        <f t="shared" si="379"/>
        <v>6.110857899094551E-2</v>
      </c>
      <c r="M1161" s="22">
        <f t="shared" si="379"/>
        <v>6.110857899094551E-2</v>
      </c>
      <c r="N1161" s="22">
        <f t="shared" si="379"/>
        <v>6.110857899094551E-2</v>
      </c>
      <c r="O1161" s="22">
        <f t="shared" si="379"/>
        <v>6.110857899094551E-2</v>
      </c>
      <c r="P1161" s="22">
        <f t="shared" si="379"/>
        <v>6.110857899094551E-2</v>
      </c>
      <c r="Q1161" s="22">
        <f t="shared" si="379"/>
        <v>6.110857899094551E-2</v>
      </c>
      <c r="R1161" s="22">
        <f t="shared" si="379"/>
        <v>6.110857899094551E-2</v>
      </c>
      <c r="S1161" s="22">
        <f t="shared" si="379"/>
        <v>6.110857899094551E-2</v>
      </c>
      <c r="T1161" s="22">
        <f t="shared" si="379"/>
        <v>6.110857899094551E-2</v>
      </c>
      <c r="U1161" s="22">
        <f t="shared" si="379"/>
        <v>6.110857899094551E-2</v>
      </c>
      <c r="V1161" s="22">
        <f t="shared" si="379"/>
        <v>6.110857899094551E-2</v>
      </c>
      <c r="W1161" s="22">
        <f t="shared" si="379"/>
        <v>6.110857899094551E-2</v>
      </c>
      <c r="X1161" s="22">
        <f t="shared" si="379"/>
        <v>6.110857899094551E-2</v>
      </c>
      <c r="Y1161" s="22">
        <f t="shared" si="379"/>
        <v>6.110857899094551E-2</v>
      </c>
      <c r="Z1161" s="22">
        <f t="shared" si="379"/>
        <v>6.110857899094551E-2</v>
      </c>
      <c r="AA1161" s="22">
        <f t="shared" si="379"/>
        <v>6.110857899094551E-2</v>
      </c>
      <c r="AB1161" s="22">
        <f t="shared" si="379"/>
        <v>6.110857899094551E-2</v>
      </c>
      <c r="AC1161" s="22">
        <f t="shared" si="379"/>
        <v>6.110857899094551E-2</v>
      </c>
      <c r="AD1161" s="22">
        <f t="shared" si="379"/>
        <v>6.110857899094551E-2</v>
      </c>
      <c r="AE1161" s="22">
        <f t="shared" si="379"/>
        <v>6.110857899094551E-2</v>
      </c>
      <c r="AF1161" s="22">
        <f t="shared" si="379"/>
        <v>6.110857899094551E-2</v>
      </c>
      <c r="AG1161" s="22">
        <f t="shared" si="379"/>
        <v>6.110857899094551E-2</v>
      </c>
      <c r="AH1161" s="22">
        <f t="shared" si="379"/>
        <v>6.110857899094551E-2</v>
      </c>
      <c r="AI1161" s="22">
        <f t="shared" si="379"/>
        <v>6.110857899094551E-2</v>
      </c>
      <c r="AJ1161" s="22">
        <f t="shared" si="379"/>
        <v>6.110857899094551E-2</v>
      </c>
      <c r="AK1161" s="22">
        <f t="shared" si="379"/>
        <v>6.110857899094551E-2</v>
      </c>
      <c r="AL1161" s="22">
        <f t="shared" si="379"/>
        <v>6.110857899094551E-2</v>
      </c>
      <c r="AM1161" s="22">
        <f t="shared" si="379"/>
        <v>6.110857899094551E-2</v>
      </c>
      <c r="AN1161" s="22">
        <f t="shared" si="379"/>
        <v>6.110857899094551E-2</v>
      </c>
      <c r="AO1161" s="22">
        <f t="shared" si="379"/>
        <v>6.110857899094551E-2</v>
      </c>
      <c r="AP1161" s="22">
        <f t="shared" si="379"/>
        <v>6.110857899094551E-2</v>
      </c>
      <c r="AQ1161" s="22">
        <f t="shared" si="379"/>
        <v>6.110857899094551E-2</v>
      </c>
      <c r="AR1161" s="22">
        <f t="shared" si="379"/>
        <v>6.110857899094551E-2</v>
      </c>
      <c r="AS1161" s="22">
        <f t="shared" si="379"/>
        <v>6.110857899094551E-2</v>
      </c>
      <c r="AT1161" s="22">
        <f t="shared" si="379"/>
        <v>6.110857899094551E-2</v>
      </c>
      <c r="AU1161" s="22">
        <f t="shared" si="379"/>
        <v>6.110857899094551E-2</v>
      </c>
      <c r="AV1161" s="22">
        <f t="shared" si="379"/>
        <v>6.110857899094551E-2</v>
      </c>
      <c r="AW1161" s="22">
        <f t="shared" si="379"/>
        <v>6.110857899094551E-2</v>
      </c>
      <c r="AY1161" s="85"/>
    </row>
    <row r="1162" spans="1:51" x14ac:dyDescent="0.25">
      <c r="A1162" s="102" t="str">
        <f t="shared" si="374"/>
        <v>CM FSOM</v>
      </c>
      <c r="B1162" s="102" t="s">
        <v>1323</v>
      </c>
      <c r="C1162" s="102" t="s">
        <v>60</v>
      </c>
      <c r="D1162" t="s">
        <v>369</v>
      </c>
      <c r="E1162" t="s">
        <v>55</v>
      </c>
      <c r="F1162" t="s">
        <v>60</v>
      </c>
      <c r="G1162" t="s">
        <v>1287</v>
      </c>
      <c r="H1162" t="s">
        <v>1288</v>
      </c>
      <c r="J1162" t="s">
        <v>287</v>
      </c>
      <c r="K1162" s="22" t="str">
        <f t="shared" si="378"/>
        <v>NO</v>
      </c>
      <c r="L1162" s="22" t="str">
        <f t="shared" si="379"/>
        <v>NO</v>
      </c>
      <c r="M1162" s="22" t="str">
        <f t="shared" si="379"/>
        <v>NO</v>
      </c>
      <c r="N1162" s="22" t="str">
        <f t="shared" si="379"/>
        <v>NO</v>
      </c>
      <c r="O1162" s="22" t="str">
        <f t="shared" si="379"/>
        <v>NO</v>
      </c>
      <c r="P1162" s="22" t="str">
        <f t="shared" si="379"/>
        <v>NO</v>
      </c>
      <c r="Q1162" s="22" t="str">
        <f t="shared" si="379"/>
        <v>NO</v>
      </c>
      <c r="R1162" s="22" t="str">
        <f t="shared" si="379"/>
        <v>NO</v>
      </c>
      <c r="S1162" s="22" t="str">
        <f t="shared" si="379"/>
        <v>NO</v>
      </c>
      <c r="T1162" s="22" t="str">
        <f t="shared" si="379"/>
        <v>NO</v>
      </c>
      <c r="U1162" s="22" t="str">
        <f t="shared" si="379"/>
        <v>NO</v>
      </c>
      <c r="V1162" s="22" t="str">
        <f t="shared" si="379"/>
        <v>NO</v>
      </c>
      <c r="W1162" s="22" t="str">
        <f t="shared" si="379"/>
        <v>NO</v>
      </c>
      <c r="X1162" s="22" t="str">
        <f t="shared" si="379"/>
        <v>NO</v>
      </c>
      <c r="Y1162" s="22" t="str">
        <f t="shared" si="379"/>
        <v>NO</v>
      </c>
      <c r="Z1162" s="22" t="str">
        <f t="shared" si="379"/>
        <v>NO</v>
      </c>
      <c r="AA1162" s="22" t="str">
        <f t="shared" si="379"/>
        <v>NO</v>
      </c>
      <c r="AB1162" s="22" t="str">
        <f t="shared" si="379"/>
        <v>NO</v>
      </c>
      <c r="AC1162" s="22" t="str">
        <f t="shared" si="379"/>
        <v>NO</v>
      </c>
      <c r="AD1162" s="22" t="str">
        <f t="shared" si="379"/>
        <v>NO</v>
      </c>
      <c r="AE1162" s="22" t="str">
        <f t="shared" si="379"/>
        <v>NO</v>
      </c>
      <c r="AF1162" s="22" t="str">
        <f t="shared" si="379"/>
        <v>NO</v>
      </c>
      <c r="AG1162" s="22" t="str">
        <f t="shared" si="379"/>
        <v>NO</v>
      </c>
      <c r="AH1162" s="22" t="str">
        <f t="shared" si="379"/>
        <v>NO</v>
      </c>
      <c r="AI1162" s="22" t="str">
        <f t="shared" si="379"/>
        <v>NO</v>
      </c>
      <c r="AJ1162" s="22" t="str">
        <f t="shared" si="379"/>
        <v>NO</v>
      </c>
      <c r="AK1162" s="22" t="str">
        <f t="shared" si="379"/>
        <v>NO</v>
      </c>
      <c r="AL1162" s="22" t="str">
        <f t="shared" si="379"/>
        <v>NO</v>
      </c>
      <c r="AM1162" s="22" t="str">
        <f t="shared" si="379"/>
        <v>NO</v>
      </c>
      <c r="AN1162" s="22" t="str">
        <f t="shared" si="379"/>
        <v>NO</v>
      </c>
      <c r="AO1162" s="22" t="str">
        <f t="shared" si="379"/>
        <v>NO</v>
      </c>
      <c r="AP1162" s="22" t="str">
        <f t="shared" si="379"/>
        <v>NO</v>
      </c>
      <c r="AQ1162" s="22" t="str">
        <f t="shared" si="379"/>
        <v>NO</v>
      </c>
      <c r="AR1162" s="22" t="str">
        <f t="shared" si="379"/>
        <v>NO</v>
      </c>
      <c r="AS1162" s="22" t="str">
        <f t="shared" si="379"/>
        <v>NO</v>
      </c>
      <c r="AT1162" s="22" t="str">
        <f t="shared" si="379"/>
        <v>NO</v>
      </c>
      <c r="AU1162" s="22" t="str">
        <f t="shared" si="379"/>
        <v>NO</v>
      </c>
      <c r="AV1162" s="22" t="str">
        <f t="shared" si="379"/>
        <v>NO</v>
      </c>
      <c r="AW1162" s="22" t="str">
        <f t="shared" si="379"/>
        <v>NO</v>
      </c>
      <c r="AY1162" s="85"/>
    </row>
    <row r="1163" spans="1:51" x14ac:dyDescent="0.25">
      <c r="A1163" s="102" t="str">
        <f t="shared" si="374"/>
        <v>CM FSOM</v>
      </c>
      <c r="B1163" s="102" t="s">
        <v>1323</v>
      </c>
      <c r="C1163" s="102" t="s">
        <v>60</v>
      </c>
      <c r="D1163" t="s">
        <v>369</v>
      </c>
      <c r="E1163" t="s">
        <v>55</v>
      </c>
      <c r="F1163" t="s">
        <v>60</v>
      </c>
      <c r="G1163" t="s">
        <v>1289</v>
      </c>
      <c r="H1163" t="s">
        <v>1290</v>
      </c>
      <c r="J1163" t="s">
        <v>287</v>
      </c>
      <c r="K1163" s="22">
        <f t="shared" si="378"/>
        <v>3.1961717215001131</v>
      </c>
      <c r="L1163" s="22">
        <f t="shared" si="379"/>
        <v>3.1961717215001131</v>
      </c>
      <c r="M1163" s="22">
        <f t="shared" si="379"/>
        <v>3.1961717215001131</v>
      </c>
      <c r="N1163" s="22">
        <f t="shared" si="379"/>
        <v>3.1961717215001131</v>
      </c>
      <c r="O1163" s="22">
        <f t="shared" si="379"/>
        <v>3.1961717215001131</v>
      </c>
      <c r="P1163" s="22">
        <f t="shared" si="379"/>
        <v>3.1961717215001131</v>
      </c>
      <c r="Q1163" s="22">
        <f t="shared" si="379"/>
        <v>3.1961717215001131</v>
      </c>
      <c r="R1163" s="22">
        <f t="shared" si="379"/>
        <v>3.1961717215001131</v>
      </c>
      <c r="S1163" s="22">
        <f t="shared" si="379"/>
        <v>3.1961717215001131</v>
      </c>
      <c r="T1163" s="22">
        <f t="shared" si="379"/>
        <v>3.1961717215001131</v>
      </c>
      <c r="U1163" s="22">
        <f t="shared" si="379"/>
        <v>3.1961717215001131</v>
      </c>
      <c r="V1163" s="22">
        <f t="shared" si="379"/>
        <v>3.1961717215001131</v>
      </c>
      <c r="W1163" s="22">
        <f t="shared" si="379"/>
        <v>3.1961717215001131</v>
      </c>
      <c r="X1163" s="22">
        <f t="shared" si="379"/>
        <v>3.1961717215001131</v>
      </c>
      <c r="Y1163" s="22">
        <f t="shared" si="379"/>
        <v>3.1961717215001131</v>
      </c>
      <c r="Z1163" s="22">
        <f t="shared" si="379"/>
        <v>3.1961717215001131</v>
      </c>
      <c r="AA1163" s="22">
        <f t="shared" si="379"/>
        <v>3.1961717215001131</v>
      </c>
      <c r="AB1163" s="22">
        <f t="shared" si="379"/>
        <v>3.1961717215001131</v>
      </c>
      <c r="AC1163" s="22">
        <f t="shared" si="379"/>
        <v>3.1961717215001131</v>
      </c>
      <c r="AD1163" s="22">
        <f t="shared" si="379"/>
        <v>3.1961717215001131</v>
      </c>
      <c r="AE1163" s="22">
        <f t="shared" si="379"/>
        <v>3.1961717215001131</v>
      </c>
      <c r="AF1163" s="22">
        <f t="shared" si="379"/>
        <v>3.1961717215001131</v>
      </c>
      <c r="AG1163" s="22">
        <f t="shared" si="379"/>
        <v>3.1961717215001131</v>
      </c>
      <c r="AH1163" s="22">
        <f t="shared" si="379"/>
        <v>3.1961717215001131</v>
      </c>
      <c r="AI1163" s="22">
        <f t="shared" si="379"/>
        <v>3.1961717215001131</v>
      </c>
      <c r="AJ1163" s="22">
        <f t="shared" si="379"/>
        <v>3.1961717215001131</v>
      </c>
      <c r="AK1163" s="22">
        <f t="shared" si="379"/>
        <v>3.1961717215001131</v>
      </c>
      <c r="AL1163" s="22">
        <f t="shared" si="379"/>
        <v>3.1961717215001131</v>
      </c>
      <c r="AM1163" s="22">
        <f t="shared" si="379"/>
        <v>3.1961717215001131</v>
      </c>
      <c r="AN1163" s="22">
        <f t="shared" si="379"/>
        <v>3.1961717215001131</v>
      </c>
      <c r="AO1163" s="22">
        <f t="shared" si="379"/>
        <v>3.1961717215001131</v>
      </c>
      <c r="AP1163" s="22">
        <f t="shared" si="379"/>
        <v>3.1961717215001131</v>
      </c>
      <c r="AQ1163" s="22">
        <f t="shared" si="379"/>
        <v>3.1961717215001131</v>
      </c>
      <c r="AR1163" s="22">
        <f t="shared" si="379"/>
        <v>3.1961717215001131</v>
      </c>
      <c r="AS1163" s="22">
        <f t="shared" si="379"/>
        <v>3.1961717215001131</v>
      </c>
      <c r="AT1163" s="22">
        <f t="shared" si="379"/>
        <v>3.1961717215001131</v>
      </c>
      <c r="AU1163" s="22">
        <f t="shared" si="379"/>
        <v>3.1961717215001131</v>
      </c>
      <c r="AV1163" s="22">
        <f t="shared" si="379"/>
        <v>3.1961717215001131</v>
      </c>
      <c r="AW1163" s="22">
        <f t="shared" si="379"/>
        <v>3.1961717215001131</v>
      </c>
      <c r="AY1163" s="85"/>
    </row>
    <row r="1164" spans="1:51" x14ac:dyDescent="0.25">
      <c r="A1164" s="102" t="str">
        <f t="shared" si="374"/>
        <v>CM Volatilisation</v>
      </c>
      <c r="B1164" s="102" t="s">
        <v>1323</v>
      </c>
      <c r="C1164" s="102" t="s">
        <v>62</v>
      </c>
      <c r="D1164" t="s">
        <v>369</v>
      </c>
      <c r="E1164" t="s">
        <v>61</v>
      </c>
      <c r="F1164" t="s">
        <v>62</v>
      </c>
      <c r="G1164" t="s">
        <v>435</v>
      </c>
      <c r="H1164" t="s">
        <v>1185</v>
      </c>
      <c r="I1164" t="s">
        <v>139</v>
      </c>
      <c r="J1164" t="s">
        <v>287</v>
      </c>
      <c r="K1164" s="101">
        <f>IF('Net zero activities &amp; levers'!$C$14="Off",'Activity data'!AD47*ttokg*FracGASF*MSVolatEF*NtoN2O*kgtoGg,IF('Net zero activities &amp; levers'!$C$14="On",'Net zero Activity data'!AD47*ttokg*FracGASF*MSVolatEF*NtoN2O*kgtoGg,"ERROR"))</f>
        <v>0.66064812063358536</v>
      </c>
      <c r="L1164" s="101">
        <f>IF('Net zero activities &amp; levers'!$C$14="Off",'Activity data'!AE47*ttokg*FracGASF*MSVolatEF*NtoN2O*kgtoGg,IF('Net zero activities &amp; levers'!$C$14="On",'Net zero Activity data'!AE47*ttokg*FracGASF*MSVolatEF*NtoN2O*kgtoGg,"ERROR"))</f>
        <v>0.66055332632324659</v>
      </c>
      <c r="M1164" s="101">
        <f>IF('Net zero activities &amp; levers'!$C$14="Off",'Activity data'!AF47*ttokg*FracGASF*MSVolatEF*NtoN2O*kgtoGg,IF('Net zero activities &amp; levers'!$C$14="On",'Net zero Activity data'!AF47*ttokg*FracGASF*MSVolatEF*NtoN2O*kgtoGg,"ERROR"))</f>
        <v>0.66042378924026446</v>
      </c>
      <c r="N1164" s="101">
        <f>IF('Net zero activities &amp; levers'!$C$14="Off",'Activity data'!AG47*ttokg*FracGASF*MSVolatEF*NtoN2O*kgtoGg,IF('Net zero activities &amp; levers'!$C$14="On",'Net zero Activity data'!AG47*ttokg*FracGASF*MSVolatEF*NtoN2O*kgtoGg,"ERROR"))</f>
        <v>0.66032976249569819</v>
      </c>
      <c r="O1164" s="101">
        <f>IF('Net zero activities &amp; levers'!$C$14="Off",'Activity data'!AH47*ttokg*FracGASF*MSVolatEF*NtoN2O*kgtoGg,IF('Net zero activities &amp; levers'!$C$14="On",'Net zero Activity data'!AH47*ttokg*FracGASF*MSVolatEF*NtoN2O*kgtoGg,"ERROR"))</f>
        <v>0.66028397217143464</v>
      </c>
      <c r="P1164" s="101">
        <f>IF('Net zero activities &amp; levers'!$C$14="Off",'Activity data'!AI47*ttokg*FracGASF*MSVolatEF*NtoN2O*kgtoGg,IF('Net zero activities &amp; levers'!$C$14="On",'Net zero Activity data'!AI47*ttokg*FracGASF*MSVolatEF*NtoN2O*kgtoGg,"ERROR"))</f>
        <v>0.66023877667619957</v>
      </c>
      <c r="Q1164" s="101">
        <f>IF('Net zero activities &amp; levers'!$C$14="Off",'Activity data'!AJ47*ttokg*FracGASF*MSVolatEF*NtoN2O*kgtoGg,IF('Net zero activities &amp; levers'!$C$14="On",'Net zero Activity data'!AJ47*ttokg*FracGASF*MSVolatEF*NtoN2O*kgtoGg,"ERROR"))</f>
        <v>0.66017040685586048</v>
      </c>
      <c r="R1164" s="101">
        <f>IF('Net zero activities &amp; levers'!$C$14="Off",'Activity data'!AK47*ttokg*FracGASF*MSVolatEF*NtoN2O*kgtoGg,IF('Net zero activities &amp; levers'!$C$14="On",'Net zero Activity data'!AK47*ttokg*FracGASF*MSVolatEF*NtoN2O*kgtoGg,"ERROR"))</f>
        <v>0.66009555191940106</v>
      </c>
      <c r="S1164" s="101">
        <f>IF('Net zero activities &amp; levers'!$C$14="Off",'Activity data'!AL47*ttokg*FracGASF*MSVolatEF*NtoN2O*kgtoGg,IF('Net zero activities &amp; levers'!$C$14="On",'Net zero Activity data'!AL47*ttokg*FracGASF*MSVolatEF*NtoN2O*kgtoGg,"ERROR"))</f>
        <v>0.66007105452260206</v>
      </c>
      <c r="T1164" s="101">
        <f>IF('Net zero activities &amp; levers'!$C$14="Off",'Activity data'!AM47*ttokg*FracGASF*MSVolatEF*NtoN2O*kgtoGg,IF('Net zero activities &amp; levers'!$C$14="On",'Net zero Activity data'!AM47*ttokg*FracGASF*MSVolatEF*NtoN2O*kgtoGg,"ERROR"))</f>
        <v>0.6605210320148045</v>
      </c>
      <c r="U1164" s="101">
        <f>IF('Net zero activities &amp; levers'!$C$14="Off",'Activity data'!AN47*ttokg*FracGASF*MSVolatEF*NtoN2O*kgtoGg,IF('Net zero activities &amp; levers'!$C$14="On",'Net zero Activity data'!AN47*ttokg*FracGASF*MSVolatEF*NtoN2O*kgtoGg,"ERROR"))</f>
        <v>0.66038066881148649</v>
      </c>
      <c r="V1164" s="101">
        <f>IF('Net zero activities &amp; levers'!$C$14="Off",'Activity data'!AO47*ttokg*FracGASF*MSVolatEF*NtoN2O*kgtoGg,IF('Net zero activities &amp; levers'!$C$14="On",'Net zero Activity data'!AO47*ttokg*FracGASF*MSVolatEF*NtoN2O*kgtoGg,"ERROR"))</f>
        <v>0.660254471504373</v>
      </c>
      <c r="W1164" s="101">
        <f>IF('Net zero activities &amp; levers'!$C$14="Off",'Activity data'!AP47*ttokg*FracGASF*MSVolatEF*NtoN2O*kgtoGg,IF('Net zero activities &amp; levers'!$C$14="On",'Net zero Activity data'!AP47*ttokg*FracGASF*MSVolatEF*NtoN2O*kgtoGg,"ERROR"))</f>
        <v>0.66012944407562835</v>
      </c>
      <c r="X1164" s="101">
        <f>IF('Net zero activities &amp; levers'!$C$14="Off",'Activity data'!AQ47*ttokg*FracGASF*MSVolatEF*NtoN2O*kgtoGg,IF('Net zero activities &amp; levers'!$C$14="On",'Net zero Activity data'!AQ47*ttokg*FracGASF*MSVolatEF*NtoN2O*kgtoGg,"ERROR"))</f>
        <v>0.65998592560706049</v>
      </c>
      <c r="Y1164" s="101">
        <f>IF('Net zero activities &amp; levers'!$C$14="Off",'Activity data'!AR47*ttokg*FracGASF*MSVolatEF*NtoN2O*kgtoGg,IF('Net zero activities &amp; levers'!$C$14="On",'Net zero Activity data'!AR47*ttokg*FracGASF*MSVolatEF*NtoN2O*kgtoGg,"ERROR"))</f>
        <v>0.65984396481179586</v>
      </c>
      <c r="Z1164" s="101">
        <f>IF('Net zero activities &amp; levers'!$C$14="Off",'Activity data'!AS47*ttokg*FracGASF*MSVolatEF*NtoN2O*kgtoGg,IF('Net zero activities &amp; levers'!$C$14="On",'Net zero Activity data'!AS47*ttokg*FracGASF*MSVolatEF*NtoN2O*kgtoGg,"ERROR"))</f>
        <v>0.65970003432051683</v>
      </c>
      <c r="AA1164" s="101">
        <f>IF('Net zero activities &amp; levers'!$C$14="Off",'Activity data'!AT47*ttokg*FracGASF*MSVolatEF*NtoN2O*kgtoGg,IF('Net zero activities &amp; levers'!$C$14="On",'Net zero Activity data'!AT47*ttokg*FracGASF*MSVolatEF*NtoN2O*kgtoGg,"ERROR"))</f>
        <v>0.65956223028685135</v>
      </c>
      <c r="AB1164" s="101">
        <f>IF('Net zero activities &amp; levers'!$C$14="Off",'Activity data'!AU47*ttokg*FracGASF*MSVolatEF*NtoN2O*kgtoGg,IF('Net zero activities &amp; levers'!$C$14="On",'Net zero Activity data'!AU47*ttokg*FracGASF*MSVolatEF*NtoN2O*kgtoGg,"ERROR"))</f>
        <v>0.65941853622185975</v>
      </c>
      <c r="AC1164" s="101">
        <f>IF('Net zero activities &amp; levers'!$C$14="Off",'Activity data'!AV47*ttokg*FracGASF*MSVolatEF*NtoN2O*kgtoGg,IF('Net zero activities &amp; levers'!$C$14="On",'Net zero Activity data'!AV47*ttokg*FracGASF*MSVolatEF*NtoN2O*kgtoGg,"ERROR"))</f>
        <v>0.65928505403904103</v>
      </c>
      <c r="AD1164" s="101">
        <f>IF('Net zero activities &amp; levers'!$C$14="Off",'Activity data'!AW47*ttokg*FracGASF*MSVolatEF*NtoN2O*kgtoGg,IF('Net zero activities &amp; levers'!$C$14="On",'Net zero Activity data'!AW47*ttokg*FracGASF*MSVolatEF*NtoN2O*kgtoGg,"ERROR"))</f>
        <v>0.65915038110737934</v>
      </c>
      <c r="AE1164" s="101">
        <f>IF('Net zero activities &amp; levers'!$C$14="Off",'Activity data'!AX47*ttokg*FracGASF*MSVolatEF*NtoN2O*kgtoGg,IF('Net zero activities &amp; levers'!$C$14="On",'Net zero Activity data'!AX47*ttokg*FracGASF*MSVolatEF*NtoN2O*kgtoGg,"ERROR"))</f>
        <v>0.65899366744546872</v>
      </c>
      <c r="AF1164" s="101">
        <f>IF('Net zero activities &amp; levers'!$C$14="Off",'Activity data'!AY47*ttokg*FracGASF*MSVolatEF*NtoN2O*kgtoGg,IF('Net zero activities &amp; levers'!$C$14="On",'Net zero Activity data'!AY47*ttokg*FracGASF*MSVolatEF*NtoN2O*kgtoGg,"ERROR"))</f>
        <v>0.65882822576482969</v>
      </c>
      <c r="AG1164" s="101">
        <f>IF('Net zero activities &amp; levers'!$C$14="Off",'Activity data'!AZ47*ttokg*FracGASF*MSVolatEF*NtoN2O*kgtoGg,IF('Net zero activities &amp; levers'!$C$14="On",'Net zero Activity data'!AZ47*ttokg*FracGASF*MSVolatEF*NtoN2O*kgtoGg,"ERROR"))</f>
        <v>0.65866069718802811</v>
      </c>
      <c r="AH1164" s="101">
        <f>IF('Net zero activities &amp; levers'!$C$14="Off",'Activity data'!BA47*ttokg*FracGASF*MSVolatEF*NtoN2O*kgtoGg,IF('Net zero activities &amp; levers'!$C$14="On",'Net zero Activity data'!BA47*ttokg*FracGASF*MSVolatEF*NtoN2O*kgtoGg,"ERROR"))</f>
        <v>0.65862744996812317</v>
      </c>
      <c r="AI1164" s="101">
        <f>IF('Net zero activities &amp; levers'!$C$14="Off",'Activity data'!BB47*ttokg*FracGASF*MSVolatEF*NtoN2O*kgtoGg,IF('Net zero activities &amp; levers'!$C$14="On",'Net zero Activity data'!BB47*ttokg*FracGASF*MSVolatEF*NtoN2O*kgtoGg,"ERROR"))</f>
        <v>0.67244352177988753</v>
      </c>
      <c r="AJ1164" s="101">
        <f>IF('Net zero activities &amp; levers'!$C$14="Off",'Activity data'!BC47*ttokg*FracGASF*MSVolatEF*NtoN2O*kgtoGg,IF('Net zero activities &amp; levers'!$C$14="On",'Net zero Activity data'!BC47*ttokg*FracGASF*MSVolatEF*NtoN2O*kgtoGg,"ERROR"))</f>
        <v>0.67246796459520652</v>
      </c>
      <c r="AK1164" s="101">
        <f>IF('Net zero activities &amp; levers'!$C$14="Off",'Activity data'!BD47*ttokg*FracGASF*MSVolatEF*NtoN2O*kgtoGg,IF('Net zero activities &amp; levers'!$C$14="On",'Net zero Activity data'!BD47*ttokg*FracGASF*MSVolatEF*NtoN2O*kgtoGg,"ERROR"))</f>
        <v>0.67249266471091262</v>
      </c>
      <c r="AL1164" s="101">
        <f>IF('Net zero activities &amp; levers'!$C$14="Off",'Activity data'!BE47*ttokg*FracGASF*MSVolatEF*NtoN2O*kgtoGg,IF('Net zero activities &amp; levers'!$C$14="On",'Net zero Activity data'!BE47*ttokg*FracGASF*MSVolatEF*NtoN2O*kgtoGg,"ERROR"))</f>
        <v>0.6725176256716463</v>
      </c>
      <c r="AM1164" s="101">
        <f>IF('Net zero activities &amp; levers'!$C$14="Off",'Activity data'!BF47*ttokg*FracGASF*MSVolatEF*NtoN2O*kgtoGg,IF('Net zero activities &amp; levers'!$C$14="On",'Net zero Activity data'!BF47*ttokg*FracGASF*MSVolatEF*NtoN2O*kgtoGg,"ERROR"))</f>
        <v>0.67254285108872014</v>
      </c>
      <c r="AN1164" s="101">
        <f>IF('Net zero activities &amp; levers'!$C$14="Off",'Activity data'!BG47*ttokg*FracGASF*MSVolatEF*NtoN2O*kgtoGg,IF('Net zero activities &amp; levers'!$C$14="On",'Net zero Activity data'!BG47*ttokg*FracGASF*MSVolatEF*NtoN2O*kgtoGg,"ERROR"))</f>
        <v>0.67256834464178161</v>
      </c>
      <c r="AO1164" s="101">
        <f>IF('Net zero activities &amp; levers'!$C$14="Off",'Activity data'!BH47*ttokg*FracGASF*MSVolatEF*NtoN2O*kgtoGg,IF('Net zero activities &amp; levers'!$C$14="On",'Net zero Activity data'!BH47*ttokg*FracGASF*MSVolatEF*NtoN2O*kgtoGg,"ERROR"))</f>
        <v>0.67259019731905478</v>
      </c>
      <c r="AP1164" s="101">
        <f>IF('Net zero activities &amp; levers'!$C$14="Off",'Activity data'!BI47*ttokg*FracGASF*MSVolatEF*NtoN2O*kgtoGg,IF('Net zero activities &amp; levers'!$C$14="On",'Net zero Activity data'!BI47*ttokg*FracGASF*MSVolatEF*NtoN2O*kgtoGg,"ERROR"))</f>
        <v>0.67261224822219834</v>
      </c>
      <c r="AQ1164" s="101">
        <f>IF('Net zero activities &amp; levers'!$C$14="Off",'Activity data'!BJ47*ttokg*FracGASF*MSVolatEF*NtoN2O*kgtoGg,IF('Net zero activities &amp; levers'!$C$14="On",'Net zero Activity data'!BJ47*ttokg*FracGASF*MSVolatEF*NtoN2O*kgtoGg,"ERROR"))</f>
        <v>0.67263449972304945</v>
      </c>
      <c r="AR1164" s="101">
        <f>IF('Net zero activities &amp; levers'!$C$14="Off",'Activity data'!BK47*ttokg*FracGASF*MSVolatEF*NtoN2O*kgtoGg,IF('Net zero activities &amp; levers'!$C$14="On",'Net zero Activity data'!BK47*ttokg*FracGASF*MSVolatEF*NtoN2O*kgtoGg,"ERROR"))</f>
        <v>0.67265695423235672</v>
      </c>
      <c r="AS1164" s="101">
        <f>IF('Net zero activities &amp; levers'!$C$14="Off",'Activity data'!BL47*ttokg*FracGASF*MSVolatEF*NtoN2O*kgtoGg,IF('Net zero activities &amp; levers'!$C$14="On",'Net zero Activity data'!BL47*ttokg*FracGASF*MSVolatEF*NtoN2O*kgtoGg,"ERROR"))</f>
        <v>0.67267961420062661</v>
      </c>
      <c r="AT1164" s="101">
        <f>IF('Net zero activities &amp; levers'!$C$14="Off",'Activity data'!BM47*ttokg*FracGASF*MSVolatEF*NtoN2O*kgtoGg,IF('Net zero activities &amp; levers'!$C$14="On",'Net zero Activity data'!BM47*ttokg*FracGASF*MSVolatEF*NtoN2O*kgtoGg,"ERROR"))</f>
        <v>0.67269840467448694</v>
      </c>
      <c r="AU1164" s="101">
        <f>IF('Net zero activities &amp; levers'!$C$14="Off",'Activity data'!BN47*ttokg*FracGASF*MSVolatEF*NtoN2O*kgtoGg,IF('Net zero activities &amp; levers'!$C$14="On",'Net zero Activity data'!BN47*ttokg*FracGASF*MSVolatEF*NtoN2O*kgtoGg,"ERROR"))</f>
        <v>0.67271733718738858</v>
      </c>
      <c r="AV1164" s="101">
        <f>IF('Net zero activities &amp; levers'!$C$14="Off",'Activity data'!BO47*ttokg*FracGASF*MSVolatEF*NtoN2O*kgtoGg,IF('Net zero activities &amp; levers'!$C$14="On",'Net zero Activity data'!BO47*ttokg*FracGASF*MSVolatEF*NtoN2O*kgtoGg,"ERROR"))</f>
        <v>0.67273641316511901</v>
      </c>
      <c r="AW1164" s="101">
        <f>IF('Net zero activities &amp; levers'!$C$14="Off",'Activity data'!BP47*ttokg*FracGASF*MSVolatEF*NtoN2O*kgtoGg,IF('Net zero activities &amp; levers'!$C$14="On",'Net zero Activity data'!BP47*ttokg*FracGASF*MSVolatEF*NtoN2O*kgtoGg,"ERROR"))</f>
        <v>0.67275563405315475</v>
      </c>
      <c r="AY1164" s="85"/>
    </row>
    <row r="1165" spans="1:51" x14ac:dyDescent="0.25">
      <c r="A1165" s="102" t="str">
        <f t="shared" si="374"/>
        <v>CM Volatilisation</v>
      </c>
      <c r="B1165" s="102" t="s">
        <v>1323</v>
      </c>
      <c r="C1165" s="102" t="s">
        <v>62</v>
      </c>
      <c r="D1165" t="s">
        <v>369</v>
      </c>
      <c r="E1165" t="s">
        <v>61</v>
      </c>
      <c r="F1165" t="s">
        <v>62</v>
      </c>
      <c r="G1165" t="s">
        <v>436</v>
      </c>
      <c r="H1165" t="s">
        <v>1186</v>
      </c>
      <c r="I1165" t="s">
        <v>139</v>
      </c>
      <c r="J1165" t="s">
        <v>287</v>
      </c>
      <c r="K1165" s="101">
        <f>IF('Net zero activities &amp; levers'!$C$14="Off",'Activity data'!AD48*ttokg*FracGASM*MSVolatEF*NtoN2O*kgtoGg,IF('Net zero activities &amp; levers'!$C$14="On",'Net zero Activity data'!AD48*ttokg*FracGASM*MSVolatEF*NtoN2O*kgtoGg,"ERROR"))</f>
        <v>8.720555192363328E-3</v>
      </c>
      <c r="L1165" s="101">
        <f>IF('Net zero activities &amp; levers'!$C$14="Off",'Activity data'!AE48*ttokg*FracGASM*MSVolatEF*NtoN2O*kgtoGg,IF('Net zero activities &amp; levers'!$C$14="On",'Net zero Activity data'!AE48*ttokg*FracGASM*MSVolatEF*NtoN2O*kgtoGg,"ERROR"))</f>
        <v>8.7193039074668528E-3</v>
      </c>
      <c r="M1165" s="101">
        <f>IF('Net zero activities &amp; levers'!$C$14="Off",'Activity data'!AF48*ttokg*FracGASM*MSVolatEF*NtoN2O*kgtoGg,IF('Net zero activities &amp; levers'!$C$14="On",'Net zero Activity data'!AF48*ttokg*FracGASM*MSVolatEF*NtoN2O*kgtoGg,"ERROR"))</f>
        <v>8.7175940179714945E-3</v>
      </c>
      <c r="N1165" s="101">
        <f>IF('Net zero activities &amp; levers'!$C$14="Off",'Activity data'!AG48*ttokg*FracGASM*MSVolatEF*NtoN2O*kgtoGg,IF('Net zero activities &amp; levers'!$C$14="On",'Net zero Activity data'!AG48*ttokg*FracGASM*MSVolatEF*NtoN2O*kgtoGg,"ERROR"))</f>
        <v>8.7163528649432196E-3</v>
      </c>
      <c r="O1165" s="101">
        <f>IF('Net zero activities &amp; levers'!$C$14="Off",'Activity data'!AH48*ttokg*FracGASM*MSVolatEF*NtoN2O*kgtoGg,IF('Net zero activities &amp; levers'!$C$14="On",'Net zero Activity data'!AH48*ttokg*FracGASM*MSVolatEF*NtoN2O*kgtoGg,"ERROR"))</f>
        <v>8.7157484326629356E-3</v>
      </c>
      <c r="P1165" s="101">
        <f>IF('Net zero activities &amp; levers'!$C$14="Off",'Activity data'!AI48*ttokg*FracGASM*MSVolatEF*NtoN2O*kgtoGg,IF('Net zero activities &amp; levers'!$C$14="On",'Net zero Activity data'!AI48*ttokg*FracGASM*MSVolatEF*NtoN2O*kgtoGg,"ERROR"))</f>
        <v>8.715151852125836E-3</v>
      </c>
      <c r="Q1165" s="101">
        <f>IF('Net zero activities &amp; levers'!$C$14="Off",'Activity data'!AJ48*ttokg*FracGASM*MSVolatEF*NtoN2O*kgtoGg,IF('Net zero activities &amp; levers'!$C$14="On",'Net zero Activity data'!AJ48*ttokg*FracGASM*MSVolatEF*NtoN2O*kgtoGg,"ERROR"))</f>
        <v>8.7142493704973605E-3</v>
      </c>
      <c r="R1165" s="101">
        <f>IF('Net zero activities &amp; levers'!$C$14="Off",'Activity data'!AK48*ttokg*FracGASM*MSVolatEF*NtoN2O*kgtoGg,IF('Net zero activities &amp; levers'!$C$14="On",'Net zero Activity data'!AK48*ttokg*FracGASM*MSVolatEF*NtoN2O*kgtoGg,"ERROR"))</f>
        <v>8.713261285336095E-3</v>
      </c>
      <c r="S1165" s="101">
        <f>IF('Net zero activities &amp; levers'!$C$14="Off",'Activity data'!AL48*ttokg*FracGASM*MSVolatEF*NtoN2O*kgtoGg,IF('Net zero activities &amp; levers'!$C$14="On",'Net zero Activity data'!AL48*ttokg*FracGASM*MSVolatEF*NtoN2O*kgtoGg,"ERROR"))</f>
        <v>8.7129379196983492E-3</v>
      </c>
      <c r="T1165" s="101">
        <f>IF('Net zero activities &amp; levers'!$C$14="Off",'Activity data'!AM48*ttokg*FracGASM*MSVolatEF*NtoN2O*kgtoGg,IF('Net zero activities &amp; levers'!$C$14="On",'Net zero Activity data'!AM48*ttokg*FracGASM*MSVolatEF*NtoN2O*kgtoGg,"ERROR"))</f>
        <v>8.7188776225954213E-3</v>
      </c>
      <c r="U1165" s="101">
        <f>IF('Net zero activities &amp; levers'!$C$14="Off",'Activity data'!AN48*ttokg*FracGASM*MSVolatEF*NtoN2O*kgtoGg,IF('Net zero activities &amp; levers'!$C$14="On",'Net zero Activity data'!AN48*ttokg*FracGASM*MSVolatEF*NtoN2O*kgtoGg,"ERROR"))</f>
        <v>8.7170248283116227E-3</v>
      </c>
      <c r="V1165" s="101">
        <f>IF('Net zero activities &amp; levers'!$C$14="Off",'Activity data'!AO48*ttokg*FracGASM*MSVolatEF*NtoN2O*kgtoGg,IF('Net zero activities &amp; levers'!$C$14="On",'Net zero Activity data'!AO48*ttokg*FracGASM*MSVolatEF*NtoN2O*kgtoGg,"ERROR"))</f>
        <v>8.7153590238577237E-3</v>
      </c>
      <c r="W1165" s="101">
        <f>IF('Net zero activities &amp; levers'!$C$14="Off",'Activity data'!AP48*ttokg*FracGASM*MSVolatEF*NtoN2O*kgtoGg,IF('Net zero activities &amp; levers'!$C$14="On",'Net zero Activity data'!AP48*ttokg*FracGASM*MSVolatEF*NtoN2O*kgtoGg,"ERROR"))</f>
        <v>8.7137086617982938E-3</v>
      </c>
      <c r="X1165" s="101">
        <f>IF('Net zero activities &amp; levers'!$C$14="Off",'Activity data'!AQ48*ttokg*FracGASM*MSVolatEF*NtoN2O*kgtoGg,IF('Net zero activities &amp; levers'!$C$14="On",'Net zero Activity data'!AQ48*ttokg*FracGASM*MSVolatEF*NtoN2O*kgtoGg,"ERROR"))</f>
        <v>8.7118142180131995E-3</v>
      </c>
      <c r="Y1165" s="101">
        <f>IF('Net zero activities &amp; levers'!$C$14="Off",'Activity data'!AR48*ttokg*FracGASM*MSVolatEF*NtoN2O*kgtoGg,IF('Net zero activities &amp; levers'!$C$14="On",'Net zero Activity data'!AR48*ttokg*FracGASM*MSVolatEF*NtoN2O*kgtoGg,"ERROR"))</f>
        <v>8.7099403355157048E-3</v>
      </c>
      <c r="Z1165" s="101">
        <f>IF('Net zero activities &amp; levers'!$C$14="Off",'Activity data'!AS48*ttokg*FracGASM*MSVolatEF*NtoN2O*kgtoGg,IF('Net zero activities &amp; levers'!$C$14="On",'Net zero Activity data'!AS48*ttokg*FracGASM*MSVolatEF*NtoN2O*kgtoGg,"ERROR"))</f>
        <v>8.7080404530308231E-3</v>
      </c>
      <c r="AA1165" s="101">
        <f>IF('Net zero activities &amp; levers'!$C$14="Off",'Activity data'!AT48*ttokg*FracGASM*MSVolatEF*NtoN2O*kgtoGg,IF('Net zero activities &amp; levers'!$C$14="On",'Net zero Activity data'!AT48*ttokg*FracGASM*MSVolatEF*NtoN2O*kgtoGg,"ERROR"))</f>
        <v>8.7062214397864383E-3</v>
      </c>
      <c r="AB1165" s="101">
        <f>IF('Net zero activities &amp; levers'!$C$14="Off",'Activity data'!AU48*ttokg*FracGASM*MSVolatEF*NtoN2O*kgtoGg,IF('Net zero activities &amp; levers'!$C$14="On",'Net zero Activity data'!AU48*ttokg*FracGASM*MSVolatEF*NtoN2O*kgtoGg,"ERROR"))</f>
        <v>8.704324678128551E-3</v>
      </c>
      <c r="AC1165" s="101">
        <f>IF('Net zero activities &amp; levers'!$C$14="Off",'Activity data'!AV48*ttokg*FracGASM*MSVolatEF*NtoN2O*kgtoGg,IF('Net zero activities &amp; levers'!$C$14="On",'Net zero Activity data'!AV48*ttokg*FracGASM*MSVolatEF*NtoN2O*kgtoGg,"ERROR"))</f>
        <v>8.7025627133153448E-3</v>
      </c>
      <c r="AD1165" s="101">
        <f>IF('Net zero activities &amp; levers'!$C$14="Off",'Activity data'!AW48*ttokg*FracGASM*MSVolatEF*NtoN2O*kgtoGg,IF('Net zero activities &amp; levers'!$C$14="On",'Net zero Activity data'!AW48*ttokg*FracGASM*MSVolatEF*NtoN2O*kgtoGg,"ERROR"))</f>
        <v>8.7007850306174105E-3</v>
      </c>
      <c r="AE1165" s="101">
        <f>IF('Net zero activities &amp; levers'!$C$14="Off",'Activity data'!AX48*ttokg*FracGASM*MSVolatEF*NtoN2O*kgtoGg,IF('Net zero activities &amp; levers'!$C$14="On",'Net zero Activity data'!AX48*ttokg*FracGASM*MSVolatEF*NtoN2O*kgtoGg,"ERROR"))</f>
        <v>8.698716410280187E-3</v>
      </c>
      <c r="AF1165" s="101">
        <f>IF('Net zero activities &amp; levers'!$C$14="Off",'Activity data'!AY48*ttokg*FracGASM*MSVolatEF*NtoN2O*kgtoGg,IF('Net zero activities &amp; levers'!$C$14="On",'Net zero Activity data'!AY48*ttokg*FracGASM*MSVolatEF*NtoN2O*kgtoGg,"ERROR"))</f>
        <v>8.6965325800957543E-3</v>
      </c>
      <c r="AG1165" s="101">
        <f>IF('Net zero activities &amp; levers'!$C$14="Off",'Activity data'!AZ48*ttokg*FracGASM*MSVolatEF*NtoN2O*kgtoGg,IF('Net zero activities &amp; levers'!$C$14="On",'Net zero Activity data'!AZ48*ttokg*FracGASM*MSVolatEF*NtoN2O*kgtoGg,"ERROR"))</f>
        <v>8.694321202881973E-3</v>
      </c>
      <c r="AH1165" s="101">
        <f>IF('Net zero activities &amp; levers'!$C$14="Off",'Activity data'!BA48*ttokg*FracGASM*MSVolatEF*NtoN2O*kgtoGg,IF('Net zero activities &amp; levers'!$C$14="On",'Net zero Activity data'!BA48*ttokg*FracGASM*MSVolatEF*NtoN2O*kgtoGg,"ERROR"))</f>
        <v>8.6938823395792293E-3</v>
      </c>
      <c r="AI1165" s="101">
        <f>IF('Net zero activities &amp; levers'!$C$14="Off",'Activity data'!BB48*ttokg*FracGASM*MSVolatEF*NtoN2O*kgtoGg,IF('Net zero activities &amp; levers'!$C$14="On",'Net zero Activity data'!BB48*ttokg*FracGASM*MSVolatEF*NtoN2O*kgtoGg,"ERROR"))</f>
        <v>8.8762544874945153E-3</v>
      </c>
      <c r="AJ1165" s="101">
        <f>IF('Net zero activities &amp; levers'!$C$14="Off",'Activity data'!BC48*ttokg*FracGASM*MSVolatEF*NtoN2O*kgtoGg,IF('Net zero activities &amp; levers'!$C$14="On",'Net zero Activity data'!BC48*ttokg*FracGASM*MSVolatEF*NtoN2O*kgtoGg,"ERROR"))</f>
        <v>8.876577132656726E-3</v>
      </c>
      <c r="AK1165" s="101">
        <f>IF('Net zero activities &amp; levers'!$C$14="Off",'Activity data'!BD48*ttokg*FracGASM*MSVolatEF*NtoN2O*kgtoGg,IF('Net zero activities &amp; levers'!$C$14="On",'Net zero Activity data'!BD48*ttokg*FracGASM*MSVolatEF*NtoN2O*kgtoGg,"ERROR"))</f>
        <v>8.8769031741840459E-3</v>
      </c>
      <c r="AL1165" s="101">
        <f>IF('Net zero activities &amp; levers'!$C$14="Off",'Activity data'!BE48*ttokg*FracGASM*MSVolatEF*NtoN2O*kgtoGg,IF('Net zero activities &amp; levers'!$C$14="On",'Net zero Activity data'!BE48*ttokg*FracGASM*MSVolatEF*NtoN2O*kgtoGg,"ERROR"))</f>
        <v>8.8772326588657333E-3</v>
      </c>
      <c r="AM1165" s="101">
        <f>IF('Net zero activities &amp; levers'!$C$14="Off",'Activity data'!BF48*ttokg*FracGASM*MSVolatEF*NtoN2O*kgtoGg,IF('Net zero activities &amp; levers'!$C$14="On",'Net zero Activity data'!BF48*ttokg*FracGASM*MSVolatEF*NtoN2O*kgtoGg,"ERROR"))</f>
        <v>8.8775656343711064E-3</v>
      </c>
      <c r="AN1165" s="101">
        <f>IF('Net zero activities &amp; levers'!$C$14="Off",'Activity data'!BG48*ttokg*FracGASM*MSVolatEF*NtoN2O*kgtoGg,IF('Net zero activities &amp; levers'!$C$14="On",'Net zero Activity data'!BG48*ttokg*FracGASM*MSVolatEF*NtoN2O*kgtoGg,"ERROR"))</f>
        <v>8.877902149271517E-3</v>
      </c>
      <c r="AO1165" s="101">
        <f>IF('Net zero activities &amp; levers'!$C$14="Off",'Activity data'!BH48*ttokg*FracGASM*MSVolatEF*NtoN2O*kgtoGg,IF('Net zero activities &amp; levers'!$C$14="On",'Net zero Activity data'!BH48*ttokg*FracGASM*MSVolatEF*NtoN2O*kgtoGg,"ERROR"))</f>
        <v>8.8781906046115251E-3</v>
      </c>
      <c r="AP1165" s="101">
        <f>IF('Net zero activities &amp; levers'!$C$14="Off",'Activity data'!BI48*ttokg*FracGASM*MSVolatEF*NtoN2O*kgtoGg,IF('Net zero activities &amp; levers'!$C$14="On",'Net zero Activity data'!BI48*ttokg*FracGASM*MSVolatEF*NtoN2O*kgtoGg,"ERROR"))</f>
        <v>8.8784816765330177E-3</v>
      </c>
      <c r="AQ1165" s="101">
        <f>IF('Net zero activities &amp; levers'!$C$14="Off",'Activity data'!BJ48*ttokg*FracGASM*MSVolatEF*NtoN2O*kgtoGg,IF('Net zero activities &amp; levers'!$C$14="On",'Net zero Activity data'!BJ48*ttokg*FracGASM*MSVolatEF*NtoN2O*kgtoGg,"ERROR"))</f>
        <v>8.8787753963442528E-3</v>
      </c>
      <c r="AR1165" s="101">
        <f>IF('Net zero activities &amp; levers'!$C$14="Off",'Activity data'!BK48*ttokg*FracGASM*MSVolatEF*NtoN2O*kgtoGg,IF('Net zero activities &amp; levers'!$C$14="On",'Net zero Activity data'!BK48*ttokg*FracGASM*MSVolatEF*NtoN2O*kgtoGg,"ERROR"))</f>
        <v>8.8790717958671054E-3</v>
      </c>
      <c r="AS1165" s="101">
        <f>IF('Net zero activities &amp; levers'!$C$14="Off",'Activity data'!BL48*ttokg*FracGASM*MSVolatEF*NtoN2O*kgtoGg,IF('Net zero activities &amp; levers'!$C$14="On",'Net zero Activity data'!BL48*ttokg*FracGASM*MSVolatEF*NtoN2O*kgtoGg,"ERROR"))</f>
        <v>8.8793709074482721E-3</v>
      </c>
      <c r="AT1165" s="101">
        <f>IF('Net zero activities &amp; levers'!$C$14="Off",'Activity data'!BM48*ttokg*FracGASM*MSVolatEF*NtoN2O*kgtoGg,IF('Net zero activities &amp; levers'!$C$14="On",'Net zero Activity data'!BM48*ttokg*FracGASM*MSVolatEF*NtoN2O*kgtoGg,"ERROR"))</f>
        <v>8.8796189417032281E-3</v>
      </c>
      <c r="AU1165" s="101">
        <f>IF('Net zero activities &amp; levers'!$C$14="Off",'Activity data'!BN48*ttokg*FracGASM*MSVolatEF*NtoN2O*kgtoGg,IF('Net zero activities &amp; levers'!$C$14="On",'Net zero Activity data'!BN48*ttokg*FracGASM*MSVolatEF*NtoN2O*kgtoGg,"ERROR"))</f>
        <v>8.8798688508735287E-3</v>
      </c>
      <c r="AV1165" s="101">
        <f>IF('Net zero activities &amp; levers'!$C$14="Off",'Activity data'!BO48*ttokg*FracGASM*MSVolatEF*NtoN2O*kgtoGg,IF('Net zero activities &amp; levers'!$C$14="On",'Net zero Activity data'!BO48*ttokg*FracGASM*MSVolatEF*NtoN2O*kgtoGg,"ERROR"))</f>
        <v>8.8801206537795687E-3</v>
      </c>
      <c r="AW1165" s="101">
        <f>IF('Net zero activities &amp; levers'!$C$14="Off",'Activity data'!BP48*ttokg*FracGASM*MSVolatEF*NtoN2O*kgtoGg,IF('Net zero activities &amp; levers'!$C$14="On",'Net zero Activity data'!BP48*ttokg*FracGASM*MSVolatEF*NtoN2O*kgtoGg,"ERROR"))</f>
        <v>8.8803743695016445E-3</v>
      </c>
      <c r="AY1165" s="85"/>
    </row>
    <row r="1166" spans="1:51" x14ac:dyDescent="0.25">
      <c r="A1166" s="102" t="str">
        <f t="shared" si="374"/>
        <v>CM Volatilisation</v>
      </c>
      <c r="B1166" s="102" t="s">
        <v>1323</v>
      </c>
      <c r="C1166" s="102" t="s">
        <v>62</v>
      </c>
      <c r="D1166" t="s">
        <v>369</v>
      </c>
      <c r="E1166" t="s">
        <v>61</v>
      </c>
      <c r="F1166" t="s">
        <v>62</v>
      </c>
      <c r="G1166" t="s">
        <v>437</v>
      </c>
      <c r="H1166" t="s">
        <v>1187</v>
      </c>
      <c r="I1166" t="s">
        <v>139</v>
      </c>
      <c r="J1166" t="s">
        <v>287</v>
      </c>
      <c r="K1166" s="101">
        <f>IF('Net zero activities &amp; levers'!$C$14="Off",SUM('Activity data'!AD50:AD65)*FracGASM*MSVolatEF*NtoN2O*kgtoGg,IF('Net zero activities &amp; levers'!$C$14="On",SUM('Net zero Activity data'!AD50:AD65)*FracGASM*MSVolatEF*NtoN2O*kgtoGg,"ERROR"))</f>
        <v>1.2093332917192059</v>
      </c>
      <c r="L1166" s="101">
        <f>IF('Net zero activities &amp; levers'!$C$14="Off",SUM('Activity data'!AE50:AE65)*FracGASM*MSVolatEF*NtoN2O*kgtoGg,IF('Net zero activities &amp; levers'!$C$14="On",SUM('Net zero Activity data'!AE50:AE65)*FracGASM*MSVolatEF*NtoN2O*kgtoGg,"ERROR"))</f>
        <v>1.212549014194676</v>
      </c>
      <c r="M1166" s="101">
        <f>IF('Net zero activities &amp; levers'!$C$14="Off",SUM('Activity data'!AF50:AF65)*FracGASM*MSVolatEF*NtoN2O*kgtoGg,IF('Net zero activities &amp; levers'!$C$14="On",SUM('Net zero Activity data'!AF50:AF65)*FracGASM*MSVolatEF*NtoN2O*kgtoGg,"ERROR"))</f>
        <v>1.2080675975352919</v>
      </c>
      <c r="N1166" s="101">
        <f>IF('Net zero activities &amp; levers'!$C$14="Off",SUM('Activity data'!AG50:AG65)*FracGASM*MSVolatEF*NtoN2O*kgtoGg,IF('Net zero activities &amp; levers'!$C$14="On",SUM('Net zero Activity data'!AG50:AG65)*FracGASM*MSVolatEF*NtoN2O*kgtoGg,"ERROR"))</f>
        <v>1.1932021188168924</v>
      </c>
      <c r="O1166" s="101">
        <f>IF('Net zero activities &amp; levers'!$C$14="Off",SUM('Activity data'!AH50:AH65)*FracGASM*MSVolatEF*NtoN2O*kgtoGg,IF('Net zero activities &amp; levers'!$C$14="On",SUM('Net zero Activity data'!AH50:AH65)*FracGASM*MSVolatEF*NtoN2O*kgtoGg,"ERROR"))</f>
        <v>1.1789615688677482</v>
      </c>
      <c r="P1166" s="101">
        <f>IF('Net zero activities &amp; levers'!$C$14="Off",SUM('Activity data'!AI50:AI65)*FracGASM*MSVolatEF*NtoN2O*kgtoGg,IF('Net zero activities &amp; levers'!$C$14="On",SUM('Net zero Activity data'!AI50:AI65)*FracGASM*MSVolatEF*NtoN2O*kgtoGg,"ERROR"))</f>
        <v>1.1704734210058418</v>
      </c>
      <c r="Q1166" s="101">
        <f>IF('Net zero activities &amp; levers'!$C$14="Off",SUM('Activity data'!AJ50:AJ65)*FracGASM*MSVolatEF*NtoN2O*kgtoGg,IF('Net zero activities &amp; levers'!$C$14="On",SUM('Net zero Activity data'!AJ50:AJ65)*FracGASM*MSVolatEF*NtoN2O*kgtoGg,"ERROR"))</f>
        <v>1.1638691365373428</v>
      </c>
      <c r="R1166" s="101">
        <f>IF('Net zero activities &amp; levers'!$C$14="Off",SUM('Activity data'!AK50:AK65)*FracGASM*MSVolatEF*NtoN2O*kgtoGg,IF('Net zero activities &amp; levers'!$C$14="On",SUM('Net zero Activity data'!AK50:AK65)*FracGASM*MSVolatEF*NtoN2O*kgtoGg,"ERROR"))</f>
        <v>1.1469007270703131</v>
      </c>
      <c r="S1166" s="101">
        <f>IF('Net zero activities &amp; levers'!$C$14="Off",SUM('Activity data'!AL50:AL65)*FracGASM*MSVolatEF*NtoN2O*kgtoGg,IF('Net zero activities &amp; levers'!$C$14="On",SUM('Net zero Activity data'!AL50:AL65)*FracGASM*MSVolatEF*NtoN2O*kgtoGg,"ERROR"))</f>
        <v>1.0343013809056243</v>
      </c>
      <c r="T1166" s="101">
        <f>IF('Net zero activities &amp; levers'!$C$14="Off",SUM('Activity data'!AM50:AM65)*FracGASM*MSVolatEF*NtoN2O*kgtoGg,IF('Net zero activities &amp; levers'!$C$14="On",SUM('Net zero Activity data'!AM50:AM65)*FracGASM*MSVolatEF*NtoN2O*kgtoGg,"ERROR"))</f>
        <v>1.0481909256150905</v>
      </c>
      <c r="U1166" s="101">
        <f>IF('Net zero activities &amp; levers'!$C$14="Off",SUM('Activity data'!AN50:AN65)*FracGASM*MSVolatEF*NtoN2O*kgtoGg,IF('Net zero activities &amp; levers'!$C$14="On",SUM('Net zero Activity data'!AN50:AN65)*FracGASM*MSVolatEF*NtoN2O*kgtoGg,"ERROR"))</f>
        <v>1.0595148748541463</v>
      </c>
      <c r="V1166" s="101">
        <f>IF('Net zero activities &amp; levers'!$C$14="Off",SUM('Activity data'!AO50:AO65)*FracGASM*MSVolatEF*NtoN2O*kgtoGg,IF('Net zero activities &amp; levers'!$C$14="On",SUM('Net zero Activity data'!AO50:AO65)*FracGASM*MSVolatEF*NtoN2O*kgtoGg,"ERROR"))</f>
        <v>1.0708200492308082</v>
      </c>
      <c r="W1166" s="101">
        <f>IF('Net zero activities &amp; levers'!$C$14="Off",SUM('Activity data'!AP50:AP65)*FracGASM*MSVolatEF*NtoN2O*kgtoGg,IF('Net zero activities &amp; levers'!$C$14="On",SUM('Net zero Activity data'!AP50:AP65)*FracGASM*MSVolatEF*NtoN2O*kgtoGg,"ERROR"))</f>
        <v>1.0860105374840394</v>
      </c>
      <c r="X1166" s="101">
        <f>IF('Net zero activities &amp; levers'!$C$14="Off",SUM('Activity data'!AQ50:AQ65)*FracGASM*MSVolatEF*NtoN2O*kgtoGg,IF('Net zero activities &amp; levers'!$C$14="On",SUM('Net zero Activity data'!AQ50:AQ65)*FracGASM*MSVolatEF*NtoN2O*kgtoGg,"ERROR"))</f>
        <v>1.1011136627598048</v>
      </c>
      <c r="Y1166" s="101">
        <f>IF('Net zero activities &amp; levers'!$C$14="Off",SUM('Activity data'!AR50:AR65)*FracGASM*MSVolatEF*NtoN2O*kgtoGg,IF('Net zero activities &amp; levers'!$C$14="On",SUM('Net zero Activity data'!AR50:AR65)*FracGASM*MSVolatEF*NtoN2O*kgtoGg,"ERROR"))</f>
        <v>1.1168753754822469</v>
      </c>
      <c r="Z1166" s="101">
        <f>IF('Net zero activities &amp; levers'!$C$14="Off",SUM('Activity data'!AS50:AS65)*FracGASM*MSVolatEF*NtoN2O*kgtoGg,IF('Net zero activities &amp; levers'!$C$14="On",SUM('Net zero Activity data'!AS50:AS65)*FracGASM*MSVolatEF*NtoN2O*kgtoGg,"ERROR"))</f>
        <v>1.1316116174141071</v>
      </c>
      <c r="AA1166" s="101">
        <f>IF('Net zero activities &amp; levers'!$C$14="Off",SUM('Activity data'!AT50:AT65)*FracGASM*MSVolatEF*NtoN2O*kgtoGg,IF('Net zero activities &amp; levers'!$C$14="On",SUM('Net zero Activity data'!AT50:AT65)*FracGASM*MSVolatEF*NtoN2O*kgtoGg,"ERROR"))</f>
        <v>1.1477472664244306</v>
      </c>
      <c r="AB1166" s="101">
        <f>IF('Net zero activities &amp; levers'!$C$14="Off",SUM('Activity data'!AU50:AU65)*FracGASM*MSVolatEF*NtoN2O*kgtoGg,IF('Net zero activities &amp; levers'!$C$14="On",SUM('Net zero Activity data'!AU50:AU65)*FracGASM*MSVolatEF*NtoN2O*kgtoGg,"ERROR"))</f>
        <v>1.162000977077071</v>
      </c>
      <c r="AC1166" s="101">
        <f>IF('Net zero activities &amp; levers'!$C$14="Off",SUM('Activity data'!AV50:AV65)*FracGASM*MSVolatEF*NtoN2O*kgtoGg,IF('Net zero activities &amp; levers'!$C$14="On",SUM('Net zero Activity data'!AV50:AV65)*FracGASM*MSVolatEF*NtoN2O*kgtoGg,"ERROR"))</f>
        <v>1.1766850766989885</v>
      </c>
      <c r="AD1166" s="101">
        <f>IF('Net zero activities &amp; levers'!$C$14="Off",SUM('Activity data'!AW50:AW65)*FracGASM*MSVolatEF*NtoN2O*kgtoGg,IF('Net zero activities &amp; levers'!$C$14="On",SUM('Net zero Activity data'!AW50:AW65)*FracGASM*MSVolatEF*NtoN2O*kgtoGg,"ERROR"))</f>
        <v>1.1920390141813535</v>
      </c>
      <c r="AE1166" s="101">
        <f>IF('Net zero activities &amp; levers'!$C$14="Off",SUM('Activity data'!AX50:AX65)*FracGASM*MSVolatEF*NtoN2O*kgtoGg,IF('Net zero activities &amp; levers'!$C$14="On",SUM('Net zero Activity data'!AX50:AX65)*FracGASM*MSVolatEF*NtoN2O*kgtoGg,"ERROR"))</f>
        <v>1.209291621864601</v>
      </c>
      <c r="AF1166" s="101">
        <f>IF('Net zero activities &amp; levers'!$C$14="Off",SUM('Activity data'!AY50:AY65)*FracGASM*MSVolatEF*NtoN2O*kgtoGg,IF('Net zero activities &amp; levers'!$C$14="On",SUM('Net zero Activity data'!AY50:AY65)*FracGASM*MSVolatEF*NtoN2O*kgtoGg,"ERROR"))</f>
        <v>1.2270828646029268</v>
      </c>
      <c r="AG1166" s="101">
        <f>IF('Net zero activities &amp; levers'!$C$14="Off",SUM('Activity data'!AZ50:AZ65)*FracGASM*MSVolatEF*NtoN2O*kgtoGg,IF('Net zero activities &amp; levers'!$C$14="On",SUM('Net zero Activity data'!AZ50:AZ65)*FracGASM*MSVolatEF*NtoN2O*kgtoGg,"ERROR"))</f>
        <v>1.2169487802084893</v>
      </c>
      <c r="AH1166" s="101">
        <f>IF('Net zero activities &amp; levers'!$C$14="Off",SUM('Activity data'!BA50:BA65)*FracGASM*MSVolatEF*NtoN2O*kgtoGg,IF('Net zero activities &amp; levers'!$C$14="On",SUM('Net zero Activity data'!BA50:BA65)*FracGASM*MSVolatEF*NtoN2O*kgtoGg,"ERROR"))</f>
        <v>-0.11188522139136049</v>
      </c>
      <c r="AI1166" s="101">
        <f>IF('Net zero activities &amp; levers'!$C$14="Off",SUM('Activity data'!BB50:BB65)*FracGASM*MSVolatEF*NtoN2O*kgtoGg,IF('Net zero activities &amp; levers'!$C$14="On",SUM('Net zero Activity data'!BB50:BB65)*FracGASM*MSVolatEF*NtoN2O*kgtoGg,"ERROR"))</f>
        <v>-0.10923992354699982</v>
      </c>
      <c r="AJ1166" s="101">
        <f>IF('Net zero activities &amp; levers'!$C$14="Off",SUM('Activity data'!BC50:BC65)*FracGASM*MSVolatEF*NtoN2O*kgtoGg,IF('Net zero activities &amp; levers'!$C$14="On",SUM('Net zero Activity data'!BC50:BC65)*FracGASM*MSVolatEF*NtoN2O*kgtoGg,"ERROR"))</f>
        <v>-0.10664295801578709</v>
      </c>
      <c r="AK1166" s="101">
        <f>IF('Net zero activities &amp; levers'!$C$14="Off",SUM('Activity data'!BD50:BD65)*FracGASM*MSVolatEF*NtoN2O*kgtoGg,IF('Net zero activities &amp; levers'!$C$14="On",SUM('Net zero Activity data'!BD50:BD65)*FracGASM*MSVolatEF*NtoN2O*kgtoGg,"ERROR"))</f>
        <v>-0.10409179637304686</v>
      </c>
      <c r="AL1166" s="101">
        <f>IF('Net zero activities &amp; levers'!$C$14="Off",SUM('Activity data'!BE50:BE65)*FracGASM*MSVolatEF*NtoN2O*kgtoGg,IF('Net zero activities &amp; levers'!$C$14="On",SUM('Net zero Activity data'!BE50:BE65)*FracGASM*MSVolatEF*NtoN2O*kgtoGg,"ERROR"))</f>
        <v>-0.10158408786075553</v>
      </c>
      <c r="AM1166" s="101">
        <f>IF('Net zero activities &amp; levers'!$C$14="Off",SUM('Activity data'!BF50:BF65)*FracGASM*MSVolatEF*NtoN2O*kgtoGg,IF('Net zero activities &amp; levers'!$C$14="On",SUM('Net zero Activity data'!BF50:BF65)*FracGASM*MSVolatEF*NtoN2O*kgtoGg,"ERROR"))</f>
        <v>-9.911764281122247E-2</v>
      </c>
      <c r="AN1166" s="101">
        <f>IF('Net zero activities &amp; levers'!$C$14="Off",SUM('Activity data'!BG50:BG65)*FracGASM*MSVolatEF*NtoN2O*kgtoGg,IF('Net zero activities &amp; levers'!$C$14="On",SUM('Net zero Activity data'!BG50:BG65)*FracGASM*MSVolatEF*NtoN2O*kgtoGg,"ERROR"))</f>
        <v>-9.7051147987208763E-2</v>
      </c>
      <c r="AO1166" s="101">
        <f>IF('Net zero activities &amp; levers'!$C$14="Off",SUM('Activity data'!BH50:BH65)*FracGASM*MSVolatEF*NtoN2O*kgtoGg,IF('Net zero activities &amp; levers'!$C$14="On",SUM('Net zero Activity data'!BH50:BH65)*FracGASM*MSVolatEF*NtoN2O*kgtoGg,"ERROR"))</f>
        <v>-9.5020146872529937E-2</v>
      </c>
      <c r="AP1166" s="101">
        <f>IF('Net zero activities &amp; levers'!$C$14="Off",SUM('Activity data'!BI50:BI65)*FracGASM*MSVolatEF*NtoN2O*kgtoGg,IF('Net zero activities &amp; levers'!$C$14="On",SUM('Net zero Activity data'!BI50:BI65)*FracGASM*MSVolatEF*NtoN2O*kgtoGg,"ERROR"))</f>
        <v>-9.3023012126499452E-2</v>
      </c>
      <c r="AQ1166" s="101">
        <f>IF('Net zero activities &amp; levers'!$C$14="Off",SUM('Activity data'!BJ50:BJ65)*FracGASM*MSVolatEF*NtoN2O*kgtoGg,IF('Net zero activities &amp; levers'!$C$14="On",SUM('Net zero Activity data'!BJ50:BJ65)*FracGASM*MSVolatEF*NtoN2O*kgtoGg,"ERROR"))</f>
        <v>-9.1058219239636279E-2</v>
      </c>
      <c r="AR1166" s="101">
        <f>IF('Net zero activities &amp; levers'!$C$14="Off",SUM('Activity data'!BK50:BK65)*FracGASM*MSVolatEF*NtoN2O*kgtoGg,IF('Net zero activities &amp; levers'!$C$14="On",SUM('Net zero Activity data'!BK50:BK65)*FracGASM*MSVolatEF*NtoN2O*kgtoGg,"ERROR"))</f>
        <v>-8.9124337939456066E-2</v>
      </c>
      <c r="AS1166" s="101">
        <f>IF('Net zero activities &amp; levers'!$C$14="Off",SUM('Activity data'!BL50:BL65)*FracGASM*MSVolatEF*NtoN2O*kgtoGg,IF('Net zero activities &amp; levers'!$C$14="On",SUM('Net zero Activity data'!BL50:BL65)*FracGASM*MSVolatEF*NtoN2O*kgtoGg,"ERROR"))</f>
        <v>-8.7091918156742387E-2</v>
      </c>
      <c r="AT1166" s="101">
        <f>IF('Net zero activities &amp; levers'!$C$14="Off",SUM('Activity data'!BM50:BM65)*FracGASM*MSVolatEF*NtoN2O*kgtoGg,IF('Net zero activities &amp; levers'!$C$14="On",SUM('Net zero Activity data'!BM50:BM65)*FracGASM*MSVolatEF*NtoN2O*kgtoGg,"ERROR"))</f>
        <v>-8.5090852576232723E-2</v>
      </c>
      <c r="AU1166" s="101">
        <f>IF('Net zero activities &amp; levers'!$C$14="Off",SUM('Activity data'!BN50:BN65)*FracGASM*MSVolatEF*NtoN2O*kgtoGg,IF('Net zero activities &amp; levers'!$C$14="On",SUM('Net zero Activity data'!BN50:BN65)*FracGASM*MSVolatEF*NtoN2O*kgtoGg,"ERROR"))</f>
        <v>-8.3119887513720792E-2</v>
      </c>
      <c r="AV1166" s="101">
        <f>IF('Net zero activities &amp; levers'!$C$14="Off",SUM('Activity data'!BO50:BO65)*FracGASM*MSVolatEF*NtoN2O*kgtoGg,IF('Net zero activities &amp; levers'!$C$14="On",SUM('Net zero Activity data'!BO50:BO65)*FracGASM*MSVolatEF*NtoN2O*kgtoGg,"ERROR"))</f>
        <v>-8.1177840815191041E-2</v>
      </c>
      <c r="AW1166" s="101">
        <f>IF('Net zero activities &amp; levers'!$C$14="Off",SUM('Activity data'!BP50:BP65)*FracGASM*MSVolatEF*NtoN2O*kgtoGg,IF('Net zero activities &amp; levers'!$C$14="On",SUM('Net zero Activity data'!BP50:BP65)*FracGASM*MSVolatEF*NtoN2O*kgtoGg,"ERROR"))</f>
        <v>-7.9263596467564895E-2</v>
      </c>
      <c r="AY1166" s="85"/>
    </row>
    <row r="1167" spans="1:51" x14ac:dyDescent="0.25">
      <c r="A1167" s="102" t="str">
        <f t="shared" si="374"/>
        <v>CM Volatilisation</v>
      </c>
      <c r="B1167" s="102" t="s">
        <v>1323</v>
      </c>
      <c r="C1167" s="102" t="s">
        <v>62</v>
      </c>
      <c r="D1167" t="s">
        <v>369</v>
      </c>
      <c r="E1167" t="s">
        <v>61</v>
      </c>
      <c r="F1167" t="s">
        <v>62</v>
      </c>
      <c r="G1167" t="s">
        <v>438</v>
      </c>
      <c r="H1167" t="s">
        <v>1266</v>
      </c>
      <c r="I1167" t="s">
        <v>139</v>
      </c>
      <c r="J1167" t="s">
        <v>287</v>
      </c>
      <c r="K1167" s="101">
        <f>IF('Net zero activities &amp; levers'!$C$14="Off",SUM('Activity data'!AD66:AD81)*FracGASM*MSVolatEF*NtoN2O*kgtoGg,IF('Net zero activities &amp; levers'!$C$14="On",SUM('Net zero Activity data'!AD66:AD81)*FracGASM*MSVolatEF*NtoN2O*kgtoGg,"ERROR"))</f>
        <v>4.4200208339270741</v>
      </c>
      <c r="L1167" s="101">
        <f>IF('Net zero activities &amp; levers'!$C$14="Off",SUM('Activity data'!AE66:AE81)*FracGASM*MSVolatEF*NtoN2O*kgtoGg,IF('Net zero activities &amp; levers'!$C$14="On",SUM('Net zero Activity data'!AE66:AE81)*FracGASM*MSVolatEF*NtoN2O*kgtoGg,"ERROR"))</f>
        <v>4.4063497224338981</v>
      </c>
      <c r="M1167" s="101">
        <f>IF('Net zero activities &amp; levers'!$C$14="Off",SUM('Activity data'!AF66:AF81)*FracGASM*MSVolatEF*NtoN2O*kgtoGg,IF('Net zero activities &amp; levers'!$C$14="On",SUM('Net zero Activity data'!AF66:AF81)*FracGASM*MSVolatEF*NtoN2O*kgtoGg,"ERROR"))</f>
        <v>4.3748236308422763</v>
      </c>
      <c r="N1167" s="101">
        <f>IF('Net zero activities &amp; levers'!$C$14="Off",SUM('Activity data'!AG66:AG81)*FracGASM*MSVolatEF*NtoN2O*kgtoGg,IF('Net zero activities &amp; levers'!$C$14="On",SUM('Net zero Activity data'!AG66:AG81)*FracGASM*MSVolatEF*NtoN2O*kgtoGg,"ERROR"))</f>
        <v>4.3194633293945399</v>
      </c>
      <c r="O1167" s="101">
        <f>IF('Net zero activities &amp; levers'!$C$14="Off",SUM('Activity data'!AH66:AH81)*FracGASM*MSVolatEF*NtoN2O*kgtoGg,IF('Net zero activities &amp; levers'!$C$14="On",SUM('Net zero Activity data'!AH66:AH81)*FracGASM*MSVolatEF*NtoN2O*kgtoGg,"ERROR"))</f>
        <v>4.2670975633063994</v>
      </c>
      <c r="P1167" s="101">
        <f>IF('Net zero activities &amp; levers'!$C$14="Off",SUM('Activity data'!AI66:AI81)*FracGASM*MSVolatEF*NtoN2O*kgtoGg,IF('Net zero activities &amp; levers'!$C$14="On",SUM('Net zero Activity data'!AI66:AI81)*FracGASM*MSVolatEF*NtoN2O*kgtoGg,"ERROR"))</f>
        <v>4.2296870830077653</v>
      </c>
      <c r="Q1167" s="101">
        <f>IF('Net zero activities &amp; levers'!$C$14="Off",SUM('Activity data'!AJ66:AJ81)*FracGASM*MSVolatEF*NtoN2O*kgtoGg,IF('Net zero activities &amp; levers'!$C$14="On",SUM('Net zero Activity data'!AJ66:AJ81)*FracGASM*MSVolatEF*NtoN2O*kgtoGg,"ERROR"))</f>
        <v>4.1973003663588617</v>
      </c>
      <c r="R1167" s="101">
        <f>IF('Net zero activities &amp; levers'!$C$14="Off",SUM('Activity data'!AK66:AK81)*FracGASM*MSVolatEF*NtoN2O*kgtoGg,IF('Net zero activities &amp; levers'!$C$14="On",SUM('Net zero Activity data'!AK66:AK81)*FracGASM*MSVolatEF*NtoN2O*kgtoGg,"ERROR"))</f>
        <v>4.1416337219460111</v>
      </c>
      <c r="S1167" s="101">
        <f>IF('Net zero activities &amp; levers'!$C$14="Off",SUM('Activity data'!AL66:AL81)*FracGASM*MSVolatEF*NtoN2O*kgtoGg,IF('Net zero activities &amp; levers'!$C$14="On",SUM('Net zero Activity data'!AL66:AL81)*FracGASM*MSVolatEF*NtoN2O*kgtoGg,"ERROR"))</f>
        <v>3.8694283391195556</v>
      </c>
      <c r="T1167" s="101">
        <f>IF('Net zero activities &amp; levers'!$C$14="Off",SUM('Activity data'!AM66:AM81)*FracGASM*MSVolatEF*NtoN2O*kgtoGg,IF('Net zero activities &amp; levers'!$C$14="On",SUM('Net zero Activity data'!AM66:AM81)*FracGASM*MSVolatEF*NtoN2O*kgtoGg,"ERROR"))</f>
        <v>3.892690707807458</v>
      </c>
      <c r="U1167" s="101">
        <f>IF('Net zero activities &amp; levers'!$C$14="Off",SUM('Activity data'!AN66:AN81)*FracGASM*MSVolatEF*NtoN2O*kgtoGg,IF('Net zero activities &amp; levers'!$C$14="On",SUM('Net zero Activity data'!AN66:AN81)*FracGASM*MSVolatEF*NtoN2O*kgtoGg,"ERROR"))</f>
        <v>3.910223559811274</v>
      </c>
      <c r="V1167" s="101">
        <f>IF('Net zero activities &amp; levers'!$C$14="Off",SUM('Activity data'!AO66:AO81)*FracGASM*MSVolatEF*NtoN2O*kgtoGg,IF('Net zero activities &amp; levers'!$C$14="On",SUM('Net zero Activity data'!AO66:AO81)*FracGASM*MSVolatEF*NtoN2O*kgtoGg,"ERROR"))</f>
        <v>3.9277946028277135</v>
      </c>
      <c r="W1167" s="101">
        <f>IF('Net zero activities &amp; levers'!$C$14="Off",SUM('Activity data'!AP66:AP81)*FracGASM*MSVolatEF*NtoN2O*kgtoGg,IF('Net zero activities &amp; levers'!$C$14="On",SUM('Net zero Activity data'!AP66:AP81)*FracGASM*MSVolatEF*NtoN2O*kgtoGg,"ERROR"))</f>
        <v>3.9540546968376762</v>
      </c>
      <c r="X1167" s="101">
        <f>IF('Net zero activities &amp; levers'!$C$14="Off",SUM('Activity data'!AQ66:AQ81)*FracGASM*MSVolatEF*NtoN2O*kgtoGg,IF('Net zero activities &amp; levers'!$C$14="On",SUM('Net zero Activity data'!AQ66:AQ81)*FracGASM*MSVolatEF*NtoN2O*kgtoGg,"ERROR"))</f>
        <v>3.9800525826427466</v>
      </c>
      <c r="Y1167" s="101">
        <f>IF('Net zero activities &amp; levers'!$C$14="Off",SUM('Activity data'!AR66:AR81)*FracGASM*MSVolatEF*NtoN2O*kgtoGg,IF('Net zero activities &amp; levers'!$C$14="On",SUM('Net zero Activity data'!AR66:AR81)*FracGASM*MSVolatEF*NtoN2O*kgtoGg,"ERROR"))</f>
        <v>4.0052503163811615</v>
      </c>
      <c r="Z1167" s="101">
        <f>IF('Net zero activities &amp; levers'!$C$14="Off",SUM('Activity data'!AS66:AS81)*FracGASM*MSVolatEF*NtoN2O*kgtoGg,IF('Net zero activities &amp; levers'!$C$14="On",SUM('Net zero Activity data'!AS66:AS81)*FracGASM*MSVolatEF*NtoN2O*kgtoGg,"ERROR"))</f>
        <v>4.0280715770679869</v>
      </c>
      <c r="AA1167" s="101">
        <f>IF('Net zero activities &amp; levers'!$C$14="Off",SUM('Activity data'!AT66:AT81)*FracGASM*MSVolatEF*NtoN2O*kgtoGg,IF('Net zero activities &amp; levers'!$C$14="On",SUM('Net zero Activity data'!AT66:AT81)*FracGASM*MSVolatEF*NtoN2O*kgtoGg,"ERROR"))</f>
        <v>4.0537990986432781</v>
      </c>
      <c r="AB1167" s="101">
        <f>IF('Net zero activities &amp; levers'!$C$14="Off",SUM('Activity data'!AU66:AU81)*FracGASM*MSVolatEF*NtoN2O*kgtoGg,IF('Net zero activities &amp; levers'!$C$14="On",SUM('Net zero Activity data'!AU66:AU81)*FracGASM*MSVolatEF*NtoN2O*kgtoGg,"ERROR"))</f>
        <v>4.0752877726899488</v>
      </c>
      <c r="AC1167" s="101">
        <f>IF('Net zero activities &amp; levers'!$C$14="Off",SUM('Activity data'!AV66:AV81)*FracGASM*MSVolatEF*NtoN2O*kgtoGg,IF('Net zero activities &amp; levers'!$C$14="On",SUM('Net zero Activity data'!AV66:AV81)*FracGASM*MSVolatEF*NtoN2O*kgtoGg,"ERROR"))</f>
        <v>4.0975518352324007</v>
      </c>
      <c r="AD1167" s="101">
        <f>IF('Net zero activities &amp; levers'!$C$14="Off",SUM('Activity data'!AW66:AW81)*FracGASM*MSVolatEF*NtoN2O*kgtoGg,IF('Net zero activities &amp; levers'!$C$14="On",SUM('Net zero Activity data'!AW66:AW81)*FracGASM*MSVolatEF*NtoN2O*kgtoGg,"ERROR"))</f>
        <v>4.1101837888002137</v>
      </c>
      <c r="AE1167" s="101">
        <f>IF('Net zero activities &amp; levers'!$C$14="Off",SUM('Activity data'!AX66:AX81)*FracGASM*MSVolatEF*NtoN2O*kgtoGg,IF('Net zero activities &amp; levers'!$C$14="On",SUM('Net zero Activity data'!AX66:AX81)*FracGASM*MSVolatEF*NtoN2O*kgtoGg,"ERROR"))</f>
        <v>4.1260897941446899</v>
      </c>
      <c r="AF1167" s="101">
        <f>IF('Net zero activities &amp; levers'!$C$14="Off",SUM('Activity data'!AY66:AY81)*FracGASM*MSVolatEF*NtoN2O*kgtoGg,IF('Net zero activities &amp; levers'!$C$14="On",SUM('Net zero Activity data'!AY66:AY81)*FracGASM*MSVolatEF*NtoN2O*kgtoGg,"ERROR"))</f>
        <v>4.1422931340887423</v>
      </c>
      <c r="AG1167" s="101">
        <f>IF('Net zero activities &amp; levers'!$C$14="Off",SUM('Activity data'!AZ66:AZ81)*FracGASM*MSVolatEF*NtoN2O*kgtoGg,IF('Net zero activities &amp; levers'!$C$14="On",SUM('Net zero Activity data'!AZ66:AZ81)*FracGASM*MSVolatEF*NtoN2O*kgtoGg,"ERROR"))</f>
        <v>4.1002928018965292</v>
      </c>
      <c r="AH1167" s="101">
        <f>IF('Net zero activities &amp; levers'!$C$14="Off",SUM('Activity data'!BA66:BA81)*FracGASM*MSVolatEF*NtoN2O*kgtoGg,IF('Net zero activities &amp; levers'!$C$14="On",SUM('Net zero Activity data'!BA66:BA81)*FracGASM*MSVolatEF*NtoN2O*kgtoGg,"ERROR"))</f>
        <v>1.3815874291099948</v>
      </c>
      <c r="AI1167" s="101">
        <f>IF('Net zero activities &amp; levers'!$C$14="Off",SUM('Activity data'!BB66:BB81)*FracGASM*MSVolatEF*NtoN2O*kgtoGg,IF('Net zero activities &amp; levers'!$C$14="On",SUM('Net zero Activity data'!BB66:BB81)*FracGASM*MSVolatEF*NtoN2O*kgtoGg,"ERROR"))</f>
        <v>1.3949306414379468</v>
      </c>
      <c r="AJ1167" s="101">
        <f>IF('Net zero activities &amp; levers'!$C$14="Off",SUM('Activity data'!BC66:BC81)*FracGASM*MSVolatEF*NtoN2O*kgtoGg,IF('Net zero activities &amp; levers'!$C$14="On",SUM('Net zero Activity data'!BC66:BC81)*FracGASM*MSVolatEF*NtoN2O*kgtoGg,"ERROR"))</f>
        <v>1.4082841741429419</v>
      </c>
      <c r="AK1167" s="101">
        <f>IF('Net zero activities &amp; levers'!$C$14="Off",SUM('Activity data'!BD66:BD81)*FracGASM*MSVolatEF*NtoN2O*kgtoGg,IF('Net zero activities &amp; levers'!$C$14="On",SUM('Net zero Activity data'!BD66:BD81)*FracGASM*MSVolatEF*NtoN2O*kgtoGg,"ERROR"))</f>
        <v>1.4216501520712144</v>
      </c>
      <c r="AL1167" s="101">
        <f>IF('Net zero activities &amp; levers'!$C$14="Off",SUM('Activity data'!BE66:BE81)*FracGASM*MSVolatEF*NtoN2O*kgtoGg,IF('Net zero activities &amp; levers'!$C$14="On",SUM('Net zero Activity data'!BE66:BE81)*FracGASM*MSVolatEF*NtoN2O*kgtoGg,"ERROR"))</f>
        <v>1.4350306139589808</v>
      </c>
      <c r="AM1167" s="101">
        <f>IF('Net zero activities &amp; levers'!$C$14="Off",SUM('Activity data'!BF66:BF81)*FracGASM*MSVolatEF*NtoN2O*kgtoGg,IF('Net zero activities &amp; levers'!$C$14="On",SUM('Net zero Activity data'!BF66:BF81)*FracGASM*MSVolatEF*NtoN2O*kgtoGg,"ERROR"))</f>
        <v>1.4484275190090183</v>
      </c>
      <c r="AN1167" s="101">
        <f>IF('Net zero activities &amp; levers'!$C$14="Off",SUM('Activity data'!BG66:BG81)*FracGASM*MSVolatEF*NtoN2O*kgtoGg,IF('Net zero activities &amp; levers'!$C$14="On",SUM('Net zero Activity data'!BG66:BG81)*FracGASM*MSVolatEF*NtoN2O*kgtoGg,"ERROR"))</f>
        <v>1.4583849717914823</v>
      </c>
      <c r="AO1167" s="101">
        <f>IF('Net zero activities &amp; levers'!$C$14="Off",SUM('Activity data'!BH66:BH81)*FracGASM*MSVolatEF*NtoN2O*kgtoGg,IF('Net zero activities &amp; levers'!$C$14="On",SUM('Net zero Activity data'!BH66:BH81)*FracGASM*MSVolatEF*NtoN2O*kgtoGg,"ERROR"))</f>
        <v>1.4683627043177812</v>
      </c>
      <c r="AP1167" s="101">
        <f>IF('Net zero activities &amp; levers'!$C$14="Off",SUM('Activity data'!BI66:BI81)*FracGASM*MSVolatEF*NtoN2O*kgtoGg,IF('Net zero activities &amp; levers'!$C$14="On",SUM('Net zero Activity data'!BI66:BI81)*FracGASM*MSVolatEF*NtoN2O*kgtoGg,"ERROR"))</f>
        <v>1.4783612830909323</v>
      </c>
      <c r="AQ1167" s="101">
        <f>IF('Net zero activities &amp; levers'!$C$14="Off",SUM('Activity data'!BJ66:BJ81)*FracGASM*MSVolatEF*NtoN2O*kgtoGg,IF('Net zero activities &amp; levers'!$C$14="On",SUM('Net zero Activity data'!BJ66:BJ81)*FracGASM*MSVolatEF*NtoN2O*kgtoGg,"ERROR"))</f>
        <v>1.4883812733334345</v>
      </c>
      <c r="AR1167" s="101">
        <f>IF('Net zero activities &amp; levers'!$C$14="Off",SUM('Activity data'!BK66:BK81)*FracGASM*MSVolatEF*NtoN2O*kgtoGg,IF('Net zero activities &amp; levers'!$C$14="On",SUM('Net zero Activity data'!BK66:BK81)*FracGASM*MSVolatEF*NtoN2O*kgtoGg,"ERROR"))</f>
        <v>1.4984232382688703</v>
      </c>
      <c r="AS1167" s="101">
        <f>IF('Net zero activities &amp; levers'!$C$14="Off",SUM('Activity data'!BL66:BL81)*FracGASM*MSVolatEF*NtoN2O*kgtoGg,IF('Net zero activities &amp; levers'!$C$14="On",SUM('Net zero Activity data'!BL66:BL81)*FracGASM*MSVolatEF*NtoN2O*kgtoGg,"ERROR"))</f>
        <v>1.5071704030997894</v>
      </c>
      <c r="AT1167" s="101">
        <f>IF('Net zero activities &amp; levers'!$C$14="Off",SUM('Activity data'!BM66:BM81)*FracGASM*MSVolatEF*NtoN2O*kgtoGg,IF('Net zero activities &amp; levers'!$C$14="On",SUM('Net zero Activity data'!BM66:BM81)*FracGASM*MSVolatEF*NtoN2O*kgtoGg,"ERROR"))</f>
        <v>1.5159247272983905</v>
      </c>
      <c r="AU1167" s="101">
        <f>IF('Net zero activities &amp; levers'!$C$14="Off",SUM('Activity data'!BN66:BN81)*FracGASM*MSVolatEF*NtoN2O*kgtoGg,IF('Net zero activities &amp; levers'!$C$14="On",SUM('Net zero Activity data'!BN66:BN81)*FracGASM*MSVolatEF*NtoN2O*kgtoGg,"ERROR"))</f>
        <v>1.5246866021590828</v>
      </c>
      <c r="AV1167" s="101">
        <f>IF('Net zero activities &amp; levers'!$C$14="Off",SUM('Activity data'!BO66:BO81)*FracGASM*MSVolatEF*NtoN2O*kgtoGg,IF('Net zero activities &amp; levers'!$C$14="On",SUM('Net zero Activity data'!BO66:BO81)*FracGASM*MSVolatEF*NtoN2O*kgtoGg,"ERROR"))</f>
        <v>1.5334564173590695</v>
      </c>
      <c r="AW1167" s="101">
        <f>IF('Net zero activities &amp; levers'!$C$14="Off",SUM('Activity data'!BP66:BP81)*FracGASM*MSVolatEF*NtoN2O*kgtoGg,IF('Net zero activities &amp; levers'!$C$14="On",SUM('Net zero Activity data'!BP66:BP81)*FracGASM*MSVolatEF*NtoN2O*kgtoGg,"ERROR"))</f>
        <v>1.5422345604898144</v>
      </c>
      <c r="AY1167" s="85"/>
    </row>
    <row r="1168" spans="1:51" x14ac:dyDescent="0.25">
      <c r="A1168" s="102" t="str">
        <f t="shared" ref="A1168:A1216" si="380">B1168&amp;" "&amp;C1168</f>
        <v>CM Leaching</v>
      </c>
      <c r="B1168" s="102" t="s">
        <v>1323</v>
      </c>
      <c r="C1168" s="102" t="s">
        <v>1191</v>
      </c>
      <c r="D1168" t="s">
        <v>369</v>
      </c>
      <c r="E1168" t="s">
        <v>61</v>
      </c>
      <c r="F1168" t="s">
        <v>63</v>
      </c>
      <c r="G1168" t="s">
        <v>435</v>
      </c>
      <c r="H1168" t="s">
        <v>1188</v>
      </c>
      <c r="I1168" t="s">
        <v>139</v>
      </c>
      <c r="J1168" t="s">
        <v>287</v>
      </c>
      <c r="K1168" s="101">
        <f>IF('Net zero activities &amp; levers'!$C$14="Off",'Activity data'!AD47*FracLEACH*MSLeachEF*NtoN2O*kgtoGg,IF('Net zero activities &amp; levers'!$C$14="On",'Net zero Activity data'!AD47*FracLEACH*MSLeachEF*NtoN2O*kgtoGg,"ERROR"))</f>
        <v>2.2792360161858692E-4</v>
      </c>
      <c r="L1168" s="101">
        <f>IF('Net zero activities &amp; levers'!$C$14="Off",'Activity data'!AE47*FracLEACH*MSLeachEF*NtoN2O*kgtoGg,IF('Net zero activities &amp; levers'!$C$14="On",'Net zero Activity data'!AE47*FracLEACH*MSLeachEF*NtoN2O*kgtoGg,"ERROR"))</f>
        <v>2.2789089758152E-4</v>
      </c>
      <c r="M1168" s="101">
        <f>IF('Net zero activities &amp; levers'!$C$14="Off",'Activity data'!AF47*FracLEACH*MSLeachEF*NtoN2O*kgtoGg,IF('Net zero activities &amp; levers'!$C$14="On",'Net zero Activity data'!AF47*FracLEACH*MSLeachEF*NtoN2O*kgtoGg,"ERROR"))</f>
        <v>2.2784620728789122E-4</v>
      </c>
      <c r="N1168" s="101">
        <f>IF('Net zero activities &amp; levers'!$C$14="Off",'Activity data'!AG47*FracLEACH*MSLeachEF*NtoN2O*kgtoGg,IF('Net zero activities &amp; levers'!$C$14="On",'Net zero Activity data'!AG47*FracLEACH*MSLeachEF*NtoN2O*kgtoGg,"ERROR"))</f>
        <v>2.2781376806101585E-4</v>
      </c>
      <c r="O1168" s="101">
        <f>IF('Net zero activities &amp; levers'!$C$14="Off",'Activity data'!AH47*FracLEACH*MSLeachEF*NtoN2O*kgtoGg,IF('Net zero activities &amp; levers'!$C$14="On",'Net zero Activity data'!AH47*FracLEACH*MSLeachEF*NtoN2O*kgtoGg,"ERROR"))</f>
        <v>2.277979703991449E-4</v>
      </c>
      <c r="P1168" s="101">
        <f>IF('Net zero activities &amp; levers'!$C$14="Off",'Activity data'!AI47*FracLEACH*MSLeachEF*NtoN2O*kgtoGg,IF('Net zero activities &amp; levers'!$C$14="On",'Net zero Activity data'!AI47*FracLEACH*MSLeachEF*NtoN2O*kgtoGg,"ERROR"))</f>
        <v>2.2778237795328883E-4</v>
      </c>
      <c r="Q1168" s="101">
        <f>IF('Net zero activities &amp; levers'!$C$14="Off",'Activity data'!AJ47*FracLEACH*MSLeachEF*NtoN2O*kgtoGg,IF('Net zero activities &amp; levers'!$C$14="On",'Net zero Activity data'!AJ47*FracLEACH*MSLeachEF*NtoN2O*kgtoGg,"ERROR"))</f>
        <v>2.2775879036527182E-4</v>
      </c>
      <c r="R1168" s="101">
        <f>IF('Net zero activities &amp; levers'!$C$14="Off",'Activity data'!AK47*FracLEACH*MSLeachEF*NtoN2O*kgtoGg,IF('Net zero activities &amp; levers'!$C$14="On",'Net zero Activity data'!AK47*FracLEACH*MSLeachEF*NtoN2O*kgtoGg,"ERROR"))</f>
        <v>2.2773296541219322E-4</v>
      </c>
      <c r="S1168" s="101">
        <f>IF('Net zero activities &amp; levers'!$C$14="Off",'Activity data'!AL47*FracLEACH*MSLeachEF*NtoN2O*kgtoGg,IF('Net zero activities &amp; levers'!$C$14="On",'Net zero Activity data'!AL47*FracLEACH*MSLeachEF*NtoN2O*kgtoGg,"ERROR"))</f>
        <v>2.2772451381029767E-4</v>
      </c>
      <c r="T1168" s="101">
        <f>IF('Net zero activities &amp; levers'!$C$14="Off",'Activity data'!AM47*FracLEACH*MSLeachEF*NtoN2O*kgtoGg,IF('Net zero activities &amp; levers'!$C$14="On",'Net zero Activity data'!AM47*FracLEACH*MSLeachEF*NtoN2O*kgtoGg,"ERROR"))</f>
        <v>2.2787975604510752E-4</v>
      </c>
      <c r="U1168" s="101">
        <f>IF('Net zero activities &amp; levers'!$C$14="Off",'Activity data'!AN47*FracLEACH*MSLeachEF*NtoN2O*kgtoGg,IF('Net zero activities &amp; levers'!$C$14="On",'Net zero Activity data'!AN47*FracLEACH*MSLeachEF*NtoN2O*kgtoGg,"ERROR"))</f>
        <v>2.2783133073996282E-4</v>
      </c>
      <c r="V1168" s="101">
        <f>IF('Net zero activities &amp; levers'!$C$14="Off",'Activity data'!AO47*FracLEACH*MSLeachEF*NtoN2O*kgtoGg,IF('Net zero activities &amp; levers'!$C$14="On",'Net zero Activity data'!AO47*FracLEACH*MSLeachEF*NtoN2O*kgtoGg,"ERROR"))</f>
        <v>2.2778779266900863E-4</v>
      </c>
      <c r="W1168" s="101">
        <f>IF('Net zero activities &amp; levers'!$C$14="Off",'Activity data'!AP47*FracLEACH*MSLeachEF*NtoN2O*kgtoGg,IF('Net zero activities &amp; levers'!$C$14="On",'Net zero Activity data'!AP47*FracLEACH*MSLeachEF*NtoN2O*kgtoGg,"ERROR"))</f>
        <v>2.2774465820609167E-4</v>
      </c>
      <c r="X1168" s="101">
        <f>IF('Net zero activities &amp; levers'!$C$14="Off",'Activity data'!AQ47*FracLEACH*MSLeachEF*NtoN2O*kgtoGg,IF('Net zero activities &amp; levers'!$C$14="On",'Net zero Activity data'!AQ47*FracLEACH*MSLeachEF*NtoN2O*kgtoGg,"ERROR"))</f>
        <v>2.2769514433443585E-4</v>
      </c>
      <c r="Y1168" s="101">
        <f>IF('Net zero activities &amp; levers'!$C$14="Off",'Activity data'!AR47*FracLEACH*MSLeachEF*NtoN2O*kgtoGg,IF('Net zero activities &amp; levers'!$C$14="On",'Net zero Activity data'!AR47*FracLEACH*MSLeachEF*NtoN2O*kgtoGg,"ERROR"))</f>
        <v>2.2764616786006951E-4</v>
      </c>
      <c r="Z1168" s="101">
        <f>IF('Net zero activities &amp; levers'!$C$14="Off",'Activity data'!AS47*FracLEACH*MSLeachEF*NtoN2O*kgtoGg,IF('Net zero activities &amp; levers'!$C$14="On",'Net zero Activity data'!AS47*FracLEACH*MSLeachEF*NtoN2O*kgtoGg,"ERROR"))</f>
        <v>2.2759651184057824E-4</v>
      </c>
      <c r="AA1168" s="101">
        <f>IF('Net zero activities &amp; levers'!$C$14="Off",'Activity data'!AT47*FracLEACH*MSLeachEF*NtoN2O*kgtoGg,IF('Net zero activities &amp; levers'!$C$14="On",'Net zero Activity data'!AT47*FracLEACH*MSLeachEF*NtoN2O*kgtoGg,"ERROR"))</f>
        <v>2.2754896944896373E-4</v>
      </c>
      <c r="AB1168" s="101">
        <f>IF('Net zero activities &amp; levers'!$C$14="Off",'Activity data'!AU47*FracLEACH*MSLeachEF*NtoN2O*kgtoGg,IF('Net zero activities &amp; levers'!$C$14="On",'Net zero Activity data'!AU47*FracLEACH*MSLeachEF*NtoN2O*kgtoGg,"ERROR"))</f>
        <v>2.2749939499654159E-4</v>
      </c>
      <c r="AC1168" s="101">
        <f>IF('Net zero activities &amp; levers'!$C$14="Off",'Activity data'!AV47*FracLEACH*MSLeachEF*NtoN2O*kgtoGg,IF('Net zero activities &amp; levers'!$C$14="On",'Net zero Activity data'!AV47*FracLEACH*MSLeachEF*NtoN2O*kgtoGg,"ERROR"))</f>
        <v>2.2745334364346914E-4</v>
      </c>
      <c r="AD1168" s="101">
        <f>IF('Net zero activities &amp; levers'!$C$14="Off",'Activity data'!AW47*FracLEACH*MSLeachEF*NtoN2O*kgtoGg,IF('Net zero activities &amp; levers'!$C$14="On",'Net zero Activity data'!AW47*FracLEACH*MSLeachEF*NtoN2O*kgtoGg,"ERROR"))</f>
        <v>2.2740688148204587E-4</v>
      </c>
      <c r="AE1168" s="101">
        <f>IF('Net zero activities &amp; levers'!$C$14="Off",'Activity data'!AX47*FracLEACH*MSLeachEF*NtoN2O*kgtoGg,IF('Net zero activities &amp; levers'!$C$14="On",'Net zero Activity data'!AX47*FracLEACH*MSLeachEF*NtoN2O*kgtoGg,"ERROR"))</f>
        <v>2.2735281526868665E-4</v>
      </c>
      <c r="AF1168" s="101">
        <f>IF('Net zero activities &amp; levers'!$C$14="Off",'Activity data'!AY47*FracLEACH*MSLeachEF*NtoN2O*kgtoGg,IF('Net zero activities &amp; levers'!$C$14="On",'Net zero Activity data'!AY47*FracLEACH*MSLeachEF*NtoN2O*kgtoGg,"ERROR"))</f>
        <v>2.2729573788886622E-4</v>
      </c>
      <c r="AG1168" s="101">
        <f>IF('Net zero activities &amp; levers'!$C$14="Off",'Activity data'!AZ47*FracLEACH*MSLeachEF*NtoN2O*kgtoGg,IF('Net zero activities &amp; levers'!$C$14="On",'Net zero Activity data'!AZ47*FracLEACH*MSLeachEF*NtoN2O*kgtoGg,"ERROR"))</f>
        <v>2.2723794052986968E-4</v>
      </c>
      <c r="AH1168" s="101">
        <f>IF('Net zero activities &amp; levers'!$C$14="Off",'Activity data'!BA47*FracLEACH*MSLeachEF*NtoN2O*kgtoGg,IF('Net zero activities &amp; levers'!$C$14="On",'Net zero Activity data'!BA47*FracLEACH*MSLeachEF*NtoN2O*kgtoGg,"ERROR"))</f>
        <v>2.2722647023900249E-4</v>
      </c>
      <c r="AI1168" s="101">
        <f>IF('Net zero activities &amp; levers'!$C$14="Off",'Activity data'!BB47*FracLEACH*MSLeachEF*NtoN2O*kgtoGg,IF('Net zero activities &amp; levers'!$C$14="On",'Net zero Activity data'!BB47*FracLEACH*MSLeachEF*NtoN2O*kgtoGg,"ERROR"))</f>
        <v>2.3199301501406117E-4</v>
      </c>
      <c r="AJ1168" s="101">
        <f>IF('Net zero activities &amp; levers'!$C$14="Off",'Activity data'!BC47*FracLEACH*MSLeachEF*NtoN2O*kgtoGg,IF('Net zero activities &amp; levers'!$C$14="On",'Net zero Activity data'!BC47*FracLEACH*MSLeachEF*NtoN2O*kgtoGg,"ERROR"))</f>
        <v>2.3200144778534623E-4</v>
      </c>
      <c r="AK1168" s="101">
        <f>IF('Net zero activities &amp; levers'!$C$14="Off",'Activity data'!BD47*FracLEACH*MSLeachEF*NtoN2O*kgtoGg,IF('Net zero activities &amp; levers'!$C$14="On",'Net zero Activity data'!BD47*FracLEACH*MSLeachEF*NtoN2O*kgtoGg,"ERROR"))</f>
        <v>2.3200996932526481E-4</v>
      </c>
      <c r="AL1168" s="101">
        <f>IF('Net zero activities &amp; levers'!$C$14="Off",'Activity data'!BE47*FracLEACH*MSLeachEF*NtoN2O*kgtoGg,IF('Net zero activities &amp; levers'!$C$14="On",'Net zero Activity data'!BE47*FracLEACH*MSLeachEF*NtoN2O*kgtoGg,"ERROR"))</f>
        <v>2.3201858085671791E-4</v>
      </c>
      <c r="AM1168" s="101">
        <f>IF('Net zero activities &amp; levers'!$C$14="Off",'Activity data'!BF47*FracLEACH*MSLeachEF*NtoN2O*kgtoGg,IF('Net zero activities &amp; levers'!$C$14="On",'Net zero Activity data'!BF47*FracLEACH*MSLeachEF*NtoN2O*kgtoGg,"ERROR"))</f>
        <v>2.3202728362560843E-4</v>
      </c>
      <c r="AN1168" s="101">
        <f>IF('Net zero activities &amp; levers'!$C$14="Off",'Activity data'!BG47*FracLEACH*MSLeachEF*NtoN2O*kgtoGg,IF('Net zero activities &amp; levers'!$C$14="On",'Net zero Activity data'!BG47*FracLEACH*MSLeachEF*NtoN2O*kgtoGg,"ERROR"))</f>
        <v>2.3203607890141459E-4</v>
      </c>
      <c r="AO1168" s="101">
        <f>IF('Net zero activities &amp; levers'!$C$14="Off",'Activity data'!BH47*FracLEACH*MSLeachEF*NtoN2O*kgtoGg,IF('Net zero activities &amp; levers'!$C$14="On",'Net zero Activity data'!BH47*FracLEACH*MSLeachEF*NtoN2O*kgtoGg,"ERROR"))</f>
        <v>2.3204361807507387E-4</v>
      </c>
      <c r="AP1168" s="101">
        <f>IF('Net zero activities &amp; levers'!$C$14="Off",'Activity data'!BI47*FracLEACH*MSLeachEF*NtoN2O*kgtoGg,IF('Net zero activities &amp; levers'!$C$14="On",'Net zero Activity data'!BI47*FracLEACH*MSLeachEF*NtoN2O*kgtoGg,"ERROR"))</f>
        <v>2.3205122563665836E-4</v>
      </c>
      <c r="AQ1168" s="101">
        <f>IF('Net zero activities &amp; levers'!$C$14="Off",'Activity data'!BJ47*FracLEACH*MSLeachEF*NtoN2O*kgtoGg,IF('Net zero activities &amp; levers'!$C$14="On",'Net zero Activity data'!BJ47*FracLEACH*MSLeachEF*NtoN2O*kgtoGg,"ERROR"))</f>
        <v>2.3205890240445205E-4</v>
      </c>
      <c r="AR1168" s="101">
        <f>IF('Net zero activities &amp; levers'!$C$14="Off",'Activity data'!BK47*FracLEACH*MSLeachEF*NtoN2O*kgtoGg,IF('Net zero activities &amp; levers'!$C$14="On",'Net zero Activity data'!BK47*FracLEACH*MSLeachEF*NtoN2O*kgtoGg,"ERROR"))</f>
        <v>2.3206664921016296E-4</v>
      </c>
      <c r="AS1168" s="101">
        <f>IF('Net zero activities &amp; levers'!$C$14="Off",'Activity data'!BL47*FracLEACH*MSLeachEF*NtoN2O*kgtoGg,IF('Net zero activities &amp; levers'!$C$14="On",'Net zero Activity data'!BL47*FracLEACH*MSLeachEF*NtoN2O*kgtoGg,"ERROR"))</f>
        <v>2.3207446689921618E-4</v>
      </c>
      <c r="AT1168" s="101">
        <f>IF('Net zero activities &amp; levers'!$C$14="Off",'Activity data'!BM47*FracLEACH*MSLeachEF*NtoN2O*kgtoGg,IF('Net zero activities &amp; levers'!$C$14="On",'Net zero Activity data'!BM47*FracLEACH*MSLeachEF*NtoN2O*kgtoGg,"ERROR"))</f>
        <v>2.3208094961269798E-4</v>
      </c>
      <c r="AU1168" s="101">
        <f>IF('Net zero activities &amp; levers'!$C$14="Off",'Activity data'!BN47*FracLEACH*MSLeachEF*NtoN2O*kgtoGg,IF('Net zero activities &amp; levers'!$C$14="On",'Net zero Activity data'!BN47*FracLEACH*MSLeachEF*NtoN2O*kgtoGg,"ERROR"))</f>
        <v>2.3208748132964898E-4</v>
      </c>
      <c r="AV1168" s="101">
        <f>IF('Net zero activities &amp; levers'!$C$14="Off",'Activity data'!BO47*FracLEACH*MSLeachEF*NtoN2O*kgtoGg,IF('Net zero activities &amp; levers'!$C$14="On",'Net zero Activity data'!BO47*FracLEACH*MSLeachEF*NtoN2O*kgtoGg,"ERROR"))</f>
        <v>2.3209406254196601E-4</v>
      </c>
      <c r="AW1168" s="101">
        <f>IF('Net zero activities &amp; levers'!$C$14="Off",'Activity data'!BP47*FracLEACH*MSLeachEF*NtoN2O*kgtoGg,IF('Net zero activities &amp; levers'!$C$14="On",'Net zero Activity data'!BP47*FracLEACH*MSLeachEF*NtoN2O*kgtoGg,"ERROR"))</f>
        <v>2.3210069374833838E-4</v>
      </c>
      <c r="AY1168" s="85"/>
    </row>
    <row r="1169" spans="1:51" x14ac:dyDescent="0.25">
      <c r="A1169" s="102" t="str">
        <f t="shared" si="380"/>
        <v>CM Leaching</v>
      </c>
      <c r="B1169" s="102" t="s">
        <v>1323</v>
      </c>
      <c r="C1169" s="102" t="s">
        <v>1191</v>
      </c>
      <c r="D1169" t="s">
        <v>369</v>
      </c>
      <c r="E1169" t="s">
        <v>61</v>
      </c>
      <c r="F1169" t="s">
        <v>63</v>
      </c>
      <c r="G1169" t="s">
        <v>436</v>
      </c>
      <c r="H1169" t="s">
        <v>1189</v>
      </c>
      <c r="I1169" t="s">
        <v>139</v>
      </c>
      <c r="J1169" t="s">
        <v>287</v>
      </c>
      <c r="K1169" s="101">
        <f>IF('Net zero activities &amp; levers'!$C$14="Off",'Activity data'!AD48*FracLEACH*MSLeachEF*NtoN2O*kgtoGg,IF('Net zero activities &amp; levers'!$C$14="On",'Net zero Activity data'!AD48*FracLEACH*MSLeachEF*NtoN2O*kgtoGg,"ERROR"))</f>
        <v>1.5042957706826741E-6</v>
      </c>
      <c r="L1169" s="101">
        <f>IF('Net zero activities &amp; levers'!$C$14="Off",'Activity data'!AE48*FracLEACH*MSLeachEF*NtoN2O*kgtoGg,IF('Net zero activities &amp; levers'!$C$14="On",'Net zero Activity data'!AE48*FracLEACH*MSLeachEF*NtoN2O*kgtoGg,"ERROR"))</f>
        <v>1.5040799240380321E-6</v>
      </c>
      <c r="M1169" s="101">
        <f>IF('Net zero activities &amp; levers'!$C$14="Off",'Activity data'!AF48*FracLEACH*MSLeachEF*NtoN2O*kgtoGg,IF('Net zero activities &amp; levers'!$C$14="On",'Net zero Activity data'!AF48*FracLEACH*MSLeachEF*NtoN2O*kgtoGg,"ERROR"))</f>
        <v>1.5037849681000825E-6</v>
      </c>
      <c r="N1169" s="101">
        <f>IF('Net zero activities &amp; levers'!$C$14="Off",'Activity data'!AG48*FracLEACH*MSLeachEF*NtoN2O*kgtoGg,IF('Net zero activities &amp; levers'!$C$14="On",'Net zero Activity data'!AG48*FracLEACH*MSLeachEF*NtoN2O*kgtoGg,"ERROR"))</f>
        <v>1.5035708692027049E-6</v>
      </c>
      <c r="O1169" s="101">
        <f>IF('Net zero activities &amp; levers'!$C$14="Off",'Activity data'!AH48*FracLEACH*MSLeachEF*NtoN2O*kgtoGg,IF('Net zero activities &amp; levers'!$C$14="On",'Net zero Activity data'!AH48*FracLEACH*MSLeachEF*NtoN2O*kgtoGg,"ERROR"))</f>
        <v>1.5034666046343562E-6</v>
      </c>
      <c r="P1169" s="101">
        <f>IF('Net zero activities &amp; levers'!$C$14="Off",'Activity data'!AI48*FracLEACH*MSLeachEF*NtoN2O*kgtoGg,IF('Net zero activities &amp; levers'!$C$14="On",'Net zero Activity data'!AI48*FracLEACH*MSLeachEF*NtoN2O*kgtoGg,"ERROR"))</f>
        <v>1.5033636944917065E-6</v>
      </c>
      <c r="Q1169" s="101">
        <f>IF('Net zero activities &amp; levers'!$C$14="Off",'Activity data'!AJ48*FracLEACH*MSLeachEF*NtoN2O*kgtoGg,IF('Net zero activities &amp; levers'!$C$14="On",'Net zero Activity data'!AJ48*FracLEACH*MSLeachEF*NtoN2O*kgtoGg,"ERROR"))</f>
        <v>1.5032080164107946E-6</v>
      </c>
      <c r="R1169" s="101">
        <f>IF('Net zero activities &amp; levers'!$C$14="Off",'Activity data'!AK48*FracLEACH*MSLeachEF*NtoN2O*kgtoGg,IF('Net zero activities &amp; levers'!$C$14="On",'Net zero Activity data'!AK48*FracLEACH*MSLeachEF*NtoN2O*kgtoGg,"ERROR"))</f>
        <v>1.5030375717204757E-6</v>
      </c>
      <c r="S1169" s="101">
        <f>IF('Net zero activities &amp; levers'!$C$14="Off",'Activity data'!AL48*FracLEACH*MSLeachEF*NtoN2O*kgtoGg,IF('Net zero activities &amp; levers'!$C$14="On",'Net zero Activity data'!AL48*FracLEACH*MSLeachEF*NtoN2O*kgtoGg,"ERROR"))</f>
        <v>1.5029817911479652E-6</v>
      </c>
      <c r="T1169" s="101">
        <f>IF('Net zero activities &amp; levers'!$C$14="Off",'Activity data'!AM48*FracLEACH*MSLeachEF*NtoN2O*kgtoGg,IF('Net zero activities &amp; levers'!$C$14="On",'Net zero Activity data'!AM48*FracLEACH*MSLeachEF*NtoN2O*kgtoGg,"ERROR"))</f>
        <v>1.5040063898977102E-6</v>
      </c>
      <c r="U1169" s="101">
        <f>IF('Net zero activities &amp; levers'!$C$14="Off",'Activity data'!AN48*FracLEACH*MSLeachEF*NtoN2O*kgtoGg,IF('Net zero activities &amp; levers'!$C$14="On",'Net zero Activity data'!AN48*FracLEACH*MSLeachEF*NtoN2O*kgtoGg,"ERROR"))</f>
        <v>1.503686782883755E-6</v>
      </c>
      <c r="V1169" s="101">
        <f>IF('Net zero activities &amp; levers'!$C$14="Off",'Activity data'!AO48*FracLEACH*MSLeachEF*NtoN2O*kgtoGg,IF('Net zero activities &amp; levers'!$C$14="On",'Net zero Activity data'!AO48*FracLEACH*MSLeachEF*NtoN2O*kgtoGg,"ERROR"))</f>
        <v>1.5033994316154569E-6</v>
      </c>
      <c r="W1169" s="101">
        <f>IF('Net zero activities &amp; levers'!$C$14="Off",'Activity data'!AP48*FracLEACH*MSLeachEF*NtoN2O*kgtoGg,IF('Net zero activities &amp; levers'!$C$14="On",'Net zero Activity data'!AP48*FracLEACH*MSLeachEF*NtoN2O*kgtoGg,"ERROR"))</f>
        <v>1.5031147441602057E-6</v>
      </c>
      <c r="X1169" s="101">
        <f>IF('Net zero activities &amp; levers'!$C$14="Off",'Activity data'!AQ48*FracLEACH*MSLeachEF*NtoN2O*kgtoGg,IF('Net zero activities &amp; levers'!$C$14="On",'Net zero Activity data'!AQ48*FracLEACH*MSLeachEF*NtoN2O*kgtoGg,"ERROR"))</f>
        <v>1.5027879526072768E-6</v>
      </c>
      <c r="Y1169" s="101">
        <f>IF('Net zero activities &amp; levers'!$C$14="Off",'Activity data'!AR48*FracLEACH*MSLeachEF*NtoN2O*kgtoGg,IF('Net zero activities &amp; levers'!$C$14="On",'Net zero Activity data'!AR48*FracLEACH*MSLeachEF*NtoN2O*kgtoGg,"ERROR"))</f>
        <v>1.5024647078764589E-6</v>
      </c>
      <c r="Z1169" s="101">
        <f>IF('Net zero activities &amp; levers'!$C$14="Off",'Activity data'!AS48*FracLEACH*MSLeachEF*NtoN2O*kgtoGg,IF('Net zero activities &amp; levers'!$C$14="On",'Net zero Activity data'!AS48*FracLEACH*MSLeachEF*NtoN2O*kgtoGg,"ERROR"))</f>
        <v>1.5021369781478169E-6</v>
      </c>
      <c r="AA1169" s="101">
        <f>IF('Net zero activities &amp; levers'!$C$14="Off",'Activity data'!AT48*FracLEACH*MSLeachEF*NtoN2O*kgtoGg,IF('Net zero activities &amp; levers'!$C$14="On",'Net zero Activity data'!AT48*FracLEACH*MSLeachEF*NtoN2O*kgtoGg,"ERROR"))</f>
        <v>1.5018231983631605E-6</v>
      </c>
      <c r="AB1169" s="101">
        <f>IF('Net zero activities &amp; levers'!$C$14="Off",'Activity data'!AU48*FracLEACH*MSLeachEF*NtoN2O*kgtoGg,IF('Net zero activities &amp; levers'!$C$14="On",'Net zero Activity data'!AU48*FracLEACH*MSLeachEF*NtoN2O*kgtoGg,"ERROR"))</f>
        <v>1.5014960069771748E-6</v>
      </c>
      <c r="AC1169" s="101">
        <f>IF('Net zero activities &amp; levers'!$C$14="Off",'Activity data'!AV48*FracLEACH*MSLeachEF*NtoN2O*kgtoGg,IF('Net zero activities &amp; levers'!$C$14="On",'Net zero Activity data'!AV48*FracLEACH*MSLeachEF*NtoN2O*kgtoGg,"ERROR"))</f>
        <v>1.5011920680468966E-6</v>
      </c>
      <c r="AD1169" s="101">
        <f>IF('Net zero activities &amp; levers'!$C$14="Off",'Activity data'!AW48*FracLEACH*MSLeachEF*NtoN2O*kgtoGg,IF('Net zero activities &amp; levers'!$C$14="On",'Net zero Activity data'!AW48*FracLEACH*MSLeachEF*NtoN2O*kgtoGg,"ERROR"))</f>
        <v>1.5008854177815029E-6</v>
      </c>
      <c r="AE1169" s="101">
        <f>IF('Net zero activities &amp; levers'!$C$14="Off",'Activity data'!AX48*FracLEACH*MSLeachEF*NtoN2O*kgtoGg,IF('Net zero activities &amp; levers'!$C$14="On",'Net zero Activity data'!AX48*FracLEACH*MSLeachEF*NtoN2O*kgtoGg,"ERROR"))</f>
        <v>1.5005285807733322E-6</v>
      </c>
      <c r="AF1169" s="101">
        <f>IF('Net zero activities &amp; levers'!$C$14="Off",'Activity data'!AY48*FracLEACH*MSLeachEF*NtoN2O*kgtoGg,IF('Net zero activities &amp; levers'!$C$14="On",'Net zero Activity data'!AY48*FracLEACH*MSLeachEF*NtoN2O*kgtoGg,"ERROR"))</f>
        <v>1.5001518700665174E-6</v>
      </c>
      <c r="AG1169" s="101">
        <f>IF('Net zero activities &amp; levers'!$C$14="Off",'Activity data'!AZ48*FracLEACH*MSLeachEF*NtoN2O*kgtoGg,IF('Net zero activities &amp; levers'!$C$14="On",'Net zero Activity data'!AZ48*FracLEACH*MSLeachEF*NtoN2O*kgtoGg,"ERROR"))</f>
        <v>1.4997704074971401E-6</v>
      </c>
      <c r="AH1169" s="101">
        <f>IF('Net zero activities &amp; levers'!$C$14="Off",'Activity data'!BA48*FracLEACH*MSLeachEF*NtoN2O*kgtoGg,IF('Net zero activities &amp; levers'!$C$14="On",'Net zero Activity data'!BA48*FracLEACH*MSLeachEF*NtoN2O*kgtoGg,"ERROR"))</f>
        <v>1.4996947035774166E-6</v>
      </c>
      <c r="AI1169" s="101">
        <f>IF('Net zero activities &amp; levers'!$C$14="Off",'Activity data'!BB48*FracLEACH*MSLeachEF*NtoN2O*kgtoGg,IF('Net zero activities &amp; levers'!$C$14="On",'Net zero Activity data'!BB48*FracLEACH*MSLeachEF*NtoN2O*kgtoGg,"ERROR"))</f>
        <v>1.5311538990928041E-6</v>
      </c>
      <c r="AJ1169" s="101">
        <f>IF('Net zero activities &amp; levers'!$C$14="Off",'Activity data'!BC48*FracLEACH*MSLeachEF*NtoN2O*kgtoGg,IF('Net zero activities &amp; levers'!$C$14="On",'Net zero Activity data'!BC48*FracLEACH*MSLeachEF*NtoN2O*kgtoGg,"ERROR"))</f>
        <v>1.531209555383285E-6</v>
      </c>
      <c r="AK1169" s="101">
        <f>IF('Net zero activities &amp; levers'!$C$14="Off",'Activity data'!BD48*FracLEACH*MSLeachEF*NtoN2O*kgtoGg,IF('Net zero activities &amp; levers'!$C$14="On",'Net zero Activity data'!BD48*FracLEACH*MSLeachEF*NtoN2O*kgtoGg,"ERROR"))</f>
        <v>1.5312657975467479E-6</v>
      </c>
      <c r="AL1169" s="101">
        <f>IF('Net zero activities &amp; levers'!$C$14="Off",'Activity data'!BE48*FracLEACH*MSLeachEF*NtoN2O*kgtoGg,IF('Net zero activities &amp; levers'!$C$14="On",'Net zero Activity data'!BE48*FracLEACH*MSLeachEF*NtoN2O*kgtoGg,"ERROR"))</f>
        <v>1.5313226336543386E-6</v>
      </c>
      <c r="AM1169" s="101">
        <f>IF('Net zero activities &amp; levers'!$C$14="Off",'Activity data'!BF48*FracLEACH*MSLeachEF*NtoN2O*kgtoGg,IF('Net zero activities &amp; levers'!$C$14="On",'Net zero Activity data'!BF48*FracLEACH*MSLeachEF*NtoN2O*kgtoGg,"ERROR"))</f>
        <v>1.5313800719290159E-6</v>
      </c>
      <c r="AN1169" s="101">
        <f>IF('Net zero activities &amp; levers'!$C$14="Off",'Activity data'!BG48*FracLEACH*MSLeachEF*NtoN2O*kgtoGg,IF('Net zero activities &amp; levers'!$C$14="On",'Net zero Activity data'!BG48*FracLEACH*MSLeachEF*NtoN2O*kgtoGg,"ERROR"))</f>
        <v>1.5314381207493371E-6</v>
      </c>
      <c r="AO1169" s="101">
        <f>IF('Net zero activities &amp; levers'!$C$14="Off",'Activity data'!BH48*FracLEACH*MSLeachEF*NtoN2O*kgtoGg,IF('Net zero activities &amp; levers'!$C$14="On",'Net zero Activity data'!BH48*FracLEACH*MSLeachEF*NtoN2O*kgtoGg,"ERROR"))</f>
        <v>1.5314878792954879E-6</v>
      </c>
      <c r="AP1169" s="101">
        <f>IF('Net zero activities &amp; levers'!$C$14="Off",'Activity data'!BI48*FracLEACH*MSLeachEF*NtoN2O*kgtoGg,IF('Net zero activities &amp; levers'!$C$14="On",'Net zero Activity data'!BI48*FracLEACH*MSLeachEF*NtoN2O*kgtoGg,"ERROR"))</f>
        <v>1.5315380892019456E-6</v>
      </c>
      <c r="AQ1169" s="101">
        <f>IF('Net zero activities &amp; levers'!$C$14="Off",'Activity data'!BJ48*FracLEACH*MSLeachEF*NtoN2O*kgtoGg,IF('Net zero activities &amp; levers'!$C$14="On",'Net zero Activity data'!BJ48*FracLEACH*MSLeachEF*NtoN2O*kgtoGg,"ERROR"))</f>
        <v>1.5315887558693837E-6</v>
      </c>
      <c r="AR1169" s="101">
        <f>IF('Net zero activities &amp; levers'!$C$14="Off",'Activity data'!BK48*FracLEACH*MSLeachEF*NtoN2O*kgtoGg,IF('Net zero activities &amp; levers'!$C$14="On",'Net zero Activity data'!BK48*FracLEACH*MSLeachEF*NtoN2O*kgtoGg,"ERROR"))</f>
        <v>1.5316398847870756E-6</v>
      </c>
      <c r="AS1169" s="101">
        <f>IF('Net zero activities &amp; levers'!$C$14="Off",'Activity data'!BL48*FracLEACH*MSLeachEF*NtoN2O*kgtoGg,IF('Net zero activities &amp; levers'!$C$14="On",'Net zero Activity data'!BL48*FracLEACH*MSLeachEF*NtoN2O*kgtoGg,"ERROR"))</f>
        <v>1.5316914815348266E-6</v>
      </c>
      <c r="AT1169" s="101">
        <f>IF('Net zero activities &amp; levers'!$C$14="Off",'Activity data'!BM48*FracLEACH*MSLeachEF*NtoN2O*kgtoGg,IF('Net zero activities &amp; levers'!$C$14="On",'Net zero Activity data'!BM48*FracLEACH*MSLeachEF*NtoN2O*kgtoGg,"ERROR"))</f>
        <v>1.5317342674438069E-6</v>
      </c>
      <c r="AU1169" s="101">
        <f>IF('Net zero activities &amp; levers'!$C$14="Off",'Activity data'!BN48*FracLEACH*MSLeachEF*NtoN2O*kgtoGg,IF('Net zero activities &amp; levers'!$C$14="On",'Net zero Activity data'!BN48*FracLEACH*MSLeachEF*NtoN2O*kgtoGg,"ERROR"))</f>
        <v>1.531777376775684E-6</v>
      </c>
      <c r="AV1169" s="101">
        <f>IF('Net zero activities &amp; levers'!$C$14="Off",'Activity data'!BO48*FracLEACH*MSLeachEF*NtoN2O*kgtoGg,IF('Net zero activities &amp; levers'!$C$14="On",'Net zero Activity data'!BO48*FracLEACH*MSLeachEF*NtoN2O*kgtoGg,"ERROR"))</f>
        <v>1.5318208127769759E-6</v>
      </c>
      <c r="AW1169" s="101">
        <f>IF('Net zero activities &amp; levers'!$C$14="Off",'Activity data'!BP48*FracLEACH*MSLeachEF*NtoN2O*kgtoGg,IF('Net zero activities &amp; levers'!$C$14="On",'Net zero Activity data'!BP48*FracLEACH*MSLeachEF*NtoN2O*kgtoGg,"ERROR"))</f>
        <v>1.5318645787390334E-6</v>
      </c>
      <c r="AY1169" s="85"/>
    </row>
    <row r="1170" spans="1:51" x14ac:dyDescent="0.25">
      <c r="A1170" s="102" t="str">
        <f t="shared" si="380"/>
        <v>CM Leaching</v>
      </c>
      <c r="B1170" s="102" t="s">
        <v>1323</v>
      </c>
      <c r="C1170" s="102" t="s">
        <v>1191</v>
      </c>
      <c r="D1170" t="s">
        <v>369</v>
      </c>
      <c r="E1170" t="s">
        <v>61</v>
      </c>
      <c r="F1170" t="s">
        <v>63</v>
      </c>
      <c r="G1170" t="s">
        <v>437</v>
      </c>
      <c r="H1170" t="s">
        <v>1190</v>
      </c>
      <c r="I1170" t="s">
        <v>139</v>
      </c>
      <c r="J1170" t="s">
        <v>287</v>
      </c>
      <c r="K1170" s="101">
        <f>IF('Net zero activities &amp; levers'!$C$14="Off",SUM('Activity data'!AD50:AD65)*FracLEACH*MSLeachEF*NtoN2O*kgtoGg,IF('Net zero activities &amp; levers'!$C$14="On",SUM('Net zero Activity data'!AD50:AD65)*FracLEACH*MSLeachEF*NtoN2O*kgtoGg,"ERROR"))</f>
        <v>0.20860999282156298</v>
      </c>
      <c r="L1170" s="101">
        <f>IF('Net zero activities &amp; levers'!$C$14="Off",SUM('Activity data'!AE50:AE65)*FracLEACH*MSLeachEF*NtoN2O*kgtoGg,IF('Net zero activities &amp; levers'!$C$14="On",SUM('Net zero Activity data'!AE50:AE65)*FracLEACH*MSLeachEF*NtoN2O*kgtoGg,"ERROR"))</f>
        <v>0.20916470494858161</v>
      </c>
      <c r="M1170" s="101">
        <f>IF('Net zero activities &amp; levers'!$C$14="Off",SUM('Activity data'!AF50:AF65)*FracLEACH*MSLeachEF*NtoN2O*kgtoGg,IF('Net zero activities &amp; levers'!$C$14="On",SUM('Net zero Activity data'!AF50:AF65)*FracLEACH*MSLeachEF*NtoN2O*kgtoGg,"ERROR"))</f>
        <v>0.20839166057483782</v>
      </c>
      <c r="N1170" s="101">
        <f>IF('Net zero activities &amp; levers'!$C$14="Off",SUM('Activity data'!AG50:AG65)*FracLEACH*MSLeachEF*NtoN2O*kgtoGg,IF('Net zero activities &amp; levers'!$C$14="On",SUM('Net zero Activity data'!AG50:AG65)*FracLEACH*MSLeachEF*NtoN2O*kgtoGg,"ERROR"))</f>
        <v>0.20582736549591388</v>
      </c>
      <c r="O1170" s="101">
        <f>IF('Net zero activities &amp; levers'!$C$14="Off",SUM('Activity data'!AH50:AH65)*FracLEACH*MSLeachEF*NtoN2O*kgtoGg,IF('Net zero activities &amp; levers'!$C$14="On",SUM('Net zero Activity data'!AH50:AH65)*FracLEACH*MSLeachEF*NtoN2O*kgtoGg,"ERROR"))</f>
        <v>0.20337087062968656</v>
      </c>
      <c r="P1170" s="101">
        <f>IF('Net zero activities &amp; levers'!$C$14="Off",SUM('Activity data'!AI50:AI65)*FracLEACH*MSLeachEF*NtoN2O*kgtoGg,IF('Net zero activities &amp; levers'!$C$14="On",SUM('Net zero Activity data'!AI50:AI65)*FracLEACH*MSLeachEF*NtoN2O*kgtoGg,"ERROR"))</f>
        <v>0.20190666512350769</v>
      </c>
      <c r="Q1170" s="101">
        <f>IF('Net zero activities &amp; levers'!$C$14="Off",SUM('Activity data'!AJ50:AJ65)*FracLEACH*MSLeachEF*NtoN2O*kgtoGg,IF('Net zero activities &amp; levers'!$C$14="On",SUM('Net zero Activity data'!AJ50:AJ65)*FracLEACH*MSLeachEF*NtoN2O*kgtoGg,"ERROR"))</f>
        <v>0.2007674260526916</v>
      </c>
      <c r="R1170" s="101">
        <f>IF('Net zero activities &amp; levers'!$C$14="Off",SUM('Activity data'!AK50:AK65)*FracLEACH*MSLeachEF*NtoN2O*kgtoGg,IF('Net zero activities &amp; levers'!$C$14="On",SUM('Net zero Activity data'!AK50:AK65)*FracLEACH*MSLeachEF*NtoN2O*kgtoGg,"ERROR"))</f>
        <v>0.19784037541962898</v>
      </c>
      <c r="S1170" s="101">
        <f>IF('Net zero activities &amp; levers'!$C$14="Off",SUM('Activity data'!AL50:AL65)*FracLEACH*MSLeachEF*NtoN2O*kgtoGg,IF('Net zero activities &amp; levers'!$C$14="On",SUM('Net zero Activity data'!AL50:AL65)*FracLEACH*MSLeachEF*NtoN2O*kgtoGg,"ERROR"))</f>
        <v>0.17841698820622015</v>
      </c>
      <c r="T1170" s="101">
        <f>IF('Net zero activities &amp; levers'!$C$14="Off",SUM('Activity data'!AM50:AM65)*FracLEACH*MSLeachEF*NtoN2O*kgtoGg,IF('Net zero activities &amp; levers'!$C$14="On",SUM('Net zero Activity data'!AM50:AM65)*FracLEACH*MSLeachEF*NtoN2O*kgtoGg,"ERROR"))</f>
        <v>0.18081293466860307</v>
      </c>
      <c r="U1170" s="101">
        <f>IF('Net zero activities &amp; levers'!$C$14="Off",SUM('Activity data'!AN50:AN65)*FracLEACH*MSLeachEF*NtoN2O*kgtoGg,IF('Net zero activities &amp; levers'!$C$14="On",SUM('Net zero Activity data'!AN50:AN65)*FracLEACH*MSLeachEF*NtoN2O*kgtoGg,"ERROR"))</f>
        <v>0.18276631591234022</v>
      </c>
      <c r="V1170" s="101">
        <f>IF('Net zero activities &amp; levers'!$C$14="Off",SUM('Activity data'!AO50:AO65)*FracLEACH*MSLeachEF*NtoN2O*kgtoGg,IF('Net zero activities &amp; levers'!$C$14="On",SUM('Net zero Activity data'!AO50:AO65)*FracLEACH*MSLeachEF*NtoN2O*kgtoGg,"ERROR"))</f>
        <v>0.18471645849231438</v>
      </c>
      <c r="W1170" s="101">
        <f>IF('Net zero activities &amp; levers'!$C$14="Off",SUM('Activity data'!AP50:AP65)*FracLEACH*MSLeachEF*NtoN2O*kgtoGg,IF('Net zero activities &amp; levers'!$C$14="On",SUM('Net zero Activity data'!AP50:AP65)*FracLEACH*MSLeachEF*NtoN2O*kgtoGg,"ERROR"))</f>
        <v>0.18733681771599675</v>
      </c>
      <c r="X1170" s="101">
        <f>IF('Net zero activities &amp; levers'!$C$14="Off",SUM('Activity data'!AQ50:AQ65)*FracLEACH*MSLeachEF*NtoN2O*kgtoGg,IF('Net zero activities &amp; levers'!$C$14="On",SUM('Net zero Activity data'!AQ50:AQ65)*FracLEACH*MSLeachEF*NtoN2O*kgtoGg,"ERROR"))</f>
        <v>0.18994210682606633</v>
      </c>
      <c r="Y1170" s="101">
        <f>IF('Net zero activities &amp; levers'!$C$14="Off",SUM('Activity data'!AR50:AR65)*FracLEACH*MSLeachEF*NtoN2O*kgtoGg,IF('Net zero activities &amp; levers'!$C$14="On",SUM('Net zero Activity data'!AR50:AR65)*FracLEACH*MSLeachEF*NtoN2O*kgtoGg,"ERROR"))</f>
        <v>0.19266100227068755</v>
      </c>
      <c r="Z1170" s="101">
        <f>IF('Net zero activities &amp; levers'!$C$14="Off",SUM('Activity data'!AS50:AS65)*FracLEACH*MSLeachEF*NtoN2O*kgtoGg,IF('Net zero activities &amp; levers'!$C$14="On",SUM('Net zero Activity data'!AS50:AS65)*FracLEACH*MSLeachEF*NtoN2O*kgtoGg,"ERROR"))</f>
        <v>0.19520300400393342</v>
      </c>
      <c r="AA1170" s="101">
        <f>IF('Net zero activities &amp; levers'!$C$14="Off",SUM('Activity data'!AT50:AT65)*FracLEACH*MSLeachEF*NtoN2O*kgtoGg,IF('Net zero activities &amp; levers'!$C$14="On",SUM('Net zero Activity data'!AT50:AT65)*FracLEACH*MSLeachEF*NtoN2O*kgtoGg,"ERROR"))</f>
        <v>0.19798640345821425</v>
      </c>
      <c r="AB1170" s="101">
        <f>IF('Net zero activities &amp; levers'!$C$14="Off",SUM('Activity data'!AU50:AU65)*FracLEACH*MSLeachEF*NtoN2O*kgtoGg,IF('Net zero activities &amp; levers'!$C$14="On",SUM('Net zero Activity data'!AU50:AU65)*FracLEACH*MSLeachEF*NtoN2O*kgtoGg,"ERROR"))</f>
        <v>0.20044516854579475</v>
      </c>
      <c r="AC1170" s="101">
        <f>IF('Net zero activities &amp; levers'!$C$14="Off",SUM('Activity data'!AV50:AV65)*FracLEACH*MSLeachEF*NtoN2O*kgtoGg,IF('Net zero activities &amp; levers'!$C$14="On",SUM('Net zero Activity data'!AV50:AV65)*FracLEACH*MSLeachEF*NtoN2O*kgtoGg,"ERROR"))</f>
        <v>0.20297817573057544</v>
      </c>
      <c r="AD1170" s="101">
        <f>IF('Net zero activities &amp; levers'!$C$14="Off",SUM('Activity data'!AW50:AW65)*FracLEACH*MSLeachEF*NtoN2O*kgtoGg,IF('Net zero activities &amp; levers'!$C$14="On",SUM('Net zero Activity data'!AW50:AW65)*FracLEACH*MSLeachEF*NtoN2O*kgtoGg,"ERROR"))</f>
        <v>0.2056267299462835</v>
      </c>
      <c r="AE1170" s="101">
        <f>IF('Net zero activities &amp; levers'!$C$14="Off",SUM('Activity data'!AX50:AX65)*FracLEACH*MSLeachEF*NtoN2O*kgtoGg,IF('Net zero activities &amp; levers'!$C$14="On",SUM('Net zero Activity data'!AX50:AX65)*FracLEACH*MSLeachEF*NtoN2O*kgtoGg,"ERROR"))</f>
        <v>0.20860280477164364</v>
      </c>
      <c r="AF1170" s="101">
        <f>IF('Net zero activities &amp; levers'!$C$14="Off",SUM('Activity data'!AY50:AY65)*FracLEACH*MSLeachEF*NtoN2O*kgtoGg,IF('Net zero activities &amp; levers'!$C$14="On",SUM('Net zero Activity data'!AY50:AY65)*FracLEACH*MSLeachEF*NtoN2O*kgtoGg,"ERROR"))</f>
        <v>0.21167179414400486</v>
      </c>
      <c r="AG1170" s="101">
        <f>IF('Net zero activities &amp; levers'!$C$14="Off",SUM('Activity data'!AZ50:AZ65)*FracLEACH*MSLeachEF*NtoN2O*kgtoGg,IF('Net zero activities &amp; levers'!$C$14="On",SUM('Net zero Activity data'!AZ50:AZ65)*FracLEACH*MSLeachEF*NtoN2O*kgtoGg,"ERROR"))</f>
        <v>0.20992366458596434</v>
      </c>
      <c r="AH1170" s="101">
        <f>IF('Net zero activities &amp; levers'!$C$14="Off",SUM('Activity data'!BA50:BA65)*FracLEACH*MSLeachEF*NtoN2O*kgtoGg,IF('Net zero activities &amp; levers'!$C$14="On",SUM('Net zero Activity data'!BA50:BA65)*FracLEACH*MSLeachEF*NtoN2O*kgtoGg,"ERROR"))</f>
        <v>-1.9300200690009681E-2</v>
      </c>
      <c r="AI1170" s="101">
        <f>IF('Net zero activities &amp; levers'!$C$14="Off",SUM('Activity data'!BB50:BB65)*FracLEACH*MSLeachEF*NtoN2O*kgtoGg,IF('Net zero activities &amp; levers'!$C$14="On",SUM('Net zero Activity data'!BB50:BB65)*FracLEACH*MSLeachEF*NtoN2O*kgtoGg,"ERROR"))</f>
        <v>-1.8843886811857471E-2</v>
      </c>
      <c r="AJ1170" s="101">
        <f>IF('Net zero activities &amp; levers'!$C$14="Off",SUM('Activity data'!BC50:BC65)*FracLEACH*MSLeachEF*NtoN2O*kgtoGg,IF('Net zero activities &amp; levers'!$C$14="On",SUM('Net zero Activity data'!BC50:BC65)*FracLEACH*MSLeachEF*NtoN2O*kgtoGg,"ERROR"))</f>
        <v>-1.8395910257723268E-2</v>
      </c>
      <c r="AK1170" s="101">
        <f>IF('Net zero activities &amp; levers'!$C$14="Off",SUM('Activity data'!BD50:BD65)*FracLEACH*MSLeachEF*NtoN2O*kgtoGg,IF('Net zero activities &amp; levers'!$C$14="On",SUM('Net zero Activity data'!BD50:BD65)*FracLEACH*MSLeachEF*NtoN2O*kgtoGg,"ERROR"))</f>
        <v>-1.7955834874350582E-2</v>
      </c>
      <c r="AL1170" s="101">
        <f>IF('Net zero activities &amp; levers'!$C$14="Off",SUM('Activity data'!BE50:BE65)*FracLEACH*MSLeachEF*NtoN2O*kgtoGg,IF('Net zero activities &amp; levers'!$C$14="On",SUM('Net zero Activity data'!BE50:BE65)*FracLEACH*MSLeachEF*NtoN2O*kgtoGg,"ERROR"))</f>
        <v>-1.7523255155980324E-2</v>
      </c>
      <c r="AM1170" s="101">
        <f>IF('Net zero activities &amp; levers'!$C$14="Off",SUM('Activity data'!BF50:BF65)*FracLEACH*MSLeachEF*NtoN2O*kgtoGg,IF('Net zero activities &amp; levers'!$C$14="On",SUM('Net zero Activity data'!BF50:BF65)*FracLEACH*MSLeachEF*NtoN2O*kgtoGg,"ERROR"))</f>
        <v>-1.7097793384935875E-2</v>
      </c>
      <c r="AN1170" s="101">
        <f>IF('Net zero activities &amp; levers'!$C$14="Off",SUM('Activity data'!BG50:BG65)*FracLEACH*MSLeachEF*NtoN2O*kgtoGg,IF('Net zero activities &amp; levers'!$C$14="On",SUM('Net zero Activity data'!BG50:BG65)*FracLEACH*MSLeachEF*NtoN2O*kgtoGg,"ERROR"))</f>
        <v>-1.6741323027793506E-2</v>
      </c>
      <c r="AO1170" s="101">
        <f>IF('Net zero activities &amp; levers'!$C$14="Off",SUM('Activity data'!BH50:BH65)*FracLEACH*MSLeachEF*NtoN2O*kgtoGg,IF('Net zero activities &amp; levers'!$C$14="On",SUM('Net zero Activity data'!BH50:BH65)*FracLEACH*MSLeachEF*NtoN2O*kgtoGg,"ERROR"))</f>
        <v>-1.6390975335511412E-2</v>
      </c>
      <c r="AP1170" s="101">
        <f>IF('Net zero activities &amp; levers'!$C$14="Off",SUM('Activity data'!BI50:BI65)*FracLEACH*MSLeachEF*NtoN2O*kgtoGg,IF('Net zero activities &amp; levers'!$C$14="On",SUM('Net zero Activity data'!BI50:BI65)*FracLEACH*MSLeachEF*NtoN2O*kgtoGg,"ERROR"))</f>
        <v>-1.6046469591821155E-2</v>
      </c>
      <c r="AQ1170" s="101">
        <f>IF('Net zero activities &amp; levers'!$C$14="Off",SUM('Activity data'!BJ50:BJ65)*FracLEACH*MSLeachEF*NtoN2O*kgtoGg,IF('Net zero activities &amp; levers'!$C$14="On",SUM('Net zero Activity data'!BJ50:BJ65)*FracLEACH*MSLeachEF*NtoN2O*kgtoGg,"ERROR"))</f>
        <v>-1.5707542818837256E-2</v>
      </c>
      <c r="AR1170" s="101">
        <f>IF('Net zero activities &amp; levers'!$C$14="Off",SUM('Activity data'!BK50:BK65)*FracLEACH*MSLeachEF*NtoN2O*kgtoGg,IF('Net zero activities &amp; levers'!$C$14="On",SUM('Net zero Activity data'!BK50:BK65)*FracLEACH*MSLeachEF*NtoN2O*kgtoGg,"ERROR"))</f>
        <v>-1.5373948294556171E-2</v>
      </c>
      <c r="AS1170" s="101">
        <f>IF('Net zero activities &amp; levers'!$C$14="Off",SUM('Activity data'!BL50:BL65)*FracLEACH*MSLeachEF*NtoN2O*kgtoGg,IF('Net zero activities &amp; levers'!$C$14="On",SUM('Net zero Activity data'!BL50:BL65)*FracLEACH*MSLeachEF*NtoN2O*kgtoGg,"ERROR"))</f>
        <v>-1.5023355882038061E-2</v>
      </c>
      <c r="AT1170" s="101">
        <f>IF('Net zero activities &amp; levers'!$C$14="Off",SUM('Activity data'!BM50:BM65)*FracLEACH*MSLeachEF*NtoN2O*kgtoGg,IF('Net zero activities &amp; levers'!$C$14="On",SUM('Net zero Activity data'!BM50:BM65)*FracLEACH*MSLeachEF*NtoN2O*kgtoGg,"ERROR"))</f>
        <v>-1.4678172069400145E-2</v>
      </c>
      <c r="AU1170" s="101">
        <f>IF('Net zero activities &amp; levers'!$C$14="Off",SUM('Activity data'!BN50:BN65)*FracLEACH*MSLeachEF*NtoN2O*kgtoGg,IF('Net zero activities &amp; levers'!$C$14="On",SUM('Net zero Activity data'!BN50:BN65)*FracLEACH*MSLeachEF*NtoN2O*kgtoGg,"ERROR"))</f>
        <v>-1.4338180596116832E-2</v>
      </c>
      <c r="AV1170" s="101">
        <f>IF('Net zero activities &amp; levers'!$C$14="Off",SUM('Activity data'!BO50:BO65)*FracLEACH*MSLeachEF*NtoN2O*kgtoGg,IF('Net zero activities &amp; levers'!$C$14="On",SUM('Net zero Activity data'!BO50:BO65)*FracLEACH*MSLeachEF*NtoN2O*kgtoGg,"ERROR"))</f>
        <v>-1.4003177540620452E-2</v>
      </c>
      <c r="AW1170" s="101">
        <f>IF('Net zero activities &amp; levers'!$C$14="Off",SUM('Activity data'!BP50:BP65)*FracLEACH*MSLeachEF*NtoN2O*kgtoGg,IF('Net zero activities &amp; levers'!$C$14="On",SUM('Net zero Activity data'!BP50:BP65)*FracLEACH*MSLeachEF*NtoN2O*kgtoGg,"ERROR"))</f>
        <v>-1.367297039065494E-2</v>
      </c>
      <c r="AY1170" s="85"/>
    </row>
    <row r="1171" spans="1:51" x14ac:dyDescent="0.25">
      <c r="A1171" s="102" t="str">
        <f t="shared" si="380"/>
        <v>CM Leaching</v>
      </c>
      <c r="B1171" s="102" t="s">
        <v>1323</v>
      </c>
      <c r="C1171" s="102" t="s">
        <v>1191</v>
      </c>
      <c r="D1171" t="s">
        <v>369</v>
      </c>
      <c r="E1171" t="s">
        <v>61</v>
      </c>
      <c r="F1171" t="s">
        <v>63</v>
      </c>
      <c r="G1171" t="s">
        <v>438</v>
      </c>
      <c r="H1171" t="s">
        <v>1192</v>
      </c>
      <c r="I1171" t="s">
        <v>139</v>
      </c>
      <c r="J1171" t="s">
        <v>287</v>
      </c>
      <c r="K1171" s="101">
        <f>IF('Net zero activities &amp; levers'!$C$14="Off",SUM('Activity data'!AD66:AD81)*FracLEACHUD*MSLeachEF*NtoN2O*kgtoGg,IF('Net zero activities &amp; levers'!$C$14="On",SUM('Net zero Activity data'!AD66:AD81)*FracLEACHUD*MSLeachEF*NtoN2O*kgtoGg,"ERROR"))</f>
        <v>0</v>
      </c>
      <c r="L1171" s="101">
        <f>IF('Net zero activities &amp; levers'!$C$14="Off",SUM('Activity data'!AE66:AE81)*FracLEACHUD*MSLeachEF*NtoN2O*kgtoGg,IF('Net zero activities &amp; levers'!$C$14="On",SUM('Net zero Activity data'!AE66:AE81)*FracLEACHUD*MSLeachEF*NtoN2O*kgtoGg,"ERROR"))</f>
        <v>0</v>
      </c>
      <c r="M1171" s="101">
        <f>IF('Net zero activities &amp; levers'!$C$14="Off",SUM('Activity data'!AF66:AF81)*FracLEACHUD*MSLeachEF*NtoN2O*kgtoGg,IF('Net zero activities &amp; levers'!$C$14="On",SUM('Net zero Activity data'!AF66:AF81)*FracLEACHUD*MSLeachEF*NtoN2O*kgtoGg,"ERROR"))</f>
        <v>0</v>
      </c>
      <c r="N1171" s="101">
        <f>IF('Net zero activities &amp; levers'!$C$14="Off",SUM('Activity data'!AG66:AG81)*FracLEACHUD*MSLeachEF*NtoN2O*kgtoGg,IF('Net zero activities &amp; levers'!$C$14="On",SUM('Net zero Activity data'!AG66:AG81)*FracLEACHUD*MSLeachEF*NtoN2O*kgtoGg,"ERROR"))</f>
        <v>0</v>
      </c>
      <c r="O1171" s="101">
        <f>IF('Net zero activities &amp; levers'!$C$14="Off",SUM('Activity data'!AH66:AH81)*FracLEACHUD*MSLeachEF*NtoN2O*kgtoGg,IF('Net zero activities &amp; levers'!$C$14="On",SUM('Net zero Activity data'!AH66:AH81)*FracLEACHUD*MSLeachEF*NtoN2O*kgtoGg,"ERROR"))</f>
        <v>0</v>
      </c>
      <c r="P1171" s="101">
        <f>IF('Net zero activities &amp; levers'!$C$14="Off",SUM('Activity data'!AI66:AI81)*FracLEACHUD*MSLeachEF*NtoN2O*kgtoGg,IF('Net zero activities &amp; levers'!$C$14="On",SUM('Net zero Activity data'!AI66:AI81)*FracLEACHUD*MSLeachEF*NtoN2O*kgtoGg,"ERROR"))</f>
        <v>0</v>
      </c>
      <c r="Q1171" s="101">
        <f>IF('Net zero activities &amp; levers'!$C$14="Off",SUM('Activity data'!AJ66:AJ81)*FracLEACHUD*MSLeachEF*NtoN2O*kgtoGg,IF('Net zero activities &amp; levers'!$C$14="On",SUM('Net zero Activity data'!AJ66:AJ81)*FracLEACHUD*MSLeachEF*NtoN2O*kgtoGg,"ERROR"))</f>
        <v>0</v>
      </c>
      <c r="R1171" s="101">
        <f>IF('Net zero activities &amp; levers'!$C$14="Off",SUM('Activity data'!AK66:AK81)*FracLEACHUD*MSLeachEF*NtoN2O*kgtoGg,IF('Net zero activities &amp; levers'!$C$14="On",SUM('Net zero Activity data'!AK66:AK81)*FracLEACHUD*MSLeachEF*NtoN2O*kgtoGg,"ERROR"))</f>
        <v>0</v>
      </c>
      <c r="S1171" s="101">
        <f>IF('Net zero activities &amp; levers'!$C$14="Off",SUM('Activity data'!AL66:AL81)*FracLEACHUD*MSLeachEF*NtoN2O*kgtoGg,IF('Net zero activities &amp; levers'!$C$14="On",SUM('Net zero Activity data'!AL66:AL81)*FracLEACHUD*MSLeachEF*NtoN2O*kgtoGg,"ERROR"))</f>
        <v>0</v>
      </c>
      <c r="T1171" s="101">
        <f>IF('Net zero activities &amp; levers'!$C$14="Off",SUM('Activity data'!AM66:AM81)*FracLEACHUD*MSLeachEF*NtoN2O*kgtoGg,IF('Net zero activities &amp; levers'!$C$14="On",SUM('Net zero Activity data'!AM66:AM81)*FracLEACHUD*MSLeachEF*NtoN2O*kgtoGg,"ERROR"))</f>
        <v>0</v>
      </c>
      <c r="U1171" s="101">
        <f>IF('Net zero activities &amp; levers'!$C$14="Off",SUM('Activity data'!AN66:AN81)*FracLEACHUD*MSLeachEF*NtoN2O*kgtoGg,IF('Net zero activities &amp; levers'!$C$14="On",SUM('Net zero Activity data'!AN66:AN81)*FracLEACHUD*MSLeachEF*NtoN2O*kgtoGg,"ERROR"))</f>
        <v>0</v>
      </c>
      <c r="V1171" s="101">
        <f>IF('Net zero activities &amp; levers'!$C$14="Off",SUM('Activity data'!AO66:AO81)*FracLEACHUD*MSLeachEF*NtoN2O*kgtoGg,IF('Net zero activities &amp; levers'!$C$14="On",SUM('Net zero Activity data'!AO66:AO81)*FracLEACHUD*MSLeachEF*NtoN2O*kgtoGg,"ERROR"))</f>
        <v>0</v>
      </c>
      <c r="W1171" s="101">
        <f>IF('Net zero activities &amp; levers'!$C$14="Off",SUM('Activity data'!AP66:AP81)*FracLEACHUD*MSLeachEF*NtoN2O*kgtoGg,IF('Net zero activities &amp; levers'!$C$14="On",SUM('Net zero Activity data'!AP66:AP81)*FracLEACHUD*MSLeachEF*NtoN2O*kgtoGg,"ERROR"))</f>
        <v>0</v>
      </c>
      <c r="X1171" s="101">
        <f>IF('Net zero activities &amp; levers'!$C$14="Off",SUM('Activity data'!AQ66:AQ81)*FracLEACHUD*MSLeachEF*NtoN2O*kgtoGg,IF('Net zero activities &amp; levers'!$C$14="On",SUM('Net zero Activity data'!AQ66:AQ81)*FracLEACHUD*MSLeachEF*NtoN2O*kgtoGg,"ERROR"))</f>
        <v>0</v>
      </c>
      <c r="Y1171" s="101">
        <f>IF('Net zero activities &amp; levers'!$C$14="Off",SUM('Activity data'!AR66:AR81)*FracLEACHUD*MSLeachEF*NtoN2O*kgtoGg,IF('Net zero activities &amp; levers'!$C$14="On",SUM('Net zero Activity data'!AR66:AR81)*FracLEACHUD*MSLeachEF*NtoN2O*kgtoGg,"ERROR"))</f>
        <v>0</v>
      </c>
      <c r="Z1171" s="101">
        <f>IF('Net zero activities &amp; levers'!$C$14="Off",SUM('Activity data'!AS66:AS81)*FracLEACHUD*MSLeachEF*NtoN2O*kgtoGg,IF('Net zero activities &amp; levers'!$C$14="On",SUM('Net zero Activity data'!AS66:AS81)*FracLEACHUD*MSLeachEF*NtoN2O*kgtoGg,"ERROR"))</f>
        <v>0</v>
      </c>
      <c r="AA1171" s="101">
        <f>IF('Net zero activities &amp; levers'!$C$14="Off",SUM('Activity data'!AT66:AT81)*FracLEACHUD*MSLeachEF*NtoN2O*kgtoGg,IF('Net zero activities &amp; levers'!$C$14="On",SUM('Net zero Activity data'!AT66:AT81)*FracLEACHUD*MSLeachEF*NtoN2O*kgtoGg,"ERROR"))</f>
        <v>0</v>
      </c>
      <c r="AB1171" s="101">
        <f>IF('Net zero activities &amp; levers'!$C$14="Off",SUM('Activity data'!AU66:AU81)*FracLEACHUD*MSLeachEF*NtoN2O*kgtoGg,IF('Net zero activities &amp; levers'!$C$14="On",SUM('Net zero Activity data'!AU66:AU81)*FracLEACHUD*MSLeachEF*NtoN2O*kgtoGg,"ERROR"))</f>
        <v>0</v>
      </c>
      <c r="AC1171" s="101">
        <f>IF('Net zero activities &amp; levers'!$C$14="Off",SUM('Activity data'!AV66:AV81)*FracLEACHUD*MSLeachEF*NtoN2O*kgtoGg,IF('Net zero activities &amp; levers'!$C$14="On",SUM('Net zero Activity data'!AV66:AV81)*FracLEACHUD*MSLeachEF*NtoN2O*kgtoGg,"ERROR"))</f>
        <v>0</v>
      </c>
      <c r="AD1171" s="101">
        <f>IF('Net zero activities &amp; levers'!$C$14="Off",SUM('Activity data'!AW66:AW81)*FracLEACHUD*MSLeachEF*NtoN2O*kgtoGg,IF('Net zero activities &amp; levers'!$C$14="On",SUM('Net zero Activity data'!AW66:AW81)*FracLEACHUD*MSLeachEF*NtoN2O*kgtoGg,"ERROR"))</f>
        <v>0</v>
      </c>
      <c r="AE1171" s="101">
        <f>IF('Net zero activities &amp; levers'!$C$14="Off",SUM('Activity data'!AX66:AX81)*FracLEACHUD*MSLeachEF*NtoN2O*kgtoGg,IF('Net zero activities &amp; levers'!$C$14="On",SUM('Net zero Activity data'!AX66:AX81)*FracLEACHUD*MSLeachEF*NtoN2O*kgtoGg,"ERROR"))</f>
        <v>0</v>
      </c>
      <c r="AF1171" s="101">
        <f>IF('Net zero activities &amp; levers'!$C$14="Off",SUM('Activity data'!AY66:AY81)*FracLEACHUD*MSLeachEF*NtoN2O*kgtoGg,IF('Net zero activities &amp; levers'!$C$14="On",SUM('Net zero Activity data'!AY66:AY81)*FracLEACHUD*MSLeachEF*NtoN2O*kgtoGg,"ERROR"))</f>
        <v>0</v>
      </c>
      <c r="AG1171" s="101">
        <f>IF('Net zero activities &amp; levers'!$C$14="Off",SUM('Activity data'!AZ66:AZ81)*FracLEACHUD*MSLeachEF*NtoN2O*kgtoGg,IF('Net zero activities &amp; levers'!$C$14="On",SUM('Net zero Activity data'!AZ66:AZ81)*FracLEACHUD*MSLeachEF*NtoN2O*kgtoGg,"ERROR"))</f>
        <v>0</v>
      </c>
      <c r="AH1171" s="101">
        <f>IF('Net zero activities &amp; levers'!$C$14="Off",SUM('Activity data'!BA66:BA81)*FracLEACHUD*MSLeachEF*NtoN2O*kgtoGg,IF('Net zero activities &amp; levers'!$C$14="On",SUM('Net zero Activity data'!BA66:BA81)*FracLEACHUD*MSLeachEF*NtoN2O*kgtoGg,"ERROR"))</f>
        <v>0</v>
      </c>
      <c r="AI1171" s="101">
        <f>IF('Net zero activities &amp; levers'!$C$14="Off",SUM('Activity data'!BB66:BB81)*FracLEACHUD*MSLeachEF*NtoN2O*kgtoGg,IF('Net zero activities &amp; levers'!$C$14="On",SUM('Net zero Activity data'!BB66:BB81)*FracLEACHUD*MSLeachEF*NtoN2O*kgtoGg,"ERROR"))</f>
        <v>0</v>
      </c>
      <c r="AJ1171" s="101">
        <f>IF('Net zero activities &amp; levers'!$C$14="Off",SUM('Activity data'!BC66:BC81)*FracLEACHUD*MSLeachEF*NtoN2O*kgtoGg,IF('Net zero activities &amp; levers'!$C$14="On",SUM('Net zero Activity data'!BC66:BC81)*FracLEACHUD*MSLeachEF*NtoN2O*kgtoGg,"ERROR"))</f>
        <v>0</v>
      </c>
      <c r="AK1171" s="101">
        <f>IF('Net zero activities &amp; levers'!$C$14="Off",SUM('Activity data'!BD66:BD81)*FracLEACHUD*MSLeachEF*NtoN2O*kgtoGg,IF('Net zero activities &amp; levers'!$C$14="On",SUM('Net zero Activity data'!BD66:BD81)*FracLEACHUD*MSLeachEF*NtoN2O*kgtoGg,"ERROR"))</f>
        <v>0</v>
      </c>
      <c r="AL1171" s="101">
        <f>IF('Net zero activities &amp; levers'!$C$14="Off",SUM('Activity data'!BE66:BE81)*FracLEACHUD*MSLeachEF*NtoN2O*kgtoGg,IF('Net zero activities &amp; levers'!$C$14="On",SUM('Net zero Activity data'!BE66:BE81)*FracLEACHUD*MSLeachEF*NtoN2O*kgtoGg,"ERROR"))</f>
        <v>0</v>
      </c>
      <c r="AM1171" s="101">
        <f>IF('Net zero activities &amp; levers'!$C$14="Off",SUM('Activity data'!BF66:BF81)*FracLEACHUD*MSLeachEF*NtoN2O*kgtoGg,IF('Net zero activities &amp; levers'!$C$14="On",SUM('Net zero Activity data'!BF66:BF81)*FracLEACHUD*MSLeachEF*NtoN2O*kgtoGg,"ERROR"))</f>
        <v>0</v>
      </c>
      <c r="AN1171" s="101">
        <f>IF('Net zero activities &amp; levers'!$C$14="Off",SUM('Activity data'!BG66:BG81)*FracLEACHUD*MSLeachEF*NtoN2O*kgtoGg,IF('Net zero activities &amp; levers'!$C$14="On",SUM('Net zero Activity data'!BG66:BG81)*FracLEACHUD*MSLeachEF*NtoN2O*kgtoGg,"ERROR"))</f>
        <v>0</v>
      </c>
      <c r="AO1171" s="101">
        <f>IF('Net zero activities &amp; levers'!$C$14="Off",SUM('Activity data'!BH66:BH81)*FracLEACHUD*MSLeachEF*NtoN2O*kgtoGg,IF('Net zero activities &amp; levers'!$C$14="On",SUM('Net zero Activity data'!BH66:BH81)*FracLEACHUD*MSLeachEF*NtoN2O*kgtoGg,"ERROR"))</f>
        <v>0</v>
      </c>
      <c r="AP1171" s="101">
        <f>IF('Net zero activities &amp; levers'!$C$14="Off",SUM('Activity data'!BI66:BI81)*FracLEACHUD*MSLeachEF*NtoN2O*kgtoGg,IF('Net zero activities &amp; levers'!$C$14="On",SUM('Net zero Activity data'!BI66:BI81)*FracLEACHUD*MSLeachEF*NtoN2O*kgtoGg,"ERROR"))</f>
        <v>0</v>
      </c>
      <c r="AQ1171" s="101">
        <f>IF('Net zero activities &amp; levers'!$C$14="Off",SUM('Activity data'!BJ66:BJ81)*FracLEACHUD*MSLeachEF*NtoN2O*kgtoGg,IF('Net zero activities &amp; levers'!$C$14="On",SUM('Net zero Activity data'!BJ66:BJ81)*FracLEACHUD*MSLeachEF*NtoN2O*kgtoGg,"ERROR"))</f>
        <v>0</v>
      </c>
      <c r="AR1171" s="101">
        <f>IF('Net zero activities &amp; levers'!$C$14="Off",SUM('Activity data'!BK66:BK81)*FracLEACHUD*MSLeachEF*NtoN2O*kgtoGg,IF('Net zero activities &amp; levers'!$C$14="On",SUM('Net zero Activity data'!BK66:BK81)*FracLEACHUD*MSLeachEF*NtoN2O*kgtoGg,"ERROR"))</f>
        <v>0</v>
      </c>
      <c r="AS1171" s="101">
        <f>IF('Net zero activities &amp; levers'!$C$14="Off",SUM('Activity data'!BL66:BL81)*FracLEACHUD*MSLeachEF*NtoN2O*kgtoGg,IF('Net zero activities &amp; levers'!$C$14="On",SUM('Net zero Activity data'!BL66:BL81)*FracLEACHUD*MSLeachEF*NtoN2O*kgtoGg,"ERROR"))</f>
        <v>0</v>
      </c>
      <c r="AT1171" s="101">
        <f>IF('Net zero activities &amp; levers'!$C$14="Off",SUM('Activity data'!BM66:BM81)*FracLEACHUD*MSLeachEF*NtoN2O*kgtoGg,IF('Net zero activities &amp; levers'!$C$14="On",SUM('Net zero Activity data'!BM66:BM81)*FracLEACHUD*MSLeachEF*NtoN2O*kgtoGg,"ERROR"))</f>
        <v>0</v>
      </c>
      <c r="AU1171" s="101">
        <f>IF('Net zero activities &amp; levers'!$C$14="Off",SUM('Activity data'!BN66:BN81)*FracLEACHUD*MSLeachEF*NtoN2O*kgtoGg,IF('Net zero activities &amp; levers'!$C$14="On",SUM('Net zero Activity data'!BN66:BN81)*FracLEACHUD*MSLeachEF*NtoN2O*kgtoGg,"ERROR"))</f>
        <v>0</v>
      </c>
      <c r="AV1171" s="101">
        <f>IF('Net zero activities &amp; levers'!$C$14="Off",SUM('Activity data'!BO66:BO81)*FracLEACHUD*MSLeachEF*NtoN2O*kgtoGg,IF('Net zero activities &amp; levers'!$C$14="On",SUM('Net zero Activity data'!BO66:BO81)*FracLEACHUD*MSLeachEF*NtoN2O*kgtoGg,"ERROR"))</f>
        <v>0</v>
      </c>
      <c r="AW1171" s="101">
        <f>IF('Net zero activities &amp; levers'!$C$14="Off",SUM('Activity data'!BP66:BP81)*FracLEACHUD*MSLeachEF*NtoN2O*kgtoGg,IF('Net zero activities &amp; levers'!$C$14="On",SUM('Net zero Activity data'!BP66:BP81)*FracLEACHUD*MSLeachEF*NtoN2O*kgtoGg,"ERROR"))</f>
        <v>0</v>
      </c>
      <c r="AY1171" s="85"/>
    </row>
    <row r="1172" spans="1:51" x14ac:dyDescent="0.25">
      <c r="A1172" s="102" t="str">
        <f t="shared" si="380"/>
        <v>CM Leaching</v>
      </c>
      <c r="B1172" s="102" t="s">
        <v>1323</v>
      </c>
      <c r="C1172" s="102" t="s">
        <v>1191</v>
      </c>
      <c r="D1172" t="s">
        <v>369</v>
      </c>
      <c r="E1172" t="s">
        <v>61</v>
      </c>
      <c r="F1172" t="s">
        <v>63</v>
      </c>
      <c r="G1172" t="s">
        <v>439</v>
      </c>
      <c r="H1172" t="s">
        <v>1193</v>
      </c>
      <c r="I1172" t="s">
        <v>139</v>
      </c>
      <c r="J1172" t="s">
        <v>287</v>
      </c>
      <c r="K1172" s="22">
        <f>K1518</f>
        <v>0.10175116378121943</v>
      </c>
      <c r="L1172" s="22">
        <f t="shared" ref="L1172:AW1179" si="381">L1518</f>
        <v>0.10199531862312783</v>
      </c>
      <c r="M1172" s="22">
        <f t="shared" si="381"/>
        <v>0.10232895790911103</v>
      </c>
      <c r="N1172" s="22">
        <f t="shared" si="381"/>
        <v>0.102571135787432</v>
      </c>
      <c r="O1172" s="22">
        <f t="shared" si="381"/>
        <v>0.10268907461035851</v>
      </c>
      <c r="P1172" s="22">
        <f t="shared" si="381"/>
        <v>0.10280548137522282</v>
      </c>
      <c r="Q1172" s="22">
        <f t="shared" si="381"/>
        <v>0.10298157657140594</v>
      </c>
      <c r="R1172" s="22">
        <f t="shared" si="381"/>
        <v>0.10317437501165042</v>
      </c>
      <c r="S1172" s="22">
        <f t="shared" si="381"/>
        <v>0.10323747118294155</v>
      </c>
      <c r="T1172" s="22">
        <f t="shared" si="381"/>
        <v>0.10207849673523195</v>
      </c>
      <c r="U1172" s="22">
        <f t="shared" si="381"/>
        <v>0.10244002007553947</v>
      </c>
      <c r="V1172" s="22">
        <f t="shared" si="381"/>
        <v>0.10276505734262262</v>
      </c>
      <c r="W1172" s="22">
        <f t="shared" si="381"/>
        <v>0.10308708143869158</v>
      </c>
      <c r="X1172" s="22">
        <f t="shared" si="381"/>
        <v>0.10345673156725761</v>
      </c>
      <c r="Y1172" s="22">
        <f t="shared" si="381"/>
        <v>0.10382236970947499</v>
      </c>
      <c r="Z1172" s="22">
        <f t="shared" si="381"/>
        <v>0.10419308105510718</v>
      </c>
      <c r="AA1172" s="22">
        <f t="shared" si="381"/>
        <v>0.1045480129274277</v>
      </c>
      <c r="AB1172" s="22">
        <f t="shared" si="381"/>
        <v>0.10491811532698922</v>
      </c>
      <c r="AC1172" s="22">
        <f t="shared" si="381"/>
        <v>0.10526191572099161</v>
      </c>
      <c r="AD1172" s="22">
        <f t="shared" si="381"/>
        <v>0.10560878304057683</v>
      </c>
      <c r="AE1172" s="22">
        <f t="shared" si="381"/>
        <v>0.10601241907328743</v>
      </c>
      <c r="AF1172" s="22">
        <f t="shared" si="381"/>
        <v>0.10643853523191582</v>
      </c>
      <c r="AG1172" s="22">
        <f t="shared" si="381"/>
        <v>0.10687002645789688</v>
      </c>
      <c r="AH1172" s="22">
        <f t="shared" si="381"/>
        <v>0.10695565891506367</v>
      </c>
      <c r="AI1172" s="22">
        <f t="shared" si="381"/>
        <v>7.1370603051085779E-2</v>
      </c>
      <c r="AJ1172" s="22">
        <f t="shared" si="381"/>
        <v>7.1307647461360521E-2</v>
      </c>
      <c r="AK1172" s="22">
        <f t="shared" si="381"/>
        <v>7.1244029161657008E-2</v>
      </c>
      <c r="AL1172" s="22">
        <f t="shared" si="381"/>
        <v>7.1179739022300959E-2</v>
      </c>
      <c r="AM1172" s="22">
        <f t="shared" si="381"/>
        <v>7.1114767741896984E-2</v>
      </c>
      <c r="AN1172" s="22">
        <f t="shared" si="381"/>
        <v>7.1049105843042956E-2</v>
      </c>
      <c r="AO1172" s="22">
        <f t="shared" si="381"/>
        <v>7.0992821484352875E-2</v>
      </c>
      <c r="AP1172" s="22">
        <f t="shared" si="381"/>
        <v>7.0936026569640209E-2</v>
      </c>
      <c r="AQ1172" s="22">
        <f t="shared" si="381"/>
        <v>7.0878714989935504E-2</v>
      </c>
      <c r="AR1172" s="22">
        <f t="shared" si="381"/>
        <v>7.0820880536048819E-2</v>
      </c>
      <c r="AS1172" s="22">
        <f t="shared" si="381"/>
        <v>7.0762516896386879E-2</v>
      </c>
      <c r="AT1172" s="22">
        <f t="shared" si="381"/>
        <v>7.0714119633319514E-2</v>
      </c>
      <c r="AU1172" s="22">
        <f t="shared" si="381"/>
        <v>7.0665356530577775E-2</v>
      </c>
      <c r="AV1172" s="22">
        <f t="shared" si="381"/>
        <v>7.0616223915862988E-2</v>
      </c>
      <c r="AW1172" s="22">
        <f t="shared" si="381"/>
        <v>7.0566718066166448E-2</v>
      </c>
      <c r="AY1172" s="85"/>
    </row>
    <row r="1173" spans="1:51" x14ac:dyDescent="0.25">
      <c r="A1173" s="102" t="str">
        <f t="shared" si="380"/>
        <v>CM Leaching</v>
      </c>
      <c r="B1173" s="102" t="s">
        <v>1323</v>
      </c>
      <c r="C1173" s="102" t="s">
        <v>1191</v>
      </c>
      <c r="D1173" t="s">
        <v>369</v>
      </c>
      <c r="E1173" t="s">
        <v>61</v>
      </c>
      <c r="F1173" t="s">
        <v>63</v>
      </c>
      <c r="G1173" t="s">
        <v>1194</v>
      </c>
      <c r="H1173" t="s">
        <v>1195</v>
      </c>
      <c r="I1173" t="s">
        <v>139</v>
      </c>
      <c r="J1173" t="s">
        <v>287</v>
      </c>
      <c r="K1173" s="22" t="str">
        <f t="shared" ref="K1173:Z1184" si="382">K1519</f>
        <v>NO</v>
      </c>
      <c r="L1173" s="22" t="str">
        <f t="shared" si="382"/>
        <v>NO</v>
      </c>
      <c r="M1173" s="22" t="str">
        <f t="shared" si="382"/>
        <v>NO</v>
      </c>
      <c r="N1173" s="22" t="str">
        <f t="shared" si="382"/>
        <v>NO</v>
      </c>
      <c r="O1173" s="22" t="str">
        <f t="shared" si="382"/>
        <v>NO</v>
      </c>
      <c r="P1173" s="22" t="str">
        <f t="shared" si="382"/>
        <v>NO</v>
      </c>
      <c r="Q1173" s="22" t="str">
        <f t="shared" si="382"/>
        <v>NO</v>
      </c>
      <c r="R1173" s="22" t="str">
        <f t="shared" si="382"/>
        <v>NO</v>
      </c>
      <c r="S1173" s="22" t="str">
        <f t="shared" si="382"/>
        <v>NO</v>
      </c>
      <c r="T1173" s="22" t="str">
        <f t="shared" si="382"/>
        <v>NO</v>
      </c>
      <c r="U1173" s="22" t="str">
        <f t="shared" si="382"/>
        <v>NO</v>
      </c>
      <c r="V1173" s="22" t="str">
        <f t="shared" si="382"/>
        <v>NO</v>
      </c>
      <c r="W1173" s="22" t="str">
        <f t="shared" si="382"/>
        <v>NO</v>
      </c>
      <c r="X1173" s="22" t="str">
        <f t="shared" si="382"/>
        <v>NO</v>
      </c>
      <c r="Y1173" s="22" t="str">
        <f t="shared" si="382"/>
        <v>NO</v>
      </c>
      <c r="Z1173" s="22" t="str">
        <f t="shared" si="382"/>
        <v>NO</v>
      </c>
      <c r="AA1173" s="22" t="str">
        <f t="shared" si="381"/>
        <v>NO</v>
      </c>
      <c r="AB1173" s="22" t="str">
        <f t="shared" si="381"/>
        <v>NO</v>
      </c>
      <c r="AC1173" s="22" t="str">
        <f t="shared" si="381"/>
        <v>NO</v>
      </c>
      <c r="AD1173" s="22" t="str">
        <f t="shared" si="381"/>
        <v>NO</v>
      </c>
      <c r="AE1173" s="22" t="str">
        <f t="shared" si="381"/>
        <v>NO</v>
      </c>
      <c r="AF1173" s="22" t="str">
        <f t="shared" si="381"/>
        <v>NO</v>
      </c>
      <c r="AG1173" s="22" t="str">
        <f t="shared" si="381"/>
        <v>NO</v>
      </c>
      <c r="AH1173" s="22" t="str">
        <f t="shared" si="381"/>
        <v>NO</v>
      </c>
      <c r="AI1173" s="22" t="str">
        <f t="shared" si="381"/>
        <v>NO</v>
      </c>
      <c r="AJ1173" s="22" t="str">
        <f t="shared" si="381"/>
        <v>NO</v>
      </c>
      <c r="AK1173" s="22" t="str">
        <f t="shared" si="381"/>
        <v>NO</v>
      </c>
      <c r="AL1173" s="22" t="str">
        <f t="shared" si="381"/>
        <v>NO</v>
      </c>
      <c r="AM1173" s="22" t="str">
        <f t="shared" si="381"/>
        <v>NO</v>
      </c>
      <c r="AN1173" s="22" t="str">
        <f t="shared" si="381"/>
        <v>NO</v>
      </c>
      <c r="AO1173" s="22" t="str">
        <f t="shared" si="381"/>
        <v>NO</v>
      </c>
      <c r="AP1173" s="22" t="str">
        <f t="shared" si="381"/>
        <v>NO</v>
      </c>
      <c r="AQ1173" s="22" t="str">
        <f t="shared" si="381"/>
        <v>NO</v>
      </c>
      <c r="AR1173" s="22" t="str">
        <f t="shared" si="381"/>
        <v>NO</v>
      </c>
      <c r="AS1173" s="22" t="str">
        <f t="shared" si="381"/>
        <v>NO</v>
      </c>
      <c r="AT1173" s="22" t="str">
        <f t="shared" si="381"/>
        <v>NO</v>
      </c>
      <c r="AU1173" s="22" t="str">
        <f t="shared" si="381"/>
        <v>NO</v>
      </c>
      <c r="AV1173" s="22" t="str">
        <f t="shared" si="381"/>
        <v>NO</v>
      </c>
      <c r="AW1173" s="22" t="str">
        <f t="shared" si="381"/>
        <v>NO</v>
      </c>
      <c r="AY1173" s="85"/>
    </row>
    <row r="1174" spans="1:51" x14ac:dyDescent="0.25">
      <c r="A1174" s="102" t="str">
        <f t="shared" si="380"/>
        <v>CM Leaching</v>
      </c>
      <c r="B1174" s="102" t="s">
        <v>1323</v>
      </c>
      <c r="C1174" s="102" t="s">
        <v>1191</v>
      </c>
      <c r="D1174" t="s">
        <v>369</v>
      </c>
      <c r="E1174" t="s">
        <v>61</v>
      </c>
      <c r="F1174" t="s">
        <v>63</v>
      </c>
      <c r="G1174" t="s">
        <v>1196</v>
      </c>
      <c r="H1174" t="s">
        <v>1197</v>
      </c>
      <c r="I1174" t="s">
        <v>139</v>
      </c>
      <c r="J1174" t="s">
        <v>287</v>
      </c>
      <c r="K1174" s="22" t="str">
        <f t="shared" si="382"/>
        <v>NO</v>
      </c>
      <c r="L1174" s="22" t="str">
        <f t="shared" si="381"/>
        <v>NO</v>
      </c>
      <c r="M1174" s="22" t="str">
        <f t="shared" si="381"/>
        <v>NO</v>
      </c>
      <c r="N1174" s="22" t="str">
        <f t="shared" si="381"/>
        <v>NO</v>
      </c>
      <c r="O1174" s="22" t="str">
        <f t="shared" si="381"/>
        <v>NO</v>
      </c>
      <c r="P1174" s="22" t="str">
        <f t="shared" si="381"/>
        <v>NO</v>
      </c>
      <c r="Q1174" s="22" t="str">
        <f t="shared" si="381"/>
        <v>NO</v>
      </c>
      <c r="R1174" s="22" t="str">
        <f t="shared" si="381"/>
        <v>NO</v>
      </c>
      <c r="S1174" s="22" t="str">
        <f t="shared" si="381"/>
        <v>NO</v>
      </c>
      <c r="T1174" s="22" t="str">
        <f t="shared" si="381"/>
        <v>NO</v>
      </c>
      <c r="U1174" s="22" t="str">
        <f t="shared" si="381"/>
        <v>NO</v>
      </c>
      <c r="V1174" s="22" t="str">
        <f t="shared" si="381"/>
        <v>NO</v>
      </c>
      <c r="W1174" s="22" t="str">
        <f t="shared" si="381"/>
        <v>NO</v>
      </c>
      <c r="X1174" s="22" t="str">
        <f t="shared" si="381"/>
        <v>NO</v>
      </c>
      <c r="Y1174" s="22" t="str">
        <f t="shared" si="381"/>
        <v>NO</v>
      </c>
      <c r="Z1174" s="22" t="str">
        <f t="shared" si="381"/>
        <v>NO</v>
      </c>
      <c r="AA1174" s="22" t="str">
        <f t="shared" si="381"/>
        <v>NO</v>
      </c>
      <c r="AB1174" s="22" t="str">
        <f t="shared" si="381"/>
        <v>NO</v>
      </c>
      <c r="AC1174" s="22" t="str">
        <f t="shared" si="381"/>
        <v>NO</v>
      </c>
      <c r="AD1174" s="22" t="str">
        <f t="shared" si="381"/>
        <v>NO</v>
      </c>
      <c r="AE1174" s="22" t="str">
        <f t="shared" si="381"/>
        <v>NO</v>
      </c>
      <c r="AF1174" s="22" t="str">
        <f t="shared" si="381"/>
        <v>NO</v>
      </c>
      <c r="AG1174" s="22" t="str">
        <f t="shared" si="381"/>
        <v>NO</v>
      </c>
      <c r="AH1174" s="22" t="str">
        <f t="shared" si="381"/>
        <v>NO</v>
      </c>
      <c r="AI1174" s="22" t="str">
        <f t="shared" si="381"/>
        <v>NO</v>
      </c>
      <c r="AJ1174" s="22" t="str">
        <f t="shared" si="381"/>
        <v>NO</v>
      </c>
      <c r="AK1174" s="22" t="str">
        <f t="shared" si="381"/>
        <v>NO</v>
      </c>
      <c r="AL1174" s="22" t="str">
        <f t="shared" si="381"/>
        <v>NO</v>
      </c>
      <c r="AM1174" s="22" t="str">
        <f t="shared" si="381"/>
        <v>NO</v>
      </c>
      <c r="AN1174" s="22" t="str">
        <f t="shared" si="381"/>
        <v>NO</v>
      </c>
      <c r="AO1174" s="22" t="str">
        <f t="shared" si="381"/>
        <v>NO</v>
      </c>
      <c r="AP1174" s="22" t="str">
        <f t="shared" si="381"/>
        <v>NO</v>
      </c>
      <c r="AQ1174" s="22" t="str">
        <f t="shared" si="381"/>
        <v>NO</v>
      </c>
      <c r="AR1174" s="22" t="str">
        <f t="shared" si="381"/>
        <v>NO</v>
      </c>
      <c r="AS1174" s="22" t="str">
        <f t="shared" si="381"/>
        <v>NO</v>
      </c>
      <c r="AT1174" s="22" t="str">
        <f t="shared" si="381"/>
        <v>NO</v>
      </c>
      <c r="AU1174" s="22" t="str">
        <f t="shared" si="381"/>
        <v>NO</v>
      </c>
      <c r="AV1174" s="22" t="str">
        <f t="shared" si="381"/>
        <v>NO</v>
      </c>
      <c r="AW1174" s="22" t="str">
        <f t="shared" si="381"/>
        <v>NO</v>
      </c>
      <c r="AY1174" s="85"/>
    </row>
    <row r="1175" spans="1:51" x14ac:dyDescent="0.25">
      <c r="A1175" s="102" t="str">
        <f t="shared" si="380"/>
        <v>CM Leaching</v>
      </c>
      <c r="B1175" s="102" t="s">
        <v>1323</v>
      </c>
      <c r="C1175" s="102" t="s">
        <v>1191</v>
      </c>
      <c r="D1175" t="s">
        <v>369</v>
      </c>
      <c r="E1175" t="s">
        <v>61</v>
      </c>
      <c r="F1175" t="s">
        <v>63</v>
      </c>
      <c r="G1175" t="s">
        <v>1198</v>
      </c>
      <c r="H1175" t="s">
        <v>1199</v>
      </c>
      <c r="I1175" t="s">
        <v>139</v>
      </c>
      <c r="J1175" t="s">
        <v>287</v>
      </c>
      <c r="K1175" s="22">
        <f t="shared" si="382"/>
        <v>1.1867590793806392E-4</v>
      </c>
      <c r="L1175" s="22">
        <f t="shared" si="381"/>
        <v>1.1853617037070301E-4</v>
      </c>
      <c r="M1175" s="22">
        <f t="shared" si="381"/>
        <v>1.1839643280334203E-4</v>
      </c>
      <c r="N1175" s="22">
        <f t="shared" si="381"/>
        <v>1.1825669523598106E-4</v>
      </c>
      <c r="O1175" s="22">
        <f t="shared" si="381"/>
        <v>1.1811695766862012E-4</v>
      </c>
      <c r="P1175" s="22">
        <f t="shared" si="381"/>
        <v>1.1797722010125916E-4</v>
      </c>
      <c r="Q1175" s="22">
        <f t="shared" si="381"/>
        <v>1.178374825338982E-4</v>
      </c>
      <c r="R1175" s="22">
        <f t="shared" si="381"/>
        <v>1.1769774496653728E-4</v>
      </c>
      <c r="S1175" s="22">
        <f t="shared" si="381"/>
        <v>1.1755800739917633E-4</v>
      </c>
      <c r="T1175" s="22">
        <f t="shared" si="381"/>
        <v>1.174182698318154E-4</v>
      </c>
      <c r="U1175" s="22">
        <f t="shared" si="381"/>
        <v>1.1727853226445441E-4</v>
      </c>
      <c r="V1175" s="22">
        <f t="shared" si="381"/>
        <v>1.1713879469709348E-4</v>
      </c>
      <c r="W1175" s="22">
        <f t="shared" si="381"/>
        <v>1.1699905712973254E-4</v>
      </c>
      <c r="X1175" s="22">
        <f t="shared" si="381"/>
        <v>1.168593195623716E-4</v>
      </c>
      <c r="Y1175" s="22">
        <f t="shared" si="381"/>
        <v>1.1671958199501069E-4</v>
      </c>
      <c r="Z1175" s="22">
        <f t="shared" si="381"/>
        <v>1.1657984442764968E-4</v>
      </c>
      <c r="AA1175" s="22">
        <f t="shared" si="381"/>
        <v>1.1644010686028878E-4</v>
      </c>
      <c r="AB1175" s="22">
        <f t="shared" si="381"/>
        <v>1.1630036929292779E-4</v>
      </c>
      <c r="AC1175" s="22">
        <f t="shared" si="381"/>
        <v>1.1616063172556689E-4</v>
      </c>
      <c r="AD1175" s="22">
        <f t="shared" si="381"/>
        <v>1.1602089415820588E-4</v>
      </c>
      <c r="AE1175" s="22">
        <f t="shared" si="381"/>
        <v>1.1588115659084502E-4</v>
      </c>
      <c r="AF1175" s="22">
        <f t="shared" si="381"/>
        <v>1.1574141902348403E-4</v>
      </c>
      <c r="AG1175" s="22">
        <f t="shared" si="381"/>
        <v>1.1560168145612309E-4</v>
      </c>
      <c r="AH1175" s="22">
        <f t="shared" si="381"/>
        <v>1.154619438887621E-4</v>
      </c>
      <c r="AI1175" s="22">
        <f t="shared" si="381"/>
        <v>1.1532220632140118E-4</v>
      </c>
      <c r="AJ1175" s="22">
        <f t="shared" si="381"/>
        <v>1.1518246875404022E-4</v>
      </c>
      <c r="AK1175" s="22">
        <f t="shared" si="381"/>
        <v>1.1504273118667928E-4</v>
      </c>
      <c r="AL1175" s="22">
        <f t="shared" si="381"/>
        <v>1.1490299361931835E-4</v>
      </c>
      <c r="AM1175" s="22">
        <f t="shared" si="381"/>
        <v>1.1476325605195744E-4</v>
      </c>
      <c r="AN1175" s="22">
        <f t="shared" si="381"/>
        <v>1.1462351848459642E-4</v>
      </c>
      <c r="AO1175" s="22">
        <f t="shared" si="381"/>
        <v>1.1448378091723552E-4</v>
      </c>
      <c r="AP1175" s="22">
        <f t="shared" si="381"/>
        <v>1.1434404334987458E-4</v>
      </c>
      <c r="AQ1175" s="22">
        <f t="shared" si="381"/>
        <v>1.1420430578251366E-4</v>
      </c>
      <c r="AR1175" s="22">
        <f t="shared" si="381"/>
        <v>1.1406456821515268E-4</v>
      </c>
      <c r="AS1175" s="22">
        <f t="shared" si="381"/>
        <v>1.1392483064779174E-4</v>
      </c>
      <c r="AT1175" s="22">
        <f t="shared" si="381"/>
        <v>1.1378509308043078E-4</v>
      </c>
      <c r="AU1175" s="22">
        <f t="shared" si="381"/>
        <v>1.136453555130698E-4</v>
      </c>
      <c r="AV1175" s="22">
        <f t="shared" si="381"/>
        <v>1.1350561794570888E-4</v>
      </c>
      <c r="AW1175" s="22">
        <f t="shared" si="381"/>
        <v>1.1336588037834792E-4</v>
      </c>
      <c r="AY1175" s="85"/>
    </row>
    <row r="1176" spans="1:51" x14ac:dyDescent="0.25">
      <c r="A1176" s="102" t="str">
        <f t="shared" si="380"/>
        <v>CM Leaching</v>
      </c>
      <c r="B1176" s="102" t="s">
        <v>1323</v>
      </c>
      <c r="C1176" s="102" t="s">
        <v>1191</v>
      </c>
      <c r="D1176" t="s">
        <v>369</v>
      </c>
      <c r="E1176" t="s">
        <v>61</v>
      </c>
      <c r="F1176" t="s">
        <v>63</v>
      </c>
      <c r="G1176" t="s">
        <v>1200</v>
      </c>
      <c r="H1176" t="s">
        <v>1201</v>
      </c>
      <c r="I1176" t="s">
        <v>139</v>
      </c>
      <c r="J1176" t="s">
        <v>287</v>
      </c>
      <c r="K1176" s="22">
        <f t="shared" si="382"/>
        <v>1.6912231388729011E-2</v>
      </c>
      <c r="L1176" s="22">
        <f t="shared" si="381"/>
        <v>1.6951420148247919E-2</v>
      </c>
      <c r="M1176" s="22">
        <f t="shared" si="381"/>
        <v>1.6990608907766828E-2</v>
      </c>
      <c r="N1176" s="22">
        <f t="shared" si="381"/>
        <v>1.702979766728574E-2</v>
      </c>
      <c r="O1176" s="22">
        <f t="shared" si="381"/>
        <v>1.7068986426804648E-2</v>
      </c>
      <c r="P1176" s="22">
        <f t="shared" si="381"/>
        <v>1.7108175186323554E-2</v>
      </c>
      <c r="Q1176" s="22">
        <f t="shared" si="381"/>
        <v>1.7147363945842466E-2</v>
      </c>
      <c r="R1176" s="22">
        <f t="shared" si="381"/>
        <v>1.7186552705361371E-2</v>
      </c>
      <c r="S1176" s="22">
        <f t="shared" si="381"/>
        <v>1.7225741464880276E-2</v>
      </c>
      <c r="T1176" s="22">
        <f t="shared" si="381"/>
        <v>1.7264930224399191E-2</v>
      </c>
      <c r="U1176" s="22">
        <f t="shared" si="381"/>
        <v>1.7304118983918097E-2</v>
      </c>
      <c r="V1176" s="22">
        <f t="shared" si="381"/>
        <v>1.7343307743437009E-2</v>
      </c>
      <c r="W1176" s="22">
        <f t="shared" si="381"/>
        <v>1.7382496502955917E-2</v>
      </c>
      <c r="X1176" s="22">
        <f t="shared" si="381"/>
        <v>1.7421685262474829E-2</v>
      </c>
      <c r="Y1176" s="22">
        <f t="shared" si="381"/>
        <v>1.7460874021993734E-2</v>
      </c>
      <c r="Z1176" s="22">
        <f t="shared" si="381"/>
        <v>1.750006278151265E-2</v>
      </c>
      <c r="AA1176" s="22">
        <f t="shared" si="381"/>
        <v>1.7539251541031548E-2</v>
      </c>
      <c r="AB1176" s="22">
        <f t="shared" si="381"/>
        <v>1.7578440300550464E-2</v>
      </c>
      <c r="AC1176" s="22">
        <f t="shared" si="381"/>
        <v>1.7617629060069376E-2</v>
      </c>
      <c r="AD1176" s="22">
        <f t="shared" si="381"/>
        <v>1.7656817819588281E-2</v>
      </c>
      <c r="AE1176" s="22">
        <f t="shared" si="381"/>
        <v>1.769600657910719E-2</v>
      </c>
      <c r="AF1176" s="22">
        <f t="shared" si="381"/>
        <v>1.7735195338626102E-2</v>
      </c>
      <c r="AG1176" s="22">
        <f t="shared" si="381"/>
        <v>1.777438409814501E-2</v>
      </c>
      <c r="AH1176" s="22">
        <f t="shared" si="381"/>
        <v>1.7813572857663919E-2</v>
      </c>
      <c r="AI1176" s="22">
        <f t="shared" si="381"/>
        <v>1.7852761617182831E-2</v>
      </c>
      <c r="AJ1176" s="22">
        <f t="shared" si="381"/>
        <v>1.7891950376701736E-2</v>
      </c>
      <c r="AK1176" s="22">
        <f t="shared" si="381"/>
        <v>1.7931139136220645E-2</v>
      </c>
      <c r="AL1176" s="22">
        <f t="shared" si="381"/>
        <v>1.7970327895739557E-2</v>
      </c>
      <c r="AM1176" s="22">
        <f t="shared" si="381"/>
        <v>1.8009516655258465E-2</v>
      </c>
      <c r="AN1176" s="22">
        <f t="shared" si="381"/>
        <v>1.8048705414777374E-2</v>
      </c>
      <c r="AO1176" s="22">
        <f t="shared" si="381"/>
        <v>1.8087894174296286E-2</v>
      </c>
      <c r="AP1176" s="22">
        <f t="shared" si="381"/>
        <v>1.8127082933815188E-2</v>
      </c>
      <c r="AQ1176" s="22">
        <f t="shared" si="381"/>
        <v>1.8166271693334096E-2</v>
      </c>
      <c r="AR1176" s="22">
        <f t="shared" si="381"/>
        <v>1.8205460452853015E-2</v>
      </c>
      <c r="AS1176" s="22">
        <f t="shared" si="381"/>
        <v>1.8244649212371917E-2</v>
      </c>
      <c r="AT1176" s="22">
        <f t="shared" si="381"/>
        <v>1.8283837971890825E-2</v>
      </c>
      <c r="AU1176" s="22">
        <f t="shared" si="381"/>
        <v>1.8323026731409734E-2</v>
      </c>
      <c r="AV1176" s="22">
        <f t="shared" si="381"/>
        <v>1.8362215490928643E-2</v>
      </c>
      <c r="AW1176" s="22">
        <f t="shared" si="381"/>
        <v>1.8401404250447555E-2</v>
      </c>
      <c r="AY1176" s="85"/>
    </row>
    <row r="1177" spans="1:51" x14ac:dyDescent="0.25">
      <c r="A1177" s="102" t="str">
        <f t="shared" si="380"/>
        <v>CM Leaching</v>
      </c>
      <c r="B1177" s="102" t="s">
        <v>1323</v>
      </c>
      <c r="C1177" s="102" t="s">
        <v>1191</v>
      </c>
      <c r="D1177" t="s">
        <v>369</v>
      </c>
      <c r="E1177" t="s">
        <v>61</v>
      </c>
      <c r="F1177" t="s">
        <v>63</v>
      </c>
      <c r="G1177" t="s">
        <v>1202</v>
      </c>
      <c r="H1177" t="s">
        <v>1203</v>
      </c>
      <c r="I1177" t="s">
        <v>139</v>
      </c>
      <c r="J1177" t="s">
        <v>287</v>
      </c>
      <c r="K1177" s="22">
        <f t="shared" si="382"/>
        <v>1.9871041213735664E-2</v>
      </c>
      <c r="L1177" s="22">
        <f t="shared" si="381"/>
        <v>1.9871041213735664E-2</v>
      </c>
      <c r="M1177" s="22">
        <f t="shared" si="381"/>
        <v>1.9871041213735664E-2</v>
      </c>
      <c r="N1177" s="22">
        <f t="shared" si="381"/>
        <v>1.9871041213735664E-2</v>
      </c>
      <c r="O1177" s="22">
        <f t="shared" si="381"/>
        <v>1.9871041213735664E-2</v>
      </c>
      <c r="P1177" s="22">
        <f t="shared" si="381"/>
        <v>1.9871041213735664E-2</v>
      </c>
      <c r="Q1177" s="22">
        <f t="shared" si="381"/>
        <v>1.9871041213735664E-2</v>
      </c>
      <c r="R1177" s="22">
        <f t="shared" si="381"/>
        <v>1.9871041213735664E-2</v>
      </c>
      <c r="S1177" s="22">
        <f t="shared" si="381"/>
        <v>1.9871041213735664E-2</v>
      </c>
      <c r="T1177" s="22">
        <f t="shared" si="381"/>
        <v>1.9871041213735664E-2</v>
      </c>
      <c r="U1177" s="22">
        <f t="shared" si="381"/>
        <v>1.9871041213735664E-2</v>
      </c>
      <c r="V1177" s="22">
        <f t="shared" si="381"/>
        <v>1.9871041213735664E-2</v>
      </c>
      <c r="W1177" s="22">
        <f t="shared" si="381"/>
        <v>1.9871041213735664E-2</v>
      </c>
      <c r="X1177" s="22">
        <f t="shared" si="381"/>
        <v>1.9871041213735664E-2</v>
      </c>
      <c r="Y1177" s="22">
        <f t="shared" si="381"/>
        <v>1.9871041213735664E-2</v>
      </c>
      <c r="Z1177" s="22">
        <f t="shared" si="381"/>
        <v>1.9871041213735664E-2</v>
      </c>
      <c r="AA1177" s="22">
        <f t="shared" si="381"/>
        <v>1.9871041213735664E-2</v>
      </c>
      <c r="AB1177" s="22">
        <f t="shared" si="381"/>
        <v>1.9871041213735664E-2</v>
      </c>
      <c r="AC1177" s="22">
        <f t="shared" si="381"/>
        <v>1.9871041213735664E-2</v>
      </c>
      <c r="AD1177" s="22">
        <f t="shared" si="381"/>
        <v>1.9871041213735664E-2</v>
      </c>
      <c r="AE1177" s="22">
        <f t="shared" si="381"/>
        <v>1.9871041213735664E-2</v>
      </c>
      <c r="AF1177" s="22">
        <f t="shared" si="381"/>
        <v>1.9871041213735664E-2</v>
      </c>
      <c r="AG1177" s="22">
        <f t="shared" si="381"/>
        <v>1.9871041213735664E-2</v>
      </c>
      <c r="AH1177" s="22">
        <f t="shared" si="381"/>
        <v>1.9871041213735664E-2</v>
      </c>
      <c r="AI1177" s="22">
        <f t="shared" si="381"/>
        <v>1.9871041213735664E-2</v>
      </c>
      <c r="AJ1177" s="22">
        <f t="shared" si="381"/>
        <v>1.9871041213735664E-2</v>
      </c>
      <c r="AK1177" s="22">
        <f t="shared" si="381"/>
        <v>1.9871041213735664E-2</v>
      </c>
      <c r="AL1177" s="22">
        <f t="shared" si="381"/>
        <v>1.9871041213735664E-2</v>
      </c>
      <c r="AM1177" s="22">
        <f t="shared" si="381"/>
        <v>1.9871041213735664E-2</v>
      </c>
      <c r="AN1177" s="22">
        <f t="shared" si="381"/>
        <v>1.9871041213735664E-2</v>
      </c>
      <c r="AO1177" s="22">
        <f t="shared" si="381"/>
        <v>1.9871041213735664E-2</v>
      </c>
      <c r="AP1177" s="22">
        <f t="shared" si="381"/>
        <v>1.9871041213735664E-2</v>
      </c>
      <c r="AQ1177" s="22">
        <f t="shared" si="381"/>
        <v>1.9871041213735664E-2</v>
      </c>
      <c r="AR1177" s="22">
        <f t="shared" si="381"/>
        <v>1.9871041213735664E-2</v>
      </c>
      <c r="AS1177" s="22">
        <f t="shared" si="381"/>
        <v>1.9871041213735664E-2</v>
      </c>
      <c r="AT1177" s="22">
        <f t="shared" si="381"/>
        <v>1.9871041213735664E-2</v>
      </c>
      <c r="AU1177" s="22">
        <f t="shared" si="381"/>
        <v>1.9871041213735664E-2</v>
      </c>
      <c r="AV1177" s="22">
        <f t="shared" si="381"/>
        <v>1.9871041213735664E-2</v>
      </c>
      <c r="AW1177" s="22">
        <f t="shared" si="381"/>
        <v>1.9871041213735664E-2</v>
      </c>
      <c r="AY1177" s="85"/>
    </row>
    <row r="1178" spans="1:51" x14ac:dyDescent="0.25">
      <c r="A1178" s="102" t="str">
        <f t="shared" si="380"/>
        <v>CM Leaching</v>
      </c>
      <c r="B1178" s="102" t="s">
        <v>1323</v>
      </c>
      <c r="C1178" s="102" t="s">
        <v>1191</v>
      </c>
      <c r="D1178" t="s">
        <v>369</v>
      </c>
      <c r="E1178" t="s">
        <v>61</v>
      </c>
      <c r="F1178" t="s">
        <v>63</v>
      </c>
      <c r="G1178" t="s">
        <v>1204</v>
      </c>
      <c r="H1178" t="s">
        <v>1205</v>
      </c>
      <c r="I1178" t="s">
        <v>139</v>
      </c>
      <c r="J1178" t="s">
        <v>287</v>
      </c>
      <c r="K1178" s="22" t="str">
        <f t="shared" si="382"/>
        <v>NO</v>
      </c>
      <c r="L1178" s="22" t="str">
        <f t="shared" si="381"/>
        <v>NO</v>
      </c>
      <c r="M1178" s="22" t="str">
        <f t="shared" si="381"/>
        <v>NO</v>
      </c>
      <c r="N1178" s="22" t="str">
        <f t="shared" si="381"/>
        <v>NO</v>
      </c>
      <c r="O1178" s="22" t="str">
        <f t="shared" si="381"/>
        <v>NO</v>
      </c>
      <c r="P1178" s="22" t="str">
        <f t="shared" si="381"/>
        <v>NO</v>
      </c>
      <c r="Q1178" s="22" t="str">
        <f t="shared" si="381"/>
        <v>NO</v>
      </c>
      <c r="R1178" s="22" t="str">
        <f t="shared" si="381"/>
        <v>NO</v>
      </c>
      <c r="S1178" s="22" t="str">
        <f t="shared" si="381"/>
        <v>NO</v>
      </c>
      <c r="T1178" s="22" t="str">
        <f t="shared" si="381"/>
        <v>NO</v>
      </c>
      <c r="U1178" s="22" t="str">
        <f t="shared" si="381"/>
        <v>NO</v>
      </c>
      <c r="V1178" s="22" t="str">
        <f t="shared" si="381"/>
        <v>NO</v>
      </c>
      <c r="W1178" s="22" t="str">
        <f t="shared" si="381"/>
        <v>NO</v>
      </c>
      <c r="X1178" s="22" t="str">
        <f t="shared" si="381"/>
        <v>NO</v>
      </c>
      <c r="Y1178" s="22" t="str">
        <f t="shared" si="381"/>
        <v>NO</v>
      </c>
      <c r="Z1178" s="22" t="str">
        <f t="shared" si="381"/>
        <v>NO</v>
      </c>
      <c r="AA1178" s="22" t="str">
        <f t="shared" si="381"/>
        <v>NO</v>
      </c>
      <c r="AB1178" s="22" t="str">
        <f t="shared" si="381"/>
        <v>NO</v>
      </c>
      <c r="AC1178" s="22" t="str">
        <f t="shared" si="381"/>
        <v>NO</v>
      </c>
      <c r="AD1178" s="22" t="str">
        <f t="shared" si="381"/>
        <v>NO</v>
      </c>
      <c r="AE1178" s="22" t="str">
        <f t="shared" si="381"/>
        <v>NO</v>
      </c>
      <c r="AF1178" s="22" t="str">
        <f t="shared" si="381"/>
        <v>NO</v>
      </c>
      <c r="AG1178" s="22" t="str">
        <f t="shared" si="381"/>
        <v>NO</v>
      </c>
      <c r="AH1178" s="22" t="str">
        <f t="shared" si="381"/>
        <v>NO</v>
      </c>
      <c r="AI1178" s="22" t="str">
        <f t="shared" si="381"/>
        <v>NO</v>
      </c>
      <c r="AJ1178" s="22" t="str">
        <f t="shared" si="381"/>
        <v>NO</v>
      </c>
      <c r="AK1178" s="22" t="str">
        <f t="shared" si="381"/>
        <v>NO</v>
      </c>
      <c r="AL1178" s="22" t="str">
        <f t="shared" si="381"/>
        <v>NO</v>
      </c>
      <c r="AM1178" s="22" t="str">
        <f t="shared" si="381"/>
        <v>NO</v>
      </c>
      <c r="AN1178" s="22" t="str">
        <f t="shared" si="381"/>
        <v>NO</v>
      </c>
      <c r="AO1178" s="22" t="str">
        <f t="shared" si="381"/>
        <v>NO</v>
      </c>
      <c r="AP1178" s="22" t="str">
        <f t="shared" si="381"/>
        <v>NO</v>
      </c>
      <c r="AQ1178" s="22" t="str">
        <f t="shared" si="381"/>
        <v>NO</v>
      </c>
      <c r="AR1178" s="22" t="str">
        <f t="shared" si="381"/>
        <v>NO</v>
      </c>
      <c r="AS1178" s="22" t="str">
        <f t="shared" si="381"/>
        <v>NO</v>
      </c>
      <c r="AT1178" s="22" t="str">
        <f t="shared" si="381"/>
        <v>NO</v>
      </c>
      <c r="AU1178" s="22" t="str">
        <f t="shared" si="381"/>
        <v>NO</v>
      </c>
      <c r="AV1178" s="22" t="str">
        <f t="shared" si="381"/>
        <v>NO</v>
      </c>
      <c r="AW1178" s="22" t="str">
        <f t="shared" si="381"/>
        <v>NO</v>
      </c>
      <c r="AY1178" s="85"/>
    </row>
    <row r="1179" spans="1:51" x14ac:dyDescent="0.25">
      <c r="A1179" s="102" t="str">
        <f t="shared" si="380"/>
        <v>CM Leaching</v>
      </c>
      <c r="B1179" s="102" t="s">
        <v>1323</v>
      </c>
      <c r="C1179" s="102" t="s">
        <v>1191</v>
      </c>
      <c r="D1179" t="s">
        <v>369</v>
      </c>
      <c r="E1179" t="s">
        <v>61</v>
      </c>
      <c r="F1179" t="s">
        <v>63</v>
      </c>
      <c r="G1179" t="s">
        <v>1206</v>
      </c>
      <c r="H1179" t="s">
        <v>1207</v>
      </c>
      <c r="I1179" t="s">
        <v>139</v>
      </c>
      <c r="J1179" t="s">
        <v>287</v>
      </c>
      <c r="K1179" s="22" t="str">
        <f t="shared" si="382"/>
        <v>NO</v>
      </c>
      <c r="L1179" s="22" t="str">
        <f t="shared" si="381"/>
        <v>NO</v>
      </c>
      <c r="M1179" s="22" t="str">
        <f t="shared" si="381"/>
        <v>NO</v>
      </c>
      <c r="N1179" s="22" t="str">
        <f t="shared" si="381"/>
        <v>NO</v>
      </c>
      <c r="O1179" s="22" t="str">
        <f t="shared" si="381"/>
        <v>NO</v>
      </c>
      <c r="P1179" s="22" t="str">
        <f t="shared" ref="L1179:AW1184" si="383">P1525</f>
        <v>NO</v>
      </c>
      <c r="Q1179" s="22" t="str">
        <f t="shared" si="383"/>
        <v>NO</v>
      </c>
      <c r="R1179" s="22" t="str">
        <f t="shared" si="383"/>
        <v>NO</v>
      </c>
      <c r="S1179" s="22" t="str">
        <f t="shared" si="383"/>
        <v>NO</v>
      </c>
      <c r="T1179" s="22" t="str">
        <f t="shared" si="383"/>
        <v>NO</v>
      </c>
      <c r="U1179" s="22" t="str">
        <f t="shared" si="383"/>
        <v>NO</v>
      </c>
      <c r="V1179" s="22" t="str">
        <f t="shared" si="383"/>
        <v>NO</v>
      </c>
      <c r="W1179" s="22" t="str">
        <f t="shared" si="383"/>
        <v>NO</v>
      </c>
      <c r="X1179" s="22" t="str">
        <f t="shared" si="383"/>
        <v>NO</v>
      </c>
      <c r="Y1179" s="22" t="str">
        <f t="shared" si="383"/>
        <v>NO</v>
      </c>
      <c r="Z1179" s="22" t="str">
        <f t="shared" si="383"/>
        <v>NO</v>
      </c>
      <c r="AA1179" s="22" t="str">
        <f t="shared" si="383"/>
        <v>NO</v>
      </c>
      <c r="AB1179" s="22" t="str">
        <f t="shared" si="383"/>
        <v>NO</v>
      </c>
      <c r="AC1179" s="22" t="str">
        <f t="shared" si="383"/>
        <v>NO</v>
      </c>
      <c r="AD1179" s="22" t="str">
        <f t="shared" si="383"/>
        <v>NO</v>
      </c>
      <c r="AE1179" s="22" t="str">
        <f t="shared" si="383"/>
        <v>NO</v>
      </c>
      <c r="AF1179" s="22" t="str">
        <f t="shared" si="383"/>
        <v>NO</v>
      </c>
      <c r="AG1179" s="22" t="str">
        <f t="shared" si="383"/>
        <v>NO</v>
      </c>
      <c r="AH1179" s="22" t="str">
        <f t="shared" si="383"/>
        <v>NO</v>
      </c>
      <c r="AI1179" s="22" t="str">
        <f t="shared" si="383"/>
        <v>NO</v>
      </c>
      <c r="AJ1179" s="22" t="str">
        <f t="shared" si="383"/>
        <v>NO</v>
      </c>
      <c r="AK1179" s="22" t="str">
        <f t="shared" si="383"/>
        <v>NO</v>
      </c>
      <c r="AL1179" s="22" t="str">
        <f t="shared" si="383"/>
        <v>NO</v>
      </c>
      <c r="AM1179" s="22" t="str">
        <f t="shared" si="383"/>
        <v>NO</v>
      </c>
      <c r="AN1179" s="22" t="str">
        <f t="shared" si="383"/>
        <v>NO</v>
      </c>
      <c r="AO1179" s="22" t="str">
        <f t="shared" si="383"/>
        <v>NO</v>
      </c>
      <c r="AP1179" s="22" t="str">
        <f t="shared" si="383"/>
        <v>NO</v>
      </c>
      <c r="AQ1179" s="22" t="str">
        <f t="shared" si="383"/>
        <v>NO</v>
      </c>
      <c r="AR1179" s="22" t="str">
        <f t="shared" si="383"/>
        <v>NO</v>
      </c>
      <c r="AS1179" s="22" t="str">
        <f t="shared" si="383"/>
        <v>NO</v>
      </c>
      <c r="AT1179" s="22" t="str">
        <f t="shared" si="383"/>
        <v>NO</v>
      </c>
      <c r="AU1179" s="22" t="str">
        <f t="shared" si="383"/>
        <v>NO</v>
      </c>
      <c r="AV1179" s="22" t="str">
        <f t="shared" si="383"/>
        <v>NO</v>
      </c>
      <c r="AW1179" s="22" t="str">
        <f t="shared" si="383"/>
        <v>NO</v>
      </c>
      <c r="AY1179" s="85"/>
    </row>
    <row r="1180" spans="1:51" x14ac:dyDescent="0.25">
      <c r="A1180" s="102" t="str">
        <f t="shared" si="380"/>
        <v>CM Leaching</v>
      </c>
      <c r="B1180" s="102" t="s">
        <v>1323</v>
      </c>
      <c r="C1180" s="102" t="s">
        <v>1191</v>
      </c>
      <c r="D1180" t="s">
        <v>369</v>
      </c>
      <c r="E1180" t="s">
        <v>61</v>
      </c>
      <c r="F1180" t="s">
        <v>63</v>
      </c>
      <c r="G1180" t="s">
        <v>1208</v>
      </c>
      <c r="H1180" t="s">
        <v>1209</v>
      </c>
      <c r="I1180" t="s">
        <v>139</v>
      </c>
      <c r="J1180" t="s">
        <v>287</v>
      </c>
      <c r="K1180" s="22" t="str">
        <f t="shared" si="382"/>
        <v>NO</v>
      </c>
      <c r="L1180" s="22" t="str">
        <f t="shared" si="383"/>
        <v>NO</v>
      </c>
      <c r="M1180" s="22" t="str">
        <f t="shared" si="383"/>
        <v>NO</v>
      </c>
      <c r="N1180" s="22" t="str">
        <f t="shared" si="383"/>
        <v>NO</v>
      </c>
      <c r="O1180" s="22" t="str">
        <f t="shared" si="383"/>
        <v>NO</v>
      </c>
      <c r="P1180" s="22" t="str">
        <f t="shared" si="383"/>
        <v>NO</v>
      </c>
      <c r="Q1180" s="22" t="str">
        <f t="shared" si="383"/>
        <v>NO</v>
      </c>
      <c r="R1180" s="22" t="str">
        <f t="shared" si="383"/>
        <v>NO</v>
      </c>
      <c r="S1180" s="22" t="str">
        <f t="shared" si="383"/>
        <v>NO</v>
      </c>
      <c r="T1180" s="22" t="str">
        <f t="shared" si="383"/>
        <v>NO</v>
      </c>
      <c r="U1180" s="22" t="str">
        <f t="shared" si="383"/>
        <v>NO</v>
      </c>
      <c r="V1180" s="22" t="str">
        <f t="shared" si="383"/>
        <v>NO</v>
      </c>
      <c r="W1180" s="22" t="str">
        <f t="shared" si="383"/>
        <v>NO</v>
      </c>
      <c r="X1180" s="22" t="str">
        <f t="shared" si="383"/>
        <v>NO</v>
      </c>
      <c r="Y1180" s="22" t="str">
        <f t="shared" si="383"/>
        <v>NO</v>
      </c>
      <c r="Z1180" s="22" t="str">
        <f t="shared" si="383"/>
        <v>NO</v>
      </c>
      <c r="AA1180" s="22" t="str">
        <f t="shared" si="383"/>
        <v>NO</v>
      </c>
      <c r="AB1180" s="22" t="str">
        <f t="shared" si="383"/>
        <v>NO</v>
      </c>
      <c r="AC1180" s="22" t="str">
        <f t="shared" si="383"/>
        <v>NO</v>
      </c>
      <c r="AD1180" s="22" t="str">
        <f t="shared" si="383"/>
        <v>NO</v>
      </c>
      <c r="AE1180" s="22" t="str">
        <f t="shared" si="383"/>
        <v>NO</v>
      </c>
      <c r="AF1180" s="22" t="str">
        <f t="shared" si="383"/>
        <v>NO</v>
      </c>
      <c r="AG1180" s="22" t="str">
        <f t="shared" si="383"/>
        <v>NO</v>
      </c>
      <c r="AH1180" s="22" t="str">
        <f t="shared" si="383"/>
        <v>NO</v>
      </c>
      <c r="AI1180" s="22" t="str">
        <f t="shared" si="383"/>
        <v>NO</v>
      </c>
      <c r="AJ1180" s="22" t="str">
        <f t="shared" si="383"/>
        <v>NO</v>
      </c>
      <c r="AK1180" s="22" t="str">
        <f t="shared" si="383"/>
        <v>NO</v>
      </c>
      <c r="AL1180" s="22" t="str">
        <f t="shared" si="383"/>
        <v>NO</v>
      </c>
      <c r="AM1180" s="22" t="str">
        <f t="shared" si="383"/>
        <v>NO</v>
      </c>
      <c r="AN1180" s="22" t="str">
        <f t="shared" si="383"/>
        <v>NO</v>
      </c>
      <c r="AO1180" s="22" t="str">
        <f t="shared" si="383"/>
        <v>NO</v>
      </c>
      <c r="AP1180" s="22" t="str">
        <f t="shared" si="383"/>
        <v>NO</v>
      </c>
      <c r="AQ1180" s="22" t="str">
        <f t="shared" si="383"/>
        <v>NO</v>
      </c>
      <c r="AR1180" s="22" t="str">
        <f t="shared" si="383"/>
        <v>NO</v>
      </c>
      <c r="AS1180" s="22" t="str">
        <f t="shared" si="383"/>
        <v>NO</v>
      </c>
      <c r="AT1180" s="22" t="str">
        <f t="shared" si="383"/>
        <v>NO</v>
      </c>
      <c r="AU1180" s="22" t="str">
        <f t="shared" si="383"/>
        <v>NO</v>
      </c>
      <c r="AV1180" s="22" t="str">
        <f t="shared" si="383"/>
        <v>NO</v>
      </c>
      <c r="AW1180" s="22" t="str">
        <f t="shared" si="383"/>
        <v>NO</v>
      </c>
      <c r="AY1180" s="85"/>
    </row>
    <row r="1181" spans="1:51" x14ac:dyDescent="0.25">
      <c r="A1181" s="102" t="str">
        <f t="shared" si="380"/>
        <v>CM Leaching</v>
      </c>
      <c r="B1181" s="102" t="s">
        <v>1323</v>
      </c>
      <c r="C1181" s="102" t="s">
        <v>1191</v>
      </c>
      <c r="D1181" t="s">
        <v>369</v>
      </c>
      <c r="E1181" t="s">
        <v>61</v>
      </c>
      <c r="F1181" t="s">
        <v>63</v>
      </c>
      <c r="G1181" t="s">
        <v>1210</v>
      </c>
      <c r="H1181" t="s">
        <v>1211</v>
      </c>
      <c r="I1181" t="s">
        <v>139</v>
      </c>
      <c r="J1181" t="s">
        <v>287</v>
      </c>
      <c r="K1181" s="22">
        <f t="shared" si="382"/>
        <v>1.9333864620707719E-6</v>
      </c>
      <c r="L1181" s="22">
        <f t="shared" si="383"/>
        <v>1.9333864620707719E-6</v>
      </c>
      <c r="M1181" s="22">
        <f t="shared" si="383"/>
        <v>1.9333864620707719E-6</v>
      </c>
      <c r="N1181" s="22">
        <f t="shared" si="383"/>
        <v>1.9333864620707719E-6</v>
      </c>
      <c r="O1181" s="22">
        <f t="shared" si="383"/>
        <v>1.9333864620707719E-6</v>
      </c>
      <c r="P1181" s="22">
        <f t="shared" si="383"/>
        <v>1.9333864620707719E-6</v>
      </c>
      <c r="Q1181" s="22">
        <f t="shared" si="383"/>
        <v>1.9333864620707719E-6</v>
      </c>
      <c r="R1181" s="22">
        <f t="shared" si="383"/>
        <v>1.9333864620707719E-6</v>
      </c>
      <c r="S1181" s="22">
        <f t="shared" si="383"/>
        <v>1.9333864620707719E-6</v>
      </c>
      <c r="T1181" s="22">
        <f t="shared" si="383"/>
        <v>1.9333864620707719E-6</v>
      </c>
      <c r="U1181" s="22">
        <f t="shared" si="383"/>
        <v>1.9333864620707719E-6</v>
      </c>
      <c r="V1181" s="22">
        <f t="shared" si="383"/>
        <v>1.9333864620707719E-6</v>
      </c>
      <c r="W1181" s="22">
        <f t="shared" si="383"/>
        <v>1.9333864620707719E-6</v>
      </c>
      <c r="X1181" s="22">
        <f t="shared" si="383"/>
        <v>1.9333864620707719E-6</v>
      </c>
      <c r="Y1181" s="22">
        <f t="shared" si="383"/>
        <v>1.9333864620707719E-6</v>
      </c>
      <c r="Z1181" s="22">
        <f t="shared" si="383"/>
        <v>1.9333864620707719E-6</v>
      </c>
      <c r="AA1181" s="22">
        <f t="shared" si="383"/>
        <v>1.9333864620707719E-6</v>
      </c>
      <c r="AB1181" s="22">
        <f t="shared" si="383"/>
        <v>1.9333864620707719E-6</v>
      </c>
      <c r="AC1181" s="22">
        <f t="shared" si="383"/>
        <v>1.9333864620707719E-6</v>
      </c>
      <c r="AD1181" s="22">
        <f t="shared" si="383"/>
        <v>1.9333864620707719E-6</v>
      </c>
      <c r="AE1181" s="22">
        <f t="shared" si="383"/>
        <v>1.9333864620707719E-6</v>
      </c>
      <c r="AF1181" s="22">
        <f t="shared" si="383"/>
        <v>1.9333864620707719E-6</v>
      </c>
      <c r="AG1181" s="22">
        <f t="shared" si="383"/>
        <v>1.9333864620707719E-6</v>
      </c>
      <c r="AH1181" s="22">
        <f t="shared" si="383"/>
        <v>1.9333864620707719E-6</v>
      </c>
      <c r="AI1181" s="22">
        <f t="shared" si="383"/>
        <v>1.9333864620707719E-6</v>
      </c>
      <c r="AJ1181" s="22">
        <f t="shared" si="383"/>
        <v>1.9333864620707719E-6</v>
      </c>
      <c r="AK1181" s="22">
        <f t="shared" si="383"/>
        <v>1.9333864620707719E-6</v>
      </c>
      <c r="AL1181" s="22">
        <f t="shared" si="383"/>
        <v>1.9333864620707719E-6</v>
      </c>
      <c r="AM1181" s="22">
        <f t="shared" si="383"/>
        <v>1.9333864620707719E-6</v>
      </c>
      <c r="AN1181" s="22">
        <f t="shared" si="383"/>
        <v>1.9333864620707719E-6</v>
      </c>
      <c r="AO1181" s="22">
        <f t="shared" si="383"/>
        <v>1.9333864620707719E-6</v>
      </c>
      <c r="AP1181" s="22">
        <f t="shared" si="383"/>
        <v>1.9333864620707719E-6</v>
      </c>
      <c r="AQ1181" s="22">
        <f t="shared" si="383"/>
        <v>1.9333864620707719E-6</v>
      </c>
      <c r="AR1181" s="22">
        <f t="shared" si="383"/>
        <v>1.9333864620707719E-6</v>
      </c>
      <c r="AS1181" s="22">
        <f t="shared" si="383"/>
        <v>1.9333864620707719E-6</v>
      </c>
      <c r="AT1181" s="22">
        <f t="shared" si="383"/>
        <v>1.9333864620707719E-6</v>
      </c>
      <c r="AU1181" s="22">
        <f t="shared" si="383"/>
        <v>1.9333864620707719E-6</v>
      </c>
      <c r="AV1181" s="22">
        <f t="shared" si="383"/>
        <v>1.9333864620707719E-6</v>
      </c>
      <c r="AW1181" s="22">
        <f t="shared" si="383"/>
        <v>1.9333864620707719E-6</v>
      </c>
      <c r="AY1181" s="85"/>
    </row>
    <row r="1182" spans="1:51" x14ac:dyDescent="0.25">
      <c r="A1182" s="102" t="str">
        <f t="shared" si="380"/>
        <v>CM Leaching</v>
      </c>
      <c r="B1182" s="102" t="s">
        <v>1323</v>
      </c>
      <c r="C1182" s="102" t="s">
        <v>1191</v>
      </c>
      <c r="D1182" t="s">
        <v>369</v>
      </c>
      <c r="E1182" t="s">
        <v>61</v>
      </c>
      <c r="F1182" t="s">
        <v>63</v>
      </c>
      <c r="G1182" t="s">
        <v>1212</v>
      </c>
      <c r="H1182" t="s">
        <v>1213</v>
      </c>
      <c r="I1182" t="s">
        <v>139</v>
      </c>
      <c r="J1182" t="s">
        <v>287</v>
      </c>
      <c r="K1182" s="22">
        <f t="shared" si="382"/>
        <v>2.1082459751876198E-3</v>
      </c>
      <c r="L1182" s="22">
        <f t="shared" si="383"/>
        <v>2.1082459751876198E-3</v>
      </c>
      <c r="M1182" s="22">
        <f t="shared" si="383"/>
        <v>2.1082459751876198E-3</v>
      </c>
      <c r="N1182" s="22">
        <f t="shared" si="383"/>
        <v>2.1082459751876198E-3</v>
      </c>
      <c r="O1182" s="22">
        <f t="shared" si="383"/>
        <v>2.1082459751876198E-3</v>
      </c>
      <c r="P1182" s="22">
        <f t="shared" si="383"/>
        <v>2.1082459751876198E-3</v>
      </c>
      <c r="Q1182" s="22">
        <f t="shared" si="383"/>
        <v>2.1082459751876198E-3</v>
      </c>
      <c r="R1182" s="22">
        <f t="shared" si="383"/>
        <v>2.1082459751876198E-3</v>
      </c>
      <c r="S1182" s="22">
        <f t="shared" si="383"/>
        <v>2.1082459751876198E-3</v>
      </c>
      <c r="T1182" s="22">
        <f t="shared" si="383"/>
        <v>2.1082459751876198E-3</v>
      </c>
      <c r="U1182" s="22">
        <f t="shared" si="383"/>
        <v>2.1082459751876198E-3</v>
      </c>
      <c r="V1182" s="22">
        <f t="shared" si="383"/>
        <v>2.1082459751876198E-3</v>
      </c>
      <c r="W1182" s="22">
        <f t="shared" si="383"/>
        <v>2.1082459751876198E-3</v>
      </c>
      <c r="X1182" s="22">
        <f t="shared" si="383"/>
        <v>2.1082459751876198E-3</v>
      </c>
      <c r="Y1182" s="22">
        <f t="shared" si="383"/>
        <v>2.1082459751876198E-3</v>
      </c>
      <c r="Z1182" s="22">
        <f t="shared" si="383"/>
        <v>2.1082459751876198E-3</v>
      </c>
      <c r="AA1182" s="22">
        <f t="shared" si="383"/>
        <v>2.1082459751876198E-3</v>
      </c>
      <c r="AB1182" s="22">
        <f t="shared" si="383"/>
        <v>2.1082459751876198E-3</v>
      </c>
      <c r="AC1182" s="22">
        <f t="shared" si="383"/>
        <v>2.1082459751876198E-3</v>
      </c>
      <c r="AD1182" s="22">
        <f t="shared" si="383"/>
        <v>2.1082459751876198E-3</v>
      </c>
      <c r="AE1182" s="22">
        <f t="shared" si="383"/>
        <v>2.1082459751876198E-3</v>
      </c>
      <c r="AF1182" s="22">
        <f t="shared" si="383"/>
        <v>2.1082459751876198E-3</v>
      </c>
      <c r="AG1182" s="22">
        <f t="shared" si="383"/>
        <v>2.1082459751876198E-3</v>
      </c>
      <c r="AH1182" s="22">
        <f t="shared" si="383"/>
        <v>2.1082459751876198E-3</v>
      </c>
      <c r="AI1182" s="22">
        <f t="shared" si="383"/>
        <v>2.1082459751876198E-3</v>
      </c>
      <c r="AJ1182" s="22">
        <f t="shared" si="383"/>
        <v>2.1082459751876198E-3</v>
      </c>
      <c r="AK1182" s="22">
        <f t="shared" si="383"/>
        <v>2.1082459751876198E-3</v>
      </c>
      <c r="AL1182" s="22">
        <f t="shared" si="383"/>
        <v>2.1082459751876198E-3</v>
      </c>
      <c r="AM1182" s="22">
        <f t="shared" si="383"/>
        <v>2.1082459751876198E-3</v>
      </c>
      <c r="AN1182" s="22">
        <f t="shared" si="383"/>
        <v>2.1082459751876198E-3</v>
      </c>
      <c r="AO1182" s="22">
        <f t="shared" si="383"/>
        <v>2.1082459751876198E-3</v>
      </c>
      <c r="AP1182" s="22">
        <f t="shared" si="383"/>
        <v>2.1082459751876198E-3</v>
      </c>
      <c r="AQ1182" s="22">
        <f t="shared" si="383"/>
        <v>2.1082459751876198E-3</v>
      </c>
      <c r="AR1182" s="22">
        <f t="shared" si="383"/>
        <v>2.1082459751876198E-3</v>
      </c>
      <c r="AS1182" s="22">
        <f t="shared" si="383"/>
        <v>2.1082459751876198E-3</v>
      </c>
      <c r="AT1182" s="22">
        <f t="shared" si="383"/>
        <v>2.1082459751876198E-3</v>
      </c>
      <c r="AU1182" s="22">
        <f t="shared" si="383"/>
        <v>2.1082459751876198E-3</v>
      </c>
      <c r="AV1182" s="22">
        <f t="shared" si="383"/>
        <v>2.1082459751876198E-3</v>
      </c>
      <c r="AW1182" s="22">
        <f t="shared" si="383"/>
        <v>2.1082459751876198E-3</v>
      </c>
      <c r="AY1182" s="85"/>
    </row>
    <row r="1183" spans="1:51" x14ac:dyDescent="0.25">
      <c r="A1183" s="102" t="str">
        <f t="shared" si="380"/>
        <v>CM Leaching</v>
      </c>
      <c r="B1183" s="102" t="s">
        <v>1323</v>
      </c>
      <c r="C1183" s="102" t="s">
        <v>1191</v>
      </c>
      <c r="D1183" t="s">
        <v>369</v>
      </c>
      <c r="E1183" t="s">
        <v>61</v>
      </c>
      <c r="F1183" t="s">
        <v>63</v>
      </c>
      <c r="G1183" t="s">
        <v>1214</v>
      </c>
      <c r="H1183" t="s">
        <v>1215</v>
      </c>
      <c r="I1183" t="s">
        <v>139</v>
      </c>
      <c r="J1183" t="s">
        <v>287</v>
      </c>
      <c r="K1183" s="22" t="str">
        <f t="shared" si="382"/>
        <v>NO</v>
      </c>
      <c r="L1183" s="22" t="str">
        <f t="shared" si="383"/>
        <v>NO</v>
      </c>
      <c r="M1183" s="22" t="str">
        <f t="shared" si="383"/>
        <v>NO</v>
      </c>
      <c r="N1183" s="22" t="str">
        <f t="shared" si="383"/>
        <v>NO</v>
      </c>
      <c r="O1183" s="22" t="str">
        <f t="shared" si="383"/>
        <v>NO</v>
      </c>
      <c r="P1183" s="22" t="str">
        <f t="shared" si="383"/>
        <v>NO</v>
      </c>
      <c r="Q1183" s="22" t="str">
        <f t="shared" si="383"/>
        <v>NO</v>
      </c>
      <c r="R1183" s="22" t="str">
        <f t="shared" si="383"/>
        <v>NO</v>
      </c>
      <c r="S1183" s="22" t="str">
        <f t="shared" si="383"/>
        <v>NO</v>
      </c>
      <c r="T1183" s="22" t="str">
        <f t="shared" si="383"/>
        <v>NO</v>
      </c>
      <c r="U1183" s="22" t="str">
        <f t="shared" si="383"/>
        <v>NO</v>
      </c>
      <c r="V1183" s="22" t="str">
        <f t="shared" si="383"/>
        <v>NO</v>
      </c>
      <c r="W1183" s="22" t="str">
        <f t="shared" si="383"/>
        <v>NO</v>
      </c>
      <c r="X1183" s="22" t="str">
        <f t="shared" si="383"/>
        <v>NO</v>
      </c>
      <c r="Y1183" s="22" t="str">
        <f t="shared" si="383"/>
        <v>NO</v>
      </c>
      <c r="Z1183" s="22" t="str">
        <f t="shared" si="383"/>
        <v>NO</v>
      </c>
      <c r="AA1183" s="22" t="str">
        <f t="shared" si="383"/>
        <v>NO</v>
      </c>
      <c r="AB1183" s="22" t="str">
        <f t="shared" si="383"/>
        <v>NO</v>
      </c>
      <c r="AC1183" s="22" t="str">
        <f t="shared" si="383"/>
        <v>NO</v>
      </c>
      <c r="AD1183" s="22" t="str">
        <f t="shared" si="383"/>
        <v>NO</v>
      </c>
      <c r="AE1183" s="22" t="str">
        <f t="shared" si="383"/>
        <v>NO</v>
      </c>
      <c r="AF1183" s="22" t="str">
        <f t="shared" si="383"/>
        <v>NO</v>
      </c>
      <c r="AG1183" s="22" t="str">
        <f t="shared" si="383"/>
        <v>NO</v>
      </c>
      <c r="AH1183" s="22" t="str">
        <f t="shared" si="383"/>
        <v>NO</v>
      </c>
      <c r="AI1183" s="22" t="str">
        <f t="shared" si="383"/>
        <v>NO</v>
      </c>
      <c r="AJ1183" s="22" t="str">
        <f t="shared" si="383"/>
        <v>NO</v>
      </c>
      <c r="AK1183" s="22" t="str">
        <f t="shared" si="383"/>
        <v>NO</v>
      </c>
      <c r="AL1183" s="22" t="str">
        <f t="shared" si="383"/>
        <v>NO</v>
      </c>
      <c r="AM1183" s="22" t="str">
        <f t="shared" si="383"/>
        <v>NO</v>
      </c>
      <c r="AN1183" s="22" t="str">
        <f t="shared" si="383"/>
        <v>NO</v>
      </c>
      <c r="AO1183" s="22" t="str">
        <f t="shared" si="383"/>
        <v>NO</v>
      </c>
      <c r="AP1183" s="22" t="str">
        <f t="shared" si="383"/>
        <v>NO</v>
      </c>
      <c r="AQ1183" s="22" t="str">
        <f t="shared" si="383"/>
        <v>NO</v>
      </c>
      <c r="AR1183" s="22" t="str">
        <f t="shared" si="383"/>
        <v>NO</v>
      </c>
      <c r="AS1183" s="22" t="str">
        <f t="shared" si="383"/>
        <v>NO</v>
      </c>
      <c r="AT1183" s="22" t="str">
        <f t="shared" si="383"/>
        <v>NO</v>
      </c>
      <c r="AU1183" s="22" t="str">
        <f t="shared" si="383"/>
        <v>NO</v>
      </c>
      <c r="AV1183" s="22" t="str">
        <f t="shared" si="383"/>
        <v>NO</v>
      </c>
      <c r="AW1183" s="22" t="str">
        <f t="shared" si="383"/>
        <v>NO</v>
      </c>
      <c r="AY1183" s="85"/>
    </row>
    <row r="1184" spans="1:51" x14ac:dyDescent="0.25">
      <c r="A1184" s="102" t="str">
        <f t="shared" si="380"/>
        <v xml:space="preserve"> </v>
      </c>
      <c r="B1184" s="102"/>
      <c r="C1184" s="102"/>
      <c r="D1184" t="s">
        <v>369</v>
      </c>
      <c r="E1184" t="s">
        <v>61</v>
      </c>
      <c r="F1184" t="s">
        <v>63</v>
      </c>
      <c r="G1184" t="s">
        <v>1216</v>
      </c>
      <c r="H1184" t="s">
        <v>1217</v>
      </c>
      <c r="I1184" t="s">
        <v>139</v>
      </c>
      <c r="J1184" t="s">
        <v>287</v>
      </c>
      <c r="K1184" s="22">
        <f t="shared" si="382"/>
        <v>0.11026792439175388</v>
      </c>
      <c r="L1184" s="22">
        <f t="shared" si="383"/>
        <v>0.11026792439175388</v>
      </c>
      <c r="M1184" s="22">
        <f t="shared" si="383"/>
        <v>0.11026792439175388</v>
      </c>
      <c r="N1184" s="22">
        <f t="shared" si="383"/>
        <v>0.11026792439175388</v>
      </c>
      <c r="O1184" s="22">
        <f t="shared" si="383"/>
        <v>0.11026792439175388</v>
      </c>
      <c r="P1184" s="22">
        <f t="shared" si="383"/>
        <v>0.11026792439175388</v>
      </c>
      <c r="Q1184" s="22">
        <f t="shared" si="383"/>
        <v>0.11026792439175388</v>
      </c>
      <c r="R1184" s="22">
        <f t="shared" si="383"/>
        <v>0.11026792439175388</v>
      </c>
      <c r="S1184" s="22">
        <f t="shared" si="383"/>
        <v>0.11026792439175388</v>
      </c>
      <c r="T1184" s="22">
        <f t="shared" si="383"/>
        <v>0.11026792439175388</v>
      </c>
      <c r="U1184" s="22">
        <f t="shared" si="383"/>
        <v>0.11026792439175388</v>
      </c>
      <c r="V1184" s="22">
        <f t="shared" si="383"/>
        <v>0.11026792439175388</v>
      </c>
      <c r="W1184" s="22">
        <f t="shared" si="383"/>
        <v>0.11026792439175388</v>
      </c>
      <c r="X1184" s="22">
        <f t="shared" si="383"/>
        <v>0.11026792439175388</v>
      </c>
      <c r="Y1184" s="22">
        <f t="shared" si="383"/>
        <v>0.11026792439175388</v>
      </c>
      <c r="Z1184" s="22">
        <f t="shared" si="383"/>
        <v>0.11026792439175388</v>
      </c>
      <c r="AA1184" s="22">
        <f t="shared" si="383"/>
        <v>0.11026792439175388</v>
      </c>
      <c r="AB1184" s="22">
        <f t="shared" si="383"/>
        <v>0.11026792439175388</v>
      </c>
      <c r="AC1184" s="22">
        <f t="shared" si="383"/>
        <v>0.11026792439175388</v>
      </c>
      <c r="AD1184" s="22">
        <f t="shared" si="383"/>
        <v>0.11026792439175388</v>
      </c>
      <c r="AE1184" s="22">
        <f t="shared" si="383"/>
        <v>0.11026792439175388</v>
      </c>
      <c r="AF1184" s="22">
        <f t="shared" si="383"/>
        <v>0.11026792439175388</v>
      </c>
      <c r="AG1184" s="22">
        <f t="shared" si="383"/>
        <v>0.11026792439175388</v>
      </c>
      <c r="AH1184" s="22">
        <f t="shared" si="383"/>
        <v>0.11026792439175388</v>
      </c>
      <c r="AI1184" s="22">
        <f t="shared" si="383"/>
        <v>0.11026792439175388</v>
      </c>
      <c r="AJ1184" s="22">
        <f t="shared" si="383"/>
        <v>0.11026792439175388</v>
      </c>
      <c r="AK1184" s="22">
        <f t="shared" si="383"/>
        <v>0.11026792439175388</v>
      </c>
      <c r="AL1184" s="22">
        <f t="shared" si="383"/>
        <v>0.11026792439175388</v>
      </c>
      <c r="AM1184" s="22">
        <f t="shared" si="383"/>
        <v>0.11026792439175388</v>
      </c>
      <c r="AN1184" s="22">
        <f t="shared" si="383"/>
        <v>0.11026792439175388</v>
      </c>
      <c r="AO1184" s="22">
        <f t="shared" si="383"/>
        <v>0.11026792439175388</v>
      </c>
      <c r="AP1184" s="22">
        <f t="shared" si="383"/>
        <v>0.11026792439175388</v>
      </c>
      <c r="AQ1184" s="22">
        <f t="shared" si="383"/>
        <v>0.11026792439175388</v>
      </c>
      <c r="AR1184" s="22">
        <f t="shared" si="383"/>
        <v>0.11026792439175388</v>
      </c>
      <c r="AS1184" s="22">
        <f t="shared" si="383"/>
        <v>0.11026792439175388</v>
      </c>
      <c r="AT1184" s="22">
        <f t="shared" si="383"/>
        <v>0.11026792439175388</v>
      </c>
      <c r="AU1184" s="22">
        <f t="shared" si="383"/>
        <v>0.11026792439175388</v>
      </c>
      <c r="AV1184" s="22">
        <f t="shared" si="383"/>
        <v>0.11026792439175388</v>
      </c>
      <c r="AW1184" s="22">
        <f t="shared" si="383"/>
        <v>0.11026792439175388</v>
      </c>
      <c r="AY1184" s="85"/>
    </row>
    <row r="1185" spans="1:51" x14ac:dyDescent="0.25">
      <c r="A1185" s="102" t="str">
        <f t="shared" si="380"/>
        <v>CM MM Volatilisation</v>
      </c>
      <c r="B1185" s="102" t="s">
        <v>1323</v>
      </c>
      <c r="C1185" s="102" t="s">
        <v>1333</v>
      </c>
      <c r="D1185" t="s">
        <v>369</v>
      </c>
      <c r="E1185" t="s">
        <v>64</v>
      </c>
      <c r="F1185" t="s">
        <v>62</v>
      </c>
      <c r="G1185" t="s">
        <v>1153</v>
      </c>
      <c r="H1185" t="s">
        <v>1291</v>
      </c>
      <c r="I1185" t="s">
        <v>139</v>
      </c>
      <c r="J1185" t="s">
        <v>287</v>
      </c>
      <c r="K1185" s="101">
        <f>IF('Net zero activities &amp; levers'!$C$14="Off",Constants!$H63*'Activity data'!AD5*Constants!$H81*EF!$H206*MMVolatEF*NtoN2O*kgtoGg,IF('Net zero activities &amp; levers'!$C$14="On",Constants!$H63*'Net zero Activity data'!AD5*Constants!$H81*EF!$H206*MMVolatEF*NtoN2O*kgtoGg,"ERROR"))</f>
        <v>0.39681521114916435</v>
      </c>
      <c r="L1185" s="101">
        <f>IF('Net zero activities &amp; levers'!$C$14="Off",Constants!$H63*'Activity data'!AE5*Constants!$H81*EF!$H206*MMVolatEF*NtoN2O*kgtoGg,IF('Net zero activities &amp; levers'!$C$14="On",Constants!$H63*'Net zero Activity data'!AE5*Constants!$H81*EF!$H206*MMVolatEF*NtoN2O*kgtoGg,"ERROR"))</f>
        <v>0.39928346869815806</v>
      </c>
      <c r="M1185" s="101">
        <f>IF('Net zero activities &amp; levers'!$C$14="Off",Constants!$H63*'Activity data'!AF5*Constants!$H81*EF!$H206*MMVolatEF*NtoN2O*kgtoGg,IF('Net zero activities &amp; levers'!$C$14="On",Constants!$H63*'Net zero Activity data'!AF5*Constants!$H81*EF!$H206*MMVolatEF*NtoN2O*kgtoGg,"ERROR"))</f>
        <v>0.4009804297645459</v>
      </c>
      <c r="N1185" s="101">
        <f>IF('Net zero activities &amp; levers'!$C$14="Off",Constants!$H63*'Activity data'!AG5*Constants!$H81*EF!$H206*MMVolatEF*NtoN2O*kgtoGg,IF('Net zero activities &amp; levers'!$C$14="On",Constants!$H63*'Net zero Activity data'!AG5*Constants!$H81*EF!$H206*MMVolatEF*NtoN2O*kgtoGg,"ERROR"))</f>
        <v>0.40151262173495006</v>
      </c>
      <c r="O1185" s="101">
        <f>IF('Net zero activities &amp; levers'!$C$14="Off",Constants!$H63*'Activity data'!AH5*Constants!$H81*EF!$H206*MMVolatEF*NtoN2O*kgtoGg,IF('Net zero activities &amp; levers'!$C$14="On",Constants!$H63*'Net zero Activity data'!AH5*Constants!$H81*EF!$H206*MMVolatEF*NtoN2O*kgtoGg,"ERROR"))</f>
        <v>0.40223259805813538</v>
      </c>
      <c r="P1185" s="101">
        <f>IF('Net zero activities &amp; levers'!$C$14="Off",Constants!$H63*'Activity data'!AI5*Constants!$H81*EF!$H206*MMVolatEF*NtoN2O*kgtoGg,IF('Net zero activities &amp; levers'!$C$14="On",Constants!$H63*'Net zero Activity data'!AI5*Constants!$H81*EF!$H206*MMVolatEF*NtoN2O*kgtoGg,"ERROR"))</f>
        <v>0.40380961974030649</v>
      </c>
      <c r="Q1185" s="101">
        <f>IF('Net zero activities &amp; levers'!$C$14="Off",Constants!$H63*'Activity data'!AJ5*Constants!$H81*EF!$H206*MMVolatEF*NtoN2O*kgtoGg,IF('Net zero activities &amp; levers'!$C$14="On",Constants!$H63*'Net zero Activity data'!AJ5*Constants!$H81*EF!$H206*MMVolatEF*NtoN2O*kgtoGg,"ERROR"))</f>
        <v>0.40570030877561336</v>
      </c>
      <c r="R1185" s="101">
        <f>IF('Net zero activities &amp; levers'!$C$14="Off",Constants!$H63*'Activity data'!AK5*Constants!$H81*EF!$H206*MMVolatEF*NtoN2O*kgtoGg,IF('Net zero activities &amp; levers'!$C$14="On",Constants!$H63*'Net zero Activity data'!AK5*Constants!$H81*EF!$H206*MMVolatEF*NtoN2O*kgtoGg,"ERROR"))</f>
        <v>0.4062682914839757</v>
      </c>
      <c r="S1185" s="101">
        <f>IF('Net zero activities &amp; levers'!$C$14="Off",Constants!$H63*'Activity data'!AL5*Constants!$H81*EF!$H206*MMVolatEF*NtoN2O*kgtoGg,IF('Net zero activities &amp; levers'!$C$14="On",Constants!$H63*'Net zero Activity data'!AL5*Constants!$H81*EF!$H206*MMVolatEF*NtoN2O*kgtoGg,"ERROR"))</f>
        <v>0.39379594618948027</v>
      </c>
      <c r="T1185" s="101">
        <f>IF('Net zero activities &amp; levers'!$C$14="Off",Constants!$H63*'Activity data'!AM5*Constants!$H81*EF!$H206*MMVolatEF*NtoN2O*kgtoGg,IF('Net zero activities &amp; levers'!$C$14="On",Constants!$H63*'Net zero Activity data'!AM5*Constants!$H81*EF!$H206*MMVolatEF*NtoN2O*kgtoGg,"ERROR"))</f>
        <v>0.39703951074089222</v>
      </c>
      <c r="U1185" s="101">
        <f>IF('Net zero activities &amp; levers'!$C$14="Off",Constants!$H63*'Activity data'!AN5*Constants!$H81*EF!$H206*MMVolatEF*NtoN2O*kgtoGg,IF('Net zero activities &amp; levers'!$C$14="On",Constants!$H63*'Net zero Activity data'!AN5*Constants!$H81*EF!$H206*MMVolatEF*NtoN2O*kgtoGg,"ERROR"))</f>
        <v>0.40001376732014149</v>
      </c>
      <c r="V1185" s="101">
        <f>IF('Net zero activities &amp; levers'!$C$14="Off",Constants!$H63*'Activity data'!AO5*Constants!$H81*EF!$H206*MMVolatEF*NtoN2O*kgtoGg,IF('Net zero activities &amp; levers'!$C$14="On",Constants!$H63*'Net zero Activity data'!AO5*Constants!$H81*EF!$H206*MMVolatEF*NtoN2O*kgtoGg,"ERROR"))</f>
        <v>0.4030633713994573</v>
      </c>
      <c r="W1185" s="101">
        <f>IF('Net zero activities &amp; levers'!$C$14="Off",Constants!$H63*'Activity data'!AP5*Constants!$H81*EF!$H206*MMVolatEF*NtoN2O*kgtoGg,IF('Net zero activities &amp; levers'!$C$14="On",Constants!$H63*'Net zero Activity data'!AP5*Constants!$H81*EF!$H206*MMVolatEF*NtoN2O*kgtoGg,"ERROR"))</f>
        <v>0.40673703435821862</v>
      </c>
      <c r="X1185" s="101">
        <f>IF('Net zero activities &amp; levers'!$C$14="Off",Constants!$H63*'Activity data'!AQ5*Constants!$H81*EF!$H206*MMVolatEF*NtoN2O*kgtoGg,IF('Net zero activities &amp; levers'!$C$14="On",Constants!$H63*'Net zero Activity data'!AQ5*Constants!$H81*EF!$H206*MMVolatEF*NtoN2O*kgtoGg,"ERROR"))</f>
        <v>0.41047963139436411</v>
      </c>
      <c r="Y1185" s="101">
        <f>IF('Net zero activities &amp; levers'!$C$14="Off",Constants!$H63*'Activity data'!AR5*Constants!$H81*EF!$H206*MMVolatEF*NtoN2O*kgtoGg,IF('Net zero activities &amp; levers'!$C$14="On",Constants!$H63*'Net zero Activity data'!AR5*Constants!$H81*EF!$H206*MMVolatEF*NtoN2O*kgtoGg,"ERROR"))</f>
        <v>0.41412386702749909</v>
      </c>
      <c r="Z1185" s="101">
        <f>IF('Net zero activities &amp; levers'!$C$14="Off",Constants!$H63*'Activity data'!AS5*Constants!$H81*EF!$H206*MMVolatEF*NtoN2O*kgtoGg,IF('Net zero activities &amp; levers'!$C$14="On",Constants!$H63*'Net zero Activity data'!AS5*Constants!$H81*EF!$H206*MMVolatEF*NtoN2O*kgtoGg,"ERROR"))</f>
        <v>0.41769519693164076</v>
      </c>
      <c r="AA1185" s="101">
        <f>IF('Net zero activities &amp; levers'!$C$14="Off",Constants!$H63*'Activity data'!AT5*Constants!$H81*EF!$H206*MMVolatEF*NtoN2O*kgtoGg,IF('Net zero activities &amp; levers'!$C$14="On",Constants!$H63*'Net zero Activity data'!AT5*Constants!$H81*EF!$H206*MMVolatEF*NtoN2O*kgtoGg,"ERROR"))</f>
        <v>0.42154191092161625</v>
      </c>
      <c r="AB1185" s="101">
        <f>IF('Net zero activities &amp; levers'!$C$14="Off",Constants!$H63*'Activity data'!AU5*Constants!$H81*EF!$H206*MMVolatEF*NtoN2O*kgtoGg,IF('Net zero activities &amp; levers'!$C$14="On",Constants!$H63*'Net zero Activity data'!AU5*Constants!$H81*EF!$H206*MMVolatEF*NtoN2O*kgtoGg,"ERROR"))</f>
        <v>0.42518467345636607</v>
      </c>
      <c r="AC1185" s="101">
        <f>IF('Net zero activities &amp; levers'!$C$14="Off",Constants!$H63*'Activity data'!AV5*Constants!$H81*EF!$H206*MMVolatEF*NtoN2O*kgtoGg,IF('Net zero activities &amp; levers'!$C$14="On",Constants!$H63*'Net zero Activity data'!AV5*Constants!$H81*EF!$H206*MMVolatEF*NtoN2O*kgtoGg,"ERROR"))</f>
        <v>0.42895809934446105</v>
      </c>
      <c r="AD1185" s="101">
        <f>IF('Net zero activities &amp; levers'!$C$14="Off",Constants!$H63*'Activity data'!AW5*Constants!$H81*EF!$H206*MMVolatEF*NtoN2O*kgtoGg,IF('Net zero activities &amp; levers'!$C$14="On",Constants!$H63*'Net zero Activity data'!AW5*Constants!$H81*EF!$H206*MMVolatEF*NtoN2O*kgtoGg,"ERROR"))</f>
        <v>0.43329342136251764</v>
      </c>
      <c r="AE1185" s="101">
        <f>IF('Net zero activities &amp; levers'!$C$14="Off",Constants!$H63*'Activity data'!AX5*Constants!$H81*EF!$H206*MMVolatEF*NtoN2O*kgtoGg,IF('Net zero activities &amp; levers'!$C$14="On",Constants!$H63*'Net zero Activity data'!AX5*Constants!$H81*EF!$H206*MMVolatEF*NtoN2O*kgtoGg,"ERROR"))</f>
        <v>0.43801504276628445</v>
      </c>
      <c r="AF1185" s="101">
        <f>IF('Net zero activities &amp; levers'!$C$14="Off",Constants!$H63*'Activity data'!AY5*Constants!$H81*EF!$H206*MMVolatEF*NtoN2O*kgtoGg,IF('Net zero activities &amp; levers'!$C$14="On",Constants!$H63*'Net zero Activity data'!AY5*Constants!$H81*EF!$H206*MMVolatEF*NtoN2O*kgtoGg,"ERROR"))</f>
        <v>0.44292407628311159</v>
      </c>
      <c r="AG1185" s="101">
        <f>IF('Net zero activities &amp; levers'!$C$14="Off",Constants!$H63*'Activity data'!AZ5*Constants!$H81*EF!$H206*MMVolatEF*NtoN2O*kgtoGg,IF('Net zero activities &amp; levers'!$C$14="On",Constants!$H63*'Net zero Activity data'!AZ5*Constants!$H81*EF!$H206*MMVolatEF*NtoN2O*kgtoGg,"ERROR"))</f>
        <v>0.44360979324480354</v>
      </c>
      <c r="AH1185" s="101">
        <f>IF('Net zero activities &amp; levers'!$C$14="Off",Constants!$H63*'Activity data'!BA5*Constants!$H81*EF!$H206*MMVolatEF*NtoN2O*kgtoGg,IF('Net zero activities &amp; levers'!$C$14="On",Constants!$H63*'Net zero Activity data'!BA5*Constants!$H81*EF!$H206*MMVolatEF*NtoN2O*kgtoGg,"ERROR"))</f>
        <v>0.23750435523455551</v>
      </c>
      <c r="AI1185" s="101">
        <f>IF('Net zero activities &amp; levers'!$C$14="Off",Constants!$H63*'Activity data'!BB5*Constants!$H81*EF!$H206*MMVolatEF*NtoN2O*kgtoGg,IF('Net zero activities &amp; levers'!$C$14="On",Constants!$H63*'Net zero Activity data'!BB5*Constants!$H81*EF!$H206*MMVolatEF*NtoN2O*kgtoGg,"ERROR"))</f>
        <v>0.23767903823802267</v>
      </c>
      <c r="AJ1185" s="101">
        <f>IF('Net zero activities &amp; levers'!$C$14="Off",Constants!$H63*'Activity data'!BC5*Constants!$H81*EF!$H206*MMVolatEF*NtoN2O*kgtoGg,IF('Net zero activities &amp; levers'!$C$14="On",Constants!$H63*'Net zero Activity data'!BC5*Constants!$H81*EF!$H206*MMVolatEF*NtoN2O*kgtoGg,"ERROR"))</f>
        <v>0.23787666796336571</v>
      </c>
      <c r="AK1185" s="101">
        <f>IF('Net zero activities &amp; levers'!$C$14="Off",Constants!$H63*'Activity data'!BD5*Constants!$H81*EF!$H206*MMVolatEF*NtoN2O*kgtoGg,IF('Net zero activities &amp; levers'!$C$14="On",Constants!$H63*'Net zero Activity data'!BD5*Constants!$H81*EF!$H206*MMVolatEF*NtoN2O*kgtoGg,"ERROR"))</f>
        <v>0.23809637221397845</v>
      </c>
      <c r="AL1185" s="101">
        <f>IF('Net zero activities &amp; levers'!$C$14="Off",Constants!$H63*'Activity data'!BE5*Constants!$H81*EF!$H206*MMVolatEF*NtoN2O*kgtoGg,IF('Net zero activities &amp; levers'!$C$14="On",Constants!$H63*'Net zero Activity data'!BE5*Constants!$H81*EF!$H206*MMVolatEF*NtoN2O*kgtoGg,"ERROR"))</f>
        <v>0.2383373459663993</v>
      </c>
      <c r="AM1185" s="101">
        <f>IF('Net zero activities &amp; levers'!$C$14="Off",Constants!$H63*'Activity data'!BF5*Constants!$H81*EF!$H206*MMVolatEF*NtoN2O*kgtoGg,IF('Net zero activities &amp; levers'!$C$14="On",Constants!$H63*'Net zero Activity data'!BF5*Constants!$H81*EF!$H206*MMVolatEF*NtoN2O*kgtoGg,"ERROR"))</f>
        <v>0.23859884500343068</v>
      </c>
      <c r="AN1185" s="101">
        <f>IF('Net zero activities &amp; levers'!$C$14="Off",Constants!$H63*'Activity data'!BG5*Constants!$H81*EF!$H206*MMVolatEF*NtoN2O*kgtoGg,IF('Net zero activities &amp; levers'!$C$14="On",Constants!$H63*'Net zero Activity data'!BG5*Constants!$H81*EF!$H206*MMVolatEF*NtoN2O*kgtoGg,"ERROR"))</f>
        <v>0.23871142815197754</v>
      </c>
      <c r="AO1185" s="101">
        <f>IF('Net zero activities &amp; levers'!$C$14="Off",Constants!$H63*'Activity data'!BH5*Constants!$H81*EF!$H206*MMVolatEF*NtoN2O*kgtoGg,IF('Net zero activities &amp; levers'!$C$14="On",Constants!$H63*'Net zero Activity data'!BH5*Constants!$H81*EF!$H206*MMVolatEF*NtoN2O*kgtoGg,"ERROR"))</f>
        <v>0.23884208664335624</v>
      </c>
      <c r="AP1185" s="101">
        <f>IF('Net zero activities &amp; levers'!$C$14="Off",Constants!$H63*'Activity data'!BI5*Constants!$H81*EF!$H206*MMVolatEF*NtoN2O*kgtoGg,IF('Net zero activities &amp; levers'!$C$14="On",Constants!$H63*'Net zero Activity data'!BI5*Constants!$H81*EF!$H206*MMVolatEF*NtoN2O*kgtoGg,"ERROR"))</f>
        <v>0.23899018916140971</v>
      </c>
      <c r="AQ1185" s="101">
        <f>IF('Net zero activities &amp; levers'!$C$14="Off",Constants!$H63*'Activity data'!BJ5*Constants!$H81*EF!$H206*MMVolatEF*NtoN2O*kgtoGg,IF('Net zero activities &amp; levers'!$C$14="On",Constants!$H63*'Net zero Activity data'!BJ5*Constants!$H81*EF!$H206*MMVolatEF*NtoN2O*kgtoGg,"ERROR"))</f>
        <v>0.2391551474689631</v>
      </c>
      <c r="AR1185" s="101">
        <f>IF('Net zero activities &amp; levers'!$C$14="Off",Constants!$H63*'Activity data'!BK5*Constants!$H81*EF!$H206*MMVolatEF*NtoN2O*kgtoGg,IF('Net zero activities &amp; levers'!$C$14="On",Constants!$H63*'Net zero Activity data'!BK5*Constants!$H81*EF!$H206*MMVolatEF*NtoN2O*kgtoGg,"ERROR"))</f>
        <v>0.23933641275222764</v>
      </c>
      <c r="AS1185" s="101">
        <f>IF('Net zero activities &amp; levers'!$C$14="Off",Constants!$H63*'Activity data'!BL5*Constants!$H81*EF!$H206*MMVolatEF*NtoN2O*kgtoGg,IF('Net zero activities &amp; levers'!$C$14="On",Constants!$H63*'Net zero Activity data'!BL5*Constants!$H81*EF!$H206*MMVolatEF*NtoN2O*kgtoGg,"ERROR"))</f>
        <v>0.23936290185366965</v>
      </c>
      <c r="AT1185" s="101">
        <f>IF('Net zero activities &amp; levers'!$C$14="Off",Constants!$H63*'Activity data'!BM5*Constants!$H81*EF!$H206*MMVolatEF*NtoN2O*kgtoGg,IF('Net zero activities &amp; levers'!$C$14="On",Constants!$H63*'Net zero Activity data'!BM5*Constants!$H81*EF!$H206*MMVolatEF*NtoN2O*kgtoGg,"ERROR"))</f>
        <v>0.23940384749309143</v>
      </c>
      <c r="AU1185" s="101">
        <f>IF('Net zero activities &amp; levers'!$C$14="Off",Constants!$H63*'Activity data'!BN5*Constants!$H81*EF!$H206*MMVolatEF*NtoN2O*kgtoGg,IF('Net zero activities &amp; levers'!$C$14="On",Constants!$H63*'Net zero Activity data'!BN5*Constants!$H81*EF!$H206*MMVolatEF*NtoN2O*kgtoGg,"ERROR"))</f>
        <v>0.23945877050598915</v>
      </c>
      <c r="AV1185" s="101">
        <f>IF('Net zero activities &amp; levers'!$C$14="Off",Constants!$H63*'Activity data'!BO5*Constants!$H81*EF!$H206*MMVolatEF*NtoN2O*kgtoGg,IF('Net zero activities &amp; levers'!$C$14="On",Constants!$H63*'Net zero Activity data'!BO5*Constants!$H81*EF!$H206*MMVolatEF*NtoN2O*kgtoGg,"ERROR"))</f>
        <v>0.23952722091813589</v>
      </c>
      <c r="AW1185" s="101">
        <f>IF('Net zero activities &amp; levers'!$C$14="Off",Constants!$H63*'Activity data'!BP5*Constants!$H81*EF!$H206*MMVolatEF*NtoN2O*kgtoGg,IF('Net zero activities &amp; levers'!$C$14="On",Constants!$H63*'Net zero Activity data'!BP5*Constants!$H81*EF!$H206*MMVolatEF*NtoN2O*kgtoGg,"ERROR"))</f>
        <v>0.23960877570322184</v>
      </c>
      <c r="AY1185" s="85"/>
    </row>
    <row r="1186" spans="1:51" x14ac:dyDescent="0.25">
      <c r="A1186" s="102" t="str">
        <f t="shared" si="380"/>
        <v>CM MM Volatilisation</v>
      </c>
      <c r="B1186" s="102" t="s">
        <v>1323</v>
      </c>
      <c r="C1186" s="102" t="s">
        <v>1333</v>
      </c>
      <c r="D1186" t="s">
        <v>369</v>
      </c>
      <c r="E1186" t="s">
        <v>64</v>
      </c>
      <c r="F1186" t="s">
        <v>62</v>
      </c>
      <c r="G1186" t="s">
        <v>1155</v>
      </c>
      <c r="H1186" t="s">
        <v>1292</v>
      </c>
      <c r="I1186" t="s">
        <v>139</v>
      </c>
      <c r="J1186" t="s">
        <v>287</v>
      </c>
      <c r="K1186" s="101">
        <f>IF('Net zero activities &amp; levers'!$C$14="Off",Constants!$H64*'Activity data'!AD6*Constants!$H82*EF!$H207*MMVolatEF*NtoN2O*kgtoGg,IF('Net zero activities &amp; levers'!$C$14="On",Constants!$H64*'Net zero Activity data'!AD6*Constants!$H82*EF!$H207*MMVolatEF*NtoN2O*kgtoGg,"ERROR"))</f>
        <v>3.1306447478246062E-2</v>
      </c>
      <c r="L1186" s="101">
        <f>IF('Net zero activities &amp; levers'!$C$14="Off",Constants!$H64*'Activity data'!AE6*Constants!$H82*EF!$H207*MMVolatEF*NtoN2O*kgtoGg,IF('Net zero activities &amp; levers'!$C$14="On",Constants!$H64*'Net zero Activity data'!AE6*Constants!$H82*EF!$H207*MMVolatEF*NtoN2O*kgtoGg,"ERROR"))</f>
        <v>3.1501178862399851E-2</v>
      </c>
      <c r="M1186" s="101">
        <f>IF('Net zero activities &amp; levers'!$C$14="Off",Constants!$H64*'Activity data'!AF6*Constants!$H82*EF!$H207*MMVolatEF*NtoN2O*kgtoGg,IF('Net zero activities &amp; levers'!$C$14="On",Constants!$H64*'Net zero Activity data'!AF6*Constants!$H82*EF!$H207*MMVolatEF*NtoN2O*kgtoGg,"ERROR"))</f>
        <v>3.163505937152563E-2</v>
      </c>
      <c r="N1186" s="101">
        <f>IF('Net zero activities &amp; levers'!$C$14="Off",Constants!$H64*'Activity data'!AG6*Constants!$H82*EF!$H207*MMVolatEF*NtoN2O*kgtoGg,IF('Net zero activities &amp; levers'!$C$14="On",Constants!$H64*'Net zero Activity data'!AG6*Constants!$H82*EF!$H207*MMVolatEF*NtoN2O*kgtoGg,"ERROR"))</f>
        <v>3.167704626996521E-2</v>
      </c>
      <c r="O1186" s="101">
        <f>IF('Net zero activities &amp; levers'!$C$14="Off",Constants!$H64*'Activity data'!AH6*Constants!$H82*EF!$H207*MMVolatEF*NtoN2O*kgtoGg,IF('Net zero activities &amp; levers'!$C$14="On",Constants!$H64*'Net zero Activity data'!AH6*Constants!$H82*EF!$H207*MMVolatEF*NtoN2O*kgtoGg,"ERROR"))</f>
        <v>3.1733848278341123E-2</v>
      </c>
      <c r="P1186" s="101">
        <f>IF('Net zero activities &amp; levers'!$C$14="Off",Constants!$H64*'Activity data'!AI6*Constants!$H82*EF!$H207*MMVolatEF*NtoN2O*kgtoGg,IF('Net zero activities &amp; levers'!$C$14="On",Constants!$H64*'Net zero Activity data'!AI6*Constants!$H82*EF!$H207*MMVolatEF*NtoN2O*kgtoGg,"ERROR"))</f>
        <v>3.1858266256981516E-2</v>
      </c>
      <c r="Q1186" s="101">
        <f>IF('Net zero activities &amp; levers'!$C$14="Off",Constants!$H64*'Activity data'!AJ6*Constants!$H82*EF!$H207*MMVolatEF*NtoN2O*kgtoGg,IF('Net zero activities &amp; levers'!$C$14="On",Constants!$H64*'Net zero Activity data'!AJ6*Constants!$H82*EF!$H207*MMVolatEF*NtoN2O*kgtoGg,"ERROR"))</f>
        <v>3.2007430793315993E-2</v>
      </c>
      <c r="R1186" s="101">
        <f>IF('Net zero activities &amp; levers'!$C$14="Off",Constants!$H64*'Activity data'!AK6*Constants!$H82*EF!$H207*MMVolatEF*NtoN2O*kgtoGg,IF('Net zero activities &amp; levers'!$C$14="On",Constants!$H64*'Net zero Activity data'!AK6*Constants!$H82*EF!$H207*MMVolatEF*NtoN2O*kgtoGg,"ERROR"))</f>
        <v>3.2052241375996028E-2</v>
      </c>
      <c r="S1186" s="101">
        <f>IF('Net zero activities &amp; levers'!$C$14="Off",Constants!$H64*'Activity data'!AL6*Constants!$H82*EF!$H207*MMVolatEF*NtoN2O*kgtoGg,IF('Net zero activities &amp; levers'!$C$14="On",Constants!$H64*'Net zero Activity data'!AL6*Constants!$H82*EF!$H207*MMVolatEF*NtoN2O*kgtoGg,"ERROR"))</f>
        <v>3.1068244765175855E-2</v>
      </c>
      <c r="T1186" s="101">
        <f>IF('Net zero activities &amp; levers'!$C$14="Off",Constants!$H64*'Activity data'!AM6*Constants!$H82*EF!$H207*MMVolatEF*NtoN2O*kgtoGg,IF('Net zero activities &amp; levers'!$C$14="On",Constants!$H64*'Net zero Activity data'!AM6*Constants!$H82*EF!$H207*MMVolatEF*NtoN2O*kgtoGg,"ERROR"))</f>
        <v>3.1324143431401406E-2</v>
      </c>
      <c r="U1186" s="101">
        <f>IF('Net zero activities &amp; levers'!$C$14="Off",Constants!$H64*'Activity data'!AN6*Constants!$H82*EF!$H207*MMVolatEF*NtoN2O*kgtoGg,IF('Net zero activities &amp; levers'!$C$14="On",Constants!$H64*'Net zero Activity data'!AN6*Constants!$H82*EF!$H207*MMVolatEF*NtoN2O*kgtoGg,"ERROR"))</f>
        <v>3.1558795241031987E-2</v>
      </c>
      <c r="V1186" s="101">
        <f>IF('Net zero activities &amp; levers'!$C$14="Off",Constants!$H64*'Activity data'!AO6*Constants!$H82*EF!$H207*MMVolatEF*NtoN2O*kgtoGg,IF('Net zero activities &amp; levers'!$C$14="On",Constants!$H64*'Net zero Activity data'!AO6*Constants!$H82*EF!$H207*MMVolatEF*NtoN2O*kgtoGg,"ERROR"))</f>
        <v>3.1799391536879773E-2</v>
      </c>
      <c r="W1186" s="101">
        <f>IF('Net zero activities &amp; levers'!$C$14="Off",Constants!$H64*'Activity data'!AP6*Constants!$H82*EF!$H207*MMVolatEF*NtoN2O*kgtoGg,IF('Net zero activities &amp; levers'!$C$14="On",Constants!$H64*'Net zero Activity data'!AP6*Constants!$H82*EF!$H207*MMVolatEF*NtoN2O*kgtoGg,"ERROR"))</f>
        <v>3.2089222504140757E-2</v>
      </c>
      <c r="X1186" s="101">
        <f>IF('Net zero activities &amp; levers'!$C$14="Off",Constants!$H64*'Activity data'!AQ6*Constants!$H82*EF!$H207*MMVolatEF*NtoN2O*kgtoGg,IF('Net zero activities &amp; levers'!$C$14="On",Constants!$H64*'Net zero Activity data'!AQ6*Constants!$H82*EF!$H207*MMVolatEF*NtoN2O*kgtoGg,"ERROR"))</f>
        <v>3.2384491975300946E-2</v>
      </c>
      <c r="Y1186" s="101">
        <f>IF('Net zero activities &amp; levers'!$C$14="Off",Constants!$H64*'Activity data'!AR6*Constants!$H82*EF!$H207*MMVolatEF*NtoN2O*kgtoGg,IF('Net zero activities &amp; levers'!$C$14="On",Constants!$H64*'Net zero Activity data'!AR6*Constants!$H82*EF!$H207*MMVolatEF*NtoN2O*kgtoGg,"ERROR"))</f>
        <v>3.2672001295109276E-2</v>
      </c>
      <c r="Z1186" s="101">
        <f>IF('Net zero activities &amp; levers'!$C$14="Off",Constants!$H64*'Activity data'!AS6*Constants!$H82*EF!$H207*MMVolatEF*NtoN2O*kgtoGg,IF('Net zero activities &amp; levers'!$C$14="On",Constants!$H64*'Net zero Activity data'!AS6*Constants!$H82*EF!$H207*MMVolatEF*NtoN2O*kgtoGg,"ERROR"))</f>
        <v>3.2953758770453305E-2</v>
      </c>
      <c r="AA1186" s="101">
        <f>IF('Net zero activities &amp; levers'!$C$14="Off",Constants!$H64*'Activity data'!AT6*Constants!$H82*EF!$H207*MMVolatEF*NtoN2O*kgtoGg,IF('Net zero activities &amp; levers'!$C$14="On",Constants!$H64*'Net zero Activity data'!AT6*Constants!$H82*EF!$H207*MMVolatEF*NtoN2O*kgtoGg,"ERROR"))</f>
        <v>3.3257242472961211E-2</v>
      </c>
      <c r="AB1186" s="101">
        <f>IF('Net zero activities &amp; levers'!$C$14="Off",Constants!$H64*'Activity data'!AU6*Constants!$H82*EF!$H207*MMVolatEF*NtoN2O*kgtoGg,IF('Net zero activities &amp; levers'!$C$14="On",Constants!$H64*'Net zero Activity data'!AU6*Constants!$H82*EF!$H207*MMVolatEF*NtoN2O*kgtoGg,"ERROR"))</f>
        <v>3.3544635573743833E-2</v>
      </c>
      <c r="AC1186" s="101">
        <f>IF('Net zero activities &amp; levers'!$C$14="Off",Constants!$H64*'Activity data'!AV6*Constants!$H82*EF!$H207*MMVolatEF*NtoN2O*kgtoGg,IF('Net zero activities &amp; levers'!$C$14="On",Constants!$H64*'Net zero Activity data'!AV6*Constants!$H82*EF!$H207*MMVolatEF*NtoN2O*kgtoGg,"ERROR"))</f>
        <v>3.3842337264756606E-2</v>
      </c>
      <c r="AD1186" s="101">
        <f>IF('Net zero activities &amp; levers'!$C$14="Off",Constants!$H64*'Activity data'!AW6*Constants!$H82*EF!$H207*MMVolatEF*NtoN2O*kgtoGg,IF('Net zero activities &amp; levers'!$C$14="On",Constants!$H64*'Net zero Activity data'!AW6*Constants!$H82*EF!$H207*MMVolatEF*NtoN2O*kgtoGg,"ERROR"))</f>
        <v>3.4184369342273299E-2</v>
      </c>
      <c r="AE1186" s="101">
        <f>IF('Net zero activities &amp; levers'!$C$14="Off",Constants!$H64*'Activity data'!AX6*Constants!$H82*EF!$H207*MMVolatEF*NtoN2O*kgtoGg,IF('Net zero activities &amp; levers'!$C$14="On",Constants!$H64*'Net zero Activity data'!AX6*Constants!$H82*EF!$H207*MMVolatEF*NtoN2O*kgtoGg,"ERROR"))</f>
        <v>3.4556878228868437E-2</v>
      </c>
      <c r="AF1186" s="101">
        <f>IF('Net zero activities &amp; levers'!$C$14="Off",Constants!$H64*'Activity data'!AY6*Constants!$H82*EF!$H207*MMVolatEF*NtoN2O*kgtoGg,IF('Net zero activities &amp; levers'!$C$14="On",Constants!$H64*'Net zero Activity data'!AY6*Constants!$H82*EF!$H207*MMVolatEF*NtoN2O*kgtoGg,"ERROR"))</f>
        <v>3.494417285781784E-2</v>
      </c>
      <c r="AG1186" s="101">
        <f>IF('Net zero activities &amp; levers'!$C$14="Off",Constants!$H64*'Activity data'!AZ6*Constants!$H82*EF!$H207*MMVolatEF*NtoN2O*kgtoGg,IF('Net zero activities &amp; levers'!$C$14="On",Constants!$H64*'Net zero Activity data'!AZ6*Constants!$H82*EF!$H207*MMVolatEF*NtoN2O*kgtoGg,"ERROR"))</f>
        <v>3.4998271998785704E-2</v>
      </c>
      <c r="AH1186" s="101">
        <f>IF('Net zero activities &amp; levers'!$C$14="Off",Constants!$H64*'Activity data'!BA6*Constants!$H82*EF!$H207*MMVolatEF*NtoN2O*kgtoGg,IF('Net zero activities &amp; levers'!$C$14="On",Constants!$H64*'Net zero Activity data'!BA6*Constants!$H82*EF!$H207*MMVolatEF*NtoN2O*kgtoGg,"ERROR"))</f>
        <v>1.873773336831663E-2</v>
      </c>
      <c r="AI1186" s="101">
        <f>IF('Net zero activities &amp; levers'!$C$14="Off",Constants!$H64*'Activity data'!BB6*Constants!$H82*EF!$H207*MMVolatEF*NtoN2O*kgtoGg,IF('Net zero activities &amp; levers'!$C$14="On",Constants!$H64*'Net zero Activity data'!BB6*Constants!$H82*EF!$H207*MMVolatEF*NtoN2O*kgtoGg,"ERROR"))</f>
        <v>1.8751514856827491E-2</v>
      </c>
      <c r="AJ1186" s="101">
        <f>IF('Net zero activities &amp; levers'!$C$14="Off",Constants!$H64*'Activity data'!BC6*Constants!$H82*EF!$H207*MMVolatEF*NtoN2O*kgtoGg,IF('Net zero activities &amp; levers'!$C$14="On",Constants!$H64*'Net zero Activity data'!BC6*Constants!$H82*EF!$H207*MMVolatEF*NtoN2O*kgtoGg,"ERROR"))</f>
        <v>1.8767106710271497E-2</v>
      </c>
      <c r="AK1186" s="101">
        <f>IF('Net zero activities &amp; levers'!$C$14="Off",Constants!$H64*'Activity data'!BD6*Constants!$H82*EF!$H207*MMVolatEF*NtoN2O*kgtoGg,IF('Net zero activities &amp; levers'!$C$14="On",Constants!$H64*'Net zero Activity data'!BD6*Constants!$H82*EF!$H207*MMVolatEF*NtoN2O*kgtoGg,"ERROR"))</f>
        <v>1.8784440117331772E-2</v>
      </c>
      <c r="AL1186" s="101">
        <f>IF('Net zero activities &amp; levers'!$C$14="Off",Constants!$H64*'Activity data'!BE6*Constants!$H82*EF!$H207*MMVolatEF*NtoN2O*kgtoGg,IF('Net zero activities &amp; levers'!$C$14="On",Constants!$H64*'Net zero Activity data'!BE6*Constants!$H82*EF!$H207*MMVolatEF*NtoN2O*kgtoGg,"ERROR"))</f>
        <v>1.8803451566267792E-2</v>
      </c>
      <c r="AM1186" s="101">
        <f>IF('Net zero activities &amp; levers'!$C$14="Off",Constants!$H64*'Activity data'!BF6*Constants!$H82*EF!$H207*MMVolatEF*NtoN2O*kgtoGg,IF('Net zero activities &amp; levers'!$C$14="On",Constants!$H64*'Net zero Activity data'!BF6*Constants!$H82*EF!$H207*MMVolatEF*NtoN2O*kgtoGg,"ERROR"))</f>
        <v>1.882408234260504E-2</v>
      </c>
      <c r="AN1186" s="101">
        <f>IF('Net zero activities &amp; levers'!$C$14="Off",Constants!$H64*'Activity data'!BG6*Constants!$H82*EF!$H207*MMVolatEF*NtoN2O*kgtoGg,IF('Net zero activities &amp; levers'!$C$14="On",Constants!$H64*'Net zero Activity data'!BG6*Constants!$H82*EF!$H207*MMVolatEF*NtoN2O*kgtoGg,"ERROR"))</f>
        <v>1.883296450822745E-2</v>
      </c>
      <c r="AO1186" s="101">
        <f>IF('Net zero activities &amp; levers'!$C$14="Off",Constants!$H64*'Activity data'!BH6*Constants!$H82*EF!$H207*MMVolatEF*NtoN2O*kgtoGg,IF('Net zero activities &amp; levers'!$C$14="On",Constants!$H64*'Net zero Activity data'!BH6*Constants!$H82*EF!$H207*MMVolatEF*NtoN2O*kgtoGg,"ERROR"))</f>
        <v>1.8843272714876302E-2</v>
      </c>
      <c r="AP1186" s="101">
        <f>IF('Net zero activities &amp; levers'!$C$14="Off",Constants!$H64*'Activity data'!BI6*Constants!$H82*EF!$H207*MMVolatEF*NtoN2O*kgtoGg,IF('Net zero activities &amp; levers'!$C$14="On",Constants!$H64*'Net zero Activity data'!BI6*Constants!$H82*EF!$H207*MMVolatEF*NtoN2O*kgtoGg,"ERROR"))</f>
        <v>1.8854957155322545E-2</v>
      </c>
      <c r="AQ1186" s="101">
        <f>IF('Net zero activities &amp; levers'!$C$14="Off",Constants!$H64*'Activity data'!BJ6*Constants!$H82*EF!$H207*MMVolatEF*NtoN2O*kgtoGg,IF('Net zero activities &amp; levers'!$C$14="On",Constants!$H64*'Net zero Activity data'!BJ6*Constants!$H82*EF!$H207*MMVolatEF*NtoN2O*kgtoGg,"ERROR"))</f>
        <v>1.8867971421022103E-2</v>
      </c>
      <c r="AR1186" s="101">
        <f>IF('Net zero activities &amp; levers'!$C$14="Off",Constants!$H64*'Activity data'!BK6*Constants!$H82*EF!$H207*MMVolatEF*NtoN2O*kgtoGg,IF('Net zero activities &amp; levers'!$C$14="On",Constants!$H64*'Net zero Activity data'!BK6*Constants!$H82*EF!$H207*MMVolatEF*NtoN2O*kgtoGg,"ERROR"))</f>
        <v>1.8882272213710256E-2</v>
      </c>
      <c r="AS1186" s="101">
        <f>IF('Net zero activities &amp; levers'!$C$14="Off",Constants!$H64*'Activity data'!BL6*Constants!$H82*EF!$H207*MMVolatEF*NtoN2O*kgtoGg,IF('Net zero activities &amp; levers'!$C$14="On",Constants!$H64*'Net zero Activity data'!BL6*Constants!$H82*EF!$H207*MMVolatEF*NtoN2O*kgtoGg,"ERROR"))</f>
        <v>1.888436205210289E-2</v>
      </c>
      <c r="AT1186" s="101">
        <f>IF('Net zero activities &amp; levers'!$C$14="Off",Constants!$H64*'Activity data'!BM6*Constants!$H82*EF!$H207*MMVolatEF*NtoN2O*kgtoGg,IF('Net zero activities &amp; levers'!$C$14="On",Constants!$H64*'Net zero Activity data'!BM6*Constants!$H82*EF!$H207*MMVolatEF*NtoN2O*kgtoGg,"ERROR"))</f>
        <v>1.8887592428545139E-2</v>
      </c>
      <c r="AU1186" s="101">
        <f>IF('Net zero activities &amp; levers'!$C$14="Off",Constants!$H64*'Activity data'!BN6*Constants!$H82*EF!$H207*MMVolatEF*NtoN2O*kgtoGg,IF('Net zero activities &amp; levers'!$C$14="On",Constants!$H64*'Net zero Activity data'!BN6*Constants!$H82*EF!$H207*MMVolatEF*NtoN2O*kgtoGg,"ERROR"))</f>
        <v>1.8891925539701964E-2</v>
      </c>
      <c r="AV1186" s="101">
        <f>IF('Net zero activities &amp; levers'!$C$14="Off",Constants!$H64*'Activity data'!BO6*Constants!$H82*EF!$H207*MMVolatEF*NtoN2O*kgtoGg,IF('Net zero activities &amp; levers'!$C$14="On",Constants!$H64*'Net zero Activity data'!BO6*Constants!$H82*EF!$H207*MMVolatEF*NtoN2O*kgtoGg,"ERROR"))</f>
        <v>1.8897325885184005E-2</v>
      </c>
      <c r="AW1186" s="101">
        <f>IF('Net zero activities &amp; levers'!$C$14="Off",Constants!$H64*'Activity data'!BP6*Constants!$H82*EF!$H207*MMVolatEF*NtoN2O*kgtoGg,IF('Net zero activities &amp; levers'!$C$14="On",Constants!$H64*'Net zero Activity data'!BP6*Constants!$H82*EF!$H207*MMVolatEF*NtoN2O*kgtoGg,"ERROR"))</f>
        <v>1.8903760090638235E-2</v>
      </c>
      <c r="AY1186" s="85"/>
    </row>
    <row r="1187" spans="1:51" x14ac:dyDescent="0.25">
      <c r="A1187" s="102" t="str">
        <f t="shared" si="380"/>
        <v>CM MM Volatilisation</v>
      </c>
      <c r="B1187" s="102" t="s">
        <v>1323</v>
      </c>
      <c r="C1187" s="102" t="s">
        <v>1333</v>
      </c>
      <c r="D1187" t="s">
        <v>369</v>
      </c>
      <c r="E1187" t="s">
        <v>64</v>
      </c>
      <c r="F1187" t="s">
        <v>62</v>
      </c>
      <c r="G1187" t="s">
        <v>1157</v>
      </c>
      <c r="H1187" t="s">
        <v>1293</v>
      </c>
      <c r="I1187" t="s">
        <v>139</v>
      </c>
      <c r="J1187" t="s">
        <v>287</v>
      </c>
      <c r="K1187" s="101">
        <f>IF('Net zero activities &amp; levers'!$C$14="Off",Constants!$H65*'Activity data'!AD7*Constants!$H83*EF!$H208*MMVolatEF*NtoN2O*kgtoGg,IF('Net zero activities &amp; levers'!$C$14="On",Constants!$H65*'Net zero Activity data'!AD7*Constants!$H83*EF!$H208*MMVolatEF*NtoN2O*kgtoGg,"ERROR"))</f>
        <v>2.9019834302377478E-4</v>
      </c>
      <c r="L1187" s="101">
        <f>IF('Net zero activities &amp; levers'!$C$14="Off",Constants!$H65*'Activity data'!AE7*Constants!$H83*EF!$H208*MMVolatEF*NtoN2O*kgtoGg,IF('Net zero activities &amp; levers'!$C$14="On",Constants!$H65*'Net zero Activity data'!AE7*Constants!$H83*EF!$H208*MMVolatEF*NtoN2O*kgtoGg,"ERROR"))</f>
        <v>2.9200342566866507E-4</v>
      </c>
      <c r="M1187" s="101">
        <f>IF('Net zero activities &amp; levers'!$C$14="Off",Constants!$H65*'Activity data'!AF7*Constants!$H83*EF!$H208*MMVolatEF*NtoN2O*kgtoGg,IF('Net zero activities &amp; levers'!$C$14="On",Constants!$H65*'Net zero Activity data'!AF7*Constants!$H83*EF!$H208*MMVolatEF*NtoN2O*kgtoGg,"ERROR"))</f>
        <v>2.9324444485292345E-4</v>
      </c>
      <c r="N1187" s="101">
        <f>IF('Net zero activities &amp; levers'!$C$14="Off",Constants!$H65*'Activity data'!AG7*Constants!$H83*EF!$H208*MMVolatEF*NtoN2O*kgtoGg,IF('Net zero activities &amp; levers'!$C$14="On",Constants!$H65*'Net zero Activity data'!AG7*Constants!$H83*EF!$H208*MMVolatEF*NtoN2O*kgtoGg,"ERROR"))</f>
        <v>2.9363364673743434E-4</v>
      </c>
      <c r="O1187" s="101">
        <f>IF('Net zero activities &amp; levers'!$C$14="Off",Constants!$H65*'Activity data'!AH7*Constants!$H83*EF!$H208*MMVolatEF*NtoN2O*kgtoGg,IF('Net zero activities &amp; levers'!$C$14="On",Constants!$H65*'Net zero Activity data'!AH7*Constants!$H83*EF!$H208*MMVolatEF*NtoN2O*kgtoGg,"ERROR"))</f>
        <v>2.9416017881114109E-4</v>
      </c>
      <c r="P1187" s="101">
        <f>IF('Net zero activities &amp; levers'!$C$14="Off",Constants!$H65*'Activity data'!AI7*Constants!$H83*EF!$H208*MMVolatEF*NtoN2O*kgtoGg,IF('Net zero activities &amp; levers'!$C$14="On",Constants!$H65*'Net zero Activity data'!AI7*Constants!$H83*EF!$H208*MMVolatEF*NtoN2O*kgtoGg,"ERROR"))</f>
        <v>2.9531348409334853E-4</v>
      </c>
      <c r="Q1187" s="101">
        <f>IF('Net zero activities &amp; levers'!$C$14="Off",Constants!$H65*'Activity data'!AJ7*Constants!$H83*EF!$H208*MMVolatEF*NtoN2O*kgtoGg,IF('Net zero activities &amp; levers'!$C$14="On",Constants!$H65*'Net zero Activity data'!AJ7*Constants!$H83*EF!$H208*MMVolatEF*NtoN2O*kgtoGg,"ERROR"))</f>
        <v>2.9669618014381078E-4</v>
      </c>
      <c r="R1187" s="101">
        <f>IF('Net zero activities &amp; levers'!$C$14="Off",Constants!$H65*'Activity data'!AK7*Constants!$H83*EF!$H208*MMVolatEF*NtoN2O*kgtoGg,IF('Net zero activities &amp; levers'!$C$14="On",Constants!$H65*'Net zero Activity data'!AK7*Constants!$H83*EF!$H208*MMVolatEF*NtoN2O*kgtoGg,"ERROR"))</f>
        <v>2.971115564605491E-4</v>
      </c>
      <c r="S1187" s="101">
        <f>IF('Net zero activities &amp; levers'!$C$14="Off",Constants!$H65*'Activity data'!AL7*Constants!$H83*EF!$H208*MMVolatEF*NtoN2O*kgtoGg,IF('Net zero activities &amp; levers'!$C$14="On",Constants!$H65*'Net zero Activity data'!AL7*Constants!$H83*EF!$H208*MMVolatEF*NtoN2O*kgtoGg,"ERROR"))</f>
        <v>2.879902984130032E-4</v>
      </c>
      <c r="T1187" s="101">
        <f>IF('Net zero activities &amp; levers'!$C$14="Off",Constants!$H65*'Activity data'!AM7*Constants!$H83*EF!$H208*MMVolatEF*NtoN2O*kgtoGg,IF('Net zero activities &amp; levers'!$C$14="On",Constants!$H65*'Net zero Activity data'!AM7*Constants!$H83*EF!$H208*MMVolatEF*NtoN2O*kgtoGg,"ERROR"))</f>
        <v>2.9036237748624366E-4</v>
      </c>
      <c r="U1187" s="101">
        <f>IF('Net zero activities &amp; levers'!$C$14="Off",Constants!$H65*'Activity data'!AN7*Constants!$H83*EF!$H208*MMVolatEF*NtoN2O*kgtoGg,IF('Net zero activities &amp; levers'!$C$14="On",Constants!$H65*'Net zero Activity data'!AN7*Constants!$H83*EF!$H208*MMVolatEF*NtoN2O*kgtoGg,"ERROR"))</f>
        <v>2.9253750663143477E-4</v>
      </c>
      <c r="V1187" s="101">
        <f>IF('Net zero activities &amp; levers'!$C$14="Off",Constants!$H65*'Activity data'!AO7*Constants!$H83*EF!$H208*MMVolatEF*NtoN2O*kgtoGg,IF('Net zero activities &amp; levers'!$C$14="On",Constants!$H65*'Net zero Activity data'!AO7*Constants!$H83*EF!$H208*MMVolatEF*NtoN2O*kgtoGg,"ERROR"))</f>
        <v>2.9476773880457414E-4</v>
      </c>
      <c r="W1187" s="101">
        <f>IF('Net zero activities &amp; levers'!$C$14="Off",Constants!$H65*'Activity data'!AP7*Constants!$H83*EF!$H208*MMVolatEF*NtoN2O*kgtoGg,IF('Net zero activities &amp; levers'!$C$14="On",Constants!$H65*'Net zero Activity data'!AP7*Constants!$H83*EF!$H208*MMVolatEF*NtoN2O*kgtoGg,"ERROR"))</f>
        <v>2.9745435684114832E-4</v>
      </c>
      <c r="X1187" s="101">
        <f>IF('Net zero activities &amp; levers'!$C$14="Off",Constants!$H65*'Activity data'!AQ7*Constants!$H83*EF!$H208*MMVolatEF*NtoN2O*kgtoGg,IF('Net zero activities &amp; levers'!$C$14="On",Constants!$H65*'Net zero Activity data'!AQ7*Constants!$H83*EF!$H208*MMVolatEF*NtoN2O*kgtoGg,"ERROR"))</f>
        <v>3.0019138765040044E-4</v>
      </c>
      <c r="Y1187" s="101">
        <f>IF('Net zero activities &amp; levers'!$C$14="Off",Constants!$H65*'Activity data'!AR7*Constants!$H83*EF!$H208*MMVolatEF*NtoN2O*kgtoGg,IF('Net zero activities &amp; levers'!$C$14="On",Constants!$H65*'Net zero Activity data'!AR7*Constants!$H83*EF!$H208*MMVolatEF*NtoN2O*kgtoGg,"ERROR"))</f>
        <v>3.0285648493651841E-4</v>
      </c>
      <c r="Z1187" s="101">
        <f>IF('Net zero activities &amp; levers'!$C$14="Off",Constants!$H65*'Activity data'!AS7*Constants!$H83*EF!$H208*MMVolatEF*NtoN2O*kgtoGg,IF('Net zero activities &amp; levers'!$C$14="On",Constants!$H65*'Net zero Activity data'!AS7*Constants!$H83*EF!$H208*MMVolatEF*NtoN2O*kgtoGg,"ERROR"))</f>
        <v>3.0546826490728061E-4</v>
      </c>
      <c r="AA1187" s="101">
        <f>IF('Net zero activities &amp; levers'!$C$14="Off",Constants!$H65*'Activity data'!AT7*Constants!$H83*EF!$H208*MMVolatEF*NtoN2O*kgtoGg,IF('Net zero activities &amp; levers'!$C$14="On",Constants!$H65*'Net zero Activity data'!AT7*Constants!$H83*EF!$H208*MMVolatEF*NtoN2O*kgtoGg,"ERROR"))</f>
        <v>3.0828143838101019E-4</v>
      </c>
      <c r="AB1187" s="101">
        <f>IF('Net zero activities &amp; levers'!$C$14="Off",Constants!$H65*'Activity data'!AU7*Constants!$H83*EF!$H208*MMVolatEF*NtoN2O*kgtoGg,IF('Net zero activities &amp; levers'!$C$14="On",Constants!$H65*'Net zero Activity data'!AU7*Constants!$H83*EF!$H208*MMVolatEF*NtoN2O*kgtoGg,"ERROR"))</f>
        <v>3.1094545836288565E-4</v>
      </c>
      <c r="AC1187" s="101">
        <f>IF('Net zero activities &amp; levers'!$C$14="Off",Constants!$H65*'Activity data'!AV7*Constants!$H83*EF!$H208*MMVolatEF*NtoN2O*kgtoGg,IF('Net zero activities &amp; levers'!$C$14="On",Constants!$H65*'Net zero Activity data'!AV7*Constants!$H83*EF!$H208*MMVolatEF*NtoN2O*kgtoGg,"ERROR"))</f>
        <v>3.1370503488485662E-4</v>
      </c>
      <c r="AD1187" s="101">
        <f>IF('Net zero activities &amp; levers'!$C$14="Off",Constants!$H65*'Activity data'!AW7*Constants!$H83*EF!$H208*MMVolatEF*NtoN2O*kgtoGg,IF('Net zero activities &amp; levers'!$C$14="On",Constants!$H65*'Net zero Activity data'!AW7*Constants!$H83*EF!$H208*MMVolatEF*NtoN2O*kgtoGg,"ERROR"))</f>
        <v>3.1687553649559658E-4</v>
      </c>
      <c r="AE1187" s="101">
        <f>IF('Net zero activities &amp; levers'!$C$14="Off",Constants!$H65*'Activity data'!AX7*Constants!$H83*EF!$H208*MMVolatEF*NtoN2O*kgtoGg,IF('Net zero activities &amp; levers'!$C$14="On",Constants!$H65*'Net zero Activity data'!AX7*Constants!$H83*EF!$H208*MMVolatEF*NtoN2O*kgtoGg,"ERROR"))</f>
        <v>3.2032854603066614E-4</v>
      </c>
      <c r="AF1187" s="101">
        <f>IF('Net zero activities &amp; levers'!$C$14="Off",Constants!$H65*'Activity data'!AY7*Constants!$H83*EF!$H208*MMVolatEF*NtoN2O*kgtoGg,IF('Net zero activities &amp; levers'!$C$14="On",Constants!$H65*'Net zero Activity data'!AY7*Constants!$H83*EF!$H208*MMVolatEF*NtoN2O*kgtoGg,"ERROR"))</f>
        <v>3.2391861352910146E-4</v>
      </c>
      <c r="AG1187" s="101">
        <f>IF('Net zero activities &amp; levers'!$C$14="Off",Constants!$H65*'Activity data'!AZ7*Constants!$H83*EF!$H208*MMVolatEF*NtoN2O*kgtoGg,IF('Net zero activities &amp; levers'!$C$14="On",Constants!$H65*'Net zero Activity data'!AZ7*Constants!$H83*EF!$H208*MMVolatEF*NtoN2O*kgtoGg,"ERROR"))</f>
        <v>3.2442009109466666E-4</v>
      </c>
      <c r="AH1187" s="101">
        <f>IF('Net zero activities &amp; levers'!$C$14="Off",Constants!$H65*'Activity data'!BA7*Constants!$H83*EF!$H208*MMVolatEF*NtoN2O*kgtoGg,IF('Net zero activities &amp; levers'!$C$14="On",Constants!$H65*'Net zero Activity data'!BA7*Constants!$H83*EF!$H208*MMVolatEF*NtoN2O*kgtoGg,"ERROR"))</f>
        <v>1.7369135157495116E-4</v>
      </c>
      <c r="AI1187" s="101">
        <f>IF('Net zero activities &amp; levers'!$C$14="Off",Constants!$H65*'Activity data'!BB7*Constants!$H83*EF!$H208*MMVolatEF*NtoN2O*kgtoGg,IF('Net zero activities &amp; levers'!$C$14="On",Constants!$H65*'Net zero Activity data'!BB7*Constants!$H83*EF!$H208*MMVolatEF*NtoN2O*kgtoGg,"ERROR"))</f>
        <v>1.7381910050376308E-4</v>
      </c>
      <c r="AJ1187" s="101">
        <f>IF('Net zero activities &amp; levers'!$C$14="Off",Constants!$H65*'Activity data'!BC7*Constants!$H83*EF!$H208*MMVolatEF*NtoN2O*kgtoGg,IF('Net zero activities &amp; levers'!$C$14="On",Constants!$H65*'Net zero Activity data'!BC7*Constants!$H83*EF!$H208*MMVolatEF*NtoN2O*kgtoGg,"ERROR"))</f>
        <v>1.7396363079699625E-4</v>
      </c>
      <c r="AK1187" s="101">
        <f>IF('Net zero activities &amp; levers'!$C$14="Off",Constants!$H65*'Activity data'!BD7*Constants!$H83*EF!$H208*MMVolatEF*NtoN2O*kgtoGg,IF('Net zero activities &amp; levers'!$C$14="On",Constants!$H65*'Net zero Activity data'!BD7*Constants!$H83*EF!$H208*MMVolatEF*NtoN2O*kgtoGg,"ERROR"))</f>
        <v>1.7412430460105353E-4</v>
      </c>
      <c r="AL1187" s="101">
        <f>IF('Net zero activities &amp; levers'!$C$14="Off",Constants!$H65*'Activity data'!BE7*Constants!$H83*EF!$H208*MMVolatEF*NtoN2O*kgtoGg,IF('Net zero activities &amp; levers'!$C$14="On",Constants!$H65*'Net zero Activity data'!BE7*Constants!$H83*EF!$H208*MMVolatEF*NtoN2O*kgtoGg,"ERROR"))</f>
        <v>1.7430053318730711E-4</v>
      </c>
      <c r="AM1187" s="101">
        <f>IF('Net zero activities &amp; levers'!$C$14="Off",Constants!$H65*'Activity data'!BF7*Constants!$H83*EF!$H208*MMVolatEF*NtoN2O*kgtoGg,IF('Net zero activities &amp; levers'!$C$14="On",Constants!$H65*'Net zero Activity data'!BF7*Constants!$H83*EF!$H208*MMVolatEF*NtoN2O*kgtoGg,"ERROR"))</f>
        <v>1.7449177229588125E-4</v>
      </c>
      <c r="AN1187" s="101">
        <f>IF('Net zero activities &amp; levers'!$C$14="Off",Constants!$H65*'Activity data'!BG7*Constants!$H83*EF!$H208*MMVolatEF*NtoN2O*kgtoGg,IF('Net zero activities &amp; levers'!$C$14="On",Constants!$H65*'Net zero Activity data'!BG7*Constants!$H83*EF!$H208*MMVolatEF*NtoN2O*kgtoGg,"ERROR"))</f>
        <v>1.7457410644599133E-4</v>
      </c>
      <c r="AO1187" s="101">
        <f>IF('Net zero activities &amp; levers'!$C$14="Off",Constants!$H65*'Activity data'!BH7*Constants!$H83*EF!$H208*MMVolatEF*NtoN2O*kgtoGg,IF('Net zero activities &amp; levers'!$C$14="On",Constants!$H65*'Net zero Activity data'!BH7*Constants!$H83*EF!$H208*MMVolatEF*NtoN2O*kgtoGg,"ERROR"))</f>
        <v>1.7466965943044039E-4</v>
      </c>
      <c r="AP1187" s="101">
        <f>IF('Net zero activities &amp; levers'!$C$14="Off",Constants!$H65*'Activity data'!BI7*Constants!$H83*EF!$H208*MMVolatEF*NtoN2O*kgtoGg,IF('Net zero activities &amp; levers'!$C$14="On",Constants!$H65*'Net zero Activity data'!BI7*Constants!$H83*EF!$H208*MMVolatEF*NtoN2O*kgtoGg,"ERROR"))</f>
        <v>1.7477796955598287E-4</v>
      </c>
      <c r="AQ1187" s="101">
        <f>IF('Net zero activities &amp; levers'!$C$14="Off",Constants!$H65*'Activity data'!BJ7*Constants!$H83*EF!$H208*MMVolatEF*NtoN2O*kgtoGg,IF('Net zero activities &amp; levers'!$C$14="On",Constants!$H65*'Net zero Activity data'!BJ7*Constants!$H83*EF!$H208*MMVolatEF*NtoN2O*kgtoGg,"ERROR"))</f>
        <v>1.7489860663383425E-4</v>
      </c>
      <c r="AR1187" s="101">
        <f>IF('Net zero activities &amp; levers'!$C$14="Off",Constants!$H65*'Activity data'!BK7*Constants!$H83*EF!$H208*MMVolatEF*NtoN2O*kgtoGg,IF('Net zero activities &amp; levers'!$C$14="On",Constants!$H65*'Net zero Activity data'!BK7*Constants!$H83*EF!$H208*MMVolatEF*NtoN2O*kgtoGg,"ERROR"))</f>
        <v>1.7503116930626492E-4</v>
      </c>
      <c r="AS1187" s="101">
        <f>IF('Net zero activities &amp; levers'!$C$14="Off",Constants!$H65*'Activity data'!BL7*Constants!$H83*EF!$H208*MMVolatEF*NtoN2O*kgtoGg,IF('Net zero activities &amp; levers'!$C$14="On",Constants!$H65*'Net zero Activity data'!BL7*Constants!$H83*EF!$H208*MMVolatEF*NtoN2O*kgtoGg,"ERROR"))</f>
        <v>1.7505054127873651E-4</v>
      </c>
      <c r="AT1187" s="101">
        <f>IF('Net zero activities &amp; levers'!$C$14="Off",Constants!$H65*'Activity data'!BM7*Constants!$H83*EF!$H208*MMVolatEF*NtoN2O*kgtoGg,IF('Net zero activities &amp; levers'!$C$14="On",Constants!$H65*'Net zero Activity data'!BM7*Constants!$H83*EF!$H208*MMVolatEF*NtoN2O*kgtoGg,"ERROR"))</f>
        <v>1.7508048558626403E-4</v>
      </c>
      <c r="AU1187" s="101">
        <f>IF('Net zero activities &amp; levers'!$C$14="Off",Constants!$H65*'Activity data'!BN7*Constants!$H83*EF!$H208*MMVolatEF*NtoN2O*kgtoGg,IF('Net zero activities &amp; levers'!$C$14="On",Constants!$H65*'Net zero Activity data'!BN7*Constants!$H83*EF!$H208*MMVolatEF*NtoN2O*kgtoGg,"ERROR"))</f>
        <v>1.7512065180693548E-4</v>
      </c>
      <c r="AV1187" s="101">
        <f>IF('Net zero activities &amp; levers'!$C$14="Off",Constants!$H65*'Activity data'!BO7*Constants!$H83*EF!$H208*MMVolatEF*NtoN2O*kgtoGg,IF('Net zero activities &amp; levers'!$C$14="On",Constants!$H65*'Net zero Activity data'!BO7*Constants!$H83*EF!$H208*MMVolatEF*NtoN2O*kgtoGg,"ERROR"))</f>
        <v>1.7517071086623097E-4</v>
      </c>
      <c r="AW1187" s="101">
        <f>IF('Net zero activities &amp; levers'!$C$14="Off",Constants!$H65*'Activity data'!BP7*Constants!$H83*EF!$H208*MMVolatEF*NtoN2O*kgtoGg,IF('Net zero activities &amp; levers'!$C$14="On",Constants!$H65*'Net zero Activity data'!BP7*Constants!$H83*EF!$H208*MMVolatEF*NtoN2O*kgtoGg,"ERROR"))</f>
        <v>1.752303533971437E-4</v>
      </c>
      <c r="AY1187" s="85"/>
    </row>
    <row r="1188" spans="1:51" x14ac:dyDescent="0.25">
      <c r="A1188" s="102" t="str">
        <f t="shared" si="380"/>
        <v>CM MM Volatilisation</v>
      </c>
      <c r="B1188" s="102" t="s">
        <v>1323</v>
      </c>
      <c r="C1188" s="102" t="s">
        <v>1333</v>
      </c>
      <c r="D1188" t="s">
        <v>369</v>
      </c>
      <c r="E1188" t="s">
        <v>64</v>
      </c>
      <c r="F1188" t="s">
        <v>62</v>
      </c>
      <c r="G1188" t="s">
        <v>1159</v>
      </c>
      <c r="H1188" t="s">
        <v>1294</v>
      </c>
      <c r="I1188" t="s">
        <v>139</v>
      </c>
      <c r="J1188" t="s">
        <v>287</v>
      </c>
      <c r="K1188" s="101">
        <f>IF('Net zero activities &amp; levers'!$C$14="Off",Constants!$H66*'Activity data'!AD8*Constants!$H84*EF!$H209*MMVolatEF*NtoN2O*kgtoGg,IF('Net zero activities &amp; levers'!$C$14="On",Constants!$H66*'Net zero Activity data'!AD8*Constants!$H84*EF!$H209*MMVolatEF*NtoN2O*kgtoGg,"ERROR"))</f>
        <v>3.2608020345335862E-3</v>
      </c>
      <c r="L1188" s="101">
        <f>IF('Net zero activities &amp; levers'!$C$14="Off",Constants!$H66*'Activity data'!AE8*Constants!$H84*EF!$H209*MMVolatEF*NtoN2O*kgtoGg,IF('Net zero activities &amp; levers'!$C$14="On",Constants!$H66*'Net zero Activity data'!AE8*Constants!$H84*EF!$H209*MMVolatEF*NtoN2O*kgtoGg,"ERROR"))</f>
        <v>3.2391880107785257E-3</v>
      </c>
      <c r="M1188" s="101">
        <f>IF('Net zero activities &amp; levers'!$C$14="Off",Constants!$H66*'Activity data'!AF8*Constants!$H84*EF!$H209*MMVolatEF*NtoN2O*kgtoGg,IF('Net zero activities &amp; levers'!$C$14="On",Constants!$H66*'Net zero Activity data'!AF8*Constants!$H84*EF!$H209*MMVolatEF*NtoN2O*kgtoGg,"ERROR"))</f>
        <v>3.1936162901030117E-3</v>
      </c>
      <c r="N1188" s="101">
        <f>IF('Net zero activities &amp; levers'!$C$14="Off",Constants!$H66*'Activity data'!AG8*Constants!$H84*EF!$H209*MMVolatEF*NtoN2O*kgtoGg,IF('Net zero activities &amp; levers'!$C$14="On",Constants!$H66*'Net zero Activity data'!AG8*Constants!$H84*EF!$H209*MMVolatEF*NtoN2O*kgtoGg,"ERROR"))</f>
        <v>3.1167988395678259E-3</v>
      </c>
      <c r="O1188" s="101">
        <f>IF('Net zero activities &amp; levers'!$C$14="Off",Constants!$H66*'Activity data'!AH8*Constants!$H84*EF!$H209*MMVolatEF*NtoN2O*kgtoGg,IF('Net zero activities &amp; levers'!$C$14="On",Constants!$H66*'Net zero Activity data'!AH8*Constants!$H84*EF!$H209*MMVolatEF*NtoN2O*kgtoGg,"ERROR"))</f>
        <v>3.0422686858160779E-3</v>
      </c>
      <c r="P1188" s="101">
        <f>IF('Net zero activities &amp; levers'!$C$14="Off",Constants!$H66*'Activity data'!AI8*Constants!$H84*EF!$H209*MMVolatEF*NtoN2O*kgtoGg,IF('Net zero activities &amp; levers'!$C$14="On",Constants!$H66*'Net zero Activity data'!AI8*Constants!$H84*EF!$H209*MMVolatEF*NtoN2O*kgtoGg,"ERROR"))</f>
        <v>2.9849445368563851E-3</v>
      </c>
      <c r="Q1188" s="101">
        <f>IF('Net zero activities &amp; levers'!$C$14="Off",Constants!$H66*'Activity data'!AJ8*Constants!$H84*EF!$H209*MMVolatEF*NtoN2O*kgtoGg,IF('Net zero activities &amp; levers'!$C$14="On",Constants!$H66*'Net zero Activity data'!AJ8*Constants!$H84*EF!$H209*MMVolatEF*NtoN2O*kgtoGg,"ERROR"))</f>
        <v>2.9330944027971869E-3</v>
      </c>
      <c r="R1188" s="101">
        <f>IF('Net zero activities &amp; levers'!$C$14="Off",Constants!$H66*'Activity data'!AK8*Constants!$H84*EF!$H209*MMVolatEF*NtoN2O*kgtoGg,IF('Net zero activities &amp; levers'!$C$14="On",Constants!$H66*'Net zero Activity data'!AK8*Constants!$H84*EF!$H209*MMVolatEF*NtoN2O*kgtoGg,"ERROR"))</f>
        <v>2.8515726706301167E-3</v>
      </c>
      <c r="S1188" s="101">
        <f>IF('Net zero activities &amp; levers'!$C$14="Off",Constants!$H66*'Activity data'!AL8*Constants!$H84*EF!$H209*MMVolatEF*NtoN2O*kgtoGg,IF('Net zero activities &amp; levers'!$C$14="On",Constants!$H66*'Net zero Activity data'!AL8*Constants!$H84*EF!$H209*MMVolatEF*NtoN2O*kgtoGg,"ERROR"))</f>
        <v>2.5010020765287512E-3</v>
      </c>
      <c r="T1188" s="101">
        <f>IF('Net zero activities &amp; levers'!$C$14="Off",Constants!$H66*'Activity data'!AM8*Constants!$H84*EF!$H209*MMVolatEF*NtoN2O*kgtoGg,IF('Net zero activities &amp; levers'!$C$14="On",Constants!$H66*'Net zero Activity data'!AM8*Constants!$H84*EF!$H209*MMVolatEF*NtoN2O*kgtoGg,"ERROR"))</f>
        <v>2.5248406363190491E-3</v>
      </c>
      <c r="U1188" s="101">
        <f>IF('Net zero activities &amp; levers'!$C$14="Off",Constants!$H66*'Activity data'!AN8*Constants!$H84*EF!$H209*MMVolatEF*NtoN2O*kgtoGg,IF('Net zero activities &amp; levers'!$C$14="On",Constants!$H66*'Net zero Activity data'!AN8*Constants!$H84*EF!$H209*MMVolatEF*NtoN2O*kgtoGg,"ERROR"))</f>
        <v>2.5409715409254918E-3</v>
      </c>
      <c r="V1188" s="101">
        <f>IF('Net zero activities &amp; levers'!$C$14="Off",Constants!$H66*'Activity data'!AO8*Constants!$H84*EF!$H209*MMVolatEF*NtoN2O*kgtoGg,IF('Net zero activities &amp; levers'!$C$14="On",Constants!$H66*'Net zero Activity data'!AO8*Constants!$H84*EF!$H209*MMVolatEF*NtoN2O*kgtoGg,"ERROR"))</f>
        <v>2.5565777764954734E-3</v>
      </c>
      <c r="W1188" s="101">
        <f>IF('Net zero activities &amp; levers'!$C$14="Off",Constants!$H66*'Activity data'!AP8*Constants!$H84*EF!$H209*MMVolatEF*NtoN2O*kgtoGg,IF('Net zero activities &amp; levers'!$C$14="On",Constants!$H66*'Net zero Activity data'!AP8*Constants!$H84*EF!$H209*MMVolatEF*NtoN2O*kgtoGg,"ERROR"))</f>
        <v>2.5823867364318034E-3</v>
      </c>
      <c r="X1188" s="101">
        <f>IF('Net zero activities &amp; levers'!$C$14="Off",Constants!$H66*'Activity data'!AQ8*Constants!$H84*EF!$H209*MMVolatEF*NtoN2O*kgtoGg,IF('Net zero activities &amp; levers'!$C$14="On",Constants!$H66*'Net zero Activity data'!AQ8*Constants!$H84*EF!$H209*MMVolatEF*NtoN2O*kgtoGg,"ERROR"))</f>
        <v>2.6073450964004788E-3</v>
      </c>
      <c r="Y1188" s="101">
        <f>IF('Net zero activities &amp; levers'!$C$14="Off",Constants!$H66*'Activity data'!AR8*Constants!$H84*EF!$H209*MMVolatEF*NtoN2O*kgtoGg,IF('Net zero activities &amp; levers'!$C$14="On",Constants!$H66*'Net zero Activity data'!AR8*Constants!$H84*EF!$H209*MMVolatEF*NtoN2O*kgtoGg,"ERROR"))</f>
        <v>2.6335476280108239E-3</v>
      </c>
      <c r="Z1188" s="101">
        <f>IF('Net zero activities &amp; levers'!$C$14="Off",Constants!$H66*'Activity data'!AS8*Constants!$H84*EF!$H209*MMVolatEF*NtoN2O*kgtoGg,IF('Net zero activities &amp; levers'!$C$14="On",Constants!$H66*'Net zero Activity data'!AS8*Constants!$H84*EF!$H209*MMVolatEF*NtoN2O*kgtoGg,"ERROR"))</f>
        <v>2.6563592492195348E-3</v>
      </c>
      <c r="AA1188" s="101">
        <f>IF('Net zero activities &amp; levers'!$C$14="Off",Constants!$H66*'Activity data'!AT8*Constants!$H84*EF!$H209*MMVolatEF*NtoN2O*kgtoGg,IF('Net zero activities &amp; levers'!$C$14="On",Constants!$H66*'Net zero Activity data'!AT8*Constants!$H84*EF!$H209*MMVolatEF*NtoN2O*kgtoGg,"ERROR"))</f>
        <v>2.6823219674710947E-3</v>
      </c>
      <c r="AB1188" s="101">
        <f>IF('Net zero activities &amp; levers'!$C$14="Off",Constants!$H66*'Activity data'!AU8*Constants!$H84*EF!$H209*MMVolatEF*NtoN2O*kgtoGg,IF('Net zero activities &amp; levers'!$C$14="On",Constants!$H66*'Net zero Activity data'!AU8*Constants!$H84*EF!$H209*MMVolatEF*NtoN2O*kgtoGg,"ERROR"))</f>
        <v>2.7026386741679817E-3</v>
      </c>
      <c r="AC1188" s="101">
        <f>IF('Net zero activities &amp; levers'!$C$14="Off",Constants!$H66*'Activity data'!AV8*Constants!$H84*EF!$H209*MMVolatEF*NtoN2O*kgtoGg,IF('Net zero activities &amp; levers'!$C$14="On",Constants!$H66*'Net zero Activity data'!AV8*Constants!$H84*EF!$H209*MMVolatEF*NtoN2O*kgtoGg,"ERROR"))</f>
        <v>2.7235128371703343E-3</v>
      </c>
      <c r="AD1188" s="101">
        <f>IF('Net zero activities &amp; levers'!$C$14="Off",Constants!$H66*'Activity data'!AW8*Constants!$H84*EF!$H209*MMVolatEF*NtoN2O*kgtoGg,IF('Net zero activities &amp; levers'!$C$14="On",Constants!$H66*'Net zero Activity data'!AW8*Constants!$H84*EF!$H209*MMVolatEF*NtoN2O*kgtoGg,"ERROR"))</f>
        <v>2.7332352588004378E-3</v>
      </c>
      <c r="AE1188" s="101">
        <f>IF('Net zero activities &amp; levers'!$C$14="Off",Constants!$H66*'Activity data'!AX8*Constants!$H84*EF!$H209*MMVolatEF*NtoN2O*kgtoGg,IF('Net zero activities &amp; levers'!$C$14="On",Constants!$H66*'Net zero Activity data'!AX8*Constants!$H84*EF!$H209*MMVolatEF*NtoN2O*kgtoGg,"ERROR"))</f>
        <v>2.7465666714111786E-3</v>
      </c>
      <c r="AF1188" s="101">
        <f>IF('Net zero activities &amp; levers'!$C$14="Off",Constants!$H66*'Activity data'!AY8*Constants!$H84*EF!$H209*MMVolatEF*NtoN2O*kgtoGg,IF('Net zero activities &amp; levers'!$C$14="On",Constants!$H66*'Net zero Activity data'!AY8*Constants!$H84*EF!$H209*MMVolatEF*NtoN2O*kgtoGg,"ERROR"))</f>
        <v>2.7598466332323141E-3</v>
      </c>
      <c r="AG1188" s="101">
        <f>IF('Net zero activities &amp; levers'!$C$14="Off",Constants!$H66*'Activity data'!AZ8*Constants!$H84*EF!$H209*MMVolatEF*NtoN2O*kgtoGg,IF('Net zero activities &amp; levers'!$C$14="On",Constants!$H66*'Net zero Activity data'!AZ8*Constants!$H84*EF!$H209*MMVolatEF*NtoN2O*kgtoGg,"ERROR"))</f>
        <v>2.7013158272562879E-3</v>
      </c>
      <c r="AH1188" s="101">
        <f>IF('Net zero activities &amp; levers'!$C$14="Off",Constants!$H66*'Activity data'!BA8*Constants!$H84*EF!$H209*MMVolatEF*NtoN2O*kgtoGg,IF('Net zero activities &amp; levers'!$C$14="On",Constants!$H66*'Net zero Activity data'!BA8*Constants!$H84*EF!$H209*MMVolatEF*NtoN2O*kgtoGg,"ERROR"))</f>
        <v>-6.3720303992201288E-4</v>
      </c>
      <c r="AI1188" s="101">
        <f>IF('Net zero activities &amp; levers'!$C$14="Off",Constants!$H66*'Activity data'!BB8*Constants!$H84*EF!$H209*MMVolatEF*NtoN2O*kgtoGg,IF('Net zero activities &amp; levers'!$C$14="On",Constants!$H66*'Net zero Activity data'!BB8*Constants!$H84*EF!$H209*MMVolatEF*NtoN2O*kgtoGg,"ERROR"))</f>
        <v>-6.2242214557858356E-4</v>
      </c>
      <c r="AJ1188" s="101">
        <f>IF('Net zero activities &amp; levers'!$C$14="Off",Constants!$H66*'Activity data'!BC8*Constants!$H84*EF!$H209*MMVolatEF*NtoN2O*kgtoGg,IF('Net zero activities &amp; levers'!$C$14="On",Constants!$H66*'Net zero Activity data'!BC8*Constants!$H84*EF!$H209*MMVolatEF*NtoN2O*kgtoGg,"ERROR"))</f>
        <v>-6.0787631384089666E-4</v>
      </c>
      <c r="AK1188" s="101">
        <f>IF('Net zero activities &amp; levers'!$C$14="Off",Constants!$H66*'Activity data'!BD8*Constants!$H84*EF!$H209*MMVolatEF*NtoN2O*kgtoGg,IF('Net zero activities &amp; levers'!$C$14="On",Constants!$H66*'Net zero Activity data'!BD8*Constants!$H84*EF!$H209*MMVolatEF*NtoN2O*kgtoGg,"ERROR"))</f>
        <v>-5.9355323338830307E-4</v>
      </c>
      <c r="AL1188" s="101">
        <f>IF('Net zero activities &amp; levers'!$C$14="Off",Constants!$H66*'Activity data'!BE8*Constants!$H84*EF!$H209*MMVolatEF*NtoN2O*kgtoGg,IF('Net zero activities &amp; levers'!$C$14="On",Constants!$H66*'Net zero Activity data'!BE8*Constants!$H84*EF!$H209*MMVolatEF*NtoN2O*kgtoGg,"ERROR"))</f>
        <v>-5.7944144405540506E-4</v>
      </c>
      <c r="AM1188" s="101">
        <f>IF('Net zero activities &amp; levers'!$C$14="Off",Constants!$H66*'Activity data'!BF8*Constants!$H84*EF!$H209*MMVolatEF*NtoN2O*kgtoGg,IF('Net zero activities &amp; levers'!$C$14="On",Constants!$H66*'Net zero Activity data'!BF8*Constants!$H84*EF!$H209*MMVolatEF*NtoN2O*kgtoGg,"ERROR"))</f>
        <v>-5.6553025796044789E-4</v>
      </c>
      <c r="AN1188" s="101">
        <f>IF('Net zero activities &amp; levers'!$C$14="Off",Constants!$H66*'Activity data'!BG8*Constants!$H84*EF!$H209*MMVolatEF*NtoN2O*kgtoGg,IF('Net zero activities &amp; levers'!$C$14="On",Constants!$H66*'Net zero Activity data'!BG8*Constants!$H84*EF!$H209*MMVolatEF*NtoN2O*kgtoGg,"ERROR"))</f>
        <v>-5.5425143288870022E-4</v>
      </c>
      <c r="AO1188" s="101">
        <f>IF('Net zero activities &amp; levers'!$C$14="Off",Constants!$H66*'Activity data'!BH8*Constants!$H84*EF!$H209*MMVolatEF*NtoN2O*kgtoGg,IF('Net zero activities &amp; levers'!$C$14="On",Constants!$H66*'Net zero Activity data'!BH8*Constants!$H84*EF!$H209*MMVolatEF*NtoN2O*kgtoGg,"ERROR"))</f>
        <v>-5.4314296084699478E-4</v>
      </c>
      <c r="AP1188" s="101">
        <f>IF('Net zero activities &amp; levers'!$C$14="Off",Constants!$H66*'Activity data'!BI8*Constants!$H84*EF!$H209*MMVolatEF*NtoN2O*kgtoGg,IF('Net zero activities &amp; levers'!$C$14="On",Constants!$H66*'Net zero Activity data'!BI8*Constants!$H84*EF!$H209*MMVolatEF*NtoN2O*kgtoGg,"ERROR"))</f>
        <v>-5.3219712228052369E-4</v>
      </c>
      <c r="AQ1188" s="101">
        <f>IF('Net zero activities &amp; levers'!$C$14="Off",Constants!$H66*'Activity data'!BJ8*Constants!$H84*EF!$H209*MMVolatEF*NtoN2O*kgtoGg,IF('Net zero activities &amp; levers'!$C$14="On",Constants!$H66*'Net zero Activity data'!BJ8*Constants!$H84*EF!$H209*MMVolatEF*NtoN2O*kgtoGg,"ERROR"))</f>
        <v>-5.2140667775092773E-4</v>
      </c>
      <c r="AR1188" s="101">
        <f>IF('Net zero activities &amp; levers'!$C$14="Off",Constants!$H66*'Activity data'!BK8*Constants!$H84*EF!$H209*MMVolatEF*NtoN2O*kgtoGg,IF('Net zero activities &amp; levers'!$C$14="On",Constants!$H66*'Net zero Activity data'!BK8*Constants!$H84*EF!$H209*MMVolatEF*NtoN2O*kgtoGg,"ERROR"))</f>
        <v>-5.107648281267109E-4</v>
      </c>
      <c r="AS1188" s="101">
        <f>IF('Net zero activities &amp; levers'!$C$14="Off",Constants!$H66*'Activity data'!BL8*Constants!$H84*EF!$H209*MMVolatEF*NtoN2O*kgtoGg,IF('Net zero activities &amp; levers'!$C$14="On",Constants!$H66*'Net zero Activity data'!BL8*Constants!$H84*EF!$H209*MMVolatEF*NtoN2O*kgtoGg,"ERROR"))</f>
        <v>-4.999251820077483E-4</v>
      </c>
      <c r="AT1188" s="101">
        <f>IF('Net zero activities &amp; levers'!$C$14="Off",Constants!$H66*'Activity data'!BM8*Constants!$H84*EF!$H209*MMVolatEF*NtoN2O*kgtoGg,IF('Net zero activities &amp; levers'!$C$14="On",Constants!$H66*'Net zero Activity data'!BM8*Constants!$H84*EF!$H209*MMVolatEF*NtoN2O*kgtoGg,"ERROR"))</f>
        <v>-4.8923459484670278E-4</v>
      </c>
      <c r="AU1188" s="101">
        <f>IF('Net zero activities &amp; levers'!$C$14="Off",Constants!$H66*'Activity data'!BN8*Constants!$H84*EF!$H209*MMVolatEF*NtoN2O*kgtoGg,IF('Net zero activities &amp; levers'!$C$14="On",Constants!$H66*'Net zero Activity data'!BN8*Constants!$H84*EF!$H209*MMVolatEF*NtoN2O*kgtoGg,"ERROR"))</f>
        <v>-4.7868720289580258E-4</v>
      </c>
      <c r="AV1188" s="101">
        <f>IF('Net zero activities &amp; levers'!$C$14="Off",Constants!$H66*'Activity data'!BO8*Constants!$H84*EF!$H209*MMVolatEF*NtoN2O*kgtoGg,IF('Net zero activities &amp; levers'!$C$14="On",Constants!$H66*'Net zero Activity data'!BO8*Constants!$H84*EF!$H209*MMVolatEF*NtoN2O*kgtoGg,"ERROR"))</f>
        <v>-4.6827747185126305E-4</v>
      </c>
      <c r="AW1188" s="101">
        <f>IF('Net zero activities &amp; levers'!$C$14="Off",Constants!$H66*'Activity data'!BP8*Constants!$H84*EF!$H209*MMVolatEF*NtoN2O*kgtoGg,IF('Net zero activities &amp; levers'!$C$14="On",Constants!$H66*'Net zero Activity data'!BP8*Constants!$H84*EF!$H209*MMVolatEF*NtoN2O*kgtoGg,"ERROR"))</f>
        <v>-4.5800017223486766E-4</v>
      </c>
      <c r="AY1188" s="85"/>
    </row>
    <row r="1189" spans="1:51" x14ac:dyDescent="0.25">
      <c r="A1189" s="102" t="str">
        <f t="shared" si="380"/>
        <v>CM MM Volatilisation</v>
      </c>
      <c r="B1189" s="102" t="s">
        <v>1323</v>
      </c>
      <c r="C1189" s="102" t="s">
        <v>1333</v>
      </c>
      <c r="D1189" t="s">
        <v>369</v>
      </c>
      <c r="E1189" t="s">
        <v>64</v>
      </c>
      <c r="F1189" t="s">
        <v>62</v>
      </c>
      <c r="G1189" t="s">
        <v>1161</v>
      </c>
      <c r="H1189" t="s">
        <v>1295</v>
      </c>
      <c r="I1189" t="s">
        <v>139</v>
      </c>
      <c r="J1189" t="s">
        <v>287</v>
      </c>
      <c r="K1189" s="101">
        <f>IF('Net zero activities &amp; levers'!$C$14="Off",Constants!$H67*'Activity data'!AD9*Constants!$H85*EF!$H210*MMVolatEF*NtoN2O*kgtoGg,IF('Net zero activities &amp; levers'!$C$14="On",Constants!$H67*'Net zero Activity data'!AD9*Constants!$H85*EF!$H210*MMVolatEF*NtoN2O*kgtoGg,"ERROR"))</f>
        <v>1.6232293381826982E-2</v>
      </c>
      <c r="L1189" s="101">
        <f>IF('Net zero activities &amp; levers'!$C$14="Off",Constants!$H67*'Activity data'!AE9*Constants!$H85*EF!$H210*MMVolatEF*NtoN2O*kgtoGg,IF('Net zero activities &amp; levers'!$C$14="On",Constants!$H67*'Net zero Activity data'!AE9*Constants!$H85*EF!$H210*MMVolatEF*NtoN2O*kgtoGg,"ERROR"))</f>
        <v>1.612469863334539E-2</v>
      </c>
      <c r="M1189" s="101">
        <f>IF('Net zero activities &amp; levers'!$C$14="Off",Constants!$H67*'Activity data'!AF9*Constants!$H85*EF!$H210*MMVolatEF*NtoN2O*kgtoGg,IF('Net zero activities &amp; levers'!$C$14="On",Constants!$H67*'Net zero Activity data'!AF9*Constants!$H85*EF!$H210*MMVolatEF*NtoN2O*kgtoGg,"ERROR"))</f>
        <v>1.5897842316376299E-2</v>
      </c>
      <c r="N1189" s="101">
        <f>IF('Net zero activities &amp; levers'!$C$14="Off",Constants!$H67*'Activity data'!AG9*Constants!$H85*EF!$H210*MMVolatEF*NtoN2O*kgtoGg,IF('Net zero activities &amp; levers'!$C$14="On",Constants!$H67*'Net zero Activity data'!AG9*Constants!$H85*EF!$H210*MMVolatEF*NtoN2O*kgtoGg,"ERROR"))</f>
        <v>1.5515444556338871E-2</v>
      </c>
      <c r="O1189" s="101">
        <f>IF('Net zero activities &amp; levers'!$C$14="Off",Constants!$H67*'Activity data'!AH9*Constants!$H85*EF!$H210*MMVolatEF*NtoN2O*kgtoGg,IF('Net zero activities &amp; levers'!$C$14="On",Constants!$H67*'Net zero Activity data'!AH9*Constants!$H85*EF!$H210*MMVolatEF*NtoN2O*kgtoGg,"ERROR"))</f>
        <v>1.5144432974317425E-2</v>
      </c>
      <c r="P1189" s="101">
        <f>IF('Net zero activities &amp; levers'!$C$14="Off",Constants!$H67*'Activity data'!AI9*Constants!$H85*EF!$H210*MMVolatEF*NtoN2O*kgtoGg,IF('Net zero activities &amp; levers'!$C$14="On",Constants!$H67*'Net zero Activity data'!AI9*Constants!$H85*EF!$H210*MMVolatEF*NtoN2O*kgtoGg,"ERROR"))</f>
        <v>1.4859072994188992E-2</v>
      </c>
      <c r="Q1189" s="101">
        <f>IF('Net zero activities &amp; levers'!$C$14="Off",Constants!$H67*'Activity data'!AJ9*Constants!$H85*EF!$H210*MMVolatEF*NtoN2O*kgtoGg,IF('Net zero activities &amp; levers'!$C$14="On",Constants!$H67*'Net zero Activity data'!AJ9*Constants!$H85*EF!$H210*MMVolatEF*NtoN2O*kgtoGg,"ERROR"))</f>
        <v>1.4600962695243356E-2</v>
      </c>
      <c r="R1189" s="101">
        <f>IF('Net zero activities &amp; levers'!$C$14="Off",Constants!$H67*'Activity data'!AK9*Constants!$H85*EF!$H210*MMVolatEF*NtoN2O*kgtoGg,IF('Net zero activities &amp; levers'!$C$14="On",Constants!$H67*'Net zero Activity data'!AK9*Constants!$H85*EF!$H210*MMVolatEF*NtoN2O*kgtoGg,"ERROR"))</f>
        <v>1.4195146991156963E-2</v>
      </c>
      <c r="S1189" s="101">
        <f>IF('Net zero activities &amp; levers'!$C$14="Off",Constants!$H67*'Activity data'!AL9*Constants!$H85*EF!$H210*MMVolatEF*NtoN2O*kgtoGg,IF('Net zero activities &amp; levers'!$C$14="On",Constants!$H67*'Net zero Activity data'!AL9*Constants!$H85*EF!$H210*MMVolatEF*NtoN2O*kgtoGg,"ERROR"))</f>
        <v>1.2450004331704253E-2</v>
      </c>
      <c r="T1189" s="101">
        <f>IF('Net zero activities &amp; levers'!$C$14="Off",Constants!$H67*'Activity data'!AM9*Constants!$H85*EF!$H210*MMVolatEF*NtoN2O*kgtoGg,IF('Net zero activities &amp; levers'!$C$14="On",Constants!$H67*'Net zero Activity data'!AM9*Constants!$H85*EF!$H210*MMVolatEF*NtoN2O*kgtoGg,"ERROR"))</f>
        <v>1.2568672834795916E-2</v>
      </c>
      <c r="U1189" s="101">
        <f>IF('Net zero activities &amp; levers'!$C$14="Off",Constants!$H67*'Activity data'!AN9*Constants!$H85*EF!$H210*MMVolatEF*NtoN2O*kgtoGg,IF('Net zero activities &amp; levers'!$C$14="On",Constants!$H67*'Net zero Activity data'!AN9*Constants!$H85*EF!$H210*MMVolatEF*NtoN2O*kgtoGg,"ERROR"))</f>
        <v>1.2648972581089315E-2</v>
      </c>
      <c r="V1189" s="101">
        <f>IF('Net zero activities &amp; levers'!$C$14="Off",Constants!$H67*'Activity data'!AO9*Constants!$H85*EF!$H210*MMVolatEF*NtoN2O*kgtoGg,IF('Net zero activities &amp; levers'!$C$14="On",Constants!$H67*'Net zero Activity data'!AO9*Constants!$H85*EF!$H210*MMVolatEF*NtoN2O*kgtoGg,"ERROR"))</f>
        <v>1.2726660521563772E-2</v>
      </c>
      <c r="W1189" s="101">
        <f>IF('Net zero activities &amp; levers'!$C$14="Off",Constants!$H67*'Activity data'!AP9*Constants!$H85*EF!$H210*MMVolatEF*NtoN2O*kgtoGg,IF('Net zero activities &amp; levers'!$C$14="On",Constants!$H67*'Net zero Activity data'!AP9*Constants!$H85*EF!$H210*MMVolatEF*NtoN2O*kgtoGg,"ERROR"))</f>
        <v>1.2855137689183753E-2</v>
      </c>
      <c r="X1189" s="101">
        <f>IF('Net zero activities &amp; levers'!$C$14="Off",Constants!$H67*'Activity data'!AQ9*Constants!$H85*EF!$H210*MMVolatEF*NtoN2O*kgtoGg,IF('Net zero activities &amp; levers'!$C$14="On",Constants!$H67*'Net zero Activity data'!AQ9*Constants!$H85*EF!$H210*MMVolatEF*NtoN2O*kgtoGg,"ERROR"))</f>
        <v>1.297938056472487E-2</v>
      </c>
      <c r="Y1189" s="101">
        <f>IF('Net zero activities &amp; levers'!$C$14="Off",Constants!$H67*'Activity data'!AR9*Constants!$H85*EF!$H210*MMVolatEF*NtoN2O*kgtoGg,IF('Net zero activities &amp; levers'!$C$14="On",Constants!$H67*'Net zero Activity data'!AR9*Constants!$H85*EF!$H210*MMVolatEF*NtoN2O*kgtoGg,"ERROR"))</f>
        <v>1.3109816934655115E-2</v>
      </c>
      <c r="Z1189" s="101">
        <f>IF('Net zero activities &amp; levers'!$C$14="Off",Constants!$H67*'Activity data'!AS9*Constants!$H85*EF!$H210*MMVolatEF*NtoN2O*kgtoGg,IF('Net zero activities &amp; levers'!$C$14="On",Constants!$H67*'Net zero Activity data'!AS9*Constants!$H85*EF!$H210*MMVolatEF*NtoN2O*kgtoGg,"ERROR"))</f>
        <v>1.3223373330920015E-2</v>
      </c>
      <c r="AA1189" s="101">
        <f>IF('Net zero activities &amp; levers'!$C$14="Off",Constants!$H67*'Activity data'!AT9*Constants!$H85*EF!$H210*MMVolatEF*NtoN2O*kgtoGg,IF('Net zero activities &amp; levers'!$C$14="On",Constants!$H67*'Net zero Activity data'!AT9*Constants!$H85*EF!$H210*MMVolatEF*NtoN2O*kgtoGg,"ERROR"))</f>
        <v>1.3352615908416542E-2</v>
      </c>
      <c r="AB1189" s="101">
        <f>IF('Net zero activities &amp; levers'!$C$14="Off",Constants!$H67*'Activity data'!AU9*Constants!$H85*EF!$H210*MMVolatEF*NtoN2O*kgtoGg,IF('Net zero activities &amp; levers'!$C$14="On",Constants!$H67*'Net zero Activity data'!AU9*Constants!$H85*EF!$H210*MMVolatEF*NtoN2O*kgtoGg,"ERROR"))</f>
        <v>1.345375260428577E-2</v>
      </c>
      <c r="AC1189" s="101">
        <f>IF('Net zero activities &amp; levers'!$C$14="Off",Constants!$H67*'Activity data'!AV9*Constants!$H85*EF!$H210*MMVolatEF*NtoN2O*kgtoGg,IF('Net zero activities &amp; levers'!$C$14="On",Constants!$H67*'Net zero Activity data'!AV9*Constants!$H85*EF!$H210*MMVolatEF*NtoN2O*kgtoGg,"ERROR"))</f>
        <v>1.3557664321208735E-2</v>
      </c>
      <c r="AD1189" s="101">
        <f>IF('Net zero activities &amp; levers'!$C$14="Off",Constants!$H67*'Activity data'!AW9*Constants!$H85*EF!$H210*MMVolatEF*NtoN2O*kgtoGg,IF('Net zero activities &amp; levers'!$C$14="On",Constants!$H67*'Net zero Activity data'!AW9*Constants!$H85*EF!$H210*MMVolatEF*NtoN2O*kgtoGg,"ERROR"))</f>
        <v>1.3606062598261524E-2</v>
      </c>
      <c r="AE1189" s="101">
        <f>IF('Net zero activities &amp; levers'!$C$14="Off",Constants!$H67*'Activity data'!AX9*Constants!$H85*EF!$H210*MMVolatEF*NtoN2O*kgtoGg,IF('Net zero activities &amp; levers'!$C$14="On",Constants!$H67*'Net zero Activity data'!AX9*Constants!$H85*EF!$H210*MMVolatEF*NtoN2O*kgtoGg,"ERROR"))</f>
        <v>1.3672426455496624E-2</v>
      </c>
      <c r="AF1189" s="101">
        <f>IF('Net zero activities &amp; levers'!$C$14="Off",Constants!$H67*'Activity data'!AY9*Constants!$H85*EF!$H210*MMVolatEF*NtoN2O*kgtoGg,IF('Net zero activities &amp; levers'!$C$14="On",Constants!$H67*'Net zero Activity data'!AY9*Constants!$H85*EF!$H210*MMVolatEF*NtoN2O*kgtoGg,"ERROR"))</f>
        <v>1.3738534190372041E-2</v>
      </c>
      <c r="AG1189" s="101">
        <f>IF('Net zero activities &amp; levers'!$C$14="Off",Constants!$H67*'Activity data'!AZ9*Constants!$H85*EF!$H210*MMVolatEF*NtoN2O*kgtoGg,IF('Net zero activities &amp; levers'!$C$14="On",Constants!$H67*'Net zero Activity data'!AZ9*Constants!$H85*EF!$H210*MMVolatEF*NtoN2O*kgtoGg,"ERROR"))</f>
        <v>1.3447167463899316E-2</v>
      </c>
      <c r="AH1189" s="101">
        <f>IF('Net zero activities &amp; levers'!$C$14="Off",Constants!$H67*'Activity data'!BA9*Constants!$H85*EF!$H210*MMVolatEF*NtoN2O*kgtoGg,IF('Net zero activities &amp; levers'!$C$14="On",Constants!$H67*'Net zero Activity data'!BA9*Constants!$H85*EF!$H210*MMVolatEF*NtoN2O*kgtoGg,"ERROR"))</f>
        <v>-3.1720008078581774E-3</v>
      </c>
      <c r="AI1189" s="101">
        <f>IF('Net zero activities &amp; levers'!$C$14="Off",Constants!$H67*'Activity data'!BB9*Constants!$H85*EF!$H210*MMVolatEF*NtoN2O*kgtoGg,IF('Net zero activities &amp; levers'!$C$14="On",Constants!$H67*'Net zero Activity data'!BB9*Constants!$H85*EF!$H210*MMVolatEF*NtoN2O*kgtoGg,"ERROR"))</f>
        <v>-3.098421421287828E-3</v>
      </c>
      <c r="AJ1189" s="101">
        <f>IF('Net zero activities &amp; levers'!$C$14="Off",Constants!$H67*'Activity data'!BC9*Constants!$H85*EF!$H210*MMVolatEF*NtoN2O*kgtoGg,IF('Net zero activities &amp; levers'!$C$14="On",Constants!$H67*'Net zero Activity data'!BC9*Constants!$H85*EF!$H210*MMVolatEF*NtoN2O*kgtoGg,"ERROR"))</f>
        <v>-3.0260121778721673E-3</v>
      </c>
      <c r="AK1189" s="101">
        <f>IF('Net zero activities &amp; levers'!$C$14="Off",Constants!$H67*'Activity data'!BD9*Constants!$H85*EF!$H210*MMVolatEF*NtoN2O*kgtoGg,IF('Net zero activities &amp; levers'!$C$14="On",Constants!$H67*'Net zero Activity data'!BD9*Constants!$H85*EF!$H210*MMVolatEF*NtoN2O*kgtoGg,"ERROR"))</f>
        <v>-2.9547117917782697E-3</v>
      </c>
      <c r="AL1189" s="101">
        <f>IF('Net zero activities &amp; levers'!$C$14="Off",Constants!$H67*'Activity data'!BE9*Constants!$H85*EF!$H210*MMVolatEF*NtoN2O*kgtoGg,IF('Net zero activities &amp; levers'!$C$14="On",Constants!$H67*'Net zero Activity data'!BE9*Constants!$H85*EF!$H210*MMVolatEF*NtoN2O*kgtoGg,"ERROR"))</f>
        <v>-2.8844632142294947E-3</v>
      </c>
      <c r="AM1189" s="101">
        <f>IF('Net zero activities &amp; levers'!$C$14="Off",Constants!$H67*'Activity data'!BF9*Constants!$H85*EF!$H210*MMVolatEF*NtoN2O*kgtoGg,IF('Net zero activities &amp; levers'!$C$14="On",Constants!$H67*'Net zero Activity data'!BF9*Constants!$H85*EF!$H210*MMVolatEF*NtoN2O*kgtoGg,"ERROR"))</f>
        <v>-2.8152132408821133E-3</v>
      </c>
      <c r="AN1189" s="101">
        <f>IF('Net zero activities &amp; levers'!$C$14="Off",Constants!$H67*'Activity data'!BG9*Constants!$H85*EF!$H210*MMVolatEF*NtoN2O*kgtoGg,IF('Net zero activities &amp; levers'!$C$14="On",Constants!$H67*'Net zero Activity data'!BG9*Constants!$H85*EF!$H210*MMVolatEF*NtoN2O*kgtoGg,"ERROR"))</f>
        <v>-2.7590671775430979E-3</v>
      </c>
      <c r="AO1189" s="101">
        <f>IF('Net zero activities &amp; levers'!$C$14="Off",Constants!$H67*'Activity data'!BH9*Constants!$H85*EF!$H210*MMVolatEF*NtoN2O*kgtoGg,IF('Net zero activities &amp; levers'!$C$14="On",Constants!$H67*'Net zero Activity data'!BH9*Constants!$H85*EF!$H210*MMVolatEF*NtoN2O*kgtoGg,"ERROR"))</f>
        <v>-2.7037691326770971E-3</v>
      </c>
      <c r="AP1189" s="101">
        <f>IF('Net zero activities &amp; levers'!$C$14="Off",Constants!$H67*'Activity data'!BI9*Constants!$H85*EF!$H210*MMVolatEF*NtoN2O*kgtoGg,IF('Net zero activities &amp; levers'!$C$14="On",Constants!$H67*'Net zero Activity data'!BI9*Constants!$H85*EF!$H210*MMVolatEF*NtoN2O*kgtoGg,"ERROR"))</f>
        <v>-2.6492806782909082E-3</v>
      </c>
      <c r="AQ1189" s="101">
        <f>IF('Net zero activities &amp; levers'!$C$14="Off",Constants!$H67*'Activity data'!BJ9*Constants!$H85*EF!$H210*MMVolatEF*NtoN2O*kgtoGg,IF('Net zero activities &amp; levers'!$C$14="On",Constants!$H67*'Net zero Activity data'!BJ9*Constants!$H85*EF!$H210*MMVolatEF*NtoN2O*kgtoGg,"ERROR"))</f>
        <v>-2.5955657764140799E-3</v>
      </c>
      <c r="AR1189" s="101">
        <f>IF('Net zero activities &amp; levers'!$C$14="Off",Constants!$H67*'Activity data'!BK9*Constants!$H85*EF!$H210*MMVolatEF*NtoN2O*kgtoGg,IF('Net zero activities &amp; levers'!$C$14="On",Constants!$H67*'Net zero Activity data'!BK9*Constants!$H85*EF!$H210*MMVolatEF*NtoN2O*kgtoGg,"ERROR"))</f>
        <v>-2.5425905809265438E-3</v>
      </c>
      <c r="AS1189" s="101">
        <f>IF('Net zero activities &amp; levers'!$C$14="Off",Constants!$H67*'Activity data'!BL9*Constants!$H85*EF!$H210*MMVolatEF*NtoN2O*kgtoGg,IF('Net zero activities &amp; levers'!$C$14="On",Constants!$H67*'Net zero Activity data'!BL9*Constants!$H85*EF!$H210*MMVolatEF*NtoN2O*kgtoGg,"ERROR"))</f>
        <v>-2.4886307532231877E-3</v>
      </c>
      <c r="AT1189" s="101">
        <f>IF('Net zero activities &amp; levers'!$C$14="Off",Constants!$H67*'Activity data'!BM9*Constants!$H85*EF!$H210*MMVolatEF*NtoN2O*kgtoGg,IF('Net zero activities &amp; levers'!$C$14="On",Constants!$H67*'Net zero Activity data'!BM9*Constants!$H85*EF!$H210*MMVolatEF*NtoN2O*kgtoGg,"ERROR"))</f>
        <v>-2.4354129419656258E-3</v>
      </c>
      <c r="AU1189" s="101">
        <f>IF('Net zero activities &amp; levers'!$C$14="Off",Constants!$H67*'Activity data'!BN9*Constants!$H85*EF!$H210*MMVolatEF*NtoN2O*kgtoGg,IF('Net zero activities &amp; levers'!$C$14="On",Constants!$H67*'Net zero Activity data'!BN9*Constants!$H85*EF!$H210*MMVolatEF*NtoN2O*kgtoGg,"ERROR"))</f>
        <v>-2.3829079573799484E-3</v>
      </c>
      <c r="AV1189" s="101">
        <f>IF('Net zero activities &amp; levers'!$C$14="Off",Constants!$H67*'Activity data'!BO9*Constants!$H85*EF!$H210*MMVolatEF*NtoN2O*kgtoGg,IF('Net zero activities &amp; levers'!$C$14="On",Constants!$H67*'Net zero Activity data'!BO9*Constants!$H85*EF!$H210*MMVolatEF*NtoN2O*kgtoGg,"ERROR"))</f>
        <v>-2.3310882496665208E-3</v>
      </c>
      <c r="AW1189" s="101">
        <f>IF('Net zero activities &amp; levers'!$C$14="Off",Constants!$H67*'Activity data'!BP9*Constants!$H85*EF!$H210*MMVolatEF*NtoN2O*kgtoGg,IF('Net zero activities &amp; levers'!$C$14="On",Constants!$H67*'Net zero Activity data'!BP9*Constants!$H85*EF!$H210*MMVolatEF*NtoN2O*kgtoGg,"ERROR"))</f>
        <v>-2.279927786449339E-3</v>
      </c>
      <c r="AY1189" s="85"/>
    </row>
    <row r="1190" spans="1:51" x14ac:dyDescent="0.25">
      <c r="A1190" s="102" t="str">
        <f t="shared" si="380"/>
        <v>CM MM Volatilisation</v>
      </c>
      <c r="B1190" s="102" t="s">
        <v>1323</v>
      </c>
      <c r="C1190" s="102" t="s">
        <v>1333</v>
      </c>
      <c r="D1190" t="s">
        <v>369</v>
      </c>
      <c r="E1190" t="s">
        <v>64</v>
      </c>
      <c r="F1190" t="s">
        <v>62</v>
      </c>
      <c r="G1190" t="s">
        <v>1163</v>
      </c>
      <c r="H1190" t="s">
        <v>1296</v>
      </c>
      <c r="I1190" t="s">
        <v>139</v>
      </c>
      <c r="J1190" t="s">
        <v>287</v>
      </c>
      <c r="K1190" s="101">
        <f>IF('Net zero activities &amp; levers'!$C$14="Off",Constants!$H68*'Activity data'!AD10*Constants!$H86*EF!$H211*MMVolatEF*NtoN2O*kgtoGg,IF('Net zero activities &amp; levers'!$C$14="On",Constants!$H68*'Net zero Activity data'!AD10*Constants!$H86*EF!$H211*MMVolatEF*NtoN2O*kgtoGg,"ERROR"))</f>
        <v>0.15922781806557695</v>
      </c>
      <c r="L1190" s="101">
        <f>IF('Net zero activities &amp; levers'!$C$14="Off",Constants!$H68*'Activity data'!AE10*Constants!$H86*EF!$H211*MMVolatEF*NtoN2O*kgtoGg,IF('Net zero activities &amp; levers'!$C$14="On",Constants!$H68*'Net zero Activity data'!AE10*Constants!$H86*EF!$H211*MMVolatEF*NtoN2O*kgtoGg,"ERROR"))</f>
        <v>0.16489874459702494</v>
      </c>
      <c r="M1190" s="101">
        <f>IF('Net zero activities &amp; levers'!$C$14="Off",Constants!$H68*'Activity data'!AF10*Constants!$H86*EF!$H211*MMVolatEF*NtoN2O*kgtoGg,IF('Net zero activities &amp; levers'!$C$14="On",Constants!$H68*'Net zero Activity data'!AF10*Constants!$H86*EF!$H211*MMVolatEF*NtoN2O*kgtoGg,"ERROR"))</f>
        <v>0.16939991585045727</v>
      </c>
      <c r="N1190" s="101">
        <f>IF('Net zero activities &amp; levers'!$C$14="Off",Constants!$H68*'Activity data'!AG10*Constants!$H86*EF!$H211*MMVolatEF*NtoN2O*kgtoGg,IF('Net zero activities &amp; levers'!$C$14="On",Constants!$H68*'Net zero Activity data'!AG10*Constants!$H86*EF!$H211*MMVolatEF*NtoN2O*kgtoGg,"ERROR"))</f>
        <v>0.17218348693308003</v>
      </c>
      <c r="O1190" s="101">
        <f>IF('Net zero activities &amp; levers'!$C$14="Off",Constants!$H68*'Activity data'!AH10*Constants!$H86*EF!$H211*MMVolatEF*NtoN2O*kgtoGg,IF('Net zero activities &amp; levers'!$C$14="On",Constants!$H68*'Net zero Activity data'!AH10*Constants!$H86*EF!$H211*MMVolatEF*NtoN2O*kgtoGg,"ERROR"))</f>
        <v>0.17497286890553645</v>
      </c>
      <c r="P1190" s="101">
        <f>IF('Net zero activities &amp; levers'!$C$14="Off",Constants!$H68*'Activity data'!AI10*Constants!$H86*EF!$H211*MMVolatEF*NtoN2O*kgtoGg,IF('Net zero activities &amp; levers'!$C$14="On",Constants!$H68*'Net zero Activity data'!AI10*Constants!$H86*EF!$H211*MMVolatEF*NtoN2O*kgtoGg,"ERROR"))</f>
        <v>0.17867712216797899</v>
      </c>
      <c r="Q1190" s="101">
        <f>IF('Net zero activities &amp; levers'!$C$14="Off",Constants!$H68*'Activity data'!AJ10*Constants!$H86*EF!$H211*MMVolatEF*NtoN2O*kgtoGg,IF('Net zero activities &amp; levers'!$C$14="On",Constants!$H68*'Net zero Activity data'!AJ10*Constants!$H86*EF!$H211*MMVolatEF*NtoN2O*kgtoGg,"ERROR"))</f>
        <v>0.18269010203222399</v>
      </c>
      <c r="R1190" s="101">
        <f>IF('Net zero activities &amp; levers'!$C$14="Off",Constants!$H68*'Activity data'!AK10*Constants!$H86*EF!$H211*MMVolatEF*NtoN2O*kgtoGg,IF('Net zero activities &amp; levers'!$C$14="On",Constants!$H68*'Net zero Activity data'!AK10*Constants!$H86*EF!$H211*MMVolatEF*NtoN2O*kgtoGg,"ERROR"))</f>
        <v>0.18477850416218133</v>
      </c>
      <c r="S1190" s="101">
        <f>IF('Net zero activities &amp; levers'!$C$14="Off",Constants!$H68*'Activity data'!AL10*Constants!$H86*EF!$H211*MMVolatEF*NtoN2O*kgtoGg,IF('Net zero activities &amp; levers'!$C$14="On",Constants!$H68*'Net zero Activity data'!AL10*Constants!$H86*EF!$H211*MMVolatEF*NtoN2O*kgtoGg,"ERROR"))</f>
        <v>0.16857906885266413</v>
      </c>
      <c r="T1190" s="101">
        <f>IF('Net zero activities &amp; levers'!$C$14="Off",Constants!$H68*'Activity data'!AM10*Constants!$H86*EF!$H211*MMVolatEF*NtoN2O*kgtoGg,IF('Net zero activities &amp; levers'!$C$14="On",Constants!$H68*'Net zero Activity data'!AM10*Constants!$H86*EF!$H211*MMVolatEF*NtoN2O*kgtoGg,"ERROR"))</f>
        <v>0.17425287964090236</v>
      </c>
      <c r="U1190" s="101">
        <f>IF('Net zero activities &amp; levers'!$C$14="Off",Constants!$H68*'Activity data'!AN10*Constants!$H86*EF!$H211*MMVolatEF*NtoN2O*kgtoGg,IF('Net zero activities &amp; levers'!$C$14="On",Constants!$H68*'Net zero Activity data'!AN10*Constants!$H86*EF!$H211*MMVolatEF*NtoN2O*kgtoGg,"ERROR"))</f>
        <v>0.17949945582313931</v>
      </c>
      <c r="V1190" s="101">
        <f>IF('Net zero activities &amp; levers'!$C$14="Off",Constants!$H68*'Activity data'!AO10*Constants!$H86*EF!$H211*MMVolatEF*NtoN2O*kgtoGg,IF('Net zero activities &amp; levers'!$C$14="On",Constants!$H68*'Net zero Activity data'!AO10*Constants!$H86*EF!$H211*MMVolatEF*NtoN2O*kgtoGg,"ERROR"))</f>
        <v>0.18480458029183697</v>
      </c>
      <c r="W1190" s="101">
        <f>IF('Net zero activities &amp; levers'!$C$14="Off",Constants!$H68*'Activity data'!AP10*Constants!$H86*EF!$H211*MMVolatEF*NtoN2O*kgtoGg,IF('Net zero activities &amp; levers'!$C$14="On",Constants!$H68*'Net zero Activity data'!AP10*Constants!$H86*EF!$H211*MMVolatEF*NtoN2O*kgtoGg,"ERROR"))</f>
        <v>0.19096302657670283</v>
      </c>
      <c r="X1190" s="101">
        <f>IF('Net zero activities &amp; levers'!$C$14="Off",Constants!$H68*'Activity data'!AQ10*Constants!$H86*EF!$H211*MMVolatEF*NtoN2O*kgtoGg,IF('Net zero activities &amp; levers'!$C$14="On",Constants!$H68*'Net zero Activity data'!AQ10*Constants!$H86*EF!$H211*MMVolatEF*NtoN2O*kgtoGg,"ERROR"))</f>
        <v>0.19719436509402946</v>
      </c>
      <c r="Y1190" s="101">
        <f>IF('Net zero activities &amp; levers'!$C$14="Off",Constants!$H68*'Activity data'!AR10*Constants!$H86*EF!$H211*MMVolatEF*NtoN2O*kgtoGg,IF('Net zero activities &amp; levers'!$C$14="On",Constants!$H68*'Net zero Activity data'!AR10*Constants!$H86*EF!$H211*MMVolatEF*NtoN2O*kgtoGg,"ERROR"))</f>
        <v>0.20366092227158905</v>
      </c>
      <c r="Z1190" s="101">
        <f>IF('Net zero activities &amp; levers'!$C$14="Off",Constants!$H68*'Activity data'!AS10*Constants!$H86*EF!$H211*MMVolatEF*NtoN2O*kgtoGg,IF('Net zero activities &amp; levers'!$C$14="On",Constants!$H68*'Net zero Activity data'!AS10*Constants!$H86*EF!$H211*MMVolatEF*NtoN2O*kgtoGg,"ERROR"))</f>
        <v>0.21000736593010838</v>
      </c>
      <c r="AA1190" s="101">
        <f>IF('Net zero activities &amp; levers'!$C$14="Off",Constants!$H68*'Activity data'!AT10*Constants!$H86*EF!$H211*MMVolatEF*NtoN2O*kgtoGg,IF('Net zero activities &amp; levers'!$C$14="On",Constants!$H68*'Net zero Activity data'!AT10*Constants!$H86*EF!$H211*MMVolatEF*NtoN2O*kgtoGg,"ERROR"))</f>
        <v>0.21674936909166895</v>
      </c>
      <c r="AB1190" s="101">
        <f>IF('Net zero activities &amp; levers'!$C$14="Off",Constants!$H68*'Activity data'!AU10*Constants!$H86*EF!$H211*MMVolatEF*NtoN2O*kgtoGg,IF('Net zero activities &amp; levers'!$C$14="On",Constants!$H68*'Net zero Activity data'!AU10*Constants!$H86*EF!$H211*MMVolatEF*NtoN2O*kgtoGg,"ERROR"))</f>
        <v>0.22318188532765407</v>
      </c>
      <c r="AC1190" s="101">
        <f>IF('Net zero activities &amp; levers'!$C$14="Off",Constants!$H68*'Activity data'!AV10*Constants!$H86*EF!$H211*MMVolatEF*NtoN2O*kgtoGg,IF('Net zero activities &amp; levers'!$C$14="On",Constants!$H68*'Net zero Activity data'!AV10*Constants!$H86*EF!$H211*MMVolatEF*NtoN2O*kgtoGg,"ERROR"))</f>
        <v>0.22980286680499964</v>
      </c>
      <c r="AD1190" s="101">
        <f>IF('Net zero activities &amp; levers'!$C$14="Off",Constants!$H68*'Activity data'!AW10*Constants!$H86*EF!$H211*MMVolatEF*NtoN2O*kgtoGg,IF('Net zero activities &amp; levers'!$C$14="On",Constants!$H68*'Net zero Activity data'!AW10*Constants!$H86*EF!$H211*MMVolatEF*NtoN2O*kgtoGg,"ERROR"))</f>
        <v>0.2382309822629842</v>
      </c>
      <c r="AE1190" s="101">
        <f>IF('Net zero activities &amp; levers'!$C$14="Off",Constants!$H68*'Activity data'!AX10*Constants!$H86*EF!$H211*MMVolatEF*NtoN2O*kgtoGg,IF('Net zero activities &amp; levers'!$C$14="On",Constants!$H68*'Net zero Activity data'!AX10*Constants!$H86*EF!$H211*MMVolatEF*NtoN2O*kgtoGg,"ERROR"))</f>
        <v>0.24730559399060587</v>
      </c>
      <c r="AF1190" s="101">
        <f>IF('Net zero activities &amp; levers'!$C$14="Off",Constants!$H68*'Activity data'!AY10*Constants!$H86*EF!$H211*MMVolatEF*NtoN2O*kgtoGg,IF('Net zero activities &amp; levers'!$C$14="On",Constants!$H68*'Net zero Activity data'!AY10*Constants!$H86*EF!$H211*MMVolatEF*NtoN2O*kgtoGg,"ERROR"))</f>
        <v>0.25673647400031802</v>
      </c>
      <c r="AG1190" s="101">
        <f>IF('Net zero activities &amp; levers'!$C$14="Off",Constants!$H68*'Activity data'!AZ10*Constants!$H86*EF!$H211*MMVolatEF*NtoN2O*kgtoGg,IF('Net zero activities &amp; levers'!$C$14="On",Constants!$H68*'Net zero Activity data'!AZ10*Constants!$H86*EF!$H211*MMVolatEF*NtoN2O*kgtoGg,"ERROR"))</f>
        <v>0.25964613908565431</v>
      </c>
      <c r="AH1190" s="101">
        <f>IF('Net zero activities &amp; levers'!$C$14="Off",Constants!$H68*'Activity data'!BA10*Constants!$H86*EF!$H211*MMVolatEF*NtoN2O*kgtoGg,IF('Net zero activities &amp; levers'!$C$14="On",Constants!$H68*'Net zero Activity data'!BA10*Constants!$H86*EF!$H211*MMVolatEF*NtoN2O*kgtoGg,"ERROR"))</f>
        <v>-6.3291007360128299E-2</v>
      </c>
      <c r="AI1190" s="101">
        <f>IF('Net zero activities &amp; levers'!$C$14="Off",Constants!$H68*'Activity data'!BB10*Constants!$H86*EF!$H211*MMVolatEF*NtoN2O*kgtoGg,IF('Net zero activities &amp; levers'!$C$14="On",Constants!$H68*'Net zero Activity data'!BB10*Constants!$H86*EF!$H211*MMVolatEF*NtoN2O*kgtoGg,"ERROR"))</f>
        <v>-6.3895366189305636E-2</v>
      </c>
      <c r="AJ1190" s="101">
        <f>IF('Net zero activities &amp; levers'!$C$14="Off",Constants!$H68*'Activity data'!BC10*Constants!$H86*EF!$H211*MMVolatEF*NtoN2O*kgtoGg,IF('Net zero activities &amp; levers'!$C$14="On",Constants!$H68*'Net zero Activity data'!BC10*Constants!$H86*EF!$H211*MMVolatEF*NtoN2O*kgtoGg,"ERROR"))</f>
        <v>-6.4504638848078458E-2</v>
      </c>
      <c r="AK1190" s="101">
        <f>IF('Net zero activities &amp; levers'!$C$14="Off",Constants!$H68*'Activity data'!BD10*Constants!$H86*EF!$H211*MMVolatEF*NtoN2O*kgtoGg,IF('Net zero activities &amp; levers'!$C$14="On",Constants!$H68*'Net zero Activity data'!BD10*Constants!$H86*EF!$H211*MMVolatEF*NtoN2O*kgtoGg,"ERROR"))</f>
        <v>-6.5118871838809281E-2</v>
      </c>
      <c r="AL1190" s="101">
        <f>IF('Net zero activities &amp; levers'!$C$14="Off",Constants!$H68*'Activity data'!BE10*Constants!$H86*EF!$H211*MMVolatEF*NtoN2O*kgtoGg,IF('Net zero activities &amp; levers'!$C$14="On",Constants!$H68*'Net zero Activity data'!BE10*Constants!$H86*EF!$H211*MMVolatEF*NtoN2O*kgtoGg,"ERROR"))</f>
        <v>-6.5738112081384775E-2</v>
      </c>
      <c r="AM1190" s="101">
        <f>IF('Net zero activities &amp; levers'!$C$14="Off",Constants!$H68*'Activity data'!BF10*Constants!$H86*EF!$H211*MMVolatEF*NtoN2O*kgtoGg,IF('Net zero activities &amp; levers'!$C$14="On",Constants!$H68*'Net zero Activity data'!BF10*Constants!$H86*EF!$H211*MMVolatEF*NtoN2O*kgtoGg,"ERROR"))</f>
        <v>-6.6362406916836855E-2</v>
      </c>
      <c r="AN1190" s="101">
        <f>IF('Net zero activities &amp; levers'!$C$14="Off",Constants!$H68*'Activity data'!BG10*Constants!$H86*EF!$H211*MMVolatEF*NtoN2O*kgtoGg,IF('Net zero activities &amp; levers'!$C$14="On",Constants!$H68*'Net zero Activity data'!BG10*Constants!$H86*EF!$H211*MMVolatEF*NtoN2O*kgtoGg,"ERROR"))</f>
        <v>-6.6863409386316588E-2</v>
      </c>
      <c r="AO1190" s="101">
        <f>IF('Net zero activities &amp; levers'!$C$14="Off",Constants!$H68*'Activity data'!BH10*Constants!$H86*EF!$H211*MMVolatEF*NtoN2O*kgtoGg,IF('Net zero activities &amp; levers'!$C$14="On",Constants!$H68*'Net zero Activity data'!BH10*Constants!$H86*EF!$H211*MMVolatEF*NtoN2O*kgtoGg,"ERROR"))</f>
        <v>-6.7367867762467962E-2</v>
      </c>
      <c r="AP1190" s="101">
        <f>IF('Net zero activities &amp; levers'!$C$14="Off",Constants!$H68*'Activity data'!BI10*Constants!$H86*EF!$H211*MMVolatEF*NtoN2O*kgtoGg,IF('Net zero activities &amp; levers'!$C$14="On",Constants!$H68*'Net zero Activity data'!BI10*Constants!$H86*EF!$H211*MMVolatEF*NtoN2O*kgtoGg,"ERROR"))</f>
        <v>-6.7875809396751335E-2</v>
      </c>
      <c r="AQ1190" s="101">
        <f>IF('Net zero activities &amp; levers'!$C$14="Off",Constants!$H68*'Activity data'!BJ10*Constants!$H86*EF!$H211*MMVolatEF*NtoN2O*kgtoGg,IF('Net zero activities &amp; levers'!$C$14="On",Constants!$H68*'Net zero Activity data'!BJ10*Constants!$H86*EF!$H211*MMVolatEF*NtoN2O*kgtoGg,"ERROR"))</f>
        <v>-6.8387261847069211E-2</v>
      </c>
      <c r="AR1190" s="101">
        <f>IF('Net zero activities &amp; levers'!$C$14="Off",Constants!$H68*'Activity data'!BK10*Constants!$H86*EF!$H211*MMVolatEF*NtoN2O*kgtoGg,IF('Net zero activities &amp; levers'!$C$14="On",Constants!$H68*'Net zero Activity data'!BK10*Constants!$H86*EF!$H211*MMVolatEF*NtoN2O*kgtoGg,"ERROR"))</f>
        <v>-6.8902252879275511E-2</v>
      </c>
      <c r="AS1190" s="101">
        <f>IF('Net zero activities &amp; levers'!$C$14="Off",Constants!$H68*'Activity data'!BL10*Constants!$H86*EF!$H211*MMVolatEF*NtoN2O*kgtoGg,IF('Net zero activities &amp; levers'!$C$14="On",Constants!$H68*'Net zero Activity data'!BL10*Constants!$H86*EF!$H211*MMVolatEF*NtoN2O*kgtoGg,"ERROR"))</f>
        <v>-6.9373629780267981E-2</v>
      </c>
      <c r="AT1190" s="101">
        <f>IF('Net zero activities &amp; levers'!$C$14="Off",Constants!$H68*'Activity data'!BM10*Constants!$H86*EF!$H211*MMVolatEF*NtoN2O*kgtoGg,IF('Net zero activities &amp; levers'!$C$14="On",Constants!$H68*'Net zero Activity data'!BM10*Constants!$H86*EF!$H211*MMVolatEF*NtoN2O*kgtoGg,"ERROR"))</f>
        <v>-6.9847719512371606E-2</v>
      </c>
      <c r="AU1190" s="101">
        <f>IF('Net zero activities &amp; levers'!$C$14="Off",Constants!$H68*'Activity data'!BN10*Constants!$H86*EF!$H211*MMVolatEF*NtoN2O*kgtoGg,IF('Net zero activities &amp; levers'!$C$14="On",Constants!$H68*'Net zero Activity data'!BN10*Constants!$H86*EF!$H211*MMVolatEF*NtoN2O*kgtoGg,"ERROR"))</f>
        <v>-7.0324540021641888E-2</v>
      </c>
      <c r="AV1190" s="101">
        <f>IF('Net zero activities &amp; levers'!$C$14="Off",Constants!$H68*'Activity data'!BO10*Constants!$H86*EF!$H211*MMVolatEF*NtoN2O*kgtoGg,IF('Net zero activities &amp; levers'!$C$14="On",Constants!$H68*'Net zero Activity data'!BO10*Constants!$H86*EF!$H211*MMVolatEF*NtoN2O*kgtoGg,"ERROR"))</f>
        <v>-7.0804109366663218E-2</v>
      </c>
      <c r="AW1190" s="101">
        <f>IF('Net zero activities &amp; levers'!$C$14="Off",Constants!$H68*'Activity data'!BP10*Constants!$H86*EF!$H211*MMVolatEF*NtoN2O*kgtoGg,IF('Net zero activities &amp; levers'!$C$14="On",Constants!$H68*'Net zero Activity data'!BP10*Constants!$H86*EF!$H211*MMVolatEF*NtoN2O*kgtoGg,"ERROR"))</f>
        <v>-7.1286445719229846E-2</v>
      </c>
      <c r="AY1190" s="85"/>
    </row>
    <row r="1191" spans="1:51" x14ac:dyDescent="0.25">
      <c r="A1191" s="102" t="str">
        <f t="shared" si="380"/>
        <v>CM MM Volatilisation</v>
      </c>
      <c r="B1191" s="102" t="s">
        <v>1323</v>
      </c>
      <c r="C1191" s="102" t="s">
        <v>1333</v>
      </c>
      <c r="D1191" t="s">
        <v>369</v>
      </c>
      <c r="E1191" t="s">
        <v>64</v>
      </c>
      <c r="F1191" t="s">
        <v>62</v>
      </c>
      <c r="G1191" t="s">
        <v>1165</v>
      </c>
      <c r="H1191" t="s">
        <v>1297</v>
      </c>
      <c r="I1191" t="s">
        <v>139</v>
      </c>
      <c r="J1191" t="s">
        <v>287</v>
      </c>
      <c r="K1191" s="101">
        <f>IF('Net zero activities &amp; levers'!$C$14="Off",Constants!$H69*'Activity data'!AD11*Constants!$H87*EF!$H212*MMVolatEF*NtoN2O*kgtoGg,IF('Net zero activities &amp; levers'!$C$14="On",Constants!$H69*'Net zero Activity data'!AD11*Constants!$H87*EF!$H212*MMVolatEF*NtoN2O*kgtoGg,"ERROR"))</f>
        <v>1.171858684484313E-4</v>
      </c>
      <c r="L1191" s="101">
        <f>IF('Net zero activities &amp; levers'!$C$14="Off",Constants!$H69*'Activity data'!AE11*Constants!$H87*EF!$H212*MMVolatEF*NtoN2O*kgtoGg,IF('Net zero activities &amp; levers'!$C$14="On",Constants!$H69*'Net zero Activity data'!AE11*Constants!$H87*EF!$H212*MMVolatEF*NtoN2O*kgtoGg,"ERROR"))</f>
        <v>1.1724986264912743E-4</v>
      </c>
      <c r="M1191" s="101">
        <f>IF('Net zero activities &amp; levers'!$C$14="Off",Constants!$H69*'Activity data'!AF11*Constants!$H87*EF!$H212*MMVolatEF*NtoN2O*kgtoGg,IF('Net zero activities &amp; levers'!$C$14="On",Constants!$H69*'Net zero Activity data'!AF11*Constants!$H87*EF!$H212*MMVolatEF*NtoN2O*kgtoGg,"ERROR"))</f>
        <v>1.1739315795736154E-4</v>
      </c>
      <c r="N1191" s="101">
        <f>IF('Net zero activities &amp; levers'!$C$14="Off",Constants!$H69*'Activity data'!AG11*Constants!$H87*EF!$H212*MMVolatEF*NtoN2O*kgtoGg,IF('Net zero activities &amp; levers'!$C$14="On",Constants!$H69*'Net zero Activity data'!AG11*Constants!$H87*EF!$H212*MMVolatEF*NtoN2O*kgtoGg,"ERROR"))</f>
        <v>1.1760884747933323E-4</v>
      </c>
      <c r="O1191" s="101">
        <f>IF('Net zero activities &amp; levers'!$C$14="Off",Constants!$H69*'Activity data'!AH11*Constants!$H87*EF!$H212*MMVolatEF*NtoN2O*kgtoGg,IF('Net zero activities &amp; levers'!$C$14="On",Constants!$H69*'Net zero Activity data'!AH11*Constants!$H87*EF!$H212*MMVolatEF*NtoN2O*kgtoGg,"ERROR"))</f>
        <v>1.1789981697079396E-4</v>
      </c>
      <c r="P1191" s="101">
        <f>IF('Net zero activities &amp; levers'!$C$14="Off",Constants!$H69*'Activity data'!AI11*Constants!$H87*EF!$H212*MMVolatEF*NtoN2O*kgtoGg,IF('Net zero activities &amp; levers'!$C$14="On",Constants!$H69*'Net zero Activity data'!AI11*Constants!$H87*EF!$H212*MMVolatEF*NtoN2O*kgtoGg,"ERROR"))</f>
        <v>1.1826637517857024E-4</v>
      </c>
      <c r="Q1191" s="101">
        <f>IF('Net zero activities &amp; levers'!$C$14="Off",Constants!$H69*'Activity data'!AJ11*Constants!$H87*EF!$H212*MMVolatEF*NtoN2O*kgtoGg,IF('Net zero activities &amp; levers'!$C$14="On",Constants!$H69*'Net zero Activity data'!AJ11*Constants!$H87*EF!$H212*MMVolatEF*NtoN2O*kgtoGg,"ERROR"))</f>
        <v>1.1867470616236446E-4</v>
      </c>
      <c r="R1191" s="101">
        <f>IF('Net zero activities &amp; levers'!$C$14="Off",Constants!$H69*'Activity data'!AK11*Constants!$H87*EF!$H212*MMVolatEF*NtoN2O*kgtoGg,IF('Net zero activities &amp; levers'!$C$14="On",Constants!$H69*'Net zero Activity data'!AK11*Constants!$H87*EF!$H212*MMVolatEF*NtoN2O*kgtoGg,"ERROR"))</f>
        <v>1.1911724401941935E-4</v>
      </c>
      <c r="S1191" s="101">
        <f>IF('Net zero activities &amp; levers'!$C$14="Off",Constants!$H69*'Activity data'!AL11*Constants!$H87*EF!$H212*MMVolatEF*NtoN2O*kgtoGg,IF('Net zero activities &amp; levers'!$C$14="On",Constants!$H69*'Net zero Activity data'!AL11*Constants!$H87*EF!$H212*MMVolatEF*NtoN2O*kgtoGg,"ERROR"))</f>
        <v>1.1953310214883348E-4</v>
      </c>
      <c r="T1191" s="101">
        <f>IF('Net zero activities &amp; levers'!$C$14="Off",Constants!$H69*'Activity data'!AM11*Constants!$H87*EF!$H212*MMVolatEF*NtoN2O*kgtoGg,IF('Net zero activities &amp; levers'!$C$14="On",Constants!$H69*'Net zero Activity data'!AM11*Constants!$H87*EF!$H212*MMVolatEF*NtoN2O*kgtoGg,"ERROR"))</f>
        <v>1.197068141423074E-4</v>
      </c>
      <c r="U1191" s="101">
        <f>IF('Net zero activities &amp; levers'!$C$14="Off",Constants!$H69*'Activity data'!AN11*Constants!$H87*EF!$H212*MMVolatEF*NtoN2O*kgtoGg,IF('Net zero activities &amp; levers'!$C$14="On",Constants!$H69*'Net zero Activity data'!AN11*Constants!$H87*EF!$H212*MMVolatEF*NtoN2O*kgtoGg,"ERROR"))</f>
        <v>1.199083856789491E-4</v>
      </c>
      <c r="V1191" s="101">
        <f>IF('Net zero activities &amp; levers'!$C$14="Off",Constants!$H69*'Activity data'!AO11*Constants!$H87*EF!$H212*MMVolatEF*NtoN2O*kgtoGg,IF('Net zero activities &amp; levers'!$C$14="On",Constants!$H69*'Net zero Activity data'!AO11*Constants!$H87*EF!$H212*MMVolatEF*NtoN2O*kgtoGg,"ERROR"))</f>
        <v>1.201377754278402E-4</v>
      </c>
      <c r="W1191" s="101">
        <f>IF('Net zero activities &amp; levers'!$C$14="Off",Constants!$H69*'Activity data'!AP11*Constants!$H87*EF!$H212*MMVolatEF*NtoN2O*kgtoGg,IF('Net zero activities &amp; levers'!$C$14="On",Constants!$H69*'Net zero Activity data'!AP11*Constants!$H87*EF!$H212*MMVolatEF*NtoN2O*kgtoGg,"ERROR"))</f>
        <v>1.2039617188423161E-4</v>
      </c>
      <c r="X1191" s="101">
        <f>IF('Net zero activities &amp; levers'!$C$14="Off",Constants!$H69*'Activity data'!AQ11*Constants!$H87*EF!$H212*MMVolatEF*NtoN2O*kgtoGg,IF('Net zero activities &amp; levers'!$C$14="On",Constants!$H69*'Net zero Activity data'!AQ11*Constants!$H87*EF!$H212*MMVolatEF*NtoN2O*kgtoGg,"ERROR"))</f>
        <v>1.2067943256873451E-4</v>
      </c>
      <c r="Y1191" s="101">
        <f>IF('Net zero activities &amp; levers'!$C$14="Off",Constants!$H69*'Activity data'!AR11*Constants!$H87*EF!$H212*MMVolatEF*NtoN2O*kgtoGg,IF('Net zero activities &amp; levers'!$C$14="On",Constants!$H69*'Net zero Activity data'!AR11*Constants!$H87*EF!$H212*MMVolatEF*NtoN2O*kgtoGg,"ERROR"))</f>
        <v>1.2085380112251055E-4</v>
      </c>
      <c r="Z1191" s="101">
        <f>IF('Net zero activities &amp; levers'!$C$14="Off",Constants!$H69*'Activity data'!AS11*Constants!$H87*EF!$H212*MMVolatEF*NtoN2O*kgtoGg,IF('Net zero activities &amp; levers'!$C$14="On",Constants!$H69*'Net zero Activity data'!AS11*Constants!$H87*EF!$H212*MMVolatEF*NtoN2O*kgtoGg,"ERROR"))</f>
        <v>1.2104857439732012E-4</v>
      </c>
      <c r="AA1191" s="101">
        <f>IF('Net zero activities &amp; levers'!$C$14="Off",Constants!$H69*'Activity data'!AT11*Constants!$H87*EF!$H212*MMVolatEF*NtoN2O*kgtoGg,IF('Net zero activities &amp; levers'!$C$14="On",Constants!$H69*'Net zero Activity data'!AT11*Constants!$H87*EF!$H212*MMVolatEF*NtoN2O*kgtoGg,"ERROR"))</f>
        <v>1.2126445921474039E-4</v>
      </c>
      <c r="AB1191" s="101">
        <f>IF('Net zero activities &amp; levers'!$C$14="Off",Constants!$H69*'Activity data'!AU11*Constants!$H87*EF!$H212*MMVolatEF*NtoN2O*kgtoGg,IF('Net zero activities &amp; levers'!$C$14="On",Constants!$H69*'Net zero Activity data'!AU11*Constants!$H87*EF!$H212*MMVolatEF*NtoN2O*kgtoGg,"ERROR"))</f>
        <v>1.2149813863258011E-4</v>
      </c>
      <c r="AC1191" s="101">
        <f>IF('Net zero activities &amp; levers'!$C$14="Off",Constants!$H69*'Activity data'!AV11*Constants!$H87*EF!$H212*MMVolatEF*NtoN2O*kgtoGg,IF('Net zero activities &amp; levers'!$C$14="On",Constants!$H69*'Net zero Activity data'!AV11*Constants!$H87*EF!$H212*MMVolatEF*NtoN2O*kgtoGg,"ERROR"))</f>
        <v>1.2175044819305052E-4</v>
      </c>
      <c r="AD1191" s="101">
        <f>IF('Net zero activities &amp; levers'!$C$14="Off",Constants!$H69*'Activity data'!AW11*Constants!$H87*EF!$H212*MMVolatEF*NtoN2O*kgtoGg,IF('Net zero activities &amp; levers'!$C$14="On",Constants!$H69*'Net zero Activity data'!AW11*Constants!$H87*EF!$H212*MMVolatEF*NtoN2O*kgtoGg,"ERROR"))</f>
        <v>1.2191654827812353E-4</v>
      </c>
      <c r="AE1191" s="101">
        <f>IF('Net zero activities &amp; levers'!$C$14="Off",Constants!$H69*'Activity data'!AX11*Constants!$H87*EF!$H212*MMVolatEF*NtoN2O*kgtoGg,IF('Net zero activities &amp; levers'!$C$14="On",Constants!$H69*'Net zero Activity data'!AX11*Constants!$H87*EF!$H212*MMVolatEF*NtoN2O*kgtoGg,"ERROR"))</f>
        <v>1.2210011953046386E-4</v>
      </c>
      <c r="AF1191" s="101">
        <f>IF('Net zero activities &amp; levers'!$C$14="Off",Constants!$H69*'Activity data'!AY11*Constants!$H87*EF!$H212*MMVolatEF*NtoN2O*kgtoGg,IF('Net zero activities &amp; levers'!$C$14="On",Constants!$H69*'Net zero Activity data'!AY11*Constants!$H87*EF!$H212*MMVolatEF*NtoN2O*kgtoGg,"ERROR"))</f>
        <v>1.2229951100214118E-4</v>
      </c>
      <c r="AG1191" s="101">
        <f>IF('Net zero activities &amp; levers'!$C$14="Off",Constants!$H69*'Activity data'!AZ11*Constants!$H87*EF!$H212*MMVolatEF*NtoN2O*kgtoGg,IF('Net zero activities &amp; levers'!$C$14="On",Constants!$H69*'Net zero Activity data'!AZ11*Constants!$H87*EF!$H212*MMVolatEF*NtoN2O*kgtoGg,"ERROR"))</f>
        <v>1.2249214859428272E-4</v>
      </c>
      <c r="AH1191" s="101">
        <f>IF('Net zero activities &amp; levers'!$C$14="Off",Constants!$H69*'Activity data'!BA11*Constants!$H87*EF!$H212*MMVolatEF*NtoN2O*kgtoGg,IF('Net zero activities &amp; levers'!$C$14="On",Constants!$H69*'Net zero Activity data'!BA11*Constants!$H87*EF!$H212*MMVolatEF*NtoN2O*kgtoGg,"ERROR"))</f>
        <v>1.2166856520731395E-4</v>
      </c>
      <c r="AI1191" s="101">
        <f>IF('Net zero activities &amp; levers'!$C$14="Off",Constants!$H69*'Activity data'!BB11*Constants!$H87*EF!$H212*MMVolatEF*NtoN2O*kgtoGg,IF('Net zero activities &amp; levers'!$C$14="On",Constants!$H69*'Net zero Activity data'!BB11*Constants!$H87*EF!$H212*MMVolatEF*NtoN2O*kgtoGg,"ERROR"))</f>
        <v>1.2178552707040833E-4</v>
      </c>
      <c r="AJ1191" s="101">
        <f>IF('Net zero activities &amp; levers'!$C$14="Off",Constants!$H69*'Activity data'!BC11*Constants!$H87*EF!$H212*MMVolatEF*NtoN2O*kgtoGg,IF('Net zero activities &amp; levers'!$C$14="On",Constants!$H69*'Net zero Activity data'!BC11*Constants!$H87*EF!$H212*MMVolatEF*NtoN2O*kgtoGg,"ERROR"))</f>
        <v>1.2191459506568997E-4</v>
      </c>
      <c r="AK1191" s="101">
        <f>IF('Net zero activities &amp; levers'!$C$14="Off",Constants!$H69*'Activity data'!BD11*Constants!$H87*EF!$H212*MMVolatEF*NtoN2O*kgtoGg,IF('Net zero activities &amp; levers'!$C$14="On",Constants!$H69*'Net zero Activity data'!BD11*Constants!$H87*EF!$H212*MMVolatEF*NtoN2O*kgtoGg,"ERROR"))</f>
        <v>1.220553118336419E-4</v>
      </c>
      <c r="AL1191" s="101">
        <f>IF('Net zero activities &amp; levers'!$C$14="Off",Constants!$H69*'Activity data'!BE11*Constants!$H87*EF!$H212*MMVolatEF*NtoN2O*kgtoGg,IF('Net zero activities &amp; levers'!$C$14="On",Constants!$H69*'Net zero Activity data'!BE11*Constants!$H87*EF!$H212*MMVolatEF*NtoN2O*kgtoGg,"ERROR"))</f>
        <v>1.2220725536579073E-4</v>
      </c>
      <c r="AM1191" s="101">
        <f>IF('Net zero activities &amp; levers'!$C$14="Off",Constants!$H69*'Activity data'!BF11*Constants!$H87*EF!$H212*MMVolatEF*NtoN2O*kgtoGg,IF('Net zero activities &amp; levers'!$C$14="On",Constants!$H69*'Net zero Activity data'!BF11*Constants!$H87*EF!$H212*MMVolatEF*NtoN2O*kgtoGg,"ERROR"))</f>
        <v>1.2237003565016038E-4</v>
      </c>
      <c r="AN1191" s="101">
        <f>IF('Net zero activities &amp; levers'!$C$14="Off",Constants!$H69*'Activity data'!BG11*Constants!$H87*EF!$H212*MMVolatEF*NtoN2O*kgtoGg,IF('Net zero activities &amp; levers'!$C$14="On",Constants!$H69*'Net zero Activity data'!BG11*Constants!$H87*EF!$H212*MMVolatEF*NtoN2O*kgtoGg,"ERROR"))</f>
        <v>1.2244903306979284E-4</v>
      </c>
      <c r="AO1191" s="101">
        <f>IF('Net zero activities &amp; levers'!$C$14="Off",Constants!$H69*'Activity data'!BH11*Constants!$H87*EF!$H212*MMVolatEF*NtoN2O*kgtoGg,IF('Net zero activities &amp; levers'!$C$14="On",Constants!$H69*'Net zero Activity data'!BH11*Constants!$H87*EF!$H212*MMVolatEF*NtoN2O*kgtoGg,"ERROR"))</f>
        <v>1.2253757835817969E-4</v>
      </c>
      <c r="AP1191" s="101">
        <f>IF('Net zero activities &amp; levers'!$C$14="Off",Constants!$H69*'Activity data'!BI11*Constants!$H87*EF!$H212*MMVolatEF*NtoN2O*kgtoGg,IF('Net zero activities &amp; levers'!$C$14="On",Constants!$H69*'Net zero Activity data'!BI11*Constants!$H87*EF!$H212*MMVolatEF*NtoN2O*kgtoGg,"ERROR"))</f>
        <v>1.226353392269764E-4</v>
      </c>
      <c r="AQ1191" s="101">
        <f>IF('Net zero activities &amp; levers'!$C$14="Off",Constants!$H69*'Activity data'!BJ11*Constants!$H87*EF!$H212*MMVolatEF*NtoN2O*kgtoGg,IF('Net zero activities &amp; levers'!$C$14="On",Constants!$H69*'Net zero Activity data'!BJ11*Constants!$H87*EF!$H212*MMVolatEF*NtoN2O*kgtoGg,"ERROR"))</f>
        <v>1.2274200613087834E-4</v>
      </c>
      <c r="AR1191" s="101">
        <f>IF('Net zero activities &amp; levers'!$C$14="Off",Constants!$H69*'Activity data'!BK11*Constants!$H87*EF!$H212*MMVolatEF*NtoN2O*kgtoGg,IF('Net zero activities &amp; levers'!$C$14="On",Constants!$H69*'Net zero Activity data'!BK11*Constants!$H87*EF!$H212*MMVolatEF*NtoN2O*kgtoGg,"ERROR"))</f>
        <v>1.228572903354883E-4</v>
      </c>
      <c r="AS1191" s="101">
        <f>IF('Net zero activities &amp; levers'!$C$14="Off",Constants!$H69*'Activity data'!BL11*Constants!$H87*EF!$H212*MMVolatEF*NtoN2O*kgtoGg,IF('Net zero activities &amp; levers'!$C$14="On",Constants!$H69*'Net zero Activity data'!BL11*Constants!$H87*EF!$H212*MMVolatEF*NtoN2O*kgtoGg,"ERROR"))</f>
        <v>1.2288572954642337E-4</v>
      </c>
      <c r="AT1191" s="101">
        <f>IF('Net zero activities &amp; levers'!$C$14="Off",Constants!$H69*'Activity data'!BM11*Constants!$H87*EF!$H212*MMVolatEF*NtoN2O*kgtoGg,IF('Net zero activities &amp; levers'!$C$14="On",Constants!$H69*'Net zero Activity data'!BM11*Constants!$H87*EF!$H212*MMVolatEF*NtoN2O*kgtoGg,"ERROR"))</f>
        <v>1.2292181660779718E-4</v>
      </c>
      <c r="AU1191" s="101">
        <f>IF('Net zero activities &amp; levers'!$C$14="Off",Constants!$H69*'Activity data'!BN11*Constants!$H87*EF!$H212*MMVolatEF*NtoN2O*kgtoGg,IF('Net zero activities &amp; levers'!$C$14="On",Constants!$H69*'Net zero Activity data'!BN11*Constants!$H87*EF!$H212*MMVolatEF*NtoN2O*kgtoGg,"ERROR"))</f>
        <v>1.2296529822294655E-4</v>
      </c>
      <c r="AV1191" s="101">
        <f>IF('Net zero activities &amp; levers'!$C$14="Off",Constants!$H69*'Activity data'!BO11*Constants!$H87*EF!$H212*MMVolatEF*NtoN2O*kgtoGg,IF('Net zero activities &amp; levers'!$C$14="On",Constants!$H69*'Net zero Activity data'!BO11*Constants!$H87*EF!$H212*MMVolatEF*NtoN2O*kgtoGg,"ERROR"))</f>
        <v>1.2301593656260403E-4</v>
      </c>
      <c r="AW1191" s="101">
        <f>IF('Net zero activities &amp; levers'!$C$14="Off",Constants!$H69*'Activity data'!BP11*Constants!$H87*EF!$H212*MMVolatEF*NtoN2O*kgtoGg,IF('Net zero activities &amp; levers'!$C$14="On",Constants!$H69*'Net zero Activity data'!BP11*Constants!$H87*EF!$H212*MMVolatEF*NtoN2O*kgtoGg,"ERROR"))</f>
        <v>1.2307350807543003E-4</v>
      </c>
      <c r="AY1191" s="85"/>
    </row>
    <row r="1192" spans="1:51" x14ac:dyDescent="0.25">
      <c r="A1192" s="102" t="str">
        <f t="shared" si="380"/>
        <v>CM MM Volatilisation</v>
      </c>
      <c r="B1192" s="102" t="s">
        <v>1323</v>
      </c>
      <c r="C1192" s="102" t="s">
        <v>1333</v>
      </c>
      <c r="D1192" t="s">
        <v>369</v>
      </c>
      <c r="E1192" t="s">
        <v>64</v>
      </c>
      <c r="F1192" t="s">
        <v>62</v>
      </c>
      <c r="G1192" t="s">
        <v>1167</v>
      </c>
      <c r="H1192" t="s">
        <v>1298</v>
      </c>
      <c r="I1192" t="s">
        <v>139</v>
      </c>
      <c r="J1192" t="s">
        <v>287</v>
      </c>
      <c r="K1192" s="101">
        <f>IF('Net zero activities &amp; levers'!$C$14="Off",Constants!$H70*'Activity data'!AD12*Constants!$H88*EF!$H213*MMVolatEF*NtoN2O*kgtoGg,IF('Net zero activities &amp; levers'!$C$14="On",Constants!$H70*'Net zero Activity data'!AD12*Constants!$H88*EF!$H213*MMVolatEF*NtoN2O*kgtoGg,"ERROR"))</f>
        <v>8.0418980238344318E-4</v>
      </c>
      <c r="L1192" s="101">
        <f>IF('Net zero activities &amp; levers'!$C$14="Off",Constants!$H70*'Activity data'!AE12*Constants!$H88*EF!$H213*MMVolatEF*NtoN2O*kgtoGg,IF('Net zero activities &amp; levers'!$C$14="On",Constants!$H70*'Net zero Activity data'!AE12*Constants!$H88*EF!$H213*MMVolatEF*NtoN2O*kgtoGg,"ERROR"))</f>
        <v>8.0462896355784847E-4</v>
      </c>
      <c r="M1192" s="101">
        <f>IF('Net zero activities &amp; levers'!$C$14="Off",Constants!$H70*'Activity data'!AF12*Constants!$H88*EF!$H213*MMVolatEF*NtoN2O*kgtoGg,IF('Net zero activities &amp; levers'!$C$14="On",Constants!$H70*'Net zero Activity data'!AF12*Constants!$H88*EF!$H213*MMVolatEF*NtoN2O*kgtoGg,"ERROR"))</f>
        <v>8.0561232978738613E-4</v>
      </c>
      <c r="N1192" s="101">
        <f>IF('Net zero activities &amp; levers'!$C$14="Off",Constants!$H70*'Activity data'!AG12*Constants!$H88*EF!$H213*MMVolatEF*NtoN2O*kgtoGg,IF('Net zero activities &amp; levers'!$C$14="On",Constants!$H70*'Net zero Activity data'!AG12*Constants!$H88*EF!$H213*MMVolatEF*NtoN2O*kgtoGg,"ERROR"))</f>
        <v>8.0709250240842989E-4</v>
      </c>
      <c r="O1192" s="101">
        <f>IF('Net zero activities &amp; levers'!$C$14="Off",Constants!$H70*'Activity data'!AH12*Constants!$H88*EF!$H213*MMVolatEF*NtoN2O*kgtoGg,IF('Net zero activities &amp; levers'!$C$14="On",Constants!$H70*'Net zero Activity data'!AH12*Constants!$H88*EF!$H213*MMVolatEF*NtoN2O*kgtoGg,"ERROR"))</f>
        <v>8.090892849636611E-4</v>
      </c>
      <c r="P1192" s="101">
        <f>IF('Net zero activities &amp; levers'!$C$14="Off",Constants!$H70*'Activity data'!AI12*Constants!$H88*EF!$H213*MMVolatEF*NtoN2O*kgtoGg,IF('Net zero activities &amp; levers'!$C$14="On",Constants!$H70*'Net zero Activity data'!AI12*Constants!$H88*EF!$H213*MMVolatEF*NtoN2O*kgtoGg,"ERROR"))</f>
        <v>8.1160479623286605E-4</v>
      </c>
      <c r="Q1192" s="101">
        <f>IF('Net zero activities &amp; levers'!$C$14="Off",Constants!$H70*'Activity data'!AJ12*Constants!$H88*EF!$H213*MMVolatEF*NtoN2O*kgtoGg,IF('Net zero activities &amp; levers'!$C$14="On",Constants!$H70*'Net zero Activity data'!AJ12*Constants!$H88*EF!$H213*MMVolatEF*NtoN2O*kgtoGg,"ERROR"))</f>
        <v>8.1440697381205979E-4</v>
      </c>
      <c r="R1192" s="101">
        <f>IF('Net zero activities &amp; levers'!$C$14="Off",Constants!$H70*'Activity data'!AK12*Constants!$H88*EF!$H213*MMVolatEF*NtoN2O*kgtoGg,IF('Net zero activities &amp; levers'!$C$14="On",Constants!$H70*'Net zero Activity data'!AK12*Constants!$H88*EF!$H213*MMVolatEF*NtoN2O*kgtoGg,"ERROR"))</f>
        <v>8.1744389657863702E-4</v>
      </c>
      <c r="S1192" s="101">
        <f>IF('Net zero activities &amp; levers'!$C$14="Off",Constants!$H70*'Activity data'!AL12*Constants!$H88*EF!$H213*MMVolatEF*NtoN2O*kgtoGg,IF('Net zero activities &amp; levers'!$C$14="On",Constants!$H70*'Net zero Activity data'!AL12*Constants!$H88*EF!$H213*MMVolatEF*NtoN2O*kgtoGg,"ERROR"))</f>
        <v>8.2029772930899112E-4</v>
      </c>
      <c r="T1192" s="101">
        <f>IF('Net zero activities &amp; levers'!$C$14="Off",Constants!$H70*'Activity data'!AM12*Constants!$H88*EF!$H213*MMVolatEF*NtoN2O*kgtoGg,IF('Net zero activities &amp; levers'!$C$14="On",Constants!$H70*'Net zero Activity data'!AM12*Constants!$H88*EF!$H213*MMVolatEF*NtoN2O*kgtoGg,"ERROR"))</f>
        <v>8.214898305030433E-4</v>
      </c>
      <c r="U1192" s="101">
        <f>IF('Net zero activities &amp; levers'!$C$14="Off",Constants!$H70*'Activity data'!AN12*Constants!$H88*EF!$H213*MMVolatEF*NtoN2O*kgtoGg,IF('Net zero activities &amp; levers'!$C$14="On",Constants!$H70*'Net zero Activity data'!AN12*Constants!$H88*EF!$H213*MMVolatEF*NtoN2O*kgtoGg,"ERROR"))</f>
        <v>8.2287311823529526E-4</v>
      </c>
      <c r="V1192" s="101">
        <f>IF('Net zero activities &amp; levers'!$C$14="Off",Constants!$H70*'Activity data'!AO12*Constants!$H88*EF!$H213*MMVolatEF*NtoN2O*kgtoGg,IF('Net zero activities &amp; levers'!$C$14="On",Constants!$H70*'Net zero Activity data'!AO12*Constants!$H88*EF!$H213*MMVolatEF*NtoN2O*kgtoGg,"ERROR"))</f>
        <v>8.2444730887169186E-4</v>
      </c>
      <c r="W1192" s="101">
        <f>IF('Net zero activities &amp; levers'!$C$14="Off",Constants!$H70*'Activity data'!AP12*Constants!$H88*EF!$H213*MMVolatEF*NtoN2O*kgtoGg,IF('Net zero activities &amp; levers'!$C$14="On",Constants!$H70*'Net zero Activity data'!AP12*Constants!$H88*EF!$H213*MMVolatEF*NtoN2O*kgtoGg,"ERROR"))</f>
        <v>8.2622055847894659E-4</v>
      </c>
      <c r="X1192" s="101">
        <f>IF('Net zero activities &amp; levers'!$C$14="Off",Constants!$H70*'Activity data'!AQ12*Constants!$H88*EF!$H213*MMVolatEF*NtoN2O*kgtoGg,IF('Net zero activities &amp; levers'!$C$14="On",Constants!$H70*'Net zero Activity data'!AQ12*Constants!$H88*EF!$H213*MMVolatEF*NtoN2O*kgtoGg,"ERROR"))</f>
        <v>8.2816443922932592E-4</v>
      </c>
      <c r="Y1192" s="101">
        <f>IF('Net zero activities &amp; levers'!$C$14="Off",Constants!$H70*'Activity data'!AR12*Constants!$H88*EF!$H213*MMVolatEF*NtoN2O*kgtoGg,IF('Net zero activities &amp; levers'!$C$14="On",Constants!$H70*'Net zero Activity data'!AR12*Constants!$H88*EF!$H213*MMVolatEF*NtoN2O*kgtoGg,"ERROR"))</f>
        <v>8.2936104607842529E-4</v>
      </c>
      <c r="Z1192" s="101">
        <f>IF('Net zero activities &amp; levers'!$C$14="Off",Constants!$H70*'Activity data'!AS12*Constants!$H88*EF!$H213*MMVolatEF*NtoN2O*kgtoGg,IF('Net zero activities &amp; levers'!$C$14="On",Constants!$H70*'Net zero Activity data'!AS12*Constants!$H88*EF!$H213*MMVolatEF*NtoN2O*kgtoGg,"ERROR"))</f>
        <v>8.3069768063558287E-4</v>
      </c>
      <c r="AA1192" s="101">
        <f>IF('Net zero activities &amp; levers'!$C$14="Off",Constants!$H70*'Activity data'!AT12*Constants!$H88*EF!$H213*MMVolatEF*NtoN2O*kgtoGg,IF('Net zero activities &amp; levers'!$C$14="On",Constants!$H70*'Net zero Activity data'!AT12*Constants!$H88*EF!$H213*MMVolatEF*NtoN2O*kgtoGg,"ERROR"))</f>
        <v>8.3217919347460879E-4</v>
      </c>
      <c r="AB1192" s="101">
        <f>IF('Net zero activities &amp; levers'!$C$14="Off",Constants!$H70*'Activity data'!AU12*Constants!$H88*EF!$H213*MMVolatEF*NtoN2O*kgtoGg,IF('Net zero activities &amp; levers'!$C$14="On",Constants!$H70*'Net zero Activity data'!AU12*Constants!$H88*EF!$H213*MMVolatEF*NtoN2O*kgtoGg,"ERROR"))</f>
        <v>8.337828220293293E-4</v>
      </c>
      <c r="AC1192" s="101">
        <f>IF('Net zero activities &amp; levers'!$C$14="Off",Constants!$H70*'Activity data'!AV12*Constants!$H88*EF!$H213*MMVolatEF*NtoN2O*kgtoGg,IF('Net zero activities &amp; levers'!$C$14="On",Constants!$H70*'Net zero Activity data'!AV12*Constants!$H88*EF!$H213*MMVolatEF*NtoN2O*kgtoGg,"ERROR"))</f>
        <v>8.3551430022086096E-4</v>
      </c>
      <c r="AD1192" s="101">
        <f>IF('Net zero activities &amp; levers'!$C$14="Off",Constants!$H70*'Activity data'!AW12*Constants!$H88*EF!$H213*MMVolatEF*NtoN2O*kgtoGg,IF('Net zero activities &amp; levers'!$C$14="On",Constants!$H70*'Net zero Activity data'!AW12*Constants!$H88*EF!$H213*MMVolatEF*NtoN2O*kgtoGg,"ERROR"))</f>
        <v>8.3665416457788034E-4</v>
      </c>
      <c r="AE1192" s="101">
        <f>IF('Net zero activities &amp; levers'!$C$14="Off",Constants!$H70*'Activity data'!AX12*Constants!$H88*EF!$H213*MMVolatEF*NtoN2O*kgtoGg,IF('Net zero activities &amp; levers'!$C$14="On",Constants!$H70*'Net zero Activity data'!AX12*Constants!$H88*EF!$H213*MMVolatEF*NtoN2O*kgtoGg,"ERROR"))</f>
        <v>8.3791392508567411E-4</v>
      </c>
      <c r="AF1192" s="101">
        <f>IF('Net zero activities &amp; levers'!$C$14="Off",Constants!$H70*'Activity data'!AY12*Constants!$H88*EF!$H213*MMVolatEF*NtoN2O*kgtoGg,IF('Net zero activities &amp; levers'!$C$14="On",Constants!$H70*'Net zero Activity data'!AY12*Constants!$H88*EF!$H213*MMVolatEF*NtoN2O*kgtoGg,"ERROR"))</f>
        <v>8.3928225208899118E-4</v>
      </c>
      <c r="AG1192" s="101">
        <f>IF('Net zero activities &amp; levers'!$C$14="Off",Constants!$H70*'Activity data'!AZ12*Constants!$H88*EF!$H213*MMVolatEF*NtoN2O*kgtoGg,IF('Net zero activities &amp; levers'!$C$14="On",Constants!$H70*'Net zero Activity data'!AZ12*Constants!$H88*EF!$H213*MMVolatEF*NtoN2O*kgtoGg,"ERROR"))</f>
        <v>8.4060423049139648E-4</v>
      </c>
      <c r="AH1192" s="101">
        <f>IF('Net zero activities &amp; levers'!$C$14="Off",Constants!$H70*'Activity data'!BA12*Constants!$H88*EF!$H213*MMVolatEF*NtoN2O*kgtoGg,IF('Net zero activities &amp; levers'!$C$14="On",Constants!$H70*'Net zero Activity data'!BA12*Constants!$H88*EF!$H213*MMVolatEF*NtoN2O*kgtoGg,"ERROR"))</f>
        <v>8.349523769873693E-4</v>
      </c>
      <c r="AI1192" s="101">
        <f>IF('Net zero activities &amp; levers'!$C$14="Off",Constants!$H70*'Activity data'!BB12*Constants!$H88*EF!$H213*MMVolatEF*NtoN2O*kgtoGg,IF('Net zero activities &amp; levers'!$C$14="On",Constants!$H70*'Net zero Activity data'!BB12*Constants!$H88*EF!$H213*MMVolatEF*NtoN2O*kgtoGg,"ERROR"))</f>
        <v>8.3575502954960786E-4</v>
      </c>
      <c r="AJ1192" s="101">
        <f>IF('Net zero activities &amp; levers'!$C$14="Off",Constants!$H70*'Activity data'!BC12*Constants!$H88*EF!$H213*MMVolatEF*NtoN2O*kgtoGg,IF('Net zero activities &amp; levers'!$C$14="On",Constants!$H70*'Net zero Activity data'!BC12*Constants!$H88*EF!$H213*MMVolatEF*NtoN2O*kgtoGg,"ERROR"))</f>
        <v>8.3664076062788407E-4</v>
      </c>
      <c r="AK1192" s="101">
        <f>IF('Net zero activities &amp; levers'!$C$14="Off",Constants!$H70*'Activity data'!BD12*Constants!$H88*EF!$H213*MMVolatEF*NtoN2O*kgtoGg,IF('Net zero activities &amp; levers'!$C$14="On",Constants!$H70*'Net zero Activity data'!BD12*Constants!$H88*EF!$H213*MMVolatEF*NtoN2O*kgtoGg,"ERROR"))</f>
        <v>8.3760643158556521E-4</v>
      </c>
      <c r="AL1192" s="101">
        <f>IF('Net zero activities &amp; levers'!$C$14="Off",Constants!$H70*'Activity data'!BE12*Constants!$H88*EF!$H213*MMVolatEF*NtoN2O*kgtoGg,IF('Net zero activities &amp; levers'!$C$14="On",Constants!$H70*'Net zero Activity data'!BE12*Constants!$H88*EF!$H213*MMVolatEF*NtoN2O*kgtoGg,"ERROR"))</f>
        <v>8.3864914638309197E-4</v>
      </c>
      <c r="AM1192" s="101">
        <f>IF('Net zero activities &amp; levers'!$C$14="Off",Constants!$H70*'Activity data'!BF12*Constants!$H88*EF!$H213*MMVolatEF*NtoN2O*kgtoGg,IF('Net zero activities &amp; levers'!$C$14="On",Constants!$H70*'Net zero Activity data'!BF12*Constants!$H88*EF!$H213*MMVolatEF*NtoN2O*kgtoGg,"ERROR"))</f>
        <v>8.3976622855735407E-4</v>
      </c>
      <c r="AN1192" s="101">
        <f>IF('Net zero activities &amp; levers'!$C$14="Off",Constants!$H70*'Activity data'!BG12*Constants!$H88*EF!$H213*MMVolatEF*NtoN2O*kgtoGg,IF('Net zero activities &amp; levers'!$C$14="On",Constants!$H70*'Net zero Activity data'!BG12*Constants!$H88*EF!$H213*MMVolatEF*NtoN2O*kgtoGg,"ERROR"))</f>
        <v>8.4030834954962157E-4</v>
      </c>
      <c r="AO1192" s="101">
        <f>IF('Net zero activities &amp; levers'!$C$14="Off",Constants!$H70*'Activity data'!BH12*Constants!$H88*EF!$H213*MMVolatEF*NtoN2O*kgtoGg,IF('Net zero activities &amp; levers'!$C$14="On",Constants!$H70*'Net zero Activity data'!BH12*Constants!$H88*EF!$H213*MMVolatEF*NtoN2O*kgtoGg,"ERROR"))</f>
        <v>8.40915992936257E-4</v>
      </c>
      <c r="AP1192" s="101">
        <f>IF('Net zero activities &amp; levers'!$C$14="Off",Constants!$H70*'Activity data'!BI12*Constants!$H88*EF!$H213*MMVolatEF*NtoN2O*kgtoGg,IF('Net zero activities &amp; levers'!$C$14="On",Constants!$H70*'Net zero Activity data'!BI12*Constants!$H88*EF!$H213*MMVolatEF*NtoN2O*kgtoGg,"ERROR"))</f>
        <v>8.4158687838344786E-4</v>
      </c>
      <c r="AQ1192" s="101">
        <f>IF('Net zero activities &amp; levers'!$C$14="Off",Constants!$H70*'Activity data'!BJ12*Constants!$H88*EF!$H213*MMVolatEF*NtoN2O*kgtoGg,IF('Net zero activities &amp; levers'!$C$14="On",Constants!$H70*'Net zero Activity data'!BJ12*Constants!$H88*EF!$H213*MMVolatEF*NtoN2O*kgtoGg,"ERROR"))</f>
        <v>8.4231888163183893E-4</v>
      </c>
      <c r="AR1192" s="101">
        <f>IF('Net zero activities &amp; levers'!$C$14="Off",Constants!$H70*'Activity data'!BK12*Constants!$H88*EF!$H213*MMVolatEF*NtoN2O*kgtoGg,IF('Net zero activities &amp; levers'!$C$14="On",Constants!$H70*'Net zero Activity data'!BK12*Constants!$H88*EF!$H213*MMVolatEF*NtoN2O*kgtoGg,"ERROR"))</f>
        <v>8.4311002123724286E-4</v>
      </c>
      <c r="AS1192" s="101">
        <f>IF('Net zero activities &amp; levers'!$C$14="Off",Constants!$H70*'Activity data'!BL12*Constants!$H88*EF!$H213*MMVolatEF*NtoN2O*kgtoGg,IF('Net zero activities &amp; levers'!$C$14="On",Constants!$H70*'Net zero Activity data'!BL12*Constants!$H88*EF!$H213*MMVolatEF*NtoN2O*kgtoGg,"ERROR"))</f>
        <v>8.4330518575430119E-4</v>
      </c>
      <c r="AT1192" s="101">
        <f>IF('Net zero activities &amp; levers'!$C$14="Off",Constants!$H70*'Activity data'!BM12*Constants!$H88*EF!$H213*MMVolatEF*NtoN2O*kgtoGg,IF('Net zero activities &amp; levers'!$C$14="On",Constants!$H70*'Net zero Activity data'!BM12*Constants!$H88*EF!$H213*MMVolatEF*NtoN2O*kgtoGg,"ERROR"))</f>
        <v>8.4355283376117286E-4</v>
      </c>
      <c r="AU1192" s="101">
        <f>IF('Net zero activities &amp; levers'!$C$14="Off",Constants!$H70*'Activity data'!BN12*Constants!$H88*EF!$H213*MMVolatEF*NtoN2O*kgtoGg,IF('Net zero activities &amp; levers'!$C$14="On",Constants!$H70*'Net zero Activity data'!BN12*Constants!$H88*EF!$H213*MMVolatEF*NtoN2O*kgtoGg,"ERROR"))</f>
        <v>8.4385122700565967E-4</v>
      </c>
      <c r="AV1192" s="101">
        <f>IF('Net zero activities &amp; levers'!$C$14="Off",Constants!$H70*'Activity data'!BO12*Constants!$H88*EF!$H213*MMVolatEF*NtoN2O*kgtoGg,IF('Net zero activities &amp; levers'!$C$14="On",Constants!$H70*'Net zero Activity data'!BO12*Constants!$H88*EF!$H213*MMVolatEF*NtoN2O*kgtoGg,"ERROR"))</f>
        <v>8.4419873338079966E-4</v>
      </c>
      <c r="AW1192" s="101">
        <f>IF('Net zero activities &amp; levers'!$C$14="Off",Constants!$H70*'Activity data'!BP12*Constants!$H88*EF!$H213*MMVolatEF*NtoN2O*kgtoGg,IF('Net zero activities &amp; levers'!$C$14="On",Constants!$H70*'Net zero Activity data'!BP12*Constants!$H88*EF!$H213*MMVolatEF*NtoN2O*kgtoGg,"ERROR"))</f>
        <v>8.4459381876212985E-4</v>
      </c>
      <c r="AY1192" s="85"/>
    </row>
    <row r="1193" spans="1:51" x14ac:dyDescent="0.25">
      <c r="A1193" s="102" t="str">
        <f t="shared" si="380"/>
        <v>CM MM Volatilisation</v>
      </c>
      <c r="B1193" s="102" t="s">
        <v>1323</v>
      </c>
      <c r="C1193" s="102" t="s">
        <v>1333</v>
      </c>
      <c r="D1193" t="s">
        <v>369</v>
      </c>
      <c r="E1193" t="s">
        <v>64</v>
      </c>
      <c r="F1193" t="s">
        <v>62</v>
      </c>
      <c r="G1193" t="s">
        <v>1169</v>
      </c>
      <c r="H1193" t="s">
        <v>1299</v>
      </c>
      <c r="I1193" t="s">
        <v>139</v>
      </c>
      <c r="J1193" t="s">
        <v>287</v>
      </c>
      <c r="K1193" s="101">
        <f>IF('Net zero activities &amp; levers'!$C$14="Off",Constants!$H71*'Activity data'!AD13*Constants!$H89*EF!$H214*MMVolatEF*NtoN2O*kgtoGg,IF('Net zero activities &amp; levers'!$C$14="On",Constants!$H71*'Net zero Activity data'!AD13*Constants!$H89*EF!$H214*MMVolatEF*NtoN2O*kgtoGg,"ERROR"))</f>
        <v>1.448564899297015E-5</v>
      </c>
      <c r="L1193" s="101">
        <f>IF('Net zero activities &amp; levers'!$C$14="Off",Constants!$H71*'Activity data'!AE13*Constants!$H89*EF!$H214*MMVolatEF*NtoN2O*kgtoGg,IF('Net zero activities &amp; levers'!$C$14="On",Constants!$H71*'Net zero Activity data'!AE13*Constants!$H89*EF!$H214*MMVolatEF*NtoN2O*kgtoGg,"ERROR"))</f>
        <v>1.4523430996818443E-5</v>
      </c>
      <c r="M1193" s="101">
        <f>IF('Net zero activities &amp; levers'!$C$14="Off",Constants!$H71*'Activity data'!AF13*Constants!$H89*EF!$H214*MMVolatEF*NtoN2O*kgtoGg,IF('Net zero activities &amp; levers'!$C$14="On",Constants!$H71*'Net zero Activity data'!AF13*Constants!$H89*EF!$H214*MMVolatEF*NtoN2O*kgtoGg,"ERROR"))</f>
        <v>1.4573778863725232E-5</v>
      </c>
      <c r="N1193" s="101">
        <f>IF('Net zero activities &amp; levers'!$C$14="Off",Constants!$H71*'Activity data'!AG13*Constants!$H89*EF!$H214*MMVolatEF*NtoN2O*kgtoGg,IF('Net zero activities &amp; levers'!$C$14="On",Constants!$H71*'Net zero Activity data'!AG13*Constants!$H89*EF!$H214*MMVolatEF*NtoN2O*kgtoGg,"ERROR"))</f>
        <v>1.4635573261684436E-5</v>
      </c>
      <c r="O1193" s="101">
        <f>IF('Net zero activities &amp; levers'!$C$14="Off",Constants!$H71*'Activity data'!AH13*Constants!$H89*EF!$H214*MMVolatEF*NtoN2O*kgtoGg,IF('Net zero activities &amp; levers'!$C$14="On",Constants!$H71*'Net zero Activity data'!AH13*Constants!$H89*EF!$H214*MMVolatEF*NtoN2O*kgtoGg,"ERROR"))</f>
        <v>1.4709556756482727E-5</v>
      </c>
      <c r="P1193" s="101">
        <f>IF('Net zero activities &amp; levers'!$C$14="Off",Constants!$H71*'Activity data'!AI13*Constants!$H89*EF!$H214*MMVolatEF*NtoN2O*kgtoGg,IF('Net zero activities &amp; levers'!$C$14="On",Constants!$H71*'Net zero Activity data'!AI13*Constants!$H89*EF!$H214*MMVolatEF*NtoN2O*kgtoGg,"ERROR"))</f>
        <v>1.4795926227225603E-5</v>
      </c>
      <c r="Q1193" s="101">
        <f>IF('Net zero activities &amp; levers'!$C$14="Off",Constants!$H71*'Activity data'!AJ13*Constants!$H89*EF!$H214*MMVolatEF*NtoN2O*kgtoGg,IF('Net zero activities &amp; levers'!$C$14="On",Constants!$H71*'Net zero Activity data'!AJ13*Constants!$H89*EF!$H214*MMVolatEF*NtoN2O*kgtoGg,"ERROR"))</f>
        <v>1.4888271114151717E-5</v>
      </c>
      <c r="R1193" s="101">
        <f>IF('Net zero activities &amp; levers'!$C$14="Off",Constants!$H71*'Activity data'!AK13*Constants!$H89*EF!$H214*MMVolatEF*NtoN2O*kgtoGg,IF('Net zero activities &amp; levers'!$C$14="On",Constants!$H71*'Net zero Activity data'!AK13*Constants!$H89*EF!$H214*MMVolatEF*NtoN2O*kgtoGg,"ERROR"))</f>
        <v>1.4985270961083386E-5</v>
      </c>
      <c r="S1193" s="101">
        <f>IF('Net zero activities &amp; levers'!$C$14="Off",Constants!$H71*'Activity data'!AL13*Constants!$H89*EF!$H214*MMVolatEF*NtoN2O*kgtoGg,IF('Net zero activities &amp; levers'!$C$14="On",Constants!$H71*'Net zero Activity data'!AL13*Constants!$H89*EF!$H214*MMVolatEF*NtoN2O*kgtoGg,"ERROR"))</f>
        <v>1.5075379558400601E-5</v>
      </c>
      <c r="T1193" s="101">
        <f>IF('Net zero activities &amp; levers'!$C$14="Off",Constants!$H71*'Activity data'!AM13*Constants!$H89*EF!$H214*MMVolatEF*NtoN2O*kgtoGg,IF('Net zero activities &amp; levers'!$C$14="On",Constants!$H71*'Net zero Activity data'!AM13*Constants!$H89*EF!$H214*MMVolatEF*NtoN2O*kgtoGg,"ERROR"))</f>
        <v>1.5117607192403529E-5</v>
      </c>
      <c r="U1193" s="101">
        <f>IF('Net zero activities &amp; levers'!$C$14="Off",Constants!$H71*'Activity data'!AN13*Constants!$H89*EF!$H214*MMVolatEF*NtoN2O*kgtoGg,IF('Net zero activities &amp; levers'!$C$14="On",Constants!$H71*'Net zero Activity data'!AN13*Constants!$H89*EF!$H214*MMVolatEF*NtoN2O*kgtoGg,"ERROR"))</f>
        <v>1.5163912133825485E-5</v>
      </c>
      <c r="V1193" s="101">
        <f>IF('Net zero activities &amp; levers'!$C$14="Off",Constants!$H71*'Activity data'!AO13*Constants!$H89*EF!$H214*MMVolatEF*NtoN2O*kgtoGg,IF('Net zero activities &amp; levers'!$C$14="On",Constants!$H71*'Net zero Activity data'!AO13*Constants!$H89*EF!$H214*MMVolatEF*NtoN2O*kgtoGg,"ERROR"))</f>
        <v>1.5214353144806387E-5</v>
      </c>
      <c r="W1193" s="101">
        <f>IF('Net zero activities &amp; levers'!$C$14="Off",Constants!$H71*'Activity data'!AP13*Constants!$H89*EF!$H214*MMVolatEF*NtoN2O*kgtoGg,IF('Net zero activities &amp; levers'!$C$14="On",Constants!$H71*'Net zero Activity data'!AP13*Constants!$H89*EF!$H214*MMVolatEF*NtoN2O*kgtoGg,"ERROR"))</f>
        <v>1.5269211713136201E-5</v>
      </c>
      <c r="X1193" s="101">
        <f>IF('Net zero activities &amp; levers'!$C$14="Off",Constants!$H71*'Activity data'!AQ13*Constants!$H89*EF!$H214*MMVolatEF*NtoN2O*kgtoGg,IF('Net zero activities &amp; levers'!$C$14="On",Constants!$H71*'Net zero Activity data'!AQ13*Constants!$H89*EF!$H214*MMVolatEF*NtoN2O*kgtoGg,"ERROR"))</f>
        <v>1.532774923131804E-5</v>
      </c>
      <c r="Y1193" s="101">
        <f>IF('Net zero activities &amp; levers'!$C$14="Off",Constants!$H71*'Activity data'!AR13*Constants!$H89*EF!$H214*MMVolatEF*NtoN2O*kgtoGg,IF('Net zero activities &amp; levers'!$C$14="On",Constants!$H71*'Net zero Activity data'!AR13*Constants!$H89*EF!$H214*MMVolatEF*NtoN2O*kgtoGg,"ERROR"))</f>
        <v>1.5364750505414648E-5</v>
      </c>
      <c r="Z1193" s="101">
        <f>IF('Net zero activities &amp; levers'!$C$14="Off",Constants!$H71*'Activity data'!AS13*Constants!$H89*EF!$H214*MMVolatEF*NtoN2O*kgtoGg,IF('Net zero activities &amp; levers'!$C$14="On",Constants!$H71*'Net zero Activity data'!AS13*Constants!$H89*EF!$H214*MMVolatEF*NtoN2O*kgtoGg,"ERROR"))</f>
        <v>1.5404784002427286E-5</v>
      </c>
      <c r="AA1193" s="101">
        <f>IF('Net zero activities &amp; levers'!$C$14="Off",Constants!$H71*'Activity data'!AT13*Constants!$H89*EF!$H214*MMVolatEF*NtoN2O*kgtoGg,IF('Net zero activities &amp; levers'!$C$14="On",Constants!$H71*'Net zero Activity data'!AT13*Constants!$H89*EF!$H214*MMVolatEF*NtoN2O*kgtoGg,"ERROR"))</f>
        <v>1.5448015343528086E-5</v>
      </c>
      <c r="AB1193" s="101">
        <f>IF('Net zero activities &amp; levers'!$C$14="Off",Constants!$H71*'Activity data'!AU13*Constants!$H89*EF!$H214*MMVolatEF*NtoN2O*kgtoGg,IF('Net zero activities &amp; levers'!$C$14="On",Constants!$H71*'Net zero Activity data'!AU13*Constants!$H89*EF!$H214*MMVolatEF*NtoN2O*kgtoGg,"ERROR"))</f>
        <v>1.5493849362144256E-5</v>
      </c>
      <c r="AC1193" s="101">
        <f>IF('Net zero activities &amp; levers'!$C$14="Off",Constants!$H71*'Activity data'!AV13*Constants!$H89*EF!$H214*MMVolatEF*NtoN2O*kgtoGg,IF('Net zero activities &amp; levers'!$C$14="On",Constants!$H71*'Net zero Activity data'!AV13*Constants!$H89*EF!$H214*MMVolatEF*NtoN2O*kgtoGg,"ERROR"))</f>
        <v>1.5542469399401565E-5</v>
      </c>
      <c r="AD1193" s="101">
        <f>IF('Net zero activities &amp; levers'!$C$14="Off",Constants!$H71*'Activity data'!AW13*Constants!$H89*EF!$H214*MMVolatEF*NtoN2O*kgtoGg,IF('Net zero activities &amp; levers'!$C$14="On",Constants!$H71*'Net zero Activity data'!AW13*Constants!$H89*EF!$H214*MMVolatEF*NtoN2O*kgtoGg,"ERROR"))</f>
        <v>1.5574312295454071E-5</v>
      </c>
      <c r="AE1193" s="101">
        <f>IF('Net zero activities &amp; levers'!$C$14="Off",Constants!$H71*'Activity data'!AX13*Constants!$H89*EF!$H214*MMVolatEF*NtoN2O*kgtoGg,IF('Net zero activities &amp; levers'!$C$14="On",Constants!$H71*'Net zero Activity data'!AX13*Constants!$H89*EF!$H214*MMVolatEF*NtoN2O*kgtoGg,"ERROR"))</f>
        <v>1.5608846144431889E-5</v>
      </c>
      <c r="AF1193" s="101">
        <f>IF('Net zero activities &amp; levers'!$C$14="Off",Constants!$H71*'Activity data'!AY13*Constants!$H89*EF!$H214*MMVolatEF*NtoN2O*kgtoGg,IF('Net zero activities &amp; levers'!$C$14="On",Constants!$H71*'Net zero Activity data'!AY13*Constants!$H89*EF!$H214*MMVolatEF*NtoN2O*kgtoGg,"ERROR"))</f>
        <v>1.5645779000697075E-5</v>
      </c>
      <c r="AG1193" s="101">
        <f>IF('Net zero activities &amp; levers'!$C$14="Off",Constants!$H71*'Activity data'!AZ13*Constants!$H89*EF!$H214*MMVolatEF*NtoN2O*kgtoGg,IF('Net zero activities &amp; levers'!$C$14="On",Constants!$H71*'Net zero Activity data'!AZ13*Constants!$H89*EF!$H214*MMVolatEF*NtoN2O*kgtoGg,"ERROR"))</f>
        <v>1.5680933682266714E-5</v>
      </c>
      <c r="AH1193" s="101">
        <f>IF('Net zero activities &amp; levers'!$C$14="Off",Constants!$H71*'Activity data'!BA13*Constants!$H89*EF!$H214*MMVolatEF*NtoN2O*kgtoGg,IF('Net zero activities &amp; levers'!$C$14="On",Constants!$H71*'Net zero Activity data'!BA13*Constants!$H89*EF!$H214*MMVolatEF*NtoN2O*kgtoGg,"ERROR"))</f>
        <v>1.5527256766488218E-5</v>
      </c>
      <c r="AI1193" s="101">
        <f>IF('Net zero activities &amp; levers'!$C$14="Off",Constants!$H71*'Activity data'!BB13*Constants!$H89*EF!$H214*MMVolatEF*NtoN2O*kgtoGg,IF('Net zero activities &amp; levers'!$C$14="On",Constants!$H71*'Net zero Activity data'!BB13*Constants!$H89*EF!$H214*MMVolatEF*NtoN2O*kgtoGg,"ERROR"))</f>
        <v>1.554781877984383E-5</v>
      </c>
      <c r="AJ1193" s="101">
        <f>IF('Net zero activities &amp; levers'!$C$14="Off",Constants!$H71*'Activity data'!BC13*Constants!$H89*EF!$H214*MMVolatEF*NtoN2O*kgtoGg,IF('Net zero activities &amp; levers'!$C$14="On",Constants!$H71*'Net zero Activity data'!BC13*Constants!$H89*EF!$H214*MMVolatEF*NtoN2O*kgtoGg,"ERROR"))</f>
        <v>1.55702244870708E-5</v>
      </c>
      <c r="AK1193" s="101">
        <f>IF('Net zero activities &amp; levers'!$C$14="Off",Constants!$H71*'Activity data'!BD13*Constants!$H89*EF!$H214*MMVolatEF*NtoN2O*kgtoGg,IF('Net zero activities &amp; levers'!$C$14="On",Constants!$H71*'Net zero Activity data'!BD13*Constants!$H89*EF!$H214*MMVolatEF*NtoN2O*kgtoGg,"ERROR"))</f>
        <v>1.5594399014227251E-5</v>
      </c>
      <c r="AL1193" s="101">
        <f>IF('Net zero activities &amp; levers'!$C$14="Off",Constants!$H71*'Activity data'!BE13*Constants!$H89*EF!$H214*MMVolatEF*NtoN2O*kgtoGg,IF('Net zero activities &amp; levers'!$C$14="On",Constants!$H71*'Net zero Activity data'!BE13*Constants!$H89*EF!$H214*MMVolatEF*NtoN2O*kgtoGg,"ERROR"))</f>
        <v>1.5620273295013295E-5</v>
      </c>
      <c r="AM1193" s="101">
        <f>IF('Net zero activities &amp; levers'!$C$14="Off",Constants!$H71*'Activity data'!BF13*Constants!$H89*EF!$H214*MMVolatEF*NtoN2O*kgtoGg,IF('Net zero activities &amp; levers'!$C$14="On",Constants!$H71*'Net zero Activity data'!BF13*Constants!$H89*EF!$H214*MMVolatEF*NtoN2O*kgtoGg,"ERROR"))</f>
        <v>1.5647783514700204E-5</v>
      </c>
      <c r="AN1193" s="101">
        <f>IF('Net zero activities &amp; levers'!$C$14="Off",Constants!$H71*'Activity data'!BG13*Constants!$H89*EF!$H214*MMVolatEF*NtoN2O*kgtoGg,IF('Net zero activities &amp; levers'!$C$14="On",Constants!$H71*'Net zero Activity data'!BG13*Constants!$H89*EF!$H214*MMVolatEF*NtoN2O*kgtoGg,"ERROR"))</f>
        <v>1.5659592232765599E-5</v>
      </c>
      <c r="AO1193" s="101">
        <f>IF('Net zero activities &amp; levers'!$C$14="Off",Constants!$H71*'Activity data'!BH13*Constants!$H89*EF!$H214*MMVolatEF*NtoN2O*kgtoGg,IF('Net zero activities &amp; levers'!$C$14="On",Constants!$H71*'Net zero Activity data'!BH13*Constants!$H89*EF!$H214*MMVolatEF*NtoN2O*kgtoGg,"ERROR"))</f>
        <v>1.567287471387214E-5</v>
      </c>
      <c r="AP1193" s="101">
        <f>IF('Net zero activities &amp; levers'!$C$14="Off",Constants!$H71*'Activity data'!BI13*Constants!$H89*EF!$H214*MMVolatEF*NtoN2O*kgtoGg,IF('Net zero activities &amp; levers'!$C$14="On",Constants!$H71*'Net zero Activity data'!BI13*Constants!$H89*EF!$H214*MMVolatEF*NtoN2O*kgtoGg,"ERROR"))</f>
        <v>1.5687575397224304E-5</v>
      </c>
      <c r="AQ1193" s="101">
        <f>IF('Net zero activities &amp; levers'!$C$14="Off",Constants!$H71*'Activity data'!BJ13*Constants!$H89*EF!$H214*MMVolatEF*NtoN2O*kgtoGg,IF('Net zero activities &amp; levers'!$C$14="On",Constants!$H71*'Net zero Activity data'!BJ13*Constants!$H89*EF!$H214*MMVolatEF*NtoN2O*kgtoGg,"ERROR"))</f>
        <v>1.5703642533627797E-5</v>
      </c>
      <c r="AR1193" s="101">
        <f>IF('Net zero activities &amp; levers'!$C$14="Off",Constants!$H71*'Activity data'!BK13*Constants!$H89*EF!$H214*MMVolatEF*NtoN2O*kgtoGg,IF('Net zero activities &amp; levers'!$C$14="On",Constants!$H71*'Net zero Activity data'!BK13*Constants!$H89*EF!$H214*MMVolatEF*NtoN2O*kgtoGg,"ERROR"))</f>
        <v>1.5721027858938722E-5</v>
      </c>
      <c r="AS1193" s="101">
        <f>IF('Net zero activities &amp; levers'!$C$14="Off",Constants!$H71*'Activity data'!BL13*Constants!$H89*EF!$H214*MMVolatEF*NtoN2O*kgtoGg,IF('Net zero activities &amp; levers'!$C$14="On",Constants!$H71*'Net zero Activity data'!BL13*Constants!$H89*EF!$H214*MMVolatEF*NtoN2O*kgtoGg,"ERROR"))</f>
        <v>1.5722384261001388E-5</v>
      </c>
      <c r="AT1193" s="101">
        <f>IF('Net zero activities &amp; levers'!$C$14="Off",Constants!$H71*'Activity data'!BM13*Constants!$H89*EF!$H214*MMVolatEF*NtoN2O*kgtoGg,IF('Net zero activities &amp; levers'!$C$14="On",Constants!$H71*'Net zero Activity data'!BM13*Constants!$H89*EF!$H214*MMVolatEF*NtoN2O*kgtoGg,"ERROR"))</f>
        <v>1.5724946955034498E-5</v>
      </c>
      <c r="AU1193" s="101">
        <f>IF('Net zero activities &amp; levers'!$C$14="Off",Constants!$H71*'Activity data'!BN13*Constants!$H89*EF!$H214*MMVolatEF*NtoN2O*kgtoGg,IF('Net zero activities &amp; levers'!$C$14="On",Constants!$H71*'Net zero Activity data'!BN13*Constants!$H89*EF!$H214*MMVolatEF*NtoN2O*kgtoGg,"ERROR"))</f>
        <v>1.572867261939389E-5</v>
      </c>
      <c r="AV1193" s="101">
        <f>IF('Net zero activities &amp; levers'!$C$14="Off",Constants!$H71*'Activity data'!BO13*Constants!$H89*EF!$H214*MMVolatEF*NtoN2O*kgtoGg,IF('Net zero activities &amp; levers'!$C$14="On",Constants!$H71*'Net zero Activity data'!BO13*Constants!$H89*EF!$H214*MMVolatEF*NtoN2O*kgtoGg,"ERROR"))</f>
        <v>1.5733520584102464E-5</v>
      </c>
      <c r="AW1193" s="101">
        <f>IF('Net zero activities &amp; levers'!$C$14="Off",Constants!$H71*'Activity data'!BP13*Constants!$H89*EF!$H214*MMVolatEF*NtoN2O*kgtoGg,IF('Net zero activities &amp; levers'!$C$14="On",Constants!$H71*'Net zero Activity data'!BP13*Constants!$H89*EF!$H214*MMVolatEF*NtoN2O*kgtoGg,"ERROR"))</f>
        <v>1.5739452625419502E-5</v>
      </c>
      <c r="AY1193" s="85"/>
    </row>
    <row r="1194" spans="1:51" x14ac:dyDescent="0.25">
      <c r="A1194" s="102" t="str">
        <f t="shared" si="380"/>
        <v>CM MM Volatilisation</v>
      </c>
      <c r="B1194" s="102" t="s">
        <v>1323</v>
      </c>
      <c r="C1194" s="102" t="s">
        <v>1333</v>
      </c>
      <c r="D1194" t="s">
        <v>369</v>
      </c>
      <c r="E1194" t="s">
        <v>64</v>
      </c>
      <c r="F1194" t="s">
        <v>62</v>
      </c>
      <c r="G1194" t="s">
        <v>1171</v>
      </c>
      <c r="H1194" t="s">
        <v>1300</v>
      </c>
      <c r="I1194" t="s">
        <v>139</v>
      </c>
      <c r="J1194" t="s">
        <v>287</v>
      </c>
      <c r="K1194" s="101">
        <f>IF('Net zero activities &amp; levers'!$C$14="Off",Constants!$H72*'Activity data'!AD14*Constants!$H90*EF!$H215*MMVolatEF*NtoN2O*kgtoGg,IF('Net zero activities &amp; levers'!$C$14="On",Constants!$H72*'Net zero Activity data'!AD14*Constants!$H90*EF!$H215*MMVolatEF*NtoN2O*kgtoGg,"ERROR"))</f>
        <v>1.4737874698328016E-3</v>
      </c>
      <c r="L1194" s="101">
        <f>IF('Net zero activities &amp; levers'!$C$14="Off",Constants!$H72*'Activity data'!AE14*Constants!$H90*EF!$H215*MMVolatEF*NtoN2O*kgtoGg,IF('Net zero activities &amp; levers'!$C$14="On",Constants!$H72*'Net zero Activity data'!AE14*Constants!$H90*EF!$H215*MMVolatEF*NtoN2O*kgtoGg,"ERROR"))</f>
        <v>1.4776314566561611E-3</v>
      </c>
      <c r="M1194" s="101">
        <f>IF('Net zero activities &amp; levers'!$C$14="Off",Constants!$H72*'Activity data'!AF14*Constants!$H90*EF!$H215*MMVolatEF*NtoN2O*kgtoGg,IF('Net zero activities &amp; levers'!$C$14="On",Constants!$H72*'Net zero Activity data'!AF14*Constants!$H90*EF!$H215*MMVolatEF*NtoN2O*kgtoGg,"ERROR"))</f>
        <v>1.4827539096036295E-3</v>
      </c>
      <c r="N1194" s="101">
        <f>IF('Net zero activities &amp; levers'!$C$14="Off",Constants!$H72*'Activity data'!AG14*Constants!$H90*EF!$H215*MMVolatEF*NtoN2O*kgtoGg,IF('Net zero activities &amp; levers'!$C$14="On",Constants!$H72*'Net zero Activity data'!AG14*Constants!$H90*EF!$H215*MMVolatEF*NtoN2O*kgtoGg,"ERROR"))</f>
        <v>1.4890409464814621E-3</v>
      </c>
      <c r="O1194" s="101">
        <f>IF('Net zero activities &amp; levers'!$C$14="Off",Constants!$H72*'Activity data'!AH14*Constants!$H90*EF!$H215*MMVolatEF*NtoN2O*kgtoGg,IF('Net zero activities &amp; levers'!$C$14="On",Constants!$H72*'Net zero Activity data'!AH14*Constants!$H90*EF!$H215*MMVolatEF*NtoN2O*kgtoGg,"ERROR"))</f>
        <v>1.4965681168319985E-3</v>
      </c>
      <c r="P1194" s="101">
        <f>IF('Net zero activities &amp; levers'!$C$14="Off",Constants!$H72*'Activity data'!AI14*Constants!$H90*EF!$H215*MMVolatEF*NtoN2O*kgtoGg,IF('Net zero activities &amp; levers'!$C$14="On",Constants!$H72*'Net zero Activity data'!AI14*Constants!$H90*EF!$H215*MMVolatEF*NtoN2O*kgtoGg,"ERROR"))</f>
        <v>1.5053554513738414E-3</v>
      </c>
      <c r="Q1194" s="101">
        <f>IF('Net zero activities &amp; levers'!$C$14="Off",Constants!$H72*'Activity data'!AJ14*Constants!$H90*EF!$H215*MMVolatEF*NtoN2O*kgtoGg,IF('Net zero activities &amp; levers'!$C$14="On",Constants!$H72*'Net zero Activity data'!AJ14*Constants!$H90*EF!$H215*MMVolatEF*NtoN2O*kgtoGg,"ERROR"))</f>
        <v>1.5147507319940522E-3</v>
      </c>
      <c r="R1194" s="101">
        <f>IF('Net zero activities &amp; levers'!$C$14="Off",Constants!$H72*'Activity data'!AK14*Constants!$H90*EF!$H215*MMVolatEF*NtoN2O*kgtoGg,IF('Net zero activities &amp; levers'!$C$14="On",Constants!$H72*'Net zero Activity data'!AK14*Constants!$H90*EF!$H215*MMVolatEF*NtoN2O*kgtoGg,"ERROR"))</f>
        <v>1.5246196138821182E-3</v>
      </c>
      <c r="S1194" s="101">
        <f>IF('Net zero activities &amp; levers'!$C$14="Off",Constants!$H72*'Activity data'!AL14*Constants!$H90*EF!$H215*MMVolatEF*NtoN2O*kgtoGg,IF('Net zero activities &amp; levers'!$C$14="On",Constants!$H72*'Net zero Activity data'!AL14*Constants!$H90*EF!$H215*MMVolatEF*NtoN2O*kgtoGg,"ERROR"))</f>
        <v>1.5337873716895019E-3</v>
      </c>
      <c r="T1194" s="101">
        <f>IF('Net zero activities &amp; levers'!$C$14="Off",Constants!$H72*'Activity data'!AM14*Constants!$H90*EF!$H215*MMVolatEF*NtoN2O*kgtoGg,IF('Net zero activities &amp; levers'!$C$14="On",Constants!$H72*'Net zero Activity data'!AM14*Constants!$H90*EF!$H215*MMVolatEF*NtoN2O*kgtoGg,"ERROR"))</f>
        <v>1.5380836623081961E-3</v>
      </c>
      <c r="U1194" s="101">
        <f>IF('Net zero activities &amp; levers'!$C$14="Off",Constants!$H72*'Activity data'!AN14*Constants!$H90*EF!$H215*MMVolatEF*NtoN2O*kgtoGg,IF('Net zero activities &amp; levers'!$C$14="On",Constants!$H72*'Net zero Activity data'!AN14*Constants!$H90*EF!$H215*MMVolatEF*NtoN2O*kgtoGg,"ERROR"))</f>
        <v>1.5427947831210876E-3</v>
      </c>
      <c r="V1194" s="101">
        <f>IF('Net zero activities &amp; levers'!$C$14="Off",Constants!$H72*'Activity data'!AO14*Constants!$H90*EF!$H215*MMVolatEF*NtoN2O*kgtoGg,IF('Net zero activities &amp; levers'!$C$14="On",Constants!$H72*'Net zero Activity data'!AO14*Constants!$H90*EF!$H215*MMVolatEF*NtoN2O*kgtoGg,"ERROR"))</f>
        <v>1.5479267126594486E-3</v>
      </c>
      <c r="W1194" s="101">
        <f>IF('Net zero activities &amp; levers'!$C$14="Off",Constants!$H72*'Activity data'!AP14*Constants!$H90*EF!$H215*MMVolatEF*NtoN2O*kgtoGg,IF('Net zero activities &amp; levers'!$C$14="On",Constants!$H72*'Net zero Activity data'!AP14*Constants!$H90*EF!$H215*MMVolatEF*NtoN2O*kgtoGg,"ERROR"))</f>
        <v>1.5535080898318955E-3</v>
      </c>
      <c r="X1194" s="101">
        <f>IF('Net zero activities &amp; levers'!$C$14="Off",Constants!$H72*'Activity data'!AQ14*Constants!$H90*EF!$H215*MMVolatEF*NtoN2O*kgtoGg,IF('Net zero activities &amp; levers'!$C$14="On",Constants!$H72*'Net zero Activity data'!AQ14*Constants!$H90*EF!$H215*MMVolatEF*NtoN2O*kgtoGg,"ERROR"))</f>
        <v>1.5594637678172844E-3</v>
      </c>
      <c r="Y1194" s="101">
        <f>IF('Net zero activities &amp; levers'!$C$14="Off",Constants!$H72*'Activity data'!AR14*Constants!$H90*EF!$H215*MMVolatEF*NtoN2O*kgtoGg,IF('Net zero activities &amp; levers'!$C$14="On",Constants!$H72*'Net zero Activity data'!AR14*Constants!$H90*EF!$H215*MMVolatEF*NtoN2O*kgtoGg,"ERROR"))</f>
        <v>1.5632283222502894E-3</v>
      </c>
      <c r="Z1194" s="101">
        <f>IF('Net zero activities &amp; levers'!$C$14="Off",Constants!$H72*'Activity data'!AS14*Constants!$H90*EF!$H215*MMVolatEF*NtoN2O*kgtoGg,IF('Net zero activities &amp; levers'!$C$14="On",Constants!$H72*'Net zero Activity data'!AS14*Constants!$H90*EF!$H215*MMVolatEF*NtoN2O*kgtoGg,"ERROR"))</f>
        <v>1.5673013787146175E-3</v>
      </c>
      <c r="AA1194" s="101">
        <f>IF('Net zero activities &amp; levers'!$C$14="Off",Constants!$H72*'Activity data'!AT14*Constants!$H90*EF!$H215*MMVolatEF*NtoN2O*kgtoGg,IF('Net zero activities &amp; levers'!$C$14="On",Constants!$H72*'Net zero Activity data'!AT14*Constants!$H90*EF!$H215*MMVolatEF*NtoN2O*kgtoGg,"ERROR"))</f>
        <v>1.5716997877088814E-3</v>
      </c>
      <c r="AB1194" s="101">
        <f>IF('Net zero activities &amp; levers'!$C$14="Off",Constants!$H72*'Activity data'!AU14*Constants!$H90*EF!$H215*MMVolatEF*NtoN2O*kgtoGg,IF('Net zero activities &amp; levers'!$C$14="On",Constants!$H72*'Net zero Activity data'!AU14*Constants!$H90*EF!$H215*MMVolatEF*NtoN2O*kgtoGg,"ERROR"))</f>
        <v>1.5763629962652517E-3</v>
      </c>
      <c r="AC1194" s="101">
        <f>IF('Net zero activities &amp; levers'!$C$14="Off",Constants!$H72*'Activity data'!AV14*Constants!$H90*EF!$H215*MMVolatEF*NtoN2O*kgtoGg,IF('Net zero activities &amp; levers'!$C$14="On",Constants!$H72*'Net zero Activity data'!AV14*Constants!$H90*EF!$H215*MMVolatEF*NtoN2O*kgtoGg,"ERROR"))</f>
        <v>1.5813096577318795E-3</v>
      </c>
      <c r="AD1194" s="101">
        <f>IF('Net zero activities &amp; levers'!$C$14="Off",Constants!$H72*'Activity data'!AW14*Constants!$H90*EF!$H215*MMVolatEF*NtoN2O*kgtoGg,IF('Net zero activities &amp; levers'!$C$14="On",Constants!$H72*'Net zero Activity data'!AW14*Constants!$H90*EF!$H215*MMVolatEF*NtoN2O*kgtoGg,"ERROR"))</f>
        <v>1.5845493925361778E-3</v>
      </c>
      <c r="AE1194" s="101">
        <f>IF('Net zero activities &amp; levers'!$C$14="Off",Constants!$H72*'Activity data'!AX14*Constants!$H90*EF!$H215*MMVolatEF*NtoN2O*kgtoGg,IF('Net zero activities &amp; levers'!$C$14="On",Constants!$H72*'Net zero Activity data'!AX14*Constants!$H90*EF!$H215*MMVolatEF*NtoN2O*kgtoGg,"ERROR"))</f>
        <v>1.5880629081496864E-3</v>
      </c>
      <c r="AF1194" s="101">
        <f>IF('Net zero activities &amp; levers'!$C$14="Off",Constants!$H72*'Activity data'!AY14*Constants!$H90*EF!$H215*MMVolatEF*NtoN2O*kgtoGg,IF('Net zero activities &amp; levers'!$C$14="On",Constants!$H72*'Net zero Activity data'!AY14*Constants!$H90*EF!$H215*MMVolatEF*NtoN2O*kgtoGg,"ERROR"))</f>
        <v>1.591820501669672E-3</v>
      </c>
      <c r="AG1194" s="101">
        <f>IF('Net zero activities &amp; levers'!$C$14="Off",Constants!$H72*'Activity data'!AZ14*Constants!$H90*EF!$H215*MMVolatEF*NtoN2O*kgtoGg,IF('Net zero activities &amp; levers'!$C$14="On",Constants!$H72*'Net zero Activity data'!AZ14*Constants!$H90*EF!$H215*MMVolatEF*NtoN2O*kgtoGg,"ERROR"))</f>
        <v>1.5953971815428655E-3</v>
      </c>
      <c r="AH1194" s="101">
        <f>IF('Net zero activities &amp; levers'!$C$14="Off",Constants!$H72*'Activity data'!BA14*Constants!$H90*EF!$H215*MMVolatEF*NtoN2O*kgtoGg,IF('Net zero activities &amp; levers'!$C$14="On",Constants!$H72*'Net zero Activity data'!BA14*Constants!$H90*EF!$H215*MMVolatEF*NtoN2O*kgtoGg,"ERROR"))</f>
        <v>1.5797619060376521E-3</v>
      </c>
      <c r="AI1194" s="101">
        <f>IF('Net zero activities &amp; levers'!$C$14="Off",Constants!$H72*'Activity data'!BB14*Constants!$H90*EF!$H215*MMVolatEF*NtoN2O*kgtoGg,IF('Net zero activities &amp; levers'!$C$14="On",Constants!$H72*'Net zero Activity data'!BB14*Constants!$H90*EF!$H215*MMVolatEF*NtoN2O*kgtoGg,"ERROR"))</f>
        <v>1.5818539101758679E-3</v>
      </c>
      <c r="AJ1194" s="101">
        <f>IF('Net zero activities &amp; levers'!$C$14="Off",Constants!$H72*'Activity data'!BC14*Constants!$H90*EF!$H215*MMVolatEF*NtoN2O*kgtoGg,IF('Net zero activities &amp; levers'!$C$14="On",Constants!$H72*'Net zero Activity data'!BC14*Constants!$H90*EF!$H215*MMVolatEF*NtoN2O*kgtoGg,"ERROR"))</f>
        <v>1.5841334939611631E-3</v>
      </c>
      <c r="AK1194" s="101">
        <f>IF('Net zero activities &amp; levers'!$C$14="Off",Constants!$H72*'Activity data'!BD14*Constants!$H90*EF!$H215*MMVolatEF*NtoN2O*kgtoGg,IF('Net zero activities &amp; levers'!$C$14="On",Constants!$H72*'Net zero Activity data'!BD14*Constants!$H90*EF!$H215*MMVolatEF*NtoN2O*kgtoGg,"ERROR"))</f>
        <v>1.5865930396280227E-3</v>
      </c>
      <c r="AL1194" s="101">
        <f>IF('Net zero activities &amp; levers'!$C$14="Off",Constants!$H72*'Activity data'!BE14*Constants!$H90*EF!$H215*MMVolatEF*NtoN2O*kgtoGg,IF('Net zero activities &amp; levers'!$C$14="On",Constants!$H72*'Net zero Activity data'!BE14*Constants!$H90*EF!$H215*MMVolatEF*NtoN2O*kgtoGg,"ERROR"))</f>
        <v>1.5892255202874612E-3</v>
      </c>
      <c r="AM1194" s="101">
        <f>IF('Net zero activities &amp; levers'!$C$14="Off",Constants!$H72*'Activity data'!BF14*Constants!$H90*EF!$H215*MMVolatEF*NtoN2O*kgtoGg,IF('Net zero activities &amp; levers'!$C$14="On",Constants!$H72*'Net zero Activity data'!BF14*Constants!$H90*EF!$H215*MMVolatEF*NtoN2O*kgtoGg,"ERROR"))</f>
        <v>1.5920244433517013E-3</v>
      </c>
      <c r="AN1194" s="101">
        <f>IF('Net zero activities &amp; levers'!$C$14="Off",Constants!$H72*'Activity data'!BG14*Constants!$H90*EF!$H215*MMVolatEF*NtoN2O*kgtoGg,IF('Net zero activities &amp; levers'!$C$14="On",Constants!$H72*'Net zero Activity data'!BG14*Constants!$H90*EF!$H215*MMVolatEF*NtoN2O*kgtoGg,"ERROR"))</f>
        <v>1.5932258766273534E-3</v>
      </c>
      <c r="AO1194" s="101">
        <f>IF('Net zero activities &amp; levers'!$C$14="Off",Constants!$H72*'Activity data'!BH14*Constants!$H90*EF!$H215*MMVolatEF*NtoN2O*kgtoGg,IF('Net zero activities &amp; levers'!$C$14="On",Constants!$H72*'Net zero Activity data'!BH14*Constants!$H90*EF!$H215*MMVolatEF*NtoN2O*kgtoGg,"ERROR"))</f>
        <v>1.5945772523394538E-3</v>
      </c>
      <c r="AP1194" s="101">
        <f>IF('Net zero activities &amp; levers'!$C$14="Off",Constants!$H72*'Activity data'!BI14*Constants!$H90*EF!$H215*MMVolatEF*NtoN2O*kgtoGg,IF('Net zero activities &amp; levers'!$C$14="On",Constants!$H72*'Net zero Activity data'!BI14*Constants!$H90*EF!$H215*MMVolatEF*NtoN2O*kgtoGg,"ERROR"))</f>
        <v>1.5960729176653851E-3</v>
      </c>
      <c r="AQ1194" s="101">
        <f>IF('Net zero activities &amp; levers'!$C$14="Off",Constants!$H72*'Activity data'!BJ14*Constants!$H90*EF!$H215*MMVolatEF*NtoN2O*kgtoGg,IF('Net zero activities &amp; levers'!$C$14="On",Constants!$H72*'Net zero Activity data'!BJ14*Constants!$H90*EF!$H215*MMVolatEF*NtoN2O*kgtoGg,"ERROR"))</f>
        <v>1.5977076075794545E-3</v>
      </c>
      <c r="AR1194" s="101">
        <f>IF('Net zero activities &amp; levers'!$C$14="Off",Constants!$H72*'Activity data'!BK14*Constants!$H90*EF!$H215*MMVolatEF*NtoN2O*kgtoGg,IF('Net zero activities &amp; levers'!$C$14="On",Constants!$H72*'Net zero Activity data'!BK14*Constants!$H90*EF!$H215*MMVolatEF*NtoN2O*kgtoGg,"ERROR"))</f>
        <v>1.599476411629218E-3</v>
      </c>
      <c r="AS1194" s="101">
        <f>IF('Net zero activities &amp; levers'!$C$14="Off",Constants!$H72*'Activity data'!BL14*Constants!$H90*EF!$H215*MMVolatEF*NtoN2O*kgtoGg,IF('Net zero activities &amp; levers'!$C$14="On",Constants!$H72*'Net zero Activity data'!BL14*Constants!$H90*EF!$H215*MMVolatEF*NtoN2O*kgtoGg,"ERROR"))</f>
        <v>1.5996144136175981E-3</v>
      </c>
      <c r="AT1194" s="101">
        <f>IF('Net zero activities &amp; levers'!$C$14="Off",Constants!$H72*'Activity data'!BM14*Constants!$H90*EF!$H215*MMVolatEF*NtoN2O*kgtoGg,IF('Net zero activities &amp; levers'!$C$14="On",Constants!$H72*'Net zero Activity data'!BM14*Constants!$H90*EF!$H215*MMVolatEF*NtoN2O*kgtoGg,"ERROR"))</f>
        <v>1.599875145211802E-3</v>
      </c>
      <c r="AU1194" s="101">
        <f>IF('Net zero activities &amp; levers'!$C$14="Off",Constants!$H72*'Activity data'!BN14*Constants!$H90*EF!$H215*MMVolatEF*NtoN2O*kgtoGg,IF('Net zero activities &amp; levers'!$C$14="On",Constants!$H72*'Net zero Activity data'!BN14*Constants!$H90*EF!$H215*MMVolatEF*NtoN2O*kgtoGg,"ERROR"))</f>
        <v>1.6002541988152919E-3</v>
      </c>
      <c r="AV1194" s="101">
        <f>IF('Net zero activities &amp; levers'!$C$14="Off",Constants!$H72*'Activity data'!BO14*Constants!$H90*EF!$H215*MMVolatEF*NtoN2O*kgtoGg,IF('Net zero activities &amp; levers'!$C$14="On",Constants!$H72*'Net zero Activity data'!BO14*Constants!$H90*EF!$H215*MMVolatEF*NtoN2O*kgtoGg,"ERROR"))</f>
        <v>1.6007474366153491E-3</v>
      </c>
      <c r="AW1194" s="101">
        <f>IF('Net zero activities &amp; levers'!$C$14="Off",Constants!$H72*'Activity data'!BP14*Constants!$H90*EF!$H215*MMVolatEF*NtoN2O*kgtoGg,IF('Net zero activities &amp; levers'!$C$14="On",Constants!$H72*'Net zero Activity data'!BP14*Constants!$H90*EF!$H215*MMVolatEF*NtoN2O*kgtoGg,"ERROR"))</f>
        <v>1.601350969682305E-3</v>
      </c>
      <c r="AY1194" s="85"/>
    </row>
    <row r="1195" spans="1:51" x14ac:dyDescent="0.25">
      <c r="A1195" s="102" t="str">
        <f t="shared" si="380"/>
        <v>CM MM Volatilisation</v>
      </c>
      <c r="B1195" s="102" t="s">
        <v>1323</v>
      </c>
      <c r="C1195" s="102" t="s">
        <v>1333</v>
      </c>
      <c r="D1195" t="s">
        <v>369</v>
      </c>
      <c r="E1195" t="s">
        <v>64</v>
      </c>
      <c r="F1195" t="s">
        <v>62</v>
      </c>
      <c r="G1195" t="s">
        <v>1173</v>
      </c>
      <c r="H1195" t="s">
        <v>1301</v>
      </c>
      <c r="I1195" t="s">
        <v>139</v>
      </c>
      <c r="J1195" t="s">
        <v>287</v>
      </c>
      <c r="K1195" s="101">
        <f>IF('Net zero activities &amp; levers'!$C$14="Off",Constants!$H73*'Activity data'!AD15*Constants!$H91*EF!$H216*MMVolatEF*NtoN2O*kgtoGg,IF('Net zero activities &amp; levers'!$C$14="On",Constants!$H73*'Net zero Activity data'!AD15*Constants!$H91*EF!$H216*MMVolatEF*NtoN2O*kgtoGg,"ERROR"))</f>
        <v>0</v>
      </c>
      <c r="L1195" s="101">
        <f>IF('Net zero activities &amp; levers'!$C$14="Off",Constants!$H73*'Activity data'!AE15*Constants!$H91*EF!$H216*MMVolatEF*NtoN2O*kgtoGg,IF('Net zero activities &amp; levers'!$C$14="On",Constants!$H73*'Net zero Activity data'!AE15*Constants!$H91*EF!$H216*MMVolatEF*NtoN2O*kgtoGg,"ERROR"))</f>
        <v>0</v>
      </c>
      <c r="M1195" s="101">
        <f>IF('Net zero activities &amp; levers'!$C$14="Off",Constants!$H73*'Activity data'!AF15*Constants!$H91*EF!$H216*MMVolatEF*NtoN2O*kgtoGg,IF('Net zero activities &amp; levers'!$C$14="On",Constants!$H73*'Net zero Activity data'!AF15*Constants!$H91*EF!$H216*MMVolatEF*NtoN2O*kgtoGg,"ERROR"))</f>
        <v>0</v>
      </c>
      <c r="N1195" s="101">
        <f>IF('Net zero activities &amp; levers'!$C$14="Off",Constants!$H73*'Activity data'!AG15*Constants!$H91*EF!$H216*MMVolatEF*NtoN2O*kgtoGg,IF('Net zero activities &amp; levers'!$C$14="On",Constants!$H73*'Net zero Activity data'!AG15*Constants!$H91*EF!$H216*MMVolatEF*NtoN2O*kgtoGg,"ERROR"))</f>
        <v>0</v>
      </c>
      <c r="O1195" s="101">
        <f>IF('Net zero activities &amp; levers'!$C$14="Off",Constants!$H73*'Activity data'!AH15*Constants!$H91*EF!$H216*MMVolatEF*NtoN2O*kgtoGg,IF('Net zero activities &amp; levers'!$C$14="On",Constants!$H73*'Net zero Activity data'!AH15*Constants!$H91*EF!$H216*MMVolatEF*NtoN2O*kgtoGg,"ERROR"))</f>
        <v>0</v>
      </c>
      <c r="P1195" s="101">
        <f>IF('Net zero activities &amp; levers'!$C$14="Off",Constants!$H73*'Activity data'!AI15*Constants!$H91*EF!$H216*MMVolatEF*NtoN2O*kgtoGg,IF('Net zero activities &amp; levers'!$C$14="On",Constants!$H73*'Net zero Activity data'!AI15*Constants!$H91*EF!$H216*MMVolatEF*NtoN2O*kgtoGg,"ERROR"))</f>
        <v>0</v>
      </c>
      <c r="Q1195" s="101">
        <f>IF('Net zero activities &amp; levers'!$C$14="Off",Constants!$H73*'Activity data'!AJ15*Constants!$H91*EF!$H216*MMVolatEF*NtoN2O*kgtoGg,IF('Net zero activities &amp; levers'!$C$14="On",Constants!$H73*'Net zero Activity data'!AJ15*Constants!$H91*EF!$H216*MMVolatEF*NtoN2O*kgtoGg,"ERROR"))</f>
        <v>0</v>
      </c>
      <c r="R1195" s="101">
        <f>IF('Net zero activities &amp; levers'!$C$14="Off",Constants!$H73*'Activity data'!AK15*Constants!$H91*EF!$H216*MMVolatEF*NtoN2O*kgtoGg,IF('Net zero activities &amp; levers'!$C$14="On",Constants!$H73*'Net zero Activity data'!AK15*Constants!$H91*EF!$H216*MMVolatEF*NtoN2O*kgtoGg,"ERROR"))</f>
        <v>0</v>
      </c>
      <c r="S1195" s="101">
        <f>IF('Net zero activities &amp; levers'!$C$14="Off",Constants!$H73*'Activity data'!AL15*Constants!$H91*EF!$H216*MMVolatEF*NtoN2O*kgtoGg,IF('Net zero activities &amp; levers'!$C$14="On",Constants!$H73*'Net zero Activity data'!AL15*Constants!$H91*EF!$H216*MMVolatEF*NtoN2O*kgtoGg,"ERROR"))</f>
        <v>0</v>
      </c>
      <c r="T1195" s="101">
        <f>IF('Net zero activities &amp; levers'!$C$14="Off",Constants!$H73*'Activity data'!AM15*Constants!$H91*EF!$H216*MMVolatEF*NtoN2O*kgtoGg,IF('Net zero activities &amp; levers'!$C$14="On",Constants!$H73*'Net zero Activity data'!AM15*Constants!$H91*EF!$H216*MMVolatEF*NtoN2O*kgtoGg,"ERROR"))</f>
        <v>0</v>
      </c>
      <c r="U1195" s="101">
        <f>IF('Net zero activities &amp; levers'!$C$14="Off",Constants!$H73*'Activity data'!AN15*Constants!$H91*EF!$H216*MMVolatEF*NtoN2O*kgtoGg,IF('Net zero activities &amp; levers'!$C$14="On",Constants!$H73*'Net zero Activity data'!AN15*Constants!$H91*EF!$H216*MMVolatEF*NtoN2O*kgtoGg,"ERROR"))</f>
        <v>0</v>
      </c>
      <c r="V1195" s="101">
        <f>IF('Net zero activities &amp; levers'!$C$14="Off",Constants!$H73*'Activity data'!AO15*Constants!$H91*EF!$H216*MMVolatEF*NtoN2O*kgtoGg,IF('Net zero activities &amp; levers'!$C$14="On",Constants!$H73*'Net zero Activity data'!AO15*Constants!$H91*EF!$H216*MMVolatEF*NtoN2O*kgtoGg,"ERROR"))</f>
        <v>0</v>
      </c>
      <c r="W1195" s="101">
        <f>IF('Net zero activities &amp; levers'!$C$14="Off",Constants!$H73*'Activity data'!AP15*Constants!$H91*EF!$H216*MMVolatEF*NtoN2O*kgtoGg,IF('Net zero activities &amp; levers'!$C$14="On",Constants!$H73*'Net zero Activity data'!AP15*Constants!$H91*EF!$H216*MMVolatEF*NtoN2O*kgtoGg,"ERROR"))</f>
        <v>0</v>
      </c>
      <c r="X1195" s="101">
        <f>IF('Net zero activities &amp; levers'!$C$14="Off",Constants!$H73*'Activity data'!AQ15*Constants!$H91*EF!$H216*MMVolatEF*NtoN2O*kgtoGg,IF('Net zero activities &amp; levers'!$C$14="On",Constants!$H73*'Net zero Activity data'!AQ15*Constants!$H91*EF!$H216*MMVolatEF*NtoN2O*kgtoGg,"ERROR"))</f>
        <v>0</v>
      </c>
      <c r="Y1195" s="101">
        <f>IF('Net zero activities &amp; levers'!$C$14="Off",Constants!$H73*'Activity data'!AR15*Constants!$H91*EF!$H216*MMVolatEF*NtoN2O*kgtoGg,IF('Net zero activities &amp; levers'!$C$14="On",Constants!$H73*'Net zero Activity data'!AR15*Constants!$H91*EF!$H216*MMVolatEF*NtoN2O*kgtoGg,"ERROR"))</f>
        <v>0</v>
      </c>
      <c r="Z1195" s="101">
        <f>IF('Net zero activities &amp; levers'!$C$14="Off",Constants!$H73*'Activity data'!AS15*Constants!$H91*EF!$H216*MMVolatEF*NtoN2O*kgtoGg,IF('Net zero activities &amp; levers'!$C$14="On",Constants!$H73*'Net zero Activity data'!AS15*Constants!$H91*EF!$H216*MMVolatEF*NtoN2O*kgtoGg,"ERROR"))</f>
        <v>0</v>
      </c>
      <c r="AA1195" s="101">
        <f>IF('Net zero activities &amp; levers'!$C$14="Off",Constants!$H73*'Activity data'!AT15*Constants!$H91*EF!$H216*MMVolatEF*NtoN2O*kgtoGg,IF('Net zero activities &amp; levers'!$C$14="On",Constants!$H73*'Net zero Activity data'!AT15*Constants!$H91*EF!$H216*MMVolatEF*NtoN2O*kgtoGg,"ERROR"))</f>
        <v>0</v>
      </c>
      <c r="AB1195" s="101">
        <f>IF('Net zero activities &amp; levers'!$C$14="Off",Constants!$H73*'Activity data'!AU15*Constants!$H91*EF!$H216*MMVolatEF*NtoN2O*kgtoGg,IF('Net zero activities &amp; levers'!$C$14="On",Constants!$H73*'Net zero Activity data'!AU15*Constants!$H91*EF!$H216*MMVolatEF*NtoN2O*kgtoGg,"ERROR"))</f>
        <v>0</v>
      </c>
      <c r="AC1195" s="101">
        <f>IF('Net zero activities &amp; levers'!$C$14="Off",Constants!$H73*'Activity data'!AV15*Constants!$H91*EF!$H216*MMVolatEF*NtoN2O*kgtoGg,IF('Net zero activities &amp; levers'!$C$14="On",Constants!$H73*'Net zero Activity data'!AV15*Constants!$H91*EF!$H216*MMVolatEF*NtoN2O*kgtoGg,"ERROR"))</f>
        <v>0</v>
      </c>
      <c r="AD1195" s="101">
        <f>IF('Net zero activities &amp; levers'!$C$14="Off",Constants!$H73*'Activity data'!AW15*Constants!$H91*EF!$H216*MMVolatEF*NtoN2O*kgtoGg,IF('Net zero activities &amp; levers'!$C$14="On",Constants!$H73*'Net zero Activity data'!AW15*Constants!$H91*EF!$H216*MMVolatEF*NtoN2O*kgtoGg,"ERROR"))</f>
        <v>0</v>
      </c>
      <c r="AE1195" s="101">
        <f>IF('Net zero activities &amp; levers'!$C$14="Off",Constants!$H73*'Activity data'!AX15*Constants!$H91*EF!$H216*MMVolatEF*NtoN2O*kgtoGg,IF('Net zero activities &amp; levers'!$C$14="On",Constants!$H73*'Net zero Activity data'!AX15*Constants!$H91*EF!$H216*MMVolatEF*NtoN2O*kgtoGg,"ERROR"))</f>
        <v>0</v>
      </c>
      <c r="AF1195" s="101">
        <f>IF('Net zero activities &amp; levers'!$C$14="Off",Constants!$H73*'Activity data'!AY15*Constants!$H91*EF!$H216*MMVolatEF*NtoN2O*kgtoGg,IF('Net zero activities &amp; levers'!$C$14="On",Constants!$H73*'Net zero Activity data'!AY15*Constants!$H91*EF!$H216*MMVolatEF*NtoN2O*kgtoGg,"ERROR"))</f>
        <v>0</v>
      </c>
      <c r="AG1195" s="101">
        <f>IF('Net zero activities &amp; levers'!$C$14="Off",Constants!$H73*'Activity data'!AZ15*Constants!$H91*EF!$H216*MMVolatEF*NtoN2O*kgtoGg,IF('Net zero activities &amp; levers'!$C$14="On",Constants!$H73*'Net zero Activity data'!AZ15*Constants!$H91*EF!$H216*MMVolatEF*NtoN2O*kgtoGg,"ERROR"))</f>
        <v>0</v>
      </c>
      <c r="AH1195" s="101">
        <f>IF('Net zero activities &amp; levers'!$C$14="Off",Constants!$H73*'Activity data'!BA15*Constants!$H91*EF!$H216*MMVolatEF*NtoN2O*kgtoGg,IF('Net zero activities &amp; levers'!$C$14="On",Constants!$H73*'Net zero Activity data'!BA15*Constants!$H91*EF!$H216*MMVolatEF*NtoN2O*kgtoGg,"ERROR"))</f>
        <v>0</v>
      </c>
      <c r="AI1195" s="101">
        <f>IF('Net zero activities &amp; levers'!$C$14="Off",Constants!$H73*'Activity data'!BB15*Constants!$H91*EF!$H216*MMVolatEF*NtoN2O*kgtoGg,IF('Net zero activities &amp; levers'!$C$14="On",Constants!$H73*'Net zero Activity data'!BB15*Constants!$H91*EF!$H216*MMVolatEF*NtoN2O*kgtoGg,"ERROR"))</f>
        <v>0</v>
      </c>
      <c r="AJ1195" s="101">
        <f>IF('Net zero activities &amp; levers'!$C$14="Off",Constants!$H73*'Activity data'!BC15*Constants!$H91*EF!$H216*MMVolatEF*NtoN2O*kgtoGg,IF('Net zero activities &amp; levers'!$C$14="On",Constants!$H73*'Net zero Activity data'!BC15*Constants!$H91*EF!$H216*MMVolatEF*NtoN2O*kgtoGg,"ERROR"))</f>
        <v>0</v>
      </c>
      <c r="AK1195" s="101">
        <f>IF('Net zero activities &amp; levers'!$C$14="Off",Constants!$H73*'Activity data'!BD15*Constants!$H91*EF!$H216*MMVolatEF*NtoN2O*kgtoGg,IF('Net zero activities &amp; levers'!$C$14="On",Constants!$H73*'Net zero Activity data'!BD15*Constants!$H91*EF!$H216*MMVolatEF*NtoN2O*kgtoGg,"ERROR"))</f>
        <v>0</v>
      </c>
      <c r="AL1195" s="101">
        <f>IF('Net zero activities &amp; levers'!$C$14="Off",Constants!$H73*'Activity data'!BE15*Constants!$H91*EF!$H216*MMVolatEF*NtoN2O*kgtoGg,IF('Net zero activities &amp; levers'!$C$14="On",Constants!$H73*'Net zero Activity data'!BE15*Constants!$H91*EF!$H216*MMVolatEF*NtoN2O*kgtoGg,"ERROR"))</f>
        <v>0</v>
      </c>
      <c r="AM1195" s="101">
        <f>IF('Net zero activities &amp; levers'!$C$14="Off",Constants!$H73*'Activity data'!BF15*Constants!$H91*EF!$H216*MMVolatEF*NtoN2O*kgtoGg,IF('Net zero activities &amp; levers'!$C$14="On",Constants!$H73*'Net zero Activity data'!BF15*Constants!$H91*EF!$H216*MMVolatEF*NtoN2O*kgtoGg,"ERROR"))</f>
        <v>0</v>
      </c>
      <c r="AN1195" s="101">
        <f>IF('Net zero activities &amp; levers'!$C$14="Off",Constants!$H73*'Activity data'!BG15*Constants!$H91*EF!$H216*MMVolatEF*NtoN2O*kgtoGg,IF('Net zero activities &amp; levers'!$C$14="On",Constants!$H73*'Net zero Activity data'!BG15*Constants!$H91*EF!$H216*MMVolatEF*NtoN2O*kgtoGg,"ERROR"))</f>
        <v>0</v>
      </c>
      <c r="AO1195" s="101">
        <f>IF('Net zero activities &amp; levers'!$C$14="Off",Constants!$H73*'Activity data'!BH15*Constants!$H91*EF!$H216*MMVolatEF*NtoN2O*kgtoGg,IF('Net zero activities &amp; levers'!$C$14="On",Constants!$H73*'Net zero Activity data'!BH15*Constants!$H91*EF!$H216*MMVolatEF*NtoN2O*kgtoGg,"ERROR"))</f>
        <v>0</v>
      </c>
      <c r="AP1195" s="101">
        <f>IF('Net zero activities &amp; levers'!$C$14="Off",Constants!$H73*'Activity data'!BI15*Constants!$H91*EF!$H216*MMVolatEF*NtoN2O*kgtoGg,IF('Net zero activities &amp; levers'!$C$14="On",Constants!$H73*'Net zero Activity data'!BI15*Constants!$H91*EF!$H216*MMVolatEF*NtoN2O*kgtoGg,"ERROR"))</f>
        <v>0</v>
      </c>
      <c r="AQ1195" s="101">
        <f>IF('Net zero activities &amp; levers'!$C$14="Off",Constants!$H73*'Activity data'!BJ15*Constants!$H91*EF!$H216*MMVolatEF*NtoN2O*kgtoGg,IF('Net zero activities &amp; levers'!$C$14="On",Constants!$H73*'Net zero Activity data'!BJ15*Constants!$H91*EF!$H216*MMVolatEF*NtoN2O*kgtoGg,"ERROR"))</f>
        <v>0</v>
      </c>
      <c r="AR1195" s="101">
        <f>IF('Net zero activities &amp; levers'!$C$14="Off",Constants!$H73*'Activity data'!BK15*Constants!$H91*EF!$H216*MMVolatEF*NtoN2O*kgtoGg,IF('Net zero activities &amp; levers'!$C$14="On",Constants!$H73*'Net zero Activity data'!BK15*Constants!$H91*EF!$H216*MMVolatEF*NtoN2O*kgtoGg,"ERROR"))</f>
        <v>0</v>
      </c>
      <c r="AS1195" s="101">
        <f>IF('Net zero activities &amp; levers'!$C$14="Off",Constants!$H73*'Activity data'!BL15*Constants!$H91*EF!$H216*MMVolatEF*NtoN2O*kgtoGg,IF('Net zero activities &amp; levers'!$C$14="On",Constants!$H73*'Net zero Activity data'!BL15*Constants!$H91*EF!$H216*MMVolatEF*NtoN2O*kgtoGg,"ERROR"))</f>
        <v>0</v>
      </c>
      <c r="AT1195" s="101">
        <f>IF('Net zero activities &amp; levers'!$C$14="Off",Constants!$H73*'Activity data'!BM15*Constants!$H91*EF!$H216*MMVolatEF*NtoN2O*kgtoGg,IF('Net zero activities &amp; levers'!$C$14="On",Constants!$H73*'Net zero Activity data'!BM15*Constants!$H91*EF!$H216*MMVolatEF*NtoN2O*kgtoGg,"ERROR"))</f>
        <v>0</v>
      </c>
      <c r="AU1195" s="101">
        <f>IF('Net zero activities &amp; levers'!$C$14="Off",Constants!$H73*'Activity data'!BN15*Constants!$H91*EF!$H216*MMVolatEF*NtoN2O*kgtoGg,IF('Net zero activities &amp; levers'!$C$14="On",Constants!$H73*'Net zero Activity data'!BN15*Constants!$H91*EF!$H216*MMVolatEF*NtoN2O*kgtoGg,"ERROR"))</f>
        <v>0</v>
      </c>
      <c r="AV1195" s="101">
        <f>IF('Net zero activities &amp; levers'!$C$14="Off",Constants!$H73*'Activity data'!BO15*Constants!$H91*EF!$H216*MMVolatEF*NtoN2O*kgtoGg,IF('Net zero activities &amp; levers'!$C$14="On",Constants!$H73*'Net zero Activity data'!BO15*Constants!$H91*EF!$H216*MMVolatEF*NtoN2O*kgtoGg,"ERROR"))</f>
        <v>0</v>
      </c>
      <c r="AW1195" s="101">
        <f>IF('Net zero activities &amp; levers'!$C$14="Off",Constants!$H73*'Activity data'!BP15*Constants!$H91*EF!$H216*MMVolatEF*NtoN2O*kgtoGg,IF('Net zero activities &amp; levers'!$C$14="On",Constants!$H73*'Net zero Activity data'!BP15*Constants!$H91*EF!$H216*MMVolatEF*NtoN2O*kgtoGg,"ERROR"))</f>
        <v>0</v>
      </c>
      <c r="AY1195" s="85"/>
    </row>
    <row r="1196" spans="1:51" x14ac:dyDescent="0.25">
      <c r="A1196" s="102" t="str">
        <f t="shared" si="380"/>
        <v>CM MM Volatilisation</v>
      </c>
      <c r="B1196" s="102" t="s">
        <v>1323</v>
      </c>
      <c r="C1196" s="102" t="s">
        <v>1333</v>
      </c>
      <c r="D1196" t="s">
        <v>369</v>
      </c>
      <c r="E1196" t="s">
        <v>64</v>
      </c>
      <c r="F1196" t="s">
        <v>62</v>
      </c>
      <c r="G1196" t="s">
        <v>1175</v>
      </c>
      <c r="H1196" t="s">
        <v>1302</v>
      </c>
      <c r="I1196" t="s">
        <v>139</v>
      </c>
      <c r="J1196" t="s">
        <v>287</v>
      </c>
      <c r="K1196" s="101">
        <f>IF('Net zero activities &amp; levers'!$C$14="Off",Constants!$H74*'Activity data'!AD16*Constants!$H92*EF!$H217*MMVolatEF*NtoN2O*kgtoGg,IF('Net zero activities &amp; levers'!$C$14="On",Constants!$H74*'Net zero Activity data'!AD16*Constants!$H92*EF!$H217*MMVolatEF*NtoN2O*kgtoGg,"ERROR"))</f>
        <v>0</v>
      </c>
      <c r="L1196" s="101">
        <f>IF('Net zero activities &amp; levers'!$C$14="Off",Constants!$H74*'Activity data'!AE16*Constants!$H92*EF!$H217*MMVolatEF*NtoN2O*kgtoGg,IF('Net zero activities &amp; levers'!$C$14="On",Constants!$H74*'Net zero Activity data'!AE16*Constants!$H92*EF!$H217*MMVolatEF*NtoN2O*kgtoGg,"ERROR"))</f>
        <v>0</v>
      </c>
      <c r="M1196" s="101">
        <f>IF('Net zero activities &amp; levers'!$C$14="Off",Constants!$H74*'Activity data'!AF16*Constants!$H92*EF!$H217*MMVolatEF*NtoN2O*kgtoGg,IF('Net zero activities &amp; levers'!$C$14="On",Constants!$H74*'Net zero Activity data'!AF16*Constants!$H92*EF!$H217*MMVolatEF*NtoN2O*kgtoGg,"ERROR"))</f>
        <v>0</v>
      </c>
      <c r="N1196" s="101">
        <f>IF('Net zero activities &amp; levers'!$C$14="Off",Constants!$H74*'Activity data'!AG16*Constants!$H92*EF!$H217*MMVolatEF*NtoN2O*kgtoGg,IF('Net zero activities &amp; levers'!$C$14="On",Constants!$H74*'Net zero Activity data'!AG16*Constants!$H92*EF!$H217*MMVolatEF*NtoN2O*kgtoGg,"ERROR"))</f>
        <v>0</v>
      </c>
      <c r="O1196" s="101">
        <f>IF('Net zero activities &amp; levers'!$C$14="Off",Constants!$H74*'Activity data'!AH16*Constants!$H92*EF!$H217*MMVolatEF*NtoN2O*kgtoGg,IF('Net zero activities &amp; levers'!$C$14="On",Constants!$H74*'Net zero Activity data'!AH16*Constants!$H92*EF!$H217*MMVolatEF*NtoN2O*kgtoGg,"ERROR"))</f>
        <v>0</v>
      </c>
      <c r="P1196" s="101">
        <f>IF('Net zero activities &amp; levers'!$C$14="Off",Constants!$H74*'Activity data'!AI16*Constants!$H92*EF!$H217*MMVolatEF*NtoN2O*kgtoGg,IF('Net zero activities &amp; levers'!$C$14="On",Constants!$H74*'Net zero Activity data'!AI16*Constants!$H92*EF!$H217*MMVolatEF*NtoN2O*kgtoGg,"ERROR"))</f>
        <v>0</v>
      </c>
      <c r="Q1196" s="101">
        <f>IF('Net zero activities &amp; levers'!$C$14="Off",Constants!$H74*'Activity data'!AJ16*Constants!$H92*EF!$H217*MMVolatEF*NtoN2O*kgtoGg,IF('Net zero activities &amp; levers'!$C$14="On",Constants!$H74*'Net zero Activity data'!AJ16*Constants!$H92*EF!$H217*MMVolatEF*NtoN2O*kgtoGg,"ERROR"))</f>
        <v>0</v>
      </c>
      <c r="R1196" s="101">
        <f>IF('Net zero activities &amp; levers'!$C$14="Off",Constants!$H74*'Activity data'!AK16*Constants!$H92*EF!$H217*MMVolatEF*NtoN2O*kgtoGg,IF('Net zero activities &amp; levers'!$C$14="On",Constants!$H74*'Net zero Activity data'!AK16*Constants!$H92*EF!$H217*MMVolatEF*NtoN2O*kgtoGg,"ERROR"))</f>
        <v>0</v>
      </c>
      <c r="S1196" s="101">
        <f>IF('Net zero activities &amp; levers'!$C$14="Off",Constants!$H74*'Activity data'!AL16*Constants!$H92*EF!$H217*MMVolatEF*NtoN2O*kgtoGg,IF('Net zero activities &amp; levers'!$C$14="On",Constants!$H74*'Net zero Activity data'!AL16*Constants!$H92*EF!$H217*MMVolatEF*NtoN2O*kgtoGg,"ERROR"))</f>
        <v>0</v>
      </c>
      <c r="T1196" s="101">
        <f>IF('Net zero activities &amp; levers'!$C$14="Off",Constants!$H74*'Activity data'!AM16*Constants!$H92*EF!$H217*MMVolatEF*NtoN2O*kgtoGg,IF('Net zero activities &amp; levers'!$C$14="On",Constants!$H74*'Net zero Activity data'!AM16*Constants!$H92*EF!$H217*MMVolatEF*NtoN2O*kgtoGg,"ERROR"))</f>
        <v>0</v>
      </c>
      <c r="U1196" s="101">
        <f>IF('Net zero activities &amp; levers'!$C$14="Off",Constants!$H74*'Activity data'!AN16*Constants!$H92*EF!$H217*MMVolatEF*NtoN2O*kgtoGg,IF('Net zero activities &amp; levers'!$C$14="On",Constants!$H74*'Net zero Activity data'!AN16*Constants!$H92*EF!$H217*MMVolatEF*NtoN2O*kgtoGg,"ERROR"))</f>
        <v>0</v>
      </c>
      <c r="V1196" s="101">
        <f>IF('Net zero activities &amp; levers'!$C$14="Off",Constants!$H74*'Activity data'!AO16*Constants!$H92*EF!$H217*MMVolatEF*NtoN2O*kgtoGg,IF('Net zero activities &amp; levers'!$C$14="On",Constants!$H74*'Net zero Activity data'!AO16*Constants!$H92*EF!$H217*MMVolatEF*NtoN2O*kgtoGg,"ERROR"))</f>
        <v>0</v>
      </c>
      <c r="W1196" s="101">
        <f>IF('Net zero activities &amp; levers'!$C$14="Off",Constants!$H74*'Activity data'!AP16*Constants!$H92*EF!$H217*MMVolatEF*NtoN2O*kgtoGg,IF('Net zero activities &amp; levers'!$C$14="On",Constants!$H74*'Net zero Activity data'!AP16*Constants!$H92*EF!$H217*MMVolatEF*NtoN2O*kgtoGg,"ERROR"))</f>
        <v>0</v>
      </c>
      <c r="X1196" s="101">
        <f>IF('Net zero activities &amp; levers'!$C$14="Off",Constants!$H74*'Activity data'!AQ16*Constants!$H92*EF!$H217*MMVolatEF*NtoN2O*kgtoGg,IF('Net zero activities &amp; levers'!$C$14="On",Constants!$H74*'Net zero Activity data'!AQ16*Constants!$H92*EF!$H217*MMVolatEF*NtoN2O*kgtoGg,"ERROR"))</f>
        <v>0</v>
      </c>
      <c r="Y1196" s="101">
        <f>IF('Net zero activities &amp; levers'!$C$14="Off",Constants!$H74*'Activity data'!AR16*Constants!$H92*EF!$H217*MMVolatEF*NtoN2O*kgtoGg,IF('Net zero activities &amp; levers'!$C$14="On",Constants!$H74*'Net zero Activity data'!AR16*Constants!$H92*EF!$H217*MMVolatEF*NtoN2O*kgtoGg,"ERROR"))</f>
        <v>0</v>
      </c>
      <c r="Z1196" s="101">
        <f>IF('Net zero activities &amp; levers'!$C$14="Off",Constants!$H74*'Activity data'!AS16*Constants!$H92*EF!$H217*MMVolatEF*NtoN2O*kgtoGg,IF('Net zero activities &amp; levers'!$C$14="On",Constants!$H74*'Net zero Activity data'!AS16*Constants!$H92*EF!$H217*MMVolatEF*NtoN2O*kgtoGg,"ERROR"))</f>
        <v>0</v>
      </c>
      <c r="AA1196" s="101">
        <f>IF('Net zero activities &amp; levers'!$C$14="Off",Constants!$H74*'Activity data'!AT16*Constants!$H92*EF!$H217*MMVolatEF*NtoN2O*kgtoGg,IF('Net zero activities &amp; levers'!$C$14="On",Constants!$H74*'Net zero Activity data'!AT16*Constants!$H92*EF!$H217*MMVolatEF*NtoN2O*kgtoGg,"ERROR"))</f>
        <v>0</v>
      </c>
      <c r="AB1196" s="101">
        <f>IF('Net zero activities &amp; levers'!$C$14="Off",Constants!$H74*'Activity data'!AU16*Constants!$H92*EF!$H217*MMVolatEF*NtoN2O*kgtoGg,IF('Net zero activities &amp; levers'!$C$14="On",Constants!$H74*'Net zero Activity data'!AU16*Constants!$H92*EF!$H217*MMVolatEF*NtoN2O*kgtoGg,"ERROR"))</f>
        <v>0</v>
      </c>
      <c r="AC1196" s="101">
        <f>IF('Net zero activities &amp; levers'!$C$14="Off",Constants!$H74*'Activity data'!AV16*Constants!$H92*EF!$H217*MMVolatEF*NtoN2O*kgtoGg,IF('Net zero activities &amp; levers'!$C$14="On",Constants!$H74*'Net zero Activity data'!AV16*Constants!$H92*EF!$H217*MMVolatEF*NtoN2O*kgtoGg,"ERROR"))</f>
        <v>0</v>
      </c>
      <c r="AD1196" s="101">
        <f>IF('Net zero activities &amp; levers'!$C$14="Off",Constants!$H74*'Activity data'!AW16*Constants!$H92*EF!$H217*MMVolatEF*NtoN2O*kgtoGg,IF('Net zero activities &amp; levers'!$C$14="On",Constants!$H74*'Net zero Activity data'!AW16*Constants!$H92*EF!$H217*MMVolatEF*NtoN2O*kgtoGg,"ERROR"))</f>
        <v>0</v>
      </c>
      <c r="AE1196" s="101">
        <f>IF('Net zero activities &amp; levers'!$C$14="Off",Constants!$H74*'Activity data'!AX16*Constants!$H92*EF!$H217*MMVolatEF*NtoN2O*kgtoGg,IF('Net zero activities &amp; levers'!$C$14="On",Constants!$H74*'Net zero Activity data'!AX16*Constants!$H92*EF!$H217*MMVolatEF*NtoN2O*kgtoGg,"ERROR"))</f>
        <v>0</v>
      </c>
      <c r="AF1196" s="101">
        <f>IF('Net zero activities &amp; levers'!$C$14="Off",Constants!$H74*'Activity data'!AY16*Constants!$H92*EF!$H217*MMVolatEF*NtoN2O*kgtoGg,IF('Net zero activities &amp; levers'!$C$14="On",Constants!$H74*'Net zero Activity data'!AY16*Constants!$H92*EF!$H217*MMVolatEF*NtoN2O*kgtoGg,"ERROR"))</f>
        <v>0</v>
      </c>
      <c r="AG1196" s="101">
        <f>IF('Net zero activities &amp; levers'!$C$14="Off",Constants!$H74*'Activity data'!AZ16*Constants!$H92*EF!$H217*MMVolatEF*NtoN2O*kgtoGg,IF('Net zero activities &amp; levers'!$C$14="On",Constants!$H74*'Net zero Activity data'!AZ16*Constants!$H92*EF!$H217*MMVolatEF*NtoN2O*kgtoGg,"ERROR"))</f>
        <v>0</v>
      </c>
      <c r="AH1196" s="101">
        <f>IF('Net zero activities &amp; levers'!$C$14="Off",Constants!$H74*'Activity data'!BA16*Constants!$H92*EF!$H217*MMVolatEF*NtoN2O*kgtoGg,IF('Net zero activities &amp; levers'!$C$14="On",Constants!$H74*'Net zero Activity data'!BA16*Constants!$H92*EF!$H217*MMVolatEF*NtoN2O*kgtoGg,"ERROR"))</f>
        <v>0</v>
      </c>
      <c r="AI1196" s="101">
        <f>IF('Net zero activities &amp; levers'!$C$14="Off",Constants!$H74*'Activity data'!BB16*Constants!$H92*EF!$H217*MMVolatEF*NtoN2O*kgtoGg,IF('Net zero activities &amp; levers'!$C$14="On",Constants!$H74*'Net zero Activity data'!BB16*Constants!$H92*EF!$H217*MMVolatEF*NtoN2O*kgtoGg,"ERROR"))</f>
        <v>0</v>
      </c>
      <c r="AJ1196" s="101">
        <f>IF('Net zero activities &amp; levers'!$C$14="Off",Constants!$H74*'Activity data'!BC16*Constants!$H92*EF!$H217*MMVolatEF*NtoN2O*kgtoGg,IF('Net zero activities &amp; levers'!$C$14="On",Constants!$H74*'Net zero Activity data'!BC16*Constants!$H92*EF!$H217*MMVolatEF*NtoN2O*kgtoGg,"ERROR"))</f>
        <v>0</v>
      </c>
      <c r="AK1196" s="101">
        <f>IF('Net zero activities &amp; levers'!$C$14="Off",Constants!$H74*'Activity data'!BD16*Constants!$H92*EF!$H217*MMVolatEF*NtoN2O*kgtoGg,IF('Net zero activities &amp; levers'!$C$14="On",Constants!$H74*'Net zero Activity data'!BD16*Constants!$H92*EF!$H217*MMVolatEF*NtoN2O*kgtoGg,"ERROR"))</f>
        <v>0</v>
      </c>
      <c r="AL1196" s="101">
        <f>IF('Net zero activities &amp; levers'!$C$14="Off",Constants!$H74*'Activity data'!BE16*Constants!$H92*EF!$H217*MMVolatEF*NtoN2O*kgtoGg,IF('Net zero activities &amp; levers'!$C$14="On",Constants!$H74*'Net zero Activity data'!BE16*Constants!$H92*EF!$H217*MMVolatEF*NtoN2O*kgtoGg,"ERROR"))</f>
        <v>0</v>
      </c>
      <c r="AM1196" s="101">
        <f>IF('Net zero activities &amp; levers'!$C$14="Off",Constants!$H74*'Activity data'!BF16*Constants!$H92*EF!$H217*MMVolatEF*NtoN2O*kgtoGg,IF('Net zero activities &amp; levers'!$C$14="On",Constants!$H74*'Net zero Activity data'!BF16*Constants!$H92*EF!$H217*MMVolatEF*NtoN2O*kgtoGg,"ERROR"))</f>
        <v>0</v>
      </c>
      <c r="AN1196" s="101">
        <f>IF('Net zero activities &amp; levers'!$C$14="Off",Constants!$H74*'Activity data'!BG16*Constants!$H92*EF!$H217*MMVolatEF*NtoN2O*kgtoGg,IF('Net zero activities &amp; levers'!$C$14="On",Constants!$H74*'Net zero Activity data'!BG16*Constants!$H92*EF!$H217*MMVolatEF*NtoN2O*kgtoGg,"ERROR"))</f>
        <v>0</v>
      </c>
      <c r="AO1196" s="101">
        <f>IF('Net zero activities &amp; levers'!$C$14="Off",Constants!$H74*'Activity data'!BH16*Constants!$H92*EF!$H217*MMVolatEF*NtoN2O*kgtoGg,IF('Net zero activities &amp; levers'!$C$14="On",Constants!$H74*'Net zero Activity data'!BH16*Constants!$H92*EF!$H217*MMVolatEF*NtoN2O*kgtoGg,"ERROR"))</f>
        <v>0</v>
      </c>
      <c r="AP1196" s="101">
        <f>IF('Net zero activities &amp; levers'!$C$14="Off",Constants!$H74*'Activity data'!BI16*Constants!$H92*EF!$H217*MMVolatEF*NtoN2O*kgtoGg,IF('Net zero activities &amp; levers'!$C$14="On",Constants!$H74*'Net zero Activity data'!BI16*Constants!$H92*EF!$H217*MMVolatEF*NtoN2O*kgtoGg,"ERROR"))</f>
        <v>0</v>
      </c>
      <c r="AQ1196" s="101">
        <f>IF('Net zero activities &amp; levers'!$C$14="Off",Constants!$H74*'Activity data'!BJ16*Constants!$H92*EF!$H217*MMVolatEF*NtoN2O*kgtoGg,IF('Net zero activities &amp; levers'!$C$14="On",Constants!$H74*'Net zero Activity data'!BJ16*Constants!$H92*EF!$H217*MMVolatEF*NtoN2O*kgtoGg,"ERROR"))</f>
        <v>0</v>
      </c>
      <c r="AR1196" s="101">
        <f>IF('Net zero activities &amp; levers'!$C$14="Off",Constants!$H74*'Activity data'!BK16*Constants!$H92*EF!$H217*MMVolatEF*NtoN2O*kgtoGg,IF('Net zero activities &amp; levers'!$C$14="On",Constants!$H74*'Net zero Activity data'!BK16*Constants!$H92*EF!$H217*MMVolatEF*NtoN2O*kgtoGg,"ERROR"))</f>
        <v>0</v>
      </c>
      <c r="AS1196" s="101">
        <f>IF('Net zero activities &amp; levers'!$C$14="Off",Constants!$H74*'Activity data'!BL16*Constants!$H92*EF!$H217*MMVolatEF*NtoN2O*kgtoGg,IF('Net zero activities &amp; levers'!$C$14="On",Constants!$H74*'Net zero Activity data'!BL16*Constants!$H92*EF!$H217*MMVolatEF*NtoN2O*kgtoGg,"ERROR"))</f>
        <v>0</v>
      </c>
      <c r="AT1196" s="101">
        <f>IF('Net zero activities &amp; levers'!$C$14="Off",Constants!$H74*'Activity data'!BM16*Constants!$H92*EF!$H217*MMVolatEF*NtoN2O*kgtoGg,IF('Net zero activities &amp; levers'!$C$14="On",Constants!$H74*'Net zero Activity data'!BM16*Constants!$H92*EF!$H217*MMVolatEF*NtoN2O*kgtoGg,"ERROR"))</f>
        <v>0</v>
      </c>
      <c r="AU1196" s="101">
        <f>IF('Net zero activities &amp; levers'!$C$14="Off",Constants!$H74*'Activity data'!BN16*Constants!$H92*EF!$H217*MMVolatEF*NtoN2O*kgtoGg,IF('Net zero activities &amp; levers'!$C$14="On",Constants!$H74*'Net zero Activity data'!BN16*Constants!$H92*EF!$H217*MMVolatEF*NtoN2O*kgtoGg,"ERROR"))</f>
        <v>0</v>
      </c>
      <c r="AV1196" s="101">
        <f>IF('Net zero activities &amp; levers'!$C$14="Off",Constants!$H74*'Activity data'!BO16*Constants!$H92*EF!$H217*MMVolatEF*NtoN2O*kgtoGg,IF('Net zero activities &amp; levers'!$C$14="On",Constants!$H74*'Net zero Activity data'!BO16*Constants!$H92*EF!$H217*MMVolatEF*NtoN2O*kgtoGg,"ERROR"))</f>
        <v>0</v>
      </c>
      <c r="AW1196" s="101">
        <f>IF('Net zero activities &amp; levers'!$C$14="Off",Constants!$H74*'Activity data'!BP16*Constants!$H92*EF!$H217*MMVolatEF*NtoN2O*kgtoGg,IF('Net zero activities &amp; levers'!$C$14="On",Constants!$H74*'Net zero Activity data'!BP16*Constants!$H92*EF!$H217*MMVolatEF*NtoN2O*kgtoGg,"ERROR"))</f>
        <v>0</v>
      </c>
      <c r="AY1196" s="85"/>
    </row>
    <row r="1197" spans="1:51" x14ac:dyDescent="0.25">
      <c r="A1197" s="102" t="str">
        <f t="shared" si="380"/>
        <v>CM MM Volatilisation</v>
      </c>
      <c r="B1197" s="102" t="s">
        <v>1323</v>
      </c>
      <c r="C1197" s="102" t="s">
        <v>1333</v>
      </c>
      <c r="D1197" t="s">
        <v>369</v>
      </c>
      <c r="E1197" t="s">
        <v>64</v>
      </c>
      <c r="F1197" t="s">
        <v>62</v>
      </c>
      <c r="G1197" t="s">
        <v>1177</v>
      </c>
      <c r="H1197" t="s">
        <v>1303</v>
      </c>
      <c r="I1197" t="s">
        <v>139</v>
      </c>
      <c r="J1197" t="s">
        <v>287</v>
      </c>
      <c r="K1197" s="101">
        <f>IF('Net zero activities &amp; levers'!$C$14="Off",Constants!$H75*'Activity data'!AD17*Constants!$H93*EF!$H218*MMVolatEF*NtoN2O*kgtoGg,IF('Net zero activities &amp; levers'!$C$14="On",Constants!$H75*'Net zero Activity data'!AD17*Constants!$H93*EF!$H218*MMVolatEF*NtoN2O*kgtoGg,"ERROR"))</f>
        <v>0.13175582522236642</v>
      </c>
      <c r="L1197" s="101">
        <f>IF('Net zero activities &amp; levers'!$C$14="Off",Constants!$H75*'Activity data'!AE17*Constants!$H93*EF!$H218*MMVolatEF*NtoN2O*kgtoGg,IF('Net zero activities &amp; levers'!$C$14="On",Constants!$H75*'Net zero Activity data'!AE17*Constants!$H93*EF!$H218*MMVolatEF*NtoN2O*kgtoGg,"ERROR"))</f>
        <v>0.13133995591331252</v>
      </c>
      <c r="M1197" s="101">
        <f>IF('Net zero activities &amp; levers'!$C$14="Off",Constants!$H75*'Activity data'!AF17*Constants!$H93*EF!$H218*MMVolatEF*NtoN2O*kgtoGg,IF('Net zero activities &amp; levers'!$C$14="On",Constants!$H75*'Net zero Activity data'!AF17*Constants!$H93*EF!$H218*MMVolatEF*NtoN2O*kgtoGg,"ERROR"))</f>
        <v>0.12996467924172889</v>
      </c>
      <c r="N1197" s="101">
        <f>IF('Net zero activities &amp; levers'!$C$14="Off",Constants!$H75*'Activity data'!AG17*Constants!$H93*EF!$H218*MMVolatEF*NtoN2O*kgtoGg,IF('Net zero activities &amp; levers'!$C$14="On",Constants!$H75*'Net zero Activity data'!AG17*Constants!$H93*EF!$H218*MMVolatEF*NtoN2O*kgtoGg,"ERROR"))</f>
        <v>0.12729440169626086</v>
      </c>
      <c r="O1197" s="101">
        <f>IF('Net zero activities &amp; levers'!$C$14="Off",Constants!$H75*'Activity data'!AH17*Constants!$H93*EF!$H218*MMVolatEF*NtoN2O*kgtoGg,IF('Net zero activities &amp; levers'!$C$14="On",Constants!$H75*'Net zero Activity data'!AH17*Constants!$H93*EF!$H218*MMVolatEF*NtoN2O*kgtoGg,"ERROR"))</f>
        <v>0.124740958232787</v>
      </c>
      <c r="P1197" s="101">
        <f>IF('Net zero activities &amp; levers'!$C$14="Off",Constants!$H75*'Activity data'!AI17*Constants!$H93*EF!$H218*MMVolatEF*NtoN2O*kgtoGg,IF('Net zero activities &amp; levers'!$C$14="On",Constants!$H75*'Net zero Activity data'!AI17*Constants!$H93*EF!$H218*MMVolatEF*NtoN2O*kgtoGg,"ERROR"))</f>
        <v>0.12294968484167307</v>
      </c>
      <c r="Q1197" s="101">
        <f>IF('Net zero activities &amp; levers'!$C$14="Off",Constants!$H75*'Activity data'!AJ17*Constants!$H93*EF!$H218*MMVolatEF*NtoN2O*kgtoGg,IF('Net zero activities &amp; levers'!$C$14="On",Constants!$H75*'Net zero Activity data'!AJ17*Constants!$H93*EF!$H218*MMVolatEF*NtoN2O*kgtoGg,"ERROR"))</f>
        <v>0.12143262568999565</v>
      </c>
      <c r="R1197" s="101">
        <f>IF('Net zero activities &amp; levers'!$C$14="Off",Constants!$H75*'Activity data'!AK17*Constants!$H93*EF!$H218*MMVolatEF*NtoN2O*kgtoGg,IF('Net zero activities &amp; levers'!$C$14="On",Constants!$H75*'Net zero Activity data'!AK17*Constants!$H93*EF!$H218*MMVolatEF*NtoN2O*kgtoGg,"ERROR"))</f>
        <v>0.11863912133480742</v>
      </c>
      <c r="S1197" s="101">
        <f>IF('Net zero activities &amp; levers'!$C$14="Off",Constants!$H75*'Activity data'!AL17*Constants!$H93*EF!$H218*MMVolatEF*NtoN2O*kgtoGg,IF('Net zero activities &amp; levers'!$C$14="On",Constants!$H75*'Net zero Activity data'!AL17*Constants!$H93*EF!$H218*MMVolatEF*NtoN2O*kgtoGg,"ERROR"))</f>
        <v>0.10385956683599189</v>
      </c>
      <c r="T1197" s="101">
        <f>IF('Net zero activities &amp; levers'!$C$14="Off",Constants!$H75*'Activity data'!AM17*Constants!$H93*EF!$H218*MMVolatEF*NtoN2O*kgtoGg,IF('Net zero activities &amp; levers'!$C$14="On",Constants!$H75*'Net zero Activity data'!AM17*Constants!$H93*EF!$H218*MMVolatEF*NtoN2O*kgtoGg,"ERROR"))</f>
        <v>0.10451955212302086</v>
      </c>
      <c r="U1197" s="101">
        <f>IF('Net zero activities &amp; levers'!$C$14="Off",Constants!$H75*'Activity data'!AN17*Constants!$H93*EF!$H218*MMVolatEF*NtoN2O*kgtoGg,IF('Net zero activities &amp; levers'!$C$14="On",Constants!$H75*'Net zero Activity data'!AN17*Constants!$H93*EF!$H218*MMVolatEF*NtoN2O*kgtoGg,"ERROR"))</f>
        <v>0.10485083769828313</v>
      </c>
      <c r="V1197" s="101">
        <f>IF('Net zero activities &amp; levers'!$C$14="Off",Constants!$H75*'Activity data'!AO17*Constants!$H93*EF!$H218*MMVolatEF*NtoN2O*kgtoGg,IF('Net zero activities &amp; levers'!$C$14="On",Constants!$H75*'Net zero Activity data'!AO17*Constants!$H93*EF!$H218*MMVolatEF*NtoN2O*kgtoGg,"ERROR"))</f>
        <v>0.10517291212466306</v>
      </c>
      <c r="W1197" s="101">
        <f>IF('Net zero activities &amp; levers'!$C$14="Off",Constants!$H75*'Activity data'!AP17*Constants!$H93*EF!$H218*MMVolatEF*NtoN2O*kgtoGg,IF('Net zero activities &amp; levers'!$C$14="On",Constants!$H75*'Net zero Activity data'!AP17*Constants!$H93*EF!$H218*MMVolatEF*NtoN2O*kgtoGg,"ERROR"))</f>
        <v>0.10595961192608362</v>
      </c>
      <c r="X1197" s="101">
        <f>IF('Net zero activities &amp; levers'!$C$14="Off",Constants!$H75*'Activity data'!AQ17*Constants!$H93*EF!$H218*MMVolatEF*NtoN2O*kgtoGg,IF('Net zero activities &amp; levers'!$C$14="On",Constants!$H75*'Net zero Activity data'!AQ17*Constants!$H93*EF!$H218*MMVolatEF*NtoN2O*kgtoGg,"ERROR"))</f>
        <v>0.10671986419880256</v>
      </c>
      <c r="Y1197" s="101">
        <f>IF('Net zero activities &amp; levers'!$C$14="Off",Constants!$H75*'Activity data'!AR17*Constants!$H93*EF!$H218*MMVolatEF*NtoN2O*kgtoGg,IF('Net zero activities &amp; levers'!$C$14="On",Constants!$H75*'Net zero Activity data'!AR17*Constants!$H93*EF!$H218*MMVolatEF*NtoN2O*kgtoGg,"ERROR"))</f>
        <v>0.10759206833097582</v>
      </c>
      <c r="Z1197" s="101">
        <f>IF('Net zero activities &amp; levers'!$C$14="Off",Constants!$H75*'Activity data'!AS17*Constants!$H93*EF!$H218*MMVolatEF*NtoN2O*kgtoGg,IF('Net zero activities &amp; levers'!$C$14="On",Constants!$H75*'Net zero Activity data'!AS17*Constants!$H93*EF!$H218*MMVolatEF*NtoN2O*kgtoGg,"ERROR"))</f>
        <v>0.10832415148302713</v>
      </c>
      <c r="AA1197" s="101">
        <f>IF('Net zero activities &amp; levers'!$C$14="Off",Constants!$H75*'Activity data'!AT17*Constants!$H93*EF!$H218*MMVolatEF*NtoN2O*kgtoGg,IF('Net zero activities &amp; levers'!$C$14="On",Constants!$H75*'Net zero Activity data'!AT17*Constants!$H93*EF!$H218*MMVolatEF*NtoN2O*kgtoGg,"ERROR"))</f>
        <v>0.10920394511601654</v>
      </c>
      <c r="AB1197" s="101">
        <f>IF('Net zero activities &amp; levers'!$C$14="Off",Constants!$H75*'Activity data'!AU17*Constants!$H93*EF!$H218*MMVolatEF*NtoN2O*kgtoGg,IF('Net zero activities &amp; levers'!$C$14="On",Constants!$H75*'Net zero Activity data'!AU17*Constants!$H93*EF!$H218*MMVolatEF*NtoN2O*kgtoGg,"ERROR"))</f>
        <v>0.10984438432762617</v>
      </c>
      <c r="AC1197" s="101">
        <f>IF('Net zero activities &amp; levers'!$C$14="Off",Constants!$H75*'Activity data'!AV17*Constants!$H93*EF!$H218*MMVolatEF*NtoN2O*kgtoGg,IF('Net zero activities &amp; levers'!$C$14="On",Constants!$H75*'Net zero Activity data'!AV17*Constants!$H93*EF!$H218*MMVolatEF*NtoN2O*kgtoGg,"ERROR"))</f>
        <v>0.11051807029951835</v>
      </c>
      <c r="AD1197" s="101">
        <f>IF('Net zero activities &amp; levers'!$C$14="Off",Constants!$H75*'Activity data'!AW17*Constants!$H93*EF!$H218*MMVolatEF*NtoN2O*kgtoGg,IF('Net zero activities &amp; levers'!$C$14="On",Constants!$H75*'Net zero Activity data'!AW17*Constants!$H93*EF!$H218*MMVolatEF*NtoN2O*kgtoGg,"ERROR"))</f>
        <v>0.11176064621994924</v>
      </c>
      <c r="AE1197" s="101">
        <f>IF('Net zero activities &amp; levers'!$C$14="Off",Constants!$H75*'Activity data'!AX17*Constants!$H93*EF!$H218*MMVolatEF*NtoN2O*kgtoGg,IF('Net zero activities &amp; levers'!$C$14="On",Constants!$H75*'Net zero Activity data'!AX17*Constants!$H93*EF!$H218*MMVolatEF*NtoN2O*kgtoGg,"ERROR"))</f>
        <v>0.11321217775824029</v>
      </c>
      <c r="AF1197" s="101">
        <f>IF('Net zero activities &amp; levers'!$C$14="Off",Constants!$H75*'Activity data'!AY17*Constants!$H93*EF!$H218*MMVolatEF*NtoN2O*kgtoGg,IF('Net zero activities &amp; levers'!$C$14="On",Constants!$H75*'Net zero Activity data'!AY17*Constants!$H93*EF!$H218*MMVolatEF*NtoN2O*kgtoGg,"ERROR"))</f>
        <v>0.11471425126432638</v>
      </c>
      <c r="AG1197" s="101">
        <f>IF('Net zero activities &amp; levers'!$C$14="Off",Constants!$H75*'Activity data'!AZ17*Constants!$H93*EF!$H218*MMVolatEF*NtoN2O*kgtoGg,IF('Net zero activities &amp; levers'!$C$14="On",Constants!$H75*'Net zero Activity data'!AZ17*Constants!$H93*EF!$H218*MMVolatEF*NtoN2O*kgtoGg,"ERROR"))</f>
        <v>0.11302605462152289</v>
      </c>
      <c r="AH1197" s="101">
        <f>IF('Net zero activities &amp; levers'!$C$14="Off",Constants!$H75*'Activity data'!BA17*Constants!$H93*EF!$H218*MMVolatEF*NtoN2O*kgtoGg,IF('Net zero activities &amp; levers'!$C$14="On",Constants!$H75*'Net zero Activity data'!BA17*Constants!$H93*EF!$H218*MMVolatEF*NtoN2O*kgtoGg,"ERROR"))</f>
        <v>-3.8135833829008307E-2</v>
      </c>
      <c r="AI1197" s="101">
        <f>IF('Net zero activities &amp; levers'!$C$14="Off",Constants!$H75*'Activity data'!BB17*Constants!$H93*EF!$H218*MMVolatEF*NtoN2O*kgtoGg,IF('Net zero activities &amp; levers'!$C$14="On",Constants!$H75*'Net zero Activity data'!BB17*Constants!$H93*EF!$H218*MMVolatEF*NtoN2O*kgtoGg,"ERROR"))</f>
        <v>-3.7718689403419284E-2</v>
      </c>
      <c r="AJ1197" s="101">
        <f>IF('Net zero activities &amp; levers'!$C$14="Off",Constants!$H75*'Activity data'!BC17*Constants!$H93*EF!$H218*MMVolatEF*NtoN2O*kgtoGg,IF('Net zero activities &amp; levers'!$C$14="On",Constants!$H75*'Net zero Activity data'!BC17*Constants!$H93*EF!$H218*MMVolatEF*NtoN2O*kgtoGg,"ERROR"))</f>
        <v>-3.7310479618025916E-2</v>
      </c>
      <c r="AK1197" s="101">
        <f>IF('Net zero activities &amp; levers'!$C$14="Off",Constants!$H75*'Activity data'!BD17*Constants!$H93*EF!$H218*MMVolatEF*NtoN2O*kgtoGg,IF('Net zero activities &amp; levers'!$C$14="On",Constants!$H75*'Net zero Activity data'!BD17*Constants!$H93*EF!$H218*MMVolatEF*NtoN2O*kgtoGg,"ERROR"))</f>
        <v>-3.6910619979896454E-2</v>
      </c>
      <c r="AL1197" s="101">
        <f>IF('Net zero activities &amp; levers'!$C$14="Off",Constants!$H75*'Activity data'!BE17*Constants!$H93*EF!$H218*MMVolatEF*NtoN2O*kgtoGg,IF('Net zero activities &amp; levers'!$C$14="On",Constants!$H75*'Net zero Activity data'!BE17*Constants!$H93*EF!$H218*MMVolatEF*NtoN2O*kgtoGg,"ERROR"))</f>
        <v>-3.6518568792738119E-2</v>
      </c>
      <c r="AM1197" s="101">
        <f>IF('Net zero activities &amp; levers'!$C$14="Off",Constants!$H75*'Activity data'!BF17*Constants!$H93*EF!$H218*MMVolatEF*NtoN2O*kgtoGg,IF('Net zero activities &amp; levers'!$C$14="On",Constants!$H75*'Net zero Activity data'!BF17*Constants!$H93*EF!$H218*MMVolatEF*NtoN2O*kgtoGg,"ERROR"))</f>
        <v>-3.6133823018213627E-2</v>
      </c>
      <c r="AN1197" s="101">
        <f>IF('Net zero activities &amp; levers'!$C$14="Off",Constants!$H75*'Activity data'!BG17*Constants!$H93*EF!$H218*MMVolatEF*NtoN2O*kgtoGg,IF('Net zero activities &amp; levers'!$C$14="On",Constants!$H75*'Net zero Activity data'!BG17*Constants!$H93*EF!$H218*MMVolatEF*NtoN2O*kgtoGg,"ERROR"))</f>
        <v>-3.5711833561214323E-2</v>
      </c>
      <c r="AO1197" s="101">
        <f>IF('Net zero activities &amp; levers'!$C$14="Off",Constants!$H75*'Activity data'!BH17*Constants!$H93*EF!$H218*MMVolatEF*NtoN2O*kgtoGg,IF('Net zero activities &amp; levers'!$C$14="On",Constants!$H75*'Net zero Activity data'!BH17*Constants!$H93*EF!$H218*MMVolatEF*NtoN2O*kgtoGg,"ERROR"))</f>
        <v>-3.5297284374171914E-2</v>
      </c>
      <c r="AP1197" s="101">
        <f>IF('Net zero activities &amp; levers'!$C$14="Off",Constants!$H75*'Activity data'!BI17*Constants!$H93*EF!$H218*MMVolatEF*NtoN2O*kgtoGg,IF('Net zero activities &amp; levers'!$C$14="On",Constants!$H75*'Net zero Activity data'!BI17*Constants!$H93*EF!$H218*MMVolatEF*NtoN2O*kgtoGg,"ERROR"))</f>
        <v>-3.4889740911291982E-2</v>
      </c>
      <c r="AQ1197" s="101">
        <f>IF('Net zero activities &amp; levers'!$C$14="Off",Constants!$H75*'Activity data'!BJ17*Constants!$H93*EF!$H218*MMVolatEF*NtoN2O*kgtoGg,IF('Net zero activities &amp; levers'!$C$14="On",Constants!$H75*'Net zero Activity data'!BJ17*Constants!$H93*EF!$H218*MMVolatEF*NtoN2O*kgtoGg,"ERROR"))</f>
        <v>-3.4488797010350791E-2</v>
      </c>
      <c r="AR1197" s="101">
        <f>IF('Net zero activities &amp; levers'!$C$14="Off",Constants!$H75*'Activity data'!BK17*Constants!$H93*EF!$H218*MMVolatEF*NtoN2O*kgtoGg,IF('Net zero activities &amp; levers'!$C$14="On",Constants!$H75*'Net zero Activity data'!BK17*Constants!$H93*EF!$H218*MMVolatEF*NtoN2O*kgtoGg,"ERROR"))</f>
        <v>-3.4094072440282994E-2</v>
      </c>
      <c r="AS1197" s="101">
        <f>IF('Net zero activities &amp; levers'!$C$14="Off",Constants!$H75*'Activity data'!BL17*Constants!$H93*EF!$H218*MMVolatEF*NtoN2O*kgtoGg,IF('Net zero activities &amp; levers'!$C$14="On",Constants!$H75*'Net zero Activity data'!BL17*Constants!$H93*EF!$H218*MMVolatEF*NtoN2O*kgtoGg,"ERROR"))</f>
        <v>-3.3663911026345139E-2</v>
      </c>
      <c r="AT1197" s="101">
        <f>IF('Net zero activities &amp; levers'!$C$14="Off",Constants!$H75*'Activity data'!BM17*Constants!$H93*EF!$H218*MMVolatEF*NtoN2O*kgtoGg,IF('Net zero activities &amp; levers'!$C$14="On",Constants!$H75*'Net zero Activity data'!BM17*Constants!$H93*EF!$H218*MMVolatEF*NtoN2O*kgtoGg,"ERROR"))</f>
        <v>-3.3240319741355787E-2</v>
      </c>
      <c r="AU1197" s="101">
        <f>IF('Net zero activities &amp; levers'!$C$14="Off",Constants!$H75*'Activity data'!BN17*Constants!$H93*EF!$H218*MMVolatEF*NtoN2O*kgtoGg,IF('Net zero activities &amp; levers'!$C$14="On",Constants!$H75*'Net zero Activity data'!BN17*Constants!$H93*EF!$H218*MMVolatEF*NtoN2O*kgtoGg,"ERROR"))</f>
        <v>-3.2822960396725463E-2</v>
      </c>
      <c r="AV1197" s="101">
        <f>IF('Net zero activities &amp; levers'!$C$14="Off",Constants!$H75*'Activity data'!BO17*Constants!$H93*EF!$H218*MMVolatEF*NtoN2O*kgtoGg,IF('Net zero activities &amp; levers'!$C$14="On",Constants!$H75*'Net zero Activity data'!BO17*Constants!$H93*EF!$H218*MMVolatEF*NtoN2O*kgtoGg,"ERROR"))</f>
        <v>-3.2411514785230008E-2</v>
      </c>
      <c r="AW1197" s="101">
        <f>IF('Net zero activities &amp; levers'!$C$14="Off",Constants!$H75*'Activity data'!BP17*Constants!$H93*EF!$H218*MMVolatEF*NtoN2O*kgtoGg,IF('Net zero activities &amp; levers'!$C$14="On",Constants!$H75*'Net zero Activity data'!BP17*Constants!$H93*EF!$H218*MMVolatEF*NtoN2O*kgtoGg,"ERROR"))</f>
        <v>-3.2005683123121166E-2</v>
      </c>
      <c r="AY1197" s="85"/>
    </row>
    <row r="1198" spans="1:51" x14ac:dyDescent="0.25">
      <c r="A1198" s="102" t="str">
        <f t="shared" si="380"/>
        <v>CM MM Volatilisation</v>
      </c>
      <c r="B1198" s="102" t="s">
        <v>1323</v>
      </c>
      <c r="C1198" s="102" t="s">
        <v>1333</v>
      </c>
      <c r="D1198" t="s">
        <v>369</v>
      </c>
      <c r="E1198" t="s">
        <v>64</v>
      </c>
      <c r="F1198" t="s">
        <v>62</v>
      </c>
      <c r="G1198" t="s">
        <v>1179</v>
      </c>
      <c r="H1198" t="s">
        <v>1304</v>
      </c>
      <c r="I1198" t="s">
        <v>139</v>
      </c>
      <c r="J1198" t="s">
        <v>287</v>
      </c>
      <c r="K1198" s="101">
        <f>IF('Net zero activities &amp; levers'!$C$14="Off",Constants!$H76*'Activity data'!AD18*Constants!$H94*EF!$H219*MMVolatEF*NtoN2O*kgtoGg,IF('Net zero activities &amp; levers'!$C$14="On",Constants!$H76*'Net zero Activity data'!AD18*Constants!$H94*EF!$H219*MMVolatEF*NtoN2O*kgtoGg,"ERROR"))</f>
        <v>1.2821907264588839E-2</v>
      </c>
      <c r="L1198" s="101">
        <f>IF('Net zero activities &amp; levers'!$C$14="Off",Constants!$H76*'Activity data'!AE18*Constants!$H94*EF!$H219*MMVolatEF*NtoN2O*kgtoGg,IF('Net zero activities &amp; levers'!$C$14="On",Constants!$H76*'Net zero Activity data'!AE18*Constants!$H94*EF!$H219*MMVolatEF*NtoN2O*kgtoGg,"ERROR"))</f>
        <v>1.2781436661441853E-2</v>
      </c>
      <c r="M1198" s="101">
        <f>IF('Net zero activities &amp; levers'!$C$14="Off",Constants!$H76*'Activity data'!AF18*Constants!$H94*EF!$H219*MMVolatEF*NtoN2O*kgtoGg,IF('Net zero activities &amp; levers'!$C$14="On",Constants!$H76*'Net zero Activity data'!AF18*Constants!$H94*EF!$H219*MMVolatEF*NtoN2O*kgtoGg,"ERROR"))</f>
        <v>1.2647600681769325E-2</v>
      </c>
      <c r="N1198" s="101">
        <f>IF('Net zero activities &amp; levers'!$C$14="Off",Constants!$H76*'Activity data'!AG18*Constants!$H94*EF!$H219*MMVolatEF*NtoN2O*kgtoGg,IF('Net zero activities &amp; levers'!$C$14="On",Constants!$H76*'Net zero Activity data'!AG18*Constants!$H94*EF!$H219*MMVolatEF*NtoN2O*kgtoGg,"ERROR"))</f>
        <v>1.2387740815984108E-2</v>
      </c>
      <c r="O1198" s="101">
        <f>IF('Net zero activities &amp; levers'!$C$14="Off",Constants!$H76*'Activity data'!AH18*Constants!$H94*EF!$H219*MMVolatEF*NtoN2O*kgtoGg,IF('Net zero activities &amp; levers'!$C$14="On",Constants!$H76*'Net zero Activity data'!AH18*Constants!$H94*EF!$H219*MMVolatEF*NtoN2O*kgtoGg,"ERROR"))</f>
        <v>1.2139250737926637E-2</v>
      </c>
      <c r="P1198" s="101">
        <f>IF('Net zero activities &amp; levers'!$C$14="Off",Constants!$H76*'Activity data'!AI18*Constants!$H94*EF!$H219*MMVolatEF*NtoN2O*kgtoGg,IF('Net zero activities &amp; levers'!$C$14="On",Constants!$H76*'Net zero Activity data'!AI18*Constants!$H94*EF!$H219*MMVolatEF*NtoN2O*kgtoGg,"ERROR"))</f>
        <v>1.196493175607042E-2</v>
      </c>
      <c r="Q1198" s="101">
        <f>IF('Net zero activities &amp; levers'!$C$14="Off",Constants!$H76*'Activity data'!AJ18*Constants!$H94*EF!$H219*MMVolatEF*NtoN2O*kgtoGg,IF('Net zero activities &amp; levers'!$C$14="On",Constants!$H76*'Net zero Activity data'!AJ18*Constants!$H94*EF!$H219*MMVolatEF*NtoN2O*kgtoGg,"ERROR"))</f>
        <v>1.1817298118431442E-2</v>
      </c>
      <c r="R1198" s="101">
        <f>IF('Net zero activities &amp; levers'!$C$14="Off",Constants!$H76*'Activity data'!AK18*Constants!$H94*EF!$H219*MMVolatEF*NtoN2O*kgtoGg,IF('Net zero activities &amp; levers'!$C$14="On",Constants!$H76*'Net zero Activity data'!AK18*Constants!$H94*EF!$H219*MMVolatEF*NtoN2O*kgtoGg,"ERROR"))</f>
        <v>1.1545446352295121E-2</v>
      </c>
      <c r="S1198" s="101">
        <f>IF('Net zero activities &amp; levers'!$C$14="Off",Constants!$H76*'Activity data'!AL18*Constants!$H94*EF!$H219*MMVolatEF*NtoN2O*kgtoGg,IF('Net zero activities &amp; levers'!$C$14="On",Constants!$H76*'Net zero Activity data'!AL18*Constants!$H94*EF!$H219*MMVolatEF*NtoN2O*kgtoGg,"ERROR"))</f>
        <v>1.0107164007845277E-2</v>
      </c>
      <c r="T1198" s="101">
        <f>IF('Net zero activities &amp; levers'!$C$14="Off",Constants!$H76*'Activity data'!AM18*Constants!$H94*EF!$H219*MMVolatEF*NtoN2O*kgtoGg,IF('Net zero activities &amp; levers'!$C$14="On",Constants!$H76*'Net zero Activity data'!AM18*Constants!$H94*EF!$H219*MMVolatEF*NtoN2O*kgtoGg,"ERROR"))</f>
        <v>1.0171390922533838E-2</v>
      </c>
      <c r="U1198" s="101">
        <f>IF('Net zero activities &amp; levers'!$C$14="Off",Constants!$H76*'Activity data'!AN18*Constants!$H94*EF!$H219*MMVolatEF*NtoN2O*kgtoGg,IF('Net zero activities &amp; levers'!$C$14="On",Constants!$H76*'Net zero Activity data'!AN18*Constants!$H94*EF!$H219*MMVolatEF*NtoN2O*kgtoGg,"ERROR"))</f>
        <v>1.020363020240583E-2</v>
      </c>
      <c r="V1198" s="101">
        <f>IF('Net zero activities &amp; levers'!$C$14="Off",Constants!$H76*'Activity data'!AO18*Constants!$H94*EF!$H219*MMVolatEF*NtoN2O*kgtoGg,IF('Net zero activities &amp; levers'!$C$14="On",Constants!$H76*'Net zero Activity data'!AO18*Constants!$H94*EF!$H219*MMVolatEF*NtoN2O*kgtoGg,"ERROR"))</f>
        <v>1.0234973093092974E-2</v>
      </c>
      <c r="W1198" s="101">
        <f>IF('Net zero activities &amp; levers'!$C$14="Off",Constants!$H76*'Activity data'!AP18*Constants!$H94*EF!$H219*MMVolatEF*NtoN2O*kgtoGg,IF('Net zero activities &amp; levers'!$C$14="On",Constants!$H76*'Net zero Activity data'!AP18*Constants!$H94*EF!$H219*MMVolatEF*NtoN2O*kgtoGg,"ERROR"))</f>
        <v>1.0311531316472175E-2</v>
      </c>
      <c r="X1198" s="101">
        <f>IF('Net zero activities &amp; levers'!$C$14="Off",Constants!$H76*'Activity data'!AQ18*Constants!$H94*EF!$H219*MMVolatEF*NtoN2O*kgtoGg,IF('Net zero activities &amp; levers'!$C$14="On",Constants!$H76*'Net zero Activity data'!AQ18*Constants!$H94*EF!$H219*MMVolatEF*NtoN2O*kgtoGg,"ERROR"))</f>
        <v>1.0385515780703972E-2</v>
      </c>
      <c r="Y1198" s="101">
        <f>IF('Net zero activities &amp; levers'!$C$14="Off",Constants!$H76*'Activity data'!AR18*Constants!$H94*EF!$H219*MMVolatEF*NtoN2O*kgtoGg,IF('Net zero activities &amp; levers'!$C$14="On",Constants!$H76*'Net zero Activity data'!AR18*Constants!$H94*EF!$H219*MMVolatEF*NtoN2O*kgtoGg,"ERROR"))</f>
        <v>1.0470394915874219E-2</v>
      </c>
      <c r="Z1198" s="101">
        <f>IF('Net zero activities &amp; levers'!$C$14="Off",Constants!$H76*'Activity data'!AS18*Constants!$H94*EF!$H219*MMVolatEF*NtoN2O*kgtoGg,IF('Net zero activities &amp; levers'!$C$14="On",Constants!$H76*'Net zero Activity data'!AS18*Constants!$H94*EF!$H219*MMVolatEF*NtoN2O*kgtoGg,"ERROR"))</f>
        <v>1.0541638083071781E-2</v>
      </c>
      <c r="AA1198" s="101">
        <f>IF('Net zero activities &amp; levers'!$C$14="Off",Constants!$H76*'Activity data'!AT18*Constants!$H94*EF!$H219*MMVolatEF*NtoN2O*kgtoGg,IF('Net zero activities &amp; levers'!$C$14="On",Constants!$H76*'Net zero Activity data'!AT18*Constants!$H94*EF!$H219*MMVolatEF*NtoN2O*kgtoGg,"ERROR"))</f>
        <v>1.0627255795648265E-2</v>
      </c>
      <c r="AB1198" s="101">
        <f>IF('Net zero activities &amp; levers'!$C$14="Off",Constants!$H76*'Activity data'!AU18*Constants!$H94*EF!$H219*MMVolatEF*NtoN2O*kgtoGg,IF('Net zero activities &amp; levers'!$C$14="On",Constants!$H76*'Net zero Activity data'!AU18*Constants!$H94*EF!$H219*MMVolatEF*NtoN2O*kgtoGg,"ERROR"))</f>
        <v>1.0689580570784438E-2</v>
      </c>
      <c r="AC1198" s="101">
        <f>IF('Net zero activities &amp; levers'!$C$14="Off",Constants!$H76*'Activity data'!AV18*Constants!$H94*EF!$H219*MMVolatEF*NtoN2O*kgtoGg,IF('Net zero activities &amp; levers'!$C$14="On",Constants!$H76*'Net zero Activity data'!AV18*Constants!$H94*EF!$H219*MMVolatEF*NtoN2O*kgtoGg,"ERROR"))</f>
        <v>1.0755140776889006E-2</v>
      </c>
      <c r="AD1198" s="101">
        <f>IF('Net zero activities &amp; levers'!$C$14="Off",Constants!$H76*'Activity data'!AW18*Constants!$H94*EF!$H219*MMVolatEF*NtoN2O*kgtoGg,IF('Net zero activities &amp; levers'!$C$14="On",Constants!$H76*'Net zero Activity data'!AW18*Constants!$H94*EF!$H219*MMVolatEF*NtoN2O*kgtoGg,"ERROR"))</f>
        <v>1.0876062893190786E-2</v>
      </c>
      <c r="AE1198" s="101">
        <f>IF('Net zero activities &amp; levers'!$C$14="Off",Constants!$H76*'Activity data'!AX18*Constants!$H94*EF!$H219*MMVolatEF*NtoN2O*kgtoGg,IF('Net zero activities &amp; levers'!$C$14="On",Constants!$H76*'Net zero Activity data'!AX18*Constants!$H94*EF!$H219*MMVolatEF*NtoN2O*kgtoGg,"ERROR"))</f>
        <v>1.1017319666803515E-2</v>
      </c>
      <c r="AF1198" s="101">
        <f>IF('Net zero activities &amp; levers'!$C$14="Off",Constants!$H76*'Activity data'!AY18*Constants!$H94*EF!$H219*MMVolatEF*NtoN2O*kgtoGg,IF('Net zero activities &amp; levers'!$C$14="On",Constants!$H76*'Net zero Activity data'!AY18*Constants!$H94*EF!$H219*MMVolatEF*NtoN2O*kgtoGg,"ERROR"))</f>
        <v>1.1163494966203955E-2</v>
      </c>
      <c r="AG1198" s="101">
        <f>IF('Net zero activities &amp; levers'!$C$14="Off",Constants!$H76*'Activity data'!AZ18*Constants!$H94*EF!$H219*MMVolatEF*NtoN2O*kgtoGg,IF('Net zero activities &amp; levers'!$C$14="On",Constants!$H76*'Net zero Activity data'!AZ18*Constants!$H94*EF!$H219*MMVolatEF*NtoN2O*kgtoGg,"ERROR"))</f>
        <v>1.0999206967841195E-2</v>
      </c>
      <c r="AH1198" s="101">
        <f>IF('Net zero activities &amp; levers'!$C$14="Off",Constants!$H76*'Activity data'!BA18*Constants!$H94*EF!$H219*MMVolatEF*NtoN2O*kgtoGg,IF('Net zero activities &amp; levers'!$C$14="On",Constants!$H76*'Net zero Activity data'!BA18*Constants!$H94*EF!$H219*MMVolatEF*NtoN2O*kgtoGg,"ERROR"))</f>
        <v>-3.7112144680363467E-3</v>
      </c>
      <c r="AI1198" s="101">
        <f>IF('Net zero activities &amp; levers'!$C$14="Off",Constants!$H76*'Activity data'!BB18*Constants!$H94*EF!$H219*MMVolatEF*NtoN2O*kgtoGg,IF('Net zero activities &amp; levers'!$C$14="On",Constants!$H76*'Net zero Activity data'!BB18*Constants!$H94*EF!$H219*MMVolatEF*NtoN2O*kgtoGg,"ERROR"))</f>
        <v>-3.6706197760611272E-3</v>
      </c>
      <c r="AJ1198" s="101">
        <f>IF('Net zero activities &amp; levers'!$C$14="Off",Constants!$H76*'Activity data'!BC18*Constants!$H94*EF!$H219*MMVolatEF*NtoN2O*kgtoGg,IF('Net zero activities &amp; levers'!$C$14="On",Constants!$H76*'Net zero Activity data'!BC18*Constants!$H94*EF!$H219*MMVolatEF*NtoN2O*kgtoGg,"ERROR"))</f>
        <v>-3.6308945646408518E-3</v>
      </c>
      <c r="AK1198" s="101">
        <f>IF('Net zero activities &amp; levers'!$C$14="Off",Constants!$H76*'Activity data'!BD18*Constants!$H94*EF!$H219*MMVolatEF*NtoN2O*kgtoGg,IF('Net zero activities &amp; levers'!$C$14="On",Constants!$H76*'Net zero Activity data'!BD18*Constants!$H94*EF!$H219*MMVolatEF*NtoN2O*kgtoGg,"ERROR"))</f>
        <v>-3.5919819534504542E-3</v>
      </c>
      <c r="AL1198" s="101">
        <f>IF('Net zero activities &amp; levers'!$C$14="Off",Constants!$H76*'Activity data'!BE18*Constants!$H94*EF!$H219*MMVolatEF*NtoN2O*kgtoGg,IF('Net zero activities &amp; levers'!$C$14="On",Constants!$H76*'Net zero Activity data'!BE18*Constants!$H94*EF!$H219*MMVolatEF*NtoN2O*kgtoGg,"ERROR"))</f>
        <v>-3.5538292269487438E-3</v>
      </c>
      <c r="AM1198" s="101">
        <f>IF('Net zero activities &amp; levers'!$C$14="Off",Constants!$H76*'Activity data'!BF18*Constants!$H94*EF!$H219*MMVolatEF*NtoN2O*kgtoGg,IF('Net zero activities &amp; levers'!$C$14="On",Constants!$H76*'Net zero Activity data'!BF18*Constants!$H94*EF!$H219*MMVolatEF*NtoN2O*kgtoGg,"ERROR"))</f>
        <v>-3.5163874316196208E-3</v>
      </c>
      <c r="AN1198" s="101">
        <f>IF('Net zero activities &amp; levers'!$C$14="Off",Constants!$H76*'Activity data'!BG18*Constants!$H94*EF!$H219*MMVolatEF*NtoN2O*kgtoGg,IF('Net zero activities &amp; levers'!$C$14="On",Constants!$H76*'Net zero Activity data'!BG18*Constants!$H94*EF!$H219*MMVolatEF*NtoN2O*kgtoGg,"ERROR"))</f>
        <v>-3.4753212421350377E-3</v>
      </c>
      <c r="AO1198" s="101">
        <f>IF('Net zero activities &amp; levers'!$C$14="Off",Constants!$H76*'Activity data'!BH18*Constants!$H94*EF!$H219*MMVolatEF*NtoN2O*kgtoGg,IF('Net zero activities &amp; levers'!$C$14="On",Constants!$H76*'Net zero Activity data'!BH18*Constants!$H94*EF!$H219*MMVolatEF*NtoN2O*kgtoGg,"ERROR"))</f>
        <v>-3.4349791075546665E-3</v>
      </c>
      <c r="AP1198" s="101">
        <f>IF('Net zero activities &amp; levers'!$C$14="Off",Constants!$H76*'Activity data'!BI18*Constants!$H94*EF!$H219*MMVolatEF*NtoN2O*kgtoGg,IF('Net zero activities &amp; levers'!$C$14="On",Constants!$H76*'Net zero Activity data'!BI18*Constants!$H94*EF!$H219*MMVolatEF*NtoN2O*kgtoGg,"ERROR"))</f>
        <v>-3.3953187397605549E-3</v>
      </c>
      <c r="AQ1198" s="101">
        <f>IF('Net zero activities &amp; levers'!$C$14="Off",Constants!$H76*'Activity data'!BJ18*Constants!$H94*EF!$H219*MMVolatEF*NtoN2O*kgtoGg,IF('Net zero activities &amp; levers'!$C$14="On",Constants!$H76*'Net zero Activity data'!BJ18*Constants!$H94*EF!$H219*MMVolatEF*NtoN2O*kgtoGg,"ERROR"))</f>
        <v>-3.3563006128011267E-3</v>
      </c>
      <c r="AR1198" s="101">
        <f>IF('Net zero activities &amp; levers'!$C$14="Off",Constants!$H76*'Activity data'!BK18*Constants!$H94*EF!$H219*MMVolatEF*NtoN2O*kgtoGg,IF('Net zero activities &amp; levers'!$C$14="On",Constants!$H76*'Net zero Activity data'!BK18*Constants!$H94*EF!$H219*MMVolatEF*NtoN2O*kgtoGg,"ERROR"))</f>
        <v>-3.3178877242330336E-3</v>
      </c>
      <c r="AS1198" s="101">
        <f>IF('Net zero activities &amp; levers'!$C$14="Off",Constants!$H76*'Activity data'!BL18*Constants!$H94*EF!$H219*MMVolatEF*NtoN2O*kgtoGg,IF('Net zero activities &amp; levers'!$C$14="On",Constants!$H76*'Net zero Activity data'!BL18*Constants!$H94*EF!$H219*MMVolatEF*NtoN2O*kgtoGg,"ERROR"))</f>
        <v>-3.2760262752306304E-3</v>
      </c>
      <c r="AT1198" s="101">
        <f>IF('Net zero activities &amp; levers'!$C$14="Off",Constants!$H76*'Activity data'!BM18*Constants!$H94*EF!$H219*MMVolatEF*NtoN2O*kgtoGg,IF('Net zero activities &amp; levers'!$C$14="On",Constants!$H76*'Net zero Activity data'!BM18*Constants!$H94*EF!$H219*MMVolatEF*NtoN2O*kgtoGg,"ERROR"))</f>
        <v>-3.2348042027715565E-3</v>
      </c>
      <c r="AU1198" s="101">
        <f>IF('Net zero activities &amp; levers'!$C$14="Off",Constants!$H76*'Activity data'!BN18*Constants!$H94*EF!$H219*MMVolatEF*NtoN2O*kgtoGg,IF('Net zero activities &amp; levers'!$C$14="On",Constants!$H76*'Net zero Activity data'!BN18*Constants!$H94*EF!$H219*MMVolatEF*NtoN2O*kgtoGg,"ERROR"))</f>
        <v>-3.1941885958044411E-3</v>
      </c>
      <c r="AV1198" s="101">
        <f>IF('Net zero activities &amp; levers'!$C$14="Off",Constants!$H76*'Activity data'!BO18*Constants!$H94*EF!$H219*MMVolatEF*NtoN2O*kgtoGg,IF('Net zero activities &amp; levers'!$C$14="On",Constants!$H76*'Net zero Activity data'!BO18*Constants!$H94*EF!$H219*MMVolatEF*NtoN2O*kgtoGg,"ERROR"))</f>
        <v>-3.1541484877779971E-3</v>
      </c>
      <c r="AW1198" s="101">
        <f>IF('Net zero activities &amp; levers'!$C$14="Off",Constants!$H76*'Activity data'!BP18*Constants!$H94*EF!$H219*MMVolatEF*NtoN2O*kgtoGg,IF('Net zero activities &amp; levers'!$C$14="On",Constants!$H76*'Net zero Activity data'!BP18*Constants!$H94*EF!$H219*MMVolatEF*NtoN2O*kgtoGg,"ERROR"))</f>
        <v>-3.1146547050339602E-3</v>
      </c>
      <c r="AY1198" s="85"/>
    </row>
    <row r="1199" spans="1:51" x14ac:dyDescent="0.25">
      <c r="A1199" s="102" t="str">
        <f t="shared" si="380"/>
        <v>CM MM Volatilisation</v>
      </c>
      <c r="B1199" s="102" t="s">
        <v>1323</v>
      </c>
      <c r="C1199" s="102" t="s">
        <v>1333</v>
      </c>
      <c r="D1199" t="s">
        <v>369</v>
      </c>
      <c r="E1199" t="s">
        <v>64</v>
      </c>
      <c r="F1199" t="s">
        <v>62</v>
      </c>
      <c r="G1199" t="s">
        <v>1181</v>
      </c>
      <c r="H1199" t="s">
        <v>1305</v>
      </c>
      <c r="I1199" t="s">
        <v>139</v>
      </c>
      <c r="J1199" t="s">
        <v>287</v>
      </c>
      <c r="K1199" s="101">
        <f>IF('Net zero activities &amp; levers'!$C$14="Off",Constants!$H77*'Activity data'!AD19*Constants!$H95*EF!$H220*MMVolatEF*NtoN2O*kgtoGg,IF('Net zero activities &amp; levers'!$C$14="On",Constants!$H77*'Net zero Activity data'!AD19*Constants!$H95*EF!$H220*MMVolatEF*NtoN2O*kgtoGg,"ERROR"))</f>
        <v>6.4805763262647462E-2</v>
      </c>
      <c r="L1199" s="101">
        <f>IF('Net zero activities &amp; levers'!$C$14="Off",Constants!$H77*'Activity data'!AE19*Constants!$H95*EF!$H220*MMVolatEF*NtoN2O*kgtoGg,IF('Net zero activities &amp; levers'!$C$14="On",Constants!$H77*'Net zero Activity data'!AE19*Constants!$H95*EF!$H220*MMVolatEF*NtoN2O*kgtoGg,"ERROR"))</f>
        <v>6.620917696085285E-2</v>
      </c>
      <c r="M1199" s="101">
        <f>IF('Net zero activities &amp; levers'!$C$14="Off",Constants!$H77*'Activity data'!AF19*Constants!$H95*EF!$H220*MMVolatEF*NtoN2O*kgtoGg,IF('Net zero activities &amp; levers'!$C$14="On",Constants!$H77*'Net zero Activity data'!AF19*Constants!$H95*EF!$H220*MMVolatEF*NtoN2O*kgtoGg,"ERROR"))</f>
        <v>6.7339988183967914E-2</v>
      </c>
      <c r="N1199" s="101">
        <f>IF('Net zero activities &amp; levers'!$C$14="Off",Constants!$H77*'Activity data'!AG19*Constants!$H95*EF!$H220*MMVolatEF*NtoN2O*kgtoGg,IF('Net zero activities &amp; levers'!$C$14="On",Constants!$H77*'Net zero Activity data'!AG19*Constants!$H95*EF!$H220*MMVolatEF*NtoN2O*kgtoGg,"ERROR"))</f>
        <v>6.8078843848603895E-2</v>
      </c>
      <c r="O1199" s="101">
        <f>IF('Net zero activities &amp; levers'!$C$14="Off",Constants!$H77*'Activity data'!AH19*Constants!$H95*EF!$H220*MMVolatEF*NtoN2O*kgtoGg,IF('Net zero activities &amp; levers'!$C$14="On",Constants!$H77*'Net zero Activity data'!AH19*Constants!$H95*EF!$H220*MMVolatEF*NtoN2O*kgtoGg,"ERROR"))</f>
        <v>6.8827728157938209E-2</v>
      </c>
      <c r="P1199" s="101">
        <f>IF('Net zero activities &amp; levers'!$C$14="Off",Constants!$H77*'Activity data'!AI19*Constants!$H95*EF!$H220*MMVolatEF*NtoN2O*kgtoGg,IF('Net zero activities &amp; levers'!$C$14="On",Constants!$H77*'Net zero Activity data'!AI19*Constants!$H95*EF!$H220*MMVolatEF*NtoN2O*kgtoGg,"ERROR"))</f>
        <v>6.9793181329029633E-2</v>
      </c>
      <c r="Q1199" s="101">
        <f>IF('Net zero activities &amp; levers'!$C$14="Off",Constants!$H77*'Activity data'!AJ19*Constants!$H95*EF!$H220*MMVolatEF*NtoN2O*kgtoGg,IF('Net zero activities &amp; levers'!$C$14="On",Constants!$H77*'Net zero Activity data'!AJ19*Constants!$H95*EF!$H220*MMVolatEF*NtoN2O*kgtoGg,"ERROR"))</f>
        <v>7.0825640221860539E-2</v>
      </c>
      <c r="R1199" s="101">
        <f>IF('Net zero activities &amp; levers'!$C$14="Off",Constants!$H77*'Activity data'!AK19*Constants!$H95*EF!$H220*MMVolatEF*NtoN2O*kgtoGg,IF('Net zero activities &amp; levers'!$C$14="On",Constants!$H77*'Net zero Activity data'!AK19*Constants!$H95*EF!$H220*MMVolatEF*NtoN2O*kgtoGg,"ERROR"))</f>
        <v>7.1426070236781977E-2</v>
      </c>
      <c r="S1199" s="101">
        <f>IF('Net zero activities &amp; levers'!$C$14="Off",Constants!$H77*'Activity data'!AL19*Constants!$H95*EF!$H220*MMVolatEF*NtoN2O*kgtoGg,IF('Net zero activities &amp; levers'!$C$14="On",Constants!$H77*'Net zero Activity data'!AL19*Constants!$H95*EF!$H220*MMVolatEF*NtoN2O*kgtoGg,"ERROR"))</f>
        <v>6.7971896986057309E-2</v>
      </c>
      <c r="T1199" s="101">
        <f>IF('Net zero activities &amp; levers'!$C$14="Off",Constants!$H77*'Activity data'!AM19*Constants!$H95*EF!$H220*MMVolatEF*NtoN2O*kgtoGg,IF('Net zero activities &amp; levers'!$C$14="On",Constants!$H77*'Net zero Activity data'!AM19*Constants!$H95*EF!$H220*MMVolatEF*NtoN2O*kgtoGg,"ERROR"))</f>
        <v>6.9431161818386017E-2</v>
      </c>
      <c r="U1199" s="101">
        <f>IF('Net zero activities &amp; levers'!$C$14="Off",Constants!$H77*'Activity data'!AN19*Constants!$H95*EF!$H220*MMVolatEF*NtoN2O*kgtoGg,IF('Net zero activities &amp; levers'!$C$14="On",Constants!$H77*'Net zero Activity data'!AN19*Constants!$H95*EF!$H220*MMVolatEF*NtoN2O*kgtoGg,"ERROR"))</f>
        <v>7.0793385596642902E-2</v>
      </c>
      <c r="V1199" s="101">
        <f>IF('Net zero activities &amp; levers'!$C$14="Off",Constants!$H77*'Activity data'!AO19*Constants!$H95*EF!$H220*MMVolatEF*NtoN2O*kgtoGg,IF('Net zero activities &amp; levers'!$C$14="On",Constants!$H77*'Net zero Activity data'!AO19*Constants!$H95*EF!$H220*MMVolatEF*NtoN2O*kgtoGg,"ERROR"))</f>
        <v>7.216636340015109E-2</v>
      </c>
      <c r="W1199" s="101">
        <f>IF('Net zero activities &amp; levers'!$C$14="Off",Constants!$H77*'Activity data'!AP19*Constants!$H95*EF!$H220*MMVolatEF*NtoN2O*kgtoGg,IF('Net zero activities &amp; levers'!$C$14="On",Constants!$H77*'Net zero Activity data'!AP19*Constants!$H95*EF!$H220*MMVolatEF*NtoN2O*kgtoGg,"ERROR"))</f>
        <v>7.3724598547713793E-2</v>
      </c>
      <c r="X1199" s="101">
        <f>IF('Net zero activities &amp; levers'!$C$14="Off",Constants!$H77*'Activity data'!AQ19*Constants!$H95*EF!$H220*MMVolatEF*NtoN2O*kgtoGg,IF('Net zero activities &amp; levers'!$C$14="On",Constants!$H77*'Net zero Activity data'!AQ19*Constants!$H95*EF!$H220*MMVolatEF*NtoN2O*kgtoGg,"ERROR"))</f>
        <v>7.5295777535110922E-2</v>
      </c>
      <c r="Y1199" s="101">
        <f>IF('Net zero activities &amp; levers'!$C$14="Off",Constants!$H77*'Activity data'!AR19*Constants!$H95*EF!$H220*MMVolatEF*NtoN2O*kgtoGg,IF('Net zero activities &amp; levers'!$C$14="On",Constants!$H77*'Net zero Activity data'!AR19*Constants!$H95*EF!$H220*MMVolatEF*NtoN2O*kgtoGg,"ERROR"))</f>
        <v>7.6868953264879816E-2</v>
      </c>
      <c r="Z1199" s="101">
        <f>IF('Net zero activities &amp; levers'!$C$14="Off",Constants!$H77*'Activity data'!AS19*Constants!$H95*EF!$H220*MMVolatEF*NtoN2O*kgtoGg,IF('Net zero activities &amp; levers'!$C$14="On",Constants!$H77*'Net zero Activity data'!AS19*Constants!$H95*EF!$H220*MMVolatEF*NtoN2O*kgtoGg,"ERROR"))</f>
        <v>7.8411785567373049E-2</v>
      </c>
      <c r="AA1199" s="101">
        <f>IF('Net zero activities &amp; levers'!$C$14="Off",Constants!$H77*'Activity data'!AT19*Constants!$H95*EF!$H220*MMVolatEF*NtoN2O*kgtoGg,IF('Net zero activities &amp; levers'!$C$14="On",Constants!$H77*'Net zero Activity data'!AT19*Constants!$H95*EF!$H220*MMVolatEF*NtoN2O*kgtoGg,"ERROR"))</f>
        <v>8.0036606766420104E-2</v>
      </c>
      <c r="AB1199" s="101">
        <f>IF('Net zero activities &amp; levers'!$C$14="Off",Constants!$H77*'Activity data'!AU19*Constants!$H95*EF!$H220*MMVolatEF*NtoN2O*kgtoGg,IF('Net zero activities &amp; levers'!$C$14="On",Constants!$H77*'Net zero Activity data'!AU19*Constants!$H95*EF!$H220*MMVolatEF*NtoN2O*kgtoGg,"ERROR"))</f>
        <v>8.1590030948431091E-2</v>
      </c>
      <c r="AC1199" s="101">
        <f>IF('Net zero activities &amp; levers'!$C$14="Off",Constants!$H77*'Activity data'!AV19*Constants!$H95*EF!$H220*MMVolatEF*NtoN2O*kgtoGg,IF('Net zero activities &amp; levers'!$C$14="On",Constants!$H77*'Net zero Activity data'!AV19*Constants!$H95*EF!$H220*MMVolatEF*NtoN2O*kgtoGg,"ERROR"))</f>
        <v>8.3180296189840519E-2</v>
      </c>
      <c r="AD1199" s="101">
        <f>IF('Net zero activities &amp; levers'!$C$14="Off",Constants!$H77*'Activity data'!AW19*Constants!$H95*EF!$H220*MMVolatEF*NtoN2O*kgtoGg,IF('Net zero activities &amp; levers'!$C$14="On",Constants!$H77*'Net zero Activity data'!AW19*Constants!$H95*EF!$H220*MMVolatEF*NtoN2O*kgtoGg,"ERROR"))</f>
        <v>8.498335225395226E-2</v>
      </c>
      <c r="AE1199" s="101">
        <f>IF('Net zero activities &amp; levers'!$C$14="Off",Constants!$H77*'Activity data'!AX19*Constants!$H95*EF!$H220*MMVolatEF*NtoN2O*kgtoGg,IF('Net zero activities &amp; levers'!$C$14="On",Constants!$H77*'Net zero Activity data'!AX19*Constants!$H95*EF!$H220*MMVolatEF*NtoN2O*kgtoGg,"ERROR"))</f>
        <v>8.691067585568038E-2</v>
      </c>
      <c r="AF1199" s="101">
        <f>IF('Net zero activities &amp; levers'!$C$14="Off",Constants!$H77*'Activity data'!AY19*Constants!$H95*EF!$H220*MMVolatEF*NtoN2O*kgtoGg,IF('Net zero activities &amp; levers'!$C$14="On",Constants!$H77*'Net zero Activity data'!AY19*Constants!$H95*EF!$H220*MMVolatEF*NtoN2O*kgtoGg,"ERROR"))</f>
        <v>8.8898633943391286E-2</v>
      </c>
      <c r="AG1199" s="101">
        <f>IF('Net zero activities &amp; levers'!$C$14="Off",Constants!$H77*'Activity data'!AZ19*Constants!$H95*EF!$H220*MMVolatEF*NtoN2O*kgtoGg,IF('Net zero activities &amp; levers'!$C$14="On",Constants!$H77*'Net zero Activity data'!AZ19*Constants!$H95*EF!$H220*MMVolatEF*NtoN2O*kgtoGg,"ERROR"))</f>
        <v>8.9490348349999485E-2</v>
      </c>
      <c r="AH1199" s="101">
        <f>IF('Net zero activities &amp; levers'!$C$14="Off",Constants!$H77*'Activity data'!BA19*Constants!$H95*EF!$H220*MMVolatEF*NtoN2O*kgtoGg,IF('Net zero activities &amp; levers'!$C$14="On",Constants!$H77*'Net zero Activity data'!BA19*Constants!$H95*EF!$H220*MMVolatEF*NtoN2O*kgtoGg,"ERROR"))</f>
        <v>2.1450020418190146E-2</v>
      </c>
      <c r="AI1199" s="101">
        <f>IF('Net zero activities &amp; levers'!$C$14="Off",Constants!$H77*'Activity data'!BB19*Constants!$H95*EF!$H220*MMVolatEF*NtoN2O*kgtoGg,IF('Net zero activities &amp; levers'!$C$14="On",Constants!$H77*'Net zero Activity data'!BB19*Constants!$H95*EF!$H220*MMVolatEF*NtoN2O*kgtoGg,"ERROR"))</f>
        <v>2.1614881965790762E-2</v>
      </c>
      <c r="AJ1199" s="101">
        <f>IF('Net zero activities &amp; levers'!$C$14="Off",Constants!$H77*'Activity data'!BC19*Constants!$H95*EF!$H220*MMVolatEF*NtoN2O*kgtoGg,IF('Net zero activities &amp; levers'!$C$14="On",Constants!$H77*'Net zero Activity data'!BC19*Constants!$H95*EF!$H220*MMVolatEF*NtoN2O*kgtoGg,"ERROR"))</f>
        <v>2.1780943831055617E-2</v>
      </c>
      <c r="AK1199" s="101">
        <f>IF('Net zero activities &amp; levers'!$C$14="Off",Constants!$H77*'Activity data'!BD19*Constants!$H95*EF!$H220*MMVolatEF*NtoN2O*kgtoGg,IF('Net zero activities &amp; levers'!$C$14="On",Constants!$H77*'Net zero Activity data'!BD19*Constants!$H95*EF!$H220*MMVolatEF*NtoN2O*kgtoGg,"ERROR"))</f>
        <v>2.1948215154072734E-2</v>
      </c>
      <c r="AL1199" s="101">
        <f>IF('Net zero activities &amp; levers'!$C$14="Off",Constants!$H77*'Activity data'!BE19*Constants!$H95*EF!$H220*MMVolatEF*NtoN2O*kgtoGg,IF('Net zero activities &amp; levers'!$C$14="On",Constants!$H77*'Net zero Activity data'!BE19*Constants!$H95*EF!$H220*MMVolatEF*NtoN2O*kgtoGg,"ERROR"))</f>
        <v>2.2116705116436826E-2</v>
      </c>
      <c r="AM1199" s="101">
        <f>IF('Net zero activities &amp; levers'!$C$14="Off",Constants!$H77*'Activity data'!BF19*Constants!$H95*EF!$H220*MMVolatEF*NtoN2O*kgtoGg,IF('Net zero activities &amp; levers'!$C$14="On",Constants!$H77*'Net zero Activity data'!BF19*Constants!$H95*EF!$H220*MMVolatEF*NtoN2O*kgtoGg,"ERROR"))</f>
        <v>2.2286422943949849E-2</v>
      </c>
      <c r="AN1199" s="101">
        <f>IF('Net zero activities &amp; levers'!$C$14="Off",Constants!$H77*'Activity data'!BG19*Constants!$H95*EF!$H220*MMVolatEF*NtoN2O*kgtoGg,IF('Net zero activities &amp; levers'!$C$14="On",Constants!$H77*'Net zero Activity data'!BG19*Constants!$H95*EF!$H220*MMVolatEF*NtoN2O*kgtoGg,"ERROR"))</f>
        <v>2.2431505853437582E-2</v>
      </c>
      <c r="AO1199" s="101">
        <f>IF('Net zero activities &amp; levers'!$C$14="Off",Constants!$H77*'Activity data'!BH19*Constants!$H95*EF!$H220*MMVolatEF*NtoN2O*kgtoGg,IF('Net zero activities &amp; levers'!$C$14="On",Constants!$H77*'Net zero Activity data'!BH19*Constants!$H95*EF!$H220*MMVolatEF*NtoN2O*kgtoGg,"ERROR"))</f>
        <v>2.2577484325720341E-2</v>
      </c>
      <c r="AP1199" s="101">
        <f>IF('Net zero activities &amp; levers'!$C$14="Off",Constants!$H77*'Activity data'!BI19*Constants!$H95*EF!$H220*MMVolatEF*NtoN2O*kgtoGg,IF('Net zero activities &amp; levers'!$C$14="On",Constants!$H77*'Net zero Activity data'!BI19*Constants!$H95*EF!$H220*MMVolatEF*NtoN2O*kgtoGg,"ERROR"))</f>
        <v>2.2724364182075539E-2</v>
      </c>
      <c r="AQ1199" s="101">
        <f>IF('Net zero activities &amp; levers'!$C$14="Off",Constants!$H77*'Activity data'!BJ19*Constants!$H95*EF!$H220*MMVolatEF*NtoN2O*kgtoGg,IF('Net zero activities &amp; levers'!$C$14="On",Constants!$H77*'Net zero Activity data'!BJ19*Constants!$H95*EF!$H220*MMVolatEF*NtoN2O*kgtoGg,"ERROR"))</f>
        <v>2.2872151263259987E-2</v>
      </c>
      <c r="AR1199" s="101">
        <f>IF('Net zero activities &amp; levers'!$C$14="Off",Constants!$H77*'Activity data'!BK19*Constants!$H95*EF!$H220*MMVolatEF*NtoN2O*kgtoGg,IF('Net zero activities &amp; levers'!$C$14="On",Constants!$H77*'Net zero Activity data'!BK19*Constants!$H95*EF!$H220*MMVolatEF*NtoN2O*kgtoGg,"ERROR"))</f>
        <v>2.3020851431037954E-2</v>
      </c>
      <c r="AS1199" s="101">
        <f>IF('Net zero activities &amp; levers'!$C$14="Off",Constants!$H77*'Activity data'!BL19*Constants!$H95*EF!$H220*MMVolatEF*NtoN2O*kgtoGg,IF('Net zero activities &amp; levers'!$C$14="On",Constants!$H77*'Net zero Activity data'!BL19*Constants!$H95*EF!$H220*MMVolatEF*NtoN2O*kgtoGg,"ERROR"))</f>
        <v>2.3143882531625137E-2</v>
      </c>
      <c r="AT1199" s="101">
        <f>IF('Net zero activities &amp; levers'!$C$14="Off",Constants!$H77*'Activity data'!BM19*Constants!$H95*EF!$H220*MMVolatEF*NtoN2O*kgtoGg,IF('Net zero activities &amp; levers'!$C$14="On",Constants!$H77*'Net zero Activity data'!BM19*Constants!$H95*EF!$H220*MMVolatEF*NtoN2O*kgtoGg,"ERROR"))</f>
        <v>2.3267536914699297E-2</v>
      </c>
      <c r="AU1199" s="101">
        <f>IF('Net zero activities &amp; levers'!$C$14="Off",Constants!$H77*'Activity data'!BN19*Constants!$H95*EF!$H220*MMVolatEF*NtoN2O*kgtoGg,IF('Net zero activities &amp; levers'!$C$14="On",Constants!$H77*'Net zero Activity data'!BN19*Constants!$H95*EF!$H220*MMVolatEF*NtoN2O*kgtoGg,"ERROR"))</f>
        <v>2.3391817960867468E-2</v>
      </c>
      <c r="AV1199" s="101">
        <f>IF('Net zero activities &amp; levers'!$C$14="Off",Constants!$H77*'Activity data'!BO19*Constants!$H95*EF!$H220*MMVolatEF*NtoN2O*kgtoGg,IF('Net zero activities &amp; levers'!$C$14="On",Constants!$H77*'Net zero Activity data'!BO19*Constants!$H95*EF!$H220*MMVolatEF*NtoN2O*kgtoGg,"ERROR"))</f>
        <v>2.3516729056424043E-2</v>
      </c>
      <c r="AW1199" s="101">
        <f>IF('Net zero activities &amp; levers'!$C$14="Off",Constants!$H77*'Activity data'!BP19*Constants!$H95*EF!$H220*MMVolatEF*NtoN2O*kgtoGg,IF('Net zero activities &amp; levers'!$C$14="On",Constants!$H77*'Net zero Activity data'!BP19*Constants!$H95*EF!$H220*MMVolatEF*NtoN2O*kgtoGg,"ERROR"))</f>
        <v>2.3642273594262703E-2</v>
      </c>
      <c r="AY1199" s="85"/>
    </row>
    <row r="1200" spans="1:51" x14ac:dyDescent="0.25">
      <c r="A1200" s="102" t="str">
        <f t="shared" si="380"/>
        <v>CM MM Volatilisation</v>
      </c>
      <c r="B1200" s="102" t="s">
        <v>1323</v>
      </c>
      <c r="C1200" s="102" t="s">
        <v>1333</v>
      </c>
      <c r="D1200" t="s">
        <v>369</v>
      </c>
      <c r="E1200" t="s">
        <v>64</v>
      </c>
      <c r="F1200" t="s">
        <v>62</v>
      </c>
      <c r="G1200" t="s">
        <v>1183</v>
      </c>
      <c r="H1200" t="s">
        <v>1306</v>
      </c>
      <c r="I1200" t="s">
        <v>139</v>
      </c>
      <c r="J1200" t="s">
        <v>287</v>
      </c>
      <c r="K1200" s="101">
        <f>IF('Net zero activities &amp; levers'!$C$14="Off",Constants!$H78*'Activity data'!AD20*Constants!$H96*EF!$H221*MMVolatEF*NtoN2O*kgtoGg,IF('Net zero activities &amp; levers'!$C$14="On",Constants!$H78*'Net zero Activity data'!AD20*Constants!$H96*EF!$H221*MMVolatEF*NtoN2O*kgtoGg,"ERROR"))</f>
        <v>0.31397927588300406</v>
      </c>
      <c r="L1200" s="101">
        <f>IF('Net zero activities &amp; levers'!$C$14="Off",Constants!$H78*'Activity data'!AE20*Constants!$H96*EF!$H221*MMVolatEF*NtoN2O*kgtoGg,IF('Net zero activities &amp; levers'!$C$14="On",Constants!$H78*'Net zero Activity data'!AE20*Constants!$H96*EF!$H221*MMVolatEF*NtoN2O*kgtoGg,"ERROR"))</f>
        <v>0.31907441675710629</v>
      </c>
      <c r="M1200" s="101">
        <f>IF('Net zero activities &amp; levers'!$C$14="Off",Constants!$H78*'Activity data'!AF20*Constants!$H96*EF!$H221*MMVolatEF*NtoN2O*kgtoGg,IF('Net zero activities &amp; levers'!$C$14="On",Constants!$H78*'Net zero Activity data'!AF20*Constants!$H96*EF!$H221*MMVolatEF*NtoN2O*kgtoGg,"ERROR"))</f>
        <v>0.3205872704742006</v>
      </c>
      <c r="N1200" s="101">
        <f>IF('Net zero activities &amp; levers'!$C$14="Off",Constants!$H78*'Activity data'!AG20*Constants!$H96*EF!$H221*MMVolatEF*NtoN2O*kgtoGg,IF('Net zero activities &amp; levers'!$C$14="On",Constants!$H78*'Net zero Activity data'!AG20*Constants!$H96*EF!$H221*MMVolatEF*NtoN2O*kgtoGg,"ERROR"))</f>
        <v>0.31719609082412314</v>
      </c>
      <c r="O1200" s="101">
        <f>IF('Net zero activities &amp; levers'!$C$14="Off",Constants!$H78*'Activity data'!AH20*Constants!$H96*EF!$H221*MMVolatEF*NtoN2O*kgtoGg,IF('Net zero activities &amp; levers'!$C$14="On",Constants!$H78*'Net zero Activity data'!AH20*Constants!$H96*EF!$H221*MMVolatEF*NtoN2O*kgtoGg,"ERROR"))</f>
        <v>0.3138121925530904</v>
      </c>
      <c r="P1200" s="101">
        <f>IF('Net zero activities &amp; levers'!$C$14="Off",Constants!$H78*'Activity data'!AI20*Constants!$H96*EF!$H221*MMVolatEF*NtoN2O*kgtoGg,IF('Net zero activities &amp; levers'!$C$14="On",Constants!$H78*'Net zero Activity data'!AI20*Constants!$H96*EF!$H221*MMVolatEF*NtoN2O*kgtoGg,"ERROR"))</f>
        <v>0.31283032074973627</v>
      </c>
      <c r="Q1200" s="101">
        <f>IF('Net zero activities &amp; levers'!$C$14="Off",Constants!$H78*'Activity data'!AJ20*Constants!$H96*EF!$H221*MMVolatEF*NtoN2O*kgtoGg,IF('Net zero activities &amp; levers'!$C$14="On",Constants!$H78*'Net zero Activity data'!AJ20*Constants!$H96*EF!$H221*MMVolatEF*NtoN2O*kgtoGg,"ERROR"))</f>
        <v>0.31262578069676783</v>
      </c>
      <c r="R1200" s="101">
        <f>IF('Net zero activities &amp; levers'!$C$14="Off",Constants!$H78*'Activity data'!AK20*Constants!$H96*EF!$H221*MMVolatEF*NtoN2O*kgtoGg,IF('Net zero activities &amp; levers'!$C$14="On",Constants!$H78*'Net zero Activity data'!AK20*Constants!$H96*EF!$H221*MMVolatEF*NtoN2O*kgtoGg,"ERROR"))</f>
        <v>0.30741109145699391</v>
      </c>
      <c r="S1200" s="101">
        <f>IF('Net zero activities &amp; levers'!$C$14="Off",Constants!$H78*'Activity data'!AL20*Constants!$H96*EF!$H221*MMVolatEF*NtoN2O*kgtoGg,IF('Net zero activities &amp; levers'!$C$14="On",Constants!$H78*'Net zero Activity data'!AL20*Constants!$H96*EF!$H221*MMVolatEF*NtoN2O*kgtoGg,"ERROR"))</f>
        <v>0.256148371105961</v>
      </c>
      <c r="T1200" s="101">
        <f>IF('Net zero activities &amp; levers'!$C$14="Off",Constants!$H78*'Activity data'!AM20*Constants!$H96*EF!$H221*MMVolatEF*NtoN2O*kgtoGg,IF('Net zero activities &amp; levers'!$C$14="On",Constants!$H78*'Net zero Activity data'!AM20*Constants!$H96*EF!$H221*MMVolatEF*NtoN2O*kgtoGg,"ERROR"))</f>
        <v>0.26370410916808512</v>
      </c>
      <c r="U1200" s="101">
        <f>IF('Net zero activities &amp; levers'!$C$14="Off",Constants!$H78*'Activity data'!AN20*Constants!$H96*EF!$H221*MMVolatEF*NtoN2O*kgtoGg,IF('Net zero activities &amp; levers'!$C$14="On",Constants!$H78*'Net zero Activity data'!AN20*Constants!$H96*EF!$H221*MMVolatEF*NtoN2O*kgtoGg,"ERROR"))</f>
        <v>0.27001969138915061</v>
      </c>
      <c r="V1200" s="101">
        <f>IF('Net zero activities &amp; levers'!$C$14="Off",Constants!$H78*'Activity data'!AO20*Constants!$H96*EF!$H221*MMVolatEF*NtoN2O*kgtoGg,IF('Net zero activities &amp; levers'!$C$14="On",Constants!$H78*'Net zero Activity data'!AO20*Constants!$H96*EF!$H221*MMVolatEF*NtoN2O*kgtoGg,"ERROR"))</f>
        <v>0.2763199496036185</v>
      </c>
      <c r="W1200" s="101">
        <f>IF('Net zero activities &amp; levers'!$C$14="Off",Constants!$H78*'Activity data'!AP20*Constants!$H96*EF!$H221*MMVolatEF*NtoN2O*kgtoGg,IF('Net zero activities &amp; levers'!$C$14="On",Constants!$H78*'Net zero Activity data'!AP20*Constants!$H96*EF!$H221*MMVolatEF*NtoN2O*kgtoGg,"ERROR"))</f>
        <v>0.28451678455475204</v>
      </c>
      <c r="X1200" s="101">
        <f>IF('Net zero activities &amp; levers'!$C$14="Off",Constants!$H78*'Activity data'!AQ20*Constants!$H96*EF!$H221*MMVolatEF*NtoN2O*kgtoGg,IF('Net zero activities &amp; levers'!$C$14="On",Constants!$H78*'Net zero Activity data'!AQ20*Constants!$H96*EF!$H221*MMVolatEF*NtoN2O*kgtoGg,"ERROR"))</f>
        <v>0.29268901518137719</v>
      </c>
      <c r="Y1200" s="101">
        <f>IF('Net zero activities &amp; levers'!$C$14="Off",Constants!$H78*'Activity data'!AR20*Constants!$H96*EF!$H221*MMVolatEF*NtoN2O*kgtoGg,IF('Net zero activities &amp; levers'!$C$14="On",Constants!$H78*'Net zero Activity data'!AR20*Constants!$H96*EF!$H221*MMVolatEF*NtoN2O*kgtoGg,"ERROR"))</f>
        <v>0.30166157988430881</v>
      </c>
      <c r="Z1200" s="101">
        <f>IF('Net zero activities &amp; levers'!$C$14="Off",Constants!$H78*'Activity data'!AS20*Constants!$H96*EF!$H221*MMVolatEF*NtoN2O*kgtoGg,IF('Net zero activities &amp; levers'!$C$14="On",Constants!$H78*'Net zero Activity data'!AS20*Constants!$H96*EF!$H221*MMVolatEF*NtoN2O*kgtoGg,"ERROR"))</f>
        <v>0.31015505304721058</v>
      </c>
      <c r="AA1200" s="101">
        <f>IF('Net zero activities &amp; levers'!$C$14="Off",Constants!$H78*'Activity data'!AT20*Constants!$H96*EF!$H221*MMVolatEF*NtoN2O*kgtoGg,IF('Net zero activities &amp; levers'!$C$14="On",Constants!$H78*'Net zero Activity data'!AT20*Constants!$H96*EF!$H221*MMVolatEF*NtoN2O*kgtoGg,"ERROR"))</f>
        <v>0.31937286090334316</v>
      </c>
      <c r="AB1200" s="101">
        <f>IF('Net zero activities &amp; levers'!$C$14="Off",Constants!$H78*'Activity data'!AU20*Constants!$H96*EF!$H221*MMVolatEF*NtoN2O*kgtoGg,IF('Net zero activities &amp; levers'!$C$14="On",Constants!$H78*'Net zero Activity data'!AU20*Constants!$H96*EF!$H221*MMVolatEF*NtoN2O*kgtoGg,"ERROR"))</f>
        <v>0.32768435170975169</v>
      </c>
      <c r="AC1200" s="101">
        <f>IF('Net zero activities &amp; levers'!$C$14="Off",Constants!$H78*'Activity data'!AV20*Constants!$H96*EF!$H221*MMVolatEF*NtoN2O*kgtoGg,IF('Net zero activities &amp; levers'!$C$14="On",Constants!$H78*'Net zero Activity data'!AV20*Constants!$H96*EF!$H221*MMVolatEF*NtoN2O*kgtoGg,"ERROR"))</f>
        <v>0.3362412673320212</v>
      </c>
      <c r="AD1200" s="101">
        <f>IF('Net zero activities &amp; levers'!$C$14="Off",Constants!$H78*'Activity data'!AW20*Constants!$H96*EF!$H221*MMVolatEF*NtoN2O*kgtoGg,IF('Net zero activities &amp; levers'!$C$14="On",Constants!$H78*'Net zero Activity data'!AW20*Constants!$H96*EF!$H221*MMVolatEF*NtoN2O*kgtoGg,"ERROR"))</f>
        <v>0.34761278711237292</v>
      </c>
      <c r="AE1200" s="101">
        <f>IF('Net zero activities &amp; levers'!$C$14="Off",Constants!$H78*'Activity data'!AX20*Constants!$H96*EF!$H221*MMVolatEF*NtoN2O*kgtoGg,IF('Net zero activities &amp; levers'!$C$14="On",Constants!$H78*'Net zero Activity data'!AX20*Constants!$H96*EF!$H221*MMVolatEF*NtoN2O*kgtoGg,"ERROR"))</f>
        <v>0.36009727200869485</v>
      </c>
      <c r="AF1200" s="101">
        <f>IF('Net zero activities &amp; levers'!$C$14="Off",Constants!$H78*'Activity data'!AY20*Constants!$H96*EF!$H221*MMVolatEF*NtoN2O*kgtoGg,IF('Net zero activities &amp; levers'!$C$14="On",Constants!$H78*'Net zero Activity data'!AY20*Constants!$H96*EF!$H221*MMVolatEF*NtoN2O*kgtoGg,"ERROR"))</f>
        <v>0.37302207723672137</v>
      </c>
      <c r="AG1200" s="101">
        <f>IF('Net zero activities &amp; levers'!$C$14="Off",Constants!$H78*'Activity data'!AZ20*Constants!$H96*EF!$H221*MMVolatEF*NtoN2O*kgtoGg,IF('Net zero activities &amp; levers'!$C$14="On",Constants!$H78*'Net zero Activity data'!AZ20*Constants!$H96*EF!$H221*MMVolatEF*NtoN2O*kgtoGg,"ERROR"))</f>
        <v>0.37158281441490282</v>
      </c>
      <c r="AH1200" s="101">
        <f>IF('Net zero activities &amp; levers'!$C$14="Off",Constants!$H78*'Activity data'!BA20*Constants!$H96*EF!$H221*MMVolatEF*NtoN2O*kgtoGg,IF('Net zero activities &amp; levers'!$C$14="On",Constants!$H78*'Net zero Activity data'!BA20*Constants!$H96*EF!$H221*MMVolatEF*NtoN2O*kgtoGg,"ERROR"))</f>
        <v>-0.32225581682934024</v>
      </c>
      <c r="AI1200" s="101">
        <f>IF('Net zero activities &amp; levers'!$C$14="Off",Constants!$H78*'Activity data'!BB20*Constants!$H96*EF!$H221*MMVolatEF*NtoN2O*kgtoGg,IF('Net zero activities &amp; levers'!$C$14="On",Constants!$H78*'Net zero Activity data'!BB20*Constants!$H96*EF!$H221*MMVolatEF*NtoN2O*kgtoGg,"ERROR"))</f>
        <v>-0.32271754342348513</v>
      </c>
      <c r="AJ1200" s="101">
        <f>IF('Net zero activities &amp; levers'!$C$14="Off",Constants!$H78*'Activity data'!BC20*Constants!$H96*EF!$H221*MMVolatEF*NtoN2O*kgtoGg,IF('Net zero activities &amp; levers'!$C$14="On",Constants!$H78*'Net zero Activity data'!BC20*Constants!$H96*EF!$H221*MMVolatEF*NtoN2O*kgtoGg,"ERROR"))</f>
        <v>-0.32321834210238065</v>
      </c>
      <c r="AK1200" s="101">
        <f>IF('Net zero activities &amp; levers'!$C$14="Off",Constants!$H78*'Activity data'!BD20*Constants!$H96*EF!$H221*MMVolatEF*NtoN2O*kgtoGg,IF('Net zero activities &amp; levers'!$C$14="On",Constants!$H78*'Net zero Activity data'!BD20*Constants!$H96*EF!$H221*MMVolatEF*NtoN2O*kgtoGg,"ERROR"))</f>
        <v>-0.32375658230947413</v>
      </c>
      <c r="AL1200" s="101">
        <f>IF('Net zero activities &amp; levers'!$C$14="Off",Constants!$H78*'Activity data'!BE20*Constants!$H96*EF!$H221*MMVolatEF*NtoN2O*kgtoGg,IF('Net zero activities &amp; levers'!$C$14="On",Constants!$H78*'Net zero Activity data'!BE20*Constants!$H96*EF!$H221*MMVolatEF*NtoN2O*kgtoGg,"ERROR"))</f>
        <v>-0.32433076013748197</v>
      </c>
      <c r="AM1200" s="101">
        <f>IF('Net zero activities &amp; levers'!$C$14="Off",Constants!$H78*'Activity data'!BF20*Constants!$H96*EF!$H221*MMVolatEF*NtoN2O*kgtoGg,IF('Net zero activities &amp; levers'!$C$14="On",Constants!$H78*'Net zero Activity data'!BF20*Constants!$H96*EF!$H221*MMVolatEF*NtoN2O*kgtoGg,"ERROR"))</f>
        <v>-0.32493948616259549</v>
      </c>
      <c r="AN1200" s="101">
        <f>IF('Net zero activities &amp; levers'!$C$14="Off",Constants!$H78*'Activity data'!BG20*Constants!$H96*EF!$H221*MMVolatEF*NtoN2O*kgtoGg,IF('Net zero activities &amp; levers'!$C$14="On",Constants!$H78*'Net zero Activity data'!BG20*Constants!$H96*EF!$H221*MMVolatEF*NtoN2O*kgtoGg,"ERROR"))</f>
        <v>-0.32519002694092081</v>
      </c>
      <c r="AO1200" s="101">
        <f>IF('Net zero activities &amp; levers'!$C$14="Off",Constants!$H78*'Activity data'!BH20*Constants!$H96*EF!$H221*MMVolatEF*NtoN2O*kgtoGg,IF('Net zero activities &amp; levers'!$C$14="On",Constants!$H78*'Net zero Activity data'!BH20*Constants!$H96*EF!$H221*MMVolatEF*NtoN2O*kgtoGg,"ERROR"))</f>
        <v>-0.32547196769911135</v>
      </c>
      <c r="AP1200" s="101">
        <f>IF('Net zero activities &amp; levers'!$C$14="Off",Constants!$H78*'Activity data'!BI20*Constants!$H96*EF!$H221*MMVolatEF*NtoN2O*kgtoGg,IF('Net zero activities &amp; levers'!$C$14="On",Constants!$H78*'Net zero Activity data'!BI20*Constants!$H96*EF!$H221*MMVolatEF*NtoN2O*kgtoGg,"ERROR"))</f>
        <v>-0.32578408919193652</v>
      </c>
      <c r="AQ1200" s="101">
        <f>IF('Net zero activities &amp; levers'!$C$14="Off",Constants!$H78*'Activity data'!BJ20*Constants!$H96*EF!$H221*MMVolatEF*NtoN2O*kgtoGg,IF('Net zero activities &amp; levers'!$C$14="On",Constants!$H78*'Net zero Activity data'!BJ20*Constants!$H96*EF!$H221*MMVolatEF*NtoN2O*kgtoGg,"ERROR"))</f>
        <v>-0.32612525589272406</v>
      </c>
      <c r="AR1200" s="101">
        <f>IF('Net zero activities &amp; levers'!$C$14="Off",Constants!$H78*'Activity data'!BK20*Constants!$H96*EF!$H221*MMVolatEF*NtoN2O*kgtoGg,IF('Net zero activities &amp; levers'!$C$14="On",Constants!$H78*'Net zero Activity data'!BK20*Constants!$H96*EF!$H221*MMVolatEF*NtoN2O*kgtoGg,"ERROR"))</f>
        <v>-0.32649440879969549</v>
      </c>
      <c r="AS1200" s="101">
        <f>IF('Net zero activities &amp; levers'!$C$14="Off",Constants!$H78*'Activity data'!BL20*Constants!$H96*EF!$H221*MMVolatEF*NtoN2O*kgtoGg,IF('Net zero activities &amp; levers'!$C$14="On",Constants!$H78*'Net zero Activity data'!BL20*Constants!$H96*EF!$H221*MMVolatEF*NtoN2O*kgtoGg,"ERROR"))</f>
        <v>-0.32649961480368156</v>
      </c>
      <c r="AT1200" s="101">
        <f>IF('Net zero activities &amp; levers'!$C$14="Off",Constants!$H78*'Activity data'!BM20*Constants!$H96*EF!$H221*MMVolatEF*NtoN2O*kgtoGg,IF('Net zero activities &amp; levers'!$C$14="On",Constants!$H78*'Net zero Activity data'!BM20*Constants!$H96*EF!$H221*MMVolatEF*NtoN2O*kgtoGg,"ERROR"))</f>
        <v>-0.32653073845215902</v>
      </c>
      <c r="AU1200" s="101">
        <f>IF('Net zero activities &amp; levers'!$C$14="Off",Constants!$H78*'Activity data'!BN20*Constants!$H96*EF!$H221*MMVolatEF*NtoN2O*kgtoGg,IF('Net zero activities &amp; levers'!$C$14="On",Constants!$H78*'Net zero Activity data'!BN20*Constants!$H96*EF!$H221*MMVolatEF*NtoN2O*kgtoGg,"ERROR"))</f>
        <v>-0.326586821501688</v>
      </c>
      <c r="AV1200" s="101">
        <f>IF('Net zero activities &amp; levers'!$C$14="Off",Constants!$H78*'Activity data'!BO20*Constants!$H96*EF!$H221*MMVolatEF*NtoN2O*kgtoGg,IF('Net zero activities &amp; levers'!$C$14="On",Constants!$H78*'Net zero Activity data'!BO20*Constants!$H96*EF!$H221*MMVolatEF*NtoN2O*kgtoGg,"ERROR"))</f>
        <v>-0.32666696441292659</v>
      </c>
      <c r="AW1200" s="101">
        <f>IF('Net zero activities &amp; levers'!$C$14="Off",Constants!$H78*'Activity data'!BP20*Constants!$H96*EF!$H221*MMVolatEF*NtoN2O*kgtoGg,IF('Net zero activities &amp; levers'!$C$14="On",Constants!$H78*'Net zero Activity data'!BP20*Constants!$H96*EF!$H221*MMVolatEF*NtoN2O*kgtoGg,"ERROR"))</f>
        <v>-0.32677032179119497</v>
      </c>
      <c r="AY1200" s="85"/>
    </row>
    <row r="1201" spans="1:51" x14ac:dyDescent="0.25">
      <c r="A1201" s="102" t="str">
        <f t="shared" si="380"/>
        <v>CM MM Leaching</v>
      </c>
      <c r="B1201" s="102" t="s">
        <v>1323</v>
      </c>
      <c r="C1201" s="102" t="s">
        <v>1334</v>
      </c>
      <c r="D1201" t="s">
        <v>369</v>
      </c>
      <c r="E1201" t="s">
        <v>64</v>
      </c>
      <c r="F1201" t="s">
        <v>63</v>
      </c>
      <c r="G1201" t="s">
        <v>1153</v>
      </c>
      <c r="H1201" t="s">
        <v>1307</v>
      </c>
      <c r="I1201" t="s">
        <v>139</v>
      </c>
      <c r="J1201" t="s">
        <v>287</v>
      </c>
      <c r="K1201" s="101">
        <f>IF('Net zero activities &amp; levers'!$C$14="Off",Constants!$H63*'Activity data'!AD5*Constants!$H81*FracLEACHMM*MMLeachEF*NtoN2O*kgtoGg,IF('Net zero activities &amp; levers'!$C$14="On",Constants!$H63*'Net zero Activity data'!AD5*Constants!$H81*FracLEACHMM*MMLeachEF*NtoN2O*kgtoGg,"ERROR"))</f>
        <v>8.937279530386584E-2</v>
      </c>
      <c r="L1201" s="101">
        <f>IF('Net zero activities &amp; levers'!$C$14="Off",Constants!$H63*'Activity data'!AE5*Constants!$H81*FracLEACHMM*MMLeachEF*NtoN2O*kgtoGg,IF('Net zero activities &amp; levers'!$C$14="On",Constants!$H63*'Net zero Activity data'!AE5*Constants!$H81*FracLEACHMM*MMLeachEF*NtoN2O*kgtoGg,"ERROR"))</f>
        <v>8.99287091662518E-2</v>
      </c>
      <c r="M1201" s="101">
        <f>IF('Net zero activities &amp; levers'!$C$14="Off",Constants!$H63*'Activity data'!AF5*Constants!$H81*FracLEACHMM*MMLeachEF*NtoN2O*kgtoGg,IF('Net zero activities &amp; levers'!$C$14="On",Constants!$H63*'Net zero Activity data'!AF5*Constants!$H81*FracLEACHMM*MMLeachEF*NtoN2O*kgtoGg,"ERROR"))</f>
        <v>9.0310907604627441E-2</v>
      </c>
      <c r="N1201" s="101">
        <f>IF('Net zero activities &amp; levers'!$C$14="Off",Constants!$H63*'Activity data'!AG5*Constants!$H81*FracLEACHMM*MMLeachEF*NtoN2O*kgtoGg,IF('Net zero activities &amp; levers'!$C$14="On",Constants!$H63*'Net zero Activity data'!AG5*Constants!$H81*FracLEACHMM*MMLeachEF*NtoN2O*kgtoGg,"ERROR"))</f>
        <v>9.0430770661024784E-2</v>
      </c>
      <c r="O1201" s="101">
        <f>IF('Net zero activities &amp; levers'!$C$14="Off",Constants!$H63*'Activity data'!AH5*Constants!$H81*FracLEACHMM*MMLeachEF*NtoN2O*kgtoGg,IF('Net zero activities &amp; levers'!$C$14="On",Constants!$H63*'Net zero Activity data'!AH5*Constants!$H81*FracLEACHMM*MMLeachEF*NtoN2O*kgtoGg,"ERROR"))</f>
        <v>9.0592927490571046E-2</v>
      </c>
      <c r="P1201" s="101">
        <f>IF('Net zero activities &amp; levers'!$C$14="Off",Constants!$H63*'Activity data'!AI5*Constants!$H81*FracLEACHMM*MMLeachEF*NtoN2O*kgtoGg,IF('Net zero activities &amp; levers'!$C$14="On",Constants!$H63*'Net zero Activity data'!AI5*Constants!$H81*FracLEACHMM*MMLeachEF*NtoN2O*kgtoGg,"ERROR"))</f>
        <v>9.0948112554123092E-2</v>
      </c>
      <c r="Q1201" s="101">
        <f>IF('Net zero activities &amp; levers'!$C$14="Off",Constants!$H63*'Activity data'!AJ5*Constants!$H81*FracLEACHMM*MMLeachEF*NtoN2O*kgtoGg,IF('Net zero activities &amp; levers'!$C$14="On",Constants!$H63*'Net zero Activity data'!AJ5*Constants!$H81*FracLEACHMM*MMLeachEF*NtoN2O*kgtoGg,"ERROR"))</f>
        <v>9.1373943417930939E-2</v>
      </c>
      <c r="R1201" s="101">
        <f>IF('Net zero activities &amp; levers'!$C$14="Off",Constants!$H63*'Activity data'!AK5*Constants!$H81*FracLEACHMM*MMLeachEF*NtoN2O*kgtoGg,IF('Net zero activities &amp; levers'!$C$14="On",Constants!$H63*'Net zero Activity data'!AK5*Constants!$H81*FracLEACHMM*MMLeachEF*NtoN2O*kgtoGg,"ERROR"))</f>
        <v>9.1501867451345892E-2</v>
      </c>
      <c r="S1201" s="101">
        <f>IF('Net zero activities &amp; levers'!$C$14="Off",Constants!$H63*'Activity data'!AL5*Constants!$H81*FracLEACHMM*MMLeachEF*NtoN2O*kgtoGg,IF('Net zero activities &amp; levers'!$C$14="On",Constants!$H63*'Net zero Activity data'!AL5*Constants!$H81*FracLEACHMM*MMLeachEF*NtoN2O*kgtoGg,"ERROR"))</f>
        <v>8.8692780673306368E-2</v>
      </c>
      <c r="T1201" s="101">
        <f>IF('Net zero activities &amp; levers'!$C$14="Off",Constants!$H63*'Activity data'!AM5*Constants!$H81*FracLEACHMM*MMLeachEF*NtoN2O*kgtoGg,IF('Net zero activities &amp; levers'!$C$14="On",Constants!$H63*'Net zero Activity data'!AM5*Constants!$H81*FracLEACHMM*MMLeachEF*NtoN2O*kgtoGg,"ERROR"))</f>
        <v>8.942331322993069E-2</v>
      </c>
      <c r="U1201" s="101">
        <f>IF('Net zero activities &amp; levers'!$C$14="Off",Constants!$H63*'Activity data'!AN5*Constants!$H81*FracLEACHMM*MMLeachEF*NtoN2O*kgtoGg,IF('Net zero activities &amp; levers'!$C$14="On",Constants!$H63*'Net zero Activity data'!AN5*Constants!$H81*FracLEACHMM*MMLeachEF*NtoN2O*kgtoGg,"ERROR"))</f>
        <v>9.0093190837869708E-2</v>
      </c>
      <c r="V1201" s="101">
        <f>IF('Net zero activities &amp; levers'!$C$14="Off",Constants!$H63*'Activity data'!AO5*Constants!$H81*FracLEACHMM*MMLeachEF*NtoN2O*kgtoGg,IF('Net zero activities &amp; levers'!$C$14="On",Constants!$H63*'Net zero Activity data'!AO5*Constants!$H81*FracLEACHMM*MMLeachEF*NtoN2O*kgtoGg,"ERROR"))</f>
        <v>9.0780038603481383E-2</v>
      </c>
      <c r="W1201" s="101">
        <f>IF('Net zero activities &amp; levers'!$C$14="Off",Constants!$H63*'Activity data'!AP5*Constants!$H81*FracLEACHMM*MMLeachEF*NtoN2O*kgtoGg,IF('Net zero activities &amp; levers'!$C$14="On",Constants!$H63*'Net zero Activity data'!AP5*Constants!$H81*FracLEACHMM*MMLeachEF*NtoN2O*kgtoGg,"ERROR"))</f>
        <v>9.1607440170769952E-2</v>
      </c>
      <c r="X1201" s="101">
        <f>IF('Net zero activities &amp; levers'!$C$14="Off",Constants!$H63*'Activity data'!AQ5*Constants!$H81*FracLEACHMM*MMLeachEF*NtoN2O*kgtoGg,IF('Net zero activities &amp; levers'!$C$14="On",Constants!$H63*'Net zero Activity data'!AQ5*Constants!$H81*FracLEACHMM*MMLeachEF*NtoN2O*kgtoGg,"ERROR"))</f>
        <v>9.2450367431163069E-2</v>
      </c>
      <c r="Y1201" s="101">
        <f>IF('Net zero activities &amp; levers'!$C$14="Off",Constants!$H63*'Activity data'!AR5*Constants!$H81*FracLEACHMM*MMLeachEF*NtoN2O*kgtoGg,IF('Net zero activities &amp; levers'!$C$14="On",Constants!$H63*'Net zero Activity data'!AR5*Constants!$H81*FracLEACHMM*MMLeachEF*NtoN2O*kgtoGg,"ERROR"))</f>
        <v>9.3271141222409717E-2</v>
      </c>
      <c r="Z1201" s="101">
        <f>IF('Net zero activities &amp; levers'!$C$14="Off",Constants!$H63*'Activity data'!AS5*Constants!$H81*FracLEACHMM*MMLeachEF*NtoN2O*kgtoGg,IF('Net zero activities &amp; levers'!$C$14="On",Constants!$H63*'Net zero Activity data'!AS5*Constants!$H81*FracLEACHMM*MMLeachEF*NtoN2O*kgtoGg,"ERROR"))</f>
        <v>9.4075494804423593E-2</v>
      </c>
      <c r="AA1201" s="101">
        <f>IF('Net zero activities &amp; levers'!$C$14="Off",Constants!$H63*'Activity data'!AT5*Constants!$H81*FracLEACHMM*MMLeachEF*NtoN2O*kgtoGg,IF('Net zero activities &amp; levers'!$C$14="On",Constants!$H63*'Net zero Activity data'!AT5*Constants!$H81*FracLEACHMM*MMLeachEF*NtoN2O*kgtoGg,"ERROR"))</f>
        <v>9.494187182919285E-2</v>
      </c>
      <c r="AB1201" s="101">
        <f>IF('Net zero activities &amp; levers'!$C$14="Off",Constants!$H63*'Activity data'!AU5*Constants!$H81*FracLEACHMM*MMLeachEF*NtoN2O*kgtoGg,IF('Net zero activities &amp; levers'!$C$14="On",Constants!$H63*'Net zero Activity data'!AU5*Constants!$H81*FracLEACHMM*MMLeachEF*NtoN2O*kgtoGg,"ERROR"))</f>
        <v>9.5762313841523894E-2</v>
      </c>
      <c r="AC1201" s="101">
        <f>IF('Net zero activities &amp; levers'!$C$14="Off",Constants!$H63*'Activity data'!AV5*Constants!$H81*FracLEACHMM*MMLeachEF*NtoN2O*kgtoGg,IF('Net zero activities &amp; levers'!$C$14="On",Constants!$H63*'Net zero Activity data'!AV5*Constants!$H81*FracLEACHMM*MMLeachEF*NtoN2O*kgtoGg,"ERROR"))</f>
        <v>9.6612184537040763E-2</v>
      </c>
      <c r="AD1201" s="101">
        <f>IF('Net zero activities &amp; levers'!$C$14="Off",Constants!$H63*'Activity data'!AW5*Constants!$H81*FracLEACHMM*MMLeachEF*NtoN2O*kgtoGg,IF('Net zero activities &amp; levers'!$C$14="On",Constants!$H63*'Net zero Activity data'!AW5*Constants!$H81*FracLEACHMM*MMLeachEF*NtoN2O*kgtoGg,"ERROR"))</f>
        <v>9.7588608414981418E-2</v>
      </c>
      <c r="AE1201" s="101">
        <f>IF('Net zero activities &amp; levers'!$C$14="Off",Constants!$H63*'Activity data'!AX5*Constants!$H81*FracLEACHMM*MMLeachEF*NtoN2O*kgtoGg,IF('Net zero activities &amp; levers'!$C$14="On",Constants!$H63*'Net zero Activity data'!AX5*Constants!$H81*FracLEACHMM*MMLeachEF*NtoN2O*kgtoGg,"ERROR"))</f>
        <v>9.8652036659073086E-2</v>
      </c>
      <c r="AF1201" s="101">
        <f>IF('Net zero activities &amp; levers'!$C$14="Off",Constants!$H63*'Activity data'!AY5*Constants!$H81*FracLEACHMM*MMLeachEF*NtoN2O*kgtoGg,IF('Net zero activities &amp; levers'!$C$14="On",Constants!$H63*'Net zero Activity data'!AY5*Constants!$H81*FracLEACHMM*MMLeachEF*NtoN2O*kgtoGg,"ERROR"))</f>
        <v>9.9757674838538646E-2</v>
      </c>
      <c r="AG1201" s="101">
        <f>IF('Net zero activities &amp; levers'!$C$14="Off",Constants!$H63*'Activity data'!AZ5*Constants!$H81*FracLEACHMM*MMLeachEF*NtoN2O*kgtoGg,IF('Net zero activities &amp; levers'!$C$14="On",Constants!$H63*'Net zero Activity data'!AZ5*Constants!$H81*FracLEACHMM*MMLeachEF*NtoN2O*kgtoGg,"ERROR"))</f>
        <v>9.9912115595676476E-2</v>
      </c>
      <c r="AH1201" s="101">
        <f>IF('Net zero activities &amp; levers'!$C$14="Off",Constants!$H63*'Activity data'!BA5*Constants!$H81*FracLEACHMM*MMLeachEF*NtoN2O*kgtoGg,IF('Net zero activities &amp; levers'!$C$14="On",Constants!$H63*'Net zero Activity data'!BA5*Constants!$H81*FracLEACHMM*MMLeachEF*NtoN2O*kgtoGg,"ERROR"))</f>
        <v>5.3491971899674674E-2</v>
      </c>
      <c r="AI1201" s="101">
        <f>IF('Net zero activities &amp; levers'!$C$14="Off",Constants!$H63*'Activity data'!BB5*Constants!$H81*FracLEACHMM*MMLeachEF*NtoN2O*kgtoGg,IF('Net zero activities &amp; levers'!$C$14="On",Constants!$H63*'Net zero Activity data'!BB5*Constants!$H81*FracLEACHMM*MMLeachEF*NtoN2O*kgtoGg,"ERROR"))</f>
        <v>5.3531314918473571E-2</v>
      </c>
      <c r="AJ1201" s="101">
        <f>IF('Net zero activities &amp; levers'!$C$14="Off",Constants!$H63*'Activity data'!BC5*Constants!$H81*FracLEACHMM*MMLeachEF*NtoN2O*kgtoGg,IF('Net zero activities &amp; levers'!$C$14="On",Constants!$H63*'Net zero Activity data'!BC5*Constants!$H81*FracLEACHMM*MMLeachEF*NtoN2O*kgtoGg,"ERROR"))</f>
        <v>5.357582611787514E-2</v>
      </c>
      <c r="AK1201" s="101">
        <f>IF('Net zero activities &amp; levers'!$C$14="Off",Constants!$H63*'Activity data'!BD5*Constants!$H81*FracLEACHMM*MMLeachEF*NtoN2O*kgtoGg,IF('Net zero activities &amp; levers'!$C$14="On",Constants!$H63*'Net zero Activity data'!BD5*Constants!$H81*FracLEACHMM*MMLeachEF*NtoN2O*kgtoGg,"ERROR"))</f>
        <v>5.3625309057202357E-2</v>
      </c>
      <c r="AL1201" s="101">
        <f>IF('Net zero activities &amp; levers'!$C$14="Off",Constants!$H63*'Activity data'!BE5*Constants!$H81*FracLEACHMM*MMLeachEF*NtoN2O*kgtoGg,IF('Net zero activities &amp; levers'!$C$14="On",Constants!$H63*'Net zero Activity data'!BE5*Constants!$H81*FracLEACHMM*MMLeachEF*NtoN2O*kgtoGg,"ERROR"))</f>
        <v>5.3679582424864689E-2</v>
      </c>
      <c r="AM1201" s="101">
        <f>IF('Net zero activities &amp; levers'!$C$14="Off",Constants!$H63*'Activity data'!BF5*Constants!$H81*FracLEACHMM*MMLeachEF*NtoN2O*kgtoGg,IF('Net zero activities &amp; levers'!$C$14="On",Constants!$H63*'Net zero Activity data'!BF5*Constants!$H81*FracLEACHMM*MMLeachEF*NtoN2O*kgtoGg,"ERROR"))</f>
        <v>5.3738478604376284E-2</v>
      </c>
      <c r="AN1201" s="101">
        <f>IF('Net zero activities &amp; levers'!$C$14="Off",Constants!$H63*'Activity data'!BG5*Constants!$H81*FracLEACHMM*MMLeachEF*NtoN2O*kgtoGg,IF('Net zero activities &amp; levers'!$C$14="On",Constants!$H63*'Net zero Activity data'!BG5*Constants!$H81*FracLEACHMM*MMLeachEF*NtoN2O*kgtoGg,"ERROR"))</f>
        <v>5.3763835169364317E-2</v>
      </c>
      <c r="AO1201" s="101">
        <f>IF('Net zero activities &amp; levers'!$C$14="Off",Constants!$H63*'Activity data'!BH5*Constants!$H81*FracLEACHMM*MMLeachEF*NtoN2O*kgtoGg,IF('Net zero activities &amp; levers'!$C$14="On",Constants!$H63*'Net zero Activity data'!BH5*Constants!$H81*FracLEACHMM*MMLeachEF*NtoN2O*kgtoGg,"ERROR"))</f>
        <v>5.3793262757512665E-2</v>
      </c>
      <c r="AP1201" s="101">
        <f>IF('Net zero activities &amp; levers'!$C$14="Off",Constants!$H63*'Activity data'!BI5*Constants!$H81*FracLEACHMM*MMLeachEF*NtoN2O*kgtoGg,IF('Net zero activities &amp; levers'!$C$14="On",Constants!$H63*'Net zero Activity data'!BI5*Constants!$H81*FracLEACHMM*MMLeachEF*NtoN2O*kgtoGg,"ERROR"))</f>
        <v>5.3826619180497665E-2</v>
      </c>
      <c r="AQ1201" s="101">
        <f>IF('Net zero activities &amp; levers'!$C$14="Off",Constants!$H63*'Activity data'!BJ5*Constants!$H81*FracLEACHMM*MMLeachEF*NtoN2O*kgtoGg,IF('Net zero activities &amp; levers'!$C$14="On",Constants!$H63*'Net zero Activity data'!BJ5*Constants!$H81*FracLEACHMM*MMLeachEF*NtoN2O*kgtoGg,"ERROR"))</f>
        <v>5.3863771952469164E-2</v>
      </c>
      <c r="AR1201" s="101">
        <f>IF('Net zero activities &amp; levers'!$C$14="Off",Constants!$H63*'Activity data'!BK5*Constants!$H81*FracLEACHMM*MMLeachEF*NtoN2O*kgtoGg,IF('Net zero activities &amp; levers'!$C$14="On",Constants!$H63*'Net zero Activity data'!BK5*Constants!$H81*FracLEACHMM*MMLeachEF*NtoN2O*kgtoGg,"ERROR"))</f>
        <v>5.3904597466717913E-2</v>
      </c>
      <c r="AS1201" s="101">
        <f>IF('Net zero activities &amp; levers'!$C$14="Off",Constants!$H63*'Activity data'!BL5*Constants!$H81*FracLEACHMM*MMLeachEF*NtoN2O*kgtoGg,IF('Net zero activities &amp; levers'!$C$14="On",Constants!$H63*'Net zero Activity data'!BL5*Constants!$H81*FracLEACHMM*MMLeachEF*NtoN2O*kgtoGg,"ERROR"))</f>
        <v>5.3910563480556228E-2</v>
      </c>
      <c r="AT1201" s="101">
        <f>IF('Net zero activities &amp; levers'!$C$14="Off",Constants!$H63*'Activity data'!BM5*Constants!$H81*FracLEACHMM*MMLeachEF*NtoN2O*kgtoGg,IF('Net zero activities &amp; levers'!$C$14="On",Constants!$H63*'Net zero Activity data'!BM5*Constants!$H81*FracLEACHMM*MMLeachEF*NtoN2O*kgtoGg,"ERROR"))</f>
        <v>5.3919785471416987E-2</v>
      </c>
      <c r="AU1201" s="101">
        <f>IF('Net zero activities &amp; levers'!$C$14="Off",Constants!$H63*'Activity data'!BN5*Constants!$H81*FracLEACHMM*MMLeachEF*NtoN2O*kgtoGg,IF('Net zero activities &amp; levers'!$C$14="On",Constants!$H63*'Net zero Activity data'!BN5*Constants!$H81*FracLEACHMM*MMLeachEF*NtoN2O*kgtoGg,"ERROR"))</f>
        <v>5.3932155519366927E-2</v>
      </c>
      <c r="AV1201" s="101">
        <f>IF('Net zero activities &amp; levers'!$C$14="Off",Constants!$H63*'Activity data'!BO5*Constants!$H81*FracLEACHMM*MMLeachEF*NtoN2O*kgtoGg,IF('Net zero activities &amp; levers'!$C$14="On",Constants!$H63*'Net zero Activity data'!BO5*Constants!$H81*FracLEACHMM*MMLeachEF*NtoN2O*kgtoGg,"ERROR"))</f>
        <v>5.3947572278859428E-2</v>
      </c>
      <c r="AW1201" s="101">
        <f>IF('Net zero activities &amp; levers'!$C$14="Off",Constants!$H63*'Activity data'!BP5*Constants!$H81*FracLEACHMM*MMLeachEF*NtoN2O*kgtoGg,IF('Net zero activities &amp; levers'!$C$14="On",Constants!$H63*'Net zero Activity data'!BP5*Constants!$H81*FracLEACHMM*MMLeachEF*NtoN2O*kgtoGg,"ERROR"))</f>
        <v>5.3965940473698626E-2</v>
      </c>
      <c r="AY1201" s="85"/>
    </row>
    <row r="1202" spans="1:51" x14ac:dyDescent="0.25">
      <c r="A1202" s="102" t="str">
        <f t="shared" si="380"/>
        <v>CM MM Leaching</v>
      </c>
      <c r="B1202" s="102" t="s">
        <v>1323</v>
      </c>
      <c r="C1202" s="102" t="s">
        <v>1334</v>
      </c>
      <c r="D1202" t="s">
        <v>369</v>
      </c>
      <c r="E1202" t="s">
        <v>64</v>
      </c>
      <c r="F1202" t="s">
        <v>63</v>
      </c>
      <c r="G1202" t="s">
        <v>1155</v>
      </c>
      <c r="H1202" t="s">
        <v>1308</v>
      </c>
      <c r="I1202" t="s">
        <v>139</v>
      </c>
      <c r="J1202" t="s">
        <v>287</v>
      </c>
      <c r="K1202" s="101">
        <f>IF('Net zero activities &amp; levers'!$C$14="Off",Constants!$H64*'Activity data'!AD6*Constants!$H82*FracLEACHMM*MMLeachEF*NtoN2O*kgtoGg,IF('Net zero activities &amp; levers'!$C$14="On",Constants!$H64*'Net zero Activity data'!AD6*Constants!$H82*FracLEACHMM*MMLeachEF*NtoN2O*kgtoGg,"ERROR"))</f>
        <v>2.6988316791591433E-2</v>
      </c>
      <c r="L1202" s="101">
        <f>IF('Net zero activities &amp; levers'!$C$14="Off",Constants!$H64*'Activity data'!AE6*Constants!$H82*FracLEACHMM*MMLeachEF*NtoN2O*kgtoGg,IF('Net zero activities &amp; levers'!$C$14="On",Constants!$H64*'Net zero Activity data'!AE6*Constants!$H82*FracLEACHMM*MMLeachEF*NtoN2O*kgtoGg,"ERROR"))</f>
        <v>2.7156188674482627E-2</v>
      </c>
      <c r="M1202" s="101">
        <f>IF('Net zero activities &amp; levers'!$C$14="Off",Constants!$H64*'Activity data'!AF6*Constants!$H82*FracLEACHMM*MMLeachEF*NtoN2O*kgtoGg,IF('Net zero activities &amp; levers'!$C$14="On",Constants!$H64*'Net zero Activity data'!AF6*Constants!$H82*FracLEACHMM*MMLeachEF*NtoN2O*kgtoGg,"ERROR"))</f>
        <v>2.7271602906487613E-2</v>
      </c>
      <c r="N1202" s="101">
        <f>IF('Net zero activities &amp; levers'!$C$14="Off",Constants!$H64*'Activity data'!AG6*Constants!$H82*FracLEACHMM*MMLeachEF*NtoN2O*kgtoGg,IF('Net zero activities &amp; levers'!$C$14="On",Constants!$H64*'Net zero Activity data'!AG6*Constants!$H82*FracLEACHMM*MMLeachEF*NtoN2O*kgtoGg,"ERROR"))</f>
        <v>2.7307798508590695E-2</v>
      </c>
      <c r="O1202" s="101">
        <f>IF('Net zero activities &amp; levers'!$C$14="Off",Constants!$H64*'Activity data'!AH6*Constants!$H82*FracLEACHMM*MMLeachEF*NtoN2O*kgtoGg,IF('Net zero activities &amp; levers'!$C$14="On",Constants!$H64*'Net zero Activity data'!AH6*Constants!$H82*FracLEACHMM*MMLeachEF*NtoN2O*kgtoGg,"ERROR"))</f>
        <v>2.7356765757190617E-2</v>
      </c>
      <c r="P1202" s="101">
        <f>IF('Net zero activities &amp; levers'!$C$14="Off",Constants!$H64*'Activity data'!AI6*Constants!$H82*FracLEACHMM*MMLeachEF*NtoN2O*kgtoGg,IF('Net zero activities &amp; levers'!$C$14="On",Constants!$H64*'Net zero Activity data'!AI6*Constants!$H82*FracLEACHMM*MMLeachEF*NtoN2O*kgtoGg,"ERROR"))</f>
        <v>2.7464022635328895E-2</v>
      </c>
      <c r="Q1202" s="101">
        <f>IF('Net zero activities &amp; levers'!$C$14="Off",Constants!$H64*'Activity data'!AJ6*Constants!$H82*FracLEACHMM*MMLeachEF*NtoN2O*kgtoGg,IF('Net zero activities &amp; levers'!$C$14="On",Constants!$H64*'Net zero Activity data'!AJ6*Constants!$H82*FracLEACHMM*MMLeachEF*NtoN2O*kgtoGg,"ERROR"))</f>
        <v>2.7592612752858615E-2</v>
      </c>
      <c r="R1202" s="101">
        <f>IF('Net zero activities &amp; levers'!$C$14="Off",Constants!$H64*'Activity data'!AK6*Constants!$H82*FracLEACHMM*MMLeachEF*NtoN2O*kgtoGg,IF('Net zero activities &amp; levers'!$C$14="On",Constants!$H64*'Net zero Activity data'!AK6*Constants!$H82*FracLEACHMM*MMLeachEF*NtoN2O*kgtoGg,"ERROR"))</f>
        <v>2.7631242565513824E-2</v>
      </c>
      <c r="S1202" s="101">
        <f>IF('Net zero activities &amp; levers'!$C$14="Off",Constants!$H64*'Activity data'!AL6*Constants!$H82*FracLEACHMM*MMLeachEF*NtoN2O*kgtoGg,IF('Net zero activities &amp; levers'!$C$14="On",Constants!$H64*'Net zero Activity data'!AL6*Constants!$H82*FracLEACHMM*MMLeachEF*NtoN2O*kgtoGg,"ERROR"))</f>
        <v>2.6782969625151597E-2</v>
      </c>
      <c r="T1202" s="101">
        <f>IF('Net zero activities &amp; levers'!$C$14="Off",Constants!$H64*'Activity data'!AM6*Constants!$H82*FracLEACHMM*MMLeachEF*NtoN2O*kgtoGg,IF('Net zero activities &amp; levers'!$C$14="On",Constants!$H64*'Net zero Activity data'!AM6*Constants!$H82*FracLEACHMM*MMLeachEF*NtoN2O*kgtoGg,"ERROR"))</f>
        <v>2.7003571923621898E-2</v>
      </c>
      <c r="U1202" s="101">
        <f>IF('Net zero activities &amp; levers'!$C$14="Off",Constants!$H64*'Activity data'!AN6*Constants!$H82*FracLEACHMM*MMLeachEF*NtoN2O*kgtoGg,IF('Net zero activities &amp; levers'!$C$14="On",Constants!$H64*'Net zero Activity data'!AN6*Constants!$H82*FracLEACHMM*MMLeachEF*NtoN2O*kgtoGg,"ERROR"))</f>
        <v>2.7205857966406888E-2</v>
      </c>
      <c r="V1202" s="101">
        <f>IF('Net zero activities &amp; levers'!$C$14="Off",Constants!$H64*'Activity data'!AO6*Constants!$H82*FracLEACHMM*MMLeachEF*NtoN2O*kgtoGg,IF('Net zero activities &amp; levers'!$C$14="On",Constants!$H64*'Net zero Activity data'!AO6*Constants!$H82*FracLEACHMM*MMLeachEF*NtoN2O*kgtoGg,"ERROR"))</f>
        <v>2.7413268566275666E-2</v>
      </c>
      <c r="W1202" s="101">
        <f>IF('Net zero activities &amp; levers'!$C$14="Off",Constants!$H64*'Activity data'!AP6*Constants!$H82*FracLEACHMM*MMLeachEF*NtoN2O*kgtoGg,IF('Net zero activities &amp; levers'!$C$14="On",Constants!$H64*'Net zero Activity data'!AP6*Constants!$H82*FracLEACHMM*MMLeachEF*NtoN2O*kgtoGg,"ERROR"))</f>
        <v>2.7663122848397212E-2</v>
      </c>
      <c r="X1202" s="101">
        <f>IF('Net zero activities &amp; levers'!$C$14="Off",Constants!$H64*'Activity data'!AQ6*Constants!$H82*FracLEACHMM*MMLeachEF*NtoN2O*kgtoGg,IF('Net zero activities &amp; levers'!$C$14="On",Constants!$H64*'Net zero Activity data'!AQ6*Constants!$H82*FracLEACHMM*MMLeachEF*NtoN2O*kgtoGg,"ERROR"))</f>
        <v>2.7917665495949085E-2</v>
      </c>
      <c r="Y1202" s="101">
        <f>IF('Net zero activities &amp; levers'!$C$14="Off",Constants!$H64*'Activity data'!AR6*Constants!$H82*FracLEACHMM*MMLeachEF*NtoN2O*kgtoGg,IF('Net zero activities &amp; levers'!$C$14="On",Constants!$H64*'Net zero Activity data'!AR6*Constants!$H82*FracLEACHMM*MMLeachEF*NtoN2O*kgtoGg,"ERROR"))</f>
        <v>2.8165518357852821E-2</v>
      </c>
      <c r="Z1202" s="101">
        <f>IF('Net zero activities &amp; levers'!$C$14="Off",Constants!$H64*'Activity data'!AS6*Constants!$H82*FracLEACHMM*MMLeachEF*NtoN2O*kgtoGg,IF('Net zero activities &amp; levers'!$C$14="On",Constants!$H64*'Net zero Activity data'!AS6*Constants!$H82*FracLEACHMM*MMLeachEF*NtoN2O*kgtoGg,"ERROR"))</f>
        <v>2.8408412733149407E-2</v>
      </c>
      <c r="AA1202" s="101">
        <f>IF('Net zero activities &amp; levers'!$C$14="Off",Constants!$H64*'Activity data'!AT6*Constants!$H82*FracLEACHMM*MMLeachEF*NtoN2O*kgtoGg,IF('Net zero activities &amp; levers'!$C$14="On",Constants!$H64*'Net zero Activity data'!AT6*Constants!$H82*FracLEACHMM*MMLeachEF*NtoN2O*kgtoGg,"ERROR"))</f>
        <v>2.8670036614621735E-2</v>
      </c>
      <c r="AB1202" s="101">
        <f>IF('Net zero activities &amp; levers'!$C$14="Off",Constants!$H64*'Activity data'!AU6*Constants!$H82*FracLEACHMM*MMLeachEF*NtoN2O*kgtoGg,IF('Net zero activities &amp; levers'!$C$14="On",Constants!$H64*'Net zero Activity data'!AU6*Constants!$H82*FracLEACHMM*MMLeachEF*NtoN2O*kgtoGg,"ERROR"))</f>
        <v>2.8917789287710199E-2</v>
      </c>
      <c r="AC1202" s="101">
        <f>IF('Net zero activities &amp; levers'!$C$14="Off",Constants!$H64*'Activity data'!AV6*Constants!$H82*FracLEACHMM*MMLeachEF*NtoN2O*kgtoGg,IF('Net zero activities &amp; levers'!$C$14="On",Constants!$H64*'Net zero Activity data'!AV6*Constants!$H82*FracLEACHMM*MMLeachEF*NtoN2O*kgtoGg,"ERROR"))</f>
        <v>2.9174428676514319E-2</v>
      </c>
      <c r="AD1202" s="101">
        <f>IF('Net zero activities &amp; levers'!$C$14="Off",Constants!$H64*'Activity data'!AW6*Constants!$H82*FracLEACHMM*MMLeachEF*NtoN2O*kgtoGg,IF('Net zero activities &amp; levers'!$C$14="On",Constants!$H64*'Net zero Activity data'!AW6*Constants!$H82*FracLEACHMM*MMLeachEF*NtoN2O*kgtoGg,"ERROR"))</f>
        <v>2.9469283915752844E-2</v>
      </c>
      <c r="AE1202" s="101">
        <f>IF('Net zero activities &amp; levers'!$C$14="Off",Constants!$H64*'Activity data'!AX6*Constants!$H82*FracLEACHMM*MMLeachEF*NtoN2O*kgtoGg,IF('Net zero activities &amp; levers'!$C$14="On",Constants!$H64*'Net zero Activity data'!AX6*Constants!$H82*FracLEACHMM*MMLeachEF*NtoN2O*kgtoGg,"ERROR"))</f>
        <v>2.979041226626589E-2</v>
      </c>
      <c r="AF1202" s="101">
        <f>IF('Net zero activities &amp; levers'!$C$14="Off",Constants!$H64*'Activity data'!AY6*Constants!$H82*FracLEACHMM*MMLeachEF*NtoN2O*kgtoGg,IF('Net zero activities &amp; levers'!$C$14="On",Constants!$H64*'Net zero Activity data'!AY6*Constants!$H82*FracLEACHMM*MMLeachEF*NtoN2O*kgtoGg,"ERROR"))</f>
        <v>3.0124286946394699E-2</v>
      </c>
      <c r="AG1202" s="101">
        <f>IF('Net zero activities &amp; levers'!$C$14="Off",Constants!$H64*'Activity data'!AZ6*Constants!$H82*FracLEACHMM*MMLeachEF*NtoN2O*kgtoGg,IF('Net zero activities &amp; levers'!$C$14="On",Constants!$H64*'Net zero Activity data'!AZ6*Constants!$H82*FracLEACHMM*MMLeachEF*NtoN2O*kgtoGg,"ERROR"))</f>
        <v>3.0170924136884231E-2</v>
      </c>
      <c r="AH1202" s="101">
        <f>IF('Net zero activities &amp; levers'!$C$14="Off",Constants!$H64*'Activity data'!BA6*Constants!$H82*FracLEACHMM*MMLeachEF*NtoN2O*kgtoGg,IF('Net zero activities &amp; levers'!$C$14="On",Constants!$H64*'Net zero Activity data'!BA6*Constants!$H82*FracLEACHMM*MMLeachEF*NtoN2O*kgtoGg,"ERROR"))</f>
        <v>1.6153218420962612E-2</v>
      </c>
      <c r="AI1202" s="101">
        <f>IF('Net zero activities &amp; levers'!$C$14="Off",Constants!$H64*'Activity data'!BB6*Constants!$H82*FracLEACHMM*MMLeachEF*NtoN2O*kgtoGg,IF('Net zero activities &amp; levers'!$C$14="On",Constants!$H64*'Net zero Activity data'!BB6*Constants!$H82*FracLEACHMM*MMLeachEF*NtoN2O*kgtoGg,"ERROR"))</f>
        <v>1.6165099014506461E-2</v>
      </c>
      <c r="AJ1202" s="101">
        <f>IF('Net zero activities &amp; levers'!$C$14="Off",Constants!$H64*'Activity data'!BC6*Constants!$H82*FracLEACHMM*MMLeachEF*NtoN2O*kgtoGg,IF('Net zero activities &amp; levers'!$C$14="On",Constants!$H64*'Net zero Activity data'!BC6*Constants!$H82*FracLEACHMM*MMLeachEF*NtoN2O*kgtoGg,"ERROR"))</f>
        <v>1.6178540267475436E-2</v>
      </c>
      <c r="AK1202" s="101">
        <f>IF('Net zero activities &amp; levers'!$C$14="Off",Constants!$H64*'Activity data'!BD6*Constants!$H82*FracLEACHMM*MMLeachEF*NtoN2O*kgtoGg,IF('Net zero activities &amp; levers'!$C$14="On",Constants!$H64*'Net zero Activity data'!BD6*Constants!$H82*FracLEACHMM*MMLeachEF*NtoN2O*kgtoGg,"ERROR"))</f>
        <v>1.6193482859768772E-2</v>
      </c>
      <c r="AL1202" s="101">
        <f>IF('Net zero activities &amp; levers'!$C$14="Off",Constants!$H64*'Activity data'!BE6*Constants!$H82*FracLEACHMM*MMLeachEF*NtoN2O*kgtoGg,IF('Net zero activities &amp; levers'!$C$14="On",Constants!$H64*'Net zero Activity data'!BE6*Constants!$H82*FracLEACHMM*MMLeachEF*NtoN2O*kgtoGg,"ERROR"))</f>
        <v>1.6209872039886029E-2</v>
      </c>
      <c r="AM1202" s="101">
        <f>IF('Net zero activities &amp; levers'!$C$14="Off",Constants!$H64*'Activity data'!BF6*Constants!$H82*FracLEACHMM*MMLeachEF*NtoN2O*kgtoGg,IF('Net zero activities &amp; levers'!$C$14="On",Constants!$H64*'Net zero Activity data'!BF6*Constants!$H82*FracLEACHMM*MMLeachEF*NtoN2O*kgtoGg,"ERROR"))</f>
        <v>1.6227657191900897E-2</v>
      </c>
      <c r="AN1202" s="101">
        <f>IF('Net zero activities &amp; levers'!$C$14="Off",Constants!$H64*'Activity data'!BG6*Constants!$H82*FracLEACHMM*MMLeachEF*NtoN2O*kgtoGg,IF('Net zero activities &amp; levers'!$C$14="On",Constants!$H64*'Net zero Activity data'!BG6*Constants!$H82*FracLEACHMM*MMLeachEF*NtoN2O*kgtoGg,"ERROR"))</f>
        <v>1.6235314231230563E-2</v>
      </c>
      <c r="AO1202" s="101">
        <f>IF('Net zero activities &amp; levers'!$C$14="Off",Constants!$H64*'Activity data'!BH6*Constants!$H82*FracLEACHMM*MMLeachEF*NtoN2O*kgtoGg,IF('Net zero activities &amp; levers'!$C$14="On",Constants!$H64*'Net zero Activity data'!BH6*Constants!$H82*FracLEACHMM*MMLeachEF*NtoN2O*kgtoGg,"ERROR"))</f>
        <v>1.6244200616272676E-2</v>
      </c>
      <c r="AP1202" s="101">
        <f>IF('Net zero activities &amp; levers'!$C$14="Off",Constants!$H64*'Activity data'!BI6*Constants!$H82*FracLEACHMM*MMLeachEF*NtoN2O*kgtoGg,IF('Net zero activities &amp; levers'!$C$14="On",Constants!$H64*'Net zero Activity data'!BI6*Constants!$H82*FracLEACHMM*MMLeachEF*NtoN2O*kgtoGg,"ERROR"))</f>
        <v>1.6254273409760815E-2</v>
      </c>
      <c r="AQ1202" s="101">
        <f>IF('Net zero activities &amp; levers'!$C$14="Off",Constants!$H64*'Activity data'!BJ6*Constants!$H82*FracLEACHMM*MMLeachEF*NtoN2O*kgtoGg,IF('Net zero activities &amp; levers'!$C$14="On",Constants!$H64*'Net zero Activity data'!BJ6*Constants!$H82*FracLEACHMM*MMLeachEF*NtoN2O*kgtoGg,"ERROR"))</f>
        <v>1.6265492604329402E-2</v>
      </c>
      <c r="AR1202" s="101">
        <f>IF('Net zero activities &amp; levers'!$C$14="Off",Constants!$H64*'Activity data'!BK6*Constants!$H82*FracLEACHMM*MMLeachEF*NtoN2O*kgtoGg,IF('Net zero activities &amp; levers'!$C$14="On",Constants!$H64*'Net zero Activity data'!BK6*Constants!$H82*FracLEACHMM*MMLeachEF*NtoN2O*kgtoGg,"ERROR"))</f>
        <v>1.6277820873888151E-2</v>
      </c>
      <c r="AS1202" s="101">
        <f>IF('Net zero activities &amp; levers'!$C$14="Off",Constants!$H64*'Activity data'!BL6*Constants!$H82*FracLEACHMM*MMLeachEF*NtoN2O*kgtoGg,IF('Net zero activities &amp; levers'!$C$14="On",Constants!$H64*'Net zero Activity data'!BL6*Constants!$H82*FracLEACHMM*MMLeachEF*NtoN2O*kgtoGg,"ERROR"))</f>
        <v>1.6279622458709387E-2</v>
      </c>
      <c r="AT1202" s="101">
        <f>IF('Net zero activities &amp; levers'!$C$14="Off",Constants!$H64*'Activity data'!BM6*Constants!$H82*FracLEACHMM*MMLeachEF*NtoN2O*kgtoGg,IF('Net zero activities &amp; levers'!$C$14="On",Constants!$H64*'Net zero Activity data'!BM6*Constants!$H82*FracLEACHMM*MMLeachEF*NtoN2O*kgtoGg,"ERROR"))</f>
        <v>1.6282407265987193E-2</v>
      </c>
      <c r="AU1202" s="101">
        <f>IF('Net zero activities &amp; levers'!$C$14="Off",Constants!$H64*'Activity data'!BN6*Constants!$H82*FracLEACHMM*MMLeachEF*NtoN2O*kgtoGg,IF('Net zero activities &amp; levers'!$C$14="On",Constants!$H64*'Net zero Activity data'!BN6*Constants!$H82*FracLEACHMM*MMLeachEF*NtoN2O*kgtoGg,"ERROR"))</f>
        <v>1.6286142706639629E-2</v>
      </c>
      <c r="AV1202" s="101">
        <f>IF('Net zero activities &amp; levers'!$C$14="Off",Constants!$H64*'Activity data'!BO6*Constants!$H82*FracLEACHMM*MMLeachEF*NtoN2O*kgtoGg,IF('Net zero activities &amp; levers'!$C$14="On",Constants!$H64*'Net zero Activity data'!BO6*Constants!$H82*FracLEACHMM*MMLeachEF*NtoN2O*kgtoGg,"ERROR"))</f>
        <v>1.6290798176882768E-2</v>
      </c>
      <c r="AW1202" s="101">
        <f>IF('Net zero activities &amp; levers'!$C$14="Off",Constants!$H64*'Activity data'!BP6*Constants!$H82*FracLEACHMM*MMLeachEF*NtoN2O*kgtoGg,IF('Net zero activities &amp; levers'!$C$14="On",Constants!$H64*'Net zero Activity data'!BP6*Constants!$H82*FracLEACHMM*MMLeachEF*NtoN2O*kgtoGg,"ERROR"))</f>
        <v>1.6296344905722616E-2</v>
      </c>
      <c r="AY1202" s="85"/>
    </row>
    <row r="1203" spans="1:51" x14ac:dyDescent="0.25">
      <c r="A1203" s="102" t="str">
        <f t="shared" si="380"/>
        <v>CM MM Leaching</v>
      </c>
      <c r="B1203" s="102" t="s">
        <v>1323</v>
      </c>
      <c r="C1203" s="102" t="s">
        <v>1334</v>
      </c>
      <c r="D1203" t="s">
        <v>369</v>
      </c>
      <c r="E1203" t="s">
        <v>64</v>
      </c>
      <c r="F1203" t="s">
        <v>63</v>
      </c>
      <c r="G1203" t="s">
        <v>1157</v>
      </c>
      <c r="H1203" t="s">
        <v>1309</v>
      </c>
      <c r="I1203" t="s">
        <v>139</v>
      </c>
      <c r="J1203" t="s">
        <v>287</v>
      </c>
      <c r="K1203" s="101">
        <f>IF('Net zero activities &amp; levers'!$C$14="Off",Constants!$H65*'Activity data'!AD7*Constants!$H83*FracLEACHMM*MMLeachEF*NtoN2O*kgtoGg,IF('Net zero activities &amp; levers'!$C$14="On",Constants!$H65*'Net zero Activity data'!AD7*Constants!$H83*FracLEACHMM*MMLeachEF*NtoN2O*kgtoGg,"ERROR"))</f>
        <v>1.4509917151188738E-3</v>
      </c>
      <c r="L1203" s="101">
        <f>IF('Net zero activities &amp; levers'!$C$14="Off",Constants!$H65*'Activity data'!AE7*Constants!$H83*FracLEACHMM*MMLeachEF*NtoN2O*kgtoGg,IF('Net zero activities &amp; levers'!$C$14="On",Constants!$H65*'Net zero Activity data'!AE7*Constants!$H83*FracLEACHMM*MMLeachEF*NtoN2O*kgtoGg,"ERROR"))</f>
        <v>1.4600171283433256E-3</v>
      </c>
      <c r="M1203" s="101">
        <f>IF('Net zero activities &amp; levers'!$C$14="Off",Constants!$H65*'Activity data'!AF7*Constants!$H83*FracLEACHMM*MMLeachEF*NtoN2O*kgtoGg,IF('Net zero activities &amp; levers'!$C$14="On",Constants!$H65*'Net zero Activity data'!AF7*Constants!$H83*FracLEACHMM*MMLeachEF*NtoN2O*kgtoGg,"ERROR"))</f>
        <v>1.4662222242646174E-3</v>
      </c>
      <c r="N1203" s="101">
        <f>IF('Net zero activities &amp; levers'!$C$14="Off",Constants!$H65*'Activity data'!AG7*Constants!$H83*FracLEACHMM*MMLeachEF*NtoN2O*kgtoGg,IF('Net zero activities &amp; levers'!$C$14="On",Constants!$H65*'Net zero Activity data'!AG7*Constants!$H83*FracLEACHMM*MMLeachEF*NtoN2O*kgtoGg,"ERROR"))</f>
        <v>1.4681682336871716E-3</v>
      </c>
      <c r="O1203" s="101">
        <f>IF('Net zero activities &amp; levers'!$C$14="Off",Constants!$H65*'Activity data'!AH7*Constants!$H83*FracLEACHMM*MMLeachEF*NtoN2O*kgtoGg,IF('Net zero activities &amp; levers'!$C$14="On",Constants!$H65*'Net zero Activity data'!AH7*Constants!$H83*FracLEACHMM*MMLeachEF*NtoN2O*kgtoGg,"ERROR"))</f>
        <v>1.4708008940557055E-3</v>
      </c>
      <c r="P1203" s="101">
        <f>IF('Net zero activities &amp; levers'!$C$14="Off",Constants!$H65*'Activity data'!AI7*Constants!$H83*FracLEACHMM*MMLeachEF*NtoN2O*kgtoGg,IF('Net zero activities &amp; levers'!$C$14="On",Constants!$H65*'Net zero Activity data'!AI7*Constants!$H83*FracLEACHMM*MMLeachEF*NtoN2O*kgtoGg,"ERROR"))</f>
        <v>1.4765674204667426E-3</v>
      </c>
      <c r="Q1203" s="101">
        <f>IF('Net zero activities &amp; levers'!$C$14="Off",Constants!$H65*'Activity data'!AJ7*Constants!$H83*FracLEACHMM*MMLeachEF*NtoN2O*kgtoGg,IF('Net zero activities &amp; levers'!$C$14="On",Constants!$H65*'Net zero Activity data'!AJ7*Constants!$H83*FracLEACHMM*MMLeachEF*NtoN2O*kgtoGg,"ERROR"))</f>
        <v>1.4834809007190539E-3</v>
      </c>
      <c r="R1203" s="101">
        <f>IF('Net zero activities &amp; levers'!$C$14="Off",Constants!$H65*'Activity data'!AK7*Constants!$H83*FracLEACHMM*MMLeachEF*NtoN2O*kgtoGg,IF('Net zero activities &amp; levers'!$C$14="On",Constants!$H65*'Net zero Activity data'!AK7*Constants!$H83*FracLEACHMM*MMLeachEF*NtoN2O*kgtoGg,"ERROR"))</f>
        <v>1.485557782302746E-3</v>
      </c>
      <c r="S1203" s="101">
        <f>IF('Net zero activities &amp; levers'!$C$14="Off",Constants!$H65*'Activity data'!AL7*Constants!$H83*FracLEACHMM*MMLeachEF*NtoN2O*kgtoGg,IF('Net zero activities &amp; levers'!$C$14="On",Constants!$H65*'Net zero Activity data'!AL7*Constants!$H83*FracLEACHMM*MMLeachEF*NtoN2O*kgtoGg,"ERROR"))</f>
        <v>1.439951492065016E-3</v>
      </c>
      <c r="T1203" s="101">
        <f>IF('Net zero activities &amp; levers'!$C$14="Off",Constants!$H65*'Activity data'!AM7*Constants!$H83*FracLEACHMM*MMLeachEF*NtoN2O*kgtoGg,IF('Net zero activities &amp; levers'!$C$14="On",Constants!$H65*'Net zero Activity data'!AM7*Constants!$H83*FracLEACHMM*MMLeachEF*NtoN2O*kgtoGg,"ERROR"))</f>
        <v>1.4518118874312183E-3</v>
      </c>
      <c r="U1203" s="101">
        <f>IF('Net zero activities &amp; levers'!$C$14="Off",Constants!$H65*'Activity data'!AN7*Constants!$H83*FracLEACHMM*MMLeachEF*NtoN2O*kgtoGg,IF('Net zero activities &amp; levers'!$C$14="On",Constants!$H65*'Net zero Activity data'!AN7*Constants!$H83*FracLEACHMM*MMLeachEF*NtoN2O*kgtoGg,"ERROR"))</f>
        <v>1.4626875331571739E-3</v>
      </c>
      <c r="V1203" s="101">
        <f>IF('Net zero activities &amp; levers'!$C$14="Off",Constants!$H65*'Activity data'!AO7*Constants!$H83*FracLEACHMM*MMLeachEF*NtoN2O*kgtoGg,IF('Net zero activities &amp; levers'!$C$14="On",Constants!$H65*'Net zero Activity data'!AO7*Constants!$H83*FracLEACHMM*MMLeachEF*NtoN2O*kgtoGg,"ERROR"))</f>
        <v>1.4738386940228707E-3</v>
      </c>
      <c r="W1203" s="101">
        <f>IF('Net zero activities &amp; levers'!$C$14="Off",Constants!$H65*'Activity data'!AP7*Constants!$H83*FracLEACHMM*MMLeachEF*NtoN2O*kgtoGg,IF('Net zero activities &amp; levers'!$C$14="On",Constants!$H65*'Net zero Activity data'!AP7*Constants!$H83*FracLEACHMM*MMLeachEF*NtoN2O*kgtoGg,"ERROR"))</f>
        <v>1.4872717842057417E-3</v>
      </c>
      <c r="X1203" s="101">
        <f>IF('Net zero activities &amp; levers'!$C$14="Off",Constants!$H65*'Activity data'!AQ7*Constants!$H83*FracLEACHMM*MMLeachEF*NtoN2O*kgtoGg,IF('Net zero activities &amp; levers'!$C$14="On",Constants!$H65*'Net zero Activity data'!AQ7*Constants!$H83*FracLEACHMM*MMLeachEF*NtoN2O*kgtoGg,"ERROR"))</f>
        <v>1.5009569382520018E-3</v>
      </c>
      <c r="Y1203" s="101">
        <f>IF('Net zero activities &amp; levers'!$C$14="Off",Constants!$H65*'Activity data'!AR7*Constants!$H83*FracLEACHMM*MMLeachEF*NtoN2O*kgtoGg,IF('Net zero activities &amp; levers'!$C$14="On",Constants!$H65*'Net zero Activity data'!AR7*Constants!$H83*FracLEACHMM*MMLeachEF*NtoN2O*kgtoGg,"ERROR"))</f>
        <v>1.5142824246825921E-3</v>
      </c>
      <c r="Z1203" s="101">
        <f>IF('Net zero activities &amp; levers'!$C$14="Off",Constants!$H65*'Activity data'!AS7*Constants!$H83*FracLEACHMM*MMLeachEF*NtoN2O*kgtoGg,IF('Net zero activities &amp; levers'!$C$14="On",Constants!$H65*'Net zero Activity data'!AS7*Constants!$H83*FracLEACHMM*MMLeachEF*NtoN2O*kgtoGg,"ERROR"))</f>
        <v>1.5273413245364029E-3</v>
      </c>
      <c r="AA1203" s="101">
        <f>IF('Net zero activities &amp; levers'!$C$14="Off",Constants!$H65*'Activity data'!AT7*Constants!$H83*FracLEACHMM*MMLeachEF*NtoN2O*kgtoGg,IF('Net zero activities &amp; levers'!$C$14="On",Constants!$H65*'Net zero Activity data'!AT7*Constants!$H83*FracLEACHMM*MMLeachEF*NtoN2O*kgtoGg,"ERROR"))</f>
        <v>1.5414071919050509E-3</v>
      </c>
      <c r="AB1203" s="101">
        <f>IF('Net zero activities &amp; levers'!$C$14="Off",Constants!$H65*'Activity data'!AU7*Constants!$H83*FracLEACHMM*MMLeachEF*NtoN2O*kgtoGg,IF('Net zero activities &amp; levers'!$C$14="On",Constants!$H65*'Net zero Activity data'!AU7*Constants!$H83*FracLEACHMM*MMLeachEF*NtoN2O*kgtoGg,"ERROR"))</f>
        <v>1.5547272918144282E-3</v>
      </c>
      <c r="AC1203" s="101">
        <f>IF('Net zero activities &amp; levers'!$C$14="Off",Constants!$H65*'Activity data'!AV7*Constants!$H83*FracLEACHMM*MMLeachEF*NtoN2O*kgtoGg,IF('Net zero activities &amp; levers'!$C$14="On",Constants!$H65*'Net zero Activity data'!AV7*Constants!$H83*FracLEACHMM*MMLeachEF*NtoN2O*kgtoGg,"ERROR"))</f>
        <v>1.568525174424283E-3</v>
      </c>
      <c r="AD1203" s="101">
        <f>IF('Net zero activities &amp; levers'!$C$14="Off",Constants!$H65*'Activity data'!AW7*Constants!$H83*FracLEACHMM*MMLeachEF*NtoN2O*kgtoGg,IF('Net zero activities &amp; levers'!$C$14="On",Constants!$H65*'Net zero Activity data'!AW7*Constants!$H83*FracLEACHMM*MMLeachEF*NtoN2O*kgtoGg,"ERROR"))</f>
        <v>1.5843776824779826E-3</v>
      </c>
      <c r="AE1203" s="101">
        <f>IF('Net zero activities &amp; levers'!$C$14="Off",Constants!$H65*'Activity data'!AX7*Constants!$H83*FracLEACHMM*MMLeachEF*NtoN2O*kgtoGg,IF('Net zero activities &amp; levers'!$C$14="On",Constants!$H65*'Net zero Activity data'!AX7*Constants!$H83*FracLEACHMM*MMLeachEF*NtoN2O*kgtoGg,"ERROR"))</f>
        <v>1.6016427301533305E-3</v>
      </c>
      <c r="AF1203" s="101">
        <f>IF('Net zero activities &amp; levers'!$C$14="Off",Constants!$H65*'Activity data'!AY7*Constants!$H83*FracLEACHMM*MMLeachEF*NtoN2O*kgtoGg,IF('Net zero activities &amp; levers'!$C$14="On",Constants!$H65*'Net zero Activity data'!AY7*Constants!$H83*FracLEACHMM*MMLeachEF*NtoN2O*kgtoGg,"ERROR"))</f>
        <v>1.6195930676455074E-3</v>
      </c>
      <c r="AG1203" s="101">
        <f>IF('Net zero activities &amp; levers'!$C$14="Off",Constants!$H65*'Activity data'!AZ7*Constants!$H83*FracLEACHMM*MMLeachEF*NtoN2O*kgtoGg,IF('Net zero activities &amp; levers'!$C$14="On",Constants!$H65*'Net zero Activity data'!AZ7*Constants!$H83*FracLEACHMM*MMLeachEF*NtoN2O*kgtoGg,"ERROR"))</f>
        <v>1.6221004554733333E-3</v>
      </c>
      <c r="AH1203" s="101">
        <f>IF('Net zero activities &amp; levers'!$C$14="Off",Constants!$H65*'Activity data'!BA7*Constants!$H83*FracLEACHMM*MMLeachEF*NtoN2O*kgtoGg,IF('Net zero activities &amp; levers'!$C$14="On",Constants!$H65*'Net zero Activity data'!BA7*Constants!$H83*FracLEACHMM*MMLeachEF*NtoN2O*kgtoGg,"ERROR"))</f>
        <v>8.6845675787475588E-4</v>
      </c>
      <c r="AI1203" s="101">
        <f>IF('Net zero activities &amp; levers'!$C$14="Off",Constants!$H65*'Activity data'!BB7*Constants!$H83*FracLEACHMM*MMLeachEF*NtoN2O*kgtoGg,IF('Net zero activities &amp; levers'!$C$14="On",Constants!$H65*'Net zero Activity data'!BB7*Constants!$H83*FracLEACHMM*MMLeachEF*NtoN2O*kgtoGg,"ERROR"))</f>
        <v>8.6909550251881536E-4</v>
      </c>
      <c r="AJ1203" s="101">
        <f>IF('Net zero activities &amp; levers'!$C$14="Off",Constants!$H65*'Activity data'!BC7*Constants!$H83*FracLEACHMM*MMLeachEF*NtoN2O*kgtoGg,IF('Net zero activities &amp; levers'!$C$14="On",Constants!$H65*'Net zero Activity data'!BC7*Constants!$H83*FracLEACHMM*MMLeachEF*NtoN2O*kgtoGg,"ERROR"))</f>
        <v>8.6981815398498119E-4</v>
      </c>
      <c r="AK1203" s="101">
        <f>IF('Net zero activities &amp; levers'!$C$14="Off",Constants!$H65*'Activity data'!BD7*Constants!$H83*FracLEACHMM*MMLeachEF*NtoN2O*kgtoGg,IF('Net zero activities &amp; levers'!$C$14="On",Constants!$H65*'Net zero Activity data'!BD7*Constants!$H83*FracLEACHMM*MMLeachEF*NtoN2O*kgtoGg,"ERROR"))</f>
        <v>8.7062152300526781E-4</v>
      </c>
      <c r="AL1203" s="101">
        <f>IF('Net zero activities &amp; levers'!$C$14="Off",Constants!$H65*'Activity data'!BE7*Constants!$H83*FracLEACHMM*MMLeachEF*NtoN2O*kgtoGg,IF('Net zero activities &amp; levers'!$C$14="On",Constants!$H65*'Net zero Activity data'!BE7*Constants!$H83*FracLEACHMM*MMLeachEF*NtoN2O*kgtoGg,"ERROR"))</f>
        <v>8.7150266593653532E-4</v>
      </c>
      <c r="AM1203" s="101">
        <f>IF('Net zero activities &amp; levers'!$C$14="Off",Constants!$H65*'Activity data'!BF7*Constants!$H83*FracLEACHMM*MMLeachEF*NtoN2O*kgtoGg,IF('Net zero activities &amp; levers'!$C$14="On",Constants!$H65*'Net zero Activity data'!BF7*Constants!$H83*FracLEACHMM*MMLeachEF*NtoN2O*kgtoGg,"ERROR"))</f>
        <v>8.7245886147940626E-4</v>
      </c>
      <c r="AN1203" s="101">
        <f>IF('Net zero activities &amp; levers'!$C$14="Off",Constants!$H65*'Activity data'!BG7*Constants!$H83*FracLEACHMM*MMLeachEF*NtoN2O*kgtoGg,IF('Net zero activities &amp; levers'!$C$14="On",Constants!$H65*'Net zero Activity data'!BG7*Constants!$H83*FracLEACHMM*MMLeachEF*NtoN2O*kgtoGg,"ERROR"))</f>
        <v>8.728705322299566E-4</v>
      </c>
      <c r="AO1203" s="101">
        <f>IF('Net zero activities &amp; levers'!$C$14="Off",Constants!$H65*'Activity data'!BH7*Constants!$H83*FracLEACHMM*MMLeachEF*NtoN2O*kgtoGg,IF('Net zero activities &amp; levers'!$C$14="On",Constants!$H65*'Net zero Activity data'!BH7*Constants!$H83*FracLEACHMM*MMLeachEF*NtoN2O*kgtoGg,"ERROR"))</f>
        <v>8.7334829715220207E-4</v>
      </c>
      <c r="AP1203" s="101">
        <f>IF('Net zero activities &amp; levers'!$C$14="Off",Constants!$H65*'Activity data'!BI7*Constants!$H83*FracLEACHMM*MMLeachEF*NtoN2O*kgtoGg,IF('Net zero activities &amp; levers'!$C$14="On",Constants!$H65*'Net zero Activity data'!BI7*Constants!$H83*FracLEACHMM*MMLeachEF*NtoN2O*kgtoGg,"ERROR"))</f>
        <v>8.7388984777991429E-4</v>
      </c>
      <c r="AQ1203" s="101">
        <f>IF('Net zero activities &amp; levers'!$C$14="Off",Constants!$H65*'Activity data'!BJ7*Constants!$H83*FracLEACHMM*MMLeachEF*NtoN2O*kgtoGg,IF('Net zero activities &amp; levers'!$C$14="On",Constants!$H65*'Net zero Activity data'!BJ7*Constants!$H83*FracLEACHMM*MMLeachEF*NtoN2O*kgtoGg,"ERROR"))</f>
        <v>8.7449303316917135E-4</v>
      </c>
      <c r="AR1203" s="101">
        <f>IF('Net zero activities &amp; levers'!$C$14="Off",Constants!$H65*'Activity data'!BK7*Constants!$H83*FracLEACHMM*MMLeachEF*NtoN2O*kgtoGg,IF('Net zero activities &amp; levers'!$C$14="On",Constants!$H65*'Net zero Activity data'!BK7*Constants!$H83*FracLEACHMM*MMLeachEF*NtoN2O*kgtoGg,"ERROR"))</f>
        <v>8.7515584653132471E-4</v>
      </c>
      <c r="AS1203" s="101">
        <f>IF('Net zero activities &amp; levers'!$C$14="Off",Constants!$H65*'Activity data'!BL7*Constants!$H83*FracLEACHMM*MMLeachEF*NtoN2O*kgtoGg,IF('Net zero activities &amp; levers'!$C$14="On",Constants!$H65*'Net zero Activity data'!BL7*Constants!$H83*FracLEACHMM*MMLeachEF*NtoN2O*kgtoGg,"ERROR"))</f>
        <v>8.7525270639368256E-4</v>
      </c>
      <c r="AT1203" s="101">
        <f>IF('Net zero activities &amp; levers'!$C$14="Off",Constants!$H65*'Activity data'!BM7*Constants!$H83*FracLEACHMM*MMLeachEF*NtoN2O*kgtoGg,IF('Net zero activities &amp; levers'!$C$14="On",Constants!$H65*'Net zero Activity data'!BM7*Constants!$H83*FracLEACHMM*MMLeachEF*NtoN2O*kgtoGg,"ERROR"))</f>
        <v>8.7540242793132E-4</v>
      </c>
      <c r="AU1203" s="101">
        <f>IF('Net zero activities &amp; levers'!$C$14="Off",Constants!$H65*'Activity data'!BN7*Constants!$H83*FracLEACHMM*MMLeachEF*NtoN2O*kgtoGg,IF('Net zero activities &amp; levers'!$C$14="On",Constants!$H65*'Net zero Activity data'!BN7*Constants!$H83*FracLEACHMM*MMLeachEF*NtoN2O*kgtoGg,"ERROR"))</f>
        <v>8.7560325903467736E-4</v>
      </c>
      <c r="AV1203" s="101">
        <f>IF('Net zero activities &amp; levers'!$C$14="Off",Constants!$H65*'Activity data'!BO7*Constants!$H83*FracLEACHMM*MMLeachEF*NtoN2O*kgtoGg,IF('Net zero activities &amp; levers'!$C$14="On",Constants!$H65*'Net zero Activity data'!BO7*Constants!$H83*FracLEACHMM*MMLeachEF*NtoN2O*kgtoGg,"ERROR"))</f>
        <v>8.7585355433115466E-4</v>
      </c>
      <c r="AW1203" s="101">
        <f>IF('Net zero activities &amp; levers'!$C$14="Off",Constants!$H65*'Activity data'!BP7*Constants!$H83*FracLEACHMM*MMLeachEF*NtoN2O*kgtoGg,IF('Net zero activities &amp; levers'!$C$14="On",Constants!$H65*'Net zero Activity data'!BP7*Constants!$H83*FracLEACHMM*MMLeachEF*NtoN2O*kgtoGg,"ERROR"))</f>
        <v>8.7615176698571857E-4</v>
      </c>
      <c r="AY1203" s="85"/>
    </row>
    <row r="1204" spans="1:51" x14ac:dyDescent="0.25">
      <c r="A1204" s="102" t="str">
        <f t="shared" si="380"/>
        <v>CM MM Leaching</v>
      </c>
      <c r="B1204" s="102" t="s">
        <v>1323</v>
      </c>
      <c r="C1204" s="102" t="s">
        <v>1334</v>
      </c>
      <c r="D1204" t="s">
        <v>369</v>
      </c>
      <c r="E1204" t="s">
        <v>64</v>
      </c>
      <c r="F1204" t="s">
        <v>63</v>
      </c>
      <c r="G1204" t="s">
        <v>1159</v>
      </c>
      <c r="H1204" t="s">
        <v>1310</v>
      </c>
      <c r="I1204" t="s">
        <v>139</v>
      </c>
      <c r="J1204" t="s">
        <v>287</v>
      </c>
      <c r="K1204" s="101">
        <f>IF('Net zero activities &amp; levers'!$C$14="Off",Constants!$H66*'Activity data'!AD8*Constants!$H84*FracLEACHMM*MMLeachEF*NtoN2O*kgtoGg,IF('Net zero activities &amp; levers'!$C$14="On",Constants!$H66*'Net zero Activity data'!AD8*Constants!$H84*FracLEACHMM*MMLeachEF*NtoN2O*kgtoGg,"ERROR"))</f>
        <v>3.0570019073752373E-2</v>
      </c>
      <c r="L1204" s="101">
        <f>IF('Net zero activities &amp; levers'!$C$14="Off",Constants!$H66*'Activity data'!AE8*Constants!$H84*FracLEACHMM*MMLeachEF*NtoN2O*kgtoGg,IF('Net zero activities &amp; levers'!$C$14="On",Constants!$H66*'Net zero Activity data'!AE8*Constants!$H84*FracLEACHMM*MMLeachEF*NtoN2O*kgtoGg,"ERROR"))</f>
        <v>3.0367387601048686E-2</v>
      </c>
      <c r="M1204" s="101">
        <f>IF('Net zero activities &amp; levers'!$C$14="Off",Constants!$H66*'Activity data'!AF8*Constants!$H84*FracLEACHMM*MMLeachEF*NtoN2O*kgtoGg,IF('Net zero activities &amp; levers'!$C$14="On",Constants!$H66*'Net zero Activity data'!AF8*Constants!$H84*FracLEACHMM*MMLeachEF*NtoN2O*kgtoGg,"ERROR"))</f>
        <v>2.9940152719715736E-2</v>
      </c>
      <c r="N1204" s="101">
        <f>IF('Net zero activities &amp; levers'!$C$14="Off",Constants!$H66*'Activity data'!AG8*Constants!$H84*FracLEACHMM*MMLeachEF*NtoN2O*kgtoGg,IF('Net zero activities &amp; levers'!$C$14="On",Constants!$H66*'Net zero Activity data'!AG8*Constants!$H84*FracLEACHMM*MMLeachEF*NtoN2O*kgtoGg,"ERROR"))</f>
        <v>2.9219989120948371E-2</v>
      </c>
      <c r="O1204" s="101">
        <f>IF('Net zero activities &amp; levers'!$C$14="Off",Constants!$H66*'Activity data'!AH8*Constants!$H84*FracLEACHMM*MMLeachEF*NtoN2O*kgtoGg,IF('Net zero activities &amp; levers'!$C$14="On",Constants!$H66*'Net zero Activity data'!AH8*Constants!$H84*FracLEACHMM*MMLeachEF*NtoN2O*kgtoGg,"ERROR"))</f>
        <v>2.852126892952573E-2</v>
      </c>
      <c r="P1204" s="101">
        <f>IF('Net zero activities &amp; levers'!$C$14="Off",Constants!$H66*'Activity data'!AI8*Constants!$H84*FracLEACHMM*MMLeachEF*NtoN2O*kgtoGg,IF('Net zero activities &amp; levers'!$C$14="On",Constants!$H66*'Net zero Activity data'!AI8*Constants!$H84*FracLEACHMM*MMLeachEF*NtoN2O*kgtoGg,"ERROR"))</f>
        <v>2.7983855033028606E-2</v>
      </c>
      <c r="Q1204" s="101">
        <f>IF('Net zero activities &amp; levers'!$C$14="Off",Constants!$H66*'Activity data'!AJ8*Constants!$H84*FracLEACHMM*MMLeachEF*NtoN2O*kgtoGg,IF('Net zero activities &amp; levers'!$C$14="On",Constants!$H66*'Net zero Activity data'!AJ8*Constants!$H84*FracLEACHMM*MMLeachEF*NtoN2O*kgtoGg,"ERROR"))</f>
        <v>2.749776002622362E-2</v>
      </c>
      <c r="R1204" s="101">
        <f>IF('Net zero activities &amp; levers'!$C$14="Off",Constants!$H66*'Activity data'!AK8*Constants!$H84*FracLEACHMM*MMLeachEF*NtoN2O*kgtoGg,IF('Net zero activities &amp; levers'!$C$14="On",Constants!$H66*'Net zero Activity data'!AK8*Constants!$H84*FracLEACHMM*MMLeachEF*NtoN2O*kgtoGg,"ERROR"))</f>
        <v>2.6733493787157343E-2</v>
      </c>
      <c r="S1204" s="101">
        <f>IF('Net zero activities &amp; levers'!$C$14="Off",Constants!$H66*'Activity data'!AL8*Constants!$H84*FracLEACHMM*MMLeachEF*NtoN2O*kgtoGg,IF('Net zero activities &amp; levers'!$C$14="On",Constants!$H66*'Net zero Activity data'!AL8*Constants!$H84*FracLEACHMM*MMLeachEF*NtoN2O*kgtoGg,"ERROR"))</f>
        <v>2.3446894467457041E-2</v>
      </c>
      <c r="T1204" s="101">
        <f>IF('Net zero activities &amp; levers'!$C$14="Off",Constants!$H66*'Activity data'!AM8*Constants!$H84*FracLEACHMM*MMLeachEF*NtoN2O*kgtoGg,IF('Net zero activities &amp; levers'!$C$14="On",Constants!$H66*'Net zero Activity data'!AM8*Constants!$H84*FracLEACHMM*MMLeachEF*NtoN2O*kgtoGg,"ERROR"))</f>
        <v>2.3670380965491088E-2</v>
      </c>
      <c r="U1204" s="101">
        <f>IF('Net zero activities &amp; levers'!$C$14="Off",Constants!$H66*'Activity data'!AN8*Constants!$H84*FracLEACHMM*MMLeachEF*NtoN2O*kgtoGg,IF('Net zero activities &amp; levers'!$C$14="On",Constants!$H66*'Net zero Activity data'!AN8*Constants!$H84*FracLEACHMM*MMLeachEF*NtoN2O*kgtoGg,"ERROR"))</f>
        <v>2.3821608196176489E-2</v>
      </c>
      <c r="V1204" s="101">
        <f>IF('Net zero activities &amp; levers'!$C$14="Off",Constants!$H66*'Activity data'!AO8*Constants!$H84*FracLEACHMM*MMLeachEF*NtoN2O*kgtoGg,IF('Net zero activities &amp; levers'!$C$14="On",Constants!$H66*'Net zero Activity data'!AO8*Constants!$H84*FracLEACHMM*MMLeachEF*NtoN2O*kgtoGg,"ERROR"))</f>
        <v>2.3967916654645059E-2</v>
      </c>
      <c r="W1204" s="101">
        <f>IF('Net zero activities &amp; levers'!$C$14="Off",Constants!$H66*'Activity data'!AP8*Constants!$H84*FracLEACHMM*MMLeachEF*NtoN2O*kgtoGg,IF('Net zero activities &amp; levers'!$C$14="On",Constants!$H66*'Net zero Activity data'!AP8*Constants!$H84*FracLEACHMM*MMLeachEF*NtoN2O*kgtoGg,"ERROR"))</f>
        <v>2.4209875654048162E-2</v>
      </c>
      <c r="X1204" s="101">
        <f>IF('Net zero activities &amp; levers'!$C$14="Off",Constants!$H66*'Activity data'!AQ8*Constants!$H84*FracLEACHMM*MMLeachEF*NtoN2O*kgtoGg,IF('Net zero activities &amp; levers'!$C$14="On",Constants!$H66*'Net zero Activity data'!AQ8*Constants!$H84*FracLEACHMM*MMLeachEF*NtoN2O*kgtoGg,"ERROR"))</f>
        <v>2.4443860278754486E-2</v>
      </c>
      <c r="Y1204" s="101">
        <f>IF('Net zero activities &amp; levers'!$C$14="Off",Constants!$H66*'Activity data'!AR8*Constants!$H84*FracLEACHMM*MMLeachEF*NtoN2O*kgtoGg,IF('Net zero activities &amp; levers'!$C$14="On",Constants!$H66*'Net zero Activity data'!AR8*Constants!$H84*FracLEACHMM*MMLeachEF*NtoN2O*kgtoGg,"ERROR"))</f>
        <v>2.4689509012601481E-2</v>
      </c>
      <c r="Z1204" s="101">
        <f>IF('Net zero activities &amp; levers'!$C$14="Off",Constants!$H66*'Activity data'!AS8*Constants!$H84*FracLEACHMM*MMLeachEF*NtoN2O*kgtoGg,IF('Net zero activities &amp; levers'!$C$14="On",Constants!$H66*'Net zero Activity data'!AS8*Constants!$H84*FracLEACHMM*MMLeachEF*NtoN2O*kgtoGg,"ERROR"))</f>
        <v>2.4903367961433137E-2</v>
      </c>
      <c r="AA1204" s="101">
        <f>IF('Net zero activities &amp; levers'!$C$14="Off",Constants!$H66*'Activity data'!AT8*Constants!$H84*FracLEACHMM*MMLeachEF*NtoN2O*kgtoGg,IF('Net zero activities &amp; levers'!$C$14="On",Constants!$H66*'Net zero Activity data'!AT8*Constants!$H84*FracLEACHMM*MMLeachEF*NtoN2O*kgtoGg,"ERROR"))</f>
        <v>2.5146768445041517E-2</v>
      </c>
      <c r="AB1204" s="101">
        <f>IF('Net zero activities &amp; levers'!$C$14="Off",Constants!$H66*'Activity data'!AU8*Constants!$H84*FracLEACHMM*MMLeachEF*NtoN2O*kgtoGg,IF('Net zero activities &amp; levers'!$C$14="On",Constants!$H66*'Net zero Activity data'!AU8*Constants!$H84*FracLEACHMM*MMLeachEF*NtoN2O*kgtoGg,"ERROR"))</f>
        <v>2.5337237570324824E-2</v>
      </c>
      <c r="AC1204" s="101">
        <f>IF('Net zero activities &amp; levers'!$C$14="Off",Constants!$H66*'Activity data'!AV8*Constants!$H84*FracLEACHMM*MMLeachEF*NtoN2O*kgtoGg,IF('Net zero activities &amp; levers'!$C$14="On",Constants!$H66*'Net zero Activity data'!AV8*Constants!$H84*FracLEACHMM*MMLeachEF*NtoN2O*kgtoGg,"ERROR"))</f>
        <v>2.5532932848471888E-2</v>
      </c>
      <c r="AD1204" s="101">
        <f>IF('Net zero activities &amp; levers'!$C$14="Off",Constants!$H66*'Activity data'!AW8*Constants!$H84*FracLEACHMM*MMLeachEF*NtoN2O*kgtoGg,IF('Net zero activities &amp; levers'!$C$14="On",Constants!$H66*'Net zero Activity data'!AW8*Constants!$H84*FracLEACHMM*MMLeachEF*NtoN2O*kgtoGg,"ERROR"))</f>
        <v>2.5624080551254102E-2</v>
      </c>
      <c r="AE1204" s="101">
        <f>IF('Net zero activities &amp; levers'!$C$14="Off",Constants!$H66*'Activity data'!AX8*Constants!$H84*FracLEACHMM*MMLeachEF*NtoN2O*kgtoGg,IF('Net zero activities &amp; levers'!$C$14="On",Constants!$H66*'Net zero Activity data'!AX8*Constants!$H84*FracLEACHMM*MMLeachEF*NtoN2O*kgtoGg,"ERROR"))</f>
        <v>2.5749062544479791E-2</v>
      </c>
      <c r="AF1204" s="101">
        <f>IF('Net zero activities &amp; levers'!$C$14="Off",Constants!$H66*'Activity data'!AY8*Constants!$H84*FracLEACHMM*MMLeachEF*NtoN2O*kgtoGg,IF('Net zero activities &amp; levers'!$C$14="On",Constants!$H66*'Net zero Activity data'!AY8*Constants!$H84*FracLEACHMM*MMLeachEF*NtoN2O*kgtoGg,"ERROR"))</f>
        <v>2.5873562186552946E-2</v>
      </c>
      <c r="AG1204" s="101">
        <f>IF('Net zero activities &amp; levers'!$C$14="Off",Constants!$H66*'Activity data'!AZ8*Constants!$H84*FracLEACHMM*MMLeachEF*NtoN2O*kgtoGg,IF('Net zero activities &amp; levers'!$C$14="On",Constants!$H66*'Net zero Activity data'!AZ8*Constants!$H84*FracLEACHMM*MMLeachEF*NtoN2O*kgtoGg,"ERROR"))</f>
        <v>2.53248358805277E-2</v>
      </c>
      <c r="AH1204" s="101">
        <f>IF('Net zero activities &amp; levers'!$C$14="Off",Constants!$H66*'Activity data'!BA8*Constants!$H84*FracLEACHMM*MMLeachEF*NtoN2O*kgtoGg,IF('Net zero activities &amp; levers'!$C$14="On",Constants!$H66*'Net zero Activity data'!BA8*Constants!$H84*FracLEACHMM*MMLeachEF*NtoN2O*kgtoGg,"ERROR"))</f>
        <v>-5.9737784992688692E-3</v>
      </c>
      <c r="AI1204" s="101">
        <f>IF('Net zero activities &amp; levers'!$C$14="Off",Constants!$H66*'Activity data'!BB8*Constants!$H84*FracLEACHMM*MMLeachEF*NtoN2O*kgtoGg,IF('Net zero activities &amp; levers'!$C$14="On",Constants!$H66*'Net zero Activity data'!BB8*Constants!$H84*FracLEACHMM*MMLeachEF*NtoN2O*kgtoGg,"ERROR"))</f>
        <v>-5.8352076147992196E-3</v>
      </c>
      <c r="AJ1204" s="101">
        <f>IF('Net zero activities &amp; levers'!$C$14="Off",Constants!$H66*'Activity data'!BC8*Constants!$H84*FracLEACHMM*MMLeachEF*NtoN2O*kgtoGg,IF('Net zero activities &amp; levers'!$C$14="On",Constants!$H66*'Net zero Activity data'!BC8*Constants!$H84*FracLEACHMM*MMLeachEF*NtoN2O*kgtoGg,"ERROR"))</f>
        <v>-5.6988404422584063E-3</v>
      </c>
      <c r="AK1204" s="101">
        <f>IF('Net zero activities &amp; levers'!$C$14="Off",Constants!$H66*'Activity data'!BD8*Constants!$H84*FracLEACHMM*MMLeachEF*NtoN2O*kgtoGg,IF('Net zero activities &amp; levers'!$C$14="On",Constants!$H66*'Net zero Activity data'!BD8*Constants!$H84*FracLEACHMM*MMLeachEF*NtoN2O*kgtoGg,"ERROR"))</f>
        <v>-5.5645615630153409E-3</v>
      </c>
      <c r="AL1204" s="101">
        <f>IF('Net zero activities &amp; levers'!$C$14="Off",Constants!$H66*'Activity data'!BE8*Constants!$H84*FracLEACHMM*MMLeachEF*NtoN2O*kgtoGg,IF('Net zero activities &amp; levers'!$C$14="On",Constants!$H66*'Net zero Activity data'!BE8*Constants!$H84*FracLEACHMM*MMLeachEF*NtoN2O*kgtoGg,"ERROR"))</f>
        <v>-5.4322635380194221E-3</v>
      </c>
      <c r="AM1204" s="101">
        <f>IF('Net zero activities &amp; levers'!$C$14="Off",Constants!$H66*'Activity data'!BF8*Constants!$H84*FracLEACHMM*MMLeachEF*NtoN2O*kgtoGg,IF('Net zero activities &amp; levers'!$C$14="On",Constants!$H66*'Net zero Activity data'!BF8*Constants!$H84*FracLEACHMM*MMLeachEF*NtoN2O*kgtoGg,"ERROR"))</f>
        <v>-5.3018461683791993E-3</v>
      </c>
      <c r="AN1204" s="101">
        <f>IF('Net zero activities &amp; levers'!$C$14="Off",Constants!$H66*'Activity data'!BG8*Constants!$H84*FracLEACHMM*MMLeachEF*NtoN2O*kgtoGg,IF('Net zero activities &amp; levers'!$C$14="On",Constants!$H66*'Net zero Activity data'!BG8*Constants!$H84*FracLEACHMM*MMLeachEF*NtoN2O*kgtoGg,"ERROR"))</f>
        <v>-5.1961071833315654E-3</v>
      </c>
      <c r="AO1204" s="101">
        <f>IF('Net zero activities &amp; levers'!$C$14="Off",Constants!$H66*'Activity data'!BH8*Constants!$H84*FracLEACHMM*MMLeachEF*NtoN2O*kgtoGg,IF('Net zero activities &amp; levers'!$C$14="On",Constants!$H66*'Net zero Activity data'!BH8*Constants!$H84*FracLEACHMM*MMLeachEF*NtoN2O*kgtoGg,"ERROR"))</f>
        <v>-5.0919652579405755E-3</v>
      </c>
      <c r="AP1204" s="101">
        <f>IF('Net zero activities &amp; levers'!$C$14="Off",Constants!$H66*'Activity data'!BI8*Constants!$H84*FracLEACHMM*MMLeachEF*NtoN2O*kgtoGg,IF('Net zero activities &amp; levers'!$C$14="On",Constants!$H66*'Net zero Activity data'!BI8*Constants!$H84*FracLEACHMM*MMLeachEF*NtoN2O*kgtoGg,"ERROR"))</f>
        <v>-4.9893480213799102E-3</v>
      </c>
      <c r="AQ1204" s="101">
        <f>IF('Net zero activities &amp; levers'!$C$14="Off",Constants!$H66*'Activity data'!BJ8*Constants!$H84*FracLEACHMM*MMLeachEF*NtoN2O*kgtoGg,IF('Net zero activities &amp; levers'!$C$14="On",Constants!$H66*'Net zero Activity data'!BJ8*Constants!$H84*FracLEACHMM*MMLeachEF*NtoN2O*kgtoGg,"ERROR"))</f>
        <v>-4.8881876039149471E-3</v>
      </c>
      <c r="AR1204" s="101">
        <f>IF('Net zero activities &amp; levers'!$C$14="Off",Constants!$H66*'Activity data'!BK8*Constants!$H84*FracLEACHMM*MMLeachEF*NtoN2O*kgtoGg,IF('Net zero activities &amp; levers'!$C$14="On",Constants!$H66*'Net zero Activity data'!BK8*Constants!$H84*FracLEACHMM*MMLeachEF*NtoN2O*kgtoGg,"ERROR"))</f>
        <v>-4.7884202636879142E-3</v>
      </c>
      <c r="AS1204" s="101">
        <f>IF('Net zero activities &amp; levers'!$C$14="Off",Constants!$H66*'Activity data'!BL8*Constants!$H84*FracLEACHMM*MMLeachEF*NtoN2O*kgtoGg,IF('Net zero activities &amp; levers'!$C$14="On",Constants!$H66*'Net zero Activity data'!BL8*Constants!$H84*FracLEACHMM*MMLeachEF*NtoN2O*kgtoGg,"ERROR"))</f>
        <v>-4.6867985813226392E-3</v>
      </c>
      <c r="AT1204" s="101">
        <f>IF('Net zero activities &amp; levers'!$C$14="Off",Constants!$H66*'Activity data'!BM8*Constants!$H84*FracLEACHMM*MMLeachEF*NtoN2O*kgtoGg,IF('Net zero activities &amp; levers'!$C$14="On",Constants!$H66*'Net zero Activity data'!BM8*Constants!$H84*FracLEACHMM*MMLeachEF*NtoN2O*kgtoGg,"ERROR"))</f>
        <v>-4.5865743266878378E-3</v>
      </c>
      <c r="AU1204" s="101">
        <f>IF('Net zero activities &amp; levers'!$C$14="Off",Constants!$H66*'Activity data'!BN8*Constants!$H84*FracLEACHMM*MMLeachEF*NtoN2O*kgtoGg,IF('Net zero activities &amp; levers'!$C$14="On",Constants!$H66*'Net zero Activity data'!BN8*Constants!$H84*FracLEACHMM*MMLeachEF*NtoN2O*kgtoGg,"ERROR"))</f>
        <v>-4.4876925271481486E-3</v>
      </c>
      <c r="AV1204" s="101">
        <f>IF('Net zero activities &amp; levers'!$C$14="Off",Constants!$H66*'Activity data'!BO8*Constants!$H84*FracLEACHMM*MMLeachEF*NtoN2O*kgtoGg,IF('Net zero activities &amp; levers'!$C$14="On",Constants!$H66*'Net zero Activity data'!BO8*Constants!$H84*FracLEACHMM*MMLeachEF*NtoN2O*kgtoGg,"ERROR"))</f>
        <v>-4.3901012986055903E-3</v>
      </c>
      <c r="AW1204" s="101">
        <f>IF('Net zero activities &amp; levers'!$C$14="Off",Constants!$H66*'Activity data'!BP8*Constants!$H84*FracLEACHMM*MMLeachEF*NtoN2O*kgtoGg,IF('Net zero activities &amp; levers'!$C$14="On",Constants!$H66*'Net zero Activity data'!BP8*Constants!$H84*FracLEACHMM*MMLeachEF*NtoN2O*kgtoGg,"ERROR"))</f>
        <v>-4.2937516147018842E-3</v>
      </c>
      <c r="AY1204" s="85"/>
    </row>
    <row r="1205" spans="1:51" x14ac:dyDescent="0.25">
      <c r="A1205" s="102" t="str">
        <f t="shared" si="380"/>
        <v>CM MM Leaching</v>
      </c>
      <c r="B1205" s="102" t="s">
        <v>1323</v>
      </c>
      <c r="C1205" s="102" t="s">
        <v>1334</v>
      </c>
      <c r="D1205" t="s">
        <v>369</v>
      </c>
      <c r="E1205" t="s">
        <v>64</v>
      </c>
      <c r="F1205" t="s">
        <v>63</v>
      </c>
      <c r="G1205" t="s">
        <v>1161</v>
      </c>
      <c r="H1205" t="s">
        <v>1311</v>
      </c>
      <c r="I1205" t="s">
        <v>139</v>
      </c>
      <c r="J1205" t="s">
        <v>287</v>
      </c>
      <c r="K1205" s="101">
        <f>IF('Net zero activities &amp; levers'!$C$14="Off",Constants!$H67*'Activity data'!AD9*Constants!$H85*FracLEACHMM*MMLeachEF*NtoN2O*kgtoGg,IF('Net zero activities &amp; levers'!$C$14="On",Constants!$H67*'Net zero Activity data'!AD9*Constants!$H85*FracLEACHMM*MMLeachEF*NtoN2O*kgtoGg,"ERROR"))</f>
        <v>4.0580733454567468E-2</v>
      </c>
      <c r="L1205" s="101">
        <f>IF('Net zero activities &amp; levers'!$C$14="Off",Constants!$H67*'Activity data'!AE9*Constants!$H85*FracLEACHMM*MMLeachEF*NtoN2O*kgtoGg,IF('Net zero activities &amp; levers'!$C$14="On",Constants!$H67*'Net zero Activity data'!AE9*Constants!$H85*FracLEACHMM*MMLeachEF*NtoN2O*kgtoGg,"ERROR"))</f>
        <v>4.0311746583363478E-2</v>
      </c>
      <c r="M1205" s="101">
        <f>IF('Net zero activities &amp; levers'!$C$14="Off",Constants!$H67*'Activity data'!AF9*Constants!$H85*FracLEACHMM*MMLeachEF*NtoN2O*kgtoGg,IF('Net zero activities &amp; levers'!$C$14="On",Constants!$H67*'Net zero Activity data'!AF9*Constants!$H85*FracLEACHMM*MMLeachEF*NtoN2O*kgtoGg,"ERROR"))</f>
        <v>3.9744605790940746E-2</v>
      </c>
      <c r="N1205" s="101">
        <f>IF('Net zero activities &amp; levers'!$C$14="Off",Constants!$H67*'Activity data'!AG9*Constants!$H85*FracLEACHMM*MMLeachEF*NtoN2O*kgtoGg,IF('Net zero activities &amp; levers'!$C$14="On",Constants!$H67*'Net zero Activity data'!AG9*Constants!$H85*FracLEACHMM*MMLeachEF*NtoN2O*kgtoGg,"ERROR"))</f>
        <v>3.8788611390847182E-2</v>
      </c>
      <c r="O1205" s="101">
        <f>IF('Net zero activities &amp; levers'!$C$14="Off",Constants!$H67*'Activity data'!AH9*Constants!$H85*FracLEACHMM*MMLeachEF*NtoN2O*kgtoGg,IF('Net zero activities &amp; levers'!$C$14="On",Constants!$H67*'Net zero Activity data'!AH9*Constants!$H85*FracLEACHMM*MMLeachEF*NtoN2O*kgtoGg,"ERROR"))</f>
        <v>3.7861082435793565E-2</v>
      </c>
      <c r="P1205" s="101">
        <f>IF('Net zero activities &amp; levers'!$C$14="Off",Constants!$H67*'Activity data'!AI9*Constants!$H85*FracLEACHMM*MMLeachEF*NtoN2O*kgtoGg,IF('Net zero activities &amp; levers'!$C$14="On",Constants!$H67*'Net zero Activity data'!AI9*Constants!$H85*FracLEACHMM*MMLeachEF*NtoN2O*kgtoGg,"ERROR"))</f>
        <v>3.7147682485472483E-2</v>
      </c>
      <c r="Q1205" s="101">
        <f>IF('Net zero activities &amp; levers'!$C$14="Off",Constants!$H67*'Activity data'!AJ9*Constants!$H85*FracLEACHMM*MMLeachEF*NtoN2O*kgtoGg,IF('Net zero activities &amp; levers'!$C$14="On",Constants!$H67*'Net zero Activity data'!AJ9*Constants!$H85*FracLEACHMM*MMLeachEF*NtoN2O*kgtoGg,"ERROR"))</f>
        <v>3.6502406738108395E-2</v>
      </c>
      <c r="R1205" s="101">
        <f>IF('Net zero activities &amp; levers'!$C$14="Off",Constants!$H67*'Activity data'!AK9*Constants!$H85*FracLEACHMM*MMLeachEF*NtoN2O*kgtoGg,IF('Net zero activities &amp; levers'!$C$14="On",Constants!$H67*'Net zero Activity data'!AK9*Constants!$H85*FracLEACHMM*MMLeachEF*NtoN2O*kgtoGg,"ERROR"))</f>
        <v>3.5487867477892406E-2</v>
      </c>
      <c r="S1205" s="101">
        <f>IF('Net zero activities &amp; levers'!$C$14="Off",Constants!$H67*'Activity data'!AL9*Constants!$H85*FracLEACHMM*MMLeachEF*NtoN2O*kgtoGg,IF('Net zero activities &amp; levers'!$C$14="On",Constants!$H67*'Net zero Activity data'!AL9*Constants!$H85*FracLEACHMM*MMLeachEF*NtoN2O*kgtoGg,"ERROR"))</f>
        <v>3.1125010829260641E-2</v>
      </c>
      <c r="T1205" s="101">
        <f>IF('Net zero activities &amp; levers'!$C$14="Off",Constants!$H67*'Activity data'!AM9*Constants!$H85*FracLEACHMM*MMLeachEF*NtoN2O*kgtoGg,IF('Net zero activities &amp; levers'!$C$14="On",Constants!$H67*'Net zero Activity data'!AM9*Constants!$H85*FracLEACHMM*MMLeachEF*NtoN2O*kgtoGg,"ERROR"))</f>
        <v>3.142168208698979E-2</v>
      </c>
      <c r="U1205" s="101">
        <f>IF('Net zero activities &amp; levers'!$C$14="Off",Constants!$H67*'Activity data'!AN9*Constants!$H85*FracLEACHMM*MMLeachEF*NtoN2O*kgtoGg,IF('Net zero activities &amp; levers'!$C$14="On",Constants!$H67*'Net zero Activity data'!AN9*Constants!$H85*FracLEACHMM*MMLeachEF*NtoN2O*kgtoGg,"ERROR"))</f>
        <v>3.1622431452723296E-2</v>
      </c>
      <c r="V1205" s="101">
        <f>IF('Net zero activities &amp; levers'!$C$14="Off",Constants!$H67*'Activity data'!AO9*Constants!$H85*FracLEACHMM*MMLeachEF*NtoN2O*kgtoGg,IF('Net zero activities &amp; levers'!$C$14="On",Constants!$H67*'Net zero Activity data'!AO9*Constants!$H85*FracLEACHMM*MMLeachEF*NtoN2O*kgtoGg,"ERROR"))</f>
        <v>3.1816651303909434E-2</v>
      </c>
      <c r="W1205" s="101">
        <f>IF('Net zero activities &amp; levers'!$C$14="Off",Constants!$H67*'Activity data'!AP9*Constants!$H85*FracLEACHMM*MMLeachEF*NtoN2O*kgtoGg,IF('Net zero activities &amp; levers'!$C$14="On",Constants!$H67*'Net zero Activity data'!AP9*Constants!$H85*FracLEACHMM*MMLeachEF*NtoN2O*kgtoGg,"ERROR"))</f>
        <v>3.2137844222959386E-2</v>
      </c>
      <c r="X1205" s="101">
        <f>IF('Net zero activities &amp; levers'!$C$14="Off",Constants!$H67*'Activity data'!AQ9*Constants!$H85*FracLEACHMM*MMLeachEF*NtoN2O*kgtoGg,IF('Net zero activities &amp; levers'!$C$14="On",Constants!$H67*'Net zero Activity data'!AQ9*Constants!$H85*FracLEACHMM*MMLeachEF*NtoN2O*kgtoGg,"ERROR"))</f>
        <v>3.2448451411812178E-2</v>
      </c>
      <c r="Y1205" s="101">
        <f>IF('Net zero activities &amp; levers'!$C$14="Off",Constants!$H67*'Activity data'!AR9*Constants!$H85*FracLEACHMM*MMLeachEF*NtoN2O*kgtoGg,IF('Net zero activities &amp; levers'!$C$14="On",Constants!$H67*'Net zero Activity data'!AR9*Constants!$H85*FracLEACHMM*MMLeachEF*NtoN2O*kgtoGg,"ERROR"))</f>
        <v>3.2774542336637791E-2</v>
      </c>
      <c r="Z1205" s="101">
        <f>IF('Net zero activities &amp; levers'!$C$14="Off",Constants!$H67*'Activity data'!AS9*Constants!$H85*FracLEACHMM*MMLeachEF*NtoN2O*kgtoGg,IF('Net zero activities &amp; levers'!$C$14="On",Constants!$H67*'Net zero Activity data'!AS9*Constants!$H85*FracLEACHMM*MMLeachEF*NtoN2O*kgtoGg,"ERROR"))</f>
        <v>3.3058433327300053E-2</v>
      </c>
      <c r="AA1205" s="101">
        <f>IF('Net zero activities &amp; levers'!$C$14="Off",Constants!$H67*'Activity data'!AT9*Constants!$H85*FracLEACHMM*MMLeachEF*NtoN2O*kgtoGg,IF('Net zero activities &amp; levers'!$C$14="On",Constants!$H67*'Net zero Activity data'!AT9*Constants!$H85*FracLEACHMM*MMLeachEF*NtoN2O*kgtoGg,"ERROR"))</f>
        <v>3.3381539771041358E-2</v>
      </c>
      <c r="AB1205" s="101">
        <f>IF('Net zero activities &amp; levers'!$C$14="Off",Constants!$H67*'Activity data'!AU9*Constants!$H85*FracLEACHMM*MMLeachEF*NtoN2O*kgtoGg,IF('Net zero activities &amp; levers'!$C$14="On",Constants!$H67*'Net zero Activity data'!AU9*Constants!$H85*FracLEACHMM*MMLeachEF*NtoN2O*kgtoGg,"ERROR"))</f>
        <v>3.3634381510714434E-2</v>
      </c>
      <c r="AC1205" s="101">
        <f>IF('Net zero activities &amp; levers'!$C$14="Off",Constants!$H67*'Activity data'!AV9*Constants!$H85*FracLEACHMM*MMLeachEF*NtoN2O*kgtoGg,IF('Net zero activities &amp; levers'!$C$14="On",Constants!$H67*'Net zero Activity data'!AV9*Constants!$H85*FracLEACHMM*MMLeachEF*NtoN2O*kgtoGg,"ERROR"))</f>
        <v>3.3894160803021843E-2</v>
      </c>
      <c r="AD1205" s="101">
        <f>IF('Net zero activities &amp; levers'!$C$14="Off",Constants!$H67*'Activity data'!AW9*Constants!$H85*FracLEACHMM*MMLeachEF*NtoN2O*kgtoGg,IF('Net zero activities &amp; levers'!$C$14="On",Constants!$H67*'Net zero Activity data'!AW9*Constants!$H85*FracLEACHMM*MMLeachEF*NtoN2O*kgtoGg,"ERROR"))</f>
        <v>3.4015156495653814E-2</v>
      </c>
      <c r="AE1205" s="101">
        <f>IF('Net zero activities &amp; levers'!$C$14="Off",Constants!$H67*'Activity data'!AX9*Constants!$H85*FracLEACHMM*MMLeachEF*NtoN2O*kgtoGg,IF('Net zero activities &amp; levers'!$C$14="On",Constants!$H67*'Net zero Activity data'!AX9*Constants!$H85*FracLEACHMM*MMLeachEF*NtoN2O*kgtoGg,"ERROR"))</f>
        <v>3.4181066138741563E-2</v>
      </c>
      <c r="AF1205" s="101">
        <f>IF('Net zero activities &amp; levers'!$C$14="Off",Constants!$H67*'Activity data'!AY9*Constants!$H85*FracLEACHMM*MMLeachEF*NtoN2O*kgtoGg,IF('Net zero activities &amp; levers'!$C$14="On",Constants!$H67*'Net zero Activity data'!AY9*Constants!$H85*FracLEACHMM*MMLeachEF*NtoN2O*kgtoGg,"ERROR"))</f>
        <v>3.4346335475930106E-2</v>
      </c>
      <c r="AG1205" s="101">
        <f>IF('Net zero activities &amp; levers'!$C$14="Off",Constants!$H67*'Activity data'!AZ9*Constants!$H85*FracLEACHMM*MMLeachEF*NtoN2O*kgtoGg,IF('Net zero activities &amp; levers'!$C$14="On",Constants!$H67*'Net zero Activity data'!AZ9*Constants!$H85*FracLEACHMM*MMLeachEF*NtoN2O*kgtoGg,"ERROR"))</f>
        <v>3.3617918659748287E-2</v>
      </c>
      <c r="AH1205" s="101">
        <f>IF('Net zero activities &amp; levers'!$C$14="Off",Constants!$H67*'Activity data'!BA9*Constants!$H85*FracLEACHMM*MMLeachEF*NtoN2O*kgtoGg,IF('Net zero activities &amp; levers'!$C$14="On",Constants!$H67*'Net zero Activity data'!BA9*Constants!$H85*FracLEACHMM*MMLeachEF*NtoN2O*kgtoGg,"ERROR"))</f>
        <v>-7.9300020196454452E-3</v>
      </c>
      <c r="AI1205" s="101">
        <f>IF('Net zero activities &amp; levers'!$C$14="Off",Constants!$H67*'Activity data'!BB9*Constants!$H85*FracLEACHMM*MMLeachEF*NtoN2O*kgtoGg,IF('Net zero activities &amp; levers'!$C$14="On",Constants!$H67*'Net zero Activity data'!BB9*Constants!$H85*FracLEACHMM*MMLeachEF*NtoN2O*kgtoGg,"ERROR"))</f>
        <v>-7.7460535532195693E-3</v>
      </c>
      <c r="AJ1205" s="101">
        <f>IF('Net zero activities &amp; levers'!$C$14="Off",Constants!$H67*'Activity data'!BC9*Constants!$H85*FracLEACHMM*MMLeachEF*NtoN2O*kgtoGg,IF('Net zero activities &amp; levers'!$C$14="On",Constants!$H67*'Net zero Activity data'!BC9*Constants!$H85*FracLEACHMM*MMLeachEF*NtoN2O*kgtoGg,"ERROR"))</f>
        <v>-7.565030444680417E-3</v>
      </c>
      <c r="AK1205" s="101">
        <f>IF('Net zero activities &amp; levers'!$C$14="Off",Constants!$H67*'Activity data'!BD9*Constants!$H85*FracLEACHMM*MMLeachEF*NtoN2O*kgtoGg,IF('Net zero activities &amp; levers'!$C$14="On",Constants!$H67*'Net zero Activity data'!BD9*Constants!$H85*FracLEACHMM*MMLeachEF*NtoN2O*kgtoGg,"ERROR"))</f>
        <v>-7.3867794794456746E-3</v>
      </c>
      <c r="AL1205" s="101">
        <f>IF('Net zero activities &amp; levers'!$C$14="Off",Constants!$H67*'Activity data'!BE9*Constants!$H85*FracLEACHMM*MMLeachEF*NtoN2O*kgtoGg,IF('Net zero activities &amp; levers'!$C$14="On",Constants!$H67*'Net zero Activity data'!BE9*Constants!$H85*FracLEACHMM*MMLeachEF*NtoN2O*kgtoGg,"ERROR"))</f>
        <v>-7.211158035573738E-3</v>
      </c>
      <c r="AM1205" s="101">
        <f>IF('Net zero activities &amp; levers'!$C$14="Off",Constants!$H67*'Activity data'!BF9*Constants!$H85*FracLEACHMM*MMLeachEF*NtoN2O*kgtoGg,IF('Net zero activities &amp; levers'!$C$14="On",Constants!$H67*'Net zero Activity data'!BF9*Constants!$H85*FracLEACHMM*MMLeachEF*NtoN2O*kgtoGg,"ERROR"))</f>
        <v>-7.038033102205285E-3</v>
      </c>
      <c r="AN1205" s="101">
        <f>IF('Net zero activities &amp; levers'!$C$14="Off",Constants!$H67*'Activity data'!BG9*Constants!$H85*FracLEACHMM*MMLeachEF*NtoN2O*kgtoGg,IF('Net zero activities &amp; levers'!$C$14="On",Constants!$H67*'Net zero Activity data'!BG9*Constants!$H85*FracLEACHMM*MMLeachEF*NtoN2O*kgtoGg,"ERROR"))</f>
        <v>-6.8976679438577443E-3</v>
      </c>
      <c r="AO1205" s="101">
        <f>IF('Net zero activities &amp; levers'!$C$14="Off",Constants!$H67*'Activity data'!BH9*Constants!$H85*FracLEACHMM*MMLeachEF*NtoN2O*kgtoGg,IF('Net zero activities &amp; levers'!$C$14="On",Constants!$H67*'Net zero Activity data'!BH9*Constants!$H85*FracLEACHMM*MMLeachEF*NtoN2O*kgtoGg,"ERROR"))</f>
        <v>-6.7594228316927426E-3</v>
      </c>
      <c r="AP1205" s="101">
        <f>IF('Net zero activities &amp; levers'!$C$14="Off",Constants!$H67*'Activity data'!BI9*Constants!$H85*FracLEACHMM*MMLeachEF*NtoN2O*kgtoGg,IF('Net zero activities &amp; levers'!$C$14="On",Constants!$H67*'Net zero Activity data'!BI9*Constants!$H85*FracLEACHMM*MMLeachEF*NtoN2O*kgtoGg,"ERROR"))</f>
        <v>-6.6232016957272714E-3</v>
      </c>
      <c r="AQ1205" s="101">
        <f>IF('Net zero activities &amp; levers'!$C$14="Off",Constants!$H67*'Activity data'!BJ9*Constants!$H85*FracLEACHMM*MMLeachEF*NtoN2O*kgtoGg,IF('Net zero activities &amp; levers'!$C$14="On",Constants!$H67*'Net zero Activity data'!BJ9*Constants!$H85*FracLEACHMM*MMLeachEF*NtoN2O*kgtoGg,"ERROR"))</f>
        <v>-6.4889144410352007E-3</v>
      </c>
      <c r="AR1205" s="101">
        <f>IF('Net zero activities &amp; levers'!$C$14="Off",Constants!$H67*'Activity data'!BK9*Constants!$H85*FracLEACHMM*MMLeachEF*NtoN2O*kgtoGg,IF('Net zero activities &amp; levers'!$C$14="On",Constants!$H67*'Net zero Activity data'!BK9*Constants!$H85*FracLEACHMM*MMLeachEF*NtoN2O*kgtoGg,"ERROR"))</f>
        <v>-6.3564764523163604E-3</v>
      </c>
      <c r="AS1205" s="101">
        <f>IF('Net zero activities &amp; levers'!$C$14="Off",Constants!$H67*'Activity data'!BL9*Constants!$H85*FracLEACHMM*MMLeachEF*NtoN2O*kgtoGg,IF('Net zero activities &amp; levers'!$C$14="On",Constants!$H67*'Net zero Activity data'!BL9*Constants!$H85*FracLEACHMM*MMLeachEF*NtoN2O*kgtoGg,"ERROR"))</f>
        <v>-6.2215768830579691E-3</v>
      </c>
      <c r="AT1205" s="101">
        <f>IF('Net zero activities &amp; levers'!$C$14="Off",Constants!$H67*'Activity data'!BM9*Constants!$H85*FracLEACHMM*MMLeachEF*NtoN2O*kgtoGg,IF('Net zero activities &amp; levers'!$C$14="On",Constants!$H67*'Net zero Activity data'!BM9*Constants!$H85*FracLEACHMM*MMLeachEF*NtoN2O*kgtoGg,"ERROR"))</f>
        <v>-6.0885323549140658E-3</v>
      </c>
      <c r="AU1205" s="101">
        <f>IF('Net zero activities &amp; levers'!$C$14="Off",Constants!$H67*'Activity data'!BN9*Constants!$H85*FracLEACHMM*MMLeachEF*NtoN2O*kgtoGg,IF('Net zero activities &amp; levers'!$C$14="On",Constants!$H67*'Net zero Activity data'!BN9*Constants!$H85*FracLEACHMM*MMLeachEF*NtoN2O*kgtoGg,"ERROR"))</f>
        <v>-5.9572698934498708E-3</v>
      </c>
      <c r="AV1205" s="101">
        <f>IF('Net zero activities &amp; levers'!$C$14="Off",Constants!$H67*'Activity data'!BO9*Constants!$H85*FracLEACHMM*MMLeachEF*NtoN2O*kgtoGg,IF('Net zero activities &amp; levers'!$C$14="On",Constants!$H67*'Net zero Activity data'!BO9*Constants!$H85*FracLEACHMM*MMLeachEF*NtoN2O*kgtoGg,"ERROR"))</f>
        <v>-5.8277206241663026E-3</v>
      </c>
      <c r="AW1205" s="101">
        <f>IF('Net zero activities &amp; levers'!$C$14="Off",Constants!$H67*'Activity data'!BP9*Constants!$H85*FracLEACHMM*MMLeachEF*NtoN2O*kgtoGg,IF('Net zero activities &amp; levers'!$C$14="On",Constants!$H67*'Net zero Activity data'!BP9*Constants!$H85*FracLEACHMM*MMLeachEF*NtoN2O*kgtoGg,"ERROR"))</f>
        <v>-5.6998194661233492E-3</v>
      </c>
      <c r="AY1205" s="85"/>
    </row>
    <row r="1206" spans="1:51" x14ac:dyDescent="0.25">
      <c r="A1206" s="102" t="str">
        <f t="shared" si="380"/>
        <v>CM MM Leaching</v>
      </c>
      <c r="B1206" s="102" t="s">
        <v>1323</v>
      </c>
      <c r="C1206" s="102" t="s">
        <v>1334</v>
      </c>
      <c r="D1206" t="s">
        <v>369</v>
      </c>
      <c r="E1206" t="s">
        <v>64</v>
      </c>
      <c r="F1206" t="s">
        <v>63</v>
      </c>
      <c r="G1206" t="s">
        <v>1163</v>
      </c>
      <c r="H1206" t="s">
        <v>1312</v>
      </c>
      <c r="I1206" t="s">
        <v>139</v>
      </c>
      <c r="J1206" t="s">
        <v>287</v>
      </c>
      <c r="K1206" s="101">
        <f>IF('Net zero activities &amp; levers'!$C$14="Off",Constants!$H68*'Activity data'!AD10*Constants!$H86*FracLEACHMM*MMLeachEF*NtoN2O*kgtoGg,IF('Net zero activities &amp; levers'!$C$14="On",Constants!$H68*'Net zero Activity data'!AD10*Constants!$H86*FracLEACHMM*MMLeachEF*NtoN2O*kgtoGg,"ERROR"))</f>
        <v>4.2198184999711216E-2</v>
      </c>
      <c r="L1206" s="101">
        <f>IF('Net zero activities &amp; levers'!$C$14="Off",Constants!$H68*'Activity data'!AE10*Constants!$H86*FracLEACHMM*MMLeachEF*NtoN2O*kgtoGg,IF('Net zero activities &amp; levers'!$C$14="On",Constants!$H68*'Net zero Activity data'!AE10*Constants!$H86*FracLEACHMM*MMLeachEF*NtoN2O*kgtoGg,"ERROR"))</f>
        <v>4.3701080723593189E-2</v>
      </c>
      <c r="M1206" s="101">
        <f>IF('Net zero activities &amp; levers'!$C$14="Off",Constants!$H68*'Activity data'!AF10*Constants!$H86*FracLEACHMM*MMLeachEF*NtoN2O*kgtoGg,IF('Net zero activities &amp; levers'!$C$14="On",Constants!$H68*'Net zero Activity data'!AF10*Constants!$H86*FracLEACHMM*MMLeachEF*NtoN2O*kgtoGg,"ERROR"))</f>
        <v>4.4893970631746632E-2</v>
      </c>
      <c r="N1206" s="101">
        <f>IF('Net zero activities &amp; levers'!$C$14="Off",Constants!$H68*'Activity data'!AG10*Constants!$H86*FracLEACHMM*MMLeachEF*NtoN2O*kgtoGg,IF('Net zero activities &amp; levers'!$C$14="On",Constants!$H68*'Net zero Activity data'!AG10*Constants!$H86*FracLEACHMM*MMLeachEF*NtoN2O*kgtoGg,"ERROR"))</f>
        <v>4.5631666148342777E-2</v>
      </c>
      <c r="O1206" s="101">
        <f>IF('Net zero activities &amp; levers'!$C$14="Off",Constants!$H68*'Activity data'!AH10*Constants!$H86*FracLEACHMM*MMLeachEF*NtoN2O*kgtoGg,IF('Net zero activities &amp; levers'!$C$14="On",Constants!$H68*'Net zero Activity data'!AH10*Constants!$H86*FracLEACHMM*MMLeachEF*NtoN2O*kgtoGg,"ERROR"))</f>
        <v>4.6370901653410727E-2</v>
      </c>
      <c r="P1206" s="101">
        <f>IF('Net zero activities &amp; levers'!$C$14="Off",Constants!$H68*'Activity data'!AI10*Constants!$H86*FracLEACHMM*MMLeachEF*NtoN2O*kgtoGg,IF('Net zero activities &amp; levers'!$C$14="On",Constants!$H68*'Net zero Activity data'!AI10*Constants!$H86*FracLEACHMM*MMLeachEF*NtoN2O*kgtoGg,"ERROR"))</f>
        <v>4.7352594214128713E-2</v>
      </c>
      <c r="Q1206" s="101">
        <f>IF('Net zero activities &amp; levers'!$C$14="Off",Constants!$H68*'Activity data'!AJ10*Constants!$H86*FracLEACHMM*MMLeachEF*NtoN2O*kgtoGg,IF('Net zero activities &amp; levers'!$C$14="On",Constants!$H68*'Net zero Activity data'!AJ10*Constants!$H86*FracLEACHMM*MMLeachEF*NtoN2O*kgtoGg,"ERROR"))</f>
        <v>4.8416104778857959E-2</v>
      </c>
      <c r="R1206" s="101">
        <f>IF('Net zero activities &amp; levers'!$C$14="Off",Constants!$H68*'Activity data'!AK10*Constants!$H86*FracLEACHMM*MMLeachEF*NtoN2O*kgtoGg,IF('Net zero activities &amp; levers'!$C$14="On",Constants!$H68*'Net zero Activity data'!AK10*Constants!$H86*FracLEACHMM*MMLeachEF*NtoN2O*kgtoGg,"ERROR"))</f>
        <v>4.8969568240860781E-2</v>
      </c>
      <c r="S1206" s="101">
        <f>IF('Net zero activities &amp; levers'!$C$14="Off",Constants!$H68*'Activity data'!AL10*Constants!$H86*FracLEACHMM*MMLeachEF*NtoN2O*kgtoGg,IF('Net zero activities &amp; levers'!$C$14="On",Constants!$H68*'Net zero Activity data'!AL10*Constants!$H86*FracLEACHMM*MMLeachEF*NtoN2O*kgtoGg,"ERROR"))</f>
        <v>4.467643167473432E-2</v>
      </c>
      <c r="T1206" s="101">
        <f>IF('Net zero activities &amp; levers'!$C$14="Off",Constants!$H68*'Activity data'!AM10*Constants!$H86*FracLEACHMM*MMLeachEF*NtoN2O*kgtoGg,IF('Net zero activities &amp; levers'!$C$14="On",Constants!$H68*'Net zero Activity data'!AM10*Constants!$H86*FracLEACHMM*MMLeachEF*NtoN2O*kgtoGg,"ERROR"))</f>
        <v>4.6180091777624298E-2</v>
      </c>
      <c r="U1206" s="101">
        <f>IF('Net zero activities &amp; levers'!$C$14="Off",Constants!$H68*'Activity data'!AN10*Constants!$H86*FracLEACHMM*MMLeachEF*NtoN2O*kgtoGg,IF('Net zero activities &amp; levers'!$C$14="On",Constants!$H68*'Net zero Activity data'!AN10*Constants!$H86*FracLEACHMM*MMLeachEF*NtoN2O*kgtoGg,"ERROR"))</f>
        <v>4.7570527161609366E-2</v>
      </c>
      <c r="V1206" s="101">
        <f>IF('Net zero activities &amp; levers'!$C$14="Off",Constants!$H68*'Activity data'!AO10*Constants!$H86*FracLEACHMM*MMLeachEF*NtoN2O*kgtoGg,IF('Net zero activities &amp; levers'!$C$14="On",Constants!$H68*'Net zero Activity data'!AO10*Constants!$H86*FracLEACHMM*MMLeachEF*NtoN2O*kgtoGg,"ERROR"))</f>
        <v>4.8976478875928542E-2</v>
      </c>
      <c r="W1206" s="101">
        <f>IF('Net zero activities &amp; levers'!$C$14="Off",Constants!$H68*'Activity data'!AP10*Constants!$H86*FracLEACHMM*MMLeachEF*NtoN2O*kgtoGg,IF('Net zero activities &amp; levers'!$C$14="On",Constants!$H68*'Net zero Activity data'!AP10*Constants!$H86*FracLEACHMM*MMLeachEF*NtoN2O*kgtoGg,"ERROR"))</f>
        <v>5.0608575947889443E-2</v>
      </c>
      <c r="X1206" s="101">
        <f>IF('Net zero activities &amp; levers'!$C$14="Off",Constants!$H68*'Activity data'!AQ10*Constants!$H86*FracLEACHMM*MMLeachEF*NtoN2O*kgtoGg,IF('Net zero activities &amp; levers'!$C$14="On",Constants!$H68*'Net zero Activity data'!AQ10*Constants!$H86*FracLEACHMM*MMLeachEF*NtoN2O*kgtoGg,"ERROR"))</f>
        <v>5.2259990749301093E-2</v>
      </c>
      <c r="Y1206" s="101">
        <f>IF('Net zero activities &amp; levers'!$C$14="Off",Constants!$H68*'Activity data'!AR10*Constants!$H86*FracLEACHMM*MMLeachEF*NtoN2O*kgtoGg,IF('Net zero activities &amp; levers'!$C$14="On",Constants!$H68*'Net zero Activity data'!AR10*Constants!$H86*FracLEACHMM*MMLeachEF*NtoN2O*kgtoGg,"ERROR"))</f>
        <v>5.3973742651481194E-2</v>
      </c>
      <c r="Z1206" s="101">
        <f>IF('Net zero activities &amp; levers'!$C$14="Off",Constants!$H68*'Activity data'!AS10*Constants!$H86*FracLEACHMM*MMLeachEF*NtoN2O*kgtoGg,IF('Net zero activities &amp; levers'!$C$14="On",Constants!$H68*'Net zero Activity data'!AS10*Constants!$H86*FracLEACHMM*MMLeachEF*NtoN2O*kgtoGg,"ERROR"))</f>
        <v>5.5655662348968654E-2</v>
      </c>
      <c r="AA1206" s="101">
        <f>IF('Net zero activities &amp; levers'!$C$14="Off",Constants!$H68*'Activity data'!AT10*Constants!$H86*FracLEACHMM*MMLeachEF*NtoN2O*kgtoGg,IF('Net zero activities &amp; levers'!$C$14="On",Constants!$H68*'Net zero Activity data'!AT10*Constants!$H86*FracLEACHMM*MMLeachEF*NtoN2O*kgtoGg,"ERROR"))</f>
        <v>5.7442412303445836E-2</v>
      </c>
      <c r="AB1206" s="101">
        <f>IF('Net zero activities &amp; levers'!$C$14="Off",Constants!$H68*'Activity data'!AU10*Constants!$H86*FracLEACHMM*MMLeachEF*NtoN2O*kgtoGg,IF('Net zero activities &amp; levers'!$C$14="On",Constants!$H68*'Net zero Activity data'!AU10*Constants!$H86*FracLEACHMM*MMLeachEF*NtoN2O*kgtoGg,"ERROR"))</f>
        <v>5.9147142754678653E-2</v>
      </c>
      <c r="AC1206" s="101">
        <f>IF('Net zero activities &amp; levers'!$C$14="Off",Constants!$H68*'Activity data'!AV10*Constants!$H86*FracLEACHMM*MMLeachEF*NtoN2O*kgtoGg,IF('Net zero activities &amp; levers'!$C$14="On",Constants!$H68*'Net zero Activity data'!AV10*Constants!$H86*FracLEACHMM*MMLeachEF*NtoN2O*kgtoGg,"ERROR"))</f>
        <v>6.0901819824646548E-2</v>
      </c>
      <c r="AD1206" s="101">
        <f>IF('Net zero activities &amp; levers'!$C$14="Off",Constants!$H68*'Activity data'!AW10*Constants!$H86*FracLEACHMM*MMLeachEF*NtoN2O*kgtoGg,IF('Net zero activities &amp; levers'!$C$14="On",Constants!$H68*'Net zero Activity data'!AW10*Constants!$H86*FracLEACHMM*MMLeachEF*NtoN2O*kgtoGg,"ERROR"))</f>
        <v>6.3135419327645992E-2</v>
      </c>
      <c r="AE1206" s="101">
        <f>IF('Net zero activities &amp; levers'!$C$14="Off",Constants!$H68*'Activity data'!AX10*Constants!$H86*FracLEACHMM*MMLeachEF*NtoN2O*kgtoGg,IF('Net zero activities &amp; levers'!$C$14="On",Constants!$H68*'Net zero Activity data'!AX10*Constants!$H86*FracLEACHMM*MMLeachEF*NtoN2O*kgtoGg,"ERROR"))</f>
        <v>6.5540351764294846E-2</v>
      </c>
      <c r="AF1206" s="101">
        <f>IF('Net zero activities &amp; levers'!$C$14="Off",Constants!$H68*'Activity data'!AY10*Constants!$H86*FracLEACHMM*MMLeachEF*NtoN2O*kgtoGg,IF('Net zero activities &amp; levers'!$C$14="On",Constants!$H68*'Net zero Activity data'!AY10*Constants!$H86*FracLEACHMM*MMLeachEF*NtoN2O*kgtoGg,"ERROR"))</f>
        <v>6.8039701590190294E-2</v>
      </c>
      <c r="AG1206" s="101">
        <f>IF('Net zero activities &amp; levers'!$C$14="Off",Constants!$H68*'Activity data'!AZ10*Constants!$H86*FracLEACHMM*MMLeachEF*NtoN2O*kgtoGg,IF('Net zero activities &amp; levers'!$C$14="On",Constants!$H68*'Net zero Activity data'!AZ10*Constants!$H86*FracLEACHMM*MMLeachEF*NtoN2O*kgtoGg,"ERROR"))</f>
        <v>6.8810814245314753E-2</v>
      </c>
      <c r="AH1206" s="101">
        <f>IF('Net zero activities &amp; levers'!$C$14="Off",Constants!$H68*'Activity data'!BA10*Constants!$H86*FracLEACHMM*MMLeachEF*NtoN2O*kgtoGg,IF('Net zero activities &amp; levers'!$C$14="On",Constants!$H68*'Net zero Activity data'!BA10*Constants!$H86*FracLEACHMM*MMLeachEF*NtoN2O*kgtoGg,"ERROR"))</f>
        <v>-1.6773235166111743E-2</v>
      </c>
      <c r="AI1206" s="101">
        <f>IF('Net zero activities &amp; levers'!$C$14="Off",Constants!$H68*'Activity data'!BB10*Constants!$H86*FracLEACHMM*MMLeachEF*NtoN2O*kgtoGg,IF('Net zero activities &amp; levers'!$C$14="On",Constants!$H68*'Net zero Activity data'!BB10*Constants!$H86*FracLEACHMM*MMLeachEF*NtoN2O*kgtoGg,"ERROR"))</f>
        <v>-1.6933400933561566E-2</v>
      </c>
      <c r="AJ1206" s="101">
        <f>IF('Net zero activities &amp; levers'!$C$14="Off",Constants!$H68*'Activity data'!BC10*Constants!$H86*FracLEACHMM*MMLeachEF*NtoN2O*kgtoGg,IF('Net zero activities &amp; levers'!$C$14="On",Constants!$H68*'Net zero Activity data'!BC10*Constants!$H86*FracLEACHMM*MMLeachEF*NtoN2O*kgtoGg,"ERROR"))</f>
        <v>-1.7094868952670969E-2</v>
      </c>
      <c r="AK1206" s="101">
        <f>IF('Net zero activities &amp; levers'!$C$14="Off",Constants!$H68*'Activity data'!BD10*Constants!$H86*FracLEACHMM*MMLeachEF*NtoN2O*kgtoGg,IF('Net zero activities &amp; levers'!$C$14="On",Constants!$H68*'Net zero Activity data'!BD10*Constants!$H86*FracLEACHMM*MMLeachEF*NtoN2O*kgtoGg,"ERROR"))</f>
        <v>-1.7257651547387617E-2</v>
      </c>
      <c r="AL1206" s="101">
        <f>IF('Net zero activities &amp; levers'!$C$14="Off",Constants!$H68*'Activity data'!BE10*Constants!$H86*FracLEACHMM*MMLeachEF*NtoN2O*kgtoGg,IF('Net zero activities &amp; levers'!$C$14="On",Constants!$H68*'Net zero Activity data'!BE10*Constants!$H86*FracLEACHMM*MMLeachEF*NtoN2O*kgtoGg,"ERROR"))</f>
        <v>-1.7421761152310457E-2</v>
      </c>
      <c r="AM1206" s="101">
        <f>IF('Net zero activities &amp; levers'!$C$14="Off",Constants!$H68*'Activity data'!BF10*Constants!$H86*FracLEACHMM*MMLeachEF*NtoN2O*kgtoGg,IF('Net zero activities &amp; levers'!$C$14="On",Constants!$H68*'Net zero Activity data'!BF10*Constants!$H86*FracLEACHMM*MMLeachEF*NtoN2O*kgtoGg,"ERROR"))</f>
        <v>-1.7587210313649345E-2</v>
      </c>
      <c r="AN1206" s="101">
        <f>IF('Net zero activities &amp; levers'!$C$14="Off",Constants!$H68*'Activity data'!BG10*Constants!$H86*FracLEACHMM*MMLeachEF*NtoN2O*kgtoGg,IF('Net zero activities &amp; levers'!$C$14="On",Constants!$H68*'Net zero Activity data'!BG10*Constants!$H86*FracLEACHMM*MMLeachEF*NtoN2O*kgtoGg,"ERROR"))</f>
        <v>-1.7719984819695212E-2</v>
      </c>
      <c r="AO1206" s="101">
        <f>IF('Net zero activities &amp; levers'!$C$14="Off",Constants!$H68*'Activity data'!BH10*Constants!$H86*FracLEACHMM*MMLeachEF*NtoN2O*kgtoGg,IF('Net zero activities &amp; levers'!$C$14="On",Constants!$H68*'Net zero Activity data'!BH10*Constants!$H86*FracLEACHMM*MMLeachEF*NtoN2O*kgtoGg,"ERROR"))</f>
        <v>-1.7853675202067487E-2</v>
      </c>
      <c r="AP1206" s="101">
        <f>IF('Net zero activities &amp; levers'!$C$14="Off",Constants!$H68*'Activity data'!BI10*Constants!$H86*FracLEACHMM*MMLeachEF*NtoN2O*kgtoGg,IF('Net zero activities &amp; levers'!$C$14="On",Constants!$H68*'Net zero Activity data'!BI10*Constants!$H86*FracLEACHMM*MMLeachEF*NtoN2O*kgtoGg,"ERROR"))</f>
        <v>-1.7988288709386402E-2</v>
      </c>
      <c r="AQ1206" s="101">
        <f>IF('Net zero activities &amp; levers'!$C$14="Off",Constants!$H68*'Activity data'!BJ10*Constants!$H86*FracLEACHMM*MMLeachEF*NtoN2O*kgtoGg,IF('Net zero activities &amp; levers'!$C$14="On",Constants!$H68*'Net zero Activity data'!BJ10*Constants!$H86*FracLEACHMM*MMLeachEF*NtoN2O*kgtoGg,"ERROR"))</f>
        <v>-1.8123832644983004E-2</v>
      </c>
      <c r="AR1206" s="101">
        <f>IF('Net zero activities &amp; levers'!$C$14="Off",Constants!$H68*'Activity data'!BK10*Constants!$H86*FracLEACHMM*MMLeachEF*NtoN2O*kgtoGg,IF('Net zero activities &amp; levers'!$C$14="On",Constants!$H68*'Net zero Activity data'!BK10*Constants!$H86*FracLEACHMM*MMLeachEF*NtoN2O*kgtoGg,"ERROR"))</f>
        <v>-1.8260314367299166E-2</v>
      </c>
      <c r="AS1206" s="101">
        <f>IF('Net zero activities &amp; levers'!$C$14="Off",Constants!$H68*'Activity data'!BL10*Constants!$H86*FracLEACHMM*MMLeachEF*NtoN2O*kgtoGg,IF('Net zero activities &amp; levers'!$C$14="On",Constants!$H68*'Net zero Activity data'!BL10*Constants!$H86*FracLEACHMM*MMLeachEF*NtoN2O*kgtoGg,"ERROR"))</f>
        <v>-1.8385237574275969E-2</v>
      </c>
      <c r="AT1206" s="101">
        <f>IF('Net zero activities &amp; levers'!$C$14="Off",Constants!$H68*'Activity data'!BM10*Constants!$H86*FracLEACHMM*MMLeachEF*NtoN2O*kgtoGg,IF('Net zero activities &amp; levers'!$C$14="On",Constants!$H68*'Net zero Activity data'!BM10*Constants!$H86*FracLEACHMM*MMLeachEF*NtoN2O*kgtoGg,"ERROR"))</f>
        <v>-1.8510879729427106E-2</v>
      </c>
      <c r="AU1206" s="101">
        <f>IF('Net zero activities &amp; levers'!$C$14="Off",Constants!$H68*'Activity data'!BN10*Constants!$H86*FracLEACHMM*MMLeachEF*NtoN2O*kgtoGg,IF('Net zero activities &amp; levers'!$C$14="On",Constants!$H68*'Net zero Activity data'!BN10*Constants!$H86*FracLEACHMM*MMLeachEF*NtoN2O*kgtoGg,"ERROR"))</f>
        <v>-1.8637245588774352E-2</v>
      </c>
      <c r="AV1206" s="101">
        <f>IF('Net zero activities &amp; levers'!$C$14="Off",Constants!$H68*'Activity data'!BO10*Constants!$H86*FracLEACHMM*MMLeachEF*NtoN2O*kgtoGg,IF('Net zero activities &amp; levers'!$C$14="On",Constants!$H68*'Net zero Activity data'!BO10*Constants!$H86*FracLEACHMM*MMLeachEF*NtoN2O*kgtoGg,"ERROR"))</f>
        <v>-1.8764339938161633E-2</v>
      </c>
      <c r="AW1206" s="101">
        <f>IF('Net zero activities &amp; levers'!$C$14="Off",Constants!$H68*'Activity data'!BP10*Constants!$H86*FracLEACHMM*MMLeachEF*NtoN2O*kgtoGg,IF('Net zero activities &amp; levers'!$C$14="On",Constants!$H68*'Net zero Activity data'!BP10*Constants!$H86*FracLEACHMM*MMLeachEF*NtoN2O*kgtoGg,"ERROR"))</f>
        <v>-1.8892167593435472E-2</v>
      </c>
      <c r="AY1206" s="85"/>
    </row>
    <row r="1207" spans="1:51" x14ac:dyDescent="0.25">
      <c r="A1207" s="102" t="str">
        <f t="shared" si="380"/>
        <v>CM MM Leaching</v>
      </c>
      <c r="B1207" s="102" t="s">
        <v>1323</v>
      </c>
      <c r="C1207" s="102" t="s">
        <v>1334</v>
      </c>
      <c r="D1207" t="s">
        <v>369</v>
      </c>
      <c r="E1207" t="s">
        <v>64</v>
      </c>
      <c r="F1207" t="s">
        <v>63</v>
      </c>
      <c r="G1207" t="s">
        <v>1165</v>
      </c>
      <c r="H1207" t="s">
        <v>1313</v>
      </c>
      <c r="I1207" t="s">
        <v>139</v>
      </c>
      <c r="J1207" t="s">
        <v>287</v>
      </c>
      <c r="K1207" s="101">
        <f>IF('Net zero activities &amp; levers'!$C$14="Off",Constants!$H69*'Activity data'!AD11*Constants!$H87*FracLEACHMM*MMLeachEF*NtoN2O*kgtoGg,IF('Net zero activities &amp; levers'!$C$14="On",Constants!$H69*'Net zero Activity data'!AD11*Constants!$H87*FracLEACHMM*MMLeachEF*NtoN2O*kgtoGg,"ERROR"))</f>
        <v>4.3944700668161743E-3</v>
      </c>
      <c r="L1207" s="101">
        <f>IF('Net zero activities &amp; levers'!$C$14="Off",Constants!$H69*'Activity data'!AE11*Constants!$H87*FracLEACHMM*MMLeachEF*NtoN2O*kgtoGg,IF('Net zero activities &amp; levers'!$C$14="On",Constants!$H69*'Net zero Activity data'!AE11*Constants!$H87*FracLEACHMM*MMLeachEF*NtoN2O*kgtoGg,"ERROR"))</f>
        <v>4.3968698493422791E-3</v>
      </c>
      <c r="M1207" s="101">
        <f>IF('Net zero activities &amp; levers'!$C$14="Off",Constants!$H69*'Activity data'!AF11*Constants!$H87*FracLEACHMM*MMLeachEF*NtoN2O*kgtoGg,IF('Net zero activities &amp; levers'!$C$14="On",Constants!$H69*'Net zero Activity data'!AF11*Constants!$H87*FracLEACHMM*MMLeachEF*NtoN2O*kgtoGg,"ERROR"))</f>
        <v>4.4022434234010565E-3</v>
      </c>
      <c r="N1207" s="101">
        <f>IF('Net zero activities &amp; levers'!$C$14="Off",Constants!$H69*'Activity data'!AG11*Constants!$H87*FracLEACHMM*MMLeachEF*NtoN2O*kgtoGg,IF('Net zero activities &amp; levers'!$C$14="On",Constants!$H69*'Net zero Activity data'!AG11*Constants!$H87*FracLEACHMM*MMLeachEF*NtoN2O*kgtoGg,"ERROR"))</f>
        <v>4.4103317804749962E-3</v>
      </c>
      <c r="O1207" s="101">
        <f>IF('Net zero activities &amp; levers'!$C$14="Off",Constants!$H69*'Activity data'!AH11*Constants!$H87*FracLEACHMM*MMLeachEF*NtoN2O*kgtoGg,IF('Net zero activities &amp; levers'!$C$14="On",Constants!$H69*'Net zero Activity data'!AH11*Constants!$H87*FracLEACHMM*MMLeachEF*NtoN2O*kgtoGg,"ERROR"))</f>
        <v>4.4212431364047738E-3</v>
      </c>
      <c r="P1207" s="101">
        <f>IF('Net zero activities &amp; levers'!$C$14="Off",Constants!$H69*'Activity data'!AI11*Constants!$H87*FracLEACHMM*MMLeachEF*NtoN2O*kgtoGg,IF('Net zero activities &amp; levers'!$C$14="On",Constants!$H69*'Net zero Activity data'!AI11*Constants!$H87*FracLEACHMM*MMLeachEF*NtoN2O*kgtoGg,"ERROR"))</f>
        <v>4.4349890691963833E-3</v>
      </c>
      <c r="Q1207" s="101">
        <f>IF('Net zero activities &amp; levers'!$C$14="Off",Constants!$H69*'Activity data'!AJ11*Constants!$H87*FracLEACHMM*MMLeachEF*NtoN2O*kgtoGg,IF('Net zero activities &amp; levers'!$C$14="On",Constants!$H69*'Net zero Activity data'!AJ11*Constants!$H87*FracLEACHMM*MMLeachEF*NtoN2O*kgtoGg,"ERROR"))</f>
        <v>4.4503014810886657E-3</v>
      </c>
      <c r="R1207" s="101">
        <f>IF('Net zero activities &amp; levers'!$C$14="Off",Constants!$H69*'Activity data'!AK11*Constants!$H87*FracLEACHMM*MMLeachEF*NtoN2O*kgtoGg,IF('Net zero activities &amp; levers'!$C$14="On",Constants!$H69*'Net zero Activity data'!AK11*Constants!$H87*FracLEACHMM*MMLeachEF*NtoN2O*kgtoGg,"ERROR"))</f>
        <v>4.4668966507282254E-3</v>
      </c>
      <c r="S1207" s="101">
        <f>IF('Net zero activities &amp; levers'!$C$14="Off",Constants!$H69*'Activity data'!AL11*Constants!$H87*FracLEACHMM*MMLeachEF*NtoN2O*kgtoGg,IF('Net zero activities &amp; levers'!$C$14="On",Constants!$H69*'Net zero Activity data'!AL11*Constants!$H87*FracLEACHMM*MMLeachEF*NtoN2O*kgtoGg,"ERROR"))</f>
        <v>4.4824913305812559E-3</v>
      </c>
      <c r="T1207" s="101">
        <f>IF('Net zero activities &amp; levers'!$C$14="Off",Constants!$H69*'Activity data'!AM11*Constants!$H87*FracLEACHMM*MMLeachEF*NtoN2O*kgtoGg,IF('Net zero activities &amp; levers'!$C$14="On",Constants!$H69*'Net zero Activity data'!AM11*Constants!$H87*FracLEACHMM*MMLeachEF*NtoN2O*kgtoGg,"ERROR"))</f>
        <v>4.4890055303365281E-3</v>
      </c>
      <c r="U1207" s="101">
        <f>IF('Net zero activities &amp; levers'!$C$14="Off",Constants!$H69*'Activity data'!AN11*Constants!$H87*FracLEACHMM*MMLeachEF*NtoN2O*kgtoGg,IF('Net zero activities &amp; levers'!$C$14="On",Constants!$H69*'Net zero Activity data'!AN11*Constants!$H87*FracLEACHMM*MMLeachEF*NtoN2O*kgtoGg,"ERROR"))</f>
        <v>4.4965644629605924E-3</v>
      </c>
      <c r="V1207" s="101">
        <f>IF('Net zero activities &amp; levers'!$C$14="Off",Constants!$H69*'Activity data'!AO11*Constants!$H87*FracLEACHMM*MMLeachEF*NtoN2O*kgtoGg,IF('Net zero activities &amp; levers'!$C$14="On",Constants!$H69*'Net zero Activity data'!AO11*Constants!$H87*FracLEACHMM*MMLeachEF*NtoN2O*kgtoGg,"ERROR"))</f>
        <v>4.5051665785440084E-3</v>
      </c>
      <c r="W1207" s="101">
        <f>IF('Net zero activities &amp; levers'!$C$14="Off",Constants!$H69*'Activity data'!AP11*Constants!$H87*FracLEACHMM*MMLeachEF*NtoN2O*kgtoGg,IF('Net zero activities &amp; levers'!$C$14="On",Constants!$H69*'Net zero Activity data'!AP11*Constants!$H87*FracLEACHMM*MMLeachEF*NtoN2O*kgtoGg,"ERROR"))</f>
        <v>4.5148564456586847E-3</v>
      </c>
      <c r="X1207" s="101">
        <f>IF('Net zero activities &amp; levers'!$C$14="Off",Constants!$H69*'Activity data'!AQ11*Constants!$H87*FracLEACHMM*MMLeachEF*NtoN2O*kgtoGg,IF('Net zero activities &amp; levers'!$C$14="On",Constants!$H69*'Net zero Activity data'!AQ11*Constants!$H87*FracLEACHMM*MMLeachEF*NtoN2O*kgtoGg,"ERROR"))</f>
        <v>4.525478721327544E-3</v>
      </c>
      <c r="Y1207" s="101">
        <f>IF('Net zero activities &amp; levers'!$C$14="Off",Constants!$H69*'Activity data'!AR11*Constants!$H87*FracLEACHMM*MMLeachEF*NtoN2O*kgtoGg,IF('Net zero activities &amp; levers'!$C$14="On",Constants!$H69*'Net zero Activity data'!AR11*Constants!$H87*FracLEACHMM*MMLeachEF*NtoN2O*kgtoGg,"ERROR"))</f>
        <v>4.5320175420941466E-3</v>
      </c>
      <c r="Z1207" s="101">
        <f>IF('Net zero activities &amp; levers'!$C$14="Off",Constants!$H69*'Activity data'!AS11*Constants!$H87*FracLEACHMM*MMLeachEF*NtoN2O*kgtoGg,IF('Net zero activities &amp; levers'!$C$14="On",Constants!$H69*'Net zero Activity data'!AS11*Constants!$H87*FracLEACHMM*MMLeachEF*NtoN2O*kgtoGg,"ERROR"))</f>
        <v>4.5393215398995043E-3</v>
      </c>
      <c r="AA1207" s="101">
        <f>IF('Net zero activities &amp; levers'!$C$14="Off",Constants!$H69*'Activity data'!AT11*Constants!$H87*FracLEACHMM*MMLeachEF*NtoN2O*kgtoGg,IF('Net zero activities &amp; levers'!$C$14="On",Constants!$H69*'Net zero Activity data'!AT11*Constants!$H87*FracLEACHMM*MMLeachEF*NtoN2O*kgtoGg,"ERROR"))</f>
        <v>4.5474172205527642E-3</v>
      </c>
      <c r="AB1207" s="101">
        <f>IF('Net zero activities &amp; levers'!$C$14="Off",Constants!$H69*'Activity data'!AU11*Constants!$H87*FracLEACHMM*MMLeachEF*NtoN2O*kgtoGg,IF('Net zero activities &amp; levers'!$C$14="On",Constants!$H69*'Net zero Activity data'!AU11*Constants!$H87*FracLEACHMM*MMLeachEF*NtoN2O*kgtoGg,"ERROR"))</f>
        <v>4.5561801987217551E-3</v>
      </c>
      <c r="AC1207" s="101">
        <f>IF('Net zero activities &amp; levers'!$C$14="Off",Constants!$H69*'Activity data'!AV11*Constants!$H87*FracLEACHMM*MMLeachEF*NtoN2O*kgtoGg,IF('Net zero activities &amp; levers'!$C$14="On",Constants!$H69*'Net zero Activity data'!AV11*Constants!$H87*FracLEACHMM*MMLeachEF*NtoN2O*kgtoGg,"ERROR"))</f>
        <v>4.5656418072393947E-3</v>
      </c>
      <c r="AD1207" s="101">
        <f>IF('Net zero activities &amp; levers'!$C$14="Off",Constants!$H69*'Activity data'!AW11*Constants!$H87*FracLEACHMM*MMLeachEF*NtoN2O*kgtoGg,IF('Net zero activities &amp; levers'!$C$14="On",Constants!$H69*'Net zero Activity data'!AW11*Constants!$H87*FracLEACHMM*MMLeachEF*NtoN2O*kgtoGg,"ERROR"))</f>
        <v>4.5718705604296328E-3</v>
      </c>
      <c r="AE1207" s="101">
        <f>IF('Net zero activities &amp; levers'!$C$14="Off",Constants!$H69*'Activity data'!AX11*Constants!$H87*FracLEACHMM*MMLeachEF*NtoN2O*kgtoGg,IF('Net zero activities &amp; levers'!$C$14="On",Constants!$H69*'Net zero Activity data'!AX11*Constants!$H87*FracLEACHMM*MMLeachEF*NtoN2O*kgtoGg,"ERROR"))</f>
        <v>4.5787544823923942E-3</v>
      </c>
      <c r="AF1207" s="101">
        <f>IF('Net zero activities &amp; levers'!$C$14="Off",Constants!$H69*'Activity data'!AY11*Constants!$H87*FracLEACHMM*MMLeachEF*NtoN2O*kgtoGg,IF('Net zero activities &amp; levers'!$C$14="On",Constants!$H69*'Net zero Activity data'!AY11*Constants!$H87*FracLEACHMM*MMLeachEF*NtoN2O*kgtoGg,"ERROR"))</f>
        <v>4.586231662580295E-3</v>
      </c>
      <c r="AG1207" s="101">
        <f>IF('Net zero activities &amp; levers'!$C$14="Off",Constants!$H69*'Activity data'!AZ11*Constants!$H87*FracLEACHMM*MMLeachEF*NtoN2O*kgtoGg,IF('Net zero activities &amp; levers'!$C$14="On",Constants!$H69*'Net zero Activity data'!AZ11*Constants!$H87*FracLEACHMM*MMLeachEF*NtoN2O*kgtoGg,"ERROR"))</f>
        <v>4.5934555722856032E-3</v>
      </c>
      <c r="AH1207" s="101">
        <f>IF('Net zero activities &amp; levers'!$C$14="Off",Constants!$H69*'Activity data'!BA11*Constants!$H87*FracLEACHMM*MMLeachEF*NtoN2O*kgtoGg,IF('Net zero activities &amp; levers'!$C$14="On",Constants!$H69*'Net zero Activity data'!BA11*Constants!$H87*FracLEACHMM*MMLeachEF*NtoN2O*kgtoGg,"ERROR"))</f>
        <v>4.562571195274273E-3</v>
      </c>
      <c r="AI1207" s="101">
        <f>IF('Net zero activities &amp; levers'!$C$14="Off",Constants!$H69*'Activity data'!BB11*Constants!$H87*FracLEACHMM*MMLeachEF*NtoN2O*kgtoGg,IF('Net zero activities &amp; levers'!$C$14="On",Constants!$H69*'Net zero Activity data'!BB11*Constants!$H87*FracLEACHMM*MMLeachEF*NtoN2O*kgtoGg,"ERROR"))</f>
        <v>4.5669572651403133E-3</v>
      </c>
      <c r="AJ1207" s="101">
        <f>IF('Net zero activities &amp; levers'!$C$14="Off",Constants!$H69*'Activity data'!BC11*Constants!$H87*FracLEACHMM*MMLeachEF*NtoN2O*kgtoGg,IF('Net zero activities &amp; levers'!$C$14="On",Constants!$H69*'Net zero Activity data'!BC11*Constants!$H87*FracLEACHMM*MMLeachEF*NtoN2O*kgtoGg,"ERROR"))</f>
        <v>4.5717973149633755E-3</v>
      </c>
      <c r="AK1207" s="101">
        <f>IF('Net zero activities &amp; levers'!$C$14="Off",Constants!$H69*'Activity data'!BD11*Constants!$H87*FracLEACHMM*MMLeachEF*NtoN2O*kgtoGg,IF('Net zero activities &amp; levers'!$C$14="On",Constants!$H69*'Net zero Activity data'!BD11*Constants!$H87*FracLEACHMM*MMLeachEF*NtoN2O*kgtoGg,"ERROR"))</f>
        <v>4.5770741937615714E-3</v>
      </c>
      <c r="AL1207" s="101">
        <f>IF('Net zero activities &amp; levers'!$C$14="Off",Constants!$H69*'Activity data'!BE11*Constants!$H87*FracLEACHMM*MMLeachEF*NtoN2O*kgtoGg,IF('Net zero activities &amp; levers'!$C$14="On",Constants!$H69*'Net zero Activity data'!BE11*Constants!$H87*FracLEACHMM*MMLeachEF*NtoN2O*kgtoGg,"ERROR"))</f>
        <v>4.5827720762171521E-3</v>
      </c>
      <c r="AM1207" s="101">
        <f>IF('Net zero activities &amp; levers'!$C$14="Off",Constants!$H69*'Activity data'!BF11*Constants!$H87*FracLEACHMM*MMLeachEF*NtoN2O*kgtoGg,IF('Net zero activities &amp; levers'!$C$14="On",Constants!$H69*'Net zero Activity data'!BF11*Constants!$H87*FracLEACHMM*MMLeachEF*NtoN2O*kgtoGg,"ERROR"))</f>
        <v>4.5888763368810139E-3</v>
      </c>
      <c r="AN1207" s="101">
        <f>IF('Net zero activities &amp; levers'!$C$14="Off",Constants!$H69*'Activity data'!BG11*Constants!$H87*FracLEACHMM*MMLeachEF*NtoN2O*kgtoGg,IF('Net zero activities &amp; levers'!$C$14="On",Constants!$H69*'Net zero Activity data'!BG11*Constants!$H87*FracLEACHMM*MMLeachEF*NtoN2O*kgtoGg,"ERROR"))</f>
        <v>4.5918387401172314E-3</v>
      </c>
      <c r="AO1207" s="101">
        <f>IF('Net zero activities &amp; levers'!$C$14="Off",Constants!$H69*'Activity data'!BH11*Constants!$H87*FracLEACHMM*MMLeachEF*NtoN2O*kgtoGg,IF('Net zero activities &amp; levers'!$C$14="On",Constants!$H69*'Net zero Activity data'!BH11*Constants!$H87*FracLEACHMM*MMLeachEF*NtoN2O*kgtoGg,"ERROR"))</f>
        <v>4.5951591884317378E-3</v>
      </c>
      <c r="AP1207" s="101">
        <f>IF('Net zero activities &amp; levers'!$C$14="Off",Constants!$H69*'Activity data'!BI11*Constants!$H87*FracLEACHMM*MMLeachEF*NtoN2O*kgtoGg,IF('Net zero activities &amp; levers'!$C$14="On",Constants!$H69*'Net zero Activity data'!BI11*Constants!$H87*FracLEACHMM*MMLeachEF*NtoN2O*kgtoGg,"ERROR"))</f>
        <v>4.5988252210116161E-3</v>
      </c>
      <c r="AQ1207" s="101">
        <f>IF('Net zero activities &amp; levers'!$C$14="Off",Constants!$H69*'Activity data'!BJ11*Constants!$H87*FracLEACHMM*MMLeachEF*NtoN2O*kgtoGg,IF('Net zero activities &amp; levers'!$C$14="On",Constants!$H69*'Net zero Activity data'!BJ11*Constants!$H87*FracLEACHMM*MMLeachEF*NtoN2O*kgtoGg,"ERROR"))</f>
        <v>4.6028252299079387E-3</v>
      </c>
      <c r="AR1207" s="101">
        <f>IF('Net zero activities &amp; levers'!$C$14="Off",Constants!$H69*'Activity data'!BK11*Constants!$H87*FracLEACHMM*MMLeachEF*NtoN2O*kgtoGg,IF('Net zero activities &amp; levers'!$C$14="On",Constants!$H69*'Net zero Activity data'!BK11*Constants!$H87*FracLEACHMM*MMLeachEF*NtoN2O*kgtoGg,"ERROR"))</f>
        <v>4.6071483875808113E-3</v>
      </c>
      <c r="AS1207" s="101">
        <f>IF('Net zero activities &amp; levers'!$C$14="Off",Constants!$H69*'Activity data'!BL11*Constants!$H87*FracLEACHMM*MMLeachEF*NtoN2O*kgtoGg,IF('Net zero activities &amp; levers'!$C$14="On",Constants!$H69*'Net zero Activity data'!BL11*Constants!$H87*FracLEACHMM*MMLeachEF*NtoN2O*kgtoGg,"ERROR"))</f>
        <v>4.6082148579908756E-3</v>
      </c>
      <c r="AT1207" s="101">
        <f>IF('Net zero activities &amp; levers'!$C$14="Off",Constants!$H69*'Activity data'!BM11*Constants!$H87*FracLEACHMM*MMLeachEF*NtoN2O*kgtoGg,IF('Net zero activities &amp; levers'!$C$14="On",Constants!$H69*'Net zero Activity data'!BM11*Constants!$H87*FracLEACHMM*MMLeachEF*NtoN2O*kgtoGg,"ERROR"))</f>
        <v>4.609568122792394E-3</v>
      </c>
      <c r="AU1207" s="101">
        <f>IF('Net zero activities &amp; levers'!$C$14="Off",Constants!$H69*'Activity data'!BN11*Constants!$H87*FracLEACHMM*MMLeachEF*NtoN2O*kgtoGg,IF('Net zero activities &amp; levers'!$C$14="On",Constants!$H69*'Net zero Activity data'!BN11*Constants!$H87*FracLEACHMM*MMLeachEF*NtoN2O*kgtoGg,"ERROR"))</f>
        <v>4.6111986833604953E-3</v>
      </c>
      <c r="AV1207" s="101">
        <f>IF('Net zero activities &amp; levers'!$C$14="Off",Constants!$H69*'Activity data'!BO11*Constants!$H87*FracLEACHMM*MMLeachEF*NtoN2O*kgtoGg,IF('Net zero activities &amp; levers'!$C$14="On",Constants!$H69*'Net zero Activity data'!BO11*Constants!$H87*FracLEACHMM*MMLeachEF*NtoN2O*kgtoGg,"ERROR"))</f>
        <v>4.6130976210976499E-3</v>
      </c>
      <c r="AW1207" s="101">
        <f>IF('Net zero activities &amp; levers'!$C$14="Off",Constants!$H69*'Activity data'!BP11*Constants!$H87*FracLEACHMM*MMLeachEF*NtoN2O*kgtoGg,IF('Net zero activities &amp; levers'!$C$14="On",Constants!$H69*'Net zero Activity data'!BP11*Constants!$H87*FracLEACHMM*MMLeachEF*NtoN2O*kgtoGg,"ERROR"))</f>
        <v>4.6152565528286265E-3</v>
      </c>
      <c r="AY1207" s="85"/>
    </row>
    <row r="1208" spans="1:51" x14ac:dyDescent="0.25">
      <c r="A1208" s="102" t="str">
        <f t="shared" si="380"/>
        <v>CM MM Leaching</v>
      </c>
      <c r="B1208" s="102" t="s">
        <v>1323</v>
      </c>
      <c r="C1208" s="102" t="s">
        <v>1334</v>
      </c>
      <c r="D1208" t="s">
        <v>369</v>
      </c>
      <c r="E1208" t="s">
        <v>64</v>
      </c>
      <c r="F1208" t="s">
        <v>63</v>
      </c>
      <c r="G1208" t="s">
        <v>1167</v>
      </c>
      <c r="H1208" t="s">
        <v>1314</v>
      </c>
      <c r="I1208" t="s">
        <v>139</v>
      </c>
      <c r="J1208" t="s">
        <v>287</v>
      </c>
      <c r="K1208" s="101">
        <f>IF('Net zero activities &amp; levers'!$C$14="Off",Constants!$H70*'Activity data'!AD12*Constants!$H88*FracLEACHMM*MMLeachEF*NtoN2O*kgtoGg,IF('Net zero activities &amp; levers'!$C$14="On",Constants!$H70*'Net zero Activity data'!AD12*Constants!$H88*FracLEACHMM*MMLeachEF*NtoN2O*kgtoGg,"ERROR"))</f>
        <v>3.6554081926520139E-3</v>
      </c>
      <c r="L1208" s="101">
        <f>IF('Net zero activities &amp; levers'!$C$14="Off",Constants!$H70*'Activity data'!AE12*Constants!$H88*FracLEACHMM*MMLeachEF*NtoN2O*kgtoGg,IF('Net zero activities &amp; levers'!$C$14="On",Constants!$H70*'Net zero Activity data'!AE12*Constants!$H88*FracLEACHMM*MMLeachEF*NtoN2O*kgtoGg,"ERROR"))</f>
        <v>3.6574043798084017E-3</v>
      </c>
      <c r="M1208" s="101">
        <f>IF('Net zero activities &amp; levers'!$C$14="Off",Constants!$H70*'Activity data'!AF12*Constants!$H88*FracLEACHMM*MMLeachEF*NtoN2O*kgtoGg,IF('Net zero activities &amp; levers'!$C$14="On",Constants!$H70*'Net zero Activity data'!AF12*Constants!$H88*FracLEACHMM*MMLeachEF*NtoN2O*kgtoGg,"ERROR"))</f>
        <v>3.6618742263063008E-3</v>
      </c>
      <c r="N1208" s="101">
        <f>IF('Net zero activities &amp; levers'!$C$14="Off",Constants!$H70*'Activity data'!AG12*Constants!$H88*FracLEACHMM*MMLeachEF*NtoN2O*kgtoGg,IF('Net zero activities &amp; levers'!$C$14="On",Constants!$H70*'Net zero Activity data'!AG12*Constants!$H88*FracLEACHMM*MMLeachEF*NtoN2O*kgtoGg,"ERROR"))</f>
        <v>3.6686022836746814E-3</v>
      </c>
      <c r="O1208" s="101">
        <f>IF('Net zero activities &amp; levers'!$C$14="Off",Constants!$H70*'Activity data'!AH12*Constants!$H88*FracLEACHMM*MMLeachEF*NtoN2O*kgtoGg,IF('Net zero activities &amp; levers'!$C$14="On",Constants!$H70*'Net zero Activity data'!AH12*Constants!$H88*FracLEACHMM*MMLeachEF*NtoN2O*kgtoGg,"ERROR"))</f>
        <v>3.6776785680166413E-3</v>
      </c>
      <c r="P1208" s="101">
        <f>IF('Net zero activities &amp; levers'!$C$14="Off",Constants!$H70*'Activity data'!AI12*Constants!$H88*FracLEACHMM*MMLeachEF*NtoN2O*kgtoGg,IF('Net zero activities &amp; levers'!$C$14="On",Constants!$H70*'Net zero Activity data'!AI12*Constants!$H88*FracLEACHMM*MMLeachEF*NtoN2O*kgtoGg,"ERROR"))</f>
        <v>3.6891127101493907E-3</v>
      </c>
      <c r="Q1208" s="101">
        <f>IF('Net zero activities &amp; levers'!$C$14="Off",Constants!$H70*'Activity data'!AJ12*Constants!$H88*FracLEACHMM*MMLeachEF*NtoN2O*kgtoGg,IF('Net zero activities &amp; levers'!$C$14="On",Constants!$H70*'Net zero Activity data'!AJ12*Constants!$H88*FracLEACHMM*MMLeachEF*NtoN2O*kgtoGg,"ERROR"))</f>
        <v>3.7018498809639078E-3</v>
      </c>
      <c r="R1208" s="101">
        <f>IF('Net zero activities &amp; levers'!$C$14="Off",Constants!$H70*'Activity data'!AK12*Constants!$H88*FracLEACHMM*MMLeachEF*NtoN2O*kgtoGg,IF('Net zero activities &amp; levers'!$C$14="On",Constants!$H70*'Net zero Activity data'!AK12*Constants!$H88*FracLEACHMM*MMLeachEF*NtoN2O*kgtoGg,"ERROR"))</f>
        <v>3.7156540753574409E-3</v>
      </c>
      <c r="S1208" s="101">
        <f>IF('Net zero activities &amp; levers'!$C$14="Off",Constants!$H70*'Activity data'!AL12*Constants!$H88*FracLEACHMM*MMLeachEF*NtoN2O*kgtoGg,IF('Net zero activities &amp; levers'!$C$14="On",Constants!$H70*'Net zero Activity data'!AL12*Constants!$H88*FracLEACHMM*MMLeachEF*NtoN2O*kgtoGg,"ERROR"))</f>
        <v>3.7286260423135963E-3</v>
      </c>
      <c r="T1208" s="101">
        <f>IF('Net zero activities &amp; levers'!$C$14="Off",Constants!$H70*'Activity data'!AM12*Constants!$H88*FracLEACHMM*MMLeachEF*NtoN2O*kgtoGg,IF('Net zero activities &amp; levers'!$C$14="On",Constants!$H70*'Net zero Activity data'!AM12*Constants!$H88*FracLEACHMM*MMLeachEF*NtoN2O*kgtoGg,"ERROR"))</f>
        <v>3.7340446841047422E-3</v>
      </c>
      <c r="U1208" s="101">
        <f>IF('Net zero activities &amp; levers'!$C$14="Off",Constants!$H70*'Activity data'!AN12*Constants!$H88*FracLEACHMM*MMLeachEF*NtoN2O*kgtoGg,IF('Net zero activities &amp; levers'!$C$14="On",Constants!$H70*'Net zero Activity data'!AN12*Constants!$H88*FracLEACHMM*MMLeachEF*NtoN2O*kgtoGg,"ERROR"))</f>
        <v>3.7403323556149792E-3</v>
      </c>
      <c r="V1208" s="101">
        <f>IF('Net zero activities &amp; levers'!$C$14="Off",Constants!$H70*'Activity data'!AO12*Constants!$H88*FracLEACHMM*MMLeachEF*NtoN2O*kgtoGg,IF('Net zero activities &amp; levers'!$C$14="On",Constants!$H70*'Net zero Activity data'!AO12*Constants!$H88*FracLEACHMM*MMLeachEF*NtoN2O*kgtoGg,"ERROR"))</f>
        <v>3.7474877675985991E-3</v>
      </c>
      <c r="W1208" s="101">
        <f>IF('Net zero activities &amp; levers'!$C$14="Off",Constants!$H70*'Activity data'!AP12*Constants!$H88*FracLEACHMM*MMLeachEF*NtoN2O*kgtoGg,IF('Net zero activities &amp; levers'!$C$14="On",Constants!$H70*'Net zero Activity data'!AP12*Constants!$H88*FracLEACHMM*MMLeachEF*NtoN2O*kgtoGg,"ERROR"))</f>
        <v>3.7555479930861213E-3</v>
      </c>
      <c r="X1208" s="101">
        <f>IF('Net zero activities &amp; levers'!$C$14="Off",Constants!$H70*'Activity data'!AQ12*Constants!$H88*FracLEACHMM*MMLeachEF*NtoN2O*kgtoGg,IF('Net zero activities &amp; levers'!$C$14="On",Constants!$H70*'Net zero Activity data'!AQ12*Constants!$H88*FracLEACHMM*MMLeachEF*NtoN2O*kgtoGg,"ERROR"))</f>
        <v>3.7643838146787538E-3</v>
      </c>
      <c r="Y1208" s="101">
        <f>IF('Net zero activities &amp; levers'!$C$14="Off",Constants!$H70*'Activity data'!AR12*Constants!$H88*FracLEACHMM*MMLeachEF*NtoN2O*kgtoGg,IF('Net zero activities &amp; levers'!$C$14="On",Constants!$H70*'Net zero Activity data'!AR12*Constants!$H88*FracLEACHMM*MMLeachEF*NtoN2O*kgtoGg,"ERROR"))</f>
        <v>3.769822936720115E-3</v>
      </c>
      <c r="Z1208" s="101">
        <f>IF('Net zero activities &amp; levers'!$C$14="Off",Constants!$H70*'Activity data'!AS12*Constants!$H88*FracLEACHMM*MMLeachEF*NtoN2O*kgtoGg,IF('Net zero activities &amp; levers'!$C$14="On",Constants!$H70*'Net zero Activity data'!AS12*Constants!$H88*FracLEACHMM*MMLeachEF*NtoN2O*kgtoGg,"ERROR"))</f>
        <v>3.7758985483435582E-3</v>
      </c>
      <c r="AA1208" s="101">
        <f>IF('Net zero activities &amp; levers'!$C$14="Off",Constants!$H70*'Activity data'!AT12*Constants!$H88*FracLEACHMM*MMLeachEF*NtoN2O*kgtoGg,IF('Net zero activities &amp; levers'!$C$14="On",Constants!$H70*'Net zero Activity data'!AT12*Constants!$H88*FracLEACHMM*MMLeachEF*NtoN2O*kgtoGg,"ERROR"))</f>
        <v>3.7826326976118578E-3</v>
      </c>
      <c r="AB1208" s="101">
        <f>IF('Net zero activities &amp; levers'!$C$14="Off",Constants!$H70*'Activity data'!AU12*Constants!$H88*FracLEACHMM*MMLeachEF*NtoN2O*kgtoGg,IF('Net zero activities &amp; levers'!$C$14="On",Constants!$H70*'Net zero Activity data'!AU12*Constants!$H88*FracLEACHMM*MMLeachEF*NtoN2O*kgtoGg,"ERROR"))</f>
        <v>3.7899219183151331E-3</v>
      </c>
      <c r="AC1208" s="101">
        <f>IF('Net zero activities &amp; levers'!$C$14="Off",Constants!$H70*'Activity data'!AV12*Constants!$H88*FracLEACHMM*MMLeachEF*NtoN2O*kgtoGg,IF('Net zero activities &amp; levers'!$C$14="On",Constants!$H70*'Net zero Activity data'!AV12*Constants!$H88*FracLEACHMM*MMLeachEF*NtoN2O*kgtoGg,"ERROR"))</f>
        <v>3.7977922737311865E-3</v>
      </c>
      <c r="AD1208" s="101">
        <f>IF('Net zero activities &amp; levers'!$C$14="Off",Constants!$H70*'Activity data'!AW12*Constants!$H88*FracLEACHMM*MMLeachEF*NtoN2O*kgtoGg,IF('Net zero activities &amp; levers'!$C$14="On",Constants!$H70*'Net zero Activity data'!AW12*Constants!$H88*FracLEACHMM*MMLeachEF*NtoN2O*kgtoGg,"ERROR"))</f>
        <v>3.8029734753540017E-3</v>
      </c>
      <c r="AE1208" s="101">
        <f>IF('Net zero activities &amp; levers'!$C$14="Off",Constants!$H70*'Activity data'!AX12*Constants!$H88*FracLEACHMM*MMLeachEF*NtoN2O*kgtoGg,IF('Net zero activities &amp; levers'!$C$14="On",Constants!$H70*'Net zero Activity data'!AX12*Constants!$H88*FracLEACHMM*MMLeachEF*NtoN2O*kgtoGg,"ERROR"))</f>
        <v>3.8086996594803367E-3</v>
      </c>
      <c r="AF1208" s="101">
        <f>IF('Net zero activities &amp; levers'!$C$14="Off",Constants!$H70*'Activity data'!AY12*Constants!$H88*FracLEACHMM*MMLeachEF*NtoN2O*kgtoGg,IF('Net zero activities &amp; levers'!$C$14="On",Constants!$H70*'Net zero Activity data'!AY12*Constants!$H88*FracLEACHMM*MMLeachEF*NtoN2O*kgtoGg,"ERROR"))</f>
        <v>3.8149193276772325E-3</v>
      </c>
      <c r="AG1208" s="101">
        <f>IF('Net zero activities &amp; levers'!$C$14="Off",Constants!$H70*'Activity data'!AZ12*Constants!$H88*FracLEACHMM*MMLeachEF*NtoN2O*kgtoGg,IF('Net zero activities &amp; levers'!$C$14="On",Constants!$H70*'Net zero Activity data'!AZ12*Constants!$H88*FracLEACHMM*MMLeachEF*NtoN2O*kgtoGg,"ERROR"))</f>
        <v>3.8209283204154385E-3</v>
      </c>
      <c r="AH1208" s="101">
        <f>IF('Net zero activities &amp; levers'!$C$14="Off",Constants!$H70*'Activity data'!BA12*Constants!$H88*FracLEACHMM*MMLeachEF*NtoN2O*kgtoGg,IF('Net zero activities &amp; levers'!$C$14="On",Constants!$H70*'Net zero Activity data'!BA12*Constants!$H88*FracLEACHMM*MMLeachEF*NtoN2O*kgtoGg,"ERROR"))</f>
        <v>3.7952380772153156E-3</v>
      </c>
      <c r="AI1208" s="101">
        <f>IF('Net zero activities &amp; levers'!$C$14="Off",Constants!$H70*'Activity data'!BB12*Constants!$H88*FracLEACHMM*MMLeachEF*NtoN2O*kgtoGg,IF('Net zero activities &amp; levers'!$C$14="On",Constants!$H70*'Net zero Activity data'!BB12*Constants!$H88*FracLEACHMM*MMLeachEF*NtoN2O*kgtoGg,"ERROR"))</f>
        <v>3.7988864979527624E-3</v>
      </c>
      <c r="AJ1208" s="101">
        <f>IF('Net zero activities &amp; levers'!$C$14="Off",Constants!$H70*'Activity data'!BC12*Constants!$H88*FracLEACHMM*MMLeachEF*NtoN2O*kgtoGg,IF('Net zero activities &amp; levers'!$C$14="On",Constants!$H70*'Net zero Activity data'!BC12*Constants!$H88*FracLEACHMM*MMLeachEF*NtoN2O*kgtoGg,"ERROR"))</f>
        <v>3.8029125483085634E-3</v>
      </c>
      <c r="AK1208" s="101">
        <f>IF('Net zero activities &amp; levers'!$C$14="Off",Constants!$H70*'Activity data'!BD12*Constants!$H88*FracLEACHMM*MMLeachEF*NtoN2O*kgtoGg,IF('Net zero activities &amp; levers'!$C$14="On",Constants!$H70*'Net zero Activity data'!BD12*Constants!$H88*FracLEACHMM*MMLeachEF*NtoN2O*kgtoGg,"ERROR"))</f>
        <v>3.8073019617525694E-3</v>
      </c>
      <c r="AL1208" s="101">
        <f>IF('Net zero activities &amp; levers'!$C$14="Off",Constants!$H70*'Activity data'!BE12*Constants!$H88*FracLEACHMM*MMLeachEF*NtoN2O*kgtoGg,IF('Net zero activities &amp; levers'!$C$14="On",Constants!$H70*'Net zero Activity data'!BE12*Constants!$H88*FracLEACHMM*MMLeachEF*NtoN2O*kgtoGg,"ERROR"))</f>
        <v>3.8120415744685989E-3</v>
      </c>
      <c r="AM1208" s="101">
        <f>IF('Net zero activities &amp; levers'!$C$14="Off",Constants!$H70*'Activity data'!BF12*Constants!$H88*FracLEACHMM*MMLeachEF*NtoN2O*kgtoGg,IF('Net zero activities &amp; levers'!$C$14="On",Constants!$H70*'Net zero Activity data'!BF12*Constants!$H88*FracLEACHMM*MMLeachEF*NtoN2O*kgtoGg,"ERROR"))</f>
        <v>3.8171192207152455E-3</v>
      </c>
      <c r="AN1208" s="101">
        <f>IF('Net zero activities &amp; levers'!$C$14="Off",Constants!$H70*'Activity data'!BG12*Constants!$H88*FracLEACHMM*MMLeachEF*NtoN2O*kgtoGg,IF('Net zero activities &amp; levers'!$C$14="On",Constants!$H70*'Net zero Activity data'!BG12*Constants!$H88*FracLEACHMM*MMLeachEF*NtoN2O*kgtoGg,"ERROR"))</f>
        <v>3.8195834070437343E-3</v>
      </c>
      <c r="AO1208" s="101">
        <f>IF('Net zero activities &amp; levers'!$C$14="Off",Constants!$H70*'Activity data'!BH12*Constants!$H88*FracLEACHMM*MMLeachEF*NtoN2O*kgtoGg,IF('Net zero activities &amp; levers'!$C$14="On",Constants!$H70*'Net zero Activity data'!BH12*Constants!$H88*FracLEACHMM*MMLeachEF*NtoN2O*kgtoGg,"ERROR"))</f>
        <v>3.8223454224375316E-3</v>
      </c>
      <c r="AP1208" s="101">
        <f>IF('Net zero activities &amp; levers'!$C$14="Off",Constants!$H70*'Activity data'!BI12*Constants!$H88*FracLEACHMM*MMLeachEF*NtoN2O*kgtoGg,IF('Net zero activities &amp; levers'!$C$14="On",Constants!$H70*'Net zero Activity data'!BI12*Constants!$H88*FracLEACHMM*MMLeachEF*NtoN2O*kgtoGg,"ERROR"))</f>
        <v>3.8253949017429448E-3</v>
      </c>
      <c r="AQ1208" s="101">
        <f>IF('Net zero activities &amp; levers'!$C$14="Off",Constants!$H70*'Activity data'!BJ12*Constants!$H88*FracLEACHMM*MMLeachEF*NtoN2O*kgtoGg,IF('Net zero activities &amp; levers'!$C$14="On",Constants!$H70*'Net zero Activity data'!BJ12*Constants!$H88*FracLEACHMM*MMLeachEF*NtoN2O*kgtoGg,"ERROR"))</f>
        <v>3.8287221892356308E-3</v>
      </c>
      <c r="AR1208" s="101">
        <f>IF('Net zero activities &amp; levers'!$C$14="Off",Constants!$H70*'Activity data'!BK12*Constants!$H88*FracLEACHMM*MMLeachEF*NtoN2O*kgtoGg,IF('Net zero activities &amp; levers'!$C$14="On",Constants!$H70*'Net zero Activity data'!BK12*Constants!$H88*FracLEACHMM*MMLeachEF*NtoN2O*kgtoGg,"ERROR"))</f>
        <v>3.8323182783511038E-3</v>
      </c>
      <c r="AS1208" s="101">
        <f>IF('Net zero activities &amp; levers'!$C$14="Off",Constants!$H70*'Activity data'!BL12*Constants!$H88*FracLEACHMM*MMLeachEF*NtoN2O*kgtoGg,IF('Net zero activities &amp; levers'!$C$14="On",Constants!$H70*'Net zero Activity data'!BL12*Constants!$H88*FracLEACHMM*MMLeachEF*NtoN2O*kgtoGg,"ERROR"))</f>
        <v>3.833205389792278E-3</v>
      </c>
      <c r="AT1208" s="101">
        <f>IF('Net zero activities &amp; levers'!$C$14="Off",Constants!$H70*'Activity data'!BM12*Constants!$H88*FracLEACHMM*MMLeachEF*NtoN2O*kgtoGg,IF('Net zero activities &amp; levers'!$C$14="On",Constants!$H70*'Net zero Activity data'!BM12*Constants!$H88*FracLEACHMM*MMLeachEF*NtoN2O*kgtoGg,"ERROR"))</f>
        <v>3.8343310625507851E-3</v>
      </c>
      <c r="AU1208" s="101">
        <f>IF('Net zero activities &amp; levers'!$C$14="Off",Constants!$H70*'Activity data'!BN12*Constants!$H88*FracLEACHMM*MMLeachEF*NtoN2O*kgtoGg,IF('Net zero activities &amp; levers'!$C$14="On",Constants!$H70*'Net zero Activity data'!BN12*Constants!$H88*FracLEACHMM*MMLeachEF*NtoN2O*kgtoGg,"ERROR"))</f>
        <v>3.8356873954802709E-3</v>
      </c>
      <c r="AV1208" s="101">
        <f>IF('Net zero activities &amp; levers'!$C$14="Off",Constants!$H70*'Activity data'!BO12*Constants!$H88*FracLEACHMM*MMLeachEF*NtoN2O*kgtoGg,IF('Net zero activities &amp; levers'!$C$14="On",Constants!$H70*'Net zero Activity data'!BO12*Constants!$H88*FracLEACHMM*MMLeachEF*NtoN2O*kgtoGg,"ERROR"))</f>
        <v>3.8372669699127259E-3</v>
      </c>
      <c r="AW1208" s="101">
        <f>IF('Net zero activities &amp; levers'!$C$14="Off",Constants!$H70*'Activity data'!BP12*Constants!$H88*FracLEACHMM*MMLeachEF*NtoN2O*kgtoGg,IF('Net zero activities &amp; levers'!$C$14="On",Constants!$H70*'Net zero Activity data'!BP12*Constants!$H88*FracLEACHMM*MMLeachEF*NtoN2O*kgtoGg,"ERROR"))</f>
        <v>3.8390628125551359E-3</v>
      </c>
      <c r="AY1208" s="85"/>
    </row>
    <row r="1209" spans="1:51" x14ac:dyDescent="0.25">
      <c r="A1209" s="102" t="str">
        <f t="shared" si="380"/>
        <v>CM MM Leaching</v>
      </c>
      <c r="B1209" s="102" t="s">
        <v>1323</v>
      </c>
      <c r="C1209" s="102" t="s">
        <v>1334</v>
      </c>
      <c r="D1209" t="s">
        <v>369</v>
      </c>
      <c r="E1209" t="s">
        <v>64</v>
      </c>
      <c r="F1209" t="s">
        <v>63</v>
      </c>
      <c r="G1209" t="s">
        <v>1169</v>
      </c>
      <c r="H1209" t="s">
        <v>1315</v>
      </c>
      <c r="I1209" t="s">
        <v>139</v>
      </c>
      <c r="J1209" t="s">
        <v>287</v>
      </c>
      <c r="K1209" s="101">
        <f>IF('Net zero activities &amp; levers'!$C$14="Off",Constants!$H71*'Activity data'!AD13*Constants!$H89*FracLEACHMM*MMLeachEF*NtoN2O*kgtoGg,IF('Net zero activities &amp; levers'!$C$14="On",Constants!$H71*'Net zero Activity data'!AD13*Constants!$H89*FracLEACHMM*MMLeachEF*NtoN2O*kgtoGg,"ERROR"))</f>
        <v>5.4321183723638063E-4</v>
      </c>
      <c r="L1209" s="101">
        <f>IF('Net zero activities &amp; levers'!$C$14="Off",Constants!$H71*'Activity data'!AE13*Constants!$H89*FracLEACHMM*MMLeachEF*NtoN2O*kgtoGg,IF('Net zero activities &amp; levers'!$C$14="On",Constants!$H71*'Net zero Activity data'!AE13*Constants!$H89*FracLEACHMM*MMLeachEF*NtoN2O*kgtoGg,"ERROR"))</f>
        <v>5.4462866238069155E-4</v>
      </c>
      <c r="M1209" s="101">
        <f>IF('Net zero activities &amp; levers'!$C$14="Off",Constants!$H71*'Activity data'!AF13*Constants!$H89*FracLEACHMM*MMLeachEF*NtoN2O*kgtoGg,IF('Net zero activities &amp; levers'!$C$14="On",Constants!$H71*'Net zero Activity data'!AF13*Constants!$H89*FracLEACHMM*MMLeachEF*NtoN2O*kgtoGg,"ERROR"))</f>
        <v>5.4651670738969612E-4</v>
      </c>
      <c r="N1209" s="101">
        <f>IF('Net zero activities &amp; levers'!$C$14="Off",Constants!$H71*'Activity data'!AG13*Constants!$H89*FracLEACHMM*MMLeachEF*NtoN2O*kgtoGg,IF('Net zero activities &amp; levers'!$C$14="On",Constants!$H71*'Net zero Activity data'!AG13*Constants!$H89*FracLEACHMM*MMLeachEF*NtoN2O*kgtoGg,"ERROR"))</f>
        <v>5.4883399731316639E-4</v>
      </c>
      <c r="O1209" s="101">
        <f>IF('Net zero activities &amp; levers'!$C$14="Off",Constants!$H71*'Activity data'!AH13*Constants!$H89*FracLEACHMM*MMLeachEF*NtoN2O*kgtoGg,IF('Net zero activities &amp; levers'!$C$14="On",Constants!$H71*'Net zero Activity data'!AH13*Constants!$H89*FracLEACHMM*MMLeachEF*NtoN2O*kgtoGg,"ERROR"))</f>
        <v>5.5160837836810213E-4</v>
      </c>
      <c r="P1209" s="101">
        <f>IF('Net zero activities &amp; levers'!$C$14="Off",Constants!$H71*'Activity data'!AI13*Constants!$H89*FracLEACHMM*MMLeachEF*NtoN2O*kgtoGg,IF('Net zero activities &amp; levers'!$C$14="On",Constants!$H71*'Net zero Activity data'!AI13*Constants!$H89*FracLEACHMM*MMLeachEF*NtoN2O*kgtoGg,"ERROR"))</f>
        <v>5.5484723352096008E-4</v>
      </c>
      <c r="Q1209" s="101">
        <f>IF('Net zero activities &amp; levers'!$C$14="Off",Constants!$H71*'Activity data'!AJ13*Constants!$H89*FracLEACHMM*MMLeachEF*NtoN2O*kgtoGg,IF('Net zero activities &amp; levers'!$C$14="On",Constants!$H71*'Net zero Activity data'!AJ13*Constants!$H89*FracLEACHMM*MMLeachEF*NtoN2O*kgtoGg,"ERROR"))</f>
        <v>5.5831016678068942E-4</v>
      </c>
      <c r="R1209" s="101">
        <f>IF('Net zero activities &amp; levers'!$C$14="Off",Constants!$H71*'Activity data'!AK13*Constants!$H89*FracLEACHMM*MMLeachEF*NtoN2O*kgtoGg,IF('Net zero activities &amp; levers'!$C$14="On",Constants!$H71*'Net zero Activity data'!AK13*Constants!$H89*FracLEACHMM*MMLeachEF*NtoN2O*kgtoGg,"ERROR"))</f>
        <v>5.61947661040627E-4</v>
      </c>
      <c r="S1209" s="101">
        <f>IF('Net zero activities &amp; levers'!$C$14="Off",Constants!$H71*'Activity data'!AL13*Constants!$H89*FracLEACHMM*MMLeachEF*NtoN2O*kgtoGg,IF('Net zero activities &amp; levers'!$C$14="On",Constants!$H71*'Net zero Activity data'!AL13*Constants!$H89*FracLEACHMM*MMLeachEF*NtoN2O*kgtoGg,"ERROR"))</f>
        <v>5.6532673344002258E-4</v>
      </c>
      <c r="T1209" s="101">
        <f>IF('Net zero activities &amp; levers'!$C$14="Off",Constants!$H71*'Activity data'!AM13*Constants!$H89*FracLEACHMM*MMLeachEF*NtoN2O*kgtoGg,IF('Net zero activities &amp; levers'!$C$14="On",Constants!$H71*'Net zero Activity data'!AM13*Constants!$H89*FracLEACHMM*MMLeachEF*NtoN2O*kgtoGg,"ERROR"))</f>
        <v>5.6691026971513229E-4</v>
      </c>
      <c r="U1209" s="101">
        <f>IF('Net zero activities &amp; levers'!$C$14="Off",Constants!$H71*'Activity data'!AN13*Constants!$H89*FracLEACHMM*MMLeachEF*NtoN2O*kgtoGg,IF('Net zero activities &amp; levers'!$C$14="On",Constants!$H71*'Net zero Activity data'!AN13*Constants!$H89*FracLEACHMM*MMLeachEF*NtoN2O*kgtoGg,"ERROR"))</f>
        <v>5.6864670501845574E-4</v>
      </c>
      <c r="V1209" s="101">
        <f>IF('Net zero activities &amp; levers'!$C$14="Off",Constants!$H71*'Activity data'!AO13*Constants!$H89*FracLEACHMM*MMLeachEF*NtoN2O*kgtoGg,IF('Net zero activities &amp; levers'!$C$14="On",Constants!$H71*'Net zero Activity data'!AO13*Constants!$H89*FracLEACHMM*MMLeachEF*NtoN2O*kgtoGg,"ERROR"))</f>
        <v>5.7053824293023939E-4</v>
      </c>
      <c r="W1209" s="101">
        <f>IF('Net zero activities &amp; levers'!$C$14="Off",Constants!$H71*'Activity data'!AP13*Constants!$H89*FracLEACHMM*MMLeachEF*NtoN2O*kgtoGg,IF('Net zero activities &amp; levers'!$C$14="On",Constants!$H71*'Net zero Activity data'!AP13*Constants!$H89*FracLEACHMM*MMLeachEF*NtoN2O*kgtoGg,"ERROR"))</f>
        <v>5.7259543924260763E-4</v>
      </c>
      <c r="X1209" s="101">
        <f>IF('Net zero activities &amp; levers'!$C$14="Off",Constants!$H71*'Activity data'!AQ13*Constants!$H89*FracLEACHMM*MMLeachEF*NtoN2O*kgtoGg,IF('Net zero activities &amp; levers'!$C$14="On",Constants!$H71*'Net zero Activity data'!AQ13*Constants!$H89*FracLEACHMM*MMLeachEF*NtoN2O*kgtoGg,"ERROR"))</f>
        <v>5.7479059617442649E-4</v>
      </c>
      <c r="Y1209" s="101">
        <f>IF('Net zero activities &amp; levers'!$C$14="Off",Constants!$H71*'Activity data'!AR13*Constants!$H89*FracLEACHMM*MMLeachEF*NtoN2O*kgtoGg,IF('Net zero activities &amp; levers'!$C$14="On",Constants!$H71*'Net zero Activity data'!AR13*Constants!$H89*FracLEACHMM*MMLeachEF*NtoN2O*kgtoGg,"ERROR"))</f>
        <v>5.7617814395304924E-4</v>
      </c>
      <c r="Z1209" s="101">
        <f>IF('Net zero activities &amp; levers'!$C$14="Off",Constants!$H71*'Activity data'!AS13*Constants!$H89*FracLEACHMM*MMLeachEF*NtoN2O*kgtoGg,IF('Net zero activities &amp; levers'!$C$14="On",Constants!$H71*'Net zero Activity data'!AS13*Constants!$H89*FracLEACHMM*MMLeachEF*NtoN2O*kgtoGg,"ERROR"))</f>
        <v>5.7767940009102313E-4</v>
      </c>
      <c r="AA1209" s="101">
        <f>IF('Net zero activities &amp; levers'!$C$14="Off",Constants!$H71*'Activity data'!AT13*Constants!$H89*FracLEACHMM*MMLeachEF*NtoN2O*kgtoGg,IF('Net zero activities &amp; levers'!$C$14="On",Constants!$H71*'Net zero Activity data'!AT13*Constants!$H89*FracLEACHMM*MMLeachEF*NtoN2O*kgtoGg,"ERROR"))</f>
        <v>5.7930057538230326E-4</v>
      </c>
      <c r="AB1209" s="101">
        <f>IF('Net zero activities &amp; levers'!$C$14="Off",Constants!$H71*'Activity data'!AU13*Constants!$H89*FracLEACHMM*MMLeachEF*NtoN2O*kgtoGg,IF('Net zero activities &amp; levers'!$C$14="On",Constants!$H71*'Net zero Activity data'!AU13*Constants!$H89*FracLEACHMM*MMLeachEF*NtoN2O*kgtoGg,"ERROR"))</f>
        <v>5.8101935108040965E-4</v>
      </c>
      <c r="AC1209" s="101">
        <f>IF('Net zero activities &amp; levers'!$C$14="Off",Constants!$H71*'Activity data'!AV13*Constants!$H89*FracLEACHMM*MMLeachEF*NtoN2O*kgtoGg,IF('Net zero activities &amp; levers'!$C$14="On",Constants!$H71*'Net zero Activity data'!AV13*Constants!$H89*FracLEACHMM*MMLeachEF*NtoN2O*kgtoGg,"ERROR"))</f>
        <v>5.8284260247755859E-4</v>
      </c>
      <c r="AD1209" s="101">
        <f>IF('Net zero activities &amp; levers'!$C$14="Off",Constants!$H71*'Activity data'!AW13*Constants!$H89*FracLEACHMM*MMLeachEF*NtoN2O*kgtoGg,IF('Net zero activities &amp; levers'!$C$14="On",Constants!$H71*'Net zero Activity data'!AW13*Constants!$H89*FracLEACHMM*MMLeachEF*NtoN2O*kgtoGg,"ERROR"))</f>
        <v>5.8403671107952763E-4</v>
      </c>
      <c r="AE1209" s="101">
        <f>IF('Net zero activities &amp; levers'!$C$14="Off",Constants!$H71*'Activity data'!AX13*Constants!$H89*FracLEACHMM*MMLeachEF*NtoN2O*kgtoGg,IF('Net zero activities &amp; levers'!$C$14="On",Constants!$H71*'Net zero Activity data'!AX13*Constants!$H89*FracLEACHMM*MMLeachEF*NtoN2O*kgtoGg,"ERROR"))</f>
        <v>5.8533173041619576E-4</v>
      </c>
      <c r="AF1209" s="101">
        <f>IF('Net zero activities &amp; levers'!$C$14="Off",Constants!$H71*'Activity data'!AY13*Constants!$H89*FracLEACHMM*MMLeachEF*NtoN2O*kgtoGg,IF('Net zero activities &amp; levers'!$C$14="On",Constants!$H71*'Net zero Activity data'!AY13*Constants!$H89*FracLEACHMM*MMLeachEF*NtoN2O*kgtoGg,"ERROR"))</f>
        <v>5.8671671252614034E-4</v>
      </c>
      <c r="AG1209" s="101">
        <f>IF('Net zero activities &amp; levers'!$C$14="Off",Constants!$H71*'Activity data'!AZ13*Constants!$H89*FracLEACHMM*MMLeachEF*NtoN2O*kgtoGg,IF('Net zero activities &amp; levers'!$C$14="On",Constants!$H71*'Net zero Activity data'!AZ13*Constants!$H89*FracLEACHMM*MMLeachEF*NtoN2O*kgtoGg,"ERROR"))</f>
        <v>5.8803501308500182E-4</v>
      </c>
      <c r="AH1209" s="101">
        <f>IF('Net zero activities &amp; levers'!$C$14="Off",Constants!$H71*'Activity data'!BA13*Constants!$H89*FracLEACHMM*MMLeachEF*NtoN2O*kgtoGg,IF('Net zero activities &amp; levers'!$C$14="On",Constants!$H71*'Net zero Activity data'!BA13*Constants!$H89*FracLEACHMM*MMLeachEF*NtoN2O*kgtoGg,"ERROR"))</f>
        <v>5.8227212874330822E-4</v>
      </c>
      <c r="AI1209" s="101">
        <f>IF('Net zero activities &amp; levers'!$C$14="Off",Constants!$H71*'Activity data'!BB13*Constants!$H89*FracLEACHMM*MMLeachEF*NtoN2O*kgtoGg,IF('Net zero activities &amp; levers'!$C$14="On",Constants!$H71*'Net zero Activity data'!BB13*Constants!$H89*FracLEACHMM*MMLeachEF*NtoN2O*kgtoGg,"ERROR"))</f>
        <v>5.8304320424414362E-4</v>
      </c>
      <c r="AJ1209" s="101">
        <f>IF('Net zero activities &amp; levers'!$C$14="Off",Constants!$H71*'Activity data'!BC13*Constants!$H89*FracLEACHMM*MMLeachEF*NtoN2O*kgtoGg,IF('Net zero activities &amp; levers'!$C$14="On",Constants!$H71*'Net zero Activity data'!BC13*Constants!$H89*FracLEACHMM*MMLeachEF*NtoN2O*kgtoGg,"ERROR"))</f>
        <v>5.8388341826515493E-4</v>
      </c>
      <c r="AK1209" s="101">
        <f>IF('Net zero activities &amp; levers'!$C$14="Off",Constants!$H71*'Activity data'!BD13*Constants!$H89*FracLEACHMM*MMLeachEF*NtoN2O*kgtoGg,IF('Net zero activities &amp; levers'!$C$14="On",Constants!$H71*'Net zero Activity data'!BD13*Constants!$H89*FracLEACHMM*MMLeachEF*NtoN2O*kgtoGg,"ERROR"))</f>
        <v>5.847899630335218E-4</v>
      </c>
      <c r="AL1209" s="101">
        <f>IF('Net zero activities &amp; levers'!$C$14="Off",Constants!$H71*'Activity data'!BE13*Constants!$H89*FracLEACHMM*MMLeachEF*NtoN2O*kgtoGg,IF('Net zero activities &amp; levers'!$C$14="On",Constants!$H71*'Net zero Activity data'!BE13*Constants!$H89*FracLEACHMM*MMLeachEF*NtoN2O*kgtoGg,"ERROR"))</f>
        <v>5.8576024856299858E-4</v>
      </c>
      <c r="AM1209" s="101">
        <f>IF('Net zero activities &amp; levers'!$C$14="Off",Constants!$H71*'Activity data'!BF13*Constants!$H89*FracLEACHMM*MMLeachEF*NtoN2O*kgtoGg,IF('Net zero activities &amp; levers'!$C$14="On",Constants!$H71*'Net zero Activity data'!BF13*Constants!$H89*FracLEACHMM*MMLeachEF*NtoN2O*kgtoGg,"ERROR"))</f>
        <v>5.8679188180125747E-4</v>
      </c>
      <c r="AN1209" s="101">
        <f>IF('Net zero activities &amp; levers'!$C$14="Off",Constants!$H71*'Activity data'!BG13*Constants!$H89*FracLEACHMM*MMLeachEF*NtoN2O*kgtoGg,IF('Net zero activities &amp; levers'!$C$14="On",Constants!$H71*'Net zero Activity data'!BG13*Constants!$H89*FracLEACHMM*MMLeachEF*NtoN2O*kgtoGg,"ERROR"))</f>
        <v>5.8723470872871001E-4</v>
      </c>
      <c r="AO1209" s="101">
        <f>IF('Net zero activities &amp; levers'!$C$14="Off",Constants!$H71*'Activity data'!BH13*Constants!$H89*FracLEACHMM*MMLeachEF*NtoN2O*kgtoGg,IF('Net zero activities &amp; levers'!$C$14="On",Constants!$H71*'Net zero Activity data'!BH13*Constants!$H89*FracLEACHMM*MMLeachEF*NtoN2O*kgtoGg,"ERROR"))</f>
        <v>5.8773280177020523E-4</v>
      </c>
      <c r="AP1209" s="101">
        <f>IF('Net zero activities &amp; levers'!$C$14="Off",Constants!$H71*'Activity data'!BI13*Constants!$H89*FracLEACHMM*MMLeachEF*NtoN2O*kgtoGg,IF('Net zero activities &amp; levers'!$C$14="On",Constants!$H71*'Net zero Activity data'!BI13*Constants!$H89*FracLEACHMM*MMLeachEF*NtoN2O*kgtoGg,"ERROR"))</f>
        <v>5.8828407739591119E-4</v>
      </c>
      <c r="AQ1209" s="101">
        <f>IF('Net zero activities &amp; levers'!$C$14="Off",Constants!$H71*'Activity data'!BJ13*Constants!$H89*FracLEACHMM*MMLeachEF*NtoN2O*kgtoGg,IF('Net zero activities &amp; levers'!$C$14="On",Constants!$H71*'Net zero Activity data'!BJ13*Constants!$H89*FracLEACHMM*MMLeachEF*NtoN2O*kgtoGg,"ERROR"))</f>
        <v>5.8888659501104234E-4</v>
      </c>
      <c r="AR1209" s="101">
        <f>IF('Net zero activities &amp; levers'!$C$14="Off",Constants!$H71*'Activity data'!BK13*Constants!$H89*FracLEACHMM*MMLeachEF*NtoN2O*kgtoGg,IF('Net zero activities &amp; levers'!$C$14="On",Constants!$H71*'Net zero Activity data'!BK13*Constants!$H89*FracLEACHMM*MMLeachEF*NtoN2O*kgtoGg,"ERROR"))</f>
        <v>5.895385447102022E-4</v>
      </c>
      <c r="AS1209" s="101">
        <f>IF('Net zero activities &amp; levers'!$C$14="Off",Constants!$H71*'Activity data'!BL13*Constants!$H89*FracLEACHMM*MMLeachEF*NtoN2O*kgtoGg,IF('Net zero activities &amp; levers'!$C$14="On",Constants!$H71*'Net zero Activity data'!BL13*Constants!$H89*FracLEACHMM*MMLeachEF*NtoN2O*kgtoGg,"ERROR"))</f>
        <v>5.8958940978755205E-4</v>
      </c>
      <c r="AT1209" s="101">
        <f>IF('Net zero activities &amp; levers'!$C$14="Off",Constants!$H71*'Activity data'!BM13*Constants!$H89*FracLEACHMM*MMLeachEF*NtoN2O*kgtoGg,IF('Net zero activities &amp; levers'!$C$14="On",Constants!$H71*'Net zero Activity data'!BM13*Constants!$H89*FracLEACHMM*MMLeachEF*NtoN2O*kgtoGg,"ERROR"))</f>
        <v>5.8968551081379366E-4</v>
      </c>
      <c r="AU1209" s="101">
        <f>IF('Net zero activities &amp; levers'!$C$14="Off",Constants!$H71*'Activity data'!BN13*Constants!$H89*FracLEACHMM*MMLeachEF*NtoN2O*kgtoGg,IF('Net zero activities &amp; levers'!$C$14="On",Constants!$H71*'Net zero Activity data'!BN13*Constants!$H89*FracLEACHMM*MMLeachEF*NtoN2O*kgtoGg,"ERROR"))</f>
        <v>5.8982522322727085E-4</v>
      </c>
      <c r="AV1209" s="101">
        <f>IF('Net zero activities &amp; levers'!$C$14="Off",Constants!$H71*'Activity data'!BO13*Constants!$H89*FracLEACHMM*MMLeachEF*NtoN2O*kgtoGg,IF('Net zero activities &amp; levers'!$C$14="On",Constants!$H71*'Net zero Activity data'!BO13*Constants!$H89*FracLEACHMM*MMLeachEF*NtoN2O*kgtoGg,"ERROR"))</f>
        <v>5.9000702190384238E-4</v>
      </c>
      <c r="AW1209" s="101">
        <f>IF('Net zero activities &amp; levers'!$C$14="Off",Constants!$H71*'Activity data'!BP13*Constants!$H89*FracLEACHMM*MMLeachEF*NtoN2O*kgtoGg,IF('Net zero activities &amp; levers'!$C$14="On",Constants!$H71*'Net zero Activity data'!BP13*Constants!$H89*FracLEACHMM*MMLeachEF*NtoN2O*kgtoGg,"ERROR"))</f>
        <v>5.9022947345323132E-4</v>
      </c>
      <c r="AY1209" s="85"/>
    </row>
    <row r="1210" spans="1:51" x14ac:dyDescent="0.25">
      <c r="A1210" s="102" t="str">
        <f t="shared" si="380"/>
        <v>CM MM Leaching</v>
      </c>
      <c r="B1210" s="102" t="s">
        <v>1323</v>
      </c>
      <c r="C1210" s="102" t="s">
        <v>1334</v>
      </c>
      <c r="D1210" t="s">
        <v>369</v>
      </c>
      <c r="E1210" t="s">
        <v>64</v>
      </c>
      <c r="F1210" t="s">
        <v>63</v>
      </c>
      <c r="G1210" t="s">
        <v>1171</v>
      </c>
      <c r="H1210" t="s">
        <v>1316</v>
      </c>
      <c r="I1210" t="s">
        <v>139</v>
      </c>
      <c r="J1210" t="s">
        <v>287</v>
      </c>
      <c r="K1210" s="101">
        <f>IF('Net zero activities &amp; levers'!$C$14="Off",Constants!$H72*'Activity data'!AD14*Constants!$H90*FracLEACHMM*MMLeachEF*NtoN2O*kgtoGg,IF('Net zero activities &amp; levers'!$C$14="On",Constants!$H72*'Net zero Activity data'!AD14*Constants!$H90*FracLEACHMM*MMLeachEF*NtoN2O*kgtoGg,"ERROR"))</f>
        <v>6.6990339537854613E-3</v>
      </c>
      <c r="L1210" s="101">
        <f>IF('Net zero activities &amp; levers'!$C$14="Off",Constants!$H72*'Activity data'!AE14*Constants!$H90*FracLEACHMM*MMLeachEF*NtoN2O*kgtoGg,IF('Net zero activities &amp; levers'!$C$14="On",Constants!$H72*'Net zero Activity data'!AE14*Constants!$H90*FracLEACHMM*MMLeachEF*NtoN2O*kgtoGg,"ERROR"))</f>
        <v>6.7165066211643688E-3</v>
      </c>
      <c r="M1210" s="101">
        <f>IF('Net zero activities &amp; levers'!$C$14="Off",Constants!$H72*'Activity data'!AF14*Constants!$H90*FracLEACHMM*MMLeachEF*NtoN2O*kgtoGg,IF('Net zero activities &amp; levers'!$C$14="On",Constants!$H72*'Net zero Activity data'!AF14*Constants!$H90*FracLEACHMM*MMLeachEF*NtoN2O*kgtoGg,"ERROR"))</f>
        <v>6.7397904981983149E-3</v>
      </c>
      <c r="N1210" s="101">
        <f>IF('Net zero activities &amp; levers'!$C$14="Off",Constants!$H72*'Activity data'!AG14*Constants!$H90*FracLEACHMM*MMLeachEF*NtoN2O*kgtoGg,IF('Net zero activities &amp; levers'!$C$14="On",Constants!$H72*'Net zero Activity data'!AG14*Constants!$H90*FracLEACHMM*MMLeachEF*NtoN2O*kgtoGg,"ERROR"))</f>
        <v>6.7683679385521006E-3</v>
      </c>
      <c r="O1210" s="101">
        <f>IF('Net zero activities &amp; levers'!$C$14="Off",Constants!$H72*'Activity data'!AH14*Constants!$H90*FracLEACHMM*MMLeachEF*NtoN2O*kgtoGg,IF('Net zero activities &amp; levers'!$C$14="On",Constants!$H72*'Net zero Activity data'!AH14*Constants!$H90*FracLEACHMM*MMLeachEF*NtoN2O*kgtoGg,"ERROR"))</f>
        <v>6.8025823492363574E-3</v>
      </c>
      <c r="P1210" s="101">
        <f>IF('Net zero activities &amp; levers'!$C$14="Off",Constants!$H72*'Activity data'!AI14*Constants!$H90*FracLEACHMM*MMLeachEF*NtoN2O*kgtoGg,IF('Net zero activities &amp; levers'!$C$14="On",Constants!$H72*'Net zero Activity data'!AI14*Constants!$H90*FracLEACHMM*MMLeachEF*NtoN2O*kgtoGg,"ERROR"))</f>
        <v>6.8425247789720067E-3</v>
      </c>
      <c r="Q1210" s="101">
        <f>IF('Net zero activities &amp; levers'!$C$14="Off",Constants!$H72*'Activity data'!AJ14*Constants!$H90*FracLEACHMM*MMLeachEF*NtoN2O*kgtoGg,IF('Net zero activities &amp; levers'!$C$14="On",Constants!$H72*'Net zero Activity data'!AJ14*Constants!$H90*FracLEACHMM*MMLeachEF*NtoN2O*kgtoGg,"ERROR"))</f>
        <v>6.8852305999729637E-3</v>
      </c>
      <c r="R1210" s="101">
        <f>IF('Net zero activities &amp; levers'!$C$14="Off",Constants!$H72*'Activity data'!AK14*Constants!$H90*FracLEACHMM*MMLeachEF*NtoN2O*kgtoGg,IF('Net zero activities &amp; levers'!$C$14="On",Constants!$H72*'Net zero Activity data'!AK14*Constants!$H90*FracLEACHMM*MMLeachEF*NtoN2O*kgtoGg,"ERROR"))</f>
        <v>6.9300891540096266E-3</v>
      </c>
      <c r="S1210" s="101">
        <f>IF('Net zero activities &amp; levers'!$C$14="Off",Constants!$H72*'Activity data'!AL14*Constants!$H90*FracLEACHMM*MMLeachEF*NtoN2O*kgtoGg,IF('Net zero activities &amp; levers'!$C$14="On",Constants!$H72*'Net zero Activity data'!AL14*Constants!$H90*FracLEACHMM*MMLeachEF*NtoN2O*kgtoGg,"ERROR"))</f>
        <v>6.9717607804068256E-3</v>
      </c>
      <c r="T1210" s="101">
        <f>IF('Net zero activities &amp; levers'!$C$14="Off",Constants!$H72*'Activity data'!AM14*Constants!$H90*FracLEACHMM*MMLeachEF*NtoN2O*kgtoGg,IF('Net zero activities &amp; levers'!$C$14="On",Constants!$H72*'Net zero Activity data'!AM14*Constants!$H90*FracLEACHMM*MMLeachEF*NtoN2O*kgtoGg,"ERROR"))</f>
        <v>6.9912893741281628E-3</v>
      </c>
      <c r="U1210" s="101">
        <f>IF('Net zero activities &amp; levers'!$C$14="Off",Constants!$H72*'Activity data'!AN14*Constants!$H90*FracLEACHMM*MMLeachEF*NtoN2O*kgtoGg,IF('Net zero activities &amp; levers'!$C$14="On",Constants!$H72*'Net zero Activity data'!AN14*Constants!$H90*FracLEACHMM*MMLeachEF*NtoN2O*kgtoGg,"ERROR"))</f>
        <v>7.0127035596413059E-3</v>
      </c>
      <c r="V1210" s="101">
        <f>IF('Net zero activities &amp; levers'!$C$14="Off",Constants!$H72*'Activity data'!AO14*Constants!$H90*FracLEACHMM*MMLeachEF*NtoN2O*kgtoGg,IF('Net zero activities &amp; levers'!$C$14="On",Constants!$H72*'Net zero Activity data'!AO14*Constants!$H90*FracLEACHMM*MMLeachEF*NtoN2O*kgtoGg,"ERROR"))</f>
        <v>7.0360305120884007E-3</v>
      </c>
      <c r="W1210" s="101">
        <f>IF('Net zero activities &amp; levers'!$C$14="Off",Constants!$H72*'Activity data'!AP14*Constants!$H90*FracLEACHMM*MMLeachEF*NtoN2O*kgtoGg,IF('Net zero activities &amp; levers'!$C$14="On",Constants!$H72*'Net zero Activity data'!AP14*Constants!$H90*FracLEACHMM*MMLeachEF*NtoN2O*kgtoGg,"ERROR"))</f>
        <v>7.0614004083267975E-3</v>
      </c>
      <c r="X1210" s="101">
        <f>IF('Net zero activities &amp; levers'!$C$14="Off",Constants!$H72*'Activity data'!AQ14*Constants!$H90*FracLEACHMM*MMLeachEF*NtoN2O*kgtoGg,IF('Net zero activities &amp; levers'!$C$14="On",Constants!$H72*'Net zero Activity data'!AQ14*Constants!$H90*FracLEACHMM*MMLeachEF*NtoN2O*kgtoGg,"ERROR"))</f>
        <v>7.0884716718967464E-3</v>
      </c>
      <c r="Y1210" s="101">
        <f>IF('Net zero activities &amp; levers'!$C$14="Off",Constants!$H72*'Activity data'!AR14*Constants!$H90*FracLEACHMM*MMLeachEF*NtoN2O*kgtoGg,IF('Net zero activities &amp; levers'!$C$14="On",Constants!$H72*'Net zero Activity data'!AR14*Constants!$H90*FracLEACHMM*MMLeachEF*NtoN2O*kgtoGg,"ERROR"))</f>
        <v>7.1055832829558596E-3</v>
      </c>
      <c r="Z1210" s="101">
        <f>IF('Net zero activities &amp; levers'!$C$14="Off",Constants!$H72*'Activity data'!AS14*Constants!$H90*FracLEACHMM*MMLeachEF*NtoN2O*kgtoGg,IF('Net zero activities &amp; levers'!$C$14="On",Constants!$H72*'Net zero Activity data'!AS14*Constants!$H90*FracLEACHMM*MMLeachEF*NtoN2O*kgtoGg,"ERROR"))</f>
        <v>7.1240971759755339E-3</v>
      </c>
      <c r="AA1210" s="101">
        <f>IF('Net zero activities &amp; levers'!$C$14="Off",Constants!$H72*'Activity data'!AT14*Constants!$H90*FracLEACHMM*MMLeachEF*NtoN2O*kgtoGg,IF('Net zero activities &amp; levers'!$C$14="On",Constants!$H72*'Net zero Activity data'!AT14*Constants!$H90*FracLEACHMM*MMLeachEF*NtoN2O*kgtoGg,"ERROR"))</f>
        <v>7.1440899441312785E-3</v>
      </c>
      <c r="AB1210" s="101">
        <f>IF('Net zero activities &amp; levers'!$C$14="Off",Constants!$H72*'Activity data'!AU14*Constants!$H90*FracLEACHMM*MMLeachEF*NtoN2O*kgtoGg,IF('Net zero activities &amp; levers'!$C$14="On",Constants!$H72*'Net zero Activity data'!AU14*Constants!$H90*FracLEACHMM*MMLeachEF*NtoN2O*kgtoGg,"ERROR"))</f>
        <v>7.1652863466602334E-3</v>
      </c>
      <c r="AC1210" s="101">
        <f>IF('Net zero activities &amp; levers'!$C$14="Off",Constants!$H72*'Activity data'!AV14*Constants!$H90*FracLEACHMM*MMLeachEF*NtoN2O*kgtoGg,IF('Net zero activities &amp; levers'!$C$14="On",Constants!$H72*'Net zero Activity data'!AV14*Constants!$H90*FracLEACHMM*MMLeachEF*NtoN2O*kgtoGg,"ERROR"))</f>
        <v>7.1877711715085417E-3</v>
      </c>
      <c r="AD1210" s="101">
        <f>IF('Net zero activities &amp; levers'!$C$14="Off",Constants!$H72*'Activity data'!AW14*Constants!$H90*FracLEACHMM*MMLeachEF*NtoN2O*kgtoGg,IF('Net zero activities &amp; levers'!$C$14="On",Constants!$H72*'Net zero Activity data'!AW14*Constants!$H90*FracLEACHMM*MMLeachEF*NtoN2O*kgtoGg,"ERROR"))</f>
        <v>7.2024972388008085E-3</v>
      </c>
      <c r="AE1210" s="101">
        <f>IF('Net zero activities &amp; levers'!$C$14="Off",Constants!$H72*'Activity data'!AX14*Constants!$H90*FracLEACHMM*MMLeachEF*NtoN2O*kgtoGg,IF('Net zero activities &amp; levers'!$C$14="On",Constants!$H72*'Net zero Activity data'!AX14*Constants!$H90*FracLEACHMM*MMLeachEF*NtoN2O*kgtoGg,"ERROR"))</f>
        <v>7.2184677643167576E-3</v>
      </c>
      <c r="AF1210" s="101">
        <f>IF('Net zero activities &amp; levers'!$C$14="Off",Constants!$H72*'Activity data'!AY14*Constants!$H90*FracLEACHMM*MMLeachEF*NtoN2O*kgtoGg,IF('Net zero activities &amp; levers'!$C$14="On",Constants!$H72*'Net zero Activity data'!AY14*Constants!$H90*FracLEACHMM*MMLeachEF*NtoN2O*kgtoGg,"ERROR"))</f>
        <v>7.2355477348621461E-3</v>
      </c>
      <c r="AG1210" s="101">
        <f>IF('Net zero activities &amp; levers'!$C$14="Off",Constants!$H72*'Activity data'!AZ14*Constants!$H90*FracLEACHMM*MMLeachEF*NtoN2O*kgtoGg,IF('Net zero activities &amp; levers'!$C$14="On",Constants!$H72*'Net zero Activity data'!AZ14*Constants!$H90*FracLEACHMM*MMLeachEF*NtoN2O*kgtoGg,"ERROR"))</f>
        <v>7.251805370649388E-3</v>
      </c>
      <c r="AH1210" s="101">
        <f>IF('Net zero activities &amp; levers'!$C$14="Off",Constants!$H72*'Activity data'!BA14*Constants!$H90*FracLEACHMM*MMLeachEF*NtoN2O*kgtoGg,IF('Net zero activities &amp; levers'!$C$14="On",Constants!$H72*'Net zero Activity data'!BA14*Constants!$H90*FracLEACHMM*MMLeachEF*NtoN2O*kgtoGg,"ERROR"))</f>
        <v>7.1807359365347809E-3</v>
      </c>
      <c r="AI1210" s="101">
        <f>IF('Net zero activities &amp; levers'!$C$14="Off",Constants!$H72*'Activity data'!BB14*Constants!$H90*FracLEACHMM*MMLeachEF*NtoN2O*kgtoGg,IF('Net zero activities &amp; levers'!$C$14="On",Constants!$H72*'Net zero Activity data'!BB14*Constants!$H90*FracLEACHMM*MMLeachEF*NtoN2O*kgtoGg,"ERROR"))</f>
        <v>7.190245046253943E-3</v>
      </c>
      <c r="AJ1210" s="101">
        <f>IF('Net zero activities &amp; levers'!$C$14="Off",Constants!$H72*'Activity data'!BC14*Constants!$H90*FracLEACHMM*MMLeachEF*NtoN2O*kgtoGg,IF('Net zero activities &amp; levers'!$C$14="On",Constants!$H72*'Net zero Activity data'!BC14*Constants!$H90*FracLEACHMM*MMLeachEF*NtoN2O*kgtoGg,"ERROR"))</f>
        <v>7.2006067907325584E-3</v>
      </c>
      <c r="AK1210" s="101">
        <f>IF('Net zero activities &amp; levers'!$C$14="Off",Constants!$H72*'Activity data'!BD14*Constants!$H90*FracLEACHMM*MMLeachEF*NtoN2O*kgtoGg,IF('Net zero activities &amp; levers'!$C$14="On",Constants!$H72*'Net zero Activity data'!BD14*Constants!$H90*FracLEACHMM*MMLeachEF*NtoN2O*kgtoGg,"ERROR"))</f>
        <v>7.2117865437637393E-3</v>
      </c>
      <c r="AL1210" s="101">
        <f>IF('Net zero activities &amp; levers'!$C$14="Off",Constants!$H72*'Activity data'!BE14*Constants!$H90*FracLEACHMM*MMLeachEF*NtoN2O*kgtoGg,IF('Net zero activities &amp; levers'!$C$14="On",Constants!$H72*'Net zero Activity data'!BE14*Constants!$H90*FracLEACHMM*MMLeachEF*NtoN2O*kgtoGg,"ERROR"))</f>
        <v>7.2237523649430046E-3</v>
      </c>
      <c r="AM1210" s="101">
        <f>IF('Net zero activities &amp; levers'!$C$14="Off",Constants!$H72*'Activity data'!BF14*Constants!$H90*FracLEACHMM*MMLeachEF*NtoN2O*kgtoGg,IF('Net zero activities &amp; levers'!$C$14="On",Constants!$H72*'Net zero Activity data'!BF14*Constants!$H90*FracLEACHMM*MMLeachEF*NtoN2O*kgtoGg,"ERROR"))</f>
        <v>7.2364747425077329E-3</v>
      </c>
      <c r="AN1210" s="101">
        <f>IF('Net zero activities &amp; levers'!$C$14="Off",Constants!$H72*'Activity data'!BG14*Constants!$H90*FracLEACHMM*MMLeachEF*NtoN2O*kgtoGg,IF('Net zero activities &amp; levers'!$C$14="On",Constants!$H72*'Net zero Activity data'!BG14*Constants!$H90*FracLEACHMM*MMLeachEF*NtoN2O*kgtoGg,"ERROR"))</f>
        <v>7.2419358028516061E-3</v>
      </c>
      <c r="AO1210" s="101">
        <f>IF('Net zero activities &amp; levers'!$C$14="Off",Constants!$H72*'Activity data'!BH14*Constants!$H90*FracLEACHMM*MMLeachEF*NtoN2O*kgtoGg,IF('Net zero activities &amp; levers'!$C$14="On",Constants!$H72*'Net zero Activity data'!BH14*Constants!$H90*FracLEACHMM*MMLeachEF*NtoN2O*kgtoGg,"ERROR"))</f>
        <v>7.2480784197247895E-3</v>
      </c>
      <c r="AP1210" s="101">
        <f>IF('Net zero activities &amp; levers'!$C$14="Off",Constants!$H72*'Activity data'!BI14*Constants!$H90*FracLEACHMM*MMLeachEF*NtoN2O*kgtoGg,IF('Net zero activities &amp; levers'!$C$14="On",Constants!$H72*'Net zero Activity data'!BI14*Constants!$H90*FracLEACHMM*MMLeachEF*NtoN2O*kgtoGg,"ERROR"))</f>
        <v>7.2548768984790225E-3</v>
      </c>
      <c r="AQ1210" s="101">
        <f>IF('Net zero activities &amp; levers'!$C$14="Off",Constants!$H72*'Activity data'!BJ14*Constants!$H90*FracLEACHMM*MMLeachEF*NtoN2O*kgtoGg,IF('Net zero activities &amp; levers'!$C$14="On",Constants!$H72*'Net zero Activity data'!BJ14*Constants!$H90*FracLEACHMM*MMLeachEF*NtoN2O*kgtoGg,"ERROR"))</f>
        <v>7.2623073071793384E-3</v>
      </c>
      <c r="AR1210" s="101">
        <f>IF('Net zero activities &amp; levers'!$C$14="Off",Constants!$H72*'Activity data'!BK14*Constants!$H90*FracLEACHMM*MMLeachEF*NtoN2O*kgtoGg,IF('Net zero activities &amp; levers'!$C$14="On",Constants!$H72*'Net zero Activity data'!BK14*Constants!$H90*FracLEACHMM*MMLeachEF*NtoN2O*kgtoGg,"ERROR"))</f>
        <v>7.2703473255873539E-3</v>
      </c>
      <c r="AS1210" s="101">
        <f>IF('Net zero activities &amp; levers'!$C$14="Off",Constants!$H72*'Activity data'!BL14*Constants!$H90*FracLEACHMM*MMLeachEF*NtoN2O*kgtoGg,IF('Net zero activities &amp; levers'!$C$14="On",Constants!$H72*'Net zero Activity data'!BL14*Constants!$H90*FracLEACHMM*MMLeachEF*NtoN2O*kgtoGg,"ERROR"))</f>
        <v>7.2709746073527197E-3</v>
      </c>
      <c r="AT1210" s="101">
        <f>IF('Net zero activities &amp; levers'!$C$14="Off",Constants!$H72*'Activity data'!BM14*Constants!$H90*FracLEACHMM*MMLeachEF*NtoN2O*kgtoGg,IF('Net zero activities &amp; levers'!$C$14="On",Constants!$H72*'Net zero Activity data'!BM14*Constants!$H90*FracLEACHMM*MMLeachEF*NtoN2O*kgtoGg,"ERROR"))</f>
        <v>7.272159750962735E-3</v>
      </c>
      <c r="AU1210" s="101">
        <f>IF('Net zero activities &amp; levers'!$C$14="Off",Constants!$H72*'Activity data'!BN14*Constants!$H90*FracLEACHMM*MMLeachEF*NtoN2O*kgtoGg,IF('Net zero activities &amp; levers'!$C$14="On",Constants!$H72*'Net zero Activity data'!BN14*Constants!$H90*FracLEACHMM*MMLeachEF*NtoN2O*kgtoGg,"ERROR"))</f>
        <v>7.2738827218876909E-3</v>
      </c>
      <c r="AV1210" s="101">
        <f>IF('Net zero activities &amp; levers'!$C$14="Off",Constants!$H72*'Activity data'!BO14*Constants!$H90*FracLEACHMM*MMLeachEF*NtoN2O*kgtoGg,IF('Net zero activities &amp; levers'!$C$14="On",Constants!$H72*'Net zero Activity data'!BO14*Constants!$H90*FracLEACHMM*MMLeachEF*NtoN2O*kgtoGg,"ERROR"))</f>
        <v>7.2761247118879498E-3</v>
      </c>
      <c r="AW1210" s="101">
        <f>IF('Net zero activities &amp; levers'!$C$14="Off",Constants!$H72*'Activity data'!BP14*Constants!$H90*FracLEACHMM*MMLeachEF*NtoN2O*kgtoGg,IF('Net zero activities &amp; levers'!$C$14="On",Constants!$H72*'Net zero Activity data'!BP14*Constants!$H90*FracLEACHMM*MMLeachEF*NtoN2O*kgtoGg,"ERROR"))</f>
        <v>7.2788680440104758E-3</v>
      </c>
      <c r="AY1210" s="85"/>
    </row>
    <row r="1211" spans="1:51" x14ac:dyDescent="0.25">
      <c r="A1211" s="102" t="str">
        <f t="shared" si="380"/>
        <v>CM MM Leaching</v>
      </c>
      <c r="B1211" s="102" t="s">
        <v>1323</v>
      </c>
      <c r="C1211" s="102" t="s">
        <v>1334</v>
      </c>
      <c r="D1211" t="s">
        <v>369</v>
      </c>
      <c r="E1211" t="s">
        <v>64</v>
      </c>
      <c r="F1211" t="s">
        <v>63</v>
      </c>
      <c r="G1211" t="s">
        <v>1173</v>
      </c>
      <c r="H1211" t="s">
        <v>1317</v>
      </c>
      <c r="I1211" t="s">
        <v>139</v>
      </c>
      <c r="J1211" t="s">
        <v>287</v>
      </c>
      <c r="K1211" s="101">
        <f>IF('Net zero activities &amp; levers'!$C$14="Off",Constants!$H73*'Activity data'!AD15*Constants!$H91*FracLEACHMM*MMLeachEF*NtoN2O*kgtoGg,IF('Net zero activities &amp; levers'!$C$14="On",Constants!$H73*'Net zero Activity data'!AD15*Constants!$H91*FracLEACHMM*MMLeachEF*NtoN2O*kgtoGg,"ERROR"))</f>
        <v>0</v>
      </c>
      <c r="L1211" s="101">
        <f>IF('Net zero activities &amp; levers'!$C$14="Off",Constants!$H73*'Activity data'!AE15*Constants!$H91*FracLEACHMM*MMLeachEF*NtoN2O*kgtoGg,IF('Net zero activities &amp; levers'!$C$14="On",Constants!$H73*'Net zero Activity data'!AE15*Constants!$H91*FracLEACHMM*MMLeachEF*NtoN2O*kgtoGg,"ERROR"))</f>
        <v>0</v>
      </c>
      <c r="M1211" s="101">
        <f>IF('Net zero activities &amp; levers'!$C$14="Off",Constants!$H73*'Activity data'!AF15*Constants!$H91*FracLEACHMM*MMLeachEF*NtoN2O*kgtoGg,IF('Net zero activities &amp; levers'!$C$14="On",Constants!$H73*'Net zero Activity data'!AF15*Constants!$H91*FracLEACHMM*MMLeachEF*NtoN2O*kgtoGg,"ERROR"))</f>
        <v>0</v>
      </c>
      <c r="N1211" s="101">
        <f>IF('Net zero activities &amp; levers'!$C$14="Off",Constants!$H73*'Activity data'!AG15*Constants!$H91*FracLEACHMM*MMLeachEF*NtoN2O*kgtoGg,IF('Net zero activities &amp; levers'!$C$14="On",Constants!$H73*'Net zero Activity data'!AG15*Constants!$H91*FracLEACHMM*MMLeachEF*NtoN2O*kgtoGg,"ERROR"))</f>
        <v>0</v>
      </c>
      <c r="O1211" s="101">
        <f>IF('Net zero activities &amp; levers'!$C$14="Off",Constants!$H73*'Activity data'!AH15*Constants!$H91*FracLEACHMM*MMLeachEF*NtoN2O*kgtoGg,IF('Net zero activities &amp; levers'!$C$14="On",Constants!$H73*'Net zero Activity data'!AH15*Constants!$H91*FracLEACHMM*MMLeachEF*NtoN2O*kgtoGg,"ERROR"))</f>
        <v>0</v>
      </c>
      <c r="P1211" s="101">
        <f>IF('Net zero activities &amp; levers'!$C$14="Off",Constants!$H73*'Activity data'!AI15*Constants!$H91*FracLEACHMM*MMLeachEF*NtoN2O*kgtoGg,IF('Net zero activities &amp; levers'!$C$14="On",Constants!$H73*'Net zero Activity data'!AI15*Constants!$H91*FracLEACHMM*MMLeachEF*NtoN2O*kgtoGg,"ERROR"))</f>
        <v>0</v>
      </c>
      <c r="Q1211" s="101">
        <f>IF('Net zero activities &amp; levers'!$C$14="Off",Constants!$H73*'Activity data'!AJ15*Constants!$H91*FracLEACHMM*MMLeachEF*NtoN2O*kgtoGg,IF('Net zero activities &amp; levers'!$C$14="On",Constants!$H73*'Net zero Activity data'!AJ15*Constants!$H91*FracLEACHMM*MMLeachEF*NtoN2O*kgtoGg,"ERROR"))</f>
        <v>0</v>
      </c>
      <c r="R1211" s="101">
        <f>IF('Net zero activities &amp; levers'!$C$14="Off",Constants!$H73*'Activity data'!AK15*Constants!$H91*FracLEACHMM*MMLeachEF*NtoN2O*kgtoGg,IF('Net zero activities &amp; levers'!$C$14="On",Constants!$H73*'Net zero Activity data'!AK15*Constants!$H91*FracLEACHMM*MMLeachEF*NtoN2O*kgtoGg,"ERROR"))</f>
        <v>0</v>
      </c>
      <c r="S1211" s="101">
        <f>IF('Net zero activities &amp; levers'!$C$14="Off",Constants!$H73*'Activity data'!AL15*Constants!$H91*FracLEACHMM*MMLeachEF*NtoN2O*kgtoGg,IF('Net zero activities &amp; levers'!$C$14="On",Constants!$H73*'Net zero Activity data'!AL15*Constants!$H91*FracLEACHMM*MMLeachEF*NtoN2O*kgtoGg,"ERROR"))</f>
        <v>0</v>
      </c>
      <c r="T1211" s="101">
        <f>IF('Net zero activities &amp; levers'!$C$14="Off",Constants!$H73*'Activity data'!AM15*Constants!$H91*FracLEACHMM*MMLeachEF*NtoN2O*kgtoGg,IF('Net zero activities &amp; levers'!$C$14="On",Constants!$H73*'Net zero Activity data'!AM15*Constants!$H91*FracLEACHMM*MMLeachEF*NtoN2O*kgtoGg,"ERROR"))</f>
        <v>0</v>
      </c>
      <c r="U1211" s="101">
        <f>IF('Net zero activities &amp; levers'!$C$14="Off",Constants!$H73*'Activity data'!AN15*Constants!$H91*FracLEACHMM*MMLeachEF*NtoN2O*kgtoGg,IF('Net zero activities &amp; levers'!$C$14="On",Constants!$H73*'Net zero Activity data'!AN15*Constants!$H91*FracLEACHMM*MMLeachEF*NtoN2O*kgtoGg,"ERROR"))</f>
        <v>0</v>
      </c>
      <c r="V1211" s="101">
        <f>IF('Net zero activities &amp; levers'!$C$14="Off",Constants!$H73*'Activity data'!AO15*Constants!$H91*FracLEACHMM*MMLeachEF*NtoN2O*kgtoGg,IF('Net zero activities &amp; levers'!$C$14="On",Constants!$H73*'Net zero Activity data'!AO15*Constants!$H91*FracLEACHMM*MMLeachEF*NtoN2O*kgtoGg,"ERROR"))</f>
        <v>0</v>
      </c>
      <c r="W1211" s="101">
        <f>IF('Net zero activities &amp; levers'!$C$14="Off",Constants!$H73*'Activity data'!AP15*Constants!$H91*FracLEACHMM*MMLeachEF*NtoN2O*kgtoGg,IF('Net zero activities &amp; levers'!$C$14="On",Constants!$H73*'Net zero Activity data'!AP15*Constants!$H91*FracLEACHMM*MMLeachEF*NtoN2O*kgtoGg,"ERROR"))</f>
        <v>0</v>
      </c>
      <c r="X1211" s="101">
        <f>IF('Net zero activities &amp; levers'!$C$14="Off",Constants!$H73*'Activity data'!AQ15*Constants!$H91*FracLEACHMM*MMLeachEF*NtoN2O*kgtoGg,IF('Net zero activities &amp; levers'!$C$14="On",Constants!$H73*'Net zero Activity data'!AQ15*Constants!$H91*FracLEACHMM*MMLeachEF*NtoN2O*kgtoGg,"ERROR"))</f>
        <v>0</v>
      </c>
      <c r="Y1211" s="101">
        <f>IF('Net zero activities &amp; levers'!$C$14="Off",Constants!$H73*'Activity data'!AR15*Constants!$H91*FracLEACHMM*MMLeachEF*NtoN2O*kgtoGg,IF('Net zero activities &amp; levers'!$C$14="On",Constants!$H73*'Net zero Activity data'!AR15*Constants!$H91*FracLEACHMM*MMLeachEF*NtoN2O*kgtoGg,"ERROR"))</f>
        <v>0</v>
      </c>
      <c r="Z1211" s="101">
        <f>IF('Net zero activities &amp; levers'!$C$14="Off",Constants!$H73*'Activity data'!AS15*Constants!$H91*FracLEACHMM*MMLeachEF*NtoN2O*kgtoGg,IF('Net zero activities &amp; levers'!$C$14="On",Constants!$H73*'Net zero Activity data'!AS15*Constants!$H91*FracLEACHMM*MMLeachEF*NtoN2O*kgtoGg,"ERROR"))</f>
        <v>0</v>
      </c>
      <c r="AA1211" s="101">
        <f>IF('Net zero activities &amp; levers'!$C$14="Off",Constants!$H73*'Activity data'!AT15*Constants!$H91*FracLEACHMM*MMLeachEF*NtoN2O*kgtoGg,IF('Net zero activities &amp; levers'!$C$14="On",Constants!$H73*'Net zero Activity data'!AT15*Constants!$H91*FracLEACHMM*MMLeachEF*NtoN2O*kgtoGg,"ERROR"))</f>
        <v>0</v>
      </c>
      <c r="AB1211" s="101">
        <f>IF('Net zero activities &amp; levers'!$C$14="Off",Constants!$H73*'Activity data'!AU15*Constants!$H91*FracLEACHMM*MMLeachEF*NtoN2O*kgtoGg,IF('Net zero activities &amp; levers'!$C$14="On",Constants!$H73*'Net zero Activity data'!AU15*Constants!$H91*FracLEACHMM*MMLeachEF*NtoN2O*kgtoGg,"ERROR"))</f>
        <v>0</v>
      </c>
      <c r="AC1211" s="101">
        <f>IF('Net zero activities &amp; levers'!$C$14="Off",Constants!$H73*'Activity data'!AV15*Constants!$H91*FracLEACHMM*MMLeachEF*NtoN2O*kgtoGg,IF('Net zero activities &amp; levers'!$C$14="On",Constants!$H73*'Net zero Activity data'!AV15*Constants!$H91*FracLEACHMM*MMLeachEF*NtoN2O*kgtoGg,"ERROR"))</f>
        <v>0</v>
      </c>
      <c r="AD1211" s="101">
        <f>IF('Net zero activities &amp; levers'!$C$14="Off",Constants!$H73*'Activity data'!AW15*Constants!$H91*FracLEACHMM*MMLeachEF*NtoN2O*kgtoGg,IF('Net zero activities &amp; levers'!$C$14="On",Constants!$H73*'Net zero Activity data'!AW15*Constants!$H91*FracLEACHMM*MMLeachEF*NtoN2O*kgtoGg,"ERROR"))</f>
        <v>0</v>
      </c>
      <c r="AE1211" s="101">
        <f>IF('Net zero activities &amp; levers'!$C$14="Off",Constants!$H73*'Activity data'!AX15*Constants!$H91*FracLEACHMM*MMLeachEF*NtoN2O*kgtoGg,IF('Net zero activities &amp; levers'!$C$14="On",Constants!$H73*'Net zero Activity data'!AX15*Constants!$H91*FracLEACHMM*MMLeachEF*NtoN2O*kgtoGg,"ERROR"))</f>
        <v>0</v>
      </c>
      <c r="AF1211" s="101">
        <f>IF('Net zero activities &amp; levers'!$C$14="Off",Constants!$H73*'Activity data'!AY15*Constants!$H91*FracLEACHMM*MMLeachEF*NtoN2O*kgtoGg,IF('Net zero activities &amp; levers'!$C$14="On",Constants!$H73*'Net zero Activity data'!AY15*Constants!$H91*FracLEACHMM*MMLeachEF*NtoN2O*kgtoGg,"ERROR"))</f>
        <v>0</v>
      </c>
      <c r="AG1211" s="101">
        <f>IF('Net zero activities &amp; levers'!$C$14="Off",Constants!$H73*'Activity data'!AZ15*Constants!$H91*FracLEACHMM*MMLeachEF*NtoN2O*kgtoGg,IF('Net zero activities &amp; levers'!$C$14="On",Constants!$H73*'Net zero Activity data'!AZ15*Constants!$H91*FracLEACHMM*MMLeachEF*NtoN2O*kgtoGg,"ERROR"))</f>
        <v>0</v>
      </c>
      <c r="AH1211" s="101">
        <f>IF('Net zero activities &amp; levers'!$C$14="Off",Constants!$H73*'Activity data'!BA15*Constants!$H91*FracLEACHMM*MMLeachEF*NtoN2O*kgtoGg,IF('Net zero activities &amp; levers'!$C$14="On",Constants!$H73*'Net zero Activity data'!BA15*Constants!$H91*FracLEACHMM*MMLeachEF*NtoN2O*kgtoGg,"ERROR"))</f>
        <v>0</v>
      </c>
      <c r="AI1211" s="101">
        <f>IF('Net zero activities &amp; levers'!$C$14="Off",Constants!$H73*'Activity data'!BB15*Constants!$H91*FracLEACHMM*MMLeachEF*NtoN2O*kgtoGg,IF('Net zero activities &amp; levers'!$C$14="On",Constants!$H73*'Net zero Activity data'!BB15*Constants!$H91*FracLEACHMM*MMLeachEF*NtoN2O*kgtoGg,"ERROR"))</f>
        <v>0</v>
      </c>
      <c r="AJ1211" s="101">
        <f>IF('Net zero activities &amp; levers'!$C$14="Off",Constants!$H73*'Activity data'!BC15*Constants!$H91*FracLEACHMM*MMLeachEF*NtoN2O*kgtoGg,IF('Net zero activities &amp; levers'!$C$14="On",Constants!$H73*'Net zero Activity data'!BC15*Constants!$H91*FracLEACHMM*MMLeachEF*NtoN2O*kgtoGg,"ERROR"))</f>
        <v>0</v>
      </c>
      <c r="AK1211" s="101">
        <f>IF('Net zero activities &amp; levers'!$C$14="Off",Constants!$H73*'Activity data'!BD15*Constants!$H91*FracLEACHMM*MMLeachEF*NtoN2O*kgtoGg,IF('Net zero activities &amp; levers'!$C$14="On",Constants!$H73*'Net zero Activity data'!BD15*Constants!$H91*FracLEACHMM*MMLeachEF*NtoN2O*kgtoGg,"ERROR"))</f>
        <v>0</v>
      </c>
      <c r="AL1211" s="101">
        <f>IF('Net zero activities &amp; levers'!$C$14="Off",Constants!$H73*'Activity data'!BE15*Constants!$H91*FracLEACHMM*MMLeachEF*NtoN2O*kgtoGg,IF('Net zero activities &amp; levers'!$C$14="On",Constants!$H73*'Net zero Activity data'!BE15*Constants!$H91*FracLEACHMM*MMLeachEF*NtoN2O*kgtoGg,"ERROR"))</f>
        <v>0</v>
      </c>
      <c r="AM1211" s="101">
        <f>IF('Net zero activities &amp; levers'!$C$14="Off",Constants!$H73*'Activity data'!BF15*Constants!$H91*FracLEACHMM*MMLeachEF*NtoN2O*kgtoGg,IF('Net zero activities &amp; levers'!$C$14="On",Constants!$H73*'Net zero Activity data'!BF15*Constants!$H91*FracLEACHMM*MMLeachEF*NtoN2O*kgtoGg,"ERROR"))</f>
        <v>0</v>
      </c>
      <c r="AN1211" s="101">
        <f>IF('Net zero activities &amp; levers'!$C$14="Off",Constants!$H73*'Activity data'!BG15*Constants!$H91*FracLEACHMM*MMLeachEF*NtoN2O*kgtoGg,IF('Net zero activities &amp; levers'!$C$14="On",Constants!$H73*'Net zero Activity data'!BG15*Constants!$H91*FracLEACHMM*MMLeachEF*NtoN2O*kgtoGg,"ERROR"))</f>
        <v>0</v>
      </c>
      <c r="AO1211" s="101">
        <f>IF('Net zero activities &amp; levers'!$C$14="Off",Constants!$H73*'Activity data'!BH15*Constants!$H91*FracLEACHMM*MMLeachEF*NtoN2O*kgtoGg,IF('Net zero activities &amp; levers'!$C$14="On",Constants!$H73*'Net zero Activity data'!BH15*Constants!$H91*FracLEACHMM*MMLeachEF*NtoN2O*kgtoGg,"ERROR"))</f>
        <v>0</v>
      </c>
      <c r="AP1211" s="101">
        <f>IF('Net zero activities &amp; levers'!$C$14="Off",Constants!$H73*'Activity data'!BI15*Constants!$H91*FracLEACHMM*MMLeachEF*NtoN2O*kgtoGg,IF('Net zero activities &amp; levers'!$C$14="On",Constants!$H73*'Net zero Activity data'!BI15*Constants!$H91*FracLEACHMM*MMLeachEF*NtoN2O*kgtoGg,"ERROR"))</f>
        <v>0</v>
      </c>
      <c r="AQ1211" s="101">
        <f>IF('Net zero activities &amp; levers'!$C$14="Off",Constants!$H73*'Activity data'!BJ15*Constants!$H91*FracLEACHMM*MMLeachEF*NtoN2O*kgtoGg,IF('Net zero activities &amp; levers'!$C$14="On",Constants!$H73*'Net zero Activity data'!BJ15*Constants!$H91*FracLEACHMM*MMLeachEF*NtoN2O*kgtoGg,"ERROR"))</f>
        <v>0</v>
      </c>
      <c r="AR1211" s="101">
        <f>IF('Net zero activities &amp; levers'!$C$14="Off",Constants!$H73*'Activity data'!BK15*Constants!$H91*FracLEACHMM*MMLeachEF*NtoN2O*kgtoGg,IF('Net zero activities &amp; levers'!$C$14="On",Constants!$H73*'Net zero Activity data'!BK15*Constants!$H91*FracLEACHMM*MMLeachEF*NtoN2O*kgtoGg,"ERROR"))</f>
        <v>0</v>
      </c>
      <c r="AS1211" s="101">
        <f>IF('Net zero activities &amp; levers'!$C$14="Off",Constants!$H73*'Activity data'!BL15*Constants!$H91*FracLEACHMM*MMLeachEF*NtoN2O*kgtoGg,IF('Net zero activities &amp; levers'!$C$14="On",Constants!$H73*'Net zero Activity data'!BL15*Constants!$H91*FracLEACHMM*MMLeachEF*NtoN2O*kgtoGg,"ERROR"))</f>
        <v>0</v>
      </c>
      <c r="AT1211" s="101">
        <f>IF('Net zero activities &amp; levers'!$C$14="Off",Constants!$H73*'Activity data'!BM15*Constants!$H91*FracLEACHMM*MMLeachEF*NtoN2O*kgtoGg,IF('Net zero activities &amp; levers'!$C$14="On",Constants!$H73*'Net zero Activity data'!BM15*Constants!$H91*FracLEACHMM*MMLeachEF*NtoN2O*kgtoGg,"ERROR"))</f>
        <v>0</v>
      </c>
      <c r="AU1211" s="101">
        <f>IF('Net zero activities &amp; levers'!$C$14="Off",Constants!$H73*'Activity data'!BN15*Constants!$H91*FracLEACHMM*MMLeachEF*NtoN2O*kgtoGg,IF('Net zero activities &amp; levers'!$C$14="On",Constants!$H73*'Net zero Activity data'!BN15*Constants!$H91*FracLEACHMM*MMLeachEF*NtoN2O*kgtoGg,"ERROR"))</f>
        <v>0</v>
      </c>
      <c r="AV1211" s="101">
        <f>IF('Net zero activities &amp; levers'!$C$14="Off",Constants!$H73*'Activity data'!BO15*Constants!$H91*FracLEACHMM*MMLeachEF*NtoN2O*kgtoGg,IF('Net zero activities &amp; levers'!$C$14="On",Constants!$H73*'Net zero Activity data'!BO15*Constants!$H91*FracLEACHMM*MMLeachEF*NtoN2O*kgtoGg,"ERROR"))</f>
        <v>0</v>
      </c>
      <c r="AW1211" s="101">
        <f>IF('Net zero activities &amp; levers'!$C$14="Off",Constants!$H73*'Activity data'!BP15*Constants!$H91*FracLEACHMM*MMLeachEF*NtoN2O*kgtoGg,IF('Net zero activities &amp; levers'!$C$14="On",Constants!$H73*'Net zero Activity data'!BP15*Constants!$H91*FracLEACHMM*MMLeachEF*NtoN2O*kgtoGg,"ERROR"))</f>
        <v>0</v>
      </c>
      <c r="AY1211" s="85"/>
    </row>
    <row r="1212" spans="1:51" x14ac:dyDescent="0.25">
      <c r="A1212" s="102" t="str">
        <f t="shared" si="380"/>
        <v>CM MM Leaching</v>
      </c>
      <c r="B1212" s="102" t="s">
        <v>1323</v>
      </c>
      <c r="C1212" s="102" t="s">
        <v>1334</v>
      </c>
      <c r="D1212" t="s">
        <v>369</v>
      </c>
      <c r="E1212" t="s">
        <v>64</v>
      </c>
      <c r="F1212" t="s">
        <v>63</v>
      </c>
      <c r="G1212" t="s">
        <v>1175</v>
      </c>
      <c r="H1212" t="s">
        <v>1318</v>
      </c>
      <c r="I1212" t="s">
        <v>139</v>
      </c>
      <c r="J1212" t="s">
        <v>287</v>
      </c>
      <c r="K1212" s="101">
        <f>IF('Net zero activities &amp; levers'!$C$14="Off",Constants!$H74*'Activity data'!AD16*Constants!$H92*FracLEACHMM*MMLeachEF*NtoN2O*kgtoGg,IF('Net zero activities &amp; levers'!$C$14="On",Constants!$H74*'Net zero Activity data'!AD16*Constants!$H92*FracLEACHMM*MMLeachEF*NtoN2O*kgtoGg,"ERROR"))</f>
        <v>0</v>
      </c>
      <c r="L1212" s="101">
        <f>IF('Net zero activities &amp; levers'!$C$14="Off",Constants!$H74*'Activity data'!AE16*Constants!$H92*FracLEACHMM*MMLeachEF*NtoN2O*kgtoGg,IF('Net zero activities &amp; levers'!$C$14="On",Constants!$H74*'Net zero Activity data'!AE16*Constants!$H92*FracLEACHMM*MMLeachEF*NtoN2O*kgtoGg,"ERROR"))</f>
        <v>0</v>
      </c>
      <c r="M1212" s="101">
        <f>IF('Net zero activities &amp; levers'!$C$14="Off",Constants!$H74*'Activity data'!AF16*Constants!$H92*FracLEACHMM*MMLeachEF*NtoN2O*kgtoGg,IF('Net zero activities &amp; levers'!$C$14="On",Constants!$H74*'Net zero Activity data'!AF16*Constants!$H92*FracLEACHMM*MMLeachEF*NtoN2O*kgtoGg,"ERROR"))</f>
        <v>0</v>
      </c>
      <c r="N1212" s="101">
        <f>IF('Net zero activities &amp; levers'!$C$14="Off",Constants!$H74*'Activity data'!AG16*Constants!$H92*FracLEACHMM*MMLeachEF*NtoN2O*kgtoGg,IF('Net zero activities &amp; levers'!$C$14="On",Constants!$H74*'Net zero Activity data'!AG16*Constants!$H92*FracLEACHMM*MMLeachEF*NtoN2O*kgtoGg,"ERROR"))</f>
        <v>0</v>
      </c>
      <c r="O1212" s="101">
        <f>IF('Net zero activities &amp; levers'!$C$14="Off",Constants!$H74*'Activity data'!AH16*Constants!$H92*FracLEACHMM*MMLeachEF*NtoN2O*kgtoGg,IF('Net zero activities &amp; levers'!$C$14="On",Constants!$H74*'Net zero Activity data'!AH16*Constants!$H92*FracLEACHMM*MMLeachEF*NtoN2O*kgtoGg,"ERROR"))</f>
        <v>0</v>
      </c>
      <c r="P1212" s="101">
        <f>IF('Net zero activities &amp; levers'!$C$14="Off",Constants!$H74*'Activity data'!AI16*Constants!$H92*FracLEACHMM*MMLeachEF*NtoN2O*kgtoGg,IF('Net zero activities &amp; levers'!$C$14="On",Constants!$H74*'Net zero Activity data'!AI16*Constants!$H92*FracLEACHMM*MMLeachEF*NtoN2O*kgtoGg,"ERROR"))</f>
        <v>0</v>
      </c>
      <c r="Q1212" s="101">
        <f>IF('Net zero activities &amp; levers'!$C$14="Off",Constants!$H74*'Activity data'!AJ16*Constants!$H92*FracLEACHMM*MMLeachEF*NtoN2O*kgtoGg,IF('Net zero activities &amp; levers'!$C$14="On",Constants!$H74*'Net zero Activity data'!AJ16*Constants!$H92*FracLEACHMM*MMLeachEF*NtoN2O*kgtoGg,"ERROR"))</f>
        <v>0</v>
      </c>
      <c r="R1212" s="101">
        <f>IF('Net zero activities &amp; levers'!$C$14="Off",Constants!$H74*'Activity data'!AK16*Constants!$H92*FracLEACHMM*MMLeachEF*NtoN2O*kgtoGg,IF('Net zero activities &amp; levers'!$C$14="On",Constants!$H74*'Net zero Activity data'!AK16*Constants!$H92*FracLEACHMM*MMLeachEF*NtoN2O*kgtoGg,"ERROR"))</f>
        <v>0</v>
      </c>
      <c r="S1212" s="101">
        <f>IF('Net zero activities &amp; levers'!$C$14="Off",Constants!$H74*'Activity data'!AL16*Constants!$H92*FracLEACHMM*MMLeachEF*NtoN2O*kgtoGg,IF('Net zero activities &amp; levers'!$C$14="On",Constants!$H74*'Net zero Activity data'!AL16*Constants!$H92*FracLEACHMM*MMLeachEF*NtoN2O*kgtoGg,"ERROR"))</f>
        <v>0</v>
      </c>
      <c r="T1212" s="101">
        <f>IF('Net zero activities &amp; levers'!$C$14="Off",Constants!$H74*'Activity data'!AM16*Constants!$H92*FracLEACHMM*MMLeachEF*NtoN2O*kgtoGg,IF('Net zero activities &amp; levers'!$C$14="On",Constants!$H74*'Net zero Activity data'!AM16*Constants!$H92*FracLEACHMM*MMLeachEF*NtoN2O*kgtoGg,"ERROR"))</f>
        <v>0</v>
      </c>
      <c r="U1212" s="101">
        <f>IF('Net zero activities &amp; levers'!$C$14="Off",Constants!$H74*'Activity data'!AN16*Constants!$H92*FracLEACHMM*MMLeachEF*NtoN2O*kgtoGg,IF('Net zero activities &amp; levers'!$C$14="On",Constants!$H74*'Net zero Activity data'!AN16*Constants!$H92*FracLEACHMM*MMLeachEF*NtoN2O*kgtoGg,"ERROR"))</f>
        <v>0</v>
      </c>
      <c r="V1212" s="101">
        <f>IF('Net zero activities &amp; levers'!$C$14="Off",Constants!$H74*'Activity data'!AO16*Constants!$H92*FracLEACHMM*MMLeachEF*NtoN2O*kgtoGg,IF('Net zero activities &amp; levers'!$C$14="On",Constants!$H74*'Net zero Activity data'!AO16*Constants!$H92*FracLEACHMM*MMLeachEF*NtoN2O*kgtoGg,"ERROR"))</f>
        <v>0</v>
      </c>
      <c r="W1212" s="101">
        <f>IF('Net zero activities &amp; levers'!$C$14="Off",Constants!$H74*'Activity data'!AP16*Constants!$H92*FracLEACHMM*MMLeachEF*NtoN2O*kgtoGg,IF('Net zero activities &amp; levers'!$C$14="On",Constants!$H74*'Net zero Activity data'!AP16*Constants!$H92*FracLEACHMM*MMLeachEF*NtoN2O*kgtoGg,"ERROR"))</f>
        <v>0</v>
      </c>
      <c r="X1212" s="101">
        <f>IF('Net zero activities &amp; levers'!$C$14="Off",Constants!$H74*'Activity data'!AQ16*Constants!$H92*FracLEACHMM*MMLeachEF*NtoN2O*kgtoGg,IF('Net zero activities &amp; levers'!$C$14="On",Constants!$H74*'Net zero Activity data'!AQ16*Constants!$H92*FracLEACHMM*MMLeachEF*NtoN2O*kgtoGg,"ERROR"))</f>
        <v>0</v>
      </c>
      <c r="Y1212" s="101">
        <f>IF('Net zero activities &amp; levers'!$C$14="Off",Constants!$H74*'Activity data'!AR16*Constants!$H92*FracLEACHMM*MMLeachEF*NtoN2O*kgtoGg,IF('Net zero activities &amp; levers'!$C$14="On",Constants!$H74*'Net zero Activity data'!AR16*Constants!$H92*FracLEACHMM*MMLeachEF*NtoN2O*kgtoGg,"ERROR"))</f>
        <v>0</v>
      </c>
      <c r="Z1212" s="101">
        <f>IF('Net zero activities &amp; levers'!$C$14="Off",Constants!$H74*'Activity data'!AS16*Constants!$H92*FracLEACHMM*MMLeachEF*NtoN2O*kgtoGg,IF('Net zero activities &amp; levers'!$C$14="On",Constants!$H74*'Net zero Activity data'!AS16*Constants!$H92*FracLEACHMM*MMLeachEF*NtoN2O*kgtoGg,"ERROR"))</f>
        <v>0</v>
      </c>
      <c r="AA1212" s="101">
        <f>IF('Net zero activities &amp; levers'!$C$14="Off",Constants!$H74*'Activity data'!AT16*Constants!$H92*FracLEACHMM*MMLeachEF*NtoN2O*kgtoGg,IF('Net zero activities &amp; levers'!$C$14="On",Constants!$H74*'Net zero Activity data'!AT16*Constants!$H92*FracLEACHMM*MMLeachEF*NtoN2O*kgtoGg,"ERROR"))</f>
        <v>0</v>
      </c>
      <c r="AB1212" s="101">
        <f>IF('Net zero activities &amp; levers'!$C$14="Off",Constants!$H74*'Activity data'!AU16*Constants!$H92*FracLEACHMM*MMLeachEF*NtoN2O*kgtoGg,IF('Net zero activities &amp; levers'!$C$14="On",Constants!$H74*'Net zero Activity data'!AU16*Constants!$H92*FracLEACHMM*MMLeachEF*NtoN2O*kgtoGg,"ERROR"))</f>
        <v>0</v>
      </c>
      <c r="AC1212" s="101">
        <f>IF('Net zero activities &amp; levers'!$C$14="Off",Constants!$H74*'Activity data'!AV16*Constants!$H92*FracLEACHMM*MMLeachEF*NtoN2O*kgtoGg,IF('Net zero activities &amp; levers'!$C$14="On",Constants!$H74*'Net zero Activity data'!AV16*Constants!$H92*FracLEACHMM*MMLeachEF*NtoN2O*kgtoGg,"ERROR"))</f>
        <v>0</v>
      </c>
      <c r="AD1212" s="101">
        <f>IF('Net zero activities &amp; levers'!$C$14="Off",Constants!$H74*'Activity data'!AW16*Constants!$H92*FracLEACHMM*MMLeachEF*NtoN2O*kgtoGg,IF('Net zero activities &amp; levers'!$C$14="On",Constants!$H74*'Net zero Activity data'!AW16*Constants!$H92*FracLEACHMM*MMLeachEF*NtoN2O*kgtoGg,"ERROR"))</f>
        <v>0</v>
      </c>
      <c r="AE1212" s="101">
        <f>IF('Net zero activities &amp; levers'!$C$14="Off",Constants!$H74*'Activity data'!AX16*Constants!$H92*FracLEACHMM*MMLeachEF*NtoN2O*kgtoGg,IF('Net zero activities &amp; levers'!$C$14="On",Constants!$H74*'Net zero Activity data'!AX16*Constants!$H92*FracLEACHMM*MMLeachEF*NtoN2O*kgtoGg,"ERROR"))</f>
        <v>0</v>
      </c>
      <c r="AF1212" s="101">
        <f>IF('Net zero activities &amp; levers'!$C$14="Off",Constants!$H74*'Activity data'!AY16*Constants!$H92*FracLEACHMM*MMLeachEF*NtoN2O*kgtoGg,IF('Net zero activities &amp; levers'!$C$14="On",Constants!$H74*'Net zero Activity data'!AY16*Constants!$H92*FracLEACHMM*MMLeachEF*NtoN2O*kgtoGg,"ERROR"))</f>
        <v>0</v>
      </c>
      <c r="AG1212" s="101">
        <f>IF('Net zero activities &amp; levers'!$C$14="Off",Constants!$H74*'Activity data'!AZ16*Constants!$H92*FracLEACHMM*MMLeachEF*NtoN2O*kgtoGg,IF('Net zero activities &amp; levers'!$C$14="On",Constants!$H74*'Net zero Activity data'!AZ16*Constants!$H92*FracLEACHMM*MMLeachEF*NtoN2O*kgtoGg,"ERROR"))</f>
        <v>0</v>
      </c>
      <c r="AH1212" s="101">
        <f>IF('Net zero activities &amp; levers'!$C$14="Off",Constants!$H74*'Activity data'!BA16*Constants!$H92*FracLEACHMM*MMLeachEF*NtoN2O*kgtoGg,IF('Net zero activities &amp; levers'!$C$14="On",Constants!$H74*'Net zero Activity data'!BA16*Constants!$H92*FracLEACHMM*MMLeachEF*NtoN2O*kgtoGg,"ERROR"))</f>
        <v>0</v>
      </c>
      <c r="AI1212" s="101">
        <f>IF('Net zero activities &amp; levers'!$C$14="Off",Constants!$H74*'Activity data'!BB16*Constants!$H92*FracLEACHMM*MMLeachEF*NtoN2O*kgtoGg,IF('Net zero activities &amp; levers'!$C$14="On",Constants!$H74*'Net zero Activity data'!BB16*Constants!$H92*FracLEACHMM*MMLeachEF*NtoN2O*kgtoGg,"ERROR"))</f>
        <v>0</v>
      </c>
      <c r="AJ1212" s="101">
        <f>IF('Net zero activities &amp; levers'!$C$14="Off",Constants!$H74*'Activity data'!BC16*Constants!$H92*FracLEACHMM*MMLeachEF*NtoN2O*kgtoGg,IF('Net zero activities &amp; levers'!$C$14="On",Constants!$H74*'Net zero Activity data'!BC16*Constants!$H92*FracLEACHMM*MMLeachEF*NtoN2O*kgtoGg,"ERROR"))</f>
        <v>0</v>
      </c>
      <c r="AK1212" s="101">
        <f>IF('Net zero activities &amp; levers'!$C$14="Off",Constants!$H74*'Activity data'!BD16*Constants!$H92*FracLEACHMM*MMLeachEF*NtoN2O*kgtoGg,IF('Net zero activities &amp; levers'!$C$14="On",Constants!$H74*'Net zero Activity data'!BD16*Constants!$H92*FracLEACHMM*MMLeachEF*NtoN2O*kgtoGg,"ERROR"))</f>
        <v>0</v>
      </c>
      <c r="AL1212" s="101">
        <f>IF('Net zero activities &amp; levers'!$C$14="Off",Constants!$H74*'Activity data'!BE16*Constants!$H92*FracLEACHMM*MMLeachEF*NtoN2O*kgtoGg,IF('Net zero activities &amp; levers'!$C$14="On",Constants!$H74*'Net zero Activity data'!BE16*Constants!$H92*FracLEACHMM*MMLeachEF*NtoN2O*kgtoGg,"ERROR"))</f>
        <v>0</v>
      </c>
      <c r="AM1212" s="101">
        <f>IF('Net zero activities &amp; levers'!$C$14="Off",Constants!$H74*'Activity data'!BF16*Constants!$H92*FracLEACHMM*MMLeachEF*NtoN2O*kgtoGg,IF('Net zero activities &amp; levers'!$C$14="On",Constants!$H74*'Net zero Activity data'!BF16*Constants!$H92*FracLEACHMM*MMLeachEF*NtoN2O*kgtoGg,"ERROR"))</f>
        <v>0</v>
      </c>
      <c r="AN1212" s="101">
        <f>IF('Net zero activities &amp; levers'!$C$14="Off",Constants!$H74*'Activity data'!BG16*Constants!$H92*FracLEACHMM*MMLeachEF*NtoN2O*kgtoGg,IF('Net zero activities &amp; levers'!$C$14="On",Constants!$H74*'Net zero Activity data'!BG16*Constants!$H92*FracLEACHMM*MMLeachEF*NtoN2O*kgtoGg,"ERROR"))</f>
        <v>0</v>
      </c>
      <c r="AO1212" s="101">
        <f>IF('Net zero activities &amp; levers'!$C$14="Off",Constants!$H74*'Activity data'!BH16*Constants!$H92*FracLEACHMM*MMLeachEF*NtoN2O*kgtoGg,IF('Net zero activities &amp; levers'!$C$14="On",Constants!$H74*'Net zero Activity data'!BH16*Constants!$H92*FracLEACHMM*MMLeachEF*NtoN2O*kgtoGg,"ERROR"))</f>
        <v>0</v>
      </c>
      <c r="AP1212" s="101">
        <f>IF('Net zero activities &amp; levers'!$C$14="Off",Constants!$H74*'Activity data'!BI16*Constants!$H92*FracLEACHMM*MMLeachEF*NtoN2O*kgtoGg,IF('Net zero activities &amp; levers'!$C$14="On",Constants!$H74*'Net zero Activity data'!BI16*Constants!$H92*FracLEACHMM*MMLeachEF*NtoN2O*kgtoGg,"ERROR"))</f>
        <v>0</v>
      </c>
      <c r="AQ1212" s="101">
        <f>IF('Net zero activities &amp; levers'!$C$14="Off",Constants!$H74*'Activity data'!BJ16*Constants!$H92*FracLEACHMM*MMLeachEF*NtoN2O*kgtoGg,IF('Net zero activities &amp; levers'!$C$14="On",Constants!$H74*'Net zero Activity data'!BJ16*Constants!$H92*FracLEACHMM*MMLeachEF*NtoN2O*kgtoGg,"ERROR"))</f>
        <v>0</v>
      </c>
      <c r="AR1212" s="101">
        <f>IF('Net zero activities &amp; levers'!$C$14="Off",Constants!$H74*'Activity data'!BK16*Constants!$H92*FracLEACHMM*MMLeachEF*NtoN2O*kgtoGg,IF('Net zero activities &amp; levers'!$C$14="On",Constants!$H74*'Net zero Activity data'!BK16*Constants!$H92*FracLEACHMM*MMLeachEF*NtoN2O*kgtoGg,"ERROR"))</f>
        <v>0</v>
      </c>
      <c r="AS1212" s="101">
        <f>IF('Net zero activities &amp; levers'!$C$14="Off",Constants!$H74*'Activity data'!BL16*Constants!$H92*FracLEACHMM*MMLeachEF*NtoN2O*kgtoGg,IF('Net zero activities &amp; levers'!$C$14="On",Constants!$H74*'Net zero Activity data'!BL16*Constants!$H92*FracLEACHMM*MMLeachEF*NtoN2O*kgtoGg,"ERROR"))</f>
        <v>0</v>
      </c>
      <c r="AT1212" s="101">
        <f>IF('Net zero activities &amp; levers'!$C$14="Off",Constants!$H74*'Activity data'!BM16*Constants!$H92*FracLEACHMM*MMLeachEF*NtoN2O*kgtoGg,IF('Net zero activities &amp; levers'!$C$14="On",Constants!$H74*'Net zero Activity data'!BM16*Constants!$H92*FracLEACHMM*MMLeachEF*NtoN2O*kgtoGg,"ERROR"))</f>
        <v>0</v>
      </c>
      <c r="AU1212" s="101">
        <f>IF('Net zero activities &amp; levers'!$C$14="Off",Constants!$H74*'Activity data'!BN16*Constants!$H92*FracLEACHMM*MMLeachEF*NtoN2O*kgtoGg,IF('Net zero activities &amp; levers'!$C$14="On",Constants!$H74*'Net zero Activity data'!BN16*Constants!$H92*FracLEACHMM*MMLeachEF*NtoN2O*kgtoGg,"ERROR"))</f>
        <v>0</v>
      </c>
      <c r="AV1212" s="101">
        <f>IF('Net zero activities &amp; levers'!$C$14="Off",Constants!$H74*'Activity data'!BO16*Constants!$H92*FracLEACHMM*MMLeachEF*NtoN2O*kgtoGg,IF('Net zero activities &amp; levers'!$C$14="On",Constants!$H74*'Net zero Activity data'!BO16*Constants!$H92*FracLEACHMM*MMLeachEF*NtoN2O*kgtoGg,"ERROR"))</f>
        <v>0</v>
      </c>
      <c r="AW1212" s="101">
        <f>IF('Net zero activities &amp; levers'!$C$14="Off",Constants!$H74*'Activity data'!BP16*Constants!$H92*FracLEACHMM*MMLeachEF*NtoN2O*kgtoGg,IF('Net zero activities &amp; levers'!$C$14="On",Constants!$H74*'Net zero Activity data'!BP16*Constants!$H92*FracLEACHMM*MMLeachEF*NtoN2O*kgtoGg,"ERROR"))</f>
        <v>0</v>
      </c>
      <c r="AY1212" s="85"/>
    </row>
    <row r="1213" spans="1:51" x14ac:dyDescent="0.25">
      <c r="A1213" s="102" t="str">
        <f t="shared" si="380"/>
        <v>CM MM Leaching</v>
      </c>
      <c r="B1213" s="102" t="s">
        <v>1323</v>
      </c>
      <c r="C1213" s="102" t="s">
        <v>1334</v>
      </c>
      <c r="D1213" t="s">
        <v>369</v>
      </c>
      <c r="E1213" t="s">
        <v>64</v>
      </c>
      <c r="F1213" t="s">
        <v>63</v>
      </c>
      <c r="G1213" t="s">
        <v>1177</v>
      </c>
      <c r="H1213" t="s">
        <v>1319</v>
      </c>
      <c r="I1213" t="s">
        <v>139</v>
      </c>
      <c r="J1213" t="s">
        <v>287</v>
      </c>
      <c r="K1213" s="101">
        <f>IF('Net zero activities &amp; levers'!$C$14="Off",Constants!$H75*'Activity data'!AD17*Constants!$H93*FracLEACHMM*MMLeachEF*NtoN2O*kgtoGg,IF('Net zero activities &amp; levers'!$C$14="On",Constants!$H75*'Net zero Activity data'!AD17*Constants!$H93*FracLEACHMM*MMLeachEF*NtoN2O*kgtoGg,"ERROR"))</f>
        <v>2.7080534096129025E-2</v>
      </c>
      <c r="L1213" s="101">
        <f>IF('Net zero activities &amp; levers'!$C$14="Off",Constants!$H75*'Activity data'!AE17*Constants!$H93*FracLEACHMM*MMLeachEF*NtoN2O*kgtoGg,IF('Net zero activities &amp; levers'!$C$14="On",Constants!$H75*'Net zero Activity data'!AE17*Constants!$H93*FracLEACHMM*MMLeachEF*NtoN2O*kgtoGg,"ERROR"))</f>
        <v>2.6995058080291692E-2</v>
      </c>
      <c r="M1213" s="101">
        <f>IF('Net zero activities &amp; levers'!$C$14="Off",Constants!$H75*'Activity data'!AF17*Constants!$H93*FracLEACHMM*MMLeachEF*NtoN2O*kgtoGg,IF('Net zero activities &amp; levers'!$C$14="On",Constants!$H75*'Net zero Activity data'!AF17*Constants!$H93*FracLEACHMM*MMLeachEF*NtoN2O*kgtoGg,"ERROR"))</f>
        <v>2.6712389539955236E-2</v>
      </c>
      <c r="N1213" s="101">
        <f>IF('Net zero activities &amp; levers'!$C$14="Off",Constants!$H75*'Activity data'!AG17*Constants!$H93*FracLEACHMM*MMLeachEF*NtoN2O*kgtoGg,IF('Net zero activities &amp; levers'!$C$14="On",Constants!$H75*'Net zero Activity data'!AG17*Constants!$H93*FracLEACHMM*MMLeachEF*NtoN2O*kgtoGg,"ERROR"))</f>
        <v>2.6163552006630762E-2</v>
      </c>
      <c r="O1213" s="101">
        <f>IF('Net zero activities &amp; levers'!$C$14="Off",Constants!$H75*'Activity data'!AH17*Constants!$H93*FracLEACHMM*MMLeachEF*NtoN2O*kgtoGg,IF('Net zero activities &amp; levers'!$C$14="On",Constants!$H75*'Net zero Activity data'!AH17*Constants!$H93*FracLEACHMM*MMLeachEF*NtoN2O*kgtoGg,"ERROR"))</f>
        <v>2.5638728055519384E-2</v>
      </c>
      <c r="P1213" s="101">
        <f>IF('Net zero activities &amp; levers'!$C$14="Off",Constants!$H75*'Activity data'!AI17*Constants!$H93*FracLEACHMM*MMLeachEF*NtoN2O*kgtoGg,IF('Net zero activities &amp; levers'!$C$14="On",Constants!$H75*'Net zero Activity data'!AI17*Constants!$H93*FracLEACHMM*MMLeachEF*NtoN2O*kgtoGg,"ERROR"))</f>
        <v>2.5270557311936091E-2</v>
      </c>
      <c r="Q1213" s="101">
        <f>IF('Net zero activities &amp; levers'!$C$14="Off",Constants!$H75*'Activity data'!AJ17*Constants!$H93*FracLEACHMM*MMLeachEF*NtoN2O*kgtoGg,IF('Net zero activities &amp; levers'!$C$14="On",Constants!$H75*'Net zero Activity data'!AJ17*Constants!$H93*FracLEACHMM*MMLeachEF*NtoN2O*kgtoGg,"ERROR"))</f>
        <v>2.4958747401341939E-2</v>
      </c>
      <c r="R1213" s="101">
        <f>IF('Net zero activities &amp; levers'!$C$14="Off",Constants!$H75*'Activity data'!AK17*Constants!$H93*FracLEACHMM*MMLeachEF*NtoN2O*kgtoGg,IF('Net zero activities &amp; levers'!$C$14="On",Constants!$H75*'Net zero Activity data'!AK17*Constants!$H93*FracLEACHMM*MMLeachEF*NtoN2O*kgtoGg,"ERROR"))</f>
        <v>2.4384582351632111E-2</v>
      </c>
      <c r="S1213" s="101">
        <f>IF('Net zero activities &amp; levers'!$C$14="Off",Constants!$H75*'Activity data'!AL17*Constants!$H93*FracLEACHMM*MMLeachEF*NtoN2O*kgtoGg,IF('Net zero activities &amp; levers'!$C$14="On",Constants!$H75*'Net zero Activity data'!AL17*Constants!$H93*FracLEACHMM*MMLeachEF*NtoN2O*kgtoGg,"ERROR"))</f>
        <v>2.1346855337625082E-2</v>
      </c>
      <c r="T1213" s="101">
        <f>IF('Net zero activities &amp; levers'!$C$14="Off",Constants!$H75*'Activity data'!AM17*Constants!$H93*FracLEACHMM*MMLeachEF*NtoN2O*kgtoGg,IF('Net zero activities &amp; levers'!$C$14="On",Constants!$H75*'Net zero Activity data'!AM17*Constants!$H93*FracLEACHMM*MMLeachEF*NtoN2O*kgtoGg,"ERROR"))</f>
        <v>2.1482505917310397E-2</v>
      </c>
      <c r="U1213" s="101">
        <f>IF('Net zero activities &amp; levers'!$C$14="Off",Constants!$H75*'Activity data'!AN17*Constants!$H93*FracLEACHMM*MMLeachEF*NtoN2O*kgtoGg,IF('Net zero activities &amp; levers'!$C$14="On",Constants!$H75*'Net zero Activity data'!AN17*Constants!$H93*FracLEACHMM*MMLeachEF*NtoN2O*kgtoGg,"ERROR"))</f>
        <v>2.1550596950866634E-2</v>
      </c>
      <c r="V1213" s="101">
        <f>IF('Net zero activities &amp; levers'!$C$14="Off",Constants!$H75*'Activity data'!AO17*Constants!$H93*FracLEACHMM*MMLeachEF*NtoN2O*kgtoGg,IF('Net zero activities &amp; levers'!$C$14="On",Constants!$H75*'Net zero Activity data'!AO17*Constants!$H93*FracLEACHMM*MMLeachEF*NtoN2O*kgtoGg,"ERROR"))</f>
        <v>2.1616794763907179E-2</v>
      </c>
      <c r="W1213" s="101">
        <f>IF('Net zero activities &amp; levers'!$C$14="Off",Constants!$H75*'Activity data'!AP17*Constants!$H93*FracLEACHMM*MMLeachEF*NtoN2O*kgtoGg,IF('Net zero activities &amp; levers'!$C$14="On",Constants!$H75*'Net zero Activity data'!AP17*Constants!$H93*FracLEACHMM*MMLeachEF*NtoN2O*kgtoGg,"ERROR"))</f>
        <v>2.1778489708019384E-2</v>
      </c>
      <c r="X1213" s="101">
        <f>IF('Net zero activities &amp; levers'!$C$14="Off",Constants!$H75*'Activity data'!AQ17*Constants!$H93*FracLEACHMM*MMLeachEF*NtoN2O*kgtoGg,IF('Net zero activities &amp; levers'!$C$14="On",Constants!$H75*'Net zero Activity data'!AQ17*Constants!$H93*FracLEACHMM*MMLeachEF*NtoN2O*kgtoGg,"ERROR"))</f>
        <v>2.1934748739134539E-2</v>
      </c>
      <c r="Y1213" s="101">
        <f>IF('Net zero activities &amp; levers'!$C$14="Off",Constants!$H75*'Activity data'!AR17*Constants!$H93*FracLEACHMM*MMLeachEF*NtoN2O*kgtoGg,IF('Net zero activities &amp; levers'!$C$14="On",Constants!$H75*'Net zero Activity data'!AR17*Constants!$H93*FracLEACHMM*MMLeachEF*NtoN2O*kgtoGg,"ERROR"))</f>
        <v>2.2114017881126848E-2</v>
      </c>
      <c r="Z1213" s="101">
        <f>IF('Net zero activities &amp; levers'!$C$14="Off",Constants!$H75*'Activity data'!AS17*Constants!$H93*FracLEACHMM*MMLeachEF*NtoN2O*kgtoGg,IF('Net zero activities &amp; levers'!$C$14="On",Constants!$H75*'Net zero Activity data'!AS17*Constants!$H93*FracLEACHMM*MMLeachEF*NtoN2O*kgtoGg,"ERROR"))</f>
        <v>2.2264487150526265E-2</v>
      </c>
      <c r="AA1213" s="101">
        <f>IF('Net zero activities &amp; levers'!$C$14="Off",Constants!$H75*'Activity data'!AT17*Constants!$H93*FracLEACHMM*MMLeachEF*NtoN2O*kgtoGg,IF('Net zero activities &amp; levers'!$C$14="On",Constants!$H75*'Net zero Activity data'!AT17*Constants!$H93*FracLEACHMM*MMLeachEF*NtoN2O*kgtoGg,"ERROR"))</f>
        <v>2.2445316206361306E-2</v>
      </c>
      <c r="AB1213" s="101">
        <f>IF('Net zero activities &amp; levers'!$C$14="Off",Constants!$H75*'Activity data'!AU17*Constants!$H93*FracLEACHMM*MMLeachEF*NtoN2O*kgtoGg,IF('Net zero activities &amp; levers'!$C$14="On",Constants!$H75*'Net zero Activity data'!AU17*Constants!$H93*FracLEACHMM*MMLeachEF*NtoN2O*kgtoGg,"ERROR"))</f>
        <v>2.2576949368517302E-2</v>
      </c>
      <c r="AC1213" s="101">
        <f>IF('Net zero activities &amp; levers'!$C$14="Off",Constants!$H75*'Activity data'!AV17*Constants!$H93*FracLEACHMM*MMLeachEF*NtoN2O*kgtoGg,IF('Net zero activities &amp; levers'!$C$14="On",Constants!$H75*'Net zero Activity data'!AV17*Constants!$H93*FracLEACHMM*MMLeachEF*NtoN2O*kgtoGg,"ERROR"))</f>
        <v>2.271541592892265E-2</v>
      </c>
      <c r="AD1213" s="101">
        <f>IF('Net zero activities &amp; levers'!$C$14="Off",Constants!$H75*'Activity data'!AW17*Constants!$H93*FracLEACHMM*MMLeachEF*NtoN2O*kgtoGg,IF('Net zero activities &amp; levers'!$C$14="On",Constants!$H75*'Net zero Activity data'!AW17*Constants!$H93*FracLEACHMM*MMLeachEF*NtoN2O*kgtoGg,"ERROR"))</f>
        <v>2.2970809719090692E-2</v>
      </c>
      <c r="AE1213" s="101">
        <f>IF('Net zero activities &amp; levers'!$C$14="Off",Constants!$H75*'Activity data'!AX17*Constants!$H93*FracLEACHMM*MMLeachEF*NtoN2O*kgtoGg,IF('Net zero activities &amp; levers'!$C$14="On",Constants!$H75*'Net zero Activity data'!AX17*Constants!$H93*FracLEACHMM*MMLeachEF*NtoN2O*kgtoGg,"ERROR"))</f>
        <v>2.3269151361655305E-2</v>
      </c>
      <c r="AF1213" s="101">
        <f>IF('Net zero activities &amp; levers'!$C$14="Off",Constants!$H75*'Activity data'!AY17*Constants!$H93*FracLEACHMM*MMLeachEF*NtoN2O*kgtoGg,IF('Net zero activities &amp; levers'!$C$14="On",Constants!$H75*'Net zero Activity data'!AY17*Constants!$H93*FracLEACHMM*MMLeachEF*NtoN2O*kgtoGg,"ERROR"))</f>
        <v>2.3577881186145462E-2</v>
      </c>
      <c r="AG1213" s="101">
        <f>IF('Net zero activities &amp; levers'!$C$14="Off",Constants!$H75*'Activity data'!AZ17*Constants!$H93*FracLEACHMM*MMLeachEF*NtoN2O*kgtoGg,IF('Net zero activities &amp; levers'!$C$14="On",Constants!$H75*'Net zero Activity data'!AZ17*Constants!$H93*FracLEACHMM*MMLeachEF*NtoN2O*kgtoGg,"ERROR"))</f>
        <v>2.3230896400696678E-2</v>
      </c>
      <c r="AH1213" s="101">
        <f>IF('Net zero activities &amp; levers'!$C$14="Off",Constants!$H75*'Activity data'!BA17*Constants!$H93*FracLEACHMM*MMLeachEF*NtoN2O*kgtoGg,IF('Net zero activities &amp; levers'!$C$14="On",Constants!$H75*'Net zero Activity data'!BA17*Constants!$H93*FracLEACHMM*MMLeachEF*NtoN2O*kgtoGg,"ERROR"))</f>
        <v>-7.8382777121831278E-3</v>
      </c>
      <c r="AI1213" s="101">
        <f>IF('Net zero activities &amp; levers'!$C$14="Off",Constants!$H75*'Activity data'!BB17*Constants!$H93*FracLEACHMM*MMLeachEF*NtoN2O*kgtoGg,IF('Net zero activities &amp; levers'!$C$14="On",Constants!$H75*'Net zero Activity data'!BB17*Constants!$H93*FracLEACHMM*MMLeachEF*NtoN2O*kgtoGg,"ERROR"))</f>
        <v>-7.7525396142955495E-3</v>
      </c>
      <c r="AJ1213" s="101">
        <f>IF('Net zero activities &amp; levers'!$C$14="Off",Constants!$H75*'Activity data'!BC17*Constants!$H93*FracLEACHMM*MMLeachEF*NtoN2O*kgtoGg,IF('Net zero activities &amp; levers'!$C$14="On",Constants!$H75*'Net zero Activity data'!BC17*Constants!$H93*FracLEACHMM*MMLeachEF*NtoN2O*kgtoGg,"ERROR"))</f>
        <v>-7.6686379044997068E-3</v>
      </c>
      <c r="AK1213" s="101">
        <f>IF('Net zero activities &amp; levers'!$C$14="Off",Constants!$H75*'Activity data'!BD17*Constants!$H93*FracLEACHMM*MMLeachEF*NtoN2O*kgtoGg,IF('Net zero activities &amp; levers'!$C$14="On",Constants!$H75*'Net zero Activity data'!BD17*Constants!$H93*FracLEACHMM*MMLeachEF*NtoN2O*kgtoGg,"ERROR"))</f>
        <v>-7.586452448594779E-3</v>
      </c>
      <c r="AL1213" s="101">
        <f>IF('Net zero activities &amp; levers'!$C$14="Off",Constants!$H75*'Activity data'!BE17*Constants!$H93*FracLEACHMM*MMLeachEF*NtoN2O*kgtoGg,IF('Net zero activities &amp; levers'!$C$14="On",Constants!$H75*'Net zero Activity data'!BE17*Constants!$H93*FracLEACHMM*MMLeachEF*NtoN2O*kgtoGg,"ERROR"))</f>
        <v>-7.5058719086197852E-3</v>
      </c>
      <c r="AM1213" s="101">
        <f>IF('Net zero activities &amp; levers'!$C$14="Off",Constants!$H75*'Activity data'!BF17*Constants!$H93*FracLEACHMM*MMLeachEF*NtoN2O*kgtoGg,IF('Net zero activities &amp; levers'!$C$14="On",Constants!$H75*'Net zero Activity data'!BF17*Constants!$H93*FracLEACHMM*MMLeachEF*NtoN2O*kgtoGg,"ERROR"))</f>
        <v>-7.4267928922061455E-3</v>
      </c>
      <c r="AN1213" s="101">
        <f>IF('Net zero activities &amp; levers'!$C$14="Off",Constants!$H75*'Activity data'!BG17*Constants!$H93*FracLEACHMM*MMLeachEF*NtoN2O*kgtoGg,IF('Net zero activities &amp; levers'!$C$14="On",Constants!$H75*'Net zero Activity data'!BG17*Constants!$H93*FracLEACHMM*MMLeachEF*NtoN2O*kgtoGg,"ERROR"))</f>
        <v>-7.3400589670898171E-3</v>
      </c>
      <c r="AO1213" s="101">
        <f>IF('Net zero activities &amp; levers'!$C$14="Off",Constants!$H75*'Activity data'!BH17*Constants!$H93*FracLEACHMM*MMLeachEF*NtoN2O*kgtoGg,IF('Net zero activities &amp; levers'!$C$14="On",Constants!$H75*'Net zero Activity data'!BH17*Constants!$H93*FracLEACHMM*MMLeachEF*NtoN2O*kgtoGg,"ERROR"))</f>
        <v>-7.2548542835376628E-3</v>
      </c>
      <c r="AP1213" s="101">
        <f>IF('Net zero activities &amp; levers'!$C$14="Off",Constants!$H75*'Activity data'!BI17*Constants!$H93*FracLEACHMM*MMLeachEF*NtoN2O*kgtoGg,IF('Net zero activities &amp; levers'!$C$14="On",Constants!$H75*'Net zero Activity data'!BI17*Constants!$H93*FracLEACHMM*MMLeachEF*NtoN2O*kgtoGg,"ERROR"))</f>
        <v>-7.1710895268481756E-3</v>
      </c>
      <c r="AQ1213" s="101">
        <f>IF('Net zero activities &amp; levers'!$C$14="Off",Constants!$H75*'Activity data'!BJ17*Constants!$H93*FracLEACHMM*MMLeachEF*NtoN2O*kgtoGg,IF('Net zero activities &amp; levers'!$C$14="On",Constants!$H75*'Net zero Activity data'!BJ17*Constants!$H93*FracLEACHMM*MMLeachEF*NtoN2O*kgtoGg,"ERROR"))</f>
        <v>-7.0886812161586998E-3</v>
      </c>
      <c r="AR1213" s="101">
        <f>IF('Net zero activities &amp; levers'!$C$14="Off",Constants!$H75*'Activity data'!BK17*Constants!$H93*FracLEACHMM*MMLeachEF*NtoN2O*kgtoGg,IF('Net zero activities &amp; levers'!$C$14="On",Constants!$H75*'Net zero Activity data'!BK17*Constants!$H93*FracLEACHMM*MMLeachEF*NtoN2O*kgtoGg,"ERROR"))</f>
        <v>-7.0075512003870211E-3</v>
      </c>
      <c r="AS1213" s="101">
        <f>IF('Net zero activities &amp; levers'!$C$14="Off",Constants!$H75*'Activity data'!BL17*Constants!$H93*FracLEACHMM*MMLeachEF*NtoN2O*kgtoGg,IF('Net zero activities &amp; levers'!$C$14="On",Constants!$H75*'Net zero Activity data'!BL17*Constants!$H93*FracLEACHMM*MMLeachEF*NtoN2O*kgtoGg,"ERROR"))</f>
        <v>-6.9191376458643079E-3</v>
      </c>
      <c r="AT1213" s="101">
        <f>IF('Net zero activities &amp; levers'!$C$14="Off",Constants!$H75*'Activity data'!BM17*Constants!$H93*FracLEACHMM*MMLeachEF*NtoN2O*kgtoGg,IF('Net zero activities &amp; levers'!$C$14="On",Constants!$H75*'Net zero Activity data'!BM17*Constants!$H93*FracLEACHMM*MMLeachEF*NtoN2O*kgtoGg,"ERROR"))</f>
        <v>-6.8320744878094938E-3</v>
      </c>
      <c r="AU1213" s="101">
        <f>IF('Net zero activities &amp; levers'!$C$14="Off",Constants!$H75*'Activity data'!BN17*Constants!$H93*FracLEACHMM*MMLeachEF*NtoN2O*kgtoGg,IF('Net zero activities &amp; levers'!$C$14="On",Constants!$H75*'Net zero Activity data'!BN17*Constants!$H93*FracLEACHMM*MMLeachEF*NtoN2O*kgtoGg,"ERROR"))</f>
        <v>-6.7462922163727323E-3</v>
      </c>
      <c r="AV1213" s="101">
        <f>IF('Net zero activities &amp; levers'!$C$14="Off",Constants!$H75*'Activity data'!BO17*Constants!$H93*FracLEACHMM*MMLeachEF*NtoN2O*kgtoGg,IF('Net zero activities &amp; levers'!$C$14="On",Constants!$H75*'Net zero Activity data'!BO17*Constants!$H93*FracLEACHMM*MMLeachEF*NtoN2O*kgtoGg,"ERROR"))</f>
        <v>-6.6617254285893414E-3</v>
      </c>
      <c r="AW1213" s="101">
        <f>IF('Net zero activities &amp; levers'!$C$14="Off",Constants!$H75*'Activity data'!BP17*Constants!$H93*FracLEACHMM*MMLeachEF*NtoN2O*kgtoGg,IF('Net zero activities &amp; levers'!$C$14="On",Constants!$H75*'Net zero Activity data'!BP17*Constants!$H93*FracLEACHMM*MMLeachEF*NtoN2O*kgtoGg,"ERROR"))</f>
        <v>-6.5783125081778221E-3</v>
      </c>
      <c r="AY1213" s="85"/>
    </row>
    <row r="1214" spans="1:51" x14ac:dyDescent="0.25">
      <c r="A1214" s="102" t="str">
        <f t="shared" si="380"/>
        <v>CM MM Leaching</v>
      </c>
      <c r="B1214" s="102" t="s">
        <v>1323</v>
      </c>
      <c r="C1214" s="102" t="s">
        <v>1334</v>
      </c>
      <c r="D1214" t="s">
        <v>369</v>
      </c>
      <c r="E1214" t="s">
        <v>64</v>
      </c>
      <c r="F1214" t="s">
        <v>63</v>
      </c>
      <c r="G1214" t="s">
        <v>1179</v>
      </c>
      <c r="H1214" t="s">
        <v>1320</v>
      </c>
      <c r="I1214" t="s">
        <v>139</v>
      </c>
      <c r="J1214" t="s">
        <v>287</v>
      </c>
      <c r="K1214" s="101">
        <f>IF('Net zero activities &amp; levers'!$C$14="Off",Constants!$H76*'Activity data'!AD18*Constants!$H94*FracLEACHMM*MMLeachEF*NtoN2O*kgtoGg,IF('Net zero activities &amp; levers'!$C$14="On",Constants!$H76*'Net zero Activity data'!AD18*Constants!$H94*FracLEACHMM*MMLeachEF*NtoN2O*kgtoGg,"ERROR"))</f>
        <v>4.0473192123070822E-3</v>
      </c>
      <c r="L1214" s="101">
        <f>IF('Net zero activities &amp; levers'!$C$14="Off",Constants!$H76*'Activity data'!AE18*Constants!$H94*FracLEACHMM*MMLeachEF*NtoN2O*kgtoGg,IF('Net zero activities &amp; levers'!$C$14="On",Constants!$H76*'Net zero Activity data'!AE18*Constants!$H94*FracLEACHMM*MMLeachEF*NtoN2O*kgtoGg,"ERROR"))</f>
        <v>4.0345444007076556E-3</v>
      </c>
      <c r="M1214" s="101">
        <f>IF('Net zero activities &amp; levers'!$C$14="Off",Constants!$H76*'Activity data'!AF18*Constants!$H94*FracLEACHMM*MMLeachEF*NtoN2O*kgtoGg,IF('Net zero activities &amp; levers'!$C$14="On",Constants!$H76*'Net zero Activity data'!AF18*Constants!$H94*FracLEACHMM*MMLeachEF*NtoN2O*kgtoGg,"ERROR"))</f>
        <v>3.9922981950029426E-3</v>
      </c>
      <c r="N1214" s="101">
        <f>IF('Net zero activities &amp; levers'!$C$14="Off",Constants!$H76*'Activity data'!AG18*Constants!$H94*FracLEACHMM*MMLeachEF*NtoN2O*kgtoGg,IF('Net zero activities &amp; levers'!$C$14="On",Constants!$H76*'Net zero Activity data'!AG18*Constants!$H94*FracLEACHMM*MMLeachEF*NtoN2O*kgtoGg,"ERROR"))</f>
        <v>3.9102717222172061E-3</v>
      </c>
      <c r="O1214" s="101">
        <f>IF('Net zero activities &amp; levers'!$C$14="Off",Constants!$H76*'Activity data'!AH18*Constants!$H94*FracLEACHMM*MMLeachEF*NtoN2O*kgtoGg,IF('Net zero activities &amp; levers'!$C$14="On",Constants!$H76*'Net zero Activity data'!AH18*Constants!$H94*FracLEACHMM*MMLeachEF*NtoN2O*kgtoGg,"ERROR"))</f>
        <v>3.8318341975778526E-3</v>
      </c>
      <c r="P1214" s="101">
        <f>IF('Net zero activities &amp; levers'!$C$14="Off",Constants!$H76*'Activity data'!AI18*Constants!$H94*FracLEACHMM*MMLeachEF*NtoN2O*kgtoGg,IF('Net zero activities &amp; levers'!$C$14="On",Constants!$H76*'Net zero Activity data'!AI18*Constants!$H94*FracLEACHMM*MMLeachEF*NtoN2O*kgtoGg,"ERROR"))</f>
        <v>3.7768092664363703E-3</v>
      </c>
      <c r="Q1214" s="101">
        <f>IF('Net zero activities &amp; levers'!$C$14="Off",Constants!$H76*'Activity data'!AJ18*Constants!$H94*FracLEACHMM*MMLeachEF*NtoN2O*kgtoGg,IF('Net zero activities &amp; levers'!$C$14="On",Constants!$H76*'Net zero Activity data'!AJ18*Constants!$H94*FracLEACHMM*MMLeachEF*NtoN2O*kgtoGg,"ERROR"))</f>
        <v>3.7302077394038642E-3</v>
      </c>
      <c r="R1214" s="101">
        <f>IF('Net zero activities &amp; levers'!$C$14="Off",Constants!$H76*'Activity data'!AK18*Constants!$H94*FracLEACHMM*MMLeachEF*NtoN2O*kgtoGg,IF('Net zero activities &amp; levers'!$C$14="On",Constants!$H76*'Net zero Activity data'!AK18*Constants!$H94*FracLEACHMM*MMLeachEF*NtoN2O*kgtoGg,"ERROR"))</f>
        <v>3.6443959445376013E-3</v>
      </c>
      <c r="S1214" s="101">
        <f>IF('Net zero activities &amp; levers'!$C$14="Off",Constants!$H76*'Activity data'!AL18*Constants!$H94*FracLEACHMM*MMLeachEF*NtoN2O*kgtoGg,IF('Net zero activities &amp; levers'!$C$14="On",Constants!$H76*'Net zero Activity data'!AL18*Constants!$H94*FracLEACHMM*MMLeachEF*NtoN2O*kgtoGg,"ERROR"))</f>
        <v>3.1903926792440892E-3</v>
      </c>
      <c r="T1214" s="101">
        <f>IF('Net zero activities &amp; levers'!$C$14="Off",Constants!$H76*'Activity data'!AM18*Constants!$H94*FracLEACHMM*MMLeachEF*NtoN2O*kgtoGg,IF('Net zero activities &amp; levers'!$C$14="On",Constants!$H76*'Net zero Activity data'!AM18*Constants!$H94*FracLEACHMM*MMLeachEF*NtoN2O*kgtoGg,"ERROR"))</f>
        <v>3.2106663265573984E-3</v>
      </c>
      <c r="U1214" s="101">
        <f>IF('Net zero activities &amp; levers'!$C$14="Off",Constants!$H76*'Activity data'!AN18*Constants!$H94*FracLEACHMM*MMLeachEF*NtoN2O*kgtoGg,IF('Net zero activities &amp; levers'!$C$14="On",Constants!$H76*'Net zero Activity data'!AN18*Constants!$H94*FracLEACHMM*MMLeachEF*NtoN2O*kgtoGg,"ERROR"))</f>
        <v>3.2208428669210313E-3</v>
      </c>
      <c r="V1214" s="101">
        <f>IF('Net zero activities &amp; levers'!$C$14="Off",Constants!$H76*'Activity data'!AO18*Constants!$H94*FracLEACHMM*MMLeachEF*NtoN2O*kgtoGg,IF('Net zero activities &amp; levers'!$C$14="On",Constants!$H76*'Net zero Activity data'!AO18*Constants!$H94*FracLEACHMM*MMLeachEF*NtoN2O*kgtoGg,"ERROR"))</f>
        <v>3.2307364561530842E-3</v>
      </c>
      <c r="W1214" s="101">
        <f>IF('Net zero activities &amp; levers'!$C$14="Off",Constants!$H76*'Activity data'!AP18*Constants!$H94*FracLEACHMM*MMLeachEF*NtoN2O*kgtoGg,IF('Net zero activities &amp; levers'!$C$14="On",Constants!$H76*'Net zero Activity data'!AP18*Constants!$H94*FracLEACHMM*MMLeachEF*NtoN2O*kgtoGg,"ERROR"))</f>
        <v>3.254902562017731E-3</v>
      </c>
      <c r="X1214" s="101">
        <f>IF('Net zero activities &amp; levers'!$C$14="Off",Constants!$H76*'Activity data'!AQ18*Constants!$H94*FracLEACHMM*MMLeachEF*NtoN2O*kgtoGg,IF('Net zero activities &amp; levers'!$C$14="On",Constants!$H76*'Net zero Activity data'!AQ18*Constants!$H94*FracLEACHMM*MMLeachEF*NtoN2O*kgtoGg,"ERROR"))</f>
        <v>3.2782562439090815E-3</v>
      </c>
      <c r="Y1214" s="101">
        <f>IF('Net zero activities &amp; levers'!$C$14="Off",Constants!$H76*'Activity data'!AR18*Constants!$H94*FracLEACHMM*MMLeachEF*NtoN2O*kgtoGg,IF('Net zero activities &amp; levers'!$C$14="On",Constants!$H76*'Net zero Activity data'!AR18*Constants!$H94*FracLEACHMM*MMLeachEF*NtoN2O*kgtoGg,"ERROR"))</f>
        <v>3.3050489002128215E-3</v>
      </c>
      <c r="Z1214" s="101">
        <f>IF('Net zero activities &amp; levers'!$C$14="Off",Constants!$H76*'Activity data'!AS18*Constants!$H94*FracLEACHMM*MMLeachEF*NtoN2O*kgtoGg,IF('Net zero activities &amp; levers'!$C$14="On",Constants!$H76*'Net zero Activity data'!AS18*Constants!$H94*FracLEACHMM*MMLeachEF*NtoN2O*kgtoGg,"ERROR"))</f>
        <v>3.3275372736969E-3</v>
      </c>
      <c r="AA1214" s="101">
        <f>IF('Net zero activities &amp; levers'!$C$14="Off",Constants!$H76*'Activity data'!AT18*Constants!$H94*FracLEACHMM*MMLeachEF*NtoN2O*kgtoGg,IF('Net zero activities &amp; levers'!$C$14="On",Constants!$H76*'Net zero Activity data'!AT18*Constants!$H94*FracLEACHMM*MMLeachEF*NtoN2O*kgtoGg,"ERROR"))</f>
        <v>3.3545630668081641E-3</v>
      </c>
      <c r="AB1214" s="101">
        <f>IF('Net zero activities &amp; levers'!$C$14="Off",Constants!$H76*'Activity data'!AU18*Constants!$H94*FracLEACHMM*MMLeachEF*NtoN2O*kgtoGg,IF('Net zero activities &amp; levers'!$C$14="On",Constants!$H76*'Net zero Activity data'!AU18*Constants!$H94*FracLEACHMM*MMLeachEF*NtoN2O*kgtoGg,"ERROR"))</f>
        <v>3.374236291282967E-3</v>
      </c>
      <c r="AC1214" s="101">
        <f>IF('Net zero activities &amp; levers'!$C$14="Off",Constants!$H76*'Activity data'!AV18*Constants!$H94*FracLEACHMM*MMLeachEF*NtoN2O*kgtoGg,IF('Net zero activities &amp; levers'!$C$14="On",Constants!$H76*'Net zero Activity data'!AV18*Constants!$H94*FracLEACHMM*MMLeachEF*NtoN2O*kgtoGg,"ERROR"))</f>
        <v>3.3949308007856708E-3</v>
      </c>
      <c r="AD1214" s="101">
        <f>IF('Net zero activities &amp; levers'!$C$14="Off",Constants!$H76*'Activity data'!AW18*Constants!$H94*FracLEACHMM*MMLeachEF*NtoN2O*kgtoGg,IF('Net zero activities &amp; levers'!$C$14="On",Constants!$H76*'Net zero Activity data'!AW18*Constants!$H94*FracLEACHMM*MMLeachEF*NtoN2O*kgtoGg,"ERROR"))</f>
        <v>3.4331006607294153E-3</v>
      </c>
      <c r="AE1214" s="101">
        <f>IF('Net zero activities &amp; levers'!$C$14="Off",Constants!$H76*'Activity data'!AX18*Constants!$H94*FracLEACHMM*MMLeachEF*NtoN2O*kgtoGg,IF('Net zero activities &amp; levers'!$C$14="On",Constants!$H76*'Net zero Activity data'!AX18*Constants!$H94*FracLEACHMM*MMLeachEF*NtoN2O*kgtoGg,"ERROR"))</f>
        <v>3.4776892887637355E-3</v>
      </c>
      <c r="AF1214" s="101">
        <f>IF('Net zero activities &amp; levers'!$C$14="Off",Constants!$H76*'Activity data'!AY18*Constants!$H94*FracLEACHMM*MMLeachEF*NtoN2O*kgtoGg,IF('Net zero activities &amp; levers'!$C$14="On",Constants!$H76*'Net zero Activity data'!AY18*Constants!$H94*FracLEACHMM*MMLeachEF*NtoN2O*kgtoGg,"ERROR"))</f>
        <v>3.5238304817562988E-3</v>
      </c>
      <c r="AG1214" s="101">
        <f>IF('Net zero activities &amp; levers'!$C$14="Off",Constants!$H76*'Activity data'!AZ18*Constants!$H94*FracLEACHMM*MMLeachEF*NtoN2O*kgtoGg,IF('Net zero activities &amp; levers'!$C$14="On",Constants!$H76*'Net zero Activity data'!AZ18*Constants!$H94*FracLEACHMM*MMLeachEF*NtoN2O*kgtoGg,"ERROR"))</f>
        <v>3.4719718964145189E-3</v>
      </c>
      <c r="AH1214" s="101">
        <f>IF('Net zero activities &amp; levers'!$C$14="Off",Constants!$H76*'Activity data'!BA18*Constants!$H94*FracLEACHMM*MMLeachEF*NtoN2O*kgtoGg,IF('Net zero activities &amp; levers'!$C$14="On",Constants!$H76*'Net zero Activity data'!BA18*Constants!$H94*FracLEACHMM*MMLeachEF*NtoN2O*kgtoGg,"ERROR"))</f>
        <v>-1.1714692133953115E-3</v>
      </c>
      <c r="AI1214" s="101">
        <f>IF('Net zero activities &amp; levers'!$C$14="Off",Constants!$H76*'Activity data'!BB18*Constants!$H94*FracLEACHMM*MMLeachEF*NtoN2O*kgtoGg,IF('Net zero activities &amp; levers'!$C$14="On",Constants!$H76*'Net zero Activity data'!BB18*Constants!$H94*FracLEACHMM*MMLeachEF*NtoN2O*kgtoGg,"ERROR"))</f>
        <v>-1.1586552323425276E-3</v>
      </c>
      <c r="AJ1214" s="101">
        <f>IF('Net zero activities &amp; levers'!$C$14="Off",Constants!$H76*'Activity data'!BC18*Constants!$H94*FracLEACHMM*MMLeachEF*NtoN2O*kgtoGg,IF('Net zero activities &amp; levers'!$C$14="On",Constants!$H76*'Net zero Activity data'!BC18*Constants!$H94*FracLEACHMM*MMLeachEF*NtoN2O*kgtoGg,"ERROR"))</f>
        <v>-1.1461157085356224E-3</v>
      </c>
      <c r="AK1214" s="101">
        <f>IF('Net zero activities &amp; levers'!$C$14="Off",Constants!$H76*'Activity data'!BD18*Constants!$H94*FracLEACHMM*MMLeachEF*NtoN2O*kgtoGg,IF('Net zero activities &amp; levers'!$C$14="On",Constants!$H76*'Net zero Activity data'!BD18*Constants!$H94*FracLEACHMM*MMLeachEF*NtoN2O*kgtoGg,"ERROR"))</f>
        <v>-1.133832687326532E-3</v>
      </c>
      <c r="AL1214" s="101">
        <f>IF('Net zero activities &amp; levers'!$C$14="Off",Constants!$H76*'Activity data'!BE18*Constants!$H94*FracLEACHMM*MMLeachEF*NtoN2O*kgtoGg,IF('Net zero activities &amp; levers'!$C$14="On",Constants!$H76*'Net zero Activity data'!BE18*Constants!$H94*FracLEACHMM*MMLeachEF*NtoN2O*kgtoGg,"ERROR"))</f>
        <v>-1.1217895287085682E-3</v>
      </c>
      <c r="AM1214" s="101">
        <f>IF('Net zero activities &amp; levers'!$C$14="Off",Constants!$H76*'Activity data'!BF18*Constants!$H94*FracLEACHMM*MMLeachEF*NtoN2O*kgtoGg,IF('Net zero activities &amp; levers'!$C$14="On",Constants!$H76*'Net zero Activity data'!BF18*Constants!$H94*FracLEACHMM*MMLeachEF*NtoN2O*kgtoGg,"ERROR"))</f>
        <v>-1.109970780182961E-3</v>
      </c>
      <c r="AN1214" s="101">
        <f>IF('Net zero activities &amp; levers'!$C$14="Off",Constants!$H76*'Activity data'!BG18*Constants!$H94*FracLEACHMM*MMLeachEF*NtoN2O*kgtoGg,IF('Net zero activities &amp; levers'!$C$14="On",Constants!$H76*'Net zero Activity data'!BG18*Constants!$H94*FracLEACHMM*MMLeachEF*NtoN2O*kgtoGg,"ERROR"))</f>
        <v>-1.0970079678456562E-3</v>
      </c>
      <c r="AO1214" s="101">
        <f>IF('Net zero activities &amp; levers'!$C$14="Off",Constants!$H76*'Activity data'!BH18*Constants!$H94*FracLEACHMM*MMLeachEF*NtoN2O*kgtoGg,IF('Net zero activities &amp; levers'!$C$14="On",Constants!$H76*'Net zero Activity data'!BH18*Constants!$H94*FracLEACHMM*MMLeachEF*NtoN2O*kgtoGg,"ERROR"))</f>
        <v>-1.0842737081927609E-3</v>
      </c>
      <c r="AP1214" s="101">
        <f>IF('Net zero activities &amp; levers'!$C$14="Off",Constants!$H76*'Activity data'!BI18*Constants!$H94*FracLEACHMM*MMLeachEF*NtoN2O*kgtoGg,IF('Net zero activities &amp; levers'!$C$14="On",Constants!$H76*'Net zero Activity data'!BI18*Constants!$H94*FracLEACHMM*MMLeachEF*NtoN2O*kgtoGg,"ERROR"))</f>
        <v>-1.0717546527021955E-3</v>
      </c>
      <c r="AQ1214" s="101">
        <f>IF('Net zero activities &amp; levers'!$C$14="Off",Constants!$H76*'Activity data'!BJ18*Constants!$H94*FracLEACHMM*MMLeachEF*NtoN2O*kgtoGg,IF('Net zero activities &amp; levers'!$C$14="On",Constants!$H76*'Net zero Activity data'!BJ18*Constants!$H94*FracLEACHMM*MMLeachEF*NtoN2O*kgtoGg,"ERROR"))</f>
        <v>-1.0594383247478308E-3</v>
      </c>
      <c r="AR1214" s="101">
        <f>IF('Net zero activities &amp; levers'!$C$14="Off",Constants!$H76*'Activity data'!BK18*Constants!$H94*FracLEACHMM*MMLeachEF*NtoN2O*kgtoGg,IF('Net zero activities &amp; levers'!$C$14="On",Constants!$H76*'Net zero Activity data'!BK18*Constants!$H94*FracLEACHMM*MMLeachEF*NtoN2O*kgtoGg,"ERROR"))</f>
        <v>-1.0473130442654776E-3</v>
      </c>
      <c r="AS1214" s="101">
        <f>IF('Net zero activities &amp; levers'!$C$14="Off",Constants!$H76*'Activity data'!BL18*Constants!$H94*FracLEACHMM*MMLeachEF*NtoN2O*kgtoGg,IF('Net zero activities &amp; levers'!$C$14="On",Constants!$H76*'Net zero Activity data'!BL18*Constants!$H94*FracLEACHMM*MMLeachEF*NtoN2O*kgtoGg,"ERROR"))</f>
        <v>-1.0340992030399717E-3</v>
      </c>
      <c r="AT1214" s="101">
        <f>IF('Net zero activities &amp; levers'!$C$14="Off",Constants!$H76*'Activity data'!BM18*Constants!$H94*FracLEACHMM*MMLeachEF*NtoN2O*kgtoGg,IF('Net zero activities &amp; levers'!$C$14="On",Constants!$H76*'Net zero Activity data'!BM18*Constants!$H94*FracLEACHMM*MMLeachEF*NtoN2O*kgtoGg,"ERROR"))</f>
        <v>-1.0210871852182944E-3</v>
      </c>
      <c r="AU1214" s="101">
        <f>IF('Net zero activities &amp; levers'!$C$14="Off",Constants!$H76*'Activity data'!BN18*Constants!$H94*FracLEACHMM*MMLeachEF*NtoN2O*kgtoGg,IF('Net zero activities &amp; levers'!$C$14="On",Constants!$H76*'Net zero Activity data'!BN18*Constants!$H94*FracLEACHMM*MMLeachEF*NtoN2O*kgtoGg,"ERROR"))</f>
        <v>-1.0082666022109977E-3</v>
      </c>
      <c r="AV1214" s="101">
        <f>IF('Net zero activities &amp; levers'!$C$14="Off",Constants!$H76*'Activity data'!BO18*Constants!$H94*FracLEACHMM*MMLeachEF*NtoN2O*kgtoGg,IF('Net zero activities &amp; levers'!$C$14="On",Constants!$H76*'Net zero Activity data'!BO18*Constants!$H94*FracLEACHMM*MMLeachEF*NtoN2O*kgtoGg,"ERROR"))</f>
        <v>-9.9562767922285289E-4</v>
      </c>
      <c r="AW1214" s="101">
        <f>IF('Net zero activities &amp; levers'!$C$14="Off",Constants!$H76*'Activity data'!BP18*Constants!$H94*FracLEACHMM*MMLeachEF*NtoN2O*kgtoGg,IF('Net zero activities &amp; levers'!$C$14="On",Constants!$H76*'Net zero Activity data'!BP18*Constants!$H94*FracLEACHMM*MMLeachEF*NtoN2O*kgtoGg,"ERROR"))</f>
        <v>-9.8316120739708342E-4</v>
      </c>
      <c r="AY1214" s="85"/>
    </row>
    <row r="1215" spans="1:51" x14ac:dyDescent="0.25">
      <c r="A1215" s="102" t="str">
        <f t="shared" si="380"/>
        <v>CM MM Leaching</v>
      </c>
      <c r="B1215" s="102" t="s">
        <v>1323</v>
      </c>
      <c r="C1215" s="102" t="s">
        <v>1334</v>
      </c>
      <c r="D1215" t="s">
        <v>369</v>
      </c>
      <c r="E1215" t="s">
        <v>64</v>
      </c>
      <c r="F1215" t="s">
        <v>63</v>
      </c>
      <c r="G1215" t="s">
        <v>1181</v>
      </c>
      <c r="H1215" t="s">
        <v>1321</v>
      </c>
      <c r="I1215" t="s">
        <v>139</v>
      </c>
      <c r="J1215" t="s">
        <v>287</v>
      </c>
      <c r="K1215" s="101">
        <f>IF('Net zero activities &amp; levers'!$C$14="Off",Constants!$H77*'Activity data'!AD19*Constants!$H95*FracLEACHMM*MMLeachEF*NtoN2O*kgtoGg,IF('Net zero activities &amp; levers'!$C$14="On",Constants!$H77*'Net zero Activity data'!AD19*Constants!$H95*FracLEACHMM*MMLeachEF*NtoN2O*kgtoGg,"ERROR"))</f>
        <v>1.6818104652936192E-2</v>
      </c>
      <c r="L1215" s="101">
        <f>IF('Net zero activities &amp; levers'!$C$14="Off",Constants!$H77*'Activity data'!AE19*Constants!$H95*FracLEACHMM*MMLeachEF*NtoN2O*kgtoGg,IF('Net zero activities &amp; levers'!$C$14="On",Constants!$H77*'Net zero Activity data'!AE19*Constants!$H95*FracLEACHMM*MMLeachEF*NtoN2O*kgtoGg,"ERROR"))</f>
        <v>1.718231236008292E-2</v>
      </c>
      <c r="M1215" s="101">
        <f>IF('Net zero activities &amp; levers'!$C$14="Off",Constants!$H77*'Activity data'!AF19*Constants!$H95*FracLEACHMM*MMLeachEF*NtoN2O*kgtoGg,IF('Net zero activities &amp; levers'!$C$14="On",Constants!$H77*'Net zero Activity data'!AF19*Constants!$H95*FracLEACHMM*MMLeachEF*NtoN2O*kgtoGg,"ERROR"))</f>
        <v>1.7475775480268494E-2</v>
      </c>
      <c r="N1215" s="101">
        <f>IF('Net zero activities &amp; levers'!$C$14="Off",Constants!$H77*'Activity data'!AG19*Constants!$H95*FracLEACHMM*MMLeachEF*NtoN2O*kgtoGg,IF('Net zero activities &amp; levers'!$C$14="On",Constants!$H77*'Net zero Activity data'!AG19*Constants!$H95*FracLEACHMM*MMLeachEF*NtoN2O*kgtoGg,"ERROR"))</f>
        <v>1.7667520029914504E-2</v>
      </c>
      <c r="O1215" s="101">
        <f>IF('Net zero activities &amp; levers'!$C$14="Off",Constants!$H77*'Activity data'!AH19*Constants!$H95*FracLEACHMM*MMLeachEF*NtoN2O*kgtoGg,IF('Net zero activities &amp; levers'!$C$14="On",Constants!$H77*'Net zero Activity data'!AH19*Constants!$H95*FracLEACHMM*MMLeachEF*NtoN2O*kgtoGg,"ERROR"))</f>
        <v>1.7861867169015104E-2</v>
      </c>
      <c r="P1215" s="101">
        <f>IF('Net zero activities &amp; levers'!$C$14="Off",Constants!$H77*'Activity data'!AI19*Constants!$H95*FracLEACHMM*MMLeachEF*NtoN2O*kgtoGg,IF('Net zero activities &amp; levers'!$C$14="On",Constants!$H77*'Net zero Activity data'!AI19*Constants!$H95*FracLEACHMM*MMLeachEF*NtoN2O*kgtoGg,"ERROR"))</f>
        <v>1.8112417299921187E-2</v>
      </c>
      <c r="Q1215" s="101">
        <f>IF('Net zero activities &amp; levers'!$C$14="Off",Constants!$H77*'Activity data'!AJ19*Constants!$H95*FracLEACHMM*MMLeachEF*NtoN2O*kgtoGg,IF('Net zero activities &amp; levers'!$C$14="On",Constants!$H77*'Net zero Activity data'!AJ19*Constants!$H95*FracLEACHMM*MMLeachEF*NtoN2O*kgtoGg,"ERROR"))</f>
        <v>1.8380356458960346E-2</v>
      </c>
      <c r="R1215" s="101">
        <f>IF('Net zero activities &amp; levers'!$C$14="Off",Constants!$H77*'Activity data'!AK19*Constants!$H95*FracLEACHMM*MMLeachEF*NtoN2O*kgtoGg,IF('Net zero activities &amp; levers'!$C$14="On",Constants!$H77*'Net zero Activity data'!AK19*Constants!$H95*FracLEACHMM*MMLeachEF*NtoN2O*kgtoGg,"ERROR"))</f>
        <v>1.8536177397088752E-2</v>
      </c>
      <c r="S1215" s="101">
        <f>IF('Net zero activities &amp; levers'!$C$14="Off",Constants!$H77*'Activity data'!AL19*Constants!$H95*FracLEACHMM*MMLeachEF*NtoN2O*kgtoGg,IF('Net zero activities &amp; levers'!$C$14="On",Constants!$H77*'Net zero Activity data'!AL19*Constants!$H95*FracLEACHMM*MMLeachEF*NtoN2O*kgtoGg,"ERROR"))</f>
        <v>1.76397656538211E-2</v>
      </c>
      <c r="T1215" s="101">
        <f>IF('Net zero activities &amp; levers'!$C$14="Off",Constants!$H77*'Activity data'!AM19*Constants!$H95*FracLEACHMM*MMLeachEF*NtoN2O*kgtoGg,IF('Net zero activities &amp; levers'!$C$14="On",Constants!$H77*'Net zero Activity data'!AM19*Constants!$H95*FracLEACHMM*MMLeachEF*NtoN2O*kgtoGg,"ERROR"))</f>
        <v>1.801846759992717E-2</v>
      </c>
      <c r="U1215" s="101">
        <f>IF('Net zero activities &amp; levers'!$C$14="Off",Constants!$H77*'Activity data'!AN19*Constants!$H95*FracLEACHMM*MMLeachEF*NtoN2O*kgtoGg,IF('Net zero activities &amp; levers'!$C$14="On",Constants!$H77*'Net zero Activity data'!AN19*Constants!$H95*FracLEACHMM*MMLeachEF*NtoN2O*kgtoGg,"ERROR"))</f>
        <v>1.8371985881481728E-2</v>
      </c>
      <c r="V1215" s="101">
        <f>IF('Net zero activities &amp; levers'!$C$14="Off",Constants!$H77*'Activity data'!AO19*Constants!$H95*FracLEACHMM*MMLeachEF*NtoN2O*kgtoGg,IF('Net zero activities &amp; levers'!$C$14="On",Constants!$H77*'Net zero Activity data'!AO19*Constants!$H95*FracLEACHMM*MMLeachEF*NtoN2O*kgtoGg,"ERROR"))</f>
        <v>1.8728295000039214E-2</v>
      </c>
      <c r="W1215" s="101">
        <f>IF('Net zero activities &amp; levers'!$C$14="Off",Constants!$H77*'Activity data'!AP19*Constants!$H95*FracLEACHMM*MMLeachEF*NtoN2O*kgtoGg,IF('Net zero activities &amp; levers'!$C$14="On",Constants!$H77*'Net zero Activity data'!AP19*Constants!$H95*FracLEACHMM*MMLeachEF*NtoN2O*kgtoGg,"ERROR"))</f>
        <v>1.9132681284008777E-2</v>
      </c>
      <c r="X1215" s="101">
        <f>IF('Net zero activities &amp; levers'!$C$14="Off",Constants!$H77*'Activity data'!AQ19*Constants!$H95*FracLEACHMM*MMLeachEF*NtoN2O*kgtoGg,IF('Net zero activities &amp; levers'!$C$14="On",Constants!$H77*'Net zero Activity data'!AQ19*Constants!$H95*FracLEACHMM*MMLeachEF*NtoN2O*kgtoGg,"ERROR"))</f>
        <v>1.9540426695963047E-2</v>
      </c>
      <c r="Y1215" s="101">
        <f>IF('Net zero activities &amp; levers'!$C$14="Off",Constants!$H77*'Activity data'!AR19*Constants!$H95*FracLEACHMM*MMLeachEF*NtoN2O*kgtoGg,IF('Net zero activities &amp; levers'!$C$14="On",Constants!$H77*'Net zero Activity data'!AR19*Constants!$H95*FracLEACHMM*MMLeachEF*NtoN2O*kgtoGg,"ERROR"))</f>
        <v>1.9948690293653936E-2</v>
      </c>
      <c r="Z1215" s="101">
        <f>IF('Net zero activities &amp; levers'!$C$14="Off",Constants!$H77*'Activity data'!AS19*Constants!$H95*FracLEACHMM*MMLeachEF*NtoN2O*kgtoGg,IF('Net zero activities &amp; levers'!$C$14="On",Constants!$H77*'Net zero Activity data'!AS19*Constants!$H95*FracLEACHMM*MMLeachEF*NtoN2O*kgtoGg,"ERROR"))</f>
        <v>2.0349079299491275E-2</v>
      </c>
      <c r="AA1215" s="101">
        <f>IF('Net zero activities &amp; levers'!$C$14="Off",Constants!$H77*'Activity data'!AT19*Constants!$H95*FracLEACHMM*MMLeachEF*NtoN2O*kgtoGg,IF('Net zero activities &amp; levers'!$C$14="On",Constants!$H77*'Net zero Activity data'!AT19*Constants!$H95*FracLEACHMM*MMLeachEF*NtoN2O*kgtoGg,"ERROR"))</f>
        <v>2.0770745700628056E-2</v>
      </c>
      <c r="AB1215" s="101">
        <f>IF('Net zero activities &amp; levers'!$C$14="Off",Constants!$H77*'Activity data'!AU19*Constants!$H95*FracLEACHMM*MMLeachEF*NtoN2O*kgtoGg,IF('Net zero activities &amp; levers'!$C$14="On",Constants!$H77*'Net zero Activity data'!AU19*Constants!$H95*FracLEACHMM*MMLeachEF*NtoN2O*kgtoGg,"ERROR"))</f>
        <v>2.1173883464125715E-2</v>
      </c>
      <c r="AC1215" s="101">
        <f>IF('Net zero activities &amp; levers'!$C$14="Off",Constants!$H77*'Activity data'!AV19*Constants!$H95*FracLEACHMM*MMLeachEF*NtoN2O*kgtoGg,IF('Net zero activities &amp; levers'!$C$14="On",Constants!$H77*'Net zero Activity data'!AV19*Constants!$H95*FracLEACHMM*MMLeachEF*NtoN2O*kgtoGg,"ERROR"))</f>
        <v>2.1586582056186982E-2</v>
      </c>
      <c r="AD1215" s="101">
        <f>IF('Net zero activities &amp; levers'!$C$14="Off",Constants!$H77*'Activity data'!AW19*Constants!$H95*FracLEACHMM*MMLeachEF*NtoN2O*kgtoGg,IF('Net zero activities &amp; levers'!$C$14="On",Constants!$H77*'Net zero Activity data'!AW19*Constants!$H95*FracLEACHMM*MMLeachEF*NtoN2O*kgtoGg,"ERROR"))</f>
        <v>2.2054503180091424E-2</v>
      </c>
      <c r="AE1215" s="101">
        <f>IF('Net zero activities &amp; levers'!$C$14="Off",Constants!$H77*'Activity data'!AX19*Constants!$H95*FracLEACHMM*MMLeachEF*NtoN2O*kgtoGg,IF('Net zero activities &amp; levers'!$C$14="On",Constants!$H77*'Net zero Activity data'!AX19*Constants!$H95*FracLEACHMM*MMLeachEF*NtoN2O*kgtoGg,"ERROR"))</f>
        <v>2.2554673664968956E-2</v>
      </c>
      <c r="AF1215" s="101">
        <f>IF('Net zero activities &amp; levers'!$C$14="Off",Constants!$H77*'Activity data'!AY19*Constants!$H95*FracLEACHMM*MMLeachEF*NtoN2O*kgtoGg,IF('Net zero activities &amp; levers'!$C$14="On",Constants!$H77*'Net zero Activity data'!AY19*Constants!$H95*FracLEACHMM*MMLeachEF*NtoN2O*kgtoGg,"ERROR"))</f>
        <v>2.3070579743094625E-2</v>
      </c>
      <c r="AG1215" s="101">
        <f>IF('Net zero activities &amp; levers'!$C$14="Off",Constants!$H77*'Activity data'!AZ19*Constants!$H95*FracLEACHMM*MMLeachEF*NtoN2O*kgtoGg,IF('Net zero activities &amp; levers'!$C$14="On",Constants!$H77*'Net zero Activity data'!AZ19*Constants!$H95*FracLEACHMM*MMLeachEF*NtoN2O*kgtoGg,"ERROR"))</f>
        <v>2.3224138845155579E-2</v>
      </c>
      <c r="AH1215" s="101">
        <f>IF('Net zero activities &amp; levers'!$C$14="Off",Constants!$H77*'Activity data'!BA19*Constants!$H95*FracLEACHMM*MMLeachEF*NtoN2O*kgtoGg,IF('Net zero activities &amp; levers'!$C$14="On",Constants!$H77*'Net zero Activity data'!BA19*Constants!$H95*FracLEACHMM*MMLeachEF*NtoN2O*kgtoGg,"ERROR"))</f>
        <v>5.566614295378065E-3</v>
      </c>
      <c r="AI1215" s="101">
        <f>IF('Net zero activities &amp; levers'!$C$14="Off",Constants!$H77*'Activity data'!BB19*Constants!$H95*FracLEACHMM*MMLeachEF*NtoN2O*kgtoGg,IF('Net zero activities &amp; levers'!$C$14="On",Constants!$H77*'Net zero Activity data'!BB19*Constants!$H95*FracLEACHMM*MMLeachEF*NtoN2O*kgtoGg,"ERROR"))</f>
        <v>5.6093984340287433E-3</v>
      </c>
      <c r="AJ1215" s="101">
        <f>IF('Net zero activities &amp; levers'!$C$14="Off",Constants!$H77*'Activity data'!BC19*Constants!$H95*FracLEACHMM*MMLeachEF*NtoN2O*kgtoGg,IF('Net zero activities &amp; levers'!$C$14="On",Constants!$H77*'Net zero Activity data'!BC19*Constants!$H95*FracLEACHMM*MMLeachEF*NtoN2O*kgtoGg,"ERROR"))</f>
        <v>5.652494073803362E-3</v>
      </c>
      <c r="AK1215" s="101">
        <f>IF('Net zero activities &amp; levers'!$C$14="Off",Constants!$H77*'Activity data'!BD19*Constants!$H95*FracLEACHMM*MMLeachEF*NtoN2O*kgtoGg,IF('Net zero activities &amp; levers'!$C$14="On",Constants!$H77*'Net zero Activity data'!BD19*Constants!$H95*FracLEACHMM*MMLeachEF*NtoN2O*kgtoGg,"ERROR"))</f>
        <v>5.6959035866970768E-3</v>
      </c>
      <c r="AL1215" s="101">
        <f>IF('Net zero activities &amp; levers'!$C$14="Off",Constants!$H77*'Activity data'!BE19*Constants!$H95*FracLEACHMM*MMLeachEF*NtoN2O*kgtoGg,IF('Net zero activities &amp; levers'!$C$14="On",Constants!$H77*'Net zero Activity data'!BE19*Constants!$H95*FracLEACHMM*MMLeachEF*NtoN2O*kgtoGg,"ERROR"))</f>
        <v>5.7396293554766858E-3</v>
      </c>
      <c r="AM1215" s="101">
        <f>IF('Net zero activities &amp; levers'!$C$14="Off",Constants!$H77*'Activity data'!BF19*Constants!$H95*FracLEACHMM*MMLeachEF*NtoN2O*kgtoGg,IF('Net zero activities &amp; levers'!$C$14="On",Constants!$H77*'Net zero Activity data'!BF19*Constants!$H95*FracLEACHMM*MMLeachEF*NtoN2O*kgtoGg,"ERROR"))</f>
        <v>5.7836737743814492E-3</v>
      </c>
      <c r="AN1215" s="101">
        <f>IF('Net zero activities &amp; levers'!$C$14="Off",Constants!$H77*'Activity data'!BG19*Constants!$H95*FracLEACHMM*MMLeachEF*NtoN2O*kgtoGg,IF('Net zero activities &amp; levers'!$C$14="On",Constants!$H77*'Net zero Activity data'!BG19*Constants!$H95*FracLEACHMM*MMLeachEF*NtoN2O*kgtoGg,"ERROR"))</f>
        <v>5.821325048469962E-3</v>
      </c>
      <c r="AO1215" s="101">
        <f>IF('Net zero activities &amp; levers'!$C$14="Off",Constants!$H77*'Activity data'!BH19*Constants!$H95*FracLEACHMM*MMLeachEF*NtoN2O*kgtoGg,IF('Net zero activities &amp; levers'!$C$14="On",Constants!$H77*'Net zero Activity data'!BH19*Constants!$H95*FracLEACHMM*MMLeachEF*NtoN2O*kgtoGg,"ERROR"))</f>
        <v>5.8592087350485328E-3</v>
      </c>
      <c r="AP1215" s="101">
        <f>IF('Net zero activities &amp; levers'!$C$14="Off",Constants!$H77*'Activity data'!BI19*Constants!$H95*FracLEACHMM*MMLeachEF*NtoN2O*kgtoGg,IF('Net zero activities &amp; levers'!$C$14="On",Constants!$H77*'Net zero Activity data'!BI19*Constants!$H95*FracLEACHMM*MMLeachEF*NtoN2O*kgtoGg,"ERROR"))</f>
        <v>5.8973263448292906E-3</v>
      </c>
      <c r="AQ1215" s="101">
        <f>IF('Net zero activities &amp; levers'!$C$14="Off",Constants!$H77*'Activity data'!BJ19*Constants!$H95*FracLEACHMM*MMLeachEF*NtoN2O*kgtoGg,IF('Net zero activities &amp; levers'!$C$14="On",Constants!$H77*'Net zero Activity data'!BJ19*Constants!$H95*FracLEACHMM*MMLeachEF*NtoN2O*kgtoGg,"ERROR"))</f>
        <v>5.9356793935795814E-3</v>
      </c>
      <c r="AR1215" s="101">
        <f>IF('Net zero activities &amp; levers'!$C$14="Off",Constants!$H77*'Activity data'!BK19*Constants!$H95*FracLEACHMM*MMLeachEF*NtoN2O*kgtoGg,IF('Net zero activities &amp; levers'!$C$14="On",Constants!$H77*'Net zero Activity data'!BK19*Constants!$H95*FracLEACHMM*MMLeachEF*NtoN2O*kgtoGg,"ERROR"))</f>
        <v>5.9742694025184985E-3</v>
      </c>
      <c r="AS1215" s="101">
        <f>IF('Net zero activities &amp; levers'!$C$14="Off",Constants!$H77*'Activity data'!BL19*Constants!$H95*FracLEACHMM*MMLeachEF*NtoN2O*kgtoGg,IF('Net zero activities &amp; levers'!$C$14="On",Constants!$H77*'Net zero Activity data'!BL19*Constants!$H95*FracLEACHMM*MMLeachEF*NtoN2O*kgtoGg,"ERROR"))</f>
        <v>6.0061978888300534E-3</v>
      </c>
      <c r="AT1215" s="101">
        <f>IF('Net zero activities &amp; levers'!$C$14="Off",Constants!$H77*'Activity data'!BM19*Constants!$H95*FracLEACHMM*MMLeachEF*NtoN2O*kgtoGg,IF('Net zero activities &amp; levers'!$C$14="On",Constants!$H77*'Net zero Activity data'!BM19*Constants!$H95*FracLEACHMM*MMLeachEF*NtoN2O*kgtoGg,"ERROR"))</f>
        <v>6.0382881266520675E-3</v>
      </c>
      <c r="AU1215" s="101">
        <f>IF('Net zero activities &amp; levers'!$C$14="Off",Constants!$H77*'Activity data'!BN19*Constants!$H95*FracLEACHMM*MMLeachEF*NtoN2O*kgtoGg,IF('Net zero activities &amp; levers'!$C$14="On",Constants!$H77*'Net zero Activity data'!BN19*Constants!$H95*FracLEACHMM*MMLeachEF*NtoN2O*kgtoGg,"ERROR"))</f>
        <v>6.0705409933047069E-3</v>
      </c>
      <c r="AV1215" s="101">
        <f>IF('Net zero activities &amp; levers'!$C$14="Off",Constants!$H77*'Activity data'!BO19*Constants!$H95*FracLEACHMM*MMLeachEF*NtoN2O*kgtoGg,IF('Net zero activities &amp; levers'!$C$14="On",Constants!$H77*'Net zero Activity data'!BO19*Constants!$H95*FracLEACHMM*MMLeachEF*NtoN2O*kgtoGg,"ERROR"))</f>
        <v>6.1029573675840942E-3</v>
      </c>
      <c r="AW1215" s="101">
        <f>IF('Net zero activities &amp; levers'!$C$14="Off",Constants!$H77*'Activity data'!BP19*Constants!$H95*FracLEACHMM*MMLeachEF*NtoN2O*kgtoGg,IF('Net zero activities &amp; levers'!$C$14="On",Constants!$H77*'Net zero Activity data'!BP19*Constants!$H95*FracLEACHMM*MMLeachEF*NtoN2O*kgtoGg,"ERROR"))</f>
        <v>6.1355381299989719E-3</v>
      </c>
      <c r="AY1215" s="85"/>
    </row>
    <row r="1216" spans="1:51" x14ac:dyDescent="0.25">
      <c r="A1216" s="102" t="str">
        <f t="shared" si="380"/>
        <v>CM MM Leaching</v>
      </c>
      <c r="B1216" s="102" t="s">
        <v>1323</v>
      </c>
      <c r="C1216" s="102" t="s">
        <v>1334</v>
      </c>
      <c r="D1216" t="s">
        <v>369</v>
      </c>
      <c r="E1216" t="s">
        <v>64</v>
      </c>
      <c r="F1216" t="s">
        <v>63</v>
      </c>
      <c r="G1216" t="s">
        <v>1183</v>
      </c>
      <c r="H1216" t="s">
        <v>1322</v>
      </c>
      <c r="I1216" t="s">
        <v>139</v>
      </c>
      <c r="J1216" t="s">
        <v>287</v>
      </c>
      <c r="K1216" s="101">
        <f>IF('Net zero activities &amp; levers'!$C$14="Off",Constants!$H78*'Activity data'!AD20*Constants!$H96*FracLEACHMM*MMLeachEF*NtoN2O*kgtoGg,IF('Net zero activities &amp; levers'!$C$14="On",Constants!$H78*'Net zero Activity data'!AD20*Constants!$H96*FracLEACHMM*MMLeachEF*NtoN2O*kgtoGg,"ERROR"))</f>
        <v>7.8494818970751015E-2</v>
      </c>
      <c r="L1216" s="101">
        <f>IF('Net zero activities &amp; levers'!$C$14="Off",Constants!$H78*'Activity data'!AE20*Constants!$H96*FracLEACHMM*MMLeachEF*NtoN2O*kgtoGg,IF('Net zero activities &amp; levers'!$C$14="On",Constants!$H78*'Net zero Activity data'!AE20*Constants!$H96*FracLEACHMM*MMLeachEF*NtoN2O*kgtoGg,"ERROR"))</f>
        <v>7.9768604189276573E-2</v>
      </c>
      <c r="M1216" s="101">
        <f>IF('Net zero activities &amp; levers'!$C$14="Off",Constants!$H78*'Activity data'!AF20*Constants!$H96*FracLEACHMM*MMLeachEF*NtoN2O*kgtoGg,IF('Net zero activities &amp; levers'!$C$14="On",Constants!$H78*'Net zero Activity data'!AF20*Constants!$H96*FracLEACHMM*MMLeachEF*NtoN2O*kgtoGg,"ERROR"))</f>
        <v>8.0146817618550151E-2</v>
      </c>
      <c r="N1216" s="101">
        <f>IF('Net zero activities &amp; levers'!$C$14="Off",Constants!$H78*'Activity data'!AG20*Constants!$H96*FracLEACHMM*MMLeachEF*NtoN2O*kgtoGg,IF('Net zero activities &amp; levers'!$C$14="On",Constants!$H78*'Net zero Activity data'!AG20*Constants!$H96*FracLEACHMM*MMLeachEF*NtoN2O*kgtoGg,"ERROR"))</f>
        <v>7.92990227060308E-2</v>
      </c>
      <c r="O1216" s="101">
        <f>IF('Net zero activities &amp; levers'!$C$14="Off",Constants!$H78*'Activity data'!AH20*Constants!$H96*FracLEACHMM*MMLeachEF*NtoN2O*kgtoGg,IF('Net zero activities &amp; levers'!$C$14="On",Constants!$H78*'Net zero Activity data'!AH20*Constants!$H96*FracLEACHMM*MMLeachEF*NtoN2O*kgtoGg,"ERROR"))</f>
        <v>7.8453048138272599E-2</v>
      </c>
      <c r="P1216" s="101">
        <f>IF('Net zero activities &amp; levers'!$C$14="Off",Constants!$H78*'Activity data'!AI20*Constants!$H96*FracLEACHMM*MMLeachEF*NtoN2O*kgtoGg,IF('Net zero activities &amp; levers'!$C$14="On",Constants!$H78*'Net zero Activity data'!AI20*Constants!$H96*FracLEACHMM*MMLeachEF*NtoN2O*kgtoGg,"ERROR"))</f>
        <v>7.8207580187434067E-2</v>
      </c>
      <c r="Q1216" s="101">
        <f>IF('Net zero activities &amp; levers'!$C$14="Off",Constants!$H78*'Activity data'!AJ20*Constants!$H96*FracLEACHMM*MMLeachEF*NtoN2O*kgtoGg,IF('Net zero activities &amp; levers'!$C$14="On",Constants!$H78*'Net zero Activity data'!AJ20*Constants!$H96*FracLEACHMM*MMLeachEF*NtoN2O*kgtoGg,"ERROR"))</f>
        <v>7.8156445174191957E-2</v>
      </c>
      <c r="R1216" s="101">
        <f>IF('Net zero activities &amp; levers'!$C$14="Off",Constants!$H78*'Activity data'!AK20*Constants!$H96*FracLEACHMM*MMLeachEF*NtoN2O*kgtoGg,IF('Net zero activities &amp; levers'!$C$14="On",Constants!$H78*'Net zero Activity data'!AK20*Constants!$H96*FracLEACHMM*MMLeachEF*NtoN2O*kgtoGg,"ERROR"))</f>
        <v>7.6852772864248492E-2</v>
      </c>
      <c r="S1216" s="101">
        <f>IF('Net zero activities &amp; levers'!$C$14="Off",Constants!$H78*'Activity data'!AL20*Constants!$H96*FracLEACHMM*MMLeachEF*NtoN2O*kgtoGg,IF('Net zero activities &amp; levers'!$C$14="On",Constants!$H78*'Net zero Activity data'!AL20*Constants!$H96*FracLEACHMM*MMLeachEF*NtoN2O*kgtoGg,"ERROR"))</f>
        <v>6.4037092776490251E-2</v>
      </c>
      <c r="T1216" s="101">
        <f>IF('Net zero activities &amp; levers'!$C$14="Off",Constants!$H78*'Activity data'!AM20*Constants!$H96*FracLEACHMM*MMLeachEF*NtoN2O*kgtoGg,IF('Net zero activities &amp; levers'!$C$14="On",Constants!$H78*'Net zero Activity data'!AM20*Constants!$H96*FracLEACHMM*MMLeachEF*NtoN2O*kgtoGg,"ERROR"))</f>
        <v>6.592602729202128E-2</v>
      </c>
      <c r="U1216" s="101">
        <f>IF('Net zero activities &amp; levers'!$C$14="Off",Constants!$H78*'Activity data'!AN20*Constants!$H96*FracLEACHMM*MMLeachEF*NtoN2O*kgtoGg,IF('Net zero activities &amp; levers'!$C$14="On",Constants!$H78*'Net zero Activity data'!AN20*Constants!$H96*FracLEACHMM*MMLeachEF*NtoN2O*kgtoGg,"ERROR"))</f>
        <v>6.7504922847287652E-2</v>
      </c>
      <c r="V1216" s="101">
        <f>IF('Net zero activities &amp; levers'!$C$14="Off",Constants!$H78*'Activity data'!AO20*Constants!$H96*FracLEACHMM*MMLeachEF*NtoN2O*kgtoGg,IF('Net zero activities &amp; levers'!$C$14="On",Constants!$H78*'Net zero Activity data'!AO20*Constants!$H96*FracLEACHMM*MMLeachEF*NtoN2O*kgtoGg,"ERROR"))</f>
        <v>6.9079987400904638E-2</v>
      </c>
      <c r="W1216" s="101">
        <f>IF('Net zero activities &amp; levers'!$C$14="Off",Constants!$H78*'Activity data'!AP20*Constants!$H96*FracLEACHMM*MMLeachEF*NtoN2O*kgtoGg,IF('Net zero activities &amp; levers'!$C$14="On",Constants!$H78*'Net zero Activity data'!AP20*Constants!$H96*FracLEACHMM*MMLeachEF*NtoN2O*kgtoGg,"ERROR"))</f>
        <v>7.1129196138688011E-2</v>
      </c>
      <c r="X1216" s="101">
        <f>IF('Net zero activities &amp; levers'!$C$14="Off",Constants!$H78*'Activity data'!AQ20*Constants!$H96*FracLEACHMM*MMLeachEF*NtoN2O*kgtoGg,IF('Net zero activities &amp; levers'!$C$14="On",Constants!$H78*'Net zero Activity data'!AQ20*Constants!$H96*FracLEACHMM*MMLeachEF*NtoN2O*kgtoGg,"ERROR"))</f>
        <v>7.3172253795344297E-2</v>
      </c>
      <c r="Y1216" s="101">
        <f>IF('Net zero activities &amp; levers'!$C$14="Off",Constants!$H78*'Activity data'!AR20*Constants!$H96*FracLEACHMM*MMLeachEF*NtoN2O*kgtoGg,IF('Net zero activities &amp; levers'!$C$14="On",Constants!$H78*'Net zero Activity data'!AR20*Constants!$H96*FracLEACHMM*MMLeachEF*NtoN2O*kgtoGg,"ERROR"))</f>
        <v>7.5415394971077201E-2</v>
      </c>
      <c r="Z1216" s="101">
        <f>IF('Net zero activities &amp; levers'!$C$14="Off",Constants!$H78*'Activity data'!AS20*Constants!$H96*FracLEACHMM*MMLeachEF*NtoN2O*kgtoGg,IF('Net zero activities &amp; levers'!$C$14="On",Constants!$H78*'Net zero Activity data'!AS20*Constants!$H96*FracLEACHMM*MMLeachEF*NtoN2O*kgtoGg,"ERROR"))</f>
        <v>7.7538763261802646E-2</v>
      </c>
      <c r="AA1216" s="101">
        <f>IF('Net zero activities &amp; levers'!$C$14="Off",Constants!$H78*'Activity data'!AT20*Constants!$H96*FracLEACHMM*MMLeachEF*NtoN2O*kgtoGg,IF('Net zero activities &amp; levers'!$C$14="On",Constants!$H78*'Net zero Activity data'!AT20*Constants!$H96*FracLEACHMM*MMLeachEF*NtoN2O*kgtoGg,"ERROR"))</f>
        <v>7.984321522583579E-2</v>
      </c>
      <c r="AB1216" s="101">
        <f>IF('Net zero activities &amp; levers'!$C$14="Off",Constants!$H78*'Activity data'!AU20*Constants!$H96*FracLEACHMM*MMLeachEF*NtoN2O*kgtoGg,IF('Net zero activities &amp; levers'!$C$14="On",Constants!$H78*'Net zero Activity data'!AU20*Constants!$H96*FracLEACHMM*MMLeachEF*NtoN2O*kgtoGg,"ERROR"))</f>
        <v>8.1921087927437922E-2</v>
      </c>
      <c r="AC1216" s="101">
        <f>IF('Net zero activities &amp; levers'!$C$14="Off",Constants!$H78*'Activity data'!AV20*Constants!$H96*FracLEACHMM*MMLeachEF*NtoN2O*kgtoGg,IF('Net zero activities &amp; levers'!$C$14="On",Constants!$H78*'Net zero Activity data'!AV20*Constants!$H96*FracLEACHMM*MMLeachEF*NtoN2O*kgtoGg,"ERROR"))</f>
        <v>8.4060316833005314E-2</v>
      </c>
      <c r="AD1216" s="101">
        <f>IF('Net zero activities &amp; levers'!$C$14="Off",Constants!$H78*'Activity data'!AW20*Constants!$H96*FracLEACHMM*MMLeachEF*NtoN2O*kgtoGg,IF('Net zero activities &amp; levers'!$C$14="On",Constants!$H78*'Net zero Activity data'!AW20*Constants!$H96*FracLEACHMM*MMLeachEF*NtoN2O*kgtoGg,"ERROR"))</f>
        <v>8.6903196778093231E-2</v>
      </c>
      <c r="AE1216" s="101">
        <f>IF('Net zero activities &amp; levers'!$C$14="Off",Constants!$H78*'Activity data'!AX20*Constants!$H96*FracLEACHMM*MMLeachEF*NtoN2O*kgtoGg,IF('Net zero activities &amp; levers'!$C$14="On",Constants!$H78*'Net zero Activity data'!AX20*Constants!$H96*FracLEACHMM*MMLeachEF*NtoN2O*kgtoGg,"ERROR"))</f>
        <v>9.0024318002173712E-2</v>
      </c>
      <c r="AF1216" s="101">
        <f>IF('Net zero activities &amp; levers'!$C$14="Off",Constants!$H78*'Activity data'!AY20*Constants!$H96*FracLEACHMM*MMLeachEF*NtoN2O*kgtoGg,IF('Net zero activities &amp; levers'!$C$14="On",Constants!$H78*'Net zero Activity data'!AY20*Constants!$H96*FracLEACHMM*MMLeachEF*NtoN2O*kgtoGg,"ERROR"))</f>
        <v>9.3255519309180357E-2</v>
      </c>
      <c r="AG1216" s="101">
        <f>IF('Net zero activities &amp; levers'!$C$14="Off",Constants!$H78*'Activity data'!AZ20*Constants!$H96*FracLEACHMM*MMLeachEF*NtoN2O*kgtoGg,IF('Net zero activities &amp; levers'!$C$14="On",Constants!$H78*'Net zero Activity data'!AZ20*Constants!$H96*FracLEACHMM*MMLeachEF*NtoN2O*kgtoGg,"ERROR"))</f>
        <v>9.2895703603725718E-2</v>
      </c>
      <c r="AH1216" s="101">
        <f>IF('Net zero activities &amp; levers'!$C$14="Off",Constants!$H78*'Activity data'!BA20*Constants!$H96*FracLEACHMM*MMLeachEF*NtoN2O*kgtoGg,IF('Net zero activities &amp; levers'!$C$14="On",Constants!$H78*'Net zero Activity data'!BA20*Constants!$H96*FracLEACHMM*MMLeachEF*NtoN2O*kgtoGg,"ERROR"))</f>
        <v>-8.0563954207335059E-2</v>
      </c>
      <c r="AI1216" s="101">
        <f>IF('Net zero activities &amp; levers'!$C$14="Off",Constants!$H78*'Activity data'!BB20*Constants!$H96*FracLEACHMM*MMLeachEF*NtoN2O*kgtoGg,IF('Net zero activities &amp; levers'!$C$14="On",Constants!$H78*'Net zero Activity data'!BB20*Constants!$H96*FracLEACHMM*MMLeachEF*NtoN2O*kgtoGg,"ERROR"))</f>
        <v>-8.0679385855871269E-2</v>
      </c>
      <c r="AJ1216" s="101">
        <f>IF('Net zero activities &amp; levers'!$C$14="Off",Constants!$H78*'Activity data'!BC20*Constants!$H96*FracLEACHMM*MMLeachEF*NtoN2O*kgtoGg,IF('Net zero activities &amp; levers'!$C$14="On",Constants!$H78*'Net zero Activity data'!BC20*Constants!$H96*FracLEACHMM*MMLeachEF*NtoN2O*kgtoGg,"ERROR"))</f>
        <v>-8.0804585525595149E-2</v>
      </c>
      <c r="AK1216" s="101">
        <f>IF('Net zero activities &amp; levers'!$C$14="Off",Constants!$H78*'Activity data'!BD20*Constants!$H96*FracLEACHMM*MMLeachEF*NtoN2O*kgtoGg,IF('Net zero activities &amp; levers'!$C$14="On",Constants!$H78*'Net zero Activity data'!BD20*Constants!$H96*FracLEACHMM*MMLeachEF*NtoN2O*kgtoGg,"ERROR"))</f>
        <v>-8.0939145577368532E-2</v>
      </c>
      <c r="AL1216" s="101">
        <f>IF('Net zero activities &amp; levers'!$C$14="Off",Constants!$H78*'Activity data'!BE20*Constants!$H96*FracLEACHMM*MMLeachEF*NtoN2O*kgtoGg,IF('Net zero activities &amp; levers'!$C$14="On",Constants!$H78*'Net zero Activity data'!BE20*Constants!$H96*FracLEACHMM*MMLeachEF*NtoN2O*kgtoGg,"ERROR"))</f>
        <v>-8.1082690034370505E-2</v>
      </c>
      <c r="AM1216" s="101">
        <f>IF('Net zero activities &amp; levers'!$C$14="Off",Constants!$H78*'Activity data'!BF20*Constants!$H96*FracLEACHMM*MMLeachEF*NtoN2O*kgtoGg,IF('Net zero activities &amp; levers'!$C$14="On",Constants!$H78*'Net zero Activity data'!BF20*Constants!$H96*FracLEACHMM*MMLeachEF*NtoN2O*kgtoGg,"ERROR"))</f>
        <v>-8.1234871540648887E-2</v>
      </c>
      <c r="AN1216" s="101">
        <f>IF('Net zero activities &amp; levers'!$C$14="Off",Constants!$H78*'Activity data'!BG20*Constants!$H96*FracLEACHMM*MMLeachEF*NtoN2O*kgtoGg,IF('Net zero activities &amp; levers'!$C$14="On",Constants!$H78*'Net zero Activity data'!BG20*Constants!$H96*FracLEACHMM*MMLeachEF*NtoN2O*kgtoGg,"ERROR"))</f>
        <v>-8.1297506735230202E-2</v>
      </c>
      <c r="AO1216" s="101">
        <f>IF('Net zero activities &amp; levers'!$C$14="Off",Constants!$H78*'Activity data'!BH20*Constants!$H96*FracLEACHMM*MMLeachEF*NtoN2O*kgtoGg,IF('Net zero activities &amp; levers'!$C$14="On",Constants!$H78*'Net zero Activity data'!BH20*Constants!$H96*FracLEACHMM*MMLeachEF*NtoN2O*kgtoGg,"ERROR"))</f>
        <v>-8.1367991924777852E-2</v>
      </c>
      <c r="AP1216" s="101">
        <f>IF('Net zero activities &amp; levers'!$C$14="Off",Constants!$H78*'Activity data'!BI20*Constants!$H96*FracLEACHMM*MMLeachEF*NtoN2O*kgtoGg,IF('Net zero activities &amp; levers'!$C$14="On",Constants!$H78*'Net zero Activity data'!BI20*Constants!$H96*FracLEACHMM*MMLeachEF*NtoN2O*kgtoGg,"ERROR"))</f>
        <v>-8.144602229798413E-2</v>
      </c>
      <c r="AQ1216" s="101">
        <f>IF('Net zero activities &amp; levers'!$C$14="Off",Constants!$H78*'Activity data'!BJ20*Constants!$H96*FracLEACHMM*MMLeachEF*NtoN2O*kgtoGg,IF('Net zero activities &amp; levers'!$C$14="On",Constants!$H78*'Net zero Activity data'!BJ20*Constants!$H96*FracLEACHMM*MMLeachEF*NtoN2O*kgtoGg,"ERROR"))</f>
        <v>-8.1531313973181002E-2</v>
      </c>
      <c r="AR1216" s="101">
        <f>IF('Net zero activities &amp; levers'!$C$14="Off",Constants!$H78*'Activity data'!BK20*Constants!$H96*FracLEACHMM*MMLeachEF*NtoN2O*kgtoGg,IF('Net zero activities &amp; levers'!$C$14="On",Constants!$H78*'Net zero Activity data'!BK20*Constants!$H96*FracLEACHMM*MMLeachEF*NtoN2O*kgtoGg,"ERROR"))</f>
        <v>-8.1623602199923873E-2</v>
      </c>
      <c r="AS1216" s="101">
        <f>IF('Net zero activities &amp; levers'!$C$14="Off",Constants!$H78*'Activity data'!BL20*Constants!$H96*FracLEACHMM*MMLeachEF*NtoN2O*kgtoGg,IF('Net zero activities &amp; levers'!$C$14="On",Constants!$H78*'Net zero Activity data'!BL20*Constants!$H96*FracLEACHMM*MMLeachEF*NtoN2O*kgtoGg,"ERROR"))</f>
        <v>-8.1624903700920404E-2</v>
      </c>
      <c r="AT1216" s="101">
        <f>IF('Net zero activities &amp; levers'!$C$14="Off",Constants!$H78*'Activity data'!BM20*Constants!$H96*FracLEACHMM*MMLeachEF*NtoN2O*kgtoGg,IF('Net zero activities &amp; levers'!$C$14="On",Constants!$H78*'Net zero Activity data'!BM20*Constants!$H96*FracLEACHMM*MMLeachEF*NtoN2O*kgtoGg,"ERROR"))</f>
        <v>-8.1632684613039755E-2</v>
      </c>
      <c r="AU1216" s="101">
        <f>IF('Net zero activities &amp; levers'!$C$14="Off",Constants!$H78*'Activity data'!BN20*Constants!$H96*FracLEACHMM*MMLeachEF*NtoN2O*kgtoGg,IF('Net zero activities &amp; levers'!$C$14="On",Constants!$H78*'Net zero Activity data'!BN20*Constants!$H96*FracLEACHMM*MMLeachEF*NtoN2O*kgtoGg,"ERROR"))</f>
        <v>-8.1646705375421999E-2</v>
      </c>
      <c r="AV1216" s="101">
        <f>IF('Net zero activities &amp; levers'!$C$14="Off",Constants!$H78*'Activity data'!BO20*Constants!$H96*FracLEACHMM*MMLeachEF*NtoN2O*kgtoGg,IF('Net zero activities &amp; levers'!$C$14="On",Constants!$H78*'Net zero Activity data'!BO20*Constants!$H96*FracLEACHMM*MMLeachEF*NtoN2O*kgtoGg,"ERROR"))</f>
        <v>-8.1666741103231646E-2</v>
      </c>
      <c r="AW1216" s="101">
        <f>IF('Net zero activities &amp; levers'!$C$14="Off",Constants!$H78*'Activity data'!BP20*Constants!$H96*FracLEACHMM*MMLeachEF*NtoN2O*kgtoGg,IF('Net zero activities &amp; levers'!$C$14="On",Constants!$H78*'Net zero Activity data'!BP20*Constants!$H96*FracLEACHMM*MMLeachEF*NtoN2O*kgtoGg,"ERROR"))</f>
        <v>-8.1692580447798743E-2</v>
      </c>
      <c r="AY1216" s="85"/>
    </row>
    <row r="1220" spans="1:52" x14ac:dyDescent="0.25">
      <c r="A1220" s="102" t="str">
        <f t="shared" ref="A1220:A1338" si="384">B1220&amp;" "&amp;C1220</f>
        <v>FSFAGSPQNIBDDSCM Cattle</v>
      </c>
      <c r="B1220" s="102" t="s">
        <v>1376</v>
      </c>
      <c r="C1220" s="102" t="s">
        <v>1109</v>
      </c>
      <c r="D1220" t="s">
        <v>15</v>
      </c>
      <c r="E1220" t="s">
        <v>16</v>
      </c>
      <c r="F1220" t="s">
        <v>6</v>
      </c>
      <c r="G1220" t="s">
        <v>136</v>
      </c>
      <c r="H1220" t="s">
        <v>1021</v>
      </c>
      <c r="I1220" t="s">
        <v>121</v>
      </c>
      <c r="J1220" t="s">
        <v>286</v>
      </c>
      <c r="K1220" s="28">
        <f t="shared" ref="K1220:AW1220" si="385">IFERROR(K1379-((K1379-K4)+(K1379-K157)+(K1379-K310)+(K1379-K462)+(K1379-K614)+(K1379-K765)+(K1379-K916)+(K1379-K1067)),0)</f>
        <v>72.376996171709351</v>
      </c>
      <c r="L1220" s="28">
        <f t="shared" si="385"/>
        <v>72.827193296605245</v>
      </c>
      <c r="M1220" s="28">
        <f t="shared" si="385"/>
        <v>73.136710021656683</v>
      </c>
      <c r="N1220" s="28">
        <f t="shared" si="385"/>
        <v>73.233779022849987</v>
      </c>
      <c r="O1220" s="28">
        <f t="shared" si="385"/>
        <v>73.365098896994937</v>
      </c>
      <c r="P1220" s="28">
        <f t="shared" si="385"/>
        <v>73.652739312599607</v>
      </c>
      <c r="Q1220" s="28">
        <f t="shared" si="385"/>
        <v>73.997590994756678</v>
      </c>
      <c r="R1220" s="28">
        <f t="shared" si="385"/>
        <v>74.101188037293639</v>
      </c>
      <c r="S1220" s="28">
        <f t="shared" si="385"/>
        <v>71.826298208807202</v>
      </c>
      <c r="T1220" s="28">
        <f t="shared" si="385"/>
        <v>71.015397171736311</v>
      </c>
      <c r="U1220" s="28">
        <f t="shared" si="385"/>
        <v>69.653594475469305</v>
      </c>
      <c r="V1220" s="28">
        <f t="shared" si="385"/>
        <v>67.807927088833196</v>
      </c>
      <c r="W1220" s="28">
        <f t="shared" si="385"/>
        <v>65.570764134114711</v>
      </c>
      <c r="X1220" s="28">
        <f t="shared" si="385"/>
        <v>62.847444593733741</v>
      </c>
      <c r="Y1220" s="28">
        <f t="shared" si="385"/>
        <v>59.615800908334691</v>
      </c>
      <c r="Z1220" s="28">
        <f t="shared" si="385"/>
        <v>55.886189283333195</v>
      </c>
      <c r="AA1220" s="28">
        <f t="shared" si="385"/>
        <v>51.708365140564965</v>
      </c>
      <c r="AB1220" s="28">
        <f t="shared" si="385"/>
        <v>47.024488124714914</v>
      </c>
      <c r="AC1220" s="28">
        <f t="shared" si="385"/>
        <v>41.879885516592033</v>
      </c>
      <c r="AD1220" s="28">
        <f t="shared" si="385"/>
        <v>40.916264141076532</v>
      </c>
      <c r="AE1220" s="28">
        <f t="shared" si="385"/>
        <v>39.952417149691939</v>
      </c>
      <c r="AF1220" s="28">
        <f t="shared" si="385"/>
        <v>38.966902820019676</v>
      </c>
      <c r="AG1220" s="28">
        <f t="shared" si="385"/>
        <v>37.583988724353723</v>
      </c>
      <c r="AH1220" s="28">
        <f t="shared" si="385"/>
        <v>19.345277305836163</v>
      </c>
      <c r="AI1220" s="28">
        <f t="shared" si="385"/>
        <v>18.578000572499569</v>
      </c>
      <c r="AJ1220" s="28">
        <f t="shared" si="385"/>
        <v>17.807199153356393</v>
      </c>
      <c r="AK1220" s="28">
        <f t="shared" si="385"/>
        <v>17.032592555210087</v>
      </c>
      <c r="AL1220" s="28">
        <f t="shared" si="385"/>
        <v>16.253914392444742</v>
      </c>
      <c r="AM1220" s="28">
        <f t="shared" si="385"/>
        <v>15.470911013293087</v>
      </c>
      <c r="AN1220" s="28">
        <f t="shared" si="385"/>
        <v>15.140431409626853</v>
      </c>
      <c r="AO1220" s="28">
        <f t="shared" si="385"/>
        <v>14.80369235996352</v>
      </c>
      <c r="AP1220" s="28">
        <f t="shared" si="385"/>
        <v>14.460604973924884</v>
      </c>
      <c r="AQ1220" s="28">
        <f t="shared" si="385"/>
        <v>14.11108360198148</v>
      </c>
      <c r="AR1220" s="28">
        <f t="shared" si="385"/>
        <v>13.755045508531428</v>
      </c>
      <c r="AS1220" s="28">
        <f t="shared" si="385"/>
        <v>13.382873916495843</v>
      </c>
      <c r="AT1220" s="28">
        <f t="shared" si="385"/>
        <v>13.004523507826967</v>
      </c>
      <c r="AU1220" s="28">
        <f t="shared" si="385"/>
        <v>12.619935851866284</v>
      </c>
      <c r="AV1220" s="28">
        <f t="shared" si="385"/>
        <v>12.22905471739729</v>
      </c>
      <c r="AW1220" s="28">
        <f t="shared" si="385"/>
        <v>11.831825876530846</v>
      </c>
      <c r="AY1220" s="85"/>
      <c r="AZ1220" s="85"/>
    </row>
    <row r="1221" spans="1:52" x14ac:dyDescent="0.25">
      <c r="A1221" s="102" t="str">
        <f t="shared" si="384"/>
        <v>FSFAGSPQNIBDDSCM Cattle</v>
      </c>
      <c r="B1221" s="102" t="s">
        <v>1376</v>
      </c>
      <c r="C1221" s="102" t="s">
        <v>1109</v>
      </c>
      <c r="D1221" t="s">
        <v>15</v>
      </c>
      <c r="E1221" t="s">
        <v>16</v>
      </c>
      <c r="F1221" t="s">
        <v>6</v>
      </c>
      <c r="G1221" t="s">
        <v>137</v>
      </c>
      <c r="H1221" t="s">
        <v>1021</v>
      </c>
      <c r="I1221" t="s">
        <v>121</v>
      </c>
      <c r="J1221" t="s">
        <v>286</v>
      </c>
      <c r="K1221" s="28">
        <f t="shared" ref="K1221:AW1221" si="386">IFERROR(K1380-((K1380-K5)+(K1380-K158)+(K1380-K311)+(K1380-K463)+(K1380-K615)+(K1380-K766)+(K1380-K917)+(K1380-K1068)),0)</f>
        <v>57.888319714675518</v>
      </c>
      <c r="L1221" s="28">
        <f t="shared" si="386"/>
        <v>58.248394828027457</v>
      </c>
      <c r="M1221" s="28">
        <f t="shared" si="386"/>
        <v>58.495951428667674</v>
      </c>
      <c r="N1221" s="28">
        <f t="shared" si="386"/>
        <v>58.573588822766354</v>
      </c>
      <c r="O1221" s="28">
        <f t="shared" si="386"/>
        <v>58.678620632063321</v>
      </c>
      <c r="P1221" s="28">
        <f t="shared" si="386"/>
        <v>58.908680198253116</v>
      </c>
      <c r="Q1221" s="28">
        <f t="shared" si="386"/>
        <v>59.184498282544595</v>
      </c>
      <c r="R1221" s="28">
        <f t="shared" si="386"/>
        <v>59.267356912179451</v>
      </c>
      <c r="S1221" s="28">
        <f t="shared" si="386"/>
        <v>57.447862367329009</v>
      </c>
      <c r="T1221" s="28">
        <f t="shared" si="386"/>
        <v>55.469881583266464</v>
      </c>
      <c r="U1221" s="28">
        <f t="shared" si="386"/>
        <v>53.259094184681459</v>
      </c>
      <c r="V1221" s="28">
        <f t="shared" si="386"/>
        <v>50.86868828367794</v>
      </c>
      <c r="W1221" s="28">
        <f t="shared" si="386"/>
        <v>48.366717808827445</v>
      </c>
      <c r="X1221" s="28">
        <f t="shared" si="386"/>
        <v>45.681562801230307</v>
      </c>
      <c r="Y1221" s="28">
        <f t="shared" si="386"/>
        <v>42.798196999260078</v>
      </c>
      <c r="Z1221" s="28">
        <f t="shared" si="386"/>
        <v>39.725421033716437</v>
      </c>
      <c r="AA1221" s="28">
        <f t="shared" si="386"/>
        <v>36.499391930889608</v>
      </c>
      <c r="AB1221" s="28">
        <f t="shared" si="386"/>
        <v>33.079849224054271</v>
      </c>
      <c r="AC1221" s="28">
        <f t="shared" si="386"/>
        <v>29.499503097509454</v>
      </c>
      <c r="AD1221" s="28">
        <f t="shared" si="386"/>
        <v>28.704600918616009</v>
      </c>
      <c r="AE1221" s="28">
        <f t="shared" si="386"/>
        <v>27.913820091233426</v>
      </c>
      <c r="AF1221" s="28">
        <f t="shared" si="386"/>
        <v>27.112121381914278</v>
      </c>
      <c r="AG1221" s="28">
        <f t="shared" si="386"/>
        <v>26.039243770213666</v>
      </c>
      <c r="AH1221" s="28">
        <f t="shared" si="386"/>
        <v>13.345039843669419</v>
      </c>
      <c r="AI1221" s="28">
        <f t="shared" si="386"/>
        <v>12.759068846926187</v>
      </c>
      <c r="AJ1221" s="28">
        <f t="shared" si="386"/>
        <v>12.174172031935544</v>
      </c>
      <c r="AK1221" s="28">
        <f t="shared" si="386"/>
        <v>11.590142063693921</v>
      </c>
      <c r="AL1221" s="28">
        <f t="shared" si="386"/>
        <v>11.006783891799081</v>
      </c>
      <c r="AM1221" s="28">
        <f t="shared" si="386"/>
        <v>10.423913611090505</v>
      </c>
      <c r="AN1221" s="28">
        <f t="shared" si="386"/>
        <v>9.8595758446240538</v>
      </c>
      <c r="AO1221" s="28">
        <f t="shared" si="386"/>
        <v>9.2961274545424644</v>
      </c>
      <c r="AP1221" s="28">
        <f t="shared" si="386"/>
        <v>8.7334229537275938</v>
      </c>
      <c r="AQ1221" s="28">
        <f t="shared" si="386"/>
        <v>8.1713246695845676</v>
      </c>
      <c r="AR1221" s="28">
        <f t="shared" si="386"/>
        <v>7.6097021014442134</v>
      </c>
      <c r="AS1221" s="28">
        <f t="shared" si="386"/>
        <v>7.0434121929590532</v>
      </c>
      <c r="AT1221" s="28">
        <f t="shared" si="386"/>
        <v>6.4781402426463615</v>
      </c>
      <c r="AU1221" s="28">
        <f t="shared" si="386"/>
        <v>5.9137777383771848</v>
      </c>
      <c r="AV1221" s="28">
        <f t="shared" si="386"/>
        <v>5.3502216221129046</v>
      </c>
      <c r="AW1221" s="28">
        <f t="shared" si="386"/>
        <v>4.7873738891124979</v>
      </c>
      <c r="AY1221" s="85"/>
      <c r="AZ1221" s="85"/>
    </row>
    <row r="1222" spans="1:52" x14ac:dyDescent="0.25">
      <c r="A1222" s="102" t="str">
        <f t="shared" si="384"/>
        <v>FSFAGSPQNIBDDSCM Cattle</v>
      </c>
      <c r="B1222" s="102" t="s">
        <v>1376</v>
      </c>
      <c r="C1222" s="102" t="s">
        <v>1109</v>
      </c>
      <c r="D1222" t="s">
        <v>15</v>
      </c>
      <c r="E1222" t="s">
        <v>16</v>
      </c>
      <c r="F1222" t="s">
        <v>67</v>
      </c>
      <c r="G1222" t="s">
        <v>307</v>
      </c>
      <c r="H1222" t="s">
        <v>1021</v>
      </c>
      <c r="I1222" t="s">
        <v>121</v>
      </c>
      <c r="J1222" t="s">
        <v>286</v>
      </c>
      <c r="K1222" s="28">
        <f t="shared" ref="K1222:AW1222" si="387">IFERROR(K1381-((K1381-K6)+(K1381-K159)+(K1381-K312)+(K1381-K464)+(K1381-K616)+(K1381-K767)+(K1381-K918)+(K1381-K1069)),0)</f>
        <v>26.173540124634229</v>
      </c>
      <c r="L1222" s="28">
        <f t="shared" si="387"/>
        <v>26.336343959218663</v>
      </c>
      <c r="M1222" s="28">
        <f t="shared" si="387"/>
        <v>26.448273838197906</v>
      </c>
      <c r="N1222" s="28">
        <f t="shared" si="387"/>
        <v>26.483376695900965</v>
      </c>
      <c r="O1222" s="28">
        <f t="shared" si="387"/>
        <v>26.530865624385104</v>
      </c>
      <c r="P1222" s="28">
        <f t="shared" si="387"/>
        <v>26.634884419824388</v>
      </c>
      <c r="Q1222" s="28">
        <f t="shared" si="387"/>
        <v>26.759592404645588</v>
      </c>
      <c r="R1222" s="28">
        <f t="shared" si="387"/>
        <v>26.797055984139856</v>
      </c>
      <c r="S1222" s="28">
        <f t="shared" si="387"/>
        <v>25.97439238445476</v>
      </c>
      <c r="T1222" s="28">
        <f t="shared" si="387"/>
        <v>25.928441817513033</v>
      </c>
      <c r="U1222" s="28">
        <f t="shared" si="387"/>
        <v>25.761619661427147</v>
      </c>
      <c r="V1222" s="28">
        <f t="shared" si="387"/>
        <v>25.497735486808871</v>
      </c>
      <c r="W1222" s="28">
        <f t="shared" si="387"/>
        <v>25.171765190385443</v>
      </c>
      <c r="X1222" s="28">
        <f t="shared" si="387"/>
        <v>24.748578013267913</v>
      </c>
      <c r="Y1222" s="28">
        <f t="shared" si="387"/>
        <v>24.218989511329013</v>
      </c>
      <c r="Z1222" s="28">
        <f t="shared" si="387"/>
        <v>23.586031621717886</v>
      </c>
      <c r="AA1222" s="28">
        <f t="shared" si="387"/>
        <v>22.870212638030967</v>
      </c>
      <c r="AB1222" s="28">
        <f t="shared" si="387"/>
        <v>22.045928724575973</v>
      </c>
      <c r="AC1222" s="28">
        <f t="shared" si="387"/>
        <v>21.132393883412373</v>
      </c>
      <c r="AD1222" s="28">
        <f t="shared" si="387"/>
        <v>21.161542982722406</v>
      </c>
      <c r="AE1222" s="28">
        <f t="shared" si="387"/>
        <v>21.200898855033635</v>
      </c>
      <c r="AF1222" s="28">
        <f t="shared" si="387"/>
        <v>21.240288863212569</v>
      </c>
      <c r="AG1222" s="28">
        <f t="shared" si="387"/>
        <v>21.069833929647903</v>
      </c>
      <c r="AH1222" s="28">
        <f t="shared" si="387"/>
        <v>11.169155284497116</v>
      </c>
      <c r="AI1222" s="28">
        <f t="shared" si="387"/>
        <v>11.063309263356402</v>
      </c>
      <c r="AJ1222" s="28">
        <f t="shared" si="387"/>
        <v>10.955814001018522</v>
      </c>
      <c r="AK1222" s="28">
        <f t="shared" si="387"/>
        <v>10.846603800224164</v>
      </c>
      <c r="AL1222" s="28">
        <f t="shared" si="387"/>
        <v>10.735616363241963</v>
      </c>
      <c r="AM1222" s="28">
        <f t="shared" si="387"/>
        <v>10.622792438158465</v>
      </c>
      <c r="AN1222" s="28">
        <f t="shared" si="387"/>
        <v>10.523413504744932</v>
      </c>
      <c r="AO1222" s="28">
        <f t="shared" si="387"/>
        <v>10.422171330299181</v>
      </c>
      <c r="AP1222" s="28">
        <f t="shared" si="387"/>
        <v>10.319024358931577</v>
      </c>
      <c r="AQ1222" s="28">
        <f t="shared" si="387"/>
        <v>10.213932939502451</v>
      </c>
      <c r="AR1222" s="28">
        <f t="shared" si="387"/>
        <v>10.106859145027384</v>
      </c>
      <c r="AS1222" s="28">
        <f t="shared" si="387"/>
        <v>9.9906472556003116</v>
      </c>
      <c r="AT1222" s="28">
        <f t="shared" si="387"/>
        <v>9.8725170515629266</v>
      </c>
      <c r="AU1222" s="28">
        <f t="shared" si="387"/>
        <v>9.7524402464999334</v>
      </c>
      <c r="AV1222" s="28">
        <f t="shared" si="387"/>
        <v>9.6303898414657176</v>
      </c>
      <c r="AW1222" s="28">
        <f t="shared" si="387"/>
        <v>9.5063400159997418</v>
      </c>
      <c r="AY1222" s="85"/>
      <c r="AZ1222" s="85"/>
    </row>
    <row r="1223" spans="1:52" x14ac:dyDescent="0.25">
      <c r="A1223" s="102" t="str">
        <f t="shared" si="384"/>
        <v>FSFAGSPQNIBDDSCM Cattle</v>
      </c>
      <c r="B1223" s="102" t="s">
        <v>1376</v>
      </c>
      <c r="C1223" s="102" t="s">
        <v>1109</v>
      </c>
      <c r="D1223" t="s">
        <v>15</v>
      </c>
      <c r="E1223" t="s">
        <v>16</v>
      </c>
      <c r="F1223" t="s">
        <v>67</v>
      </c>
      <c r="G1223" t="s">
        <v>122</v>
      </c>
      <c r="H1223" t="s">
        <v>1021</v>
      </c>
      <c r="I1223" t="s">
        <v>121</v>
      </c>
      <c r="J1223" t="s">
        <v>286</v>
      </c>
      <c r="K1223" s="28">
        <f t="shared" ref="K1223:AW1223" si="388">IFERROR(K1382-((K1382-K7)+(K1382-K160)+(K1382-K313)+(K1382-K465)+(K1382-K617)+(K1382-K768)+(K1382-K919)+(K1382-K1070)),0)</f>
        <v>467.31662309373525</v>
      </c>
      <c r="L1223" s="28">
        <f t="shared" si="388"/>
        <v>464.21904388294246</v>
      </c>
      <c r="M1223" s="28">
        <f t="shared" si="388"/>
        <v>457.68800569383677</v>
      </c>
      <c r="N1223" s="28">
        <f t="shared" si="388"/>
        <v>446.67903575374419</v>
      </c>
      <c r="O1223" s="28">
        <f t="shared" si="388"/>
        <v>435.99786609024881</v>
      </c>
      <c r="P1223" s="28">
        <f t="shared" si="388"/>
        <v>427.78254745702264</v>
      </c>
      <c r="Q1223" s="28">
        <f t="shared" si="388"/>
        <v>420.35172850546115</v>
      </c>
      <c r="R1223" s="28">
        <f t="shared" si="388"/>
        <v>408.66857197476548</v>
      </c>
      <c r="S1223" s="28">
        <f t="shared" si="388"/>
        <v>358.42710853834808</v>
      </c>
      <c r="T1223" s="28">
        <f t="shared" si="388"/>
        <v>358.33870846314511</v>
      </c>
      <c r="U1223" s="28">
        <f t="shared" si="388"/>
        <v>355.90216942996625</v>
      </c>
      <c r="V1223" s="28">
        <f t="shared" si="388"/>
        <v>352.17093284365859</v>
      </c>
      <c r="W1223" s="28">
        <f t="shared" si="388"/>
        <v>348.61897311344188</v>
      </c>
      <c r="X1223" s="28">
        <f t="shared" si="388"/>
        <v>343.71451969279735</v>
      </c>
      <c r="Y1223" s="28">
        <f t="shared" si="388"/>
        <v>337.74573583210019</v>
      </c>
      <c r="Z1223" s="28">
        <f t="shared" si="388"/>
        <v>330.13409573155218</v>
      </c>
      <c r="AA1223" s="28">
        <f t="shared" si="388"/>
        <v>321.72022333420779</v>
      </c>
      <c r="AB1223" s="28">
        <f t="shared" si="388"/>
        <v>311.46230517585917</v>
      </c>
      <c r="AC1223" s="28">
        <f t="shared" si="388"/>
        <v>300.14323356212265</v>
      </c>
      <c r="AD1223" s="28">
        <f t="shared" si="388"/>
        <v>298.38500309407976</v>
      </c>
      <c r="AE1223" s="28">
        <f t="shared" si="388"/>
        <v>296.93238106135522</v>
      </c>
      <c r="AF1223" s="28">
        <f t="shared" si="388"/>
        <v>295.38155045619396</v>
      </c>
      <c r="AG1223" s="28">
        <f t="shared" si="388"/>
        <v>286.13115180470447</v>
      </c>
      <c r="AH1223" s="28">
        <f t="shared" si="388"/>
        <v>-66.775316118960291</v>
      </c>
      <c r="AI1223" s="28">
        <f t="shared" si="388"/>
        <v>-64.50967682523644</v>
      </c>
      <c r="AJ1223" s="28">
        <f t="shared" si="388"/>
        <v>-62.288281678692968</v>
      </c>
      <c r="AK1223" s="28">
        <f t="shared" si="388"/>
        <v>-60.110129225971377</v>
      </c>
      <c r="AL1223" s="28">
        <f t="shared" si="388"/>
        <v>-57.97432375146208</v>
      </c>
      <c r="AM1223" s="28">
        <f t="shared" si="388"/>
        <v>-55.880065266111387</v>
      </c>
      <c r="AN1223" s="28">
        <f t="shared" si="388"/>
        <v>-54.12223531577483</v>
      </c>
      <c r="AO1223" s="28">
        <f t="shared" si="388"/>
        <v>-52.394782868733166</v>
      </c>
      <c r="AP1223" s="28">
        <f t="shared" si="388"/>
        <v>-50.69718771817579</v>
      </c>
      <c r="AQ1223" s="28">
        <f t="shared" si="388"/>
        <v>-49.02898412570967</v>
      </c>
      <c r="AR1223" s="28">
        <f t="shared" si="388"/>
        <v>-47.38975605667099</v>
      </c>
      <c r="AS1223" s="28">
        <f t="shared" si="388"/>
        <v>-45.748019893556318</v>
      </c>
      <c r="AT1223" s="28">
        <f t="shared" si="388"/>
        <v>-44.136601701608846</v>
      </c>
      <c r="AU1223" s="28">
        <f t="shared" si="388"/>
        <v>-42.555165562014501</v>
      </c>
      <c r="AV1223" s="28">
        <f t="shared" si="388"/>
        <v>-41.003410827670237</v>
      </c>
      <c r="AW1223" s="28">
        <f t="shared" si="388"/>
        <v>-39.481069216007526</v>
      </c>
      <c r="AY1223" s="85"/>
      <c r="AZ1223" s="85"/>
    </row>
    <row r="1224" spans="1:52" x14ac:dyDescent="0.25">
      <c r="A1224" s="102" t="str">
        <f t="shared" si="384"/>
        <v>FSFAGSPQNIBDDSCM Cattle</v>
      </c>
      <c r="B1224" s="102" t="s">
        <v>1376</v>
      </c>
      <c r="C1224" s="102" t="s">
        <v>1109</v>
      </c>
      <c r="D1224" t="s">
        <v>15</v>
      </c>
      <c r="E1224" t="s">
        <v>16</v>
      </c>
      <c r="F1224" t="s">
        <v>67</v>
      </c>
      <c r="G1224" t="s">
        <v>123</v>
      </c>
      <c r="H1224" t="s">
        <v>1021</v>
      </c>
      <c r="I1224" t="s">
        <v>121</v>
      </c>
      <c r="J1224" t="s">
        <v>286</v>
      </c>
      <c r="K1224" s="28">
        <f t="shared" ref="K1224:AW1224" si="389">IFERROR(K1383-((K1383-K8)+(K1383-K161)+(K1383-K314)+(K1383-K466)+(K1383-K618)+(K1383-K769)+(K1383-K920)+(K1383-K1071)),0)</f>
        <v>329.0746130615014</v>
      </c>
      <c r="L1224" s="28">
        <f t="shared" si="389"/>
        <v>326.8933624278929</v>
      </c>
      <c r="M1224" s="28">
        <f t="shared" si="389"/>
        <v>322.29434163821571</v>
      </c>
      <c r="N1224" s="28">
        <f t="shared" si="389"/>
        <v>314.54205476415126</v>
      </c>
      <c r="O1224" s="28">
        <f t="shared" si="389"/>
        <v>307.02059800365856</v>
      </c>
      <c r="P1224" s="28">
        <f t="shared" si="389"/>
        <v>301.23554207624824</v>
      </c>
      <c r="Q1224" s="28">
        <f t="shared" si="389"/>
        <v>296.00291445211866</v>
      </c>
      <c r="R1224" s="28">
        <f t="shared" si="389"/>
        <v>287.77587945125919</v>
      </c>
      <c r="S1224" s="28">
        <f t="shared" si="389"/>
        <v>252.39688944116838</v>
      </c>
      <c r="T1224" s="28">
        <f t="shared" si="389"/>
        <v>254.68896723545794</v>
      </c>
      <c r="U1224" s="28">
        <f t="shared" si="389"/>
        <v>255.97820139319455</v>
      </c>
      <c r="V1224" s="28">
        <f t="shared" si="389"/>
        <v>256.99350022957969</v>
      </c>
      <c r="W1224" s="28">
        <f t="shared" si="389"/>
        <v>258.8143665577004</v>
      </c>
      <c r="X1224" s="28">
        <f t="shared" si="389"/>
        <v>260.32972549928178</v>
      </c>
      <c r="Y1224" s="28">
        <f t="shared" si="389"/>
        <v>261.75082296891372</v>
      </c>
      <c r="Z1224" s="28">
        <f t="shared" si="389"/>
        <v>262.6197248394098</v>
      </c>
      <c r="AA1224" s="28">
        <f t="shared" si="389"/>
        <v>263.5875739217218</v>
      </c>
      <c r="AB1224" s="28">
        <f t="shared" si="389"/>
        <v>263.7925432641037</v>
      </c>
      <c r="AC1224" s="28">
        <f t="shared" si="389"/>
        <v>263.85056745172835</v>
      </c>
      <c r="AD1224" s="28">
        <f t="shared" si="389"/>
        <v>263.75304915658137</v>
      </c>
      <c r="AE1224" s="28">
        <f t="shared" si="389"/>
        <v>264.0064527889474</v>
      </c>
      <c r="AF1224" s="28">
        <f t="shared" si="389"/>
        <v>264.25628461435042</v>
      </c>
      <c r="AG1224" s="28">
        <f t="shared" si="389"/>
        <v>257.65808905072078</v>
      </c>
      <c r="AH1224" s="28">
        <f t="shared" si="389"/>
        <v>-60.546126789422523</v>
      </c>
      <c r="AI1224" s="28">
        <f t="shared" si="389"/>
        <v>-58.917694097004158</v>
      </c>
      <c r="AJ1224" s="28">
        <f t="shared" si="389"/>
        <v>-57.324486820378432</v>
      </c>
      <c r="AK1224" s="28">
        <f t="shared" si="389"/>
        <v>-55.764903081368104</v>
      </c>
      <c r="AL1224" s="28">
        <f t="shared" si="389"/>
        <v>-54.237445534780534</v>
      </c>
      <c r="AM1224" s="28">
        <f t="shared" si="389"/>
        <v>-52.740711968127108</v>
      </c>
      <c r="AN1224" s="28">
        <f t="shared" si="389"/>
        <v>-51.695897835435154</v>
      </c>
      <c r="AO1224" s="28">
        <f t="shared" si="389"/>
        <v>-50.666688585069267</v>
      </c>
      <c r="AP1224" s="28">
        <f t="shared" si="389"/>
        <v>-49.652370494075122</v>
      </c>
      <c r="AQ1224" s="28">
        <f t="shared" si="389"/>
        <v>-48.652274246990714</v>
      </c>
      <c r="AR1224" s="28">
        <f t="shared" si="389"/>
        <v>-47.665771251198478</v>
      </c>
      <c r="AS1224" s="28">
        <f t="shared" si="389"/>
        <v>-46.660536710940356</v>
      </c>
      <c r="AT1224" s="28">
        <f t="shared" si="389"/>
        <v>-45.66894126386336</v>
      </c>
      <c r="AU1224" s="28">
        <f t="shared" si="389"/>
        <v>-44.690443144952432</v>
      </c>
      <c r="AV1224" s="28">
        <f t="shared" si="389"/>
        <v>-43.724531052641481</v>
      </c>
      <c r="AW1224" s="28">
        <f t="shared" si="389"/>
        <v>-42.770721870713921</v>
      </c>
      <c r="AY1224" s="85"/>
      <c r="AZ1224" s="85"/>
    </row>
    <row r="1225" spans="1:52" x14ac:dyDescent="0.25">
      <c r="A1225" s="102" t="str">
        <f t="shared" si="384"/>
        <v>FSFAGSPQNIBDDSCM Cattle</v>
      </c>
      <c r="B1225" s="102" t="s">
        <v>1376</v>
      </c>
      <c r="C1225" s="102" t="s">
        <v>1109</v>
      </c>
      <c r="D1225" t="s">
        <v>15</v>
      </c>
      <c r="E1225" t="s">
        <v>16</v>
      </c>
      <c r="F1225" t="s">
        <v>67</v>
      </c>
      <c r="G1225" t="s">
        <v>135</v>
      </c>
      <c r="H1225" t="s">
        <v>1021</v>
      </c>
      <c r="I1225" t="s">
        <v>121</v>
      </c>
      <c r="J1225" t="s">
        <v>286</v>
      </c>
      <c r="K1225" s="28">
        <f t="shared" ref="K1225:AW1225" si="390">IFERROR(K1384-((K1384-K9)+(K1384-K162)+(K1384-K315)+(K1384-K467)+(K1384-K619)+(K1384-K770)+(K1384-K921)+(K1384-K1072)),0)</f>
        <v>32.066658815804246</v>
      </c>
      <c r="L1225" s="28">
        <f t="shared" si="390"/>
        <v>33.208718466326758</v>
      </c>
      <c r="M1225" s="28">
        <f t="shared" si="390"/>
        <v>34.11520280184579</v>
      </c>
      <c r="N1225" s="28">
        <f t="shared" si="390"/>
        <v>34.675782135786314</v>
      </c>
      <c r="O1225" s="28">
        <f t="shared" si="390"/>
        <v>35.237531716383323</v>
      </c>
      <c r="P1225" s="28">
        <f t="shared" si="390"/>
        <v>35.983525896151299</v>
      </c>
      <c r="Q1225" s="28">
        <f t="shared" si="390"/>
        <v>36.791694077470218</v>
      </c>
      <c r="R1225" s="28">
        <f t="shared" si="390"/>
        <v>37.212274346578468</v>
      </c>
      <c r="S1225" s="28">
        <f t="shared" si="390"/>
        <v>33.949893618199454</v>
      </c>
      <c r="T1225" s="28">
        <f t="shared" si="390"/>
        <v>35.165190635701848</v>
      </c>
      <c r="U1225" s="28">
        <f t="shared" si="390"/>
        <v>36.053822858974677</v>
      </c>
      <c r="V1225" s="28">
        <f t="shared" si="390"/>
        <v>36.692009889816561</v>
      </c>
      <c r="W1225" s="28">
        <f t="shared" si="390"/>
        <v>37.212497422322038</v>
      </c>
      <c r="X1225" s="28">
        <f t="shared" si="390"/>
        <v>37.432463630159745</v>
      </c>
      <c r="Y1225" s="28">
        <f t="shared" si="390"/>
        <v>37.354966357210479</v>
      </c>
      <c r="Z1225" s="28">
        <f t="shared" si="390"/>
        <v>36.886436252410277</v>
      </c>
      <c r="AA1225" s="28">
        <f t="shared" si="390"/>
        <v>36.08932589833497</v>
      </c>
      <c r="AB1225" s="28">
        <f t="shared" si="390"/>
        <v>34.814899085468745</v>
      </c>
      <c r="AC1225" s="28">
        <f t="shared" si="390"/>
        <v>33.117959297457944</v>
      </c>
      <c r="AD1225" s="28">
        <f t="shared" si="390"/>
        <v>33.709006736375031</v>
      </c>
      <c r="AE1225" s="28">
        <f t="shared" si="390"/>
        <v>34.336858801705851</v>
      </c>
      <c r="AF1225" s="28">
        <f t="shared" si="390"/>
        <v>34.955907183126641</v>
      </c>
      <c r="AG1225" s="28">
        <f t="shared" si="390"/>
        <v>34.644633497463445</v>
      </c>
      <c r="AH1225" s="28">
        <f t="shared" si="390"/>
        <v>-8.2702407416895785</v>
      </c>
      <c r="AI1225" s="28">
        <f t="shared" si="390"/>
        <v>-8.1705935345184049</v>
      </c>
      <c r="AJ1225" s="28">
        <f t="shared" si="390"/>
        <v>-8.0659072152880142</v>
      </c>
      <c r="AK1225" s="28">
        <f t="shared" si="390"/>
        <v>-7.956088466313302</v>
      </c>
      <c r="AL1225" s="28">
        <f t="shared" si="390"/>
        <v>-7.8410426835026978</v>
      </c>
      <c r="AM1225" s="28">
        <f t="shared" si="390"/>
        <v>-7.720673958552025</v>
      </c>
      <c r="AN1225" s="28">
        <f t="shared" si="390"/>
        <v>-7.6733850532404091</v>
      </c>
      <c r="AO1225" s="28">
        <f t="shared" si="390"/>
        <v>-7.6223714296525831</v>
      </c>
      <c r="AP1225" s="28">
        <f t="shared" si="390"/>
        <v>-7.567570408352303</v>
      </c>
      <c r="AQ1225" s="28">
        <f t="shared" si="390"/>
        <v>-7.5089185740012052</v>
      </c>
      <c r="AR1225" s="28">
        <f t="shared" si="390"/>
        <v>-7.446351766516619</v>
      </c>
      <c r="AS1225" s="28">
        <f t="shared" si="390"/>
        <v>-7.3747895115164734</v>
      </c>
      <c r="AT1225" s="28">
        <f t="shared" si="390"/>
        <v>-7.2992596548634054</v>
      </c>
      <c r="AU1225" s="28">
        <f t="shared" si="390"/>
        <v>-7.2197047678636377</v>
      </c>
      <c r="AV1225" s="28">
        <f t="shared" si="390"/>
        <v>-7.1360668822474302</v>
      </c>
      <c r="AW1225" s="28">
        <f t="shared" si="390"/>
        <v>-7.0482874847208592</v>
      </c>
      <c r="AY1225" s="85"/>
      <c r="AZ1225" s="85"/>
    </row>
    <row r="1226" spans="1:52" x14ac:dyDescent="0.25">
      <c r="A1226" s="102" t="str">
        <f t="shared" si="384"/>
        <v>FSFAGSPQNIBDDSCM Sheep</v>
      </c>
      <c r="B1226" s="102" t="s">
        <v>1376</v>
      </c>
      <c r="C1226" s="102" t="s">
        <v>152</v>
      </c>
      <c r="D1226" t="s">
        <v>15</v>
      </c>
      <c r="E1226" t="s">
        <v>16</v>
      </c>
      <c r="F1226" t="s">
        <v>18</v>
      </c>
      <c r="G1226" t="s">
        <v>122</v>
      </c>
      <c r="H1226" t="s">
        <v>1021</v>
      </c>
      <c r="I1226" t="s">
        <v>121</v>
      </c>
      <c r="J1226" t="s">
        <v>286</v>
      </c>
      <c r="K1226" s="28">
        <f t="shared" ref="K1226:AW1226" si="391">IFERROR(K1385-((K1385-K10)+(K1385-K163)+(K1385-K316)+(K1385-K468)+(K1385-K620)+(K1385-K771)+(K1385-K922)+(K1385-K1073)),0)</f>
        <v>132.58757058147904</v>
      </c>
      <c r="L1226" s="28">
        <f t="shared" si="391"/>
        <v>132.65997552000914</v>
      </c>
      <c r="M1226" s="28">
        <f t="shared" si="391"/>
        <v>132.82210408590223</v>
      </c>
      <c r="N1226" s="28">
        <f t="shared" si="391"/>
        <v>133.06614161446052</v>
      </c>
      <c r="O1226" s="28">
        <f t="shared" si="391"/>
        <v>133.3953531354135</v>
      </c>
      <c r="P1226" s="28">
        <f t="shared" si="391"/>
        <v>133.81008797408685</v>
      </c>
      <c r="Q1226" s="28">
        <f t="shared" si="391"/>
        <v>134.27208577169884</v>
      </c>
      <c r="R1226" s="28">
        <f t="shared" si="391"/>
        <v>134.77278624125299</v>
      </c>
      <c r="S1226" s="28">
        <f t="shared" si="391"/>
        <v>135.24330047488556</v>
      </c>
      <c r="T1226" s="28">
        <f t="shared" si="391"/>
        <v>135.31798722146624</v>
      </c>
      <c r="U1226" s="28">
        <f t="shared" si="391"/>
        <v>135.18324430794047</v>
      </c>
      <c r="V1226" s="28">
        <f t="shared" si="391"/>
        <v>134.84298203928481</v>
      </c>
      <c r="W1226" s="28">
        <f t="shared" si="391"/>
        <v>134.3020861803864</v>
      </c>
      <c r="X1226" s="28">
        <f t="shared" si="391"/>
        <v>133.55911709102637</v>
      </c>
      <c r="Y1226" s="28">
        <f t="shared" si="391"/>
        <v>132.47035452461901</v>
      </c>
      <c r="Z1226" s="28">
        <f t="shared" si="391"/>
        <v>131.18346102300151</v>
      </c>
      <c r="AA1226" s="28">
        <f t="shared" si="391"/>
        <v>129.70233453063776</v>
      </c>
      <c r="AB1226" s="28">
        <f t="shared" si="391"/>
        <v>128.02630783623565</v>
      </c>
      <c r="AC1226" s="28">
        <f t="shared" si="391"/>
        <v>126.15897073746982</v>
      </c>
      <c r="AD1226" s="28">
        <f t="shared" si="391"/>
        <v>126.33108522315111</v>
      </c>
      <c r="AE1226" s="28">
        <f t="shared" si="391"/>
        <v>126.52130349828651</v>
      </c>
      <c r="AF1226" s="28">
        <f t="shared" si="391"/>
        <v>126.72791483495081</v>
      </c>
      <c r="AG1226" s="28">
        <f t="shared" si="391"/>
        <v>126.92752773749541</v>
      </c>
      <c r="AH1226" s="28">
        <f t="shared" si="391"/>
        <v>126.0741228099693</v>
      </c>
      <c r="AI1226" s="28">
        <f t="shared" si="391"/>
        <v>126.19531980334814</v>
      </c>
      <c r="AJ1226" s="28">
        <f t="shared" si="391"/>
        <v>126.32906128587692</v>
      </c>
      <c r="AK1226" s="28">
        <f t="shared" si="391"/>
        <v>126.47487333728039</v>
      </c>
      <c r="AL1226" s="28">
        <f t="shared" si="391"/>
        <v>126.63231866837037</v>
      </c>
      <c r="AM1226" s="28">
        <f t="shared" si="391"/>
        <v>126.8009931450332</v>
      </c>
      <c r="AN1226" s="28">
        <f t="shared" si="391"/>
        <v>126.88285102153107</v>
      </c>
      <c r="AO1226" s="28">
        <f t="shared" si="391"/>
        <v>126.97460249031272</v>
      </c>
      <c r="AP1226" s="28">
        <f t="shared" si="391"/>
        <v>127.0759032310397</v>
      </c>
      <c r="AQ1226" s="28">
        <f t="shared" si="391"/>
        <v>127.18643248992738</v>
      </c>
      <c r="AR1226" s="28">
        <f t="shared" si="391"/>
        <v>127.30589107765118</v>
      </c>
      <c r="AS1226" s="28">
        <f t="shared" si="391"/>
        <v>127.3353600581223</v>
      </c>
      <c r="AT1226" s="28">
        <f t="shared" si="391"/>
        <v>127.37275381385319</v>
      </c>
      <c r="AU1226" s="28">
        <f t="shared" si="391"/>
        <v>127.41780987643584</v>
      </c>
      <c r="AV1226" s="28">
        <f t="shared" si="391"/>
        <v>127.47028180492443</v>
      </c>
      <c r="AW1226" s="28">
        <f t="shared" si="391"/>
        <v>127.52993795329782</v>
      </c>
      <c r="AY1226" s="85"/>
      <c r="AZ1226" s="85"/>
    </row>
    <row r="1227" spans="1:52" x14ac:dyDescent="0.25">
      <c r="A1227" s="102" t="str">
        <f t="shared" si="384"/>
        <v>FSFAGSPQNIBDDSCM Sheep</v>
      </c>
      <c r="B1227" s="102" t="s">
        <v>1376</v>
      </c>
      <c r="C1227" s="102" t="s">
        <v>152</v>
      </c>
      <c r="D1227" t="s">
        <v>15</v>
      </c>
      <c r="E1227" t="s">
        <v>16</v>
      </c>
      <c r="F1227" t="s">
        <v>18</v>
      </c>
      <c r="G1227" t="s">
        <v>123</v>
      </c>
      <c r="H1227" t="s">
        <v>1021</v>
      </c>
      <c r="I1227" t="s">
        <v>121</v>
      </c>
      <c r="J1227" t="s">
        <v>286</v>
      </c>
      <c r="K1227" s="28">
        <f t="shared" ref="K1227:AW1227" si="392">IFERROR(K1386-((K1386-K11)+(K1386-K164)+(K1386-K317)+(K1386-K469)+(K1386-K621)+(K1386-K772)+(K1386-K923)+(K1386-K1074)),0)</f>
        <v>14.369021000318453</v>
      </c>
      <c r="L1227" s="28">
        <f t="shared" si="392"/>
        <v>14.376867799816345</v>
      </c>
      <c r="M1227" s="28">
        <f t="shared" si="392"/>
        <v>14.394438291211975</v>
      </c>
      <c r="N1227" s="28">
        <f t="shared" si="392"/>
        <v>14.420885569469965</v>
      </c>
      <c r="O1227" s="28">
        <f t="shared" si="392"/>
        <v>14.456563478322018</v>
      </c>
      <c r="P1227" s="28">
        <f t="shared" si="392"/>
        <v>14.50150987548674</v>
      </c>
      <c r="Q1227" s="28">
        <f t="shared" si="392"/>
        <v>14.55157833987502</v>
      </c>
      <c r="R1227" s="28">
        <f t="shared" si="392"/>
        <v>14.60584116051756</v>
      </c>
      <c r="S1227" s="28">
        <f t="shared" si="392"/>
        <v>14.656832583577541</v>
      </c>
      <c r="T1227" s="28">
        <f t="shared" si="392"/>
        <v>14.669328677016049</v>
      </c>
      <c r="U1227" s="28">
        <f t="shared" si="392"/>
        <v>14.667832330611448</v>
      </c>
      <c r="V1227" s="28">
        <f t="shared" si="392"/>
        <v>14.652624371516252</v>
      </c>
      <c r="W1227" s="28">
        <f t="shared" si="392"/>
        <v>14.624106369101527</v>
      </c>
      <c r="X1227" s="28">
        <f t="shared" si="392"/>
        <v>14.582004997211786</v>
      </c>
      <c r="Y1227" s="28">
        <f t="shared" si="392"/>
        <v>14.510469631234949</v>
      </c>
      <c r="Z1227" s="28">
        <f t="shared" si="392"/>
        <v>14.425453452519115</v>
      </c>
      <c r="AA1227" s="28">
        <f t="shared" si="392"/>
        <v>14.327266974005745</v>
      </c>
      <c r="AB1227" s="28">
        <f t="shared" si="392"/>
        <v>14.215726418648353</v>
      </c>
      <c r="AC1227" s="28">
        <f t="shared" si="392"/>
        <v>14.091125297153893</v>
      </c>
      <c r="AD1227" s="28">
        <f t="shared" si="392"/>
        <v>14.110349350497174</v>
      </c>
      <c r="AE1227" s="28">
        <f t="shared" si="392"/>
        <v>14.131595477768766</v>
      </c>
      <c r="AF1227" s="28">
        <f t="shared" si="392"/>
        <v>14.154672601937822</v>
      </c>
      <c r="AG1227" s="28">
        <f t="shared" si="392"/>
        <v>14.17696804715462</v>
      </c>
      <c r="AH1227" s="28">
        <f t="shared" si="392"/>
        <v>14.081648343033038</v>
      </c>
      <c r="AI1227" s="28">
        <f t="shared" si="392"/>
        <v>14.095185248172294</v>
      </c>
      <c r="AJ1227" s="28">
        <f t="shared" si="392"/>
        <v>14.110123290046952</v>
      </c>
      <c r="AK1227" s="28">
        <f t="shared" si="392"/>
        <v>14.126409534886701</v>
      </c>
      <c r="AL1227" s="28">
        <f t="shared" si="392"/>
        <v>14.143995140372164</v>
      </c>
      <c r="AM1227" s="28">
        <f t="shared" si="392"/>
        <v>14.162834967387189</v>
      </c>
      <c r="AN1227" s="28">
        <f t="shared" si="392"/>
        <v>14.171977952523703</v>
      </c>
      <c r="AO1227" s="28">
        <f t="shared" si="392"/>
        <v>14.182225986692357</v>
      </c>
      <c r="AP1227" s="28">
        <f t="shared" si="392"/>
        <v>14.193540611581369</v>
      </c>
      <c r="AQ1227" s="28">
        <f t="shared" si="392"/>
        <v>14.205886001107647</v>
      </c>
      <c r="AR1227" s="28">
        <f t="shared" si="392"/>
        <v>14.219228737796103</v>
      </c>
      <c r="AS1227" s="28">
        <f t="shared" si="392"/>
        <v>14.222520228633186</v>
      </c>
      <c r="AT1227" s="28">
        <f t="shared" si="392"/>
        <v>14.226696864620742</v>
      </c>
      <c r="AU1227" s="28">
        <f t="shared" si="392"/>
        <v>14.231729329767987</v>
      </c>
      <c r="AV1227" s="28">
        <f t="shared" si="392"/>
        <v>14.237590098245995</v>
      </c>
      <c r="AW1227" s="28">
        <f t="shared" si="392"/>
        <v>14.244253296721384</v>
      </c>
      <c r="AY1227" s="85"/>
      <c r="AZ1227" s="85"/>
    </row>
    <row r="1228" spans="1:52" x14ac:dyDescent="0.25">
      <c r="A1228" s="102" t="str">
        <f t="shared" si="384"/>
        <v>FSFAGSPQNIBDDSCM Goats</v>
      </c>
      <c r="B1228" s="102" t="s">
        <v>1376</v>
      </c>
      <c r="C1228" s="102" t="s">
        <v>153</v>
      </c>
      <c r="D1228" t="s">
        <v>15</v>
      </c>
      <c r="E1228" t="s">
        <v>16</v>
      </c>
      <c r="F1228" t="s">
        <v>19</v>
      </c>
      <c r="G1228" t="s">
        <v>122</v>
      </c>
      <c r="H1228" t="s">
        <v>1021</v>
      </c>
      <c r="I1228" t="s">
        <v>121</v>
      </c>
      <c r="J1228" t="s">
        <v>286</v>
      </c>
      <c r="K1228" s="28">
        <f t="shared" ref="K1228:AW1228" si="393">IFERROR(K1387-((K1387-K12)+(K1387-K165)+(K1387-K318)+(K1387-K470)+(K1387-K622)+(K1387-K773)+(K1387-K924)+(K1387-K1075)),0)</f>
        <v>15.122912034052119</v>
      </c>
      <c r="L1228" s="28">
        <f t="shared" si="393"/>
        <v>15.16235617086264</v>
      </c>
      <c r="M1228" s="28">
        <f t="shared" si="393"/>
        <v>15.214918977175502</v>
      </c>
      <c r="N1228" s="28">
        <f t="shared" si="393"/>
        <v>15.279431878529646</v>
      </c>
      <c r="O1228" s="28">
        <f t="shared" si="393"/>
        <v>15.356670108197457</v>
      </c>
      <c r="P1228" s="28">
        <f t="shared" si="393"/>
        <v>15.446839206530987</v>
      </c>
      <c r="Q1228" s="28">
        <f t="shared" si="393"/>
        <v>15.543246595834415</v>
      </c>
      <c r="R1228" s="28">
        <f t="shared" si="393"/>
        <v>15.644513729476552</v>
      </c>
      <c r="S1228" s="28">
        <f t="shared" si="393"/>
        <v>15.738586448717601</v>
      </c>
      <c r="T1228" s="28">
        <f t="shared" si="393"/>
        <v>15.782671791027241</v>
      </c>
      <c r="U1228" s="28">
        <f t="shared" si="393"/>
        <v>15.831013812582922</v>
      </c>
      <c r="V1228" s="28">
        <f t="shared" si="393"/>
        <v>15.883673860630685</v>
      </c>
      <c r="W1228" s="28">
        <f t="shared" si="393"/>
        <v>15.940945806372881</v>
      </c>
      <c r="X1228" s="28">
        <f t="shared" si="393"/>
        <v>16.002058548962822</v>
      </c>
      <c r="Y1228" s="28">
        <f t="shared" si="393"/>
        <v>16.040687609599484</v>
      </c>
      <c r="Z1228" s="28">
        <f t="shared" si="393"/>
        <v>16.082482288873532</v>
      </c>
      <c r="AA1228" s="28">
        <f t="shared" si="393"/>
        <v>16.127615494082271</v>
      </c>
      <c r="AB1228" s="28">
        <f t="shared" si="393"/>
        <v>16.175465875658951</v>
      </c>
      <c r="AC1228" s="28">
        <f t="shared" si="393"/>
        <v>16.226224840403397</v>
      </c>
      <c r="AD1228" s="28">
        <f t="shared" si="393"/>
        <v>16.168243026354983</v>
      </c>
      <c r="AE1228" s="28">
        <f t="shared" si="393"/>
        <v>16.112665987814566</v>
      </c>
      <c r="AF1228" s="28">
        <f t="shared" si="393"/>
        <v>16.05914677955478</v>
      </c>
      <c r="AG1228" s="28">
        <f t="shared" si="393"/>
        <v>16.003380168239076</v>
      </c>
      <c r="AH1228" s="28">
        <f t="shared" si="393"/>
        <v>15.755593258717346</v>
      </c>
      <c r="AI1228" s="28">
        <f t="shared" si="393"/>
        <v>15.685387265852475</v>
      </c>
      <c r="AJ1228" s="28">
        <f t="shared" si="393"/>
        <v>15.616789599275808</v>
      </c>
      <c r="AK1228" s="28">
        <f t="shared" si="393"/>
        <v>15.549693201726555</v>
      </c>
      <c r="AL1228" s="28">
        <f t="shared" si="393"/>
        <v>15.483998527196547</v>
      </c>
      <c r="AM1228" s="28">
        <f t="shared" si="393"/>
        <v>15.419612822878383</v>
      </c>
      <c r="AN1228" s="28">
        <f t="shared" si="393"/>
        <v>15.43124935020712</v>
      </c>
      <c r="AO1228" s="28">
        <f t="shared" si="393"/>
        <v>15.444338150662317</v>
      </c>
      <c r="AP1228" s="28">
        <f t="shared" si="393"/>
        <v>15.458824473617199</v>
      </c>
      <c r="AQ1228" s="28">
        <f t="shared" si="393"/>
        <v>15.474657324466746</v>
      </c>
      <c r="AR1228" s="28">
        <f t="shared" si="393"/>
        <v>15.491789142838496</v>
      </c>
      <c r="AS1228" s="28">
        <f t="shared" si="393"/>
        <v>15.493125766304614</v>
      </c>
      <c r="AT1228" s="28">
        <f t="shared" si="393"/>
        <v>15.495651091999266</v>
      </c>
      <c r="AU1228" s="28">
        <f t="shared" si="393"/>
        <v>15.499322429979872</v>
      </c>
      <c r="AV1228" s="28">
        <f t="shared" si="393"/>
        <v>15.504099703305199</v>
      </c>
      <c r="AW1228" s="28">
        <f t="shared" si="393"/>
        <v>15.509945245600184</v>
      </c>
      <c r="AY1228" s="85"/>
      <c r="AZ1228" s="85"/>
    </row>
    <row r="1229" spans="1:52" x14ac:dyDescent="0.25">
      <c r="A1229" s="102" t="str">
        <f t="shared" si="384"/>
        <v>FSFAGSPQNIBDDSCM Goats</v>
      </c>
      <c r="B1229" s="102" t="s">
        <v>1376</v>
      </c>
      <c r="C1229" s="102" t="s">
        <v>153</v>
      </c>
      <c r="D1229" t="s">
        <v>15</v>
      </c>
      <c r="E1229" t="s">
        <v>16</v>
      </c>
      <c r="F1229" t="s">
        <v>19</v>
      </c>
      <c r="G1229" t="s">
        <v>123</v>
      </c>
      <c r="H1229" t="s">
        <v>1021</v>
      </c>
      <c r="I1229" t="s">
        <v>121</v>
      </c>
      <c r="J1229" t="s">
        <v>286</v>
      </c>
      <c r="K1229" s="28">
        <f t="shared" ref="K1229:AW1229" si="394">IFERROR(K1388-((K1388-K13)+(K1388-K166)+(K1388-K319)+(K1388-K471)+(K1388-K623)+(K1388-K774)+(K1388-K925)+(K1388-K1076)),0)</f>
        <v>22.380358537009105</v>
      </c>
      <c r="L1229" s="28">
        <f t="shared" si="394"/>
        <v>22.438731813400228</v>
      </c>
      <c r="M1229" s="28">
        <f t="shared" si="394"/>
        <v>22.516519374971988</v>
      </c>
      <c r="N1229" s="28">
        <f t="shared" si="394"/>
        <v>22.611991851391704</v>
      </c>
      <c r="O1229" s="28">
        <f t="shared" si="394"/>
        <v>22.726296508380855</v>
      </c>
      <c r="P1229" s="28">
        <f t="shared" si="394"/>
        <v>22.859737524576634</v>
      </c>
      <c r="Q1229" s="28">
        <f t="shared" si="394"/>
        <v>23.002410571498377</v>
      </c>
      <c r="R1229" s="28">
        <f t="shared" si="394"/>
        <v>23.152275541540064</v>
      </c>
      <c r="S1229" s="28">
        <f t="shared" si="394"/>
        <v>23.291493516254551</v>
      </c>
      <c r="T1229" s="28">
        <f t="shared" si="394"/>
        <v>23.356735300700223</v>
      </c>
      <c r="U1229" s="28">
        <f t="shared" si="394"/>
        <v>23.428276533789713</v>
      </c>
      <c r="V1229" s="28">
        <f t="shared" si="394"/>
        <v>23.506208003154299</v>
      </c>
      <c r="W1229" s="28">
        <f t="shared" si="394"/>
        <v>23.590964608028823</v>
      </c>
      <c r="X1229" s="28">
        <f t="shared" si="394"/>
        <v>23.681405198257956</v>
      </c>
      <c r="Y1229" s="28">
        <f t="shared" si="394"/>
        <v>23.738572245520402</v>
      </c>
      <c r="Z1229" s="28">
        <f t="shared" si="394"/>
        <v>23.800424083644316</v>
      </c>
      <c r="AA1229" s="28">
        <f t="shared" si="394"/>
        <v>23.8672165976933</v>
      </c>
      <c r="AB1229" s="28">
        <f t="shared" si="394"/>
        <v>23.938030254045156</v>
      </c>
      <c r="AC1229" s="28">
        <f t="shared" si="394"/>
        <v>24.013148315129573</v>
      </c>
      <c r="AD1229" s="28">
        <f t="shared" si="394"/>
        <v>23.994843417654565</v>
      </c>
      <c r="AE1229" s="28">
        <f t="shared" si="394"/>
        <v>23.980396694716923</v>
      </c>
      <c r="AF1229" s="28">
        <f t="shared" si="394"/>
        <v>23.969325896326666</v>
      </c>
      <c r="AG1229" s="28">
        <f t="shared" si="394"/>
        <v>23.9552184930964</v>
      </c>
      <c r="AH1229" s="28">
        <f t="shared" si="394"/>
        <v>23.653153307711278</v>
      </c>
      <c r="AI1229" s="28">
        <f t="shared" si="394"/>
        <v>23.617088650983124</v>
      </c>
      <c r="AJ1229" s="28">
        <f t="shared" si="394"/>
        <v>23.583638328697464</v>
      </c>
      <c r="AK1229" s="28">
        <f t="shared" si="394"/>
        <v>23.552665283772349</v>
      </c>
      <c r="AL1229" s="28">
        <f t="shared" si="394"/>
        <v>23.524042503477133</v>
      </c>
      <c r="AM1229" s="28">
        <f t="shared" si="394"/>
        <v>23.497652058545647</v>
      </c>
      <c r="AN1229" s="28">
        <f t="shared" si="394"/>
        <v>23.515384739221957</v>
      </c>
      <c r="AO1229" s="28">
        <f t="shared" si="394"/>
        <v>23.535330511044691</v>
      </c>
      <c r="AP1229" s="28">
        <f t="shared" si="394"/>
        <v>23.557405940584434</v>
      </c>
      <c r="AQ1229" s="28">
        <f t="shared" si="394"/>
        <v>23.581533318141247</v>
      </c>
      <c r="AR1229" s="28">
        <f t="shared" si="394"/>
        <v>23.607640167376289</v>
      </c>
      <c r="AS1229" s="28">
        <f t="shared" si="394"/>
        <v>23.609677022224776</v>
      </c>
      <c r="AT1229" s="28">
        <f t="shared" si="394"/>
        <v>23.613525317586607</v>
      </c>
      <c r="AU1229" s="28">
        <f t="shared" si="394"/>
        <v>23.619119999077547</v>
      </c>
      <c r="AV1229" s="28">
        <f t="shared" si="394"/>
        <v>23.626399994215976</v>
      </c>
      <c r="AW1229" s="28">
        <f t="shared" si="394"/>
        <v>23.635307903935818</v>
      </c>
      <c r="AY1229" s="85"/>
      <c r="AZ1229" s="85"/>
    </row>
    <row r="1230" spans="1:52" x14ac:dyDescent="0.25">
      <c r="A1230" s="102" t="str">
        <f t="shared" si="384"/>
        <v>FSFAGSPQNIBDDSCM Horses</v>
      </c>
      <c r="B1230" s="102" t="s">
        <v>1376</v>
      </c>
      <c r="C1230" s="102" t="s">
        <v>3</v>
      </c>
      <c r="D1230" t="s">
        <v>15</v>
      </c>
      <c r="E1230" t="s">
        <v>16</v>
      </c>
      <c r="F1230" t="s">
        <v>20</v>
      </c>
      <c r="G1230" t="s">
        <v>3</v>
      </c>
      <c r="H1230" t="s">
        <v>1021</v>
      </c>
      <c r="I1230" t="s">
        <v>121</v>
      </c>
      <c r="J1230" t="s">
        <v>286</v>
      </c>
      <c r="K1230" s="28">
        <f t="shared" ref="K1230:AW1230" si="395">IFERROR(K1389-((K1389-K14)+(K1389-K167)+(K1389-K320)+(K1389-K472)+(K1389-K624)+(K1389-K775)+(K1389-K926)+(K1389-K1077)),0)</f>
        <v>5.5696427744330439</v>
      </c>
      <c r="L1230" s="28">
        <f t="shared" si="395"/>
        <v>5.6022840873497932</v>
      </c>
      <c r="M1230" s="28">
        <f t="shared" si="395"/>
        <v>5.6103260601490881</v>
      </c>
      <c r="N1230" s="28">
        <f t="shared" si="395"/>
        <v>5.5857580588048208</v>
      </c>
      <c r="O1230" s="28">
        <f t="shared" si="395"/>
        <v>5.559765331848693</v>
      </c>
      <c r="P1230" s="28">
        <f t="shared" si="395"/>
        <v>5.5473985576087426</v>
      </c>
      <c r="Q1230" s="28">
        <f t="shared" si="395"/>
        <v>5.5391504700870771</v>
      </c>
      <c r="R1230" s="28">
        <f t="shared" si="395"/>
        <v>5.4993657963463365</v>
      </c>
      <c r="S1230" s="28">
        <f t="shared" si="395"/>
        <v>5.1779141846798922</v>
      </c>
      <c r="T1230" s="28">
        <f t="shared" si="395"/>
        <v>5.2234365031656678</v>
      </c>
      <c r="U1230" s="28">
        <f t="shared" si="395"/>
        <v>5.2607139869862687</v>
      </c>
      <c r="V1230" s="28">
        <f t="shared" si="395"/>
        <v>5.2972378917474705</v>
      </c>
      <c r="W1230" s="28">
        <f t="shared" si="395"/>
        <v>5.3445893517249541</v>
      </c>
      <c r="X1230" s="28">
        <f t="shared" si="395"/>
        <v>5.391074742094033</v>
      </c>
      <c r="Y1230" s="28">
        <f t="shared" si="395"/>
        <v>5.4443279456237095</v>
      </c>
      <c r="Z1230" s="28">
        <f t="shared" si="395"/>
        <v>5.4941146702747297</v>
      </c>
      <c r="AA1230" s="28">
        <f t="shared" si="395"/>
        <v>5.5476702009922301</v>
      </c>
      <c r="AB1230" s="28">
        <f t="shared" si="395"/>
        <v>5.5951924858009336</v>
      </c>
      <c r="AC1230" s="28">
        <f t="shared" si="395"/>
        <v>5.6435970948645044</v>
      </c>
      <c r="AD1230" s="28">
        <f t="shared" si="395"/>
        <v>5.7106381367284076</v>
      </c>
      <c r="AE1230" s="28">
        <f t="shared" si="395"/>
        <v>5.7837954436426573</v>
      </c>
      <c r="AF1230" s="28">
        <f t="shared" si="395"/>
        <v>5.8590224803991617</v>
      </c>
      <c r="AG1230" s="28">
        <f t="shared" si="395"/>
        <v>5.8483213454344947</v>
      </c>
      <c r="AH1230" s="28">
        <f t="shared" si="395"/>
        <v>1.7304204380446728</v>
      </c>
      <c r="AI1230" s="28">
        <f t="shared" si="395"/>
        <v>1.7304204380446728</v>
      </c>
      <c r="AJ1230" s="28">
        <f t="shared" si="395"/>
        <v>1.7304204380446728</v>
      </c>
      <c r="AK1230" s="28">
        <f t="shared" si="395"/>
        <v>1.7304204380446728</v>
      </c>
      <c r="AL1230" s="28">
        <f t="shared" si="395"/>
        <v>1.7304204380446728</v>
      </c>
      <c r="AM1230" s="28">
        <f t="shared" si="395"/>
        <v>1.7304204380446728</v>
      </c>
      <c r="AN1230" s="28">
        <f t="shared" si="395"/>
        <v>1.7304204380446728</v>
      </c>
      <c r="AO1230" s="28">
        <f t="shared" si="395"/>
        <v>1.7304204380446728</v>
      </c>
      <c r="AP1230" s="28">
        <f t="shared" si="395"/>
        <v>1.7304204380446728</v>
      </c>
      <c r="AQ1230" s="28">
        <f t="shared" si="395"/>
        <v>1.7304204380446728</v>
      </c>
      <c r="AR1230" s="28">
        <f t="shared" si="395"/>
        <v>1.7304204380446728</v>
      </c>
      <c r="AS1230" s="28">
        <f t="shared" si="395"/>
        <v>1.7304204380446728</v>
      </c>
      <c r="AT1230" s="28">
        <f t="shared" si="395"/>
        <v>1.7304204380446728</v>
      </c>
      <c r="AU1230" s="28">
        <f t="shared" si="395"/>
        <v>1.7304204380446728</v>
      </c>
      <c r="AV1230" s="28">
        <f t="shared" si="395"/>
        <v>1.7304204380446728</v>
      </c>
      <c r="AW1230" s="28">
        <f t="shared" si="395"/>
        <v>1.7304204380446728</v>
      </c>
      <c r="AY1230" s="85"/>
      <c r="AZ1230" s="85"/>
    </row>
    <row r="1231" spans="1:52" x14ac:dyDescent="0.25">
      <c r="A1231" s="102" t="str">
        <f t="shared" si="384"/>
        <v>FSFAGSPQNIBDDSCM Mules&amp;Asses</v>
      </c>
      <c r="B1231" s="102" t="s">
        <v>1376</v>
      </c>
      <c r="C1231" s="102" t="s">
        <v>1324</v>
      </c>
      <c r="D1231" t="s">
        <v>15</v>
      </c>
      <c r="E1231" t="s">
        <v>16</v>
      </c>
      <c r="F1231" t="s">
        <v>140</v>
      </c>
      <c r="G1231" t="s">
        <v>124</v>
      </c>
      <c r="H1231" t="s">
        <v>1021</v>
      </c>
      <c r="I1231" t="s">
        <v>121</v>
      </c>
      <c r="J1231" t="s">
        <v>286</v>
      </c>
      <c r="K1231" s="28">
        <f t="shared" ref="K1231:AW1231" si="396">IFERROR(K1390-((K1390-K15)+(K1390-K168)+(K1390-K321)+(K1390-K473)+(K1390-K625)+(K1390-K776)+(K1390-K927)+(K1390-K1078)),0)</f>
        <v>1.67</v>
      </c>
      <c r="L1231" s="28">
        <f t="shared" si="396"/>
        <v>1.67</v>
      </c>
      <c r="M1231" s="28">
        <f t="shared" si="396"/>
        <v>1.67</v>
      </c>
      <c r="N1231" s="28">
        <f t="shared" si="396"/>
        <v>1.67</v>
      </c>
      <c r="O1231" s="28">
        <f t="shared" si="396"/>
        <v>1.67</v>
      </c>
      <c r="P1231" s="28">
        <f t="shared" si="396"/>
        <v>1.67</v>
      </c>
      <c r="Q1231" s="28">
        <f t="shared" si="396"/>
        <v>1.67</v>
      </c>
      <c r="R1231" s="28">
        <f t="shared" si="396"/>
        <v>1.67</v>
      </c>
      <c r="S1231" s="28">
        <f t="shared" si="396"/>
        <v>1.67</v>
      </c>
      <c r="T1231" s="28">
        <f t="shared" si="396"/>
        <v>1.67</v>
      </c>
      <c r="U1231" s="28">
        <f t="shared" si="396"/>
        <v>1.67</v>
      </c>
      <c r="V1231" s="28">
        <f t="shared" si="396"/>
        <v>1.67</v>
      </c>
      <c r="W1231" s="28">
        <f t="shared" si="396"/>
        <v>1.67</v>
      </c>
      <c r="X1231" s="28">
        <f t="shared" si="396"/>
        <v>1.67</v>
      </c>
      <c r="Y1231" s="28">
        <f t="shared" si="396"/>
        <v>1.67</v>
      </c>
      <c r="Z1231" s="28">
        <f t="shared" si="396"/>
        <v>1.67</v>
      </c>
      <c r="AA1231" s="28">
        <f t="shared" si="396"/>
        <v>1.67</v>
      </c>
      <c r="AB1231" s="28">
        <f t="shared" si="396"/>
        <v>1.67</v>
      </c>
      <c r="AC1231" s="28">
        <f t="shared" si="396"/>
        <v>1.67</v>
      </c>
      <c r="AD1231" s="28">
        <f t="shared" si="396"/>
        <v>1.67</v>
      </c>
      <c r="AE1231" s="28">
        <f t="shared" si="396"/>
        <v>1.67</v>
      </c>
      <c r="AF1231" s="28">
        <f t="shared" si="396"/>
        <v>1.67</v>
      </c>
      <c r="AG1231" s="28">
        <f t="shared" si="396"/>
        <v>1.67</v>
      </c>
      <c r="AH1231" s="28">
        <f t="shared" si="396"/>
        <v>1.67</v>
      </c>
      <c r="AI1231" s="28">
        <f t="shared" si="396"/>
        <v>1.67</v>
      </c>
      <c r="AJ1231" s="28">
        <f t="shared" si="396"/>
        <v>1.67</v>
      </c>
      <c r="AK1231" s="28">
        <f t="shared" si="396"/>
        <v>1.67</v>
      </c>
      <c r="AL1231" s="28">
        <f t="shared" si="396"/>
        <v>1.67</v>
      </c>
      <c r="AM1231" s="28">
        <f t="shared" si="396"/>
        <v>1.67</v>
      </c>
      <c r="AN1231" s="28">
        <f t="shared" si="396"/>
        <v>1.67</v>
      </c>
      <c r="AO1231" s="28">
        <f t="shared" si="396"/>
        <v>1.67</v>
      </c>
      <c r="AP1231" s="28">
        <f t="shared" si="396"/>
        <v>1.67</v>
      </c>
      <c r="AQ1231" s="28">
        <f t="shared" si="396"/>
        <v>1.67</v>
      </c>
      <c r="AR1231" s="28">
        <f t="shared" si="396"/>
        <v>1.67</v>
      </c>
      <c r="AS1231" s="28">
        <f t="shared" si="396"/>
        <v>1.67</v>
      </c>
      <c r="AT1231" s="28">
        <f t="shared" si="396"/>
        <v>1.67</v>
      </c>
      <c r="AU1231" s="28">
        <f t="shared" si="396"/>
        <v>1.67</v>
      </c>
      <c r="AV1231" s="28">
        <f t="shared" si="396"/>
        <v>1.67</v>
      </c>
      <c r="AW1231" s="28">
        <f t="shared" si="396"/>
        <v>1.67</v>
      </c>
      <c r="AY1231" s="85"/>
      <c r="AZ1231" s="85"/>
    </row>
    <row r="1232" spans="1:52" x14ac:dyDescent="0.25">
      <c r="A1232" s="102" t="str">
        <f t="shared" si="384"/>
        <v>FSFAGSPQNIBDDSCM Swine</v>
      </c>
      <c r="B1232" s="102" t="s">
        <v>1376</v>
      </c>
      <c r="C1232" s="102" t="s">
        <v>155</v>
      </c>
      <c r="D1232" t="s">
        <v>15</v>
      </c>
      <c r="E1232" t="s">
        <v>16</v>
      </c>
      <c r="F1232" t="s">
        <v>21</v>
      </c>
      <c r="G1232" t="s">
        <v>122</v>
      </c>
      <c r="H1232" t="s">
        <v>1021</v>
      </c>
      <c r="I1232" t="s">
        <v>121</v>
      </c>
      <c r="J1232" t="s">
        <v>286</v>
      </c>
      <c r="K1232" s="28">
        <f t="shared" ref="K1232:AW1232" si="397">IFERROR(K1391-((K1391-K16)+(K1391-K169)+(K1391-K322)+(K1391-K474)+(K1391-K626)+(K1391-K777)+(K1391-K928)+(K1391-K1079)),0)</f>
        <v>1.8541666894574054</v>
      </c>
      <c r="L1232" s="28">
        <f t="shared" si="397"/>
        <v>1.8483142649538657</v>
      </c>
      <c r="M1232" s="28">
        <f t="shared" si="397"/>
        <v>1.8289603412170248</v>
      </c>
      <c r="N1232" s="28">
        <f t="shared" si="397"/>
        <v>1.7913821949145237</v>
      </c>
      <c r="O1232" s="28">
        <f t="shared" si="397"/>
        <v>1.7554482253507835</v>
      </c>
      <c r="P1232" s="28">
        <f t="shared" si="397"/>
        <v>1.7302400840947183</v>
      </c>
      <c r="Q1232" s="28">
        <f t="shared" si="397"/>
        <v>1.708890891068684</v>
      </c>
      <c r="R1232" s="28">
        <f t="shared" si="397"/>
        <v>1.6695786047731636</v>
      </c>
      <c r="S1232" s="28">
        <f t="shared" si="397"/>
        <v>1.4615896404106821</v>
      </c>
      <c r="T1232" s="28">
        <f t="shared" si="397"/>
        <v>1.4708774478581006</v>
      </c>
      <c r="U1232" s="28">
        <f t="shared" si="397"/>
        <v>1.475539546686083</v>
      </c>
      <c r="V1232" s="28">
        <f t="shared" si="397"/>
        <v>1.4800720193256183</v>
      </c>
      <c r="W1232" s="28">
        <f t="shared" si="397"/>
        <v>1.4911430483593251</v>
      </c>
      <c r="X1232" s="28">
        <f t="shared" si="397"/>
        <v>1.5018418879535562</v>
      </c>
      <c r="Y1232" s="28">
        <f t="shared" si="397"/>
        <v>1.5141161979930053</v>
      </c>
      <c r="Z1232" s="28">
        <f t="shared" si="397"/>
        <v>1.5244186206157291</v>
      </c>
      <c r="AA1232" s="28">
        <f t="shared" si="397"/>
        <v>1.5367997357970316</v>
      </c>
      <c r="AB1232" s="28">
        <f t="shared" si="397"/>
        <v>1.5458124762264192</v>
      </c>
      <c r="AC1232" s="28">
        <f t="shared" si="397"/>
        <v>1.5552930899763542</v>
      </c>
      <c r="AD1232" s="28">
        <f t="shared" si="397"/>
        <v>1.5727795493180676</v>
      </c>
      <c r="AE1232" s="28">
        <f t="shared" si="397"/>
        <v>1.5932065886725237</v>
      </c>
      <c r="AF1232" s="28">
        <f t="shared" si="397"/>
        <v>1.61434489246593</v>
      </c>
      <c r="AG1232" s="28">
        <f t="shared" si="397"/>
        <v>1.5905873244414643</v>
      </c>
      <c r="AH1232" s="28">
        <f t="shared" si="397"/>
        <v>-0.53667602659003</v>
      </c>
      <c r="AI1232" s="28">
        <f t="shared" si="397"/>
        <v>-0.53080565769123822</v>
      </c>
      <c r="AJ1232" s="28">
        <f t="shared" si="397"/>
        <v>-0.52506102374348274</v>
      </c>
      <c r="AK1232" s="28">
        <f t="shared" si="397"/>
        <v>-0.51943389932430173</v>
      </c>
      <c r="AL1232" s="28">
        <f t="shared" si="397"/>
        <v>-0.51391666127760161</v>
      </c>
      <c r="AM1232" s="28">
        <f t="shared" si="397"/>
        <v>-0.50850223047100296</v>
      </c>
      <c r="AN1232" s="28">
        <f t="shared" si="397"/>
        <v>-0.50256367866010732</v>
      </c>
      <c r="AO1232" s="28">
        <f t="shared" si="397"/>
        <v>-0.496729831902604</v>
      </c>
      <c r="AP1232" s="28">
        <f t="shared" si="397"/>
        <v>-0.49099457494449417</v>
      </c>
      <c r="AQ1232" s="28">
        <f t="shared" si="397"/>
        <v>-0.48535219196665164</v>
      </c>
      <c r="AR1232" s="28">
        <f t="shared" si="397"/>
        <v>-0.47979733207264019</v>
      </c>
      <c r="AS1232" s="28">
        <f t="shared" si="397"/>
        <v>-0.47374377836093629</v>
      </c>
      <c r="AT1232" s="28">
        <f t="shared" si="397"/>
        <v>-0.46778268442640875</v>
      </c>
      <c r="AU1232" s="28">
        <f t="shared" si="397"/>
        <v>-0.46190929102584166</v>
      </c>
      <c r="AV1232" s="28">
        <f t="shared" si="397"/>
        <v>-0.45611912010876249</v>
      </c>
      <c r="AW1232" s="28">
        <f t="shared" si="397"/>
        <v>-0.45040795289365548</v>
      </c>
      <c r="AY1232" s="85"/>
      <c r="AZ1232" s="85"/>
    </row>
    <row r="1233" spans="1:52" x14ac:dyDescent="0.25">
      <c r="A1233" s="102" t="str">
        <f t="shared" si="384"/>
        <v>FSFAGSPQNIBDDSCM Swine</v>
      </c>
      <c r="B1233" s="102" t="s">
        <v>1376</v>
      </c>
      <c r="C1233" s="102" t="s">
        <v>155</v>
      </c>
      <c r="D1233" t="s">
        <v>15</v>
      </c>
      <c r="E1233" t="s">
        <v>16</v>
      </c>
      <c r="F1233" t="s">
        <v>21</v>
      </c>
      <c r="G1233" t="s">
        <v>123</v>
      </c>
      <c r="H1233" t="s">
        <v>1021</v>
      </c>
      <c r="I1233" t="s">
        <v>121</v>
      </c>
      <c r="J1233" t="s">
        <v>286</v>
      </c>
      <c r="K1233" s="28">
        <f t="shared" ref="K1233:AW1233" si="398">IFERROR(K1392-((K1392-K17)+(K1392-K170)+(K1392-K323)+(K1392-K475)+(K1392-K627)+(K1392-K778)+(K1392-K929)+(K1392-K1080)),0)</f>
        <v>0.2569163489011142</v>
      </c>
      <c r="L1233" s="28">
        <f t="shared" si="398"/>
        <v>0.25610542745364245</v>
      </c>
      <c r="M1233" s="28">
        <f t="shared" si="398"/>
        <v>0.25342371633691707</v>
      </c>
      <c r="N1233" s="28">
        <f t="shared" si="398"/>
        <v>0.2482168273331373</v>
      </c>
      <c r="O1233" s="28">
        <f t="shared" si="398"/>
        <v>0.24323775812952569</v>
      </c>
      <c r="P1233" s="28">
        <f t="shared" si="398"/>
        <v>0.23974487712216219</v>
      </c>
      <c r="Q1233" s="28">
        <f t="shared" si="398"/>
        <v>0.23678669825107104</v>
      </c>
      <c r="R1233" s="28">
        <f t="shared" si="398"/>
        <v>0.23133952399245247</v>
      </c>
      <c r="S1233" s="28">
        <f t="shared" si="398"/>
        <v>0.20252023517685527</v>
      </c>
      <c r="T1233" s="28">
        <f t="shared" si="398"/>
        <v>0.20380716886639622</v>
      </c>
      <c r="U1233" s="28">
        <f t="shared" si="398"/>
        <v>0.20445315685437584</v>
      </c>
      <c r="V1233" s="28">
        <f t="shared" si="398"/>
        <v>0.20508118362708436</v>
      </c>
      <c r="W1233" s="28">
        <f t="shared" si="398"/>
        <v>0.20661520339676887</v>
      </c>
      <c r="X1233" s="28">
        <f t="shared" si="398"/>
        <v>0.20809765199303451</v>
      </c>
      <c r="Y1233" s="28">
        <f t="shared" si="398"/>
        <v>0.20979840033380981</v>
      </c>
      <c r="Z1233" s="28">
        <f t="shared" si="398"/>
        <v>0.21122592075045635</v>
      </c>
      <c r="AA1233" s="28">
        <f t="shared" si="398"/>
        <v>0.21294146818521006</v>
      </c>
      <c r="AB1233" s="28">
        <f t="shared" si="398"/>
        <v>0.21419028814183935</v>
      </c>
      <c r="AC1233" s="28">
        <f t="shared" si="398"/>
        <v>0.21550393738590373</v>
      </c>
      <c r="AD1233" s="28">
        <f t="shared" si="398"/>
        <v>0.21792688960202594</v>
      </c>
      <c r="AE1233" s="28">
        <f t="shared" si="398"/>
        <v>0.22075729336218733</v>
      </c>
      <c r="AF1233" s="28">
        <f t="shared" si="398"/>
        <v>0.22368625107857998</v>
      </c>
      <c r="AG1233" s="28">
        <f t="shared" si="398"/>
        <v>0.22039436385489045</v>
      </c>
      <c r="AH1233" s="28">
        <f t="shared" si="398"/>
        <v>-7.4362702166015399E-2</v>
      </c>
      <c r="AI1233" s="28">
        <f t="shared" si="398"/>
        <v>-7.3549294313983729E-2</v>
      </c>
      <c r="AJ1233" s="28">
        <f t="shared" si="398"/>
        <v>-7.2753308501045513E-2</v>
      </c>
      <c r="AK1233" s="28">
        <f t="shared" si="398"/>
        <v>-7.1973604999300819E-2</v>
      </c>
      <c r="AL1233" s="28">
        <f t="shared" si="398"/>
        <v>-7.1209127531856237E-2</v>
      </c>
      <c r="AM1233" s="28">
        <f t="shared" si="398"/>
        <v>-7.0458895202628005E-2</v>
      </c>
      <c r="AN1233" s="28">
        <f t="shared" si="398"/>
        <v>-6.9636039815520426E-2</v>
      </c>
      <c r="AO1233" s="28">
        <f t="shared" si="398"/>
        <v>-6.8827692530722115E-2</v>
      </c>
      <c r="AP1233" s="28">
        <f t="shared" si="398"/>
        <v>-6.8033006008703711E-2</v>
      </c>
      <c r="AQ1233" s="28">
        <f t="shared" si="398"/>
        <v>-6.7251188256280764E-2</v>
      </c>
      <c r="AR1233" s="28">
        <f t="shared" si="398"/>
        <v>-6.6481497844549611E-2</v>
      </c>
      <c r="AS1233" s="28">
        <f t="shared" si="398"/>
        <v>-6.5642707607225875E-2</v>
      </c>
      <c r="AT1233" s="28">
        <f t="shared" si="398"/>
        <v>-6.4816728746844354E-2</v>
      </c>
      <c r="AU1233" s="28">
        <f t="shared" si="398"/>
        <v>-6.4002901814932872E-2</v>
      </c>
      <c r="AV1233" s="28">
        <f t="shared" si="398"/>
        <v>-6.3200606325542585E-2</v>
      </c>
      <c r="AW1233" s="28">
        <f t="shared" si="398"/>
        <v>-6.2409257717452565E-2</v>
      </c>
      <c r="AY1233" s="85"/>
      <c r="AZ1233" s="85"/>
    </row>
    <row r="1234" spans="1:52" x14ac:dyDescent="0.25">
      <c r="A1234" s="102" t="str">
        <f t="shared" si="384"/>
        <v>FSFAGSPQNIBDDSCM Cattle MMCH4</v>
      </c>
      <c r="B1234" s="102" t="s">
        <v>1376</v>
      </c>
      <c r="C1234" s="102" t="s">
        <v>1230</v>
      </c>
      <c r="D1234" t="s">
        <v>15</v>
      </c>
      <c r="E1234" t="s">
        <v>22</v>
      </c>
      <c r="F1234" t="s">
        <v>6</v>
      </c>
      <c r="G1234" t="s">
        <v>136</v>
      </c>
      <c r="H1234" t="s">
        <v>1228</v>
      </c>
      <c r="I1234" t="s">
        <v>121</v>
      </c>
      <c r="J1234" t="s">
        <v>286</v>
      </c>
      <c r="K1234" s="28">
        <f t="shared" ref="K1234:AW1234" si="399">IFERROR(K1393-((K1393-K18)+(K1393-K171)+(K1393-K324)+(K1393-K476)+(K1393-K628)+(K1393-K779)+(K1393-K930)+(K1393-K1081)),0)</f>
        <v>7.3648798204296106</v>
      </c>
      <c r="L1234" s="28">
        <f t="shared" si="399"/>
        <v>7.4106906152364989</v>
      </c>
      <c r="M1234" s="28">
        <f t="shared" si="399"/>
        <v>7.4421861677323351</v>
      </c>
      <c r="N1234" s="28">
        <f t="shared" si="399"/>
        <v>7.4520636366228885</v>
      </c>
      <c r="O1234" s="28">
        <f t="shared" si="399"/>
        <v>7.4654263781328698</v>
      </c>
      <c r="P1234" s="28">
        <f t="shared" si="399"/>
        <v>7.4946958588308661</v>
      </c>
      <c r="Q1234" s="28">
        <f t="shared" si="399"/>
        <v>7.5297869973043996</v>
      </c>
      <c r="R1234" s="28">
        <f t="shared" si="399"/>
        <v>7.5403287413445446</v>
      </c>
      <c r="S1234" s="28">
        <f t="shared" si="399"/>
        <v>7.3088423426582532</v>
      </c>
      <c r="T1234" s="28">
        <f t="shared" si="399"/>
        <v>6.790950248465716</v>
      </c>
      <c r="U1234" s="28">
        <f t="shared" si="399"/>
        <v>6.2678346787366248</v>
      </c>
      <c r="V1234" s="28">
        <f t="shared" si="399"/>
        <v>5.7457562510637343</v>
      </c>
      <c r="W1234" s="28">
        <f t="shared" si="399"/>
        <v>5.2316461086676886</v>
      </c>
      <c r="X1234" s="28">
        <f t="shared" si="399"/>
        <v>4.7167503763257121</v>
      </c>
      <c r="Y1234" s="28">
        <f t="shared" si="399"/>
        <v>4.199325757713134</v>
      </c>
      <c r="Z1234" s="28">
        <f t="shared" si="399"/>
        <v>3.6802256285598371</v>
      </c>
      <c r="AA1234" s="28">
        <f t="shared" si="399"/>
        <v>3.1625797289894511</v>
      </c>
      <c r="AB1234" s="28">
        <f t="shared" si="399"/>
        <v>2.6425713816590637</v>
      </c>
      <c r="AC1234" s="28">
        <f t="shared" si="399"/>
        <v>2.122874669945042</v>
      </c>
      <c r="AD1234" s="28">
        <f t="shared" si="399"/>
        <v>2.0096919745707087</v>
      </c>
      <c r="AE1234" s="28">
        <f t="shared" si="399"/>
        <v>1.8959197307113804</v>
      </c>
      <c r="AF1234" s="28">
        <f t="shared" si="399"/>
        <v>1.7804135174539679</v>
      </c>
      <c r="AG1234" s="28">
        <f t="shared" si="399"/>
        <v>1.6466420486124624</v>
      </c>
      <c r="AH1234" s="28">
        <f t="shared" si="399"/>
        <v>0.80873520396795051</v>
      </c>
      <c r="AI1234" s="28">
        <f t="shared" si="399"/>
        <v>0.73665051024793993</v>
      </c>
      <c r="AJ1234" s="28">
        <f t="shared" si="399"/>
        <v>0.66475824151365437</v>
      </c>
      <c r="AK1234" s="28">
        <f t="shared" si="399"/>
        <v>0.59303582897663043</v>
      </c>
      <c r="AL1234" s="28">
        <f t="shared" si="399"/>
        <v>0.52146204340623781</v>
      </c>
      <c r="AM1234" s="28">
        <f t="shared" si="399"/>
        <v>0.45001687312329608</v>
      </c>
      <c r="AN1234" s="28">
        <f t="shared" si="399"/>
        <v>0.4494829778531475</v>
      </c>
      <c r="AO1234" s="28">
        <f t="shared" si="399"/>
        <v>0.44898235724961166</v>
      </c>
      <c r="AP1234" s="28">
        <f t="shared" si="399"/>
        <v>0.4485136570035313</v>
      </c>
      <c r="AQ1234" s="28">
        <f t="shared" si="399"/>
        <v>0.44807561141177787</v>
      </c>
      <c r="AR1234" s="28">
        <f t="shared" si="399"/>
        <v>0.44766703586629397</v>
      </c>
      <c r="AS1234" s="28">
        <f t="shared" si="399"/>
        <v>0.44696830959321954</v>
      </c>
      <c r="AT1234" s="28">
        <f t="shared" si="399"/>
        <v>0.44629636756577629</v>
      </c>
      <c r="AU1234" s="28">
        <f t="shared" si="399"/>
        <v>0.44565018244614851</v>
      </c>
      <c r="AV1234" s="28">
        <f t="shared" si="399"/>
        <v>0.44502878712216454</v>
      </c>
      <c r="AW1234" s="28">
        <f t="shared" si="399"/>
        <v>0.44443127009186156</v>
      </c>
      <c r="AY1234" s="85"/>
      <c r="AZ1234" s="85"/>
    </row>
    <row r="1235" spans="1:52" x14ac:dyDescent="0.25">
      <c r="A1235" s="102" t="str">
        <f t="shared" si="384"/>
        <v>FSFAGSPQNIBDDSCM Cattle MMCH4</v>
      </c>
      <c r="B1235" s="102" t="s">
        <v>1376</v>
      </c>
      <c r="C1235" s="102" t="s">
        <v>1230</v>
      </c>
      <c r="D1235" t="s">
        <v>15</v>
      </c>
      <c r="E1235" t="s">
        <v>22</v>
      </c>
      <c r="F1235" t="s">
        <v>6</v>
      </c>
      <c r="G1235" t="s">
        <v>137</v>
      </c>
      <c r="H1235" t="s">
        <v>1228</v>
      </c>
      <c r="I1235" t="s">
        <v>121</v>
      </c>
      <c r="J1235" t="s">
        <v>286</v>
      </c>
      <c r="K1235" s="28">
        <f t="shared" ref="K1235:AW1235" si="400">IFERROR(K1394-((K1394-K19)+(K1394-K172)+(K1394-K325)+(K1394-K477)+(K1394-K629)+(K1394-K780)+(K1394-K931)+(K1394-K1082)),0)</f>
        <v>2.0982235474514437</v>
      </c>
      <c r="L1235" s="28">
        <f t="shared" si="400"/>
        <v>2.1112748518494664</v>
      </c>
      <c r="M1235" s="28">
        <f t="shared" si="400"/>
        <v>2.1202478034112069</v>
      </c>
      <c r="N1235" s="28">
        <f t="shared" si="400"/>
        <v>2.1230618531066128</v>
      </c>
      <c r="O1235" s="28">
        <f t="shared" si="400"/>
        <v>2.1268688424368354</v>
      </c>
      <c r="P1235" s="28">
        <f t="shared" si="400"/>
        <v>2.135207595426647</v>
      </c>
      <c r="Q1235" s="28">
        <f t="shared" si="400"/>
        <v>2.145204914438942</v>
      </c>
      <c r="R1235" s="28">
        <f t="shared" si="400"/>
        <v>2.1482082133542728</v>
      </c>
      <c r="S1235" s="28">
        <f t="shared" si="400"/>
        <v>2.0822587037246674</v>
      </c>
      <c r="T1235" s="28">
        <f t="shared" si="400"/>
        <v>1.9163473964209201</v>
      </c>
      <c r="U1235" s="28">
        <f t="shared" si="400"/>
        <v>1.7489712250700813</v>
      </c>
      <c r="V1235" s="28">
        <f t="shared" si="400"/>
        <v>1.5819101831895956</v>
      </c>
      <c r="W1235" s="28">
        <f t="shared" si="400"/>
        <v>1.4170365600512198</v>
      </c>
      <c r="X1235" s="28">
        <f t="shared" si="400"/>
        <v>1.2519064755433593</v>
      </c>
      <c r="Y1235" s="28">
        <f t="shared" si="400"/>
        <v>1.0860672594137375</v>
      </c>
      <c r="Z1235" s="28">
        <f t="shared" si="400"/>
        <v>0.9197748968740842</v>
      </c>
      <c r="AA1235" s="28">
        <f t="shared" si="400"/>
        <v>0.75381655771052269</v>
      </c>
      <c r="AB1235" s="28">
        <f t="shared" si="400"/>
        <v>0.58726627618216609</v>
      </c>
      <c r="AC1235" s="28">
        <f t="shared" si="400"/>
        <v>0.42077514202133015</v>
      </c>
      <c r="AD1235" s="28">
        <f t="shared" si="400"/>
        <v>0.38233358655507543</v>
      </c>
      <c r="AE1235" s="28">
        <f t="shared" si="400"/>
        <v>0.34347915889327907</v>
      </c>
      <c r="AF1235" s="28">
        <f t="shared" si="400"/>
        <v>0.30396602907387749</v>
      </c>
      <c r="AG1235" s="28">
        <f t="shared" si="400"/>
        <v>0.26114727815217842</v>
      </c>
      <c r="AH1235" s="28">
        <f t="shared" si="400"/>
        <v>0.11671421098893009</v>
      </c>
      <c r="AI1235" s="28">
        <f t="shared" si="400"/>
        <v>9.3756819758706866E-2</v>
      </c>
      <c r="AJ1235" s="28">
        <f t="shared" si="400"/>
        <v>7.0847697783208652E-2</v>
      </c>
      <c r="AK1235" s="28">
        <f t="shared" si="400"/>
        <v>4.7980204682867011E-2</v>
      </c>
      <c r="AL1235" s="28">
        <f t="shared" si="400"/>
        <v>2.5148085684334243E-2</v>
      </c>
      <c r="AM1235" s="28">
        <f t="shared" si="400"/>
        <v>2.3454366592681186E-3</v>
      </c>
      <c r="AN1235" s="28">
        <f t="shared" si="400"/>
        <v>2.3426540579623012E-3</v>
      </c>
      <c r="AO1235" s="28">
        <f t="shared" si="400"/>
        <v>2.3400448804269391E-3</v>
      </c>
      <c r="AP1235" s="28">
        <f t="shared" si="400"/>
        <v>2.3376020681569187E-3</v>
      </c>
      <c r="AQ1235" s="28">
        <f t="shared" si="400"/>
        <v>2.3353190244519428E-3</v>
      </c>
      <c r="AR1235" s="28">
        <f t="shared" si="400"/>
        <v>2.333189575269623E-3</v>
      </c>
      <c r="AS1235" s="28">
        <f t="shared" si="400"/>
        <v>2.3295478935605463E-3</v>
      </c>
      <c r="AT1235" s="28">
        <f t="shared" si="400"/>
        <v>2.3260458082872137E-3</v>
      </c>
      <c r="AU1235" s="28">
        <f t="shared" si="400"/>
        <v>2.3226779650822316E-3</v>
      </c>
      <c r="AV1235" s="28">
        <f t="shared" si="400"/>
        <v>2.3194393234673427E-3</v>
      </c>
      <c r="AW1235" s="28">
        <f t="shared" si="400"/>
        <v>2.3163251327977807E-3</v>
      </c>
      <c r="AY1235" s="85"/>
      <c r="AZ1235" s="85"/>
    </row>
    <row r="1236" spans="1:52" x14ac:dyDescent="0.25">
      <c r="A1236" s="102" t="str">
        <f t="shared" si="384"/>
        <v>FSFAGSPQNIBDDSCM Cattle MMCH4</v>
      </c>
      <c r="B1236" s="102" t="s">
        <v>1376</v>
      </c>
      <c r="C1236" s="102" t="s">
        <v>1230</v>
      </c>
      <c r="D1236" t="s">
        <v>15</v>
      </c>
      <c r="E1236" t="s">
        <v>22</v>
      </c>
      <c r="F1236" t="s">
        <v>67</v>
      </c>
      <c r="G1236" t="s">
        <v>307</v>
      </c>
      <c r="H1236" t="s">
        <v>1228</v>
      </c>
      <c r="I1236" t="s">
        <v>121</v>
      </c>
      <c r="J1236" t="s">
        <v>286</v>
      </c>
      <c r="K1236" s="28">
        <f t="shared" ref="K1236:AW1236" si="401">IFERROR(K1395-((K1395-K20)+(K1395-K173)+(K1395-K326)+(K1395-K478)+(K1395-K630)+(K1395-K781)+(K1395-K932)+(K1395-K1083)),0)</f>
        <v>0.43336774046245513</v>
      </c>
      <c r="L1236" s="28">
        <f t="shared" si="401"/>
        <v>0.43606336090953701</v>
      </c>
      <c r="M1236" s="28">
        <f t="shared" si="401"/>
        <v>0.43791663710039563</v>
      </c>
      <c r="N1236" s="28">
        <f t="shared" si="401"/>
        <v>0.43849785179485851</v>
      </c>
      <c r="O1236" s="28">
        <f t="shared" si="401"/>
        <v>0.43928414854860887</v>
      </c>
      <c r="P1236" s="28">
        <f t="shared" si="401"/>
        <v>0.44100643717026611</v>
      </c>
      <c r="Q1236" s="28">
        <f t="shared" si="401"/>
        <v>0.44307128653119471</v>
      </c>
      <c r="R1236" s="28">
        <f t="shared" si="401"/>
        <v>0.44369158881807513</v>
      </c>
      <c r="S1236" s="28">
        <f t="shared" si="401"/>
        <v>0.43007035670126681</v>
      </c>
      <c r="T1236" s="28">
        <f t="shared" si="401"/>
        <v>0.43361270135236735</v>
      </c>
      <c r="U1236" s="28">
        <f t="shared" si="401"/>
        <v>0.43686093079793747</v>
      </c>
      <c r="V1236" s="28">
        <f t="shared" si="401"/>
        <v>0.44019144835882135</v>
      </c>
      <c r="W1236" s="28">
        <f t="shared" si="401"/>
        <v>0.44420350981949086</v>
      </c>
      <c r="X1236" s="28">
        <f t="shared" si="401"/>
        <v>0.44829085520204021</v>
      </c>
      <c r="Y1236" s="28">
        <f t="shared" si="401"/>
        <v>0.45227077864668558</v>
      </c>
      <c r="Z1236" s="28">
        <f t="shared" si="401"/>
        <v>0.45617108067019357</v>
      </c>
      <c r="AA1236" s="28">
        <f t="shared" si="401"/>
        <v>0.46037213371252356</v>
      </c>
      <c r="AB1236" s="28">
        <f t="shared" si="401"/>
        <v>0.46435044836471168</v>
      </c>
      <c r="AC1236" s="28">
        <f t="shared" si="401"/>
        <v>0.46847146239083864</v>
      </c>
      <c r="AD1236" s="28">
        <f t="shared" si="401"/>
        <v>0.47320613146186896</v>
      </c>
      <c r="AE1236" s="28">
        <f t="shared" si="401"/>
        <v>0.47836268378541491</v>
      </c>
      <c r="AF1236" s="28">
        <f t="shared" si="401"/>
        <v>0.4837239116397628</v>
      </c>
      <c r="AG1236" s="28">
        <f t="shared" si="401"/>
        <v>0.48447279323990261</v>
      </c>
      <c r="AH1236" s="28">
        <f t="shared" si="401"/>
        <v>0.25938200675301493</v>
      </c>
      <c r="AI1236" s="28">
        <f t="shared" si="401"/>
        <v>0.25957278063562522</v>
      </c>
      <c r="AJ1236" s="28">
        <f t="shared" si="401"/>
        <v>0.25978861497139094</v>
      </c>
      <c r="AK1236" s="28">
        <f t="shared" si="401"/>
        <v>0.260028557221544</v>
      </c>
      <c r="AL1236" s="28">
        <f t="shared" si="401"/>
        <v>0.26029172820809693</v>
      </c>
      <c r="AM1236" s="28">
        <f t="shared" si="401"/>
        <v>0.26057731516048022</v>
      </c>
      <c r="AN1236" s="28">
        <f t="shared" si="401"/>
        <v>0.26070026887628817</v>
      </c>
      <c r="AO1236" s="28">
        <f t="shared" si="401"/>
        <v>0.26084296294040193</v>
      </c>
      <c r="AP1236" s="28">
        <f t="shared" si="401"/>
        <v>0.26100470788314173</v>
      </c>
      <c r="AQ1236" s="28">
        <f t="shared" si="401"/>
        <v>0.26118486128201956</v>
      </c>
      <c r="AR1236" s="28">
        <f t="shared" si="401"/>
        <v>0.26138282376940786</v>
      </c>
      <c r="AS1236" s="28">
        <f t="shared" si="401"/>
        <v>0.26141175290749602</v>
      </c>
      <c r="AT1236" s="28">
        <f t="shared" si="401"/>
        <v>0.26145647024377611</v>
      </c>
      <c r="AU1236" s="28">
        <f t="shared" si="401"/>
        <v>0.26151645247563149</v>
      </c>
      <c r="AV1236" s="28">
        <f t="shared" si="401"/>
        <v>0.26159120817957698</v>
      </c>
      <c r="AW1236" s="28">
        <f t="shared" si="401"/>
        <v>0.26168027536234517</v>
      </c>
      <c r="AY1236" s="85"/>
      <c r="AZ1236" s="85"/>
    </row>
    <row r="1237" spans="1:52" x14ac:dyDescent="0.25">
      <c r="A1237" s="102" t="str">
        <f t="shared" si="384"/>
        <v>FSFAGSPQNIBDDSCM Cattle MMCH4</v>
      </c>
      <c r="B1237" s="102" t="s">
        <v>1376</v>
      </c>
      <c r="C1237" s="102" t="s">
        <v>1230</v>
      </c>
      <c r="D1237" t="s">
        <v>15</v>
      </c>
      <c r="E1237" t="s">
        <v>22</v>
      </c>
      <c r="F1237" t="s">
        <v>67</v>
      </c>
      <c r="G1237" t="s">
        <v>122</v>
      </c>
      <c r="H1237" t="s">
        <v>1228</v>
      </c>
      <c r="I1237" t="s">
        <v>121</v>
      </c>
      <c r="J1237" t="s">
        <v>286</v>
      </c>
      <c r="K1237" s="28">
        <f t="shared" ref="K1237:AW1237" si="402">IFERROR(K1396-((K1396-K21)+(K1396-K174)+(K1396-K327)+(K1396-K479)+(K1396-K631)+(K1396-K782)+(K1396-K933)+(K1396-K1084)),0)</f>
        <v>9.5707566285535867E-2</v>
      </c>
      <c r="L1237" s="28">
        <f t="shared" si="402"/>
        <v>9.507317462688053E-2</v>
      </c>
      <c r="M1237" s="28">
        <f t="shared" si="402"/>
        <v>9.3735602326843109E-2</v>
      </c>
      <c r="N1237" s="28">
        <f t="shared" si="402"/>
        <v>9.1480938854138993E-2</v>
      </c>
      <c r="O1237" s="28">
        <f t="shared" si="402"/>
        <v>8.9293409665024345E-2</v>
      </c>
      <c r="P1237" s="28">
        <f t="shared" si="402"/>
        <v>8.7610892686618924E-2</v>
      </c>
      <c r="Q1237" s="28">
        <f t="shared" si="402"/>
        <v>8.6089043126348228E-2</v>
      </c>
      <c r="R1237" s="28">
        <f t="shared" si="402"/>
        <v>8.3696304621384818E-2</v>
      </c>
      <c r="S1237" s="28">
        <f t="shared" si="402"/>
        <v>7.34067322961163E-2</v>
      </c>
      <c r="T1237" s="28">
        <f t="shared" si="402"/>
        <v>7.4106416152148968E-2</v>
      </c>
      <c r="U1237" s="28">
        <f t="shared" si="402"/>
        <v>7.4579873174536918E-2</v>
      </c>
      <c r="V1237" s="28">
        <f t="shared" si="402"/>
        <v>7.5037930673723691E-2</v>
      </c>
      <c r="W1237" s="28">
        <f t="shared" si="402"/>
        <v>7.5795447602904714E-2</v>
      </c>
      <c r="X1237" s="28">
        <f t="shared" si="402"/>
        <v>7.6527998633535405E-2</v>
      </c>
      <c r="Y1237" s="28">
        <f t="shared" si="402"/>
        <v>7.7297067256649366E-2</v>
      </c>
      <c r="Z1237" s="28">
        <f t="shared" si="402"/>
        <v>7.7966609512140975E-2</v>
      </c>
      <c r="AA1237" s="28">
        <f t="shared" si="402"/>
        <v>7.8728639390587538E-2</v>
      </c>
      <c r="AB1237" s="28">
        <f t="shared" si="402"/>
        <v>7.9324953589457362E-2</v>
      </c>
      <c r="AC1237" s="28">
        <f t="shared" si="402"/>
        <v>7.9937629648305739E-2</v>
      </c>
      <c r="AD1237" s="28">
        <f t="shared" si="402"/>
        <v>8.0222991747189526E-2</v>
      </c>
      <c r="AE1237" s="28">
        <f t="shared" si="402"/>
        <v>8.0614281081104813E-2</v>
      </c>
      <c r="AF1237" s="28">
        <f t="shared" si="402"/>
        <v>8.100406028659024E-2</v>
      </c>
      <c r="AG1237" s="28">
        <f t="shared" si="402"/>
        <v>7.9286126804775037E-2</v>
      </c>
      <c r="AH1237" s="28">
        <f t="shared" si="402"/>
        <v>-1.8702500653157286E-2</v>
      </c>
      <c r="AI1237" s="28">
        <f t="shared" si="402"/>
        <v>-1.8268667685025074E-2</v>
      </c>
      <c r="AJ1237" s="28">
        <f t="shared" si="402"/>
        <v>-1.7841734022548978E-2</v>
      </c>
      <c r="AK1237" s="28">
        <f t="shared" si="402"/>
        <v>-1.7421338317040982E-2</v>
      </c>
      <c r="AL1237" s="28">
        <f t="shared" si="402"/>
        <v>-1.7007144202009699E-2</v>
      </c>
      <c r="AM1237" s="28">
        <f t="shared" si="402"/>
        <v>-1.6598837978205473E-2</v>
      </c>
      <c r="AN1237" s="28">
        <f t="shared" si="402"/>
        <v>-1.6267793993705613E-2</v>
      </c>
      <c r="AO1237" s="28">
        <f t="shared" si="402"/>
        <v>-1.5941750028753716E-2</v>
      </c>
      <c r="AP1237" s="28">
        <f t="shared" si="402"/>
        <v>-1.562047950725113E-2</v>
      </c>
      <c r="AQ1237" s="28">
        <f t="shared" si="402"/>
        <v>-1.5303769944962587E-2</v>
      </c>
      <c r="AR1237" s="28">
        <f t="shared" si="402"/>
        <v>-1.4991421781067962E-2</v>
      </c>
      <c r="AS1237" s="28">
        <f t="shared" si="402"/>
        <v>-1.4673268106464171E-2</v>
      </c>
      <c r="AT1237" s="28">
        <f t="shared" si="402"/>
        <v>-1.4359489450627001E-2</v>
      </c>
      <c r="AU1237" s="28">
        <f t="shared" si="402"/>
        <v>-1.40499137071168E-2</v>
      </c>
      <c r="AV1237" s="28">
        <f t="shared" si="402"/>
        <v>-1.3744378438980727E-2</v>
      </c>
      <c r="AW1237" s="28">
        <f t="shared" si="402"/>
        <v>-1.3442730156179297E-2</v>
      </c>
      <c r="AY1237" s="85"/>
      <c r="AZ1237" s="85"/>
    </row>
    <row r="1238" spans="1:52" x14ac:dyDescent="0.25">
      <c r="A1238" s="102" t="str">
        <f t="shared" si="384"/>
        <v>FSFAGSPQNIBDDSCM Cattle MMCH4</v>
      </c>
      <c r="B1238" s="102" t="s">
        <v>1376</v>
      </c>
      <c r="C1238" s="102" t="s">
        <v>1230</v>
      </c>
      <c r="D1238" t="s">
        <v>15</v>
      </c>
      <c r="E1238" t="s">
        <v>22</v>
      </c>
      <c r="F1238" t="s">
        <v>67</v>
      </c>
      <c r="G1238" t="s">
        <v>123</v>
      </c>
      <c r="H1238" t="s">
        <v>1228</v>
      </c>
      <c r="I1238" t="s">
        <v>121</v>
      </c>
      <c r="J1238" t="s">
        <v>286</v>
      </c>
      <c r="K1238" s="28">
        <f t="shared" ref="K1238:AW1238" si="403">IFERROR(K1397-((K1397-K22)+(K1397-K175)+(K1397-K328)+(K1397-K480)+(K1397-K632)+(K1397-K783)+(K1397-K934)+(K1397-K1085)),0)</f>
        <v>7.0303494563391522E-2</v>
      </c>
      <c r="L1238" s="28">
        <f t="shared" si="403"/>
        <v>6.9837492216280578E-2</v>
      </c>
      <c r="M1238" s="28">
        <f t="shared" si="403"/>
        <v>6.8854957495428151E-2</v>
      </c>
      <c r="N1238" s="28">
        <f t="shared" si="403"/>
        <v>6.7198759063606908E-2</v>
      </c>
      <c r="O1238" s="28">
        <f t="shared" si="403"/>
        <v>6.5591875173201017E-2</v>
      </c>
      <c r="P1238" s="28">
        <f t="shared" si="403"/>
        <v>6.4355955926323108E-2</v>
      </c>
      <c r="Q1238" s="28">
        <f t="shared" si="403"/>
        <v>6.3238057452470034E-2</v>
      </c>
      <c r="R1238" s="28">
        <f t="shared" si="403"/>
        <v>6.1480433839166078E-2</v>
      </c>
      <c r="S1238" s="28">
        <f t="shared" si="403"/>
        <v>5.392206703386089E-2</v>
      </c>
      <c r="T1238" s="28">
        <f t="shared" si="403"/>
        <v>5.4436030789055859E-2</v>
      </c>
      <c r="U1238" s="28">
        <f t="shared" si="403"/>
        <v>5.4783816073869653E-2</v>
      </c>
      <c r="V1238" s="28">
        <f t="shared" si="403"/>
        <v>5.5120289397281967E-2</v>
      </c>
      <c r="W1238" s="28">
        <f t="shared" si="403"/>
        <v>5.5676735343817389E-2</v>
      </c>
      <c r="X1238" s="28">
        <f t="shared" si="403"/>
        <v>5.6214842197832481E-2</v>
      </c>
      <c r="Y1238" s="28">
        <f t="shared" si="403"/>
        <v>5.6779773622404078E-2</v>
      </c>
      <c r="Z1238" s="28">
        <f t="shared" si="403"/>
        <v>5.7271596391969458E-2</v>
      </c>
      <c r="AA1238" s="28">
        <f t="shared" si="403"/>
        <v>5.7831357396200579E-2</v>
      </c>
      <c r="AB1238" s="28">
        <f t="shared" si="403"/>
        <v>5.826938934775229E-2</v>
      </c>
      <c r="AC1238" s="28">
        <f t="shared" si="403"/>
        <v>5.8719440160285359E-2</v>
      </c>
      <c r="AD1238" s="28">
        <f t="shared" si="403"/>
        <v>5.8929057367639905E-2</v>
      </c>
      <c r="AE1238" s="28">
        <f t="shared" si="403"/>
        <v>5.92164850875921E-2</v>
      </c>
      <c r="AF1238" s="28">
        <f t="shared" si="403"/>
        <v>5.9502803519010737E-2</v>
      </c>
      <c r="AG1238" s="28">
        <f t="shared" si="403"/>
        <v>5.8240868523832451E-2</v>
      </c>
      <c r="AH1238" s="28">
        <f t="shared" si="403"/>
        <v>-1.3738215315895889E-2</v>
      </c>
      <c r="AI1238" s="28">
        <f t="shared" si="403"/>
        <v>-1.3419536501877058E-2</v>
      </c>
      <c r="AJ1238" s="28">
        <f t="shared" si="403"/>
        <v>-1.3105925681085005E-2</v>
      </c>
      <c r="AK1238" s="28">
        <f t="shared" si="403"/>
        <v>-1.2797117419171011E-2</v>
      </c>
      <c r="AL1238" s="28">
        <f t="shared" si="403"/>
        <v>-1.2492864632850905E-2</v>
      </c>
      <c r="AM1238" s="28">
        <f t="shared" si="403"/>
        <v>-1.2192936889418591E-2</v>
      </c>
      <c r="AN1238" s="28">
        <f t="shared" si="403"/>
        <v>-1.1949763336189845E-2</v>
      </c>
      <c r="AO1238" s="28">
        <f t="shared" si="403"/>
        <v>-1.1710262625775411E-2</v>
      </c>
      <c r="AP1238" s="28">
        <f t="shared" si="403"/>
        <v>-1.1474268323146819E-2</v>
      </c>
      <c r="AQ1238" s="28">
        <f t="shared" si="403"/>
        <v>-1.1241624344674956E-2</v>
      </c>
      <c r="AR1238" s="28">
        <f t="shared" si="403"/>
        <v>-1.1012184099828085E-2</v>
      </c>
      <c r="AS1238" s="28">
        <f t="shared" si="403"/>
        <v>-1.0778479325995476E-2</v>
      </c>
      <c r="AT1238" s="28">
        <f t="shared" si="403"/>
        <v>-1.0547988290846352E-2</v>
      </c>
      <c r="AU1238" s="28">
        <f t="shared" si="403"/>
        <v>-1.032058457089494E-2</v>
      </c>
      <c r="AV1238" s="28">
        <f t="shared" si="403"/>
        <v>-1.0096148845528728E-2</v>
      </c>
      <c r="AW1238" s="28">
        <f t="shared" si="403"/>
        <v>-9.8745683662308046E-3</v>
      </c>
      <c r="AY1238" s="85"/>
      <c r="AZ1238" s="85"/>
    </row>
    <row r="1239" spans="1:52" x14ac:dyDescent="0.25">
      <c r="A1239" s="102" t="str">
        <f t="shared" si="384"/>
        <v>FSFAGSPQNIBDDSCM Cattle MMCH4</v>
      </c>
      <c r="B1239" s="102" t="s">
        <v>1376</v>
      </c>
      <c r="C1239" s="102" t="s">
        <v>1230</v>
      </c>
      <c r="D1239" t="s">
        <v>15</v>
      </c>
      <c r="E1239" t="s">
        <v>22</v>
      </c>
      <c r="F1239" t="s">
        <v>67</v>
      </c>
      <c r="G1239" t="s">
        <v>135</v>
      </c>
      <c r="H1239" t="s">
        <v>1228</v>
      </c>
      <c r="I1239" t="s">
        <v>121</v>
      </c>
      <c r="J1239" t="s">
        <v>286</v>
      </c>
      <c r="K1239" s="28">
        <f t="shared" ref="K1239:AW1239" si="404">IFERROR(K1398-((K1398-K23)+(K1398-K176)+(K1398-K329)+(K1398-K481)+(K1398-K633)+(K1398-K784)+(K1398-K935)+(K1398-K1086)),0)</f>
        <v>0.47365013870542771</v>
      </c>
      <c r="L1239" s="28">
        <f t="shared" si="404"/>
        <v>0.49051927106458876</v>
      </c>
      <c r="M1239" s="28">
        <f t="shared" si="404"/>
        <v>0.50390876804084606</v>
      </c>
      <c r="N1239" s="28">
        <f t="shared" si="404"/>
        <v>0.51218897212451775</v>
      </c>
      <c r="O1239" s="28">
        <f t="shared" si="404"/>
        <v>0.5204864616851187</v>
      </c>
      <c r="P1239" s="28">
        <f t="shared" si="404"/>
        <v>0.5315053909957832</v>
      </c>
      <c r="Q1239" s="28">
        <f t="shared" si="404"/>
        <v>0.54344267992188611</v>
      </c>
      <c r="R1239" s="28">
        <f t="shared" si="404"/>
        <v>0.54965498610396035</v>
      </c>
      <c r="S1239" s="28">
        <f t="shared" si="404"/>
        <v>0.50146701948783567</v>
      </c>
      <c r="T1239" s="28">
        <f t="shared" si="404"/>
        <v>0.49935519931815436</v>
      </c>
      <c r="U1239" s="28">
        <f t="shared" si="404"/>
        <v>0.49472161883462418</v>
      </c>
      <c r="V1239" s="28">
        <f t="shared" si="404"/>
        <v>0.48898174798035138</v>
      </c>
      <c r="W1239" s="28">
        <f t="shared" si="404"/>
        <v>0.48412055948028471</v>
      </c>
      <c r="X1239" s="28">
        <f t="shared" si="404"/>
        <v>0.47795064127248066</v>
      </c>
      <c r="Y1239" s="28">
        <f t="shared" si="404"/>
        <v>0.47081038833208833</v>
      </c>
      <c r="Z1239" s="28">
        <f t="shared" si="404"/>
        <v>0.46182626620867728</v>
      </c>
      <c r="AA1239" s="28">
        <f t="shared" si="404"/>
        <v>0.45210147078316681</v>
      </c>
      <c r="AB1239" s="28">
        <f t="shared" si="404"/>
        <v>0.44009739479869903</v>
      </c>
      <c r="AC1239" s="28">
        <f t="shared" si="404"/>
        <v>0.42683122336736323</v>
      </c>
      <c r="AD1239" s="28">
        <f t="shared" si="404"/>
        <v>0.43487638806533824</v>
      </c>
      <c r="AE1239" s="28">
        <f t="shared" si="404"/>
        <v>0.44355924784919587</v>
      </c>
      <c r="AF1239" s="28">
        <f t="shared" si="404"/>
        <v>0.45230844525860614</v>
      </c>
      <c r="AG1239" s="28">
        <f t="shared" si="404"/>
        <v>0.44919362219681203</v>
      </c>
      <c r="AH1239" s="28">
        <f t="shared" si="404"/>
        <v>-0.10749025678153824</v>
      </c>
      <c r="AI1239" s="28">
        <f t="shared" si="404"/>
        <v>-0.10649715975611336</v>
      </c>
      <c r="AJ1239" s="28">
        <f t="shared" si="404"/>
        <v>-0.10547815337565102</v>
      </c>
      <c r="AK1239" s="28">
        <f t="shared" si="404"/>
        <v>-0.10443295449361079</v>
      </c>
      <c r="AL1239" s="28">
        <f t="shared" si="404"/>
        <v>-0.10336127626908821</v>
      </c>
      <c r="AM1239" s="28">
        <f t="shared" si="404"/>
        <v>-0.10226282812961328</v>
      </c>
      <c r="AN1239" s="28">
        <f t="shared" si="404"/>
        <v>-0.10292768270853123</v>
      </c>
      <c r="AO1239" s="28">
        <f t="shared" si="404"/>
        <v>-0.10359646994771812</v>
      </c>
      <c r="AP1239" s="28">
        <f t="shared" si="404"/>
        <v>-0.10426921961695025</v>
      </c>
      <c r="AQ1239" s="28">
        <f t="shared" si="404"/>
        <v>-0.10494596167932491</v>
      </c>
      <c r="AR1239" s="28">
        <f t="shared" si="404"/>
        <v>-0.10562672629257246</v>
      </c>
      <c r="AS1239" s="28">
        <f t="shared" si="404"/>
        <v>-0.10623929095434023</v>
      </c>
      <c r="AT1239" s="28">
        <f t="shared" si="404"/>
        <v>-0.10685473928442586</v>
      </c>
      <c r="AU1239" s="28">
        <f t="shared" si="404"/>
        <v>-0.1074730897749836</v>
      </c>
      <c r="AV1239" s="28">
        <f t="shared" si="404"/>
        <v>-0.10809436101365368</v>
      </c>
      <c r="AW1239" s="28">
        <f t="shared" si="404"/>
        <v>-0.10871857168410959</v>
      </c>
      <c r="AY1239" s="85"/>
      <c r="AZ1239" s="85"/>
    </row>
    <row r="1240" spans="1:52" x14ac:dyDescent="0.25">
      <c r="A1240" s="102" t="str">
        <f t="shared" si="384"/>
        <v>FSFAGSPQNIBDDSCM Sheep MMCH4</v>
      </c>
      <c r="B1240" s="102" t="s">
        <v>1376</v>
      </c>
      <c r="C1240" s="102" t="s">
        <v>1325</v>
      </c>
      <c r="D1240" t="s">
        <v>15</v>
      </c>
      <c r="E1240" t="s">
        <v>22</v>
      </c>
      <c r="F1240" t="s">
        <v>18</v>
      </c>
      <c r="G1240" t="s">
        <v>122</v>
      </c>
      <c r="H1240" t="s">
        <v>1228</v>
      </c>
      <c r="I1240" t="s">
        <v>121</v>
      </c>
      <c r="J1240" t="s">
        <v>286</v>
      </c>
      <c r="K1240" s="28">
        <f t="shared" ref="K1240:AW1240" si="405">IFERROR(K1399-((K1399-K24)+(K1399-K177)+(K1399-K330)+(K1399-K482)+(K1399-K634)+(K1399-K785)+(K1399-K936)+(K1399-K1087)),0)</f>
        <v>3.6053921478906167E-2</v>
      </c>
      <c r="L1240" s="28">
        <f t="shared" si="405"/>
        <v>3.6073610217126503E-2</v>
      </c>
      <c r="M1240" s="28">
        <f t="shared" si="405"/>
        <v>3.6117697084082141E-2</v>
      </c>
      <c r="N1240" s="28">
        <f t="shared" si="405"/>
        <v>3.618405707434337E-2</v>
      </c>
      <c r="O1240" s="28">
        <f t="shared" si="405"/>
        <v>3.6273578032260737E-2</v>
      </c>
      <c r="P1240" s="28">
        <f t="shared" si="405"/>
        <v>3.6386354948245533E-2</v>
      </c>
      <c r="Q1240" s="28">
        <f t="shared" si="405"/>
        <v>3.6511983860861394E-2</v>
      </c>
      <c r="R1240" s="28">
        <f t="shared" si="405"/>
        <v>3.6648137011074396E-2</v>
      </c>
      <c r="S1240" s="28">
        <f t="shared" si="405"/>
        <v>3.6776081758532232E-2</v>
      </c>
      <c r="T1240" s="28">
        <f t="shared" si="405"/>
        <v>3.6829526757110792E-2</v>
      </c>
      <c r="U1240" s="28">
        <f t="shared" si="405"/>
        <v>3.6891543145696586E-2</v>
      </c>
      <c r="V1240" s="28">
        <f t="shared" si="405"/>
        <v>3.6962118208236874E-2</v>
      </c>
      <c r="W1240" s="28">
        <f t="shared" si="405"/>
        <v>3.7041617602425879E-2</v>
      </c>
      <c r="X1240" s="28">
        <f t="shared" si="405"/>
        <v>3.71287668347723E-2</v>
      </c>
      <c r="Y1240" s="28">
        <f t="shared" si="405"/>
        <v>3.7182413833591089E-2</v>
      </c>
      <c r="Z1240" s="28">
        <f t="shared" si="405"/>
        <v>3.7242338638937944E-2</v>
      </c>
      <c r="AA1240" s="28">
        <f t="shared" si="405"/>
        <v>3.7308758714658788E-2</v>
      </c>
      <c r="AB1240" s="28">
        <f t="shared" si="405"/>
        <v>3.7380653555679967E-2</v>
      </c>
      <c r="AC1240" s="28">
        <f t="shared" si="405"/>
        <v>3.7458280228605825E-2</v>
      </c>
      <c r="AD1240" s="28">
        <f t="shared" si="405"/>
        <v>3.7509383313851091E-2</v>
      </c>
      <c r="AE1240" s="28">
        <f t="shared" si="405"/>
        <v>3.7565861655525674E-2</v>
      </c>
      <c r="AF1240" s="28">
        <f t="shared" si="405"/>
        <v>3.7627207315702967E-2</v>
      </c>
      <c r="AG1240" s="28">
        <f t="shared" si="405"/>
        <v>3.7686475047494471E-2</v>
      </c>
      <c r="AH1240" s="28">
        <f t="shared" si="405"/>
        <v>3.7433087747828976E-2</v>
      </c>
      <c r="AI1240" s="28">
        <f t="shared" si="405"/>
        <v>3.7469072750832028E-2</v>
      </c>
      <c r="AJ1240" s="28">
        <f t="shared" si="405"/>
        <v>3.750878237989342E-2</v>
      </c>
      <c r="AK1240" s="28">
        <f t="shared" si="405"/>
        <v>3.7552075921765626E-2</v>
      </c>
      <c r="AL1240" s="28">
        <f t="shared" si="405"/>
        <v>3.7598823539459238E-2</v>
      </c>
      <c r="AM1240" s="28">
        <f t="shared" si="405"/>
        <v>3.7648905240168402E-2</v>
      </c>
      <c r="AN1240" s="28">
        <f t="shared" si="405"/>
        <v>3.76732099349424E-2</v>
      </c>
      <c r="AO1240" s="28">
        <f t="shared" si="405"/>
        <v>3.7700452169156254E-2</v>
      </c>
      <c r="AP1240" s="28">
        <f t="shared" si="405"/>
        <v>3.7730529709511379E-2</v>
      </c>
      <c r="AQ1240" s="28">
        <f t="shared" si="405"/>
        <v>3.7763347319933152E-2</v>
      </c>
      <c r="AR1240" s="28">
        <f t="shared" si="405"/>
        <v>3.7798816167122655E-2</v>
      </c>
      <c r="AS1240" s="28">
        <f t="shared" si="405"/>
        <v>3.7807565900273503E-2</v>
      </c>
      <c r="AT1240" s="28">
        <f t="shared" si="405"/>
        <v>3.7818668604843612E-2</v>
      </c>
      <c r="AU1240" s="28">
        <f t="shared" si="405"/>
        <v>3.7832046350463708E-2</v>
      </c>
      <c r="AV1240" s="28">
        <f t="shared" si="405"/>
        <v>3.7847625965531671E-2</v>
      </c>
      <c r="AW1240" s="28">
        <f t="shared" si="405"/>
        <v>3.7865338671255785E-2</v>
      </c>
      <c r="AY1240" s="85"/>
      <c r="AZ1240" s="85"/>
    </row>
    <row r="1241" spans="1:52" x14ac:dyDescent="0.25">
      <c r="A1241" s="102" t="str">
        <f t="shared" si="384"/>
        <v>FSFAGSPQNIBDDSCM Sheep MMCH4</v>
      </c>
      <c r="B1241" s="102" t="s">
        <v>1376</v>
      </c>
      <c r="C1241" s="102" t="s">
        <v>1325</v>
      </c>
      <c r="D1241" t="s">
        <v>15</v>
      </c>
      <c r="E1241" t="s">
        <v>22</v>
      </c>
      <c r="F1241" t="s">
        <v>18</v>
      </c>
      <c r="G1241" t="s">
        <v>123</v>
      </c>
      <c r="H1241" t="s">
        <v>1228</v>
      </c>
      <c r="I1241" t="s">
        <v>121</v>
      </c>
      <c r="J1241" t="s">
        <v>286</v>
      </c>
      <c r="K1241" s="28">
        <f t="shared" ref="K1241:AW1241" si="406">IFERROR(K1400-((K1400-K25)+(K1400-K178)+(K1400-K331)+(K1400-K483)+(K1400-K635)+(K1400-K786)+(K1400-K937)+(K1400-K1088)),0)</f>
        <v>4.1175296849015851E-3</v>
      </c>
      <c r="L1241" s="28">
        <f t="shared" si="406"/>
        <v>4.1197782326532605E-3</v>
      </c>
      <c r="M1241" s="28">
        <f t="shared" si="406"/>
        <v>4.1248131630008617E-3</v>
      </c>
      <c r="N1241" s="28">
        <f t="shared" si="406"/>
        <v>4.1323917901954152E-3</v>
      </c>
      <c r="O1241" s="28">
        <f t="shared" si="406"/>
        <v>4.1426155102936933E-3</v>
      </c>
      <c r="P1241" s="28">
        <f t="shared" si="406"/>
        <v>4.1554951716534349E-3</v>
      </c>
      <c r="Q1241" s="28">
        <f t="shared" si="406"/>
        <v>4.1698425922878412E-3</v>
      </c>
      <c r="R1241" s="28">
        <f t="shared" si="406"/>
        <v>4.1853919310199088E-3</v>
      </c>
      <c r="S1241" s="28">
        <f t="shared" si="406"/>
        <v>4.2000038310317607E-3</v>
      </c>
      <c r="T1241" s="28">
        <f t="shared" si="406"/>
        <v>4.2061075046164898E-3</v>
      </c>
      <c r="U1241" s="28">
        <f t="shared" si="406"/>
        <v>4.2131900717958127E-3</v>
      </c>
      <c r="V1241" s="28">
        <f t="shared" si="406"/>
        <v>4.2212500803358944E-3</v>
      </c>
      <c r="W1241" s="28">
        <f t="shared" si="406"/>
        <v>4.2303292900883332E-3</v>
      </c>
      <c r="X1241" s="28">
        <f t="shared" si="406"/>
        <v>4.2402821478215117E-3</v>
      </c>
      <c r="Y1241" s="28">
        <f t="shared" si="406"/>
        <v>4.2464088907965165E-3</v>
      </c>
      <c r="Z1241" s="28">
        <f t="shared" si="406"/>
        <v>4.2532525892003629E-3</v>
      </c>
      <c r="AA1241" s="28">
        <f t="shared" si="406"/>
        <v>4.2608380784408054E-3</v>
      </c>
      <c r="AB1241" s="28">
        <f t="shared" si="406"/>
        <v>4.2690488119741668E-3</v>
      </c>
      <c r="AC1241" s="28">
        <f t="shared" si="406"/>
        <v>4.2779141480319745E-3</v>
      </c>
      <c r="AD1241" s="28">
        <f t="shared" si="406"/>
        <v>4.2837503639512487E-3</v>
      </c>
      <c r="AE1241" s="28">
        <f t="shared" si="406"/>
        <v>4.2902004597760585E-3</v>
      </c>
      <c r="AF1241" s="28">
        <f t="shared" si="406"/>
        <v>4.2972064265740855E-3</v>
      </c>
      <c r="AG1241" s="28">
        <f t="shared" si="406"/>
        <v>4.3039750840459523E-3</v>
      </c>
      <c r="AH1241" s="28">
        <f t="shared" si="406"/>
        <v>4.2750370466466056E-3</v>
      </c>
      <c r="AI1241" s="28">
        <f t="shared" si="406"/>
        <v>4.2791467055130613E-3</v>
      </c>
      <c r="AJ1241" s="28">
        <f t="shared" si="406"/>
        <v>4.2836817344289136E-3</v>
      </c>
      <c r="AK1241" s="28">
        <f t="shared" si="406"/>
        <v>4.2886260632705817E-3</v>
      </c>
      <c r="AL1241" s="28">
        <f t="shared" si="406"/>
        <v>4.2939648640350006E-3</v>
      </c>
      <c r="AM1241" s="28">
        <f t="shared" si="406"/>
        <v>4.2996844329717928E-3</v>
      </c>
      <c r="AN1241" s="28">
        <f t="shared" si="406"/>
        <v>4.3024601449639811E-3</v>
      </c>
      <c r="AO1241" s="28">
        <f t="shared" si="406"/>
        <v>4.3055713379620639E-3</v>
      </c>
      <c r="AP1241" s="28">
        <f t="shared" si="406"/>
        <v>4.3090063364360429E-3</v>
      </c>
      <c r="AQ1241" s="28">
        <f t="shared" si="406"/>
        <v>4.3127542639722558E-3</v>
      </c>
      <c r="AR1241" s="28">
        <f t="shared" si="406"/>
        <v>4.3168049753845332E-3</v>
      </c>
      <c r="AS1241" s="28">
        <f t="shared" si="406"/>
        <v>4.3178042366162055E-3</v>
      </c>
      <c r="AT1241" s="28">
        <f t="shared" si="406"/>
        <v>4.3190722183994593E-3</v>
      </c>
      <c r="AU1241" s="28">
        <f t="shared" si="406"/>
        <v>4.3206000207146669E-3</v>
      </c>
      <c r="AV1241" s="28">
        <f t="shared" si="406"/>
        <v>4.3223792870160944E-3</v>
      </c>
      <c r="AW1241" s="28">
        <f t="shared" si="406"/>
        <v>4.3244021624378867E-3</v>
      </c>
      <c r="AY1241" s="85"/>
      <c r="AZ1241" s="85"/>
    </row>
    <row r="1242" spans="1:52" x14ac:dyDescent="0.25">
      <c r="A1242" s="102" t="str">
        <f t="shared" si="384"/>
        <v>FSFAGSPQNIBDDSCM Goats MMCH4</v>
      </c>
      <c r="B1242" s="102" t="s">
        <v>1376</v>
      </c>
      <c r="C1242" s="102" t="s">
        <v>1326</v>
      </c>
      <c r="D1242" t="s">
        <v>15</v>
      </c>
      <c r="E1242" t="s">
        <v>22</v>
      </c>
      <c r="F1242" t="s">
        <v>19</v>
      </c>
      <c r="G1242" t="s">
        <v>122</v>
      </c>
      <c r="H1242" t="s">
        <v>1228</v>
      </c>
      <c r="I1242" t="s">
        <v>121</v>
      </c>
      <c r="J1242" t="s">
        <v>286</v>
      </c>
      <c r="K1242" s="28">
        <f t="shared" ref="K1242:AW1242" si="407">IFERROR(K1401-((K1401-K26)+(K1401-K179)+(K1401-K332)+(K1401-K484)+(K1401-K636)+(K1401-K787)+(K1401-K938)+(K1401-K1089)),0)</f>
        <v>1.578914847670768E-2</v>
      </c>
      <c r="L1242" s="28">
        <f t="shared" si="407"/>
        <v>1.5830330315974785E-2</v>
      </c>
      <c r="M1242" s="28">
        <f t="shared" si="407"/>
        <v>1.5885208764738982E-2</v>
      </c>
      <c r="N1242" s="28">
        <f t="shared" si="407"/>
        <v>1.5952563767257691E-2</v>
      </c>
      <c r="O1242" s="28">
        <f t="shared" si="407"/>
        <v>1.6033204709528407E-2</v>
      </c>
      <c r="P1242" s="28">
        <f t="shared" si="407"/>
        <v>1.6127346186936543E-2</v>
      </c>
      <c r="Q1242" s="28">
        <f t="shared" si="407"/>
        <v>1.6228000781801349E-2</v>
      </c>
      <c r="R1242" s="28">
        <f t="shared" si="407"/>
        <v>1.6333729215934008E-2</v>
      </c>
      <c r="S1242" s="28">
        <f t="shared" si="407"/>
        <v>1.6431946287378985E-2</v>
      </c>
      <c r="T1242" s="28">
        <f t="shared" si="407"/>
        <v>1.6477973799395588E-2</v>
      </c>
      <c r="U1242" s="28">
        <f t="shared" si="407"/>
        <v>1.6528445517692184E-2</v>
      </c>
      <c r="V1242" s="28">
        <f t="shared" si="407"/>
        <v>1.6583425492153747E-2</v>
      </c>
      <c r="W1242" s="28">
        <f t="shared" si="407"/>
        <v>1.6643220540411473E-2</v>
      </c>
      <c r="X1242" s="28">
        <f t="shared" si="407"/>
        <v>1.6707025590946629E-2</v>
      </c>
      <c r="Y1242" s="28">
        <f t="shared" si="407"/>
        <v>1.6747356446044817E-2</v>
      </c>
      <c r="Z1242" s="28">
        <f t="shared" si="407"/>
        <v>1.679099238038791E-2</v>
      </c>
      <c r="AA1242" s="28">
        <f t="shared" si="407"/>
        <v>1.6838113918664795E-2</v>
      </c>
      <c r="AB1242" s="28">
        <f t="shared" si="407"/>
        <v>1.6888072337895171E-2</v>
      </c>
      <c r="AC1242" s="28">
        <f t="shared" si="407"/>
        <v>1.6941067477261811E-2</v>
      </c>
      <c r="AD1242" s="28">
        <f t="shared" si="407"/>
        <v>1.6975775774690904E-2</v>
      </c>
      <c r="AE1242" s="28">
        <f t="shared" si="407"/>
        <v>1.7013417171997135E-2</v>
      </c>
      <c r="AF1242" s="28">
        <f t="shared" si="407"/>
        <v>1.7053673452645857E-2</v>
      </c>
      <c r="AG1242" s="28">
        <f t="shared" si="407"/>
        <v>1.7091991548522943E-2</v>
      </c>
      <c r="AH1242" s="28">
        <f t="shared" si="407"/>
        <v>1.6924485926797139E-2</v>
      </c>
      <c r="AI1242" s="28">
        <f t="shared" si="407"/>
        <v>1.6946898224790095E-2</v>
      </c>
      <c r="AJ1242" s="28">
        <f t="shared" si="407"/>
        <v>1.6971320122511346E-2</v>
      </c>
      <c r="AK1242" s="28">
        <f t="shared" si="407"/>
        <v>1.6997670008444151E-2</v>
      </c>
      <c r="AL1242" s="28">
        <f t="shared" si="407"/>
        <v>1.7025872601317771E-2</v>
      </c>
      <c r="AM1242" s="28">
        <f t="shared" si="407"/>
        <v>1.7055858343998281E-2</v>
      </c>
      <c r="AN1242" s="28">
        <f t="shared" si="407"/>
        <v>1.706872967637315E-2</v>
      </c>
      <c r="AO1242" s="28">
        <f t="shared" si="407"/>
        <v>1.7083207389206864E-2</v>
      </c>
      <c r="AP1242" s="28">
        <f t="shared" si="407"/>
        <v>1.7099230922033661E-2</v>
      </c>
      <c r="AQ1242" s="28">
        <f t="shared" si="407"/>
        <v>1.7116743868978143E-2</v>
      </c>
      <c r="AR1242" s="28">
        <f t="shared" si="407"/>
        <v>1.7135693622819574E-2</v>
      </c>
      <c r="AS1242" s="28">
        <f t="shared" si="407"/>
        <v>1.7137172081504573E-2</v>
      </c>
      <c r="AT1242" s="28">
        <f t="shared" si="407"/>
        <v>1.7139965381039082E-2</v>
      </c>
      <c r="AU1242" s="28">
        <f t="shared" si="407"/>
        <v>1.7144026301455787E-2</v>
      </c>
      <c r="AV1242" s="28">
        <f t="shared" si="407"/>
        <v>1.7149310513066243E-2</v>
      </c>
      <c r="AW1242" s="28">
        <f t="shared" si="407"/>
        <v>1.7155776352544339E-2</v>
      </c>
      <c r="AY1242" s="85"/>
      <c r="AZ1242" s="85"/>
    </row>
    <row r="1243" spans="1:52" x14ac:dyDescent="0.25">
      <c r="A1243" s="102" t="str">
        <f t="shared" si="384"/>
        <v>FSFAGSPQNIBDDSCM Goats MMCH4</v>
      </c>
      <c r="B1243" s="102" t="s">
        <v>1376</v>
      </c>
      <c r="C1243" s="102" t="s">
        <v>1326</v>
      </c>
      <c r="D1243" t="s">
        <v>15</v>
      </c>
      <c r="E1243" t="s">
        <v>22</v>
      </c>
      <c r="F1243" t="s">
        <v>19</v>
      </c>
      <c r="G1243" t="s">
        <v>123</v>
      </c>
      <c r="H1243" t="s">
        <v>1228</v>
      </c>
      <c r="I1243" t="s">
        <v>121</v>
      </c>
      <c r="J1243" t="s">
        <v>286</v>
      </c>
      <c r="K1243" s="28">
        <f t="shared" ref="K1243:AW1243" si="408">IFERROR(K1402-((K1402-K27)+(K1402-K180)+(K1402-K333)+(K1402-K485)+(K1402-K637)+(K1402-K788)+(K1402-K939)+(K1402-K1090)),0)</f>
        <v>2.6591335822255355E-2</v>
      </c>
      <c r="L1243" s="28">
        <f t="shared" si="408"/>
        <v>2.6660692324877722E-2</v>
      </c>
      <c r="M1243" s="28">
        <f t="shared" si="408"/>
        <v>2.6753116008311057E-2</v>
      </c>
      <c r="N1243" s="28">
        <f t="shared" si="408"/>
        <v>2.6866552112476273E-2</v>
      </c>
      <c r="O1243" s="28">
        <f t="shared" si="408"/>
        <v>2.7002363766924078E-2</v>
      </c>
      <c r="P1243" s="28">
        <f t="shared" si="408"/>
        <v>2.7160912383035713E-2</v>
      </c>
      <c r="Q1243" s="28">
        <f t="shared" si="408"/>
        <v>2.7330430082995998E-2</v>
      </c>
      <c r="R1243" s="28">
        <f t="shared" si="408"/>
        <v>2.7508492902668026E-2</v>
      </c>
      <c r="S1243" s="28">
        <f t="shared" si="408"/>
        <v>2.7673905441167147E-2</v>
      </c>
      <c r="T1243" s="28">
        <f t="shared" si="408"/>
        <v>2.7751422796260871E-2</v>
      </c>
      <c r="U1243" s="28">
        <f t="shared" si="408"/>
        <v>2.783642487301826E-2</v>
      </c>
      <c r="V1243" s="28">
        <f t="shared" si="408"/>
        <v>2.7929019541221126E-2</v>
      </c>
      <c r="W1243" s="28">
        <f t="shared" si="408"/>
        <v>2.8029723528587808E-2</v>
      </c>
      <c r="X1243" s="28">
        <f t="shared" si="408"/>
        <v>2.813718097180834E-2</v>
      </c>
      <c r="Y1243" s="28">
        <f t="shared" si="408"/>
        <v>2.8205104287210486E-2</v>
      </c>
      <c r="Z1243" s="28">
        <f t="shared" si="408"/>
        <v>2.827859386049221E-2</v>
      </c>
      <c r="AA1243" s="28">
        <f t="shared" si="408"/>
        <v>2.8357953722781829E-2</v>
      </c>
      <c r="AB1243" s="28">
        <f t="shared" si="408"/>
        <v>2.8442091325570455E-2</v>
      </c>
      <c r="AC1243" s="28">
        <f t="shared" si="408"/>
        <v>2.8531343228541953E-2</v>
      </c>
      <c r="AD1243" s="28">
        <f t="shared" si="408"/>
        <v>2.8589797298697615E-2</v>
      </c>
      <c r="AE1243" s="28">
        <f t="shared" si="408"/>
        <v>2.8653191156704935E-2</v>
      </c>
      <c r="AF1243" s="28">
        <f t="shared" si="408"/>
        <v>2.8720988877352402E-2</v>
      </c>
      <c r="AG1243" s="28">
        <f t="shared" si="408"/>
        <v>2.8785522399032822E-2</v>
      </c>
      <c r="AH1243" s="28">
        <f t="shared" si="408"/>
        <v>2.8503417366833182E-2</v>
      </c>
      <c r="AI1243" s="28">
        <f t="shared" si="408"/>
        <v>2.8541163097285861E-2</v>
      </c>
      <c r="AJ1243" s="28">
        <f t="shared" si="408"/>
        <v>2.8582293300392164E-2</v>
      </c>
      <c r="AK1243" s="28">
        <f t="shared" si="408"/>
        <v>2.8626670529902105E-2</v>
      </c>
      <c r="AL1243" s="28">
        <f t="shared" si="408"/>
        <v>2.8674168000666096E-2</v>
      </c>
      <c r="AM1243" s="28">
        <f t="shared" si="408"/>
        <v>2.8724668567854592E-2</v>
      </c>
      <c r="AN1243" s="28">
        <f t="shared" si="408"/>
        <v>2.8746345856035454E-2</v>
      </c>
      <c r="AO1243" s="28">
        <f t="shared" si="408"/>
        <v>2.8770728534079647E-2</v>
      </c>
      <c r="AP1243" s="28">
        <f t="shared" si="408"/>
        <v>2.8797714608919899E-2</v>
      </c>
      <c r="AQ1243" s="28">
        <f t="shared" si="408"/>
        <v>2.8827209084453208E-2</v>
      </c>
      <c r="AR1243" s="28">
        <f t="shared" si="408"/>
        <v>2.8859123362090785E-2</v>
      </c>
      <c r="AS1243" s="28">
        <f t="shared" si="408"/>
        <v>2.8861613312163151E-2</v>
      </c>
      <c r="AT1243" s="28">
        <f t="shared" si="408"/>
        <v>2.8866317654901063E-2</v>
      </c>
      <c r="AU1243" s="28">
        <f t="shared" si="408"/>
        <v>2.887315686467273E-2</v>
      </c>
      <c r="AV1243" s="28">
        <f t="shared" si="408"/>
        <v>2.888205628351705E-2</v>
      </c>
      <c r="AW1243" s="28">
        <f t="shared" si="408"/>
        <v>2.8892945744034091E-2</v>
      </c>
      <c r="AY1243" s="85"/>
      <c r="AZ1243" s="85"/>
    </row>
    <row r="1244" spans="1:52" x14ac:dyDescent="0.25">
      <c r="A1244" s="102" t="str">
        <f t="shared" si="384"/>
        <v>FSFAGSPQNIBDDSCM Horses MMCH4</v>
      </c>
      <c r="B1244" s="102" t="s">
        <v>1376</v>
      </c>
      <c r="C1244" s="102" t="s">
        <v>1327</v>
      </c>
      <c r="D1244" t="s">
        <v>15</v>
      </c>
      <c r="E1244" t="s">
        <v>22</v>
      </c>
      <c r="F1244" t="s">
        <v>20</v>
      </c>
      <c r="G1244" t="s">
        <v>3</v>
      </c>
      <c r="H1244" t="s">
        <v>1228</v>
      </c>
      <c r="I1244" t="s">
        <v>121</v>
      </c>
      <c r="J1244" t="s">
        <v>286</v>
      </c>
      <c r="K1244" s="28">
        <f t="shared" ref="K1244:AW1244" si="409">IFERROR(K1403-((K1403-K28)+(K1403-K181)+(K1403-K334)+(K1403-K486)+(K1403-K638)+(K1403-K789)+(K1403-K940)+(K1403-K1091)),0)</f>
        <v>4.1462896209668214E-3</v>
      </c>
      <c r="L1244" s="28">
        <f t="shared" si="409"/>
        <v>4.1705892650270686E-3</v>
      </c>
      <c r="M1244" s="28">
        <f t="shared" si="409"/>
        <v>4.1765760669998774E-3</v>
      </c>
      <c r="N1244" s="28">
        <f t="shared" si="409"/>
        <v>4.1582865548880337E-3</v>
      </c>
      <c r="O1244" s="28">
        <f t="shared" si="409"/>
        <v>4.1389364137095824E-3</v>
      </c>
      <c r="P1244" s="28">
        <f t="shared" si="409"/>
        <v>4.1297300373309533E-3</v>
      </c>
      <c r="Q1244" s="28">
        <f t="shared" si="409"/>
        <v>4.1235897943981579E-3</v>
      </c>
      <c r="R1244" s="28">
        <f t="shared" si="409"/>
        <v>4.0939723150578283E-3</v>
      </c>
      <c r="S1244" s="28">
        <f t="shared" si="409"/>
        <v>3.8546694485950316E-3</v>
      </c>
      <c r="T1244" s="28">
        <f t="shared" si="409"/>
        <v>3.8885582856899971E-3</v>
      </c>
      <c r="U1244" s="28">
        <f t="shared" si="409"/>
        <v>3.9163093014231119E-3</v>
      </c>
      <c r="V1244" s="28">
        <f t="shared" si="409"/>
        <v>3.943499319412006E-3</v>
      </c>
      <c r="W1244" s="28">
        <f t="shared" si="409"/>
        <v>3.9787498507285772E-3</v>
      </c>
      <c r="X1244" s="28">
        <f t="shared" si="409"/>
        <v>4.0133556413366692E-3</v>
      </c>
      <c r="Y1244" s="28">
        <f t="shared" si="409"/>
        <v>4.0529996928532061E-3</v>
      </c>
      <c r="Z1244" s="28">
        <f t="shared" si="409"/>
        <v>4.0900631434267433E-3</v>
      </c>
      <c r="AA1244" s="28">
        <f t="shared" si="409"/>
        <v>4.1299322607386601E-3</v>
      </c>
      <c r="AB1244" s="28">
        <f t="shared" si="409"/>
        <v>4.1653099616518066E-3</v>
      </c>
      <c r="AC1244" s="28">
        <f t="shared" si="409"/>
        <v>4.2013445039546862E-3</v>
      </c>
      <c r="AD1244" s="28">
        <f t="shared" si="409"/>
        <v>4.251252835120037E-3</v>
      </c>
      <c r="AE1244" s="28">
        <f t="shared" si="409"/>
        <v>4.3057143858228663E-3</v>
      </c>
      <c r="AF1244" s="28">
        <f t="shared" si="409"/>
        <v>4.3617167354082645E-3</v>
      </c>
      <c r="AG1244" s="28">
        <f t="shared" si="409"/>
        <v>4.3537503349345688E-3</v>
      </c>
      <c r="AH1244" s="28">
        <f t="shared" si="409"/>
        <v>1.2882018816554785E-3</v>
      </c>
      <c r="AI1244" s="28">
        <f t="shared" si="409"/>
        <v>1.2882018816554785E-3</v>
      </c>
      <c r="AJ1244" s="28">
        <f t="shared" si="409"/>
        <v>1.2882018816554785E-3</v>
      </c>
      <c r="AK1244" s="28">
        <f t="shared" si="409"/>
        <v>1.2882018816554785E-3</v>
      </c>
      <c r="AL1244" s="28">
        <f t="shared" si="409"/>
        <v>1.2882018816554785E-3</v>
      </c>
      <c r="AM1244" s="28">
        <f t="shared" si="409"/>
        <v>1.2882018816554785E-3</v>
      </c>
      <c r="AN1244" s="28">
        <f t="shared" si="409"/>
        <v>1.2882018816554785E-3</v>
      </c>
      <c r="AO1244" s="28">
        <f t="shared" si="409"/>
        <v>1.2882018816554785E-3</v>
      </c>
      <c r="AP1244" s="28">
        <f t="shared" si="409"/>
        <v>1.2882018816554785E-3</v>
      </c>
      <c r="AQ1244" s="28">
        <f t="shared" si="409"/>
        <v>1.2882018816554785E-3</v>
      </c>
      <c r="AR1244" s="28">
        <f t="shared" si="409"/>
        <v>1.2882018816554785E-3</v>
      </c>
      <c r="AS1244" s="28">
        <f t="shared" si="409"/>
        <v>1.2882018816554785E-3</v>
      </c>
      <c r="AT1244" s="28">
        <f t="shared" si="409"/>
        <v>1.2882018816554785E-3</v>
      </c>
      <c r="AU1244" s="28">
        <f t="shared" si="409"/>
        <v>1.2882018816554785E-3</v>
      </c>
      <c r="AV1244" s="28">
        <f t="shared" si="409"/>
        <v>1.2882018816554785E-3</v>
      </c>
      <c r="AW1244" s="28">
        <f t="shared" si="409"/>
        <v>1.2882018816554785E-3</v>
      </c>
      <c r="AY1244" s="85"/>
      <c r="AZ1244" s="85"/>
    </row>
    <row r="1245" spans="1:52" x14ac:dyDescent="0.25">
      <c r="A1245" s="102" t="str">
        <f t="shared" si="384"/>
        <v>FSFAGSPQNIBDDSCM Mules MMCH4</v>
      </c>
      <c r="B1245" s="102" t="s">
        <v>1376</v>
      </c>
      <c r="C1245" s="102" t="s">
        <v>1328</v>
      </c>
      <c r="D1245" t="s">
        <v>15</v>
      </c>
      <c r="E1245" t="s">
        <v>22</v>
      </c>
      <c r="F1245" t="s">
        <v>140</v>
      </c>
      <c r="G1245" t="s">
        <v>124</v>
      </c>
      <c r="H1245" t="s">
        <v>1228</v>
      </c>
      <c r="I1245" t="s">
        <v>121</v>
      </c>
      <c r="J1245" t="s">
        <v>286</v>
      </c>
      <c r="K1245" s="28">
        <f t="shared" ref="K1245:AW1245" si="410">IFERROR(K1404-((K1404-K29)+(K1404-K182)+(K1404-K335)+(K1404-K487)+(K1404-K639)+(K1404-K790)+(K1404-K941)+(K1404-K1092)),0)</f>
        <v>7.515E-4</v>
      </c>
      <c r="L1245" s="28">
        <f t="shared" si="410"/>
        <v>7.515E-4</v>
      </c>
      <c r="M1245" s="28">
        <f t="shared" si="410"/>
        <v>7.515E-4</v>
      </c>
      <c r="N1245" s="28">
        <f t="shared" si="410"/>
        <v>7.515E-4</v>
      </c>
      <c r="O1245" s="28">
        <f t="shared" si="410"/>
        <v>7.515E-4</v>
      </c>
      <c r="P1245" s="28">
        <f t="shared" si="410"/>
        <v>7.515E-4</v>
      </c>
      <c r="Q1245" s="28">
        <f t="shared" si="410"/>
        <v>7.515E-4</v>
      </c>
      <c r="R1245" s="28">
        <f t="shared" si="410"/>
        <v>7.515E-4</v>
      </c>
      <c r="S1245" s="28">
        <f t="shared" si="410"/>
        <v>7.515E-4</v>
      </c>
      <c r="T1245" s="28">
        <f t="shared" si="410"/>
        <v>7.515E-4</v>
      </c>
      <c r="U1245" s="28">
        <f t="shared" si="410"/>
        <v>7.515E-4</v>
      </c>
      <c r="V1245" s="28">
        <f t="shared" si="410"/>
        <v>7.515E-4</v>
      </c>
      <c r="W1245" s="28">
        <f t="shared" si="410"/>
        <v>7.515E-4</v>
      </c>
      <c r="X1245" s="28">
        <f t="shared" si="410"/>
        <v>7.515E-4</v>
      </c>
      <c r="Y1245" s="28">
        <f t="shared" si="410"/>
        <v>7.515E-4</v>
      </c>
      <c r="Z1245" s="28">
        <f t="shared" si="410"/>
        <v>7.515E-4</v>
      </c>
      <c r="AA1245" s="28">
        <f t="shared" si="410"/>
        <v>7.515E-4</v>
      </c>
      <c r="AB1245" s="28">
        <f t="shared" si="410"/>
        <v>7.515E-4</v>
      </c>
      <c r="AC1245" s="28">
        <f t="shared" si="410"/>
        <v>7.515E-4</v>
      </c>
      <c r="AD1245" s="28">
        <f t="shared" si="410"/>
        <v>7.515E-4</v>
      </c>
      <c r="AE1245" s="28">
        <f t="shared" si="410"/>
        <v>7.515E-4</v>
      </c>
      <c r="AF1245" s="28">
        <f t="shared" si="410"/>
        <v>7.515E-4</v>
      </c>
      <c r="AG1245" s="28">
        <f t="shared" si="410"/>
        <v>7.515E-4</v>
      </c>
      <c r="AH1245" s="28">
        <f t="shared" si="410"/>
        <v>7.515E-4</v>
      </c>
      <c r="AI1245" s="28">
        <f t="shared" si="410"/>
        <v>7.515E-4</v>
      </c>
      <c r="AJ1245" s="28">
        <f t="shared" si="410"/>
        <v>7.515E-4</v>
      </c>
      <c r="AK1245" s="28">
        <f t="shared" si="410"/>
        <v>7.515E-4</v>
      </c>
      <c r="AL1245" s="28">
        <f t="shared" si="410"/>
        <v>7.515E-4</v>
      </c>
      <c r="AM1245" s="28">
        <f t="shared" si="410"/>
        <v>7.515E-4</v>
      </c>
      <c r="AN1245" s="28">
        <f t="shared" si="410"/>
        <v>7.515E-4</v>
      </c>
      <c r="AO1245" s="28">
        <f t="shared" si="410"/>
        <v>7.515E-4</v>
      </c>
      <c r="AP1245" s="28">
        <f t="shared" si="410"/>
        <v>7.515E-4</v>
      </c>
      <c r="AQ1245" s="28">
        <f t="shared" si="410"/>
        <v>7.515E-4</v>
      </c>
      <c r="AR1245" s="28">
        <f t="shared" si="410"/>
        <v>7.515E-4</v>
      </c>
      <c r="AS1245" s="28">
        <f t="shared" si="410"/>
        <v>7.515E-4</v>
      </c>
      <c r="AT1245" s="28">
        <f t="shared" si="410"/>
        <v>7.515E-4</v>
      </c>
      <c r="AU1245" s="28">
        <f t="shared" si="410"/>
        <v>7.515E-4</v>
      </c>
      <c r="AV1245" s="28">
        <f t="shared" si="410"/>
        <v>7.515E-4</v>
      </c>
      <c r="AW1245" s="28">
        <f t="shared" si="410"/>
        <v>7.515E-4</v>
      </c>
      <c r="AY1245" s="85"/>
      <c r="AZ1245" s="85"/>
    </row>
    <row r="1246" spans="1:52" x14ac:dyDescent="0.25">
      <c r="A1246" s="102" t="str">
        <f t="shared" si="384"/>
        <v>FSFAGSPQNIBDDSCM Swine MMCH4</v>
      </c>
      <c r="B1246" s="102" t="s">
        <v>1376</v>
      </c>
      <c r="C1246" s="102" t="s">
        <v>1231</v>
      </c>
      <c r="D1246" t="s">
        <v>15</v>
      </c>
      <c r="E1246" t="s">
        <v>22</v>
      </c>
      <c r="F1246" t="s">
        <v>21</v>
      </c>
      <c r="G1246" t="s">
        <v>122</v>
      </c>
      <c r="H1246" t="s">
        <v>1228</v>
      </c>
      <c r="I1246" t="s">
        <v>121</v>
      </c>
      <c r="J1246" t="s">
        <v>286</v>
      </c>
      <c r="K1246" s="28">
        <f t="shared" ref="K1246:AW1246" si="411">IFERROR(K1405-((K1405-K30)+(K1405-K183)+(K1405-K336)+(K1405-K488)+(K1405-K640)+(K1405-K791)+(K1405-K942)+(K1405-K1093)),0)</f>
        <v>23.457009156094408</v>
      </c>
      <c r="L1246" s="28">
        <f t="shared" si="411"/>
        <v>23.382970302982962</v>
      </c>
      <c r="M1246" s="28">
        <f t="shared" si="411"/>
        <v>23.138124373605226</v>
      </c>
      <c r="N1246" s="28">
        <f t="shared" si="411"/>
        <v>22.662724331689486</v>
      </c>
      <c r="O1246" s="28">
        <f t="shared" si="411"/>
        <v>22.208124722137587</v>
      </c>
      <c r="P1246" s="28">
        <f t="shared" si="411"/>
        <v>21.889217256258846</v>
      </c>
      <c r="Q1246" s="28">
        <f t="shared" si="411"/>
        <v>21.619129232817183</v>
      </c>
      <c r="R1246" s="28">
        <f t="shared" si="411"/>
        <v>21.121790636010179</v>
      </c>
      <c r="S1246" s="28">
        <f t="shared" si="411"/>
        <v>18.490528263992797</v>
      </c>
      <c r="T1246" s="28">
        <f t="shared" si="411"/>
        <v>17.12584572936224</v>
      </c>
      <c r="U1246" s="28">
        <f t="shared" si="411"/>
        <v>15.693247627211081</v>
      </c>
      <c r="V1246" s="28">
        <f t="shared" si="411"/>
        <v>14.250005633731742</v>
      </c>
      <c r="W1246" s="28">
        <f t="shared" si="411"/>
        <v>12.853992869700624</v>
      </c>
      <c r="X1246" s="28">
        <f t="shared" si="411"/>
        <v>11.432834560400984</v>
      </c>
      <c r="Y1246" s="28">
        <f t="shared" si="411"/>
        <v>10.000519869480737</v>
      </c>
      <c r="Z1246" s="28">
        <f t="shared" si="411"/>
        <v>8.5324308926671364</v>
      </c>
      <c r="AA1246" s="28">
        <f t="shared" si="411"/>
        <v>7.0531188335233264</v>
      </c>
      <c r="AB1246" s="28">
        <f t="shared" si="411"/>
        <v>5.5367893855715735</v>
      </c>
      <c r="AC1246" s="28">
        <f t="shared" si="411"/>
        <v>4.0035002753481699</v>
      </c>
      <c r="AD1246" s="28">
        <f t="shared" si="411"/>
        <v>3.6522954942801285</v>
      </c>
      <c r="AE1246" s="28">
        <f t="shared" si="411"/>
        <v>3.2983680799167736</v>
      </c>
      <c r="AF1246" s="28">
        <f t="shared" si="411"/>
        <v>2.9354419735891604</v>
      </c>
      <c r="AG1246" s="28">
        <f t="shared" si="411"/>
        <v>2.4915393649196815</v>
      </c>
      <c r="AH1246" s="28">
        <f t="shared" si="411"/>
        <v>-0.70546376193584681</v>
      </c>
      <c r="AI1246" s="28">
        <f t="shared" si="411"/>
        <v>-0.56402579685988208</v>
      </c>
      <c r="AJ1246" s="28">
        <f t="shared" si="411"/>
        <v>-0.42564750413735286</v>
      </c>
      <c r="AK1246" s="28">
        <f t="shared" si="411"/>
        <v>-0.2902292618900395</v>
      </c>
      <c r="AL1246" s="28">
        <f t="shared" si="411"/>
        <v>-0.15767992166851919</v>
      </c>
      <c r="AM1246" s="28">
        <f t="shared" si="411"/>
        <v>-2.7916046635645841E-2</v>
      </c>
      <c r="AN1246" s="28">
        <f t="shared" si="411"/>
        <v>-2.7590028617695772E-2</v>
      </c>
      <c r="AO1246" s="28">
        <f t="shared" si="411"/>
        <v>-2.7269758757725526E-2</v>
      </c>
      <c r="AP1246" s="28">
        <f t="shared" si="411"/>
        <v>-2.6954901337018278E-2</v>
      </c>
      <c r="AQ1246" s="28">
        <f t="shared" si="411"/>
        <v>-2.664514256526207E-2</v>
      </c>
      <c r="AR1246" s="28">
        <f t="shared" si="411"/>
        <v>-2.6340188685882282E-2</v>
      </c>
      <c r="AS1246" s="28">
        <f t="shared" si="411"/>
        <v>-2.6007857227727804E-2</v>
      </c>
      <c r="AT1246" s="28">
        <f t="shared" si="411"/>
        <v>-2.5680601679366255E-2</v>
      </c>
      <c r="AU1246" s="28">
        <f t="shared" si="411"/>
        <v>-2.5358160765138749E-2</v>
      </c>
      <c r="AV1246" s="28">
        <f t="shared" si="411"/>
        <v>-2.5040288646466458E-2</v>
      </c>
      <c r="AW1246" s="28">
        <f t="shared" si="411"/>
        <v>-2.4726753718264938E-2</v>
      </c>
      <c r="AY1246" s="85"/>
      <c r="AZ1246" s="85"/>
    </row>
    <row r="1247" spans="1:52" x14ac:dyDescent="0.25">
      <c r="A1247" s="102" t="str">
        <f t="shared" si="384"/>
        <v>FSFAGSPQNIBDDSCM Swine MMCH4</v>
      </c>
      <c r="B1247" s="102" t="s">
        <v>1376</v>
      </c>
      <c r="C1247" s="102" t="s">
        <v>1231</v>
      </c>
      <c r="D1247" t="s">
        <v>15</v>
      </c>
      <c r="E1247" t="s">
        <v>22</v>
      </c>
      <c r="F1247" t="s">
        <v>21</v>
      </c>
      <c r="G1247" t="s">
        <v>123</v>
      </c>
      <c r="H1247" t="s">
        <v>1228</v>
      </c>
      <c r="I1247" t="s">
        <v>121</v>
      </c>
      <c r="J1247" t="s">
        <v>286</v>
      </c>
      <c r="K1247" s="28">
        <f t="shared" ref="K1247:AW1247" si="412">IFERROR(K1406-((K1406-K31)+(K1406-K184)+(K1406-K337)+(K1406-K489)+(K1406-K641)+(K1406-K792)+(K1406-K943)+(K1406-K1094)),0)</f>
        <v>7.8527817196558616E-2</v>
      </c>
      <c r="L1247" s="28">
        <f t="shared" si="412"/>
        <v>7.8279954841904267E-2</v>
      </c>
      <c r="M1247" s="28">
        <f t="shared" si="412"/>
        <v>7.7460275902635031E-2</v>
      </c>
      <c r="N1247" s="28">
        <f t="shared" si="412"/>
        <v>7.5868763219224727E-2</v>
      </c>
      <c r="O1247" s="28">
        <f t="shared" si="412"/>
        <v>7.434688484168045E-2</v>
      </c>
      <c r="P1247" s="28">
        <f t="shared" si="412"/>
        <v>7.3279267609811932E-2</v>
      </c>
      <c r="Q1247" s="28">
        <f t="shared" si="412"/>
        <v>7.2375084864660225E-2</v>
      </c>
      <c r="R1247" s="28">
        <f t="shared" si="412"/>
        <v>7.0710127744382734E-2</v>
      </c>
      <c r="S1247" s="28">
        <f t="shared" si="412"/>
        <v>6.1901362348463537E-2</v>
      </c>
      <c r="T1247" s="28">
        <f t="shared" si="412"/>
        <v>5.7464216940727654E-2</v>
      </c>
      <c r="U1247" s="28">
        <f t="shared" si="412"/>
        <v>5.2800541584162704E-2</v>
      </c>
      <c r="V1247" s="28">
        <f t="shared" si="412"/>
        <v>4.8102031839267055E-2</v>
      </c>
      <c r="W1247" s="28">
        <f t="shared" si="412"/>
        <v>4.3564780408870102E-2</v>
      </c>
      <c r="X1247" s="28">
        <f t="shared" si="412"/>
        <v>3.8945160857471496E-2</v>
      </c>
      <c r="Y1247" s="28">
        <f t="shared" si="412"/>
        <v>3.4290949734379572E-2</v>
      </c>
      <c r="Z1247" s="28">
        <f t="shared" si="412"/>
        <v>2.9517936119752883E-2</v>
      </c>
      <c r="AA1247" s="28">
        <f t="shared" si="412"/>
        <v>2.4710678146783779E-2</v>
      </c>
      <c r="AB1247" s="28">
        <f t="shared" si="412"/>
        <v>1.9778999549770318E-2</v>
      </c>
      <c r="AC1247" s="28">
        <f t="shared" si="412"/>
        <v>1.4792573532976874E-2</v>
      </c>
      <c r="AD1247" s="28">
        <f t="shared" si="412"/>
        <v>1.3667599355847354E-2</v>
      </c>
      <c r="AE1247" s="28">
        <f t="shared" si="412"/>
        <v>1.2537051193820856E-2</v>
      </c>
      <c r="AF1247" s="28">
        <f t="shared" si="412"/>
        <v>1.1377973871345683E-2</v>
      </c>
      <c r="AG1247" s="28">
        <f t="shared" si="412"/>
        <v>9.9046189468997223E-3</v>
      </c>
      <c r="AH1247" s="28">
        <f t="shared" si="412"/>
        <v>-2.901268349863137E-3</v>
      </c>
      <c r="AI1247" s="28">
        <f t="shared" si="412"/>
        <v>-2.43372891862223E-3</v>
      </c>
      <c r="AJ1247" s="28">
        <f t="shared" si="412"/>
        <v>-1.9763021759240593E-3</v>
      </c>
      <c r="AK1247" s="28">
        <f t="shared" si="412"/>
        <v>-1.5286542207016765E-3</v>
      </c>
      <c r="AL1247" s="28">
        <f t="shared" si="412"/>
        <v>-1.0904794429173088E-3</v>
      </c>
      <c r="AM1247" s="28">
        <f t="shared" si="412"/>
        <v>-6.6149797541991545E-4</v>
      </c>
      <c r="AN1247" s="28">
        <f t="shared" si="412"/>
        <v>-6.5377266024048072E-4</v>
      </c>
      <c r="AO1247" s="28">
        <f t="shared" si="412"/>
        <v>-6.4618355327545826E-4</v>
      </c>
      <c r="AP1247" s="28">
        <f t="shared" si="412"/>
        <v>-6.3872269934215492E-4</v>
      </c>
      <c r="AQ1247" s="28">
        <f t="shared" si="412"/>
        <v>-6.3138266287283626E-4</v>
      </c>
      <c r="AR1247" s="28">
        <f t="shared" si="412"/>
        <v>-6.2415648301866744E-4</v>
      </c>
      <c r="AS1247" s="28">
        <f t="shared" si="412"/>
        <v>-6.1628156471068077E-4</v>
      </c>
      <c r="AT1247" s="28">
        <f t="shared" si="412"/>
        <v>-6.0852692504012248E-4</v>
      </c>
      <c r="AU1247" s="28">
        <f t="shared" si="412"/>
        <v>-6.0088637282519619E-4</v>
      </c>
      <c r="AV1247" s="28">
        <f t="shared" si="412"/>
        <v>-5.9335408268079357E-4</v>
      </c>
      <c r="AW1247" s="28">
        <f t="shared" si="412"/>
        <v>-5.8592456649838101E-4</v>
      </c>
      <c r="AY1247" s="85"/>
      <c r="AZ1247" s="85"/>
    </row>
    <row r="1248" spans="1:52" x14ac:dyDescent="0.25">
      <c r="A1248" s="102" t="str">
        <f t="shared" si="384"/>
        <v>FSFAGSPQNIBDDSCM Poultry MMCH4</v>
      </c>
      <c r="B1248" s="102" t="s">
        <v>1376</v>
      </c>
      <c r="C1248" s="102" t="s">
        <v>1232</v>
      </c>
      <c r="D1248" t="s">
        <v>15</v>
      </c>
      <c r="E1248" t="s">
        <v>22</v>
      </c>
      <c r="F1248" t="s">
        <v>28</v>
      </c>
      <c r="G1248" t="s">
        <v>131</v>
      </c>
      <c r="H1248" t="s">
        <v>1228</v>
      </c>
      <c r="I1248" t="s">
        <v>121</v>
      </c>
      <c r="J1248" t="s">
        <v>286</v>
      </c>
      <c r="K1248" s="28">
        <f t="shared" ref="K1248:AW1248" si="413">IFERROR(K1407-((K1407-K32)+(K1407-K185)+(K1407-K338)+(K1407-K490)+(K1407-K642)+(K1407-K793)+(K1407-K944)+(K1407-K1095)),0)</f>
        <v>0.55890468998141496</v>
      </c>
      <c r="L1248" s="28">
        <f t="shared" si="413"/>
        <v>0.57100815822901829</v>
      </c>
      <c r="M1248" s="28">
        <f t="shared" si="413"/>
        <v>0.58076061949579127</v>
      </c>
      <c r="N1248" s="28">
        <f t="shared" si="413"/>
        <v>0.58713273634766394</v>
      </c>
      <c r="O1248" s="28">
        <f t="shared" si="413"/>
        <v>0.59359134329353236</v>
      </c>
      <c r="P1248" s="28">
        <f t="shared" si="413"/>
        <v>0.60191770622970409</v>
      </c>
      <c r="Q1248" s="28">
        <f t="shared" si="413"/>
        <v>0.61082194696949044</v>
      </c>
      <c r="R1248" s="28">
        <f t="shared" si="413"/>
        <v>0.61600023875173726</v>
      </c>
      <c r="S1248" s="28">
        <f t="shared" si="413"/>
        <v>0.58621039395021657</v>
      </c>
      <c r="T1248" s="28">
        <f t="shared" si="413"/>
        <v>0.57351872346952015</v>
      </c>
      <c r="U1248" s="28">
        <f t="shared" si="413"/>
        <v>0.55899829042055071</v>
      </c>
      <c r="V1248" s="28">
        <f t="shared" si="413"/>
        <v>0.54356700728598661</v>
      </c>
      <c r="W1248" s="28">
        <f t="shared" si="413"/>
        <v>0.52846398300501329</v>
      </c>
      <c r="X1248" s="28">
        <f t="shared" si="413"/>
        <v>0.512314459919613</v>
      </c>
      <c r="Y1248" s="28">
        <f t="shared" si="413"/>
        <v>0.49503380220429799</v>
      </c>
      <c r="Z1248" s="28">
        <f t="shared" si="413"/>
        <v>0.47642333296497841</v>
      </c>
      <c r="AA1248" s="28">
        <f t="shared" si="413"/>
        <v>0.45715781870545968</v>
      </c>
      <c r="AB1248" s="28">
        <f t="shared" si="413"/>
        <v>0.43632743613629893</v>
      </c>
      <c r="AC1248" s="28">
        <f t="shared" si="413"/>
        <v>0.41454959399214852</v>
      </c>
      <c r="AD1248" s="28">
        <f t="shared" si="413"/>
        <v>0.41580089995532366</v>
      </c>
      <c r="AE1248" s="28">
        <f t="shared" si="413"/>
        <v>0.41732069729841959</v>
      </c>
      <c r="AF1248" s="28">
        <f t="shared" si="413"/>
        <v>0.41877529920738144</v>
      </c>
      <c r="AG1248" s="28">
        <f t="shared" si="413"/>
        <v>0.41341782191509668</v>
      </c>
      <c r="AH1248" s="28">
        <f t="shared" si="413"/>
        <v>9.7140230875708541E-2</v>
      </c>
      <c r="AI1248" s="28">
        <f t="shared" si="413"/>
        <v>9.5919580010086658E-2</v>
      </c>
      <c r="AJ1248" s="28">
        <f t="shared" si="413"/>
        <v>9.4674137105230108E-2</v>
      </c>
      <c r="AK1248" s="28">
        <f t="shared" si="413"/>
        <v>9.3403613321085877E-2</v>
      </c>
      <c r="AL1248" s="28">
        <f t="shared" si="413"/>
        <v>9.2107716662958777E-2</v>
      </c>
      <c r="AM1248" s="28">
        <f t="shared" si="413"/>
        <v>9.0786151973623969E-2</v>
      </c>
      <c r="AN1248" s="28">
        <f t="shared" si="413"/>
        <v>9.137716288204363E-2</v>
      </c>
      <c r="AO1248" s="28">
        <f t="shared" si="413"/>
        <v>9.1971821962276976E-2</v>
      </c>
      <c r="AP1248" s="28">
        <f t="shared" si="413"/>
        <v>9.2570152927926461E-2</v>
      </c>
      <c r="AQ1248" s="28">
        <f t="shared" si="413"/>
        <v>9.3172179571946151E-2</v>
      </c>
      <c r="AR1248" s="28">
        <f t="shared" si="413"/>
        <v>9.3777925772866158E-2</v>
      </c>
      <c r="AS1248" s="28">
        <f t="shared" si="413"/>
        <v>9.4279106254968742E-2</v>
      </c>
      <c r="AT1248" s="28">
        <f t="shared" si="413"/>
        <v>9.478282574562942E-2</v>
      </c>
      <c r="AU1248" s="28">
        <f t="shared" si="413"/>
        <v>9.5289098016116319E-2</v>
      </c>
      <c r="AV1248" s="28">
        <f t="shared" si="413"/>
        <v>9.579793686086549E-2</v>
      </c>
      <c r="AW1248" s="28">
        <f t="shared" si="413"/>
        <v>9.6309356101195995E-2</v>
      </c>
      <c r="AY1248" s="85"/>
      <c r="AZ1248" s="85"/>
    </row>
    <row r="1249" spans="1:52" x14ac:dyDescent="0.25">
      <c r="A1249" s="102" t="str">
        <f t="shared" si="384"/>
        <v>FSFAGSPQNIBDDSCM Poultry MMCH4</v>
      </c>
      <c r="B1249" s="102" t="s">
        <v>1376</v>
      </c>
      <c r="C1249" s="102" t="s">
        <v>1232</v>
      </c>
      <c r="D1249" t="s">
        <v>15</v>
      </c>
      <c r="E1249" t="s">
        <v>22</v>
      </c>
      <c r="F1249" t="s">
        <v>28</v>
      </c>
      <c r="G1249" t="s">
        <v>132</v>
      </c>
      <c r="H1249" t="s">
        <v>1228</v>
      </c>
      <c r="I1249" t="s">
        <v>121</v>
      </c>
      <c r="J1249" t="s">
        <v>286</v>
      </c>
      <c r="K1249" s="28">
        <f t="shared" ref="K1249:AW1249" si="414">IFERROR(K1408-((K1408-K33)+(K1408-K186)+(K1408-K339)+(K1408-K491)+(K1408-K643)+(K1408-K794)+(K1408-K945)+(K1408-K1096)),0)</f>
        <v>2.2359130252274535</v>
      </c>
      <c r="L1249" s="28">
        <f t="shared" si="414"/>
        <v>2.2721966041793928</v>
      </c>
      <c r="M1249" s="28">
        <f t="shared" si="414"/>
        <v>2.2829699564071859</v>
      </c>
      <c r="N1249" s="28">
        <f t="shared" si="414"/>
        <v>2.2588206467778473</v>
      </c>
      <c r="O1249" s="28">
        <f t="shared" si="414"/>
        <v>2.2347231893932196</v>
      </c>
      <c r="P1249" s="28">
        <f t="shared" si="414"/>
        <v>2.2277310720056978</v>
      </c>
      <c r="Q1249" s="28">
        <f t="shared" si="414"/>
        <v>2.2262744989012253</v>
      </c>
      <c r="R1249" s="28">
        <f t="shared" si="414"/>
        <v>2.1891395906785935</v>
      </c>
      <c r="S1249" s="28">
        <f t="shared" si="414"/>
        <v>1.8240868851485099</v>
      </c>
      <c r="T1249" s="28">
        <f t="shared" si="414"/>
        <v>1.8778928986212129</v>
      </c>
      <c r="U1249" s="28">
        <f t="shared" si="414"/>
        <v>1.9228674992863757</v>
      </c>
      <c r="V1249" s="28">
        <f t="shared" si="414"/>
        <v>1.9677329744500112</v>
      </c>
      <c r="W1249" s="28">
        <f t="shared" si="414"/>
        <v>2.0261043748595982</v>
      </c>
      <c r="X1249" s="28">
        <f t="shared" si="414"/>
        <v>2.0843005626552618</v>
      </c>
      <c r="Y1249" s="28">
        <f t="shared" si="414"/>
        <v>2.1481960991761384</v>
      </c>
      <c r="Z1249" s="28">
        <f t="shared" si="414"/>
        <v>2.208679923214985</v>
      </c>
      <c r="AA1249" s="28">
        <f t="shared" si="414"/>
        <v>2.2743218882510807</v>
      </c>
      <c r="AB1249" s="28">
        <f t="shared" si="414"/>
        <v>2.3335097773270199</v>
      </c>
      <c r="AC1249" s="28">
        <f t="shared" si="414"/>
        <v>2.3944453885765151</v>
      </c>
      <c r="AD1249" s="28">
        <f t="shared" si="414"/>
        <v>2.4754243930729589</v>
      </c>
      <c r="AE1249" s="28">
        <f t="shared" si="414"/>
        <v>2.5643290582437364</v>
      </c>
      <c r="AF1249" s="28">
        <f t="shared" si="414"/>
        <v>2.656369337897865</v>
      </c>
      <c r="AG1249" s="28">
        <f t="shared" si="414"/>
        <v>2.6461200420455202</v>
      </c>
      <c r="AH1249" s="28">
        <f t="shared" si="414"/>
        <v>-2.2948520289362109</v>
      </c>
      <c r="AI1249" s="28">
        <f t="shared" si="414"/>
        <v>-2.2981400819551214</v>
      </c>
      <c r="AJ1249" s="28">
        <f t="shared" si="414"/>
        <v>-2.3017063755775586</v>
      </c>
      <c r="AK1249" s="28">
        <f t="shared" si="414"/>
        <v>-2.3055392982644372</v>
      </c>
      <c r="AL1249" s="28">
        <f t="shared" si="414"/>
        <v>-2.3096281403729781</v>
      </c>
      <c r="AM1249" s="28">
        <f t="shared" si="414"/>
        <v>-2.3139630075215134</v>
      </c>
      <c r="AN1249" s="28">
        <f t="shared" si="414"/>
        <v>-2.3157471615489813</v>
      </c>
      <c r="AO1249" s="28">
        <f t="shared" si="414"/>
        <v>-2.3177549214936723</v>
      </c>
      <c r="AP1249" s="28">
        <f t="shared" si="414"/>
        <v>-2.3199776048516689</v>
      </c>
      <c r="AQ1249" s="28">
        <f t="shared" si="414"/>
        <v>-2.3224071252966718</v>
      </c>
      <c r="AR1249" s="28">
        <f t="shared" si="414"/>
        <v>-2.3250359414523776</v>
      </c>
      <c r="AS1249" s="28">
        <f t="shared" si="414"/>
        <v>-2.3250730145110658</v>
      </c>
      <c r="AT1249" s="28">
        <f t="shared" si="414"/>
        <v>-2.3252946526138598</v>
      </c>
      <c r="AU1249" s="28">
        <f t="shared" si="414"/>
        <v>-2.3256940319059596</v>
      </c>
      <c r="AV1249" s="28">
        <f t="shared" si="414"/>
        <v>-2.3262647465769009</v>
      </c>
      <c r="AW1249" s="28">
        <f t="shared" si="414"/>
        <v>-2.3270007763918432</v>
      </c>
      <c r="AY1249" s="85"/>
      <c r="AZ1249" s="85"/>
    </row>
    <row r="1250" spans="1:52" x14ac:dyDescent="0.25">
      <c r="A1250" s="102" t="str">
        <f t="shared" si="384"/>
        <v>FSFAGSPQNIBDDSCM Poultry MMCH4</v>
      </c>
      <c r="B1250" s="102" t="s">
        <v>1376</v>
      </c>
      <c r="C1250" s="102" t="s">
        <v>1232</v>
      </c>
      <c r="D1250" t="s">
        <v>15</v>
      </c>
      <c r="E1250" t="s">
        <v>22</v>
      </c>
      <c r="F1250" t="s">
        <v>28</v>
      </c>
      <c r="G1250" t="s">
        <v>134</v>
      </c>
      <c r="H1250" t="s">
        <v>1228</v>
      </c>
      <c r="I1250" t="s">
        <v>121</v>
      </c>
      <c r="J1250" t="s">
        <v>286</v>
      </c>
      <c r="K1250" s="28">
        <f t="shared" ref="K1250:AW1250" si="415">IFERROR(K1409-((K1409-K34)+(K1409-K187)+(K1409-K340)+(K1409-K492)+(K1409-K644)+(K1409-K795)+(K1409-K946)+(K1409-K1097)),0)</f>
        <v>2.3287695415892307E-2</v>
      </c>
      <c r="L1250" s="28">
        <f t="shared" si="415"/>
        <v>2.3792006592875784E-2</v>
      </c>
      <c r="M1250" s="28">
        <f t="shared" si="415"/>
        <v>2.4198359145657992E-2</v>
      </c>
      <c r="N1250" s="28">
        <f t="shared" si="415"/>
        <v>2.4463864014486018E-2</v>
      </c>
      <c r="O1250" s="28">
        <f t="shared" si="415"/>
        <v>2.4732972637230538E-2</v>
      </c>
      <c r="P1250" s="28">
        <f t="shared" si="415"/>
        <v>2.5079904426237691E-2</v>
      </c>
      <c r="Q1250" s="28">
        <f t="shared" si="415"/>
        <v>2.5450914457062126E-2</v>
      </c>
      <c r="R1250" s="28">
        <f t="shared" si="415"/>
        <v>2.5666676614655742E-2</v>
      </c>
      <c r="S1250" s="28">
        <f t="shared" si="415"/>
        <v>2.4425433081259044E-2</v>
      </c>
      <c r="T1250" s="28">
        <f t="shared" si="415"/>
        <v>2.4949814142996823E-2</v>
      </c>
      <c r="U1250" s="28">
        <f t="shared" si="415"/>
        <v>2.5439323884711679E-2</v>
      </c>
      <c r="V1250" s="28">
        <f t="shared" si="415"/>
        <v>2.5932698042983617E-2</v>
      </c>
      <c r="W1250" s="28">
        <f t="shared" si="415"/>
        <v>2.6492643697133385E-2</v>
      </c>
      <c r="X1250" s="28">
        <f t="shared" si="415"/>
        <v>2.7057240669073435E-2</v>
      </c>
      <c r="Y1250" s="28">
        <f t="shared" si="415"/>
        <v>2.7622555162509051E-2</v>
      </c>
      <c r="Z1250" s="28">
        <f t="shared" si="415"/>
        <v>2.8176965865036346E-2</v>
      </c>
      <c r="AA1250" s="28">
        <f t="shared" si="415"/>
        <v>2.8760838954152518E-2</v>
      </c>
      <c r="AB1250" s="28">
        <f t="shared" si="415"/>
        <v>2.9319055806807104E-2</v>
      </c>
      <c r="AC1250" s="28">
        <f t="shared" si="415"/>
        <v>2.9890511348844809E-2</v>
      </c>
      <c r="AD1250" s="28">
        <f t="shared" si="415"/>
        <v>3.0538432433712476E-2</v>
      </c>
      <c r="AE1250" s="28">
        <f t="shared" si="415"/>
        <v>3.123100856807573E-2</v>
      </c>
      <c r="AF1250" s="28">
        <f t="shared" si="415"/>
        <v>3.1945373465817078E-2</v>
      </c>
      <c r="AG1250" s="28">
        <f t="shared" si="415"/>
        <v>3.2158003703940202E-2</v>
      </c>
      <c r="AH1250" s="28">
        <f t="shared" si="415"/>
        <v>7.7079802322364711E-3</v>
      </c>
      <c r="AI1250" s="28">
        <f t="shared" si="415"/>
        <v>7.7672225791054648E-3</v>
      </c>
      <c r="AJ1250" s="28">
        <f t="shared" si="415"/>
        <v>7.8268962553927103E-3</v>
      </c>
      <c r="AK1250" s="28">
        <f t="shared" si="415"/>
        <v>7.8870045455527778E-3</v>
      </c>
      <c r="AL1250" s="28">
        <f t="shared" si="415"/>
        <v>7.9475507489555203E-3</v>
      </c>
      <c r="AM1250" s="28">
        <f t="shared" si="415"/>
        <v>8.0085381808564764E-3</v>
      </c>
      <c r="AN1250" s="28">
        <f t="shared" si="415"/>
        <v>8.0606731521322347E-3</v>
      </c>
      <c r="AO1250" s="28">
        <f t="shared" si="415"/>
        <v>8.1131299403660317E-3</v>
      </c>
      <c r="AP1250" s="28">
        <f t="shared" si="415"/>
        <v>8.1659106374109367E-3</v>
      </c>
      <c r="AQ1250" s="28">
        <f t="shared" si="415"/>
        <v>8.2190173421198831E-3</v>
      </c>
      <c r="AR1250" s="28">
        <f t="shared" si="415"/>
        <v>8.2724521608947329E-3</v>
      </c>
      <c r="AS1250" s="28">
        <f t="shared" si="415"/>
        <v>8.3166629016207475E-3</v>
      </c>
      <c r="AT1250" s="28">
        <f t="shared" si="415"/>
        <v>8.3610976164500486E-3</v>
      </c>
      <c r="AU1250" s="28">
        <f t="shared" si="415"/>
        <v>8.4057575201904496E-3</v>
      </c>
      <c r="AV1250" s="28">
        <f t="shared" si="415"/>
        <v>8.4506438296934709E-3</v>
      </c>
      <c r="AW1250" s="28">
        <f t="shared" si="415"/>
        <v>8.495757764182087E-3</v>
      </c>
      <c r="AY1250" s="85"/>
      <c r="AZ1250" s="85"/>
    </row>
    <row r="1251" spans="1:52" x14ac:dyDescent="0.25">
      <c r="A1251" s="102" t="str">
        <f t="shared" si="384"/>
        <v>FSFAGSPQNIBDDSCM Poultry MMCH4</v>
      </c>
      <c r="B1251" s="102" t="s">
        <v>1376</v>
      </c>
      <c r="C1251" s="102" t="s">
        <v>1232</v>
      </c>
      <c r="D1251" t="s">
        <v>15</v>
      </c>
      <c r="E1251" t="s">
        <v>22</v>
      </c>
      <c r="F1251" t="s">
        <v>28</v>
      </c>
      <c r="G1251" t="s">
        <v>133</v>
      </c>
      <c r="H1251" t="s">
        <v>1228</v>
      </c>
      <c r="I1251" t="s">
        <v>121</v>
      </c>
      <c r="J1251" t="s">
        <v>286</v>
      </c>
      <c r="K1251" s="28">
        <f t="shared" ref="K1251:AW1251" si="416">IFERROR(K1410-((K1410-K35)+(K1410-K188)+(K1410-K341)+(K1410-K493)+(K1410-K645)+(K1410-K796)+(K1410-K947)+(K1410-K1098)),0)</f>
        <v>9.3163042717810632E-2</v>
      </c>
      <c r="L1251" s="28">
        <f t="shared" si="416"/>
        <v>9.4674858507474813E-2</v>
      </c>
      <c r="M1251" s="28">
        <f t="shared" si="416"/>
        <v>9.5123748183632839E-2</v>
      </c>
      <c r="N1251" s="28">
        <f t="shared" si="416"/>
        <v>9.411752694907706E-2</v>
      </c>
      <c r="O1251" s="28">
        <f t="shared" si="416"/>
        <v>9.3113466224717556E-2</v>
      </c>
      <c r="P1251" s="28">
        <f t="shared" si="416"/>
        <v>9.2822128000237508E-2</v>
      </c>
      <c r="Q1251" s="28">
        <f t="shared" si="416"/>
        <v>9.2761437454217818E-2</v>
      </c>
      <c r="R1251" s="28">
        <f t="shared" si="416"/>
        <v>9.1214149611608147E-2</v>
      </c>
      <c r="S1251" s="28">
        <f t="shared" si="416"/>
        <v>7.6003620214521325E-2</v>
      </c>
      <c r="T1251" s="28">
        <f t="shared" si="416"/>
        <v>7.8245537442550611E-2</v>
      </c>
      <c r="U1251" s="28">
        <f t="shared" si="416"/>
        <v>8.0119479136932389E-2</v>
      </c>
      <c r="V1251" s="28">
        <f t="shared" si="416"/>
        <v>8.1988873935417206E-2</v>
      </c>
      <c r="W1251" s="28">
        <f t="shared" si="416"/>
        <v>8.4421015619150011E-2</v>
      </c>
      <c r="X1251" s="28">
        <f t="shared" si="416"/>
        <v>8.6845856777302652E-2</v>
      </c>
      <c r="Y1251" s="28">
        <f t="shared" si="416"/>
        <v>8.9508170799005846E-2</v>
      </c>
      <c r="Z1251" s="28">
        <f t="shared" si="416"/>
        <v>9.2028330133957781E-2</v>
      </c>
      <c r="AA1251" s="28">
        <f t="shared" si="416"/>
        <v>9.4763412010461776E-2</v>
      </c>
      <c r="AB1251" s="28">
        <f t="shared" si="416"/>
        <v>9.7229574055292575E-2</v>
      </c>
      <c r="AC1251" s="28">
        <f t="shared" si="416"/>
        <v>9.9768557857354889E-2</v>
      </c>
      <c r="AD1251" s="28">
        <f t="shared" si="416"/>
        <v>0.10314268304470672</v>
      </c>
      <c r="AE1251" s="28">
        <f t="shared" si="416"/>
        <v>0.10684704409348912</v>
      </c>
      <c r="AF1251" s="28">
        <f t="shared" si="416"/>
        <v>0.11068205574574447</v>
      </c>
      <c r="AG1251" s="28">
        <f t="shared" si="416"/>
        <v>0.11025500175189677</v>
      </c>
      <c r="AH1251" s="28">
        <f t="shared" si="416"/>
        <v>-9.5618834539008879E-2</v>
      </c>
      <c r="AI1251" s="28">
        <f t="shared" si="416"/>
        <v>-9.5755836748130152E-2</v>
      </c>
      <c r="AJ1251" s="28">
        <f t="shared" si="416"/>
        <v>-9.5904432315731702E-2</v>
      </c>
      <c r="AK1251" s="28">
        <f t="shared" si="416"/>
        <v>-9.6064137427684965E-2</v>
      </c>
      <c r="AL1251" s="28">
        <f t="shared" si="416"/>
        <v>-9.6234505848874163E-2</v>
      </c>
      <c r="AM1251" s="28">
        <f t="shared" si="416"/>
        <v>-9.641512531339648E-2</v>
      </c>
      <c r="AN1251" s="28">
        <f t="shared" si="416"/>
        <v>-9.6489465064540994E-2</v>
      </c>
      <c r="AO1251" s="28">
        <f t="shared" si="416"/>
        <v>-9.6573121728903102E-2</v>
      </c>
      <c r="AP1251" s="28">
        <f t="shared" si="416"/>
        <v>-9.6665733535486312E-2</v>
      </c>
      <c r="AQ1251" s="28">
        <f t="shared" si="416"/>
        <v>-9.6766963554028085E-2</v>
      </c>
      <c r="AR1251" s="28">
        <f t="shared" si="416"/>
        <v>-9.6876497560515806E-2</v>
      </c>
      <c r="AS1251" s="28">
        <f t="shared" si="416"/>
        <v>-9.6878042271294512E-2</v>
      </c>
      <c r="AT1251" s="28">
        <f t="shared" si="416"/>
        <v>-9.6887277192244256E-2</v>
      </c>
      <c r="AU1251" s="28">
        <f t="shared" si="416"/>
        <v>-9.6903917996081751E-2</v>
      </c>
      <c r="AV1251" s="28">
        <f t="shared" si="416"/>
        <v>-9.6927697774037633E-2</v>
      </c>
      <c r="AW1251" s="28">
        <f t="shared" si="416"/>
        <v>-9.6958365682993541E-2</v>
      </c>
      <c r="AY1251" s="85"/>
      <c r="AZ1251" s="85"/>
    </row>
    <row r="1252" spans="1:52" x14ac:dyDescent="0.25">
      <c r="A1252" s="102" t="str">
        <f t="shared" si="384"/>
        <v>FSFAGSPQNIBDDSCM Cattle MMN2O</v>
      </c>
      <c r="B1252" s="102" t="s">
        <v>1376</v>
      </c>
      <c r="C1252" s="102" t="s">
        <v>1233</v>
      </c>
      <c r="D1252" t="s">
        <v>15</v>
      </c>
      <c r="E1252" t="s">
        <v>657</v>
      </c>
      <c r="F1252" t="s">
        <v>6</v>
      </c>
      <c r="G1252" t="s">
        <v>136</v>
      </c>
      <c r="H1252" t="s">
        <v>1228</v>
      </c>
      <c r="I1252" t="s">
        <v>139</v>
      </c>
      <c r="J1252" t="s">
        <v>287</v>
      </c>
      <c r="K1252" s="28">
        <f t="shared" ref="K1252:AW1252" si="417">IFERROR(K1411-((K1411-K36)+(K1411-K189)+(K1411-K342)+(K1411-K494)+(K1411-K646)+(K1411-K797)+(K1411-K948)+(K1411-K1099)),0)</f>
        <v>5.9581863535910565E-2</v>
      </c>
      <c r="L1252" s="28">
        <f t="shared" si="417"/>
        <v>5.9952472777501202E-2</v>
      </c>
      <c r="M1252" s="28">
        <f t="shared" si="417"/>
        <v>6.0207271736418301E-2</v>
      </c>
      <c r="N1252" s="28">
        <f t="shared" si="417"/>
        <v>6.0287180440683194E-2</v>
      </c>
      <c r="O1252" s="28">
        <f t="shared" si="417"/>
        <v>6.0395284993714014E-2</v>
      </c>
      <c r="P1252" s="28">
        <f t="shared" si="417"/>
        <v>6.0632075036082048E-2</v>
      </c>
      <c r="Q1252" s="28">
        <f t="shared" si="417"/>
        <v>6.0915962278620638E-2</v>
      </c>
      <c r="R1252" s="28">
        <f t="shared" si="417"/>
        <v>6.1001244967563928E-2</v>
      </c>
      <c r="S1252" s="28">
        <f t="shared" si="417"/>
        <v>5.9128520448870917E-2</v>
      </c>
      <c r="T1252" s="28">
        <f t="shared" si="417"/>
        <v>5.961554215328714E-2</v>
      </c>
      <c r="U1252" s="28">
        <f t="shared" si="417"/>
        <v>6.0062127225246474E-2</v>
      </c>
      <c r="V1252" s="28">
        <f t="shared" si="417"/>
        <v>6.0520025735654244E-2</v>
      </c>
      <c r="W1252" s="28">
        <f t="shared" si="417"/>
        <v>6.107162678051329E-2</v>
      </c>
      <c r="X1252" s="28">
        <f t="shared" si="417"/>
        <v>6.1633578287442058E-2</v>
      </c>
      <c r="Y1252" s="28">
        <f t="shared" si="417"/>
        <v>6.2180760814939798E-2</v>
      </c>
      <c r="Z1252" s="28">
        <f t="shared" si="417"/>
        <v>6.2716996536282391E-2</v>
      </c>
      <c r="AA1252" s="28">
        <f t="shared" si="417"/>
        <v>6.3294581219461896E-2</v>
      </c>
      <c r="AB1252" s="28">
        <f t="shared" si="417"/>
        <v>6.3841542561015929E-2</v>
      </c>
      <c r="AC1252" s="28">
        <f t="shared" si="417"/>
        <v>6.4408123024693842E-2</v>
      </c>
      <c r="AD1252" s="28">
        <f t="shared" si="417"/>
        <v>6.5059072276654292E-2</v>
      </c>
      <c r="AE1252" s="28">
        <f t="shared" si="417"/>
        <v>6.5768024439382053E-2</v>
      </c>
      <c r="AF1252" s="28">
        <f t="shared" si="417"/>
        <v>6.6505116559025759E-2</v>
      </c>
      <c r="AG1252" s="28">
        <f t="shared" si="417"/>
        <v>6.6608077063784327E-2</v>
      </c>
      <c r="AH1252" s="28">
        <f t="shared" si="417"/>
        <v>3.5661314599783112E-2</v>
      </c>
      <c r="AI1252" s="28">
        <f t="shared" si="417"/>
        <v>3.5687543278982381E-2</v>
      </c>
      <c r="AJ1252" s="28">
        <f t="shared" si="417"/>
        <v>3.5717217411916767E-2</v>
      </c>
      <c r="AK1252" s="28">
        <f t="shared" si="417"/>
        <v>3.5750206038134905E-2</v>
      </c>
      <c r="AL1252" s="28">
        <f t="shared" si="417"/>
        <v>3.5786388283243133E-2</v>
      </c>
      <c r="AM1252" s="28">
        <f t="shared" si="417"/>
        <v>3.5825652402917518E-2</v>
      </c>
      <c r="AN1252" s="28">
        <f t="shared" si="417"/>
        <v>3.5842556779576207E-2</v>
      </c>
      <c r="AO1252" s="28">
        <f t="shared" si="417"/>
        <v>3.5862175171675115E-2</v>
      </c>
      <c r="AP1252" s="28">
        <f t="shared" si="417"/>
        <v>3.588441278699845E-2</v>
      </c>
      <c r="AQ1252" s="28">
        <f t="shared" si="417"/>
        <v>3.5909181301646116E-2</v>
      </c>
      <c r="AR1252" s="28">
        <f t="shared" si="417"/>
        <v>3.5936398311145284E-2</v>
      </c>
      <c r="AS1252" s="28">
        <f t="shared" si="417"/>
        <v>3.5940375653704157E-2</v>
      </c>
      <c r="AT1252" s="28">
        <f t="shared" si="417"/>
        <v>3.5946523647611327E-2</v>
      </c>
      <c r="AU1252" s="28">
        <f t="shared" si="417"/>
        <v>3.5954770346244613E-2</v>
      </c>
      <c r="AV1252" s="28">
        <f t="shared" si="417"/>
        <v>3.5965048185906283E-2</v>
      </c>
      <c r="AW1252" s="28">
        <f t="shared" si="417"/>
        <v>3.5977293649132408E-2</v>
      </c>
      <c r="AY1252" s="85"/>
      <c r="AZ1252" s="85"/>
    </row>
    <row r="1253" spans="1:52" x14ac:dyDescent="0.25">
      <c r="A1253" s="102" t="str">
        <f t="shared" si="384"/>
        <v>FSFAGSPQNIBDDSCM Cattle MMN2O</v>
      </c>
      <c r="B1253" s="102" t="s">
        <v>1376</v>
      </c>
      <c r="C1253" s="102" t="s">
        <v>1233</v>
      </c>
      <c r="D1253" t="s">
        <v>15</v>
      </c>
      <c r="E1253" t="s">
        <v>657</v>
      </c>
      <c r="F1253" t="s">
        <v>6</v>
      </c>
      <c r="G1253" t="s">
        <v>137</v>
      </c>
      <c r="H1253" t="s">
        <v>1228</v>
      </c>
      <c r="I1253" t="s">
        <v>139</v>
      </c>
      <c r="J1253" t="s">
        <v>287</v>
      </c>
      <c r="K1253" s="28">
        <f t="shared" ref="K1253:AW1253" si="418">IFERROR(K1412-((K1412-K37)+(K1412-K190)+(K1412-K343)+(K1412-K495)+(K1412-K647)+(K1412-K798)+(K1412-K949)+(K1412-K1100)),0)</f>
        <v>0.26088706231871722</v>
      </c>
      <c r="L1253" s="28">
        <f t="shared" si="418"/>
        <v>0.2625098238533321</v>
      </c>
      <c r="M1253" s="28">
        <f t="shared" si="418"/>
        <v>0.26362549476271357</v>
      </c>
      <c r="N1253" s="28">
        <f t="shared" si="418"/>
        <v>0.2639753855830434</v>
      </c>
      <c r="O1253" s="28">
        <f t="shared" si="418"/>
        <v>0.26444873565284266</v>
      </c>
      <c r="P1253" s="28">
        <f t="shared" si="418"/>
        <v>0.26548555214151259</v>
      </c>
      <c r="Q1253" s="28">
        <f t="shared" si="418"/>
        <v>0.26672858994429993</v>
      </c>
      <c r="R1253" s="28">
        <f t="shared" si="418"/>
        <v>0.26710201146663365</v>
      </c>
      <c r="S1253" s="28">
        <f t="shared" si="418"/>
        <v>0.2589020397097988</v>
      </c>
      <c r="T1253" s="28">
        <f t="shared" si="418"/>
        <v>0.26103452859501175</v>
      </c>
      <c r="U1253" s="28">
        <f t="shared" si="418"/>
        <v>0.26298996034193323</v>
      </c>
      <c r="V1253" s="28">
        <f t="shared" si="418"/>
        <v>0.26499492947399811</v>
      </c>
      <c r="W1253" s="28">
        <f t="shared" si="418"/>
        <v>0.26741018753450635</v>
      </c>
      <c r="X1253" s="28">
        <f t="shared" si="418"/>
        <v>0.26987076646084124</v>
      </c>
      <c r="Y1253" s="28">
        <f t="shared" si="418"/>
        <v>0.27226667745924399</v>
      </c>
      <c r="Z1253" s="28">
        <f t="shared" si="418"/>
        <v>0.27461465642044425</v>
      </c>
      <c r="AA1253" s="28">
        <f t="shared" si="418"/>
        <v>0.27714368727467675</v>
      </c>
      <c r="AB1253" s="28">
        <f t="shared" si="418"/>
        <v>0.2795386297811987</v>
      </c>
      <c r="AC1253" s="28">
        <f t="shared" si="418"/>
        <v>0.2820194772063051</v>
      </c>
      <c r="AD1253" s="28">
        <f t="shared" si="418"/>
        <v>0.28486974451894415</v>
      </c>
      <c r="AE1253" s="28">
        <f t="shared" si="418"/>
        <v>0.28797398524057027</v>
      </c>
      <c r="AF1253" s="28">
        <f t="shared" si="418"/>
        <v>0.2912014404818154</v>
      </c>
      <c r="AG1253" s="28">
        <f t="shared" si="418"/>
        <v>0.29165226665654759</v>
      </c>
      <c r="AH1253" s="28">
        <f t="shared" si="418"/>
        <v>0.1561477780693053</v>
      </c>
      <c r="AI1253" s="28">
        <f t="shared" si="418"/>
        <v>0.15626262380689576</v>
      </c>
      <c r="AJ1253" s="28">
        <f t="shared" si="418"/>
        <v>0.1563925559189292</v>
      </c>
      <c r="AK1253" s="28">
        <f t="shared" si="418"/>
        <v>0.1565370009777648</v>
      </c>
      <c r="AL1253" s="28">
        <f t="shared" si="418"/>
        <v>0.15669542971889827</v>
      </c>
      <c r="AM1253" s="28">
        <f t="shared" si="418"/>
        <v>0.156867352855042</v>
      </c>
      <c r="AN1253" s="28">
        <f t="shared" si="418"/>
        <v>0.15694137090189544</v>
      </c>
      <c r="AO1253" s="28">
        <f t="shared" si="418"/>
        <v>0.15702727262396923</v>
      </c>
      <c r="AP1253" s="28">
        <f t="shared" si="418"/>
        <v>0.15712464296102122</v>
      </c>
      <c r="AQ1253" s="28">
        <f t="shared" si="418"/>
        <v>0.15723309517518419</v>
      </c>
      <c r="AR1253" s="28">
        <f t="shared" si="418"/>
        <v>0.15735226844758546</v>
      </c>
      <c r="AS1253" s="28">
        <f t="shared" si="418"/>
        <v>0.15736968376752411</v>
      </c>
      <c r="AT1253" s="28">
        <f t="shared" si="418"/>
        <v>0.15739660357120949</v>
      </c>
      <c r="AU1253" s="28">
        <f t="shared" si="418"/>
        <v>0.15743271283084972</v>
      </c>
      <c r="AV1253" s="28">
        <f t="shared" si="418"/>
        <v>0.15747771570986671</v>
      </c>
      <c r="AW1253" s="28">
        <f t="shared" si="418"/>
        <v>0.15753133408865197</v>
      </c>
      <c r="AY1253" s="85"/>
      <c r="AZ1253" s="85"/>
    </row>
    <row r="1254" spans="1:52" x14ac:dyDescent="0.25">
      <c r="A1254" s="102" t="str">
        <f t="shared" si="384"/>
        <v>FSFAGSPQNIBDDSCM Cattle MMN2O</v>
      </c>
      <c r="B1254" s="102" t="s">
        <v>1376</v>
      </c>
      <c r="C1254" s="102" t="s">
        <v>1233</v>
      </c>
      <c r="D1254" t="s">
        <v>15</v>
      </c>
      <c r="E1254" t="s">
        <v>657</v>
      </c>
      <c r="F1254" t="s">
        <v>67</v>
      </c>
      <c r="G1254" t="s">
        <v>307</v>
      </c>
      <c r="H1254" t="s">
        <v>1228</v>
      </c>
      <c r="I1254" t="s">
        <v>139</v>
      </c>
      <c r="J1254" t="s">
        <v>287</v>
      </c>
      <c r="K1254" s="28">
        <f t="shared" ref="K1254:AW1254" si="419">IFERROR(K1413-((K1413-K38)+(K1413-K191)+(K1413-K344)+(K1413-K496)+(K1413-K648)+(K1413-K799)+(K1413-K950)+(K1413-K1101)),0)</f>
        <v>1.1607933720950987E-2</v>
      </c>
      <c r="L1254" s="28">
        <f t="shared" si="419"/>
        <v>1.1680137026746603E-2</v>
      </c>
      <c r="M1254" s="28">
        <f t="shared" si="419"/>
        <v>1.1729777794116936E-2</v>
      </c>
      <c r="N1254" s="28">
        <f t="shared" si="419"/>
        <v>1.1745345869497372E-2</v>
      </c>
      <c r="O1254" s="28">
        <f t="shared" si="419"/>
        <v>1.1766407152445642E-2</v>
      </c>
      <c r="P1254" s="28">
        <f t="shared" si="419"/>
        <v>1.1812539363733939E-2</v>
      </c>
      <c r="Q1254" s="28">
        <f t="shared" si="419"/>
        <v>1.186784720575243E-2</v>
      </c>
      <c r="R1254" s="28">
        <f t="shared" si="419"/>
        <v>1.1884462258421965E-2</v>
      </c>
      <c r="S1254" s="28">
        <f t="shared" si="419"/>
        <v>1.1519611936520126E-2</v>
      </c>
      <c r="T1254" s="28">
        <f t="shared" si="419"/>
        <v>1.1614495099449744E-2</v>
      </c>
      <c r="U1254" s="28">
        <f t="shared" si="419"/>
        <v>1.1701500265257389E-2</v>
      </c>
      <c r="V1254" s="28">
        <f t="shared" si="419"/>
        <v>1.1790709552182964E-2</v>
      </c>
      <c r="W1254" s="28">
        <f t="shared" si="419"/>
        <v>1.189817427364593E-2</v>
      </c>
      <c r="X1254" s="28">
        <f t="shared" si="419"/>
        <v>1.2007655506016015E-2</v>
      </c>
      <c r="Y1254" s="28">
        <f t="shared" si="419"/>
        <v>1.2114259397460733E-2</v>
      </c>
      <c r="Z1254" s="28">
        <f t="shared" si="419"/>
        <v>1.221873059629122E-2</v>
      </c>
      <c r="AA1254" s="28">
        <f t="shared" si="419"/>
        <v>1.2331257535240406E-2</v>
      </c>
      <c r="AB1254" s="28">
        <f t="shared" si="419"/>
        <v>1.2437818334515426E-2</v>
      </c>
      <c r="AC1254" s="28">
        <f t="shared" si="419"/>
        <v>1.2548201395394263E-2</v>
      </c>
      <c r="AD1254" s="28">
        <f t="shared" si="419"/>
        <v>1.2675021459823859E-2</v>
      </c>
      <c r="AE1254" s="28">
        <f t="shared" si="419"/>
        <v>1.2813141841226641E-2</v>
      </c>
      <c r="AF1254" s="28">
        <f t="shared" si="419"/>
        <v>1.2956744541164057E-2</v>
      </c>
      <c r="AG1254" s="28">
        <f t="shared" si="419"/>
        <v>1.2976803643786663E-2</v>
      </c>
      <c r="AH1254" s="28">
        <f t="shared" si="419"/>
        <v>6.9476540629980453E-3</v>
      </c>
      <c r="AI1254" s="28">
        <f t="shared" si="419"/>
        <v>6.9527640201505212E-3</v>
      </c>
      <c r="AJ1254" s="28">
        <f t="shared" si="419"/>
        <v>6.9585452318798495E-3</v>
      </c>
      <c r="AK1254" s="28">
        <f t="shared" si="419"/>
        <v>6.9649721840421407E-3</v>
      </c>
      <c r="AL1254" s="28">
        <f t="shared" si="419"/>
        <v>6.9720213274922825E-3</v>
      </c>
      <c r="AM1254" s="28">
        <f t="shared" si="419"/>
        <v>6.9796708918352492E-3</v>
      </c>
      <c r="AN1254" s="28">
        <f t="shared" si="419"/>
        <v>6.9829642578396519E-3</v>
      </c>
      <c r="AO1254" s="28">
        <f t="shared" si="419"/>
        <v>6.986786377217614E-3</v>
      </c>
      <c r="AP1254" s="28">
        <f t="shared" si="419"/>
        <v>6.9911187822393143E-3</v>
      </c>
      <c r="AQ1254" s="28">
        <f t="shared" si="419"/>
        <v>6.9959442653533691E-3</v>
      </c>
      <c r="AR1254" s="28">
        <f t="shared" si="419"/>
        <v>7.0012467722505977E-3</v>
      </c>
      <c r="AS1254" s="28">
        <f t="shared" si="419"/>
        <v>7.0020216511494588E-3</v>
      </c>
      <c r="AT1254" s="28">
        <f t="shared" si="419"/>
        <v>7.00321942345056E-3</v>
      </c>
      <c r="AU1254" s="28">
        <f t="shared" si="419"/>
        <v>7.0048260722774189E-3</v>
      </c>
      <c r="AV1254" s="28">
        <f t="shared" si="419"/>
        <v>7.0068284346492373E-3</v>
      </c>
      <c r="AW1254" s="28">
        <f t="shared" si="419"/>
        <v>7.0092141358857468E-3</v>
      </c>
      <c r="AY1254" s="85"/>
      <c r="AZ1254" s="85"/>
    </row>
    <row r="1255" spans="1:52" x14ac:dyDescent="0.25">
      <c r="A1255" s="102" t="str">
        <f t="shared" si="384"/>
        <v>FSFAGSPQNIBDDSCM Cattle MMN2O</v>
      </c>
      <c r="B1255" s="102" t="s">
        <v>1376</v>
      </c>
      <c r="C1255" s="102" t="s">
        <v>1233</v>
      </c>
      <c r="D1255" t="s">
        <v>15</v>
      </c>
      <c r="E1255" t="s">
        <v>657</v>
      </c>
      <c r="F1255" t="s">
        <v>67</v>
      </c>
      <c r="G1255" t="s">
        <v>122</v>
      </c>
      <c r="H1255" t="s">
        <v>1228</v>
      </c>
      <c r="I1255" t="s">
        <v>139</v>
      </c>
      <c r="J1255" t="s">
        <v>287</v>
      </c>
      <c r="K1255" s="28">
        <f t="shared" ref="K1255:AW1255" si="420">IFERROR(K1414-((K1414-K39)+(K1414-K192)+(K1414-K345)+(K1414-K497)+(K1414-K649)+(K1414-K800)+(K1414-K951)+(K1414-K1102)),0)</f>
        <v>0.52988033061170758</v>
      </c>
      <c r="L1255" s="28">
        <f t="shared" si="420"/>
        <v>0.52636805175151047</v>
      </c>
      <c r="M1255" s="28">
        <f t="shared" si="420"/>
        <v>0.51896264714173934</v>
      </c>
      <c r="N1255" s="28">
        <f t="shared" si="420"/>
        <v>0.50647981142977161</v>
      </c>
      <c r="O1255" s="28">
        <f t="shared" si="420"/>
        <v>0.4943686614451126</v>
      </c>
      <c r="P1255" s="28">
        <f t="shared" si="420"/>
        <v>0.48505348723916247</v>
      </c>
      <c r="Q1255" s="28">
        <f t="shared" si="420"/>
        <v>0.47662784045454271</v>
      </c>
      <c r="R1255" s="28">
        <f t="shared" si="420"/>
        <v>0.46338055897739389</v>
      </c>
      <c r="S1255" s="28">
        <f t="shared" si="420"/>
        <v>0.40641283743592205</v>
      </c>
      <c r="T1255" s="28">
        <f t="shared" si="420"/>
        <v>0.41028660340184542</v>
      </c>
      <c r="U1255" s="28">
        <f t="shared" si="420"/>
        <v>0.41290787540039242</v>
      </c>
      <c r="V1255" s="28">
        <f t="shared" si="420"/>
        <v>0.41544388868051429</v>
      </c>
      <c r="W1255" s="28">
        <f t="shared" si="420"/>
        <v>0.41963784467016801</v>
      </c>
      <c r="X1255" s="28">
        <f t="shared" si="420"/>
        <v>0.42369357816507769</v>
      </c>
      <c r="Y1255" s="28">
        <f t="shared" si="420"/>
        <v>0.42795148955175888</v>
      </c>
      <c r="Z1255" s="28">
        <f t="shared" si="420"/>
        <v>0.43165837799817441</v>
      </c>
      <c r="AA1255" s="28">
        <f t="shared" si="420"/>
        <v>0.43587731971405297</v>
      </c>
      <c r="AB1255" s="28">
        <f t="shared" si="420"/>
        <v>0.43917878455229692</v>
      </c>
      <c r="AC1255" s="28">
        <f t="shared" si="420"/>
        <v>0.44257083604017933</v>
      </c>
      <c r="AD1255" s="28">
        <f t="shared" si="420"/>
        <v>0.44415072955507112</v>
      </c>
      <c r="AE1255" s="28">
        <f t="shared" si="420"/>
        <v>0.44631708410431642</v>
      </c>
      <c r="AF1255" s="28">
        <f t="shared" si="420"/>
        <v>0.44847507790025098</v>
      </c>
      <c r="AG1255" s="28">
        <f t="shared" si="420"/>
        <v>0.43896382192914674</v>
      </c>
      <c r="AH1255" s="28">
        <f t="shared" si="420"/>
        <v>-0.10354549398732707</v>
      </c>
      <c r="AI1255" s="28">
        <f t="shared" si="420"/>
        <v>-0.10114359865651981</v>
      </c>
      <c r="AJ1255" s="28">
        <f t="shared" si="420"/>
        <v>-9.8779900999145701E-2</v>
      </c>
      <c r="AK1255" s="28">
        <f t="shared" si="420"/>
        <v>-9.645240042559923E-2</v>
      </c>
      <c r="AL1255" s="28">
        <f t="shared" si="420"/>
        <v>-9.4159234659003305E-2</v>
      </c>
      <c r="AM1255" s="28">
        <f t="shared" si="420"/>
        <v>-9.1898666918572763E-2</v>
      </c>
      <c r="AN1255" s="28">
        <f t="shared" si="420"/>
        <v>-9.0065857844413774E-2</v>
      </c>
      <c r="AO1255" s="28">
        <f t="shared" si="420"/>
        <v>-8.8260731137636633E-2</v>
      </c>
      <c r="AP1255" s="28">
        <f t="shared" si="420"/>
        <v>-8.6482032370585105E-2</v>
      </c>
      <c r="AQ1255" s="28">
        <f t="shared" si="420"/>
        <v>-8.4728585134525733E-2</v>
      </c>
      <c r="AR1255" s="28">
        <f t="shared" si="420"/>
        <v>-8.2999284570590512E-2</v>
      </c>
      <c r="AS1255" s="28">
        <f t="shared" si="420"/>
        <v>-8.1237842076259073E-2</v>
      </c>
      <c r="AT1255" s="28">
        <f t="shared" si="420"/>
        <v>-7.9500621662589185E-2</v>
      </c>
      <c r="AU1255" s="28">
        <f t="shared" si="420"/>
        <v>-7.7786670470567892E-2</v>
      </c>
      <c r="AV1255" s="28">
        <f t="shared" si="420"/>
        <v>-7.609508917583023E-2</v>
      </c>
      <c r="AW1255" s="28">
        <f t="shared" si="420"/>
        <v>-7.4425027988165984E-2</v>
      </c>
      <c r="AY1255" s="85"/>
      <c r="AZ1255" s="85"/>
    </row>
    <row r="1256" spans="1:52" x14ac:dyDescent="0.25">
      <c r="A1256" s="102" t="str">
        <f t="shared" si="384"/>
        <v>FSFAGSPQNIBDDSCM Cattle MMN2O</v>
      </c>
      <c r="B1256" s="102" t="s">
        <v>1376</v>
      </c>
      <c r="C1256" s="102" t="s">
        <v>1233</v>
      </c>
      <c r="D1256" t="s">
        <v>15</v>
      </c>
      <c r="E1256" t="s">
        <v>657</v>
      </c>
      <c r="F1256" t="s">
        <v>67</v>
      </c>
      <c r="G1256" t="s">
        <v>123</v>
      </c>
      <c r="H1256" t="s">
        <v>1228</v>
      </c>
      <c r="I1256" t="s">
        <v>139</v>
      </c>
      <c r="J1256" t="s">
        <v>287</v>
      </c>
      <c r="K1256" s="28">
        <f t="shared" ref="K1256:AW1256" si="421">IFERROR(K1415-((K1415-K40)+(K1415-K193)+(K1415-K346)+(K1415-K498)+(K1415-K650)+(K1415-K801)+(K1415-K952)+(K1415-K1103)),0)</f>
        <v>0.81161466909134916</v>
      </c>
      <c r="L1256" s="28">
        <f t="shared" si="421"/>
        <v>0.80623493166726978</v>
      </c>
      <c r="M1256" s="28">
        <f t="shared" si="421"/>
        <v>0.79489211581881503</v>
      </c>
      <c r="N1256" s="28">
        <f t="shared" si="421"/>
        <v>0.77577222781694366</v>
      </c>
      <c r="O1256" s="28">
        <f t="shared" si="421"/>
        <v>0.75722164871587128</v>
      </c>
      <c r="P1256" s="28">
        <f t="shared" si="421"/>
        <v>0.74295364970944966</v>
      </c>
      <c r="Q1256" s="28">
        <f t="shared" si="421"/>
        <v>0.73004813476216801</v>
      </c>
      <c r="R1256" s="28">
        <f t="shared" si="421"/>
        <v>0.7097573495578483</v>
      </c>
      <c r="S1256" s="28">
        <f t="shared" si="421"/>
        <v>0.62250021658521282</v>
      </c>
      <c r="T1256" s="28">
        <f t="shared" si="421"/>
        <v>0.62843364173979577</v>
      </c>
      <c r="U1256" s="28">
        <f t="shared" si="421"/>
        <v>0.63244862905446586</v>
      </c>
      <c r="V1256" s="28">
        <f t="shared" si="421"/>
        <v>0.63633302607818865</v>
      </c>
      <c r="W1256" s="28">
        <f t="shared" si="421"/>
        <v>0.64275688445918766</v>
      </c>
      <c r="X1256" s="28">
        <f t="shared" si="421"/>
        <v>0.64896902823624347</v>
      </c>
      <c r="Y1256" s="28">
        <f t="shared" si="421"/>
        <v>0.65549084673275582</v>
      </c>
      <c r="Z1256" s="28">
        <f t="shared" si="421"/>
        <v>0.66116866654600104</v>
      </c>
      <c r="AA1256" s="28">
        <f t="shared" si="421"/>
        <v>0.66763079542082715</v>
      </c>
      <c r="AB1256" s="28">
        <f t="shared" si="421"/>
        <v>0.67268763021428868</v>
      </c>
      <c r="AC1256" s="28">
        <f t="shared" si="421"/>
        <v>0.67788321606043689</v>
      </c>
      <c r="AD1256" s="28">
        <f t="shared" si="421"/>
        <v>0.68030312991307629</v>
      </c>
      <c r="AE1256" s="28">
        <f t="shared" si="421"/>
        <v>0.68362132277483145</v>
      </c>
      <c r="AF1256" s="28">
        <f t="shared" si="421"/>
        <v>0.68692670951860213</v>
      </c>
      <c r="AG1256" s="28">
        <f t="shared" si="421"/>
        <v>0.67235837319496583</v>
      </c>
      <c r="AH1256" s="28">
        <f t="shared" si="421"/>
        <v>-0.1586000403929089</v>
      </c>
      <c r="AI1256" s="28">
        <f t="shared" si="421"/>
        <v>-0.15492107106439137</v>
      </c>
      <c r="AJ1256" s="28">
        <f t="shared" si="421"/>
        <v>-0.15130060889360838</v>
      </c>
      <c r="AK1256" s="28">
        <f t="shared" si="421"/>
        <v>-0.14773558958891347</v>
      </c>
      <c r="AL1256" s="28">
        <f t="shared" si="421"/>
        <v>-0.14422316071147476</v>
      </c>
      <c r="AM1256" s="28">
        <f t="shared" si="421"/>
        <v>-0.1407606620441057</v>
      </c>
      <c r="AN1256" s="28">
        <f t="shared" si="421"/>
        <v>-0.1379533588771549</v>
      </c>
      <c r="AO1256" s="28">
        <f t="shared" si="421"/>
        <v>-0.13518845663385484</v>
      </c>
      <c r="AP1256" s="28">
        <f t="shared" si="421"/>
        <v>-0.13246403391454542</v>
      </c>
      <c r="AQ1256" s="28">
        <f t="shared" si="421"/>
        <v>-0.12977828882070402</v>
      </c>
      <c r="AR1256" s="28">
        <f t="shared" si="421"/>
        <v>-0.12712952904632721</v>
      </c>
      <c r="AS1256" s="28">
        <f t="shared" si="421"/>
        <v>-0.12443153766115941</v>
      </c>
      <c r="AT1256" s="28">
        <f t="shared" si="421"/>
        <v>-0.12177064709828132</v>
      </c>
      <c r="AU1256" s="28">
        <f t="shared" si="421"/>
        <v>-0.11914539786899743</v>
      </c>
      <c r="AV1256" s="28">
        <f t="shared" si="421"/>
        <v>-0.11655441248332606</v>
      </c>
      <c r="AW1256" s="28">
        <f t="shared" si="421"/>
        <v>-0.11399638932246699</v>
      </c>
      <c r="AY1256" s="85"/>
      <c r="AZ1256" s="85"/>
    </row>
    <row r="1257" spans="1:52" x14ac:dyDescent="0.25">
      <c r="A1257" s="102" t="str">
        <f t="shared" si="384"/>
        <v>FSFAGSPQNIBDDSCM Cattle MMN2O</v>
      </c>
      <c r="B1257" s="102" t="s">
        <v>1376</v>
      </c>
      <c r="C1257" s="102" t="s">
        <v>1233</v>
      </c>
      <c r="D1257" t="s">
        <v>15</v>
      </c>
      <c r="E1257" t="s">
        <v>657</v>
      </c>
      <c r="F1257" t="s">
        <v>67</v>
      </c>
      <c r="G1257" t="s">
        <v>135</v>
      </c>
      <c r="H1257" t="s">
        <v>1228</v>
      </c>
      <c r="I1257" t="s">
        <v>139</v>
      </c>
      <c r="J1257" t="s">
        <v>287</v>
      </c>
      <c r="K1257" s="28">
        <f t="shared" ref="K1257:AW1257" si="422">IFERROR(K1416-((K1416-K41)+(K1416-K194)+(K1416-K347)+(K1416-K499)+(K1416-K651)+(K1416-K802)+(K1416-K953)+(K1416-K1104)),0)</f>
        <v>0.98462431665992833</v>
      </c>
      <c r="L1257" s="28">
        <f t="shared" si="422"/>
        <v>1.0196918835505078</v>
      </c>
      <c r="M1257" s="28">
        <f t="shared" si="422"/>
        <v>1.0475259814074214</v>
      </c>
      <c r="N1257" s="28">
        <f t="shared" si="422"/>
        <v>1.0647388767946648</v>
      </c>
      <c r="O1257" s="28">
        <f t="shared" si="422"/>
        <v>1.0819877052462501</v>
      </c>
      <c r="P1257" s="28">
        <f t="shared" si="422"/>
        <v>1.1048938649963369</v>
      </c>
      <c r="Q1257" s="28">
        <f t="shared" si="422"/>
        <v>1.1297091115066857</v>
      </c>
      <c r="R1257" s="28">
        <f t="shared" si="422"/>
        <v>1.142623258953418</v>
      </c>
      <c r="S1257" s="28">
        <f t="shared" si="422"/>
        <v>1.0424500724104675</v>
      </c>
      <c r="T1257" s="28">
        <f t="shared" si="422"/>
        <v>1.0775354748112338</v>
      </c>
      <c r="U1257" s="28">
        <f t="shared" si="422"/>
        <v>1.1099789671042184</v>
      </c>
      <c r="V1257" s="28">
        <f t="shared" si="422"/>
        <v>1.1427845071049993</v>
      </c>
      <c r="W1257" s="28">
        <f t="shared" si="422"/>
        <v>1.1808667721174206</v>
      </c>
      <c r="X1257" s="28">
        <f t="shared" si="422"/>
        <v>1.219399784150359</v>
      </c>
      <c r="Y1257" s="28">
        <f t="shared" si="422"/>
        <v>1.2593873285345614</v>
      </c>
      <c r="Z1257" s="28">
        <f t="shared" si="422"/>
        <v>1.2986321214759353</v>
      </c>
      <c r="AA1257" s="28">
        <f t="shared" si="422"/>
        <v>1.3403229537470696</v>
      </c>
      <c r="AB1257" s="28">
        <f t="shared" si="422"/>
        <v>1.3800999976091688</v>
      </c>
      <c r="AC1257" s="28">
        <f t="shared" si="422"/>
        <v>1.4210424625750864</v>
      </c>
      <c r="AD1257" s="28">
        <f t="shared" si="422"/>
        <v>1.4731597843117399</v>
      </c>
      <c r="AE1257" s="28">
        <f t="shared" si="422"/>
        <v>1.5292748745002132</v>
      </c>
      <c r="AF1257" s="28">
        <f t="shared" si="422"/>
        <v>1.58759303710444</v>
      </c>
      <c r="AG1257" s="28">
        <f t="shared" si="422"/>
        <v>1.6055856657240113</v>
      </c>
      <c r="AH1257" s="28">
        <f t="shared" si="422"/>
        <v>-0.39137548720927395</v>
      </c>
      <c r="AI1257" s="28">
        <f t="shared" si="422"/>
        <v>-0.39511268844976988</v>
      </c>
      <c r="AJ1257" s="28">
        <f t="shared" si="422"/>
        <v>-0.39888027556232269</v>
      </c>
      <c r="AK1257" s="28">
        <f t="shared" si="422"/>
        <v>-0.40267853610571114</v>
      </c>
      <c r="AL1257" s="28">
        <f t="shared" si="422"/>
        <v>-0.40650776022057733</v>
      </c>
      <c r="AM1257" s="28">
        <f t="shared" si="422"/>
        <v>-0.41036824065181815</v>
      </c>
      <c r="AN1257" s="28">
        <f t="shared" si="422"/>
        <v>-0.41346631245955484</v>
      </c>
      <c r="AO1257" s="28">
        <f t="shared" si="422"/>
        <v>-0.41658575471490794</v>
      </c>
      <c r="AP1257" s="28">
        <f t="shared" si="422"/>
        <v>-0.41972673655234932</v>
      </c>
      <c r="AQ1257" s="28">
        <f t="shared" si="422"/>
        <v>-0.42288942838293692</v>
      </c>
      <c r="AR1257" s="28">
        <f t="shared" si="422"/>
        <v>-0.42607400190364725</v>
      </c>
      <c r="AS1257" s="28">
        <f t="shared" si="422"/>
        <v>-0.42898887673310604</v>
      </c>
      <c r="AT1257" s="28">
        <f t="shared" si="422"/>
        <v>-0.43192052701996581</v>
      </c>
      <c r="AU1257" s="28">
        <f t="shared" si="422"/>
        <v>-0.43486906373806822</v>
      </c>
      <c r="AV1257" s="28">
        <f t="shared" si="422"/>
        <v>-0.43783459855710477</v>
      </c>
      <c r="AW1257" s="28">
        <f t="shared" si="422"/>
        <v>-0.4408172438468278</v>
      </c>
      <c r="AY1257" s="85"/>
      <c r="AZ1257" s="85"/>
    </row>
    <row r="1258" spans="1:52" x14ac:dyDescent="0.25">
      <c r="A1258" s="102" t="str">
        <f t="shared" si="384"/>
        <v>FSFAGSPQNIBDDSCM Sheep MMN2O</v>
      </c>
      <c r="B1258" s="102" t="s">
        <v>1376</v>
      </c>
      <c r="C1258" s="102" t="s">
        <v>1329</v>
      </c>
      <c r="D1258" t="s">
        <v>15</v>
      </c>
      <c r="E1258" t="s">
        <v>657</v>
      </c>
      <c r="F1258" t="s">
        <v>18</v>
      </c>
      <c r="G1258" t="s">
        <v>122</v>
      </c>
      <c r="H1258" t="s">
        <v>1228</v>
      </c>
      <c r="I1258" t="s">
        <v>139</v>
      </c>
      <c r="J1258" t="s">
        <v>287</v>
      </c>
      <c r="K1258" s="28">
        <f t="shared" ref="K1258:AW1258" si="423">IFERROR(K1417-((K1417-K42)+(K1417-K195)+(K1417-K348)+(K1417-K500)+(K1417-K652)+(K1417-K803)+(K1417-K954)+(K1417-K1105)),0)</f>
        <v>0.1171858684484313</v>
      </c>
      <c r="L1258" s="28">
        <f t="shared" si="423"/>
        <v>0.11724986264912746</v>
      </c>
      <c r="M1258" s="28">
        <f t="shared" si="423"/>
        <v>0.11739315795736154</v>
      </c>
      <c r="N1258" s="28">
        <f t="shared" si="423"/>
        <v>0.11760884747933324</v>
      </c>
      <c r="O1258" s="28">
        <f t="shared" si="423"/>
        <v>0.11789981697079396</v>
      </c>
      <c r="P1258" s="28">
        <f t="shared" si="423"/>
        <v>0.11826637517857025</v>
      </c>
      <c r="Q1258" s="28">
        <f t="shared" si="423"/>
        <v>0.11867470616236446</v>
      </c>
      <c r="R1258" s="28">
        <f t="shared" si="423"/>
        <v>0.11911724401941932</v>
      </c>
      <c r="S1258" s="28">
        <f t="shared" si="423"/>
        <v>0.11953310214883348</v>
      </c>
      <c r="T1258" s="28">
        <f t="shared" si="423"/>
        <v>0.11970681414230742</v>
      </c>
      <c r="U1258" s="28">
        <f t="shared" si="423"/>
        <v>0.11990838567894911</v>
      </c>
      <c r="V1258" s="28">
        <f t="shared" si="423"/>
        <v>0.12013777542784022</v>
      </c>
      <c r="W1258" s="28">
        <f t="shared" si="423"/>
        <v>0.1203961718842316</v>
      </c>
      <c r="X1258" s="28">
        <f t="shared" si="423"/>
        <v>0.12067943256873451</v>
      </c>
      <c r="Y1258" s="28">
        <f t="shared" si="423"/>
        <v>0.12085380112251057</v>
      </c>
      <c r="Z1258" s="28">
        <f t="shared" si="423"/>
        <v>0.12104857439732014</v>
      </c>
      <c r="AA1258" s="28">
        <f t="shared" si="423"/>
        <v>0.1212644592147404</v>
      </c>
      <c r="AB1258" s="28">
        <f t="shared" si="423"/>
        <v>0.12149813863258012</v>
      </c>
      <c r="AC1258" s="28">
        <f t="shared" si="423"/>
        <v>0.12175044819305053</v>
      </c>
      <c r="AD1258" s="28">
        <f t="shared" si="423"/>
        <v>0.12191654827812352</v>
      </c>
      <c r="AE1258" s="28">
        <f t="shared" si="423"/>
        <v>0.12210011953046386</v>
      </c>
      <c r="AF1258" s="28">
        <f t="shared" si="423"/>
        <v>0.12229951100214119</v>
      </c>
      <c r="AG1258" s="28">
        <f t="shared" si="423"/>
        <v>0.12249214859428272</v>
      </c>
      <c r="AH1258" s="28">
        <f t="shared" si="423"/>
        <v>0.12166856520731396</v>
      </c>
      <c r="AI1258" s="28">
        <f t="shared" si="423"/>
        <v>0.12178552707040835</v>
      </c>
      <c r="AJ1258" s="28">
        <f t="shared" si="423"/>
        <v>0.12191459506568997</v>
      </c>
      <c r="AK1258" s="28">
        <f t="shared" si="423"/>
        <v>0.12205531183364191</v>
      </c>
      <c r="AL1258" s="28">
        <f t="shared" si="423"/>
        <v>0.1222072553657907</v>
      </c>
      <c r="AM1258" s="28">
        <f t="shared" si="423"/>
        <v>0.12237003565016037</v>
      </c>
      <c r="AN1258" s="28">
        <f t="shared" si="423"/>
        <v>0.12244903306979282</v>
      </c>
      <c r="AO1258" s="28">
        <f t="shared" si="423"/>
        <v>0.12253757835817966</v>
      </c>
      <c r="AP1258" s="28">
        <f t="shared" si="423"/>
        <v>0.12263533922697641</v>
      </c>
      <c r="AQ1258" s="28">
        <f t="shared" si="423"/>
        <v>0.12274200613087835</v>
      </c>
      <c r="AR1258" s="28">
        <f t="shared" si="423"/>
        <v>0.12285729033548833</v>
      </c>
      <c r="AS1258" s="28">
        <f t="shared" si="423"/>
        <v>0.12288572954642335</v>
      </c>
      <c r="AT1258" s="28">
        <f t="shared" si="423"/>
        <v>0.12292181660779716</v>
      </c>
      <c r="AU1258" s="28">
        <f t="shared" si="423"/>
        <v>0.12296529822294655</v>
      </c>
      <c r="AV1258" s="28">
        <f t="shared" si="423"/>
        <v>0.12301593656260404</v>
      </c>
      <c r="AW1258" s="28">
        <f t="shared" si="423"/>
        <v>0.12307350807543004</v>
      </c>
      <c r="AY1258" s="85"/>
      <c r="AZ1258" s="85"/>
    </row>
    <row r="1259" spans="1:52" x14ac:dyDescent="0.25">
      <c r="A1259" s="102" t="str">
        <f t="shared" si="384"/>
        <v>FSFAGSPQNIBDDSCM Sheep MMN2O</v>
      </c>
      <c r="B1259" s="102" t="s">
        <v>1376</v>
      </c>
      <c r="C1259" s="102" t="s">
        <v>1329</v>
      </c>
      <c r="D1259" t="s">
        <v>15</v>
      </c>
      <c r="E1259" t="s">
        <v>657</v>
      </c>
      <c r="F1259" t="s">
        <v>18</v>
      </c>
      <c r="G1259" t="s">
        <v>123</v>
      </c>
      <c r="H1259" t="s">
        <v>1228</v>
      </c>
      <c r="I1259" t="s">
        <v>139</v>
      </c>
      <c r="J1259" t="s">
        <v>287</v>
      </c>
      <c r="K1259" s="28">
        <f t="shared" ref="K1259:AW1259" si="424">IFERROR(K1418-((K1418-K43)+(K1418-K196)+(K1418-K349)+(K1418-K501)+(K1418-K653)+(K1418-K804)+(K1418-K955)+(K1418-K1106)),0)</f>
        <v>6.266414044546309E-2</v>
      </c>
      <c r="L1259" s="28">
        <f t="shared" si="424"/>
        <v>6.2698360796715452E-2</v>
      </c>
      <c r="M1259" s="28">
        <f t="shared" si="424"/>
        <v>6.2774986736679445E-2</v>
      </c>
      <c r="N1259" s="28">
        <f t="shared" si="424"/>
        <v>6.2890324862994521E-2</v>
      </c>
      <c r="O1259" s="28">
        <f t="shared" si="424"/>
        <v>6.3045918308856697E-2</v>
      </c>
      <c r="P1259" s="28">
        <f t="shared" si="424"/>
        <v>6.324193217398956E-2</v>
      </c>
      <c r="Q1259" s="28">
        <f t="shared" si="424"/>
        <v>6.346028367366699E-2</v>
      </c>
      <c r="R1259" s="28">
        <f t="shared" si="424"/>
        <v>6.3696927006127543E-2</v>
      </c>
      <c r="S1259" s="28">
        <f t="shared" si="424"/>
        <v>6.3919303582518794E-2</v>
      </c>
      <c r="T1259" s="28">
        <f t="shared" si="424"/>
        <v>6.401219458465271E-2</v>
      </c>
      <c r="U1259" s="28">
        <f t="shared" si="424"/>
        <v>6.4119983239113915E-2</v>
      </c>
      <c r="V1259" s="28">
        <f t="shared" si="424"/>
        <v>6.4242647444547399E-2</v>
      </c>
      <c r="W1259" s="28">
        <f t="shared" si="424"/>
        <v>6.4380822738619198E-2</v>
      </c>
      <c r="X1259" s="28">
        <f t="shared" si="424"/>
        <v>6.4532293965921486E-2</v>
      </c>
      <c r="Y1259" s="28">
        <f t="shared" si="424"/>
        <v>6.462553605805911E-2</v>
      </c>
      <c r="Z1259" s="28">
        <f t="shared" si="424"/>
        <v>6.4729689400175275E-2</v>
      </c>
      <c r="AA1259" s="28">
        <f t="shared" si="424"/>
        <v>6.4845131959060415E-2</v>
      </c>
      <c r="AB1259" s="28">
        <f t="shared" si="424"/>
        <v>6.4970090028259403E-2</v>
      </c>
      <c r="AC1259" s="28">
        <f t="shared" si="424"/>
        <v>6.5105010406820332E-2</v>
      </c>
      <c r="AD1259" s="28">
        <f t="shared" si="424"/>
        <v>6.5193831006068584E-2</v>
      </c>
      <c r="AE1259" s="28">
        <f t="shared" si="424"/>
        <v>6.5291994162520045E-2</v>
      </c>
      <c r="AF1259" s="28">
        <f t="shared" si="424"/>
        <v>6.5398617045895405E-2</v>
      </c>
      <c r="AG1259" s="28">
        <f t="shared" si="424"/>
        <v>6.5501628349978927E-2</v>
      </c>
      <c r="AH1259" s="28">
        <f t="shared" si="424"/>
        <v>6.506122418083396E-2</v>
      </c>
      <c r="AI1259" s="28">
        <f t="shared" si="424"/>
        <v>6.512376853633306E-2</v>
      </c>
      <c r="AJ1259" s="28">
        <f t="shared" si="424"/>
        <v>6.5192786542432504E-2</v>
      </c>
      <c r="AK1259" s="28">
        <f t="shared" si="424"/>
        <v>6.5268033630044034E-2</v>
      </c>
      <c r="AL1259" s="28">
        <f t="shared" si="424"/>
        <v>6.534928413374741E-2</v>
      </c>
      <c r="AM1259" s="28">
        <f t="shared" si="424"/>
        <v>6.5436329497975634E-2</v>
      </c>
      <c r="AN1259" s="28">
        <f t="shared" si="424"/>
        <v>6.54785726921783E-2</v>
      </c>
      <c r="AO1259" s="28">
        <f t="shared" si="424"/>
        <v>6.552592152750053E-2</v>
      </c>
      <c r="AP1259" s="28">
        <f t="shared" si="424"/>
        <v>6.557819831559332E-2</v>
      </c>
      <c r="AQ1259" s="28">
        <f t="shared" si="424"/>
        <v>6.5635237529753657E-2</v>
      </c>
      <c r="AR1259" s="28">
        <f t="shared" si="424"/>
        <v>6.5696884771733188E-2</v>
      </c>
      <c r="AS1259" s="28">
        <f t="shared" si="424"/>
        <v>6.5712092396439034E-2</v>
      </c>
      <c r="AT1259" s="28">
        <f t="shared" si="424"/>
        <v>6.5731389643727739E-2</v>
      </c>
      <c r="AU1259" s="28">
        <f t="shared" si="424"/>
        <v>6.5754641065376054E-2</v>
      </c>
      <c r="AV1259" s="28">
        <f t="shared" si="424"/>
        <v>6.578171948421814E-2</v>
      </c>
      <c r="AW1259" s="28">
        <f t="shared" si="424"/>
        <v>6.5812505358088025E-2</v>
      </c>
      <c r="AY1259" s="85"/>
      <c r="AZ1259" s="85"/>
    </row>
    <row r="1260" spans="1:52" x14ac:dyDescent="0.25">
      <c r="A1260" s="102" t="str">
        <f t="shared" si="384"/>
        <v>FSFAGSPQNIBDDSCM Goats MMN2O</v>
      </c>
      <c r="B1260" s="102" t="s">
        <v>1376</v>
      </c>
      <c r="C1260" s="102" t="s">
        <v>1330</v>
      </c>
      <c r="D1260" t="s">
        <v>15</v>
      </c>
      <c r="E1260" t="s">
        <v>657</v>
      </c>
      <c r="F1260" t="s">
        <v>19</v>
      </c>
      <c r="G1260" t="s">
        <v>122</v>
      </c>
      <c r="H1260" t="s">
        <v>1228</v>
      </c>
      <c r="I1260" t="s">
        <v>139</v>
      </c>
      <c r="J1260" t="s">
        <v>287</v>
      </c>
      <c r="K1260" s="28">
        <f t="shared" ref="K1260:AW1260" si="425">IFERROR(K1419-((K1419-K44)+(K1419-K197)+(K1419-K350)+(K1419-K502)+(K1419-K654)+(K1419-K805)+(K1419-K956)+(K1419-K1107)),0)</f>
        <v>1.4485648992970149E-2</v>
      </c>
      <c r="L1260" s="28">
        <f t="shared" si="425"/>
        <v>1.4523430996818442E-2</v>
      </c>
      <c r="M1260" s="28">
        <f t="shared" si="425"/>
        <v>1.4573778863725229E-2</v>
      </c>
      <c r="N1260" s="28">
        <f t="shared" si="425"/>
        <v>1.4635573261684437E-2</v>
      </c>
      <c r="O1260" s="28">
        <f t="shared" si="425"/>
        <v>1.4709556756482728E-2</v>
      </c>
      <c r="P1260" s="28">
        <f t="shared" si="425"/>
        <v>1.4795926227225602E-2</v>
      </c>
      <c r="Q1260" s="28">
        <f t="shared" si="425"/>
        <v>1.4888271114151717E-2</v>
      </c>
      <c r="R1260" s="28">
        <f t="shared" si="425"/>
        <v>1.4985270961083385E-2</v>
      </c>
      <c r="S1260" s="28">
        <f t="shared" si="425"/>
        <v>1.5075379558400602E-2</v>
      </c>
      <c r="T1260" s="28">
        <f t="shared" si="425"/>
        <v>1.5117607192403527E-2</v>
      </c>
      <c r="U1260" s="28">
        <f t="shared" si="425"/>
        <v>1.5163912133825485E-2</v>
      </c>
      <c r="V1260" s="28">
        <f t="shared" si="425"/>
        <v>1.5214353144806386E-2</v>
      </c>
      <c r="W1260" s="28">
        <f t="shared" si="425"/>
        <v>1.5269211713136204E-2</v>
      </c>
      <c r="X1260" s="28">
        <f t="shared" si="425"/>
        <v>1.5327749231318039E-2</v>
      </c>
      <c r="Y1260" s="28">
        <f t="shared" si="425"/>
        <v>1.5364750505414648E-2</v>
      </c>
      <c r="Z1260" s="28">
        <f t="shared" si="425"/>
        <v>1.5404784002427285E-2</v>
      </c>
      <c r="AA1260" s="28">
        <f t="shared" si="425"/>
        <v>1.5448015343528085E-2</v>
      </c>
      <c r="AB1260" s="28">
        <f t="shared" si="425"/>
        <v>1.5493849362144254E-2</v>
      </c>
      <c r="AC1260" s="28">
        <f t="shared" si="425"/>
        <v>1.5542469399401562E-2</v>
      </c>
      <c r="AD1260" s="28">
        <f t="shared" si="425"/>
        <v>1.5574312295454071E-2</v>
      </c>
      <c r="AE1260" s="28">
        <f t="shared" si="425"/>
        <v>1.5608846144431889E-2</v>
      </c>
      <c r="AF1260" s="28">
        <f t="shared" si="425"/>
        <v>1.5645779000697076E-2</v>
      </c>
      <c r="AG1260" s="28">
        <f t="shared" si="425"/>
        <v>1.5680933682266716E-2</v>
      </c>
      <c r="AH1260" s="28">
        <f t="shared" si="425"/>
        <v>1.552725676648822E-2</v>
      </c>
      <c r="AI1260" s="28">
        <f t="shared" si="425"/>
        <v>1.5547818779843832E-2</v>
      </c>
      <c r="AJ1260" s="28">
        <f t="shared" si="425"/>
        <v>1.5570224487070797E-2</v>
      </c>
      <c r="AK1260" s="28">
        <f t="shared" si="425"/>
        <v>1.5594399014227253E-2</v>
      </c>
      <c r="AL1260" s="28">
        <f t="shared" si="425"/>
        <v>1.5620273295013296E-2</v>
      </c>
      <c r="AM1260" s="28">
        <f t="shared" si="425"/>
        <v>1.5647783514700201E-2</v>
      </c>
      <c r="AN1260" s="28">
        <f t="shared" si="425"/>
        <v>1.5659592232765602E-2</v>
      </c>
      <c r="AO1260" s="28">
        <f t="shared" si="425"/>
        <v>1.5672874713872142E-2</v>
      </c>
      <c r="AP1260" s="28">
        <f t="shared" si="425"/>
        <v>1.5687575397224301E-2</v>
      </c>
      <c r="AQ1260" s="28">
        <f t="shared" si="425"/>
        <v>1.5703642533627795E-2</v>
      </c>
      <c r="AR1260" s="28">
        <f t="shared" si="425"/>
        <v>1.5721027858938724E-2</v>
      </c>
      <c r="AS1260" s="28">
        <f t="shared" si="425"/>
        <v>1.572238426100139E-2</v>
      </c>
      <c r="AT1260" s="28">
        <f t="shared" si="425"/>
        <v>1.5724946955034496E-2</v>
      </c>
      <c r="AU1260" s="28">
        <f t="shared" si="425"/>
        <v>1.5728672619393889E-2</v>
      </c>
      <c r="AV1260" s="28">
        <f t="shared" si="425"/>
        <v>1.5733520584102465E-2</v>
      </c>
      <c r="AW1260" s="28">
        <f t="shared" si="425"/>
        <v>1.5739452625419498E-2</v>
      </c>
      <c r="AY1260" s="85"/>
      <c r="AZ1260" s="85"/>
    </row>
    <row r="1261" spans="1:52" x14ac:dyDescent="0.25">
      <c r="A1261" s="102" t="str">
        <f t="shared" si="384"/>
        <v>FSFAGSPQNIBDDSCM Goats MMN2O</v>
      </c>
      <c r="B1261" s="102" t="s">
        <v>1376</v>
      </c>
      <c r="C1261" s="102" t="s">
        <v>1330</v>
      </c>
      <c r="D1261" t="s">
        <v>15</v>
      </c>
      <c r="E1261" t="s">
        <v>657</v>
      </c>
      <c r="F1261" t="s">
        <v>19</v>
      </c>
      <c r="G1261" t="s">
        <v>123</v>
      </c>
      <c r="H1261" t="s">
        <v>1228</v>
      </c>
      <c r="I1261" t="s">
        <v>139</v>
      </c>
      <c r="J1261" t="s">
        <v>287</v>
      </c>
      <c r="K1261" s="28">
        <f t="shared" ref="K1261:AW1261" si="426">IFERROR(K1420-((K1420-K45)+(K1420-K198)+(K1420-K351)+(K1420-K503)+(K1420-K655)+(K1420-K806)+(K1420-K957)+(K1420-K1108)),0)</f>
        <v>0.1148405820648936</v>
      </c>
      <c r="L1261" s="28">
        <f t="shared" si="426"/>
        <v>0.11514011350567485</v>
      </c>
      <c r="M1261" s="28">
        <f t="shared" si="426"/>
        <v>0.1155392656833997</v>
      </c>
      <c r="N1261" s="28">
        <f t="shared" si="426"/>
        <v>0.11602916466089314</v>
      </c>
      <c r="O1261" s="28">
        <f t="shared" si="426"/>
        <v>0.11661569741548039</v>
      </c>
      <c r="P1261" s="28">
        <f t="shared" si="426"/>
        <v>0.11730042478237726</v>
      </c>
      <c r="Q1261" s="28">
        <f t="shared" si="426"/>
        <v>0.11803252457096508</v>
      </c>
      <c r="R1261" s="28">
        <f t="shared" si="426"/>
        <v>0.11880152835445074</v>
      </c>
      <c r="S1261" s="28">
        <f t="shared" si="426"/>
        <v>0.11951589909268844</v>
      </c>
      <c r="T1261" s="28">
        <f t="shared" si="426"/>
        <v>0.11985067498505422</v>
      </c>
      <c r="U1261" s="28">
        <f t="shared" si="426"/>
        <v>0.12021777530813667</v>
      </c>
      <c r="V1261" s="28">
        <f t="shared" si="426"/>
        <v>0.12061766592151543</v>
      </c>
      <c r="W1261" s="28">
        <f t="shared" si="426"/>
        <v>0.12105257842845937</v>
      </c>
      <c r="X1261" s="28">
        <f t="shared" si="426"/>
        <v>0.12151665723251566</v>
      </c>
      <c r="Y1261" s="28">
        <f t="shared" si="426"/>
        <v>0.12180999913638614</v>
      </c>
      <c r="Z1261" s="28">
        <f t="shared" si="426"/>
        <v>0.12212738015958056</v>
      </c>
      <c r="AA1261" s="28">
        <f t="shared" si="426"/>
        <v>0.12247011332796476</v>
      </c>
      <c r="AB1261" s="28">
        <f t="shared" si="426"/>
        <v>0.12283348022846115</v>
      </c>
      <c r="AC1261" s="28">
        <f t="shared" si="426"/>
        <v>0.12321893436871788</v>
      </c>
      <c r="AD1261" s="28">
        <f t="shared" si="426"/>
        <v>0.12347138123658526</v>
      </c>
      <c r="AE1261" s="28">
        <f t="shared" si="426"/>
        <v>0.12374516167400154</v>
      </c>
      <c r="AF1261" s="28">
        <f t="shared" si="426"/>
        <v>0.12403796116906533</v>
      </c>
      <c r="AG1261" s="28">
        <f t="shared" si="426"/>
        <v>0.12431666349684663</v>
      </c>
      <c r="AH1261" s="28">
        <f t="shared" si="426"/>
        <v>0.12309833034059625</v>
      </c>
      <c r="AI1261" s="28">
        <f t="shared" si="426"/>
        <v>0.12326134365006759</v>
      </c>
      <c r="AJ1261" s="28">
        <f t="shared" si="426"/>
        <v>0.12343897355541526</v>
      </c>
      <c r="AK1261" s="28">
        <f t="shared" si="426"/>
        <v>0.12363062646452125</v>
      </c>
      <c r="AL1261" s="28">
        <f t="shared" si="426"/>
        <v>0.12383575482759435</v>
      </c>
      <c r="AM1261" s="28">
        <f t="shared" si="426"/>
        <v>0.12405385272870395</v>
      </c>
      <c r="AN1261" s="28">
        <f t="shared" si="426"/>
        <v>0.12414747090602753</v>
      </c>
      <c r="AO1261" s="28">
        <f t="shared" si="426"/>
        <v>0.12425277290956782</v>
      </c>
      <c r="AP1261" s="28">
        <f t="shared" si="426"/>
        <v>0.12436931825964037</v>
      </c>
      <c r="AQ1261" s="28">
        <f t="shared" si="426"/>
        <v>0.12449669669450293</v>
      </c>
      <c r="AR1261" s="28">
        <f t="shared" si="426"/>
        <v>0.12463452558149747</v>
      </c>
      <c r="AS1261" s="28">
        <f t="shared" si="426"/>
        <v>0.12464527898318946</v>
      </c>
      <c r="AT1261" s="28">
        <f t="shared" si="426"/>
        <v>0.12466559573078972</v>
      </c>
      <c r="AU1261" s="28">
        <f t="shared" si="426"/>
        <v>0.12469513237521754</v>
      </c>
      <c r="AV1261" s="28">
        <f t="shared" si="426"/>
        <v>0.1247335664895077</v>
      </c>
      <c r="AW1261" s="28">
        <f t="shared" si="426"/>
        <v>0.12478059504017958</v>
      </c>
      <c r="AY1261" s="85"/>
      <c r="AZ1261" s="85"/>
    </row>
    <row r="1262" spans="1:52" x14ac:dyDescent="0.25">
      <c r="A1262" s="102" t="str">
        <f t="shared" si="384"/>
        <v>FSFAGSPQNIBDDSCM Horses MMN2O</v>
      </c>
      <c r="B1262" s="102" t="s">
        <v>1376</v>
      </c>
      <c r="C1262" s="102" t="s">
        <v>1331</v>
      </c>
      <c r="D1262" t="s">
        <v>15</v>
      </c>
      <c r="E1262" t="s">
        <v>657</v>
      </c>
      <c r="F1262" t="s">
        <v>20</v>
      </c>
      <c r="G1262" t="s">
        <v>3</v>
      </c>
      <c r="H1262" t="s">
        <v>1228</v>
      </c>
      <c r="I1262" t="s">
        <v>139</v>
      </c>
      <c r="J1262" t="s">
        <v>287</v>
      </c>
      <c r="K1262" s="28">
        <f t="shared" ref="K1262:AW1262" si="427">IFERROR(K1421-((K1421-K46)+(K1421-K199)+(K1421-K352)+(K1421-K504)+(K1421-K656)+(K1421-K807)+(K1421-K958)+(K1421-K1109)),0)</f>
        <v>0</v>
      </c>
      <c r="L1262" s="28">
        <f t="shared" si="427"/>
        <v>0</v>
      </c>
      <c r="M1262" s="28">
        <f t="shared" si="427"/>
        <v>0</v>
      </c>
      <c r="N1262" s="28">
        <f t="shared" si="427"/>
        <v>0</v>
      </c>
      <c r="O1262" s="28">
        <f t="shared" si="427"/>
        <v>0</v>
      </c>
      <c r="P1262" s="28">
        <f t="shared" si="427"/>
        <v>0</v>
      </c>
      <c r="Q1262" s="28">
        <f t="shared" si="427"/>
        <v>0</v>
      </c>
      <c r="R1262" s="28">
        <f t="shared" si="427"/>
        <v>0</v>
      </c>
      <c r="S1262" s="28">
        <f t="shared" si="427"/>
        <v>0</v>
      </c>
      <c r="T1262" s="28">
        <f t="shared" si="427"/>
        <v>0</v>
      </c>
      <c r="U1262" s="28">
        <f t="shared" si="427"/>
        <v>0</v>
      </c>
      <c r="V1262" s="28">
        <f t="shared" si="427"/>
        <v>0</v>
      </c>
      <c r="W1262" s="28">
        <f t="shared" si="427"/>
        <v>0</v>
      </c>
      <c r="X1262" s="28">
        <f t="shared" si="427"/>
        <v>0</v>
      </c>
      <c r="Y1262" s="28">
        <f t="shared" si="427"/>
        <v>0</v>
      </c>
      <c r="Z1262" s="28">
        <f t="shared" si="427"/>
        <v>0</v>
      </c>
      <c r="AA1262" s="28">
        <f t="shared" si="427"/>
        <v>0</v>
      </c>
      <c r="AB1262" s="28">
        <f t="shared" si="427"/>
        <v>0</v>
      </c>
      <c r="AC1262" s="28">
        <f t="shared" si="427"/>
        <v>0</v>
      </c>
      <c r="AD1262" s="28">
        <f t="shared" si="427"/>
        <v>0</v>
      </c>
      <c r="AE1262" s="28">
        <f t="shared" si="427"/>
        <v>0</v>
      </c>
      <c r="AF1262" s="28">
        <f t="shared" si="427"/>
        <v>0</v>
      </c>
      <c r="AG1262" s="28">
        <f t="shared" si="427"/>
        <v>0</v>
      </c>
      <c r="AH1262" s="28">
        <f t="shared" si="427"/>
        <v>0</v>
      </c>
      <c r="AI1262" s="28">
        <f t="shared" si="427"/>
        <v>0</v>
      </c>
      <c r="AJ1262" s="28">
        <f t="shared" si="427"/>
        <v>0</v>
      </c>
      <c r="AK1262" s="28">
        <f t="shared" si="427"/>
        <v>0</v>
      </c>
      <c r="AL1262" s="28">
        <f t="shared" si="427"/>
        <v>0</v>
      </c>
      <c r="AM1262" s="28">
        <f t="shared" si="427"/>
        <v>0</v>
      </c>
      <c r="AN1262" s="28">
        <f t="shared" si="427"/>
        <v>0</v>
      </c>
      <c r="AO1262" s="28">
        <f t="shared" si="427"/>
        <v>0</v>
      </c>
      <c r="AP1262" s="28">
        <f t="shared" si="427"/>
        <v>0</v>
      </c>
      <c r="AQ1262" s="28">
        <f t="shared" si="427"/>
        <v>0</v>
      </c>
      <c r="AR1262" s="28">
        <f t="shared" si="427"/>
        <v>0</v>
      </c>
      <c r="AS1262" s="28">
        <f t="shared" si="427"/>
        <v>0</v>
      </c>
      <c r="AT1262" s="28">
        <f t="shared" si="427"/>
        <v>0</v>
      </c>
      <c r="AU1262" s="28">
        <f t="shared" si="427"/>
        <v>0</v>
      </c>
      <c r="AV1262" s="28">
        <f t="shared" si="427"/>
        <v>0</v>
      </c>
      <c r="AW1262" s="28">
        <f t="shared" si="427"/>
        <v>0</v>
      </c>
      <c r="AY1262" s="85"/>
      <c r="AZ1262" s="85"/>
    </row>
    <row r="1263" spans="1:52" x14ac:dyDescent="0.25">
      <c r="A1263" s="102" t="str">
        <f t="shared" si="384"/>
        <v>FSFAGSPQNIBDDSCM Mules MMN2O</v>
      </c>
      <c r="B1263" s="102" t="s">
        <v>1376</v>
      </c>
      <c r="C1263" s="102" t="s">
        <v>1332</v>
      </c>
      <c r="D1263" t="s">
        <v>15</v>
      </c>
      <c r="E1263" t="s">
        <v>657</v>
      </c>
      <c r="F1263" t="s">
        <v>140</v>
      </c>
      <c r="G1263" t="s">
        <v>124</v>
      </c>
      <c r="H1263" t="s">
        <v>1228</v>
      </c>
      <c r="I1263" t="s">
        <v>139</v>
      </c>
      <c r="J1263" t="s">
        <v>287</v>
      </c>
      <c r="K1263" s="28">
        <f t="shared" ref="K1263:AW1263" si="428">IFERROR(K1422-((K1422-K47)+(K1422-K200)+(K1422-K353)+(K1422-K505)+(K1422-K657)+(K1422-K808)+(K1422-K959)+(K1422-K1110)),0)</f>
        <v>0</v>
      </c>
      <c r="L1263" s="28">
        <f t="shared" si="428"/>
        <v>0</v>
      </c>
      <c r="M1263" s="28">
        <f t="shared" si="428"/>
        <v>0</v>
      </c>
      <c r="N1263" s="28">
        <f t="shared" si="428"/>
        <v>0</v>
      </c>
      <c r="O1263" s="28">
        <f t="shared" si="428"/>
        <v>0</v>
      </c>
      <c r="P1263" s="28">
        <f t="shared" si="428"/>
        <v>0</v>
      </c>
      <c r="Q1263" s="28">
        <f t="shared" si="428"/>
        <v>0</v>
      </c>
      <c r="R1263" s="28">
        <f t="shared" si="428"/>
        <v>0</v>
      </c>
      <c r="S1263" s="28">
        <f t="shared" si="428"/>
        <v>0</v>
      </c>
      <c r="T1263" s="28">
        <f t="shared" si="428"/>
        <v>0</v>
      </c>
      <c r="U1263" s="28">
        <f t="shared" si="428"/>
        <v>0</v>
      </c>
      <c r="V1263" s="28">
        <f t="shared" si="428"/>
        <v>0</v>
      </c>
      <c r="W1263" s="28">
        <f t="shared" si="428"/>
        <v>0</v>
      </c>
      <c r="X1263" s="28">
        <f t="shared" si="428"/>
        <v>0</v>
      </c>
      <c r="Y1263" s="28">
        <f t="shared" si="428"/>
        <v>0</v>
      </c>
      <c r="Z1263" s="28">
        <f t="shared" si="428"/>
        <v>0</v>
      </c>
      <c r="AA1263" s="28">
        <f t="shared" si="428"/>
        <v>0</v>
      </c>
      <c r="AB1263" s="28">
        <f t="shared" si="428"/>
        <v>0</v>
      </c>
      <c r="AC1263" s="28">
        <f t="shared" si="428"/>
        <v>0</v>
      </c>
      <c r="AD1263" s="28">
        <f t="shared" si="428"/>
        <v>0</v>
      </c>
      <c r="AE1263" s="28">
        <f t="shared" si="428"/>
        <v>0</v>
      </c>
      <c r="AF1263" s="28">
        <f t="shared" si="428"/>
        <v>0</v>
      </c>
      <c r="AG1263" s="28">
        <f t="shared" si="428"/>
        <v>0</v>
      </c>
      <c r="AH1263" s="28">
        <f t="shared" si="428"/>
        <v>0</v>
      </c>
      <c r="AI1263" s="28">
        <f t="shared" si="428"/>
        <v>0</v>
      </c>
      <c r="AJ1263" s="28">
        <f t="shared" si="428"/>
        <v>0</v>
      </c>
      <c r="AK1263" s="28">
        <f t="shared" si="428"/>
        <v>0</v>
      </c>
      <c r="AL1263" s="28">
        <f t="shared" si="428"/>
        <v>0</v>
      </c>
      <c r="AM1263" s="28">
        <f t="shared" si="428"/>
        <v>0</v>
      </c>
      <c r="AN1263" s="28">
        <f t="shared" si="428"/>
        <v>0</v>
      </c>
      <c r="AO1263" s="28">
        <f t="shared" si="428"/>
        <v>0</v>
      </c>
      <c r="AP1263" s="28">
        <f t="shared" si="428"/>
        <v>0</v>
      </c>
      <c r="AQ1263" s="28">
        <f t="shared" si="428"/>
        <v>0</v>
      </c>
      <c r="AR1263" s="28">
        <f t="shared" si="428"/>
        <v>0</v>
      </c>
      <c r="AS1263" s="28">
        <f t="shared" si="428"/>
        <v>0</v>
      </c>
      <c r="AT1263" s="28">
        <f t="shared" si="428"/>
        <v>0</v>
      </c>
      <c r="AU1263" s="28">
        <f t="shared" si="428"/>
        <v>0</v>
      </c>
      <c r="AV1263" s="28">
        <f t="shared" si="428"/>
        <v>0</v>
      </c>
      <c r="AW1263" s="28">
        <f t="shared" si="428"/>
        <v>0</v>
      </c>
      <c r="AY1263" s="85"/>
      <c r="AZ1263" s="85"/>
    </row>
    <row r="1264" spans="1:52" x14ac:dyDescent="0.25">
      <c r="A1264" s="102" t="str">
        <f t="shared" si="384"/>
        <v>FSFAGSPQNIBDDSCM Swine MMN2O</v>
      </c>
      <c r="B1264" s="102" t="s">
        <v>1376</v>
      </c>
      <c r="C1264" s="102" t="s">
        <v>1234</v>
      </c>
      <c r="D1264" t="s">
        <v>15</v>
      </c>
      <c r="E1264" t="s">
        <v>657</v>
      </c>
      <c r="F1264" t="s">
        <v>21</v>
      </c>
      <c r="G1264" t="s">
        <v>122</v>
      </c>
      <c r="H1264" t="s">
        <v>1228</v>
      </c>
      <c r="I1264" t="s">
        <v>139</v>
      </c>
      <c r="J1264" t="s">
        <v>287</v>
      </c>
      <c r="K1264" s="28">
        <f t="shared" ref="K1264:AW1264" si="429">IFERROR(K1423-((K1423-K48)+(K1423-K201)+(K1423-K354)+(K1423-K506)+(K1423-K658)+(K1423-K809)+(K1423-K960)+(K1423-K1111)),0)</f>
        <v>9.8212070321961289E-2</v>
      </c>
      <c r="L1264" s="28">
        <f t="shared" si="429"/>
        <v>9.7902077304524535E-2</v>
      </c>
      <c r="M1264" s="28">
        <f t="shared" si="429"/>
        <v>9.6876932731570997E-2</v>
      </c>
      <c r="N1264" s="28">
        <f t="shared" si="429"/>
        <v>9.4886481944047557E-2</v>
      </c>
      <c r="O1264" s="28">
        <f t="shared" si="429"/>
        <v>9.2983120414683651E-2</v>
      </c>
      <c r="P1264" s="28">
        <f t="shared" si="429"/>
        <v>9.1647887851288232E-2</v>
      </c>
      <c r="Q1264" s="28">
        <f t="shared" si="429"/>
        <v>9.0517057242200105E-2</v>
      </c>
      <c r="R1264" s="28">
        <f t="shared" si="429"/>
        <v>8.8434751995252456E-2</v>
      </c>
      <c r="S1264" s="28">
        <f t="shared" si="429"/>
        <v>7.7417928691120311E-2</v>
      </c>
      <c r="T1264" s="28">
        <f t="shared" si="429"/>
        <v>7.7909888126779042E-2</v>
      </c>
      <c r="U1264" s="28">
        <f t="shared" si="429"/>
        <v>7.8156831608476335E-2</v>
      </c>
      <c r="V1264" s="28">
        <f t="shared" si="429"/>
        <v>7.8396909010436708E-2</v>
      </c>
      <c r="W1264" s="28">
        <f t="shared" si="429"/>
        <v>7.8983322674416961E-2</v>
      </c>
      <c r="X1264" s="28">
        <f t="shared" si="429"/>
        <v>7.9550022093927919E-2</v>
      </c>
      <c r="Y1264" s="28">
        <f t="shared" si="429"/>
        <v>8.0200171515553365E-2</v>
      </c>
      <c r="Z1264" s="28">
        <f t="shared" si="429"/>
        <v>8.0745873399241927E-2</v>
      </c>
      <c r="AA1264" s="28">
        <f t="shared" si="429"/>
        <v>8.1401680108403665E-2</v>
      </c>
      <c r="AB1264" s="28">
        <f t="shared" si="429"/>
        <v>8.1879069709822755E-2</v>
      </c>
      <c r="AC1264" s="28">
        <f t="shared" si="429"/>
        <v>8.2381241768892818E-2</v>
      </c>
      <c r="AD1264" s="28">
        <f t="shared" si="429"/>
        <v>8.3307469914568902E-2</v>
      </c>
      <c r="AE1264" s="28">
        <f t="shared" si="429"/>
        <v>8.4389455604936589E-2</v>
      </c>
      <c r="AF1264" s="28">
        <f t="shared" si="429"/>
        <v>8.5509115768420865E-2</v>
      </c>
      <c r="AG1264" s="28">
        <f t="shared" si="429"/>
        <v>8.4250717613193291E-2</v>
      </c>
      <c r="AH1264" s="28">
        <f t="shared" si="429"/>
        <v>-2.8426820502850808E-2</v>
      </c>
      <c r="AI1264" s="28">
        <f t="shared" si="429"/>
        <v>-2.8115877001178527E-2</v>
      </c>
      <c r="AJ1264" s="28">
        <f t="shared" si="429"/>
        <v>-2.7811593466985605E-2</v>
      </c>
      <c r="AK1264" s="28">
        <f t="shared" si="429"/>
        <v>-2.7513534213570397E-2</v>
      </c>
      <c r="AL1264" s="28">
        <f t="shared" si="429"/>
        <v>-2.7221295455261082E-2</v>
      </c>
      <c r="AM1264" s="28">
        <f t="shared" si="429"/>
        <v>-2.6934502222400951E-2</v>
      </c>
      <c r="AN1264" s="28">
        <f t="shared" si="429"/>
        <v>-2.6619947187312407E-2</v>
      </c>
      <c r="AO1264" s="28">
        <f t="shared" si="429"/>
        <v>-2.6310938201629927E-2</v>
      </c>
      <c r="AP1264" s="28">
        <f t="shared" si="429"/>
        <v>-2.600715135070272E-2</v>
      </c>
      <c r="AQ1264" s="28">
        <f t="shared" si="429"/>
        <v>-2.5708283877268884E-2</v>
      </c>
      <c r="AR1264" s="28">
        <f t="shared" si="429"/>
        <v>-2.5414052353403601E-2</v>
      </c>
      <c r="AS1264" s="28">
        <f t="shared" si="429"/>
        <v>-2.5093405862334557E-2</v>
      </c>
      <c r="AT1264" s="28">
        <f t="shared" si="429"/>
        <v>-2.4777656809122427E-2</v>
      </c>
      <c r="AU1264" s="28">
        <f t="shared" si="429"/>
        <v>-2.4466553104711776E-2</v>
      </c>
      <c r="AV1264" s="28">
        <f t="shared" si="429"/>
        <v>-2.415985755435068E-2</v>
      </c>
      <c r="AW1264" s="28">
        <f t="shared" si="429"/>
        <v>-2.3857346696324909E-2</v>
      </c>
      <c r="AY1264" s="85"/>
      <c r="AZ1264" s="85"/>
    </row>
    <row r="1265" spans="1:52" x14ac:dyDescent="0.25">
      <c r="A1265" s="102" t="str">
        <f t="shared" si="384"/>
        <v>FSFAGSPQNIBDDSCM Swine MMN2O</v>
      </c>
      <c r="B1265" s="102" t="s">
        <v>1376</v>
      </c>
      <c r="C1265" s="102" t="s">
        <v>1234</v>
      </c>
      <c r="D1265" t="s">
        <v>15</v>
      </c>
      <c r="E1265" t="s">
        <v>657</v>
      </c>
      <c r="F1265" t="s">
        <v>21</v>
      </c>
      <c r="G1265" t="s">
        <v>123</v>
      </c>
      <c r="H1265" t="s">
        <v>1228</v>
      </c>
      <c r="I1265" t="s">
        <v>139</v>
      </c>
      <c r="J1265" t="s">
        <v>287</v>
      </c>
      <c r="K1265" s="28">
        <f t="shared" ref="K1265:AW1265" si="430">IFERROR(K1424-((K1424-K49)+(K1424-K202)+(K1424-K355)+(K1424-K507)+(K1424-K659)+(K1424-K810)+(K1424-K961)+(K1424-K1112)),0)</f>
        <v>3.8422550388835235E-2</v>
      </c>
      <c r="L1265" s="28">
        <f t="shared" si="430"/>
        <v>3.8301274844051346E-2</v>
      </c>
      <c r="M1265" s="28">
        <f t="shared" si="430"/>
        <v>3.7900217531227944E-2</v>
      </c>
      <c r="N1265" s="28">
        <f t="shared" si="430"/>
        <v>3.712151288291534E-2</v>
      </c>
      <c r="O1265" s="28">
        <f t="shared" si="430"/>
        <v>3.6376879315672413E-2</v>
      </c>
      <c r="P1265" s="28">
        <f t="shared" si="430"/>
        <v>3.5854509302702606E-2</v>
      </c>
      <c r="Q1265" s="28">
        <f t="shared" si="430"/>
        <v>3.5412105472740686E-2</v>
      </c>
      <c r="R1265" s="28">
        <f t="shared" si="430"/>
        <v>3.4597465500143629E-2</v>
      </c>
      <c r="S1265" s="28">
        <f t="shared" si="430"/>
        <v>3.0287461168290553E-2</v>
      </c>
      <c r="T1265" s="28">
        <f t="shared" si="430"/>
        <v>3.0479925660118236E-2</v>
      </c>
      <c r="U1265" s="28">
        <f t="shared" si="430"/>
        <v>3.0576534949970324E-2</v>
      </c>
      <c r="V1265" s="28">
        <f t="shared" si="430"/>
        <v>3.0670458090413286E-2</v>
      </c>
      <c r="W1265" s="28">
        <f t="shared" si="430"/>
        <v>3.0899874988755002E-2</v>
      </c>
      <c r="X1265" s="28">
        <f t="shared" si="430"/>
        <v>3.1121579275510219E-2</v>
      </c>
      <c r="Y1265" s="28">
        <f t="shared" si="430"/>
        <v>3.1375930892687053E-2</v>
      </c>
      <c r="Z1265" s="28">
        <f t="shared" si="430"/>
        <v>3.1589420518295906E-2</v>
      </c>
      <c r="AA1265" s="28">
        <f t="shared" si="430"/>
        <v>3.1845985380898841E-2</v>
      </c>
      <c r="AB1265" s="28">
        <f t="shared" si="430"/>
        <v>3.2032749858579623E-2</v>
      </c>
      <c r="AC1265" s="28">
        <f t="shared" si="430"/>
        <v>3.222920973545864E-2</v>
      </c>
      <c r="AD1265" s="28">
        <f t="shared" si="430"/>
        <v>3.2591568939191247E-2</v>
      </c>
      <c r="AE1265" s="28">
        <f t="shared" si="430"/>
        <v>3.3014863647997064E-2</v>
      </c>
      <c r="AF1265" s="28">
        <f t="shared" si="430"/>
        <v>3.345289737347313E-2</v>
      </c>
      <c r="AG1265" s="28">
        <f t="shared" si="430"/>
        <v>3.2960586536628499E-2</v>
      </c>
      <c r="AH1265" s="28">
        <f t="shared" si="430"/>
        <v>-1.112114773249949E-2</v>
      </c>
      <c r="AI1265" s="28">
        <f t="shared" si="430"/>
        <v>-1.0999500339038397E-2</v>
      </c>
      <c r="AJ1265" s="28">
        <f t="shared" si="430"/>
        <v>-1.0880458459698174E-2</v>
      </c>
      <c r="AK1265" s="28">
        <f t="shared" si="430"/>
        <v>-1.0763851645019877E-2</v>
      </c>
      <c r="AL1265" s="28">
        <f t="shared" si="430"/>
        <v>-1.0649521925873338E-2</v>
      </c>
      <c r="AM1265" s="28">
        <f t="shared" si="430"/>
        <v>-1.0537322606536911E-2</v>
      </c>
      <c r="AN1265" s="28">
        <f t="shared" si="430"/>
        <v>-1.0414262308081425E-2</v>
      </c>
      <c r="AO1265" s="28">
        <f t="shared" si="430"/>
        <v>-1.0293371736443279E-2</v>
      </c>
      <c r="AP1265" s="28">
        <f t="shared" si="430"/>
        <v>-1.0174524169652843E-2</v>
      </c>
      <c r="AQ1265" s="28">
        <f t="shared" si="430"/>
        <v>-1.0057601162939404E-2</v>
      </c>
      <c r="AR1265" s="28">
        <f t="shared" si="430"/>
        <v>-9.9424918335602689E-3</v>
      </c>
      <c r="AS1265" s="28">
        <f t="shared" si="430"/>
        <v>-9.8170484341927999E-3</v>
      </c>
      <c r="AT1265" s="28">
        <f t="shared" si="430"/>
        <v>-9.6935210116723403E-3</v>
      </c>
      <c r="AU1265" s="28">
        <f t="shared" si="430"/>
        <v>-9.5718109436564065E-3</v>
      </c>
      <c r="AV1265" s="28">
        <f t="shared" si="430"/>
        <v>-9.4518254347556157E-3</v>
      </c>
      <c r="AW1265" s="28">
        <f t="shared" si="430"/>
        <v>-9.3334770622229783E-3</v>
      </c>
      <c r="AY1265" s="85"/>
      <c r="AZ1265" s="85"/>
    </row>
    <row r="1266" spans="1:52" x14ac:dyDescent="0.25">
      <c r="A1266" s="102" t="str">
        <f t="shared" si="384"/>
        <v>FSFAGSPQNIBDDSCM Poultry MMN2O</v>
      </c>
      <c r="B1266" s="102" t="s">
        <v>1376</v>
      </c>
      <c r="C1266" s="102" t="s">
        <v>1235</v>
      </c>
      <c r="D1266" t="s">
        <v>15</v>
      </c>
      <c r="E1266" t="s">
        <v>657</v>
      </c>
      <c r="F1266" t="s">
        <v>28</v>
      </c>
      <c r="G1266" t="s">
        <v>131</v>
      </c>
      <c r="H1266" t="s">
        <v>1228</v>
      </c>
      <c r="I1266" t="s">
        <v>139</v>
      </c>
      <c r="J1266" t="s">
        <v>287</v>
      </c>
      <c r="K1266" s="28">
        <f t="shared" ref="K1266:AW1266" si="431">IFERROR(K1425-((K1425-K50)+(K1425-K203)+(K1425-K356)+(K1425-K508)+(K1425-K660)+(K1425-K811)+(K1425-K962)+(K1425-K1113)),0)</f>
        <v>0.32963485119754937</v>
      </c>
      <c r="L1266" s="28">
        <f t="shared" si="431"/>
        <v>0.3367733222576253</v>
      </c>
      <c r="M1266" s="28">
        <f t="shared" si="431"/>
        <v>0.34252519941326248</v>
      </c>
      <c r="N1266" s="28">
        <f t="shared" si="431"/>
        <v>0.34628339258632435</v>
      </c>
      <c r="O1266" s="28">
        <f t="shared" si="431"/>
        <v>0.35009259651269609</v>
      </c>
      <c r="P1266" s="28">
        <f t="shared" si="431"/>
        <v>0.35500337907845531</v>
      </c>
      <c r="Q1266" s="28">
        <f t="shared" si="431"/>
        <v>0.36025498659562288</v>
      </c>
      <c r="R1266" s="28">
        <f t="shared" si="431"/>
        <v>0.36330907698293946</v>
      </c>
      <c r="S1266" s="28">
        <f t="shared" si="431"/>
        <v>0.34573940681489368</v>
      </c>
      <c r="T1266" s="28">
        <f t="shared" si="431"/>
        <v>0.35316196495857255</v>
      </c>
      <c r="U1266" s="28">
        <f t="shared" si="431"/>
        <v>0.36009092327704184</v>
      </c>
      <c r="V1266" s="28">
        <f t="shared" si="431"/>
        <v>0.36707458200076865</v>
      </c>
      <c r="W1266" s="28">
        <f t="shared" si="431"/>
        <v>0.37500055316657199</v>
      </c>
      <c r="X1266" s="28">
        <f t="shared" si="431"/>
        <v>0.38299236324087566</v>
      </c>
      <c r="Y1266" s="28">
        <f t="shared" si="431"/>
        <v>0.39099432975561715</v>
      </c>
      <c r="Z1266" s="28">
        <f t="shared" si="431"/>
        <v>0.398841954270029</v>
      </c>
      <c r="AA1266" s="28">
        <f t="shared" si="431"/>
        <v>0.40710661573230994</v>
      </c>
      <c r="AB1266" s="28">
        <f t="shared" si="431"/>
        <v>0.41500811589686409</v>
      </c>
      <c r="AC1266" s="28">
        <f t="shared" si="431"/>
        <v>0.42309700830126501</v>
      </c>
      <c r="AD1266" s="28">
        <f t="shared" si="431"/>
        <v>0.43226826232979193</v>
      </c>
      <c r="AE1266" s="28">
        <f t="shared" si="431"/>
        <v>0.44207160383339156</v>
      </c>
      <c r="AF1266" s="28">
        <f t="shared" si="431"/>
        <v>0.45218336296465478</v>
      </c>
      <c r="AG1266" s="28">
        <f t="shared" si="431"/>
        <v>0.4551931213650493</v>
      </c>
      <c r="AH1266" s="28">
        <f t="shared" si="431"/>
        <v>0.10910564018941009</v>
      </c>
      <c r="AI1266" s="28">
        <f t="shared" si="431"/>
        <v>0.10994420930696339</v>
      </c>
      <c r="AJ1266" s="28">
        <f t="shared" si="431"/>
        <v>0.11078888384654588</v>
      </c>
      <c r="AK1266" s="28">
        <f t="shared" si="431"/>
        <v>0.11163971029926273</v>
      </c>
      <c r="AL1266" s="28">
        <f t="shared" si="431"/>
        <v>0.11249673536734303</v>
      </c>
      <c r="AM1266" s="28">
        <f t="shared" si="431"/>
        <v>0.1133600059778764</v>
      </c>
      <c r="AN1266" s="28">
        <f t="shared" si="431"/>
        <v>0.11409797095001123</v>
      </c>
      <c r="AO1266" s="28">
        <f t="shared" si="431"/>
        <v>0.11484049120695125</v>
      </c>
      <c r="AP1266" s="28">
        <f t="shared" si="431"/>
        <v>0.11558759635865411</v>
      </c>
      <c r="AQ1266" s="28">
        <f t="shared" si="431"/>
        <v>0.11633931611415979</v>
      </c>
      <c r="AR1266" s="28">
        <f t="shared" si="431"/>
        <v>0.11709568028936261</v>
      </c>
      <c r="AS1266" s="28">
        <f t="shared" si="431"/>
        <v>0.11772147862106908</v>
      </c>
      <c r="AT1266" s="28">
        <f t="shared" si="431"/>
        <v>0.11835044728238052</v>
      </c>
      <c r="AU1266" s="28">
        <f t="shared" si="431"/>
        <v>0.11898260346877226</v>
      </c>
      <c r="AV1266" s="28">
        <f t="shared" si="431"/>
        <v>0.11961796440464827</v>
      </c>
      <c r="AW1266" s="28">
        <f t="shared" si="431"/>
        <v>0.12025654734797987</v>
      </c>
      <c r="AY1266" s="85"/>
      <c r="AZ1266" s="85"/>
    </row>
    <row r="1267" spans="1:52" x14ac:dyDescent="0.25">
      <c r="A1267" s="102" t="str">
        <f t="shared" si="384"/>
        <v>FSFAGSPQNIBDDSCM Poultry MMN2O</v>
      </c>
      <c r="B1267" s="102" t="s">
        <v>1376</v>
      </c>
      <c r="C1267" s="102" t="s">
        <v>1235</v>
      </c>
      <c r="D1267" t="s">
        <v>15</v>
      </c>
      <c r="E1267" t="s">
        <v>657</v>
      </c>
      <c r="F1267" t="s">
        <v>28</v>
      </c>
      <c r="G1267" t="s">
        <v>132</v>
      </c>
      <c r="H1267" t="s">
        <v>1228</v>
      </c>
      <c r="I1267" t="s">
        <v>139</v>
      </c>
      <c r="J1267" t="s">
        <v>287</v>
      </c>
      <c r="K1267" s="28">
        <f t="shared" ref="K1267:AW1267" si="432">IFERROR(K1426-((K1426-K51)+(K1426-K204)+(K1426-K357)+(K1426-K509)+(K1426-K661)+(K1426-K812)+(K1426-K963)+(K1426-K1114)),0)</f>
        <v>1.7216530294251391</v>
      </c>
      <c r="L1267" s="28">
        <f t="shared" si="432"/>
        <v>1.7495913852181326</v>
      </c>
      <c r="M1267" s="28">
        <f t="shared" si="432"/>
        <v>1.7578868664335328</v>
      </c>
      <c r="N1267" s="28">
        <f t="shared" si="432"/>
        <v>1.7392918980189422</v>
      </c>
      <c r="O1267" s="28">
        <f t="shared" si="432"/>
        <v>1.7207368558327785</v>
      </c>
      <c r="P1267" s="28">
        <f t="shared" si="432"/>
        <v>1.7153529254443873</v>
      </c>
      <c r="Q1267" s="28">
        <f t="shared" si="432"/>
        <v>1.7142313641539435</v>
      </c>
      <c r="R1267" s="28">
        <f t="shared" si="432"/>
        <v>1.6856374848225169</v>
      </c>
      <c r="S1267" s="28">
        <f t="shared" si="432"/>
        <v>1.4045469015643526</v>
      </c>
      <c r="T1267" s="28">
        <f t="shared" si="432"/>
        <v>1.4459775319383337</v>
      </c>
      <c r="U1267" s="28">
        <f t="shared" si="432"/>
        <v>1.480607974450509</v>
      </c>
      <c r="V1267" s="28">
        <f t="shared" si="432"/>
        <v>1.5151543903265086</v>
      </c>
      <c r="W1267" s="28">
        <f t="shared" si="432"/>
        <v>1.5601003686418904</v>
      </c>
      <c r="X1267" s="28">
        <f t="shared" si="432"/>
        <v>1.6049114332445515</v>
      </c>
      <c r="Y1267" s="28">
        <f t="shared" si="432"/>
        <v>1.6541109963656262</v>
      </c>
      <c r="Z1267" s="28">
        <f t="shared" si="432"/>
        <v>1.7006835408755379</v>
      </c>
      <c r="AA1267" s="28">
        <f t="shared" si="432"/>
        <v>1.7512278539533319</v>
      </c>
      <c r="AB1267" s="28">
        <f t="shared" si="432"/>
        <v>1.7968025285418052</v>
      </c>
      <c r="AC1267" s="28">
        <f t="shared" si="432"/>
        <v>1.8437229492039162</v>
      </c>
      <c r="AD1267" s="28">
        <f t="shared" si="432"/>
        <v>1.9060767826661782</v>
      </c>
      <c r="AE1267" s="28">
        <f t="shared" si="432"/>
        <v>1.9745333748476768</v>
      </c>
      <c r="AF1267" s="28">
        <f t="shared" si="432"/>
        <v>2.0454043901813557</v>
      </c>
      <c r="AG1267" s="28">
        <f t="shared" si="432"/>
        <v>2.0375124323750504</v>
      </c>
      <c r="AH1267" s="28">
        <f t="shared" si="432"/>
        <v>-1.7670360622808823</v>
      </c>
      <c r="AI1267" s="28">
        <f t="shared" si="432"/>
        <v>-1.769567863105443</v>
      </c>
      <c r="AJ1267" s="28">
        <f t="shared" si="432"/>
        <v>-1.7723139091947202</v>
      </c>
      <c r="AK1267" s="28">
        <f t="shared" si="432"/>
        <v>-1.775265259663616</v>
      </c>
      <c r="AL1267" s="28">
        <f t="shared" si="432"/>
        <v>-1.7784136680871927</v>
      </c>
      <c r="AM1267" s="28">
        <f t="shared" si="432"/>
        <v>-1.7817515157915651</v>
      </c>
      <c r="AN1267" s="28">
        <f t="shared" si="432"/>
        <v>-1.7831253143927157</v>
      </c>
      <c r="AO1267" s="28">
        <f t="shared" si="432"/>
        <v>-1.7846712895501273</v>
      </c>
      <c r="AP1267" s="28">
        <f t="shared" si="432"/>
        <v>-1.7863827557357852</v>
      </c>
      <c r="AQ1267" s="28">
        <f t="shared" si="432"/>
        <v>-1.788253486478437</v>
      </c>
      <c r="AR1267" s="28">
        <f t="shared" si="432"/>
        <v>-1.79027767491833</v>
      </c>
      <c r="AS1267" s="28">
        <f t="shared" si="432"/>
        <v>-1.7903062211735206</v>
      </c>
      <c r="AT1267" s="28">
        <f t="shared" si="432"/>
        <v>-1.7904768825126722</v>
      </c>
      <c r="AU1267" s="28">
        <f t="shared" si="432"/>
        <v>-1.7907844045675889</v>
      </c>
      <c r="AV1267" s="28">
        <f t="shared" si="432"/>
        <v>-1.7912238548642139</v>
      </c>
      <c r="AW1267" s="28">
        <f t="shared" si="432"/>
        <v>-1.7917905978217188</v>
      </c>
      <c r="AY1267" s="85"/>
      <c r="AZ1267" s="85"/>
    </row>
    <row r="1268" spans="1:52" x14ac:dyDescent="0.25">
      <c r="A1268" s="102" t="str">
        <f t="shared" si="384"/>
        <v>FSFAGSPQNIBDDSCM Poultry MMN2O</v>
      </c>
      <c r="B1268" s="102" t="s">
        <v>1376</v>
      </c>
      <c r="C1268" s="102" t="s">
        <v>1235</v>
      </c>
      <c r="D1268" t="s">
        <v>15</v>
      </c>
      <c r="E1268" t="s">
        <v>657</v>
      </c>
      <c r="F1268" t="s">
        <v>28</v>
      </c>
      <c r="G1268" t="s">
        <v>134</v>
      </c>
      <c r="H1268" t="s">
        <v>1228</v>
      </c>
      <c r="I1268" t="s">
        <v>139</v>
      </c>
      <c r="J1268" t="s">
        <v>287</v>
      </c>
      <c r="K1268" s="28">
        <f t="shared" ref="K1268:AW1268" si="433">IFERROR(K1427-((K1427-K52)+(K1427-K205)+(K1427-K358)+(K1427-K510)+(K1427-K662)+(K1427-K813)+(K1427-K964)+(K1427-K1115)),0)</f>
        <v>1.3734785466564569E-2</v>
      </c>
      <c r="L1268" s="28">
        <f t="shared" si="433"/>
        <v>1.40322217607344E-2</v>
      </c>
      <c r="M1268" s="28">
        <f t="shared" si="433"/>
        <v>1.4271883308885947E-2</v>
      </c>
      <c r="N1268" s="28">
        <f t="shared" si="433"/>
        <v>1.442847469109686E-2</v>
      </c>
      <c r="O1268" s="28">
        <f t="shared" si="433"/>
        <v>1.4587191521362352E-2</v>
      </c>
      <c r="P1268" s="28">
        <f t="shared" si="433"/>
        <v>1.4791807461602316E-2</v>
      </c>
      <c r="Q1268" s="28">
        <f t="shared" si="433"/>
        <v>1.5010624441484299E-2</v>
      </c>
      <c r="R1268" s="28">
        <f t="shared" si="433"/>
        <v>1.5137878207622494E-2</v>
      </c>
      <c r="S1268" s="28">
        <f t="shared" si="433"/>
        <v>1.4405808617287252E-2</v>
      </c>
      <c r="T1268" s="28">
        <f t="shared" si="433"/>
        <v>1.471508187327387E-2</v>
      </c>
      <c r="U1268" s="28">
        <f t="shared" si="433"/>
        <v>1.5003788469876761E-2</v>
      </c>
      <c r="V1268" s="28">
        <f t="shared" si="433"/>
        <v>1.5294774250032041E-2</v>
      </c>
      <c r="W1268" s="28">
        <f t="shared" si="433"/>
        <v>1.5625023048607179E-2</v>
      </c>
      <c r="X1268" s="28">
        <f t="shared" si="433"/>
        <v>1.5958015135036502E-2</v>
      </c>
      <c r="Y1268" s="28">
        <f t="shared" si="433"/>
        <v>1.6291430406484061E-2</v>
      </c>
      <c r="Z1268" s="28">
        <f t="shared" si="433"/>
        <v>1.6618414761251227E-2</v>
      </c>
      <c r="AA1268" s="28">
        <f t="shared" si="433"/>
        <v>1.6962775655512932E-2</v>
      </c>
      <c r="AB1268" s="28">
        <f t="shared" si="433"/>
        <v>1.7292004829036017E-2</v>
      </c>
      <c r="AC1268" s="28">
        <f t="shared" si="433"/>
        <v>1.7629042012552724E-2</v>
      </c>
      <c r="AD1268" s="28">
        <f t="shared" si="433"/>
        <v>1.8011177597074678E-2</v>
      </c>
      <c r="AE1268" s="28">
        <f t="shared" si="433"/>
        <v>1.8419650159724663E-2</v>
      </c>
      <c r="AF1268" s="28">
        <f t="shared" si="433"/>
        <v>1.884097345686063E-2</v>
      </c>
      <c r="AG1268" s="28">
        <f t="shared" si="433"/>
        <v>1.8966380056877074E-2</v>
      </c>
      <c r="AH1268" s="28">
        <f t="shared" si="433"/>
        <v>4.546068341225425E-3</v>
      </c>
      <c r="AI1268" s="28">
        <f t="shared" si="433"/>
        <v>4.5810087211234788E-3</v>
      </c>
      <c r="AJ1268" s="28">
        <f t="shared" si="433"/>
        <v>4.6162034936060832E-3</v>
      </c>
      <c r="AK1268" s="28">
        <f t="shared" si="433"/>
        <v>4.651654595802618E-3</v>
      </c>
      <c r="AL1268" s="28">
        <f t="shared" si="433"/>
        <v>4.6873639736392985E-3</v>
      </c>
      <c r="AM1268" s="28">
        <f t="shared" si="433"/>
        <v>4.7233335824115215E-3</v>
      </c>
      <c r="AN1268" s="28">
        <f t="shared" si="433"/>
        <v>4.7540821229171398E-3</v>
      </c>
      <c r="AO1268" s="28">
        <f t="shared" si="433"/>
        <v>4.7850204669563062E-3</v>
      </c>
      <c r="AP1268" s="28">
        <f t="shared" si="433"/>
        <v>4.8161498482772597E-3</v>
      </c>
      <c r="AQ1268" s="28">
        <f t="shared" si="433"/>
        <v>4.8474715047566626E-3</v>
      </c>
      <c r="AR1268" s="28">
        <f t="shared" si="433"/>
        <v>4.8789866787234456E-3</v>
      </c>
      <c r="AS1268" s="28">
        <f t="shared" si="433"/>
        <v>4.9050616092112158E-3</v>
      </c>
      <c r="AT1268" s="28">
        <f t="shared" si="433"/>
        <v>4.9312686367658596E-3</v>
      </c>
      <c r="AU1268" s="28">
        <f t="shared" si="433"/>
        <v>4.9576084778655159E-3</v>
      </c>
      <c r="AV1268" s="28">
        <f t="shared" si="433"/>
        <v>4.9840818501936824E-3</v>
      </c>
      <c r="AW1268" s="28">
        <f t="shared" si="433"/>
        <v>5.0106894728324993E-3</v>
      </c>
      <c r="AY1268" s="85"/>
      <c r="AZ1268" s="85"/>
    </row>
    <row r="1269" spans="1:52" x14ac:dyDescent="0.25">
      <c r="A1269" s="102" t="str">
        <f t="shared" si="384"/>
        <v>FSFAGSPQNIBDDSCM Poultry MMN2O</v>
      </c>
      <c r="B1269" s="102" t="s">
        <v>1376</v>
      </c>
      <c r="C1269" s="102" t="s">
        <v>1235</v>
      </c>
      <c r="D1269" t="s">
        <v>15</v>
      </c>
      <c r="E1269" t="s">
        <v>657</v>
      </c>
      <c r="F1269" t="s">
        <v>28</v>
      </c>
      <c r="G1269" t="s">
        <v>133</v>
      </c>
      <c r="H1269" t="s">
        <v>1228</v>
      </c>
      <c r="I1269" t="s">
        <v>139</v>
      </c>
      <c r="J1269" t="s">
        <v>287</v>
      </c>
      <c r="K1269" s="28">
        <f t="shared" ref="K1269:AW1269" si="434">IFERROR(K1428-((K1428-K53)+(K1428-K206)+(K1428-K359)+(K1428-K511)+(K1428-K663)+(K1428-K814)+(K1428-K965)+(K1428-K1116)),0)</f>
        <v>7.1735542892714194E-2</v>
      </c>
      <c r="L1269" s="28">
        <f t="shared" si="434"/>
        <v>7.2899641050755595E-2</v>
      </c>
      <c r="M1269" s="28">
        <f t="shared" si="434"/>
        <v>7.3245286101397272E-2</v>
      </c>
      <c r="N1269" s="28">
        <f t="shared" si="434"/>
        <v>7.2470495750789329E-2</v>
      </c>
      <c r="O1269" s="28">
        <f t="shared" si="434"/>
        <v>7.1697368993032501E-2</v>
      </c>
      <c r="P1269" s="28">
        <f t="shared" si="434"/>
        <v>7.1473038560182875E-2</v>
      </c>
      <c r="Q1269" s="28">
        <f t="shared" si="434"/>
        <v>7.1426306839747711E-2</v>
      </c>
      <c r="R1269" s="28">
        <f t="shared" si="434"/>
        <v>7.0234895200938272E-2</v>
      </c>
      <c r="S1269" s="28">
        <f t="shared" si="434"/>
        <v>5.8522787565181415E-2</v>
      </c>
      <c r="T1269" s="28">
        <f t="shared" si="434"/>
        <v>6.0249063830763963E-2</v>
      </c>
      <c r="U1269" s="28">
        <f t="shared" si="434"/>
        <v>6.1691998935437933E-2</v>
      </c>
      <c r="V1269" s="28">
        <f t="shared" si="434"/>
        <v>6.313143293027125E-2</v>
      </c>
      <c r="W1269" s="28">
        <f t="shared" si="434"/>
        <v>6.5004182026745502E-2</v>
      </c>
      <c r="X1269" s="28">
        <f t="shared" si="434"/>
        <v>6.6871309718523023E-2</v>
      </c>
      <c r="Y1269" s="28">
        <f t="shared" si="434"/>
        <v>6.8921291515234503E-2</v>
      </c>
      <c r="Z1269" s="28">
        <f t="shared" si="434"/>
        <v>7.086181420314748E-2</v>
      </c>
      <c r="AA1269" s="28">
        <f t="shared" si="434"/>
        <v>7.2967827248055561E-2</v>
      </c>
      <c r="AB1269" s="28">
        <f t="shared" si="434"/>
        <v>7.4866772022575287E-2</v>
      </c>
      <c r="AC1269" s="28">
        <f t="shared" si="434"/>
        <v>7.682178955016325E-2</v>
      </c>
      <c r="AD1269" s="28">
        <f t="shared" si="434"/>
        <v>7.9419865944424156E-2</v>
      </c>
      <c r="AE1269" s="28">
        <f t="shared" si="434"/>
        <v>8.2272223951986606E-2</v>
      </c>
      <c r="AF1269" s="28">
        <f t="shared" si="434"/>
        <v>8.5225182924223236E-2</v>
      </c>
      <c r="AG1269" s="28">
        <f t="shared" si="434"/>
        <v>8.4896351348960508E-2</v>
      </c>
      <c r="AH1269" s="28">
        <f t="shared" si="434"/>
        <v>-7.3626502595036822E-2</v>
      </c>
      <c r="AI1269" s="28">
        <f t="shared" si="434"/>
        <v>-7.3731994296060199E-2</v>
      </c>
      <c r="AJ1269" s="28">
        <f t="shared" si="434"/>
        <v>-7.3846412883113402E-2</v>
      </c>
      <c r="AK1269" s="28">
        <f t="shared" si="434"/>
        <v>-7.3969385819317404E-2</v>
      </c>
      <c r="AL1269" s="28">
        <f t="shared" si="434"/>
        <v>-7.4100569503633099E-2</v>
      </c>
      <c r="AM1269" s="28">
        <f t="shared" si="434"/>
        <v>-7.4239646491315286E-2</v>
      </c>
      <c r="AN1269" s="28">
        <f t="shared" si="434"/>
        <v>-7.4296888099696562E-2</v>
      </c>
      <c r="AO1269" s="28">
        <f t="shared" si="434"/>
        <v>-7.4361303731255379E-2</v>
      </c>
      <c r="AP1269" s="28">
        <f t="shared" si="434"/>
        <v>-7.4432614822324453E-2</v>
      </c>
      <c r="AQ1269" s="28">
        <f t="shared" si="434"/>
        <v>-7.4510561936601619E-2</v>
      </c>
      <c r="AR1269" s="28">
        <f t="shared" si="434"/>
        <v>-7.4594903121597153E-2</v>
      </c>
      <c r="AS1269" s="28">
        <f t="shared" si="434"/>
        <v>-7.4596092548896764E-2</v>
      </c>
      <c r="AT1269" s="28">
        <f t="shared" si="434"/>
        <v>-7.4603203438028065E-2</v>
      </c>
      <c r="AU1269" s="28">
        <f t="shared" si="434"/>
        <v>-7.4616016856982936E-2</v>
      </c>
      <c r="AV1269" s="28">
        <f t="shared" si="434"/>
        <v>-7.4634327286008981E-2</v>
      </c>
      <c r="AW1269" s="28">
        <f t="shared" si="434"/>
        <v>-7.465794157590501E-2</v>
      </c>
      <c r="AY1269" s="85"/>
      <c r="AZ1269" s="85"/>
    </row>
    <row r="1270" spans="1:52" x14ac:dyDescent="0.25">
      <c r="A1270" s="102" t="str">
        <f t="shared" si="384"/>
        <v>FSFAGSPQNIBDDSCM Synthetic</v>
      </c>
      <c r="B1270" s="102" t="s">
        <v>1376</v>
      </c>
      <c r="C1270" s="102" t="s">
        <v>1127</v>
      </c>
      <c r="D1270" t="s">
        <v>369</v>
      </c>
      <c r="E1270" t="s">
        <v>55</v>
      </c>
      <c r="H1270" t="s">
        <v>419</v>
      </c>
      <c r="I1270" t="s">
        <v>139</v>
      </c>
      <c r="J1270" t="s">
        <v>287</v>
      </c>
      <c r="K1270" s="28">
        <f t="shared" ref="K1270:AW1270" si="435">IFERROR(K1463-((K1463-K54)+(K1463-K207)+(K1463-K360)+(K1463-K512)+(K1463-K664)+(K1463-K815)+(K1463-K966)+(K1463-K1117)),0)</f>
        <v>6.6064812063358538</v>
      </c>
      <c r="L1270" s="28">
        <f t="shared" si="435"/>
        <v>6.6055332632324646</v>
      </c>
      <c r="M1270" s="28">
        <f t="shared" si="435"/>
        <v>6.6042378924026437</v>
      </c>
      <c r="N1270" s="28">
        <f t="shared" si="435"/>
        <v>6.6032976249569808</v>
      </c>
      <c r="O1270" s="28">
        <f t="shared" si="435"/>
        <v>6.6028397217143464</v>
      </c>
      <c r="P1270" s="28">
        <f t="shared" si="435"/>
        <v>6.6023877667619955</v>
      </c>
      <c r="Q1270" s="28">
        <f t="shared" si="435"/>
        <v>6.6017040685586048</v>
      </c>
      <c r="R1270" s="28">
        <f t="shared" si="435"/>
        <v>6.6009555191940086</v>
      </c>
      <c r="S1270" s="28">
        <f t="shared" si="435"/>
        <v>6.6007105452260202</v>
      </c>
      <c r="T1270" s="28">
        <f t="shared" si="435"/>
        <v>6.4896191395454546</v>
      </c>
      <c r="U1270" s="28">
        <f t="shared" si="435"/>
        <v>6.3726734540308447</v>
      </c>
      <c r="V1270" s="28">
        <f t="shared" si="435"/>
        <v>6.255911117503933</v>
      </c>
      <c r="W1270" s="28">
        <f t="shared" si="435"/>
        <v>6.1392038299033427</v>
      </c>
      <c r="X1270" s="28">
        <f t="shared" si="435"/>
        <v>6.0223715711644275</v>
      </c>
      <c r="Y1270" s="28">
        <f t="shared" si="435"/>
        <v>5.9056034850655719</v>
      </c>
      <c r="Z1270" s="28">
        <f t="shared" si="435"/>
        <v>5.7888678011625343</v>
      </c>
      <c r="AA1270" s="28">
        <f t="shared" si="435"/>
        <v>5.672235180466922</v>
      </c>
      <c r="AB1270" s="28">
        <f t="shared" si="435"/>
        <v>5.5556011676691686</v>
      </c>
      <c r="AC1270" s="28">
        <f t="shared" si="435"/>
        <v>5.4391016958220888</v>
      </c>
      <c r="AD1270" s="28">
        <f t="shared" si="435"/>
        <v>5.3226393274420882</v>
      </c>
      <c r="AE1270" s="28">
        <f t="shared" si="435"/>
        <v>5.2060499728192022</v>
      </c>
      <c r="AF1270" s="28">
        <f t="shared" si="435"/>
        <v>5.0894480440333094</v>
      </c>
      <c r="AG1270" s="28">
        <f t="shared" si="435"/>
        <v>4.9728882637696117</v>
      </c>
      <c r="AH1270" s="28">
        <f t="shared" si="435"/>
        <v>4.8573774435149089</v>
      </c>
      <c r="AI1270" s="28">
        <f t="shared" si="435"/>
        <v>4.8415933568151894</v>
      </c>
      <c r="AJ1270" s="28">
        <f t="shared" si="435"/>
        <v>4.7240874512813242</v>
      </c>
      <c r="AK1270" s="28">
        <f t="shared" si="435"/>
        <v>4.6065747532697499</v>
      </c>
      <c r="AL1270" s="28">
        <f t="shared" si="435"/>
        <v>4.4890551513582384</v>
      </c>
      <c r="AM1270" s="28">
        <f t="shared" si="435"/>
        <v>4.371528532076681</v>
      </c>
      <c r="AN1270" s="28">
        <f t="shared" si="435"/>
        <v>4.3716942401715801</v>
      </c>
      <c r="AO1270" s="28">
        <f t="shared" si="435"/>
        <v>4.3718362825738559</v>
      </c>
      <c r="AP1270" s="28">
        <f t="shared" si="435"/>
        <v>4.3719796134442888</v>
      </c>
      <c r="AQ1270" s="28">
        <f t="shared" si="435"/>
        <v>4.372124248199821</v>
      </c>
      <c r="AR1270" s="28">
        <f t="shared" si="435"/>
        <v>4.3722702025103173</v>
      </c>
      <c r="AS1270" s="28">
        <f t="shared" si="435"/>
        <v>4.3724174923040726</v>
      </c>
      <c r="AT1270" s="28">
        <f t="shared" si="435"/>
        <v>4.3725396303841659</v>
      </c>
      <c r="AU1270" s="28">
        <f t="shared" si="435"/>
        <v>4.3726626917180251</v>
      </c>
      <c r="AV1270" s="28">
        <f t="shared" si="435"/>
        <v>4.3727866855732733</v>
      </c>
      <c r="AW1270" s="28">
        <f t="shared" si="435"/>
        <v>4.3729116213455059</v>
      </c>
      <c r="AY1270" s="85"/>
      <c r="AZ1270" s="85"/>
    </row>
    <row r="1271" spans="1:52" x14ac:dyDescent="0.25">
      <c r="A1271" s="102" t="str">
        <f t="shared" si="384"/>
        <v>FSFAGSPQNIBDDSCM Organic</v>
      </c>
      <c r="B1271" s="102" t="s">
        <v>1376</v>
      </c>
      <c r="C1271" s="102" t="s">
        <v>1128</v>
      </c>
      <c r="D1271" t="s">
        <v>369</v>
      </c>
      <c r="E1271" t="s">
        <v>55</v>
      </c>
      <c r="H1271" t="s">
        <v>420</v>
      </c>
      <c r="I1271" t="s">
        <v>139</v>
      </c>
      <c r="J1271" t="s">
        <v>287</v>
      </c>
      <c r="K1271" s="28">
        <f t="shared" ref="K1271:AW1271" si="436">IFERROR(K1464-((K1464-K55)+(K1464-K208)+(K1464-K361)+(K1464-K513)+(K1464-K665)+(K1464-K816)+(K1464-K967)+(K1464-K1118)),0)</f>
        <v>4.3602775961816637E-2</v>
      </c>
      <c r="L1271" s="28">
        <f t="shared" si="436"/>
        <v>4.3596519537334268E-2</v>
      </c>
      <c r="M1271" s="28">
        <f t="shared" si="436"/>
        <v>4.3587970089857465E-2</v>
      </c>
      <c r="N1271" s="28">
        <f t="shared" si="436"/>
        <v>4.3581764324716096E-2</v>
      </c>
      <c r="O1271" s="28">
        <f t="shared" si="436"/>
        <v>4.3578742163314678E-2</v>
      </c>
      <c r="P1271" s="28">
        <f t="shared" si="436"/>
        <v>4.3575759260629177E-2</v>
      </c>
      <c r="Q1271" s="28">
        <f t="shared" si="436"/>
        <v>4.3571246852486797E-2</v>
      </c>
      <c r="R1271" s="28">
        <f t="shared" si="436"/>
        <v>4.3566306426680468E-2</v>
      </c>
      <c r="S1271" s="28">
        <f t="shared" si="436"/>
        <v>4.3564689598491746E-2</v>
      </c>
      <c r="T1271" s="28">
        <f t="shared" si="436"/>
        <v>4.2831486321000006E-2</v>
      </c>
      <c r="U1271" s="28">
        <f t="shared" si="436"/>
        <v>4.2059644796603582E-2</v>
      </c>
      <c r="V1271" s="28">
        <f t="shared" si="436"/>
        <v>4.1289013375525964E-2</v>
      </c>
      <c r="W1271" s="28">
        <f t="shared" si="436"/>
        <v>4.0518745277362073E-2</v>
      </c>
      <c r="X1271" s="28">
        <f t="shared" si="436"/>
        <v>3.9747652369685221E-2</v>
      </c>
      <c r="Y1271" s="28">
        <f t="shared" si="436"/>
        <v>3.8976983001432777E-2</v>
      </c>
      <c r="Z1271" s="28">
        <f t="shared" si="436"/>
        <v>3.820652748767274E-2</v>
      </c>
      <c r="AA1271" s="28">
        <f t="shared" si="436"/>
        <v>3.7436752191081682E-2</v>
      </c>
      <c r="AB1271" s="28">
        <f t="shared" si="436"/>
        <v>3.6666967706616517E-2</v>
      </c>
      <c r="AC1271" s="28">
        <f t="shared" si="436"/>
        <v>3.5898071192425787E-2</v>
      </c>
      <c r="AD1271" s="28">
        <f t="shared" si="436"/>
        <v>3.5129419561117793E-2</v>
      </c>
      <c r="AE1271" s="28">
        <f t="shared" si="436"/>
        <v>3.4359929820606733E-2</v>
      </c>
      <c r="AF1271" s="28">
        <f t="shared" si="436"/>
        <v>3.3590357090619839E-2</v>
      </c>
      <c r="AG1271" s="28">
        <f t="shared" si="436"/>
        <v>3.2821062540879443E-2</v>
      </c>
      <c r="AH1271" s="28">
        <f t="shared" si="436"/>
        <v>3.2058691127198398E-2</v>
      </c>
      <c r="AI1271" s="28">
        <f t="shared" si="436"/>
        <v>3.1954516154980253E-2</v>
      </c>
      <c r="AJ1271" s="28">
        <f t="shared" si="436"/>
        <v>3.1178977178456756E-2</v>
      </c>
      <c r="AK1271" s="28">
        <f t="shared" si="436"/>
        <v>3.0403393371580358E-2</v>
      </c>
      <c r="AL1271" s="28">
        <f t="shared" si="436"/>
        <v>2.9627763998964374E-2</v>
      </c>
      <c r="AM1271" s="28">
        <f t="shared" si="436"/>
        <v>2.88520883117061E-2</v>
      </c>
      <c r="AN1271" s="28">
        <f t="shared" si="436"/>
        <v>2.8853181985132436E-2</v>
      </c>
      <c r="AO1271" s="28">
        <f t="shared" si="436"/>
        <v>2.8854119464987456E-2</v>
      </c>
      <c r="AP1271" s="28">
        <f t="shared" si="436"/>
        <v>2.8855065448732311E-2</v>
      </c>
      <c r="AQ1271" s="28">
        <f t="shared" si="436"/>
        <v>2.8856020038118824E-2</v>
      </c>
      <c r="AR1271" s="28">
        <f t="shared" si="436"/>
        <v>2.8856983336568096E-2</v>
      </c>
      <c r="AS1271" s="28">
        <f t="shared" si="436"/>
        <v>2.8857955449206881E-2</v>
      </c>
      <c r="AT1271" s="28">
        <f t="shared" si="436"/>
        <v>2.88587615605355E-2</v>
      </c>
      <c r="AU1271" s="28">
        <f t="shared" si="436"/>
        <v>2.8859573765338969E-2</v>
      </c>
      <c r="AV1271" s="28">
        <f t="shared" si="436"/>
        <v>2.8860392124783602E-2</v>
      </c>
      <c r="AW1271" s="28">
        <f t="shared" si="436"/>
        <v>2.8861216700880342E-2</v>
      </c>
      <c r="AY1271" s="85"/>
      <c r="AZ1271" s="85"/>
    </row>
    <row r="1272" spans="1:52" x14ac:dyDescent="0.25">
      <c r="A1272" s="102" t="str">
        <f t="shared" si="384"/>
        <v>FSFAGSPQNIBDDSCM Crop residues</v>
      </c>
      <c r="B1272" s="102" t="s">
        <v>1376</v>
      </c>
      <c r="C1272" s="102" t="s">
        <v>58</v>
      </c>
      <c r="D1272" t="str">
        <f t="shared" ref="D1272" si="437">D1271</f>
        <v>3C Aggregated and non-CO2 emissions on land</v>
      </c>
      <c r="E1272" t="str">
        <f>E1271</f>
        <v>3C4 Direct N2O from managed soils (N2O)</v>
      </c>
      <c r="H1272" t="s">
        <v>58</v>
      </c>
      <c r="I1272" t="str">
        <f>I1271</f>
        <v>N2O</v>
      </c>
      <c r="J1272" t="str">
        <f>J1271</f>
        <v>Gg N2O</v>
      </c>
      <c r="K1272" s="28">
        <f t="shared" ref="K1272:AW1272" si="438">IFERROR(K1465-((K1465-K56)+(K1465-K209)+(K1465-K362)+(K1465-K514)+(K1465-K666)+(K1465-K817)+(K1465-K968)+(K1465-K1119)),0)</f>
        <v>2.94930909510781</v>
      </c>
      <c r="L1272" s="28">
        <f t="shared" si="438"/>
        <v>2.9563860470471841</v>
      </c>
      <c r="M1272" s="28">
        <f t="shared" si="438"/>
        <v>2.9660567509887259</v>
      </c>
      <c r="N1272" s="28">
        <f t="shared" si="438"/>
        <v>2.9730763996357101</v>
      </c>
      <c r="O1272" s="28">
        <f t="shared" si="438"/>
        <v>2.9764949162422756</v>
      </c>
      <c r="P1272" s="28">
        <f t="shared" si="438"/>
        <v>2.9798690253687776</v>
      </c>
      <c r="Q1272" s="28">
        <f t="shared" si="438"/>
        <v>2.9849732339537955</v>
      </c>
      <c r="R1272" s="28">
        <f t="shared" si="438"/>
        <v>2.9905615945405919</v>
      </c>
      <c r="S1272" s="28">
        <f t="shared" si="438"/>
        <v>2.9923904690707688</v>
      </c>
      <c r="T1272" s="28">
        <f t="shared" si="438"/>
        <v>2.9587970068183171</v>
      </c>
      <c r="U1272" s="28">
        <f t="shared" si="438"/>
        <v>2.9692759442185355</v>
      </c>
      <c r="V1272" s="28">
        <f t="shared" si="438"/>
        <v>2.9786973142789162</v>
      </c>
      <c r="W1272" s="28">
        <f t="shared" si="438"/>
        <v>2.9880313460490315</v>
      </c>
      <c r="X1272" s="28">
        <f t="shared" si="438"/>
        <v>2.9987458425292064</v>
      </c>
      <c r="Y1272" s="28">
        <f t="shared" si="438"/>
        <v>3.0093440495500001</v>
      </c>
      <c r="Z1272" s="28">
        <f t="shared" si="438"/>
        <v>3.0200893059451359</v>
      </c>
      <c r="AA1272" s="28">
        <f t="shared" si="438"/>
        <v>3.0303771863022528</v>
      </c>
      <c r="AB1272" s="28">
        <f t="shared" si="438"/>
        <v>3.0411047920866441</v>
      </c>
      <c r="AC1272" s="28">
        <f t="shared" si="438"/>
        <v>3.0510700208983077</v>
      </c>
      <c r="AD1272" s="28">
        <f t="shared" si="438"/>
        <v>3.0611241461036762</v>
      </c>
      <c r="AE1272" s="28">
        <f t="shared" si="438"/>
        <v>3.0728237412547079</v>
      </c>
      <c r="AF1272" s="28">
        <f t="shared" si="438"/>
        <v>3.0851749342584296</v>
      </c>
      <c r="AG1272" s="28">
        <f t="shared" si="438"/>
        <v>3.0976819263158513</v>
      </c>
      <c r="AH1272" s="28">
        <f t="shared" si="438"/>
        <v>3.100164026523585</v>
      </c>
      <c r="AI1272" s="28">
        <f t="shared" si="438"/>
        <v>2.0687131319155303</v>
      </c>
      <c r="AJ1272" s="28">
        <f t="shared" si="438"/>
        <v>2.0668883322133484</v>
      </c>
      <c r="AK1272" s="28">
        <f t="shared" si="438"/>
        <v>2.0650443235262905</v>
      </c>
      <c r="AL1272" s="28">
        <f t="shared" si="438"/>
        <v>2.0631808412261146</v>
      </c>
      <c r="AM1272" s="28">
        <f t="shared" si="438"/>
        <v>2.0612976157071592</v>
      </c>
      <c r="AN1272" s="28">
        <f t="shared" si="438"/>
        <v>2.0593943722621146</v>
      </c>
      <c r="AO1272" s="28">
        <f t="shared" si="438"/>
        <v>2.0577629415754459</v>
      </c>
      <c r="AP1272" s="28">
        <f t="shared" si="438"/>
        <v>2.056116712163484</v>
      </c>
      <c r="AQ1272" s="28">
        <f t="shared" si="438"/>
        <v>2.0544555069546533</v>
      </c>
      <c r="AR1272" s="28">
        <f t="shared" si="438"/>
        <v>2.0527791459724298</v>
      </c>
      <c r="AS1272" s="28">
        <f t="shared" si="438"/>
        <v>2.0510874462720836</v>
      </c>
      <c r="AT1272" s="28">
        <f t="shared" si="438"/>
        <v>2.0496846270527396</v>
      </c>
      <c r="AU1272" s="28">
        <f t="shared" si="438"/>
        <v>2.0482712037848629</v>
      </c>
      <c r="AV1272" s="28">
        <f t="shared" si="438"/>
        <v>2.0468470700250148</v>
      </c>
      <c r="AW1272" s="28">
        <f t="shared" si="438"/>
        <v>2.0454121178598972</v>
      </c>
      <c r="AY1272" s="85"/>
      <c r="AZ1272" s="85"/>
    </row>
    <row r="1273" spans="1:52" x14ac:dyDescent="0.25">
      <c r="A1273" s="102" t="str">
        <f t="shared" si="384"/>
        <v>FSFAGSPQNIBDDSCM Organic</v>
      </c>
      <c r="B1273" s="102" t="s">
        <v>1376</v>
      </c>
      <c r="C1273" s="102" t="s">
        <v>1128</v>
      </c>
      <c r="D1273" t="s">
        <v>369</v>
      </c>
      <c r="E1273" t="s">
        <v>55</v>
      </c>
      <c r="F1273" t="s">
        <v>421</v>
      </c>
      <c r="G1273" t="s">
        <v>1153</v>
      </c>
      <c r="H1273" t="s">
        <v>1154</v>
      </c>
      <c r="I1273" t="s">
        <v>139</v>
      </c>
      <c r="J1273" t="s">
        <v>287</v>
      </c>
      <c r="K1273" s="28">
        <f t="shared" ref="K1273:AW1273" si="439">IFERROR(K1466-((K1466-K57)+(K1466-K210)+(K1466-K363)+(K1466-K515)+(K1466-K667)+(K1466-K818)+(K1466-K969)+(K1466-K1120)),0)</f>
        <v>0.31935878855248062</v>
      </c>
      <c r="L1273" s="28">
        <f t="shared" si="439"/>
        <v>0.3213452540874065</v>
      </c>
      <c r="M1273" s="28">
        <f t="shared" si="439"/>
        <v>0.32271097650720204</v>
      </c>
      <c r="N1273" s="28">
        <f t="shared" si="439"/>
        <v>0.32313928716206192</v>
      </c>
      <c r="O1273" s="28">
        <f t="shared" si="439"/>
        <v>0.32371872756630715</v>
      </c>
      <c r="P1273" s="28">
        <f t="shared" si="439"/>
        <v>0.32498792219339984</v>
      </c>
      <c r="Q1273" s="28">
        <f t="shared" si="439"/>
        <v>0.32650955781340663</v>
      </c>
      <c r="R1273" s="28">
        <f t="shared" si="439"/>
        <v>0.32696667302614263</v>
      </c>
      <c r="S1273" s="28">
        <f t="shared" si="439"/>
        <v>0.31692886960594807</v>
      </c>
      <c r="T1273" s="28">
        <f t="shared" si="439"/>
        <v>0.31143578914293968</v>
      </c>
      <c r="U1273" s="28">
        <f t="shared" si="439"/>
        <v>0.30569470131010701</v>
      </c>
      <c r="V1273" s="28">
        <f t="shared" si="439"/>
        <v>0.29998043463626745</v>
      </c>
      <c r="W1273" s="28">
        <f t="shared" si="439"/>
        <v>0.29468809012988662</v>
      </c>
      <c r="X1273" s="28">
        <f t="shared" si="439"/>
        <v>0.28939183814772396</v>
      </c>
      <c r="Y1273" s="28">
        <f t="shared" si="439"/>
        <v>0.28397545558392068</v>
      </c>
      <c r="Z1273" s="28">
        <f t="shared" si="439"/>
        <v>0.2784640667042606</v>
      </c>
      <c r="AA1273" s="28">
        <f t="shared" si="439"/>
        <v>0.27308988868752082</v>
      </c>
      <c r="AB1273" s="28">
        <f t="shared" si="439"/>
        <v>0.26753835196844916</v>
      </c>
      <c r="AC1273" s="28">
        <f t="shared" si="439"/>
        <v>0.26202770241398049</v>
      </c>
      <c r="AD1273" s="28">
        <f t="shared" si="439"/>
        <v>0.25863919948264819</v>
      </c>
      <c r="AE1273" s="28">
        <f t="shared" si="439"/>
        <v>0.25537360850317148</v>
      </c>
      <c r="AF1273" s="28">
        <f t="shared" si="439"/>
        <v>0.2521022288890486</v>
      </c>
      <c r="AG1273" s="28">
        <f t="shared" si="439"/>
        <v>0.24636830356321418</v>
      </c>
      <c r="AH1273" s="28">
        <f t="shared" si="439"/>
        <v>0.12863437365931019</v>
      </c>
      <c r="AI1273" s="28">
        <f t="shared" si="439"/>
        <v>0.12546780935726862</v>
      </c>
      <c r="AJ1273" s="28">
        <f t="shared" si="439"/>
        <v>0.12231830069775515</v>
      </c>
      <c r="AK1273" s="28">
        <f t="shared" si="439"/>
        <v>0.11918449449257143</v>
      </c>
      <c r="AL1273" s="28">
        <f t="shared" si="439"/>
        <v>0.11606512350980712</v>
      </c>
      <c r="AM1273" s="28">
        <f t="shared" si="439"/>
        <v>0.11295899853944702</v>
      </c>
      <c r="AN1273" s="28">
        <f t="shared" si="439"/>
        <v>0.11282498517540931</v>
      </c>
      <c r="AO1273" s="28">
        <f t="shared" si="439"/>
        <v>0.11269932410490072</v>
      </c>
      <c r="AP1273" s="28">
        <f t="shared" si="439"/>
        <v>0.11258167538198732</v>
      </c>
      <c r="AQ1273" s="28">
        <f t="shared" si="439"/>
        <v>0.11247172130178662</v>
      </c>
      <c r="AR1273" s="28">
        <f t="shared" si="439"/>
        <v>0.11236916451513707</v>
      </c>
      <c r="AS1273" s="28">
        <f t="shared" si="439"/>
        <v>0.11219377682464472</v>
      </c>
      <c r="AT1273" s="28">
        <f t="shared" si="439"/>
        <v>0.11202511226331455</v>
      </c>
      <c r="AU1273" s="28">
        <f t="shared" si="439"/>
        <v>0.1118629129584804</v>
      </c>
      <c r="AV1273" s="28">
        <f t="shared" si="439"/>
        <v>0.11170693615475033</v>
      </c>
      <c r="AW1273" s="28">
        <f t="shared" si="439"/>
        <v>0.11155695305548383</v>
      </c>
      <c r="AY1273" s="85"/>
      <c r="AZ1273" s="85"/>
    </row>
    <row r="1274" spans="1:52" x14ac:dyDescent="0.25">
      <c r="A1274" s="102" t="str">
        <f t="shared" si="384"/>
        <v>FSFAGSPQNIBDDSCM Organic</v>
      </c>
      <c r="B1274" s="102" t="s">
        <v>1376</v>
      </c>
      <c r="C1274" s="102" t="s">
        <v>1128</v>
      </c>
      <c r="D1274" t="s">
        <v>369</v>
      </c>
      <c r="E1274" t="s">
        <v>55</v>
      </c>
      <c r="F1274" t="s">
        <v>421</v>
      </c>
      <c r="G1274" t="s">
        <v>1155</v>
      </c>
      <c r="H1274" t="s">
        <v>1156</v>
      </c>
      <c r="I1274" t="s">
        <v>139</v>
      </c>
      <c r="J1274" t="s">
        <v>287</v>
      </c>
      <c r="K1274" s="28">
        <f t="shared" ref="K1274:AW1274" si="440">IFERROR(K1467-((K1467-K58)+(K1467-K211)+(K1467-K364)+(K1467-K516)+(K1467-K668)+(K1467-K819)+(K1467-K970)+(K1467-K1121)),0)</f>
        <v>0.93379576098906358</v>
      </c>
      <c r="L1274" s="28">
        <f t="shared" si="440"/>
        <v>0.93960412813709904</v>
      </c>
      <c r="M1274" s="28">
        <f t="shared" si="440"/>
        <v>0.94359746056447114</v>
      </c>
      <c r="N1274" s="28">
        <f t="shared" si="440"/>
        <v>0.94484982839723786</v>
      </c>
      <c r="O1274" s="28">
        <f t="shared" si="440"/>
        <v>0.94654409519879523</v>
      </c>
      <c r="P1274" s="28">
        <f t="shared" si="440"/>
        <v>0.95025518318237956</v>
      </c>
      <c r="Q1274" s="28">
        <f t="shared" si="440"/>
        <v>0.95470440124890821</v>
      </c>
      <c r="R1274" s="28">
        <f t="shared" si="440"/>
        <v>0.95604099276677834</v>
      </c>
      <c r="S1274" s="28">
        <f t="shared" si="440"/>
        <v>0.9266907490302454</v>
      </c>
      <c r="T1274" s="28">
        <f t="shared" si="440"/>
        <v>0.91062914235150427</v>
      </c>
      <c r="U1274" s="28">
        <f t="shared" si="440"/>
        <v>0.89384236937411354</v>
      </c>
      <c r="V1274" s="28">
        <f t="shared" si="440"/>
        <v>0.87713402068147828</v>
      </c>
      <c r="W1274" s="28">
        <f t="shared" si="440"/>
        <v>0.86165936007122212</v>
      </c>
      <c r="X1274" s="28">
        <f t="shared" si="440"/>
        <v>0.8461732741160185</v>
      </c>
      <c r="Y1274" s="28">
        <f t="shared" si="440"/>
        <v>0.83033592985222227</v>
      </c>
      <c r="Z1274" s="28">
        <f t="shared" si="440"/>
        <v>0.81422078989845503</v>
      </c>
      <c r="AA1274" s="28">
        <f t="shared" si="440"/>
        <v>0.79850685049638459</v>
      </c>
      <c r="AB1274" s="28">
        <f t="shared" si="440"/>
        <v>0.78227431943393566</v>
      </c>
      <c r="AC1274" s="28">
        <f t="shared" si="440"/>
        <v>0.76616134124541302</v>
      </c>
      <c r="AD1274" s="28">
        <f t="shared" si="440"/>
        <v>0.75625345774009622</v>
      </c>
      <c r="AE1274" s="28">
        <f t="shared" si="440"/>
        <v>0.74670496518856444</v>
      </c>
      <c r="AF1274" s="28">
        <f t="shared" si="440"/>
        <v>0.73713954683856364</v>
      </c>
      <c r="AG1274" s="28">
        <f t="shared" si="440"/>
        <v>0.7203737168222335</v>
      </c>
      <c r="AH1274" s="28">
        <f t="shared" si="440"/>
        <v>0.37612314783943362</v>
      </c>
      <c r="AI1274" s="28">
        <f t="shared" si="440"/>
        <v>0.36686420639758949</v>
      </c>
      <c r="AJ1274" s="28">
        <f t="shared" si="440"/>
        <v>0.35765513515586073</v>
      </c>
      <c r="AK1274" s="28">
        <f t="shared" si="440"/>
        <v>0.34849197743151678</v>
      </c>
      <c r="AL1274" s="28">
        <f t="shared" si="440"/>
        <v>0.33937102787550061</v>
      </c>
      <c r="AM1274" s="28">
        <f t="shared" si="440"/>
        <v>0.33028880927249532</v>
      </c>
      <c r="AN1274" s="28">
        <f t="shared" si="440"/>
        <v>0.32989695811404923</v>
      </c>
      <c r="AO1274" s="28">
        <f t="shared" si="440"/>
        <v>0.32952952881769521</v>
      </c>
      <c r="AP1274" s="28">
        <f t="shared" si="440"/>
        <v>0.32918552739146151</v>
      </c>
      <c r="AQ1274" s="28">
        <f t="shared" si="440"/>
        <v>0.32886402487556005</v>
      </c>
      <c r="AR1274" s="28">
        <f t="shared" si="440"/>
        <v>0.3285641518297357</v>
      </c>
      <c r="AS1274" s="28">
        <f t="shared" si="440"/>
        <v>0.32805132335035131</v>
      </c>
      <c r="AT1274" s="28">
        <f t="shared" si="440"/>
        <v>0.32755815310408037</v>
      </c>
      <c r="AU1274" s="28">
        <f t="shared" si="440"/>
        <v>0.32708388707878644</v>
      </c>
      <c r="AV1274" s="28">
        <f t="shared" si="440"/>
        <v>0.32662781546480024</v>
      </c>
      <c r="AW1274" s="28">
        <f t="shared" si="440"/>
        <v>0.32618926926743447</v>
      </c>
      <c r="AY1274" s="85"/>
      <c r="AZ1274" s="85"/>
    </row>
    <row r="1275" spans="1:52" x14ac:dyDescent="0.25">
      <c r="A1275" s="102" t="str">
        <f t="shared" si="384"/>
        <v>FSFAGSPQNIBDDSCM Organic</v>
      </c>
      <c r="B1275" s="102" t="s">
        <v>1376</v>
      </c>
      <c r="C1275" s="102" t="s">
        <v>1128</v>
      </c>
      <c r="D1275" t="s">
        <v>369</v>
      </c>
      <c r="E1275" t="s">
        <v>55</v>
      </c>
      <c r="F1275" t="s">
        <v>421</v>
      </c>
      <c r="G1275" t="s">
        <v>1157</v>
      </c>
      <c r="H1275" t="s">
        <v>1158</v>
      </c>
      <c r="I1275" t="s">
        <v>139</v>
      </c>
      <c r="J1275" t="s">
        <v>287</v>
      </c>
      <c r="K1275" s="28">
        <f t="shared" ref="K1275:AW1275" si="441">IFERROR(K1468-((K1468-K59)+(K1468-K212)+(K1468-K365)+(K1468-K517)+(K1468-K669)+(K1468-K820)+(K1468-K971)+(K1468-K1122)),0)</f>
        <v>4.9952808112492433E-2</v>
      </c>
      <c r="L1275" s="28">
        <f t="shared" si="441"/>
        <v>5.0263523005099557E-2</v>
      </c>
      <c r="M1275" s="28">
        <f t="shared" si="441"/>
        <v>5.0477143774016554E-2</v>
      </c>
      <c r="N1275" s="28">
        <f t="shared" si="441"/>
        <v>5.0544138391737034E-2</v>
      </c>
      <c r="O1275" s="28">
        <f t="shared" si="441"/>
        <v>5.063477211269108E-2</v>
      </c>
      <c r="P1275" s="28">
        <f t="shared" si="441"/>
        <v>5.0833294395268382E-2</v>
      </c>
      <c r="Q1275" s="28">
        <f t="shared" si="441"/>
        <v>5.1071302475421292E-2</v>
      </c>
      <c r="R1275" s="28">
        <f t="shared" si="441"/>
        <v>5.1142802585409194E-2</v>
      </c>
      <c r="S1275" s="28">
        <f t="shared" si="441"/>
        <v>4.9572730033491622E-2</v>
      </c>
      <c r="T1275" s="28">
        <f t="shared" si="441"/>
        <v>4.8713524637708214E-2</v>
      </c>
      <c r="U1275" s="28">
        <f t="shared" si="441"/>
        <v>4.7815526933714159E-2</v>
      </c>
      <c r="V1275" s="28">
        <f t="shared" si="441"/>
        <v>4.6921724486768165E-2</v>
      </c>
      <c r="W1275" s="28">
        <f t="shared" si="441"/>
        <v>4.6093917396220527E-2</v>
      </c>
      <c r="X1275" s="28">
        <f t="shared" si="441"/>
        <v>4.5265499114138699E-2</v>
      </c>
      <c r="Y1275" s="28">
        <f t="shared" si="441"/>
        <v>4.4418290493076891E-2</v>
      </c>
      <c r="Z1275" s="28">
        <f t="shared" si="441"/>
        <v>4.355622136892081E-2</v>
      </c>
      <c r="AA1275" s="28">
        <f t="shared" si="441"/>
        <v>4.2715614212157187E-2</v>
      </c>
      <c r="AB1275" s="28">
        <f t="shared" si="441"/>
        <v>4.1847265325582951E-2</v>
      </c>
      <c r="AC1275" s="28">
        <f t="shared" si="441"/>
        <v>4.098531184367861E-2</v>
      </c>
      <c r="AD1275" s="28">
        <f t="shared" si="441"/>
        <v>4.0455295940610238E-2</v>
      </c>
      <c r="AE1275" s="28">
        <f t="shared" si="441"/>
        <v>3.9944505427184682E-2</v>
      </c>
      <c r="AF1275" s="28">
        <f t="shared" si="441"/>
        <v>3.9432809478975178E-2</v>
      </c>
      <c r="AG1275" s="28">
        <f t="shared" si="441"/>
        <v>3.8535932105313357E-2</v>
      </c>
      <c r="AH1275" s="28">
        <f t="shared" si="441"/>
        <v>2.0120467682129359E-2</v>
      </c>
      <c r="AI1275" s="28">
        <f t="shared" si="441"/>
        <v>1.9625166520471315E-2</v>
      </c>
      <c r="AJ1275" s="28">
        <f t="shared" si="441"/>
        <v>1.9132533133332023E-2</v>
      </c>
      <c r="AK1275" s="28">
        <f t="shared" si="441"/>
        <v>1.8642355860494723E-2</v>
      </c>
      <c r="AL1275" s="28">
        <f t="shared" si="441"/>
        <v>1.8154436486677031E-2</v>
      </c>
      <c r="AM1275" s="28">
        <f t="shared" si="441"/>
        <v>1.766858900046538E-2</v>
      </c>
      <c r="AN1275" s="28">
        <f t="shared" si="441"/>
        <v>1.7647627172896373E-2</v>
      </c>
      <c r="AO1275" s="28">
        <f t="shared" si="441"/>
        <v>1.7627971777249431E-2</v>
      </c>
      <c r="AP1275" s="28">
        <f t="shared" si="441"/>
        <v>1.7609569640558563E-2</v>
      </c>
      <c r="AQ1275" s="28">
        <f t="shared" si="441"/>
        <v>1.7592371068712941E-2</v>
      </c>
      <c r="AR1275" s="28">
        <f t="shared" si="441"/>
        <v>1.7576329551561156E-2</v>
      </c>
      <c r="AS1275" s="28">
        <f t="shared" si="441"/>
        <v>1.7548896119438717E-2</v>
      </c>
      <c r="AT1275" s="28">
        <f t="shared" si="441"/>
        <v>1.7522514291947157E-2</v>
      </c>
      <c r="AU1275" s="28">
        <f t="shared" si="441"/>
        <v>1.7497143733688582E-2</v>
      </c>
      <c r="AV1275" s="28">
        <f t="shared" si="441"/>
        <v>1.7472746473847871E-2</v>
      </c>
      <c r="AW1275" s="28">
        <f t="shared" si="441"/>
        <v>1.7449286724981299E-2</v>
      </c>
      <c r="AY1275" s="85"/>
      <c r="AZ1275" s="85"/>
    </row>
    <row r="1276" spans="1:52" x14ac:dyDescent="0.25">
      <c r="A1276" s="102" t="str">
        <f t="shared" si="384"/>
        <v>FSFAGSPQNIBDDSCM Organic</v>
      </c>
      <c r="B1276" s="102" t="s">
        <v>1376</v>
      </c>
      <c r="C1276" s="102" t="s">
        <v>1128</v>
      </c>
      <c r="D1276" t="s">
        <v>369</v>
      </c>
      <c r="E1276" t="s">
        <v>55</v>
      </c>
      <c r="F1276" t="s">
        <v>421</v>
      </c>
      <c r="G1276" t="s">
        <v>1159</v>
      </c>
      <c r="H1276" t="s">
        <v>1160</v>
      </c>
      <c r="I1276" t="s">
        <v>139</v>
      </c>
      <c r="J1276" t="s">
        <v>287</v>
      </c>
      <c r="K1276" s="28">
        <f t="shared" ref="K1276:AW1276" si="442">IFERROR(K1469-((K1469-K60)+(K1469-K213)+(K1469-K366)+(K1469-K518)+(K1469-K670)+(K1469-K821)+(K1469-K972)+(K1469-K1123)),0)</f>
        <v>0.40352425177353124</v>
      </c>
      <c r="L1276" s="28">
        <f t="shared" si="442"/>
        <v>0.40084951633384258</v>
      </c>
      <c r="M1276" s="28">
        <f t="shared" si="442"/>
        <v>0.39521001590024774</v>
      </c>
      <c r="N1276" s="28">
        <f t="shared" si="442"/>
        <v>0.3857038563965185</v>
      </c>
      <c r="O1276" s="28">
        <f t="shared" si="442"/>
        <v>0.37648074986973956</v>
      </c>
      <c r="P1276" s="28">
        <f t="shared" si="442"/>
        <v>0.36938688643597767</v>
      </c>
      <c r="Q1276" s="28">
        <f t="shared" si="442"/>
        <v>0.36297043234615178</v>
      </c>
      <c r="R1276" s="28">
        <f t="shared" si="442"/>
        <v>0.35288211799047686</v>
      </c>
      <c r="S1276" s="28">
        <f t="shared" si="442"/>
        <v>0.30949900697043298</v>
      </c>
      <c r="T1276" s="28">
        <f t="shared" si="442"/>
        <v>0.3045253213755223</v>
      </c>
      <c r="U1276" s="28">
        <f t="shared" si="442"/>
        <v>0.29858461087964977</v>
      </c>
      <c r="V1276" s="28">
        <f t="shared" si="442"/>
        <v>0.29257233199325416</v>
      </c>
      <c r="W1276" s="28">
        <f t="shared" si="442"/>
        <v>0.28769001965616409</v>
      </c>
      <c r="X1276" s="28">
        <f t="shared" si="442"/>
        <v>0.28264924517529388</v>
      </c>
      <c r="Y1276" s="28">
        <f t="shared" si="442"/>
        <v>0.2776811302200799</v>
      </c>
      <c r="Z1276" s="28">
        <f t="shared" si="442"/>
        <v>0.27230219127583233</v>
      </c>
      <c r="AA1276" s="28">
        <f t="shared" si="442"/>
        <v>0.26719628400327217</v>
      </c>
      <c r="AB1276" s="28">
        <f t="shared" si="442"/>
        <v>0.26148758885017243</v>
      </c>
      <c r="AC1276" s="28">
        <f t="shared" si="442"/>
        <v>0.25580934762227014</v>
      </c>
      <c r="AD1276" s="28">
        <f t="shared" si="442"/>
        <v>0.25086721801625839</v>
      </c>
      <c r="AE1276" s="28">
        <f t="shared" si="442"/>
        <v>0.24622479260408692</v>
      </c>
      <c r="AF1276" s="28">
        <f t="shared" si="442"/>
        <v>0.24153884931570466</v>
      </c>
      <c r="AG1276" s="28">
        <f t="shared" si="442"/>
        <v>0.23068200534819991</v>
      </c>
      <c r="AH1276" s="28">
        <f t="shared" si="442"/>
        <v>-5.3066194492473968E-2</v>
      </c>
      <c r="AI1276" s="28">
        <f t="shared" si="442"/>
        <v>-5.0522067798828174E-2</v>
      </c>
      <c r="AJ1276" s="28">
        <f t="shared" si="442"/>
        <v>-4.8062843479456052E-2</v>
      </c>
      <c r="AK1276" s="28">
        <f t="shared" si="442"/>
        <v>-4.568580721272851E-2</v>
      </c>
      <c r="AL1276" s="28">
        <f t="shared" si="442"/>
        <v>-4.3388420511357897E-2</v>
      </c>
      <c r="AM1276" s="28">
        <f t="shared" si="442"/>
        <v>-4.1168305312847639E-2</v>
      </c>
      <c r="AN1276" s="28">
        <f t="shared" si="442"/>
        <v>-4.0280378768401792E-2</v>
      </c>
      <c r="AO1276" s="28">
        <f t="shared" si="442"/>
        <v>-3.9407533845643397E-2</v>
      </c>
      <c r="AP1276" s="28">
        <f t="shared" si="442"/>
        <v>-3.8549149724107397E-2</v>
      </c>
      <c r="AQ1276" s="28">
        <f t="shared" si="442"/>
        <v>-3.770464402778962E-2</v>
      </c>
      <c r="AR1276" s="28">
        <f t="shared" si="442"/>
        <v>-3.687346966154198E-2</v>
      </c>
      <c r="AS1276" s="28">
        <f t="shared" si="442"/>
        <v>-3.6030607717662436E-2</v>
      </c>
      <c r="AT1276" s="28">
        <f t="shared" si="442"/>
        <v>-3.5201086508207094E-2</v>
      </c>
      <c r="AU1276" s="28">
        <f t="shared" si="442"/>
        <v>-3.4384430881457491E-2</v>
      </c>
      <c r="AV1276" s="28">
        <f t="shared" si="442"/>
        <v>-3.3580192140125066E-2</v>
      </c>
      <c r="AW1276" s="28">
        <f t="shared" si="442"/>
        <v>-3.2787946080186536E-2</v>
      </c>
      <c r="AY1276" s="85"/>
      <c r="AZ1276" s="85"/>
    </row>
    <row r="1277" spans="1:52" x14ac:dyDescent="0.25">
      <c r="A1277" s="102" t="str">
        <f t="shared" si="384"/>
        <v>FSFAGSPQNIBDDSCM Organic</v>
      </c>
      <c r="B1277" s="102" t="s">
        <v>1376</v>
      </c>
      <c r="C1277" s="102" t="s">
        <v>1128</v>
      </c>
      <c r="D1277" t="s">
        <v>369</v>
      </c>
      <c r="E1277" t="s">
        <v>55</v>
      </c>
      <c r="F1277" t="s">
        <v>421</v>
      </c>
      <c r="G1277" t="s">
        <v>1161</v>
      </c>
      <c r="H1277" t="s">
        <v>1162</v>
      </c>
      <c r="I1277" t="s">
        <v>139</v>
      </c>
      <c r="J1277" t="s">
        <v>287</v>
      </c>
      <c r="K1277" s="28">
        <f t="shared" ref="K1277:AW1277" si="443">IFERROR(K1470-((K1470-K61)+(K1470-K214)+(K1470-K367)+(K1470-K519)+(K1470-K671)+(K1470-K822)+(K1470-K973)+(K1470-K1124)),0)</f>
        <v>2.6837391724620612</v>
      </c>
      <c r="L1277" s="28">
        <f t="shared" si="443"/>
        <v>2.6659501740464377</v>
      </c>
      <c r="M1277" s="28">
        <f t="shared" si="443"/>
        <v>2.6284432629742147</v>
      </c>
      <c r="N1277" s="28">
        <f t="shared" si="443"/>
        <v>2.5652201666480274</v>
      </c>
      <c r="O1277" s="28">
        <f t="shared" si="443"/>
        <v>2.5038795850871476</v>
      </c>
      <c r="P1277" s="28">
        <f t="shared" si="443"/>
        <v>2.4567000683725801</v>
      </c>
      <c r="Q1277" s="28">
        <f t="shared" si="443"/>
        <v>2.414025832280235</v>
      </c>
      <c r="R1277" s="28">
        <f t="shared" si="443"/>
        <v>2.3469309692046179</v>
      </c>
      <c r="S1277" s="28">
        <f t="shared" si="443"/>
        <v>2.0584007161751039</v>
      </c>
      <c r="T1277" s="28">
        <f t="shared" si="443"/>
        <v>2.0780205753529248</v>
      </c>
      <c r="U1277" s="28">
        <f t="shared" si="443"/>
        <v>2.0912968000734335</v>
      </c>
      <c r="V1277" s="28">
        <f t="shared" si="443"/>
        <v>2.1041412062318772</v>
      </c>
      <c r="W1277" s="28">
        <f t="shared" si="443"/>
        <v>2.125382764611714</v>
      </c>
      <c r="X1277" s="28">
        <f t="shared" si="443"/>
        <v>2.1459242533678449</v>
      </c>
      <c r="Y1277" s="28">
        <f t="shared" si="443"/>
        <v>2.1674897331963128</v>
      </c>
      <c r="Z1277" s="28">
        <f t="shared" si="443"/>
        <v>2.1862643907121093</v>
      </c>
      <c r="AA1277" s="28">
        <f t="shared" si="443"/>
        <v>2.2076324968582024</v>
      </c>
      <c r="AB1277" s="28">
        <f t="shared" si="443"/>
        <v>2.2243537639085806</v>
      </c>
      <c r="AC1277" s="28">
        <f t="shared" si="443"/>
        <v>2.2415338344398443</v>
      </c>
      <c r="AD1277" s="28">
        <f t="shared" si="443"/>
        <v>2.2495356829125717</v>
      </c>
      <c r="AE1277" s="28">
        <f t="shared" si="443"/>
        <v>2.2605078406421084</v>
      </c>
      <c r="AF1277" s="28">
        <f t="shared" si="443"/>
        <v>2.2714376528081774</v>
      </c>
      <c r="AG1277" s="28">
        <f t="shared" si="443"/>
        <v>2.2232650206980202</v>
      </c>
      <c r="AH1277" s="28">
        <f t="shared" si="443"/>
        <v>-0.52443746689921866</v>
      </c>
      <c r="AI1277" s="28">
        <f t="shared" si="443"/>
        <v>-0.51227234165292079</v>
      </c>
      <c r="AJ1277" s="28">
        <f t="shared" si="443"/>
        <v>-0.50030068007486495</v>
      </c>
      <c r="AK1277" s="28">
        <f t="shared" si="443"/>
        <v>-0.48851234957400724</v>
      </c>
      <c r="AL1277" s="28">
        <f t="shared" si="443"/>
        <v>-0.47689791808594317</v>
      </c>
      <c r="AM1277" s="28">
        <f t="shared" si="443"/>
        <v>-0.46544858915917614</v>
      </c>
      <c r="AN1277" s="28">
        <f t="shared" si="443"/>
        <v>-0.45616577335379221</v>
      </c>
      <c r="AO1277" s="28">
        <f t="shared" si="443"/>
        <v>-0.44702316326928004</v>
      </c>
      <c r="AP1277" s="28">
        <f t="shared" si="443"/>
        <v>-0.4380144054774302</v>
      </c>
      <c r="AQ1277" s="28">
        <f t="shared" si="443"/>
        <v>-0.4291335417004612</v>
      </c>
      <c r="AR1277" s="28">
        <f t="shared" si="443"/>
        <v>-0.42037497604652191</v>
      </c>
      <c r="AS1277" s="28">
        <f t="shared" si="443"/>
        <v>-0.41145361786623369</v>
      </c>
      <c r="AT1277" s="28">
        <f t="shared" si="443"/>
        <v>-0.40265493973831684</v>
      </c>
      <c r="AU1277" s="28">
        <f t="shared" si="443"/>
        <v>-0.3939741156201515</v>
      </c>
      <c r="AV1277" s="28">
        <f t="shared" si="443"/>
        <v>-0.38540659061153143</v>
      </c>
      <c r="AW1277" s="28">
        <f t="shared" si="443"/>
        <v>-0.37694806069295739</v>
      </c>
      <c r="AY1277" s="85"/>
      <c r="AZ1277" s="85"/>
    </row>
    <row r="1278" spans="1:52" x14ac:dyDescent="0.25">
      <c r="A1278" s="102" t="str">
        <f t="shared" si="384"/>
        <v>FSFAGSPQNIBDDSCM Organic</v>
      </c>
      <c r="B1278" s="102" t="s">
        <v>1376</v>
      </c>
      <c r="C1278" s="102" t="s">
        <v>1128</v>
      </c>
      <c r="D1278" t="s">
        <v>369</v>
      </c>
      <c r="E1278" t="s">
        <v>55</v>
      </c>
      <c r="F1278" t="s">
        <v>421</v>
      </c>
      <c r="G1278" t="s">
        <v>1163</v>
      </c>
      <c r="H1278" t="s">
        <v>1164</v>
      </c>
      <c r="I1278" t="s">
        <v>139</v>
      </c>
      <c r="J1278" t="s">
        <v>287</v>
      </c>
      <c r="K1278" s="28">
        <f t="shared" ref="K1278:AW1278" si="444">IFERROR(K1471-((K1471-K62)+(K1471-K215)+(K1471-K368)+(K1471-K520)+(K1471-K672)+(K1471-K823)+(K1471-K974)+(K1471-K1125)),0)</f>
        <v>0.34546247453096907</v>
      </c>
      <c r="L1278" s="28">
        <f t="shared" si="444"/>
        <v>0.35776618085714956</v>
      </c>
      <c r="M1278" s="28">
        <f t="shared" si="444"/>
        <v>0.36753197290523232</v>
      </c>
      <c r="N1278" s="28">
        <f t="shared" si="444"/>
        <v>0.37357124020109944</v>
      </c>
      <c r="O1278" s="28">
        <f t="shared" si="444"/>
        <v>0.37962311486925576</v>
      </c>
      <c r="P1278" s="28">
        <f t="shared" si="444"/>
        <v>0.38765990463300043</v>
      </c>
      <c r="Q1278" s="28">
        <f t="shared" si="444"/>
        <v>0.39636651112291715</v>
      </c>
      <c r="R1278" s="28">
        <f t="shared" si="444"/>
        <v>0.40089753199851358</v>
      </c>
      <c r="S1278" s="28">
        <f t="shared" si="444"/>
        <v>0.36575105397715829</v>
      </c>
      <c r="T1278" s="28">
        <f t="shared" si="444"/>
        <v>0.37246155114373558</v>
      </c>
      <c r="U1278" s="28">
        <f t="shared" si="444"/>
        <v>0.37787626717211437</v>
      </c>
      <c r="V1278" s="28">
        <f t="shared" si="444"/>
        <v>0.38304044170725593</v>
      </c>
      <c r="W1278" s="28">
        <f t="shared" si="444"/>
        <v>0.38956660453102504</v>
      </c>
      <c r="X1278" s="28">
        <f t="shared" si="444"/>
        <v>0.39580107139797976</v>
      </c>
      <c r="Y1278" s="28">
        <f t="shared" si="444"/>
        <v>0.40205342677539946</v>
      </c>
      <c r="Z1278" s="28">
        <f t="shared" si="444"/>
        <v>0.40760683542643306</v>
      </c>
      <c r="AA1278" s="28">
        <f t="shared" si="444"/>
        <v>0.41345308835762551</v>
      </c>
      <c r="AB1278" s="28">
        <f t="shared" si="444"/>
        <v>0.41822724542630357</v>
      </c>
      <c r="AC1278" s="28">
        <f t="shared" si="444"/>
        <v>0.42287283191982755</v>
      </c>
      <c r="AD1278" s="28">
        <f t="shared" si="444"/>
        <v>0.42863183141077948</v>
      </c>
      <c r="AE1278" s="28">
        <f t="shared" si="444"/>
        <v>0.43485894984383006</v>
      </c>
      <c r="AF1278" s="28">
        <f t="shared" si="444"/>
        <v>0.44097874233151174</v>
      </c>
      <c r="AG1278" s="28">
        <f t="shared" si="444"/>
        <v>0.43541672344663612</v>
      </c>
      <c r="AH1278" s="28">
        <f t="shared" si="444"/>
        <v>-0.10356797500620207</v>
      </c>
      <c r="AI1278" s="28">
        <f t="shared" si="444"/>
        <v>-0.10196918667023325</v>
      </c>
      <c r="AJ1278" s="28">
        <f t="shared" si="444"/>
        <v>-0.10033454605442547</v>
      </c>
      <c r="AK1278" s="28">
        <f t="shared" si="444"/>
        <v>-9.8663665238092363E-2</v>
      </c>
      <c r="AL1278" s="28">
        <f t="shared" si="444"/>
        <v>-9.6956151341286975E-2</v>
      </c>
      <c r="AM1278" s="28">
        <f t="shared" si="444"/>
        <v>-9.5211606475177901E-2</v>
      </c>
      <c r="AN1278" s="28">
        <f t="shared" si="444"/>
        <v>-9.583061803283717E-2</v>
      </c>
      <c r="AO1278" s="28">
        <f t="shared" si="444"/>
        <v>-9.6453291086161894E-2</v>
      </c>
      <c r="AP1278" s="28">
        <f t="shared" si="444"/>
        <v>-9.7079653352244027E-2</v>
      </c>
      <c r="AQ1278" s="28">
        <f t="shared" si="444"/>
        <v>-9.7709732728166937E-2</v>
      </c>
      <c r="AR1278" s="28">
        <f t="shared" si="444"/>
        <v>-9.8343557292226505E-2</v>
      </c>
      <c r="AS1278" s="28">
        <f t="shared" si="444"/>
        <v>-9.8913884424612408E-2</v>
      </c>
      <c r="AT1278" s="28">
        <f t="shared" si="444"/>
        <v>-9.9486896390755655E-2</v>
      </c>
      <c r="AU1278" s="28">
        <f t="shared" si="444"/>
        <v>-0.10006261040774035</v>
      </c>
      <c r="AV1278" s="28">
        <f t="shared" si="444"/>
        <v>-0.10064104378155268</v>
      </c>
      <c r="AW1278" s="28">
        <f t="shared" si="444"/>
        <v>-0.10122221390759037</v>
      </c>
      <c r="AY1278" s="85"/>
      <c r="AZ1278" s="85"/>
    </row>
    <row r="1279" spans="1:52" x14ac:dyDescent="0.25">
      <c r="A1279" s="102" t="str">
        <f t="shared" si="384"/>
        <v>FSFAGSPQNIBDDSCM Organic</v>
      </c>
      <c r="B1279" s="102" t="s">
        <v>1376</v>
      </c>
      <c r="C1279" s="102" t="s">
        <v>1128</v>
      </c>
      <c r="D1279" t="s">
        <v>369</v>
      </c>
      <c r="E1279" t="s">
        <v>55</v>
      </c>
      <c r="F1279" t="s">
        <v>421</v>
      </c>
      <c r="G1279" t="s">
        <v>1165</v>
      </c>
      <c r="H1279" t="s">
        <v>1166</v>
      </c>
      <c r="I1279" t="s">
        <v>139</v>
      </c>
      <c r="J1279" t="s">
        <v>287</v>
      </c>
      <c r="K1279" s="28">
        <f t="shared" ref="K1279:AW1279" si="445">IFERROR(K1472-((K1472-K63)+(K1472-K216)+(K1472-K369)+(K1472-K521)+(K1472-K673)+(K1472-K824)+(K1472-K975)+(K1472-K1126)),0)</f>
        <v>5.8358562487318792E-2</v>
      </c>
      <c r="L1279" s="28">
        <f t="shared" si="445"/>
        <v>5.839043159926547E-2</v>
      </c>
      <c r="M1279" s="28">
        <f t="shared" si="445"/>
        <v>5.8461792662766042E-2</v>
      </c>
      <c r="N1279" s="28">
        <f t="shared" si="445"/>
        <v>5.8569206044707944E-2</v>
      </c>
      <c r="O1279" s="28">
        <f t="shared" si="445"/>
        <v>5.87141088514554E-2</v>
      </c>
      <c r="P1279" s="28">
        <f t="shared" si="445"/>
        <v>5.8896654838927982E-2</v>
      </c>
      <c r="Q1279" s="28">
        <f t="shared" si="445"/>
        <v>5.9100003668857495E-2</v>
      </c>
      <c r="R1279" s="28">
        <f t="shared" si="445"/>
        <v>5.9320387521670827E-2</v>
      </c>
      <c r="S1279" s="28">
        <f t="shared" si="445"/>
        <v>5.9527484870119066E-2</v>
      </c>
      <c r="T1279" s="28">
        <f t="shared" si="445"/>
        <v>5.8570748557618887E-2</v>
      </c>
      <c r="U1279" s="28">
        <f t="shared" si="445"/>
        <v>5.7624372905732558E-2</v>
      </c>
      <c r="V1279" s="28">
        <f t="shared" si="445"/>
        <v>5.6687610024503544E-2</v>
      </c>
      <c r="W1279" s="28">
        <f t="shared" si="445"/>
        <v>5.5760283046463015E-2</v>
      </c>
      <c r="X1279" s="28">
        <f t="shared" si="445"/>
        <v>5.4839751145047168E-2</v>
      </c>
      <c r="Y1279" s="28">
        <f t="shared" si="445"/>
        <v>5.386574769831419E-2</v>
      </c>
      <c r="Z1279" s="28">
        <f t="shared" si="445"/>
        <v>5.2897621768756911E-2</v>
      </c>
      <c r="AA1279" s="28">
        <f t="shared" si="445"/>
        <v>5.193514259248902E-2</v>
      </c>
      <c r="AB1279" s="28">
        <f t="shared" si="445"/>
        <v>5.0976366535378487E-2</v>
      </c>
      <c r="AC1279" s="28">
        <f t="shared" si="445"/>
        <v>5.0021171640114812E-2</v>
      </c>
      <c r="AD1279" s="28">
        <f t="shared" si="445"/>
        <v>4.9026911141823212E-2</v>
      </c>
      <c r="AE1279" s="28">
        <f t="shared" si="445"/>
        <v>4.8036629025675091E-2</v>
      </c>
      <c r="AF1279" s="28">
        <f t="shared" si="445"/>
        <v>4.7049233380078721E-2</v>
      </c>
      <c r="AG1279" s="28">
        <f t="shared" si="445"/>
        <v>4.6055822949964353E-2</v>
      </c>
      <c r="AH1279" s="28">
        <f t="shared" si="445"/>
        <v>4.4685822286516227E-2</v>
      </c>
      <c r="AI1279" s="28">
        <f t="shared" si="445"/>
        <v>4.3667418586365608E-2</v>
      </c>
      <c r="AJ1279" s="28">
        <f t="shared" si="445"/>
        <v>4.2651211510756314E-2</v>
      </c>
      <c r="AK1279" s="28">
        <f t="shared" si="445"/>
        <v>4.1636728525810254E-2</v>
      </c>
      <c r="AL1279" s="28">
        <f t="shared" si="445"/>
        <v>4.0623524792419319E-2</v>
      </c>
      <c r="AM1279" s="28">
        <f t="shared" si="445"/>
        <v>3.9611180539956915E-2</v>
      </c>
      <c r="AN1279" s="28">
        <f t="shared" si="445"/>
        <v>3.9636752004691946E-2</v>
      </c>
      <c r="AO1279" s="28">
        <f t="shared" si="445"/>
        <v>3.966541411454276E-2</v>
      </c>
      <c r="AP1279" s="28">
        <f t="shared" si="445"/>
        <v>3.9697059307772266E-2</v>
      </c>
      <c r="AQ1279" s="28">
        <f t="shared" si="445"/>
        <v>3.9731587384565323E-2</v>
      </c>
      <c r="AR1279" s="28">
        <f t="shared" si="445"/>
        <v>3.9768904881597567E-2</v>
      </c>
      <c r="AS1279" s="28">
        <f t="shared" si="445"/>
        <v>3.9778110654177246E-2</v>
      </c>
      <c r="AT1279" s="28">
        <f t="shared" si="445"/>
        <v>3.978979203594394E-2</v>
      </c>
      <c r="AU1279" s="28">
        <f t="shared" si="445"/>
        <v>3.9803867034767806E-2</v>
      </c>
      <c r="AV1279" s="28">
        <f t="shared" si="445"/>
        <v>3.9820258665314925E-2</v>
      </c>
      <c r="AW1279" s="28">
        <f t="shared" si="445"/>
        <v>3.9838894564016708E-2</v>
      </c>
      <c r="AY1279" s="85"/>
      <c r="AZ1279" s="85"/>
    </row>
    <row r="1280" spans="1:52" x14ac:dyDescent="0.25">
      <c r="A1280" s="102" t="str">
        <f t="shared" si="384"/>
        <v>FSFAGSPQNIBDDSCM Organic</v>
      </c>
      <c r="B1280" s="102" t="s">
        <v>1376</v>
      </c>
      <c r="C1280" s="102" t="s">
        <v>1128</v>
      </c>
      <c r="D1280" t="s">
        <v>369</v>
      </c>
      <c r="E1280" t="s">
        <v>55</v>
      </c>
      <c r="F1280" t="s">
        <v>421</v>
      </c>
      <c r="G1280" t="s">
        <v>1167</v>
      </c>
      <c r="H1280" t="s">
        <v>1168</v>
      </c>
      <c r="I1280" t="s">
        <v>139</v>
      </c>
      <c r="J1280" t="s">
        <v>287</v>
      </c>
      <c r="K1280" s="28">
        <f t="shared" ref="K1280:AW1280" si="446">IFERROR(K1473-((K1473-K64)+(K1473-K217)+(K1473-K370)+(K1473-K522)+(K1473-K674)+(K1473-K825)+(K1473-K976)+(K1473-K1127)),0)</f>
        <v>4.7495937116525173E-2</v>
      </c>
      <c r="L1280" s="28">
        <f t="shared" si="446"/>
        <v>4.7521874241643836E-2</v>
      </c>
      <c r="M1280" s="28">
        <f t="shared" si="446"/>
        <v>4.7579952447139875E-2</v>
      </c>
      <c r="N1280" s="28">
        <f t="shared" si="446"/>
        <v>4.7667372339213025E-2</v>
      </c>
      <c r="O1280" s="28">
        <f t="shared" si="446"/>
        <v>4.7785303527096222E-2</v>
      </c>
      <c r="P1280" s="28">
        <f t="shared" si="446"/>
        <v>4.7933871147207763E-2</v>
      </c>
      <c r="Q1280" s="28">
        <f t="shared" si="446"/>
        <v>4.8099369453324381E-2</v>
      </c>
      <c r="R1280" s="28">
        <f t="shared" si="446"/>
        <v>4.8278731952477678E-2</v>
      </c>
      <c r="S1280" s="28">
        <f t="shared" si="446"/>
        <v>4.8447281043127996E-2</v>
      </c>
      <c r="T1280" s="28">
        <f t="shared" si="446"/>
        <v>4.8517687262134283E-2</v>
      </c>
      <c r="U1280" s="28">
        <f t="shared" si="446"/>
        <v>4.8599385073957294E-2</v>
      </c>
      <c r="V1280" s="28">
        <f t="shared" si="446"/>
        <v>4.8692357726997801E-2</v>
      </c>
      <c r="W1280" s="28">
        <f t="shared" si="446"/>
        <v>4.8797086923498996E-2</v>
      </c>
      <c r="X1280" s="28">
        <f t="shared" si="446"/>
        <v>4.8911893698725943E-2</v>
      </c>
      <c r="Y1280" s="28">
        <f t="shared" si="446"/>
        <v>4.8982566024450037E-2</v>
      </c>
      <c r="Z1280" s="28">
        <f t="shared" si="446"/>
        <v>4.9061508471477298E-2</v>
      </c>
      <c r="AA1280" s="28">
        <f t="shared" si="446"/>
        <v>4.9149007517636747E-2</v>
      </c>
      <c r="AB1280" s="28">
        <f t="shared" si="446"/>
        <v>4.9243718791974624E-2</v>
      </c>
      <c r="AC1280" s="28">
        <f t="shared" si="446"/>
        <v>4.9345980943347217E-2</v>
      </c>
      <c r="AD1280" s="28">
        <f t="shared" si="446"/>
        <v>4.941330202309966E-2</v>
      </c>
      <c r="AE1280" s="28">
        <f t="shared" si="446"/>
        <v>4.9487704242181185E-2</v>
      </c>
      <c r="AF1280" s="28">
        <f t="shared" si="446"/>
        <v>4.9568518464286178E-2</v>
      </c>
      <c r="AG1280" s="28">
        <f t="shared" si="446"/>
        <v>4.9646595309931256E-2</v>
      </c>
      <c r="AH1280" s="28">
        <f t="shared" si="446"/>
        <v>4.9312793416617665E-2</v>
      </c>
      <c r="AI1280" s="28">
        <f t="shared" si="446"/>
        <v>4.9360198563399564E-2</v>
      </c>
      <c r="AJ1280" s="28">
        <f t="shared" si="446"/>
        <v>4.9412510377689269E-2</v>
      </c>
      <c r="AK1280" s="28">
        <f t="shared" si="446"/>
        <v>4.9469543489705052E-2</v>
      </c>
      <c r="AL1280" s="28">
        <f t="shared" si="446"/>
        <v>4.9531126857595344E-2</v>
      </c>
      <c r="AM1280" s="28">
        <f t="shared" si="446"/>
        <v>4.9597102407826756E-2</v>
      </c>
      <c r="AN1280" s="28">
        <f t="shared" si="446"/>
        <v>4.9629120402188261E-2</v>
      </c>
      <c r="AO1280" s="28">
        <f t="shared" si="446"/>
        <v>4.9665008188871658E-2</v>
      </c>
      <c r="AP1280" s="28">
        <f t="shared" si="446"/>
        <v>4.9704631089979995E-2</v>
      </c>
      <c r="AQ1280" s="28">
        <f t="shared" si="446"/>
        <v>4.9747863645468307E-2</v>
      </c>
      <c r="AR1280" s="28">
        <f t="shared" si="446"/>
        <v>4.9794588830042001E-2</v>
      </c>
      <c r="AS1280" s="28">
        <f t="shared" si="446"/>
        <v>4.9806115364700997E-2</v>
      </c>
      <c r="AT1280" s="28">
        <f t="shared" si="446"/>
        <v>4.9820741606076545E-2</v>
      </c>
      <c r="AU1280" s="28">
        <f t="shared" si="446"/>
        <v>4.9838364891940323E-2</v>
      </c>
      <c r="AV1280" s="28">
        <f t="shared" si="446"/>
        <v>4.9858888829066014E-2</v>
      </c>
      <c r="AW1280" s="28">
        <f t="shared" si="446"/>
        <v>4.988222281113306E-2</v>
      </c>
      <c r="AY1280" s="85"/>
      <c r="AZ1280" s="85"/>
    </row>
    <row r="1281" spans="1:52" x14ac:dyDescent="0.25">
      <c r="A1281" s="102" t="str">
        <f t="shared" si="384"/>
        <v>FSFAGSPQNIBDDSCM Organic</v>
      </c>
      <c r="B1281" s="102" t="s">
        <v>1376</v>
      </c>
      <c r="C1281" s="102" t="s">
        <v>1128</v>
      </c>
      <c r="D1281" t="s">
        <v>369</v>
      </c>
      <c r="E1281" t="s">
        <v>55</v>
      </c>
      <c r="F1281" t="s">
        <v>421</v>
      </c>
      <c r="G1281" t="s">
        <v>1169</v>
      </c>
      <c r="H1281" t="s">
        <v>1170</v>
      </c>
      <c r="I1281" t="s">
        <v>139</v>
      </c>
      <c r="J1281" t="s">
        <v>287</v>
      </c>
      <c r="K1281" s="28">
        <f t="shared" ref="K1281:AW1281" si="447">IFERROR(K1474-((K1474-K65)+(K1474-K218)+(K1474-K371)+(K1474-K523)+(K1474-K675)+(K1474-K826)+(K1474-K977)+(K1474-K1128)),0)</f>
        <v>7.2138531984991348E-3</v>
      </c>
      <c r="L1281" s="28">
        <f t="shared" si="447"/>
        <v>7.2326686364155846E-3</v>
      </c>
      <c r="M1281" s="28">
        <f t="shared" si="447"/>
        <v>7.2577418741351651E-3</v>
      </c>
      <c r="N1281" s="28">
        <f t="shared" si="447"/>
        <v>7.2885154843188495E-3</v>
      </c>
      <c r="O1281" s="28">
        <f t="shared" si="447"/>
        <v>7.3253592647283981E-3</v>
      </c>
      <c r="P1281" s="28">
        <f t="shared" si="447"/>
        <v>7.3683712611583496E-3</v>
      </c>
      <c r="Q1281" s="28">
        <f t="shared" si="447"/>
        <v>7.4143590148475543E-3</v>
      </c>
      <c r="R1281" s="28">
        <f t="shared" si="447"/>
        <v>7.4626649386195258E-3</v>
      </c>
      <c r="S1281" s="28">
        <f t="shared" si="447"/>
        <v>7.5075390200834997E-3</v>
      </c>
      <c r="T1281" s="28">
        <f t="shared" si="447"/>
        <v>7.3968184351351609E-3</v>
      </c>
      <c r="U1281" s="28">
        <f t="shared" si="447"/>
        <v>7.2873212541525127E-3</v>
      </c>
      <c r="V1281" s="28">
        <f t="shared" si="447"/>
        <v>7.1789686031426166E-3</v>
      </c>
      <c r="W1281" s="28">
        <f t="shared" si="447"/>
        <v>7.0717827128219E-3</v>
      </c>
      <c r="X1281" s="28">
        <f t="shared" si="447"/>
        <v>6.9653124444417009E-3</v>
      </c>
      <c r="Y1281" s="28">
        <f t="shared" si="447"/>
        <v>6.8482229477683622E-3</v>
      </c>
      <c r="Z1281" s="28">
        <f t="shared" si="447"/>
        <v>6.7318135851407099E-3</v>
      </c>
      <c r="AA1281" s="28">
        <f t="shared" si="447"/>
        <v>6.6160760113262093E-3</v>
      </c>
      <c r="AB1281" s="28">
        <f t="shared" si="447"/>
        <v>6.5006769076280529E-3</v>
      </c>
      <c r="AC1281" s="28">
        <f t="shared" si="447"/>
        <v>6.3856235527441326E-3</v>
      </c>
      <c r="AD1281" s="28">
        <f t="shared" si="447"/>
        <v>6.2629760749324231E-3</v>
      </c>
      <c r="AE1281" s="28">
        <f t="shared" si="447"/>
        <v>6.1408322501423935E-3</v>
      </c>
      <c r="AF1281" s="28">
        <f t="shared" si="447"/>
        <v>6.0190094104631683E-3</v>
      </c>
      <c r="AG1281" s="28">
        <f t="shared" si="447"/>
        <v>5.8958742551954626E-3</v>
      </c>
      <c r="AH1281" s="28">
        <f t="shared" si="447"/>
        <v>5.7027732289119592E-3</v>
      </c>
      <c r="AI1281" s="28">
        <f t="shared" si="447"/>
        <v>5.5748259017008037E-3</v>
      </c>
      <c r="AJ1281" s="28">
        <f t="shared" si="447"/>
        <v>5.4471651856792831E-3</v>
      </c>
      <c r="AK1281" s="28">
        <f t="shared" si="447"/>
        <v>5.3197173357233413E-3</v>
      </c>
      <c r="AL1281" s="28">
        <f t="shared" si="447"/>
        <v>5.1924131473618431E-3</v>
      </c>
      <c r="AM1281" s="28">
        <f t="shared" si="447"/>
        <v>5.0651875237084547E-3</v>
      </c>
      <c r="AN1281" s="28">
        <f t="shared" si="447"/>
        <v>5.0690100057462252E-3</v>
      </c>
      <c r="AO1281" s="28">
        <f t="shared" si="447"/>
        <v>5.0733095448804123E-3</v>
      </c>
      <c r="AP1281" s="28">
        <f t="shared" si="447"/>
        <v>5.0780681560815069E-3</v>
      </c>
      <c r="AQ1281" s="28">
        <f t="shared" si="447"/>
        <v>5.0832690881353173E-3</v>
      </c>
      <c r="AR1281" s="28">
        <f t="shared" si="447"/>
        <v>5.0888967179384655E-3</v>
      </c>
      <c r="AS1281" s="28">
        <f t="shared" si="447"/>
        <v>5.0893357852861499E-3</v>
      </c>
      <c r="AT1281" s="28">
        <f t="shared" si="447"/>
        <v>5.0901653293446677E-3</v>
      </c>
      <c r="AU1281" s="28">
        <f t="shared" si="447"/>
        <v>5.0913713268978021E-3</v>
      </c>
      <c r="AV1281" s="28">
        <f t="shared" si="447"/>
        <v>5.092940613073969E-3</v>
      </c>
      <c r="AW1281" s="28">
        <f t="shared" si="447"/>
        <v>5.0948608148482927E-3</v>
      </c>
      <c r="AY1281" s="85"/>
      <c r="AZ1281" s="85"/>
    </row>
    <row r="1282" spans="1:52" x14ac:dyDescent="0.25">
      <c r="A1282" s="102" t="str">
        <f t="shared" si="384"/>
        <v>FSFAGSPQNIBDDSCM Organic</v>
      </c>
      <c r="B1282" s="102" t="s">
        <v>1376</v>
      </c>
      <c r="C1282" s="102" t="s">
        <v>1128</v>
      </c>
      <c r="D1282" t="s">
        <v>369</v>
      </c>
      <c r="E1282" t="s">
        <v>55</v>
      </c>
      <c r="F1282" t="s">
        <v>421</v>
      </c>
      <c r="G1282" t="s">
        <v>1171</v>
      </c>
      <c r="H1282" t="s">
        <v>1172</v>
      </c>
      <c r="I1282" t="s">
        <v>139</v>
      </c>
      <c r="J1282" t="s">
        <v>287</v>
      </c>
      <c r="K1282" s="28">
        <f t="shared" ref="K1282:AW1282" si="448">IFERROR(K1475-((K1475-K66)+(K1475-K219)+(K1475-K372)+(K1475-K524)+(K1475-K676)+(K1475-K827)+(K1475-K978)+(K1475-K1129)),0)</f>
        <v>8.7042781172852426E-2</v>
      </c>
      <c r="L1282" s="28">
        <f t="shared" si="448"/>
        <v>8.7269809364329015E-2</v>
      </c>
      <c r="M1282" s="28">
        <f t="shared" si="448"/>
        <v>8.7572344539923463E-2</v>
      </c>
      <c r="N1282" s="28">
        <f t="shared" si="448"/>
        <v>8.7943660748253619E-2</v>
      </c>
      <c r="O1282" s="28">
        <f t="shared" si="448"/>
        <v>8.8388219991077738E-2</v>
      </c>
      <c r="P1282" s="28">
        <f t="shared" si="448"/>
        <v>8.8907205294776276E-2</v>
      </c>
      <c r="Q1282" s="28">
        <f t="shared" si="448"/>
        <v>8.9462096262315383E-2</v>
      </c>
      <c r="R1282" s="28">
        <f t="shared" si="448"/>
        <v>9.0044958407765094E-2</v>
      </c>
      <c r="S1282" s="28">
        <f t="shared" si="448"/>
        <v>9.058641174008604E-2</v>
      </c>
      <c r="T1282" s="28">
        <f t="shared" si="448"/>
        <v>9.0840153267838591E-2</v>
      </c>
      <c r="U1282" s="28">
        <f t="shared" si="448"/>
        <v>9.1118394918272713E-2</v>
      </c>
      <c r="V1282" s="28">
        <f t="shared" si="448"/>
        <v>9.1421489787068641E-2</v>
      </c>
      <c r="W1282" s="28">
        <f t="shared" si="448"/>
        <v>9.1751129305526188E-2</v>
      </c>
      <c r="X1282" s="28">
        <f t="shared" si="448"/>
        <v>9.2102875256845074E-2</v>
      </c>
      <c r="Y1282" s="28">
        <f t="shared" si="448"/>
        <v>9.232521212320649E-2</v>
      </c>
      <c r="Z1282" s="28">
        <f t="shared" si="448"/>
        <v>9.2565769306508783E-2</v>
      </c>
      <c r="AA1282" s="28">
        <f t="shared" si="448"/>
        <v>9.2825542007412429E-2</v>
      </c>
      <c r="AB1282" s="28">
        <f t="shared" si="448"/>
        <v>9.3100953930938646E-2</v>
      </c>
      <c r="AC1282" s="28">
        <f t="shared" si="448"/>
        <v>9.339310675513432E-2</v>
      </c>
      <c r="AD1282" s="28">
        <f t="shared" si="448"/>
        <v>9.3584447456151826E-2</v>
      </c>
      <c r="AE1282" s="28">
        <f t="shared" si="448"/>
        <v>9.3791957817689064E-2</v>
      </c>
      <c r="AF1282" s="28">
        <f t="shared" si="448"/>
        <v>9.4013883568308809E-2</v>
      </c>
      <c r="AG1282" s="28">
        <f t="shared" si="448"/>
        <v>9.4225124449304393E-2</v>
      </c>
      <c r="AH1282" s="28">
        <f t="shared" si="448"/>
        <v>9.3301695602041948E-2</v>
      </c>
      <c r="AI1282" s="28">
        <f t="shared" si="448"/>
        <v>9.342525063432626E-2</v>
      </c>
      <c r="AJ1282" s="28">
        <f t="shared" si="448"/>
        <v>9.3559884234251725E-2</v>
      </c>
      <c r="AK1282" s="28">
        <f t="shared" si="448"/>
        <v>9.370514649197019E-2</v>
      </c>
      <c r="AL1282" s="28">
        <f t="shared" si="448"/>
        <v>9.3860622395159451E-2</v>
      </c>
      <c r="AM1282" s="28">
        <f t="shared" si="448"/>
        <v>9.4025928487650484E-2</v>
      </c>
      <c r="AN1282" s="28">
        <f t="shared" si="448"/>
        <v>9.4096885865051882E-2</v>
      </c>
      <c r="AO1282" s="28">
        <f t="shared" si="448"/>
        <v>9.4176698933624112E-2</v>
      </c>
      <c r="AP1282" s="28">
        <f t="shared" si="448"/>
        <v>9.4265033834237441E-2</v>
      </c>
      <c r="AQ1282" s="28">
        <f t="shared" si="448"/>
        <v>9.4361579611283539E-2</v>
      </c>
      <c r="AR1282" s="28">
        <f t="shared" si="448"/>
        <v>9.4466046250465022E-2</v>
      </c>
      <c r="AS1282" s="28">
        <f t="shared" si="448"/>
        <v>9.4474196731536342E-2</v>
      </c>
      <c r="AT1282" s="28">
        <f t="shared" si="448"/>
        <v>9.4489595697509143E-2</v>
      </c>
      <c r="AU1282" s="28">
        <f t="shared" si="448"/>
        <v>9.4511982833060726E-2</v>
      </c>
      <c r="AV1282" s="28">
        <f t="shared" si="448"/>
        <v>9.4541113756464096E-2</v>
      </c>
      <c r="AW1282" s="28">
        <f t="shared" si="448"/>
        <v>9.4576758785176129E-2</v>
      </c>
      <c r="AY1282" s="85"/>
      <c r="AZ1282" s="85"/>
    </row>
    <row r="1283" spans="1:52" x14ac:dyDescent="0.25">
      <c r="A1283" s="102" t="str">
        <f t="shared" si="384"/>
        <v>FSFAGSPQNIBDDSCM Organic</v>
      </c>
      <c r="B1283" s="102" t="s">
        <v>1376</v>
      </c>
      <c r="C1283" s="102" t="s">
        <v>1128</v>
      </c>
      <c r="D1283" t="s">
        <v>369</v>
      </c>
      <c r="E1283" t="s">
        <v>55</v>
      </c>
      <c r="F1283" t="s">
        <v>421</v>
      </c>
      <c r="G1283" t="s">
        <v>1173</v>
      </c>
      <c r="H1283" t="s">
        <v>1174</v>
      </c>
      <c r="I1283" t="s">
        <v>139</v>
      </c>
      <c r="J1283" t="s">
        <v>287</v>
      </c>
      <c r="K1283" s="28">
        <f t="shared" ref="K1283:AW1283" si="449">IFERROR(K1476-((K1476-K67)+(K1476-K220)+(K1476-K373)+(K1476-K525)+(K1476-K677)+(K1476-K828)+(K1476-K979)+(K1476-K1130)),0)</f>
        <v>0</v>
      </c>
      <c r="L1283" s="28">
        <f t="shared" si="449"/>
        <v>0</v>
      </c>
      <c r="M1283" s="28">
        <f t="shared" si="449"/>
        <v>0</v>
      </c>
      <c r="N1283" s="28">
        <f t="shared" si="449"/>
        <v>0</v>
      </c>
      <c r="O1283" s="28">
        <f t="shared" si="449"/>
        <v>0</v>
      </c>
      <c r="P1283" s="28">
        <f t="shared" si="449"/>
        <v>0</v>
      </c>
      <c r="Q1283" s="28">
        <f t="shared" si="449"/>
        <v>0</v>
      </c>
      <c r="R1283" s="28">
        <f t="shared" si="449"/>
        <v>0</v>
      </c>
      <c r="S1283" s="28">
        <f t="shared" si="449"/>
        <v>0</v>
      </c>
      <c r="T1283" s="28">
        <f t="shared" si="449"/>
        <v>0</v>
      </c>
      <c r="U1283" s="28">
        <f t="shared" si="449"/>
        <v>0</v>
      </c>
      <c r="V1283" s="28">
        <f t="shared" si="449"/>
        <v>0</v>
      </c>
      <c r="W1283" s="28">
        <f t="shared" si="449"/>
        <v>0</v>
      </c>
      <c r="X1283" s="28">
        <f t="shared" si="449"/>
        <v>0</v>
      </c>
      <c r="Y1283" s="28">
        <f t="shared" si="449"/>
        <v>0</v>
      </c>
      <c r="Z1283" s="28">
        <f t="shared" si="449"/>
        <v>0</v>
      </c>
      <c r="AA1283" s="28">
        <f t="shared" si="449"/>
        <v>0</v>
      </c>
      <c r="AB1283" s="28">
        <f t="shared" si="449"/>
        <v>0</v>
      </c>
      <c r="AC1283" s="28">
        <f t="shared" si="449"/>
        <v>0</v>
      </c>
      <c r="AD1283" s="28">
        <f t="shared" si="449"/>
        <v>0</v>
      </c>
      <c r="AE1283" s="28">
        <f t="shared" si="449"/>
        <v>0</v>
      </c>
      <c r="AF1283" s="28">
        <f t="shared" si="449"/>
        <v>0</v>
      </c>
      <c r="AG1283" s="28">
        <f t="shared" si="449"/>
        <v>0</v>
      </c>
      <c r="AH1283" s="28">
        <f t="shared" si="449"/>
        <v>0</v>
      </c>
      <c r="AI1283" s="28">
        <f t="shared" si="449"/>
        <v>0</v>
      </c>
      <c r="AJ1283" s="28">
        <f t="shared" si="449"/>
        <v>0</v>
      </c>
      <c r="AK1283" s="28">
        <f t="shared" si="449"/>
        <v>0</v>
      </c>
      <c r="AL1283" s="28">
        <f t="shared" si="449"/>
        <v>0</v>
      </c>
      <c r="AM1283" s="28">
        <f t="shared" si="449"/>
        <v>0</v>
      </c>
      <c r="AN1283" s="28">
        <f t="shared" si="449"/>
        <v>0</v>
      </c>
      <c r="AO1283" s="28">
        <f t="shared" si="449"/>
        <v>0</v>
      </c>
      <c r="AP1283" s="28">
        <f t="shared" si="449"/>
        <v>0</v>
      </c>
      <c r="AQ1283" s="28">
        <f t="shared" si="449"/>
        <v>0</v>
      </c>
      <c r="AR1283" s="28">
        <f t="shared" si="449"/>
        <v>0</v>
      </c>
      <c r="AS1283" s="28">
        <f t="shared" si="449"/>
        <v>0</v>
      </c>
      <c r="AT1283" s="28">
        <f t="shared" si="449"/>
        <v>0</v>
      </c>
      <c r="AU1283" s="28">
        <f t="shared" si="449"/>
        <v>0</v>
      </c>
      <c r="AV1283" s="28">
        <f t="shared" si="449"/>
        <v>0</v>
      </c>
      <c r="AW1283" s="28">
        <f t="shared" si="449"/>
        <v>0</v>
      </c>
      <c r="AY1283" s="85"/>
      <c r="AZ1283" s="85"/>
    </row>
    <row r="1284" spans="1:52" x14ac:dyDescent="0.25">
      <c r="A1284" s="102" t="str">
        <f t="shared" si="384"/>
        <v>FSFAGSPQNIBDDSCM Organic</v>
      </c>
      <c r="B1284" s="102" t="s">
        <v>1376</v>
      </c>
      <c r="C1284" s="102" t="s">
        <v>1128</v>
      </c>
      <c r="D1284" t="s">
        <v>369</v>
      </c>
      <c r="E1284" t="s">
        <v>55</v>
      </c>
      <c r="F1284" t="s">
        <v>421</v>
      </c>
      <c r="G1284" t="s">
        <v>1175</v>
      </c>
      <c r="H1284" t="s">
        <v>1176</v>
      </c>
      <c r="I1284" t="s">
        <v>139</v>
      </c>
      <c r="J1284" t="s">
        <v>287</v>
      </c>
      <c r="K1284" s="28">
        <f t="shared" ref="K1284:AW1284" si="450">IFERROR(K1477-((K1477-K68)+(K1477-K221)+(K1477-K374)+(K1477-K526)+(K1477-K678)+(K1477-K829)+(K1477-K980)+(K1477-K1131)),0)</f>
        <v>0</v>
      </c>
      <c r="L1284" s="28">
        <f t="shared" si="450"/>
        <v>0</v>
      </c>
      <c r="M1284" s="28">
        <f t="shared" si="450"/>
        <v>0</v>
      </c>
      <c r="N1284" s="28">
        <f t="shared" si="450"/>
        <v>0</v>
      </c>
      <c r="O1284" s="28">
        <f t="shared" si="450"/>
        <v>0</v>
      </c>
      <c r="P1284" s="28">
        <f t="shared" si="450"/>
        <v>0</v>
      </c>
      <c r="Q1284" s="28">
        <f t="shared" si="450"/>
        <v>0</v>
      </c>
      <c r="R1284" s="28">
        <f t="shared" si="450"/>
        <v>0</v>
      </c>
      <c r="S1284" s="28">
        <f t="shared" si="450"/>
        <v>0</v>
      </c>
      <c r="T1284" s="28">
        <f t="shared" si="450"/>
        <v>0</v>
      </c>
      <c r="U1284" s="28">
        <f t="shared" si="450"/>
        <v>0</v>
      </c>
      <c r="V1284" s="28">
        <f t="shared" si="450"/>
        <v>0</v>
      </c>
      <c r="W1284" s="28">
        <f t="shared" si="450"/>
        <v>0</v>
      </c>
      <c r="X1284" s="28">
        <f t="shared" si="450"/>
        <v>0</v>
      </c>
      <c r="Y1284" s="28">
        <f t="shared" si="450"/>
        <v>0</v>
      </c>
      <c r="Z1284" s="28">
        <f t="shared" si="450"/>
        <v>0</v>
      </c>
      <c r="AA1284" s="28">
        <f t="shared" si="450"/>
        <v>0</v>
      </c>
      <c r="AB1284" s="28">
        <f t="shared" si="450"/>
        <v>0</v>
      </c>
      <c r="AC1284" s="28">
        <f t="shared" si="450"/>
        <v>0</v>
      </c>
      <c r="AD1284" s="28">
        <f t="shared" si="450"/>
        <v>0</v>
      </c>
      <c r="AE1284" s="28">
        <f t="shared" si="450"/>
        <v>0</v>
      </c>
      <c r="AF1284" s="28">
        <f t="shared" si="450"/>
        <v>0</v>
      </c>
      <c r="AG1284" s="28">
        <f t="shared" si="450"/>
        <v>0</v>
      </c>
      <c r="AH1284" s="28">
        <f t="shared" si="450"/>
        <v>0</v>
      </c>
      <c r="AI1284" s="28">
        <f t="shared" si="450"/>
        <v>0</v>
      </c>
      <c r="AJ1284" s="28">
        <f t="shared" si="450"/>
        <v>0</v>
      </c>
      <c r="AK1284" s="28">
        <f t="shared" si="450"/>
        <v>0</v>
      </c>
      <c r="AL1284" s="28">
        <f t="shared" si="450"/>
        <v>0</v>
      </c>
      <c r="AM1284" s="28">
        <f t="shared" si="450"/>
        <v>0</v>
      </c>
      <c r="AN1284" s="28">
        <f t="shared" si="450"/>
        <v>0</v>
      </c>
      <c r="AO1284" s="28">
        <f t="shared" si="450"/>
        <v>0</v>
      </c>
      <c r="AP1284" s="28">
        <f t="shared" si="450"/>
        <v>0</v>
      </c>
      <c r="AQ1284" s="28">
        <f t="shared" si="450"/>
        <v>0</v>
      </c>
      <c r="AR1284" s="28">
        <f t="shared" si="450"/>
        <v>0</v>
      </c>
      <c r="AS1284" s="28">
        <f t="shared" si="450"/>
        <v>0</v>
      </c>
      <c r="AT1284" s="28">
        <f t="shared" si="450"/>
        <v>0</v>
      </c>
      <c r="AU1284" s="28">
        <f t="shared" si="450"/>
        <v>0</v>
      </c>
      <c r="AV1284" s="28">
        <f t="shared" si="450"/>
        <v>0</v>
      </c>
      <c r="AW1284" s="28">
        <f t="shared" si="450"/>
        <v>0</v>
      </c>
      <c r="AY1284" s="85"/>
      <c r="AZ1284" s="85"/>
    </row>
    <row r="1285" spans="1:52" x14ac:dyDescent="0.25">
      <c r="A1285" s="102" t="str">
        <f t="shared" si="384"/>
        <v>FSFAGSPQNIBDDSCM Organic</v>
      </c>
      <c r="B1285" s="102" t="s">
        <v>1376</v>
      </c>
      <c r="C1285" s="102" t="s">
        <v>1128</v>
      </c>
      <c r="D1285" t="s">
        <v>369</v>
      </c>
      <c r="E1285" t="s">
        <v>55</v>
      </c>
      <c r="F1285" t="s">
        <v>421</v>
      </c>
      <c r="G1285" t="s">
        <v>1177</v>
      </c>
      <c r="H1285" t="s">
        <v>1178</v>
      </c>
      <c r="I1285" t="s">
        <v>139</v>
      </c>
      <c r="J1285" t="s">
        <v>287</v>
      </c>
      <c r="K1285" s="28">
        <f t="shared" ref="K1285:AW1285" si="451">IFERROR(K1478-((K1478-K69)+(K1478-K222)+(K1478-K375)+(K1478-K527)+(K1478-K679)+(K1478-K830)+(K1478-K981)+(K1478-K1132)),0)</f>
        <v>0.125581463448449</v>
      </c>
      <c r="L1285" s="28">
        <f t="shared" si="451"/>
        <v>0.125185082671006</v>
      </c>
      <c r="M1285" s="28">
        <f t="shared" si="451"/>
        <v>0.12387425442661908</v>
      </c>
      <c r="N1285" s="28">
        <f t="shared" si="451"/>
        <v>0.12132911183874903</v>
      </c>
      <c r="O1285" s="28">
        <f t="shared" si="451"/>
        <v>0.1188953282361286</v>
      </c>
      <c r="P1285" s="28">
        <f t="shared" si="451"/>
        <v>0.11718799777455163</v>
      </c>
      <c r="Q1285" s="28">
        <f t="shared" si="451"/>
        <v>0.11574203128248971</v>
      </c>
      <c r="R1285" s="28">
        <f t="shared" si="451"/>
        <v>0.11307943655863528</v>
      </c>
      <c r="S1285" s="28">
        <f t="shared" si="451"/>
        <v>9.8992483819013391E-2</v>
      </c>
      <c r="T1285" s="28">
        <f t="shared" si="451"/>
        <v>9.7878163810331292E-2</v>
      </c>
      <c r="U1285" s="28">
        <f t="shared" si="451"/>
        <v>9.6439496037713554E-2</v>
      </c>
      <c r="V1285" s="28">
        <f t="shared" si="451"/>
        <v>9.498145806527139E-2</v>
      </c>
      <c r="W1285" s="28">
        <f t="shared" si="451"/>
        <v>9.3924528133569357E-2</v>
      </c>
      <c r="X1285" s="28">
        <f t="shared" si="451"/>
        <v>9.2818351606230406E-2</v>
      </c>
      <c r="Y1285" s="28">
        <f t="shared" si="451"/>
        <v>9.1782314667400638E-2</v>
      </c>
      <c r="Z1285" s="28">
        <f t="shared" si="451"/>
        <v>9.0599986982150507E-2</v>
      </c>
      <c r="AA1285" s="28">
        <f t="shared" si="451"/>
        <v>8.9514315198030894E-2</v>
      </c>
      <c r="AB1285" s="28">
        <f t="shared" si="451"/>
        <v>8.8207087591826577E-2</v>
      </c>
      <c r="AC1285" s="28">
        <f t="shared" si="451"/>
        <v>8.6904638260872275E-2</v>
      </c>
      <c r="AD1285" s="28">
        <f t="shared" si="451"/>
        <v>8.6017566045227228E-2</v>
      </c>
      <c r="AE1285" s="28">
        <f t="shared" si="451"/>
        <v>8.5246380885748471E-2</v>
      </c>
      <c r="AF1285" s="28">
        <f t="shared" si="451"/>
        <v>8.4463986888376308E-2</v>
      </c>
      <c r="AG1285" s="28">
        <f t="shared" si="451"/>
        <v>8.1335704732833858E-2</v>
      </c>
      <c r="AH1285" s="28">
        <f t="shared" si="451"/>
        <v>-2.6807171051590035E-2</v>
      </c>
      <c r="AI1285" s="28">
        <f t="shared" si="451"/>
        <v>-2.5884799467379122E-2</v>
      </c>
      <c r="AJ1285" s="28">
        <f t="shared" si="451"/>
        <v>-2.498232619849948E-2</v>
      </c>
      <c r="AK1285" s="28">
        <f t="shared" si="451"/>
        <v>-2.409892254280754E-2</v>
      </c>
      <c r="AL1285" s="28">
        <f t="shared" si="451"/>
        <v>-2.3233826023379849E-2</v>
      </c>
      <c r="AM1285" s="28">
        <f t="shared" si="451"/>
        <v>-2.238633425521391E-2</v>
      </c>
      <c r="AN1285" s="28">
        <f t="shared" si="451"/>
        <v>-2.2124895075866603E-2</v>
      </c>
      <c r="AO1285" s="28">
        <f t="shared" si="451"/>
        <v>-2.1868065438391465E-2</v>
      </c>
      <c r="AP1285" s="28">
        <f t="shared" si="451"/>
        <v>-2.1615576124460897E-2</v>
      </c>
      <c r="AQ1285" s="28">
        <f t="shared" si="451"/>
        <v>-2.1367175500493295E-2</v>
      </c>
      <c r="AR1285" s="28">
        <f t="shared" si="451"/>
        <v>-2.112262799828659E-2</v>
      </c>
      <c r="AS1285" s="28">
        <f t="shared" si="451"/>
        <v>-2.0856125968007257E-2</v>
      </c>
      <c r="AT1285" s="28">
        <f t="shared" si="451"/>
        <v>-2.0593694392787895E-2</v>
      </c>
      <c r="AU1285" s="28">
        <f t="shared" si="451"/>
        <v>-2.0335123751405112E-2</v>
      </c>
      <c r="AV1285" s="28">
        <f t="shared" si="451"/>
        <v>-2.0080216901882567E-2</v>
      </c>
      <c r="AW1285" s="28">
        <f t="shared" si="451"/>
        <v>-1.9828788116316803E-2</v>
      </c>
      <c r="AY1285" s="85"/>
      <c r="AZ1285" s="85"/>
    </row>
    <row r="1286" spans="1:52" x14ac:dyDescent="0.25">
      <c r="A1286" s="102" t="str">
        <f t="shared" si="384"/>
        <v>FSFAGSPQNIBDDSCM Organic</v>
      </c>
      <c r="B1286" s="102" t="s">
        <v>1376</v>
      </c>
      <c r="C1286" s="102" t="s">
        <v>1128</v>
      </c>
      <c r="D1286" t="s">
        <v>369</v>
      </c>
      <c r="E1286" t="s">
        <v>55</v>
      </c>
      <c r="F1286" t="s">
        <v>421</v>
      </c>
      <c r="G1286" t="s">
        <v>1179</v>
      </c>
      <c r="H1286" t="s">
        <v>1180</v>
      </c>
      <c r="I1286" t="s">
        <v>139</v>
      </c>
      <c r="J1286" t="s">
        <v>287</v>
      </c>
      <c r="K1286" s="28">
        <f t="shared" ref="K1286:AW1286" si="452">IFERROR(K1479-((K1479-K70)+(K1479-K223)+(K1479-K376)+(K1479-K528)+(K1479-K680)+(K1479-K831)+(K1479-K982)+(K1479-K1133)),0)</f>
        <v>3.1860496839281362E-2</v>
      </c>
      <c r="L1286" s="28">
        <f t="shared" si="452"/>
        <v>3.1759933522370665E-2</v>
      </c>
      <c r="M1286" s="28">
        <f t="shared" si="452"/>
        <v>3.1427371391063171E-2</v>
      </c>
      <c r="N1286" s="28">
        <f t="shared" si="452"/>
        <v>3.0781658997293845E-2</v>
      </c>
      <c r="O1286" s="28">
        <f t="shared" si="452"/>
        <v>3.0164198803332858E-2</v>
      </c>
      <c r="P1286" s="28">
        <f t="shared" si="452"/>
        <v>2.973104254538711E-2</v>
      </c>
      <c r="Q1286" s="28">
        <f t="shared" si="452"/>
        <v>2.9364195324587221E-2</v>
      </c>
      <c r="R1286" s="28">
        <f t="shared" si="452"/>
        <v>2.8688684875400002E-2</v>
      </c>
      <c r="S1286" s="28">
        <f t="shared" si="452"/>
        <v>2.5114771171009475E-2</v>
      </c>
      <c r="T1286" s="28">
        <f t="shared" si="452"/>
        <v>2.5274365322659843E-2</v>
      </c>
      <c r="U1286" s="28">
        <f t="shared" si="452"/>
        <v>2.535447504840236E-2</v>
      </c>
      <c r="V1286" s="28">
        <f t="shared" si="452"/>
        <v>2.5432357382837084E-2</v>
      </c>
      <c r="W1286" s="28">
        <f t="shared" si="452"/>
        <v>2.562259296820359E-2</v>
      </c>
      <c r="X1286" s="28">
        <f t="shared" si="452"/>
        <v>2.5806433152052291E-2</v>
      </c>
      <c r="Y1286" s="28">
        <f t="shared" si="452"/>
        <v>2.6017344942475328E-2</v>
      </c>
      <c r="Z1286" s="28">
        <f t="shared" si="452"/>
        <v>2.6194373418542003E-2</v>
      </c>
      <c r="AA1286" s="28">
        <f t="shared" si="452"/>
        <v>2.6407120461913867E-2</v>
      </c>
      <c r="AB1286" s="28">
        <f t="shared" si="452"/>
        <v>2.6561988084979515E-2</v>
      </c>
      <c r="AC1286" s="28">
        <f t="shared" si="452"/>
        <v>2.6724895263784808E-2</v>
      </c>
      <c r="AD1286" s="28">
        <f t="shared" si="452"/>
        <v>2.7025368401261952E-2</v>
      </c>
      <c r="AE1286" s="28">
        <f t="shared" si="452"/>
        <v>2.7376370081148127E-2</v>
      </c>
      <c r="AF1286" s="28">
        <f t="shared" si="452"/>
        <v>2.7739593552385582E-2</v>
      </c>
      <c r="AG1286" s="28">
        <f t="shared" si="452"/>
        <v>2.7331362768575094E-2</v>
      </c>
      <c r="AH1286" s="28">
        <f t="shared" si="452"/>
        <v>-9.2218056478478912E-3</v>
      </c>
      <c r="AI1286" s="28">
        <f t="shared" si="452"/>
        <v>-9.1209339890003793E-3</v>
      </c>
      <c r="AJ1286" s="28">
        <f t="shared" si="452"/>
        <v>-9.0222228575924188E-3</v>
      </c>
      <c r="AK1286" s="28">
        <f t="shared" si="452"/>
        <v>-8.9255309146344646E-3</v>
      </c>
      <c r="AL1286" s="28">
        <f t="shared" si="452"/>
        <v>-8.8307271699938471E-3</v>
      </c>
      <c r="AM1286" s="28">
        <f t="shared" si="452"/>
        <v>-8.7376899816002714E-3</v>
      </c>
      <c r="AN1286" s="28">
        <f t="shared" si="452"/>
        <v>-8.6356467228810053E-3</v>
      </c>
      <c r="AO1286" s="28">
        <f t="shared" si="452"/>
        <v>-8.5354026308934166E-3</v>
      </c>
      <c r="AP1286" s="28">
        <f t="shared" si="452"/>
        <v>-8.436852626071684E-3</v>
      </c>
      <c r="AQ1286" s="28">
        <f t="shared" si="452"/>
        <v>-8.3398984924149214E-3</v>
      </c>
      <c r="AR1286" s="28">
        <f t="shared" si="452"/>
        <v>-8.2444482844578407E-3</v>
      </c>
      <c r="AS1286" s="28">
        <f t="shared" si="452"/>
        <v>-8.1404289263306579E-3</v>
      </c>
      <c r="AT1286" s="28">
        <f t="shared" si="452"/>
        <v>-8.0379983220384144E-3</v>
      </c>
      <c r="AU1286" s="28">
        <f t="shared" si="452"/>
        <v>-7.9370746926049739E-3</v>
      </c>
      <c r="AV1286" s="28">
        <f t="shared" si="452"/>
        <v>-7.8375810908422969E-3</v>
      </c>
      <c r="AW1286" s="28">
        <f t="shared" si="452"/>
        <v>-7.7394450246298409E-3</v>
      </c>
      <c r="AY1286" s="85"/>
      <c r="AZ1286" s="85"/>
    </row>
    <row r="1287" spans="1:52" x14ac:dyDescent="0.25">
      <c r="A1287" s="102" t="str">
        <f t="shared" si="384"/>
        <v>FSFAGSPQNIBDDSCM Organic</v>
      </c>
      <c r="B1287" s="102" t="s">
        <v>1376</v>
      </c>
      <c r="C1287" s="102" t="s">
        <v>1128</v>
      </c>
      <c r="D1287" t="s">
        <v>369</v>
      </c>
      <c r="E1287" t="s">
        <v>55</v>
      </c>
      <c r="F1287" t="s">
        <v>421</v>
      </c>
      <c r="G1287" t="s">
        <v>1181</v>
      </c>
      <c r="H1287" t="s">
        <v>1182</v>
      </c>
      <c r="I1287" t="s">
        <v>139</v>
      </c>
      <c r="J1287" t="s">
        <v>287</v>
      </c>
      <c r="K1287" s="28">
        <f t="shared" ref="K1287:AW1287" si="453">IFERROR(K1480-((K1480-K71)+(K1480-K224)+(K1480-K377)+(K1480-K529)+(K1480-K681)+(K1480-K832)+(K1480-K983)+(K1480-K1134)),0)</f>
        <v>0.1578659423422277</v>
      </c>
      <c r="L1287" s="28">
        <f t="shared" si="453"/>
        <v>0.16128463868664497</v>
      </c>
      <c r="M1287" s="28">
        <f t="shared" si="453"/>
        <v>0.16403927917478689</v>
      </c>
      <c r="N1287" s="28">
        <f t="shared" si="453"/>
        <v>0.16583912134746412</v>
      </c>
      <c r="O1287" s="28">
        <f t="shared" si="453"/>
        <v>0.16766339315982179</v>
      </c>
      <c r="P1287" s="28">
        <f t="shared" si="453"/>
        <v>0.17001522372192687</v>
      </c>
      <c r="Q1287" s="28">
        <f t="shared" si="453"/>
        <v>0.17253027929477446</v>
      </c>
      <c r="R1287" s="28">
        <f t="shared" si="453"/>
        <v>0.17399291850067305</v>
      </c>
      <c r="S1287" s="28">
        <f t="shared" si="453"/>
        <v>0.16557860027053409</v>
      </c>
      <c r="T1287" s="28">
        <f t="shared" si="453"/>
        <v>0.16617351559356835</v>
      </c>
      <c r="U1287" s="28">
        <f t="shared" si="453"/>
        <v>0.16641589771257903</v>
      </c>
      <c r="V1287" s="28">
        <f t="shared" si="453"/>
        <v>0.16656695862434875</v>
      </c>
      <c r="W1287" s="28">
        <f t="shared" si="453"/>
        <v>0.167020654536883</v>
      </c>
      <c r="X1287" s="28">
        <f t="shared" si="453"/>
        <v>0.16737026812648881</v>
      </c>
      <c r="Y1287" s="28">
        <f t="shared" si="453"/>
        <v>0.16759027706967292</v>
      </c>
      <c r="Z1287" s="28">
        <f t="shared" si="453"/>
        <v>0.16761129637404976</v>
      </c>
      <c r="AA1287" s="28">
        <f t="shared" si="453"/>
        <v>0.16767253702651003</v>
      </c>
      <c r="AB1287" s="28">
        <f t="shared" si="453"/>
        <v>0.16744871680322992</v>
      </c>
      <c r="AC1287" s="28">
        <f t="shared" si="453"/>
        <v>0.16716649144311202</v>
      </c>
      <c r="AD1287" s="28">
        <f t="shared" si="453"/>
        <v>0.16716725290424495</v>
      </c>
      <c r="AE1287" s="28">
        <f t="shared" si="453"/>
        <v>0.16725343074012178</v>
      </c>
      <c r="AF1287" s="28">
        <f t="shared" si="453"/>
        <v>0.16728938783312775</v>
      </c>
      <c r="AG1287" s="28">
        <f t="shared" si="453"/>
        <v>0.16458792371969455</v>
      </c>
      <c r="AH1287" s="28">
        <f t="shared" si="453"/>
        <v>3.853581522880388E-2</v>
      </c>
      <c r="AI1287" s="28">
        <f t="shared" si="453"/>
        <v>3.7910558376539852E-2</v>
      </c>
      <c r="AJ1287" s="28">
        <f t="shared" si="453"/>
        <v>3.7273299588535869E-2</v>
      </c>
      <c r="AK1287" s="28">
        <f t="shared" si="453"/>
        <v>3.6623900608650638E-2</v>
      </c>
      <c r="AL1287" s="28">
        <f t="shared" si="453"/>
        <v>3.5962221689674709E-2</v>
      </c>
      <c r="AM1287" s="28">
        <f t="shared" si="453"/>
        <v>3.5288121588759346E-2</v>
      </c>
      <c r="AN1287" s="28">
        <f t="shared" si="453"/>
        <v>3.5517844562398058E-2</v>
      </c>
      <c r="AO1287" s="28">
        <f t="shared" si="453"/>
        <v>3.5748985562109446E-2</v>
      </c>
      <c r="AP1287" s="28">
        <f t="shared" si="453"/>
        <v>3.5981553805251781E-2</v>
      </c>
      <c r="AQ1287" s="28">
        <f t="shared" si="453"/>
        <v>3.6215558540026879E-2</v>
      </c>
      <c r="AR1287" s="28">
        <f t="shared" si="453"/>
        <v>3.6451009047899538E-2</v>
      </c>
      <c r="AS1287" s="28">
        <f t="shared" si="453"/>
        <v>3.6645815385715104E-2</v>
      </c>
      <c r="AT1287" s="28">
        <f t="shared" si="453"/>
        <v>3.6841608623413152E-2</v>
      </c>
      <c r="AU1287" s="28">
        <f t="shared" si="453"/>
        <v>3.7038394113816452E-2</v>
      </c>
      <c r="AV1287" s="28">
        <f t="shared" si="453"/>
        <v>3.7236177218753087E-2</v>
      </c>
      <c r="AW1287" s="28">
        <f t="shared" si="453"/>
        <v>3.7434963310500405E-2</v>
      </c>
      <c r="AY1287" s="85"/>
      <c r="AZ1287" s="85"/>
    </row>
    <row r="1288" spans="1:52" x14ac:dyDescent="0.25">
      <c r="A1288" s="102" t="str">
        <f t="shared" si="384"/>
        <v>FSFAGSPQNIBDDSCM Organic</v>
      </c>
      <c r="B1288" s="102" t="s">
        <v>1376</v>
      </c>
      <c r="C1288" s="102" t="s">
        <v>1128</v>
      </c>
      <c r="D1288" t="s">
        <v>369</v>
      </c>
      <c r="E1288" t="s">
        <v>55</v>
      </c>
      <c r="F1288" t="s">
        <v>421</v>
      </c>
      <c r="G1288" t="s">
        <v>1183</v>
      </c>
      <c r="H1288" t="s">
        <v>1184</v>
      </c>
      <c r="I1288" t="s">
        <v>139</v>
      </c>
      <c r="J1288" t="s">
        <v>287</v>
      </c>
      <c r="K1288" s="28">
        <f t="shared" ref="K1288:AW1288" si="454">IFERROR(K1481-((K1481-K72)+(K1481-K225)+(K1481-K378)+(K1481-K530)+(K1481-K682)+(K1481-K833)+(K1481-K984)+(K1481-K1135)),0)</f>
        <v>0.795414165570277</v>
      </c>
      <c r="L1288" s="28">
        <f t="shared" si="454"/>
        <v>0.8083218557846692</v>
      </c>
      <c r="M1288" s="28">
        <f t="shared" si="454"/>
        <v>0.81215441853464132</v>
      </c>
      <c r="N1288" s="28">
        <f t="shared" si="454"/>
        <v>0.80356343008777875</v>
      </c>
      <c r="O1288" s="28">
        <f t="shared" si="454"/>
        <v>0.79499088780116223</v>
      </c>
      <c r="P1288" s="28">
        <f t="shared" si="454"/>
        <v>0.79250347923266529</v>
      </c>
      <c r="Q1288" s="28">
        <f t="shared" si="454"/>
        <v>0.79198531109847847</v>
      </c>
      <c r="R1288" s="28">
        <f t="shared" si="454"/>
        <v>0.77877476502438481</v>
      </c>
      <c r="S1288" s="28">
        <f t="shared" si="454"/>
        <v>0.64890920680176789</v>
      </c>
      <c r="T1288" s="28">
        <f t="shared" si="454"/>
        <v>0.65635952771936401</v>
      </c>
      <c r="U1288" s="28">
        <f t="shared" si="454"/>
        <v>0.66010813888267683</v>
      </c>
      <c r="V1288" s="28">
        <f t="shared" si="454"/>
        <v>0.66325998569855238</v>
      </c>
      <c r="W1288" s="28">
        <f t="shared" si="454"/>
        <v>0.67032154441099578</v>
      </c>
      <c r="X1288" s="28">
        <f t="shared" si="454"/>
        <v>0.67659944009428352</v>
      </c>
      <c r="Y1288" s="28">
        <f t="shared" si="454"/>
        <v>0.6839673554576895</v>
      </c>
      <c r="Z1288" s="28">
        <f t="shared" si="454"/>
        <v>0.6894746829239492</v>
      </c>
      <c r="AA1288" s="28">
        <f t="shared" si="454"/>
        <v>0.69580700628808367</v>
      </c>
      <c r="AB1288" s="28">
        <f t="shared" si="454"/>
        <v>0.69938763466584675</v>
      </c>
      <c r="AC1288" s="28">
        <f t="shared" si="454"/>
        <v>0.70274424872392438</v>
      </c>
      <c r="AD1288" s="28">
        <f t="shared" si="454"/>
        <v>0.71109989150287745</v>
      </c>
      <c r="AE1288" s="28">
        <f t="shared" si="454"/>
        <v>0.72067467371340144</v>
      </c>
      <c r="AF1288" s="28">
        <f t="shared" si="454"/>
        <v>0.73000420515226383</v>
      </c>
      <c r="AG1288" s="28">
        <f t="shared" si="454"/>
        <v>0.71071406303757079</v>
      </c>
      <c r="AH1288" s="28">
        <f t="shared" si="454"/>
        <v>-0.60208128444281728</v>
      </c>
      <c r="AI1288" s="28">
        <f t="shared" si="454"/>
        <v>-0.58863679920443679</v>
      </c>
      <c r="AJ1288" s="28">
        <f t="shared" si="454"/>
        <v>-0.57522090949486993</v>
      </c>
      <c r="AK1288" s="28">
        <f t="shared" si="454"/>
        <v>-0.56182558916770731</v>
      </c>
      <c r="AL1288" s="28">
        <f t="shared" si="454"/>
        <v>-0.54844331539248192</v>
      </c>
      <c r="AM1288" s="28">
        <f t="shared" si="454"/>
        <v>-0.53506702054774069</v>
      </c>
      <c r="AN1288" s="28">
        <f t="shared" si="454"/>
        <v>-0.53547957769604959</v>
      </c>
      <c r="AO1288" s="28">
        <f t="shared" si="454"/>
        <v>-0.53594384014453678</v>
      </c>
      <c r="AP1288" s="28">
        <f t="shared" si="454"/>
        <v>-0.53645780020272227</v>
      </c>
      <c r="AQ1288" s="28">
        <f t="shared" si="454"/>
        <v>-0.5370195880366857</v>
      </c>
      <c r="AR1288" s="28">
        <f t="shared" si="454"/>
        <v>-0.53762745982349858</v>
      </c>
      <c r="AS1288" s="28">
        <f t="shared" si="454"/>
        <v>-0.53763603237672897</v>
      </c>
      <c r="AT1288" s="28">
        <f t="shared" si="454"/>
        <v>-0.5376872826512219</v>
      </c>
      <c r="AU1288" s="28">
        <f t="shared" si="454"/>
        <v>-0.53777963273944618</v>
      </c>
      <c r="AV1288" s="28">
        <f t="shared" si="454"/>
        <v>-0.53791160139995242</v>
      </c>
      <c r="AW1288" s="28">
        <f t="shared" si="454"/>
        <v>-0.53808179654950106</v>
      </c>
      <c r="AY1288" s="85"/>
      <c r="AZ1288" s="85"/>
    </row>
    <row r="1289" spans="1:52" x14ac:dyDescent="0.25">
      <c r="A1289" s="102" t="str">
        <f t="shared" si="384"/>
        <v>FSFAGSPQNIBDDSCM U&amp;D</v>
      </c>
      <c r="B1289" s="102" t="s">
        <v>1376</v>
      </c>
      <c r="C1289" s="102" t="s">
        <v>1337</v>
      </c>
      <c r="D1289" t="s">
        <v>369</v>
      </c>
      <c r="E1289" t="s">
        <v>55</v>
      </c>
      <c r="F1289" t="s">
        <v>422</v>
      </c>
      <c r="G1289" t="s">
        <v>1153</v>
      </c>
      <c r="H1289" t="s">
        <v>1241</v>
      </c>
      <c r="I1289" t="s">
        <v>139</v>
      </c>
      <c r="J1289" t="s">
        <v>287</v>
      </c>
      <c r="K1289" s="28">
        <f t="shared" ref="K1289:AW1289" si="455">IFERROR(K1482-((K1482-K73)+(K1482-K226)+(K1482-K379)+(K1482-K531)+(K1482-K683)+(K1482-K834)+(K1482-K985)+(K1482-K1136)),0)</f>
        <v>0</v>
      </c>
      <c r="L1289" s="28">
        <f t="shared" si="455"/>
        <v>0</v>
      </c>
      <c r="M1289" s="28">
        <f t="shared" si="455"/>
        <v>0</v>
      </c>
      <c r="N1289" s="28">
        <f t="shared" si="455"/>
        <v>0</v>
      </c>
      <c r="O1289" s="28">
        <f t="shared" si="455"/>
        <v>0</v>
      </c>
      <c r="P1289" s="28">
        <f t="shared" si="455"/>
        <v>0</v>
      </c>
      <c r="Q1289" s="28">
        <f t="shared" si="455"/>
        <v>0</v>
      </c>
      <c r="R1289" s="28">
        <f t="shared" si="455"/>
        <v>0</v>
      </c>
      <c r="S1289" s="28">
        <f t="shared" si="455"/>
        <v>0</v>
      </c>
      <c r="T1289" s="28">
        <f t="shared" si="455"/>
        <v>0</v>
      </c>
      <c r="U1289" s="28">
        <f t="shared" si="455"/>
        <v>0</v>
      </c>
      <c r="V1289" s="28">
        <f t="shared" si="455"/>
        <v>0</v>
      </c>
      <c r="W1289" s="28">
        <f t="shared" si="455"/>
        <v>0</v>
      </c>
      <c r="X1289" s="28">
        <f t="shared" si="455"/>
        <v>0</v>
      </c>
      <c r="Y1289" s="28">
        <f t="shared" si="455"/>
        <v>0</v>
      </c>
      <c r="Z1289" s="28">
        <f t="shared" si="455"/>
        <v>0</v>
      </c>
      <c r="AA1289" s="28">
        <f t="shared" si="455"/>
        <v>0</v>
      </c>
      <c r="AB1289" s="28">
        <f t="shared" si="455"/>
        <v>0</v>
      </c>
      <c r="AC1289" s="28">
        <f t="shared" si="455"/>
        <v>0</v>
      </c>
      <c r="AD1289" s="28">
        <f t="shared" si="455"/>
        <v>0</v>
      </c>
      <c r="AE1289" s="28">
        <f t="shared" si="455"/>
        <v>0</v>
      </c>
      <c r="AF1289" s="28">
        <f t="shared" si="455"/>
        <v>0</v>
      </c>
      <c r="AG1289" s="28">
        <f t="shared" si="455"/>
        <v>0</v>
      </c>
      <c r="AH1289" s="28">
        <f t="shared" si="455"/>
        <v>0</v>
      </c>
      <c r="AI1289" s="28">
        <f t="shared" si="455"/>
        <v>0</v>
      </c>
      <c r="AJ1289" s="28">
        <f t="shared" si="455"/>
        <v>0</v>
      </c>
      <c r="AK1289" s="28">
        <f t="shared" si="455"/>
        <v>0</v>
      </c>
      <c r="AL1289" s="28">
        <f t="shared" si="455"/>
        <v>0</v>
      </c>
      <c r="AM1289" s="28">
        <f t="shared" si="455"/>
        <v>0</v>
      </c>
      <c r="AN1289" s="28">
        <f t="shared" si="455"/>
        <v>0</v>
      </c>
      <c r="AO1289" s="28">
        <f t="shared" si="455"/>
        <v>0</v>
      </c>
      <c r="AP1289" s="28">
        <f t="shared" si="455"/>
        <v>0</v>
      </c>
      <c r="AQ1289" s="28">
        <f t="shared" si="455"/>
        <v>0</v>
      </c>
      <c r="AR1289" s="28">
        <f t="shared" si="455"/>
        <v>0</v>
      </c>
      <c r="AS1289" s="28">
        <f t="shared" si="455"/>
        <v>0</v>
      </c>
      <c r="AT1289" s="28">
        <f t="shared" si="455"/>
        <v>0</v>
      </c>
      <c r="AU1289" s="28">
        <f t="shared" si="455"/>
        <v>0</v>
      </c>
      <c r="AV1289" s="28">
        <f t="shared" si="455"/>
        <v>0</v>
      </c>
      <c r="AW1289" s="28">
        <f t="shared" si="455"/>
        <v>0</v>
      </c>
      <c r="AY1289" s="85"/>
      <c r="AZ1289" s="85"/>
    </row>
    <row r="1290" spans="1:52" x14ac:dyDescent="0.25">
      <c r="A1290" s="102" t="str">
        <f t="shared" si="384"/>
        <v>FSFAGSPQNIBDDSCM U&amp;D</v>
      </c>
      <c r="B1290" s="102" t="s">
        <v>1376</v>
      </c>
      <c r="C1290" s="102" t="s">
        <v>1337</v>
      </c>
      <c r="D1290" t="s">
        <v>369</v>
      </c>
      <c r="E1290" t="s">
        <v>55</v>
      </c>
      <c r="F1290" t="s">
        <v>422</v>
      </c>
      <c r="G1290" t="s">
        <v>1155</v>
      </c>
      <c r="H1290" t="s">
        <v>1242</v>
      </c>
      <c r="I1290" t="s">
        <v>139</v>
      </c>
      <c r="J1290" t="s">
        <v>287</v>
      </c>
      <c r="K1290" s="28">
        <f t="shared" ref="K1290:AW1290" si="456">IFERROR(K1483-((K1483-K74)+(K1483-K227)+(K1483-K380)+(K1483-K532)+(K1483-K684)+(K1483-K835)+(K1483-K986)+(K1483-K1137)),0)</f>
        <v>1.0795326716636573</v>
      </c>
      <c r="L1290" s="28">
        <f t="shared" si="456"/>
        <v>1.0862475469793051</v>
      </c>
      <c r="M1290" s="28">
        <f t="shared" si="456"/>
        <v>1.0908641162595043</v>
      </c>
      <c r="N1290" s="28">
        <f t="shared" si="456"/>
        <v>1.0923119403436279</v>
      </c>
      <c r="O1290" s="28">
        <f t="shared" si="456"/>
        <v>1.0942706302876248</v>
      </c>
      <c r="P1290" s="28">
        <f t="shared" si="456"/>
        <v>1.0985609054131558</v>
      </c>
      <c r="Q1290" s="28">
        <f t="shared" si="456"/>
        <v>1.1037045101143446</v>
      </c>
      <c r="R1290" s="28">
        <f t="shared" si="456"/>
        <v>1.105249702620553</v>
      </c>
      <c r="S1290" s="28">
        <f t="shared" si="456"/>
        <v>1.0713187850060639</v>
      </c>
      <c r="T1290" s="28">
        <f t="shared" si="456"/>
        <v>1.0801428769448762</v>
      </c>
      <c r="U1290" s="28">
        <f t="shared" si="456"/>
        <v>1.0882343186562755</v>
      </c>
      <c r="V1290" s="28">
        <f t="shared" si="456"/>
        <v>1.0965307426510265</v>
      </c>
      <c r="W1290" s="28">
        <f t="shared" si="456"/>
        <v>1.1065249139358884</v>
      </c>
      <c r="X1290" s="28">
        <f t="shared" si="456"/>
        <v>1.1167066198379636</v>
      </c>
      <c r="Y1290" s="28">
        <f t="shared" si="456"/>
        <v>1.1266207343141128</v>
      </c>
      <c r="Z1290" s="28">
        <f t="shared" si="456"/>
        <v>1.1363365093259761</v>
      </c>
      <c r="AA1290" s="28">
        <f t="shared" si="456"/>
        <v>1.146801464584869</v>
      </c>
      <c r="AB1290" s="28">
        <f t="shared" si="456"/>
        <v>1.156711571508408</v>
      </c>
      <c r="AC1290" s="28">
        <f t="shared" si="456"/>
        <v>1.1669771470605725</v>
      </c>
      <c r="AD1290" s="28">
        <f t="shared" si="456"/>
        <v>1.1787713566301137</v>
      </c>
      <c r="AE1290" s="28">
        <f t="shared" si="456"/>
        <v>1.1916164906506355</v>
      </c>
      <c r="AF1290" s="28">
        <f t="shared" si="456"/>
        <v>1.2049714778557878</v>
      </c>
      <c r="AG1290" s="28">
        <f t="shared" si="456"/>
        <v>1.2068369654753692</v>
      </c>
      <c r="AH1290" s="28">
        <f t="shared" si="456"/>
        <v>0.64612873683850436</v>
      </c>
      <c r="AI1290" s="28">
        <f t="shared" si="456"/>
        <v>0.64660396058025826</v>
      </c>
      <c r="AJ1290" s="28">
        <f t="shared" si="456"/>
        <v>0.64714161069901732</v>
      </c>
      <c r="AK1290" s="28">
        <f t="shared" si="456"/>
        <v>0.64773931439075094</v>
      </c>
      <c r="AL1290" s="28">
        <f t="shared" si="456"/>
        <v>0.64839488159544112</v>
      </c>
      <c r="AM1290" s="28">
        <f t="shared" si="456"/>
        <v>0.64910628767603584</v>
      </c>
      <c r="AN1290" s="28">
        <f t="shared" si="456"/>
        <v>0.64941256924922242</v>
      </c>
      <c r="AO1290" s="28">
        <f t="shared" si="456"/>
        <v>0.64976802465090699</v>
      </c>
      <c r="AP1290" s="28">
        <f t="shared" si="456"/>
        <v>0.65017093639043266</v>
      </c>
      <c r="AQ1290" s="28">
        <f t="shared" si="456"/>
        <v>0.65061970417317594</v>
      </c>
      <c r="AR1290" s="28">
        <f t="shared" si="456"/>
        <v>0.65111283495552585</v>
      </c>
      <c r="AS1290" s="28">
        <f t="shared" si="456"/>
        <v>0.65118489834837545</v>
      </c>
      <c r="AT1290" s="28">
        <f t="shared" si="456"/>
        <v>0.65129629063948757</v>
      </c>
      <c r="AU1290" s="28">
        <f t="shared" si="456"/>
        <v>0.65144570826558501</v>
      </c>
      <c r="AV1290" s="28">
        <f t="shared" si="456"/>
        <v>0.65163192707531048</v>
      </c>
      <c r="AW1290" s="28">
        <f t="shared" si="456"/>
        <v>0.6518537962289046</v>
      </c>
      <c r="AY1290" s="85"/>
      <c r="AZ1290" s="85"/>
    </row>
    <row r="1291" spans="1:52" x14ac:dyDescent="0.25">
      <c r="A1291" s="102" t="str">
        <f t="shared" si="384"/>
        <v>FSFAGSPQNIBDDSCM U&amp;D</v>
      </c>
      <c r="B1291" s="102" t="s">
        <v>1376</v>
      </c>
      <c r="C1291" s="102" t="s">
        <v>1337</v>
      </c>
      <c r="D1291" t="s">
        <v>369</v>
      </c>
      <c r="E1291" t="s">
        <v>55</v>
      </c>
      <c r="F1291" t="s">
        <v>422</v>
      </c>
      <c r="G1291" t="s">
        <v>1157</v>
      </c>
      <c r="H1291" t="s">
        <v>1243</v>
      </c>
      <c r="I1291" t="s">
        <v>139</v>
      </c>
      <c r="J1291" t="s">
        <v>287</v>
      </c>
      <c r="K1291" s="28">
        <f t="shared" ref="K1291:AW1291" si="457">IFERROR(K1484-((K1484-K75)+(K1484-K228)+(K1484-K381)+(K1484-K533)+(K1484-K685)+(K1484-K836)+(K1484-K987)+(K1484-K1138)),0)</f>
        <v>0.73516913566022923</v>
      </c>
      <c r="L1291" s="28">
        <f t="shared" si="457"/>
        <v>0.7397420116939516</v>
      </c>
      <c r="M1291" s="28">
        <f t="shared" si="457"/>
        <v>0.74288592696073941</v>
      </c>
      <c r="N1291" s="28">
        <f t="shared" si="457"/>
        <v>0.74387190506816692</v>
      </c>
      <c r="O1291" s="28">
        <f t="shared" si="457"/>
        <v>0.74520578632155732</v>
      </c>
      <c r="P1291" s="28">
        <f t="shared" si="457"/>
        <v>0.74812749303648285</v>
      </c>
      <c r="Q1291" s="28">
        <f t="shared" si="457"/>
        <v>0.7516303230309872</v>
      </c>
      <c r="R1291" s="28">
        <f t="shared" si="457"/>
        <v>0.75268260970005785</v>
      </c>
      <c r="S1291" s="28">
        <f t="shared" si="457"/>
        <v>0.72957542264627473</v>
      </c>
      <c r="T1291" s="28">
        <f t="shared" si="457"/>
        <v>0.73558468963181722</v>
      </c>
      <c r="U1291" s="28">
        <f t="shared" si="457"/>
        <v>0.74109501679963463</v>
      </c>
      <c r="V1291" s="28">
        <f t="shared" si="457"/>
        <v>0.74674493830492128</v>
      </c>
      <c r="W1291" s="28">
        <f t="shared" si="457"/>
        <v>0.753551037330909</v>
      </c>
      <c r="X1291" s="28">
        <f t="shared" si="457"/>
        <v>0.76048484871434763</v>
      </c>
      <c r="Y1291" s="28">
        <f t="shared" si="457"/>
        <v>0.7672364285058465</v>
      </c>
      <c r="Z1291" s="28">
        <f t="shared" si="457"/>
        <v>0.77385293776511066</v>
      </c>
      <c r="AA1291" s="28">
        <f t="shared" si="457"/>
        <v>0.78097964389855901</v>
      </c>
      <c r="AB1291" s="28">
        <f t="shared" si="457"/>
        <v>0.78772849451931037</v>
      </c>
      <c r="AC1291" s="28">
        <f t="shared" si="457"/>
        <v>0.79471942170830334</v>
      </c>
      <c r="AD1291" s="28">
        <f t="shared" si="457"/>
        <v>0.80275135912217765</v>
      </c>
      <c r="AE1291" s="28">
        <f t="shared" si="457"/>
        <v>0.81149898327768732</v>
      </c>
      <c r="AF1291" s="28">
        <f t="shared" si="457"/>
        <v>0.82059382094039046</v>
      </c>
      <c r="AG1291" s="28">
        <f t="shared" si="457"/>
        <v>0.8218642307731554</v>
      </c>
      <c r="AH1291" s="28">
        <f t="shared" si="457"/>
        <v>0.4400180906565429</v>
      </c>
      <c r="AI1291" s="28">
        <f t="shared" si="457"/>
        <v>0.44034172127619964</v>
      </c>
      <c r="AJ1291" s="28">
        <f t="shared" si="457"/>
        <v>0.44070786468572382</v>
      </c>
      <c r="AK1291" s="28">
        <f t="shared" si="457"/>
        <v>0.44111490498933553</v>
      </c>
      <c r="AL1291" s="28">
        <f t="shared" si="457"/>
        <v>0.44156135074117797</v>
      </c>
      <c r="AM1291" s="28">
        <f t="shared" si="457"/>
        <v>0.44204582314956586</v>
      </c>
      <c r="AN1291" s="28">
        <f t="shared" si="457"/>
        <v>0.44225440299651131</v>
      </c>
      <c r="AO1291" s="28">
        <f t="shared" si="457"/>
        <v>0.44249647055711561</v>
      </c>
      <c r="AP1291" s="28">
        <f t="shared" si="457"/>
        <v>0.44277085620848994</v>
      </c>
      <c r="AQ1291" s="28">
        <f t="shared" si="457"/>
        <v>0.44307647013904683</v>
      </c>
      <c r="AR1291" s="28">
        <f t="shared" si="457"/>
        <v>0.4434122955758712</v>
      </c>
      <c r="AS1291" s="28">
        <f t="shared" si="457"/>
        <v>0.44346137123946583</v>
      </c>
      <c r="AT1291" s="28">
        <f t="shared" si="457"/>
        <v>0.4435372301518688</v>
      </c>
      <c r="AU1291" s="28">
        <f t="shared" si="457"/>
        <v>0.44363898457756984</v>
      </c>
      <c r="AV1291" s="28">
        <f t="shared" si="457"/>
        <v>0.44376580086111833</v>
      </c>
      <c r="AW1291" s="28">
        <f t="shared" si="457"/>
        <v>0.44391689527276407</v>
      </c>
      <c r="AY1291" s="85"/>
      <c r="AZ1291" s="85"/>
    </row>
    <row r="1292" spans="1:52" x14ac:dyDescent="0.25">
      <c r="A1292" s="102" t="str">
        <f t="shared" si="384"/>
        <v>FSFAGSPQNIBDDSCM U&amp;D</v>
      </c>
      <c r="B1292" s="102" t="s">
        <v>1376</v>
      </c>
      <c r="C1292" s="102" t="s">
        <v>1337</v>
      </c>
      <c r="D1292" t="s">
        <v>369</v>
      </c>
      <c r="E1292" t="s">
        <v>55</v>
      </c>
      <c r="F1292" t="s">
        <v>422</v>
      </c>
      <c r="G1292" t="s">
        <v>1159</v>
      </c>
      <c r="H1292" t="s">
        <v>1244</v>
      </c>
      <c r="I1292" t="s">
        <v>139</v>
      </c>
      <c r="J1292" t="s">
        <v>287</v>
      </c>
      <c r="K1292" s="28">
        <f t="shared" ref="K1292:AW1292" si="458">IFERROR(K1485-((K1485-K76)+(K1485-K229)+(K1485-K382)+(K1485-K534)+(K1485-K686)+(K1485-K837)+(K1485-K988)+(K1485-K1139)),0)</f>
        <v>15.48880966403453</v>
      </c>
      <c r="L1292" s="28">
        <f t="shared" si="458"/>
        <v>15.386143051197998</v>
      </c>
      <c r="M1292" s="28">
        <f t="shared" si="458"/>
        <v>15.169677377989304</v>
      </c>
      <c r="N1292" s="28">
        <f t="shared" si="458"/>
        <v>14.804794487947174</v>
      </c>
      <c r="O1292" s="28">
        <f t="shared" si="458"/>
        <v>14.450776257626368</v>
      </c>
      <c r="P1292" s="28">
        <f t="shared" si="458"/>
        <v>14.178486550067829</v>
      </c>
      <c r="Q1292" s="28">
        <f t="shared" si="458"/>
        <v>13.932198413286633</v>
      </c>
      <c r="R1292" s="28">
        <f t="shared" si="458"/>
        <v>13.544970185493053</v>
      </c>
      <c r="S1292" s="28">
        <f t="shared" si="458"/>
        <v>11.879759863511568</v>
      </c>
      <c r="T1292" s="28">
        <f t="shared" si="458"/>
        <v>11.992993022515481</v>
      </c>
      <c r="U1292" s="28">
        <f t="shared" si="458"/>
        <v>12.069614819396085</v>
      </c>
      <c r="V1292" s="28">
        <f t="shared" si="458"/>
        <v>12.143744438353496</v>
      </c>
      <c r="W1292" s="28">
        <f t="shared" si="458"/>
        <v>12.266336998051067</v>
      </c>
      <c r="X1292" s="28">
        <f t="shared" si="458"/>
        <v>12.384889207902271</v>
      </c>
      <c r="Y1292" s="28">
        <f t="shared" si="458"/>
        <v>12.509351233051413</v>
      </c>
      <c r="Z1292" s="28">
        <f t="shared" si="458"/>
        <v>12.61770643379279</v>
      </c>
      <c r="AA1292" s="28">
        <f t="shared" si="458"/>
        <v>12.7410293454877</v>
      </c>
      <c r="AB1292" s="28">
        <f t="shared" si="458"/>
        <v>12.837533702297911</v>
      </c>
      <c r="AC1292" s="28">
        <f t="shared" si="458"/>
        <v>12.936685976559087</v>
      </c>
      <c r="AD1292" s="28">
        <f t="shared" si="458"/>
        <v>12.98286747930208</v>
      </c>
      <c r="AE1292" s="28">
        <f t="shared" si="458"/>
        <v>13.046191689203091</v>
      </c>
      <c r="AF1292" s="28">
        <f t="shared" si="458"/>
        <v>13.10927150785349</v>
      </c>
      <c r="AG1292" s="28">
        <f t="shared" si="458"/>
        <v>12.831250179467366</v>
      </c>
      <c r="AH1292" s="28">
        <f t="shared" si="458"/>
        <v>-3.0267144396295609</v>
      </c>
      <c r="AI1292" s="28">
        <f t="shared" si="458"/>
        <v>-2.956505191498271</v>
      </c>
      <c r="AJ1292" s="28">
        <f t="shared" si="458"/>
        <v>-2.8874124907442584</v>
      </c>
      <c r="AK1292" s="28">
        <f t="shared" si="458"/>
        <v>-2.8193778585944393</v>
      </c>
      <c r="AL1292" s="28">
        <f t="shared" si="458"/>
        <v>-2.7523468592631737</v>
      </c>
      <c r="AM1292" s="28">
        <f t="shared" si="458"/>
        <v>-2.6862687253121265</v>
      </c>
      <c r="AN1292" s="28">
        <f t="shared" si="458"/>
        <v>-2.6326943062213264</v>
      </c>
      <c r="AO1292" s="28">
        <f t="shared" si="458"/>
        <v>-2.5799290640232249</v>
      </c>
      <c r="AP1292" s="28">
        <f t="shared" si="458"/>
        <v>-2.5279363308324876</v>
      </c>
      <c r="AQ1292" s="28">
        <f t="shared" si="458"/>
        <v>-2.4766817193169062</v>
      </c>
      <c r="AR1292" s="28">
        <f t="shared" si="458"/>
        <v>-2.4261329336018767</v>
      </c>
      <c r="AS1292" s="28">
        <f t="shared" si="458"/>
        <v>-2.3746446145368036</v>
      </c>
      <c r="AT1292" s="28">
        <f t="shared" si="458"/>
        <v>-2.3238643255218379</v>
      </c>
      <c r="AU1292" s="28">
        <f t="shared" si="458"/>
        <v>-2.2737642137550615</v>
      </c>
      <c r="AV1292" s="28">
        <f t="shared" si="458"/>
        <v>-2.2243179912934989</v>
      </c>
      <c r="AW1292" s="28">
        <f t="shared" si="458"/>
        <v>-2.1755008181156215</v>
      </c>
      <c r="AY1292" s="85"/>
      <c r="AZ1292" s="85"/>
    </row>
    <row r="1293" spans="1:52" x14ac:dyDescent="0.25">
      <c r="A1293" s="102" t="str">
        <f t="shared" si="384"/>
        <v>FSFAGSPQNIBDDSCM U&amp;D</v>
      </c>
      <c r="B1293" s="102" t="s">
        <v>1376</v>
      </c>
      <c r="C1293" s="102" t="s">
        <v>1337</v>
      </c>
      <c r="D1293" t="s">
        <v>369</v>
      </c>
      <c r="E1293" t="s">
        <v>55</v>
      </c>
      <c r="F1293" t="s">
        <v>422</v>
      </c>
      <c r="G1293" t="s">
        <v>1161</v>
      </c>
      <c r="H1293" t="s">
        <v>1245</v>
      </c>
      <c r="I1293" t="s">
        <v>139</v>
      </c>
      <c r="J1293" t="s">
        <v>287</v>
      </c>
      <c r="K1293" s="28">
        <f t="shared" ref="K1293:AW1293" si="459">IFERROR(K1486-((K1486-K77)+(K1486-K230)+(K1486-K383)+(K1486-K535)+(K1486-K687)+(K1486-K838)+(K1486-K989)+(K1486-K1140)),0)</f>
        <v>9.7393760290961886</v>
      </c>
      <c r="L1293" s="28">
        <f t="shared" si="459"/>
        <v>9.6748191800072334</v>
      </c>
      <c r="M1293" s="28">
        <f t="shared" si="459"/>
        <v>9.538705389825779</v>
      </c>
      <c r="N1293" s="28">
        <f t="shared" si="459"/>
        <v>9.3092667338033213</v>
      </c>
      <c r="O1293" s="28">
        <f t="shared" si="459"/>
        <v>9.086659784590454</v>
      </c>
      <c r="P1293" s="28">
        <f t="shared" si="459"/>
        <v>8.9154437965133955</v>
      </c>
      <c r="Q1293" s="28">
        <f t="shared" si="459"/>
        <v>8.7605776171460139</v>
      </c>
      <c r="R1293" s="28">
        <f t="shared" si="459"/>
        <v>8.5170881946941783</v>
      </c>
      <c r="S1293" s="28">
        <f t="shared" si="459"/>
        <v>7.4700025990225534</v>
      </c>
      <c r="T1293" s="28">
        <f t="shared" si="459"/>
        <v>7.3811290836535886</v>
      </c>
      <c r="U1293" s="28">
        <f t="shared" si="459"/>
        <v>7.2688079875584606</v>
      </c>
      <c r="V1293" s="28">
        <f t="shared" si="459"/>
        <v>7.154623105370634</v>
      </c>
      <c r="W1293" s="28">
        <f t="shared" si="459"/>
        <v>7.0680632248177657</v>
      </c>
      <c r="X1293" s="28">
        <f t="shared" si="459"/>
        <v>6.9777149915960877</v>
      </c>
      <c r="Y1293" s="28">
        <f t="shared" si="459"/>
        <v>6.8892612384290013</v>
      </c>
      <c r="Z1293" s="28">
        <f t="shared" si="459"/>
        <v>6.7906782468673414</v>
      </c>
      <c r="AA1293" s="28">
        <f t="shared" si="459"/>
        <v>6.6989539907889464</v>
      </c>
      <c r="AB1293" s="28">
        <f t="shared" si="459"/>
        <v>6.5921235160583604</v>
      </c>
      <c r="AC1293" s="28">
        <f t="shared" si="459"/>
        <v>6.4859866112662594</v>
      </c>
      <c r="AD1293" s="28">
        <f t="shared" si="459"/>
        <v>6.4652018355243293</v>
      </c>
      <c r="AE1293" s="28">
        <f t="shared" si="459"/>
        <v>6.4526925507206654</v>
      </c>
      <c r="AF1293" s="28">
        <f t="shared" si="459"/>
        <v>6.4397455622582287</v>
      </c>
      <c r="AG1293" s="28">
        <f t="shared" si="459"/>
        <v>6.2600688342473578</v>
      </c>
      <c r="AH1293" s="28">
        <f t="shared" si="459"/>
        <v>-1.4665217068330973</v>
      </c>
      <c r="AI1293" s="28">
        <f t="shared" si="459"/>
        <v>-1.4226216050557783</v>
      </c>
      <c r="AJ1293" s="28">
        <f t="shared" si="459"/>
        <v>-1.3797485819884008</v>
      </c>
      <c r="AK1293" s="28">
        <f t="shared" si="459"/>
        <v>-1.3378619823914213</v>
      </c>
      <c r="AL1293" s="28">
        <f t="shared" si="459"/>
        <v>-1.2969238882347223</v>
      </c>
      <c r="AM1293" s="28">
        <f t="shared" si="459"/>
        <v>-1.2568988716125011</v>
      </c>
      <c r="AN1293" s="28">
        <f t="shared" si="459"/>
        <v>-1.223142303635933</v>
      </c>
      <c r="AO1293" s="28">
        <f t="shared" si="459"/>
        <v>-1.1901342817452736</v>
      </c>
      <c r="AP1293" s="28">
        <f t="shared" si="459"/>
        <v>-1.1578486923887343</v>
      </c>
      <c r="AQ1293" s="28">
        <f t="shared" si="459"/>
        <v>-1.1262609801928605</v>
      </c>
      <c r="AR1293" s="28">
        <f t="shared" si="459"/>
        <v>-1.0953480222631551</v>
      </c>
      <c r="AS1293" s="28">
        <f t="shared" si="459"/>
        <v>-1.0643641459331941</v>
      </c>
      <c r="AT1293" s="28">
        <f t="shared" si="459"/>
        <v>-1.0340503574205571</v>
      </c>
      <c r="AU1293" s="28">
        <f t="shared" si="459"/>
        <v>-1.0043861724038188</v>
      </c>
      <c r="AV1293" s="28">
        <f t="shared" si="459"/>
        <v>-0.97535218860180206</v>
      </c>
      <c r="AW1293" s="28">
        <f t="shared" si="459"/>
        <v>-0.9469300073052922</v>
      </c>
      <c r="AY1293" s="85"/>
      <c r="AZ1293" s="85"/>
    </row>
    <row r="1294" spans="1:52" x14ac:dyDescent="0.25">
      <c r="A1294" s="102" t="str">
        <f t="shared" si="384"/>
        <v>FSFAGSPQNIBDDSCM U&amp;D</v>
      </c>
      <c r="B1294" s="102" t="s">
        <v>1376</v>
      </c>
      <c r="C1294" s="102" t="s">
        <v>1337</v>
      </c>
      <c r="D1294" t="s">
        <v>369</v>
      </c>
      <c r="E1294" t="s">
        <v>55</v>
      </c>
      <c r="F1294" t="s">
        <v>422</v>
      </c>
      <c r="G1294" t="s">
        <v>1163</v>
      </c>
      <c r="H1294" t="s">
        <v>1246</v>
      </c>
      <c r="I1294" t="s">
        <v>139</v>
      </c>
      <c r="J1294" t="s">
        <v>287</v>
      </c>
      <c r="K1294" s="28">
        <f t="shared" ref="K1294:AW1294" si="460">IFERROR(K1487-((K1487-K78)+(K1487-K231)+(K1487-K384)+(K1487-K536)+(K1487-K688)+(K1487-K839)+(K1487-K990)+(K1487-K1141)),0)</f>
        <v>0</v>
      </c>
      <c r="L1294" s="28">
        <f t="shared" si="460"/>
        <v>0</v>
      </c>
      <c r="M1294" s="28">
        <f t="shared" si="460"/>
        <v>0</v>
      </c>
      <c r="N1294" s="28">
        <f t="shared" si="460"/>
        <v>0</v>
      </c>
      <c r="O1294" s="28">
        <f t="shared" si="460"/>
        <v>0</v>
      </c>
      <c r="P1294" s="28">
        <f t="shared" si="460"/>
        <v>0</v>
      </c>
      <c r="Q1294" s="28">
        <f t="shared" si="460"/>
        <v>0</v>
      </c>
      <c r="R1294" s="28">
        <f t="shared" si="460"/>
        <v>0</v>
      </c>
      <c r="S1294" s="28">
        <f t="shared" si="460"/>
        <v>0</v>
      </c>
      <c r="T1294" s="28">
        <f t="shared" si="460"/>
        <v>0</v>
      </c>
      <c r="U1294" s="28">
        <f t="shared" si="460"/>
        <v>0</v>
      </c>
      <c r="V1294" s="28">
        <f t="shared" si="460"/>
        <v>0</v>
      </c>
      <c r="W1294" s="28">
        <f t="shared" si="460"/>
        <v>0</v>
      </c>
      <c r="X1294" s="28">
        <f t="shared" si="460"/>
        <v>0</v>
      </c>
      <c r="Y1294" s="28">
        <f t="shared" si="460"/>
        <v>0</v>
      </c>
      <c r="Z1294" s="28">
        <f t="shared" si="460"/>
        <v>0</v>
      </c>
      <c r="AA1294" s="28">
        <f t="shared" si="460"/>
        <v>0</v>
      </c>
      <c r="AB1294" s="28">
        <f t="shared" si="460"/>
        <v>0</v>
      </c>
      <c r="AC1294" s="28">
        <f t="shared" si="460"/>
        <v>0</v>
      </c>
      <c r="AD1294" s="28">
        <f t="shared" si="460"/>
        <v>0</v>
      </c>
      <c r="AE1294" s="28">
        <f t="shared" si="460"/>
        <v>0</v>
      </c>
      <c r="AF1294" s="28">
        <f t="shared" si="460"/>
        <v>0</v>
      </c>
      <c r="AG1294" s="28">
        <f t="shared" si="460"/>
        <v>0</v>
      </c>
      <c r="AH1294" s="28">
        <f t="shared" si="460"/>
        <v>0</v>
      </c>
      <c r="AI1294" s="28">
        <f t="shared" si="460"/>
        <v>0</v>
      </c>
      <c r="AJ1294" s="28">
        <f t="shared" si="460"/>
        <v>0</v>
      </c>
      <c r="AK1294" s="28">
        <f t="shared" si="460"/>
        <v>0</v>
      </c>
      <c r="AL1294" s="28">
        <f t="shared" si="460"/>
        <v>0</v>
      </c>
      <c r="AM1294" s="28">
        <f t="shared" si="460"/>
        <v>0</v>
      </c>
      <c r="AN1294" s="28">
        <f t="shared" si="460"/>
        <v>0</v>
      </c>
      <c r="AO1294" s="28">
        <f t="shared" si="460"/>
        <v>0</v>
      </c>
      <c r="AP1294" s="28">
        <f t="shared" si="460"/>
        <v>0</v>
      </c>
      <c r="AQ1294" s="28">
        <f t="shared" si="460"/>
        <v>0</v>
      </c>
      <c r="AR1294" s="28">
        <f t="shared" si="460"/>
        <v>0</v>
      </c>
      <c r="AS1294" s="28">
        <f t="shared" si="460"/>
        <v>0</v>
      </c>
      <c r="AT1294" s="28">
        <f t="shared" si="460"/>
        <v>0</v>
      </c>
      <c r="AU1294" s="28">
        <f t="shared" si="460"/>
        <v>0</v>
      </c>
      <c r="AV1294" s="28">
        <f t="shared" si="460"/>
        <v>0</v>
      </c>
      <c r="AW1294" s="28">
        <f t="shared" si="460"/>
        <v>0</v>
      </c>
      <c r="AY1294" s="85"/>
      <c r="AZ1294" s="85"/>
    </row>
    <row r="1295" spans="1:52" x14ac:dyDescent="0.25">
      <c r="A1295" s="102" t="str">
        <f t="shared" si="384"/>
        <v>FSFAGSPQNIBDDSCM U&amp;D</v>
      </c>
      <c r="B1295" s="102" t="s">
        <v>1376</v>
      </c>
      <c r="C1295" s="102" t="s">
        <v>1337</v>
      </c>
      <c r="D1295" t="s">
        <v>369</v>
      </c>
      <c r="E1295" t="s">
        <v>55</v>
      </c>
      <c r="F1295" t="s">
        <v>422</v>
      </c>
      <c r="G1295" t="s">
        <v>1165</v>
      </c>
      <c r="H1295" t="s">
        <v>1247</v>
      </c>
      <c r="I1295" t="s">
        <v>139</v>
      </c>
      <c r="J1295" t="s">
        <v>287</v>
      </c>
      <c r="K1295" s="28">
        <f t="shared" ref="K1295:AW1295" si="461">IFERROR(K1488-((K1488-K79)+(K1488-K232)+(K1488-K385)+(K1488-K537)+(K1488-K689)+(K1488-K840)+(K1488-K991)+(K1488-K1142)),0)</f>
        <v>5.8007004881973501</v>
      </c>
      <c r="L1295" s="28">
        <f t="shared" si="461"/>
        <v>5.8038682011318086</v>
      </c>
      <c r="M1295" s="28">
        <f t="shared" si="461"/>
        <v>5.8109613188893956</v>
      </c>
      <c r="N1295" s="28">
        <f t="shared" si="461"/>
        <v>5.8216379502269948</v>
      </c>
      <c r="O1295" s="28">
        <f t="shared" si="461"/>
        <v>5.8360409400543007</v>
      </c>
      <c r="P1295" s="28">
        <f t="shared" si="461"/>
        <v>5.8541855713392259</v>
      </c>
      <c r="Q1295" s="28">
        <f t="shared" si="461"/>
        <v>5.8743979550370415</v>
      </c>
      <c r="R1295" s="28">
        <f t="shared" si="461"/>
        <v>5.8963035789612563</v>
      </c>
      <c r="S1295" s="28">
        <f t="shared" si="461"/>
        <v>5.9168885563672573</v>
      </c>
      <c r="T1295" s="28">
        <f t="shared" si="461"/>
        <v>5.9254873000442174</v>
      </c>
      <c r="U1295" s="28">
        <f t="shared" si="461"/>
        <v>5.9354650911079814</v>
      </c>
      <c r="V1295" s="28">
        <f t="shared" si="461"/>
        <v>5.9468198836780894</v>
      </c>
      <c r="W1295" s="28">
        <f t="shared" si="461"/>
        <v>5.9596105082694644</v>
      </c>
      <c r="X1295" s="28">
        <f t="shared" si="461"/>
        <v>5.9736319121523582</v>
      </c>
      <c r="Y1295" s="28">
        <f t="shared" si="461"/>
        <v>5.9822631555642722</v>
      </c>
      <c r="Z1295" s="28">
        <f t="shared" si="461"/>
        <v>5.9919044326673472</v>
      </c>
      <c r="AA1295" s="28">
        <f t="shared" si="461"/>
        <v>6.0025907311296489</v>
      </c>
      <c r="AB1295" s="28">
        <f t="shared" si="461"/>
        <v>6.0141578623127154</v>
      </c>
      <c r="AC1295" s="28">
        <f t="shared" si="461"/>
        <v>6.0266471855560004</v>
      </c>
      <c r="AD1295" s="28">
        <f t="shared" si="461"/>
        <v>6.0348691397671148</v>
      </c>
      <c r="AE1295" s="28">
        <f t="shared" si="461"/>
        <v>6.0439559167579606</v>
      </c>
      <c r="AF1295" s="28">
        <f t="shared" si="461"/>
        <v>6.0538257946059888</v>
      </c>
      <c r="AG1295" s="28">
        <f t="shared" si="461"/>
        <v>6.0633613554169949</v>
      </c>
      <c r="AH1295" s="28">
        <f t="shared" si="461"/>
        <v>6.0225939777620399</v>
      </c>
      <c r="AI1295" s="28">
        <f t="shared" si="461"/>
        <v>6.0283835899852134</v>
      </c>
      <c r="AJ1295" s="28">
        <f t="shared" si="461"/>
        <v>6.0347724557516536</v>
      </c>
      <c r="AK1295" s="28">
        <f t="shared" si="461"/>
        <v>6.0417379357652736</v>
      </c>
      <c r="AL1295" s="28">
        <f t="shared" si="461"/>
        <v>6.0492591406066394</v>
      </c>
      <c r="AM1295" s="28">
        <f t="shared" si="461"/>
        <v>6.0573167646829393</v>
      </c>
      <c r="AN1295" s="28">
        <f t="shared" si="461"/>
        <v>6.061227136954745</v>
      </c>
      <c r="AO1295" s="28">
        <f t="shared" si="461"/>
        <v>6.0656101287298938</v>
      </c>
      <c r="AP1295" s="28">
        <f t="shared" si="461"/>
        <v>6.0704492917353319</v>
      </c>
      <c r="AQ1295" s="28">
        <f t="shared" si="461"/>
        <v>6.0757293034784778</v>
      </c>
      <c r="AR1295" s="28">
        <f t="shared" si="461"/>
        <v>6.0814358716066721</v>
      </c>
      <c r="AS1295" s="28">
        <f t="shared" si="461"/>
        <v>6.082843612547955</v>
      </c>
      <c r="AT1295" s="28">
        <f t="shared" si="461"/>
        <v>6.0846299220859592</v>
      </c>
      <c r="AU1295" s="28">
        <f t="shared" si="461"/>
        <v>6.0867822620358538</v>
      </c>
      <c r="AV1295" s="28">
        <f t="shared" si="461"/>
        <v>6.0892888598488994</v>
      </c>
      <c r="AW1295" s="28">
        <f t="shared" si="461"/>
        <v>6.092138649733787</v>
      </c>
      <c r="AY1295" s="85"/>
      <c r="AZ1295" s="85"/>
    </row>
    <row r="1296" spans="1:52" x14ac:dyDescent="0.25">
      <c r="A1296" s="102" t="str">
        <f t="shared" si="384"/>
        <v>FSFAGSPQNIBDDSCM U&amp;D</v>
      </c>
      <c r="B1296" s="102" t="s">
        <v>1376</v>
      </c>
      <c r="C1296" s="102" t="s">
        <v>1337</v>
      </c>
      <c r="D1296" t="s">
        <v>369</v>
      </c>
      <c r="E1296" t="s">
        <v>55</v>
      </c>
      <c r="F1296" t="s">
        <v>422</v>
      </c>
      <c r="G1296" t="s">
        <v>1167</v>
      </c>
      <c r="H1296" t="s">
        <v>1248</v>
      </c>
      <c r="I1296" t="s">
        <v>139</v>
      </c>
      <c r="J1296" t="s">
        <v>287</v>
      </c>
      <c r="K1296" s="28">
        <f t="shared" ref="K1296:AW1296" si="462">IFERROR(K1489-((K1489-K80)+(K1489-K233)+(K1489-K386)+(K1489-K538)+(K1489-K690)+(K1489-K841)+(K1489-K992)+(K1489-K1143)),0)</f>
        <v>0.64752945126978523</v>
      </c>
      <c r="L1296" s="28">
        <f t="shared" si="462"/>
        <v>0.64788306156605957</v>
      </c>
      <c r="M1296" s="28">
        <f t="shared" si="462"/>
        <v>0.64867486294568755</v>
      </c>
      <c r="N1296" s="28">
        <f t="shared" si="462"/>
        <v>0.64986669025094335</v>
      </c>
      <c r="O1296" s="28">
        <f t="shared" si="462"/>
        <v>0.65147448919151907</v>
      </c>
      <c r="P1296" s="28">
        <f t="shared" si="462"/>
        <v>0.65349996579789205</v>
      </c>
      <c r="Q1296" s="28">
        <f t="shared" si="462"/>
        <v>0.65575626462789216</v>
      </c>
      <c r="R1296" s="28">
        <f t="shared" si="462"/>
        <v>0.65820157906331789</v>
      </c>
      <c r="S1296" s="28">
        <f t="shared" si="462"/>
        <v>0.66049947035269418</v>
      </c>
      <c r="T1296" s="28">
        <f t="shared" si="462"/>
        <v>0.66145934404141127</v>
      </c>
      <c r="U1296" s="28">
        <f t="shared" si="462"/>
        <v>0.66257316013751044</v>
      </c>
      <c r="V1296" s="28">
        <f t="shared" si="462"/>
        <v>0.66384069026032311</v>
      </c>
      <c r="W1296" s="28">
        <f t="shared" si="462"/>
        <v>0.66526850163239837</v>
      </c>
      <c r="X1296" s="28">
        <f t="shared" si="462"/>
        <v>0.66683370431452194</v>
      </c>
      <c r="Y1296" s="28">
        <f t="shared" si="462"/>
        <v>0.66779720593327729</v>
      </c>
      <c r="Z1296" s="28">
        <f t="shared" si="462"/>
        <v>0.66887345713514434</v>
      </c>
      <c r="AA1296" s="28">
        <f t="shared" si="462"/>
        <v>0.6700663635769577</v>
      </c>
      <c r="AB1296" s="28">
        <f t="shared" si="462"/>
        <v>0.67135759695868036</v>
      </c>
      <c r="AC1296" s="28">
        <f t="shared" si="462"/>
        <v>0.67275177420381005</v>
      </c>
      <c r="AD1296" s="28">
        <f t="shared" si="462"/>
        <v>0.67366958706270863</v>
      </c>
      <c r="AE1296" s="28">
        <f t="shared" si="462"/>
        <v>0.67468393967937379</v>
      </c>
      <c r="AF1296" s="28">
        <f t="shared" si="462"/>
        <v>0.67578570947425243</v>
      </c>
      <c r="AG1296" s="28">
        <f t="shared" si="462"/>
        <v>0.6768501596164489</v>
      </c>
      <c r="AH1296" s="28">
        <f t="shared" si="462"/>
        <v>0.6722993165352843</v>
      </c>
      <c r="AI1296" s="28">
        <f t="shared" si="462"/>
        <v>0.67294560820877491</v>
      </c>
      <c r="AJ1296" s="28">
        <f t="shared" si="462"/>
        <v>0.67365879427180253</v>
      </c>
      <c r="AK1296" s="28">
        <f t="shared" si="462"/>
        <v>0.674436347510455</v>
      </c>
      <c r="AL1296" s="28">
        <f t="shared" si="462"/>
        <v>0.67527593604872327</v>
      </c>
      <c r="AM1296" s="28">
        <f t="shared" si="462"/>
        <v>0.67617540481241489</v>
      </c>
      <c r="AN1296" s="28">
        <f t="shared" si="462"/>
        <v>0.67661191781917585</v>
      </c>
      <c r="AO1296" s="28">
        <f t="shared" si="462"/>
        <v>0.67710118911750539</v>
      </c>
      <c r="AP1296" s="28">
        <f t="shared" si="462"/>
        <v>0.67764138259446438</v>
      </c>
      <c r="AQ1296" s="28">
        <f t="shared" si="462"/>
        <v>0.6782307878074546</v>
      </c>
      <c r="AR1296" s="28">
        <f t="shared" si="462"/>
        <v>0.67886780930790958</v>
      </c>
      <c r="AS1296" s="28">
        <f t="shared" si="462"/>
        <v>0.67902495476320335</v>
      </c>
      <c r="AT1296" s="28">
        <f t="shared" si="462"/>
        <v>0.67922435965185335</v>
      </c>
      <c r="AU1296" s="28">
        <f t="shared" si="462"/>
        <v>0.67946462434221933</v>
      </c>
      <c r="AV1296" s="28">
        <f t="shared" si="462"/>
        <v>0.67974443467025414</v>
      </c>
      <c r="AW1296" s="28">
        <f t="shared" si="462"/>
        <v>0.68006255536690974</v>
      </c>
      <c r="AY1296" s="85"/>
      <c r="AZ1296" s="85"/>
    </row>
    <row r="1297" spans="1:52" x14ac:dyDescent="0.25">
      <c r="A1297" s="102" t="str">
        <f t="shared" si="384"/>
        <v>FSFAGSPQNIBDDSCM U&amp;D</v>
      </c>
      <c r="B1297" s="102" t="s">
        <v>1376</v>
      </c>
      <c r="C1297" s="102" t="s">
        <v>1337</v>
      </c>
      <c r="D1297" t="s">
        <v>369</v>
      </c>
      <c r="E1297" t="s">
        <v>55</v>
      </c>
      <c r="F1297" t="s">
        <v>422</v>
      </c>
      <c r="G1297" t="s">
        <v>1169</v>
      </c>
      <c r="H1297" t="s">
        <v>1249</v>
      </c>
      <c r="I1297" t="s">
        <v>139</v>
      </c>
      <c r="J1297" t="s">
        <v>287</v>
      </c>
      <c r="K1297" s="28">
        <f t="shared" ref="K1297:AW1297" si="463">IFERROR(K1490-((K1490-K81)+(K1490-K234)+(K1490-K387)+(K1490-K539)+(K1490-K691)+(K1490-K842)+(K1490-K993)+(K1490-K1144)),0)</f>
        <v>0.71703962515202246</v>
      </c>
      <c r="L1297" s="28">
        <f t="shared" si="463"/>
        <v>0.71890983434251277</v>
      </c>
      <c r="M1297" s="28">
        <f t="shared" si="463"/>
        <v>0.72140205375439892</v>
      </c>
      <c r="N1297" s="28">
        <f t="shared" si="463"/>
        <v>0.72446087645337953</v>
      </c>
      <c r="O1297" s="28">
        <f t="shared" si="463"/>
        <v>0.72812305944589495</v>
      </c>
      <c r="P1297" s="28">
        <f t="shared" si="463"/>
        <v>0.73239834824766725</v>
      </c>
      <c r="Q1297" s="28">
        <f t="shared" si="463"/>
        <v>0.73696942015050981</v>
      </c>
      <c r="R1297" s="28">
        <f t="shared" si="463"/>
        <v>0.74177091257362759</v>
      </c>
      <c r="S1297" s="28">
        <f t="shared" si="463"/>
        <v>0.74623128814082973</v>
      </c>
      <c r="T1297" s="28">
        <f t="shared" si="463"/>
        <v>0.74832155602397465</v>
      </c>
      <c r="U1297" s="28">
        <f t="shared" si="463"/>
        <v>0.75061365062436147</v>
      </c>
      <c r="V1297" s="28">
        <f t="shared" si="463"/>
        <v>0.75311048066791608</v>
      </c>
      <c r="W1297" s="28">
        <f t="shared" si="463"/>
        <v>0.75582597980024202</v>
      </c>
      <c r="X1297" s="28">
        <f t="shared" si="463"/>
        <v>0.758723586950243</v>
      </c>
      <c r="Y1297" s="28">
        <f t="shared" si="463"/>
        <v>0.76055515001802498</v>
      </c>
      <c r="Z1297" s="28">
        <f t="shared" si="463"/>
        <v>0.76253680812015046</v>
      </c>
      <c r="AA1297" s="28">
        <f t="shared" si="463"/>
        <v>0.7646767595046402</v>
      </c>
      <c r="AB1297" s="28">
        <f t="shared" si="463"/>
        <v>0.76694554342614063</v>
      </c>
      <c r="AC1297" s="28">
        <f t="shared" si="463"/>
        <v>0.76935223527037744</v>
      </c>
      <c r="AD1297" s="28">
        <f t="shared" si="463"/>
        <v>0.7709284586249765</v>
      </c>
      <c r="AE1297" s="28">
        <f t="shared" si="463"/>
        <v>0.77263788414937862</v>
      </c>
      <c r="AF1297" s="28">
        <f t="shared" si="463"/>
        <v>0.77446606053450517</v>
      </c>
      <c r="AG1297" s="28">
        <f t="shared" si="463"/>
        <v>0.7762062172722024</v>
      </c>
      <c r="AH1297" s="28">
        <f t="shared" si="463"/>
        <v>0.76859920994116682</v>
      </c>
      <c r="AI1297" s="28">
        <f t="shared" si="463"/>
        <v>0.76961702960226952</v>
      </c>
      <c r="AJ1297" s="28">
        <f t="shared" si="463"/>
        <v>0.77072611211000452</v>
      </c>
      <c r="AK1297" s="28">
        <f t="shared" si="463"/>
        <v>0.7719227512042488</v>
      </c>
      <c r="AL1297" s="28">
        <f t="shared" si="463"/>
        <v>0.77320352810315807</v>
      </c>
      <c r="AM1297" s="28">
        <f t="shared" si="463"/>
        <v>0.77456528397766</v>
      </c>
      <c r="AN1297" s="28">
        <f t="shared" si="463"/>
        <v>0.7751498155218971</v>
      </c>
      <c r="AO1297" s="28">
        <f t="shared" si="463"/>
        <v>0.77580729833667095</v>
      </c>
      <c r="AP1297" s="28">
        <f t="shared" si="463"/>
        <v>0.77653498216260275</v>
      </c>
      <c r="AQ1297" s="28">
        <f t="shared" si="463"/>
        <v>0.77733030541457571</v>
      </c>
      <c r="AR1297" s="28">
        <f t="shared" si="463"/>
        <v>0.77819087901746686</v>
      </c>
      <c r="AS1297" s="28">
        <f t="shared" si="463"/>
        <v>0.77825802091956864</v>
      </c>
      <c r="AT1297" s="28">
        <f t="shared" si="463"/>
        <v>0.77838487427420744</v>
      </c>
      <c r="AU1297" s="28">
        <f t="shared" si="463"/>
        <v>0.77856929465999758</v>
      </c>
      <c r="AV1297" s="28">
        <f t="shared" si="463"/>
        <v>0.77880926891307201</v>
      </c>
      <c r="AW1297" s="28">
        <f t="shared" si="463"/>
        <v>0.77910290495826517</v>
      </c>
      <c r="AY1297" s="85"/>
      <c r="AZ1297" s="85"/>
    </row>
    <row r="1298" spans="1:52" x14ac:dyDescent="0.25">
      <c r="A1298" s="102" t="str">
        <f t="shared" si="384"/>
        <v>FSFAGSPQNIBDDSCM U&amp;D</v>
      </c>
      <c r="B1298" s="102" t="s">
        <v>1376</v>
      </c>
      <c r="C1298" s="102" t="s">
        <v>1337</v>
      </c>
      <c r="D1298" t="s">
        <v>369</v>
      </c>
      <c r="E1298" t="s">
        <v>55</v>
      </c>
      <c r="F1298" t="s">
        <v>422</v>
      </c>
      <c r="G1298" t="s">
        <v>1171</v>
      </c>
      <c r="H1298" t="s">
        <v>1250</v>
      </c>
      <c r="I1298" t="s">
        <v>139</v>
      </c>
      <c r="J1298" t="s">
        <v>287</v>
      </c>
      <c r="K1298" s="28">
        <f t="shared" ref="K1298:AW1298" si="464">IFERROR(K1491-((K1491-K82)+(K1491-K235)+(K1491-K388)+(K1491-K540)+(K1491-K692)+(K1491-K843)+(K1491-K994)+(K1491-K1145)),0)</f>
        <v>1.1866860146705673</v>
      </c>
      <c r="L1298" s="28">
        <f t="shared" si="464"/>
        <v>1.1897811728919734</v>
      </c>
      <c r="M1298" s="28">
        <f t="shared" si="464"/>
        <v>1.1939057453951301</v>
      </c>
      <c r="N1298" s="28">
        <f t="shared" si="464"/>
        <v>1.1989680348292291</v>
      </c>
      <c r="O1298" s="28">
        <f t="shared" si="464"/>
        <v>1.2050288732932972</v>
      </c>
      <c r="P1298" s="28">
        <f t="shared" si="464"/>
        <v>1.2121043894178982</v>
      </c>
      <c r="Q1298" s="28">
        <f t="shared" si="464"/>
        <v>1.2196694205666394</v>
      </c>
      <c r="R1298" s="28">
        <f t="shared" si="464"/>
        <v>1.2276157929959912</v>
      </c>
      <c r="S1298" s="28">
        <f t="shared" si="464"/>
        <v>1.2349976239577805</v>
      </c>
      <c r="T1298" s="28">
        <f t="shared" si="464"/>
        <v>1.2384569748455603</v>
      </c>
      <c r="U1298" s="28">
        <f t="shared" si="464"/>
        <v>1.2422503448507454</v>
      </c>
      <c r="V1298" s="28">
        <f t="shared" si="464"/>
        <v>1.2463825478556594</v>
      </c>
      <c r="W1298" s="28">
        <f t="shared" si="464"/>
        <v>1.2508766437607468</v>
      </c>
      <c r="X1298" s="28">
        <f t="shared" si="464"/>
        <v>1.2556721247359952</v>
      </c>
      <c r="Y1298" s="28">
        <f t="shared" si="464"/>
        <v>1.2587033244093235</v>
      </c>
      <c r="Z1298" s="28">
        <f t="shared" si="464"/>
        <v>1.2619829283156658</v>
      </c>
      <c r="AA1298" s="28">
        <f t="shared" si="464"/>
        <v>1.2655245043889694</v>
      </c>
      <c r="AB1298" s="28">
        <f t="shared" si="464"/>
        <v>1.2692792956940984</v>
      </c>
      <c r="AC1298" s="28">
        <f t="shared" si="464"/>
        <v>1.2732623218100843</v>
      </c>
      <c r="AD1298" s="28">
        <f t="shared" si="464"/>
        <v>1.2758709394447143</v>
      </c>
      <c r="AE1298" s="28">
        <f t="shared" si="464"/>
        <v>1.2787000039646823</v>
      </c>
      <c r="AF1298" s="28">
        <f t="shared" si="464"/>
        <v>1.2817255987470082</v>
      </c>
      <c r="AG1298" s="28">
        <f t="shared" si="464"/>
        <v>1.2846055228007487</v>
      </c>
      <c r="AH1298" s="28">
        <f t="shared" si="464"/>
        <v>1.2720160801861611</v>
      </c>
      <c r="AI1298" s="28">
        <f t="shared" si="464"/>
        <v>1.2737005510506982</v>
      </c>
      <c r="AJ1298" s="28">
        <f t="shared" si="464"/>
        <v>1.2755360600726242</v>
      </c>
      <c r="AK1298" s="28">
        <f t="shared" si="464"/>
        <v>1.2775164734667195</v>
      </c>
      <c r="AL1298" s="28">
        <f t="shared" si="464"/>
        <v>1.2796361332184747</v>
      </c>
      <c r="AM1298" s="28">
        <f t="shared" si="464"/>
        <v>1.2818898115299409</v>
      </c>
      <c r="AN1298" s="28">
        <f t="shared" si="464"/>
        <v>1.2828571993622844</v>
      </c>
      <c r="AO1298" s="28">
        <f t="shared" si="464"/>
        <v>1.283945320065534</v>
      </c>
      <c r="AP1298" s="28">
        <f t="shared" si="464"/>
        <v>1.2851496220162837</v>
      </c>
      <c r="AQ1298" s="28">
        <f t="shared" si="464"/>
        <v>1.2864658658431971</v>
      </c>
      <c r="AR1298" s="28">
        <f t="shared" si="464"/>
        <v>1.2878900976754739</v>
      </c>
      <c r="AS1298" s="28">
        <f t="shared" si="464"/>
        <v>1.2880012161596242</v>
      </c>
      <c r="AT1298" s="28">
        <f t="shared" si="464"/>
        <v>1.288211155884827</v>
      </c>
      <c r="AU1298" s="28">
        <f t="shared" si="464"/>
        <v>1.2885163678772478</v>
      </c>
      <c r="AV1298" s="28">
        <f t="shared" si="464"/>
        <v>1.2889135203915794</v>
      </c>
      <c r="AW1298" s="28">
        <f t="shared" si="464"/>
        <v>1.2893994820818555</v>
      </c>
      <c r="AY1298" s="85"/>
      <c r="AZ1298" s="85"/>
    </row>
    <row r="1299" spans="1:52" x14ac:dyDescent="0.25">
      <c r="A1299" s="102" t="str">
        <f t="shared" si="384"/>
        <v>FSFAGSPQNIBDDSCM U&amp;D</v>
      </c>
      <c r="B1299" s="102" t="s">
        <v>1376</v>
      </c>
      <c r="C1299" s="102" t="s">
        <v>1337</v>
      </c>
      <c r="D1299" t="s">
        <v>369</v>
      </c>
      <c r="E1299" t="s">
        <v>55</v>
      </c>
      <c r="F1299" t="s">
        <v>422</v>
      </c>
      <c r="G1299" t="s">
        <v>1173</v>
      </c>
      <c r="H1299" t="s">
        <v>1251</v>
      </c>
      <c r="I1299" t="s">
        <v>139</v>
      </c>
      <c r="J1299" t="s">
        <v>287</v>
      </c>
      <c r="K1299" s="28">
        <f t="shared" ref="K1299:AW1299" si="465">IFERROR(K1492-((K1492-K83)+(K1492-K236)+(K1492-K389)+(K1492-K541)+(K1492-K693)+(K1492-K844)+(K1492-K995)+(K1492-K1146)),0)</f>
        <v>0.19206426868977441</v>
      </c>
      <c r="L1299" s="28">
        <f t="shared" si="465"/>
        <v>0.19318987586932423</v>
      </c>
      <c r="M1299" s="28">
        <f t="shared" si="465"/>
        <v>0.19346719628053802</v>
      </c>
      <c r="N1299" s="28">
        <f t="shared" si="465"/>
        <v>0.19261999020243609</v>
      </c>
      <c r="O1299" s="28">
        <f t="shared" si="465"/>
        <v>0.19172365370541722</v>
      </c>
      <c r="P1299" s="28">
        <f t="shared" si="465"/>
        <v>0.19129719629214276</v>
      </c>
      <c r="Q1299" s="28">
        <f t="shared" si="465"/>
        <v>0.19101276819466945</v>
      </c>
      <c r="R1299" s="28">
        <f t="shared" si="465"/>
        <v>0.18964082845337171</v>
      </c>
      <c r="S1299" s="28">
        <f t="shared" si="465"/>
        <v>0.17855585025741377</v>
      </c>
      <c r="T1299" s="28">
        <f t="shared" si="465"/>
        <v>0.1801256476686891</v>
      </c>
      <c r="U1299" s="28">
        <f t="shared" si="465"/>
        <v>0.18141112915440744</v>
      </c>
      <c r="V1299" s="28">
        <f t="shared" si="465"/>
        <v>0.18267062412414889</v>
      </c>
      <c r="W1299" s="28">
        <f t="shared" si="465"/>
        <v>0.18430349788289624</v>
      </c>
      <c r="X1299" s="28">
        <f t="shared" si="465"/>
        <v>0.18590650598729025</v>
      </c>
      <c r="Y1299" s="28">
        <f t="shared" si="465"/>
        <v>0.18774289622011922</v>
      </c>
      <c r="Z1299" s="28">
        <f t="shared" si="465"/>
        <v>0.18945974795510873</v>
      </c>
      <c r="AA1299" s="28">
        <f t="shared" si="465"/>
        <v>0.19130656367707333</v>
      </c>
      <c r="AB1299" s="28">
        <f t="shared" si="465"/>
        <v>0.1929453281809925</v>
      </c>
      <c r="AC1299" s="28">
        <f t="shared" si="465"/>
        <v>0.19461451886655767</v>
      </c>
      <c r="AD1299" s="28">
        <f t="shared" si="465"/>
        <v>0.19692637066734073</v>
      </c>
      <c r="AE1299" s="28">
        <f t="shared" si="465"/>
        <v>0.19944913652878843</v>
      </c>
      <c r="AF1299" s="28">
        <f t="shared" si="465"/>
        <v>0.20204327521693932</v>
      </c>
      <c r="AG1299" s="28">
        <f t="shared" si="465"/>
        <v>0.20167425591994353</v>
      </c>
      <c r="AH1299" s="28">
        <f t="shared" si="465"/>
        <v>5.9672038121461136E-2</v>
      </c>
      <c r="AI1299" s="28">
        <f t="shared" si="465"/>
        <v>5.9672038121461136E-2</v>
      </c>
      <c r="AJ1299" s="28">
        <f t="shared" si="465"/>
        <v>5.9672038121461136E-2</v>
      </c>
      <c r="AK1299" s="28">
        <f t="shared" si="465"/>
        <v>5.9672038121461136E-2</v>
      </c>
      <c r="AL1299" s="28">
        <f t="shared" si="465"/>
        <v>5.9672038121461136E-2</v>
      </c>
      <c r="AM1299" s="28">
        <f t="shared" si="465"/>
        <v>5.9672038121461136E-2</v>
      </c>
      <c r="AN1299" s="28">
        <f t="shared" si="465"/>
        <v>5.9672038121461136E-2</v>
      </c>
      <c r="AO1299" s="28">
        <f t="shared" si="465"/>
        <v>5.9672038121461136E-2</v>
      </c>
      <c r="AP1299" s="28">
        <f t="shared" si="465"/>
        <v>5.9672038121461136E-2</v>
      </c>
      <c r="AQ1299" s="28">
        <f t="shared" si="465"/>
        <v>5.9672038121461136E-2</v>
      </c>
      <c r="AR1299" s="28">
        <f t="shared" si="465"/>
        <v>5.9672038121461136E-2</v>
      </c>
      <c r="AS1299" s="28">
        <f t="shared" si="465"/>
        <v>5.9672038121461136E-2</v>
      </c>
      <c r="AT1299" s="28">
        <f t="shared" si="465"/>
        <v>5.9672038121461136E-2</v>
      </c>
      <c r="AU1299" s="28">
        <f t="shared" si="465"/>
        <v>5.9672038121461136E-2</v>
      </c>
      <c r="AV1299" s="28">
        <f t="shared" si="465"/>
        <v>5.9672038121461136E-2</v>
      </c>
      <c r="AW1299" s="28">
        <f t="shared" si="465"/>
        <v>5.9672038121461136E-2</v>
      </c>
      <c r="AY1299" s="85"/>
      <c r="AZ1299" s="85"/>
    </row>
    <row r="1300" spans="1:52" x14ac:dyDescent="0.25">
      <c r="A1300" s="102" t="str">
        <f t="shared" si="384"/>
        <v>FSFAGSPQNIBDDSCM U&amp;D</v>
      </c>
      <c r="B1300" s="102" t="s">
        <v>1376</v>
      </c>
      <c r="C1300" s="102" t="s">
        <v>1337</v>
      </c>
      <c r="D1300" t="s">
        <v>369</v>
      </c>
      <c r="E1300" t="s">
        <v>55</v>
      </c>
      <c r="F1300" t="s">
        <v>422</v>
      </c>
      <c r="G1300" t="s">
        <v>1175</v>
      </c>
      <c r="H1300" t="s">
        <v>1252</v>
      </c>
      <c r="I1300" t="s">
        <v>139</v>
      </c>
      <c r="J1300" t="s">
        <v>287</v>
      </c>
      <c r="K1300" s="28">
        <f t="shared" ref="K1300:AW1300" si="466">IFERROR(K1493-((K1493-K84)+(K1493-K237)+(K1493-K390)+(K1493-K542)+(K1493-K694)+(K1493-K845)+(K1493-K996)+(K1493-K1147)),0)</f>
        <v>3.4640571428571423E-2</v>
      </c>
      <c r="L1300" s="28">
        <f t="shared" si="466"/>
        <v>3.4640571428571423E-2</v>
      </c>
      <c r="M1300" s="28">
        <f t="shared" si="466"/>
        <v>3.4640571428571423E-2</v>
      </c>
      <c r="N1300" s="28">
        <f t="shared" si="466"/>
        <v>3.4640571428571423E-2</v>
      </c>
      <c r="O1300" s="28">
        <f t="shared" si="466"/>
        <v>3.4640571428571423E-2</v>
      </c>
      <c r="P1300" s="28">
        <f t="shared" si="466"/>
        <v>3.4640571428571423E-2</v>
      </c>
      <c r="Q1300" s="28">
        <f t="shared" si="466"/>
        <v>3.4640571428571423E-2</v>
      </c>
      <c r="R1300" s="28">
        <f t="shared" si="466"/>
        <v>3.4640571428571423E-2</v>
      </c>
      <c r="S1300" s="28">
        <f t="shared" si="466"/>
        <v>3.4640571428571423E-2</v>
      </c>
      <c r="T1300" s="28">
        <f t="shared" si="466"/>
        <v>3.4640571428571423E-2</v>
      </c>
      <c r="U1300" s="28">
        <f t="shared" si="466"/>
        <v>3.4640571428571423E-2</v>
      </c>
      <c r="V1300" s="28">
        <f t="shared" si="466"/>
        <v>3.4640571428571423E-2</v>
      </c>
      <c r="W1300" s="28">
        <f t="shared" si="466"/>
        <v>3.4640571428571423E-2</v>
      </c>
      <c r="X1300" s="28">
        <f t="shared" si="466"/>
        <v>3.4640571428571423E-2</v>
      </c>
      <c r="Y1300" s="28">
        <f t="shared" si="466"/>
        <v>3.4640571428571423E-2</v>
      </c>
      <c r="Z1300" s="28">
        <f t="shared" si="466"/>
        <v>3.4640571428571423E-2</v>
      </c>
      <c r="AA1300" s="28">
        <f t="shared" si="466"/>
        <v>3.4640571428571423E-2</v>
      </c>
      <c r="AB1300" s="28">
        <f t="shared" si="466"/>
        <v>3.4640571428571423E-2</v>
      </c>
      <c r="AC1300" s="28">
        <f t="shared" si="466"/>
        <v>3.4640571428571423E-2</v>
      </c>
      <c r="AD1300" s="28">
        <f t="shared" si="466"/>
        <v>3.4640571428571423E-2</v>
      </c>
      <c r="AE1300" s="28">
        <f t="shared" si="466"/>
        <v>3.4640571428571423E-2</v>
      </c>
      <c r="AF1300" s="28">
        <f t="shared" si="466"/>
        <v>3.4640571428571423E-2</v>
      </c>
      <c r="AG1300" s="28">
        <f t="shared" si="466"/>
        <v>3.4640571428571423E-2</v>
      </c>
      <c r="AH1300" s="28">
        <f t="shared" si="466"/>
        <v>3.4640571428571423E-2</v>
      </c>
      <c r="AI1300" s="28">
        <f t="shared" si="466"/>
        <v>3.4640571428571423E-2</v>
      </c>
      <c r="AJ1300" s="28">
        <f t="shared" si="466"/>
        <v>3.4640571428571423E-2</v>
      </c>
      <c r="AK1300" s="28">
        <f t="shared" si="466"/>
        <v>3.4640571428571423E-2</v>
      </c>
      <c r="AL1300" s="28">
        <f t="shared" si="466"/>
        <v>3.4640571428571423E-2</v>
      </c>
      <c r="AM1300" s="28">
        <f t="shared" si="466"/>
        <v>3.4640571428571423E-2</v>
      </c>
      <c r="AN1300" s="28">
        <f t="shared" si="466"/>
        <v>3.4640571428571423E-2</v>
      </c>
      <c r="AO1300" s="28">
        <f t="shared" si="466"/>
        <v>3.4640571428571423E-2</v>
      </c>
      <c r="AP1300" s="28">
        <f t="shared" si="466"/>
        <v>3.4640571428571423E-2</v>
      </c>
      <c r="AQ1300" s="28">
        <f t="shared" si="466"/>
        <v>3.4640571428571423E-2</v>
      </c>
      <c r="AR1300" s="28">
        <f t="shared" si="466"/>
        <v>3.4640571428571423E-2</v>
      </c>
      <c r="AS1300" s="28">
        <f t="shared" si="466"/>
        <v>3.4640571428571423E-2</v>
      </c>
      <c r="AT1300" s="28">
        <f t="shared" si="466"/>
        <v>3.4640571428571423E-2</v>
      </c>
      <c r="AU1300" s="28">
        <f t="shared" si="466"/>
        <v>3.4640571428571423E-2</v>
      </c>
      <c r="AV1300" s="28">
        <f t="shared" si="466"/>
        <v>3.4640571428571423E-2</v>
      </c>
      <c r="AW1300" s="28">
        <f t="shared" si="466"/>
        <v>3.4640571428571423E-2</v>
      </c>
      <c r="AY1300" s="85"/>
      <c r="AZ1300" s="85"/>
    </row>
    <row r="1301" spans="1:52" x14ac:dyDescent="0.25">
      <c r="A1301" s="102" t="str">
        <f t="shared" si="384"/>
        <v>FSFAGSPQNIBDDSCM U&amp;D</v>
      </c>
      <c r="B1301" s="102" t="s">
        <v>1376</v>
      </c>
      <c r="C1301" s="102" t="s">
        <v>1337</v>
      </c>
      <c r="D1301" t="s">
        <v>369</v>
      </c>
      <c r="E1301" t="s">
        <v>55</v>
      </c>
      <c r="F1301" t="s">
        <v>422</v>
      </c>
      <c r="G1301" t="s">
        <v>1177</v>
      </c>
      <c r="H1301" t="s">
        <v>1253</v>
      </c>
      <c r="I1301" t="s">
        <v>139</v>
      </c>
      <c r="J1301" t="s">
        <v>287</v>
      </c>
      <c r="K1301" s="28">
        <f t="shared" ref="K1301:AW1301" si="467">IFERROR(K1494-((K1494-K85)+(K1494-K238)+(K1494-K391)+(K1494-K543)+(K1494-K695)+(K1494-K846)+(K1494-K997)+(K1494-K1148)),0)</f>
        <v>0</v>
      </c>
      <c r="L1301" s="28">
        <f t="shared" si="467"/>
        <v>0</v>
      </c>
      <c r="M1301" s="28">
        <f t="shared" si="467"/>
        <v>0</v>
      </c>
      <c r="N1301" s="28">
        <f t="shared" si="467"/>
        <v>0</v>
      </c>
      <c r="O1301" s="28">
        <f t="shared" si="467"/>
        <v>0</v>
      </c>
      <c r="P1301" s="28">
        <f t="shared" si="467"/>
        <v>0</v>
      </c>
      <c r="Q1301" s="28">
        <f t="shared" si="467"/>
        <v>0</v>
      </c>
      <c r="R1301" s="28">
        <f t="shared" si="467"/>
        <v>0</v>
      </c>
      <c r="S1301" s="28">
        <f t="shared" si="467"/>
        <v>0</v>
      </c>
      <c r="T1301" s="28">
        <f t="shared" si="467"/>
        <v>0</v>
      </c>
      <c r="U1301" s="28">
        <f t="shared" si="467"/>
        <v>0</v>
      </c>
      <c r="V1301" s="28">
        <f t="shared" si="467"/>
        <v>0</v>
      </c>
      <c r="W1301" s="28">
        <f t="shared" si="467"/>
        <v>0</v>
      </c>
      <c r="X1301" s="28">
        <f t="shared" si="467"/>
        <v>0</v>
      </c>
      <c r="Y1301" s="28">
        <f t="shared" si="467"/>
        <v>0</v>
      </c>
      <c r="Z1301" s="28">
        <f t="shared" si="467"/>
        <v>0</v>
      </c>
      <c r="AA1301" s="28">
        <f t="shared" si="467"/>
        <v>0</v>
      </c>
      <c r="AB1301" s="28">
        <f t="shared" si="467"/>
        <v>0</v>
      </c>
      <c r="AC1301" s="28">
        <f t="shared" si="467"/>
        <v>0</v>
      </c>
      <c r="AD1301" s="28">
        <f t="shared" si="467"/>
        <v>0</v>
      </c>
      <c r="AE1301" s="28">
        <f t="shared" si="467"/>
        <v>0</v>
      </c>
      <c r="AF1301" s="28">
        <f t="shared" si="467"/>
        <v>0</v>
      </c>
      <c r="AG1301" s="28">
        <f t="shared" si="467"/>
        <v>0</v>
      </c>
      <c r="AH1301" s="28">
        <f t="shared" si="467"/>
        <v>0</v>
      </c>
      <c r="AI1301" s="28">
        <f t="shared" si="467"/>
        <v>0</v>
      </c>
      <c r="AJ1301" s="28">
        <f t="shared" si="467"/>
        <v>0</v>
      </c>
      <c r="AK1301" s="28">
        <f t="shared" si="467"/>
        <v>0</v>
      </c>
      <c r="AL1301" s="28">
        <f t="shared" si="467"/>
        <v>0</v>
      </c>
      <c r="AM1301" s="28">
        <f t="shared" si="467"/>
        <v>0</v>
      </c>
      <c r="AN1301" s="28">
        <f t="shared" si="467"/>
        <v>0</v>
      </c>
      <c r="AO1301" s="28">
        <f t="shared" si="467"/>
        <v>0</v>
      </c>
      <c r="AP1301" s="28">
        <f t="shared" si="467"/>
        <v>0</v>
      </c>
      <c r="AQ1301" s="28">
        <f t="shared" si="467"/>
        <v>0</v>
      </c>
      <c r="AR1301" s="28">
        <f t="shared" si="467"/>
        <v>0</v>
      </c>
      <c r="AS1301" s="28">
        <f t="shared" si="467"/>
        <v>0</v>
      </c>
      <c r="AT1301" s="28">
        <f t="shared" si="467"/>
        <v>0</v>
      </c>
      <c r="AU1301" s="28">
        <f t="shared" si="467"/>
        <v>0</v>
      </c>
      <c r="AV1301" s="28">
        <f t="shared" si="467"/>
        <v>0</v>
      </c>
      <c r="AW1301" s="28">
        <f t="shared" si="467"/>
        <v>0</v>
      </c>
      <c r="AY1301" s="85"/>
      <c r="AZ1301" s="85"/>
    </row>
    <row r="1302" spans="1:52" x14ac:dyDescent="0.25">
      <c r="A1302" s="102" t="str">
        <f t="shared" si="384"/>
        <v>FSFAGSPQNIBDDSCM U&amp;D</v>
      </c>
      <c r="B1302" s="102" t="s">
        <v>1376</v>
      </c>
      <c r="C1302" s="102" t="s">
        <v>1337</v>
      </c>
      <c r="D1302" t="s">
        <v>369</v>
      </c>
      <c r="E1302" t="s">
        <v>55</v>
      </c>
      <c r="F1302" t="s">
        <v>422</v>
      </c>
      <c r="G1302" t="s">
        <v>1179</v>
      </c>
      <c r="H1302" t="s">
        <v>1254</v>
      </c>
      <c r="I1302" t="s">
        <v>139</v>
      </c>
      <c r="J1302" t="s">
        <v>287</v>
      </c>
      <c r="K1302" s="28">
        <f t="shared" ref="K1302:AW1302" si="468">IFERROR(K1495-((K1495-K86)+(K1495-K239)+(K1495-K392)+(K1495-K544)+(K1495-K696)+(K1495-K847)+(K1495-K998)+(K1495-K1149)),0)</f>
        <v>0</v>
      </c>
      <c r="L1302" s="28">
        <f t="shared" si="468"/>
        <v>0</v>
      </c>
      <c r="M1302" s="28">
        <f t="shared" si="468"/>
        <v>0</v>
      </c>
      <c r="N1302" s="28">
        <f t="shared" si="468"/>
        <v>0</v>
      </c>
      <c r="O1302" s="28">
        <f t="shared" si="468"/>
        <v>0</v>
      </c>
      <c r="P1302" s="28">
        <f t="shared" si="468"/>
        <v>0</v>
      </c>
      <c r="Q1302" s="28">
        <f t="shared" si="468"/>
        <v>0</v>
      </c>
      <c r="R1302" s="28">
        <f t="shared" si="468"/>
        <v>0</v>
      </c>
      <c r="S1302" s="28">
        <f t="shared" si="468"/>
        <v>0</v>
      </c>
      <c r="T1302" s="28">
        <f t="shared" si="468"/>
        <v>0</v>
      </c>
      <c r="U1302" s="28">
        <f t="shared" si="468"/>
        <v>0</v>
      </c>
      <c r="V1302" s="28">
        <f t="shared" si="468"/>
        <v>0</v>
      </c>
      <c r="W1302" s="28">
        <f t="shared" si="468"/>
        <v>0</v>
      </c>
      <c r="X1302" s="28">
        <f t="shared" si="468"/>
        <v>0</v>
      </c>
      <c r="Y1302" s="28">
        <f t="shared" si="468"/>
        <v>0</v>
      </c>
      <c r="Z1302" s="28">
        <f t="shared" si="468"/>
        <v>0</v>
      </c>
      <c r="AA1302" s="28">
        <f t="shared" si="468"/>
        <v>0</v>
      </c>
      <c r="AB1302" s="28">
        <f t="shared" si="468"/>
        <v>0</v>
      </c>
      <c r="AC1302" s="28">
        <f t="shared" si="468"/>
        <v>0</v>
      </c>
      <c r="AD1302" s="28">
        <f t="shared" si="468"/>
        <v>0</v>
      </c>
      <c r="AE1302" s="28">
        <f t="shared" si="468"/>
        <v>0</v>
      </c>
      <c r="AF1302" s="28">
        <f t="shared" si="468"/>
        <v>0</v>
      </c>
      <c r="AG1302" s="28">
        <f t="shared" si="468"/>
        <v>0</v>
      </c>
      <c r="AH1302" s="28">
        <f t="shared" si="468"/>
        <v>0</v>
      </c>
      <c r="AI1302" s="28">
        <f t="shared" si="468"/>
        <v>0</v>
      </c>
      <c r="AJ1302" s="28">
        <f t="shared" si="468"/>
        <v>0</v>
      </c>
      <c r="AK1302" s="28">
        <f t="shared" si="468"/>
        <v>0</v>
      </c>
      <c r="AL1302" s="28">
        <f t="shared" si="468"/>
        <v>0</v>
      </c>
      <c r="AM1302" s="28">
        <f t="shared" si="468"/>
        <v>0</v>
      </c>
      <c r="AN1302" s="28">
        <f t="shared" si="468"/>
        <v>0</v>
      </c>
      <c r="AO1302" s="28">
        <f t="shared" si="468"/>
        <v>0</v>
      </c>
      <c r="AP1302" s="28">
        <f t="shared" si="468"/>
        <v>0</v>
      </c>
      <c r="AQ1302" s="28">
        <f t="shared" si="468"/>
        <v>0</v>
      </c>
      <c r="AR1302" s="28">
        <f t="shared" si="468"/>
        <v>0</v>
      </c>
      <c r="AS1302" s="28">
        <f t="shared" si="468"/>
        <v>0</v>
      </c>
      <c r="AT1302" s="28">
        <f t="shared" si="468"/>
        <v>0</v>
      </c>
      <c r="AU1302" s="28">
        <f t="shared" si="468"/>
        <v>0</v>
      </c>
      <c r="AV1302" s="28">
        <f t="shared" si="468"/>
        <v>0</v>
      </c>
      <c r="AW1302" s="28">
        <f t="shared" si="468"/>
        <v>0</v>
      </c>
      <c r="AY1302" s="85"/>
      <c r="AZ1302" s="85"/>
    </row>
    <row r="1303" spans="1:52" x14ac:dyDescent="0.25">
      <c r="A1303" s="102" t="str">
        <f t="shared" si="384"/>
        <v>FSFAGSPQNIBDDSCM U&amp;D</v>
      </c>
      <c r="B1303" s="102" t="s">
        <v>1376</v>
      </c>
      <c r="C1303" s="102" t="s">
        <v>1337</v>
      </c>
      <c r="D1303" t="s">
        <v>369</v>
      </c>
      <c r="E1303" t="s">
        <v>55</v>
      </c>
      <c r="F1303" t="s">
        <v>422</v>
      </c>
      <c r="G1303" t="s">
        <v>1181</v>
      </c>
      <c r="H1303" t="s">
        <v>1255</v>
      </c>
      <c r="I1303" t="s">
        <v>139</v>
      </c>
      <c r="J1303" t="s">
        <v>287</v>
      </c>
      <c r="K1303" s="28">
        <f t="shared" ref="K1303:AW1303" si="469">IFERROR(K1496-((K1496-K87)+(K1496-K240)+(K1496-K393)+(K1496-K545)+(K1496-K697)+(K1496-K848)+(K1496-K999)+(K1496-K1150)),0)</f>
        <v>0</v>
      </c>
      <c r="L1303" s="28">
        <f t="shared" si="469"/>
        <v>0</v>
      </c>
      <c r="M1303" s="28">
        <f t="shared" si="469"/>
        <v>0</v>
      </c>
      <c r="N1303" s="28">
        <f t="shared" si="469"/>
        <v>0</v>
      </c>
      <c r="O1303" s="28">
        <f t="shared" si="469"/>
        <v>0</v>
      </c>
      <c r="P1303" s="28">
        <f t="shared" si="469"/>
        <v>0</v>
      </c>
      <c r="Q1303" s="28">
        <f t="shared" si="469"/>
        <v>0</v>
      </c>
      <c r="R1303" s="28">
        <f t="shared" si="469"/>
        <v>0</v>
      </c>
      <c r="S1303" s="28">
        <f t="shared" si="469"/>
        <v>0</v>
      </c>
      <c r="T1303" s="28">
        <f t="shared" si="469"/>
        <v>0</v>
      </c>
      <c r="U1303" s="28">
        <f t="shared" si="469"/>
        <v>0</v>
      </c>
      <c r="V1303" s="28">
        <f t="shared" si="469"/>
        <v>0</v>
      </c>
      <c r="W1303" s="28">
        <f t="shared" si="469"/>
        <v>0</v>
      </c>
      <c r="X1303" s="28">
        <f t="shared" si="469"/>
        <v>0</v>
      </c>
      <c r="Y1303" s="28">
        <f t="shared" si="469"/>
        <v>0</v>
      </c>
      <c r="Z1303" s="28">
        <f t="shared" si="469"/>
        <v>0</v>
      </c>
      <c r="AA1303" s="28">
        <f t="shared" si="469"/>
        <v>0</v>
      </c>
      <c r="AB1303" s="28">
        <f t="shared" si="469"/>
        <v>0</v>
      </c>
      <c r="AC1303" s="28">
        <f t="shared" si="469"/>
        <v>0</v>
      </c>
      <c r="AD1303" s="28">
        <f t="shared" si="469"/>
        <v>0</v>
      </c>
      <c r="AE1303" s="28">
        <f t="shared" si="469"/>
        <v>0</v>
      </c>
      <c r="AF1303" s="28">
        <f t="shared" si="469"/>
        <v>0</v>
      </c>
      <c r="AG1303" s="28">
        <f t="shared" si="469"/>
        <v>0</v>
      </c>
      <c r="AH1303" s="28">
        <f t="shared" si="469"/>
        <v>0</v>
      </c>
      <c r="AI1303" s="28">
        <f t="shared" si="469"/>
        <v>0</v>
      </c>
      <c r="AJ1303" s="28">
        <f t="shared" si="469"/>
        <v>0</v>
      </c>
      <c r="AK1303" s="28">
        <f t="shared" si="469"/>
        <v>0</v>
      </c>
      <c r="AL1303" s="28">
        <f t="shared" si="469"/>
        <v>0</v>
      </c>
      <c r="AM1303" s="28">
        <f t="shared" si="469"/>
        <v>0</v>
      </c>
      <c r="AN1303" s="28">
        <f t="shared" si="469"/>
        <v>0</v>
      </c>
      <c r="AO1303" s="28">
        <f t="shared" si="469"/>
        <v>0</v>
      </c>
      <c r="AP1303" s="28">
        <f t="shared" si="469"/>
        <v>0</v>
      </c>
      <c r="AQ1303" s="28">
        <f t="shared" si="469"/>
        <v>0</v>
      </c>
      <c r="AR1303" s="28">
        <f t="shared" si="469"/>
        <v>0</v>
      </c>
      <c r="AS1303" s="28">
        <f t="shared" si="469"/>
        <v>0</v>
      </c>
      <c r="AT1303" s="28">
        <f t="shared" si="469"/>
        <v>0</v>
      </c>
      <c r="AU1303" s="28">
        <f t="shared" si="469"/>
        <v>0</v>
      </c>
      <c r="AV1303" s="28">
        <f t="shared" si="469"/>
        <v>0</v>
      </c>
      <c r="AW1303" s="28">
        <f t="shared" si="469"/>
        <v>0</v>
      </c>
      <c r="AY1303" s="85"/>
      <c r="AZ1303" s="85"/>
    </row>
    <row r="1304" spans="1:52" x14ac:dyDescent="0.25">
      <c r="A1304" s="102" t="str">
        <f t="shared" si="384"/>
        <v>FSFAGSPQNIBDDSCM U&amp;D</v>
      </c>
      <c r="B1304" s="102" t="s">
        <v>1376</v>
      </c>
      <c r="C1304" s="102" t="s">
        <v>1337</v>
      </c>
      <c r="D1304" t="s">
        <v>369</v>
      </c>
      <c r="E1304" t="s">
        <v>55</v>
      </c>
      <c r="F1304" t="s">
        <v>422</v>
      </c>
      <c r="G1304" t="s">
        <v>1183</v>
      </c>
      <c r="H1304" t="s">
        <v>1256</v>
      </c>
      <c r="I1304" t="s">
        <v>139</v>
      </c>
      <c r="J1304" t="s">
        <v>287</v>
      </c>
      <c r="K1304" s="28">
        <f t="shared" ref="K1304:AW1304" si="470">IFERROR(K1497-((K1497-K88)+(K1497-K241)+(K1497-K394)+(K1497-K546)+(K1497-K698)+(K1497-K849)+(K1497-K1000)+(K1497-K1151)),0)</f>
        <v>0</v>
      </c>
      <c r="L1304" s="28">
        <f t="shared" si="470"/>
        <v>0</v>
      </c>
      <c r="M1304" s="28">
        <f t="shared" si="470"/>
        <v>0</v>
      </c>
      <c r="N1304" s="28">
        <f t="shared" si="470"/>
        <v>0</v>
      </c>
      <c r="O1304" s="28">
        <f t="shared" si="470"/>
        <v>0</v>
      </c>
      <c r="P1304" s="28">
        <f t="shared" si="470"/>
        <v>0</v>
      </c>
      <c r="Q1304" s="28">
        <f t="shared" si="470"/>
        <v>0</v>
      </c>
      <c r="R1304" s="28">
        <f t="shared" si="470"/>
        <v>0</v>
      </c>
      <c r="S1304" s="28">
        <f t="shared" si="470"/>
        <v>0</v>
      </c>
      <c r="T1304" s="28">
        <f t="shared" si="470"/>
        <v>0</v>
      </c>
      <c r="U1304" s="28">
        <f t="shared" si="470"/>
        <v>0</v>
      </c>
      <c r="V1304" s="28">
        <f t="shared" si="470"/>
        <v>0</v>
      </c>
      <c r="W1304" s="28">
        <f t="shared" si="470"/>
        <v>0</v>
      </c>
      <c r="X1304" s="28">
        <f t="shared" si="470"/>
        <v>0</v>
      </c>
      <c r="Y1304" s="28">
        <f t="shared" si="470"/>
        <v>0</v>
      </c>
      <c r="Z1304" s="28">
        <f t="shared" si="470"/>
        <v>0</v>
      </c>
      <c r="AA1304" s="28">
        <f t="shared" si="470"/>
        <v>0</v>
      </c>
      <c r="AB1304" s="28">
        <f t="shared" si="470"/>
        <v>0</v>
      </c>
      <c r="AC1304" s="28">
        <f t="shared" si="470"/>
        <v>0</v>
      </c>
      <c r="AD1304" s="28">
        <f t="shared" si="470"/>
        <v>0</v>
      </c>
      <c r="AE1304" s="28">
        <f t="shared" si="470"/>
        <v>0</v>
      </c>
      <c r="AF1304" s="28">
        <f t="shared" si="470"/>
        <v>0</v>
      </c>
      <c r="AG1304" s="28">
        <f t="shared" si="470"/>
        <v>0</v>
      </c>
      <c r="AH1304" s="28">
        <f t="shared" si="470"/>
        <v>0</v>
      </c>
      <c r="AI1304" s="28">
        <f t="shared" si="470"/>
        <v>0</v>
      </c>
      <c r="AJ1304" s="28">
        <f t="shared" si="470"/>
        <v>0</v>
      </c>
      <c r="AK1304" s="28">
        <f t="shared" si="470"/>
        <v>0</v>
      </c>
      <c r="AL1304" s="28">
        <f t="shared" si="470"/>
        <v>0</v>
      </c>
      <c r="AM1304" s="28">
        <f t="shared" si="470"/>
        <v>0</v>
      </c>
      <c r="AN1304" s="28">
        <f t="shared" si="470"/>
        <v>0</v>
      </c>
      <c r="AO1304" s="28">
        <f t="shared" si="470"/>
        <v>0</v>
      </c>
      <c r="AP1304" s="28">
        <f t="shared" si="470"/>
        <v>0</v>
      </c>
      <c r="AQ1304" s="28">
        <f t="shared" si="470"/>
        <v>0</v>
      </c>
      <c r="AR1304" s="28">
        <f t="shared" si="470"/>
        <v>0</v>
      </c>
      <c r="AS1304" s="28">
        <f t="shared" si="470"/>
        <v>0</v>
      </c>
      <c r="AT1304" s="28">
        <f t="shared" si="470"/>
        <v>0</v>
      </c>
      <c r="AU1304" s="28">
        <f t="shared" si="470"/>
        <v>0</v>
      </c>
      <c r="AV1304" s="28">
        <f t="shared" si="470"/>
        <v>0</v>
      </c>
      <c r="AW1304" s="28">
        <f t="shared" si="470"/>
        <v>0</v>
      </c>
      <c r="AY1304" s="85"/>
      <c r="AZ1304" s="85"/>
    </row>
    <row r="1305" spans="1:52" x14ac:dyDescent="0.25">
      <c r="A1305" s="102" t="str">
        <f t="shared" si="384"/>
        <v>FSFAGSPQNIBDDSCM FSOM</v>
      </c>
      <c r="B1305" s="102" t="s">
        <v>1376</v>
      </c>
      <c r="C1305" s="102" t="s">
        <v>60</v>
      </c>
      <c r="D1305" t="s">
        <v>369</v>
      </c>
      <c r="E1305" t="s">
        <v>55</v>
      </c>
      <c r="F1305" t="s">
        <v>60</v>
      </c>
      <c r="G1305" t="s">
        <v>1267</v>
      </c>
      <c r="H1305" t="s">
        <v>1268</v>
      </c>
      <c r="J1305" t="s">
        <v>287</v>
      </c>
      <c r="K1305" s="28">
        <f t="shared" ref="K1305:AW1305" si="471">IFERROR(K1498-((K1498-K89)+(K1498-K242)+(K1498-K395)+(K1498-K547)+(K1498-K699)+(K1498-K850)+(K1498-K1001)+(K1498-K1152)),0)</f>
        <v>0</v>
      </c>
      <c r="L1305" s="28">
        <f t="shared" si="471"/>
        <v>0</v>
      </c>
      <c r="M1305" s="28">
        <f t="shared" si="471"/>
        <v>0</v>
      </c>
      <c r="N1305" s="28">
        <f t="shared" si="471"/>
        <v>0</v>
      </c>
      <c r="O1305" s="28">
        <f t="shared" si="471"/>
        <v>0</v>
      </c>
      <c r="P1305" s="28">
        <f t="shared" si="471"/>
        <v>0</v>
      </c>
      <c r="Q1305" s="28">
        <f t="shared" si="471"/>
        <v>0</v>
      </c>
      <c r="R1305" s="28">
        <f t="shared" si="471"/>
        <v>0</v>
      </c>
      <c r="S1305" s="28">
        <f t="shared" si="471"/>
        <v>0</v>
      </c>
      <c r="T1305" s="28">
        <f t="shared" si="471"/>
        <v>0</v>
      </c>
      <c r="U1305" s="28">
        <f t="shared" si="471"/>
        <v>0</v>
      </c>
      <c r="V1305" s="28">
        <f t="shared" si="471"/>
        <v>0</v>
      </c>
      <c r="W1305" s="28">
        <f t="shared" si="471"/>
        <v>0</v>
      </c>
      <c r="X1305" s="28">
        <f t="shared" si="471"/>
        <v>0</v>
      </c>
      <c r="Y1305" s="28">
        <f t="shared" si="471"/>
        <v>0</v>
      </c>
      <c r="Z1305" s="28">
        <f t="shared" si="471"/>
        <v>0</v>
      </c>
      <c r="AA1305" s="28">
        <f t="shared" si="471"/>
        <v>0</v>
      </c>
      <c r="AB1305" s="28">
        <f t="shared" si="471"/>
        <v>0</v>
      </c>
      <c r="AC1305" s="28">
        <f t="shared" si="471"/>
        <v>0</v>
      </c>
      <c r="AD1305" s="28">
        <f t="shared" si="471"/>
        <v>0</v>
      </c>
      <c r="AE1305" s="28">
        <f t="shared" si="471"/>
        <v>0</v>
      </c>
      <c r="AF1305" s="28">
        <f t="shared" si="471"/>
        <v>0</v>
      </c>
      <c r="AG1305" s="28">
        <f t="shared" si="471"/>
        <v>0</v>
      </c>
      <c r="AH1305" s="28">
        <f t="shared" si="471"/>
        <v>0</v>
      </c>
      <c r="AI1305" s="28">
        <f t="shared" si="471"/>
        <v>0</v>
      </c>
      <c r="AJ1305" s="28">
        <f t="shared" si="471"/>
        <v>0</v>
      </c>
      <c r="AK1305" s="28">
        <f t="shared" si="471"/>
        <v>0</v>
      </c>
      <c r="AL1305" s="28">
        <f t="shared" si="471"/>
        <v>0</v>
      </c>
      <c r="AM1305" s="28">
        <f t="shared" si="471"/>
        <v>0</v>
      </c>
      <c r="AN1305" s="28">
        <f t="shared" si="471"/>
        <v>0</v>
      </c>
      <c r="AO1305" s="28">
        <f t="shared" si="471"/>
        <v>0</v>
      </c>
      <c r="AP1305" s="28">
        <f t="shared" si="471"/>
        <v>0</v>
      </c>
      <c r="AQ1305" s="28">
        <f t="shared" si="471"/>
        <v>0</v>
      </c>
      <c r="AR1305" s="28">
        <f t="shared" si="471"/>
        <v>0</v>
      </c>
      <c r="AS1305" s="28">
        <f t="shared" si="471"/>
        <v>0</v>
      </c>
      <c r="AT1305" s="28">
        <f t="shared" si="471"/>
        <v>0</v>
      </c>
      <c r="AU1305" s="28">
        <f t="shared" si="471"/>
        <v>0</v>
      </c>
      <c r="AV1305" s="28">
        <f t="shared" si="471"/>
        <v>0</v>
      </c>
      <c r="AW1305" s="28">
        <f t="shared" si="471"/>
        <v>0</v>
      </c>
      <c r="AY1305" s="85"/>
      <c r="AZ1305" s="85"/>
    </row>
    <row r="1306" spans="1:52" x14ac:dyDescent="0.25">
      <c r="A1306" s="102" t="str">
        <f t="shared" si="384"/>
        <v>FSFAGSPQNIBDDSCM FSOM</v>
      </c>
      <c r="B1306" s="102" t="s">
        <v>1376</v>
      </c>
      <c r="C1306" s="102" t="s">
        <v>60</v>
      </c>
      <c r="D1306" t="s">
        <v>369</v>
      </c>
      <c r="E1306" t="s">
        <v>55</v>
      </c>
      <c r="F1306" t="s">
        <v>60</v>
      </c>
      <c r="G1306" t="s">
        <v>1269</v>
      </c>
      <c r="H1306" t="s">
        <v>1270</v>
      </c>
      <c r="J1306" t="s">
        <v>287</v>
      </c>
      <c r="K1306" s="28">
        <f t="shared" ref="K1306:AW1306" si="472">IFERROR(K1499-((K1499-K90)+(K1499-K243)+(K1499-K396)+(K1499-K548)+(K1499-K700)+(K1499-K851)+(K1499-K1002)+(K1499-K1153)),0)</f>
        <v>0</v>
      </c>
      <c r="L1306" s="28">
        <f t="shared" si="472"/>
        <v>0</v>
      </c>
      <c r="M1306" s="28">
        <f t="shared" si="472"/>
        <v>0</v>
      </c>
      <c r="N1306" s="28">
        <f t="shared" si="472"/>
        <v>0</v>
      </c>
      <c r="O1306" s="28">
        <f t="shared" si="472"/>
        <v>0</v>
      </c>
      <c r="P1306" s="28">
        <f t="shared" si="472"/>
        <v>0</v>
      </c>
      <c r="Q1306" s="28">
        <f t="shared" si="472"/>
        <v>0</v>
      </c>
      <c r="R1306" s="28">
        <f t="shared" si="472"/>
        <v>0</v>
      </c>
      <c r="S1306" s="28">
        <f t="shared" si="472"/>
        <v>0</v>
      </c>
      <c r="T1306" s="28">
        <f t="shared" si="472"/>
        <v>0</v>
      </c>
      <c r="U1306" s="28">
        <f t="shared" si="472"/>
        <v>0</v>
      </c>
      <c r="V1306" s="28">
        <f t="shared" si="472"/>
        <v>0</v>
      </c>
      <c r="W1306" s="28">
        <f t="shared" si="472"/>
        <v>0</v>
      </c>
      <c r="X1306" s="28">
        <f t="shared" si="472"/>
        <v>0</v>
      </c>
      <c r="Y1306" s="28">
        <f t="shared" si="472"/>
        <v>0</v>
      </c>
      <c r="Z1306" s="28">
        <f t="shared" si="472"/>
        <v>0</v>
      </c>
      <c r="AA1306" s="28">
        <f t="shared" si="472"/>
        <v>0</v>
      </c>
      <c r="AB1306" s="28">
        <f t="shared" si="472"/>
        <v>0</v>
      </c>
      <c r="AC1306" s="28">
        <f t="shared" si="472"/>
        <v>0</v>
      </c>
      <c r="AD1306" s="28">
        <f t="shared" si="472"/>
        <v>0</v>
      </c>
      <c r="AE1306" s="28">
        <f t="shared" si="472"/>
        <v>0</v>
      </c>
      <c r="AF1306" s="28">
        <f t="shared" si="472"/>
        <v>0</v>
      </c>
      <c r="AG1306" s="28">
        <f t="shared" si="472"/>
        <v>0</v>
      </c>
      <c r="AH1306" s="28">
        <f t="shared" si="472"/>
        <v>0</v>
      </c>
      <c r="AI1306" s="28">
        <f t="shared" si="472"/>
        <v>0</v>
      </c>
      <c r="AJ1306" s="28">
        <f t="shared" si="472"/>
        <v>0</v>
      </c>
      <c r="AK1306" s="28">
        <f t="shared" si="472"/>
        <v>0</v>
      </c>
      <c r="AL1306" s="28">
        <f t="shared" si="472"/>
        <v>0</v>
      </c>
      <c r="AM1306" s="28">
        <f t="shared" si="472"/>
        <v>0</v>
      </c>
      <c r="AN1306" s="28">
        <f t="shared" si="472"/>
        <v>0</v>
      </c>
      <c r="AO1306" s="28">
        <f t="shared" si="472"/>
        <v>0</v>
      </c>
      <c r="AP1306" s="28">
        <f t="shared" si="472"/>
        <v>0</v>
      </c>
      <c r="AQ1306" s="28">
        <f t="shared" si="472"/>
        <v>0</v>
      </c>
      <c r="AR1306" s="28">
        <f t="shared" si="472"/>
        <v>0</v>
      </c>
      <c r="AS1306" s="28">
        <f t="shared" si="472"/>
        <v>0</v>
      </c>
      <c r="AT1306" s="28">
        <f t="shared" si="472"/>
        <v>0</v>
      </c>
      <c r="AU1306" s="28">
        <f t="shared" si="472"/>
        <v>0</v>
      </c>
      <c r="AV1306" s="28">
        <f t="shared" si="472"/>
        <v>0</v>
      </c>
      <c r="AW1306" s="28">
        <f t="shared" si="472"/>
        <v>0</v>
      </c>
      <c r="AY1306" s="85"/>
      <c r="AZ1306" s="85"/>
    </row>
    <row r="1307" spans="1:52" x14ac:dyDescent="0.25">
      <c r="A1307" s="102" t="str">
        <f t="shared" si="384"/>
        <v>FSFAGSPQNIBDDSCM FSOM</v>
      </c>
      <c r="B1307" s="102" t="s">
        <v>1376</v>
      </c>
      <c r="C1307" s="102" t="s">
        <v>60</v>
      </c>
      <c r="D1307" t="s">
        <v>369</v>
      </c>
      <c r="E1307" t="s">
        <v>55</v>
      </c>
      <c r="F1307" t="s">
        <v>60</v>
      </c>
      <c r="G1307" t="s">
        <v>1271</v>
      </c>
      <c r="H1307" t="s">
        <v>1272</v>
      </c>
      <c r="J1307" t="s">
        <v>287</v>
      </c>
      <c r="K1307" s="28">
        <f t="shared" ref="K1307:AW1307" si="473">IFERROR(K1500-((K1500-K91)+(K1500-K244)+(K1500-K397)+(K1500-K549)+(K1500-K701)+(K1500-K852)+(K1500-K1003)+(K1500-K1154)),0)</f>
        <v>3.4398813895090996E-3</v>
      </c>
      <c r="L1307" s="28">
        <f t="shared" si="473"/>
        <v>3.4358310252377683E-3</v>
      </c>
      <c r="M1307" s="28">
        <f t="shared" si="473"/>
        <v>3.4317806609664363E-3</v>
      </c>
      <c r="N1307" s="28">
        <f t="shared" si="473"/>
        <v>3.4277302966951037E-3</v>
      </c>
      <c r="O1307" s="28">
        <f t="shared" si="473"/>
        <v>3.4236799324237725E-3</v>
      </c>
      <c r="P1307" s="28">
        <f t="shared" si="473"/>
        <v>3.4196295681524396E-3</v>
      </c>
      <c r="Q1307" s="28">
        <f t="shared" si="473"/>
        <v>3.4155792038811079E-3</v>
      </c>
      <c r="R1307" s="28">
        <f t="shared" si="473"/>
        <v>3.4115288396097763E-3</v>
      </c>
      <c r="S1307" s="28">
        <f t="shared" si="473"/>
        <v>3.4074784753384451E-3</v>
      </c>
      <c r="T1307" s="28">
        <f t="shared" si="473"/>
        <v>3.4034281110671134E-3</v>
      </c>
      <c r="U1307" s="28">
        <f t="shared" si="473"/>
        <v>3.39937774679578E-3</v>
      </c>
      <c r="V1307" s="28">
        <f t="shared" si="473"/>
        <v>3.3953273825244488E-3</v>
      </c>
      <c r="W1307" s="28">
        <f t="shared" si="473"/>
        <v>3.3912770182531172E-3</v>
      </c>
      <c r="X1307" s="28">
        <f t="shared" si="473"/>
        <v>3.387226653981786E-3</v>
      </c>
      <c r="Y1307" s="28">
        <f t="shared" si="473"/>
        <v>3.3831762897104547E-3</v>
      </c>
      <c r="Z1307" s="28">
        <f t="shared" si="473"/>
        <v>3.3791259254391218E-3</v>
      </c>
      <c r="AA1307" s="28">
        <f t="shared" si="473"/>
        <v>3.375075561167791E-3</v>
      </c>
      <c r="AB1307" s="28">
        <f t="shared" si="473"/>
        <v>3.3710251968964585E-3</v>
      </c>
      <c r="AC1307" s="28">
        <f t="shared" si="473"/>
        <v>3.3669748326251273E-3</v>
      </c>
      <c r="AD1307" s="28">
        <f t="shared" si="473"/>
        <v>3.3629244683537943E-3</v>
      </c>
      <c r="AE1307" s="28">
        <f t="shared" si="473"/>
        <v>3.358874104082464E-3</v>
      </c>
      <c r="AF1307" s="28">
        <f t="shared" si="473"/>
        <v>3.3548237398111319E-3</v>
      </c>
      <c r="AG1307" s="28">
        <f t="shared" si="473"/>
        <v>3.3507733755397998E-3</v>
      </c>
      <c r="AH1307" s="28">
        <f t="shared" si="473"/>
        <v>3.3467230112684673E-3</v>
      </c>
      <c r="AI1307" s="28">
        <f t="shared" si="473"/>
        <v>3.3426726469971361E-3</v>
      </c>
      <c r="AJ1307" s="28">
        <f t="shared" si="473"/>
        <v>3.3386222827258044E-3</v>
      </c>
      <c r="AK1307" s="28">
        <f t="shared" si="473"/>
        <v>3.3345719184544728E-3</v>
      </c>
      <c r="AL1307" s="28">
        <f t="shared" si="473"/>
        <v>3.3305215541831416E-3</v>
      </c>
      <c r="AM1307" s="28">
        <f t="shared" si="473"/>
        <v>3.3264711899118095E-3</v>
      </c>
      <c r="AN1307" s="28">
        <f t="shared" si="473"/>
        <v>3.3224208256404765E-3</v>
      </c>
      <c r="AO1307" s="28">
        <f t="shared" si="473"/>
        <v>3.3183704613691458E-3</v>
      </c>
      <c r="AP1307" s="28">
        <f t="shared" si="473"/>
        <v>3.3143200970978137E-3</v>
      </c>
      <c r="AQ1307" s="28">
        <f t="shared" si="473"/>
        <v>3.3102697328264833E-3</v>
      </c>
      <c r="AR1307" s="28">
        <f t="shared" si="473"/>
        <v>3.3062193685551499E-3</v>
      </c>
      <c r="AS1307" s="28">
        <f t="shared" si="473"/>
        <v>3.3021690042838187E-3</v>
      </c>
      <c r="AT1307" s="28">
        <f t="shared" si="473"/>
        <v>3.2981186400124866E-3</v>
      </c>
      <c r="AU1307" s="28">
        <f t="shared" si="473"/>
        <v>3.2940682757411541E-3</v>
      </c>
      <c r="AV1307" s="28">
        <f t="shared" si="473"/>
        <v>3.2900179114698229E-3</v>
      </c>
      <c r="AW1307" s="28">
        <f t="shared" si="473"/>
        <v>3.2859675471984908E-3</v>
      </c>
      <c r="AY1307" s="85"/>
      <c r="AZ1307" s="85"/>
    </row>
    <row r="1308" spans="1:52" x14ac:dyDescent="0.25">
      <c r="A1308" s="102" t="str">
        <f t="shared" si="384"/>
        <v>FSFAGSPQNIBDDSCM FSOM</v>
      </c>
      <c r="B1308" s="102" t="s">
        <v>1376</v>
      </c>
      <c r="C1308" s="102" t="s">
        <v>60</v>
      </c>
      <c r="D1308" t="s">
        <v>369</v>
      </c>
      <c r="E1308" t="s">
        <v>55</v>
      </c>
      <c r="F1308" t="s">
        <v>60</v>
      </c>
      <c r="G1308" t="s">
        <v>1273</v>
      </c>
      <c r="H1308" t="s">
        <v>1274</v>
      </c>
      <c r="J1308" t="s">
        <v>287</v>
      </c>
      <c r="K1308" s="28">
        <f t="shared" ref="K1308:AW1308" si="474">IFERROR(K1501-((K1501-K92)+(K1501-K245)+(K1501-K398)+(K1501-K550)+(K1501-K702)+(K1501-K853)+(K1501-K1004)+(K1501-K1155)),0)</f>
        <v>0.49020960547040615</v>
      </c>
      <c r="L1308" s="28">
        <f t="shared" si="474"/>
        <v>0.49134551154341793</v>
      </c>
      <c r="M1308" s="28">
        <f t="shared" si="474"/>
        <v>0.49248141761642988</v>
      </c>
      <c r="N1308" s="28">
        <f t="shared" si="474"/>
        <v>0.49361732368944172</v>
      </c>
      <c r="O1308" s="28">
        <f t="shared" si="474"/>
        <v>0.49475322976245356</v>
      </c>
      <c r="P1308" s="28">
        <f t="shared" si="474"/>
        <v>0.49588913583546534</v>
      </c>
      <c r="Q1308" s="28">
        <f t="shared" si="474"/>
        <v>0.49702504190847724</v>
      </c>
      <c r="R1308" s="28">
        <f t="shared" si="474"/>
        <v>0.49816094798148913</v>
      </c>
      <c r="S1308" s="28">
        <f t="shared" si="474"/>
        <v>0.49929685405450086</v>
      </c>
      <c r="T1308" s="28">
        <f t="shared" si="474"/>
        <v>0.50043276012751292</v>
      </c>
      <c r="U1308" s="28">
        <f t="shared" si="474"/>
        <v>0.50156866620052454</v>
      </c>
      <c r="V1308" s="28">
        <f t="shared" si="474"/>
        <v>0.50270457227353649</v>
      </c>
      <c r="W1308" s="28">
        <f t="shared" si="474"/>
        <v>0.50384047834654833</v>
      </c>
      <c r="X1308" s="28">
        <f t="shared" si="474"/>
        <v>0.50497638441956039</v>
      </c>
      <c r="Y1308" s="28">
        <f t="shared" si="474"/>
        <v>0.506112290492572</v>
      </c>
      <c r="Z1308" s="28">
        <f t="shared" si="474"/>
        <v>0.50724819656558406</v>
      </c>
      <c r="AA1308" s="28">
        <f t="shared" si="474"/>
        <v>0.50838410263859568</v>
      </c>
      <c r="AB1308" s="28">
        <f t="shared" si="474"/>
        <v>0.50952000871160763</v>
      </c>
      <c r="AC1308" s="28">
        <f t="shared" si="474"/>
        <v>0.51065591478461958</v>
      </c>
      <c r="AD1308" s="28">
        <f t="shared" si="474"/>
        <v>0.51179182085763142</v>
      </c>
      <c r="AE1308" s="28">
        <f t="shared" si="474"/>
        <v>0.51292772693064326</v>
      </c>
      <c r="AF1308" s="28">
        <f t="shared" si="474"/>
        <v>0.5140636330036551</v>
      </c>
      <c r="AG1308" s="28">
        <f t="shared" si="474"/>
        <v>0.51519953907666705</v>
      </c>
      <c r="AH1308" s="28">
        <f t="shared" si="474"/>
        <v>0.51633544514967877</v>
      </c>
      <c r="AI1308" s="28">
        <f t="shared" si="474"/>
        <v>0.51747135122269072</v>
      </c>
      <c r="AJ1308" s="28">
        <f t="shared" si="474"/>
        <v>0.51860725729570256</v>
      </c>
      <c r="AK1308" s="28">
        <f t="shared" si="474"/>
        <v>0.5197431633687144</v>
      </c>
      <c r="AL1308" s="28">
        <f t="shared" si="474"/>
        <v>0.52087906944172624</v>
      </c>
      <c r="AM1308" s="28">
        <f t="shared" si="474"/>
        <v>0.52201497551473808</v>
      </c>
      <c r="AN1308" s="28">
        <f t="shared" si="474"/>
        <v>0.52315088158774992</v>
      </c>
      <c r="AO1308" s="28">
        <f t="shared" si="474"/>
        <v>0.52428678766076187</v>
      </c>
      <c r="AP1308" s="28">
        <f t="shared" si="474"/>
        <v>0.52542269373377359</v>
      </c>
      <c r="AQ1308" s="28">
        <f t="shared" si="474"/>
        <v>0.52655859980678543</v>
      </c>
      <c r="AR1308" s="28">
        <f t="shared" si="474"/>
        <v>0.52769450587979749</v>
      </c>
      <c r="AS1308" s="28">
        <f t="shared" si="474"/>
        <v>0.52883041195280922</v>
      </c>
      <c r="AT1308" s="28">
        <f t="shared" si="474"/>
        <v>0.52996631802582106</v>
      </c>
      <c r="AU1308" s="28">
        <f t="shared" si="474"/>
        <v>0.53110222409883301</v>
      </c>
      <c r="AV1308" s="28">
        <f t="shared" si="474"/>
        <v>0.53223813017184474</v>
      </c>
      <c r="AW1308" s="28">
        <f t="shared" si="474"/>
        <v>0.5333740362448568</v>
      </c>
      <c r="AY1308" s="85"/>
      <c r="AZ1308" s="85"/>
    </row>
    <row r="1309" spans="1:52" x14ac:dyDescent="0.25">
      <c r="A1309" s="102" t="str">
        <f t="shared" si="384"/>
        <v>FSFAGSPQNIBDDSCM FSOM</v>
      </c>
      <c r="B1309" s="102" t="s">
        <v>1376</v>
      </c>
      <c r="C1309" s="102" t="s">
        <v>60</v>
      </c>
      <c r="D1309" t="s">
        <v>369</v>
      </c>
      <c r="E1309" t="s">
        <v>55</v>
      </c>
      <c r="F1309" t="s">
        <v>60</v>
      </c>
      <c r="G1309" t="s">
        <v>1275</v>
      </c>
      <c r="H1309" t="s">
        <v>1276</v>
      </c>
      <c r="J1309" t="s">
        <v>287</v>
      </c>
      <c r="K1309" s="28">
        <f t="shared" ref="K1309:AW1309" si="475">IFERROR(K1502-((K1502-K93)+(K1502-K246)+(K1502-K399)+(K1502-K551)+(K1502-K703)+(K1502-K854)+(K1502-K1005)+(K1502-K1156)),0)</f>
        <v>0.57597220909378744</v>
      </c>
      <c r="L1309" s="28">
        <f t="shared" si="475"/>
        <v>0.57597220909378744</v>
      </c>
      <c r="M1309" s="28">
        <f t="shared" si="475"/>
        <v>0.57597220909378744</v>
      </c>
      <c r="N1309" s="28">
        <f t="shared" si="475"/>
        <v>0.57597220909378744</v>
      </c>
      <c r="O1309" s="28">
        <f t="shared" si="475"/>
        <v>0.57597220909378744</v>
      </c>
      <c r="P1309" s="28">
        <f t="shared" si="475"/>
        <v>0.57597220909378744</v>
      </c>
      <c r="Q1309" s="28">
        <f t="shared" si="475"/>
        <v>0.57597220909378744</v>
      </c>
      <c r="R1309" s="28">
        <f t="shared" si="475"/>
        <v>0.57597220909378744</v>
      </c>
      <c r="S1309" s="28">
        <f t="shared" si="475"/>
        <v>0.57597220909378744</v>
      </c>
      <c r="T1309" s="28">
        <f t="shared" si="475"/>
        <v>0.57597220909378744</v>
      </c>
      <c r="U1309" s="28">
        <f t="shared" si="475"/>
        <v>0.57597220909378744</v>
      </c>
      <c r="V1309" s="28">
        <f t="shared" si="475"/>
        <v>0.57597220909378744</v>
      </c>
      <c r="W1309" s="28">
        <f t="shared" si="475"/>
        <v>0.57597220909378744</v>
      </c>
      <c r="X1309" s="28">
        <f t="shared" si="475"/>
        <v>0.57597220909378744</v>
      </c>
      <c r="Y1309" s="28">
        <f t="shared" si="475"/>
        <v>0.57597220909378744</v>
      </c>
      <c r="Z1309" s="28">
        <f t="shared" si="475"/>
        <v>0.57597220909378744</v>
      </c>
      <c r="AA1309" s="28">
        <f t="shared" si="475"/>
        <v>0.57597220909378744</v>
      </c>
      <c r="AB1309" s="28">
        <f t="shared" si="475"/>
        <v>0.57597220909378744</v>
      </c>
      <c r="AC1309" s="28">
        <f t="shared" si="475"/>
        <v>0.57597220909378744</v>
      </c>
      <c r="AD1309" s="28">
        <f t="shared" si="475"/>
        <v>0.57597220909378744</v>
      </c>
      <c r="AE1309" s="28">
        <f t="shared" si="475"/>
        <v>0.57597220909378744</v>
      </c>
      <c r="AF1309" s="28">
        <f t="shared" si="475"/>
        <v>0.57597220909378744</v>
      </c>
      <c r="AG1309" s="28">
        <f t="shared" si="475"/>
        <v>0.57597220909378744</v>
      </c>
      <c r="AH1309" s="28">
        <f t="shared" si="475"/>
        <v>0.57597220909378744</v>
      </c>
      <c r="AI1309" s="28">
        <f t="shared" si="475"/>
        <v>0.57597220909378744</v>
      </c>
      <c r="AJ1309" s="28">
        <f t="shared" si="475"/>
        <v>0.57597220909378744</v>
      </c>
      <c r="AK1309" s="28">
        <f t="shared" si="475"/>
        <v>0.57597220909378744</v>
      </c>
      <c r="AL1309" s="28">
        <f t="shared" si="475"/>
        <v>0.57597220909378744</v>
      </c>
      <c r="AM1309" s="28">
        <f t="shared" si="475"/>
        <v>0.57597220909378744</v>
      </c>
      <c r="AN1309" s="28">
        <f t="shared" si="475"/>
        <v>0.57597220909378744</v>
      </c>
      <c r="AO1309" s="28">
        <f t="shared" si="475"/>
        <v>0.57597220909378744</v>
      </c>
      <c r="AP1309" s="28">
        <f t="shared" si="475"/>
        <v>0.57597220909378744</v>
      </c>
      <c r="AQ1309" s="28">
        <f t="shared" si="475"/>
        <v>0.57597220909378744</v>
      </c>
      <c r="AR1309" s="28">
        <f t="shared" si="475"/>
        <v>0.57597220909378744</v>
      </c>
      <c r="AS1309" s="28">
        <f t="shared" si="475"/>
        <v>0.57597220909378744</v>
      </c>
      <c r="AT1309" s="28">
        <f t="shared" si="475"/>
        <v>0.57597220909378744</v>
      </c>
      <c r="AU1309" s="28">
        <f t="shared" si="475"/>
        <v>0.57597220909378744</v>
      </c>
      <c r="AV1309" s="28">
        <f t="shared" si="475"/>
        <v>0.57597220909378744</v>
      </c>
      <c r="AW1309" s="28">
        <f t="shared" si="475"/>
        <v>0.57597220909378744</v>
      </c>
      <c r="AY1309" s="85"/>
      <c r="AZ1309" s="85"/>
    </row>
    <row r="1310" spans="1:52" x14ac:dyDescent="0.25">
      <c r="A1310" s="102" t="str">
        <f t="shared" si="384"/>
        <v>FSFAGSPQNIBDDSCM FSOM</v>
      </c>
      <c r="B1310" s="102" t="s">
        <v>1376</v>
      </c>
      <c r="C1310" s="102" t="s">
        <v>60</v>
      </c>
      <c r="D1310" t="s">
        <v>369</v>
      </c>
      <c r="E1310" t="s">
        <v>55</v>
      </c>
      <c r="F1310" t="s">
        <v>60</v>
      </c>
      <c r="G1310" t="s">
        <v>1277</v>
      </c>
      <c r="H1310" t="s">
        <v>1278</v>
      </c>
      <c r="J1310" t="s">
        <v>287</v>
      </c>
      <c r="K1310" s="28">
        <f t="shared" ref="K1310:AW1310" si="476">IFERROR(K1503-((K1503-K94)+(K1503-K247)+(K1503-K400)+(K1503-K552)+(K1503-K704)+(K1503-K855)+(K1503-K1006)+(K1503-K1157)),0)</f>
        <v>0</v>
      </c>
      <c r="L1310" s="28">
        <f t="shared" si="476"/>
        <v>0</v>
      </c>
      <c r="M1310" s="28">
        <f t="shared" si="476"/>
        <v>0</v>
      </c>
      <c r="N1310" s="28">
        <f t="shared" si="476"/>
        <v>0</v>
      </c>
      <c r="O1310" s="28">
        <f t="shared" si="476"/>
        <v>0</v>
      </c>
      <c r="P1310" s="28">
        <f t="shared" si="476"/>
        <v>0</v>
      </c>
      <c r="Q1310" s="28">
        <f t="shared" si="476"/>
        <v>0</v>
      </c>
      <c r="R1310" s="28">
        <f t="shared" si="476"/>
        <v>0</v>
      </c>
      <c r="S1310" s="28">
        <f t="shared" si="476"/>
        <v>0</v>
      </c>
      <c r="T1310" s="28">
        <f t="shared" si="476"/>
        <v>0</v>
      </c>
      <c r="U1310" s="28">
        <f t="shared" si="476"/>
        <v>0</v>
      </c>
      <c r="V1310" s="28">
        <f t="shared" si="476"/>
        <v>0</v>
      </c>
      <c r="W1310" s="28">
        <f t="shared" si="476"/>
        <v>0</v>
      </c>
      <c r="X1310" s="28">
        <f t="shared" si="476"/>
        <v>0</v>
      </c>
      <c r="Y1310" s="28">
        <f t="shared" si="476"/>
        <v>0</v>
      </c>
      <c r="Z1310" s="28">
        <f t="shared" si="476"/>
        <v>0</v>
      </c>
      <c r="AA1310" s="28">
        <f t="shared" si="476"/>
        <v>0</v>
      </c>
      <c r="AB1310" s="28">
        <f t="shared" si="476"/>
        <v>0</v>
      </c>
      <c r="AC1310" s="28">
        <f t="shared" si="476"/>
        <v>0</v>
      </c>
      <c r="AD1310" s="28">
        <f t="shared" si="476"/>
        <v>0</v>
      </c>
      <c r="AE1310" s="28">
        <f t="shared" si="476"/>
        <v>0</v>
      </c>
      <c r="AF1310" s="28">
        <f t="shared" si="476"/>
        <v>0</v>
      </c>
      <c r="AG1310" s="28">
        <f t="shared" si="476"/>
        <v>0</v>
      </c>
      <c r="AH1310" s="28">
        <f t="shared" si="476"/>
        <v>0</v>
      </c>
      <c r="AI1310" s="28">
        <f t="shared" si="476"/>
        <v>0</v>
      </c>
      <c r="AJ1310" s="28">
        <f t="shared" si="476"/>
        <v>0</v>
      </c>
      <c r="AK1310" s="28">
        <f t="shared" si="476"/>
        <v>0</v>
      </c>
      <c r="AL1310" s="28">
        <f t="shared" si="476"/>
        <v>0</v>
      </c>
      <c r="AM1310" s="28">
        <f t="shared" si="476"/>
        <v>0</v>
      </c>
      <c r="AN1310" s="28">
        <f t="shared" si="476"/>
        <v>0</v>
      </c>
      <c r="AO1310" s="28">
        <f t="shared" si="476"/>
        <v>0</v>
      </c>
      <c r="AP1310" s="28">
        <f t="shared" si="476"/>
        <v>0</v>
      </c>
      <c r="AQ1310" s="28">
        <f t="shared" si="476"/>
        <v>0</v>
      </c>
      <c r="AR1310" s="28">
        <f t="shared" si="476"/>
        <v>0</v>
      </c>
      <c r="AS1310" s="28">
        <f t="shared" si="476"/>
        <v>0</v>
      </c>
      <c r="AT1310" s="28">
        <f t="shared" si="476"/>
        <v>0</v>
      </c>
      <c r="AU1310" s="28">
        <f t="shared" si="476"/>
        <v>0</v>
      </c>
      <c r="AV1310" s="28">
        <f t="shared" si="476"/>
        <v>0</v>
      </c>
      <c r="AW1310" s="28">
        <f t="shared" si="476"/>
        <v>0</v>
      </c>
      <c r="AY1310" s="85"/>
      <c r="AZ1310" s="85"/>
    </row>
    <row r="1311" spans="1:52" x14ac:dyDescent="0.25">
      <c r="A1311" s="102" t="str">
        <f t="shared" si="384"/>
        <v>FSFAGSPQNIBDDSCM FSOM</v>
      </c>
      <c r="B1311" s="102" t="s">
        <v>1376</v>
      </c>
      <c r="C1311" s="102" t="s">
        <v>60</v>
      </c>
      <c r="D1311" t="s">
        <v>369</v>
      </c>
      <c r="E1311" t="s">
        <v>55</v>
      </c>
      <c r="F1311" t="s">
        <v>60</v>
      </c>
      <c r="G1311" t="s">
        <v>1279</v>
      </c>
      <c r="H1311" t="s">
        <v>1280</v>
      </c>
      <c r="J1311" t="s">
        <v>287</v>
      </c>
      <c r="K1311" s="28">
        <f t="shared" ref="K1311:AW1311" si="477">IFERROR(K1504-((K1504-K95)+(K1504-K248)+(K1504-K401)+(K1504-K553)+(K1504-K705)+(K1504-K856)+(K1504-K1007)+(K1504-K1158)),0)</f>
        <v>0</v>
      </c>
      <c r="L1311" s="28">
        <f t="shared" si="477"/>
        <v>0</v>
      </c>
      <c r="M1311" s="28">
        <f t="shared" si="477"/>
        <v>0</v>
      </c>
      <c r="N1311" s="28">
        <f t="shared" si="477"/>
        <v>0</v>
      </c>
      <c r="O1311" s="28">
        <f t="shared" si="477"/>
        <v>0</v>
      </c>
      <c r="P1311" s="28">
        <f t="shared" si="477"/>
        <v>0</v>
      </c>
      <c r="Q1311" s="28">
        <f t="shared" si="477"/>
        <v>0</v>
      </c>
      <c r="R1311" s="28">
        <f t="shared" si="477"/>
        <v>0</v>
      </c>
      <c r="S1311" s="28">
        <f t="shared" si="477"/>
        <v>0</v>
      </c>
      <c r="T1311" s="28">
        <f t="shared" si="477"/>
        <v>0</v>
      </c>
      <c r="U1311" s="28">
        <f t="shared" si="477"/>
        <v>0</v>
      </c>
      <c r="V1311" s="28">
        <f t="shared" si="477"/>
        <v>0</v>
      </c>
      <c r="W1311" s="28">
        <f t="shared" si="477"/>
        <v>0</v>
      </c>
      <c r="X1311" s="28">
        <f t="shared" si="477"/>
        <v>0</v>
      </c>
      <c r="Y1311" s="28">
        <f t="shared" si="477"/>
        <v>0</v>
      </c>
      <c r="Z1311" s="28">
        <f t="shared" si="477"/>
        <v>0</v>
      </c>
      <c r="AA1311" s="28">
        <f t="shared" si="477"/>
        <v>0</v>
      </c>
      <c r="AB1311" s="28">
        <f t="shared" si="477"/>
        <v>0</v>
      </c>
      <c r="AC1311" s="28">
        <f t="shared" si="477"/>
        <v>0</v>
      </c>
      <c r="AD1311" s="28">
        <f t="shared" si="477"/>
        <v>0</v>
      </c>
      <c r="AE1311" s="28">
        <f t="shared" si="477"/>
        <v>0</v>
      </c>
      <c r="AF1311" s="28">
        <f t="shared" si="477"/>
        <v>0</v>
      </c>
      <c r="AG1311" s="28">
        <f t="shared" si="477"/>
        <v>0</v>
      </c>
      <c r="AH1311" s="28">
        <f t="shared" si="477"/>
        <v>0</v>
      </c>
      <c r="AI1311" s="28">
        <f t="shared" si="477"/>
        <v>0</v>
      </c>
      <c r="AJ1311" s="28">
        <f t="shared" si="477"/>
        <v>0</v>
      </c>
      <c r="AK1311" s="28">
        <f t="shared" si="477"/>
        <v>0</v>
      </c>
      <c r="AL1311" s="28">
        <f t="shared" si="477"/>
        <v>0</v>
      </c>
      <c r="AM1311" s="28">
        <f t="shared" si="477"/>
        <v>0</v>
      </c>
      <c r="AN1311" s="28">
        <f t="shared" si="477"/>
        <v>0</v>
      </c>
      <c r="AO1311" s="28">
        <f t="shared" si="477"/>
        <v>0</v>
      </c>
      <c r="AP1311" s="28">
        <f t="shared" si="477"/>
        <v>0</v>
      </c>
      <c r="AQ1311" s="28">
        <f t="shared" si="477"/>
        <v>0</v>
      </c>
      <c r="AR1311" s="28">
        <f t="shared" si="477"/>
        <v>0</v>
      </c>
      <c r="AS1311" s="28">
        <f t="shared" si="477"/>
        <v>0</v>
      </c>
      <c r="AT1311" s="28">
        <f t="shared" si="477"/>
        <v>0</v>
      </c>
      <c r="AU1311" s="28">
        <f t="shared" si="477"/>
        <v>0</v>
      </c>
      <c r="AV1311" s="28">
        <f t="shared" si="477"/>
        <v>0</v>
      </c>
      <c r="AW1311" s="28">
        <f t="shared" si="477"/>
        <v>0</v>
      </c>
      <c r="AY1311" s="85"/>
      <c r="AZ1311" s="85"/>
    </row>
    <row r="1312" spans="1:52" x14ac:dyDescent="0.25">
      <c r="A1312" s="102" t="str">
        <f t="shared" si="384"/>
        <v>FSFAGSPQNIBDDSCM FSOM</v>
      </c>
      <c r="B1312" s="102" t="s">
        <v>1376</v>
      </c>
      <c r="C1312" s="102" t="s">
        <v>60</v>
      </c>
      <c r="D1312" t="s">
        <v>369</v>
      </c>
      <c r="E1312" t="s">
        <v>55</v>
      </c>
      <c r="F1312" t="s">
        <v>60</v>
      </c>
      <c r="G1312" t="s">
        <v>1281</v>
      </c>
      <c r="H1312" t="s">
        <v>1282</v>
      </c>
      <c r="J1312" t="s">
        <v>287</v>
      </c>
      <c r="K1312" s="28">
        <f t="shared" ref="K1312:AW1312" si="478">IFERROR(K1505-((K1505-K96)+(K1505-K249)+(K1505-K402)+(K1505-K554)+(K1505-K706)+(K1505-K857)+(K1505-K1008)+(K1505-K1159)),0)</f>
        <v>0</v>
      </c>
      <c r="L1312" s="28">
        <f t="shared" si="478"/>
        <v>0</v>
      </c>
      <c r="M1312" s="28">
        <f t="shared" si="478"/>
        <v>0</v>
      </c>
      <c r="N1312" s="28">
        <f t="shared" si="478"/>
        <v>0</v>
      </c>
      <c r="O1312" s="28">
        <f t="shared" si="478"/>
        <v>0</v>
      </c>
      <c r="P1312" s="28">
        <f t="shared" si="478"/>
        <v>0</v>
      </c>
      <c r="Q1312" s="28">
        <f t="shared" si="478"/>
        <v>0</v>
      </c>
      <c r="R1312" s="28">
        <f t="shared" si="478"/>
        <v>0</v>
      </c>
      <c r="S1312" s="28">
        <f t="shared" si="478"/>
        <v>0</v>
      </c>
      <c r="T1312" s="28">
        <f t="shared" si="478"/>
        <v>0</v>
      </c>
      <c r="U1312" s="28">
        <f t="shared" si="478"/>
        <v>0</v>
      </c>
      <c r="V1312" s="28">
        <f t="shared" si="478"/>
        <v>0</v>
      </c>
      <c r="W1312" s="28">
        <f t="shared" si="478"/>
        <v>0</v>
      </c>
      <c r="X1312" s="28">
        <f t="shared" si="478"/>
        <v>0</v>
      </c>
      <c r="Y1312" s="28">
        <f t="shared" si="478"/>
        <v>0</v>
      </c>
      <c r="Z1312" s="28">
        <f t="shared" si="478"/>
        <v>0</v>
      </c>
      <c r="AA1312" s="28">
        <f t="shared" si="478"/>
        <v>0</v>
      </c>
      <c r="AB1312" s="28">
        <f t="shared" si="478"/>
        <v>0</v>
      </c>
      <c r="AC1312" s="28">
        <f t="shared" si="478"/>
        <v>0</v>
      </c>
      <c r="AD1312" s="28">
        <f t="shared" si="478"/>
        <v>0</v>
      </c>
      <c r="AE1312" s="28">
        <f t="shared" si="478"/>
        <v>0</v>
      </c>
      <c r="AF1312" s="28">
        <f t="shared" si="478"/>
        <v>0</v>
      </c>
      <c r="AG1312" s="28">
        <f t="shared" si="478"/>
        <v>0</v>
      </c>
      <c r="AH1312" s="28">
        <f t="shared" si="478"/>
        <v>0</v>
      </c>
      <c r="AI1312" s="28">
        <f t="shared" si="478"/>
        <v>0</v>
      </c>
      <c r="AJ1312" s="28">
        <f t="shared" si="478"/>
        <v>0</v>
      </c>
      <c r="AK1312" s="28">
        <f t="shared" si="478"/>
        <v>0</v>
      </c>
      <c r="AL1312" s="28">
        <f t="shared" si="478"/>
        <v>0</v>
      </c>
      <c r="AM1312" s="28">
        <f t="shared" si="478"/>
        <v>0</v>
      </c>
      <c r="AN1312" s="28">
        <f t="shared" si="478"/>
        <v>0</v>
      </c>
      <c r="AO1312" s="28">
        <f t="shared" si="478"/>
        <v>0</v>
      </c>
      <c r="AP1312" s="28">
        <f t="shared" si="478"/>
        <v>0</v>
      </c>
      <c r="AQ1312" s="28">
        <f t="shared" si="478"/>
        <v>0</v>
      </c>
      <c r="AR1312" s="28">
        <f t="shared" si="478"/>
        <v>0</v>
      </c>
      <c r="AS1312" s="28">
        <f t="shared" si="478"/>
        <v>0</v>
      </c>
      <c r="AT1312" s="28">
        <f t="shared" si="478"/>
        <v>0</v>
      </c>
      <c r="AU1312" s="28">
        <f t="shared" si="478"/>
        <v>0</v>
      </c>
      <c r="AV1312" s="28">
        <f t="shared" si="478"/>
        <v>0</v>
      </c>
      <c r="AW1312" s="28">
        <f t="shared" si="478"/>
        <v>0</v>
      </c>
      <c r="AY1312" s="85"/>
      <c r="AZ1312" s="85"/>
    </row>
    <row r="1313" spans="1:52" x14ac:dyDescent="0.25">
      <c r="A1313" s="102" t="str">
        <f t="shared" si="384"/>
        <v>FSFAGSPQNIBDDSCM FSOM</v>
      </c>
      <c r="B1313" s="102" t="s">
        <v>1376</v>
      </c>
      <c r="C1313" s="102" t="s">
        <v>60</v>
      </c>
      <c r="D1313" t="s">
        <v>369</v>
      </c>
      <c r="E1313" t="s">
        <v>55</v>
      </c>
      <c r="F1313" t="s">
        <v>60</v>
      </c>
      <c r="G1313" t="s">
        <v>1283</v>
      </c>
      <c r="H1313" t="s">
        <v>1284</v>
      </c>
      <c r="J1313" t="s">
        <v>287</v>
      </c>
      <c r="K1313" s="28">
        <f t="shared" ref="K1313:AW1313" si="479">IFERROR(K1506-((K1506-K97)+(K1506-K250)+(K1506-K403)+(K1506-K555)+(K1506-K707)+(K1506-K858)+(K1506-K1009)+(K1506-K1160)),0)</f>
        <v>5.604018730639919E-5</v>
      </c>
      <c r="L1313" s="28">
        <f t="shared" si="479"/>
        <v>5.604018730639919E-5</v>
      </c>
      <c r="M1313" s="28">
        <f t="shared" si="479"/>
        <v>5.604018730639919E-5</v>
      </c>
      <c r="N1313" s="28">
        <f t="shared" si="479"/>
        <v>5.604018730639919E-5</v>
      </c>
      <c r="O1313" s="28">
        <f t="shared" si="479"/>
        <v>5.604018730639919E-5</v>
      </c>
      <c r="P1313" s="28">
        <f t="shared" si="479"/>
        <v>5.604018730639919E-5</v>
      </c>
      <c r="Q1313" s="28">
        <f t="shared" si="479"/>
        <v>5.604018730639919E-5</v>
      </c>
      <c r="R1313" s="28">
        <f t="shared" si="479"/>
        <v>5.604018730639919E-5</v>
      </c>
      <c r="S1313" s="28">
        <f t="shared" si="479"/>
        <v>5.604018730639919E-5</v>
      </c>
      <c r="T1313" s="28">
        <f t="shared" si="479"/>
        <v>5.604018730639919E-5</v>
      </c>
      <c r="U1313" s="28">
        <f t="shared" si="479"/>
        <v>5.604018730639919E-5</v>
      </c>
      <c r="V1313" s="28">
        <f t="shared" si="479"/>
        <v>5.604018730639919E-5</v>
      </c>
      <c r="W1313" s="28">
        <f t="shared" si="479"/>
        <v>5.604018730639919E-5</v>
      </c>
      <c r="X1313" s="28">
        <f t="shared" si="479"/>
        <v>5.604018730639919E-5</v>
      </c>
      <c r="Y1313" s="28">
        <f t="shared" si="479"/>
        <v>5.604018730639919E-5</v>
      </c>
      <c r="Z1313" s="28">
        <f t="shared" si="479"/>
        <v>5.604018730639919E-5</v>
      </c>
      <c r="AA1313" s="28">
        <f t="shared" si="479"/>
        <v>5.604018730639919E-5</v>
      </c>
      <c r="AB1313" s="28">
        <f t="shared" si="479"/>
        <v>5.604018730639919E-5</v>
      </c>
      <c r="AC1313" s="28">
        <f t="shared" si="479"/>
        <v>5.604018730639919E-5</v>
      </c>
      <c r="AD1313" s="28">
        <f t="shared" si="479"/>
        <v>5.604018730639919E-5</v>
      </c>
      <c r="AE1313" s="28">
        <f t="shared" si="479"/>
        <v>5.604018730639919E-5</v>
      </c>
      <c r="AF1313" s="28">
        <f t="shared" si="479"/>
        <v>5.604018730639919E-5</v>
      </c>
      <c r="AG1313" s="28">
        <f t="shared" si="479"/>
        <v>5.604018730639919E-5</v>
      </c>
      <c r="AH1313" s="28">
        <f t="shared" si="479"/>
        <v>5.604018730639919E-5</v>
      </c>
      <c r="AI1313" s="28">
        <f t="shared" si="479"/>
        <v>5.604018730639919E-5</v>
      </c>
      <c r="AJ1313" s="28">
        <f t="shared" si="479"/>
        <v>5.604018730639919E-5</v>
      </c>
      <c r="AK1313" s="28">
        <f t="shared" si="479"/>
        <v>5.604018730639919E-5</v>
      </c>
      <c r="AL1313" s="28">
        <f t="shared" si="479"/>
        <v>5.604018730639919E-5</v>
      </c>
      <c r="AM1313" s="28">
        <f t="shared" si="479"/>
        <v>5.604018730639919E-5</v>
      </c>
      <c r="AN1313" s="28">
        <f t="shared" si="479"/>
        <v>5.604018730639919E-5</v>
      </c>
      <c r="AO1313" s="28">
        <f t="shared" si="479"/>
        <v>5.604018730639919E-5</v>
      </c>
      <c r="AP1313" s="28">
        <f t="shared" si="479"/>
        <v>5.604018730639919E-5</v>
      </c>
      <c r="AQ1313" s="28">
        <f t="shared" si="479"/>
        <v>5.604018730639919E-5</v>
      </c>
      <c r="AR1313" s="28">
        <f t="shared" si="479"/>
        <v>5.604018730639919E-5</v>
      </c>
      <c r="AS1313" s="28">
        <f t="shared" si="479"/>
        <v>5.604018730639919E-5</v>
      </c>
      <c r="AT1313" s="28">
        <f t="shared" si="479"/>
        <v>5.604018730639919E-5</v>
      </c>
      <c r="AU1313" s="28">
        <f t="shared" si="479"/>
        <v>5.604018730639919E-5</v>
      </c>
      <c r="AV1313" s="28">
        <f t="shared" si="479"/>
        <v>5.604018730639919E-5</v>
      </c>
      <c r="AW1313" s="28">
        <f t="shared" si="479"/>
        <v>5.604018730639919E-5</v>
      </c>
      <c r="AY1313" s="85"/>
      <c r="AZ1313" s="85"/>
    </row>
    <row r="1314" spans="1:52" x14ac:dyDescent="0.25">
      <c r="A1314" s="102" t="str">
        <f t="shared" si="384"/>
        <v>FSFAGSPQNIBDDSCM FSOM</v>
      </c>
      <c r="B1314" s="102" t="s">
        <v>1376</v>
      </c>
      <c r="C1314" s="102" t="s">
        <v>60</v>
      </c>
      <c r="D1314" t="s">
        <v>369</v>
      </c>
      <c r="E1314" t="s">
        <v>55</v>
      </c>
      <c r="F1314" t="s">
        <v>60</v>
      </c>
      <c r="G1314" t="s">
        <v>1285</v>
      </c>
      <c r="H1314" t="s">
        <v>1286</v>
      </c>
      <c r="J1314" t="s">
        <v>287</v>
      </c>
      <c r="K1314" s="28">
        <f t="shared" ref="K1314:AW1314" si="480">IFERROR(K1507-((K1507-K98)+(K1507-K251)+(K1507-K404)+(K1507-K556)+(K1507-K708)+(K1507-K859)+(K1507-K1010)+(K1507-K1161)),0)</f>
        <v>6.110857899094551E-2</v>
      </c>
      <c r="L1314" s="28">
        <f t="shared" si="480"/>
        <v>6.110857899094551E-2</v>
      </c>
      <c r="M1314" s="28">
        <f t="shared" si="480"/>
        <v>6.110857899094551E-2</v>
      </c>
      <c r="N1314" s="28">
        <f t="shared" si="480"/>
        <v>6.110857899094551E-2</v>
      </c>
      <c r="O1314" s="28">
        <f t="shared" si="480"/>
        <v>6.110857899094551E-2</v>
      </c>
      <c r="P1314" s="28">
        <f t="shared" si="480"/>
        <v>6.110857899094551E-2</v>
      </c>
      <c r="Q1314" s="28">
        <f t="shared" si="480"/>
        <v>6.110857899094551E-2</v>
      </c>
      <c r="R1314" s="28">
        <f t="shared" si="480"/>
        <v>6.110857899094551E-2</v>
      </c>
      <c r="S1314" s="28">
        <f t="shared" si="480"/>
        <v>6.110857899094551E-2</v>
      </c>
      <c r="T1314" s="28">
        <f t="shared" si="480"/>
        <v>6.110857899094551E-2</v>
      </c>
      <c r="U1314" s="28">
        <f t="shared" si="480"/>
        <v>6.110857899094551E-2</v>
      </c>
      <c r="V1314" s="28">
        <f t="shared" si="480"/>
        <v>6.110857899094551E-2</v>
      </c>
      <c r="W1314" s="28">
        <f t="shared" si="480"/>
        <v>6.110857899094551E-2</v>
      </c>
      <c r="X1314" s="28">
        <f t="shared" si="480"/>
        <v>6.110857899094551E-2</v>
      </c>
      <c r="Y1314" s="28">
        <f t="shared" si="480"/>
        <v>6.110857899094551E-2</v>
      </c>
      <c r="Z1314" s="28">
        <f t="shared" si="480"/>
        <v>6.110857899094551E-2</v>
      </c>
      <c r="AA1314" s="28">
        <f t="shared" si="480"/>
        <v>6.110857899094551E-2</v>
      </c>
      <c r="AB1314" s="28">
        <f t="shared" si="480"/>
        <v>6.110857899094551E-2</v>
      </c>
      <c r="AC1314" s="28">
        <f t="shared" si="480"/>
        <v>6.110857899094551E-2</v>
      </c>
      <c r="AD1314" s="28">
        <f t="shared" si="480"/>
        <v>6.110857899094551E-2</v>
      </c>
      <c r="AE1314" s="28">
        <f t="shared" si="480"/>
        <v>6.110857899094551E-2</v>
      </c>
      <c r="AF1314" s="28">
        <f t="shared" si="480"/>
        <v>6.110857899094551E-2</v>
      </c>
      <c r="AG1314" s="28">
        <f t="shared" si="480"/>
        <v>6.110857899094551E-2</v>
      </c>
      <c r="AH1314" s="28">
        <f t="shared" si="480"/>
        <v>6.110857899094551E-2</v>
      </c>
      <c r="AI1314" s="28">
        <f t="shared" si="480"/>
        <v>6.110857899094551E-2</v>
      </c>
      <c r="AJ1314" s="28">
        <f t="shared" si="480"/>
        <v>6.110857899094551E-2</v>
      </c>
      <c r="AK1314" s="28">
        <f t="shared" si="480"/>
        <v>6.110857899094551E-2</v>
      </c>
      <c r="AL1314" s="28">
        <f t="shared" si="480"/>
        <v>6.110857899094551E-2</v>
      </c>
      <c r="AM1314" s="28">
        <f t="shared" si="480"/>
        <v>6.110857899094551E-2</v>
      </c>
      <c r="AN1314" s="28">
        <f t="shared" si="480"/>
        <v>6.110857899094551E-2</v>
      </c>
      <c r="AO1314" s="28">
        <f t="shared" si="480"/>
        <v>6.110857899094551E-2</v>
      </c>
      <c r="AP1314" s="28">
        <f t="shared" si="480"/>
        <v>6.110857899094551E-2</v>
      </c>
      <c r="AQ1314" s="28">
        <f t="shared" si="480"/>
        <v>6.110857899094551E-2</v>
      </c>
      <c r="AR1314" s="28">
        <f t="shared" si="480"/>
        <v>6.110857899094551E-2</v>
      </c>
      <c r="AS1314" s="28">
        <f t="shared" si="480"/>
        <v>6.110857899094551E-2</v>
      </c>
      <c r="AT1314" s="28">
        <f t="shared" si="480"/>
        <v>6.110857899094551E-2</v>
      </c>
      <c r="AU1314" s="28">
        <f t="shared" si="480"/>
        <v>6.110857899094551E-2</v>
      </c>
      <c r="AV1314" s="28">
        <f t="shared" si="480"/>
        <v>6.110857899094551E-2</v>
      </c>
      <c r="AW1314" s="28">
        <f t="shared" si="480"/>
        <v>6.110857899094551E-2</v>
      </c>
      <c r="AY1314" s="85"/>
      <c r="AZ1314" s="85"/>
    </row>
    <row r="1315" spans="1:52" x14ac:dyDescent="0.25">
      <c r="A1315" s="102" t="str">
        <f t="shared" si="384"/>
        <v>FSFAGSPQNIBDDSCM FSOM</v>
      </c>
      <c r="B1315" s="102" t="s">
        <v>1376</v>
      </c>
      <c r="C1315" s="102" t="s">
        <v>60</v>
      </c>
      <c r="D1315" t="s">
        <v>369</v>
      </c>
      <c r="E1315" t="s">
        <v>55</v>
      </c>
      <c r="F1315" t="s">
        <v>60</v>
      </c>
      <c r="G1315" t="s">
        <v>1287</v>
      </c>
      <c r="H1315" t="s">
        <v>1288</v>
      </c>
      <c r="J1315" t="s">
        <v>287</v>
      </c>
      <c r="K1315" s="28">
        <f t="shared" ref="K1315:AW1315" si="481">IFERROR(K1508-((K1508-K99)+(K1508-K252)+(K1508-K405)+(K1508-K557)+(K1508-K709)+(K1508-K860)+(K1508-K1011)+(K1508-K1162)),0)</f>
        <v>0</v>
      </c>
      <c r="L1315" s="28">
        <f t="shared" si="481"/>
        <v>0</v>
      </c>
      <c r="M1315" s="28">
        <f t="shared" si="481"/>
        <v>0</v>
      </c>
      <c r="N1315" s="28">
        <f t="shared" si="481"/>
        <v>0</v>
      </c>
      <c r="O1315" s="28">
        <f t="shared" si="481"/>
        <v>0</v>
      </c>
      <c r="P1315" s="28">
        <f t="shared" si="481"/>
        <v>0</v>
      </c>
      <c r="Q1315" s="28">
        <f t="shared" si="481"/>
        <v>0</v>
      </c>
      <c r="R1315" s="28">
        <f t="shared" si="481"/>
        <v>0</v>
      </c>
      <c r="S1315" s="28">
        <f t="shared" si="481"/>
        <v>0</v>
      </c>
      <c r="T1315" s="28">
        <f t="shared" si="481"/>
        <v>0</v>
      </c>
      <c r="U1315" s="28">
        <f t="shared" si="481"/>
        <v>0</v>
      </c>
      <c r="V1315" s="28">
        <f t="shared" si="481"/>
        <v>0</v>
      </c>
      <c r="W1315" s="28">
        <f t="shared" si="481"/>
        <v>0</v>
      </c>
      <c r="X1315" s="28">
        <f t="shared" si="481"/>
        <v>0</v>
      </c>
      <c r="Y1315" s="28">
        <f t="shared" si="481"/>
        <v>0</v>
      </c>
      <c r="Z1315" s="28">
        <f t="shared" si="481"/>
        <v>0</v>
      </c>
      <c r="AA1315" s="28">
        <f t="shared" si="481"/>
        <v>0</v>
      </c>
      <c r="AB1315" s="28">
        <f t="shared" si="481"/>
        <v>0</v>
      </c>
      <c r="AC1315" s="28">
        <f t="shared" si="481"/>
        <v>0</v>
      </c>
      <c r="AD1315" s="28">
        <f t="shared" si="481"/>
        <v>0</v>
      </c>
      <c r="AE1315" s="28">
        <f t="shared" si="481"/>
        <v>0</v>
      </c>
      <c r="AF1315" s="28">
        <f t="shared" si="481"/>
        <v>0</v>
      </c>
      <c r="AG1315" s="28">
        <f t="shared" si="481"/>
        <v>0</v>
      </c>
      <c r="AH1315" s="28">
        <f t="shared" si="481"/>
        <v>0</v>
      </c>
      <c r="AI1315" s="28">
        <f t="shared" si="481"/>
        <v>0</v>
      </c>
      <c r="AJ1315" s="28">
        <f t="shared" si="481"/>
        <v>0</v>
      </c>
      <c r="AK1315" s="28">
        <f t="shared" si="481"/>
        <v>0</v>
      </c>
      <c r="AL1315" s="28">
        <f t="shared" si="481"/>
        <v>0</v>
      </c>
      <c r="AM1315" s="28">
        <f t="shared" si="481"/>
        <v>0</v>
      </c>
      <c r="AN1315" s="28">
        <f t="shared" si="481"/>
        <v>0</v>
      </c>
      <c r="AO1315" s="28">
        <f t="shared" si="481"/>
        <v>0</v>
      </c>
      <c r="AP1315" s="28">
        <f t="shared" si="481"/>
        <v>0</v>
      </c>
      <c r="AQ1315" s="28">
        <f t="shared" si="481"/>
        <v>0</v>
      </c>
      <c r="AR1315" s="28">
        <f t="shared" si="481"/>
        <v>0</v>
      </c>
      <c r="AS1315" s="28">
        <f t="shared" si="481"/>
        <v>0</v>
      </c>
      <c r="AT1315" s="28">
        <f t="shared" si="481"/>
        <v>0</v>
      </c>
      <c r="AU1315" s="28">
        <f t="shared" si="481"/>
        <v>0</v>
      </c>
      <c r="AV1315" s="28">
        <f t="shared" si="481"/>
        <v>0</v>
      </c>
      <c r="AW1315" s="28">
        <f t="shared" si="481"/>
        <v>0</v>
      </c>
      <c r="AY1315" s="85"/>
      <c r="AZ1315" s="85"/>
    </row>
    <row r="1316" spans="1:52" x14ac:dyDescent="0.25">
      <c r="A1316" s="102" t="str">
        <f t="shared" si="384"/>
        <v>FSFAGSPQNIBDDSCM FSOM</v>
      </c>
      <c r="B1316" s="102" t="s">
        <v>1376</v>
      </c>
      <c r="C1316" s="102" t="s">
        <v>60</v>
      </c>
      <c r="D1316" t="s">
        <v>369</v>
      </c>
      <c r="E1316" t="s">
        <v>55</v>
      </c>
      <c r="F1316" t="s">
        <v>60</v>
      </c>
      <c r="G1316" t="s">
        <v>1289</v>
      </c>
      <c r="H1316" t="s">
        <v>1290</v>
      </c>
      <c r="J1316" t="s">
        <v>287</v>
      </c>
      <c r="K1316" s="28">
        <f t="shared" ref="K1316:AW1316" si="482">IFERROR(K1509-((K1509-K100)+(K1509-K253)+(K1509-K406)+(K1509-K558)+(K1509-K710)+(K1509-K861)+(K1509-K1012)+(K1509-K1163)),0)</f>
        <v>3.1961717215001131</v>
      </c>
      <c r="L1316" s="28">
        <f t="shared" si="482"/>
        <v>3.1961717215001131</v>
      </c>
      <c r="M1316" s="28">
        <f t="shared" si="482"/>
        <v>3.1961717215001131</v>
      </c>
      <c r="N1316" s="28">
        <f t="shared" si="482"/>
        <v>3.1961717215001131</v>
      </c>
      <c r="O1316" s="28">
        <f t="shared" si="482"/>
        <v>3.1961717215001131</v>
      </c>
      <c r="P1316" s="28">
        <f t="shared" si="482"/>
        <v>3.1961717215001131</v>
      </c>
      <c r="Q1316" s="28">
        <f t="shared" si="482"/>
        <v>3.1961717215001131</v>
      </c>
      <c r="R1316" s="28">
        <f t="shared" si="482"/>
        <v>3.1961717215001131</v>
      </c>
      <c r="S1316" s="28">
        <f t="shared" si="482"/>
        <v>3.1961717215001131</v>
      </c>
      <c r="T1316" s="28">
        <f t="shared" si="482"/>
        <v>3.1961717215001131</v>
      </c>
      <c r="U1316" s="28">
        <f t="shared" si="482"/>
        <v>3.1961717215001131</v>
      </c>
      <c r="V1316" s="28">
        <f t="shared" si="482"/>
        <v>3.1961717215001131</v>
      </c>
      <c r="W1316" s="28">
        <f t="shared" si="482"/>
        <v>3.1961717215001131</v>
      </c>
      <c r="X1316" s="28">
        <f t="shared" si="482"/>
        <v>3.1961717215001131</v>
      </c>
      <c r="Y1316" s="28">
        <f t="shared" si="482"/>
        <v>3.1961717215001131</v>
      </c>
      <c r="Z1316" s="28">
        <f t="shared" si="482"/>
        <v>3.1961717215001131</v>
      </c>
      <c r="AA1316" s="28">
        <f t="shared" si="482"/>
        <v>3.1961717215001131</v>
      </c>
      <c r="AB1316" s="28">
        <f t="shared" si="482"/>
        <v>3.1961717215001131</v>
      </c>
      <c r="AC1316" s="28">
        <f t="shared" si="482"/>
        <v>3.1961717215001131</v>
      </c>
      <c r="AD1316" s="28">
        <f t="shared" si="482"/>
        <v>3.1961717215001131</v>
      </c>
      <c r="AE1316" s="28">
        <f t="shared" si="482"/>
        <v>3.1961717215001131</v>
      </c>
      <c r="AF1316" s="28">
        <f t="shared" si="482"/>
        <v>3.1961717215001131</v>
      </c>
      <c r="AG1316" s="28">
        <f t="shared" si="482"/>
        <v>3.1961717215001131</v>
      </c>
      <c r="AH1316" s="28">
        <f t="shared" si="482"/>
        <v>3.1961717215001131</v>
      </c>
      <c r="AI1316" s="28">
        <f t="shared" si="482"/>
        <v>3.1961717215001131</v>
      </c>
      <c r="AJ1316" s="28">
        <f t="shared" si="482"/>
        <v>3.1961717215001131</v>
      </c>
      <c r="AK1316" s="28">
        <f t="shared" si="482"/>
        <v>3.1961717215001131</v>
      </c>
      <c r="AL1316" s="28">
        <f t="shared" si="482"/>
        <v>3.1961717215001131</v>
      </c>
      <c r="AM1316" s="28">
        <f t="shared" si="482"/>
        <v>3.1961717215001131</v>
      </c>
      <c r="AN1316" s="28">
        <f t="shared" si="482"/>
        <v>3.1961717215001131</v>
      </c>
      <c r="AO1316" s="28">
        <f t="shared" si="482"/>
        <v>3.1961717215001131</v>
      </c>
      <c r="AP1316" s="28">
        <f t="shared" si="482"/>
        <v>3.1961717215001131</v>
      </c>
      <c r="AQ1316" s="28">
        <f t="shared" si="482"/>
        <v>3.1961717215001131</v>
      </c>
      <c r="AR1316" s="28">
        <f t="shared" si="482"/>
        <v>3.1961717215001131</v>
      </c>
      <c r="AS1316" s="28">
        <f t="shared" si="482"/>
        <v>3.1961717215001131</v>
      </c>
      <c r="AT1316" s="28">
        <f t="shared" si="482"/>
        <v>3.1961717215001131</v>
      </c>
      <c r="AU1316" s="28">
        <f t="shared" si="482"/>
        <v>3.1961717215001131</v>
      </c>
      <c r="AV1316" s="28">
        <f t="shared" si="482"/>
        <v>3.1961717215001131</v>
      </c>
      <c r="AW1316" s="28">
        <f t="shared" si="482"/>
        <v>3.1961717215001131</v>
      </c>
      <c r="AY1316" s="85"/>
      <c r="AZ1316" s="85"/>
    </row>
    <row r="1317" spans="1:52" x14ac:dyDescent="0.25">
      <c r="A1317" s="102" t="str">
        <f t="shared" si="384"/>
        <v>FSFAGSPQNIBDDSCM Volatilisation</v>
      </c>
      <c r="B1317" s="102" t="s">
        <v>1376</v>
      </c>
      <c r="C1317" s="102" t="s">
        <v>62</v>
      </c>
      <c r="D1317" t="s">
        <v>369</v>
      </c>
      <c r="E1317" t="s">
        <v>61</v>
      </c>
      <c r="F1317" t="s">
        <v>62</v>
      </c>
      <c r="G1317" t="s">
        <v>435</v>
      </c>
      <c r="H1317" t="s">
        <v>1185</v>
      </c>
      <c r="I1317" t="s">
        <v>139</v>
      </c>
      <c r="J1317" t="s">
        <v>287</v>
      </c>
      <c r="K1317" s="28">
        <f t="shared" ref="K1317:AW1317" si="483">IFERROR(K1510-((K1510-K101)+(K1510-K254)+(K1510-K407)+(K1510-K559)+(K1510-K711)+(K1510-K862)+(K1510-K1013)+(K1510-K1164)),0)</f>
        <v>0.66064812063358536</v>
      </c>
      <c r="L1317" s="28">
        <f t="shared" si="483"/>
        <v>0.66055332632324659</v>
      </c>
      <c r="M1317" s="28">
        <f t="shared" si="483"/>
        <v>0.66042378924026446</v>
      </c>
      <c r="N1317" s="28">
        <f t="shared" si="483"/>
        <v>0.66032976249569819</v>
      </c>
      <c r="O1317" s="28">
        <f t="shared" si="483"/>
        <v>0.66028397217143464</v>
      </c>
      <c r="P1317" s="28">
        <f t="shared" si="483"/>
        <v>0.66023877667619957</v>
      </c>
      <c r="Q1317" s="28">
        <f t="shared" si="483"/>
        <v>0.66017040685586048</v>
      </c>
      <c r="R1317" s="28">
        <f t="shared" si="483"/>
        <v>0.66009555191940106</v>
      </c>
      <c r="S1317" s="28">
        <f t="shared" si="483"/>
        <v>0.66007105452260206</v>
      </c>
      <c r="T1317" s="28">
        <f t="shared" si="483"/>
        <v>0.6489619139545455</v>
      </c>
      <c r="U1317" s="28">
        <f t="shared" si="483"/>
        <v>0.6372673454030845</v>
      </c>
      <c r="V1317" s="28">
        <f t="shared" si="483"/>
        <v>0.62559111175039328</v>
      </c>
      <c r="W1317" s="28">
        <f t="shared" si="483"/>
        <v>0.61392038299033436</v>
      </c>
      <c r="X1317" s="28">
        <f t="shared" si="483"/>
        <v>0.60223715711644277</v>
      </c>
      <c r="Y1317" s="28">
        <f t="shared" si="483"/>
        <v>0.59056034850655725</v>
      </c>
      <c r="Z1317" s="28">
        <f t="shared" si="483"/>
        <v>0.57888678011625339</v>
      </c>
      <c r="AA1317" s="28">
        <f t="shared" si="483"/>
        <v>0.56722351804669224</v>
      </c>
      <c r="AB1317" s="28">
        <f t="shared" si="483"/>
        <v>0.55556011676691675</v>
      </c>
      <c r="AC1317" s="28">
        <f t="shared" si="483"/>
        <v>0.54391016958220884</v>
      </c>
      <c r="AD1317" s="28">
        <f t="shared" si="483"/>
        <v>0.5322639327442088</v>
      </c>
      <c r="AE1317" s="28">
        <f t="shared" si="483"/>
        <v>0.52060499728192033</v>
      </c>
      <c r="AF1317" s="28">
        <f t="shared" si="483"/>
        <v>0.5089448044033309</v>
      </c>
      <c r="AG1317" s="28">
        <f t="shared" si="483"/>
        <v>0.49728882637696115</v>
      </c>
      <c r="AH1317" s="28">
        <f t="shared" si="483"/>
        <v>0.48573774435149086</v>
      </c>
      <c r="AI1317" s="28">
        <f t="shared" si="483"/>
        <v>0.48415933568151892</v>
      </c>
      <c r="AJ1317" s="28">
        <f t="shared" si="483"/>
        <v>0.47240874512813258</v>
      </c>
      <c r="AK1317" s="28">
        <f t="shared" si="483"/>
        <v>0.46065747532697504</v>
      </c>
      <c r="AL1317" s="28">
        <f t="shared" si="483"/>
        <v>0.44890551513582388</v>
      </c>
      <c r="AM1317" s="28">
        <f t="shared" si="483"/>
        <v>0.43715285320766811</v>
      </c>
      <c r="AN1317" s="28">
        <f t="shared" si="483"/>
        <v>0.43716942401715808</v>
      </c>
      <c r="AO1317" s="28">
        <f t="shared" si="483"/>
        <v>0.4371836282573856</v>
      </c>
      <c r="AP1317" s="28">
        <f t="shared" si="483"/>
        <v>0.43719796134442884</v>
      </c>
      <c r="AQ1317" s="28">
        <f t="shared" si="483"/>
        <v>0.43721242481998218</v>
      </c>
      <c r="AR1317" s="28">
        <f t="shared" si="483"/>
        <v>0.43722702025103188</v>
      </c>
      <c r="AS1317" s="28">
        <f t="shared" si="483"/>
        <v>0.43724174923040726</v>
      </c>
      <c r="AT1317" s="28">
        <f t="shared" si="483"/>
        <v>0.43725396303841652</v>
      </c>
      <c r="AU1317" s="28">
        <f t="shared" si="483"/>
        <v>0.43726626917180256</v>
      </c>
      <c r="AV1317" s="28">
        <f t="shared" si="483"/>
        <v>0.43727866855732739</v>
      </c>
      <c r="AW1317" s="28">
        <f t="shared" si="483"/>
        <v>0.43729116213455055</v>
      </c>
      <c r="AY1317" s="85"/>
      <c r="AZ1317" s="85"/>
    </row>
    <row r="1318" spans="1:52" x14ac:dyDescent="0.25">
      <c r="A1318" s="102" t="str">
        <f t="shared" si="384"/>
        <v>FSFAGSPQNIBDDSCM Volatilisation</v>
      </c>
      <c r="B1318" s="102" t="s">
        <v>1376</v>
      </c>
      <c r="C1318" s="102" t="s">
        <v>62</v>
      </c>
      <c r="D1318" t="s">
        <v>369</v>
      </c>
      <c r="E1318" t="s">
        <v>61</v>
      </c>
      <c r="F1318" t="s">
        <v>62</v>
      </c>
      <c r="G1318" t="s">
        <v>436</v>
      </c>
      <c r="H1318" t="s">
        <v>1186</v>
      </c>
      <c r="I1318" t="s">
        <v>139</v>
      </c>
      <c r="J1318" t="s">
        <v>287</v>
      </c>
      <c r="K1318" s="28">
        <f t="shared" ref="K1318:AW1318" si="484">IFERROR(K1511-((K1511-K102)+(K1511-K255)+(K1511-K408)+(K1511-K560)+(K1511-K712)+(K1511-K863)+(K1511-K1014)+(K1511-K1165)),0)</f>
        <v>8.720555192363328E-3</v>
      </c>
      <c r="L1318" s="28">
        <f t="shared" si="484"/>
        <v>8.7193039074668528E-3</v>
      </c>
      <c r="M1318" s="28">
        <f t="shared" si="484"/>
        <v>8.7175940179714945E-3</v>
      </c>
      <c r="N1318" s="28">
        <f t="shared" si="484"/>
        <v>8.7163528649432196E-3</v>
      </c>
      <c r="O1318" s="28">
        <f t="shared" si="484"/>
        <v>8.7157484326629356E-3</v>
      </c>
      <c r="P1318" s="28">
        <f t="shared" si="484"/>
        <v>8.715151852125836E-3</v>
      </c>
      <c r="Q1318" s="28">
        <f t="shared" si="484"/>
        <v>8.7142493704973605E-3</v>
      </c>
      <c r="R1318" s="28">
        <f t="shared" si="484"/>
        <v>8.713261285336095E-3</v>
      </c>
      <c r="S1318" s="28">
        <f t="shared" si="484"/>
        <v>8.7129379196983492E-3</v>
      </c>
      <c r="T1318" s="28">
        <f t="shared" si="484"/>
        <v>8.5662972642000044E-3</v>
      </c>
      <c r="U1318" s="28">
        <f t="shared" si="484"/>
        <v>8.4119289593207174E-3</v>
      </c>
      <c r="V1318" s="28">
        <f t="shared" si="484"/>
        <v>8.2578026751051938E-3</v>
      </c>
      <c r="W1318" s="28">
        <f t="shared" si="484"/>
        <v>8.1037490554724152E-3</v>
      </c>
      <c r="X1318" s="28">
        <f t="shared" si="484"/>
        <v>7.9495304739370439E-3</v>
      </c>
      <c r="Y1318" s="28">
        <f t="shared" si="484"/>
        <v>7.7953966002865561E-3</v>
      </c>
      <c r="Z1318" s="28">
        <f t="shared" si="484"/>
        <v>7.6413054975345476E-3</v>
      </c>
      <c r="AA1318" s="28">
        <f t="shared" si="484"/>
        <v>7.4873504382163376E-3</v>
      </c>
      <c r="AB1318" s="28">
        <f t="shared" si="484"/>
        <v>7.3333935413233044E-3</v>
      </c>
      <c r="AC1318" s="28">
        <f t="shared" si="484"/>
        <v>7.1796142384851587E-3</v>
      </c>
      <c r="AD1318" s="28">
        <f t="shared" si="484"/>
        <v>7.0258839122235581E-3</v>
      </c>
      <c r="AE1318" s="28">
        <f t="shared" si="484"/>
        <v>6.8719859641213476E-3</v>
      </c>
      <c r="AF1318" s="28">
        <f t="shared" si="484"/>
        <v>6.7180714181239685E-3</v>
      </c>
      <c r="AG1318" s="28">
        <f t="shared" si="484"/>
        <v>6.5642125081758875E-3</v>
      </c>
      <c r="AH1318" s="28">
        <f t="shared" si="484"/>
        <v>6.4117382254396801E-3</v>
      </c>
      <c r="AI1318" s="28">
        <f t="shared" si="484"/>
        <v>6.3909032309960511E-3</v>
      </c>
      <c r="AJ1318" s="28">
        <f t="shared" si="484"/>
        <v>6.2357954356913499E-3</v>
      </c>
      <c r="AK1318" s="28">
        <f t="shared" si="484"/>
        <v>6.0806786743160699E-3</v>
      </c>
      <c r="AL1318" s="28">
        <f t="shared" si="484"/>
        <v>5.9255527997928758E-3</v>
      </c>
      <c r="AM1318" s="28">
        <f t="shared" si="484"/>
        <v>5.77041766234122E-3</v>
      </c>
      <c r="AN1318" s="28">
        <f t="shared" si="484"/>
        <v>5.7706363970264881E-3</v>
      </c>
      <c r="AO1318" s="28">
        <f t="shared" si="484"/>
        <v>5.7708238929974924E-3</v>
      </c>
      <c r="AP1318" s="28">
        <f t="shared" si="484"/>
        <v>5.7710130897464622E-3</v>
      </c>
      <c r="AQ1318" s="28">
        <f t="shared" si="484"/>
        <v>5.7712040076237647E-3</v>
      </c>
      <c r="AR1318" s="28">
        <f t="shared" si="484"/>
        <v>5.77139666731362E-3</v>
      </c>
      <c r="AS1318" s="28">
        <f t="shared" si="484"/>
        <v>5.7715910898413761E-3</v>
      </c>
      <c r="AT1318" s="28">
        <f t="shared" si="484"/>
        <v>5.7717523121071004E-3</v>
      </c>
      <c r="AU1318" s="28">
        <f t="shared" si="484"/>
        <v>5.7719147530677943E-3</v>
      </c>
      <c r="AV1318" s="28">
        <f t="shared" si="484"/>
        <v>5.7720784249567208E-3</v>
      </c>
      <c r="AW1318" s="28">
        <f t="shared" si="484"/>
        <v>5.7722433401760703E-3</v>
      </c>
      <c r="AY1318" s="85"/>
      <c r="AZ1318" s="85"/>
    </row>
    <row r="1319" spans="1:52" x14ac:dyDescent="0.25">
      <c r="A1319" s="102" t="str">
        <f t="shared" si="384"/>
        <v>FSFAGSPQNIBDDSCM Volatilisation</v>
      </c>
      <c r="B1319" s="102" t="s">
        <v>1376</v>
      </c>
      <c r="C1319" s="102" t="s">
        <v>62</v>
      </c>
      <c r="D1319" t="s">
        <v>369</v>
      </c>
      <c r="E1319" t="s">
        <v>61</v>
      </c>
      <c r="F1319" t="s">
        <v>62</v>
      </c>
      <c r="G1319" t="s">
        <v>437</v>
      </c>
      <c r="H1319" t="s">
        <v>1187</v>
      </c>
      <c r="I1319" t="s">
        <v>139</v>
      </c>
      <c r="J1319" t="s">
        <v>287</v>
      </c>
      <c r="K1319" s="28">
        <f t="shared" ref="K1319:AW1319" si="485">IFERROR(K1512-((K1512-K103)+(K1512-K256)+(K1512-K409)+(K1512-K561)+(K1512-K713)+(K1512-K864)+(K1512-K1015)+(K1512-K1166)),0)</f>
        <v>1.2093332917192059</v>
      </c>
      <c r="L1319" s="28">
        <f t="shared" si="485"/>
        <v>1.212549014194676</v>
      </c>
      <c r="M1319" s="28">
        <f t="shared" si="485"/>
        <v>1.2080675975352921</v>
      </c>
      <c r="N1319" s="28">
        <f t="shared" si="485"/>
        <v>1.1932021188168922</v>
      </c>
      <c r="O1319" s="28">
        <f t="shared" si="485"/>
        <v>1.1789615688677482</v>
      </c>
      <c r="P1319" s="28">
        <f t="shared" si="485"/>
        <v>1.1704734210058416</v>
      </c>
      <c r="Q1319" s="28">
        <f t="shared" si="485"/>
        <v>1.163869136537343</v>
      </c>
      <c r="R1319" s="28">
        <f t="shared" si="485"/>
        <v>1.1469007270703129</v>
      </c>
      <c r="S1319" s="28">
        <f t="shared" si="485"/>
        <v>1.0343013809056245</v>
      </c>
      <c r="T1319" s="28">
        <f t="shared" si="485"/>
        <v>1.0320345438740328</v>
      </c>
      <c r="U1319" s="28">
        <f t="shared" si="485"/>
        <v>1.0269194017550889</v>
      </c>
      <c r="V1319" s="28">
        <f t="shared" si="485"/>
        <v>1.0215023913400116</v>
      </c>
      <c r="W1319" s="28">
        <f t="shared" si="485"/>
        <v>1.0194676219933236</v>
      </c>
      <c r="X1319" s="28">
        <f t="shared" si="485"/>
        <v>1.01695650734168</v>
      </c>
      <c r="Y1319" s="28">
        <f t="shared" si="485"/>
        <v>1.0146586999717133</v>
      </c>
      <c r="Z1319" s="28">
        <f t="shared" si="485"/>
        <v>1.0110241484673417</v>
      </c>
      <c r="AA1319" s="28">
        <f t="shared" si="485"/>
        <v>1.0082464979839281</v>
      </c>
      <c r="AB1319" s="28">
        <f t="shared" si="485"/>
        <v>1.0034004414446822</v>
      </c>
      <c r="AC1319" s="28">
        <f t="shared" si="485"/>
        <v>0.99855076386257224</v>
      </c>
      <c r="AD1319" s="28">
        <f t="shared" si="485"/>
        <v>0.99812864857904204</v>
      </c>
      <c r="AE1319" s="28">
        <f t="shared" si="485"/>
        <v>0.99880009803835179</v>
      </c>
      <c r="AF1319" s="28">
        <f t="shared" si="485"/>
        <v>0.99936823324979618</v>
      </c>
      <c r="AG1319" s="28">
        <f t="shared" si="485"/>
        <v>0.97664667628533142</v>
      </c>
      <c r="AH1319" s="28">
        <f t="shared" si="485"/>
        <v>-0.10337534604854072</v>
      </c>
      <c r="AI1319" s="28">
        <f t="shared" si="485"/>
        <v>-0.1001836912076054</v>
      </c>
      <c r="AJ1319" s="28">
        <f t="shared" si="485"/>
        <v>-9.7039255345814562E-2</v>
      </c>
      <c r="AK1319" s="28">
        <f t="shared" si="485"/>
        <v>-9.393897285054531E-2</v>
      </c>
      <c r="AL1319" s="28">
        <f t="shared" si="485"/>
        <v>-9.0879981285842557E-2</v>
      </c>
      <c r="AM1319" s="28">
        <f t="shared" si="485"/>
        <v>-8.7859602480265031E-2</v>
      </c>
      <c r="AN1319" s="28">
        <f t="shared" si="485"/>
        <v>-8.603554184375127E-2</v>
      </c>
      <c r="AO1319" s="28">
        <f t="shared" si="485"/>
        <v>-8.4247357074128754E-2</v>
      </c>
      <c r="AP1319" s="28">
        <f t="shared" si="485"/>
        <v>-8.2493577110940366E-2</v>
      </c>
      <c r="AQ1319" s="28">
        <f t="shared" si="485"/>
        <v>-8.0772823451745246E-2</v>
      </c>
      <c r="AR1319" s="28">
        <f t="shared" si="485"/>
        <v>-7.9083802487477692E-2</v>
      </c>
      <c r="AS1319" s="28">
        <f t="shared" si="485"/>
        <v>-7.7330390161127305E-2</v>
      </c>
      <c r="AT1319" s="28">
        <f t="shared" si="485"/>
        <v>-7.5608823781861165E-2</v>
      </c>
      <c r="AU1319" s="28">
        <f t="shared" si="485"/>
        <v>-7.3917966750002215E-2</v>
      </c>
      <c r="AV1319" s="28">
        <f t="shared" si="485"/>
        <v>-7.2256746733692964E-2</v>
      </c>
      <c r="AW1319" s="28">
        <f t="shared" si="485"/>
        <v>-7.0624150872276512E-2</v>
      </c>
      <c r="AY1319" s="85"/>
      <c r="AZ1319" s="85"/>
    </row>
    <row r="1320" spans="1:52" x14ac:dyDescent="0.25">
      <c r="A1320" s="102" t="str">
        <f t="shared" si="384"/>
        <v>FSFAGSPQNIBDDSCM Volatilisation</v>
      </c>
      <c r="B1320" s="102" t="s">
        <v>1376</v>
      </c>
      <c r="C1320" s="102" t="s">
        <v>62</v>
      </c>
      <c r="D1320" t="str">
        <f t="shared" ref="D1320:F1320" si="486">D1319</f>
        <v>3C Aggregated and non-CO2 emissions on land</v>
      </c>
      <c r="E1320" t="str">
        <f t="shared" si="486"/>
        <v>3C5 Indirect N2O from managed soils (N2O)</v>
      </c>
      <c r="F1320" t="str">
        <f t="shared" si="486"/>
        <v>Volatilisation</v>
      </c>
      <c r="G1320" t="s">
        <v>438</v>
      </c>
      <c r="H1320" t="str">
        <f t="shared" ref="H1320" si="487">F1320&amp;G1320</f>
        <v>Volatilisation - Urine &amp; dung</v>
      </c>
      <c r="I1320" t="str">
        <f t="shared" ref="I1320:J1320" si="488">I1319</f>
        <v>N2O</v>
      </c>
      <c r="J1320" t="str">
        <f t="shared" si="488"/>
        <v>Gg N2O</v>
      </c>
      <c r="K1320" s="28">
        <f t="shared" ref="K1320:AW1320" si="489">IFERROR(K1513-((K1513-K104)+(K1513-K257)+(K1513-K410)+(K1513-K562)+(K1513-K714)+(K1513-K865)+(K1513-K1016)+(K1513-K1167)),0)</f>
        <v>4.4200208339270741</v>
      </c>
      <c r="L1320" s="28">
        <f t="shared" si="489"/>
        <v>4.4063497224338981</v>
      </c>
      <c r="M1320" s="28">
        <f t="shared" si="489"/>
        <v>4.3748236308422763</v>
      </c>
      <c r="N1320" s="28">
        <f t="shared" si="489"/>
        <v>4.3194633293945399</v>
      </c>
      <c r="O1320" s="28">
        <f t="shared" si="489"/>
        <v>4.2670975633063994</v>
      </c>
      <c r="P1320" s="28">
        <f t="shared" si="489"/>
        <v>4.2296870830077653</v>
      </c>
      <c r="Q1320" s="28">
        <f t="shared" si="489"/>
        <v>4.1973003663588617</v>
      </c>
      <c r="R1320" s="28">
        <f t="shared" si="489"/>
        <v>4.1416337219460111</v>
      </c>
      <c r="S1320" s="28">
        <f t="shared" si="489"/>
        <v>3.8694283391195556</v>
      </c>
      <c r="T1320" s="28">
        <f t="shared" si="489"/>
        <v>3.892690707807458</v>
      </c>
      <c r="U1320" s="28">
        <f t="shared" si="489"/>
        <v>3.910223559811274</v>
      </c>
      <c r="V1320" s="28">
        <f t="shared" si="489"/>
        <v>3.9277946028277135</v>
      </c>
      <c r="W1320" s="28">
        <f t="shared" si="489"/>
        <v>3.9540546968376762</v>
      </c>
      <c r="X1320" s="28">
        <f t="shared" si="489"/>
        <v>3.9800525826427466</v>
      </c>
      <c r="Y1320" s="28">
        <f t="shared" si="489"/>
        <v>4.0052503163811615</v>
      </c>
      <c r="Z1320" s="28">
        <f t="shared" si="489"/>
        <v>4.0280715770679869</v>
      </c>
      <c r="AA1320" s="28">
        <f t="shared" si="489"/>
        <v>4.0537990986432781</v>
      </c>
      <c r="AB1320" s="28">
        <f t="shared" si="489"/>
        <v>4.0752877726899488</v>
      </c>
      <c r="AC1320" s="28">
        <f t="shared" si="489"/>
        <v>4.0975518352324007</v>
      </c>
      <c r="AD1320" s="28">
        <f t="shared" si="489"/>
        <v>4.1101837888002137</v>
      </c>
      <c r="AE1320" s="28">
        <f t="shared" si="489"/>
        <v>4.1260897941446899</v>
      </c>
      <c r="AF1320" s="28">
        <f t="shared" si="489"/>
        <v>4.1422931340887423</v>
      </c>
      <c r="AG1320" s="28">
        <f t="shared" si="489"/>
        <v>4.1002928018965292</v>
      </c>
      <c r="AH1320" s="28">
        <f t="shared" si="489"/>
        <v>1.3815874291099948</v>
      </c>
      <c r="AI1320" s="28">
        <f t="shared" si="489"/>
        <v>1.3949306414379468</v>
      </c>
      <c r="AJ1320" s="28">
        <f t="shared" si="489"/>
        <v>1.4082841741429419</v>
      </c>
      <c r="AK1320" s="28">
        <f t="shared" si="489"/>
        <v>1.4216501520712144</v>
      </c>
      <c r="AL1320" s="28">
        <f t="shared" si="489"/>
        <v>1.4350306139589808</v>
      </c>
      <c r="AM1320" s="28">
        <f t="shared" si="489"/>
        <v>1.4484275190090183</v>
      </c>
      <c r="AN1320" s="28">
        <f t="shared" si="489"/>
        <v>1.4583849717914823</v>
      </c>
      <c r="AO1320" s="28">
        <f t="shared" si="489"/>
        <v>1.4683627043177812</v>
      </c>
      <c r="AP1320" s="28">
        <f t="shared" si="489"/>
        <v>1.4783612830909323</v>
      </c>
      <c r="AQ1320" s="28">
        <f t="shared" si="489"/>
        <v>1.4883812733334345</v>
      </c>
      <c r="AR1320" s="28">
        <f t="shared" si="489"/>
        <v>1.4984232382688703</v>
      </c>
      <c r="AS1320" s="28">
        <f t="shared" si="489"/>
        <v>1.5071704030997894</v>
      </c>
      <c r="AT1320" s="28">
        <f t="shared" si="489"/>
        <v>1.5159247272983905</v>
      </c>
      <c r="AU1320" s="28">
        <f t="shared" si="489"/>
        <v>1.5246866021590828</v>
      </c>
      <c r="AV1320" s="28">
        <f t="shared" si="489"/>
        <v>1.5334564173590695</v>
      </c>
      <c r="AW1320" s="28">
        <f t="shared" si="489"/>
        <v>1.5422345604898144</v>
      </c>
      <c r="AY1320" s="85"/>
      <c r="AZ1320" s="85"/>
    </row>
    <row r="1321" spans="1:52" x14ac:dyDescent="0.25">
      <c r="A1321" s="102" t="str">
        <f t="shared" si="384"/>
        <v>FSFAGSPQNIBDDSCM Leaching</v>
      </c>
      <c r="B1321" s="102" t="s">
        <v>1376</v>
      </c>
      <c r="C1321" s="102" t="s">
        <v>1191</v>
      </c>
      <c r="D1321" t="s">
        <v>369</v>
      </c>
      <c r="E1321" t="s">
        <v>61</v>
      </c>
      <c r="F1321" t="s">
        <v>63</v>
      </c>
      <c r="G1321" t="s">
        <v>435</v>
      </c>
      <c r="H1321" t="s">
        <v>1188</v>
      </c>
      <c r="I1321" t="s">
        <v>139</v>
      </c>
      <c r="J1321" t="s">
        <v>287</v>
      </c>
      <c r="K1321" s="28">
        <f t="shared" ref="K1321:AW1321" si="490">IFERROR(K1514-((K1514-K105)+(K1514-K258)+(K1514-K411)+(K1514-K563)+(K1514-K715)+(K1514-K866)+(K1514-K1017)+(K1514-K1168)),0)</f>
        <v>2.2792360161858692E-4</v>
      </c>
      <c r="L1321" s="28">
        <f t="shared" si="490"/>
        <v>2.2789089758152E-4</v>
      </c>
      <c r="M1321" s="28">
        <f t="shared" si="490"/>
        <v>2.2784620728789122E-4</v>
      </c>
      <c r="N1321" s="28">
        <f t="shared" si="490"/>
        <v>2.2781376806101585E-4</v>
      </c>
      <c r="O1321" s="28">
        <f t="shared" si="490"/>
        <v>2.277979703991449E-4</v>
      </c>
      <c r="P1321" s="28">
        <f t="shared" si="490"/>
        <v>2.2778237795328883E-4</v>
      </c>
      <c r="Q1321" s="28">
        <f t="shared" si="490"/>
        <v>2.2775879036527182E-4</v>
      </c>
      <c r="R1321" s="28">
        <f t="shared" si="490"/>
        <v>2.2773296541219322E-4</v>
      </c>
      <c r="S1321" s="28">
        <f t="shared" si="490"/>
        <v>2.2772451381029767E-4</v>
      </c>
      <c r="T1321" s="28">
        <f t="shared" si="490"/>
        <v>2.2389186031431812E-4</v>
      </c>
      <c r="U1321" s="28">
        <f t="shared" si="490"/>
        <v>2.1985723416406412E-4</v>
      </c>
      <c r="V1321" s="28">
        <f t="shared" si="490"/>
        <v>2.1582893355388564E-4</v>
      </c>
      <c r="W1321" s="28">
        <f t="shared" si="490"/>
        <v>2.1180253213166531E-4</v>
      </c>
      <c r="X1321" s="28">
        <f t="shared" si="490"/>
        <v>2.0777181920517273E-4</v>
      </c>
      <c r="Y1321" s="28">
        <f t="shared" si="490"/>
        <v>2.037433202347622E-4</v>
      </c>
      <c r="Z1321" s="28">
        <f t="shared" si="490"/>
        <v>1.9971593914010745E-4</v>
      </c>
      <c r="AA1321" s="28">
        <f t="shared" si="490"/>
        <v>1.9569211372610877E-4</v>
      </c>
      <c r="AB1321" s="28">
        <f t="shared" si="490"/>
        <v>1.9166824028458626E-4</v>
      </c>
      <c r="AC1321" s="28">
        <f t="shared" si="490"/>
        <v>1.87649008505862E-4</v>
      </c>
      <c r="AD1321" s="28">
        <f t="shared" si="490"/>
        <v>1.8363105679675203E-4</v>
      </c>
      <c r="AE1321" s="28">
        <f t="shared" si="490"/>
        <v>1.7960872406226245E-4</v>
      </c>
      <c r="AF1321" s="28">
        <f t="shared" si="490"/>
        <v>1.7558595751914914E-4</v>
      </c>
      <c r="AG1321" s="28">
        <f t="shared" si="490"/>
        <v>1.7156464510005161E-4</v>
      </c>
      <c r="AH1321" s="28">
        <f t="shared" si="490"/>
        <v>1.6757952180126434E-4</v>
      </c>
      <c r="AI1321" s="28">
        <f t="shared" si="490"/>
        <v>1.6703497081012404E-4</v>
      </c>
      <c r="AJ1321" s="28">
        <f t="shared" si="490"/>
        <v>1.6298101706920573E-4</v>
      </c>
      <c r="AK1321" s="28">
        <f t="shared" si="490"/>
        <v>1.5892682898780634E-4</v>
      </c>
      <c r="AL1321" s="28">
        <f t="shared" si="490"/>
        <v>1.5487240272185916E-4</v>
      </c>
      <c r="AM1321" s="28">
        <f t="shared" si="490"/>
        <v>1.5081773435664548E-4</v>
      </c>
      <c r="AN1321" s="28">
        <f t="shared" si="490"/>
        <v>1.5082345128591948E-4</v>
      </c>
      <c r="AO1321" s="28">
        <f t="shared" si="490"/>
        <v>1.5082835174879802E-4</v>
      </c>
      <c r="AP1321" s="28">
        <f t="shared" si="490"/>
        <v>1.5083329666382795E-4</v>
      </c>
      <c r="AQ1321" s="28">
        <f t="shared" si="490"/>
        <v>1.5083828656289384E-4</v>
      </c>
      <c r="AR1321" s="28">
        <f t="shared" si="490"/>
        <v>1.5084332198660595E-4</v>
      </c>
      <c r="AS1321" s="28">
        <f t="shared" si="490"/>
        <v>1.5084840348449051E-4</v>
      </c>
      <c r="AT1321" s="28">
        <f t="shared" si="490"/>
        <v>1.5085261724825369E-4</v>
      </c>
      <c r="AU1321" s="28">
        <f t="shared" si="490"/>
        <v>1.5085686286427183E-4</v>
      </c>
      <c r="AV1321" s="28">
        <f t="shared" si="490"/>
        <v>1.5086114065227793E-4</v>
      </c>
      <c r="AW1321" s="28">
        <f t="shared" si="490"/>
        <v>1.5086545093641993E-4</v>
      </c>
      <c r="AY1321" s="85"/>
      <c r="AZ1321" s="85"/>
    </row>
    <row r="1322" spans="1:52" x14ac:dyDescent="0.25">
      <c r="A1322" s="102" t="str">
        <f t="shared" si="384"/>
        <v>FSFAGSPQNIBDDSCM Leaching</v>
      </c>
      <c r="B1322" s="102" t="s">
        <v>1376</v>
      </c>
      <c r="C1322" s="102" t="s">
        <v>1191</v>
      </c>
      <c r="D1322" t="s">
        <v>369</v>
      </c>
      <c r="E1322" t="s">
        <v>61</v>
      </c>
      <c r="F1322" t="s">
        <v>63</v>
      </c>
      <c r="G1322" t="s">
        <v>436</v>
      </c>
      <c r="H1322" t="s">
        <v>1189</v>
      </c>
      <c r="I1322" t="s">
        <v>139</v>
      </c>
      <c r="J1322" t="s">
        <v>287</v>
      </c>
      <c r="K1322" s="28">
        <f t="shared" ref="K1322:AW1322" si="491">IFERROR(K1515-((K1515-K106)+(K1515-K259)+(K1515-K412)+(K1515-K564)+(K1515-K716)+(K1515-K867)+(K1515-K1018)+(K1515-K1169)),0)</f>
        <v>1.5042957706826741E-6</v>
      </c>
      <c r="L1322" s="28">
        <f t="shared" si="491"/>
        <v>1.5040799240380321E-6</v>
      </c>
      <c r="M1322" s="28">
        <f t="shared" si="491"/>
        <v>1.5037849681000825E-6</v>
      </c>
      <c r="N1322" s="28">
        <f t="shared" si="491"/>
        <v>1.5035708692027049E-6</v>
      </c>
      <c r="O1322" s="28">
        <f t="shared" si="491"/>
        <v>1.5034666046343562E-6</v>
      </c>
      <c r="P1322" s="28">
        <f t="shared" si="491"/>
        <v>1.5033636944917065E-6</v>
      </c>
      <c r="Q1322" s="28">
        <f t="shared" si="491"/>
        <v>1.5032080164107946E-6</v>
      </c>
      <c r="R1322" s="28">
        <f t="shared" si="491"/>
        <v>1.5030375717204757E-6</v>
      </c>
      <c r="S1322" s="28">
        <f t="shared" si="491"/>
        <v>1.5029817911479652E-6</v>
      </c>
      <c r="T1322" s="28">
        <f t="shared" si="491"/>
        <v>1.4776862780745004E-6</v>
      </c>
      <c r="U1322" s="28">
        <f t="shared" si="491"/>
        <v>1.4510577454828237E-6</v>
      </c>
      <c r="V1322" s="28">
        <f t="shared" si="491"/>
        <v>1.4244709614556456E-6</v>
      </c>
      <c r="W1322" s="28">
        <f t="shared" si="491"/>
        <v>1.3978967120689914E-6</v>
      </c>
      <c r="X1322" s="28">
        <f t="shared" si="491"/>
        <v>1.3712940067541403E-6</v>
      </c>
      <c r="Y1322" s="28">
        <f t="shared" si="491"/>
        <v>1.3447059135494306E-6</v>
      </c>
      <c r="Z1322" s="28">
        <f t="shared" si="491"/>
        <v>1.3181251983247095E-6</v>
      </c>
      <c r="AA1322" s="28">
        <f t="shared" si="491"/>
        <v>1.2915679505923181E-6</v>
      </c>
      <c r="AB1322" s="28">
        <f t="shared" si="491"/>
        <v>1.2650103858782699E-6</v>
      </c>
      <c r="AC1322" s="28">
        <f t="shared" si="491"/>
        <v>1.2384834561386896E-6</v>
      </c>
      <c r="AD1322" s="28">
        <f t="shared" si="491"/>
        <v>1.2119649748585636E-6</v>
      </c>
      <c r="AE1322" s="28">
        <f t="shared" si="491"/>
        <v>1.1854175788109321E-6</v>
      </c>
      <c r="AF1322" s="28">
        <f t="shared" si="491"/>
        <v>1.1588673196263844E-6</v>
      </c>
      <c r="AG1322" s="28">
        <f t="shared" si="491"/>
        <v>1.1323266576603405E-6</v>
      </c>
      <c r="AH1322" s="28">
        <f t="shared" si="491"/>
        <v>1.1060248438883445E-6</v>
      </c>
      <c r="AI1322" s="28">
        <f t="shared" si="491"/>
        <v>1.1024308073468188E-6</v>
      </c>
      <c r="AJ1322" s="28">
        <f t="shared" si="491"/>
        <v>1.0756747126567579E-6</v>
      </c>
      <c r="AK1322" s="28">
        <f t="shared" si="491"/>
        <v>1.048917071319522E-6</v>
      </c>
      <c r="AL1322" s="28">
        <f t="shared" si="491"/>
        <v>1.0221578579642708E-6</v>
      </c>
      <c r="AM1322" s="28">
        <f t="shared" si="491"/>
        <v>9.953970467538605E-7</v>
      </c>
      <c r="AN1322" s="28">
        <f t="shared" si="491"/>
        <v>9.9543477848706913E-7</v>
      </c>
      <c r="AO1322" s="28">
        <f t="shared" si="491"/>
        <v>9.954671215420673E-7</v>
      </c>
      <c r="AP1322" s="28">
        <f t="shared" si="491"/>
        <v>9.954997579812647E-7</v>
      </c>
      <c r="AQ1322" s="28">
        <f t="shared" si="491"/>
        <v>9.9553269131509937E-7</v>
      </c>
      <c r="AR1322" s="28">
        <f t="shared" si="491"/>
        <v>9.9556592511159935E-7</v>
      </c>
      <c r="AS1322" s="28">
        <f t="shared" si="491"/>
        <v>9.955994629976371E-7</v>
      </c>
      <c r="AT1322" s="28">
        <f t="shared" si="491"/>
        <v>9.9562727383847472E-7</v>
      </c>
      <c r="AU1322" s="28">
        <f t="shared" si="491"/>
        <v>9.9565529490419463E-7</v>
      </c>
      <c r="AV1322" s="28">
        <f t="shared" si="491"/>
        <v>9.9568352830503437E-7</v>
      </c>
      <c r="AW1322" s="28">
        <f t="shared" si="491"/>
        <v>9.9571197618037194E-7</v>
      </c>
      <c r="AY1322" s="85"/>
      <c r="AZ1322" s="85"/>
    </row>
    <row r="1323" spans="1:52" x14ac:dyDescent="0.25">
      <c r="A1323" s="102" t="str">
        <f t="shared" si="384"/>
        <v>FSFAGSPQNIBDDSCM Leaching</v>
      </c>
      <c r="B1323" s="102" t="s">
        <v>1376</v>
      </c>
      <c r="C1323" s="102" t="s">
        <v>1191</v>
      </c>
      <c r="D1323" t="s">
        <v>369</v>
      </c>
      <c r="E1323" t="s">
        <v>61</v>
      </c>
      <c r="F1323" t="s">
        <v>63</v>
      </c>
      <c r="G1323" t="s">
        <v>437</v>
      </c>
      <c r="H1323" t="s">
        <v>1190</v>
      </c>
      <c r="I1323" t="s">
        <v>139</v>
      </c>
      <c r="J1323" t="s">
        <v>287</v>
      </c>
      <c r="K1323" s="28">
        <f t="shared" ref="K1323:AW1323" si="492">IFERROR(K1516-((K1516-K107)+(K1516-K260)+(K1516-K413)+(K1516-K565)+(K1516-K717)+(K1516-K868)+(K1516-K1019)+(K1516-K1170)),0)</f>
        <v>0.20860999282156303</v>
      </c>
      <c r="L1323" s="28">
        <f t="shared" si="492"/>
        <v>0.20916470494858161</v>
      </c>
      <c r="M1323" s="28">
        <f t="shared" si="492"/>
        <v>0.20839166057483788</v>
      </c>
      <c r="N1323" s="28">
        <f t="shared" si="492"/>
        <v>0.20582736549591382</v>
      </c>
      <c r="O1323" s="28">
        <f t="shared" si="492"/>
        <v>0.20337087062968651</v>
      </c>
      <c r="P1323" s="28">
        <f t="shared" si="492"/>
        <v>0.20190666512350761</v>
      </c>
      <c r="Q1323" s="28">
        <f t="shared" si="492"/>
        <v>0.2007674260526916</v>
      </c>
      <c r="R1323" s="28">
        <f t="shared" si="492"/>
        <v>0.19784037541962896</v>
      </c>
      <c r="S1323" s="28">
        <f t="shared" si="492"/>
        <v>0.17841698820622021</v>
      </c>
      <c r="T1323" s="28">
        <f t="shared" si="492"/>
        <v>0.17802595881827057</v>
      </c>
      <c r="U1323" s="28">
        <f t="shared" si="492"/>
        <v>0.17714359680275282</v>
      </c>
      <c r="V1323" s="28">
        <f t="shared" si="492"/>
        <v>0.17620916250615196</v>
      </c>
      <c r="W1323" s="28">
        <f t="shared" si="492"/>
        <v>0.17585816479384833</v>
      </c>
      <c r="X1323" s="28">
        <f t="shared" si="492"/>
        <v>0.17542499751643978</v>
      </c>
      <c r="Y1323" s="28">
        <f t="shared" si="492"/>
        <v>0.17502862574512054</v>
      </c>
      <c r="Z1323" s="28">
        <f t="shared" si="492"/>
        <v>0.17440166561061643</v>
      </c>
      <c r="AA1323" s="28">
        <f t="shared" si="492"/>
        <v>0.17392252090222757</v>
      </c>
      <c r="AB1323" s="28">
        <f t="shared" si="492"/>
        <v>0.17308657614920761</v>
      </c>
      <c r="AC1323" s="28">
        <f t="shared" si="492"/>
        <v>0.17225000676629368</v>
      </c>
      <c r="AD1323" s="28">
        <f t="shared" si="492"/>
        <v>0.1721771918798847</v>
      </c>
      <c r="AE1323" s="28">
        <f t="shared" si="492"/>
        <v>0.17229301691161569</v>
      </c>
      <c r="AF1323" s="28">
        <f t="shared" si="492"/>
        <v>0.1723910202355898</v>
      </c>
      <c r="AG1323" s="28">
        <f t="shared" si="492"/>
        <v>0.16847155165921965</v>
      </c>
      <c r="AH1323" s="28">
        <f t="shared" si="492"/>
        <v>-1.7832247193373271E-2</v>
      </c>
      <c r="AI1323" s="28">
        <f t="shared" si="492"/>
        <v>-1.728168673331193E-2</v>
      </c>
      <c r="AJ1323" s="28">
        <f t="shared" si="492"/>
        <v>-1.673927154715301E-2</v>
      </c>
      <c r="AK1323" s="28">
        <f t="shared" si="492"/>
        <v>-1.6204472816719061E-2</v>
      </c>
      <c r="AL1323" s="28">
        <f t="shared" si="492"/>
        <v>-1.5676796771807836E-2</v>
      </c>
      <c r="AM1323" s="28">
        <f t="shared" si="492"/>
        <v>-1.5155781427845714E-2</v>
      </c>
      <c r="AN1323" s="28">
        <f t="shared" si="492"/>
        <v>-1.4841130968047093E-2</v>
      </c>
      <c r="AO1323" s="28">
        <f t="shared" si="492"/>
        <v>-1.4532669095287207E-2</v>
      </c>
      <c r="AP1323" s="28">
        <f t="shared" si="492"/>
        <v>-1.4230142051637211E-2</v>
      </c>
      <c r="AQ1323" s="28">
        <f t="shared" si="492"/>
        <v>-1.3933312045426053E-2</v>
      </c>
      <c r="AR1323" s="28">
        <f t="shared" si="492"/>
        <v>-1.3641955929089898E-2</v>
      </c>
      <c r="AS1323" s="28">
        <f t="shared" si="492"/>
        <v>-1.3339492302794458E-2</v>
      </c>
      <c r="AT1323" s="28">
        <f t="shared" si="492"/>
        <v>-1.3042522102371048E-2</v>
      </c>
      <c r="AU1323" s="28">
        <f t="shared" si="492"/>
        <v>-1.2750849264375381E-2</v>
      </c>
      <c r="AV1323" s="28">
        <f t="shared" si="492"/>
        <v>-1.2464288811562035E-2</v>
      </c>
      <c r="AW1323" s="28">
        <f t="shared" si="492"/>
        <v>-1.2182666025467696E-2</v>
      </c>
      <c r="AY1323" s="85"/>
      <c r="AZ1323" s="85"/>
    </row>
    <row r="1324" spans="1:52" x14ac:dyDescent="0.25">
      <c r="A1324" s="102" t="str">
        <f t="shared" si="384"/>
        <v>FSFAGSPQNIBDDSCM Leaching</v>
      </c>
      <c r="B1324" s="102" t="s">
        <v>1376</v>
      </c>
      <c r="C1324" s="102" t="s">
        <v>1191</v>
      </c>
      <c r="D1324" t="str">
        <f t="shared" ref="D1324:F1324" si="493">D1323</f>
        <v>3C Aggregated and non-CO2 emissions on land</v>
      </c>
      <c r="E1324" t="str">
        <f t="shared" si="493"/>
        <v>3C5 Indirect N2O from managed soils (N2O)</v>
      </c>
      <c r="F1324" t="str">
        <f t="shared" si="493"/>
        <v>Leaching/runoff</v>
      </c>
      <c r="G1324" t="str">
        <f t="shared" ref="G1324" si="494">G1320</f>
        <v xml:space="preserve"> - Urine &amp; dung</v>
      </c>
      <c r="H1324" t="str">
        <f t="shared" ref="H1324:H1325" si="495">F1324&amp;G1324</f>
        <v>Leaching/runoff - Urine &amp; dung</v>
      </c>
      <c r="I1324" t="str">
        <f t="shared" ref="I1324:J1324" si="496">I1323</f>
        <v>N2O</v>
      </c>
      <c r="J1324" t="str">
        <f t="shared" si="496"/>
        <v>Gg N2O</v>
      </c>
      <c r="K1324" s="28">
        <f t="shared" ref="K1324:AW1324" si="497">IFERROR(K1517-((K1517-K108)+(K1517-K261)+(K1517-K414)+(K1517-K566)+(K1517-K718)+(K1517-K869)+(K1517-K1020)+(K1517-K1171)),0)</f>
        <v>0</v>
      </c>
      <c r="L1324" s="28">
        <f t="shared" si="497"/>
        <v>0</v>
      </c>
      <c r="M1324" s="28">
        <f t="shared" si="497"/>
        <v>0</v>
      </c>
      <c r="N1324" s="28">
        <f t="shared" si="497"/>
        <v>0</v>
      </c>
      <c r="O1324" s="28">
        <f t="shared" si="497"/>
        <v>0</v>
      </c>
      <c r="P1324" s="28">
        <f t="shared" si="497"/>
        <v>0</v>
      </c>
      <c r="Q1324" s="28">
        <f t="shared" si="497"/>
        <v>0</v>
      </c>
      <c r="R1324" s="28">
        <f t="shared" si="497"/>
        <v>0</v>
      </c>
      <c r="S1324" s="28">
        <f t="shared" si="497"/>
        <v>0</v>
      </c>
      <c r="T1324" s="28">
        <f t="shared" si="497"/>
        <v>0</v>
      </c>
      <c r="U1324" s="28">
        <f t="shared" si="497"/>
        <v>0</v>
      </c>
      <c r="V1324" s="28">
        <f t="shared" si="497"/>
        <v>0</v>
      </c>
      <c r="W1324" s="28">
        <f t="shared" si="497"/>
        <v>0</v>
      </c>
      <c r="X1324" s="28">
        <f t="shared" si="497"/>
        <v>0</v>
      </c>
      <c r="Y1324" s="28">
        <f t="shared" si="497"/>
        <v>0</v>
      </c>
      <c r="Z1324" s="28">
        <f t="shared" si="497"/>
        <v>0</v>
      </c>
      <c r="AA1324" s="28">
        <f t="shared" si="497"/>
        <v>0</v>
      </c>
      <c r="AB1324" s="28">
        <f t="shared" si="497"/>
        <v>0</v>
      </c>
      <c r="AC1324" s="28">
        <f t="shared" si="497"/>
        <v>0</v>
      </c>
      <c r="AD1324" s="28">
        <f t="shared" si="497"/>
        <v>0</v>
      </c>
      <c r="AE1324" s="28">
        <f t="shared" si="497"/>
        <v>0</v>
      </c>
      <c r="AF1324" s="28">
        <f t="shared" si="497"/>
        <v>0</v>
      </c>
      <c r="AG1324" s="28">
        <f t="shared" si="497"/>
        <v>0</v>
      </c>
      <c r="AH1324" s="28">
        <f t="shared" si="497"/>
        <v>0</v>
      </c>
      <c r="AI1324" s="28">
        <f t="shared" si="497"/>
        <v>0</v>
      </c>
      <c r="AJ1324" s="28">
        <f t="shared" si="497"/>
        <v>0</v>
      </c>
      <c r="AK1324" s="28">
        <f t="shared" si="497"/>
        <v>0</v>
      </c>
      <c r="AL1324" s="28">
        <f t="shared" si="497"/>
        <v>0</v>
      </c>
      <c r="AM1324" s="28">
        <f t="shared" si="497"/>
        <v>0</v>
      </c>
      <c r="AN1324" s="28">
        <f t="shared" si="497"/>
        <v>0</v>
      </c>
      <c r="AO1324" s="28">
        <f t="shared" si="497"/>
        <v>0</v>
      </c>
      <c r="AP1324" s="28">
        <f t="shared" si="497"/>
        <v>0</v>
      </c>
      <c r="AQ1324" s="28">
        <f t="shared" si="497"/>
        <v>0</v>
      </c>
      <c r="AR1324" s="28">
        <f t="shared" si="497"/>
        <v>0</v>
      </c>
      <c r="AS1324" s="28">
        <f t="shared" si="497"/>
        <v>0</v>
      </c>
      <c r="AT1324" s="28">
        <f t="shared" si="497"/>
        <v>0</v>
      </c>
      <c r="AU1324" s="28">
        <f t="shared" si="497"/>
        <v>0</v>
      </c>
      <c r="AV1324" s="28">
        <f t="shared" si="497"/>
        <v>0</v>
      </c>
      <c r="AW1324" s="28">
        <f t="shared" si="497"/>
        <v>0</v>
      </c>
      <c r="AY1324" s="85"/>
      <c r="AZ1324" s="85"/>
    </row>
    <row r="1325" spans="1:52" x14ac:dyDescent="0.25">
      <c r="A1325" s="102" t="str">
        <f t="shared" si="384"/>
        <v>FSFAGSPQNIBDDSCM Leaching</v>
      </c>
      <c r="B1325" s="102" t="s">
        <v>1376</v>
      </c>
      <c r="C1325" s="102" t="s">
        <v>1191</v>
      </c>
      <c r="D1325" t="str">
        <f t="shared" ref="D1325:F1325" si="498">D1324</f>
        <v>3C Aggregated and non-CO2 emissions on land</v>
      </c>
      <c r="E1325" t="str">
        <f t="shared" si="498"/>
        <v>3C5 Indirect N2O from managed soils (N2O)</v>
      </c>
      <c r="F1325" t="str">
        <f t="shared" si="498"/>
        <v>Leaching/runoff</v>
      </c>
      <c r="G1325" t="s">
        <v>439</v>
      </c>
      <c r="H1325" t="str">
        <f t="shared" si="495"/>
        <v>Leaching/runoff - crop residues</v>
      </c>
      <c r="I1325" t="str">
        <f t="shared" ref="I1325:J1325" si="499">I1324</f>
        <v>N2O</v>
      </c>
      <c r="J1325" t="str">
        <f t="shared" si="499"/>
        <v>Gg N2O</v>
      </c>
      <c r="K1325" s="28">
        <f t="shared" ref="K1325:AW1325" si="500">IFERROR(K1518-((K1518-K109)+(K1518-K262)+(K1518-K415)+(K1518-K567)+(K1518-K719)+(K1518-K870)+(K1518-K1021)+(K1518-K1172)),0)</f>
        <v>0.10175116378121943</v>
      </c>
      <c r="L1325" s="28">
        <f t="shared" si="500"/>
        <v>0.10199531862312783</v>
      </c>
      <c r="M1325" s="28">
        <f t="shared" si="500"/>
        <v>0.10232895790911103</v>
      </c>
      <c r="N1325" s="28">
        <f t="shared" si="500"/>
        <v>0.102571135787432</v>
      </c>
      <c r="O1325" s="28">
        <f t="shared" si="500"/>
        <v>0.10268907461035851</v>
      </c>
      <c r="P1325" s="28">
        <f t="shared" si="500"/>
        <v>0.10280548137522282</v>
      </c>
      <c r="Q1325" s="28">
        <f t="shared" si="500"/>
        <v>0.10298157657140594</v>
      </c>
      <c r="R1325" s="28">
        <f t="shared" si="500"/>
        <v>0.10317437501165042</v>
      </c>
      <c r="S1325" s="28">
        <f t="shared" si="500"/>
        <v>0.10323747118294155</v>
      </c>
      <c r="T1325" s="28">
        <f t="shared" si="500"/>
        <v>0.10207849673523195</v>
      </c>
      <c r="U1325" s="28">
        <f t="shared" si="500"/>
        <v>0.10244002007553947</v>
      </c>
      <c r="V1325" s="28">
        <f t="shared" si="500"/>
        <v>0.10276505734262262</v>
      </c>
      <c r="W1325" s="28">
        <f t="shared" si="500"/>
        <v>0.10308708143869158</v>
      </c>
      <c r="X1325" s="28">
        <f t="shared" si="500"/>
        <v>0.10345673156725761</v>
      </c>
      <c r="Y1325" s="28">
        <f t="shared" si="500"/>
        <v>0.10382236970947499</v>
      </c>
      <c r="Z1325" s="28">
        <f t="shared" si="500"/>
        <v>0.10419308105510718</v>
      </c>
      <c r="AA1325" s="28">
        <f t="shared" si="500"/>
        <v>0.1045480129274277</v>
      </c>
      <c r="AB1325" s="28">
        <f t="shared" si="500"/>
        <v>0.10491811532698922</v>
      </c>
      <c r="AC1325" s="28">
        <f t="shared" si="500"/>
        <v>0.10526191572099161</v>
      </c>
      <c r="AD1325" s="28">
        <f t="shared" si="500"/>
        <v>0.10560878304057683</v>
      </c>
      <c r="AE1325" s="28">
        <f t="shared" si="500"/>
        <v>0.10601241907328743</v>
      </c>
      <c r="AF1325" s="28">
        <f t="shared" si="500"/>
        <v>0.10643853523191582</v>
      </c>
      <c r="AG1325" s="28">
        <f t="shared" si="500"/>
        <v>0.10687002645789688</v>
      </c>
      <c r="AH1325" s="28">
        <f t="shared" si="500"/>
        <v>0.10695565891506367</v>
      </c>
      <c r="AI1325" s="28">
        <f t="shared" si="500"/>
        <v>7.1370603051085779E-2</v>
      </c>
      <c r="AJ1325" s="28">
        <f t="shared" si="500"/>
        <v>7.1307647461360521E-2</v>
      </c>
      <c r="AK1325" s="28">
        <f t="shared" si="500"/>
        <v>7.1244029161657008E-2</v>
      </c>
      <c r="AL1325" s="28">
        <f t="shared" si="500"/>
        <v>7.1179739022300959E-2</v>
      </c>
      <c r="AM1325" s="28">
        <f t="shared" si="500"/>
        <v>7.1114767741896984E-2</v>
      </c>
      <c r="AN1325" s="28">
        <f t="shared" si="500"/>
        <v>7.1049105843042956E-2</v>
      </c>
      <c r="AO1325" s="28">
        <f t="shared" si="500"/>
        <v>7.0992821484352875E-2</v>
      </c>
      <c r="AP1325" s="28">
        <f t="shared" si="500"/>
        <v>7.0936026569640209E-2</v>
      </c>
      <c r="AQ1325" s="28">
        <f t="shared" si="500"/>
        <v>7.0878714989935504E-2</v>
      </c>
      <c r="AR1325" s="28">
        <f t="shared" si="500"/>
        <v>7.0820880536048819E-2</v>
      </c>
      <c r="AS1325" s="28">
        <f t="shared" si="500"/>
        <v>7.0762516896386879E-2</v>
      </c>
      <c r="AT1325" s="28">
        <f t="shared" si="500"/>
        <v>7.0714119633319514E-2</v>
      </c>
      <c r="AU1325" s="28">
        <f t="shared" si="500"/>
        <v>7.0665356530577775E-2</v>
      </c>
      <c r="AV1325" s="28">
        <f t="shared" si="500"/>
        <v>7.0616223915862988E-2</v>
      </c>
      <c r="AW1325" s="28">
        <f t="shared" si="500"/>
        <v>7.0566718066166448E-2</v>
      </c>
      <c r="AY1325" s="85"/>
      <c r="AZ1325" s="85"/>
    </row>
    <row r="1326" spans="1:52" x14ac:dyDescent="0.25">
      <c r="A1326" s="102" t="str">
        <f t="shared" si="384"/>
        <v>FSFAGSPQNIBDDSCM Leaching</v>
      </c>
      <c r="B1326" s="102" t="s">
        <v>1376</v>
      </c>
      <c r="C1326" s="102" t="s">
        <v>1191</v>
      </c>
      <c r="D1326" t="s">
        <v>369</v>
      </c>
      <c r="E1326" t="s">
        <v>61</v>
      </c>
      <c r="F1326" t="s">
        <v>63</v>
      </c>
      <c r="G1326" t="s">
        <v>1194</v>
      </c>
      <c r="H1326" t="s">
        <v>1195</v>
      </c>
      <c r="I1326" t="s">
        <v>139</v>
      </c>
      <c r="J1326" t="s">
        <v>287</v>
      </c>
      <c r="K1326" s="28">
        <f t="shared" ref="K1326:AW1326" si="501">IFERROR(K1519-((K1519-K110)+(K1519-K263)+(K1519-K416)+(K1519-K568)+(K1519-K720)+(K1519-K871)+(K1519-K1022)+(K1519-K1173)),0)</f>
        <v>0</v>
      </c>
      <c r="L1326" s="28">
        <f t="shared" si="501"/>
        <v>0</v>
      </c>
      <c r="M1326" s="28">
        <f t="shared" si="501"/>
        <v>0</v>
      </c>
      <c r="N1326" s="28">
        <f t="shared" si="501"/>
        <v>0</v>
      </c>
      <c r="O1326" s="28">
        <f t="shared" si="501"/>
        <v>0</v>
      </c>
      <c r="P1326" s="28">
        <f t="shared" si="501"/>
        <v>0</v>
      </c>
      <c r="Q1326" s="28">
        <f t="shared" si="501"/>
        <v>0</v>
      </c>
      <c r="R1326" s="28">
        <f t="shared" si="501"/>
        <v>0</v>
      </c>
      <c r="S1326" s="28">
        <f t="shared" si="501"/>
        <v>0</v>
      </c>
      <c r="T1326" s="28">
        <f t="shared" si="501"/>
        <v>0</v>
      </c>
      <c r="U1326" s="28">
        <f t="shared" si="501"/>
        <v>0</v>
      </c>
      <c r="V1326" s="28">
        <f t="shared" si="501"/>
        <v>0</v>
      </c>
      <c r="W1326" s="28">
        <f t="shared" si="501"/>
        <v>0</v>
      </c>
      <c r="X1326" s="28">
        <f t="shared" si="501"/>
        <v>0</v>
      </c>
      <c r="Y1326" s="28">
        <f t="shared" si="501"/>
        <v>0</v>
      </c>
      <c r="Z1326" s="28">
        <f t="shared" si="501"/>
        <v>0</v>
      </c>
      <c r="AA1326" s="28">
        <f t="shared" si="501"/>
        <v>0</v>
      </c>
      <c r="AB1326" s="28">
        <f t="shared" si="501"/>
        <v>0</v>
      </c>
      <c r="AC1326" s="28">
        <f t="shared" si="501"/>
        <v>0</v>
      </c>
      <c r="AD1326" s="28">
        <f t="shared" si="501"/>
        <v>0</v>
      </c>
      <c r="AE1326" s="28">
        <f t="shared" si="501"/>
        <v>0</v>
      </c>
      <c r="AF1326" s="28">
        <f t="shared" si="501"/>
        <v>0</v>
      </c>
      <c r="AG1326" s="28">
        <f t="shared" si="501"/>
        <v>0</v>
      </c>
      <c r="AH1326" s="28">
        <f t="shared" si="501"/>
        <v>0</v>
      </c>
      <c r="AI1326" s="28">
        <f t="shared" si="501"/>
        <v>0</v>
      </c>
      <c r="AJ1326" s="28">
        <f t="shared" si="501"/>
        <v>0</v>
      </c>
      <c r="AK1326" s="28">
        <f t="shared" si="501"/>
        <v>0</v>
      </c>
      <c r="AL1326" s="28">
        <f t="shared" si="501"/>
        <v>0</v>
      </c>
      <c r="AM1326" s="28">
        <f t="shared" si="501"/>
        <v>0</v>
      </c>
      <c r="AN1326" s="28">
        <f t="shared" si="501"/>
        <v>0</v>
      </c>
      <c r="AO1326" s="28">
        <f t="shared" si="501"/>
        <v>0</v>
      </c>
      <c r="AP1326" s="28">
        <f t="shared" si="501"/>
        <v>0</v>
      </c>
      <c r="AQ1326" s="28">
        <f t="shared" si="501"/>
        <v>0</v>
      </c>
      <c r="AR1326" s="28">
        <f t="shared" si="501"/>
        <v>0</v>
      </c>
      <c r="AS1326" s="28">
        <f t="shared" si="501"/>
        <v>0</v>
      </c>
      <c r="AT1326" s="28">
        <f t="shared" si="501"/>
        <v>0</v>
      </c>
      <c r="AU1326" s="28">
        <f t="shared" si="501"/>
        <v>0</v>
      </c>
      <c r="AV1326" s="28">
        <f t="shared" si="501"/>
        <v>0</v>
      </c>
      <c r="AW1326" s="28">
        <f t="shared" si="501"/>
        <v>0</v>
      </c>
      <c r="AY1326" s="85"/>
      <c r="AZ1326" s="85"/>
    </row>
    <row r="1327" spans="1:52" x14ac:dyDescent="0.25">
      <c r="A1327" s="102" t="str">
        <f t="shared" si="384"/>
        <v>FSFAGSPQNIBDDSCM Leaching</v>
      </c>
      <c r="B1327" s="102" t="s">
        <v>1376</v>
      </c>
      <c r="C1327" s="102" t="s">
        <v>1191</v>
      </c>
      <c r="D1327" t="s">
        <v>369</v>
      </c>
      <c r="E1327" t="s">
        <v>61</v>
      </c>
      <c r="F1327" t="s">
        <v>63</v>
      </c>
      <c r="G1327" t="s">
        <v>1196</v>
      </c>
      <c r="H1327" t="s">
        <v>1197</v>
      </c>
      <c r="I1327" t="s">
        <v>139</v>
      </c>
      <c r="J1327" t="s">
        <v>287</v>
      </c>
      <c r="K1327" s="28">
        <f t="shared" ref="K1327:AW1327" si="502">IFERROR(K1520-((K1520-K111)+(K1520-K264)+(K1520-K417)+(K1520-K569)+(K1520-K721)+(K1520-K872)+(K1520-K1023)+(K1520-K1174)),0)</f>
        <v>0</v>
      </c>
      <c r="L1327" s="28">
        <f t="shared" si="502"/>
        <v>0</v>
      </c>
      <c r="M1327" s="28">
        <f t="shared" si="502"/>
        <v>0</v>
      </c>
      <c r="N1327" s="28">
        <f t="shared" si="502"/>
        <v>0</v>
      </c>
      <c r="O1327" s="28">
        <f t="shared" si="502"/>
        <v>0</v>
      </c>
      <c r="P1327" s="28">
        <f t="shared" si="502"/>
        <v>0</v>
      </c>
      <c r="Q1327" s="28">
        <f t="shared" si="502"/>
        <v>0</v>
      </c>
      <c r="R1327" s="28">
        <f t="shared" si="502"/>
        <v>0</v>
      </c>
      <c r="S1327" s="28">
        <f t="shared" si="502"/>
        <v>0</v>
      </c>
      <c r="T1327" s="28">
        <f t="shared" si="502"/>
        <v>0</v>
      </c>
      <c r="U1327" s="28">
        <f t="shared" si="502"/>
        <v>0</v>
      </c>
      <c r="V1327" s="28">
        <f t="shared" si="502"/>
        <v>0</v>
      </c>
      <c r="W1327" s="28">
        <f t="shared" si="502"/>
        <v>0</v>
      </c>
      <c r="X1327" s="28">
        <f t="shared" si="502"/>
        <v>0</v>
      </c>
      <c r="Y1327" s="28">
        <f t="shared" si="502"/>
        <v>0</v>
      </c>
      <c r="Z1327" s="28">
        <f t="shared" si="502"/>
        <v>0</v>
      </c>
      <c r="AA1327" s="28">
        <f t="shared" si="502"/>
        <v>0</v>
      </c>
      <c r="AB1327" s="28">
        <f t="shared" si="502"/>
        <v>0</v>
      </c>
      <c r="AC1327" s="28">
        <f t="shared" si="502"/>
        <v>0</v>
      </c>
      <c r="AD1327" s="28">
        <f t="shared" si="502"/>
        <v>0</v>
      </c>
      <c r="AE1327" s="28">
        <f t="shared" si="502"/>
        <v>0</v>
      </c>
      <c r="AF1327" s="28">
        <f t="shared" si="502"/>
        <v>0</v>
      </c>
      <c r="AG1327" s="28">
        <f t="shared" si="502"/>
        <v>0</v>
      </c>
      <c r="AH1327" s="28">
        <f t="shared" si="502"/>
        <v>0</v>
      </c>
      <c r="AI1327" s="28">
        <f t="shared" si="502"/>
        <v>0</v>
      </c>
      <c r="AJ1327" s="28">
        <f t="shared" si="502"/>
        <v>0</v>
      </c>
      <c r="AK1327" s="28">
        <f t="shared" si="502"/>
        <v>0</v>
      </c>
      <c r="AL1327" s="28">
        <f t="shared" si="502"/>
        <v>0</v>
      </c>
      <c r="AM1327" s="28">
        <f t="shared" si="502"/>
        <v>0</v>
      </c>
      <c r="AN1327" s="28">
        <f t="shared" si="502"/>
        <v>0</v>
      </c>
      <c r="AO1327" s="28">
        <f t="shared" si="502"/>
        <v>0</v>
      </c>
      <c r="AP1327" s="28">
        <f t="shared" si="502"/>
        <v>0</v>
      </c>
      <c r="AQ1327" s="28">
        <f t="shared" si="502"/>
        <v>0</v>
      </c>
      <c r="AR1327" s="28">
        <f t="shared" si="502"/>
        <v>0</v>
      </c>
      <c r="AS1327" s="28">
        <f t="shared" si="502"/>
        <v>0</v>
      </c>
      <c r="AT1327" s="28">
        <f t="shared" si="502"/>
        <v>0</v>
      </c>
      <c r="AU1327" s="28">
        <f t="shared" si="502"/>
        <v>0</v>
      </c>
      <c r="AV1327" s="28">
        <f t="shared" si="502"/>
        <v>0</v>
      </c>
      <c r="AW1327" s="28">
        <f t="shared" si="502"/>
        <v>0</v>
      </c>
      <c r="AY1327" s="85"/>
      <c r="AZ1327" s="85"/>
    </row>
    <row r="1328" spans="1:52" x14ac:dyDescent="0.25">
      <c r="A1328" s="102" t="str">
        <f t="shared" si="384"/>
        <v>FSFAGSPQNIBDDSCM Leaching</v>
      </c>
      <c r="B1328" s="102" t="s">
        <v>1376</v>
      </c>
      <c r="C1328" s="102" t="s">
        <v>1191</v>
      </c>
      <c r="D1328" t="s">
        <v>369</v>
      </c>
      <c r="E1328" t="s">
        <v>61</v>
      </c>
      <c r="F1328" t="s">
        <v>63</v>
      </c>
      <c r="G1328" t="s">
        <v>1198</v>
      </c>
      <c r="H1328" t="s">
        <v>1199</v>
      </c>
      <c r="I1328" t="s">
        <v>139</v>
      </c>
      <c r="J1328" t="s">
        <v>287</v>
      </c>
      <c r="K1328" s="28">
        <f t="shared" ref="K1328:AW1328" si="503">IFERROR(K1521-((K1521-K112)+(K1521-K265)+(K1521-K418)+(K1521-K570)+(K1521-K722)+(K1521-K873)+(K1521-K1024)+(K1521-K1175)),0)</f>
        <v>1.1867590793806392E-4</v>
      </c>
      <c r="L1328" s="28">
        <f t="shared" si="503"/>
        <v>1.1853617037070301E-4</v>
      </c>
      <c r="M1328" s="28">
        <f t="shared" si="503"/>
        <v>1.1839643280334203E-4</v>
      </c>
      <c r="N1328" s="28">
        <f t="shared" si="503"/>
        <v>1.1825669523598106E-4</v>
      </c>
      <c r="O1328" s="28">
        <f t="shared" si="503"/>
        <v>1.1811695766862012E-4</v>
      </c>
      <c r="P1328" s="28">
        <f t="shared" si="503"/>
        <v>1.1797722010125916E-4</v>
      </c>
      <c r="Q1328" s="28">
        <f t="shared" si="503"/>
        <v>1.178374825338982E-4</v>
      </c>
      <c r="R1328" s="28">
        <f t="shared" si="503"/>
        <v>1.1769774496653728E-4</v>
      </c>
      <c r="S1328" s="28">
        <f t="shared" si="503"/>
        <v>1.1755800739917633E-4</v>
      </c>
      <c r="T1328" s="28">
        <f t="shared" si="503"/>
        <v>1.174182698318154E-4</v>
      </c>
      <c r="U1328" s="28">
        <f t="shared" si="503"/>
        <v>1.1727853226445441E-4</v>
      </c>
      <c r="V1328" s="28">
        <f t="shared" si="503"/>
        <v>1.1713879469709348E-4</v>
      </c>
      <c r="W1328" s="28">
        <f t="shared" si="503"/>
        <v>1.1699905712973254E-4</v>
      </c>
      <c r="X1328" s="28">
        <f t="shared" si="503"/>
        <v>1.168593195623716E-4</v>
      </c>
      <c r="Y1328" s="28">
        <f t="shared" si="503"/>
        <v>1.1671958199501069E-4</v>
      </c>
      <c r="Z1328" s="28">
        <f t="shared" si="503"/>
        <v>1.1657984442764968E-4</v>
      </c>
      <c r="AA1328" s="28">
        <f t="shared" si="503"/>
        <v>1.1644010686028878E-4</v>
      </c>
      <c r="AB1328" s="28">
        <f t="shared" si="503"/>
        <v>1.1630036929292779E-4</v>
      </c>
      <c r="AC1328" s="28">
        <f t="shared" si="503"/>
        <v>1.1616063172556689E-4</v>
      </c>
      <c r="AD1328" s="28">
        <f t="shared" si="503"/>
        <v>1.1602089415820588E-4</v>
      </c>
      <c r="AE1328" s="28">
        <f t="shared" si="503"/>
        <v>1.1588115659084502E-4</v>
      </c>
      <c r="AF1328" s="28">
        <f t="shared" si="503"/>
        <v>1.1574141902348403E-4</v>
      </c>
      <c r="AG1328" s="28">
        <f t="shared" si="503"/>
        <v>1.1560168145612309E-4</v>
      </c>
      <c r="AH1328" s="28">
        <f t="shared" si="503"/>
        <v>1.154619438887621E-4</v>
      </c>
      <c r="AI1328" s="28">
        <f t="shared" si="503"/>
        <v>1.1532220632140118E-4</v>
      </c>
      <c r="AJ1328" s="28">
        <f t="shared" si="503"/>
        <v>1.1518246875404022E-4</v>
      </c>
      <c r="AK1328" s="28">
        <f t="shared" si="503"/>
        <v>1.1504273118667928E-4</v>
      </c>
      <c r="AL1328" s="28">
        <f t="shared" si="503"/>
        <v>1.1490299361931835E-4</v>
      </c>
      <c r="AM1328" s="28">
        <f t="shared" si="503"/>
        <v>1.1476325605195744E-4</v>
      </c>
      <c r="AN1328" s="28">
        <f t="shared" si="503"/>
        <v>1.1462351848459642E-4</v>
      </c>
      <c r="AO1328" s="28">
        <f t="shared" si="503"/>
        <v>1.1448378091723552E-4</v>
      </c>
      <c r="AP1328" s="28">
        <f t="shared" si="503"/>
        <v>1.1434404334987458E-4</v>
      </c>
      <c r="AQ1328" s="28">
        <f t="shared" si="503"/>
        <v>1.1420430578251366E-4</v>
      </c>
      <c r="AR1328" s="28">
        <f t="shared" si="503"/>
        <v>1.1406456821515268E-4</v>
      </c>
      <c r="AS1328" s="28">
        <f t="shared" si="503"/>
        <v>1.1392483064779174E-4</v>
      </c>
      <c r="AT1328" s="28">
        <f t="shared" si="503"/>
        <v>1.1378509308043078E-4</v>
      </c>
      <c r="AU1328" s="28">
        <f t="shared" si="503"/>
        <v>1.136453555130698E-4</v>
      </c>
      <c r="AV1328" s="28">
        <f t="shared" si="503"/>
        <v>1.1350561794570888E-4</v>
      </c>
      <c r="AW1328" s="28">
        <f t="shared" si="503"/>
        <v>1.1336588037834792E-4</v>
      </c>
      <c r="AY1328" s="85"/>
      <c r="AZ1328" s="85"/>
    </row>
    <row r="1329" spans="1:52" x14ac:dyDescent="0.25">
      <c r="A1329" s="102" t="str">
        <f t="shared" si="384"/>
        <v>FSFAGSPQNIBDDSCM Leaching</v>
      </c>
      <c r="B1329" s="102" t="s">
        <v>1376</v>
      </c>
      <c r="C1329" s="102" t="s">
        <v>1191</v>
      </c>
      <c r="D1329" t="s">
        <v>369</v>
      </c>
      <c r="E1329" t="s">
        <v>61</v>
      </c>
      <c r="F1329" t="s">
        <v>63</v>
      </c>
      <c r="G1329" t="s">
        <v>1200</v>
      </c>
      <c r="H1329" t="s">
        <v>1201</v>
      </c>
      <c r="I1329" t="s">
        <v>139</v>
      </c>
      <c r="J1329" t="s">
        <v>287</v>
      </c>
      <c r="K1329" s="28">
        <f t="shared" ref="K1329:AW1329" si="504">IFERROR(K1522-((K1522-K113)+(K1522-K266)+(K1522-K419)+(K1522-K571)+(K1522-K723)+(K1522-K874)+(K1522-K1025)+(K1522-K1176)),0)</f>
        <v>1.6912231388729011E-2</v>
      </c>
      <c r="L1329" s="28">
        <f t="shared" si="504"/>
        <v>1.6951420148247919E-2</v>
      </c>
      <c r="M1329" s="28">
        <f t="shared" si="504"/>
        <v>1.6990608907766828E-2</v>
      </c>
      <c r="N1329" s="28">
        <f t="shared" si="504"/>
        <v>1.702979766728574E-2</v>
      </c>
      <c r="O1329" s="28">
        <f t="shared" si="504"/>
        <v>1.7068986426804648E-2</v>
      </c>
      <c r="P1329" s="28">
        <f t="shared" si="504"/>
        <v>1.7108175186323554E-2</v>
      </c>
      <c r="Q1329" s="28">
        <f t="shared" si="504"/>
        <v>1.7147363945842466E-2</v>
      </c>
      <c r="R1329" s="28">
        <f t="shared" si="504"/>
        <v>1.7186552705361371E-2</v>
      </c>
      <c r="S1329" s="28">
        <f t="shared" si="504"/>
        <v>1.7225741464880276E-2</v>
      </c>
      <c r="T1329" s="28">
        <f t="shared" si="504"/>
        <v>1.7264930224399191E-2</v>
      </c>
      <c r="U1329" s="28">
        <f t="shared" si="504"/>
        <v>1.7304118983918097E-2</v>
      </c>
      <c r="V1329" s="28">
        <f t="shared" si="504"/>
        <v>1.7343307743437009E-2</v>
      </c>
      <c r="W1329" s="28">
        <f t="shared" si="504"/>
        <v>1.7382496502955917E-2</v>
      </c>
      <c r="X1329" s="28">
        <f t="shared" si="504"/>
        <v>1.7421685262474829E-2</v>
      </c>
      <c r="Y1329" s="28">
        <f t="shared" si="504"/>
        <v>1.7460874021993734E-2</v>
      </c>
      <c r="Z1329" s="28">
        <f t="shared" si="504"/>
        <v>1.750006278151265E-2</v>
      </c>
      <c r="AA1329" s="28">
        <f t="shared" si="504"/>
        <v>1.7539251541031548E-2</v>
      </c>
      <c r="AB1329" s="28">
        <f t="shared" si="504"/>
        <v>1.7578440300550464E-2</v>
      </c>
      <c r="AC1329" s="28">
        <f t="shared" si="504"/>
        <v>1.7617629060069376E-2</v>
      </c>
      <c r="AD1329" s="28">
        <f t="shared" si="504"/>
        <v>1.7656817819588281E-2</v>
      </c>
      <c r="AE1329" s="28">
        <f t="shared" si="504"/>
        <v>1.769600657910719E-2</v>
      </c>
      <c r="AF1329" s="28">
        <f t="shared" si="504"/>
        <v>1.7735195338626102E-2</v>
      </c>
      <c r="AG1329" s="28">
        <f t="shared" si="504"/>
        <v>1.777438409814501E-2</v>
      </c>
      <c r="AH1329" s="28">
        <f t="shared" si="504"/>
        <v>1.7813572857663919E-2</v>
      </c>
      <c r="AI1329" s="28">
        <f t="shared" si="504"/>
        <v>1.7852761617182831E-2</v>
      </c>
      <c r="AJ1329" s="28">
        <f t="shared" si="504"/>
        <v>1.7891950376701736E-2</v>
      </c>
      <c r="AK1329" s="28">
        <f t="shared" si="504"/>
        <v>1.7931139136220645E-2</v>
      </c>
      <c r="AL1329" s="28">
        <f t="shared" si="504"/>
        <v>1.7970327895739557E-2</v>
      </c>
      <c r="AM1329" s="28">
        <f t="shared" si="504"/>
        <v>1.8009516655258465E-2</v>
      </c>
      <c r="AN1329" s="28">
        <f t="shared" si="504"/>
        <v>1.8048705414777374E-2</v>
      </c>
      <c r="AO1329" s="28">
        <f t="shared" si="504"/>
        <v>1.8087894174296286E-2</v>
      </c>
      <c r="AP1329" s="28">
        <f t="shared" si="504"/>
        <v>1.8127082933815188E-2</v>
      </c>
      <c r="AQ1329" s="28">
        <f t="shared" si="504"/>
        <v>1.8166271693334096E-2</v>
      </c>
      <c r="AR1329" s="28">
        <f t="shared" si="504"/>
        <v>1.8205460452853015E-2</v>
      </c>
      <c r="AS1329" s="28">
        <f t="shared" si="504"/>
        <v>1.8244649212371917E-2</v>
      </c>
      <c r="AT1329" s="28">
        <f t="shared" si="504"/>
        <v>1.8283837971890825E-2</v>
      </c>
      <c r="AU1329" s="28">
        <f t="shared" si="504"/>
        <v>1.8323026731409734E-2</v>
      </c>
      <c r="AV1329" s="28">
        <f t="shared" si="504"/>
        <v>1.8362215490928643E-2</v>
      </c>
      <c r="AW1329" s="28">
        <f t="shared" si="504"/>
        <v>1.8401404250447555E-2</v>
      </c>
      <c r="AY1329" s="85"/>
      <c r="AZ1329" s="85"/>
    </row>
    <row r="1330" spans="1:52" x14ac:dyDescent="0.25">
      <c r="A1330" s="102" t="str">
        <f t="shared" si="384"/>
        <v>FSFAGSPQNIBDDSCM Leaching</v>
      </c>
      <c r="B1330" s="102" t="s">
        <v>1376</v>
      </c>
      <c r="C1330" s="102" t="s">
        <v>1191</v>
      </c>
      <c r="D1330" t="s">
        <v>369</v>
      </c>
      <c r="E1330" t="s">
        <v>61</v>
      </c>
      <c r="F1330" t="s">
        <v>63</v>
      </c>
      <c r="G1330" t="s">
        <v>1202</v>
      </c>
      <c r="H1330" t="s">
        <v>1203</v>
      </c>
      <c r="I1330" t="s">
        <v>139</v>
      </c>
      <c r="J1330" t="s">
        <v>287</v>
      </c>
      <c r="K1330" s="28">
        <f t="shared" ref="K1330:AW1330" si="505">IFERROR(K1523-((K1523-K114)+(K1523-K267)+(K1523-K420)+(K1523-K572)+(K1523-K724)+(K1523-K875)+(K1523-K1026)+(K1523-K1177)),0)</f>
        <v>1.9871041213735664E-2</v>
      </c>
      <c r="L1330" s="28">
        <f t="shared" si="505"/>
        <v>1.9871041213735664E-2</v>
      </c>
      <c r="M1330" s="28">
        <f t="shared" si="505"/>
        <v>1.9871041213735664E-2</v>
      </c>
      <c r="N1330" s="28">
        <f t="shared" si="505"/>
        <v>1.9871041213735664E-2</v>
      </c>
      <c r="O1330" s="28">
        <f t="shared" si="505"/>
        <v>1.9871041213735664E-2</v>
      </c>
      <c r="P1330" s="28">
        <f t="shared" si="505"/>
        <v>1.9871041213735664E-2</v>
      </c>
      <c r="Q1330" s="28">
        <f t="shared" si="505"/>
        <v>1.9871041213735664E-2</v>
      </c>
      <c r="R1330" s="28">
        <f t="shared" si="505"/>
        <v>1.9871041213735664E-2</v>
      </c>
      <c r="S1330" s="28">
        <f t="shared" si="505"/>
        <v>1.9871041213735664E-2</v>
      </c>
      <c r="T1330" s="28">
        <f t="shared" si="505"/>
        <v>1.9871041213735664E-2</v>
      </c>
      <c r="U1330" s="28">
        <f t="shared" si="505"/>
        <v>1.9871041213735664E-2</v>
      </c>
      <c r="V1330" s="28">
        <f t="shared" si="505"/>
        <v>1.9871041213735664E-2</v>
      </c>
      <c r="W1330" s="28">
        <f t="shared" si="505"/>
        <v>1.9871041213735664E-2</v>
      </c>
      <c r="X1330" s="28">
        <f t="shared" si="505"/>
        <v>1.9871041213735664E-2</v>
      </c>
      <c r="Y1330" s="28">
        <f t="shared" si="505"/>
        <v>1.9871041213735664E-2</v>
      </c>
      <c r="Z1330" s="28">
        <f t="shared" si="505"/>
        <v>1.9871041213735664E-2</v>
      </c>
      <c r="AA1330" s="28">
        <f t="shared" si="505"/>
        <v>1.9871041213735664E-2</v>
      </c>
      <c r="AB1330" s="28">
        <f t="shared" si="505"/>
        <v>1.9871041213735664E-2</v>
      </c>
      <c r="AC1330" s="28">
        <f t="shared" si="505"/>
        <v>1.9871041213735664E-2</v>
      </c>
      <c r="AD1330" s="28">
        <f t="shared" si="505"/>
        <v>1.9871041213735664E-2</v>
      </c>
      <c r="AE1330" s="28">
        <f t="shared" si="505"/>
        <v>1.9871041213735664E-2</v>
      </c>
      <c r="AF1330" s="28">
        <f t="shared" si="505"/>
        <v>1.9871041213735664E-2</v>
      </c>
      <c r="AG1330" s="28">
        <f t="shared" si="505"/>
        <v>1.9871041213735664E-2</v>
      </c>
      <c r="AH1330" s="28">
        <f t="shared" si="505"/>
        <v>1.9871041213735664E-2</v>
      </c>
      <c r="AI1330" s="28">
        <f t="shared" si="505"/>
        <v>1.9871041213735664E-2</v>
      </c>
      <c r="AJ1330" s="28">
        <f t="shared" si="505"/>
        <v>1.9871041213735664E-2</v>
      </c>
      <c r="AK1330" s="28">
        <f t="shared" si="505"/>
        <v>1.9871041213735664E-2</v>
      </c>
      <c r="AL1330" s="28">
        <f t="shared" si="505"/>
        <v>1.9871041213735664E-2</v>
      </c>
      <c r="AM1330" s="28">
        <f t="shared" si="505"/>
        <v>1.9871041213735664E-2</v>
      </c>
      <c r="AN1330" s="28">
        <f t="shared" si="505"/>
        <v>1.9871041213735664E-2</v>
      </c>
      <c r="AO1330" s="28">
        <f t="shared" si="505"/>
        <v>1.9871041213735664E-2</v>
      </c>
      <c r="AP1330" s="28">
        <f t="shared" si="505"/>
        <v>1.9871041213735664E-2</v>
      </c>
      <c r="AQ1330" s="28">
        <f t="shared" si="505"/>
        <v>1.9871041213735664E-2</v>
      </c>
      <c r="AR1330" s="28">
        <f t="shared" si="505"/>
        <v>1.9871041213735664E-2</v>
      </c>
      <c r="AS1330" s="28">
        <f t="shared" si="505"/>
        <v>1.9871041213735664E-2</v>
      </c>
      <c r="AT1330" s="28">
        <f t="shared" si="505"/>
        <v>1.9871041213735664E-2</v>
      </c>
      <c r="AU1330" s="28">
        <f t="shared" si="505"/>
        <v>1.9871041213735664E-2</v>
      </c>
      <c r="AV1330" s="28">
        <f t="shared" si="505"/>
        <v>1.9871041213735664E-2</v>
      </c>
      <c r="AW1330" s="28">
        <f t="shared" si="505"/>
        <v>1.9871041213735664E-2</v>
      </c>
      <c r="AY1330" s="85"/>
      <c r="AZ1330" s="85"/>
    </row>
    <row r="1331" spans="1:52" x14ac:dyDescent="0.25">
      <c r="A1331" s="102" t="str">
        <f t="shared" si="384"/>
        <v>FSFAGSPQNIBDDSCM Leaching</v>
      </c>
      <c r="B1331" s="102" t="s">
        <v>1376</v>
      </c>
      <c r="C1331" s="102" t="s">
        <v>1191</v>
      </c>
      <c r="D1331" t="s">
        <v>369</v>
      </c>
      <c r="E1331" t="s">
        <v>61</v>
      </c>
      <c r="F1331" t="s">
        <v>63</v>
      </c>
      <c r="G1331" t="s">
        <v>1204</v>
      </c>
      <c r="H1331" t="s">
        <v>1205</v>
      </c>
      <c r="I1331" t="s">
        <v>139</v>
      </c>
      <c r="J1331" t="s">
        <v>287</v>
      </c>
      <c r="K1331" s="28">
        <f t="shared" ref="K1331:AW1331" si="506">IFERROR(K1524-((K1524-K115)+(K1524-K268)+(K1524-K421)+(K1524-K573)+(K1524-K725)+(K1524-K876)+(K1524-K1027)+(K1524-K1178)),0)</f>
        <v>0</v>
      </c>
      <c r="L1331" s="28">
        <f t="shared" si="506"/>
        <v>0</v>
      </c>
      <c r="M1331" s="28">
        <f t="shared" si="506"/>
        <v>0</v>
      </c>
      <c r="N1331" s="28">
        <f t="shared" si="506"/>
        <v>0</v>
      </c>
      <c r="O1331" s="28">
        <f t="shared" si="506"/>
        <v>0</v>
      </c>
      <c r="P1331" s="28">
        <f t="shared" si="506"/>
        <v>0</v>
      </c>
      <c r="Q1331" s="28">
        <f t="shared" si="506"/>
        <v>0</v>
      </c>
      <c r="R1331" s="28">
        <f t="shared" si="506"/>
        <v>0</v>
      </c>
      <c r="S1331" s="28">
        <f t="shared" si="506"/>
        <v>0</v>
      </c>
      <c r="T1331" s="28">
        <f t="shared" si="506"/>
        <v>0</v>
      </c>
      <c r="U1331" s="28">
        <f t="shared" si="506"/>
        <v>0</v>
      </c>
      <c r="V1331" s="28">
        <f t="shared" si="506"/>
        <v>0</v>
      </c>
      <c r="W1331" s="28">
        <f t="shared" si="506"/>
        <v>0</v>
      </c>
      <c r="X1331" s="28">
        <f t="shared" si="506"/>
        <v>0</v>
      </c>
      <c r="Y1331" s="28">
        <f t="shared" si="506"/>
        <v>0</v>
      </c>
      <c r="Z1331" s="28">
        <f t="shared" si="506"/>
        <v>0</v>
      </c>
      <c r="AA1331" s="28">
        <f t="shared" si="506"/>
        <v>0</v>
      </c>
      <c r="AB1331" s="28">
        <f t="shared" si="506"/>
        <v>0</v>
      </c>
      <c r="AC1331" s="28">
        <f t="shared" si="506"/>
        <v>0</v>
      </c>
      <c r="AD1331" s="28">
        <f t="shared" si="506"/>
        <v>0</v>
      </c>
      <c r="AE1331" s="28">
        <f t="shared" si="506"/>
        <v>0</v>
      </c>
      <c r="AF1331" s="28">
        <f t="shared" si="506"/>
        <v>0</v>
      </c>
      <c r="AG1331" s="28">
        <f t="shared" si="506"/>
        <v>0</v>
      </c>
      <c r="AH1331" s="28">
        <f t="shared" si="506"/>
        <v>0</v>
      </c>
      <c r="AI1331" s="28">
        <f t="shared" si="506"/>
        <v>0</v>
      </c>
      <c r="AJ1331" s="28">
        <f t="shared" si="506"/>
        <v>0</v>
      </c>
      <c r="AK1331" s="28">
        <f t="shared" si="506"/>
        <v>0</v>
      </c>
      <c r="AL1331" s="28">
        <f t="shared" si="506"/>
        <v>0</v>
      </c>
      <c r="AM1331" s="28">
        <f t="shared" si="506"/>
        <v>0</v>
      </c>
      <c r="AN1331" s="28">
        <f t="shared" si="506"/>
        <v>0</v>
      </c>
      <c r="AO1331" s="28">
        <f t="shared" si="506"/>
        <v>0</v>
      </c>
      <c r="AP1331" s="28">
        <f t="shared" si="506"/>
        <v>0</v>
      </c>
      <c r="AQ1331" s="28">
        <f t="shared" si="506"/>
        <v>0</v>
      </c>
      <c r="AR1331" s="28">
        <f t="shared" si="506"/>
        <v>0</v>
      </c>
      <c r="AS1331" s="28">
        <f t="shared" si="506"/>
        <v>0</v>
      </c>
      <c r="AT1331" s="28">
        <f t="shared" si="506"/>
        <v>0</v>
      </c>
      <c r="AU1331" s="28">
        <f t="shared" si="506"/>
        <v>0</v>
      </c>
      <c r="AV1331" s="28">
        <f t="shared" si="506"/>
        <v>0</v>
      </c>
      <c r="AW1331" s="28">
        <f t="shared" si="506"/>
        <v>0</v>
      </c>
      <c r="AY1331" s="85"/>
      <c r="AZ1331" s="85"/>
    </row>
    <row r="1332" spans="1:52" x14ac:dyDescent="0.25">
      <c r="A1332" s="102" t="str">
        <f t="shared" si="384"/>
        <v>FSFAGSPQNIBDDSCM Leaching</v>
      </c>
      <c r="B1332" s="102" t="s">
        <v>1376</v>
      </c>
      <c r="C1332" s="102" t="s">
        <v>1191</v>
      </c>
      <c r="D1332" t="s">
        <v>369</v>
      </c>
      <c r="E1332" t="s">
        <v>61</v>
      </c>
      <c r="F1332" t="s">
        <v>63</v>
      </c>
      <c r="G1332" t="s">
        <v>1206</v>
      </c>
      <c r="H1332" t="s">
        <v>1207</v>
      </c>
      <c r="I1332" t="s">
        <v>139</v>
      </c>
      <c r="J1332" t="s">
        <v>287</v>
      </c>
      <c r="K1332" s="28">
        <f t="shared" ref="K1332:AW1332" si="507">IFERROR(K1525-((K1525-K116)+(K1525-K269)+(K1525-K422)+(K1525-K574)+(K1525-K726)+(K1525-K877)+(K1525-K1028)+(K1525-K1179)),0)</f>
        <v>0</v>
      </c>
      <c r="L1332" s="28">
        <f t="shared" si="507"/>
        <v>0</v>
      </c>
      <c r="M1332" s="28">
        <f t="shared" si="507"/>
        <v>0</v>
      </c>
      <c r="N1332" s="28">
        <f t="shared" si="507"/>
        <v>0</v>
      </c>
      <c r="O1332" s="28">
        <f t="shared" si="507"/>
        <v>0</v>
      </c>
      <c r="P1332" s="28">
        <f t="shared" si="507"/>
        <v>0</v>
      </c>
      <c r="Q1332" s="28">
        <f t="shared" si="507"/>
        <v>0</v>
      </c>
      <c r="R1332" s="28">
        <f t="shared" si="507"/>
        <v>0</v>
      </c>
      <c r="S1332" s="28">
        <f t="shared" si="507"/>
        <v>0</v>
      </c>
      <c r="T1332" s="28">
        <f t="shared" si="507"/>
        <v>0</v>
      </c>
      <c r="U1332" s="28">
        <f t="shared" si="507"/>
        <v>0</v>
      </c>
      <c r="V1332" s="28">
        <f t="shared" si="507"/>
        <v>0</v>
      </c>
      <c r="W1332" s="28">
        <f t="shared" si="507"/>
        <v>0</v>
      </c>
      <c r="X1332" s="28">
        <f t="shared" si="507"/>
        <v>0</v>
      </c>
      <c r="Y1332" s="28">
        <f t="shared" si="507"/>
        <v>0</v>
      </c>
      <c r="Z1332" s="28">
        <f t="shared" si="507"/>
        <v>0</v>
      </c>
      <c r="AA1332" s="28">
        <f t="shared" si="507"/>
        <v>0</v>
      </c>
      <c r="AB1332" s="28">
        <f t="shared" si="507"/>
        <v>0</v>
      </c>
      <c r="AC1332" s="28">
        <f t="shared" si="507"/>
        <v>0</v>
      </c>
      <c r="AD1332" s="28">
        <f t="shared" si="507"/>
        <v>0</v>
      </c>
      <c r="AE1332" s="28">
        <f t="shared" si="507"/>
        <v>0</v>
      </c>
      <c r="AF1332" s="28">
        <f t="shared" si="507"/>
        <v>0</v>
      </c>
      <c r="AG1332" s="28">
        <f t="shared" si="507"/>
        <v>0</v>
      </c>
      <c r="AH1332" s="28">
        <f t="shared" si="507"/>
        <v>0</v>
      </c>
      <c r="AI1332" s="28">
        <f t="shared" si="507"/>
        <v>0</v>
      </c>
      <c r="AJ1332" s="28">
        <f t="shared" si="507"/>
        <v>0</v>
      </c>
      <c r="AK1332" s="28">
        <f t="shared" si="507"/>
        <v>0</v>
      </c>
      <c r="AL1332" s="28">
        <f t="shared" si="507"/>
        <v>0</v>
      </c>
      <c r="AM1332" s="28">
        <f t="shared" si="507"/>
        <v>0</v>
      </c>
      <c r="AN1332" s="28">
        <f t="shared" si="507"/>
        <v>0</v>
      </c>
      <c r="AO1332" s="28">
        <f t="shared" si="507"/>
        <v>0</v>
      </c>
      <c r="AP1332" s="28">
        <f t="shared" si="507"/>
        <v>0</v>
      </c>
      <c r="AQ1332" s="28">
        <f t="shared" si="507"/>
        <v>0</v>
      </c>
      <c r="AR1332" s="28">
        <f t="shared" si="507"/>
        <v>0</v>
      </c>
      <c r="AS1332" s="28">
        <f t="shared" si="507"/>
        <v>0</v>
      </c>
      <c r="AT1332" s="28">
        <f t="shared" si="507"/>
        <v>0</v>
      </c>
      <c r="AU1332" s="28">
        <f t="shared" si="507"/>
        <v>0</v>
      </c>
      <c r="AV1332" s="28">
        <f t="shared" si="507"/>
        <v>0</v>
      </c>
      <c r="AW1332" s="28">
        <f t="shared" si="507"/>
        <v>0</v>
      </c>
      <c r="AY1332" s="85"/>
      <c r="AZ1332" s="85"/>
    </row>
    <row r="1333" spans="1:52" x14ac:dyDescent="0.25">
      <c r="A1333" s="102" t="str">
        <f t="shared" si="384"/>
        <v>FSFAGSPQNIBDDSCM Leaching</v>
      </c>
      <c r="B1333" s="102" t="s">
        <v>1376</v>
      </c>
      <c r="C1333" s="102" t="s">
        <v>1191</v>
      </c>
      <c r="D1333" t="s">
        <v>369</v>
      </c>
      <c r="E1333" t="s">
        <v>61</v>
      </c>
      <c r="F1333" t="s">
        <v>63</v>
      </c>
      <c r="G1333" t="s">
        <v>1208</v>
      </c>
      <c r="H1333" t="s">
        <v>1209</v>
      </c>
      <c r="I1333" t="s">
        <v>139</v>
      </c>
      <c r="J1333" t="s">
        <v>287</v>
      </c>
      <c r="K1333" s="28">
        <f t="shared" ref="K1333:AW1333" si="508">IFERROR(K1526-((K1526-K117)+(K1526-K270)+(K1526-K423)+(K1526-K575)+(K1526-K727)+(K1526-K878)+(K1526-K1029)+(K1526-K1180)),0)</f>
        <v>0</v>
      </c>
      <c r="L1333" s="28">
        <f t="shared" si="508"/>
        <v>0</v>
      </c>
      <c r="M1333" s="28">
        <f t="shared" si="508"/>
        <v>0</v>
      </c>
      <c r="N1333" s="28">
        <f t="shared" si="508"/>
        <v>0</v>
      </c>
      <c r="O1333" s="28">
        <f t="shared" si="508"/>
        <v>0</v>
      </c>
      <c r="P1333" s="28">
        <f t="shared" si="508"/>
        <v>0</v>
      </c>
      <c r="Q1333" s="28">
        <f t="shared" si="508"/>
        <v>0</v>
      </c>
      <c r="R1333" s="28">
        <f t="shared" si="508"/>
        <v>0</v>
      </c>
      <c r="S1333" s="28">
        <f t="shared" si="508"/>
        <v>0</v>
      </c>
      <c r="T1333" s="28">
        <f t="shared" si="508"/>
        <v>0</v>
      </c>
      <c r="U1333" s="28">
        <f t="shared" si="508"/>
        <v>0</v>
      </c>
      <c r="V1333" s="28">
        <f t="shared" si="508"/>
        <v>0</v>
      </c>
      <c r="W1333" s="28">
        <f t="shared" si="508"/>
        <v>0</v>
      </c>
      <c r="X1333" s="28">
        <f t="shared" si="508"/>
        <v>0</v>
      </c>
      <c r="Y1333" s="28">
        <f t="shared" si="508"/>
        <v>0</v>
      </c>
      <c r="Z1333" s="28">
        <f t="shared" si="508"/>
        <v>0</v>
      </c>
      <c r="AA1333" s="28">
        <f t="shared" si="508"/>
        <v>0</v>
      </c>
      <c r="AB1333" s="28">
        <f t="shared" si="508"/>
        <v>0</v>
      </c>
      <c r="AC1333" s="28">
        <f t="shared" si="508"/>
        <v>0</v>
      </c>
      <c r="AD1333" s="28">
        <f t="shared" si="508"/>
        <v>0</v>
      </c>
      <c r="AE1333" s="28">
        <f t="shared" si="508"/>
        <v>0</v>
      </c>
      <c r="AF1333" s="28">
        <f t="shared" si="508"/>
        <v>0</v>
      </c>
      <c r="AG1333" s="28">
        <f t="shared" si="508"/>
        <v>0</v>
      </c>
      <c r="AH1333" s="28">
        <f t="shared" si="508"/>
        <v>0</v>
      </c>
      <c r="AI1333" s="28">
        <f t="shared" si="508"/>
        <v>0</v>
      </c>
      <c r="AJ1333" s="28">
        <f t="shared" si="508"/>
        <v>0</v>
      </c>
      <c r="AK1333" s="28">
        <f t="shared" si="508"/>
        <v>0</v>
      </c>
      <c r="AL1333" s="28">
        <f t="shared" si="508"/>
        <v>0</v>
      </c>
      <c r="AM1333" s="28">
        <f t="shared" si="508"/>
        <v>0</v>
      </c>
      <c r="AN1333" s="28">
        <f t="shared" si="508"/>
        <v>0</v>
      </c>
      <c r="AO1333" s="28">
        <f t="shared" si="508"/>
        <v>0</v>
      </c>
      <c r="AP1333" s="28">
        <f t="shared" si="508"/>
        <v>0</v>
      </c>
      <c r="AQ1333" s="28">
        <f t="shared" si="508"/>
        <v>0</v>
      </c>
      <c r="AR1333" s="28">
        <f t="shared" si="508"/>
        <v>0</v>
      </c>
      <c r="AS1333" s="28">
        <f t="shared" si="508"/>
        <v>0</v>
      </c>
      <c r="AT1333" s="28">
        <f t="shared" si="508"/>
        <v>0</v>
      </c>
      <c r="AU1333" s="28">
        <f t="shared" si="508"/>
        <v>0</v>
      </c>
      <c r="AV1333" s="28">
        <f t="shared" si="508"/>
        <v>0</v>
      </c>
      <c r="AW1333" s="28">
        <f t="shared" si="508"/>
        <v>0</v>
      </c>
      <c r="AY1333" s="85"/>
      <c r="AZ1333" s="85"/>
    </row>
    <row r="1334" spans="1:52" x14ac:dyDescent="0.25">
      <c r="A1334" s="102" t="str">
        <f t="shared" si="384"/>
        <v>FSFAGSPQNIBDDSCM Leaching</v>
      </c>
      <c r="B1334" s="102" t="s">
        <v>1376</v>
      </c>
      <c r="C1334" s="102" t="s">
        <v>1191</v>
      </c>
      <c r="D1334" t="s">
        <v>369</v>
      </c>
      <c r="E1334" t="s">
        <v>61</v>
      </c>
      <c r="F1334" t="s">
        <v>63</v>
      </c>
      <c r="G1334" t="s">
        <v>1210</v>
      </c>
      <c r="H1334" t="s">
        <v>1211</v>
      </c>
      <c r="I1334" t="s">
        <v>139</v>
      </c>
      <c r="J1334" t="s">
        <v>287</v>
      </c>
      <c r="K1334" s="28">
        <f t="shared" ref="K1334:AW1334" si="509">IFERROR(K1527-((K1527-K118)+(K1527-K271)+(K1527-K424)+(K1527-K576)+(K1527-K728)+(K1527-K879)+(K1527-K1030)+(K1527-K1181)),0)</f>
        <v>1.9333864620707719E-6</v>
      </c>
      <c r="L1334" s="28">
        <f t="shared" si="509"/>
        <v>1.9333864620707719E-6</v>
      </c>
      <c r="M1334" s="28">
        <f t="shared" si="509"/>
        <v>1.9333864620707719E-6</v>
      </c>
      <c r="N1334" s="28">
        <f t="shared" si="509"/>
        <v>1.9333864620707719E-6</v>
      </c>
      <c r="O1334" s="28">
        <f t="shared" si="509"/>
        <v>1.9333864620707719E-6</v>
      </c>
      <c r="P1334" s="28">
        <f t="shared" si="509"/>
        <v>1.9333864620707719E-6</v>
      </c>
      <c r="Q1334" s="28">
        <f t="shared" si="509"/>
        <v>1.9333864620707719E-6</v>
      </c>
      <c r="R1334" s="28">
        <f t="shared" si="509"/>
        <v>1.9333864620707719E-6</v>
      </c>
      <c r="S1334" s="28">
        <f t="shared" si="509"/>
        <v>1.9333864620707719E-6</v>
      </c>
      <c r="T1334" s="28">
        <f t="shared" si="509"/>
        <v>1.9333864620707719E-6</v>
      </c>
      <c r="U1334" s="28">
        <f t="shared" si="509"/>
        <v>1.9333864620707719E-6</v>
      </c>
      <c r="V1334" s="28">
        <f t="shared" si="509"/>
        <v>1.9333864620707719E-6</v>
      </c>
      <c r="W1334" s="28">
        <f t="shared" si="509"/>
        <v>1.9333864620707719E-6</v>
      </c>
      <c r="X1334" s="28">
        <f t="shared" si="509"/>
        <v>1.9333864620707719E-6</v>
      </c>
      <c r="Y1334" s="28">
        <f t="shared" si="509"/>
        <v>1.9333864620707719E-6</v>
      </c>
      <c r="Z1334" s="28">
        <f t="shared" si="509"/>
        <v>1.9333864620707719E-6</v>
      </c>
      <c r="AA1334" s="28">
        <f t="shared" si="509"/>
        <v>1.9333864620707719E-6</v>
      </c>
      <c r="AB1334" s="28">
        <f t="shared" si="509"/>
        <v>1.9333864620707719E-6</v>
      </c>
      <c r="AC1334" s="28">
        <f t="shared" si="509"/>
        <v>1.9333864620707719E-6</v>
      </c>
      <c r="AD1334" s="28">
        <f t="shared" si="509"/>
        <v>1.9333864620707719E-6</v>
      </c>
      <c r="AE1334" s="28">
        <f t="shared" si="509"/>
        <v>1.9333864620707719E-6</v>
      </c>
      <c r="AF1334" s="28">
        <f t="shared" si="509"/>
        <v>1.9333864620707719E-6</v>
      </c>
      <c r="AG1334" s="28">
        <f t="shared" si="509"/>
        <v>1.9333864620707719E-6</v>
      </c>
      <c r="AH1334" s="28">
        <f t="shared" si="509"/>
        <v>1.9333864620707719E-6</v>
      </c>
      <c r="AI1334" s="28">
        <f t="shared" si="509"/>
        <v>1.9333864620707719E-6</v>
      </c>
      <c r="AJ1334" s="28">
        <f t="shared" si="509"/>
        <v>1.9333864620707719E-6</v>
      </c>
      <c r="AK1334" s="28">
        <f t="shared" si="509"/>
        <v>1.9333864620707719E-6</v>
      </c>
      <c r="AL1334" s="28">
        <f t="shared" si="509"/>
        <v>1.9333864620707719E-6</v>
      </c>
      <c r="AM1334" s="28">
        <f t="shared" si="509"/>
        <v>1.9333864620707719E-6</v>
      </c>
      <c r="AN1334" s="28">
        <f t="shared" si="509"/>
        <v>1.9333864620707719E-6</v>
      </c>
      <c r="AO1334" s="28">
        <f t="shared" si="509"/>
        <v>1.9333864620707719E-6</v>
      </c>
      <c r="AP1334" s="28">
        <f t="shared" si="509"/>
        <v>1.9333864620707719E-6</v>
      </c>
      <c r="AQ1334" s="28">
        <f t="shared" si="509"/>
        <v>1.9333864620707719E-6</v>
      </c>
      <c r="AR1334" s="28">
        <f t="shared" si="509"/>
        <v>1.9333864620707719E-6</v>
      </c>
      <c r="AS1334" s="28">
        <f t="shared" si="509"/>
        <v>1.9333864620707719E-6</v>
      </c>
      <c r="AT1334" s="28">
        <f t="shared" si="509"/>
        <v>1.9333864620707719E-6</v>
      </c>
      <c r="AU1334" s="28">
        <f t="shared" si="509"/>
        <v>1.9333864620707719E-6</v>
      </c>
      <c r="AV1334" s="28">
        <f t="shared" si="509"/>
        <v>1.9333864620707719E-6</v>
      </c>
      <c r="AW1334" s="28">
        <f t="shared" si="509"/>
        <v>1.9333864620707719E-6</v>
      </c>
      <c r="AY1334" s="85"/>
      <c r="AZ1334" s="85"/>
    </row>
    <row r="1335" spans="1:52" x14ac:dyDescent="0.25">
      <c r="A1335" s="102" t="str">
        <f t="shared" si="384"/>
        <v>FSFAGSPQNIBDDSCM Leaching</v>
      </c>
      <c r="B1335" s="102" t="s">
        <v>1376</v>
      </c>
      <c r="C1335" s="102" t="s">
        <v>1191</v>
      </c>
      <c r="D1335" t="s">
        <v>369</v>
      </c>
      <c r="E1335" t="s">
        <v>61</v>
      </c>
      <c r="F1335" t="s">
        <v>63</v>
      </c>
      <c r="G1335" t="s">
        <v>1212</v>
      </c>
      <c r="H1335" t="s">
        <v>1213</v>
      </c>
      <c r="I1335" t="s">
        <v>139</v>
      </c>
      <c r="J1335" t="s">
        <v>287</v>
      </c>
      <c r="K1335" s="28">
        <f t="shared" ref="K1335:AW1335" si="510">IFERROR(K1528-((K1528-K119)+(K1528-K272)+(K1528-K425)+(K1528-K577)+(K1528-K729)+(K1528-K880)+(K1528-K1031)+(K1528-K1182)),0)</f>
        <v>2.1082459751876198E-3</v>
      </c>
      <c r="L1335" s="28">
        <f t="shared" si="510"/>
        <v>2.1082459751876198E-3</v>
      </c>
      <c r="M1335" s="28">
        <f t="shared" si="510"/>
        <v>2.1082459751876198E-3</v>
      </c>
      <c r="N1335" s="28">
        <f t="shared" si="510"/>
        <v>2.1082459751876198E-3</v>
      </c>
      <c r="O1335" s="28">
        <f t="shared" si="510"/>
        <v>2.1082459751876198E-3</v>
      </c>
      <c r="P1335" s="28">
        <f t="shared" si="510"/>
        <v>2.1082459751876198E-3</v>
      </c>
      <c r="Q1335" s="28">
        <f t="shared" si="510"/>
        <v>2.1082459751876198E-3</v>
      </c>
      <c r="R1335" s="28">
        <f t="shared" si="510"/>
        <v>2.1082459751876198E-3</v>
      </c>
      <c r="S1335" s="28">
        <f t="shared" si="510"/>
        <v>2.1082459751876198E-3</v>
      </c>
      <c r="T1335" s="28">
        <f t="shared" si="510"/>
        <v>2.1082459751876198E-3</v>
      </c>
      <c r="U1335" s="28">
        <f t="shared" si="510"/>
        <v>2.1082459751876198E-3</v>
      </c>
      <c r="V1335" s="28">
        <f t="shared" si="510"/>
        <v>2.1082459751876198E-3</v>
      </c>
      <c r="W1335" s="28">
        <f t="shared" si="510"/>
        <v>2.1082459751876198E-3</v>
      </c>
      <c r="X1335" s="28">
        <f t="shared" si="510"/>
        <v>2.1082459751876198E-3</v>
      </c>
      <c r="Y1335" s="28">
        <f t="shared" si="510"/>
        <v>2.1082459751876198E-3</v>
      </c>
      <c r="Z1335" s="28">
        <f t="shared" si="510"/>
        <v>2.1082459751876198E-3</v>
      </c>
      <c r="AA1335" s="28">
        <f t="shared" si="510"/>
        <v>2.1082459751876198E-3</v>
      </c>
      <c r="AB1335" s="28">
        <f t="shared" si="510"/>
        <v>2.1082459751876198E-3</v>
      </c>
      <c r="AC1335" s="28">
        <f t="shared" si="510"/>
        <v>2.1082459751876198E-3</v>
      </c>
      <c r="AD1335" s="28">
        <f t="shared" si="510"/>
        <v>2.1082459751876198E-3</v>
      </c>
      <c r="AE1335" s="28">
        <f t="shared" si="510"/>
        <v>2.1082459751876198E-3</v>
      </c>
      <c r="AF1335" s="28">
        <f t="shared" si="510"/>
        <v>2.1082459751876198E-3</v>
      </c>
      <c r="AG1335" s="28">
        <f t="shared" si="510"/>
        <v>2.1082459751876198E-3</v>
      </c>
      <c r="AH1335" s="28">
        <f t="shared" si="510"/>
        <v>2.1082459751876198E-3</v>
      </c>
      <c r="AI1335" s="28">
        <f t="shared" si="510"/>
        <v>2.1082459751876198E-3</v>
      </c>
      <c r="AJ1335" s="28">
        <f t="shared" si="510"/>
        <v>2.1082459751876198E-3</v>
      </c>
      <c r="AK1335" s="28">
        <f t="shared" si="510"/>
        <v>2.1082459751876198E-3</v>
      </c>
      <c r="AL1335" s="28">
        <f t="shared" si="510"/>
        <v>2.1082459751876198E-3</v>
      </c>
      <c r="AM1335" s="28">
        <f t="shared" si="510"/>
        <v>2.1082459751876198E-3</v>
      </c>
      <c r="AN1335" s="28">
        <f t="shared" si="510"/>
        <v>2.1082459751876198E-3</v>
      </c>
      <c r="AO1335" s="28">
        <f t="shared" si="510"/>
        <v>2.1082459751876198E-3</v>
      </c>
      <c r="AP1335" s="28">
        <f t="shared" si="510"/>
        <v>2.1082459751876198E-3</v>
      </c>
      <c r="AQ1335" s="28">
        <f t="shared" si="510"/>
        <v>2.1082459751876198E-3</v>
      </c>
      <c r="AR1335" s="28">
        <f t="shared" si="510"/>
        <v>2.1082459751876198E-3</v>
      </c>
      <c r="AS1335" s="28">
        <f t="shared" si="510"/>
        <v>2.1082459751876198E-3</v>
      </c>
      <c r="AT1335" s="28">
        <f t="shared" si="510"/>
        <v>2.1082459751876198E-3</v>
      </c>
      <c r="AU1335" s="28">
        <f t="shared" si="510"/>
        <v>2.1082459751876198E-3</v>
      </c>
      <c r="AV1335" s="28">
        <f t="shared" si="510"/>
        <v>2.1082459751876198E-3</v>
      </c>
      <c r="AW1335" s="28">
        <f t="shared" si="510"/>
        <v>2.1082459751876198E-3</v>
      </c>
      <c r="AY1335" s="85"/>
      <c r="AZ1335" s="85"/>
    </row>
    <row r="1336" spans="1:52" x14ac:dyDescent="0.25">
      <c r="A1336" s="102" t="str">
        <f t="shared" si="384"/>
        <v>FSFAGSPQNIBDDSCM Leaching</v>
      </c>
      <c r="B1336" s="102" t="s">
        <v>1376</v>
      </c>
      <c r="C1336" s="102" t="s">
        <v>1191</v>
      </c>
      <c r="D1336" t="s">
        <v>369</v>
      </c>
      <c r="E1336" t="s">
        <v>61</v>
      </c>
      <c r="F1336" t="s">
        <v>63</v>
      </c>
      <c r="G1336" t="s">
        <v>1214</v>
      </c>
      <c r="H1336" t="s">
        <v>1215</v>
      </c>
      <c r="I1336" t="s">
        <v>139</v>
      </c>
      <c r="J1336" t="s">
        <v>287</v>
      </c>
      <c r="K1336" s="28">
        <f t="shared" ref="K1336:AW1336" si="511">IFERROR(K1529-((K1529-K120)+(K1529-K273)+(K1529-K426)+(K1529-K578)+(K1529-K730)+(K1529-K881)+(K1529-K1032)+(K1529-K1183)),0)</f>
        <v>0</v>
      </c>
      <c r="L1336" s="28">
        <f t="shared" si="511"/>
        <v>0</v>
      </c>
      <c r="M1336" s="28">
        <f t="shared" si="511"/>
        <v>0</v>
      </c>
      <c r="N1336" s="28">
        <f t="shared" si="511"/>
        <v>0</v>
      </c>
      <c r="O1336" s="28">
        <f t="shared" si="511"/>
        <v>0</v>
      </c>
      <c r="P1336" s="28">
        <f t="shared" si="511"/>
        <v>0</v>
      </c>
      <c r="Q1336" s="28">
        <f t="shared" si="511"/>
        <v>0</v>
      </c>
      <c r="R1336" s="28">
        <f t="shared" si="511"/>
        <v>0</v>
      </c>
      <c r="S1336" s="28">
        <f t="shared" si="511"/>
        <v>0</v>
      </c>
      <c r="T1336" s="28">
        <f t="shared" si="511"/>
        <v>0</v>
      </c>
      <c r="U1336" s="28">
        <f t="shared" si="511"/>
        <v>0</v>
      </c>
      <c r="V1336" s="28">
        <f t="shared" si="511"/>
        <v>0</v>
      </c>
      <c r="W1336" s="28">
        <f t="shared" si="511"/>
        <v>0</v>
      </c>
      <c r="X1336" s="28">
        <f t="shared" si="511"/>
        <v>0</v>
      </c>
      <c r="Y1336" s="28">
        <f t="shared" si="511"/>
        <v>0</v>
      </c>
      <c r="Z1336" s="28">
        <f t="shared" si="511"/>
        <v>0</v>
      </c>
      <c r="AA1336" s="28">
        <f t="shared" si="511"/>
        <v>0</v>
      </c>
      <c r="AB1336" s="28">
        <f t="shared" si="511"/>
        <v>0</v>
      </c>
      <c r="AC1336" s="28">
        <f t="shared" si="511"/>
        <v>0</v>
      </c>
      <c r="AD1336" s="28">
        <f t="shared" si="511"/>
        <v>0</v>
      </c>
      <c r="AE1336" s="28">
        <f t="shared" si="511"/>
        <v>0</v>
      </c>
      <c r="AF1336" s="28">
        <f t="shared" si="511"/>
        <v>0</v>
      </c>
      <c r="AG1336" s="28">
        <f t="shared" si="511"/>
        <v>0</v>
      </c>
      <c r="AH1336" s="28">
        <f t="shared" si="511"/>
        <v>0</v>
      </c>
      <c r="AI1336" s="28">
        <f t="shared" si="511"/>
        <v>0</v>
      </c>
      <c r="AJ1336" s="28">
        <f t="shared" si="511"/>
        <v>0</v>
      </c>
      <c r="AK1336" s="28">
        <f t="shared" si="511"/>
        <v>0</v>
      </c>
      <c r="AL1336" s="28">
        <f t="shared" si="511"/>
        <v>0</v>
      </c>
      <c r="AM1336" s="28">
        <f t="shared" si="511"/>
        <v>0</v>
      </c>
      <c r="AN1336" s="28">
        <f t="shared" si="511"/>
        <v>0</v>
      </c>
      <c r="AO1336" s="28">
        <f t="shared" si="511"/>
        <v>0</v>
      </c>
      <c r="AP1336" s="28">
        <f t="shared" si="511"/>
        <v>0</v>
      </c>
      <c r="AQ1336" s="28">
        <f t="shared" si="511"/>
        <v>0</v>
      </c>
      <c r="AR1336" s="28">
        <f t="shared" si="511"/>
        <v>0</v>
      </c>
      <c r="AS1336" s="28">
        <f t="shared" si="511"/>
        <v>0</v>
      </c>
      <c r="AT1336" s="28">
        <f t="shared" si="511"/>
        <v>0</v>
      </c>
      <c r="AU1336" s="28">
        <f t="shared" si="511"/>
        <v>0</v>
      </c>
      <c r="AV1336" s="28">
        <f t="shared" si="511"/>
        <v>0</v>
      </c>
      <c r="AW1336" s="28">
        <f t="shared" si="511"/>
        <v>0</v>
      </c>
      <c r="AY1336" s="85"/>
      <c r="AZ1336" s="85"/>
    </row>
    <row r="1337" spans="1:52" x14ac:dyDescent="0.25">
      <c r="A1337" s="102"/>
      <c r="B1337" s="102" t="s">
        <v>1376</v>
      </c>
      <c r="C1337" s="102"/>
      <c r="D1337" t="s">
        <v>369</v>
      </c>
      <c r="E1337" t="s">
        <v>61</v>
      </c>
      <c r="F1337" t="s">
        <v>63</v>
      </c>
      <c r="G1337" t="s">
        <v>1216</v>
      </c>
      <c r="H1337" t="s">
        <v>1217</v>
      </c>
      <c r="I1337" t="s">
        <v>139</v>
      </c>
      <c r="J1337" t="s">
        <v>287</v>
      </c>
      <c r="K1337" s="28">
        <f t="shared" ref="K1337:AW1337" si="512">IFERROR(K1530-((K1530-K121)+(K1530-K274)+(K1530-K427)+(K1530-K579)+(K1530-K731)+(K1530-K882)+(K1530-K1033)+(K1530-K1184)),0)</f>
        <v>0.11026792439175388</v>
      </c>
      <c r="L1337" s="28">
        <f t="shared" si="512"/>
        <v>0.11026792439175388</v>
      </c>
      <c r="M1337" s="28">
        <f t="shared" si="512"/>
        <v>0.11026792439175388</v>
      </c>
      <c r="N1337" s="28">
        <f t="shared" si="512"/>
        <v>0.11026792439175388</v>
      </c>
      <c r="O1337" s="28">
        <f t="shared" si="512"/>
        <v>0.11026792439175388</v>
      </c>
      <c r="P1337" s="28">
        <f t="shared" si="512"/>
        <v>0.11026792439175388</v>
      </c>
      <c r="Q1337" s="28">
        <f t="shared" si="512"/>
        <v>0.11026792439175388</v>
      </c>
      <c r="R1337" s="28">
        <f t="shared" si="512"/>
        <v>0.11026792439175388</v>
      </c>
      <c r="S1337" s="28">
        <f t="shared" si="512"/>
        <v>0.11026792439175388</v>
      </c>
      <c r="T1337" s="28">
        <f t="shared" si="512"/>
        <v>0.11026792439175388</v>
      </c>
      <c r="U1337" s="28">
        <f t="shared" si="512"/>
        <v>0.11026792439175388</v>
      </c>
      <c r="V1337" s="28">
        <f t="shared" si="512"/>
        <v>0.11026792439175388</v>
      </c>
      <c r="W1337" s="28">
        <f t="shared" si="512"/>
        <v>0.11026792439175388</v>
      </c>
      <c r="X1337" s="28">
        <f t="shared" si="512"/>
        <v>0.11026792439175388</v>
      </c>
      <c r="Y1337" s="28">
        <f t="shared" si="512"/>
        <v>0.11026792439175388</v>
      </c>
      <c r="Z1337" s="28">
        <f t="shared" si="512"/>
        <v>0.11026792439175388</v>
      </c>
      <c r="AA1337" s="28">
        <f t="shared" si="512"/>
        <v>0.11026792439175388</v>
      </c>
      <c r="AB1337" s="28">
        <f t="shared" si="512"/>
        <v>0.11026792439175388</v>
      </c>
      <c r="AC1337" s="28">
        <f t="shared" si="512"/>
        <v>0.11026792439175388</v>
      </c>
      <c r="AD1337" s="28">
        <f t="shared" si="512"/>
        <v>0.11026792439175388</v>
      </c>
      <c r="AE1337" s="28">
        <f t="shared" si="512"/>
        <v>0.11026792439175388</v>
      </c>
      <c r="AF1337" s="28">
        <f t="shared" si="512"/>
        <v>0.11026792439175388</v>
      </c>
      <c r="AG1337" s="28">
        <f t="shared" si="512"/>
        <v>0.11026792439175388</v>
      </c>
      <c r="AH1337" s="28">
        <f t="shared" si="512"/>
        <v>0.11026792439175388</v>
      </c>
      <c r="AI1337" s="28">
        <f t="shared" si="512"/>
        <v>0.11026792439175388</v>
      </c>
      <c r="AJ1337" s="28">
        <f t="shared" si="512"/>
        <v>0.11026792439175388</v>
      </c>
      <c r="AK1337" s="28">
        <f t="shared" si="512"/>
        <v>0.11026792439175388</v>
      </c>
      <c r="AL1337" s="28">
        <f t="shared" si="512"/>
        <v>0.11026792439175388</v>
      </c>
      <c r="AM1337" s="28">
        <f t="shared" si="512"/>
        <v>0.11026792439175388</v>
      </c>
      <c r="AN1337" s="28">
        <f t="shared" si="512"/>
        <v>0.11026792439175388</v>
      </c>
      <c r="AO1337" s="28">
        <f t="shared" si="512"/>
        <v>0.11026792439175388</v>
      </c>
      <c r="AP1337" s="28">
        <f t="shared" si="512"/>
        <v>0.11026792439175388</v>
      </c>
      <c r="AQ1337" s="28">
        <f t="shared" si="512"/>
        <v>0.11026792439175388</v>
      </c>
      <c r="AR1337" s="28">
        <f t="shared" si="512"/>
        <v>0.11026792439175388</v>
      </c>
      <c r="AS1337" s="28">
        <f t="shared" si="512"/>
        <v>0.11026792439175388</v>
      </c>
      <c r="AT1337" s="28">
        <f t="shared" si="512"/>
        <v>0.11026792439175388</v>
      </c>
      <c r="AU1337" s="28">
        <f t="shared" si="512"/>
        <v>0.11026792439175388</v>
      </c>
      <c r="AV1337" s="28">
        <f t="shared" si="512"/>
        <v>0.11026792439175388</v>
      </c>
      <c r="AW1337" s="28">
        <f t="shared" si="512"/>
        <v>0.11026792439175388</v>
      </c>
      <c r="AY1337" s="85"/>
      <c r="AZ1337" s="85"/>
    </row>
    <row r="1338" spans="1:52" x14ac:dyDescent="0.25">
      <c r="A1338" s="102" t="str">
        <f t="shared" si="384"/>
        <v>FSFAGSPQNIBDDSCM MM Volatilisation</v>
      </c>
      <c r="B1338" s="102" t="s">
        <v>1376</v>
      </c>
      <c r="C1338" s="102" t="s">
        <v>1333</v>
      </c>
      <c r="D1338" t="s">
        <v>369</v>
      </c>
      <c r="E1338" t="s">
        <v>64</v>
      </c>
      <c r="F1338" t="s">
        <v>62</v>
      </c>
      <c r="G1338" t="s">
        <v>1153</v>
      </c>
      <c r="H1338" t="s">
        <v>1291</v>
      </c>
      <c r="I1338" t="s">
        <v>139</v>
      </c>
      <c r="J1338" t="s">
        <v>287</v>
      </c>
      <c r="K1338" s="28">
        <f t="shared" ref="K1338:AW1338" si="513">IFERROR(K1531-((K1531-K122)+(K1531-K275)+(K1531-K428)+(K1531-K580)+(K1531-K732)+(K1531-K883)+(K1531-K1034)+(K1531-K1185)),0)</f>
        <v>0.39681521114916435</v>
      </c>
      <c r="L1338" s="28">
        <f t="shared" si="513"/>
        <v>0.39928346869815806</v>
      </c>
      <c r="M1338" s="28">
        <f t="shared" si="513"/>
        <v>0.4009804297645459</v>
      </c>
      <c r="N1338" s="28">
        <f t="shared" si="513"/>
        <v>0.40151262173495006</v>
      </c>
      <c r="O1338" s="28">
        <f t="shared" si="513"/>
        <v>0.40223259805813538</v>
      </c>
      <c r="P1338" s="28">
        <f t="shared" si="513"/>
        <v>0.40380961974030649</v>
      </c>
      <c r="Q1338" s="28">
        <f t="shared" si="513"/>
        <v>0.40570030877561336</v>
      </c>
      <c r="R1338" s="28">
        <f t="shared" si="513"/>
        <v>0.4062682914839757</v>
      </c>
      <c r="S1338" s="28">
        <f t="shared" si="513"/>
        <v>0.39379594618948027</v>
      </c>
      <c r="T1338" s="28">
        <f t="shared" si="513"/>
        <v>0.39703951074089222</v>
      </c>
      <c r="U1338" s="28">
        <f t="shared" si="513"/>
        <v>0.40001376732014149</v>
      </c>
      <c r="V1338" s="28">
        <f t="shared" si="513"/>
        <v>0.4030633713994573</v>
      </c>
      <c r="W1338" s="28">
        <f t="shared" si="513"/>
        <v>0.40673703435821862</v>
      </c>
      <c r="X1338" s="28">
        <f t="shared" si="513"/>
        <v>0.41047963139436411</v>
      </c>
      <c r="Y1338" s="28">
        <f t="shared" si="513"/>
        <v>0.41412386702749909</v>
      </c>
      <c r="Z1338" s="28">
        <f t="shared" si="513"/>
        <v>0.41769519693164076</v>
      </c>
      <c r="AA1338" s="28">
        <f t="shared" si="513"/>
        <v>0.42154191092161625</v>
      </c>
      <c r="AB1338" s="28">
        <f t="shared" si="513"/>
        <v>0.42518467345636607</v>
      </c>
      <c r="AC1338" s="28">
        <f t="shared" si="513"/>
        <v>0.42895809934446105</v>
      </c>
      <c r="AD1338" s="28">
        <f t="shared" si="513"/>
        <v>0.43329342136251764</v>
      </c>
      <c r="AE1338" s="28">
        <f t="shared" si="513"/>
        <v>0.43801504276628445</v>
      </c>
      <c r="AF1338" s="28">
        <f t="shared" si="513"/>
        <v>0.44292407628311159</v>
      </c>
      <c r="AG1338" s="28">
        <f t="shared" si="513"/>
        <v>0.44360979324480354</v>
      </c>
      <c r="AH1338" s="28">
        <f t="shared" si="513"/>
        <v>0.23750435523455551</v>
      </c>
      <c r="AI1338" s="28">
        <f t="shared" si="513"/>
        <v>0.23767903823802267</v>
      </c>
      <c r="AJ1338" s="28">
        <f t="shared" si="513"/>
        <v>0.23787666796336571</v>
      </c>
      <c r="AK1338" s="28">
        <f t="shared" si="513"/>
        <v>0.23809637221397845</v>
      </c>
      <c r="AL1338" s="28">
        <f t="shared" si="513"/>
        <v>0.2383373459663993</v>
      </c>
      <c r="AM1338" s="28">
        <f t="shared" si="513"/>
        <v>0.23859884500343068</v>
      </c>
      <c r="AN1338" s="28">
        <f t="shared" si="513"/>
        <v>0.23871142815197754</v>
      </c>
      <c r="AO1338" s="28">
        <f t="shared" si="513"/>
        <v>0.23884208664335624</v>
      </c>
      <c r="AP1338" s="28">
        <f t="shared" si="513"/>
        <v>0.23899018916140971</v>
      </c>
      <c r="AQ1338" s="28">
        <f t="shared" si="513"/>
        <v>0.2391551474689631</v>
      </c>
      <c r="AR1338" s="28">
        <f t="shared" si="513"/>
        <v>0.23933641275222764</v>
      </c>
      <c r="AS1338" s="28">
        <f t="shared" si="513"/>
        <v>0.23936290185366965</v>
      </c>
      <c r="AT1338" s="28">
        <f t="shared" si="513"/>
        <v>0.23940384749309143</v>
      </c>
      <c r="AU1338" s="28">
        <f t="shared" si="513"/>
        <v>0.23945877050598915</v>
      </c>
      <c r="AV1338" s="28">
        <f t="shared" si="513"/>
        <v>0.23952722091813589</v>
      </c>
      <c r="AW1338" s="28">
        <f t="shared" si="513"/>
        <v>0.23960877570322184</v>
      </c>
      <c r="AY1338" s="85"/>
      <c r="AZ1338" s="85"/>
    </row>
    <row r="1339" spans="1:52" x14ac:dyDescent="0.25">
      <c r="A1339" s="102" t="str">
        <f t="shared" ref="A1339:A1369" si="514">B1339&amp;" "&amp;C1339</f>
        <v>FSFAGSPQNIBDDSCM MM Volatilisation</v>
      </c>
      <c r="B1339" s="102" t="s">
        <v>1376</v>
      </c>
      <c r="C1339" s="102" t="s">
        <v>1333</v>
      </c>
      <c r="D1339" t="s">
        <v>369</v>
      </c>
      <c r="E1339" t="s">
        <v>64</v>
      </c>
      <c r="F1339" t="s">
        <v>62</v>
      </c>
      <c r="G1339" t="s">
        <v>1155</v>
      </c>
      <c r="H1339" t="s">
        <v>1292</v>
      </c>
      <c r="I1339" t="s">
        <v>139</v>
      </c>
      <c r="J1339" t="s">
        <v>287</v>
      </c>
      <c r="K1339" s="28">
        <f t="shared" ref="K1339:AW1339" si="515">IFERROR(K1532-((K1532-K123)+(K1532-K276)+(K1532-K429)+(K1532-K581)+(K1532-K733)+(K1532-K884)+(K1532-K1035)+(K1532-K1186)),0)</f>
        <v>3.1306447478246062E-2</v>
      </c>
      <c r="L1339" s="28">
        <f t="shared" si="515"/>
        <v>3.1501178862399851E-2</v>
      </c>
      <c r="M1339" s="28">
        <f t="shared" si="515"/>
        <v>3.163505937152563E-2</v>
      </c>
      <c r="N1339" s="28">
        <f t="shared" si="515"/>
        <v>3.167704626996521E-2</v>
      </c>
      <c r="O1339" s="28">
        <f t="shared" si="515"/>
        <v>3.1733848278341123E-2</v>
      </c>
      <c r="P1339" s="28">
        <f t="shared" si="515"/>
        <v>3.1858266256981516E-2</v>
      </c>
      <c r="Q1339" s="28">
        <f t="shared" si="515"/>
        <v>3.2007430793315993E-2</v>
      </c>
      <c r="R1339" s="28">
        <f t="shared" si="515"/>
        <v>3.2052241375996028E-2</v>
      </c>
      <c r="S1339" s="28">
        <f t="shared" si="515"/>
        <v>3.1068244765175855E-2</v>
      </c>
      <c r="T1339" s="28">
        <f t="shared" si="515"/>
        <v>3.1324143431401406E-2</v>
      </c>
      <c r="U1339" s="28">
        <f t="shared" si="515"/>
        <v>3.1558795241031987E-2</v>
      </c>
      <c r="V1339" s="28">
        <f t="shared" si="515"/>
        <v>3.1799391536879773E-2</v>
      </c>
      <c r="W1339" s="28">
        <f t="shared" si="515"/>
        <v>3.2089222504140757E-2</v>
      </c>
      <c r="X1339" s="28">
        <f t="shared" si="515"/>
        <v>3.2384491975300946E-2</v>
      </c>
      <c r="Y1339" s="28">
        <f t="shared" si="515"/>
        <v>3.2672001295109276E-2</v>
      </c>
      <c r="Z1339" s="28">
        <f t="shared" si="515"/>
        <v>3.2953758770453305E-2</v>
      </c>
      <c r="AA1339" s="28">
        <f t="shared" si="515"/>
        <v>3.3257242472961211E-2</v>
      </c>
      <c r="AB1339" s="28">
        <f t="shared" si="515"/>
        <v>3.3544635573743833E-2</v>
      </c>
      <c r="AC1339" s="28">
        <f t="shared" si="515"/>
        <v>3.3842337264756606E-2</v>
      </c>
      <c r="AD1339" s="28">
        <f t="shared" si="515"/>
        <v>3.4184369342273299E-2</v>
      </c>
      <c r="AE1339" s="28">
        <f t="shared" si="515"/>
        <v>3.4556878228868437E-2</v>
      </c>
      <c r="AF1339" s="28">
        <f t="shared" si="515"/>
        <v>3.494417285781784E-2</v>
      </c>
      <c r="AG1339" s="28">
        <f t="shared" si="515"/>
        <v>3.4998271998785704E-2</v>
      </c>
      <c r="AH1339" s="28">
        <f t="shared" si="515"/>
        <v>1.873773336831663E-2</v>
      </c>
      <c r="AI1339" s="28">
        <f t="shared" si="515"/>
        <v>1.8751514856827491E-2</v>
      </c>
      <c r="AJ1339" s="28">
        <f t="shared" si="515"/>
        <v>1.8767106710271497E-2</v>
      </c>
      <c r="AK1339" s="28">
        <f t="shared" si="515"/>
        <v>1.8784440117331772E-2</v>
      </c>
      <c r="AL1339" s="28">
        <f t="shared" si="515"/>
        <v>1.8803451566267792E-2</v>
      </c>
      <c r="AM1339" s="28">
        <f t="shared" si="515"/>
        <v>1.882408234260504E-2</v>
      </c>
      <c r="AN1339" s="28">
        <f t="shared" si="515"/>
        <v>1.883296450822745E-2</v>
      </c>
      <c r="AO1339" s="28">
        <f t="shared" si="515"/>
        <v>1.8843272714876302E-2</v>
      </c>
      <c r="AP1339" s="28">
        <f t="shared" si="515"/>
        <v>1.8854957155322545E-2</v>
      </c>
      <c r="AQ1339" s="28">
        <f t="shared" si="515"/>
        <v>1.8867971421022103E-2</v>
      </c>
      <c r="AR1339" s="28">
        <f t="shared" si="515"/>
        <v>1.8882272213710256E-2</v>
      </c>
      <c r="AS1339" s="28">
        <f t="shared" si="515"/>
        <v>1.888436205210289E-2</v>
      </c>
      <c r="AT1339" s="28">
        <f t="shared" si="515"/>
        <v>1.8887592428545139E-2</v>
      </c>
      <c r="AU1339" s="28">
        <f t="shared" si="515"/>
        <v>1.8891925539701964E-2</v>
      </c>
      <c r="AV1339" s="28">
        <f t="shared" si="515"/>
        <v>1.8897325885184005E-2</v>
      </c>
      <c r="AW1339" s="28">
        <f t="shared" si="515"/>
        <v>1.8903760090638235E-2</v>
      </c>
      <c r="AY1339" s="85"/>
      <c r="AZ1339" s="85"/>
    </row>
    <row r="1340" spans="1:52" x14ac:dyDescent="0.25">
      <c r="A1340" s="102" t="str">
        <f t="shared" si="514"/>
        <v>FSFAGSPQNIBDDSCM MM Volatilisation</v>
      </c>
      <c r="B1340" s="102" t="s">
        <v>1376</v>
      </c>
      <c r="C1340" s="102" t="s">
        <v>1333</v>
      </c>
      <c r="D1340" t="s">
        <v>369</v>
      </c>
      <c r="E1340" t="s">
        <v>64</v>
      </c>
      <c r="F1340" t="s">
        <v>62</v>
      </c>
      <c r="G1340" t="s">
        <v>1157</v>
      </c>
      <c r="H1340" t="s">
        <v>1293</v>
      </c>
      <c r="I1340" t="s">
        <v>139</v>
      </c>
      <c r="J1340" t="s">
        <v>287</v>
      </c>
      <c r="K1340" s="28">
        <f t="shared" ref="K1340:AW1340" si="516">IFERROR(K1533-((K1533-K124)+(K1533-K277)+(K1533-K430)+(K1533-K582)+(K1533-K734)+(K1533-K885)+(K1533-K1036)+(K1533-K1187)),0)</f>
        <v>2.9019834302377478E-4</v>
      </c>
      <c r="L1340" s="28">
        <f t="shared" si="516"/>
        <v>2.9200342566866507E-4</v>
      </c>
      <c r="M1340" s="28">
        <f t="shared" si="516"/>
        <v>2.9324444485292345E-4</v>
      </c>
      <c r="N1340" s="28">
        <f t="shared" si="516"/>
        <v>2.9363364673743434E-4</v>
      </c>
      <c r="O1340" s="28">
        <f t="shared" si="516"/>
        <v>2.9416017881114109E-4</v>
      </c>
      <c r="P1340" s="28">
        <f t="shared" si="516"/>
        <v>2.9531348409334853E-4</v>
      </c>
      <c r="Q1340" s="28">
        <f t="shared" si="516"/>
        <v>2.9669618014381078E-4</v>
      </c>
      <c r="R1340" s="28">
        <f t="shared" si="516"/>
        <v>2.971115564605491E-4</v>
      </c>
      <c r="S1340" s="28">
        <f t="shared" si="516"/>
        <v>2.879902984130032E-4</v>
      </c>
      <c r="T1340" s="28">
        <f t="shared" si="516"/>
        <v>2.9036237748624366E-4</v>
      </c>
      <c r="U1340" s="28">
        <f t="shared" si="516"/>
        <v>2.9253750663143477E-4</v>
      </c>
      <c r="V1340" s="28">
        <f t="shared" si="516"/>
        <v>2.9476773880457414E-4</v>
      </c>
      <c r="W1340" s="28">
        <f t="shared" si="516"/>
        <v>2.9745435684114832E-4</v>
      </c>
      <c r="X1340" s="28">
        <f t="shared" si="516"/>
        <v>3.0019138765040044E-4</v>
      </c>
      <c r="Y1340" s="28">
        <f t="shared" si="516"/>
        <v>3.0285648493651841E-4</v>
      </c>
      <c r="Z1340" s="28">
        <f t="shared" si="516"/>
        <v>3.0546826490728061E-4</v>
      </c>
      <c r="AA1340" s="28">
        <f t="shared" si="516"/>
        <v>3.0828143838101019E-4</v>
      </c>
      <c r="AB1340" s="28">
        <f t="shared" si="516"/>
        <v>3.1094545836288565E-4</v>
      </c>
      <c r="AC1340" s="28">
        <f t="shared" si="516"/>
        <v>3.1370503488485662E-4</v>
      </c>
      <c r="AD1340" s="28">
        <f t="shared" si="516"/>
        <v>3.1687553649559658E-4</v>
      </c>
      <c r="AE1340" s="28">
        <f t="shared" si="516"/>
        <v>3.2032854603066614E-4</v>
      </c>
      <c r="AF1340" s="28">
        <f t="shared" si="516"/>
        <v>3.2391861352910146E-4</v>
      </c>
      <c r="AG1340" s="28">
        <f t="shared" si="516"/>
        <v>3.2442009109466666E-4</v>
      </c>
      <c r="AH1340" s="28">
        <f t="shared" si="516"/>
        <v>1.7369135157495116E-4</v>
      </c>
      <c r="AI1340" s="28">
        <f t="shared" si="516"/>
        <v>1.7381910050376308E-4</v>
      </c>
      <c r="AJ1340" s="28">
        <f t="shared" si="516"/>
        <v>1.7396363079699625E-4</v>
      </c>
      <c r="AK1340" s="28">
        <f t="shared" si="516"/>
        <v>1.7412430460105353E-4</v>
      </c>
      <c r="AL1340" s="28">
        <f t="shared" si="516"/>
        <v>1.7430053318730711E-4</v>
      </c>
      <c r="AM1340" s="28">
        <f t="shared" si="516"/>
        <v>1.7449177229588125E-4</v>
      </c>
      <c r="AN1340" s="28">
        <f t="shared" si="516"/>
        <v>1.7457410644599133E-4</v>
      </c>
      <c r="AO1340" s="28">
        <f t="shared" si="516"/>
        <v>1.7466965943044039E-4</v>
      </c>
      <c r="AP1340" s="28">
        <f t="shared" si="516"/>
        <v>1.7477796955598287E-4</v>
      </c>
      <c r="AQ1340" s="28">
        <f t="shared" si="516"/>
        <v>1.7489860663383425E-4</v>
      </c>
      <c r="AR1340" s="28">
        <f t="shared" si="516"/>
        <v>1.7503116930626492E-4</v>
      </c>
      <c r="AS1340" s="28">
        <f t="shared" si="516"/>
        <v>1.7505054127873651E-4</v>
      </c>
      <c r="AT1340" s="28">
        <f t="shared" si="516"/>
        <v>1.7508048558626403E-4</v>
      </c>
      <c r="AU1340" s="28">
        <f t="shared" si="516"/>
        <v>1.7512065180693548E-4</v>
      </c>
      <c r="AV1340" s="28">
        <f t="shared" si="516"/>
        <v>1.7517071086623097E-4</v>
      </c>
      <c r="AW1340" s="28">
        <f t="shared" si="516"/>
        <v>1.752303533971437E-4</v>
      </c>
      <c r="AY1340" s="85"/>
      <c r="AZ1340" s="85"/>
    </row>
    <row r="1341" spans="1:52" x14ac:dyDescent="0.25">
      <c r="A1341" s="102" t="str">
        <f t="shared" si="514"/>
        <v>FSFAGSPQNIBDDSCM MM Volatilisation</v>
      </c>
      <c r="B1341" s="102" t="s">
        <v>1376</v>
      </c>
      <c r="C1341" s="102" t="s">
        <v>1333</v>
      </c>
      <c r="D1341" t="s">
        <v>369</v>
      </c>
      <c r="E1341" t="s">
        <v>64</v>
      </c>
      <c r="F1341" t="s">
        <v>62</v>
      </c>
      <c r="G1341" t="s">
        <v>1159</v>
      </c>
      <c r="H1341" t="s">
        <v>1294</v>
      </c>
      <c r="I1341" t="s">
        <v>139</v>
      </c>
      <c r="J1341" t="s">
        <v>287</v>
      </c>
      <c r="K1341" s="28">
        <f t="shared" ref="K1341:AW1341" si="517">IFERROR(K1534-((K1534-K125)+(K1534-K278)+(K1534-K431)+(K1534-K583)+(K1534-K735)+(K1534-K886)+(K1534-K1037)+(K1534-K1188)),0)</f>
        <v>3.2608020345335862E-3</v>
      </c>
      <c r="L1341" s="28">
        <f t="shared" si="517"/>
        <v>3.2391880107785257E-3</v>
      </c>
      <c r="M1341" s="28">
        <f t="shared" si="517"/>
        <v>3.1936162901030117E-3</v>
      </c>
      <c r="N1341" s="28">
        <f t="shared" si="517"/>
        <v>3.1167988395678259E-3</v>
      </c>
      <c r="O1341" s="28">
        <f t="shared" si="517"/>
        <v>3.0422686858160779E-3</v>
      </c>
      <c r="P1341" s="28">
        <f t="shared" si="517"/>
        <v>2.9849445368563851E-3</v>
      </c>
      <c r="Q1341" s="28">
        <f t="shared" si="517"/>
        <v>2.9330944027971869E-3</v>
      </c>
      <c r="R1341" s="28">
        <f t="shared" si="517"/>
        <v>2.8515726706301167E-3</v>
      </c>
      <c r="S1341" s="28">
        <f t="shared" si="517"/>
        <v>2.5010020765287512E-3</v>
      </c>
      <c r="T1341" s="28">
        <f t="shared" si="517"/>
        <v>2.5248406363190491E-3</v>
      </c>
      <c r="U1341" s="28">
        <f t="shared" si="517"/>
        <v>2.5409715409254918E-3</v>
      </c>
      <c r="V1341" s="28">
        <f t="shared" si="517"/>
        <v>2.5565777764954734E-3</v>
      </c>
      <c r="W1341" s="28">
        <f t="shared" si="517"/>
        <v>2.5823867364318034E-3</v>
      </c>
      <c r="X1341" s="28">
        <f t="shared" si="517"/>
        <v>2.6073450964004788E-3</v>
      </c>
      <c r="Y1341" s="28">
        <f t="shared" si="517"/>
        <v>2.6335476280108239E-3</v>
      </c>
      <c r="Z1341" s="28">
        <f t="shared" si="517"/>
        <v>2.6563592492195348E-3</v>
      </c>
      <c r="AA1341" s="28">
        <f t="shared" si="517"/>
        <v>2.6823219674710947E-3</v>
      </c>
      <c r="AB1341" s="28">
        <f t="shared" si="517"/>
        <v>2.7026386741679817E-3</v>
      </c>
      <c r="AC1341" s="28">
        <f t="shared" si="517"/>
        <v>2.7235128371703343E-3</v>
      </c>
      <c r="AD1341" s="28">
        <f t="shared" si="517"/>
        <v>2.7332352588004378E-3</v>
      </c>
      <c r="AE1341" s="28">
        <f t="shared" si="517"/>
        <v>2.7465666714111786E-3</v>
      </c>
      <c r="AF1341" s="28">
        <f t="shared" si="517"/>
        <v>2.7598466332323141E-3</v>
      </c>
      <c r="AG1341" s="28">
        <f t="shared" si="517"/>
        <v>2.7013158272562879E-3</v>
      </c>
      <c r="AH1341" s="28">
        <f t="shared" si="517"/>
        <v>-6.3720303992201288E-4</v>
      </c>
      <c r="AI1341" s="28">
        <f t="shared" si="517"/>
        <v>-6.2242214557858356E-4</v>
      </c>
      <c r="AJ1341" s="28">
        <f t="shared" si="517"/>
        <v>-6.0787631384089666E-4</v>
      </c>
      <c r="AK1341" s="28">
        <f t="shared" si="517"/>
        <v>-5.9355323338830307E-4</v>
      </c>
      <c r="AL1341" s="28">
        <f t="shared" si="517"/>
        <v>-5.7944144405540506E-4</v>
      </c>
      <c r="AM1341" s="28">
        <f t="shared" si="517"/>
        <v>-5.6553025796044789E-4</v>
      </c>
      <c r="AN1341" s="28">
        <f t="shared" si="517"/>
        <v>-5.5425143288870022E-4</v>
      </c>
      <c r="AO1341" s="28">
        <f t="shared" si="517"/>
        <v>-5.4314296084699478E-4</v>
      </c>
      <c r="AP1341" s="28">
        <f t="shared" si="517"/>
        <v>-5.3219712228052369E-4</v>
      </c>
      <c r="AQ1341" s="28">
        <f t="shared" si="517"/>
        <v>-5.2140667775092773E-4</v>
      </c>
      <c r="AR1341" s="28">
        <f t="shared" si="517"/>
        <v>-5.107648281267109E-4</v>
      </c>
      <c r="AS1341" s="28">
        <f t="shared" si="517"/>
        <v>-4.999251820077483E-4</v>
      </c>
      <c r="AT1341" s="28">
        <f t="shared" si="517"/>
        <v>-4.8923459484670278E-4</v>
      </c>
      <c r="AU1341" s="28">
        <f t="shared" si="517"/>
        <v>-4.7868720289580258E-4</v>
      </c>
      <c r="AV1341" s="28">
        <f t="shared" si="517"/>
        <v>-4.6827747185126305E-4</v>
      </c>
      <c r="AW1341" s="28">
        <f t="shared" si="517"/>
        <v>-4.5800017223486766E-4</v>
      </c>
      <c r="AY1341" s="85"/>
      <c r="AZ1341" s="85"/>
    </row>
    <row r="1342" spans="1:52" x14ac:dyDescent="0.25">
      <c r="A1342" s="102" t="str">
        <f t="shared" si="514"/>
        <v>FSFAGSPQNIBDDSCM MM Volatilisation</v>
      </c>
      <c r="B1342" s="102" t="s">
        <v>1376</v>
      </c>
      <c r="C1342" s="102" t="s">
        <v>1333</v>
      </c>
      <c r="D1342" t="s">
        <v>369</v>
      </c>
      <c r="E1342" t="s">
        <v>64</v>
      </c>
      <c r="F1342" t="s">
        <v>62</v>
      </c>
      <c r="G1342" t="s">
        <v>1161</v>
      </c>
      <c r="H1342" t="s">
        <v>1295</v>
      </c>
      <c r="I1342" t="s">
        <v>139</v>
      </c>
      <c r="J1342" t="s">
        <v>287</v>
      </c>
      <c r="K1342" s="28">
        <f t="shared" ref="K1342:AW1342" si="518">IFERROR(K1535-((K1535-K126)+(K1535-K279)+(K1535-K432)+(K1535-K584)+(K1535-K736)+(K1535-K887)+(K1535-K1038)+(K1535-K1189)),0)</f>
        <v>1.6232293381826982E-2</v>
      </c>
      <c r="L1342" s="28">
        <f t="shared" si="518"/>
        <v>1.612469863334539E-2</v>
      </c>
      <c r="M1342" s="28">
        <f t="shared" si="518"/>
        <v>1.5897842316376299E-2</v>
      </c>
      <c r="N1342" s="28">
        <f t="shared" si="518"/>
        <v>1.5515444556338871E-2</v>
      </c>
      <c r="O1342" s="28">
        <f t="shared" si="518"/>
        <v>1.5144432974317425E-2</v>
      </c>
      <c r="P1342" s="28">
        <f t="shared" si="518"/>
        <v>1.4859072994188992E-2</v>
      </c>
      <c r="Q1342" s="28">
        <f t="shared" si="518"/>
        <v>1.4600962695243356E-2</v>
      </c>
      <c r="R1342" s="28">
        <f t="shared" si="518"/>
        <v>1.4195146991156963E-2</v>
      </c>
      <c r="S1342" s="28">
        <f t="shared" si="518"/>
        <v>1.2450004331704253E-2</v>
      </c>
      <c r="T1342" s="28">
        <f t="shared" si="518"/>
        <v>1.2568672834795916E-2</v>
      </c>
      <c r="U1342" s="28">
        <f t="shared" si="518"/>
        <v>1.2648972581089315E-2</v>
      </c>
      <c r="V1342" s="28">
        <f t="shared" si="518"/>
        <v>1.2726660521563772E-2</v>
      </c>
      <c r="W1342" s="28">
        <f t="shared" si="518"/>
        <v>1.2855137689183753E-2</v>
      </c>
      <c r="X1342" s="28">
        <f t="shared" si="518"/>
        <v>1.297938056472487E-2</v>
      </c>
      <c r="Y1342" s="28">
        <f t="shared" si="518"/>
        <v>1.3109816934655115E-2</v>
      </c>
      <c r="Z1342" s="28">
        <f t="shared" si="518"/>
        <v>1.3223373330920015E-2</v>
      </c>
      <c r="AA1342" s="28">
        <f t="shared" si="518"/>
        <v>1.3352615908416542E-2</v>
      </c>
      <c r="AB1342" s="28">
        <f t="shared" si="518"/>
        <v>1.345375260428577E-2</v>
      </c>
      <c r="AC1342" s="28">
        <f t="shared" si="518"/>
        <v>1.3557664321208735E-2</v>
      </c>
      <c r="AD1342" s="28">
        <f t="shared" si="518"/>
        <v>1.3606062598261524E-2</v>
      </c>
      <c r="AE1342" s="28">
        <f t="shared" si="518"/>
        <v>1.3672426455496624E-2</v>
      </c>
      <c r="AF1342" s="28">
        <f t="shared" si="518"/>
        <v>1.3738534190372041E-2</v>
      </c>
      <c r="AG1342" s="28">
        <f t="shared" si="518"/>
        <v>1.3447167463899316E-2</v>
      </c>
      <c r="AH1342" s="28">
        <f t="shared" si="518"/>
        <v>-3.1720008078581774E-3</v>
      </c>
      <c r="AI1342" s="28">
        <f t="shared" si="518"/>
        <v>-3.098421421287828E-3</v>
      </c>
      <c r="AJ1342" s="28">
        <f t="shared" si="518"/>
        <v>-3.0260121778721673E-3</v>
      </c>
      <c r="AK1342" s="28">
        <f t="shared" si="518"/>
        <v>-2.9547117917782697E-3</v>
      </c>
      <c r="AL1342" s="28">
        <f t="shared" si="518"/>
        <v>-2.8844632142294947E-3</v>
      </c>
      <c r="AM1342" s="28">
        <f t="shared" si="518"/>
        <v>-2.8152132408821133E-3</v>
      </c>
      <c r="AN1342" s="28">
        <f t="shared" si="518"/>
        <v>-2.7590671775430979E-3</v>
      </c>
      <c r="AO1342" s="28">
        <f t="shared" si="518"/>
        <v>-2.7037691326770971E-3</v>
      </c>
      <c r="AP1342" s="28">
        <f t="shared" si="518"/>
        <v>-2.6492806782909082E-3</v>
      </c>
      <c r="AQ1342" s="28">
        <f t="shared" si="518"/>
        <v>-2.5955657764140799E-3</v>
      </c>
      <c r="AR1342" s="28">
        <f t="shared" si="518"/>
        <v>-2.5425905809265438E-3</v>
      </c>
      <c r="AS1342" s="28">
        <f t="shared" si="518"/>
        <v>-2.4886307532231877E-3</v>
      </c>
      <c r="AT1342" s="28">
        <f t="shared" si="518"/>
        <v>-2.4354129419656258E-3</v>
      </c>
      <c r="AU1342" s="28">
        <f t="shared" si="518"/>
        <v>-2.3829079573799484E-3</v>
      </c>
      <c r="AV1342" s="28">
        <f t="shared" si="518"/>
        <v>-2.3310882496665208E-3</v>
      </c>
      <c r="AW1342" s="28">
        <f t="shared" si="518"/>
        <v>-2.279927786449339E-3</v>
      </c>
      <c r="AY1342" s="85"/>
      <c r="AZ1342" s="85"/>
    </row>
    <row r="1343" spans="1:52" x14ac:dyDescent="0.25">
      <c r="A1343" s="102" t="str">
        <f t="shared" si="514"/>
        <v>FSFAGSPQNIBDDSCM MM Volatilisation</v>
      </c>
      <c r="B1343" s="102" t="s">
        <v>1376</v>
      </c>
      <c r="C1343" s="102" t="s">
        <v>1333</v>
      </c>
      <c r="D1343" t="s">
        <v>369</v>
      </c>
      <c r="E1343" t="s">
        <v>64</v>
      </c>
      <c r="F1343" t="s">
        <v>62</v>
      </c>
      <c r="G1343" t="s">
        <v>1163</v>
      </c>
      <c r="H1343" t="s">
        <v>1296</v>
      </c>
      <c r="I1343" t="s">
        <v>139</v>
      </c>
      <c r="J1343" t="s">
        <v>287</v>
      </c>
      <c r="K1343" s="28">
        <f t="shared" ref="K1343:AW1343" si="519">IFERROR(K1536-((K1536-K127)+(K1536-K280)+(K1536-K433)+(K1536-K585)+(K1536-K737)+(K1536-K888)+(K1536-K1039)+(K1536-K1190)),0)</f>
        <v>0.15922781806557695</v>
      </c>
      <c r="L1343" s="28">
        <f t="shared" si="519"/>
        <v>0.16489874459702494</v>
      </c>
      <c r="M1343" s="28">
        <f t="shared" si="519"/>
        <v>0.16939991585045727</v>
      </c>
      <c r="N1343" s="28">
        <f t="shared" si="519"/>
        <v>0.17218348693308003</v>
      </c>
      <c r="O1343" s="28">
        <f t="shared" si="519"/>
        <v>0.17497286890553645</v>
      </c>
      <c r="P1343" s="28">
        <f t="shared" si="519"/>
        <v>0.17867712216797899</v>
      </c>
      <c r="Q1343" s="28">
        <f t="shared" si="519"/>
        <v>0.18269010203222399</v>
      </c>
      <c r="R1343" s="28">
        <f t="shared" si="519"/>
        <v>0.18477850416218133</v>
      </c>
      <c r="S1343" s="28">
        <f t="shared" si="519"/>
        <v>0.16857906885266413</v>
      </c>
      <c r="T1343" s="28">
        <f t="shared" si="519"/>
        <v>0.17425287964090236</v>
      </c>
      <c r="U1343" s="28">
        <f t="shared" si="519"/>
        <v>0.17949945582313931</v>
      </c>
      <c r="V1343" s="28">
        <f t="shared" si="519"/>
        <v>0.18480458029183697</v>
      </c>
      <c r="W1343" s="28">
        <f t="shared" si="519"/>
        <v>0.19096302657670283</v>
      </c>
      <c r="X1343" s="28">
        <f t="shared" si="519"/>
        <v>0.19719436509402946</v>
      </c>
      <c r="Y1343" s="28">
        <f t="shared" si="519"/>
        <v>0.20366092227158905</v>
      </c>
      <c r="Z1343" s="28">
        <f t="shared" si="519"/>
        <v>0.21000736593010838</v>
      </c>
      <c r="AA1343" s="28">
        <f t="shared" si="519"/>
        <v>0.21674936909166895</v>
      </c>
      <c r="AB1343" s="28">
        <f t="shared" si="519"/>
        <v>0.22318188532765407</v>
      </c>
      <c r="AC1343" s="28">
        <f t="shared" si="519"/>
        <v>0.22980286680499964</v>
      </c>
      <c r="AD1343" s="28">
        <f t="shared" si="519"/>
        <v>0.2382309822629842</v>
      </c>
      <c r="AE1343" s="28">
        <f t="shared" si="519"/>
        <v>0.24730559399060587</v>
      </c>
      <c r="AF1343" s="28">
        <f t="shared" si="519"/>
        <v>0.25673647400031802</v>
      </c>
      <c r="AG1343" s="28">
        <f t="shared" si="519"/>
        <v>0.25964613908565431</v>
      </c>
      <c r="AH1343" s="28">
        <f t="shared" si="519"/>
        <v>-6.3291007360128299E-2</v>
      </c>
      <c r="AI1343" s="28">
        <f t="shared" si="519"/>
        <v>-6.3895366189305636E-2</v>
      </c>
      <c r="AJ1343" s="28">
        <f t="shared" si="519"/>
        <v>-6.4504638848078458E-2</v>
      </c>
      <c r="AK1343" s="28">
        <f t="shared" si="519"/>
        <v>-6.5118871838809281E-2</v>
      </c>
      <c r="AL1343" s="28">
        <f t="shared" si="519"/>
        <v>-6.5738112081384775E-2</v>
      </c>
      <c r="AM1343" s="28">
        <f t="shared" si="519"/>
        <v>-6.6362406916836855E-2</v>
      </c>
      <c r="AN1343" s="28">
        <f t="shared" si="519"/>
        <v>-6.6863409386316588E-2</v>
      </c>
      <c r="AO1343" s="28">
        <f t="shared" si="519"/>
        <v>-6.7367867762467962E-2</v>
      </c>
      <c r="AP1343" s="28">
        <f t="shared" si="519"/>
        <v>-6.7875809396751335E-2</v>
      </c>
      <c r="AQ1343" s="28">
        <f t="shared" si="519"/>
        <v>-6.8387261847069211E-2</v>
      </c>
      <c r="AR1343" s="28">
        <f t="shared" si="519"/>
        <v>-6.8902252879275511E-2</v>
      </c>
      <c r="AS1343" s="28">
        <f t="shared" si="519"/>
        <v>-6.9373629780267981E-2</v>
      </c>
      <c r="AT1343" s="28">
        <f t="shared" si="519"/>
        <v>-6.9847719512371606E-2</v>
      </c>
      <c r="AU1343" s="28">
        <f t="shared" si="519"/>
        <v>-7.0324540021641888E-2</v>
      </c>
      <c r="AV1343" s="28">
        <f t="shared" si="519"/>
        <v>-7.0804109366663218E-2</v>
      </c>
      <c r="AW1343" s="28">
        <f t="shared" si="519"/>
        <v>-7.1286445719229846E-2</v>
      </c>
      <c r="AY1343" s="85"/>
      <c r="AZ1343" s="85"/>
    </row>
    <row r="1344" spans="1:52" x14ac:dyDescent="0.25">
      <c r="A1344" s="102" t="str">
        <f t="shared" si="514"/>
        <v>FSFAGSPQNIBDDSCM MM Volatilisation</v>
      </c>
      <c r="B1344" s="102" t="s">
        <v>1376</v>
      </c>
      <c r="C1344" s="102" t="s">
        <v>1333</v>
      </c>
      <c r="D1344" t="s">
        <v>369</v>
      </c>
      <c r="E1344" t="s">
        <v>64</v>
      </c>
      <c r="F1344" t="s">
        <v>62</v>
      </c>
      <c r="G1344" t="s">
        <v>1165</v>
      </c>
      <c r="H1344" t="s">
        <v>1297</v>
      </c>
      <c r="I1344" t="s">
        <v>139</v>
      </c>
      <c r="J1344" t="s">
        <v>287</v>
      </c>
      <c r="K1344" s="28">
        <f t="shared" ref="K1344:AW1344" si="520">IFERROR(K1537-((K1537-K128)+(K1537-K281)+(K1537-K434)+(K1537-K586)+(K1537-K738)+(K1537-K889)+(K1537-K1040)+(K1537-K1191)),0)</f>
        <v>1.171858684484313E-4</v>
      </c>
      <c r="L1344" s="28">
        <f t="shared" si="520"/>
        <v>1.1724986264912743E-4</v>
      </c>
      <c r="M1344" s="28">
        <f t="shared" si="520"/>
        <v>1.1739315795736154E-4</v>
      </c>
      <c r="N1344" s="28">
        <f t="shared" si="520"/>
        <v>1.1760884747933323E-4</v>
      </c>
      <c r="O1344" s="28">
        <f t="shared" si="520"/>
        <v>1.1789981697079396E-4</v>
      </c>
      <c r="P1344" s="28">
        <f t="shared" si="520"/>
        <v>1.1826637517857024E-4</v>
      </c>
      <c r="Q1344" s="28">
        <f t="shared" si="520"/>
        <v>1.1867470616236446E-4</v>
      </c>
      <c r="R1344" s="28">
        <f t="shared" si="520"/>
        <v>1.1911724401941935E-4</v>
      </c>
      <c r="S1344" s="28">
        <f t="shared" si="520"/>
        <v>1.1953310214883348E-4</v>
      </c>
      <c r="T1344" s="28">
        <f t="shared" si="520"/>
        <v>1.197068141423074E-4</v>
      </c>
      <c r="U1344" s="28">
        <f t="shared" si="520"/>
        <v>1.199083856789491E-4</v>
      </c>
      <c r="V1344" s="28">
        <f t="shared" si="520"/>
        <v>1.201377754278402E-4</v>
      </c>
      <c r="W1344" s="28">
        <f t="shared" si="520"/>
        <v>1.2039617188423161E-4</v>
      </c>
      <c r="X1344" s="28">
        <f t="shared" si="520"/>
        <v>1.2067943256873451E-4</v>
      </c>
      <c r="Y1344" s="28">
        <f t="shared" si="520"/>
        <v>1.2085380112251055E-4</v>
      </c>
      <c r="Z1344" s="28">
        <f t="shared" si="520"/>
        <v>1.2104857439732012E-4</v>
      </c>
      <c r="AA1344" s="28">
        <f t="shared" si="520"/>
        <v>1.2126445921474039E-4</v>
      </c>
      <c r="AB1344" s="28">
        <f t="shared" si="520"/>
        <v>1.2149813863258011E-4</v>
      </c>
      <c r="AC1344" s="28">
        <f t="shared" si="520"/>
        <v>1.2175044819305052E-4</v>
      </c>
      <c r="AD1344" s="28">
        <f t="shared" si="520"/>
        <v>1.2191654827812353E-4</v>
      </c>
      <c r="AE1344" s="28">
        <f t="shared" si="520"/>
        <v>1.2210011953046386E-4</v>
      </c>
      <c r="AF1344" s="28">
        <f t="shared" si="520"/>
        <v>1.2229951100214118E-4</v>
      </c>
      <c r="AG1344" s="28">
        <f t="shared" si="520"/>
        <v>1.2249214859428272E-4</v>
      </c>
      <c r="AH1344" s="28">
        <f t="shared" si="520"/>
        <v>1.2166856520731395E-4</v>
      </c>
      <c r="AI1344" s="28">
        <f t="shared" si="520"/>
        <v>1.2178552707040833E-4</v>
      </c>
      <c r="AJ1344" s="28">
        <f t="shared" si="520"/>
        <v>1.2191459506568997E-4</v>
      </c>
      <c r="AK1344" s="28">
        <f t="shared" si="520"/>
        <v>1.220553118336419E-4</v>
      </c>
      <c r="AL1344" s="28">
        <f t="shared" si="520"/>
        <v>1.2220725536579073E-4</v>
      </c>
      <c r="AM1344" s="28">
        <f t="shared" si="520"/>
        <v>1.2237003565016038E-4</v>
      </c>
      <c r="AN1344" s="28">
        <f t="shared" si="520"/>
        <v>1.2244903306979284E-4</v>
      </c>
      <c r="AO1344" s="28">
        <f t="shared" si="520"/>
        <v>1.2253757835817969E-4</v>
      </c>
      <c r="AP1344" s="28">
        <f t="shared" si="520"/>
        <v>1.226353392269764E-4</v>
      </c>
      <c r="AQ1344" s="28">
        <f t="shared" si="520"/>
        <v>1.2274200613087834E-4</v>
      </c>
      <c r="AR1344" s="28">
        <f t="shared" si="520"/>
        <v>1.228572903354883E-4</v>
      </c>
      <c r="AS1344" s="28">
        <f t="shared" si="520"/>
        <v>1.2288572954642337E-4</v>
      </c>
      <c r="AT1344" s="28">
        <f t="shared" si="520"/>
        <v>1.2292181660779718E-4</v>
      </c>
      <c r="AU1344" s="28">
        <f t="shared" si="520"/>
        <v>1.2296529822294655E-4</v>
      </c>
      <c r="AV1344" s="28">
        <f t="shared" si="520"/>
        <v>1.2301593656260403E-4</v>
      </c>
      <c r="AW1344" s="28">
        <f t="shared" si="520"/>
        <v>1.2307350807543003E-4</v>
      </c>
      <c r="AY1344" s="85"/>
      <c r="AZ1344" s="85"/>
    </row>
    <row r="1345" spans="1:52" x14ac:dyDescent="0.25">
      <c r="A1345" s="102" t="str">
        <f t="shared" si="514"/>
        <v>FSFAGSPQNIBDDSCM MM Volatilisation</v>
      </c>
      <c r="B1345" s="102" t="s">
        <v>1376</v>
      </c>
      <c r="C1345" s="102" t="s">
        <v>1333</v>
      </c>
      <c r="D1345" t="s">
        <v>369</v>
      </c>
      <c r="E1345" t="s">
        <v>64</v>
      </c>
      <c r="F1345" t="s">
        <v>62</v>
      </c>
      <c r="G1345" t="s">
        <v>1167</v>
      </c>
      <c r="H1345" t="s">
        <v>1298</v>
      </c>
      <c r="I1345" t="s">
        <v>139</v>
      </c>
      <c r="J1345" t="s">
        <v>287</v>
      </c>
      <c r="K1345" s="28">
        <f t="shared" ref="K1345:AW1345" si="521">IFERROR(K1538-((K1538-K129)+(K1538-K282)+(K1538-K435)+(K1538-K587)+(K1538-K739)+(K1538-K890)+(K1538-K1041)+(K1538-K1192)),0)</f>
        <v>8.0418980238344318E-4</v>
      </c>
      <c r="L1345" s="28">
        <f t="shared" si="521"/>
        <v>8.0462896355784847E-4</v>
      </c>
      <c r="M1345" s="28">
        <f t="shared" si="521"/>
        <v>8.0561232978738613E-4</v>
      </c>
      <c r="N1345" s="28">
        <f t="shared" si="521"/>
        <v>8.0709250240842989E-4</v>
      </c>
      <c r="O1345" s="28">
        <f t="shared" si="521"/>
        <v>8.090892849636611E-4</v>
      </c>
      <c r="P1345" s="28">
        <f t="shared" si="521"/>
        <v>8.1160479623286605E-4</v>
      </c>
      <c r="Q1345" s="28">
        <f t="shared" si="521"/>
        <v>8.1440697381205979E-4</v>
      </c>
      <c r="R1345" s="28">
        <f t="shared" si="521"/>
        <v>8.1744389657863702E-4</v>
      </c>
      <c r="S1345" s="28">
        <f t="shared" si="521"/>
        <v>8.2029772930899112E-4</v>
      </c>
      <c r="T1345" s="28">
        <f t="shared" si="521"/>
        <v>8.214898305030433E-4</v>
      </c>
      <c r="U1345" s="28">
        <f t="shared" si="521"/>
        <v>8.2287311823529526E-4</v>
      </c>
      <c r="V1345" s="28">
        <f t="shared" si="521"/>
        <v>8.2444730887169186E-4</v>
      </c>
      <c r="W1345" s="28">
        <f t="shared" si="521"/>
        <v>8.2622055847894659E-4</v>
      </c>
      <c r="X1345" s="28">
        <f t="shared" si="521"/>
        <v>8.2816443922932592E-4</v>
      </c>
      <c r="Y1345" s="28">
        <f t="shared" si="521"/>
        <v>8.2936104607842529E-4</v>
      </c>
      <c r="Z1345" s="28">
        <f t="shared" si="521"/>
        <v>8.3069768063558287E-4</v>
      </c>
      <c r="AA1345" s="28">
        <f t="shared" si="521"/>
        <v>8.3217919347460879E-4</v>
      </c>
      <c r="AB1345" s="28">
        <f t="shared" si="521"/>
        <v>8.337828220293293E-4</v>
      </c>
      <c r="AC1345" s="28">
        <f t="shared" si="521"/>
        <v>8.3551430022086096E-4</v>
      </c>
      <c r="AD1345" s="28">
        <f t="shared" si="521"/>
        <v>8.3665416457788034E-4</v>
      </c>
      <c r="AE1345" s="28">
        <f t="shared" si="521"/>
        <v>8.3791392508567411E-4</v>
      </c>
      <c r="AF1345" s="28">
        <f t="shared" si="521"/>
        <v>8.3928225208899118E-4</v>
      </c>
      <c r="AG1345" s="28">
        <f t="shared" si="521"/>
        <v>8.4060423049139648E-4</v>
      </c>
      <c r="AH1345" s="28">
        <f t="shared" si="521"/>
        <v>8.349523769873693E-4</v>
      </c>
      <c r="AI1345" s="28">
        <f t="shared" si="521"/>
        <v>8.3575502954960786E-4</v>
      </c>
      <c r="AJ1345" s="28">
        <f t="shared" si="521"/>
        <v>8.3664076062788407E-4</v>
      </c>
      <c r="AK1345" s="28">
        <f t="shared" si="521"/>
        <v>8.3760643158556521E-4</v>
      </c>
      <c r="AL1345" s="28">
        <f t="shared" si="521"/>
        <v>8.3864914638309197E-4</v>
      </c>
      <c r="AM1345" s="28">
        <f t="shared" si="521"/>
        <v>8.3976622855735407E-4</v>
      </c>
      <c r="AN1345" s="28">
        <f t="shared" si="521"/>
        <v>8.4030834954962157E-4</v>
      </c>
      <c r="AO1345" s="28">
        <f t="shared" si="521"/>
        <v>8.40915992936257E-4</v>
      </c>
      <c r="AP1345" s="28">
        <f t="shared" si="521"/>
        <v>8.4158687838344786E-4</v>
      </c>
      <c r="AQ1345" s="28">
        <f t="shared" si="521"/>
        <v>8.4231888163183893E-4</v>
      </c>
      <c r="AR1345" s="28">
        <f t="shared" si="521"/>
        <v>8.4311002123724286E-4</v>
      </c>
      <c r="AS1345" s="28">
        <f t="shared" si="521"/>
        <v>8.4330518575430119E-4</v>
      </c>
      <c r="AT1345" s="28">
        <f t="shared" si="521"/>
        <v>8.4355283376117286E-4</v>
      </c>
      <c r="AU1345" s="28">
        <f t="shared" si="521"/>
        <v>8.4385122700565967E-4</v>
      </c>
      <c r="AV1345" s="28">
        <f t="shared" si="521"/>
        <v>8.4419873338079966E-4</v>
      </c>
      <c r="AW1345" s="28">
        <f t="shared" si="521"/>
        <v>8.4459381876212985E-4</v>
      </c>
      <c r="AY1345" s="85"/>
      <c r="AZ1345" s="85"/>
    </row>
    <row r="1346" spans="1:52" x14ac:dyDescent="0.25">
      <c r="A1346" s="102" t="str">
        <f t="shared" si="514"/>
        <v>FSFAGSPQNIBDDSCM MM Volatilisation</v>
      </c>
      <c r="B1346" s="102" t="s">
        <v>1376</v>
      </c>
      <c r="C1346" s="102" t="s">
        <v>1333</v>
      </c>
      <c r="D1346" t="s">
        <v>369</v>
      </c>
      <c r="E1346" t="s">
        <v>64</v>
      </c>
      <c r="F1346" t="s">
        <v>62</v>
      </c>
      <c r="G1346" t="s">
        <v>1169</v>
      </c>
      <c r="H1346" t="s">
        <v>1299</v>
      </c>
      <c r="I1346" t="s">
        <v>139</v>
      </c>
      <c r="J1346" t="s">
        <v>287</v>
      </c>
      <c r="K1346" s="28">
        <f t="shared" ref="K1346:AW1346" si="522">IFERROR(K1539-((K1539-K130)+(K1539-K283)+(K1539-K436)+(K1539-K588)+(K1539-K740)+(K1539-K891)+(K1539-K1042)+(K1539-K1193)),0)</f>
        <v>1.448564899297015E-5</v>
      </c>
      <c r="L1346" s="28">
        <f t="shared" si="522"/>
        <v>1.4523430996818443E-5</v>
      </c>
      <c r="M1346" s="28">
        <f t="shared" si="522"/>
        <v>1.4573778863725232E-5</v>
      </c>
      <c r="N1346" s="28">
        <f t="shared" si="522"/>
        <v>1.4635573261684436E-5</v>
      </c>
      <c r="O1346" s="28">
        <f t="shared" si="522"/>
        <v>1.4709556756482727E-5</v>
      </c>
      <c r="P1346" s="28">
        <f t="shared" si="522"/>
        <v>1.4795926227225603E-5</v>
      </c>
      <c r="Q1346" s="28">
        <f t="shared" si="522"/>
        <v>1.4888271114151717E-5</v>
      </c>
      <c r="R1346" s="28">
        <f t="shared" si="522"/>
        <v>1.4985270961083386E-5</v>
      </c>
      <c r="S1346" s="28">
        <f t="shared" si="522"/>
        <v>1.5075379558400601E-5</v>
      </c>
      <c r="T1346" s="28">
        <f t="shared" si="522"/>
        <v>1.5117607192403529E-5</v>
      </c>
      <c r="U1346" s="28">
        <f t="shared" si="522"/>
        <v>1.5163912133825485E-5</v>
      </c>
      <c r="V1346" s="28">
        <f t="shared" si="522"/>
        <v>1.5214353144806387E-5</v>
      </c>
      <c r="W1346" s="28">
        <f t="shared" si="522"/>
        <v>1.5269211713136201E-5</v>
      </c>
      <c r="X1346" s="28">
        <f t="shared" si="522"/>
        <v>1.532774923131804E-5</v>
      </c>
      <c r="Y1346" s="28">
        <f t="shared" si="522"/>
        <v>1.5364750505414648E-5</v>
      </c>
      <c r="Z1346" s="28">
        <f t="shared" si="522"/>
        <v>1.5404784002427286E-5</v>
      </c>
      <c r="AA1346" s="28">
        <f t="shared" si="522"/>
        <v>1.5448015343528086E-5</v>
      </c>
      <c r="AB1346" s="28">
        <f t="shared" si="522"/>
        <v>1.5493849362144256E-5</v>
      </c>
      <c r="AC1346" s="28">
        <f t="shared" si="522"/>
        <v>1.5542469399401565E-5</v>
      </c>
      <c r="AD1346" s="28">
        <f t="shared" si="522"/>
        <v>1.5574312295454071E-5</v>
      </c>
      <c r="AE1346" s="28">
        <f t="shared" si="522"/>
        <v>1.5608846144431889E-5</v>
      </c>
      <c r="AF1346" s="28">
        <f t="shared" si="522"/>
        <v>1.5645779000697075E-5</v>
      </c>
      <c r="AG1346" s="28">
        <f t="shared" si="522"/>
        <v>1.5680933682266714E-5</v>
      </c>
      <c r="AH1346" s="28">
        <f t="shared" si="522"/>
        <v>1.5527256766488218E-5</v>
      </c>
      <c r="AI1346" s="28">
        <f t="shared" si="522"/>
        <v>1.554781877984383E-5</v>
      </c>
      <c r="AJ1346" s="28">
        <f t="shared" si="522"/>
        <v>1.55702244870708E-5</v>
      </c>
      <c r="AK1346" s="28">
        <f t="shared" si="522"/>
        <v>1.5594399014227251E-5</v>
      </c>
      <c r="AL1346" s="28">
        <f t="shared" si="522"/>
        <v>1.5620273295013295E-5</v>
      </c>
      <c r="AM1346" s="28">
        <f t="shared" si="522"/>
        <v>1.5647783514700204E-5</v>
      </c>
      <c r="AN1346" s="28">
        <f t="shared" si="522"/>
        <v>1.5659592232765599E-5</v>
      </c>
      <c r="AO1346" s="28">
        <f t="shared" si="522"/>
        <v>1.567287471387214E-5</v>
      </c>
      <c r="AP1346" s="28">
        <f t="shared" si="522"/>
        <v>1.5687575397224304E-5</v>
      </c>
      <c r="AQ1346" s="28">
        <f t="shared" si="522"/>
        <v>1.5703642533627797E-5</v>
      </c>
      <c r="AR1346" s="28">
        <f t="shared" si="522"/>
        <v>1.5721027858938722E-5</v>
      </c>
      <c r="AS1346" s="28">
        <f t="shared" si="522"/>
        <v>1.5722384261001388E-5</v>
      </c>
      <c r="AT1346" s="28">
        <f t="shared" si="522"/>
        <v>1.5724946955034498E-5</v>
      </c>
      <c r="AU1346" s="28">
        <f t="shared" si="522"/>
        <v>1.572867261939389E-5</v>
      </c>
      <c r="AV1346" s="28">
        <f t="shared" si="522"/>
        <v>1.5733520584102464E-5</v>
      </c>
      <c r="AW1346" s="28">
        <f t="shared" si="522"/>
        <v>1.5739452625419502E-5</v>
      </c>
      <c r="AY1346" s="85"/>
      <c r="AZ1346" s="85"/>
    </row>
    <row r="1347" spans="1:52" x14ac:dyDescent="0.25">
      <c r="A1347" s="102" t="str">
        <f t="shared" si="514"/>
        <v>FSFAGSPQNIBDDSCM MM Volatilisation</v>
      </c>
      <c r="B1347" s="102" t="s">
        <v>1376</v>
      </c>
      <c r="C1347" s="102" t="s">
        <v>1333</v>
      </c>
      <c r="D1347" t="s">
        <v>369</v>
      </c>
      <c r="E1347" t="s">
        <v>64</v>
      </c>
      <c r="F1347" t="s">
        <v>62</v>
      </c>
      <c r="G1347" t="s">
        <v>1171</v>
      </c>
      <c r="H1347" t="s">
        <v>1300</v>
      </c>
      <c r="I1347" t="s">
        <v>139</v>
      </c>
      <c r="J1347" t="s">
        <v>287</v>
      </c>
      <c r="K1347" s="28">
        <f t="shared" ref="K1347:AW1347" si="523">IFERROR(K1540-((K1540-K131)+(K1540-K284)+(K1540-K437)+(K1540-K589)+(K1540-K741)+(K1540-K892)+(K1540-K1043)+(K1540-K1194)),0)</f>
        <v>1.4737874698328016E-3</v>
      </c>
      <c r="L1347" s="28">
        <f t="shared" si="523"/>
        <v>1.4776314566561611E-3</v>
      </c>
      <c r="M1347" s="28">
        <f t="shared" si="523"/>
        <v>1.4827539096036295E-3</v>
      </c>
      <c r="N1347" s="28">
        <f t="shared" si="523"/>
        <v>1.4890409464814621E-3</v>
      </c>
      <c r="O1347" s="28">
        <f t="shared" si="523"/>
        <v>1.4965681168319985E-3</v>
      </c>
      <c r="P1347" s="28">
        <f t="shared" si="523"/>
        <v>1.5053554513738414E-3</v>
      </c>
      <c r="Q1347" s="28">
        <f t="shared" si="523"/>
        <v>1.5147507319940522E-3</v>
      </c>
      <c r="R1347" s="28">
        <f t="shared" si="523"/>
        <v>1.5246196138821182E-3</v>
      </c>
      <c r="S1347" s="28">
        <f t="shared" si="523"/>
        <v>1.5337873716895019E-3</v>
      </c>
      <c r="T1347" s="28">
        <f t="shared" si="523"/>
        <v>1.5380836623081961E-3</v>
      </c>
      <c r="U1347" s="28">
        <f t="shared" si="523"/>
        <v>1.5427947831210876E-3</v>
      </c>
      <c r="V1347" s="28">
        <f t="shared" si="523"/>
        <v>1.5479267126594486E-3</v>
      </c>
      <c r="W1347" s="28">
        <f t="shared" si="523"/>
        <v>1.5535080898318955E-3</v>
      </c>
      <c r="X1347" s="28">
        <f t="shared" si="523"/>
        <v>1.5594637678172844E-3</v>
      </c>
      <c r="Y1347" s="28">
        <f t="shared" si="523"/>
        <v>1.5632283222502894E-3</v>
      </c>
      <c r="Z1347" s="28">
        <f t="shared" si="523"/>
        <v>1.5673013787146175E-3</v>
      </c>
      <c r="AA1347" s="28">
        <f t="shared" si="523"/>
        <v>1.5716997877088814E-3</v>
      </c>
      <c r="AB1347" s="28">
        <f t="shared" si="523"/>
        <v>1.5763629962652517E-3</v>
      </c>
      <c r="AC1347" s="28">
        <f t="shared" si="523"/>
        <v>1.5813096577318795E-3</v>
      </c>
      <c r="AD1347" s="28">
        <f t="shared" si="523"/>
        <v>1.5845493925361778E-3</v>
      </c>
      <c r="AE1347" s="28">
        <f t="shared" si="523"/>
        <v>1.5880629081496864E-3</v>
      </c>
      <c r="AF1347" s="28">
        <f t="shared" si="523"/>
        <v>1.591820501669672E-3</v>
      </c>
      <c r="AG1347" s="28">
        <f t="shared" si="523"/>
        <v>1.5953971815428655E-3</v>
      </c>
      <c r="AH1347" s="28">
        <f t="shared" si="523"/>
        <v>1.5797619060376521E-3</v>
      </c>
      <c r="AI1347" s="28">
        <f t="shared" si="523"/>
        <v>1.5818539101758679E-3</v>
      </c>
      <c r="AJ1347" s="28">
        <f t="shared" si="523"/>
        <v>1.5841334939611631E-3</v>
      </c>
      <c r="AK1347" s="28">
        <f t="shared" si="523"/>
        <v>1.5865930396280227E-3</v>
      </c>
      <c r="AL1347" s="28">
        <f t="shared" si="523"/>
        <v>1.5892255202874612E-3</v>
      </c>
      <c r="AM1347" s="28">
        <f t="shared" si="523"/>
        <v>1.5920244433517013E-3</v>
      </c>
      <c r="AN1347" s="28">
        <f t="shared" si="523"/>
        <v>1.5932258766273534E-3</v>
      </c>
      <c r="AO1347" s="28">
        <f t="shared" si="523"/>
        <v>1.5945772523394538E-3</v>
      </c>
      <c r="AP1347" s="28">
        <f t="shared" si="523"/>
        <v>1.5960729176653851E-3</v>
      </c>
      <c r="AQ1347" s="28">
        <f t="shared" si="523"/>
        <v>1.5977076075794545E-3</v>
      </c>
      <c r="AR1347" s="28">
        <f t="shared" si="523"/>
        <v>1.599476411629218E-3</v>
      </c>
      <c r="AS1347" s="28">
        <f t="shared" si="523"/>
        <v>1.5996144136175981E-3</v>
      </c>
      <c r="AT1347" s="28">
        <f t="shared" si="523"/>
        <v>1.599875145211802E-3</v>
      </c>
      <c r="AU1347" s="28">
        <f t="shared" si="523"/>
        <v>1.6002541988152919E-3</v>
      </c>
      <c r="AV1347" s="28">
        <f t="shared" si="523"/>
        <v>1.6007474366153491E-3</v>
      </c>
      <c r="AW1347" s="28">
        <f t="shared" si="523"/>
        <v>1.601350969682305E-3</v>
      </c>
      <c r="AY1347" s="85"/>
      <c r="AZ1347" s="85"/>
    </row>
    <row r="1348" spans="1:52" x14ac:dyDescent="0.25">
      <c r="A1348" s="102" t="str">
        <f t="shared" si="514"/>
        <v>FSFAGSPQNIBDDSCM MM Volatilisation</v>
      </c>
      <c r="B1348" s="102" t="s">
        <v>1376</v>
      </c>
      <c r="C1348" s="102" t="s">
        <v>1333</v>
      </c>
      <c r="D1348" t="s">
        <v>369</v>
      </c>
      <c r="E1348" t="s">
        <v>64</v>
      </c>
      <c r="F1348" t="s">
        <v>62</v>
      </c>
      <c r="G1348" t="s">
        <v>1173</v>
      </c>
      <c r="H1348" t="s">
        <v>1301</v>
      </c>
      <c r="I1348" t="s">
        <v>139</v>
      </c>
      <c r="J1348" t="s">
        <v>287</v>
      </c>
      <c r="K1348" s="28">
        <f t="shared" ref="K1348:AW1348" si="524">IFERROR(K1541-((K1541-K132)+(K1541-K285)+(K1541-K438)+(K1541-K590)+(K1541-K742)+(K1541-K893)+(K1541-K1044)+(K1541-K1195)),0)</f>
        <v>0</v>
      </c>
      <c r="L1348" s="28">
        <f t="shared" si="524"/>
        <v>0</v>
      </c>
      <c r="M1348" s="28">
        <f t="shared" si="524"/>
        <v>0</v>
      </c>
      <c r="N1348" s="28">
        <f t="shared" si="524"/>
        <v>0</v>
      </c>
      <c r="O1348" s="28">
        <f t="shared" si="524"/>
        <v>0</v>
      </c>
      <c r="P1348" s="28">
        <f t="shared" si="524"/>
        <v>0</v>
      </c>
      <c r="Q1348" s="28">
        <f t="shared" si="524"/>
        <v>0</v>
      </c>
      <c r="R1348" s="28">
        <f t="shared" si="524"/>
        <v>0</v>
      </c>
      <c r="S1348" s="28">
        <f t="shared" si="524"/>
        <v>0</v>
      </c>
      <c r="T1348" s="28">
        <f t="shared" si="524"/>
        <v>0</v>
      </c>
      <c r="U1348" s="28">
        <f t="shared" si="524"/>
        <v>0</v>
      </c>
      <c r="V1348" s="28">
        <f t="shared" si="524"/>
        <v>0</v>
      </c>
      <c r="W1348" s="28">
        <f t="shared" si="524"/>
        <v>0</v>
      </c>
      <c r="X1348" s="28">
        <f t="shared" si="524"/>
        <v>0</v>
      </c>
      <c r="Y1348" s="28">
        <f t="shared" si="524"/>
        <v>0</v>
      </c>
      <c r="Z1348" s="28">
        <f t="shared" si="524"/>
        <v>0</v>
      </c>
      <c r="AA1348" s="28">
        <f t="shared" si="524"/>
        <v>0</v>
      </c>
      <c r="AB1348" s="28">
        <f t="shared" si="524"/>
        <v>0</v>
      </c>
      <c r="AC1348" s="28">
        <f t="shared" si="524"/>
        <v>0</v>
      </c>
      <c r="AD1348" s="28">
        <f t="shared" si="524"/>
        <v>0</v>
      </c>
      <c r="AE1348" s="28">
        <f t="shared" si="524"/>
        <v>0</v>
      </c>
      <c r="AF1348" s="28">
        <f t="shared" si="524"/>
        <v>0</v>
      </c>
      <c r="AG1348" s="28">
        <f t="shared" si="524"/>
        <v>0</v>
      </c>
      <c r="AH1348" s="28">
        <f t="shared" si="524"/>
        <v>0</v>
      </c>
      <c r="AI1348" s="28">
        <f t="shared" si="524"/>
        <v>0</v>
      </c>
      <c r="AJ1348" s="28">
        <f t="shared" si="524"/>
        <v>0</v>
      </c>
      <c r="AK1348" s="28">
        <f t="shared" si="524"/>
        <v>0</v>
      </c>
      <c r="AL1348" s="28">
        <f t="shared" si="524"/>
        <v>0</v>
      </c>
      <c r="AM1348" s="28">
        <f t="shared" si="524"/>
        <v>0</v>
      </c>
      <c r="AN1348" s="28">
        <f t="shared" si="524"/>
        <v>0</v>
      </c>
      <c r="AO1348" s="28">
        <f t="shared" si="524"/>
        <v>0</v>
      </c>
      <c r="AP1348" s="28">
        <f t="shared" si="524"/>
        <v>0</v>
      </c>
      <c r="AQ1348" s="28">
        <f t="shared" si="524"/>
        <v>0</v>
      </c>
      <c r="AR1348" s="28">
        <f t="shared" si="524"/>
        <v>0</v>
      </c>
      <c r="AS1348" s="28">
        <f t="shared" si="524"/>
        <v>0</v>
      </c>
      <c r="AT1348" s="28">
        <f t="shared" si="524"/>
        <v>0</v>
      </c>
      <c r="AU1348" s="28">
        <f t="shared" si="524"/>
        <v>0</v>
      </c>
      <c r="AV1348" s="28">
        <f t="shared" si="524"/>
        <v>0</v>
      </c>
      <c r="AW1348" s="28">
        <f t="shared" si="524"/>
        <v>0</v>
      </c>
      <c r="AY1348" s="85"/>
      <c r="AZ1348" s="85"/>
    </row>
    <row r="1349" spans="1:52" x14ac:dyDescent="0.25">
      <c r="A1349" s="102" t="str">
        <f t="shared" si="514"/>
        <v>FSFAGSPQNIBDDSCM MM Volatilisation</v>
      </c>
      <c r="B1349" s="102" t="s">
        <v>1376</v>
      </c>
      <c r="C1349" s="102" t="s">
        <v>1333</v>
      </c>
      <c r="D1349" t="s">
        <v>369</v>
      </c>
      <c r="E1349" t="s">
        <v>64</v>
      </c>
      <c r="F1349" t="s">
        <v>62</v>
      </c>
      <c r="G1349" t="s">
        <v>1175</v>
      </c>
      <c r="H1349" t="s">
        <v>1302</v>
      </c>
      <c r="I1349" t="s">
        <v>139</v>
      </c>
      <c r="J1349" t="s">
        <v>287</v>
      </c>
      <c r="K1349" s="28">
        <f t="shared" ref="K1349:AW1349" si="525">IFERROR(K1542-((K1542-K133)+(K1542-K286)+(K1542-K439)+(K1542-K591)+(K1542-K743)+(K1542-K894)+(K1542-K1045)+(K1542-K1196)),0)</f>
        <v>0</v>
      </c>
      <c r="L1349" s="28">
        <f t="shared" si="525"/>
        <v>0</v>
      </c>
      <c r="M1349" s="28">
        <f t="shared" si="525"/>
        <v>0</v>
      </c>
      <c r="N1349" s="28">
        <f t="shared" si="525"/>
        <v>0</v>
      </c>
      <c r="O1349" s="28">
        <f t="shared" si="525"/>
        <v>0</v>
      </c>
      <c r="P1349" s="28">
        <f t="shared" si="525"/>
        <v>0</v>
      </c>
      <c r="Q1349" s="28">
        <f t="shared" si="525"/>
        <v>0</v>
      </c>
      <c r="R1349" s="28">
        <f t="shared" si="525"/>
        <v>0</v>
      </c>
      <c r="S1349" s="28">
        <f t="shared" si="525"/>
        <v>0</v>
      </c>
      <c r="T1349" s="28">
        <f t="shared" si="525"/>
        <v>0</v>
      </c>
      <c r="U1349" s="28">
        <f t="shared" si="525"/>
        <v>0</v>
      </c>
      <c r="V1349" s="28">
        <f t="shared" si="525"/>
        <v>0</v>
      </c>
      <c r="W1349" s="28">
        <f t="shared" si="525"/>
        <v>0</v>
      </c>
      <c r="X1349" s="28">
        <f t="shared" si="525"/>
        <v>0</v>
      </c>
      <c r="Y1349" s="28">
        <f t="shared" si="525"/>
        <v>0</v>
      </c>
      <c r="Z1349" s="28">
        <f t="shared" si="525"/>
        <v>0</v>
      </c>
      <c r="AA1349" s="28">
        <f t="shared" si="525"/>
        <v>0</v>
      </c>
      <c r="AB1349" s="28">
        <f t="shared" si="525"/>
        <v>0</v>
      </c>
      <c r="AC1349" s="28">
        <f t="shared" si="525"/>
        <v>0</v>
      </c>
      <c r="AD1349" s="28">
        <f t="shared" si="525"/>
        <v>0</v>
      </c>
      <c r="AE1349" s="28">
        <f t="shared" si="525"/>
        <v>0</v>
      </c>
      <c r="AF1349" s="28">
        <f t="shared" si="525"/>
        <v>0</v>
      </c>
      <c r="AG1349" s="28">
        <f t="shared" si="525"/>
        <v>0</v>
      </c>
      <c r="AH1349" s="28">
        <f t="shared" si="525"/>
        <v>0</v>
      </c>
      <c r="AI1349" s="28">
        <f t="shared" si="525"/>
        <v>0</v>
      </c>
      <c r="AJ1349" s="28">
        <f t="shared" si="525"/>
        <v>0</v>
      </c>
      <c r="AK1349" s="28">
        <f t="shared" si="525"/>
        <v>0</v>
      </c>
      <c r="AL1349" s="28">
        <f t="shared" si="525"/>
        <v>0</v>
      </c>
      <c r="AM1349" s="28">
        <f t="shared" si="525"/>
        <v>0</v>
      </c>
      <c r="AN1349" s="28">
        <f t="shared" si="525"/>
        <v>0</v>
      </c>
      <c r="AO1349" s="28">
        <f t="shared" si="525"/>
        <v>0</v>
      </c>
      <c r="AP1349" s="28">
        <f t="shared" si="525"/>
        <v>0</v>
      </c>
      <c r="AQ1349" s="28">
        <f t="shared" si="525"/>
        <v>0</v>
      </c>
      <c r="AR1349" s="28">
        <f t="shared" si="525"/>
        <v>0</v>
      </c>
      <c r="AS1349" s="28">
        <f t="shared" si="525"/>
        <v>0</v>
      </c>
      <c r="AT1349" s="28">
        <f t="shared" si="525"/>
        <v>0</v>
      </c>
      <c r="AU1349" s="28">
        <f t="shared" si="525"/>
        <v>0</v>
      </c>
      <c r="AV1349" s="28">
        <f t="shared" si="525"/>
        <v>0</v>
      </c>
      <c r="AW1349" s="28">
        <f t="shared" si="525"/>
        <v>0</v>
      </c>
      <c r="AY1349" s="85"/>
      <c r="AZ1349" s="85"/>
    </row>
    <row r="1350" spans="1:52" x14ac:dyDescent="0.25">
      <c r="A1350" s="102" t="str">
        <f t="shared" si="514"/>
        <v>FSFAGSPQNIBDDSCM MM Volatilisation</v>
      </c>
      <c r="B1350" s="102" t="s">
        <v>1376</v>
      </c>
      <c r="C1350" s="102" t="s">
        <v>1333</v>
      </c>
      <c r="D1350" t="s">
        <v>369</v>
      </c>
      <c r="E1350" t="s">
        <v>64</v>
      </c>
      <c r="F1350" t="s">
        <v>62</v>
      </c>
      <c r="G1350" t="s">
        <v>1177</v>
      </c>
      <c r="H1350" t="s">
        <v>1303</v>
      </c>
      <c r="I1350" t="s">
        <v>139</v>
      </c>
      <c r="J1350" t="s">
        <v>287</v>
      </c>
      <c r="K1350" s="28">
        <f t="shared" ref="K1350:AW1350" si="526">IFERROR(K1543-((K1543-K134)+(K1543-K287)+(K1543-K440)+(K1543-K592)+(K1543-K744)+(K1543-K895)+(K1543-K1046)+(K1543-K1197)),0)</f>
        <v>0.13175582522236642</v>
      </c>
      <c r="L1350" s="28">
        <f t="shared" si="526"/>
        <v>0.13133995591331252</v>
      </c>
      <c r="M1350" s="28">
        <f t="shared" si="526"/>
        <v>0.12996467924172889</v>
      </c>
      <c r="N1350" s="28">
        <f t="shared" si="526"/>
        <v>0.12729440169626086</v>
      </c>
      <c r="O1350" s="28">
        <f t="shared" si="526"/>
        <v>0.124740958232787</v>
      </c>
      <c r="P1350" s="28">
        <f t="shared" si="526"/>
        <v>0.12294968484167307</v>
      </c>
      <c r="Q1350" s="28">
        <f t="shared" si="526"/>
        <v>0.12143262568999565</v>
      </c>
      <c r="R1350" s="28">
        <f t="shared" si="526"/>
        <v>0.11863912133480742</v>
      </c>
      <c r="S1350" s="28">
        <f t="shared" si="526"/>
        <v>0.10385956683599189</v>
      </c>
      <c r="T1350" s="28">
        <f t="shared" si="526"/>
        <v>0.10451955212302086</v>
      </c>
      <c r="U1350" s="28">
        <f t="shared" si="526"/>
        <v>0.10485083769828313</v>
      </c>
      <c r="V1350" s="28">
        <f t="shared" si="526"/>
        <v>0.10517291212466306</v>
      </c>
      <c r="W1350" s="28">
        <f t="shared" si="526"/>
        <v>0.10595961192608362</v>
      </c>
      <c r="X1350" s="28">
        <f t="shared" si="526"/>
        <v>0.10671986419880256</v>
      </c>
      <c r="Y1350" s="28">
        <f t="shared" si="526"/>
        <v>0.10759206833097582</v>
      </c>
      <c r="Z1350" s="28">
        <f t="shared" si="526"/>
        <v>0.10832415148302713</v>
      </c>
      <c r="AA1350" s="28">
        <f t="shared" si="526"/>
        <v>0.10920394511601654</v>
      </c>
      <c r="AB1350" s="28">
        <f t="shared" si="526"/>
        <v>0.10984438432762617</v>
      </c>
      <c r="AC1350" s="28">
        <f t="shared" si="526"/>
        <v>0.11051807029951835</v>
      </c>
      <c r="AD1350" s="28">
        <f t="shared" si="526"/>
        <v>0.11176064621994924</v>
      </c>
      <c r="AE1350" s="28">
        <f t="shared" si="526"/>
        <v>0.11321217775824029</v>
      </c>
      <c r="AF1350" s="28">
        <f t="shared" si="526"/>
        <v>0.11471425126432638</v>
      </c>
      <c r="AG1350" s="28">
        <f t="shared" si="526"/>
        <v>0.11302605462152289</v>
      </c>
      <c r="AH1350" s="28">
        <f t="shared" si="526"/>
        <v>-3.8135833829008307E-2</v>
      </c>
      <c r="AI1350" s="28">
        <f t="shared" si="526"/>
        <v>-3.7718689403419284E-2</v>
      </c>
      <c r="AJ1350" s="28">
        <f t="shared" si="526"/>
        <v>-3.7310479618025916E-2</v>
      </c>
      <c r="AK1350" s="28">
        <f t="shared" si="526"/>
        <v>-3.6910619979896454E-2</v>
      </c>
      <c r="AL1350" s="28">
        <f t="shared" si="526"/>
        <v>-3.6518568792738119E-2</v>
      </c>
      <c r="AM1350" s="28">
        <f t="shared" si="526"/>
        <v>-3.6133823018213627E-2</v>
      </c>
      <c r="AN1350" s="28">
        <f t="shared" si="526"/>
        <v>-3.5711833561214323E-2</v>
      </c>
      <c r="AO1350" s="28">
        <f t="shared" si="526"/>
        <v>-3.5297284374171914E-2</v>
      </c>
      <c r="AP1350" s="28">
        <f t="shared" si="526"/>
        <v>-3.4889740911291982E-2</v>
      </c>
      <c r="AQ1350" s="28">
        <f t="shared" si="526"/>
        <v>-3.4488797010350791E-2</v>
      </c>
      <c r="AR1350" s="28">
        <f t="shared" si="526"/>
        <v>-3.4094072440282994E-2</v>
      </c>
      <c r="AS1350" s="28">
        <f t="shared" si="526"/>
        <v>-3.3663911026345139E-2</v>
      </c>
      <c r="AT1350" s="28">
        <f t="shared" si="526"/>
        <v>-3.3240319741355787E-2</v>
      </c>
      <c r="AU1350" s="28">
        <f t="shared" si="526"/>
        <v>-3.2822960396725463E-2</v>
      </c>
      <c r="AV1350" s="28">
        <f t="shared" si="526"/>
        <v>-3.2411514785230008E-2</v>
      </c>
      <c r="AW1350" s="28">
        <f t="shared" si="526"/>
        <v>-3.2005683123121166E-2</v>
      </c>
      <c r="AY1350" s="85"/>
      <c r="AZ1350" s="85"/>
    </row>
    <row r="1351" spans="1:52" x14ac:dyDescent="0.25">
      <c r="A1351" s="102" t="str">
        <f t="shared" si="514"/>
        <v>FSFAGSPQNIBDDSCM MM Volatilisation</v>
      </c>
      <c r="B1351" s="102" t="s">
        <v>1376</v>
      </c>
      <c r="C1351" s="102" t="s">
        <v>1333</v>
      </c>
      <c r="D1351" t="s">
        <v>369</v>
      </c>
      <c r="E1351" t="s">
        <v>64</v>
      </c>
      <c r="F1351" t="s">
        <v>62</v>
      </c>
      <c r="G1351" t="s">
        <v>1179</v>
      </c>
      <c r="H1351" t="s">
        <v>1304</v>
      </c>
      <c r="I1351" t="s">
        <v>139</v>
      </c>
      <c r="J1351" t="s">
        <v>287</v>
      </c>
      <c r="K1351" s="28">
        <f t="shared" ref="K1351:AW1351" si="527">IFERROR(K1544-((K1544-K135)+(K1544-K288)+(K1544-K441)+(K1544-K593)+(K1544-K745)+(K1544-K896)+(K1544-K1047)+(K1544-K1198)),0)</f>
        <v>1.2821907264588839E-2</v>
      </c>
      <c r="L1351" s="28">
        <f t="shared" si="527"/>
        <v>1.2781436661441853E-2</v>
      </c>
      <c r="M1351" s="28">
        <f t="shared" si="527"/>
        <v>1.2647600681769325E-2</v>
      </c>
      <c r="N1351" s="28">
        <f t="shared" si="527"/>
        <v>1.2387740815984108E-2</v>
      </c>
      <c r="O1351" s="28">
        <f t="shared" si="527"/>
        <v>1.2139250737926637E-2</v>
      </c>
      <c r="P1351" s="28">
        <f t="shared" si="527"/>
        <v>1.196493175607042E-2</v>
      </c>
      <c r="Q1351" s="28">
        <f t="shared" si="527"/>
        <v>1.1817298118431442E-2</v>
      </c>
      <c r="R1351" s="28">
        <f t="shared" si="527"/>
        <v>1.1545446352295121E-2</v>
      </c>
      <c r="S1351" s="28">
        <f t="shared" si="527"/>
        <v>1.0107164007845277E-2</v>
      </c>
      <c r="T1351" s="28">
        <f t="shared" si="527"/>
        <v>1.0171390922533838E-2</v>
      </c>
      <c r="U1351" s="28">
        <f t="shared" si="527"/>
        <v>1.020363020240583E-2</v>
      </c>
      <c r="V1351" s="28">
        <f t="shared" si="527"/>
        <v>1.0234973093092974E-2</v>
      </c>
      <c r="W1351" s="28">
        <f t="shared" si="527"/>
        <v>1.0311531316472175E-2</v>
      </c>
      <c r="X1351" s="28">
        <f t="shared" si="527"/>
        <v>1.0385515780703972E-2</v>
      </c>
      <c r="Y1351" s="28">
        <f t="shared" si="527"/>
        <v>1.0470394915874219E-2</v>
      </c>
      <c r="Z1351" s="28">
        <f t="shared" si="527"/>
        <v>1.0541638083071781E-2</v>
      </c>
      <c r="AA1351" s="28">
        <f t="shared" si="527"/>
        <v>1.0627255795648265E-2</v>
      </c>
      <c r="AB1351" s="28">
        <f t="shared" si="527"/>
        <v>1.0689580570784438E-2</v>
      </c>
      <c r="AC1351" s="28">
        <f t="shared" si="527"/>
        <v>1.0755140776889006E-2</v>
      </c>
      <c r="AD1351" s="28">
        <f t="shared" si="527"/>
        <v>1.0876062893190786E-2</v>
      </c>
      <c r="AE1351" s="28">
        <f t="shared" si="527"/>
        <v>1.1017319666803515E-2</v>
      </c>
      <c r="AF1351" s="28">
        <f t="shared" si="527"/>
        <v>1.1163494966203955E-2</v>
      </c>
      <c r="AG1351" s="28">
        <f t="shared" si="527"/>
        <v>1.0999206967841195E-2</v>
      </c>
      <c r="AH1351" s="28">
        <f t="shared" si="527"/>
        <v>-3.7112144680363467E-3</v>
      </c>
      <c r="AI1351" s="28">
        <f t="shared" si="527"/>
        <v>-3.6706197760611272E-3</v>
      </c>
      <c r="AJ1351" s="28">
        <f t="shared" si="527"/>
        <v>-3.6308945646408518E-3</v>
      </c>
      <c r="AK1351" s="28">
        <f t="shared" si="527"/>
        <v>-3.5919819534504542E-3</v>
      </c>
      <c r="AL1351" s="28">
        <f t="shared" si="527"/>
        <v>-3.5538292269487438E-3</v>
      </c>
      <c r="AM1351" s="28">
        <f t="shared" si="527"/>
        <v>-3.5163874316196208E-3</v>
      </c>
      <c r="AN1351" s="28">
        <f t="shared" si="527"/>
        <v>-3.4753212421350377E-3</v>
      </c>
      <c r="AO1351" s="28">
        <f t="shared" si="527"/>
        <v>-3.4349791075546665E-3</v>
      </c>
      <c r="AP1351" s="28">
        <f t="shared" si="527"/>
        <v>-3.3953187397605549E-3</v>
      </c>
      <c r="AQ1351" s="28">
        <f t="shared" si="527"/>
        <v>-3.3563006128011267E-3</v>
      </c>
      <c r="AR1351" s="28">
        <f t="shared" si="527"/>
        <v>-3.3178877242330336E-3</v>
      </c>
      <c r="AS1351" s="28">
        <f t="shared" si="527"/>
        <v>-3.2760262752306304E-3</v>
      </c>
      <c r="AT1351" s="28">
        <f t="shared" si="527"/>
        <v>-3.2348042027715565E-3</v>
      </c>
      <c r="AU1351" s="28">
        <f t="shared" si="527"/>
        <v>-3.1941885958044411E-3</v>
      </c>
      <c r="AV1351" s="28">
        <f t="shared" si="527"/>
        <v>-3.1541484877779971E-3</v>
      </c>
      <c r="AW1351" s="28">
        <f t="shared" si="527"/>
        <v>-3.1146547050339602E-3</v>
      </c>
      <c r="AY1351" s="85"/>
      <c r="AZ1351" s="85"/>
    </row>
    <row r="1352" spans="1:52" x14ac:dyDescent="0.25">
      <c r="A1352" s="102" t="str">
        <f t="shared" si="514"/>
        <v>FSFAGSPQNIBDDSCM MM Volatilisation</v>
      </c>
      <c r="B1352" s="102" t="s">
        <v>1376</v>
      </c>
      <c r="C1352" s="102" t="s">
        <v>1333</v>
      </c>
      <c r="D1352" t="s">
        <v>369</v>
      </c>
      <c r="E1352" t="s">
        <v>64</v>
      </c>
      <c r="F1352" t="s">
        <v>62</v>
      </c>
      <c r="G1352" t="s">
        <v>1181</v>
      </c>
      <c r="H1352" t="s">
        <v>1305</v>
      </c>
      <c r="I1352" t="s">
        <v>139</v>
      </c>
      <c r="J1352" t="s">
        <v>287</v>
      </c>
      <c r="K1352" s="28">
        <f t="shared" ref="K1352:AW1352" si="528">IFERROR(K1545-((K1545-K136)+(K1545-K289)+(K1545-K442)+(K1545-K594)+(K1545-K746)+(K1545-K897)+(K1545-K1048)+(K1545-K1199)),0)</f>
        <v>6.4805763262647462E-2</v>
      </c>
      <c r="L1352" s="28">
        <f t="shared" si="528"/>
        <v>6.620917696085285E-2</v>
      </c>
      <c r="M1352" s="28">
        <f t="shared" si="528"/>
        <v>6.7339988183967914E-2</v>
      </c>
      <c r="N1352" s="28">
        <f t="shared" si="528"/>
        <v>6.8078843848603895E-2</v>
      </c>
      <c r="O1352" s="28">
        <f t="shared" si="528"/>
        <v>6.8827728157938209E-2</v>
      </c>
      <c r="P1352" s="28">
        <f t="shared" si="528"/>
        <v>6.9793181329029633E-2</v>
      </c>
      <c r="Q1352" s="28">
        <f t="shared" si="528"/>
        <v>7.0825640221860539E-2</v>
      </c>
      <c r="R1352" s="28">
        <f t="shared" si="528"/>
        <v>7.1426070236781977E-2</v>
      </c>
      <c r="S1352" s="28">
        <f t="shared" si="528"/>
        <v>6.7971896986057309E-2</v>
      </c>
      <c r="T1352" s="28">
        <f t="shared" si="528"/>
        <v>6.9431161818386017E-2</v>
      </c>
      <c r="U1352" s="28">
        <f t="shared" si="528"/>
        <v>7.0793385596642902E-2</v>
      </c>
      <c r="V1352" s="28">
        <f t="shared" si="528"/>
        <v>7.216636340015109E-2</v>
      </c>
      <c r="W1352" s="28">
        <f t="shared" si="528"/>
        <v>7.3724598547713793E-2</v>
      </c>
      <c r="X1352" s="28">
        <f t="shared" si="528"/>
        <v>7.5295777535110922E-2</v>
      </c>
      <c r="Y1352" s="28">
        <f t="shared" si="528"/>
        <v>7.6868953264879816E-2</v>
      </c>
      <c r="Z1352" s="28">
        <f t="shared" si="528"/>
        <v>7.8411785567373049E-2</v>
      </c>
      <c r="AA1352" s="28">
        <f t="shared" si="528"/>
        <v>8.0036606766420104E-2</v>
      </c>
      <c r="AB1352" s="28">
        <f t="shared" si="528"/>
        <v>8.1590030948431091E-2</v>
      </c>
      <c r="AC1352" s="28">
        <f t="shared" si="528"/>
        <v>8.3180296189840519E-2</v>
      </c>
      <c r="AD1352" s="28">
        <f t="shared" si="528"/>
        <v>8.498335225395226E-2</v>
      </c>
      <c r="AE1352" s="28">
        <f t="shared" si="528"/>
        <v>8.691067585568038E-2</v>
      </c>
      <c r="AF1352" s="28">
        <f t="shared" si="528"/>
        <v>8.8898633943391286E-2</v>
      </c>
      <c r="AG1352" s="28">
        <f t="shared" si="528"/>
        <v>8.9490348349999485E-2</v>
      </c>
      <c r="AH1352" s="28">
        <f t="shared" si="528"/>
        <v>2.1450020418190146E-2</v>
      </c>
      <c r="AI1352" s="28">
        <f t="shared" si="528"/>
        <v>2.1614881965790762E-2</v>
      </c>
      <c r="AJ1352" s="28">
        <f t="shared" si="528"/>
        <v>2.1780943831055617E-2</v>
      </c>
      <c r="AK1352" s="28">
        <f t="shared" si="528"/>
        <v>2.1948215154072734E-2</v>
      </c>
      <c r="AL1352" s="28">
        <f t="shared" si="528"/>
        <v>2.2116705116436826E-2</v>
      </c>
      <c r="AM1352" s="28">
        <f t="shared" si="528"/>
        <v>2.2286422943949849E-2</v>
      </c>
      <c r="AN1352" s="28">
        <f t="shared" si="528"/>
        <v>2.2431505853437582E-2</v>
      </c>
      <c r="AO1352" s="28">
        <f t="shared" si="528"/>
        <v>2.2577484325720341E-2</v>
      </c>
      <c r="AP1352" s="28">
        <f t="shared" si="528"/>
        <v>2.2724364182075539E-2</v>
      </c>
      <c r="AQ1352" s="28">
        <f t="shared" si="528"/>
        <v>2.2872151263259987E-2</v>
      </c>
      <c r="AR1352" s="28">
        <f t="shared" si="528"/>
        <v>2.3020851431037954E-2</v>
      </c>
      <c r="AS1352" s="28">
        <f t="shared" si="528"/>
        <v>2.3143882531625137E-2</v>
      </c>
      <c r="AT1352" s="28">
        <f t="shared" si="528"/>
        <v>2.3267536914699297E-2</v>
      </c>
      <c r="AU1352" s="28">
        <f t="shared" si="528"/>
        <v>2.3391817960867468E-2</v>
      </c>
      <c r="AV1352" s="28">
        <f t="shared" si="528"/>
        <v>2.3516729056424043E-2</v>
      </c>
      <c r="AW1352" s="28">
        <f t="shared" si="528"/>
        <v>2.3642273594262703E-2</v>
      </c>
      <c r="AY1352" s="85"/>
      <c r="AZ1352" s="85"/>
    </row>
    <row r="1353" spans="1:52" x14ac:dyDescent="0.25">
      <c r="A1353" s="102" t="str">
        <f t="shared" si="514"/>
        <v>FSFAGSPQNIBDDSCM MM Volatilisation</v>
      </c>
      <c r="B1353" s="102" t="s">
        <v>1376</v>
      </c>
      <c r="C1353" s="102" t="s">
        <v>1333</v>
      </c>
      <c r="D1353" t="s">
        <v>369</v>
      </c>
      <c r="E1353" t="s">
        <v>64</v>
      </c>
      <c r="F1353" t="s">
        <v>62</v>
      </c>
      <c r="G1353" t="s">
        <v>1183</v>
      </c>
      <c r="H1353" t="s">
        <v>1306</v>
      </c>
      <c r="I1353" t="s">
        <v>139</v>
      </c>
      <c r="J1353" t="s">
        <v>287</v>
      </c>
      <c r="K1353" s="28">
        <f t="shared" ref="K1353:AW1353" si="529">IFERROR(K1546-((K1546-K137)+(K1546-K290)+(K1546-K443)+(K1546-K595)+(K1546-K747)+(K1546-K898)+(K1546-K1049)+(K1546-K1200)),0)</f>
        <v>0.31397927588300406</v>
      </c>
      <c r="L1353" s="28">
        <f t="shared" si="529"/>
        <v>0.31907441675710629</v>
      </c>
      <c r="M1353" s="28">
        <f t="shared" si="529"/>
        <v>0.3205872704742006</v>
      </c>
      <c r="N1353" s="28">
        <f t="shared" si="529"/>
        <v>0.31719609082412314</v>
      </c>
      <c r="O1353" s="28">
        <f t="shared" si="529"/>
        <v>0.3138121925530904</v>
      </c>
      <c r="P1353" s="28">
        <f t="shared" si="529"/>
        <v>0.31283032074973627</v>
      </c>
      <c r="Q1353" s="28">
        <f t="shared" si="529"/>
        <v>0.31262578069676783</v>
      </c>
      <c r="R1353" s="28">
        <f t="shared" si="529"/>
        <v>0.30741109145699391</v>
      </c>
      <c r="S1353" s="28">
        <f t="shared" si="529"/>
        <v>0.256148371105961</v>
      </c>
      <c r="T1353" s="28">
        <f t="shared" si="529"/>
        <v>0.26370410916808512</v>
      </c>
      <c r="U1353" s="28">
        <f t="shared" si="529"/>
        <v>0.27001969138915061</v>
      </c>
      <c r="V1353" s="28">
        <f t="shared" si="529"/>
        <v>0.2763199496036185</v>
      </c>
      <c r="W1353" s="28">
        <f t="shared" si="529"/>
        <v>0.28451678455475204</v>
      </c>
      <c r="X1353" s="28">
        <f t="shared" si="529"/>
        <v>0.29268901518137719</v>
      </c>
      <c r="Y1353" s="28">
        <f t="shared" si="529"/>
        <v>0.30166157988430881</v>
      </c>
      <c r="Z1353" s="28">
        <f t="shared" si="529"/>
        <v>0.31015505304721058</v>
      </c>
      <c r="AA1353" s="28">
        <f t="shared" si="529"/>
        <v>0.31937286090334316</v>
      </c>
      <c r="AB1353" s="28">
        <f t="shared" si="529"/>
        <v>0.32768435170975169</v>
      </c>
      <c r="AC1353" s="28">
        <f t="shared" si="529"/>
        <v>0.3362412673320212</v>
      </c>
      <c r="AD1353" s="28">
        <f t="shared" si="529"/>
        <v>0.34761278711237292</v>
      </c>
      <c r="AE1353" s="28">
        <f t="shared" si="529"/>
        <v>0.36009727200869485</v>
      </c>
      <c r="AF1353" s="28">
        <f t="shared" si="529"/>
        <v>0.37302207723672137</v>
      </c>
      <c r="AG1353" s="28">
        <f t="shared" si="529"/>
        <v>0.37158281441490282</v>
      </c>
      <c r="AH1353" s="28">
        <f t="shared" si="529"/>
        <v>-0.32225581682934024</v>
      </c>
      <c r="AI1353" s="28">
        <f t="shared" si="529"/>
        <v>-0.32271754342348513</v>
      </c>
      <c r="AJ1353" s="28">
        <f t="shared" si="529"/>
        <v>-0.32321834210238065</v>
      </c>
      <c r="AK1353" s="28">
        <f t="shared" si="529"/>
        <v>-0.32375658230947413</v>
      </c>
      <c r="AL1353" s="28">
        <f t="shared" si="529"/>
        <v>-0.32433076013748197</v>
      </c>
      <c r="AM1353" s="28">
        <f t="shared" si="529"/>
        <v>-0.32493948616259549</v>
      </c>
      <c r="AN1353" s="28">
        <f t="shared" si="529"/>
        <v>-0.32519002694092081</v>
      </c>
      <c r="AO1353" s="28">
        <f t="shared" si="529"/>
        <v>-0.32547196769911135</v>
      </c>
      <c r="AP1353" s="28">
        <f t="shared" si="529"/>
        <v>-0.32578408919193652</v>
      </c>
      <c r="AQ1353" s="28">
        <f t="shared" si="529"/>
        <v>-0.32612525589272406</v>
      </c>
      <c r="AR1353" s="28">
        <f t="shared" si="529"/>
        <v>-0.32649440879969549</v>
      </c>
      <c r="AS1353" s="28">
        <f t="shared" si="529"/>
        <v>-0.32649961480368156</v>
      </c>
      <c r="AT1353" s="28">
        <f t="shared" si="529"/>
        <v>-0.32653073845215902</v>
      </c>
      <c r="AU1353" s="28">
        <f t="shared" si="529"/>
        <v>-0.326586821501688</v>
      </c>
      <c r="AV1353" s="28">
        <f t="shared" si="529"/>
        <v>-0.32666696441292659</v>
      </c>
      <c r="AW1353" s="28">
        <f t="shared" si="529"/>
        <v>-0.32677032179119497</v>
      </c>
      <c r="AY1353" s="85"/>
      <c r="AZ1353" s="85"/>
    </row>
    <row r="1354" spans="1:52" x14ac:dyDescent="0.25">
      <c r="A1354" s="102" t="str">
        <f t="shared" si="514"/>
        <v>FSFAGSPQNIBDDSCM MM Leaching</v>
      </c>
      <c r="B1354" s="102" t="s">
        <v>1376</v>
      </c>
      <c r="C1354" s="102" t="s">
        <v>1334</v>
      </c>
      <c r="D1354" t="s">
        <v>369</v>
      </c>
      <c r="E1354" t="s">
        <v>64</v>
      </c>
      <c r="F1354" t="s">
        <v>63</v>
      </c>
      <c r="G1354" t="s">
        <v>1153</v>
      </c>
      <c r="H1354" t="s">
        <v>1307</v>
      </c>
      <c r="I1354" t="s">
        <v>139</v>
      </c>
      <c r="J1354" t="s">
        <v>287</v>
      </c>
      <c r="K1354" s="28">
        <f t="shared" ref="K1354:AW1354" si="530">IFERROR(K1547-((K1547-K138)+(K1547-K291)+(K1547-K444)+(K1547-K596)+(K1547-K748)+(K1547-K899)+(K1547-K1050)+(K1547-K1201)),0)</f>
        <v>8.937279530386584E-2</v>
      </c>
      <c r="L1354" s="28">
        <f t="shared" si="530"/>
        <v>8.99287091662518E-2</v>
      </c>
      <c r="M1354" s="28">
        <f t="shared" si="530"/>
        <v>9.0310907604627441E-2</v>
      </c>
      <c r="N1354" s="28">
        <f t="shared" si="530"/>
        <v>9.0430770661024784E-2</v>
      </c>
      <c r="O1354" s="28">
        <f t="shared" si="530"/>
        <v>9.0592927490571046E-2</v>
      </c>
      <c r="P1354" s="28">
        <f t="shared" si="530"/>
        <v>9.0948112554123092E-2</v>
      </c>
      <c r="Q1354" s="28">
        <f t="shared" si="530"/>
        <v>9.1373943417930939E-2</v>
      </c>
      <c r="R1354" s="28">
        <f t="shared" si="530"/>
        <v>9.1501867451345892E-2</v>
      </c>
      <c r="S1354" s="28">
        <f t="shared" si="530"/>
        <v>8.8692780673306368E-2</v>
      </c>
      <c r="T1354" s="28">
        <f t="shared" si="530"/>
        <v>8.942331322993069E-2</v>
      </c>
      <c r="U1354" s="28">
        <f t="shared" si="530"/>
        <v>9.0093190837869708E-2</v>
      </c>
      <c r="V1354" s="28">
        <f t="shared" si="530"/>
        <v>9.0780038603481383E-2</v>
      </c>
      <c r="W1354" s="28">
        <f t="shared" si="530"/>
        <v>9.1607440170769952E-2</v>
      </c>
      <c r="X1354" s="28">
        <f t="shared" si="530"/>
        <v>9.2450367431163069E-2</v>
      </c>
      <c r="Y1354" s="28">
        <f t="shared" si="530"/>
        <v>9.3271141222409717E-2</v>
      </c>
      <c r="Z1354" s="28">
        <f t="shared" si="530"/>
        <v>9.4075494804423593E-2</v>
      </c>
      <c r="AA1354" s="28">
        <f t="shared" si="530"/>
        <v>9.494187182919285E-2</v>
      </c>
      <c r="AB1354" s="28">
        <f t="shared" si="530"/>
        <v>9.5762313841523894E-2</v>
      </c>
      <c r="AC1354" s="28">
        <f t="shared" si="530"/>
        <v>9.6612184537040763E-2</v>
      </c>
      <c r="AD1354" s="28">
        <f t="shared" si="530"/>
        <v>9.7588608414981418E-2</v>
      </c>
      <c r="AE1354" s="28">
        <f t="shared" si="530"/>
        <v>9.8652036659073086E-2</v>
      </c>
      <c r="AF1354" s="28">
        <f t="shared" si="530"/>
        <v>9.9757674838538646E-2</v>
      </c>
      <c r="AG1354" s="28">
        <f t="shared" si="530"/>
        <v>9.9912115595676476E-2</v>
      </c>
      <c r="AH1354" s="28">
        <f t="shared" si="530"/>
        <v>5.3491971899674674E-2</v>
      </c>
      <c r="AI1354" s="28">
        <f t="shared" si="530"/>
        <v>5.3531314918473571E-2</v>
      </c>
      <c r="AJ1354" s="28">
        <f t="shared" si="530"/>
        <v>5.357582611787514E-2</v>
      </c>
      <c r="AK1354" s="28">
        <f t="shared" si="530"/>
        <v>5.3625309057202357E-2</v>
      </c>
      <c r="AL1354" s="28">
        <f t="shared" si="530"/>
        <v>5.3679582424864689E-2</v>
      </c>
      <c r="AM1354" s="28">
        <f t="shared" si="530"/>
        <v>5.3738478604376284E-2</v>
      </c>
      <c r="AN1354" s="28">
        <f t="shared" si="530"/>
        <v>5.3763835169364317E-2</v>
      </c>
      <c r="AO1354" s="28">
        <f t="shared" si="530"/>
        <v>5.3793262757512665E-2</v>
      </c>
      <c r="AP1354" s="28">
        <f t="shared" si="530"/>
        <v>5.3826619180497665E-2</v>
      </c>
      <c r="AQ1354" s="28">
        <f t="shared" si="530"/>
        <v>5.3863771952469164E-2</v>
      </c>
      <c r="AR1354" s="28">
        <f t="shared" si="530"/>
        <v>5.3904597466717913E-2</v>
      </c>
      <c r="AS1354" s="28">
        <f t="shared" si="530"/>
        <v>5.3910563480556228E-2</v>
      </c>
      <c r="AT1354" s="28">
        <f t="shared" si="530"/>
        <v>5.3919785471416987E-2</v>
      </c>
      <c r="AU1354" s="28">
        <f t="shared" si="530"/>
        <v>5.3932155519366927E-2</v>
      </c>
      <c r="AV1354" s="28">
        <f t="shared" si="530"/>
        <v>5.3947572278859428E-2</v>
      </c>
      <c r="AW1354" s="28">
        <f t="shared" si="530"/>
        <v>5.3965940473698626E-2</v>
      </c>
      <c r="AY1354" s="85"/>
      <c r="AZ1354" s="85"/>
    </row>
    <row r="1355" spans="1:52" x14ac:dyDescent="0.25">
      <c r="A1355" s="102" t="str">
        <f t="shared" si="514"/>
        <v>FSFAGSPQNIBDDSCM MM Leaching</v>
      </c>
      <c r="B1355" s="102" t="s">
        <v>1376</v>
      </c>
      <c r="C1355" s="102" t="s">
        <v>1334</v>
      </c>
      <c r="D1355" t="s">
        <v>369</v>
      </c>
      <c r="E1355" t="s">
        <v>64</v>
      </c>
      <c r="F1355" t="s">
        <v>63</v>
      </c>
      <c r="G1355" t="s">
        <v>1155</v>
      </c>
      <c r="H1355" t="s">
        <v>1308</v>
      </c>
      <c r="I1355" t="s">
        <v>139</v>
      </c>
      <c r="J1355" t="s">
        <v>287</v>
      </c>
      <c r="K1355" s="28">
        <f t="shared" ref="K1355:AW1355" si="531">IFERROR(K1548-((K1548-K139)+(K1548-K292)+(K1548-K445)+(K1548-K597)+(K1548-K749)+(K1548-K900)+(K1548-K1051)+(K1548-K1202)),0)</f>
        <v>2.6988316791591433E-2</v>
      </c>
      <c r="L1355" s="28">
        <f t="shared" si="531"/>
        <v>2.7156188674482627E-2</v>
      </c>
      <c r="M1355" s="28">
        <f t="shared" si="531"/>
        <v>2.7271602906487613E-2</v>
      </c>
      <c r="N1355" s="28">
        <f t="shared" si="531"/>
        <v>2.7307798508590695E-2</v>
      </c>
      <c r="O1355" s="28">
        <f t="shared" si="531"/>
        <v>2.7356765757190617E-2</v>
      </c>
      <c r="P1355" s="28">
        <f t="shared" si="531"/>
        <v>2.7464022635328895E-2</v>
      </c>
      <c r="Q1355" s="28">
        <f t="shared" si="531"/>
        <v>2.7592612752858615E-2</v>
      </c>
      <c r="R1355" s="28">
        <f t="shared" si="531"/>
        <v>2.7631242565513824E-2</v>
      </c>
      <c r="S1355" s="28">
        <f t="shared" si="531"/>
        <v>2.6782969625151597E-2</v>
      </c>
      <c r="T1355" s="28">
        <f t="shared" si="531"/>
        <v>2.7003571923621898E-2</v>
      </c>
      <c r="U1355" s="28">
        <f t="shared" si="531"/>
        <v>2.7205857966406888E-2</v>
      </c>
      <c r="V1355" s="28">
        <f t="shared" si="531"/>
        <v>2.7413268566275666E-2</v>
      </c>
      <c r="W1355" s="28">
        <f t="shared" si="531"/>
        <v>2.7663122848397212E-2</v>
      </c>
      <c r="X1355" s="28">
        <f t="shared" si="531"/>
        <v>2.7917665495949085E-2</v>
      </c>
      <c r="Y1355" s="28">
        <f t="shared" si="531"/>
        <v>2.8165518357852821E-2</v>
      </c>
      <c r="Z1355" s="28">
        <f t="shared" si="531"/>
        <v>2.8408412733149407E-2</v>
      </c>
      <c r="AA1355" s="28">
        <f t="shared" si="531"/>
        <v>2.8670036614621735E-2</v>
      </c>
      <c r="AB1355" s="28">
        <f t="shared" si="531"/>
        <v>2.8917789287710199E-2</v>
      </c>
      <c r="AC1355" s="28">
        <f t="shared" si="531"/>
        <v>2.9174428676514319E-2</v>
      </c>
      <c r="AD1355" s="28">
        <f t="shared" si="531"/>
        <v>2.9469283915752844E-2</v>
      </c>
      <c r="AE1355" s="28">
        <f t="shared" si="531"/>
        <v>2.979041226626589E-2</v>
      </c>
      <c r="AF1355" s="28">
        <f t="shared" si="531"/>
        <v>3.0124286946394699E-2</v>
      </c>
      <c r="AG1355" s="28">
        <f t="shared" si="531"/>
        <v>3.0170924136884231E-2</v>
      </c>
      <c r="AH1355" s="28">
        <f t="shared" si="531"/>
        <v>1.6153218420962612E-2</v>
      </c>
      <c r="AI1355" s="28">
        <f t="shared" si="531"/>
        <v>1.6165099014506461E-2</v>
      </c>
      <c r="AJ1355" s="28">
        <f t="shared" si="531"/>
        <v>1.6178540267475436E-2</v>
      </c>
      <c r="AK1355" s="28">
        <f t="shared" si="531"/>
        <v>1.6193482859768772E-2</v>
      </c>
      <c r="AL1355" s="28">
        <f t="shared" si="531"/>
        <v>1.6209872039886029E-2</v>
      </c>
      <c r="AM1355" s="28">
        <f t="shared" si="531"/>
        <v>1.6227657191900897E-2</v>
      </c>
      <c r="AN1355" s="28">
        <f t="shared" si="531"/>
        <v>1.6235314231230563E-2</v>
      </c>
      <c r="AO1355" s="28">
        <f t="shared" si="531"/>
        <v>1.6244200616272676E-2</v>
      </c>
      <c r="AP1355" s="28">
        <f t="shared" si="531"/>
        <v>1.6254273409760815E-2</v>
      </c>
      <c r="AQ1355" s="28">
        <f t="shared" si="531"/>
        <v>1.6265492604329402E-2</v>
      </c>
      <c r="AR1355" s="28">
        <f t="shared" si="531"/>
        <v>1.6277820873888151E-2</v>
      </c>
      <c r="AS1355" s="28">
        <f t="shared" si="531"/>
        <v>1.6279622458709387E-2</v>
      </c>
      <c r="AT1355" s="28">
        <f t="shared" si="531"/>
        <v>1.6282407265987193E-2</v>
      </c>
      <c r="AU1355" s="28">
        <f t="shared" si="531"/>
        <v>1.6286142706639629E-2</v>
      </c>
      <c r="AV1355" s="28">
        <f t="shared" si="531"/>
        <v>1.6290798176882768E-2</v>
      </c>
      <c r="AW1355" s="28">
        <f t="shared" si="531"/>
        <v>1.6296344905722616E-2</v>
      </c>
      <c r="AY1355" s="85"/>
      <c r="AZ1355" s="85"/>
    </row>
    <row r="1356" spans="1:52" x14ac:dyDescent="0.25">
      <c r="A1356" s="102" t="str">
        <f t="shared" si="514"/>
        <v>FSFAGSPQNIBDDSCM MM Leaching</v>
      </c>
      <c r="B1356" s="102" t="s">
        <v>1376</v>
      </c>
      <c r="C1356" s="102" t="s">
        <v>1334</v>
      </c>
      <c r="D1356" t="s">
        <v>369</v>
      </c>
      <c r="E1356" t="s">
        <v>64</v>
      </c>
      <c r="F1356" t="s">
        <v>63</v>
      </c>
      <c r="G1356" t="s">
        <v>1157</v>
      </c>
      <c r="H1356" t="s">
        <v>1309</v>
      </c>
      <c r="I1356" t="s">
        <v>139</v>
      </c>
      <c r="J1356" t="s">
        <v>287</v>
      </c>
      <c r="K1356" s="28">
        <f t="shared" ref="K1356:AW1356" si="532">IFERROR(K1549-((K1549-K140)+(K1549-K293)+(K1549-K446)+(K1549-K598)+(K1549-K750)+(K1549-K901)+(K1549-K1052)+(K1549-K1203)),0)</f>
        <v>1.4509917151188738E-3</v>
      </c>
      <c r="L1356" s="28">
        <f t="shared" si="532"/>
        <v>1.4600171283433256E-3</v>
      </c>
      <c r="M1356" s="28">
        <f t="shared" si="532"/>
        <v>1.4662222242646174E-3</v>
      </c>
      <c r="N1356" s="28">
        <f t="shared" si="532"/>
        <v>1.4681682336871716E-3</v>
      </c>
      <c r="O1356" s="28">
        <f t="shared" si="532"/>
        <v>1.4708008940557055E-3</v>
      </c>
      <c r="P1356" s="28">
        <f t="shared" si="532"/>
        <v>1.4765674204667426E-3</v>
      </c>
      <c r="Q1356" s="28">
        <f t="shared" si="532"/>
        <v>1.4834809007190539E-3</v>
      </c>
      <c r="R1356" s="28">
        <f t="shared" si="532"/>
        <v>1.485557782302746E-3</v>
      </c>
      <c r="S1356" s="28">
        <f t="shared" si="532"/>
        <v>1.439951492065016E-3</v>
      </c>
      <c r="T1356" s="28">
        <f t="shared" si="532"/>
        <v>1.4518118874312183E-3</v>
      </c>
      <c r="U1356" s="28">
        <f t="shared" si="532"/>
        <v>1.4626875331571739E-3</v>
      </c>
      <c r="V1356" s="28">
        <f t="shared" si="532"/>
        <v>1.4738386940228707E-3</v>
      </c>
      <c r="W1356" s="28">
        <f t="shared" si="532"/>
        <v>1.4872717842057417E-3</v>
      </c>
      <c r="X1356" s="28">
        <f t="shared" si="532"/>
        <v>1.5009569382520018E-3</v>
      </c>
      <c r="Y1356" s="28">
        <f t="shared" si="532"/>
        <v>1.5142824246825921E-3</v>
      </c>
      <c r="Z1356" s="28">
        <f t="shared" si="532"/>
        <v>1.5273413245364029E-3</v>
      </c>
      <c r="AA1356" s="28">
        <f t="shared" si="532"/>
        <v>1.5414071919050509E-3</v>
      </c>
      <c r="AB1356" s="28">
        <f t="shared" si="532"/>
        <v>1.5547272918144282E-3</v>
      </c>
      <c r="AC1356" s="28">
        <f t="shared" si="532"/>
        <v>1.568525174424283E-3</v>
      </c>
      <c r="AD1356" s="28">
        <f t="shared" si="532"/>
        <v>1.5843776824779826E-3</v>
      </c>
      <c r="AE1356" s="28">
        <f t="shared" si="532"/>
        <v>1.6016427301533305E-3</v>
      </c>
      <c r="AF1356" s="28">
        <f t="shared" si="532"/>
        <v>1.6195930676455074E-3</v>
      </c>
      <c r="AG1356" s="28">
        <f t="shared" si="532"/>
        <v>1.6221004554733333E-3</v>
      </c>
      <c r="AH1356" s="28">
        <f t="shared" si="532"/>
        <v>8.6845675787475588E-4</v>
      </c>
      <c r="AI1356" s="28">
        <f t="shared" si="532"/>
        <v>8.6909550251881536E-4</v>
      </c>
      <c r="AJ1356" s="28">
        <f t="shared" si="532"/>
        <v>8.6981815398498119E-4</v>
      </c>
      <c r="AK1356" s="28">
        <f t="shared" si="532"/>
        <v>8.7062152300526781E-4</v>
      </c>
      <c r="AL1356" s="28">
        <f t="shared" si="532"/>
        <v>8.7150266593653532E-4</v>
      </c>
      <c r="AM1356" s="28">
        <f t="shared" si="532"/>
        <v>8.7245886147940626E-4</v>
      </c>
      <c r="AN1356" s="28">
        <f t="shared" si="532"/>
        <v>8.728705322299566E-4</v>
      </c>
      <c r="AO1356" s="28">
        <f t="shared" si="532"/>
        <v>8.7334829715220207E-4</v>
      </c>
      <c r="AP1356" s="28">
        <f t="shared" si="532"/>
        <v>8.7388984777991429E-4</v>
      </c>
      <c r="AQ1356" s="28">
        <f t="shared" si="532"/>
        <v>8.7449303316917135E-4</v>
      </c>
      <c r="AR1356" s="28">
        <f t="shared" si="532"/>
        <v>8.7515584653132471E-4</v>
      </c>
      <c r="AS1356" s="28">
        <f t="shared" si="532"/>
        <v>8.7525270639368256E-4</v>
      </c>
      <c r="AT1356" s="28">
        <f t="shared" si="532"/>
        <v>8.7540242793132E-4</v>
      </c>
      <c r="AU1356" s="28">
        <f t="shared" si="532"/>
        <v>8.7560325903467736E-4</v>
      </c>
      <c r="AV1356" s="28">
        <f t="shared" si="532"/>
        <v>8.7585355433115466E-4</v>
      </c>
      <c r="AW1356" s="28">
        <f t="shared" si="532"/>
        <v>8.7615176698571857E-4</v>
      </c>
      <c r="AY1356" s="85"/>
      <c r="AZ1356" s="85"/>
    </row>
    <row r="1357" spans="1:52" x14ac:dyDescent="0.25">
      <c r="A1357" s="102" t="str">
        <f t="shared" si="514"/>
        <v>FSFAGSPQNIBDDSCM MM Leaching</v>
      </c>
      <c r="B1357" s="102" t="s">
        <v>1376</v>
      </c>
      <c r="C1357" s="102" t="s">
        <v>1334</v>
      </c>
      <c r="D1357" t="s">
        <v>369</v>
      </c>
      <c r="E1357" t="s">
        <v>64</v>
      </c>
      <c r="F1357" t="s">
        <v>63</v>
      </c>
      <c r="G1357" t="s">
        <v>1159</v>
      </c>
      <c r="H1357" t="s">
        <v>1310</v>
      </c>
      <c r="I1357" t="s">
        <v>139</v>
      </c>
      <c r="J1357" t="s">
        <v>287</v>
      </c>
      <c r="K1357" s="28">
        <f t="shared" ref="K1357:AW1357" si="533">IFERROR(K1550-((K1550-K141)+(K1550-K294)+(K1550-K447)+(K1550-K599)+(K1550-K751)+(K1550-K902)+(K1550-K1053)+(K1550-K1204)),0)</f>
        <v>3.0570019073752373E-2</v>
      </c>
      <c r="L1357" s="28">
        <f t="shared" si="533"/>
        <v>3.0367387601048686E-2</v>
      </c>
      <c r="M1357" s="28">
        <f t="shared" si="533"/>
        <v>2.9940152719715736E-2</v>
      </c>
      <c r="N1357" s="28">
        <f t="shared" si="533"/>
        <v>2.9219989120948371E-2</v>
      </c>
      <c r="O1357" s="28">
        <f t="shared" si="533"/>
        <v>2.852126892952573E-2</v>
      </c>
      <c r="P1357" s="28">
        <f t="shared" si="533"/>
        <v>2.7983855033028606E-2</v>
      </c>
      <c r="Q1357" s="28">
        <f t="shared" si="533"/>
        <v>2.749776002622362E-2</v>
      </c>
      <c r="R1357" s="28">
        <f t="shared" si="533"/>
        <v>2.6733493787157343E-2</v>
      </c>
      <c r="S1357" s="28">
        <f t="shared" si="533"/>
        <v>2.3446894467457041E-2</v>
      </c>
      <c r="T1357" s="28">
        <f t="shared" si="533"/>
        <v>2.3670380965491088E-2</v>
      </c>
      <c r="U1357" s="28">
        <f t="shared" si="533"/>
        <v>2.3821608196176489E-2</v>
      </c>
      <c r="V1357" s="28">
        <f t="shared" si="533"/>
        <v>2.3967916654645059E-2</v>
      </c>
      <c r="W1357" s="28">
        <f t="shared" si="533"/>
        <v>2.4209875654048162E-2</v>
      </c>
      <c r="X1357" s="28">
        <f t="shared" si="533"/>
        <v>2.4443860278754486E-2</v>
      </c>
      <c r="Y1357" s="28">
        <f t="shared" si="533"/>
        <v>2.4689509012601481E-2</v>
      </c>
      <c r="Z1357" s="28">
        <f t="shared" si="533"/>
        <v>2.4903367961433137E-2</v>
      </c>
      <c r="AA1357" s="28">
        <f t="shared" si="533"/>
        <v>2.5146768445041517E-2</v>
      </c>
      <c r="AB1357" s="28">
        <f t="shared" si="533"/>
        <v>2.5337237570324824E-2</v>
      </c>
      <c r="AC1357" s="28">
        <f t="shared" si="533"/>
        <v>2.5532932848471888E-2</v>
      </c>
      <c r="AD1357" s="28">
        <f t="shared" si="533"/>
        <v>2.5624080551254102E-2</v>
      </c>
      <c r="AE1357" s="28">
        <f t="shared" si="533"/>
        <v>2.5749062544479791E-2</v>
      </c>
      <c r="AF1357" s="28">
        <f t="shared" si="533"/>
        <v>2.5873562186552946E-2</v>
      </c>
      <c r="AG1357" s="28">
        <f t="shared" si="533"/>
        <v>2.53248358805277E-2</v>
      </c>
      <c r="AH1357" s="28">
        <f t="shared" si="533"/>
        <v>-5.9737784992688692E-3</v>
      </c>
      <c r="AI1357" s="28">
        <f t="shared" si="533"/>
        <v>-5.8352076147992196E-3</v>
      </c>
      <c r="AJ1357" s="28">
        <f t="shared" si="533"/>
        <v>-5.6988404422584063E-3</v>
      </c>
      <c r="AK1357" s="28">
        <f t="shared" si="533"/>
        <v>-5.5645615630153409E-3</v>
      </c>
      <c r="AL1357" s="28">
        <f t="shared" si="533"/>
        <v>-5.4322635380194221E-3</v>
      </c>
      <c r="AM1357" s="28">
        <f t="shared" si="533"/>
        <v>-5.3018461683791993E-3</v>
      </c>
      <c r="AN1357" s="28">
        <f t="shared" si="533"/>
        <v>-5.1961071833315654E-3</v>
      </c>
      <c r="AO1357" s="28">
        <f t="shared" si="533"/>
        <v>-5.0919652579405755E-3</v>
      </c>
      <c r="AP1357" s="28">
        <f t="shared" si="533"/>
        <v>-4.9893480213799102E-3</v>
      </c>
      <c r="AQ1357" s="28">
        <f t="shared" si="533"/>
        <v>-4.8881876039149471E-3</v>
      </c>
      <c r="AR1357" s="28">
        <f t="shared" si="533"/>
        <v>-4.7884202636879142E-3</v>
      </c>
      <c r="AS1357" s="28">
        <f t="shared" si="533"/>
        <v>-4.6867985813226392E-3</v>
      </c>
      <c r="AT1357" s="28">
        <f t="shared" si="533"/>
        <v>-4.5865743266878378E-3</v>
      </c>
      <c r="AU1357" s="28">
        <f t="shared" si="533"/>
        <v>-4.4876925271481486E-3</v>
      </c>
      <c r="AV1357" s="28">
        <f t="shared" si="533"/>
        <v>-4.3901012986055903E-3</v>
      </c>
      <c r="AW1357" s="28">
        <f t="shared" si="533"/>
        <v>-4.2937516147018842E-3</v>
      </c>
      <c r="AY1357" s="85"/>
      <c r="AZ1357" s="85"/>
    </row>
    <row r="1358" spans="1:52" x14ac:dyDescent="0.25">
      <c r="A1358" s="102" t="str">
        <f t="shared" si="514"/>
        <v>FSFAGSPQNIBDDSCM MM Leaching</v>
      </c>
      <c r="B1358" s="102" t="s">
        <v>1376</v>
      </c>
      <c r="C1358" s="102" t="s">
        <v>1334</v>
      </c>
      <c r="D1358" t="s">
        <v>369</v>
      </c>
      <c r="E1358" t="s">
        <v>64</v>
      </c>
      <c r="F1358" t="s">
        <v>63</v>
      </c>
      <c r="G1358" t="s">
        <v>1161</v>
      </c>
      <c r="H1358" t="s">
        <v>1311</v>
      </c>
      <c r="I1358" t="s">
        <v>139</v>
      </c>
      <c r="J1358" t="s">
        <v>287</v>
      </c>
      <c r="K1358" s="28">
        <f t="shared" ref="K1358:AW1358" si="534">IFERROR(K1551-((K1551-K142)+(K1551-K295)+(K1551-K448)+(K1551-K600)+(K1551-K752)+(K1551-K903)+(K1551-K1054)+(K1551-K1205)),0)</f>
        <v>4.0580733454567468E-2</v>
      </c>
      <c r="L1358" s="28">
        <f t="shared" si="534"/>
        <v>4.0311746583363478E-2</v>
      </c>
      <c r="M1358" s="28">
        <f t="shared" si="534"/>
        <v>3.9744605790940746E-2</v>
      </c>
      <c r="N1358" s="28">
        <f t="shared" si="534"/>
        <v>3.8788611390847182E-2</v>
      </c>
      <c r="O1358" s="28">
        <f t="shared" si="534"/>
        <v>3.7861082435793565E-2</v>
      </c>
      <c r="P1358" s="28">
        <f t="shared" si="534"/>
        <v>3.7147682485472483E-2</v>
      </c>
      <c r="Q1358" s="28">
        <f t="shared" si="534"/>
        <v>3.6502406738108395E-2</v>
      </c>
      <c r="R1358" s="28">
        <f t="shared" si="534"/>
        <v>3.5487867477892406E-2</v>
      </c>
      <c r="S1358" s="28">
        <f t="shared" si="534"/>
        <v>3.1125010829260641E-2</v>
      </c>
      <c r="T1358" s="28">
        <f t="shared" si="534"/>
        <v>3.142168208698979E-2</v>
      </c>
      <c r="U1358" s="28">
        <f t="shared" si="534"/>
        <v>3.1622431452723296E-2</v>
      </c>
      <c r="V1358" s="28">
        <f t="shared" si="534"/>
        <v>3.1816651303909434E-2</v>
      </c>
      <c r="W1358" s="28">
        <f t="shared" si="534"/>
        <v>3.2137844222959386E-2</v>
      </c>
      <c r="X1358" s="28">
        <f t="shared" si="534"/>
        <v>3.2448451411812178E-2</v>
      </c>
      <c r="Y1358" s="28">
        <f t="shared" si="534"/>
        <v>3.2774542336637791E-2</v>
      </c>
      <c r="Z1358" s="28">
        <f t="shared" si="534"/>
        <v>3.3058433327300053E-2</v>
      </c>
      <c r="AA1358" s="28">
        <f t="shared" si="534"/>
        <v>3.3381539771041358E-2</v>
      </c>
      <c r="AB1358" s="28">
        <f t="shared" si="534"/>
        <v>3.3634381510714434E-2</v>
      </c>
      <c r="AC1358" s="28">
        <f t="shared" si="534"/>
        <v>3.3894160803021843E-2</v>
      </c>
      <c r="AD1358" s="28">
        <f t="shared" si="534"/>
        <v>3.4015156495653814E-2</v>
      </c>
      <c r="AE1358" s="28">
        <f t="shared" si="534"/>
        <v>3.4181066138741563E-2</v>
      </c>
      <c r="AF1358" s="28">
        <f t="shared" si="534"/>
        <v>3.4346335475930106E-2</v>
      </c>
      <c r="AG1358" s="28">
        <f t="shared" si="534"/>
        <v>3.3617918659748287E-2</v>
      </c>
      <c r="AH1358" s="28">
        <f t="shared" si="534"/>
        <v>-7.9300020196454452E-3</v>
      </c>
      <c r="AI1358" s="28">
        <f t="shared" si="534"/>
        <v>-7.7460535532195693E-3</v>
      </c>
      <c r="AJ1358" s="28">
        <f t="shared" si="534"/>
        <v>-7.565030444680417E-3</v>
      </c>
      <c r="AK1358" s="28">
        <f t="shared" si="534"/>
        <v>-7.3867794794456746E-3</v>
      </c>
      <c r="AL1358" s="28">
        <f t="shared" si="534"/>
        <v>-7.211158035573738E-3</v>
      </c>
      <c r="AM1358" s="28">
        <f t="shared" si="534"/>
        <v>-7.038033102205285E-3</v>
      </c>
      <c r="AN1358" s="28">
        <f t="shared" si="534"/>
        <v>-6.8976679438577443E-3</v>
      </c>
      <c r="AO1358" s="28">
        <f t="shared" si="534"/>
        <v>-6.7594228316927426E-3</v>
      </c>
      <c r="AP1358" s="28">
        <f t="shared" si="534"/>
        <v>-6.6232016957272714E-3</v>
      </c>
      <c r="AQ1358" s="28">
        <f t="shared" si="534"/>
        <v>-6.4889144410352007E-3</v>
      </c>
      <c r="AR1358" s="28">
        <f t="shared" si="534"/>
        <v>-6.3564764523163604E-3</v>
      </c>
      <c r="AS1358" s="28">
        <f t="shared" si="534"/>
        <v>-6.2215768830579691E-3</v>
      </c>
      <c r="AT1358" s="28">
        <f t="shared" si="534"/>
        <v>-6.0885323549140658E-3</v>
      </c>
      <c r="AU1358" s="28">
        <f t="shared" si="534"/>
        <v>-5.9572698934498708E-3</v>
      </c>
      <c r="AV1358" s="28">
        <f t="shared" si="534"/>
        <v>-5.8277206241663026E-3</v>
      </c>
      <c r="AW1358" s="28">
        <f t="shared" si="534"/>
        <v>-5.6998194661233492E-3</v>
      </c>
      <c r="AY1358" s="85"/>
      <c r="AZ1358" s="85"/>
    </row>
    <row r="1359" spans="1:52" x14ac:dyDescent="0.25">
      <c r="A1359" s="102" t="str">
        <f t="shared" si="514"/>
        <v>FSFAGSPQNIBDDSCM MM Leaching</v>
      </c>
      <c r="B1359" s="102" t="s">
        <v>1376</v>
      </c>
      <c r="C1359" s="102" t="s">
        <v>1334</v>
      </c>
      <c r="D1359" t="s">
        <v>369</v>
      </c>
      <c r="E1359" t="s">
        <v>64</v>
      </c>
      <c r="F1359" t="s">
        <v>63</v>
      </c>
      <c r="G1359" t="s">
        <v>1163</v>
      </c>
      <c r="H1359" t="s">
        <v>1312</v>
      </c>
      <c r="I1359" t="s">
        <v>139</v>
      </c>
      <c r="J1359" t="s">
        <v>287</v>
      </c>
      <c r="K1359" s="28">
        <f t="shared" ref="K1359:AW1359" si="535">IFERROR(K1552-((K1552-K143)+(K1552-K296)+(K1552-K449)+(K1552-K601)+(K1552-K753)+(K1552-K904)+(K1552-K1055)+(K1552-K1206)),0)</f>
        <v>4.2198184999711216E-2</v>
      </c>
      <c r="L1359" s="28">
        <f t="shared" si="535"/>
        <v>4.3701080723593189E-2</v>
      </c>
      <c r="M1359" s="28">
        <f t="shared" si="535"/>
        <v>4.4893970631746632E-2</v>
      </c>
      <c r="N1359" s="28">
        <f t="shared" si="535"/>
        <v>4.5631666148342777E-2</v>
      </c>
      <c r="O1359" s="28">
        <f t="shared" si="535"/>
        <v>4.6370901653410727E-2</v>
      </c>
      <c r="P1359" s="28">
        <f t="shared" si="535"/>
        <v>4.7352594214128713E-2</v>
      </c>
      <c r="Q1359" s="28">
        <f t="shared" si="535"/>
        <v>4.8416104778857959E-2</v>
      </c>
      <c r="R1359" s="28">
        <f t="shared" si="535"/>
        <v>4.8969568240860781E-2</v>
      </c>
      <c r="S1359" s="28">
        <f t="shared" si="535"/>
        <v>4.467643167473432E-2</v>
      </c>
      <c r="T1359" s="28">
        <f t="shared" si="535"/>
        <v>4.6180091777624298E-2</v>
      </c>
      <c r="U1359" s="28">
        <f t="shared" si="535"/>
        <v>4.7570527161609366E-2</v>
      </c>
      <c r="V1359" s="28">
        <f t="shared" si="535"/>
        <v>4.8976478875928542E-2</v>
      </c>
      <c r="W1359" s="28">
        <f t="shared" si="535"/>
        <v>5.0608575947889443E-2</v>
      </c>
      <c r="X1359" s="28">
        <f t="shared" si="535"/>
        <v>5.2259990749301093E-2</v>
      </c>
      <c r="Y1359" s="28">
        <f t="shared" si="535"/>
        <v>5.3973742651481194E-2</v>
      </c>
      <c r="Z1359" s="28">
        <f t="shared" si="535"/>
        <v>5.5655662348968654E-2</v>
      </c>
      <c r="AA1359" s="28">
        <f t="shared" si="535"/>
        <v>5.7442412303445836E-2</v>
      </c>
      <c r="AB1359" s="28">
        <f t="shared" si="535"/>
        <v>5.9147142754678653E-2</v>
      </c>
      <c r="AC1359" s="28">
        <f t="shared" si="535"/>
        <v>6.0901819824646548E-2</v>
      </c>
      <c r="AD1359" s="28">
        <f t="shared" si="535"/>
        <v>6.3135419327645992E-2</v>
      </c>
      <c r="AE1359" s="28">
        <f t="shared" si="535"/>
        <v>6.5540351764294846E-2</v>
      </c>
      <c r="AF1359" s="28">
        <f t="shared" si="535"/>
        <v>6.8039701590190294E-2</v>
      </c>
      <c r="AG1359" s="28">
        <f t="shared" si="535"/>
        <v>6.8810814245314753E-2</v>
      </c>
      <c r="AH1359" s="28">
        <f t="shared" si="535"/>
        <v>-1.6773235166111743E-2</v>
      </c>
      <c r="AI1359" s="28">
        <f t="shared" si="535"/>
        <v>-1.6933400933561566E-2</v>
      </c>
      <c r="AJ1359" s="28">
        <f t="shared" si="535"/>
        <v>-1.7094868952670969E-2</v>
      </c>
      <c r="AK1359" s="28">
        <f t="shared" si="535"/>
        <v>-1.7257651547387617E-2</v>
      </c>
      <c r="AL1359" s="28">
        <f t="shared" si="535"/>
        <v>-1.7421761152310457E-2</v>
      </c>
      <c r="AM1359" s="28">
        <f t="shared" si="535"/>
        <v>-1.7587210313649345E-2</v>
      </c>
      <c r="AN1359" s="28">
        <f t="shared" si="535"/>
        <v>-1.7719984819695212E-2</v>
      </c>
      <c r="AO1359" s="28">
        <f t="shared" si="535"/>
        <v>-1.7853675202067487E-2</v>
      </c>
      <c r="AP1359" s="28">
        <f t="shared" si="535"/>
        <v>-1.7988288709386402E-2</v>
      </c>
      <c r="AQ1359" s="28">
        <f t="shared" si="535"/>
        <v>-1.8123832644983004E-2</v>
      </c>
      <c r="AR1359" s="28">
        <f t="shared" si="535"/>
        <v>-1.8260314367299166E-2</v>
      </c>
      <c r="AS1359" s="28">
        <f t="shared" si="535"/>
        <v>-1.8385237574275969E-2</v>
      </c>
      <c r="AT1359" s="28">
        <f t="shared" si="535"/>
        <v>-1.8510879729427106E-2</v>
      </c>
      <c r="AU1359" s="28">
        <f t="shared" si="535"/>
        <v>-1.8637245588774352E-2</v>
      </c>
      <c r="AV1359" s="28">
        <f t="shared" si="535"/>
        <v>-1.8764339938161633E-2</v>
      </c>
      <c r="AW1359" s="28">
        <f t="shared" si="535"/>
        <v>-1.8892167593435472E-2</v>
      </c>
      <c r="AY1359" s="85"/>
      <c r="AZ1359" s="85"/>
    </row>
    <row r="1360" spans="1:52" x14ac:dyDescent="0.25">
      <c r="A1360" s="102" t="str">
        <f t="shared" si="514"/>
        <v>FSFAGSPQNIBDDSCM MM Leaching</v>
      </c>
      <c r="B1360" s="102" t="s">
        <v>1376</v>
      </c>
      <c r="C1360" s="102" t="s">
        <v>1334</v>
      </c>
      <c r="D1360" t="s">
        <v>369</v>
      </c>
      <c r="E1360" t="s">
        <v>64</v>
      </c>
      <c r="F1360" t="s">
        <v>63</v>
      </c>
      <c r="G1360" t="s">
        <v>1165</v>
      </c>
      <c r="H1360" t="s">
        <v>1313</v>
      </c>
      <c r="I1360" t="s">
        <v>139</v>
      </c>
      <c r="J1360" t="s">
        <v>287</v>
      </c>
      <c r="K1360" s="28">
        <f t="shared" ref="K1360:AW1360" si="536">IFERROR(K1553-((K1553-K144)+(K1553-K297)+(K1553-K450)+(K1553-K602)+(K1553-K754)+(K1553-K905)+(K1553-K1056)+(K1553-K1207)),0)</f>
        <v>4.3944700668161743E-3</v>
      </c>
      <c r="L1360" s="28">
        <f t="shared" si="536"/>
        <v>4.3968698493422791E-3</v>
      </c>
      <c r="M1360" s="28">
        <f t="shared" si="536"/>
        <v>4.4022434234010565E-3</v>
      </c>
      <c r="N1360" s="28">
        <f t="shared" si="536"/>
        <v>4.4103317804749962E-3</v>
      </c>
      <c r="O1360" s="28">
        <f t="shared" si="536"/>
        <v>4.4212431364047738E-3</v>
      </c>
      <c r="P1360" s="28">
        <f t="shared" si="536"/>
        <v>4.4349890691963833E-3</v>
      </c>
      <c r="Q1360" s="28">
        <f t="shared" si="536"/>
        <v>4.4503014810886657E-3</v>
      </c>
      <c r="R1360" s="28">
        <f t="shared" si="536"/>
        <v>4.4668966507282254E-3</v>
      </c>
      <c r="S1360" s="28">
        <f t="shared" si="536"/>
        <v>4.4824913305812559E-3</v>
      </c>
      <c r="T1360" s="28">
        <f t="shared" si="536"/>
        <v>4.4890055303365281E-3</v>
      </c>
      <c r="U1360" s="28">
        <f t="shared" si="536"/>
        <v>4.4965644629605924E-3</v>
      </c>
      <c r="V1360" s="28">
        <f t="shared" si="536"/>
        <v>4.5051665785440084E-3</v>
      </c>
      <c r="W1360" s="28">
        <f t="shared" si="536"/>
        <v>4.5148564456586847E-3</v>
      </c>
      <c r="X1360" s="28">
        <f t="shared" si="536"/>
        <v>4.525478721327544E-3</v>
      </c>
      <c r="Y1360" s="28">
        <f t="shared" si="536"/>
        <v>4.5320175420941466E-3</v>
      </c>
      <c r="Z1360" s="28">
        <f t="shared" si="536"/>
        <v>4.5393215398995043E-3</v>
      </c>
      <c r="AA1360" s="28">
        <f t="shared" si="536"/>
        <v>4.5474172205527642E-3</v>
      </c>
      <c r="AB1360" s="28">
        <f t="shared" si="536"/>
        <v>4.5561801987217551E-3</v>
      </c>
      <c r="AC1360" s="28">
        <f t="shared" si="536"/>
        <v>4.5656418072393947E-3</v>
      </c>
      <c r="AD1360" s="28">
        <f t="shared" si="536"/>
        <v>4.5718705604296328E-3</v>
      </c>
      <c r="AE1360" s="28">
        <f t="shared" si="536"/>
        <v>4.5787544823923942E-3</v>
      </c>
      <c r="AF1360" s="28">
        <f t="shared" si="536"/>
        <v>4.586231662580295E-3</v>
      </c>
      <c r="AG1360" s="28">
        <f t="shared" si="536"/>
        <v>4.5934555722856032E-3</v>
      </c>
      <c r="AH1360" s="28">
        <f t="shared" si="536"/>
        <v>4.562571195274273E-3</v>
      </c>
      <c r="AI1360" s="28">
        <f t="shared" si="536"/>
        <v>4.5669572651403133E-3</v>
      </c>
      <c r="AJ1360" s="28">
        <f t="shared" si="536"/>
        <v>4.5717973149633755E-3</v>
      </c>
      <c r="AK1360" s="28">
        <f t="shared" si="536"/>
        <v>4.5770741937615714E-3</v>
      </c>
      <c r="AL1360" s="28">
        <f t="shared" si="536"/>
        <v>4.5827720762171521E-3</v>
      </c>
      <c r="AM1360" s="28">
        <f t="shared" si="536"/>
        <v>4.5888763368810139E-3</v>
      </c>
      <c r="AN1360" s="28">
        <f t="shared" si="536"/>
        <v>4.5918387401172314E-3</v>
      </c>
      <c r="AO1360" s="28">
        <f t="shared" si="536"/>
        <v>4.5951591884317378E-3</v>
      </c>
      <c r="AP1360" s="28">
        <f t="shared" si="536"/>
        <v>4.5988252210116161E-3</v>
      </c>
      <c r="AQ1360" s="28">
        <f t="shared" si="536"/>
        <v>4.6028252299079387E-3</v>
      </c>
      <c r="AR1360" s="28">
        <f t="shared" si="536"/>
        <v>4.6071483875808113E-3</v>
      </c>
      <c r="AS1360" s="28">
        <f t="shared" si="536"/>
        <v>4.6082148579908756E-3</v>
      </c>
      <c r="AT1360" s="28">
        <f t="shared" si="536"/>
        <v>4.609568122792394E-3</v>
      </c>
      <c r="AU1360" s="28">
        <f t="shared" si="536"/>
        <v>4.6111986833604953E-3</v>
      </c>
      <c r="AV1360" s="28">
        <f t="shared" si="536"/>
        <v>4.6130976210976499E-3</v>
      </c>
      <c r="AW1360" s="28">
        <f t="shared" si="536"/>
        <v>4.6152565528286265E-3</v>
      </c>
      <c r="AY1360" s="85"/>
      <c r="AZ1360" s="85"/>
    </row>
    <row r="1361" spans="1:52" x14ac:dyDescent="0.25">
      <c r="A1361" s="102" t="str">
        <f t="shared" si="514"/>
        <v>FSFAGSPQNIBDDSCM MM Leaching</v>
      </c>
      <c r="B1361" s="102" t="s">
        <v>1376</v>
      </c>
      <c r="C1361" s="102" t="s">
        <v>1334</v>
      </c>
      <c r="D1361" t="s">
        <v>369</v>
      </c>
      <c r="E1361" t="s">
        <v>64</v>
      </c>
      <c r="F1361" t="s">
        <v>63</v>
      </c>
      <c r="G1361" t="s">
        <v>1167</v>
      </c>
      <c r="H1361" t="s">
        <v>1314</v>
      </c>
      <c r="I1361" t="s">
        <v>139</v>
      </c>
      <c r="J1361" t="s">
        <v>287</v>
      </c>
      <c r="K1361" s="28">
        <f t="shared" ref="K1361:AW1361" si="537">IFERROR(K1554-((K1554-K145)+(K1554-K298)+(K1554-K451)+(K1554-K603)+(K1554-K755)+(K1554-K906)+(K1554-K1057)+(K1554-K1208)),0)</f>
        <v>3.6554081926520139E-3</v>
      </c>
      <c r="L1361" s="28">
        <f t="shared" si="537"/>
        <v>3.6574043798084017E-3</v>
      </c>
      <c r="M1361" s="28">
        <f t="shared" si="537"/>
        <v>3.6618742263063008E-3</v>
      </c>
      <c r="N1361" s="28">
        <f t="shared" si="537"/>
        <v>3.6686022836746814E-3</v>
      </c>
      <c r="O1361" s="28">
        <f t="shared" si="537"/>
        <v>3.6776785680166413E-3</v>
      </c>
      <c r="P1361" s="28">
        <f t="shared" si="537"/>
        <v>3.6891127101493907E-3</v>
      </c>
      <c r="Q1361" s="28">
        <f t="shared" si="537"/>
        <v>3.7018498809639078E-3</v>
      </c>
      <c r="R1361" s="28">
        <f t="shared" si="537"/>
        <v>3.7156540753574409E-3</v>
      </c>
      <c r="S1361" s="28">
        <f t="shared" si="537"/>
        <v>3.7286260423135963E-3</v>
      </c>
      <c r="T1361" s="28">
        <f t="shared" si="537"/>
        <v>3.7340446841047422E-3</v>
      </c>
      <c r="U1361" s="28">
        <f t="shared" si="537"/>
        <v>3.7403323556149792E-3</v>
      </c>
      <c r="V1361" s="28">
        <f t="shared" si="537"/>
        <v>3.7474877675985991E-3</v>
      </c>
      <c r="W1361" s="28">
        <f t="shared" si="537"/>
        <v>3.7555479930861213E-3</v>
      </c>
      <c r="X1361" s="28">
        <f t="shared" si="537"/>
        <v>3.7643838146787538E-3</v>
      </c>
      <c r="Y1361" s="28">
        <f t="shared" si="537"/>
        <v>3.769822936720115E-3</v>
      </c>
      <c r="Z1361" s="28">
        <f t="shared" si="537"/>
        <v>3.7758985483435582E-3</v>
      </c>
      <c r="AA1361" s="28">
        <f t="shared" si="537"/>
        <v>3.7826326976118578E-3</v>
      </c>
      <c r="AB1361" s="28">
        <f t="shared" si="537"/>
        <v>3.7899219183151331E-3</v>
      </c>
      <c r="AC1361" s="28">
        <f t="shared" si="537"/>
        <v>3.7977922737311865E-3</v>
      </c>
      <c r="AD1361" s="28">
        <f t="shared" si="537"/>
        <v>3.8029734753540017E-3</v>
      </c>
      <c r="AE1361" s="28">
        <f t="shared" si="537"/>
        <v>3.8086996594803367E-3</v>
      </c>
      <c r="AF1361" s="28">
        <f t="shared" si="537"/>
        <v>3.8149193276772325E-3</v>
      </c>
      <c r="AG1361" s="28">
        <f t="shared" si="537"/>
        <v>3.8209283204154385E-3</v>
      </c>
      <c r="AH1361" s="28">
        <f t="shared" si="537"/>
        <v>3.7952380772153156E-3</v>
      </c>
      <c r="AI1361" s="28">
        <f t="shared" si="537"/>
        <v>3.7988864979527624E-3</v>
      </c>
      <c r="AJ1361" s="28">
        <f t="shared" si="537"/>
        <v>3.8029125483085634E-3</v>
      </c>
      <c r="AK1361" s="28">
        <f t="shared" si="537"/>
        <v>3.8073019617525694E-3</v>
      </c>
      <c r="AL1361" s="28">
        <f t="shared" si="537"/>
        <v>3.8120415744685989E-3</v>
      </c>
      <c r="AM1361" s="28">
        <f t="shared" si="537"/>
        <v>3.8171192207152455E-3</v>
      </c>
      <c r="AN1361" s="28">
        <f t="shared" si="537"/>
        <v>3.8195834070437343E-3</v>
      </c>
      <c r="AO1361" s="28">
        <f t="shared" si="537"/>
        <v>3.8223454224375316E-3</v>
      </c>
      <c r="AP1361" s="28">
        <f t="shared" si="537"/>
        <v>3.8253949017429448E-3</v>
      </c>
      <c r="AQ1361" s="28">
        <f t="shared" si="537"/>
        <v>3.8287221892356308E-3</v>
      </c>
      <c r="AR1361" s="28">
        <f t="shared" si="537"/>
        <v>3.8323182783511038E-3</v>
      </c>
      <c r="AS1361" s="28">
        <f t="shared" si="537"/>
        <v>3.833205389792278E-3</v>
      </c>
      <c r="AT1361" s="28">
        <f t="shared" si="537"/>
        <v>3.8343310625507851E-3</v>
      </c>
      <c r="AU1361" s="28">
        <f t="shared" si="537"/>
        <v>3.8356873954802709E-3</v>
      </c>
      <c r="AV1361" s="28">
        <f t="shared" si="537"/>
        <v>3.8372669699127259E-3</v>
      </c>
      <c r="AW1361" s="28">
        <f t="shared" si="537"/>
        <v>3.8390628125551359E-3</v>
      </c>
      <c r="AY1361" s="85"/>
      <c r="AZ1361" s="85"/>
    </row>
    <row r="1362" spans="1:52" x14ac:dyDescent="0.25">
      <c r="A1362" s="102" t="str">
        <f t="shared" si="514"/>
        <v>FSFAGSPQNIBDDSCM MM Leaching</v>
      </c>
      <c r="B1362" s="102" t="s">
        <v>1376</v>
      </c>
      <c r="C1362" s="102" t="s">
        <v>1334</v>
      </c>
      <c r="D1362" t="s">
        <v>369</v>
      </c>
      <c r="E1362" t="s">
        <v>64</v>
      </c>
      <c r="F1362" t="s">
        <v>63</v>
      </c>
      <c r="G1362" t="s">
        <v>1169</v>
      </c>
      <c r="H1362" t="s">
        <v>1315</v>
      </c>
      <c r="I1362" t="s">
        <v>139</v>
      </c>
      <c r="J1362" t="s">
        <v>287</v>
      </c>
      <c r="K1362" s="28">
        <f t="shared" ref="K1362:AW1362" si="538">IFERROR(K1555-((K1555-K146)+(K1555-K299)+(K1555-K452)+(K1555-K604)+(K1555-K756)+(K1555-K907)+(K1555-K1058)+(K1555-K1209)),0)</f>
        <v>5.4321183723638063E-4</v>
      </c>
      <c r="L1362" s="28">
        <f t="shared" si="538"/>
        <v>5.4462866238069155E-4</v>
      </c>
      <c r="M1362" s="28">
        <f t="shared" si="538"/>
        <v>5.4651670738969612E-4</v>
      </c>
      <c r="N1362" s="28">
        <f t="shared" si="538"/>
        <v>5.4883399731316639E-4</v>
      </c>
      <c r="O1362" s="28">
        <f t="shared" si="538"/>
        <v>5.5160837836810213E-4</v>
      </c>
      <c r="P1362" s="28">
        <f t="shared" si="538"/>
        <v>5.5484723352096008E-4</v>
      </c>
      <c r="Q1362" s="28">
        <f t="shared" si="538"/>
        <v>5.5831016678068942E-4</v>
      </c>
      <c r="R1362" s="28">
        <f t="shared" si="538"/>
        <v>5.61947661040627E-4</v>
      </c>
      <c r="S1362" s="28">
        <f t="shared" si="538"/>
        <v>5.6532673344002258E-4</v>
      </c>
      <c r="T1362" s="28">
        <f t="shared" si="538"/>
        <v>5.6691026971513229E-4</v>
      </c>
      <c r="U1362" s="28">
        <f t="shared" si="538"/>
        <v>5.6864670501845574E-4</v>
      </c>
      <c r="V1362" s="28">
        <f t="shared" si="538"/>
        <v>5.7053824293023939E-4</v>
      </c>
      <c r="W1362" s="28">
        <f t="shared" si="538"/>
        <v>5.7259543924260763E-4</v>
      </c>
      <c r="X1362" s="28">
        <f t="shared" si="538"/>
        <v>5.7479059617442649E-4</v>
      </c>
      <c r="Y1362" s="28">
        <f t="shared" si="538"/>
        <v>5.7617814395304924E-4</v>
      </c>
      <c r="Z1362" s="28">
        <f t="shared" si="538"/>
        <v>5.7767940009102313E-4</v>
      </c>
      <c r="AA1362" s="28">
        <f t="shared" si="538"/>
        <v>5.7930057538230326E-4</v>
      </c>
      <c r="AB1362" s="28">
        <f t="shared" si="538"/>
        <v>5.8101935108040965E-4</v>
      </c>
      <c r="AC1362" s="28">
        <f t="shared" si="538"/>
        <v>5.8284260247755859E-4</v>
      </c>
      <c r="AD1362" s="28">
        <f t="shared" si="538"/>
        <v>5.8403671107952763E-4</v>
      </c>
      <c r="AE1362" s="28">
        <f t="shared" si="538"/>
        <v>5.8533173041619576E-4</v>
      </c>
      <c r="AF1362" s="28">
        <f t="shared" si="538"/>
        <v>5.8671671252614034E-4</v>
      </c>
      <c r="AG1362" s="28">
        <f t="shared" si="538"/>
        <v>5.8803501308500182E-4</v>
      </c>
      <c r="AH1362" s="28">
        <f t="shared" si="538"/>
        <v>5.8227212874330822E-4</v>
      </c>
      <c r="AI1362" s="28">
        <f t="shared" si="538"/>
        <v>5.8304320424414362E-4</v>
      </c>
      <c r="AJ1362" s="28">
        <f t="shared" si="538"/>
        <v>5.8388341826515493E-4</v>
      </c>
      <c r="AK1362" s="28">
        <f t="shared" si="538"/>
        <v>5.847899630335218E-4</v>
      </c>
      <c r="AL1362" s="28">
        <f t="shared" si="538"/>
        <v>5.8576024856299858E-4</v>
      </c>
      <c r="AM1362" s="28">
        <f t="shared" si="538"/>
        <v>5.8679188180125747E-4</v>
      </c>
      <c r="AN1362" s="28">
        <f t="shared" si="538"/>
        <v>5.8723470872871001E-4</v>
      </c>
      <c r="AO1362" s="28">
        <f t="shared" si="538"/>
        <v>5.8773280177020523E-4</v>
      </c>
      <c r="AP1362" s="28">
        <f t="shared" si="538"/>
        <v>5.8828407739591119E-4</v>
      </c>
      <c r="AQ1362" s="28">
        <f t="shared" si="538"/>
        <v>5.8888659501104234E-4</v>
      </c>
      <c r="AR1362" s="28">
        <f t="shared" si="538"/>
        <v>5.895385447102022E-4</v>
      </c>
      <c r="AS1362" s="28">
        <f t="shared" si="538"/>
        <v>5.8958940978755205E-4</v>
      </c>
      <c r="AT1362" s="28">
        <f t="shared" si="538"/>
        <v>5.8968551081379366E-4</v>
      </c>
      <c r="AU1362" s="28">
        <f t="shared" si="538"/>
        <v>5.8982522322727085E-4</v>
      </c>
      <c r="AV1362" s="28">
        <f t="shared" si="538"/>
        <v>5.9000702190384238E-4</v>
      </c>
      <c r="AW1362" s="28">
        <f t="shared" si="538"/>
        <v>5.9022947345323132E-4</v>
      </c>
      <c r="AY1362" s="85"/>
      <c r="AZ1362" s="85"/>
    </row>
    <row r="1363" spans="1:52" x14ac:dyDescent="0.25">
      <c r="A1363" s="102" t="str">
        <f t="shared" si="514"/>
        <v>FSFAGSPQNIBDDSCM MM Leaching</v>
      </c>
      <c r="B1363" s="102" t="s">
        <v>1376</v>
      </c>
      <c r="C1363" s="102" t="s">
        <v>1334</v>
      </c>
      <c r="D1363" t="s">
        <v>369</v>
      </c>
      <c r="E1363" t="s">
        <v>64</v>
      </c>
      <c r="F1363" t="s">
        <v>63</v>
      </c>
      <c r="G1363" t="s">
        <v>1171</v>
      </c>
      <c r="H1363" t="s">
        <v>1316</v>
      </c>
      <c r="I1363" t="s">
        <v>139</v>
      </c>
      <c r="J1363" t="s">
        <v>287</v>
      </c>
      <c r="K1363" s="28">
        <f t="shared" ref="K1363:AW1363" si="539">IFERROR(K1556-((K1556-K147)+(K1556-K300)+(K1556-K453)+(K1556-K605)+(K1556-K757)+(K1556-K908)+(K1556-K1059)+(K1556-K1210)),0)</f>
        <v>6.6990339537854613E-3</v>
      </c>
      <c r="L1363" s="28">
        <f t="shared" si="539"/>
        <v>6.7165066211643688E-3</v>
      </c>
      <c r="M1363" s="28">
        <f t="shared" si="539"/>
        <v>6.7397904981983149E-3</v>
      </c>
      <c r="N1363" s="28">
        <f t="shared" si="539"/>
        <v>6.7683679385521006E-3</v>
      </c>
      <c r="O1363" s="28">
        <f t="shared" si="539"/>
        <v>6.8025823492363574E-3</v>
      </c>
      <c r="P1363" s="28">
        <f t="shared" si="539"/>
        <v>6.8425247789720067E-3</v>
      </c>
      <c r="Q1363" s="28">
        <f t="shared" si="539"/>
        <v>6.8852305999729637E-3</v>
      </c>
      <c r="R1363" s="28">
        <f t="shared" si="539"/>
        <v>6.9300891540096266E-3</v>
      </c>
      <c r="S1363" s="28">
        <f t="shared" si="539"/>
        <v>6.9717607804068256E-3</v>
      </c>
      <c r="T1363" s="28">
        <f t="shared" si="539"/>
        <v>6.9912893741281628E-3</v>
      </c>
      <c r="U1363" s="28">
        <f t="shared" si="539"/>
        <v>7.0127035596413059E-3</v>
      </c>
      <c r="V1363" s="28">
        <f t="shared" si="539"/>
        <v>7.0360305120884007E-3</v>
      </c>
      <c r="W1363" s="28">
        <f t="shared" si="539"/>
        <v>7.0614004083267975E-3</v>
      </c>
      <c r="X1363" s="28">
        <f t="shared" si="539"/>
        <v>7.0884716718967464E-3</v>
      </c>
      <c r="Y1363" s="28">
        <f t="shared" si="539"/>
        <v>7.1055832829558596E-3</v>
      </c>
      <c r="Z1363" s="28">
        <f t="shared" si="539"/>
        <v>7.1240971759755339E-3</v>
      </c>
      <c r="AA1363" s="28">
        <f t="shared" si="539"/>
        <v>7.1440899441312785E-3</v>
      </c>
      <c r="AB1363" s="28">
        <f t="shared" si="539"/>
        <v>7.1652863466602334E-3</v>
      </c>
      <c r="AC1363" s="28">
        <f t="shared" si="539"/>
        <v>7.1877711715085417E-3</v>
      </c>
      <c r="AD1363" s="28">
        <f t="shared" si="539"/>
        <v>7.2024972388008085E-3</v>
      </c>
      <c r="AE1363" s="28">
        <f t="shared" si="539"/>
        <v>7.2184677643167576E-3</v>
      </c>
      <c r="AF1363" s="28">
        <f t="shared" si="539"/>
        <v>7.2355477348621461E-3</v>
      </c>
      <c r="AG1363" s="28">
        <f t="shared" si="539"/>
        <v>7.251805370649388E-3</v>
      </c>
      <c r="AH1363" s="28">
        <f t="shared" si="539"/>
        <v>7.1807359365347809E-3</v>
      </c>
      <c r="AI1363" s="28">
        <f t="shared" si="539"/>
        <v>7.190245046253943E-3</v>
      </c>
      <c r="AJ1363" s="28">
        <f t="shared" si="539"/>
        <v>7.2006067907325584E-3</v>
      </c>
      <c r="AK1363" s="28">
        <f t="shared" si="539"/>
        <v>7.2117865437637393E-3</v>
      </c>
      <c r="AL1363" s="28">
        <f t="shared" si="539"/>
        <v>7.2237523649430046E-3</v>
      </c>
      <c r="AM1363" s="28">
        <f t="shared" si="539"/>
        <v>7.2364747425077329E-3</v>
      </c>
      <c r="AN1363" s="28">
        <f t="shared" si="539"/>
        <v>7.2419358028516061E-3</v>
      </c>
      <c r="AO1363" s="28">
        <f t="shared" si="539"/>
        <v>7.2480784197247895E-3</v>
      </c>
      <c r="AP1363" s="28">
        <f t="shared" si="539"/>
        <v>7.2548768984790225E-3</v>
      </c>
      <c r="AQ1363" s="28">
        <f t="shared" si="539"/>
        <v>7.2623073071793384E-3</v>
      </c>
      <c r="AR1363" s="28">
        <f t="shared" si="539"/>
        <v>7.2703473255873539E-3</v>
      </c>
      <c r="AS1363" s="28">
        <f t="shared" si="539"/>
        <v>7.2709746073527197E-3</v>
      </c>
      <c r="AT1363" s="28">
        <f t="shared" si="539"/>
        <v>7.272159750962735E-3</v>
      </c>
      <c r="AU1363" s="28">
        <f t="shared" si="539"/>
        <v>7.2738827218876909E-3</v>
      </c>
      <c r="AV1363" s="28">
        <f t="shared" si="539"/>
        <v>7.2761247118879498E-3</v>
      </c>
      <c r="AW1363" s="28">
        <f t="shared" si="539"/>
        <v>7.2788680440104758E-3</v>
      </c>
      <c r="AY1363" s="85"/>
      <c r="AZ1363" s="85"/>
    </row>
    <row r="1364" spans="1:52" x14ac:dyDescent="0.25">
      <c r="A1364" s="102" t="str">
        <f t="shared" si="514"/>
        <v>FSFAGSPQNIBDDSCM MM Leaching</v>
      </c>
      <c r="B1364" s="102" t="s">
        <v>1376</v>
      </c>
      <c r="C1364" s="102" t="s">
        <v>1334</v>
      </c>
      <c r="D1364" t="s">
        <v>369</v>
      </c>
      <c r="E1364" t="s">
        <v>64</v>
      </c>
      <c r="F1364" t="s">
        <v>63</v>
      </c>
      <c r="G1364" t="s">
        <v>1173</v>
      </c>
      <c r="H1364" t="s">
        <v>1317</v>
      </c>
      <c r="I1364" t="s">
        <v>139</v>
      </c>
      <c r="J1364" t="s">
        <v>287</v>
      </c>
      <c r="K1364" s="28">
        <f t="shared" ref="K1364:AW1364" si="540">IFERROR(K1557-((K1557-K148)+(K1557-K301)+(K1557-K454)+(K1557-K606)+(K1557-K758)+(K1557-K909)+(K1557-K1060)+(K1557-K1211)),0)</f>
        <v>0</v>
      </c>
      <c r="L1364" s="28">
        <f t="shared" si="540"/>
        <v>0</v>
      </c>
      <c r="M1364" s="28">
        <f t="shared" si="540"/>
        <v>0</v>
      </c>
      <c r="N1364" s="28">
        <f t="shared" si="540"/>
        <v>0</v>
      </c>
      <c r="O1364" s="28">
        <f t="shared" si="540"/>
        <v>0</v>
      </c>
      <c r="P1364" s="28">
        <f t="shared" si="540"/>
        <v>0</v>
      </c>
      <c r="Q1364" s="28">
        <f t="shared" si="540"/>
        <v>0</v>
      </c>
      <c r="R1364" s="28">
        <f t="shared" si="540"/>
        <v>0</v>
      </c>
      <c r="S1364" s="28">
        <f t="shared" si="540"/>
        <v>0</v>
      </c>
      <c r="T1364" s="28">
        <f t="shared" si="540"/>
        <v>0</v>
      </c>
      <c r="U1364" s="28">
        <f t="shared" si="540"/>
        <v>0</v>
      </c>
      <c r="V1364" s="28">
        <f t="shared" si="540"/>
        <v>0</v>
      </c>
      <c r="W1364" s="28">
        <f t="shared" si="540"/>
        <v>0</v>
      </c>
      <c r="X1364" s="28">
        <f t="shared" si="540"/>
        <v>0</v>
      </c>
      <c r="Y1364" s="28">
        <f t="shared" si="540"/>
        <v>0</v>
      </c>
      <c r="Z1364" s="28">
        <f t="shared" si="540"/>
        <v>0</v>
      </c>
      <c r="AA1364" s="28">
        <f t="shared" si="540"/>
        <v>0</v>
      </c>
      <c r="AB1364" s="28">
        <f t="shared" si="540"/>
        <v>0</v>
      </c>
      <c r="AC1364" s="28">
        <f t="shared" si="540"/>
        <v>0</v>
      </c>
      <c r="AD1364" s="28">
        <f t="shared" si="540"/>
        <v>0</v>
      </c>
      <c r="AE1364" s="28">
        <f t="shared" si="540"/>
        <v>0</v>
      </c>
      <c r="AF1364" s="28">
        <f t="shared" si="540"/>
        <v>0</v>
      </c>
      <c r="AG1364" s="28">
        <f t="shared" si="540"/>
        <v>0</v>
      </c>
      <c r="AH1364" s="28">
        <f t="shared" si="540"/>
        <v>0</v>
      </c>
      <c r="AI1364" s="28">
        <f t="shared" si="540"/>
        <v>0</v>
      </c>
      <c r="AJ1364" s="28">
        <f t="shared" si="540"/>
        <v>0</v>
      </c>
      <c r="AK1364" s="28">
        <f t="shared" si="540"/>
        <v>0</v>
      </c>
      <c r="AL1364" s="28">
        <f t="shared" si="540"/>
        <v>0</v>
      </c>
      <c r="AM1364" s="28">
        <f t="shared" si="540"/>
        <v>0</v>
      </c>
      <c r="AN1364" s="28">
        <f t="shared" si="540"/>
        <v>0</v>
      </c>
      <c r="AO1364" s="28">
        <f t="shared" si="540"/>
        <v>0</v>
      </c>
      <c r="AP1364" s="28">
        <f t="shared" si="540"/>
        <v>0</v>
      </c>
      <c r="AQ1364" s="28">
        <f t="shared" si="540"/>
        <v>0</v>
      </c>
      <c r="AR1364" s="28">
        <f t="shared" si="540"/>
        <v>0</v>
      </c>
      <c r="AS1364" s="28">
        <f t="shared" si="540"/>
        <v>0</v>
      </c>
      <c r="AT1364" s="28">
        <f t="shared" si="540"/>
        <v>0</v>
      </c>
      <c r="AU1364" s="28">
        <f t="shared" si="540"/>
        <v>0</v>
      </c>
      <c r="AV1364" s="28">
        <f t="shared" si="540"/>
        <v>0</v>
      </c>
      <c r="AW1364" s="28">
        <f t="shared" si="540"/>
        <v>0</v>
      </c>
      <c r="AY1364" s="85"/>
      <c r="AZ1364" s="85"/>
    </row>
    <row r="1365" spans="1:52" x14ac:dyDescent="0.25">
      <c r="A1365" s="102" t="str">
        <f t="shared" si="514"/>
        <v>FSFAGSPQNIBDDSCM MM Leaching</v>
      </c>
      <c r="B1365" s="102" t="s">
        <v>1376</v>
      </c>
      <c r="C1365" s="102" t="s">
        <v>1334</v>
      </c>
      <c r="D1365" t="s">
        <v>369</v>
      </c>
      <c r="E1365" t="s">
        <v>64</v>
      </c>
      <c r="F1365" t="s">
        <v>63</v>
      </c>
      <c r="G1365" t="s">
        <v>1175</v>
      </c>
      <c r="H1365" t="s">
        <v>1318</v>
      </c>
      <c r="I1365" t="s">
        <v>139</v>
      </c>
      <c r="J1365" t="s">
        <v>287</v>
      </c>
      <c r="K1365" s="28">
        <f t="shared" ref="K1365:AW1365" si="541">IFERROR(K1558-((K1558-K149)+(K1558-K302)+(K1558-K455)+(K1558-K607)+(K1558-K759)+(K1558-K910)+(K1558-K1061)+(K1558-K1212)),0)</f>
        <v>0</v>
      </c>
      <c r="L1365" s="28">
        <f t="shared" si="541"/>
        <v>0</v>
      </c>
      <c r="M1365" s="28">
        <f t="shared" si="541"/>
        <v>0</v>
      </c>
      <c r="N1365" s="28">
        <f t="shared" si="541"/>
        <v>0</v>
      </c>
      <c r="O1365" s="28">
        <f t="shared" si="541"/>
        <v>0</v>
      </c>
      <c r="P1365" s="28">
        <f t="shared" si="541"/>
        <v>0</v>
      </c>
      <c r="Q1365" s="28">
        <f t="shared" si="541"/>
        <v>0</v>
      </c>
      <c r="R1365" s="28">
        <f t="shared" si="541"/>
        <v>0</v>
      </c>
      <c r="S1365" s="28">
        <f t="shared" si="541"/>
        <v>0</v>
      </c>
      <c r="T1365" s="28">
        <f t="shared" si="541"/>
        <v>0</v>
      </c>
      <c r="U1365" s="28">
        <f t="shared" si="541"/>
        <v>0</v>
      </c>
      <c r="V1365" s="28">
        <f t="shared" si="541"/>
        <v>0</v>
      </c>
      <c r="W1365" s="28">
        <f t="shared" si="541"/>
        <v>0</v>
      </c>
      <c r="X1365" s="28">
        <f t="shared" si="541"/>
        <v>0</v>
      </c>
      <c r="Y1365" s="28">
        <f t="shared" si="541"/>
        <v>0</v>
      </c>
      <c r="Z1365" s="28">
        <f t="shared" si="541"/>
        <v>0</v>
      </c>
      <c r="AA1365" s="28">
        <f t="shared" si="541"/>
        <v>0</v>
      </c>
      <c r="AB1365" s="28">
        <f t="shared" si="541"/>
        <v>0</v>
      </c>
      <c r="AC1365" s="28">
        <f t="shared" si="541"/>
        <v>0</v>
      </c>
      <c r="AD1365" s="28">
        <f t="shared" si="541"/>
        <v>0</v>
      </c>
      <c r="AE1365" s="28">
        <f t="shared" si="541"/>
        <v>0</v>
      </c>
      <c r="AF1365" s="28">
        <f t="shared" si="541"/>
        <v>0</v>
      </c>
      <c r="AG1365" s="28">
        <f t="shared" si="541"/>
        <v>0</v>
      </c>
      <c r="AH1365" s="28">
        <f t="shared" si="541"/>
        <v>0</v>
      </c>
      <c r="AI1365" s="28">
        <f t="shared" si="541"/>
        <v>0</v>
      </c>
      <c r="AJ1365" s="28">
        <f t="shared" si="541"/>
        <v>0</v>
      </c>
      <c r="AK1365" s="28">
        <f t="shared" si="541"/>
        <v>0</v>
      </c>
      <c r="AL1365" s="28">
        <f t="shared" si="541"/>
        <v>0</v>
      </c>
      <c r="AM1365" s="28">
        <f t="shared" si="541"/>
        <v>0</v>
      </c>
      <c r="AN1365" s="28">
        <f t="shared" si="541"/>
        <v>0</v>
      </c>
      <c r="AO1365" s="28">
        <f t="shared" si="541"/>
        <v>0</v>
      </c>
      <c r="AP1365" s="28">
        <f t="shared" si="541"/>
        <v>0</v>
      </c>
      <c r="AQ1365" s="28">
        <f t="shared" si="541"/>
        <v>0</v>
      </c>
      <c r="AR1365" s="28">
        <f t="shared" si="541"/>
        <v>0</v>
      </c>
      <c r="AS1365" s="28">
        <f t="shared" si="541"/>
        <v>0</v>
      </c>
      <c r="AT1365" s="28">
        <f t="shared" si="541"/>
        <v>0</v>
      </c>
      <c r="AU1365" s="28">
        <f t="shared" si="541"/>
        <v>0</v>
      </c>
      <c r="AV1365" s="28">
        <f t="shared" si="541"/>
        <v>0</v>
      </c>
      <c r="AW1365" s="28">
        <f t="shared" si="541"/>
        <v>0</v>
      </c>
      <c r="AY1365" s="85"/>
      <c r="AZ1365" s="85"/>
    </row>
    <row r="1366" spans="1:52" x14ac:dyDescent="0.25">
      <c r="A1366" s="102" t="str">
        <f t="shared" si="514"/>
        <v>FSFAGSPQNIBDDSCM MM Leaching</v>
      </c>
      <c r="B1366" s="102" t="s">
        <v>1376</v>
      </c>
      <c r="C1366" s="102" t="s">
        <v>1334</v>
      </c>
      <c r="D1366" t="s">
        <v>369</v>
      </c>
      <c r="E1366" t="s">
        <v>64</v>
      </c>
      <c r="F1366" t="s">
        <v>63</v>
      </c>
      <c r="G1366" t="s">
        <v>1177</v>
      </c>
      <c r="H1366" t="s">
        <v>1319</v>
      </c>
      <c r="I1366" t="s">
        <v>139</v>
      </c>
      <c r="J1366" t="s">
        <v>287</v>
      </c>
      <c r="K1366" s="28">
        <f t="shared" ref="K1366:AW1366" si="542">IFERROR(K1559-((K1559-K150)+(K1559-K303)+(K1559-K456)+(K1559-K608)+(K1559-K760)+(K1559-K911)+(K1559-K1062)+(K1559-K1213)),0)</f>
        <v>2.7080534096129025E-2</v>
      </c>
      <c r="L1366" s="28">
        <f t="shared" si="542"/>
        <v>2.6995058080291692E-2</v>
      </c>
      <c r="M1366" s="28">
        <f t="shared" si="542"/>
        <v>2.6712389539955236E-2</v>
      </c>
      <c r="N1366" s="28">
        <f t="shared" si="542"/>
        <v>2.6163552006630762E-2</v>
      </c>
      <c r="O1366" s="28">
        <f t="shared" si="542"/>
        <v>2.5638728055519384E-2</v>
      </c>
      <c r="P1366" s="28">
        <f t="shared" si="542"/>
        <v>2.5270557311936091E-2</v>
      </c>
      <c r="Q1366" s="28">
        <f t="shared" si="542"/>
        <v>2.4958747401341939E-2</v>
      </c>
      <c r="R1366" s="28">
        <f t="shared" si="542"/>
        <v>2.4384582351632111E-2</v>
      </c>
      <c r="S1366" s="28">
        <f t="shared" si="542"/>
        <v>2.1346855337625082E-2</v>
      </c>
      <c r="T1366" s="28">
        <f t="shared" si="542"/>
        <v>2.1482505917310397E-2</v>
      </c>
      <c r="U1366" s="28">
        <f t="shared" si="542"/>
        <v>2.1550596950866634E-2</v>
      </c>
      <c r="V1366" s="28">
        <f t="shared" si="542"/>
        <v>2.1616794763907179E-2</v>
      </c>
      <c r="W1366" s="28">
        <f t="shared" si="542"/>
        <v>2.1778489708019384E-2</v>
      </c>
      <c r="X1366" s="28">
        <f t="shared" si="542"/>
        <v>2.1934748739134539E-2</v>
      </c>
      <c r="Y1366" s="28">
        <f t="shared" si="542"/>
        <v>2.2114017881126848E-2</v>
      </c>
      <c r="Z1366" s="28">
        <f t="shared" si="542"/>
        <v>2.2264487150526265E-2</v>
      </c>
      <c r="AA1366" s="28">
        <f t="shared" si="542"/>
        <v>2.2445316206361306E-2</v>
      </c>
      <c r="AB1366" s="28">
        <f t="shared" si="542"/>
        <v>2.2576949368517302E-2</v>
      </c>
      <c r="AC1366" s="28">
        <f t="shared" si="542"/>
        <v>2.271541592892265E-2</v>
      </c>
      <c r="AD1366" s="28">
        <f t="shared" si="542"/>
        <v>2.2970809719090692E-2</v>
      </c>
      <c r="AE1366" s="28">
        <f t="shared" si="542"/>
        <v>2.3269151361655305E-2</v>
      </c>
      <c r="AF1366" s="28">
        <f t="shared" si="542"/>
        <v>2.3577881186145462E-2</v>
      </c>
      <c r="AG1366" s="28">
        <f t="shared" si="542"/>
        <v>2.3230896400696678E-2</v>
      </c>
      <c r="AH1366" s="28">
        <f t="shared" si="542"/>
        <v>-7.8382777121831278E-3</v>
      </c>
      <c r="AI1366" s="28">
        <f t="shared" si="542"/>
        <v>-7.7525396142955495E-3</v>
      </c>
      <c r="AJ1366" s="28">
        <f t="shared" si="542"/>
        <v>-7.6686379044997068E-3</v>
      </c>
      <c r="AK1366" s="28">
        <f t="shared" si="542"/>
        <v>-7.586452448594779E-3</v>
      </c>
      <c r="AL1366" s="28">
        <f t="shared" si="542"/>
        <v>-7.5058719086197852E-3</v>
      </c>
      <c r="AM1366" s="28">
        <f t="shared" si="542"/>
        <v>-7.4267928922061455E-3</v>
      </c>
      <c r="AN1366" s="28">
        <f t="shared" si="542"/>
        <v>-7.3400589670898171E-3</v>
      </c>
      <c r="AO1366" s="28">
        <f t="shared" si="542"/>
        <v>-7.2548542835376628E-3</v>
      </c>
      <c r="AP1366" s="28">
        <f t="shared" si="542"/>
        <v>-7.1710895268481756E-3</v>
      </c>
      <c r="AQ1366" s="28">
        <f t="shared" si="542"/>
        <v>-7.0886812161586998E-3</v>
      </c>
      <c r="AR1366" s="28">
        <f t="shared" si="542"/>
        <v>-7.0075512003870211E-3</v>
      </c>
      <c r="AS1366" s="28">
        <f t="shared" si="542"/>
        <v>-6.9191376458643079E-3</v>
      </c>
      <c r="AT1366" s="28">
        <f t="shared" si="542"/>
        <v>-6.8320744878094938E-3</v>
      </c>
      <c r="AU1366" s="28">
        <f t="shared" si="542"/>
        <v>-6.7462922163727323E-3</v>
      </c>
      <c r="AV1366" s="28">
        <f t="shared" si="542"/>
        <v>-6.6617254285893414E-3</v>
      </c>
      <c r="AW1366" s="28">
        <f t="shared" si="542"/>
        <v>-6.5783125081778221E-3</v>
      </c>
      <c r="AY1366" s="85"/>
      <c r="AZ1366" s="85"/>
    </row>
    <row r="1367" spans="1:52" x14ac:dyDescent="0.25">
      <c r="A1367" s="102" t="str">
        <f t="shared" si="514"/>
        <v>FSFAGSPQNIBDDSCM MM Leaching</v>
      </c>
      <c r="B1367" s="102" t="s">
        <v>1376</v>
      </c>
      <c r="C1367" s="102" t="s">
        <v>1334</v>
      </c>
      <c r="D1367" t="s">
        <v>369</v>
      </c>
      <c r="E1367" t="s">
        <v>64</v>
      </c>
      <c r="F1367" t="s">
        <v>63</v>
      </c>
      <c r="G1367" t="s">
        <v>1179</v>
      </c>
      <c r="H1367" t="s">
        <v>1320</v>
      </c>
      <c r="I1367" t="s">
        <v>139</v>
      </c>
      <c r="J1367" t="s">
        <v>287</v>
      </c>
      <c r="K1367" s="28">
        <f t="shared" ref="K1367:AW1367" si="543">IFERROR(K1560-((K1560-K151)+(K1560-K304)+(K1560-K457)+(K1560-K609)+(K1560-K761)+(K1560-K912)+(K1560-K1063)+(K1560-K1214)),0)</f>
        <v>4.0473192123070822E-3</v>
      </c>
      <c r="L1367" s="28">
        <f t="shared" si="543"/>
        <v>4.0345444007076556E-3</v>
      </c>
      <c r="M1367" s="28">
        <f t="shared" si="543"/>
        <v>3.9922981950029426E-3</v>
      </c>
      <c r="N1367" s="28">
        <f t="shared" si="543"/>
        <v>3.9102717222172061E-3</v>
      </c>
      <c r="O1367" s="28">
        <f t="shared" si="543"/>
        <v>3.8318341975778526E-3</v>
      </c>
      <c r="P1367" s="28">
        <f t="shared" si="543"/>
        <v>3.7768092664363703E-3</v>
      </c>
      <c r="Q1367" s="28">
        <f t="shared" si="543"/>
        <v>3.7302077394038642E-3</v>
      </c>
      <c r="R1367" s="28">
        <f t="shared" si="543"/>
        <v>3.6443959445376013E-3</v>
      </c>
      <c r="S1367" s="28">
        <f t="shared" si="543"/>
        <v>3.1903926792440892E-3</v>
      </c>
      <c r="T1367" s="28">
        <f t="shared" si="543"/>
        <v>3.2106663265573984E-3</v>
      </c>
      <c r="U1367" s="28">
        <f t="shared" si="543"/>
        <v>3.2208428669210313E-3</v>
      </c>
      <c r="V1367" s="28">
        <f t="shared" si="543"/>
        <v>3.2307364561530842E-3</v>
      </c>
      <c r="W1367" s="28">
        <f t="shared" si="543"/>
        <v>3.254902562017731E-3</v>
      </c>
      <c r="X1367" s="28">
        <f t="shared" si="543"/>
        <v>3.2782562439090815E-3</v>
      </c>
      <c r="Y1367" s="28">
        <f t="shared" si="543"/>
        <v>3.3050489002128215E-3</v>
      </c>
      <c r="Z1367" s="28">
        <f t="shared" si="543"/>
        <v>3.3275372736969E-3</v>
      </c>
      <c r="AA1367" s="28">
        <f t="shared" si="543"/>
        <v>3.3545630668081641E-3</v>
      </c>
      <c r="AB1367" s="28">
        <f t="shared" si="543"/>
        <v>3.374236291282967E-3</v>
      </c>
      <c r="AC1367" s="28">
        <f t="shared" si="543"/>
        <v>3.3949308007856708E-3</v>
      </c>
      <c r="AD1367" s="28">
        <f t="shared" si="543"/>
        <v>3.4331006607294153E-3</v>
      </c>
      <c r="AE1367" s="28">
        <f t="shared" si="543"/>
        <v>3.4776892887637355E-3</v>
      </c>
      <c r="AF1367" s="28">
        <f t="shared" si="543"/>
        <v>3.5238304817562988E-3</v>
      </c>
      <c r="AG1367" s="28">
        <f t="shared" si="543"/>
        <v>3.4719718964145189E-3</v>
      </c>
      <c r="AH1367" s="28">
        <f t="shared" si="543"/>
        <v>-1.1714692133953115E-3</v>
      </c>
      <c r="AI1367" s="28">
        <f t="shared" si="543"/>
        <v>-1.1586552323425276E-3</v>
      </c>
      <c r="AJ1367" s="28">
        <f t="shared" si="543"/>
        <v>-1.1461157085356224E-3</v>
      </c>
      <c r="AK1367" s="28">
        <f t="shared" si="543"/>
        <v>-1.133832687326532E-3</v>
      </c>
      <c r="AL1367" s="28">
        <f t="shared" si="543"/>
        <v>-1.1217895287085682E-3</v>
      </c>
      <c r="AM1367" s="28">
        <f t="shared" si="543"/>
        <v>-1.109970780182961E-3</v>
      </c>
      <c r="AN1367" s="28">
        <f t="shared" si="543"/>
        <v>-1.0970079678456562E-3</v>
      </c>
      <c r="AO1367" s="28">
        <f t="shared" si="543"/>
        <v>-1.0842737081927609E-3</v>
      </c>
      <c r="AP1367" s="28">
        <f t="shared" si="543"/>
        <v>-1.0717546527021955E-3</v>
      </c>
      <c r="AQ1367" s="28">
        <f t="shared" si="543"/>
        <v>-1.0594383247478308E-3</v>
      </c>
      <c r="AR1367" s="28">
        <f t="shared" si="543"/>
        <v>-1.0473130442654776E-3</v>
      </c>
      <c r="AS1367" s="28">
        <f t="shared" si="543"/>
        <v>-1.0340992030399717E-3</v>
      </c>
      <c r="AT1367" s="28">
        <f t="shared" si="543"/>
        <v>-1.0210871852182944E-3</v>
      </c>
      <c r="AU1367" s="28">
        <f t="shared" si="543"/>
        <v>-1.0082666022109977E-3</v>
      </c>
      <c r="AV1367" s="28">
        <f t="shared" si="543"/>
        <v>-9.9562767922285289E-4</v>
      </c>
      <c r="AW1367" s="28">
        <f t="shared" si="543"/>
        <v>-9.8316120739708342E-4</v>
      </c>
      <c r="AY1367" s="85"/>
      <c r="AZ1367" s="85"/>
    </row>
    <row r="1368" spans="1:52" x14ac:dyDescent="0.25">
      <c r="A1368" s="102" t="str">
        <f t="shared" si="514"/>
        <v>FSFAGSPQNIBDDSCM MM Leaching</v>
      </c>
      <c r="B1368" s="102" t="s">
        <v>1376</v>
      </c>
      <c r="C1368" s="102" t="s">
        <v>1334</v>
      </c>
      <c r="D1368" t="s">
        <v>369</v>
      </c>
      <c r="E1368" t="s">
        <v>64</v>
      </c>
      <c r="F1368" t="s">
        <v>63</v>
      </c>
      <c r="G1368" t="s">
        <v>1181</v>
      </c>
      <c r="H1368" t="s">
        <v>1321</v>
      </c>
      <c r="I1368" t="s">
        <v>139</v>
      </c>
      <c r="J1368" t="s">
        <v>287</v>
      </c>
      <c r="K1368" s="28">
        <f t="shared" ref="K1368:AW1368" si="544">IFERROR(K1561-((K1561-K152)+(K1561-K305)+(K1561-K458)+(K1561-K610)+(K1561-K762)+(K1561-K913)+(K1561-K1064)+(K1561-K1215)),0)</f>
        <v>1.6818104652936192E-2</v>
      </c>
      <c r="L1368" s="28">
        <f t="shared" si="544"/>
        <v>1.718231236008292E-2</v>
      </c>
      <c r="M1368" s="28">
        <f t="shared" si="544"/>
        <v>1.7475775480268494E-2</v>
      </c>
      <c r="N1368" s="28">
        <f t="shared" si="544"/>
        <v>1.7667520029914504E-2</v>
      </c>
      <c r="O1368" s="28">
        <f t="shared" si="544"/>
        <v>1.7861867169015104E-2</v>
      </c>
      <c r="P1368" s="28">
        <f t="shared" si="544"/>
        <v>1.8112417299921187E-2</v>
      </c>
      <c r="Q1368" s="28">
        <f t="shared" si="544"/>
        <v>1.8380356458960346E-2</v>
      </c>
      <c r="R1368" s="28">
        <f t="shared" si="544"/>
        <v>1.8536177397088752E-2</v>
      </c>
      <c r="S1368" s="28">
        <f t="shared" si="544"/>
        <v>1.76397656538211E-2</v>
      </c>
      <c r="T1368" s="28">
        <f t="shared" si="544"/>
        <v>1.801846759992717E-2</v>
      </c>
      <c r="U1368" s="28">
        <f t="shared" si="544"/>
        <v>1.8371985881481728E-2</v>
      </c>
      <c r="V1368" s="28">
        <f t="shared" si="544"/>
        <v>1.8728295000039214E-2</v>
      </c>
      <c r="W1368" s="28">
        <f t="shared" si="544"/>
        <v>1.9132681284008777E-2</v>
      </c>
      <c r="X1368" s="28">
        <f t="shared" si="544"/>
        <v>1.9540426695963047E-2</v>
      </c>
      <c r="Y1368" s="28">
        <f t="shared" si="544"/>
        <v>1.9948690293653936E-2</v>
      </c>
      <c r="Z1368" s="28">
        <f t="shared" si="544"/>
        <v>2.0349079299491275E-2</v>
      </c>
      <c r="AA1368" s="28">
        <f t="shared" si="544"/>
        <v>2.0770745700628056E-2</v>
      </c>
      <c r="AB1368" s="28">
        <f t="shared" si="544"/>
        <v>2.1173883464125715E-2</v>
      </c>
      <c r="AC1368" s="28">
        <f t="shared" si="544"/>
        <v>2.1586582056186982E-2</v>
      </c>
      <c r="AD1368" s="28">
        <f t="shared" si="544"/>
        <v>2.2054503180091424E-2</v>
      </c>
      <c r="AE1368" s="28">
        <f t="shared" si="544"/>
        <v>2.2554673664968956E-2</v>
      </c>
      <c r="AF1368" s="28">
        <f t="shared" si="544"/>
        <v>2.3070579743094625E-2</v>
      </c>
      <c r="AG1368" s="28">
        <f t="shared" si="544"/>
        <v>2.3224138845155579E-2</v>
      </c>
      <c r="AH1368" s="28">
        <f t="shared" si="544"/>
        <v>5.566614295378065E-3</v>
      </c>
      <c r="AI1368" s="28">
        <f t="shared" si="544"/>
        <v>5.6093984340287433E-3</v>
      </c>
      <c r="AJ1368" s="28">
        <f t="shared" si="544"/>
        <v>5.652494073803362E-3</v>
      </c>
      <c r="AK1368" s="28">
        <f t="shared" si="544"/>
        <v>5.6959035866970768E-3</v>
      </c>
      <c r="AL1368" s="28">
        <f t="shared" si="544"/>
        <v>5.7396293554766858E-3</v>
      </c>
      <c r="AM1368" s="28">
        <f t="shared" si="544"/>
        <v>5.7836737743814492E-3</v>
      </c>
      <c r="AN1368" s="28">
        <f t="shared" si="544"/>
        <v>5.821325048469962E-3</v>
      </c>
      <c r="AO1368" s="28">
        <f t="shared" si="544"/>
        <v>5.8592087350485328E-3</v>
      </c>
      <c r="AP1368" s="28">
        <f t="shared" si="544"/>
        <v>5.8973263448292906E-3</v>
      </c>
      <c r="AQ1368" s="28">
        <f t="shared" si="544"/>
        <v>5.9356793935795814E-3</v>
      </c>
      <c r="AR1368" s="28">
        <f t="shared" si="544"/>
        <v>5.9742694025184985E-3</v>
      </c>
      <c r="AS1368" s="28">
        <f t="shared" si="544"/>
        <v>6.0061978888300534E-3</v>
      </c>
      <c r="AT1368" s="28">
        <f t="shared" si="544"/>
        <v>6.0382881266520675E-3</v>
      </c>
      <c r="AU1368" s="28">
        <f t="shared" si="544"/>
        <v>6.0705409933047069E-3</v>
      </c>
      <c r="AV1368" s="28">
        <f t="shared" si="544"/>
        <v>6.1029573675840942E-3</v>
      </c>
      <c r="AW1368" s="28">
        <f t="shared" si="544"/>
        <v>6.1355381299989719E-3</v>
      </c>
      <c r="AY1368" s="85"/>
      <c r="AZ1368" s="85"/>
    </row>
    <row r="1369" spans="1:52" x14ac:dyDescent="0.25">
      <c r="A1369" s="102" t="str">
        <f t="shared" si="514"/>
        <v>FSFAGSPQNIBDDSCM MM Leaching</v>
      </c>
      <c r="B1369" s="102" t="s">
        <v>1376</v>
      </c>
      <c r="C1369" s="102" t="s">
        <v>1334</v>
      </c>
      <c r="D1369" t="s">
        <v>369</v>
      </c>
      <c r="E1369" t="s">
        <v>64</v>
      </c>
      <c r="F1369" t="s">
        <v>63</v>
      </c>
      <c r="G1369" t="s">
        <v>1183</v>
      </c>
      <c r="H1369" t="s">
        <v>1322</v>
      </c>
      <c r="I1369" t="s">
        <v>139</v>
      </c>
      <c r="J1369" t="s">
        <v>287</v>
      </c>
      <c r="K1369" s="28">
        <f t="shared" ref="K1369:AW1369" si="545">IFERROR(K1562-((K1562-K153)+(K1562-K306)+(K1562-K459)+(K1562-K611)+(K1562-K763)+(K1562-K914)+(K1562-K1065)+(K1562-K1216)),0)</f>
        <v>7.8494818970751015E-2</v>
      </c>
      <c r="L1369" s="28">
        <f t="shared" si="545"/>
        <v>7.9768604189276573E-2</v>
      </c>
      <c r="M1369" s="28">
        <f t="shared" si="545"/>
        <v>8.0146817618550151E-2</v>
      </c>
      <c r="N1369" s="28">
        <f t="shared" si="545"/>
        <v>7.92990227060308E-2</v>
      </c>
      <c r="O1369" s="28">
        <f t="shared" si="545"/>
        <v>7.8453048138272599E-2</v>
      </c>
      <c r="P1369" s="28">
        <f t="shared" si="545"/>
        <v>7.8207580187434067E-2</v>
      </c>
      <c r="Q1369" s="28">
        <f t="shared" si="545"/>
        <v>7.8156445174191957E-2</v>
      </c>
      <c r="R1369" s="28">
        <f t="shared" si="545"/>
        <v>7.6852772864248492E-2</v>
      </c>
      <c r="S1369" s="28">
        <f t="shared" si="545"/>
        <v>6.4037092776490251E-2</v>
      </c>
      <c r="T1369" s="28">
        <f t="shared" si="545"/>
        <v>6.592602729202128E-2</v>
      </c>
      <c r="U1369" s="28">
        <f t="shared" si="545"/>
        <v>6.7504922847287652E-2</v>
      </c>
      <c r="V1369" s="28">
        <f t="shared" si="545"/>
        <v>6.9079987400904638E-2</v>
      </c>
      <c r="W1369" s="28">
        <f t="shared" si="545"/>
        <v>7.1129196138688011E-2</v>
      </c>
      <c r="X1369" s="28">
        <f t="shared" si="545"/>
        <v>7.3172253795344297E-2</v>
      </c>
      <c r="Y1369" s="28">
        <f t="shared" si="545"/>
        <v>7.5415394971077201E-2</v>
      </c>
      <c r="Z1369" s="28">
        <f t="shared" si="545"/>
        <v>7.7538763261802646E-2</v>
      </c>
      <c r="AA1369" s="28">
        <f t="shared" si="545"/>
        <v>7.984321522583579E-2</v>
      </c>
      <c r="AB1369" s="28">
        <f t="shared" si="545"/>
        <v>8.1921087927437922E-2</v>
      </c>
      <c r="AC1369" s="28">
        <f t="shared" si="545"/>
        <v>8.4060316833005314E-2</v>
      </c>
      <c r="AD1369" s="28">
        <f t="shared" si="545"/>
        <v>8.6903196778093231E-2</v>
      </c>
      <c r="AE1369" s="28">
        <f t="shared" si="545"/>
        <v>9.0024318002173712E-2</v>
      </c>
      <c r="AF1369" s="28">
        <f t="shared" si="545"/>
        <v>9.3255519309180357E-2</v>
      </c>
      <c r="AG1369" s="28">
        <f t="shared" si="545"/>
        <v>9.2895703603725718E-2</v>
      </c>
      <c r="AH1369" s="28">
        <f t="shared" si="545"/>
        <v>-8.0563954207335059E-2</v>
      </c>
      <c r="AI1369" s="28">
        <f t="shared" si="545"/>
        <v>-8.0679385855871269E-2</v>
      </c>
      <c r="AJ1369" s="28">
        <f t="shared" si="545"/>
        <v>-8.0804585525595149E-2</v>
      </c>
      <c r="AK1369" s="28">
        <f t="shared" si="545"/>
        <v>-8.0939145577368532E-2</v>
      </c>
      <c r="AL1369" s="28">
        <f t="shared" si="545"/>
        <v>-8.1082690034370505E-2</v>
      </c>
      <c r="AM1369" s="28">
        <f t="shared" si="545"/>
        <v>-8.1234871540648887E-2</v>
      </c>
      <c r="AN1369" s="28">
        <f t="shared" si="545"/>
        <v>-8.1297506735230202E-2</v>
      </c>
      <c r="AO1369" s="28">
        <f t="shared" si="545"/>
        <v>-8.1367991924777852E-2</v>
      </c>
      <c r="AP1369" s="28">
        <f t="shared" si="545"/>
        <v>-8.144602229798413E-2</v>
      </c>
      <c r="AQ1369" s="28">
        <f t="shared" si="545"/>
        <v>-8.1531313973181002E-2</v>
      </c>
      <c r="AR1369" s="28">
        <f t="shared" si="545"/>
        <v>-8.1623602199923873E-2</v>
      </c>
      <c r="AS1369" s="28">
        <f t="shared" si="545"/>
        <v>-8.1624903700920404E-2</v>
      </c>
      <c r="AT1369" s="28">
        <f t="shared" si="545"/>
        <v>-8.1632684613039755E-2</v>
      </c>
      <c r="AU1369" s="28">
        <f t="shared" si="545"/>
        <v>-8.1646705375421999E-2</v>
      </c>
      <c r="AV1369" s="28">
        <f t="shared" si="545"/>
        <v>-8.1666741103231646E-2</v>
      </c>
      <c r="AW1369" s="28">
        <f t="shared" si="545"/>
        <v>-8.1692580447798743E-2</v>
      </c>
      <c r="AY1369" s="85"/>
      <c r="AZ1369" s="85"/>
    </row>
    <row r="1379" spans="1:49" x14ac:dyDescent="0.25">
      <c r="A1379" s="102" t="s">
        <v>961</v>
      </c>
      <c r="B1379" s="102"/>
      <c r="C1379" s="102"/>
      <c r="D1379" t="str">
        <f>'IPCC Categories'!A5</f>
        <v>3A Livestock</v>
      </c>
      <c r="E1379" t="str">
        <f>'IPCC Categories'!B5</f>
        <v>3A1 Enteric fermentation (CH4)</v>
      </c>
      <c r="F1379" t="str">
        <f>EF!C4</f>
        <v>3A1ai Dairy cattle</v>
      </c>
      <c r="G1379" t="str">
        <f>EF!D4</f>
        <v>TMR</v>
      </c>
      <c r="H1379" t="str">
        <f>'IPCC Categories'!F5&amp;" Emissions"</f>
        <v>Enteric fermentation Emissions</v>
      </c>
      <c r="I1379" t="s">
        <v>121</v>
      </c>
      <c r="J1379" t="s">
        <v>286</v>
      </c>
      <c r="K1379" s="28">
        <f>IF(('Activity data'!AD5*EF!$H4)*kgtoGg=0,"NO",('Activity data'!AD5*EF!$H4)*kgtoGg)</f>
        <v>72.376996171709351</v>
      </c>
      <c r="L1379" s="28">
        <f>IF(('Activity data'!AE5*EF!$H4)*kgtoGg=0,"NO",('Activity data'!AE5*EF!$H4)*kgtoGg)</f>
        <v>72.827193296605245</v>
      </c>
      <c r="M1379" s="28">
        <f>IF(('Activity data'!AF5*EF!$H4)*kgtoGg=0,"NO",('Activity data'!AF5*EF!$H4)*kgtoGg)</f>
        <v>73.136710021656683</v>
      </c>
      <c r="N1379" s="28">
        <f>IF(('Activity data'!AG5*EF!$H4)*kgtoGg=0,"NO",('Activity data'!AG5*EF!$H4)*kgtoGg)</f>
        <v>73.233779022849987</v>
      </c>
      <c r="O1379" s="28">
        <f>IF(('Activity data'!AH5*EF!$H4)*kgtoGg=0,"NO",('Activity data'!AH5*EF!$H4)*kgtoGg)</f>
        <v>73.365098896994937</v>
      </c>
      <c r="P1379" s="28">
        <f>IF(('Activity data'!AI5*EF!$H4)*kgtoGg=0,"NO",('Activity data'!AI5*EF!$H4)*kgtoGg)</f>
        <v>73.652739312599607</v>
      </c>
      <c r="Q1379" s="28">
        <f>IF(('Activity data'!AJ5*EF!$H4)*kgtoGg=0,"NO",('Activity data'!AJ5*EF!$H4)*kgtoGg)</f>
        <v>73.997590994756678</v>
      </c>
      <c r="R1379" s="28">
        <f>IF(('Activity data'!AK5*EF!$H4)*kgtoGg=0,"NO",('Activity data'!AK5*EF!$H4)*kgtoGg)</f>
        <v>74.101188037293639</v>
      </c>
      <c r="S1379" s="28">
        <f>IF(('Activity data'!AL5*EF!$H4)*kgtoGg=0,"NO",('Activity data'!AL5*EF!$H4)*kgtoGg)</f>
        <v>71.826298208807202</v>
      </c>
      <c r="T1379" s="28">
        <f>IF(('Activity data'!AM5*EF!$H4)*kgtoGg=0,"NO",('Activity data'!AM5*EF!$H4)*kgtoGg)</f>
        <v>72.417907231153862</v>
      </c>
      <c r="U1379" s="28">
        <f>IF(('Activity data'!AN5*EF!$H4)*kgtoGg=0,"NO",('Activity data'!AN5*EF!$H4)*kgtoGg)</f>
        <v>72.960395903467088</v>
      </c>
      <c r="V1379" s="28">
        <f>IF(('Activity data'!AO5*EF!$H4)*kgtoGg=0,"NO",('Activity data'!AO5*EF!$H4)*kgtoGg)</f>
        <v>73.516627561358078</v>
      </c>
      <c r="W1379" s="28">
        <f>IF(('Activity data'!AP5*EF!$H4)*kgtoGg=0,"NO",('Activity data'!AP5*EF!$H4)*kgtoGg)</f>
        <v>74.186684258863224</v>
      </c>
      <c r="X1379" s="28">
        <f>IF(('Activity data'!AQ5*EF!$H4)*kgtoGg=0,"NO",('Activity data'!AQ5*EF!$H4)*kgtoGg)</f>
        <v>74.869314167562791</v>
      </c>
      <c r="Y1379" s="28">
        <f>IF(('Activity data'!AR5*EF!$H4)*kgtoGg=0,"NO",('Activity data'!AR5*EF!$H4)*kgtoGg)</f>
        <v>75.534003476484159</v>
      </c>
      <c r="Z1379" s="28">
        <f>IF(('Activity data'!AS5*EF!$H4)*kgtoGg=0,"NO",('Activity data'!AS5*EF!$H4)*kgtoGg)</f>
        <v>76.185395165959491</v>
      </c>
      <c r="AA1379" s="28">
        <f>IF(('Activity data'!AT5*EF!$H4)*kgtoGg=0,"NO",('Activity data'!AT5*EF!$H4)*kgtoGg)</f>
        <v>76.887015456471644</v>
      </c>
      <c r="AB1379" s="28">
        <f>IF(('Activity data'!AU5*EF!$H4)*kgtoGg=0,"NO",('Activity data'!AU5*EF!$H4)*kgtoGg)</f>
        <v>77.551436080037234</v>
      </c>
      <c r="AC1379" s="28">
        <f>IF(('Activity data'!AV5*EF!$H4)*kgtoGg=0,"NO",('Activity data'!AV5*EF!$H4)*kgtoGg)</f>
        <v>78.239689008310734</v>
      </c>
      <c r="AD1379" s="28">
        <f>IF(('Activity data'!AW5*EF!$H4)*kgtoGg=0,"NO",('Activity data'!AW5*EF!$H4)*kgtoGg)</f>
        <v>79.030428819406467</v>
      </c>
      <c r="AE1379" s="28">
        <f>IF(('Activity data'!AX5*EF!$H4)*kgtoGg=0,"NO",('Activity data'!AX5*EF!$H4)*kgtoGg)</f>
        <v>79.891627595721104</v>
      </c>
      <c r="AF1379" s="28">
        <f>IF(('Activity data'!AY5*EF!$H4)*kgtoGg=0,"NO",('Activity data'!AY5*EF!$H4)*kgtoGg)</f>
        <v>80.787009350430679</v>
      </c>
      <c r="AG1379" s="28">
        <f>IF(('Activity data'!AZ5*EF!$H4)*kgtoGg=0,"NO",('Activity data'!AZ5*EF!$H4)*kgtoGg)</f>
        <v>80.912080498201277</v>
      </c>
      <c r="AH1379" s="28">
        <f>IF(('Activity data'!BA5*EF!$H4)*kgtoGg=0,"NO",('Activity data'!BA5*EF!$H4)*kgtoGg)</f>
        <v>43.319538481890476</v>
      </c>
      <c r="AI1379" s="28">
        <f>IF(('Activity data'!BB5*EF!$H4)*kgtoGg=0,"NO",('Activity data'!BB5*EF!$H4)*kgtoGg)</f>
        <v>43.351399738006613</v>
      </c>
      <c r="AJ1379" s="28">
        <f>IF(('Activity data'!BC5*EF!$H4)*kgtoGg=0,"NO",('Activity data'!BC5*EF!$H4)*kgtoGg)</f>
        <v>43.387446354851633</v>
      </c>
      <c r="AK1379" s="28">
        <f>IF(('Activity data'!BD5*EF!$H4)*kgtoGg=0,"NO",('Activity data'!BD5*EF!$H4)*kgtoGg)</f>
        <v>43.427519248376711</v>
      </c>
      <c r="AL1379" s="28">
        <f>IF(('Activity data'!BE5*EF!$H4)*kgtoGg=0,"NO",('Activity data'!BE5*EF!$H4)*kgtoGg)</f>
        <v>43.471471586559346</v>
      </c>
      <c r="AM1379" s="28">
        <f>IF(('Activity data'!BF5*EF!$H4)*kgtoGg=0,"NO",('Activity data'!BF5*EF!$H4)*kgtoGg)</f>
        <v>43.519167628118126</v>
      </c>
      <c r="AN1379" s="28">
        <f>IF(('Activity data'!BG5*EF!$H4)*kgtoGg=0,"NO",('Activity data'!BG5*EF!$H4)*kgtoGg)</f>
        <v>43.539702199078199</v>
      </c>
      <c r="AO1379" s="28">
        <f>IF(('Activity data'!BH5*EF!$H4)*kgtoGg=0,"NO",('Activity data'!BH5*EF!$H4)*kgtoGg)</f>
        <v>43.56353361698914</v>
      </c>
      <c r="AP1379" s="28">
        <f>IF(('Activity data'!BI5*EF!$H4)*kgtoGg=0,"NO",('Activity data'!BI5*EF!$H4)*kgtoGg)</f>
        <v>43.590546733122295</v>
      </c>
      <c r="AQ1379" s="28">
        <f>IF(('Activity data'!BJ5*EF!$H4)*kgtoGg=0,"NO",('Activity data'!BJ5*EF!$H4)*kgtoGg)</f>
        <v>43.620634256127552</v>
      </c>
      <c r="AR1379" s="28">
        <f>IF(('Activity data'!BK5*EF!$H4)*kgtoGg=0,"NO",('Activity data'!BK5*EF!$H4)*kgtoGg)</f>
        <v>43.653696085271918</v>
      </c>
      <c r="AS1379" s="28">
        <f>IF(('Activity data'!BL5*EF!$H4)*kgtoGg=0,"NO",('Activity data'!BL5*EF!$H4)*kgtoGg)</f>
        <v>43.658527557301703</v>
      </c>
      <c r="AT1379" s="28">
        <f>IF(('Activity data'!BM5*EF!$H4)*kgtoGg=0,"NO",('Activity data'!BM5*EF!$H4)*kgtoGg)</f>
        <v>43.665995825413447</v>
      </c>
      <c r="AU1379" s="28">
        <f>IF(('Activity data'!BN5*EF!$H4)*kgtoGg=0,"NO",('Activity data'!BN5*EF!$H4)*kgtoGg)</f>
        <v>43.676013492535439</v>
      </c>
      <c r="AV1379" s="28">
        <f>IF(('Activity data'!BO5*EF!$H4)*kgtoGg=0,"NO",('Activity data'!BO5*EF!$H4)*kgtoGg)</f>
        <v>43.688498485748141</v>
      </c>
      <c r="AW1379" s="28">
        <f>IF(('Activity data'!BP5*EF!$H4)*kgtoGg=0,"NO",('Activity data'!BP5*EF!$H4)*kgtoGg)</f>
        <v>43.703373647289609</v>
      </c>
    </row>
    <row r="1380" spans="1:49" x14ac:dyDescent="0.25">
      <c r="A1380" s="102" t="s">
        <v>961</v>
      </c>
      <c r="B1380" s="102"/>
      <c r="C1380" s="102"/>
      <c r="D1380" t="str">
        <f>D1379</f>
        <v>3A Livestock</v>
      </c>
      <c r="E1380" t="str">
        <f>E1379</f>
        <v>3A1 Enteric fermentation (CH4)</v>
      </c>
      <c r="F1380" t="str">
        <f>EF!C5</f>
        <v>3A1ai Dairy cattle</v>
      </c>
      <c r="G1380" t="str">
        <f>EF!D5</f>
        <v>Pasture</v>
      </c>
      <c r="H1380" t="str">
        <f t="shared" ref="H1380:J1381" si="546">H1379</f>
        <v>Enteric fermentation Emissions</v>
      </c>
      <c r="I1380" t="str">
        <f t="shared" si="546"/>
        <v>CH4</v>
      </c>
      <c r="J1380" t="str">
        <f t="shared" si="546"/>
        <v>Gg CH4</v>
      </c>
      <c r="K1380" s="28">
        <f>IF(('Activity data'!AD6*EF!$H5)*kgtoGg=0,"NO",('Activity data'!AD6*EF!$H5)*kgtoGg)</f>
        <v>57.888319714675518</v>
      </c>
      <c r="L1380" s="28">
        <f>IF(('Activity data'!AE6*EF!$H5)*kgtoGg=0,"NO",('Activity data'!AE6*EF!$H5)*kgtoGg)</f>
        <v>58.248394828027457</v>
      </c>
      <c r="M1380" s="28">
        <f>IF(('Activity data'!AF6*EF!$H5)*kgtoGg=0,"NO",('Activity data'!AF6*EF!$H5)*kgtoGg)</f>
        <v>58.495951428667674</v>
      </c>
      <c r="N1380" s="28">
        <f>IF(('Activity data'!AG6*EF!$H5)*kgtoGg=0,"NO",('Activity data'!AG6*EF!$H5)*kgtoGg)</f>
        <v>58.573588822766354</v>
      </c>
      <c r="O1380" s="28">
        <f>IF(('Activity data'!AH6*EF!$H5)*kgtoGg=0,"NO",('Activity data'!AH6*EF!$H5)*kgtoGg)</f>
        <v>58.678620632063321</v>
      </c>
      <c r="P1380" s="28">
        <f>IF(('Activity data'!AI6*EF!$H5)*kgtoGg=0,"NO",('Activity data'!AI6*EF!$H5)*kgtoGg)</f>
        <v>58.908680198253116</v>
      </c>
      <c r="Q1380" s="28">
        <f>IF(('Activity data'!AJ6*EF!$H5)*kgtoGg=0,"NO",('Activity data'!AJ6*EF!$H5)*kgtoGg)</f>
        <v>59.184498282544595</v>
      </c>
      <c r="R1380" s="28">
        <f>IF(('Activity data'!AK6*EF!$H5)*kgtoGg=0,"NO",('Activity data'!AK6*EF!$H5)*kgtoGg)</f>
        <v>59.267356912179451</v>
      </c>
      <c r="S1380" s="28">
        <f>IF(('Activity data'!AL6*EF!$H5)*kgtoGg=0,"NO",('Activity data'!AL6*EF!$H5)*kgtoGg)</f>
        <v>57.447862367329009</v>
      </c>
      <c r="T1380" s="28">
        <f>IF(('Activity data'!AM6*EF!$H5)*kgtoGg=0,"NO",('Activity data'!AM6*EF!$H5)*kgtoGg)</f>
        <v>57.921041057287908</v>
      </c>
      <c r="U1380" s="28">
        <f>IF(('Activity data'!AN6*EF!$H5)*kgtoGg=0,"NO",('Activity data'!AN6*EF!$H5)*kgtoGg)</f>
        <v>58.354932478119395</v>
      </c>
      <c r="V1380" s="28">
        <f>IF(('Activity data'!AO6*EF!$H5)*kgtoGg=0,"NO",('Activity data'!AO6*EF!$H5)*kgtoGg)</f>
        <v>58.799815766326432</v>
      </c>
      <c r="W1380" s="28">
        <f>IF(('Activity data'!AP6*EF!$H5)*kgtoGg=0,"NO",('Activity data'!AP6*EF!$H5)*kgtoGg)</f>
        <v>59.33573820555165</v>
      </c>
      <c r="X1380" s="28">
        <f>IF(('Activity data'!AQ6*EF!$H5)*kgtoGg=0,"NO",('Activity data'!AQ6*EF!$H5)*kgtoGg)</f>
        <v>59.881716907235422</v>
      </c>
      <c r="Y1380" s="28">
        <f>IF(('Activity data'!AR6*EF!$H5)*kgtoGg=0,"NO",('Activity data'!AR6*EF!$H5)*kgtoGg)</f>
        <v>60.413346420216044</v>
      </c>
      <c r="Z1380" s="28">
        <f>IF(('Activity data'!AS6*EF!$H5)*kgtoGg=0,"NO",('Activity data'!AS6*EF!$H5)*kgtoGg)</f>
        <v>60.934340277026173</v>
      </c>
      <c r="AA1380" s="28">
        <f>IF(('Activity data'!AT6*EF!$H5)*kgtoGg=0,"NO",('Activity data'!AT6*EF!$H5)*kgtoGg)</f>
        <v>61.495507800462953</v>
      </c>
      <c r="AB1380" s="28">
        <f>IF(('Activity data'!AU6*EF!$H5)*kgtoGg=0,"NO",('Activity data'!AU6*EF!$H5)*kgtoGg)</f>
        <v>62.026922414448045</v>
      </c>
      <c r="AC1380" s="28">
        <f>IF(('Activity data'!AV6*EF!$H5)*kgtoGg=0,"NO",('Activity data'!AV6*EF!$H5)*kgtoGg)</f>
        <v>62.577398500274199</v>
      </c>
      <c r="AD1380" s="28">
        <f>IF(('Activity data'!AW6*EF!$H5)*kgtoGg=0,"NO",('Activity data'!AW6*EF!$H5)*kgtoGg)</f>
        <v>63.209845291617057</v>
      </c>
      <c r="AE1380" s="28">
        <f>IF(('Activity data'!AX6*EF!$H5)*kgtoGg=0,"NO",('Activity data'!AX6*EF!$H5)*kgtoGg)</f>
        <v>63.898646329766187</v>
      </c>
      <c r="AF1380" s="28">
        <f>IF(('Activity data'!AY6*EF!$H5)*kgtoGg=0,"NO",('Activity data'!AY6*EF!$H5)*kgtoGg)</f>
        <v>64.614787479923166</v>
      </c>
      <c r="AG1380" s="28">
        <f>IF(('Activity data'!AZ6*EF!$H5)*kgtoGg=0,"NO",('Activity data'!AZ6*EF!$H5)*kgtoGg)</f>
        <v>64.714821454420374</v>
      </c>
      <c r="AH1380" s="28">
        <f>IF(('Activity data'!BA6*EF!$H5)*kgtoGg=0,"NO",('Activity data'!BA6*EF!$H5)*kgtoGg)</f>
        <v>34.647684018034326</v>
      </c>
      <c r="AI1380" s="28">
        <f>IF(('Activity data'!BB6*EF!$H5)*kgtoGg=0,"NO",('Activity data'!BB6*EF!$H5)*kgtoGg)</f>
        <v>34.67316717812826</v>
      </c>
      <c r="AJ1380" s="28">
        <f>IF(('Activity data'!BC6*EF!$H5)*kgtoGg=0,"NO",('Activity data'!BC6*EF!$H5)*kgtoGg)</f>
        <v>34.701997859020388</v>
      </c>
      <c r="AK1380" s="28">
        <f>IF(('Activity data'!BD6*EF!$H5)*kgtoGg=0,"NO",('Activity data'!BD6*EF!$H5)*kgtoGg)</f>
        <v>34.734048822654856</v>
      </c>
      <c r="AL1380" s="28">
        <f>IF(('Activity data'!BE6*EF!$H5)*kgtoGg=0,"NO",('Activity data'!BE6*EF!$H5)*kgtoGg)</f>
        <v>34.769202630349326</v>
      </c>
      <c r="AM1380" s="28">
        <f>IF(('Activity data'!BF6*EF!$H5)*kgtoGg=0,"NO",('Activity data'!BF6*EF!$H5)*kgtoGg)</f>
        <v>34.80735071397978</v>
      </c>
      <c r="AN1380" s="28">
        <f>IF(('Activity data'!BG6*EF!$H5)*kgtoGg=0,"NO",('Activity data'!BG6*EF!$H5)*kgtoGg)</f>
        <v>34.823774603776485</v>
      </c>
      <c r="AO1380" s="28">
        <f>IF(('Activity data'!BH6*EF!$H5)*kgtoGg=0,"NO",('Activity data'!BH6*EF!$H5)*kgtoGg)</f>
        <v>34.842835366342669</v>
      </c>
      <c r="AP1380" s="28">
        <f>IF(('Activity data'!BI6*EF!$H5)*kgtoGg=0,"NO",('Activity data'!BI6*EF!$H5)*kgtoGg)</f>
        <v>34.86444090381891</v>
      </c>
      <c r="AQ1380" s="28">
        <f>IF(('Activity data'!BJ6*EF!$H5)*kgtoGg=0,"NO",('Activity data'!BJ6*EF!$H5)*kgtoGg)</f>
        <v>34.888505402807219</v>
      </c>
      <c r="AR1380" s="28">
        <f>IF(('Activity data'!BK6*EF!$H5)*kgtoGg=0,"NO",('Activity data'!BK6*EF!$H5)*kgtoGg)</f>
        <v>34.914948801084201</v>
      </c>
      <c r="AS1380" s="28">
        <f>IF(('Activity data'!BL6*EF!$H5)*kgtoGg=0,"NO",('Activity data'!BL6*EF!$H5)*kgtoGg)</f>
        <v>34.918813092397009</v>
      </c>
      <c r="AT1380" s="28">
        <f>IF(('Activity data'!BM6*EF!$H5)*kgtoGg=0,"NO",('Activity data'!BM6*EF!$H5)*kgtoGg)</f>
        <v>34.92478633686742</v>
      </c>
      <c r="AU1380" s="28">
        <f>IF(('Activity data'!BN6*EF!$H5)*kgtoGg=0,"NO",('Activity data'!BN6*EF!$H5)*kgtoGg)</f>
        <v>34.932798632870664</v>
      </c>
      <c r="AV1380" s="28">
        <f>IF(('Activity data'!BO6*EF!$H5)*kgtoGg=0,"NO",('Activity data'!BO6*EF!$H5)*kgtoGg)</f>
        <v>34.942784337126994</v>
      </c>
      <c r="AW1380" s="28">
        <f>IF(('Activity data'!BP6*EF!$H5)*kgtoGg=0,"NO",('Activity data'!BP6*EF!$H5)*kgtoGg)</f>
        <v>34.954681737581105</v>
      </c>
    </row>
    <row r="1381" spans="1:49" x14ac:dyDescent="0.25">
      <c r="A1381" s="102" t="s">
        <v>961</v>
      </c>
      <c r="B1381" s="102"/>
      <c r="C1381" s="102"/>
      <c r="D1381" t="str">
        <f t="shared" ref="D1381:E1396" si="547">D1380</f>
        <v>3A Livestock</v>
      </c>
      <c r="E1381" t="str">
        <f t="shared" si="547"/>
        <v>3A1 Enteric fermentation (CH4)</v>
      </c>
      <c r="F1381" t="str">
        <f>EF!C6</f>
        <v>3A1aii Other cattle</v>
      </c>
      <c r="G1381" t="str">
        <f>EF!D6</f>
        <v>Non-lactating</v>
      </c>
      <c r="H1381" t="str">
        <f t="shared" si="546"/>
        <v>Enteric fermentation Emissions</v>
      </c>
      <c r="I1381" t="str">
        <f t="shared" si="546"/>
        <v>CH4</v>
      </c>
      <c r="J1381" t="str">
        <f t="shared" si="546"/>
        <v>Gg CH4</v>
      </c>
      <c r="K1381" s="28">
        <f>IF(('Activity data'!AD7*EF!$H6)*kgtoGg=0,"NO",('Activity data'!AD7*EF!$H6)*kgtoGg)</f>
        <v>26.173540124634229</v>
      </c>
      <c r="L1381" s="28">
        <f>IF(('Activity data'!AE7*EF!$H6)*kgtoGg=0,"NO",('Activity data'!AE7*EF!$H6)*kgtoGg)</f>
        <v>26.336343959218663</v>
      </c>
      <c r="M1381" s="28">
        <f>IF(('Activity data'!AF7*EF!$H6)*kgtoGg=0,"NO",('Activity data'!AF7*EF!$H6)*kgtoGg)</f>
        <v>26.448273838197906</v>
      </c>
      <c r="N1381" s="28">
        <f>IF(('Activity data'!AG7*EF!$H6)*kgtoGg=0,"NO",('Activity data'!AG7*EF!$H6)*kgtoGg)</f>
        <v>26.483376695900965</v>
      </c>
      <c r="O1381" s="28">
        <f>IF(('Activity data'!AH7*EF!$H6)*kgtoGg=0,"NO",('Activity data'!AH7*EF!$H6)*kgtoGg)</f>
        <v>26.530865624385104</v>
      </c>
      <c r="P1381" s="28">
        <f>IF(('Activity data'!AI7*EF!$H6)*kgtoGg=0,"NO",('Activity data'!AI7*EF!$H6)*kgtoGg)</f>
        <v>26.634884419824388</v>
      </c>
      <c r="Q1381" s="28">
        <f>IF(('Activity data'!AJ7*EF!$H6)*kgtoGg=0,"NO",('Activity data'!AJ7*EF!$H6)*kgtoGg)</f>
        <v>26.759592404645588</v>
      </c>
      <c r="R1381" s="28">
        <f>IF(('Activity data'!AK7*EF!$H6)*kgtoGg=0,"NO",('Activity data'!AK7*EF!$H6)*kgtoGg)</f>
        <v>26.797055984139856</v>
      </c>
      <c r="S1381" s="28">
        <f>IF(('Activity data'!AL7*EF!$H6)*kgtoGg=0,"NO",('Activity data'!AL7*EF!$H6)*kgtoGg)</f>
        <v>25.97439238445476</v>
      </c>
      <c r="T1381" s="28">
        <f>IF(('Activity data'!AM7*EF!$H6)*kgtoGg=0,"NO",('Activity data'!AM7*EF!$H6)*kgtoGg)</f>
        <v>26.188334704577446</v>
      </c>
      <c r="U1381" s="28">
        <f>IF(('Activity data'!AN7*EF!$H6)*kgtoGg=0,"NO",('Activity data'!AN7*EF!$H6)*kgtoGg)</f>
        <v>26.384513736355224</v>
      </c>
      <c r="V1381" s="28">
        <f>IF(('Activity data'!AO7*EF!$H6)*kgtoGg=0,"NO",('Activity data'!AO7*EF!$H6)*kgtoGg)</f>
        <v>26.585662614955584</v>
      </c>
      <c r="W1381" s="28">
        <f>IF(('Activity data'!AP7*EF!$H6)*kgtoGg=0,"NO",('Activity data'!AP7*EF!$H6)*kgtoGg)</f>
        <v>26.827973802011808</v>
      </c>
      <c r="X1381" s="28">
        <f>IF(('Activity data'!AQ7*EF!$H6)*kgtoGg=0,"NO",('Activity data'!AQ7*EF!$H6)*kgtoGg)</f>
        <v>27.074831812853205</v>
      </c>
      <c r="Y1381" s="28">
        <f>IF(('Activity data'!AR7*EF!$H6)*kgtoGg=0,"NO",('Activity data'!AR7*EF!$H6)*kgtoGg)</f>
        <v>27.315202002522234</v>
      </c>
      <c r="Z1381" s="28">
        <f>IF(('Activity data'!AS7*EF!$H6)*kgtoGg=0,"NO",('Activity data'!AS7*EF!$H6)*kgtoGg)</f>
        <v>27.550763402181431</v>
      </c>
      <c r="AA1381" s="28">
        <f>IF(('Activity data'!AT7*EF!$H6)*kgtoGg=0,"NO",('Activity data'!AT7*EF!$H6)*kgtoGg)</f>
        <v>27.804488864653102</v>
      </c>
      <c r="AB1381" s="28">
        <f>IF(('Activity data'!AU7*EF!$H6)*kgtoGg=0,"NO",('Activity data'!AU7*EF!$H6)*kgtoGg)</f>
        <v>28.044761890204914</v>
      </c>
      <c r="AC1381" s="28">
        <f>IF(('Activity data'!AV7*EF!$H6)*kgtoGg=0,"NO",('Activity data'!AV7*EF!$H6)*kgtoGg)</f>
        <v>28.293653341728078</v>
      </c>
      <c r="AD1381" s="28">
        <f>IF(('Activity data'!AW7*EF!$H6)*kgtoGg=0,"NO",('Activity data'!AW7*EF!$H6)*kgtoGg)</f>
        <v>28.579606908034688</v>
      </c>
      <c r="AE1381" s="28">
        <f>IF(('Activity data'!AX7*EF!$H6)*kgtoGg=0,"NO",('Activity data'!AX7*EF!$H6)*kgtoGg)</f>
        <v>28.891040400987077</v>
      </c>
      <c r="AF1381" s="28">
        <f>IF(('Activity data'!AY7*EF!$H6)*kgtoGg=0,"NO",('Activity data'!AY7*EF!$H6)*kgtoGg)</f>
        <v>29.214835412155512</v>
      </c>
      <c r="AG1381" s="28">
        <f>IF(('Activity data'!AZ7*EF!$H6)*kgtoGg=0,"NO",('Activity data'!AZ7*EF!$H6)*kgtoGg)</f>
        <v>29.260064626930344</v>
      </c>
      <c r="AH1381" s="28">
        <f>IF(('Activity data'!BA7*EF!$H6)*kgtoGg=0,"NO",('Activity data'!BA7*EF!$H6)*kgtoGg)</f>
        <v>15.665553126113098</v>
      </c>
      <c r="AI1381" s="28">
        <f>IF(('Activity data'!BB7*EF!$H6)*kgtoGg=0,"NO",('Activity data'!BB7*EF!$H6)*kgtoGg)</f>
        <v>15.677075044809452</v>
      </c>
      <c r="AJ1381" s="28">
        <f>IF(('Activity data'!BC7*EF!$H6)*kgtoGg=0,"NO",('Activity data'!BC7*EF!$H6)*kgtoGg)</f>
        <v>15.690110506658574</v>
      </c>
      <c r="AK1381" s="28">
        <f>IF(('Activity data'!BD7*EF!$H6)*kgtoGg=0,"NO",('Activity data'!BD7*EF!$H6)*kgtoGg)</f>
        <v>15.704601982432184</v>
      </c>
      <c r="AL1381" s="28">
        <f>IF(('Activity data'!BE7*EF!$H6)*kgtoGg=0,"NO",('Activity data'!BE7*EF!$H6)*kgtoGg)</f>
        <v>15.720496373576371</v>
      </c>
      <c r="AM1381" s="28">
        <f>IF(('Activity data'!BF7*EF!$H6)*kgtoGg=0,"NO",('Activity data'!BF7*EF!$H6)*kgtoGg)</f>
        <v>15.737744592258499</v>
      </c>
      <c r="AN1381" s="28">
        <f>IF(('Activity data'!BG7*EF!$H6)*kgtoGg=0,"NO",('Activity data'!BG7*EF!$H6)*kgtoGg)</f>
        <v>15.745170465745849</v>
      </c>
      <c r="AO1381" s="28">
        <f>IF(('Activity data'!BH7*EF!$H6)*kgtoGg=0,"NO",('Activity data'!BH7*EF!$H6)*kgtoGg)</f>
        <v>15.753788571026694</v>
      </c>
      <c r="AP1381" s="28">
        <f>IF(('Activity data'!BI7*EF!$H6)*kgtoGg=0,"NO",('Activity data'!BI7*EF!$H6)*kgtoGg)</f>
        <v>15.7635572671097</v>
      </c>
      <c r="AQ1381" s="28">
        <f>IF(('Activity data'!BJ7*EF!$H6)*kgtoGg=0,"NO",('Activity data'!BJ7*EF!$H6)*kgtoGg)</f>
        <v>15.774437754450743</v>
      </c>
      <c r="AR1381" s="28">
        <f>IF(('Activity data'!BK7*EF!$H6)*kgtoGg=0,"NO",('Activity data'!BK7*EF!$H6)*kgtoGg)</f>
        <v>15.786393833833351</v>
      </c>
      <c r="AS1381" s="28">
        <f>IF(('Activity data'!BL7*EF!$H6)*kgtoGg=0,"NO",('Activity data'!BL7*EF!$H6)*kgtoGg)</f>
        <v>15.788141028850022</v>
      </c>
      <c r="AT1381" s="28">
        <f>IF(('Activity data'!BM7*EF!$H6)*kgtoGg=0,"NO",('Activity data'!BM7*EF!$H6)*kgtoGg)</f>
        <v>15.790841762859769</v>
      </c>
      <c r="AU1381" s="28">
        <f>IF(('Activity data'!BN7*EF!$H6)*kgtoGg=0,"NO",('Activity data'!BN7*EF!$H6)*kgtoGg)</f>
        <v>15.794464430644307</v>
      </c>
      <c r="AV1381" s="28">
        <f>IF(('Activity data'!BO7*EF!$H6)*kgtoGg=0,"NO",('Activity data'!BO7*EF!$H6)*kgtoGg)</f>
        <v>15.798979352347233</v>
      </c>
      <c r="AW1381" s="28">
        <f>IF(('Activity data'!BP7*EF!$H6)*kgtoGg=0,"NO",('Activity data'!BP7*EF!$H6)*kgtoGg)</f>
        <v>15.804358625570211</v>
      </c>
    </row>
    <row r="1382" spans="1:49" x14ac:dyDescent="0.25">
      <c r="A1382" s="102" t="s">
        <v>961</v>
      </c>
      <c r="B1382" s="102"/>
      <c r="C1382" s="102"/>
      <c r="D1382" t="str">
        <f t="shared" si="547"/>
        <v>3A Livestock</v>
      </c>
      <c r="E1382" t="str">
        <f t="shared" si="547"/>
        <v>3A1 Enteric fermentation (CH4)</v>
      </c>
      <c r="F1382" t="str">
        <f>EF!C7</f>
        <v>3A1aii Other cattle</v>
      </c>
      <c r="G1382" t="str">
        <f>EF!D7</f>
        <v>Commercial</v>
      </c>
      <c r="H1382" t="str">
        <f>H1380</f>
        <v>Enteric fermentation Emissions</v>
      </c>
      <c r="I1382" t="str">
        <f>I1380</f>
        <v>CH4</v>
      </c>
      <c r="J1382" t="str">
        <f>J1380</f>
        <v>Gg CH4</v>
      </c>
      <c r="K1382" s="28">
        <f>IF(('Activity data'!AD8*EF!$H7)*kgtoGg=0,"NO",('Activity data'!AD8*EF!$H7)*kgtoGg)</f>
        <v>467.31662309373525</v>
      </c>
      <c r="L1382" s="28">
        <f>IF(('Activity data'!AE8*EF!$H7)*kgtoGg=0,"NO",('Activity data'!AE8*EF!$H7)*kgtoGg)</f>
        <v>464.21904388294246</v>
      </c>
      <c r="M1382" s="28">
        <f>IF(('Activity data'!AF8*EF!$H7)*kgtoGg=0,"NO",('Activity data'!AF8*EF!$H7)*kgtoGg)</f>
        <v>457.68800569383677</v>
      </c>
      <c r="N1382" s="28">
        <f>IF(('Activity data'!AG8*EF!$H7)*kgtoGg=0,"NO",('Activity data'!AG8*EF!$H7)*kgtoGg)</f>
        <v>446.67903575374419</v>
      </c>
      <c r="O1382" s="28">
        <f>IF(('Activity data'!AH8*EF!$H7)*kgtoGg=0,"NO",('Activity data'!AH8*EF!$H7)*kgtoGg)</f>
        <v>435.99786609024881</v>
      </c>
      <c r="P1382" s="28">
        <f>IF(('Activity data'!AI8*EF!$H7)*kgtoGg=0,"NO",('Activity data'!AI8*EF!$H7)*kgtoGg)</f>
        <v>427.78254745702264</v>
      </c>
      <c r="Q1382" s="28">
        <f>IF(('Activity data'!AJ8*EF!$H7)*kgtoGg=0,"NO",('Activity data'!AJ8*EF!$H7)*kgtoGg)</f>
        <v>420.35172850546115</v>
      </c>
      <c r="R1382" s="28">
        <f>IF(('Activity data'!AK8*EF!$H7)*kgtoGg=0,"NO",('Activity data'!AK8*EF!$H7)*kgtoGg)</f>
        <v>408.66857197476548</v>
      </c>
      <c r="S1382" s="28">
        <f>IF(('Activity data'!AL8*EF!$H7)*kgtoGg=0,"NO",('Activity data'!AL8*EF!$H7)*kgtoGg)</f>
        <v>358.42710853834808</v>
      </c>
      <c r="T1382" s="28">
        <f>IF(('Activity data'!AM8*EF!$H7)*kgtoGg=0,"NO",('Activity data'!AM8*EF!$H7)*kgtoGg)</f>
        <v>361.84349356958882</v>
      </c>
      <c r="U1382" s="28">
        <f>IF(('Activity data'!AN8*EF!$H7)*kgtoGg=0,"NO",('Activity data'!AN8*EF!$H7)*kgtoGg)</f>
        <v>364.15526833797293</v>
      </c>
      <c r="V1382" s="28">
        <f>IF(('Activity data'!AO8*EF!$H7)*kgtoGg=0,"NO",('Activity data'!AO8*EF!$H7)*kgtoGg)</f>
        <v>366.39185100338204</v>
      </c>
      <c r="W1382" s="28">
        <f>IF(('Activity data'!AP8*EF!$H7)*kgtoGg=0,"NO",('Activity data'!AP8*EF!$H7)*kgtoGg)</f>
        <v>370.09062077697638</v>
      </c>
      <c r="X1382" s="28">
        <f>IF(('Activity data'!AQ8*EF!$H7)*kgtoGg=0,"NO",('Activity data'!AQ8*EF!$H7)*kgtoGg)</f>
        <v>373.66748817800135</v>
      </c>
      <c r="Y1382" s="28">
        <f>IF(('Activity data'!AR8*EF!$H7)*kgtoGg=0,"NO",('Activity data'!AR8*EF!$H7)*kgtoGg)</f>
        <v>377.42266204595586</v>
      </c>
      <c r="Z1382" s="28">
        <f>IF(('Activity data'!AS8*EF!$H7)*kgtoGg=0,"NO",('Activity data'!AS8*EF!$H7)*kgtoGg)</f>
        <v>380.69187301848672</v>
      </c>
      <c r="AA1382" s="28">
        <f>IF(('Activity data'!AT8*EF!$H7)*kgtoGg=0,"NO",('Activity data'!AT8*EF!$H7)*kgtoGg)</f>
        <v>384.41267841886389</v>
      </c>
      <c r="AB1382" s="28">
        <f>IF(('Activity data'!AU8*EF!$H7)*kgtoGg=0,"NO",('Activity data'!AU8*EF!$H7)*kgtoGg)</f>
        <v>387.32433471244582</v>
      </c>
      <c r="AC1382" s="28">
        <f>IF(('Activity data'!AV8*EF!$H7)*kgtoGg=0,"NO",('Activity data'!AV8*EF!$H7)*kgtoGg)</f>
        <v>390.31588196396831</v>
      </c>
      <c r="AD1382" s="28">
        <f>IF(('Activity data'!AW8*EF!$H7)*kgtoGg=0,"NO",('Activity data'!AW8*EF!$H7)*kgtoGg)</f>
        <v>391.70923525446432</v>
      </c>
      <c r="AE1382" s="28">
        <f>IF(('Activity data'!AX8*EF!$H7)*kgtoGg=0,"NO",('Activity data'!AX8*EF!$H7)*kgtoGg)</f>
        <v>393.61980530942054</v>
      </c>
      <c r="AF1382" s="28">
        <f>IF(('Activity data'!AY8*EF!$H7)*kgtoGg=0,"NO",('Activity data'!AY8*EF!$H7)*kgtoGg)</f>
        <v>395.52300177683651</v>
      </c>
      <c r="AG1382" s="28">
        <f>IF(('Activity data'!AZ8*EF!$H7)*kgtoGg=0,"NO",('Activity data'!AZ8*EF!$H7)*kgtoGg)</f>
        <v>387.13475302515064</v>
      </c>
      <c r="AH1382" s="28">
        <f>IF(('Activity data'!BA8*EF!$H7)*kgtoGg=0,"NO",('Activity data'!BA8*EF!$H7)*kgtoGg)</f>
        <v>-91.319733515809844</v>
      </c>
      <c r="AI1382" s="28">
        <f>IF(('Activity data'!BB8*EF!$H7)*kgtoGg=0,"NO",('Activity data'!BB8*EF!$H7)*kgtoGg)</f>
        <v>-89.201433306927441</v>
      </c>
      <c r="AJ1382" s="28">
        <f>IF(('Activity data'!BC8*EF!$H7)*kgtoGg=0,"NO",('Activity data'!BC8*EF!$H7)*kgtoGg)</f>
        <v>-87.116820719055994</v>
      </c>
      <c r="AK1382" s="28">
        <f>IF(('Activity data'!BD8*EF!$H7)*kgtoGg=0,"NO",('Activity data'!BD8*EF!$H7)*kgtoGg)</f>
        <v>-85.0641313749869</v>
      </c>
      <c r="AL1382" s="28">
        <f>IF(('Activity data'!BE8*EF!$H7)*kgtoGg=0,"NO",('Activity data'!BE8*EF!$H7)*kgtoGg)</f>
        <v>-83.041722879463705</v>
      </c>
      <c r="AM1382" s="28">
        <f>IF(('Activity data'!BF8*EF!$H7)*kgtoGg=0,"NO",('Activity data'!BF8*EF!$H7)*kgtoGg)</f>
        <v>-81.048063515823799</v>
      </c>
      <c r="AN1382" s="28">
        <f>IF(('Activity data'!BG8*EF!$H7)*kgtoGg=0,"NO",('Activity data'!BG8*EF!$H7)*kgtoGg)</f>
        <v>-79.431656757862484</v>
      </c>
      <c r="AO1382" s="28">
        <f>IF(('Activity data'!BH8*EF!$H7)*kgtoGg=0,"NO",('Activity data'!BH8*EF!$H7)*kgtoGg)</f>
        <v>-77.839663871669529</v>
      </c>
      <c r="AP1382" s="28">
        <f>IF(('Activity data'!BI8*EF!$H7)*kgtoGg=0,"NO",('Activity data'!BI8*EF!$H7)*kgtoGg)</f>
        <v>-76.270978541606539</v>
      </c>
      <c r="AQ1382" s="28">
        <f>IF(('Activity data'!BJ8*EF!$H7)*kgtoGg=0,"NO",('Activity data'!BJ8*EF!$H7)*kgtoGg)</f>
        <v>-74.724563259155232</v>
      </c>
      <c r="AR1382" s="28">
        <f>IF(('Activity data'!BK8*EF!$H7)*kgtoGg=0,"NO",('Activity data'!BK8*EF!$H7)*kgtoGg)</f>
        <v>-73.199443617670568</v>
      </c>
      <c r="AS1382" s="28">
        <f>IF(('Activity data'!BL8*EF!$H7)*kgtoGg=0,"NO",('Activity data'!BL8*EF!$H7)*kgtoGg)</f>
        <v>-71.645977088210017</v>
      </c>
      <c r="AT1382" s="28">
        <f>IF(('Activity data'!BM8*EF!$H7)*kgtoGg=0,"NO",('Activity data'!BM8*EF!$H7)*kgtoGg)</f>
        <v>-70.113872704662668</v>
      </c>
      <c r="AU1382" s="28">
        <f>IF(('Activity data'!BN8*EF!$H7)*kgtoGg=0,"NO",('Activity data'!BN8*EF!$H7)*kgtoGg)</f>
        <v>-68.602290113404337</v>
      </c>
      <c r="AV1382" s="28">
        <f>IF(('Activity data'!BO8*EF!$H7)*kgtoGg=0,"NO",('Activity data'!BO8*EF!$H7)*kgtoGg)</f>
        <v>-67.110436174548425</v>
      </c>
      <c r="AW1382" s="28">
        <f>IF(('Activity data'!BP8*EF!$H7)*kgtoGg=0,"NO",('Activity data'!BP8*EF!$H7)*kgtoGg)</f>
        <v>-65.637561433796705</v>
      </c>
    </row>
    <row r="1383" spans="1:49" x14ac:dyDescent="0.25">
      <c r="A1383" s="102" t="s">
        <v>961</v>
      </c>
      <c r="B1383" s="102"/>
      <c r="C1383" s="102"/>
      <c r="D1383" t="str">
        <f t="shared" si="547"/>
        <v>3A Livestock</v>
      </c>
      <c r="E1383" t="str">
        <f t="shared" si="547"/>
        <v>3A1 Enteric fermentation (CH4)</v>
      </c>
      <c r="F1383" t="str">
        <f>EF!C8</f>
        <v>3A1aii Other cattle</v>
      </c>
      <c r="G1383" t="str">
        <f>EF!D8</f>
        <v>Subsistence</v>
      </c>
      <c r="H1383" t="str">
        <f t="shared" ref="H1383:J1398" si="548">H1382</f>
        <v>Enteric fermentation Emissions</v>
      </c>
      <c r="I1383" t="str">
        <f t="shared" si="548"/>
        <v>CH4</v>
      </c>
      <c r="J1383" t="str">
        <f t="shared" si="548"/>
        <v>Gg CH4</v>
      </c>
      <c r="K1383" s="28">
        <f>IF(('Activity data'!AD9*EF!$H8)*kgtoGg=0,"NO",('Activity data'!AD9*EF!$H8)*kgtoGg)</f>
        <v>329.0746130615014</v>
      </c>
      <c r="L1383" s="28">
        <f>IF(('Activity data'!AE9*EF!$H8)*kgtoGg=0,"NO",('Activity data'!AE9*EF!$H8)*kgtoGg)</f>
        <v>326.8933624278929</v>
      </c>
      <c r="M1383" s="28">
        <f>IF(('Activity data'!AF9*EF!$H8)*kgtoGg=0,"NO",('Activity data'!AF9*EF!$H8)*kgtoGg)</f>
        <v>322.29434163821571</v>
      </c>
      <c r="N1383" s="28">
        <f>IF(('Activity data'!AG9*EF!$H8)*kgtoGg=0,"NO",('Activity data'!AG9*EF!$H8)*kgtoGg)</f>
        <v>314.54205476415126</v>
      </c>
      <c r="O1383" s="28">
        <f>IF(('Activity data'!AH9*EF!$H8)*kgtoGg=0,"NO",('Activity data'!AH9*EF!$H8)*kgtoGg)</f>
        <v>307.02059800365856</v>
      </c>
      <c r="P1383" s="28">
        <f>IF(('Activity data'!AI9*EF!$H8)*kgtoGg=0,"NO",('Activity data'!AI9*EF!$H8)*kgtoGg)</f>
        <v>301.23554207624824</v>
      </c>
      <c r="Q1383" s="28">
        <f>IF(('Activity data'!AJ9*EF!$H8)*kgtoGg=0,"NO",('Activity data'!AJ9*EF!$H8)*kgtoGg)</f>
        <v>296.00291445211866</v>
      </c>
      <c r="R1383" s="28">
        <f>IF(('Activity data'!AK9*EF!$H8)*kgtoGg=0,"NO",('Activity data'!AK9*EF!$H8)*kgtoGg)</f>
        <v>287.77587945125919</v>
      </c>
      <c r="S1383" s="28">
        <f>IF(('Activity data'!AL9*EF!$H8)*kgtoGg=0,"NO",('Activity data'!AL9*EF!$H8)*kgtoGg)</f>
        <v>252.39688944116838</v>
      </c>
      <c r="T1383" s="28">
        <f>IF(('Activity data'!AM9*EF!$H8)*kgtoGg=0,"NO",('Activity data'!AM9*EF!$H8)*kgtoGg)</f>
        <v>254.80263648004308</v>
      </c>
      <c r="U1383" s="28">
        <f>IF(('Activity data'!AN9*EF!$H8)*kgtoGg=0,"NO",('Activity data'!AN9*EF!$H8)*kgtoGg)</f>
        <v>256.43054002508501</v>
      </c>
      <c r="V1383" s="28">
        <f>IF(('Activity data'!AO9*EF!$H8)*kgtoGg=0,"NO",('Activity data'!AO9*EF!$H8)*kgtoGg)</f>
        <v>258.00549486047498</v>
      </c>
      <c r="W1383" s="28">
        <f>IF(('Activity data'!AP9*EF!$H8)*kgtoGg=0,"NO",('Activity data'!AP9*EF!$H8)*kgtoGg)</f>
        <v>260.61009134153147</v>
      </c>
      <c r="X1383" s="28">
        <f>IF(('Activity data'!AQ9*EF!$H8)*kgtoGg=0,"NO",('Activity data'!AQ9*EF!$H8)*kgtoGg)</f>
        <v>263.12884671593309</v>
      </c>
      <c r="Y1383" s="28">
        <f>IF(('Activity data'!AR9*EF!$H8)*kgtoGg=0,"NO",('Activity data'!AR9*EF!$H8)*kgtoGg)</f>
        <v>265.77316178308178</v>
      </c>
      <c r="Z1383" s="28">
        <f>IF(('Activity data'!AS9*EF!$H8)*kgtoGg=0,"NO",('Activity data'!AS9*EF!$H8)*kgtoGg)</f>
        <v>268.07527192134285</v>
      </c>
      <c r="AA1383" s="28">
        <f>IF(('Activity data'!AT9*EF!$H8)*kgtoGg=0,"NO",('Activity data'!AT9*EF!$H8)*kgtoGg)</f>
        <v>270.6953854308951</v>
      </c>
      <c r="AB1383" s="28">
        <f>IF(('Activity data'!AU9*EF!$H8)*kgtoGg=0,"NO",('Activity data'!AU9*EF!$H8)*kgtoGg)</f>
        <v>272.7457130264242</v>
      </c>
      <c r="AC1383" s="28">
        <f>IF(('Activity data'!AV9*EF!$H8)*kgtoGg=0,"NO",('Activity data'!AV9*EF!$H8)*kgtoGg)</f>
        <v>274.85229816720681</v>
      </c>
      <c r="AD1383" s="28">
        <f>IF(('Activity data'!AW9*EF!$H8)*kgtoGg=0,"NO",('Activity data'!AW9*EF!$H8)*kgtoGg)</f>
        <v>275.83346847502179</v>
      </c>
      <c r="AE1383" s="28">
        <f>IF(('Activity data'!AX9*EF!$H8)*kgtoGg=0,"NO",('Activity data'!AX9*EF!$H8)*kgtoGg)</f>
        <v>277.17885203403011</v>
      </c>
      <c r="AF1383" s="28">
        <f>IF(('Activity data'!AY9*EF!$H8)*kgtoGg=0,"NO",('Activity data'!AY9*EF!$H8)*kgtoGg)</f>
        <v>278.51904326657984</v>
      </c>
      <c r="AG1383" s="28">
        <f>IF(('Activity data'!AZ9*EF!$H8)*kgtoGg=0,"NO",('Activity data'!AZ9*EF!$H8)*kgtoGg)</f>
        <v>272.6122135588102</v>
      </c>
      <c r="AH1383" s="28">
        <f>IF(('Activity data'!BA9*EF!$H8)*kgtoGg=0,"NO",('Activity data'!BA9*EF!$H8)*kgtoGg)</f>
        <v>-64.305450494464566</v>
      </c>
      <c r="AI1383" s="28">
        <f>IF(('Activity data'!BB9*EF!$H8)*kgtoGg=0,"NO",('Activity data'!BB9*EF!$H8)*kgtoGg)</f>
        <v>-62.813787696400013</v>
      </c>
      <c r="AJ1383" s="28">
        <f>IF(('Activity data'!BC9*EF!$H8)*kgtoGg=0,"NO",('Activity data'!BC9*EF!$H8)*kgtoGg)</f>
        <v>-61.345847017989065</v>
      </c>
      <c r="AK1383" s="28">
        <f>IF(('Activity data'!BD9*EF!$H8)*kgtoGg=0,"NO",('Activity data'!BD9*EF!$H8)*kgtoGg)</f>
        <v>-59.900386021624051</v>
      </c>
      <c r="AL1383" s="28">
        <f>IF(('Activity data'!BE9*EF!$H8)*kgtoGg=0,"NO",('Activity data'!BE9*EF!$H8)*kgtoGg)</f>
        <v>-58.476248166842247</v>
      </c>
      <c r="AM1383" s="28">
        <f>IF(('Activity data'!BF9*EF!$H8)*kgtoGg=0,"NO",('Activity data'!BF9*EF!$H8)*kgtoGg)</f>
        <v>-57.072354850736843</v>
      </c>
      <c r="AN1383" s="28">
        <f>IF(('Activity data'!BG9*EF!$H8)*kgtoGg=0,"NO",('Activity data'!BG9*EF!$H8)*kgtoGg)</f>
        <v>-55.934114946269716</v>
      </c>
      <c r="AO1383" s="28">
        <f>IF(('Activity data'!BH9*EF!$H8)*kgtoGg=0,"NO",('Activity data'!BH9*EF!$H8)*kgtoGg)</f>
        <v>-54.81306678078316</v>
      </c>
      <c r="AP1383" s="28">
        <f>IF(('Activity data'!BI9*EF!$H8)*kgtoGg=0,"NO",('Activity data'!BI9*EF!$H8)*kgtoGg)</f>
        <v>-53.708431309893463</v>
      </c>
      <c r="AQ1383" s="28">
        <f>IF(('Activity data'!BJ9*EF!$H8)*kgtoGg=0,"NO",('Activity data'!BJ9*EF!$H8)*kgtoGg)</f>
        <v>-52.619477941754887</v>
      </c>
      <c r="AR1383" s="28">
        <f>IF(('Activity data'!BK9*EF!$H8)*kgtoGg=0,"NO",('Activity data'!BK9*EF!$H8)*kgtoGg)</f>
        <v>-51.54552051954397</v>
      </c>
      <c r="AS1383" s="28">
        <f>IF(('Activity data'!BL9*EF!$H8)*kgtoGg=0,"NO",('Activity data'!BL9*EF!$H8)*kgtoGg)</f>
        <v>-50.451601810421387</v>
      </c>
      <c r="AT1383" s="28">
        <f>IF(('Activity data'!BM9*EF!$H8)*kgtoGg=0,"NO",('Activity data'!BM9*EF!$H8)*kgtoGg)</f>
        <v>-49.372725878621843</v>
      </c>
      <c r="AU1383" s="28">
        <f>IF(('Activity data'!BN9*EF!$H8)*kgtoGg=0,"NO",('Activity data'!BN9*EF!$H8)*kgtoGg)</f>
        <v>-48.308300964661392</v>
      </c>
      <c r="AV1383" s="28">
        <f>IF(('Activity data'!BO9*EF!$H8)*kgtoGg=0,"NO",('Activity data'!BO9*EF!$H8)*kgtoGg)</f>
        <v>-47.257768555984775</v>
      </c>
      <c r="AW1383" s="28">
        <f>IF(('Activity data'!BP9*EF!$H8)*kgtoGg=0,"NO",('Activity data'!BP9*EF!$H8)*kgtoGg)</f>
        <v>-46.22060090251631</v>
      </c>
    </row>
    <row r="1384" spans="1:49" x14ac:dyDescent="0.25">
      <c r="A1384" s="102" t="s">
        <v>961</v>
      </c>
      <c r="B1384" s="102"/>
      <c r="C1384" s="102"/>
      <c r="D1384" t="str">
        <f t="shared" si="547"/>
        <v>3A Livestock</v>
      </c>
      <c r="E1384" t="str">
        <f t="shared" si="547"/>
        <v>3A1 Enteric fermentation (CH4)</v>
      </c>
      <c r="F1384" t="str">
        <f>EF!C9</f>
        <v>3A1aii Other cattle</v>
      </c>
      <c r="G1384" t="str">
        <f>EF!D9</f>
        <v>Feedlot</v>
      </c>
      <c r="H1384" t="str">
        <f t="shared" si="548"/>
        <v>Enteric fermentation Emissions</v>
      </c>
      <c r="I1384" t="str">
        <f t="shared" si="548"/>
        <v>CH4</v>
      </c>
      <c r="J1384" t="str">
        <f t="shared" si="548"/>
        <v>Gg CH4</v>
      </c>
      <c r="K1384" s="28">
        <f>IF(('Activity data'!AD10*EF!$H9)*kgtoGg=0,"NO",('Activity data'!AD10*EF!$H9)*kgtoGg)</f>
        <v>32.066658815804246</v>
      </c>
      <c r="L1384" s="28">
        <f>IF(('Activity data'!AE10*EF!$H9)*kgtoGg=0,"NO",('Activity data'!AE10*EF!$H9)*kgtoGg)</f>
        <v>33.208718466326758</v>
      </c>
      <c r="M1384" s="28">
        <f>IF(('Activity data'!AF10*EF!$H9)*kgtoGg=0,"NO",('Activity data'!AF10*EF!$H9)*kgtoGg)</f>
        <v>34.11520280184579</v>
      </c>
      <c r="N1384" s="28">
        <f>IF(('Activity data'!AG10*EF!$H9)*kgtoGg=0,"NO",('Activity data'!AG10*EF!$H9)*kgtoGg)</f>
        <v>34.675782135786314</v>
      </c>
      <c r="O1384" s="28">
        <f>IF(('Activity data'!AH10*EF!$H9)*kgtoGg=0,"NO",('Activity data'!AH10*EF!$H9)*kgtoGg)</f>
        <v>35.237531716383323</v>
      </c>
      <c r="P1384" s="28">
        <f>IF(('Activity data'!AI10*EF!$H9)*kgtoGg=0,"NO",('Activity data'!AI10*EF!$H9)*kgtoGg)</f>
        <v>35.983525896151299</v>
      </c>
      <c r="Q1384" s="28">
        <f>IF(('Activity data'!AJ10*EF!$H9)*kgtoGg=0,"NO",('Activity data'!AJ10*EF!$H9)*kgtoGg)</f>
        <v>36.791694077470218</v>
      </c>
      <c r="R1384" s="28">
        <f>IF(('Activity data'!AK10*EF!$H9)*kgtoGg=0,"NO",('Activity data'!AK10*EF!$H9)*kgtoGg)</f>
        <v>37.212274346578468</v>
      </c>
      <c r="S1384" s="28">
        <f>IF(('Activity data'!AL10*EF!$H9)*kgtoGg=0,"NO",('Activity data'!AL10*EF!$H9)*kgtoGg)</f>
        <v>33.949893618199454</v>
      </c>
      <c r="T1384" s="28">
        <f>IF(('Activity data'!AM10*EF!$H9)*kgtoGg=0,"NO",('Activity data'!AM10*EF!$H9)*kgtoGg)</f>
        <v>35.092534125004185</v>
      </c>
      <c r="U1384" s="28">
        <f>IF(('Activity data'!AN10*EF!$H9)*kgtoGg=0,"NO",('Activity data'!AN10*EF!$H9)*kgtoGg)</f>
        <v>36.14913447556372</v>
      </c>
      <c r="V1384" s="28">
        <f>IF(('Activity data'!AO10*EF!$H9)*kgtoGg=0,"NO",('Activity data'!AO10*EF!$H9)*kgtoGg)</f>
        <v>37.217525780423792</v>
      </c>
      <c r="W1384" s="28">
        <f>IF(('Activity data'!AP10*EF!$H9)*kgtoGg=0,"NO",('Activity data'!AP10*EF!$H9)*kgtoGg)</f>
        <v>38.457766325395134</v>
      </c>
      <c r="X1384" s="28">
        <f>IF(('Activity data'!AQ10*EF!$H9)*kgtoGg=0,"NO",('Activity data'!AQ10*EF!$H9)*kgtoGg)</f>
        <v>39.712686531100644</v>
      </c>
      <c r="Y1384" s="28">
        <f>IF(('Activity data'!AR10*EF!$H9)*kgtoGg=0,"NO",('Activity data'!AR10*EF!$H9)*kgtoGg)</f>
        <v>41.014977080860561</v>
      </c>
      <c r="Z1384" s="28">
        <f>IF(('Activity data'!AS10*EF!$H9)*kgtoGg=0,"NO",('Activity data'!AS10*EF!$H9)*kgtoGg)</f>
        <v>42.293078143626175</v>
      </c>
      <c r="AA1384" s="28">
        <f>IF(('Activity data'!AT10*EF!$H9)*kgtoGg=0,"NO",('Activity data'!AT10*EF!$H9)*kgtoGg)</f>
        <v>43.650840359696986</v>
      </c>
      <c r="AB1384" s="28">
        <f>IF(('Activity data'!AU10*EF!$H9)*kgtoGg=0,"NO",('Activity data'!AU10*EF!$H9)*kgtoGg)</f>
        <v>44.946275453717462</v>
      </c>
      <c r="AC1384" s="28">
        <f>IF(('Activity data'!AV10*EF!$H9)*kgtoGg=0,"NO",('Activity data'!AV10*EF!$H9)*kgtoGg)</f>
        <v>46.279665288729582</v>
      </c>
      <c r="AD1384" s="28">
        <f>IF(('Activity data'!AW10*EF!$H9)*kgtoGg=0,"NO",('Activity data'!AW10*EF!$H9)*kgtoGg)</f>
        <v>47.976991209129309</v>
      </c>
      <c r="AE1384" s="28">
        <f>IF(('Activity data'!AX10*EF!$H9)*kgtoGg=0,"NO",('Activity data'!AX10*EF!$H9)*kgtoGg)</f>
        <v>49.804514073480171</v>
      </c>
      <c r="AF1384" s="28">
        <f>IF(('Activity data'!AY10*EF!$H9)*kgtoGg=0,"NO",('Activity data'!AY10*EF!$H9)*kgtoGg)</f>
        <v>51.703785289265333</v>
      </c>
      <c r="AG1384" s="28">
        <f>IF(('Activity data'!AZ10*EF!$H9)*kgtoGg=0,"NO",('Activity data'!AZ10*EF!$H9)*kgtoGg)</f>
        <v>52.28975851111349</v>
      </c>
      <c r="AH1384" s="28">
        <f>IF(('Activity data'!BA10*EF!$H9)*kgtoGg=0,"NO",('Activity data'!BA10*EF!$H9)*kgtoGg)</f>
        <v>-12.746083968128861</v>
      </c>
      <c r="AI1384" s="28">
        <f>IF(('Activity data'!BB10*EF!$H9)*kgtoGg=0,"NO",('Activity data'!BB10*EF!$H9)*kgtoGg)</f>
        <v>-12.867794914199649</v>
      </c>
      <c r="AJ1384" s="28">
        <f>IF(('Activity data'!BC10*EF!$H9)*kgtoGg=0,"NO",('Activity data'!BC10*EF!$H9)*kgtoGg)</f>
        <v>-12.990495449269591</v>
      </c>
      <c r="AK1384" s="28">
        <f>IF(('Activity data'!BD10*EF!$H9)*kgtoGg=0,"NO",('Activity data'!BD10*EF!$H9)*kgtoGg)</f>
        <v>-13.11419493838188</v>
      </c>
      <c r="AL1384" s="28">
        <f>IF(('Activity data'!BE10*EF!$H9)*kgtoGg=0,"NO",('Activity data'!BE10*EF!$H9)*kgtoGg)</f>
        <v>-13.238902830664287</v>
      </c>
      <c r="AM1384" s="28">
        <f>IF(('Activity data'!BF10*EF!$H9)*kgtoGg=0,"NO",('Activity data'!BF10*EF!$H9)*kgtoGg)</f>
        <v>-13.364628660058406</v>
      </c>
      <c r="AN1384" s="28">
        <f>IF(('Activity data'!BG10*EF!$H9)*kgtoGg=0,"NO",('Activity data'!BG10*EF!$H9)*kgtoGg)</f>
        <v>-13.465524819095547</v>
      </c>
      <c r="AO1384" s="28">
        <f>IF(('Activity data'!BH10*EF!$H9)*kgtoGg=0,"NO",('Activity data'!BH10*EF!$H9)*kgtoGg)</f>
        <v>-13.567116958153555</v>
      </c>
      <c r="AP1384" s="28">
        <f>IF(('Activity data'!BI10*EF!$H9)*kgtoGg=0,"NO",('Activity data'!BI10*EF!$H9)*kgtoGg)</f>
        <v>-13.669410585503263</v>
      </c>
      <c r="AQ1384" s="28">
        <f>IF(('Activity data'!BJ10*EF!$H9)*kgtoGg=0,"NO",('Activity data'!BJ10*EF!$H9)*kgtoGg)</f>
        <v>-13.772411250990594</v>
      </c>
      <c r="AR1384" s="28">
        <f>IF(('Activity data'!BK10*EF!$H9)*kgtoGg=0,"NO",('Activity data'!BK10*EF!$H9)*kgtoGg)</f>
        <v>-13.876124546340513</v>
      </c>
      <c r="AS1384" s="28">
        <f>IF(('Activity data'!BL10*EF!$H9)*kgtoGg=0,"NO",('Activity data'!BL10*EF!$H9)*kgtoGg)</f>
        <v>-13.971054455205756</v>
      </c>
      <c r="AT1384" s="28">
        <f>IF(('Activity data'!BM10*EF!$H9)*kgtoGg=0,"NO",('Activity data'!BM10*EF!$H9)*kgtoGg)</f>
        <v>-14.066530697184916</v>
      </c>
      <c r="AU1384" s="28">
        <f>IF(('Activity data'!BN10*EF!$H9)*kgtoGg=0,"NO",('Activity data'!BN10*EF!$H9)*kgtoGg)</f>
        <v>-14.162556886408025</v>
      </c>
      <c r="AV1384" s="28">
        <f>IF(('Activity data'!BO10*EF!$H9)*kgtoGg=0,"NO",('Activity data'!BO10*EF!$H9)*kgtoGg)</f>
        <v>-14.259136659667147</v>
      </c>
      <c r="AW1384" s="28">
        <f>IF(('Activity data'!BP10*EF!$H9)*kgtoGg=0,"NO",('Activity data'!BP10*EF!$H9)*kgtoGg)</f>
        <v>-14.356273676553505</v>
      </c>
    </row>
    <row r="1385" spans="1:49" x14ac:dyDescent="0.25">
      <c r="A1385" s="102" t="s">
        <v>961</v>
      </c>
      <c r="B1385" s="102"/>
      <c r="C1385" s="102"/>
      <c r="D1385" t="str">
        <f t="shared" si="547"/>
        <v>3A Livestock</v>
      </c>
      <c r="E1385" t="str">
        <f t="shared" si="547"/>
        <v>3A1 Enteric fermentation (CH4)</v>
      </c>
      <c r="F1385" t="str">
        <f>EF!C10</f>
        <v>3A1c Sheep</v>
      </c>
      <c r="G1385" t="str">
        <f>EF!D10</f>
        <v>Commercial</v>
      </c>
      <c r="H1385" t="str">
        <f t="shared" si="548"/>
        <v>Enteric fermentation Emissions</v>
      </c>
      <c r="I1385" t="str">
        <f t="shared" si="548"/>
        <v>CH4</v>
      </c>
      <c r="J1385" t="str">
        <f t="shared" si="548"/>
        <v>Gg CH4</v>
      </c>
      <c r="K1385" s="28">
        <f>IF(('Activity data'!AD11*EF!$H10)*kgtoGg=0,"NO",('Activity data'!AD11*EF!$H10)*kgtoGg)</f>
        <v>132.58757058147904</v>
      </c>
      <c r="L1385" s="28">
        <f>IF(('Activity data'!AE11*EF!$H10)*kgtoGg=0,"NO",('Activity data'!AE11*EF!$H10)*kgtoGg)</f>
        <v>132.65997552000914</v>
      </c>
      <c r="M1385" s="28">
        <f>IF(('Activity data'!AF11*EF!$H10)*kgtoGg=0,"NO",('Activity data'!AF11*EF!$H10)*kgtoGg)</f>
        <v>132.82210408590223</v>
      </c>
      <c r="N1385" s="28">
        <f>IF(('Activity data'!AG11*EF!$H10)*kgtoGg=0,"NO",('Activity data'!AG11*EF!$H10)*kgtoGg)</f>
        <v>133.06614161446052</v>
      </c>
      <c r="O1385" s="28">
        <f>IF(('Activity data'!AH11*EF!$H10)*kgtoGg=0,"NO",('Activity data'!AH11*EF!$H10)*kgtoGg)</f>
        <v>133.3953531354135</v>
      </c>
      <c r="P1385" s="28">
        <f>IF(('Activity data'!AI11*EF!$H10)*kgtoGg=0,"NO",('Activity data'!AI11*EF!$H10)*kgtoGg)</f>
        <v>133.81008797408685</v>
      </c>
      <c r="Q1385" s="28">
        <f>IF(('Activity data'!AJ11*EF!$H10)*kgtoGg=0,"NO",('Activity data'!AJ11*EF!$H10)*kgtoGg)</f>
        <v>134.27208577169884</v>
      </c>
      <c r="R1385" s="28">
        <f>IF(('Activity data'!AK11*EF!$H10)*kgtoGg=0,"NO",('Activity data'!AK11*EF!$H10)*kgtoGg)</f>
        <v>134.77278624125299</v>
      </c>
      <c r="S1385" s="28">
        <f>IF(('Activity data'!AL11*EF!$H10)*kgtoGg=0,"NO",('Activity data'!AL11*EF!$H10)*kgtoGg)</f>
        <v>135.24330047488556</v>
      </c>
      <c r="T1385" s="28">
        <f>IF(('Activity data'!AM11*EF!$H10)*kgtoGg=0,"NO",('Activity data'!AM11*EF!$H10)*kgtoGg)</f>
        <v>135.43984338147078</v>
      </c>
      <c r="U1385" s="28">
        <f>IF(('Activity data'!AN11*EF!$H10)*kgtoGg=0,"NO",('Activity data'!AN11*EF!$H10)*kgtoGg)</f>
        <v>135.66790740229135</v>
      </c>
      <c r="V1385" s="28">
        <f>IF(('Activity data'!AO11*EF!$H10)*kgtoGg=0,"NO",('Activity data'!AO11*EF!$H10)*kgtoGg)</f>
        <v>135.92744577431912</v>
      </c>
      <c r="W1385" s="28">
        <f>IF(('Activity data'!AP11*EF!$H10)*kgtoGg=0,"NO",('Activity data'!AP11*EF!$H10)*kgtoGg)</f>
        <v>136.21980319636509</v>
      </c>
      <c r="X1385" s="28">
        <f>IF(('Activity data'!AQ11*EF!$H10)*kgtoGg=0,"NO",('Activity data'!AQ11*EF!$H10)*kgtoGg)</f>
        <v>136.54029274426662</v>
      </c>
      <c r="Y1385" s="28">
        <f>IF(('Activity data'!AR11*EF!$H10)*kgtoGg=0,"NO",('Activity data'!AR11*EF!$H10)*kgtoGg)</f>
        <v>136.73757850266969</v>
      </c>
      <c r="Z1385" s="28">
        <f>IF(('Activity data'!AS11*EF!$H10)*kgtoGg=0,"NO",('Activity data'!AS11*EF!$H10)*kgtoGg)</f>
        <v>136.95795076822631</v>
      </c>
      <c r="AA1385" s="28">
        <f>IF(('Activity data'!AT11*EF!$H10)*kgtoGg=0,"NO",('Activity data'!AT11*EF!$H10)*kgtoGg)</f>
        <v>137.20220925985299</v>
      </c>
      <c r="AB1385" s="28">
        <f>IF(('Activity data'!AU11*EF!$H10)*kgtoGg=0,"NO",('Activity data'!AU11*EF!$H10)*kgtoGg)</f>
        <v>137.46660109068114</v>
      </c>
      <c r="AC1385" s="28">
        <f>IF(('Activity data'!AV11*EF!$H10)*kgtoGg=0,"NO",('Activity data'!AV11*EF!$H10)*kgtoGg)</f>
        <v>137.75207161797405</v>
      </c>
      <c r="AD1385" s="28">
        <f>IF(('Activity data'!AW11*EF!$H10)*kgtoGg=0,"NO",('Activity data'!AW11*EF!$H10)*kgtoGg)</f>
        <v>137.94000218541183</v>
      </c>
      <c r="AE1385" s="28">
        <f>IF(('Activity data'!AX11*EF!$H10)*kgtoGg=0,"NO",('Activity data'!AX11*EF!$H10)*kgtoGg)</f>
        <v>138.14770015018067</v>
      </c>
      <c r="AF1385" s="28">
        <f>IF(('Activity data'!AY11*EF!$H10)*kgtoGg=0,"NO",('Activity data'!AY11*EF!$H10)*kgtoGg)</f>
        <v>138.37329758077868</v>
      </c>
      <c r="AG1385" s="28">
        <f>IF(('Activity data'!AZ11*EF!$H10)*kgtoGg=0,"NO",('Activity data'!AZ11*EF!$H10)*kgtoGg)</f>
        <v>138.59125347156044</v>
      </c>
      <c r="AH1385" s="28">
        <f>IF(('Activity data'!BA11*EF!$H10)*kgtoGg=0,"NO",('Activity data'!BA11*EF!$H10)*kgtoGg)</f>
        <v>137.6594267769662</v>
      </c>
      <c r="AI1385" s="28">
        <f>IF(('Activity data'!BB11*EF!$H10)*kgtoGg=0,"NO",('Activity data'!BB11*EF!$H10)*kgtoGg)</f>
        <v>137.79176090123983</v>
      </c>
      <c r="AJ1385" s="28">
        <f>IF(('Activity data'!BC11*EF!$H10)*kgtoGg=0,"NO",('Activity data'!BC11*EF!$H10)*kgtoGg)</f>
        <v>137.93779226287748</v>
      </c>
      <c r="AK1385" s="28">
        <f>IF(('Activity data'!BD11*EF!$H10)*kgtoGg=0,"NO",('Activity data'!BD11*EF!$H10)*kgtoGg)</f>
        <v>138.09700339174353</v>
      </c>
      <c r="AL1385" s="28">
        <f>IF(('Activity data'!BE11*EF!$H10)*kgtoGg=0,"NO",('Activity data'!BE11*EF!$H10)*kgtoGg)</f>
        <v>138.26891681492259</v>
      </c>
      <c r="AM1385" s="28">
        <f>IF(('Activity data'!BF11*EF!$H10)*kgtoGg=0,"NO",('Activity data'!BF11*EF!$H10)*kgtoGg)</f>
        <v>138.45309126128626</v>
      </c>
      <c r="AN1385" s="28">
        <f>IF(('Activity data'!BG11*EF!$H10)*kgtoGg=0,"NO",('Activity data'!BG11*EF!$H10)*kgtoGg)</f>
        <v>138.54247128713709</v>
      </c>
      <c r="AO1385" s="28">
        <f>IF(('Activity data'!BH11*EF!$H10)*kgtoGg=0,"NO",('Activity data'!BH11*EF!$H10)*kgtoGg)</f>
        <v>138.64265405515414</v>
      </c>
      <c r="AP1385" s="28">
        <f>IF(('Activity data'!BI11*EF!$H10)*kgtoGg=0,"NO",('Activity data'!BI11*EF!$H10)*kgtoGg)</f>
        <v>138.75326360443952</v>
      </c>
      <c r="AQ1385" s="28">
        <f>IF(('Activity data'!BJ11*EF!$H10)*kgtoGg=0,"NO",('Activity data'!BJ11*EF!$H10)*kgtoGg)</f>
        <v>138.87394970624567</v>
      </c>
      <c r="AR1385" s="28">
        <f>IF(('Activity data'!BK11*EF!$H10)*kgtoGg=0,"NO",('Activity data'!BK11*EF!$H10)*kgtoGg)</f>
        <v>139.00438567790363</v>
      </c>
      <c r="AS1385" s="28">
        <f>IF(('Activity data'!BL11*EF!$H10)*kgtoGg=0,"NO",('Activity data'!BL11*EF!$H10)*kgtoGg)</f>
        <v>139.03656264546001</v>
      </c>
      <c r="AT1385" s="28">
        <f>IF(('Activity data'!BM11*EF!$H10)*kgtoGg=0,"NO",('Activity data'!BM11*EF!$H10)*kgtoGg)</f>
        <v>139.07739261805247</v>
      </c>
      <c r="AU1385" s="28">
        <f>IF(('Activity data'!BN11*EF!$H10)*kgtoGg=0,"NO",('Activity data'!BN11*EF!$H10)*kgtoGg)</f>
        <v>139.1265890083165</v>
      </c>
      <c r="AV1385" s="28">
        <f>IF(('Activity data'!BO11*EF!$H10)*kgtoGg=0,"NO",('Activity data'!BO11*EF!$H10)*kgtoGg)</f>
        <v>139.18388272915809</v>
      </c>
      <c r="AW1385" s="28">
        <f>IF(('Activity data'!BP11*EF!$H10)*kgtoGg=0,"NO",('Activity data'!BP11*EF!$H10)*kgtoGg)</f>
        <v>139.24902084795488</v>
      </c>
    </row>
    <row r="1386" spans="1:49" x14ac:dyDescent="0.25">
      <c r="A1386" s="102" t="s">
        <v>961</v>
      </c>
      <c r="B1386" s="102"/>
      <c r="C1386" s="102"/>
      <c r="D1386" t="str">
        <f t="shared" si="547"/>
        <v>3A Livestock</v>
      </c>
      <c r="E1386" t="str">
        <f t="shared" si="547"/>
        <v>3A1 Enteric fermentation (CH4)</v>
      </c>
      <c r="F1386" t="str">
        <f>EF!C11</f>
        <v>3A1c Sheep</v>
      </c>
      <c r="G1386" t="str">
        <f>EF!D11</f>
        <v>Subsistence</v>
      </c>
      <c r="H1386" t="str">
        <f t="shared" si="548"/>
        <v>Enteric fermentation Emissions</v>
      </c>
      <c r="I1386" t="str">
        <f t="shared" si="548"/>
        <v>CH4</v>
      </c>
      <c r="J1386" t="str">
        <f t="shared" si="548"/>
        <v>Gg CH4</v>
      </c>
      <c r="K1386" s="28">
        <f>IF(('Activity data'!AD12*EF!$H11)*kgtoGg=0,"NO",('Activity data'!AD12*EF!$H11)*kgtoGg)</f>
        <v>14.369021000318453</v>
      </c>
      <c r="L1386" s="28">
        <f>IF(('Activity data'!AE12*EF!$H11)*kgtoGg=0,"NO",('Activity data'!AE12*EF!$H11)*kgtoGg)</f>
        <v>14.376867799816345</v>
      </c>
      <c r="M1386" s="28">
        <f>IF(('Activity data'!AF12*EF!$H11)*kgtoGg=0,"NO",('Activity data'!AF12*EF!$H11)*kgtoGg)</f>
        <v>14.394438291211975</v>
      </c>
      <c r="N1386" s="28">
        <f>IF(('Activity data'!AG12*EF!$H11)*kgtoGg=0,"NO",('Activity data'!AG12*EF!$H11)*kgtoGg)</f>
        <v>14.420885569469965</v>
      </c>
      <c r="O1386" s="28">
        <f>IF(('Activity data'!AH12*EF!$H11)*kgtoGg=0,"NO",('Activity data'!AH12*EF!$H11)*kgtoGg)</f>
        <v>14.456563478322018</v>
      </c>
      <c r="P1386" s="28">
        <f>IF(('Activity data'!AI12*EF!$H11)*kgtoGg=0,"NO",('Activity data'!AI12*EF!$H11)*kgtoGg)</f>
        <v>14.50150987548674</v>
      </c>
      <c r="Q1386" s="28">
        <f>IF(('Activity data'!AJ12*EF!$H11)*kgtoGg=0,"NO",('Activity data'!AJ12*EF!$H11)*kgtoGg)</f>
        <v>14.55157833987502</v>
      </c>
      <c r="R1386" s="28">
        <f>IF(('Activity data'!AK12*EF!$H11)*kgtoGg=0,"NO",('Activity data'!AK12*EF!$H11)*kgtoGg)</f>
        <v>14.60584116051756</v>
      </c>
      <c r="S1386" s="28">
        <f>IF(('Activity data'!AL12*EF!$H11)*kgtoGg=0,"NO",('Activity data'!AL12*EF!$H11)*kgtoGg)</f>
        <v>14.656832583577541</v>
      </c>
      <c r="T1386" s="28">
        <f>IF(('Activity data'!AM12*EF!$H11)*kgtoGg=0,"NO",('Activity data'!AM12*EF!$H11)*kgtoGg)</f>
        <v>14.678132688404874</v>
      </c>
      <c r="U1386" s="28">
        <f>IF(('Activity data'!AN12*EF!$H11)*kgtoGg=0,"NO",('Activity data'!AN12*EF!$H11)*kgtoGg)</f>
        <v>14.702848856671748</v>
      </c>
      <c r="V1386" s="28">
        <f>IF(('Activity data'!AO12*EF!$H11)*kgtoGg=0,"NO",('Activity data'!AO12*EF!$H11)*kgtoGg)</f>
        <v>14.730976020490347</v>
      </c>
      <c r="W1386" s="28">
        <f>IF(('Activity data'!AP12*EF!$H11)*kgtoGg=0,"NO",('Activity data'!AP12*EF!$H11)*kgtoGg)</f>
        <v>14.762659910002416</v>
      </c>
      <c r="X1386" s="28">
        <f>IF(('Activity data'!AQ12*EF!$H11)*kgtoGg=0,"NO",('Activity data'!AQ12*EF!$H11)*kgtoGg)</f>
        <v>14.797392585350364</v>
      </c>
      <c r="Y1386" s="28">
        <f>IF(('Activity data'!AR12*EF!$H11)*kgtoGg=0,"NO",('Activity data'!AR12*EF!$H11)*kgtoGg)</f>
        <v>14.818773195864045</v>
      </c>
      <c r="Z1386" s="28">
        <f>IF(('Activity data'!AS12*EF!$H11)*kgtoGg=0,"NO",('Activity data'!AS12*EF!$H11)*kgtoGg)</f>
        <v>14.842655779259934</v>
      </c>
      <c r="AA1386" s="28">
        <f>IF(('Activity data'!AT12*EF!$H11)*kgtoGg=0,"NO",('Activity data'!AT12*EF!$H11)*kgtoGg)</f>
        <v>14.869127004128885</v>
      </c>
      <c r="AB1386" s="28">
        <f>IF(('Activity data'!AU12*EF!$H11)*kgtoGg=0,"NO",('Activity data'!AU12*EF!$H11)*kgtoGg)</f>
        <v>14.897780155799289</v>
      </c>
      <c r="AC1386" s="28">
        <f>IF(('Activity data'!AV12*EF!$H11)*kgtoGg=0,"NO",('Activity data'!AV12*EF!$H11)*kgtoGg)</f>
        <v>14.928717686245429</v>
      </c>
      <c r="AD1386" s="28">
        <f>IF(('Activity data'!AW12*EF!$H11)*kgtoGg=0,"NO",('Activity data'!AW12*EF!$H11)*kgtoGg)</f>
        <v>14.949084439013225</v>
      </c>
      <c r="AE1386" s="28">
        <f>IF(('Activity data'!AX12*EF!$H11)*kgtoGg=0,"NO",('Activity data'!AX12*EF!$H11)*kgtoGg)</f>
        <v>14.971593460065483</v>
      </c>
      <c r="AF1386" s="28">
        <f>IF(('Activity data'!AY12*EF!$H11)*kgtoGg=0,"NO",('Activity data'!AY12*EF!$H11)*kgtoGg)</f>
        <v>14.996042314537018</v>
      </c>
      <c r="AG1386" s="28">
        <f>IF(('Activity data'!AZ12*EF!$H11)*kgtoGg=0,"NO",('Activity data'!AZ12*EF!$H11)*kgtoGg)</f>
        <v>15.019663026177268</v>
      </c>
      <c r="AH1386" s="28">
        <f>IF(('Activity data'!BA12*EF!$H11)*kgtoGg=0,"NO",('Activity data'!BA12*EF!$H11)*kgtoGg)</f>
        <v>14.918677411277161</v>
      </c>
      <c r="AI1386" s="28">
        <f>IF(('Activity data'!BB12*EF!$H11)*kgtoGg=0,"NO",('Activity data'!BB12*EF!$H11)*kgtoGg)</f>
        <v>14.933018965333902</v>
      </c>
      <c r="AJ1386" s="28">
        <f>IF(('Activity data'!BC12*EF!$H11)*kgtoGg=0,"NO",('Activity data'!BC12*EF!$H11)*kgtoGg)</f>
        <v>14.948844941274739</v>
      </c>
      <c r="AK1386" s="28">
        <f>IF(('Activity data'!BD12*EF!$H11)*kgtoGg=0,"NO",('Activity data'!BD12*EF!$H11)*kgtoGg)</f>
        <v>14.966099258886322</v>
      </c>
      <c r="AL1386" s="28">
        <f>IF(('Activity data'!BE12*EF!$H11)*kgtoGg=0,"NO",('Activity data'!BE12*EF!$H11)*kgtoGg)</f>
        <v>14.984730172606687</v>
      </c>
      <c r="AM1386" s="28">
        <f>IF(('Activity data'!BF12*EF!$H11)*kgtoGg=0,"NO",('Activity data'!BF12*EF!$H11)*kgtoGg)</f>
        <v>15.004689860199688</v>
      </c>
      <c r="AN1386" s="28">
        <f>IF(('Activity data'!BG12*EF!$H11)*kgtoGg=0,"NO",('Activity data'!BG12*EF!$H11)*kgtoGg)</f>
        <v>15.014376314690312</v>
      </c>
      <c r="AO1386" s="28">
        <f>IF(('Activity data'!BH12*EF!$H11)*kgtoGg=0,"NO",('Activity data'!BH12*EF!$H11)*kgtoGg)</f>
        <v>15.025233503574562</v>
      </c>
      <c r="AP1386" s="28">
        <f>IF(('Activity data'!BI12*EF!$H11)*kgtoGg=0,"NO",('Activity data'!BI12*EF!$H11)*kgtoGg)</f>
        <v>15.037220682535205</v>
      </c>
      <c r="AQ1386" s="28">
        <f>IF(('Activity data'!BJ12*EF!$H11)*kgtoGg=0,"NO",('Activity data'!BJ12*EF!$H11)*kgtoGg)</f>
        <v>15.050299895946342</v>
      </c>
      <c r="AR1386" s="28">
        <f>IF(('Activity data'!BK12*EF!$H11)*kgtoGg=0,"NO",('Activity data'!BK12*EF!$H11)*kgtoGg)</f>
        <v>15.064435739960453</v>
      </c>
      <c r="AS1386" s="28">
        <f>IF(('Activity data'!BL12*EF!$H11)*kgtoGg=0,"NO",('Activity data'!BL12*EF!$H11)*kgtoGg)</f>
        <v>15.067922880727245</v>
      </c>
      <c r="AT1386" s="28">
        <f>IF(('Activity data'!BM12*EF!$H11)*kgtoGg=0,"NO",('Activity data'!BM12*EF!$H11)*kgtoGg)</f>
        <v>15.072347780671114</v>
      </c>
      <c r="AU1386" s="28">
        <f>IF(('Activity data'!BN12*EF!$H11)*kgtoGg=0,"NO",('Activity data'!BN12*EF!$H11)*kgtoGg)</f>
        <v>15.077679381225703</v>
      </c>
      <c r="AV1386" s="28">
        <f>IF(('Activity data'!BO12*EF!$H11)*kgtoGg=0,"NO",('Activity data'!BO12*EF!$H11)*kgtoGg)</f>
        <v>15.083888520395751</v>
      </c>
      <c r="AW1386" s="28">
        <f>IF(('Activity data'!BP12*EF!$H11)*kgtoGg=0,"NO",('Activity data'!BP12*EF!$H11)*kgtoGg)</f>
        <v>15.090947786907744</v>
      </c>
    </row>
    <row r="1387" spans="1:49" x14ac:dyDescent="0.25">
      <c r="A1387" s="102" t="s">
        <v>961</v>
      </c>
      <c r="B1387" s="102"/>
      <c r="C1387" s="102"/>
      <c r="D1387" t="str">
        <f t="shared" si="547"/>
        <v>3A Livestock</v>
      </c>
      <c r="E1387" t="str">
        <f t="shared" si="547"/>
        <v>3A1 Enteric fermentation (CH4)</v>
      </c>
      <c r="F1387" t="str">
        <f>EF!C12</f>
        <v>3A1d Goats</v>
      </c>
      <c r="G1387" t="str">
        <f>EF!D12</f>
        <v>Commercial</v>
      </c>
      <c r="H1387" t="str">
        <f t="shared" si="548"/>
        <v>Enteric fermentation Emissions</v>
      </c>
      <c r="I1387" t="str">
        <f t="shared" si="548"/>
        <v>CH4</v>
      </c>
      <c r="J1387" t="str">
        <f t="shared" si="548"/>
        <v>Gg CH4</v>
      </c>
      <c r="K1387" s="28">
        <f>IF(('Activity data'!AD13*EF!$H12)*kgtoGg=0,"NO",('Activity data'!AD13*EF!$H12)*kgtoGg)</f>
        <v>15.122912034052119</v>
      </c>
      <c r="L1387" s="28">
        <f>IF(('Activity data'!AE13*EF!$H12)*kgtoGg=0,"NO",('Activity data'!AE13*EF!$H12)*kgtoGg)</f>
        <v>15.16235617086264</v>
      </c>
      <c r="M1387" s="28">
        <f>IF(('Activity data'!AF13*EF!$H12)*kgtoGg=0,"NO",('Activity data'!AF13*EF!$H12)*kgtoGg)</f>
        <v>15.214918977175502</v>
      </c>
      <c r="N1387" s="28">
        <f>IF(('Activity data'!AG13*EF!$H12)*kgtoGg=0,"NO",('Activity data'!AG13*EF!$H12)*kgtoGg)</f>
        <v>15.279431878529646</v>
      </c>
      <c r="O1387" s="28">
        <f>IF(('Activity data'!AH13*EF!$H12)*kgtoGg=0,"NO",('Activity data'!AH13*EF!$H12)*kgtoGg)</f>
        <v>15.356670108197457</v>
      </c>
      <c r="P1387" s="28">
        <f>IF(('Activity data'!AI13*EF!$H12)*kgtoGg=0,"NO",('Activity data'!AI13*EF!$H12)*kgtoGg)</f>
        <v>15.446839206530987</v>
      </c>
      <c r="Q1387" s="28">
        <f>IF(('Activity data'!AJ13*EF!$H12)*kgtoGg=0,"NO",('Activity data'!AJ13*EF!$H12)*kgtoGg)</f>
        <v>15.543246595834415</v>
      </c>
      <c r="R1387" s="28">
        <f>IF(('Activity data'!AK13*EF!$H12)*kgtoGg=0,"NO",('Activity data'!AK13*EF!$H12)*kgtoGg)</f>
        <v>15.644513729476552</v>
      </c>
      <c r="S1387" s="28">
        <f>IF(('Activity data'!AL13*EF!$H12)*kgtoGg=0,"NO",('Activity data'!AL13*EF!$H12)*kgtoGg)</f>
        <v>15.738586448717601</v>
      </c>
      <c r="T1387" s="28">
        <f>IF(('Activity data'!AM13*EF!$H12)*kgtoGg=0,"NO",('Activity data'!AM13*EF!$H12)*kgtoGg)</f>
        <v>15.782671791027241</v>
      </c>
      <c r="U1387" s="28">
        <f>IF(('Activity data'!AN13*EF!$H12)*kgtoGg=0,"NO",('Activity data'!AN13*EF!$H12)*kgtoGg)</f>
        <v>15.831013812582922</v>
      </c>
      <c r="V1387" s="28">
        <f>IF(('Activity data'!AO13*EF!$H12)*kgtoGg=0,"NO",('Activity data'!AO13*EF!$H12)*kgtoGg)</f>
        <v>15.883673860630685</v>
      </c>
      <c r="W1387" s="28">
        <f>IF(('Activity data'!AP13*EF!$H12)*kgtoGg=0,"NO",('Activity data'!AP13*EF!$H12)*kgtoGg)</f>
        <v>15.940945806372881</v>
      </c>
      <c r="X1387" s="28">
        <f>IF(('Activity data'!AQ13*EF!$H12)*kgtoGg=0,"NO",('Activity data'!AQ13*EF!$H12)*kgtoGg)</f>
        <v>16.002058548962822</v>
      </c>
      <c r="Y1387" s="28">
        <f>IF(('Activity data'!AR13*EF!$H12)*kgtoGg=0,"NO",('Activity data'!AR13*EF!$H12)*kgtoGg)</f>
        <v>16.040687609599484</v>
      </c>
      <c r="Z1387" s="28">
        <f>IF(('Activity data'!AS13*EF!$H12)*kgtoGg=0,"NO",('Activity data'!AS13*EF!$H12)*kgtoGg)</f>
        <v>16.082482288873532</v>
      </c>
      <c r="AA1387" s="28">
        <f>IF(('Activity data'!AT13*EF!$H12)*kgtoGg=0,"NO",('Activity data'!AT13*EF!$H12)*kgtoGg)</f>
        <v>16.127615494082271</v>
      </c>
      <c r="AB1387" s="28">
        <f>IF(('Activity data'!AU13*EF!$H12)*kgtoGg=0,"NO",('Activity data'!AU13*EF!$H12)*kgtoGg)</f>
        <v>16.175465875658951</v>
      </c>
      <c r="AC1387" s="28">
        <f>IF(('Activity data'!AV13*EF!$H12)*kgtoGg=0,"NO",('Activity data'!AV13*EF!$H12)*kgtoGg)</f>
        <v>16.226224840403397</v>
      </c>
      <c r="AD1387" s="28">
        <f>IF(('Activity data'!AW13*EF!$H12)*kgtoGg=0,"NO",('Activity data'!AW13*EF!$H12)*kgtoGg)</f>
        <v>16.259468591936052</v>
      </c>
      <c r="AE1387" s="28">
        <f>IF(('Activity data'!AX13*EF!$H12)*kgtoGg=0,"NO",('Activity data'!AX13*EF!$H12)*kgtoGg)</f>
        <v>16.295521678721617</v>
      </c>
      <c r="AF1387" s="28">
        <f>IF(('Activity data'!AY13*EF!$H12)*kgtoGg=0,"NO",('Activity data'!AY13*EF!$H12)*kgtoGg)</f>
        <v>16.334079311640636</v>
      </c>
      <c r="AG1387" s="28">
        <f>IF(('Activity data'!AZ13*EF!$H12)*kgtoGg=0,"NO",('Activity data'!AZ13*EF!$H12)*kgtoGg)</f>
        <v>16.370780543129868</v>
      </c>
      <c r="AH1387" s="28">
        <f>IF(('Activity data'!BA13*EF!$H12)*kgtoGg=0,"NO",('Activity data'!BA13*EF!$H12)*kgtoGg)</f>
        <v>16.210342962451882</v>
      </c>
      <c r="AI1387" s="28">
        <f>IF(('Activity data'!BB13*EF!$H12)*kgtoGg=0,"NO",('Activity data'!BB13*EF!$H12)*kgtoGg)</f>
        <v>16.231809554619815</v>
      </c>
      <c r="AJ1387" s="28">
        <f>IF(('Activity data'!BC13*EF!$H12)*kgtoGg=0,"NO",('Activity data'!BC13*EF!$H12)*kgtoGg)</f>
        <v>16.255200949759832</v>
      </c>
      <c r="AK1387" s="28">
        <f>IF(('Activity data'!BD13*EF!$H12)*kgtoGg=0,"NO",('Activity data'!BD13*EF!$H12)*kgtoGg)</f>
        <v>16.280438980022009</v>
      </c>
      <c r="AL1387" s="28">
        <f>IF(('Activity data'!BE13*EF!$H12)*kgtoGg=0,"NO",('Activity data'!BE13*EF!$H12)*kgtoGg)</f>
        <v>16.307451540692337</v>
      </c>
      <c r="AM1387" s="28">
        <f>IF(('Activity data'!BF13*EF!$H12)*kgtoGg=0,"NO",('Activity data'!BF13*EF!$H12)*kgtoGg)</f>
        <v>16.33617200965886</v>
      </c>
      <c r="AN1387" s="28">
        <f>IF(('Activity data'!BG13*EF!$H12)*kgtoGg=0,"NO",('Activity data'!BG13*EF!$H12)*kgtoGg)</f>
        <v>16.348500225303503</v>
      </c>
      <c r="AO1387" s="28">
        <f>IF(('Activity data'!BH13*EF!$H12)*kgtoGg=0,"NO",('Activity data'!BH13*EF!$H12)*kgtoGg)</f>
        <v>16.362367038828094</v>
      </c>
      <c r="AP1387" s="28">
        <f>IF(('Activity data'!BI13*EF!$H12)*kgtoGg=0,"NO",('Activity data'!BI13*EF!$H12)*kgtoGg)</f>
        <v>16.377714445166813</v>
      </c>
      <c r="AQ1387" s="28">
        <f>IF(('Activity data'!BJ13*EF!$H12)*kgtoGg=0,"NO",('Activity data'!BJ13*EF!$H12)*kgtoGg)</f>
        <v>16.394488418537772</v>
      </c>
      <c r="AR1387" s="28">
        <f>IF(('Activity data'!BK13*EF!$H12)*kgtoGg=0,"NO",('Activity data'!BK13*EF!$H12)*kgtoGg)</f>
        <v>16.412638571526305</v>
      </c>
      <c r="AS1387" s="28">
        <f>IF(('Activity data'!BL13*EF!$H12)*kgtoGg=0,"NO",('Activity data'!BL13*EF!$H12)*kgtoGg)</f>
        <v>16.414054645399585</v>
      </c>
      <c r="AT1387" s="28">
        <f>IF(('Activity data'!BM13*EF!$H12)*kgtoGg=0,"NO",('Activity data'!BM13*EF!$H12)*kgtoGg)</f>
        <v>16.416730079303285</v>
      </c>
      <c r="AU1387" s="28">
        <f>IF(('Activity data'!BN13*EF!$H12)*kgtoGg=0,"NO",('Activity data'!BN13*EF!$H12)*kgtoGg)</f>
        <v>16.420619645756457</v>
      </c>
      <c r="AV1387" s="28">
        <f>IF(('Activity data'!BO13*EF!$H12)*kgtoGg=0,"NO",('Activity data'!BO13*EF!$H12)*kgtoGg)</f>
        <v>16.425680885599256</v>
      </c>
      <c r="AW1387" s="28">
        <f>IF(('Activity data'!BP13*EF!$H12)*kgtoGg=0,"NO",('Activity data'!BP13*EF!$H12)*kgtoGg)</f>
        <v>16.431873893524784</v>
      </c>
    </row>
    <row r="1388" spans="1:49" x14ac:dyDescent="0.25">
      <c r="A1388" s="102" t="s">
        <v>961</v>
      </c>
      <c r="B1388" s="102"/>
      <c r="C1388" s="102"/>
      <c r="D1388" t="str">
        <f t="shared" si="547"/>
        <v>3A Livestock</v>
      </c>
      <c r="E1388" t="str">
        <f t="shared" si="547"/>
        <v>3A1 Enteric fermentation (CH4)</v>
      </c>
      <c r="F1388" t="str">
        <f>EF!C13</f>
        <v>3A1d Goats</v>
      </c>
      <c r="G1388" t="str">
        <f>EF!D13</f>
        <v>Subsistence</v>
      </c>
      <c r="H1388" t="str">
        <f t="shared" si="548"/>
        <v>Enteric fermentation Emissions</v>
      </c>
      <c r="I1388" t="str">
        <f t="shared" si="548"/>
        <v>CH4</v>
      </c>
      <c r="J1388" t="str">
        <f t="shared" si="548"/>
        <v>Gg CH4</v>
      </c>
      <c r="K1388" s="28">
        <f>IF(('Activity data'!AD14*EF!$H13)*kgtoGg=0,"NO",('Activity data'!AD14*EF!$H13)*kgtoGg)</f>
        <v>22.380358537009105</v>
      </c>
      <c r="L1388" s="28">
        <f>IF(('Activity data'!AE14*EF!$H13)*kgtoGg=0,"NO",('Activity data'!AE14*EF!$H13)*kgtoGg)</f>
        <v>22.438731813400228</v>
      </c>
      <c r="M1388" s="28">
        <f>IF(('Activity data'!AF14*EF!$H13)*kgtoGg=0,"NO",('Activity data'!AF14*EF!$H13)*kgtoGg)</f>
        <v>22.516519374971988</v>
      </c>
      <c r="N1388" s="28">
        <f>IF(('Activity data'!AG14*EF!$H13)*kgtoGg=0,"NO",('Activity data'!AG14*EF!$H13)*kgtoGg)</f>
        <v>22.611991851391704</v>
      </c>
      <c r="O1388" s="28">
        <f>IF(('Activity data'!AH14*EF!$H13)*kgtoGg=0,"NO",('Activity data'!AH14*EF!$H13)*kgtoGg)</f>
        <v>22.726296508380855</v>
      </c>
      <c r="P1388" s="28">
        <f>IF(('Activity data'!AI14*EF!$H13)*kgtoGg=0,"NO",('Activity data'!AI14*EF!$H13)*kgtoGg)</f>
        <v>22.859737524576634</v>
      </c>
      <c r="Q1388" s="28">
        <f>IF(('Activity data'!AJ14*EF!$H13)*kgtoGg=0,"NO",('Activity data'!AJ14*EF!$H13)*kgtoGg)</f>
        <v>23.002410571498377</v>
      </c>
      <c r="R1388" s="28">
        <f>IF(('Activity data'!AK14*EF!$H13)*kgtoGg=0,"NO",('Activity data'!AK14*EF!$H13)*kgtoGg)</f>
        <v>23.152275541540064</v>
      </c>
      <c r="S1388" s="28">
        <f>IF(('Activity data'!AL14*EF!$H13)*kgtoGg=0,"NO",('Activity data'!AL14*EF!$H13)*kgtoGg)</f>
        <v>23.291493516254551</v>
      </c>
      <c r="T1388" s="28">
        <f>IF(('Activity data'!AM14*EF!$H13)*kgtoGg=0,"NO",('Activity data'!AM14*EF!$H13)*kgtoGg)</f>
        <v>23.356735300700223</v>
      </c>
      <c r="U1388" s="28">
        <f>IF(('Activity data'!AN14*EF!$H13)*kgtoGg=0,"NO",('Activity data'!AN14*EF!$H13)*kgtoGg)</f>
        <v>23.428276533789713</v>
      </c>
      <c r="V1388" s="28">
        <f>IF(('Activity data'!AO14*EF!$H13)*kgtoGg=0,"NO",('Activity data'!AO14*EF!$H13)*kgtoGg)</f>
        <v>23.506208003154299</v>
      </c>
      <c r="W1388" s="28">
        <f>IF(('Activity data'!AP14*EF!$H13)*kgtoGg=0,"NO",('Activity data'!AP14*EF!$H13)*kgtoGg)</f>
        <v>23.590964608028823</v>
      </c>
      <c r="X1388" s="28">
        <f>IF(('Activity data'!AQ14*EF!$H13)*kgtoGg=0,"NO",('Activity data'!AQ14*EF!$H13)*kgtoGg)</f>
        <v>23.681405198257956</v>
      </c>
      <c r="Y1388" s="28">
        <f>IF(('Activity data'!AR14*EF!$H13)*kgtoGg=0,"NO",('Activity data'!AR14*EF!$H13)*kgtoGg)</f>
        <v>23.738572245520402</v>
      </c>
      <c r="Z1388" s="28">
        <f>IF(('Activity data'!AS14*EF!$H13)*kgtoGg=0,"NO",('Activity data'!AS14*EF!$H13)*kgtoGg)</f>
        <v>23.800424083644316</v>
      </c>
      <c r="AA1388" s="28">
        <f>IF(('Activity data'!AT14*EF!$H13)*kgtoGg=0,"NO",('Activity data'!AT14*EF!$H13)*kgtoGg)</f>
        <v>23.8672165976933</v>
      </c>
      <c r="AB1388" s="28">
        <f>IF(('Activity data'!AU14*EF!$H13)*kgtoGg=0,"NO",('Activity data'!AU14*EF!$H13)*kgtoGg)</f>
        <v>23.938030254045156</v>
      </c>
      <c r="AC1388" s="28">
        <f>IF(('Activity data'!AV14*EF!$H13)*kgtoGg=0,"NO",('Activity data'!AV14*EF!$H13)*kgtoGg)</f>
        <v>24.013148315129573</v>
      </c>
      <c r="AD1388" s="28">
        <f>IF(('Activity data'!AW14*EF!$H13)*kgtoGg=0,"NO",('Activity data'!AW14*EF!$H13)*kgtoGg)</f>
        <v>24.062345657330646</v>
      </c>
      <c r="AE1388" s="28">
        <f>IF(('Activity data'!AX14*EF!$H13)*kgtoGg=0,"NO",('Activity data'!AX14*EF!$H13)*kgtoGg)</f>
        <v>24.115700527530912</v>
      </c>
      <c r="AF1388" s="28">
        <f>IF(('Activity data'!AY14*EF!$H13)*kgtoGg=0,"NO",('Activity data'!AY14*EF!$H13)*kgtoGg)</f>
        <v>24.172761869098128</v>
      </c>
      <c r="AG1388" s="28">
        <f>IF(('Activity data'!AZ14*EF!$H13)*kgtoGg=0,"NO",('Activity data'!AZ14*EF!$H13)*kgtoGg)</f>
        <v>24.227075926974639</v>
      </c>
      <c r="AH1388" s="28">
        <f>IF(('Activity data'!BA14*EF!$H13)*kgtoGg=0,"NO",('Activity data'!BA14*EF!$H13)*kgtoGg)</f>
        <v>23.989644764887686</v>
      </c>
      <c r="AI1388" s="28">
        <f>IF(('Activity data'!BB14*EF!$H13)*kgtoGg=0,"NO",('Activity data'!BB14*EF!$H13)*kgtoGg)</f>
        <v>24.021413119302785</v>
      </c>
      <c r="AJ1388" s="28">
        <f>IF(('Activity data'!BC14*EF!$H13)*kgtoGg=0,"NO",('Activity data'!BC14*EF!$H13)*kgtoGg)</f>
        <v>24.056029984674726</v>
      </c>
      <c r="AK1388" s="28">
        <f>IF(('Activity data'!BD14*EF!$H13)*kgtoGg=0,"NO",('Activity data'!BD14*EF!$H13)*kgtoGg)</f>
        <v>24.093379680603892</v>
      </c>
      <c r="AL1388" s="28">
        <f>IF(('Activity data'!BE14*EF!$H13)*kgtoGg=0,"NO",('Activity data'!BE14*EF!$H13)*kgtoGg)</f>
        <v>24.133355499509896</v>
      </c>
      <c r="AM1388" s="28">
        <f>IF(('Activity data'!BF14*EF!$H13)*kgtoGg=0,"NO",('Activity data'!BF14*EF!$H13)*kgtoGg)</f>
        <v>24.175858847500976</v>
      </c>
      <c r="AN1388" s="28">
        <f>IF(('Activity data'!BG14*EF!$H13)*kgtoGg=0,"NO",('Activity data'!BG14*EF!$H13)*kgtoGg)</f>
        <v>24.194103342055165</v>
      </c>
      <c r="AO1388" s="28">
        <f>IF(('Activity data'!BH14*EF!$H13)*kgtoGg=0,"NO",('Activity data'!BH14*EF!$H13)*kgtoGg)</f>
        <v>24.214624803645847</v>
      </c>
      <c r="AP1388" s="28">
        <f>IF(('Activity data'!BI14*EF!$H13)*kgtoGg=0,"NO",('Activity data'!BI14*EF!$H13)*kgtoGg)</f>
        <v>24.23733739072566</v>
      </c>
      <c r="AQ1388" s="28">
        <f>IF(('Activity data'!BJ14*EF!$H13)*kgtoGg=0,"NO",('Activity data'!BJ14*EF!$H13)*kgtoGg)</f>
        <v>24.26216115067923</v>
      </c>
      <c r="AR1388" s="28">
        <f>IF(('Activity data'!BK14*EF!$H13)*kgtoGg=0,"NO",('Activity data'!BK14*EF!$H13)*kgtoGg)</f>
        <v>24.289021515301489</v>
      </c>
      <c r="AS1388" s="28">
        <f>IF(('Activity data'!BL14*EF!$H13)*kgtoGg=0,"NO",('Activity data'!BL14*EF!$H13)*kgtoGg)</f>
        <v>24.291117159376356</v>
      </c>
      <c r="AT1388" s="28">
        <f>IF(('Activity data'!BM14*EF!$H13)*kgtoGg=0,"NO",('Activity data'!BM14*EF!$H13)*kgtoGg)</f>
        <v>24.295076527113999</v>
      </c>
      <c r="AU1388" s="28">
        <f>IF(('Activity data'!BN14*EF!$H13)*kgtoGg=0,"NO",('Activity data'!BN14*EF!$H13)*kgtoGg)</f>
        <v>24.300832686481954</v>
      </c>
      <c r="AV1388" s="28">
        <f>IF(('Activity data'!BO14*EF!$H13)*kgtoGg=0,"NO",('Activity data'!BO14*EF!$H13)*kgtoGg)</f>
        <v>24.308322802279001</v>
      </c>
      <c r="AW1388" s="28">
        <f>IF(('Activity data'!BP14*EF!$H13)*kgtoGg=0,"NO",('Activity data'!BP14*EF!$H13)*kgtoGg)</f>
        <v>24.317487818744329</v>
      </c>
    </row>
    <row r="1389" spans="1:49" x14ac:dyDescent="0.25">
      <c r="A1389" s="102" t="s">
        <v>961</v>
      </c>
      <c r="B1389" s="102"/>
      <c r="C1389" s="102"/>
      <c r="D1389" t="str">
        <f t="shared" si="547"/>
        <v>3A Livestock</v>
      </c>
      <c r="E1389" t="str">
        <f t="shared" si="547"/>
        <v>3A1 Enteric fermentation (CH4)</v>
      </c>
      <c r="F1389" t="str">
        <f>EF!C14</f>
        <v>3A1f Horses</v>
      </c>
      <c r="G1389" t="str">
        <f>EF!D14</f>
        <v>Horses</v>
      </c>
      <c r="H1389" t="str">
        <f t="shared" si="548"/>
        <v>Enteric fermentation Emissions</v>
      </c>
      <c r="I1389" t="str">
        <f t="shared" si="548"/>
        <v>CH4</v>
      </c>
      <c r="J1389" t="str">
        <f t="shared" si="548"/>
        <v>Gg CH4</v>
      </c>
      <c r="K1389" s="28">
        <f>IF(('Activity data'!AD15*EF!$H14)*kgtoGg=0,"NO",('Activity data'!AD15*EF!$H14)*kgtoGg)</f>
        <v>5.5696427744330439</v>
      </c>
      <c r="L1389" s="28">
        <f>IF(('Activity data'!AE15*EF!$H14)*kgtoGg=0,"NO",('Activity data'!AE15*EF!$H14)*kgtoGg)</f>
        <v>5.6022840873497932</v>
      </c>
      <c r="M1389" s="28">
        <f>IF(('Activity data'!AF15*EF!$H14)*kgtoGg=0,"NO",('Activity data'!AF15*EF!$H14)*kgtoGg)</f>
        <v>5.6103260601490881</v>
      </c>
      <c r="N1389" s="28">
        <f>IF(('Activity data'!AG15*EF!$H14)*kgtoGg=0,"NO",('Activity data'!AG15*EF!$H14)*kgtoGg)</f>
        <v>5.5857580588048208</v>
      </c>
      <c r="O1389" s="28">
        <f>IF(('Activity data'!AH15*EF!$H14)*kgtoGg=0,"NO",('Activity data'!AH15*EF!$H14)*kgtoGg)</f>
        <v>5.559765331848693</v>
      </c>
      <c r="P1389" s="28">
        <f>IF(('Activity data'!AI15*EF!$H14)*kgtoGg=0,"NO",('Activity data'!AI15*EF!$H14)*kgtoGg)</f>
        <v>5.5473985576087426</v>
      </c>
      <c r="Q1389" s="28">
        <f>IF(('Activity data'!AJ15*EF!$H14)*kgtoGg=0,"NO",('Activity data'!AJ15*EF!$H14)*kgtoGg)</f>
        <v>5.5391504700870771</v>
      </c>
      <c r="R1389" s="28">
        <f>IF(('Activity data'!AK15*EF!$H14)*kgtoGg=0,"NO",('Activity data'!AK15*EF!$H14)*kgtoGg)</f>
        <v>5.4993657963463365</v>
      </c>
      <c r="S1389" s="28">
        <f>IF(('Activity data'!AL15*EF!$H14)*kgtoGg=0,"NO",('Activity data'!AL15*EF!$H14)*kgtoGg)</f>
        <v>5.1779141846798922</v>
      </c>
      <c r="T1389" s="28">
        <f>IF(('Activity data'!AM15*EF!$H14)*kgtoGg=0,"NO",('Activity data'!AM15*EF!$H14)*kgtoGg)</f>
        <v>5.2234365031656678</v>
      </c>
      <c r="U1389" s="28">
        <f>IF(('Activity data'!AN15*EF!$H14)*kgtoGg=0,"NO",('Activity data'!AN15*EF!$H14)*kgtoGg)</f>
        <v>5.2607139869862687</v>
      </c>
      <c r="V1389" s="28">
        <f>IF(('Activity data'!AO15*EF!$H14)*kgtoGg=0,"NO",('Activity data'!AO15*EF!$H14)*kgtoGg)</f>
        <v>5.2972378917474705</v>
      </c>
      <c r="W1389" s="28">
        <f>IF(('Activity data'!AP15*EF!$H14)*kgtoGg=0,"NO",('Activity data'!AP15*EF!$H14)*kgtoGg)</f>
        <v>5.3445893517249541</v>
      </c>
      <c r="X1389" s="28">
        <f>IF(('Activity data'!AQ15*EF!$H14)*kgtoGg=0,"NO",('Activity data'!AQ15*EF!$H14)*kgtoGg)</f>
        <v>5.391074742094033</v>
      </c>
      <c r="Y1389" s="28">
        <f>IF(('Activity data'!AR15*EF!$H14)*kgtoGg=0,"NO",('Activity data'!AR15*EF!$H14)*kgtoGg)</f>
        <v>5.4443279456237095</v>
      </c>
      <c r="Z1389" s="28">
        <f>IF(('Activity data'!AS15*EF!$H14)*kgtoGg=0,"NO",('Activity data'!AS15*EF!$H14)*kgtoGg)</f>
        <v>5.4941146702747297</v>
      </c>
      <c r="AA1389" s="28">
        <f>IF(('Activity data'!AT15*EF!$H14)*kgtoGg=0,"NO",('Activity data'!AT15*EF!$H14)*kgtoGg)</f>
        <v>5.5476702009922301</v>
      </c>
      <c r="AB1389" s="28">
        <f>IF(('Activity data'!AU15*EF!$H14)*kgtoGg=0,"NO",('Activity data'!AU15*EF!$H14)*kgtoGg)</f>
        <v>5.5951924858009336</v>
      </c>
      <c r="AC1389" s="28">
        <f>IF(('Activity data'!AV15*EF!$H14)*kgtoGg=0,"NO",('Activity data'!AV15*EF!$H14)*kgtoGg)</f>
        <v>5.6435970948645044</v>
      </c>
      <c r="AD1389" s="28">
        <f>IF(('Activity data'!AW15*EF!$H14)*kgtoGg=0,"NO",('Activity data'!AW15*EF!$H14)*kgtoGg)</f>
        <v>5.7106381367284076</v>
      </c>
      <c r="AE1389" s="28">
        <f>IF(('Activity data'!AX15*EF!$H14)*kgtoGg=0,"NO",('Activity data'!AX15*EF!$H14)*kgtoGg)</f>
        <v>5.7837954436426573</v>
      </c>
      <c r="AF1389" s="28">
        <f>IF(('Activity data'!AY15*EF!$H14)*kgtoGg=0,"NO",('Activity data'!AY15*EF!$H14)*kgtoGg)</f>
        <v>5.8590224803991617</v>
      </c>
      <c r="AG1389" s="28">
        <f>IF(('Activity data'!AZ15*EF!$H14)*kgtoGg=0,"NO",('Activity data'!AZ15*EF!$H14)*kgtoGg)</f>
        <v>5.8483213454344947</v>
      </c>
      <c r="AH1389" s="28">
        <f>IF(('Activity data'!BA15*EF!$H14)*kgtoGg=0,"NO",('Activity data'!BA15*EF!$H14)*kgtoGg)</f>
        <v>1.7304204380446728</v>
      </c>
      <c r="AI1389" s="28">
        <f>IF(('Activity data'!BB15*EF!$H14)*kgtoGg=0,"NO",('Activity data'!BB15*EF!$H14)*kgtoGg)</f>
        <v>1.7304204380446728</v>
      </c>
      <c r="AJ1389" s="28">
        <f>IF(('Activity data'!BC15*EF!$H14)*kgtoGg=0,"NO",('Activity data'!BC15*EF!$H14)*kgtoGg)</f>
        <v>1.7304204380446728</v>
      </c>
      <c r="AK1389" s="28">
        <f>IF(('Activity data'!BD15*EF!$H14)*kgtoGg=0,"NO",('Activity data'!BD15*EF!$H14)*kgtoGg)</f>
        <v>1.7304204380446728</v>
      </c>
      <c r="AL1389" s="28">
        <f>IF(('Activity data'!BE15*EF!$H14)*kgtoGg=0,"NO",('Activity data'!BE15*EF!$H14)*kgtoGg)</f>
        <v>1.7304204380446728</v>
      </c>
      <c r="AM1389" s="28">
        <f>IF(('Activity data'!BF15*EF!$H14)*kgtoGg=0,"NO",('Activity data'!BF15*EF!$H14)*kgtoGg)</f>
        <v>1.7304204380446728</v>
      </c>
      <c r="AN1389" s="28">
        <f>IF(('Activity data'!BG15*EF!$H14)*kgtoGg=0,"NO",('Activity data'!BG15*EF!$H14)*kgtoGg)</f>
        <v>1.7304204380446728</v>
      </c>
      <c r="AO1389" s="28">
        <f>IF(('Activity data'!BH15*EF!$H14)*kgtoGg=0,"NO",('Activity data'!BH15*EF!$H14)*kgtoGg)</f>
        <v>1.7304204380446728</v>
      </c>
      <c r="AP1389" s="28">
        <f>IF(('Activity data'!BI15*EF!$H14)*kgtoGg=0,"NO",('Activity data'!BI15*EF!$H14)*kgtoGg)</f>
        <v>1.7304204380446728</v>
      </c>
      <c r="AQ1389" s="28">
        <f>IF(('Activity data'!BJ15*EF!$H14)*kgtoGg=0,"NO",('Activity data'!BJ15*EF!$H14)*kgtoGg)</f>
        <v>1.7304204380446728</v>
      </c>
      <c r="AR1389" s="28">
        <f>IF(('Activity data'!BK15*EF!$H14)*kgtoGg=0,"NO",('Activity data'!BK15*EF!$H14)*kgtoGg)</f>
        <v>1.7304204380446728</v>
      </c>
      <c r="AS1389" s="28">
        <f>IF(('Activity data'!BL15*EF!$H14)*kgtoGg=0,"NO",('Activity data'!BL15*EF!$H14)*kgtoGg)</f>
        <v>1.7304204380446728</v>
      </c>
      <c r="AT1389" s="28">
        <f>IF(('Activity data'!BM15*EF!$H14)*kgtoGg=0,"NO",('Activity data'!BM15*EF!$H14)*kgtoGg)</f>
        <v>1.7304204380446728</v>
      </c>
      <c r="AU1389" s="28">
        <f>IF(('Activity data'!BN15*EF!$H14)*kgtoGg=0,"NO",('Activity data'!BN15*EF!$H14)*kgtoGg)</f>
        <v>1.7304204380446728</v>
      </c>
      <c r="AV1389" s="28">
        <f>IF(('Activity data'!BO15*EF!$H14)*kgtoGg=0,"NO",('Activity data'!BO15*EF!$H14)*kgtoGg)</f>
        <v>1.7304204380446728</v>
      </c>
      <c r="AW1389" s="28">
        <f>IF(('Activity data'!BP15*EF!$H14)*kgtoGg=0,"NO",('Activity data'!BP15*EF!$H14)*kgtoGg)</f>
        <v>1.7304204380446728</v>
      </c>
    </row>
    <row r="1390" spans="1:49" x14ac:dyDescent="0.25">
      <c r="A1390" s="102" t="s">
        <v>961</v>
      </c>
      <c r="B1390" s="102"/>
      <c r="C1390" s="102"/>
      <c r="D1390" t="str">
        <f t="shared" si="547"/>
        <v>3A Livestock</v>
      </c>
      <c r="E1390" t="str">
        <f t="shared" si="547"/>
        <v>3A1 Enteric fermentation (CH4)</v>
      </c>
      <c r="F1390" t="str">
        <f>EF!C15</f>
        <v>3A1g Mules &amp; asses</v>
      </c>
      <c r="G1390" t="str">
        <f>EF!D15</f>
        <v>Mules &amp; Asses</v>
      </c>
      <c r="H1390" t="str">
        <f t="shared" si="548"/>
        <v>Enteric fermentation Emissions</v>
      </c>
      <c r="I1390" t="str">
        <f t="shared" si="548"/>
        <v>CH4</v>
      </c>
      <c r="J1390" t="str">
        <f t="shared" si="548"/>
        <v>Gg CH4</v>
      </c>
      <c r="K1390" s="28">
        <f>IF(('Activity data'!AD16*EF!$H15)*kgtoGg=0,"NO",('Activity data'!AD16*EF!$H15)*kgtoGg)</f>
        <v>1.67</v>
      </c>
      <c r="L1390" s="28">
        <f>IF(('Activity data'!AE16*EF!$H15)*kgtoGg=0,"NO",('Activity data'!AE16*EF!$H15)*kgtoGg)</f>
        <v>1.67</v>
      </c>
      <c r="M1390" s="28">
        <f>IF(('Activity data'!AF16*EF!$H15)*kgtoGg=0,"NO",('Activity data'!AF16*EF!$H15)*kgtoGg)</f>
        <v>1.67</v>
      </c>
      <c r="N1390" s="28">
        <f>IF(('Activity data'!AG16*EF!$H15)*kgtoGg=0,"NO",('Activity data'!AG16*EF!$H15)*kgtoGg)</f>
        <v>1.67</v>
      </c>
      <c r="O1390" s="28">
        <f>IF(('Activity data'!AH16*EF!$H15)*kgtoGg=0,"NO",('Activity data'!AH16*EF!$H15)*kgtoGg)</f>
        <v>1.67</v>
      </c>
      <c r="P1390" s="28">
        <f>IF(('Activity data'!AI16*EF!$H15)*kgtoGg=0,"NO",('Activity data'!AI16*EF!$H15)*kgtoGg)</f>
        <v>1.67</v>
      </c>
      <c r="Q1390" s="28">
        <f>IF(('Activity data'!AJ16*EF!$H15)*kgtoGg=0,"NO",('Activity data'!AJ16*EF!$H15)*kgtoGg)</f>
        <v>1.67</v>
      </c>
      <c r="R1390" s="28">
        <f>IF(('Activity data'!AK16*EF!$H15)*kgtoGg=0,"NO",('Activity data'!AK16*EF!$H15)*kgtoGg)</f>
        <v>1.67</v>
      </c>
      <c r="S1390" s="28">
        <f>IF(('Activity data'!AL16*EF!$H15)*kgtoGg=0,"NO",('Activity data'!AL16*EF!$H15)*kgtoGg)</f>
        <v>1.67</v>
      </c>
      <c r="T1390" s="28">
        <f>IF(('Activity data'!AM16*EF!$H15)*kgtoGg=0,"NO",('Activity data'!AM16*EF!$H15)*kgtoGg)</f>
        <v>1.67</v>
      </c>
      <c r="U1390" s="28">
        <f>IF(('Activity data'!AN16*EF!$H15)*kgtoGg=0,"NO",('Activity data'!AN16*EF!$H15)*kgtoGg)</f>
        <v>1.67</v>
      </c>
      <c r="V1390" s="28">
        <f>IF(('Activity data'!AO16*EF!$H15)*kgtoGg=0,"NO",('Activity data'!AO16*EF!$H15)*kgtoGg)</f>
        <v>1.67</v>
      </c>
      <c r="W1390" s="28">
        <f>IF(('Activity data'!AP16*EF!$H15)*kgtoGg=0,"NO",('Activity data'!AP16*EF!$H15)*kgtoGg)</f>
        <v>1.67</v>
      </c>
      <c r="X1390" s="28">
        <f>IF(('Activity data'!AQ16*EF!$H15)*kgtoGg=0,"NO",('Activity data'!AQ16*EF!$H15)*kgtoGg)</f>
        <v>1.67</v>
      </c>
      <c r="Y1390" s="28">
        <f>IF(('Activity data'!AR16*EF!$H15)*kgtoGg=0,"NO",('Activity data'!AR16*EF!$H15)*kgtoGg)</f>
        <v>1.67</v>
      </c>
      <c r="Z1390" s="28">
        <f>IF(('Activity data'!AS16*EF!$H15)*kgtoGg=0,"NO",('Activity data'!AS16*EF!$H15)*kgtoGg)</f>
        <v>1.67</v>
      </c>
      <c r="AA1390" s="28">
        <f>IF(('Activity data'!AT16*EF!$H15)*kgtoGg=0,"NO",('Activity data'!AT16*EF!$H15)*kgtoGg)</f>
        <v>1.67</v>
      </c>
      <c r="AB1390" s="28">
        <f>IF(('Activity data'!AU16*EF!$H15)*kgtoGg=0,"NO",('Activity data'!AU16*EF!$H15)*kgtoGg)</f>
        <v>1.67</v>
      </c>
      <c r="AC1390" s="28">
        <f>IF(('Activity data'!AV16*EF!$H15)*kgtoGg=0,"NO",('Activity data'!AV16*EF!$H15)*kgtoGg)</f>
        <v>1.67</v>
      </c>
      <c r="AD1390" s="28">
        <f>IF(('Activity data'!AW16*EF!$H15)*kgtoGg=0,"NO",('Activity data'!AW16*EF!$H15)*kgtoGg)</f>
        <v>1.67</v>
      </c>
      <c r="AE1390" s="28">
        <f>IF(('Activity data'!AX16*EF!$H15)*kgtoGg=0,"NO",('Activity data'!AX16*EF!$H15)*kgtoGg)</f>
        <v>1.67</v>
      </c>
      <c r="AF1390" s="28">
        <f>IF(('Activity data'!AY16*EF!$H15)*kgtoGg=0,"NO",('Activity data'!AY16*EF!$H15)*kgtoGg)</f>
        <v>1.67</v>
      </c>
      <c r="AG1390" s="28">
        <f>IF(('Activity data'!AZ16*EF!$H15)*kgtoGg=0,"NO",('Activity data'!AZ16*EF!$H15)*kgtoGg)</f>
        <v>1.67</v>
      </c>
      <c r="AH1390" s="28">
        <f>IF(('Activity data'!BA16*EF!$H15)*kgtoGg=0,"NO",('Activity data'!BA16*EF!$H15)*kgtoGg)</f>
        <v>1.67</v>
      </c>
      <c r="AI1390" s="28">
        <f>IF(('Activity data'!BB16*EF!$H15)*kgtoGg=0,"NO",('Activity data'!BB16*EF!$H15)*kgtoGg)</f>
        <v>1.67</v>
      </c>
      <c r="AJ1390" s="28">
        <f>IF(('Activity data'!BC16*EF!$H15)*kgtoGg=0,"NO",('Activity data'!BC16*EF!$H15)*kgtoGg)</f>
        <v>1.67</v>
      </c>
      <c r="AK1390" s="28">
        <f>IF(('Activity data'!BD16*EF!$H15)*kgtoGg=0,"NO",('Activity data'!BD16*EF!$H15)*kgtoGg)</f>
        <v>1.67</v>
      </c>
      <c r="AL1390" s="28">
        <f>IF(('Activity data'!BE16*EF!$H15)*kgtoGg=0,"NO",('Activity data'!BE16*EF!$H15)*kgtoGg)</f>
        <v>1.67</v>
      </c>
      <c r="AM1390" s="28">
        <f>IF(('Activity data'!BF16*EF!$H15)*kgtoGg=0,"NO",('Activity data'!BF16*EF!$H15)*kgtoGg)</f>
        <v>1.67</v>
      </c>
      <c r="AN1390" s="28">
        <f>IF(('Activity data'!BG16*EF!$H15)*kgtoGg=0,"NO",('Activity data'!BG16*EF!$H15)*kgtoGg)</f>
        <v>1.67</v>
      </c>
      <c r="AO1390" s="28">
        <f>IF(('Activity data'!BH16*EF!$H15)*kgtoGg=0,"NO",('Activity data'!BH16*EF!$H15)*kgtoGg)</f>
        <v>1.67</v>
      </c>
      <c r="AP1390" s="28">
        <f>IF(('Activity data'!BI16*EF!$H15)*kgtoGg=0,"NO",('Activity data'!BI16*EF!$H15)*kgtoGg)</f>
        <v>1.67</v>
      </c>
      <c r="AQ1390" s="28">
        <f>IF(('Activity data'!BJ16*EF!$H15)*kgtoGg=0,"NO",('Activity data'!BJ16*EF!$H15)*kgtoGg)</f>
        <v>1.67</v>
      </c>
      <c r="AR1390" s="28">
        <f>IF(('Activity data'!BK16*EF!$H15)*kgtoGg=0,"NO",('Activity data'!BK16*EF!$H15)*kgtoGg)</f>
        <v>1.67</v>
      </c>
      <c r="AS1390" s="28">
        <f>IF(('Activity data'!BL16*EF!$H15)*kgtoGg=0,"NO",('Activity data'!BL16*EF!$H15)*kgtoGg)</f>
        <v>1.67</v>
      </c>
      <c r="AT1390" s="28">
        <f>IF(('Activity data'!BM16*EF!$H15)*kgtoGg=0,"NO",('Activity data'!BM16*EF!$H15)*kgtoGg)</f>
        <v>1.67</v>
      </c>
      <c r="AU1390" s="28">
        <f>IF(('Activity data'!BN16*EF!$H15)*kgtoGg=0,"NO",('Activity data'!BN16*EF!$H15)*kgtoGg)</f>
        <v>1.67</v>
      </c>
      <c r="AV1390" s="28">
        <f>IF(('Activity data'!BO16*EF!$H15)*kgtoGg=0,"NO",('Activity data'!BO16*EF!$H15)*kgtoGg)</f>
        <v>1.67</v>
      </c>
      <c r="AW1390" s="28">
        <f>IF(('Activity data'!BP16*EF!$H15)*kgtoGg=0,"NO",('Activity data'!BP16*EF!$H15)*kgtoGg)</f>
        <v>1.67</v>
      </c>
    </row>
    <row r="1391" spans="1:49" x14ac:dyDescent="0.25">
      <c r="A1391" s="102" t="s">
        <v>961</v>
      </c>
      <c r="B1391" s="102"/>
      <c r="C1391" s="102"/>
      <c r="D1391" t="str">
        <f t="shared" si="547"/>
        <v>3A Livestock</v>
      </c>
      <c r="E1391" t="str">
        <f t="shared" si="547"/>
        <v>3A1 Enteric fermentation (CH4)</v>
      </c>
      <c r="F1391" t="str">
        <f>EF!C16</f>
        <v>3A1h Swine</v>
      </c>
      <c r="G1391" t="str">
        <f>EF!D16</f>
        <v>Commercial</v>
      </c>
      <c r="H1391" t="str">
        <f t="shared" si="548"/>
        <v>Enteric fermentation Emissions</v>
      </c>
      <c r="I1391" t="str">
        <f t="shared" si="548"/>
        <v>CH4</v>
      </c>
      <c r="J1391" t="str">
        <f t="shared" si="548"/>
        <v>Gg CH4</v>
      </c>
      <c r="K1391" s="28">
        <f>IF(('Activity data'!AD17*EF!$H16)*kgtoGg=0,"NO",('Activity data'!AD17*EF!$H16)*kgtoGg)</f>
        <v>1.8541666894574054</v>
      </c>
      <c r="L1391" s="28">
        <f>IF(('Activity data'!AE17*EF!$H16)*kgtoGg=0,"NO",('Activity data'!AE17*EF!$H16)*kgtoGg)</f>
        <v>1.8483142649538657</v>
      </c>
      <c r="M1391" s="28">
        <f>IF(('Activity data'!AF17*EF!$H16)*kgtoGg=0,"NO",('Activity data'!AF17*EF!$H16)*kgtoGg)</f>
        <v>1.8289603412170248</v>
      </c>
      <c r="N1391" s="28">
        <f>IF(('Activity data'!AG17*EF!$H16)*kgtoGg=0,"NO",('Activity data'!AG17*EF!$H16)*kgtoGg)</f>
        <v>1.7913821949145237</v>
      </c>
      <c r="O1391" s="28">
        <f>IF(('Activity data'!AH17*EF!$H16)*kgtoGg=0,"NO",('Activity data'!AH17*EF!$H16)*kgtoGg)</f>
        <v>1.7554482253507835</v>
      </c>
      <c r="P1391" s="28">
        <f>IF(('Activity data'!AI17*EF!$H16)*kgtoGg=0,"NO",('Activity data'!AI17*EF!$H16)*kgtoGg)</f>
        <v>1.7302400840947183</v>
      </c>
      <c r="Q1391" s="28">
        <f>IF(('Activity data'!AJ17*EF!$H16)*kgtoGg=0,"NO",('Activity data'!AJ17*EF!$H16)*kgtoGg)</f>
        <v>1.708890891068684</v>
      </c>
      <c r="R1391" s="28">
        <f>IF(('Activity data'!AK17*EF!$H16)*kgtoGg=0,"NO",('Activity data'!AK17*EF!$H16)*kgtoGg)</f>
        <v>1.6695786047731636</v>
      </c>
      <c r="S1391" s="28">
        <f>IF(('Activity data'!AL17*EF!$H16)*kgtoGg=0,"NO",('Activity data'!AL17*EF!$H16)*kgtoGg)</f>
        <v>1.4615896404106821</v>
      </c>
      <c r="T1391" s="28">
        <f>IF(('Activity data'!AM17*EF!$H16)*kgtoGg=0,"NO",('Activity data'!AM17*EF!$H16)*kgtoGg)</f>
        <v>1.4708774478581006</v>
      </c>
      <c r="U1391" s="28">
        <f>IF(('Activity data'!AN17*EF!$H16)*kgtoGg=0,"NO",('Activity data'!AN17*EF!$H16)*kgtoGg)</f>
        <v>1.475539546686083</v>
      </c>
      <c r="V1391" s="28">
        <f>IF(('Activity data'!AO17*EF!$H16)*kgtoGg=0,"NO",('Activity data'!AO17*EF!$H16)*kgtoGg)</f>
        <v>1.4800720193256183</v>
      </c>
      <c r="W1391" s="28">
        <f>IF(('Activity data'!AP17*EF!$H16)*kgtoGg=0,"NO",('Activity data'!AP17*EF!$H16)*kgtoGg)</f>
        <v>1.4911430483593251</v>
      </c>
      <c r="X1391" s="28">
        <f>IF(('Activity data'!AQ17*EF!$H16)*kgtoGg=0,"NO",('Activity data'!AQ17*EF!$H16)*kgtoGg)</f>
        <v>1.5018418879535562</v>
      </c>
      <c r="Y1391" s="28">
        <f>IF(('Activity data'!AR17*EF!$H16)*kgtoGg=0,"NO",('Activity data'!AR17*EF!$H16)*kgtoGg)</f>
        <v>1.5141161979930053</v>
      </c>
      <c r="Z1391" s="28">
        <f>IF(('Activity data'!AS17*EF!$H16)*kgtoGg=0,"NO",('Activity data'!AS17*EF!$H16)*kgtoGg)</f>
        <v>1.5244186206157291</v>
      </c>
      <c r="AA1391" s="28">
        <f>IF(('Activity data'!AT17*EF!$H16)*kgtoGg=0,"NO",('Activity data'!AT17*EF!$H16)*kgtoGg)</f>
        <v>1.5367997357970316</v>
      </c>
      <c r="AB1391" s="28">
        <f>IF(('Activity data'!AU17*EF!$H16)*kgtoGg=0,"NO",('Activity data'!AU17*EF!$H16)*kgtoGg)</f>
        <v>1.5458124762264192</v>
      </c>
      <c r="AC1391" s="28">
        <f>IF(('Activity data'!AV17*EF!$H16)*kgtoGg=0,"NO",('Activity data'!AV17*EF!$H16)*kgtoGg)</f>
        <v>1.5552930899763542</v>
      </c>
      <c r="AD1391" s="28">
        <f>IF(('Activity data'!AW17*EF!$H16)*kgtoGg=0,"NO",('Activity data'!AW17*EF!$H16)*kgtoGg)</f>
        <v>1.5727795493180676</v>
      </c>
      <c r="AE1391" s="28">
        <f>IF(('Activity data'!AX17*EF!$H16)*kgtoGg=0,"NO",('Activity data'!AX17*EF!$H16)*kgtoGg)</f>
        <v>1.5932065886725237</v>
      </c>
      <c r="AF1391" s="28">
        <f>IF(('Activity data'!AY17*EF!$H16)*kgtoGg=0,"NO",('Activity data'!AY17*EF!$H16)*kgtoGg)</f>
        <v>1.61434489246593</v>
      </c>
      <c r="AG1391" s="28">
        <f>IF(('Activity data'!AZ17*EF!$H16)*kgtoGg=0,"NO",('Activity data'!AZ17*EF!$H16)*kgtoGg)</f>
        <v>1.5905873244414643</v>
      </c>
      <c r="AH1391" s="28">
        <f>IF(('Activity data'!BA17*EF!$H16)*kgtoGg=0,"NO",('Activity data'!BA17*EF!$H16)*kgtoGg)</f>
        <v>-0.53667602659003</v>
      </c>
      <c r="AI1391" s="28">
        <f>IF(('Activity data'!BB17*EF!$H16)*kgtoGg=0,"NO",('Activity data'!BB17*EF!$H16)*kgtoGg)</f>
        <v>-0.53080565769123822</v>
      </c>
      <c r="AJ1391" s="28">
        <f>IF(('Activity data'!BC17*EF!$H16)*kgtoGg=0,"NO",('Activity data'!BC17*EF!$H16)*kgtoGg)</f>
        <v>-0.52506102374348274</v>
      </c>
      <c r="AK1391" s="28">
        <f>IF(('Activity data'!BD17*EF!$H16)*kgtoGg=0,"NO",('Activity data'!BD17*EF!$H16)*kgtoGg)</f>
        <v>-0.51943389932430173</v>
      </c>
      <c r="AL1391" s="28">
        <f>IF(('Activity data'!BE17*EF!$H16)*kgtoGg=0,"NO",('Activity data'!BE17*EF!$H16)*kgtoGg)</f>
        <v>-0.51391666127760161</v>
      </c>
      <c r="AM1391" s="28">
        <f>IF(('Activity data'!BF17*EF!$H16)*kgtoGg=0,"NO",('Activity data'!BF17*EF!$H16)*kgtoGg)</f>
        <v>-0.50850223047100296</v>
      </c>
      <c r="AN1391" s="28">
        <f>IF(('Activity data'!BG17*EF!$H16)*kgtoGg=0,"NO",('Activity data'!BG17*EF!$H16)*kgtoGg)</f>
        <v>-0.50256367866010732</v>
      </c>
      <c r="AO1391" s="28">
        <f>IF(('Activity data'!BH17*EF!$H16)*kgtoGg=0,"NO",('Activity data'!BH17*EF!$H16)*kgtoGg)</f>
        <v>-0.496729831902604</v>
      </c>
      <c r="AP1391" s="28">
        <f>IF(('Activity data'!BI17*EF!$H16)*kgtoGg=0,"NO",('Activity data'!BI17*EF!$H16)*kgtoGg)</f>
        <v>-0.49099457494449417</v>
      </c>
      <c r="AQ1391" s="28">
        <f>IF(('Activity data'!BJ17*EF!$H16)*kgtoGg=0,"NO",('Activity data'!BJ17*EF!$H16)*kgtoGg)</f>
        <v>-0.48535219196665164</v>
      </c>
      <c r="AR1391" s="28">
        <f>IF(('Activity data'!BK17*EF!$H16)*kgtoGg=0,"NO",('Activity data'!BK17*EF!$H16)*kgtoGg)</f>
        <v>-0.47979733207264019</v>
      </c>
      <c r="AS1391" s="28">
        <f>IF(('Activity data'!BL17*EF!$H16)*kgtoGg=0,"NO",('Activity data'!BL17*EF!$H16)*kgtoGg)</f>
        <v>-0.47374377836093629</v>
      </c>
      <c r="AT1391" s="28">
        <f>IF(('Activity data'!BM17*EF!$H16)*kgtoGg=0,"NO",('Activity data'!BM17*EF!$H16)*kgtoGg)</f>
        <v>-0.46778268442640875</v>
      </c>
      <c r="AU1391" s="28">
        <f>IF(('Activity data'!BN17*EF!$H16)*kgtoGg=0,"NO",('Activity data'!BN17*EF!$H16)*kgtoGg)</f>
        <v>-0.46190929102584166</v>
      </c>
      <c r="AV1391" s="28">
        <f>IF(('Activity data'!BO17*EF!$H16)*kgtoGg=0,"NO",('Activity data'!BO17*EF!$H16)*kgtoGg)</f>
        <v>-0.45611912010876249</v>
      </c>
      <c r="AW1391" s="28">
        <f>IF(('Activity data'!BP17*EF!$H16)*kgtoGg=0,"NO",('Activity data'!BP17*EF!$H16)*kgtoGg)</f>
        <v>-0.45040795289365548</v>
      </c>
    </row>
    <row r="1392" spans="1:49" x14ac:dyDescent="0.25">
      <c r="A1392" s="102" t="s">
        <v>961</v>
      </c>
      <c r="B1392" s="102"/>
      <c r="C1392" s="102"/>
      <c r="D1392" t="str">
        <f t="shared" si="547"/>
        <v>3A Livestock</v>
      </c>
      <c r="E1392" t="str">
        <f t="shared" si="547"/>
        <v>3A1 Enteric fermentation (CH4)</v>
      </c>
      <c r="F1392" t="str">
        <f>EF!C17</f>
        <v>3A1h Swine</v>
      </c>
      <c r="G1392" t="str">
        <f>EF!D17</f>
        <v>Subsistence</v>
      </c>
      <c r="H1392" t="str">
        <f t="shared" si="548"/>
        <v>Enteric fermentation Emissions</v>
      </c>
      <c r="I1392" t="str">
        <f t="shared" si="548"/>
        <v>CH4</v>
      </c>
      <c r="J1392" t="str">
        <f t="shared" si="548"/>
        <v>Gg CH4</v>
      </c>
      <c r="K1392" s="28">
        <f>IF(('Activity data'!AD18*EF!$H17)*kgtoGg=0,"NO",('Activity data'!AD18*EF!$H17)*kgtoGg)</f>
        <v>0.2569163489011142</v>
      </c>
      <c r="L1392" s="28">
        <f>IF(('Activity data'!AE18*EF!$H17)*kgtoGg=0,"NO",('Activity data'!AE18*EF!$H17)*kgtoGg)</f>
        <v>0.25610542745364245</v>
      </c>
      <c r="M1392" s="28">
        <f>IF(('Activity data'!AF18*EF!$H17)*kgtoGg=0,"NO",('Activity data'!AF18*EF!$H17)*kgtoGg)</f>
        <v>0.25342371633691707</v>
      </c>
      <c r="N1392" s="28">
        <f>IF(('Activity data'!AG18*EF!$H17)*kgtoGg=0,"NO",('Activity data'!AG18*EF!$H17)*kgtoGg)</f>
        <v>0.2482168273331373</v>
      </c>
      <c r="O1392" s="28">
        <f>IF(('Activity data'!AH18*EF!$H17)*kgtoGg=0,"NO",('Activity data'!AH18*EF!$H17)*kgtoGg)</f>
        <v>0.24323775812952569</v>
      </c>
      <c r="P1392" s="28">
        <f>IF(('Activity data'!AI18*EF!$H17)*kgtoGg=0,"NO",('Activity data'!AI18*EF!$H17)*kgtoGg)</f>
        <v>0.23974487712216219</v>
      </c>
      <c r="Q1392" s="28">
        <f>IF(('Activity data'!AJ18*EF!$H17)*kgtoGg=0,"NO",('Activity data'!AJ18*EF!$H17)*kgtoGg)</f>
        <v>0.23678669825107104</v>
      </c>
      <c r="R1392" s="28">
        <f>IF(('Activity data'!AK18*EF!$H17)*kgtoGg=0,"NO",('Activity data'!AK18*EF!$H17)*kgtoGg)</f>
        <v>0.23133952399245247</v>
      </c>
      <c r="S1392" s="28">
        <f>IF(('Activity data'!AL18*EF!$H17)*kgtoGg=0,"NO",('Activity data'!AL18*EF!$H17)*kgtoGg)</f>
        <v>0.20252023517685527</v>
      </c>
      <c r="T1392" s="28">
        <f>IF(('Activity data'!AM18*EF!$H17)*kgtoGg=0,"NO",('Activity data'!AM18*EF!$H17)*kgtoGg)</f>
        <v>0.20380716886639622</v>
      </c>
      <c r="U1392" s="28">
        <f>IF(('Activity data'!AN18*EF!$H17)*kgtoGg=0,"NO",('Activity data'!AN18*EF!$H17)*kgtoGg)</f>
        <v>0.20445315685437584</v>
      </c>
      <c r="V1392" s="28">
        <f>IF(('Activity data'!AO18*EF!$H17)*kgtoGg=0,"NO",('Activity data'!AO18*EF!$H17)*kgtoGg)</f>
        <v>0.20508118362708436</v>
      </c>
      <c r="W1392" s="28">
        <f>IF(('Activity data'!AP18*EF!$H17)*kgtoGg=0,"NO",('Activity data'!AP18*EF!$H17)*kgtoGg)</f>
        <v>0.20661520339676887</v>
      </c>
      <c r="X1392" s="28">
        <f>IF(('Activity data'!AQ18*EF!$H17)*kgtoGg=0,"NO",('Activity data'!AQ18*EF!$H17)*kgtoGg)</f>
        <v>0.20809765199303451</v>
      </c>
      <c r="Y1392" s="28">
        <f>IF(('Activity data'!AR18*EF!$H17)*kgtoGg=0,"NO",('Activity data'!AR18*EF!$H17)*kgtoGg)</f>
        <v>0.20979840033380981</v>
      </c>
      <c r="Z1392" s="28">
        <f>IF(('Activity data'!AS18*EF!$H17)*kgtoGg=0,"NO",('Activity data'!AS18*EF!$H17)*kgtoGg)</f>
        <v>0.21122592075045635</v>
      </c>
      <c r="AA1392" s="28">
        <f>IF(('Activity data'!AT18*EF!$H17)*kgtoGg=0,"NO",('Activity data'!AT18*EF!$H17)*kgtoGg)</f>
        <v>0.21294146818521006</v>
      </c>
      <c r="AB1392" s="28">
        <f>IF(('Activity data'!AU18*EF!$H17)*kgtoGg=0,"NO",('Activity data'!AU18*EF!$H17)*kgtoGg)</f>
        <v>0.21419028814183935</v>
      </c>
      <c r="AC1392" s="28">
        <f>IF(('Activity data'!AV18*EF!$H17)*kgtoGg=0,"NO",('Activity data'!AV18*EF!$H17)*kgtoGg)</f>
        <v>0.21550393738590373</v>
      </c>
      <c r="AD1392" s="28">
        <f>IF(('Activity data'!AW18*EF!$H17)*kgtoGg=0,"NO",('Activity data'!AW18*EF!$H17)*kgtoGg)</f>
        <v>0.21792688960202594</v>
      </c>
      <c r="AE1392" s="28">
        <f>IF(('Activity data'!AX18*EF!$H17)*kgtoGg=0,"NO",('Activity data'!AX18*EF!$H17)*kgtoGg)</f>
        <v>0.22075729336218733</v>
      </c>
      <c r="AF1392" s="28">
        <f>IF(('Activity data'!AY18*EF!$H17)*kgtoGg=0,"NO",('Activity data'!AY18*EF!$H17)*kgtoGg)</f>
        <v>0.22368625107857998</v>
      </c>
      <c r="AG1392" s="28">
        <f>IF(('Activity data'!AZ18*EF!$H17)*kgtoGg=0,"NO",('Activity data'!AZ18*EF!$H17)*kgtoGg)</f>
        <v>0.22039436385489045</v>
      </c>
      <c r="AH1392" s="28">
        <f>IF(('Activity data'!BA18*EF!$H17)*kgtoGg=0,"NO",('Activity data'!BA18*EF!$H17)*kgtoGg)</f>
        <v>-7.4362702166015399E-2</v>
      </c>
      <c r="AI1392" s="28">
        <f>IF(('Activity data'!BB18*EF!$H17)*kgtoGg=0,"NO",('Activity data'!BB18*EF!$H17)*kgtoGg)</f>
        <v>-7.3549294313983729E-2</v>
      </c>
      <c r="AJ1392" s="28">
        <f>IF(('Activity data'!BC18*EF!$H17)*kgtoGg=0,"NO",('Activity data'!BC18*EF!$H17)*kgtoGg)</f>
        <v>-7.2753308501045513E-2</v>
      </c>
      <c r="AK1392" s="28">
        <f>IF(('Activity data'!BD18*EF!$H17)*kgtoGg=0,"NO",('Activity data'!BD18*EF!$H17)*kgtoGg)</f>
        <v>-7.1973604999300819E-2</v>
      </c>
      <c r="AL1392" s="28">
        <f>IF(('Activity data'!BE18*EF!$H17)*kgtoGg=0,"NO",('Activity data'!BE18*EF!$H17)*kgtoGg)</f>
        <v>-7.1209127531856237E-2</v>
      </c>
      <c r="AM1392" s="28">
        <f>IF(('Activity data'!BF18*EF!$H17)*kgtoGg=0,"NO",('Activity data'!BF18*EF!$H17)*kgtoGg)</f>
        <v>-7.0458895202628005E-2</v>
      </c>
      <c r="AN1392" s="28">
        <f>IF(('Activity data'!BG18*EF!$H17)*kgtoGg=0,"NO",('Activity data'!BG18*EF!$H17)*kgtoGg)</f>
        <v>-6.9636039815520426E-2</v>
      </c>
      <c r="AO1392" s="28">
        <f>IF(('Activity data'!BH18*EF!$H17)*kgtoGg=0,"NO",('Activity data'!BH18*EF!$H17)*kgtoGg)</f>
        <v>-6.8827692530722115E-2</v>
      </c>
      <c r="AP1392" s="28">
        <f>IF(('Activity data'!BI18*EF!$H17)*kgtoGg=0,"NO",('Activity data'!BI18*EF!$H17)*kgtoGg)</f>
        <v>-6.8033006008703711E-2</v>
      </c>
      <c r="AQ1392" s="28">
        <f>IF(('Activity data'!BJ18*EF!$H17)*kgtoGg=0,"NO",('Activity data'!BJ18*EF!$H17)*kgtoGg)</f>
        <v>-6.7251188256280764E-2</v>
      </c>
      <c r="AR1392" s="28">
        <f>IF(('Activity data'!BK18*EF!$H17)*kgtoGg=0,"NO",('Activity data'!BK18*EF!$H17)*kgtoGg)</f>
        <v>-6.6481497844549611E-2</v>
      </c>
      <c r="AS1392" s="28">
        <f>IF(('Activity data'!BL18*EF!$H17)*kgtoGg=0,"NO",('Activity data'!BL18*EF!$H17)*kgtoGg)</f>
        <v>-6.5642707607225875E-2</v>
      </c>
      <c r="AT1392" s="28">
        <f>IF(('Activity data'!BM18*EF!$H17)*kgtoGg=0,"NO",('Activity data'!BM18*EF!$H17)*kgtoGg)</f>
        <v>-6.4816728746844354E-2</v>
      </c>
      <c r="AU1392" s="28">
        <f>IF(('Activity data'!BN18*EF!$H17)*kgtoGg=0,"NO",('Activity data'!BN18*EF!$H17)*kgtoGg)</f>
        <v>-6.4002901814932872E-2</v>
      </c>
      <c r="AV1392" s="28">
        <f>IF(('Activity data'!BO18*EF!$H17)*kgtoGg=0,"NO",('Activity data'!BO18*EF!$H17)*kgtoGg)</f>
        <v>-6.3200606325542585E-2</v>
      </c>
      <c r="AW1392" s="28">
        <f>IF(('Activity data'!BP18*EF!$H17)*kgtoGg=0,"NO",('Activity data'!BP18*EF!$H17)*kgtoGg)</f>
        <v>-6.2409257717452565E-2</v>
      </c>
    </row>
    <row r="1393" spans="1:49" x14ac:dyDescent="0.25">
      <c r="A1393" s="102" t="s">
        <v>961</v>
      </c>
      <c r="B1393" s="102"/>
      <c r="C1393" s="102"/>
      <c r="D1393" t="str">
        <f t="shared" si="547"/>
        <v>3A Livestock</v>
      </c>
      <c r="E1393" t="str">
        <f>'IPCC Categories'!B12</f>
        <v>3A2 Manure management (CH4)</v>
      </c>
      <c r="F1393" t="str">
        <f>EF!C18</f>
        <v>3A1ai Dairy cattle</v>
      </c>
      <c r="G1393" t="str">
        <f>EF!D18</f>
        <v>TMR</v>
      </c>
      <c r="H1393" t="str">
        <f>'IPCC Categories'!F6&amp;" Emissions"</f>
        <v>Manure management Emissions</v>
      </c>
      <c r="I1393" t="str">
        <f t="shared" si="548"/>
        <v>CH4</v>
      </c>
      <c r="J1393" t="str">
        <f t="shared" si="548"/>
        <v>Gg CH4</v>
      </c>
      <c r="K1393" s="28">
        <f>IF(('Activity data'!AD5*EF!$H18)*kgtoGg=0,"NO",('Activity data'!AD5*EF!$H18)*kgtoGg)</f>
        <v>7.3646534170257834</v>
      </c>
      <c r="L1393" s="28">
        <f>IF(('Activity data'!AE5*EF!$H18)*kgtoGg=0,"NO",('Activity data'!AE5*EF!$H18)*kgtoGg)</f>
        <v>7.4104628035653102</v>
      </c>
      <c r="M1393" s="28">
        <f>IF(('Activity data'!AF5*EF!$H18)*kgtoGg=0,"NO",('Activity data'!AF5*EF!$H18)*kgtoGg)</f>
        <v>7.4419573878579355</v>
      </c>
      <c r="N1393" s="28">
        <f>IF(('Activity data'!AG5*EF!$H18)*kgtoGg=0,"NO",('Activity data'!AG5*EF!$H18)*kgtoGg)</f>
        <v>7.4518345531057086</v>
      </c>
      <c r="O1393" s="28">
        <f>IF(('Activity data'!AH5*EF!$H18)*kgtoGg=0,"NO",('Activity data'!AH5*EF!$H18)*kgtoGg)</f>
        <v>7.4651968838323191</v>
      </c>
      <c r="P1393" s="28">
        <f>IF(('Activity data'!AI5*EF!$H18)*kgtoGg=0,"NO",('Activity data'!AI5*EF!$H18)*kgtoGg)</f>
        <v>7.494465464758667</v>
      </c>
      <c r="Q1393" s="28">
        <f>IF(('Activity data'!AJ5*EF!$H18)*kgtoGg=0,"NO",('Activity data'!AJ5*EF!$H18)*kgtoGg)</f>
        <v>7.5295555244972592</v>
      </c>
      <c r="R1393" s="28">
        <f>IF(('Activity data'!AK5*EF!$H18)*kgtoGg=0,"NO",('Activity data'!AK5*EF!$H18)*kgtoGg)</f>
        <v>7.5400969444741763</v>
      </c>
      <c r="S1393" s="28">
        <f>IF(('Activity data'!AL5*EF!$H18)*kgtoGg=0,"NO",('Activity data'!AL5*EF!$H18)*kgtoGg)</f>
        <v>7.3086176618997394</v>
      </c>
      <c r="T1393" s="28">
        <f>IF(('Activity data'!AM5*EF!$H18)*kgtoGg=0,"NO",('Activity data'!AM5*EF!$H18)*kgtoGg)</f>
        <v>7.3688162835395774</v>
      </c>
      <c r="U1393" s="28">
        <f>IF(('Activity data'!AN5*EF!$H18)*kgtoGg=0,"NO",('Activity data'!AN5*EF!$H18)*kgtoGg)</f>
        <v>7.4240167099951169</v>
      </c>
      <c r="V1393" s="28">
        <f>IF(('Activity data'!AO5*EF!$H18)*kgtoGg=0,"NO",('Activity data'!AO5*EF!$H18)*kgtoGg)</f>
        <v>7.4806155410688238</v>
      </c>
      <c r="W1393" s="28">
        <f>IF(('Activity data'!AP5*EF!$H18)*kgtoGg=0,"NO",('Activity data'!AP5*EF!$H18)*kgtoGg)</f>
        <v>7.5487965323768202</v>
      </c>
      <c r="X1393" s="28">
        <f>IF(('Activity data'!AQ5*EF!$H18)*kgtoGg=0,"NO",('Activity data'!AQ5*EF!$H18)*kgtoGg)</f>
        <v>7.6182568990068642</v>
      </c>
      <c r="Y1393" s="28">
        <f>IF(('Activity data'!AR5*EF!$H18)*kgtoGg=0,"NO",('Activity data'!AR5*EF!$H18)*kgtoGg)</f>
        <v>7.6858917367195918</v>
      </c>
      <c r="Z1393" s="28">
        <f>IF(('Activity data'!AS5*EF!$H18)*kgtoGg=0,"NO",('Activity data'!AS5*EF!$H18)*kgtoGg)</f>
        <v>7.7521734876275126</v>
      </c>
      <c r="AA1393" s="28">
        <f>IF(('Activity data'!AT5*EF!$H18)*kgtoGg=0,"NO",('Activity data'!AT5*EF!$H18)*kgtoGg)</f>
        <v>7.8235662027619757</v>
      </c>
      <c r="AB1393" s="28">
        <f>IF(('Activity data'!AU5*EF!$H18)*kgtoGg=0,"NO",('Activity data'!AU5*EF!$H18)*kgtoGg)</f>
        <v>7.8911737006481246</v>
      </c>
      <c r="AC1393" s="28">
        <f>IF(('Activity data'!AV5*EF!$H18)*kgtoGg=0,"NO",('Activity data'!AV5*EF!$H18)*kgtoGg)</f>
        <v>7.961206232365277</v>
      </c>
      <c r="AD1393" s="28">
        <f>IF(('Activity data'!AW5*EF!$H18)*kgtoGg=0,"NO",('Activity data'!AW5*EF!$H18)*kgtoGg)</f>
        <v>8.0416672207979634</v>
      </c>
      <c r="AE1393" s="28">
        <f>IF(('Activity data'!AX5*EF!$H18)*kgtoGg=0,"NO",('Activity data'!AX5*EF!$H18)*kgtoGg)</f>
        <v>8.1292976952055653</v>
      </c>
      <c r="AF1393" s="28">
        <f>IF(('Activity data'!AY5*EF!$H18)*kgtoGg=0,"NO",('Activity data'!AY5*EF!$H18)*kgtoGg)</f>
        <v>8.2204064265450114</v>
      </c>
      <c r="AG1393" s="28">
        <f>IF(('Activity data'!AZ5*EF!$H18)*kgtoGg=0,"NO",('Activity data'!AZ5*EF!$H18)*kgtoGg)</f>
        <v>8.2331329239754218</v>
      </c>
      <c r="AH1393" s="28">
        <f>IF(('Activity data'!BA5*EF!$H18)*kgtoGg=0,"NO",('Activity data'!BA5*EF!$H18)*kgtoGg)</f>
        <v>4.4079390411250321</v>
      </c>
      <c r="AI1393" s="28">
        <f>IF(('Activity data'!BB5*EF!$H18)*kgtoGg=0,"NO",('Activity data'!BB5*EF!$H18)*kgtoGg)</f>
        <v>4.4111810533822107</v>
      </c>
      <c r="AJ1393" s="28">
        <f>IF(('Activity data'!BC5*EF!$H18)*kgtoGg=0,"NO",('Activity data'!BC5*EF!$H18)*kgtoGg)</f>
        <v>4.4148489430980264</v>
      </c>
      <c r="AK1393" s="28">
        <f>IF(('Activity data'!BD5*EF!$H18)*kgtoGg=0,"NO",('Activity data'!BD5*EF!$H18)*kgtoGg)</f>
        <v>4.4189265228241794</v>
      </c>
      <c r="AL1393" s="28">
        <f>IF(('Activity data'!BE5*EF!$H18)*kgtoGg=0,"NO",('Activity data'!BE5*EF!$H18)*kgtoGg)</f>
        <v>4.4233988518058229</v>
      </c>
      <c r="AM1393" s="28">
        <f>IF(('Activity data'!BF5*EF!$H18)*kgtoGg=0,"NO",('Activity data'!BF5*EF!$H18)*kgtoGg)</f>
        <v>4.4282521178160774</v>
      </c>
      <c r="AN1393" s="28">
        <f>IF(('Activity data'!BG5*EF!$H18)*kgtoGg=0,"NO",('Activity data'!BG5*EF!$H18)*kgtoGg)</f>
        <v>4.4303415938400539</v>
      </c>
      <c r="AO1393" s="28">
        <f>IF(('Activity data'!BH5*EF!$H18)*kgtoGg=0,"NO",('Activity data'!BH5*EF!$H18)*kgtoGg)</f>
        <v>4.432766537435862</v>
      </c>
      <c r="AP1393" s="28">
        <f>IF(('Activity data'!BI5*EF!$H18)*kgtoGg=0,"NO",('Activity data'!BI5*EF!$H18)*kgtoGg)</f>
        <v>4.4355152317525279</v>
      </c>
      <c r="AQ1393" s="28">
        <f>IF(('Activity data'!BJ5*EF!$H18)*kgtoGg=0,"NO",('Activity data'!BJ5*EF!$H18)*kgtoGg)</f>
        <v>4.4385767594592709</v>
      </c>
      <c r="AR1393" s="28">
        <f>IF(('Activity data'!BK5*EF!$H18)*kgtoGg=0,"NO",('Activity data'!BK5*EF!$H18)*kgtoGg)</f>
        <v>4.4419409348998142</v>
      </c>
      <c r="AS1393" s="28">
        <f>IF(('Activity data'!BL5*EF!$H18)*kgtoGg=0,"NO",('Activity data'!BL5*EF!$H18)*kgtoGg)</f>
        <v>4.4424325568083702</v>
      </c>
      <c r="AT1393" s="28">
        <f>IF(('Activity data'!BM5*EF!$H18)*kgtoGg=0,"NO",('Activity data'!BM5*EF!$H18)*kgtoGg)</f>
        <v>4.4431924834311589</v>
      </c>
      <c r="AU1393" s="28">
        <f>IF(('Activity data'!BN5*EF!$H18)*kgtoGg=0,"NO",('Activity data'!BN5*EF!$H18)*kgtoGg)</f>
        <v>4.4442118217610558</v>
      </c>
      <c r="AV1393" s="28">
        <f>IF(('Activity data'!BO5*EF!$H18)*kgtoGg=0,"NO",('Activity data'!BO5*EF!$H18)*kgtoGg)</f>
        <v>4.4454822205450464</v>
      </c>
      <c r="AW1393" s="28">
        <f>IF(('Activity data'!BP5*EF!$H18)*kgtoGg=0,"NO",('Activity data'!BP5*EF!$H18)*kgtoGg)</f>
        <v>4.4469958286673741</v>
      </c>
    </row>
    <row r="1394" spans="1:49" x14ac:dyDescent="0.25">
      <c r="A1394" s="102" t="s">
        <v>961</v>
      </c>
      <c r="B1394" s="102"/>
      <c r="C1394" s="102"/>
      <c r="D1394" t="str">
        <f t="shared" si="547"/>
        <v>3A Livestock</v>
      </c>
      <c r="E1394" t="str">
        <f>E1393</f>
        <v>3A2 Manure management (CH4)</v>
      </c>
      <c r="F1394" t="str">
        <f>EF!C19</f>
        <v>3A1ai Dairy cattle</v>
      </c>
      <c r="G1394" t="str">
        <f>EF!D19</f>
        <v>Pasture</v>
      </c>
      <c r="H1394" t="str">
        <f>H1393</f>
        <v>Manure management Emissions</v>
      </c>
      <c r="I1394" t="str">
        <f t="shared" si="548"/>
        <v>CH4</v>
      </c>
      <c r="J1394" t="str">
        <f t="shared" si="548"/>
        <v>Gg CH4</v>
      </c>
      <c r="K1394" s="28">
        <f>IF(('Activity data'!AD6*EF!$H19)*kgtoGg=0,"NO",('Activity data'!AD6*EF!$H19)*kgtoGg)</f>
        <v>2.0982448441600319</v>
      </c>
      <c r="L1394" s="28">
        <f>IF(('Activity data'!AE6*EF!$H19)*kgtoGg=0,"NO",('Activity data'!AE6*EF!$H19)*kgtoGg)</f>
        <v>2.1112962810271738</v>
      </c>
      <c r="M1394" s="28">
        <f>IF(('Activity data'!AF6*EF!$H19)*kgtoGg=0,"NO",('Activity data'!AF6*EF!$H19)*kgtoGg)</f>
        <v>2.1202693236632593</v>
      </c>
      <c r="N1394" s="28">
        <f>IF(('Activity data'!AG6*EF!$H19)*kgtoGg=0,"NO",('Activity data'!AG6*EF!$H19)*kgtoGg)</f>
        <v>2.1230834019209199</v>
      </c>
      <c r="O1394" s="28">
        <f>IF(('Activity data'!AH6*EF!$H19)*kgtoGg=0,"NO",('Activity data'!AH6*EF!$H19)*kgtoGg)</f>
        <v>2.1268904298916125</v>
      </c>
      <c r="P1394" s="28">
        <f>IF(('Activity data'!AI6*EF!$H19)*kgtoGg=0,"NO",('Activity data'!AI6*EF!$H19)*kgtoGg)</f>
        <v>2.1352292675187319</v>
      </c>
      <c r="Q1394" s="28">
        <f>IF(('Activity data'!AJ6*EF!$H19)*kgtoGg=0,"NO",('Activity data'!AJ6*EF!$H19)*kgtoGg)</f>
        <v>2.1452266880025732</v>
      </c>
      <c r="R1394" s="28">
        <f>IF(('Activity data'!AK6*EF!$H19)*kgtoGg=0,"NO",('Activity data'!AK6*EF!$H19)*kgtoGg)</f>
        <v>2.1482300174010156</v>
      </c>
      <c r="S1394" s="28">
        <f>IF(('Activity data'!AL6*EF!$H19)*kgtoGg=0,"NO",('Activity data'!AL6*EF!$H19)*kgtoGg)</f>
        <v>2.0822798383920729</v>
      </c>
      <c r="T1394" s="28">
        <f>IF(('Activity data'!AM6*EF!$H19)*kgtoGg=0,"NO",('Activity data'!AM6*EF!$H19)*kgtoGg)</f>
        <v>2.099430875966946</v>
      </c>
      <c r="U1394" s="28">
        <f>IF(('Activity data'!AN6*EF!$H19)*kgtoGg=0,"NO",('Activity data'!AN6*EF!$H19)*kgtoGg)</f>
        <v>2.1151578903486419</v>
      </c>
      <c r="V1394" s="28">
        <f>IF(('Activity data'!AO6*EF!$H19)*kgtoGg=0,"NO",('Activity data'!AO6*EF!$H19)*kgtoGg)</f>
        <v>2.1312833206657489</v>
      </c>
      <c r="W1394" s="28">
        <f>IF(('Activity data'!AP6*EF!$H19)*kgtoGg=0,"NO",('Activity data'!AP6*EF!$H19)*kgtoGg)</f>
        <v>2.1507085950650837</v>
      </c>
      <c r="X1394" s="28">
        <f>IF(('Activity data'!AQ6*EF!$H19)*kgtoGg=0,"NO",('Activity data'!AQ6*EF!$H19)*kgtoGg)</f>
        <v>2.1704983730630572</v>
      </c>
      <c r="Y1394" s="28">
        <f>IF(('Activity data'!AR6*EF!$H19)*kgtoGg=0,"NO",('Activity data'!AR6*EF!$H19)*kgtoGg)</f>
        <v>2.1897680442180159</v>
      </c>
      <c r="Z1394" s="28">
        <f>IF(('Activity data'!AS6*EF!$H19)*kgtoGg=0,"NO",('Activity data'!AS6*EF!$H19)*kgtoGg)</f>
        <v>2.2086522108215552</v>
      </c>
      <c r="AA1394" s="28">
        <f>IF(('Activity data'!AT6*EF!$H19)*kgtoGg=0,"NO",('Activity data'!AT6*EF!$H19)*kgtoGg)</f>
        <v>2.2289925293618906</v>
      </c>
      <c r="AB1394" s="28">
        <f>IF(('Activity data'!AU6*EF!$H19)*kgtoGg=0,"NO",('Activity data'!AU6*EF!$H19)*kgtoGg)</f>
        <v>2.2482544111957634</v>
      </c>
      <c r="AC1394" s="28">
        <f>IF(('Activity data'!AV6*EF!$H19)*kgtoGg=0,"NO",('Activity data'!AV6*EF!$H19)*kgtoGg)</f>
        <v>2.2682072033066958</v>
      </c>
      <c r="AD1394" s="28">
        <f>IF(('Activity data'!AW6*EF!$H19)*kgtoGg=0,"NO",('Activity data'!AW6*EF!$H19)*kgtoGg)</f>
        <v>2.2911311407379684</v>
      </c>
      <c r="AE1394" s="28">
        <f>IF(('Activity data'!AX6*EF!$H19)*kgtoGg=0,"NO",('Activity data'!AX6*EF!$H19)*kgtoGg)</f>
        <v>2.3160977183493427</v>
      </c>
      <c r="AF1394" s="28">
        <f>IF(('Activity data'!AY6*EF!$H19)*kgtoGg=0,"NO",('Activity data'!AY6*EF!$H19)*kgtoGg)</f>
        <v>2.3420552773770367</v>
      </c>
      <c r="AG1394" s="28">
        <f>IF(('Activity data'!AZ6*EF!$H19)*kgtoGg=0,"NO",('Activity data'!AZ6*EF!$H19)*kgtoGg)</f>
        <v>2.3456811516857772</v>
      </c>
      <c r="AH1394" s="28">
        <f>IF(('Activity data'!BA6*EF!$H19)*kgtoGg=0,"NO",('Activity data'!BA6*EF!$H19)*kgtoGg)</f>
        <v>1.2558548030285308</v>
      </c>
      <c r="AI1394" s="28">
        <f>IF(('Activity data'!BB6*EF!$H19)*kgtoGg=0,"NO",('Activity data'!BB6*EF!$H19)*kgtoGg)</f>
        <v>1.2567784765699908</v>
      </c>
      <c r="AJ1394" s="28">
        <f>IF(('Activity data'!BC6*EF!$H19)*kgtoGg=0,"NO",('Activity data'!BC6*EF!$H19)*kgtoGg)</f>
        <v>1.2578234857848665</v>
      </c>
      <c r="AK1394" s="28">
        <f>IF(('Activity data'!BD6*EF!$H19)*kgtoGg=0,"NO",('Activity data'!BD6*EF!$H19)*kgtoGg)</f>
        <v>1.2589852187480597</v>
      </c>
      <c r="AL1394" s="28">
        <f>IF(('Activity data'!BE6*EF!$H19)*kgtoGg=0,"NO",('Activity data'!BE6*EF!$H19)*kgtoGg)</f>
        <v>1.2602594187267613</v>
      </c>
      <c r="AM1394" s="28">
        <f>IF(('Activity data'!BF6*EF!$H19)*kgtoGg=0,"NO",('Activity data'!BF6*EF!$H19)*kgtoGg)</f>
        <v>1.2616421505142221</v>
      </c>
      <c r="AN1394" s="28">
        <f>IF(('Activity data'!BG6*EF!$H19)*kgtoGg=0,"NO",('Activity data'!BG6*EF!$H19)*kgtoGg)</f>
        <v>1.2622374578621782</v>
      </c>
      <c r="AO1394" s="28">
        <f>IF(('Activity data'!BH6*EF!$H19)*kgtoGg=0,"NO",('Activity data'!BH6*EF!$H19)*kgtoGg)</f>
        <v>1.2629283424305575</v>
      </c>
      <c r="AP1394" s="28">
        <f>IF(('Activity data'!BI6*EF!$H19)*kgtoGg=0,"NO",('Activity data'!BI6*EF!$H19)*kgtoGg)</f>
        <v>1.2637114660008781</v>
      </c>
      <c r="AQ1394" s="28">
        <f>IF(('Activity data'!BJ6*EF!$H19)*kgtoGg=0,"NO",('Activity data'!BJ6*EF!$H19)*kgtoGg)</f>
        <v>1.2645837181439423</v>
      </c>
      <c r="AR1394" s="28">
        <f>IF(('Activity data'!BK6*EF!$H19)*kgtoGg=0,"NO",('Activity data'!BK6*EF!$H19)*kgtoGg)</f>
        <v>1.2655421968900908</v>
      </c>
      <c r="AS1394" s="28">
        <f>IF(('Activity data'!BL6*EF!$H19)*kgtoGg=0,"NO",('Activity data'!BL6*EF!$H19)*kgtoGg)</f>
        <v>1.2656822636490397</v>
      </c>
      <c r="AT1394" s="28">
        <f>IF(('Activity data'!BM6*EF!$H19)*kgtoGg=0,"NO",('Activity data'!BM6*EF!$H19)*kgtoGg)</f>
        <v>1.2658987724279214</v>
      </c>
      <c r="AU1394" s="28">
        <f>IF(('Activity data'!BN6*EF!$H19)*kgtoGg=0,"NO",('Activity data'!BN6*EF!$H19)*kgtoGg)</f>
        <v>1.2661891895424888</v>
      </c>
      <c r="AV1394" s="28">
        <f>IF(('Activity data'!BO6*EF!$H19)*kgtoGg=0,"NO",('Activity data'!BO6*EF!$H19)*kgtoGg)</f>
        <v>1.2665511356582928</v>
      </c>
      <c r="AW1394" s="28">
        <f>IF(('Activity data'!BP6*EF!$H19)*kgtoGg=0,"NO",('Activity data'!BP6*EF!$H19)*kgtoGg)</f>
        <v>1.2669823739337303</v>
      </c>
    </row>
    <row r="1395" spans="1:49" x14ac:dyDescent="0.25">
      <c r="A1395" s="102" t="s">
        <v>961</v>
      </c>
      <c r="B1395" s="102"/>
      <c r="C1395" s="102"/>
      <c r="D1395" t="str">
        <f t="shared" si="547"/>
        <v>3A Livestock</v>
      </c>
      <c r="E1395" t="str">
        <f t="shared" si="547"/>
        <v>3A2 Manure management (CH4)</v>
      </c>
      <c r="F1395" t="str">
        <f>EF!C20</f>
        <v>3A1aii Other cattle</v>
      </c>
      <c r="G1395" t="str">
        <f>EF!D20</f>
        <v>Non-lactating</v>
      </c>
      <c r="H1395" t="str">
        <f>H1394</f>
        <v>Manure management Emissions</v>
      </c>
      <c r="I1395" t="str">
        <f t="shared" si="548"/>
        <v>CH4</v>
      </c>
      <c r="J1395" t="str">
        <f t="shared" si="548"/>
        <v>Gg CH4</v>
      </c>
      <c r="K1395" s="28">
        <f>IF(('Activity data'!AD7*EF!$H20)*kgtoGg=0,"NO",('Activity data'!AD7*EF!$H20)*kgtoGg)</f>
        <v>0.43336774046245513</v>
      </c>
      <c r="L1395" s="28">
        <f>IF(('Activity data'!AE7*EF!$H20)*kgtoGg=0,"NO",('Activity data'!AE7*EF!$H20)*kgtoGg)</f>
        <v>0.43606336090953701</v>
      </c>
      <c r="M1395" s="28">
        <f>IF(('Activity data'!AF7*EF!$H20)*kgtoGg=0,"NO",('Activity data'!AF7*EF!$H20)*kgtoGg)</f>
        <v>0.43791663710039563</v>
      </c>
      <c r="N1395" s="28">
        <f>IF(('Activity data'!AG7*EF!$H20)*kgtoGg=0,"NO",('Activity data'!AG7*EF!$H20)*kgtoGg)</f>
        <v>0.43849785179485851</v>
      </c>
      <c r="O1395" s="28">
        <f>IF(('Activity data'!AH7*EF!$H20)*kgtoGg=0,"NO",('Activity data'!AH7*EF!$H20)*kgtoGg)</f>
        <v>0.43928414854860887</v>
      </c>
      <c r="P1395" s="28">
        <f>IF(('Activity data'!AI7*EF!$H20)*kgtoGg=0,"NO",('Activity data'!AI7*EF!$H20)*kgtoGg)</f>
        <v>0.44100643717026611</v>
      </c>
      <c r="Q1395" s="28">
        <f>IF(('Activity data'!AJ7*EF!$H20)*kgtoGg=0,"NO",('Activity data'!AJ7*EF!$H20)*kgtoGg)</f>
        <v>0.44307128653119471</v>
      </c>
      <c r="R1395" s="28">
        <f>IF(('Activity data'!AK7*EF!$H20)*kgtoGg=0,"NO",('Activity data'!AK7*EF!$H20)*kgtoGg)</f>
        <v>0.44369158881807513</v>
      </c>
      <c r="S1395" s="28">
        <f>IF(('Activity data'!AL7*EF!$H20)*kgtoGg=0,"NO",('Activity data'!AL7*EF!$H20)*kgtoGg)</f>
        <v>0.43007035670126681</v>
      </c>
      <c r="T1395" s="28">
        <f>IF(('Activity data'!AM7*EF!$H20)*kgtoGg=0,"NO",('Activity data'!AM7*EF!$H20)*kgtoGg)</f>
        <v>0.43361270135236735</v>
      </c>
      <c r="U1395" s="28">
        <f>IF(('Activity data'!AN7*EF!$H20)*kgtoGg=0,"NO",('Activity data'!AN7*EF!$H20)*kgtoGg)</f>
        <v>0.43686093079793747</v>
      </c>
      <c r="V1395" s="28">
        <f>IF(('Activity data'!AO7*EF!$H20)*kgtoGg=0,"NO",('Activity data'!AO7*EF!$H20)*kgtoGg)</f>
        <v>0.44019144835882135</v>
      </c>
      <c r="W1395" s="28">
        <f>IF(('Activity data'!AP7*EF!$H20)*kgtoGg=0,"NO",('Activity data'!AP7*EF!$H20)*kgtoGg)</f>
        <v>0.44420350981949086</v>
      </c>
      <c r="X1395" s="28">
        <f>IF(('Activity data'!AQ7*EF!$H20)*kgtoGg=0,"NO",('Activity data'!AQ7*EF!$H20)*kgtoGg)</f>
        <v>0.44829085520204021</v>
      </c>
      <c r="Y1395" s="28">
        <f>IF(('Activity data'!AR7*EF!$H20)*kgtoGg=0,"NO",('Activity data'!AR7*EF!$H20)*kgtoGg)</f>
        <v>0.45227077864668558</v>
      </c>
      <c r="Z1395" s="28">
        <f>IF(('Activity data'!AS7*EF!$H20)*kgtoGg=0,"NO",('Activity data'!AS7*EF!$H20)*kgtoGg)</f>
        <v>0.45617108067019357</v>
      </c>
      <c r="AA1395" s="28">
        <f>IF(('Activity data'!AT7*EF!$H20)*kgtoGg=0,"NO",('Activity data'!AT7*EF!$H20)*kgtoGg)</f>
        <v>0.46037213371252356</v>
      </c>
      <c r="AB1395" s="28">
        <f>IF(('Activity data'!AU7*EF!$H20)*kgtoGg=0,"NO",('Activity data'!AU7*EF!$H20)*kgtoGg)</f>
        <v>0.46435044836471168</v>
      </c>
      <c r="AC1395" s="28">
        <f>IF(('Activity data'!AV7*EF!$H20)*kgtoGg=0,"NO",('Activity data'!AV7*EF!$H20)*kgtoGg)</f>
        <v>0.46847146239083864</v>
      </c>
      <c r="AD1395" s="28">
        <f>IF(('Activity data'!AW7*EF!$H20)*kgtoGg=0,"NO",('Activity data'!AW7*EF!$H20)*kgtoGg)</f>
        <v>0.47320613146186896</v>
      </c>
      <c r="AE1395" s="28">
        <f>IF(('Activity data'!AX7*EF!$H20)*kgtoGg=0,"NO",('Activity data'!AX7*EF!$H20)*kgtoGg)</f>
        <v>0.47836268378541491</v>
      </c>
      <c r="AF1395" s="28">
        <f>IF(('Activity data'!AY7*EF!$H20)*kgtoGg=0,"NO",('Activity data'!AY7*EF!$H20)*kgtoGg)</f>
        <v>0.4837239116397628</v>
      </c>
      <c r="AG1395" s="28">
        <f>IF(('Activity data'!AZ7*EF!$H20)*kgtoGg=0,"NO",('Activity data'!AZ7*EF!$H20)*kgtoGg)</f>
        <v>0.48447279323990261</v>
      </c>
      <c r="AH1395" s="28">
        <f>IF(('Activity data'!BA7*EF!$H20)*kgtoGg=0,"NO",('Activity data'!BA7*EF!$H20)*kgtoGg)</f>
        <v>0.25938200675301493</v>
      </c>
      <c r="AI1395" s="28">
        <f>IF(('Activity data'!BB7*EF!$H20)*kgtoGg=0,"NO",('Activity data'!BB7*EF!$H20)*kgtoGg)</f>
        <v>0.25957278063562522</v>
      </c>
      <c r="AJ1395" s="28">
        <f>IF(('Activity data'!BC7*EF!$H20)*kgtoGg=0,"NO",('Activity data'!BC7*EF!$H20)*kgtoGg)</f>
        <v>0.25978861497139094</v>
      </c>
      <c r="AK1395" s="28">
        <f>IF(('Activity data'!BD7*EF!$H20)*kgtoGg=0,"NO",('Activity data'!BD7*EF!$H20)*kgtoGg)</f>
        <v>0.260028557221544</v>
      </c>
      <c r="AL1395" s="28">
        <f>IF(('Activity data'!BE7*EF!$H20)*kgtoGg=0,"NO",('Activity data'!BE7*EF!$H20)*kgtoGg)</f>
        <v>0.26029172820809693</v>
      </c>
      <c r="AM1395" s="28">
        <f>IF(('Activity data'!BF7*EF!$H20)*kgtoGg=0,"NO",('Activity data'!BF7*EF!$H20)*kgtoGg)</f>
        <v>0.26057731516048022</v>
      </c>
      <c r="AN1395" s="28">
        <f>IF(('Activity data'!BG7*EF!$H20)*kgtoGg=0,"NO",('Activity data'!BG7*EF!$H20)*kgtoGg)</f>
        <v>0.26070026887628817</v>
      </c>
      <c r="AO1395" s="28">
        <f>IF(('Activity data'!BH7*EF!$H20)*kgtoGg=0,"NO",('Activity data'!BH7*EF!$H20)*kgtoGg)</f>
        <v>0.26084296294040193</v>
      </c>
      <c r="AP1395" s="28">
        <f>IF(('Activity data'!BI7*EF!$H20)*kgtoGg=0,"NO",('Activity data'!BI7*EF!$H20)*kgtoGg)</f>
        <v>0.26100470788314173</v>
      </c>
      <c r="AQ1395" s="28">
        <f>IF(('Activity data'!BJ7*EF!$H20)*kgtoGg=0,"NO",('Activity data'!BJ7*EF!$H20)*kgtoGg)</f>
        <v>0.26118486128201956</v>
      </c>
      <c r="AR1395" s="28">
        <f>IF(('Activity data'!BK7*EF!$H20)*kgtoGg=0,"NO",('Activity data'!BK7*EF!$H20)*kgtoGg)</f>
        <v>0.26138282376940786</v>
      </c>
      <c r="AS1395" s="28">
        <f>IF(('Activity data'!BL7*EF!$H20)*kgtoGg=0,"NO",('Activity data'!BL7*EF!$H20)*kgtoGg)</f>
        <v>0.26141175290749602</v>
      </c>
      <c r="AT1395" s="28">
        <f>IF(('Activity data'!BM7*EF!$H20)*kgtoGg=0,"NO",('Activity data'!BM7*EF!$H20)*kgtoGg)</f>
        <v>0.26145647024377611</v>
      </c>
      <c r="AU1395" s="28">
        <f>IF(('Activity data'!BN7*EF!$H20)*kgtoGg=0,"NO",('Activity data'!BN7*EF!$H20)*kgtoGg)</f>
        <v>0.26151645247563149</v>
      </c>
      <c r="AV1395" s="28">
        <f>IF(('Activity data'!BO7*EF!$H20)*kgtoGg=0,"NO",('Activity data'!BO7*EF!$H20)*kgtoGg)</f>
        <v>0.26159120817957698</v>
      </c>
      <c r="AW1395" s="28">
        <f>IF(('Activity data'!BP7*EF!$H20)*kgtoGg=0,"NO",('Activity data'!BP7*EF!$H20)*kgtoGg)</f>
        <v>0.26168027536234517</v>
      </c>
    </row>
    <row r="1396" spans="1:49" x14ac:dyDescent="0.25">
      <c r="A1396" s="102" t="s">
        <v>961</v>
      </c>
      <c r="B1396" s="102"/>
      <c r="C1396" s="102"/>
      <c r="D1396" t="str">
        <f t="shared" si="547"/>
        <v>3A Livestock</v>
      </c>
      <c r="E1396" t="str">
        <f t="shared" si="547"/>
        <v>3A2 Manure management (CH4)</v>
      </c>
      <c r="F1396" t="str">
        <f>EF!C21</f>
        <v>3A1aii Other cattle</v>
      </c>
      <c r="G1396" t="str">
        <f>EF!D21</f>
        <v>Commercial</v>
      </c>
      <c r="H1396" t="str">
        <f>H1394</f>
        <v>Manure management Emissions</v>
      </c>
      <c r="I1396" t="str">
        <f>I1394</f>
        <v>CH4</v>
      </c>
      <c r="J1396" t="str">
        <f>J1394</f>
        <v>Gg CH4</v>
      </c>
      <c r="K1396" s="28">
        <f>IF(('Activity data'!AD8*EF!$H21)*kgtoGg=0,"NO",('Activity data'!AD8*EF!$H21)*kgtoGg)</f>
        <v>9.5707566285535867E-2</v>
      </c>
      <c r="L1396" s="28">
        <f>IF(('Activity data'!AE8*EF!$H21)*kgtoGg=0,"NO",('Activity data'!AE8*EF!$H21)*kgtoGg)</f>
        <v>9.507317462688053E-2</v>
      </c>
      <c r="M1396" s="28">
        <f>IF(('Activity data'!AF8*EF!$H21)*kgtoGg=0,"NO",('Activity data'!AF8*EF!$H21)*kgtoGg)</f>
        <v>9.3735602326843109E-2</v>
      </c>
      <c r="N1396" s="28">
        <f>IF(('Activity data'!AG8*EF!$H21)*kgtoGg=0,"NO",('Activity data'!AG8*EF!$H21)*kgtoGg)</f>
        <v>9.1480938854138993E-2</v>
      </c>
      <c r="O1396" s="28">
        <f>IF(('Activity data'!AH8*EF!$H21)*kgtoGg=0,"NO",('Activity data'!AH8*EF!$H21)*kgtoGg)</f>
        <v>8.9293409665024345E-2</v>
      </c>
      <c r="P1396" s="28">
        <f>IF(('Activity data'!AI8*EF!$H21)*kgtoGg=0,"NO",('Activity data'!AI8*EF!$H21)*kgtoGg)</f>
        <v>8.7610892686618924E-2</v>
      </c>
      <c r="Q1396" s="28">
        <f>IF(('Activity data'!AJ8*EF!$H21)*kgtoGg=0,"NO",('Activity data'!AJ8*EF!$H21)*kgtoGg)</f>
        <v>8.6089043126348228E-2</v>
      </c>
      <c r="R1396" s="28">
        <f>IF(('Activity data'!AK8*EF!$H21)*kgtoGg=0,"NO",('Activity data'!AK8*EF!$H21)*kgtoGg)</f>
        <v>8.3696304621384818E-2</v>
      </c>
      <c r="S1396" s="28">
        <f>IF(('Activity data'!AL8*EF!$H21)*kgtoGg=0,"NO",('Activity data'!AL8*EF!$H21)*kgtoGg)</f>
        <v>7.34067322961163E-2</v>
      </c>
      <c r="T1396" s="28">
        <f>IF(('Activity data'!AM8*EF!$H21)*kgtoGg=0,"NO",('Activity data'!AM8*EF!$H21)*kgtoGg)</f>
        <v>7.4106416152148968E-2</v>
      </c>
      <c r="U1396" s="28">
        <f>IF(('Activity data'!AN8*EF!$H21)*kgtoGg=0,"NO",('Activity data'!AN8*EF!$H21)*kgtoGg)</f>
        <v>7.4579873174536918E-2</v>
      </c>
      <c r="V1396" s="28">
        <f>IF(('Activity data'!AO8*EF!$H21)*kgtoGg=0,"NO",('Activity data'!AO8*EF!$H21)*kgtoGg)</f>
        <v>7.5037930673723691E-2</v>
      </c>
      <c r="W1396" s="28">
        <f>IF(('Activity data'!AP8*EF!$H21)*kgtoGg=0,"NO",('Activity data'!AP8*EF!$H21)*kgtoGg)</f>
        <v>7.5795447602904714E-2</v>
      </c>
      <c r="X1396" s="28">
        <f>IF(('Activity data'!AQ8*EF!$H21)*kgtoGg=0,"NO",('Activity data'!AQ8*EF!$H21)*kgtoGg)</f>
        <v>7.6527998633535405E-2</v>
      </c>
      <c r="Y1396" s="28">
        <f>IF(('Activity data'!AR8*EF!$H21)*kgtoGg=0,"NO",('Activity data'!AR8*EF!$H21)*kgtoGg)</f>
        <v>7.7297067256649366E-2</v>
      </c>
      <c r="Z1396" s="28">
        <f>IF(('Activity data'!AS8*EF!$H21)*kgtoGg=0,"NO",('Activity data'!AS8*EF!$H21)*kgtoGg)</f>
        <v>7.7966609512140975E-2</v>
      </c>
      <c r="AA1396" s="28">
        <f>IF(('Activity data'!AT8*EF!$H21)*kgtoGg=0,"NO",('Activity data'!AT8*EF!$H21)*kgtoGg)</f>
        <v>7.8728639390587538E-2</v>
      </c>
      <c r="AB1396" s="28">
        <f>IF(('Activity data'!AU8*EF!$H21)*kgtoGg=0,"NO",('Activity data'!AU8*EF!$H21)*kgtoGg)</f>
        <v>7.9324953589457362E-2</v>
      </c>
      <c r="AC1396" s="28">
        <f>IF(('Activity data'!AV8*EF!$H21)*kgtoGg=0,"NO",('Activity data'!AV8*EF!$H21)*kgtoGg)</f>
        <v>7.9937629648305739E-2</v>
      </c>
      <c r="AD1396" s="28">
        <f>IF(('Activity data'!AW8*EF!$H21)*kgtoGg=0,"NO",('Activity data'!AW8*EF!$H21)*kgtoGg)</f>
        <v>8.0222991747189526E-2</v>
      </c>
      <c r="AE1396" s="28">
        <f>IF(('Activity data'!AX8*EF!$H21)*kgtoGg=0,"NO",('Activity data'!AX8*EF!$H21)*kgtoGg)</f>
        <v>8.0614281081104813E-2</v>
      </c>
      <c r="AF1396" s="28">
        <f>IF(('Activity data'!AY8*EF!$H21)*kgtoGg=0,"NO",('Activity data'!AY8*EF!$H21)*kgtoGg)</f>
        <v>8.100406028659024E-2</v>
      </c>
      <c r="AG1396" s="28">
        <f>IF(('Activity data'!AZ8*EF!$H21)*kgtoGg=0,"NO",('Activity data'!AZ8*EF!$H21)*kgtoGg)</f>
        <v>7.9286126804775037E-2</v>
      </c>
      <c r="AH1396" s="28">
        <f>IF(('Activity data'!BA8*EF!$H21)*kgtoGg=0,"NO",('Activity data'!BA8*EF!$H21)*kgtoGg)</f>
        <v>-1.8702500653157286E-2</v>
      </c>
      <c r="AI1396" s="28">
        <f>IF(('Activity data'!BB8*EF!$H21)*kgtoGg=0,"NO",('Activity data'!BB8*EF!$H21)*kgtoGg)</f>
        <v>-1.8268667685025074E-2</v>
      </c>
      <c r="AJ1396" s="28">
        <f>IF(('Activity data'!BC8*EF!$H21)*kgtoGg=0,"NO",('Activity data'!BC8*EF!$H21)*kgtoGg)</f>
        <v>-1.7841734022548978E-2</v>
      </c>
      <c r="AK1396" s="28">
        <f>IF(('Activity data'!BD8*EF!$H21)*kgtoGg=0,"NO",('Activity data'!BD8*EF!$H21)*kgtoGg)</f>
        <v>-1.7421338317040982E-2</v>
      </c>
      <c r="AL1396" s="28">
        <f>IF(('Activity data'!BE8*EF!$H21)*kgtoGg=0,"NO",('Activity data'!BE8*EF!$H21)*kgtoGg)</f>
        <v>-1.7007144202009699E-2</v>
      </c>
      <c r="AM1396" s="28">
        <f>IF(('Activity data'!BF8*EF!$H21)*kgtoGg=0,"NO",('Activity data'!BF8*EF!$H21)*kgtoGg)</f>
        <v>-1.6598837978205473E-2</v>
      </c>
      <c r="AN1396" s="28">
        <f>IF(('Activity data'!BG8*EF!$H21)*kgtoGg=0,"NO",('Activity data'!BG8*EF!$H21)*kgtoGg)</f>
        <v>-1.6267793993705613E-2</v>
      </c>
      <c r="AO1396" s="28">
        <f>IF(('Activity data'!BH8*EF!$H21)*kgtoGg=0,"NO",('Activity data'!BH8*EF!$H21)*kgtoGg)</f>
        <v>-1.5941750028753716E-2</v>
      </c>
      <c r="AP1396" s="28">
        <f>IF(('Activity data'!BI8*EF!$H21)*kgtoGg=0,"NO",('Activity data'!BI8*EF!$H21)*kgtoGg)</f>
        <v>-1.562047950725113E-2</v>
      </c>
      <c r="AQ1396" s="28">
        <f>IF(('Activity data'!BJ8*EF!$H21)*kgtoGg=0,"NO",('Activity data'!BJ8*EF!$H21)*kgtoGg)</f>
        <v>-1.5303769944962587E-2</v>
      </c>
      <c r="AR1396" s="28">
        <f>IF(('Activity data'!BK8*EF!$H21)*kgtoGg=0,"NO",('Activity data'!BK8*EF!$H21)*kgtoGg)</f>
        <v>-1.4991421781067962E-2</v>
      </c>
      <c r="AS1396" s="28">
        <f>IF(('Activity data'!BL8*EF!$H21)*kgtoGg=0,"NO",('Activity data'!BL8*EF!$H21)*kgtoGg)</f>
        <v>-1.4673268106464171E-2</v>
      </c>
      <c r="AT1396" s="28">
        <f>IF(('Activity data'!BM8*EF!$H21)*kgtoGg=0,"NO",('Activity data'!BM8*EF!$H21)*kgtoGg)</f>
        <v>-1.4359489450627001E-2</v>
      </c>
      <c r="AU1396" s="28">
        <f>IF(('Activity data'!BN8*EF!$H21)*kgtoGg=0,"NO",('Activity data'!BN8*EF!$H21)*kgtoGg)</f>
        <v>-1.40499137071168E-2</v>
      </c>
      <c r="AV1396" s="28">
        <f>IF(('Activity data'!BO8*EF!$H21)*kgtoGg=0,"NO",('Activity data'!BO8*EF!$H21)*kgtoGg)</f>
        <v>-1.3744378438980727E-2</v>
      </c>
      <c r="AW1396" s="28">
        <f>IF(('Activity data'!BP8*EF!$H21)*kgtoGg=0,"NO",('Activity data'!BP8*EF!$H21)*kgtoGg)</f>
        <v>-1.3442730156179297E-2</v>
      </c>
    </row>
    <row r="1397" spans="1:49" x14ac:dyDescent="0.25">
      <c r="A1397" s="102" t="s">
        <v>961</v>
      </c>
      <c r="B1397" s="102"/>
      <c r="C1397" s="102"/>
      <c r="D1397" t="str">
        <f t="shared" ref="D1397:E1412" si="549">D1396</f>
        <v>3A Livestock</v>
      </c>
      <c r="E1397" t="str">
        <f t="shared" si="549"/>
        <v>3A2 Manure management (CH4)</v>
      </c>
      <c r="F1397" t="str">
        <f>EF!C22</f>
        <v>3A1aii Other cattle</v>
      </c>
      <c r="G1397" t="str">
        <f>EF!D22</f>
        <v>Subsistence</v>
      </c>
      <c r="H1397" t="str">
        <f t="shared" ref="H1397:J1412" si="550">H1396</f>
        <v>Manure management Emissions</v>
      </c>
      <c r="I1397" t="str">
        <f t="shared" si="548"/>
        <v>CH4</v>
      </c>
      <c r="J1397" t="str">
        <f t="shared" si="548"/>
        <v>Gg CH4</v>
      </c>
      <c r="K1397" s="28">
        <f>IF(('Activity data'!AD9*EF!$H22)*kgtoGg=0,"NO",('Activity data'!AD9*EF!$H22)*kgtoGg)</f>
        <v>7.0303494563391522E-2</v>
      </c>
      <c r="L1397" s="28">
        <f>IF(('Activity data'!AE9*EF!$H22)*kgtoGg=0,"NO",('Activity data'!AE9*EF!$H22)*kgtoGg)</f>
        <v>6.9837492216280578E-2</v>
      </c>
      <c r="M1397" s="28">
        <f>IF(('Activity data'!AF9*EF!$H22)*kgtoGg=0,"NO",('Activity data'!AF9*EF!$H22)*kgtoGg)</f>
        <v>6.8854957495428151E-2</v>
      </c>
      <c r="N1397" s="28">
        <f>IF(('Activity data'!AG9*EF!$H22)*kgtoGg=0,"NO",('Activity data'!AG9*EF!$H22)*kgtoGg)</f>
        <v>6.7198759063606908E-2</v>
      </c>
      <c r="O1397" s="28">
        <f>IF(('Activity data'!AH9*EF!$H22)*kgtoGg=0,"NO",('Activity data'!AH9*EF!$H22)*kgtoGg)</f>
        <v>6.5591875173201017E-2</v>
      </c>
      <c r="P1397" s="28">
        <f>IF(('Activity data'!AI9*EF!$H22)*kgtoGg=0,"NO",('Activity data'!AI9*EF!$H22)*kgtoGg)</f>
        <v>6.4355955926323108E-2</v>
      </c>
      <c r="Q1397" s="28">
        <f>IF(('Activity data'!AJ9*EF!$H22)*kgtoGg=0,"NO",('Activity data'!AJ9*EF!$H22)*kgtoGg)</f>
        <v>6.3238057452470034E-2</v>
      </c>
      <c r="R1397" s="28">
        <f>IF(('Activity data'!AK9*EF!$H22)*kgtoGg=0,"NO",('Activity data'!AK9*EF!$H22)*kgtoGg)</f>
        <v>6.1480433839166078E-2</v>
      </c>
      <c r="S1397" s="28">
        <f>IF(('Activity data'!AL9*EF!$H22)*kgtoGg=0,"NO",('Activity data'!AL9*EF!$H22)*kgtoGg)</f>
        <v>5.392206703386089E-2</v>
      </c>
      <c r="T1397" s="28">
        <f>IF(('Activity data'!AM9*EF!$H22)*kgtoGg=0,"NO",('Activity data'!AM9*EF!$H22)*kgtoGg)</f>
        <v>5.4436030789055859E-2</v>
      </c>
      <c r="U1397" s="28">
        <f>IF(('Activity data'!AN9*EF!$H22)*kgtoGg=0,"NO",('Activity data'!AN9*EF!$H22)*kgtoGg)</f>
        <v>5.4783816073869653E-2</v>
      </c>
      <c r="V1397" s="28">
        <f>IF(('Activity data'!AO9*EF!$H22)*kgtoGg=0,"NO",('Activity data'!AO9*EF!$H22)*kgtoGg)</f>
        <v>5.5120289397281967E-2</v>
      </c>
      <c r="W1397" s="28">
        <f>IF(('Activity data'!AP9*EF!$H22)*kgtoGg=0,"NO",('Activity data'!AP9*EF!$H22)*kgtoGg)</f>
        <v>5.5676735343817389E-2</v>
      </c>
      <c r="X1397" s="28">
        <f>IF(('Activity data'!AQ9*EF!$H22)*kgtoGg=0,"NO",('Activity data'!AQ9*EF!$H22)*kgtoGg)</f>
        <v>5.6214842197832481E-2</v>
      </c>
      <c r="Y1397" s="28">
        <f>IF(('Activity data'!AR9*EF!$H22)*kgtoGg=0,"NO",('Activity data'!AR9*EF!$H22)*kgtoGg)</f>
        <v>5.6779773622404078E-2</v>
      </c>
      <c r="Z1397" s="28">
        <f>IF(('Activity data'!AS9*EF!$H22)*kgtoGg=0,"NO",('Activity data'!AS9*EF!$H22)*kgtoGg)</f>
        <v>5.7271596391969458E-2</v>
      </c>
      <c r="AA1397" s="28">
        <f>IF(('Activity data'!AT9*EF!$H22)*kgtoGg=0,"NO",('Activity data'!AT9*EF!$H22)*kgtoGg)</f>
        <v>5.7831357396200579E-2</v>
      </c>
      <c r="AB1397" s="28">
        <f>IF(('Activity data'!AU9*EF!$H22)*kgtoGg=0,"NO",('Activity data'!AU9*EF!$H22)*kgtoGg)</f>
        <v>5.826938934775229E-2</v>
      </c>
      <c r="AC1397" s="28">
        <f>IF(('Activity data'!AV9*EF!$H22)*kgtoGg=0,"NO",('Activity data'!AV9*EF!$H22)*kgtoGg)</f>
        <v>5.8719440160285359E-2</v>
      </c>
      <c r="AD1397" s="28">
        <f>IF(('Activity data'!AW9*EF!$H22)*kgtoGg=0,"NO",('Activity data'!AW9*EF!$H22)*kgtoGg)</f>
        <v>5.8929057367639905E-2</v>
      </c>
      <c r="AE1397" s="28">
        <f>IF(('Activity data'!AX9*EF!$H22)*kgtoGg=0,"NO",('Activity data'!AX9*EF!$H22)*kgtoGg)</f>
        <v>5.92164850875921E-2</v>
      </c>
      <c r="AF1397" s="28">
        <f>IF(('Activity data'!AY9*EF!$H22)*kgtoGg=0,"NO",('Activity data'!AY9*EF!$H22)*kgtoGg)</f>
        <v>5.9502803519010737E-2</v>
      </c>
      <c r="AG1397" s="28">
        <f>IF(('Activity data'!AZ9*EF!$H22)*kgtoGg=0,"NO",('Activity data'!AZ9*EF!$H22)*kgtoGg)</f>
        <v>5.8240868523832451E-2</v>
      </c>
      <c r="AH1397" s="28">
        <f>IF(('Activity data'!BA9*EF!$H22)*kgtoGg=0,"NO",('Activity data'!BA9*EF!$H22)*kgtoGg)</f>
        <v>-1.3738215315895889E-2</v>
      </c>
      <c r="AI1397" s="28">
        <f>IF(('Activity data'!BB9*EF!$H22)*kgtoGg=0,"NO",('Activity data'!BB9*EF!$H22)*kgtoGg)</f>
        <v>-1.3419536501877058E-2</v>
      </c>
      <c r="AJ1397" s="28">
        <f>IF(('Activity data'!BC9*EF!$H22)*kgtoGg=0,"NO",('Activity data'!BC9*EF!$H22)*kgtoGg)</f>
        <v>-1.3105925681085005E-2</v>
      </c>
      <c r="AK1397" s="28">
        <f>IF(('Activity data'!BD9*EF!$H22)*kgtoGg=0,"NO",('Activity data'!BD9*EF!$H22)*kgtoGg)</f>
        <v>-1.2797117419171011E-2</v>
      </c>
      <c r="AL1397" s="28">
        <f>IF(('Activity data'!BE9*EF!$H22)*kgtoGg=0,"NO",('Activity data'!BE9*EF!$H22)*kgtoGg)</f>
        <v>-1.2492864632850905E-2</v>
      </c>
      <c r="AM1397" s="28">
        <f>IF(('Activity data'!BF9*EF!$H22)*kgtoGg=0,"NO",('Activity data'!BF9*EF!$H22)*kgtoGg)</f>
        <v>-1.2192936889418591E-2</v>
      </c>
      <c r="AN1397" s="28">
        <f>IF(('Activity data'!BG9*EF!$H22)*kgtoGg=0,"NO",('Activity data'!BG9*EF!$H22)*kgtoGg)</f>
        <v>-1.1949763336189845E-2</v>
      </c>
      <c r="AO1397" s="28">
        <f>IF(('Activity data'!BH9*EF!$H22)*kgtoGg=0,"NO",('Activity data'!BH9*EF!$H22)*kgtoGg)</f>
        <v>-1.1710262625775411E-2</v>
      </c>
      <c r="AP1397" s="28">
        <f>IF(('Activity data'!BI9*EF!$H22)*kgtoGg=0,"NO",('Activity data'!BI9*EF!$H22)*kgtoGg)</f>
        <v>-1.1474268323146819E-2</v>
      </c>
      <c r="AQ1397" s="28">
        <f>IF(('Activity data'!BJ9*EF!$H22)*kgtoGg=0,"NO",('Activity data'!BJ9*EF!$H22)*kgtoGg)</f>
        <v>-1.1241624344674956E-2</v>
      </c>
      <c r="AR1397" s="28">
        <f>IF(('Activity data'!BK9*EF!$H22)*kgtoGg=0,"NO",('Activity data'!BK9*EF!$H22)*kgtoGg)</f>
        <v>-1.1012184099828085E-2</v>
      </c>
      <c r="AS1397" s="28">
        <f>IF(('Activity data'!BL9*EF!$H22)*kgtoGg=0,"NO",('Activity data'!BL9*EF!$H22)*kgtoGg)</f>
        <v>-1.0778479325995476E-2</v>
      </c>
      <c r="AT1397" s="28">
        <f>IF(('Activity data'!BM9*EF!$H22)*kgtoGg=0,"NO",('Activity data'!BM9*EF!$H22)*kgtoGg)</f>
        <v>-1.0547988290846352E-2</v>
      </c>
      <c r="AU1397" s="28">
        <f>IF(('Activity data'!BN9*EF!$H22)*kgtoGg=0,"NO",('Activity data'!BN9*EF!$H22)*kgtoGg)</f>
        <v>-1.032058457089494E-2</v>
      </c>
      <c r="AV1397" s="28">
        <f>IF(('Activity data'!BO9*EF!$H22)*kgtoGg=0,"NO",('Activity data'!BO9*EF!$H22)*kgtoGg)</f>
        <v>-1.0096148845528728E-2</v>
      </c>
      <c r="AW1397" s="28">
        <f>IF(('Activity data'!BP9*EF!$H22)*kgtoGg=0,"NO",('Activity data'!BP9*EF!$H22)*kgtoGg)</f>
        <v>-9.8745683662308046E-3</v>
      </c>
    </row>
    <row r="1398" spans="1:49" x14ac:dyDescent="0.25">
      <c r="A1398" s="102" t="s">
        <v>961</v>
      </c>
      <c r="B1398" s="102"/>
      <c r="C1398" s="102"/>
      <c r="D1398" t="str">
        <f t="shared" si="549"/>
        <v>3A Livestock</v>
      </c>
      <c r="E1398" t="str">
        <f t="shared" si="549"/>
        <v>3A2 Manure management (CH4)</v>
      </c>
      <c r="F1398" t="str">
        <f>EF!C23</f>
        <v>3A1aii Other cattle</v>
      </c>
      <c r="G1398" t="str">
        <f>EF!D23</f>
        <v>Feedlot</v>
      </c>
      <c r="H1398" t="str">
        <f t="shared" si="550"/>
        <v>Manure management Emissions</v>
      </c>
      <c r="I1398" t="str">
        <f t="shared" si="548"/>
        <v>CH4</v>
      </c>
      <c r="J1398" t="str">
        <f t="shared" si="548"/>
        <v>Gg CH4</v>
      </c>
      <c r="K1398" s="28">
        <f>IF(('Activity data'!AD10*EF!$H23)*kgtoGg=0,"NO",('Activity data'!AD10*EF!$H23)*kgtoGg)</f>
        <v>0.47365013870542771</v>
      </c>
      <c r="L1398" s="28">
        <f>IF(('Activity data'!AE10*EF!$H23)*kgtoGg=0,"NO",('Activity data'!AE10*EF!$H23)*kgtoGg)</f>
        <v>0.49051927106458876</v>
      </c>
      <c r="M1398" s="28">
        <f>IF(('Activity data'!AF10*EF!$H23)*kgtoGg=0,"NO",('Activity data'!AF10*EF!$H23)*kgtoGg)</f>
        <v>0.50390876804084606</v>
      </c>
      <c r="N1398" s="28">
        <f>IF(('Activity data'!AG10*EF!$H23)*kgtoGg=0,"NO",('Activity data'!AG10*EF!$H23)*kgtoGg)</f>
        <v>0.51218897212451775</v>
      </c>
      <c r="O1398" s="28">
        <f>IF(('Activity data'!AH10*EF!$H23)*kgtoGg=0,"NO",('Activity data'!AH10*EF!$H23)*kgtoGg)</f>
        <v>0.5204864616851187</v>
      </c>
      <c r="P1398" s="28">
        <f>IF(('Activity data'!AI10*EF!$H23)*kgtoGg=0,"NO",('Activity data'!AI10*EF!$H23)*kgtoGg)</f>
        <v>0.5315053909957832</v>
      </c>
      <c r="Q1398" s="28">
        <f>IF(('Activity data'!AJ10*EF!$H23)*kgtoGg=0,"NO",('Activity data'!AJ10*EF!$H23)*kgtoGg)</f>
        <v>0.54344267992188611</v>
      </c>
      <c r="R1398" s="28">
        <f>IF(('Activity data'!AK10*EF!$H23)*kgtoGg=0,"NO",('Activity data'!AK10*EF!$H23)*kgtoGg)</f>
        <v>0.54965498610396035</v>
      </c>
      <c r="S1398" s="28">
        <f>IF(('Activity data'!AL10*EF!$H23)*kgtoGg=0,"NO",('Activity data'!AL10*EF!$H23)*kgtoGg)</f>
        <v>0.50146701948783567</v>
      </c>
      <c r="T1398" s="28">
        <f>IF(('Activity data'!AM10*EF!$H23)*kgtoGg=0,"NO",('Activity data'!AM10*EF!$H23)*kgtoGg)</f>
        <v>0.51834473155778682</v>
      </c>
      <c r="U1398" s="28">
        <f>IF(('Activity data'!AN10*EF!$H23)*kgtoGg=0,"NO",('Activity data'!AN10*EF!$H23)*kgtoGg)</f>
        <v>0.53395156186316528</v>
      </c>
      <c r="V1398" s="28">
        <f>IF(('Activity data'!AO10*EF!$H23)*kgtoGg=0,"NO",('Activity data'!AO10*EF!$H23)*kgtoGg)</f>
        <v>0.54973255397230381</v>
      </c>
      <c r="W1398" s="28">
        <f>IF(('Activity data'!AP10*EF!$H23)*kgtoGg=0,"NO",('Activity data'!AP10*EF!$H23)*kgtoGg)</f>
        <v>0.56805189648716081</v>
      </c>
      <c r="X1398" s="28">
        <f>IF(('Activity data'!AQ10*EF!$H23)*kgtoGg=0,"NO",('Activity data'!AQ10*EF!$H23)*kgtoGg)</f>
        <v>0.58658806930488216</v>
      </c>
      <c r="Y1398" s="28">
        <f>IF(('Activity data'!AR10*EF!$H23)*kgtoGg=0,"NO",('Activity data'!AR10*EF!$H23)*kgtoGg)</f>
        <v>0.60582393990405248</v>
      </c>
      <c r="Z1398" s="28">
        <f>IF(('Activity data'!AS10*EF!$H23)*kgtoGg=0,"NO",('Activity data'!AS10*EF!$H23)*kgtoGg)</f>
        <v>0.62470251247800967</v>
      </c>
      <c r="AA1398" s="28">
        <f>IF(('Activity data'!AT10*EF!$H23)*kgtoGg=0,"NO",('Activity data'!AT10*EF!$H23)*kgtoGg)</f>
        <v>0.64475774385290952</v>
      </c>
      <c r="AB1398" s="28">
        <f>IF(('Activity data'!AU10*EF!$H23)*kgtoGg=0,"NO",('Activity data'!AU10*EF!$H23)*kgtoGg)</f>
        <v>0.66389235390041079</v>
      </c>
      <c r="AC1398" s="28">
        <f>IF(('Activity data'!AV10*EF!$H23)*kgtoGg=0,"NO",('Activity data'!AV10*EF!$H23)*kgtoGg)</f>
        <v>0.68358758575882406</v>
      </c>
      <c r="AD1398" s="28">
        <f>IF(('Activity data'!AW10*EF!$H23)*kgtoGg=0,"NO",('Activity data'!AW10*EF!$H23)*kgtoGg)</f>
        <v>0.7086584440058149</v>
      </c>
      <c r="AE1398" s="28">
        <f>IF(('Activity data'!AX10*EF!$H23)*kgtoGg=0,"NO",('Activity data'!AX10*EF!$H23)*kgtoGg)</f>
        <v>0.73565241500726219</v>
      </c>
      <c r="AF1398" s="28">
        <f>IF(('Activity data'!AY10*EF!$H23)*kgtoGg=0,"NO",('Activity data'!AY10*EF!$H23)*kgtoGg)</f>
        <v>0.76370616641189881</v>
      </c>
      <c r="AG1398" s="28">
        <f>IF(('Activity data'!AZ10*EF!$H23)*kgtoGg=0,"NO",('Activity data'!AZ10*EF!$H23)*kgtoGg)</f>
        <v>0.77236145848334026</v>
      </c>
      <c r="AH1398" s="28">
        <f>IF(('Activity data'!BA10*EF!$H23)*kgtoGg=0,"NO",('Activity data'!BA10*EF!$H23)*kgtoGg)</f>
        <v>-0.18826983110818521</v>
      </c>
      <c r="AI1398" s="28">
        <f>IF(('Activity data'!BB10*EF!$H23)*kgtoGg=0,"NO",('Activity data'!BB10*EF!$H23)*kgtoGg)</f>
        <v>-0.19006759890243963</v>
      </c>
      <c r="AJ1398" s="28">
        <f>IF(('Activity data'!BC10*EF!$H23)*kgtoGg=0,"NO",('Activity data'!BC10*EF!$H23)*kgtoGg)</f>
        <v>-0.19187998371586665</v>
      </c>
      <c r="AK1398" s="28">
        <f>IF(('Activity data'!BD10*EF!$H23)*kgtoGg=0,"NO",('Activity data'!BD10*EF!$H23)*kgtoGg)</f>
        <v>-0.19370712387762709</v>
      </c>
      <c r="AL1398" s="28">
        <f>IF(('Activity data'!BE10*EF!$H23)*kgtoGg=0,"NO",('Activity data'!BE10*EF!$H23)*kgtoGg)</f>
        <v>-0.19554915895887828</v>
      </c>
      <c r="AM1398" s="28">
        <f>IF(('Activity data'!BF10*EF!$H23)*kgtoGg=0,"NO",('Activity data'!BF10*EF!$H23)*kgtoGg)</f>
        <v>-0.19740622978354522</v>
      </c>
      <c r="AN1398" s="28">
        <f>IF(('Activity data'!BG10*EF!$H23)*kgtoGg=0,"NO",('Activity data'!BG10*EF!$H23)*kgtoGg)</f>
        <v>-0.19889654656389008</v>
      </c>
      <c r="AO1398" s="28">
        <f>IF(('Activity data'!BH10*EF!$H23)*kgtoGg=0,"NO",('Activity data'!BH10*EF!$H23)*kgtoGg)</f>
        <v>-0.20039714352450921</v>
      </c>
      <c r="AP1398" s="28">
        <f>IF(('Activity data'!BI10*EF!$H23)*kgtoGg=0,"NO",('Activity data'!BI10*EF!$H23)*kgtoGg)</f>
        <v>-0.20190810202695822</v>
      </c>
      <c r="AQ1398" s="28">
        <f>IF(('Activity data'!BJ10*EF!$H23)*kgtoGg=0,"NO",('Activity data'!BJ10*EF!$H23)*kgtoGg)</f>
        <v>-0.20342950404688992</v>
      </c>
      <c r="AR1398" s="28">
        <f>IF(('Activity data'!BK10*EF!$H23)*kgtoGg=0,"NO",('Activity data'!BK10*EF!$H23)*kgtoGg)</f>
        <v>-0.20496143217854407</v>
      </c>
      <c r="AS1398" s="28">
        <f>IF(('Activity data'!BL10*EF!$H23)*kgtoGg=0,"NO",('Activity data'!BL10*EF!$H23)*kgtoGg)</f>
        <v>-0.20636362268300526</v>
      </c>
      <c r="AT1398" s="28">
        <f>IF(('Activity data'!BM10*EF!$H23)*kgtoGg=0,"NO",('Activity data'!BM10*EF!$H23)*kgtoGg)</f>
        <v>-0.20777388296351235</v>
      </c>
      <c r="AU1398" s="28">
        <f>IF(('Activity data'!BN10*EF!$H23)*kgtoGg=0,"NO",('Activity data'!BN10*EF!$H23)*kgtoGg)</f>
        <v>-0.20919226640364996</v>
      </c>
      <c r="AV1398" s="28">
        <f>IF(('Activity data'!BO10*EF!$H23)*kgtoGg=0,"NO",('Activity data'!BO10*EF!$H23)*kgtoGg)</f>
        <v>-0.21061882672173884</v>
      </c>
      <c r="AW1398" s="28">
        <f>IF(('Activity data'!BP10*EF!$H23)*kgtoGg=0,"NO",('Activity data'!BP10*EF!$H23)*kgtoGg)</f>
        <v>-0.2120536179728616</v>
      </c>
    </row>
    <row r="1399" spans="1:49" x14ac:dyDescent="0.25">
      <c r="A1399" s="102" t="s">
        <v>961</v>
      </c>
      <c r="B1399" s="102"/>
      <c r="C1399" s="102"/>
      <c r="D1399" t="str">
        <f t="shared" si="549"/>
        <v>3A Livestock</v>
      </c>
      <c r="E1399" t="str">
        <f t="shared" si="549"/>
        <v>3A2 Manure management (CH4)</v>
      </c>
      <c r="F1399" t="str">
        <f>EF!C24</f>
        <v>3A1c Sheep</v>
      </c>
      <c r="G1399" t="str">
        <f>EF!D24</f>
        <v>Commercial</v>
      </c>
      <c r="H1399" t="str">
        <f t="shared" si="550"/>
        <v>Manure management Emissions</v>
      </c>
      <c r="I1399" t="str">
        <f t="shared" si="550"/>
        <v>CH4</v>
      </c>
      <c r="J1399" t="str">
        <f t="shared" si="550"/>
        <v>Gg CH4</v>
      </c>
      <c r="K1399" s="28">
        <f>IF(('Activity data'!AD11*EF!$H24)*kgtoGg=0,"NO",('Activity data'!AD11*EF!$H24)*kgtoGg)</f>
        <v>3.6053921478906167E-2</v>
      </c>
      <c r="L1399" s="28">
        <f>IF(('Activity data'!AE11*EF!$H24)*kgtoGg=0,"NO",('Activity data'!AE11*EF!$H24)*kgtoGg)</f>
        <v>3.6073610217126503E-2</v>
      </c>
      <c r="M1399" s="28">
        <f>IF(('Activity data'!AF11*EF!$H24)*kgtoGg=0,"NO",('Activity data'!AF11*EF!$H24)*kgtoGg)</f>
        <v>3.6117697084082141E-2</v>
      </c>
      <c r="N1399" s="28">
        <f>IF(('Activity data'!AG11*EF!$H24)*kgtoGg=0,"NO",('Activity data'!AG11*EF!$H24)*kgtoGg)</f>
        <v>3.618405707434337E-2</v>
      </c>
      <c r="O1399" s="28">
        <f>IF(('Activity data'!AH11*EF!$H24)*kgtoGg=0,"NO",('Activity data'!AH11*EF!$H24)*kgtoGg)</f>
        <v>3.6273578032260737E-2</v>
      </c>
      <c r="P1399" s="28">
        <f>IF(('Activity data'!AI11*EF!$H24)*kgtoGg=0,"NO",('Activity data'!AI11*EF!$H24)*kgtoGg)</f>
        <v>3.6386354948245533E-2</v>
      </c>
      <c r="Q1399" s="28">
        <f>IF(('Activity data'!AJ11*EF!$H24)*kgtoGg=0,"NO",('Activity data'!AJ11*EF!$H24)*kgtoGg)</f>
        <v>3.6511983860861394E-2</v>
      </c>
      <c r="R1399" s="28">
        <f>IF(('Activity data'!AK11*EF!$H24)*kgtoGg=0,"NO",('Activity data'!AK11*EF!$H24)*kgtoGg)</f>
        <v>3.6648137011074396E-2</v>
      </c>
      <c r="S1399" s="28">
        <f>IF(('Activity data'!AL11*EF!$H24)*kgtoGg=0,"NO",('Activity data'!AL11*EF!$H24)*kgtoGg)</f>
        <v>3.6776081758532232E-2</v>
      </c>
      <c r="T1399" s="28">
        <f>IF(('Activity data'!AM11*EF!$H24)*kgtoGg=0,"NO",('Activity data'!AM11*EF!$H24)*kgtoGg)</f>
        <v>3.6829526757110792E-2</v>
      </c>
      <c r="U1399" s="28">
        <f>IF(('Activity data'!AN11*EF!$H24)*kgtoGg=0,"NO",('Activity data'!AN11*EF!$H24)*kgtoGg)</f>
        <v>3.6891543145696586E-2</v>
      </c>
      <c r="V1399" s="28">
        <f>IF(('Activity data'!AO11*EF!$H24)*kgtoGg=0,"NO",('Activity data'!AO11*EF!$H24)*kgtoGg)</f>
        <v>3.6962118208236874E-2</v>
      </c>
      <c r="W1399" s="28">
        <f>IF(('Activity data'!AP11*EF!$H24)*kgtoGg=0,"NO",('Activity data'!AP11*EF!$H24)*kgtoGg)</f>
        <v>3.7041617602425879E-2</v>
      </c>
      <c r="X1399" s="28">
        <f>IF(('Activity data'!AQ11*EF!$H24)*kgtoGg=0,"NO",('Activity data'!AQ11*EF!$H24)*kgtoGg)</f>
        <v>3.71287668347723E-2</v>
      </c>
      <c r="Y1399" s="28">
        <f>IF(('Activity data'!AR11*EF!$H24)*kgtoGg=0,"NO",('Activity data'!AR11*EF!$H24)*kgtoGg)</f>
        <v>3.7182413833591089E-2</v>
      </c>
      <c r="Z1399" s="28">
        <f>IF(('Activity data'!AS11*EF!$H24)*kgtoGg=0,"NO",('Activity data'!AS11*EF!$H24)*kgtoGg)</f>
        <v>3.7242338638937944E-2</v>
      </c>
      <c r="AA1399" s="28">
        <f>IF(('Activity data'!AT11*EF!$H24)*kgtoGg=0,"NO",('Activity data'!AT11*EF!$H24)*kgtoGg)</f>
        <v>3.7308758714658788E-2</v>
      </c>
      <c r="AB1399" s="28">
        <f>IF(('Activity data'!AU11*EF!$H24)*kgtoGg=0,"NO",('Activity data'!AU11*EF!$H24)*kgtoGg)</f>
        <v>3.7380653555679967E-2</v>
      </c>
      <c r="AC1399" s="28">
        <f>IF(('Activity data'!AV11*EF!$H24)*kgtoGg=0,"NO",('Activity data'!AV11*EF!$H24)*kgtoGg)</f>
        <v>3.7458280228605825E-2</v>
      </c>
      <c r="AD1399" s="28">
        <f>IF(('Activity data'!AW11*EF!$H24)*kgtoGg=0,"NO",('Activity data'!AW11*EF!$H24)*kgtoGg)</f>
        <v>3.7509383313851091E-2</v>
      </c>
      <c r="AE1399" s="28">
        <f>IF(('Activity data'!AX11*EF!$H24)*kgtoGg=0,"NO",('Activity data'!AX11*EF!$H24)*kgtoGg)</f>
        <v>3.7565861655525674E-2</v>
      </c>
      <c r="AF1399" s="28">
        <f>IF(('Activity data'!AY11*EF!$H24)*kgtoGg=0,"NO",('Activity data'!AY11*EF!$H24)*kgtoGg)</f>
        <v>3.7627207315702967E-2</v>
      </c>
      <c r="AG1399" s="28">
        <f>IF(('Activity data'!AZ11*EF!$H24)*kgtoGg=0,"NO",('Activity data'!AZ11*EF!$H24)*kgtoGg)</f>
        <v>3.7686475047494471E-2</v>
      </c>
      <c r="AH1399" s="28">
        <f>IF(('Activity data'!BA11*EF!$H24)*kgtoGg=0,"NO",('Activity data'!BA11*EF!$H24)*kgtoGg)</f>
        <v>3.7433087747828976E-2</v>
      </c>
      <c r="AI1399" s="28">
        <f>IF(('Activity data'!BB11*EF!$H24)*kgtoGg=0,"NO",('Activity data'!BB11*EF!$H24)*kgtoGg)</f>
        <v>3.7469072750832028E-2</v>
      </c>
      <c r="AJ1399" s="28">
        <f>IF(('Activity data'!BC11*EF!$H24)*kgtoGg=0,"NO",('Activity data'!BC11*EF!$H24)*kgtoGg)</f>
        <v>3.750878237989342E-2</v>
      </c>
      <c r="AK1399" s="28">
        <f>IF(('Activity data'!BD11*EF!$H24)*kgtoGg=0,"NO",('Activity data'!BD11*EF!$H24)*kgtoGg)</f>
        <v>3.7552075921765626E-2</v>
      </c>
      <c r="AL1399" s="28">
        <f>IF(('Activity data'!BE11*EF!$H24)*kgtoGg=0,"NO",('Activity data'!BE11*EF!$H24)*kgtoGg)</f>
        <v>3.7598823539459238E-2</v>
      </c>
      <c r="AM1399" s="28">
        <f>IF(('Activity data'!BF11*EF!$H24)*kgtoGg=0,"NO",('Activity data'!BF11*EF!$H24)*kgtoGg)</f>
        <v>3.7648905240168402E-2</v>
      </c>
      <c r="AN1399" s="28">
        <f>IF(('Activity data'!BG11*EF!$H24)*kgtoGg=0,"NO",('Activity data'!BG11*EF!$H24)*kgtoGg)</f>
        <v>3.76732099349424E-2</v>
      </c>
      <c r="AO1399" s="28">
        <f>IF(('Activity data'!BH11*EF!$H24)*kgtoGg=0,"NO",('Activity data'!BH11*EF!$H24)*kgtoGg)</f>
        <v>3.7700452169156254E-2</v>
      </c>
      <c r="AP1399" s="28">
        <f>IF(('Activity data'!BI11*EF!$H24)*kgtoGg=0,"NO",('Activity data'!BI11*EF!$H24)*kgtoGg)</f>
        <v>3.7730529709511379E-2</v>
      </c>
      <c r="AQ1399" s="28">
        <f>IF(('Activity data'!BJ11*EF!$H24)*kgtoGg=0,"NO",('Activity data'!BJ11*EF!$H24)*kgtoGg)</f>
        <v>3.7763347319933152E-2</v>
      </c>
      <c r="AR1399" s="28">
        <f>IF(('Activity data'!BK11*EF!$H24)*kgtoGg=0,"NO",('Activity data'!BK11*EF!$H24)*kgtoGg)</f>
        <v>3.7798816167122655E-2</v>
      </c>
      <c r="AS1399" s="28">
        <f>IF(('Activity data'!BL11*EF!$H24)*kgtoGg=0,"NO",('Activity data'!BL11*EF!$H24)*kgtoGg)</f>
        <v>3.7807565900273503E-2</v>
      </c>
      <c r="AT1399" s="28">
        <f>IF(('Activity data'!BM11*EF!$H24)*kgtoGg=0,"NO",('Activity data'!BM11*EF!$H24)*kgtoGg)</f>
        <v>3.7818668604843612E-2</v>
      </c>
      <c r="AU1399" s="28">
        <f>IF(('Activity data'!BN11*EF!$H24)*kgtoGg=0,"NO",('Activity data'!BN11*EF!$H24)*kgtoGg)</f>
        <v>3.7832046350463708E-2</v>
      </c>
      <c r="AV1399" s="28">
        <f>IF(('Activity data'!BO11*EF!$H24)*kgtoGg=0,"NO",('Activity data'!BO11*EF!$H24)*kgtoGg)</f>
        <v>3.7847625965531671E-2</v>
      </c>
      <c r="AW1399" s="28">
        <f>IF(('Activity data'!BP11*EF!$H24)*kgtoGg=0,"NO",('Activity data'!BP11*EF!$H24)*kgtoGg)</f>
        <v>3.7865338671255785E-2</v>
      </c>
    </row>
    <row r="1400" spans="1:49" x14ac:dyDescent="0.25">
      <c r="A1400" s="102" t="s">
        <v>961</v>
      </c>
      <c r="B1400" s="102"/>
      <c r="C1400" s="102"/>
      <c r="D1400" t="str">
        <f t="shared" si="549"/>
        <v>3A Livestock</v>
      </c>
      <c r="E1400" t="str">
        <f t="shared" si="549"/>
        <v>3A2 Manure management (CH4)</v>
      </c>
      <c r="F1400" t="str">
        <f>EF!C25</f>
        <v>3A1c Sheep</v>
      </c>
      <c r="G1400" t="str">
        <f>EF!D25</f>
        <v>Subsistence</v>
      </c>
      <c r="H1400" t="str">
        <f t="shared" si="550"/>
        <v>Manure management Emissions</v>
      </c>
      <c r="I1400" t="str">
        <f t="shared" si="550"/>
        <v>CH4</v>
      </c>
      <c r="J1400" t="str">
        <f t="shared" si="550"/>
        <v>Gg CH4</v>
      </c>
      <c r="K1400" s="28">
        <f>IF(('Activity data'!AD12*EF!$H25)*kgtoGg=0,"NO",('Activity data'!AD12*EF!$H25)*kgtoGg)</f>
        <v>4.1175296849015851E-3</v>
      </c>
      <c r="L1400" s="28">
        <f>IF(('Activity data'!AE12*EF!$H25)*kgtoGg=0,"NO",('Activity data'!AE12*EF!$H25)*kgtoGg)</f>
        <v>4.1197782326532605E-3</v>
      </c>
      <c r="M1400" s="28">
        <f>IF(('Activity data'!AF12*EF!$H25)*kgtoGg=0,"NO",('Activity data'!AF12*EF!$H25)*kgtoGg)</f>
        <v>4.1248131630008617E-3</v>
      </c>
      <c r="N1400" s="28">
        <f>IF(('Activity data'!AG12*EF!$H25)*kgtoGg=0,"NO",('Activity data'!AG12*EF!$H25)*kgtoGg)</f>
        <v>4.1323917901954152E-3</v>
      </c>
      <c r="O1400" s="28">
        <f>IF(('Activity data'!AH12*EF!$H25)*kgtoGg=0,"NO",('Activity data'!AH12*EF!$H25)*kgtoGg)</f>
        <v>4.1426155102936933E-3</v>
      </c>
      <c r="P1400" s="28">
        <f>IF(('Activity data'!AI12*EF!$H25)*kgtoGg=0,"NO",('Activity data'!AI12*EF!$H25)*kgtoGg)</f>
        <v>4.1554951716534349E-3</v>
      </c>
      <c r="Q1400" s="28">
        <f>IF(('Activity data'!AJ12*EF!$H25)*kgtoGg=0,"NO",('Activity data'!AJ12*EF!$H25)*kgtoGg)</f>
        <v>4.1698425922878412E-3</v>
      </c>
      <c r="R1400" s="28">
        <f>IF(('Activity data'!AK12*EF!$H25)*kgtoGg=0,"NO",('Activity data'!AK12*EF!$H25)*kgtoGg)</f>
        <v>4.1853919310199088E-3</v>
      </c>
      <c r="S1400" s="28">
        <f>IF(('Activity data'!AL12*EF!$H25)*kgtoGg=0,"NO",('Activity data'!AL12*EF!$H25)*kgtoGg)</f>
        <v>4.2000038310317607E-3</v>
      </c>
      <c r="T1400" s="28">
        <f>IF(('Activity data'!AM12*EF!$H25)*kgtoGg=0,"NO",('Activity data'!AM12*EF!$H25)*kgtoGg)</f>
        <v>4.2061075046164898E-3</v>
      </c>
      <c r="U1400" s="28">
        <f>IF(('Activity data'!AN12*EF!$H25)*kgtoGg=0,"NO",('Activity data'!AN12*EF!$H25)*kgtoGg)</f>
        <v>4.2131900717958127E-3</v>
      </c>
      <c r="V1400" s="28">
        <f>IF(('Activity data'!AO12*EF!$H25)*kgtoGg=0,"NO",('Activity data'!AO12*EF!$H25)*kgtoGg)</f>
        <v>4.2212500803358944E-3</v>
      </c>
      <c r="W1400" s="28">
        <f>IF(('Activity data'!AP12*EF!$H25)*kgtoGg=0,"NO",('Activity data'!AP12*EF!$H25)*kgtoGg)</f>
        <v>4.2303292900883332E-3</v>
      </c>
      <c r="X1400" s="28">
        <f>IF(('Activity data'!AQ12*EF!$H25)*kgtoGg=0,"NO",('Activity data'!AQ12*EF!$H25)*kgtoGg)</f>
        <v>4.2402821478215117E-3</v>
      </c>
      <c r="Y1400" s="28">
        <f>IF(('Activity data'!AR12*EF!$H25)*kgtoGg=0,"NO",('Activity data'!AR12*EF!$H25)*kgtoGg)</f>
        <v>4.2464088907965165E-3</v>
      </c>
      <c r="Z1400" s="28">
        <f>IF(('Activity data'!AS12*EF!$H25)*kgtoGg=0,"NO",('Activity data'!AS12*EF!$H25)*kgtoGg)</f>
        <v>4.2532525892003629E-3</v>
      </c>
      <c r="AA1400" s="28">
        <f>IF(('Activity data'!AT12*EF!$H25)*kgtoGg=0,"NO",('Activity data'!AT12*EF!$H25)*kgtoGg)</f>
        <v>4.2608380784408054E-3</v>
      </c>
      <c r="AB1400" s="28">
        <f>IF(('Activity data'!AU12*EF!$H25)*kgtoGg=0,"NO",('Activity data'!AU12*EF!$H25)*kgtoGg)</f>
        <v>4.2690488119741668E-3</v>
      </c>
      <c r="AC1400" s="28">
        <f>IF(('Activity data'!AV12*EF!$H25)*kgtoGg=0,"NO",('Activity data'!AV12*EF!$H25)*kgtoGg)</f>
        <v>4.2779141480319745E-3</v>
      </c>
      <c r="AD1400" s="28">
        <f>IF(('Activity data'!AW12*EF!$H25)*kgtoGg=0,"NO",('Activity data'!AW12*EF!$H25)*kgtoGg)</f>
        <v>4.2837503639512487E-3</v>
      </c>
      <c r="AE1400" s="28">
        <f>IF(('Activity data'!AX12*EF!$H25)*kgtoGg=0,"NO",('Activity data'!AX12*EF!$H25)*kgtoGg)</f>
        <v>4.2902004597760585E-3</v>
      </c>
      <c r="AF1400" s="28">
        <f>IF(('Activity data'!AY12*EF!$H25)*kgtoGg=0,"NO",('Activity data'!AY12*EF!$H25)*kgtoGg)</f>
        <v>4.2972064265740855E-3</v>
      </c>
      <c r="AG1400" s="28">
        <f>IF(('Activity data'!AZ12*EF!$H25)*kgtoGg=0,"NO",('Activity data'!AZ12*EF!$H25)*kgtoGg)</f>
        <v>4.3039750840459523E-3</v>
      </c>
      <c r="AH1400" s="28">
        <f>IF(('Activity data'!BA12*EF!$H25)*kgtoGg=0,"NO",('Activity data'!BA12*EF!$H25)*kgtoGg)</f>
        <v>4.2750370466466056E-3</v>
      </c>
      <c r="AI1400" s="28">
        <f>IF(('Activity data'!BB12*EF!$H25)*kgtoGg=0,"NO",('Activity data'!BB12*EF!$H25)*kgtoGg)</f>
        <v>4.2791467055130613E-3</v>
      </c>
      <c r="AJ1400" s="28">
        <f>IF(('Activity data'!BC12*EF!$H25)*kgtoGg=0,"NO",('Activity data'!BC12*EF!$H25)*kgtoGg)</f>
        <v>4.2836817344289136E-3</v>
      </c>
      <c r="AK1400" s="28">
        <f>IF(('Activity data'!BD12*EF!$H25)*kgtoGg=0,"NO",('Activity data'!BD12*EF!$H25)*kgtoGg)</f>
        <v>4.2886260632705817E-3</v>
      </c>
      <c r="AL1400" s="28">
        <f>IF(('Activity data'!BE12*EF!$H25)*kgtoGg=0,"NO",('Activity data'!BE12*EF!$H25)*kgtoGg)</f>
        <v>4.2939648640350006E-3</v>
      </c>
      <c r="AM1400" s="28">
        <f>IF(('Activity data'!BF12*EF!$H25)*kgtoGg=0,"NO",('Activity data'!BF12*EF!$H25)*kgtoGg)</f>
        <v>4.2996844329717928E-3</v>
      </c>
      <c r="AN1400" s="28">
        <f>IF(('Activity data'!BG12*EF!$H25)*kgtoGg=0,"NO",('Activity data'!BG12*EF!$H25)*kgtoGg)</f>
        <v>4.3024601449639811E-3</v>
      </c>
      <c r="AO1400" s="28">
        <f>IF(('Activity data'!BH12*EF!$H25)*kgtoGg=0,"NO",('Activity data'!BH12*EF!$H25)*kgtoGg)</f>
        <v>4.3055713379620639E-3</v>
      </c>
      <c r="AP1400" s="28">
        <f>IF(('Activity data'!BI12*EF!$H25)*kgtoGg=0,"NO",('Activity data'!BI12*EF!$H25)*kgtoGg)</f>
        <v>4.3090063364360429E-3</v>
      </c>
      <c r="AQ1400" s="28">
        <f>IF(('Activity data'!BJ12*EF!$H25)*kgtoGg=0,"NO",('Activity data'!BJ12*EF!$H25)*kgtoGg)</f>
        <v>4.3127542639722558E-3</v>
      </c>
      <c r="AR1400" s="28">
        <f>IF(('Activity data'!BK12*EF!$H25)*kgtoGg=0,"NO",('Activity data'!BK12*EF!$H25)*kgtoGg)</f>
        <v>4.3168049753845332E-3</v>
      </c>
      <c r="AS1400" s="28">
        <f>IF(('Activity data'!BL12*EF!$H25)*kgtoGg=0,"NO",('Activity data'!BL12*EF!$H25)*kgtoGg)</f>
        <v>4.3178042366162055E-3</v>
      </c>
      <c r="AT1400" s="28">
        <f>IF(('Activity data'!BM12*EF!$H25)*kgtoGg=0,"NO",('Activity data'!BM12*EF!$H25)*kgtoGg)</f>
        <v>4.3190722183994593E-3</v>
      </c>
      <c r="AU1400" s="28">
        <f>IF(('Activity data'!BN12*EF!$H25)*kgtoGg=0,"NO",('Activity data'!BN12*EF!$H25)*kgtoGg)</f>
        <v>4.3206000207146669E-3</v>
      </c>
      <c r="AV1400" s="28">
        <f>IF(('Activity data'!BO12*EF!$H25)*kgtoGg=0,"NO",('Activity data'!BO12*EF!$H25)*kgtoGg)</f>
        <v>4.3223792870160944E-3</v>
      </c>
      <c r="AW1400" s="28">
        <f>IF(('Activity data'!BP12*EF!$H25)*kgtoGg=0,"NO",('Activity data'!BP12*EF!$H25)*kgtoGg)</f>
        <v>4.3244021624378867E-3</v>
      </c>
    </row>
    <row r="1401" spans="1:49" x14ac:dyDescent="0.25">
      <c r="A1401" s="102" t="s">
        <v>961</v>
      </c>
      <c r="B1401" s="102"/>
      <c r="C1401" s="102"/>
      <c r="D1401" t="str">
        <f t="shared" si="549"/>
        <v>3A Livestock</v>
      </c>
      <c r="E1401" t="str">
        <f t="shared" si="549"/>
        <v>3A2 Manure management (CH4)</v>
      </c>
      <c r="F1401" t="str">
        <f>EF!C26</f>
        <v>3A1d Goats</v>
      </c>
      <c r="G1401" t="str">
        <f>EF!D26</f>
        <v>Commercial</v>
      </c>
      <c r="H1401" t="str">
        <f t="shared" si="550"/>
        <v>Manure management Emissions</v>
      </c>
      <c r="I1401" t="str">
        <f t="shared" si="550"/>
        <v>CH4</v>
      </c>
      <c r="J1401" t="str">
        <f t="shared" si="550"/>
        <v>Gg CH4</v>
      </c>
      <c r="K1401" s="28">
        <f>IF(('Activity data'!AD13*EF!$H26)*kgtoGg=0,"NO",('Activity data'!AD13*EF!$H26)*kgtoGg)</f>
        <v>1.578914847670768E-2</v>
      </c>
      <c r="L1401" s="28">
        <f>IF(('Activity data'!AE13*EF!$H26)*kgtoGg=0,"NO",('Activity data'!AE13*EF!$H26)*kgtoGg)</f>
        <v>1.5830330315974785E-2</v>
      </c>
      <c r="M1401" s="28">
        <f>IF(('Activity data'!AF13*EF!$H26)*kgtoGg=0,"NO",('Activity data'!AF13*EF!$H26)*kgtoGg)</f>
        <v>1.5885208764738982E-2</v>
      </c>
      <c r="N1401" s="28">
        <f>IF(('Activity data'!AG13*EF!$H26)*kgtoGg=0,"NO",('Activity data'!AG13*EF!$H26)*kgtoGg)</f>
        <v>1.5952563767257691E-2</v>
      </c>
      <c r="O1401" s="28">
        <f>IF(('Activity data'!AH13*EF!$H26)*kgtoGg=0,"NO",('Activity data'!AH13*EF!$H26)*kgtoGg)</f>
        <v>1.6033204709528407E-2</v>
      </c>
      <c r="P1401" s="28">
        <f>IF(('Activity data'!AI13*EF!$H26)*kgtoGg=0,"NO",('Activity data'!AI13*EF!$H26)*kgtoGg)</f>
        <v>1.6127346186936543E-2</v>
      </c>
      <c r="Q1401" s="28">
        <f>IF(('Activity data'!AJ13*EF!$H26)*kgtoGg=0,"NO",('Activity data'!AJ13*EF!$H26)*kgtoGg)</f>
        <v>1.6228000781801349E-2</v>
      </c>
      <c r="R1401" s="28">
        <f>IF(('Activity data'!AK13*EF!$H26)*kgtoGg=0,"NO",('Activity data'!AK13*EF!$H26)*kgtoGg)</f>
        <v>1.6333729215934008E-2</v>
      </c>
      <c r="S1401" s="28">
        <f>IF(('Activity data'!AL13*EF!$H26)*kgtoGg=0,"NO",('Activity data'!AL13*EF!$H26)*kgtoGg)</f>
        <v>1.6431946287378985E-2</v>
      </c>
      <c r="T1401" s="28">
        <f>IF(('Activity data'!AM13*EF!$H26)*kgtoGg=0,"NO",('Activity data'!AM13*EF!$H26)*kgtoGg)</f>
        <v>1.6477973799395588E-2</v>
      </c>
      <c r="U1401" s="28">
        <f>IF(('Activity data'!AN13*EF!$H26)*kgtoGg=0,"NO",('Activity data'!AN13*EF!$H26)*kgtoGg)</f>
        <v>1.6528445517692184E-2</v>
      </c>
      <c r="V1401" s="28">
        <f>IF(('Activity data'!AO13*EF!$H26)*kgtoGg=0,"NO",('Activity data'!AO13*EF!$H26)*kgtoGg)</f>
        <v>1.6583425492153747E-2</v>
      </c>
      <c r="W1401" s="28">
        <f>IF(('Activity data'!AP13*EF!$H26)*kgtoGg=0,"NO",('Activity data'!AP13*EF!$H26)*kgtoGg)</f>
        <v>1.6643220540411473E-2</v>
      </c>
      <c r="X1401" s="28">
        <f>IF(('Activity data'!AQ13*EF!$H26)*kgtoGg=0,"NO",('Activity data'!AQ13*EF!$H26)*kgtoGg)</f>
        <v>1.6707025590946629E-2</v>
      </c>
      <c r="Y1401" s="28">
        <f>IF(('Activity data'!AR13*EF!$H26)*kgtoGg=0,"NO",('Activity data'!AR13*EF!$H26)*kgtoGg)</f>
        <v>1.6747356446044817E-2</v>
      </c>
      <c r="Z1401" s="28">
        <f>IF(('Activity data'!AS13*EF!$H26)*kgtoGg=0,"NO",('Activity data'!AS13*EF!$H26)*kgtoGg)</f>
        <v>1.679099238038791E-2</v>
      </c>
      <c r="AA1401" s="28">
        <f>IF(('Activity data'!AT13*EF!$H26)*kgtoGg=0,"NO",('Activity data'!AT13*EF!$H26)*kgtoGg)</f>
        <v>1.6838113918664795E-2</v>
      </c>
      <c r="AB1401" s="28">
        <f>IF(('Activity data'!AU13*EF!$H26)*kgtoGg=0,"NO",('Activity data'!AU13*EF!$H26)*kgtoGg)</f>
        <v>1.6888072337895171E-2</v>
      </c>
      <c r="AC1401" s="28">
        <f>IF(('Activity data'!AV13*EF!$H26)*kgtoGg=0,"NO",('Activity data'!AV13*EF!$H26)*kgtoGg)</f>
        <v>1.6941067477261811E-2</v>
      </c>
      <c r="AD1401" s="28">
        <f>IF(('Activity data'!AW13*EF!$H26)*kgtoGg=0,"NO",('Activity data'!AW13*EF!$H26)*kgtoGg)</f>
        <v>1.6975775774690904E-2</v>
      </c>
      <c r="AE1401" s="28">
        <f>IF(('Activity data'!AX13*EF!$H26)*kgtoGg=0,"NO",('Activity data'!AX13*EF!$H26)*kgtoGg)</f>
        <v>1.7013417171997135E-2</v>
      </c>
      <c r="AF1401" s="28">
        <f>IF(('Activity data'!AY13*EF!$H26)*kgtoGg=0,"NO",('Activity data'!AY13*EF!$H26)*kgtoGg)</f>
        <v>1.7053673452645857E-2</v>
      </c>
      <c r="AG1401" s="28">
        <f>IF(('Activity data'!AZ13*EF!$H26)*kgtoGg=0,"NO",('Activity data'!AZ13*EF!$H26)*kgtoGg)</f>
        <v>1.7091991548522943E-2</v>
      </c>
      <c r="AH1401" s="28">
        <f>IF(('Activity data'!BA13*EF!$H26)*kgtoGg=0,"NO",('Activity data'!BA13*EF!$H26)*kgtoGg)</f>
        <v>1.6924485926797139E-2</v>
      </c>
      <c r="AI1401" s="28">
        <f>IF(('Activity data'!BB13*EF!$H26)*kgtoGg=0,"NO",('Activity data'!BB13*EF!$H26)*kgtoGg)</f>
        <v>1.6946898224790095E-2</v>
      </c>
      <c r="AJ1401" s="28">
        <f>IF(('Activity data'!BC13*EF!$H26)*kgtoGg=0,"NO",('Activity data'!BC13*EF!$H26)*kgtoGg)</f>
        <v>1.6971320122511346E-2</v>
      </c>
      <c r="AK1401" s="28">
        <f>IF(('Activity data'!BD13*EF!$H26)*kgtoGg=0,"NO",('Activity data'!BD13*EF!$H26)*kgtoGg)</f>
        <v>1.6997670008444151E-2</v>
      </c>
      <c r="AL1401" s="28">
        <f>IF(('Activity data'!BE13*EF!$H26)*kgtoGg=0,"NO",('Activity data'!BE13*EF!$H26)*kgtoGg)</f>
        <v>1.7025872601317771E-2</v>
      </c>
      <c r="AM1401" s="28">
        <f>IF(('Activity data'!BF13*EF!$H26)*kgtoGg=0,"NO",('Activity data'!BF13*EF!$H26)*kgtoGg)</f>
        <v>1.7055858343998281E-2</v>
      </c>
      <c r="AN1401" s="28">
        <f>IF(('Activity data'!BG13*EF!$H26)*kgtoGg=0,"NO",('Activity data'!BG13*EF!$H26)*kgtoGg)</f>
        <v>1.706872967637315E-2</v>
      </c>
      <c r="AO1401" s="28">
        <f>IF(('Activity data'!BH13*EF!$H26)*kgtoGg=0,"NO",('Activity data'!BH13*EF!$H26)*kgtoGg)</f>
        <v>1.7083207389206864E-2</v>
      </c>
      <c r="AP1401" s="28">
        <f>IF(('Activity data'!BI13*EF!$H26)*kgtoGg=0,"NO",('Activity data'!BI13*EF!$H26)*kgtoGg)</f>
        <v>1.7099230922033661E-2</v>
      </c>
      <c r="AQ1401" s="28">
        <f>IF(('Activity data'!BJ13*EF!$H26)*kgtoGg=0,"NO",('Activity data'!BJ13*EF!$H26)*kgtoGg)</f>
        <v>1.7116743868978143E-2</v>
      </c>
      <c r="AR1401" s="28">
        <f>IF(('Activity data'!BK13*EF!$H26)*kgtoGg=0,"NO",('Activity data'!BK13*EF!$H26)*kgtoGg)</f>
        <v>1.7135693622819574E-2</v>
      </c>
      <c r="AS1401" s="28">
        <f>IF(('Activity data'!BL13*EF!$H26)*kgtoGg=0,"NO",('Activity data'!BL13*EF!$H26)*kgtoGg)</f>
        <v>1.7137172081504573E-2</v>
      </c>
      <c r="AT1401" s="28">
        <f>IF(('Activity data'!BM13*EF!$H26)*kgtoGg=0,"NO",('Activity data'!BM13*EF!$H26)*kgtoGg)</f>
        <v>1.7139965381039082E-2</v>
      </c>
      <c r="AU1401" s="28">
        <f>IF(('Activity data'!BN13*EF!$H26)*kgtoGg=0,"NO",('Activity data'!BN13*EF!$H26)*kgtoGg)</f>
        <v>1.7144026301455787E-2</v>
      </c>
      <c r="AV1401" s="28">
        <f>IF(('Activity data'!BO13*EF!$H26)*kgtoGg=0,"NO",('Activity data'!BO13*EF!$H26)*kgtoGg)</f>
        <v>1.7149310513066243E-2</v>
      </c>
      <c r="AW1401" s="28">
        <f>IF(('Activity data'!BP13*EF!$H26)*kgtoGg=0,"NO",('Activity data'!BP13*EF!$H26)*kgtoGg)</f>
        <v>1.7155776352544339E-2</v>
      </c>
    </row>
    <row r="1402" spans="1:49" x14ac:dyDescent="0.25">
      <c r="A1402" s="102" t="s">
        <v>961</v>
      </c>
      <c r="B1402" s="102"/>
      <c r="C1402" s="102"/>
      <c r="D1402" t="str">
        <f t="shared" si="549"/>
        <v>3A Livestock</v>
      </c>
      <c r="E1402" t="str">
        <f t="shared" si="549"/>
        <v>3A2 Manure management (CH4)</v>
      </c>
      <c r="F1402" t="str">
        <f>EF!C27</f>
        <v>3A1d Goats</v>
      </c>
      <c r="G1402" t="str">
        <f>EF!D27</f>
        <v>Subsistence</v>
      </c>
      <c r="H1402" t="str">
        <f t="shared" si="550"/>
        <v>Manure management Emissions</v>
      </c>
      <c r="I1402" t="str">
        <f t="shared" si="550"/>
        <v>CH4</v>
      </c>
      <c r="J1402" t="str">
        <f t="shared" si="550"/>
        <v>Gg CH4</v>
      </c>
      <c r="K1402" s="28">
        <f>IF(('Activity data'!AD14*EF!$H27)*kgtoGg=0,"NO",('Activity data'!AD14*EF!$H27)*kgtoGg)</f>
        <v>2.6591335822255355E-2</v>
      </c>
      <c r="L1402" s="28">
        <f>IF(('Activity data'!AE14*EF!$H27)*kgtoGg=0,"NO",('Activity data'!AE14*EF!$H27)*kgtoGg)</f>
        <v>2.6660692324877722E-2</v>
      </c>
      <c r="M1402" s="28">
        <f>IF(('Activity data'!AF14*EF!$H27)*kgtoGg=0,"NO",('Activity data'!AF14*EF!$H27)*kgtoGg)</f>
        <v>2.6753116008311057E-2</v>
      </c>
      <c r="N1402" s="28">
        <f>IF(('Activity data'!AG14*EF!$H27)*kgtoGg=0,"NO",('Activity data'!AG14*EF!$H27)*kgtoGg)</f>
        <v>2.6866552112476273E-2</v>
      </c>
      <c r="O1402" s="28">
        <f>IF(('Activity data'!AH14*EF!$H27)*kgtoGg=0,"NO",('Activity data'!AH14*EF!$H27)*kgtoGg)</f>
        <v>2.7002363766924078E-2</v>
      </c>
      <c r="P1402" s="28">
        <f>IF(('Activity data'!AI14*EF!$H27)*kgtoGg=0,"NO",('Activity data'!AI14*EF!$H27)*kgtoGg)</f>
        <v>2.7160912383035713E-2</v>
      </c>
      <c r="Q1402" s="28">
        <f>IF(('Activity data'!AJ14*EF!$H27)*kgtoGg=0,"NO",('Activity data'!AJ14*EF!$H27)*kgtoGg)</f>
        <v>2.7330430082995998E-2</v>
      </c>
      <c r="R1402" s="28">
        <f>IF(('Activity data'!AK14*EF!$H27)*kgtoGg=0,"NO",('Activity data'!AK14*EF!$H27)*kgtoGg)</f>
        <v>2.7508492902668026E-2</v>
      </c>
      <c r="S1402" s="28">
        <f>IF(('Activity data'!AL14*EF!$H27)*kgtoGg=0,"NO",('Activity data'!AL14*EF!$H27)*kgtoGg)</f>
        <v>2.7673905441167147E-2</v>
      </c>
      <c r="T1402" s="28">
        <f>IF(('Activity data'!AM14*EF!$H27)*kgtoGg=0,"NO",('Activity data'!AM14*EF!$H27)*kgtoGg)</f>
        <v>2.7751422796260871E-2</v>
      </c>
      <c r="U1402" s="28">
        <f>IF(('Activity data'!AN14*EF!$H27)*kgtoGg=0,"NO",('Activity data'!AN14*EF!$H27)*kgtoGg)</f>
        <v>2.783642487301826E-2</v>
      </c>
      <c r="V1402" s="28">
        <f>IF(('Activity data'!AO14*EF!$H27)*kgtoGg=0,"NO",('Activity data'!AO14*EF!$H27)*kgtoGg)</f>
        <v>2.7929019541221126E-2</v>
      </c>
      <c r="W1402" s="28">
        <f>IF(('Activity data'!AP14*EF!$H27)*kgtoGg=0,"NO",('Activity data'!AP14*EF!$H27)*kgtoGg)</f>
        <v>2.8029723528587808E-2</v>
      </c>
      <c r="X1402" s="28">
        <f>IF(('Activity data'!AQ14*EF!$H27)*kgtoGg=0,"NO",('Activity data'!AQ14*EF!$H27)*kgtoGg)</f>
        <v>2.813718097180834E-2</v>
      </c>
      <c r="Y1402" s="28">
        <f>IF(('Activity data'!AR14*EF!$H27)*kgtoGg=0,"NO",('Activity data'!AR14*EF!$H27)*kgtoGg)</f>
        <v>2.8205104287210486E-2</v>
      </c>
      <c r="Z1402" s="28">
        <f>IF(('Activity data'!AS14*EF!$H27)*kgtoGg=0,"NO",('Activity data'!AS14*EF!$H27)*kgtoGg)</f>
        <v>2.827859386049221E-2</v>
      </c>
      <c r="AA1402" s="28">
        <f>IF(('Activity data'!AT14*EF!$H27)*kgtoGg=0,"NO",('Activity data'!AT14*EF!$H27)*kgtoGg)</f>
        <v>2.8357953722781829E-2</v>
      </c>
      <c r="AB1402" s="28">
        <f>IF(('Activity data'!AU14*EF!$H27)*kgtoGg=0,"NO",('Activity data'!AU14*EF!$H27)*kgtoGg)</f>
        <v>2.8442091325570455E-2</v>
      </c>
      <c r="AC1402" s="28">
        <f>IF(('Activity data'!AV14*EF!$H27)*kgtoGg=0,"NO",('Activity data'!AV14*EF!$H27)*kgtoGg)</f>
        <v>2.8531343228541953E-2</v>
      </c>
      <c r="AD1402" s="28">
        <f>IF(('Activity data'!AW14*EF!$H27)*kgtoGg=0,"NO",('Activity data'!AW14*EF!$H27)*kgtoGg)</f>
        <v>2.8589797298697615E-2</v>
      </c>
      <c r="AE1402" s="28">
        <f>IF(('Activity data'!AX14*EF!$H27)*kgtoGg=0,"NO",('Activity data'!AX14*EF!$H27)*kgtoGg)</f>
        <v>2.8653191156704935E-2</v>
      </c>
      <c r="AF1402" s="28">
        <f>IF(('Activity data'!AY14*EF!$H27)*kgtoGg=0,"NO",('Activity data'!AY14*EF!$H27)*kgtoGg)</f>
        <v>2.8720988877352402E-2</v>
      </c>
      <c r="AG1402" s="28">
        <f>IF(('Activity data'!AZ14*EF!$H27)*kgtoGg=0,"NO",('Activity data'!AZ14*EF!$H27)*kgtoGg)</f>
        <v>2.8785522399032822E-2</v>
      </c>
      <c r="AH1402" s="28">
        <f>IF(('Activity data'!BA14*EF!$H27)*kgtoGg=0,"NO",('Activity data'!BA14*EF!$H27)*kgtoGg)</f>
        <v>2.8503417366833182E-2</v>
      </c>
      <c r="AI1402" s="28">
        <f>IF(('Activity data'!BB14*EF!$H27)*kgtoGg=0,"NO",('Activity data'!BB14*EF!$H27)*kgtoGg)</f>
        <v>2.8541163097285861E-2</v>
      </c>
      <c r="AJ1402" s="28">
        <f>IF(('Activity data'!BC14*EF!$H27)*kgtoGg=0,"NO",('Activity data'!BC14*EF!$H27)*kgtoGg)</f>
        <v>2.8582293300392164E-2</v>
      </c>
      <c r="AK1402" s="28">
        <f>IF(('Activity data'!BD14*EF!$H27)*kgtoGg=0,"NO",('Activity data'!BD14*EF!$H27)*kgtoGg)</f>
        <v>2.8626670529902105E-2</v>
      </c>
      <c r="AL1402" s="28">
        <f>IF(('Activity data'!BE14*EF!$H27)*kgtoGg=0,"NO",('Activity data'!BE14*EF!$H27)*kgtoGg)</f>
        <v>2.8674168000666096E-2</v>
      </c>
      <c r="AM1402" s="28">
        <f>IF(('Activity data'!BF14*EF!$H27)*kgtoGg=0,"NO",('Activity data'!BF14*EF!$H27)*kgtoGg)</f>
        <v>2.8724668567854592E-2</v>
      </c>
      <c r="AN1402" s="28">
        <f>IF(('Activity data'!BG14*EF!$H27)*kgtoGg=0,"NO",('Activity data'!BG14*EF!$H27)*kgtoGg)</f>
        <v>2.8746345856035454E-2</v>
      </c>
      <c r="AO1402" s="28">
        <f>IF(('Activity data'!BH14*EF!$H27)*kgtoGg=0,"NO",('Activity data'!BH14*EF!$H27)*kgtoGg)</f>
        <v>2.8770728534079647E-2</v>
      </c>
      <c r="AP1402" s="28">
        <f>IF(('Activity data'!BI14*EF!$H27)*kgtoGg=0,"NO",('Activity data'!BI14*EF!$H27)*kgtoGg)</f>
        <v>2.8797714608919899E-2</v>
      </c>
      <c r="AQ1402" s="28">
        <f>IF(('Activity data'!BJ14*EF!$H27)*kgtoGg=0,"NO",('Activity data'!BJ14*EF!$H27)*kgtoGg)</f>
        <v>2.8827209084453208E-2</v>
      </c>
      <c r="AR1402" s="28">
        <f>IF(('Activity data'!BK14*EF!$H27)*kgtoGg=0,"NO",('Activity data'!BK14*EF!$H27)*kgtoGg)</f>
        <v>2.8859123362090785E-2</v>
      </c>
      <c r="AS1402" s="28">
        <f>IF(('Activity data'!BL14*EF!$H27)*kgtoGg=0,"NO",('Activity data'!BL14*EF!$H27)*kgtoGg)</f>
        <v>2.8861613312163151E-2</v>
      </c>
      <c r="AT1402" s="28">
        <f>IF(('Activity data'!BM14*EF!$H27)*kgtoGg=0,"NO",('Activity data'!BM14*EF!$H27)*kgtoGg)</f>
        <v>2.8866317654901063E-2</v>
      </c>
      <c r="AU1402" s="28">
        <f>IF(('Activity data'!BN14*EF!$H27)*kgtoGg=0,"NO",('Activity data'!BN14*EF!$H27)*kgtoGg)</f>
        <v>2.887315686467273E-2</v>
      </c>
      <c r="AV1402" s="28">
        <f>IF(('Activity data'!BO14*EF!$H27)*kgtoGg=0,"NO",('Activity data'!BO14*EF!$H27)*kgtoGg)</f>
        <v>2.888205628351705E-2</v>
      </c>
      <c r="AW1402" s="28">
        <f>IF(('Activity data'!BP14*EF!$H27)*kgtoGg=0,"NO",('Activity data'!BP14*EF!$H27)*kgtoGg)</f>
        <v>2.8892945744034091E-2</v>
      </c>
    </row>
    <row r="1403" spans="1:49" x14ac:dyDescent="0.25">
      <c r="A1403" s="102" t="s">
        <v>961</v>
      </c>
      <c r="B1403" s="102"/>
      <c r="C1403" s="102"/>
      <c r="D1403" t="str">
        <f t="shared" si="549"/>
        <v>3A Livestock</v>
      </c>
      <c r="E1403" t="str">
        <f t="shared" si="549"/>
        <v>3A2 Manure management (CH4)</v>
      </c>
      <c r="F1403" t="str">
        <f>EF!C28</f>
        <v>3A1f Horses</v>
      </c>
      <c r="G1403" t="str">
        <f>EF!D28</f>
        <v>Horses</v>
      </c>
      <c r="H1403" t="str">
        <f t="shared" si="550"/>
        <v>Manure management Emissions</v>
      </c>
      <c r="I1403" t="str">
        <f t="shared" si="550"/>
        <v>CH4</v>
      </c>
      <c r="J1403" t="str">
        <f t="shared" si="550"/>
        <v>Gg CH4</v>
      </c>
      <c r="K1403" s="28">
        <f>IF(('Activity data'!AD15*EF!$H28)*kgtoGg=0,"NO",('Activity data'!AD15*EF!$H28)*kgtoGg)</f>
        <v>4.1462896209668214E-3</v>
      </c>
      <c r="L1403" s="28">
        <f>IF(('Activity data'!AE15*EF!$H28)*kgtoGg=0,"NO",('Activity data'!AE15*EF!$H28)*kgtoGg)</f>
        <v>4.1705892650270686E-3</v>
      </c>
      <c r="M1403" s="28">
        <f>IF(('Activity data'!AF15*EF!$H28)*kgtoGg=0,"NO",('Activity data'!AF15*EF!$H28)*kgtoGg)</f>
        <v>4.1765760669998774E-3</v>
      </c>
      <c r="N1403" s="28">
        <f>IF(('Activity data'!AG15*EF!$H28)*kgtoGg=0,"NO",('Activity data'!AG15*EF!$H28)*kgtoGg)</f>
        <v>4.1582865548880337E-3</v>
      </c>
      <c r="O1403" s="28">
        <f>IF(('Activity data'!AH15*EF!$H28)*kgtoGg=0,"NO",('Activity data'!AH15*EF!$H28)*kgtoGg)</f>
        <v>4.1389364137095824E-3</v>
      </c>
      <c r="P1403" s="28">
        <f>IF(('Activity data'!AI15*EF!$H28)*kgtoGg=0,"NO",('Activity data'!AI15*EF!$H28)*kgtoGg)</f>
        <v>4.1297300373309533E-3</v>
      </c>
      <c r="Q1403" s="28">
        <f>IF(('Activity data'!AJ15*EF!$H28)*kgtoGg=0,"NO",('Activity data'!AJ15*EF!$H28)*kgtoGg)</f>
        <v>4.1235897943981579E-3</v>
      </c>
      <c r="R1403" s="28">
        <f>IF(('Activity data'!AK15*EF!$H28)*kgtoGg=0,"NO",('Activity data'!AK15*EF!$H28)*kgtoGg)</f>
        <v>4.0939723150578283E-3</v>
      </c>
      <c r="S1403" s="28">
        <f>IF(('Activity data'!AL15*EF!$H28)*kgtoGg=0,"NO",('Activity data'!AL15*EF!$H28)*kgtoGg)</f>
        <v>3.8546694485950316E-3</v>
      </c>
      <c r="T1403" s="28">
        <f>IF(('Activity data'!AM15*EF!$H28)*kgtoGg=0,"NO",('Activity data'!AM15*EF!$H28)*kgtoGg)</f>
        <v>3.8885582856899971E-3</v>
      </c>
      <c r="U1403" s="28">
        <f>IF(('Activity data'!AN15*EF!$H28)*kgtoGg=0,"NO",('Activity data'!AN15*EF!$H28)*kgtoGg)</f>
        <v>3.9163093014231119E-3</v>
      </c>
      <c r="V1403" s="28">
        <f>IF(('Activity data'!AO15*EF!$H28)*kgtoGg=0,"NO",('Activity data'!AO15*EF!$H28)*kgtoGg)</f>
        <v>3.943499319412006E-3</v>
      </c>
      <c r="W1403" s="28">
        <f>IF(('Activity data'!AP15*EF!$H28)*kgtoGg=0,"NO",('Activity data'!AP15*EF!$H28)*kgtoGg)</f>
        <v>3.9787498507285772E-3</v>
      </c>
      <c r="X1403" s="28">
        <f>IF(('Activity data'!AQ15*EF!$H28)*kgtoGg=0,"NO",('Activity data'!AQ15*EF!$H28)*kgtoGg)</f>
        <v>4.0133556413366692E-3</v>
      </c>
      <c r="Y1403" s="28">
        <f>IF(('Activity data'!AR15*EF!$H28)*kgtoGg=0,"NO",('Activity data'!AR15*EF!$H28)*kgtoGg)</f>
        <v>4.0529996928532061E-3</v>
      </c>
      <c r="Z1403" s="28">
        <f>IF(('Activity data'!AS15*EF!$H28)*kgtoGg=0,"NO",('Activity data'!AS15*EF!$H28)*kgtoGg)</f>
        <v>4.0900631434267433E-3</v>
      </c>
      <c r="AA1403" s="28">
        <f>IF(('Activity data'!AT15*EF!$H28)*kgtoGg=0,"NO",('Activity data'!AT15*EF!$H28)*kgtoGg)</f>
        <v>4.1299322607386601E-3</v>
      </c>
      <c r="AB1403" s="28">
        <f>IF(('Activity data'!AU15*EF!$H28)*kgtoGg=0,"NO",('Activity data'!AU15*EF!$H28)*kgtoGg)</f>
        <v>4.1653099616518066E-3</v>
      </c>
      <c r="AC1403" s="28">
        <f>IF(('Activity data'!AV15*EF!$H28)*kgtoGg=0,"NO",('Activity data'!AV15*EF!$H28)*kgtoGg)</f>
        <v>4.2013445039546862E-3</v>
      </c>
      <c r="AD1403" s="28">
        <f>IF(('Activity data'!AW15*EF!$H28)*kgtoGg=0,"NO",('Activity data'!AW15*EF!$H28)*kgtoGg)</f>
        <v>4.251252835120037E-3</v>
      </c>
      <c r="AE1403" s="28">
        <f>IF(('Activity data'!AX15*EF!$H28)*kgtoGg=0,"NO",('Activity data'!AX15*EF!$H28)*kgtoGg)</f>
        <v>4.3057143858228663E-3</v>
      </c>
      <c r="AF1403" s="28">
        <f>IF(('Activity data'!AY15*EF!$H28)*kgtoGg=0,"NO",('Activity data'!AY15*EF!$H28)*kgtoGg)</f>
        <v>4.3617167354082645E-3</v>
      </c>
      <c r="AG1403" s="28">
        <f>IF(('Activity data'!AZ15*EF!$H28)*kgtoGg=0,"NO",('Activity data'!AZ15*EF!$H28)*kgtoGg)</f>
        <v>4.3537503349345688E-3</v>
      </c>
      <c r="AH1403" s="28">
        <f>IF(('Activity data'!BA15*EF!$H28)*kgtoGg=0,"NO",('Activity data'!BA15*EF!$H28)*kgtoGg)</f>
        <v>1.2882018816554785E-3</v>
      </c>
      <c r="AI1403" s="28">
        <f>IF(('Activity data'!BB15*EF!$H28)*kgtoGg=0,"NO",('Activity data'!BB15*EF!$H28)*kgtoGg)</f>
        <v>1.2882018816554785E-3</v>
      </c>
      <c r="AJ1403" s="28">
        <f>IF(('Activity data'!BC15*EF!$H28)*kgtoGg=0,"NO",('Activity data'!BC15*EF!$H28)*kgtoGg)</f>
        <v>1.2882018816554785E-3</v>
      </c>
      <c r="AK1403" s="28">
        <f>IF(('Activity data'!BD15*EF!$H28)*kgtoGg=0,"NO",('Activity data'!BD15*EF!$H28)*kgtoGg)</f>
        <v>1.2882018816554785E-3</v>
      </c>
      <c r="AL1403" s="28">
        <f>IF(('Activity data'!BE15*EF!$H28)*kgtoGg=0,"NO",('Activity data'!BE15*EF!$H28)*kgtoGg)</f>
        <v>1.2882018816554785E-3</v>
      </c>
      <c r="AM1403" s="28">
        <f>IF(('Activity data'!BF15*EF!$H28)*kgtoGg=0,"NO",('Activity data'!BF15*EF!$H28)*kgtoGg)</f>
        <v>1.2882018816554785E-3</v>
      </c>
      <c r="AN1403" s="28">
        <f>IF(('Activity data'!BG15*EF!$H28)*kgtoGg=0,"NO",('Activity data'!BG15*EF!$H28)*kgtoGg)</f>
        <v>1.2882018816554785E-3</v>
      </c>
      <c r="AO1403" s="28">
        <f>IF(('Activity data'!BH15*EF!$H28)*kgtoGg=0,"NO",('Activity data'!BH15*EF!$H28)*kgtoGg)</f>
        <v>1.2882018816554785E-3</v>
      </c>
      <c r="AP1403" s="28">
        <f>IF(('Activity data'!BI15*EF!$H28)*kgtoGg=0,"NO",('Activity data'!BI15*EF!$H28)*kgtoGg)</f>
        <v>1.2882018816554785E-3</v>
      </c>
      <c r="AQ1403" s="28">
        <f>IF(('Activity data'!BJ15*EF!$H28)*kgtoGg=0,"NO",('Activity data'!BJ15*EF!$H28)*kgtoGg)</f>
        <v>1.2882018816554785E-3</v>
      </c>
      <c r="AR1403" s="28">
        <f>IF(('Activity data'!BK15*EF!$H28)*kgtoGg=0,"NO",('Activity data'!BK15*EF!$H28)*kgtoGg)</f>
        <v>1.2882018816554785E-3</v>
      </c>
      <c r="AS1403" s="28">
        <f>IF(('Activity data'!BL15*EF!$H28)*kgtoGg=0,"NO",('Activity data'!BL15*EF!$H28)*kgtoGg)</f>
        <v>1.2882018816554785E-3</v>
      </c>
      <c r="AT1403" s="28">
        <f>IF(('Activity data'!BM15*EF!$H28)*kgtoGg=0,"NO",('Activity data'!BM15*EF!$H28)*kgtoGg)</f>
        <v>1.2882018816554785E-3</v>
      </c>
      <c r="AU1403" s="28">
        <f>IF(('Activity data'!BN15*EF!$H28)*kgtoGg=0,"NO",('Activity data'!BN15*EF!$H28)*kgtoGg)</f>
        <v>1.2882018816554785E-3</v>
      </c>
      <c r="AV1403" s="28">
        <f>IF(('Activity data'!BO15*EF!$H28)*kgtoGg=0,"NO",('Activity data'!BO15*EF!$H28)*kgtoGg)</f>
        <v>1.2882018816554785E-3</v>
      </c>
      <c r="AW1403" s="28">
        <f>IF(('Activity data'!BP15*EF!$H28)*kgtoGg=0,"NO",('Activity data'!BP15*EF!$H28)*kgtoGg)</f>
        <v>1.2882018816554785E-3</v>
      </c>
    </row>
    <row r="1404" spans="1:49" x14ac:dyDescent="0.25">
      <c r="A1404" s="102" t="s">
        <v>961</v>
      </c>
      <c r="B1404" s="102"/>
      <c r="C1404" s="102"/>
      <c r="D1404" t="str">
        <f t="shared" si="549"/>
        <v>3A Livestock</v>
      </c>
      <c r="E1404" t="str">
        <f t="shared" si="549"/>
        <v>3A2 Manure management (CH4)</v>
      </c>
      <c r="F1404" t="str">
        <f>EF!C29</f>
        <v>3A1g Mules &amp; asses</v>
      </c>
      <c r="G1404" t="str">
        <f>EF!D29</f>
        <v>Mules &amp; Asses</v>
      </c>
      <c r="H1404" t="str">
        <f t="shared" si="550"/>
        <v>Manure management Emissions</v>
      </c>
      <c r="I1404" t="str">
        <f t="shared" si="550"/>
        <v>CH4</v>
      </c>
      <c r="J1404" t="str">
        <f t="shared" si="550"/>
        <v>Gg CH4</v>
      </c>
      <c r="K1404" s="28">
        <f>IF(('Activity data'!AD16*EF!$H29)*kgtoGg=0,"NO",('Activity data'!AD16*EF!$H29)*kgtoGg)</f>
        <v>7.515E-4</v>
      </c>
      <c r="L1404" s="28">
        <f>IF(('Activity data'!AE16*EF!$H29)*kgtoGg=0,"NO",('Activity data'!AE16*EF!$H29)*kgtoGg)</f>
        <v>7.515E-4</v>
      </c>
      <c r="M1404" s="28">
        <f>IF(('Activity data'!AF16*EF!$H29)*kgtoGg=0,"NO",('Activity data'!AF16*EF!$H29)*kgtoGg)</f>
        <v>7.515E-4</v>
      </c>
      <c r="N1404" s="28">
        <f>IF(('Activity data'!AG16*EF!$H29)*kgtoGg=0,"NO",('Activity data'!AG16*EF!$H29)*kgtoGg)</f>
        <v>7.515E-4</v>
      </c>
      <c r="O1404" s="28">
        <f>IF(('Activity data'!AH16*EF!$H29)*kgtoGg=0,"NO",('Activity data'!AH16*EF!$H29)*kgtoGg)</f>
        <v>7.515E-4</v>
      </c>
      <c r="P1404" s="28">
        <f>IF(('Activity data'!AI16*EF!$H29)*kgtoGg=0,"NO",('Activity data'!AI16*EF!$H29)*kgtoGg)</f>
        <v>7.515E-4</v>
      </c>
      <c r="Q1404" s="28">
        <f>IF(('Activity data'!AJ16*EF!$H29)*kgtoGg=0,"NO",('Activity data'!AJ16*EF!$H29)*kgtoGg)</f>
        <v>7.515E-4</v>
      </c>
      <c r="R1404" s="28">
        <f>IF(('Activity data'!AK16*EF!$H29)*kgtoGg=0,"NO",('Activity data'!AK16*EF!$H29)*kgtoGg)</f>
        <v>7.515E-4</v>
      </c>
      <c r="S1404" s="28">
        <f>IF(('Activity data'!AL16*EF!$H29)*kgtoGg=0,"NO",('Activity data'!AL16*EF!$H29)*kgtoGg)</f>
        <v>7.515E-4</v>
      </c>
      <c r="T1404" s="28">
        <f>IF(('Activity data'!AM16*EF!$H29)*kgtoGg=0,"NO",('Activity data'!AM16*EF!$H29)*kgtoGg)</f>
        <v>7.515E-4</v>
      </c>
      <c r="U1404" s="28">
        <f>IF(('Activity data'!AN16*EF!$H29)*kgtoGg=0,"NO",('Activity data'!AN16*EF!$H29)*kgtoGg)</f>
        <v>7.515E-4</v>
      </c>
      <c r="V1404" s="28">
        <f>IF(('Activity data'!AO16*EF!$H29)*kgtoGg=0,"NO",('Activity data'!AO16*EF!$H29)*kgtoGg)</f>
        <v>7.515E-4</v>
      </c>
      <c r="W1404" s="28">
        <f>IF(('Activity data'!AP16*EF!$H29)*kgtoGg=0,"NO",('Activity data'!AP16*EF!$H29)*kgtoGg)</f>
        <v>7.515E-4</v>
      </c>
      <c r="X1404" s="28">
        <f>IF(('Activity data'!AQ16*EF!$H29)*kgtoGg=0,"NO",('Activity data'!AQ16*EF!$H29)*kgtoGg)</f>
        <v>7.515E-4</v>
      </c>
      <c r="Y1404" s="28">
        <f>IF(('Activity data'!AR16*EF!$H29)*kgtoGg=0,"NO",('Activity data'!AR16*EF!$H29)*kgtoGg)</f>
        <v>7.515E-4</v>
      </c>
      <c r="Z1404" s="28">
        <f>IF(('Activity data'!AS16*EF!$H29)*kgtoGg=0,"NO",('Activity data'!AS16*EF!$H29)*kgtoGg)</f>
        <v>7.515E-4</v>
      </c>
      <c r="AA1404" s="28">
        <f>IF(('Activity data'!AT16*EF!$H29)*kgtoGg=0,"NO",('Activity data'!AT16*EF!$H29)*kgtoGg)</f>
        <v>7.515E-4</v>
      </c>
      <c r="AB1404" s="28">
        <f>IF(('Activity data'!AU16*EF!$H29)*kgtoGg=0,"NO",('Activity data'!AU16*EF!$H29)*kgtoGg)</f>
        <v>7.515E-4</v>
      </c>
      <c r="AC1404" s="28">
        <f>IF(('Activity data'!AV16*EF!$H29)*kgtoGg=0,"NO",('Activity data'!AV16*EF!$H29)*kgtoGg)</f>
        <v>7.515E-4</v>
      </c>
      <c r="AD1404" s="28">
        <f>IF(('Activity data'!AW16*EF!$H29)*kgtoGg=0,"NO",('Activity data'!AW16*EF!$H29)*kgtoGg)</f>
        <v>7.515E-4</v>
      </c>
      <c r="AE1404" s="28">
        <f>IF(('Activity data'!AX16*EF!$H29)*kgtoGg=0,"NO",('Activity data'!AX16*EF!$H29)*kgtoGg)</f>
        <v>7.515E-4</v>
      </c>
      <c r="AF1404" s="28">
        <f>IF(('Activity data'!AY16*EF!$H29)*kgtoGg=0,"NO",('Activity data'!AY16*EF!$H29)*kgtoGg)</f>
        <v>7.515E-4</v>
      </c>
      <c r="AG1404" s="28">
        <f>IF(('Activity data'!AZ16*EF!$H29)*kgtoGg=0,"NO",('Activity data'!AZ16*EF!$H29)*kgtoGg)</f>
        <v>7.515E-4</v>
      </c>
      <c r="AH1404" s="28">
        <f>IF(('Activity data'!BA16*EF!$H29)*kgtoGg=0,"NO",('Activity data'!BA16*EF!$H29)*kgtoGg)</f>
        <v>7.515E-4</v>
      </c>
      <c r="AI1404" s="28">
        <f>IF(('Activity data'!BB16*EF!$H29)*kgtoGg=0,"NO",('Activity data'!BB16*EF!$H29)*kgtoGg)</f>
        <v>7.515E-4</v>
      </c>
      <c r="AJ1404" s="28">
        <f>IF(('Activity data'!BC16*EF!$H29)*kgtoGg=0,"NO",('Activity data'!BC16*EF!$H29)*kgtoGg)</f>
        <v>7.515E-4</v>
      </c>
      <c r="AK1404" s="28">
        <f>IF(('Activity data'!BD16*EF!$H29)*kgtoGg=0,"NO",('Activity data'!BD16*EF!$H29)*kgtoGg)</f>
        <v>7.515E-4</v>
      </c>
      <c r="AL1404" s="28">
        <f>IF(('Activity data'!BE16*EF!$H29)*kgtoGg=0,"NO",('Activity data'!BE16*EF!$H29)*kgtoGg)</f>
        <v>7.515E-4</v>
      </c>
      <c r="AM1404" s="28">
        <f>IF(('Activity data'!BF16*EF!$H29)*kgtoGg=0,"NO",('Activity data'!BF16*EF!$H29)*kgtoGg)</f>
        <v>7.515E-4</v>
      </c>
      <c r="AN1404" s="28">
        <f>IF(('Activity data'!BG16*EF!$H29)*kgtoGg=0,"NO",('Activity data'!BG16*EF!$H29)*kgtoGg)</f>
        <v>7.515E-4</v>
      </c>
      <c r="AO1404" s="28">
        <f>IF(('Activity data'!BH16*EF!$H29)*kgtoGg=0,"NO",('Activity data'!BH16*EF!$H29)*kgtoGg)</f>
        <v>7.515E-4</v>
      </c>
      <c r="AP1404" s="28">
        <f>IF(('Activity data'!BI16*EF!$H29)*kgtoGg=0,"NO",('Activity data'!BI16*EF!$H29)*kgtoGg)</f>
        <v>7.515E-4</v>
      </c>
      <c r="AQ1404" s="28">
        <f>IF(('Activity data'!BJ16*EF!$H29)*kgtoGg=0,"NO",('Activity data'!BJ16*EF!$H29)*kgtoGg)</f>
        <v>7.515E-4</v>
      </c>
      <c r="AR1404" s="28">
        <f>IF(('Activity data'!BK16*EF!$H29)*kgtoGg=0,"NO",('Activity data'!BK16*EF!$H29)*kgtoGg)</f>
        <v>7.515E-4</v>
      </c>
      <c r="AS1404" s="28">
        <f>IF(('Activity data'!BL16*EF!$H29)*kgtoGg=0,"NO",('Activity data'!BL16*EF!$H29)*kgtoGg)</f>
        <v>7.515E-4</v>
      </c>
      <c r="AT1404" s="28">
        <f>IF(('Activity data'!BM16*EF!$H29)*kgtoGg=0,"NO",('Activity data'!BM16*EF!$H29)*kgtoGg)</f>
        <v>7.515E-4</v>
      </c>
      <c r="AU1404" s="28">
        <f>IF(('Activity data'!BN16*EF!$H29)*kgtoGg=0,"NO",('Activity data'!BN16*EF!$H29)*kgtoGg)</f>
        <v>7.515E-4</v>
      </c>
      <c r="AV1404" s="28">
        <f>IF(('Activity data'!BO16*EF!$H29)*kgtoGg=0,"NO",('Activity data'!BO16*EF!$H29)*kgtoGg)</f>
        <v>7.515E-4</v>
      </c>
      <c r="AW1404" s="28">
        <f>IF(('Activity data'!BP16*EF!$H29)*kgtoGg=0,"NO",('Activity data'!BP16*EF!$H29)*kgtoGg)</f>
        <v>7.515E-4</v>
      </c>
    </row>
    <row r="1405" spans="1:49" x14ac:dyDescent="0.25">
      <c r="A1405" s="102" t="s">
        <v>961</v>
      </c>
      <c r="B1405" s="102"/>
      <c r="C1405" s="102"/>
      <c r="D1405" t="str">
        <f t="shared" si="549"/>
        <v>3A Livestock</v>
      </c>
      <c r="E1405" t="str">
        <f t="shared" si="549"/>
        <v>3A2 Manure management (CH4)</v>
      </c>
      <c r="F1405" t="str">
        <f>EF!C30</f>
        <v>3A1h Swine</v>
      </c>
      <c r="G1405" t="str">
        <f>EF!D30</f>
        <v>Commercial</v>
      </c>
      <c r="H1405" t="str">
        <f t="shared" si="550"/>
        <v>Manure management Emissions</v>
      </c>
      <c r="I1405" t="str">
        <f t="shared" si="550"/>
        <v>CH4</v>
      </c>
      <c r="J1405" t="str">
        <f t="shared" si="550"/>
        <v>Gg CH4</v>
      </c>
      <c r="K1405" s="28">
        <f>IF(('Activity data'!AD17*EF!$H30)*kgtoGg=0,"NO",('Activity data'!AD17*EF!$H30)*kgtoGg)</f>
        <v>23.457025843160746</v>
      </c>
      <c r="L1405" s="28">
        <f>IF(('Activity data'!AE17*EF!$H30)*kgtoGg=0,"NO",('Activity data'!AE17*EF!$H30)*kgtoGg)</f>
        <v>23.382986937378849</v>
      </c>
      <c r="M1405" s="28">
        <f>IF(('Activity data'!AF17*EF!$H30)*kgtoGg=0,"NO",('Activity data'!AF17*EF!$H30)*kgtoGg)</f>
        <v>23.13814083382033</v>
      </c>
      <c r="N1405" s="28">
        <f>IF(('Activity data'!AG17*EF!$H30)*kgtoGg=0,"NO",('Activity data'!AG17*EF!$H30)*kgtoGg)</f>
        <v>22.662740453710065</v>
      </c>
      <c r="O1405" s="28">
        <f>IF(('Activity data'!AH17*EF!$H30)*kgtoGg=0,"NO",('Activity data'!AH17*EF!$H30)*kgtoGg)</f>
        <v>22.20814052076085</v>
      </c>
      <c r="P1405" s="28">
        <f>IF(('Activity data'!AI17*EF!$H30)*kgtoGg=0,"NO",('Activity data'!AI17*EF!$H30)*kgtoGg)</f>
        <v>21.88923282801473</v>
      </c>
      <c r="Q1405" s="28">
        <f>IF(('Activity data'!AJ17*EF!$H30)*kgtoGg=0,"NO",('Activity data'!AJ17*EF!$H30)*kgtoGg)</f>
        <v>21.619144612435328</v>
      </c>
      <c r="R1405" s="28">
        <f>IF(('Activity data'!AK17*EF!$H30)*kgtoGg=0,"NO",('Activity data'!AK17*EF!$H30)*kgtoGg)</f>
        <v>21.121805661826951</v>
      </c>
      <c r="S1405" s="28">
        <f>IF(('Activity data'!AL17*EF!$H30)*kgtoGg=0,"NO",('Activity data'!AL17*EF!$H30)*kgtoGg)</f>
        <v>18.490541417957555</v>
      </c>
      <c r="T1405" s="28">
        <f>IF(('Activity data'!AM17*EF!$H30)*kgtoGg=0,"NO",('Activity data'!AM17*EF!$H30)*kgtoGg)</f>
        <v>18.608041284910804</v>
      </c>
      <c r="U1405" s="28">
        <f>IF(('Activity data'!AN17*EF!$H30)*kgtoGg=0,"NO",('Activity data'!AN17*EF!$H30)*kgtoGg)</f>
        <v>18.667021404289045</v>
      </c>
      <c r="V1405" s="28">
        <f>IF(('Activity data'!AO17*EF!$H30)*kgtoGg=0,"NO",('Activity data'!AO17*EF!$H30)*kgtoGg)</f>
        <v>18.724361625340102</v>
      </c>
      <c r="W1405" s="28">
        <f>IF(('Activity data'!AP17*EF!$H30)*kgtoGg=0,"NO",('Activity data'!AP17*EF!$H30)*kgtoGg)</f>
        <v>18.864420993049936</v>
      </c>
      <c r="X1405" s="28">
        <f>IF(('Activity data'!AQ17*EF!$H30)*kgtoGg=0,"NO",('Activity data'!AQ17*EF!$H30)*kgtoGg)</f>
        <v>18.999771799577022</v>
      </c>
      <c r="Y1405" s="28">
        <f>IF(('Activity data'!AR17*EF!$H30)*kgtoGg=0,"NO",('Activity data'!AR17*EF!$H30)*kgtoGg)</f>
        <v>19.155053851314552</v>
      </c>
      <c r="Z1405" s="28">
        <f>IF(('Activity data'!AS17*EF!$H30)*kgtoGg=0,"NO",('Activity data'!AS17*EF!$H30)*kgtoGg)</f>
        <v>19.285389594633891</v>
      </c>
      <c r="AA1405" s="28">
        <f>IF(('Activity data'!AT17*EF!$H30)*kgtoGg=0,"NO",('Activity data'!AT17*EF!$H30)*kgtoGg)</f>
        <v>19.442022836092864</v>
      </c>
      <c r="AB1405" s="28">
        <f>IF(('Activity data'!AU17*EF!$H30)*kgtoGg=0,"NO",('Activity data'!AU17*EF!$H30)*kgtoGg)</f>
        <v>19.556042835681847</v>
      </c>
      <c r="AC1405" s="28">
        <f>IF(('Activity data'!AV17*EF!$H30)*kgtoGg=0,"NO",('Activity data'!AV17*EF!$H30)*kgtoGg)</f>
        <v>19.675981891326479</v>
      </c>
      <c r="AD1405" s="28">
        <f>IF(('Activity data'!AW17*EF!$H30)*kgtoGg=0,"NO",('Activity data'!AW17*EF!$H30)*kgtoGg)</f>
        <v>19.897202740032366</v>
      </c>
      <c r="AE1405" s="28">
        <f>IF(('Activity data'!AX17*EF!$H30)*kgtoGg=0,"NO",('Activity data'!AX17*EF!$H30)*kgtoGg)</f>
        <v>20.155624807886987</v>
      </c>
      <c r="AF1405" s="28">
        <f>IF(('Activity data'!AY17*EF!$H30)*kgtoGg=0,"NO",('Activity data'!AY17*EF!$H30)*kgtoGg)</f>
        <v>20.423045067986479</v>
      </c>
      <c r="AG1405" s="28">
        <f>IF(('Activity data'!AZ17*EF!$H30)*kgtoGg=0,"NO",('Activity data'!AZ17*EF!$H30)*kgtoGg)</f>
        <v>20.122488548289958</v>
      </c>
      <c r="AH1405" s="28">
        <f>IF(('Activity data'!BA17*EF!$H30)*kgtoGg=0,"NO",('Activity data'!BA17*EF!$H30)*kgtoGg)</f>
        <v>-6.7894777188619928</v>
      </c>
      <c r="AI1405" s="28">
        <f>IF(('Activity data'!BB17*EF!$H30)*kgtoGg=0,"NO",('Activity data'!BB17*EF!$H30)*kgtoGg)</f>
        <v>-6.7152117988933071</v>
      </c>
      <c r="AJ1405" s="28">
        <f>IF(('Activity data'!BC17*EF!$H30)*kgtoGg=0,"NO",('Activity data'!BC17*EF!$H30)*kgtoGg)</f>
        <v>-6.6425365492848538</v>
      </c>
      <c r="AK1405" s="28">
        <f>IF(('Activity data'!BD17*EF!$H30)*kgtoGg=0,"NO",('Activity data'!BD17*EF!$H30)*kgtoGg)</f>
        <v>-6.5713479103809611</v>
      </c>
      <c r="AL1405" s="28">
        <f>IF(('Activity data'!BE17*EF!$H30)*kgtoGg=0,"NO",('Activity data'!BE17*EF!$H30)*kgtoGg)</f>
        <v>-6.5015494417857838</v>
      </c>
      <c r="AM1405" s="28">
        <f>IF(('Activity data'!BF17*EF!$H30)*kgtoGg=0,"NO",('Activity data'!BF17*EF!$H30)*kgtoGg)</f>
        <v>-6.4330515855366484</v>
      </c>
      <c r="AN1405" s="28">
        <f>IF(('Activity data'!BG17*EF!$H30)*kgtoGg=0,"NO",('Activity data'!BG17*EF!$H30)*kgtoGg)</f>
        <v>-6.3579230849055142</v>
      </c>
      <c r="AO1405" s="28">
        <f>IF(('Activity data'!BH17*EF!$H30)*kgtoGg=0,"NO",('Activity data'!BH17*EF!$H30)*kgtoGg)</f>
        <v>-6.2841192058185475</v>
      </c>
      <c r="AP1405" s="28">
        <f>IF(('Activity data'!BI17*EF!$H30)*kgtoGg=0,"NO",('Activity data'!BI17*EF!$H30)*kgtoGg)</f>
        <v>-6.2115625843192586</v>
      </c>
      <c r="AQ1405" s="28">
        <f>IF(('Activity data'!BJ17*EF!$H30)*kgtoGg=0,"NO",('Activity data'!BJ17*EF!$H30)*kgtoGg)</f>
        <v>-6.1401809096937727</v>
      </c>
      <c r="AR1405" s="28">
        <f>IF(('Activity data'!BK17*EF!$H30)*kgtoGg=0,"NO",('Activity data'!BK17*EF!$H30)*kgtoGg)</f>
        <v>-6.069906487857895</v>
      </c>
      <c r="AS1405" s="28">
        <f>IF(('Activity data'!BL17*EF!$H30)*kgtoGg=0,"NO",('Activity data'!BL17*EF!$H30)*kgtoGg)</f>
        <v>-5.9933231004711045</v>
      </c>
      <c r="AT1405" s="28">
        <f>IF(('Activity data'!BM17*EF!$H30)*kgtoGg=0,"NO",('Activity data'!BM17*EF!$H30)*kgtoGg)</f>
        <v>-5.917909419883066</v>
      </c>
      <c r="AU1405" s="28">
        <f>IF(('Activity data'!BN17*EF!$H30)*kgtoGg=0,"NO",('Activity data'!BN17*EF!$H30)*kgtoGg)</f>
        <v>-5.8436052370026852</v>
      </c>
      <c r="AV1405" s="28">
        <f>IF(('Activity data'!BO17*EF!$H30)*kgtoGg=0,"NO",('Activity data'!BO17*EF!$H30)*kgtoGg)</f>
        <v>-5.7703539001026636</v>
      </c>
      <c r="AW1405" s="28">
        <f>IF(('Activity data'!BP17*EF!$H30)*kgtoGg=0,"NO",('Activity data'!BP17*EF!$H30)*kgtoGg)</f>
        <v>-5.6981020374621041</v>
      </c>
    </row>
    <row r="1406" spans="1:49" x14ac:dyDescent="0.25">
      <c r="A1406" s="102" t="s">
        <v>961</v>
      </c>
      <c r="B1406" s="102"/>
      <c r="C1406" s="102"/>
      <c r="D1406" t="str">
        <f t="shared" si="549"/>
        <v>3A Livestock</v>
      </c>
      <c r="E1406" t="str">
        <f t="shared" si="549"/>
        <v>3A2 Manure management (CH4)</v>
      </c>
      <c r="F1406" t="str">
        <f>EF!C31</f>
        <v>3A1h Swine</v>
      </c>
      <c r="G1406" t="str">
        <f>EF!D31</f>
        <v>Subsistence</v>
      </c>
      <c r="H1406" t="str">
        <f t="shared" si="550"/>
        <v>Manure management Emissions</v>
      </c>
      <c r="I1406" t="str">
        <f t="shared" si="550"/>
        <v>CH4</v>
      </c>
      <c r="J1406" t="str">
        <f t="shared" si="550"/>
        <v>Gg CH4</v>
      </c>
      <c r="K1406" s="28">
        <f>IF(('Activity data'!AD18*EF!$H31)*kgtoGg=0,"NO",('Activity data'!AD18*EF!$H31)*kgtoGg)</f>
        <v>7.8527817196558602E-2</v>
      </c>
      <c r="L1406" s="28">
        <f>IF(('Activity data'!AE18*EF!$H31)*kgtoGg=0,"NO",('Activity data'!AE18*EF!$H31)*kgtoGg)</f>
        <v>7.8279954841904253E-2</v>
      </c>
      <c r="M1406" s="28">
        <f>IF(('Activity data'!AF18*EF!$H31)*kgtoGg=0,"NO",('Activity data'!AF18*EF!$H31)*kgtoGg)</f>
        <v>7.7460275902635017E-2</v>
      </c>
      <c r="N1406" s="28">
        <f>IF(('Activity data'!AG18*EF!$H31)*kgtoGg=0,"NO",('Activity data'!AG18*EF!$H31)*kgtoGg)</f>
        <v>7.5868763219224714E-2</v>
      </c>
      <c r="O1406" s="28">
        <f>IF(('Activity data'!AH18*EF!$H31)*kgtoGg=0,"NO",('Activity data'!AH18*EF!$H31)*kgtoGg)</f>
        <v>7.4346884841680436E-2</v>
      </c>
      <c r="P1406" s="28">
        <f>IF(('Activity data'!AI18*EF!$H31)*kgtoGg=0,"NO",('Activity data'!AI18*EF!$H31)*kgtoGg)</f>
        <v>7.3279267609811918E-2</v>
      </c>
      <c r="Q1406" s="28">
        <f>IF(('Activity data'!AJ18*EF!$H31)*kgtoGg=0,"NO",('Activity data'!AJ18*EF!$H31)*kgtoGg)</f>
        <v>7.2375084864660211E-2</v>
      </c>
      <c r="R1406" s="28">
        <f>IF(('Activity data'!AK18*EF!$H31)*kgtoGg=0,"NO",('Activity data'!AK18*EF!$H31)*kgtoGg)</f>
        <v>7.0710127744382734E-2</v>
      </c>
      <c r="S1406" s="28">
        <f>IF(('Activity data'!AL18*EF!$H31)*kgtoGg=0,"NO",('Activity data'!AL18*EF!$H31)*kgtoGg)</f>
        <v>6.1901362348463523E-2</v>
      </c>
      <c r="T1406" s="28">
        <f>IF(('Activity data'!AM18*EF!$H31)*kgtoGg=0,"NO",('Activity data'!AM18*EF!$H31)*kgtoGg)</f>
        <v>6.2294720318669075E-2</v>
      </c>
      <c r="U1406" s="28">
        <f>IF(('Activity data'!AN18*EF!$H31)*kgtoGg=0,"NO",('Activity data'!AN18*EF!$H31)*kgtoGg)</f>
        <v>6.2492169904295722E-2</v>
      </c>
      <c r="V1406" s="28">
        <f>IF(('Activity data'!AO18*EF!$H31)*kgtoGg=0,"NO",('Activity data'!AO18*EF!$H31)*kgtoGg)</f>
        <v>6.2684129551133075E-2</v>
      </c>
      <c r="W1406" s="28">
        <f>IF(('Activity data'!AP18*EF!$H31)*kgtoGg=0,"NO",('Activity data'!AP18*EF!$H31)*kgtoGg)</f>
        <v>6.3153010665803033E-2</v>
      </c>
      <c r="X1406" s="28">
        <f>IF(('Activity data'!AQ18*EF!$H31)*kgtoGg=0,"NO",('Activity data'!AQ18*EF!$H31)*kgtoGg)</f>
        <v>6.360612878331004E-2</v>
      </c>
      <c r="Y1406" s="28">
        <f>IF(('Activity data'!AR18*EF!$H31)*kgtoGg=0,"NO",('Activity data'!AR18*EF!$H31)*kgtoGg)</f>
        <v>6.4125971352196762E-2</v>
      </c>
      <c r="Z1406" s="28">
        <f>IF(('Activity data'!AS18*EF!$H31)*kgtoGg=0,"NO",('Activity data'!AS18*EF!$H31)*kgtoGg)</f>
        <v>6.4562300386149837E-2</v>
      </c>
      <c r="AA1406" s="28">
        <f>IF(('Activity data'!AT18*EF!$H31)*kgtoGg=0,"NO",('Activity data'!AT18*EF!$H31)*kgtoGg)</f>
        <v>6.5086666375019683E-2</v>
      </c>
      <c r="AB1406" s="28">
        <f>IF(('Activity data'!AU18*EF!$H31)*kgtoGg=0,"NO",('Activity data'!AU18*EF!$H31)*kgtoGg)</f>
        <v>6.5468374684689551E-2</v>
      </c>
      <c r="AC1406" s="28">
        <f>IF(('Activity data'!AV18*EF!$H31)*kgtoGg=0,"NO",('Activity data'!AV18*EF!$H31)*kgtoGg)</f>
        <v>6.5869898402971833E-2</v>
      </c>
      <c r="AD1406" s="28">
        <f>IF(('Activity data'!AW18*EF!$H31)*kgtoGg=0,"NO",('Activity data'!AW18*EF!$H31)*kgtoGg)</f>
        <v>6.6610486339541322E-2</v>
      </c>
      <c r="AE1406" s="28">
        <f>IF(('Activity data'!AX18*EF!$H31)*kgtoGg=0,"NO",('Activity data'!AX18*EF!$H31)*kgtoGg)</f>
        <v>6.7475613958009675E-2</v>
      </c>
      <c r="AF1406" s="28">
        <f>IF(('Activity data'!AY18*EF!$H31)*kgtoGg=0,"NO",('Activity data'!AY18*EF!$H31)*kgtoGg)</f>
        <v>6.8370865105369938E-2</v>
      </c>
      <c r="AG1406" s="28">
        <f>IF(('Activity data'!AZ18*EF!$H31)*kgtoGg=0,"NO",('Activity data'!AZ18*EF!$H31)*kgtoGg)</f>
        <v>6.7364682668015305E-2</v>
      </c>
      <c r="AH1406" s="28">
        <f>IF(('Activity data'!BA18*EF!$H31)*kgtoGg=0,"NO",('Activity data'!BA18*EF!$H31)*kgtoGg)</f>
        <v>-2.2729346368621329E-2</v>
      </c>
      <c r="AI1406" s="28">
        <f>IF(('Activity data'!BB18*EF!$H31)*kgtoGg=0,"NO",('Activity data'!BB18*EF!$H31)*kgtoGg)</f>
        <v>-2.2480724031491765E-2</v>
      </c>
      <c r="AJ1406" s="28">
        <f>IF(('Activity data'!BC18*EF!$H31)*kgtoGg=0,"NO",('Activity data'!BC18*EF!$H31)*kgtoGg)</f>
        <v>-2.2237426831150792E-2</v>
      </c>
      <c r="AK1406" s="28">
        <f>IF(('Activity data'!BD18*EF!$H31)*kgtoGg=0,"NO",('Activity data'!BD18*EF!$H31)*kgtoGg)</f>
        <v>-2.1999106403842797E-2</v>
      </c>
      <c r="AL1406" s="28">
        <f>IF(('Activity data'!BE18*EF!$H31)*kgtoGg=0,"NO",('Activity data'!BE18*EF!$H31)*kgtoGg)</f>
        <v>-2.1765439893045996E-2</v>
      </c>
      <c r="AM1406" s="28">
        <f>IF(('Activity data'!BF18*EF!$H31)*kgtoGg=0,"NO",('Activity data'!BF18*EF!$H31)*kgtoGg)</f>
        <v>-2.1536127482774822E-2</v>
      </c>
      <c r="AN1406" s="28">
        <f>IF(('Activity data'!BG18*EF!$H31)*kgtoGg=0,"NO",('Activity data'!BG18*EF!$H31)*kgtoGg)</f>
        <v>-2.1284617457451926E-2</v>
      </c>
      <c r="AO1406" s="28">
        <f>IF(('Activity data'!BH18*EF!$H31)*kgtoGg=0,"NO",('Activity data'!BH18*EF!$H31)*kgtoGg)</f>
        <v>-2.1037541908996236E-2</v>
      </c>
      <c r="AP1406" s="28">
        <f>IF(('Activity data'!BI18*EF!$H31)*kgtoGg=0,"NO",('Activity data'!BI18*EF!$H31)*kgtoGg)</f>
        <v>-2.0794641843677117E-2</v>
      </c>
      <c r="AQ1406" s="28">
        <f>IF(('Activity data'!BJ18*EF!$H31)*kgtoGg=0,"NO",('Activity data'!BJ18*EF!$H31)*kgtoGg)</f>
        <v>-2.0555675184661872E-2</v>
      </c>
      <c r="AR1406" s="28">
        <f>IF(('Activity data'!BK18*EF!$H31)*kgtoGg=0,"NO",('Activity data'!BK18*EF!$H31)*kgtoGg)</f>
        <v>-2.0320415310353012E-2</v>
      </c>
      <c r="AS1406" s="28">
        <f>IF(('Activity data'!BL18*EF!$H31)*kgtoGg=0,"NO",('Activity data'!BL18*EF!$H31)*kgtoGg)</f>
        <v>-2.0064034715250558E-2</v>
      </c>
      <c r="AT1406" s="28">
        <f>IF(('Activity data'!BM18*EF!$H31)*kgtoGg=0,"NO",('Activity data'!BM18*EF!$H31)*kgtoGg)</f>
        <v>-1.9811569984089266E-2</v>
      </c>
      <c r="AU1406" s="28">
        <f>IF(('Activity data'!BN18*EF!$H31)*kgtoGg=0,"NO",('Activity data'!BN18*EF!$H31)*kgtoGg)</f>
        <v>-1.9562819553016541E-2</v>
      </c>
      <c r="AV1406" s="28">
        <f>IF(('Activity data'!BO18*EF!$H31)*kgtoGg=0,"NO",('Activity data'!BO18*EF!$H31)*kgtoGg)</f>
        <v>-1.9317593767277572E-2</v>
      </c>
      <c r="AW1406" s="28">
        <f>IF(('Activity data'!BP18*EF!$H31)*kgtoGg=0,"NO",('Activity data'!BP18*EF!$H31)*kgtoGg)</f>
        <v>-1.907571395269729E-2</v>
      </c>
    </row>
    <row r="1407" spans="1:49" x14ac:dyDescent="0.25">
      <c r="A1407" s="102" t="s">
        <v>961</v>
      </c>
      <c r="B1407" s="102"/>
      <c r="C1407" s="102"/>
      <c r="D1407" t="str">
        <f t="shared" si="549"/>
        <v>3A Livestock</v>
      </c>
      <c r="E1407" t="str">
        <f t="shared" si="549"/>
        <v>3A2 Manure management (CH4)</v>
      </c>
      <c r="F1407" t="str">
        <f>EF!C32</f>
        <v>3A2i Poultry</v>
      </c>
      <c r="G1407" t="str">
        <f>EF!D32</f>
        <v>Commercial layers</v>
      </c>
      <c r="H1407" t="str">
        <f t="shared" si="550"/>
        <v>Manure management Emissions</v>
      </c>
      <c r="I1407" t="str">
        <f t="shared" si="550"/>
        <v>CH4</v>
      </c>
      <c r="J1407" t="str">
        <f t="shared" si="550"/>
        <v>Gg CH4</v>
      </c>
      <c r="K1407" s="28">
        <f>IF(('Activity data'!AD19*EF!$H32)*kgtoGg=0,"NO",('Activity data'!AD19*EF!$H32)*kgtoGg)</f>
        <v>0.55890468998141496</v>
      </c>
      <c r="L1407" s="28">
        <f>IF(('Activity data'!AE19*EF!$H32)*kgtoGg=0,"NO",('Activity data'!AE19*EF!$H32)*kgtoGg)</f>
        <v>0.57100815822901829</v>
      </c>
      <c r="M1407" s="28">
        <f>IF(('Activity data'!AF19*EF!$H32)*kgtoGg=0,"NO",('Activity data'!AF19*EF!$H32)*kgtoGg)</f>
        <v>0.58076061949579127</v>
      </c>
      <c r="N1407" s="28">
        <f>IF(('Activity data'!AG19*EF!$H32)*kgtoGg=0,"NO",('Activity data'!AG19*EF!$H32)*kgtoGg)</f>
        <v>0.58713273634766394</v>
      </c>
      <c r="O1407" s="28">
        <f>IF(('Activity data'!AH19*EF!$H32)*kgtoGg=0,"NO",('Activity data'!AH19*EF!$H32)*kgtoGg)</f>
        <v>0.59359134329353236</v>
      </c>
      <c r="P1407" s="28">
        <f>IF(('Activity data'!AI19*EF!$H32)*kgtoGg=0,"NO",('Activity data'!AI19*EF!$H32)*kgtoGg)</f>
        <v>0.60191770622970409</v>
      </c>
      <c r="Q1407" s="28">
        <f>IF(('Activity data'!AJ19*EF!$H32)*kgtoGg=0,"NO",('Activity data'!AJ19*EF!$H32)*kgtoGg)</f>
        <v>0.61082194696949044</v>
      </c>
      <c r="R1407" s="28">
        <f>IF(('Activity data'!AK19*EF!$H32)*kgtoGg=0,"NO",('Activity data'!AK19*EF!$H32)*kgtoGg)</f>
        <v>0.61600023875173726</v>
      </c>
      <c r="S1407" s="28">
        <f>IF(('Activity data'!AL19*EF!$H32)*kgtoGg=0,"NO",('Activity data'!AL19*EF!$H32)*kgtoGg)</f>
        <v>0.58621039395021657</v>
      </c>
      <c r="T1407" s="28">
        <f>IF(('Activity data'!AM19*EF!$H32)*kgtoGg=0,"NO",('Activity data'!AM19*EF!$H32)*kgtoGg)</f>
        <v>0.59879553943192321</v>
      </c>
      <c r="U1407" s="28">
        <f>IF(('Activity data'!AN19*EF!$H32)*kgtoGg=0,"NO",('Activity data'!AN19*EF!$H32)*kgtoGg)</f>
        <v>0.61054377323307962</v>
      </c>
      <c r="V1407" s="28">
        <f>IF(('Activity data'!AO19*EF!$H32)*kgtoGg=0,"NO",('Activity data'!AO19*EF!$H32)*kgtoGg)</f>
        <v>0.62238475303160634</v>
      </c>
      <c r="W1407" s="28">
        <f>IF(('Activity data'!AP19*EF!$H32)*kgtoGg=0,"NO",('Activity data'!AP19*EF!$H32)*kgtoGg)</f>
        <v>0.63582344873120078</v>
      </c>
      <c r="X1407" s="28">
        <f>IF(('Activity data'!AQ19*EF!$H32)*kgtoGg=0,"NO",('Activity data'!AQ19*EF!$H32)*kgtoGg)</f>
        <v>0.6493737760577617</v>
      </c>
      <c r="Y1407" s="28">
        <f>IF(('Activity data'!AR19*EF!$H32)*kgtoGg=0,"NO",('Activity data'!AR19*EF!$H32)*kgtoGg)</f>
        <v>0.66294132390021665</v>
      </c>
      <c r="Z1407" s="28">
        <f>IF(('Activity data'!AS19*EF!$H32)*kgtoGg=0,"NO",('Activity data'!AS19*EF!$H32)*kgtoGg)</f>
        <v>0.67624718076087176</v>
      </c>
      <c r="AA1407" s="28">
        <f>IF(('Activity data'!AT19*EF!$H32)*kgtoGg=0,"NO",('Activity data'!AT19*EF!$H32)*kgtoGg)</f>
        <v>0.69026013489965976</v>
      </c>
      <c r="AB1407" s="28">
        <f>IF(('Activity data'!AU19*EF!$H32)*kgtoGg=0,"NO",('Activity data'!AU19*EF!$H32)*kgtoGg)</f>
        <v>0.70365733936336983</v>
      </c>
      <c r="AC1407" s="28">
        <f>IF(('Activity data'!AV19*EF!$H32)*kgtoGg=0,"NO",('Activity data'!AV19*EF!$H32)*kgtoGg)</f>
        <v>0.71737227237227463</v>
      </c>
      <c r="AD1407" s="28">
        <f>IF(('Activity data'!AW19*EF!$H32)*kgtoGg=0,"NO",('Activity data'!AW19*EF!$H32)*kgtoGg)</f>
        <v>0.7329223784090988</v>
      </c>
      <c r="AE1407" s="28">
        <f>IF(('Activity data'!AX19*EF!$H32)*kgtoGg=0,"NO",('Activity data'!AX19*EF!$H32)*kgtoGg)</f>
        <v>0.74954420563381685</v>
      </c>
      <c r="AF1407" s="28">
        <f>IF(('Activity data'!AY19*EF!$H32)*kgtoGg=0,"NO",('Activity data'!AY19*EF!$H32)*kgtoGg)</f>
        <v>0.76668896317960933</v>
      </c>
      <c r="AG1407" s="28">
        <f>IF(('Activity data'!AZ19*EF!$H32)*kgtoGg=0,"NO",('Activity data'!AZ19*EF!$H32)*kgtoGg)</f>
        <v>0.77179208889456419</v>
      </c>
      <c r="AH1407" s="28">
        <f>IF(('Activity data'!BA19*EF!$H32)*kgtoGg=0,"NO",('Activity data'!BA19*EF!$H32)*kgtoGg)</f>
        <v>0.1849915255736751</v>
      </c>
      <c r="AI1407" s="28">
        <f>IF(('Activity data'!BB19*EF!$H32)*kgtoGg=0,"NO",('Activity data'!BB19*EF!$H32)*kgtoGg)</f>
        <v>0.18641334189853098</v>
      </c>
      <c r="AJ1407" s="28">
        <f>IF(('Activity data'!BC19*EF!$H32)*kgtoGg=0,"NO",('Activity data'!BC19*EF!$H32)*kgtoGg)</f>
        <v>0.18784551012942485</v>
      </c>
      <c r="AK1407" s="28">
        <f>IF(('Activity data'!BD19*EF!$H32)*kgtoGg=0,"NO",('Activity data'!BD19*EF!$H32)*kgtoGg)</f>
        <v>0.18928810909326649</v>
      </c>
      <c r="AL1407" s="28">
        <f>IF(('Activity data'!BE19*EF!$H32)*kgtoGg=0,"NO",('Activity data'!BE19*EF!$H32)*kgtoGg)</f>
        <v>0.19074121797493229</v>
      </c>
      <c r="AM1407" s="28">
        <f>IF(('Activity data'!BF19*EF!$H32)*kgtoGg=0,"NO",('Activity data'!BF19*EF!$H32)*kgtoGg)</f>
        <v>0.19220491634055523</v>
      </c>
      <c r="AN1407" s="28">
        <f>IF(('Activity data'!BG19*EF!$H32)*kgtoGg=0,"NO",('Activity data'!BG19*EF!$H32)*kgtoGg)</f>
        <v>0.19345615565117347</v>
      </c>
      <c r="AO1407" s="28">
        <f>IF(('Activity data'!BH19*EF!$H32)*kgtoGg=0,"NO",('Activity data'!BH19*EF!$H32)*kgtoGg)</f>
        <v>0.19471511856878457</v>
      </c>
      <c r="AP1407" s="28">
        <f>IF(('Activity data'!BI19*EF!$H32)*kgtoGg=0,"NO",('Activity data'!BI19*EF!$H32)*kgtoGg)</f>
        <v>0.1959818552978623</v>
      </c>
      <c r="AQ1407" s="28">
        <f>IF(('Activity data'!BJ19*EF!$H32)*kgtoGg=0,"NO",('Activity data'!BJ19*EF!$H32)*kgtoGg)</f>
        <v>0.19725641621087697</v>
      </c>
      <c r="AR1407" s="28">
        <f>IF(('Activity data'!BK19*EF!$H32)*kgtoGg=0,"NO",('Activity data'!BK19*EF!$H32)*kgtoGg)</f>
        <v>0.19853885186147341</v>
      </c>
      <c r="AS1407" s="28">
        <f>IF(('Activity data'!BL19*EF!$H32)*kgtoGg=0,"NO",('Activity data'!BL19*EF!$H32)*kgtoGg)</f>
        <v>0.19959990963889776</v>
      </c>
      <c r="AT1407" s="28">
        <f>IF(('Activity data'!BM19*EF!$H32)*kgtoGg=0,"NO",('Activity data'!BM19*EF!$H32)*kgtoGg)</f>
        <v>0.20066634279480103</v>
      </c>
      <c r="AU1407" s="28">
        <f>IF(('Activity data'!BN19*EF!$H32)*kgtoGg=0,"NO",('Activity data'!BN19*EF!$H32)*kgtoGg)</f>
        <v>0.20173818048457057</v>
      </c>
      <c r="AV1407" s="28">
        <f>IF(('Activity data'!BO19*EF!$H32)*kgtoGg=0,"NO",('Activity data'!BO19*EF!$H32)*kgtoGg)</f>
        <v>0.20281545191264314</v>
      </c>
      <c r="AW1407" s="28">
        <f>IF(('Activity data'!BP19*EF!$H32)*kgtoGg=0,"NO",('Activity data'!BP19*EF!$H32)*kgtoGg)</f>
        <v>0.20389818634036988</v>
      </c>
    </row>
    <row r="1408" spans="1:49" x14ac:dyDescent="0.25">
      <c r="A1408" s="102" t="s">
        <v>961</v>
      </c>
      <c r="B1408" s="102"/>
      <c r="C1408" s="102"/>
      <c r="D1408" t="str">
        <f t="shared" si="549"/>
        <v>3A Livestock</v>
      </c>
      <c r="E1408" t="str">
        <f t="shared" si="549"/>
        <v>3A2 Manure management (CH4)</v>
      </c>
      <c r="F1408" t="str">
        <f>EF!C33</f>
        <v>3A2i Poultry</v>
      </c>
      <c r="G1408" t="str">
        <f>EF!D33</f>
        <v>Commercial broilers</v>
      </c>
      <c r="H1408" t="str">
        <f t="shared" si="550"/>
        <v>Manure management Emissions</v>
      </c>
      <c r="I1408" t="str">
        <f t="shared" si="550"/>
        <v>CH4</v>
      </c>
      <c r="J1408" t="str">
        <f t="shared" si="550"/>
        <v>Gg CH4</v>
      </c>
      <c r="K1408" s="28">
        <f>IF(('Activity data'!AD20*EF!$H33)*kgtoGg=0,"NO",('Activity data'!AD20*EF!$H33)*kgtoGg)</f>
        <v>2.2359130252274535</v>
      </c>
      <c r="L1408" s="28">
        <f>IF(('Activity data'!AE20*EF!$H33)*kgtoGg=0,"NO",('Activity data'!AE20*EF!$H33)*kgtoGg)</f>
        <v>2.2721966041793928</v>
      </c>
      <c r="M1408" s="28">
        <f>IF(('Activity data'!AF20*EF!$H33)*kgtoGg=0,"NO",('Activity data'!AF20*EF!$H33)*kgtoGg)</f>
        <v>2.2829699564071859</v>
      </c>
      <c r="N1408" s="28">
        <f>IF(('Activity data'!AG20*EF!$H33)*kgtoGg=0,"NO",('Activity data'!AG20*EF!$H33)*kgtoGg)</f>
        <v>2.2588206467778473</v>
      </c>
      <c r="O1408" s="28">
        <f>IF(('Activity data'!AH20*EF!$H33)*kgtoGg=0,"NO",('Activity data'!AH20*EF!$H33)*kgtoGg)</f>
        <v>2.2347231893932196</v>
      </c>
      <c r="P1408" s="28">
        <f>IF(('Activity data'!AI20*EF!$H33)*kgtoGg=0,"NO",('Activity data'!AI20*EF!$H33)*kgtoGg)</f>
        <v>2.2277310720056978</v>
      </c>
      <c r="Q1408" s="28">
        <f>IF(('Activity data'!AJ20*EF!$H33)*kgtoGg=0,"NO",('Activity data'!AJ20*EF!$H33)*kgtoGg)</f>
        <v>2.2262744989012253</v>
      </c>
      <c r="R1408" s="28">
        <f>IF(('Activity data'!AK20*EF!$H33)*kgtoGg=0,"NO",('Activity data'!AK20*EF!$H33)*kgtoGg)</f>
        <v>2.1891395906785935</v>
      </c>
      <c r="S1408" s="28">
        <f>IF(('Activity data'!AL20*EF!$H33)*kgtoGg=0,"NO",('Activity data'!AL20*EF!$H33)*kgtoGg)</f>
        <v>1.8240868851485099</v>
      </c>
      <c r="T1408" s="28">
        <f>IF(('Activity data'!AM20*EF!$H33)*kgtoGg=0,"NO",('Activity data'!AM20*EF!$H33)*kgtoGg)</f>
        <v>1.8778928986212129</v>
      </c>
      <c r="U1408" s="28">
        <f>IF(('Activity data'!AN20*EF!$H33)*kgtoGg=0,"NO",('Activity data'!AN20*EF!$H33)*kgtoGg)</f>
        <v>1.9228674992863757</v>
      </c>
      <c r="V1408" s="28">
        <f>IF(('Activity data'!AO20*EF!$H33)*kgtoGg=0,"NO",('Activity data'!AO20*EF!$H33)*kgtoGg)</f>
        <v>1.9677329744500112</v>
      </c>
      <c r="W1408" s="28">
        <f>IF(('Activity data'!AP20*EF!$H33)*kgtoGg=0,"NO",('Activity data'!AP20*EF!$H33)*kgtoGg)</f>
        <v>2.0261043748595982</v>
      </c>
      <c r="X1408" s="28">
        <f>IF(('Activity data'!AQ20*EF!$H33)*kgtoGg=0,"NO",('Activity data'!AQ20*EF!$H33)*kgtoGg)</f>
        <v>2.0843005626552618</v>
      </c>
      <c r="Y1408" s="28">
        <f>IF(('Activity data'!AR20*EF!$H33)*kgtoGg=0,"NO",('Activity data'!AR20*EF!$H33)*kgtoGg)</f>
        <v>2.1481960991761384</v>
      </c>
      <c r="Z1408" s="28">
        <f>IF(('Activity data'!AS20*EF!$H33)*kgtoGg=0,"NO",('Activity data'!AS20*EF!$H33)*kgtoGg)</f>
        <v>2.208679923214985</v>
      </c>
      <c r="AA1408" s="28">
        <f>IF(('Activity data'!AT20*EF!$H33)*kgtoGg=0,"NO",('Activity data'!AT20*EF!$H33)*kgtoGg)</f>
        <v>2.2743218882510807</v>
      </c>
      <c r="AB1408" s="28">
        <f>IF(('Activity data'!AU20*EF!$H33)*kgtoGg=0,"NO",('Activity data'!AU20*EF!$H33)*kgtoGg)</f>
        <v>2.3335097773270199</v>
      </c>
      <c r="AC1408" s="28">
        <f>IF(('Activity data'!AV20*EF!$H33)*kgtoGg=0,"NO",('Activity data'!AV20*EF!$H33)*kgtoGg)</f>
        <v>2.3944453885765151</v>
      </c>
      <c r="AD1408" s="28">
        <f>IF(('Activity data'!AW20*EF!$H33)*kgtoGg=0,"NO",('Activity data'!AW20*EF!$H33)*kgtoGg)</f>
        <v>2.4754243930729589</v>
      </c>
      <c r="AE1408" s="28">
        <f>IF(('Activity data'!AX20*EF!$H33)*kgtoGg=0,"NO",('Activity data'!AX20*EF!$H33)*kgtoGg)</f>
        <v>2.5643290582437364</v>
      </c>
      <c r="AF1408" s="28">
        <f>IF(('Activity data'!AY20*EF!$H33)*kgtoGg=0,"NO",('Activity data'!AY20*EF!$H33)*kgtoGg)</f>
        <v>2.656369337897865</v>
      </c>
      <c r="AG1408" s="28">
        <f>IF(('Activity data'!AZ20*EF!$H33)*kgtoGg=0,"NO",('Activity data'!AZ20*EF!$H33)*kgtoGg)</f>
        <v>2.6461200420455202</v>
      </c>
      <c r="AH1408" s="28">
        <f>IF(('Activity data'!BA20*EF!$H33)*kgtoGg=0,"NO",('Activity data'!BA20*EF!$H33)*kgtoGg)</f>
        <v>-2.2948520289362109</v>
      </c>
      <c r="AI1408" s="28">
        <f>IF(('Activity data'!BB20*EF!$H33)*kgtoGg=0,"NO",('Activity data'!BB20*EF!$H33)*kgtoGg)</f>
        <v>-2.2981400819551214</v>
      </c>
      <c r="AJ1408" s="28">
        <f>IF(('Activity data'!BC20*EF!$H33)*kgtoGg=0,"NO",('Activity data'!BC20*EF!$H33)*kgtoGg)</f>
        <v>-2.3017063755775586</v>
      </c>
      <c r="AK1408" s="28">
        <f>IF(('Activity data'!BD20*EF!$H33)*kgtoGg=0,"NO",('Activity data'!BD20*EF!$H33)*kgtoGg)</f>
        <v>-2.3055392982644372</v>
      </c>
      <c r="AL1408" s="28">
        <f>IF(('Activity data'!BE20*EF!$H33)*kgtoGg=0,"NO",('Activity data'!BE20*EF!$H33)*kgtoGg)</f>
        <v>-2.3096281403729781</v>
      </c>
      <c r="AM1408" s="28">
        <f>IF(('Activity data'!BF20*EF!$H33)*kgtoGg=0,"NO",('Activity data'!BF20*EF!$H33)*kgtoGg)</f>
        <v>-2.3139630075215134</v>
      </c>
      <c r="AN1408" s="28">
        <f>IF(('Activity data'!BG20*EF!$H33)*kgtoGg=0,"NO",('Activity data'!BG20*EF!$H33)*kgtoGg)</f>
        <v>-2.3157471615489813</v>
      </c>
      <c r="AO1408" s="28">
        <f>IF(('Activity data'!BH20*EF!$H33)*kgtoGg=0,"NO",('Activity data'!BH20*EF!$H33)*kgtoGg)</f>
        <v>-2.3177549214936723</v>
      </c>
      <c r="AP1408" s="28">
        <f>IF(('Activity data'!BI20*EF!$H33)*kgtoGg=0,"NO",('Activity data'!BI20*EF!$H33)*kgtoGg)</f>
        <v>-2.3199776048516689</v>
      </c>
      <c r="AQ1408" s="28">
        <f>IF(('Activity data'!BJ20*EF!$H33)*kgtoGg=0,"NO",('Activity data'!BJ20*EF!$H33)*kgtoGg)</f>
        <v>-2.3224071252966718</v>
      </c>
      <c r="AR1408" s="28">
        <f>IF(('Activity data'!BK20*EF!$H33)*kgtoGg=0,"NO",('Activity data'!BK20*EF!$H33)*kgtoGg)</f>
        <v>-2.3250359414523776</v>
      </c>
      <c r="AS1408" s="28">
        <f>IF(('Activity data'!BL20*EF!$H33)*kgtoGg=0,"NO",('Activity data'!BL20*EF!$H33)*kgtoGg)</f>
        <v>-2.3250730145110658</v>
      </c>
      <c r="AT1408" s="28">
        <f>IF(('Activity data'!BM20*EF!$H33)*kgtoGg=0,"NO",('Activity data'!BM20*EF!$H33)*kgtoGg)</f>
        <v>-2.3252946526138598</v>
      </c>
      <c r="AU1408" s="28">
        <f>IF(('Activity data'!BN20*EF!$H33)*kgtoGg=0,"NO",('Activity data'!BN20*EF!$H33)*kgtoGg)</f>
        <v>-2.3256940319059596</v>
      </c>
      <c r="AV1408" s="28">
        <f>IF(('Activity data'!BO20*EF!$H33)*kgtoGg=0,"NO",('Activity data'!BO20*EF!$H33)*kgtoGg)</f>
        <v>-2.3262647465769009</v>
      </c>
      <c r="AW1408" s="28">
        <f>IF(('Activity data'!BP20*EF!$H33)*kgtoGg=0,"NO",('Activity data'!BP20*EF!$H33)*kgtoGg)</f>
        <v>-2.3270007763918432</v>
      </c>
    </row>
    <row r="1409" spans="1:49" x14ac:dyDescent="0.25">
      <c r="A1409" s="102" t="s">
        <v>961</v>
      </c>
      <c r="B1409" s="102"/>
      <c r="C1409" s="102"/>
      <c r="D1409" t="str">
        <f t="shared" si="549"/>
        <v>3A Livestock</v>
      </c>
      <c r="E1409" t="str">
        <f t="shared" si="549"/>
        <v>3A2 Manure management (CH4)</v>
      </c>
      <c r="F1409" t="str">
        <f>EF!C34</f>
        <v>3A2i Poultry</v>
      </c>
      <c r="G1409" t="str">
        <f>EF!D34</f>
        <v>Subsistence layers</v>
      </c>
      <c r="H1409" t="str">
        <f t="shared" si="550"/>
        <v>Manure management Emissions</v>
      </c>
      <c r="I1409" t="str">
        <f t="shared" si="550"/>
        <v>CH4</v>
      </c>
      <c r="J1409" t="str">
        <f t="shared" si="550"/>
        <v>Gg CH4</v>
      </c>
      <c r="K1409" s="28">
        <f>IF(('Activity data'!AD21*EF!$H34)*kgtoGg=0,"NO",('Activity data'!AD21*EF!$H34)*kgtoGg)</f>
        <v>2.3287695415892307E-2</v>
      </c>
      <c r="L1409" s="28">
        <f>IF(('Activity data'!AE21*EF!$H34)*kgtoGg=0,"NO",('Activity data'!AE21*EF!$H34)*kgtoGg)</f>
        <v>2.3792006592875784E-2</v>
      </c>
      <c r="M1409" s="28">
        <f>IF(('Activity data'!AF21*EF!$H34)*kgtoGg=0,"NO",('Activity data'!AF21*EF!$H34)*kgtoGg)</f>
        <v>2.4198359145657992E-2</v>
      </c>
      <c r="N1409" s="28">
        <f>IF(('Activity data'!AG21*EF!$H34)*kgtoGg=0,"NO",('Activity data'!AG21*EF!$H34)*kgtoGg)</f>
        <v>2.4463864014486018E-2</v>
      </c>
      <c r="O1409" s="28">
        <f>IF(('Activity data'!AH21*EF!$H34)*kgtoGg=0,"NO",('Activity data'!AH21*EF!$H34)*kgtoGg)</f>
        <v>2.4732972637230538E-2</v>
      </c>
      <c r="P1409" s="28">
        <f>IF(('Activity data'!AI21*EF!$H34)*kgtoGg=0,"NO",('Activity data'!AI21*EF!$H34)*kgtoGg)</f>
        <v>2.5079904426237691E-2</v>
      </c>
      <c r="Q1409" s="28">
        <f>IF(('Activity data'!AJ21*EF!$H34)*kgtoGg=0,"NO",('Activity data'!AJ21*EF!$H34)*kgtoGg)</f>
        <v>2.5450914457062126E-2</v>
      </c>
      <c r="R1409" s="28">
        <f>IF(('Activity data'!AK21*EF!$H34)*kgtoGg=0,"NO",('Activity data'!AK21*EF!$H34)*kgtoGg)</f>
        <v>2.5666676614655742E-2</v>
      </c>
      <c r="S1409" s="28">
        <f>IF(('Activity data'!AL21*EF!$H34)*kgtoGg=0,"NO",('Activity data'!AL21*EF!$H34)*kgtoGg)</f>
        <v>2.4425433081259044E-2</v>
      </c>
      <c r="T1409" s="28">
        <f>IF(('Activity data'!AM21*EF!$H34)*kgtoGg=0,"NO",('Activity data'!AM21*EF!$H34)*kgtoGg)</f>
        <v>2.4949814142996823E-2</v>
      </c>
      <c r="U1409" s="28">
        <f>IF(('Activity data'!AN21*EF!$H34)*kgtoGg=0,"NO",('Activity data'!AN21*EF!$H34)*kgtoGg)</f>
        <v>2.5439323884711679E-2</v>
      </c>
      <c r="V1409" s="28">
        <f>IF(('Activity data'!AO21*EF!$H34)*kgtoGg=0,"NO",('Activity data'!AO21*EF!$H34)*kgtoGg)</f>
        <v>2.5932698042983617E-2</v>
      </c>
      <c r="W1409" s="28">
        <f>IF(('Activity data'!AP21*EF!$H34)*kgtoGg=0,"NO",('Activity data'!AP21*EF!$H34)*kgtoGg)</f>
        <v>2.6492643697133385E-2</v>
      </c>
      <c r="X1409" s="28">
        <f>IF(('Activity data'!AQ21*EF!$H34)*kgtoGg=0,"NO",('Activity data'!AQ21*EF!$H34)*kgtoGg)</f>
        <v>2.7057240669073435E-2</v>
      </c>
      <c r="Y1409" s="28">
        <f>IF(('Activity data'!AR21*EF!$H34)*kgtoGg=0,"NO",('Activity data'!AR21*EF!$H34)*kgtoGg)</f>
        <v>2.7622555162509051E-2</v>
      </c>
      <c r="Z1409" s="28">
        <f>IF(('Activity data'!AS21*EF!$H34)*kgtoGg=0,"NO",('Activity data'!AS21*EF!$H34)*kgtoGg)</f>
        <v>2.8176965865036346E-2</v>
      </c>
      <c r="AA1409" s="28">
        <f>IF(('Activity data'!AT21*EF!$H34)*kgtoGg=0,"NO",('Activity data'!AT21*EF!$H34)*kgtoGg)</f>
        <v>2.8760838954152518E-2</v>
      </c>
      <c r="AB1409" s="28">
        <f>IF(('Activity data'!AU21*EF!$H34)*kgtoGg=0,"NO",('Activity data'!AU21*EF!$H34)*kgtoGg)</f>
        <v>2.9319055806807104E-2</v>
      </c>
      <c r="AC1409" s="28">
        <f>IF(('Activity data'!AV21*EF!$H34)*kgtoGg=0,"NO",('Activity data'!AV21*EF!$H34)*kgtoGg)</f>
        <v>2.9890511348844809E-2</v>
      </c>
      <c r="AD1409" s="28">
        <f>IF(('Activity data'!AW21*EF!$H34)*kgtoGg=0,"NO",('Activity data'!AW21*EF!$H34)*kgtoGg)</f>
        <v>3.0538432433712476E-2</v>
      </c>
      <c r="AE1409" s="28">
        <f>IF(('Activity data'!AX21*EF!$H34)*kgtoGg=0,"NO",('Activity data'!AX21*EF!$H34)*kgtoGg)</f>
        <v>3.123100856807573E-2</v>
      </c>
      <c r="AF1409" s="28">
        <f>IF(('Activity data'!AY21*EF!$H34)*kgtoGg=0,"NO",('Activity data'!AY21*EF!$H34)*kgtoGg)</f>
        <v>3.1945373465817078E-2</v>
      </c>
      <c r="AG1409" s="28">
        <f>IF(('Activity data'!AZ21*EF!$H34)*kgtoGg=0,"NO",('Activity data'!AZ21*EF!$H34)*kgtoGg)</f>
        <v>3.2158003703940202E-2</v>
      </c>
      <c r="AH1409" s="28">
        <f>IF(('Activity data'!BA21*EF!$H34)*kgtoGg=0,"NO",('Activity data'!BA21*EF!$H34)*kgtoGg)</f>
        <v>7.7079802322364711E-3</v>
      </c>
      <c r="AI1409" s="28">
        <f>IF(('Activity data'!BB21*EF!$H34)*kgtoGg=0,"NO",('Activity data'!BB21*EF!$H34)*kgtoGg)</f>
        <v>7.7672225791054648E-3</v>
      </c>
      <c r="AJ1409" s="28">
        <f>IF(('Activity data'!BC21*EF!$H34)*kgtoGg=0,"NO",('Activity data'!BC21*EF!$H34)*kgtoGg)</f>
        <v>7.8268962553927103E-3</v>
      </c>
      <c r="AK1409" s="28">
        <f>IF(('Activity data'!BD21*EF!$H34)*kgtoGg=0,"NO",('Activity data'!BD21*EF!$H34)*kgtoGg)</f>
        <v>7.8870045455527778E-3</v>
      </c>
      <c r="AL1409" s="28">
        <f>IF(('Activity data'!BE21*EF!$H34)*kgtoGg=0,"NO",('Activity data'!BE21*EF!$H34)*kgtoGg)</f>
        <v>7.9475507489555203E-3</v>
      </c>
      <c r="AM1409" s="28">
        <f>IF(('Activity data'!BF21*EF!$H34)*kgtoGg=0,"NO",('Activity data'!BF21*EF!$H34)*kgtoGg)</f>
        <v>8.0085381808564764E-3</v>
      </c>
      <c r="AN1409" s="28">
        <f>IF(('Activity data'!BG21*EF!$H34)*kgtoGg=0,"NO",('Activity data'!BG21*EF!$H34)*kgtoGg)</f>
        <v>8.0606731521322347E-3</v>
      </c>
      <c r="AO1409" s="28">
        <f>IF(('Activity data'!BH21*EF!$H34)*kgtoGg=0,"NO",('Activity data'!BH21*EF!$H34)*kgtoGg)</f>
        <v>8.1131299403660317E-3</v>
      </c>
      <c r="AP1409" s="28">
        <f>IF(('Activity data'!BI21*EF!$H34)*kgtoGg=0,"NO",('Activity data'!BI21*EF!$H34)*kgtoGg)</f>
        <v>8.1659106374109367E-3</v>
      </c>
      <c r="AQ1409" s="28">
        <f>IF(('Activity data'!BJ21*EF!$H34)*kgtoGg=0,"NO",('Activity data'!BJ21*EF!$H34)*kgtoGg)</f>
        <v>8.2190173421198831E-3</v>
      </c>
      <c r="AR1409" s="28">
        <f>IF(('Activity data'!BK21*EF!$H34)*kgtoGg=0,"NO",('Activity data'!BK21*EF!$H34)*kgtoGg)</f>
        <v>8.2724521608947329E-3</v>
      </c>
      <c r="AS1409" s="28">
        <f>IF(('Activity data'!BL21*EF!$H34)*kgtoGg=0,"NO",('Activity data'!BL21*EF!$H34)*kgtoGg)</f>
        <v>8.3166629016207475E-3</v>
      </c>
      <c r="AT1409" s="28">
        <f>IF(('Activity data'!BM21*EF!$H34)*kgtoGg=0,"NO",('Activity data'!BM21*EF!$H34)*kgtoGg)</f>
        <v>8.3610976164500486E-3</v>
      </c>
      <c r="AU1409" s="28">
        <f>IF(('Activity data'!BN21*EF!$H34)*kgtoGg=0,"NO",('Activity data'!BN21*EF!$H34)*kgtoGg)</f>
        <v>8.4057575201904496E-3</v>
      </c>
      <c r="AV1409" s="28">
        <f>IF(('Activity data'!BO21*EF!$H34)*kgtoGg=0,"NO",('Activity data'!BO21*EF!$H34)*kgtoGg)</f>
        <v>8.4506438296934709E-3</v>
      </c>
      <c r="AW1409" s="28">
        <f>IF(('Activity data'!BP21*EF!$H34)*kgtoGg=0,"NO",('Activity data'!BP21*EF!$H34)*kgtoGg)</f>
        <v>8.495757764182087E-3</v>
      </c>
    </row>
    <row r="1410" spans="1:49" x14ac:dyDescent="0.25">
      <c r="A1410" s="102" t="s">
        <v>961</v>
      </c>
      <c r="B1410" s="102"/>
      <c r="C1410" s="102"/>
      <c r="D1410" t="str">
        <f t="shared" si="549"/>
        <v>3A Livestock</v>
      </c>
      <c r="E1410" t="str">
        <f t="shared" si="549"/>
        <v>3A2 Manure management (CH4)</v>
      </c>
      <c r="F1410" t="str">
        <f>EF!C35</f>
        <v>3A2i Poultry</v>
      </c>
      <c r="G1410" t="str">
        <f>EF!D35</f>
        <v>Subsistence broilers</v>
      </c>
      <c r="H1410" t="str">
        <f t="shared" si="550"/>
        <v>Manure management Emissions</v>
      </c>
      <c r="I1410" t="str">
        <f t="shared" si="550"/>
        <v>CH4</v>
      </c>
      <c r="J1410" t="str">
        <f t="shared" si="550"/>
        <v>Gg CH4</v>
      </c>
      <c r="K1410" s="28">
        <f>IF(('Activity data'!AD22*EF!$H35)*kgtoGg=0,"NO",('Activity data'!AD22*EF!$H35)*kgtoGg)</f>
        <v>9.3163042717810632E-2</v>
      </c>
      <c r="L1410" s="28">
        <f>IF(('Activity data'!AE22*EF!$H35)*kgtoGg=0,"NO",('Activity data'!AE22*EF!$H35)*kgtoGg)</f>
        <v>9.4674858507474813E-2</v>
      </c>
      <c r="M1410" s="28">
        <f>IF(('Activity data'!AF22*EF!$H35)*kgtoGg=0,"NO",('Activity data'!AF22*EF!$H35)*kgtoGg)</f>
        <v>9.5123748183632839E-2</v>
      </c>
      <c r="N1410" s="28">
        <f>IF(('Activity data'!AG22*EF!$H35)*kgtoGg=0,"NO",('Activity data'!AG22*EF!$H35)*kgtoGg)</f>
        <v>9.411752694907706E-2</v>
      </c>
      <c r="O1410" s="28">
        <f>IF(('Activity data'!AH22*EF!$H35)*kgtoGg=0,"NO",('Activity data'!AH22*EF!$H35)*kgtoGg)</f>
        <v>9.3113466224717556E-2</v>
      </c>
      <c r="P1410" s="28">
        <f>IF(('Activity data'!AI22*EF!$H35)*kgtoGg=0,"NO",('Activity data'!AI22*EF!$H35)*kgtoGg)</f>
        <v>9.2822128000237508E-2</v>
      </c>
      <c r="Q1410" s="28">
        <f>IF(('Activity data'!AJ22*EF!$H35)*kgtoGg=0,"NO",('Activity data'!AJ22*EF!$H35)*kgtoGg)</f>
        <v>9.2761437454217818E-2</v>
      </c>
      <c r="R1410" s="28">
        <f>IF(('Activity data'!AK22*EF!$H35)*kgtoGg=0,"NO",('Activity data'!AK22*EF!$H35)*kgtoGg)</f>
        <v>9.1214149611608147E-2</v>
      </c>
      <c r="S1410" s="28">
        <f>IF(('Activity data'!AL22*EF!$H35)*kgtoGg=0,"NO",('Activity data'!AL22*EF!$H35)*kgtoGg)</f>
        <v>7.6003620214521325E-2</v>
      </c>
      <c r="T1410" s="28">
        <f>IF(('Activity data'!AM22*EF!$H35)*kgtoGg=0,"NO",('Activity data'!AM22*EF!$H35)*kgtoGg)</f>
        <v>7.8245537442550611E-2</v>
      </c>
      <c r="U1410" s="28">
        <f>IF(('Activity data'!AN22*EF!$H35)*kgtoGg=0,"NO",('Activity data'!AN22*EF!$H35)*kgtoGg)</f>
        <v>8.0119479136932389E-2</v>
      </c>
      <c r="V1410" s="28">
        <f>IF(('Activity data'!AO22*EF!$H35)*kgtoGg=0,"NO",('Activity data'!AO22*EF!$H35)*kgtoGg)</f>
        <v>8.1988873935417206E-2</v>
      </c>
      <c r="W1410" s="28">
        <f>IF(('Activity data'!AP22*EF!$H35)*kgtoGg=0,"NO",('Activity data'!AP22*EF!$H35)*kgtoGg)</f>
        <v>8.4421015619150011E-2</v>
      </c>
      <c r="X1410" s="28">
        <f>IF(('Activity data'!AQ22*EF!$H35)*kgtoGg=0,"NO",('Activity data'!AQ22*EF!$H35)*kgtoGg)</f>
        <v>8.6845856777302652E-2</v>
      </c>
      <c r="Y1410" s="28">
        <f>IF(('Activity data'!AR22*EF!$H35)*kgtoGg=0,"NO",('Activity data'!AR22*EF!$H35)*kgtoGg)</f>
        <v>8.9508170799005846E-2</v>
      </c>
      <c r="Z1410" s="28">
        <f>IF(('Activity data'!AS22*EF!$H35)*kgtoGg=0,"NO",('Activity data'!AS22*EF!$H35)*kgtoGg)</f>
        <v>9.2028330133957781E-2</v>
      </c>
      <c r="AA1410" s="28">
        <f>IF(('Activity data'!AT22*EF!$H35)*kgtoGg=0,"NO",('Activity data'!AT22*EF!$H35)*kgtoGg)</f>
        <v>9.4763412010461776E-2</v>
      </c>
      <c r="AB1410" s="28">
        <f>IF(('Activity data'!AU22*EF!$H35)*kgtoGg=0,"NO",('Activity data'!AU22*EF!$H35)*kgtoGg)</f>
        <v>9.7229574055292575E-2</v>
      </c>
      <c r="AC1410" s="28">
        <f>IF(('Activity data'!AV22*EF!$H35)*kgtoGg=0,"NO",('Activity data'!AV22*EF!$H35)*kgtoGg)</f>
        <v>9.9768557857354889E-2</v>
      </c>
      <c r="AD1410" s="28">
        <f>IF(('Activity data'!AW22*EF!$H35)*kgtoGg=0,"NO",('Activity data'!AW22*EF!$H35)*kgtoGg)</f>
        <v>0.10314268304470672</v>
      </c>
      <c r="AE1410" s="28">
        <f>IF(('Activity data'!AX22*EF!$H35)*kgtoGg=0,"NO",('Activity data'!AX22*EF!$H35)*kgtoGg)</f>
        <v>0.10684704409348912</v>
      </c>
      <c r="AF1410" s="28">
        <f>IF(('Activity data'!AY22*EF!$H35)*kgtoGg=0,"NO",('Activity data'!AY22*EF!$H35)*kgtoGg)</f>
        <v>0.11068205574574447</v>
      </c>
      <c r="AG1410" s="28">
        <f>IF(('Activity data'!AZ22*EF!$H35)*kgtoGg=0,"NO",('Activity data'!AZ22*EF!$H35)*kgtoGg)</f>
        <v>0.11025500175189677</v>
      </c>
      <c r="AH1410" s="28">
        <f>IF(('Activity data'!BA22*EF!$H35)*kgtoGg=0,"NO",('Activity data'!BA22*EF!$H35)*kgtoGg)</f>
        <v>-9.5618834539008879E-2</v>
      </c>
      <c r="AI1410" s="28">
        <f>IF(('Activity data'!BB22*EF!$H35)*kgtoGg=0,"NO",('Activity data'!BB22*EF!$H35)*kgtoGg)</f>
        <v>-9.5755836748130152E-2</v>
      </c>
      <c r="AJ1410" s="28">
        <f>IF(('Activity data'!BC22*EF!$H35)*kgtoGg=0,"NO",('Activity data'!BC22*EF!$H35)*kgtoGg)</f>
        <v>-9.5904432315731702E-2</v>
      </c>
      <c r="AK1410" s="28">
        <f>IF(('Activity data'!BD22*EF!$H35)*kgtoGg=0,"NO",('Activity data'!BD22*EF!$H35)*kgtoGg)</f>
        <v>-9.6064137427684965E-2</v>
      </c>
      <c r="AL1410" s="28">
        <f>IF(('Activity data'!BE22*EF!$H35)*kgtoGg=0,"NO",('Activity data'!BE22*EF!$H35)*kgtoGg)</f>
        <v>-9.6234505848874163E-2</v>
      </c>
      <c r="AM1410" s="28">
        <f>IF(('Activity data'!BF22*EF!$H35)*kgtoGg=0,"NO",('Activity data'!BF22*EF!$H35)*kgtoGg)</f>
        <v>-9.641512531339648E-2</v>
      </c>
      <c r="AN1410" s="28">
        <f>IF(('Activity data'!BG22*EF!$H35)*kgtoGg=0,"NO",('Activity data'!BG22*EF!$H35)*kgtoGg)</f>
        <v>-9.6489465064540994E-2</v>
      </c>
      <c r="AO1410" s="28">
        <f>IF(('Activity data'!BH22*EF!$H35)*kgtoGg=0,"NO",('Activity data'!BH22*EF!$H35)*kgtoGg)</f>
        <v>-9.6573121728903102E-2</v>
      </c>
      <c r="AP1410" s="28">
        <f>IF(('Activity data'!BI22*EF!$H35)*kgtoGg=0,"NO",('Activity data'!BI22*EF!$H35)*kgtoGg)</f>
        <v>-9.6665733535486312E-2</v>
      </c>
      <c r="AQ1410" s="28">
        <f>IF(('Activity data'!BJ22*EF!$H35)*kgtoGg=0,"NO",('Activity data'!BJ22*EF!$H35)*kgtoGg)</f>
        <v>-9.6766963554028085E-2</v>
      </c>
      <c r="AR1410" s="28">
        <f>IF(('Activity data'!BK22*EF!$H35)*kgtoGg=0,"NO",('Activity data'!BK22*EF!$H35)*kgtoGg)</f>
        <v>-9.6876497560515806E-2</v>
      </c>
      <c r="AS1410" s="28">
        <f>IF(('Activity data'!BL22*EF!$H35)*kgtoGg=0,"NO",('Activity data'!BL22*EF!$H35)*kgtoGg)</f>
        <v>-9.6878042271294512E-2</v>
      </c>
      <c r="AT1410" s="28">
        <f>IF(('Activity data'!BM22*EF!$H35)*kgtoGg=0,"NO",('Activity data'!BM22*EF!$H35)*kgtoGg)</f>
        <v>-9.6887277192244256E-2</v>
      </c>
      <c r="AU1410" s="28">
        <f>IF(('Activity data'!BN22*EF!$H35)*kgtoGg=0,"NO",('Activity data'!BN22*EF!$H35)*kgtoGg)</f>
        <v>-9.6903917996081751E-2</v>
      </c>
      <c r="AV1410" s="28">
        <f>IF(('Activity data'!BO22*EF!$H35)*kgtoGg=0,"NO",('Activity data'!BO22*EF!$H35)*kgtoGg)</f>
        <v>-9.6927697774037633E-2</v>
      </c>
      <c r="AW1410" s="28">
        <f>IF(('Activity data'!BP22*EF!$H35)*kgtoGg=0,"NO",('Activity data'!BP22*EF!$H35)*kgtoGg)</f>
        <v>-9.6958365682993541E-2</v>
      </c>
    </row>
    <row r="1411" spans="1:49" x14ac:dyDescent="0.25">
      <c r="A1411" s="102" t="s">
        <v>961</v>
      </c>
      <c r="B1411" s="102"/>
      <c r="C1411" s="102"/>
      <c r="D1411" t="str">
        <f t="shared" si="549"/>
        <v>3A Livestock</v>
      </c>
      <c r="E1411" t="str">
        <f>'IPCC Categories'!B20</f>
        <v>3A2 Manure management (N2O)</v>
      </c>
      <c r="F1411" t="str">
        <f>EF!C54</f>
        <v>3A1ai Dairy cattle</v>
      </c>
      <c r="G1411" t="str">
        <f>EF!D54</f>
        <v>TMR</v>
      </c>
      <c r="H1411" t="str">
        <f t="shared" si="550"/>
        <v>Manure management Emissions</v>
      </c>
      <c r="I1411" t="s">
        <v>139</v>
      </c>
      <c r="J1411" t="s">
        <v>287</v>
      </c>
      <c r="K1411" s="28">
        <f>IF(('Activity data'!AD5*EF!$H36*EF!$H54)*NtoN2O*kgtoGg=0,"NO",('Activity data'!AD5*EF!$H36*EF!$H54)*NtoN2O*kgtoGg)</f>
        <v>5.9581863535910565E-2</v>
      </c>
      <c r="L1411" s="28">
        <f>IF(('Activity data'!AE5*EF!$H36*EF!$H54)*NtoN2O*kgtoGg=0,"NO",('Activity data'!AE5*EF!$H36*EF!$H54)*NtoN2O*kgtoGg)</f>
        <v>5.9952472777501202E-2</v>
      </c>
      <c r="M1411" s="28">
        <f>IF(('Activity data'!AF5*EF!$H36*EF!$H54)*NtoN2O*kgtoGg=0,"NO",('Activity data'!AF5*EF!$H36*EF!$H54)*NtoN2O*kgtoGg)</f>
        <v>6.0207271736418301E-2</v>
      </c>
      <c r="N1411" s="28">
        <f>IF(('Activity data'!AG5*EF!$H36*EF!$H54)*NtoN2O*kgtoGg=0,"NO",('Activity data'!AG5*EF!$H36*EF!$H54)*NtoN2O*kgtoGg)</f>
        <v>6.0287180440683194E-2</v>
      </c>
      <c r="O1411" s="28">
        <f>IF(('Activity data'!AH5*EF!$H36*EF!$H54)*NtoN2O*kgtoGg=0,"NO",('Activity data'!AH5*EF!$H36*EF!$H54)*NtoN2O*kgtoGg)</f>
        <v>6.0395284993714014E-2</v>
      </c>
      <c r="P1411" s="28">
        <f>IF(('Activity data'!AI5*EF!$H36*EF!$H54)*NtoN2O*kgtoGg=0,"NO",('Activity data'!AI5*EF!$H36*EF!$H54)*NtoN2O*kgtoGg)</f>
        <v>6.0632075036082048E-2</v>
      </c>
      <c r="Q1411" s="28">
        <f>IF(('Activity data'!AJ5*EF!$H36*EF!$H54)*NtoN2O*kgtoGg=0,"NO",('Activity data'!AJ5*EF!$H36*EF!$H54)*NtoN2O*kgtoGg)</f>
        <v>6.0915962278620638E-2</v>
      </c>
      <c r="R1411" s="28">
        <f>IF(('Activity data'!AK5*EF!$H36*EF!$H54)*NtoN2O*kgtoGg=0,"NO",('Activity data'!AK5*EF!$H36*EF!$H54)*NtoN2O*kgtoGg)</f>
        <v>6.1001244967563928E-2</v>
      </c>
      <c r="S1411" s="28">
        <f>IF(('Activity data'!AL5*EF!$H36*EF!$H54)*NtoN2O*kgtoGg=0,"NO",('Activity data'!AL5*EF!$H36*EF!$H54)*NtoN2O*kgtoGg)</f>
        <v>5.9128520448870917E-2</v>
      </c>
      <c r="T1411" s="28">
        <f>IF(('Activity data'!AM5*EF!$H36*EF!$H54)*NtoN2O*kgtoGg=0,"NO",('Activity data'!AM5*EF!$H36*EF!$H54)*NtoN2O*kgtoGg)</f>
        <v>5.961554215328714E-2</v>
      </c>
      <c r="U1411" s="28">
        <f>IF(('Activity data'!AN5*EF!$H36*EF!$H54)*NtoN2O*kgtoGg=0,"NO",('Activity data'!AN5*EF!$H36*EF!$H54)*NtoN2O*kgtoGg)</f>
        <v>6.0062127225246474E-2</v>
      </c>
      <c r="V1411" s="28">
        <f>IF(('Activity data'!AO5*EF!$H36*EF!$H54)*NtoN2O*kgtoGg=0,"NO",('Activity data'!AO5*EF!$H36*EF!$H54)*NtoN2O*kgtoGg)</f>
        <v>6.0520025735654244E-2</v>
      </c>
      <c r="W1411" s="28">
        <f>IF(('Activity data'!AP5*EF!$H36*EF!$H54)*NtoN2O*kgtoGg=0,"NO",('Activity data'!AP5*EF!$H36*EF!$H54)*NtoN2O*kgtoGg)</f>
        <v>6.107162678051329E-2</v>
      </c>
      <c r="X1411" s="28">
        <f>IF(('Activity data'!AQ5*EF!$H36*EF!$H54)*NtoN2O*kgtoGg=0,"NO",('Activity data'!AQ5*EF!$H36*EF!$H54)*NtoN2O*kgtoGg)</f>
        <v>6.1633578287442058E-2</v>
      </c>
      <c r="Y1411" s="28">
        <f>IF(('Activity data'!AR5*EF!$H36*EF!$H54)*NtoN2O*kgtoGg=0,"NO",('Activity data'!AR5*EF!$H36*EF!$H54)*NtoN2O*kgtoGg)</f>
        <v>6.2180760814939798E-2</v>
      </c>
      <c r="Z1411" s="28">
        <f>IF(('Activity data'!AS5*EF!$H36*EF!$H54)*NtoN2O*kgtoGg=0,"NO",('Activity data'!AS5*EF!$H36*EF!$H54)*NtoN2O*kgtoGg)</f>
        <v>6.2716996536282391E-2</v>
      </c>
      <c r="AA1411" s="28">
        <f>IF(('Activity data'!AT5*EF!$H36*EF!$H54)*NtoN2O*kgtoGg=0,"NO",('Activity data'!AT5*EF!$H36*EF!$H54)*NtoN2O*kgtoGg)</f>
        <v>6.3294581219461896E-2</v>
      </c>
      <c r="AB1411" s="28">
        <f>IF(('Activity data'!AU5*EF!$H36*EF!$H54)*NtoN2O*kgtoGg=0,"NO",('Activity data'!AU5*EF!$H36*EF!$H54)*NtoN2O*kgtoGg)</f>
        <v>6.3841542561015929E-2</v>
      </c>
      <c r="AC1411" s="28">
        <f>IF(('Activity data'!AV5*EF!$H36*EF!$H54)*NtoN2O*kgtoGg=0,"NO",('Activity data'!AV5*EF!$H36*EF!$H54)*NtoN2O*kgtoGg)</f>
        <v>6.4408123024693842E-2</v>
      </c>
      <c r="AD1411" s="28">
        <f>IF(('Activity data'!AW5*EF!$H36*EF!$H54)*NtoN2O*kgtoGg=0,"NO",('Activity data'!AW5*EF!$H36*EF!$H54)*NtoN2O*kgtoGg)</f>
        <v>6.5059072276654292E-2</v>
      </c>
      <c r="AE1411" s="28">
        <f>IF(('Activity data'!AX5*EF!$H36*EF!$H54)*NtoN2O*kgtoGg=0,"NO",('Activity data'!AX5*EF!$H36*EF!$H54)*NtoN2O*kgtoGg)</f>
        <v>6.5768024439382053E-2</v>
      </c>
      <c r="AF1411" s="28">
        <f>IF(('Activity data'!AY5*EF!$H36*EF!$H54)*NtoN2O*kgtoGg=0,"NO",('Activity data'!AY5*EF!$H36*EF!$H54)*NtoN2O*kgtoGg)</f>
        <v>6.6505116559025759E-2</v>
      </c>
      <c r="AG1411" s="28">
        <f>IF(('Activity data'!AZ5*EF!$H36*EF!$H54)*NtoN2O*kgtoGg=0,"NO",('Activity data'!AZ5*EF!$H36*EF!$H54)*NtoN2O*kgtoGg)</f>
        <v>6.6608077063784327E-2</v>
      </c>
      <c r="AH1411" s="28">
        <f>IF(('Activity data'!BA5*EF!$H36*EF!$H54)*NtoN2O*kgtoGg=0,"NO",('Activity data'!BA5*EF!$H36*EF!$H54)*NtoN2O*kgtoGg)</f>
        <v>3.5661314599783112E-2</v>
      </c>
      <c r="AI1411" s="28">
        <f>IF(('Activity data'!BB5*EF!$H36*EF!$H54)*NtoN2O*kgtoGg=0,"NO",('Activity data'!BB5*EF!$H36*EF!$H54)*NtoN2O*kgtoGg)</f>
        <v>3.5687543278982381E-2</v>
      </c>
      <c r="AJ1411" s="28">
        <f>IF(('Activity data'!BC5*EF!$H36*EF!$H54)*NtoN2O*kgtoGg=0,"NO",('Activity data'!BC5*EF!$H36*EF!$H54)*NtoN2O*kgtoGg)</f>
        <v>3.5717217411916767E-2</v>
      </c>
      <c r="AK1411" s="28">
        <f>IF(('Activity data'!BD5*EF!$H36*EF!$H54)*NtoN2O*kgtoGg=0,"NO",('Activity data'!BD5*EF!$H36*EF!$H54)*NtoN2O*kgtoGg)</f>
        <v>3.5750206038134905E-2</v>
      </c>
      <c r="AL1411" s="28">
        <f>IF(('Activity data'!BE5*EF!$H36*EF!$H54)*NtoN2O*kgtoGg=0,"NO",('Activity data'!BE5*EF!$H36*EF!$H54)*NtoN2O*kgtoGg)</f>
        <v>3.5786388283243133E-2</v>
      </c>
      <c r="AM1411" s="28">
        <f>IF(('Activity data'!BF5*EF!$H36*EF!$H54)*NtoN2O*kgtoGg=0,"NO",('Activity data'!BF5*EF!$H36*EF!$H54)*NtoN2O*kgtoGg)</f>
        <v>3.5825652402917518E-2</v>
      </c>
      <c r="AN1411" s="28">
        <f>IF(('Activity data'!BG5*EF!$H36*EF!$H54)*NtoN2O*kgtoGg=0,"NO",('Activity data'!BG5*EF!$H36*EF!$H54)*NtoN2O*kgtoGg)</f>
        <v>3.5842556779576207E-2</v>
      </c>
      <c r="AO1411" s="28">
        <f>IF(('Activity data'!BH5*EF!$H36*EF!$H54)*NtoN2O*kgtoGg=0,"NO",('Activity data'!BH5*EF!$H36*EF!$H54)*NtoN2O*kgtoGg)</f>
        <v>3.5862175171675115E-2</v>
      </c>
      <c r="AP1411" s="28">
        <f>IF(('Activity data'!BI5*EF!$H36*EF!$H54)*NtoN2O*kgtoGg=0,"NO",('Activity data'!BI5*EF!$H36*EF!$H54)*NtoN2O*kgtoGg)</f>
        <v>3.588441278699845E-2</v>
      </c>
      <c r="AQ1411" s="28">
        <f>IF(('Activity data'!BJ5*EF!$H36*EF!$H54)*NtoN2O*kgtoGg=0,"NO",('Activity data'!BJ5*EF!$H36*EF!$H54)*NtoN2O*kgtoGg)</f>
        <v>3.5909181301646116E-2</v>
      </c>
      <c r="AR1411" s="28">
        <f>IF(('Activity data'!BK5*EF!$H36*EF!$H54)*NtoN2O*kgtoGg=0,"NO",('Activity data'!BK5*EF!$H36*EF!$H54)*NtoN2O*kgtoGg)</f>
        <v>3.5936398311145284E-2</v>
      </c>
      <c r="AS1411" s="28">
        <f>IF(('Activity data'!BL5*EF!$H36*EF!$H54)*NtoN2O*kgtoGg=0,"NO",('Activity data'!BL5*EF!$H36*EF!$H54)*NtoN2O*kgtoGg)</f>
        <v>3.5940375653704157E-2</v>
      </c>
      <c r="AT1411" s="28">
        <f>IF(('Activity data'!BM5*EF!$H36*EF!$H54)*NtoN2O*kgtoGg=0,"NO",('Activity data'!BM5*EF!$H36*EF!$H54)*NtoN2O*kgtoGg)</f>
        <v>3.5946523647611327E-2</v>
      </c>
      <c r="AU1411" s="28">
        <f>IF(('Activity data'!BN5*EF!$H36*EF!$H54)*NtoN2O*kgtoGg=0,"NO",('Activity data'!BN5*EF!$H36*EF!$H54)*NtoN2O*kgtoGg)</f>
        <v>3.5954770346244613E-2</v>
      </c>
      <c r="AV1411" s="28">
        <f>IF(('Activity data'!BO5*EF!$H36*EF!$H54)*NtoN2O*kgtoGg=0,"NO",('Activity data'!BO5*EF!$H36*EF!$H54)*NtoN2O*kgtoGg)</f>
        <v>3.5965048185906283E-2</v>
      </c>
      <c r="AW1411" s="28">
        <f>IF(('Activity data'!BP5*EF!$H36*EF!$H54)*NtoN2O*kgtoGg=0,"NO",('Activity data'!BP5*EF!$H36*EF!$H54)*NtoN2O*kgtoGg)</f>
        <v>3.5977293649132408E-2</v>
      </c>
    </row>
    <row r="1412" spans="1:49" x14ac:dyDescent="0.25">
      <c r="A1412" s="102" t="s">
        <v>961</v>
      </c>
      <c r="B1412" s="102"/>
      <c r="C1412" s="102"/>
      <c r="D1412" t="str">
        <f t="shared" si="549"/>
        <v>3A Livestock</v>
      </c>
      <c r="E1412" t="str">
        <f>E1411</f>
        <v>3A2 Manure management (N2O)</v>
      </c>
      <c r="F1412" t="str">
        <f>EF!C55</f>
        <v>3A1ai Dairy cattle</v>
      </c>
      <c r="G1412" t="str">
        <f>EF!D55</f>
        <v>Pasture</v>
      </c>
      <c r="H1412" t="str">
        <f t="shared" si="550"/>
        <v>Manure management Emissions</v>
      </c>
      <c r="I1412" t="s">
        <v>139</v>
      </c>
      <c r="J1412" t="str">
        <f t="shared" ref="J1412:J1428" si="551">J1411</f>
        <v>Gg N2O</v>
      </c>
      <c r="K1412" s="28">
        <f>IF(('Activity data'!AD6*EF!$H37*EF!$H55)*NtoN2O*kgtoGg=0,"NO",('Activity data'!AD6*EF!$H37*EF!$H55)*NtoN2O*kgtoGg)</f>
        <v>0.26088706231871722</v>
      </c>
      <c r="L1412" s="28">
        <f>IF(('Activity data'!AE6*EF!$H37*EF!$H55)*NtoN2O*kgtoGg=0,"NO",('Activity data'!AE6*EF!$H37*EF!$H55)*NtoN2O*kgtoGg)</f>
        <v>0.2625098238533321</v>
      </c>
      <c r="M1412" s="28">
        <f>IF(('Activity data'!AF6*EF!$H37*EF!$H55)*NtoN2O*kgtoGg=0,"NO",('Activity data'!AF6*EF!$H37*EF!$H55)*NtoN2O*kgtoGg)</f>
        <v>0.26362549476271357</v>
      </c>
      <c r="N1412" s="28">
        <f>IF(('Activity data'!AG6*EF!$H37*EF!$H55)*NtoN2O*kgtoGg=0,"NO",('Activity data'!AG6*EF!$H37*EF!$H55)*NtoN2O*kgtoGg)</f>
        <v>0.2639753855830434</v>
      </c>
      <c r="O1412" s="28">
        <f>IF(('Activity data'!AH6*EF!$H37*EF!$H55)*NtoN2O*kgtoGg=0,"NO",('Activity data'!AH6*EF!$H37*EF!$H55)*NtoN2O*kgtoGg)</f>
        <v>0.26444873565284266</v>
      </c>
      <c r="P1412" s="28">
        <f>IF(('Activity data'!AI6*EF!$H37*EF!$H55)*NtoN2O*kgtoGg=0,"NO",('Activity data'!AI6*EF!$H37*EF!$H55)*NtoN2O*kgtoGg)</f>
        <v>0.26548555214151259</v>
      </c>
      <c r="Q1412" s="28">
        <f>IF(('Activity data'!AJ6*EF!$H37*EF!$H55)*NtoN2O*kgtoGg=0,"NO",('Activity data'!AJ6*EF!$H37*EF!$H55)*NtoN2O*kgtoGg)</f>
        <v>0.26672858994429993</v>
      </c>
      <c r="R1412" s="28">
        <f>IF(('Activity data'!AK6*EF!$H37*EF!$H55)*NtoN2O*kgtoGg=0,"NO",('Activity data'!AK6*EF!$H37*EF!$H55)*NtoN2O*kgtoGg)</f>
        <v>0.26710201146663365</v>
      </c>
      <c r="S1412" s="28">
        <f>IF(('Activity data'!AL6*EF!$H37*EF!$H55)*NtoN2O*kgtoGg=0,"NO",('Activity data'!AL6*EF!$H37*EF!$H55)*NtoN2O*kgtoGg)</f>
        <v>0.2589020397097988</v>
      </c>
      <c r="T1412" s="28">
        <f>IF(('Activity data'!AM6*EF!$H37*EF!$H55)*NtoN2O*kgtoGg=0,"NO",('Activity data'!AM6*EF!$H37*EF!$H55)*NtoN2O*kgtoGg)</f>
        <v>0.26103452859501175</v>
      </c>
      <c r="U1412" s="28">
        <f>IF(('Activity data'!AN6*EF!$H37*EF!$H55)*NtoN2O*kgtoGg=0,"NO",('Activity data'!AN6*EF!$H37*EF!$H55)*NtoN2O*kgtoGg)</f>
        <v>0.26298996034193323</v>
      </c>
      <c r="V1412" s="28">
        <f>IF(('Activity data'!AO6*EF!$H37*EF!$H55)*NtoN2O*kgtoGg=0,"NO",('Activity data'!AO6*EF!$H37*EF!$H55)*NtoN2O*kgtoGg)</f>
        <v>0.26499492947399811</v>
      </c>
      <c r="W1412" s="28">
        <f>IF(('Activity data'!AP6*EF!$H37*EF!$H55)*NtoN2O*kgtoGg=0,"NO",('Activity data'!AP6*EF!$H37*EF!$H55)*NtoN2O*kgtoGg)</f>
        <v>0.26741018753450635</v>
      </c>
      <c r="X1412" s="28">
        <f>IF(('Activity data'!AQ6*EF!$H37*EF!$H55)*NtoN2O*kgtoGg=0,"NO",('Activity data'!AQ6*EF!$H37*EF!$H55)*NtoN2O*kgtoGg)</f>
        <v>0.26987076646084124</v>
      </c>
      <c r="Y1412" s="28">
        <f>IF(('Activity data'!AR6*EF!$H37*EF!$H55)*NtoN2O*kgtoGg=0,"NO",('Activity data'!AR6*EF!$H37*EF!$H55)*NtoN2O*kgtoGg)</f>
        <v>0.27226667745924399</v>
      </c>
      <c r="Z1412" s="28">
        <f>IF(('Activity data'!AS6*EF!$H37*EF!$H55)*NtoN2O*kgtoGg=0,"NO",('Activity data'!AS6*EF!$H37*EF!$H55)*NtoN2O*kgtoGg)</f>
        <v>0.27461465642044425</v>
      </c>
      <c r="AA1412" s="28">
        <f>IF(('Activity data'!AT6*EF!$H37*EF!$H55)*NtoN2O*kgtoGg=0,"NO",('Activity data'!AT6*EF!$H37*EF!$H55)*NtoN2O*kgtoGg)</f>
        <v>0.27714368727467675</v>
      </c>
      <c r="AB1412" s="28">
        <f>IF(('Activity data'!AU6*EF!$H37*EF!$H55)*NtoN2O*kgtoGg=0,"NO",('Activity data'!AU6*EF!$H37*EF!$H55)*NtoN2O*kgtoGg)</f>
        <v>0.2795386297811987</v>
      </c>
      <c r="AC1412" s="28">
        <f>IF(('Activity data'!AV6*EF!$H37*EF!$H55)*NtoN2O*kgtoGg=0,"NO",('Activity data'!AV6*EF!$H37*EF!$H55)*NtoN2O*kgtoGg)</f>
        <v>0.2820194772063051</v>
      </c>
      <c r="AD1412" s="28">
        <f>IF(('Activity data'!AW6*EF!$H37*EF!$H55)*NtoN2O*kgtoGg=0,"NO",('Activity data'!AW6*EF!$H37*EF!$H55)*NtoN2O*kgtoGg)</f>
        <v>0.28486974451894415</v>
      </c>
      <c r="AE1412" s="28">
        <f>IF(('Activity data'!AX6*EF!$H37*EF!$H55)*NtoN2O*kgtoGg=0,"NO",('Activity data'!AX6*EF!$H37*EF!$H55)*NtoN2O*kgtoGg)</f>
        <v>0.28797398524057027</v>
      </c>
      <c r="AF1412" s="28">
        <f>IF(('Activity data'!AY6*EF!$H37*EF!$H55)*NtoN2O*kgtoGg=0,"NO",('Activity data'!AY6*EF!$H37*EF!$H55)*NtoN2O*kgtoGg)</f>
        <v>0.2912014404818154</v>
      </c>
      <c r="AG1412" s="28">
        <f>IF(('Activity data'!AZ6*EF!$H37*EF!$H55)*NtoN2O*kgtoGg=0,"NO",('Activity data'!AZ6*EF!$H37*EF!$H55)*NtoN2O*kgtoGg)</f>
        <v>0.29165226665654759</v>
      </c>
      <c r="AH1412" s="28">
        <f>IF(('Activity data'!BA6*EF!$H37*EF!$H55)*NtoN2O*kgtoGg=0,"NO",('Activity data'!BA6*EF!$H37*EF!$H55)*NtoN2O*kgtoGg)</f>
        <v>0.1561477780693053</v>
      </c>
      <c r="AI1412" s="28">
        <f>IF(('Activity data'!BB6*EF!$H37*EF!$H55)*NtoN2O*kgtoGg=0,"NO",('Activity data'!BB6*EF!$H37*EF!$H55)*NtoN2O*kgtoGg)</f>
        <v>0.15626262380689576</v>
      </c>
      <c r="AJ1412" s="28">
        <f>IF(('Activity data'!BC6*EF!$H37*EF!$H55)*NtoN2O*kgtoGg=0,"NO",('Activity data'!BC6*EF!$H37*EF!$H55)*NtoN2O*kgtoGg)</f>
        <v>0.1563925559189292</v>
      </c>
      <c r="AK1412" s="28">
        <f>IF(('Activity data'!BD6*EF!$H37*EF!$H55)*NtoN2O*kgtoGg=0,"NO",('Activity data'!BD6*EF!$H37*EF!$H55)*NtoN2O*kgtoGg)</f>
        <v>0.1565370009777648</v>
      </c>
      <c r="AL1412" s="28">
        <f>IF(('Activity data'!BE6*EF!$H37*EF!$H55)*NtoN2O*kgtoGg=0,"NO",('Activity data'!BE6*EF!$H37*EF!$H55)*NtoN2O*kgtoGg)</f>
        <v>0.15669542971889827</v>
      </c>
      <c r="AM1412" s="28">
        <f>IF(('Activity data'!BF6*EF!$H37*EF!$H55)*NtoN2O*kgtoGg=0,"NO",('Activity data'!BF6*EF!$H37*EF!$H55)*NtoN2O*kgtoGg)</f>
        <v>0.156867352855042</v>
      </c>
      <c r="AN1412" s="28">
        <f>IF(('Activity data'!BG6*EF!$H37*EF!$H55)*NtoN2O*kgtoGg=0,"NO",('Activity data'!BG6*EF!$H37*EF!$H55)*NtoN2O*kgtoGg)</f>
        <v>0.15694137090189544</v>
      </c>
      <c r="AO1412" s="28">
        <f>IF(('Activity data'!BH6*EF!$H37*EF!$H55)*NtoN2O*kgtoGg=0,"NO",('Activity data'!BH6*EF!$H37*EF!$H55)*NtoN2O*kgtoGg)</f>
        <v>0.15702727262396923</v>
      </c>
      <c r="AP1412" s="28">
        <f>IF(('Activity data'!BI6*EF!$H37*EF!$H55)*NtoN2O*kgtoGg=0,"NO",('Activity data'!BI6*EF!$H37*EF!$H55)*NtoN2O*kgtoGg)</f>
        <v>0.15712464296102122</v>
      </c>
      <c r="AQ1412" s="28">
        <f>IF(('Activity data'!BJ6*EF!$H37*EF!$H55)*NtoN2O*kgtoGg=0,"NO",('Activity data'!BJ6*EF!$H37*EF!$H55)*NtoN2O*kgtoGg)</f>
        <v>0.15723309517518419</v>
      </c>
      <c r="AR1412" s="28">
        <f>IF(('Activity data'!BK6*EF!$H37*EF!$H55)*NtoN2O*kgtoGg=0,"NO",('Activity data'!BK6*EF!$H37*EF!$H55)*NtoN2O*kgtoGg)</f>
        <v>0.15735226844758546</v>
      </c>
      <c r="AS1412" s="28">
        <f>IF(('Activity data'!BL6*EF!$H37*EF!$H55)*NtoN2O*kgtoGg=0,"NO",('Activity data'!BL6*EF!$H37*EF!$H55)*NtoN2O*kgtoGg)</f>
        <v>0.15736968376752411</v>
      </c>
      <c r="AT1412" s="28">
        <f>IF(('Activity data'!BM6*EF!$H37*EF!$H55)*NtoN2O*kgtoGg=0,"NO",('Activity data'!BM6*EF!$H37*EF!$H55)*NtoN2O*kgtoGg)</f>
        <v>0.15739660357120949</v>
      </c>
      <c r="AU1412" s="28">
        <f>IF(('Activity data'!BN6*EF!$H37*EF!$H55)*NtoN2O*kgtoGg=0,"NO",('Activity data'!BN6*EF!$H37*EF!$H55)*NtoN2O*kgtoGg)</f>
        <v>0.15743271283084972</v>
      </c>
      <c r="AV1412" s="28">
        <f>IF(('Activity data'!BO6*EF!$H37*EF!$H55)*NtoN2O*kgtoGg=0,"NO",('Activity data'!BO6*EF!$H37*EF!$H55)*NtoN2O*kgtoGg)</f>
        <v>0.15747771570986671</v>
      </c>
      <c r="AW1412" s="28">
        <f>IF(('Activity data'!BP6*EF!$H37*EF!$H55)*NtoN2O*kgtoGg=0,"NO",('Activity data'!BP6*EF!$H37*EF!$H55)*NtoN2O*kgtoGg)</f>
        <v>0.15753133408865197</v>
      </c>
    </row>
    <row r="1413" spans="1:49" x14ac:dyDescent="0.25">
      <c r="A1413" s="102" t="s">
        <v>961</v>
      </c>
      <c r="B1413" s="102"/>
      <c r="C1413" s="102"/>
      <c r="D1413" t="str">
        <f t="shared" ref="D1413:E1428" si="552">D1412</f>
        <v>3A Livestock</v>
      </c>
      <c r="E1413" t="str">
        <f t="shared" si="552"/>
        <v>3A2 Manure management (N2O)</v>
      </c>
      <c r="F1413" t="str">
        <f>EF!C56</f>
        <v>3A1aii Other cattle</v>
      </c>
      <c r="G1413" t="str">
        <f>EF!D56</f>
        <v>Non-lactating</v>
      </c>
      <c r="H1413" t="str">
        <f t="shared" ref="H1413:H1428" si="553">H1412</f>
        <v>Manure management Emissions</v>
      </c>
      <c r="I1413" t="s">
        <v>139</v>
      </c>
      <c r="J1413" t="str">
        <f t="shared" si="551"/>
        <v>Gg N2O</v>
      </c>
      <c r="K1413" s="28">
        <f>IF(('Activity data'!AD7*EF!$H38*EF!$H56)*NtoN2O*kgtoGg=0,"NO",('Activity data'!AD7*EF!$H38*EF!$H56)*NtoN2O*kgtoGg)</f>
        <v>1.1607933720950987E-2</v>
      </c>
      <c r="L1413" s="28">
        <f>IF(('Activity data'!AE7*EF!$H38*EF!$H56)*NtoN2O*kgtoGg=0,"NO",('Activity data'!AE7*EF!$H38*EF!$H56)*NtoN2O*kgtoGg)</f>
        <v>1.1680137026746603E-2</v>
      </c>
      <c r="M1413" s="28">
        <f>IF(('Activity data'!AF7*EF!$H38*EF!$H56)*NtoN2O*kgtoGg=0,"NO",('Activity data'!AF7*EF!$H38*EF!$H56)*NtoN2O*kgtoGg)</f>
        <v>1.1729777794116936E-2</v>
      </c>
      <c r="N1413" s="28">
        <f>IF(('Activity data'!AG7*EF!$H38*EF!$H56)*NtoN2O*kgtoGg=0,"NO",('Activity data'!AG7*EF!$H38*EF!$H56)*NtoN2O*kgtoGg)</f>
        <v>1.1745345869497372E-2</v>
      </c>
      <c r="O1413" s="28">
        <f>IF(('Activity data'!AH7*EF!$H38*EF!$H56)*NtoN2O*kgtoGg=0,"NO",('Activity data'!AH7*EF!$H38*EF!$H56)*NtoN2O*kgtoGg)</f>
        <v>1.1766407152445642E-2</v>
      </c>
      <c r="P1413" s="28">
        <f>IF(('Activity data'!AI7*EF!$H38*EF!$H56)*NtoN2O*kgtoGg=0,"NO",('Activity data'!AI7*EF!$H38*EF!$H56)*NtoN2O*kgtoGg)</f>
        <v>1.1812539363733939E-2</v>
      </c>
      <c r="Q1413" s="28">
        <f>IF(('Activity data'!AJ7*EF!$H38*EF!$H56)*NtoN2O*kgtoGg=0,"NO",('Activity data'!AJ7*EF!$H38*EF!$H56)*NtoN2O*kgtoGg)</f>
        <v>1.186784720575243E-2</v>
      </c>
      <c r="R1413" s="28">
        <f>IF(('Activity data'!AK7*EF!$H38*EF!$H56)*NtoN2O*kgtoGg=0,"NO",('Activity data'!AK7*EF!$H38*EF!$H56)*NtoN2O*kgtoGg)</f>
        <v>1.1884462258421965E-2</v>
      </c>
      <c r="S1413" s="28">
        <f>IF(('Activity data'!AL7*EF!$H38*EF!$H56)*NtoN2O*kgtoGg=0,"NO",('Activity data'!AL7*EF!$H38*EF!$H56)*NtoN2O*kgtoGg)</f>
        <v>1.1519611936520126E-2</v>
      </c>
      <c r="T1413" s="28">
        <f>IF(('Activity data'!AM7*EF!$H38*EF!$H56)*NtoN2O*kgtoGg=0,"NO",('Activity data'!AM7*EF!$H38*EF!$H56)*NtoN2O*kgtoGg)</f>
        <v>1.1614495099449744E-2</v>
      </c>
      <c r="U1413" s="28">
        <f>IF(('Activity data'!AN7*EF!$H38*EF!$H56)*NtoN2O*kgtoGg=0,"NO",('Activity data'!AN7*EF!$H38*EF!$H56)*NtoN2O*kgtoGg)</f>
        <v>1.1701500265257389E-2</v>
      </c>
      <c r="V1413" s="28">
        <f>IF(('Activity data'!AO7*EF!$H38*EF!$H56)*NtoN2O*kgtoGg=0,"NO",('Activity data'!AO7*EF!$H38*EF!$H56)*NtoN2O*kgtoGg)</f>
        <v>1.1790709552182964E-2</v>
      </c>
      <c r="W1413" s="28">
        <f>IF(('Activity data'!AP7*EF!$H38*EF!$H56)*NtoN2O*kgtoGg=0,"NO",('Activity data'!AP7*EF!$H38*EF!$H56)*NtoN2O*kgtoGg)</f>
        <v>1.189817427364593E-2</v>
      </c>
      <c r="X1413" s="28">
        <f>IF(('Activity data'!AQ7*EF!$H38*EF!$H56)*NtoN2O*kgtoGg=0,"NO",('Activity data'!AQ7*EF!$H38*EF!$H56)*NtoN2O*kgtoGg)</f>
        <v>1.2007655506016015E-2</v>
      </c>
      <c r="Y1413" s="28">
        <f>IF(('Activity data'!AR7*EF!$H38*EF!$H56)*NtoN2O*kgtoGg=0,"NO",('Activity data'!AR7*EF!$H38*EF!$H56)*NtoN2O*kgtoGg)</f>
        <v>1.2114259397460733E-2</v>
      </c>
      <c r="Z1413" s="28">
        <f>IF(('Activity data'!AS7*EF!$H38*EF!$H56)*NtoN2O*kgtoGg=0,"NO",('Activity data'!AS7*EF!$H38*EF!$H56)*NtoN2O*kgtoGg)</f>
        <v>1.221873059629122E-2</v>
      </c>
      <c r="AA1413" s="28">
        <f>IF(('Activity data'!AT7*EF!$H38*EF!$H56)*NtoN2O*kgtoGg=0,"NO",('Activity data'!AT7*EF!$H38*EF!$H56)*NtoN2O*kgtoGg)</f>
        <v>1.2331257535240406E-2</v>
      </c>
      <c r="AB1413" s="28">
        <f>IF(('Activity data'!AU7*EF!$H38*EF!$H56)*NtoN2O*kgtoGg=0,"NO",('Activity data'!AU7*EF!$H38*EF!$H56)*NtoN2O*kgtoGg)</f>
        <v>1.2437818334515426E-2</v>
      </c>
      <c r="AC1413" s="28">
        <f>IF(('Activity data'!AV7*EF!$H38*EF!$H56)*NtoN2O*kgtoGg=0,"NO",('Activity data'!AV7*EF!$H38*EF!$H56)*NtoN2O*kgtoGg)</f>
        <v>1.2548201395394263E-2</v>
      </c>
      <c r="AD1413" s="28">
        <f>IF(('Activity data'!AW7*EF!$H38*EF!$H56)*NtoN2O*kgtoGg=0,"NO",('Activity data'!AW7*EF!$H38*EF!$H56)*NtoN2O*kgtoGg)</f>
        <v>1.2675021459823859E-2</v>
      </c>
      <c r="AE1413" s="28">
        <f>IF(('Activity data'!AX7*EF!$H38*EF!$H56)*NtoN2O*kgtoGg=0,"NO",('Activity data'!AX7*EF!$H38*EF!$H56)*NtoN2O*kgtoGg)</f>
        <v>1.2813141841226641E-2</v>
      </c>
      <c r="AF1413" s="28">
        <f>IF(('Activity data'!AY7*EF!$H38*EF!$H56)*NtoN2O*kgtoGg=0,"NO",('Activity data'!AY7*EF!$H38*EF!$H56)*NtoN2O*kgtoGg)</f>
        <v>1.2956744541164057E-2</v>
      </c>
      <c r="AG1413" s="28">
        <f>IF(('Activity data'!AZ7*EF!$H38*EF!$H56)*NtoN2O*kgtoGg=0,"NO",('Activity data'!AZ7*EF!$H38*EF!$H56)*NtoN2O*kgtoGg)</f>
        <v>1.2976803643786663E-2</v>
      </c>
      <c r="AH1413" s="28">
        <f>IF(('Activity data'!BA7*EF!$H38*EF!$H56)*NtoN2O*kgtoGg=0,"NO",('Activity data'!BA7*EF!$H38*EF!$H56)*NtoN2O*kgtoGg)</f>
        <v>6.9476540629980453E-3</v>
      </c>
      <c r="AI1413" s="28">
        <f>IF(('Activity data'!BB7*EF!$H38*EF!$H56)*NtoN2O*kgtoGg=0,"NO",('Activity data'!BB7*EF!$H38*EF!$H56)*NtoN2O*kgtoGg)</f>
        <v>6.9527640201505212E-3</v>
      </c>
      <c r="AJ1413" s="28">
        <f>IF(('Activity data'!BC7*EF!$H38*EF!$H56)*NtoN2O*kgtoGg=0,"NO",('Activity data'!BC7*EF!$H38*EF!$H56)*NtoN2O*kgtoGg)</f>
        <v>6.9585452318798495E-3</v>
      </c>
      <c r="AK1413" s="28">
        <f>IF(('Activity data'!BD7*EF!$H38*EF!$H56)*NtoN2O*kgtoGg=0,"NO",('Activity data'!BD7*EF!$H38*EF!$H56)*NtoN2O*kgtoGg)</f>
        <v>6.9649721840421407E-3</v>
      </c>
      <c r="AL1413" s="28">
        <f>IF(('Activity data'!BE7*EF!$H38*EF!$H56)*NtoN2O*kgtoGg=0,"NO",('Activity data'!BE7*EF!$H38*EF!$H56)*NtoN2O*kgtoGg)</f>
        <v>6.9720213274922825E-3</v>
      </c>
      <c r="AM1413" s="28">
        <f>IF(('Activity data'!BF7*EF!$H38*EF!$H56)*NtoN2O*kgtoGg=0,"NO",('Activity data'!BF7*EF!$H38*EF!$H56)*NtoN2O*kgtoGg)</f>
        <v>6.9796708918352492E-3</v>
      </c>
      <c r="AN1413" s="28">
        <f>IF(('Activity data'!BG7*EF!$H38*EF!$H56)*NtoN2O*kgtoGg=0,"NO",('Activity data'!BG7*EF!$H38*EF!$H56)*NtoN2O*kgtoGg)</f>
        <v>6.9829642578396519E-3</v>
      </c>
      <c r="AO1413" s="28">
        <f>IF(('Activity data'!BH7*EF!$H38*EF!$H56)*NtoN2O*kgtoGg=0,"NO",('Activity data'!BH7*EF!$H38*EF!$H56)*NtoN2O*kgtoGg)</f>
        <v>6.986786377217614E-3</v>
      </c>
      <c r="AP1413" s="28">
        <f>IF(('Activity data'!BI7*EF!$H38*EF!$H56)*NtoN2O*kgtoGg=0,"NO",('Activity data'!BI7*EF!$H38*EF!$H56)*NtoN2O*kgtoGg)</f>
        <v>6.9911187822393143E-3</v>
      </c>
      <c r="AQ1413" s="28">
        <f>IF(('Activity data'!BJ7*EF!$H38*EF!$H56)*NtoN2O*kgtoGg=0,"NO",('Activity data'!BJ7*EF!$H38*EF!$H56)*NtoN2O*kgtoGg)</f>
        <v>6.9959442653533691E-3</v>
      </c>
      <c r="AR1413" s="28">
        <f>IF(('Activity data'!BK7*EF!$H38*EF!$H56)*NtoN2O*kgtoGg=0,"NO",('Activity data'!BK7*EF!$H38*EF!$H56)*NtoN2O*kgtoGg)</f>
        <v>7.0012467722505977E-3</v>
      </c>
      <c r="AS1413" s="28">
        <f>IF(('Activity data'!BL7*EF!$H38*EF!$H56)*NtoN2O*kgtoGg=0,"NO",('Activity data'!BL7*EF!$H38*EF!$H56)*NtoN2O*kgtoGg)</f>
        <v>7.0020216511494588E-3</v>
      </c>
      <c r="AT1413" s="28">
        <f>IF(('Activity data'!BM7*EF!$H38*EF!$H56)*NtoN2O*kgtoGg=0,"NO",('Activity data'!BM7*EF!$H38*EF!$H56)*NtoN2O*kgtoGg)</f>
        <v>7.00321942345056E-3</v>
      </c>
      <c r="AU1413" s="28">
        <f>IF(('Activity data'!BN7*EF!$H38*EF!$H56)*NtoN2O*kgtoGg=0,"NO",('Activity data'!BN7*EF!$H38*EF!$H56)*NtoN2O*kgtoGg)</f>
        <v>7.0048260722774189E-3</v>
      </c>
      <c r="AV1413" s="28">
        <f>IF(('Activity data'!BO7*EF!$H38*EF!$H56)*NtoN2O*kgtoGg=0,"NO",('Activity data'!BO7*EF!$H38*EF!$H56)*NtoN2O*kgtoGg)</f>
        <v>7.0068284346492373E-3</v>
      </c>
      <c r="AW1413" s="28">
        <f>IF(('Activity data'!BP7*EF!$H38*EF!$H56)*NtoN2O*kgtoGg=0,"NO",('Activity data'!BP7*EF!$H38*EF!$H56)*NtoN2O*kgtoGg)</f>
        <v>7.0092141358857468E-3</v>
      </c>
    </row>
    <row r="1414" spans="1:49" x14ac:dyDescent="0.25">
      <c r="A1414" s="102" t="s">
        <v>961</v>
      </c>
      <c r="B1414" s="102"/>
      <c r="C1414" s="102"/>
      <c r="D1414" t="str">
        <f t="shared" si="552"/>
        <v>3A Livestock</v>
      </c>
      <c r="E1414" t="str">
        <f t="shared" si="552"/>
        <v>3A2 Manure management (N2O)</v>
      </c>
      <c r="F1414" t="str">
        <f>EF!C57</f>
        <v>3A1aii Other cattle</v>
      </c>
      <c r="G1414" t="str">
        <f>EF!D57</f>
        <v>Commercial</v>
      </c>
      <c r="H1414" t="str">
        <f>H1412</f>
        <v>Manure management Emissions</v>
      </c>
      <c r="I1414" t="s">
        <v>139</v>
      </c>
      <c r="J1414" t="str">
        <f>J1412</f>
        <v>Gg N2O</v>
      </c>
      <c r="K1414" s="28">
        <f>IF(('Activity data'!AD8*EF!$H39*EF!$H57)*NtoN2O*kgtoGg=0,"NO",('Activity data'!AD8*EF!$H39*EF!$H57)*NtoN2O*kgtoGg)</f>
        <v>0.52988033061170758</v>
      </c>
      <c r="L1414" s="28">
        <f>IF(('Activity data'!AE8*EF!$H39*EF!$H57)*NtoN2O*kgtoGg=0,"NO",('Activity data'!AE8*EF!$H39*EF!$H57)*NtoN2O*kgtoGg)</f>
        <v>0.52636805175151047</v>
      </c>
      <c r="M1414" s="28">
        <f>IF(('Activity data'!AF8*EF!$H39*EF!$H57)*NtoN2O*kgtoGg=0,"NO",('Activity data'!AF8*EF!$H39*EF!$H57)*NtoN2O*kgtoGg)</f>
        <v>0.51896264714173934</v>
      </c>
      <c r="N1414" s="28">
        <f>IF(('Activity data'!AG8*EF!$H39*EF!$H57)*NtoN2O*kgtoGg=0,"NO",('Activity data'!AG8*EF!$H39*EF!$H57)*NtoN2O*kgtoGg)</f>
        <v>0.50647981142977161</v>
      </c>
      <c r="O1414" s="28">
        <f>IF(('Activity data'!AH8*EF!$H39*EF!$H57)*NtoN2O*kgtoGg=0,"NO",('Activity data'!AH8*EF!$H39*EF!$H57)*NtoN2O*kgtoGg)</f>
        <v>0.4943686614451126</v>
      </c>
      <c r="P1414" s="28">
        <f>IF(('Activity data'!AI8*EF!$H39*EF!$H57)*NtoN2O*kgtoGg=0,"NO",('Activity data'!AI8*EF!$H39*EF!$H57)*NtoN2O*kgtoGg)</f>
        <v>0.48505348723916247</v>
      </c>
      <c r="Q1414" s="28">
        <f>IF(('Activity data'!AJ8*EF!$H39*EF!$H57)*NtoN2O*kgtoGg=0,"NO",('Activity data'!AJ8*EF!$H39*EF!$H57)*NtoN2O*kgtoGg)</f>
        <v>0.47662784045454271</v>
      </c>
      <c r="R1414" s="28">
        <f>IF(('Activity data'!AK8*EF!$H39*EF!$H57)*NtoN2O*kgtoGg=0,"NO",('Activity data'!AK8*EF!$H39*EF!$H57)*NtoN2O*kgtoGg)</f>
        <v>0.46338055897739389</v>
      </c>
      <c r="S1414" s="28">
        <f>IF(('Activity data'!AL8*EF!$H39*EF!$H57)*NtoN2O*kgtoGg=0,"NO",('Activity data'!AL8*EF!$H39*EF!$H57)*NtoN2O*kgtoGg)</f>
        <v>0.40641283743592205</v>
      </c>
      <c r="T1414" s="28">
        <f>IF(('Activity data'!AM8*EF!$H39*EF!$H57)*NtoN2O*kgtoGg=0,"NO",('Activity data'!AM8*EF!$H39*EF!$H57)*NtoN2O*kgtoGg)</f>
        <v>0.41028660340184542</v>
      </c>
      <c r="U1414" s="28">
        <f>IF(('Activity data'!AN8*EF!$H39*EF!$H57)*NtoN2O*kgtoGg=0,"NO",('Activity data'!AN8*EF!$H39*EF!$H57)*NtoN2O*kgtoGg)</f>
        <v>0.41290787540039242</v>
      </c>
      <c r="V1414" s="28">
        <f>IF(('Activity data'!AO8*EF!$H39*EF!$H57)*NtoN2O*kgtoGg=0,"NO",('Activity data'!AO8*EF!$H39*EF!$H57)*NtoN2O*kgtoGg)</f>
        <v>0.41544388868051429</v>
      </c>
      <c r="W1414" s="28">
        <f>IF(('Activity data'!AP8*EF!$H39*EF!$H57)*NtoN2O*kgtoGg=0,"NO",('Activity data'!AP8*EF!$H39*EF!$H57)*NtoN2O*kgtoGg)</f>
        <v>0.41963784467016801</v>
      </c>
      <c r="X1414" s="28">
        <f>IF(('Activity data'!AQ8*EF!$H39*EF!$H57)*NtoN2O*kgtoGg=0,"NO",('Activity data'!AQ8*EF!$H39*EF!$H57)*NtoN2O*kgtoGg)</f>
        <v>0.42369357816507769</v>
      </c>
      <c r="Y1414" s="28">
        <f>IF(('Activity data'!AR8*EF!$H39*EF!$H57)*NtoN2O*kgtoGg=0,"NO",('Activity data'!AR8*EF!$H39*EF!$H57)*NtoN2O*kgtoGg)</f>
        <v>0.42795148955175888</v>
      </c>
      <c r="Z1414" s="28">
        <f>IF(('Activity data'!AS8*EF!$H39*EF!$H57)*NtoN2O*kgtoGg=0,"NO",('Activity data'!AS8*EF!$H39*EF!$H57)*NtoN2O*kgtoGg)</f>
        <v>0.43165837799817441</v>
      </c>
      <c r="AA1414" s="28">
        <f>IF(('Activity data'!AT8*EF!$H39*EF!$H57)*NtoN2O*kgtoGg=0,"NO",('Activity data'!AT8*EF!$H39*EF!$H57)*NtoN2O*kgtoGg)</f>
        <v>0.43587731971405297</v>
      </c>
      <c r="AB1414" s="28">
        <f>IF(('Activity data'!AU8*EF!$H39*EF!$H57)*NtoN2O*kgtoGg=0,"NO",('Activity data'!AU8*EF!$H39*EF!$H57)*NtoN2O*kgtoGg)</f>
        <v>0.43917878455229692</v>
      </c>
      <c r="AC1414" s="28">
        <f>IF(('Activity data'!AV8*EF!$H39*EF!$H57)*NtoN2O*kgtoGg=0,"NO",('Activity data'!AV8*EF!$H39*EF!$H57)*NtoN2O*kgtoGg)</f>
        <v>0.44257083604017933</v>
      </c>
      <c r="AD1414" s="28">
        <f>IF(('Activity data'!AW8*EF!$H39*EF!$H57)*NtoN2O*kgtoGg=0,"NO",('Activity data'!AW8*EF!$H39*EF!$H57)*NtoN2O*kgtoGg)</f>
        <v>0.44415072955507112</v>
      </c>
      <c r="AE1414" s="28">
        <f>IF(('Activity data'!AX8*EF!$H39*EF!$H57)*NtoN2O*kgtoGg=0,"NO",('Activity data'!AX8*EF!$H39*EF!$H57)*NtoN2O*kgtoGg)</f>
        <v>0.44631708410431642</v>
      </c>
      <c r="AF1414" s="28">
        <f>IF(('Activity data'!AY8*EF!$H39*EF!$H57)*NtoN2O*kgtoGg=0,"NO",('Activity data'!AY8*EF!$H39*EF!$H57)*NtoN2O*kgtoGg)</f>
        <v>0.44847507790025098</v>
      </c>
      <c r="AG1414" s="28">
        <f>IF(('Activity data'!AZ8*EF!$H39*EF!$H57)*NtoN2O*kgtoGg=0,"NO",('Activity data'!AZ8*EF!$H39*EF!$H57)*NtoN2O*kgtoGg)</f>
        <v>0.43896382192914674</v>
      </c>
      <c r="AH1414" s="28">
        <f>IF(('Activity data'!BA8*EF!$H39*EF!$H57)*NtoN2O*kgtoGg=0,"NO",('Activity data'!BA8*EF!$H39*EF!$H57)*NtoN2O*kgtoGg)</f>
        <v>-0.10354549398732707</v>
      </c>
      <c r="AI1414" s="28">
        <f>IF(('Activity data'!BB8*EF!$H39*EF!$H57)*NtoN2O*kgtoGg=0,"NO",('Activity data'!BB8*EF!$H39*EF!$H57)*NtoN2O*kgtoGg)</f>
        <v>-0.10114359865651981</v>
      </c>
      <c r="AJ1414" s="28">
        <f>IF(('Activity data'!BC8*EF!$H39*EF!$H57)*NtoN2O*kgtoGg=0,"NO",('Activity data'!BC8*EF!$H39*EF!$H57)*NtoN2O*kgtoGg)</f>
        <v>-9.8779900999145701E-2</v>
      </c>
      <c r="AK1414" s="28">
        <f>IF(('Activity data'!BD8*EF!$H39*EF!$H57)*NtoN2O*kgtoGg=0,"NO",('Activity data'!BD8*EF!$H39*EF!$H57)*NtoN2O*kgtoGg)</f>
        <v>-9.645240042559923E-2</v>
      </c>
      <c r="AL1414" s="28">
        <f>IF(('Activity data'!BE8*EF!$H39*EF!$H57)*NtoN2O*kgtoGg=0,"NO",('Activity data'!BE8*EF!$H39*EF!$H57)*NtoN2O*kgtoGg)</f>
        <v>-9.4159234659003305E-2</v>
      </c>
      <c r="AM1414" s="28">
        <f>IF(('Activity data'!BF8*EF!$H39*EF!$H57)*NtoN2O*kgtoGg=0,"NO",('Activity data'!BF8*EF!$H39*EF!$H57)*NtoN2O*kgtoGg)</f>
        <v>-9.1898666918572763E-2</v>
      </c>
      <c r="AN1414" s="28">
        <f>IF(('Activity data'!BG8*EF!$H39*EF!$H57)*NtoN2O*kgtoGg=0,"NO",('Activity data'!BG8*EF!$H39*EF!$H57)*NtoN2O*kgtoGg)</f>
        <v>-9.0065857844413774E-2</v>
      </c>
      <c r="AO1414" s="28">
        <f>IF(('Activity data'!BH8*EF!$H39*EF!$H57)*NtoN2O*kgtoGg=0,"NO",('Activity data'!BH8*EF!$H39*EF!$H57)*NtoN2O*kgtoGg)</f>
        <v>-8.8260731137636633E-2</v>
      </c>
      <c r="AP1414" s="28">
        <f>IF(('Activity data'!BI8*EF!$H39*EF!$H57)*NtoN2O*kgtoGg=0,"NO",('Activity data'!BI8*EF!$H39*EF!$H57)*NtoN2O*kgtoGg)</f>
        <v>-8.6482032370585105E-2</v>
      </c>
      <c r="AQ1414" s="28">
        <f>IF(('Activity data'!BJ8*EF!$H39*EF!$H57)*NtoN2O*kgtoGg=0,"NO",('Activity data'!BJ8*EF!$H39*EF!$H57)*NtoN2O*kgtoGg)</f>
        <v>-8.4728585134525733E-2</v>
      </c>
      <c r="AR1414" s="28">
        <f>IF(('Activity data'!BK8*EF!$H39*EF!$H57)*NtoN2O*kgtoGg=0,"NO",('Activity data'!BK8*EF!$H39*EF!$H57)*NtoN2O*kgtoGg)</f>
        <v>-8.2999284570590512E-2</v>
      </c>
      <c r="AS1414" s="28">
        <f>IF(('Activity data'!BL8*EF!$H39*EF!$H57)*NtoN2O*kgtoGg=0,"NO",('Activity data'!BL8*EF!$H39*EF!$H57)*NtoN2O*kgtoGg)</f>
        <v>-8.1237842076259073E-2</v>
      </c>
      <c r="AT1414" s="28">
        <f>IF(('Activity data'!BM8*EF!$H39*EF!$H57)*NtoN2O*kgtoGg=0,"NO",('Activity data'!BM8*EF!$H39*EF!$H57)*NtoN2O*kgtoGg)</f>
        <v>-7.9500621662589185E-2</v>
      </c>
      <c r="AU1414" s="28">
        <f>IF(('Activity data'!BN8*EF!$H39*EF!$H57)*NtoN2O*kgtoGg=0,"NO",('Activity data'!BN8*EF!$H39*EF!$H57)*NtoN2O*kgtoGg)</f>
        <v>-7.7786670470567892E-2</v>
      </c>
      <c r="AV1414" s="28">
        <f>IF(('Activity data'!BO8*EF!$H39*EF!$H57)*NtoN2O*kgtoGg=0,"NO",('Activity data'!BO8*EF!$H39*EF!$H57)*NtoN2O*kgtoGg)</f>
        <v>-7.609508917583023E-2</v>
      </c>
      <c r="AW1414" s="28">
        <f>IF(('Activity data'!BP8*EF!$H39*EF!$H57)*NtoN2O*kgtoGg=0,"NO",('Activity data'!BP8*EF!$H39*EF!$H57)*NtoN2O*kgtoGg)</f>
        <v>-7.4425027988165984E-2</v>
      </c>
    </row>
    <row r="1415" spans="1:49" x14ac:dyDescent="0.25">
      <c r="A1415" s="102" t="s">
        <v>961</v>
      </c>
      <c r="B1415" s="102"/>
      <c r="C1415" s="102"/>
      <c r="D1415" t="str">
        <f t="shared" si="552"/>
        <v>3A Livestock</v>
      </c>
      <c r="E1415" t="str">
        <f t="shared" si="552"/>
        <v>3A2 Manure management (N2O)</v>
      </c>
      <c r="F1415" t="str">
        <f>EF!C58</f>
        <v>3A1aii Other cattle</v>
      </c>
      <c r="G1415" t="str">
        <f>EF!D58</f>
        <v>Subsistence</v>
      </c>
      <c r="H1415" t="str">
        <f t="shared" si="553"/>
        <v>Manure management Emissions</v>
      </c>
      <c r="I1415" t="s">
        <v>139</v>
      </c>
      <c r="J1415" t="str">
        <f t="shared" si="551"/>
        <v>Gg N2O</v>
      </c>
      <c r="K1415" s="28">
        <f>IF(('Activity data'!AD9*EF!$H40*EF!$H58)*NtoN2O*kgtoGg=0,"NO",('Activity data'!AD9*EF!$H40*EF!$H58)*NtoN2O*kgtoGg)</f>
        <v>0.81161466909134916</v>
      </c>
      <c r="L1415" s="28">
        <f>IF(('Activity data'!AE9*EF!$H40*EF!$H58)*NtoN2O*kgtoGg=0,"NO",('Activity data'!AE9*EF!$H40*EF!$H58)*NtoN2O*kgtoGg)</f>
        <v>0.80623493166726978</v>
      </c>
      <c r="M1415" s="28">
        <f>IF(('Activity data'!AF9*EF!$H40*EF!$H58)*NtoN2O*kgtoGg=0,"NO",('Activity data'!AF9*EF!$H40*EF!$H58)*NtoN2O*kgtoGg)</f>
        <v>0.79489211581881503</v>
      </c>
      <c r="N1415" s="28">
        <f>IF(('Activity data'!AG9*EF!$H40*EF!$H58)*NtoN2O*kgtoGg=0,"NO",('Activity data'!AG9*EF!$H40*EF!$H58)*NtoN2O*kgtoGg)</f>
        <v>0.77577222781694366</v>
      </c>
      <c r="O1415" s="28">
        <f>IF(('Activity data'!AH9*EF!$H40*EF!$H58)*NtoN2O*kgtoGg=0,"NO",('Activity data'!AH9*EF!$H40*EF!$H58)*NtoN2O*kgtoGg)</f>
        <v>0.75722164871587128</v>
      </c>
      <c r="P1415" s="28">
        <f>IF(('Activity data'!AI9*EF!$H40*EF!$H58)*NtoN2O*kgtoGg=0,"NO",('Activity data'!AI9*EF!$H40*EF!$H58)*NtoN2O*kgtoGg)</f>
        <v>0.74295364970944966</v>
      </c>
      <c r="Q1415" s="28">
        <f>IF(('Activity data'!AJ9*EF!$H40*EF!$H58)*NtoN2O*kgtoGg=0,"NO",('Activity data'!AJ9*EF!$H40*EF!$H58)*NtoN2O*kgtoGg)</f>
        <v>0.73004813476216801</v>
      </c>
      <c r="R1415" s="28">
        <f>IF(('Activity data'!AK9*EF!$H40*EF!$H58)*NtoN2O*kgtoGg=0,"NO",('Activity data'!AK9*EF!$H40*EF!$H58)*NtoN2O*kgtoGg)</f>
        <v>0.7097573495578483</v>
      </c>
      <c r="S1415" s="28">
        <f>IF(('Activity data'!AL9*EF!$H40*EF!$H58)*NtoN2O*kgtoGg=0,"NO",('Activity data'!AL9*EF!$H40*EF!$H58)*NtoN2O*kgtoGg)</f>
        <v>0.62250021658521282</v>
      </c>
      <c r="T1415" s="28">
        <f>IF(('Activity data'!AM9*EF!$H40*EF!$H58)*NtoN2O*kgtoGg=0,"NO",('Activity data'!AM9*EF!$H40*EF!$H58)*NtoN2O*kgtoGg)</f>
        <v>0.62843364173979577</v>
      </c>
      <c r="U1415" s="28">
        <f>IF(('Activity data'!AN9*EF!$H40*EF!$H58)*NtoN2O*kgtoGg=0,"NO",('Activity data'!AN9*EF!$H40*EF!$H58)*NtoN2O*kgtoGg)</f>
        <v>0.63244862905446586</v>
      </c>
      <c r="V1415" s="28">
        <f>IF(('Activity data'!AO9*EF!$H40*EF!$H58)*NtoN2O*kgtoGg=0,"NO",('Activity data'!AO9*EF!$H40*EF!$H58)*NtoN2O*kgtoGg)</f>
        <v>0.63633302607818865</v>
      </c>
      <c r="W1415" s="28">
        <f>IF(('Activity data'!AP9*EF!$H40*EF!$H58)*NtoN2O*kgtoGg=0,"NO",('Activity data'!AP9*EF!$H40*EF!$H58)*NtoN2O*kgtoGg)</f>
        <v>0.64275688445918766</v>
      </c>
      <c r="X1415" s="28">
        <f>IF(('Activity data'!AQ9*EF!$H40*EF!$H58)*NtoN2O*kgtoGg=0,"NO",('Activity data'!AQ9*EF!$H40*EF!$H58)*NtoN2O*kgtoGg)</f>
        <v>0.64896902823624347</v>
      </c>
      <c r="Y1415" s="28">
        <f>IF(('Activity data'!AR9*EF!$H40*EF!$H58)*NtoN2O*kgtoGg=0,"NO",('Activity data'!AR9*EF!$H40*EF!$H58)*NtoN2O*kgtoGg)</f>
        <v>0.65549084673275582</v>
      </c>
      <c r="Z1415" s="28">
        <f>IF(('Activity data'!AS9*EF!$H40*EF!$H58)*NtoN2O*kgtoGg=0,"NO",('Activity data'!AS9*EF!$H40*EF!$H58)*NtoN2O*kgtoGg)</f>
        <v>0.66116866654600104</v>
      </c>
      <c r="AA1415" s="28">
        <f>IF(('Activity data'!AT9*EF!$H40*EF!$H58)*NtoN2O*kgtoGg=0,"NO",('Activity data'!AT9*EF!$H40*EF!$H58)*NtoN2O*kgtoGg)</f>
        <v>0.66763079542082715</v>
      </c>
      <c r="AB1415" s="28">
        <f>IF(('Activity data'!AU9*EF!$H40*EF!$H58)*NtoN2O*kgtoGg=0,"NO",('Activity data'!AU9*EF!$H40*EF!$H58)*NtoN2O*kgtoGg)</f>
        <v>0.67268763021428868</v>
      </c>
      <c r="AC1415" s="28">
        <f>IF(('Activity data'!AV9*EF!$H40*EF!$H58)*NtoN2O*kgtoGg=0,"NO",('Activity data'!AV9*EF!$H40*EF!$H58)*NtoN2O*kgtoGg)</f>
        <v>0.67788321606043689</v>
      </c>
      <c r="AD1415" s="28">
        <f>IF(('Activity data'!AW9*EF!$H40*EF!$H58)*NtoN2O*kgtoGg=0,"NO",('Activity data'!AW9*EF!$H40*EF!$H58)*NtoN2O*kgtoGg)</f>
        <v>0.68030312991307629</v>
      </c>
      <c r="AE1415" s="28">
        <f>IF(('Activity data'!AX9*EF!$H40*EF!$H58)*NtoN2O*kgtoGg=0,"NO",('Activity data'!AX9*EF!$H40*EF!$H58)*NtoN2O*kgtoGg)</f>
        <v>0.68362132277483145</v>
      </c>
      <c r="AF1415" s="28">
        <f>IF(('Activity data'!AY9*EF!$H40*EF!$H58)*NtoN2O*kgtoGg=0,"NO",('Activity data'!AY9*EF!$H40*EF!$H58)*NtoN2O*kgtoGg)</f>
        <v>0.68692670951860213</v>
      </c>
      <c r="AG1415" s="28">
        <f>IF(('Activity data'!AZ9*EF!$H40*EF!$H58)*NtoN2O*kgtoGg=0,"NO",('Activity data'!AZ9*EF!$H40*EF!$H58)*NtoN2O*kgtoGg)</f>
        <v>0.67235837319496583</v>
      </c>
      <c r="AH1415" s="28">
        <f>IF(('Activity data'!BA9*EF!$H40*EF!$H58)*NtoN2O*kgtoGg=0,"NO",('Activity data'!BA9*EF!$H40*EF!$H58)*NtoN2O*kgtoGg)</f>
        <v>-0.1586000403929089</v>
      </c>
      <c r="AI1415" s="28">
        <f>IF(('Activity data'!BB9*EF!$H40*EF!$H58)*NtoN2O*kgtoGg=0,"NO",('Activity data'!BB9*EF!$H40*EF!$H58)*NtoN2O*kgtoGg)</f>
        <v>-0.15492107106439137</v>
      </c>
      <c r="AJ1415" s="28">
        <f>IF(('Activity data'!BC9*EF!$H40*EF!$H58)*NtoN2O*kgtoGg=0,"NO",('Activity data'!BC9*EF!$H40*EF!$H58)*NtoN2O*kgtoGg)</f>
        <v>-0.15130060889360838</v>
      </c>
      <c r="AK1415" s="28">
        <f>IF(('Activity data'!BD9*EF!$H40*EF!$H58)*NtoN2O*kgtoGg=0,"NO",('Activity data'!BD9*EF!$H40*EF!$H58)*NtoN2O*kgtoGg)</f>
        <v>-0.14773558958891347</v>
      </c>
      <c r="AL1415" s="28">
        <f>IF(('Activity data'!BE9*EF!$H40*EF!$H58)*NtoN2O*kgtoGg=0,"NO",('Activity data'!BE9*EF!$H40*EF!$H58)*NtoN2O*kgtoGg)</f>
        <v>-0.14422316071147476</v>
      </c>
      <c r="AM1415" s="28">
        <f>IF(('Activity data'!BF9*EF!$H40*EF!$H58)*NtoN2O*kgtoGg=0,"NO",('Activity data'!BF9*EF!$H40*EF!$H58)*NtoN2O*kgtoGg)</f>
        <v>-0.1407606620441057</v>
      </c>
      <c r="AN1415" s="28">
        <f>IF(('Activity data'!BG9*EF!$H40*EF!$H58)*NtoN2O*kgtoGg=0,"NO",('Activity data'!BG9*EF!$H40*EF!$H58)*NtoN2O*kgtoGg)</f>
        <v>-0.1379533588771549</v>
      </c>
      <c r="AO1415" s="28">
        <f>IF(('Activity data'!BH9*EF!$H40*EF!$H58)*NtoN2O*kgtoGg=0,"NO",('Activity data'!BH9*EF!$H40*EF!$H58)*NtoN2O*kgtoGg)</f>
        <v>-0.13518845663385484</v>
      </c>
      <c r="AP1415" s="28">
        <f>IF(('Activity data'!BI9*EF!$H40*EF!$H58)*NtoN2O*kgtoGg=0,"NO",('Activity data'!BI9*EF!$H40*EF!$H58)*NtoN2O*kgtoGg)</f>
        <v>-0.13246403391454542</v>
      </c>
      <c r="AQ1415" s="28">
        <f>IF(('Activity data'!BJ9*EF!$H40*EF!$H58)*NtoN2O*kgtoGg=0,"NO",('Activity data'!BJ9*EF!$H40*EF!$H58)*NtoN2O*kgtoGg)</f>
        <v>-0.12977828882070402</v>
      </c>
      <c r="AR1415" s="28">
        <f>IF(('Activity data'!BK9*EF!$H40*EF!$H58)*NtoN2O*kgtoGg=0,"NO",('Activity data'!BK9*EF!$H40*EF!$H58)*NtoN2O*kgtoGg)</f>
        <v>-0.12712952904632721</v>
      </c>
      <c r="AS1415" s="28">
        <f>IF(('Activity data'!BL9*EF!$H40*EF!$H58)*NtoN2O*kgtoGg=0,"NO",('Activity data'!BL9*EF!$H40*EF!$H58)*NtoN2O*kgtoGg)</f>
        <v>-0.12443153766115941</v>
      </c>
      <c r="AT1415" s="28">
        <f>IF(('Activity data'!BM9*EF!$H40*EF!$H58)*NtoN2O*kgtoGg=0,"NO",('Activity data'!BM9*EF!$H40*EF!$H58)*NtoN2O*kgtoGg)</f>
        <v>-0.12177064709828132</v>
      </c>
      <c r="AU1415" s="28">
        <f>IF(('Activity data'!BN9*EF!$H40*EF!$H58)*NtoN2O*kgtoGg=0,"NO",('Activity data'!BN9*EF!$H40*EF!$H58)*NtoN2O*kgtoGg)</f>
        <v>-0.11914539786899743</v>
      </c>
      <c r="AV1415" s="28">
        <f>IF(('Activity data'!BO9*EF!$H40*EF!$H58)*NtoN2O*kgtoGg=0,"NO",('Activity data'!BO9*EF!$H40*EF!$H58)*NtoN2O*kgtoGg)</f>
        <v>-0.11655441248332606</v>
      </c>
      <c r="AW1415" s="28">
        <f>IF(('Activity data'!BP9*EF!$H40*EF!$H58)*NtoN2O*kgtoGg=0,"NO",('Activity data'!BP9*EF!$H40*EF!$H58)*NtoN2O*kgtoGg)</f>
        <v>-0.11399638932246699</v>
      </c>
    </row>
    <row r="1416" spans="1:49" x14ac:dyDescent="0.25">
      <c r="A1416" s="102" t="s">
        <v>961</v>
      </c>
      <c r="B1416" s="102"/>
      <c r="C1416" s="102"/>
      <c r="D1416" t="str">
        <f t="shared" si="552"/>
        <v>3A Livestock</v>
      </c>
      <c r="E1416" t="str">
        <f t="shared" si="552"/>
        <v>3A2 Manure management (N2O)</v>
      </c>
      <c r="F1416" t="str">
        <f>EF!C59</f>
        <v>3A1aii Other cattle</v>
      </c>
      <c r="G1416" t="str">
        <f>EF!D59</f>
        <v>Feedlot</v>
      </c>
      <c r="H1416" t="str">
        <f t="shared" si="553"/>
        <v>Manure management Emissions</v>
      </c>
      <c r="I1416" t="s">
        <v>139</v>
      </c>
      <c r="J1416" t="str">
        <f t="shared" si="551"/>
        <v>Gg N2O</v>
      </c>
      <c r="K1416" s="28">
        <f>IF(('Activity data'!AD10*EF!$H41*EF!$H59)*NtoN2O*kgtoGg=0,"NO",('Activity data'!AD10*EF!$H41*EF!$H59)*NtoN2O*kgtoGg)</f>
        <v>0.98462431665992833</v>
      </c>
      <c r="L1416" s="28">
        <f>IF(('Activity data'!AE10*EF!$H41*EF!$H59)*NtoN2O*kgtoGg=0,"NO",('Activity data'!AE10*EF!$H41*EF!$H59)*NtoN2O*kgtoGg)</f>
        <v>1.0196918835505078</v>
      </c>
      <c r="M1416" s="28">
        <f>IF(('Activity data'!AF10*EF!$H41*EF!$H59)*NtoN2O*kgtoGg=0,"NO",('Activity data'!AF10*EF!$H41*EF!$H59)*NtoN2O*kgtoGg)</f>
        <v>1.0475259814074214</v>
      </c>
      <c r="N1416" s="28">
        <f>IF(('Activity data'!AG10*EF!$H41*EF!$H59)*NtoN2O*kgtoGg=0,"NO",('Activity data'!AG10*EF!$H41*EF!$H59)*NtoN2O*kgtoGg)</f>
        <v>1.0647388767946648</v>
      </c>
      <c r="O1416" s="28">
        <f>IF(('Activity data'!AH10*EF!$H41*EF!$H59)*NtoN2O*kgtoGg=0,"NO",('Activity data'!AH10*EF!$H41*EF!$H59)*NtoN2O*kgtoGg)</f>
        <v>1.0819877052462501</v>
      </c>
      <c r="P1416" s="28">
        <f>IF(('Activity data'!AI10*EF!$H41*EF!$H59)*NtoN2O*kgtoGg=0,"NO",('Activity data'!AI10*EF!$H41*EF!$H59)*NtoN2O*kgtoGg)</f>
        <v>1.1048938649963369</v>
      </c>
      <c r="Q1416" s="28">
        <f>IF(('Activity data'!AJ10*EF!$H41*EF!$H59)*NtoN2O*kgtoGg=0,"NO",('Activity data'!AJ10*EF!$H41*EF!$H59)*NtoN2O*kgtoGg)</f>
        <v>1.1297091115066857</v>
      </c>
      <c r="R1416" s="28">
        <f>IF(('Activity data'!AK10*EF!$H41*EF!$H59)*NtoN2O*kgtoGg=0,"NO",('Activity data'!AK10*EF!$H41*EF!$H59)*NtoN2O*kgtoGg)</f>
        <v>1.142623258953418</v>
      </c>
      <c r="S1416" s="28">
        <f>IF(('Activity data'!AL10*EF!$H41*EF!$H59)*NtoN2O*kgtoGg=0,"NO",('Activity data'!AL10*EF!$H41*EF!$H59)*NtoN2O*kgtoGg)</f>
        <v>1.0424500724104675</v>
      </c>
      <c r="T1416" s="28">
        <f>IF(('Activity data'!AM10*EF!$H41*EF!$H59)*NtoN2O*kgtoGg=0,"NO",('Activity data'!AM10*EF!$H41*EF!$H59)*NtoN2O*kgtoGg)</f>
        <v>1.0775354748112338</v>
      </c>
      <c r="U1416" s="28">
        <f>IF(('Activity data'!AN10*EF!$H41*EF!$H59)*NtoN2O*kgtoGg=0,"NO",('Activity data'!AN10*EF!$H41*EF!$H59)*NtoN2O*kgtoGg)</f>
        <v>1.1099789671042184</v>
      </c>
      <c r="V1416" s="28">
        <f>IF(('Activity data'!AO10*EF!$H41*EF!$H59)*NtoN2O*kgtoGg=0,"NO",('Activity data'!AO10*EF!$H41*EF!$H59)*NtoN2O*kgtoGg)</f>
        <v>1.1427845071049993</v>
      </c>
      <c r="W1416" s="28">
        <f>IF(('Activity data'!AP10*EF!$H41*EF!$H59)*NtoN2O*kgtoGg=0,"NO",('Activity data'!AP10*EF!$H41*EF!$H59)*NtoN2O*kgtoGg)</f>
        <v>1.1808667721174206</v>
      </c>
      <c r="X1416" s="28">
        <f>IF(('Activity data'!AQ10*EF!$H41*EF!$H59)*NtoN2O*kgtoGg=0,"NO",('Activity data'!AQ10*EF!$H41*EF!$H59)*NtoN2O*kgtoGg)</f>
        <v>1.219399784150359</v>
      </c>
      <c r="Y1416" s="28">
        <f>IF(('Activity data'!AR10*EF!$H41*EF!$H59)*NtoN2O*kgtoGg=0,"NO",('Activity data'!AR10*EF!$H41*EF!$H59)*NtoN2O*kgtoGg)</f>
        <v>1.2593873285345614</v>
      </c>
      <c r="Z1416" s="28">
        <f>IF(('Activity data'!AS10*EF!$H41*EF!$H59)*NtoN2O*kgtoGg=0,"NO",('Activity data'!AS10*EF!$H41*EF!$H59)*NtoN2O*kgtoGg)</f>
        <v>1.2986321214759353</v>
      </c>
      <c r="AA1416" s="28">
        <f>IF(('Activity data'!AT10*EF!$H41*EF!$H59)*NtoN2O*kgtoGg=0,"NO",('Activity data'!AT10*EF!$H41*EF!$H59)*NtoN2O*kgtoGg)</f>
        <v>1.3403229537470696</v>
      </c>
      <c r="AB1416" s="28">
        <f>IF(('Activity data'!AU10*EF!$H41*EF!$H59)*NtoN2O*kgtoGg=0,"NO",('Activity data'!AU10*EF!$H41*EF!$H59)*NtoN2O*kgtoGg)</f>
        <v>1.3800999976091688</v>
      </c>
      <c r="AC1416" s="28">
        <f>IF(('Activity data'!AV10*EF!$H41*EF!$H59)*NtoN2O*kgtoGg=0,"NO",('Activity data'!AV10*EF!$H41*EF!$H59)*NtoN2O*kgtoGg)</f>
        <v>1.4210424625750864</v>
      </c>
      <c r="AD1416" s="28">
        <f>IF(('Activity data'!AW10*EF!$H41*EF!$H59)*NtoN2O*kgtoGg=0,"NO",('Activity data'!AW10*EF!$H41*EF!$H59)*NtoN2O*kgtoGg)</f>
        <v>1.4731597843117399</v>
      </c>
      <c r="AE1416" s="28">
        <f>IF(('Activity data'!AX10*EF!$H41*EF!$H59)*NtoN2O*kgtoGg=0,"NO",('Activity data'!AX10*EF!$H41*EF!$H59)*NtoN2O*kgtoGg)</f>
        <v>1.5292748745002132</v>
      </c>
      <c r="AF1416" s="28">
        <f>IF(('Activity data'!AY10*EF!$H41*EF!$H59)*NtoN2O*kgtoGg=0,"NO",('Activity data'!AY10*EF!$H41*EF!$H59)*NtoN2O*kgtoGg)</f>
        <v>1.58759303710444</v>
      </c>
      <c r="AG1416" s="28">
        <f>IF(('Activity data'!AZ10*EF!$H41*EF!$H59)*NtoN2O*kgtoGg=0,"NO",('Activity data'!AZ10*EF!$H41*EF!$H59)*NtoN2O*kgtoGg)</f>
        <v>1.6055856657240113</v>
      </c>
      <c r="AH1416" s="28">
        <f>IF(('Activity data'!BA10*EF!$H41*EF!$H59)*NtoN2O*kgtoGg=0,"NO",('Activity data'!BA10*EF!$H41*EF!$H59)*NtoN2O*kgtoGg)</f>
        <v>-0.39137548720927395</v>
      </c>
      <c r="AI1416" s="28">
        <f>IF(('Activity data'!BB10*EF!$H41*EF!$H59)*NtoN2O*kgtoGg=0,"NO",('Activity data'!BB10*EF!$H41*EF!$H59)*NtoN2O*kgtoGg)</f>
        <v>-0.39511268844976988</v>
      </c>
      <c r="AJ1416" s="28">
        <f>IF(('Activity data'!BC10*EF!$H41*EF!$H59)*NtoN2O*kgtoGg=0,"NO",('Activity data'!BC10*EF!$H41*EF!$H59)*NtoN2O*kgtoGg)</f>
        <v>-0.39888027556232269</v>
      </c>
      <c r="AK1416" s="28">
        <f>IF(('Activity data'!BD10*EF!$H41*EF!$H59)*NtoN2O*kgtoGg=0,"NO",('Activity data'!BD10*EF!$H41*EF!$H59)*NtoN2O*kgtoGg)</f>
        <v>-0.40267853610571114</v>
      </c>
      <c r="AL1416" s="28">
        <f>IF(('Activity data'!BE10*EF!$H41*EF!$H59)*NtoN2O*kgtoGg=0,"NO",('Activity data'!BE10*EF!$H41*EF!$H59)*NtoN2O*kgtoGg)</f>
        <v>-0.40650776022057733</v>
      </c>
      <c r="AM1416" s="28">
        <f>IF(('Activity data'!BF10*EF!$H41*EF!$H59)*NtoN2O*kgtoGg=0,"NO",('Activity data'!BF10*EF!$H41*EF!$H59)*NtoN2O*kgtoGg)</f>
        <v>-0.41036824065181815</v>
      </c>
      <c r="AN1416" s="28">
        <f>IF(('Activity data'!BG10*EF!$H41*EF!$H59)*NtoN2O*kgtoGg=0,"NO",('Activity data'!BG10*EF!$H41*EF!$H59)*NtoN2O*kgtoGg)</f>
        <v>-0.41346631245955484</v>
      </c>
      <c r="AO1416" s="28">
        <f>IF(('Activity data'!BH10*EF!$H41*EF!$H59)*NtoN2O*kgtoGg=0,"NO",('Activity data'!BH10*EF!$H41*EF!$H59)*NtoN2O*kgtoGg)</f>
        <v>-0.41658575471490794</v>
      </c>
      <c r="AP1416" s="28">
        <f>IF(('Activity data'!BI10*EF!$H41*EF!$H59)*NtoN2O*kgtoGg=0,"NO",('Activity data'!BI10*EF!$H41*EF!$H59)*NtoN2O*kgtoGg)</f>
        <v>-0.41972673655234932</v>
      </c>
      <c r="AQ1416" s="28">
        <f>IF(('Activity data'!BJ10*EF!$H41*EF!$H59)*NtoN2O*kgtoGg=0,"NO",('Activity data'!BJ10*EF!$H41*EF!$H59)*NtoN2O*kgtoGg)</f>
        <v>-0.42288942838293692</v>
      </c>
      <c r="AR1416" s="28">
        <f>IF(('Activity data'!BK10*EF!$H41*EF!$H59)*NtoN2O*kgtoGg=0,"NO",('Activity data'!BK10*EF!$H41*EF!$H59)*NtoN2O*kgtoGg)</f>
        <v>-0.42607400190364725</v>
      </c>
      <c r="AS1416" s="28">
        <f>IF(('Activity data'!BL10*EF!$H41*EF!$H59)*NtoN2O*kgtoGg=0,"NO",('Activity data'!BL10*EF!$H41*EF!$H59)*NtoN2O*kgtoGg)</f>
        <v>-0.42898887673310604</v>
      </c>
      <c r="AT1416" s="28">
        <f>IF(('Activity data'!BM10*EF!$H41*EF!$H59)*NtoN2O*kgtoGg=0,"NO",('Activity data'!BM10*EF!$H41*EF!$H59)*NtoN2O*kgtoGg)</f>
        <v>-0.43192052701996581</v>
      </c>
      <c r="AU1416" s="28">
        <f>IF(('Activity data'!BN10*EF!$H41*EF!$H59)*NtoN2O*kgtoGg=0,"NO",('Activity data'!BN10*EF!$H41*EF!$H59)*NtoN2O*kgtoGg)</f>
        <v>-0.43486906373806822</v>
      </c>
      <c r="AV1416" s="28">
        <f>IF(('Activity data'!BO10*EF!$H41*EF!$H59)*NtoN2O*kgtoGg=0,"NO",('Activity data'!BO10*EF!$H41*EF!$H59)*NtoN2O*kgtoGg)</f>
        <v>-0.43783459855710477</v>
      </c>
      <c r="AW1416" s="28">
        <f>IF(('Activity data'!BP10*EF!$H41*EF!$H59)*NtoN2O*kgtoGg=0,"NO",('Activity data'!BP10*EF!$H41*EF!$H59)*NtoN2O*kgtoGg)</f>
        <v>-0.4408172438468278</v>
      </c>
    </row>
    <row r="1417" spans="1:49" x14ac:dyDescent="0.25">
      <c r="A1417" s="102" t="s">
        <v>961</v>
      </c>
      <c r="B1417" s="102"/>
      <c r="C1417" s="102"/>
      <c r="D1417" t="str">
        <f t="shared" si="552"/>
        <v>3A Livestock</v>
      </c>
      <c r="E1417" t="str">
        <f t="shared" si="552"/>
        <v>3A2 Manure management (N2O)</v>
      </c>
      <c r="F1417" t="str">
        <f>EF!C60</f>
        <v>3A1c Sheep</v>
      </c>
      <c r="G1417" t="str">
        <f>EF!D60</f>
        <v>Commercial</v>
      </c>
      <c r="H1417" t="str">
        <f t="shared" si="553"/>
        <v>Manure management Emissions</v>
      </c>
      <c r="I1417" t="s">
        <v>139</v>
      </c>
      <c r="J1417" t="str">
        <f t="shared" si="551"/>
        <v>Gg N2O</v>
      </c>
      <c r="K1417" s="28">
        <f>IF(('Activity data'!AD11*EF!$H42*EF!$H60)*NtoN2O*kgtoGg=0,"NO",('Activity data'!AD11*EF!$H42*EF!$H60)*NtoN2O*kgtoGg)</f>
        <v>0.1171858684484313</v>
      </c>
      <c r="L1417" s="28">
        <f>IF(('Activity data'!AE11*EF!$H42*EF!$H60)*NtoN2O*kgtoGg=0,"NO",('Activity data'!AE11*EF!$H42*EF!$H60)*NtoN2O*kgtoGg)</f>
        <v>0.11724986264912746</v>
      </c>
      <c r="M1417" s="28">
        <f>IF(('Activity data'!AF11*EF!$H42*EF!$H60)*NtoN2O*kgtoGg=0,"NO",('Activity data'!AF11*EF!$H42*EF!$H60)*NtoN2O*kgtoGg)</f>
        <v>0.11739315795736154</v>
      </c>
      <c r="N1417" s="28">
        <f>IF(('Activity data'!AG11*EF!$H42*EF!$H60)*NtoN2O*kgtoGg=0,"NO",('Activity data'!AG11*EF!$H42*EF!$H60)*NtoN2O*kgtoGg)</f>
        <v>0.11760884747933324</v>
      </c>
      <c r="O1417" s="28">
        <f>IF(('Activity data'!AH11*EF!$H42*EF!$H60)*NtoN2O*kgtoGg=0,"NO",('Activity data'!AH11*EF!$H42*EF!$H60)*NtoN2O*kgtoGg)</f>
        <v>0.11789981697079396</v>
      </c>
      <c r="P1417" s="28">
        <f>IF(('Activity data'!AI11*EF!$H42*EF!$H60)*NtoN2O*kgtoGg=0,"NO",('Activity data'!AI11*EF!$H42*EF!$H60)*NtoN2O*kgtoGg)</f>
        <v>0.11826637517857025</v>
      </c>
      <c r="Q1417" s="28">
        <f>IF(('Activity data'!AJ11*EF!$H42*EF!$H60)*NtoN2O*kgtoGg=0,"NO",('Activity data'!AJ11*EF!$H42*EF!$H60)*NtoN2O*kgtoGg)</f>
        <v>0.11867470616236446</v>
      </c>
      <c r="R1417" s="28">
        <f>IF(('Activity data'!AK11*EF!$H42*EF!$H60)*NtoN2O*kgtoGg=0,"NO",('Activity data'!AK11*EF!$H42*EF!$H60)*NtoN2O*kgtoGg)</f>
        <v>0.11911724401941932</v>
      </c>
      <c r="S1417" s="28">
        <f>IF(('Activity data'!AL11*EF!$H42*EF!$H60)*NtoN2O*kgtoGg=0,"NO",('Activity data'!AL11*EF!$H42*EF!$H60)*NtoN2O*kgtoGg)</f>
        <v>0.11953310214883348</v>
      </c>
      <c r="T1417" s="28">
        <f>IF(('Activity data'!AM11*EF!$H42*EF!$H60)*NtoN2O*kgtoGg=0,"NO",('Activity data'!AM11*EF!$H42*EF!$H60)*NtoN2O*kgtoGg)</f>
        <v>0.11970681414230742</v>
      </c>
      <c r="U1417" s="28">
        <f>IF(('Activity data'!AN11*EF!$H42*EF!$H60)*NtoN2O*kgtoGg=0,"NO",('Activity data'!AN11*EF!$H42*EF!$H60)*NtoN2O*kgtoGg)</f>
        <v>0.11990838567894911</v>
      </c>
      <c r="V1417" s="28">
        <f>IF(('Activity data'!AO11*EF!$H42*EF!$H60)*NtoN2O*kgtoGg=0,"NO",('Activity data'!AO11*EF!$H42*EF!$H60)*NtoN2O*kgtoGg)</f>
        <v>0.12013777542784022</v>
      </c>
      <c r="W1417" s="28">
        <f>IF(('Activity data'!AP11*EF!$H42*EF!$H60)*NtoN2O*kgtoGg=0,"NO",('Activity data'!AP11*EF!$H42*EF!$H60)*NtoN2O*kgtoGg)</f>
        <v>0.1203961718842316</v>
      </c>
      <c r="X1417" s="28">
        <f>IF(('Activity data'!AQ11*EF!$H42*EF!$H60)*NtoN2O*kgtoGg=0,"NO",('Activity data'!AQ11*EF!$H42*EF!$H60)*NtoN2O*kgtoGg)</f>
        <v>0.12067943256873451</v>
      </c>
      <c r="Y1417" s="28">
        <f>IF(('Activity data'!AR11*EF!$H42*EF!$H60)*NtoN2O*kgtoGg=0,"NO",('Activity data'!AR11*EF!$H42*EF!$H60)*NtoN2O*kgtoGg)</f>
        <v>0.12085380112251057</v>
      </c>
      <c r="Z1417" s="28">
        <f>IF(('Activity data'!AS11*EF!$H42*EF!$H60)*NtoN2O*kgtoGg=0,"NO",('Activity data'!AS11*EF!$H42*EF!$H60)*NtoN2O*kgtoGg)</f>
        <v>0.12104857439732014</v>
      </c>
      <c r="AA1417" s="28">
        <f>IF(('Activity data'!AT11*EF!$H42*EF!$H60)*NtoN2O*kgtoGg=0,"NO",('Activity data'!AT11*EF!$H42*EF!$H60)*NtoN2O*kgtoGg)</f>
        <v>0.1212644592147404</v>
      </c>
      <c r="AB1417" s="28">
        <f>IF(('Activity data'!AU11*EF!$H42*EF!$H60)*NtoN2O*kgtoGg=0,"NO",('Activity data'!AU11*EF!$H42*EF!$H60)*NtoN2O*kgtoGg)</f>
        <v>0.12149813863258012</v>
      </c>
      <c r="AC1417" s="28">
        <f>IF(('Activity data'!AV11*EF!$H42*EF!$H60)*NtoN2O*kgtoGg=0,"NO",('Activity data'!AV11*EF!$H42*EF!$H60)*NtoN2O*kgtoGg)</f>
        <v>0.12175044819305053</v>
      </c>
      <c r="AD1417" s="28">
        <f>IF(('Activity data'!AW11*EF!$H42*EF!$H60)*NtoN2O*kgtoGg=0,"NO",('Activity data'!AW11*EF!$H42*EF!$H60)*NtoN2O*kgtoGg)</f>
        <v>0.12191654827812352</v>
      </c>
      <c r="AE1417" s="28">
        <f>IF(('Activity data'!AX11*EF!$H42*EF!$H60)*NtoN2O*kgtoGg=0,"NO",('Activity data'!AX11*EF!$H42*EF!$H60)*NtoN2O*kgtoGg)</f>
        <v>0.12210011953046386</v>
      </c>
      <c r="AF1417" s="28">
        <f>IF(('Activity data'!AY11*EF!$H42*EF!$H60)*NtoN2O*kgtoGg=0,"NO",('Activity data'!AY11*EF!$H42*EF!$H60)*NtoN2O*kgtoGg)</f>
        <v>0.12229951100214119</v>
      </c>
      <c r="AG1417" s="28">
        <f>IF(('Activity data'!AZ11*EF!$H42*EF!$H60)*NtoN2O*kgtoGg=0,"NO",('Activity data'!AZ11*EF!$H42*EF!$H60)*NtoN2O*kgtoGg)</f>
        <v>0.12249214859428272</v>
      </c>
      <c r="AH1417" s="28">
        <f>IF(('Activity data'!BA11*EF!$H42*EF!$H60)*NtoN2O*kgtoGg=0,"NO",('Activity data'!BA11*EF!$H42*EF!$H60)*NtoN2O*kgtoGg)</f>
        <v>0.12166856520731396</v>
      </c>
      <c r="AI1417" s="28">
        <f>IF(('Activity data'!BB11*EF!$H42*EF!$H60)*NtoN2O*kgtoGg=0,"NO",('Activity data'!BB11*EF!$H42*EF!$H60)*NtoN2O*kgtoGg)</f>
        <v>0.12178552707040835</v>
      </c>
      <c r="AJ1417" s="28">
        <f>IF(('Activity data'!BC11*EF!$H42*EF!$H60)*NtoN2O*kgtoGg=0,"NO",('Activity data'!BC11*EF!$H42*EF!$H60)*NtoN2O*kgtoGg)</f>
        <v>0.12191459506568997</v>
      </c>
      <c r="AK1417" s="28">
        <f>IF(('Activity data'!BD11*EF!$H42*EF!$H60)*NtoN2O*kgtoGg=0,"NO",('Activity data'!BD11*EF!$H42*EF!$H60)*NtoN2O*kgtoGg)</f>
        <v>0.12205531183364191</v>
      </c>
      <c r="AL1417" s="28">
        <f>IF(('Activity data'!BE11*EF!$H42*EF!$H60)*NtoN2O*kgtoGg=0,"NO",('Activity data'!BE11*EF!$H42*EF!$H60)*NtoN2O*kgtoGg)</f>
        <v>0.1222072553657907</v>
      </c>
      <c r="AM1417" s="28">
        <f>IF(('Activity data'!BF11*EF!$H42*EF!$H60)*NtoN2O*kgtoGg=0,"NO",('Activity data'!BF11*EF!$H42*EF!$H60)*NtoN2O*kgtoGg)</f>
        <v>0.12237003565016037</v>
      </c>
      <c r="AN1417" s="28">
        <f>IF(('Activity data'!BG11*EF!$H42*EF!$H60)*NtoN2O*kgtoGg=0,"NO",('Activity data'!BG11*EF!$H42*EF!$H60)*NtoN2O*kgtoGg)</f>
        <v>0.12244903306979282</v>
      </c>
      <c r="AO1417" s="28">
        <f>IF(('Activity data'!BH11*EF!$H42*EF!$H60)*NtoN2O*kgtoGg=0,"NO",('Activity data'!BH11*EF!$H42*EF!$H60)*NtoN2O*kgtoGg)</f>
        <v>0.12253757835817966</v>
      </c>
      <c r="AP1417" s="28">
        <f>IF(('Activity data'!BI11*EF!$H42*EF!$H60)*NtoN2O*kgtoGg=0,"NO",('Activity data'!BI11*EF!$H42*EF!$H60)*NtoN2O*kgtoGg)</f>
        <v>0.12263533922697641</v>
      </c>
      <c r="AQ1417" s="28">
        <f>IF(('Activity data'!BJ11*EF!$H42*EF!$H60)*NtoN2O*kgtoGg=0,"NO",('Activity data'!BJ11*EF!$H42*EF!$H60)*NtoN2O*kgtoGg)</f>
        <v>0.12274200613087835</v>
      </c>
      <c r="AR1417" s="28">
        <f>IF(('Activity data'!BK11*EF!$H42*EF!$H60)*NtoN2O*kgtoGg=0,"NO",('Activity data'!BK11*EF!$H42*EF!$H60)*NtoN2O*kgtoGg)</f>
        <v>0.12285729033548833</v>
      </c>
      <c r="AS1417" s="28">
        <f>IF(('Activity data'!BL11*EF!$H42*EF!$H60)*NtoN2O*kgtoGg=0,"NO",('Activity data'!BL11*EF!$H42*EF!$H60)*NtoN2O*kgtoGg)</f>
        <v>0.12288572954642335</v>
      </c>
      <c r="AT1417" s="28">
        <f>IF(('Activity data'!BM11*EF!$H42*EF!$H60)*NtoN2O*kgtoGg=0,"NO",('Activity data'!BM11*EF!$H42*EF!$H60)*NtoN2O*kgtoGg)</f>
        <v>0.12292181660779716</v>
      </c>
      <c r="AU1417" s="28">
        <f>IF(('Activity data'!BN11*EF!$H42*EF!$H60)*NtoN2O*kgtoGg=0,"NO",('Activity data'!BN11*EF!$H42*EF!$H60)*NtoN2O*kgtoGg)</f>
        <v>0.12296529822294655</v>
      </c>
      <c r="AV1417" s="28">
        <f>IF(('Activity data'!BO11*EF!$H42*EF!$H60)*NtoN2O*kgtoGg=0,"NO",('Activity data'!BO11*EF!$H42*EF!$H60)*NtoN2O*kgtoGg)</f>
        <v>0.12301593656260404</v>
      </c>
      <c r="AW1417" s="28">
        <f>IF(('Activity data'!BP11*EF!$H42*EF!$H60)*NtoN2O*kgtoGg=0,"NO",('Activity data'!BP11*EF!$H42*EF!$H60)*NtoN2O*kgtoGg)</f>
        <v>0.12307350807543004</v>
      </c>
    </row>
    <row r="1418" spans="1:49" x14ac:dyDescent="0.25">
      <c r="A1418" s="102" t="s">
        <v>961</v>
      </c>
      <c r="B1418" s="102"/>
      <c r="C1418" s="102"/>
      <c r="D1418" t="str">
        <f t="shared" si="552"/>
        <v>3A Livestock</v>
      </c>
      <c r="E1418" t="str">
        <f t="shared" si="552"/>
        <v>3A2 Manure management (N2O)</v>
      </c>
      <c r="F1418" t="str">
        <f>EF!C61</f>
        <v>3A1c Sheep</v>
      </c>
      <c r="G1418" t="str">
        <f>EF!D61</f>
        <v>Subsistence</v>
      </c>
      <c r="H1418" t="str">
        <f t="shared" si="553"/>
        <v>Manure management Emissions</v>
      </c>
      <c r="I1418" t="s">
        <v>139</v>
      </c>
      <c r="J1418" t="str">
        <f t="shared" si="551"/>
        <v>Gg N2O</v>
      </c>
      <c r="K1418" s="28">
        <f>IF(('Activity data'!AD12*EF!$H43*EF!$H61)*NtoN2O*kgtoGg=0,"NO",('Activity data'!AD12*EF!$H43*EF!$H61)*NtoN2O*kgtoGg)</f>
        <v>6.266414044546309E-2</v>
      </c>
      <c r="L1418" s="28">
        <f>IF(('Activity data'!AE12*EF!$H43*EF!$H61)*NtoN2O*kgtoGg=0,"NO",('Activity data'!AE12*EF!$H43*EF!$H61)*NtoN2O*kgtoGg)</f>
        <v>6.2698360796715452E-2</v>
      </c>
      <c r="M1418" s="28">
        <f>IF(('Activity data'!AF12*EF!$H43*EF!$H61)*NtoN2O*kgtoGg=0,"NO",('Activity data'!AF12*EF!$H43*EF!$H61)*NtoN2O*kgtoGg)</f>
        <v>6.2774986736679445E-2</v>
      </c>
      <c r="N1418" s="28">
        <f>IF(('Activity data'!AG12*EF!$H43*EF!$H61)*NtoN2O*kgtoGg=0,"NO",('Activity data'!AG12*EF!$H43*EF!$H61)*NtoN2O*kgtoGg)</f>
        <v>6.2890324862994521E-2</v>
      </c>
      <c r="O1418" s="28">
        <f>IF(('Activity data'!AH12*EF!$H43*EF!$H61)*NtoN2O*kgtoGg=0,"NO",('Activity data'!AH12*EF!$H43*EF!$H61)*NtoN2O*kgtoGg)</f>
        <v>6.3045918308856697E-2</v>
      </c>
      <c r="P1418" s="28">
        <f>IF(('Activity data'!AI12*EF!$H43*EF!$H61)*NtoN2O*kgtoGg=0,"NO",('Activity data'!AI12*EF!$H43*EF!$H61)*NtoN2O*kgtoGg)</f>
        <v>6.324193217398956E-2</v>
      </c>
      <c r="Q1418" s="28">
        <f>IF(('Activity data'!AJ12*EF!$H43*EF!$H61)*NtoN2O*kgtoGg=0,"NO",('Activity data'!AJ12*EF!$H43*EF!$H61)*NtoN2O*kgtoGg)</f>
        <v>6.346028367366699E-2</v>
      </c>
      <c r="R1418" s="28">
        <f>IF(('Activity data'!AK12*EF!$H43*EF!$H61)*NtoN2O*kgtoGg=0,"NO",('Activity data'!AK12*EF!$H43*EF!$H61)*NtoN2O*kgtoGg)</f>
        <v>6.3696927006127543E-2</v>
      </c>
      <c r="S1418" s="28">
        <f>IF(('Activity data'!AL12*EF!$H43*EF!$H61)*NtoN2O*kgtoGg=0,"NO",('Activity data'!AL12*EF!$H43*EF!$H61)*NtoN2O*kgtoGg)</f>
        <v>6.3919303582518794E-2</v>
      </c>
      <c r="T1418" s="28">
        <f>IF(('Activity data'!AM12*EF!$H43*EF!$H61)*NtoN2O*kgtoGg=0,"NO",('Activity data'!AM12*EF!$H43*EF!$H61)*NtoN2O*kgtoGg)</f>
        <v>6.401219458465271E-2</v>
      </c>
      <c r="U1418" s="28">
        <f>IF(('Activity data'!AN12*EF!$H43*EF!$H61)*NtoN2O*kgtoGg=0,"NO",('Activity data'!AN12*EF!$H43*EF!$H61)*NtoN2O*kgtoGg)</f>
        <v>6.4119983239113915E-2</v>
      </c>
      <c r="V1418" s="28">
        <f>IF(('Activity data'!AO12*EF!$H43*EF!$H61)*NtoN2O*kgtoGg=0,"NO",('Activity data'!AO12*EF!$H43*EF!$H61)*NtoN2O*kgtoGg)</f>
        <v>6.4242647444547399E-2</v>
      </c>
      <c r="W1418" s="28">
        <f>IF(('Activity data'!AP12*EF!$H43*EF!$H61)*NtoN2O*kgtoGg=0,"NO",('Activity data'!AP12*EF!$H43*EF!$H61)*NtoN2O*kgtoGg)</f>
        <v>6.4380822738619198E-2</v>
      </c>
      <c r="X1418" s="28">
        <f>IF(('Activity data'!AQ12*EF!$H43*EF!$H61)*NtoN2O*kgtoGg=0,"NO",('Activity data'!AQ12*EF!$H43*EF!$H61)*NtoN2O*kgtoGg)</f>
        <v>6.4532293965921486E-2</v>
      </c>
      <c r="Y1418" s="28">
        <f>IF(('Activity data'!AR12*EF!$H43*EF!$H61)*NtoN2O*kgtoGg=0,"NO",('Activity data'!AR12*EF!$H43*EF!$H61)*NtoN2O*kgtoGg)</f>
        <v>6.462553605805911E-2</v>
      </c>
      <c r="Z1418" s="28">
        <f>IF(('Activity data'!AS12*EF!$H43*EF!$H61)*NtoN2O*kgtoGg=0,"NO",('Activity data'!AS12*EF!$H43*EF!$H61)*NtoN2O*kgtoGg)</f>
        <v>6.4729689400175275E-2</v>
      </c>
      <c r="AA1418" s="28">
        <f>IF(('Activity data'!AT12*EF!$H43*EF!$H61)*NtoN2O*kgtoGg=0,"NO",('Activity data'!AT12*EF!$H43*EF!$H61)*NtoN2O*kgtoGg)</f>
        <v>6.4845131959060415E-2</v>
      </c>
      <c r="AB1418" s="28">
        <f>IF(('Activity data'!AU12*EF!$H43*EF!$H61)*NtoN2O*kgtoGg=0,"NO",('Activity data'!AU12*EF!$H43*EF!$H61)*NtoN2O*kgtoGg)</f>
        <v>6.4970090028259403E-2</v>
      </c>
      <c r="AC1418" s="28">
        <f>IF(('Activity data'!AV12*EF!$H43*EF!$H61)*NtoN2O*kgtoGg=0,"NO",('Activity data'!AV12*EF!$H43*EF!$H61)*NtoN2O*kgtoGg)</f>
        <v>6.5105010406820332E-2</v>
      </c>
      <c r="AD1418" s="28">
        <f>IF(('Activity data'!AW12*EF!$H43*EF!$H61)*NtoN2O*kgtoGg=0,"NO",('Activity data'!AW12*EF!$H43*EF!$H61)*NtoN2O*kgtoGg)</f>
        <v>6.5193831006068584E-2</v>
      </c>
      <c r="AE1418" s="28">
        <f>IF(('Activity data'!AX12*EF!$H43*EF!$H61)*NtoN2O*kgtoGg=0,"NO",('Activity data'!AX12*EF!$H43*EF!$H61)*NtoN2O*kgtoGg)</f>
        <v>6.5291994162520045E-2</v>
      </c>
      <c r="AF1418" s="28">
        <f>IF(('Activity data'!AY12*EF!$H43*EF!$H61)*NtoN2O*kgtoGg=0,"NO",('Activity data'!AY12*EF!$H43*EF!$H61)*NtoN2O*kgtoGg)</f>
        <v>6.5398617045895405E-2</v>
      </c>
      <c r="AG1418" s="28">
        <f>IF(('Activity data'!AZ12*EF!$H43*EF!$H61)*NtoN2O*kgtoGg=0,"NO",('Activity data'!AZ12*EF!$H43*EF!$H61)*NtoN2O*kgtoGg)</f>
        <v>6.5501628349978927E-2</v>
      </c>
      <c r="AH1418" s="28">
        <f>IF(('Activity data'!BA12*EF!$H43*EF!$H61)*NtoN2O*kgtoGg=0,"NO",('Activity data'!BA12*EF!$H43*EF!$H61)*NtoN2O*kgtoGg)</f>
        <v>6.506122418083396E-2</v>
      </c>
      <c r="AI1418" s="28">
        <f>IF(('Activity data'!BB12*EF!$H43*EF!$H61)*NtoN2O*kgtoGg=0,"NO",('Activity data'!BB12*EF!$H43*EF!$H61)*NtoN2O*kgtoGg)</f>
        <v>6.512376853633306E-2</v>
      </c>
      <c r="AJ1418" s="28">
        <f>IF(('Activity data'!BC12*EF!$H43*EF!$H61)*NtoN2O*kgtoGg=0,"NO",('Activity data'!BC12*EF!$H43*EF!$H61)*NtoN2O*kgtoGg)</f>
        <v>6.5192786542432504E-2</v>
      </c>
      <c r="AK1418" s="28">
        <f>IF(('Activity data'!BD12*EF!$H43*EF!$H61)*NtoN2O*kgtoGg=0,"NO",('Activity data'!BD12*EF!$H43*EF!$H61)*NtoN2O*kgtoGg)</f>
        <v>6.5268033630044034E-2</v>
      </c>
      <c r="AL1418" s="28">
        <f>IF(('Activity data'!BE12*EF!$H43*EF!$H61)*NtoN2O*kgtoGg=0,"NO",('Activity data'!BE12*EF!$H43*EF!$H61)*NtoN2O*kgtoGg)</f>
        <v>6.534928413374741E-2</v>
      </c>
      <c r="AM1418" s="28">
        <f>IF(('Activity data'!BF12*EF!$H43*EF!$H61)*NtoN2O*kgtoGg=0,"NO",('Activity data'!BF12*EF!$H43*EF!$H61)*NtoN2O*kgtoGg)</f>
        <v>6.5436329497975634E-2</v>
      </c>
      <c r="AN1418" s="28">
        <f>IF(('Activity data'!BG12*EF!$H43*EF!$H61)*NtoN2O*kgtoGg=0,"NO",('Activity data'!BG12*EF!$H43*EF!$H61)*NtoN2O*kgtoGg)</f>
        <v>6.54785726921783E-2</v>
      </c>
      <c r="AO1418" s="28">
        <f>IF(('Activity data'!BH12*EF!$H43*EF!$H61)*NtoN2O*kgtoGg=0,"NO",('Activity data'!BH12*EF!$H43*EF!$H61)*NtoN2O*kgtoGg)</f>
        <v>6.552592152750053E-2</v>
      </c>
      <c r="AP1418" s="28">
        <f>IF(('Activity data'!BI12*EF!$H43*EF!$H61)*NtoN2O*kgtoGg=0,"NO",('Activity data'!BI12*EF!$H43*EF!$H61)*NtoN2O*kgtoGg)</f>
        <v>6.557819831559332E-2</v>
      </c>
      <c r="AQ1418" s="28">
        <f>IF(('Activity data'!BJ12*EF!$H43*EF!$H61)*NtoN2O*kgtoGg=0,"NO",('Activity data'!BJ12*EF!$H43*EF!$H61)*NtoN2O*kgtoGg)</f>
        <v>6.5635237529753657E-2</v>
      </c>
      <c r="AR1418" s="28">
        <f>IF(('Activity data'!BK12*EF!$H43*EF!$H61)*NtoN2O*kgtoGg=0,"NO",('Activity data'!BK12*EF!$H43*EF!$H61)*NtoN2O*kgtoGg)</f>
        <v>6.5696884771733188E-2</v>
      </c>
      <c r="AS1418" s="28">
        <f>IF(('Activity data'!BL12*EF!$H43*EF!$H61)*NtoN2O*kgtoGg=0,"NO",('Activity data'!BL12*EF!$H43*EF!$H61)*NtoN2O*kgtoGg)</f>
        <v>6.5712092396439034E-2</v>
      </c>
      <c r="AT1418" s="28">
        <f>IF(('Activity data'!BM12*EF!$H43*EF!$H61)*NtoN2O*kgtoGg=0,"NO",('Activity data'!BM12*EF!$H43*EF!$H61)*NtoN2O*kgtoGg)</f>
        <v>6.5731389643727739E-2</v>
      </c>
      <c r="AU1418" s="28">
        <f>IF(('Activity data'!BN12*EF!$H43*EF!$H61)*NtoN2O*kgtoGg=0,"NO",('Activity data'!BN12*EF!$H43*EF!$H61)*NtoN2O*kgtoGg)</f>
        <v>6.5754641065376054E-2</v>
      </c>
      <c r="AV1418" s="28">
        <f>IF(('Activity data'!BO12*EF!$H43*EF!$H61)*NtoN2O*kgtoGg=0,"NO",('Activity data'!BO12*EF!$H43*EF!$H61)*NtoN2O*kgtoGg)</f>
        <v>6.578171948421814E-2</v>
      </c>
      <c r="AW1418" s="28">
        <f>IF(('Activity data'!BP12*EF!$H43*EF!$H61)*NtoN2O*kgtoGg=0,"NO",('Activity data'!BP12*EF!$H43*EF!$H61)*NtoN2O*kgtoGg)</f>
        <v>6.5812505358088025E-2</v>
      </c>
    </row>
    <row r="1419" spans="1:49" x14ac:dyDescent="0.25">
      <c r="A1419" s="102" t="s">
        <v>961</v>
      </c>
      <c r="B1419" s="102"/>
      <c r="C1419" s="102"/>
      <c r="D1419" t="str">
        <f t="shared" si="552"/>
        <v>3A Livestock</v>
      </c>
      <c r="E1419" t="str">
        <f t="shared" si="552"/>
        <v>3A2 Manure management (N2O)</v>
      </c>
      <c r="F1419" t="str">
        <f>EF!C62</f>
        <v>3A1d Goats</v>
      </c>
      <c r="G1419" t="str">
        <f>EF!D62</f>
        <v>Commercial</v>
      </c>
      <c r="H1419" t="str">
        <f t="shared" si="553"/>
        <v>Manure management Emissions</v>
      </c>
      <c r="I1419" t="s">
        <v>139</v>
      </c>
      <c r="J1419" t="str">
        <f t="shared" si="551"/>
        <v>Gg N2O</v>
      </c>
      <c r="K1419" s="28">
        <f>IF(('Activity data'!AD13*EF!$H44*EF!$H62)*NtoN2O*kgtoGg=0,"NO",('Activity data'!AD13*EF!$H44*EF!$H62)*NtoN2O*kgtoGg)</f>
        <v>1.4485648992970149E-2</v>
      </c>
      <c r="L1419" s="28">
        <f>IF(('Activity data'!AE13*EF!$H44*EF!$H62)*NtoN2O*kgtoGg=0,"NO",('Activity data'!AE13*EF!$H44*EF!$H62)*NtoN2O*kgtoGg)</f>
        <v>1.4523430996818442E-2</v>
      </c>
      <c r="M1419" s="28">
        <f>IF(('Activity data'!AF13*EF!$H44*EF!$H62)*NtoN2O*kgtoGg=0,"NO",('Activity data'!AF13*EF!$H44*EF!$H62)*NtoN2O*kgtoGg)</f>
        <v>1.4573778863725229E-2</v>
      </c>
      <c r="N1419" s="28">
        <f>IF(('Activity data'!AG13*EF!$H44*EF!$H62)*NtoN2O*kgtoGg=0,"NO",('Activity data'!AG13*EF!$H44*EF!$H62)*NtoN2O*kgtoGg)</f>
        <v>1.4635573261684437E-2</v>
      </c>
      <c r="O1419" s="28">
        <f>IF(('Activity data'!AH13*EF!$H44*EF!$H62)*NtoN2O*kgtoGg=0,"NO",('Activity data'!AH13*EF!$H44*EF!$H62)*NtoN2O*kgtoGg)</f>
        <v>1.4709556756482728E-2</v>
      </c>
      <c r="P1419" s="28">
        <f>IF(('Activity data'!AI13*EF!$H44*EF!$H62)*NtoN2O*kgtoGg=0,"NO",('Activity data'!AI13*EF!$H44*EF!$H62)*NtoN2O*kgtoGg)</f>
        <v>1.4795926227225602E-2</v>
      </c>
      <c r="Q1419" s="28">
        <f>IF(('Activity data'!AJ13*EF!$H44*EF!$H62)*NtoN2O*kgtoGg=0,"NO",('Activity data'!AJ13*EF!$H44*EF!$H62)*NtoN2O*kgtoGg)</f>
        <v>1.4888271114151717E-2</v>
      </c>
      <c r="R1419" s="28">
        <f>IF(('Activity data'!AK13*EF!$H44*EF!$H62)*NtoN2O*kgtoGg=0,"NO",('Activity data'!AK13*EF!$H44*EF!$H62)*NtoN2O*kgtoGg)</f>
        <v>1.4985270961083385E-2</v>
      </c>
      <c r="S1419" s="28">
        <f>IF(('Activity data'!AL13*EF!$H44*EF!$H62)*NtoN2O*kgtoGg=0,"NO",('Activity data'!AL13*EF!$H44*EF!$H62)*NtoN2O*kgtoGg)</f>
        <v>1.5075379558400602E-2</v>
      </c>
      <c r="T1419" s="28">
        <f>IF(('Activity data'!AM13*EF!$H44*EF!$H62)*NtoN2O*kgtoGg=0,"NO",('Activity data'!AM13*EF!$H44*EF!$H62)*NtoN2O*kgtoGg)</f>
        <v>1.5117607192403527E-2</v>
      </c>
      <c r="U1419" s="28">
        <f>IF(('Activity data'!AN13*EF!$H44*EF!$H62)*NtoN2O*kgtoGg=0,"NO",('Activity data'!AN13*EF!$H44*EF!$H62)*NtoN2O*kgtoGg)</f>
        <v>1.5163912133825485E-2</v>
      </c>
      <c r="V1419" s="28">
        <f>IF(('Activity data'!AO13*EF!$H44*EF!$H62)*NtoN2O*kgtoGg=0,"NO",('Activity data'!AO13*EF!$H44*EF!$H62)*NtoN2O*kgtoGg)</f>
        <v>1.5214353144806386E-2</v>
      </c>
      <c r="W1419" s="28">
        <f>IF(('Activity data'!AP13*EF!$H44*EF!$H62)*NtoN2O*kgtoGg=0,"NO",('Activity data'!AP13*EF!$H44*EF!$H62)*NtoN2O*kgtoGg)</f>
        <v>1.5269211713136204E-2</v>
      </c>
      <c r="X1419" s="28">
        <f>IF(('Activity data'!AQ13*EF!$H44*EF!$H62)*NtoN2O*kgtoGg=0,"NO",('Activity data'!AQ13*EF!$H44*EF!$H62)*NtoN2O*kgtoGg)</f>
        <v>1.5327749231318039E-2</v>
      </c>
      <c r="Y1419" s="28">
        <f>IF(('Activity data'!AR13*EF!$H44*EF!$H62)*NtoN2O*kgtoGg=0,"NO",('Activity data'!AR13*EF!$H44*EF!$H62)*NtoN2O*kgtoGg)</f>
        <v>1.5364750505414648E-2</v>
      </c>
      <c r="Z1419" s="28">
        <f>IF(('Activity data'!AS13*EF!$H44*EF!$H62)*NtoN2O*kgtoGg=0,"NO",('Activity data'!AS13*EF!$H44*EF!$H62)*NtoN2O*kgtoGg)</f>
        <v>1.5404784002427285E-2</v>
      </c>
      <c r="AA1419" s="28">
        <f>IF(('Activity data'!AT13*EF!$H44*EF!$H62)*NtoN2O*kgtoGg=0,"NO",('Activity data'!AT13*EF!$H44*EF!$H62)*NtoN2O*kgtoGg)</f>
        <v>1.5448015343528085E-2</v>
      </c>
      <c r="AB1419" s="28">
        <f>IF(('Activity data'!AU13*EF!$H44*EF!$H62)*NtoN2O*kgtoGg=0,"NO",('Activity data'!AU13*EF!$H44*EF!$H62)*NtoN2O*kgtoGg)</f>
        <v>1.5493849362144254E-2</v>
      </c>
      <c r="AC1419" s="28">
        <f>IF(('Activity data'!AV13*EF!$H44*EF!$H62)*NtoN2O*kgtoGg=0,"NO",('Activity data'!AV13*EF!$H44*EF!$H62)*NtoN2O*kgtoGg)</f>
        <v>1.5542469399401562E-2</v>
      </c>
      <c r="AD1419" s="28">
        <f>IF(('Activity data'!AW13*EF!$H44*EF!$H62)*NtoN2O*kgtoGg=0,"NO",('Activity data'!AW13*EF!$H44*EF!$H62)*NtoN2O*kgtoGg)</f>
        <v>1.5574312295454071E-2</v>
      </c>
      <c r="AE1419" s="28">
        <f>IF(('Activity data'!AX13*EF!$H44*EF!$H62)*NtoN2O*kgtoGg=0,"NO",('Activity data'!AX13*EF!$H44*EF!$H62)*NtoN2O*kgtoGg)</f>
        <v>1.5608846144431889E-2</v>
      </c>
      <c r="AF1419" s="28">
        <f>IF(('Activity data'!AY13*EF!$H44*EF!$H62)*NtoN2O*kgtoGg=0,"NO",('Activity data'!AY13*EF!$H44*EF!$H62)*NtoN2O*kgtoGg)</f>
        <v>1.5645779000697076E-2</v>
      </c>
      <c r="AG1419" s="28">
        <f>IF(('Activity data'!AZ13*EF!$H44*EF!$H62)*NtoN2O*kgtoGg=0,"NO",('Activity data'!AZ13*EF!$H44*EF!$H62)*NtoN2O*kgtoGg)</f>
        <v>1.5680933682266716E-2</v>
      </c>
      <c r="AH1419" s="28">
        <f>IF(('Activity data'!BA13*EF!$H44*EF!$H62)*NtoN2O*kgtoGg=0,"NO",('Activity data'!BA13*EF!$H44*EF!$H62)*NtoN2O*kgtoGg)</f>
        <v>1.552725676648822E-2</v>
      </c>
      <c r="AI1419" s="28">
        <f>IF(('Activity data'!BB13*EF!$H44*EF!$H62)*NtoN2O*kgtoGg=0,"NO",('Activity data'!BB13*EF!$H44*EF!$H62)*NtoN2O*kgtoGg)</f>
        <v>1.5547818779843832E-2</v>
      </c>
      <c r="AJ1419" s="28">
        <f>IF(('Activity data'!BC13*EF!$H44*EF!$H62)*NtoN2O*kgtoGg=0,"NO",('Activity data'!BC13*EF!$H44*EF!$H62)*NtoN2O*kgtoGg)</f>
        <v>1.5570224487070797E-2</v>
      </c>
      <c r="AK1419" s="28">
        <f>IF(('Activity data'!BD13*EF!$H44*EF!$H62)*NtoN2O*kgtoGg=0,"NO",('Activity data'!BD13*EF!$H44*EF!$H62)*NtoN2O*kgtoGg)</f>
        <v>1.5594399014227253E-2</v>
      </c>
      <c r="AL1419" s="28">
        <f>IF(('Activity data'!BE13*EF!$H44*EF!$H62)*NtoN2O*kgtoGg=0,"NO",('Activity data'!BE13*EF!$H44*EF!$H62)*NtoN2O*kgtoGg)</f>
        <v>1.5620273295013296E-2</v>
      </c>
      <c r="AM1419" s="28">
        <f>IF(('Activity data'!BF13*EF!$H44*EF!$H62)*NtoN2O*kgtoGg=0,"NO",('Activity data'!BF13*EF!$H44*EF!$H62)*NtoN2O*kgtoGg)</f>
        <v>1.5647783514700201E-2</v>
      </c>
      <c r="AN1419" s="28">
        <f>IF(('Activity data'!BG13*EF!$H44*EF!$H62)*NtoN2O*kgtoGg=0,"NO",('Activity data'!BG13*EF!$H44*EF!$H62)*NtoN2O*kgtoGg)</f>
        <v>1.5659592232765602E-2</v>
      </c>
      <c r="AO1419" s="28">
        <f>IF(('Activity data'!BH13*EF!$H44*EF!$H62)*NtoN2O*kgtoGg=0,"NO",('Activity data'!BH13*EF!$H44*EF!$H62)*NtoN2O*kgtoGg)</f>
        <v>1.5672874713872142E-2</v>
      </c>
      <c r="AP1419" s="28">
        <f>IF(('Activity data'!BI13*EF!$H44*EF!$H62)*NtoN2O*kgtoGg=0,"NO",('Activity data'!BI13*EF!$H44*EF!$H62)*NtoN2O*kgtoGg)</f>
        <v>1.5687575397224301E-2</v>
      </c>
      <c r="AQ1419" s="28">
        <f>IF(('Activity data'!BJ13*EF!$H44*EF!$H62)*NtoN2O*kgtoGg=0,"NO",('Activity data'!BJ13*EF!$H44*EF!$H62)*NtoN2O*kgtoGg)</f>
        <v>1.5703642533627795E-2</v>
      </c>
      <c r="AR1419" s="28">
        <f>IF(('Activity data'!BK13*EF!$H44*EF!$H62)*NtoN2O*kgtoGg=0,"NO",('Activity data'!BK13*EF!$H44*EF!$H62)*NtoN2O*kgtoGg)</f>
        <v>1.5721027858938724E-2</v>
      </c>
      <c r="AS1419" s="28">
        <f>IF(('Activity data'!BL13*EF!$H44*EF!$H62)*NtoN2O*kgtoGg=0,"NO",('Activity data'!BL13*EF!$H44*EF!$H62)*NtoN2O*kgtoGg)</f>
        <v>1.572238426100139E-2</v>
      </c>
      <c r="AT1419" s="28">
        <f>IF(('Activity data'!BM13*EF!$H44*EF!$H62)*NtoN2O*kgtoGg=0,"NO",('Activity data'!BM13*EF!$H44*EF!$H62)*NtoN2O*kgtoGg)</f>
        <v>1.5724946955034496E-2</v>
      </c>
      <c r="AU1419" s="28">
        <f>IF(('Activity data'!BN13*EF!$H44*EF!$H62)*NtoN2O*kgtoGg=0,"NO",('Activity data'!BN13*EF!$H44*EF!$H62)*NtoN2O*kgtoGg)</f>
        <v>1.5728672619393889E-2</v>
      </c>
      <c r="AV1419" s="28">
        <f>IF(('Activity data'!BO13*EF!$H44*EF!$H62)*NtoN2O*kgtoGg=0,"NO",('Activity data'!BO13*EF!$H44*EF!$H62)*NtoN2O*kgtoGg)</f>
        <v>1.5733520584102465E-2</v>
      </c>
      <c r="AW1419" s="28">
        <f>IF(('Activity data'!BP13*EF!$H44*EF!$H62)*NtoN2O*kgtoGg=0,"NO",('Activity data'!BP13*EF!$H44*EF!$H62)*NtoN2O*kgtoGg)</f>
        <v>1.5739452625419498E-2</v>
      </c>
    </row>
    <row r="1420" spans="1:49" x14ac:dyDescent="0.25">
      <c r="A1420" s="102" t="s">
        <v>961</v>
      </c>
      <c r="B1420" s="102"/>
      <c r="C1420" s="102"/>
      <c r="D1420" t="str">
        <f t="shared" si="552"/>
        <v>3A Livestock</v>
      </c>
      <c r="E1420" t="str">
        <f t="shared" si="552"/>
        <v>3A2 Manure management (N2O)</v>
      </c>
      <c r="F1420" t="str">
        <f>EF!C63</f>
        <v>3A1d Goats</v>
      </c>
      <c r="G1420" t="str">
        <f>EF!D63</f>
        <v>Subsistence</v>
      </c>
      <c r="H1420" t="str">
        <f t="shared" si="553"/>
        <v>Manure management Emissions</v>
      </c>
      <c r="I1420" t="s">
        <v>139</v>
      </c>
      <c r="J1420" t="str">
        <f t="shared" si="551"/>
        <v>Gg N2O</v>
      </c>
      <c r="K1420" s="28">
        <f>IF(('Activity data'!AD14*EF!$H45*EF!$H63)*NtoN2O*kgtoGg=0,"NO",('Activity data'!AD14*EF!$H45*EF!$H63)*NtoN2O*kgtoGg)</f>
        <v>0.1148405820648936</v>
      </c>
      <c r="L1420" s="28">
        <f>IF(('Activity data'!AE14*EF!$H45*EF!$H63)*NtoN2O*kgtoGg=0,"NO",('Activity data'!AE14*EF!$H45*EF!$H63)*NtoN2O*kgtoGg)</f>
        <v>0.11514011350567485</v>
      </c>
      <c r="M1420" s="28">
        <f>IF(('Activity data'!AF14*EF!$H45*EF!$H63)*NtoN2O*kgtoGg=0,"NO",('Activity data'!AF14*EF!$H45*EF!$H63)*NtoN2O*kgtoGg)</f>
        <v>0.1155392656833997</v>
      </c>
      <c r="N1420" s="28">
        <f>IF(('Activity data'!AG14*EF!$H45*EF!$H63)*NtoN2O*kgtoGg=0,"NO",('Activity data'!AG14*EF!$H45*EF!$H63)*NtoN2O*kgtoGg)</f>
        <v>0.11602916466089314</v>
      </c>
      <c r="O1420" s="28">
        <f>IF(('Activity data'!AH14*EF!$H45*EF!$H63)*NtoN2O*kgtoGg=0,"NO",('Activity data'!AH14*EF!$H45*EF!$H63)*NtoN2O*kgtoGg)</f>
        <v>0.11661569741548039</v>
      </c>
      <c r="P1420" s="28">
        <f>IF(('Activity data'!AI14*EF!$H45*EF!$H63)*NtoN2O*kgtoGg=0,"NO",('Activity data'!AI14*EF!$H45*EF!$H63)*NtoN2O*kgtoGg)</f>
        <v>0.11730042478237726</v>
      </c>
      <c r="Q1420" s="28">
        <f>IF(('Activity data'!AJ14*EF!$H45*EF!$H63)*NtoN2O*kgtoGg=0,"NO",('Activity data'!AJ14*EF!$H45*EF!$H63)*NtoN2O*kgtoGg)</f>
        <v>0.11803252457096508</v>
      </c>
      <c r="R1420" s="28">
        <f>IF(('Activity data'!AK14*EF!$H45*EF!$H63)*NtoN2O*kgtoGg=0,"NO",('Activity data'!AK14*EF!$H45*EF!$H63)*NtoN2O*kgtoGg)</f>
        <v>0.11880152835445074</v>
      </c>
      <c r="S1420" s="28">
        <f>IF(('Activity data'!AL14*EF!$H45*EF!$H63)*NtoN2O*kgtoGg=0,"NO",('Activity data'!AL14*EF!$H45*EF!$H63)*NtoN2O*kgtoGg)</f>
        <v>0.11951589909268844</v>
      </c>
      <c r="T1420" s="28">
        <f>IF(('Activity data'!AM14*EF!$H45*EF!$H63)*NtoN2O*kgtoGg=0,"NO",('Activity data'!AM14*EF!$H45*EF!$H63)*NtoN2O*kgtoGg)</f>
        <v>0.11985067498505422</v>
      </c>
      <c r="U1420" s="28">
        <f>IF(('Activity data'!AN14*EF!$H45*EF!$H63)*NtoN2O*kgtoGg=0,"NO",('Activity data'!AN14*EF!$H45*EF!$H63)*NtoN2O*kgtoGg)</f>
        <v>0.12021777530813667</v>
      </c>
      <c r="V1420" s="28">
        <f>IF(('Activity data'!AO14*EF!$H45*EF!$H63)*NtoN2O*kgtoGg=0,"NO",('Activity data'!AO14*EF!$H45*EF!$H63)*NtoN2O*kgtoGg)</f>
        <v>0.12061766592151543</v>
      </c>
      <c r="W1420" s="28">
        <f>IF(('Activity data'!AP14*EF!$H45*EF!$H63)*NtoN2O*kgtoGg=0,"NO",('Activity data'!AP14*EF!$H45*EF!$H63)*NtoN2O*kgtoGg)</f>
        <v>0.12105257842845937</v>
      </c>
      <c r="X1420" s="28">
        <f>IF(('Activity data'!AQ14*EF!$H45*EF!$H63)*NtoN2O*kgtoGg=0,"NO",('Activity data'!AQ14*EF!$H45*EF!$H63)*NtoN2O*kgtoGg)</f>
        <v>0.12151665723251566</v>
      </c>
      <c r="Y1420" s="28">
        <f>IF(('Activity data'!AR14*EF!$H45*EF!$H63)*NtoN2O*kgtoGg=0,"NO",('Activity data'!AR14*EF!$H45*EF!$H63)*NtoN2O*kgtoGg)</f>
        <v>0.12180999913638614</v>
      </c>
      <c r="Z1420" s="28">
        <f>IF(('Activity data'!AS14*EF!$H45*EF!$H63)*NtoN2O*kgtoGg=0,"NO",('Activity data'!AS14*EF!$H45*EF!$H63)*NtoN2O*kgtoGg)</f>
        <v>0.12212738015958056</v>
      </c>
      <c r="AA1420" s="28">
        <f>IF(('Activity data'!AT14*EF!$H45*EF!$H63)*NtoN2O*kgtoGg=0,"NO",('Activity data'!AT14*EF!$H45*EF!$H63)*NtoN2O*kgtoGg)</f>
        <v>0.12247011332796476</v>
      </c>
      <c r="AB1420" s="28">
        <f>IF(('Activity data'!AU14*EF!$H45*EF!$H63)*NtoN2O*kgtoGg=0,"NO",('Activity data'!AU14*EF!$H45*EF!$H63)*NtoN2O*kgtoGg)</f>
        <v>0.12283348022846115</v>
      </c>
      <c r="AC1420" s="28">
        <f>IF(('Activity data'!AV14*EF!$H45*EF!$H63)*NtoN2O*kgtoGg=0,"NO",('Activity data'!AV14*EF!$H45*EF!$H63)*NtoN2O*kgtoGg)</f>
        <v>0.12321893436871788</v>
      </c>
      <c r="AD1420" s="28">
        <f>IF(('Activity data'!AW14*EF!$H45*EF!$H63)*NtoN2O*kgtoGg=0,"NO",('Activity data'!AW14*EF!$H45*EF!$H63)*NtoN2O*kgtoGg)</f>
        <v>0.12347138123658526</v>
      </c>
      <c r="AE1420" s="28">
        <f>IF(('Activity data'!AX14*EF!$H45*EF!$H63)*NtoN2O*kgtoGg=0,"NO",('Activity data'!AX14*EF!$H45*EF!$H63)*NtoN2O*kgtoGg)</f>
        <v>0.12374516167400154</v>
      </c>
      <c r="AF1420" s="28">
        <f>IF(('Activity data'!AY14*EF!$H45*EF!$H63)*NtoN2O*kgtoGg=0,"NO",('Activity data'!AY14*EF!$H45*EF!$H63)*NtoN2O*kgtoGg)</f>
        <v>0.12403796116906533</v>
      </c>
      <c r="AG1420" s="28">
        <f>IF(('Activity data'!AZ14*EF!$H45*EF!$H63)*NtoN2O*kgtoGg=0,"NO",('Activity data'!AZ14*EF!$H45*EF!$H63)*NtoN2O*kgtoGg)</f>
        <v>0.12431666349684663</v>
      </c>
      <c r="AH1420" s="28">
        <f>IF(('Activity data'!BA14*EF!$H45*EF!$H63)*NtoN2O*kgtoGg=0,"NO",('Activity data'!BA14*EF!$H45*EF!$H63)*NtoN2O*kgtoGg)</f>
        <v>0.12309833034059625</v>
      </c>
      <c r="AI1420" s="28">
        <f>IF(('Activity data'!BB14*EF!$H45*EF!$H63)*NtoN2O*kgtoGg=0,"NO",('Activity data'!BB14*EF!$H45*EF!$H63)*NtoN2O*kgtoGg)</f>
        <v>0.12326134365006759</v>
      </c>
      <c r="AJ1420" s="28">
        <f>IF(('Activity data'!BC14*EF!$H45*EF!$H63)*NtoN2O*kgtoGg=0,"NO",('Activity data'!BC14*EF!$H45*EF!$H63)*NtoN2O*kgtoGg)</f>
        <v>0.12343897355541526</v>
      </c>
      <c r="AK1420" s="28">
        <f>IF(('Activity data'!BD14*EF!$H45*EF!$H63)*NtoN2O*kgtoGg=0,"NO",('Activity data'!BD14*EF!$H45*EF!$H63)*NtoN2O*kgtoGg)</f>
        <v>0.12363062646452125</v>
      </c>
      <c r="AL1420" s="28">
        <f>IF(('Activity data'!BE14*EF!$H45*EF!$H63)*NtoN2O*kgtoGg=0,"NO",('Activity data'!BE14*EF!$H45*EF!$H63)*NtoN2O*kgtoGg)</f>
        <v>0.12383575482759435</v>
      </c>
      <c r="AM1420" s="28">
        <f>IF(('Activity data'!BF14*EF!$H45*EF!$H63)*NtoN2O*kgtoGg=0,"NO",('Activity data'!BF14*EF!$H45*EF!$H63)*NtoN2O*kgtoGg)</f>
        <v>0.12405385272870395</v>
      </c>
      <c r="AN1420" s="28">
        <f>IF(('Activity data'!BG14*EF!$H45*EF!$H63)*NtoN2O*kgtoGg=0,"NO",('Activity data'!BG14*EF!$H45*EF!$H63)*NtoN2O*kgtoGg)</f>
        <v>0.12414747090602753</v>
      </c>
      <c r="AO1420" s="28">
        <f>IF(('Activity data'!BH14*EF!$H45*EF!$H63)*NtoN2O*kgtoGg=0,"NO",('Activity data'!BH14*EF!$H45*EF!$H63)*NtoN2O*kgtoGg)</f>
        <v>0.12425277290956782</v>
      </c>
      <c r="AP1420" s="28">
        <f>IF(('Activity data'!BI14*EF!$H45*EF!$H63)*NtoN2O*kgtoGg=0,"NO",('Activity data'!BI14*EF!$H45*EF!$H63)*NtoN2O*kgtoGg)</f>
        <v>0.12436931825964037</v>
      </c>
      <c r="AQ1420" s="28">
        <f>IF(('Activity data'!BJ14*EF!$H45*EF!$H63)*NtoN2O*kgtoGg=0,"NO",('Activity data'!BJ14*EF!$H45*EF!$H63)*NtoN2O*kgtoGg)</f>
        <v>0.12449669669450293</v>
      </c>
      <c r="AR1420" s="28">
        <f>IF(('Activity data'!BK14*EF!$H45*EF!$H63)*NtoN2O*kgtoGg=0,"NO",('Activity data'!BK14*EF!$H45*EF!$H63)*NtoN2O*kgtoGg)</f>
        <v>0.12463452558149747</v>
      </c>
      <c r="AS1420" s="28">
        <f>IF(('Activity data'!BL14*EF!$H45*EF!$H63)*NtoN2O*kgtoGg=0,"NO",('Activity data'!BL14*EF!$H45*EF!$H63)*NtoN2O*kgtoGg)</f>
        <v>0.12464527898318946</v>
      </c>
      <c r="AT1420" s="28">
        <f>IF(('Activity data'!BM14*EF!$H45*EF!$H63)*NtoN2O*kgtoGg=0,"NO",('Activity data'!BM14*EF!$H45*EF!$H63)*NtoN2O*kgtoGg)</f>
        <v>0.12466559573078972</v>
      </c>
      <c r="AU1420" s="28">
        <f>IF(('Activity data'!BN14*EF!$H45*EF!$H63)*NtoN2O*kgtoGg=0,"NO",('Activity data'!BN14*EF!$H45*EF!$H63)*NtoN2O*kgtoGg)</f>
        <v>0.12469513237521754</v>
      </c>
      <c r="AV1420" s="28">
        <f>IF(('Activity data'!BO14*EF!$H45*EF!$H63)*NtoN2O*kgtoGg=0,"NO",('Activity data'!BO14*EF!$H45*EF!$H63)*NtoN2O*kgtoGg)</f>
        <v>0.1247335664895077</v>
      </c>
      <c r="AW1420" s="28">
        <f>IF(('Activity data'!BP14*EF!$H45*EF!$H63)*NtoN2O*kgtoGg=0,"NO",('Activity data'!BP14*EF!$H45*EF!$H63)*NtoN2O*kgtoGg)</f>
        <v>0.12478059504017958</v>
      </c>
    </row>
    <row r="1421" spans="1:49" x14ac:dyDescent="0.25">
      <c r="A1421" s="102" t="s">
        <v>961</v>
      </c>
      <c r="B1421" s="102"/>
      <c r="C1421" s="102"/>
      <c r="D1421" t="str">
        <f t="shared" si="552"/>
        <v>3A Livestock</v>
      </c>
      <c r="E1421" t="str">
        <f t="shared" si="552"/>
        <v>3A2 Manure management (N2O)</v>
      </c>
      <c r="F1421" t="str">
        <f>EF!C64</f>
        <v>3A1f Horses</v>
      </c>
      <c r="G1421" t="str">
        <f>EF!D64</f>
        <v>Horses</v>
      </c>
      <c r="H1421" t="str">
        <f t="shared" si="553"/>
        <v>Manure management Emissions</v>
      </c>
      <c r="I1421" t="s">
        <v>139</v>
      </c>
      <c r="J1421" t="str">
        <f t="shared" si="551"/>
        <v>Gg N2O</v>
      </c>
      <c r="K1421" s="28" t="str">
        <f>IF(('Activity data'!AD15*EF!$H46*EF!$H64)*NtoN2O*kgtoGg=0,"NO",('Activity data'!AD15*EF!$H46*EF!$H64)*NtoN2O*kgtoGg)</f>
        <v>NO</v>
      </c>
      <c r="L1421" s="28" t="str">
        <f>IF(('Activity data'!AE15*EF!$H46*EF!$H64)*NtoN2O*kgtoGg=0,"NO",('Activity data'!AE15*EF!$H46*EF!$H64)*NtoN2O*kgtoGg)</f>
        <v>NO</v>
      </c>
      <c r="M1421" s="28" t="str">
        <f>IF(('Activity data'!AF15*EF!$H46*EF!$H64)*NtoN2O*kgtoGg=0,"NO",('Activity data'!AF15*EF!$H46*EF!$H64)*NtoN2O*kgtoGg)</f>
        <v>NO</v>
      </c>
      <c r="N1421" s="28" t="str">
        <f>IF(('Activity data'!AG15*EF!$H46*EF!$H64)*NtoN2O*kgtoGg=0,"NO",('Activity data'!AG15*EF!$H46*EF!$H64)*NtoN2O*kgtoGg)</f>
        <v>NO</v>
      </c>
      <c r="O1421" s="28" t="str">
        <f>IF(('Activity data'!AH15*EF!$H46*EF!$H64)*NtoN2O*kgtoGg=0,"NO",('Activity data'!AH15*EF!$H46*EF!$H64)*NtoN2O*kgtoGg)</f>
        <v>NO</v>
      </c>
      <c r="P1421" s="28" t="str">
        <f>IF(('Activity data'!AI15*EF!$H46*EF!$H64)*NtoN2O*kgtoGg=0,"NO",('Activity data'!AI15*EF!$H46*EF!$H64)*NtoN2O*kgtoGg)</f>
        <v>NO</v>
      </c>
      <c r="Q1421" s="28" t="str">
        <f>IF(('Activity data'!AJ15*EF!$H46*EF!$H64)*NtoN2O*kgtoGg=0,"NO",('Activity data'!AJ15*EF!$H46*EF!$H64)*NtoN2O*kgtoGg)</f>
        <v>NO</v>
      </c>
      <c r="R1421" s="28" t="str">
        <f>IF(('Activity data'!AK15*EF!$H46*EF!$H64)*NtoN2O*kgtoGg=0,"NO",('Activity data'!AK15*EF!$H46*EF!$H64)*NtoN2O*kgtoGg)</f>
        <v>NO</v>
      </c>
      <c r="S1421" s="28" t="str">
        <f>IF(('Activity data'!AL15*EF!$H46*EF!$H64)*NtoN2O*kgtoGg=0,"NO",('Activity data'!AL15*EF!$H46*EF!$H64)*NtoN2O*kgtoGg)</f>
        <v>NO</v>
      </c>
      <c r="T1421" s="28" t="str">
        <f>IF(('Activity data'!AM15*EF!$H46*EF!$H64)*NtoN2O*kgtoGg=0,"NO",('Activity data'!AM15*EF!$H46*EF!$H64)*NtoN2O*kgtoGg)</f>
        <v>NO</v>
      </c>
      <c r="U1421" s="28" t="str">
        <f>IF(('Activity data'!AN15*EF!$H46*EF!$H64)*NtoN2O*kgtoGg=0,"NO",('Activity data'!AN15*EF!$H46*EF!$H64)*NtoN2O*kgtoGg)</f>
        <v>NO</v>
      </c>
      <c r="V1421" s="28" t="str">
        <f>IF(('Activity data'!AO15*EF!$H46*EF!$H64)*NtoN2O*kgtoGg=0,"NO",('Activity data'!AO15*EF!$H46*EF!$H64)*NtoN2O*kgtoGg)</f>
        <v>NO</v>
      </c>
      <c r="W1421" s="28" t="str">
        <f>IF(('Activity data'!AP15*EF!$H46*EF!$H64)*NtoN2O*kgtoGg=0,"NO",('Activity data'!AP15*EF!$H46*EF!$H64)*NtoN2O*kgtoGg)</f>
        <v>NO</v>
      </c>
      <c r="X1421" s="28" t="str">
        <f>IF(('Activity data'!AQ15*EF!$H46*EF!$H64)*NtoN2O*kgtoGg=0,"NO",('Activity data'!AQ15*EF!$H46*EF!$H64)*NtoN2O*kgtoGg)</f>
        <v>NO</v>
      </c>
      <c r="Y1421" s="28" t="str">
        <f>IF(('Activity data'!AR15*EF!$H46*EF!$H64)*NtoN2O*kgtoGg=0,"NO",('Activity data'!AR15*EF!$H46*EF!$H64)*NtoN2O*kgtoGg)</f>
        <v>NO</v>
      </c>
      <c r="Z1421" s="28" t="str">
        <f>IF(('Activity data'!AS15*EF!$H46*EF!$H64)*NtoN2O*kgtoGg=0,"NO",('Activity data'!AS15*EF!$H46*EF!$H64)*NtoN2O*kgtoGg)</f>
        <v>NO</v>
      </c>
      <c r="AA1421" s="28" t="str">
        <f>IF(('Activity data'!AT15*EF!$H46*EF!$H64)*NtoN2O*kgtoGg=0,"NO",('Activity data'!AT15*EF!$H46*EF!$H64)*NtoN2O*kgtoGg)</f>
        <v>NO</v>
      </c>
      <c r="AB1421" s="28" t="str">
        <f>IF(('Activity data'!AU15*EF!$H46*EF!$H64)*NtoN2O*kgtoGg=0,"NO",('Activity data'!AU15*EF!$H46*EF!$H64)*NtoN2O*kgtoGg)</f>
        <v>NO</v>
      </c>
      <c r="AC1421" s="28" t="str">
        <f>IF(('Activity data'!AV15*EF!$H46*EF!$H64)*NtoN2O*kgtoGg=0,"NO",('Activity data'!AV15*EF!$H46*EF!$H64)*NtoN2O*kgtoGg)</f>
        <v>NO</v>
      </c>
      <c r="AD1421" s="28" t="str">
        <f>IF(('Activity data'!AW15*EF!$H46*EF!$H64)*NtoN2O*kgtoGg=0,"NO",('Activity data'!AW15*EF!$H46*EF!$H64)*NtoN2O*kgtoGg)</f>
        <v>NO</v>
      </c>
      <c r="AE1421" s="28" t="str">
        <f>IF(('Activity data'!AX15*EF!$H46*EF!$H64)*NtoN2O*kgtoGg=0,"NO",('Activity data'!AX15*EF!$H46*EF!$H64)*NtoN2O*kgtoGg)</f>
        <v>NO</v>
      </c>
      <c r="AF1421" s="28" t="str">
        <f>IF(('Activity data'!AY15*EF!$H46*EF!$H64)*NtoN2O*kgtoGg=0,"NO",('Activity data'!AY15*EF!$H46*EF!$H64)*NtoN2O*kgtoGg)</f>
        <v>NO</v>
      </c>
      <c r="AG1421" s="28" t="str">
        <f>IF(('Activity data'!AZ15*EF!$H46*EF!$H64)*NtoN2O*kgtoGg=0,"NO",('Activity data'!AZ15*EF!$H46*EF!$H64)*NtoN2O*kgtoGg)</f>
        <v>NO</v>
      </c>
      <c r="AH1421" s="28" t="str">
        <f>IF(('Activity data'!BA15*EF!$H46*EF!$H64)*NtoN2O*kgtoGg=0,"NO",('Activity data'!BA15*EF!$H46*EF!$H64)*NtoN2O*kgtoGg)</f>
        <v>NO</v>
      </c>
      <c r="AI1421" s="28" t="str">
        <f>IF(('Activity data'!BB15*EF!$H46*EF!$H64)*NtoN2O*kgtoGg=0,"NO",('Activity data'!BB15*EF!$H46*EF!$H64)*NtoN2O*kgtoGg)</f>
        <v>NO</v>
      </c>
      <c r="AJ1421" s="28" t="str">
        <f>IF(('Activity data'!BC15*EF!$H46*EF!$H64)*NtoN2O*kgtoGg=0,"NO",('Activity data'!BC15*EF!$H46*EF!$H64)*NtoN2O*kgtoGg)</f>
        <v>NO</v>
      </c>
      <c r="AK1421" s="28" t="str">
        <f>IF(('Activity data'!BD15*EF!$H46*EF!$H64)*NtoN2O*kgtoGg=0,"NO",('Activity data'!BD15*EF!$H46*EF!$H64)*NtoN2O*kgtoGg)</f>
        <v>NO</v>
      </c>
      <c r="AL1421" s="28" t="str">
        <f>IF(('Activity data'!BE15*EF!$H46*EF!$H64)*NtoN2O*kgtoGg=0,"NO",('Activity data'!BE15*EF!$H46*EF!$H64)*NtoN2O*kgtoGg)</f>
        <v>NO</v>
      </c>
      <c r="AM1421" s="28" t="str">
        <f>IF(('Activity data'!BF15*EF!$H46*EF!$H64)*NtoN2O*kgtoGg=0,"NO",('Activity data'!BF15*EF!$H46*EF!$H64)*NtoN2O*kgtoGg)</f>
        <v>NO</v>
      </c>
      <c r="AN1421" s="28" t="str">
        <f>IF(('Activity data'!BG15*EF!$H46*EF!$H64)*NtoN2O*kgtoGg=0,"NO",('Activity data'!BG15*EF!$H46*EF!$H64)*NtoN2O*kgtoGg)</f>
        <v>NO</v>
      </c>
      <c r="AO1421" s="28" t="str">
        <f>IF(('Activity data'!BH15*EF!$H46*EF!$H64)*NtoN2O*kgtoGg=0,"NO",('Activity data'!BH15*EF!$H46*EF!$H64)*NtoN2O*kgtoGg)</f>
        <v>NO</v>
      </c>
      <c r="AP1421" s="28" t="str">
        <f>IF(('Activity data'!BI15*EF!$H46*EF!$H64)*NtoN2O*kgtoGg=0,"NO",('Activity data'!BI15*EF!$H46*EF!$H64)*NtoN2O*kgtoGg)</f>
        <v>NO</v>
      </c>
      <c r="AQ1421" s="28" t="str">
        <f>IF(('Activity data'!BJ15*EF!$H46*EF!$H64)*NtoN2O*kgtoGg=0,"NO",('Activity data'!BJ15*EF!$H46*EF!$H64)*NtoN2O*kgtoGg)</f>
        <v>NO</v>
      </c>
      <c r="AR1421" s="28" t="str">
        <f>IF(('Activity data'!BK15*EF!$H46*EF!$H64)*NtoN2O*kgtoGg=0,"NO",('Activity data'!BK15*EF!$H46*EF!$H64)*NtoN2O*kgtoGg)</f>
        <v>NO</v>
      </c>
      <c r="AS1421" s="28" t="str">
        <f>IF(('Activity data'!BL15*EF!$H46*EF!$H64)*NtoN2O*kgtoGg=0,"NO",('Activity data'!BL15*EF!$H46*EF!$H64)*NtoN2O*kgtoGg)</f>
        <v>NO</v>
      </c>
      <c r="AT1421" s="28" t="str">
        <f>IF(('Activity data'!BM15*EF!$H46*EF!$H64)*NtoN2O*kgtoGg=0,"NO",('Activity data'!BM15*EF!$H46*EF!$H64)*NtoN2O*kgtoGg)</f>
        <v>NO</v>
      </c>
      <c r="AU1421" s="28" t="str">
        <f>IF(('Activity data'!BN15*EF!$H46*EF!$H64)*NtoN2O*kgtoGg=0,"NO",('Activity data'!BN15*EF!$H46*EF!$H64)*NtoN2O*kgtoGg)</f>
        <v>NO</v>
      </c>
      <c r="AV1421" s="28" t="str">
        <f>IF(('Activity data'!BO15*EF!$H46*EF!$H64)*NtoN2O*kgtoGg=0,"NO",('Activity data'!BO15*EF!$H46*EF!$H64)*NtoN2O*kgtoGg)</f>
        <v>NO</v>
      </c>
      <c r="AW1421" s="28" t="str">
        <f>IF(('Activity data'!BP15*EF!$H46*EF!$H64)*NtoN2O*kgtoGg=0,"NO",('Activity data'!BP15*EF!$H46*EF!$H64)*NtoN2O*kgtoGg)</f>
        <v>NO</v>
      </c>
    </row>
    <row r="1422" spans="1:49" x14ac:dyDescent="0.25">
      <c r="A1422" s="102" t="s">
        <v>961</v>
      </c>
      <c r="B1422" s="102"/>
      <c r="C1422" s="102"/>
      <c r="D1422" t="str">
        <f t="shared" si="552"/>
        <v>3A Livestock</v>
      </c>
      <c r="E1422" t="str">
        <f t="shared" si="552"/>
        <v>3A2 Manure management (N2O)</v>
      </c>
      <c r="F1422" t="str">
        <f>EF!C65</f>
        <v>3A1g Mules &amp; asses</v>
      </c>
      <c r="G1422" t="str">
        <f>EF!D65</f>
        <v>Mules &amp; Asses</v>
      </c>
      <c r="H1422" t="str">
        <f t="shared" si="553"/>
        <v>Manure management Emissions</v>
      </c>
      <c r="I1422" t="s">
        <v>139</v>
      </c>
      <c r="J1422" t="str">
        <f t="shared" si="551"/>
        <v>Gg N2O</v>
      </c>
      <c r="K1422" s="28" t="str">
        <f>IF(('Activity data'!AD16*EF!$H47*EF!$H65)*NtoN2O*kgtoGg=0,"NO",('Activity data'!AD16*EF!$H47*EF!$H65)*NtoN2O*kgtoGg)</f>
        <v>NO</v>
      </c>
      <c r="L1422" s="28" t="str">
        <f>IF(('Activity data'!AE16*EF!$H47*EF!$H65)*NtoN2O*kgtoGg=0,"NO",('Activity data'!AE16*EF!$H47*EF!$H65)*NtoN2O*kgtoGg)</f>
        <v>NO</v>
      </c>
      <c r="M1422" s="28" t="str">
        <f>IF(('Activity data'!AF16*EF!$H47*EF!$H65)*NtoN2O*kgtoGg=0,"NO",('Activity data'!AF16*EF!$H47*EF!$H65)*NtoN2O*kgtoGg)</f>
        <v>NO</v>
      </c>
      <c r="N1422" s="28" t="str">
        <f>IF(('Activity data'!AG16*EF!$H47*EF!$H65)*NtoN2O*kgtoGg=0,"NO",('Activity data'!AG16*EF!$H47*EF!$H65)*NtoN2O*kgtoGg)</f>
        <v>NO</v>
      </c>
      <c r="O1422" s="28" t="str">
        <f>IF(('Activity data'!AH16*EF!$H47*EF!$H65)*NtoN2O*kgtoGg=0,"NO",('Activity data'!AH16*EF!$H47*EF!$H65)*NtoN2O*kgtoGg)</f>
        <v>NO</v>
      </c>
      <c r="P1422" s="28" t="str">
        <f>IF(('Activity data'!AI16*EF!$H47*EF!$H65)*NtoN2O*kgtoGg=0,"NO",('Activity data'!AI16*EF!$H47*EF!$H65)*NtoN2O*kgtoGg)</f>
        <v>NO</v>
      </c>
      <c r="Q1422" s="28" t="str">
        <f>IF(('Activity data'!AJ16*EF!$H47*EF!$H65)*NtoN2O*kgtoGg=0,"NO",('Activity data'!AJ16*EF!$H47*EF!$H65)*NtoN2O*kgtoGg)</f>
        <v>NO</v>
      </c>
      <c r="R1422" s="28" t="str">
        <f>IF(('Activity data'!AK16*EF!$H47*EF!$H65)*NtoN2O*kgtoGg=0,"NO",('Activity data'!AK16*EF!$H47*EF!$H65)*NtoN2O*kgtoGg)</f>
        <v>NO</v>
      </c>
      <c r="S1422" s="28" t="str">
        <f>IF(('Activity data'!AL16*EF!$H47*EF!$H65)*NtoN2O*kgtoGg=0,"NO",('Activity data'!AL16*EF!$H47*EF!$H65)*NtoN2O*kgtoGg)</f>
        <v>NO</v>
      </c>
      <c r="T1422" s="28" t="str">
        <f>IF(('Activity data'!AM16*EF!$H47*EF!$H65)*NtoN2O*kgtoGg=0,"NO",('Activity data'!AM16*EF!$H47*EF!$H65)*NtoN2O*kgtoGg)</f>
        <v>NO</v>
      </c>
      <c r="U1422" s="28" t="str">
        <f>IF(('Activity data'!AN16*EF!$H47*EF!$H65)*NtoN2O*kgtoGg=0,"NO",('Activity data'!AN16*EF!$H47*EF!$H65)*NtoN2O*kgtoGg)</f>
        <v>NO</v>
      </c>
      <c r="V1422" s="28" t="str">
        <f>IF(('Activity data'!AO16*EF!$H47*EF!$H65)*NtoN2O*kgtoGg=0,"NO",('Activity data'!AO16*EF!$H47*EF!$H65)*NtoN2O*kgtoGg)</f>
        <v>NO</v>
      </c>
      <c r="W1422" s="28" t="str">
        <f>IF(('Activity data'!AP16*EF!$H47*EF!$H65)*NtoN2O*kgtoGg=0,"NO",('Activity data'!AP16*EF!$H47*EF!$H65)*NtoN2O*kgtoGg)</f>
        <v>NO</v>
      </c>
      <c r="X1422" s="28" t="str">
        <f>IF(('Activity data'!AQ16*EF!$H47*EF!$H65)*NtoN2O*kgtoGg=0,"NO",('Activity data'!AQ16*EF!$H47*EF!$H65)*NtoN2O*kgtoGg)</f>
        <v>NO</v>
      </c>
      <c r="Y1422" s="28" t="str">
        <f>IF(('Activity data'!AR16*EF!$H47*EF!$H65)*NtoN2O*kgtoGg=0,"NO",('Activity data'!AR16*EF!$H47*EF!$H65)*NtoN2O*kgtoGg)</f>
        <v>NO</v>
      </c>
      <c r="Z1422" s="28" t="str">
        <f>IF(('Activity data'!AS16*EF!$H47*EF!$H65)*NtoN2O*kgtoGg=0,"NO",('Activity data'!AS16*EF!$H47*EF!$H65)*NtoN2O*kgtoGg)</f>
        <v>NO</v>
      </c>
      <c r="AA1422" s="28" t="str">
        <f>IF(('Activity data'!AT16*EF!$H47*EF!$H65)*NtoN2O*kgtoGg=0,"NO",('Activity data'!AT16*EF!$H47*EF!$H65)*NtoN2O*kgtoGg)</f>
        <v>NO</v>
      </c>
      <c r="AB1422" s="28" t="str">
        <f>IF(('Activity data'!AU16*EF!$H47*EF!$H65)*NtoN2O*kgtoGg=0,"NO",('Activity data'!AU16*EF!$H47*EF!$H65)*NtoN2O*kgtoGg)</f>
        <v>NO</v>
      </c>
      <c r="AC1422" s="28" t="str">
        <f>IF(('Activity data'!AV16*EF!$H47*EF!$H65)*NtoN2O*kgtoGg=0,"NO",('Activity data'!AV16*EF!$H47*EF!$H65)*NtoN2O*kgtoGg)</f>
        <v>NO</v>
      </c>
      <c r="AD1422" s="28" t="str">
        <f>IF(('Activity data'!AW16*EF!$H47*EF!$H65)*NtoN2O*kgtoGg=0,"NO",('Activity data'!AW16*EF!$H47*EF!$H65)*NtoN2O*kgtoGg)</f>
        <v>NO</v>
      </c>
      <c r="AE1422" s="28" t="str">
        <f>IF(('Activity data'!AX16*EF!$H47*EF!$H65)*NtoN2O*kgtoGg=0,"NO",('Activity data'!AX16*EF!$H47*EF!$H65)*NtoN2O*kgtoGg)</f>
        <v>NO</v>
      </c>
      <c r="AF1422" s="28" t="str">
        <f>IF(('Activity data'!AY16*EF!$H47*EF!$H65)*NtoN2O*kgtoGg=0,"NO",('Activity data'!AY16*EF!$H47*EF!$H65)*NtoN2O*kgtoGg)</f>
        <v>NO</v>
      </c>
      <c r="AG1422" s="28" t="str">
        <f>IF(('Activity data'!AZ16*EF!$H47*EF!$H65)*NtoN2O*kgtoGg=0,"NO",('Activity data'!AZ16*EF!$H47*EF!$H65)*NtoN2O*kgtoGg)</f>
        <v>NO</v>
      </c>
      <c r="AH1422" s="28" t="str">
        <f>IF(('Activity data'!BA16*EF!$H47*EF!$H65)*NtoN2O*kgtoGg=0,"NO",('Activity data'!BA16*EF!$H47*EF!$H65)*NtoN2O*kgtoGg)</f>
        <v>NO</v>
      </c>
      <c r="AI1422" s="28" t="str">
        <f>IF(('Activity data'!BB16*EF!$H47*EF!$H65)*NtoN2O*kgtoGg=0,"NO",('Activity data'!BB16*EF!$H47*EF!$H65)*NtoN2O*kgtoGg)</f>
        <v>NO</v>
      </c>
      <c r="AJ1422" s="28" t="str">
        <f>IF(('Activity data'!BC16*EF!$H47*EF!$H65)*NtoN2O*kgtoGg=0,"NO",('Activity data'!BC16*EF!$H47*EF!$H65)*NtoN2O*kgtoGg)</f>
        <v>NO</v>
      </c>
      <c r="AK1422" s="28" t="str">
        <f>IF(('Activity data'!BD16*EF!$H47*EF!$H65)*NtoN2O*kgtoGg=0,"NO",('Activity data'!BD16*EF!$H47*EF!$H65)*NtoN2O*kgtoGg)</f>
        <v>NO</v>
      </c>
      <c r="AL1422" s="28" t="str">
        <f>IF(('Activity data'!BE16*EF!$H47*EF!$H65)*NtoN2O*kgtoGg=0,"NO",('Activity data'!BE16*EF!$H47*EF!$H65)*NtoN2O*kgtoGg)</f>
        <v>NO</v>
      </c>
      <c r="AM1422" s="28" t="str">
        <f>IF(('Activity data'!BF16*EF!$H47*EF!$H65)*NtoN2O*kgtoGg=0,"NO",('Activity data'!BF16*EF!$H47*EF!$H65)*NtoN2O*kgtoGg)</f>
        <v>NO</v>
      </c>
      <c r="AN1422" s="28" t="str">
        <f>IF(('Activity data'!BG16*EF!$H47*EF!$H65)*NtoN2O*kgtoGg=0,"NO",('Activity data'!BG16*EF!$H47*EF!$H65)*NtoN2O*kgtoGg)</f>
        <v>NO</v>
      </c>
      <c r="AO1422" s="28" t="str">
        <f>IF(('Activity data'!BH16*EF!$H47*EF!$H65)*NtoN2O*kgtoGg=0,"NO",('Activity data'!BH16*EF!$H47*EF!$H65)*NtoN2O*kgtoGg)</f>
        <v>NO</v>
      </c>
      <c r="AP1422" s="28" t="str">
        <f>IF(('Activity data'!BI16*EF!$H47*EF!$H65)*NtoN2O*kgtoGg=0,"NO",('Activity data'!BI16*EF!$H47*EF!$H65)*NtoN2O*kgtoGg)</f>
        <v>NO</v>
      </c>
      <c r="AQ1422" s="28" t="str">
        <f>IF(('Activity data'!BJ16*EF!$H47*EF!$H65)*NtoN2O*kgtoGg=0,"NO",('Activity data'!BJ16*EF!$H47*EF!$H65)*NtoN2O*kgtoGg)</f>
        <v>NO</v>
      </c>
      <c r="AR1422" s="28" t="str">
        <f>IF(('Activity data'!BK16*EF!$H47*EF!$H65)*NtoN2O*kgtoGg=0,"NO",('Activity data'!BK16*EF!$H47*EF!$H65)*NtoN2O*kgtoGg)</f>
        <v>NO</v>
      </c>
      <c r="AS1422" s="28" t="str">
        <f>IF(('Activity data'!BL16*EF!$H47*EF!$H65)*NtoN2O*kgtoGg=0,"NO",('Activity data'!BL16*EF!$H47*EF!$H65)*NtoN2O*kgtoGg)</f>
        <v>NO</v>
      </c>
      <c r="AT1422" s="28" t="str">
        <f>IF(('Activity data'!BM16*EF!$H47*EF!$H65)*NtoN2O*kgtoGg=0,"NO",('Activity data'!BM16*EF!$H47*EF!$H65)*NtoN2O*kgtoGg)</f>
        <v>NO</v>
      </c>
      <c r="AU1422" s="28" t="str">
        <f>IF(('Activity data'!BN16*EF!$H47*EF!$H65)*NtoN2O*kgtoGg=0,"NO",('Activity data'!BN16*EF!$H47*EF!$H65)*NtoN2O*kgtoGg)</f>
        <v>NO</v>
      </c>
      <c r="AV1422" s="28" t="str">
        <f>IF(('Activity data'!BO16*EF!$H47*EF!$H65)*NtoN2O*kgtoGg=0,"NO",('Activity data'!BO16*EF!$H47*EF!$H65)*NtoN2O*kgtoGg)</f>
        <v>NO</v>
      </c>
      <c r="AW1422" s="28" t="str">
        <f>IF(('Activity data'!BP16*EF!$H47*EF!$H65)*NtoN2O*kgtoGg=0,"NO",('Activity data'!BP16*EF!$H47*EF!$H65)*NtoN2O*kgtoGg)</f>
        <v>NO</v>
      </c>
    </row>
    <row r="1423" spans="1:49" x14ac:dyDescent="0.25">
      <c r="A1423" s="102" t="s">
        <v>961</v>
      </c>
      <c r="B1423" s="102"/>
      <c r="C1423" s="102"/>
      <c r="D1423" t="str">
        <f t="shared" si="552"/>
        <v>3A Livestock</v>
      </c>
      <c r="E1423" t="str">
        <f t="shared" si="552"/>
        <v>3A2 Manure management (N2O)</v>
      </c>
      <c r="F1423" t="str">
        <f>EF!C66</f>
        <v>3A1h Swine</v>
      </c>
      <c r="G1423" t="str">
        <f>EF!D66</f>
        <v>Commercial</v>
      </c>
      <c r="H1423" t="str">
        <f t="shared" si="553"/>
        <v>Manure management Emissions</v>
      </c>
      <c r="I1423" t="s">
        <v>139</v>
      </c>
      <c r="J1423" t="str">
        <f t="shared" si="551"/>
        <v>Gg N2O</v>
      </c>
      <c r="K1423" s="28">
        <f>IF(('Activity data'!AD17*EF!$H48*EF!$H66)*NtoN2O*kgtoGg=0,"NO",('Activity data'!AD17*EF!$H48*EF!$H66)*NtoN2O*kgtoGg)</f>
        <v>9.8212070321961289E-2</v>
      </c>
      <c r="L1423" s="28">
        <f>IF(('Activity data'!AE17*EF!$H48*EF!$H66)*NtoN2O*kgtoGg=0,"NO",('Activity data'!AE17*EF!$H48*EF!$H66)*NtoN2O*kgtoGg)</f>
        <v>9.7902077304524535E-2</v>
      </c>
      <c r="M1423" s="28">
        <f>IF(('Activity data'!AF17*EF!$H48*EF!$H66)*NtoN2O*kgtoGg=0,"NO",('Activity data'!AF17*EF!$H48*EF!$H66)*NtoN2O*kgtoGg)</f>
        <v>9.6876932731570997E-2</v>
      </c>
      <c r="N1423" s="28">
        <f>IF(('Activity data'!AG17*EF!$H48*EF!$H66)*NtoN2O*kgtoGg=0,"NO",('Activity data'!AG17*EF!$H48*EF!$H66)*NtoN2O*kgtoGg)</f>
        <v>9.4886481944047557E-2</v>
      </c>
      <c r="O1423" s="28">
        <f>IF(('Activity data'!AH17*EF!$H48*EF!$H66)*NtoN2O*kgtoGg=0,"NO",('Activity data'!AH17*EF!$H48*EF!$H66)*NtoN2O*kgtoGg)</f>
        <v>9.2983120414683651E-2</v>
      </c>
      <c r="P1423" s="28">
        <f>IF(('Activity data'!AI17*EF!$H48*EF!$H66)*NtoN2O*kgtoGg=0,"NO",('Activity data'!AI17*EF!$H48*EF!$H66)*NtoN2O*kgtoGg)</f>
        <v>9.1647887851288232E-2</v>
      </c>
      <c r="Q1423" s="28">
        <f>IF(('Activity data'!AJ17*EF!$H48*EF!$H66)*NtoN2O*kgtoGg=0,"NO",('Activity data'!AJ17*EF!$H48*EF!$H66)*NtoN2O*kgtoGg)</f>
        <v>9.0517057242200105E-2</v>
      </c>
      <c r="R1423" s="28">
        <f>IF(('Activity data'!AK17*EF!$H48*EF!$H66)*NtoN2O*kgtoGg=0,"NO",('Activity data'!AK17*EF!$H48*EF!$H66)*NtoN2O*kgtoGg)</f>
        <v>8.8434751995252456E-2</v>
      </c>
      <c r="S1423" s="28">
        <f>IF(('Activity data'!AL17*EF!$H48*EF!$H66)*NtoN2O*kgtoGg=0,"NO",('Activity data'!AL17*EF!$H48*EF!$H66)*NtoN2O*kgtoGg)</f>
        <v>7.7417928691120311E-2</v>
      </c>
      <c r="T1423" s="28">
        <f>IF(('Activity data'!AM17*EF!$H48*EF!$H66)*NtoN2O*kgtoGg=0,"NO",('Activity data'!AM17*EF!$H48*EF!$H66)*NtoN2O*kgtoGg)</f>
        <v>7.7909888126779042E-2</v>
      </c>
      <c r="U1423" s="28">
        <f>IF(('Activity data'!AN17*EF!$H48*EF!$H66)*NtoN2O*kgtoGg=0,"NO",('Activity data'!AN17*EF!$H48*EF!$H66)*NtoN2O*kgtoGg)</f>
        <v>7.8156831608476335E-2</v>
      </c>
      <c r="V1423" s="28">
        <f>IF(('Activity data'!AO17*EF!$H48*EF!$H66)*NtoN2O*kgtoGg=0,"NO",('Activity data'!AO17*EF!$H48*EF!$H66)*NtoN2O*kgtoGg)</f>
        <v>7.8396909010436708E-2</v>
      </c>
      <c r="W1423" s="28">
        <f>IF(('Activity data'!AP17*EF!$H48*EF!$H66)*NtoN2O*kgtoGg=0,"NO",('Activity data'!AP17*EF!$H48*EF!$H66)*NtoN2O*kgtoGg)</f>
        <v>7.8983322674416961E-2</v>
      </c>
      <c r="X1423" s="28">
        <f>IF(('Activity data'!AQ17*EF!$H48*EF!$H66)*NtoN2O*kgtoGg=0,"NO",('Activity data'!AQ17*EF!$H48*EF!$H66)*NtoN2O*kgtoGg)</f>
        <v>7.9550022093927919E-2</v>
      </c>
      <c r="Y1423" s="28">
        <f>IF(('Activity data'!AR17*EF!$H48*EF!$H66)*NtoN2O*kgtoGg=0,"NO",('Activity data'!AR17*EF!$H48*EF!$H66)*NtoN2O*kgtoGg)</f>
        <v>8.0200171515553365E-2</v>
      </c>
      <c r="Z1423" s="28">
        <f>IF(('Activity data'!AS17*EF!$H48*EF!$H66)*NtoN2O*kgtoGg=0,"NO",('Activity data'!AS17*EF!$H48*EF!$H66)*NtoN2O*kgtoGg)</f>
        <v>8.0745873399241927E-2</v>
      </c>
      <c r="AA1423" s="28">
        <f>IF(('Activity data'!AT17*EF!$H48*EF!$H66)*NtoN2O*kgtoGg=0,"NO",('Activity data'!AT17*EF!$H48*EF!$H66)*NtoN2O*kgtoGg)</f>
        <v>8.1401680108403665E-2</v>
      </c>
      <c r="AB1423" s="28">
        <f>IF(('Activity data'!AU17*EF!$H48*EF!$H66)*NtoN2O*kgtoGg=0,"NO",('Activity data'!AU17*EF!$H48*EF!$H66)*NtoN2O*kgtoGg)</f>
        <v>8.1879069709822755E-2</v>
      </c>
      <c r="AC1423" s="28">
        <f>IF(('Activity data'!AV17*EF!$H48*EF!$H66)*NtoN2O*kgtoGg=0,"NO",('Activity data'!AV17*EF!$H48*EF!$H66)*NtoN2O*kgtoGg)</f>
        <v>8.2381241768892818E-2</v>
      </c>
      <c r="AD1423" s="28">
        <f>IF(('Activity data'!AW17*EF!$H48*EF!$H66)*NtoN2O*kgtoGg=0,"NO",('Activity data'!AW17*EF!$H48*EF!$H66)*NtoN2O*kgtoGg)</f>
        <v>8.3307469914568902E-2</v>
      </c>
      <c r="AE1423" s="28">
        <f>IF(('Activity data'!AX17*EF!$H48*EF!$H66)*NtoN2O*kgtoGg=0,"NO",('Activity data'!AX17*EF!$H48*EF!$H66)*NtoN2O*kgtoGg)</f>
        <v>8.4389455604936589E-2</v>
      </c>
      <c r="AF1423" s="28">
        <f>IF(('Activity data'!AY17*EF!$H48*EF!$H66)*NtoN2O*kgtoGg=0,"NO",('Activity data'!AY17*EF!$H48*EF!$H66)*NtoN2O*kgtoGg)</f>
        <v>8.5509115768420865E-2</v>
      </c>
      <c r="AG1423" s="28">
        <f>IF(('Activity data'!AZ17*EF!$H48*EF!$H66)*NtoN2O*kgtoGg=0,"NO",('Activity data'!AZ17*EF!$H48*EF!$H66)*NtoN2O*kgtoGg)</f>
        <v>8.4250717613193291E-2</v>
      </c>
      <c r="AH1423" s="28">
        <f>IF(('Activity data'!BA17*EF!$H48*EF!$H66)*NtoN2O*kgtoGg=0,"NO",('Activity data'!BA17*EF!$H48*EF!$H66)*NtoN2O*kgtoGg)</f>
        <v>-2.8426820502850808E-2</v>
      </c>
      <c r="AI1423" s="28">
        <f>IF(('Activity data'!BB17*EF!$H48*EF!$H66)*NtoN2O*kgtoGg=0,"NO",('Activity data'!BB17*EF!$H48*EF!$H66)*NtoN2O*kgtoGg)</f>
        <v>-2.8115877001178527E-2</v>
      </c>
      <c r="AJ1423" s="28">
        <f>IF(('Activity data'!BC17*EF!$H48*EF!$H66)*NtoN2O*kgtoGg=0,"NO",('Activity data'!BC17*EF!$H48*EF!$H66)*NtoN2O*kgtoGg)</f>
        <v>-2.7811593466985605E-2</v>
      </c>
      <c r="AK1423" s="28">
        <f>IF(('Activity data'!BD17*EF!$H48*EF!$H66)*NtoN2O*kgtoGg=0,"NO",('Activity data'!BD17*EF!$H48*EF!$H66)*NtoN2O*kgtoGg)</f>
        <v>-2.7513534213570397E-2</v>
      </c>
      <c r="AL1423" s="28">
        <f>IF(('Activity data'!BE17*EF!$H48*EF!$H66)*NtoN2O*kgtoGg=0,"NO",('Activity data'!BE17*EF!$H48*EF!$H66)*NtoN2O*kgtoGg)</f>
        <v>-2.7221295455261082E-2</v>
      </c>
      <c r="AM1423" s="28">
        <f>IF(('Activity data'!BF17*EF!$H48*EF!$H66)*NtoN2O*kgtoGg=0,"NO",('Activity data'!BF17*EF!$H48*EF!$H66)*NtoN2O*kgtoGg)</f>
        <v>-2.6934502222400951E-2</v>
      </c>
      <c r="AN1423" s="28">
        <f>IF(('Activity data'!BG17*EF!$H48*EF!$H66)*NtoN2O*kgtoGg=0,"NO",('Activity data'!BG17*EF!$H48*EF!$H66)*NtoN2O*kgtoGg)</f>
        <v>-2.6619947187312407E-2</v>
      </c>
      <c r="AO1423" s="28">
        <f>IF(('Activity data'!BH17*EF!$H48*EF!$H66)*NtoN2O*kgtoGg=0,"NO",('Activity data'!BH17*EF!$H48*EF!$H66)*NtoN2O*kgtoGg)</f>
        <v>-2.6310938201629927E-2</v>
      </c>
      <c r="AP1423" s="28">
        <f>IF(('Activity data'!BI17*EF!$H48*EF!$H66)*NtoN2O*kgtoGg=0,"NO",('Activity data'!BI17*EF!$H48*EF!$H66)*NtoN2O*kgtoGg)</f>
        <v>-2.600715135070272E-2</v>
      </c>
      <c r="AQ1423" s="28">
        <f>IF(('Activity data'!BJ17*EF!$H48*EF!$H66)*NtoN2O*kgtoGg=0,"NO",('Activity data'!BJ17*EF!$H48*EF!$H66)*NtoN2O*kgtoGg)</f>
        <v>-2.5708283877268884E-2</v>
      </c>
      <c r="AR1423" s="28">
        <f>IF(('Activity data'!BK17*EF!$H48*EF!$H66)*NtoN2O*kgtoGg=0,"NO",('Activity data'!BK17*EF!$H48*EF!$H66)*NtoN2O*kgtoGg)</f>
        <v>-2.5414052353403601E-2</v>
      </c>
      <c r="AS1423" s="28">
        <f>IF(('Activity data'!BL17*EF!$H48*EF!$H66)*NtoN2O*kgtoGg=0,"NO",('Activity data'!BL17*EF!$H48*EF!$H66)*NtoN2O*kgtoGg)</f>
        <v>-2.5093405862334557E-2</v>
      </c>
      <c r="AT1423" s="28">
        <f>IF(('Activity data'!BM17*EF!$H48*EF!$H66)*NtoN2O*kgtoGg=0,"NO",('Activity data'!BM17*EF!$H48*EF!$H66)*NtoN2O*kgtoGg)</f>
        <v>-2.4777656809122427E-2</v>
      </c>
      <c r="AU1423" s="28">
        <f>IF(('Activity data'!BN17*EF!$H48*EF!$H66)*NtoN2O*kgtoGg=0,"NO",('Activity data'!BN17*EF!$H48*EF!$H66)*NtoN2O*kgtoGg)</f>
        <v>-2.4466553104711776E-2</v>
      </c>
      <c r="AV1423" s="28">
        <f>IF(('Activity data'!BO17*EF!$H48*EF!$H66)*NtoN2O*kgtoGg=0,"NO",('Activity data'!BO17*EF!$H48*EF!$H66)*NtoN2O*kgtoGg)</f>
        <v>-2.415985755435068E-2</v>
      </c>
      <c r="AW1423" s="28">
        <f>IF(('Activity data'!BP17*EF!$H48*EF!$H66)*NtoN2O*kgtoGg=0,"NO",('Activity data'!BP17*EF!$H48*EF!$H66)*NtoN2O*kgtoGg)</f>
        <v>-2.3857346696324909E-2</v>
      </c>
    </row>
    <row r="1424" spans="1:49" x14ac:dyDescent="0.25">
      <c r="A1424" s="102" t="s">
        <v>961</v>
      </c>
      <c r="B1424" s="102"/>
      <c r="C1424" s="102"/>
      <c r="D1424" t="str">
        <f t="shared" si="552"/>
        <v>3A Livestock</v>
      </c>
      <c r="E1424" t="str">
        <f t="shared" si="552"/>
        <v>3A2 Manure management (N2O)</v>
      </c>
      <c r="F1424" t="str">
        <f>EF!C67</f>
        <v>3A1h Swine</v>
      </c>
      <c r="G1424" t="str">
        <f>EF!D67</f>
        <v>Subsistence</v>
      </c>
      <c r="H1424" t="str">
        <f t="shared" si="553"/>
        <v>Manure management Emissions</v>
      </c>
      <c r="I1424" t="s">
        <v>139</v>
      </c>
      <c r="J1424" t="str">
        <f t="shared" si="551"/>
        <v>Gg N2O</v>
      </c>
      <c r="K1424" s="28">
        <f>IF(('Activity data'!AD18*EF!$H49*EF!$H67)*NtoN2O*kgtoGg=0,"NO",('Activity data'!AD18*EF!$H49*EF!$H67)*NtoN2O*kgtoGg)</f>
        <v>3.8422550388835235E-2</v>
      </c>
      <c r="L1424" s="28">
        <f>IF(('Activity data'!AE18*EF!$H49*EF!$H67)*NtoN2O*kgtoGg=0,"NO",('Activity data'!AE18*EF!$H49*EF!$H67)*NtoN2O*kgtoGg)</f>
        <v>3.8301274844051346E-2</v>
      </c>
      <c r="M1424" s="28">
        <f>IF(('Activity data'!AF18*EF!$H49*EF!$H67)*NtoN2O*kgtoGg=0,"NO",('Activity data'!AF18*EF!$H49*EF!$H67)*NtoN2O*kgtoGg)</f>
        <v>3.7900217531227944E-2</v>
      </c>
      <c r="N1424" s="28">
        <f>IF(('Activity data'!AG18*EF!$H49*EF!$H67)*NtoN2O*kgtoGg=0,"NO",('Activity data'!AG18*EF!$H49*EF!$H67)*NtoN2O*kgtoGg)</f>
        <v>3.712151288291534E-2</v>
      </c>
      <c r="O1424" s="28">
        <f>IF(('Activity data'!AH18*EF!$H49*EF!$H67)*NtoN2O*kgtoGg=0,"NO",('Activity data'!AH18*EF!$H49*EF!$H67)*NtoN2O*kgtoGg)</f>
        <v>3.6376879315672413E-2</v>
      </c>
      <c r="P1424" s="28">
        <f>IF(('Activity data'!AI18*EF!$H49*EF!$H67)*NtoN2O*kgtoGg=0,"NO",('Activity data'!AI18*EF!$H49*EF!$H67)*NtoN2O*kgtoGg)</f>
        <v>3.5854509302702606E-2</v>
      </c>
      <c r="Q1424" s="28">
        <f>IF(('Activity data'!AJ18*EF!$H49*EF!$H67)*NtoN2O*kgtoGg=0,"NO",('Activity data'!AJ18*EF!$H49*EF!$H67)*NtoN2O*kgtoGg)</f>
        <v>3.5412105472740686E-2</v>
      </c>
      <c r="R1424" s="28">
        <f>IF(('Activity data'!AK18*EF!$H49*EF!$H67)*NtoN2O*kgtoGg=0,"NO",('Activity data'!AK18*EF!$H49*EF!$H67)*NtoN2O*kgtoGg)</f>
        <v>3.4597465500143629E-2</v>
      </c>
      <c r="S1424" s="28">
        <f>IF(('Activity data'!AL18*EF!$H49*EF!$H67)*NtoN2O*kgtoGg=0,"NO",('Activity data'!AL18*EF!$H49*EF!$H67)*NtoN2O*kgtoGg)</f>
        <v>3.0287461168290553E-2</v>
      </c>
      <c r="T1424" s="28">
        <f>IF(('Activity data'!AM18*EF!$H49*EF!$H67)*NtoN2O*kgtoGg=0,"NO",('Activity data'!AM18*EF!$H49*EF!$H67)*NtoN2O*kgtoGg)</f>
        <v>3.0479925660118236E-2</v>
      </c>
      <c r="U1424" s="28">
        <f>IF(('Activity data'!AN18*EF!$H49*EF!$H67)*NtoN2O*kgtoGg=0,"NO",('Activity data'!AN18*EF!$H49*EF!$H67)*NtoN2O*kgtoGg)</f>
        <v>3.0576534949970324E-2</v>
      </c>
      <c r="V1424" s="28">
        <f>IF(('Activity data'!AO18*EF!$H49*EF!$H67)*NtoN2O*kgtoGg=0,"NO",('Activity data'!AO18*EF!$H49*EF!$H67)*NtoN2O*kgtoGg)</f>
        <v>3.0670458090413286E-2</v>
      </c>
      <c r="W1424" s="28">
        <f>IF(('Activity data'!AP18*EF!$H49*EF!$H67)*NtoN2O*kgtoGg=0,"NO",('Activity data'!AP18*EF!$H49*EF!$H67)*NtoN2O*kgtoGg)</f>
        <v>3.0899874988755002E-2</v>
      </c>
      <c r="X1424" s="28">
        <f>IF(('Activity data'!AQ18*EF!$H49*EF!$H67)*NtoN2O*kgtoGg=0,"NO",('Activity data'!AQ18*EF!$H49*EF!$H67)*NtoN2O*kgtoGg)</f>
        <v>3.1121579275510219E-2</v>
      </c>
      <c r="Y1424" s="28">
        <f>IF(('Activity data'!AR18*EF!$H49*EF!$H67)*NtoN2O*kgtoGg=0,"NO",('Activity data'!AR18*EF!$H49*EF!$H67)*NtoN2O*kgtoGg)</f>
        <v>3.1375930892687053E-2</v>
      </c>
      <c r="Z1424" s="28">
        <f>IF(('Activity data'!AS18*EF!$H49*EF!$H67)*NtoN2O*kgtoGg=0,"NO",('Activity data'!AS18*EF!$H49*EF!$H67)*NtoN2O*kgtoGg)</f>
        <v>3.1589420518295906E-2</v>
      </c>
      <c r="AA1424" s="28">
        <f>IF(('Activity data'!AT18*EF!$H49*EF!$H67)*NtoN2O*kgtoGg=0,"NO",('Activity data'!AT18*EF!$H49*EF!$H67)*NtoN2O*kgtoGg)</f>
        <v>3.1845985380898841E-2</v>
      </c>
      <c r="AB1424" s="28">
        <f>IF(('Activity data'!AU18*EF!$H49*EF!$H67)*NtoN2O*kgtoGg=0,"NO",('Activity data'!AU18*EF!$H49*EF!$H67)*NtoN2O*kgtoGg)</f>
        <v>3.2032749858579623E-2</v>
      </c>
      <c r="AC1424" s="28">
        <f>IF(('Activity data'!AV18*EF!$H49*EF!$H67)*NtoN2O*kgtoGg=0,"NO",('Activity data'!AV18*EF!$H49*EF!$H67)*NtoN2O*kgtoGg)</f>
        <v>3.222920973545864E-2</v>
      </c>
      <c r="AD1424" s="28">
        <f>IF(('Activity data'!AW18*EF!$H49*EF!$H67)*NtoN2O*kgtoGg=0,"NO",('Activity data'!AW18*EF!$H49*EF!$H67)*NtoN2O*kgtoGg)</f>
        <v>3.2591568939191247E-2</v>
      </c>
      <c r="AE1424" s="28">
        <f>IF(('Activity data'!AX18*EF!$H49*EF!$H67)*NtoN2O*kgtoGg=0,"NO",('Activity data'!AX18*EF!$H49*EF!$H67)*NtoN2O*kgtoGg)</f>
        <v>3.3014863647997064E-2</v>
      </c>
      <c r="AF1424" s="28">
        <f>IF(('Activity data'!AY18*EF!$H49*EF!$H67)*NtoN2O*kgtoGg=0,"NO",('Activity data'!AY18*EF!$H49*EF!$H67)*NtoN2O*kgtoGg)</f>
        <v>3.345289737347313E-2</v>
      </c>
      <c r="AG1424" s="28">
        <f>IF(('Activity data'!AZ18*EF!$H49*EF!$H67)*NtoN2O*kgtoGg=0,"NO",('Activity data'!AZ18*EF!$H49*EF!$H67)*NtoN2O*kgtoGg)</f>
        <v>3.2960586536628499E-2</v>
      </c>
      <c r="AH1424" s="28">
        <f>IF(('Activity data'!BA18*EF!$H49*EF!$H67)*NtoN2O*kgtoGg=0,"NO",('Activity data'!BA18*EF!$H49*EF!$H67)*NtoN2O*kgtoGg)</f>
        <v>-1.112114773249949E-2</v>
      </c>
      <c r="AI1424" s="28">
        <f>IF(('Activity data'!BB18*EF!$H49*EF!$H67)*NtoN2O*kgtoGg=0,"NO",('Activity data'!BB18*EF!$H49*EF!$H67)*NtoN2O*kgtoGg)</f>
        <v>-1.0999500339038397E-2</v>
      </c>
      <c r="AJ1424" s="28">
        <f>IF(('Activity data'!BC18*EF!$H49*EF!$H67)*NtoN2O*kgtoGg=0,"NO",('Activity data'!BC18*EF!$H49*EF!$H67)*NtoN2O*kgtoGg)</f>
        <v>-1.0880458459698174E-2</v>
      </c>
      <c r="AK1424" s="28">
        <f>IF(('Activity data'!BD18*EF!$H49*EF!$H67)*NtoN2O*kgtoGg=0,"NO",('Activity data'!BD18*EF!$H49*EF!$H67)*NtoN2O*kgtoGg)</f>
        <v>-1.0763851645019877E-2</v>
      </c>
      <c r="AL1424" s="28">
        <f>IF(('Activity data'!BE18*EF!$H49*EF!$H67)*NtoN2O*kgtoGg=0,"NO",('Activity data'!BE18*EF!$H49*EF!$H67)*NtoN2O*kgtoGg)</f>
        <v>-1.0649521925873338E-2</v>
      </c>
      <c r="AM1424" s="28">
        <f>IF(('Activity data'!BF18*EF!$H49*EF!$H67)*NtoN2O*kgtoGg=0,"NO",('Activity data'!BF18*EF!$H49*EF!$H67)*NtoN2O*kgtoGg)</f>
        <v>-1.0537322606536911E-2</v>
      </c>
      <c r="AN1424" s="28">
        <f>IF(('Activity data'!BG18*EF!$H49*EF!$H67)*NtoN2O*kgtoGg=0,"NO",('Activity data'!BG18*EF!$H49*EF!$H67)*NtoN2O*kgtoGg)</f>
        <v>-1.0414262308081425E-2</v>
      </c>
      <c r="AO1424" s="28">
        <f>IF(('Activity data'!BH18*EF!$H49*EF!$H67)*NtoN2O*kgtoGg=0,"NO",('Activity data'!BH18*EF!$H49*EF!$H67)*NtoN2O*kgtoGg)</f>
        <v>-1.0293371736443279E-2</v>
      </c>
      <c r="AP1424" s="28">
        <f>IF(('Activity data'!BI18*EF!$H49*EF!$H67)*NtoN2O*kgtoGg=0,"NO",('Activity data'!BI18*EF!$H49*EF!$H67)*NtoN2O*kgtoGg)</f>
        <v>-1.0174524169652843E-2</v>
      </c>
      <c r="AQ1424" s="28">
        <f>IF(('Activity data'!BJ18*EF!$H49*EF!$H67)*NtoN2O*kgtoGg=0,"NO",('Activity data'!BJ18*EF!$H49*EF!$H67)*NtoN2O*kgtoGg)</f>
        <v>-1.0057601162939404E-2</v>
      </c>
      <c r="AR1424" s="28">
        <f>IF(('Activity data'!BK18*EF!$H49*EF!$H67)*NtoN2O*kgtoGg=0,"NO",('Activity data'!BK18*EF!$H49*EF!$H67)*NtoN2O*kgtoGg)</f>
        <v>-9.9424918335602689E-3</v>
      </c>
      <c r="AS1424" s="28">
        <f>IF(('Activity data'!BL18*EF!$H49*EF!$H67)*NtoN2O*kgtoGg=0,"NO",('Activity data'!BL18*EF!$H49*EF!$H67)*NtoN2O*kgtoGg)</f>
        <v>-9.8170484341927999E-3</v>
      </c>
      <c r="AT1424" s="28">
        <f>IF(('Activity data'!BM18*EF!$H49*EF!$H67)*NtoN2O*kgtoGg=0,"NO",('Activity data'!BM18*EF!$H49*EF!$H67)*NtoN2O*kgtoGg)</f>
        <v>-9.6935210116723403E-3</v>
      </c>
      <c r="AU1424" s="28">
        <f>IF(('Activity data'!BN18*EF!$H49*EF!$H67)*NtoN2O*kgtoGg=0,"NO",('Activity data'!BN18*EF!$H49*EF!$H67)*NtoN2O*kgtoGg)</f>
        <v>-9.5718109436564065E-3</v>
      </c>
      <c r="AV1424" s="28">
        <f>IF(('Activity data'!BO18*EF!$H49*EF!$H67)*NtoN2O*kgtoGg=0,"NO",('Activity data'!BO18*EF!$H49*EF!$H67)*NtoN2O*kgtoGg)</f>
        <v>-9.4518254347556157E-3</v>
      </c>
      <c r="AW1424" s="28">
        <f>IF(('Activity data'!BP18*EF!$H49*EF!$H67)*NtoN2O*kgtoGg=0,"NO",('Activity data'!BP18*EF!$H49*EF!$H67)*NtoN2O*kgtoGg)</f>
        <v>-9.3334770622229783E-3</v>
      </c>
    </row>
    <row r="1425" spans="1:49" x14ac:dyDescent="0.25">
      <c r="A1425" s="102" t="s">
        <v>961</v>
      </c>
      <c r="B1425" s="102"/>
      <c r="C1425" s="102"/>
      <c r="D1425" t="str">
        <f t="shared" si="552"/>
        <v>3A Livestock</v>
      </c>
      <c r="E1425" t="str">
        <f t="shared" si="552"/>
        <v>3A2 Manure management (N2O)</v>
      </c>
      <c r="F1425" t="str">
        <f>EF!C68</f>
        <v>3A2i Poultry</v>
      </c>
      <c r="G1425" t="str">
        <f>EF!D68</f>
        <v>Commercial layers</v>
      </c>
      <c r="H1425" t="str">
        <f t="shared" si="553"/>
        <v>Manure management Emissions</v>
      </c>
      <c r="I1425" t="s">
        <v>139</v>
      </c>
      <c r="J1425" t="str">
        <f t="shared" si="551"/>
        <v>Gg N2O</v>
      </c>
      <c r="K1425" s="28">
        <f>IF(('Activity data'!AD19*EF!$H50*EF!$H68)*NtoN2O*kgtoGg=0,"NO",('Activity data'!AD19*EF!$H50*EF!$H68)*NtoN2O*kgtoGg)</f>
        <v>0.32963485119754937</v>
      </c>
      <c r="L1425" s="28">
        <f>IF(('Activity data'!AE19*EF!$H50*EF!$H68)*NtoN2O*kgtoGg=0,"NO",('Activity data'!AE19*EF!$H50*EF!$H68)*NtoN2O*kgtoGg)</f>
        <v>0.3367733222576253</v>
      </c>
      <c r="M1425" s="28">
        <f>IF(('Activity data'!AF19*EF!$H50*EF!$H68)*NtoN2O*kgtoGg=0,"NO",('Activity data'!AF19*EF!$H50*EF!$H68)*NtoN2O*kgtoGg)</f>
        <v>0.34252519941326248</v>
      </c>
      <c r="N1425" s="28">
        <f>IF(('Activity data'!AG19*EF!$H50*EF!$H68)*NtoN2O*kgtoGg=0,"NO",('Activity data'!AG19*EF!$H50*EF!$H68)*NtoN2O*kgtoGg)</f>
        <v>0.34628339258632435</v>
      </c>
      <c r="O1425" s="28">
        <f>IF(('Activity data'!AH19*EF!$H50*EF!$H68)*NtoN2O*kgtoGg=0,"NO",('Activity data'!AH19*EF!$H50*EF!$H68)*NtoN2O*kgtoGg)</f>
        <v>0.35009259651269609</v>
      </c>
      <c r="P1425" s="28">
        <f>IF(('Activity data'!AI19*EF!$H50*EF!$H68)*NtoN2O*kgtoGg=0,"NO",('Activity data'!AI19*EF!$H50*EF!$H68)*NtoN2O*kgtoGg)</f>
        <v>0.35500337907845531</v>
      </c>
      <c r="Q1425" s="28">
        <f>IF(('Activity data'!AJ19*EF!$H50*EF!$H68)*NtoN2O*kgtoGg=0,"NO",('Activity data'!AJ19*EF!$H50*EF!$H68)*NtoN2O*kgtoGg)</f>
        <v>0.36025498659562288</v>
      </c>
      <c r="R1425" s="28">
        <f>IF(('Activity data'!AK19*EF!$H50*EF!$H68)*NtoN2O*kgtoGg=0,"NO",('Activity data'!AK19*EF!$H50*EF!$H68)*NtoN2O*kgtoGg)</f>
        <v>0.36330907698293946</v>
      </c>
      <c r="S1425" s="28">
        <f>IF(('Activity data'!AL19*EF!$H50*EF!$H68)*NtoN2O*kgtoGg=0,"NO",('Activity data'!AL19*EF!$H50*EF!$H68)*NtoN2O*kgtoGg)</f>
        <v>0.34573940681489368</v>
      </c>
      <c r="T1425" s="28">
        <f>IF(('Activity data'!AM19*EF!$H50*EF!$H68)*NtoN2O*kgtoGg=0,"NO",('Activity data'!AM19*EF!$H50*EF!$H68)*NtoN2O*kgtoGg)</f>
        <v>0.35316196495857255</v>
      </c>
      <c r="U1425" s="28">
        <f>IF(('Activity data'!AN19*EF!$H50*EF!$H68)*NtoN2O*kgtoGg=0,"NO",('Activity data'!AN19*EF!$H50*EF!$H68)*NtoN2O*kgtoGg)</f>
        <v>0.36009092327704184</v>
      </c>
      <c r="V1425" s="28">
        <f>IF(('Activity data'!AO19*EF!$H50*EF!$H68)*NtoN2O*kgtoGg=0,"NO",('Activity data'!AO19*EF!$H50*EF!$H68)*NtoN2O*kgtoGg)</f>
        <v>0.36707458200076865</v>
      </c>
      <c r="W1425" s="28">
        <f>IF(('Activity data'!AP19*EF!$H50*EF!$H68)*NtoN2O*kgtoGg=0,"NO",('Activity data'!AP19*EF!$H50*EF!$H68)*NtoN2O*kgtoGg)</f>
        <v>0.37500055316657199</v>
      </c>
      <c r="X1425" s="28">
        <f>IF(('Activity data'!AQ19*EF!$H50*EF!$H68)*NtoN2O*kgtoGg=0,"NO",('Activity data'!AQ19*EF!$H50*EF!$H68)*NtoN2O*kgtoGg)</f>
        <v>0.38299236324087566</v>
      </c>
      <c r="Y1425" s="28">
        <f>IF(('Activity data'!AR19*EF!$H50*EF!$H68)*NtoN2O*kgtoGg=0,"NO",('Activity data'!AR19*EF!$H50*EF!$H68)*NtoN2O*kgtoGg)</f>
        <v>0.39099432975561715</v>
      </c>
      <c r="Z1425" s="28">
        <f>IF(('Activity data'!AS19*EF!$H50*EF!$H68)*NtoN2O*kgtoGg=0,"NO",('Activity data'!AS19*EF!$H50*EF!$H68)*NtoN2O*kgtoGg)</f>
        <v>0.398841954270029</v>
      </c>
      <c r="AA1425" s="28">
        <f>IF(('Activity data'!AT19*EF!$H50*EF!$H68)*NtoN2O*kgtoGg=0,"NO",('Activity data'!AT19*EF!$H50*EF!$H68)*NtoN2O*kgtoGg)</f>
        <v>0.40710661573230994</v>
      </c>
      <c r="AB1425" s="28">
        <f>IF(('Activity data'!AU19*EF!$H50*EF!$H68)*NtoN2O*kgtoGg=0,"NO",('Activity data'!AU19*EF!$H50*EF!$H68)*NtoN2O*kgtoGg)</f>
        <v>0.41500811589686409</v>
      </c>
      <c r="AC1425" s="28">
        <f>IF(('Activity data'!AV19*EF!$H50*EF!$H68)*NtoN2O*kgtoGg=0,"NO",('Activity data'!AV19*EF!$H50*EF!$H68)*NtoN2O*kgtoGg)</f>
        <v>0.42309700830126501</v>
      </c>
      <c r="AD1425" s="28">
        <f>IF(('Activity data'!AW19*EF!$H50*EF!$H68)*NtoN2O*kgtoGg=0,"NO",('Activity data'!AW19*EF!$H50*EF!$H68)*NtoN2O*kgtoGg)</f>
        <v>0.43226826232979193</v>
      </c>
      <c r="AE1425" s="28">
        <f>IF(('Activity data'!AX19*EF!$H50*EF!$H68)*NtoN2O*kgtoGg=0,"NO",('Activity data'!AX19*EF!$H50*EF!$H68)*NtoN2O*kgtoGg)</f>
        <v>0.44207160383339156</v>
      </c>
      <c r="AF1425" s="28">
        <f>IF(('Activity data'!AY19*EF!$H50*EF!$H68)*NtoN2O*kgtoGg=0,"NO",('Activity data'!AY19*EF!$H50*EF!$H68)*NtoN2O*kgtoGg)</f>
        <v>0.45218336296465478</v>
      </c>
      <c r="AG1425" s="28">
        <f>IF(('Activity data'!AZ19*EF!$H50*EF!$H68)*NtoN2O*kgtoGg=0,"NO",('Activity data'!AZ19*EF!$H50*EF!$H68)*NtoN2O*kgtoGg)</f>
        <v>0.4551931213650493</v>
      </c>
      <c r="AH1425" s="28">
        <f>IF(('Activity data'!BA19*EF!$H50*EF!$H68)*NtoN2O*kgtoGg=0,"NO",('Activity data'!BA19*EF!$H50*EF!$H68)*NtoN2O*kgtoGg)</f>
        <v>0.10910564018941009</v>
      </c>
      <c r="AI1425" s="28">
        <f>IF(('Activity data'!BB19*EF!$H50*EF!$H68)*NtoN2O*kgtoGg=0,"NO",('Activity data'!BB19*EF!$H50*EF!$H68)*NtoN2O*kgtoGg)</f>
        <v>0.10994420930696339</v>
      </c>
      <c r="AJ1425" s="28">
        <f>IF(('Activity data'!BC19*EF!$H50*EF!$H68)*NtoN2O*kgtoGg=0,"NO",('Activity data'!BC19*EF!$H50*EF!$H68)*NtoN2O*kgtoGg)</f>
        <v>0.11078888384654588</v>
      </c>
      <c r="AK1425" s="28">
        <f>IF(('Activity data'!BD19*EF!$H50*EF!$H68)*NtoN2O*kgtoGg=0,"NO",('Activity data'!BD19*EF!$H50*EF!$H68)*NtoN2O*kgtoGg)</f>
        <v>0.11163971029926273</v>
      </c>
      <c r="AL1425" s="28">
        <f>IF(('Activity data'!BE19*EF!$H50*EF!$H68)*NtoN2O*kgtoGg=0,"NO",('Activity data'!BE19*EF!$H50*EF!$H68)*NtoN2O*kgtoGg)</f>
        <v>0.11249673536734303</v>
      </c>
      <c r="AM1425" s="28">
        <f>IF(('Activity data'!BF19*EF!$H50*EF!$H68)*NtoN2O*kgtoGg=0,"NO",('Activity data'!BF19*EF!$H50*EF!$H68)*NtoN2O*kgtoGg)</f>
        <v>0.1133600059778764</v>
      </c>
      <c r="AN1425" s="28">
        <f>IF(('Activity data'!BG19*EF!$H50*EF!$H68)*NtoN2O*kgtoGg=0,"NO",('Activity data'!BG19*EF!$H50*EF!$H68)*NtoN2O*kgtoGg)</f>
        <v>0.11409797095001123</v>
      </c>
      <c r="AO1425" s="28">
        <f>IF(('Activity data'!BH19*EF!$H50*EF!$H68)*NtoN2O*kgtoGg=0,"NO",('Activity data'!BH19*EF!$H50*EF!$H68)*NtoN2O*kgtoGg)</f>
        <v>0.11484049120695125</v>
      </c>
      <c r="AP1425" s="28">
        <f>IF(('Activity data'!BI19*EF!$H50*EF!$H68)*NtoN2O*kgtoGg=0,"NO",('Activity data'!BI19*EF!$H50*EF!$H68)*NtoN2O*kgtoGg)</f>
        <v>0.11558759635865411</v>
      </c>
      <c r="AQ1425" s="28">
        <f>IF(('Activity data'!BJ19*EF!$H50*EF!$H68)*NtoN2O*kgtoGg=0,"NO",('Activity data'!BJ19*EF!$H50*EF!$H68)*NtoN2O*kgtoGg)</f>
        <v>0.11633931611415979</v>
      </c>
      <c r="AR1425" s="28">
        <f>IF(('Activity data'!BK19*EF!$H50*EF!$H68)*NtoN2O*kgtoGg=0,"NO",('Activity data'!BK19*EF!$H50*EF!$H68)*NtoN2O*kgtoGg)</f>
        <v>0.11709568028936261</v>
      </c>
      <c r="AS1425" s="28">
        <f>IF(('Activity data'!BL19*EF!$H50*EF!$H68)*NtoN2O*kgtoGg=0,"NO",('Activity data'!BL19*EF!$H50*EF!$H68)*NtoN2O*kgtoGg)</f>
        <v>0.11772147862106908</v>
      </c>
      <c r="AT1425" s="28">
        <f>IF(('Activity data'!BM19*EF!$H50*EF!$H68)*NtoN2O*kgtoGg=0,"NO",('Activity data'!BM19*EF!$H50*EF!$H68)*NtoN2O*kgtoGg)</f>
        <v>0.11835044728238052</v>
      </c>
      <c r="AU1425" s="28">
        <f>IF(('Activity data'!BN19*EF!$H50*EF!$H68)*NtoN2O*kgtoGg=0,"NO",('Activity data'!BN19*EF!$H50*EF!$H68)*NtoN2O*kgtoGg)</f>
        <v>0.11898260346877226</v>
      </c>
      <c r="AV1425" s="28">
        <f>IF(('Activity data'!BO19*EF!$H50*EF!$H68)*NtoN2O*kgtoGg=0,"NO",('Activity data'!BO19*EF!$H50*EF!$H68)*NtoN2O*kgtoGg)</f>
        <v>0.11961796440464827</v>
      </c>
      <c r="AW1425" s="28">
        <f>IF(('Activity data'!BP19*EF!$H50*EF!$H68)*NtoN2O*kgtoGg=0,"NO",('Activity data'!BP19*EF!$H50*EF!$H68)*NtoN2O*kgtoGg)</f>
        <v>0.12025654734797987</v>
      </c>
    </row>
    <row r="1426" spans="1:49" x14ac:dyDescent="0.25">
      <c r="A1426" s="102" t="s">
        <v>961</v>
      </c>
      <c r="B1426" s="102"/>
      <c r="C1426" s="102"/>
      <c r="D1426" t="str">
        <f t="shared" si="552"/>
        <v>3A Livestock</v>
      </c>
      <c r="E1426" t="str">
        <f t="shared" si="552"/>
        <v>3A2 Manure management (N2O)</v>
      </c>
      <c r="F1426" t="str">
        <f>EF!C69</f>
        <v>3A2i Poultry</v>
      </c>
      <c r="G1426" t="str">
        <f>EF!D69</f>
        <v>Commercial broilers</v>
      </c>
      <c r="H1426" t="str">
        <f t="shared" si="553"/>
        <v>Manure management Emissions</v>
      </c>
      <c r="I1426" t="s">
        <v>139</v>
      </c>
      <c r="J1426" t="str">
        <f t="shared" si="551"/>
        <v>Gg N2O</v>
      </c>
      <c r="K1426" s="28">
        <f>IF(('Activity data'!AD20*EF!$H51*EF!$H69)*NtoN2O*kgtoGg=0,"NO",('Activity data'!AD20*EF!$H51*EF!$H69)*NtoN2O*kgtoGg)</f>
        <v>1.7216530294251391</v>
      </c>
      <c r="L1426" s="28">
        <f>IF(('Activity data'!AE20*EF!$H51*EF!$H69)*NtoN2O*kgtoGg=0,"NO",('Activity data'!AE20*EF!$H51*EF!$H69)*NtoN2O*kgtoGg)</f>
        <v>1.7495913852181326</v>
      </c>
      <c r="M1426" s="28">
        <f>IF(('Activity data'!AF20*EF!$H51*EF!$H69)*NtoN2O*kgtoGg=0,"NO",('Activity data'!AF20*EF!$H51*EF!$H69)*NtoN2O*kgtoGg)</f>
        <v>1.7578868664335328</v>
      </c>
      <c r="N1426" s="28">
        <f>IF(('Activity data'!AG20*EF!$H51*EF!$H69)*NtoN2O*kgtoGg=0,"NO",('Activity data'!AG20*EF!$H51*EF!$H69)*NtoN2O*kgtoGg)</f>
        <v>1.7392918980189422</v>
      </c>
      <c r="O1426" s="28">
        <f>IF(('Activity data'!AH20*EF!$H51*EF!$H69)*NtoN2O*kgtoGg=0,"NO",('Activity data'!AH20*EF!$H51*EF!$H69)*NtoN2O*kgtoGg)</f>
        <v>1.7207368558327785</v>
      </c>
      <c r="P1426" s="28">
        <f>IF(('Activity data'!AI20*EF!$H51*EF!$H69)*NtoN2O*kgtoGg=0,"NO",('Activity data'!AI20*EF!$H51*EF!$H69)*NtoN2O*kgtoGg)</f>
        <v>1.7153529254443873</v>
      </c>
      <c r="Q1426" s="28">
        <f>IF(('Activity data'!AJ20*EF!$H51*EF!$H69)*NtoN2O*kgtoGg=0,"NO",('Activity data'!AJ20*EF!$H51*EF!$H69)*NtoN2O*kgtoGg)</f>
        <v>1.7142313641539435</v>
      </c>
      <c r="R1426" s="28">
        <f>IF(('Activity data'!AK20*EF!$H51*EF!$H69)*NtoN2O*kgtoGg=0,"NO",('Activity data'!AK20*EF!$H51*EF!$H69)*NtoN2O*kgtoGg)</f>
        <v>1.6856374848225169</v>
      </c>
      <c r="S1426" s="28">
        <f>IF(('Activity data'!AL20*EF!$H51*EF!$H69)*NtoN2O*kgtoGg=0,"NO",('Activity data'!AL20*EF!$H51*EF!$H69)*NtoN2O*kgtoGg)</f>
        <v>1.4045469015643526</v>
      </c>
      <c r="T1426" s="28">
        <f>IF(('Activity data'!AM20*EF!$H51*EF!$H69)*NtoN2O*kgtoGg=0,"NO",('Activity data'!AM20*EF!$H51*EF!$H69)*NtoN2O*kgtoGg)</f>
        <v>1.4459775319383337</v>
      </c>
      <c r="U1426" s="28">
        <f>IF(('Activity data'!AN20*EF!$H51*EF!$H69)*NtoN2O*kgtoGg=0,"NO",('Activity data'!AN20*EF!$H51*EF!$H69)*NtoN2O*kgtoGg)</f>
        <v>1.480607974450509</v>
      </c>
      <c r="V1426" s="28">
        <f>IF(('Activity data'!AO20*EF!$H51*EF!$H69)*NtoN2O*kgtoGg=0,"NO",('Activity data'!AO20*EF!$H51*EF!$H69)*NtoN2O*kgtoGg)</f>
        <v>1.5151543903265086</v>
      </c>
      <c r="W1426" s="28">
        <f>IF(('Activity data'!AP20*EF!$H51*EF!$H69)*NtoN2O*kgtoGg=0,"NO",('Activity data'!AP20*EF!$H51*EF!$H69)*NtoN2O*kgtoGg)</f>
        <v>1.5601003686418904</v>
      </c>
      <c r="X1426" s="28">
        <f>IF(('Activity data'!AQ20*EF!$H51*EF!$H69)*NtoN2O*kgtoGg=0,"NO",('Activity data'!AQ20*EF!$H51*EF!$H69)*NtoN2O*kgtoGg)</f>
        <v>1.6049114332445515</v>
      </c>
      <c r="Y1426" s="28">
        <f>IF(('Activity data'!AR20*EF!$H51*EF!$H69)*NtoN2O*kgtoGg=0,"NO",('Activity data'!AR20*EF!$H51*EF!$H69)*NtoN2O*kgtoGg)</f>
        <v>1.6541109963656262</v>
      </c>
      <c r="Z1426" s="28">
        <f>IF(('Activity data'!AS20*EF!$H51*EF!$H69)*NtoN2O*kgtoGg=0,"NO",('Activity data'!AS20*EF!$H51*EF!$H69)*NtoN2O*kgtoGg)</f>
        <v>1.7006835408755379</v>
      </c>
      <c r="AA1426" s="28">
        <f>IF(('Activity data'!AT20*EF!$H51*EF!$H69)*NtoN2O*kgtoGg=0,"NO",('Activity data'!AT20*EF!$H51*EF!$H69)*NtoN2O*kgtoGg)</f>
        <v>1.7512278539533319</v>
      </c>
      <c r="AB1426" s="28">
        <f>IF(('Activity data'!AU20*EF!$H51*EF!$H69)*NtoN2O*kgtoGg=0,"NO",('Activity data'!AU20*EF!$H51*EF!$H69)*NtoN2O*kgtoGg)</f>
        <v>1.7968025285418052</v>
      </c>
      <c r="AC1426" s="28">
        <f>IF(('Activity data'!AV20*EF!$H51*EF!$H69)*NtoN2O*kgtoGg=0,"NO",('Activity data'!AV20*EF!$H51*EF!$H69)*NtoN2O*kgtoGg)</f>
        <v>1.8437229492039162</v>
      </c>
      <c r="AD1426" s="28">
        <f>IF(('Activity data'!AW20*EF!$H51*EF!$H69)*NtoN2O*kgtoGg=0,"NO",('Activity data'!AW20*EF!$H51*EF!$H69)*NtoN2O*kgtoGg)</f>
        <v>1.9060767826661782</v>
      </c>
      <c r="AE1426" s="28">
        <f>IF(('Activity data'!AX20*EF!$H51*EF!$H69)*NtoN2O*kgtoGg=0,"NO",('Activity data'!AX20*EF!$H51*EF!$H69)*NtoN2O*kgtoGg)</f>
        <v>1.9745333748476768</v>
      </c>
      <c r="AF1426" s="28">
        <f>IF(('Activity data'!AY20*EF!$H51*EF!$H69)*NtoN2O*kgtoGg=0,"NO",('Activity data'!AY20*EF!$H51*EF!$H69)*NtoN2O*kgtoGg)</f>
        <v>2.0454043901813557</v>
      </c>
      <c r="AG1426" s="28">
        <f>IF(('Activity data'!AZ20*EF!$H51*EF!$H69)*NtoN2O*kgtoGg=0,"NO",('Activity data'!AZ20*EF!$H51*EF!$H69)*NtoN2O*kgtoGg)</f>
        <v>2.0375124323750504</v>
      </c>
      <c r="AH1426" s="28">
        <f>IF(('Activity data'!BA20*EF!$H51*EF!$H69)*NtoN2O*kgtoGg=0,"NO",('Activity data'!BA20*EF!$H51*EF!$H69)*NtoN2O*kgtoGg)</f>
        <v>-1.7670360622808823</v>
      </c>
      <c r="AI1426" s="28">
        <f>IF(('Activity data'!BB20*EF!$H51*EF!$H69)*NtoN2O*kgtoGg=0,"NO",('Activity data'!BB20*EF!$H51*EF!$H69)*NtoN2O*kgtoGg)</f>
        <v>-1.769567863105443</v>
      </c>
      <c r="AJ1426" s="28">
        <f>IF(('Activity data'!BC20*EF!$H51*EF!$H69)*NtoN2O*kgtoGg=0,"NO",('Activity data'!BC20*EF!$H51*EF!$H69)*NtoN2O*kgtoGg)</f>
        <v>-1.7723139091947202</v>
      </c>
      <c r="AK1426" s="28">
        <f>IF(('Activity data'!BD20*EF!$H51*EF!$H69)*NtoN2O*kgtoGg=0,"NO",('Activity data'!BD20*EF!$H51*EF!$H69)*NtoN2O*kgtoGg)</f>
        <v>-1.775265259663616</v>
      </c>
      <c r="AL1426" s="28">
        <f>IF(('Activity data'!BE20*EF!$H51*EF!$H69)*NtoN2O*kgtoGg=0,"NO",('Activity data'!BE20*EF!$H51*EF!$H69)*NtoN2O*kgtoGg)</f>
        <v>-1.7784136680871927</v>
      </c>
      <c r="AM1426" s="28">
        <f>IF(('Activity data'!BF20*EF!$H51*EF!$H69)*NtoN2O*kgtoGg=0,"NO",('Activity data'!BF20*EF!$H51*EF!$H69)*NtoN2O*kgtoGg)</f>
        <v>-1.7817515157915651</v>
      </c>
      <c r="AN1426" s="28">
        <f>IF(('Activity data'!BG20*EF!$H51*EF!$H69)*NtoN2O*kgtoGg=0,"NO",('Activity data'!BG20*EF!$H51*EF!$H69)*NtoN2O*kgtoGg)</f>
        <v>-1.7831253143927157</v>
      </c>
      <c r="AO1426" s="28">
        <f>IF(('Activity data'!BH20*EF!$H51*EF!$H69)*NtoN2O*kgtoGg=0,"NO",('Activity data'!BH20*EF!$H51*EF!$H69)*NtoN2O*kgtoGg)</f>
        <v>-1.7846712895501273</v>
      </c>
      <c r="AP1426" s="28">
        <f>IF(('Activity data'!BI20*EF!$H51*EF!$H69)*NtoN2O*kgtoGg=0,"NO",('Activity data'!BI20*EF!$H51*EF!$H69)*NtoN2O*kgtoGg)</f>
        <v>-1.7863827557357852</v>
      </c>
      <c r="AQ1426" s="28">
        <f>IF(('Activity data'!BJ20*EF!$H51*EF!$H69)*NtoN2O*kgtoGg=0,"NO",('Activity data'!BJ20*EF!$H51*EF!$H69)*NtoN2O*kgtoGg)</f>
        <v>-1.788253486478437</v>
      </c>
      <c r="AR1426" s="28">
        <f>IF(('Activity data'!BK20*EF!$H51*EF!$H69)*NtoN2O*kgtoGg=0,"NO",('Activity data'!BK20*EF!$H51*EF!$H69)*NtoN2O*kgtoGg)</f>
        <v>-1.79027767491833</v>
      </c>
      <c r="AS1426" s="28">
        <f>IF(('Activity data'!BL20*EF!$H51*EF!$H69)*NtoN2O*kgtoGg=0,"NO",('Activity data'!BL20*EF!$H51*EF!$H69)*NtoN2O*kgtoGg)</f>
        <v>-1.7903062211735206</v>
      </c>
      <c r="AT1426" s="28">
        <f>IF(('Activity data'!BM20*EF!$H51*EF!$H69)*NtoN2O*kgtoGg=0,"NO",('Activity data'!BM20*EF!$H51*EF!$H69)*NtoN2O*kgtoGg)</f>
        <v>-1.7904768825126722</v>
      </c>
      <c r="AU1426" s="28">
        <f>IF(('Activity data'!BN20*EF!$H51*EF!$H69)*NtoN2O*kgtoGg=0,"NO",('Activity data'!BN20*EF!$H51*EF!$H69)*NtoN2O*kgtoGg)</f>
        <v>-1.7907844045675889</v>
      </c>
      <c r="AV1426" s="28">
        <f>IF(('Activity data'!BO20*EF!$H51*EF!$H69)*NtoN2O*kgtoGg=0,"NO",('Activity data'!BO20*EF!$H51*EF!$H69)*NtoN2O*kgtoGg)</f>
        <v>-1.7912238548642139</v>
      </c>
      <c r="AW1426" s="28">
        <f>IF(('Activity data'!BP20*EF!$H51*EF!$H69)*NtoN2O*kgtoGg=0,"NO",('Activity data'!BP20*EF!$H51*EF!$H69)*NtoN2O*kgtoGg)</f>
        <v>-1.7917905978217188</v>
      </c>
    </row>
    <row r="1427" spans="1:49" x14ac:dyDescent="0.25">
      <c r="A1427" s="102" t="s">
        <v>961</v>
      </c>
      <c r="B1427" s="102"/>
      <c r="C1427" s="102"/>
      <c r="D1427" t="str">
        <f t="shared" si="552"/>
        <v>3A Livestock</v>
      </c>
      <c r="E1427" t="str">
        <f t="shared" si="552"/>
        <v>3A2 Manure management (N2O)</v>
      </c>
      <c r="F1427" t="str">
        <f>EF!C70</f>
        <v>3A2i Poultry</v>
      </c>
      <c r="G1427" t="str">
        <f>EF!D70</f>
        <v>Subsistence layers</v>
      </c>
      <c r="H1427" t="str">
        <f t="shared" si="553"/>
        <v>Manure management Emissions</v>
      </c>
      <c r="I1427" t="s">
        <v>139</v>
      </c>
      <c r="J1427" t="str">
        <f t="shared" si="551"/>
        <v>Gg N2O</v>
      </c>
      <c r="K1427" s="28">
        <f>IF(('Activity data'!AD21*EF!$H52*EF!$H70)*NtoN2O*kgtoGg=0,"NO",('Activity data'!AD21*EF!$H52*EF!$H70)*NtoN2O*kgtoGg)</f>
        <v>1.3734785466564569E-2</v>
      </c>
      <c r="L1427" s="28">
        <f>IF(('Activity data'!AE21*EF!$H52*EF!$H70)*NtoN2O*kgtoGg=0,"NO",('Activity data'!AE21*EF!$H52*EF!$H70)*NtoN2O*kgtoGg)</f>
        <v>1.40322217607344E-2</v>
      </c>
      <c r="M1427" s="28">
        <f>IF(('Activity data'!AF21*EF!$H52*EF!$H70)*NtoN2O*kgtoGg=0,"NO",('Activity data'!AF21*EF!$H52*EF!$H70)*NtoN2O*kgtoGg)</f>
        <v>1.4271883308885947E-2</v>
      </c>
      <c r="N1427" s="28">
        <f>IF(('Activity data'!AG21*EF!$H52*EF!$H70)*NtoN2O*kgtoGg=0,"NO",('Activity data'!AG21*EF!$H52*EF!$H70)*NtoN2O*kgtoGg)</f>
        <v>1.442847469109686E-2</v>
      </c>
      <c r="O1427" s="28">
        <f>IF(('Activity data'!AH21*EF!$H52*EF!$H70)*NtoN2O*kgtoGg=0,"NO",('Activity data'!AH21*EF!$H52*EF!$H70)*NtoN2O*kgtoGg)</f>
        <v>1.4587191521362352E-2</v>
      </c>
      <c r="P1427" s="28">
        <f>IF(('Activity data'!AI21*EF!$H52*EF!$H70)*NtoN2O*kgtoGg=0,"NO",('Activity data'!AI21*EF!$H52*EF!$H70)*NtoN2O*kgtoGg)</f>
        <v>1.4791807461602316E-2</v>
      </c>
      <c r="Q1427" s="28">
        <f>IF(('Activity data'!AJ21*EF!$H52*EF!$H70)*NtoN2O*kgtoGg=0,"NO",('Activity data'!AJ21*EF!$H52*EF!$H70)*NtoN2O*kgtoGg)</f>
        <v>1.5010624441484299E-2</v>
      </c>
      <c r="R1427" s="28">
        <f>IF(('Activity data'!AK21*EF!$H52*EF!$H70)*NtoN2O*kgtoGg=0,"NO",('Activity data'!AK21*EF!$H52*EF!$H70)*NtoN2O*kgtoGg)</f>
        <v>1.5137878207622494E-2</v>
      </c>
      <c r="S1427" s="28">
        <f>IF(('Activity data'!AL21*EF!$H52*EF!$H70)*NtoN2O*kgtoGg=0,"NO",('Activity data'!AL21*EF!$H52*EF!$H70)*NtoN2O*kgtoGg)</f>
        <v>1.4405808617287252E-2</v>
      </c>
      <c r="T1427" s="28">
        <f>IF(('Activity data'!AM21*EF!$H52*EF!$H70)*NtoN2O*kgtoGg=0,"NO",('Activity data'!AM21*EF!$H52*EF!$H70)*NtoN2O*kgtoGg)</f>
        <v>1.471508187327387E-2</v>
      </c>
      <c r="U1427" s="28">
        <f>IF(('Activity data'!AN21*EF!$H52*EF!$H70)*NtoN2O*kgtoGg=0,"NO",('Activity data'!AN21*EF!$H52*EF!$H70)*NtoN2O*kgtoGg)</f>
        <v>1.5003788469876761E-2</v>
      </c>
      <c r="V1427" s="28">
        <f>IF(('Activity data'!AO21*EF!$H52*EF!$H70)*NtoN2O*kgtoGg=0,"NO",('Activity data'!AO21*EF!$H52*EF!$H70)*NtoN2O*kgtoGg)</f>
        <v>1.5294774250032041E-2</v>
      </c>
      <c r="W1427" s="28">
        <f>IF(('Activity data'!AP21*EF!$H52*EF!$H70)*NtoN2O*kgtoGg=0,"NO",('Activity data'!AP21*EF!$H52*EF!$H70)*NtoN2O*kgtoGg)</f>
        <v>1.5625023048607179E-2</v>
      </c>
      <c r="X1427" s="28">
        <f>IF(('Activity data'!AQ21*EF!$H52*EF!$H70)*NtoN2O*kgtoGg=0,"NO",('Activity data'!AQ21*EF!$H52*EF!$H70)*NtoN2O*kgtoGg)</f>
        <v>1.5958015135036502E-2</v>
      </c>
      <c r="Y1427" s="28">
        <f>IF(('Activity data'!AR21*EF!$H52*EF!$H70)*NtoN2O*kgtoGg=0,"NO",('Activity data'!AR21*EF!$H52*EF!$H70)*NtoN2O*kgtoGg)</f>
        <v>1.6291430406484061E-2</v>
      </c>
      <c r="Z1427" s="28">
        <f>IF(('Activity data'!AS21*EF!$H52*EF!$H70)*NtoN2O*kgtoGg=0,"NO",('Activity data'!AS21*EF!$H52*EF!$H70)*NtoN2O*kgtoGg)</f>
        <v>1.6618414761251227E-2</v>
      </c>
      <c r="AA1427" s="28">
        <f>IF(('Activity data'!AT21*EF!$H52*EF!$H70)*NtoN2O*kgtoGg=0,"NO",('Activity data'!AT21*EF!$H52*EF!$H70)*NtoN2O*kgtoGg)</f>
        <v>1.6962775655512932E-2</v>
      </c>
      <c r="AB1427" s="28">
        <f>IF(('Activity data'!AU21*EF!$H52*EF!$H70)*NtoN2O*kgtoGg=0,"NO",('Activity data'!AU21*EF!$H52*EF!$H70)*NtoN2O*kgtoGg)</f>
        <v>1.7292004829036017E-2</v>
      </c>
      <c r="AC1427" s="28">
        <f>IF(('Activity data'!AV21*EF!$H52*EF!$H70)*NtoN2O*kgtoGg=0,"NO",('Activity data'!AV21*EF!$H52*EF!$H70)*NtoN2O*kgtoGg)</f>
        <v>1.7629042012552724E-2</v>
      </c>
      <c r="AD1427" s="28">
        <f>IF(('Activity data'!AW21*EF!$H52*EF!$H70)*NtoN2O*kgtoGg=0,"NO",('Activity data'!AW21*EF!$H52*EF!$H70)*NtoN2O*kgtoGg)</f>
        <v>1.8011177597074678E-2</v>
      </c>
      <c r="AE1427" s="28">
        <f>IF(('Activity data'!AX21*EF!$H52*EF!$H70)*NtoN2O*kgtoGg=0,"NO",('Activity data'!AX21*EF!$H52*EF!$H70)*NtoN2O*kgtoGg)</f>
        <v>1.8419650159724663E-2</v>
      </c>
      <c r="AF1427" s="28">
        <f>IF(('Activity data'!AY21*EF!$H52*EF!$H70)*NtoN2O*kgtoGg=0,"NO",('Activity data'!AY21*EF!$H52*EF!$H70)*NtoN2O*kgtoGg)</f>
        <v>1.884097345686063E-2</v>
      </c>
      <c r="AG1427" s="28">
        <f>IF(('Activity data'!AZ21*EF!$H52*EF!$H70)*NtoN2O*kgtoGg=0,"NO",('Activity data'!AZ21*EF!$H52*EF!$H70)*NtoN2O*kgtoGg)</f>
        <v>1.8966380056877074E-2</v>
      </c>
      <c r="AH1427" s="28">
        <f>IF(('Activity data'!BA21*EF!$H52*EF!$H70)*NtoN2O*kgtoGg=0,"NO",('Activity data'!BA21*EF!$H52*EF!$H70)*NtoN2O*kgtoGg)</f>
        <v>4.546068341225425E-3</v>
      </c>
      <c r="AI1427" s="28">
        <f>IF(('Activity data'!BB21*EF!$H52*EF!$H70)*NtoN2O*kgtoGg=0,"NO",('Activity data'!BB21*EF!$H52*EF!$H70)*NtoN2O*kgtoGg)</f>
        <v>4.5810087211234788E-3</v>
      </c>
      <c r="AJ1427" s="28">
        <f>IF(('Activity data'!BC21*EF!$H52*EF!$H70)*NtoN2O*kgtoGg=0,"NO",('Activity data'!BC21*EF!$H52*EF!$H70)*NtoN2O*kgtoGg)</f>
        <v>4.6162034936060832E-3</v>
      </c>
      <c r="AK1427" s="28">
        <f>IF(('Activity data'!BD21*EF!$H52*EF!$H70)*NtoN2O*kgtoGg=0,"NO",('Activity data'!BD21*EF!$H52*EF!$H70)*NtoN2O*kgtoGg)</f>
        <v>4.651654595802618E-3</v>
      </c>
      <c r="AL1427" s="28">
        <f>IF(('Activity data'!BE21*EF!$H52*EF!$H70)*NtoN2O*kgtoGg=0,"NO",('Activity data'!BE21*EF!$H52*EF!$H70)*NtoN2O*kgtoGg)</f>
        <v>4.6873639736392985E-3</v>
      </c>
      <c r="AM1427" s="28">
        <f>IF(('Activity data'!BF21*EF!$H52*EF!$H70)*NtoN2O*kgtoGg=0,"NO",('Activity data'!BF21*EF!$H52*EF!$H70)*NtoN2O*kgtoGg)</f>
        <v>4.7233335824115215E-3</v>
      </c>
      <c r="AN1427" s="28">
        <f>IF(('Activity data'!BG21*EF!$H52*EF!$H70)*NtoN2O*kgtoGg=0,"NO",('Activity data'!BG21*EF!$H52*EF!$H70)*NtoN2O*kgtoGg)</f>
        <v>4.7540821229171398E-3</v>
      </c>
      <c r="AO1427" s="28">
        <f>IF(('Activity data'!BH21*EF!$H52*EF!$H70)*NtoN2O*kgtoGg=0,"NO",('Activity data'!BH21*EF!$H52*EF!$H70)*NtoN2O*kgtoGg)</f>
        <v>4.7850204669563062E-3</v>
      </c>
      <c r="AP1427" s="28">
        <f>IF(('Activity data'!BI21*EF!$H52*EF!$H70)*NtoN2O*kgtoGg=0,"NO",('Activity data'!BI21*EF!$H52*EF!$H70)*NtoN2O*kgtoGg)</f>
        <v>4.8161498482772597E-3</v>
      </c>
      <c r="AQ1427" s="28">
        <f>IF(('Activity data'!BJ21*EF!$H52*EF!$H70)*NtoN2O*kgtoGg=0,"NO",('Activity data'!BJ21*EF!$H52*EF!$H70)*NtoN2O*kgtoGg)</f>
        <v>4.8474715047566626E-3</v>
      </c>
      <c r="AR1427" s="28">
        <f>IF(('Activity data'!BK21*EF!$H52*EF!$H70)*NtoN2O*kgtoGg=0,"NO",('Activity data'!BK21*EF!$H52*EF!$H70)*NtoN2O*kgtoGg)</f>
        <v>4.8789866787234456E-3</v>
      </c>
      <c r="AS1427" s="28">
        <f>IF(('Activity data'!BL21*EF!$H52*EF!$H70)*NtoN2O*kgtoGg=0,"NO",('Activity data'!BL21*EF!$H52*EF!$H70)*NtoN2O*kgtoGg)</f>
        <v>4.9050616092112158E-3</v>
      </c>
      <c r="AT1427" s="28">
        <f>IF(('Activity data'!BM21*EF!$H52*EF!$H70)*NtoN2O*kgtoGg=0,"NO",('Activity data'!BM21*EF!$H52*EF!$H70)*NtoN2O*kgtoGg)</f>
        <v>4.9312686367658596E-3</v>
      </c>
      <c r="AU1427" s="28">
        <f>IF(('Activity data'!BN21*EF!$H52*EF!$H70)*NtoN2O*kgtoGg=0,"NO",('Activity data'!BN21*EF!$H52*EF!$H70)*NtoN2O*kgtoGg)</f>
        <v>4.9576084778655159E-3</v>
      </c>
      <c r="AV1427" s="28">
        <f>IF(('Activity data'!BO21*EF!$H52*EF!$H70)*NtoN2O*kgtoGg=0,"NO",('Activity data'!BO21*EF!$H52*EF!$H70)*NtoN2O*kgtoGg)</f>
        <v>4.9840818501936824E-3</v>
      </c>
      <c r="AW1427" s="28">
        <f>IF(('Activity data'!BP21*EF!$H52*EF!$H70)*NtoN2O*kgtoGg=0,"NO",('Activity data'!BP21*EF!$H52*EF!$H70)*NtoN2O*kgtoGg)</f>
        <v>5.0106894728324993E-3</v>
      </c>
    </row>
    <row r="1428" spans="1:49" x14ac:dyDescent="0.25">
      <c r="A1428" s="102" t="s">
        <v>961</v>
      </c>
      <c r="B1428" s="102"/>
      <c r="C1428" s="102"/>
      <c r="D1428" t="str">
        <f t="shared" si="552"/>
        <v>3A Livestock</v>
      </c>
      <c r="E1428" t="str">
        <f t="shared" si="552"/>
        <v>3A2 Manure management (N2O)</v>
      </c>
      <c r="F1428" t="str">
        <f>EF!C71</f>
        <v>3A2i Poultry</v>
      </c>
      <c r="G1428" t="str">
        <f>EF!D71</f>
        <v>Subsistence broilers</v>
      </c>
      <c r="H1428" t="str">
        <f t="shared" si="553"/>
        <v>Manure management Emissions</v>
      </c>
      <c r="I1428" t="s">
        <v>139</v>
      </c>
      <c r="J1428" t="str">
        <f t="shared" si="551"/>
        <v>Gg N2O</v>
      </c>
      <c r="K1428" s="28">
        <f>IF(('Activity data'!AD22*EF!$H53*EF!$H71)*NtoN2O*kgtoGg=0,"NO",('Activity data'!AD22*EF!$H53*EF!$H71)*NtoN2O*kgtoGg)</f>
        <v>7.1735542892714194E-2</v>
      </c>
      <c r="L1428" s="28">
        <f>IF(('Activity data'!AE22*EF!$H53*EF!$H71)*NtoN2O*kgtoGg=0,"NO",('Activity data'!AE22*EF!$H53*EF!$H71)*NtoN2O*kgtoGg)</f>
        <v>7.2899641050755595E-2</v>
      </c>
      <c r="M1428" s="28">
        <f>IF(('Activity data'!AF22*EF!$H53*EF!$H71)*NtoN2O*kgtoGg=0,"NO",('Activity data'!AF22*EF!$H53*EF!$H71)*NtoN2O*kgtoGg)</f>
        <v>7.3245286101397272E-2</v>
      </c>
      <c r="N1428" s="28">
        <f>IF(('Activity data'!AG22*EF!$H53*EF!$H71)*NtoN2O*kgtoGg=0,"NO",('Activity data'!AG22*EF!$H53*EF!$H71)*NtoN2O*kgtoGg)</f>
        <v>7.2470495750789329E-2</v>
      </c>
      <c r="O1428" s="28">
        <f>IF(('Activity data'!AH22*EF!$H53*EF!$H71)*NtoN2O*kgtoGg=0,"NO",('Activity data'!AH22*EF!$H53*EF!$H71)*NtoN2O*kgtoGg)</f>
        <v>7.1697368993032501E-2</v>
      </c>
      <c r="P1428" s="28">
        <f>IF(('Activity data'!AI22*EF!$H53*EF!$H71)*NtoN2O*kgtoGg=0,"NO",('Activity data'!AI22*EF!$H53*EF!$H71)*NtoN2O*kgtoGg)</f>
        <v>7.1473038560182875E-2</v>
      </c>
      <c r="Q1428" s="28">
        <f>IF(('Activity data'!AJ22*EF!$H53*EF!$H71)*NtoN2O*kgtoGg=0,"NO",('Activity data'!AJ22*EF!$H53*EF!$H71)*NtoN2O*kgtoGg)</f>
        <v>7.1426306839747711E-2</v>
      </c>
      <c r="R1428" s="28">
        <f>IF(('Activity data'!AK22*EF!$H53*EF!$H71)*NtoN2O*kgtoGg=0,"NO",('Activity data'!AK22*EF!$H53*EF!$H71)*NtoN2O*kgtoGg)</f>
        <v>7.0234895200938272E-2</v>
      </c>
      <c r="S1428" s="28">
        <f>IF(('Activity data'!AL22*EF!$H53*EF!$H71)*NtoN2O*kgtoGg=0,"NO",('Activity data'!AL22*EF!$H53*EF!$H71)*NtoN2O*kgtoGg)</f>
        <v>5.8522787565181415E-2</v>
      </c>
      <c r="T1428" s="28">
        <f>IF(('Activity data'!AM22*EF!$H53*EF!$H71)*NtoN2O*kgtoGg=0,"NO",('Activity data'!AM22*EF!$H53*EF!$H71)*NtoN2O*kgtoGg)</f>
        <v>6.0249063830763963E-2</v>
      </c>
      <c r="U1428" s="28">
        <f>IF(('Activity data'!AN22*EF!$H53*EF!$H71)*NtoN2O*kgtoGg=0,"NO",('Activity data'!AN22*EF!$H53*EF!$H71)*NtoN2O*kgtoGg)</f>
        <v>6.1691998935437933E-2</v>
      </c>
      <c r="V1428" s="28">
        <f>IF(('Activity data'!AO22*EF!$H53*EF!$H71)*NtoN2O*kgtoGg=0,"NO",('Activity data'!AO22*EF!$H53*EF!$H71)*NtoN2O*kgtoGg)</f>
        <v>6.313143293027125E-2</v>
      </c>
      <c r="W1428" s="28">
        <f>IF(('Activity data'!AP22*EF!$H53*EF!$H71)*NtoN2O*kgtoGg=0,"NO",('Activity data'!AP22*EF!$H53*EF!$H71)*NtoN2O*kgtoGg)</f>
        <v>6.5004182026745502E-2</v>
      </c>
      <c r="X1428" s="28">
        <f>IF(('Activity data'!AQ22*EF!$H53*EF!$H71)*NtoN2O*kgtoGg=0,"NO",('Activity data'!AQ22*EF!$H53*EF!$H71)*NtoN2O*kgtoGg)</f>
        <v>6.6871309718523023E-2</v>
      </c>
      <c r="Y1428" s="28">
        <f>IF(('Activity data'!AR22*EF!$H53*EF!$H71)*NtoN2O*kgtoGg=0,"NO",('Activity data'!AR22*EF!$H53*EF!$H71)*NtoN2O*kgtoGg)</f>
        <v>6.8921291515234503E-2</v>
      </c>
      <c r="Z1428" s="28">
        <f>IF(('Activity data'!AS22*EF!$H53*EF!$H71)*NtoN2O*kgtoGg=0,"NO",('Activity data'!AS22*EF!$H53*EF!$H71)*NtoN2O*kgtoGg)</f>
        <v>7.086181420314748E-2</v>
      </c>
      <c r="AA1428" s="28">
        <f>IF(('Activity data'!AT22*EF!$H53*EF!$H71)*NtoN2O*kgtoGg=0,"NO",('Activity data'!AT22*EF!$H53*EF!$H71)*NtoN2O*kgtoGg)</f>
        <v>7.2967827248055561E-2</v>
      </c>
      <c r="AB1428" s="28">
        <f>IF(('Activity data'!AU22*EF!$H53*EF!$H71)*NtoN2O*kgtoGg=0,"NO",('Activity data'!AU22*EF!$H53*EF!$H71)*NtoN2O*kgtoGg)</f>
        <v>7.4866772022575287E-2</v>
      </c>
      <c r="AC1428" s="28">
        <f>IF(('Activity data'!AV22*EF!$H53*EF!$H71)*NtoN2O*kgtoGg=0,"NO",('Activity data'!AV22*EF!$H53*EF!$H71)*NtoN2O*kgtoGg)</f>
        <v>7.682178955016325E-2</v>
      </c>
      <c r="AD1428" s="28">
        <f>IF(('Activity data'!AW22*EF!$H53*EF!$H71)*NtoN2O*kgtoGg=0,"NO",('Activity data'!AW22*EF!$H53*EF!$H71)*NtoN2O*kgtoGg)</f>
        <v>7.9419865944424156E-2</v>
      </c>
      <c r="AE1428" s="28">
        <f>IF(('Activity data'!AX22*EF!$H53*EF!$H71)*NtoN2O*kgtoGg=0,"NO",('Activity data'!AX22*EF!$H53*EF!$H71)*NtoN2O*kgtoGg)</f>
        <v>8.2272223951986606E-2</v>
      </c>
      <c r="AF1428" s="28">
        <f>IF(('Activity data'!AY22*EF!$H53*EF!$H71)*NtoN2O*kgtoGg=0,"NO",('Activity data'!AY22*EF!$H53*EF!$H71)*NtoN2O*kgtoGg)</f>
        <v>8.5225182924223236E-2</v>
      </c>
      <c r="AG1428" s="28">
        <f>IF(('Activity data'!AZ22*EF!$H53*EF!$H71)*NtoN2O*kgtoGg=0,"NO",('Activity data'!AZ22*EF!$H53*EF!$H71)*NtoN2O*kgtoGg)</f>
        <v>8.4896351348960508E-2</v>
      </c>
      <c r="AH1428" s="28">
        <f>IF(('Activity data'!BA22*EF!$H53*EF!$H71)*NtoN2O*kgtoGg=0,"NO",('Activity data'!BA22*EF!$H53*EF!$H71)*NtoN2O*kgtoGg)</f>
        <v>-7.3626502595036822E-2</v>
      </c>
      <c r="AI1428" s="28">
        <f>IF(('Activity data'!BB22*EF!$H53*EF!$H71)*NtoN2O*kgtoGg=0,"NO",('Activity data'!BB22*EF!$H53*EF!$H71)*NtoN2O*kgtoGg)</f>
        <v>-7.3731994296060199E-2</v>
      </c>
      <c r="AJ1428" s="28">
        <f>IF(('Activity data'!BC22*EF!$H53*EF!$H71)*NtoN2O*kgtoGg=0,"NO",('Activity data'!BC22*EF!$H53*EF!$H71)*NtoN2O*kgtoGg)</f>
        <v>-7.3846412883113402E-2</v>
      </c>
      <c r="AK1428" s="28">
        <f>IF(('Activity data'!BD22*EF!$H53*EF!$H71)*NtoN2O*kgtoGg=0,"NO",('Activity data'!BD22*EF!$H53*EF!$H71)*NtoN2O*kgtoGg)</f>
        <v>-7.3969385819317404E-2</v>
      </c>
      <c r="AL1428" s="28">
        <f>IF(('Activity data'!BE22*EF!$H53*EF!$H71)*NtoN2O*kgtoGg=0,"NO",('Activity data'!BE22*EF!$H53*EF!$H71)*NtoN2O*kgtoGg)</f>
        <v>-7.4100569503633099E-2</v>
      </c>
      <c r="AM1428" s="28">
        <f>IF(('Activity data'!BF22*EF!$H53*EF!$H71)*NtoN2O*kgtoGg=0,"NO",('Activity data'!BF22*EF!$H53*EF!$H71)*NtoN2O*kgtoGg)</f>
        <v>-7.4239646491315286E-2</v>
      </c>
      <c r="AN1428" s="28">
        <f>IF(('Activity data'!BG22*EF!$H53*EF!$H71)*NtoN2O*kgtoGg=0,"NO",('Activity data'!BG22*EF!$H53*EF!$H71)*NtoN2O*kgtoGg)</f>
        <v>-7.4296888099696562E-2</v>
      </c>
      <c r="AO1428" s="28">
        <f>IF(('Activity data'!BH22*EF!$H53*EF!$H71)*NtoN2O*kgtoGg=0,"NO",('Activity data'!BH22*EF!$H53*EF!$H71)*NtoN2O*kgtoGg)</f>
        <v>-7.4361303731255379E-2</v>
      </c>
      <c r="AP1428" s="28">
        <f>IF(('Activity data'!BI22*EF!$H53*EF!$H71)*NtoN2O*kgtoGg=0,"NO",('Activity data'!BI22*EF!$H53*EF!$H71)*NtoN2O*kgtoGg)</f>
        <v>-7.4432614822324453E-2</v>
      </c>
      <c r="AQ1428" s="28">
        <f>IF(('Activity data'!BJ22*EF!$H53*EF!$H71)*NtoN2O*kgtoGg=0,"NO",('Activity data'!BJ22*EF!$H53*EF!$H71)*NtoN2O*kgtoGg)</f>
        <v>-7.4510561936601619E-2</v>
      </c>
      <c r="AR1428" s="28">
        <f>IF(('Activity data'!BK22*EF!$H53*EF!$H71)*NtoN2O*kgtoGg=0,"NO",('Activity data'!BK22*EF!$H53*EF!$H71)*NtoN2O*kgtoGg)</f>
        <v>-7.4594903121597153E-2</v>
      </c>
      <c r="AS1428" s="28">
        <f>IF(('Activity data'!BL22*EF!$H53*EF!$H71)*NtoN2O*kgtoGg=0,"NO",('Activity data'!BL22*EF!$H53*EF!$H71)*NtoN2O*kgtoGg)</f>
        <v>-7.4596092548896764E-2</v>
      </c>
      <c r="AT1428" s="28">
        <f>IF(('Activity data'!BM22*EF!$H53*EF!$H71)*NtoN2O*kgtoGg=0,"NO",('Activity data'!BM22*EF!$H53*EF!$H71)*NtoN2O*kgtoGg)</f>
        <v>-7.4603203438028065E-2</v>
      </c>
      <c r="AU1428" s="28">
        <f>IF(('Activity data'!BN22*EF!$H53*EF!$H71)*NtoN2O*kgtoGg=0,"NO",('Activity data'!BN22*EF!$H53*EF!$H71)*NtoN2O*kgtoGg)</f>
        <v>-7.4616016856982936E-2</v>
      </c>
      <c r="AV1428" s="28">
        <f>IF(('Activity data'!BO22*EF!$H53*EF!$H71)*NtoN2O*kgtoGg=0,"NO",('Activity data'!BO22*EF!$H53*EF!$H71)*NtoN2O*kgtoGg)</f>
        <v>-7.4634327286008981E-2</v>
      </c>
      <c r="AW1428" s="28">
        <f>IF(('Activity data'!BP22*EF!$H53*EF!$H71)*NtoN2O*kgtoGg=0,"NO",('Activity data'!BP22*EF!$H53*EF!$H71)*NtoN2O*kgtoGg)</f>
        <v>-7.465794157590501E-2</v>
      </c>
    </row>
    <row r="1429" spans="1:49" x14ac:dyDescent="0.25">
      <c r="A1429" s="102" t="s">
        <v>961</v>
      </c>
      <c r="B1429" s="102"/>
      <c r="C1429" s="102"/>
      <c r="D1429" t="str">
        <f>'IPCC Categories'!A59</f>
        <v>3C Aggregated and non-CO2 emissions on land</v>
      </c>
      <c r="E1429" t="str">
        <f>'IPCC Categories'!B59</f>
        <v>3C1 Biomass burning (CH4)</v>
      </c>
      <c r="F1429" t="str">
        <f>'IPCC Categories'!C59</f>
        <v>3C1a Biomass burning in forest land</v>
      </c>
      <c r="G1429" t="str">
        <f>EF!D84</f>
        <v>Indigenous forests</v>
      </c>
      <c r="H1429" t="s">
        <v>640</v>
      </c>
      <c r="I1429" t="s">
        <v>121</v>
      </c>
      <c r="J1429" t="s">
        <v>286</v>
      </c>
      <c r="K1429" s="22">
        <f>INDEX('Activity data'!AD$24:AD$39,MATCH('Net zero emission reductions'!$G1429,'Activity data'!$D$24:$D$39,0))*INDEX(EF!$H$84:$H$99,MATCH('Net zero emission reductions'!$G1429,EF!$D$84:$D$99,0))*INDEX(EF!$H$100:$H$115,MATCH('Net zero emission reductions'!$G1429,EF!$D$100:$D$115,0))*INDEX(EF!$H$116:$H$131,MATCH('Net zero emission reductions'!$G1429,EF!$D$116:$D$131,0))*kgtoGg</f>
        <v>1.2653688249152322</v>
      </c>
      <c r="L1429" s="22">
        <f>INDEX('Activity data'!AE$24:AE$39,MATCH('Net zero emission reductions'!$G1429,'Activity data'!$D$24:$D$39,0))*INDEX(EF!$H$84:$H$99,MATCH('Net zero emission reductions'!$G1429,EF!$D$84:$D$99,0))*INDEX(EF!$H$100:$H$115,MATCH('Net zero emission reductions'!$G1429,EF!$D$100:$D$115,0))*INDEX(EF!$H$116:$H$131,MATCH('Net zero emission reductions'!$G1429,EF!$D$116:$D$131,0))*kgtoGg</f>
        <v>1.2648288705583226</v>
      </c>
      <c r="M1429" s="22">
        <f>INDEX('Activity data'!AF$24:AF$39,MATCH('Net zero emission reductions'!$G1429,'Activity data'!$D$24:$D$39,0))*INDEX(EF!$H$84:$H$99,MATCH('Net zero emission reductions'!$G1429,EF!$D$84:$D$99,0))*INDEX(EF!$H$100:$H$115,MATCH('Net zero emission reductions'!$G1429,EF!$D$100:$D$115,0))*INDEX(EF!$H$116:$H$131,MATCH('Net zero emission reductions'!$G1429,EF!$D$116:$D$131,0))*kgtoGg</f>
        <v>1.2642889162014133</v>
      </c>
      <c r="N1429" s="22">
        <f>INDEX('Activity data'!AG$24:AG$39,MATCH('Net zero emission reductions'!$G1429,'Activity data'!$D$24:$D$39,0))*INDEX(EF!$H$84:$H$99,MATCH('Net zero emission reductions'!$G1429,EF!$D$84:$D$99,0))*INDEX(EF!$H$100:$H$115,MATCH('Net zero emission reductions'!$G1429,EF!$D$100:$D$115,0))*INDEX(EF!$H$116:$H$131,MATCH('Net zero emission reductions'!$G1429,EF!$D$116:$D$131,0))*kgtoGg</f>
        <v>1.2637489618445039</v>
      </c>
      <c r="O1429" s="22">
        <f>INDEX('Activity data'!AH$24:AH$39,MATCH('Net zero emission reductions'!$G1429,'Activity data'!$D$24:$D$39,0))*INDEX(EF!$H$84:$H$99,MATCH('Net zero emission reductions'!$G1429,EF!$D$84:$D$99,0))*INDEX(EF!$H$100:$H$115,MATCH('Net zero emission reductions'!$G1429,EF!$D$100:$D$115,0))*INDEX(EF!$H$116:$H$131,MATCH('Net zero emission reductions'!$G1429,EF!$D$116:$D$131,0))*kgtoGg</f>
        <v>1.2632090074875946</v>
      </c>
      <c r="P1429" s="22">
        <f>INDEX('Activity data'!AI$24:AI$39,MATCH('Net zero emission reductions'!$G1429,'Activity data'!$D$24:$D$39,0))*INDEX(EF!$H$84:$H$99,MATCH('Net zero emission reductions'!$G1429,EF!$D$84:$D$99,0))*INDEX(EF!$H$100:$H$115,MATCH('Net zero emission reductions'!$G1429,EF!$D$100:$D$115,0))*INDEX(EF!$H$116:$H$131,MATCH('Net zero emission reductions'!$G1429,EF!$D$116:$D$131,0))*kgtoGg</f>
        <v>1.262669053130685</v>
      </c>
      <c r="Q1429" s="22">
        <f>INDEX('Activity data'!AJ$24:AJ$39,MATCH('Net zero emission reductions'!$G1429,'Activity data'!$D$24:$D$39,0))*INDEX(EF!$H$84:$H$99,MATCH('Net zero emission reductions'!$G1429,EF!$D$84:$D$99,0))*INDEX(EF!$H$100:$H$115,MATCH('Net zero emission reductions'!$G1429,EF!$D$100:$D$115,0))*INDEX(EF!$H$116:$H$131,MATCH('Net zero emission reductions'!$G1429,EF!$D$116:$D$131,0))*kgtoGg</f>
        <v>1.2621290987737757</v>
      </c>
      <c r="R1429" s="22">
        <f>INDEX('Activity data'!AK$24:AK$39,MATCH('Net zero emission reductions'!$G1429,'Activity data'!$D$24:$D$39,0))*INDEX(EF!$H$84:$H$99,MATCH('Net zero emission reductions'!$G1429,EF!$D$84:$D$99,0))*INDEX(EF!$H$100:$H$115,MATCH('Net zero emission reductions'!$G1429,EF!$D$100:$D$115,0))*INDEX(EF!$H$116:$H$131,MATCH('Net zero emission reductions'!$G1429,EF!$D$116:$D$131,0))*kgtoGg</f>
        <v>1.2615891444168661</v>
      </c>
      <c r="S1429" s="22">
        <f>INDEX('Activity data'!AL$24:AL$39,MATCH('Net zero emission reductions'!$G1429,'Activity data'!$D$24:$D$39,0))*INDEX(EF!$H$84:$H$99,MATCH('Net zero emission reductions'!$G1429,EF!$D$84:$D$99,0))*INDEX(EF!$H$100:$H$115,MATCH('Net zero emission reductions'!$G1429,EF!$D$100:$D$115,0))*INDEX(EF!$H$116:$H$131,MATCH('Net zero emission reductions'!$G1429,EF!$D$116:$D$131,0))*kgtoGg</f>
        <v>1.2610491900599567</v>
      </c>
      <c r="T1429" s="22">
        <f>INDEX('Activity data'!AM$24:AM$39,MATCH('Net zero emission reductions'!$G1429,'Activity data'!$D$24:$D$39,0))*INDEX(EF!$H$84:$H$99,MATCH('Net zero emission reductions'!$G1429,EF!$D$84:$D$99,0))*INDEX(EF!$H$100:$H$115,MATCH('Net zero emission reductions'!$G1429,EF!$D$100:$D$115,0))*INDEX(EF!$H$116:$H$131,MATCH('Net zero emission reductions'!$G1429,EF!$D$116:$D$131,0))*kgtoGg</f>
        <v>1.2605092357030474</v>
      </c>
      <c r="U1429" s="22">
        <f>INDEX('Activity data'!AN$24:AN$39,MATCH('Net zero emission reductions'!$G1429,'Activity data'!$D$24:$D$39,0))*INDEX(EF!$H$84:$H$99,MATCH('Net zero emission reductions'!$G1429,EF!$D$84:$D$99,0))*INDEX(EF!$H$100:$H$115,MATCH('Net zero emission reductions'!$G1429,EF!$D$100:$D$115,0))*INDEX(EF!$H$116:$H$131,MATCH('Net zero emission reductions'!$G1429,EF!$D$116:$D$131,0))*kgtoGg</f>
        <v>1.2599692813461378</v>
      </c>
      <c r="V1429" s="22">
        <f>INDEX('Activity data'!AO$24:AO$39,MATCH('Net zero emission reductions'!$G1429,'Activity data'!$D$24:$D$39,0))*INDEX(EF!$H$84:$H$99,MATCH('Net zero emission reductions'!$G1429,EF!$D$84:$D$99,0))*INDEX(EF!$H$100:$H$115,MATCH('Net zero emission reductions'!$G1429,EF!$D$100:$D$115,0))*INDEX(EF!$H$116:$H$131,MATCH('Net zero emission reductions'!$G1429,EF!$D$116:$D$131,0))*kgtoGg</f>
        <v>1.2594293269892285</v>
      </c>
      <c r="W1429" s="22">
        <f>INDEX('Activity data'!AP$24:AP$39,MATCH('Net zero emission reductions'!$G1429,'Activity data'!$D$24:$D$39,0))*INDEX(EF!$H$84:$H$99,MATCH('Net zero emission reductions'!$G1429,EF!$D$84:$D$99,0))*INDEX(EF!$H$100:$H$115,MATCH('Net zero emission reductions'!$G1429,EF!$D$100:$D$115,0))*INDEX(EF!$H$116:$H$131,MATCH('Net zero emission reductions'!$G1429,EF!$D$116:$D$131,0))*kgtoGg</f>
        <v>1.2588893726323194</v>
      </c>
      <c r="X1429" s="22">
        <f>INDEX('Activity data'!AQ$24:AQ$39,MATCH('Net zero emission reductions'!$G1429,'Activity data'!$D$24:$D$39,0))*INDEX(EF!$H$84:$H$99,MATCH('Net zero emission reductions'!$G1429,EF!$D$84:$D$99,0))*INDEX(EF!$H$100:$H$115,MATCH('Net zero emission reductions'!$G1429,EF!$D$100:$D$115,0))*INDEX(EF!$H$116:$H$131,MATCH('Net zero emission reductions'!$G1429,EF!$D$116:$D$131,0))*kgtoGg</f>
        <v>1.2583494182754098</v>
      </c>
      <c r="Y1429" s="22">
        <f>INDEX('Activity data'!AR$24:AR$39,MATCH('Net zero emission reductions'!$G1429,'Activity data'!$D$24:$D$39,0))*INDEX(EF!$H$84:$H$99,MATCH('Net zero emission reductions'!$G1429,EF!$D$84:$D$99,0))*INDEX(EF!$H$100:$H$115,MATCH('Net zero emission reductions'!$G1429,EF!$D$100:$D$115,0))*INDEX(EF!$H$116:$H$131,MATCH('Net zero emission reductions'!$G1429,EF!$D$116:$D$131,0))*kgtoGg</f>
        <v>1.2578094639185002</v>
      </c>
      <c r="Z1429" s="22">
        <f>INDEX('Activity data'!AS$24:AS$39,MATCH('Net zero emission reductions'!$G1429,'Activity data'!$D$24:$D$39,0))*INDEX(EF!$H$84:$H$99,MATCH('Net zero emission reductions'!$G1429,EF!$D$84:$D$99,0))*INDEX(EF!$H$100:$H$115,MATCH('Net zero emission reductions'!$G1429,EF!$D$100:$D$115,0))*INDEX(EF!$H$116:$H$131,MATCH('Net zero emission reductions'!$G1429,EF!$D$116:$D$131,0))*kgtoGg</f>
        <v>1.2572695095615909</v>
      </c>
      <c r="AA1429" s="22">
        <f>INDEX('Activity data'!AT$24:AT$39,MATCH('Net zero emission reductions'!$G1429,'Activity data'!$D$24:$D$39,0))*INDEX(EF!$H$84:$H$99,MATCH('Net zero emission reductions'!$G1429,EF!$D$84:$D$99,0))*INDEX(EF!$H$100:$H$115,MATCH('Net zero emission reductions'!$G1429,EF!$D$100:$D$115,0))*INDEX(EF!$H$116:$H$131,MATCH('Net zero emission reductions'!$G1429,EF!$D$116:$D$131,0))*kgtoGg</f>
        <v>1.2567295552046813</v>
      </c>
      <c r="AB1429" s="22">
        <f>INDEX('Activity data'!AU$24:AU$39,MATCH('Net zero emission reductions'!$G1429,'Activity data'!$D$24:$D$39,0))*INDEX(EF!$H$84:$H$99,MATCH('Net zero emission reductions'!$G1429,EF!$D$84:$D$99,0))*INDEX(EF!$H$100:$H$115,MATCH('Net zero emission reductions'!$G1429,EF!$D$100:$D$115,0))*INDEX(EF!$H$116:$H$131,MATCH('Net zero emission reductions'!$G1429,EF!$D$116:$D$131,0))*kgtoGg</f>
        <v>1.256189600847772</v>
      </c>
      <c r="AC1429" s="22">
        <f>INDEX('Activity data'!AV$24:AV$39,MATCH('Net zero emission reductions'!$G1429,'Activity data'!$D$24:$D$39,0))*INDEX(EF!$H$84:$H$99,MATCH('Net zero emission reductions'!$G1429,EF!$D$84:$D$99,0))*INDEX(EF!$H$100:$H$115,MATCH('Net zero emission reductions'!$G1429,EF!$D$100:$D$115,0))*INDEX(EF!$H$116:$H$131,MATCH('Net zero emission reductions'!$G1429,EF!$D$116:$D$131,0))*kgtoGg</f>
        <v>1.2556496464908629</v>
      </c>
      <c r="AD1429" s="22">
        <f>INDEX('Activity data'!AW$24:AW$39,MATCH('Net zero emission reductions'!$G1429,'Activity data'!$D$24:$D$39,0))*INDEX(EF!$H$84:$H$99,MATCH('Net zero emission reductions'!$G1429,EF!$D$84:$D$99,0))*INDEX(EF!$H$100:$H$115,MATCH('Net zero emission reductions'!$G1429,EF!$D$100:$D$115,0))*INDEX(EF!$H$116:$H$131,MATCH('Net zero emission reductions'!$G1429,EF!$D$116:$D$131,0))*kgtoGg</f>
        <v>1.2551096921339533</v>
      </c>
      <c r="AE1429" s="22">
        <f>INDEX('Activity data'!AX$24:AX$39,MATCH('Net zero emission reductions'!$G1429,'Activity data'!$D$24:$D$39,0))*INDEX(EF!$H$84:$H$99,MATCH('Net zero emission reductions'!$G1429,EF!$D$84:$D$99,0))*INDEX(EF!$H$100:$H$115,MATCH('Net zero emission reductions'!$G1429,EF!$D$100:$D$115,0))*INDEX(EF!$H$116:$H$131,MATCH('Net zero emission reductions'!$G1429,EF!$D$116:$D$131,0))*kgtoGg</f>
        <v>1.2545697377770435</v>
      </c>
      <c r="AF1429" s="22">
        <f>INDEX('Activity data'!AY$24:AY$39,MATCH('Net zero emission reductions'!$G1429,'Activity data'!$D$24:$D$39,0))*INDEX(EF!$H$84:$H$99,MATCH('Net zero emission reductions'!$G1429,EF!$D$84:$D$99,0))*INDEX(EF!$H$100:$H$115,MATCH('Net zero emission reductions'!$G1429,EF!$D$100:$D$115,0))*INDEX(EF!$H$116:$H$131,MATCH('Net zero emission reductions'!$G1429,EF!$D$116:$D$131,0))*kgtoGg</f>
        <v>1.2540297834201344</v>
      </c>
      <c r="AG1429" s="22">
        <f>INDEX('Activity data'!AZ$24:AZ$39,MATCH('Net zero emission reductions'!$G1429,'Activity data'!$D$24:$D$39,0))*INDEX(EF!$H$84:$H$99,MATCH('Net zero emission reductions'!$G1429,EF!$D$84:$D$99,0))*INDEX(EF!$H$100:$H$115,MATCH('Net zero emission reductions'!$G1429,EF!$D$100:$D$115,0))*INDEX(EF!$H$116:$H$131,MATCH('Net zero emission reductions'!$G1429,EF!$D$116:$D$131,0))*kgtoGg</f>
        <v>1.253489829063225</v>
      </c>
      <c r="AH1429" s="22">
        <f>INDEX('Activity data'!BA$24:BA$39,MATCH('Net zero emission reductions'!$G1429,'Activity data'!$D$24:$D$39,0))*INDEX(EF!$H$84:$H$99,MATCH('Net zero emission reductions'!$G1429,EF!$D$84:$D$99,0))*INDEX(EF!$H$100:$H$115,MATCH('Net zero emission reductions'!$G1429,EF!$D$100:$D$115,0))*INDEX(EF!$H$116:$H$131,MATCH('Net zero emission reductions'!$G1429,EF!$D$116:$D$131,0))*kgtoGg</f>
        <v>1.2529498747063155</v>
      </c>
      <c r="AI1429" s="22">
        <f>INDEX('Activity data'!BB$24:BB$39,MATCH('Net zero emission reductions'!$G1429,'Activity data'!$D$24:$D$39,0))*INDEX(EF!$H$84:$H$99,MATCH('Net zero emission reductions'!$G1429,EF!$D$84:$D$99,0))*INDEX(EF!$H$100:$H$115,MATCH('Net zero emission reductions'!$G1429,EF!$D$100:$D$115,0))*INDEX(EF!$H$116:$H$131,MATCH('Net zero emission reductions'!$G1429,EF!$D$116:$D$131,0))*kgtoGg</f>
        <v>1.2524099203494063</v>
      </c>
      <c r="AJ1429" s="22">
        <f>INDEX('Activity data'!BC$24:BC$39,MATCH('Net zero emission reductions'!$G1429,'Activity data'!$D$24:$D$39,0))*INDEX(EF!$H$84:$H$99,MATCH('Net zero emission reductions'!$G1429,EF!$D$84:$D$99,0))*INDEX(EF!$H$100:$H$115,MATCH('Net zero emission reductions'!$G1429,EF!$D$100:$D$115,0))*INDEX(EF!$H$116:$H$131,MATCH('Net zero emission reductions'!$G1429,EF!$D$116:$D$131,0))*kgtoGg</f>
        <v>1.2518699659924968</v>
      </c>
      <c r="AK1429" s="22">
        <f>INDEX('Activity data'!BD$24:BD$39,MATCH('Net zero emission reductions'!$G1429,'Activity data'!$D$24:$D$39,0))*INDEX(EF!$H$84:$H$99,MATCH('Net zero emission reductions'!$G1429,EF!$D$84:$D$99,0))*INDEX(EF!$H$100:$H$115,MATCH('Net zero emission reductions'!$G1429,EF!$D$100:$D$115,0))*INDEX(EF!$H$116:$H$131,MATCH('Net zero emission reductions'!$G1429,EF!$D$116:$D$131,0))*kgtoGg</f>
        <v>1.251330011635587</v>
      </c>
      <c r="AL1429" s="22">
        <f>INDEX('Activity data'!BE$24:BE$39,MATCH('Net zero emission reductions'!$G1429,'Activity data'!$D$24:$D$39,0))*INDEX(EF!$H$84:$H$99,MATCH('Net zero emission reductions'!$G1429,EF!$D$84:$D$99,0))*INDEX(EF!$H$100:$H$115,MATCH('Net zero emission reductions'!$G1429,EF!$D$100:$D$115,0))*INDEX(EF!$H$116:$H$131,MATCH('Net zero emission reductions'!$G1429,EF!$D$116:$D$131,0))*kgtoGg</f>
        <v>1.2507900572786779</v>
      </c>
      <c r="AM1429" s="22">
        <f>INDEX('Activity data'!BF$24:BF$39,MATCH('Net zero emission reductions'!$G1429,'Activity data'!$D$24:$D$39,0))*INDEX(EF!$H$84:$H$99,MATCH('Net zero emission reductions'!$G1429,EF!$D$84:$D$99,0))*INDEX(EF!$H$100:$H$115,MATCH('Net zero emission reductions'!$G1429,EF!$D$100:$D$115,0))*INDEX(EF!$H$116:$H$131,MATCH('Net zero emission reductions'!$G1429,EF!$D$116:$D$131,0))*kgtoGg</f>
        <v>1.2502501029217685</v>
      </c>
      <c r="AN1429" s="22">
        <f>INDEX('Activity data'!BG$24:BG$39,MATCH('Net zero emission reductions'!$G1429,'Activity data'!$D$24:$D$39,0))*INDEX(EF!$H$84:$H$99,MATCH('Net zero emission reductions'!$G1429,EF!$D$84:$D$99,0))*INDEX(EF!$H$100:$H$115,MATCH('Net zero emission reductions'!$G1429,EF!$D$100:$D$115,0))*INDEX(EF!$H$116:$H$131,MATCH('Net zero emission reductions'!$G1429,EF!$D$116:$D$131,0))*kgtoGg</f>
        <v>1.249710148564859</v>
      </c>
      <c r="AO1429" s="22">
        <f>INDEX('Activity data'!BH$24:BH$39,MATCH('Net zero emission reductions'!$G1429,'Activity data'!$D$24:$D$39,0))*INDEX(EF!$H$84:$H$99,MATCH('Net zero emission reductions'!$G1429,EF!$D$84:$D$99,0))*INDEX(EF!$H$100:$H$115,MATCH('Net zero emission reductions'!$G1429,EF!$D$100:$D$115,0))*INDEX(EF!$H$116:$H$131,MATCH('Net zero emission reductions'!$G1429,EF!$D$116:$D$131,0))*kgtoGg</f>
        <v>1.2491701942079498</v>
      </c>
      <c r="AP1429" s="22">
        <f>INDEX('Activity data'!BI$24:BI$39,MATCH('Net zero emission reductions'!$G1429,'Activity data'!$D$24:$D$39,0))*INDEX(EF!$H$84:$H$99,MATCH('Net zero emission reductions'!$G1429,EF!$D$84:$D$99,0))*INDEX(EF!$H$100:$H$115,MATCH('Net zero emission reductions'!$G1429,EF!$D$100:$D$115,0))*INDEX(EF!$H$116:$H$131,MATCH('Net zero emission reductions'!$G1429,EF!$D$116:$D$131,0))*kgtoGg</f>
        <v>1.2486302398510403</v>
      </c>
      <c r="AQ1429" s="22">
        <f>INDEX('Activity data'!BJ$24:BJ$39,MATCH('Net zero emission reductions'!$G1429,'Activity data'!$D$24:$D$39,0))*INDEX(EF!$H$84:$H$99,MATCH('Net zero emission reductions'!$G1429,EF!$D$84:$D$99,0))*INDEX(EF!$H$100:$H$115,MATCH('Net zero emission reductions'!$G1429,EF!$D$100:$D$115,0))*INDEX(EF!$H$116:$H$131,MATCH('Net zero emission reductions'!$G1429,EF!$D$116:$D$131,0))*kgtoGg</f>
        <v>1.2480902854941309</v>
      </c>
      <c r="AR1429" s="22">
        <f>INDEX('Activity data'!BK$24:BK$39,MATCH('Net zero emission reductions'!$G1429,'Activity data'!$D$24:$D$39,0))*INDEX(EF!$H$84:$H$99,MATCH('Net zero emission reductions'!$G1429,EF!$D$84:$D$99,0))*INDEX(EF!$H$100:$H$115,MATCH('Net zero emission reductions'!$G1429,EF!$D$100:$D$115,0))*INDEX(EF!$H$116:$H$131,MATCH('Net zero emission reductions'!$G1429,EF!$D$116:$D$131,0))*kgtoGg</f>
        <v>1.2475503311372214</v>
      </c>
      <c r="AS1429" s="22">
        <f>INDEX('Activity data'!BL$24:BL$39,MATCH('Net zero emission reductions'!$G1429,'Activity data'!$D$24:$D$39,0))*INDEX(EF!$H$84:$H$99,MATCH('Net zero emission reductions'!$G1429,EF!$D$84:$D$99,0))*INDEX(EF!$H$100:$H$115,MATCH('Net zero emission reductions'!$G1429,EF!$D$100:$D$115,0))*INDEX(EF!$H$116:$H$131,MATCH('Net zero emission reductions'!$G1429,EF!$D$116:$D$131,0))*kgtoGg</f>
        <v>1.247010376780312</v>
      </c>
      <c r="AT1429" s="22">
        <f>INDEX('Activity data'!BM$24:BM$39,MATCH('Net zero emission reductions'!$G1429,'Activity data'!$D$24:$D$39,0))*INDEX(EF!$H$84:$H$99,MATCH('Net zero emission reductions'!$G1429,EF!$D$84:$D$99,0))*INDEX(EF!$H$100:$H$115,MATCH('Net zero emission reductions'!$G1429,EF!$D$100:$D$115,0))*INDEX(EF!$H$116:$H$131,MATCH('Net zero emission reductions'!$G1429,EF!$D$116:$D$131,0))*kgtoGg</f>
        <v>1.2464704224234024</v>
      </c>
      <c r="AU1429" s="22">
        <f>INDEX('Activity data'!BN$24:BN$39,MATCH('Net zero emission reductions'!$G1429,'Activity data'!$D$24:$D$39,0))*INDEX(EF!$H$84:$H$99,MATCH('Net zero emission reductions'!$G1429,EF!$D$84:$D$99,0))*INDEX(EF!$H$100:$H$115,MATCH('Net zero emission reductions'!$G1429,EF!$D$100:$D$115,0))*INDEX(EF!$H$116:$H$131,MATCH('Net zero emission reductions'!$G1429,EF!$D$116:$D$131,0))*kgtoGg</f>
        <v>1.2459304680664931</v>
      </c>
      <c r="AV1429" s="22">
        <f>INDEX('Activity data'!BO$24:BO$39,MATCH('Net zero emission reductions'!$G1429,'Activity data'!$D$24:$D$39,0))*INDEX(EF!$H$84:$H$99,MATCH('Net zero emission reductions'!$G1429,EF!$D$84:$D$99,0))*INDEX(EF!$H$100:$H$115,MATCH('Net zero emission reductions'!$G1429,EF!$D$100:$D$115,0))*INDEX(EF!$H$116:$H$131,MATCH('Net zero emission reductions'!$G1429,EF!$D$116:$D$131,0))*kgtoGg</f>
        <v>1.2453905137095838</v>
      </c>
      <c r="AW1429" s="22">
        <f>INDEX('Activity data'!BP$24:BP$39,MATCH('Net zero emission reductions'!$G1429,'Activity data'!$D$24:$D$39,0))*INDEX(EF!$H$84:$H$99,MATCH('Net zero emission reductions'!$G1429,EF!$D$84:$D$99,0))*INDEX(EF!$H$100:$H$115,MATCH('Net zero emission reductions'!$G1429,EF!$D$100:$D$115,0))*INDEX(EF!$H$116:$H$131,MATCH('Net zero emission reductions'!$G1429,EF!$D$116:$D$131,0))*kgtoGg</f>
        <v>1.2448505593526744</v>
      </c>
    </row>
    <row r="1430" spans="1:49" x14ac:dyDescent="0.25">
      <c r="A1430" s="102" t="s">
        <v>961</v>
      </c>
      <c r="B1430" s="102"/>
      <c r="C1430" s="102"/>
      <c r="D1430" t="str">
        <f>D1429</f>
        <v>3C Aggregated and non-CO2 emissions on land</v>
      </c>
      <c r="E1430" t="str">
        <f t="shared" ref="E1430:F1434" si="554">E1429</f>
        <v>3C1 Biomass burning (CH4)</v>
      </c>
      <c r="F1430" t="str">
        <f>F1429</f>
        <v>3C1a Biomass burning in forest land</v>
      </c>
      <c r="G1430" t="str">
        <f>EF!D85</f>
        <v>Thickets</v>
      </c>
      <c r="H1430" t="s">
        <v>642</v>
      </c>
      <c r="I1430" t="str">
        <f>I1429</f>
        <v>CH4</v>
      </c>
      <c r="J1430" t="str">
        <f>J1429</f>
        <v>Gg CH4</v>
      </c>
      <c r="K1430" s="22">
        <f>INDEX('Activity data'!AD$24:AD$39,MATCH('Net zero emission reductions'!$G1430,'Activity data'!$D$24:$D$39,0))*INDEX(EF!$H$84:$H$99,MATCH('Net zero emission reductions'!$G1430,EF!$D$84:$D$99,0))*INDEX(EF!$H$100:$H$115,MATCH('Net zero emission reductions'!$G1430,EF!$D$100:$D$115,0))*INDEX(EF!$H$116:$H$131,MATCH('Net zero emission reductions'!$G1430,EF!$D$116:$D$131,0))*kgtoGg</f>
        <v>2.4624591885313172</v>
      </c>
      <c r="L1430" s="22">
        <f>INDEX('Activity data'!AE$24:AE$39,MATCH('Net zero emission reductions'!$G1430,'Activity data'!$D$24:$D$39,0))*INDEX(EF!$H$84:$H$99,MATCH('Net zero emission reductions'!$G1430,EF!$D$84:$D$99,0))*INDEX(EF!$H$100:$H$115,MATCH('Net zero emission reductions'!$G1430,EF!$D$100:$D$115,0))*INDEX(EF!$H$116:$H$131,MATCH('Net zero emission reductions'!$G1430,EF!$D$116:$D$131,0))*kgtoGg</f>
        <v>2.4585603570229884</v>
      </c>
      <c r="M1430" s="22">
        <f>INDEX('Activity data'!AF$24:AF$39,MATCH('Net zero emission reductions'!$G1430,'Activity data'!$D$24:$D$39,0))*INDEX(EF!$H$84:$H$99,MATCH('Net zero emission reductions'!$G1430,EF!$D$84:$D$99,0))*INDEX(EF!$H$100:$H$115,MATCH('Net zero emission reductions'!$G1430,EF!$D$100:$D$115,0))*INDEX(EF!$H$116:$H$131,MATCH('Net zero emission reductions'!$G1430,EF!$D$116:$D$131,0))*kgtoGg</f>
        <v>2.4546615255146595</v>
      </c>
      <c r="N1430" s="22">
        <f>INDEX('Activity data'!AG$24:AG$39,MATCH('Net zero emission reductions'!$G1430,'Activity data'!$D$24:$D$39,0))*INDEX(EF!$H$84:$H$99,MATCH('Net zero emission reductions'!$G1430,EF!$D$84:$D$99,0))*INDEX(EF!$H$100:$H$115,MATCH('Net zero emission reductions'!$G1430,EF!$D$100:$D$115,0))*INDEX(EF!$H$116:$H$131,MATCH('Net zero emission reductions'!$G1430,EF!$D$116:$D$131,0))*kgtoGg</f>
        <v>2.4507626940063303</v>
      </c>
      <c r="O1430" s="22">
        <f>INDEX('Activity data'!AH$24:AH$39,MATCH('Net zero emission reductions'!$G1430,'Activity data'!$D$24:$D$39,0))*INDEX(EF!$H$84:$H$99,MATCH('Net zero emission reductions'!$G1430,EF!$D$84:$D$99,0))*INDEX(EF!$H$100:$H$115,MATCH('Net zero emission reductions'!$G1430,EF!$D$100:$D$115,0))*INDEX(EF!$H$116:$H$131,MATCH('Net zero emission reductions'!$G1430,EF!$D$116:$D$131,0))*kgtoGg</f>
        <v>2.4468638624980015</v>
      </c>
      <c r="P1430" s="22">
        <f>INDEX('Activity data'!AI$24:AI$39,MATCH('Net zero emission reductions'!$G1430,'Activity data'!$D$24:$D$39,0))*INDEX(EF!$H$84:$H$99,MATCH('Net zero emission reductions'!$G1430,EF!$D$84:$D$99,0))*INDEX(EF!$H$100:$H$115,MATCH('Net zero emission reductions'!$G1430,EF!$D$100:$D$115,0))*INDEX(EF!$H$116:$H$131,MATCH('Net zero emission reductions'!$G1430,EF!$D$116:$D$131,0))*kgtoGg</f>
        <v>2.4429650309896722</v>
      </c>
      <c r="Q1430" s="22">
        <f>INDEX('Activity data'!AJ$24:AJ$39,MATCH('Net zero emission reductions'!$G1430,'Activity data'!$D$24:$D$39,0))*INDEX(EF!$H$84:$H$99,MATCH('Net zero emission reductions'!$G1430,EF!$D$84:$D$99,0))*INDEX(EF!$H$100:$H$115,MATCH('Net zero emission reductions'!$G1430,EF!$D$100:$D$115,0))*INDEX(EF!$H$116:$H$131,MATCH('Net zero emission reductions'!$G1430,EF!$D$116:$D$131,0))*kgtoGg</f>
        <v>2.4390661994813438</v>
      </c>
      <c r="R1430" s="22">
        <f>INDEX('Activity data'!AK$24:AK$39,MATCH('Net zero emission reductions'!$G1430,'Activity data'!$D$24:$D$39,0))*INDEX(EF!$H$84:$H$99,MATCH('Net zero emission reductions'!$G1430,EF!$D$84:$D$99,0))*INDEX(EF!$H$100:$H$115,MATCH('Net zero emission reductions'!$G1430,EF!$D$100:$D$115,0))*INDEX(EF!$H$116:$H$131,MATCH('Net zero emission reductions'!$G1430,EF!$D$116:$D$131,0))*kgtoGg</f>
        <v>2.4351673679730146</v>
      </c>
      <c r="S1430" s="22">
        <f>INDEX('Activity data'!AL$24:AL$39,MATCH('Net zero emission reductions'!$G1430,'Activity data'!$D$24:$D$39,0))*INDEX(EF!$H$84:$H$99,MATCH('Net zero emission reductions'!$G1430,EF!$D$84:$D$99,0))*INDEX(EF!$H$100:$H$115,MATCH('Net zero emission reductions'!$G1430,EF!$D$100:$D$115,0))*INDEX(EF!$H$116:$H$131,MATCH('Net zero emission reductions'!$G1430,EF!$D$116:$D$131,0))*kgtoGg</f>
        <v>2.4312685364646853</v>
      </c>
      <c r="T1430" s="22">
        <f>INDEX('Activity data'!AM$24:AM$39,MATCH('Net zero emission reductions'!$G1430,'Activity data'!$D$24:$D$39,0))*INDEX(EF!$H$84:$H$99,MATCH('Net zero emission reductions'!$G1430,EF!$D$84:$D$99,0))*INDEX(EF!$H$100:$H$115,MATCH('Net zero emission reductions'!$G1430,EF!$D$100:$D$115,0))*INDEX(EF!$H$116:$H$131,MATCH('Net zero emission reductions'!$G1430,EF!$D$116:$D$131,0))*kgtoGg</f>
        <v>2.427369704956357</v>
      </c>
      <c r="U1430" s="22">
        <f>INDEX('Activity data'!AN$24:AN$39,MATCH('Net zero emission reductions'!$G1430,'Activity data'!$D$24:$D$39,0))*INDEX(EF!$H$84:$H$99,MATCH('Net zero emission reductions'!$G1430,EF!$D$84:$D$99,0))*INDEX(EF!$H$100:$H$115,MATCH('Net zero emission reductions'!$G1430,EF!$D$100:$D$115,0))*INDEX(EF!$H$116:$H$131,MATCH('Net zero emission reductions'!$G1430,EF!$D$116:$D$131,0))*kgtoGg</f>
        <v>2.4234708734480273</v>
      </c>
      <c r="V1430" s="22">
        <f>INDEX('Activity data'!AO$24:AO$39,MATCH('Net zero emission reductions'!$G1430,'Activity data'!$D$24:$D$39,0))*INDEX(EF!$H$84:$H$99,MATCH('Net zero emission reductions'!$G1430,EF!$D$84:$D$99,0))*INDEX(EF!$H$100:$H$115,MATCH('Net zero emission reductions'!$G1430,EF!$D$100:$D$115,0))*INDEX(EF!$H$116:$H$131,MATCH('Net zero emission reductions'!$G1430,EF!$D$116:$D$131,0))*kgtoGg</f>
        <v>2.4195720419396989</v>
      </c>
      <c r="W1430" s="22">
        <f>INDEX('Activity data'!AP$24:AP$39,MATCH('Net zero emission reductions'!$G1430,'Activity data'!$D$24:$D$39,0))*INDEX(EF!$H$84:$H$99,MATCH('Net zero emission reductions'!$G1430,EF!$D$84:$D$99,0))*INDEX(EF!$H$100:$H$115,MATCH('Net zero emission reductions'!$G1430,EF!$D$100:$D$115,0))*INDEX(EF!$H$116:$H$131,MATCH('Net zero emission reductions'!$G1430,EF!$D$116:$D$131,0))*kgtoGg</f>
        <v>2.4156732104313696</v>
      </c>
      <c r="X1430" s="22">
        <f>INDEX('Activity data'!AQ$24:AQ$39,MATCH('Net zero emission reductions'!$G1430,'Activity data'!$D$24:$D$39,0))*INDEX(EF!$H$84:$H$99,MATCH('Net zero emission reductions'!$G1430,EF!$D$84:$D$99,0))*INDEX(EF!$H$100:$H$115,MATCH('Net zero emission reductions'!$G1430,EF!$D$100:$D$115,0))*INDEX(EF!$H$116:$H$131,MATCH('Net zero emission reductions'!$G1430,EF!$D$116:$D$131,0))*kgtoGg</f>
        <v>2.4117743789230404</v>
      </c>
      <c r="Y1430" s="22">
        <f>INDEX('Activity data'!AR$24:AR$39,MATCH('Net zero emission reductions'!$G1430,'Activity data'!$D$24:$D$39,0))*INDEX(EF!$H$84:$H$99,MATCH('Net zero emission reductions'!$G1430,EF!$D$84:$D$99,0))*INDEX(EF!$H$100:$H$115,MATCH('Net zero emission reductions'!$G1430,EF!$D$100:$D$115,0))*INDEX(EF!$H$116:$H$131,MATCH('Net zero emission reductions'!$G1430,EF!$D$116:$D$131,0))*kgtoGg</f>
        <v>2.407875547414712</v>
      </c>
      <c r="Z1430" s="22">
        <f>INDEX('Activity data'!AS$24:AS$39,MATCH('Net zero emission reductions'!$G1430,'Activity data'!$D$24:$D$39,0))*INDEX(EF!$H$84:$H$99,MATCH('Net zero emission reductions'!$G1430,EF!$D$84:$D$99,0))*INDEX(EF!$H$100:$H$115,MATCH('Net zero emission reductions'!$G1430,EF!$D$100:$D$115,0))*INDEX(EF!$H$116:$H$131,MATCH('Net zero emission reductions'!$G1430,EF!$D$116:$D$131,0))*kgtoGg</f>
        <v>2.4039767159063823</v>
      </c>
      <c r="AA1430" s="22">
        <f>INDEX('Activity data'!AT$24:AT$39,MATCH('Net zero emission reductions'!$G1430,'Activity data'!$D$24:$D$39,0))*INDEX(EF!$H$84:$H$99,MATCH('Net zero emission reductions'!$G1430,EF!$D$84:$D$99,0))*INDEX(EF!$H$100:$H$115,MATCH('Net zero emission reductions'!$G1430,EF!$D$100:$D$115,0))*INDEX(EF!$H$116:$H$131,MATCH('Net zero emission reductions'!$G1430,EF!$D$116:$D$131,0))*kgtoGg</f>
        <v>2.4000778843980535</v>
      </c>
      <c r="AB1430" s="22">
        <f>INDEX('Activity data'!AU$24:AU$39,MATCH('Net zero emission reductions'!$G1430,'Activity data'!$D$24:$D$39,0))*INDEX(EF!$H$84:$H$99,MATCH('Net zero emission reductions'!$G1430,EF!$D$84:$D$99,0))*INDEX(EF!$H$100:$H$115,MATCH('Net zero emission reductions'!$G1430,EF!$D$100:$D$115,0))*INDEX(EF!$H$116:$H$131,MATCH('Net zero emission reductions'!$G1430,EF!$D$116:$D$131,0))*kgtoGg</f>
        <v>2.3961790528897247</v>
      </c>
      <c r="AC1430" s="22">
        <f>INDEX('Activity data'!AV$24:AV$39,MATCH('Net zero emission reductions'!$G1430,'Activity data'!$D$24:$D$39,0))*INDEX(EF!$H$84:$H$99,MATCH('Net zero emission reductions'!$G1430,EF!$D$84:$D$99,0))*INDEX(EF!$H$100:$H$115,MATCH('Net zero emission reductions'!$G1430,EF!$D$100:$D$115,0))*INDEX(EF!$H$116:$H$131,MATCH('Net zero emission reductions'!$G1430,EF!$D$116:$D$131,0))*kgtoGg</f>
        <v>2.3922802213813954</v>
      </c>
      <c r="AD1430" s="22">
        <f>INDEX('Activity data'!AW$24:AW$39,MATCH('Net zero emission reductions'!$G1430,'Activity data'!$D$24:$D$39,0))*INDEX(EF!$H$84:$H$99,MATCH('Net zero emission reductions'!$G1430,EF!$D$84:$D$99,0))*INDEX(EF!$H$100:$H$115,MATCH('Net zero emission reductions'!$G1430,EF!$D$100:$D$115,0))*INDEX(EF!$H$116:$H$131,MATCH('Net zero emission reductions'!$G1430,EF!$D$116:$D$131,0))*kgtoGg</f>
        <v>2.3883813898730675</v>
      </c>
      <c r="AE1430" s="22">
        <f>INDEX('Activity data'!AX$24:AX$39,MATCH('Net zero emission reductions'!$G1430,'Activity data'!$D$24:$D$39,0))*INDEX(EF!$H$84:$H$99,MATCH('Net zero emission reductions'!$G1430,EF!$D$84:$D$99,0))*INDEX(EF!$H$100:$H$115,MATCH('Net zero emission reductions'!$G1430,EF!$D$100:$D$115,0))*INDEX(EF!$H$116:$H$131,MATCH('Net zero emission reductions'!$G1430,EF!$D$116:$D$131,0))*kgtoGg</f>
        <v>2.3844825583647378</v>
      </c>
      <c r="AF1430" s="22">
        <f>INDEX('Activity data'!AY$24:AY$39,MATCH('Net zero emission reductions'!$G1430,'Activity data'!$D$24:$D$39,0))*INDEX(EF!$H$84:$H$99,MATCH('Net zero emission reductions'!$G1430,EF!$D$84:$D$99,0))*INDEX(EF!$H$100:$H$115,MATCH('Net zero emission reductions'!$G1430,EF!$D$100:$D$115,0))*INDEX(EF!$H$116:$H$131,MATCH('Net zero emission reductions'!$G1430,EF!$D$116:$D$131,0))*kgtoGg</f>
        <v>2.3805837268564085</v>
      </c>
      <c r="AG1430" s="22">
        <f>INDEX('Activity data'!AZ$24:AZ$39,MATCH('Net zero emission reductions'!$G1430,'Activity data'!$D$24:$D$39,0))*INDEX(EF!$H$84:$H$99,MATCH('Net zero emission reductions'!$G1430,EF!$D$84:$D$99,0))*INDEX(EF!$H$100:$H$115,MATCH('Net zero emission reductions'!$G1430,EF!$D$100:$D$115,0))*INDEX(EF!$H$116:$H$131,MATCH('Net zero emission reductions'!$G1430,EF!$D$116:$D$131,0))*kgtoGg</f>
        <v>2.3766848953480793</v>
      </c>
      <c r="AH1430" s="22">
        <f>INDEX('Activity data'!BA$24:BA$39,MATCH('Net zero emission reductions'!$G1430,'Activity data'!$D$24:$D$39,0))*INDEX(EF!$H$84:$H$99,MATCH('Net zero emission reductions'!$G1430,EF!$D$84:$D$99,0))*INDEX(EF!$H$100:$H$115,MATCH('Net zero emission reductions'!$G1430,EF!$D$100:$D$115,0))*INDEX(EF!$H$116:$H$131,MATCH('Net zero emission reductions'!$G1430,EF!$D$116:$D$131,0))*kgtoGg</f>
        <v>2.3727860638397509</v>
      </c>
      <c r="AI1430" s="22">
        <f>INDEX('Activity data'!BB$24:BB$39,MATCH('Net zero emission reductions'!$G1430,'Activity data'!$D$24:$D$39,0))*INDEX(EF!$H$84:$H$99,MATCH('Net zero emission reductions'!$G1430,EF!$D$84:$D$99,0))*INDEX(EF!$H$100:$H$115,MATCH('Net zero emission reductions'!$G1430,EF!$D$100:$D$115,0))*INDEX(EF!$H$116:$H$131,MATCH('Net zero emission reductions'!$G1430,EF!$D$116:$D$131,0))*kgtoGg</f>
        <v>2.3688872323314216</v>
      </c>
      <c r="AJ1430" s="22">
        <f>INDEX('Activity data'!BC$24:BC$39,MATCH('Net zero emission reductions'!$G1430,'Activity data'!$D$24:$D$39,0))*INDEX(EF!$H$84:$H$99,MATCH('Net zero emission reductions'!$G1430,EF!$D$84:$D$99,0))*INDEX(EF!$H$100:$H$115,MATCH('Net zero emission reductions'!$G1430,EF!$D$100:$D$115,0))*INDEX(EF!$H$116:$H$131,MATCH('Net zero emission reductions'!$G1430,EF!$D$116:$D$131,0))*kgtoGg</f>
        <v>2.3649884008230924</v>
      </c>
      <c r="AK1430" s="22">
        <f>INDEX('Activity data'!BD$24:BD$39,MATCH('Net zero emission reductions'!$G1430,'Activity data'!$D$24:$D$39,0))*INDEX(EF!$H$84:$H$99,MATCH('Net zero emission reductions'!$G1430,EF!$D$84:$D$99,0))*INDEX(EF!$H$100:$H$115,MATCH('Net zero emission reductions'!$G1430,EF!$D$100:$D$115,0))*INDEX(EF!$H$116:$H$131,MATCH('Net zero emission reductions'!$G1430,EF!$D$116:$D$131,0))*kgtoGg</f>
        <v>2.361089569314764</v>
      </c>
      <c r="AL1430" s="22">
        <f>INDEX('Activity data'!BE$24:BE$39,MATCH('Net zero emission reductions'!$G1430,'Activity data'!$D$24:$D$39,0))*INDEX(EF!$H$84:$H$99,MATCH('Net zero emission reductions'!$G1430,EF!$D$84:$D$99,0))*INDEX(EF!$H$100:$H$115,MATCH('Net zero emission reductions'!$G1430,EF!$D$100:$D$115,0))*INDEX(EF!$H$116:$H$131,MATCH('Net zero emission reductions'!$G1430,EF!$D$116:$D$131,0))*kgtoGg</f>
        <v>2.3571907378064347</v>
      </c>
      <c r="AM1430" s="22">
        <f>INDEX('Activity data'!BF$24:BF$39,MATCH('Net zero emission reductions'!$G1430,'Activity data'!$D$24:$D$39,0))*INDEX(EF!$H$84:$H$99,MATCH('Net zero emission reductions'!$G1430,EF!$D$84:$D$99,0))*INDEX(EF!$H$100:$H$115,MATCH('Net zero emission reductions'!$G1430,EF!$D$100:$D$115,0))*INDEX(EF!$H$116:$H$131,MATCH('Net zero emission reductions'!$G1430,EF!$D$116:$D$131,0))*kgtoGg</f>
        <v>2.3532919062981059</v>
      </c>
      <c r="AN1430" s="22">
        <f>INDEX('Activity data'!BG$24:BG$39,MATCH('Net zero emission reductions'!$G1430,'Activity data'!$D$24:$D$39,0))*INDEX(EF!$H$84:$H$99,MATCH('Net zero emission reductions'!$G1430,EF!$D$84:$D$99,0))*INDEX(EF!$H$100:$H$115,MATCH('Net zero emission reductions'!$G1430,EF!$D$100:$D$115,0))*INDEX(EF!$H$116:$H$131,MATCH('Net zero emission reductions'!$G1430,EF!$D$116:$D$131,0))*kgtoGg</f>
        <v>2.3493930747897767</v>
      </c>
      <c r="AO1430" s="22">
        <f>INDEX('Activity data'!BH$24:BH$39,MATCH('Net zero emission reductions'!$G1430,'Activity data'!$D$24:$D$39,0))*INDEX(EF!$H$84:$H$99,MATCH('Net zero emission reductions'!$G1430,EF!$D$84:$D$99,0))*INDEX(EF!$H$100:$H$115,MATCH('Net zero emission reductions'!$G1430,EF!$D$100:$D$115,0))*INDEX(EF!$H$116:$H$131,MATCH('Net zero emission reductions'!$G1430,EF!$D$116:$D$131,0))*kgtoGg</f>
        <v>2.3454942432814478</v>
      </c>
      <c r="AP1430" s="22">
        <f>INDEX('Activity data'!BI$24:BI$39,MATCH('Net zero emission reductions'!$G1430,'Activity data'!$D$24:$D$39,0))*INDEX(EF!$H$84:$H$99,MATCH('Net zero emission reductions'!$G1430,EF!$D$84:$D$99,0))*INDEX(EF!$H$100:$H$115,MATCH('Net zero emission reductions'!$G1430,EF!$D$100:$D$115,0))*INDEX(EF!$H$116:$H$131,MATCH('Net zero emission reductions'!$G1430,EF!$D$116:$D$131,0))*kgtoGg</f>
        <v>2.341595411773119</v>
      </c>
      <c r="AQ1430" s="22">
        <f>INDEX('Activity data'!BJ$24:BJ$39,MATCH('Net zero emission reductions'!$G1430,'Activity data'!$D$24:$D$39,0))*INDEX(EF!$H$84:$H$99,MATCH('Net zero emission reductions'!$G1430,EF!$D$84:$D$99,0))*INDEX(EF!$H$100:$H$115,MATCH('Net zero emission reductions'!$G1430,EF!$D$100:$D$115,0))*INDEX(EF!$H$116:$H$131,MATCH('Net zero emission reductions'!$G1430,EF!$D$116:$D$131,0))*kgtoGg</f>
        <v>2.3376965802647898</v>
      </c>
      <c r="AR1430" s="22">
        <f>INDEX('Activity data'!BK$24:BK$39,MATCH('Net zero emission reductions'!$G1430,'Activity data'!$D$24:$D$39,0))*INDEX(EF!$H$84:$H$99,MATCH('Net zero emission reductions'!$G1430,EF!$D$84:$D$99,0))*INDEX(EF!$H$100:$H$115,MATCH('Net zero emission reductions'!$G1430,EF!$D$100:$D$115,0))*INDEX(EF!$H$116:$H$131,MATCH('Net zero emission reductions'!$G1430,EF!$D$116:$D$131,0))*kgtoGg</f>
        <v>2.3337977487564614</v>
      </c>
      <c r="AS1430" s="22">
        <f>INDEX('Activity data'!BL$24:BL$39,MATCH('Net zero emission reductions'!$G1430,'Activity data'!$D$24:$D$39,0))*INDEX(EF!$H$84:$H$99,MATCH('Net zero emission reductions'!$G1430,EF!$D$84:$D$99,0))*INDEX(EF!$H$100:$H$115,MATCH('Net zero emission reductions'!$G1430,EF!$D$100:$D$115,0))*INDEX(EF!$H$116:$H$131,MATCH('Net zero emission reductions'!$G1430,EF!$D$116:$D$131,0))*kgtoGg</f>
        <v>2.3298989172481317</v>
      </c>
      <c r="AT1430" s="22">
        <f>INDEX('Activity data'!BM$24:BM$39,MATCH('Net zero emission reductions'!$G1430,'Activity data'!$D$24:$D$39,0))*INDEX(EF!$H$84:$H$99,MATCH('Net zero emission reductions'!$G1430,EF!$D$84:$D$99,0))*INDEX(EF!$H$100:$H$115,MATCH('Net zero emission reductions'!$G1430,EF!$D$100:$D$115,0))*INDEX(EF!$H$116:$H$131,MATCH('Net zero emission reductions'!$G1430,EF!$D$116:$D$131,0))*kgtoGg</f>
        <v>2.3260000857398029</v>
      </c>
      <c r="AU1430" s="22">
        <f>INDEX('Activity data'!BN$24:BN$39,MATCH('Net zero emission reductions'!$G1430,'Activity data'!$D$24:$D$39,0))*INDEX(EF!$H$84:$H$99,MATCH('Net zero emission reductions'!$G1430,EF!$D$84:$D$99,0))*INDEX(EF!$H$100:$H$115,MATCH('Net zero emission reductions'!$G1430,EF!$D$100:$D$115,0))*INDEX(EF!$H$116:$H$131,MATCH('Net zero emission reductions'!$G1430,EF!$D$116:$D$131,0))*kgtoGg</f>
        <v>2.3221012542314736</v>
      </c>
      <c r="AV1430" s="22">
        <f>INDEX('Activity data'!BO$24:BO$39,MATCH('Net zero emission reductions'!$G1430,'Activity data'!$D$24:$D$39,0))*INDEX(EF!$H$84:$H$99,MATCH('Net zero emission reductions'!$G1430,EF!$D$84:$D$99,0))*INDEX(EF!$H$100:$H$115,MATCH('Net zero emission reductions'!$G1430,EF!$D$100:$D$115,0))*INDEX(EF!$H$116:$H$131,MATCH('Net zero emission reductions'!$G1430,EF!$D$116:$D$131,0))*kgtoGg</f>
        <v>2.3182024227231448</v>
      </c>
      <c r="AW1430" s="22">
        <f>INDEX('Activity data'!BP$24:BP$39,MATCH('Net zero emission reductions'!$G1430,'Activity data'!$D$24:$D$39,0))*INDEX(EF!$H$84:$H$99,MATCH('Net zero emission reductions'!$G1430,EF!$D$84:$D$99,0))*INDEX(EF!$H$100:$H$115,MATCH('Net zero emission reductions'!$G1430,EF!$D$100:$D$115,0))*INDEX(EF!$H$116:$H$131,MATCH('Net zero emission reductions'!$G1430,EF!$D$116:$D$131,0))*kgtoGg</f>
        <v>2.314303591214816</v>
      </c>
    </row>
    <row r="1431" spans="1:49" x14ac:dyDescent="0.25">
      <c r="A1431" s="102" t="s">
        <v>961</v>
      </c>
      <c r="B1431" s="102"/>
      <c r="C1431" s="102"/>
      <c r="D1431" t="str">
        <f t="shared" ref="D1431:E1446" si="555">D1430</f>
        <v>3C Aggregated and non-CO2 emissions on land</v>
      </c>
      <c r="E1431" t="str">
        <f t="shared" si="554"/>
        <v>3C1 Biomass burning (CH4)</v>
      </c>
      <c r="F1431" t="str">
        <f t="shared" si="554"/>
        <v>3C1a Biomass burning in forest land</v>
      </c>
      <c r="G1431" t="str">
        <f>EF!D86</f>
        <v>Woodlands</v>
      </c>
      <c r="H1431" t="s">
        <v>643</v>
      </c>
      <c r="I1431" t="str">
        <f t="shared" ref="I1431:J1434" si="556">I1430</f>
        <v>CH4</v>
      </c>
      <c r="J1431" t="str">
        <f t="shared" si="556"/>
        <v>Gg CH4</v>
      </c>
      <c r="K1431" s="22">
        <f>INDEX('Net zero Activity data'!AD$24:AD$39,MATCH('Net zero emission reductions'!$G1431,'Net zero Activity data'!$D$24:$D$39,0))*INDEX(EF!$H$84:$H$99,MATCH('Net zero emission reductions'!$G1431,EF!$D$84:$D$99,0))*INDEX(EF!$H$100:$H$115,MATCH('Net zero emission reductions'!$G1431,EF!$D$100:$D$115,0))*INDEX(EF!$H$116:$H$131,MATCH('Net zero emission reductions'!$G1431,EF!$D$116:$D$131,0))*kgtoGg</f>
        <v>5.3786221650316861</v>
      </c>
      <c r="L1431" s="22">
        <f>INDEX('Net zero Activity data'!AE$24:AE$39,MATCH('Net zero emission reductions'!$G1431,'Net zero Activity data'!$D$24:$D$39,0))*INDEX(EF!$H$84:$H$99,MATCH('Net zero emission reductions'!$G1431,EF!$D$84:$D$99,0))*INDEX(EF!$H$100:$H$115,MATCH('Net zero emission reductions'!$G1431,EF!$D$100:$D$115,0))*INDEX(EF!$H$116:$H$131,MATCH('Net zero emission reductions'!$G1431,EF!$D$116:$D$131,0))*kgtoGg</f>
        <v>5.3880428110636629</v>
      </c>
      <c r="M1431" s="22">
        <f>INDEX('Net zero Activity data'!AF$24:AF$39,MATCH('Net zero emission reductions'!$G1431,'Net zero Activity data'!$D$24:$D$39,0))*INDEX(EF!$H$84:$H$99,MATCH('Net zero emission reductions'!$G1431,EF!$D$84:$D$99,0))*INDEX(EF!$H$100:$H$115,MATCH('Net zero emission reductions'!$G1431,EF!$D$100:$D$115,0))*INDEX(EF!$H$116:$H$131,MATCH('Net zero emission reductions'!$G1431,EF!$D$116:$D$131,0))*kgtoGg</f>
        <v>5.3974634570956406</v>
      </c>
      <c r="N1431" s="22">
        <f>INDEX('Net zero Activity data'!AG$24:AG$39,MATCH('Net zero emission reductions'!$G1431,'Net zero Activity data'!$D$24:$D$39,0))*INDEX(EF!$H$84:$H$99,MATCH('Net zero emission reductions'!$G1431,EF!$D$84:$D$99,0))*INDEX(EF!$H$100:$H$115,MATCH('Net zero emission reductions'!$G1431,EF!$D$100:$D$115,0))*INDEX(EF!$H$116:$H$131,MATCH('Net zero emission reductions'!$G1431,EF!$D$116:$D$131,0))*kgtoGg</f>
        <v>5.4068841031276182</v>
      </c>
      <c r="O1431" s="22">
        <f>INDEX('Net zero Activity data'!AH$24:AH$39,MATCH('Net zero emission reductions'!$G1431,'Net zero Activity data'!$D$24:$D$39,0))*INDEX(EF!$H$84:$H$99,MATCH('Net zero emission reductions'!$G1431,EF!$D$84:$D$99,0))*INDEX(EF!$H$100:$H$115,MATCH('Net zero emission reductions'!$G1431,EF!$D$100:$D$115,0))*INDEX(EF!$H$116:$H$131,MATCH('Net zero emission reductions'!$G1431,EF!$D$116:$D$131,0))*kgtoGg</f>
        <v>5.4163047491595959</v>
      </c>
      <c r="P1431" s="22">
        <f>INDEX('Net zero Activity data'!AI$24:AI$39,MATCH('Net zero emission reductions'!$G1431,'Net zero Activity data'!$D$24:$D$39,0))*INDEX(EF!$H$84:$H$99,MATCH('Net zero emission reductions'!$G1431,EF!$D$84:$D$99,0))*INDEX(EF!$H$100:$H$115,MATCH('Net zero emission reductions'!$G1431,EF!$D$100:$D$115,0))*INDEX(EF!$H$116:$H$131,MATCH('Net zero emission reductions'!$G1431,EF!$D$116:$D$131,0))*kgtoGg</f>
        <v>5.4257253951915727</v>
      </c>
      <c r="Q1431" s="22">
        <f>INDEX('Net zero Activity data'!AJ$24:AJ$39,MATCH('Net zero emission reductions'!$G1431,'Net zero Activity data'!$D$24:$D$39,0))*INDEX(EF!$H$84:$H$99,MATCH('Net zero emission reductions'!$G1431,EF!$D$84:$D$99,0))*INDEX(EF!$H$100:$H$115,MATCH('Net zero emission reductions'!$G1431,EF!$D$100:$D$115,0))*INDEX(EF!$H$116:$H$131,MATCH('Net zero emission reductions'!$G1431,EF!$D$116:$D$131,0))*kgtoGg</f>
        <v>5.4351460412235486</v>
      </c>
      <c r="R1431" s="22">
        <f>INDEX('Net zero Activity data'!AK$24:AK$39,MATCH('Net zero emission reductions'!$G1431,'Net zero Activity data'!$D$24:$D$39,0))*INDEX(EF!$H$84:$H$99,MATCH('Net zero emission reductions'!$G1431,EF!$D$84:$D$99,0))*INDEX(EF!$H$100:$H$115,MATCH('Net zero emission reductions'!$G1431,EF!$D$100:$D$115,0))*INDEX(EF!$H$116:$H$131,MATCH('Net zero emission reductions'!$G1431,EF!$D$116:$D$131,0))*kgtoGg</f>
        <v>5.3972660466060871</v>
      </c>
      <c r="S1431" s="22">
        <f>INDEX('Net zero Activity data'!AL$24:AL$39,MATCH('Net zero emission reductions'!$G1431,'Net zero Activity data'!$D$24:$D$39,0))*INDEX(EF!$H$84:$H$99,MATCH('Net zero emission reductions'!$G1431,EF!$D$84:$D$99,0))*INDEX(EF!$H$100:$H$115,MATCH('Net zero emission reductions'!$G1431,EF!$D$100:$D$115,0))*INDEX(EF!$H$116:$H$131,MATCH('Net zero emission reductions'!$G1431,EF!$D$116:$D$131,0))*kgtoGg</f>
        <v>5.3593860519886229</v>
      </c>
      <c r="T1431" s="22">
        <f>INDEX('Net zero Activity data'!AM$24:AM$39,MATCH('Net zero emission reductions'!$G1431,'Net zero Activity data'!$D$24:$D$39,0))*INDEX(EF!$H$84:$H$99,MATCH('Net zero emission reductions'!$G1431,EF!$D$84:$D$99,0))*INDEX(EF!$H$100:$H$115,MATCH('Net zero emission reductions'!$G1431,EF!$D$100:$D$115,0))*INDEX(EF!$H$116:$H$131,MATCH('Net zero emission reductions'!$G1431,EF!$D$116:$D$131,0))*kgtoGg</f>
        <v>5.3215060573711588</v>
      </c>
      <c r="U1431" s="22">
        <f>INDEX('Net zero Activity data'!AN$24:AN$39,MATCH('Net zero emission reductions'!$G1431,'Net zero Activity data'!$D$24:$D$39,0))*INDEX(EF!$H$84:$H$99,MATCH('Net zero emission reductions'!$G1431,EF!$D$84:$D$99,0))*INDEX(EF!$H$100:$H$115,MATCH('Net zero emission reductions'!$G1431,EF!$D$100:$D$115,0))*INDEX(EF!$H$116:$H$131,MATCH('Net zero emission reductions'!$G1431,EF!$D$116:$D$131,0))*kgtoGg</f>
        <v>5.2836260627536946</v>
      </c>
      <c r="V1431" s="22">
        <f>INDEX('Net zero Activity data'!AO$24:AO$39,MATCH('Net zero emission reductions'!$G1431,'Net zero Activity data'!$D$24:$D$39,0))*INDEX(EF!$H$84:$H$99,MATCH('Net zero emission reductions'!$G1431,EF!$D$84:$D$99,0))*INDEX(EF!$H$100:$H$115,MATCH('Net zero emission reductions'!$G1431,EF!$D$100:$D$115,0))*INDEX(EF!$H$116:$H$131,MATCH('Net zero emission reductions'!$G1431,EF!$D$116:$D$131,0))*kgtoGg</f>
        <v>5.2457460681362322</v>
      </c>
      <c r="W1431" s="22">
        <f>INDEX('Net zero Activity data'!AP$24:AP$39,MATCH('Net zero emission reductions'!$G1431,'Net zero Activity data'!$D$24:$D$39,0))*INDEX(EF!$H$84:$H$99,MATCH('Net zero emission reductions'!$G1431,EF!$D$84:$D$99,0))*INDEX(EF!$H$100:$H$115,MATCH('Net zero emission reductions'!$G1431,EF!$D$100:$D$115,0))*INDEX(EF!$H$116:$H$131,MATCH('Net zero emission reductions'!$G1431,EF!$D$116:$D$131,0))*kgtoGg</f>
        <v>5.2078660735187698</v>
      </c>
      <c r="X1431" s="22">
        <f>INDEX('Net zero Activity data'!AQ$24:AQ$39,MATCH('Net zero emission reductions'!$G1431,'Net zero Activity data'!$D$24:$D$39,0))*INDEX(EF!$H$84:$H$99,MATCH('Net zero emission reductions'!$G1431,EF!$D$84:$D$99,0))*INDEX(EF!$H$100:$H$115,MATCH('Net zero emission reductions'!$G1431,EF!$D$100:$D$115,0))*INDEX(EF!$H$116:$H$131,MATCH('Net zero emission reductions'!$G1431,EF!$D$116:$D$131,0))*kgtoGg</f>
        <v>5.1699860789013057</v>
      </c>
      <c r="Y1431" s="22">
        <f>INDEX('Net zero Activity data'!AR$24:AR$39,MATCH('Net zero emission reductions'!$G1431,'Net zero Activity data'!$D$24:$D$39,0))*INDEX(EF!$H$84:$H$99,MATCH('Net zero emission reductions'!$G1431,EF!$D$84:$D$99,0))*INDEX(EF!$H$100:$H$115,MATCH('Net zero emission reductions'!$G1431,EF!$D$100:$D$115,0))*INDEX(EF!$H$116:$H$131,MATCH('Net zero emission reductions'!$G1431,EF!$D$116:$D$131,0))*kgtoGg</f>
        <v>5.1321060842838424</v>
      </c>
      <c r="Z1431" s="22">
        <f>INDEX('Net zero Activity data'!AS$24:AS$39,MATCH('Net zero emission reductions'!$G1431,'Net zero Activity data'!$D$24:$D$39,0))*INDEX(EF!$H$84:$H$99,MATCH('Net zero emission reductions'!$G1431,EF!$D$84:$D$99,0))*INDEX(EF!$H$100:$H$115,MATCH('Net zero emission reductions'!$G1431,EF!$D$100:$D$115,0))*INDEX(EF!$H$116:$H$131,MATCH('Net zero emission reductions'!$G1431,EF!$D$116:$D$131,0))*kgtoGg</f>
        <v>5.0942260896663782</v>
      </c>
      <c r="AA1431" s="22">
        <f>INDEX('Net zero Activity data'!AT$24:AT$39,MATCH('Net zero emission reductions'!$G1431,'Net zero Activity data'!$D$24:$D$39,0))*INDEX(EF!$H$84:$H$99,MATCH('Net zero emission reductions'!$G1431,EF!$D$84:$D$99,0))*INDEX(EF!$H$100:$H$115,MATCH('Net zero emission reductions'!$G1431,EF!$D$100:$D$115,0))*INDEX(EF!$H$116:$H$131,MATCH('Net zero emission reductions'!$G1431,EF!$D$116:$D$131,0))*kgtoGg</f>
        <v>5.0563460950489141</v>
      </c>
      <c r="AB1431" s="22">
        <f>INDEX('Net zero Activity data'!AU$24:AU$39,MATCH('Net zero emission reductions'!$G1431,'Net zero Activity data'!$D$24:$D$39,0))*INDEX(EF!$H$84:$H$99,MATCH('Net zero emission reductions'!$G1431,EF!$D$84:$D$99,0))*INDEX(EF!$H$100:$H$115,MATCH('Net zero emission reductions'!$G1431,EF!$D$100:$D$115,0))*INDEX(EF!$H$116:$H$131,MATCH('Net zero emission reductions'!$G1431,EF!$D$116:$D$131,0))*kgtoGg</f>
        <v>5.0184661004314526</v>
      </c>
      <c r="AC1431" s="22">
        <f>INDEX('Net zero Activity data'!AV$24:AV$39,MATCH('Net zero emission reductions'!$G1431,'Net zero Activity data'!$D$24:$D$39,0))*INDEX(EF!$H$84:$H$99,MATCH('Net zero emission reductions'!$G1431,EF!$D$84:$D$99,0))*INDEX(EF!$H$100:$H$115,MATCH('Net zero emission reductions'!$G1431,EF!$D$100:$D$115,0))*INDEX(EF!$H$116:$H$131,MATCH('Net zero emission reductions'!$G1431,EF!$D$116:$D$131,0))*kgtoGg</f>
        <v>4.9805861058139884</v>
      </c>
      <c r="AD1431" s="22">
        <f>INDEX('Net zero Activity data'!AW$24:AW$39,MATCH('Net zero emission reductions'!$G1431,'Net zero Activity data'!$D$24:$D$39,0))*INDEX(EF!$H$84:$H$99,MATCH('Net zero emission reductions'!$G1431,EF!$D$84:$D$99,0))*INDEX(EF!$H$100:$H$115,MATCH('Net zero emission reductions'!$G1431,EF!$D$100:$D$115,0))*INDEX(EF!$H$116:$H$131,MATCH('Net zero emission reductions'!$G1431,EF!$D$116:$D$131,0))*kgtoGg</f>
        <v>4.9427061111965243</v>
      </c>
      <c r="AE1431" s="22">
        <f>INDEX('Net zero Activity data'!AX$24:AX$39,MATCH('Net zero emission reductions'!$G1431,'Net zero Activity data'!$D$24:$D$39,0))*INDEX(EF!$H$84:$H$99,MATCH('Net zero emission reductions'!$G1431,EF!$D$84:$D$99,0))*INDEX(EF!$H$100:$H$115,MATCH('Net zero emission reductions'!$G1431,EF!$D$100:$D$115,0))*INDEX(EF!$H$116:$H$131,MATCH('Net zero emission reductions'!$G1431,EF!$D$116:$D$131,0))*kgtoGg</f>
        <v>4.9048261165790601</v>
      </c>
      <c r="AF1431" s="22">
        <f>INDEX('Net zero Activity data'!AY$24:AY$39,MATCH('Net zero emission reductions'!$G1431,'Net zero Activity data'!$D$24:$D$39,0))*INDEX(EF!$H$84:$H$99,MATCH('Net zero emission reductions'!$G1431,EF!$D$84:$D$99,0))*INDEX(EF!$H$100:$H$115,MATCH('Net zero emission reductions'!$G1431,EF!$D$100:$D$115,0))*INDEX(EF!$H$116:$H$131,MATCH('Net zero emission reductions'!$G1431,EF!$D$116:$D$131,0))*kgtoGg</f>
        <v>4.8669461219615968</v>
      </c>
      <c r="AG1431" s="22">
        <f>INDEX('Net zero Activity data'!AZ$24:AZ$39,MATCH('Net zero emission reductions'!$G1431,'Net zero Activity data'!$D$24:$D$39,0))*INDEX(EF!$H$84:$H$99,MATCH('Net zero emission reductions'!$G1431,EF!$D$84:$D$99,0))*INDEX(EF!$H$100:$H$115,MATCH('Net zero emission reductions'!$G1431,EF!$D$100:$D$115,0))*INDEX(EF!$H$116:$H$131,MATCH('Net zero emission reductions'!$G1431,EF!$D$116:$D$131,0))*kgtoGg</f>
        <v>4.8290661273441344</v>
      </c>
      <c r="AH1431" s="22">
        <f>INDEX('Net zero Activity data'!BA$24:BA$39,MATCH('Net zero emission reductions'!$G1431,'Net zero Activity data'!$D$24:$D$39,0))*INDEX(EF!$H$84:$H$99,MATCH('Net zero emission reductions'!$G1431,EF!$D$84:$D$99,0))*INDEX(EF!$H$100:$H$115,MATCH('Net zero emission reductions'!$G1431,EF!$D$100:$D$115,0))*INDEX(EF!$H$116:$H$131,MATCH('Net zero emission reductions'!$G1431,EF!$D$116:$D$131,0))*kgtoGg</f>
        <v>4.7911861327266712</v>
      </c>
      <c r="AI1431" s="22">
        <f>INDEX('Net zero Activity data'!BB$24:BB$39,MATCH('Net zero emission reductions'!$G1431,'Net zero Activity data'!$D$24:$D$39,0))*INDEX(EF!$H$84:$H$99,MATCH('Net zero emission reductions'!$G1431,EF!$D$84:$D$99,0))*INDEX(EF!$H$100:$H$115,MATCH('Net zero emission reductions'!$G1431,EF!$D$100:$D$115,0))*INDEX(EF!$H$116:$H$131,MATCH('Net zero emission reductions'!$G1431,EF!$D$116:$D$131,0))*kgtoGg</f>
        <v>4.7533061381092079</v>
      </c>
      <c r="AJ1431" s="22">
        <f>INDEX('Net zero Activity data'!BC$24:BC$39,MATCH('Net zero emission reductions'!$G1431,'Net zero Activity data'!$D$24:$D$39,0))*INDEX(EF!$H$84:$H$99,MATCH('Net zero emission reductions'!$G1431,EF!$D$84:$D$99,0))*INDEX(EF!$H$100:$H$115,MATCH('Net zero emission reductions'!$G1431,EF!$D$100:$D$115,0))*INDEX(EF!$H$116:$H$131,MATCH('Net zero emission reductions'!$G1431,EF!$D$116:$D$131,0))*kgtoGg</f>
        <v>4.7154261434917437</v>
      </c>
      <c r="AK1431" s="22">
        <f>INDEX('Net zero Activity data'!BD$24:BD$39,MATCH('Net zero emission reductions'!$G1431,'Net zero Activity data'!$D$24:$D$39,0))*INDEX(EF!$H$84:$H$99,MATCH('Net zero emission reductions'!$G1431,EF!$D$84:$D$99,0))*INDEX(EF!$H$100:$H$115,MATCH('Net zero emission reductions'!$G1431,EF!$D$100:$D$115,0))*INDEX(EF!$H$116:$H$131,MATCH('Net zero emission reductions'!$G1431,EF!$D$116:$D$131,0))*kgtoGg</f>
        <v>4.6775461488742796</v>
      </c>
      <c r="AL1431" s="22">
        <f>INDEX('Net zero Activity data'!BE$24:BE$39,MATCH('Net zero emission reductions'!$G1431,'Net zero Activity data'!$D$24:$D$39,0))*INDEX(EF!$H$84:$H$99,MATCH('Net zero emission reductions'!$G1431,EF!$D$84:$D$99,0))*INDEX(EF!$H$100:$H$115,MATCH('Net zero emission reductions'!$G1431,EF!$D$100:$D$115,0))*INDEX(EF!$H$116:$H$131,MATCH('Net zero emission reductions'!$G1431,EF!$D$116:$D$131,0))*kgtoGg</f>
        <v>4.6396661542568172</v>
      </c>
      <c r="AM1431" s="22">
        <f>INDEX('Net zero Activity data'!BF$24:BF$39,MATCH('Net zero emission reductions'!$G1431,'Net zero Activity data'!$D$24:$D$39,0))*INDEX(EF!$H$84:$H$99,MATCH('Net zero emission reductions'!$G1431,EF!$D$84:$D$99,0))*INDEX(EF!$H$100:$H$115,MATCH('Net zero emission reductions'!$G1431,EF!$D$100:$D$115,0))*INDEX(EF!$H$116:$H$131,MATCH('Net zero emission reductions'!$G1431,EF!$D$116:$D$131,0))*kgtoGg</f>
        <v>4.601786159639353</v>
      </c>
      <c r="AN1431" s="22">
        <f>INDEX('Net zero Activity data'!BG$24:BG$39,MATCH('Net zero emission reductions'!$G1431,'Net zero Activity data'!$D$24:$D$39,0))*INDEX(EF!$H$84:$H$99,MATCH('Net zero emission reductions'!$G1431,EF!$D$84:$D$99,0))*INDEX(EF!$H$100:$H$115,MATCH('Net zero emission reductions'!$G1431,EF!$D$100:$D$115,0))*INDEX(EF!$H$116:$H$131,MATCH('Net zero emission reductions'!$G1431,EF!$D$116:$D$131,0))*kgtoGg</f>
        <v>4.5639061650218888</v>
      </c>
      <c r="AO1431" s="22">
        <f>INDEX('Net zero Activity data'!BH$24:BH$39,MATCH('Net zero emission reductions'!$G1431,'Net zero Activity data'!$D$24:$D$39,0))*INDEX(EF!$H$84:$H$99,MATCH('Net zero emission reductions'!$G1431,EF!$D$84:$D$99,0))*INDEX(EF!$H$100:$H$115,MATCH('Net zero emission reductions'!$G1431,EF!$D$100:$D$115,0))*INDEX(EF!$H$116:$H$131,MATCH('Net zero emission reductions'!$G1431,EF!$D$116:$D$131,0))*kgtoGg</f>
        <v>4.5260261704044256</v>
      </c>
      <c r="AP1431" s="22">
        <f>INDEX('Net zero Activity data'!BI$24:BI$39,MATCH('Net zero emission reductions'!$G1431,'Net zero Activity data'!$D$24:$D$39,0))*INDEX(EF!$H$84:$H$99,MATCH('Net zero emission reductions'!$G1431,EF!$D$84:$D$99,0))*INDEX(EF!$H$100:$H$115,MATCH('Net zero emission reductions'!$G1431,EF!$D$100:$D$115,0))*INDEX(EF!$H$116:$H$131,MATCH('Net zero emission reductions'!$G1431,EF!$D$116:$D$131,0))*kgtoGg</f>
        <v>4.4881461757869623</v>
      </c>
      <c r="AQ1431" s="22">
        <f>INDEX('Net zero Activity data'!BJ$24:BJ$39,MATCH('Net zero emission reductions'!$G1431,'Net zero Activity data'!$D$24:$D$39,0))*INDEX(EF!$H$84:$H$99,MATCH('Net zero emission reductions'!$G1431,EF!$D$84:$D$99,0))*INDEX(EF!$H$100:$H$115,MATCH('Net zero emission reductions'!$G1431,EF!$D$100:$D$115,0))*INDEX(EF!$H$116:$H$131,MATCH('Net zero emission reductions'!$G1431,EF!$D$116:$D$131,0))*kgtoGg</f>
        <v>4.4502661811694981</v>
      </c>
      <c r="AR1431" s="22">
        <f>INDEX('Net zero Activity data'!BK$24:BK$39,MATCH('Net zero emission reductions'!$G1431,'Net zero Activity data'!$D$24:$D$39,0))*INDEX(EF!$H$84:$H$99,MATCH('Net zero emission reductions'!$G1431,EF!$D$84:$D$99,0))*INDEX(EF!$H$100:$H$115,MATCH('Net zero emission reductions'!$G1431,EF!$D$100:$D$115,0))*INDEX(EF!$H$116:$H$131,MATCH('Net zero emission reductions'!$G1431,EF!$D$116:$D$131,0))*kgtoGg</f>
        <v>4.4123861865520357</v>
      </c>
      <c r="AS1431" s="22">
        <f>INDEX('Net zero Activity data'!BL$24:BL$39,MATCH('Net zero emission reductions'!$G1431,'Net zero Activity data'!$D$24:$D$39,0))*INDEX(EF!$H$84:$H$99,MATCH('Net zero emission reductions'!$G1431,EF!$D$84:$D$99,0))*INDEX(EF!$H$100:$H$115,MATCH('Net zero emission reductions'!$G1431,EF!$D$100:$D$115,0))*INDEX(EF!$H$116:$H$131,MATCH('Net zero emission reductions'!$G1431,EF!$D$116:$D$131,0))*kgtoGg</f>
        <v>4.3745061919345725</v>
      </c>
      <c r="AT1431" s="22">
        <f>INDEX('Net zero Activity data'!BM$24:BM$39,MATCH('Net zero emission reductions'!$G1431,'Net zero Activity data'!$D$24:$D$39,0))*INDEX(EF!$H$84:$H$99,MATCH('Net zero emission reductions'!$G1431,EF!$D$84:$D$99,0))*INDEX(EF!$H$100:$H$115,MATCH('Net zero emission reductions'!$G1431,EF!$D$100:$D$115,0))*INDEX(EF!$H$116:$H$131,MATCH('Net zero emission reductions'!$G1431,EF!$D$116:$D$131,0))*kgtoGg</f>
        <v>4.3366261973171101</v>
      </c>
      <c r="AU1431" s="22">
        <f>INDEX('Net zero Activity data'!BN$24:BN$39,MATCH('Net zero emission reductions'!$G1431,'Net zero Activity data'!$D$24:$D$39,0))*INDEX(EF!$H$84:$H$99,MATCH('Net zero emission reductions'!$G1431,EF!$D$84:$D$99,0))*INDEX(EF!$H$100:$H$115,MATCH('Net zero emission reductions'!$G1431,EF!$D$100:$D$115,0))*INDEX(EF!$H$116:$H$131,MATCH('Net zero emission reductions'!$G1431,EF!$D$116:$D$131,0))*kgtoGg</f>
        <v>4.2987462026996468</v>
      </c>
      <c r="AV1431" s="22">
        <f>INDEX('Net zero Activity data'!BO$24:BO$39,MATCH('Net zero emission reductions'!$G1431,'Net zero Activity data'!$D$24:$D$39,0))*INDEX(EF!$H$84:$H$99,MATCH('Net zero emission reductions'!$G1431,EF!$D$84:$D$99,0))*INDEX(EF!$H$100:$H$115,MATCH('Net zero emission reductions'!$G1431,EF!$D$100:$D$115,0))*INDEX(EF!$H$116:$H$131,MATCH('Net zero emission reductions'!$G1431,EF!$D$116:$D$131,0))*kgtoGg</f>
        <v>4.2608662080821844</v>
      </c>
      <c r="AW1431" s="22">
        <f>INDEX('Net zero Activity data'!BP$24:BP$39,MATCH('Net zero emission reductions'!$G1431,'Net zero Activity data'!$D$24:$D$39,0))*INDEX(EF!$H$84:$H$99,MATCH('Net zero emission reductions'!$G1431,EF!$D$84:$D$99,0))*INDEX(EF!$H$100:$H$115,MATCH('Net zero emission reductions'!$G1431,EF!$D$100:$D$115,0))*INDEX(EF!$H$116:$H$131,MATCH('Net zero emission reductions'!$G1431,EF!$D$116:$D$131,0))*kgtoGg</f>
        <v>4.2229862134647194</v>
      </c>
    </row>
    <row r="1432" spans="1:49" x14ac:dyDescent="0.25">
      <c r="A1432" s="102" t="s">
        <v>961</v>
      </c>
      <c r="B1432" s="102"/>
      <c r="C1432" s="102"/>
      <c r="D1432" t="str">
        <f t="shared" si="555"/>
        <v>3C Aggregated and non-CO2 emissions on land</v>
      </c>
      <c r="E1432" t="str">
        <f t="shared" si="554"/>
        <v>3C1 Biomass burning (CH4)</v>
      </c>
      <c r="F1432" t="str">
        <f t="shared" si="554"/>
        <v>3C1a Biomass burning in forest land</v>
      </c>
      <c r="G1432" t="str">
        <f>EF!D87</f>
        <v>Plantations</v>
      </c>
      <c r="H1432" t="s">
        <v>644</v>
      </c>
      <c r="I1432" t="str">
        <f t="shared" si="556"/>
        <v>CH4</v>
      </c>
      <c r="J1432" t="str">
        <f t="shared" si="556"/>
        <v>Gg CH4</v>
      </c>
      <c r="K1432" s="22">
        <f>INDEX('Net zero Activity data'!AD$24:AD$39,MATCH('Net zero emission reductions'!$G1432,'Net zero Activity data'!$D$24:$D$39,0))*INDEX(EF!$H$84:$H$99,MATCH('Net zero emission reductions'!$G1432,EF!$D$84:$D$99,0))*INDEX(EF!$H$100:$H$115,MATCH('Net zero emission reductions'!$G1432,EF!$D$100:$D$115,0))*INDEX(EF!$H$116:$H$131,MATCH('Net zero emission reductions'!$G1432,EF!$D$116:$D$131,0))*kgtoGg</f>
        <v>2.098124981532016</v>
      </c>
      <c r="L1432" s="22">
        <f>INDEX('Net zero Activity data'!AE$24:AE$39,MATCH('Net zero emission reductions'!$G1432,'Net zero Activity data'!$D$24:$D$39,0))*INDEX(EF!$H$84:$H$99,MATCH('Net zero emission reductions'!$G1432,EF!$D$84:$D$99,0))*INDEX(EF!$H$100:$H$115,MATCH('Net zero emission reductions'!$G1432,EF!$D$100:$D$115,0))*INDEX(EF!$H$116:$H$131,MATCH('Net zero emission reductions'!$G1432,EF!$D$116:$D$131,0))*kgtoGg</f>
        <v>3.9454731415320157</v>
      </c>
      <c r="M1432" s="22">
        <f>INDEX('Net zero Activity data'!AF$24:AF$39,MATCH('Net zero emission reductions'!$G1432,'Net zero Activity data'!$D$24:$D$39,0))*INDEX(EF!$H$84:$H$99,MATCH('Net zero emission reductions'!$G1432,EF!$D$84:$D$99,0))*INDEX(EF!$H$100:$H$115,MATCH('Net zero emission reductions'!$G1432,EF!$D$100:$D$115,0))*INDEX(EF!$H$116:$H$131,MATCH('Net zero emission reductions'!$G1432,EF!$D$116:$D$131,0))*kgtoGg</f>
        <v>3.1857200215320161</v>
      </c>
      <c r="N1432" s="22">
        <f>INDEX('Net zero Activity data'!AG$24:AG$39,MATCH('Net zero emission reductions'!$G1432,'Net zero Activity data'!$D$24:$D$39,0))*INDEX(EF!$H$84:$H$99,MATCH('Net zero emission reductions'!$G1432,EF!$D$84:$D$99,0))*INDEX(EF!$H$100:$H$115,MATCH('Net zero emission reductions'!$G1432,EF!$D$100:$D$115,0))*INDEX(EF!$H$116:$H$131,MATCH('Net zero emission reductions'!$G1432,EF!$D$116:$D$131,0))*kgtoGg</f>
        <v>2.4712899415320164</v>
      </c>
      <c r="O1432" s="22">
        <f>INDEX('Net zero Activity data'!AH$24:AH$39,MATCH('Net zero emission reductions'!$G1432,'Net zero Activity data'!$D$24:$D$39,0))*INDEX(EF!$H$84:$H$99,MATCH('Net zero emission reductions'!$G1432,EF!$D$84:$D$99,0))*INDEX(EF!$H$100:$H$115,MATCH('Net zero emission reductions'!$G1432,EF!$D$100:$D$115,0))*INDEX(EF!$H$116:$H$131,MATCH('Net zero emission reductions'!$G1432,EF!$D$116:$D$131,0))*kgtoGg</f>
        <v>2.8281891415320159</v>
      </c>
      <c r="P1432" s="22">
        <f>INDEX('Net zero Activity data'!AI$24:AI$39,MATCH('Net zero emission reductions'!$G1432,'Net zero Activity data'!$D$24:$D$39,0))*INDEX(EF!$H$84:$H$99,MATCH('Net zero emission reductions'!$G1432,EF!$D$84:$D$99,0))*INDEX(EF!$H$100:$H$115,MATCH('Net zero emission reductions'!$G1432,EF!$D$100:$D$115,0))*INDEX(EF!$H$116:$H$131,MATCH('Net zero emission reductions'!$G1432,EF!$D$116:$D$131,0))*kgtoGg</f>
        <v>3.1318693015320158</v>
      </c>
      <c r="Q1432" s="22">
        <f>INDEX('Net zero Activity data'!AJ$24:AJ$39,MATCH('Net zero emission reductions'!$G1432,'Net zero Activity data'!$D$24:$D$39,0))*INDEX(EF!$H$84:$H$99,MATCH('Net zero emission reductions'!$G1432,EF!$D$84:$D$99,0))*INDEX(EF!$H$100:$H$115,MATCH('Net zero emission reductions'!$G1432,EF!$D$100:$D$115,0))*INDEX(EF!$H$116:$H$131,MATCH('Net zero emission reductions'!$G1432,EF!$D$116:$D$131,0))*kgtoGg</f>
        <v>3.1318693015320158</v>
      </c>
      <c r="R1432" s="22">
        <f>INDEX('Net zero Activity data'!AK$24:AK$39,MATCH('Net zero emission reductions'!$G1432,'Net zero Activity data'!$D$24:$D$39,0))*INDEX(EF!$H$84:$H$99,MATCH('Net zero emission reductions'!$G1432,EF!$D$84:$D$99,0))*INDEX(EF!$H$100:$H$115,MATCH('Net zero emission reductions'!$G1432,EF!$D$100:$D$115,0))*INDEX(EF!$H$116:$H$131,MATCH('Net zero emission reductions'!$G1432,EF!$D$116:$D$131,0))*kgtoGg</f>
        <v>3.1454659408897232</v>
      </c>
      <c r="S1432" s="22">
        <f>INDEX('Net zero Activity data'!AL$24:AL$39,MATCH('Net zero emission reductions'!$G1432,'Net zero Activity data'!$D$24:$D$39,0))*INDEX(EF!$H$84:$H$99,MATCH('Net zero emission reductions'!$G1432,EF!$D$84:$D$99,0))*INDEX(EF!$H$100:$H$115,MATCH('Net zero emission reductions'!$G1432,EF!$D$100:$D$115,0))*INDEX(EF!$H$116:$H$131,MATCH('Net zero emission reductions'!$G1432,EF!$D$116:$D$131,0))*kgtoGg</f>
        <v>3.1590625802474293</v>
      </c>
      <c r="T1432" s="22">
        <f>INDEX('Net zero Activity data'!AM$24:AM$39,MATCH('Net zero emission reductions'!$G1432,'Net zero Activity data'!$D$24:$D$39,0))*INDEX(EF!$H$84:$H$99,MATCH('Net zero emission reductions'!$G1432,EF!$D$84:$D$99,0))*INDEX(EF!$H$100:$H$115,MATCH('Net zero emission reductions'!$G1432,EF!$D$100:$D$115,0))*INDEX(EF!$H$116:$H$131,MATCH('Net zero emission reductions'!$G1432,EF!$D$116:$D$131,0))*kgtoGg</f>
        <v>3.1726592196051362</v>
      </c>
      <c r="U1432" s="22">
        <f>INDEX('Net zero Activity data'!AN$24:AN$39,MATCH('Net zero emission reductions'!$G1432,'Net zero Activity data'!$D$24:$D$39,0))*INDEX(EF!$H$84:$H$99,MATCH('Net zero emission reductions'!$G1432,EF!$D$84:$D$99,0))*INDEX(EF!$H$100:$H$115,MATCH('Net zero emission reductions'!$G1432,EF!$D$100:$D$115,0))*INDEX(EF!$H$116:$H$131,MATCH('Net zero emission reductions'!$G1432,EF!$D$116:$D$131,0))*kgtoGg</f>
        <v>3.1862558589628427</v>
      </c>
      <c r="V1432" s="22">
        <f>INDEX('Net zero Activity data'!AO$24:AO$39,MATCH('Net zero emission reductions'!$G1432,'Net zero Activity data'!$D$24:$D$39,0))*INDEX(EF!$H$84:$H$99,MATCH('Net zero emission reductions'!$G1432,EF!$D$84:$D$99,0))*INDEX(EF!$H$100:$H$115,MATCH('Net zero emission reductions'!$G1432,EF!$D$100:$D$115,0))*INDEX(EF!$H$116:$H$131,MATCH('Net zero emission reductions'!$G1432,EF!$D$116:$D$131,0))*kgtoGg</f>
        <v>3.1998524983205496</v>
      </c>
      <c r="W1432" s="22">
        <f>INDEX('Net zero Activity data'!AP$24:AP$39,MATCH('Net zero emission reductions'!$G1432,'Net zero Activity data'!$D$24:$D$39,0))*INDEX(EF!$H$84:$H$99,MATCH('Net zero emission reductions'!$G1432,EF!$D$84:$D$99,0))*INDEX(EF!$H$100:$H$115,MATCH('Net zero emission reductions'!$G1432,EF!$D$100:$D$115,0))*INDEX(EF!$H$116:$H$131,MATCH('Net zero emission reductions'!$G1432,EF!$D$116:$D$131,0))*kgtoGg</f>
        <v>3.2134491376782566</v>
      </c>
      <c r="X1432" s="22">
        <f>INDEX('Net zero Activity data'!AQ$24:AQ$39,MATCH('Net zero emission reductions'!$G1432,'Net zero Activity data'!$D$24:$D$39,0))*INDEX(EF!$H$84:$H$99,MATCH('Net zero emission reductions'!$G1432,EF!$D$84:$D$99,0))*INDEX(EF!$H$100:$H$115,MATCH('Net zero emission reductions'!$G1432,EF!$D$100:$D$115,0))*INDEX(EF!$H$116:$H$131,MATCH('Net zero emission reductions'!$G1432,EF!$D$116:$D$131,0))*kgtoGg</f>
        <v>3.2270457770359631</v>
      </c>
      <c r="Y1432" s="22">
        <f>INDEX('Net zero Activity data'!AR$24:AR$39,MATCH('Net zero emission reductions'!$G1432,'Net zero Activity data'!$D$24:$D$39,0))*INDEX(EF!$H$84:$H$99,MATCH('Net zero emission reductions'!$G1432,EF!$D$84:$D$99,0))*INDEX(EF!$H$100:$H$115,MATCH('Net zero emission reductions'!$G1432,EF!$D$100:$D$115,0))*INDEX(EF!$H$116:$H$131,MATCH('Net zero emission reductions'!$G1432,EF!$D$116:$D$131,0))*kgtoGg</f>
        <v>3.24064241639367</v>
      </c>
      <c r="Z1432" s="22">
        <f>INDEX('Net zero Activity data'!AS$24:AS$39,MATCH('Net zero emission reductions'!$G1432,'Net zero Activity data'!$D$24:$D$39,0))*INDEX(EF!$H$84:$H$99,MATCH('Net zero emission reductions'!$G1432,EF!$D$84:$D$99,0))*INDEX(EF!$H$100:$H$115,MATCH('Net zero emission reductions'!$G1432,EF!$D$100:$D$115,0))*INDEX(EF!$H$116:$H$131,MATCH('Net zero emission reductions'!$G1432,EF!$D$116:$D$131,0))*kgtoGg</f>
        <v>3.2542390557513761</v>
      </c>
      <c r="AA1432" s="22">
        <f>INDEX('Net zero Activity data'!AT$24:AT$39,MATCH('Net zero emission reductions'!$G1432,'Net zero Activity data'!$D$24:$D$39,0))*INDEX(EF!$H$84:$H$99,MATCH('Net zero emission reductions'!$G1432,EF!$D$84:$D$99,0))*INDEX(EF!$H$100:$H$115,MATCH('Net zero emission reductions'!$G1432,EF!$D$100:$D$115,0))*INDEX(EF!$H$116:$H$131,MATCH('Net zero emission reductions'!$G1432,EF!$D$116:$D$131,0))*kgtoGg</f>
        <v>3.267835695109083</v>
      </c>
      <c r="AB1432" s="22">
        <f>INDEX('Net zero Activity data'!AU$24:AU$39,MATCH('Net zero emission reductions'!$G1432,'Net zero Activity data'!$D$24:$D$39,0))*INDEX(EF!$H$84:$H$99,MATCH('Net zero emission reductions'!$G1432,EF!$D$84:$D$99,0))*INDEX(EF!$H$100:$H$115,MATCH('Net zero emission reductions'!$G1432,EF!$D$100:$D$115,0))*INDEX(EF!$H$116:$H$131,MATCH('Net zero emission reductions'!$G1432,EF!$D$116:$D$131,0))*kgtoGg</f>
        <v>3.2814323344667895</v>
      </c>
      <c r="AC1432" s="22">
        <f>INDEX('Net zero Activity data'!AV$24:AV$39,MATCH('Net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D1432" s="22">
        <f>INDEX('Net zero Activity data'!AW$24:AW$39,MATCH('Net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E1432" s="22">
        <f>INDEX('Net zero Activity data'!AX$24:AX$39,MATCH('Net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F1432" s="22">
        <f>INDEX('Net zero Activity data'!AY$24:AY$39,MATCH('Net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G1432" s="22">
        <f>INDEX('Net zero Activity data'!AZ$24:AZ$39,MATCH('Net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H1432" s="22">
        <f>INDEX('Net zero Activity data'!BA$24:BA$39,MATCH('Net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I1432" s="22">
        <f>INDEX('Net zero Activity data'!BB$24:BB$39,MATCH('Net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J1432" s="22">
        <f>INDEX('Net zero Activity data'!BC$24:BC$39,MATCH('Net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K1432" s="22">
        <f>INDEX('Net zero Activity data'!BD$24:BD$39,MATCH('Net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L1432" s="22">
        <f>INDEX('Net zero Activity data'!BE$24:BE$39,MATCH('Net zero emission reductions'!$G1432,'Net zero Activity data'!$D$24:$D$39,0))*INDEX(EF!$H$84:$H$99,MATCH('Net zero emission reductions'!$G1432,EF!$D$84:$D$99,0))*INDEX(EF!$H$100:$H$115,MATCH('Net zero emission reductions'!$G1432,EF!$D$100:$D$115,0))*INDEX(EF!$H$116:$H$131,MATCH('Net zero emission reductions'!$G1432,EF!$D$116:$D$131,0))*kgtoGg</f>
        <v>3.2814323344667895</v>
      </c>
      <c r="AM1432" s="22">
        <f>INDEX('Net zero Activity data'!BF$24:BF$39,MATCH('Net zero emission reductions'!$G1432,'Net zero Activity data'!$D$24:$D$39,0))*INDEX(EF!$H$84:$H$99,MATCH('Net zero emission reductions'!$G1432,EF!$D$84:$D$99,0))*INDEX(EF!$H$100:$H$115,MATCH('Net zero emission reductions'!$G1432,EF!$D$100:$D$115,0))*INDEX(EF!$H$116:$H$131,MATCH('Net zero emission reductions'!$G1432,EF!$D$116:$D$131,0))*kgtoGg</f>
        <v>3.267835695109083</v>
      </c>
      <c r="AN1432" s="22">
        <f>INDEX('Net zero Activity data'!BG$24:BG$39,MATCH('Net zero emission reductions'!$G1432,'Net zero Activity data'!$D$24:$D$39,0))*INDEX(EF!$H$84:$H$99,MATCH('Net zero emission reductions'!$G1432,EF!$D$84:$D$99,0))*INDEX(EF!$H$100:$H$115,MATCH('Net zero emission reductions'!$G1432,EF!$D$100:$D$115,0))*INDEX(EF!$H$116:$H$131,MATCH('Net zero emission reductions'!$G1432,EF!$D$116:$D$131,0))*kgtoGg</f>
        <v>3.2542390557513761</v>
      </c>
      <c r="AO1432" s="22">
        <f>INDEX('Net zero Activity data'!BH$24:BH$39,MATCH('Net zero emission reductions'!$G1432,'Net zero Activity data'!$D$24:$D$39,0))*INDEX(EF!$H$84:$H$99,MATCH('Net zero emission reductions'!$G1432,EF!$D$84:$D$99,0))*INDEX(EF!$H$100:$H$115,MATCH('Net zero emission reductions'!$G1432,EF!$D$100:$D$115,0))*INDEX(EF!$H$116:$H$131,MATCH('Net zero emission reductions'!$G1432,EF!$D$116:$D$131,0))*kgtoGg</f>
        <v>3.24064241639367</v>
      </c>
      <c r="AP1432" s="22">
        <f>INDEX('Net zero Activity data'!BI$24:BI$39,MATCH('Net zero emission reductions'!$G1432,'Net zero Activity data'!$D$24:$D$39,0))*INDEX(EF!$H$84:$H$99,MATCH('Net zero emission reductions'!$G1432,EF!$D$84:$D$99,0))*INDEX(EF!$H$100:$H$115,MATCH('Net zero emission reductions'!$G1432,EF!$D$100:$D$115,0))*INDEX(EF!$H$116:$H$131,MATCH('Net zero emission reductions'!$G1432,EF!$D$116:$D$131,0))*kgtoGg</f>
        <v>3.2270457770359631</v>
      </c>
      <c r="AQ1432" s="22">
        <f>INDEX('Net zero Activity data'!BJ$24:BJ$39,MATCH('Net zero emission reductions'!$G1432,'Net zero Activity data'!$D$24:$D$39,0))*INDEX(EF!$H$84:$H$99,MATCH('Net zero emission reductions'!$G1432,EF!$D$84:$D$99,0))*INDEX(EF!$H$100:$H$115,MATCH('Net zero emission reductions'!$G1432,EF!$D$100:$D$115,0))*INDEX(EF!$H$116:$H$131,MATCH('Net zero emission reductions'!$G1432,EF!$D$116:$D$131,0))*kgtoGg</f>
        <v>3.2134491376782566</v>
      </c>
      <c r="AR1432" s="22">
        <f>INDEX('Net zero Activity data'!BK$24:BK$39,MATCH('Net zero emission reductions'!$G1432,'Net zero Activity data'!$D$24:$D$39,0))*INDEX(EF!$H$84:$H$99,MATCH('Net zero emission reductions'!$G1432,EF!$D$84:$D$99,0))*INDEX(EF!$H$100:$H$115,MATCH('Net zero emission reductions'!$G1432,EF!$D$100:$D$115,0))*INDEX(EF!$H$116:$H$131,MATCH('Net zero emission reductions'!$G1432,EF!$D$116:$D$131,0))*kgtoGg</f>
        <v>3.1998524983205496</v>
      </c>
      <c r="AS1432" s="22">
        <f>INDEX('Net zero Activity data'!BL$24:BL$39,MATCH('Net zero emission reductions'!$G1432,'Net zero Activity data'!$D$24:$D$39,0))*INDEX(EF!$H$84:$H$99,MATCH('Net zero emission reductions'!$G1432,EF!$D$84:$D$99,0))*INDEX(EF!$H$100:$H$115,MATCH('Net zero emission reductions'!$G1432,EF!$D$100:$D$115,0))*INDEX(EF!$H$116:$H$131,MATCH('Net zero emission reductions'!$G1432,EF!$D$116:$D$131,0))*kgtoGg</f>
        <v>3.1862558589628427</v>
      </c>
      <c r="AT1432" s="22">
        <f>INDEX('Net zero Activity data'!BM$24:BM$39,MATCH('Net zero emission reductions'!$G1432,'Net zero Activity data'!$D$24:$D$39,0))*INDEX(EF!$H$84:$H$99,MATCH('Net zero emission reductions'!$G1432,EF!$D$84:$D$99,0))*INDEX(EF!$H$100:$H$115,MATCH('Net zero emission reductions'!$G1432,EF!$D$100:$D$115,0))*INDEX(EF!$H$116:$H$131,MATCH('Net zero emission reductions'!$G1432,EF!$D$116:$D$131,0))*kgtoGg</f>
        <v>3.1726592196051362</v>
      </c>
      <c r="AU1432" s="22">
        <f>INDEX('Net zero Activity data'!BN$24:BN$39,MATCH('Net zero emission reductions'!$G1432,'Net zero Activity data'!$D$24:$D$39,0))*INDEX(EF!$H$84:$H$99,MATCH('Net zero emission reductions'!$G1432,EF!$D$84:$D$99,0))*INDEX(EF!$H$100:$H$115,MATCH('Net zero emission reductions'!$G1432,EF!$D$100:$D$115,0))*INDEX(EF!$H$116:$H$131,MATCH('Net zero emission reductions'!$G1432,EF!$D$116:$D$131,0))*kgtoGg</f>
        <v>3.1590625802474293</v>
      </c>
      <c r="AV1432" s="22">
        <f>INDEX('Net zero Activity data'!BO$24:BO$39,MATCH('Net zero emission reductions'!$G1432,'Net zero Activity data'!$D$24:$D$39,0))*INDEX(EF!$H$84:$H$99,MATCH('Net zero emission reductions'!$G1432,EF!$D$84:$D$99,0))*INDEX(EF!$H$100:$H$115,MATCH('Net zero emission reductions'!$G1432,EF!$D$100:$D$115,0))*INDEX(EF!$H$116:$H$131,MATCH('Net zero emission reductions'!$G1432,EF!$D$116:$D$131,0))*kgtoGg</f>
        <v>3.1454659408897232</v>
      </c>
      <c r="AW1432" s="22">
        <f>INDEX('Net zero Activity data'!BP$24:BP$39,MATCH('Net zero emission reductions'!$G1432,'Net zero Activity data'!$D$24:$D$39,0))*INDEX(EF!$H$84:$H$99,MATCH('Net zero emission reductions'!$G1432,EF!$D$84:$D$99,0))*INDEX(EF!$H$100:$H$115,MATCH('Net zero emission reductions'!$G1432,EF!$D$100:$D$115,0))*INDEX(EF!$H$116:$H$131,MATCH('Net zero emission reductions'!$G1432,EF!$D$116:$D$131,0))*kgtoGg</f>
        <v>3.1318693015320158</v>
      </c>
    </row>
    <row r="1433" spans="1:49" x14ac:dyDescent="0.25">
      <c r="A1433" s="102" t="s">
        <v>961</v>
      </c>
      <c r="B1433" s="102"/>
      <c r="C1433" s="102"/>
      <c r="D1433" t="str">
        <f t="shared" si="555"/>
        <v>3C Aggregated and non-CO2 emissions on land</v>
      </c>
      <c r="E1433" t="str">
        <f t="shared" si="554"/>
        <v>3C1 Biomass burning (CH4)</v>
      </c>
      <c r="F1433" t="str">
        <f>'IPCC Categories'!C60</f>
        <v>3C1b Biomass burning in Croplands</v>
      </c>
      <c r="G1433" t="str">
        <f>EF!D88</f>
        <v>Annual non-pivot</v>
      </c>
      <c r="H1433" t="s">
        <v>645</v>
      </c>
      <c r="I1433" t="str">
        <f t="shared" si="556"/>
        <v>CH4</v>
      </c>
      <c r="J1433" t="str">
        <f t="shared" si="556"/>
        <v>Gg CH4</v>
      </c>
      <c r="K1433" s="22">
        <f>INDEX('Net zero Activity data'!AD$24:AD$39,MATCH('Net zero emission reductions'!$G1433,'Net zero Activity data'!$D$24:$D$39,0))*INDEX(EF!$H$84:$H$99,MATCH('Net zero emission reductions'!$G1433,EF!$D$84:$D$99,0))*INDEX(EF!$H$100:$H$115,MATCH('Net zero emission reductions'!$G1433,EF!$D$100:$D$115,0))*INDEX(EF!$H$116:$H$131,MATCH('Net zero emission reductions'!$G1433,EF!$D$116:$D$131,0))*kgtoGg</f>
        <v>6.2297189589909543</v>
      </c>
      <c r="L1433" s="22">
        <f>INDEX('Net zero Activity data'!AE$24:AE$39,MATCH('Net zero emission reductions'!$G1433,'Net zero Activity data'!$D$24:$D$39,0))*INDEX(EF!$H$84:$H$99,MATCH('Net zero emission reductions'!$G1433,EF!$D$84:$D$99,0))*INDEX(EF!$H$100:$H$115,MATCH('Net zero emission reductions'!$G1433,EF!$D$100:$D$115,0))*INDEX(EF!$H$116:$H$131,MATCH('Net zero emission reductions'!$G1433,EF!$D$116:$D$131,0))*kgtoGg</f>
        <v>6.2126409419483526</v>
      </c>
      <c r="M1433" s="22">
        <f>INDEX('Net zero Activity data'!AF$24:AF$39,MATCH('Net zero emission reductions'!$G1433,'Net zero Activity data'!$D$24:$D$39,0))*INDEX(EF!$H$84:$H$99,MATCH('Net zero emission reductions'!$G1433,EF!$D$84:$D$99,0))*INDEX(EF!$H$100:$H$115,MATCH('Net zero emission reductions'!$G1433,EF!$D$100:$D$115,0))*INDEX(EF!$H$116:$H$131,MATCH('Net zero emission reductions'!$G1433,EF!$D$116:$D$131,0))*kgtoGg</f>
        <v>6.1955629249057527</v>
      </c>
      <c r="N1433" s="22">
        <f>INDEX('Net zero Activity data'!AG$24:AG$39,MATCH('Net zero emission reductions'!$G1433,'Net zero Activity data'!$D$24:$D$39,0))*INDEX(EF!$H$84:$H$99,MATCH('Net zero emission reductions'!$G1433,EF!$D$84:$D$99,0))*INDEX(EF!$H$100:$H$115,MATCH('Net zero emission reductions'!$G1433,EF!$D$100:$D$115,0))*INDEX(EF!$H$116:$H$131,MATCH('Net zero emission reductions'!$G1433,EF!$D$116:$D$131,0))*kgtoGg</f>
        <v>6.1784849078631501</v>
      </c>
      <c r="O1433" s="22">
        <f>INDEX('Net zero Activity data'!AH$24:AH$39,MATCH('Net zero emission reductions'!$G1433,'Net zero Activity data'!$D$24:$D$39,0))*INDEX(EF!$H$84:$H$99,MATCH('Net zero emission reductions'!$G1433,EF!$D$84:$D$99,0))*INDEX(EF!$H$100:$H$115,MATCH('Net zero emission reductions'!$G1433,EF!$D$100:$D$115,0))*INDEX(EF!$H$116:$H$131,MATCH('Net zero emission reductions'!$G1433,EF!$D$116:$D$131,0))*kgtoGg</f>
        <v>6.1614068908205484</v>
      </c>
      <c r="P1433" s="22">
        <f>INDEX('Net zero Activity data'!AI$24:AI$39,MATCH('Net zero emission reductions'!$G1433,'Net zero Activity data'!$D$24:$D$39,0))*INDEX(EF!$H$84:$H$99,MATCH('Net zero emission reductions'!$G1433,EF!$D$84:$D$99,0))*INDEX(EF!$H$100:$H$115,MATCH('Net zero emission reductions'!$G1433,EF!$D$100:$D$115,0))*INDEX(EF!$H$116:$H$131,MATCH('Net zero emission reductions'!$G1433,EF!$D$116:$D$131,0))*kgtoGg</f>
        <v>6.1443288737779493</v>
      </c>
      <c r="Q1433" s="22">
        <f>INDEX('Net zero Activity data'!AJ$24:AJ$39,MATCH('Net zero emission reductions'!$G1433,'Net zero Activity data'!$D$24:$D$39,0))*INDEX(EF!$H$84:$H$99,MATCH('Net zero emission reductions'!$G1433,EF!$D$84:$D$99,0))*INDEX(EF!$H$100:$H$115,MATCH('Net zero emission reductions'!$G1433,EF!$D$100:$D$115,0))*INDEX(EF!$H$116:$H$131,MATCH('Net zero emission reductions'!$G1433,EF!$D$116:$D$131,0))*kgtoGg</f>
        <v>6.1272508567353459</v>
      </c>
      <c r="R1433" s="22">
        <f>INDEX('Net zero Activity data'!AK$24:AK$39,MATCH('Net zero emission reductions'!$G1433,'Net zero Activity data'!$D$24:$D$39,0))*INDEX(EF!$H$84:$H$99,MATCH('Net zero emission reductions'!$G1433,EF!$D$84:$D$99,0))*INDEX(EF!$H$100:$H$115,MATCH('Net zero emission reductions'!$G1433,EF!$D$100:$D$115,0))*INDEX(EF!$H$116:$H$131,MATCH('Net zero emission reductions'!$G1433,EF!$D$116:$D$131,0))*kgtoGg</f>
        <v>6.1101728396927459</v>
      </c>
      <c r="S1433" s="22">
        <f>INDEX('Net zero Activity data'!AL$24:AL$39,MATCH('Net zero emission reductions'!$G1433,'Net zero Activity data'!$D$24:$D$39,0))*INDEX(EF!$H$84:$H$99,MATCH('Net zero emission reductions'!$G1433,EF!$D$84:$D$99,0))*INDEX(EF!$H$100:$H$115,MATCH('Net zero emission reductions'!$G1433,EF!$D$100:$D$115,0))*INDEX(EF!$H$116:$H$131,MATCH('Net zero emission reductions'!$G1433,EF!$D$116:$D$131,0))*kgtoGg</f>
        <v>6.0930948226501442</v>
      </c>
      <c r="T1433" s="22">
        <f>INDEX('Net zero Activity data'!AM$24:AM$39,MATCH('Net zero emission reductions'!$G1433,'Net zero Activity data'!$D$24:$D$39,0))*INDEX(EF!$H$84:$H$99,MATCH('Net zero emission reductions'!$G1433,EF!$D$84:$D$99,0))*INDEX(EF!$H$100:$H$115,MATCH('Net zero emission reductions'!$G1433,EF!$D$100:$D$115,0))*INDEX(EF!$H$116:$H$131,MATCH('Net zero emission reductions'!$G1433,EF!$D$116:$D$131,0))*kgtoGg</f>
        <v>6.0760168056075434</v>
      </c>
      <c r="U1433" s="22">
        <f>INDEX('Net zero Activity data'!AN$24:AN$39,MATCH('Net zero emission reductions'!$G1433,'Net zero Activity data'!$D$24:$D$39,0))*INDEX(EF!$H$84:$H$99,MATCH('Net zero emission reductions'!$G1433,EF!$D$84:$D$99,0))*INDEX(EF!$H$100:$H$115,MATCH('Net zero emission reductions'!$G1433,EF!$D$100:$D$115,0))*INDEX(EF!$H$116:$H$131,MATCH('Net zero emission reductions'!$G1433,EF!$D$116:$D$131,0))*kgtoGg</f>
        <v>6.0589387885649417</v>
      </c>
      <c r="V1433" s="22">
        <f>INDEX('Net zero Activity data'!AO$24:AO$39,MATCH('Net zero emission reductions'!$G1433,'Net zero Activity data'!$D$24:$D$39,0))*INDEX(EF!$H$84:$H$99,MATCH('Net zero emission reductions'!$G1433,EF!$D$84:$D$99,0))*INDEX(EF!$H$100:$H$115,MATCH('Net zero emission reductions'!$G1433,EF!$D$100:$D$115,0))*INDEX(EF!$H$116:$H$131,MATCH('Net zero emission reductions'!$G1433,EF!$D$116:$D$131,0))*kgtoGg</f>
        <v>6.04186077152234</v>
      </c>
      <c r="W1433" s="22">
        <f>INDEX('Net zero Activity data'!AP$24:AP$39,MATCH('Net zero emission reductions'!$G1433,'Net zero Activity data'!$D$24:$D$39,0))*INDEX(EF!$H$84:$H$99,MATCH('Net zero emission reductions'!$G1433,EF!$D$84:$D$99,0))*INDEX(EF!$H$100:$H$115,MATCH('Net zero emission reductions'!$G1433,EF!$D$100:$D$115,0))*INDEX(EF!$H$116:$H$131,MATCH('Net zero emission reductions'!$G1433,EF!$D$116:$D$131,0))*kgtoGg</f>
        <v>6.0247827544797383</v>
      </c>
      <c r="X1433" s="22">
        <f>INDEX('Net zero Activity data'!AQ$24:AQ$39,MATCH('Net zero emission reductions'!$G1433,'Net zero Activity data'!$D$24:$D$39,0))*INDEX(EF!$H$84:$H$99,MATCH('Net zero emission reductions'!$G1433,EF!$D$84:$D$99,0))*INDEX(EF!$H$100:$H$115,MATCH('Net zero emission reductions'!$G1433,EF!$D$100:$D$115,0))*INDEX(EF!$H$116:$H$131,MATCH('Net zero emission reductions'!$G1433,EF!$D$116:$D$131,0))*kgtoGg</f>
        <v>6.0077047374371375</v>
      </c>
      <c r="Y1433" s="22">
        <f>INDEX('Net zero Activity data'!AR$24:AR$39,MATCH('Net zero emission reductions'!$G1433,'Net zero Activity data'!$D$24:$D$39,0))*INDEX(EF!$H$84:$H$99,MATCH('Net zero emission reductions'!$G1433,EF!$D$84:$D$99,0))*INDEX(EF!$H$100:$H$115,MATCH('Net zero emission reductions'!$G1433,EF!$D$100:$D$115,0))*INDEX(EF!$H$116:$H$131,MATCH('Net zero emission reductions'!$G1433,EF!$D$116:$D$131,0))*kgtoGg</f>
        <v>5.9906267203945358</v>
      </c>
      <c r="Z1433" s="22">
        <f>INDEX('Net zero Activity data'!AS$24:AS$39,MATCH('Net zero emission reductions'!$G1433,'Net zero Activity data'!$D$24:$D$39,0))*INDEX(EF!$H$84:$H$99,MATCH('Net zero emission reductions'!$G1433,EF!$D$84:$D$99,0))*INDEX(EF!$H$100:$H$115,MATCH('Net zero emission reductions'!$G1433,EF!$D$100:$D$115,0))*INDEX(EF!$H$116:$H$131,MATCH('Net zero emission reductions'!$G1433,EF!$D$116:$D$131,0))*kgtoGg</f>
        <v>5.9735487033519359</v>
      </c>
      <c r="AA1433" s="22">
        <f>INDEX('Net zero Activity data'!AT$24:AT$39,MATCH('Net zero emission reductions'!$G1433,'Net zero Activity data'!$D$24:$D$39,0))*INDEX(EF!$H$84:$H$99,MATCH('Net zero emission reductions'!$G1433,EF!$D$84:$D$99,0))*INDEX(EF!$H$100:$H$115,MATCH('Net zero emission reductions'!$G1433,EF!$D$100:$D$115,0))*INDEX(EF!$H$116:$H$131,MATCH('Net zero emission reductions'!$G1433,EF!$D$116:$D$131,0))*kgtoGg</f>
        <v>5.9564706863093333</v>
      </c>
      <c r="AB1433" s="22">
        <f>INDEX('Net zero Activity data'!AU$24:AU$39,MATCH('Net zero emission reductions'!$G1433,'Net zero Activity data'!$D$24:$D$39,0))*INDEX(EF!$H$84:$H$99,MATCH('Net zero emission reductions'!$G1433,EF!$D$84:$D$99,0))*INDEX(EF!$H$100:$H$115,MATCH('Net zero emission reductions'!$G1433,EF!$D$100:$D$115,0))*INDEX(EF!$H$116:$H$131,MATCH('Net zero emission reductions'!$G1433,EF!$D$116:$D$131,0))*kgtoGg</f>
        <v>5.9393926692667334</v>
      </c>
      <c r="AC1433" s="22">
        <f>INDEX('Net zero Activity data'!AV$24:AV$39,MATCH('Net zero emission reductions'!$G1433,'Net zero Activity data'!$D$24:$D$39,0))*INDEX(EF!$H$84:$H$99,MATCH('Net zero emission reductions'!$G1433,EF!$D$84:$D$99,0))*INDEX(EF!$H$100:$H$115,MATCH('Net zero emission reductions'!$G1433,EF!$D$100:$D$115,0))*INDEX(EF!$H$116:$H$131,MATCH('Net zero emission reductions'!$G1433,EF!$D$116:$D$131,0))*kgtoGg</f>
        <v>5.9223146522241317</v>
      </c>
      <c r="AD1433" s="22">
        <f>INDEX('Net zero Activity data'!AW$24:AW$39,MATCH('Net zero emission reductions'!$G1433,'Net zero Activity data'!$D$24:$D$39,0))*INDEX(EF!$H$84:$H$99,MATCH('Net zero emission reductions'!$G1433,EF!$D$84:$D$99,0))*INDEX(EF!$H$100:$H$115,MATCH('Net zero emission reductions'!$G1433,EF!$D$100:$D$115,0))*INDEX(EF!$H$116:$H$131,MATCH('Net zero emission reductions'!$G1433,EF!$D$116:$D$131,0))*kgtoGg</f>
        <v>5.90523663518153</v>
      </c>
      <c r="AE1433" s="22">
        <f>INDEX('Net zero Activity data'!AX$24:AX$39,MATCH('Net zero emission reductions'!$G1433,'Net zero Activity data'!$D$24:$D$39,0))*INDEX(EF!$H$84:$H$99,MATCH('Net zero emission reductions'!$G1433,EF!$D$84:$D$99,0))*INDEX(EF!$H$100:$H$115,MATCH('Net zero emission reductions'!$G1433,EF!$D$100:$D$115,0))*INDEX(EF!$H$116:$H$131,MATCH('Net zero emission reductions'!$G1433,EF!$D$116:$D$131,0))*kgtoGg</f>
        <v>5.8881586181389283</v>
      </c>
      <c r="AF1433" s="22">
        <f>INDEX('Net zero Activity data'!AY$24:AY$39,MATCH('Net zero emission reductions'!$G1433,'Net zero Activity data'!$D$24:$D$39,0))*INDEX(EF!$H$84:$H$99,MATCH('Net zero emission reductions'!$G1433,EF!$D$84:$D$99,0))*INDEX(EF!$H$100:$H$115,MATCH('Net zero emission reductions'!$G1433,EF!$D$100:$D$115,0))*INDEX(EF!$H$116:$H$131,MATCH('Net zero emission reductions'!$G1433,EF!$D$116:$D$131,0))*kgtoGg</f>
        <v>5.8710806010963275</v>
      </c>
      <c r="AG1433" s="22">
        <f>INDEX('Net zero Activity data'!AZ$24:AZ$39,MATCH('Net zero emission reductions'!$G1433,'Net zero Activity data'!$D$24:$D$39,0))*INDEX(EF!$H$84:$H$99,MATCH('Net zero emission reductions'!$G1433,EF!$D$84:$D$99,0))*INDEX(EF!$H$100:$H$115,MATCH('Net zero emission reductions'!$G1433,EF!$D$100:$D$115,0))*INDEX(EF!$H$116:$H$131,MATCH('Net zero emission reductions'!$G1433,EF!$D$116:$D$131,0))*kgtoGg</f>
        <v>5.8540025840537266</v>
      </c>
      <c r="AH1433" s="22">
        <f>INDEX('Net zero Activity data'!BA$24:BA$39,MATCH('Net zero emission reductions'!$G1433,'Net zero Activity data'!$D$24:$D$39,0))*INDEX(EF!$H$84:$H$99,MATCH('Net zero emission reductions'!$G1433,EF!$D$84:$D$99,0))*INDEX(EF!$H$100:$H$115,MATCH('Net zero emission reductions'!$G1433,EF!$D$100:$D$115,0))*INDEX(EF!$H$116:$H$131,MATCH('Net zero emission reductions'!$G1433,EF!$D$116:$D$131,0))*kgtoGg</f>
        <v>5.8369245670111249</v>
      </c>
      <c r="AI1433" s="22">
        <f>INDEX('Net zero Activity data'!BB$24:BB$39,MATCH('Net zero emission reductions'!$G1433,'Net zero Activity data'!$D$24:$D$39,0))*INDEX(EF!$H$84:$H$99,MATCH('Net zero emission reductions'!$G1433,EF!$D$84:$D$99,0))*INDEX(EF!$H$100:$H$115,MATCH('Net zero emission reductions'!$G1433,EF!$D$100:$D$115,0))*INDEX(EF!$H$116:$H$131,MATCH('Net zero emission reductions'!$G1433,EF!$D$116:$D$131,0))*kgtoGg</f>
        <v>5.8198465499685241</v>
      </c>
      <c r="AJ1433" s="22">
        <f>INDEX('Net zero Activity data'!BC$24:BC$39,MATCH('Net zero emission reductions'!$G1433,'Net zero Activity data'!$D$24:$D$39,0))*INDEX(EF!$H$84:$H$99,MATCH('Net zero emission reductions'!$G1433,EF!$D$84:$D$99,0))*INDEX(EF!$H$100:$H$115,MATCH('Net zero emission reductions'!$G1433,EF!$D$100:$D$115,0))*INDEX(EF!$H$116:$H$131,MATCH('Net zero emission reductions'!$G1433,EF!$D$116:$D$131,0))*kgtoGg</f>
        <v>5.8027685329259224</v>
      </c>
      <c r="AK1433" s="22">
        <f>INDEX('Net zero Activity data'!BD$24:BD$39,MATCH('Net zero emission reductions'!$G1433,'Net zero Activity data'!$D$24:$D$39,0))*INDEX(EF!$H$84:$H$99,MATCH('Net zero emission reductions'!$G1433,EF!$D$84:$D$99,0))*INDEX(EF!$H$100:$H$115,MATCH('Net zero emission reductions'!$G1433,EF!$D$100:$D$115,0))*INDEX(EF!$H$116:$H$131,MATCH('Net zero emission reductions'!$G1433,EF!$D$116:$D$131,0))*kgtoGg</f>
        <v>5.7856905158833216</v>
      </c>
      <c r="AL1433" s="22">
        <f>INDEX('Net zero Activity data'!BE$24:BE$39,MATCH('Net zero emission reductions'!$G1433,'Net zero Activity data'!$D$24:$D$39,0))*INDEX(EF!$H$84:$H$99,MATCH('Net zero emission reductions'!$G1433,EF!$D$84:$D$99,0))*INDEX(EF!$H$100:$H$115,MATCH('Net zero emission reductions'!$G1433,EF!$D$100:$D$115,0))*INDEX(EF!$H$116:$H$131,MATCH('Net zero emission reductions'!$G1433,EF!$D$116:$D$131,0))*kgtoGg</f>
        <v>5.7686124988407199</v>
      </c>
      <c r="AM1433" s="22">
        <f>INDEX('Net zero Activity data'!BF$24:BF$39,MATCH('Net zero emission reductions'!$G1433,'Net zero Activity data'!$D$24:$D$39,0))*INDEX(EF!$H$84:$H$99,MATCH('Net zero emission reductions'!$G1433,EF!$D$84:$D$99,0))*INDEX(EF!$H$100:$H$115,MATCH('Net zero emission reductions'!$G1433,EF!$D$100:$D$115,0))*INDEX(EF!$H$116:$H$131,MATCH('Net zero emission reductions'!$G1433,EF!$D$116:$D$131,0))*kgtoGg</f>
        <v>5.7515344817981173</v>
      </c>
      <c r="AN1433" s="22">
        <f>INDEX('Net zero Activity data'!BG$24:BG$39,MATCH('Net zero emission reductions'!$G1433,'Net zero Activity data'!$D$24:$D$39,0))*INDEX(EF!$H$84:$H$99,MATCH('Net zero emission reductions'!$G1433,EF!$D$84:$D$99,0))*INDEX(EF!$H$100:$H$115,MATCH('Net zero emission reductions'!$G1433,EF!$D$100:$D$115,0))*INDEX(EF!$H$116:$H$131,MATCH('Net zero emission reductions'!$G1433,EF!$D$116:$D$131,0))*kgtoGg</f>
        <v>5.7344564647555183</v>
      </c>
      <c r="AO1433" s="22">
        <f>INDEX('Net zero Activity data'!BH$24:BH$39,MATCH('Net zero emission reductions'!$G1433,'Net zero Activity data'!$D$24:$D$39,0))*INDEX(EF!$H$84:$H$99,MATCH('Net zero emission reductions'!$G1433,EF!$D$84:$D$99,0))*INDEX(EF!$H$100:$H$115,MATCH('Net zero emission reductions'!$G1433,EF!$D$100:$D$115,0))*INDEX(EF!$H$116:$H$131,MATCH('Net zero emission reductions'!$G1433,EF!$D$116:$D$131,0))*kgtoGg</f>
        <v>5.7173784477129166</v>
      </c>
      <c r="AP1433" s="22">
        <f>INDEX('Net zero Activity data'!BI$24:BI$39,MATCH('Net zero emission reductions'!$G1433,'Net zero Activity data'!$D$24:$D$39,0))*INDEX(EF!$H$84:$H$99,MATCH('Net zero emission reductions'!$G1433,EF!$D$84:$D$99,0))*INDEX(EF!$H$100:$H$115,MATCH('Net zero emission reductions'!$G1433,EF!$D$100:$D$115,0))*INDEX(EF!$H$116:$H$131,MATCH('Net zero emission reductions'!$G1433,EF!$D$116:$D$131,0))*kgtoGg</f>
        <v>5.7003004306703149</v>
      </c>
      <c r="AQ1433" s="22">
        <f>INDEX('Net zero Activity data'!BJ$24:BJ$39,MATCH('Net zero emission reductions'!$G1433,'Net zero Activity data'!$D$24:$D$39,0))*INDEX(EF!$H$84:$H$99,MATCH('Net zero emission reductions'!$G1433,EF!$D$84:$D$99,0))*INDEX(EF!$H$100:$H$115,MATCH('Net zero emission reductions'!$G1433,EF!$D$100:$D$115,0))*INDEX(EF!$H$116:$H$131,MATCH('Net zero emission reductions'!$G1433,EF!$D$116:$D$131,0))*kgtoGg</f>
        <v>5.6832224136277141</v>
      </c>
      <c r="AR1433" s="22">
        <f>INDEX('Net zero Activity data'!BK$24:BK$39,MATCH('Net zero emission reductions'!$G1433,'Net zero Activity data'!$D$24:$D$39,0))*INDEX(EF!$H$84:$H$99,MATCH('Net zero emission reductions'!$G1433,EF!$D$84:$D$99,0))*INDEX(EF!$H$100:$H$115,MATCH('Net zero emission reductions'!$G1433,EF!$D$100:$D$115,0))*INDEX(EF!$H$116:$H$131,MATCH('Net zero emission reductions'!$G1433,EF!$D$116:$D$131,0))*kgtoGg</f>
        <v>5.6661443965851124</v>
      </c>
      <c r="AS1433" s="22">
        <f>INDEX('Net zero Activity data'!BL$24:BL$39,MATCH('Net zero emission reductions'!$G1433,'Net zero Activity data'!$D$24:$D$39,0))*INDEX(EF!$H$84:$H$99,MATCH('Net zero emission reductions'!$G1433,EF!$D$84:$D$99,0))*INDEX(EF!$H$100:$H$115,MATCH('Net zero emission reductions'!$G1433,EF!$D$100:$D$115,0))*INDEX(EF!$H$116:$H$131,MATCH('Net zero emission reductions'!$G1433,EF!$D$116:$D$131,0))*kgtoGg</f>
        <v>5.6490663795425107</v>
      </c>
      <c r="AT1433" s="22">
        <f>INDEX('Net zero Activity data'!BM$24:BM$39,MATCH('Net zero emission reductions'!$G1433,'Net zero Activity data'!$D$24:$D$39,0))*INDEX(EF!$H$84:$H$99,MATCH('Net zero emission reductions'!$G1433,EF!$D$84:$D$99,0))*INDEX(EF!$H$100:$H$115,MATCH('Net zero emission reductions'!$G1433,EF!$D$100:$D$115,0))*INDEX(EF!$H$116:$H$131,MATCH('Net zero emission reductions'!$G1433,EF!$D$116:$D$131,0))*kgtoGg</f>
        <v>5.631988362499909</v>
      </c>
      <c r="AU1433" s="22">
        <f>INDEX('Net zero Activity data'!BN$24:BN$39,MATCH('Net zero emission reductions'!$G1433,'Net zero Activity data'!$D$24:$D$39,0))*INDEX(EF!$H$84:$H$99,MATCH('Net zero emission reductions'!$G1433,EF!$D$84:$D$99,0))*INDEX(EF!$H$100:$H$115,MATCH('Net zero emission reductions'!$G1433,EF!$D$100:$D$115,0))*INDEX(EF!$H$116:$H$131,MATCH('Net zero emission reductions'!$G1433,EF!$D$116:$D$131,0))*kgtoGg</f>
        <v>5.614910345457309</v>
      </c>
      <c r="AV1433" s="22">
        <f>INDEX('Net zero Activity data'!BO$24:BO$39,MATCH('Net zero emission reductions'!$G1433,'Net zero Activity data'!$D$24:$D$39,0))*INDEX(EF!$H$84:$H$99,MATCH('Net zero emission reductions'!$G1433,EF!$D$84:$D$99,0))*INDEX(EF!$H$100:$H$115,MATCH('Net zero emission reductions'!$G1433,EF!$D$100:$D$115,0))*INDEX(EF!$H$116:$H$131,MATCH('Net zero emission reductions'!$G1433,EF!$D$116:$D$131,0))*kgtoGg</f>
        <v>5.5978323284147082</v>
      </c>
      <c r="AW1433" s="22">
        <f>INDEX('Net zero Activity data'!BP$24:BP$39,MATCH('Net zero emission reductions'!$G1433,'Net zero Activity data'!$D$24:$D$39,0))*INDEX(EF!$H$84:$H$99,MATCH('Net zero emission reductions'!$G1433,EF!$D$84:$D$99,0))*INDEX(EF!$H$100:$H$115,MATCH('Net zero emission reductions'!$G1433,EF!$D$100:$D$115,0))*INDEX(EF!$H$116:$H$131,MATCH('Net zero emission reductions'!$G1433,EF!$D$116:$D$131,0))*kgtoGg</f>
        <v>5.5807543113721056</v>
      </c>
    </row>
    <row r="1434" spans="1:49" x14ac:dyDescent="0.25">
      <c r="A1434" s="102" t="s">
        <v>961</v>
      </c>
      <c r="B1434" s="102"/>
      <c r="C1434" s="102"/>
      <c r="D1434" t="str">
        <f t="shared" si="555"/>
        <v>3C Aggregated and non-CO2 emissions on land</v>
      </c>
      <c r="E1434" t="str">
        <f t="shared" si="554"/>
        <v>3C1 Biomass burning (CH4)</v>
      </c>
      <c r="F1434" t="str">
        <f>F1433</f>
        <v>3C1b Biomass burning in Croplands</v>
      </c>
      <c r="G1434" t="str">
        <f>EF!D89</f>
        <v>Annual pivot</v>
      </c>
      <c r="H1434" t="s">
        <v>646</v>
      </c>
      <c r="I1434" t="str">
        <f t="shared" si="556"/>
        <v>CH4</v>
      </c>
      <c r="J1434" t="str">
        <f t="shared" si="556"/>
        <v>Gg CH4</v>
      </c>
      <c r="K1434" s="22">
        <f>INDEX('Net zero Activity data'!AD$24:AD$39,MATCH('Net zero emission reductions'!$G1434,'Net zero Activity data'!$D$24:$D$39,0))*INDEX(EF!$H$84:$H$99,MATCH('Net zero emission reductions'!$G1434,EF!$D$84:$D$99,0))*INDEX(EF!$H$100:$H$115,MATCH('Net zero emission reductions'!$G1434,EF!$D$100:$D$115,0))*INDEX(EF!$H$116:$H$131,MATCH('Net zero emission reductions'!$G1434,EF!$D$116:$D$131,0))*kgtoGg</f>
        <v>0.51545593822160218</v>
      </c>
      <c r="L1434" s="22">
        <f>INDEX('Net zero Activity data'!AE$24:AE$39,MATCH('Net zero emission reductions'!$G1434,'Net zero Activity data'!$D$24:$D$39,0))*INDEX(EF!$H$84:$H$99,MATCH('Net zero emission reductions'!$G1434,EF!$D$84:$D$99,0))*INDEX(EF!$H$100:$H$115,MATCH('Net zero emission reductions'!$G1434,EF!$D$100:$D$115,0))*INDEX(EF!$H$116:$H$131,MATCH('Net zero emission reductions'!$G1434,EF!$D$116:$D$131,0))*kgtoGg</f>
        <v>0.53112945404780765</v>
      </c>
      <c r="M1434" s="22">
        <f>INDEX('Net zero Activity data'!AF$24:AF$39,MATCH('Net zero emission reductions'!$G1434,'Net zero Activity data'!$D$24:$D$39,0))*INDEX(EF!$H$84:$H$99,MATCH('Net zero emission reductions'!$G1434,EF!$D$84:$D$99,0))*INDEX(EF!$H$100:$H$115,MATCH('Net zero emission reductions'!$G1434,EF!$D$100:$D$115,0))*INDEX(EF!$H$116:$H$131,MATCH('Net zero emission reductions'!$G1434,EF!$D$116:$D$131,0))*kgtoGg</f>
        <v>0.54680296987401311</v>
      </c>
      <c r="N1434" s="22">
        <f>INDEX('Net zero Activity data'!AG$24:AG$39,MATCH('Net zero emission reductions'!$G1434,'Net zero Activity data'!$D$24:$D$39,0))*INDEX(EF!$H$84:$H$99,MATCH('Net zero emission reductions'!$G1434,EF!$D$84:$D$99,0))*INDEX(EF!$H$100:$H$115,MATCH('Net zero emission reductions'!$G1434,EF!$D$100:$D$115,0))*INDEX(EF!$H$116:$H$131,MATCH('Net zero emission reductions'!$G1434,EF!$D$116:$D$131,0))*kgtoGg</f>
        <v>0.5624764857002188</v>
      </c>
      <c r="O1434" s="22">
        <f>INDEX('Net zero Activity data'!AH$24:AH$39,MATCH('Net zero emission reductions'!$G1434,'Net zero Activity data'!$D$24:$D$39,0))*INDEX(EF!$H$84:$H$99,MATCH('Net zero emission reductions'!$G1434,EF!$D$84:$D$99,0))*INDEX(EF!$H$100:$H$115,MATCH('Net zero emission reductions'!$G1434,EF!$D$100:$D$115,0))*INDEX(EF!$H$116:$H$131,MATCH('Net zero emission reductions'!$G1434,EF!$D$116:$D$131,0))*kgtoGg</f>
        <v>0.57815000152642426</v>
      </c>
      <c r="P1434" s="22">
        <f>INDEX('Net zero Activity data'!AI$24:AI$39,MATCH('Net zero emission reductions'!$G1434,'Net zero Activity data'!$D$24:$D$39,0))*INDEX(EF!$H$84:$H$99,MATCH('Net zero emission reductions'!$G1434,EF!$D$84:$D$99,0))*INDEX(EF!$H$100:$H$115,MATCH('Net zero emission reductions'!$G1434,EF!$D$100:$D$115,0))*INDEX(EF!$H$116:$H$131,MATCH('Net zero emission reductions'!$G1434,EF!$D$116:$D$131,0))*kgtoGg</f>
        <v>0.59382351735262984</v>
      </c>
      <c r="Q1434" s="22">
        <f>INDEX('Net zero Activity data'!AJ$24:AJ$39,MATCH('Net zero emission reductions'!$G1434,'Net zero Activity data'!$D$24:$D$39,0))*INDEX(EF!$H$84:$H$99,MATCH('Net zero emission reductions'!$G1434,EF!$D$84:$D$99,0))*INDEX(EF!$H$100:$H$115,MATCH('Net zero emission reductions'!$G1434,EF!$D$100:$D$115,0))*INDEX(EF!$H$116:$H$131,MATCH('Net zero emission reductions'!$G1434,EF!$D$116:$D$131,0))*kgtoGg</f>
        <v>0.6094970331788353</v>
      </c>
      <c r="R1434" s="22">
        <f>INDEX('Net zero Activity data'!AK$24:AK$39,MATCH('Net zero emission reductions'!$G1434,'Net zero Activity data'!$D$24:$D$39,0))*INDEX(EF!$H$84:$H$99,MATCH('Net zero emission reductions'!$G1434,EF!$D$84:$D$99,0))*INDEX(EF!$H$100:$H$115,MATCH('Net zero emission reductions'!$G1434,EF!$D$100:$D$115,0))*INDEX(EF!$H$116:$H$131,MATCH('Net zero emission reductions'!$G1434,EF!$D$116:$D$131,0))*kgtoGg</f>
        <v>0.62517054900504077</v>
      </c>
      <c r="S1434" s="22">
        <f>INDEX('Net zero Activity data'!AL$24:AL$39,MATCH('Net zero emission reductions'!$G1434,'Net zero Activity data'!$D$24:$D$39,0))*INDEX(EF!$H$84:$H$99,MATCH('Net zero emission reductions'!$G1434,EF!$D$84:$D$99,0))*INDEX(EF!$H$100:$H$115,MATCH('Net zero emission reductions'!$G1434,EF!$D$100:$D$115,0))*INDEX(EF!$H$116:$H$131,MATCH('Net zero emission reductions'!$G1434,EF!$D$116:$D$131,0))*kgtoGg</f>
        <v>0.64084406483124634</v>
      </c>
      <c r="T1434" s="22">
        <f>INDEX('Net zero Activity data'!AM$24:AM$39,MATCH('Net zero emission reductions'!$G1434,'Net zero Activity data'!$D$24:$D$39,0))*INDEX(EF!$H$84:$H$99,MATCH('Net zero emission reductions'!$G1434,EF!$D$84:$D$99,0))*INDEX(EF!$H$100:$H$115,MATCH('Net zero emission reductions'!$G1434,EF!$D$100:$D$115,0))*INDEX(EF!$H$116:$H$131,MATCH('Net zero emission reductions'!$G1434,EF!$D$116:$D$131,0))*kgtoGg</f>
        <v>0.65651758065745214</v>
      </c>
      <c r="U1434" s="22">
        <f>INDEX('Net zero Activity data'!AN$24:AN$39,MATCH('Net zero emission reductions'!$G1434,'Net zero Activity data'!$D$24:$D$39,0))*INDEX(EF!$H$84:$H$99,MATCH('Net zero emission reductions'!$G1434,EF!$D$84:$D$99,0))*INDEX(EF!$H$100:$H$115,MATCH('Net zero emission reductions'!$G1434,EF!$D$100:$D$115,0))*INDEX(EF!$H$116:$H$131,MATCH('Net zero emission reductions'!$G1434,EF!$D$116:$D$131,0))*kgtoGg</f>
        <v>0.6721910964836576</v>
      </c>
      <c r="V1434" s="22">
        <f>INDEX('Net zero Activity data'!AO$24:AO$39,MATCH('Net zero emission reductions'!$G1434,'Net zero Activity data'!$D$24:$D$39,0))*INDEX(EF!$H$84:$H$99,MATCH('Net zero emission reductions'!$G1434,EF!$D$84:$D$99,0))*INDEX(EF!$H$100:$H$115,MATCH('Net zero emission reductions'!$G1434,EF!$D$100:$D$115,0))*INDEX(EF!$H$116:$H$131,MATCH('Net zero emission reductions'!$G1434,EF!$D$116:$D$131,0))*kgtoGg</f>
        <v>0.68786461230986296</v>
      </c>
      <c r="W1434" s="22">
        <f>INDEX('Net zero Activity data'!AP$24:AP$39,MATCH('Net zero emission reductions'!$G1434,'Net zero Activity data'!$D$24:$D$39,0))*INDEX(EF!$H$84:$H$99,MATCH('Net zero emission reductions'!$G1434,EF!$D$84:$D$99,0))*INDEX(EF!$H$100:$H$115,MATCH('Net zero emission reductions'!$G1434,EF!$D$100:$D$115,0))*INDEX(EF!$H$116:$H$131,MATCH('Net zero emission reductions'!$G1434,EF!$D$116:$D$131,0))*kgtoGg</f>
        <v>0.70353812813606853</v>
      </c>
      <c r="X1434" s="22">
        <f>INDEX('Net zero Activity data'!AQ$24:AQ$39,MATCH('Net zero emission reductions'!$G1434,'Net zero Activity data'!$D$24:$D$39,0))*INDEX(EF!$H$84:$H$99,MATCH('Net zero emission reductions'!$G1434,EF!$D$84:$D$99,0))*INDEX(EF!$H$100:$H$115,MATCH('Net zero emission reductions'!$G1434,EF!$D$100:$D$115,0))*INDEX(EF!$H$116:$H$131,MATCH('Net zero emission reductions'!$G1434,EF!$D$116:$D$131,0))*kgtoGg</f>
        <v>0.71921164396227399</v>
      </c>
      <c r="Y1434" s="22">
        <f>INDEX('Net zero Activity data'!AR$24:AR$39,MATCH('Net zero emission reductions'!$G1434,'Net zero Activity data'!$D$24:$D$39,0))*INDEX(EF!$H$84:$H$99,MATCH('Net zero emission reductions'!$G1434,EF!$D$84:$D$99,0))*INDEX(EF!$H$100:$H$115,MATCH('Net zero emission reductions'!$G1434,EF!$D$100:$D$115,0))*INDEX(EF!$H$116:$H$131,MATCH('Net zero emission reductions'!$G1434,EF!$D$116:$D$131,0))*kgtoGg</f>
        <v>0.73488515978847979</v>
      </c>
      <c r="Z1434" s="22">
        <f>INDEX('Net zero Activity data'!AS$24:AS$39,MATCH('Net zero emission reductions'!$G1434,'Net zero Activity data'!$D$24:$D$39,0))*INDEX(EF!$H$84:$H$99,MATCH('Net zero emission reductions'!$G1434,EF!$D$84:$D$99,0))*INDEX(EF!$H$100:$H$115,MATCH('Net zero emission reductions'!$G1434,EF!$D$100:$D$115,0))*INDEX(EF!$H$116:$H$131,MATCH('Net zero emission reductions'!$G1434,EF!$D$116:$D$131,0))*kgtoGg</f>
        <v>0.75055867561468514</v>
      </c>
      <c r="AA1434" s="22">
        <f>INDEX('Net zero Activity data'!AT$24:AT$39,MATCH('Net zero emission reductions'!$G1434,'Net zero Activity data'!$D$24:$D$39,0))*INDEX(EF!$H$84:$H$99,MATCH('Net zero emission reductions'!$G1434,EF!$D$84:$D$99,0))*INDEX(EF!$H$100:$H$115,MATCH('Net zero emission reductions'!$G1434,EF!$D$100:$D$115,0))*INDEX(EF!$H$116:$H$131,MATCH('Net zero emission reductions'!$G1434,EF!$D$116:$D$131,0))*kgtoGg</f>
        <v>0.76623219144089083</v>
      </c>
      <c r="AB1434" s="22">
        <f>INDEX('Net zero Activity data'!AU$24:AU$39,MATCH('Net zero emission reductions'!$G1434,'Net zero Activity data'!$D$24:$D$39,0))*INDEX(EF!$H$84:$H$99,MATCH('Net zero emission reductions'!$G1434,EF!$D$84:$D$99,0))*INDEX(EF!$H$100:$H$115,MATCH('Net zero emission reductions'!$G1434,EF!$D$100:$D$115,0))*INDEX(EF!$H$116:$H$131,MATCH('Net zero emission reductions'!$G1434,EF!$D$116:$D$131,0))*kgtoGg</f>
        <v>0.78190570726709629</v>
      </c>
      <c r="AC1434" s="22">
        <f>INDEX('Net zero Activity data'!AV$24:AV$39,MATCH('Net zero emission reductions'!$G1434,'Net zero Activity data'!$D$24:$D$39,0))*INDEX(EF!$H$84:$H$99,MATCH('Net zero emission reductions'!$G1434,EF!$D$84:$D$99,0))*INDEX(EF!$H$100:$H$115,MATCH('Net zero emission reductions'!$G1434,EF!$D$100:$D$115,0))*INDEX(EF!$H$116:$H$131,MATCH('Net zero emission reductions'!$G1434,EF!$D$116:$D$131,0))*kgtoGg</f>
        <v>0.79757922309330198</v>
      </c>
      <c r="AD1434" s="22">
        <f>INDEX('Net zero Activity data'!AW$24:AW$39,MATCH('Net zero emission reductions'!$G1434,'Net zero Activity data'!$D$24:$D$39,0))*INDEX(EF!$H$84:$H$99,MATCH('Net zero emission reductions'!$G1434,EF!$D$84:$D$99,0))*INDEX(EF!$H$100:$H$115,MATCH('Net zero emission reductions'!$G1434,EF!$D$100:$D$115,0))*INDEX(EF!$H$116:$H$131,MATCH('Net zero emission reductions'!$G1434,EF!$D$116:$D$131,0))*kgtoGg</f>
        <v>0.81325273891950733</v>
      </c>
      <c r="AE1434" s="22">
        <f>INDEX('Net zero Activity data'!AX$24:AX$39,MATCH('Net zero emission reductions'!$G1434,'Net zero Activity data'!$D$24:$D$39,0))*INDEX(EF!$H$84:$H$99,MATCH('Net zero emission reductions'!$G1434,EF!$D$84:$D$99,0))*INDEX(EF!$H$100:$H$115,MATCH('Net zero emission reductions'!$G1434,EF!$D$100:$D$115,0))*INDEX(EF!$H$116:$H$131,MATCH('Net zero emission reductions'!$G1434,EF!$D$116:$D$131,0))*kgtoGg</f>
        <v>0.82892625474571302</v>
      </c>
      <c r="AF1434" s="22">
        <f>INDEX('Net zero Activity data'!AY$24:AY$39,MATCH('Net zero emission reductions'!$G1434,'Net zero Activity data'!$D$24:$D$39,0))*INDEX(EF!$H$84:$H$99,MATCH('Net zero emission reductions'!$G1434,EF!$D$84:$D$99,0))*INDEX(EF!$H$100:$H$115,MATCH('Net zero emission reductions'!$G1434,EF!$D$100:$D$115,0))*INDEX(EF!$H$116:$H$131,MATCH('Net zero emission reductions'!$G1434,EF!$D$116:$D$131,0))*kgtoGg</f>
        <v>0.84459977057191826</v>
      </c>
      <c r="AG1434" s="22">
        <f>INDEX('Net zero Activity data'!AZ$24:AZ$39,MATCH('Net zero emission reductions'!$G1434,'Net zero Activity data'!$D$24:$D$39,0))*INDEX(EF!$H$84:$H$99,MATCH('Net zero emission reductions'!$G1434,EF!$D$84:$D$99,0))*INDEX(EF!$H$100:$H$115,MATCH('Net zero emission reductions'!$G1434,EF!$D$100:$D$115,0))*INDEX(EF!$H$116:$H$131,MATCH('Net zero emission reductions'!$G1434,EF!$D$116:$D$131,0))*kgtoGg</f>
        <v>0.86027328639812406</v>
      </c>
      <c r="AH1434" s="22">
        <f>INDEX('Net zero Activity data'!BA$24:BA$39,MATCH('Net zero emission reductions'!$G1434,'Net zero Activity data'!$D$24:$D$39,0))*INDEX(EF!$H$84:$H$99,MATCH('Net zero emission reductions'!$G1434,EF!$D$84:$D$99,0))*INDEX(EF!$H$100:$H$115,MATCH('Net zero emission reductions'!$G1434,EF!$D$100:$D$115,0))*INDEX(EF!$H$116:$H$131,MATCH('Net zero emission reductions'!$G1434,EF!$D$116:$D$131,0))*kgtoGg</f>
        <v>0.87594680222432952</v>
      </c>
      <c r="AI1434" s="22">
        <f>INDEX('Net zero Activity data'!BB$24:BB$39,MATCH('Net zero emission reductions'!$G1434,'Net zero Activity data'!$D$24:$D$39,0))*INDEX(EF!$H$84:$H$99,MATCH('Net zero emission reductions'!$G1434,EF!$D$84:$D$99,0))*INDEX(EF!$H$100:$H$115,MATCH('Net zero emission reductions'!$G1434,EF!$D$100:$D$115,0))*INDEX(EF!$H$116:$H$131,MATCH('Net zero emission reductions'!$G1434,EF!$D$116:$D$131,0))*kgtoGg</f>
        <v>0.89162031805053521</v>
      </c>
      <c r="AJ1434" s="22">
        <f>INDEX('Net zero Activity data'!BC$24:BC$39,MATCH('Net zero emission reductions'!$G1434,'Net zero Activity data'!$D$24:$D$39,0))*INDEX(EF!$H$84:$H$99,MATCH('Net zero emission reductions'!$G1434,EF!$D$84:$D$99,0))*INDEX(EF!$H$100:$H$115,MATCH('Net zero emission reductions'!$G1434,EF!$D$100:$D$115,0))*INDEX(EF!$H$116:$H$131,MATCH('Net zero emission reductions'!$G1434,EF!$D$116:$D$131,0))*kgtoGg</f>
        <v>0.90729383387674067</v>
      </c>
      <c r="AK1434" s="22">
        <f>INDEX('Net zero Activity data'!BD$24:BD$39,MATCH('Net zero emission reductions'!$G1434,'Net zero Activity data'!$D$24:$D$39,0))*INDEX(EF!$H$84:$H$99,MATCH('Net zero emission reductions'!$G1434,EF!$D$84:$D$99,0))*INDEX(EF!$H$100:$H$115,MATCH('Net zero emission reductions'!$G1434,EF!$D$100:$D$115,0))*INDEX(EF!$H$116:$H$131,MATCH('Net zero emission reductions'!$G1434,EF!$D$116:$D$131,0))*kgtoGg</f>
        <v>0.92296734970294614</v>
      </c>
      <c r="AL1434" s="22">
        <f>INDEX('Net zero Activity data'!BE$24:BE$39,MATCH('Net zero emission reductions'!$G1434,'Net zero Activity data'!$D$24:$D$39,0))*INDEX(EF!$H$84:$H$99,MATCH('Net zero emission reductions'!$G1434,EF!$D$84:$D$99,0))*INDEX(EF!$H$100:$H$115,MATCH('Net zero emission reductions'!$G1434,EF!$D$100:$D$115,0))*INDEX(EF!$H$116:$H$131,MATCH('Net zero emission reductions'!$G1434,EF!$D$116:$D$131,0))*kgtoGg</f>
        <v>0.93864086552915194</v>
      </c>
      <c r="AM1434" s="22">
        <f>INDEX('Net zero Activity data'!BF$24:BF$39,MATCH('Net zero emission reductions'!$G1434,'Net zero Activity data'!$D$24:$D$39,0))*INDEX(EF!$H$84:$H$99,MATCH('Net zero emission reductions'!$G1434,EF!$D$84:$D$99,0))*INDEX(EF!$H$100:$H$115,MATCH('Net zero emission reductions'!$G1434,EF!$D$100:$D$115,0))*INDEX(EF!$H$116:$H$131,MATCH('Net zero emission reductions'!$G1434,EF!$D$116:$D$131,0))*kgtoGg</f>
        <v>0.95431438135535729</v>
      </c>
      <c r="AN1434" s="22">
        <f>INDEX('Net zero Activity data'!BG$24:BG$39,MATCH('Net zero emission reductions'!$G1434,'Net zero Activity data'!$D$24:$D$39,0))*INDEX(EF!$H$84:$H$99,MATCH('Net zero emission reductions'!$G1434,EF!$D$84:$D$99,0))*INDEX(EF!$H$100:$H$115,MATCH('Net zero emission reductions'!$G1434,EF!$D$100:$D$115,0))*INDEX(EF!$H$116:$H$131,MATCH('Net zero emission reductions'!$G1434,EF!$D$116:$D$131,0))*kgtoGg</f>
        <v>0.96998789718156264</v>
      </c>
      <c r="AO1434" s="22">
        <f>INDEX('Net zero Activity data'!BH$24:BH$39,MATCH('Net zero emission reductions'!$G1434,'Net zero Activity data'!$D$24:$D$39,0))*INDEX(EF!$H$84:$H$99,MATCH('Net zero emission reductions'!$G1434,EF!$D$84:$D$99,0))*INDEX(EF!$H$100:$H$115,MATCH('Net zero emission reductions'!$G1434,EF!$D$100:$D$115,0))*INDEX(EF!$H$116:$H$131,MATCH('Net zero emission reductions'!$G1434,EF!$D$116:$D$131,0))*kgtoGg</f>
        <v>0.98566141300776822</v>
      </c>
      <c r="AP1434" s="22">
        <f>INDEX('Net zero Activity data'!BI$24:BI$39,MATCH('Net zero emission reductions'!$G1434,'Net zero Activity data'!$D$24:$D$39,0))*INDEX(EF!$H$84:$H$99,MATCH('Net zero emission reductions'!$G1434,EF!$D$84:$D$99,0))*INDEX(EF!$H$100:$H$115,MATCH('Net zero emission reductions'!$G1434,EF!$D$100:$D$115,0))*INDEX(EF!$H$116:$H$131,MATCH('Net zero emission reductions'!$G1434,EF!$D$116:$D$131,0))*kgtoGg</f>
        <v>1.0013349288339739</v>
      </c>
      <c r="AQ1434" s="22">
        <f>INDEX('Net zero Activity data'!BJ$24:BJ$39,MATCH('Net zero emission reductions'!$G1434,'Net zero Activity data'!$D$24:$D$39,0))*INDEX(EF!$H$84:$H$99,MATCH('Net zero emission reductions'!$G1434,EF!$D$84:$D$99,0))*INDEX(EF!$H$100:$H$115,MATCH('Net zero emission reductions'!$G1434,EF!$D$100:$D$115,0))*INDEX(EF!$H$116:$H$131,MATCH('Net zero emission reductions'!$G1434,EF!$D$116:$D$131,0))*kgtoGg</f>
        <v>1.0170084446601795</v>
      </c>
      <c r="AR1434" s="22">
        <f>INDEX('Net zero Activity data'!BK$24:BK$39,MATCH('Net zero emission reductions'!$G1434,'Net zero Activity data'!$D$24:$D$39,0))*INDEX(EF!$H$84:$H$99,MATCH('Net zero emission reductions'!$G1434,EF!$D$84:$D$99,0))*INDEX(EF!$H$100:$H$115,MATCH('Net zero emission reductions'!$G1434,EF!$D$100:$D$115,0))*INDEX(EF!$H$116:$H$131,MATCH('Net zero emission reductions'!$G1434,EF!$D$116:$D$131,0))*kgtoGg</f>
        <v>1.0326819604863848</v>
      </c>
      <c r="AS1434" s="22">
        <f>INDEX('Net zero Activity data'!BL$24:BL$39,MATCH('Net zero emission reductions'!$G1434,'Net zero Activity data'!$D$24:$D$39,0))*INDEX(EF!$H$84:$H$99,MATCH('Net zero emission reductions'!$G1434,EF!$D$84:$D$99,0))*INDEX(EF!$H$100:$H$115,MATCH('Net zero emission reductions'!$G1434,EF!$D$100:$D$115,0))*INDEX(EF!$H$116:$H$131,MATCH('Net zero emission reductions'!$G1434,EF!$D$116:$D$131,0))*kgtoGg</f>
        <v>1.0483554763125904</v>
      </c>
      <c r="AT1434" s="22">
        <f>INDEX('Net zero Activity data'!BM$24:BM$39,MATCH('Net zero emission reductions'!$G1434,'Net zero Activity data'!$D$24:$D$39,0))*INDEX(EF!$H$84:$H$99,MATCH('Net zero emission reductions'!$G1434,EF!$D$84:$D$99,0))*INDEX(EF!$H$100:$H$115,MATCH('Net zero emission reductions'!$G1434,EF!$D$100:$D$115,0))*INDEX(EF!$H$116:$H$131,MATCH('Net zero emission reductions'!$G1434,EF!$D$116:$D$131,0))*kgtoGg</f>
        <v>1.0640289921387955</v>
      </c>
      <c r="AU1434" s="22">
        <f>INDEX('Net zero Activity data'!BN$24:BN$39,MATCH('Net zero emission reductions'!$G1434,'Net zero Activity data'!$D$24:$D$39,0))*INDEX(EF!$H$84:$H$99,MATCH('Net zero emission reductions'!$G1434,EF!$D$84:$D$99,0))*INDEX(EF!$H$100:$H$115,MATCH('Net zero emission reductions'!$G1434,EF!$D$100:$D$115,0))*INDEX(EF!$H$116:$H$131,MATCH('Net zero emission reductions'!$G1434,EF!$D$116:$D$131,0))*kgtoGg</f>
        <v>1.0797025079650009</v>
      </c>
      <c r="AV1434" s="22">
        <f>INDEX('Net zero Activity data'!BO$24:BO$39,MATCH('Net zero emission reductions'!$G1434,'Net zero Activity data'!$D$24:$D$39,0))*INDEX(EF!$H$84:$H$99,MATCH('Net zero emission reductions'!$G1434,EF!$D$84:$D$99,0))*INDEX(EF!$H$100:$H$115,MATCH('Net zero emission reductions'!$G1434,EF!$D$100:$D$115,0))*INDEX(EF!$H$116:$H$131,MATCH('Net zero emission reductions'!$G1434,EF!$D$116:$D$131,0))*kgtoGg</f>
        <v>1.0953760237912065</v>
      </c>
      <c r="AW1434" s="22">
        <f>INDEX('Net zero Activity data'!BP$24:BP$39,MATCH('Net zero emission reductions'!$G1434,'Net zero Activity data'!$D$24:$D$39,0))*INDEX(EF!$H$84:$H$99,MATCH('Net zero emission reductions'!$G1434,EF!$D$84:$D$99,0))*INDEX(EF!$H$100:$H$115,MATCH('Net zero emission reductions'!$G1434,EF!$D$100:$D$115,0))*INDEX(EF!$H$116:$H$131,MATCH('Net zero emission reductions'!$G1434,EF!$D$116:$D$131,0))*kgtoGg</f>
        <v>1.111049539617412</v>
      </c>
    </row>
    <row r="1435" spans="1:49" x14ac:dyDescent="0.25">
      <c r="A1435" s="102" t="s">
        <v>961</v>
      </c>
      <c r="B1435" s="102"/>
      <c r="C1435" s="102"/>
      <c r="D1435" t="str">
        <f t="shared" si="555"/>
        <v>3C Aggregated and non-CO2 emissions on land</v>
      </c>
      <c r="E1435" t="str">
        <f>E1434</f>
        <v>3C1 Biomass burning (CH4)</v>
      </c>
      <c r="F1435" t="str">
        <f t="shared" ref="F1435:F1437" si="557">F1434</f>
        <v>3C1b Biomass burning in Croplands</v>
      </c>
      <c r="G1435" t="str">
        <f>EF!D90</f>
        <v>Perennial orchards</v>
      </c>
      <c r="H1435" t="s">
        <v>647</v>
      </c>
      <c r="I1435" t="str">
        <f>I1434</f>
        <v>CH4</v>
      </c>
      <c r="J1435" t="str">
        <f>J1434</f>
        <v>Gg CH4</v>
      </c>
      <c r="K1435" s="22">
        <f>INDEX('Net zero Activity data'!AD$24:AD$39,MATCH('Net zero emission reductions'!$G1435,'Net zero Activity data'!$D$24:$D$39,0))*INDEX(EF!$H$84:$H$99,MATCH('Net zero emission reductions'!$G1435,EF!$D$84:$D$99,0))*INDEX(EF!$H$100:$H$115,MATCH('Net zero emission reductions'!$G1435,EF!$D$100:$D$115,0))*INDEX(EF!$H$116:$H$131,MATCH('Net zero emission reductions'!$G1435,EF!$D$116:$D$131,0))*kgtoGg</f>
        <v>6.1007970305663753E-2</v>
      </c>
      <c r="L1435" s="22">
        <f>INDEX('Net zero Activity data'!AE$24:AE$39,MATCH('Net zero emission reductions'!$G1435,'Net zero Activity data'!$D$24:$D$39,0))*INDEX(EF!$H$84:$H$99,MATCH('Net zero emission reductions'!$G1435,EF!$D$84:$D$99,0))*INDEX(EF!$H$100:$H$115,MATCH('Net zero emission reductions'!$G1435,EF!$D$100:$D$115,0))*INDEX(EF!$H$116:$H$131,MATCH('Net zero emission reductions'!$G1435,EF!$D$116:$D$131,0))*kgtoGg</f>
        <v>6.1529004605947853E-2</v>
      </c>
      <c r="M1435" s="22">
        <f>INDEX('Net zero Activity data'!AF$24:AF$39,MATCH('Net zero emission reductions'!$G1435,'Net zero Activity data'!$D$24:$D$39,0))*INDEX(EF!$H$84:$H$99,MATCH('Net zero emission reductions'!$G1435,EF!$D$84:$D$99,0))*INDEX(EF!$H$100:$H$115,MATCH('Net zero emission reductions'!$G1435,EF!$D$100:$D$115,0))*INDEX(EF!$H$116:$H$131,MATCH('Net zero emission reductions'!$G1435,EF!$D$116:$D$131,0))*kgtoGg</f>
        <v>6.2050038906231952E-2</v>
      </c>
      <c r="N1435" s="22">
        <f>INDEX('Net zero Activity data'!AG$24:AG$39,MATCH('Net zero emission reductions'!$G1435,'Net zero Activity data'!$D$24:$D$39,0))*INDEX(EF!$H$84:$H$99,MATCH('Net zero emission reductions'!$G1435,EF!$D$84:$D$99,0))*INDEX(EF!$H$100:$H$115,MATCH('Net zero emission reductions'!$G1435,EF!$D$100:$D$115,0))*INDEX(EF!$H$116:$H$131,MATCH('Net zero emission reductions'!$G1435,EF!$D$116:$D$131,0))*kgtoGg</f>
        <v>6.2571073206516031E-2</v>
      </c>
      <c r="O1435" s="22">
        <f>INDEX('Net zero Activity data'!AH$24:AH$39,MATCH('Net zero emission reductions'!$G1435,'Net zero Activity data'!$D$24:$D$39,0))*INDEX(EF!$H$84:$H$99,MATCH('Net zero emission reductions'!$G1435,EF!$D$84:$D$99,0))*INDEX(EF!$H$100:$H$115,MATCH('Net zero emission reductions'!$G1435,EF!$D$100:$D$115,0))*INDEX(EF!$H$116:$H$131,MATCH('Net zero emission reductions'!$G1435,EF!$D$116:$D$131,0))*kgtoGg</f>
        <v>6.3092107506800124E-2</v>
      </c>
      <c r="P1435" s="22">
        <f>INDEX('Net zero Activity data'!AI$24:AI$39,MATCH('Net zero emission reductions'!$G1435,'Net zero Activity data'!$D$24:$D$39,0))*INDEX(EF!$H$84:$H$99,MATCH('Net zero emission reductions'!$G1435,EF!$D$84:$D$99,0))*INDEX(EF!$H$100:$H$115,MATCH('Net zero emission reductions'!$G1435,EF!$D$100:$D$115,0))*INDEX(EF!$H$116:$H$131,MATCH('Net zero emission reductions'!$G1435,EF!$D$116:$D$131,0))*kgtoGg</f>
        <v>6.3613141807084217E-2</v>
      </c>
      <c r="Q1435" s="22">
        <f>INDEX('Net zero Activity data'!AJ$24:AJ$39,MATCH('Net zero emission reductions'!$G1435,'Net zero Activity data'!$D$24:$D$39,0))*INDEX(EF!$H$84:$H$99,MATCH('Net zero emission reductions'!$G1435,EF!$D$84:$D$99,0))*INDEX(EF!$H$100:$H$115,MATCH('Net zero emission reductions'!$G1435,EF!$D$100:$D$115,0))*INDEX(EF!$H$116:$H$131,MATCH('Net zero emission reductions'!$G1435,EF!$D$116:$D$131,0))*kgtoGg</f>
        <v>6.413417610736831E-2</v>
      </c>
      <c r="R1435" s="22">
        <f>INDEX('Net zero Activity data'!AK$24:AK$39,MATCH('Net zero emission reductions'!$G1435,'Net zero Activity data'!$D$24:$D$39,0))*INDEX(EF!$H$84:$H$99,MATCH('Net zero emission reductions'!$G1435,EF!$D$84:$D$99,0))*INDEX(EF!$H$100:$H$115,MATCH('Net zero emission reductions'!$G1435,EF!$D$100:$D$115,0))*INDEX(EF!$H$116:$H$131,MATCH('Net zero emission reductions'!$G1435,EF!$D$116:$D$131,0))*kgtoGg</f>
        <v>6.4655210407652403E-2</v>
      </c>
      <c r="S1435" s="22">
        <f>INDEX('Net zero Activity data'!AL$24:AL$39,MATCH('Net zero emission reductions'!$G1435,'Net zero Activity data'!$D$24:$D$39,0))*INDEX(EF!$H$84:$H$99,MATCH('Net zero emission reductions'!$G1435,EF!$D$84:$D$99,0))*INDEX(EF!$H$100:$H$115,MATCH('Net zero emission reductions'!$G1435,EF!$D$100:$D$115,0))*INDEX(EF!$H$116:$H$131,MATCH('Net zero emission reductions'!$G1435,EF!$D$116:$D$131,0))*kgtoGg</f>
        <v>6.5176244707936495E-2</v>
      </c>
      <c r="T1435" s="22">
        <f>INDEX('Net zero Activity data'!AM$24:AM$39,MATCH('Net zero emission reductions'!$G1435,'Net zero Activity data'!$D$24:$D$39,0))*INDEX(EF!$H$84:$H$99,MATCH('Net zero emission reductions'!$G1435,EF!$D$84:$D$99,0))*INDEX(EF!$H$100:$H$115,MATCH('Net zero emission reductions'!$G1435,EF!$D$100:$D$115,0))*INDEX(EF!$H$116:$H$131,MATCH('Net zero emission reductions'!$G1435,EF!$D$116:$D$131,0))*kgtoGg</f>
        <v>6.5697279008220588E-2</v>
      </c>
      <c r="U1435" s="22">
        <f>INDEX('Net zero Activity data'!AN$24:AN$39,MATCH('Net zero emission reductions'!$G1435,'Net zero Activity data'!$D$24:$D$39,0))*INDEX(EF!$H$84:$H$99,MATCH('Net zero emission reductions'!$G1435,EF!$D$84:$D$99,0))*INDEX(EF!$H$100:$H$115,MATCH('Net zero emission reductions'!$G1435,EF!$D$100:$D$115,0))*INDEX(EF!$H$116:$H$131,MATCH('Net zero emission reductions'!$G1435,EF!$D$116:$D$131,0))*kgtoGg</f>
        <v>6.6218313308504667E-2</v>
      </c>
      <c r="V1435" s="22">
        <f>INDEX('Net zero Activity data'!AO$24:AO$39,MATCH('Net zero emission reductions'!$G1435,'Net zero Activity data'!$D$24:$D$39,0))*INDEX(EF!$H$84:$H$99,MATCH('Net zero emission reductions'!$G1435,EF!$D$84:$D$99,0))*INDEX(EF!$H$100:$H$115,MATCH('Net zero emission reductions'!$G1435,EF!$D$100:$D$115,0))*INDEX(EF!$H$116:$H$131,MATCH('Net zero emission reductions'!$G1435,EF!$D$116:$D$131,0))*kgtoGg</f>
        <v>6.673934760878876E-2</v>
      </c>
      <c r="W1435" s="22">
        <f>INDEX('Net zero Activity data'!AP$24:AP$39,MATCH('Net zero emission reductions'!$G1435,'Net zero Activity data'!$D$24:$D$39,0))*INDEX(EF!$H$84:$H$99,MATCH('Net zero emission reductions'!$G1435,EF!$D$84:$D$99,0))*INDEX(EF!$H$100:$H$115,MATCH('Net zero emission reductions'!$G1435,EF!$D$100:$D$115,0))*INDEX(EF!$H$116:$H$131,MATCH('Net zero emission reductions'!$G1435,EF!$D$116:$D$131,0))*kgtoGg</f>
        <v>6.7260381909072867E-2</v>
      </c>
      <c r="X1435" s="22">
        <f>INDEX('Net zero Activity data'!AQ$24:AQ$39,MATCH('Net zero emission reductions'!$G1435,'Net zero Activity data'!$D$24:$D$39,0))*INDEX(EF!$H$84:$H$99,MATCH('Net zero emission reductions'!$G1435,EF!$D$84:$D$99,0))*INDEX(EF!$H$100:$H$115,MATCH('Net zero emission reductions'!$G1435,EF!$D$100:$D$115,0))*INDEX(EF!$H$116:$H$131,MATCH('Net zero emission reductions'!$G1435,EF!$D$116:$D$131,0))*kgtoGg</f>
        <v>6.7781416209356946E-2</v>
      </c>
      <c r="Y1435" s="22">
        <f>INDEX('Net zero Activity data'!AR$24:AR$39,MATCH('Net zero emission reductions'!$G1435,'Net zero Activity data'!$D$24:$D$39,0))*INDEX(EF!$H$84:$H$99,MATCH('Net zero emission reductions'!$G1435,EF!$D$84:$D$99,0))*INDEX(EF!$H$100:$H$115,MATCH('Net zero emission reductions'!$G1435,EF!$D$100:$D$115,0))*INDEX(EF!$H$116:$H$131,MATCH('Net zero emission reductions'!$G1435,EF!$D$116:$D$131,0))*kgtoGg</f>
        <v>6.8302450509641038E-2</v>
      </c>
      <c r="Z1435" s="22">
        <f>INDEX('Net zero Activity data'!AS$24:AS$39,MATCH('Net zero emission reductions'!$G1435,'Net zero Activity data'!$D$24:$D$39,0))*INDEX(EF!$H$84:$H$99,MATCH('Net zero emission reductions'!$G1435,EF!$D$84:$D$99,0))*INDEX(EF!$H$100:$H$115,MATCH('Net zero emission reductions'!$G1435,EF!$D$100:$D$115,0))*INDEX(EF!$H$116:$H$131,MATCH('Net zero emission reductions'!$G1435,EF!$D$116:$D$131,0))*kgtoGg</f>
        <v>6.8823484809925117E-2</v>
      </c>
      <c r="AA1435" s="22">
        <f>INDEX('Net zero Activity data'!AT$24:AT$39,MATCH('Net zero emission reductions'!$G1435,'Net zero Activity data'!$D$24:$D$39,0))*INDEX(EF!$H$84:$H$99,MATCH('Net zero emission reductions'!$G1435,EF!$D$84:$D$99,0))*INDEX(EF!$H$100:$H$115,MATCH('Net zero emission reductions'!$G1435,EF!$D$100:$D$115,0))*INDEX(EF!$H$116:$H$131,MATCH('Net zero emission reductions'!$G1435,EF!$D$116:$D$131,0))*kgtoGg</f>
        <v>6.9344519110209224E-2</v>
      </c>
      <c r="AB1435" s="22">
        <f>INDEX('Net zero Activity data'!AU$24:AU$39,MATCH('Net zero emission reductions'!$G1435,'Net zero Activity data'!$D$24:$D$39,0))*INDEX(EF!$H$84:$H$99,MATCH('Net zero emission reductions'!$G1435,EF!$D$84:$D$99,0))*INDEX(EF!$H$100:$H$115,MATCH('Net zero emission reductions'!$G1435,EF!$D$100:$D$115,0))*INDEX(EF!$H$116:$H$131,MATCH('Net zero emission reductions'!$G1435,EF!$D$116:$D$131,0))*kgtoGg</f>
        <v>6.9865553410493303E-2</v>
      </c>
      <c r="AC1435" s="22">
        <f>INDEX('Net zero Activity data'!AV$24:AV$39,MATCH('Net zero emission reductions'!$G1435,'Net zero Activity data'!$D$24:$D$39,0))*INDEX(EF!$H$84:$H$99,MATCH('Net zero emission reductions'!$G1435,EF!$D$84:$D$99,0))*INDEX(EF!$H$100:$H$115,MATCH('Net zero emission reductions'!$G1435,EF!$D$100:$D$115,0))*INDEX(EF!$H$116:$H$131,MATCH('Net zero emission reductions'!$G1435,EF!$D$116:$D$131,0))*kgtoGg</f>
        <v>7.038658771077741E-2</v>
      </c>
      <c r="AD1435" s="22">
        <f>INDEX('Net zero Activity data'!AW$24:AW$39,MATCH('Net zero emission reductions'!$G1435,'Net zero Activity data'!$D$24:$D$39,0))*INDEX(EF!$H$84:$H$99,MATCH('Net zero emission reductions'!$G1435,EF!$D$84:$D$99,0))*INDEX(EF!$H$100:$H$115,MATCH('Net zero emission reductions'!$G1435,EF!$D$100:$D$115,0))*INDEX(EF!$H$116:$H$131,MATCH('Net zero emission reductions'!$G1435,EF!$D$116:$D$131,0))*kgtoGg</f>
        <v>7.0907622011061489E-2</v>
      </c>
      <c r="AE1435" s="22">
        <f>INDEX('Net zero Activity data'!AX$24:AX$39,MATCH('Net zero emission reductions'!$G1435,'Net zero Activity data'!$D$24:$D$39,0))*INDEX(EF!$H$84:$H$99,MATCH('Net zero emission reductions'!$G1435,EF!$D$84:$D$99,0))*INDEX(EF!$H$100:$H$115,MATCH('Net zero emission reductions'!$G1435,EF!$D$100:$D$115,0))*INDEX(EF!$H$116:$H$131,MATCH('Net zero emission reductions'!$G1435,EF!$D$116:$D$131,0))*kgtoGg</f>
        <v>7.1428656311345595E-2</v>
      </c>
      <c r="AF1435" s="22">
        <f>INDEX('Net zero Activity data'!AY$24:AY$39,MATCH('Net zero emission reductions'!$G1435,'Net zero Activity data'!$D$24:$D$39,0))*INDEX(EF!$H$84:$H$99,MATCH('Net zero emission reductions'!$G1435,EF!$D$84:$D$99,0))*INDEX(EF!$H$100:$H$115,MATCH('Net zero emission reductions'!$G1435,EF!$D$100:$D$115,0))*INDEX(EF!$H$116:$H$131,MATCH('Net zero emission reductions'!$G1435,EF!$D$116:$D$131,0))*kgtoGg</f>
        <v>7.1949690611629674E-2</v>
      </c>
      <c r="AG1435" s="22">
        <f>INDEX('Net zero Activity data'!AZ$24:AZ$39,MATCH('Net zero emission reductions'!$G1435,'Net zero Activity data'!$D$24:$D$39,0))*INDEX(EF!$H$84:$H$99,MATCH('Net zero emission reductions'!$G1435,EF!$D$84:$D$99,0))*INDEX(EF!$H$100:$H$115,MATCH('Net zero emission reductions'!$G1435,EF!$D$100:$D$115,0))*INDEX(EF!$H$116:$H$131,MATCH('Net zero emission reductions'!$G1435,EF!$D$116:$D$131,0))*kgtoGg</f>
        <v>7.2470724911913767E-2</v>
      </c>
      <c r="AH1435" s="22">
        <f>INDEX('Net zero Activity data'!BA$24:BA$39,MATCH('Net zero emission reductions'!$G1435,'Net zero Activity data'!$D$24:$D$39,0))*INDEX(EF!$H$84:$H$99,MATCH('Net zero emission reductions'!$G1435,EF!$D$84:$D$99,0))*INDEX(EF!$H$100:$H$115,MATCH('Net zero emission reductions'!$G1435,EF!$D$100:$D$115,0))*INDEX(EF!$H$116:$H$131,MATCH('Net zero emission reductions'!$G1435,EF!$D$116:$D$131,0))*kgtoGg</f>
        <v>7.2991759212197846E-2</v>
      </c>
      <c r="AI1435" s="22">
        <f>INDEX('Net zero Activity data'!BB$24:BB$39,MATCH('Net zero emission reductions'!$G1435,'Net zero Activity data'!$D$24:$D$39,0))*INDEX(EF!$H$84:$H$99,MATCH('Net zero emission reductions'!$G1435,EF!$D$84:$D$99,0))*INDEX(EF!$H$100:$H$115,MATCH('Net zero emission reductions'!$G1435,EF!$D$100:$D$115,0))*INDEX(EF!$H$116:$H$131,MATCH('Net zero emission reductions'!$G1435,EF!$D$116:$D$131,0))*kgtoGg</f>
        <v>7.3512793512481966E-2</v>
      </c>
      <c r="AJ1435" s="22">
        <f>INDEX('Net zero Activity data'!BC$24:BC$39,MATCH('Net zero emission reductions'!$G1435,'Net zero Activity data'!$D$24:$D$39,0))*INDEX(EF!$H$84:$H$99,MATCH('Net zero emission reductions'!$G1435,EF!$D$84:$D$99,0))*INDEX(EF!$H$100:$H$115,MATCH('Net zero emission reductions'!$G1435,EF!$D$100:$D$115,0))*INDEX(EF!$H$116:$H$131,MATCH('Net zero emission reductions'!$G1435,EF!$D$116:$D$131,0))*kgtoGg</f>
        <v>7.4033827812766045E-2</v>
      </c>
      <c r="AK1435" s="22">
        <f>INDEX('Net zero Activity data'!BD$24:BD$39,MATCH('Net zero emission reductions'!$G1435,'Net zero Activity data'!$D$24:$D$39,0))*INDEX(EF!$H$84:$H$99,MATCH('Net zero emission reductions'!$G1435,EF!$D$84:$D$99,0))*INDEX(EF!$H$100:$H$115,MATCH('Net zero emission reductions'!$G1435,EF!$D$100:$D$115,0))*INDEX(EF!$H$116:$H$131,MATCH('Net zero emission reductions'!$G1435,EF!$D$116:$D$131,0))*kgtoGg</f>
        <v>7.4554862113050138E-2</v>
      </c>
      <c r="AL1435" s="22">
        <f>INDEX('Net zero Activity data'!BE$24:BE$39,MATCH('Net zero emission reductions'!$G1435,'Net zero Activity data'!$D$24:$D$39,0))*INDEX(EF!$H$84:$H$99,MATCH('Net zero emission reductions'!$G1435,EF!$D$84:$D$99,0))*INDEX(EF!$H$100:$H$115,MATCH('Net zero emission reductions'!$G1435,EF!$D$100:$D$115,0))*INDEX(EF!$H$116:$H$131,MATCH('Net zero emission reductions'!$G1435,EF!$D$116:$D$131,0))*kgtoGg</f>
        <v>7.5075896413334217E-2</v>
      </c>
      <c r="AM1435" s="22">
        <f>INDEX('Net zero Activity data'!BF$24:BF$39,MATCH('Net zero emission reductions'!$G1435,'Net zero Activity data'!$D$24:$D$39,0))*INDEX(EF!$H$84:$H$99,MATCH('Net zero emission reductions'!$G1435,EF!$D$84:$D$99,0))*INDEX(EF!$H$100:$H$115,MATCH('Net zero emission reductions'!$G1435,EF!$D$100:$D$115,0))*INDEX(EF!$H$116:$H$131,MATCH('Net zero emission reductions'!$G1435,EF!$D$116:$D$131,0))*kgtoGg</f>
        <v>7.5596930713618296E-2</v>
      </c>
      <c r="AN1435" s="22">
        <f>INDEX('Net zero Activity data'!BG$24:BG$39,MATCH('Net zero emission reductions'!$G1435,'Net zero Activity data'!$D$24:$D$39,0))*INDEX(EF!$H$84:$H$99,MATCH('Net zero emission reductions'!$G1435,EF!$D$84:$D$99,0))*INDEX(EF!$H$100:$H$115,MATCH('Net zero emission reductions'!$G1435,EF!$D$100:$D$115,0))*INDEX(EF!$H$116:$H$131,MATCH('Net zero emission reductions'!$G1435,EF!$D$116:$D$131,0))*kgtoGg</f>
        <v>7.6117965013902403E-2</v>
      </c>
      <c r="AO1435" s="22">
        <f>INDEX('Net zero Activity data'!BH$24:BH$39,MATCH('Net zero emission reductions'!$G1435,'Net zero Activity data'!$D$24:$D$39,0))*INDEX(EF!$H$84:$H$99,MATCH('Net zero emission reductions'!$G1435,EF!$D$84:$D$99,0))*INDEX(EF!$H$100:$H$115,MATCH('Net zero emission reductions'!$G1435,EF!$D$100:$D$115,0))*INDEX(EF!$H$116:$H$131,MATCH('Net zero emission reductions'!$G1435,EF!$D$116:$D$131,0))*kgtoGg</f>
        <v>7.6638999314186496E-2</v>
      </c>
      <c r="AP1435" s="22">
        <f>INDEX('Net zero Activity data'!BI$24:BI$39,MATCH('Net zero emission reductions'!$G1435,'Net zero Activity data'!$D$24:$D$39,0))*INDEX(EF!$H$84:$H$99,MATCH('Net zero emission reductions'!$G1435,EF!$D$84:$D$99,0))*INDEX(EF!$H$100:$H$115,MATCH('Net zero emission reductions'!$G1435,EF!$D$100:$D$115,0))*INDEX(EF!$H$116:$H$131,MATCH('Net zero emission reductions'!$G1435,EF!$D$116:$D$131,0))*kgtoGg</f>
        <v>7.7160033614470575E-2</v>
      </c>
      <c r="AQ1435" s="22">
        <f>INDEX('Net zero Activity data'!BJ$24:BJ$39,MATCH('Net zero emission reductions'!$G1435,'Net zero Activity data'!$D$24:$D$39,0))*INDEX(EF!$H$84:$H$99,MATCH('Net zero emission reductions'!$G1435,EF!$D$84:$D$99,0))*INDEX(EF!$H$100:$H$115,MATCH('Net zero emission reductions'!$G1435,EF!$D$100:$D$115,0))*INDEX(EF!$H$116:$H$131,MATCH('Net zero emission reductions'!$G1435,EF!$D$116:$D$131,0))*kgtoGg</f>
        <v>7.7681067914754681E-2</v>
      </c>
      <c r="AR1435" s="22">
        <f>INDEX('Net zero Activity data'!BK$24:BK$39,MATCH('Net zero emission reductions'!$G1435,'Net zero Activity data'!$D$24:$D$39,0))*INDEX(EF!$H$84:$H$99,MATCH('Net zero emission reductions'!$G1435,EF!$D$84:$D$99,0))*INDEX(EF!$H$100:$H$115,MATCH('Net zero emission reductions'!$G1435,EF!$D$100:$D$115,0))*INDEX(EF!$H$116:$H$131,MATCH('Net zero emission reductions'!$G1435,EF!$D$116:$D$131,0))*kgtoGg</f>
        <v>7.8202102215038774E-2</v>
      </c>
      <c r="AS1435" s="22">
        <f>INDEX('Net zero Activity data'!BL$24:BL$39,MATCH('Net zero emission reductions'!$G1435,'Net zero Activity data'!$D$24:$D$39,0))*INDEX(EF!$H$84:$H$99,MATCH('Net zero emission reductions'!$G1435,EF!$D$84:$D$99,0))*INDEX(EF!$H$100:$H$115,MATCH('Net zero emission reductions'!$G1435,EF!$D$100:$D$115,0))*INDEX(EF!$H$116:$H$131,MATCH('Net zero emission reductions'!$G1435,EF!$D$116:$D$131,0))*kgtoGg</f>
        <v>7.8723136515322853E-2</v>
      </c>
      <c r="AT1435" s="22">
        <f>INDEX('Net zero Activity data'!BM$24:BM$39,MATCH('Net zero emission reductions'!$G1435,'Net zero Activity data'!$D$24:$D$39,0))*INDEX(EF!$H$84:$H$99,MATCH('Net zero emission reductions'!$G1435,EF!$D$84:$D$99,0))*INDEX(EF!$H$100:$H$115,MATCH('Net zero emission reductions'!$G1435,EF!$D$100:$D$115,0))*INDEX(EF!$H$116:$H$131,MATCH('Net zero emission reductions'!$G1435,EF!$D$116:$D$131,0))*kgtoGg</f>
        <v>7.9244170815606946E-2</v>
      </c>
      <c r="AU1435" s="22">
        <f>INDEX('Net zero Activity data'!BN$24:BN$39,MATCH('Net zero emission reductions'!$G1435,'Net zero Activity data'!$D$24:$D$39,0))*INDEX(EF!$H$84:$H$99,MATCH('Net zero emission reductions'!$G1435,EF!$D$84:$D$99,0))*INDEX(EF!$H$100:$H$115,MATCH('Net zero emission reductions'!$G1435,EF!$D$100:$D$115,0))*INDEX(EF!$H$116:$H$131,MATCH('Net zero emission reductions'!$G1435,EF!$D$116:$D$131,0))*kgtoGg</f>
        <v>7.9765205115891025E-2</v>
      </c>
      <c r="AV1435" s="22">
        <f>INDEX('Net zero Activity data'!BO$24:BO$39,MATCH('Net zero emission reductions'!$G1435,'Net zero Activity data'!$D$24:$D$39,0))*INDEX(EF!$H$84:$H$99,MATCH('Net zero emission reductions'!$G1435,EF!$D$84:$D$99,0))*INDEX(EF!$H$100:$H$115,MATCH('Net zero emission reductions'!$G1435,EF!$D$100:$D$115,0))*INDEX(EF!$H$116:$H$131,MATCH('Net zero emission reductions'!$G1435,EF!$D$116:$D$131,0))*kgtoGg</f>
        <v>8.0286239416175145E-2</v>
      </c>
      <c r="AW1435" s="22">
        <f>INDEX('Net zero Activity data'!BP$24:BP$39,MATCH('Net zero emission reductions'!$G1435,'Net zero Activity data'!$D$24:$D$39,0))*INDEX(EF!$H$84:$H$99,MATCH('Net zero emission reductions'!$G1435,EF!$D$84:$D$99,0))*INDEX(EF!$H$100:$H$115,MATCH('Net zero emission reductions'!$G1435,EF!$D$100:$D$115,0))*INDEX(EF!$H$116:$H$131,MATCH('Net zero emission reductions'!$G1435,EF!$D$116:$D$131,0))*kgtoGg</f>
        <v>8.0807273716459224E-2</v>
      </c>
    </row>
    <row r="1436" spans="1:49" x14ac:dyDescent="0.25">
      <c r="A1436" s="102" t="s">
        <v>961</v>
      </c>
      <c r="B1436" s="102"/>
      <c r="C1436" s="102"/>
      <c r="D1436" t="str">
        <f t="shared" si="555"/>
        <v>3C Aggregated and non-CO2 emissions on land</v>
      </c>
      <c r="E1436" t="str">
        <f t="shared" si="555"/>
        <v>3C1 Biomass burning (CH4)</v>
      </c>
      <c r="F1436" t="str">
        <f t="shared" si="557"/>
        <v>3C1b Biomass burning in Croplands</v>
      </c>
      <c r="G1436" t="str">
        <f>EF!D91</f>
        <v>Perennial vineyards</v>
      </c>
      <c r="H1436" t="s">
        <v>648</v>
      </c>
      <c r="I1436" t="str">
        <f>I1435</f>
        <v>CH4</v>
      </c>
      <c r="J1436" t="str">
        <f>J1435</f>
        <v>Gg CH4</v>
      </c>
      <c r="K1436" s="22">
        <f>INDEX('Net zero Activity data'!AD$24:AD$39,MATCH('Net zero emission reductions'!$G1436,'Net zero Activity data'!$D$24:$D$39,0))*INDEX(EF!$H$84:$H$99,MATCH('Net zero emission reductions'!$G1436,EF!$D$84:$D$99,0))*INDEX(EF!$H$100:$H$115,MATCH('Net zero emission reductions'!$G1436,EF!$D$100:$D$115,0))*INDEX(EF!$H$116:$H$131,MATCH('Net zero emission reductions'!$G1436,EF!$D$116:$D$131,0))*kgtoGg</f>
        <v>1.6859607769005278E-2</v>
      </c>
      <c r="L1436" s="22">
        <f>INDEX('Net zero Activity data'!AE$24:AE$39,MATCH('Net zero emission reductions'!$G1436,'Net zero Activity data'!$D$24:$D$39,0))*INDEX(EF!$H$84:$H$99,MATCH('Net zero emission reductions'!$G1436,EF!$D$84:$D$99,0))*INDEX(EF!$H$100:$H$115,MATCH('Net zero emission reductions'!$G1436,EF!$D$100:$D$115,0))*INDEX(EF!$H$116:$H$131,MATCH('Net zero emission reductions'!$G1436,EF!$D$116:$D$131,0))*kgtoGg</f>
        <v>1.6970620595071061E-2</v>
      </c>
      <c r="M1436" s="22">
        <f>INDEX('Net zero Activity data'!AF$24:AF$39,MATCH('Net zero emission reductions'!$G1436,'Net zero Activity data'!$D$24:$D$39,0))*INDEX(EF!$H$84:$H$99,MATCH('Net zero emission reductions'!$G1436,EF!$D$84:$D$99,0))*INDEX(EF!$H$100:$H$115,MATCH('Net zero emission reductions'!$G1436,EF!$D$100:$D$115,0))*INDEX(EF!$H$116:$H$131,MATCH('Net zero emission reductions'!$G1436,EF!$D$116:$D$131,0))*kgtoGg</f>
        <v>1.7081633421136833E-2</v>
      </c>
      <c r="N1436" s="22">
        <f>INDEX('Net zero Activity data'!AG$24:AG$39,MATCH('Net zero emission reductions'!$G1436,'Net zero Activity data'!$D$24:$D$39,0))*INDEX(EF!$H$84:$H$99,MATCH('Net zero emission reductions'!$G1436,EF!$D$84:$D$99,0))*INDEX(EF!$H$100:$H$115,MATCH('Net zero emission reductions'!$G1436,EF!$D$100:$D$115,0))*INDEX(EF!$H$116:$H$131,MATCH('Net zero emission reductions'!$G1436,EF!$D$116:$D$131,0))*kgtoGg</f>
        <v>1.7192646247202611E-2</v>
      </c>
      <c r="O1436" s="22">
        <f>INDEX('Net zero Activity data'!AH$24:AH$39,MATCH('Net zero emission reductions'!$G1436,'Net zero Activity data'!$D$24:$D$39,0))*INDEX(EF!$H$84:$H$99,MATCH('Net zero emission reductions'!$G1436,EF!$D$84:$D$99,0))*INDEX(EF!$H$100:$H$115,MATCH('Net zero emission reductions'!$G1436,EF!$D$100:$D$115,0))*INDEX(EF!$H$116:$H$131,MATCH('Net zero emission reductions'!$G1436,EF!$D$116:$D$131,0))*kgtoGg</f>
        <v>1.7303659073268383E-2</v>
      </c>
      <c r="P1436" s="22">
        <f>INDEX('Net zero Activity data'!AI$24:AI$39,MATCH('Net zero emission reductions'!$G1436,'Net zero Activity data'!$D$24:$D$39,0))*INDEX(EF!$H$84:$H$99,MATCH('Net zero emission reductions'!$G1436,EF!$D$84:$D$99,0))*INDEX(EF!$H$100:$H$115,MATCH('Net zero emission reductions'!$G1436,EF!$D$100:$D$115,0))*INDEX(EF!$H$116:$H$131,MATCH('Net zero emission reductions'!$G1436,EF!$D$116:$D$131,0))*kgtoGg</f>
        <v>1.7414671899334159E-2</v>
      </c>
      <c r="Q1436" s="22">
        <f>INDEX('Net zero Activity data'!AJ$24:AJ$39,MATCH('Net zero emission reductions'!$G1436,'Net zero Activity data'!$D$24:$D$39,0))*INDEX(EF!$H$84:$H$99,MATCH('Net zero emission reductions'!$G1436,EF!$D$84:$D$99,0))*INDEX(EF!$H$100:$H$115,MATCH('Net zero emission reductions'!$G1436,EF!$D$100:$D$115,0))*INDEX(EF!$H$116:$H$131,MATCH('Net zero emission reductions'!$G1436,EF!$D$116:$D$131,0))*kgtoGg</f>
        <v>1.7525684725399934E-2</v>
      </c>
      <c r="R1436" s="22">
        <f>INDEX('Net zero Activity data'!AK$24:AK$39,MATCH('Net zero emission reductions'!$G1436,'Net zero Activity data'!$D$24:$D$39,0))*INDEX(EF!$H$84:$H$99,MATCH('Net zero emission reductions'!$G1436,EF!$D$84:$D$99,0))*INDEX(EF!$H$100:$H$115,MATCH('Net zero emission reductions'!$G1436,EF!$D$100:$D$115,0))*INDEX(EF!$H$116:$H$131,MATCH('Net zero emission reductions'!$G1436,EF!$D$116:$D$131,0))*kgtoGg</f>
        <v>1.7636697551465713E-2</v>
      </c>
      <c r="S1436" s="22">
        <f>INDEX('Net zero Activity data'!AL$24:AL$39,MATCH('Net zero emission reductions'!$G1436,'Net zero Activity data'!$D$24:$D$39,0))*INDEX(EF!$H$84:$H$99,MATCH('Net zero emission reductions'!$G1436,EF!$D$84:$D$99,0))*INDEX(EF!$H$100:$H$115,MATCH('Net zero emission reductions'!$G1436,EF!$D$100:$D$115,0))*INDEX(EF!$H$116:$H$131,MATCH('Net zero emission reductions'!$G1436,EF!$D$116:$D$131,0))*kgtoGg</f>
        <v>1.7747710377531489E-2</v>
      </c>
      <c r="T1436" s="22">
        <f>INDEX('Net zero Activity data'!AM$24:AM$39,MATCH('Net zero emission reductions'!$G1436,'Net zero Activity data'!$D$24:$D$39,0))*INDEX(EF!$H$84:$H$99,MATCH('Net zero emission reductions'!$G1436,EF!$D$84:$D$99,0))*INDEX(EF!$H$100:$H$115,MATCH('Net zero emission reductions'!$G1436,EF!$D$100:$D$115,0))*INDEX(EF!$H$116:$H$131,MATCH('Net zero emission reductions'!$G1436,EF!$D$116:$D$131,0))*kgtoGg</f>
        <v>1.7858723203597264E-2</v>
      </c>
      <c r="U1436" s="22">
        <f>INDEX('Net zero Activity data'!AN$24:AN$39,MATCH('Net zero emission reductions'!$G1436,'Net zero Activity data'!$D$24:$D$39,0))*INDEX(EF!$H$84:$H$99,MATCH('Net zero emission reductions'!$G1436,EF!$D$84:$D$99,0))*INDEX(EF!$H$100:$H$115,MATCH('Net zero emission reductions'!$G1436,EF!$D$100:$D$115,0))*INDEX(EF!$H$116:$H$131,MATCH('Net zero emission reductions'!$G1436,EF!$D$116:$D$131,0))*kgtoGg</f>
        <v>1.7969736029663043E-2</v>
      </c>
      <c r="V1436" s="22">
        <f>INDEX('Net zero Activity data'!AO$24:AO$39,MATCH('Net zero emission reductions'!$G1436,'Net zero Activity data'!$D$24:$D$39,0))*INDEX(EF!$H$84:$H$99,MATCH('Net zero emission reductions'!$G1436,EF!$D$84:$D$99,0))*INDEX(EF!$H$100:$H$115,MATCH('Net zero emission reductions'!$G1436,EF!$D$100:$D$115,0))*INDEX(EF!$H$116:$H$131,MATCH('Net zero emission reductions'!$G1436,EF!$D$116:$D$131,0))*kgtoGg</f>
        <v>1.8080748855728818E-2</v>
      </c>
      <c r="W1436" s="22">
        <f>INDEX('Net zero Activity data'!AP$24:AP$39,MATCH('Net zero emission reductions'!$G1436,'Net zero Activity data'!$D$24:$D$39,0))*INDEX(EF!$H$84:$H$99,MATCH('Net zero emission reductions'!$G1436,EF!$D$84:$D$99,0))*INDEX(EF!$H$100:$H$115,MATCH('Net zero emission reductions'!$G1436,EF!$D$100:$D$115,0))*INDEX(EF!$H$116:$H$131,MATCH('Net zero emission reductions'!$G1436,EF!$D$116:$D$131,0))*kgtoGg</f>
        <v>1.8191761681794601E-2</v>
      </c>
      <c r="X1436" s="22">
        <f>INDEX('Net zero Activity data'!AQ$24:AQ$39,MATCH('Net zero emission reductions'!$G1436,'Net zero Activity data'!$D$24:$D$39,0))*INDEX(EF!$H$84:$H$99,MATCH('Net zero emission reductions'!$G1436,EF!$D$84:$D$99,0))*INDEX(EF!$H$100:$H$115,MATCH('Net zero emission reductions'!$G1436,EF!$D$100:$D$115,0))*INDEX(EF!$H$116:$H$131,MATCH('Net zero emission reductions'!$G1436,EF!$D$116:$D$131,0))*kgtoGg</f>
        <v>1.8302774507860373E-2</v>
      </c>
      <c r="Y1436" s="22">
        <f>INDEX('Net zero Activity data'!AR$24:AR$39,MATCH('Net zero emission reductions'!$G1436,'Net zero Activity data'!$D$24:$D$39,0))*INDEX(EF!$H$84:$H$99,MATCH('Net zero emission reductions'!$G1436,EF!$D$84:$D$99,0))*INDEX(EF!$H$100:$H$115,MATCH('Net zero emission reductions'!$G1436,EF!$D$100:$D$115,0))*INDEX(EF!$H$116:$H$131,MATCH('Net zero emission reductions'!$G1436,EF!$D$116:$D$131,0))*kgtoGg</f>
        <v>1.8413787333926148E-2</v>
      </c>
      <c r="Z1436" s="22">
        <f>INDEX('Net zero Activity data'!AS$24:AS$39,MATCH('Net zero emission reductions'!$G1436,'Net zero Activity data'!$D$24:$D$39,0))*INDEX(EF!$H$84:$H$99,MATCH('Net zero emission reductions'!$G1436,EF!$D$84:$D$99,0))*INDEX(EF!$H$100:$H$115,MATCH('Net zero emission reductions'!$G1436,EF!$D$100:$D$115,0))*INDEX(EF!$H$116:$H$131,MATCH('Net zero emission reductions'!$G1436,EF!$D$116:$D$131,0))*kgtoGg</f>
        <v>1.852480015999192E-2</v>
      </c>
      <c r="AA1436" s="22">
        <f>INDEX('Net zero Activity data'!AT$24:AT$39,MATCH('Net zero emission reductions'!$G1436,'Net zero Activity data'!$D$24:$D$39,0))*INDEX(EF!$H$84:$H$99,MATCH('Net zero emission reductions'!$G1436,EF!$D$84:$D$99,0))*INDEX(EF!$H$100:$H$115,MATCH('Net zero emission reductions'!$G1436,EF!$D$100:$D$115,0))*INDEX(EF!$H$116:$H$131,MATCH('Net zero emission reductions'!$G1436,EF!$D$116:$D$131,0))*kgtoGg</f>
        <v>1.8635812986057699E-2</v>
      </c>
      <c r="AB1436" s="22">
        <f>INDEX('Net zero Activity data'!AU$24:AU$39,MATCH('Net zero emission reductions'!$G1436,'Net zero Activity data'!$D$24:$D$39,0))*INDEX(EF!$H$84:$H$99,MATCH('Net zero emission reductions'!$G1436,EF!$D$84:$D$99,0))*INDEX(EF!$H$100:$H$115,MATCH('Net zero emission reductions'!$G1436,EF!$D$100:$D$115,0))*INDEX(EF!$H$116:$H$131,MATCH('Net zero emission reductions'!$G1436,EF!$D$116:$D$131,0))*kgtoGg</f>
        <v>1.8746825812123474E-2</v>
      </c>
      <c r="AC1436" s="22">
        <f>INDEX('Net zero Activity data'!AV$24:AV$39,MATCH('Net zero emission reductions'!$G1436,'Net zero Activity data'!$D$24:$D$39,0))*INDEX(EF!$H$84:$H$99,MATCH('Net zero emission reductions'!$G1436,EF!$D$84:$D$99,0))*INDEX(EF!$H$100:$H$115,MATCH('Net zero emission reductions'!$G1436,EF!$D$100:$D$115,0))*INDEX(EF!$H$116:$H$131,MATCH('Net zero emission reductions'!$G1436,EF!$D$116:$D$131,0))*kgtoGg</f>
        <v>1.8857838638189253E-2</v>
      </c>
      <c r="AD1436" s="22">
        <f>INDEX('Net zero Activity data'!AW$24:AW$39,MATCH('Net zero emission reductions'!$G1436,'Net zero Activity data'!$D$24:$D$39,0))*INDEX(EF!$H$84:$H$99,MATCH('Net zero emission reductions'!$G1436,EF!$D$84:$D$99,0))*INDEX(EF!$H$100:$H$115,MATCH('Net zero emission reductions'!$G1436,EF!$D$100:$D$115,0))*INDEX(EF!$H$116:$H$131,MATCH('Net zero emission reductions'!$G1436,EF!$D$116:$D$131,0))*kgtoGg</f>
        <v>1.8968851464255032E-2</v>
      </c>
      <c r="AE1436" s="22">
        <f>INDEX('Net zero Activity data'!AX$24:AX$39,MATCH('Net zero emission reductions'!$G1436,'Net zero Activity data'!$D$24:$D$39,0))*INDEX(EF!$H$84:$H$99,MATCH('Net zero emission reductions'!$G1436,EF!$D$84:$D$99,0))*INDEX(EF!$H$100:$H$115,MATCH('Net zero emission reductions'!$G1436,EF!$D$100:$D$115,0))*INDEX(EF!$H$116:$H$131,MATCH('Net zero emission reductions'!$G1436,EF!$D$116:$D$131,0))*kgtoGg</f>
        <v>1.9079864290320804E-2</v>
      </c>
      <c r="AF1436" s="22">
        <f>INDEX('Net zero Activity data'!AY$24:AY$39,MATCH('Net zero emission reductions'!$G1436,'Net zero Activity data'!$D$24:$D$39,0))*INDEX(EF!$H$84:$H$99,MATCH('Net zero emission reductions'!$G1436,EF!$D$84:$D$99,0))*INDEX(EF!$H$100:$H$115,MATCH('Net zero emission reductions'!$G1436,EF!$D$100:$D$115,0))*INDEX(EF!$H$116:$H$131,MATCH('Net zero emission reductions'!$G1436,EF!$D$116:$D$131,0))*kgtoGg</f>
        <v>1.9190877116386583E-2</v>
      </c>
      <c r="AG1436" s="22">
        <f>INDEX('Net zero Activity data'!AZ$24:AZ$39,MATCH('Net zero emission reductions'!$G1436,'Net zero Activity data'!$D$24:$D$39,0))*INDEX(EF!$H$84:$H$99,MATCH('Net zero emission reductions'!$G1436,EF!$D$84:$D$99,0))*INDEX(EF!$H$100:$H$115,MATCH('Net zero emission reductions'!$G1436,EF!$D$100:$D$115,0))*INDEX(EF!$H$116:$H$131,MATCH('Net zero emission reductions'!$G1436,EF!$D$116:$D$131,0))*kgtoGg</f>
        <v>1.9301889942452358E-2</v>
      </c>
      <c r="AH1436" s="22">
        <f>INDEX('Net zero Activity data'!BA$24:BA$39,MATCH('Net zero emission reductions'!$G1436,'Net zero Activity data'!$D$24:$D$39,0))*INDEX(EF!$H$84:$H$99,MATCH('Net zero emission reductions'!$G1436,EF!$D$84:$D$99,0))*INDEX(EF!$H$100:$H$115,MATCH('Net zero emission reductions'!$G1436,EF!$D$100:$D$115,0))*INDEX(EF!$H$116:$H$131,MATCH('Net zero emission reductions'!$G1436,EF!$D$116:$D$131,0))*kgtoGg</f>
        <v>1.9412902768518137E-2</v>
      </c>
      <c r="AI1436" s="22">
        <f>INDEX('Net zero Activity data'!BB$24:BB$39,MATCH('Net zero emission reductions'!$G1436,'Net zero Activity data'!$D$24:$D$39,0))*INDEX(EF!$H$84:$H$99,MATCH('Net zero emission reductions'!$G1436,EF!$D$84:$D$99,0))*INDEX(EF!$H$100:$H$115,MATCH('Net zero emission reductions'!$G1436,EF!$D$100:$D$115,0))*INDEX(EF!$H$116:$H$131,MATCH('Net zero emission reductions'!$G1436,EF!$D$116:$D$131,0))*kgtoGg</f>
        <v>1.9523915594583916E-2</v>
      </c>
      <c r="AJ1436" s="22">
        <f>INDEX('Net zero Activity data'!BC$24:BC$39,MATCH('Net zero emission reductions'!$G1436,'Net zero Activity data'!$D$24:$D$39,0))*INDEX(EF!$H$84:$H$99,MATCH('Net zero emission reductions'!$G1436,EF!$D$84:$D$99,0))*INDEX(EF!$H$100:$H$115,MATCH('Net zero emission reductions'!$G1436,EF!$D$100:$D$115,0))*INDEX(EF!$H$116:$H$131,MATCH('Net zero emission reductions'!$G1436,EF!$D$116:$D$131,0))*kgtoGg</f>
        <v>1.9634928420649695E-2</v>
      </c>
      <c r="AK1436" s="22">
        <f>INDEX('Net zero Activity data'!BD$24:BD$39,MATCH('Net zero emission reductions'!$G1436,'Net zero Activity data'!$D$24:$D$39,0))*INDEX(EF!$H$84:$H$99,MATCH('Net zero emission reductions'!$G1436,EF!$D$84:$D$99,0))*INDEX(EF!$H$100:$H$115,MATCH('Net zero emission reductions'!$G1436,EF!$D$100:$D$115,0))*INDEX(EF!$H$116:$H$131,MATCH('Net zero emission reductions'!$G1436,EF!$D$116:$D$131,0))*kgtoGg</f>
        <v>1.9745941246715467E-2</v>
      </c>
      <c r="AL1436" s="22">
        <f>INDEX('Net zero Activity data'!BE$24:BE$39,MATCH('Net zero emission reductions'!$G1436,'Net zero Activity data'!$D$24:$D$39,0))*INDEX(EF!$H$84:$H$99,MATCH('Net zero emission reductions'!$G1436,EF!$D$84:$D$99,0))*INDEX(EF!$H$100:$H$115,MATCH('Net zero emission reductions'!$G1436,EF!$D$100:$D$115,0))*INDEX(EF!$H$116:$H$131,MATCH('Net zero emission reductions'!$G1436,EF!$D$116:$D$131,0))*kgtoGg</f>
        <v>1.9856954072781246E-2</v>
      </c>
      <c r="AM1436" s="22">
        <f>INDEX('Net zero Activity data'!BF$24:BF$39,MATCH('Net zero emission reductions'!$G1436,'Net zero Activity data'!$D$24:$D$39,0))*INDEX(EF!$H$84:$H$99,MATCH('Net zero emission reductions'!$G1436,EF!$D$84:$D$99,0))*INDEX(EF!$H$100:$H$115,MATCH('Net zero emission reductions'!$G1436,EF!$D$100:$D$115,0))*INDEX(EF!$H$116:$H$131,MATCH('Net zero emission reductions'!$G1436,EF!$D$116:$D$131,0))*kgtoGg</f>
        <v>1.9967966898847021E-2</v>
      </c>
      <c r="AN1436" s="22">
        <f>INDEX('Net zero Activity data'!BG$24:BG$39,MATCH('Net zero emission reductions'!$G1436,'Net zero Activity data'!$D$24:$D$39,0))*INDEX(EF!$H$84:$H$99,MATCH('Net zero emission reductions'!$G1436,EF!$D$84:$D$99,0))*INDEX(EF!$H$100:$H$115,MATCH('Net zero emission reductions'!$G1436,EF!$D$100:$D$115,0))*INDEX(EF!$H$116:$H$131,MATCH('Net zero emission reductions'!$G1436,EF!$D$116:$D$131,0))*kgtoGg</f>
        <v>2.0078979724912797E-2</v>
      </c>
      <c r="AO1436" s="22">
        <f>INDEX('Net zero Activity data'!BH$24:BH$39,MATCH('Net zero emission reductions'!$G1436,'Net zero Activity data'!$D$24:$D$39,0))*INDEX(EF!$H$84:$H$99,MATCH('Net zero emission reductions'!$G1436,EF!$D$84:$D$99,0))*INDEX(EF!$H$100:$H$115,MATCH('Net zero emission reductions'!$G1436,EF!$D$100:$D$115,0))*INDEX(EF!$H$116:$H$131,MATCH('Net zero emission reductions'!$G1436,EF!$D$116:$D$131,0))*kgtoGg</f>
        <v>2.0189992550978576E-2</v>
      </c>
      <c r="AP1436" s="22">
        <f>INDEX('Net zero Activity data'!BI$24:BI$39,MATCH('Net zero emission reductions'!$G1436,'Net zero Activity data'!$D$24:$D$39,0))*INDEX(EF!$H$84:$H$99,MATCH('Net zero emission reductions'!$G1436,EF!$D$84:$D$99,0))*INDEX(EF!$H$100:$H$115,MATCH('Net zero emission reductions'!$G1436,EF!$D$100:$D$115,0))*INDEX(EF!$H$116:$H$131,MATCH('Net zero emission reductions'!$G1436,EF!$D$116:$D$131,0))*kgtoGg</f>
        <v>2.0301005377044351E-2</v>
      </c>
      <c r="AQ1436" s="22">
        <f>INDEX('Net zero Activity data'!BJ$24:BJ$39,MATCH('Net zero emission reductions'!$G1436,'Net zero Activity data'!$D$24:$D$39,0))*INDEX(EF!$H$84:$H$99,MATCH('Net zero emission reductions'!$G1436,EF!$D$84:$D$99,0))*INDEX(EF!$H$100:$H$115,MATCH('Net zero emission reductions'!$G1436,EF!$D$100:$D$115,0))*INDEX(EF!$H$116:$H$131,MATCH('Net zero emission reductions'!$G1436,EF!$D$116:$D$131,0))*kgtoGg</f>
        <v>2.0412018203110126E-2</v>
      </c>
      <c r="AR1436" s="22">
        <f>INDEX('Net zero Activity data'!BK$24:BK$39,MATCH('Net zero emission reductions'!$G1436,'Net zero Activity data'!$D$24:$D$39,0))*INDEX(EF!$H$84:$H$99,MATCH('Net zero emission reductions'!$G1436,EF!$D$84:$D$99,0))*INDEX(EF!$H$100:$H$115,MATCH('Net zero emission reductions'!$G1436,EF!$D$100:$D$115,0))*INDEX(EF!$H$116:$H$131,MATCH('Net zero emission reductions'!$G1436,EF!$D$116:$D$131,0))*kgtoGg</f>
        <v>2.0523031029175905E-2</v>
      </c>
      <c r="AS1436" s="22">
        <f>INDEX('Net zero Activity data'!BL$24:BL$39,MATCH('Net zero emission reductions'!$G1436,'Net zero Activity data'!$D$24:$D$39,0))*INDEX(EF!$H$84:$H$99,MATCH('Net zero emission reductions'!$G1436,EF!$D$84:$D$99,0))*INDEX(EF!$H$100:$H$115,MATCH('Net zero emission reductions'!$G1436,EF!$D$100:$D$115,0))*INDEX(EF!$H$116:$H$131,MATCH('Net zero emission reductions'!$G1436,EF!$D$116:$D$131,0))*kgtoGg</f>
        <v>2.0634043855241681E-2</v>
      </c>
      <c r="AT1436" s="22">
        <f>INDEX('Net zero Activity data'!BM$24:BM$39,MATCH('Net zero emission reductions'!$G1436,'Net zero Activity data'!$D$24:$D$39,0))*INDEX(EF!$H$84:$H$99,MATCH('Net zero emission reductions'!$G1436,EF!$D$84:$D$99,0))*INDEX(EF!$H$100:$H$115,MATCH('Net zero emission reductions'!$G1436,EF!$D$100:$D$115,0))*INDEX(EF!$H$116:$H$131,MATCH('Net zero emission reductions'!$G1436,EF!$D$116:$D$131,0))*kgtoGg</f>
        <v>2.074505668130746E-2</v>
      </c>
      <c r="AU1436" s="22">
        <f>INDEX('Net zero Activity data'!BN$24:BN$39,MATCH('Net zero emission reductions'!$G1436,'Net zero Activity data'!$D$24:$D$39,0))*INDEX(EF!$H$84:$H$99,MATCH('Net zero emission reductions'!$G1436,EF!$D$84:$D$99,0))*INDEX(EF!$H$100:$H$115,MATCH('Net zero emission reductions'!$G1436,EF!$D$100:$D$115,0))*INDEX(EF!$H$116:$H$131,MATCH('Net zero emission reductions'!$G1436,EF!$D$116:$D$131,0))*kgtoGg</f>
        <v>2.0856069507373235E-2</v>
      </c>
      <c r="AV1436" s="22">
        <f>INDEX('Net zero Activity data'!BO$24:BO$39,MATCH('Net zero emission reductions'!$G1436,'Net zero Activity data'!$D$24:$D$39,0))*INDEX(EF!$H$84:$H$99,MATCH('Net zero emission reductions'!$G1436,EF!$D$84:$D$99,0))*INDEX(EF!$H$100:$H$115,MATCH('Net zero emission reductions'!$G1436,EF!$D$100:$D$115,0))*INDEX(EF!$H$116:$H$131,MATCH('Net zero emission reductions'!$G1436,EF!$D$116:$D$131,0))*kgtoGg</f>
        <v>2.0967082333439007E-2</v>
      </c>
      <c r="AW1436" s="22">
        <f>INDEX('Net zero Activity data'!BP$24:BP$39,MATCH('Net zero emission reductions'!$G1436,'Net zero Activity data'!$D$24:$D$39,0))*INDEX(EF!$H$84:$H$99,MATCH('Net zero emission reductions'!$G1436,EF!$D$84:$D$99,0))*INDEX(EF!$H$100:$H$115,MATCH('Net zero emission reductions'!$G1436,EF!$D$100:$D$115,0))*INDEX(EF!$H$116:$H$131,MATCH('Net zero emission reductions'!$G1436,EF!$D$116:$D$131,0))*kgtoGg</f>
        <v>2.1078095159504782E-2</v>
      </c>
    </row>
    <row r="1437" spans="1:49" x14ac:dyDescent="0.25">
      <c r="A1437" s="102" t="s">
        <v>961</v>
      </c>
      <c r="B1437" s="102"/>
      <c r="C1437" s="102"/>
      <c r="D1437" t="str">
        <f t="shared" si="555"/>
        <v>3C Aggregated and non-CO2 emissions on land</v>
      </c>
      <c r="E1437" t="str">
        <f t="shared" si="555"/>
        <v>3C1 Biomass burning (CH4)</v>
      </c>
      <c r="F1437" t="str">
        <f t="shared" si="557"/>
        <v>3C1b Biomass burning in Croplands</v>
      </c>
      <c r="G1437" t="str">
        <f>EF!D92</f>
        <v>Cropland subsistence</v>
      </c>
      <c r="H1437" t="s">
        <v>649</v>
      </c>
      <c r="I1437" t="str">
        <f t="shared" ref="I1437:J1444" si="558">I1436</f>
        <v>CH4</v>
      </c>
      <c r="J1437" t="str">
        <f t="shared" si="558"/>
        <v>Gg CH4</v>
      </c>
      <c r="K1437" s="22">
        <f>INDEX('Net zero Activity data'!AD$24:AD$39,MATCH('Net zero emission reductions'!$G1437,'Net zero Activity data'!$D$24:$D$39,0))*INDEX(EF!$H$84:$H$99,MATCH('Net zero emission reductions'!$G1437,EF!$D$84:$D$99,0))*INDEX(EF!$H$100:$H$115,MATCH('Net zero emission reductions'!$G1437,EF!$D$100:$D$115,0))*INDEX(EF!$H$116:$H$131,MATCH('Net zero emission reductions'!$G1437,EF!$D$116:$D$131,0))*kgtoGg</f>
        <v>2.1063465196390041</v>
      </c>
      <c r="L1437" s="22">
        <f>INDEX('Net zero Activity data'!AE$24:AE$39,MATCH('Net zero emission reductions'!$G1437,'Net zero Activity data'!$D$24:$D$39,0))*INDEX(EF!$H$84:$H$99,MATCH('Net zero emission reductions'!$G1437,EF!$D$84:$D$99,0))*INDEX(EF!$H$100:$H$115,MATCH('Net zero emission reductions'!$G1437,EF!$D$100:$D$115,0))*INDEX(EF!$H$116:$H$131,MATCH('Net zero emission reductions'!$G1437,EF!$D$116:$D$131,0))*kgtoGg</f>
        <v>2.1066609711212716</v>
      </c>
      <c r="M1437" s="22">
        <f>INDEX('Net zero Activity data'!AF$24:AF$39,MATCH('Net zero emission reductions'!$G1437,'Net zero Activity data'!$D$24:$D$39,0))*INDEX(EF!$H$84:$H$99,MATCH('Net zero emission reductions'!$G1437,EF!$D$84:$D$99,0))*INDEX(EF!$H$100:$H$115,MATCH('Net zero emission reductions'!$G1437,EF!$D$100:$D$115,0))*INDEX(EF!$H$116:$H$131,MATCH('Net zero emission reductions'!$G1437,EF!$D$116:$D$131,0))*kgtoGg</f>
        <v>2.1069754226035395</v>
      </c>
      <c r="N1437" s="22">
        <f>INDEX('Net zero Activity data'!AG$24:AG$39,MATCH('Net zero emission reductions'!$G1437,'Net zero Activity data'!$D$24:$D$39,0))*INDEX(EF!$H$84:$H$99,MATCH('Net zero emission reductions'!$G1437,EF!$D$84:$D$99,0))*INDEX(EF!$H$100:$H$115,MATCH('Net zero emission reductions'!$G1437,EF!$D$100:$D$115,0))*INDEX(EF!$H$116:$H$131,MATCH('Net zero emission reductions'!$G1437,EF!$D$116:$D$131,0))*kgtoGg</f>
        <v>2.1072898740858075</v>
      </c>
      <c r="O1437" s="22">
        <f>INDEX('Net zero Activity data'!AH$24:AH$39,MATCH('Net zero emission reductions'!$G1437,'Net zero Activity data'!$D$24:$D$39,0))*INDEX(EF!$H$84:$H$99,MATCH('Net zero emission reductions'!$G1437,EF!$D$84:$D$99,0))*INDEX(EF!$H$100:$H$115,MATCH('Net zero emission reductions'!$G1437,EF!$D$100:$D$115,0))*INDEX(EF!$H$116:$H$131,MATCH('Net zero emission reductions'!$G1437,EF!$D$116:$D$131,0))*kgtoGg</f>
        <v>2.1076043255680759</v>
      </c>
      <c r="P1437" s="22">
        <f>INDEX('Net zero Activity data'!AI$24:AI$39,MATCH('Net zero emission reductions'!$G1437,'Net zero Activity data'!$D$24:$D$39,0))*INDEX(EF!$H$84:$H$99,MATCH('Net zero emission reductions'!$G1437,EF!$D$84:$D$99,0))*INDEX(EF!$H$100:$H$115,MATCH('Net zero emission reductions'!$G1437,EF!$D$100:$D$115,0))*INDEX(EF!$H$116:$H$131,MATCH('Net zero emission reductions'!$G1437,EF!$D$116:$D$131,0))*kgtoGg</f>
        <v>2.1079187770503438</v>
      </c>
      <c r="Q1437" s="22">
        <f>INDEX('Net zero Activity data'!AJ$24:AJ$39,MATCH('Net zero emission reductions'!$G1437,'Net zero Activity data'!$D$24:$D$39,0))*INDEX(EF!$H$84:$H$99,MATCH('Net zero emission reductions'!$G1437,EF!$D$84:$D$99,0))*INDEX(EF!$H$100:$H$115,MATCH('Net zero emission reductions'!$G1437,EF!$D$100:$D$115,0))*INDEX(EF!$H$116:$H$131,MATCH('Net zero emission reductions'!$G1437,EF!$D$116:$D$131,0))*kgtoGg</f>
        <v>2.1082332285326113</v>
      </c>
      <c r="R1437" s="22">
        <f>INDEX('Net zero Activity data'!AK$24:AK$39,MATCH('Net zero emission reductions'!$G1437,'Net zero Activity data'!$D$24:$D$39,0))*INDEX(EF!$H$84:$H$99,MATCH('Net zero emission reductions'!$G1437,EF!$D$84:$D$99,0))*INDEX(EF!$H$100:$H$115,MATCH('Net zero emission reductions'!$G1437,EF!$D$100:$D$115,0))*INDEX(EF!$H$116:$H$131,MATCH('Net zero emission reductions'!$G1437,EF!$D$116:$D$131,0))*kgtoGg</f>
        <v>2.1085476800148797</v>
      </c>
      <c r="S1437" s="22">
        <f>INDEX('Net zero Activity data'!AL$24:AL$39,MATCH('Net zero emission reductions'!$G1437,'Net zero Activity data'!$D$24:$D$39,0))*INDEX(EF!$H$84:$H$99,MATCH('Net zero emission reductions'!$G1437,EF!$D$84:$D$99,0))*INDEX(EF!$H$100:$H$115,MATCH('Net zero emission reductions'!$G1437,EF!$D$100:$D$115,0))*INDEX(EF!$H$116:$H$131,MATCH('Net zero emission reductions'!$G1437,EF!$D$116:$D$131,0))*kgtoGg</f>
        <v>2.1088621314971481</v>
      </c>
      <c r="T1437" s="22">
        <f>INDEX('Net zero Activity data'!AM$24:AM$39,MATCH('Net zero emission reductions'!$G1437,'Net zero Activity data'!$D$24:$D$39,0))*INDEX(EF!$H$84:$H$99,MATCH('Net zero emission reductions'!$G1437,EF!$D$84:$D$99,0))*INDEX(EF!$H$100:$H$115,MATCH('Net zero emission reductions'!$G1437,EF!$D$100:$D$115,0))*INDEX(EF!$H$116:$H$131,MATCH('Net zero emission reductions'!$G1437,EF!$D$116:$D$131,0))*kgtoGg</f>
        <v>2.109176582979416</v>
      </c>
      <c r="U1437" s="22">
        <f>INDEX('Net zero Activity data'!AN$24:AN$39,MATCH('Net zero emission reductions'!$G1437,'Net zero Activity data'!$D$24:$D$39,0))*INDEX(EF!$H$84:$H$99,MATCH('Net zero emission reductions'!$G1437,EF!$D$84:$D$99,0))*INDEX(EF!$H$100:$H$115,MATCH('Net zero emission reductions'!$G1437,EF!$D$100:$D$115,0))*INDEX(EF!$H$116:$H$131,MATCH('Net zero emission reductions'!$G1437,EF!$D$116:$D$131,0))*kgtoGg</f>
        <v>2.1094910344616835</v>
      </c>
      <c r="V1437" s="22">
        <f>INDEX('Net zero Activity data'!AO$24:AO$39,MATCH('Net zero emission reductions'!$G1437,'Net zero Activity data'!$D$24:$D$39,0))*INDEX(EF!$H$84:$H$99,MATCH('Net zero emission reductions'!$G1437,EF!$D$84:$D$99,0))*INDEX(EF!$H$100:$H$115,MATCH('Net zero emission reductions'!$G1437,EF!$D$100:$D$115,0))*INDEX(EF!$H$116:$H$131,MATCH('Net zero emission reductions'!$G1437,EF!$D$116:$D$131,0))*kgtoGg</f>
        <v>2.1098054859439519</v>
      </c>
      <c r="W1437" s="22">
        <f>INDEX('Net zero Activity data'!AP$24:AP$39,MATCH('Net zero emission reductions'!$G1437,'Net zero Activity data'!$D$24:$D$39,0))*INDEX(EF!$H$84:$H$99,MATCH('Net zero emission reductions'!$G1437,EF!$D$84:$D$99,0))*INDEX(EF!$H$100:$H$115,MATCH('Net zero emission reductions'!$G1437,EF!$D$100:$D$115,0))*INDEX(EF!$H$116:$H$131,MATCH('Net zero emission reductions'!$G1437,EF!$D$116:$D$131,0))*kgtoGg</f>
        <v>2.1101199374262194</v>
      </c>
      <c r="X1437" s="22">
        <f>INDEX('Net zero Activity data'!AQ$24:AQ$39,MATCH('Net zero emission reductions'!$G1437,'Net zero Activity data'!$D$24:$D$39,0))*INDEX(EF!$H$84:$H$99,MATCH('Net zero emission reductions'!$G1437,EF!$D$84:$D$99,0))*INDEX(EF!$H$100:$H$115,MATCH('Net zero emission reductions'!$G1437,EF!$D$100:$D$115,0))*INDEX(EF!$H$116:$H$131,MATCH('Net zero emission reductions'!$G1437,EF!$D$116:$D$131,0))*kgtoGg</f>
        <v>2.1104343889084878</v>
      </c>
      <c r="Y1437" s="22">
        <f>INDEX('Net zero Activity data'!AR$24:AR$39,MATCH('Net zero emission reductions'!$G1437,'Net zero Activity data'!$D$24:$D$39,0))*INDEX(EF!$H$84:$H$99,MATCH('Net zero emission reductions'!$G1437,EF!$D$84:$D$99,0))*INDEX(EF!$H$100:$H$115,MATCH('Net zero emission reductions'!$G1437,EF!$D$100:$D$115,0))*INDEX(EF!$H$116:$H$131,MATCH('Net zero emission reductions'!$G1437,EF!$D$116:$D$131,0))*kgtoGg</f>
        <v>2.1107488403907562</v>
      </c>
      <c r="Z1437" s="22">
        <f>INDEX('Net zero Activity data'!AS$24:AS$39,MATCH('Net zero emission reductions'!$G1437,'Net zero Activity data'!$D$24:$D$39,0))*INDEX(EF!$H$84:$H$99,MATCH('Net zero emission reductions'!$G1437,EF!$D$84:$D$99,0))*INDEX(EF!$H$100:$H$115,MATCH('Net zero emission reductions'!$G1437,EF!$D$100:$D$115,0))*INDEX(EF!$H$116:$H$131,MATCH('Net zero emission reductions'!$G1437,EF!$D$116:$D$131,0))*kgtoGg</f>
        <v>2.1110632918730237</v>
      </c>
      <c r="AA1437" s="22">
        <f>INDEX('Net zero Activity data'!AT$24:AT$39,MATCH('Net zero emission reductions'!$G1437,'Net zero Activity data'!$D$24:$D$39,0))*INDEX(EF!$H$84:$H$99,MATCH('Net zero emission reductions'!$G1437,EF!$D$84:$D$99,0))*INDEX(EF!$H$100:$H$115,MATCH('Net zero emission reductions'!$G1437,EF!$D$100:$D$115,0))*INDEX(EF!$H$116:$H$131,MATCH('Net zero emission reductions'!$G1437,EF!$D$116:$D$131,0))*kgtoGg</f>
        <v>2.111377743355292</v>
      </c>
      <c r="AB1437" s="22">
        <f>INDEX('Net zero Activity data'!AU$24:AU$39,MATCH('Net zero emission reductions'!$G1437,'Net zero Activity data'!$D$24:$D$39,0))*INDEX(EF!$H$84:$H$99,MATCH('Net zero emission reductions'!$G1437,EF!$D$84:$D$99,0))*INDEX(EF!$H$100:$H$115,MATCH('Net zero emission reductions'!$G1437,EF!$D$100:$D$115,0))*INDEX(EF!$H$116:$H$131,MATCH('Net zero emission reductions'!$G1437,EF!$D$116:$D$131,0))*kgtoGg</f>
        <v>2.1116921948375604</v>
      </c>
      <c r="AC1437" s="22">
        <f>INDEX('Net zero Activity data'!AV$24:AV$39,MATCH('Net zero emission reductions'!$G1437,'Net zero Activity data'!$D$24:$D$39,0))*INDEX(EF!$H$84:$H$99,MATCH('Net zero emission reductions'!$G1437,EF!$D$84:$D$99,0))*INDEX(EF!$H$100:$H$115,MATCH('Net zero emission reductions'!$G1437,EF!$D$100:$D$115,0))*INDEX(EF!$H$116:$H$131,MATCH('Net zero emission reductions'!$G1437,EF!$D$116:$D$131,0))*kgtoGg</f>
        <v>2.1120066463198279</v>
      </c>
      <c r="AD1437" s="22">
        <f>INDEX('Net zero Activity data'!AW$24:AW$39,MATCH('Net zero emission reductions'!$G1437,'Net zero Activity data'!$D$24:$D$39,0))*INDEX(EF!$H$84:$H$99,MATCH('Net zero emission reductions'!$G1437,EF!$D$84:$D$99,0))*INDEX(EF!$H$100:$H$115,MATCH('Net zero emission reductions'!$G1437,EF!$D$100:$D$115,0))*INDEX(EF!$H$116:$H$131,MATCH('Net zero emission reductions'!$G1437,EF!$D$116:$D$131,0))*kgtoGg</f>
        <v>2.1123210978020959</v>
      </c>
      <c r="AE1437" s="22">
        <f>INDEX('Net zero Activity data'!AX$24:AX$39,MATCH('Net zero emission reductions'!$G1437,'Net zero Activity data'!$D$24:$D$39,0))*INDEX(EF!$H$84:$H$99,MATCH('Net zero emission reductions'!$G1437,EF!$D$84:$D$99,0))*INDEX(EF!$H$100:$H$115,MATCH('Net zero emission reductions'!$G1437,EF!$D$100:$D$115,0))*INDEX(EF!$H$116:$H$131,MATCH('Net zero emission reductions'!$G1437,EF!$D$116:$D$131,0))*kgtoGg</f>
        <v>2.1126355492843643</v>
      </c>
      <c r="AF1437" s="22">
        <f>INDEX('Net zero Activity data'!AY$24:AY$39,MATCH('Net zero emission reductions'!$G1437,'Net zero Activity data'!$D$24:$D$39,0))*INDEX(EF!$H$84:$H$99,MATCH('Net zero emission reductions'!$G1437,EF!$D$84:$D$99,0))*INDEX(EF!$H$100:$H$115,MATCH('Net zero emission reductions'!$G1437,EF!$D$100:$D$115,0))*INDEX(EF!$H$116:$H$131,MATCH('Net zero emission reductions'!$G1437,EF!$D$116:$D$131,0))*kgtoGg</f>
        <v>2.1129500007666326</v>
      </c>
      <c r="AG1437" s="22">
        <f>INDEX('Net zero Activity data'!AZ$24:AZ$39,MATCH('Net zero emission reductions'!$G1437,'Net zero Activity data'!$D$24:$D$39,0))*INDEX(EF!$H$84:$H$99,MATCH('Net zero emission reductions'!$G1437,EF!$D$84:$D$99,0))*INDEX(EF!$H$100:$H$115,MATCH('Net zero emission reductions'!$G1437,EF!$D$100:$D$115,0))*INDEX(EF!$H$116:$H$131,MATCH('Net zero emission reductions'!$G1437,EF!$D$116:$D$131,0))*kgtoGg</f>
        <v>2.1132644522489006</v>
      </c>
      <c r="AH1437" s="22">
        <f>INDEX('Net zero Activity data'!BA$24:BA$39,MATCH('Net zero emission reductions'!$G1437,'Net zero Activity data'!$D$24:$D$39,0))*INDEX(EF!$H$84:$H$99,MATCH('Net zero emission reductions'!$G1437,EF!$D$84:$D$99,0))*INDEX(EF!$H$100:$H$115,MATCH('Net zero emission reductions'!$G1437,EF!$D$100:$D$115,0))*INDEX(EF!$H$116:$H$131,MATCH('Net zero emission reductions'!$G1437,EF!$D$116:$D$131,0))*kgtoGg</f>
        <v>2.1135789037311681</v>
      </c>
      <c r="AI1437" s="22">
        <f>INDEX('Net zero Activity data'!BB$24:BB$39,MATCH('Net zero emission reductions'!$G1437,'Net zero Activity data'!$D$24:$D$39,0))*INDEX(EF!$H$84:$H$99,MATCH('Net zero emission reductions'!$G1437,EF!$D$84:$D$99,0))*INDEX(EF!$H$100:$H$115,MATCH('Net zero emission reductions'!$G1437,EF!$D$100:$D$115,0))*INDEX(EF!$H$116:$H$131,MATCH('Net zero emission reductions'!$G1437,EF!$D$116:$D$131,0))*kgtoGg</f>
        <v>2.113893355213436</v>
      </c>
      <c r="AJ1437" s="22">
        <f>INDEX('Net zero Activity data'!BC$24:BC$39,MATCH('Net zero emission reductions'!$G1437,'Net zero Activity data'!$D$24:$D$39,0))*INDEX(EF!$H$84:$H$99,MATCH('Net zero emission reductions'!$G1437,EF!$D$84:$D$99,0))*INDEX(EF!$H$100:$H$115,MATCH('Net zero emission reductions'!$G1437,EF!$D$100:$D$115,0))*INDEX(EF!$H$116:$H$131,MATCH('Net zero emission reductions'!$G1437,EF!$D$116:$D$131,0))*kgtoGg</f>
        <v>2.1142078066957044</v>
      </c>
      <c r="AK1437" s="22">
        <f>INDEX('Net zero Activity data'!BD$24:BD$39,MATCH('Net zero emission reductions'!$G1437,'Net zero Activity data'!$D$24:$D$39,0))*INDEX(EF!$H$84:$H$99,MATCH('Net zero emission reductions'!$G1437,EF!$D$84:$D$99,0))*INDEX(EF!$H$100:$H$115,MATCH('Net zero emission reductions'!$G1437,EF!$D$100:$D$115,0))*INDEX(EF!$H$116:$H$131,MATCH('Net zero emission reductions'!$G1437,EF!$D$116:$D$131,0))*kgtoGg</f>
        <v>2.1145222581779723</v>
      </c>
      <c r="AL1437" s="22">
        <f>INDEX('Net zero Activity data'!BE$24:BE$39,MATCH('Net zero emission reductions'!$G1437,'Net zero Activity data'!$D$24:$D$39,0))*INDEX(EF!$H$84:$H$99,MATCH('Net zero emission reductions'!$G1437,EF!$D$84:$D$99,0))*INDEX(EF!$H$100:$H$115,MATCH('Net zero emission reductions'!$G1437,EF!$D$100:$D$115,0))*INDEX(EF!$H$116:$H$131,MATCH('Net zero emission reductions'!$G1437,EF!$D$116:$D$131,0))*kgtoGg</f>
        <v>2.1148367096602407</v>
      </c>
      <c r="AM1437" s="22">
        <f>INDEX('Net zero Activity data'!BF$24:BF$39,MATCH('Net zero emission reductions'!$G1437,'Net zero Activity data'!$D$24:$D$39,0))*INDEX(EF!$H$84:$H$99,MATCH('Net zero emission reductions'!$G1437,EF!$D$84:$D$99,0))*INDEX(EF!$H$100:$H$115,MATCH('Net zero emission reductions'!$G1437,EF!$D$100:$D$115,0))*INDEX(EF!$H$116:$H$131,MATCH('Net zero emission reductions'!$G1437,EF!$D$116:$D$131,0))*kgtoGg</f>
        <v>2.1151511611425082</v>
      </c>
      <c r="AN1437" s="22">
        <f>INDEX('Net zero Activity data'!BG$24:BG$39,MATCH('Net zero emission reductions'!$G1437,'Net zero Activity data'!$D$24:$D$39,0))*INDEX(EF!$H$84:$H$99,MATCH('Net zero emission reductions'!$G1437,EF!$D$84:$D$99,0))*INDEX(EF!$H$100:$H$115,MATCH('Net zero emission reductions'!$G1437,EF!$D$100:$D$115,0))*INDEX(EF!$H$116:$H$131,MATCH('Net zero emission reductions'!$G1437,EF!$D$116:$D$131,0))*kgtoGg</f>
        <v>2.1154656126247766</v>
      </c>
      <c r="AO1437" s="22">
        <f>INDEX('Net zero Activity data'!BH$24:BH$39,MATCH('Net zero emission reductions'!$G1437,'Net zero Activity data'!$D$24:$D$39,0))*INDEX(EF!$H$84:$H$99,MATCH('Net zero emission reductions'!$G1437,EF!$D$84:$D$99,0))*INDEX(EF!$H$100:$H$115,MATCH('Net zero emission reductions'!$G1437,EF!$D$100:$D$115,0))*INDEX(EF!$H$116:$H$131,MATCH('Net zero emission reductions'!$G1437,EF!$D$116:$D$131,0))*kgtoGg</f>
        <v>2.1157800641070446</v>
      </c>
      <c r="AP1437" s="22">
        <f>INDEX('Net zero Activity data'!BI$24:BI$39,MATCH('Net zero emission reductions'!$G1437,'Net zero Activity data'!$D$24:$D$39,0))*INDEX(EF!$H$84:$H$99,MATCH('Net zero emission reductions'!$G1437,EF!$D$84:$D$99,0))*INDEX(EF!$H$100:$H$115,MATCH('Net zero emission reductions'!$G1437,EF!$D$100:$D$115,0))*INDEX(EF!$H$116:$H$131,MATCH('Net zero emission reductions'!$G1437,EF!$D$116:$D$131,0))*kgtoGg</f>
        <v>2.1160945155893125</v>
      </c>
      <c r="AQ1437" s="22">
        <f>INDEX('Net zero Activity data'!BJ$24:BJ$39,MATCH('Net zero emission reductions'!$G1437,'Net zero Activity data'!$D$24:$D$39,0))*INDEX(EF!$H$84:$H$99,MATCH('Net zero emission reductions'!$G1437,EF!$D$84:$D$99,0))*INDEX(EF!$H$100:$H$115,MATCH('Net zero emission reductions'!$G1437,EF!$D$100:$D$115,0))*INDEX(EF!$H$116:$H$131,MATCH('Net zero emission reductions'!$G1437,EF!$D$116:$D$131,0))*kgtoGg</f>
        <v>2.11640896707158</v>
      </c>
      <c r="AR1437" s="22">
        <f>INDEX('Net zero Activity data'!BK$24:BK$39,MATCH('Net zero emission reductions'!$G1437,'Net zero Activity data'!$D$24:$D$39,0))*INDEX(EF!$H$84:$H$99,MATCH('Net zero emission reductions'!$G1437,EF!$D$84:$D$99,0))*INDEX(EF!$H$100:$H$115,MATCH('Net zero emission reductions'!$G1437,EF!$D$100:$D$115,0))*INDEX(EF!$H$116:$H$131,MATCH('Net zero emission reductions'!$G1437,EF!$D$116:$D$131,0))*kgtoGg</f>
        <v>2.1167234185538484</v>
      </c>
      <c r="AS1437" s="22">
        <f>INDEX('Net zero Activity data'!BL$24:BL$39,MATCH('Net zero emission reductions'!$G1437,'Net zero Activity data'!$D$24:$D$39,0))*INDEX(EF!$H$84:$H$99,MATCH('Net zero emission reductions'!$G1437,EF!$D$84:$D$99,0))*INDEX(EF!$H$100:$H$115,MATCH('Net zero emission reductions'!$G1437,EF!$D$100:$D$115,0))*INDEX(EF!$H$116:$H$131,MATCH('Net zero emission reductions'!$G1437,EF!$D$116:$D$131,0))*kgtoGg</f>
        <v>2.1170378700361168</v>
      </c>
      <c r="AT1437" s="22">
        <f>INDEX('Net zero Activity data'!BM$24:BM$39,MATCH('Net zero emission reductions'!$G1437,'Net zero Activity data'!$D$24:$D$39,0))*INDEX(EF!$H$84:$H$99,MATCH('Net zero emission reductions'!$G1437,EF!$D$84:$D$99,0))*INDEX(EF!$H$100:$H$115,MATCH('Net zero emission reductions'!$G1437,EF!$D$100:$D$115,0))*INDEX(EF!$H$116:$H$131,MATCH('Net zero emission reductions'!$G1437,EF!$D$116:$D$131,0))*kgtoGg</f>
        <v>2.1173523215183847</v>
      </c>
      <c r="AU1437" s="22">
        <f>INDEX('Net zero Activity data'!BN$24:BN$39,MATCH('Net zero emission reductions'!$G1437,'Net zero Activity data'!$D$24:$D$39,0))*INDEX(EF!$H$84:$H$99,MATCH('Net zero emission reductions'!$G1437,EF!$D$84:$D$99,0))*INDEX(EF!$H$100:$H$115,MATCH('Net zero emission reductions'!$G1437,EF!$D$100:$D$115,0))*INDEX(EF!$H$116:$H$131,MATCH('Net zero emission reductions'!$G1437,EF!$D$116:$D$131,0))*kgtoGg</f>
        <v>2.1176667730006526</v>
      </c>
      <c r="AV1437" s="22">
        <f>INDEX('Net zero Activity data'!BO$24:BO$39,MATCH('Net zero emission reductions'!$G1437,'Net zero Activity data'!$D$24:$D$39,0))*INDEX(EF!$H$84:$H$99,MATCH('Net zero emission reductions'!$G1437,EF!$D$84:$D$99,0))*INDEX(EF!$H$100:$H$115,MATCH('Net zero emission reductions'!$G1437,EF!$D$100:$D$115,0))*INDEX(EF!$H$116:$H$131,MATCH('Net zero emission reductions'!$G1437,EF!$D$116:$D$131,0))*kgtoGg</f>
        <v>2.117981224482921</v>
      </c>
      <c r="AW1437" s="22">
        <f>INDEX('Net zero Activity data'!BP$24:BP$39,MATCH('Net zero emission reductions'!$G1437,'Net zero Activity data'!$D$24:$D$39,0))*INDEX(EF!$H$84:$H$99,MATCH('Net zero emission reductions'!$G1437,EF!$D$84:$D$99,0))*INDEX(EF!$H$100:$H$115,MATCH('Net zero emission reductions'!$G1437,EF!$D$100:$D$115,0))*INDEX(EF!$H$116:$H$131,MATCH('Net zero emission reductions'!$G1437,EF!$D$116:$D$131,0))*kgtoGg</f>
        <v>2.1182956759651885</v>
      </c>
    </row>
    <row r="1438" spans="1:49" x14ac:dyDescent="0.25">
      <c r="A1438" s="102" t="s">
        <v>961</v>
      </c>
      <c r="B1438" s="102"/>
      <c r="C1438" s="102"/>
      <c r="D1438" t="str">
        <f t="shared" si="555"/>
        <v>3C Aggregated and non-CO2 emissions on land</v>
      </c>
      <c r="E1438" t="str">
        <f t="shared" si="555"/>
        <v>3C1 Biomass burning (CH4)</v>
      </c>
      <c r="F1438" t="str">
        <f>'IPCC Categories'!C61</f>
        <v>3C1c Biomass burning in Grasslands</v>
      </c>
      <c r="G1438" t="str">
        <f>EF!D93</f>
        <v>Grasslands</v>
      </c>
      <c r="H1438" t="s">
        <v>650</v>
      </c>
      <c r="I1438" t="str">
        <f t="shared" si="558"/>
        <v>CH4</v>
      </c>
      <c r="J1438" t="str">
        <f t="shared" si="558"/>
        <v>Gg CH4</v>
      </c>
      <c r="K1438" s="22">
        <f>INDEX('Net zero Activity data'!AD$24:AD$39,MATCH('Net zero emission reductions'!$G1438,'Net zero Activity data'!$D$24:$D$39,0))*INDEX(EF!$H$84:$H$99,MATCH('Net zero emission reductions'!$G1438,EF!$D$84:$D$99,0))*INDEX(EF!$H$100:$H$115,MATCH('Net zero emission reductions'!$G1438,EF!$D$100:$D$115,0))*INDEX(EF!$H$116:$H$131,MATCH('Net zero emission reductions'!$G1438,EF!$D$116:$D$131,0))*kgtoGg</f>
        <v>19.140814819727147</v>
      </c>
      <c r="L1438" s="22">
        <f>INDEX('Net zero Activity data'!AE$24:AE$39,MATCH('Net zero emission reductions'!$G1438,'Net zero Activity data'!$D$24:$D$39,0))*INDEX(EF!$H$84:$H$99,MATCH('Net zero emission reductions'!$G1438,EF!$D$84:$D$99,0))*INDEX(EF!$H$100:$H$115,MATCH('Net zero emission reductions'!$G1438,EF!$D$100:$D$115,0))*INDEX(EF!$H$116:$H$131,MATCH('Net zero emission reductions'!$G1438,EF!$D$116:$D$131,0))*kgtoGg</f>
        <v>19.263613253106172</v>
      </c>
      <c r="M1438" s="22">
        <f>INDEX('Net zero Activity data'!AF$24:AF$39,MATCH('Net zero emission reductions'!$G1438,'Net zero Activity data'!$D$24:$D$39,0))*INDEX(EF!$H$84:$H$99,MATCH('Net zero emission reductions'!$G1438,EF!$D$84:$D$99,0))*INDEX(EF!$H$100:$H$115,MATCH('Net zero emission reductions'!$G1438,EF!$D$100:$D$115,0))*INDEX(EF!$H$116:$H$131,MATCH('Net zero emission reductions'!$G1438,EF!$D$116:$D$131,0))*kgtoGg</f>
        <v>19.386411686485193</v>
      </c>
      <c r="N1438" s="22">
        <f>INDEX('Net zero Activity data'!AG$24:AG$39,MATCH('Net zero emission reductions'!$G1438,'Net zero Activity data'!$D$24:$D$39,0))*INDEX(EF!$H$84:$H$99,MATCH('Net zero emission reductions'!$G1438,EF!$D$84:$D$99,0))*INDEX(EF!$H$100:$H$115,MATCH('Net zero emission reductions'!$G1438,EF!$D$100:$D$115,0))*INDEX(EF!$H$116:$H$131,MATCH('Net zero emission reductions'!$G1438,EF!$D$116:$D$131,0))*kgtoGg</f>
        <v>19.509210119864214</v>
      </c>
      <c r="O1438" s="22">
        <f>INDEX('Net zero Activity data'!AH$24:AH$39,MATCH('Net zero emission reductions'!$G1438,'Net zero Activity data'!$D$24:$D$39,0))*INDEX(EF!$H$84:$H$99,MATCH('Net zero emission reductions'!$G1438,EF!$D$84:$D$99,0))*INDEX(EF!$H$100:$H$115,MATCH('Net zero emission reductions'!$G1438,EF!$D$100:$D$115,0))*INDEX(EF!$H$116:$H$131,MATCH('Net zero emission reductions'!$G1438,EF!$D$116:$D$131,0))*kgtoGg</f>
        <v>19.632008553243242</v>
      </c>
      <c r="P1438" s="22">
        <f>INDEX('Net zero Activity data'!AI$24:AI$39,MATCH('Net zero emission reductions'!$G1438,'Net zero Activity data'!$D$24:$D$39,0))*INDEX(EF!$H$84:$H$99,MATCH('Net zero emission reductions'!$G1438,EF!$D$84:$D$99,0))*INDEX(EF!$H$100:$H$115,MATCH('Net zero emission reductions'!$G1438,EF!$D$100:$D$115,0))*INDEX(EF!$H$116:$H$131,MATCH('Net zero emission reductions'!$G1438,EF!$D$116:$D$131,0))*kgtoGg</f>
        <v>19.754806986622263</v>
      </c>
      <c r="Q1438" s="22">
        <f>INDEX('Net zero Activity data'!AJ$24:AJ$39,MATCH('Net zero emission reductions'!$G1438,'Net zero Activity data'!$D$24:$D$39,0))*INDEX(EF!$H$84:$H$99,MATCH('Net zero emission reductions'!$G1438,EF!$D$84:$D$99,0))*INDEX(EF!$H$100:$H$115,MATCH('Net zero emission reductions'!$G1438,EF!$D$100:$D$115,0))*INDEX(EF!$H$116:$H$131,MATCH('Net zero emission reductions'!$G1438,EF!$D$116:$D$131,0))*kgtoGg</f>
        <v>19.877605420001284</v>
      </c>
      <c r="R1438" s="22">
        <f>INDEX('Net zero Activity data'!AK$24:AK$39,MATCH('Net zero emission reductions'!$G1438,'Net zero Activity data'!$D$24:$D$39,0))*INDEX(EF!$H$84:$H$99,MATCH('Net zero emission reductions'!$G1438,EF!$D$84:$D$99,0))*INDEX(EF!$H$100:$H$115,MATCH('Net zero emission reductions'!$G1438,EF!$D$100:$D$115,0))*INDEX(EF!$H$116:$H$131,MATCH('Net zero emission reductions'!$G1438,EF!$D$116:$D$131,0))*kgtoGg</f>
        <v>20.083827984907678</v>
      </c>
      <c r="S1438" s="22">
        <f>INDEX('Net zero Activity data'!AL$24:AL$39,MATCH('Net zero emission reductions'!$G1438,'Net zero Activity data'!$D$24:$D$39,0))*INDEX(EF!$H$84:$H$99,MATCH('Net zero emission reductions'!$G1438,EF!$D$84:$D$99,0))*INDEX(EF!$H$100:$H$115,MATCH('Net zero emission reductions'!$G1438,EF!$D$100:$D$115,0))*INDEX(EF!$H$116:$H$131,MATCH('Net zero emission reductions'!$G1438,EF!$D$116:$D$131,0))*kgtoGg</f>
        <v>20.290050549814062</v>
      </c>
      <c r="T1438" s="22">
        <f>INDEX('Net zero Activity data'!AM$24:AM$39,MATCH('Net zero emission reductions'!$G1438,'Net zero Activity data'!$D$24:$D$39,0))*INDEX(EF!$H$84:$H$99,MATCH('Net zero emission reductions'!$G1438,EF!$D$84:$D$99,0))*INDEX(EF!$H$100:$H$115,MATCH('Net zero emission reductions'!$G1438,EF!$D$100:$D$115,0))*INDEX(EF!$H$116:$H$131,MATCH('Net zero emission reductions'!$G1438,EF!$D$116:$D$131,0))*kgtoGg</f>
        <v>20.496273114720456</v>
      </c>
      <c r="U1438" s="22">
        <f>INDEX('Net zero Activity data'!AN$24:AN$39,MATCH('Net zero emission reductions'!$G1438,'Net zero Activity data'!$D$24:$D$39,0))*INDEX(EF!$H$84:$H$99,MATCH('Net zero emission reductions'!$G1438,EF!$D$84:$D$99,0))*INDEX(EF!$H$100:$H$115,MATCH('Net zero emission reductions'!$G1438,EF!$D$100:$D$115,0))*INDEX(EF!$H$116:$H$131,MATCH('Net zero emission reductions'!$G1438,EF!$D$116:$D$131,0))*kgtoGg</f>
        <v>20.702495679626839</v>
      </c>
      <c r="V1438" s="22">
        <f>INDEX('Net zero Activity data'!AO$24:AO$39,MATCH('Net zero emission reductions'!$G1438,'Net zero Activity data'!$D$24:$D$39,0))*INDEX(EF!$H$84:$H$99,MATCH('Net zero emission reductions'!$G1438,EF!$D$84:$D$99,0))*INDEX(EF!$H$100:$H$115,MATCH('Net zero emission reductions'!$G1438,EF!$D$100:$D$115,0))*INDEX(EF!$H$116:$H$131,MATCH('Net zero emission reductions'!$G1438,EF!$D$116:$D$131,0))*kgtoGg</f>
        <v>20.908718244533233</v>
      </c>
      <c r="W1438" s="22">
        <f>INDEX('Net zero Activity data'!AP$24:AP$39,MATCH('Net zero emission reductions'!$G1438,'Net zero Activity data'!$D$24:$D$39,0))*INDEX(EF!$H$84:$H$99,MATCH('Net zero emission reductions'!$G1438,EF!$D$84:$D$99,0))*INDEX(EF!$H$100:$H$115,MATCH('Net zero emission reductions'!$G1438,EF!$D$100:$D$115,0))*INDEX(EF!$H$116:$H$131,MATCH('Net zero emission reductions'!$G1438,EF!$D$116:$D$131,0))*kgtoGg</f>
        <v>21.114940809439616</v>
      </c>
      <c r="X1438" s="22">
        <f>INDEX('Net zero Activity data'!AQ$24:AQ$39,MATCH('Net zero emission reductions'!$G1438,'Net zero Activity data'!$D$24:$D$39,0))*INDEX(EF!$H$84:$H$99,MATCH('Net zero emission reductions'!$G1438,EF!$D$84:$D$99,0))*INDEX(EF!$H$100:$H$115,MATCH('Net zero emission reductions'!$G1438,EF!$D$100:$D$115,0))*INDEX(EF!$H$116:$H$131,MATCH('Net zero emission reductions'!$G1438,EF!$D$116:$D$131,0))*kgtoGg</f>
        <v>21.32116337434601</v>
      </c>
      <c r="Y1438" s="22">
        <f>INDEX('Net zero Activity data'!AR$24:AR$39,MATCH('Net zero emission reductions'!$G1438,'Net zero Activity data'!$D$24:$D$39,0))*INDEX(EF!$H$84:$H$99,MATCH('Net zero emission reductions'!$G1438,EF!$D$84:$D$99,0))*INDEX(EF!$H$100:$H$115,MATCH('Net zero emission reductions'!$G1438,EF!$D$100:$D$115,0))*INDEX(EF!$H$116:$H$131,MATCH('Net zero emission reductions'!$G1438,EF!$D$116:$D$131,0))*kgtoGg</f>
        <v>21.527385939252397</v>
      </c>
      <c r="Z1438" s="22">
        <f>INDEX('Net zero Activity data'!AS$24:AS$39,MATCH('Net zero emission reductions'!$G1438,'Net zero Activity data'!$D$24:$D$39,0))*INDEX(EF!$H$84:$H$99,MATCH('Net zero emission reductions'!$G1438,EF!$D$84:$D$99,0))*INDEX(EF!$H$100:$H$115,MATCH('Net zero emission reductions'!$G1438,EF!$D$100:$D$115,0))*INDEX(EF!$H$116:$H$131,MATCH('Net zero emission reductions'!$G1438,EF!$D$116:$D$131,0))*kgtoGg</f>
        <v>21.733608504158784</v>
      </c>
      <c r="AA1438" s="22">
        <f>INDEX('Net zero Activity data'!AT$24:AT$39,MATCH('Net zero emission reductions'!$G1438,'Net zero Activity data'!$D$24:$D$39,0))*INDEX(EF!$H$84:$H$99,MATCH('Net zero emission reductions'!$G1438,EF!$D$84:$D$99,0))*INDEX(EF!$H$100:$H$115,MATCH('Net zero emission reductions'!$G1438,EF!$D$100:$D$115,0))*INDEX(EF!$H$116:$H$131,MATCH('Net zero emission reductions'!$G1438,EF!$D$116:$D$131,0))*kgtoGg</f>
        <v>21.939831069065175</v>
      </c>
      <c r="AB1438" s="22">
        <f>INDEX('Net zero Activity data'!AU$24:AU$39,MATCH('Net zero emission reductions'!$G1438,'Net zero Activity data'!$D$24:$D$39,0))*INDEX(EF!$H$84:$H$99,MATCH('Net zero emission reductions'!$G1438,EF!$D$84:$D$99,0))*INDEX(EF!$H$100:$H$115,MATCH('Net zero emission reductions'!$G1438,EF!$D$100:$D$115,0))*INDEX(EF!$H$116:$H$131,MATCH('Net zero emission reductions'!$G1438,EF!$D$116:$D$131,0))*kgtoGg</f>
        <v>22.146053633971565</v>
      </c>
      <c r="AC1438" s="22">
        <f>INDEX('Net zero Activity data'!AV$24:AV$39,MATCH('Net zero emission reductions'!$G1438,'Net zero Activity data'!$D$24:$D$39,0))*INDEX(EF!$H$84:$H$99,MATCH('Net zero emission reductions'!$G1438,EF!$D$84:$D$99,0))*INDEX(EF!$H$100:$H$115,MATCH('Net zero emission reductions'!$G1438,EF!$D$100:$D$115,0))*INDEX(EF!$H$116:$H$131,MATCH('Net zero emission reductions'!$G1438,EF!$D$116:$D$131,0))*kgtoGg</f>
        <v>22.352276198877952</v>
      </c>
      <c r="AD1438" s="22">
        <f>INDEX('Net zero Activity data'!AW$24:AW$39,MATCH('Net zero emission reductions'!$G1438,'Net zero Activity data'!$D$24:$D$39,0))*INDEX(EF!$H$84:$H$99,MATCH('Net zero emission reductions'!$G1438,EF!$D$84:$D$99,0))*INDEX(EF!$H$100:$H$115,MATCH('Net zero emission reductions'!$G1438,EF!$D$100:$D$115,0))*INDEX(EF!$H$116:$H$131,MATCH('Net zero emission reductions'!$G1438,EF!$D$116:$D$131,0))*kgtoGg</f>
        <v>22.56201626272437</v>
      </c>
      <c r="AE1438" s="22">
        <f>INDEX('Net zero Activity data'!AX$24:AX$39,MATCH('Net zero emission reductions'!$G1438,'Net zero Activity data'!$D$24:$D$39,0))*INDEX(EF!$H$84:$H$99,MATCH('Net zero emission reductions'!$G1438,EF!$D$84:$D$99,0))*INDEX(EF!$H$100:$H$115,MATCH('Net zero emission reductions'!$G1438,EF!$D$100:$D$115,0))*INDEX(EF!$H$116:$H$131,MATCH('Net zero emission reductions'!$G1438,EF!$D$116:$D$131,0))*kgtoGg</f>
        <v>22.771756326570781</v>
      </c>
      <c r="AF1438" s="22">
        <f>INDEX('Net zero Activity data'!AY$24:AY$39,MATCH('Net zero emission reductions'!$G1438,'Net zero Activity data'!$D$24:$D$39,0))*INDEX(EF!$H$84:$H$99,MATCH('Net zero emission reductions'!$G1438,EF!$D$84:$D$99,0))*INDEX(EF!$H$100:$H$115,MATCH('Net zero emission reductions'!$G1438,EF!$D$100:$D$115,0))*INDEX(EF!$H$116:$H$131,MATCH('Net zero emission reductions'!$G1438,EF!$D$116:$D$131,0))*kgtoGg</f>
        <v>22.981496390417199</v>
      </c>
      <c r="AG1438" s="22">
        <f>INDEX('Net zero Activity data'!AZ$24:AZ$39,MATCH('Net zero emission reductions'!$G1438,'Net zero Activity data'!$D$24:$D$39,0))*INDEX(EF!$H$84:$H$99,MATCH('Net zero emission reductions'!$G1438,EF!$D$84:$D$99,0))*INDEX(EF!$H$100:$H$115,MATCH('Net zero emission reductions'!$G1438,EF!$D$100:$D$115,0))*INDEX(EF!$H$116:$H$131,MATCH('Net zero emission reductions'!$G1438,EF!$D$116:$D$131,0))*kgtoGg</f>
        <v>23.191236454263613</v>
      </c>
      <c r="AH1438" s="22">
        <f>INDEX('Net zero Activity data'!BA$24:BA$39,MATCH('Net zero emission reductions'!$G1438,'Net zero Activity data'!$D$24:$D$39,0))*INDEX(EF!$H$84:$H$99,MATCH('Net zero emission reductions'!$G1438,EF!$D$84:$D$99,0))*INDEX(EF!$H$100:$H$115,MATCH('Net zero emission reductions'!$G1438,EF!$D$100:$D$115,0))*INDEX(EF!$H$116:$H$131,MATCH('Net zero emission reductions'!$G1438,EF!$D$116:$D$131,0))*kgtoGg</f>
        <v>23.400976518110024</v>
      </c>
      <c r="AI1438" s="22">
        <f>INDEX('Net zero Activity data'!BB$24:BB$39,MATCH('Net zero emission reductions'!$G1438,'Net zero Activity data'!$D$24:$D$39,0))*INDEX(EF!$H$84:$H$99,MATCH('Net zero emission reductions'!$G1438,EF!$D$84:$D$99,0))*INDEX(EF!$H$100:$H$115,MATCH('Net zero emission reductions'!$G1438,EF!$D$100:$D$115,0))*INDEX(EF!$H$116:$H$131,MATCH('Net zero emission reductions'!$G1438,EF!$D$116:$D$131,0))*kgtoGg</f>
        <v>23.610716581956442</v>
      </c>
      <c r="AJ1438" s="22">
        <f>INDEX('Net zero Activity data'!BC$24:BC$39,MATCH('Net zero emission reductions'!$G1438,'Net zero Activity data'!$D$24:$D$39,0))*INDEX(EF!$H$84:$H$99,MATCH('Net zero emission reductions'!$G1438,EF!$D$84:$D$99,0))*INDEX(EF!$H$100:$H$115,MATCH('Net zero emission reductions'!$G1438,EF!$D$100:$D$115,0))*INDEX(EF!$H$116:$H$131,MATCH('Net zero emission reductions'!$G1438,EF!$D$116:$D$131,0))*kgtoGg</f>
        <v>23.820456645802853</v>
      </c>
      <c r="AK1438" s="22">
        <f>INDEX('Net zero Activity data'!BD$24:BD$39,MATCH('Net zero emission reductions'!$G1438,'Net zero Activity data'!$D$24:$D$39,0))*INDEX(EF!$H$84:$H$99,MATCH('Net zero emission reductions'!$G1438,EF!$D$84:$D$99,0))*INDEX(EF!$H$100:$H$115,MATCH('Net zero emission reductions'!$G1438,EF!$D$100:$D$115,0))*INDEX(EF!$H$116:$H$131,MATCH('Net zero emission reductions'!$G1438,EF!$D$116:$D$131,0))*kgtoGg</f>
        <v>24.030196709649267</v>
      </c>
      <c r="AL1438" s="22">
        <f>INDEX('Net zero Activity data'!BE$24:BE$39,MATCH('Net zero emission reductions'!$G1438,'Net zero Activity data'!$D$24:$D$39,0))*INDEX(EF!$H$84:$H$99,MATCH('Net zero emission reductions'!$G1438,EF!$D$84:$D$99,0))*INDEX(EF!$H$100:$H$115,MATCH('Net zero emission reductions'!$G1438,EF!$D$100:$D$115,0))*INDEX(EF!$H$116:$H$131,MATCH('Net zero emission reductions'!$G1438,EF!$D$116:$D$131,0))*kgtoGg</f>
        <v>24.239936773495682</v>
      </c>
      <c r="AM1438" s="22">
        <f>INDEX('Net zero Activity data'!BF$24:BF$39,MATCH('Net zero emission reductions'!$G1438,'Net zero Activity data'!$D$24:$D$39,0))*INDEX(EF!$H$84:$H$99,MATCH('Net zero emission reductions'!$G1438,EF!$D$84:$D$99,0))*INDEX(EF!$H$100:$H$115,MATCH('Net zero emission reductions'!$G1438,EF!$D$100:$D$115,0))*INDEX(EF!$H$116:$H$131,MATCH('Net zero emission reductions'!$G1438,EF!$D$116:$D$131,0))*kgtoGg</f>
        <v>24.449676837342093</v>
      </c>
      <c r="AN1438" s="22">
        <f>INDEX('Net zero Activity data'!BG$24:BG$39,MATCH('Net zero emission reductions'!$G1438,'Net zero Activity data'!$D$24:$D$39,0))*INDEX(EF!$H$84:$H$99,MATCH('Net zero emission reductions'!$G1438,EF!$D$84:$D$99,0))*INDEX(EF!$H$100:$H$115,MATCH('Net zero emission reductions'!$G1438,EF!$D$100:$D$115,0))*INDEX(EF!$H$116:$H$131,MATCH('Net zero emission reductions'!$G1438,EF!$D$116:$D$131,0))*kgtoGg</f>
        <v>24.659416901188511</v>
      </c>
      <c r="AO1438" s="22">
        <f>INDEX('Net zero Activity data'!BH$24:BH$39,MATCH('Net zero emission reductions'!$G1438,'Net zero Activity data'!$D$24:$D$39,0))*INDEX(EF!$H$84:$H$99,MATCH('Net zero emission reductions'!$G1438,EF!$D$84:$D$99,0))*INDEX(EF!$H$100:$H$115,MATCH('Net zero emission reductions'!$G1438,EF!$D$100:$D$115,0))*INDEX(EF!$H$116:$H$131,MATCH('Net zero emission reductions'!$G1438,EF!$D$116:$D$131,0))*kgtoGg</f>
        <v>24.869156965034922</v>
      </c>
      <c r="AP1438" s="22">
        <f>INDEX('Net zero Activity data'!BI$24:BI$39,MATCH('Net zero emission reductions'!$G1438,'Net zero Activity data'!$D$24:$D$39,0))*INDEX(EF!$H$84:$H$99,MATCH('Net zero emission reductions'!$G1438,EF!$D$84:$D$99,0))*INDEX(EF!$H$100:$H$115,MATCH('Net zero emission reductions'!$G1438,EF!$D$100:$D$115,0))*INDEX(EF!$H$116:$H$131,MATCH('Net zero emission reductions'!$G1438,EF!$D$116:$D$131,0))*kgtoGg</f>
        <v>25.078897028881336</v>
      </c>
      <c r="AQ1438" s="22">
        <f>INDEX('Net zero Activity data'!BJ$24:BJ$39,MATCH('Net zero emission reductions'!$G1438,'Net zero Activity data'!$D$24:$D$39,0))*INDEX(EF!$H$84:$H$99,MATCH('Net zero emission reductions'!$G1438,EF!$D$84:$D$99,0))*INDEX(EF!$H$100:$H$115,MATCH('Net zero emission reductions'!$G1438,EF!$D$100:$D$115,0))*INDEX(EF!$H$116:$H$131,MATCH('Net zero emission reductions'!$G1438,EF!$D$116:$D$131,0))*kgtoGg</f>
        <v>25.28863709272775</v>
      </c>
      <c r="AR1438" s="22">
        <f>INDEX('Net zero Activity data'!BK$24:BK$39,MATCH('Net zero emission reductions'!$G1438,'Net zero Activity data'!$D$24:$D$39,0))*INDEX(EF!$H$84:$H$99,MATCH('Net zero emission reductions'!$G1438,EF!$D$84:$D$99,0))*INDEX(EF!$H$100:$H$115,MATCH('Net zero emission reductions'!$G1438,EF!$D$100:$D$115,0))*INDEX(EF!$H$116:$H$131,MATCH('Net zero emission reductions'!$G1438,EF!$D$116:$D$131,0))*kgtoGg</f>
        <v>25.498377156574168</v>
      </c>
      <c r="AS1438" s="22">
        <f>INDEX('Net zero Activity data'!BL$24:BL$39,MATCH('Net zero emission reductions'!$G1438,'Net zero Activity data'!$D$24:$D$39,0))*INDEX(EF!$H$84:$H$99,MATCH('Net zero emission reductions'!$G1438,EF!$D$84:$D$99,0))*INDEX(EF!$H$100:$H$115,MATCH('Net zero emission reductions'!$G1438,EF!$D$100:$D$115,0))*INDEX(EF!$H$116:$H$131,MATCH('Net zero emission reductions'!$G1438,EF!$D$116:$D$131,0))*kgtoGg</f>
        <v>25.708117220420583</v>
      </c>
      <c r="AT1438" s="22">
        <f>INDEX('Net zero Activity data'!BM$24:BM$39,MATCH('Net zero emission reductions'!$G1438,'Net zero Activity data'!$D$24:$D$39,0))*INDEX(EF!$H$84:$H$99,MATCH('Net zero emission reductions'!$G1438,EF!$D$84:$D$99,0))*INDEX(EF!$H$100:$H$115,MATCH('Net zero emission reductions'!$G1438,EF!$D$100:$D$115,0))*INDEX(EF!$H$116:$H$131,MATCH('Net zero emission reductions'!$G1438,EF!$D$116:$D$131,0))*kgtoGg</f>
        <v>25.917857284266997</v>
      </c>
      <c r="AU1438" s="22">
        <f>INDEX('Net zero Activity data'!BN$24:BN$39,MATCH('Net zero emission reductions'!$G1438,'Net zero Activity data'!$D$24:$D$39,0))*INDEX(EF!$H$84:$H$99,MATCH('Net zero emission reductions'!$G1438,EF!$D$84:$D$99,0))*INDEX(EF!$H$100:$H$115,MATCH('Net zero emission reductions'!$G1438,EF!$D$100:$D$115,0))*INDEX(EF!$H$116:$H$131,MATCH('Net zero emission reductions'!$G1438,EF!$D$116:$D$131,0))*kgtoGg</f>
        <v>26.127597348113408</v>
      </c>
      <c r="AV1438" s="22">
        <f>INDEX('Net zero Activity data'!BO$24:BO$39,MATCH('Net zero emission reductions'!$G1438,'Net zero Activity data'!$D$24:$D$39,0))*INDEX(EF!$H$84:$H$99,MATCH('Net zero emission reductions'!$G1438,EF!$D$84:$D$99,0))*INDEX(EF!$H$100:$H$115,MATCH('Net zero emission reductions'!$G1438,EF!$D$100:$D$115,0))*INDEX(EF!$H$116:$H$131,MATCH('Net zero emission reductions'!$G1438,EF!$D$116:$D$131,0))*kgtoGg</f>
        <v>26.337337411959826</v>
      </c>
      <c r="AW1438" s="22">
        <f>INDEX('Net zero Activity data'!BP$24:BP$39,MATCH('Net zero emission reductions'!$G1438,'Net zero Activity data'!$D$24:$D$39,0))*INDEX(EF!$H$84:$H$99,MATCH('Net zero emission reductions'!$G1438,EF!$D$84:$D$99,0))*INDEX(EF!$H$100:$H$115,MATCH('Net zero emission reductions'!$G1438,EF!$D$100:$D$115,0))*INDEX(EF!$H$116:$H$131,MATCH('Net zero emission reductions'!$G1438,EF!$D$116:$D$131,0))*kgtoGg</f>
        <v>26.54707747580624</v>
      </c>
    </row>
    <row r="1439" spans="1:49" x14ac:dyDescent="0.25">
      <c r="A1439" s="102" t="s">
        <v>961</v>
      </c>
      <c r="B1439" s="102"/>
      <c r="C1439" s="102"/>
      <c r="D1439" t="str">
        <f t="shared" si="555"/>
        <v>3C Aggregated and non-CO2 emissions on land</v>
      </c>
      <c r="E1439" t="str">
        <f t="shared" si="555"/>
        <v>3C1 Biomass burning (CH4)</v>
      </c>
      <c r="F1439" t="str">
        <f>F1438</f>
        <v>3C1c Biomass burning in Grasslands</v>
      </c>
      <c r="G1439" t="str">
        <f>EF!D94</f>
        <v>Low shrublands</v>
      </c>
      <c r="H1439" t="s">
        <v>651</v>
      </c>
      <c r="I1439" t="str">
        <f t="shared" si="558"/>
        <v>CH4</v>
      </c>
      <c r="J1439" t="str">
        <f t="shared" si="558"/>
        <v>Gg CH4</v>
      </c>
      <c r="K1439" s="22">
        <f>INDEX('Net zero Activity data'!AD$24:AD$39,MATCH('Net zero emission reductions'!$G1439,'Net zero Activity data'!$D$24:$D$39,0))*INDEX(EF!$H$84:$H$99,MATCH('Net zero emission reductions'!$G1439,EF!$D$84:$D$99,0))*INDEX(EF!$H$100:$H$115,MATCH('Net zero emission reductions'!$G1439,EF!$D$100:$D$115,0))*INDEX(EF!$H$116:$H$131,MATCH('Net zero emission reductions'!$G1439,EF!$D$116:$D$131,0))*kgtoGg</f>
        <v>2.803719836697308</v>
      </c>
      <c r="L1439" s="22">
        <f>INDEX('Net zero Activity data'!AE$24:AE$39,MATCH('Net zero emission reductions'!$G1439,'Net zero Activity data'!$D$24:$D$39,0))*INDEX(EF!$H$84:$H$99,MATCH('Net zero emission reductions'!$G1439,EF!$D$84:$D$99,0))*INDEX(EF!$H$100:$H$115,MATCH('Net zero emission reductions'!$G1439,EF!$D$100:$D$115,0))*INDEX(EF!$H$116:$H$131,MATCH('Net zero emission reductions'!$G1439,EF!$D$116:$D$131,0))*kgtoGg</f>
        <v>2.7952952347709599</v>
      </c>
      <c r="M1439" s="22">
        <f>INDEX('Net zero Activity data'!AF$24:AF$39,MATCH('Net zero emission reductions'!$G1439,'Net zero Activity data'!$D$24:$D$39,0))*INDEX(EF!$H$84:$H$99,MATCH('Net zero emission reductions'!$G1439,EF!$D$84:$D$99,0))*INDEX(EF!$H$100:$H$115,MATCH('Net zero emission reductions'!$G1439,EF!$D$100:$D$115,0))*INDEX(EF!$H$116:$H$131,MATCH('Net zero emission reductions'!$G1439,EF!$D$116:$D$131,0))*kgtoGg</f>
        <v>2.7868706328446127</v>
      </c>
      <c r="N1439" s="22">
        <f>INDEX('Net zero Activity data'!AG$24:AG$39,MATCH('Net zero emission reductions'!$G1439,'Net zero Activity data'!$D$24:$D$39,0))*INDEX(EF!$H$84:$H$99,MATCH('Net zero emission reductions'!$G1439,EF!$D$84:$D$99,0))*INDEX(EF!$H$100:$H$115,MATCH('Net zero emission reductions'!$G1439,EF!$D$100:$D$115,0))*INDEX(EF!$H$116:$H$131,MATCH('Net zero emission reductions'!$G1439,EF!$D$116:$D$131,0))*kgtoGg</f>
        <v>2.7784460309182646</v>
      </c>
      <c r="O1439" s="22">
        <f>INDEX('Net zero Activity data'!AH$24:AH$39,MATCH('Net zero emission reductions'!$G1439,'Net zero Activity data'!$D$24:$D$39,0))*INDEX(EF!$H$84:$H$99,MATCH('Net zero emission reductions'!$G1439,EF!$D$84:$D$99,0))*INDEX(EF!$H$100:$H$115,MATCH('Net zero emission reductions'!$G1439,EF!$D$100:$D$115,0))*INDEX(EF!$H$116:$H$131,MATCH('Net zero emission reductions'!$G1439,EF!$D$116:$D$131,0))*kgtoGg</f>
        <v>2.7700214289919165</v>
      </c>
      <c r="P1439" s="22">
        <f>INDEX('Net zero Activity data'!AI$24:AI$39,MATCH('Net zero emission reductions'!$G1439,'Net zero Activity data'!$D$24:$D$39,0))*INDEX(EF!$H$84:$H$99,MATCH('Net zero emission reductions'!$G1439,EF!$D$84:$D$99,0))*INDEX(EF!$H$100:$H$115,MATCH('Net zero emission reductions'!$G1439,EF!$D$100:$D$115,0))*INDEX(EF!$H$116:$H$131,MATCH('Net zero emission reductions'!$G1439,EF!$D$116:$D$131,0))*kgtoGg</f>
        <v>2.7615968270655689</v>
      </c>
      <c r="Q1439" s="22">
        <f>INDEX('Net zero Activity data'!AJ$24:AJ$39,MATCH('Net zero emission reductions'!$G1439,'Net zero Activity data'!$D$24:$D$39,0))*INDEX(EF!$H$84:$H$99,MATCH('Net zero emission reductions'!$G1439,EF!$D$84:$D$99,0))*INDEX(EF!$H$100:$H$115,MATCH('Net zero emission reductions'!$G1439,EF!$D$100:$D$115,0))*INDEX(EF!$H$116:$H$131,MATCH('Net zero emission reductions'!$G1439,EF!$D$116:$D$131,0))*kgtoGg</f>
        <v>2.7531722251392212</v>
      </c>
      <c r="R1439" s="22">
        <f>INDEX('Net zero Activity data'!AK$24:AK$39,MATCH('Net zero emission reductions'!$G1439,'Net zero Activity data'!$D$24:$D$39,0))*INDEX(EF!$H$84:$H$99,MATCH('Net zero emission reductions'!$G1439,EF!$D$84:$D$99,0))*INDEX(EF!$H$100:$H$115,MATCH('Net zero emission reductions'!$G1439,EF!$D$100:$D$115,0))*INDEX(EF!$H$116:$H$131,MATCH('Net zero emission reductions'!$G1439,EF!$D$116:$D$131,0))*kgtoGg</f>
        <v>2.7447476232128731</v>
      </c>
      <c r="S1439" s="22">
        <f>INDEX('Net zero Activity data'!AL$24:AL$39,MATCH('Net zero emission reductions'!$G1439,'Net zero Activity data'!$D$24:$D$39,0))*INDEX(EF!$H$84:$H$99,MATCH('Net zero emission reductions'!$G1439,EF!$D$84:$D$99,0))*INDEX(EF!$H$100:$H$115,MATCH('Net zero emission reductions'!$G1439,EF!$D$100:$D$115,0))*INDEX(EF!$H$116:$H$131,MATCH('Net zero emission reductions'!$G1439,EF!$D$116:$D$131,0))*kgtoGg</f>
        <v>2.7363230212865255</v>
      </c>
      <c r="T1439" s="22">
        <f>INDEX('Net zero Activity data'!AM$24:AM$39,MATCH('Net zero emission reductions'!$G1439,'Net zero Activity data'!$D$24:$D$39,0))*INDEX(EF!$H$84:$H$99,MATCH('Net zero emission reductions'!$G1439,EF!$D$84:$D$99,0))*INDEX(EF!$H$100:$H$115,MATCH('Net zero emission reductions'!$G1439,EF!$D$100:$D$115,0))*INDEX(EF!$H$116:$H$131,MATCH('Net zero emission reductions'!$G1439,EF!$D$116:$D$131,0))*kgtoGg</f>
        <v>2.7278984193601779</v>
      </c>
      <c r="U1439" s="22">
        <f>INDEX('Net zero Activity data'!AN$24:AN$39,MATCH('Net zero emission reductions'!$G1439,'Net zero Activity data'!$D$24:$D$39,0))*INDEX(EF!$H$84:$H$99,MATCH('Net zero emission reductions'!$G1439,EF!$D$84:$D$99,0))*INDEX(EF!$H$100:$H$115,MATCH('Net zero emission reductions'!$G1439,EF!$D$100:$D$115,0))*INDEX(EF!$H$116:$H$131,MATCH('Net zero emission reductions'!$G1439,EF!$D$116:$D$131,0))*kgtoGg</f>
        <v>2.7194738174338302</v>
      </c>
      <c r="V1439" s="22">
        <f>INDEX('Net zero Activity data'!AO$24:AO$39,MATCH('Net zero emission reductions'!$G1439,'Net zero Activity data'!$D$24:$D$39,0))*INDEX(EF!$H$84:$H$99,MATCH('Net zero emission reductions'!$G1439,EF!$D$84:$D$99,0))*INDEX(EF!$H$100:$H$115,MATCH('Net zero emission reductions'!$G1439,EF!$D$100:$D$115,0))*INDEX(EF!$H$116:$H$131,MATCH('Net zero emission reductions'!$G1439,EF!$D$116:$D$131,0))*kgtoGg</f>
        <v>2.7110492155074826</v>
      </c>
      <c r="W1439" s="22">
        <f>INDEX('Net zero Activity data'!AP$24:AP$39,MATCH('Net zero emission reductions'!$G1439,'Net zero Activity data'!$D$24:$D$39,0))*INDEX(EF!$H$84:$H$99,MATCH('Net zero emission reductions'!$G1439,EF!$D$84:$D$99,0))*INDEX(EF!$H$100:$H$115,MATCH('Net zero emission reductions'!$G1439,EF!$D$100:$D$115,0))*INDEX(EF!$H$116:$H$131,MATCH('Net zero emission reductions'!$G1439,EF!$D$116:$D$131,0))*kgtoGg</f>
        <v>2.7026246135811345</v>
      </c>
      <c r="X1439" s="22">
        <f>INDEX('Net zero Activity data'!AQ$24:AQ$39,MATCH('Net zero emission reductions'!$G1439,'Net zero Activity data'!$D$24:$D$39,0))*INDEX(EF!$H$84:$H$99,MATCH('Net zero emission reductions'!$G1439,EF!$D$84:$D$99,0))*INDEX(EF!$H$100:$H$115,MATCH('Net zero emission reductions'!$G1439,EF!$D$100:$D$115,0))*INDEX(EF!$H$116:$H$131,MATCH('Net zero emission reductions'!$G1439,EF!$D$116:$D$131,0))*kgtoGg</f>
        <v>2.6942000116547864</v>
      </c>
      <c r="Y1439" s="22">
        <f>INDEX('Net zero Activity data'!AR$24:AR$39,MATCH('Net zero emission reductions'!$G1439,'Net zero Activity data'!$D$24:$D$39,0))*INDEX(EF!$H$84:$H$99,MATCH('Net zero emission reductions'!$G1439,EF!$D$84:$D$99,0))*INDEX(EF!$H$100:$H$115,MATCH('Net zero emission reductions'!$G1439,EF!$D$100:$D$115,0))*INDEX(EF!$H$116:$H$131,MATCH('Net zero emission reductions'!$G1439,EF!$D$116:$D$131,0))*kgtoGg</f>
        <v>2.6857754097284392</v>
      </c>
      <c r="Z1439" s="22">
        <f>INDEX('Net zero Activity data'!AS$24:AS$39,MATCH('Net zero emission reductions'!$G1439,'Net zero Activity data'!$D$24:$D$39,0))*INDEX(EF!$H$84:$H$99,MATCH('Net zero emission reductions'!$G1439,EF!$D$84:$D$99,0))*INDEX(EF!$H$100:$H$115,MATCH('Net zero emission reductions'!$G1439,EF!$D$100:$D$115,0))*INDEX(EF!$H$116:$H$131,MATCH('Net zero emission reductions'!$G1439,EF!$D$116:$D$131,0))*kgtoGg</f>
        <v>2.6773508078020911</v>
      </c>
      <c r="AA1439" s="22">
        <f>INDEX('Net zero Activity data'!AT$24:AT$39,MATCH('Net zero emission reductions'!$G1439,'Net zero Activity data'!$D$24:$D$39,0))*INDEX(EF!$H$84:$H$99,MATCH('Net zero emission reductions'!$G1439,EF!$D$84:$D$99,0))*INDEX(EF!$H$100:$H$115,MATCH('Net zero emission reductions'!$G1439,EF!$D$100:$D$115,0))*INDEX(EF!$H$116:$H$131,MATCH('Net zero emission reductions'!$G1439,EF!$D$116:$D$131,0))*kgtoGg</f>
        <v>2.668926205875743</v>
      </c>
      <c r="AB1439" s="22">
        <f>INDEX('Net zero Activity data'!AU$24:AU$39,MATCH('Net zero emission reductions'!$G1439,'Net zero Activity data'!$D$24:$D$39,0))*INDEX(EF!$H$84:$H$99,MATCH('Net zero emission reductions'!$G1439,EF!$D$84:$D$99,0))*INDEX(EF!$H$100:$H$115,MATCH('Net zero emission reductions'!$G1439,EF!$D$100:$D$115,0))*INDEX(EF!$H$116:$H$131,MATCH('Net zero emission reductions'!$G1439,EF!$D$116:$D$131,0))*kgtoGg</f>
        <v>2.6605016039493949</v>
      </c>
      <c r="AC1439" s="22">
        <f>INDEX('Net zero Activity data'!AV$24:AV$39,MATCH('Net zero emission reductions'!$G1439,'Net zero Activity data'!$D$24:$D$39,0))*INDEX(EF!$H$84:$H$99,MATCH('Net zero emission reductions'!$G1439,EF!$D$84:$D$99,0))*INDEX(EF!$H$100:$H$115,MATCH('Net zero emission reductions'!$G1439,EF!$D$100:$D$115,0))*INDEX(EF!$H$116:$H$131,MATCH('Net zero emission reductions'!$G1439,EF!$D$116:$D$131,0))*kgtoGg</f>
        <v>2.6520770020230477</v>
      </c>
      <c r="AD1439" s="22">
        <f>INDEX('Net zero Activity data'!AW$24:AW$39,MATCH('Net zero emission reductions'!$G1439,'Net zero Activity data'!$D$24:$D$39,0))*INDEX(EF!$H$84:$H$99,MATCH('Net zero emission reductions'!$G1439,EF!$D$84:$D$99,0))*INDEX(EF!$H$100:$H$115,MATCH('Net zero emission reductions'!$G1439,EF!$D$100:$D$115,0))*INDEX(EF!$H$116:$H$131,MATCH('Net zero emission reductions'!$G1439,EF!$D$116:$D$131,0))*kgtoGg</f>
        <v>2.6436524000967001</v>
      </c>
      <c r="AE1439" s="22">
        <f>INDEX('Net zero Activity data'!AX$24:AX$39,MATCH('Net zero emission reductions'!$G1439,'Net zero Activity data'!$D$24:$D$39,0))*INDEX(EF!$H$84:$H$99,MATCH('Net zero emission reductions'!$G1439,EF!$D$84:$D$99,0))*INDEX(EF!$H$100:$H$115,MATCH('Net zero emission reductions'!$G1439,EF!$D$100:$D$115,0))*INDEX(EF!$H$116:$H$131,MATCH('Net zero emission reductions'!$G1439,EF!$D$116:$D$131,0))*kgtoGg</f>
        <v>2.6352277981703516</v>
      </c>
      <c r="AF1439" s="22">
        <f>INDEX('Net zero Activity data'!AY$24:AY$39,MATCH('Net zero emission reductions'!$G1439,'Net zero Activity data'!$D$24:$D$39,0))*INDEX(EF!$H$84:$H$99,MATCH('Net zero emission reductions'!$G1439,EF!$D$84:$D$99,0))*INDEX(EF!$H$100:$H$115,MATCH('Net zero emission reductions'!$G1439,EF!$D$100:$D$115,0))*INDEX(EF!$H$116:$H$131,MATCH('Net zero emission reductions'!$G1439,EF!$D$116:$D$131,0))*kgtoGg</f>
        <v>2.6268031962440044</v>
      </c>
      <c r="AG1439" s="22">
        <f>INDEX('Net zero Activity data'!AZ$24:AZ$39,MATCH('Net zero emission reductions'!$G1439,'Net zero Activity data'!$D$24:$D$39,0))*INDEX(EF!$H$84:$H$99,MATCH('Net zero emission reductions'!$G1439,EF!$D$84:$D$99,0))*INDEX(EF!$H$100:$H$115,MATCH('Net zero emission reductions'!$G1439,EF!$D$100:$D$115,0))*INDEX(EF!$H$116:$H$131,MATCH('Net zero emission reductions'!$G1439,EF!$D$116:$D$131,0))*kgtoGg</f>
        <v>2.6183785943176563</v>
      </c>
      <c r="AH1439" s="22">
        <f>INDEX('Net zero Activity data'!BA$24:BA$39,MATCH('Net zero emission reductions'!$G1439,'Net zero Activity data'!$D$24:$D$39,0))*INDEX(EF!$H$84:$H$99,MATCH('Net zero emission reductions'!$G1439,EF!$D$84:$D$99,0))*INDEX(EF!$H$100:$H$115,MATCH('Net zero emission reductions'!$G1439,EF!$D$100:$D$115,0))*INDEX(EF!$H$116:$H$131,MATCH('Net zero emission reductions'!$G1439,EF!$D$116:$D$131,0))*kgtoGg</f>
        <v>2.6099539923913087</v>
      </c>
      <c r="AI1439" s="22">
        <f>INDEX('Net zero Activity data'!BB$24:BB$39,MATCH('Net zero emission reductions'!$G1439,'Net zero Activity data'!$D$24:$D$39,0))*INDEX(EF!$H$84:$H$99,MATCH('Net zero emission reductions'!$G1439,EF!$D$84:$D$99,0))*INDEX(EF!$H$100:$H$115,MATCH('Net zero emission reductions'!$G1439,EF!$D$100:$D$115,0))*INDEX(EF!$H$116:$H$131,MATCH('Net zero emission reductions'!$G1439,EF!$D$116:$D$131,0))*kgtoGg</f>
        <v>2.601529390464961</v>
      </c>
      <c r="AJ1439" s="22">
        <f>INDEX('Net zero Activity data'!BC$24:BC$39,MATCH('Net zero emission reductions'!$G1439,'Net zero Activity data'!$D$24:$D$39,0))*INDEX(EF!$H$84:$H$99,MATCH('Net zero emission reductions'!$G1439,EF!$D$84:$D$99,0))*INDEX(EF!$H$100:$H$115,MATCH('Net zero emission reductions'!$G1439,EF!$D$100:$D$115,0))*INDEX(EF!$H$116:$H$131,MATCH('Net zero emission reductions'!$G1439,EF!$D$116:$D$131,0))*kgtoGg</f>
        <v>2.5931047885386134</v>
      </c>
      <c r="AK1439" s="22">
        <f>INDEX('Net zero Activity data'!BD$24:BD$39,MATCH('Net zero emission reductions'!$G1439,'Net zero Activity data'!$D$24:$D$39,0))*INDEX(EF!$H$84:$H$99,MATCH('Net zero emission reductions'!$G1439,EF!$D$84:$D$99,0))*INDEX(EF!$H$100:$H$115,MATCH('Net zero emission reductions'!$G1439,EF!$D$100:$D$115,0))*INDEX(EF!$H$116:$H$131,MATCH('Net zero emission reductions'!$G1439,EF!$D$116:$D$131,0))*kgtoGg</f>
        <v>2.5846801866122653</v>
      </c>
      <c r="AL1439" s="22">
        <f>INDEX('Net zero Activity data'!BE$24:BE$39,MATCH('Net zero emission reductions'!$G1439,'Net zero Activity data'!$D$24:$D$39,0))*INDEX(EF!$H$84:$H$99,MATCH('Net zero emission reductions'!$G1439,EF!$D$84:$D$99,0))*INDEX(EF!$H$100:$H$115,MATCH('Net zero emission reductions'!$G1439,EF!$D$100:$D$115,0))*INDEX(EF!$H$116:$H$131,MATCH('Net zero emission reductions'!$G1439,EF!$D$116:$D$131,0))*kgtoGg</f>
        <v>2.5762555846859176</v>
      </c>
      <c r="AM1439" s="22">
        <f>INDEX('Net zero Activity data'!BF$24:BF$39,MATCH('Net zero emission reductions'!$G1439,'Net zero Activity data'!$D$24:$D$39,0))*INDEX(EF!$H$84:$H$99,MATCH('Net zero emission reductions'!$G1439,EF!$D$84:$D$99,0))*INDEX(EF!$H$100:$H$115,MATCH('Net zero emission reductions'!$G1439,EF!$D$100:$D$115,0))*INDEX(EF!$H$116:$H$131,MATCH('Net zero emission reductions'!$G1439,EF!$D$116:$D$131,0))*kgtoGg</f>
        <v>2.56783098275957</v>
      </c>
      <c r="AN1439" s="22">
        <f>INDEX('Net zero Activity data'!BG$24:BG$39,MATCH('Net zero emission reductions'!$G1439,'Net zero Activity data'!$D$24:$D$39,0))*INDEX(EF!$H$84:$H$99,MATCH('Net zero emission reductions'!$G1439,EF!$D$84:$D$99,0))*INDEX(EF!$H$100:$H$115,MATCH('Net zero emission reductions'!$G1439,EF!$D$100:$D$115,0))*INDEX(EF!$H$116:$H$131,MATCH('Net zero emission reductions'!$G1439,EF!$D$116:$D$131,0))*kgtoGg</f>
        <v>2.5594063808332219</v>
      </c>
      <c r="AO1439" s="22">
        <f>INDEX('Net zero Activity data'!BH$24:BH$39,MATCH('Net zero emission reductions'!$G1439,'Net zero Activity data'!$D$24:$D$39,0))*INDEX(EF!$H$84:$H$99,MATCH('Net zero emission reductions'!$G1439,EF!$D$84:$D$99,0))*INDEX(EF!$H$100:$H$115,MATCH('Net zero emission reductions'!$G1439,EF!$D$100:$D$115,0))*INDEX(EF!$H$116:$H$131,MATCH('Net zero emission reductions'!$G1439,EF!$D$116:$D$131,0))*kgtoGg</f>
        <v>2.5509817789068738</v>
      </c>
      <c r="AP1439" s="22">
        <f>INDEX('Net zero Activity data'!BI$24:BI$39,MATCH('Net zero emission reductions'!$G1439,'Net zero Activity data'!$D$24:$D$39,0))*INDEX(EF!$H$84:$H$99,MATCH('Net zero emission reductions'!$G1439,EF!$D$84:$D$99,0))*INDEX(EF!$H$100:$H$115,MATCH('Net zero emission reductions'!$G1439,EF!$D$100:$D$115,0))*INDEX(EF!$H$116:$H$131,MATCH('Net zero emission reductions'!$G1439,EF!$D$116:$D$131,0))*kgtoGg</f>
        <v>2.5425571769805266</v>
      </c>
      <c r="AQ1439" s="22">
        <f>INDEX('Net zero Activity data'!BJ$24:BJ$39,MATCH('Net zero emission reductions'!$G1439,'Net zero Activity data'!$D$24:$D$39,0))*INDEX(EF!$H$84:$H$99,MATCH('Net zero emission reductions'!$G1439,EF!$D$84:$D$99,0))*INDEX(EF!$H$100:$H$115,MATCH('Net zero emission reductions'!$G1439,EF!$D$100:$D$115,0))*INDEX(EF!$H$116:$H$131,MATCH('Net zero emission reductions'!$G1439,EF!$D$116:$D$131,0))*kgtoGg</f>
        <v>2.5341325750541785</v>
      </c>
      <c r="AR1439" s="22">
        <f>INDEX('Net zero Activity data'!BK$24:BK$39,MATCH('Net zero emission reductions'!$G1439,'Net zero Activity data'!$D$24:$D$39,0))*INDEX(EF!$H$84:$H$99,MATCH('Net zero emission reductions'!$G1439,EF!$D$84:$D$99,0))*INDEX(EF!$H$100:$H$115,MATCH('Net zero emission reductions'!$G1439,EF!$D$100:$D$115,0))*INDEX(EF!$H$116:$H$131,MATCH('Net zero emission reductions'!$G1439,EF!$D$116:$D$131,0))*kgtoGg</f>
        <v>2.52570797312783</v>
      </c>
      <c r="AS1439" s="22">
        <f>INDEX('Net zero Activity data'!BL$24:BL$39,MATCH('Net zero emission reductions'!$G1439,'Net zero Activity data'!$D$24:$D$39,0))*INDEX(EF!$H$84:$H$99,MATCH('Net zero emission reductions'!$G1439,EF!$D$84:$D$99,0))*INDEX(EF!$H$100:$H$115,MATCH('Net zero emission reductions'!$G1439,EF!$D$100:$D$115,0))*INDEX(EF!$H$116:$H$131,MATCH('Net zero emission reductions'!$G1439,EF!$D$116:$D$131,0))*kgtoGg</f>
        <v>2.5172833712014828</v>
      </c>
      <c r="AT1439" s="22">
        <f>INDEX('Net zero Activity data'!BM$24:BM$39,MATCH('Net zero emission reductions'!$G1439,'Net zero Activity data'!$D$24:$D$39,0))*INDEX(EF!$H$84:$H$99,MATCH('Net zero emission reductions'!$G1439,EF!$D$84:$D$99,0))*INDEX(EF!$H$100:$H$115,MATCH('Net zero emission reductions'!$G1439,EF!$D$100:$D$115,0))*INDEX(EF!$H$116:$H$131,MATCH('Net zero emission reductions'!$G1439,EF!$D$116:$D$131,0))*kgtoGg</f>
        <v>2.5088587692751347</v>
      </c>
      <c r="AU1439" s="22">
        <f>INDEX('Net zero Activity data'!BN$24:BN$39,MATCH('Net zero emission reductions'!$G1439,'Net zero Activity data'!$D$24:$D$39,0))*INDEX(EF!$H$84:$H$99,MATCH('Net zero emission reductions'!$G1439,EF!$D$84:$D$99,0))*INDEX(EF!$H$100:$H$115,MATCH('Net zero emission reductions'!$G1439,EF!$D$100:$D$115,0))*INDEX(EF!$H$116:$H$131,MATCH('Net zero emission reductions'!$G1439,EF!$D$116:$D$131,0))*kgtoGg</f>
        <v>2.5004341673487875</v>
      </c>
      <c r="AV1439" s="22">
        <f>INDEX('Net zero Activity data'!BO$24:BO$39,MATCH('Net zero emission reductions'!$G1439,'Net zero Activity data'!$D$24:$D$39,0))*INDEX(EF!$H$84:$H$99,MATCH('Net zero emission reductions'!$G1439,EF!$D$84:$D$99,0))*INDEX(EF!$H$100:$H$115,MATCH('Net zero emission reductions'!$G1439,EF!$D$100:$D$115,0))*INDEX(EF!$H$116:$H$131,MATCH('Net zero emission reductions'!$G1439,EF!$D$116:$D$131,0))*kgtoGg</f>
        <v>2.4920095654224399</v>
      </c>
      <c r="AW1439" s="22">
        <f>INDEX('Net zero Activity data'!BP$24:BP$39,MATCH('Net zero emission reductions'!$G1439,'Net zero Activity data'!$D$24:$D$39,0))*INDEX(EF!$H$84:$H$99,MATCH('Net zero emission reductions'!$G1439,EF!$D$84:$D$99,0))*INDEX(EF!$H$100:$H$115,MATCH('Net zero emission reductions'!$G1439,EF!$D$100:$D$115,0))*INDEX(EF!$H$116:$H$131,MATCH('Net zero emission reductions'!$G1439,EF!$D$116:$D$131,0))*kgtoGg</f>
        <v>2.4835849634960923</v>
      </c>
    </row>
    <row r="1440" spans="1:49" x14ac:dyDescent="0.25">
      <c r="A1440" s="102" t="s">
        <v>961</v>
      </c>
      <c r="B1440" s="102"/>
      <c r="C1440" s="102"/>
      <c r="D1440" t="str">
        <f t="shared" si="555"/>
        <v>3C Aggregated and non-CO2 emissions on land</v>
      </c>
      <c r="E1440" t="str">
        <f t="shared" si="555"/>
        <v>3C1 Biomass burning (CH4)</v>
      </c>
      <c r="F1440" t="str">
        <f>F1439</f>
        <v>3C1c Biomass burning in Grasslands</v>
      </c>
      <c r="G1440" t="str">
        <f>EF!D95</f>
        <v>Degraded land</v>
      </c>
      <c r="H1440" t="s">
        <v>641</v>
      </c>
      <c r="I1440" t="str">
        <f t="shared" si="558"/>
        <v>CH4</v>
      </c>
      <c r="J1440" t="str">
        <f t="shared" si="558"/>
        <v>Gg CH4</v>
      </c>
      <c r="K1440" s="22">
        <f>INDEX('Net zero Activity data'!AD$24:AD$39,MATCH('Net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L1440" s="22">
        <f>INDEX('Net zero Activity data'!AE$24:AE$39,MATCH('Net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M1440" s="22">
        <f>INDEX('Net zero Activity data'!AF$24:AF$39,MATCH('Net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N1440" s="22">
        <f>INDEX('Net zero Activity data'!AG$24:AG$39,MATCH('Net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O1440" s="22">
        <f>INDEX('Net zero Activity data'!AH$24:AH$39,MATCH('Net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P1440" s="22">
        <f>INDEX('Net zero Activity data'!AI$24:AI$39,MATCH('Net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Q1440" s="22">
        <f>INDEX('Net zero Activity data'!AJ$24:AJ$39,MATCH('Net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R1440" s="22">
        <f>INDEX('Net zero Activity data'!AK$24:AK$39,MATCH('Net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S1440" s="22">
        <f>INDEX('Net zero Activity data'!AL$24:AL$39,MATCH('Net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T1440" s="22">
        <f>INDEX('Net zero Activity data'!AM$24:AM$39,MATCH('Net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U1440" s="22">
        <f>INDEX('Net zero Activity data'!AN$24:AN$39,MATCH('Net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V1440" s="22">
        <f>INDEX('Net zero Activity data'!AO$24:AO$39,MATCH('Net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W1440" s="22">
        <f>INDEX('Net zero Activity data'!AP$24:AP$39,MATCH('Net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X1440" s="22">
        <f>INDEX('Net zero Activity data'!AQ$24:AQ$39,MATCH('Net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Y1440" s="22">
        <f>INDEX('Net zero Activity data'!AR$24:AR$39,MATCH('Net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Z1440" s="22">
        <f>INDEX('Net zero Activity data'!AS$24:AS$39,MATCH('Net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A1440" s="22">
        <f>INDEX('Net zero Activity data'!AT$24:AT$39,MATCH('Net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B1440" s="22">
        <f>INDEX('Net zero Activity data'!AU$24:AU$39,MATCH('Net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C1440" s="22">
        <f>INDEX('Net zero Activity data'!AV$24:AV$39,MATCH('Net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D1440" s="22">
        <f>INDEX('Net zero Activity data'!AW$24:AW$39,MATCH('Net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E1440" s="22">
        <f>INDEX('Net zero Activity data'!AX$24:AX$39,MATCH('Net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F1440" s="22">
        <f>INDEX('Net zero Activity data'!AY$24:AY$39,MATCH('Net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G1440" s="22">
        <f>INDEX('Net zero Activity data'!AZ$24:AZ$39,MATCH('Net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H1440" s="22">
        <f>INDEX('Net zero Activity data'!BA$24:BA$39,MATCH('Net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I1440" s="22">
        <f>INDEX('Net zero Activity data'!BB$24:BB$39,MATCH('Net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J1440" s="22">
        <f>INDEX('Net zero Activity data'!BC$24:BC$39,MATCH('Net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K1440" s="22">
        <f>INDEX('Net zero Activity data'!BD$24:BD$39,MATCH('Net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L1440" s="22">
        <f>INDEX('Net zero Activity data'!BE$24:BE$39,MATCH('Net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M1440" s="22">
        <f>INDEX('Net zero Activity data'!BF$24:BF$39,MATCH('Net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N1440" s="22">
        <f>INDEX('Net zero Activity data'!BG$24:BG$39,MATCH('Net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O1440" s="22">
        <f>INDEX('Net zero Activity data'!BH$24:BH$39,MATCH('Net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P1440" s="22">
        <f>INDEX('Net zero Activity data'!BI$24:BI$39,MATCH('Net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Q1440" s="22">
        <f>INDEX('Net zero Activity data'!BJ$24:BJ$39,MATCH('Net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R1440" s="22">
        <f>INDEX('Net zero Activity data'!BK$24:BK$39,MATCH('Net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S1440" s="22">
        <f>INDEX('Net zero Activity data'!BL$24:BL$39,MATCH('Net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T1440" s="22">
        <f>INDEX('Net zero Activity data'!BM$24:BM$39,MATCH('Net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U1440" s="22">
        <f>INDEX('Net zero Activity data'!BN$24:BN$39,MATCH('Net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V1440" s="22">
        <f>INDEX('Net zero Activity data'!BO$24:BO$39,MATCH('Net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W1440" s="22">
        <f>INDEX('Net zero Activity data'!BP$24:BP$39,MATCH('Net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row>
    <row r="1441" spans="1:49" x14ac:dyDescent="0.25">
      <c r="A1441" s="102" t="s">
        <v>961</v>
      </c>
      <c r="B1441" s="102"/>
      <c r="C1441" s="102"/>
      <c r="D1441" t="str">
        <f t="shared" si="555"/>
        <v>3C Aggregated and non-CO2 emissions on land</v>
      </c>
      <c r="E1441" t="str">
        <f t="shared" si="555"/>
        <v>3C1 Biomass burning (CH4)</v>
      </c>
      <c r="F1441" t="str">
        <f>'IPCC Categories'!C62</f>
        <v>3C1d Biomass burning in Wetlands</v>
      </c>
      <c r="G1441" t="str">
        <f>EF!D96</f>
        <v>Wetlands</v>
      </c>
      <c r="H1441" t="s">
        <v>652</v>
      </c>
      <c r="I1441" t="str">
        <f t="shared" si="558"/>
        <v>CH4</v>
      </c>
      <c r="J1441" t="str">
        <f t="shared" si="558"/>
        <v>Gg CH4</v>
      </c>
      <c r="K1441" s="22">
        <f>INDEX('Net zero Activity data'!AD$24:AD$39,MATCH('Net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L1441" s="22">
        <f>INDEX('Net zero Activity data'!AE$24:AE$39,MATCH('Net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M1441" s="22">
        <f>INDEX('Net zero Activity data'!AF$24:AF$39,MATCH('Net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N1441" s="22">
        <f>INDEX('Net zero Activity data'!AG$24:AG$39,MATCH('Net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O1441" s="22">
        <f>INDEX('Net zero Activity data'!AH$24:AH$39,MATCH('Net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P1441" s="22">
        <f>INDEX('Net zero Activity data'!AI$24:AI$39,MATCH('Net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Q1441" s="22">
        <f>INDEX('Net zero Activity data'!AJ$24:AJ$39,MATCH('Net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R1441" s="22">
        <f>INDEX('Net zero Activity data'!AK$24:AK$39,MATCH('Net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S1441" s="22">
        <f>INDEX('Net zero Activity data'!AL$24:AL$39,MATCH('Net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T1441" s="22">
        <f>INDEX('Net zero Activity data'!AM$24:AM$39,MATCH('Net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U1441" s="22">
        <f>INDEX('Net zero Activity data'!AN$24:AN$39,MATCH('Net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V1441" s="22">
        <f>INDEX('Net zero Activity data'!AO$24:AO$39,MATCH('Net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W1441" s="22">
        <f>INDEX('Net zero Activity data'!AP$24:AP$39,MATCH('Net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X1441" s="22">
        <f>INDEX('Net zero Activity data'!AQ$24:AQ$39,MATCH('Net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Y1441" s="22">
        <f>INDEX('Net zero Activity data'!AR$24:AR$39,MATCH('Net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Z1441" s="22">
        <f>INDEX('Net zero Activity data'!AS$24:AS$39,MATCH('Net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A1441" s="22">
        <f>INDEX('Net zero Activity data'!AT$24:AT$39,MATCH('Net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B1441" s="22">
        <f>INDEX('Net zero Activity data'!AU$24:AU$39,MATCH('Net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C1441" s="22">
        <f>INDEX('Net zero Activity data'!AV$24:AV$39,MATCH('Net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D1441" s="22">
        <f>INDEX('Net zero Activity data'!AW$24:AW$39,MATCH('Net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E1441" s="22">
        <f>INDEX('Net zero Activity data'!AX$24:AX$39,MATCH('Net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F1441" s="22">
        <f>INDEX('Net zero Activity data'!AY$24:AY$39,MATCH('Net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G1441" s="22">
        <f>INDEX('Net zero Activity data'!AZ$24:AZ$39,MATCH('Net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H1441" s="22">
        <f>INDEX('Net zero Activity data'!BA$24:BA$39,MATCH('Net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I1441" s="22">
        <f>INDEX('Net zero Activity data'!BB$24:BB$39,MATCH('Net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J1441" s="22">
        <f>INDEX('Net zero Activity data'!BC$24:BC$39,MATCH('Net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K1441" s="22">
        <f>INDEX('Net zero Activity data'!BD$24:BD$39,MATCH('Net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L1441" s="22">
        <f>INDEX('Net zero Activity data'!BE$24:BE$39,MATCH('Net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M1441" s="22">
        <f>INDEX('Net zero Activity data'!BF$24:BF$39,MATCH('Net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N1441" s="22">
        <f>INDEX('Net zero Activity data'!BG$24:BG$39,MATCH('Net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O1441" s="22">
        <f>INDEX('Net zero Activity data'!BH$24:BH$39,MATCH('Net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P1441" s="22">
        <f>INDEX('Net zero Activity data'!BI$24:BI$39,MATCH('Net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Q1441" s="22">
        <f>INDEX('Net zero Activity data'!BJ$24:BJ$39,MATCH('Net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R1441" s="22">
        <f>INDEX('Net zero Activity data'!BK$24:BK$39,MATCH('Net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S1441" s="22">
        <f>INDEX('Net zero Activity data'!BL$24:BL$39,MATCH('Net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T1441" s="22">
        <f>INDEX('Net zero Activity data'!BM$24:BM$39,MATCH('Net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U1441" s="22">
        <f>INDEX('Net zero Activity data'!BN$24:BN$39,MATCH('Net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V1441" s="22">
        <f>INDEX('Net zero Activity data'!BO$24:BO$39,MATCH('Net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W1441" s="22">
        <f>INDEX('Net zero Activity data'!BP$24:BP$39,MATCH('Net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row>
    <row r="1442" spans="1:49" x14ac:dyDescent="0.25">
      <c r="A1442" s="102" t="s">
        <v>961</v>
      </c>
      <c r="B1442" s="102"/>
      <c r="C1442" s="102"/>
      <c r="D1442" t="str">
        <f t="shared" si="555"/>
        <v>3C Aggregated and non-CO2 emissions on land</v>
      </c>
      <c r="E1442" t="str">
        <f t="shared" si="555"/>
        <v>3C1 Biomass burning (CH4)</v>
      </c>
      <c r="F1442" t="str">
        <f>'IPCC Categories'!C63</f>
        <v>3C1e Biomass burning in Settlements</v>
      </c>
      <c r="G1442" t="str">
        <f>EF!D97</f>
        <v>Settlements</v>
      </c>
      <c r="H1442" t="s">
        <v>653</v>
      </c>
      <c r="I1442" t="str">
        <f t="shared" si="558"/>
        <v>CH4</v>
      </c>
      <c r="J1442" t="str">
        <f t="shared" si="558"/>
        <v>Gg CH4</v>
      </c>
      <c r="K1442" s="22">
        <f>INDEX('Net zero Activity data'!AD$24:AD$39,MATCH('Net zero emission reductions'!$G1442,'Net zero Activity data'!$D$24:$D$39,0))*INDEX(EF!$H$84:$H$99,MATCH('Net zero emission reductions'!$G1442,EF!$D$84:$D$99,0))*INDEX(EF!$H$100:$H$115,MATCH('Net zero emission reductions'!$G1442,EF!$D$100:$D$115,0))*INDEX(EF!$H$116:$H$131,MATCH('Net zero emission reductions'!$G1442,EF!$D$116:$D$131,0))*kgtoGg</f>
        <v>0.42972240374246135</v>
      </c>
      <c r="L1442" s="22">
        <f>INDEX('Net zero Activity data'!AE$24:AE$39,MATCH('Net zero emission reductions'!$G1442,'Net zero Activity data'!$D$24:$D$39,0))*INDEX(EF!$H$84:$H$99,MATCH('Net zero emission reductions'!$G1442,EF!$D$84:$D$99,0))*INDEX(EF!$H$100:$H$115,MATCH('Net zero emission reductions'!$G1442,EF!$D$100:$D$115,0))*INDEX(EF!$H$116:$H$131,MATCH('Net zero emission reductions'!$G1442,EF!$D$116:$D$131,0))*kgtoGg</f>
        <v>0.43063058922924524</v>
      </c>
      <c r="M1442" s="22">
        <f>INDEX('Net zero Activity data'!AF$24:AF$39,MATCH('Net zero emission reductions'!$G1442,'Net zero Activity data'!$D$24:$D$39,0))*INDEX(EF!$H$84:$H$99,MATCH('Net zero emission reductions'!$G1442,EF!$D$84:$D$99,0))*INDEX(EF!$H$100:$H$115,MATCH('Net zero emission reductions'!$G1442,EF!$D$100:$D$115,0))*INDEX(EF!$H$116:$H$131,MATCH('Net zero emission reductions'!$G1442,EF!$D$116:$D$131,0))*kgtoGg</f>
        <v>0.43153877471602919</v>
      </c>
      <c r="N1442" s="22">
        <f>INDEX('Net zero Activity data'!AG$24:AG$39,MATCH('Net zero emission reductions'!$G1442,'Net zero Activity data'!$D$24:$D$39,0))*INDEX(EF!$H$84:$H$99,MATCH('Net zero emission reductions'!$G1442,EF!$D$84:$D$99,0))*INDEX(EF!$H$100:$H$115,MATCH('Net zero emission reductions'!$G1442,EF!$D$100:$D$115,0))*INDEX(EF!$H$116:$H$131,MATCH('Net zero emission reductions'!$G1442,EF!$D$116:$D$131,0))*kgtoGg</f>
        <v>0.43244696020281326</v>
      </c>
      <c r="O1442" s="22">
        <f>INDEX('Net zero Activity data'!AH$24:AH$39,MATCH('Net zero emission reductions'!$G1442,'Net zero Activity data'!$D$24:$D$39,0))*INDEX(EF!$H$84:$H$99,MATCH('Net zero emission reductions'!$G1442,EF!$D$84:$D$99,0))*INDEX(EF!$H$100:$H$115,MATCH('Net zero emission reductions'!$G1442,EF!$D$100:$D$115,0))*INDEX(EF!$H$116:$H$131,MATCH('Net zero emission reductions'!$G1442,EF!$D$116:$D$131,0))*kgtoGg</f>
        <v>0.43335514568959721</v>
      </c>
      <c r="P1442" s="22">
        <f>INDEX('Net zero Activity data'!AI$24:AI$39,MATCH('Net zero emission reductions'!$G1442,'Net zero Activity data'!$D$24:$D$39,0))*INDEX(EF!$H$84:$H$99,MATCH('Net zero emission reductions'!$G1442,EF!$D$84:$D$99,0))*INDEX(EF!$H$100:$H$115,MATCH('Net zero emission reductions'!$G1442,EF!$D$100:$D$115,0))*INDEX(EF!$H$116:$H$131,MATCH('Net zero emission reductions'!$G1442,EF!$D$116:$D$131,0))*kgtoGg</f>
        <v>0.43426333117638116</v>
      </c>
      <c r="Q1442" s="22">
        <f>INDEX('Net zero Activity data'!AJ$24:AJ$39,MATCH('Net zero emission reductions'!$G1442,'Net zero Activity data'!$D$24:$D$39,0))*INDEX(EF!$H$84:$H$99,MATCH('Net zero emission reductions'!$G1442,EF!$D$84:$D$99,0))*INDEX(EF!$H$100:$H$115,MATCH('Net zero emission reductions'!$G1442,EF!$D$100:$D$115,0))*INDEX(EF!$H$116:$H$131,MATCH('Net zero emission reductions'!$G1442,EF!$D$116:$D$131,0))*kgtoGg</f>
        <v>0.43517151666316517</v>
      </c>
      <c r="R1442" s="22">
        <f>INDEX('Net zero Activity data'!AK$24:AK$39,MATCH('Net zero emission reductions'!$G1442,'Net zero Activity data'!$D$24:$D$39,0))*INDEX(EF!$H$84:$H$99,MATCH('Net zero emission reductions'!$G1442,EF!$D$84:$D$99,0))*INDEX(EF!$H$100:$H$115,MATCH('Net zero emission reductions'!$G1442,EF!$D$100:$D$115,0))*INDEX(EF!$H$116:$H$131,MATCH('Net zero emission reductions'!$G1442,EF!$D$116:$D$131,0))*kgtoGg</f>
        <v>0.43607970214994918</v>
      </c>
      <c r="S1442" s="22">
        <f>INDEX('Net zero Activity data'!AL$24:AL$39,MATCH('Net zero emission reductions'!$G1442,'Net zero Activity data'!$D$24:$D$39,0))*INDEX(EF!$H$84:$H$99,MATCH('Net zero emission reductions'!$G1442,EF!$D$84:$D$99,0))*INDEX(EF!$H$100:$H$115,MATCH('Net zero emission reductions'!$G1442,EF!$D$100:$D$115,0))*INDEX(EF!$H$116:$H$131,MATCH('Net zero emission reductions'!$G1442,EF!$D$116:$D$131,0))*kgtoGg</f>
        <v>0.43698788763673319</v>
      </c>
      <c r="T1442" s="22">
        <f>INDEX('Net zero Activity data'!AM$24:AM$39,MATCH('Net zero emission reductions'!$G1442,'Net zero Activity data'!$D$24:$D$39,0))*INDEX(EF!$H$84:$H$99,MATCH('Net zero emission reductions'!$G1442,EF!$D$84:$D$99,0))*INDEX(EF!$H$100:$H$115,MATCH('Net zero emission reductions'!$G1442,EF!$D$100:$D$115,0))*INDEX(EF!$H$116:$H$131,MATCH('Net zero emission reductions'!$G1442,EF!$D$116:$D$131,0))*kgtoGg</f>
        <v>0.43789607312351719</v>
      </c>
      <c r="U1442" s="22">
        <f>INDEX('Net zero Activity data'!AN$24:AN$39,MATCH('Net zero emission reductions'!$G1442,'Net zero Activity data'!$D$24:$D$39,0))*INDEX(EF!$H$84:$H$99,MATCH('Net zero emission reductions'!$G1442,EF!$D$84:$D$99,0))*INDEX(EF!$H$100:$H$115,MATCH('Net zero emission reductions'!$G1442,EF!$D$100:$D$115,0))*INDEX(EF!$H$116:$H$131,MATCH('Net zero emission reductions'!$G1442,EF!$D$116:$D$131,0))*kgtoGg</f>
        <v>0.4388042586103012</v>
      </c>
      <c r="V1442" s="22">
        <f>INDEX('Net zero Activity data'!AO$24:AO$39,MATCH('Net zero emission reductions'!$G1442,'Net zero Activity data'!$D$24:$D$39,0))*INDEX(EF!$H$84:$H$99,MATCH('Net zero emission reductions'!$G1442,EF!$D$84:$D$99,0))*INDEX(EF!$H$100:$H$115,MATCH('Net zero emission reductions'!$G1442,EF!$D$100:$D$115,0))*INDEX(EF!$H$116:$H$131,MATCH('Net zero emission reductions'!$G1442,EF!$D$116:$D$131,0))*kgtoGg</f>
        <v>0.43971244409708521</v>
      </c>
      <c r="W1442" s="22">
        <f>INDEX('Net zero Activity data'!AP$24:AP$39,MATCH('Net zero emission reductions'!$G1442,'Net zero Activity data'!$D$24:$D$39,0))*INDEX(EF!$H$84:$H$99,MATCH('Net zero emission reductions'!$G1442,EF!$D$84:$D$99,0))*INDEX(EF!$H$100:$H$115,MATCH('Net zero emission reductions'!$G1442,EF!$D$100:$D$115,0))*INDEX(EF!$H$116:$H$131,MATCH('Net zero emission reductions'!$G1442,EF!$D$116:$D$131,0))*kgtoGg</f>
        <v>0.44062062958386911</v>
      </c>
      <c r="X1442" s="22">
        <f>INDEX('Net zero Activity data'!AQ$24:AQ$39,MATCH('Net zero emission reductions'!$G1442,'Net zero Activity data'!$D$24:$D$39,0))*INDEX(EF!$H$84:$H$99,MATCH('Net zero emission reductions'!$G1442,EF!$D$84:$D$99,0))*INDEX(EF!$H$100:$H$115,MATCH('Net zero emission reductions'!$G1442,EF!$D$100:$D$115,0))*INDEX(EF!$H$116:$H$131,MATCH('Net zero emission reductions'!$G1442,EF!$D$116:$D$131,0))*kgtoGg</f>
        <v>0.44152881507065311</v>
      </c>
      <c r="Y1442" s="22">
        <f>INDEX('Net zero Activity data'!AR$24:AR$39,MATCH('Net zero emission reductions'!$G1442,'Net zero Activity data'!$D$24:$D$39,0))*INDEX(EF!$H$84:$H$99,MATCH('Net zero emission reductions'!$G1442,EF!$D$84:$D$99,0))*INDEX(EF!$H$100:$H$115,MATCH('Net zero emission reductions'!$G1442,EF!$D$100:$D$115,0))*INDEX(EF!$H$116:$H$131,MATCH('Net zero emission reductions'!$G1442,EF!$D$116:$D$131,0))*kgtoGg</f>
        <v>0.44243700055743712</v>
      </c>
      <c r="Z1442" s="22">
        <f>INDEX('Net zero Activity data'!AS$24:AS$39,MATCH('Net zero emission reductions'!$G1442,'Net zero Activity data'!$D$24:$D$39,0))*INDEX(EF!$H$84:$H$99,MATCH('Net zero emission reductions'!$G1442,EF!$D$84:$D$99,0))*INDEX(EF!$H$100:$H$115,MATCH('Net zero emission reductions'!$G1442,EF!$D$100:$D$115,0))*INDEX(EF!$H$116:$H$131,MATCH('Net zero emission reductions'!$G1442,EF!$D$116:$D$131,0))*kgtoGg</f>
        <v>0.44334518604422107</v>
      </c>
      <c r="AA1442" s="22">
        <f>INDEX('Net zero Activity data'!AT$24:AT$39,MATCH('Net zero emission reductions'!$G1442,'Net zero Activity data'!$D$24:$D$39,0))*INDEX(EF!$H$84:$H$99,MATCH('Net zero emission reductions'!$G1442,EF!$D$84:$D$99,0))*INDEX(EF!$H$100:$H$115,MATCH('Net zero emission reductions'!$G1442,EF!$D$100:$D$115,0))*INDEX(EF!$H$116:$H$131,MATCH('Net zero emission reductions'!$G1442,EF!$D$116:$D$131,0))*kgtoGg</f>
        <v>0.44425337153100508</v>
      </c>
      <c r="AB1442" s="22">
        <f>INDEX('Net zero Activity data'!AU$24:AU$39,MATCH('Net zero emission reductions'!$G1442,'Net zero Activity data'!$D$24:$D$39,0))*INDEX(EF!$H$84:$H$99,MATCH('Net zero emission reductions'!$G1442,EF!$D$84:$D$99,0))*INDEX(EF!$H$100:$H$115,MATCH('Net zero emission reductions'!$G1442,EF!$D$100:$D$115,0))*INDEX(EF!$H$116:$H$131,MATCH('Net zero emission reductions'!$G1442,EF!$D$116:$D$131,0))*kgtoGg</f>
        <v>0.44516155701778909</v>
      </c>
      <c r="AC1442" s="22">
        <f>INDEX('Net zero Activity data'!AV$24:AV$39,MATCH('Net zero emission reductions'!$G1442,'Net zero Activity data'!$D$24:$D$39,0))*INDEX(EF!$H$84:$H$99,MATCH('Net zero emission reductions'!$G1442,EF!$D$84:$D$99,0))*INDEX(EF!$H$100:$H$115,MATCH('Net zero emission reductions'!$G1442,EF!$D$100:$D$115,0))*INDEX(EF!$H$116:$H$131,MATCH('Net zero emission reductions'!$G1442,EF!$D$116:$D$131,0))*kgtoGg</f>
        <v>0.44606974250457304</v>
      </c>
      <c r="AD1442" s="22">
        <f>INDEX('Net zero Activity data'!AW$24:AW$39,MATCH('Net zero emission reductions'!$G1442,'Net zero Activity data'!$D$24:$D$39,0))*INDEX(EF!$H$84:$H$99,MATCH('Net zero emission reductions'!$G1442,EF!$D$84:$D$99,0))*INDEX(EF!$H$100:$H$115,MATCH('Net zero emission reductions'!$G1442,EF!$D$100:$D$115,0))*INDEX(EF!$H$116:$H$131,MATCH('Net zero emission reductions'!$G1442,EF!$D$116:$D$131,0))*kgtoGg</f>
        <v>0.44697792799135705</v>
      </c>
      <c r="AE1442" s="22">
        <f>INDEX('Net zero Activity data'!AX$24:AX$39,MATCH('Net zero emission reductions'!$G1442,'Net zero Activity data'!$D$24:$D$39,0))*INDEX(EF!$H$84:$H$99,MATCH('Net zero emission reductions'!$G1442,EF!$D$84:$D$99,0))*INDEX(EF!$H$100:$H$115,MATCH('Net zero emission reductions'!$G1442,EF!$D$100:$D$115,0))*INDEX(EF!$H$116:$H$131,MATCH('Net zero emission reductions'!$G1442,EF!$D$116:$D$131,0))*kgtoGg</f>
        <v>0.44788611347814106</v>
      </c>
      <c r="AF1442" s="22">
        <f>INDEX('Net zero Activity data'!AY$24:AY$39,MATCH('Net zero emission reductions'!$G1442,'Net zero Activity data'!$D$24:$D$39,0))*INDEX(EF!$H$84:$H$99,MATCH('Net zero emission reductions'!$G1442,EF!$D$84:$D$99,0))*INDEX(EF!$H$100:$H$115,MATCH('Net zero emission reductions'!$G1442,EF!$D$100:$D$115,0))*INDEX(EF!$H$116:$H$131,MATCH('Net zero emission reductions'!$G1442,EF!$D$116:$D$131,0))*kgtoGg</f>
        <v>0.44879429896492501</v>
      </c>
      <c r="AG1442" s="22">
        <f>INDEX('Net zero Activity data'!AZ$24:AZ$39,MATCH('Net zero emission reductions'!$G1442,'Net zero Activity data'!$D$24:$D$39,0))*INDEX(EF!$H$84:$H$99,MATCH('Net zero emission reductions'!$G1442,EF!$D$84:$D$99,0))*INDEX(EF!$H$100:$H$115,MATCH('Net zero emission reductions'!$G1442,EF!$D$100:$D$115,0))*INDEX(EF!$H$116:$H$131,MATCH('Net zero emission reductions'!$G1442,EF!$D$116:$D$131,0))*kgtoGg</f>
        <v>0.44970248445170896</v>
      </c>
      <c r="AH1442" s="22">
        <f>INDEX('Net zero Activity data'!BA$24:BA$39,MATCH('Net zero emission reductions'!$G1442,'Net zero Activity data'!$D$24:$D$39,0))*INDEX(EF!$H$84:$H$99,MATCH('Net zero emission reductions'!$G1442,EF!$D$84:$D$99,0))*INDEX(EF!$H$100:$H$115,MATCH('Net zero emission reductions'!$G1442,EF!$D$100:$D$115,0))*INDEX(EF!$H$116:$H$131,MATCH('Net zero emission reductions'!$G1442,EF!$D$116:$D$131,0))*kgtoGg</f>
        <v>0.45061066993849297</v>
      </c>
      <c r="AI1442" s="22">
        <f>INDEX('Net zero Activity data'!BB$24:BB$39,MATCH('Net zero emission reductions'!$G1442,'Net zero Activity data'!$D$24:$D$39,0))*INDEX(EF!$H$84:$H$99,MATCH('Net zero emission reductions'!$G1442,EF!$D$84:$D$99,0))*INDEX(EF!$H$100:$H$115,MATCH('Net zero emission reductions'!$G1442,EF!$D$100:$D$115,0))*INDEX(EF!$H$116:$H$131,MATCH('Net zero emission reductions'!$G1442,EF!$D$116:$D$131,0))*kgtoGg</f>
        <v>0.45151885542527692</v>
      </c>
      <c r="AJ1442" s="22">
        <f>INDEX('Net zero Activity data'!BC$24:BC$39,MATCH('Net zero emission reductions'!$G1442,'Net zero Activity data'!$D$24:$D$39,0))*INDEX(EF!$H$84:$H$99,MATCH('Net zero emission reductions'!$G1442,EF!$D$84:$D$99,0))*INDEX(EF!$H$100:$H$115,MATCH('Net zero emission reductions'!$G1442,EF!$D$100:$D$115,0))*INDEX(EF!$H$116:$H$131,MATCH('Net zero emission reductions'!$G1442,EF!$D$116:$D$131,0))*kgtoGg</f>
        <v>0.45242704091206093</v>
      </c>
      <c r="AK1442" s="22">
        <f>INDEX('Net zero Activity data'!BD$24:BD$39,MATCH('Net zero emission reductions'!$G1442,'Net zero Activity data'!$D$24:$D$39,0))*INDEX(EF!$H$84:$H$99,MATCH('Net zero emission reductions'!$G1442,EF!$D$84:$D$99,0))*INDEX(EF!$H$100:$H$115,MATCH('Net zero emission reductions'!$G1442,EF!$D$100:$D$115,0))*INDEX(EF!$H$116:$H$131,MATCH('Net zero emission reductions'!$G1442,EF!$D$116:$D$131,0))*kgtoGg</f>
        <v>0.45333522639884494</v>
      </c>
      <c r="AL1442" s="22">
        <f>INDEX('Net zero Activity data'!BE$24:BE$39,MATCH('Net zero emission reductions'!$G1442,'Net zero Activity data'!$D$24:$D$39,0))*INDEX(EF!$H$84:$H$99,MATCH('Net zero emission reductions'!$G1442,EF!$D$84:$D$99,0))*INDEX(EF!$H$100:$H$115,MATCH('Net zero emission reductions'!$G1442,EF!$D$100:$D$115,0))*INDEX(EF!$H$116:$H$131,MATCH('Net zero emission reductions'!$G1442,EF!$D$116:$D$131,0))*kgtoGg</f>
        <v>0.454243411885629</v>
      </c>
      <c r="AM1442" s="22">
        <f>INDEX('Net zero Activity data'!BF$24:BF$39,MATCH('Net zero emission reductions'!$G1442,'Net zero Activity data'!$D$24:$D$39,0))*INDEX(EF!$H$84:$H$99,MATCH('Net zero emission reductions'!$G1442,EF!$D$84:$D$99,0))*INDEX(EF!$H$100:$H$115,MATCH('Net zero emission reductions'!$G1442,EF!$D$100:$D$115,0))*INDEX(EF!$H$116:$H$131,MATCH('Net zero emission reductions'!$G1442,EF!$D$116:$D$131,0))*kgtoGg</f>
        <v>0.45515159737241295</v>
      </c>
      <c r="AN1442" s="22">
        <f>INDEX('Net zero Activity data'!BG$24:BG$39,MATCH('Net zero emission reductions'!$G1442,'Net zero Activity data'!$D$24:$D$39,0))*INDEX(EF!$H$84:$H$99,MATCH('Net zero emission reductions'!$G1442,EF!$D$84:$D$99,0))*INDEX(EF!$H$100:$H$115,MATCH('Net zero emission reductions'!$G1442,EF!$D$100:$D$115,0))*INDEX(EF!$H$116:$H$131,MATCH('Net zero emission reductions'!$G1442,EF!$D$116:$D$131,0))*kgtoGg</f>
        <v>0.4560597828591969</v>
      </c>
      <c r="AO1442" s="22">
        <f>INDEX('Net zero Activity data'!BH$24:BH$39,MATCH('Net zero emission reductions'!$G1442,'Net zero Activity data'!$D$24:$D$39,0))*INDEX(EF!$H$84:$H$99,MATCH('Net zero emission reductions'!$G1442,EF!$D$84:$D$99,0))*INDEX(EF!$H$100:$H$115,MATCH('Net zero emission reductions'!$G1442,EF!$D$100:$D$115,0))*INDEX(EF!$H$116:$H$131,MATCH('Net zero emission reductions'!$G1442,EF!$D$116:$D$131,0))*kgtoGg</f>
        <v>0.45696796834598097</v>
      </c>
      <c r="AP1442" s="22">
        <f>INDEX('Net zero Activity data'!BI$24:BI$39,MATCH('Net zero emission reductions'!$G1442,'Net zero Activity data'!$D$24:$D$39,0))*INDEX(EF!$H$84:$H$99,MATCH('Net zero emission reductions'!$G1442,EF!$D$84:$D$99,0))*INDEX(EF!$H$100:$H$115,MATCH('Net zero emission reductions'!$G1442,EF!$D$100:$D$115,0))*INDEX(EF!$H$116:$H$131,MATCH('Net zero emission reductions'!$G1442,EF!$D$116:$D$131,0))*kgtoGg</f>
        <v>0.45787615383276492</v>
      </c>
      <c r="AQ1442" s="22">
        <f>INDEX('Net zero Activity data'!BJ$24:BJ$39,MATCH('Net zero emission reductions'!$G1442,'Net zero Activity data'!$D$24:$D$39,0))*INDEX(EF!$H$84:$H$99,MATCH('Net zero emission reductions'!$G1442,EF!$D$84:$D$99,0))*INDEX(EF!$H$100:$H$115,MATCH('Net zero emission reductions'!$G1442,EF!$D$100:$D$115,0))*INDEX(EF!$H$116:$H$131,MATCH('Net zero emission reductions'!$G1442,EF!$D$116:$D$131,0))*kgtoGg</f>
        <v>0.45878433931954882</v>
      </c>
      <c r="AR1442" s="22">
        <f>INDEX('Net zero Activity data'!BK$24:BK$39,MATCH('Net zero emission reductions'!$G1442,'Net zero Activity data'!$D$24:$D$39,0))*INDEX(EF!$H$84:$H$99,MATCH('Net zero emission reductions'!$G1442,EF!$D$84:$D$99,0))*INDEX(EF!$H$100:$H$115,MATCH('Net zero emission reductions'!$G1442,EF!$D$100:$D$115,0))*INDEX(EF!$H$116:$H$131,MATCH('Net zero emission reductions'!$G1442,EF!$D$116:$D$131,0))*kgtoGg</f>
        <v>0.45969252480633288</v>
      </c>
      <c r="AS1442" s="22">
        <f>INDEX('Net zero Activity data'!BL$24:BL$39,MATCH('Net zero emission reductions'!$G1442,'Net zero Activity data'!$D$24:$D$39,0))*INDEX(EF!$H$84:$H$99,MATCH('Net zero emission reductions'!$G1442,EF!$D$84:$D$99,0))*INDEX(EF!$H$100:$H$115,MATCH('Net zero emission reductions'!$G1442,EF!$D$100:$D$115,0))*INDEX(EF!$H$116:$H$131,MATCH('Net zero emission reductions'!$G1442,EF!$D$116:$D$131,0))*kgtoGg</f>
        <v>0.46060071029311683</v>
      </c>
      <c r="AT1442" s="22">
        <f>INDEX('Net zero Activity data'!BM$24:BM$39,MATCH('Net zero emission reductions'!$G1442,'Net zero Activity data'!$D$24:$D$39,0))*INDEX(EF!$H$84:$H$99,MATCH('Net zero emission reductions'!$G1442,EF!$D$84:$D$99,0))*INDEX(EF!$H$100:$H$115,MATCH('Net zero emission reductions'!$G1442,EF!$D$100:$D$115,0))*INDEX(EF!$H$116:$H$131,MATCH('Net zero emission reductions'!$G1442,EF!$D$116:$D$131,0))*kgtoGg</f>
        <v>0.46150889577990084</v>
      </c>
      <c r="AU1442" s="22">
        <f>INDEX('Net zero Activity data'!BN$24:BN$39,MATCH('Net zero emission reductions'!$G1442,'Net zero Activity data'!$D$24:$D$39,0))*INDEX(EF!$H$84:$H$99,MATCH('Net zero emission reductions'!$G1442,EF!$D$84:$D$99,0))*INDEX(EF!$H$100:$H$115,MATCH('Net zero emission reductions'!$G1442,EF!$D$100:$D$115,0))*INDEX(EF!$H$116:$H$131,MATCH('Net zero emission reductions'!$G1442,EF!$D$116:$D$131,0))*kgtoGg</f>
        <v>0.46241708126668479</v>
      </c>
      <c r="AV1442" s="22">
        <f>INDEX('Net zero Activity data'!BO$24:BO$39,MATCH('Net zero emission reductions'!$G1442,'Net zero Activity data'!$D$24:$D$39,0))*INDEX(EF!$H$84:$H$99,MATCH('Net zero emission reductions'!$G1442,EF!$D$84:$D$99,0))*INDEX(EF!$H$100:$H$115,MATCH('Net zero emission reductions'!$G1442,EF!$D$100:$D$115,0))*INDEX(EF!$H$116:$H$131,MATCH('Net zero emission reductions'!$G1442,EF!$D$116:$D$131,0))*kgtoGg</f>
        <v>0.4633252667534688</v>
      </c>
      <c r="AW1442" s="22">
        <f>INDEX('Net zero Activity data'!BP$24:BP$39,MATCH('Net zero emission reductions'!$G1442,'Net zero Activity data'!$D$24:$D$39,0))*INDEX(EF!$H$84:$H$99,MATCH('Net zero emission reductions'!$G1442,EF!$D$84:$D$99,0))*INDEX(EF!$H$100:$H$115,MATCH('Net zero emission reductions'!$G1442,EF!$D$100:$D$115,0))*INDEX(EF!$H$116:$H$131,MATCH('Net zero emission reductions'!$G1442,EF!$D$116:$D$131,0))*kgtoGg</f>
        <v>0.46423345224025281</v>
      </c>
    </row>
    <row r="1443" spans="1:49" x14ac:dyDescent="0.25">
      <c r="A1443" s="102" t="s">
        <v>961</v>
      </c>
      <c r="B1443" s="102"/>
      <c r="C1443" s="102"/>
      <c r="D1443" t="str">
        <f t="shared" si="555"/>
        <v>3C Aggregated and non-CO2 emissions on land</v>
      </c>
      <c r="E1443" t="str">
        <f t="shared" si="555"/>
        <v>3C1 Biomass burning (CH4)</v>
      </c>
      <c r="F1443" t="str">
        <f>F1442</f>
        <v>3C1e Biomass burning in Settlements</v>
      </c>
      <c r="G1443" t="str">
        <f>EF!D98</f>
        <v>Mines</v>
      </c>
      <c r="H1443" t="s">
        <v>654</v>
      </c>
      <c r="I1443" t="str">
        <f t="shared" si="558"/>
        <v>CH4</v>
      </c>
      <c r="J1443" t="str">
        <f t="shared" si="558"/>
        <v>Gg CH4</v>
      </c>
      <c r="K1443" s="22">
        <f>INDEX('Net zero Activity data'!AD$24:AD$39,MATCH('Net zero emission reductions'!$G1443,'Net zero Activity data'!$D$24:$D$39,0))*INDEX(EF!$H$84:$H$99,MATCH('Net zero emission reductions'!$G1443,EF!$D$84:$D$99,0))*INDEX(EF!$H$100:$H$115,MATCH('Net zero emission reductions'!$G1443,EF!$D$100:$D$115,0))*INDEX(EF!$H$116:$H$131,MATCH('Net zero emission reductions'!$G1443,EF!$D$116:$D$131,0))*kgtoGg</f>
        <v>0</v>
      </c>
      <c r="L1443" s="22">
        <f>INDEX('Net zero Activity data'!AE$24:AE$39,MATCH('Net zero emission reductions'!$G1443,'Net zero Activity data'!$D$24:$D$39,0))*INDEX(EF!$H$84:$H$99,MATCH('Net zero emission reductions'!$G1443,EF!$D$84:$D$99,0))*INDEX(EF!$H$100:$H$115,MATCH('Net zero emission reductions'!$G1443,EF!$D$100:$D$115,0))*INDEX(EF!$H$116:$H$131,MATCH('Net zero emission reductions'!$G1443,EF!$D$116:$D$131,0))*kgtoGg</f>
        <v>0</v>
      </c>
      <c r="M1443" s="22">
        <f>INDEX('Net zero Activity data'!AF$24:AF$39,MATCH('Net zero emission reductions'!$G1443,'Net zero Activity data'!$D$24:$D$39,0))*INDEX(EF!$H$84:$H$99,MATCH('Net zero emission reductions'!$G1443,EF!$D$84:$D$99,0))*INDEX(EF!$H$100:$H$115,MATCH('Net zero emission reductions'!$G1443,EF!$D$100:$D$115,0))*INDEX(EF!$H$116:$H$131,MATCH('Net zero emission reductions'!$G1443,EF!$D$116:$D$131,0))*kgtoGg</f>
        <v>0</v>
      </c>
      <c r="N1443" s="22">
        <f>INDEX('Net zero Activity data'!AG$24:AG$39,MATCH('Net zero emission reductions'!$G1443,'Net zero Activity data'!$D$24:$D$39,0))*INDEX(EF!$H$84:$H$99,MATCH('Net zero emission reductions'!$G1443,EF!$D$84:$D$99,0))*INDEX(EF!$H$100:$H$115,MATCH('Net zero emission reductions'!$G1443,EF!$D$100:$D$115,0))*INDEX(EF!$H$116:$H$131,MATCH('Net zero emission reductions'!$G1443,EF!$D$116:$D$131,0))*kgtoGg</f>
        <v>0</v>
      </c>
      <c r="O1443" s="22">
        <f>INDEX('Net zero Activity data'!AH$24:AH$39,MATCH('Net zero emission reductions'!$G1443,'Net zero Activity data'!$D$24:$D$39,0))*INDEX(EF!$H$84:$H$99,MATCH('Net zero emission reductions'!$G1443,EF!$D$84:$D$99,0))*INDEX(EF!$H$100:$H$115,MATCH('Net zero emission reductions'!$G1443,EF!$D$100:$D$115,0))*INDEX(EF!$H$116:$H$131,MATCH('Net zero emission reductions'!$G1443,EF!$D$116:$D$131,0))*kgtoGg</f>
        <v>0</v>
      </c>
      <c r="P1443" s="22">
        <f>INDEX('Net zero Activity data'!AI$24:AI$39,MATCH('Net zero emission reductions'!$G1443,'Net zero Activity data'!$D$24:$D$39,0))*INDEX(EF!$H$84:$H$99,MATCH('Net zero emission reductions'!$G1443,EF!$D$84:$D$99,0))*INDEX(EF!$H$100:$H$115,MATCH('Net zero emission reductions'!$G1443,EF!$D$100:$D$115,0))*INDEX(EF!$H$116:$H$131,MATCH('Net zero emission reductions'!$G1443,EF!$D$116:$D$131,0))*kgtoGg</f>
        <v>0</v>
      </c>
      <c r="Q1443" s="22">
        <f>INDEX('Net zero Activity data'!AJ$24:AJ$39,MATCH('Net zero emission reductions'!$G1443,'Net zero Activity data'!$D$24:$D$39,0))*INDEX(EF!$H$84:$H$99,MATCH('Net zero emission reductions'!$G1443,EF!$D$84:$D$99,0))*INDEX(EF!$H$100:$H$115,MATCH('Net zero emission reductions'!$G1443,EF!$D$100:$D$115,0))*INDEX(EF!$H$116:$H$131,MATCH('Net zero emission reductions'!$G1443,EF!$D$116:$D$131,0))*kgtoGg</f>
        <v>0</v>
      </c>
      <c r="R1443" s="22">
        <f>INDEX('Net zero Activity data'!AK$24:AK$39,MATCH('Net zero emission reductions'!$G1443,'Net zero Activity data'!$D$24:$D$39,0))*INDEX(EF!$H$84:$H$99,MATCH('Net zero emission reductions'!$G1443,EF!$D$84:$D$99,0))*INDEX(EF!$H$100:$H$115,MATCH('Net zero emission reductions'!$G1443,EF!$D$100:$D$115,0))*INDEX(EF!$H$116:$H$131,MATCH('Net zero emission reductions'!$G1443,EF!$D$116:$D$131,0))*kgtoGg</f>
        <v>0</v>
      </c>
      <c r="S1443" s="22">
        <f>INDEX('Net zero Activity data'!AL$24:AL$39,MATCH('Net zero emission reductions'!$G1443,'Net zero Activity data'!$D$24:$D$39,0))*INDEX(EF!$H$84:$H$99,MATCH('Net zero emission reductions'!$G1443,EF!$D$84:$D$99,0))*INDEX(EF!$H$100:$H$115,MATCH('Net zero emission reductions'!$G1443,EF!$D$100:$D$115,0))*INDEX(EF!$H$116:$H$131,MATCH('Net zero emission reductions'!$G1443,EF!$D$116:$D$131,0))*kgtoGg</f>
        <v>0</v>
      </c>
      <c r="T1443" s="22">
        <f>INDEX('Net zero Activity data'!AM$24:AM$39,MATCH('Net zero emission reductions'!$G1443,'Net zero Activity data'!$D$24:$D$39,0))*INDEX(EF!$H$84:$H$99,MATCH('Net zero emission reductions'!$G1443,EF!$D$84:$D$99,0))*INDEX(EF!$H$100:$H$115,MATCH('Net zero emission reductions'!$G1443,EF!$D$100:$D$115,0))*INDEX(EF!$H$116:$H$131,MATCH('Net zero emission reductions'!$G1443,EF!$D$116:$D$131,0))*kgtoGg</f>
        <v>0</v>
      </c>
      <c r="U1443" s="22">
        <f>INDEX('Net zero Activity data'!AN$24:AN$39,MATCH('Net zero emission reductions'!$G1443,'Net zero Activity data'!$D$24:$D$39,0))*INDEX(EF!$H$84:$H$99,MATCH('Net zero emission reductions'!$G1443,EF!$D$84:$D$99,0))*INDEX(EF!$H$100:$H$115,MATCH('Net zero emission reductions'!$G1443,EF!$D$100:$D$115,0))*INDEX(EF!$H$116:$H$131,MATCH('Net zero emission reductions'!$G1443,EF!$D$116:$D$131,0))*kgtoGg</f>
        <v>0</v>
      </c>
      <c r="V1443" s="22">
        <f>INDEX('Net zero Activity data'!AO$24:AO$39,MATCH('Net zero emission reductions'!$G1443,'Net zero Activity data'!$D$24:$D$39,0))*INDEX(EF!$H$84:$H$99,MATCH('Net zero emission reductions'!$G1443,EF!$D$84:$D$99,0))*INDEX(EF!$H$100:$H$115,MATCH('Net zero emission reductions'!$G1443,EF!$D$100:$D$115,0))*INDEX(EF!$H$116:$H$131,MATCH('Net zero emission reductions'!$G1443,EF!$D$116:$D$131,0))*kgtoGg</f>
        <v>0</v>
      </c>
      <c r="W1443" s="22">
        <f>INDEX('Net zero Activity data'!AP$24:AP$39,MATCH('Net zero emission reductions'!$G1443,'Net zero Activity data'!$D$24:$D$39,0))*INDEX(EF!$H$84:$H$99,MATCH('Net zero emission reductions'!$G1443,EF!$D$84:$D$99,0))*INDEX(EF!$H$100:$H$115,MATCH('Net zero emission reductions'!$G1443,EF!$D$100:$D$115,0))*INDEX(EF!$H$116:$H$131,MATCH('Net zero emission reductions'!$G1443,EF!$D$116:$D$131,0))*kgtoGg</f>
        <v>0</v>
      </c>
      <c r="X1443" s="22">
        <f>INDEX('Net zero Activity data'!AQ$24:AQ$39,MATCH('Net zero emission reductions'!$G1443,'Net zero Activity data'!$D$24:$D$39,0))*INDEX(EF!$H$84:$H$99,MATCH('Net zero emission reductions'!$G1443,EF!$D$84:$D$99,0))*INDEX(EF!$H$100:$H$115,MATCH('Net zero emission reductions'!$G1443,EF!$D$100:$D$115,0))*INDEX(EF!$H$116:$H$131,MATCH('Net zero emission reductions'!$G1443,EF!$D$116:$D$131,0))*kgtoGg</f>
        <v>0</v>
      </c>
      <c r="Y1443" s="22">
        <f>INDEX('Net zero Activity data'!AR$24:AR$39,MATCH('Net zero emission reductions'!$G1443,'Net zero Activity data'!$D$24:$D$39,0))*INDEX(EF!$H$84:$H$99,MATCH('Net zero emission reductions'!$G1443,EF!$D$84:$D$99,0))*INDEX(EF!$H$100:$H$115,MATCH('Net zero emission reductions'!$G1443,EF!$D$100:$D$115,0))*INDEX(EF!$H$116:$H$131,MATCH('Net zero emission reductions'!$G1443,EF!$D$116:$D$131,0))*kgtoGg</f>
        <v>0</v>
      </c>
      <c r="Z1443" s="22">
        <f>INDEX('Net zero Activity data'!AS$24:AS$39,MATCH('Net zero emission reductions'!$G1443,'Net zero Activity data'!$D$24:$D$39,0))*INDEX(EF!$H$84:$H$99,MATCH('Net zero emission reductions'!$G1443,EF!$D$84:$D$99,0))*INDEX(EF!$H$100:$H$115,MATCH('Net zero emission reductions'!$G1443,EF!$D$100:$D$115,0))*INDEX(EF!$H$116:$H$131,MATCH('Net zero emission reductions'!$G1443,EF!$D$116:$D$131,0))*kgtoGg</f>
        <v>0</v>
      </c>
      <c r="AA1443" s="22">
        <f>INDEX('Net zero Activity data'!AT$24:AT$39,MATCH('Net zero emission reductions'!$G1443,'Net zero Activity data'!$D$24:$D$39,0))*INDEX(EF!$H$84:$H$99,MATCH('Net zero emission reductions'!$G1443,EF!$D$84:$D$99,0))*INDEX(EF!$H$100:$H$115,MATCH('Net zero emission reductions'!$G1443,EF!$D$100:$D$115,0))*INDEX(EF!$H$116:$H$131,MATCH('Net zero emission reductions'!$G1443,EF!$D$116:$D$131,0))*kgtoGg</f>
        <v>0</v>
      </c>
      <c r="AB1443" s="22">
        <f>INDEX('Net zero Activity data'!AU$24:AU$39,MATCH('Net zero emission reductions'!$G1443,'Net zero Activity data'!$D$24:$D$39,0))*INDEX(EF!$H$84:$H$99,MATCH('Net zero emission reductions'!$G1443,EF!$D$84:$D$99,0))*INDEX(EF!$H$100:$H$115,MATCH('Net zero emission reductions'!$G1443,EF!$D$100:$D$115,0))*INDEX(EF!$H$116:$H$131,MATCH('Net zero emission reductions'!$G1443,EF!$D$116:$D$131,0))*kgtoGg</f>
        <v>0</v>
      </c>
      <c r="AC1443" s="22">
        <f>INDEX('Net zero Activity data'!AV$24:AV$39,MATCH('Net zero emission reductions'!$G1443,'Net zero Activity data'!$D$24:$D$39,0))*INDEX(EF!$H$84:$H$99,MATCH('Net zero emission reductions'!$G1443,EF!$D$84:$D$99,0))*INDEX(EF!$H$100:$H$115,MATCH('Net zero emission reductions'!$G1443,EF!$D$100:$D$115,0))*INDEX(EF!$H$116:$H$131,MATCH('Net zero emission reductions'!$G1443,EF!$D$116:$D$131,0))*kgtoGg</f>
        <v>0</v>
      </c>
      <c r="AD1443" s="22">
        <f>INDEX('Net zero Activity data'!AW$24:AW$39,MATCH('Net zero emission reductions'!$G1443,'Net zero Activity data'!$D$24:$D$39,0))*INDEX(EF!$H$84:$H$99,MATCH('Net zero emission reductions'!$G1443,EF!$D$84:$D$99,0))*INDEX(EF!$H$100:$H$115,MATCH('Net zero emission reductions'!$G1443,EF!$D$100:$D$115,0))*INDEX(EF!$H$116:$H$131,MATCH('Net zero emission reductions'!$G1443,EF!$D$116:$D$131,0))*kgtoGg</f>
        <v>0</v>
      </c>
      <c r="AE1443" s="22">
        <f>INDEX('Net zero Activity data'!AX$24:AX$39,MATCH('Net zero emission reductions'!$G1443,'Net zero Activity data'!$D$24:$D$39,0))*INDEX(EF!$H$84:$H$99,MATCH('Net zero emission reductions'!$G1443,EF!$D$84:$D$99,0))*INDEX(EF!$H$100:$H$115,MATCH('Net zero emission reductions'!$G1443,EF!$D$100:$D$115,0))*INDEX(EF!$H$116:$H$131,MATCH('Net zero emission reductions'!$G1443,EF!$D$116:$D$131,0))*kgtoGg</f>
        <v>0</v>
      </c>
      <c r="AF1443" s="22">
        <f>INDEX('Net zero Activity data'!AY$24:AY$39,MATCH('Net zero emission reductions'!$G1443,'Net zero Activity data'!$D$24:$D$39,0))*INDEX(EF!$H$84:$H$99,MATCH('Net zero emission reductions'!$G1443,EF!$D$84:$D$99,0))*INDEX(EF!$H$100:$H$115,MATCH('Net zero emission reductions'!$G1443,EF!$D$100:$D$115,0))*INDEX(EF!$H$116:$H$131,MATCH('Net zero emission reductions'!$G1443,EF!$D$116:$D$131,0))*kgtoGg</f>
        <v>0</v>
      </c>
      <c r="AG1443" s="22">
        <f>INDEX('Net zero Activity data'!AZ$24:AZ$39,MATCH('Net zero emission reductions'!$G1443,'Net zero Activity data'!$D$24:$D$39,0))*INDEX(EF!$H$84:$H$99,MATCH('Net zero emission reductions'!$G1443,EF!$D$84:$D$99,0))*INDEX(EF!$H$100:$H$115,MATCH('Net zero emission reductions'!$G1443,EF!$D$100:$D$115,0))*INDEX(EF!$H$116:$H$131,MATCH('Net zero emission reductions'!$G1443,EF!$D$116:$D$131,0))*kgtoGg</f>
        <v>0</v>
      </c>
      <c r="AH1443" s="22">
        <f>INDEX('Net zero Activity data'!BA$24:BA$39,MATCH('Net zero emission reductions'!$G1443,'Net zero Activity data'!$D$24:$D$39,0))*INDEX(EF!$H$84:$H$99,MATCH('Net zero emission reductions'!$G1443,EF!$D$84:$D$99,0))*INDEX(EF!$H$100:$H$115,MATCH('Net zero emission reductions'!$G1443,EF!$D$100:$D$115,0))*INDEX(EF!$H$116:$H$131,MATCH('Net zero emission reductions'!$G1443,EF!$D$116:$D$131,0))*kgtoGg</f>
        <v>0</v>
      </c>
      <c r="AI1443" s="22">
        <f>INDEX('Net zero Activity data'!BB$24:BB$39,MATCH('Net zero emission reductions'!$G1443,'Net zero Activity data'!$D$24:$D$39,0))*INDEX(EF!$H$84:$H$99,MATCH('Net zero emission reductions'!$G1443,EF!$D$84:$D$99,0))*INDEX(EF!$H$100:$H$115,MATCH('Net zero emission reductions'!$G1443,EF!$D$100:$D$115,0))*INDEX(EF!$H$116:$H$131,MATCH('Net zero emission reductions'!$G1443,EF!$D$116:$D$131,0))*kgtoGg</f>
        <v>0</v>
      </c>
      <c r="AJ1443" s="22">
        <f>INDEX('Net zero Activity data'!BC$24:BC$39,MATCH('Net zero emission reductions'!$G1443,'Net zero Activity data'!$D$24:$D$39,0))*INDEX(EF!$H$84:$H$99,MATCH('Net zero emission reductions'!$G1443,EF!$D$84:$D$99,0))*INDEX(EF!$H$100:$H$115,MATCH('Net zero emission reductions'!$G1443,EF!$D$100:$D$115,0))*INDEX(EF!$H$116:$H$131,MATCH('Net zero emission reductions'!$G1443,EF!$D$116:$D$131,0))*kgtoGg</f>
        <v>0</v>
      </c>
      <c r="AK1443" s="22">
        <f>INDEX('Net zero Activity data'!BD$24:BD$39,MATCH('Net zero emission reductions'!$G1443,'Net zero Activity data'!$D$24:$D$39,0))*INDEX(EF!$H$84:$H$99,MATCH('Net zero emission reductions'!$G1443,EF!$D$84:$D$99,0))*INDEX(EF!$H$100:$H$115,MATCH('Net zero emission reductions'!$G1443,EF!$D$100:$D$115,0))*INDEX(EF!$H$116:$H$131,MATCH('Net zero emission reductions'!$G1443,EF!$D$116:$D$131,0))*kgtoGg</f>
        <v>0</v>
      </c>
      <c r="AL1443" s="22">
        <f>INDEX('Net zero Activity data'!BE$24:BE$39,MATCH('Net zero emission reductions'!$G1443,'Net zero Activity data'!$D$24:$D$39,0))*INDEX(EF!$H$84:$H$99,MATCH('Net zero emission reductions'!$G1443,EF!$D$84:$D$99,0))*INDEX(EF!$H$100:$H$115,MATCH('Net zero emission reductions'!$G1443,EF!$D$100:$D$115,0))*INDEX(EF!$H$116:$H$131,MATCH('Net zero emission reductions'!$G1443,EF!$D$116:$D$131,0))*kgtoGg</f>
        <v>0</v>
      </c>
      <c r="AM1443" s="22">
        <f>INDEX('Net zero Activity data'!BF$24:BF$39,MATCH('Net zero emission reductions'!$G1443,'Net zero Activity data'!$D$24:$D$39,0))*INDEX(EF!$H$84:$H$99,MATCH('Net zero emission reductions'!$G1443,EF!$D$84:$D$99,0))*INDEX(EF!$H$100:$H$115,MATCH('Net zero emission reductions'!$G1443,EF!$D$100:$D$115,0))*INDEX(EF!$H$116:$H$131,MATCH('Net zero emission reductions'!$G1443,EF!$D$116:$D$131,0))*kgtoGg</f>
        <v>0</v>
      </c>
      <c r="AN1443" s="22">
        <f>INDEX('Net zero Activity data'!BG$24:BG$39,MATCH('Net zero emission reductions'!$G1443,'Net zero Activity data'!$D$24:$D$39,0))*INDEX(EF!$H$84:$H$99,MATCH('Net zero emission reductions'!$G1443,EF!$D$84:$D$99,0))*INDEX(EF!$H$100:$H$115,MATCH('Net zero emission reductions'!$G1443,EF!$D$100:$D$115,0))*INDEX(EF!$H$116:$H$131,MATCH('Net zero emission reductions'!$G1443,EF!$D$116:$D$131,0))*kgtoGg</f>
        <v>0</v>
      </c>
      <c r="AO1443" s="22">
        <f>INDEX('Net zero Activity data'!BH$24:BH$39,MATCH('Net zero emission reductions'!$G1443,'Net zero Activity data'!$D$24:$D$39,0))*INDEX(EF!$H$84:$H$99,MATCH('Net zero emission reductions'!$G1443,EF!$D$84:$D$99,0))*INDEX(EF!$H$100:$H$115,MATCH('Net zero emission reductions'!$G1443,EF!$D$100:$D$115,0))*INDEX(EF!$H$116:$H$131,MATCH('Net zero emission reductions'!$G1443,EF!$D$116:$D$131,0))*kgtoGg</f>
        <v>0</v>
      </c>
      <c r="AP1443" s="22">
        <f>INDEX('Net zero Activity data'!BI$24:BI$39,MATCH('Net zero emission reductions'!$G1443,'Net zero Activity data'!$D$24:$D$39,0))*INDEX(EF!$H$84:$H$99,MATCH('Net zero emission reductions'!$G1443,EF!$D$84:$D$99,0))*INDEX(EF!$H$100:$H$115,MATCH('Net zero emission reductions'!$G1443,EF!$D$100:$D$115,0))*INDEX(EF!$H$116:$H$131,MATCH('Net zero emission reductions'!$G1443,EF!$D$116:$D$131,0))*kgtoGg</f>
        <v>0</v>
      </c>
      <c r="AQ1443" s="22">
        <f>INDEX('Net zero Activity data'!BJ$24:BJ$39,MATCH('Net zero emission reductions'!$G1443,'Net zero Activity data'!$D$24:$D$39,0))*INDEX(EF!$H$84:$H$99,MATCH('Net zero emission reductions'!$G1443,EF!$D$84:$D$99,0))*INDEX(EF!$H$100:$H$115,MATCH('Net zero emission reductions'!$G1443,EF!$D$100:$D$115,0))*INDEX(EF!$H$116:$H$131,MATCH('Net zero emission reductions'!$G1443,EF!$D$116:$D$131,0))*kgtoGg</f>
        <v>0</v>
      </c>
      <c r="AR1443" s="22">
        <f>INDEX('Net zero Activity data'!BK$24:BK$39,MATCH('Net zero emission reductions'!$G1443,'Net zero Activity data'!$D$24:$D$39,0))*INDEX(EF!$H$84:$H$99,MATCH('Net zero emission reductions'!$G1443,EF!$D$84:$D$99,0))*INDEX(EF!$H$100:$H$115,MATCH('Net zero emission reductions'!$G1443,EF!$D$100:$D$115,0))*INDEX(EF!$H$116:$H$131,MATCH('Net zero emission reductions'!$G1443,EF!$D$116:$D$131,0))*kgtoGg</f>
        <v>0</v>
      </c>
      <c r="AS1443" s="22">
        <f>INDEX('Net zero Activity data'!BL$24:BL$39,MATCH('Net zero emission reductions'!$G1443,'Net zero Activity data'!$D$24:$D$39,0))*INDEX(EF!$H$84:$H$99,MATCH('Net zero emission reductions'!$G1443,EF!$D$84:$D$99,0))*INDEX(EF!$H$100:$H$115,MATCH('Net zero emission reductions'!$G1443,EF!$D$100:$D$115,0))*INDEX(EF!$H$116:$H$131,MATCH('Net zero emission reductions'!$G1443,EF!$D$116:$D$131,0))*kgtoGg</f>
        <v>0</v>
      </c>
      <c r="AT1443" s="22">
        <f>INDEX('Net zero Activity data'!BM$24:BM$39,MATCH('Net zero emission reductions'!$G1443,'Net zero Activity data'!$D$24:$D$39,0))*INDEX(EF!$H$84:$H$99,MATCH('Net zero emission reductions'!$G1443,EF!$D$84:$D$99,0))*INDEX(EF!$H$100:$H$115,MATCH('Net zero emission reductions'!$G1443,EF!$D$100:$D$115,0))*INDEX(EF!$H$116:$H$131,MATCH('Net zero emission reductions'!$G1443,EF!$D$116:$D$131,0))*kgtoGg</f>
        <v>0</v>
      </c>
      <c r="AU1443" s="22">
        <f>INDEX('Net zero Activity data'!BN$24:BN$39,MATCH('Net zero emission reductions'!$G1443,'Net zero Activity data'!$D$24:$D$39,0))*INDEX(EF!$H$84:$H$99,MATCH('Net zero emission reductions'!$G1443,EF!$D$84:$D$99,0))*INDEX(EF!$H$100:$H$115,MATCH('Net zero emission reductions'!$G1443,EF!$D$100:$D$115,0))*INDEX(EF!$H$116:$H$131,MATCH('Net zero emission reductions'!$G1443,EF!$D$116:$D$131,0))*kgtoGg</f>
        <v>0</v>
      </c>
      <c r="AV1443" s="22">
        <f>INDEX('Net zero Activity data'!BO$24:BO$39,MATCH('Net zero emission reductions'!$G1443,'Net zero Activity data'!$D$24:$D$39,0))*INDEX(EF!$H$84:$H$99,MATCH('Net zero emission reductions'!$G1443,EF!$D$84:$D$99,0))*INDEX(EF!$H$100:$H$115,MATCH('Net zero emission reductions'!$G1443,EF!$D$100:$D$115,0))*INDEX(EF!$H$116:$H$131,MATCH('Net zero emission reductions'!$G1443,EF!$D$116:$D$131,0))*kgtoGg</f>
        <v>0</v>
      </c>
      <c r="AW1443" s="22">
        <f>INDEX('Net zero Activity data'!BP$24:BP$39,MATCH('Net zero emission reductions'!$G1443,'Net zero Activity data'!$D$24:$D$39,0))*INDEX(EF!$H$84:$H$99,MATCH('Net zero emission reductions'!$G1443,EF!$D$84:$D$99,0))*INDEX(EF!$H$100:$H$115,MATCH('Net zero emission reductions'!$G1443,EF!$D$100:$D$115,0))*INDEX(EF!$H$116:$H$131,MATCH('Net zero emission reductions'!$G1443,EF!$D$116:$D$131,0))*kgtoGg</f>
        <v>0</v>
      </c>
    </row>
    <row r="1444" spans="1:49" x14ac:dyDescent="0.25">
      <c r="A1444" s="102" t="s">
        <v>961</v>
      </c>
      <c r="B1444" s="102"/>
      <c r="C1444" s="102"/>
      <c r="D1444" t="str">
        <f t="shared" si="555"/>
        <v>3C Aggregated and non-CO2 emissions on land</v>
      </c>
      <c r="E1444" t="str">
        <f t="shared" si="555"/>
        <v>3C1 Biomass burning (CH4)</v>
      </c>
      <c r="F1444" t="str">
        <f>'IPCC Categories'!C64</f>
        <v>3C1f Biomass burning in Other lands</v>
      </c>
      <c r="G1444" t="str">
        <f>EF!D99</f>
        <v>Bare ground</v>
      </c>
      <c r="H1444" t="s">
        <v>655</v>
      </c>
      <c r="I1444" t="str">
        <f t="shared" si="558"/>
        <v>CH4</v>
      </c>
      <c r="J1444" t="str">
        <f t="shared" si="558"/>
        <v>Gg CH4</v>
      </c>
      <c r="K1444" s="22">
        <f>INDEX('Net zero Activity data'!AD$24:AD$39,MATCH('Net zero emission reductions'!$G1444,'Net zero Activity data'!$D$24:$D$39,0))*INDEX(EF!$H$84:$H$99,MATCH('Net zero emission reductions'!$G1444,EF!$D$84:$D$99,0))*INDEX(EF!$H$100:$H$115,MATCH('Net zero emission reductions'!$G1444,EF!$D$100:$D$115,0))*INDEX(EF!$H$116:$H$131,MATCH('Net zero emission reductions'!$G1444,EF!$D$116:$D$131,0))*kgtoGg</f>
        <v>0</v>
      </c>
      <c r="L1444" s="22">
        <f>INDEX('Net zero Activity data'!AE$24:AE$39,MATCH('Net zero emission reductions'!$G1444,'Net zero Activity data'!$D$24:$D$39,0))*INDEX(EF!$H$84:$H$99,MATCH('Net zero emission reductions'!$G1444,EF!$D$84:$D$99,0))*INDEX(EF!$H$100:$H$115,MATCH('Net zero emission reductions'!$G1444,EF!$D$100:$D$115,0))*INDEX(EF!$H$116:$H$131,MATCH('Net zero emission reductions'!$G1444,EF!$D$116:$D$131,0))*kgtoGg</f>
        <v>0</v>
      </c>
      <c r="M1444" s="22">
        <f>INDEX('Net zero Activity data'!AF$24:AF$39,MATCH('Net zero emission reductions'!$G1444,'Net zero Activity data'!$D$24:$D$39,0))*INDEX(EF!$H$84:$H$99,MATCH('Net zero emission reductions'!$G1444,EF!$D$84:$D$99,0))*INDEX(EF!$H$100:$H$115,MATCH('Net zero emission reductions'!$G1444,EF!$D$100:$D$115,0))*INDEX(EF!$H$116:$H$131,MATCH('Net zero emission reductions'!$G1444,EF!$D$116:$D$131,0))*kgtoGg</f>
        <v>0</v>
      </c>
      <c r="N1444" s="22">
        <f>INDEX('Net zero Activity data'!AG$24:AG$39,MATCH('Net zero emission reductions'!$G1444,'Net zero Activity data'!$D$24:$D$39,0))*INDEX(EF!$H$84:$H$99,MATCH('Net zero emission reductions'!$G1444,EF!$D$84:$D$99,0))*INDEX(EF!$H$100:$H$115,MATCH('Net zero emission reductions'!$G1444,EF!$D$100:$D$115,0))*INDEX(EF!$H$116:$H$131,MATCH('Net zero emission reductions'!$G1444,EF!$D$116:$D$131,0))*kgtoGg</f>
        <v>0</v>
      </c>
      <c r="O1444" s="22">
        <f>INDEX('Net zero Activity data'!AH$24:AH$39,MATCH('Net zero emission reductions'!$G1444,'Net zero Activity data'!$D$24:$D$39,0))*INDEX(EF!$H$84:$H$99,MATCH('Net zero emission reductions'!$G1444,EF!$D$84:$D$99,0))*INDEX(EF!$H$100:$H$115,MATCH('Net zero emission reductions'!$G1444,EF!$D$100:$D$115,0))*INDEX(EF!$H$116:$H$131,MATCH('Net zero emission reductions'!$G1444,EF!$D$116:$D$131,0))*kgtoGg</f>
        <v>0</v>
      </c>
      <c r="P1444" s="22">
        <f>INDEX('Net zero Activity data'!AI$24:AI$39,MATCH('Net zero emission reductions'!$G1444,'Net zero Activity data'!$D$24:$D$39,0))*INDEX(EF!$H$84:$H$99,MATCH('Net zero emission reductions'!$G1444,EF!$D$84:$D$99,0))*INDEX(EF!$H$100:$H$115,MATCH('Net zero emission reductions'!$G1444,EF!$D$100:$D$115,0))*INDEX(EF!$H$116:$H$131,MATCH('Net zero emission reductions'!$G1444,EF!$D$116:$D$131,0))*kgtoGg</f>
        <v>0</v>
      </c>
      <c r="Q1444" s="22">
        <f>INDEX('Net zero Activity data'!AJ$24:AJ$39,MATCH('Net zero emission reductions'!$G1444,'Net zero Activity data'!$D$24:$D$39,0))*INDEX(EF!$H$84:$H$99,MATCH('Net zero emission reductions'!$G1444,EF!$D$84:$D$99,0))*INDEX(EF!$H$100:$H$115,MATCH('Net zero emission reductions'!$G1444,EF!$D$100:$D$115,0))*INDEX(EF!$H$116:$H$131,MATCH('Net zero emission reductions'!$G1444,EF!$D$116:$D$131,0))*kgtoGg</f>
        <v>0</v>
      </c>
      <c r="R1444" s="22">
        <f>INDEX('Net zero Activity data'!AK$24:AK$39,MATCH('Net zero emission reductions'!$G1444,'Net zero Activity data'!$D$24:$D$39,0))*INDEX(EF!$H$84:$H$99,MATCH('Net zero emission reductions'!$G1444,EF!$D$84:$D$99,0))*INDEX(EF!$H$100:$H$115,MATCH('Net zero emission reductions'!$G1444,EF!$D$100:$D$115,0))*INDEX(EF!$H$116:$H$131,MATCH('Net zero emission reductions'!$G1444,EF!$D$116:$D$131,0))*kgtoGg</f>
        <v>0</v>
      </c>
      <c r="S1444" s="22">
        <f>INDEX('Net zero Activity data'!AL$24:AL$39,MATCH('Net zero emission reductions'!$G1444,'Net zero Activity data'!$D$24:$D$39,0))*INDEX(EF!$H$84:$H$99,MATCH('Net zero emission reductions'!$G1444,EF!$D$84:$D$99,0))*INDEX(EF!$H$100:$H$115,MATCH('Net zero emission reductions'!$G1444,EF!$D$100:$D$115,0))*INDEX(EF!$H$116:$H$131,MATCH('Net zero emission reductions'!$G1444,EF!$D$116:$D$131,0))*kgtoGg</f>
        <v>0</v>
      </c>
      <c r="T1444" s="22">
        <f>INDEX('Net zero Activity data'!AM$24:AM$39,MATCH('Net zero emission reductions'!$G1444,'Net zero Activity data'!$D$24:$D$39,0))*INDEX(EF!$H$84:$H$99,MATCH('Net zero emission reductions'!$G1444,EF!$D$84:$D$99,0))*INDEX(EF!$H$100:$H$115,MATCH('Net zero emission reductions'!$G1444,EF!$D$100:$D$115,0))*INDEX(EF!$H$116:$H$131,MATCH('Net zero emission reductions'!$G1444,EF!$D$116:$D$131,0))*kgtoGg</f>
        <v>0</v>
      </c>
      <c r="U1444" s="22">
        <f>INDEX('Net zero Activity data'!AN$24:AN$39,MATCH('Net zero emission reductions'!$G1444,'Net zero Activity data'!$D$24:$D$39,0))*INDEX(EF!$H$84:$H$99,MATCH('Net zero emission reductions'!$G1444,EF!$D$84:$D$99,0))*INDEX(EF!$H$100:$H$115,MATCH('Net zero emission reductions'!$G1444,EF!$D$100:$D$115,0))*INDEX(EF!$H$116:$H$131,MATCH('Net zero emission reductions'!$G1444,EF!$D$116:$D$131,0))*kgtoGg</f>
        <v>0</v>
      </c>
      <c r="V1444" s="22">
        <f>INDEX('Net zero Activity data'!AO$24:AO$39,MATCH('Net zero emission reductions'!$G1444,'Net zero Activity data'!$D$24:$D$39,0))*INDEX(EF!$H$84:$H$99,MATCH('Net zero emission reductions'!$G1444,EF!$D$84:$D$99,0))*INDEX(EF!$H$100:$H$115,MATCH('Net zero emission reductions'!$G1444,EF!$D$100:$D$115,0))*INDEX(EF!$H$116:$H$131,MATCH('Net zero emission reductions'!$G1444,EF!$D$116:$D$131,0))*kgtoGg</f>
        <v>0</v>
      </c>
      <c r="W1444" s="22">
        <f>INDEX('Net zero Activity data'!AP$24:AP$39,MATCH('Net zero emission reductions'!$G1444,'Net zero Activity data'!$D$24:$D$39,0))*INDEX(EF!$H$84:$H$99,MATCH('Net zero emission reductions'!$G1444,EF!$D$84:$D$99,0))*INDEX(EF!$H$100:$H$115,MATCH('Net zero emission reductions'!$G1444,EF!$D$100:$D$115,0))*INDEX(EF!$H$116:$H$131,MATCH('Net zero emission reductions'!$G1444,EF!$D$116:$D$131,0))*kgtoGg</f>
        <v>0</v>
      </c>
      <c r="X1444" s="22">
        <f>INDEX('Net zero Activity data'!AQ$24:AQ$39,MATCH('Net zero emission reductions'!$G1444,'Net zero Activity data'!$D$24:$D$39,0))*INDEX(EF!$H$84:$H$99,MATCH('Net zero emission reductions'!$G1444,EF!$D$84:$D$99,0))*INDEX(EF!$H$100:$H$115,MATCH('Net zero emission reductions'!$G1444,EF!$D$100:$D$115,0))*INDEX(EF!$H$116:$H$131,MATCH('Net zero emission reductions'!$G1444,EF!$D$116:$D$131,0))*kgtoGg</f>
        <v>0</v>
      </c>
      <c r="Y1444" s="22">
        <f>INDEX('Net zero Activity data'!AR$24:AR$39,MATCH('Net zero emission reductions'!$G1444,'Net zero Activity data'!$D$24:$D$39,0))*INDEX(EF!$H$84:$H$99,MATCH('Net zero emission reductions'!$G1444,EF!$D$84:$D$99,0))*INDEX(EF!$H$100:$H$115,MATCH('Net zero emission reductions'!$G1444,EF!$D$100:$D$115,0))*INDEX(EF!$H$116:$H$131,MATCH('Net zero emission reductions'!$G1444,EF!$D$116:$D$131,0))*kgtoGg</f>
        <v>0</v>
      </c>
      <c r="Z1444" s="22">
        <f>INDEX('Net zero Activity data'!AS$24:AS$39,MATCH('Net zero emission reductions'!$G1444,'Net zero Activity data'!$D$24:$D$39,0))*INDEX(EF!$H$84:$H$99,MATCH('Net zero emission reductions'!$G1444,EF!$D$84:$D$99,0))*INDEX(EF!$H$100:$H$115,MATCH('Net zero emission reductions'!$G1444,EF!$D$100:$D$115,0))*INDEX(EF!$H$116:$H$131,MATCH('Net zero emission reductions'!$G1444,EF!$D$116:$D$131,0))*kgtoGg</f>
        <v>0</v>
      </c>
      <c r="AA1444" s="22">
        <f>INDEX('Net zero Activity data'!AT$24:AT$39,MATCH('Net zero emission reductions'!$G1444,'Net zero Activity data'!$D$24:$D$39,0))*INDEX(EF!$H$84:$H$99,MATCH('Net zero emission reductions'!$G1444,EF!$D$84:$D$99,0))*INDEX(EF!$H$100:$H$115,MATCH('Net zero emission reductions'!$G1444,EF!$D$100:$D$115,0))*INDEX(EF!$H$116:$H$131,MATCH('Net zero emission reductions'!$G1444,EF!$D$116:$D$131,0))*kgtoGg</f>
        <v>0</v>
      </c>
      <c r="AB1444" s="22">
        <f>INDEX('Net zero Activity data'!AU$24:AU$39,MATCH('Net zero emission reductions'!$G1444,'Net zero Activity data'!$D$24:$D$39,0))*INDEX(EF!$H$84:$H$99,MATCH('Net zero emission reductions'!$G1444,EF!$D$84:$D$99,0))*INDEX(EF!$H$100:$H$115,MATCH('Net zero emission reductions'!$G1444,EF!$D$100:$D$115,0))*INDEX(EF!$H$116:$H$131,MATCH('Net zero emission reductions'!$G1444,EF!$D$116:$D$131,0))*kgtoGg</f>
        <v>0</v>
      </c>
      <c r="AC1444" s="22">
        <f>INDEX('Net zero Activity data'!AV$24:AV$39,MATCH('Net zero emission reductions'!$G1444,'Net zero Activity data'!$D$24:$D$39,0))*INDEX(EF!$H$84:$H$99,MATCH('Net zero emission reductions'!$G1444,EF!$D$84:$D$99,0))*INDEX(EF!$H$100:$H$115,MATCH('Net zero emission reductions'!$G1444,EF!$D$100:$D$115,0))*INDEX(EF!$H$116:$H$131,MATCH('Net zero emission reductions'!$G1444,EF!$D$116:$D$131,0))*kgtoGg</f>
        <v>0</v>
      </c>
      <c r="AD1444" s="22">
        <f>INDEX('Net zero Activity data'!AW$24:AW$39,MATCH('Net zero emission reductions'!$G1444,'Net zero Activity data'!$D$24:$D$39,0))*INDEX(EF!$H$84:$H$99,MATCH('Net zero emission reductions'!$G1444,EF!$D$84:$D$99,0))*INDEX(EF!$H$100:$H$115,MATCH('Net zero emission reductions'!$G1444,EF!$D$100:$D$115,0))*INDEX(EF!$H$116:$H$131,MATCH('Net zero emission reductions'!$G1444,EF!$D$116:$D$131,0))*kgtoGg</f>
        <v>0</v>
      </c>
      <c r="AE1444" s="22">
        <f>INDEX('Net zero Activity data'!AX$24:AX$39,MATCH('Net zero emission reductions'!$G1444,'Net zero Activity data'!$D$24:$D$39,0))*INDEX(EF!$H$84:$H$99,MATCH('Net zero emission reductions'!$G1444,EF!$D$84:$D$99,0))*INDEX(EF!$H$100:$H$115,MATCH('Net zero emission reductions'!$G1444,EF!$D$100:$D$115,0))*INDEX(EF!$H$116:$H$131,MATCH('Net zero emission reductions'!$G1444,EF!$D$116:$D$131,0))*kgtoGg</f>
        <v>0</v>
      </c>
      <c r="AF1444" s="22">
        <f>INDEX('Net zero Activity data'!AY$24:AY$39,MATCH('Net zero emission reductions'!$G1444,'Net zero Activity data'!$D$24:$D$39,0))*INDEX(EF!$H$84:$H$99,MATCH('Net zero emission reductions'!$G1444,EF!$D$84:$D$99,0))*INDEX(EF!$H$100:$H$115,MATCH('Net zero emission reductions'!$G1444,EF!$D$100:$D$115,0))*INDEX(EF!$H$116:$H$131,MATCH('Net zero emission reductions'!$G1444,EF!$D$116:$D$131,0))*kgtoGg</f>
        <v>0</v>
      </c>
      <c r="AG1444" s="22">
        <f>INDEX('Net zero Activity data'!AZ$24:AZ$39,MATCH('Net zero emission reductions'!$G1444,'Net zero Activity data'!$D$24:$D$39,0))*INDEX(EF!$H$84:$H$99,MATCH('Net zero emission reductions'!$G1444,EF!$D$84:$D$99,0))*INDEX(EF!$H$100:$H$115,MATCH('Net zero emission reductions'!$G1444,EF!$D$100:$D$115,0))*INDEX(EF!$H$116:$H$131,MATCH('Net zero emission reductions'!$G1444,EF!$D$116:$D$131,0))*kgtoGg</f>
        <v>0</v>
      </c>
      <c r="AH1444" s="22">
        <f>INDEX('Net zero Activity data'!BA$24:BA$39,MATCH('Net zero emission reductions'!$G1444,'Net zero Activity data'!$D$24:$D$39,0))*INDEX(EF!$H$84:$H$99,MATCH('Net zero emission reductions'!$G1444,EF!$D$84:$D$99,0))*INDEX(EF!$H$100:$H$115,MATCH('Net zero emission reductions'!$G1444,EF!$D$100:$D$115,0))*INDEX(EF!$H$116:$H$131,MATCH('Net zero emission reductions'!$G1444,EF!$D$116:$D$131,0))*kgtoGg</f>
        <v>0</v>
      </c>
      <c r="AI1444" s="22">
        <f>INDEX('Net zero Activity data'!BB$24:BB$39,MATCH('Net zero emission reductions'!$G1444,'Net zero Activity data'!$D$24:$D$39,0))*INDEX(EF!$H$84:$H$99,MATCH('Net zero emission reductions'!$G1444,EF!$D$84:$D$99,0))*INDEX(EF!$H$100:$H$115,MATCH('Net zero emission reductions'!$G1444,EF!$D$100:$D$115,0))*INDEX(EF!$H$116:$H$131,MATCH('Net zero emission reductions'!$G1444,EF!$D$116:$D$131,0))*kgtoGg</f>
        <v>0</v>
      </c>
      <c r="AJ1444" s="22">
        <f>INDEX('Net zero Activity data'!BC$24:BC$39,MATCH('Net zero emission reductions'!$G1444,'Net zero Activity data'!$D$24:$D$39,0))*INDEX(EF!$H$84:$H$99,MATCH('Net zero emission reductions'!$G1444,EF!$D$84:$D$99,0))*INDEX(EF!$H$100:$H$115,MATCH('Net zero emission reductions'!$G1444,EF!$D$100:$D$115,0))*INDEX(EF!$H$116:$H$131,MATCH('Net zero emission reductions'!$G1444,EF!$D$116:$D$131,0))*kgtoGg</f>
        <v>0</v>
      </c>
      <c r="AK1444" s="22">
        <f>INDEX('Net zero Activity data'!BD$24:BD$39,MATCH('Net zero emission reductions'!$G1444,'Net zero Activity data'!$D$24:$D$39,0))*INDEX(EF!$H$84:$H$99,MATCH('Net zero emission reductions'!$G1444,EF!$D$84:$D$99,0))*INDEX(EF!$H$100:$H$115,MATCH('Net zero emission reductions'!$G1444,EF!$D$100:$D$115,0))*INDEX(EF!$H$116:$H$131,MATCH('Net zero emission reductions'!$G1444,EF!$D$116:$D$131,0))*kgtoGg</f>
        <v>0</v>
      </c>
      <c r="AL1444" s="22">
        <f>INDEX('Net zero Activity data'!BE$24:BE$39,MATCH('Net zero emission reductions'!$G1444,'Net zero Activity data'!$D$24:$D$39,0))*INDEX(EF!$H$84:$H$99,MATCH('Net zero emission reductions'!$G1444,EF!$D$84:$D$99,0))*INDEX(EF!$H$100:$H$115,MATCH('Net zero emission reductions'!$G1444,EF!$D$100:$D$115,0))*INDEX(EF!$H$116:$H$131,MATCH('Net zero emission reductions'!$G1444,EF!$D$116:$D$131,0))*kgtoGg</f>
        <v>0</v>
      </c>
      <c r="AM1444" s="22">
        <f>INDEX('Net zero Activity data'!BF$24:BF$39,MATCH('Net zero emission reductions'!$G1444,'Net zero Activity data'!$D$24:$D$39,0))*INDEX(EF!$H$84:$H$99,MATCH('Net zero emission reductions'!$G1444,EF!$D$84:$D$99,0))*INDEX(EF!$H$100:$H$115,MATCH('Net zero emission reductions'!$G1444,EF!$D$100:$D$115,0))*INDEX(EF!$H$116:$H$131,MATCH('Net zero emission reductions'!$G1444,EF!$D$116:$D$131,0))*kgtoGg</f>
        <v>0</v>
      </c>
      <c r="AN1444" s="22">
        <f>INDEX('Net zero Activity data'!BG$24:BG$39,MATCH('Net zero emission reductions'!$G1444,'Net zero Activity data'!$D$24:$D$39,0))*INDEX(EF!$H$84:$H$99,MATCH('Net zero emission reductions'!$G1444,EF!$D$84:$D$99,0))*INDEX(EF!$H$100:$H$115,MATCH('Net zero emission reductions'!$G1444,EF!$D$100:$D$115,0))*INDEX(EF!$H$116:$H$131,MATCH('Net zero emission reductions'!$G1444,EF!$D$116:$D$131,0))*kgtoGg</f>
        <v>0</v>
      </c>
      <c r="AO1444" s="22">
        <f>INDEX('Net zero Activity data'!BH$24:BH$39,MATCH('Net zero emission reductions'!$G1444,'Net zero Activity data'!$D$24:$D$39,0))*INDEX(EF!$H$84:$H$99,MATCH('Net zero emission reductions'!$G1444,EF!$D$84:$D$99,0))*INDEX(EF!$H$100:$H$115,MATCH('Net zero emission reductions'!$G1444,EF!$D$100:$D$115,0))*INDEX(EF!$H$116:$H$131,MATCH('Net zero emission reductions'!$G1444,EF!$D$116:$D$131,0))*kgtoGg</f>
        <v>0</v>
      </c>
      <c r="AP1444" s="22">
        <f>INDEX('Net zero Activity data'!BI$24:BI$39,MATCH('Net zero emission reductions'!$G1444,'Net zero Activity data'!$D$24:$D$39,0))*INDEX(EF!$H$84:$H$99,MATCH('Net zero emission reductions'!$G1444,EF!$D$84:$D$99,0))*INDEX(EF!$H$100:$H$115,MATCH('Net zero emission reductions'!$G1444,EF!$D$100:$D$115,0))*INDEX(EF!$H$116:$H$131,MATCH('Net zero emission reductions'!$G1444,EF!$D$116:$D$131,0))*kgtoGg</f>
        <v>0</v>
      </c>
      <c r="AQ1444" s="22">
        <f>INDEX('Net zero Activity data'!BJ$24:BJ$39,MATCH('Net zero emission reductions'!$G1444,'Net zero Activity data'!$D$24:$D$39,0))*INDEX(EF!$H$84:$H$99,MATCH('Net zero emission reductions'!$G1444,EF!$D$84:$D$99,0))*INDEX(EF!$H$100:$H$115,MATCH('Net zero emission reductions'!$G1444,EF!$D$100:$D$115,0))*INDEX(EF!$H$116:$H$131,MATCH('Net zero emission reductions'!$G1444,EF!$D$116:$D$131,0))*kgtoGg</f>
        <v>0</v>
      </c>
      <c r="AR1444" s="22">
        <f>INDEX('Net zero Activity data'!BK$24:BK$39,MATCH('Net zero emission reductions'!$G1444,'Net zero Activity data'!$D$24:$D$39,0))*INDEX(EF!$H$84:$H$99,MATCH('Net zero emission reductions'!$G1444,EF!$D$84:$D$99,0))*INDEX(EF!$H$100:$H$115,MATCH('Net zero emission reductions'!$G1444,EF!$D$100:$D$115,0))*INDEX(EF!$H$116:$H$131,MATCH('Net zero emission reductions'!$G1444,EF!$D$116:$D$131,0))*kgtoGg</f>
        <v>0</v>
      </c>
      <c r="AS1444" s="22">
        <f>INDEX('Net zero Activity data'!BL$24:BL$39,MATCH('Net zero emission reductions'!$G1444,'Net zero Activity data'!$D$24:$D$39,0))*INDEX(EF!$H$84:$H$99,MATCH('Net zero emission reductions'!$G1444,EF!$D$84:$D$99,0))*INDEX(EF!$H$100:$H$115,MATCH('Net zero emission reductions'!$G1444,EF!$D$100:$D$115,0))*INDEX(EF!$H$116:$H$131,MATCH('Net zero emission reductions'!$G1444,EF!$D$116:$D$131,0))*kgtoGg</f>
        <v>0</v>
      </c>
      <c r="AT1444" s="22">
        <f>INDEX('Net zero Activity data'!BM$24:BM$39,MATCH('Net zero emission reductions'!$G1444,'Net zero Activity data'!$D$24:$D$39,0))*INDEX(EF!$H$84:$H$99,MATCH('Net zero emission reductions'!$G1444,EF!$D$84:$D$99,0))*INDEX(EF!$H$100:$H$115,MATCH('Net zero emission reductions'!$G1444,EF!$D$100:$D$115,0))*INDEX(EF!$H$116:$H$131,MATCH('Net zero emission reductions'!$G1444,EF!$D$116:$D$131,0))*kgtoGg</f>
        <v>0</v>
      </c>
      <c r="AU1444" s="22">
        <f>INDEX('Net zero Activity data'!BN$24:BN$39,MATCH('Net zero emission reductions'!$G1444,'Net zero Activity data'!$D$24:$D$39,0))*INDEX(EF!$H$84:$H$99,MATCH('Net zero emission reductions'!$G1444,EF!$D$84:$D$99,0))*INDEX(EF!$H$100:$H$115,MATCH('Net zero emission reductions'!$G1444,EF!$D$100:$D$115,0))*INDEX(EF!$H$116:$H$131,MATCH('Net zero emission reductions'!$G1444,EF!$D$116:$D$131,0))*kgtoGg</f>
        <v>0</v>
      </c>
      <c r="AV1444" s="22">
        <f>INDEX('Net zero Activity data'!BO$24:BO$39,MATCH('Net zero emission reductions'!$G1444,'Net zero Activity data'!$D$24:$D$39,0))*INDEX(EF!$H$84:$H$99,MATCH('Net zero emission reductions'!$G1444,EF!$D$84:$D$99,0))*INDEX(EF!$H$100:$H$115,MATCH('Net zero emission reductions'!$G1444,EF!$D$100:$D$115,0))*INDEX(EF!$H$116:$H$131,MATCH('Net zero emission reductions'!$G1444,EF!$D$116:$D$131,0))*kgtoGg</f>
        <v>0</v>
      </c>
      <c r="AW1444" s="22">
        <f>INDEX('Net zero Activity data'!BP$24:BP$39,MATCH('Net zero emission reductions'!$G1444,'Net zero Activity data'!$D$24:$D$39,0))*INDEX(EF!$H$84:$H$99,MATCH('Net zero emission reductions'!$G1444,EF!$D$84:$D$99,0))*INDEX(EF!$H$100:$H$115,MATCH('Net zero emission reductions'!$G1444,EF!$D$100:$D$115,0))*INDEX(EF!$H$116:$H$131,MATCH('Net zero emission reductions'!$G1444,EF!$D$116:$D$131,0))*kgtoGg</f>
        <v>0</v>
      </c>
    </row>
    <row r="1445" spans="1:49" x14ac:dyDescent="0.25">
      <c r="A1445" s="102" t="s">
        <v>961</v>
      </c>
      <c r="B1445" s="102"/>
      <c r="C1445" s="102"/>
      <c r="D1445" t="str">
        <f t="shared" si="555"/>
        <v>3C Aggregated and non-CO2 emissions on land</v>
      </c>
      <c r="E1445" t="str">
        <f>'IPCC Categories'!B65</f>
        <v>3C1 Biomass burning (N2O)</v>
      </c>
      <c r="F1445" t="str">
        <f>F1429</f>
        <v>3C1a Biomass burning in forest land</v>
      </c>
      <c r="G1445" t="str">
        <f>EF!D100</f>
        <v>Indigenous forests</v>
      </c>
      <c r="H1445" t="s">
        <v>640</v>
      </c>
      <c r="I1445" t="s">
        <v>139</v>
      </c>
      <c r="J1445" t="s">
        <v>287</v>
      </c>
      <c r="K1445" s="22">
        <f>INDEX('Net zero Activity data'!AD$24:AD$39,MATCH('Net zero emission reductions'!$G1445,'Net zero Activity data'!$D$24:$D$39,0))*INDEX(EF!$H$84:$H$99,MATCH('Net zero emission reductions'!$G1445,EF!$D$84:$D$99,0))*INDEX(EF!$H$100:$H$115,MATCH('Net zero emission reductions'!$G1445,EF!$D$100:$D$115,0))*INDEX(EF!$H$132:$H$147,MATCH('Net zero emission reductions'!$G1445,EF!$D$132:$D$147,0))*kgtoGg</f>
        <v>6.9999126484672408E-2</v>
      </c>
      <c r="L1445" s="22">
        <f>INDEX('Net zero Activity data'!AE$24:AE$39,MATCH('Net zero emission reductions'!$G1445,'Net zero Activity data'!$D$24:$D$39,0))*INDEX(EF!$H$84:$H$99,MATCH('Net zero emission reductions'!$G1445,EF!$D$84:$D$99,0))*INDEX(EF!$H$100:$H$115,MATCH('Net zero emission reductions'!$G1445,EF!$D$100:$D$115,0))*INDEX(EF!$H$132:$H$147,MATCH('Net zero emission reductions'!$G1445,EF!$D$132:$D$147,0))*kgtoGg</f>
        <v>6.9969256669183813E-2</v>
      </c>
      <c r="M1445" s="22">
        <f>INDEX('Net zero Activity data'!AF$24:AF$39,MATCH('Net zero emission reductions'!$G1445,'Net zero Activity data'!$D$24:$D$39,0))*INDEX(EF!$H$84:$H$99,MATCH('Net zero emission reductions'!$G1445,EF!$D$84:$D$99,0))*INDEX(EF!$H$100:$H$115,MATCH('Net zero emission reductions'!$G1445,EF!$D$100:$D$115,0))*INDEX(EF!$H$132:$H$147,MATCH('Net zero emission reductions'!$G1445,EF!$D$132:$D$147,0))*kgtoGg</f>
        <v>6.9939386853695204E-2</v>
      </c>
      <c r="N1445" s="22">
        <f>INDEX('Net zero Activity data'!AG$24:AG$39,MATCH('Net zero emission reductions'!$G1445,'Net zero Activity data'!$D$24:$D$39,0))*INDEX(EF!$H$84:$H$99,MATCH('Net zero emission reductions'!$G1445,EF!$D$84:$D$99,0))*INDEX(EF!$H$100:$H$115,MATCH('Net zero emission reductions'!$G1445,EF!$D$100:$D$115,0))*INDEX(EF!$H$132:$H$147,MATCH('Net zero emission reductions'!$G1445,EF!$D$132:$D$147,0))*kgtoGg</f>
        <v>6.9909517038206595E-2</v>
      </c>
      <c r="O1445" s="22">
        <f>INDEX('Net zero Activity data'!AH$24:AH$39,MATCH('Net zero emission reductions'!$G1445,'Net zero Activity data'!$D$24:$D$39,0))*INDEX(EF!$H$84:$H$99,MATCH('Net zero emission reductions'!$G1445,EF!$D$84:$D$99,0))*INDEX(EF!$H$100:$H$115,MATCH('Net zero emission reductions'!$G1445,EF!$D$100:$D$115,0))*INDEX(EF!$H$132:$H$147,MATCH('Net zero emission reductions'!$G1445,EF!$D$132:$D$147,0))*kgtoGg</f>
        <v>6.9879647222718E-2</v>
      </c>
      <c r="P1445" s="22">
        <f>INDEX('Net zero Activity data'!AI$24:AI$39,MATCH('Net zero emission reductions'!$G1445,'Net zero Activity data'!$D$24:$D$39,0))*INDEX(EF!$H$84:$H$99,MATCH('Net zero emission reductions'!$G1445,EF!$D$84:$D$99,0))*INDEX(EF!$H$100:$H$115,MATCH('Net zero emission reductions'!$G1445,EF!$D$100:$D$115,0))*INDEX(EF!$H$132:$H$147,MATCH('Net zero emission reductions'!$G1445,EF!$D$132:$D$147,0))*kgtoGg</f>
        <v>6.9849777407229377E-2</v>
      </c>
      <c r="Q1445" s="22">
        <f>INDEX('Net zero Activity data'!AJ$24:AJ$39,MATCH('Net zero emission reductions'!$G1445,'Net zero Activity data'!$D$24:$D$39,0))*INDEX(EF!$H$84:$H$99,MATCH('Net zero emission reductions'!$G1445,EF!$D$84:$D$99,0))*INDEX(EF!$H$100:$H$115,MATCH('Net zero emission reductions'!$G1445,EF!$D$100:$D$115,0))*INDEX(EF!$H$132:$H$147,MATCH('Net zero emission reductions'!$G1445,EF!$D$132:$D$147,0))*kgtoGg</f>
        <v>6.9819907591740768E-2</v>
      </c>
      <c r="R1445" s="22">
        <f>INDEX('Net zero Activity data'!AK$24:AK$39,MATCH('Net zero emission reductions'!$G1445,'Net zero Activity data'!$D$24:$D$39,0))*INDEX(EF!$H$84:$H$99,MATCH('Net zero emission reductions'!$G1445,EF!$D$84:$D$99,0))*INDEX(EF!$H$100:$H$115,MATCH('Net zero emission reductions'!$G1445,EF!$D$100:$D$115,0))*INDEX(EF!$H$132:$H$147,MATCH('Net zero emission reductions'!$G1445,EF!$D$132:$D$147,0))*kgtoGg</f>
        <v>6.9790037776252159E-2</v>
      </c>
      <c r="S1445" s="22">
        <f>INDEX('Net zero Activity data'!AL$24:AL$39,MATCH('Net zero emission reductions'!$G1445,'Net zero Activity data'!$D$24:$D$39,0))*INDEX(EF!$H$84:$H$99,MATCH('Net zero emission reductions'!$G1445,EF!$D$84:$D$99,0))*INDEX(EF!$H$100:$H$115,MATCH('Net zero emission reductions'!$G1445,EF!$D$100:$D$115,0))*INDEX(EF!$H$132:$H$147,MATCH('Net zero emission reductions'!$G1445,EF!$D$132:$D$147,0))*kgtoGg</f>
        <v>6.9760167960763578E-2</v>
      </c>
      <c r="T1445" s="22">
        <f>INDEX('Net zero Activity data'!AM$24:AM$39,MATCH('Net zero emission reductions'!$G1445,'Net zero Activity data'!$D$24:$D$39,0))*INDEX(EF!$H$84:$H$99,MATCH('Net zero emission reductions'!$G1445,EF!$D$84:$D$99,0))*INDEX(EF!$H$100:$H$115,MATCH('Net zero emission reductions'!$G1445,EF!$D$100:$D$115,0))*INDEX(EF!$H$132:$H$147,MATCH('Net zero emission reductions'!$G1445,EF!$D$132:$D$147,0))*kgtoGg</f>
        <v>6.9730298145274969E-2</v>
      </c>
      <c r="U1445" s="22">
        <f>INDEX('Net zero Activity data'!AN$24:AN$39,MATCH('Net zero emission reductions'!$G1445,'Net zero Activity data'!$D$24:$D$39,0))*INDEX(EF!$H$84:$H$99,MATCH('Net zero emission reductions'!$G1445,EF!$D$84:$D$99,0))*INDEX(EF!$H$100:$H$115,MATCH('Net zero emission reductions'!$G1445,EF!$D$100:$D$115,0))*INDEX(EF!$H$132:$H$147,MATCH('Net zero emission reductions'!$G1445,EF!$D$132:$D$147,0))*kgtoGg</f>
        <v>6.9700428329786346E-2</v>
      </c>
      <c r="V1445" s="22">
        <f>INDEX('Net zero Activity data'!AO$24:AO$39,MATCH('Net zero emission reductions'!$G1445,'Net zero Activity data'!$D$24:$D$39,0))*INDEX(EF!$H$84:$H$99,MATCH('Net zero emission reductions'!$G1445,EF!$D$84:$D$99,0))*INDEX(EF!$H$100:$H$115,MATCH('Net zero emission reductions'!$G1445,EF!$D$100:$D$115,0))*INDEX(EF!$H$132:$H$147,MATCH('Net zero emission reductions'!$G1445,EF!$D$132:$D$147,0))*kgtoGg</f>
        <v>6.9670558514297751E-2</v>
      </c>
      <c r="W1445" s="22">
        <f>INDEX('Net zero Activity data'!AP$24:AP$39,MATCH('Net zero emission reductions'!$G1445,'Net zero Activity data'!$D$24:$D$39,0))*INDEX(EF!$H$84:$H$99,MATCH('Net zero emission reductions'!$G1445,EF!$D$84:$D$99,0))*INDEX(EF!$H$100:$H$115,MATCH('Net zero emission reductions'!$G1445,EF!$D$100:$D$115,0))*INDEX(EF!$H$132:$H$147,MATCH('Net zero emission reductions'!$G1445,EF!$D$132:$D$147,0))*kgtoGg</f>
        <v>6.9640688698809156E-2</v>
      </c>
      <c r="X1445" s="22">
        <f>INDEX('Net zero Activity data'!AQ$24:AQ$39,MATCH('Net zero emission reductions'!$G1445,'Net zero Activity data'!$D$24:$D$39,0))*INDEX(EF!$H$84:$H$99,MATCH('Net zero emission reductions'!$G1445,EF!$D$84:$D$99,0))*INDEX(EF!$H$100:$H$115,MATCH('Net zero emission reductions'!$G1445,EF!$D$100:$D$115,0))*INDEX(EF!$H$132:$H$147,MATCH('Net zero emission reductions'!$G1445,EF!$D$132:$D$147,0))*kgtoGg</f>
        <v>6.9610818883320533E-2</v>
      </c>
      <c r="Y1445" s="22">
        <f>INDEX('Net zero Activity data'!AR$24:AR$39,MATCH('Net zero emission reductions'!$G1445,'Net zero Activity data'!$D$24:$D$39,0))*INDEX(EF!$H$84:$H$99,MATCH('Net zero emission reductions'!$G1445,EF!$D$84:$D$99,0))*INDEX(EF!$H$100:$H$115,MATCH('Net zero emission reductions'!$G1445,EF!$D$100:$D$115,0))*INDEX(EF!$H$132:$H$147,MATCH('Net zero emission reductions'!$G1445,EF!$D$132:$D$147,0))*kgtoGg</f>
        <v>6.9580949067831938E-2</v>
      </c>
      <c r="Z1445" s="22">
        <f>INDEX('Net zero Activity data'!AS$24:AS$39,MATCH('Net zero emission reductions'!$G1445,'Net zero Activity data'!$D$24:$D$39,0))*INDEX(EF!$H$84:$H$99,MATCH('Net zero emission reductions'!$G1445,EF!$D$84:$D$99,0))*INDEX(EF!$H$100:$H$115,MATCH('Net zero emission reductions'!$G1445,EF!$D$100:$D$115,0))*INDEX(EF!$H$132:$H$147,MATCH('Net zero emission reductions'!$G1445,EF!$D$132:$D$147,0))*kgtoGg</f>
        <v>6.9551079252343315E-2</v>
      </c>
      <c r="AA1445" s="22">
        <f>INDEX('Net zero Activity data'!AT$24:AT$39,MATCH('Net zero emission reductions'!$G1445,'Net zero Activity data'!$D$24:$D$39,0))*INDEX(EF!$H$84:$H$99,MATCH('Net zero emission reductions'!$G1445,EF!$D$84:$D$99,0))*INDEX(EF!$H$100:$H$115,MATCH('Net zero emission reductions'!$G1445,EF!$D$100:$D$115,0))*INDEX(EF!$H$132:$H$147,MATCH('Net zero emission reductions'!$G1445,EF!$D$132:$D$147,0))*kgtoGg</f>
        <v>6.9521209436854706E-2</v>
      </c>
      <c r="AB1445" s="22">
        <f>INDEX('Net zero Activity data'!AU$24:AU$39,MATCH('Net zero emission reductions'!$G1445,'Net zero Activity data'!$D$24:$D$39,0))*INDEX(EF!$H$84:$H$99,MATCH('Net zero emission reductions'!$G1445,EF!$D$84:$D$99,0))*INDEX(EF!$H$100:$H$115,MATCH('Net zero emission reductions'!$G1445,EF!$D$100:$D$115,0))*INDEX(EF!$H$132:$H$147,MATCH('Net zero emission reductions'!$G1445,EF!$D$132:$D$147,0))*kgtoGg</f>
        <v>6.9491339621366111E-2</v>
      </c>
      <c r="AC1445" s="22">
        <f>INDEX('Net zero Activity data'!AV$24:AV$39,MATCH('Net zero emission reductions'!$G1445,'Net zero Activity data'!$D$24:$D$39,0))*INDEX(EF!$H$84:$H$99,MATCH('Net zero emission reductions'!$G1445,EF!$D$84:$D$99,0))*INDEX(EF!$H$100:$H$115,MATCH('Net zero emission reductions'!$G1445,EF!$D$100:$D$115,0))*INDEX(EF!$H$132:$H$147,MATCH('Net zero emission reductions'!$G1445,EF!$D$132:$D$147,0))*kgtoGg</f>
        <v>6.9461469805877502E-2</v>
      </c>
      <c r="AD1445" s="22">
        <f>INDEX('Net zero Activity data'!AW$24:AW$39,MATCH('Net zero emission reductions'!$G1445,'Net zero Activity data'!$D$24:$D$39,0))*INDEX(EF!$H$84:$H$99,MATCH('Net zero emission reductions'!$G1445,EF!$D$84:$D$99,0))*INDEX(EF!$H$100:$H$115,MATCH('Net zero emission reductions'!$G1445,EF!$D$100:$D$115,0))*INDEX(EF!$H$132:$H$147,MATCH('Net zero emission reductions'!$G1445,EF!$D$132:$D$147,0))*kgtoGg</f>
        <v>6.9431599990388893E-2</v>
      </c>
      <c r="AE1445" s="22">
        <f>INDEX('Net zero Activity data'!AX$24:AX$39,MATCH('Net zero emission reductions'!$G1445,'Net zero Activity data'!$D$24:$D$39,0))*INDEX(EF!$H$84:$H$99,MATCH('Net zero emission reductions'!$G1445,EF!$D$84:$D$99,0))*INDEX(EF!$H$100:$H$115,MATCH('Net zero emission reductions'!$G1445,EF!$D$100:$D$115,0))*INDEX(EF!$H$132:$H$147,MATCH('Net zero emission reductions'!$G1445,EF!$D$132:$D$147,0))*kgtoGg</f>
        <v>6.9401730174900297E-2</v>
      </c>
      <c r="AF1445" s="22">
        <f>INDEX('Net zero Activity data'!AY$24:AY$39,MATCH('Net zero emission reductions'!$G1445,'Net zero Activity data'!$D$24:$D$39,0))*INDEX(EF!$H$84:$H$99,MATCH('Net zero emission reductions'!$G1445,EF!$D$84:$D$99,0))*INDEX(EF!$H$100:$H$115,MATCH('Net zero emission reductions'!$G1445,EF!$D$100:$D$115,0))*INDEX(EF!$H$132:$H$147,MATCH('Net zero emission reductions'!$G1445,EF!$D$132:$D$147,0))*kgtoGg</f>
        <v>6.9371860359411688E-2</v>
      </c>
      <c r="AG1445" s="22">
        <f>INDEX('Net zero Activity data'!AZ$24:AZ$39,MATCH('Net zero emission reductions'!$G1445,'Net zero Activity data'!$D$24:$D$39,0))*INDEX(EF!$H$84:$H$99,MATCH('Net zero emission reductions'!$G1445,EF!$D$84:$D$99,0))*INDEX(EF!$H$100:$H$115,MATCH('Net zero emission reductions'!$G1445,EF!$D$100:$D$115,0))*INDEX(EF!$H$132:$H$147,MATCH('Net zero emission reductions'!$G1445,EF!$D$132:$D$147,0))*kgtoGg</f>
        <v>6.9341990543923093E-2</v>
      </c>
      <c r="AH1445" s="22">
        <f>INDEX('Net zero Activity data'!BA$24:BA$39,MATCH('Net zero emission reductions'!$G1445,'Net zero Activity data'!$D$24:$D$39,0))*INDEX(EF!$H$84:$H$99,MATCH('Net zero emission reductions'!$G1445,EF!$D$84:$D$99,0))*INDEX(EF!$H$100:$H$115,MATCH('Net zero emission reductions'!$G1445,EF!$D$100:$D$115,0))*INDEX(EF!$H$132:$H$147,MATCH('Net zero emission reductions'!$G1445,EF!$D$132:$D$147,0))*kgtoGg</f>
        <v>6.931212072843447E-2</v>
      </c>
      <c r="AI1445" s="22">
        <f>INDEX('Net zero Activity data'!BB$24:BB$39,MATCH('Net zero emission reductions'!$G1445,'Net zero Activity data'!$D$24:$D$39,0))*INDEX(EF!$H$84:$H$99,MATCH('Net zero emission reductions'!$G1445,EF!$D$84:$D$99,0))*INDEX(EF!$H$100:$H$115,MATCH('Net zero emission reductions'!$G1445,EF!$D$100:$D$115,0))*INDEX(EF!$H$132:$H$147,MATCH('Net zero emission reductions'!$G1445,EF!$D$132:$D$147,0))*kgtoGg</f>
        <v>6.9282250912945875E-2</v>
      </c>
      <c r="AJ1445" s="22">
        <f>INDEX('Net zero Activity data'!BC$24:BC$39,MATCH('Net zero emission reductions'!$G1445,'Net zero Activity data'!$D$24:$D$39,0))*INDEX(EF!$H$84:$H$99,MATCH('Net zero emission reductions'!$G1445,EF!$D$84:$D$99,0))*INDEX(EF!$H$100:$H$115,MATCH('Net zero emission reductions'!$G1445,EF!$D$100:$D$115,0))*INDEX(EF!$H$132:$H$147,MATCH('Net zero emission reductions'!$G1445,EF!$D$132:$D$147,0))*kgtoGg</f>
        <v>6.9252381097457266E-2</v>
      </c>
      <c r="AK1445" s="22">
        <f>INDEX('Net zero Activity data'!BD$24:BD$39,MATCH('Net zero emission reductions'!$G1445,'Net zero Activity data'!$D$24:$D$39,0))*INDEX(EF!$H$84:$H$99,MATCH('Net zero emission reductions'!$G1445,EF!$D$84:$D$99,0))*INDEX(EF!$H$100:$H$115,MATCH('Net zero emission reductions'!$G1445,EF!$D$100:$D$115,0))*INDEX(EF!$H$132:$H$147,MATCH('Net zero emission reductions'!$G1445,EF!$D$132:$D$147,0))*kgtoGg</f>
        <v>6.9222511281968643E-2</v>
      </c>
      <c r="AL1445" s="22">
        <f>INDEX('Net zero Activity data'!BE$24:BE$39,MATCH('Net zero emission reductions'!$G1445,'Net zero Activity data'!$D$24:$D$39,0))*INDEX(EF!$H$84:$H$99,MATCH('Net zero emission reductions'!$G1445,EF!$D$84:$D$99,0))*INDEX(EF!$H$100:$H$115,MATCH('Net zero emission reductions'!$G1445,EF!$D$100:$D$115,0))*INDEX(EF!$H$132:$H$147,MATCH('Net zero emission reductions'!$G1445,EF!$D$132:$D$147,0))*kgtoGg</f>
        <v>6.9192641466480048E-2</v>
      </c>
      <c r="AM1445" s="22">
        <f>INDEX('Net zero Activity data'!BF$24:BF$39,MATCH('Net zero emission reductions'!$G1445,'Net zero Activity data'!$D$24:$D$39,0))*INDEX(EF!$H$84:$H$99,MATCH('Net zero emission reductions'!$G1445,EF!$D$84:$D$99,0))*INDEX(EF!$H$100:$H$115,MATCH('Net zero emission reductions'!$G1445,EF!$D$100:$D$115,0))*INDEX(EF!$H$132:$H$147,MATCH('Net zero emission reductions'!$G1445,EF!$D$132:$D$147,0))*kgtoGg</f>
        <v>6.9162771650991453E-2</v>
      </c>
      <c r="AN1445" s="22">
        <f>INDEX('Net zero Activity data'!BG$24:BG$39,MATCH('Net zero emission reductions'!$G1445,'Net zero Activity data'!$D$24:$D$39,0))*INDEX(EF!$H$84:$H$99,MATCH('Net zero emission reductions'!$G1445,EF!$D$84:$D$99,0))*INDEX(EF!$H$100:$H$115,MATCH('Net zero emission reductions'!$G1445,EF!$D$100:$D$115,0))*INDEX(EF!$H$132:$H$147,MATCH('Net zero emission reductions'!$G1445,EF!$D$132:$D$147,0))*kgtoGg</f>
        <v>6.913290183550283E-2</v>
      </c>
      <c r="AO1445" s="22">
        <f>INDEX('Net zero Activity data'!BH$24:BH$39,MATCH('Net zero emission reductions'!$G1445,'Net zero Activity data'!$D$24:$D$39,0))*INDEX(EF!$H$84:$H$99,MATCH('Net zero emission reductions'!$G1445,EF!$D$84:$D$99,0))*INDEX(EF!$H$100:$H$115,MATCH('Net zero emission reductions'!$G1445,EF!$D$100:$D$115,0))*INDEX(EF!$H$132:$H$147,MATCH('Net zero emission reductions'!$G1445,EF!$D$132:$D$147,0))*kgtoGg</f>
        <v>6.9103032020014235E-2</v>
      </c>
      <c r="AP1445" s="22">
        <f>INDEX('Net zero Activity data'!BI$24:BI$39,MATCH('Net zero emission reductions'!$G1445,'Net zero Activity data'!$D$24:$D$39,0))*INDEX(EF!$H$84:$H$99,MATCH('Net zero emission reductions'!$G1445,EF!$D$84:$D$99,0))*INDEX(EF!$H$100:$H$115,MATCH('Net zero emission reductions'!$G1445,EF!$D$100:$D$115,0))*INDEX(EF!$H$132:$H$147,MATCH('Net zero emission reductions'!$G1445,EF!$D$132:$D$147,0))*kgtoGg</f>
        <v>6.9073162204525626E-2</v>
      </c>
      <c r="AQ1445" s="22">
        <f>INDEX('Net zero Activity data'!BJ$24:BJ$39,MATCH('Net zero emission reductions'!$G1445,'Net zero Activity data'!$D$24:$D$39,0))*INDEX(EF!$H$84:$H$99,MATCH('Net zero emission reductions'!$G1445,EF!$D$84:$D$99,0))*INDEX(EF!$H$100:$H$115,MATCH('Net zero emission reductions'!$G1445,EF!$D$100:$D$115,0))*INDEX(EF!$H$132:$H$147,MATCH('Net zero emission reductions'!$G1445,EF!$D$132:$D$147,0))*kgtoGg</f>
        <v>6.9043292389037031E-2</v>
      </c>
      <c r="AR1445" s="22">
        <f>INDEX('Net zero Activity data'!BK$24:BK$39,MATCH('Net zero emission reductions'!$G1445,'Net zero Activity data'!$D$24:$D$39,0))*INDEX(EF!$H$84:$H$99,MATCH('Net zero emission reductions'!$G1445,EF!$D$84:$D$99,0))*INDEX(EF!$H$100:$H$115,MATCH('Net zero emission reductions'!$G1445,EF!$D$100:$D$115,0))*INDEX(EF!$H$132:$H$147,MATCH('Net zero emission reductions'!$G1445,EF!$D$132:$D$147,0))*kgtoGg</f>
        <v>6.9013422573548422E-2</v>
      </c>
      <c r="AS1445" s="22">
        <f>INDEX('Net zero Activity data'!BL$24:BL$39,MATCH('Net zero emission reductions'!$G1445,'Net zero Activity data'!$D$24:$D$39,0))*INDEX(EF!$H$84:$H$99,MATCH('Net zero emission reductions'!$G1445,EF!$D$84:$D$99,0))*INDEX(EF!$H$100:$H$115,MATCH('Net zero emission reductions'!$G1445,EF!$D$100:$D$115,0))*INDEX(EF!$H$132:$H$147,MATCH('Net zero emission reductions'!$G1445,EF!$D$132:$D$147,0))*kgtoGg</f>
        <v>6.8983552758059813E-2</v>
      </c>
      <c r="AT1445" s="22">
        <f>INDEX('Net zero Activity data'!BM$24:BM$39,MATCH('Net zero emission reductions'!$G1445,'Net zero Activity data'!$D$24:$D$39,0))*INDEX(EF!$H$84:$H$99,MATCH('Net zero emission reductions'!$G1445,EF!$D$84:$D$99,0))*INDEX(EF!$H$100:$H$115,MATCH('Net zero emission reductions'!$G1445,EF!$D$100:$D$115,0))*INDEX(EF!$H$132:$H$147,MATCH('Net zero emission reductions'!$G1445,EF!$D$132:$D$147,0))*kgtoGg</f>
        <v>6.8953682942571204E-2</v>
      </c>
      <c r="AU1445" s="22">
        <f>INDEX('Net zero Activity data'!BN$24:BN$39,MATCH('Net zero emission reductions'!$G1445,'Net zero Activity data'!$D$24:$D$39,0))*INDEX(EF!$H$84:$H$99,MATCH('Net zero emission reductions'!$G1445,EF!$D$84:$D$99,0))*INDEX(EF!$H$100:$H$115,MATCH('Net zero emission reductions'!$G1445,EF!$D$100:$D$115,0))*INDEX(EF!$H$132:$H$147,MATCH('Net zero emission reductions'!$G1445,EF!$D$132:$D$147,0))*kgtoGg</f>
        <v>6.8923813127082581E-2</v>
      </c>
      <c r="AV1445" s="22">
        <f>INDEX('Net zero Activity data'!BO$24:BO$39,MATCH('Net zero emission reductions'!$G1445,'Net zero Activity data'!$D$24:$D$39,0))*INDEX(EF!$H$84:$H$99,MATCH('Net zero emission reductions'!$G1445,EF!$D$84:$D$99,0))*INDEX(EF!$H$100:$H$115,MATCH('Net zero emission reductions'!$G1445,EF!$D$100:$D$115,0))*INDEX(EF!$H$132:$H$147,MATCH('Net zero emission reductions'!$G1445,EF!$D$132:$D$147,0))*kgtoGg</f>
        <v>6.8893943311593986E-2</v>
      </c>
      <c r="AW1445" s="22">
        <f>INDEX('Net zero Activity data'!BP$24:BP$39,MATCH('Net zero emission reductions'!$G1445,'Net zero Activity data'!$D$24:$D$39,0))*INDEX(EF!$H$84:$H$99,MATCH('Net zero emission reductions'!$G1445,EF!$D$84:$D$99,0))*INDEX(EF!$H$100:$H$115,MATCH('Net zero emission reductions'!$G1445,EF!$D$100:$D$115,0))*INDEX(EF!$H$132:$H$147,MATCH('Net zero emission reductions'!$G1445,EF!$D$132:$D$147,0))*kgtoGg</f>
        <v>6.8864073496105391E-2</v>
      </c>
    </row>
    <row r="1446" spans="1:49" x14ac:dyDescent="0.25">
      <c r="A1446" s="102" t="s">
        <v>961</v>
      </c>
      <c r="B1446" s="102"/>
      <c r="C1446" s="102"/>
      <c r="D1446" t="str">
        <f t="shared" si="555"/>
        <v>3C Aggregated and non-CO2 emissions on land</v>
      </c>
      <c r="E1446" t="str">
        <f>E1445</f>
        <v>3C1 Biomass burning (N2O)</v>
      </c>
      <c r="F1446" t="str">
        <f t="shared" ref="F1446:F1460" si="559">F1430</f>
        <v>3C1a Biomass burning in forest land</v>
      </c>
      <c r="G1446" t="str">
        <f>EF!D101</f>
        <v>Thickets</v>
      </c>
      <c r="H1446" t="s">
        <v>642</v>
      </c>
      <c r="I1446" t="str">
        <f>I1445</f>
        <v>N2O</v>
      </c>
      <c r="J1446" t="str">
        <f>J1445</f>
        <v>Gg N2O</v>
      </c>
      <c r="K1446" s="22">
        <f>INDEX('Net zero Activity data'!AD$24:AD$39,MATCH('Net zero emission reductions'!$G1446,'Net zero Activity data'!$D$24:$D$39,0))*INDEX(EF!$H$84:$H$99,MATCH('Net zero emission reductions'!$G1446,EF!$D$84:$D$99,0))*INDEX(EF!$H$100:$H$115,MATCH('Net zero emission reductions'!$G1446,EF!$D$100:$D$115,0))*INDEX(EF!$H$132:$H$147,MATCH('Net zero emission reductions'!$G1446,EF!$D$132:$D$147,0))*kgtoGg</f>
        <v>0.1362211465996048</v>
      </c>
      <c r="L1446" s="22">
        <f>INDEX('Net zero Activity data'!AE$24:AE$39,MATCH('Net zero emission reductions'!$G1446,'Net zero Activity data'!$D$24:$D$39,0))*INDEX(EF!$H$84:$H$99,MATCH('Net zero emission reductions'!$G1446,EF!$D$84:$D$99,0))*INDEX(EF!$H$100:$H$115,MATCH('Net zero emission reductions'!$G1446,EF!$D$100:$D$115,0))*INDEX(EF!$H$132:$H$147,MATCH('Net zero emission reductions'!$G1446,EF!$D$132:$D$147,0))*kgtoGg</f>
        <v>0.13600546655871854</v>
      </c>
      <c r="M1446" s="22">
        <f>INDEX('Net zero Activity data'!AF$24:AF$39,MATCH('Net zero emission reductions'!$G1446,'Net zero Activity data'!$D$24:$D$39,0))*INDEX(EF!$H$84:$H$99,MATCH('Net zero emission reductions'!$G1446,EF!$D$84:$D$99,0))*INDEX(EF!$H$100:$H$115,MATCH('Net zero emission reductions'!$G1446,EF!$D$100:$D$115,0))*INDEX(EF!$H$132:$H$147,MATCH('Net zero emission reductions'!$G1446,EF!$D$132:$D$147,0))*kgtoGg</f>
        <v>0.13578978651783222</v>
      </c>
      <c r="N1446" s="22">
        <f>INDEX('Net zero Activity data'!AG$24:AG$39,MATCH('Net zero emission reductions'!$G1446,'Net zero Activity data'!$D$24:$D$39,0))*INDEX(EF!$H$84:$H$99,MATCH('Net zero emission reductions'!$G1446,EF!$D$84:$D$99,0))*INDEX(EF!$H$100:$H$115,MATCH('Net zero emission reductions'!$G1446,EF!$D$100:$D$115,0))*INDEX(EF!$H$132:$H$147,MATCH('Net zero emission reductions'!$G1446,EF!$D$132:$D$147,0))*kgtoGg</f>
        <v>0.13557410647694595</v>
      </c>
      <c r="O1446" s="22">
        <f>INDEX('Net zero Activity data'!AH$24:AH$39,MATCH('Net zero emission reductions'!$G1446,'Net zero Activity data'!$D$24:$D$39,0))*INDEX(EF!$H$84:$H$99,MATCH('Net zero emission reductions'!$G1446,EF!$D$84:$D$99,0))*INDEX(EF!$H$100:$H$115,MATCH('Net zero emission reductions'!$G1446,EF!$D$100:$D$115,0))*INDEX(EF!$H$132:$H$147,MATCH('Net zero emission reductions'!$G1446,EF!$D$132:$D$147,0))*kgtoGg</f>
        <v>0.13535842643605966</v>
      </c>
      <c r="P1446" s="22">
        <f>INDEX('Net zero Activity data'!AI$24:AI$39,MATCH('Net zero emission reductions'!$G1446,'Net zero Activity data'!$D$24:$D$39,0))*INDEX(EF!$H$84:$H$99,MATCH('Net zero emission reductions'!$G1446,EF!$D$84:$D$99,0))*INDEX(EF!$H$100:$H$115,MATCH('Net zero emission reductions'!$G1446,EF!$D$100:$D$115,0))*INDEX(EF!$H$132:$H$147,MATCH('Net zero emission reductions'!$G1446,EF!$D$132:$D$147,0))*kgtoGg</f>
        <v>0.13514274639517335</v>
      </c>
      <c r="Q1446" s="22">
        <f>INDEX('Net zero Activity data'!AJ$24:AJ$39,MATCH('Net zero emission reductions'!$G1446,'Net zero Activity data'!$D$24:$D$39,0))*INDEX(EF!$H$84:$H$99,MATCH('Net zero emission reductions'!$G1446,EF!$D$84:$D$99,0))*INDEX(EF!$H$100:$H$115,MATCH('Net zero emission reductions'!$G1446,EF!$D$100:$D$115,0))*INDEX(EF!$H$132:$H$147,MATCH('Net zero emission reductions'!$G1446,EF!$D$132:$D$147,0))*kgtoGg</f>
        <v>0.13492706635428708</v>
      </c>
      <c r="R1446" s="22">
        <f>INDEX('Net zero Activity data'!AK$24:AK$39,MATCH('Net zero emission reductions'!$G1446,'Net zero Activity data'!$D$24:$D$39,0))*INDEX(EF!$H$84:$H$99,MATCH('Net zero emission reductions'!$G1446,EF!$D$84:$D$99,0))*INDEX(EF!$H$100:$H$115,MATCH('Net zero emission reductions'!$G1446,EF!$D$100:$D$115,0))*INDEX(EF!$H$132:$H$147,MATCH('Net zero emission reductions'!$G1446,EF!$D$132:$D$147,0))*kgtoGg</f>
        <v>0.13471138631340079</v>
      </c>
      <c r="S1446" s="22">
        <f>INDEX('Net zero Activity data'!AL$24:AL$39,MATCH('Net zero emission reductions'!$G1446,'Net zero Activity data'!$D$24:$D$39,0))*INDEX(EF!$H$84:$H$99,MATCH('Net zero emission reductions'!$G1446,EF!$D$84:$D$99,0))*INDEX(EF!$H$100:$H$115,MATCH('Net zero emission reductions'!$G1446,EF!$D$100:$D$115,0))*INDEX(EF!$H$132:$H$147,MATCH('Net zero emission reductions'!$G1446,EF!$D$132:$D$147,0))*kgtoGg</f>
        <v>0.13449570627251453</v>
      </c>
      <c r="T1446" s="22">
        <f>INDEX('Net zero Activity data'!AM$24:AM$39,MATCH('Net zero emission reductions'!$G1446,'Net zero Activity data'!$D$24:$D$39,0))*INDEX(EF!$H$84:$H$99,MATCH('Net zero emission reductions'!$G1446,EF!$D$84:$D$99,0))*INDEX(EF!$H$100:$H$115,MATCH('Net zero emission reductions'!$G1446,EF!$D$100:$D$115,0))*INDEX(EF!$H$132:$H$147,MATCH('Net zero emission reductions'!$G1446,EF!$D$132:$D$147,0))*kgtoGg</f>
        <v>0.13428002623162824</v>
      </c>
      <c r="U1446" s="22">
        <f>INDEX('Net zero Activity data'!AN$24:AN$39,MATCH('Net zero emission reductions'!$G1446,'Net zero Activity data'!$D$24:$D$39,0))*INDEX(EF!$H$84:$H$99,MATCH('Net zero emission reductions'!$G1446,EF!$D$84:$D$99,0))*INDEX(EF!$H$100:$H$115,MATCH('Net zero emission reductions'!$G1446,EF!$D$100:$D$115,0))*INDEX(EF!$H$132:$H$147,MATCH('Net zero emission reductions'!$G1446,EF!$D$132:$D$147,0))*kgtoGg</f>
        <v>0.13406434619074192</v>
      </c>
      <c r="V1446" s="22">
        <f>INDEX('Net zero Activity data'!AO$24:AO$39,MATCH('Net zero emission reductions'!$G1446,'Net zero Activity data'!$D$24:$D$39,0))*INDEX(EF!$H$84:$H$99,MATCH('Net zero emission reductions'!$G1446,EF!$D$84:$D$99,0))*INDEX(EF!$H$100:$H$115,MATCH('Net zero emission reductions'!$G1446,EF!$D$100:$D$115,0))*INDEX(EF!$H$132:$H$147,MATCH('Net zero emission reductions'!$G1446,EF!$D$132:$D$147,0))*kgtoGg</f>
        <v>0.13384866614985566</v>
      </c>
      <c r="W1446" s="22">
        <f>INDEX('Net zero Activity data'!AP$24:AP$39,MATCH('Net zero emission reductions'!$G1446,'Net zero Activity data'!$D$24:$D$39,0))*INDEX(EF!$H$84:$H$99,MATCH('Net zero emission reductions'!$G1446,EF!$D$84:$D$99,0))*INDEX(EF!$H$100:$H$115,MATCH('Net zero emission reductions'!$G1446,EF!$D$100:$D$115,0))*INDEX(EF!$H$132:$H$147,MATCH('Net zero emission reductions'!$G1446,EF!$D$132:$D$147,0))*kgtoGg</f>
        <v>0.1336329861089694</v>
      </c>
      <c r="X1446" s="22">
        <f>INDEX('Net zero Activity data'!AQ$24:AQ$39,MATCH('Net zero emission reductions'!$G1446,'Net zero Activity data'!$D$24:$D$39,0))*INDEX(EF!$H$84:$H$99,MATCH('Net zero emission reductions'!$G1446,EF!$D$84:$D$99,0))*INDEX(EF!$H$100:$H$115,MATCH('Net zero emission reductions'!$G1446,EF!$D$100:$D$115,0))*INDEX(EF!$H$132:$H$147,MATCH('Net zero emission reductions'!$G1446,EF!$D$132:$D$147,0))*kgtoGg</f>
        <v>0.13341730606808308</v>
      </c>
      <c r="Y1446" s="22">
        <f>INDEX('Net zero Activity data'!AR$24:AR$39,MATCH('Net zero emission reductions'!$G1446,'Net zero Activity data'!$D$24:$D$39,0))*INDEX(EF!$H$84:$H$99,MATCH('Net zero emission reductions'!$G1446,EF!$D$84:$D$99,0))*INDEX(EF!$H$100:$H$115,MATCH('Net zero emission reductions'!$G1446,EF!$D$100:$D$115,0))*INDEX(EF!$H$132:$H$147,MATCH('Net zero emission reductions'!$G1446,EF!$D$132:$D$147,0))*kgtoGg</f>
        <v>0.13320162602719682</v>
      </c>
      <c r="Z1446" s="22">
        <f>INDEX('Net zero Activity data'!AS$24:AS$39,MATCH('Net zero emission reductions'!$G1446,'Net zero Activity data'!$D$24:$D$39,0))*INDEX(EF!$H$84:$H$99,MATCH('Net zero emission reductions'!$G1446,EF!$D$84:$D$99,0))*INDEX(EF!$H$100:$H$115,MATCH('Net zero emission reductions'!$G1446,EF!$D$100:$D$115,0))*INDEX(EF!$H$132:$H$147,MATCH('Net zero emission reductions'!$G1446,EF!$D$132:$D$147,0))*kgtoGg</f>
        <v>0.1329859459863105</v>
      </c>
      <c r="AA1446" s="22">
        <f>INDEX('Net zero Activity data'!AT$24:AT$39,MATCH('Net zero emission reductions'!$G1446,'Net zero Activity data'!$D$24:$D$39,0))*INDEX(EF!$H$84:$H$99,MATCH('Net zero emission reductions'!$G1446,EF!$D$84:$D$99,0))*INDEX(EF!$H$100:$H$115,MATCH('Net zero emission reductions'!$G1446,EF!$D$100:$D$115,0))*INDEX(EF!$H$132:$H$147,MATCH('Net zero emission reductions'!$G1446,EF!$D$132:$D$147,0))*kgtoGg</f>
        <v>0.13277026594542424</v>
      </c>
      <c r="AB1446" s="22">
        <f>INDEX('Net zero Activity data'!AU$24:AU$39,MATCH('Net zero emission reductions'!$G1446,'Net zero Activity data'!$D$24:$D$39,0))*INDEX(EF!$H$84:$H$99,MATCH('Net zero emission reductions'!$G1446,EF!$D$84:$D$99,0))*INDEX(EF!$H$100:$H$115,MATCH('Net zero emission reductions'!$G1446,EF!$D$100:$D$115,0))*INDEX(EF!$H$132:$H$147,MATCH('Net zero emission reductions'!$G1446,EF!$D$132:$D$147,0))*kgtoGg</f>
        <v>0.13255458590453795</v>
      </c>
      <c r="AC1446" s="22">
        <f>INDEX('Net zero Activity data'!AV$24:AV$39,MATCH('Net zero emission reductions'!$G1446,'Net zero Activity data'!$D$24:$D$39,0))*INDEX(EF!$H$84:$H$99,MATCH('Net zero emission reductions'!$G1446,EF!$D$84:$D$99,0))*INDEX(EF!$H$100:$H$115,MATCH('Net zero emission reductions'!$G1446,EF!$D$100:$D$115,0))*INDEX(EF!$H$132:$H$147,MATCH('Net zero emission reductions'!$G1446,EF!$D$132:$D$147,0))*kgtoGg</f>
        <v>0.13233890586365168</v>
      </c>
      <c r="AD1446" s="22">
        <f>INDEX('Net zero Activity data'!AW$24:AW$39,MATCH('Net zero emission reductions'!$G1446,'Net zero Activity data'!$D$24:$D$39,0))*INDEX(EF!$H$84:$H$99,MATCH('Net zero emission reductions'!$G1446,EF!$D$84:$D$99,0))*INDEX(EF!$H$100:$H$115,MATCH('Net zero emission reductions'!$G1446,EF!$D$100:$D$115,0))*INDEX(EF!$H$132:$H$147,MATCH('Net zero emission reductions'!$G1446,EF!$D$132:$D$147,0))*kgtoGg</f>
        <v>0.13212322582276539</v>
      </c>
      <c r="AE1446" s="22">
        <f>INDEX('Net zero Activity data'!AX$24:AX$39,MATCH('Net zero emission reductions'!$G1446,'Net zero Activity data'!$D$24:$D$39,0))*INDEX(EF!$H$84:$H$99,MATCH('Net zero emission reductions'!$G1446,EF!$D$84:$D$99,0))*INDEX(EF!$H$100:$H$115,MATCH('Net zero emission reductions'!$G1446,EF!$D$100:$D$115,0))*INDEX(EF!$H$132:$H$147,MATCH('Net zero emission reductions'!$G1446,EF!$D$132:$D$147,0))*kgtoGg</f>
        <v>0.1319075457818791</v>
      </c>
      <c r="AF1446" s="22">
        <f>INDEX('Net zero Activity data'!AY$24:AY$39,MATCH('Net zero emission reductions'!$G1446,'Net zero Activity data'!$D$24:$D$39,0))*INDEX(EF!$H$84:$H$99,MATCH('Net zero emission reductions'!$G1446,EF!$D$84:$D$99,0))*INDEX(EF!$H$100:$H$115,MATCH('Net zero emission reductions'!$G1446,EF!$D$100:$D$115,0))*INDEX(EF!$H$132:$H$147,MATCH('Net zero emission reductions'!$G1446,EF!$D$132:$D$147,0))*kgtoGg</f>
        <v>0.13169186574099281</v>
      </c>
      <c r="AG1446" s="22">
        <f>INDEX('Net zero Activity data'!AZ$24:AZ$39,MATCH('Net zero emission reductions'!$G1446,'Net zero Activity data'!$D$24:$D$39,0))*INDEX(EF!$H$84:$H$99,MATCH('Net zero emission reductions'!$G1446,EF!$D$84:$D$99,0))*INDEX(EF!$H$100:$H$115,MATCH('Net zero emission reductions'!$G1446,EF!$D$100:$D$115,0))*INDEX(EF!$H$132:$H$147,MATCH('Net zero emission reductions'!$G1446,EF!$D$132:$D$147,0))*kgtoGg</f>
        <v>0.13147618570010652</v>
      </c>
      <c r="AH1446" s="22">
        <f>INDEX('Net zero Activity data'!BA$24:BA$39,MATCH('Net zero emission reductions'!$G1446,'Net zero Activity data'!$D$24:$D$39,0))*INDEX(EF!$H$84:$H$99,MATCH('Net zero emission reductions'!$G1446,EF!$D$84:$D$99,0))*INDEX(EF!$H$100:$H$115,MATCH('Net zero emission reductions'!$G1446,EF!$D$100:$D$115,0))*INDEX(EF!$H$132:$H$147,MATCH('Net zero emission reductions'!$G1446,EF!$D$132:$D$147,0))*kgtoGg</f>
        <v>0.13126050565922026</v>
      </c>
      <c r="AI1446" s="22">
        <f>INDEX('Net zero Activity data'!BB$24:BB$39,MATCH('Net zero emission reductions'!$G1446,'Net zero Activity data'!$D$24:$D$39,0))*INDEX(EF!$H$84:$H$99,MATCH('Net zero emission reductions'!$G1446,EF!$D$84:$D$99,0))*INDEX(EF!$H$100:$H$115,MATCH('Net zero emission reductions'!$G1446,EF!$D$100:$D$115,0))*INDEX(EF!$H$132:$H$147,MATCH('Net zero emission reductions'!$G1446,EF!$D$132:$D$147,0))*kgtoGg</f>
        <v>0.13104482561833397</v>
      </c>
      <c r="AJ1446" s="22">
        <f>INDEX('Net zero Activity data'!BC$24:BC$39,MATCH('Net zero emission reductions'!$G1446,'Net zero Activity data'!$D$24:$D$39,0))*INDEX(EF!$H$84:$H$99,MATCH('Net zero emission reductions'!$G1446,EF!$D$84:$D$99,0))*INDEX(EF!$H$100:$H$115,MATCH('Net zero emission reductions'!$G1446,EF!$D$100:$D$115,0))*INDEX(EF!$H$132:$H$147,MATCH('Net zero emission reductions'!$G1446,EF!$D$132:$D$147,0))*kgtoGg</f>
        <v>0.13082914557744768</v>
      </c>
      <c r="AK1446" s="22">
        <f>INDEX('Net zero Activity data'!BD$24:BD$39,MATCH('Net zero emission reductions'!$G1446,'Net zero Activity data'!$D$24:$D$39,0))*INDEX(EF!$H$84:$H$99,MATCH('Net zero emission reductions'!$G1446,EF!$D$84:$D$99,0))*INDEX(EF!$H$100:$H$115,MATCH('Net zero emission reductions'!$G1446,EF!$D$100:$D$115,0))*INDEX(EF!$H$132:$H$147,MATCH('Net zero emission reductions'!$G1446,EF!$D$132:$D$147,0))*kgtoGg</f>
        <v>0.13061346553656142</v>
      </c>
      <c r="AL1446" s="22">
        <f>INDEX('Net zero Activity data'!BE$24:BE$39,MATCH('Net zero emission reductions'!$G1446,'Net zero Activity data'!$D$24:$D$39,0))*INDEX(EF!$H$84:$H$99,MATCH('Net zero emission reductions'!$G1446,EF!$D$84:$D$99,0))*INDEX(EF!$H$100:$H$115,MATCH('Net zero emission reductions'!$G1446,EF!$D$100:$D$115,0))*INDEX(EF!$H$132:$H$147,MATCH('Net zero emission reductions'!$G1446,EF!$D$132:$D$147,0))*kgtoGg</f>
        <v>0.13039778549567513</v>
      </c>
      <c r="AM1446" s="22">
        <f>INDEX('Net zero Activity data'!BF$24:BF$39,MATCH('Net zero emission reductions'!$G1446,'Net zero Activity data'!$D$24:$D$39,0))*INDEX(EF!$H$84:$H$99,MATCH('Net zero emission reductions'!$G1446,EF!$D$84:$D$99,0))*INDEX(EF!$H$100:$H$115,MATCH('Net zero emission reductions'!$G1446,EF!$D$100:$D$115,0))*INDEX(EF!$H$132:$H$147,MATCH('Net zero emission reductions'!$G1446,EF!$D$132:$D$147,0))*kgtoGg</f>
        <v>0.13018210545478884</v>
      </c>
      <c r="AN1446" s="22">
        <f>INDEX('Net zero Activity data'!BG$24:BG$39,MATCH('Net zero emission reductions'!$G1446,'Net zero Activity data'!$D$24:$D$39,0))*INDEX(EF!$H$84:$H$99,MATCH('Net zero emission reductions'!$G1446,EF!$D$84:$D$99,0))*INDEX(EF!$H$100:$H$115,MATCH('Net zero emission reductions'!$G1446,EF!$D$100:$D$115,0))*INDEX(EF!$H$132:$H$147,MATCH('Net zero emission reductions'!$G1446,EF!$D$132:$D$147,0))*kgtoGg</f>
        <v>0.12996642541390255</v>
      </c>
      <c r="AO1446" s="22">
        <f>INDEX('Net zero Activity data'!BH$24:BH$39,MATCH('Net zero emission reductions'!$G1446,'Net zero Activity data'!$D$24:$D$39,0))*INDEX(EF!$H$84:$H$99,MATCH('Net zero emission reductions'!$G1446,EF!$D$84:$D$99,0))*INDEX(EF!$H$100:$H$115,MATCH('Net zero emission reductions'!$G1446,EF!$D$100:$D$115,0))*INDEX(EF!$H$132:$H$147,MATCH('Net zero emission reductions'!$G1446,EF!$D$132:$D$147,0))*kgtoGg</f>
        <v>0.12975074537301626</v>
      </c>
      <c r="AP1446" s="22">
        <f>INDEX('Net zero Activity data'!BI$24:BI$39,MATCH('Net zero emission reductions'!$G1446,'Net zero Activity data'!$D$24:$D$39,0))*INDEX(EF!$H$84:$H$99,MATCH('Net zero emission reductions'!$G1446,EF!$D$84:$D$99,0))*INDEX(EF!$H$100:$H$115,MATCH('Net zero emission reductions'!$G1446,EF!$D$100:$D$115,0))*INDEX(EF!$H$132:$H$147,MATCH('Net zero emission reductions'!$G1446,EF!$D$132:$D$147,0))*kgtoGg</f>
        <v>0.12953506533212999</v>
      </c>
      <c r="AQ1446" s="22">
        <f>INDEX('Net zero Activity data'!BJ$24:BJ$39,MATCH('Net zero emission reductions'!$G1446,'Net zero Activity data'!$D$24:$D$39,0))*INDEX(EF!$H$84:$H$99,MATCH('Net zero emission reductions'!$G1446,EF!$D$84:$D$99,0))*INDEX(EF!$H$100:$H$115,MATCH('Net zero emission reductions'!$G1446,EF!$D$100:$D$115,0))*INDEX(EF!$H$132:$H$147,MATCH('Net zero emission reductions'!$G1446,EF!$D$132:$D$147,0))*kgtoGg</f>
        <v>0.12931938529124368</v>
      </c>
      <c r="AR1446" s="22">
        <f>INDEX('Net zero Activity data'!BK$24:BK$39,MATCH('Net zero emission reductions'!$G1446,'Net zero Activity data'!$D$24:$D$39,0))*INDEX(EF!$H$84:$H$99,MATCH('Net zero emission reductions'!$G1446,EF!$D$84:$D$99,0))*INDEX(EF!$H$100:$H$115,MATCH('Net zero emission reductions'!$G1446,EF!$D$100:$D$115,0))*INDEX(EF!$H$132:$H$147,MATCH('Net zero emission reductions'!$G1446,EF!$D$132:$D$147,0))*kgtoGg</f>
        <v>0.12910370525035741</v>
      </c>
      <c r="AS1446" s="22">
        <f>INDEX('Net zero Activity data'!BL$24:BL$39,MATCH('Net zero emission reductions'!$G1446,'Net zero Activity data'!$D$24:$D$39,0))*INDEX(EF!$H$84:$H$99,MATCH('Net zero emission reductions'!$G1446,EF!$D$84:$D$99,0))*INDEX(EF!$H$100:$H$115,MATCH('Net zero emission reductions'!$G1446,EF!$D$100:$D$115,0))*INDEX(EF!$H$132:$H$147,MATCH('Net zero emission reductions'!$G1446,EF!$D$132:$D$147,0))*kgtoGg</f>
        <v>0.12888802520947112</v>
      </c>
      <c r="AT1446" s="22">
        <f>INDEX('Net zero Activity data'!BM$24:BM$39,MATCH('Net zero emission reductions'!$G1446,'Net zero Activity data'!$D$24:$D$39,0))*INDEX(EF!$H$84:$H$99,MATCH('Net zero emission reductions'!$G1446,EF!$D$84:$D$99,0))*INDEX(EF!$H$100:$H$115,MATCH('Net zero emission reductions'!$G1446,EF!$D$100:$D$115,0))*INDEX(EF!$H$132:$H$147,MATCH('Net zero emission reductions'!$G1446,EF!$D$132:$D$147,0))*kgtoGg</f>
        <v>0.12867234516858483</v>
      </c>
      <c r="AU1446" s="22">
        <f>INDEX('Net zero Activity data'!BN$24:BN$39,MATCH('Net zero emission reductions'!$G1446,'Net zero Activity data'!$D$24:$D$39,0))*INDEX(EF!$H$84:$H$99,MATCH('Net zero emission reductions'!$G1446,EF!$D$84:$D$99,0))*INDEX(EF!$H$100:$H$115,MATCH('Net zero emission reductions'!$G1446,EF!$D$100:$D$115,0))*INDEX(EF!$H$132:$H$147,MATCH('Net zero emission reductions'!$G1446,EF!$D$132:$D$147,0))*kgtoGg</f>
        <v>0.12845666512769857</v>
      </c>
      <c r="AV1446" s="22">
        <f>INDEX('Net zero Activity data'!BO$24:BO$39,MATCH('Net zero emission reductions'!$G1446,'Net zero Activity data'!$D$24:$D$39,0))*INDEX(EF!$H$84:$H$99,MATCH('Net zero emission reductions'!$G1446,EF!$D$84:$D$99,0))*INDEX(EF!$H$100:$H$115,MATCH('Net zero emission reductions'!$G1446,EF!$D$100:$D$115,0))*INDEX(EF!$H$132:$H$147,MATCH('Net zero emission reductions'!$G1446,EF!$D$132:$D$147,0))*kgtoGg</f>
        <v>0.12824098508681228</v>
      </c>
      <c r="AW1446" s="22">
        <f>INDEX('Net zero Activity data'!BP$24:BP$39,MATCH('Net zero emission reductions'!$G1446,'Net zero Activity data'!$D$24:$D$39,0))*INDEX(EF!$H$84:$H$99,MATCH('Net zero emission reductions'!$G1446,EF!$D$84:$D$99,0))*INDEX(EF!$H$100:$H$115,MATCH('Net zero emission reductions'!$G1446,EF!$D$100:$D$115,0))*INDEX(EF!$H$132:$H$147,MATCH('Net zero emission reductions'!$G1446,EF!$D$132:$D$147,0))*kgtoGg</f>
        <v>0.12802530504592599</v>
      </c>
    </row>
    <row r="1447" spans="1:49" x14ac:dyDescent="0.25">
      <c r="A1447" s="102" t="s">
        <v>961</v>
      </c>
      <c r="B1447" s="102"/>
      <c r="C1447" s="102"/>
      <c r="D1447" t="str">
        <f t="shared" ref="D1447:E1460" si="560">D1446</f>
        <v>3C Aggregated and non-CO2 emissions on land</v>
      </c>
      <c r="E1447" t="str">
        <f t="shared" si="560"/>
        <v>3C1 Biomass burning (N2O)</v>
      </c>
      <c r="F1447" t="str">
        <f t="shared" si="559"/>
        <v>3C1a Biomass burning in forest land</v>
      </c>
      <c r="G1447" t="str">
        <f>EF!D102</f>
        <v>Woodlands</v>
      </c>
      <c r="H1447" t="s">
        <v>643</v>
      </c>
      <c r="I1447" t="str">
        <f t="shared" ref="I1447:J1460" si="561">I1446</f>
        <v>N2O</v>
      </c>
      <c r="J1447" t="str">
        <f t="shared" si="561"/>
        <v>Gg N2O</v>
      </c>
      <c r="K1447" s="22">
        <f>INDEX('Net zero Activity data'!AD$24:AD$39,MATCH('Net zero emission reductions'!$G1447,'Net zero Activity data'!$D$24:$D$39,0))*INDEX(EF!$H$84:$H$99,MATCH('Net zero emission reductions'!$G1447,EF!$D$84:$D$99,0))*INDEX(EF!$H$100:$H$115,MATCH('Net zero emission reductions'!$G1447,EF!$D$100:$D$115,0))*INDEX(EF!$H$132:$H$147,MATCH('Net zero emission reductions'!$G1447,EF!$D$132:$D$147,0))*kgtoGg</f>
        <v>0.49109158898115401</v>
      </c>
      <c r="L1447" s="22">
        <f>INDEX('Net zero Activity data'!AE$24:AE$39,MATCH('Net zero emission reductions'!$G1447,'Net zero Activity data'!$D$24:$D$39,0))*INDEX(EF!$H$84:$H$99,MATCH('Net zero emission reductions'!$G1447,EF!$D$84:$D$99,0))*INDEX(EF!$H$100:$H$115,MATCH('Net zero emission reductions'!$G1447,EF!$D$100:$D$115,0))*INDEX(EF!$H$132:$H$147,MATCH('Net zero emission reductions'!$G1447,EF!$D$132:$D$147,0))*kgtoGg</f>
        <v>0.49195173492320404</v>
      </c>
      <c r="M1447" s="22">
        <f>INDEX('Net zero Activity data'!AF$24:AF$39,MATCH('Net zero emission reductions'!$G1447,'Net zero Activity data'!$D$24:$D$39,0))*INDEX(EF!$H$84:$H$99,MATCH('Net zero emission reductions'!$G1447,EF!$D$84:$D$99,0))*INDEX(EF!$H$100:$H$115,MATCH('Net zero emission reductions'!$G1447,EF!$D$100:$D$115,0))*INDEX(EF!$H$132:$H$147,MATCH('Net zero emission reductions'!$G1447,EF!$D$132:$D$147,0))*kgtoGg</f>
        <v>0.49281188086525413</v>
      </c>
      <c r="N1447" s="22">
        <f>INDEX('Net zero Activity data'!AG$24:AG$39,MATCH('Net zero emission reductions'!$G1447,'Net zero Activity data'!$D$24:$D$39,0))*INDEX(EF!$H$84:$H$99,MATCH('Net zero emission reductions'!$G1447,EF!$D$84:$D$99,0))*INDEX(EF!$H$100:$H$115,MATCH('Net zero emission reductions'!$G1447,EF!$D$100:$D$115,0))*INDEX(EF!$H$132:$H$147,MATCH('Net zero emission reductions'!$G1447,EF!$D$132:$D$147,0))*kgtoGg</f>
        <v>0.49367202680730427</v>
      </c>
      <c r="O1447" s="22">
        <f>INDEX('Net zero Activity data'!AH$24:AH$39,MATCH('Net zero emission reductions'!$G1447,'Net zero Activity data'!$D$24:$D$39,0))*INDEX(EF!$H$84:$H$99,MATCH('Net zero emission reductions'!$G1447,EF!$D$84:$D$99,0))*INDEX(EF!$H$100:$H$115,MATCH('Net zero emission reductions'!$G1447,EF!$D$100:$D$115,0))*INDEX(EF!$H$132:$H$147,MATCH('Net zero emission reductions'!$G1447,EF!$D$132:$D$147,0))*kgtoGg</f>
        <v>0.49453217274935435</v>
      </c>
      <c r="P1447" s="22">
        <f>INDEX('Net zero Activity data'!AI$24:AI$39,MATCH('Net zero emission reductions'!$G1447,'Net zero Activity data'!$D$24:$D$39,0))*INDEX(EF!$H$84:$H$99,MATCH('Net zero emission reductions'!$G1447,EF!$D$84:$D$99,0))*INDEX(EF!$H$100:$H$115,MATCH('Net zero emission reductions'!$G1447,EF!$D$100:$D$115,0))*INDEX(EF!$H$132:$H$147,MATCH('Net zero emission reductions'!$G1447,EF!$D$132:$D$147,0))*kgtoGg</f>
        <v>0.49539231869140443</v>
      </c>
      <c r="Q1447" s="22">
        <f>INDEX('Net zero Activity data'!AJ$24:AJ$39,MATCH('Net zero emission reductions'!$G1447,'Net zero Activity data'!$D$24:$D$39,0))*INDEX(EF!$H$84:$H$99,MATCH('Net zero emission reductions'!$G1447,EF!$D$84:$D$99,0))*INDEX(EF!$H$100:$H$115,MATCH('Net zero emission reductions'!$G1447,EF!$D$100:$D$115,0))*INDEX(EF!$H$132:$H$147,MATCH('Net zero emission reductions'!$G1447,EF!$D$132:$D$147,0))*kgtoGg</f>
        <v>0.49625246463345457</v>
      </c>
      <c r="R1447" s="22">
        <f>INDEX('Net zero Activity data'!AK$24:AK$39,MATCH('Net zero emission reductions'!$G1447,'Net zero Activity data'!$D$24:$D$39,0))*INDEX(EF!$H$84:$H$99,MATCH('Net zero emission reductions'!$G1447,EF!$D$84:$D$99,0))*INDEX(EF!$H$100:$H$115,MATCH('Net zero emission reductions'!$G1447,EF!$D$100:$D$115,0))*INDEX(EF!$H$132:$H$147,MATCH('Net zero emission reductions'!$G1447,EF!$D$132:$D$147,0))*kgtoGg</f>
        <v>0.49279385642925139</v>
      </c>
      <c r="S1447" s="22">
        <f>INDEX('Net zero Activity data'!AL$24:AL$39,MATCH('Net zero emission reductions'!$G1447,'Net zero Activity data'!$D$24:$D$39,0))*INDEX(EF!$H$84:$H$99,MATCH('Net zero emission reductions'!$G1447,EF!$D$84:$D$99,0))*INDEX(EF!$H$100:$H$115,MATCH('Net zero emission reductions'!$G1447,EF!$D$100:$D$115,0))*INDEX(EF!$H$132:$H$147,MATCH('Net zero emission reductions'!$G1447,EF!$D$132:$D$147,0))*kgtoGg</f>
        <v>0.48933524822504815</v>
      </c>
      <c r="T1447" s="22">
        <f>INDEX('Net zero Activity data'!AM$24:AM$39,MATCH('Net zero emission reductions'!$G1447,'Net zero Activity data'!$D$24:$D$39,0))*INDEX(EF!$H$84:$H$99,MATCH('Net zero emission reductions'!$G1447,EF!$D$84:$D$99,0))*INDEX(EF!$H$100:$H$115,MATCH('Net zero emission reductions'!$G1447,EF!$D$100:$D$115,0))*INDEX(EF!$H$132:$H$147,MATCH('Net zero emission reductions'!$G1447,EF!$D$132:$D$147,0))*kgtoGg</f>
        <v>0.48587664002084496</v>
      </c>
      <c r="U1447" s="22">
        <f>INDEX('Net zero Activity data'!AN$24:AN$39,MATCH('Net zero emission reductions'!$G1447,'Net zero Activity data'!$D$24:$D$39,0))*INDEX(EF!$H$84:$H$99,MATCH('Net zero emission reductions'!$G1447,EF!$D$84:$D$99,0))*INDEX(EF!$H$100:$H$115,MATCH('Net zero emission reductions'!$G1447,EF!$D$100:$D$115,0))*INDEX(EF!$H$132:$H$147,MATCH('Net zero emission reductions'!$G1447,EF!$D$132:$D$147,0))*kgtoGg</f>
        <v>0.48241803181664178</v>
      </c>
      <c r="V1447" s="22">
        <f>INDEX('Net zero Activity data'!AO$24:AO$39,MATCH('Net zero emission reductions'!$G1447,'Net zero Activity data'!$D$24:$D$39,0))*INDEX(EF!$H$84:$H$99,MATCH('Net zero emission reductions'!$G1447,EF!$D$84:$D$99,0))*INDEX(EF!$H$100:$H$115,MATCH('Net zero emission reductions'!$G1447,EF!$D$100:$D$115,0))*INDEX(EF!$H$132:$H$147,MATCH('Net zero emission reductions'!$G1447,EF!$D$132:$D$147,0))*kgtoGg</f>
        <v>0.47895942361243865</v>
      </c>
      <c r="W1447" s="22">
        <f>INDEX('Net zero Activity data'!AP$24:AP$39,MATCH('Net zero emission reductions'!$G1447,'Net zero Activity data'!$D$24:$D$39,0))*INDEX(EF!$H$84:$H$99,MATCH('Net zero emission reductions'!$G1447,EF!$D$84:$D$99,0))*INDEX(EF!$H$100:$H$115,MATCH('Net zero emission reductions'!$G1447,EF!$D$100:$D$115,0))*INDEX(EF!$H$132:$H$147,MATCH('Net zero emission reductions'!$G1447,EF!$D$132:$D$147,0))*kgtoGg</f>
        <v>0.47550081540823552</v>
      </c>
      <c r="X1447" s="22">
        <f>INDEX('Net zero Activity data'!AQ$24:AQ$39,MATCH('Net zero emission reductions'!$G1447,'Net zero Activity data'!$D$24:$D$39,0))*INDEX(EF!$H$84:$H$99,MATCH('Net zero emission reductions'!$G1447,EF!$D$84:$D$99,0))*INDEX(EF!$H$100:$H$115,MATCH('Net zero emission reductions'!$G1447,EF!$D$100:$D$115,0))*INDEX(EF!$H$132:$H$147,MATCH('Net zero emission reductions'!$G1447,EF!$D$132:$D$147,0))*kgtoGg</f>
        <v>0.47204220720403234</v>
      </c>
      <c r="Y1447" s="22">
        <f>INDEX('Net zero Activity data'!AR$24:AR$39,MATCH('Net zero emission reductions'!$G1447,'Net zero Activity data'!$D$24:$D$39,0))*INDEX(EF!$H$84:$H$99,MATCH('Net zero emission reductions'!$G1447,EF!$D$84:$D$99,0))*INDEX(EF!$H$100:$H$115,MATCH('Net zero emission reductions'!$G1447,EF!$D$100:$D$115,0))*INDEX(EF!$H$132:$H$147,MATCH('Net zero emission reductions'!$G1447,EF!$D$132:$D$147,0))*kgtoGg</f>
        <v>0.46858359899982904</v>
      </c>
      <c r="Z1447" s="22">
        <f>INDEX('Net zero Activity data'!AS$24:AS$39,MATCH('Net zero emission reductions'!$G1447,'Net zero Activity data'!$D$24:$D$39,0))*INDEX(EF!$H$84:$H$99,MATCH('Net zero emission reductions'!$G1447,EF!$D$84:$D$99,0))*INDEX(EF!$H$100:$H$115,MATCH('Net zero emission reductions'!$G1447,EF!$D$100:$D$115,0))*INDEX(EF!$H$132:$H$147,MATCH('Net zero emission reductions'!$G1447,EF!$D$132:$D$147,0))*kgtoGg</f>
        <v>0.46512499079562586</v>
      </c>
      <c r="AA1447" s="22">
        <f>INDEX('Net zero Activity data'!AT$24:AT$39,MATCH('Net zero emission reductions'!$G1447,'Net zero Activity data'!$D$24:$D$39,0))*INDEX(EF!$H$84:$H$99,MATCH('Net zero emission reductions'!$G1447,EF!$D$84:$D$99,0))*INDEX(EF!$H$100:$H$115,MATCH('Net zero emission reductions'!$G1447,EF!$D$100:$D$115,0))*INDEX(EF!$H$132:$H$147,MATCH('Net zero emission reductions'!$G1447,EF!$D$132:$D$147,0))*kgtoGg</f>
        <v>0.46166638259142267</v>
      </c>
      <c r="AB1447" s="22">
        <f>INDEX('Net zero Activity data'!AU$24:AU$39,MATCH('Net zero emission reductions'!$G1447,'Net zero Activity data'!$D$24:$D$39,0))*INDEX(EF!$H$84:$H$99,MATCH('Net zero emission reductions'!$G1447,EF!$D$84:$D$99,0))*INDEX(EF!$H$100:$H$115,MATCH('Net zero emission reductions'!$G1447,EF!$D$100:$D$115,0))*INDEX(EF!$H$132:$H$147,MATCH('Net zero emission reductions'!$G1447,EF!$D$132:$D$147,0))*kgtoGg</f>
        <v>0.45820777438721955</v>
      </c>
      <c r="AC1447" s="22">
        <f>INDEX('Net zero Activity data'!AV$24:AV$39,MATCH('Net zero emission reductions'!$G1447,'Net zero Activity data'!$D$24:$D$39,0))*INDEX(EF!$H$84:$H$99,MATCH('Net zero emission reductions'!$G1447,EF!$D$84:$D$99,0))*INDEX(EF!$H$100:$H$115,MATCH('Net zero emission reductions'!$G1447,EF!$D$100:$D$115,0))*INDEX(EF!$H$132:$H$147,MATCH('Net zero emission reductions'!$G1447,EF!$D$132:$D$147,0))*kgtoGg</f>
        <v>0.45474916618301631</v>
      </c>
      <c r="AD1447" s="22">
        <f>INDEX('Net zero Activity data'!AW$24:AW$39,MATCH('Net zero emission reductions'!$G1447,'Net zero Activity data'!$D$24:$D$39,0))*INDEX(EF!$H$84:$H$99,MATCH('Net zero emission reductions'!$G1447,EF!$D$84:$D$99,0))*INDEX(EF!$H$100:$H$115,MATCH('Net zero emission reductions'!$G1447,EF!$D$100:$D$115,0))*INDEX(EF!$H$132:$H$147,MATCH('Net zero emission reductions'!$G1447,EF!$D$132:$D$147,0))*kgtoGg</f>
        <v>0.45129055797881312</v>
      </c>
      <c r="AE1447" s="22">
        <f>INDEX('Net zero Activity data'!AX$24:AX$39,MATCH('Net zero emission reductions'!$G1447,'Net zero Activity data'!$D$24:$D$39,0))*INDEX(EF!$H$84:$H$99,MATCH('Net zero emission reductions'!$G1447,EF!$D$84:$D$99,0))*INDEX(EF!$H$100:$H$115,MATCH('Net zero emission reductions'!$G1447,EF!$D$100:$D$115,0))*INDEX(EF!$H$132:$H$147,MATCH('Net zero emission reductions'!$G1447,EF!$D$132:$D$147,0))*kgtoGg</f>
        <v>0.44783194977460994</v>
      </c>
      <c r="AF1447" s="22">
        <f>INDEX('Net zero Activity data'!AY$24:AY$39,MATCH('Net zero emission reductions'!$G1447,'Net zero Activity data'!$D$24:$D$39,0))*INDEX(EF!$H$84:$H$99,MATCH('Net zero emission reductions'!$G1447,EF!$D$84:$D$99,0))*INDEX(EF!$H$100:$H$115,MATCH('Net zero emission reductions'!$G1447,EF!$D$100:$D$115,0))*INDEX(EF!$H$132:$H$147,MATCH('Net zero emission reductions'!$G1447,EF!$D$132:$D$147,0))*kgtoGg</f>
        <v>0.44437334157040664</v>
      </c>
      <c r="AG1447" s="22">
        <f>INDEX('Net zero Activity data'!AZ$24:AZ$39,MATCH('Net zero emission reductions'!$G1447,'Net zero Activity data'!$D$24:$D$39,0))*INDEX(EF!$H$84:$H$99,MATCH('Net zero emission reductions'!$G1447,EF!$D$84:$D$99,0))*INDEX(EF!$H$100:$H$115,MATCH('Net zero emission reductions'!$G1447,EF!$D$100:$D$115,0))*INDEX(EF!$H$132:$H$147,MATCH('Net zero emission reductions'!$G1447,EF!$D$132:$D$147,0))*kgtoGg</f>
        <v>0.44091473336620357</v>
      </c>
      <c r="AH1447" s="22">
        <f>INDEX('Net zero Activity data'!BA$24:BA$39,MATCH('Net zero emission reductions'!$G1447,'Net zero Activity data'!$D$24:$D$39,0))*INDEX(EF!$H$84:$H$99,MATCH('Net zero emission reductions'!$G1447,EF!$D$84:$D$99,0))*INDEX(EF!$H$100:$H$115,MATCH('Net zero emission reductions'!$G1447,EF!$D$100:$D$115,0))*INDEX(EF!$H$132:$H$147,MATCH('Net zero emission reductions'!$G1447,EF!$D$132:$D$147,0))*kgtoGg</f>
        <v>0.43745612516200039</v>
      </c>
      <c r="AI1447" s="22">
        <f>INDEX('Net zero Activity data'!BB$24:BB$39,MATCH('Net zero emission reductions'!$G1447,'Net zero Activity data'!$D$24:$D$39,0))*INDEX(EF!$H$84:$H$99,MATCH('Net zero emission reductions'!$G1447,EF!$D$84:$D$99,0))*INDEX(EF!$H$100:$H$115,MATCH('Net zero emission reductions'!$G1447,EF!$D$100:$D$115,0))*INDEX(EF!$H$132:$H$147,MATCH('Net zero emission reductions'!$G1447,EF!$D$132:$D$147,0))*kgtoGg</f>
        <v>0.4339975169577972</v>
      </c>
      <c r="AJ1447" s="22">
        <f>INDEX('Net zero Activity data'!BC$24:BC$39,MATCH('Net zero emission reductions'!$G1447,'Net zero Activity data'!$D$24:$D$39,0))*INDEX(EF!$H$84:$H$99,MATCH('Net zero emission reductions'!$G1447,EF!$D$84:$D$99,0))*INDEX(EF!$H$100:$H$115,MATCH('Net zero emission reductions'!$G1447,EF!$D$100:$D$115,0))*INDEX(EF!$H$132:$H$147,MATCH('Net zero emission reductions'!$G1447,EF!$D$132:$D$147,0))*kgtoGg</f>
        <v>0.43053890875359402</v>
      </c>
      <c r="AK1447" s="22">
        <f>INDEX('Net zero Activity data'!BD$24:BD$39,MATCH('Net zero emission reductions'!$G1447,'Net zero Activity data'!$D$24:$D$39,0))*INDEX(EF!$H$84:$H$99,MATCH('Net zero emission reductions'!$G1447,EF!$D$84:$D$99,0))*INDEX(EF!$H$100:$H$115,MATCH('Net zero emission reductions'!$G1447,EF!$D$100:$D$115,0))*INDEX(EF!$H$132:$H$147,MATCH('Net zero emission reductions'!$G1447,EF!$D$132:$D$147,0))*kgtoGg</f>
        <v>0.42708030054939083</v>
      </c>
      <c r="AL1447" s="22">
        <f>INDEX('Net zero Activity data'!BE$24:BE$39,MATCH('Net zero emission reductions'!$G1447,'Net zero Activity data'!$D$24:$D$39,0))*INDEX(EF!$H$84:$H$99,MATCH('Net zero emission reductions'!$G1447,EF!$D$84:$D$99,0))*INDEX(EF!$H$100:$H$115,MATCH('Net zero emission reductions'!$G1447,EF!$D$100:$D$115,0))*INDEX(EF!$H$132:$H$147,MATCH('Net zero emission reductions'!$G1447,EF!$D$132:$D$147,0))*kgtoGg</f>
        <v>0.42362169234518765</v>
      </c>
      <c r="AM1447" s="22">
        <f>INDEX('Net zero Activity data'!BF$24:BF$39,MATCH('Net zero emission reductions'!$G1447,'Net zero Activity data'!$D$24:$D$39,0))*INDEX(EF!$H$84:$H$99,MATCH('Net zero emission reductions'!$G1447,EF!$D$84:$D$99,0))*INDEX(EF!$H$100:$H$115,MATCH('Net zero emission reductions'!$G1447,EF!$D$100:$D$115,0))*INDEX(EF!$H$132:$H$147,MATCH('Net zero emission reductions'!$G1447,EF!$D$132:$D$147,0))*kgtoGg</f>
        <v>0.42016308414098436</v>
      </c>
      <c r="AN1447" s="22">
        <f>INDEX('Net zero Activity data'!BG$24:BG$39,MATCH('Net zero emission reductions'!$G1447,'Net zero Activity data'!$D$24:$D$39,0))*INDEX(EF!$H$84:$H$99,MATCH('Net zero emission reductions'!$G1447,EF!$D$84:$D$99,0))*INDEX(EF!$H$100:$H$115,MATCH('Net zero emission reductions'!$G1447,EF!$D$100:$D$115,0))*INDEX(EF!$H$132:$H$147,MATCH('Net zero emission reductions'!$G1447,EF!$D$132:$D$147,0))*kgtoGg</f>
        <v>0.41670447593678112</v>
      </c>
      <c r="AO1447" s="22">
        <f>INDEX('Net zero Activity data'!BH$24:BH$39,MATCH('Net zero emission reductions'!$G1447,'Net zero Activity data'!$D$24:$D$39,0))*INDEX(EF!$H$84:$H$99,MATCH('Net zero emission reductions'!$G1447,EF!$D$84:$D$99,0))*INDEX(EF!$H$100:$H$115,MATCH('Net zero emission reductions'!$G1447,EF!$D$100:$D$115,0))*INDEX(EF!$H$132:$H$147,MATCH('Net zero emission reductions'!$G1447,EF!$D$132:$D$147,0))*kgtoGg</f>
        <v>0.41324586773257804</v>
      </c>
      <c r="AP1447" s="22">
        <f>INDEX('Net zero Activity data'!BI$24:BI$39,MATCH('Net zero emission reductions'!$G1447,'Net zero Activity data'!$D$24:$D$39,0))*INDEX(EF!$H$84:$H$99,MATCH('Net zero emission reductions'!$G1447,EF!$D$84:$D$99,0))*INDEX(EF!$H$100:$H$115,MATCH('Net zero emission reductions'!$G1447,EF!$D$100:$D$115,0))*INDEX(EF!$H$132:$H$147,MATCH('Net zero emission reductions'!$G1447,EF!$D$132:$D$147,0))*kgtoGg</f>
        <v>0.4097872595283748</v>
      </c>
      <c r="AQ1447" s="22">
        <f>INDEX('Net zero Activity data'!BJ$24:BJ$39,MATCH('Net zero emission reductions'!$G1447,'Net zero Activity data'!$D$24:$D$39,0))*INDEX(EF!$H$84:$H$99,MATCH('Net zero emission reductions'!$G1447,EF!$D$84:$D$99,0))*INDEX(EF!$H$100:$H$115,MATCH('Net zero emission reductions'!$G1447,EF!$D$100:$D$115,0))*INDEX(EF!$H$132:$H$147,MATCH('Net zero emission reductions'!$G1447,EF!$D$132:$D$147,0))*kgtoGg</f>
        <v>0.40632865132417167</v>
      </c>
      <c r="AR1447" s="22">
        <f>INDEX('Net zero Activity data'!BK$24:BK$39,MATCH('Net zero emission reductions'!$G1447,'Net zero Activity data'!$D$24:$D$39,0))*INDEX(EF!$H$84:$H$99,MATCH('Net zero emission reductions'!$G1447,EF!$D$84:$D$99,0))*INDEX(EF!$H$100:$H$115,MATCH('Net zero emission reductions'!$G1447,EF!$D$100:$D$115,0))*INDEX(EF!$H$132:$H$147,MATCH('Net zero emission reductions'!$G1447,EF!$D$132:$D$147,0))*kgtoGg</f>
        <v>0.40287004311996844</v>
      </c>
      <c r="AS1447" s="22">
        <f>INDEX('Net zero Activity data'!BL$24:BL$39,MATCH('Net zero emission reductions'!$G1447,'Net zero Activity data'!$D$24:$D$39,0))*INDEX(EF!$H$84:$H$99,MATCH('Net zero emission reductions'!$G1447,EF!$D$84:$D$99,0))*INDEX(EF!$H$100:$H$115,MATCH('Net zero emission reductions'!$G1447,EF!$D$100:$D$115,0))*INDEX(EF!$H$132:$H$147,MATCH('Net zero emission reductions'!$G1447,EF!$D$132:$D$147,0))*kgtoGg</f>
        <v>0.39941143491576536</v>
      </c>
      <c r="AT1447" s="22">
        <f>INDEX('Net zero Activity data'!BM$24:BM$39,MATCH('Net zero emission reductions'!$G1447,'Net zero Activity data'!$D$24:$D$39,0))*INDEX(EF!$H$84:$H$99,MATCH('Net zero emission reductions'!$G1447,EF!$D$84:$D$99,0))*INDEX(EF!$H$100:$H$115,MATCH('Net zero emission reductions'!$G1447,EF!$D$100:$D$115,0))*INDEX(EF!$H$132:$H$147,MATCH('Net zero emission reductions'!$G1447,EF!$D$132:$D$147,0))*kgtoGg</f>
        <v>0.39595282671156223</v>
      </c>
      <c r="AU1447" s="22">
        <f>INDEX('Net zero Activity data'!BN$24:BN$39,MATCH('Net zero emission reductions'!$G1447,'Net zero Activity data'!$D$24:$D$39,0))*INDEX(EF!$H$84:$H$99,MATCH('Net zero emission reductions'!$G1447,EF!$D$84:$D$99,0))*INDEX(EF!$H$100:$H$115,MATCH('Net zero emission reductions'!$G1447,EF!$D$100:$D$115,0))*INDEX(EF!$H$132:$H$147,MATCH('Net zero emission reductions'!$G1447,EF!$D$132:$D$147,0))*kgtoGg</f>
        <v>0.3924942185073591</v>
      </c>
      <c r="AV1447" s="22">
        <f>INDEX('Net zero Activity data'!BO$24:BO$39,MATCH('Net zero emission reductions'!$G1447,'Net zero Activity data'!$D$24:$D$39,0))*INDEX(EF!$H$84:$H$99,MATCH('Net zero emission reductions'!$G1447,EF!$D$84:$D$99,0))*INDEX(EF!$H$100:$H$115,MATCH('Net zero emission reductions'!$G1447,EF!$D$100:$D$115,0))*INDEX(EF!$H$132:$H$147,MATCH('Net zero emission reductions'!$G1447,EF!$D$132:$D$147,0))*kgtoGg</f>
        <v>0.38903561030315592</v>
      </c>
      <c r="AW1447" s="22">
        <f>INDEX('Net zero Activity data'!BP$24:BP$39,MATCH('Net zero emission reductions'!$G1447,'Net zero Activity data'!$D$24:$D$39,0))*INDEX(EF!$H$84:$H$99,MATCH('Net zero emission reductions'!$G1447,EF!$D$84:$D$99,0))*INDEX(EF!$H$100:$H$115,MATCH('Net zero emission reductions'!$G1447,EF!$D$100:$D$115,0))*INDEX(EF!$H$132:$H$147,MATCH('Net zero emission reductions'!$G1447,EF!$D$132:$D$147,0))*kgtoGg</f>
        <v>0.38557700209895263</v>
      </c>
    </row>
    <row r="1448" spans="1:49" x14ac:dyDescent="0.25">
      <c r="A1448" s="102" t="s">
        <v>961</v>
      </c>
      <c r="B1448" s="102"/>
      <c r="C1448" s="102"/>
      <c r="D1448" t="str">
        <f t="shared" si="560"/>
        <v>3C Aggregated and non-CO2 emissions on land</v>
      </c>
      <c r="E1448" t="str">
        <f t="shared" si="560"/>
        <v>3C1 Biomass burning (N2O)</v>
      </c>
      <c r="F1448" t="str">
        <f t="shared" si="559"/>
        <v>3C1a Biomass burning in forest land</v>
      </c>
      <c r="G1448" t="str">
        <f>EF!D103</f>
        <v>Plantations</v>
      </c>
      <c r="H1448" t="s">
        <v>644</v>
      </c>
      <c r="I1448" t="str">
        <f t="shared" si="561"/>
        <v>N2O</v>
      </c>
      <c r="J1448" t="str">
        <f t="shared" si="561"/>
        <v>Gg N2O</v>
      </c>
      <c r="K1448" s="22">
        <f>INDEX('Net zero Activity data'!AD$24:AD$39,MATCH('Net zero emission reductions'!$G1448,'Net zero Activity data'!$D$24:$D$39,0))*INDEX(EF!$H$84:$H$99,MATCH('Net zero emission reductions'!$G1448,EF!$D$84:$D$99,0))*INDEX(EF!$H$100:$H$115,MATCH('Net zero emission reductions'!$G1448,EF!$D$100:$D$115,0))*INDEX(EF!$H$132:$H$147,MATCH('Net zero emission reductions'!$G1448,EF!$D$132:$D$147,0))*kgtoGg</f>
        <v>0.11606648834006898</v>
      </c>
      <c r="L1448" s="22">
        <f>INDEX('Net zero Activity data'!AE$24:AE$39,MATCH('Net zero emission reductions'!$G1448,'Net zero Activity data'!$D$24:$D$39,0))*INDEX(EF!$H$84:$H$99,MATCH('Net zero emission reductions'!$G1448,EF!$D$84:$D$99,0))*INDEX(EF!$H$100:$H$115,MATCH('Net zero emission reductions'!$G1448,EF!$D$100:$D$115,0))*INDEX(EF!$H$132:$H$147,MATCH('Net zero emission reductions'!$G1448,EF!$D$132:$D$147,0))*kgtoGg</f>
        <v>0.21826021634006895</v>
      </c>
      <c r="M1448" s="22">
        <f>INDEX('Net zero Activity data'!AF$24:AF$39,MATCH('Net zero emission reductions'!$G1448,'Net zero Activity data'!$D$24:$D$39,0))*INDEX(EF!$H$84:$H$99,MATCH('Net zero emission reductions'!$G1448,EF!$D$84:$D$99,0))*INDEX(EF!$H$100:$H$115,MATCH('Net zero emission reductions'!$G1448,EF!$D$100:$D$115,0))*INDEX(EF!$H$132:$H$147,MATCH('Net zero emission reductions'!$G1448,EF!$D$132:$D$147,0))*kgtoGg</f>
        <v>0.17623132034006897</v>
      </c>
      <c r="N1448" s="22">
        <f>INDEX('Net zero Activity data'!AG$24:AG$39,MATCH('Net zero emission reductions'!$G1448,'Net zero Activity data'!$D$24:$D$39,0))*INDEX(EF!$H$84:$H$99,MATCH('Net zero emission reductions'!$G1448,EF!$D$84:$D$99,0))*INDEX(EF!$H$100:$H$115,MATCH('Net zero emission reductions'!$G1448,EF!$D$100:$D$115,0))*INDEX(EF!$H$132:$H$147,MATCH('Net zero emission reductions'!$G1448,EF!$D$132:$D$147,0))*kgtoGg</f>
        <v>0.13670965634006899</v>
      </c>
      <c r="O1448" s="22">
        <f>INDEX('Net zero Activity data'!AH$24:AH$39,MATCH('Net zero emission reductions'!$G1448,'Net zero Activity data'!$D$24:$D$39,0))*INDEX(EF!$H$84:$H$99,MATCH('Net zero emission reductions'!$G1448,EF!$D$84:$D$99,0))*INDEX(EF!$H$100:$H$115,MATCH('Net zero emission reductions'!$G1448,EF!$D$100:$D$115,0))*INDEX(EF!$H$132:$H$147,MATCH('Net zero emission reductions'!$G1448,EF!$D$132:$D$147,0))*kgtoGg</f>
        <v>0.15645301634006897</v>
      </c>
      <c r="P1448" s="22">
        <f>INDEX('Net zero Activity data'!AI$24:AI$39,MATCH('Net zero emission reductions'!$G1448,'Net zero Activity data'!$D$24:$D$39,0))*INDEX(EF!$H$84:$H$99,MATCH('Net zero emission reductions'!$G1448,EF!$D$84:$D$99,0))*INDEX(EF!$H$100:$H$115,MATCH('Net zero emission reductions'!$G1448,EF!$D$100:$D$115,0))*INDEX(EF!$H$132:$H$147,MATCH('Net zero emission reductions'!$G1448,EF!$D$132:$D$147,0))*kgtoGg</f>
        <v>0.17325234434006898</v>
      </c>
      <c r="Q1448" s="22">
        <f>INDEX('Net zero Activity data'!AJ$24:AJ$39,MATCH('Net zero emission reductions'!$G1448,'Net zero Activity data'!$D$24:$D$39,0))*INDEX(EF!$H$84:$H$99,MATCH('Net zero emission reductions'!$G1448,EF!$D$84:$D$99,0))*INDEX(EF!$H$100:$H$115,MATCH('Net zero emission reductions'!$G1448,EF!$D$100:$D$115,0))*INDEX(EF!$H$132:$H$147,MATCH('Net zero emission reductions'!$G1448,EF!$D$132:$D$147,0))*kgtoGg</f>
        <v>0.17325234434006898</v>
      </c>
      <c r="R1448" s="22">
        <f>INDEX('Net zero Activity data'!AK$24:AK$39,MATCH('Net zero emission reductions'!$G1448,'Net zero Activity data'!$D$24:$D$39,0))*INDEX(EF!$H$84:$H$99,MATCH('Net zero emission reductions'!$G1448,EF!$D$84:$D$99,0))*INDEX(EF!$H$100:$H$115,MATCH('Net zero emission reductions'!$G1448,EF!$D$100:$D$115,0))*INDEX(EF!$H$132:$H$147,MATCH('Net zero emission reductions'!$G1448,EF!$D$132:$D$147,0))*kgtoGg</f>
        <v>0.17400449885772937</v>
      </c>
      <c r="S1448" s="22">
        <f>INDEX('Net zero Activity data'!AL$24:AL$39,MATCH('Net zero emission reductions'!$G1448,'Net zero Activity data'!$D$24:$D$39,0))*INDEX(EF!$H$84:$H$99,MATCH('Net zero emission reductions'!$G1448,EF!$D$84:$D$99,0))*INDEX(EF!$H$100:$H$115,MATCH('Net zero emission reductions'!$G1448,EF!$D$100:$D$115,0))*INDEX(EF!$H$132:$H$147,MATCH('Net zero emission reductions'!$G1448,EF!$D$132:$D$147,0))*kgtoGg</f>
        <v>0.17475665337538968</v>
      </c>
      <c r="T1448" s="22">
        <f>INDEX('Net zero Activity data'!AM$24:AM$39,MATCH('Net zero emission reductions'!$G1448,'Net zero Activity data'!$D$24:$D$39,0))*INDEX(EF!$H$84:$H$99,MATCH('Net zero emission reductions'!$G1448,EF!$D$84:$D$99,0))*INDEX(EF!$H$100:$H$115,MATCH('Net zero emission reductions'!$G1448,EF!$D$100:$D$115,0))*INDEX(EF!$H$132:$H$147,MATCH('Net zero emission reductions'!$G1448,EF!$D$132:$D$147,0))*kgtoGg</f>
        <v>0.17550880789305007</v>
      </c>
      <c r="U1448" s="22">
        <f>INDEX('Net zero Activity data'!AN$24:AN$39,MATCH('Net zero emission reductions'!$G1448,'Net zero Activity data'!$D$24:$D$39,0))*INDEX(EF!$H$84:$H$99,MATCH('Net zero emission reductions'!$G1448,EF!$D$84:$D$99,0))*INDEX(EF!$H$100:$H$115,MATCH('Net zero emission reductions'!$G1448,EF!$D$100:$D$115,0))*INDEX(EF!$H$132:$H$147,MATCH('Net zero emission reductions'!$G1448,EF!$D$132:$D$147,0))*kgtoGg</f>
        <v>0.17626096241071046</v>
      </c>
      <c r="V1448" s="22">
        <f>INDEX('Net zero Activity data'!AO$24:AO$39,MATCH('Net zero emission reductions'!$G1448,'Net zero Activity data'!$D$24:$D$39,0))*INDEX(EF!$H$84:$H$99,MATCH('Net zero emission reductions'!$G1448,EF!$D$84:$D$99,0))*INDEX(EF!$H$100:$H$115,MATCH('Net zero emission reductions'!$G1448,EF!$D$100:$D$115,0))*INDEX(EF!$H$132:$H$147,MATCH('Net zero emission reductions'!$G1448,EF!$D$132:$D$147,0))*kgtoGg</f>
        <v>0.17701311692837082</v>
      </c>
      <c r="W1448" s="22">
        <f>INDEX('Net zero Activity data'!AP$24:AP$39,MATCH('Net zero emission reductions'!$G1448,'Net zero Activity data'!$D$24:$D$39,0))*INDEX(EF!$H$84:$H$99,MATCH('Net zero emission reductions'!$G1448,EF!$D$84:$D$99,0))*INDEX(EF!$H$100:$H$115,MATCH('Net zero emission reductions'!$G1448,EF!$D$100:$D$115,0))*INDEX(EF!$H$132:$H$147,MATCH('Net zero emission reductions'!$G1448,EF!$D$132:$D$147,0))*kgtoGg</f>
        <v>0.17776527144603119</v>
      </c>
      <c r="X1448" s="22">
        <f>INDEX('Net zero Activity data'!AQ$24:AQ$39,MATCH('Net zero emission reductions'!$G1448,'Net zero Activity data'!$D$24:$D$39,0))*INDEX(EF!$H$84:$H$99,MATCH('Net zero emission reductions'!$G1448,EF!$D$84:$D$99,0))*INDEX(EF!$H$100:$H$115,MATCH('Net zero emission reductions'!$G1448,EF!$D$100:$D$115,0))*INDEX(EF!$H$132:$H$147,MATCH('Net zero emission reductions'!$G1448,EF!$D$132:$D$147,0))*kgtoGg</f>
        <v>0.17851742596369158</v>
      </c>
      <c r="Y1448" s="22">
        <f>INDEX('Net zero Activity data'!AR$24:AR$39,MATCH('Net zero emission reductions'!$G1448,'Net zero Activity data'!$D$24:$D$39,0))*INDEX(EF!$H$84:$H$99,MATCH('Net zero emission reductions'!$G1448,EF!$D$84:$D$99,0))*INDEX(EF!$H$100:$H$115,MATCH('Net zero emission reductions'!$G1448,EF!$D$100:$D$115,0))*INDEX(EF!$H$132:$H$147,MATCH('Net zero emission reductions'!$G1448,EF!$D$132:$D$147,0))*kgtoGg</f>
        <v>0.17926958048135197</v>
      </c>
      <c r="Z1448" s="22">
        <f>INDEX('Net zero Activity data'!AS$24:AS$39,MATCH('Net zero emission reductions'!$G1448,'Net zero Activity data'!$D$24:$D$39,0))*INDEX(EF!$H$84:$H$99,MATCH('Net zero emission reductions'!$G1448,EF!$D$84:$D$99,0))*INDEX(EF!$H$100:$H$115,MATCH('Net zero emission reductions'!$G1448,EF!$D$100:$D$115,0))*INDEX(EF!$H$132:$H$147,MATCH('Net zero emission reductions'!$G1448,EF!$D$132:$D$147,0))*kgtoGg</f>
        <v>0.18002173499901231</v>
      </c>
      <c r="AA1448" s="22">
        <f>INDEX('Net zero Activity data'!AT$24:AT$39,MATCH('Net zero emission reductions'!$G1448,'Net zero Activity data'!$D$24:$D$39,0))*INDEX(EF!$H$84:$H$99,MATCH('Net zero emission reductions'!$G1448,EF!$D$84:$D$99,0))*INDEX(EF!$H$100:$H$115,MATCH('Net zero emission reductions'!$G1448,EF!$D$100:$D$115,0))*INDEX(EF!$H$132:$H$147,MATCH('Net zero emission reductions'!$G1448,EF!$D$132:$D$147,0))*kgtoGg</f>
        <v>0.18077388951667267</v>
      </c>
      <c r="AB1448" s="22">
        <f>INDEX('Net zero Activity data'!AU$24:AU$39,MATCH('Net zero emission reductions'!$G1448,'Net zero Activity data'!$D$24:$D$39,0))*INDEX(EF!$H$84:$H$99,MATCH('Net zero emission reductions'!$G1448,EF!$D$84:$D$99,0))*INDEX(EF!$H$100:$H$115,MATCH('Net zero emission reductions'!$G1448,EF!$D$100:$D$115,0))*INDEX(EF!$H$132:$H$147,MATCH('Net zero emission reductions'!$G1448,EF!$D$132:$D$147,0))*kgtoGg</f>
        <v>0.18152604403433303</v>
      </c>
      <c r="AC1448" s="22">
        <f>INDEX('Net zero Activity data'!AV$24:AV$39,MATCH('Net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D1448" s="22">
        <f>INDEX('Net zero Activity data'!AW$24:AW$39,MATCH('Net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E1448" s="22">
        <f>INDEX('Net zero Activity data'!AX$24:AX$39,MATCH('Net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F1448" s="22">
        <f>INDEX('Net zero Activity data'!AY$24:AY$39,MATCH('Net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G1448" s="22">
        <f>INDEX('Net zero Activity data'!AZ$24:AZ$39,MATCH('Net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H1448" s="22">
        <f>INDEX('Net zero Activity data'!BA$24:BA$39,MATCH('Net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I1448" s="22">
        <f>INDEX('Net zero Activity data'!BB$24:BB$39,MATCH('Net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J1448" s="22">
        <f>INDEX('Net zero Activity data'!BC$24:BC$39,MATCH('Net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K1448" s="22">
        <f>INDEX('Net zero Activity data'!BD$24:BD$39,MATCH('Net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L1448" s="22">
        <f>INDEX('Net zero Activity data'!BE$24:BE$39,MATCH('Net zero emission reductions'!$G1448,'Net zero Activity data'!$D$24:$D$39,0))*INDEX(EF!$H$84:$H$99,MATCH('Net zero emission reductions'!$G1448,EF!$D$84:$D$99,0))*INDEX(EF!$H$100:$H$115,MATCH('Net zero emission reductions'!$G1448,EF!$D$100:$D$115,0))*INDEX(EF!$H$132:$H$147,MATCH('Net zero emission reductions'!$G1448,EF!$D$132:$D$147,0))*kgtoGg</f>
        <v>0.18152604403433303</v>
      </c>
      <c r="AM1448" s="22">
        <f>INDEX('Net zero Activity data'!BF$24:BF$39,MATCH('Net zero emission reductions'!$G1448,'Net zero Activity data'!$D$24:$D$39,0))*INDEX(EF!$H$84:$H$99,MATCH('Net zero emission reductions'!$G1448,EF!$D$84:$D$99,0))*INDEX(EF!$H$100:$H$115,MATCH('Net zero emission reductions'!$G1448,EF!$D$100:$D$115,0))*INDEX(EF!$H$132:$H$147,MATCH('Net zero emission reductions'!$G1448,EF!$D$132:$D$147,0))*kgtoGg</f>
        <v>0.18077388951667267</v>
      </c>
      <c r="AN1448" s="22">
        <f>INDEX('Net zero Activity data'!BG$24:BG$39,MATCH('Net zero emission reductions'!$G1448,'Net zero Activity data'!$D$24:$D$39,0))*INDEX(EF!$H$84:$H$99,MATCH('Net zero emission reductions'!$G1448,EF!$D$84:$D$99,0))*INDEX(EF!$H$100:$H$115,MATCH('Net zero emission reductions'!$G1448,EF!$D$100:$D$115,0))*INDEX(EF!$H$132:$H$147,MATCH('Net zero emission reductions'!$G1448,EF!$D$132:$D$147,0))*kgtoGg</f>
        <v>0.18002173499901231</v>
      </c>
      <c r="AO1448" s="22">
        <f>INDEX('Net zero Activity data'!BH$24:BH$39,MATCH('Net zero emission reductions'!$G1448,'Net zero Activity data'!$D$24:$D$39,0))*INDEX(EF!$H$84:$H$99,MATCH('Net zero emission reductions'!$G1448,EF!$D$84:$D$99,0))*INDEX(EF!$H$100:$H$115,MATCH('Net zero emission reductions'!$G1448,EF!$D$100:$D$115,0))*INDEX(EF!$H$132:$H$147,MATCH('Net zero emission reductions'!$G1448,EF!$D$132:$D$147,0))*kgtoGg</f>
        <v>0.17926958048135197</v>
      </c>
      <c r="AP1448" s="22">
        <f>INDEX('Net zero Activity data'!BI$24:BI$39,MATCH('Net zero emission reductions'!$G1448,'Net zero Activity data'!$D$24:$D$39,0))*INDEX(EF!$H$84:$H$99,MATCH('Net zero emission reductions'!$G1448,EF!$D$84:$D$99,0))*INDEX(EF!$H$100:$H$115,MATCH('Net zero emission reductions'!$G1448,EF!$D$100:$D$115,0))*INDEX(EF!$H$132:$H$147,MATCH('Net zero emission reductions'!$G1448,EF!$D$132:$D$147,0))*kgtoGg</f>
        <v>0.17851742596369158</v>
      </c>
      <c r="AQ1448" s="22">
        <f>INDEX('Net zero Activity data'!BJ$24:BJ$39,MATCH('Net zero emission reductions'!$G1448,'Net zero Activity data'!$D$24:$D$39,0))*INDEX(EF!$H$84:$H$99,MATCH('Net zero emission reductions'!$G1448,EF!$D$84:$D$99,0))*INDEX(EF!$H$100:$H$115,MATCH('Net zero emission reductions'!$G1448,EF!$D$100:$D$115,0))*INDEX(EF!$H$132:$H$147,MATCH('Net zero emission reductions'!$G1448,EF!$D$132:$D$147,0))*kgtoGg</f>
        <v>0.17776527144603119</v>
      </c>
      <c r="AR1448" s="22">
        <f>INDEX('Net zero Activity data'!BK$24:BK$39,MATCH('Net zero emission reductions'!$G1448,'Net zero Activity data'!$D$24:$D$39,0))*INDEX(EF!$H$84:$H$99,MATCH('Net zero emission reductions'!$G1448,EF!$D$84:$D$99,0))*INDEX(EF!$H$100:$H$115,MATCH('Net zero emission reductions'!$G1448,EF!$D$100:$D$115,0))*INDEX(EF!$H$132:$H$147,MATCH('Net zero emission reductions'!$G1448,EF!$D$132:$D$147,0))*kgtoGg</f>
        <v>0.17701311692837082</v>
      </c>
      <c r="AS1448" s="22">
        <f>INDEX('Net zero Activity data'!BL$24:BL$39,MATCH('Net zero emission reductions'!$G1448,'Net zero Activity data'!$D$24:$D$39,0))*INDEX(EF!$H$84:$H$99,MATCH('Net zero emission reductions'!$G1448,EF!$D$84:$D$99,0))*INDEX(EF!$H$100:$H$115,MATCH('Net zero emission reductions'!$G1448,EF!$D$100:$D$115,0))*INDEX(EF!$H$132:$H$147,MATCH('Net zero emission reductions'!$G1448,EF!$D$132:$D$147,0))*kgtoGg</f>
        <v>0.17626096241071046</v>
      </c>
      <c r="AT1448" s="22">
        <f>INDEX('Net zero Activity data'!BM$24:BM$39,MATCH('Net zero emission reductions'!$G1448,'Net zero Activity data'!$D$24:$D$39,0))*INDEX(EF!$H$84:$H$99,MATCH('Net zero emission reductions'!$G1448,EF!$D$84:$D$99,0))*INDEX(EF!$H$100:$H$115,MATCH('Net zero emission reductions'!$G1448,EF!$D$100:$D$115,0))*INDEX(EF!$H$132:$H$147,MATCH('Net zero emission reductions'!$G1448,EF!$D$132:$D$147,0))*kgtoGg</f>
        <v>0.17550880789305007</v>
      </c>
      <c r="AU1448" s="22">
        <f>INDEX('Net zero Activity data'!BN$24:BN$39,MATCH('Net zero emission reductions'!$G1448,'Net zero Activity data'!$D$24:$D$39,0))*INDEX(EF!$H$84:$H$99,MATCH('Net zero emission reductions'!$G1448,EF!$D$84:$D$99,0))*INDEX(EF!$H$100:$H$115,MATCH('Net zero emission reductions'!$G1448,EF!$D$100:$D$115,0))*INDEX(EF!$H$132:$H$147,MATCH('Net zero emission reductions'!$G1448,EF!$D$132:$D$147,0))*kgtoGg</f>
        <v>0.17475665337538968</v>
      </c>
      <c r="AV1448" s="22">
        <f>INDEX('Net zero Activity data'!BO$24:BO$39,MATCH('Net zero emission reductions'!$G1448,'Net zero Activity data'!$D$24:$D$39,0))*INDEX(EF!$H$84:$H$99,MATCH('Net zero emission reductions'!$G1448,EF!$D$84:$D$99,0))*INDEX(EF!$H$100:$H$115,MATCH('Net zero emission reductions'!$G1448,EF!$D$100:$D$115,0))*INDEX(EF!$H$132:$H$147,MATCH('Net zero emission reductions'!$G1448,EF!$D$132:$D$147,0))*kgtoGg</f>
        <v>0.17400449885772937</v>
      </c>
      <c r="AW1448" s="22">
        <f>INDEX('Net zero Activity data'!BP$24:BP$39,MATCH('Net zero emission reductions'!$G1448,'Net zero Activity data'!$D$24:$D$39,0))*INDEX(EF!$H$84:$H$99,MATCH('Net zero emission reductions'!$G1448,EF!$D$84:$D$99,0))*INDEX(EF!$H$100:$H$115,MATCH('Net zero emission reductions'!$G1448,EF!$D$100:$D$115,0))*INDEX(EF!$H$132:$H$147,MATCH('Net zero emission reductions'!$G1448,EF!$D$132:$D$147,0))*kgtoGg</f>
        <v>0.17325234434006898</v>
      </c>
    </row>
    <row r="1449" spans="1:49" x14ac:dyDescent="0.25">
      <c r="A1449" s="102" t="s">
        <v>961</v>
      </c>
      <c r="B1449" s="102"/>
      <c r="C1449" s="102"/>
      <c r="D1449" t="str">
        <f t="shared" si="560"/>
        <v>3C Aggregated and non-CO2 emissions on land</v>
      </c>
      <c r="E1449" t="str">
        <f t="shared" si="560"/>
        <v>3C1 Biomass burning (N2O)</v>
      </c>
      <c r="F1449" t="str">
        <f t="shared" si="559"/>
        <v>3C1b Biomass burning in Croplands</v>
      </c>
      <c r="G1449" t="str">
        <f>EF!D104</f>
        <v>Annual non-pivot</v>
      </c>
      <c r="H1449" t="s">
        <v>645</v>
      </c>
      <c r="I1449" t="str">
        <f t="shared" si="561"/>
        <v>N2O</v>
      </c>
      <c r="J1449" t="str">
        <f t="shared" si="561"/>
        <v>Gg N2O</v>
      </c>
      <c r="K1449" s="22">
        <f>INDEX('Net zero Activity data'!AD$24:AD$39,MATCH('Net zero emission reductions'!$G1449,'Net zero Activity data'!$D$24:$D$39,0))*INDEX(EF!$H$84:$H$99,MATCH('Net zero emission reductions'!$G1449,EF!$D$84:$D$99,0))*INDEX(EF!$H$100:$H$115,MATCH('Net zero emission reductions'!$G1449,EF!$D$100:$D$115,0))*INDEX(EF!$H$132:$H$147,MATCH('Net zero emission reductions'!$G1449,EF!$D$132:$D$147,0))*kgtoGg</f>
        <v>0.16151123227013586</v>
      </c>
      <c r="L1449" s="22">
        <f>INDEX('Net zero Activity data'!AE$24:AE$39,MATCH('Net zero emission reductions'!$G1449,'Net zero Activity data'!$D$24:$D$39,0))*INDEX(EF!$H$84:$H$99,MATCH('Net zero emission reductions'!$G1449,EF!$D$84:$D$99,0))*INDEX(EF!$H$100:$H$115,MATCH('Net zero emission reductions'!$G1449,EF!$D$100:$D$115,0))*INDEX(EF!$H$132:$H$147,MATCH('Net zero emission reductions'!$G1449,EF!$D$132:$D$147,0))*kgtoGg</f>
        <v>0.16106846886532766</v>
      </c>
      <c r="M1449" s="22">
        <f>INDEX('Net zero Activity data'!AF$24:AF$39,MATCH('Net zero emission reductions'!$G1449,'Net zero Activity data'!$D$24:$D$39,0))*INDEX(EF!$H$84:$H$99,MATCH('Net zero emission reductions'!$G1449,EF!$D$84:$D$99,0))*INDEX(EF!$H$100:$H$115,MATCH('Net zero emission reductions'!$G1449,EF!$D$100:$D$115,0))*INDEX(EF!$H$132:$H$147,MATCH('Net zero emission reductions'!$G1449,EF!$D$132:$D$147,0))*kgtoGg</f>
        <v>0.16062570546051952</v>
      </c>
      <c r="N1449" s="22">
        <f>INDEX('Net zero Activity data'!AG$24:AG$39,MATCH('Net zero emission reductions'!$G1449,'Net zero Activity data'!$D$24:$D$39,0))*INDEX(EF!$H$84:$H$99,MATCH('Net zero emission reductions'!$G1449,EF!$D$84:$D$99,0))*INDEX(EF!$H$100:$H$115,MATCH('Net zero emission reductions'!$G1449,EF!$D$100:$D$115,0))*INDEX(EF!$H$132:$H$147,MATCH('Net zero emission reductions'!$G1449,EF!$D$132:$D$147,0))*kgtoGg</f>
        <v>0.16018294205571132</v>
      </c>
      <c r="O1449" s="22">
        <f>INDEX('Net zero Activity data'!AH$24:AH$39,MATCH('Net zero emission reductions'!$G1449,'Net zero Activity data'!$D$24:$D$39,0))*INDEX(EF!$H$84:$H$99,MATCH('Net zero emission reductions'!$G1449,EF!$D$84:$D$99,0))*INDEX(EF!$H$100:$H$115,MATCH('Net zero emission reductions'!$G1449,EF!$D$100:$D$115,0))*INDEX(EF!$H$132:$H$147,MATCH('Net zero emission reductions'!$G1449,EF!$D$132:$D$147,0))*kgtoGg</f>
        <v>0.15974017865090312</v>
      </c>
      <c r="P1449" s="22">
        <f>INDEX('Net zero Activity data'!AI$24:AI$39,MATCH('Net zero emission reductions'!$G1449,'Net zero Activity data'!$D$24:$D$39,0))*INDEX(EF!$H$84:$H$99,MATCH('Net zero emission reductions'!$G1449,EF!$D$84:$D$99,0))*INDEX(EF!$H$100:$H$115,MATCH('Net zero emission reductions'!$G1449,EF!$D$100:$D$115,0))*INDEX(EF!$H$132:$H$147,MATCH('Net zero emission reductions'!$G1449,EF!$D$132:$D$147,0))*kgtoGg</f>
        <v>0.15929741524609498</v>
      </c>
      <c r="Q1449" s="22">
        <f>INDEX('Net zero Activity data'!AJ$24:AJ$39,MATCH('Net zero emission reductions'!$G1449,'Net zero Activity data'!$D$24:$D$39,0))*INDEX(EF!$H$84:$H$99,MATCH('Net zero emission reductions'!$G1449,EF!$D$84:$D$99,0))*INDEX(EF!$H$100:$H$115,MATCH('Net zero emission reductions'!$G1449,EF!$D$100:$D$115,0))*INDEX(EF!$H$132:$H$147,MATCH('Net zero emission reductions'!$G1449,EF!$D$132:$D$147,0))*kgtoGg</f>
        <v>0.15885465184128675</v>
      </c>
      <c r="R1449" s="22">
        <f>INDEX('Net zero Activity data'!AK$24:AK$39,MATCH('Net zero emission reductions'!$G1449,'Net zero Activity data'!$D$24:$D$39,0))*INDEX(EF!$H$84:$H$99,MATCH('Net zero emission reductions'!$G1449,EF!$D$84:$D$99,0))*INDEX(EF!$H$100:$H$115,MATCH('Net zero emission reductions'!$G1449,EF!$D$100:$D$115,0))*INDEX(EF!$H$132:$H$147,MATCH('Net zero emission reductions'!$G1449,EF!$D$132:$D$147,0))*kgtoGg</f>
        <v>0.15841188843647858</v>
      </c>
      <c r="S1449" s="22">
        <f>INDEX('Net zero Activity data'!AL$24:AL$39,MATCH('Net zero emission reductions'!$G1449,'Net zero Activity data'!$D$24:$D$39,0))*INDEX(EF!$H$84:$H$99,MATCH('Net zero emission reductions'!$G1449,EF!$D$84:$D$99,0))*INDEX(EF!$H$100:$H$115,MATCH('Net zero emission reductions'!$G1449,EF!$D$100:$D$115,0))*INDEX(EF!$H$132:$H$147,MATCH('Net zero emission reductions'!$G1449,EF!$D$132:$D$147,0))*kgtoGg</f>
        <v>0.1579691250316704</v>
      </c>
      <c r="T1449" s="22">
        <f>INDEX('Net zero Activity data'!AM$24:AM$39,MATCH('Net zero emission reductions'!$G1449,'Net zero Activity data'!$D$24:$D$39,0))*INDEX(EF!$H$84:$H$99,MATCH('Net zero emission reductions'!$G1449,EF!$D$84:$D$99,0))*INDEX(EF!$H$100:$H$115,MATCH('Net zero emission reductions'!$G1449,EF!$D$100:$D$115,0))*INDEX(EF!$H$132:$H$147,MATCH('Net zero emission reductions'!$G1449,EF!$D$132:$D$147,0))*kgtoGg</f>
        <v>0.15752636162686223</v>
      </c>
      <c r="U1449" s="22">
        <f>INDEX('Net zero Activity data'!AN$24:AN$39,MATCH('Net zero emission reductions'!$G1449,'Net zero Activity data'!$D$24:$D$39,0))*INDEX(EF!$H$84:$H$99,MATCH('Net zero emission reductions'!$G1449,EF!$D$84:$D$99,0))*INDEX(EF!$H$100:$H$115,MATCH('Net zero emission reductions'!$G1449,EF!$D$100:$D$115,0))*INDEX(EF!$H$132:$H$147,MATCH('Net zero emission reductions'!$G1449,EF!$D$132:$D$147,0))*kgtoGg</f>
        <v>0.15708359822205403</v>
      </c>
      <c r="V1449" s="22">
        <f>INDEX('Net zero Activity data'!AO$24:AO$39,MATCH('Net zero emission reductions'!$G1449,'Net zero Activity data'!$D$24:$D$39,0))*INDEX(EF!$H$84:$H$99,MATCH('Net zero emission reductions'!$G1449,EF!$D$84:$D$99,0))*INDEX(EF!$H$100:$H$115,MATCH('Net zero emission reductions'!$G1449,EF!$D$100:$D$115,0))*INDEX(EF!$H$132:$H$147,MATCH('Net zero emission reductions'!$G1449,EF!$D$132:$D$147,0))*kgtoGg</f>
        <v>0.15664083481724586</v>
      </c>
      <c r="W1449" s="22">
        <f>INDEX('Net zero Activity data'!AP$24:AP$39,MATCH('Net zero emission reductions'!$G1449,'Net zero Activity data'!$D$24:$D$39,0))*INDEX(EF!$H$84:$H$99,MATCH('Net zero emission reductions'!$G1449,EF!$D$84:$D$99,0))*INDEX(EF!$H$100:$H$115,MATCH('Net zero emission reductions'!$G1449,EF!$D$100:$D$115,0))*INDEX(EF!$H$132:$H$147,MATCH('Net zero emission reductions'!$G1449,EF!$D$132:$D$147,0))*kgtoGg</f>
        <v>0.15619807141243769</v>
      </c>
      <c r="X1449" s="22">
        <f>INDEX('Net zero Activity data'!AQ$24:AQ$39,MATCH('Net zero emission reductions'!$G1449,'Net zero Activity data'!$D$24:$D$39,0))*INDEX(EF!$H$84:$H$99,MATCH('Net zero emission reductions'!$G1449,EF!$D$84:$D$99,0))*INDEX(EF!$H$100:$H$115,MATCH('Net zero emission reductions'!$G1449,EF!$D$100:$D$115,0))*INDEX(EF!$H$132:$H$147,MATCH('Net zero emission reductions'!$G1449,EF!$D$132:$D$147,0))*kgtoGg</f>
        <v>0.15575530800762949</v>
      </c>
      <c r="Y1449" s="22">
        <f>INDEX('Net zero Activity data'!AR$24:AR$39,MATCH('Net zero emission reductions'!$G1449,'Net zero Activity data'!$D$24:$D$39,0))*INDEX(EF!$H$84:$H$99,MATCH('Net zero emission reductions'!$G1449,EF!$D$84:$D$99,0))*INDEX(EF!$H$100:$H$115,MATCH('Net zero emission reductions'!$G1449,EF!$D$100:$D$115,0))*INDEX(EF!$H$132:$H$147,MATCH('Net zero emission reductions'!$G1449,EF!$D$132:$D$147,0))*kgtoGg</f>
        <v>0.15531254460282132</v>
      </c>
      <c r="Z1449" s="22">
        <f>INDEX('Net zero Activity data'!AS$24:AS$39,MATCH('Net zero emission reductions'!$G1449,'Net zero Activity data'!$D$24:$D$39,0))*INDEX(EF!$H$84:$H$99,MATCH('Net zero emission reductions'!$G1449,EF!$D$84:$D$99,0))*INDEX(EF!$H$100:$H$115,MATCH('Net zero emission reductions'!$G1449,EF!$D$100:$D$115,0))*INDEX(EF!$H$132:$H$147,MATCH('Net zero emission reductions'!$G1449,EF!$D$132:$D$147,0))*kgtoGg</f>
        <v>0.15486978119801315</v>
      </c>
      <c r="AA1449" s="22">
        <f>INDEX('Net zero Activity data'!AT$24:AT$39,MATCH('Net zero emission reductions'!$G1449,'Net zero Activity data'!$D$24:$D$39,0))*INDEX(EF!$H$84:$H$99,MATCH('Net zero emission reductions'!$G1449,EF!$D$84:$D$99,0))*INDEX(EF!$H$100:$H$115,MATCH('Net zero emission reductions'!$G1449,EF!$D$100:$D$115,0))*INDEX(EF!$H$132:$H$147,MATCH('Net zero emission reductions'!$G1449,EF!$D$132:$D$147,0))*kgtoGg</f>
        <v>0.15442701779320495</v>
      </c>
      <c r="AB1449" s="22">
        <f>INDEX('Net zero Activity data'!AU$24:AU$39,MATCH('Net zero emission reductions'!$G1449,'Net zero Activity data'!$D$24:$D$39,0))*INDEX(EF!$H$84:$H$99,MATCH('Net zero emission reductions'!$G1449,EF!$D$84:$D$99,0))*INDEX(EF!$H$100:$H$115,MATCH('Net zero emission reductions'!$G1449,EF!$D$100:$D$115,0))*INDEX(EF!$H$132:$H$147,MATCH('Net zero emission reductions'!$G1449,EF!$D$132:$D$147,0))*kgtoGg</f>
        <v>0.1539842543883968</v>
      </c>
      <c r="AC1449" s="22">
        <f>INDEX('Net zero Activity data'!AV$24:AV$39,MATCH('Net zero emission reductions'!$G1449,'Net zero Activity data'!$D$24:$D$39,0))*INDEX(EF!$H$84:$H$99,MATCH('Net zero emission reductions'!$G1449,EF!$D$84:$D$99,0))*INDEX(EF!$H$100:$H$115,MATCH('Net zero emission reductions'!$G1449,EF!$D$100:$D$115,0))*INDEX(EF!$H$132:$H$147,MATCH('Net zero emission reductions'!$G1449,EF!$D$132:$D$147,0))*kgtoGg</f>
        <v>0.1535414909835886</v>
      </c>
      <c r="AD1449" s="22">
        <f>INDEX('Net zero Activity data'!AW$24:AW$39,MATCH('Net zero emission reductions'!$G1449,'Net zero Activity data'!$D$24:$D$39,0))*INDEX(EF!$H$84:$H$99,MATCH('Net zero emission reductions'!$G1449,EF!$D$84:$D$99,0))*INDEX(EF!$H$100:$H$115,MATCH('Net zero emission reductions'!$G1449,EF!$D$100:$D$115,0))*INDEX(EF!$H$132:$H$147,MATCH('Net zero emission reductions'!$G1449,EF!$D$132:$D$147,0))*kgtoGg</f>
        <v>0.15309872757878043</v>
      </c>
      <c r="AE1449" s="22">
        <f>INDEX('Net zero Activity data'!AX$24:AX$39,MATCH('Net zero emission reductions'!$G1449,'Net zero Activity data'!$D$24:$D$39,0))*INDEX(EF!$H$84:$H$99,MATCH('Net zero emission reductions'!$G1449,EF!$D$84:$D$99,0))*INDEX(EF!$H$100:$H$115,MATCH('Net zero emission reductions'!$G1449,EF!$D$100:$D$115,0))*INDEX(EF!$H$132:$H$147,MATCH('Net zero emission reductions'!$G1449,EF!$D$132:$D$147,0))*kgtoGg</f>
        <v>0.15265596417397226</v>
      </c>
      <c r="AF1449" s="22">
        <f>INDEX('Net zero Activity data'!AY$24:AY$39,MATCH('Net zero emission reductions'!$G1449,'Net zero Activity data'!$D$24:$D$39,0))*INDEX(EF!$H$84:$H$99,MATCH('Net zero emission reductions'!$G1449,EF!$D$84:$D$99,0))*INDEX(EF!$H$100:$H$115,MATCH('Net zero emission reductions'!$G1449,EF!$D$100:$D$115,0))*INDEX(EF!$H$132:$H$147,MATCH('Net zero emission reductions'!$G1449,EF!$D$132:$D$147,0))*kgtoGg</f>
        <v>0.15221320076916403</v>
      </c>
      <c r="AG1449" s="22">
        <f>INDEX('Net zero Activity data'!AZ$24:AZ$39,MATCH('Net zero emission reductions'!$G1449,'Net zero Activity data'!$D$24:$D$39,0))*INDEX(EF!$H$84:$H$99,MATCH('Net zero emission reductions'!$G1449,EF!$D$84:$D$99,0))*INDEX(EF!$H$100:$H$115,MATCH('Net zero emission reductions'!$G1449,EF!$D$100:$D$115,0))*INDEX(EF!$H$132:$H$147,MATCH('Net zero emission reductions'!$G1449,EF!$D$132:$D$147,0))*kgtoGg</f>
        <v>0.15177043736435586</v>
      </c>
      <c r="AH1449" s="22">
        <f>INDEX('Net zero Activity data'!BA$24:BA$39,MATCH('Net zero emission reductions'!$G1449,'Net zero Activity data'!$D$24:$D$39,0))*INDEX(EF!$H$84:$H$99,MATCH('Net zero emission reductions'!$G1449,EF!$D$84:$D$99,0))*INDEX(EF!$H$100:$H$115,MATCH('Net zero emission reductions'!$G1449,EF!$D$100:$D$115,0))*INDEX(EF!$H$132:$H$147,MATCH('Net zero emission reductions'!$G1449,EF!$D$132:$D$147,0))*kgtoGg</f>
        <v>0.15132767395954769</v>
      </c>
      <c r="AI1449" s="22">
        <f>INDEX('Net zero Activity data'!BB$24:BB$39,MATCH('Net zero emission reductions'!$G1449,'Net zero Activity data'!$D$24:$D$39,0))*INDEX(EF!$H$84:$H$99,MATCH('Net zero emission reductions'!$G1449,EF!$D$84:$D$99,0))*INDEX(EF!$H$100:$H$115,MATCH('Net zero emission reductions'!$G1449,EF!$D$100:$D$115,0))*INDEX(EF!$H$132:$H$147,MATCH('Net zero emission reductions'!$G1449,EF!$D$132:$D$147,0))*kgtoGg</f>
        <v>0.15088491055473952</v>
      </c>
      <c r="AJ1449" s="22">
        <f>INDEX('Net zero Activity data'!BC$24:BC$39,MATCH('Net zero emission reductions'!$G1449,'Net zero Activity data'!$D$24:$D$39,0))*INDEX(EF!$H$84:$H$99,MATCH('Net zero emission reductions'!$G1449,EF!$D$84:$D$99,0))*INDEX(EF!$H$100:$H$115,MATCH('Net zero emission reductions'!$G1449,EF!$D$100:$D$115,0))*INDEX(EF!$H$132:$H$147,MATCH('Net zero emission reductions'!$G1449,EF!$D$132:$D$147,0))*kgtoGg</f>
        <v>0.15044214714993132</v>
      </c>
      <c r="AK1449" s="22">
        <f>INDEX('Net zero Activity data'!BD$24:BD$39,MATCH('Net zero emission reductions'!$G1449,'Net zero Activity data'!$D$24:$D$39,0))*INDEX(EF!$H$84:$H$99,MATCH('Net zero emission reductions'!$G1449,EF!$D$84:$D$99,0))*INDEX(EF!$H$100:$H$115,MATCH('Net zero emission reductions'!$G1449,EF!$D$100:$D$115,0))*INDEX(EF!$H$132:$H$147,MATCH('Net zero emission reductions'!$G1449,EF!$D$132:$D$147,0))*kgtoGg</f>
        <v>0.14999938374512317</v>
      </c>
      <c r="AL1449" s="22">
        <f>INDEX('Net zero Activity data'!BE$24:BE$39,MATCH('Net zero emission reductions'!$G1449,'Net zero Activity data'!$D$24:$D$39,0))*INDEX(EF!$H$84:$H$99,MATCH('Net zero emission reductions'!$G1449,EF!$D$84:$D$99,0))*INDEX(EF!$H$100:$H$115,MATCH('Net zero emission reductions'!$G1449,EF!$D$100:$D$115,0))*INDEX(EF!$H$132:$H$147,MATCH('Net zero emission reductions'!$G1449,EF!$D$132:$D$147,0))*kgtoGg</f>
        <v>0.14955662034031497</v>
      </c>
      <c r="AM1449" s="22">
        <f>INDEX('Net zero Activity data'!BF$24:BF$39,MATCH('Net zero emission reductions'!$G1449,'Net zero Activity data'!$D$24:$D$39,0))*INDEX(EF!$H$84:$H$99,MATCH('Net zero emission reductions'!$G1449,EF!$D$84:$D$99,0))*INDEX(EF!$H$100:$H$115,MATCH('Net zero emission reductions'!$G1449,EF!$D$100:$D$115,0))*INDEX(EF!$H$132:$H$147,MATCH('Net zero emission reductions'!$G1449,EF!$D$132:$D$147,0))*kgtoGg</f>
        <v>0.14911385693550677</v>
      </c>
      <c r="AN1449" s="22">
        <f>INDEX('Net zero Activity data'!BG$24:BG$39,MATCH('Net zero emission reductions'!$G1449,'Net zero Activity data'!$D$24:$D$39,0))*INDEX(EF!$H$84:$H$99,MATCH('Net zero emission reductions'!$G1449,EF!$D$84:$D$99,0))*INDEX(EF!$H$100:$H$115,MATCH('Net zero emission reductions'!$G1449,EF!$D$100:$D$115,0))*INDEX(EF!$H$132:$H$147,MATCH('Net zero emission reductions'!$G1449,EF!$D$132:$D$147,0))*kgtoGg</f>
        <v>0.14867109353069863</v>
      </c>
      <c r="AO1449" s="22">
        <f>INDEX('Net zero Activity data'!BH$24:BH$39,MATCH('Net zero emission reductions'!$G1449,'Net zero Activity data'!$D$24:$D$39,0))*INDEX(EF!$H$84:$H$99,MATCH('Net zero emission reductions'!$G1449,EF!$D$84:$D$99,0))*INDEX(EF!$H$100:$H$115,MATCH('Net zero emission reductions'!$G1449,EF!$D$100:$D$115,0))*INDEX(EF!$H$132:$H$147,MATCH('Net zero emission reductions'!$G1449,EF!$D$132:$D$147,0))*kgtoGg</f>
        <v>0.14822833012589043</v>
      </c>
      <c r="AP1449" s="22">
        <f>INDEX('Net zero Activity data'!BI$24:BI$39,MATCH('Net zero emission reductions'!$G1449,'Net zero Activity data'!$D$24:$D$39,0))*INDEX(EF!$H$84:$H$99,MATCH('Net zero emission reductions'!$G1449,EF!$D$84:$D$99,0))*INDEX(EF!$H$100:$H$115,MATCH('Net zero emission reductions'!$G1449,EF!$D$100:$D$115,0))*INDEX(EF!$H$132:$H$147,MATCH('Net zero emission reductions'!$G1449,EF!$D$132:$D$147,0))*kgtoGg</f>
        <v>0.14778556672108226</v>
      </c>
      <c r="AQ1449" s="22">
        <f>INDEX('Net zero Activity data'!BJ$24:BJ$39,MATCH('Net zero emission reductions'!$G1449,'Net zero Activity data'!$D$24:$D$39,0))*INDEX(EF!$H$84:$H$99,MATCH('Net zero emission reductions'!$G1449,EF!$D$84:$D$99,0))*INDEX(EF!$H$100:$H$115,MATCH('Net zero emission reductions'!$G1449,EF!$D$100:$D$115,0))*INDEX(EF!$H$132:$H$147,MATCH('Net zero emission reductions'!$G1449,EF!$D$132:$D$147,0))*kgtoGg</f>
        <v>0.14734280331627406</v>
      </c>
      <c r="AR1449" s="22">
        <f>INDEX('Net zero Activity data'!BK$24:BK$39,MATCH('Net zero emission reductions'!$G1449,'Net zero Activity data'!$D$24:$D$39,0))*INDEX(EF!$H$84:$H$99,MATCH('Net zero emission reductions'!$G1449,EF!$D$84:$D$99,0))*INDEX(EF!$H$100:$H$115,MATCH('Net zero emission reductions'!$G1449,EF!$D$100:$D$115,0))*INDEX(EF!$H$132:$H$147,MATCH('Net zero emission reductions'!$G1449,EF!$D$132:$D$147,0))*kgtoGg</f>
        <v>0.14690003991146589</v>
      </c>
      <c r="AS1449" s="22">
        <f>INDEX('Net zero Activity data'!BL$24:BL$39,MATCH('Net zero emission reductions'!$G1449,'Net zero Activity data'!$D$24:$D$39,0))*INDEX(EF!$H$84:$H$99,MATCH('Net zero emission reductions'!$G1449,EF!$D$84:$D$99,0))*INDEX(EF!$H$100:$H$115,MATCH('Net zero emission reductions'!$G1449,EF!$D$100:$D$115,0))*INDEX(EF!$H$132:$H$147,MATCH('Net zero emission reductions'!$G1449,EF!$D$132:$D$147,0))*kgtoGg</f>
        <v>0.14645727650665771</v>
      </c>
      <c r="AT1449" s="22">
        <f>INDEX('Net zero Activity data'!BM$24:BM$39,MATCH('Net zero emission reductions'!$G1449,'Net zero Activity data'!$D$24:$D$39,0))*INDEX(EF!$H$84:$H$99,MATCH('Net zero emission reductions'!$G1449,EF!$D$84:$D$99,0))*INDEX(EF!$H$100:$H$115,MATCH('Net zero emission reductions'!$G1449,EF!$D$100:$D$115,0))*INDEX(EF!$H$132:$H$147,MATCH('Net zero emission reductions'!$G1449,EF!$D$132:$D$147,0))*kgtoGg</f>
        <v>0.14601451310184949</v>
      </c>
      <c r="AU1449" s="22">
        <f>INDEX('Net zero Activity data'!BN$24:BN$39,MATCH('Net zero emission reductions'!$G1449,'Net zero Activity data'!$D$24:$D$39,0))*INDEX(EF!$H$84:$H$99,MATCH('Net zero emission reductions'!$G1449,EF!$D$84:$D$99,0))*INDEX(EF!$H$100:$H$115,MATCH('Net zero emission reductions'!$G1449,EF!$D$100:$D$115,0))*INDEX(EF!$H$132:$H$147,MATCH('Net zero emission reductions'!$G1449,EF!$D$132:$D$147,0))*kgtoGg</f>
        <v>0.14557174969704134</v>
      </c>
      <c r="AV1449" s="22">
        <f>INDEX('Net zero Activity data'!BO$24:BO$39,MATCH('Net zero emission reductions'!$G1449,'Net zero Activity data'!$D$24:$D$39,0))*INDEX(EF!$H$84:$H$99,MATCH('Net zero emission reductions'!$G1449,EF!$D$84:$D$99,0))*INDEX(EF!$H$100:$H$115,MATCH('Net zero emission reductions'!$G1449,EF!$D$100:$D$115,0))*INDEX(EF!$H$132:$H$147,MATCH('Net zero emission reductions'!$G1449,EF!$D$132:$D$147,0))*kgtoGg</f>
        <v>0.14512898629223317</v>
      </c>
      <c r="AW1449" s="22">
        <f>INDEX('Net zero Activity data'!BP$24:BP$39,MATCH('Net zero emission reductions'!$G1449,'Net zero Activity data'!$D$24:$D$39,0))*INDEX(EF!$H$84:$H$99,MATCH('Net zero emission reductions'!$G1449,EF!$D$84:$D$99,0))*INDEX(EF!$H$100:$H$115,MATCH('Net zero emission reductions'!$G1449,EF!$D$100:$D$115,0))*INDEX(EF!$H$132:$H$147,MATCH('Net zero emission reductions'!$G1449,EF!$D$132:$D$147,0))*kgtoGg</f>
        <v>0.14468622288742497</v>
      </c>
    </row>
    <row r="1450" spans="1:49" x14ac:dyDescent="0.25">
      <c r="A1450" s="102" t="s">
        <v>961</v>
      </c>
      <c r="B1450" s="102"/>
      <c r="C1450" s="102"/>
      <c r="D1450" t="str">
        <f t="shared" si="560"/>
        <v>3C Aggregated and non-CO2 emissions on land</v>
      </c>
      <c r="E1450" t="str">
        <f t="shared" si="560"/>
        <v>3C1 Biomass burning (N2O)</v>
      </c>
      <c r="F1450" t="str">
        <f t="shared" si="559"/>
        <v>3C1b Biomass burning in Croplands</v>
      </c>
      <c r="G1450" t="str">
        <f>EF!D105</f>
        <v>Annual pivot</v>
      </c>
      <c r="H1450" t="s">
        <v>646</v>
      </c>
      <c r="I1450" t="str">
        <f t="shared" si="561"/>
        <v>N2O</v>
      </c>
      <c r="J1450" t="str">
        <f t="shared" si="561"/>
        <v>Gg N2O</v>
      </c>
      <c r="K1450" s="22">
        <f>INDEX('Net zero Activity data'!AD$24:AD$39,MATCH('Net zero emission reductions'!$G1450,'Net zero Activity data'!$D$24:$D$39,0))*INDEX(EF!$H$84:$H$99,MATCH('Net zero emission reductions'!$G1450,EF!$D$84:$D$99,0))*INDEX(EF!$H$100:$H$115,MATCH('Net zero emission reductions'!$G1450,EF!$D$100:$D$115,0))*INDEX(EF!$H$132:$H$147,MATCH('Net zero emission reductions'!$G1450,EF!$D$132:$D$147,0))*kgtoGg</f>
        <v>1.3363672472411908E-2</v>
      </c>
      <c r="L1450" s="22">
        <f>INDEX('Net zero Activity data'!AE$24:AE$39,MATCH('Net zero emission reductions'!$G1450,'Net zero Activity data'!$D$24:$D$39,0))*INDEX(EF!$H$84:$H$99,MATCH('Net zero emission reductions'!$G1450,EF!$D$84:$D$99,0))*INDEX(EF!$H$100:$H$115,MATCH('Net zero emission reductions'!$G1450,EF!$D$100:$D$115,0))*INDEX(EF!$H$132:$H$147,MATCH('Net zero emission reductions'!$G1450,EF!$D$132:$D$147,0))*kgtoGg</f>
        <v>1.3770022882720941E-2</v>
      </c>
      <c r="M1450" s="22">
        <f>INDEX('Net zero Activity data'!AF$24:AF$39,MATCH('Net zero emission reductions'!$G1450,'Net zero Activity data'!$D$24:$D$39,0))*INDEX(EF!$H$84:$H$99,MATCH('Net zero emission reductions'!$G1450,EF!$D$84:$D$99,0))*INDEX(EF!$H$100:$H$115,MATCH('Net zero emission reductions'!$G1450,EF!$D$100:$D$115,0))*INDEX(EF!$H$132:$H$147,MATCH('Net zero emission reductions'!$G1450,EF!$D$132:$D$147,0))*kgtoGg</f>
        <v>1.4176373293029969E-2</v>
      </c>
      <c r="N1450" s="22">
        <f>INDEX('Net zero Activity data'!AG$24:AG$39,MATCH('Net zero emission reductions'!$G1450,'Net zero Activity data'!$D$24:$D$39,0))*INDEX(EF!$H$84:$H$99,MATCH('Net zero emission reductions'!$G1450,EF!$D$84:$D$99,0))*INDEX(EF!$H$100:$H$115,MATCH('Net zero emission reductions'!$G1450,EF!$D$100:$D$115,0))*INDEX(EF!$H$132:$H$147,MATCH('Net zero emission reductions'!$G1450,EF!$D$132:$D$147,0))*kgtoGg</f>
        <v>1.4582723703339006E-2</v>
      </c>
      <c r="O1450" s="22">
        <f>INDEX('Net zero Activity data'!AH$24:AH$39,MATCH('Net zero emission reductions'!$G1450,'Net zero Activity data'!$D$24:$D$39,0))*INDEX(EF!$H$84:$H$99,MATCH('Net zero emission reductions'!$G1450,EF!$D$84:$D$99,0))*INDEX(EF!$H$100:$H$115,MATCH('Net zero emission reductions'!$G1450,EF!$D$100:$D$115,0))*INDEX(EF!$H$132:$H$147,MATCH('Net zero emission reductions'!$G1450,EF!$D$132:$D$147,0))*kgtoGg</f>
        <v>1.4989074113648037E-2</v>
      </c>
      <c r="P1450" s="22">
        <f>INDEX('Net zero Activity data'!AI$24:AI$39,MATCH('Net zero emission reductions'!$G1450,'Net zero Activity data'!$D$24:$D$39,0))*INDEX(EF!$H$84:$H$99,MATCH('Net zero emission reductions'!$G1450,EF!$D$84:$D$99,0))*INDEX(EF!$H$100:$H$115,MATCH('Net zero emission reductions'!$G1450,EF!$D$100:$D$115,0))*INDEX(EF!$H$132:$H$147,MATCH('Net zero emission reductions'!$G1450,EF!$D$132:$D$147,0))*kgtoGg</f>
        <v>1.5395424523957073E-2</v>
      </c>
      <c r="Q1450" s="22">
        <f>INDEX('Net zero Activity data'!AJ$24:AJ$39,MATCH('Net zero emission reductions'!$G1450,'Net zero Activity data'!$D$24:$D$39,0))*INDEX(EF!$H$84:$H$99,MATCH('Net zero emission reductions'!$G1450,EF!$D$84:$D$99,0))*INDEX(EF!$H$100:$H$115,MATCH('Net zero emission reductions'!$G1450,EF!$D$100:$D$115,0))*INDEX(EF!$H$132:$H$147,MATCH('Net zero emission reductions'!$G1450,EF!$D$132:$D$147,0))*kgtoGg</f>
        <v>1.58017749342661E-2</v>
      </c>
      <c r="R1450" s="22">
        <f>INDEX('Net zero Activity data'!AK$24:AK$39,MATCH('Net zero emission reductions'!$G1450,'Net zero Activity data'!$D$24:$D$39,0))*INDEX(EF!$H$84:$H$99,MATCH('Net zero emission reductions'!$G1450,EF!$D$84:$D$99,0))*INDEX(EF!$H$100:$H$115,MATCH('Net zero emission reductions'!$G1450,EF!$D$100:$D$115,0))*INDEX(EF!$H$132:$H$147,MATCH('Net zero emission reductions'!$G1450,EF!$D$132:$D$147,0))*kgtoGg</f>
        <v>1.6208125344575129E-2</v>
      </c>
      <c r="S1450" s="22">
        <f>INDEX('Net zero Activity data'!AL$24:AL$39,MATCH('Net zero emission reductions'!$G1450,'Net zero Activity data'!$D$24:$D$39,0))*INDEX(EF!$H$84:$H$99,MATCH('Net zero emission reductions'!$G1450,EF!$D$84:$D$99,0))*INDEX(EF!$H$100:$H$115,MATCH('Net zero emission reductions'!$G1450,EF!$D$100:$D$115,0))*INDEX(EF!$H$132:$H$147,MATCH('Net zero emission reductions'!$G1450,EF!$D$132:$D$147,0))*kgtoGg</f>
        <v>1.6614475754884166E-2</v>
      </c>
      <c r="T1450" s="22">
        <f>INDEX('Net zero Activity data'!AM$24:AM$39,MATCH('Net zero emission reductions'!$G1450,'Net zero Activity data'!$D$24:$D$39,0))*INDEX(EF!$H$84:$H$99,MATCH('Net zero emission reductions'!$G1450,EF!$D$84:$D$99,0))*INDEX(EF!$H$100:$H$115,MATCH('Net zero emission reductions'!$G1450,EF!$D$100:$D$115,0))*INDEX(EF!$H$132:$H$147,MATCH('Net zero emission reductions'!$G1450,EF!$D$132:$D$147,0))*kgtoGg</f>
        <v>1.7020826165193202E-2</v>
      </c>
      <c r="U1450" s="22">
        <f>INDEX('Net zero Activity data'!AN$24:AN$39,MATCH('Net zero emission reductions'!$G1450,'Net zero Activity data'!$D$24:$D$39,0))*INDEX(EF!$H$84:$H$99,MATCH('Net zero emission reductions'!$G1450,EF!$D$84:$D$99,0))*INDEX(EF!$H$100:$H$115,MATCH('Net zero emission reductions'!$G1450,EF!$D$100:$D$115,0))*INDEX(EF!$H$132:$H$147,MATCH('Net zero emission reductions'!$G1450,EF!$D$132:$D$147,0))*kgtoGg</f>
        <v>1.7427176575502232E-2</v>
      </c>
      <c r="V1450" s="22">
        <f>INDEX('Net zero Activity data'!AO$24:AO$39,MATCH('Net zero emission reductions'!$G1450,'Net zero Activity data'!$D$24:$D$39,0))*INDEX(EF!$H$84:$H$99,MATCH('Net zero emission reductions'!$G1450,EF!$D$84:$D$99,0))*INDEX(EF!$H$100:$H$115,MATCH('Net zero emission reductions'!$G1450,EF!$D$100:$D$115,0))*INDEX(EF!$H$132:$H$147,MATCH('Net zero emission reductions'!$G1450,EF!$D$132:$D$147,0))*kgtoGg</f>
        <v>1.7833526985811265E-2</v>
      </c>
      <c r="W1450" s="22">
        <f>INDEX('Net zero Activity data'!AP$24:AP$39,MATCH('Net zero emission reductions'!$G1450,'Net zero Activity data'!$D$24:$D$39,0))*INDEX(EF!$H$84:$H$99,MATCH('Net zero emission reductions'!$G1450,EF!$D$84:$D$99,0))*INDEX(EF!$H$100:$H$115,MATCH('Net zero emission reductions'!$G1450,EF!$D$100:$D$115,0))*INDEX(EF!$H$132:$H$147,MATCH('Net zero emission reductions'!$G1450,EF!$D$132:$D$147,0))*kgtoGg</f>
        <v>1.8239877396120294E-2</v>
      </c>
      <c r="X1450" s="22">
        <f>INDEX('Net zero Activity data'!AQ$24:AQ$39,MATCH('Net zero emission reductions'!$G1450,'Net zero Activity data'!$D$24:$D$39,0))*INDEX(EF!$H$84:$H$99,MATCH('Net zero emission reductions'!$G1450,EF!$D$84:$D$99,0))*INDEX(EF!$H$100:$H$115,MATCH('Net zero emission reductions'!$G1450,EF!$D$100:$D$115,0))*INDEX(EF!$H$132:$H$147,MATCH('Net zero emission reductions'!$G1450,EF!$D$132:$D$147,0))*kgtoGg</f>
        <v>1.8646227806429327E-2</v>
      </c>
      <c r="Y1450" s="22">
        <f>INDEX('Net zero Activity data'!AR$24:AR$39,MATCH('Net zero emission reductions'!$G1450,'Net zero Activity data'!$D$24:$D$39,0))*INDEX(EF!$H$84:$H$99,MATCH('Net zero emission reductions'!$G1450,EF!$D$84:$D$99,0))*INDEX(EF!$H$100:$H$115,MATCH('Net zero emission reductions'!$G1450,EF!$D$100:$D$115,0))*INDEX(EF!$H$132:$H$147,MATCH('Net zero emission reductions'!$G1450,EF!$D$132:$D$147,0))*kgtoGg</f>
        <v>1.9052578216738364E-2</v>
      </c>
      <c r="Z1450" s="22">
        <f>INDEX('Net zero Activity data'!AS$24:AS$39,MATCH('Net zero emission reductions'!$G1450,'Net zero Activity data'!$D$24:$D$39,0))*INDEX(EF!$H$84:$H$99,MATCH('Net zero emission reductions'!$G1450,EF!$D$84:$D$99,0))*INDEX(EF!$H$100:$H$115,MATCH('Net zero emission reductions'!$G1450,EF!$D$100:$D$115,0))*INDEX(EF!$H$132:$H$147,MATCH('Net zero emission reductions'!$G1450,EF!$D$132:$D$147,0))*kgtoGg</f>
        <v>1.9458928627047394E-2</v>
      </c>
      <c r="AA1450" s="22">
        <f>INDEX('Net zero Activity data'!AT$24:AT$39,MATCH('Net zero emission reductions'!$G1450,'Net zero Activity data'!$D$24:$D$39,0))*INDEX(EF!$H$84:$H$99,MATCH('Net zero emission reductions'!$G1450,EF!$D$84:$D$99,0))*INDEX(EF!$H$100:$H$115,MATCH('Net zero emission reductions'!$G1450,EF!$D$100:$D$115,0))*INDEX(EF!$H$132:$H$147,MATCH('Net zero emission reductions'!$G1450,EF!$D$132:$D$147,0))*kgtoGg</f>
        <v>1.986527903735643E-2</v>
      </c>
      <c r="AB1450" s="22">
        <f>INDEX('Net zero Activity data'!AU$24:AU$39,MATCH('Net zero emission reductions'!$G1450,'Net zero Activity data'!$D$24:$D$39,0))*INDEX(EF!$H$84:$H$99,MATCH('Net zero emission reductions'!$G1450,EF!$D$84:$D$99,0))*INDEX(EF!$H$100:$H$115,MATCH('Net zero emission reductions'!$G1450,EF!$D$100:$D$115,0))*INDEX(EF!$H$132:$H$147,MATCH('Net zero emission reductions'!$G1450,EF!$D$132:$D$147,0))*kgtoGg</f>
        <v>2.027162944766546E-2</v>
      </c>
      <c r="AC1450" s="22">
        <f>INDEX('Net zero Activity data'!AV$24:AV$39,MATCH('Net zero emission reductions'!$G1450,'Net zero Activity data'!$D$24:$D$39,0))*INDEX(EF!$H$84:$H$99,MATCH('Net zero emission reductions'!$G1450,EF!$D$84:$D$99,0))*INDEX(EF!$H$100:$H$115,MATCH('Net zero emission reductions'!$G1450,EF!$D$100:$D$115,0))*INDEX(EF!$H$132:$H$147,MATCH('Net zero emission reductions'!$G1450,EF!$D$132:$D$147,0))*kgtoGg</f>
        <v>2.0677979857974496E-2</v>
      </c>
      <c r="AD1450" s="22">
        <f>INDEX('Net zero Activity data'!AW$24:AW$39,MATCH('Net zero emission reductions'!$G1450,'Net zero Activity data'!$D$24:$D$39,0))*INDEX(EF!$H$84:$H$99,MATCH('Net zero emission reductions'!$G1450,EF!$D$84:$D$99,0))*INDEX(EF!$H$100:$H$115,MATCH('Net zero emission reductions'!$G1450,EF!$D$100:$D$115,0))*INDEX(EF!$H$132:$H$147,MATCH('Net zero emission reductions'!$G1450,EF!$D$132:$D$147,0))*kgtoGg</f>
        <v>2.1084330268283526E-2</v>
      </c>
      <c r="AE1450" s="22">
        <f>INDEX('Net zero Activity data'!AX$24:AX$39,MATCH('Net zero emission reductions'!$G1450,'Net zero Activity data'!$D$24:$D$39,0))*INDEX(EF!$H$84:$H$99,MATCH('Net zero emission reductions'!$G1450,EF!$D$84:$D$99,0))*INDEX(EF!$H$100:$H$115,MATCH('Net zero emission reductions'!$G1450,EF!$D$100:$D$115,0))*INDEX(EF!$H$132:$H$147,MATCH('Net zero emission reductions'!$G1450,EF!$D$132:$D$147,0))*kgtoGg</f>
        <v>2.1490680678592562E-2</v>
      </c>
      <c r="AF1450" s="22">
        <f>INDEX('Net zero Activity data'!AY$24:AY$39,MATCH('Net zero emission reductions'!$G1450,'Net zero Activity data'!$D$24:$D$39,0))*INDEX(EF!$H$84:$H$99,MATCH('Net zero emission reductions'!$G1450,EF!$D$84:$D$99,0))*INDEX(EF!$H$100:$H$115,MATCH('Net zero emission reductions'!$G1450,EF!$D$100:$D$115,0))*INDEX(EF!$H$132:$H$147,MATCH('Net zero emission reductions'!$G1450,EF!$D$132:$D$147,0))*kgtoGg</f>
        <v>2.1897031088901588E-2</v>
      </c>
      <c r="AG1450" s="22">
        <f>INDEX('Net zero Activity data'!AZ$24:AZ$39,MATCH('Net zero emission reductions'!$G1450,'Net zero Activity data'!$D$24:$D$39,0))*INDEX(EF!$H$84:$H$99,MATCH('Net zero emission reductions'!$G1450,EF!$D$84:$D$99,0))*INDEX(EF!$H$100:$H$115,MATCH('Net zero emission reductions'!$G1450,EF!$D$100:$D$115,0))*INDEX(EF!$H$132:$H$147,MATCH('Net zero emission reductions'!$G1450,EF!$D$132:$D$147,0))*kgtoGg</f>
        <v>2.2303381499210621E-2</v>
      </c>
      <c r="AH1450" s="22">
        <f>INDEX('Net zero Activity data'!BA$24:BA$39,MATCH('Net zero emission reductions'!$G1450,'Net zero Activity data'!$D$24:$D$39,0))*INDEX(EF!$H$84:$H$99,MATCH('Net zero emission reductions'!$G1450,EF!$D$84:$D$99,0))*INDEX(EF!$H$100:$H$115,MATCH('Net zero emission reductions'!$G1450,EF!$D$100:$D$115,0))*INDEX(EF!$H$132:$H$147,MATCH('Net zero emission reductions'!$G1450,EF!$D$132:$D$147,0))*kgtoGg</f>
        <v>2.2709731909519658E-2</v>
      </c>
      <c r="AI1450" s="22">
        <f>INDEX('Net zero Activity data'!BB$24:BB$39,MATCH('Net zero emission reductions'!$G1450,'Net zero Activity data'!$D$24:$D$39,0))*INDEX(EF!$H$84:$H$99,MATCH('Net zero emission reductions'!$G1450,EF!$D$84:$D$99,0))*INDEX(EF!$H$100:$H$115,MATCH('Net zero emission reductions'!$G1450,EF!$D$100:$D$115,0))*INDEX(EF!$H$132:$H$147,MATCH('Net zero emission reductions'!$G1450,EF!$D$132:$D$147,0))*kgtoGg</f>
        <v>2.3116082319828691E-2</v>
      </c>
      <c r="AJ1450" s="22">
        <f>INDEX('Net zero Activity data'!BC$24:BC$39,MATCH('Net zero emission reductions'!$G1450,'Net zero Activity data'!$D$24:$D$39,0))*INDEX(EF!$H$84:$H$99,MATCH('Net zero emission reductions'!$G1450,EF!$D$84:$D$99,0))*INDEX(EF!$H$100:$H$115,MATCH('Net zero emission reductions'!$G1450,EF!$D$100:$D$115,0))*INDEX(EF!$H$132:$H$147,MATCH('Net zero emission reductions'!$G1450,EF!$D$132:$D$147,0))*kgtoGg</f>
        <v>2.3522432730137724E-2</v>
      </c>
      <c r="AK1450" s="22">
        <f>INDEX('Net zero Activity data'!BD$24:BD$39,MATCH('Net zero emission reductions'!$G1450,'Net zero Activity data'!$D$24:$D$39,0))*INDEX(EF!$H$84:$H$99,MATCH('Net zero emission reductions'!$G1450,EF!$D$84:$D$99,0))*INDEX(EF!$H$100:$H$115,MATCH('Net zero emission reductions'!$G1450,EF!$D$100:$D$115,0))*INDEX(EF!$H$132:$H$147,MATCH('Net zero emission reductions'!$G1450,EF!$D$132:$D$147,0))*kgtoGg</f>
        <v>2.392878314044675E-2</v>
      </c>
      <c r="AL1450" s="22">
        <f>INDEX('Net zero Activity data'!BE$24:BE$39,MATCH('Net zero emission reductions'!$G1450,'Net zero Activity data'!$D$24:$D$39,0))*INDEX(EF!$H$84:$H$99,MATCH('Net zero emission reductions'!$G1450,EF!$D$84:$D$99,0))*INDEX(EF!$H$100:$H$115,MATCH('Net zero emission reductions'!$G1450,EF!$D$100:$D$115,0))*INDEX(EF!$H$132:$H$147,MATCH('Net zero emission reductions'!$G1450,EF!$D$132:$D$147,0))*kgtoGg</f>
        <v>2.433513355075579E-2</v>
      </c>
      <c r="AM1450" s="22">
        <f>INDEX('Net zero Activity data'!BF$24:BF$39,MATCH('Net zero emission reductions'!$G1450,'Net zero Activity data'!$D$24:$D$39,0))*INDEX(EF!$H$84:$H$99,MATCH('Net zero emission reductions'!$G1450,EF!$D$84:$D$99,0))*INDEX(EF!$H$100:$H$115,MATCH('Net zero emission reductions'!$G1450,EF!$D$100:$D$115,0))*INDEX(EF!$H$132:$H$147,MATCH('Net zero emission reductions'!$G1450,EF!$D$132:$D$147,0))*kgtoGg</f>
        <v>2.4741483961064823E-2</v>
      </c>
      <c r="AN1450" s="22">
        <f>INDEX('Net zero Activity data'!BG$24:BG$39,MATCH('Net zero emission reductions'!$G1450,'Net zero Activity data'!$D$24:$D$39,0))*INDEX(EF!$H$84:$H$99,MATCH('Net zero emission reductions'!$G1450,EF!$D$84:$D$99,0))*INDEX(EF!$H$100:$H$115,MATCH('Net zero emission reductions'!$G1450,EF!$D$100:$D$115,0))*INDEX(EF!$H$132:$H$147,MATCH('Net zero emission reductions'!$G1450,EF!$D$132:$D$147,0))*kgtoGg</f>
        <v>2.5147834371373849E-2</v>
      </c>
      <c r="AO1450" s="22">
        <f>INDEX('Net zero Activity data'!BH$24:BH$39,MATCH('Net zero emission reductions'!$G1450,'Net zero Activity data'!$D$24:$D$39,0))*INDEX(EF!$H$84:$H$99,MATCH('Net zero emission reductions'!$G1450,EF!$D$84:$D$99,0))*INDEX(EF!$H$100:$H$115,MATCH('Net zero emission reductions'!$G1450,EF!$D$100:$D$115,0))*INDEX(EF!$H$132:$H$147,MATCH('Net zero emission reductions'!$G1450,EF!$D$132:$D$147,0))*kgtoGg</f>
        <v>2.5554184781682879E-2</v>
      </c>
      <c r="AP1450" s="22">
        <f>INDEX('Net zero Activity data'!BI$24:BI$39,MATCH('Net zero emission reductions'!$G1450,'Net zero Activity data'!$D$24:$D$39,0))*INDEX(EF!$H$84:$H$99,MATCH('Net zero emission reductions'!$G1450,EF!$D$84:$D$99,0))*INDEX(EF!$H$100:$H$115,MATCH('Net zero emission reductions'!$G1450,EF!$D$100:$D$115,0))*INDEX(EF!$H$132:$H$147,MATCH('Net zero emission reductions'!$G1450,EF!$D$132:$D$147,0))*kgtoGg</f>
        <v>2.5960535191991915E-2</v>
      </c>
      <c r="AQ1450" s="22">
        <f>INDEX('Net zero Activity data'!BJ$24:BJ$39,MATCH('Net zero emission reductions'!$G1450,'Net zero Activity data'!$D$24:$D$39,0))*INDEX(EF!$H$84:$H$99,MATCH('Net zero emission reductions'!$G1450,EF!$D$84:$D$99,0))*INDEX(EF!$H$100:$H$115,MATCH('Net zero emission reductions'!$G1450,EF!$D$100:$D$115,0))*INDEX(EF!$H$132:$H$147,MATCH('Net zero emission reductions'!$G1450,EF!$D$132:$D$147,0))*kgtoGg</f>
        <v>2.6366885602300948E-2</v>
      </c>
      <c r="AR1450" s="22">
        <f>INDEX('Net zero Activity data'!BK$24:BK$39,MATCH('Net zero emission reductions'!$G1450,'Net zero Activity data'!$D$24:$D$39,0))*INDEX(EF!$H$84:$H$99,MATCH('Net zero emission reductions'!$G1450,EF!$D$84:$D$99,0))*INDEX(EF!$H$100:$H$115,MATCH('Net zero emission reductions'!$G1450,EF!$D$100:$D$115,0))*INDEX(EF!$H$132:$H$147,MATCH('Net zero emission reductions'!$G1450,EF!$D$132:$D$147,0))*kgtoGg</f>
        <v>2.6773236012609978E-2</v>
      </c>
      <c r="AS1450" s="22">
        <f>INDEX('Net zero Activity data'!BL$24:BL$39,MATCH('Net zero emission reductions'!$G1450,'Net zero Activity data'!$D$24:$D$39,0))*INDEX(EF!$H$84:$H$99,MATCH('Net zero emission reductions'!$G1450,EF!$D$84:$D$99,0))*INDEX(EF!$H$100:$H$115,MATCH('Net zero emission reductions'!$G1450,EF!$D$100:$D$115,0))*INDEX(EF!$H$132:$H$147,MATCH('Net zero emission reductions'!$G1450,EF!$D$132:$D$147,0))*kgtoGg</f>
        <v>2.7179586422919014E-2</v>
      </c>
      <c r="AT1450" s="22">
        <f>INDEX('Net zero Activity data'!BM$24:BM$39,MATCH('Net zero emission reductions'!$G1450,'Net zero Activity data'!$D$24:$D$39,0))*INDEX(EF!$H$84:$H$99,MATCH('Net zero emission reductions'!$G1450,EF!$D$84:$D$99,0))*INDEX(EF!$H$100:$H$115,MATCH('Net zero emission reductions'!$G1450,EF!$D$100:$D$115,0))*INDEX(EF!$H$132:$H$147,MATCH('Net zero emission reductions'!$G1450,EF!$D$132:$D$147,0))*kgtoGg</f>
        <v>2.7585936833228034E-2</v>
      </c>
      <c r="AU1450" s="22">
        <f>INDEX('Net zero Activity data'!BN$24:BN$39,MATCH('Net zero emission reductions'!$G1450,'Net zero Activity data'!$D$24:$D$39,0))*INDEX(EF!$H$84:$H$99,MATCH('Net zero emission reductions'!$G1450,EF!$D$84:$D$99,0))*INDEX(EF!$H$100:$H$115,MATCH('Net zero emission reductions'!$G1450,EF!$D$100:$D$115,0))*INDEX(EF!$H$132:$H$147,MATCH('Net zero emission reductions'!$G1450,EF!$D$132:$D$147,0))*kgtoGg</f>
        <v>2.7992287243537067E-2</v>
      </c>
      <c r="AV1450" s="22">
        <f>INDEX('Net zero Activity data'!BO$24:BO$39,MATCH('Net zero emission reductions'!$G1450,'Net zero Activity data'!$D$24:$D$39,0))*INDEX(EF!$H$84:$H$99,MATCH('Net zero emission reductions'!$G1450,EF!$D$84:$D$99,0))*INDEX(EF!$H$100:$H$115,MATCH('Net zero emission reductions'!$G1450,EF!$D$100:$D$115,0))*INDEX(EF!$H$132:$H$147,MATCH('Net zero emission reductions'!$G1450,EF!$D$132:$D$147,0))*kgtoGg</f>
        <v>2.8398637653846096E-2</v>
      </c>
      <c r="AW1450" s="22">
        <f>INDEX('Net zero Activity data'!BP$24:BP$39,MATCH('Net zero emission reductions'!$G1450,'Net zero Activity data'!$D$24:$D$39,0))*INDEX(EF!$H$84:$H$99,MATCH('Net zero emission reductions'!$G1450,EF!$D$84:$D$99,0))*INDEX(EF!$H$100:$H$115,MATCH('Net zero emission reductions'!$G1450,EF!$D$100:$D$115,0))*INDEX(EF!$H$132:$H$147,MATCH('Net zero emission reductions'!$G1450,EF!$D$132:$D$147,0))*kgtoGg</f>
        <v>2.8804988064155126E-2</v>
      </c>
    </row>
    <row r="1451" spans="1:49" x14ac:dyDescent="0.25">
      <c r="A1451" s="102" t="s">
        <v>961</v>
      </c>
      <c r="B1451" s="102"/>
      <c r="C1451" s="102"/>
      <c r="D1451" t="str">
        <f t="shared" si="560"/>
        <v>3C Aggregated and non-CO2 emissions on land</v>
      </c>
      <c r="E1451" t="str">
        <f t="shared" si="560"/>
        <v>3C1 Biomass burning (N2O)</v>
      </c>
      <c r="F1451" t="str">
        <f t="shared" si="559"/>
        <v>3C1b Biomass burning in Croplands</v>
      </c>
      <c r="G1451" t="str">
        <f>EF!D106</f>
        <v>Perennial orchards</v>
      </c>
      <c r="H1451" t="s">
        <v>647</v>
      </c>
      <c r="I1451" t="str">
        <f t="shared" si="561"/>
        <v>N2O</v>
      </c>
      <c r="J1451" t="str">
        <f t="shared" si="561"/>
        <v>Gg N2O</v>
      </c>
      <c r="K1451" s="22">
        <f>INDEX('Net zero Activity data'!AD$24:AD$39,MATCH('Net zero emission reductions'!$G1451,'Net zero Activity data'!$D$24:$D$39,0))*INDEX(EF!$H$84:$H$99,MATCH('Net zero emission reductions'!$G1451,EF!$D$84:$D$99,0))*INDEX(EF!$H$100:$H$115,MATCH('Net zero emission reductions'!$G1451,EF!$D$100:$D$115,0))*INDEX(EF!$H$132:$H$147,MATCH('Net zero emission reductions'!$G1451,EF!$D$132:$D$147,0))*kgtoGg</f>
        <v>1.5816881190357272E-3</v>
      </c>
      <c r="L1451" s="22">
        <f>INDEX('Net zero Activity data'!AE$24:AE$39,MATCH('Net zero emission reductions'!$G1451,'Net zero Activity data'!$D$24:$D$39,0))*INDEX(EF!$H$84:$H$99,MATCH('Net zero emission reductions'!$G1451,EF!$D$84:$D$99,0))*INDEX(EF!$H$100:$H$115,MATCH('Net zero emission reductions'!$G1451,EF!$D$100:$D$115,0))*INDEX(EF!$H$132:$H$147,MATCH('Net zero emission reductions'!$G1451,EF!$D$132:$D$147,0))*kgtoGg</f>
        <v>1.5951964157097593E-3</v>
      </c>
      <c r="M1451" s="22">
        <f>INDEX('Net zero Activity data'!AF$24:AF$39,MATCH('Net zero emission reductions'!$G1451,'Net zero Activity data'!$D$24:$D$39,0))*INDEX(EF!$H$84:$H$99,MATCH('Net zero emission reductions'!$G1451,EF!$D$84:$D$99,0))*INDEX(EF!$H$100:$H$115,MATCH('Net zero emission reductions'!$G1451,EF!$D$100:$D$115,0))*INDEX(EF!$H$132:$H$147,MATCH('Net zero emission reductions'!$G1451,EF!$D$132:$D$147,0))*kgtoGg</f>
        <v>1.6087047123837911E-3</v>
      </c>
      <c r="N1451" s="22">
        <f>INDEX('Net zero Activity data'!AG$24:AG$39,MATCH('Net zero emission reductions'!$G1451,'Net zero Activity data'!$D$24:$D$39,0))*INDEX(EF!$H$84:$H$99,MATCH('Net zero emission reductions'!$G1451,EF!$D$84:$D$99,0))*INDEX(EF!$H$100:$H$115,MATCH('Net zero emission reductions'!$G1451,EF!$D$100:$D$115,0))*INDEX(EF!$H$132:$H$147,MATCH('Net zero emission reductions'!$G1451,EF!$D$132:$D$147,0))*kgtoGg</f>
        <v>1.6222130090578235E-3</v>
      </c>
      <c r="O1451" s="22">
        <f>INDEX('Net zero Activity data'!AH$24:AH$39,MATCH('Net zero emission reductions'!$G1451,'Net zero Activity data'!$D$24:$D$39,0))*INDEX(EF!$H$84:$H$99,MATCH('Net zero emission reductions'!$G1451,EF!$D$84:$D$99,0))*INDEX(EF!$H$100:$H$115,MATCH('Net zero emission reductions'!$G1451,EF!$D$100:$D$115,0))*INDEX(EF!$H$132:$H$147,MATCH('Net zero emission reductions'!$G1451,EF!$D$132:$D$147,0))*kgtoGg</f>
        <v>1.6357213057318551E-3</v>
      </c>
      <c r="P1451" s="22">
        <f>INDEX('Net zero Activity data'!AI$24:AI$39,MATCH('Net zero emission reductions'!$G1451,'Net zero Activity data'!$D$24:$D$39,0))*INDEX(EF!$H$84:$H$99,MATCH('Net zero emission reductions'!$G1451,EF!$D$84:$D$99,0))*INDEX(EF!$H$100:$H$115,MATCH('Net zero emission reductions'!$G1451,EF!$D$100:$D$115,0))*INDEX(EF!$H$132:$H$147,MATCH('Net zero emission reductions'!$G1451,EF!$D$132:$D$147,0))*kgtoGg</f>
        <v>1.6492296024058872E-3</v>
      </c>
      <c r="Q1451" s="22">
        <f>INDEX('Net zero Activity data'!AJ$24:AJ$39,MATCH('Net zero emission reductions'!$G1451,'Net zero Activity data'!$D$24:$D$39,0))*INDEX(EF!$H$84:$H$99,MATCH('Net zero emission reductions'!$G1451,EF!$D$84:$D$99,0))*INDEX(EF!$H$100:$H$115,MATCH('Net zero emission reductions'!$G1451,EF!$D$100:$D$115,0))*INDEX(EF!$H$132:$H$147,MATCH('Net zero emission reductions'!$G1451,EF!$D$132:$D$147,0))*kgtoGg</f>
        <v>1.6627378990799191E-3</v>
      </c>
      <c r="R1451" s="22">
        <f>INDEX('Net zero Activity data'!AK$24:AK$39,MATCH('Net zero emission reductions'!$G1451,'Net zero Activity data'!$D$24:$D$39,0))*INDEX(EF!$H$84:$H$99,MATCH('Net zero emission reductions'!$G1451,EF!$D$84:$D$99,0))*INDEX(EF!$H$100:$H$115,MATCH('Net zero emission reductions'!$G1451,EF!$D$100:$D$115,0))*INDEX(EF!$H$132:$H$147,MATCH('Net zero emission reductions'!$G1451,EF!$D$132:$D$147,0))*kgtoGg</f>
        <v>1.6762461957539514E-3</v>
      </c>
      <c r="S1451" s="22">
        <f>INDEX('Net zero Activity data'!AL$24:AL$39,MATCH('Net zero emission reductions'!$G1451,'Net zero Activity data'!$D$24:$D$39,0))*INDEX(EF!$H$84:$H$99,MATCH('Net zero emission reductions'!$G1451,EF!$D$84:$D$99,0))*INDEX(EF!$H$100:$H$115,MATCH('Net zero emission reductions'!$G1451,EF!$D$100:$D$115,0))*INDEX(EF!$H$132:$H$147,MATCH('Net zero emission reductions'!$G1451,EF!$D$132:$D$147,0))*kgtoGg</f>
        <v>1.6897544924279831E-3</v>
      </c>
      <c r="T1451" s="22">
        <f>INDEX('Net zero Activity data'!AM$24:AM$39,MATCH('Net zero emission reductions'!$G1451,'Net zero Activity data'!$D$24:$D$39,0))*INDEX(EF!$H$84:$H$99,MATCH('Net zero emission reductions'!$G1451,EF!$D$84:$D$99,0))*INDEX(EF!$H$100:$H$115,MATCH('Net zero emission reductions'!$G1451,EF!$D$100:$D$115,0))*INDEX(EF!$H$132:$H$147,MATCH('Net zero emission reductions'!$G1451,EF!$D$132:$D$147,0))*kgtoGg</f>
        <v>1.7032627891020152E-3</v>
      </c>
      <c r="U1451" s="22">
        <f>INDEX('Net zero Activity data'!AN$24:AN$39,MATCH('Net zero emission reductions'!$G1451,'Net zero Activity data'!$D$24:$D$39,0))*INDEX(EF!$H$84:$H$99,MATCH('Net zero emission reductions'!$G1451,EF!$D$84:$D$99,0))*INDEX(EF!$H$100:$H$115,MATCH('Net zero emission reductions'!$G1451,EF!$D$100:$D$115,0))*INDEX(EF!$H$132:$H$147,MATCH('Net zero emission reductions'!$G1451,EF!$D$132:$D$147,0))*kgtoGg</f>
        <v>1.716771085776047E-3</v>
      </c>
      <c r="V1451" s="22">
        <f>INDEX('Net zero Activity data'!AO$24:AO$39,MATCH('Net zero emission reductions'!$G1451,'Net zero Activity data'!$D$24:$D$39,0))*INDEX(EF!$H$84:$H$99,MATCH('Net zero emission reductions'!$G1451,EF!$D$84:$D$99,0))*INDEX(EF!$H$100:$H$115,MATCH('Net zero emission reductions'!$G1451,EF!$D$100:$D$115,0))*INDEX(EF!$H$132:$H$147,MATCH('Net zero emission reductions'!$G1451,EF!$D$132:$D$147,0))*kgtoGg</f>
        <v>1.7302793824500789E-3</v>
      </c>
      <c r="W1451" s="22">
        <f>INDEX('Net zero Activity data'!AP$24:AP$39,MATCH('Net zero emission reductions'!$G1451,'Net zero Activity data'!$D$24:$D$39,0))*INDEX(EF!$H$84:$H$99,MATCH('Net zero emission reductions'!$G1451,EF!$D$84:$D$99,0))*INDEX(EF!$H$100:$H$115,MATCH('Net zero emission reductions'!$G1451,EF!$D$100:$D$115,0))*INDEX(EF!$H$132:$H$147,MATCH('Net zero emission reductions'!$G1451,EF!$D$132:$D$147,0))*kgtoGg</f>
        <v>1.7437876791241112E-3</v>
      </c>
      <c r="X1451" s="22">
        <f>INDEX('Net zero Activity data'!AQ$24:AQ$39,MATCH('Net zero emission reductions'!$G1451,'Net zero Activity data'!$D$24:$D$39,0))*INDEX(EF!$H$84:$H$99,MATCH('Net zero emission reductions'!$G1451,EF!$D$84:$D$99,0))*INDEX(EF!$H$100:$H$115,MATCH('Net zero emission reductions'!$G1451,EF!$D$100:$D$115,0))*INDEX(EF!$H$132:$H$147,MATCH('Net zero emission reductions'!$G1451,EF!$D$132:$D$147,0))*kgtoGg</f>
        <v>1.7572959757981431E-3</v>
      </c>
      <c r="Y1451" s="22">
        <f>INDEX('Net zero Activity data'!AR$24:AR$39,MATCH('Net zero emission reductions'!$G1451,'Net zero Activity data'!$D$24:$D$39,0))*INDEX(EF!$H$84:$H$99,MATCH('Net zero emission reductions'!$G1451,EF!$D$84:$D$99,0))*INDEX(EF!$H$100:$H$115,MATCH('Net zero emission reductions'!$G1451,EF!$D$100:$D$115,0))*INDEX(EF!$H$132:$H$147,MATCH('Net zero emission reductions'!$G1451,EF!$D$132:$D$147,0))*kgtoGg</f>
        <v>1.7708042724721754E-3</v>
      </c>
      <c r="Z1451" s="22">
        <f>INDEX('Net zero Activity data'!AS$24:AS$39,MATCH('Net zero emission reductions'!$G1451,'Net zero Activity data'!$D$24:$D$39,0))*INDEX(EF!$H$84:$H$99,MATCH('Net zero emission reductions'!$G1451,EF!$D$84:$D$99,0))*INDEX(EF!$H$100:$H$115,MATCH('Net zero emission reductions'!$G1451,EF!$D$100:$D$115,0))*INDEX(EF!$H$132:$H$147,MATCH('Net zero emission reductions'!$G1451,EF!$D$132:$D$147,0))*kgtoGg</f>
        <v>1.7843125691462071E-3</v>
      </c>
      <c r="AA1451" s="22">
        <f>INDEX('Net zero Activity data'!AT$24:AT$39,MATCH('Net zero emission reductions'!$G1451,'Net zero Activity data'!$D$24:$D$39,0))*INDEX(EF!$H$84:$H$99,MATCH('Net zero emission reductions'!$G1451,EF!$D$84:$D$99,0))*INDEX(EF!$H$100:$H$115,MATCH('Net zero emission reductions'!$G1451,EF!$D$100:$D$115,0))*INDEX(EF!$H$132:$H$147,MATCH('Net zero emission reductions'!$G1451,EF!$D$132:$D$147,0))*kgtoGg</f>
        <v>1.7978208658202392E-3</v>
      </c>
      <c r="AB1451" s="22">
        <f>INDEX('Net zero Activity data'!AU$24:AU$39,MATCH('Net zero emission reductions'!$G1451,'Net zero Activity data'!$D$24:$D$39,0))*INDEX(EF!$H$84:$H$99,MATCH('Net zero emission reductions'!$G1451,EF!$D$84:$D$99,0))*INDEX(EF!$H$100:$H$115,MATCH('Net zero emission reductions'!$G1451,EF!$D$100:$D$115,0))*INDEX(EF!$H$132:$H$147,MATCH('Net zero emission reductions'!$G1451,EF!$D$132:$D$147,0))*kgtoGg</f>
        <v>1.8113291624942711E-3</v>
      </c>
      <c r="AC1451" s="22">
        <f>INDEX('Net zero Activity data'!AV$24:AV$39,MATCH('Net zero emission reductions'!$G1451,'Net zero Activity data'!$D$24:$D$39,0))*INDEX(EF!$H$84:$H$99,MATCH('Net zero emission reductions'!$G1451,EF!$D$84:$D$99,0))*INDEX(EF!$H$100:$H$115,MATCH('Net zero emission reductions'!$G1451,EF!$D$100:$D$115,0))*INDEX(EF!$H$132:$H$147,MATCH('Net zero emission reductions'!$G1451,EF!$D$132:$D$147,0))*kgtoGg</f>
        <v>1.8248374591683034E-3</v>
      </c>
      <c r="AD1451" s="22">
        <f>INDEX('Net zero Activity data'!AW$24:AW$39,MATCH('Net zero emission reductions'!$G1451,'Net zero Activity data'!$D$24:$D$39,0))*INDEX(EF!$H$84:$H$99,MATCH('Net zero emission reductions'!$G1451,EF!$D$84:$D$99,0))*INDEX(EF!$H$100:$H$115,MATCH('Net zero emission reductions'!$G1451,EF!$D$100:$D$115,0))*INDEX(EF!$H$132:$H$147,MATCH('Net zero emission reductions'!$G1451,EF!$D$132:$D$147,0))*kgtoGg</f>
        <v>1.838345755842335E-3</v>
      </c>
      <c r="AE1451" s="22">
        <f>INDEX('Net zero Activity data'!AX$24:AX$39,MATCH('Net zero emission reductions'!$G1451,'Net zero Activity data'!$D$24:$D$39,0))*INDEX(EF!$H$84:$H$99,MATCH('Net zero emission reductions'!$G1451,EF!$D$84:$D$99,0))*INDEX(EF!$H$100:$H$115,MATCH('Net zero emission reductions'!$G1451,EF!$D$100:$D$115,0))*INDEX(EF!$H$132:$H$147,MATCH('Net zero emission reductions'!$G1451,EF!$D$132:$D$147,0))*kgtoGg</f>
        <v>1.8518540525163671E-3</v>
      </c>
      <c r="AF1451" s="22">
        <f>INDEX('Net zero Activity data'!AY$24:AY$39,MATCH('Net zero emission reductions'!$G1451,'Net zero Activity data'!$D$24:$D$39,0))*INDEX(EF!$H$84:$H$99,MATCH('Net zero emission reductions'!$G1451,EF!$D$84:$D$99,0))*INDEX(EF!$H$100:$H$115,MATCH('Net zero emission reductions'!$G1451,EF!$D$100:$D$115,0))*INDEX(EF!$H$132:$H$147,MATCH('Net zero emission reductions'!$G1451,EF!$D$132:$D$147,0))*kgtoGg</f>
        <v>1.865362349190399E-3</v>
      </c>
      <c r="AG1451" s="22">
        <f>INDEX('Net zero Activity data'!AZ$24:AZ$39,MATCH('Net zero emission reductions'!$G1451,'Net zero Activity data'!$D$24:$D$39,0))*INDEX(EF!$H$84:$H$99,MATCH('Net zero emission reductions'!$G1451,EF!$D$84:$D$99,0))*INDEX(EF!$H$100:$H$115,MATCH('Net zero emission reductions'!$G1451,EF!$D$100:$D$115,0))*INDEX(EF!$H$132:$H$147,MATCH('Net zero emission reductions'!$G1451,EF!$D$132:$D$147,0))*kgtoGg</f>
        <v>1.8788706458644309E-3</v>
      </c>
      <c r="AH1451" s="22">
        <f>INDEX('Net zero Activity data'!BA$24:BA$39,MATCH('Net zero emission reductions'!$G1451,'Net zero Activity data'!$D$24:$D$39,0))*INDEX(EF!$H$84:$H$99,MATCH('Net zero emission reductions'!$G1451,EF!$D$84:$D$99,0))*INDEX(EF!$H$100:$H$115,MATCH('Net zero emission reductions'!$G1451,EF!$D$100:$D$115,0))*INDEX(EF!$H$132:$H$147,MATCH('Net zero emission reductions'!$G1451,EF!$D$132:$D$147,0))*kgtoGg</f>
        <v>1.892378942538463E-3</v>
      </c>
      <c r="AI1451" s="22">
        <f>INDEX('Net zero Activity data'!BB$24:BB$39,MATCH('Net zero emission reductions'!$G1451,'Net zero Activity data'!$D$24:$D$39,0))*INDEX(EF!$H$84:$H$99,MATCH('Net zero emission reductions'!$G1451,EF!$D$84:$D$99,0))*INDEX(EF!$H$100:$H$115,MATCH('Net zero emission reductions'!$G1451,EF!$D$100:$D$115,0))*INDEX(EF!$H$132:$H$147,MATCH('Net zero emission reductions'!$G1451,EF!$D$132:$D$147,0))*kgtoGg</f>
        <v>1.9058872392124951E-3</v>
      </c>
      <c r="AJ1451" s="22">
        <f>INDEX('Net zero Activity data'!BC$24:BC$39,MATCH('Net zero emission reductions'!$G1451,'Net zero Activity data'!$D$24:$D$39,0))*INDEX(EF!$H$84:$H$99,MATCH('Net zero emission reductions'!$G1451,EF!$D$84:$D$99,0))*INDEX(EF!$H$100:$H$115,MATCH('Net zero emission reductions'!$G1451,EF!$D$100:$D$115,0))*INDEX(EF!$H$132:$H$147,MATCH('Net zero emission reductions'!$G1451,EF!$D$132:$D$147,0))*kgtoGg</f>
        <v>1.9193955358865269E-3</v>
      </c>
      <c r="AK1451" s="22">
        <f>INDEX('Net zero Activity data'!BD$24:BD$39,MATCH('Net zero emission reductions'!$G1451,'Net zero Activity data'!$D$24:$D$39,0))*INDEX(EF!$H$84:$H$99,MATCH('Net zero emission reductions'!$G1451,EF!$D$84:$D$99,0))*INDEX(EF!$H$100:$H$115,MATCH('Net zero emission reductions'!$G1451,EF!$D$100:$D$115,0))*INDEX(EF!$H$132:$H$147,MATCH('Net zero emission reductions'!$G1451,EF!$D$132:$D$147,0))*kgtoGg</f>
        <v>1.932903832560559E-3</v>
      </c>
      <c r="AL1451" s="22">
        <f>INDEX('Net zero Activity data'!BE$24:BE$39,MATCH('Net zero emission reductions'!$G1451,'Net zero Activity data'!$D$24:$D$39,0))*INDEX(EF!$H$84:$H$99,MATCH('Net zero emission reductions'!$G1451,EF!$D$84:$D$99,0))*INDEX(EF!$H$100:$H$115,MATCH('Net zero emission reductions'!$G1451,EF!$D$100:$D$115,0))*INDEX(EF!$H$132:$H$147,MATCH('Net zero emission reductions'!$G1451,EF!$D$132:$D$147,0))*kgtoGg</f>
        <v>1.9464121292345907E-3</v>
      </c>
      <c r="AM1451" s="22">
        <f>INDEX('Net zero Activity data'!BF$24:BF$39,MATCH('Net zero emission reductions'!$G1451,'Net zero Activity data'!$D$24:$D$39,0))*INDEX(EF!$H$84:$H$99,MATCH('Net zero emission reductions'!$G1451,EF!$D$84:$D$99,0))*INDEX(EF!$H$100:$H$115,MATCH('Net zero emission reductions'!$G1451,EF!$D$100:$D$115,0))*INDEX(EF!$H$132:$H$147,MATCH('Net zero emission reductions'!$G1451,EF!$D$132:$D$147,0))*kgtoGg</f>
        <v>1.959920425908623E-3</v>
      </c>
      <c r="AN1451" s="22">
        <f>INDEX('Net zero Activity data'!BG$24:BG$39,MATCH('Net zero emission reductions'!$G1451,'Net zero Activity data'!$D$24:$D$39,0))*INDEX(EF!$H$84:$H$99,MATCH('Net zero emission reductions'!$G1451,EF!$D$84:$D$99,0))*INDEX(EF!$H$100:$H$115,MATCH('Net zero emission reductions'!$G1451,EF!$D$100:$D$115,0))*INDEX(EF!$H$132:$H$147,MATCH('Net zero emission reductions'!$G1451,EF!$D$132:$D$147,0))*kgtoGg</f>
        <v>1.9734287225826549E-3</v>
      </c>
      <c r="AO1451" s="22">
        <f>INDEX('Net zero Activity data'!BH$24:BH$39,MATCH('Net zero emission reductions'!$G1451,'Net zero Activity data'!$D$24:$D$39,0))*INDEX(EF!$H$84:$H$99,MATCH('Net zero emission reductions'!$G1451,EF!$D$84:$D$99,0))*INDEX(EF!$H$100:$H$115,MATCH('Net zero emission reductions'!$G1451,EF!$D$100:$D$115,0))*INDEX(EF!$H$132:$H$147,MATCH('Net zero emission reductions'!$G1451,EF!$D$132:$D$147,0))*kgtoGg</f>
        <v>1.9869370192566872E-3</v>
      </c>
      <c r="AP1451" s="22">
        <f>INDEX('Net zero Activity data'!BI$24:BI$39,MATCH('Net zero emission reductions'!$G1451,'Net zero Activity data'!$D$24:$D$39,0))*INDEX(EF!$H$84:$H$99,MATCH('Net zero emission reductions'!$G1451,EF!$D$84:$D$99,0))*INDEX(EF!$H$100:$H$115,MATCH('Net zero emission reductions'!$G1451,EF!$D$100:$D$115,0))*INDEX(EF!$H$132:$H$147,MATCH('Net zero emission reductions'!$G1451,EF!$D$132:$D$147,0))*kgtoGg</f>
        <v>2.0004453159307187E-3</v>
      </c>
      <c r="AQ1451" s="22">
        <f>INDEX('Net zero Activity data'!BJ$24:BJ$39,MATCH('Net zero emission reductions'!$G1451,'Net zero Activity data'!$D$24:$D$39,0))*INDEX(EF!$H$84:$H$99,MATCH('Net zero emission reductions'!$G1451,EF!$D$84:$D$99,0))*INDEX(EF!$H$100:$H$115,MATCH('Net zero emission reductions'!$G1451,EF!$D$100:$D$115,0))*INDEX(EF!$H$132:$H$147,MATCH('Net zero emission reductions'!$G1451,EF!$D$132:$D$147,0))*kgtoGg</f>
        <v>2.013953612604751E-3</v>
      </c>
      <c r="AR1451" s="22">
        <f>INDEX('Net zero Activity data'!BK$24:BK$39,MATCH('Net zero emission reductions'!$G1451,'Net zero Activity data'!$D$24:$D$39,0))*INDEX(EF!$H$84:$H$99,MATCH('Net zero emission reductions'!$G1451,EF!$D$84:$D$99,0))*INDEX(EF!$H$100:$H$115,MATCH('Net zero emission reductions'!$G1451,EF!$D$100:$D$115,0))*INDEX(EF!$H$132:$H$147,MATCH('Net zero emission reductions'!$G1451,EF!$D$132:$D$147,0))*kgtoGg</f>
        <v>2.0274619092787828E-3</v>
      </c>
      <c r="AS1451" s="22">
        <f>INDEX('Net zero Activity data'!BL$24:BL$39,MATCH('Net zero emission reductions'!$G1451,'Net zero Activity data'!$D$24:$D$39,0))*INDEX(EF!$H$84:$H$99,MATCH('Net zero emission reductions'!$G1451,EF!$D$84:$D$99,0))*INDEX(EF!$H$100:$H$115,MATCH('Net zero emission reductions'!$G1451,EF!$D$100:$D$115,0))*INDEX(EF!$H$132:$H$147,MATCH('Net zero emission reductions'!$G1451,EF!$D$132:$D$147,0))*kgtoGg</f>
        <v>2.0409702059528147E-3</v>
      </c>
      <c r="AT1451" s="22">
        <f>INDEX('Net zero Activity data'!BM$24:BM$39,MATCH('Net zero emission reductions'!$G1451,'Net zero Activity data'!$D$24:$D$39,0))*INDEX(EF!$H$84:$H$99,MATCH('Net zero emission reductions'!$G1451,EF!$D$84:$D$99,0))*INDEX(EF!$H$100:$H$115,MATCH('Net zero emission reductions'!$G1451,EF!$D$100:$D$115,0))*INDEX(EF!$H$132:$H$147,MATCH('Net zero emission reductions'!$G1451,EF!$D$132:$D$147,0))*kgtoGg</f>
        <v>2.0544785026268466E-3</v>
      </c>
      <c r="AU1451" s="22">
        <f>INDEX('Net zero Activity data'!BN$24:BN$39,MATCH('Net zero emission reductions'!$G1451,'Net zero Activity data'!$D$24:$D$39,0))*INDEX(EF!$H$84:$H$99,MATCH('Net zero emission reductions'!$G1451,EF!$D$84:$D$99,0))*INDEX(EF!$H$100:$H$115,MATCH('Net zero emission reductions'!$G1451,EF!$D$100:$D$115,0))*INDEX(EF!$H$132:$H$147,MATCH('Net zero emission reductions'!$G1451,EF!$D$132:$D$147,0))*kgtoGg</f>
        <v>2.0679867993008789E-3</v>
      </c>
      <c r="AV1451" s="22">
        <f>INDEX('Net zero Activity data'!BO$24:BO$39,MATCH('Net zero emission reductions'!$G1451,'Net zero Activity data'!$D$24:$D$39,0))*INDEX(EF!$H$84:$H$99,MATCH('Net zero emission reductions'!$G1451,EF!$D$84:$D$99,0))*INDEX(EF!$H$100:$H$115,MATCH('Net zero emission reductions'!$G1451,EF!$D$100:$D$115,0))*INDEX(EF!$H$132:$H$147,MATCH('Net zero emission reductions'!$G1451,EF!$D$132:$D$147,0))*kgtoGg</f>
        <v>2.0814950959749112E-3</v>
      </c>
      <c r="AW1451" s="22">
        <f>INDEX('Net zero Activity data'!BP$24:BP$39,MATCH('Net zero emission reductions'!$G1451,'Net zero Activity data'!$D$24:$D$39,0))*INDEX(EF!$H$84:$H$99,MATCH('Net zero emission reductions'!$G1451,EF!$D$84:$D$99,0))*INDEX(EF!$H$100:$H$115,MATCH('Net zero emission reductions'!$G1451,EF!$D$100:$D$115,0))*INDEX(EF!$H$132:$H$147,MATCH('Net zero emission reductions'!$G1451,EF!$D$132:$D$147,0))*kgtoGg</f>
        <v>2.0950033926489427E-3</v>
      </c>
    </row>
    <row r="1452" spans="1:49" x14ac:dyDescent="0.25">
      <c r="A1452" s="102" t="s">
        <v>961</v>
      </c>
      <c r="B1452" s="102"/>
      <c r="C1452" s="102"/>
      <c r="D1452" t="str">
        <f t="shared" si="560"/>
        <v>3C Aggregated and non-CO2 emissions on land</v>
      </c>
      <c r="E1452" t="str">
        <f t="shared" si="560"/>
        <v>3C1 Biomass burning (N2O)</v>
      </c>
      <c r="F1452" t="str">
        <f t="shared" si="559"/>
        <v>3C1b Biomass burning in Croplands</v>
      </c>
      <c r="G1452" t="str">
        <f>EF!D107</f>
        <v>Perennial vineyards</v>
      </c>
      <c r="H1452" t="s">
        <v>648</v>
      </c>
      <c r="I1452" t="str">
        <f t="shared" si="561"/>
        <v>N2O</v>
      </c>
      <c r="J1452" t="str">
        <f t="shared" si="561"/>
        <v>Gg N2O</v>
      </c>
      <c r="K1452" s="22">
        <f>INDEX('Net zero Activity data'!AD$24:AD$39,MATCH('Net zero emission reductions'!$G1452,'Net zero Activity data'!$D$24:$D$39,0))*INDEX(EF!$H$84:$H$99,MATCH('Net zero emission reductions'!$G1452,EF!$D$84:$D$99,0))*INDEX(EF!$H$100:$H$115,MATCH('Net zero emission reductions'!$G1452,EF!$D$100:$D$115,0))*INDEX(EF!$H$132:$H$147,MATCH('Net zero emission reductions'!$G1452,EF!$D$132:$D$147,0))*kgtoGg</f>
        <v>4.3710094215939618E-4</v>
      </c>
      <c r="L1452" s="22">
        <f>INDEX('Net zero Activity data'!AE$24:AE$39,MATCH('Net zero emission reductions'!$G1452,'Net zero Activity data'!$D$24:$D$39,0))*INDEX(EF!$H$84:$H$99,MATCH('Net zero emission reductions'!$G1452,EF!$D$84:$D$99,0))*INDEX(EF!$H$100:$H$115,MATCH('Net zero emission reductions'!$G1452,EF!$D$100:$D$115,0))*INDEX(EF!$H$132:$H$147,MATCH('Net zero emission reductions'!$G1452,EF!$D$132:$D$147,0))*kgtoGg</f>
        <v>4.3997905246480524E-4</v>
      </c>
      <c r="M1452" s="22">
        <f>INDEX('Net zero Activity data'!AF$24:AF$39,MATCH('Net zero emission reductions'!$G1452,'Net zero Activity data'!$D$24:$D$39,0))*INDEX(EF!$H$84:$H$99,MATCH('Net zero emission reductions'!$G1452,EF!$D$84:$D$99,0))*INDEX(EF!$H$100:$H$115,MATCH('Net zero emission reductions'!$G1452,EF!$D$100:$D$115,0))*INDEX(EF!$H$132:$H$147,MATCH('Net zero emission reductions'!$G1452,EF!$D$132:$D$147,0))*kgtoGg</f>
        <v>4.4285716277021425E-4</v>
      </c>
      <c r="N1452" s="22">
        <f>INDEX('Net zero Activity data'!AG$24:AG$39,MATCH('Net zero emission reductions'!$G1452,'Net zero Activity data'!$D$24:$D$39,0))*INDEX(EF!$H$84:$H$99,MATCH('Net zero emission reductions'!$G1452,EF!$D$84:$D$99,0))*INDEX(EF!$H$100:$H$115,MATCH('Net zero emission reductions'!$G1452,EF!$D$100:$D$115,0))*INDEX(EF!$H$132:$H$147,MATCH('Net zero emission reductions'!$G1452,EF!$D$132:$D$147,0))*kgtoGg</f>
        <v>4.4573527307562326E-4</v>
      </c>
      <c r="O1452" s="22">
        <f>INDEX('Net zero Activity data'!AH$24:AH$39,MATCH('Net zero emission reductions'!$G1452,'Net zero Activity data'!$D$24:$D$39,0))*INDEX(EF!$H$84:$H$99,MATCH('Net zero emission reductions'!$G1452,EF!$D$84:$D$99,0))*INDEX(EF!$H$100:$H$115,MATCH('Net zero emission reductions'!$G1452,EF!$D$100:$D$115,0))*INDEX(EF!$H$132:$H$147,MATCH('Net zero emission reductions'!$G1452,EF!$D$132:$D$147,0))*kgtoGg</f>
        <v>4.4861338338103221E-4</v>
      </c>
      <c r="P1452" s="22">
        <f>INDEX('Net zero Activity data'!AI$24:AI$39,MATCH('Net zero emission reductions'!$G1452,'Net zero Activity data'!$D$24:$D$39,0))*INDEX(EF!$H$84:$H$99,MATCH('Net zero emission reductions'!$G1452,EF!$D$84:$D$99,0))*INDEX(EF!$H$100:$H$115,MATCH('Net zero emission reductions'!$G1452,EF!$D$100:$D$115,0))*INDEX(EF!$H$132:$H$147,MATCH('Net zero emission reductions'!$G1452,EF!$D$132:$D$147,0))*kgtoGg</f>
        <v>4.5149149368644122E-4</v>
      </c>
      <c r="Q1452" s="22">
        <f>INDEX('Net zero Activity data'!AJ$24:AJ$39,MATCH('Net zero emission reductions'!$G1452,'Net zero Activity data'!$D$24:$D$39,0))*INDEX(EF!$H$84:$H$99,MATCH('Net zero emission reductions'!$G1452,EF!$D$84:$D$99,0))*INDEX(EF!$H$100:$H$115,MATCH('Net zero emission reductions'!$G1452,EF!$D$100:$D$115,0))*INDEX(EF!$H$132:$H$147,MATCH('Net zero emission reductions'!$G1452,EF!$D$132:$D$147,0))*kgtoGg</f>
        <v>4.5436960399185023E-4</v>
      </c>
      <c r="R1452" s="22">
        <f>INDEX('Net zero Activity data'!AK$24:AK$39,MATCH('Net zero emission reductions'!$G1452,'Net zero Activity data'!$D$24:$D$39,0))*INDEX(EF!$H$84:$H$99,MATCH('Net zero emission reductions'!$G1452,EF!$D$84:$D$99,0))*INDEX(EF!$H$100:$H$115,MATCH('Net zero emission reductions'!$G1452,EF!$D$100:$D$115,0))*INDEX(EF!$H$132:$H$147,MATCH('Net zero emission reductions'!$G1452,EF!$D$132:$D$147,0))*kgtoGg</f>
        <v>4.5724771429725918E-4</v>
      </c>
      <c r="S1452" s="22">
        <f>INDEX('Net zero Activity data'!AL$24:AL$39,MATCH('Net zero emission reductions'!$G1452,'Net zero Activity data'!$D$24:$D$39,0))*INDEX(EF!$H$84:$H$99,MATCH('Net zero emission reductions'!$G1452,EF!$D$84:$D$99,0))*INDEX(EF!$H$100:$H$115,MATCH('Net zero emission reductions'!$G1452,EF!$D$100:$D$115,0))*INDEX(EF!$H$132:$H$147,MATCH('Net zero emission reductions'!$G1452,EF!$D$132:$D$147,0))*kgtoGg</f>
        <v>4.601258246026683E-4</v>
      </c>
      <c r="T1452" s="22">
        <f>INDEX('Net zero Activity data'!AM$24:AM$39,MATCH('Net zero emission reductions'!$G1452,'Net zero Activity data'!$D$24:$D$39,0))*INDEX(EF!$H$84:$H$99,MATCH('Net zero emission reductions'!$G1452,EF!$D$84:$D$99,0))*INDEX(EF!$H$100:$H$115,MATCH('Net zero emission reductions'!$G1452,EF!$D$100:$D$115,0))*INDEX(EF!$H$132:$H$147,MATCH('Net zero emission reductions'!$G1452,EF!$D$132:$D$147,0))*kgtoGg</f>
        <v>4.630039349080773E-4</v>
      </c>
      <c r="U1452" s="22">
        <f>INDEX('Net zero Activity data'!AN$24:AN$39,MATCH('Net zero emission reductions'!$G1452,'Net zero Activity data'!$D$24:$D$39,0))*INDEX(EF!$H$84:$H$99,MATCH('Net zero emission reductions'!$G1452,EF!$D$84:$D$99,0))*INDEX(EF!$H$100:$H$115,MATCH('Net zero emission reductions'!$G1452,EF!$D$100:$D$115,0))*INDEX(EF!$H$132:$H$147,MATCH('Net zero emission reductions'!$G1452,EF!$D$132:$D$147,0))*kgtoGg</f>
        <v>4.6588204521348631E-4</v>
      </c>
      <c r="V1452" s="22">
        <f>INDEX('Net zero Activity data'!AO$24:AO$39,MATCH('Net zero emission reductions'!$G1452,'Net zero Activity data'!$D$24:$D$39,0))*INDEX(EF!$H$84:$H$99,MATCH('Net zero emission reductions'!$G1452,EF!$D$84:$D$99,0))*INDEX(EF!$H$100:$H$115,MATCH('Net zero emission reductions'!$G1452,EF!$D$100:$D$115,0))*INDEX(EF!$H$132:$H$147,MATCH('Net zero emission reductions'!$G1452,EF!$D$132:$D$147,0))*kgtoGg</f>
        <v>4.6876015551889532E-4</v>
      </c>
      <c r="W1452" s="22">
        <f>INDEX('Net zero Activity data'!AP$24:AP$39,MATCH('Net zero emission reductions'!$G1452,'Net zero Activity data'!$D$24:$D$39,0))*INDEX(EF!$H$84:$H$99,MATCH('Net zero emission reductions'!$G1452,EF!$D$84:$D$99,0))*INDEX(EF!$H$100:$H$115,MATCH('Net zero emission reductions'!$G1452,EF!$D$100:$D$115,0))*INDEX(EF!$H$132:$H$147,MATCH('Net zero emission reductions'!$G1452,EF!$D$132:$D$147,0))*kgtoGg</f>
        <v>4.7163826582430438E-4</v>
      </c>
      <c r="X1452" s="22">
        <f>INDEX('Net zero Activity data'!AQ$24:AQ$39,MATCH('Net zero emission reductions'!$G1452,'Net zero Activity data'!$D$24:$D$39,0))*INDEX(EF!$H$84:$H$99,MATCH('Net zero emission reductions'!$G1452,EF!$D$84:$D$99,0))*INDEX(EF!$H$100:$H$115,MATCH('Net zero emission reductions'!$G1452,EF!$D$100:$D$115,0))*INDEX(EF!$H$132:$H$147,MATCH('Net zero emission reductions'!$G1452,EF!$D$132:$D$147,0))*kgtoGg</f>
        <v>4.7451637612971339E-4</v>
      </c>
      <c r="Y1452" s="22">
        <f>INDEX('Net zero Activity data'!AR$24:AR$39,MATCH('Net zero emission reductions'!$G1452,'Net zero Activity data'!$D$24:$D$39,0))*INDEX(EF!$H$84:$H$99,MATCH('Net zero emission reductions'!$G1452,EF!$D$84:$D$99,0))*INDEX(EF!$H$100:$H$115,MATCH('Net zero emission reductions'!$G1452,EF!$D$100:$D$115,0))*INDEX(EF!$H$132:$H$147,MATCH('Net zero emission reductions'!$G1452,EF!$D$132:$D$147,0))*kgtoGg</f>
        <v>4.773944864351224E-4</v>
      </c>
      <c r="Z1452" s="22">
        <f>INDEX('Net zero Activity data'!AS$24:AS$39,MATCH('Net zero emission reductions'!$G1452,'Net zero Activity data'!$D$24:$D$39,0))*INDEX(EF!$H$84:$H$99,MATCH('Net zero emission reductions'!$G1452,EF!$D$84:$D$99,0))*INDEX(EF!$H$100:$H$115,MATCH('Net zero emission reductions'!$G1452,EF!$D$100:$D$115,0))*INDEX(EF!$H$132:$H$147,MATCH('Net zero emission reductions'!$G1452,EF!$D$132:$D$147,0))*kgtoGg</f>
        <v>4.8027259674053135E-4</v>
      </c>
      <c r="AA1452" s="22">
        <f>INDEX('Net zero Activity data'!AT$24:AT$39,MATCH('Net zero emission reductions'!$G1452,'Net zero Activity data'!$D$24:$D$39,0))*INDEX(EF!$H$84:$H$99,MATCH('Net zero emission reductions'!$G1452,EF!$D$84:$D$99,0))*INDEX(EF!$H$100:$H$115,MATCH('Net zero emission reductions'!$G1452,EF!$D$100:$D$115,0))*INDEX(EF!$H$132:$H$147,MATCH('Net zero emission reductions'!$G1452,EF!$D$132:$D$147,0))*kgtoGg</f>
        <v>4.8315070704594041E-4</v>
      </c>
      <c r="AB1452" s="22">
        <f>INDEX('Net zero Activity data'!AU$24:AU$39,MATCH('Net zero emission reductions'!$G1452,'Net zero Activity data'!$D$24:$D$39,0))*INDEX(EF!$H$84:$H$99,MATCH('Net zero emission reductions'!$G1452,EF!$D$84:$D$99,0))*INDEX(EF!$H$100:$H$115,MATCH('Net zero emission reductions'!$G1452,EF!$D$100:$D$115,0))*INDEX(EF!$H$132:$H$147,MATCH('Net zero emission reductions'!$G1452,EF!$D$132:$D$147,0))*kgtoGg</f>
        <v>4.8602881735134937E-4</v>
      </c>
      <c r="AC1452" s="22">
        <f>INDEX('Net zero Activity data'!AV$24:AV$39,MATCH('Net zero emission reductions'!$G1452,'Net zero Activity data'!$D$24:$D$39,0))*INDEX(EF!$H$84:$H$99,MATCH('Net zero emission reductions'!$G1452,EF!$D$84:$D$99,0))*INDEX(EF!$H$100:$H$115,MATCH('Net zero emission reductions'!$G1452,EF!$D$100:$D$115,0))*INDEX(EF!$H$132:$H$147,MATCH('Net zero emission reductions'!$G1452,EF!$D$132:$D$147,0))*kgtoGg</f>
        <v>4.8890692765675837E-4</v>
      </c>
      <c r="AD1452" s="22">
        <f>INDEX('Net zero Activity data'!AW$24:AW$39,MATCH('Net zero emission reductions'!$G1452,'Net zero Activity data'!$D$24:$D$39,0))*INDEX(EF!$H$84:$H$99,MATCH('Net zero emission reductions'!$G1452,EF!$D$84:$D$99,0))*INDEX(EF!$H$100:$H$115,MATCH('Net zero emission reductions'!$G1452,EF!$D$100:$D$115,0))*INDEX(EF!$H$132:$H$147,MATCH('Net zero emission reductions'!$G1452,EF!$D$132:$D$147,0))*kgtoGg</f>
        <v>4.9178503796216749E-4</v>
      </c>
      <c r="AE1452" s="22">
        <f>INDEX('Net zero Activity data'!AX$24:AX$39,MATCH('Net zero emission reductions'!$G1452,'Net zero Activity data'!$D$24:$D$39,0))*INDEX(EF!$H$84:$H$99,MATCH('Net zero emission reductions'!$G1452,EF!$D$84:$D$99,0))*INDEX(EF!$H$100:$H$115,MATCH('Net zero emission reductions'!$G1452,EF!$D$100:$D$115,0))*INDEX(EF!$H$132:$H$147,MATCH('Net zero emission reductions'!$G1452,EF!$D$132:$D$147,0))*kgtoGg</f>
        <v>4.946631482675765E-4</v>
      </c>
      <c r="AF1452" s="22">
        <f>INDEX('Net zero Activity data'!AY$24:AY$39,MATCH('Net zero emission reductions'!$G1452,'Net zero Activity data'!$D$24:$D$39,0))*INDEX(EF!$H$84:$H$99,MATCH('Net zero emission reductions'!$G1452,EF!$D$84:$D$99,0))*INDEX(EF!$H$100:$H$115,MATCH('Net zero emission reductions'!$G1452,EF!$D$100:$D$115,0))*INDEX(EF!$H$132:$H$147,MATCH('Net zero emission reductions'!$G1452,EF!$D$132:$D$147,0))*kgtoGg</f>
        <v>4.975412585729855E-4</v>
      </c>
      <c r="AG1452" s="22">
        <f>INDEX('Net zero Activity data'!AZ$24:AZ$39,MATCH('Net zero emission reductions'!$G1452,'Net zero Activity data'!$D$24:$D$39,0))*INDEX(EF!$H$84:$H$99,MATCH('Net zero emission reductions'!$G1452,EF!$D$84:$D$99,0))*INDEX(EF!$H$100:$H$115,MATCH('Net zero emission reductions'!$G1452,EF!$D$100:$D$115,0))*INDEX(EF!$H$132:$H$147,MATCH('Net zero emission reductions'!$G1452,EF!$D$132:$D$147,0))*kgtoGg</f>
        <v>5.0041936887839451E-4</v>
      </c>
      <c r="AH1452" s="22">
        <f>INDEX('Net zero Activity data'!BA$24:BA$39,MATCH('Net zero emission reductions'!$G1452,'Net zero Activity data'!$D$24:$D$39,0))*INDEX(EF!$H$84:$H$99,MATCH('Net zero emission reductions'!$G1452,EF!$D$84:$D$99,0))*INDEX(EF!$H$100:$H$115,MATCH('Net zero emission reductions'!$G1452,EF!$D$100:$D$115,0))*INDEX(EF!$H$132:$H$147,MATCH('Net zero emission reductions'!$G1452,EF!$D$132:$D$147,0))*kgtoGg</f>
        <v>5.0329747918380363E-4</v>
      </c>
      <c r="AI1452" s="22">
        <f>INDEX('Net zero Activity data'!BB$24:BB$39,MATCH('Net zero emission reductions'!$G1452,'Net zero Activity data'!$D$24:$D$39,0))*INDEX(EF!$H$84:$H$99,MATCH('Net zero emission reductions'!$G1452,EF!$D$84:$D$99,0))*INDEX(EF!$H$100:$H$115,MATCH('Net zero emission reductions'!$G1452,EF!$D$100:$D$115,0))*INDEX(EF!$H$132:$H$147,MATCH('Net zero emission reductions'!$G1452,EF!$D$132:$D$147,0))*kgtoGg</f>
        <v>5.0617558948921264E-4</v>
      </c>
      <c r="AJ1452" s="22">
        <f>INDEX('Net zero Activity data'!BC$24:BC$39,MATCH('Net zero emission reductions'!$G1452,'Net zero Activity data'!$D$24:$D$39,0))*INDEX(EF!$H$84:$H$99,MATCH('Net zero emission reductions'!$G1452,EF!$D$84:$D$99,0))*INDEX(EF!$H$100:$H$115,MATCH('Net zero emission reductions'!$G1452,EF!$D$100:$D$115,0))*INDEX(EF!$H$132:$H$147,MATCH('Net zero emission reductions'!$G1452,EF!$D$132:$D$147,0))*kgtoGg</f>
        <v>5.0905369979462175E-4</v>
      </c>
      <c r="AK1452" s="22">
        <f>INDEX('Net zero Activity data'!BD$24:BD$39,MATCH('Net zero emission reductions'!$G1452,'Net zero Activity data'!$D$24:$D$39,0))*INDEX(EF!$H$84:$H$99,MATCH('Net zero emission reductions'!$G1452,EF!$D$84:$D$99,0))*INDEX(EF!$H$100:$H$115,MATCH('Net zero emission reductions'!$G1452,EF!$D$100:$D$115,0))*INDEX(EF!$H$132:$H$147,MATCH('Net zero emission reductions'!$G1452,EF!$D$132:$D$147,0))*kgtoGg</f>
        <v>5.1193181010003065E-4</v>
      </c>
      <c r="AL1452" s="22">
        <f>INDEX('Net zero Activity data'!BE$24:BE$39,MATCH('Net zero emission reductions'!$G1452,'Net zero Activity data'!$D$24:$D$39,0))*INDEX(EF!$H$84:$H$99,MATCH('Net zero emission reductions'!$G1452,EF!$D$84:$D$99,0))*INDEX(EF!$H$100:$H$115,MATCH('Net zero emission reductions'!$G1452,EF!$D$100:$D$115,0))*INDEX(EF!$H$132:$H$147,MATCH('Net zero emission reductions'!$G1452,EF!$D$132:$D$147,0))*kgtoGg</f>
        <v>5.1480992040543966E-4</v>
      </c>
      <c r="AM1452" s="22">
        <f>INDEX('Net zero Activity data'!BF$24:BF$39,MATCH('Net zero emission reductions'!$G1452,'Net zero Activity data'!$D$24:$D$39,0))*INDEX(EF!$H$84:$H$99,MATCH('Net zero emission reductions'!$G1452,EF!$D$84:$D$99,0))*INDEX(EF!$H$100:$H$115,MATCH('Net zero emission reductions'!$G1452,EF!$D$100:$D$115,0))*INDEX(EF!$H$132:$H$147,MATCH('Net zero emission reductions'!$G1452,EF!$D$132:$D$147,0))*kgtoGg</f>
        <v>5.1768803071084878E-4</v>
      </c>
      <c r="AN1452" s="22">
        <f>INDEX('Net zero Activity data'!BG$24:BG$39,MATCH('Net zero emission reductions'!$G1452,'Net zero Activity data'!$D$24:$D$39,0))*INDEX(EF!$H$84:$H$99,MATCH('Net zero emission reductions'!$G1452,EF!$D$84:$D$99,0))*INDEX(EF!$H$100:$H$115,MATCH('Net zero emission reductions'!$G1452,EF!$D$100:$D$115,0))*INDEX(EF!$H$132:$H$147,MATCH('Net zero emission reductions'!$G1452,EF!$D$132:$D$147,0))*kgtoGg</f>
        <v>5.2056614101625778E-4</v>
      </c>
      <c r="AO1452" s="22">
        <f>INDEX('Net zero Activity data'!BH$24:BH$39,MATCH('Net zero emission reductions'!$G1452,'Net zero Activity data'!$D$24:$D$39,0))*INDEX(EF!$H$84:$H$99,MATCH('Net zero emission reductions'!$G1452,EF!$D$84:$D$99,0))*INDEX(EF!$H$100:$H$115,MATCH('Net zero emission reductions'!$G1452,EF!$D$100:$D$115,0))*INDEX(EF!$H$132:$H$147,MATCH('Net zero emission reductions'!$G1452,EF!$D$132:$D$147,0))*kgtoGg</f>
        <v>5.2344425132166679E-4</v>
      </c>
      <c r="AP1452" s="22">
        <f>INDEX('Net zero Activity data'!BI$24:BI$39,MATCH('Net zero emission reductions'!$G1452,'Net zero Activity data'!$D$24:$D$39,0))*INDEX(EF!$H$84:$H$99,MATCH('Net zero emission reductions'!$G1452,EF!$D$84:$D$99,0))*INDEX(EF!$H$100:$H$115,MATCH('Net zero emission reductions'!$G1452,EF!$D$100:$D$115,0))*INDEX(EF!$H$132:$H$147,MATCH('Net zero emission reductions'!$G1452,EF!$D$132:$D$147,0))*kgtoGg</f>
        <v>5.263223616270758E-4</v>
      </c>
      <c r="AQ1452" s="22">
        <f>INDEX('Net zero Activity data'!BJ$24:BJ$39,MATCH('Net zero emission reductions'!$G1452,'Net zero Activity data'!$D$24:$D$39,0))*INDEX(EF!$H$84:$H$99,MATCH('Net zero emission reductions'!$G1452,EF!$D$84:$D$99,0))*INDEX(EF!$H$100:$H$115,MATCH('Net zero emission reductions'!$G1452,EF!$D$100:$D$115,0))*INDEX(EF!$H$132:$H$147,MATCH('Net zero emission reductions'!$G1452,EF!$D$132:$D$147,0))*kgtoGg</f>
        <v>5.2920047193248491E-4</v>
      </c>
      <c r="AR1452" s="22">
        <f>INDEX('Net zero Activity data'!BK$24:BK$39,MATCH('Net zero emission reductions'!$G1452,'Net zero Activity data'!$D$24:$D$39,0))*INDEX(EF!$H$84:$H$99,MATCH('Net zero emission reductions'!$G1452,EF!$D$84:$D$99,0))*INDEX(EF!$H$100:$H$115,MATCH('Net zero emission reductions'!$G1452,EF!$D$100:$D$115,0))*INDEX(EF!$H$132:$H$147,MATCH('Net zero emission reductions'!$G1452,EF!$D$132:$D$147,0))*kgtoGg</f>
        <v>5.3207858223789392E-4</v>
      </c>
      <c r="AS1452" s="22">
        <f>INDEX('Net zero Activity data'!BL$24:BL$39,MATCH('Net zero emission reductions'!$G1452,'Net zero Activity data'!$D$24:$D$39,0))*INDEX(EF!$H$84:$H$99,MATCH('Net zero emission reductions'!$G1452,EF!$D$84:$D$99,0))*INDEX(EF!$H$100:$H$115,MATCH('Net zero emission reductions'!$G1452,EF!$D$100:$D$115,0))*INDEX(EF!$H$132:$H$147,MATCH('Net zero emission reductions'!$G1452,EF!$D$132:$D$147,0))*kgtoGg</f>
        <v>5.3495669254330282E-4</v>
      </c>
      <c r="AT1452" s="22">
        <f>INDEX('Net zero Activity data'!BM$24:BM$39,MATCH('Net zero emission reductions'!$G1452,'Net zero Activity data'!$D$24:$D$39,0))*INDEX(EF!$H$84:$H$99,MATCH('Net zero emission reductions'!$G1452,EF!$D$84:$D$99,0))*INDEX(EF!$H$100:$H$115,MATCH('Net zero emission reductions'!$G1452,EF!$D$100:$D$115,0))*INDEX(EF!$H$132:$H$147,MATCH('Net zero emission reductions'!$G1452,EF!$D$132:$D$147,0))*kgtoGg</f>
        <v>5.3783480284871194E-4</v>
      </c>
      <c r="AU1452" s="22">
        <f>INDEX('Net zero Activity data'!BN$24:BN$39,MATCH('Net zero emission reductions'!$G1452,'Net zero Activity data'!$D$24:$D$39,0))*INDEX(EF!$H$84:$H$99,MATCH('Net zero emission reductions'!$G1452,EF!$D$84:$D$99,0))*INDEX(EF!$H$100:$H$115,MATCH('Net zero emission reductions'!$G1452,EF!$D$100:$D$115,0))*INDEX(EF!$H$132:$H$147,MATCH('Net zero emission reductions'!$G1452,EF!$D$132:$D$147,0))*kgtoGg</f>
        <v>5.4071291315412095E-4</v>
      </c>
      <c r="AV1452" s="22">
        <f>INDEX('Net zero Activity data'!BO$24:BO$39,MATCH('Net zero emission reductions'!$G1452,'Net zero Activity data'!$D$24:$D$39,0))*INDEX(EF!$H$84:$H$99,MATCH('Net zero emission reductions'!$G1452,EF!$D$84:$D$99,0))*INDEX(EF!$H$100:$H$115,MATCH('Net zero emission reductions'!$G1452,EF!$D$100:$D$115,0))*INDEX(EF!$H$132:$H$147,MATCH('Net zero emission reductions'!$G1452,EF!$D$132:$D$147,0))*kgtoGg</f>
        <v>5.4359102345952984E-4</v>
      </c>
      <c r="AW1452" s="22">
        <f>INDEX('Net zero Activity data'!BP$24:BP$39,MATCH('Net zero emission reductions'!$G1452,'Net zero Activity data'!$D$24:$D$39,0))*INDEX(EF!$H$84:$H$99,MATCH('Net zero emission reductions'!$G1452,EF!$D$84:$D$99,0))*INDEX(EF!$H$100:$H$115,MATCH('Net zero emission reductions'!$G1452,EF!$D$100:$D$115,0))*INDEX(EF!$H$132:$H$147,MATCH('Net zero emission reductions'!$G1452,EF!$D$132:$D$147,0))*kgtoGg</f>
        <v>5.4646913376493885E-4</v>
      </c>
    </row>
    <row r="1453" spans="1:49" x14ac:dyDescent="0.25">
      <c r="A1453" s="102" t="s">
        <v>961</v>
      </c>
      <c r="B1453" s="102"/>
      <c r="C1453" s="102"/>
      <c r="D1453" t="str">
        <f t="shared" si="560"/>
        <v>3C Aggregated and non-CO2 emissions on land</v>
      </c>
      <c r="E1453" t="str">
        <f t="shared" si="560"/>
        <v>3C1 Biomass burning (N2O)</v>
      </c>
      <c r="F1453" t="str">
        <f t="shared" si="559"/>
        <v>3C1b Biomass burning in Croplands</v>
      </c>
      <c r="G1453" t="str">
        <f>EF!D108</f>
        <v>Cropland subsistence</v>
      </c>
      <c r="H1453" t="s">
        <v>649</v>
      </c>
      <c r="I1453" t="str">
        <f t="shared" si="561"/>
        <v>N2O</v>
      </c>
      <c r="J1453" t="str">
        <f t="shared" si="561"/>
        <v>Gg N2O</v>
      </c>
      <c r="K1453" s="22">
        <f>INDEX('Net zero Activity data'!AD$24:AD$39,MATCH('Net zero emission reductions'!$G1453,'Net zero Activity data'!$D$24:$D$39,0))*INDEX(EF!$H$84:$H$99,MATCH('Net zero emission reductions'!$G1453,EF!$D$84:$D$99,0))*INDEX(EF!$H$100:$H$115,MATCH('Net zero emission reductions'!$G1453,EF!$D$100:$D$115,0))*INDEX(EF!$H$132:$H$147,MATCH('Net zero emission reductions'!$G1453,EF!$D$132:$D$147,0))*kgtoGg</f>
        <v>5.46089838424927E-2</v>
      </c>
      <c r="L1453" s="22">
        <f>INDEX('Net zero Activity data'!AE$24:AE$39,MATCH('Net zero emission reductions'!$G1453,'Net zero Activity data'!$D$24:$D$39,0))*INDEX(EF!$H$84:$H$99,MATCH('Net zero emission reductions'!$G1453,EF!$D$84:$D$99,0))*INDEX(EF!$H$100:$H$115,MATCH('Net zero emission reductions'!$G1453,EF!$D$100:$D$115,0))*INDEX(EF!$H$132:$H$147,MATCH('Net zero emission reductions'!$G1453,EF!$D$132:$D$147,0))*kgtoGg</f>
        <v>5.4617136288329267E-2</v>
      </c>
      <c r="M1453" s="22">
        <f>INDEX('Net zero Activity data'!AF$24:AF$39,MATCH('Net zero emission reductions'!$G1453,'Net zero Activity data'!$D$24:$D$39,0))*INDEX(EF!$H$84:$H$99,MATCH('Net zero emission reductions'!$G1453,EF!$D$84:$D$99,0))*INDEX(EF!$H$100:$H$115,MATCH('Net zero emission reductions'!$G1453,EF!$D$100:$D$115,0))*INDEX(EF!$H$132:$H$147,MATCH('Net zero emission reductions'!$G1453,EF!$D$132:$D$147,0))*kgtoGg</f>
        <v>5.462528873416584E-2</v>
      </c>
      <c r="N1453" s="22">
        <f>INDEX('Net zero Activity data'!AG$24:AG$39,MATCH('Net zero emission reductions'!$G1453,'Net zero Activity data'!$D$24:$D$39,0))*INDEX(EF!$H$84:$H$99,MATCH('Net zero emission reductions'!$G1453,EF!$D$84:$D$99,0))*INDEX(EF!$H$100:$H$115,MATCH('Net zero emission reductions'!$G1453,EF!$D$100:$D$115,0))*INDEX(EF!$H$132:$H$147,MATCH('Net zero emission reductions'!$G1453,EF!$D$132:$D$147,0))*kgtoGg</f>
        <v>5.4633441180002421E-2</v>
      </c>
      <c r="O1453" s="22">
        <f>INDEX('Net zero Activity data'!AH$24:AH$39,MATCH('Net zero emission reductions'!$G1453,'Net zero Activity data'!$D$24:$D$39,0))*INDEX(EF!$H$84:$H$99,MATCH('Net zero emission reductions'!$G1453,EF!$D$84:$D$99,0))*INDEX(EF!$H$100:$H$115,MATCH('Net zero emission reductions'!$G1453,EF!$D$100:$D$115,0))*INDEX(EF!$H$132:$H$147,MATCH('Net zero emission reductions'!$G1453,EF!$D$132:$D$147,0))*kgtoGg</f>
        <v>5.4641593625839001E-2</v>
      </c>
      <c r="P1453" s="22">
        <f>INDEX('Net zero Activity data'!AI$24:AI$39,MATCH('Net zero emission reductions'!$G1453,'Net zero Activity data'!$D$24:$D$39,0))*INDEX(EF!$H$84:$H$99,MATCH('Net zero emission reductions'!$G1453,EF!$D$84:$D$99,0))*INDEX(EF!$H$100:$H$115,MATCH('Net zero emission reductions'!$G1453,EF!$D$100:$D$115,0))*INDEX(EF!$H$132:$H$147,MATCH('Net zero emission reductions'!$G1453,EF!$D$132:$D$147,0))*kgtoGg</f>
        <v>5.4649746071675574E-2</v>
      </c>
      <c r="Q1453" s="22">
        <f>INDEX('Net zero Activity data'!AJ$24:AJ$39,MATCH('Net zero emission reductions'!$G1453,'Net zero Activity data'!$D$24:$D$39,0))*INDEX(EF!$H$84:$H$99,MATCH('Net zero emission reductions'!$G1453,EF!$D$84:$D$99,0))*INDEX(EF!$H$100:$H$115,MATCH('Net zero emission reductions'!$G1453,EF!$D$100:$D$115,0))*INDEX(EF!$H$132:$H$147,MATCH('Net zero emission reductions'!$G1453,EF!$D$132:$D$147,0))*kgtoGg</f>
        <v>5.4657898517512148E-2</v>
      </c>
      <c r="R1453" s="22">
        <f>INDEX('Net zero Activity data'!AK$24:AK$39,MATCH('Net zero emission reductions'!$G1453,'Net zero Activity data'!$D$24:$D$39,0))*INDEX(EF!$H$84:$H$99,MATCH('Net zero emission reductions'!$G1453,EF!$D$84:$D$99,0))*INDEX(EF!$H$100:$H$115,MATCH('Net zero emission reductions'!$G1453,EF!$D$100:$D$115,0))*INDEX(EF!$H$132:$H$147,MATCH('Net zero emission reductions'!$G1453,EF!$D$132:$D$147,0))*kgtoGg</f>
        <v>5.4666050963348742E-2</v>
      </c>
      <c r="S1453" s="22">
        <f>INDEX('Net zero Activity data'!AL$24:AL$39,MATCH('Net zero emission reductions'!$G1453,'Net zero Activity data'!$D$24:$D$39,0))*INDEX(EF!$H$84:$H$99,MATCH('Net zero emission reductions'!$G1453,EF!$D$84:$D$99,0))*INDEX(EF!$H$100:$H$115,MATCH('Net zero emission reductions'!$G1453,EF!$D$100:$D$115,0))*INDEX(EF!$H$132:$H$147,MATCH('Net zero emission reductions'!$G1453,EF!$D$132:$D$147,0))*kgtoGg</f>
        <v>5.4674203409185315E-2</v>
      </c>
      <c r="T1453" s="22">
        <f>INDEX('Net zero Activity data'!AM$24:AM$39,MATCH('Net zero emission reductions'!$G1453,'Net zero Activity data'!$D$24:$D$39,0))*INDEX(EF!$H$84:$H$99,MATCH('Net zero emission reductions'!$G1453,EF!$D$84:$D$99,0))*INDEX(EF!$H$100:$H$115,MATCH('Net zero emission reductions'!$G1453,EF!$D$100:$D$115,0))*INDEX(EF!$H$132:$H$147,MATCH('Net zero emission reductions'!$G1453,EF!$D$132:$D$147,0))*kgtoGg</f>
        <v>5.4682355855021902E-2</v>
      </c>
      <c r="U1453" s="22">
        <f>INDEX('Net zero Activity data'!AN$24:AN$39,MATCH('Net zero emission reductions'!$G1453,'Net zero Activity data'!$D$24:$D$39,0))*INDEX(EF!$H$84:$H$99,MATCH('Net zero emission reductions'!$G1453,EF!$D$84:$D$99,0))*INDEX(EF!$H$100:$H$115,MATCH('Net zero emission reductions'!$G1453,EF!$D$100:$D$115,0))*INDEX(EF!$H$132:$H$147,MATCH('Net zero emission reductions'!$G1453,EF!$D$132:$D$147,0))*kgtoGg</f>
        <v>5.4690508300858469E-2</v>
      </c>
      <c r="V1453" s="22">
        <f>INDEX('Net zero Activity data'!AO$24:AO$39,MATCH('Net zero emission reductions'!$G1453,'Net zero Activity data'!$D$24:$D$39,0))*INDEX(EF!$H$84:$H$99,MATCH('Net zero emission reductions'!$G1453,EF!$D$84:$D$99,0))*INDEX(EF!$H$100:$H$115,MATCH('Net zero emission reductions'!$G1453,EF!$D$100:$D$115,0))*INDEX(EF!$H$132:$H$147,MATCH('Net zero emission reductions'!$G1453,EF!$D$132:$D$147,0))*kgtoGg</f>
        <v>5.4698660746695049E-2</v>
      </c>
      <c r="W1453" s="22">
        <f>INDEX('Net zero Activity data'!AP$24:AP$39,MATCH('Net zero emission reductions'!$G1453,'Net zero Activity data'!$D$24:$D$39,0))*INDEX(EF!$H$84:$H$99,MATCH('Net zero emission reductions'!$G1453,EF!$D$84:$D$99,0))*INDEX(EF!$H$100:$H$115,MATCH('Net zero emission reductions'!$G1453,EF!$D$100:$D$115,0))*INDEX(EF!$H$132:$H$147,MATCH('Net zero emission reductions'!$G1453,EF!$D$132:$D$147,0))*kgtoGg</f>
        <v>5.4706813192531623E-2</v>
      </c>
      <c r="X1453" s="22">
        <f>INDEX('Net zero Activity data'!AQ$24:AQ$39,MATCH('Net zero emission reductions'!$G1453,'Net zero Activity data'!$D$24:$D$39,0))*INDEX(EF!$H$84:$H$99,MATCH('Net zero emission reductions'!$G1453,EF!$D$84:$D$99,0))*INDEX(EF!$H$100:$H$115,MATCH('Net zero emission reductions'!$G1453,EF!$D$100:$D$115,0))*INDEX(EF!$H$132:$H$147,MATCH('Net zero emission reductions'!$G1453,EF!$D$132:$D$147,0))*kgtoGg</f>
        <v>5.4714965638368196E-2</v>
      </c>
      <c r="Y1453" s="22">
        <f>INDEX('Net zero Activity data'!AR$24:AR$39,MATCH('Net zero emission reductions'!$G1453,'Net zero Activity data'!$D$24:$D$39,0))*INDEX(EF!$H$84:$H$99,MATCH('Net zero emission reductions'!$G1453,EF!$D$84:$D$99,0))*INDEX(EF!$H$100:$H$115,MATCH('Net zero emission reductions'!$G1453,EF!$D$100:$D$115,0))*INDEX(EF!$H$132:$H$147,MATCH('Net zero emission reductions'!$G1453,EF!$D$132:$D$147,0))*kgtoGg</f>
        <v>5.472311808420479E-2</v>
      </c>
      <c r="Z1453" s="22">
        <f>INDEX('Net zero Activity data'!AS$24:AS$39,MATCH('Net zero emission reductions'!$G1453,'Net zero Activity data'!$D$24:$D$39,0))*INDEX(EF!$H$84:$H$99,MATCH('Net zero emission reductions'!$G1453,EF!$D$84:$D$99,0))*INDEX(EF!$H$100:$H$115,MATCH('Net zero emission reductions'!$G1453,EF!$D$100:$D$115,0))*INDEX(EF!$H$132:$H$147,MATCH('Net zero emission reductions'!$G1453,EF!$D$132:$D$147,0))*kgtoGg</f>
        <v>5.4731270530041363E-2</v>
      </c>
      <c r="AA1453" s="22">
        <f>INDEX('Net zero Activity data'!AT$24:AT$39,MATCH('Net zero emission reductions'!$G1453,'Net zero Activity data'!$D$24:$D$39,0))*INDEX(EF!$H$84:$H$99,MATCH('Net zero emission reductions'!$G1453,EF!$D$84:$D$99,0))*INDEX(EF!$H$100:$H$115,MATCH('Net zero emission reductions'!$G1453,EF!$D$100:$D$115,0))*INDEX(EF!$H$132:$H$147,MATCH('Net zero emission reductions'!$G1453,EF!$D$132:$D$147,0))*kgtoGg</f>
        <v>5.4739422975877944E-2</v>
      </c>
      <c r="AB1453" s="22">
        <f>INDEX('Net zero Activity data'!AU$24:AU$39,MATCH('Net zero emission reductions'!$G1453,'Net zero Activity data'!$D$24:$D$39,0))*INDEX(EF!$H$84:$H$99,MATCH('Net zero emission reductions'!$G1453,EF!$D$84:$D$99,0))*INDEX(EF!$H$100:$H$115,MATCH('Net zero emission reductions'!$G1453,EF!$D$100:$D$115,0))*INDEX(EF!$H$132:$H$147,MATCH('Net zero emission reductions'!$G1453,EF!$D$132:$D$147,0))*kgtoGg</f>
        <v>5.4747575421714524E-2</v>
      </c>
      <c r="AC1453" s="22">
        <f>INDEX('Net zero Activity data'!AV$24:AV$39,MATCH('Net zero emission reductions'!$G1453,'Net zero Activity data'!$D$24:$D$39,0))*INDEX(EF!$H$84:$H$99,MATCH('Net zero emission reductions'!$G1453,EF!$D$84:$D$99,0))*INDEX(EF!$H$100:$H$115,MATCH('Net zero emission reductions'!$G1453,EF!$D$100:$D$115,0))*INDEX(EF!$H$132:$H$147,MATCH('Net zero emission reductions'!$G1453,EF!$D$132:$D$147,0))*kgtoGg</f>
        <v>5.4755727867551097E-2</v>
      </c>
      <c r="AD1453" s="22">
        <f>INDEX('Net zero Activity data'!AW$24:AW$39,MATCH('Net zero emission reductions'!$G1453,'Net zero Activity data'!$D$24:$D$39,0))*INDEX(EF!$H$84:$H$99,MATCH('Net zero emission reductions'!$G1453,EF!$D$84:$D$99,0))*INDEX(EF!$H$100:$H$115,MATCH('Net zero emission reductions'!$G1453,EF!$D$100:$D$115,0))*INDEX(EF!$H$132:$H$147,MATCH('Net zero emission reductions'!$G1453,EF!$D$132:$D$147,0))*kgtoGg</f>
        <v>5.4763880313387671E-2</v>
      </c>
      <c r="AE1453" s="22">
        <f>INDEX('Net zero Activity data'!AX$24:AX$39,MATCH('Net zero emission reductions'!$G1453,'Net zero Activity data'!$D$24:$D$39,0))*INDEX(EF!$H$84:$H$99,MATCH('Net zero emission reductions'!$G1453,EF!$D$84:$D$99,0))*INDEX(EF!$H$100:$H$115,MATCH('Net zero emission reductions'!$G1453,EF!$D$100:$D$115,0))*INDEX(EF!$H$132:$H$147,MATCH('Net zero emission reductions'!$G1453,EF!$D$132:$D$147,0))*kgtoGg</f>
        <v>5.4772032759224265E-2</v>
      </c>
      <c r="AF1453" s="22">
        <f>INDEX('Net zero Activity data'!AY$24:AY$39,MATCH('Net zero emission reductions'!$G1453,'Net zero Activity data'!$D$24:$D$39,0))*INDEX(EF!$H$84:$H$99,MATCH('Net zero emission reductions'!$G1453,EF!$D$84:$D$99,0))*INDEX(EF!$H$100:$H$115,MATCH('Net zero emission reductions'!$G1453,EF!$D$100:$D$115,0))*INDEX(EF!$H$132:$H$147,MATCH('Net zero emission reductions'!$G1453,EF!$D$132:$D$147,0))*kgtoGg</f>
        <v>5.4780185205060838E-2</v>
      </c>
      <c r="AG1453" s="22">
        <f>INDEX('Net zero Activity data'!AZ$24:AZ$39,MATCH('Net zero emission reductions'!$G1453,'Net zero Activity data'!$D$24:$D$39,0))*INDEX(EF!$H$84:$H$99,MATCH('Net zero emission reductions'!$G1453,EF!$D$84:$D$99,0))*INDEX(EF!$H$100:$H$115,MATCH('Net zero emission reductions'!$G1453,EF!$D$100:$D$115,0))*INDEX(EF!$H$132:$H$147,MATCH('Net zero emission reductions'!$G1453,EF!$D$132:$D$147,0))*kgtoGg</f>
        <v>5.4788337650897426E-2</v>
      </c>
      <c r="AH1453" s="22">
        <f>INDEX('Net zero Activity data'!BA$24:BA$39,MATCH('Net zero emission reductions'!$G1453,'Net zero Activity data'!$D$24:$D$39,0))*INDEX(EF!$H$84:$H$99,MATCH('Net zero emission reductions'!$G1453,EF!$D$84:$D$99,0))*INDEX(EF!$H$100:$H$115,MATCH('Net zero emission reductions'!$G1453,EF!$D$100:$D$115,0))*INDEX(EF!$H$132:$H$147,MATCH('Net zero emission reductions'!$G1453,EF!$D$132:$D$147,0))*kgtoGg</f>
        <v>5.4796490096733992E-2</v>
      </c>
      <c r="AI1453" s="22">
        <f>INDEX('Net zero Activity data'!BB$24:BB$39,MATCH('Net zero emission reductions'!$G1453,'Net zero Activity data'!$D$24:$D$39,0))*INDEX(EF!$H$84:$H$99,MATCH('Net zero emission reductions'!$G1453,EF!$D$84:$D$99,0))*INDEX(EF!$H$100:$H$115,MATCH('Net zero emission reductions'!$G1453,EF!$D$100:$D$115,0))*INDEX(EF!$H$132:$H$147,MATCH('Net zero emission reductions'!$G1453,EF!$D$132:$D$147,0))*kgtoGg</f>
        <v>5.4804642542570572E-2</v>
      </c>
      <c r="AJ1453" s="22">
        <f>INDEX('Net zero Activity data'!BC$24:BC$39,MATCH('Net zero emission reductions'!$G1453,'Net zero Activity data'!$D$24:$D$39,0))*INDEX(EF!$H$84:$H$99,MATCH('Net zero emission reductions'!$G1453,EF!$D$84:$D$99,0))*INDEX(EF!$H$100:$H$115,MATCH('Net zero emission reductions'!$G1453,EF!$D$100:$D$115,0))*INDEX(EF!$H$132:$H$147,MATCH('Net zero emission reductions'!$G1453,EF!$D$132:$D$147,0))*kgtoGg</f>
        <v>5.4812794988407146E-2</v>
      </c>
      <c r="AK1453" s="22">
        <f>INDEX('Net zero Activity data'!BD$24:BD$39,MATCH('Net zero emission reductions'!$G1453,'Net zero Activity data'!$D$24:$D$39,0))*INDEX(EF!$H$84:$H$99,MATCH('Net zero emission reductions'!$G1453,EF!$D$84:$D$99,0))*INDEX(EF!$H$100:$H$115,MATCH('Net zero emission reductions'!$G1453,EF!$D$100:$D$115,0))*INDEX(EF!$H$132:$H$147,MATCH('Net zero emission reductions'!$G1453,EF!$D$132:$D$147,0))*kgtoGg</f>
        <v>5.4820947434243726E-2</v>
      </c>
      <c r="AL1453" s="22">
        <f>INDEX('Net zero Activity data'!BE$24:BE$39,MATCH('Net zero emission reductions'!$G1453,'Net zero Activity data'!$D$24:$D$39,0))*INDEX(EF!$H$84:$H$99,MATCH('Net zero emission reductions'!$G1453,EF!$D$84:$D$99,0))*INDEX(EF!$H$100:$H$115,MATCH('Net zero emission reductions'!$G1453,EF!$D$100:$D$115,0))*INDEX(EF!$H$132:$H$147,MATCH('Net zero emission reductions'!$G1453,EF!$D$132:$D$147,0))*kgtoGg</f>
        <v>5.4829099880080313E-2</v>
      </c>
      <c r="AM1453" s="22">
        <f>INDEX('Net zero Activity data'!BF$24:BF$39,MATCH('Net zero emission reductions'!$G1453,'Net zero Activity data'!$D$24:$D$39,0))*INDEX(EF!$H$84:$H$99,MATCH('Net zero emission reductions'!$G1453,EF!$D$84:$D$99,0))*INDEX(EF!$H$100:$H$115,MATCH('Net zero emission reductions'!$G1453,EF!$D$100:$D$115,0))*INDEX(EF!$H$132:$H$147,MATCH('Net zero emission reductions'!$G1453,EF!$D$132:$D$147,0))*kgtoGg</f>
        <v>5.4837252325916887E-2</v>
      </c>
      <c r="AN1453" s="22">
        <f>INDEX('Net zero Activity data'!BG$24:BG$39,MATCH('Net zero emission reductions'!$G1453,'Net zero Activity data'!$D$24:$D$39,0))*INDEX(EF!$H$84:$H$99,MATCH('Net zero emission reductions'!$G1453,EF!$D$84:$D$99,0))*INDEX(EF!$H$100:$H$115,MATCH('Net zero emission reductions'!$G1453,EF!$D$100:$D$115,0))*INDEX(EF!$H$132:$H$147,MATCH('Net zero emission reductions'!$G1453,EF!$D$132:$D$147,0))*kgtoGg</f>
        <v>5.4845404771753467E-2</v>
      </c>
      <c r="AO1453" s="22">
        <f>INDEX('Net zero Activity data'!BH$24:BH$39,MATCH('Net zero emission reductions'!$G1453,'Net zero Activity data'!$D$24:$D$39,0))*INDEX(EF!$H$84:$H$99,MATCH('Net zero emission reductions'!$G1453,EF!$D$84:$D$99,0))*INDEX(EF!$H$100:$H$115,MATCH('Net zero emission reductions'!$G1453,EF!$D$100:$D$115,0))*INDEX(EF!$H$132:$H$147,MATCH('Net zero emission reductions'!$G1453,EF!$D$132:$D$147,0))*kgtoGg</f>
        <v>5.4853557217590047E-2</v>
      </c>
      <c r="AP1453" s="22">
        <f>INDEX('Net zero Activity data'!BI$24:BI$39,MATCH('Net zero emission reductions'!$G1453,'Net zero Activity data'!$D$24:$D$39,0))*INDEX(EF!$H$84:$H$99,MATCH('Net zero emission reductions'!$G1453,EF!$D$84:$D$99,0))*INDEX(EF!$H$100:$H$115,MATCH('Net zero emission reductions'!$G1453,EF!$D$100:$D$115,0))*INDEX(EF!$H$132:$H$147,MATCH('Net zero emission reductions'!$G1453,EF!$D$132:$D$147,0))*kgtoGg</f>
        <v>5.4861709663426621E-2</v>
      </c>
      <c r="AQ1453" s="22">
        <f>INDEX('Net zero Activity data'!BJ$24:BJ$39,MATCH('Net zero emission reductions'!$G1453,'Net zero Activity data'!$D$24:$D$39,0))*INDEX(EF!$H$84:$H$99,MATCH('Net zero emission reductions'!$G1453,EF!$D$84:$D$99,0))*INDEX(EF!$H$100:$H$115,MATCH('Net zero emission reductions'!$G1453,EF!$D$100:$D$115,0))*INDEX(EF!$H$132:$H$147,MATCH('Net zero emission reductions'!$G1453,EF!$D$132:$D$147,0))*kgtoGg</f>
        <v>5.4869862109263194E-2</v>
      </c>
      <c r="AR1453" s="22">
        <f>INDEX('Net zero Activity data'!BK$24:BK$39,MATCH('Net zero emission reductions'!$G1453,'Net zero Activity data'!$D$24:$D$39,0))*INDEX(EF!$H$84:$H$99,MATCH('Net zero emission reductions'!$G1453,EF!$D$84:$D$99,0))*INDEX(EF!$H$100:$H$115,MATCH('Net zero emission reductions'!$G1453,EF!$D$100:$D$115,0))*INDEX(EF!$H$132:$H$147,MATCH('Net zero emission reductions'!$G1453,EF!$D$132:$D$147,0))*kgtoGg</f>
        <v>5.4878014555099774E-2</v>
      </c>
      <c r="AS1453" s="22">
        <f>INDEX('Net zero Activity data'!BL$24:BL$39,MATCH('Net zero emission reductions'!$G1453,'Net zero Activity data'!$D$24:$D$39,0))*INDEX(EF!$H$84:$H$99,MATCH('Net zero emission reductions'!$G1453,EF!$D$84:$D$99,0))*INDEX(EF!$H$100:$H$115,MATCH('Net zero emission reductions'!$G1453,EF!$D$100:$D$115,0))*INDEX(EF!$H$132:$H$147,MATCH('Net zero emission reductions'!$G1453,EF!$D$132:$D$147,0))*kgtoGg</f>
        <v>5.4886167000936362E-2</v>
      </c>
      <c r="AT1453" s="22">
        <f>INDEX('Net zero Activity data'!BM$24:BM$39,MATCH('Net zero emission reductions'!$G1453,'Net zero Activity data'!$D$24:$D$39,0))*INDEX(EF!$H$84:$H$99,MATCH('Net zero emission reductions'!$G1453,EF!$D$84:$D$99,0))*INDEX(EF!$H$100:$H$115,MATCH('Net zero emission reductions'!$G1453,EF!$D$100:$D$115,0))*INDEX(EF!$H$132:$H$147,MATCH('Net zero emission reductions'!$G1453,EF!$D$132:$D$147,0))*kgtoGg</f>
        <v>5.4894319446772949E-2</v>
      </c>
      <c r="AU1453" s="22">
        <f>INDEX('Net zero Activity data'!BN$24:BN$39,MATCH('Net zero emission reductions'!$G1453,'Net zero Activity data'!$D$24:$D$39,0))*INDEX(EF!$H$84:$H$99,MATCH('Net zero emission reductions'!$G1453,EF!$D$84:$D$99,0))*INDEX(EF!$H$100:$H$115,MATCH('Net zero emission reductions'!$G1453,EF!$D$100:$D$115,0))*INDEX(EF!$H$132:$H$147,MATCH('Net zero emission reductions'!$G1453,EF!$D$132:$D$147,0))*kgtoGg</f>
        <v>5.4902471892609515E-2</v>
      </c>
      <c r="AV1453" s="22">
        <f>INDEX('Net zero Activity data'!BO$24:BO$39,MATCH('Net zero emission reductions'!$G1453,'Net zero Activity data'!$D$24:$D$39,0))*INDEX(EF!$H$84:$H$99,MATCH('Net zero emission reductions'!$G1453,EF!$D$84:$D$99,0))*INDEX(EF!$H$100:$H$115,MATCH('Net zero emission reductions'!$G1453,EF!$D$100:$D$115,0))*INDEX(EF!$H$132:$H$147,MATCH('Net zero emission reductions'!$G1453,EF!$D$132:$D$147,0))*kgtoGg</f>
        <v>5.4910624338446096E-2</v>
      </c>
      <c r="AW1453" s="22">
        <f>INDEX('Net zero Activity data'!BP$24:BP$39,MATCH('Net zero emission reductions'!$G1453,'Net zero Activity data'!$D$24:$D$39,0))*INDEX(EF!$H$84:$H$99,MATCH('Net zero emission reductions'!$G1453,EF!$D$84:$D$99,0))*INDEX(EF!$H$100:$H$115,MATCH('Net zero emission reductions'!$G1453,EF!$D$100:$D$115,0))*INDEX(EF!$H$132:$H$147,MATCH('Net zero emission reductions'!$G1453,EF!$D$132:$D$147,0))*kgtoGg</f>
        <v>5.4918776784282669E-2</v>
      </c>
    </row>
    <row r="1454" spans="1:49" x14ac:dyDescent="0.25">
      <c r="A1454" s="102" t="s">
        <v>961</v>
      </c>
      <c r="B1454" s="102"/>
      <c r="C1454" s="102"/>
      <c r="D1454" t="str">
        <f t="shared" si="560"/>
        <v>3C Aggregated and non-CO2 emissions on land</v>
      </c>
      <c r="E1454" t="str">
        <f t="shared" si="560"/>
        <v>3C1 Biomass burning (N2O)</v>
      </c>
      <c r="F1454" t="str">
        <f t="shared" si="559"/>
        <v>3C1c Biomass burning in Grasslands</v>
      </c>
      <c r="G1454" t="str">
        <f>EF!D109</f>
        <v>Grasslands</v>
      </c>
      <c r="H1454" t="s">
        <v>650</v>
      </c>
      <c r="I1454" t="str">
        <f t="shared" si="561"/>
        <v>N2O</v>
      </c>
      <c r="J1454" t="str">
        <f t="shared" si="561"/>
        <v>Gg N2O</v>
      </c>
      <c r="K1454" s="22">
        <f>INDEX('Net zero Activity data'!AD$24:AD$39,MATCH('Net zero emission reductions'!$G1454,'Net zero Activity data'!$D$24:$D$39,0))*INDEX(EF!$H$84:$H$99,MATCH('Net zero emission reductions'!$G1454,EF!$D$84:$D$99,0))*INDEX(EF!$H$100:$H$115,MATCH('Net zero emission reductions'!$G1454,EF!$D$100:$D$115,0))*INDEX(EF!$H$132:$H$147,MATCH('Net zero emission reductions'!$G1454,EF!$D$132:$D$147,0))*kgtoGg</f>
        <v>1.7476396139750874</v>
      </c>
      <c r="L1454" s="22">
        <f>INDEX('Net zero Activity data'!AE$24:AE$39,MATCH('Net zero emission reductions'!$G1454,'Net zero Activity data'!$D$24:$D$39,0))*INDEX(EF!$H$84:$H$99,MATCH('Net zero emission reductions'!$G1454,EF!$D$84:$D$99,0))*INDEX(EF!$H$100:$H$115,MATCH('Net zero emission reductions'!$G1454,EF!$D$100:$D$115,0))*INDEX(EF!$H$132:$H$147,MATCH('Net zero emission reductions'!$G1454,EF!$D$132:$D$147,0))*kgtoGg</f>
        <v>1.7588516448488245</v>
      </c>
      <c r="M1454" s="22">
        <f>INDEX('Net zero Activity data'!AF$24:AF$39,MATCH('Net zero emission reductions'!$G1454,'Net zero Activity data'!$D$24:$D$39,0))*INDEX(EF!$H$84:$H$99,MATCH('Net zero emission reductions'!$G1454,EF!$D$84:$D$99,0))*INDEX(EF!$H$100:$H$115,MATCH('Net zero emission reductions'!$G1454,EF!$D$100:$D$115,0))*INDEX(EF!$H$132:$H$147,MATCH('Net zero emission reductions'!$G1454,EF!$D$132:$D$147,0))*kgtoGg</f>
        <v>1.7700636757225612</v>
      </c>
      <c r="N1454" s="22">
        <f>INDEX('Net zero Activity data'!AG$24:AG$39,MATCH('Net zero emission reductions'!$G1454,'Net zero Activity data'!$D$24:$D$39,0))*INDEX(EF!$H$84:$H$99,MATCH('Net zero emission reductions'!$G1454,EF!$D$84:$D$99,0))*INDEX(EF!$H$100:$H$115,MATCH('Net zero emission reductions'!$G1454,EF!$D$100:$D$115,0))*INDEX(EF!$H$132:$H$147,MATCH('Net zero emission reductions'!$G1454,EF!$D$132:$D$147,0))*kgtoGg</f>
        <v>1.7812757065962979</v>
      </c>
      <c r="O1454" s="22">
        <f>INDEX('Net zero Activity data'!AH$24:AH$39,MATCH('Net zero emission reductions'!$G1454,'Net zero Activity data'!$D$24:$D$39,0))*INDEX(EF!$H$84:$H$99,MATCH('Net zero emission reductions'!$G1454,EF!$D$84:$D$99,0))*INDEX(EF!$H$100:$H$115,MATCH('Net zero emission reductions'!$G1454,EF!$D$100:$D$115,0))*INDEX(EF!$H$132:$H$147,MATCH('Net zero emission reductions'!$G1454,EF!$D$132:$D$147,0))*kgtoGg</f>
        <v>1.7924877374700352</v>
      </c>
      <c r="P1454" s="22">
        <f>INDEX('Net zero Activity data'!AI$24:AI$39,MATCH('Net zero emission reductions'!$G1454,'Net zero Activity data'!$D$24:$D$39,0))*INDEX(EF!$H$84:$H$99,MATCH('Net zero emission reductions'!$G1454,EF!$D$84:$D$99,0))*INDEX(EF!$H$100:$H$115,MATCH('Net zero emission reductions'!$G1454,EF!$D$100:$D$115,0))*INDEX(EF!$H$132:$H$147,MATCH('Net zero emission reductions'!$G1454,EF!$D$132:$D$147,0))*kgtoGg</f>
        <v>1.8036997683437717</v>
      </c>
      <c r="Q1454" s="22">
        <f>INDEX('Net zero Activity data'!AJ$24:AJ$39,MATCH('Net zero emission reductions'!$G1454,'Net zero Activity data'!$D$24:$D$39,0))*INDEX(EF!$H$84:$H$99,MATCH('Net zero emission reductions'!$G1454,EF!$D$84:$D$99,0))*INDEX(EF!$H$100:$H$115,MATCH('Net zero emission reductions'!$G1454,EF!$D$100:$D$115,0))*INDEX(EF!$H$132:$H$147,MATCH('Net zero emission reductions'!$G1454,EF!$D$132:$D$147,0))*kgtoGg</f>
        <v>1.8149117992175088</v>
      </c>
      <c r="R1454" s="22">
        <f>INDEX('Net zero Activity data'!AK$24:AK$39,MATCH('Net zero emission reductions'!$G1454,'Net zero Activity data'!$D$24:$D$39,0))*INDEX(EF!$H$84:$H$99,MATCH('Net zero emission reductions'!$G1454,EF!$D$84:$D$99,0))*INDEX(EF!$H$100:$H$115,MATCH('Net zero emission reductions'!$G1454,EF!$D$100:$D$115,0))*INDEX(EF!$H$132:$H$147,MATCH('Net zero emission reductions'!$G1454,EF!$D$132:$D$147,0))*kgtoGg</f>
        <v>1.8337408160133097</v>
      </c>
      <c r="S1454" s="22">
        <f>INDEX('Net zero Activity data'!AL$24:AL$39,MATCH('Net zero emission reductions'!$G1454,'Net zero Activity data'!$D$24:$D$39,0))*INDEX(EF!$H$84:$H$99,MATCH('Net zero emission reductions'!$G1454,EF!$D$84:$D$99,0))*INDEX(EF!$H$100:$H$115,MATCH('Net zero emission reductions'!$G1454,EF!$D$100:$D$115,0))*INDEX(EF!$H$132:$H$147,MATCH('Net zero emission reductions'!$G1454,EF!$D$132:$D$147,0))*kgtoGg</f>
        <v>1.8525698328091103</v>
      </c>
      <c r="T1454" s="22">
        <f>INDEX('Net zero Activity data'!AM$24:AM$39,MATCH('Net zero emission reductions'!$G1454,'Net zero Activity data'!$D$24:$D$39,0))*INDEX(EF!$H$84:$H$99,MATCH('Net zero emission reductions'!$G1454,EF!$D$84:$D$99,0))*INDEX(EF!$H$100:$H$115,MATCH('Net zero emission reductions'!$G1454,EF!$D$100:$D$115,0))*INDEX(EF!$H$132:$H$147,MATCH('Net zero emission reductions'!$G1454,EF!$D$132:$D$147,0))*kgtoGg</f>
        <v>1.8713988496049114</v>
      </c>
      <c r="U1454" s="22">
        <f>INDEX('Net zero Activity data'!AN$24:AN$39,MATCH('Net zero emission reductions'!$G1454,'Net zero Activity data'!$D$24:$D$39,0))*INDEX(EF!$H$84:$H$99,MATCH('Net zero emission reductions'!$G1454,EF!$D$84:$D$99,0))*INDEX(EF!$H$100:$H$115,MATCH('Net zero emission reductions'!$G1454,EF!$D$100:$D$115,0))*INDEX(EF!$H$132:$H$147,MATCH('Net zero emission reductions'!$G1454,EF!$D$132:$D$147,0))*kgtoGg</f>
        <v>1.8902278664007113</v>
      </c>
      <c r="V1454" s="22">
        <f>INDEX('Net zero Activity data'!AO$24:AO$39,MATCH('Net zero emission reductions'!$G1454,'Net zero Activity data'!$D$24:$D$39,0))*INDEX(EF!$H$84:$H$99,MATCH('Net zero emission reductions'!$G1454,EF!$D$84:$D$99,0))*INDEX(EF!$H$100:$H$115,MATCH('Net zero emission reductions'!$G1454,EF!$D$100:$D$115,0))*INDEX(EF!$H$132:$H$147,MATCH('Net zero emission reductions'!$G1454,EF!$D$132:$D$147,0))*kgtoGg</f>
        <v>1.9090568831965125</v>
      </c>
      <c r="W1454" s="22">
        <f>INDEX('Net zero Activity data'!AP$24:AP$39,MATCH('Net zero emission reductions'!$G1454,'Net zero Activity data'!$D$24:$D$39,0))*INDEX(EF!$H$84:$H$99,MATCH('Net zero emission reductions'!$G1454,EF!$D$84:$D$99,0))*INDEX(EF!$H$100:$H$115,MATCH('Net zero emission reductions'!$G1454,EF!$D$100:$D$115,0))*INDEX(EF!$H$132:$H$147,MATCH('Net zero emission reductions'!$G1454,EF!$D$132:$D$147,0))*kgtoGg</f>
        <v>1.9278858999923132</v>
      </c>
      <c r="X1454" s="22">
        <f>INDEX('Net zero Activity data'!AQ$24:AQ$39,MATCH('Net zero emission reductions'!$G1454,'Net zero Activity data'!$D$24:$D$39,0))*INDEX(EF!$H$84:$H$99,MATCH('Net zero emission reductions'!$G1454,EF!$D$84:$D$99,0))*INDEX(EF!$H$100:$H$115,MATCH('Net zero emission reductions'!$G1454,EF!$D$100:$D$115,0))*INDEX(EF!$H$132:$H$147,MATCH('Net zero emission reductions'!$G1454,EF!$D$132:$D$147,0))*kgtoGg</f>
        <v>1.9467149167881139</v>
      </c>
      <c r="Y1454" s="22">
        <f>INDEX('Net zero Activity data'!AR$24:AR$39,MATCH('Net zero emission reductions'!$G1454,'Net zero Activity data'!$D$24:$D$39,0))*INDEX(EF!$H$84:$H$99,MATCH('Net zero emission reductions'!$G1454,EF!$D$84:$D$99,0))*INDEX(EF!$H$100:$H$115,MATCH('Net zero emission reductions'!$G1454,EF!$D$100:$D$115,0))*INDEX(EF!$H$132:$H$147,MATCH('Net zero emission reductions'!$G1454,EF!$D$132:$D$147,0))*kgtoGg</f>
        <v>1.9655439335839147</v>
      </c>
      <c r="Z1454" s="22">
        <f>INDEX('Net zero Activity data'!AS$24:AS$39,MATCH('Net zero emission reductions'!$G1454,'Net zero Activity data'!$D$24:$D$39,0))*INDEX(EF!$H$84:$H$99,MATCH('Net zero emission reductions'!$G1454,EF!$D$84:$D$99,0))*INDEX(EF!$H$100:$H$115,MATCH('Net zero emission reductions'!$G1454,EF!$D$100:$D$115,0))*INDEX(EF!$H$132:$H$147,MATCH('Net zero emission reductions'!$G1454,EF!$D$132:$D$147,0))*kgtoGg</f>
        <v>1.9843729503797152</v>
      </c>
      <c r="AA1454" s="22">
        <f>INDEX('Net zero Activity data'!AT$24:AT$39,MATCH('Net zero emission reductions'!$G1454,'Net zero Activity data'!$D$24:$D$39,0))*INDEX(EF!$H$84:$H$99,MATCH('Net zero emission reductions'!$G1454,EF!$D$84:$D$99,0))*INDEX(EF!$H$100:$H$115,MATCH('Net zero emission reductions'!$G1454,EF!$D$100:$D$115,0))*INDEX(EF!$H$132:$H$147,MATCH('Net zero emission reductions'!$G1454,EF!$D$132:$D$147,0))*kgtoGg</f>
        <v>2.0032019671755164</v>
      </c>
      <c r="AB1454" s="22">
        <f>INDEX('Net zero Activity data'!AU$24:AU$39,MATCH('Net zero emission reductions'!$G1454,'Net zero Activity data'!$D$24:$D$39,0))*INDEX(EF!$H$84:$H$99,MATCH('Net zero emission reductions'!$G1454,EF!$D$84:$D$99,0))*INDEX(EF!$H$100:$H$115,MATCH('Net zero emission reductions'!$G1454,EF!$D$100:$D$115,0))*INDEX(EF!$H$132:$H$147,MATCH('Net zero emission reductions'!$G1454,EF!$D$132:$D$147,0))*kgtoGg</f>
        <v>2.0220309839713169</v>
      </c>
      <c r="AC1454" s="22">
        <f>INDEX('Net zero Activity data'!AV$24:AV$39,MATCH('Net zero emission reductions'!$G1454,'Net zero Activity data'!$D$24:$D$39,0))*INDEX(EF!$H$84:$H$99,MATCH('Net zero emission reductions'!$G1454,EF!$D$84:$D$99,0))*INDEX(EF!$H$100:$H$115,MATCH('Net zero emission reductions'!$G1454,EF!$D$100:$D$115,0))*INDEX(EF!$H$132:$H$147,MATCH('Net zero emission reductions'!$G1454,EF!$D$132:$D$147,0))*kgtoGg</f>
        <v>2.0408600007671174</v>
      </c>
      <c r="AD1454" s="22">
        <f>INDEX('Net zero Activity data'!AW$24:AW$39,MATCH('Net zero emission reductions'!$G1454,'Net zero Activity data'!$D$24:$D$39,0))*INDEX(EF!$H$84:$H$99,MATCH('Net zero emission reductions'!$G1454,EF!$D$84:$D$99,0))*INDEX(EF!$H$100:$H$115,MATCH('Net zero emission reductions'!$G1454,EF!$D$100:$D$115,0))*INDEX(EF!$H$132:$H$147,MATCH('Net zero emission reductions'!$G1454,EF!$D$132:$D$147,0))*kgtoGg</f>
        <v>2.0600101805096163</v>
      </c>
      <c r="AE1454" s="22">
        <f>INDEX('Net zero Activity data'!AX$24:AX$39,MATCH('Net zero emission reductions'!$G1454,'Net zero Activity data'!$D$24:$D$39,0))*INDEX(EF!$H$84:$H$99,MATCH('Net zero emission reductions'!$G1454,EF!$D$84:$D$99,0))*INDEX(EF!$H$100:$H$115,MATCH('Net zero emission reductions'!$G1454,EF!$D$100:$D$115,0))*INDEX(EF!$H$132:$H$147,MATCH('Net zero emission reductions'!$G1454,EF!$D$132:$D$147,0))*kgtoGg</f>
        <v>2.0791603602521147</v>
      </c>
      <c r="AF1454" s="22">
        <f>INDEX('Net zero Activity data'!AY$24:AY$39,MATCH('Net zero emission reductions'!$G1454,'Net zero Activity data'!$D$24:$D$39,0))*INDEX(EF!$H$84:$H$99,MATCH('Net zero emission reductions'!$G1454,EF!$D$84:$D$99,0))*INDEX(EF!$H$100:$H$115,MATCH('Net zero emission reductions'!$G1454,EF!$D$100:$D$115,0))*INDEX(EF!$H$132:$H$147,MATCH('Net zero emission reductions'!$G1454,EF!$D$132:$D$147,0))*kgtoGg</f>
        <v>2.0983105399946136</v>
      </c>
      <c r="AG1454" s="22">
        <f>INDEX('Net zero Activity data'!AZ$24:AZ$39,MATCH('Net zero emission reductions'!$G1454,'Net zero Activity data'!$D$24:$D$39,0))*INDEX(EF!$H$84:$H$99,MATCH('Net zero emission reductions'!$G1454,EF!$D$84:$D$99,0))*INDEX(EF!$H$100:$H$115,MATCH('Net zero emission reductions'!$G1454,EF!$D$100:$D$115,0))*INDEX(EF!$H$132:$H$147,MATCH('Net zero emission reductions'!$G1454,EF!$D$132:$D$147,0))*kgtoGg</f>
        <v>2.1174607197371125</v>
      </c>
      <c r="AH1454" s="22">
        <f>INDEX('Net zero Activity data'!BA$24:BA$39,MATCH('Net zero emission reductions'!$G1454,'Net zero Activity data'!$D$24:$D$39,0))*INDEX(EF!$H$84:$H$99,MATCH('Net zero emission reductions'!$G1454,EF!$D$84:$D$99,0))*INDEX(EF!$H$100:$H$115,MATCH('Net zero emission reductions'!$G1454,EF!$D$100:$D$115,0))*INDEX(EF!$H$132:$H$147,MATCH('Net zero emission reductions'!$G1454,EF!$D$132:$D$147,0))*kgtoGg</f>
        <v>2.1366108994796109</v>
      </c>
      <c r="AI1454" s="22">
        <f>INDEX('Net zero Activity data'!BB$24:BB$39,MATCH('Net zero emission reductions'!$G1454,'Net zero Activity data'!$D$24:$D$39,0))*INDEX(EF!$H$84:$H$99,MATCH('Net zero emission reductions'!$G1454,EF!$D$84:$D$99,0))*INDEX(EF!$H$100:$H$115,MATCH('Net zero emission reductions'!$G1454,EF!$D$100:$D$115,0))*INDEX(EF!$H$132:$H$147,MATCH('Net zero emission reductions'!$G1454,EF!$D$132:$D$147,0))*kgtoGg</f>
        <v>2.1557610792221098</v>
      </c>
      <c r="AJ1454" s="22">
        <f>INDEX('Net zero Activity data'!BC$24:BC$39,MATCH('Net zero emission reductions'!$G1454,'Net zero Activity data'!$D$24:$D$39,0))*INDEX(EF!$H$84:$H$99,MATCH('Net zero emission reductions'!$G1454,EF!$D$84:$D$99,0))*INDEX(EF!$H$100:$H$115,MATCH('Net zero emission reductions'!$G1454,EF!$D$100:$D$115,0))*INDEX(EF!$H$132:$H$147,MATCH('Net zero emission reductions'!$G1454,EF!$D$132:$D$147,0))*kgtoGg</f>
        <v>2.1749112589646082</v>
      </c>
      <c r="AK1454" s="22">
        <f>INDEX('Net zero Activity data'!BD$24:BD$39,MATCH('Net zero emission reductions'!$G1454,'Net zero Activity data'!$D$24:$D$39,0))*INDEX(EF!$H$84:$H$99,MATCH('Net zero emission reductions'!$G1454,EF!$D$84:$D$99,0))*INDEX(EF!$H$100:$H$115,MATCH('Net zero emission reductions'!$G1454,EF!$D$100:$D$115,0))*INDEX(EF!$H$132:$H$147,MATCH('Net zero emission reductions'!$G1454,EF!$D$132:$D$147,0))*kgtoGg</f>
        <v>2.1940614387071071</v>
      </c>
      <c r="AL1454" s="22">
        <f>INDEX('Net zero Activity data'!BE$24:BE$39,MATCH('Net zero emission reductions'!$G1454,'Net zero Activity data'!$D$24:$D$39,0))*INDEX(EF!$H$84:$H$99,MATCH('Net zero emission reductions'!$G1454,EF!$D$84:$D$99,0))*INDEX(EF!$H$100:$H$115,MATCH('Net zero emission reductions'!$G1454,EF!$D$100:$D$115,0))*INDEX(EF!$H$132:$H$147,MATCH('Net zero emission reductions'!$G1454,EF!$D$132:$D$147,0))*kgtoGg</f>
        <v>2.2132116184496056</v>
      </c>
      <c r="AM1454" s="22">
        <f>INDEX('Net zero Activity data'!BF$24:BF$39,MATCH('Net zero emission reductions'!$G1454,'Net zero Activity data'!$D$24:$D$39,0))*INDEX(EF!$H$84:$H$99,MATCH('Net zero emission reductions'!$G1454,EF!$D$84:$D$99,0))*INDEX(EF!$H$100:$H$115,MATCH('Net zero emission reductions'!$G1454,EF!$D$100:$D$115,0))*INDEX(EF!$H$132:$H$147,MATCH('Net zero emission reductions'!$G1454,EF!$D$132:$D$147,0))*kgtoGg</f>
        <v>2.232361798192104</v>
      </c>
      <c r="AN1454" s="22">
        <f>INDEX('Net zero Activity data'!BG$24:BG$39,MATCH('Net zero emission reductions'!$G1454,'Net zero Activity data'!$D$24:$D$39,0))*INDEX(EF!$H$84:$H$99,MATCH('Net zero emission reductions'!$G1454,EF!$D$84:$D$99,0))*INDEX(EF!$H$100:$H$115,MATCH('Net zero emission reductions'!$G1454,EF!$D$100:$D$115,0))*INDEX(EF!$H$132:$H$147,MATCH('Net zero emission reductions'!$G1454,EF!$D$132:$D$147,0))*kgtoGg</f>
        <v>2.2515119779346029</v>
      </c>
      <c r="AO1454" s="22">
        <f>INDEX('Net zero Activity data'!BH$24:BH$39,MATCH('Net zero emission reductions'!$G1454,'Net zero Activity data'!$D$24:$D$39,0))*INDEX(EF!$H$84:$H$99,MATCH('Net zero emission reductions'!$G1454,EF!$D$84:$D$99,0))*INDEX(EF!$H$100:$H$115,MATCH('Net zero emission reductions'!$G1454,EF!$D$100:$D$115,0))*INDEX(EF!$H$132:$H$147,MATCH('Net zero emission reductions'!$G1454,EF!$D$132:$D$147,0))*kgtoGg</f>
        <v>2.2706621576771018</v>
      </c>
      <c r="AP1454" s="22">
        <f>INDEX('Net zero Activity data'!BI$24:BI$39,MATCH('Net zero emission reductions'!$G1454,'Net zero Activity data'!$D$24:$D$39,0))*INDEX(EF!$H$84:$H$99,MATCH('Net zero emission reductions'!$G1454,EF!$D$84:$D$99,0))*INDEX(EF!$H$100:$H$115,MATCH('Net zero emission reductions'!$G1454,EF!$D$100:$D$115,0))*INDEX(EF!$H$132:$H$147,MATCH('Net zero emission reductions'!$G1454,EF!$D$132:$D$147,0))*kgtoGg</f>
        <v>2.2898123374196002</v>
      </c>
      <c r="AQ1454" s="22">
        <f>INDEX('Net zero Activity data'!BJ$24:BJ$39,MATCH('Net zero emission reductions'!$G1454,'Net zero Activity data'!$D$24:$D$39,0))*INDEX(EF!$H$84:$H$99,MATCH('Net zero emission reductions'!$G1454,EF!$D$84:$D$99,0))*INDEX(EF!$H$100:$H$115,MATCH('Net zero emission reductions'!$G1454,EF!$D$100:$D$115,0))*INDEX(EF!$H$132:$H$147,MATCH('Net zero emission reductions'!$G1454,EF!$D$132:$D$147,0))*kgtoGg</f>
        <v>2.3089625171620991</v>
      </c>
      <c r="AR1454" s="22">
        <f>INDEX('Net zero Activity data'!BK$24:BK$39,MATCH('Net zero emission reductions'!$G1454,'Net zero Activity data'!$D$24:$D$39,0))*INDEX(EF!$H$84:$H$99,MATCH('Net zero emission reductions'!$G1454,EF!$D$84:$D$99,0))*INDEX(EF!$H$100:$H$115,MATCH('Net zero emission reductions'!$G1454,EF!$D$100:$D$115,0))*INDEX(EF!$H$132:$H$147,MATCH('Net zero emission reductions'!$G1454,EF!$D$132:$D$147,0))*kgtoGg</f>
        <v>2.328112696904598</v>
      </c>
      <c r="AS1454" s="22">
        <f>INDEX('Net zero Activity data'!BL$24:BL$39,MATCH('Net zero emission reductions'!$G1454,'Net zero Activity data'!$D$24:$D$39,0))*INDEX(EF!$H$84:$H$99,MATCH('Net zero emission reductions'!$G1454,EF!$D$84:$D$99,0))*INDEX(EF!$H$100:$H$115,MATCH('Net zero emission reductions'!$G1454,EF!$D$100:$D$115,0))*INDEX(EF!$H$132:$H$147,MATCH('Net zero emission reductions'!$G1454,EF!$D$132:$D$147,0))*kgtoGg</f>
        <v>2.3472628766470964</v>
      </c>
      <c r="AT1454" s="22">
        <f>INDEX('Net zero Activity data'!BM$24:BM$39,MATCH('Net zero emission reductions'!$G1454,'Net zero Activity data'!$D$24:$D$39,0))*INDEX(EF!$H$84:$H$99,MATCH('Net zero emission reductions'!$G1454,EF!$D$84:$D$99,0))*INDEX(EF!$H$100:$H$115,MATCH('Net zero emission reductions'!$G1454,EF!$D$100:$D$115,0))*INDEX(EF!$H$132:$H$147,MATCH('Net zero emission reductions'!$G1454,EF!$D$132:$D$147,0))*kgtoGg</f>
        <v>2.3664130563895953</v>
      </c>
      <c r="AU1454" s="22">
        <f>INDEX('Net zero Activity data'!BN$24:BN$39,MATCH('Net zero emission reductions'!$G1454,'Net zero Activity data'!$D$24:$D$39,0))*INDEX(EF!$H$84:$H$99,MATCH('Net zero emission reductions'!$G1454,EF!$D$84:$D$99,0))*INDEX(EF!$H$100:$H$115,MATCH('Net zero emission reductions'!$G1454,EF!$D$100:$D$115,0))*INDEX(EF!$H$132:$H$147,MATCH('Net zero emission reductions'!$G1454,EF!$D$132:$D$147,0))*kgtoGg</f>
        <v>2.3855632361320942</v>
      </c>
      <c r="AV1454" s="22">
        <f>INDEX('Net zero Activity data'!BO$24:BO$39,MATCH('Net zero emission reductions'!$G1454,'Net zero Activity data'!$D$24:$D$39,0))*INDEX(EF!$H$84:$H$99,MATCH('Net zero emission reductions'!$G1454,EF!$D$84:$D$99,0))*INDEX(EF!$H$100:$H$115,MATCH('Net zero emission reductions'!$G1454,EF!$D$100:$D$115,0))*INDEX(EF!$H$132:$H$147,MATCH('Net zero emission reductions'!$G1454,EF!$D$132:$D$147,0))*kgtoGg</f>
        <v>2.4047134158745926</v>
      </c>
      <c r="AW1454" s="22">
        <f>INDEX('Net zero Activity data'!BP$24:BP$39,MATCH('Net zero emission reductions'!$G1454,'Net zero Activity data'!$D$24:$D$39,0))*INDEX(EF!$H$84:$H$99,MATCH('Net zero emission reductions'!$G1454,EF!$D$84:$D$99,0))*INDEX(EF!$H$100:$H$115,MATCH('Net zero emission reductions'!$G1454,EF!$D$100:$D$115,0))*INDEX(EF!$H$132:$H$147,MATCH('Net zero emission reductions'!$G1454,EF!$D$132:$D$147,0))*kgtoGg</f>
        <v>2.4238635956170911</v>
      </c>
    </row>
    <row r="1455" spans="1:49" x14ac:dyDescent="0.25">
      <c r="A1455" s="102" t="s">
        <v>961</v>
      </c>
      <c r="B1455" s="102"/>
      <c r="C1455" s="102"/>
      <c r="D1455" t="str">
        <f t="shared" si="560"/>
        <v>3C Aggregated and non-CO2 emissions on land</v>
      </c>
      <c r="E1455" t="str">
        <f t="shared" si="560"/>
        <v>3C1 Biomass burning (N2O)</v>
      </c>
      <c r="F1455" t="str">
        <f t="shared" si="559"/>
        <v>3C1c Biomass burning in Grasslands</v>
      </c>
      <c r="G1455" t="str">
        <f>EF!D110</f>
        <v>Low shrublands</v>
      </c>
      <c r="H1455" t="s">
        <v>651</v>
      </c>
      <c r="I1455" t="str">
        <f t="shared" si="561"/>
        <v>N2O</v>
      </c>
      <c r="J1455" t="str">
        <f t="shared" si="561"/>
        <v>Gg N2O</v>
      </c>
      <c r="K1455" s="22">
        <f>INDEX('Net zero Activity data'!AD$24:AD$39,MATCH('Net zero emission reductions'!$G1455,'Net zero Activity data'!$D$24:$D$39,0))*INDEX(EF!$H$84:$H$99,MATCH('Net zero emission reductions'!$G1455,EF!$D$84:$D$99,0))*INDEX(EF!$H$100:$H$115,MATCH('Net zero emission reductions'!$G1455,EF!$D$100:$D$115,0))*INDEX(EF!$H$132:$H$147,MATCH('Net zero emission reductions'!$G1455,EF!$D$132:$D$147,0))*kgtoGg</f>
        <v>0.15509939522155319</v>
      </c>
      <c r="L1455" s="22">
        <f>INDEX('Net zero Activity data'!AE$24:AE$39,MATCH('Net zero emission reductions'!$G1455,'Net zero Activity data'!$D$24:$D$39,0))*INDEX(EF!$H$84:$H$99,MATCH('Net zero emission reductions'!$G1455,EF!$D$84:$D$99,0))*INDEX(EF!$H$100:$H$115,MATCH('Net zero emission reductions'!$G1455,EF!$D$100:$D$115,0))*INDEX(EF!$H$132:$H$147,MATCH('Net zero emission reductions'!$G1455,EF!$D$132:$D$147,0))*kgtoGg</f>
        <v>0.15463335341286163</v>
      </c>
      <c r="M1455" s="22">
        <f>INDEX('Net zero Activity data'!AF$24:AF$39,MATCH('Net zero emission reductions'!$G1455,'Net zero Activity data'!$D$24:$D$39,0))*INDEX(EF!$H$84:$H$99,MATCH('Net zero emission reductions'!$G1455,EF!$D$84:$D$99,0))*INDEX(EF!$H$100:$H$115,MATCH('Net zero emission reductions'!$G1455,EF!$D$100:$D$115,0))*INDEX(EF!$H$132:$H$147,MATCH('Net zero emission reductions'!$G1455,EF!$D$132:$D$147,0))*kgtoGg</f>
        <v>0.15416731160417008</v>
      </c>
      <c r="N1455" s="22">
        <f>INDEX('Net zero Activity data'!AG$24:AG$39,MATCH('Net zero emission reductions'!$G1455,'Net zero Activity data'!$D$24:$D$39,0))*INDEX(EF!$H$84:$H$99,MATCH('Net zero emission reductions'!$G1455,EF!$D$84:$D$99,0))*INDEX(EF!$H$100:$H$115,MATCH('Net zero emission reductions'!$G1455,EF!$D$100:$D$115,0))*INDEX(EF!$H$132:$H$147,MATCH('Net zero emission reductions'!$G1455,EF!$D$132:$D$147,0))*kgtoGg</f>
        <v>0.15370126979547846</v>
      </c>
      <c r="O1455" s="22">
        <f>INDEX('Net zero Activity data'!AH$24:AH$39,MATCH('Net zero emission reductions'!$G1455,'Net zero Activity data'!$D$24:$D$39,0))*INDEX(EF!$H$84:$H$99,MATCH('Net zero emission reductions'!$G1455,EF!$D$84:$D$99,0))*INDEX(EF!$H$100:$H$115,MATCH('Net zero emission reductions'!$G1455,EF!$D$100:$D$115,0))*INDEX(EF!$H$132:$H$147,MATCH('Net zero emission reductions'!$G1455,EF!$D$132:$D$147,0))*kgtoGg</f>
        <v>0.15323522798678688</v>
      </c>
      <c r="P1455" s="22">
        <f>INDEX('Net zero Activity data'!AI$24:AI$39,MATCH('Net zero emission reductions'!$G1455,'Net zero Activity data'!$D$24:$D$39,0))*INDEX(EF!$H$84:$H$99,MATCH('Net zero emission reductions'!$G1455,EF!$D$84:$D$99,0))*INDEX(EF!$H$100:$H$115,MATCH('Net zero emission reductions'!$G1455,EF!$D$100:$D$115,0))*INDEX(EF!$H$132:$H$147,MATCH('Net zero emission reductions'!$G1455,EF!$D$132:$D$147,0))*kgtoGg</f>
        <v>0.15276918617809529</v>
      </c>
      <c r="Q1455" s="22">
        <f>INDEX('Net zero Activity data'!AJ$24:AJ$39,MATCH('Net zero emission reductions'!$G1455,'Net zero Activity data'!$D$24:$D$39,0))*INDEX(EF!$H$84:$H$99,MATCH('Net zero emission reductions'!$G1455,EF!$D$84:$D$99,0))*INDEX(EF!$H$100:$H$115,MATCH('Net zero emission reductions'!$G1455,EF!$D$100:$D$115,0))*INDEX(EF!$H$132:$H$147,MATCH('Net zero emission reductions'!$G1455,EF!$D$132:$D$147,0))*kgtoGg</f>
        <v>0.1523031443694037</v>
      </c>
      <c r="R1455" s="22">
        <f>INDEX('Net zero Activity data'!AK$24:AK$39,MATCH('Net zero emission reductions'!$G1455,'Net zero Activity data'!$D$24:$D$39,0))*INDEX(EF!$H$84:$H$99,MATCH('Net zero emission reductions'!$G1455,EF!$D$84:$D$99,0))*INDEX(EF!$H$100:$H$115,MATCH('Net zero emission reductions'!$G1455,EF!$D$100:$D$115,0))*INDEX(EF!$H$132:$H$147,MATCH('Net zero emission reductions'!$G1455,EF!$D$132:$D$147,0))*kgtoGg</f>
        <v>0.15183710256071217</v>
      </c>
      <c r="S1455" s="22">
        <f>INDEX('Net zero Activity data'!AL$24:AL$39,MATCH('Net zero emission reductions'!$G1455,'Net zero Activity data'!$D$24:$D$39,0))*INDEX(EF!$H$84:$H$99,MATCH('Net zero emission reductions'!$G1455,EF!$D$84:$D$99,0))*INDEX(EF!$H$100:$H$115,MATCH('Net zero emission reductions'!$G1455,EF!$D$100:$D$115,0))*INDEX(EF!$H$132:$H$147,MATCH('Net zero emission reductions'!$G1455,EF!$D$132:$D$147,0))*kgtoGg</f>
        <v>0.15137106075202056</v>
      </c>
      <c r="T1455" s="22">
        <f>INDEX('Net zero Activity data'!AM$24:AM$39,MATCH('Net zero emission reductions'!$G1455,'Net zero Activity data'!$D$24:$D$39,0))*INDEX(EF!$H$84:$H$99,MATCH('Net zero emission reductions'!$G1455,EF!$D$84:$D$99,0))*INDEX(EF!$H$100:$H$115,MATCH('Net zero emission reductions'!$G1455,EF!$D$100:$D$115,0))*INDEX(EF!$H$132:$H$147,MATCH('Net zero emission reductions'!$G1455,EF!$D$132:$D$147,0))*kgtoGg</f>
        <v>0.15090501894332897</v>
      </c>
      <c r="U1455" s="22">
        <f>INDEX('Net zero Activity data'!AN$24:AN$39,MATCH('Net zero emission reductions'!$G1455,'Net zero Activity data'!$D$24:$D$39,0))*INDEX(EF!$H$84:$H$99,MATCH('Net zero emission reductions'!$G1455,EF!$D$84:$D$99,0))*INDEX(EF!$H$100:$H$115,MATCH('Net zero emission reductions'!$G1455,EF!$D$100:$D$115,0))*INDEX(EF!$H$132:$H$147,MATCH('Net zero emission reductions'!$G1455,EF!$D$132:$D$147,0))*kgtoGg</f>
        <v>0.15043897713463741</v>
      </c>
      <c r="V1455" s="22">
        <f>INDEX('Net zero Activity data'!AO$24:AO$39,MATCH('Net zero emission reductions'!$G1455,'Net zero Activity data'!$D$24:$D$39,0))*INDEX(EF!$H$84:$H$99,MATCH('Net zero emission reductions'!$G1455,EF!$D$84:$D$99,0))*INDEX(EF!$H$100:$H$115,MATCH('Net zero emission reductions'!$G1455,EF!$D$100:$D$115,0))*INDEX(EF!$H$132:$H$147,MATCH('Net zero emission reductions'!$G1455,EF!$D$132:$D$147,0))*kgtoGg</f>
        <v>0.14997293532594583</v>
      </c>
      <c r="W1455" s="22">
        <f>INDEX('Net zero Activity data'!AP$24:AP$39,MATCH('Net zero emission reductions'!$G1455,'Net zero Activity data'!$D$24:$D$39,0))*INDEX(EF!$H$84:$H$99,MATCH('Net zero emission reductions'!$G1455,EF!$D$84:$D$99,0))*INDEX(EF!$H$100:$H$115,MATCH('Net zero emission reductions'!$G1455,EF!$D$100:$D$115,0))*INDEX(EF!$H$132:$H$147,MATCH('Net zero emission reductions'!$G1455,EF!$D$132:$D$147,0))*kgtoGg</f>
        <v>0.14950689351725424</v>
      </c>
      <c r="X1455" s="22">
        <f>INDEX('Net zero Activity data'!AQ$24:AQ$39,MATCH('Net zero emission reductions'!$G1455,'Net zero Activity data'!$D$24:$D$39,0))*INDEX(EF!$H$84:$H$99,MATCH('Net zero emission reductions'!$G1455,EF!$D$84:$D$99,0))*INDEX(EF!$H$100:$H$115,MATCH('Net zero emission reductions'!$G1455,EF!$D$100:$D$115,0))*INDEX(EF!$H$132:$H$147,MATCH('Net zero emission reductions'!$G1455,EF!$D$132:$D$147,0))*kgtoGg</f>
        <v>0.14904085170856263</v>
      </c>
      <c r="Y1455" s="22">
        <f>INDEX('Net zero Activity data'!AR$24:AR$39,MATCH('Net zero emission reductions'!$G1455,'Net zero Activity data'!$D$24:$D$39,0))*INDEX(EF!$H$84:$H$99,MATCH('Net zero emission reductions'!$G1455,EF!$D$84:$D$99,0))*INDEX(EF!$H$100:$H$115,MATCH('Net zero emission reductions'!$G1455,EF!$D$100:$D$115,0))*INDEX(EF!$H$132:$H$147,MATCH('Net zero emission reductions'!$G1455,EF!$D$132:$D$147,0))*kgtoGg</f>
        <v>0.14857480989987112</v>
      </c>
      <c r="Z1455" s="22">
        <f>INDEX('Net zero Activity data'!AS$24:AS$39,MATCH('Net zero emission reductions'!$G1455,'Net zero Activity data'!$D$24:$D$39,0))*INDEX(EF!$H$84:$H$99,MATCH('Net zero emission reductions'!$G1455,EF!$D$84:$D$99,0))*INDEX(EF!$H$100:$H$115,MATCH('Net zero emission reductions'!$G1455,EF!$D$100:$D$115,0))*INDEX(EF!$H$132:$H$147,MATCH('Net zero emission reductions'!$G1455,EF!$D$132:$D$147,0))*kgtoGg</f>
        <v>0.14810876809117951</v>
      </c>
      <c r="AA1455" s="22">
        <f>INDEX('Net zero Activity data'!AT$24:AT$39,MATCH('Net zero emission reductions'!$G1455,'Net zero Activity data'!$D$24:$D$39,0))*INDEX(EF!$H$84:$H$99,MATCH('Net zero emission reductions'!$G1455,EF!$D$84:$D$99,0))*INDEX(EF!$H$100:$H$115,MATCH('Net zero emission reductions'!$G1455,EF!$D$100:$D$115,0))*INDEX(EF!$H$132:$H$147,MATCH('Net zero emission reductions'!$G1455,EF!$D$132:$D$147,0))*kgtoGg</f>
        <v>0.1476427262824879</v>
      </c>
      <c r="AB1455" s="22">
        <f>INDEX('Net zero Activity data'!AU$24:AU$39,MATCH('Net zero emission reductions'!$G1455,'Net zero Activity data'!$D$24:$D$39,0))*INDEX(EF!$H$84:$H$99,MATCH('Net zero emission reductions'!$G1455,EF!$D$84:$D$99,0))*INDEX(EF!$H$100:$H$115,MATCH('Net zero emission reductions'!$G1455,EF!$D$100:$D$115,0))*INDEX(EF!$H$132:$H$147,MATCH('Net zero emission reductions'!$G1455,EF!$D$132:$D$147,0))*kgtoGg</f>
        <v>0.14717668447379634</v>
      </c>
      <c r="AC1455" s="22">
        <f>INDEX('Net zero Activity data'!AV$24:AV$39,MATCH('Net zero emission reductions'!$G1455,'Net zero Activity data'!$D$24:$D$39,0))*INDEX(EF!$H$84:$H$99,MATCH('Net zero emission reductions'!$G1455,EF!$D$84:$D$99,0))*INDEX(EF!$H$100:$H$115,MATCH('Net zero emission reductions'!$G1455,EF!$D$100:$D$115,0))*INDEX(EF!$H$132:$H$147,MATCH('Net zero emission reductions'!$G1455,EF!$D$132:$D$147,0))*kgtoGg</f>
        <v>0.14671064266510475</v>
      </c>
      <c r="AD1455" s="22">
        <f>INDEX('Net zero Activity data'!AW$24:AW$39,MATCH('Net zero emission reductions'!$G1455,'Net zero Activity data'!$D$24:$D$39,0))*INDEX(EF!$H$84:$H$99,MATCH('Net zero emission reductions'!$G1455,EF!$D$84:$D$99,0))*INDEX(EF!$H$100:$H$115,MATCH('Net zero emission reductions'!$G1455,EF!$D$100:$D$115,0))*INDEX(EF!$H$132:$H$147,MATCH('Net zero emission reductions'!$G1455,EF!$D$132:$D$147,0))*kgtoGg</f>
        <v>0.14624460085641319</v>
      </c>
      <c r="AE1455" s="22">
        <f>INDEX('Net zero Activity data'!AX$24:AX$39,MATCH('Net zero emission reductions'!$G1455,'Net zero Activity data'!$D$24:$D$39,0))*INDEX(EF!$H$84:$H$99,MATCH('Net zero emission reductions'!$G1455,EF!$D$84:$D$99,0))*INDEX(EF!$H$100:$H$115,MATCH('Net zero emission reductions'!$G1455,EF!$D$100:$D$115,0))*INDEX(EF!$H$132:$H$147,MATCH('Net zero emission reductions'!$G1455,EF!$D$132:$D$147,0))*kgtoGg</f>
        <v>0.14577855904772158</v>
      </c>
      <c r="AF1455" s="22">
        <f>INDEX('Net zero Activity data'!AY$24:AY$39,MATCH('Net zero emission reductions'!$G1455,'Net zero Activity data'!$D$24:$D$39,0))*INDEX(EF!$H$84:$H$99,MATCH('Net zero emission reductions'!$G1455,EF!$D$84:$D$99,0))*INDEX(EF!$H$100:$H$115,MATCH('Net zero emission reductions'!$G1455,EF!$D$100:$D$115,0))*INDEX(EF!$H$132:$H$147,MATCH('Net zero emission reductions'!$G1455,EF!$D$132:$D$147,0))*kgtoGg</f>
        <v>0.14531251723903005</v>
      </c>
      <c r="AG1455" s="22">
        <f>INDEX('Net zero Activity data'!AZ$24:AZ$39,MATCH('Net zero emission reductions'!$G1455,'Net zero Activity data'!$D$24:$D$39,0))*INDEX(EF!$H$84:$H$99,MATCH('Net zero emission reductions'!$G1455,EF!$D$84:$D$99,0))*INDEX(EF!$H$100:$H$115,MATCH('Net zero emission reductions'!$G1455,EF!$D$100:$D$115,0))*INDEX(EF!$H$132:$H$147,MATCH('Net zero emission reductions'!$G1455,EF!$D$132:$D$147,0))*kgtoGg</f>
        <v>0.14484647543033843</v>
      </c>
      <c r="AH1455" s="22">
        <f>INDEX('Net zero Activity data'!BA$24:BA$39,MATCH('Net zero emission reductions'!$G1455,'Net zero Activity data'!$D$24:$D$39,0))*INDEX(EF!$H$84:$H$99,MATCH('Net zero emission reductions'!$G1455,EF!$D$84:$D$99,0))*INDEX(EF!$H$100:$H$115,MATCH('Net zero emission reductions'!$G1455,EF!$D$100:$D$115,0))*INDEX(EF!$H$132:$H$147,MATCH('Net zero emission reductions'!$G1455,EF!$D$132:$D$147,0))*kgtoGg</f>
        <v>0.14438043362164685</v>
      </c>
      <c r="AI1455" s="22">
        <f>INDEX('Net zero Activity data'!BB$24:BB$39,MATCH('Net zero emission reductions'!$G1455,'Net zero Activity data'!$D$24:$D$39,0))*INDEX(EF!$H$84:$H$99,MATCH('Net zero emission reductions'!$G1455,EF!$D$84:$D$99,0))*INDEX(EF!$H$100:$H$115,MATCH('Net zero emission reductions'!$G1455,EF!$D$100:$D$115,0))*INDEX(EF!$H$132:$H$147,MATCH('Net zero emission reductions'!$G1455,EF!$D$132:$D$147,0))*kgtoGg</f>
        <v>0.14391439181295529</v>
      </c>
      <c r="AJ1455" s="22">
        <f>INDEX('Net zero Activity data'!BC$24:BC$39,MATCH('Net zero emission reductions'!$G1455,'Net zero Activity data'!$D$24:$D$39,0))*INDEX(EF!$H$84:$H$99,MATCH('Net zero emission reductions'!$G1455,EF!$D$84:$D$99,0))*INDEX(EF!$H$100:$H$115,MATCH('Net zero emission reductions'!$G1455,EF!$D$100:$D$115,0))*INDEX(EF!$H$132:$H$147,MATCH('Net zero emission reductions'!$G1455,EF!$D$132:$D$147,0))*kgtoGg</f>
        <v>0.1434483500042637</v>
      </c>
      <c r="AK1455" s="22">
        <f>INDEX('Net zero Activity data'!BD$24:BD$39,MATCH('Net zero emission reductions'!$G1455,'Net zero Activity data'!$D$24:$D$39,0))*INDEX(EF!$H$84:$H$99,MATCH('Net zero emission reductions'!$G1455,EF!$D$84:$D$99,0))*INDEX(EF!$H$100:$H$115,MATCH('Net zero emission reductions'!$G1455,EF!$D$100:$D$115,0))*INDEX(EF!$H$132:$H$147,MATCH('Net zero emission reductions'!$G1455,EF!$D$132:$D$147,0))*kgtoGg</f>
        <v>0.14298230819557212</v>
      </c>
      <c r="AL1455" s="22">
        <f>INDEX('Net zero Activity data'!BE$24:BE$39,MATCH('Net zero emission reductions'!$G1455,'Net zero Activity data'!$D$24:$D$39,0))*INDEX(EF!$H$84:$H$99,MATCH('Net zero emission reductions'!$G1455,EF!$D$84:$D$99,0))*INDEX(EF!$H$100:$H$115,MATCH('Net zero emission reductions'!$G1455,EF!$D$100:$D$115,0))*INDEX(EF!$H$132:$H$147,MATCH('Net zero emission reductions'!$G1455,EF!$D$132:$D$147,0))*kgtoGg</f>
        <v>0.14251626638688056</v>
      </c>
      <c r="AM1455" s="22">
        <f>INDEX('Net zero Activity data'!BF$24:BF$39,MATCH('Net zero emission reductions'!$G1455,'Net zero Activity data'!$D$24:$D$39,0))*INDEX(EF!$H$84:$H$99,MATCH('Net zero emission reductions'!$G1455,EF!$D$84:$D$99,0))*INDEX(EF!$H$100:$H$115,MATCH('Net zero emission reductions'!$G1455,EF!$D$100:$D$115,0))*INDEX(EF!$H$132:$H$147,MATCH('Net zero emission reductions'!$G1455,EF!$D$132:$D$147,0))*kgtoGg</f>
        <v>0.142050224578189</v>
      </c>
      <c r="AN1455" s="22">
        <f>INDEX('Net zero Activity data'!BG$24:BG$39,MATCH('Net zero emission reductions'!$G1455,'Net zero Activity data'!$D$24:$D$39,0))*INDEX(EF!$H$84:$H$99,MATCH('Net zero emission reductions'!$G1455,EF!$D$84:$D$99,0))*INDEX(EF!$H$100:$H$115,MATCH('Net zero emission reductions'!$G1455,EF!$D$100:$D$115,0))*INDEX(EF!$H$132:$H$147,MATCH('Net zero emission reductions'!$G1455,EF!$D$132:$D$147,0))*kgtoGg</f>
        <v>0.14158418276949739</v>
      </c>
      <c r="AO1455" s="22">
        <f>INDEX('Net zero Activity data'!BH$24:BH$39,MATCH('Net zero emission reductions'!$G1455,'Net zero Activity data'!$D$24:$D$39,0))*INDEX(EF!$H$84:$H$99,MATCH('Net zero emission reductions'!$G1455,EF!$D$84:$D$99,0))*INDEX(EF!$H$100:$H$115,MATCH('Net zero emission reductions'!$G1455,EF!$D$100:$D$115,0))*INDEX(EF!$H$132:$H$147,MATCH('Net zero emission reductions'!$G1455,EF!$D$132:$D$147,0))*kgtoGg</f>
        <v>0.14111814096080577</v>
      </c>
      <c r="AP1455" s="22">
        <f>INDEX('Net zero Activity data'!BI$24:BI$39,MATCH('Net zero emission reductions'!$G1455,'Net zero Activity data'!$D$24:$D$39,0))*INDEX(EF!$H$84:$H$99,MATCH('Net zero emission reductions'!$G1455,EF!$D$84:$D$99,0))*INDEX(EF!$H$100:$H$115,MATCH('Net zero emission reductions'!$G1455,EF!$D$100:$D$115,0))*INDEX(EF!$H$132:$H$147,MATCH('Net zero emission reductions'!$G1455,EF!$D$132:$D$147,0))*kgtoGg</f>
        <v>0.14065209915211424</v>
      </c>
      <c r="AQ1455" s="22">
        <f>INDEX('Net zero Activity data'!BJ$24:BJ$39,MATCH('Net zero emission reductions'!$G1455,'Net zero Activity data'!$D$24:$D$39,0))*INDEX(EF!$H$84:$H$99,MATCH('Net zero emission reductions'!$G1455,EF!$D$84:$D$99,0))*INDEX(EF!$H$100:$H$115,MATCH('Net zero emission reductions'!$G1455,EF!$D$100:$D$115,0))*INDEX(EF!$H$132:$H$147,MATCH('Net zero emission reductions'!$G1455,EF!$D$132:$D$147,0))*kgtoGg</f>
        <v>0.14018605734342263</v>
      </c>
      <c r="AR1455" s="22">
        <f>INDEX('Net zero Activity data'!BK$24:BK$39,MATCH('Net zero emission reductions'!$G1455,'Net zero Activity data'!$D$24:$D$39,0))*INDEX(EF!$H$84:$H$99,MATCH('Net zero emission reductions'!$G1455,EF!$D$84:$D$99,0))*INDEX(EF!$H$100:$H$115,MATCH('Net zero emission reductions'!$G1455,EF!$D$100:$D$115,0))*INDEX(EF!$H$132:$H$147,MATCH('Net zero emission reductions'!$G1455,EF!$D$132:$D$147,0))*kgtoGg</f>
        <v>0.13972001553473104</v>
      </c>
      <c r="AS1455" s="22">
        <f>INDEX('Net zero Activity data'!BL$24:BL$39,MATCH('Net zero emission reductions'!$G1455,'Net zero Activity data'!$D$24:$D$39,0))*INDEX(EF!$H$84:$H$99,MATCH('Net zero emission reductions'!$G1455,EF!$D$84:$D$99,0))*INDEX(EF!$H$100:$H$115,MATCH('Net zero emission reductions'!$G1455,EF!$D$100:$D$115,0))*INDEX(EF!$H$132:$H$147,MATCH('Net zero emission reductions'!$G1455,EF!$D$132:$D$147,0))*kgtoGg</f>
        <v>0.13925397372603948</v>
      </c>
      <c r="AT1455" s="22">
        <f>INDEX('Net zero Activity data'!BM$24:BM$39,MATCH('Net zero emission reductions'!$G1455,'Net zero Activity data'!$D$24:$D$39,0))*INDEX(EF!$H$84:$H$99,MATCH('Net zero emission reductions'!$G1455,EF!$D$84:$D$99,0))*INDEX(EF!$H$100:$H$115,MATCH('Net zero emission reductions'!$G1455,EF!$D$100:$D$115,0))*INDEX(EF!$H$132:$H$147,MATCH('Net zero emission reductions'!$G1455,EF!$D$132:$D$147,0))*kgtoGg</f>
        <v>0.13878793191734787</v>
      </c>
      <c r="AU1455" s="22">
        <f>INDEX('Net zero Activity data'!BN$24:BN$39,MATCH('Net zero emission reductions'!$G1455,'Net zero Activity data'!$D$24:$D$39,0))*INDEX(EF!$H$84:$H$99,MATCH('Net zero emission reductions'!$G1455,EF!$D$84:$D$99,0))*INDEX(EF!$H$100:$H$115,MATCH('Net zero emission reductions'!$G1455,EF!$D$100:$D$115,0))*INDEX(EF!$H$132:$H$147,MATCH('Net zero emission reductions'!$G1455,EF!$D$132:$D$147,0))*kgtoGg</f>
        <v>0.13832189010865634</v>
      </c>
      <c r="AV1455" s="22">
        <f>INDEX('Net zero Activity data'!BO$24:BO$39,MATCH('Net zero emission reductions'!$G1455,'Net zero Activity data'!$D$24:$D$39,0))*INDEX(EF!$H$84:$H$99,MATCH('Net zero emission reductions'!$G1455,EF!$D$84:$D$99,0))*INDEX(EF!$H$100:$H$115,MATCH('Net zero emission reductions'!$G1455,EF!$D$100:$D$115,0))*INDEX(EF!$H$132:$H$147,MATCH('Net zero emission reductions'!$G1455,EF!$D$132:$D$147,0))*kgtoGg</f>
        <v>0.13785584829996475</v>
      </c>
      <c r="AW1455" s="22">
        <f>INDEX('Net zero Activity data'!BP$24:BP$39,MATCH('Net zero emission reductions'!$G1455,'Net zero Activity data'!$D$24:$D$39,0))*INDEX(EF!$H$84:$H$99,MATCH('Net zero emission reductions'!$G1455,EF!$D$84:$D$99,0))*INDEX(EF!$H$100:$H$115,MATCH('Net zero emission reductions'!$G1455,EF!$D$100:$D$115,0))*INDEX(EF!$H$132:$H$147,MATCH('Net zero emission reductions'!$G1455,EF!$D$132:$D$147,0))*kgtoGg</f>
        <v>0.13738980649127319</v>
      </c>
    </row>
    <row r="1456" spans="1:49" x14ac:dyDescent="0.25">
      <c r="A1456" s="102" t="s">
        <v>961</v>
      </c>
      <c r="B1456" s="102"/>
      <c r="C1456" s="102"/>
      <c r="D1456" t="str">
        <f t="shared" si="560"/>
        <v>3C Aggregated and non-CO2 emissions on land</v>
      </c>
      <c r="E1456" t="str">
        <f t="shared" si="560"/>
        <v>3C1 Biomass burning (N2O)</v>
      </c>
      <c r="F1456" t="str">
        <f t="shared" si="559"/>
        <v>3C1c Biomass burning in Grasslands</v>
      </c>
      <c r="G1456" t="str">
        <f>EF!D111</f>
        <v>Degraded land</v>
      </c>
      <c r="H1456" t="s">
        <v>641</v>
      </c>
      <c r="I1456" t="str">
        <f t="shared" si="561"/>
        <v>N2O</v>
      </c>
      <c r="J1456" t="str">
        <f t="shared" si="561"/>
        <v>Gg N2O</v>
      </c>
      <c r="K1456" s="22">
        <f>INDEX('Net zero Activity data'!AD$24:AD$39,MATCH('Net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L1456" s="22">
        <f>INDEX('Net zero Activity data'!AE$24:AE$39,MATCH('Net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M1456" s="22">
        <f>INDEX('Net zero Activity data'!AF$24:AF$39,MATCH('Net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N1456" s="22">
        <f>INDEX('Net zero Activity data'!AG$24:AG$39,MATCH('Net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O1456" s="22">
        <f>INDEX('Net zero Activity data'!AH$24:AH$39,MATCH('Net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P1456" s="22">
        <f>INDEX('Net zero Activity data'!AI$24:AI$39,MATCH('Net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Q1456" s="22">
        <f>INDEX('Net zero Activity data'!AJ$24:AJ$39,MATCH('Net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R1456" s="22">
        <f>INDEX('Net zero Activity data'!AK$24:AK$39,MATCH('Net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S1456" s="22">
        <f>INDEX('Net zero Activity data'!AL$24:AL$39,MATCH('Net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T1456" s="22">
        <f>INDEX('Net zero Activity data'!AM$24:AM$39,MATCH('Net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U1456" s="22">
        <f>INDEX('Net zero Activity data'!AN$24:AN$39,MATCH('Net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V1456" s="22">
        <f>INDEX('Net zero Activity data'!AO$24:AO$39,MATCH('Net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W1456" s="22">
        <f>INDEX('Net zero Activity data'!AP$24:AP$39,MATCH('Net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X1456" s="22">
        <f>INDEX('Net zero Activity data'!AQ$24:AQ$39,MATCH('Net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Y1456" s="22">
        <f>INDEX('Net zero Activity data'!AR$24:AR$39,MATCH('Net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Z1456" s="22">
        <f>INDEX('Net zero Activity data'!AS$24:AS$39,MATCH('Net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A1456" s="22">
        <f>INDEX('Net zero Activity data'!AT$24:AT$39,MATCH('Net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B1456" s="22">
        <f>INDEX('Net zero Activity data'!AU$24:AU$39,MATCH('Net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C1456" s="22">
        <f>INDEX('Net zero Activity data'!AV$24:AV$39,MATCH('Net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D1456" s="22">
        <f>INDEX('Net zero Activity data'!AW$24:AW$39,MATCH('Net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E1456" s="22">
        <f>INDEX('Net zero Activity data'!AX$24:AX$39,MATCH('Net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F1456" s="22">
        <f>INDEX('Net zero Activity data'!AY$24:AY$39,MATCH('Net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G1456" s="22">
        <f>INDEX('Net zero Activity data'!AZ$24:AZ$39,MATCH('Net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H1456" s="22">
        <f>INDEX('Net zero Activity data'!BA$24:BA$39,MATCH('Net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I1456" s="22">
        <f>INDEX('Net zero Activity data'!BB$24:BB$39,MATCH('Net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J1456" s="22">
        <f>INDEX('Net zero Activity data'!BC$24:BC$39,MATCH('Net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K1456" s="22">
        <f>INDEX('Net zero Activity data'!BD$24:BD$39,MATCH('Net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L1456" s="22">
        <f>INDEX('Net zero Activity data'!BE$24:BE$39,MATCH('Net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M1456" s="22">
        <f>INDEX('Net zero Activity data'!BF$24:BF$39,MATCH('Net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N1456" s="22">
        <f>INDEX('Net zero Activity data'!BG$24:BG$39,MATCH('Net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O1456" s="22">
        <f>INDEX('Net zero Activity data'!BH$24:BH$39,MATCH('Net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P1456" s="22">
        <f>INDEX('Net zero Activity data'!BI$24:BI$39,MATCH('Net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Q1456" s="22">
        <f>INDEX('Net zero Activity data'!BJ$24:BJ$39,MATCH('Net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R1456" s="22">
        <f>INDEX('Net zero Activity data'!BK$24:BK$39,MATCH('Net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S1456" s="22">
        <f>INDEX('Net zero Activity data'!BL$24:BL$39,MATCH('Net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T1456" s="22">
        <f>INDEX('Net zero Activity data'!BM$24:BM$39,MATCH('Net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U1456" s="22">
        <f>INDEX('Net zero Activity data'!BN$24:BN$39,MATCH('Net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V1456" s="22">
        <f>INDEX('Net zero Activity data'!BO$24:BO$39,MATCH('Net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W1456" s="22">
        <f>INDEX('Net zero Activity data'!BP$24:BP$39,MATCH('Net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row>
    <row r="1457" spans="1:49" x14ac:dyDescent="0.25">
      <c r="A1457" s="102" t="s">
        <v>961</v>
      </c>
      <c r="B1457" s="102"/>
      <c r="C1457" s="102"/>
      <c r="D1457" t="str">
        <f t="shared" si="560"/>
        <v>3C Aggregated and non-CO2 emissions on land</v>
      </c>
      <c r="E1457" t="str">
        <f t="shared" si="560"/>
        <v>3C1 Biomass burning (N2O)</v>
      </c>
      <c r="F1457" t="str">
        <f t="shared" si="559"/>
        <v>3C1d Biomass burning in Wetlands</v>
      </c>
      <c r="G1457" t="str">
        <f>EF!D112</f>
        <v>Wetlands</v>
      </c>
      <c r="H1457" t="s">
        <v>652</v>
      </c>
      <c r="I1457" t="str">
        <f t="shared" si="561"/>
        <v>N2O</v>
      </c>
      <c r="J1457" t="str">
        <f t="shared" si="561"/>
        <v>Gg N2O</v>
      </c>
      <c r="K1457" s="22">
        <f>INDEX('Net zero Activity data'!AD$24:AD$39,MATCH('Net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L1457" s="22">
        <f>INDEX('Net zero Activity data'!AE$24:AE$39,MATCH('Net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M1457" s="22">
        <f>INDEX('Net zero Activity data'!AF$24:AF$39,MATCH('Net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N1457" s="22">
        <f>INDEX('Net zero Activity data'!AG$24:AG$39,MATCH('Net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O1457" s="22">
        <f>INDEX('Net zero Activity data'!AH$24:AH$39,MATCH('Net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P1457" s="22">
        <f>INDEX('Net zero Activity data'!AI$24:AI$39,MATCH('Net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Q1457" s="22">
        <f>INDEX('Net zero Activity data'!AJ$24:AJ$39,MATCH('Net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R1457" s="22">
        <f>INDEX('Net zero Activity data'!AK$24:AK$39,MATCH('Net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S1457" s="22">
        <f>INDEX('Net zero Activity data'!AL$24:AL$39,MATCH('Net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T1457" s="22">
        <f>INDEX('Net zero Activity data'!AM$24:AM$39,MATCH('Net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U1457" s="22">
        <f>INDEX('Net zero Activity data'!AN$24:AN$39,MATCH('Net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V1457" s="22">
        <f>INDEX('Net zero Activity data'!AO$24:AO$39,MATCH('Net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W1457" s="22">
        <f>INDEX('Net zero Activity data'!AP$24:AP$39,MATCH('Net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X1457" s="22">
        <f>INDEX('Net zero Activity data'!AQ$24:AQ$39,MATCH('Net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Y1457" s="22">
        <f>INDEX('Net zero Activity data'!AR$24:AR$39,MATCH('Net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Z1457" s="22">
        <f>INDEX('Net zero Activity data'!AS$24:AS$39,MATCH('Net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A1457" s="22">
        <f>INDEX('Net zero Activity data'!AT$24:AT$39,MATCH('Net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B1457" s="22">
        <f>INDEX('Net zero Activity data'!AU$24:AU$39,MATCH('Net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C1457" s="22">
        <f>INDEX('Net zero Activity data'!AV$24:AV$39,MATCH('Net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D1457" s="22">
        <f>INDEX('Net zero Activity data'!AW$24:AW$39,MATCH('Net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E1457" s="22">
        <f>INDEX('Net zero Activity data'!AX$24:AX$39,MATCH('Net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F1457" s="22">
        <f>INDEX('Net zero Activity data'!AY$24:AY$39,MATCH('Net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G1457" s="22">
        <f>INDEX('Net zero Activity data'!AZ$24:AZ$39,MATCH('Net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H1457" s="22">
        <f>INDEX('Net zero Activity data'!BA$24:BA$39,MATCH('Net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I1457" s="22">
        <f>INDEX('Net zero Activity data'!BB$24:BB$39,MATCH('Net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J1457" s="22">
        <f>INDEX('Net zero Activity data'!BC$24:BC$39,MATCH('Net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K1457" s="22">
        <f>INDEX('Net zero Activity data'!BD$24:BD$39,MATCH('Net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L1457" s="22">
        <f>INDEX('Net zero Activity data'!BE$24:BE$39,MATCH('Net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M1457" s="22">
        <f>INDEX('Net zero Activity data'!BF$24:BF$39,MATCH('Net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N1457" s="22">
        <f>INDEX('Net zero Activity data'!BG$24:BG$39,MATCH('Net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O1457" s="22">
        <f>INDEX('Net zero Activity data'!BH$24:BH$39,MATCH('Net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P1457" s="22">
        <f>INDEX('Net zero Activity data'!BI$24:BI$39,MATCH('Net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Q1457" s="22">
        <f>INDEX('Net zero Activity data'!BJ$24:BJ$39,MATCH('Net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R1457" s="22">
        <f>INDEX('Net zero Activity data'!BK$24:BK$39,MATCH('Net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S1457" s="22">
        <f>INDEX('Net zero Activity data'!BL$24:BL$39,MATCH('Net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T1457" s="22">
        <f>INDEX('Net zero Activity data'!BM$24:BM$39,MATCH('Net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U1457" s="22">
        <f>INDEX('Net zero Activity data'!BN$24:BN$39,MATCH('Net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V1457" s="22">
        <f>INDEX('Net zero Activity data'!BO$24:BO$39,MATCH('Net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W1457" s="22">
        <f>INDEX('Net zero Activity data'!BP$24:BP$39,MATCH('Net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row>
    <row r="1458" spans="1:49" x14ac:dyDescent="0.25">
      <c r="A1458" s="102" t="s">
        <v>961</v>
      </c>
      <c r="B1458" s="102"/>
      <c r="C1458" s="102"/>
      <c r="D1458" t="str">
        <f t="shared" si="560"/>
        <v>3C Aggregated and non-CO2 emissions on land</v>
      </c>
      <c r="E1458" t="str">
        <f t="shared" si="560"/>
        <v>3C1 Biomass burning (N2O)</v>
      </c>
      <c r="F1458" t="str">
        <f t="shared" si="559"/>
        <v>3C1e Biomass burning in Settlements</v>
      </c>
      <c r="G1458" t="str">
        <f>EF!D113</f>
        <v>Settlements</v>
      </c>
      <c r="H1458" t="s">
        <v>653</v>
      </c>
      <c r="I1458" t="str">
        <f t="shared" si="561"/>
        <v>N2O</v>
      </c>
      <c r="J1458" t="str">
        <f t="shared" si="561"/>
        <v>Gg N2O</v>
      </c>
      <c r="K1458" s="22">
        <f>INDEX('Net zero Activity data'!AD$24:AD$39,MATCH('Net zero emission reductions'!$G1458,'Net zero Activity data'!$D$24:$D$39,0))*INDEX(EF!$H$84:$H$99,MATCH('Net zero emission reductions'!$G1458,EF!$D$84:$D$99,0))*INDEX(EF!$H$100:$H$115,MATCH('Net zero emission reductions'!$G1458,EF!$D$100:$D$115,0))*INDEX(EF!$H$132:$H$147,MATCH('Net zero emission reductions'!$G1458,EF!$D$132:$D$147,0))*kgtoGg</f>
        <v>3.9235523819963862E-2</v>
      </c>
      <c r="L1458" s="22">
        <f>INDEX('Net zero Activity data'!AE$24:AE$39,MATCH('Net zero emission reductions'!$G1458,'Net zero Activity data'!$D$24:$D$39,0))*INDEX(EF!$H$84:$H$99,MATCH('Net zero emission reductions'!$G1458,EF!$D$84:$D$99,0))*INDEX(EF!$H$100:$H$115,MATCH('Net zero emission reductions'!$G1458,EF!$D$100:$D$115,0))*INDEX(EF!$H$132:$H$147,MATCH('Net zero emission reductions'!$G1458,EF!$D$132:$D$147,0))*kgtoGg</f>
        <v>3.9318445103539788E-2</v>
      </c>
      <c r="M1458" s="22">
        <f>INDEX('Net zero Activity data'!AF$24:AF$39,MATCH('Net zero emission reductions'!$G1458,'Net zero Activity data'!$D$24:$D$39,0))*INDEX(EF!$H$84:$H$99,MATCH('Net zero emission reductions'!$G1458,EF!$D$84:$D$99,0))*INDEX(EF!$H$100:$H$115,MATCH('Net zero emission reductions'!$G1458,EF!$D$100:$D$115,0))*INDEX(EF!$H$132:$H$147,MATCH('Net zero emission reductions'!$G1458,EF!$D$132:$D$147,0))*kgtoGg</f>
        <v>3.9401366387115715E-2</v>
      </c>
      <c r="N1458" s="22">
        <f>INDEX('Net zero Activity data'!AG$24:AG$39,MATCH('Net zero emission reductions'!$G1458,'Net zero Activity data'!$D$24:$D$39,0))*INDEX(EF!$H$84:$H$99,MATCH('Net zero emission reductions'!$G1458,EF!$D$84:$D$99,0))*INDEX(EF!$H$100:$H$115,MATCH('Net zero emission reductions'!$G1458,EF!$D$100:$D$115,0))*INDEX(EF!$H$132:$H$147,MATCH('Net zero emission reductions'!$G1458,EF!$D$132:$D$147,0))*kgtoGg</f>
        <v>3.9484287670691648E-2</v>
      </c>
      <c r="O1458" s="22">
        <f>INDEX('Net zero Activity data'!AH$24:AH$39,MATCH('Net zero emission reductions'!$G1458,'Net zero Activity data'!$D$24:$D$39,0))*INDEX(EF!$H$84:$H$99,MATCH('Net zero emission reductions'!$G1458,EF!$D$84:$D$99,0))*INDEX(EF!$H$100:$H$115,MATCH('Net zero emission reductions'!$G1458,EF!$D$100:$D$115,0))*INDEX(EF!$H$132:$H$147,MATCH('Net zero emission reductions'!$G1458,EF!$D$132:$D$147,0))*kgtoGg</f>
        <v>3.9567208954267574E-2</v>
      </c>
      <c r="P1458" s="22">
        <f>INDEX('Net zero Activity data'!AI$24:AI$39,MATCH('Net zero emission reductions'!$G1458,'Net zero Activity data'!$D$24:$D$39,0))*INDEX(EF!$H$84:$H$99,MATCH('Net zero emission reductions'!$G1458,EF!$D$84:$D$99,0))*INDEX(EF!$H$100:$H$115,MATCH('Net zero emission reductions'!$G1458,EF!$D$100:$D$115,0))*INDEX(EF!$H$132:$H$147,MATCH('Net zero emission reductions'!$G1458,EF!$D$132:$D$147,0))*kgtoGg</f>
        <v>3.9650130237843507E-2</v>
      </c>
      <c r="Q1458" s="22">
        <f>INDEX('Net zero Activity data'!AJ$24:AJ$39,MATCH('Net zero emission reductions'!$G1458,'Net zero Activity data'!$D$24:$D$39,0))*INDEX(EF!$H$84:$H$99,MATCH('Net zero emission reductions'!$G1458,EF!$D$84:$D$99,0))*INDEX(EF!$H$100:$H$115,MATCH('Net zero emission reductions'!$G1458,EF!$D$100:$D$115,0))*INDEX(EF!$H$132:$H$147,MATCH('Net zero emission reductions'!$G1458,EF!$D$132:$D$147,0))*kgtoGg</f>
        <v>3.9733051521419427E-2</v>
      </c>
      <c r="R1458" s="22">
        <f>INDEX('Net zero Activity data'!AK$24:AK$39,MATCH('Net zero emission reductions'!$G1458,'Net zero Activity data'!$D$24:$D$39,0))*INDEX(EF!$H$84:$H$99,MATCH('Net zero emission reductions'!$G1458,EF!$D$84:$D$99,0))*INDEX(EF!$H$100:$H$115,MATCH('Net zero emission reductions'!$G1458,EF!$D$100:$D$115,0))*INDEX(EF!$H$132:$H$147,MATCH('Net zero emission reductions'!$G1458,EF!$D$132:$D$147,0))*kgtoGg</f>
        <v>3.981597280499536E-2</v>
      </c>
      <c r="S1458" s="22">
        <f>INDEX('Net zero Activity data'!AL$24:AL$39,MATCH('Net zero emission reductions'!$G1458,'Net zero Activity data'!$D$24:$D$39,0))*INDEX(EF!$H$84:$H$99,MATCH('Net zero emission reductions'!$G1458,EF!$D$84:$D$99,0))*INDEX(EF!$H$100:$H$115,MATCH('Net zero emission reductions'!$G1458,EF!$D$100:$D$115,0))*INDEX(EF!$H$132:$H$147,MATCH('Net zero emission reductions'!$G1458,EF!$D$132:$D$147,0))*kgtoGg</f>
        <v>3.9898894088571286E-2</v>
      </c>
      <c r="T1458" s="22">
        <f>INDEX('Net zero Activity data'!AM$24:AM$39,MATCH('Net zero emission reductions'!$G1458,'Net zero Activity data'!$D$24:$D$39,0))*INDEX(EF!$H$84:$H$99,MATCH('Net zero emission reductions'!$G1458,EF!$D$84:$D$99,0))*INDEX(EF!$H$100:$H$115,MATCH('Net zero emission reductions'!$G1458,EF!$D$100:$D$115,0))*INDEX(EF!$H$132:$H$147,MATCH('Net zero emission reductions'!$G1458,EF!$D$132:$D$147,0))*kgtoGg</f>
        <v>3.9981815372147227E-2</v>
      </c>
      <c r="U1458" s="22">
        <f>INDEX('Net zero Activity data'!AN$24:AN$39,MATCH('Net zero emission reductions'!$G1458,'Net zero Activity data'!$D$24:$D$39,0))*INDEX(EF!$H$84:$H$99,MATCH('Net zero emission reductions'!$G1458,EF!$D$84:$D$99,0))*INDEX(EF!$H$100:$H$115,MATCH('Net zero emission reductions'!$G1458,EF!$D$100:$D$115,0))*INDEX(EF!$H$132:$H$147,MATCH('Net zero emission reductions'!$G1458,EF!$D$132:$D$147,0))*kgtoGg</f>
        <v>4.0064736655723153E-2</v>
      </c>
      <c r="V1458" s="22">
        <f>INDEX('Net zero Activity data'!AO$24:AO$39,MATCH('Net zero emission reductions'!$G1458,'Net zero Activity data'!$D$24:$D$39,0))*INDEX(EF!$H$84:$H$99,MATCH('Net zero emission reductions'!$G1458,EF!$D$84:$D$99,0))*INDEX(EF!$H$100:$H$115,MATCH('Net zero emission reductions'!$G1458,EF!$D$100:$D$115,0))*INDEX(EF!$H$132:$H$147,MATCH('Net zero emission reductions'!$G1458,EF!$D$132:$D$147,0))*kgtoGg</f>
        <v>4.0147657939299079E-2</v>
      </c>
      <c r="W1458" s="22">
        <f>INDEX('Net zero Activity data'!AP$24:AP$39,MATCH('Net zero emission reductions'!$G1458,'Net zero Activity data'!$D$24:$D$39,0))*INDEX(EF!$H$84:$H$99,MATCH('Net zero emission reductions'!$G1458,EF!$D$84:$D$99,0))*INDEX(EF!$H$100:$H$115,MATCH('Net zero emission reductions'!$G1458,EF!$D$100:$D$115,0))*INDEX(EF!$H$132:$H$147,MATCH('Net zero emission reductions'!$G1458,EF!$D$132:$D$147,0))*kgtoGg</f>
        <v>4.0230579222875013E-2</v>
      </c>
      <c r="X1458" s="22">
        <f>INDEX('Net zero Activity data'!AQ$24:AQ$39,MATCH('Net zero emission reductions'!$G1458,'Net zero Activity data'!$D$24:$D$39,0))*INDEX(EF!$H$84:$H$99,MATCH('Net zero emission reductions'!$G1458,EF!$D$84:$D$99,0))*INDEX(EF!$H$100:$H$115,MATCH('Net zero emission reductions'!$G1458,EF!$D$100:$D$115,0))*INDEX(EF!$H$132:$H$147,MATCH('Net zero emission reductions'!$G1458,EF!$D$132:$D$147,0))*kgtoGg</f>
        <v>4.0313500506450946E-2</v>
      </c>
      <c r="Y1458" s="22">
        <f>INDEX('Net zero Activity data'!AR$24:AR$39,MATCH('Net zero emission reductions'!$G1458,'Net zero Activity data'!$D$24:$D$39,0))*INDEX(EF!$H$84:$H$99,MATCH('Net zero emission reductions'!$G1458,EF!$D$84:$D$99,0))*INDEX(EF!$H$100:$H$115,MATCH('Net zero emission reductions'!$G1458,EF!$D$100:$D$115,0))*INDEX(EF!$H$132:$H$147,MATCH('Net zero emission reductions'!$G1458,EF!$D$132:$D$147,0))*kgtoGg</f>
        <v>4.0396421790026865E-2</v>
      </c>
      <c r="Z1458" s="22">
        <f>INDEX('Net zero Activity data'!AS$24:AS$39,MATCH('Net zero emission reductions'!$G1458,'Net zero Activity data'!$D$24:$D$39,0))*INDEX(EF!$H$84:$H$99,MATCH('Net zero emission reductions'!$G1458,EF!$D$84:$D$99,0))*INDEX(EF!$H$100:$H$115,MATCH('Net zero emission reductions'!$G1458,EF!$D$100:$D$115,0))*INDEX(EF!$H$132:$H$147,MATCH('Net zero emission reductions'!$G1458,EF!$D$132:$D$147,0))*kgtoGg</f>
        <v>4.0479343073602798E-2</v>
      </c>
      <c r="AA1458" s="22">
        <f>INDEX('Net zero Activity data'!AT$24:AT$39,MATCH('Net zero emission reductions'!$G1458,'Net zero Activity data'!$D$24:$D$39,0))*INDEX(EF!$H$84:$H$99,MATCH('Net zero emission reductions'!$G1458,EF!$D$84:$D$99,0))*INDEX(EF!$H$100:$H$115,MATCH('Net zero emission reductions'!$G1458,EF!$D$100:$D$115,0))*INDEX(EF!$H$132:$H$147,MATCH('Net zero emission reductions'!$G1458,EF!$D$132:$D$147,0))*kgtoGg</f>
        <v>4.0562264357178725E-2</v>
      </c>
      <c r="AB1458" s="22">
        <f>INDEX('Net zero Activity data'!AU$24:AU$39,MATCH('Net zero emission reductions'!$G1458,'Net zero Activity data'!$D$24:$D$39,0))*INDEX(EF!$H$84:$H$99,MATCH('Net zero emission reductions'!$G1458,EF!$D$84:$D$99,0))*INDEX(EF!$H$100:$H$115,MATCH('Net zero emission reductions'!$G1458,EF!$D$100:$D$115,0))*INDEX(EF!$H$132:$H$147,MATCH('Net zero emission reductions'!$G1458,EF!$D$132:$D$147,0))*kgtoGg</f>
        <v>4.0645185640754658E-2</v>
      </c>
      <c r="AC1458" s="22">
        <f>INDEX('Net zero Activity data'!AV$24:AV$39,MATCH('Net zero emission reductions'!$G1458,'Net zero Activity data'!$D$24:$D$39,0))*INDEX(EF!$H$84:$H$99,MATCH('Net zero emission reductions'!$G1458,EF!$D$84:$D$99,0))*INDEX(EF!$H$100:$H$115,MATCH('Net zero emission reductions'!$G1458,EF!$D$100:$D$115,0))*INDEX(EF!$H$132:$H$147,MATCH('Net zero emission reductions'!$G1458,EF!$D$132:$D$147,0))*kgtoGg</f>
        <v>4.0728106924330584E-2</v>
      </c>
      <c r="AD1458" s="22">
        <f>INDEX('Net zero Activity data'!AW$24:AW$39,MATCH('Net zero emission reductions'!$G1458,'Net zero Activity data'!$D$24:$D$39,0))*INDEX(EF!$H$84:$H$99,MATCH('Net zero emission reductions'!$G1458,EF!$D$84:$D$99,0))*INDEX(EF!$H$100:$H$115,MATCH('Net zero emission reductions'!$G1458,EF!$D$100:$D$115,0))*INDEX(EF!$H$132:$H$147,MATCH('Net zero emission reductions'!$G1458,EF!$D$132:$D$147,0))*kgtoGg</f>
        <v>4.0811028207906511E-2</v>
      </c>
      <c r="AE1458" s="22">
        <f>INDEX('Net zero Activity data'!AX$24:AX$39,MATCH('Net zero emission reductions'!$G1458,'Net zero Activity data'!$D$24:$D$39,0))*INDEX(EF!$H$84:$H$99,MATCH('Net zero emission reductions'!$G1458,EF!$D$84:$D$99,0))*INDEX(EF!$H$100:$H$115,MATCH('Net zero emission reductions'!$G1458,EF!$D$100:$D$115,0))*INDEX(EF!$H$132:$H$147,MATCH('Net zero emission reductions'!$G1458,EF!$D$132:$D$147,0))*kgtoGg</f>
        <v>4.0893949491482444E-2</v>
      </c>
      <c r="AF1458" s="22">
        <f>INDEX('Net zero Activity data'!AY$24:AY$39,MATCH('Net zero emission reductions'!$G1458,'Net zero Activity data'!$D$24:$D$39,0))*INDEX(EF!$H$84:$H$99,MATCH('Net zero emission reductions'!$G1458,EF!$D$84:$D$99,0))*INDEX(EF!$H$100:$H$115,MATCH('Net zero emission reductions'!$G1458,EF!$D$100:$D$115,0))*INDEX(EF!$H$132:$H$147,MATCH('Net zero emission reductions'!$G1458,EF!$D$132:$D$147,0))*kgtoGg</f>
        <v>4.097687077505837E-2</v>
      </c>
      <c r="AG1458" s="22">
        <f>INDEX('Net zero Activity data'!AZ$24:AZ$39,MATCH('Net zero emission reductions'!$G1458,'Net zero Activity data'!$D$24:$D$39,0))*INDEX(EF!$H$84:$H$99,MATCH('Net zero emission reductions'!$G1458,EF!$D$84:$D$99,0))*INDEX(EF!$H$100:$H$115,MATCH('Net zero emission reductions'!$G1458,EF!$D$100:$D$115,0))*INDEX(EF!$H$132:$H$147,MATCH('Net zero emission reductions'!$G1458,EF!$D$132:$D$147,0))*kgtoGg</f>
        <v>4.1059792058634303E-2</v>
      </c>
      <c r="AH1458" s="22">
        <f>INDEX('Net zero Activity data'!BA$24:BA$39,MATCH('Net zero emission reductions'!$G1458,'Net zero Activity data'!$D$24:$D$39,0))*INDEX(EF!$H$84:$H$99,MATCH('Net zero emission reductions'!$G1458,EF!$D$84:$D$99,0))*INDEX(EF!$H$100:$H$115,MATCH('Net zero emission reductions'!$G1458,EF!$D$100:$D$115,0))*INDEX(EF!$H$132:$H$147,MATCH('Net zero emission reductions'!$G1458,EF!$D$132:$D$147,0))*kgtoGg</f>
        <v>4.114271334221023E-2</v>
      </c>
      <c r="AI1458" s="22">
        <f>INDEX('Net zero Activity data'!BB$24:BB$39,MATCH('Net zero emission reductions'!$G1458,'Net zero Activity data'!$D$24:$D$39,0))*INDEX(EF!$H$84:$H$99,MATCH('Net zero emission reductions'!$G1458,EF!$D$84:$D$99,0))*INDEX(EF!$H$100:$H$115,MATCH('Net zero emission reductions'!$G1458,EF!$D$100:$D$115,0))*INDEX(EF!$H$132:$H$147,MATCH('Net zero emission reductions'!$G1458,EF!$D$132:$D$147,0))*kgtoGg</f>
        <v>4.1225634625786156E-2</v>
      </c>
      <c r="AJ1458" s="22">
        <f>INDEX('Net zero Activity data'!BC$24:BC$39,MATCH('Net zero emission reductions'!$G1458,'Net zero Activity data'!$D$24:$D$39,0))*INDEX(EF!$H$84:$H$99,MATCH('Net zero emission reductions'!$G1458,EF!$D$84:$D$99,0))*INDEX(EF!$H$100:$H$115,MATCH('Net zero emission reductions'!$G1458,EF!$D$100:$D$115,0))*INDEX(EF!$H$132:$H$147,MATCH('Net zero emission reductions'!$G1458,EF!$D$132:$D$147,0))*kgtoGg</f>
        <v>4.1308555909362089E-2</v>
      </c>
      <c r="AK1458" s="22">
        <f>INDEX('Net zero Activity data'!BD$24:BD$39,MATCH('Net zero emission reductions'!$G1458,'Net zero Activity data'!$D$24:$D$39,0))*INDEX(EF!$H$84:$H$99,MATCH('Net zero emission reductions'!$G1458,EF!$D$84:$D$99,0))*INDEX(EF!$H$100:$H$115,MATCH('Net zero emission reductions'!$G1458,EF!$D$100:$D$115,0))*INDEX(EF!$H$132:$H$147,MATCH('Net zero emission reductions'!$G1458,EF!$D$132:$D$147,0))*kgtoGg</f>
        <v>4.1391477192938023E-2</v>
      </c>
      <c r="AL1458" s="22">
        <f>INDEX('Net zero Activity data'!BE$24:BE$39,MATCH('Net zero emission reductions'!$G1458,'Net zero Activity data'!$D$24:$D$39,0))*INDEX(EF!$H$84:$H$99,MATCH('Net zero emission reductions'!$G1458,EF!$D$84:$D$99,0))*INDEX(EF!$H$100:$H$115,MATCH('Net zero emission reductions'!$G1458,EF!$D$100:$D$115,0))*INDEX(EF!$H$132:$H$147,MATCH('Net zero emission reductions'!$G1458,EF!$D$132:$D$147,0))*kgtoGg</f>
        <v>4.1474398476513949E-2</v>
      </c>
      <c r="AM1458" s="22">
        <f>INDEX('Net zero Activity data'!BF$24:BF$39,MATCH('Net zero emission reductions'!$G1458,'Net zero Activity data'!$D$24:$D$39,0))*INDEX(EF!$H$84:$H$99,MATCH('Net zero emission reductions'!$G1458,EF!$D$84:$D$99,0))*INDEX(EF!$H$100:$H$115,MATCH('Net zero emission reductions'!$G1458,EF!$D$100:$D$115,0))*INDEX(EF!$H$132:$H$147,MATCH('Net zero emission reductions'!$G1458,EF!$D$132:$D$147,0))*kgtoGg</f>
        <v>4.1557319760089875E-2</v>
      </c>
      <c r="AN1458" s="22">
        <f>INDEX('Net zero Activity data'!BG$24:BG$39,MATCH('Net zero emission reductions'!$G1458,'Net zero Activity data'!$D$24:$D$39,0))*INDEX(EF!$H$84:$H$99,MATCH('Net zero emission reductions'!$G1458,EF!$D$84:$D$99,0))*INDEX(EF!$H$100:$H$115,MATCH('Net zero emission reductions'!$G1458,EF!$D$100:$D$115,0))*INDEX(EF!$H$132:$H$147,MATCH('Net zero emission reductions'!$G1458,EF!$D$132:$D$147,0))*kgtoGg</f>
        <v>4.1640241043665809E-2</v>
      </c>
      <c r="AO1458" s="22">
        <f>INDEX('Net zero Activity data'!BH$24:BH$39,MATCH('Net zero emission reductions'!$G1458,'Net zero Activity data'!$D$24:$D$39,0))*INDEX(EF!$H$84:$H$99,MATCH('Net zero emission reductions'!$G1458,EF!$D$84:$D$99,0))*INDEX(EF!$H$100:$H$115,MATCH('Net zero emission reductions'!$G1458,EF!$D$100:$D$115,0))*INDEX(EF!$H$132:$H$147,MATCH('Net zero emission reductions'!$G1458,EF!$D$132:$D$147,0))*kgtoGg</f>
        <v>4.1723162327241742E-2</v>
      </c>
      <c r="AP1458" s="22">
        <f>INDEX('Net zero Activity data'!BI$24:BI$39,MATCH('Net zero emission reductions'!$G1458,'Net zero Activity data'!$D$24:$D$39,0))*INDEX(EF!$H$84:$H$99,MATCH('Net zero emission reductions'!$G1458,EF!$D$84:$D$99,0))*INDEX(EF!$H$100:$H$115,MATCH('Net zero emission reductions'!$G1458,EF!$D$100:$D$115,0))*INDEX(EF!$H$132:$H$147,MATCH('Net zero emission reductions'!$G1458,EF!$D$132:$D$147,0))*kgtoGg</f>
        <v>4.1806083610817661E-2</v>
      </c>
      <c r="AQ1458" s="22">
        <f>INDEX('Net zero Activity data'!BJ$24:BJ$39,MATCH('Net zero emission reductions'!$G1458,'Net zero Activity data'!$D$24:$D$39,0))*INDEX(EF!$H$84:$H$99,MATCH('Net zero emission reductions'!$G1458,EF!$D$84:$D$99,0))*INDEX(EF!$H$100:$H$115,MATCH('Net zero emission reductions'!$G1458,EF!$D$100:$D$115,0))*INDEX(EF!$H$132:$H$147,MATCH('Net zero emission reductions'!$G1458,EF!$D$132:$D$147,0))*kgtoGg</f>
        <v>4.1889004894393594E-2</v>
      </c>
      <c r="AR1458" s="22">
        <f>INDEX('Net zero Activity data'!BK$24:BK$39,MATCH('Net zero emission reductions'!$G1458,'Net zero Activity data'!$D$24:$D$39,0))*INDEX(EF!$H$84:$H$99,MATCH('Net zero emission reductions'!$G1458,EF!$D$84:$D$99,0))*INDEX(EF!$H$100:$H$115,MATCH('Net zero emission reductions'!$G1458,EF!$D$100:$D$115,0))*INDEX(EF!$H$132:$H$147,MATCH('Net zero emission reductions'!$G1458,EF!$D$132:$D$147,0))*kgtoGg</f>
        <v>4.1971926177969528E-2</v>
      </c>
      <c r="AS1458" s="22">
        <f>INDEX('Net zero Activity data'!BL$24:BL$39,MATCH('Net zero emission reductions'!$G1458,'Net zero Activity data'!$D$24:$D$39,0))*INDEX(EF!$H$84:$H$99,MATCH('Net zero emission reductions'!$G1458,EF!$D$84:$D$99,0))*INDEX(EF!$H$100:$H$115,MATCH('Net zero emission reductions'!$G1458,EF!$D$100:$D$115,0))*INDEX(EF!$H$132:$H$147,MATCH('Net zero emission reductions'!$G1458,EF!$D$132:$D$147,0))*kgtoGg</f>
        <v>4.2054847461545454E-2</v>
      </c>
      <c r="AT1458" s="22">
        <f>INDEX('Net zero Activity data'!BM$24:BM$39,MATCH('Net zero emission reductions'!$G1458,'Net zero Activity data'!$D$24:$D$39,0))*INDEX(EF!$H$84:$H$99,MATCH('Net zero emission reductions'!$G1458,EF!$D$84:$D$99,0))*INDEX(EF!$H$100:$H$115,MATCH('Net zero emission reductions'!$G1458,EF!$D$100:$D$115,0))*INDEX(EF!$H$132:$H$147,MATCH('Net zero emission reductions'!$G1458,EF!$D$132:$D$147,0))*kgtoGg</f>
        <v>4.2137768745121387E-2</v>
      </c>
      <c r="AU1458" s="22">
        <f>INDEX('Net zero Activity data'!BN$24:BN$39,MATCH('Net zero emission reductions'!$G1458,'Net zero Activity data'!$D$24:$D$39,0))*INDEX(EF!$H$84:$H$99,MATCH('Net zero emission reductions'!$G1458,EF!$D$84:$D$99,0))*INDEX(EF!$H$100:$H$115,MATCH('Net zero emission reductions'!$G1458,EF!$D$100:$D$115,0))*INDEX(EF!$H$132:$H$147,MATCH('Net zero emission reductions'!$G1458,EF!$D$132:$D$147,0))*kgtoGg</f>
        <v>4.2220690028697307E-2</v>
      </c>
      <c r="AV1458" s="22">
        <f>INDEX('Net zero Activity data'!BO$24:BO$39,MATCH('Net zero emission reductions'!$G1458,'Net zero Activity data'!$D$24:$D$39,0))*INDEX(EF!$H$84:$H$99,MATCH('Net zero emission reductions'!$G1458,EF!$D$84:$D$99,0))*INDEX(EF!$H$100:$H$115,MATCH('Net zero emission reductions'!$G1458,EF!$D$100:$D$115,0))*INDEX(EF!$H$132:$H$147,MATCH('Net zero emission reductions'!$G1458,EF!$D$132:$D$147,0))*kgtoGg</f>
        <v>4.230361131227324E-2</v>
      </c>
      <c r="AW1458" s="22">
        <f>INDEX('Net zero Activity data'!BP$24:BP$39,MATCH('Net zero emission reductions'!$G1458,'Net zero Activity data'!$D$24:$D$39,0))*INDEX(EF!$H$84:$H$99,MATCH('Net zero emission reductions'!$G1458,EF!$D$84:$D$99,0))*INDEX(EF!$H$100:$H$115,MATCH('Net zero emission reductions'!$G1458,EF!$D$100:$D$115,0))*INDEX(EF!$H$132:$H$147,MATCH('Net zero emission reductions'!$G1458,EF!$D$132:$D$147,0))*kgtoGg</f>
        <v>4.2386532595849173E-2</v>
      </c>
    </row>
    <row r="1459" spans="1:49" x14ac:dyDescent="0.25">
      <c r="A1459" s="102" t="s">
        <v>961</v>
      </c>
      <c r="B1459" s="102"/>
      <c r="C1459" s="102"/>
      <c r="D1459" t="str">
        <f t="shared" si="560"/>
        <v>3C Aggregated and non-CO2 emissions on land</v>
      </c>
      <c r="E1459" t="str">
        <f t="shared" si="560"/>
        <v>3C1 Biomass burning (N2O)</v>
      </c>
      <c r="F1459" t="str">
        <f t="shared" si="559"/>
        <v>3C1e Biomass burning in Settlements</v>
      </c>
      <c r="G1459" t="str">
        <f>EF!D114</f>
        <v>Mines</v>
      </c>
      <c r="H1459" t="s">
        <v>654</v>
      </c>
      <c r="I1459" t="str">
        <f t="shared" si="561"/>
        <v>N2O</v>
      </c>
      <c r="J1459" t="str">
        <f t="shared" si="561"/>
        <v>Gg N2O</v>
      </c>
      <c r="K1459" s="22">
        <f>INDEX('Net zero Activity data'!AD$24:AD$39,MATCH('Net zero emission reductions'!$G1459,'Net zero Activity data'!$D$24:$D$39,0))*INDEX(EF!$H$84:$H$99,MATCH('Net zero emission reductions'!$G1459,EF!$D$84:$D$99,0))*INDEX(EF!$H$100:$H$115,MATCH('Net zero emission reductions'!$G1459,EF!$D$100:$D$115,0))*INDEX(EF!$H$132:$H$147,MATCH('Net zero emission reductions'!$G1459,EF!$D$132:$D$147,0))*kgtoGg</f>
        <v>0</v>
      </c>
      <c r="L1459" s="22">
        <f>INDEX('Net zero Activity data'!AE$24:AE$39,MATCH('Net zero emission reductions'!$G1459,'Net zero Activity data'!$D$24:$D$39,0))*INDEX(EF!$H$84:$H$99,MATCH('Net zero emission reductions'!$G1459,EF!$D$84:$D$99,0))*INDEX(EF!$H$100:$H$115,MATCH('Net zero emission reductions'!$G1459,EF!$D$100:$D$115,0))*INDEX(EF!$H$132:$H$147,MATCH('Net zero emission reductions'!$G1459,EF!$D$132:$D$147,0))*kgtoGg</f>
        <v>0</v>
      </c>
      <c r="M1459" s="22">
        <f>INDEX('Net zero Activity data'!AF$24:AF$39,MATCH('Net zero emission reductions'!$G1459,'Net zero Activity data'!$D$24:$D$39,0))*INDEX(EF!$H$84:$H$99,MATCH('Net zero emission reductions'!$G1459,EF!$D$84:$D$99,0))*INDEX(EF!$H$100:$H$115,MATCH('Net zero emission reductions'!$G1459,EF!$D$100:$D$115,0))*INDEX(EF!$H$132:$H$147,MATCH('Net zero emission reductions'!$G1459,EF!$D$132:$D$147,0))*kgtoGg</f>
        <v>0</v>
      </c>
      <c r="N1459" s="22">
        <f>INDEX('Net zero Activity data'!AG$24:AG$39,MATCH('Net zero emission reductions'!$G1459,'Net zero Activity data'!$D$24:$D$39,0))*INDEX(EF!$H$84:$H$99,MATCH('Net zero emission reductions'!$G1459,EF!$D$84:$D$99,0))*INDEX(EF!$H$100:$H$115,MATCH('Net zero emission reductions'!$G1459,EF!$D$100:$D$115,0))*INDEX(EF!$H$132:$H$147,MATCH('Net zero emission reductions'!$G1459,EF!$D$132:$D$147,0))*kgtoGg</f>
        <v>0</v>
      </c>
      <c r="O1459" s="22">
        <f>INDEX('Net zero Activity data'!AH$24:AH$39,MATCH('Net zero emission reductions'!$G1459,'Net zero Activity data'!$D$24:$D$39,0))*INDEX(EF!$H$84:$H$99,MATCH('Net zero emission reductions'!$G1459,EF!$D$84:$D$99,0))*INDEX(EF!$H$100:$H$115,MATCH('Net zero emission reductions'!$G1459,EF!$D$100:$D$115,0))*INDEX(EF!$H$132:$H$147,MATCH('Net zero emission reductions'!$G1459,EF!$D$132:$D$147,0))*kgtoGg</f>
        <v>0</v>
      </c>
      <c r="P1459" s="22">
        <f>INDEX('Net zero Activity data'!AI$24:AI$39,MATCH('Net zero emission reductions'!$G1459,'Net zero Activity data'!$D$24:$D$39,0))*INDEX(EF!$H$84:$H$99,MATCH('Net zero emission reductions'!$G1459,EF!$D$84:$D$99,0))*INDEX(EF!$H$100:$H$115,MATCH('Net zero emission reductions'!$G1459,EF!$D$100:$D$115,0))*INDEX(EF!$H$132:$H$147,MATCH('Net zero emission reductions'!$G1459,EF!$D$132:$D$147,0))*kgtoGg</f>
        <v>0</v>
      </c>
      <c r="Q1459" s="22">
        <f>INDEX('Net zero Activity data'!AJ$24:AJ$39,MATCH('Net zero emission reductions'!$G1459,'Net zero Activity data'!$D$24:$D$39,0))*INDEX(EF!$H$84:$H$99,MATCH('Net zero emission reductions'!$G1459,EF!$D$84:$D$99,0))*INDEX(EF!$H$100:$H$115,MATCH('Net zero emission reductions'!$G1459,EF!$D$100:$D$115,0))*INDEX(EF!$H$132:$H$147,MATCH('Net zero emission reductions'!$G1459,EF!$D$132:$D$147,0))*kgtoGg</f>
        <v>0</v>
      </c>
      <c r="R1459" s="22">
        <f>INDEX('Net zero Activity data'!AK$24:AK$39,MATCH('Net zero emission reductions'!$G1459,'Net zero Activity data'!$D$24:$D$39,0))*INDEX(EF!$H$84:$H$99,MATCH('Net zero emission reductions'!$G1459,EF!$D$84:$D$99,0))*INDEX(EF!$H$100:$H$115,MATCH('Net zero emission reductions'!$G1459,EF!$D$100:$D$115,0))*INDEX(EF!$H$132:$H$147,MATCH('Net zero emission reductions'!$G1459,EF!$D$132:$D$147,0))*kgtoGg</f>
        <v>0</v>
      </c>
      <c r="S1459" s="22">
        <f>INDEX('Net zero Activity data'!AL$24:AL$39,MATCH('Net zero emission reductions'!$G1459,'Net zero Activity data'!$D$24:$D$39,0))*INDEX(EF!$H$84:$H$99,MATCH('Net zero emission reductions'!$G1459,EF!$D$84:$D$99,0))*INDEX(EF!$H$100:$H$115,MATCH('Net zero emission reductions'!$G1459,EF!$D$100:$D$115,0))*INDEX(EF!$H$132:$H$147,MATCH('Net zero emission reductions'!$G1459,EF!$D$132:$D$147,0))*kgtoGg</f>
        <v>0</v>
      </c>
      <c r="T1459" s="22">
        <f>INDEX('Net zero Activity data'!AM$24:AM$39,MATCH('Net zero emission reductions'!$G1459,'Net zero Activity data'!$D$24:$D$39,0))*INDEX(EF!$H$84:$H$99,MATCH('Net zero emission reductions'!$G1459,EF!$D$84:$D$99,0))*INDEX(EF!$H$100:$H$115,MATCH('Net zero emission reductions'!$G1459,EF!$D$100:$D$115,0))*INDEX(EF!$H$132:$H$147,MATCH('Net zero emission reductions'!$G1459,EF!$D$132:$D$147,0))*kgtoGg</f>
        <v>0</v>
      </c>
      <c r="U1459" s="22">
        <f>INDEX('Net zero Activity data'!AN$24:AN$39,MATCH('Net zero emission reductions'!$G1459,'Net zero Activity data'!$D$24:$D$39,0))*INDEX(EF!$H$84:$H$99,MATCH('Net zero emission reductions'!$G1459,EF!$D$84:$D$99,0))*INDEX(EF!$H$100:$H$115,MATCH('Net zero emission reductions'!$G1459,EF!$D$100:$D$115,0))*INDEX(EF!$H$132:$H$147,MATCH('Net zero emission reductions'!$G1459,EF!$D$132:$D$147,0))*kgtoGg</f>
        <v>0</v>
      </c>
      <c r="V1459" s="22">
        <f>INDEX('Net zero Activity data'!AO$24:AO$39,MATCH('Net zero emission reductions'!$G1459,'Net zero Activity data'!$D$24:$D$39,0))*INDEX(EF!$H$84:$H$99,MATCH('Net zero emission reductions'!$G1459,EF!$D$84:$D$99,0))*INDEX(EF!$H$100:$H$115,MATCH('Net zero emission reductions'!$G1459,EF!$D$100:$D$115,0))*INDEX(EF!$H$132:$H$147,MATCH('Net zero emission reductions'!$G1459,EF!$D$132:$D$147,0))*kgtoGg</f>
        <v>0</v>
      </c>
      <c r="W1459" s="22">
        <f>INDEX('Net zero Activity data'!AP$24:AP$39,MATCH('Net zero emission reductions'!$G1459,'Net zero Activity data'!$D$24:$D$39,0))*INDEX(EF!$H$84:$H$99,MATCH('Net zero emission reductions'!$G1459,EF!$D$84:$D$99,0))*INDEX(EF!$H$100:$H$115,MATCH('Net zero emission reductions'!$G1459,EF!$D$100:$D$115,0))*INDEX(EF!$H$132:$H$147,MATCH('Net zero emission reductions'!$G1459,EF!$D$132:$D$147,0))*kgtoGg</f>
        <v>0</v>
      </c>
      <c r="X1459" s="22">
        <f>INDEX('Net zero Activity data'!AQ$24:AQ$39,MATCH('Net zero emission reductions'!$G1459,'Net zero Activity data'!$D$24:$D$39,0))*INDEX(EF!$H$84:$H$99,MATCH('Net zero emission reductions'!$G1459,EF!$D$84:$D$99,0))*INDEX(EF!$H$100:$H$115,MATCH('Net zero emission reductions'!$G1459,EF!$D$100:$D$115,0))*INDEX(EF!$H$132:$H$147,MATCH('Net zero emission reductions'!$G1459,EF!$D$132:$D$147,0))*kgtoGg</f>
        <v>0</v>
      </c>
      <c r="Y1459" s="22">
        <f>INDEX('Net zero Activity data'!AR$24:AR$39,MATCH('Net zero emission reductions'!$G1459,'Net zero Activity data'!$D$24:$D$39,0))*INDEX(EF!$H$84:$H$99,MATCH('Net zero emission reductions'!$G1459,EF!$D$84:$D$99,0))*INDEX(EF!$H$100:$H$115,MATCH('Net zero emission reductions'!$G1459,EF!$D$100:$D$115,0))*INDEX(EF!$H$132:$H$147,MATCH('Net zero emission reductions'!$G1459,EF!$D$132:$D$147,0))*kgtoGg</f>
        <v>0</v>
      </c>
      <c r="Z1459" s="22">
        <f>INDEX('Net zero Activity data'!AS$24:AS$39,MATCH('Net zero emission reductions'!$G1459,'Net zero Activity data'!$D$24:$D$39,0))*INDEX(EF!$H$84:$H$99,MATCH('Net zero emission reductions'!$G1459,EF!$D$84:$D$99,0))*INDEX(EF!$H$100:$H$115,MATCH('Net zero emission reductions'!$G1459,EF!$D$100:$D$115,0))*INDEX(EF!$H$132:$H$147,MATCH('Net zero emission reductions'!$G1459,EF!$D$132:$D$147,0))*kgtoGg</f>
        <v>0</v>
      </c>
      <c r="AA1459" s="22">
        <f>INDEX('Net zero Activity data'!AT$24:AT$39,MATCH('Net zero emission reductions'!$G1459,'Net zero Activity data'!$D$24:$D$39,0))*INDEX(EF!$H$84:$H$99,MATCH('Net zero emission reductions'!$G1459,EF!$D$84:$D$99,0))*INDEX(EF!$H$100:$H$115,MATCH('Net zero emission reductions'!$G1459,EF!$D$100:$D$115,0))*INDEX(EF!$H$132:$H$147,MATCH('Net zero emission reductions'!$G1459,EF!$D$132:$D$147,0))*kgtoGg</f>
        <v>0</v>
      </c>
      <c r="AB1459" s="22">
        <f>INDEX('Net zero Activity data'!AU$24:AU$39,MATCH('Net zero emission reductions'!$G1459,'Net zero Activity data'!$D$24:$D$39,0))*INDEX(EF!$H$84:$H$99,MATCH('Net zero emission reductions'!$G1459,EF!$D$84:$D$99,0))*INDEX(EF!$H$100:$H$115,MATCH('Net zero emission reductions'!$G1459,EF!$D$100:$D$115,0))*INDEX(EF!$H$132:$H$147,MATCH('Net zero emission reductions'!$G1459,EF!$D$132:$D$147,0))*kgtoGg</f>
        <v>0</v>
      </c>
      <c r="AC1459" s="22">
        <f>INDEX('Net zero Activity data'!AV$24:AV$39,MATCH('Net zero emission reductions'!$G1459,'Net zero Activity data'!$D$24:$D$39,0))*INDEX(EF!$H$84:$H$99,MATCH('Net zero emission reductions'!$G1459,EF!$D$84:$D$99,0))*INDEX(EF!$H$100:$H$115,MATCH('Net zero emission reductions'!$G1459,EF!$D$100:$D$115,0))*INDEX(EF!$H$132:$H$147,MATCH('Net zero emission reductions'!$G1459,EF!$D$132:$D$147,0))*kgtoGg</f>
        <v>0</v>
      </c>
      <c r="AD1459" s="22">
        <f>INDEX('Net zero Activity data'!AW$24:AW$39,MATCH('Net zero emission reductions'!$G1459,'Net zero Activity data'!$D$24:$D$39,0))*INDEX(EF!$H$84:$H$99,MATCH('Net zero emission reductions'!$G1459,EF!$D$84:$D$99,0))*INDEX(EF!$H$100:$H$115,MATCH('Net zero emission reductions'!$G1459,EF!$D$100:$D$115,0))*INDEX(EF!$H$132:$H$147,MATCH('Net zero emission reductions'!$G1459,EF!$D$132:$D$147,0))*kgtoGg</f>
        <v>0</v>
      </c>
      <c r="AE1459" s="22">
        <f>INDEX('Net zero Activity data'!AX$24:AX$39,MATCH('Net zero emission reductions'!$G1459,'Net zero Activity data'!$D$24:$D$39,0))*INDEX(EF!$H$84:$H$99,MATCH('Net zero emission reductions'!$G1459,EF!$D$84:$D$99,0))*INDEX(EF!$H$100:$H$115,MATCH('Net zero emission reductions'!$G1459,EF!$D$100:$D$115,0))*INDEX(EF!$H$132:$H$147,MATCH('Net zero emission reductions'!$G1459,EF!$D$132:$D$147,0))*kgtoGg</f>
        <v>0</v>
      </c>
      <c r="AF1459" s="22">
        <f>INDEX('Net zero Activity data'!AY$24:AY$39,MATCH('Net zero emission reductions'!$G1459,'Net zero Activity data'!$D$24:$D$39,0))*INDEX(EF!$H$84:$H$99,MATCH('Net zero emission reductions'!$G1459,EF!$D$84:$D$99,0))*INDEX(EF!$H$100:$H$115,MATCH('Net zero emission reductions'!$G1459,EF!$D$100:$D$115,0))*INDEX(EF!$H$132:$H$147,MATCH('Net zero emission reductions'!$G1459,EF!$D$132:$D$147,0))*kgtoGg</f>
        <v>0</v>
      </c>
      <c r="AG1459" s="22">
        <f>INDEX('Net zero Activity data'!AZ$24:AZ$39,MATCH('Net zero emission reductions'!$G1459,'Net zero Activity data'!$D$24:$D$39,0))*INDEX(EF!$H$84:$H$99,MATCH('Net zero emission reductions'!$G1459,EF!$D$84:$D$99,0))*INDEX(EF!$H$100:$H$115,MATCH('Net zero emission reductions'!$G1459,EF!$D$100:$D$115,0))*INDEX(EF!$H$132:$H$147,MATCH('Net zero emission reductions'!$G1459,EF!$D$132:$D$147,0))*kgtoGg</f>
        <v>0</v>
      </c>
      <c r="AH1459" s="22">
        <f>INDEX('Net zero Activity data'!BA$24:BA$39,MATCH('Net zero emission reductions'!$G1459,'Net zero Activity data'!$D$24:$D$39,0))*INDEX(EF!$H$84:$H$99,MATCH('Net zero emission reductions'!$G1459,EF!$D$84:$D$99,0))*INDEX(EF!$H$100:$H$115,MATCH('Net zero emission reductions'!$G1459,EF!$D$100:$D$115,0))*INDEX(EF!$H$132:$H$147,MATCH('Net zero emission reductions'!$G1459,EF!$D$132:$D$147,0))*kgtoGg</f>
        <v>0</v>
      </c>
      <c r="AI1459" s="22">
        <f>INDEX('Net zero Activity data'!BB$24:BB$39,MATCH('Net zero emission reductions'!$G1459,'Net zero Activity data'!$D$24:$D$39,0))*INDEX(EF!$H$84:$H$99,MATCH('Net zero emission reductions'!$G1459,EF!$D$84:$D$99,0))*INDEX(EF!$H$100:$H$115,MATCH('Net zero emission reductions'!$G1459,EF!$D$100:$D$115,0))*INDEX(EF!$H$132:$H$147,MATCH('Net zero emission reductions'!$G1459,EF!$D$132:$D$147,0))*kgtoGg</f>
        <v>0</v>
      </c>
      <c r="AJ1459" s="22">
        <f>INDEX('Net zero Activity data'!BC$24:BC$39,MATCH('Net zero emission reductions'!$G1459,'Net zero Activity data'!$D$24:$D$39,0))*INDEX(EF!$H$84:$H$99,MATCH('Net zero emission reductions'!$G1459,EF!$D$84:$D$99,0))*INDEX(EF!$H$100:$H$115,MATCH('Net zero emission reductions'!$G1459,EF!$D$100:$D$115,0))*INDEX(EF!$H$132:$H$147,MATCH('Net zero emission reductions'!$G1459,EF!$D$132:$D$147,0))*kgtoGg</f>
        <v>0</v>
      </c>
      <c r="AK1459" s="22">
        <f>INDEX('Net zero Activity data'!BD$24:BD$39,MATCH('Net zero emission reductions'!$G1459,'Net zero Activity data'!$D$24:$D$39,0))*INDEX(EF!$H$84:$H$99,MATCH('Net zero emission reductions'!$G1459,EF!$D$84:$D$99,0))*INDEX(EF!$H$100:$H$115,MATCH('Net zero emission reductions'!$G1459,EF!$D$100:$D$115,0))*INDEX(EF!$H$132:$H$147,MATCH('Net zero emission reductions'!$G1459,EF!$D$132:$D$147,0))*kgtoGg</f>
        <v>0</v>
      </c>
      <c r="AL1459" s="22">
        <f>INDEX('Net zero Activity data'!BE$24:BE$39,MATCH('Net zero emission reductions'!$G1459,'Net zero Activity data'!$D$24:$D$39,0))*INDEX(EF!$H$84:$H$99,MATCH('Net zero emission reductions'!$G1459,EF!$D$84:$D$99,0))*INDEX(EF!$H$100:$H$115,MATCH('Net zero emission reductions'!$G1459,EF!$D$100:$D$115,0))*INDEX(EF!$H$132:$H$147,MATCH('Net zero emission reductions'!$G1459,EF!$D$132:$D$147,0))*kgtoGg</f>
        <v>0</v>
      </c>
      <c r="AM1459" s="22">
        <f>INDEX('Net zero Activity data'!BF$24:BF$39,MATCH('Net zero emission reductions'!$G1459,'Net zero Activity data'!$D$24:$D$39,0))*INDEX(EF!$H$84:$H$99,MATCH('Net zero emission reductions'!$G1459,EF!$D$84:$D$99,0))*INDEX(EF!$H$100:$H$115,MATCH('Net zero emission reductions'!$G1459,EF!$D$100:$D$115,0))*INDEX(EF!$H$132:$H$147,MATCH('Net zero emission reductions'!$G1459,EF!$D$132:$D$147,0))*kgtoGg</f>
        <v>0</v>
      </c>
      <c r="AN1459" s="22">
        <f>INDEX('Net zero Activity data'!BG$24:BG$39,MATCH('Net zero emission reductions'!$G1459,'Net zero Activity data'!$D$24:$D$39,0))*INDEX(EF!$H$84:$H$99,MATCH('Net zero emission reductions'!$G1459,EF!$D$84:$D$99,0))*INDEX(EF!$H$100:$H$115,MATCH('Net zero emission reductions'!$G1459,EF!$D$100:$D$115,0))*INDEX(EF!$H$132:$H$147,MATCH('Net zero emission reductions'!$G1459,EF!$D$132:$D$147,0))*kgtoGg</f>
        <v>0</v>
      </c>
      <c r="AO1459" s="22">
        <f>INDEX('Net zero Activity data'!BH$24:BH$39,MATCH('Net zero emission reductions'!$G1459,'Net zero Activity data'!$D$24:$D$39,0))*INDEX(EF!$H$84:$H$99,MATCH('Net zero emission reductions'!$G1459,EF!$D$84:$D$99,0))*INDEX(EF!$H$100:$H$115,MATCH('Net zero emission reductions'!$G1459,EF!$D$100:$D$115,0))*INDEX(EF!$H$132:$H$147,MATCH('Net zero emission reductions'!$G1459,EF!$D$132:$D$147,0))*kgtoGg</f>
        <v>0</v>
      </c>
      <c r="AP1459" s="22">
        <f>INDEX('Net zero Activity data'!BI$24:BI$39,MATCH('Net zero emission reductions'!$G1459,'Net zero Activity data'!$D$24:$D$39,0))*INDEX(EF!$H$84:$H$99,MATCH('Net zero emission reductions'!$G1459,EF!$D$84:$D$99,0))*INDEX(EF!$H$100:$H$115,MATCH('Net zero emission reductions'!$G1459,EF!$D$100:$D$115,0))*INDEX(EF!$H$132:$H$147,MATCH('Net zero emission reductions'!$G1459,EF!$D$132:$D$147,0))*kgtoGg</f>
        <v>0</v>
      </c>
      <c r="AQ1459" s="22">
        <f>INDEX('Net zero Activity data'!BJ$24:BJ$39,MATCH('Net zero emission reductions'!$G1459,'Net zero Activity data'!$D$24:$D$39,0))*INDEX(EF!$H$84:$H$99,MATCH('Net zero emission reductions'!$G1459,EF!$D$84:$D$99,0))*INDEX(EF!$H$100:$H$115,MATCH('Net zero emission reductions'!$G1459,EF!$D$100:$D$115,0))*INDEX(EF!$H$132:$H$147,MATCH('Net zero emission reductions'!$G1459,EF!$D$132:$D$147,0))*kgtoGg</f>
        <v>0</v>
      </c>
      <c r="AR1459" s="22">
        <f>INDEX('Net zero Activity data'!BK$24:BK$39,MATCH('Net zero emission reductions'!$G1459,'Net zero Activity data'!$D$24:$D$39,0))*INDEX(EF!$H$84:$H$99,MATCH('Net zero emission reductions'!$G1459,EF!$D$84:$D$99,0))*INDEX(EF!$H$100:$H$115,MATCH('Net zero emission reductions'!$G1459,EF!$D$100:$D$115,0))*INDEX(EF!$H$132:$H$147,MATCH('Net zero emission reductions'!$G1459,EF!$D$132:$D$147,0))*kgtoGg</f>
        <v>0</v>
      </c>
      <c r="AS1459" s="22">
        <f>INDEX('Net zero Activity data'!BL$24:BL$39,MATCH('Net zero emission reductions'!$G1459,'Net zero Activity data'!$D$24:$D$39,0))*INDEX(EF!$H$84:$H$99,MATCH('Net zero emission reductions'!$G1459,EF!$D$84:$D$99,0))*INDEX(EF!$H$100:$H$115,MATCH('Net zero emission reductions'!$G1459,EF!$D$100:$D$115,0))*INDEX(EF!$H$132:$H$147,MATCH('Net zero emission reductions'!$G1459,EF!$D$132:$D$147,0))*kgtoGg</f>
        <v>0</v>
      </c>
      <c r="AT1459" s="22">
        <f>INDEX('Net zero Activity data'!BM$24:BM$39,MATCH('Net zero emission reductions'!$G1459,'Net zero Activity data'!$D$24:$D$39,0))*INDEX(EF!$H$84:$H$99,MATCH('Net zero emission reductions'!$G1459,EF!$D$84:$D$99,0))*INDEX(EF!$H$100:$H$115,MATCH('Net zero emission reductions'!$G1459,EF!$D$100:$D$115,0))*INDEX(EF!$H$132:$H$147,MATCH('Net zero emission reductions'!$G1459,EF!$D$132:$D$147,0))*kgtoGg</f>
        <v>0</v>
      </c>
      <c r="AU1459" s="22">
        <f>INDEX('Net zero Activity data'!BN$24:BN$39,MATCH('Net zero emission reductions'!$G1459,'Net zero Activity data'!$D$24:$D$39,0))*INDEX(EF!$H$84:$H$99,MATCH('Net zero emission reductions'!$G1459,EF!$D$84:$D$99,0))*INDEX(EF!$H$100:$H$115,MATCH('Net zero emission reductions'!$G1459,EF!$D$100:$D$115,0))*INDEX(EF!$H$132:$H$147,MATCH('Net zero emission reductions'!$G1459,EF!$D$132:$D$147,0))*kgtoGg</f>
        <v>0</v>
      </c>
      <c r="AV1459" s="22">
        <f>INDEX('Net zero Activity data'!BO$24:BO$39,MATCH('Net zero emission reductions'!$G1459,'Net zero Activity data'!$D$24:$D$39,0))*INDEX(EF!$H$84:$H$99,MATCH('Net zero emission reductions'!$G1459,EF!$D$84:$D$99,0))*INDEX(EF!$H$100:$H$115,MATCH('Net zero emission reductions'!$G1459,EF!$D$100:$D$115,0))*INDEX(EF!$H$132:$H$147,MATCH('Net zero emission reductions'!$G1459,EF!$D$132:$D$147,0))*kgtoGg</f>
        <v>0</v>
      </c>
      <c r="AW1459" s="22">
        <f>INDEX('Net zero Activity data'!BP$24:BP$39,MATCH('Net zero emission reductions'!$G1459,'Net zero Activity data'!$D$24:$D$39,0))*INDEX(EF!$H$84:$H$99,MATCH('Net zero emission reductions'!$G1459,EF!$D$84:$D$99,0))*INDEX(EF!$H$100:$H$115,MATCH('Net zero emission reductions'!$G1459,EF!$D$100:$D$115,0))*INDEX(EF!$H$132:$H$147,MATCH('Net zero emission reductions'!$G1459,EF!$D$132:$D$147,0))*kgtoGg</f>
        <v>0</v>
      </c>
    </row>
    <row r="1460" spans="1:49" x14ac:dyDescent="0.25">
      <c r="A1460" s="102" t="s">
        <v>961</v>
      </c>
      <c r="B1460" s="102"/>
      <c r="C1460" s="102"/>
      <c r="D1460" t="str">
        <f t="shared" si="560"/>
        <v>3C Aggregated and non-CO2 emissions on land</v>
      </c>
      <c r="E1460" t="str">
        <f t="shared" si="560"/>
        <v>3C1 Biomass burning (N2O)</v>
      </c>
      <c r="F1460" t="str">
        <f t="shared" si="559"/>
        <v>3C1f Biomass burning in Other lands</v>
      </c>
      <c r="G1460" t="str">
        <f>EF!D115</f>
        <v>Bare ground</v>
      </c>
      <c r="H1460" t="s">
        <v>655</v>
      </c>
      <c r="I1460" t="str">
        <f t="shared" si="561"/>
        <v>N2O</v>
      </c>
      <c r="J1460" t="str">
        <f t="shared" si="561"/>
        <v>Gg N2O</v>
      </c>
      <c r="K1460" s="22">
        <f>INDEX('Net zero Activity data'!AD$24:AD$39,MATCH('Net zero emission reductions'!$G1460,'Net zero Activity data'!$D$24:$D$39,0))*INDEX(EF!$H$84:$H$99,MATCH('Net zero emission reductions'!$G1460,EF!$D$84:$D$99,0))*INDEX(EF!$H$100:$H$115,MATCH('Net zero emission reductions'!$G1460,EF!$D$100:$D$115,0))*INDEX(EF!$H$132:$H$147,MATCH('Net zero emission reductions'!$G1460,EF!$D$132:$D$147,0))*kgtoGg</f>
        <v>0</v>
      </c>
      <c r="L1460" s="22">
        <f>INDEX('Net zero Activity data'!AE$24:AE$39,MATCH('Net zero emission reductions'!$G1460,'Net zero Activity data'!$D$24:$D$39,0))*INDEX(EF!$H$84:$H$99,MATCH('Net zero emission reductions'!$G1460,EF!$D$84:$D$99,0))*INDEX(EF!$H$100:$H$115,MATCH('Net zero emission reductions'!$G1460,EF!$D$100:$D$115,0))*INDEX(EF!$H$132:$H$147,MATCH('Net zero emission reductions'!$G1460,EF!$D$132:$D$147,0))*kgtoGg</f>
        <v>0</v>
      </c>
      <c r="M1460" s="22">
        <f>INDEX('Net zero Activity data'!AF$24:AF$39,MATCH('Net zero emission reductions'!$G1460,'Net zero Activity data'!$D$24:$D$39,0))*INDEX(EF!$H$84:$H$99,MATCH('Net zero emission reductions'!$G1460,EF!$D$84:$D$99,0))*INDEX(EF!$H$100:$H$115,MATCH('Net zero emission reductions'!$G1460,EF!$D$100:$D$115,0))*INDEX(EF!$H$132:$H$147,MATCH('Net zero emission reductions'!$G1460,EF!$D$132:$D$147,0))*kgtoGg</f>
        <v>0</v>
      </c>
      <c r="N1460" s="22">
        <f>INDEX('Net zero Activity data'!AG$24:AG$39,MATCH('Net zero emission reductions'!$G1460,'Net zero Activity data'!$D$24:$D$39,0))*INDEX(EF!$H$84:$H$99,MATCH('Net zero emission reductions'!$G1460,EF!$D$84:$D$99,0))*INDEX(EF!$H$100:$H$115,MATCH('Net zero emission reductions'!$G1460,EF!$D$100:$D$115,0))*INDEX(EF!$H$132:$H$147,MATCH('Net zero emission reductions'!$G1460,EF!$D$132:$D$147,0))*kgtoGg</f>
        <v>0</v>
      </c>
      <c r="O1460" s="22">
        <f>INDEX('Net zero Activity data'!AH$24:AH$39,MATCH('Net zero emission reductions'!$G1460,'Net zero Activity data'!$D$24:$D$39,0))*INDEX(EF!$H$84:$H$99,MATCH('Net zero emission reductions'!$G1460,EF!$D$84:$D$99,0))*INDEX(EF!$H$100:$H$115,MATCH('Net zero emission reductions'!$G1460,EF!$D$100:$D$115,0))*INDEX(EF!$H$132:$H$147,MATCH('Net zero emission reductions'!$G1460,EF!$D$132:$D$147,0))*kgtoGg</f>
        <v>0</v>
      </c>
      <c r="P1460" s="22">
        <f>INDEX('Net zero Activity data'!AI$24:AI$39,MATCH('Net zero emission reductions'!$G1460,'Net zero Activity data'!$D$24:$D$39,0))*INDEX(EF!$H$84:$H$99,MATCH('Net zero emission reductions'!$G1460,EF!$D$84:$D$99,0))*INDEX(EF!$H$100:$H$115,MATCH('Net zero emission reductions'!$G1460,EF!$D$100:$D$115,0))*INDEX(EF!$H$132:$H$147,MATCH('Net zero emission reductions'!$G1460,EF!$D$132:$D$147,0))*kgtoGg</f>
        <v>0</v>
      </c>
      <c r="Q1460" s="22">
        <f>INDEX('Net zero Activity data'!AJ$24:AJ$39,MATCH('Net zero emission reductions'!$G1460,'Net zero Activity data'!$D$24:$D$39,0))*INDEX(EF!$H$84:$H$99,MATCH('Net zero emission reductions'!$G1460,EF!$D$84:$D$99,0))*INDEX(EF!$H$100:$H$115,MATCH('Net zero emission reductions'!$G1460,EF!$D$100:$D$115,0))*INDEX(EF!$H$132:$H$147,MATCH('Net zero emission reductions'!$G1460,EF!$D$132:$D$147,0))*kgtoGg</f>
        <v>0</v>
      </c>
      <c r="R1460" s="22">
        <f>INDEX('Net zero Activity data'!AK$24:AK$39,MATCH('Net zero emission reductions'!$G1460,'Net zero Activity data'!$D$24:$D$39,0))*INDEX(EF!$H$84:$H$99,MATCH('Net zero emission reductions'!$G1460,EF!$D$84:$D$99,0))*INDEX(EF!$H$100:$H$115,MATCH('Net zero emission reductions'!$G1460,EF!$D$100:$D$115,0))*INDEX(EF!$H$132:$H$147,MATCH('Net zero emission reductions'!$G1460,EF!$D$132:$D$147,0))*kgtoGg</f>
        <v>0</v>
      </c>
      <c r="S1460" s="22">
        <f>INDEX('Net zero Activity data'!AL$24:AL$39,MATCH('Net zero emission reductions'!$G1460,'Net zero Activity data'!$D$24:$D$39,0))*INDEX(EF!$H$84:$H$99,MATCH('Net zero emission reductions'!$G1460,EF!$D$84:$D$99,0))*INDEX(EF!$H$100:$H$115,MATCH('Net zero emission reductions'!$G1460,EF!$D$100:$D$115,0))*INDEX(EF!$H$132:$H$147,MATCH('Net zero emission reductions'!$G1460,EF!$D$132:$D$147,0))*kgtoGg</f>
        <v>0</v>
      </c>
      <c r="T1460" s="22">
        <f>INDEX('Net zero Activity data'!AM$24:AM$39,MATCH('Net zero emission reductions'!$G1460,'Net zero Activity data'!$D$24:$D$39,0))*INDEX(EF!$H$84:$H$99,MATCH('Net zero emission reductions'!$G1460,EF!$D$84:$D$99,0))*INDEX(EF!$H$100:$H$115,MATCH('Net zero emission reductions'!$G1460,EF!$D$100:$D$115,0))*INDEX(EF!$H$132:$H$147,MATCH('Net zero emission reductions'!$G1460,EF!$D$132:$D$147,0))*kgtoGg</f>
        <v>0</v>
      </c>
      <c r="U1460" s="22">
        <f>INDEX('Net zero Activity data'!AN$24:AN$39,MATCH('Net zero emission reductions'!$G1460,'Net zero Activity data'!$D$24:$D$39,0))*INDEX(EF!$H$84:$H$99,MATCH('Net zero emission reductions'!$G1460,EF!$D$84:$D$99,0))*INDEX(EF!$H$100:$H$115,MATCH('Net zero emission reductions'!$G1460,EF!$D$100:$D$115,0))*INDEX(EF!$H$132:$H$147,MATCH('Net zero emission reductions'!$G1460,EF!$D$132:$D$147,0))*kgtoGg</f>
        <v>0</v>
      </c>
      <c r="V1460" s="22">
        <f>INDEX('Net zero Activity data'!AO$24:AO$39,MATCH('Net zero emission reductions'!$G1460,'Net zero Activity data'!$D$24:$D$39,0))*INDEX(EF!$H$84:$H$99,MATCH('Net zero emission reductions'!$G1460,EF!$D$84:$D$99,0))*INDEX(EF!$H$100:$H$115,MATCH('Net zero emission reductions'!$G1460,EF!$D$100:$D$115,0))*INDEX(EF!$H$132:$H$147,MATCH('Net zero emission reductions'!$G1460,EF!$D$132:$D$147,0))*kgtoGg</f>
        <v>0</v>
      </c>
      <c r="W1460" s="22">
        <f>INDEX('Net zero Activity data'!AP$24:AP$39,MATCH('Net zero emission reductions'!$G1460,'Net zero Activity data'!$D$24:$D$39,0))*INDEX(EF!$H$84:$H$99,MATCH('Net zero emission reductions'!$G1460,EF!$D$84:$D$99,0))*INDEX(EF!$H$100:$H$115,MATCH('Net zero emission reductions'!$G1460,EF!$D$100:$D$115,0))*INDEX(EF!$H$132:$H$147,MATCH('Net zero emission reductions'!$G1460,EF!$D$132:$D$147,0))*kgtoGg</f>
        <v>0</v>
      </c>
      <c r="X1460" s="22">
        <f>INDEX('Net zero Activity data'!AQ$24:AQ$39,MATCH('Net zero emission reductions'!$G1460,'Net zero Activity data'!$D$24:$D$39,0))*INDEX(EF!$H$84:$H$99,MATCH('Net zero emission reductions'!$G1460,EF!$D$84:$D$99,0))*INDEX(EF!$H$100:$H$115,MATCH('Net zero emission reductions'!$G1460,EF!$D$100:$D$115,0))*INDEX(EF!$H$132:$H$147,MATCH('Net zero emission reductions'!$G1460,EF!$D$132:$D$147,0))*kgtoGg</f>
        <v>0</v>
      </c>
      <c r="Y1460" s="22">
        <f>INDEX('Net zero Activity data'!AR$24:AR$39,MATCH('Net zero emission reductions'!$G1460,'Net zero Activity data'!$D$24:$D$39,0))*INDEX(EF!$H$84:$H$99,MATCH('Net zero emission reductions'!$G1460,EF!$D$84:$D$99,0))*INDEX(EF!$H$100:$H$115,MATCH('Net zero emission reductions'!$G1460,EF!$D$100:$D$115,0))*INDEX(EF!$H$132:$H$147,MATCH('Net zero emission reductions'!$G1460,EF!$D$132:$D$147,0))*kgtoGg</f>
        <v>0</v>
      </c>
      <c r="Z1460" s="22">
        <f>INDEX('Net zero Activity data'!AS$24:AS$39,MATCH('Net zero emission reductions'!$G1460,'Net zero Activity data'!$D$24:$D$39,0))*INDEX(EF!$H$84:$H$99,MATCH('Net zero emission reductions'!$G1460,EF!$D$84:$D$99,0))*INDEX(EF!$H$100:$H$115,MATCH('Net zero emission reductions'!$G1460,EF!$D$100:$D$115,0))*INDEX(EF!$H$132:$H$147,MATCH('Net zero emission reductions'!$G1460,EF!$D$132:$D$147,0))*kgtoGg</f>
        <v>0</v>
      </c>
      <c r="AA1460" s="22">
        <f>INDEX('Net zero Activity data'!AT$24:AT$39,MATCH('Net zero emission reductions'!$G1460,'Net zero Activity data'!$D$24:$D$39,0))*INDEX(EF!$H$84:$H$99,MATCH('Net zero emission reductions'!$G1460,EF!$D$84:$D$99,0))*INDEX(EF!$H$100:$H$115,MATCH('Net zero emission reductions'!$G1460,EF!$D$100:$D$115,0))*INDEX(EF!$H$132:$H$147,MATCH('Net zero emission reductions'!$G1460,EF!$D$132:$D$147,0))*kgtoGg</f>
        <v>0</v>
      </c>
      <c r="AB1460" s="22">
        <f>INDEX('Net zero Activity data'!AU$24:AU$39,MATCH('Net zero emission reductions'!$G1460,'Net zero Activity data'!$D$24:$D$39,0))*INDEX(EF!$H$84:$H$99,MATCH('Net zero emission reductions'!$G1460,EF!$D$84:$D$99,0))*INDEX(EF!$H$100:$H$115,MATCH('Net zero emission reductions'!$G1460,EF!$D$100:$D$115,0))*INDEX(EF!$H$132:$H$147,MATCH('Net zero emission reductions'!$G1460,EF!$D$132:$D$147,0))*kgtoGg</f>
        <v>0</v>
      </c>
      <c r="AC1460" s="22">
        <f>INDEX('Net zero Activity data'!AV$24:AV$39,MATCH('Net zero emission reductions'!$G1460,'Net zero Activity data'!$D$24:$D$39,0))*INDEX(EF!$H$84:$H$99,MATCH('Net zero emission reductions'!$G1460,EF!$D$84:$D$99,0))*INDEX(EF!$H$100:$H$115,MATCH('Net zero emission reductions'!$G1460,EF!$D$100:$D$115,0))*INDEX(EF!$H$132:$H$147,MATCH('Net zero emission reductions'!$G1460,EF!$D$132:$D$147,0))*kgtoGg</f>
        <v>0</v>
      </c>
      <c r="AD1460" s="22">
        <f>INDEX('Net zero Activity data'!AW$24:AW$39,MATCH('Net zero emission reductions'!$G1460,'Net zero Activity data'!$D$24:$D$39,0))*INDEX(EF!$H$84:$H$99,MATCH('Net zero emission reductions'!$G1460,EF!$D$84:$D$99,0))*INDEX(EF!$H$100:$H$115,MATCH('Net zero emission reductions'!$G1460,EF!$D$100:$D$115,0))*INDEX(EF!$H$132:$H$147,MATCH('Net zero emission reductions'!$G1460,EF!$D$132:$D$147,0))*kgtoGg</f>
        <v>0</v>
      </c>
      <c r="AE1460" s="22">
        <f>INDEX('Net zero Activity data'!AX$24:AX$39,MATCH('Net zero emission reductions'!$G1460,'Net zero Activity data'!$D$24:$D$39,0))*INDEX(EF!$H$84:$H$99,MATCH('Net zero emission reductions'!$G1460,EF!$D$84:$D$99,0))*INDEX(EF!$H$100:$H$115,MATCH('Net zero emission reductions'!$G1460,EF!$D$100:$D$115,0))*INDEX(EF!$H$132:$H$147,MATCH('Net zero emission reductions'!$G1460,EF!$D$132:$D$147,0))*kgtoGg</f>
        <v>0</v>
      </c>
      <c r="AF1460" s="22">
        <f>INDEX('Net zero Activity data'!AY$24:AY$39,MATCH('Net zero emission reductions'!$G1460,'Net zero Activity data'!$D$24:$D$39,0))*INDEX(EF!$H$84:$H$99,MATCH('Net zero emission reductions'!$G1460,EF!$D$84:$D$99,0))*INDEX(EF!$H$100:$H$115,MATCH('Net zero emission reductions'!$G1460,EF!$D$100:$D$115,0))*INDEX(EF!$H$132:$H$147,MATCH('Net zero emission reductions'!$G1460,EF!$D$132:$D$147,0))*kgtoGg</f>
        <v>0</v>
      </c>
      <c r="AG1460" s="22">
        <f>INDEX('Net zero Activity data'!AZ$24:AZ$39,MATCH('Net zero emission reductions'!$G1460,'Net zero Activity data'!$D$24:$D$39,0))*INDEX(EF!$H$84:$H$99,MATCH('Net zero emission reductions'!$G1460,EF!$D$84:$D$99,0))*INDEX(EF!$H$100:$H$115,MATCH('Net zero emission reductions'!$G1460,EF!$D$100:$D$115,0))*INDEX(EF!$H$132:$H$147,MATCH('Net zero emission reductions'!$G1460,EF!$D$132:$D$147,0))*kgtoGg</f>
        <v>0</v>
      </c>
      <c r="AH1460" s="22">
        <f>INDEX('Net zero Activity data'!BA$24:BA$39,MATCH('Net zero emission reductions'!$G1460,'Net zero Activity data'!$D$24:$D$39,0))*INDEX(EF!$H$84:$H$99,MATCH('Net zero emission reductions'!$G1460,EF!$D$84:$D$99,0))*INDEX(EF!$H$100:$H$115,MATCH('Net zero emission reductions'!$G1460,EF!$D$100:$D$115,0))*INDEX(EF!$H$132:$H$147,MATCH('Net zero emission reductions'!$G1460,EF!$D$132:$D$147,0))*kgtoGg</f>
        <v>0</v>
      </c>
      <c r="AI1460" s="22">
        <f>INDEX('Net zero Activity data'!BB$24:BB$39,MATCH('Net zero emission reductions'!$G1460,'Net zero Activity data'!$D$24:$D$39,0))*INDEX(EF!$H$84:$H$99,MATCH('Net zero emission reductions'!$G1460,EF!$D$84:$D$99,0))*INDEX(EF!$H$100:$H$115,MATCH('Net zero emission reductions'!$G1460,EF!$D$100:$D$115,0))*INDEX(EF!$H$132:$H$147,MATCH('Net zero emission reductions'!$G1460,EF!$D$132:$D$147,0))*kgtoGg</f>
        <v>0</v>
      </c>
      <c r="AJ1460" s="22">
        <f>INDEX('Net zero Activity data'!BC$24:BC$39,MATCH('Net zero emission reductions'!$G1460,'Net zero Activity data'!$D$24:$D$39,0))*INDEX(EF!$H$84:$H$99,MATCH('Net zero emission reductions'!$G1460,EF!$D$84:$D$99,0))*INDEX(EF!$H$100:$H$115,MATCH('Net zero emission reductions'!$G1460,EF!$D$100:$D$115,0))*INDEX(EF!$H$132:$H$147,MATCH('Net zero emission reductions'!$G1460,EF!$D$132:$D$147,0))*kgtoGg</f>
        <v>0</v>
      </c>
      <c r="AK1460" s="22">
        <f>INDEX('Net zero Activity data'!BD$24:BD$39,MATCH('Net zero emission reductions'!$G1460,'Net zero Activity data'!$D$24:$D$39,0))*INDEX(EF!$H$84:$H$99,MATCH('Net zero emission reductions'!$G1460,EF!$D$84:$D$99,0))*INDEX(EF!$H$100:$H$115,MATCH('Net zero emission reductions'!$G1460,EF!$D$100:$D$115,0))*INDEX(EF!$H$132:$H$147,MATCH('Net zero emission reductions'!$G1460,EF!$D$132:$D$147,0))*kgtoGg</f>
        <v>0</v>
      </c>
      <c r="AL1460" s="22">
        <f>INDEX('Net zero Activity data'!BE$24:BE$39,MATCH('Net zero emission reductions'!$G1460,'Net zero Activity data'!$D$24:$D$39,0))*INDEX(EF!$H$84:$H$99,MATCH('Net zero emission reductions'!$G1460,EF!$D$84:$D$99,0))*INDEX(EF!$H$100:$H$115,MATCH('Net zero emission reductions'!$G1460,EF!$D$100:$D$115,0))*INDEX(EF!$H$132:$H$147,MATCH('Net zero emission reductions'!$G1460,EF!$D$132:$D$147,0))*kgtoGg</f>
        <v>0</v>
      </c>
      <c r="AM1460" s="22">
        <f>INDEX('Net zero Activity data'!BF$24:BF$39,MATCH('Net zero emission reductions'!$G1460,'Net zero Activity data'!$D$24:$D$39,0))*INDEX(EF!$H$84:$H$99,MATCH('Net zero emission reductions'!$G1460,EF!$D$84:$D$99,0))*INDEX(EF!$H$100:$H$115,MATCH('Net zero emission reductions'!$G1460,EF!$D$100:$D$115,0))*INDEX(EF!$H$132:$H$147,MATCH('Net zero emission reductions'!$G1460,EF!$D$132:$D$147,0))*kgtoGg</f>
        <v>0</v>
      </c>
      <c r="AN1460" s="22">
        <f>INDEX('Net zero Activity data'!BG$24:BG$39,MATCH('Net zero emission reductions'!$G1460,'Net zero Activity data'!$D$24:$D$39,0))*INDEX(EF!$H$84:$H$99,MATCH('Net zero emission reductions'!$G1460,EF!$D$84:$D$99,0))*INDEX(EF!$H$100:$H$115,MATCH('Net zero emission reductions'!$G1460,EF!$D$100:$D$115,0))*INDEX(EF!$H$132:$H$147,MATCH('Net zero emission reductions'!$G1460,EF!$D$132:$D$147,0))*kgtoGg</f>
        <v>0</v>
      </c>
      <c r="AO1460" s="22">
        <f>INDEX('Net zero Activity data'!BH$24:BH$39,MATCH('Net zero emission reductions'!$G1460,'Net zero Activity data'!$D$24:$D$39,0))*INDEX(EF!$H$84:$H$99,MATCH('Net zero emission reductions'!$G1460,EF!$D$84:$D$99,0))*INDEX(EF!$H$100:$H$115,MATCH('Net zero emission reductions'!$G1460,EF!$D$100:$D$115,0))*INDEX(EF!$H$132:$H$147,MATCH('Net zero emission reductions'!$G1460,EF!$D$132:$D$147,0))*kgtoGg</f>
        <v>0</v>
      </c>
      <c r="AP1460" s="22">
        <f>INDEX('Net zero Activity data'!BI$24:BI$39,MATCH('Net zero emission reductions'!$G1460,'Net zero Activity data'!$D$24:$D$39,0))*INDEX(EF!$H$84:$H$99,MATCH('Net zero emission reductions'!$G1460,EF!$D$84:$D$99,0))*INDEX(EF!$H$100:$H$115,MATCH('Net zero emission reductions'!$G1460,EF!$D$100:$D$115,0))*INDEX(EF!$H$132:$H$147,MATCH('Net zero emission reductions'!$G1460,EF!$D$132:$D$147,0))*kgtoGg</f>
        <v>0</v>
      </c>
      <c r="AQ1460" s="22">
        <f>INDEX('Net zero Activity data'!BJ$24:BJ$39,MATCH('Net zero emission reductions'!$G1460,'Net zero Activity data'!$D$24:$D$39,0))*INDEX(EF!$H$84:$H$99,MATCH('Net zero emission reductions'!$G1460,EF!$D$84:$D$99,0))*INDEX(EF!$H$100:$H$115,MATCH('Net zero emission reductions'!$G1460,EF!$D$100:$D$115,0))*INDEX(EF!$H$132:$H$147,MATCH('Net zero emission reductions'!$G1460,EF!$D$132:$D$147,0))*kgtoGg</f>
        <v>0</v>
      </c>
      <c r="AR1460" s="22">
        <f>INDEX('Net zero Activity data'!BK$24:BK$39,MATCH('Net zero emission reductions'!$G1460,'Net zero Activity data'!$D$24:$D$39,0))*INDEX(EF!$H$84:$H$99,MATCH('Net zero emission reductions'!$G1460,EF!$D$84:$D$99,0))*INDEX(EF!$H$100:$H$115,MATCH('Net zero emission reductions'!$G1460,EF!$D$100:$D$115,0))*INDEX(EF!$H$132:$H$147,MATCH('Net zero emission reductions'!$G1460,EF!$D$132:$D$147,0))*kgtoGg</f>
        <v>0</v>
      </c>
      <c r="AS1460" s="22">
        <f>INDEX('Net zero Activity data'!BL$24:BL$39,MATCH('Net zero emission reductions'!$G1460,'Net zero Activity data'!$D$24:$D$39,0))*INDEX(EF!$H$84:$H$99,MATCH('Net zero emission reductions'!$G1460,EF!$D$84:$D$99,0))*INDEX(EF!$H$100:$H$115,MATCH('Net zero emission reductions'!$G1460,EF!$D$100:$D$115,0))*INDEX(EF!$H$132:$H$147,MATCH('Net zero emission reductions'!$G1460,EF!$D$132:$D$147,0))*kgtoGg</f>
        <v>0</v>
      </c>
      <c r="AT1460" s="22">
        <f>INDEX('Net zero Activity data'!BM$24:BM$39,MATCH('Net zero emission reductions'!$G1460,'Net zero Activity data'!$D$24:$D$39,0))*INDEX(EF!$H$84:$H$99,MATCH('Net zero emission reductions'!$G1460,EF!$D$84:$D$99,0))*INDEX(EF!$H$100:$H$115,MATCH('Net zero emission reductions'!$G1460,EF!$D$100:$D$115,0))*INDEX(EF!$H$132:$H$147,MATCH('Net zero emission reductions'!$G1460,EF!$D$132:$D$147,0))*kgtoGg</f>
        <v>0</v>
      </c>
      <c r="AU1460" s="22">
        <f>INDEX('Net zero Activity data'!BN$24:BN$39,MATCH('Net zero emission reductions'!$G1460,'Net zero Activity data'!$D$24:$D$39,0))*INDEX(EF!$H$84:$H$99,MATCH('Net zero emission reductions'!$G1460,EF!$D$84:$D$99,0))*INDEX(EF!$H$100:$H$115,MATCH('Net zero emission reductions'!$G1460,EF!$D$100:$D$115,0))*INDEX(EF!$H$132:$H$147,MATCH('Net zero emission reductions'!$G1460,EF!$D$132:$D$147,0))*kgtoGg</f>
        <v>0</v>
      </c>
      <c r="AV1460" s="22">
        <f>INDEX('Net zero Activity data'!BO$24:BO$39,MATCH('Net zero emission reductions'!$G1460,'Net zero Activity data'!$D$24:$D$39,0))*INDEX(EF!$H$84:$H$99,MATCH('Net zero emission reductions'!$G1460,EF!$D$84:$D$99,0))*INDEX(EF!$H$100:$H$115,MATCH('Net zero emission reductions'!$G1460,EF!$D$100:$D$115,0))*INDEX(EF!$H$132:$H$147,MATCH('Net zero emission reductions'!$G1460,EF!$D$132:$D$147,0))*kgtoGg</f>
        <v>0</v>
      </c>
      <c r="AW1460" s="22">
        <f>INDEX('Net zero Activity data'!BP$24:BP$39,MATCH('Net zero emission reductions'!$G1460,'Net zero Activity data'!$D$24:$D$39,0))*INDEX(EF!$H$84:$H$99,MATCH('Net zero emission reductions'!$G1460,EF!$D$84:$D$99,0))*INDEX(EF!$H$100:$H$115,MATCH('Net zero emission reductions'!$G1460,EF!$D$100:$D$115,0))*INDEX(EF!$H$132:$H$147,MATCH('Net zero emission reductions'!$G1460,EF!$D$132:$D$147,0))*kgtoGg</f>
        <v>0</v>
      </c>
    </row>
    <row r="1461" spans="1:49" x14ac:dyDescent="0.25">
      <c r="A1461" s="102" t="s">
        <v>961</v>
      </c>
      <c r="B1461" s="102"/>
      <c r="C1461" s="102"/>
      <c r="D1461" t="str">
        <f>D1460</f>
        <v>3C Aggregated and non-CO2 emissions on land</v>
      </c>
      <c r="E1461" t="str">
        <f>'IPCC Categories'!B71</f>
        <v>3C2 Liming (CO2)</v>
      </c>
      <c r="H1461" t="s">
        <v>381</v>
      </c>
      <c r="I1461" t="s">
        <v>380</v>
      </c>
      <c r="J1461" t="s">
        <v>382</v>
      </c>
      <c r="K1461" s="22">
        <f>'Activity data'!AD45*EF!$H$149*CtoCO2*ttoGg</f>
        <v>886.46691832724639</v>
      </c>
      <c r="L1461" s="22">
        <f>'Activity data'!AE45*EF!$H$149*CtoCO2*ttoGg</f>
        <v>888.8539802377943</v>
      </c>
      <c r="M1461" s="22">
        <f>'Activity data'!AF45*EF!$H$149*CtoCO2*ttoGg</f>
        <v>892.11591690555679</v>
      </c>
      <c r="N1461" s="22">
        <f>'Activity data'!AG45*EF!$H$149*CtoCO2*ttoGg</f>
        <v>894.48365036682526</v>
      </c>
      <c r="O1461" s="22">
        <f>'Activity data'!AH45*EF!$H$149*CtoCO2*ttoGg</f>
        <v>895.63671892685147</v>
      </c>
      <c r="P1461" s="22">
        <f>'Activity data'!AI45*EF!$H$149*CtoCO2*ttoGg</f>
        <v>896.77480880606822</v>
      </c>
      <c r="Q1461" s="22">
        <f>'Activity data'!AJ45*EF!$H$149*CtoCO2*ttoGg</f>
        <v>898.49646270469111</v>
      </c>
      <c r="R1461" s="22">
        <f>'Activity data'!AK45*EF!$H$149*CtoCO2*ttoGg</f>
        <v>900.38142148545217</v>
      </c>
      <c r="S1461" s="22">
        <f>'Activity data'!AL45*EF!$H$149*CtoCO2*ttoGg</f>
        <v>900.99830242057169</v>
      </c>
      <c r="T1461" s="22">
        <f>'Activity data'!AM45*EF!$H$149*CtoCO2*ttoGg</f>
        <v>889.66719901995361</v>
      </c>
      <c r="U1461" s="22">
        <f>'Activity data'!AN45*EF!$H$149*CtoCO2*ttoGg</f>
        <v>893.20175352101023</v>
      </c>
      <c r="V1461" s="22">
        <f>'Activity data'!AO45*EF!$H$149*CtoCO2*ttoGg</f>
        <v>896.37958965851215</v>
      </c>
      <c r="W1461" s="22">
        <f>'Activity data'!AP45*EF!$H$149*CtoCO2*ttoGg</f>
        <v>899.52796651639687</v>
      </c>
      <c r="X1461" s="22">
        <f>'Activity data'!AQ45*EF!$H$149*CtoCO2*ttoGg</f>
        <v>903.14197529554713</v>
      </c>
      <c r="Y1461" s="22">
        <f>'Activity data'!AR45*EF!$H$149*CtoCO2*ttoGg</f>
        <v>906.71675954110367</v>
      </c>
      <c r="Z1461" s="22">
        <f>'Activity data'!AS45*EF!$H$149*CtoCO2*ttoGg</f>
        <v>910.34114366574249</v>
      </c>
      <c r="AA1461" s="22">
        <f>'Activity data'!AT45*EF!$H$149*CtoCO2*ttoGg</f>
        <v>913.8112544636009</v>
      </c>
      <c r="AB1461" s="22">
        <f>'Activity data'!AU45*EF!$H$149*CtoCO2*ttoGg</f>
        <v>917.42968502221754</v>
      </c>
      <c r="AC1461" s="22">
        <f>'Activity data'!AV45*EF!$H$149*CtoCO2*ttoGg</f>
        <v>920.79096517926757</v>
      </c>
      <c r="AD1461" s="22">
        <f>'Activity data'!AW45*EF!$H$149*CtoCO2*ttoGg</f>
        <v>924.18223016555146</v>
      </c>
      <c r="AE1461" s="22">
        <f>'Activity data'!AX45*EF!$H$149*CtoCO2*ttoGg</f>
        <v>928.12851356454928</v>
      </c>
      <c r="AF1461" s="22">
        <f>'Activity data'!AY45*EF!$H$149*CtoCO2*ttoGg</f>
        <v>932.29458147366915</v>
      </c>
      <c r="AG1461" s="22">
        <f>'Activity data'!AZ45*EF!$H$149*CtoCO2*ttoGg</f>
        <v>936.51320053616291</v>
      </c>
      <c r="AH1461" s="22">
        <f>'Activity data'!BA45*EF!$H$149*CtoCO2*ttoGg</f>
        <v>937.35041504811659</v>
      </c>
      <c r="AI1461" s="22">
        <f>'Activity data'!BB45*EF!$H$149*CtoCO2*ttoGg</f>
        <v>589.44115069085547</v>
      </c>
      <c r="AJ1461" s="22">
        <f>'Activity data'!BC45*EF!$H$149*CtoCO2*ttoGg</f>
        <v>588.82564419868595</v>
      </c>
      <c r="AK1461" s="22">
        <f>'Activity data'!BD45*EF!$H$149*CtoCO2*ttoGg</f>
        <v>588.20365849957375</v>
      </c>
      <c r="AL1461" s="22">
        <f>'Activity data'!BE45*EF!$H$149*CtoCO2*ttoGg</f>
        <v>587.5751043341877</v>
      </c>
      <c r="AM1461" s="22">
        <f>'Activity data'!BF45*EF!$H$149*CtoCO2*ttoGg</f>
        <v>586.93989076430898</v>
      </c>
      <c r="AN1461" s="22">
        <f>'Activity data'!BG45*EF!$H$149*CtoCO2*ttoGg</f>
        <v>586.29792513092821</v>
      </c>
      <c r="AO1461" s="22">
        <f>'Activity data'!BH45*EF!$H$149*CtoCO2*ttoGg</f>
        <v>585.74764217221855</v>
      </c>
      <c r="AP1461" s="22">
        <f>'Activity data'!BI45*EF!$H$149*CtoCO2*ttoGg</f>
        <v>585.19236759087596</v>
      </c>
      <c r="AQ1461" s="22">
        <f>'Activity data'!BJ45*EF!$H$149*CtoCO2*ttoGg</f>
        <v>584.6320416605073</v>
      </c>
      <c r="AR1461" s="22">
        <f>'Activity data'!BK45*EF!$H$149*CtoCO2*ttoGg</f>
        <v>584.06660367487802</v>
      </c>
      <c r="AS1461" s="22">
        <f>'Activity data'!BL45*EF!$H$149*CtoCO2*ttoGg</f>
        <v>583.49599192657536</v>
      </c>
      <c r="AT1461" s="22">
        <f>'Activity data'!BM45*EF!$H$149*CtoCO2*ttoGg</f>
        <v>583.02281981030717</v>
      </c>
      <c r="AU1461" s="22">
        <f>'Activity data'!BN45*EF!$H$149*CtoCO2*ttoGg</f>
        <v>582.54607093944685</v>
      </c>
      <c r="AV1461" s="22">
        <f>'Activity data'!BO45*EF!$H$149*CtoCO2*ttoGg</f>
        <v>582.06570941053144</v>
      </c>
      <c r="AW1461" s="22">
        <f>'Activity data'!BP45*EF!$H$149*CtoCO2*ttoGg</f>
        <v>581.58169882431378</v>
      </c>
    </row>
    <row r="1462" spans="1:49" x14ac:dyDescent="0.25">
      <c r="A1462" s="102" t="s">
        <v>961</v>
      </c>
      <c r="B1462" s="102"/>
      <c r="C1462" s="102"/>
      <c r="D1462" t="str">
        <f>D1461</f>
        <v>3C Aggregated and non-CO2 emissions on land</v>
      </c>
      <c r="E1462" t="str">
        <f>'IPCC Categories'!B72</f>
        <v>3C3 Urea application (CO2)</v>
      </c>
      <c r="H1462" t="s">
        <v>387</v>
      </c>
      <c r="I1462" t="s">
        <v>380</v>
      </c>
      <c r="J1462" t="s">
        <v>382</v>
      </c>
      <c r="K1462" s="22">
        <f>'Activity data'!AD46*EF!$H$150*CtoCO2*ttoGg</f>
        <v>470.0955092083982</v>
      </c>
      <c r="L1462" s="22">
        <f>'Activity data'!AE46*EF!$H$150*CtoCO2*ttoGg</f>
        <v>470.03536519379952</v>
      </c>
      <c r="M1462" s="22">
        <f>'Activity data'!AF46*EF!$H$150*CtoCO2*ttoGg</f>
        <v>469.95317798043089</v>
      </c>
      <c r="N1462" s="22">
        <f>'Activity data'!AG46*EF!$H$150*CtoCO2*ttoGg</f>
        <v>469.89352096222319</v>
      </c>
      <c r="O1462" s="22">
        <f>'Activity data'!AH46*EF!$H$150*CtoCO2*ttoGg</f>
        <v>469.86446843869999</v>
      </c>
      <c r="P1462" s="22">
        <f>'Activity data'!AI46*EF!$H$150*CtoCO2*ttoGg</f>
        <v>469.83579331552539</v>
      </c>
      <c r="Q1462" s="22">
        <f>'Activity data'!AJ46*EF!$H$150*CtoCO2*ttoGg</f>
        <v>469.79241481044551</v>
      </c>
      <c r="R1462" s="22">
        <f>'Activity data'!AK46*EF!$H$150*CtoCO2*ttoGg</f>
        <v>469.7449217027355</v>
      </c>
      <c r="S1462" s="22">
        <f>'Activity data'!AL46*EF!$H$150*CtoCO2*ttoGg</f>
        <v>469.72937887336718</v>
      </c>
      <c r="T1462" s="22">
        <f>'Activity data'!AM46*EF!$H$150*CtoCO2*ttoGg</f>
        <v>470.01487546871522</v>
      </c>
      <c r="U1462" s="22">
        <f>'Activity data'!AN46*EF!$H$150*CtoCO2*ttoGg</f>
        <v>469.92581942179322</v>
      </c>
      <c r="V1462" s="22">
        <f>'Activity data'!AO46*EF!$H$150*CtoCO2*ttoGg</f>
        <v>469.84575119138754</v>
      </c>
      <c r="W1462" s="22">
        <f>'Activity data'!AP46*EF!$H$150*CtoCO2*ttoGg</f>
        <v>469.76642521208788</v>
      </c>
      <c r="X1462" s="22">
        <f>'Activity data'!AQ46*EF!$H$150*CtoCO2*ttoGg</f>
        <v>469.67536724839931</v>
      </c>
      <c r="Y1462" s="22">
        <f>'Activity data'!AR46*EF!$H$150*CtoCO2*ttoGg</f>
        <v>469.58529757953056</v>
      </c>
      <c r="Z1462" s="22">
        <f>'Activity data'!AS46*EF!$H$150*CtoCO2*ttoGg</f>
        <v>469.49397820036393</v>
      </c>
      <c r="AA1462" s="22">
        <f>'Activity data'!AT46*EF!$H$150*CtoCO2*ttoGg</f>
        <v>469.40654586626169</v>
      </c>
      <c r="AB1462" s="22">
        <f>'Activity data'!AU46*EF!$H$150*CtoCO2*ttoGg</f>
        <v>469.31537649215352</v>
      </c>
      <c r="AC1462" s="22">
        <f>'Activity data'!AV46*EF!$H$150*CtoCO2*ttoGg</f>
        <v>469.23068623676357</v>
      </c>
      <c r="AD1462" s="22">
        <f>'Activity data'!AW46*EF!$H$150*CtoCO2*ttoGg</f>
        <v>469.14524048860676</v>
      </c>
      <c r="AE1462" s="22">
        <f>'Activity data'!AX46*EF!$H$150*CtoCO2*ttoGg</f>
        <v>469.04581058889983</v>
      </c>
      <c r="AF1462" s="22">
        <f>'Activity data'!AY46*EF!$H$150*CtoCO2*ttoGg</f>
        <v>468.94084303525642</v>
      </c>
      <c r="AG1462" s="22">
        <f>'Activity data'!AZ46*EF!$H$150*CtoCO2*ttoGg</f>
        <v>468.83455141149926</v>
      </c>
      <c r="AH1462" s="22">
        <f>'Activity data'!BA46*EF!$H$150*CtoCO2*ttoGg</f>
        <v>468.81345709400091</v>
      </c>
      <c r="AI1462" s="22">
        <f>'Activity data'!BB46*EF!$H$150*CtoCO2*ttoGg</f>
        <v>477.57932101318937</v>
      </c>
      <c r="AJ1462" s="22">
        <f>'Activity data'!BC46*EF!$H$150*CtoCO2*ttoGg</f>
        <v>477.59482921232205</v>
      </c>
      <c r="AK1462" s="22">
        <f>'Activity data'!BD46*EF!$H$150*CtoCO2*ttoGg</f>
        <v>477.61050066047437</v>
      </c>
      <c r="AL1462" s="22">
        <f>'Activity data'!BE46*EF!$H$150*CtoCO2*ttoGg</f>
        <v>477.6263376066097</v>
      </c>
      <c r="AM1462" s="22">
        <f>'Activity data'!BF46*EF!$H$150*CtoCO2*ttoGg</f>
        <v>477.64234234199222</v>
      </c>
      <c r="AN1462" s="22">
        <f>'Activity data'!BG46*EF!$H$150*CtoCO2*ttoGg</f>
        <v>477.658517201243</v>
      </c>
      <c r="AO1462" s="22">
        <f>'Activity data'!BH46*EF!$H$150*CtoCO2*ttoGg</f>
        <v>477.67238203908232</v>
      </c>
      <c r="AP1462" s="22">
        <f>'Activity data'!BI46*EF!$H$150*CtoCO2*ttoGg</f>
        <v>477.68637264501467</v>
      </c>
      <c r="AQ1462" s="22">
        <f>'Activity data'!BJ46*EF!$H$150*CtoCO2*ttoGg</f>
        <v>477.70049052389624</v>
      </c>
      <c r="AR1462" s="22">
        <f>'Activity data'!BK46*EF!$H$150*CtoCO2*ttoGg</f>
        <v>477.71473720527149</v>
      </c>
      <c r="AS1462" s="22">
        <f>'Activity data'!BL46*EF!$H$150*CtoCO2*ttoGg</f>
        <v>477.72911424390975</v>
      </c>
      <c r="AT1462" s="22">
        <f>'Activity data'!BM46*EF!$H$150*CtoCO2*ttoGg</f>
        <v>477.74103620979719</v>
      </c>
      <c r="AU1462" s="22">
        <f>'Activity data'!BN46*EF!$H$150*CtoCO2*ttoGg</f>
        <v>477.75304829499794</v>
      </c>
      <c r="AV1462" s="22">
        <f>'Activity data'!BO46*EF!$H$150*CtoCO2*ttoGg</f>
        <v>477.76515140412982</v>
      </c>
      <c r="AW1462" s="22">
        <f>'Activity data'!BP46*EF!$H$150*CtoCO2*ttoGg</f>
        <v>477.77734645430195</v>
      </c>
    </row>
    <row r="1463" spans="1:49" x14ac:dyDescent="0.25">
      <c r="A1463" s="102" t="s">
        <v>961</v>
      </c>
      <c r="B1463" s="102"/>
      <c r="C1463" s="102"/>
      <c r="D1463" t="str">
        <f>D1462</f>
        <v>3C Aggregated and non-CO2 emissions on land</v>
      </c>
      <c r="E1463" t="str">
        <f>'IPCC Categories'!B73</f>
        <v>3C4 Direct N2O from managed soils (N2O)</v>
      </c>
      <c r="H1463" t="s">
        <v>419</v>
      </c>
      <c r="I1463" t="s">
        <v>139</v>
      </c>
      <c r="J1463" t="s">
        <v>287</v>
      </c>
      <c r="K1463" s="22">
        <f>'Activity data'!AD47*ttokg*SNEF*NtoN2O*kgtoGg</f>
        <v>6.6064812063358538</v>
      </c>
      <c r="L1463" s="22">
        <f>'Activity data'!AE47*ttokg*SNEF*NtoN2O*kgtoGg</f>
        <v>6.6055332632324646</v>
      </c>
      <c r="M1463" s="22">
        <f>'Activity data'!AF47*ttokg*SNEF*NtoN2O*kgtoGg</f>
        <v>6.6042378924026437</v>
      </c>
      <c r="N1463" s="22">
        <f>'Activity data'!AG47*ttokg*SNEF*NtoN2O*kgtoGg</f>
        <v>6.6032976249569808</v>
      </c>
      <c r="O1463" s="22">
        <f>'Activity data'!AH47*ttokg*SNEF*NtoN2O*kgtoGg</f>
        <v>6.6028397217143464</v>
      </c>
      <c r="P1463" s="22">
        <f>'Activity data'!AI47*ttokg*SNEF*NtoN2O*kgtoGg</f>
        <v>6.6023877667619955</v>
      </c>
      <c r="Q1463" s="22">
        <f>'Activity data'!AJ47*ttokg*SNEF*NtoN2O*kgtoGg</f>
        <v>6.6017040685586048</v>
      </c>
      <c r="R1463" s="22">
        <f>'Activity data'!AK47*ttokg*SNEF*NtoN2O*kgtoGg</f>
        <v>6.6009555191940086</v>
      </c>
      <c r="S1463" s="22">
        <f>'Activity data'!AL47*ttokg*SNEF*NtoN2O*kgtoGg</f>
        <v>6.6007105452260202</v>
      </c>
      <c r="T1463" s="22">
        <f>'Activity data'!AM47*ttokg*SNEF*NtoN2O*kgtoGg</f>
        <v>6.6052103201480445</v>
      </c>
      <c r="U1463" s="22">
        <f>'Activity data'!AN47*ttokg*SNEF*NtoN2O*kgtoGg</f>
        <v>6.6038066881148643</v>
      </c>
      <c r="V1463" s="22">
        <f>'Activity data'!AO47*ttokg*SNEF*NtoN2O*kgtoGg</f>
        <v>6.60254471504373</v>
      </c>
      <c r="W1463" s="22">
        <f>'Activity data'!AP47*ttokg*SNEF*NtoN2O*kgtoGg</f>
        <v>6.6012944407562824</v>
      </c>
      <c r="X1463" s="22">
        <f>'Activity data'!AQ47*ttokg*SNEF*NtoN2O*kgtoGg</f>
        <v>6.5998592560706051</v>
      </c>
      <c r="Y1463" s="22">
        <f>'Activity data'!AR47*ttokg*SNEF*NtoN2O*kgtoGg</f>
        <v>6.5984396481179575</v>
      </c>
      <c r="Z1463" s="22">
        <f>'Activity data'!AS47*ttokg*SNEF*NtoN2O*kgtoGg</f>
        <v>6.5970003432051669</v>
      </c>
      <c r="AA1463" s="22">
        <f>'Activity data'!AT47*ttokg*SNEF*NtoN2O*kgtoGg</f>
        <v>6.595622302868513</v>
      </c>
      <c r="AB1463" s="22">
        <f>'Activity data'!AU47*ttokg*SNEF*NtoN2O*kgtoGg</f>
        <v>6.5941853622185969</v>
      </c>
      <c r="AC1463" s="22">
        <f>'Activity data'!AV47*ttokg*SNEF*NtoN2O*kgtoGg</f>
        <v>6.592850540390411</v>
      </c>
      <c r="AD1463" s="22">
        <f>'Activity data'!AW47*ttokg*SNEF*NtoN2O*kgtoGg</f>
        <v>6.5915038110737925</v>
      </c>
      <c r="AE1463" s="22">
        <f>'Activity data'!AX47*ttokg*SNEF*NtoN2O*kgtoGg</f>
        <v>6.5899366744546857</v>
      </c>
      <c r="AF1463" s="22">
        <f>'Activity data'!AY47*ttokg*SNEF*NtoN2O*kgtoGg</f>
        <v>6.5882822576482969</v>
      </c>
      <c r="AG1463" s="22">
        <f>'Activity data'!AZ47*ttokg*SNEF*NtoN2O*kgtoGg</f>
        <v>6.5866069718802809</v>
      </c>
      <c r="AH1463" s="22">
        <f>'Activity data'!BA47*ttokg*SNEF*NtoN2O*kgtoGg</f>
        <v>6.5862744996812319</v>
      </c>
      <c r="AI1463" s="22">
        <f>'Activity data'!BB47*ttokg*SNEF*NtoN2O*kgtoGg</f>
        <v>6.7244352177988764</v>
      </c>
      <c r="AJ1463" s="22">
        <f>'Activity data'!BC47*ttokg*SNEF*NtoN2O*kgtoGg</f>
        <v>6.7246796459520661</v>
      </c>
      <c r="AK1463" s="22">
        <f>'Activity data'!BD47*ttokg*SNEF*NtoN2O*kgtoGg</f>
        <v>6.7249266471091245</v>
      </c>
      <c r="AL1463" s="22">
        <f>'Activity data'!BE47*ttokg*SNEF*NtoN2O*kgtoGg</f>
        <v>6.7251762567164626</v>
      </c>
      <c r="AM1463" s="22">
        <f>'Activity data'!BF47*ttokg*SNEF*NtoN2O*kgtoGg</f>
        <v>6.725428510887201</v>
      </c>
      <c r="AN1463" s="22">
        <f>'Activity data'!BG47*ttokg*SNEF*NtoN2O*kgtoGg</f>
        <v>6.7256834464178157</v>
      </c>
      <c r="AO1463" s="22">
        <f>'Activity data'!BH47*ttokg*SNEF*NtoN2O*kgtoGg</f>
        <v>6.7259019731905472</v>
      </c>
      <c r="AP1463" s="22">
        <f>'Activity data'!BI47*ttokg*SNEF*NtoN2O*kgtoGg</f>
        <v>6.7261224822219834</v>
      </c>
      <c r="AQ1463" s="22">
        <f>'Activity data'!BJ47*ttokg*SNEF*NtoN2O*kgtoGg</f>
        <v>6.7263449972304938</v>
      </c>
      <c r="AR1463" s="22">
        <f>'Activity data'!BK47*ttokg*SNEF*NtoN2O*kgtoGg</f>
        <v>6.7265695423235661</v>
      </c>
      <c r="AS1463" s="22">
        <f>'Activity data'!BL47*ttokg*SNEF*NtoN2O*kgtoGg</f>
        <v>6.7267961420062665</v>
      </c>
      <c r="AT1463" s="22">
        <f>'Activity data'!BM47*ttokg*SNEF*NtoN2O*kgtoGg</f>
        <v>6.72698404674487</v>
      </c>
      <c r="AU1463" s="22">
        <f>'Activity data'!BN47*ttokg*SNEF*NtoN2O*kgtoGg</f>
        <v>6.7271733718738833</v>
      </c>
      <c r="AV1463" s="22">
        <f>'Activity data'!BO47*ttokg*SNEF*NtoN2O*kgtoGg</f>
        <v>6.7273641316511892</v>
      </c>
      <c r="AW1463" s="22">
        <f>'Activity data'!BP47*ttokg*SNEF*NtoN2O*kgtoGg</f>
        <v>6.7275563405315459</v>
      </c>
    </row>
    <row r="1464" spans="1:49" x14ac:dyDescent="0.25">
      <c r="A1464" s="102" t="s">
        <v>961</v>
      </c>
      <c r="B1464" s="102"/>
      <c r="C1464" s="102"/>
      <c r="D1464" t="str">
        <f t="shared" ref="D1464:F1479" si="562">D1463</f>
        <v>3C Aggregated and non-CO2 emissions on land</v>
      </c>
      <c r="E1464" t="str">
        <f>E1463</f>
        <v>3C4 Direct N2O from managed soils (N2O)</v>
      </c>
      <c r="H1464" t="s">
        <v>420</v>
      </c>
      <c r="I1464" t="str">
        <f>I1463</f>
        <v>N2O</v>
      </c>
      <c r="J1464" t="str">
        <f>J1463</f>
        <v>Gg N2O</v>
      </c>
      <c r="K1464" s="22">
        <f>'Activity data'!AD48*ttokg*ONEF*NtoN2O*kgtoGg</f>
        <v>4.3602775961816637E-2</v>
      </c>
      <c r="L1464" s="22">
        <f>'Activity data'!AE48*ttokg*ONEF*NtoN2O*kgtoGg</f>
        <v>4.3596519537334268E-2</v>
      </c>
      <c r="M1464" s="22">
        <f>'Activity data'!AF48*ttokg*ONEF*NtoN2O*kgtoGg</f>
        <v>4.3587970089857465E-2</v>
      </c>
      <c r="N1464" s="22">
        <f>'Activity data'!AG48*ttokg*ONEF*NtoN2O*kgtoGg</f>
        <v>4.3581764324716096E-2</v>
      </c>
      <c r="O1464" s="22">
        <f>'Activity data'!AH48*ttokg*ONEF*NtoN2O*kgtoGg</f>
        <v>4.3578742163314678E-2</v>
      </c>
      <c r="P1464" s="22">
        <f>'Activity data'!AI48*ttokg*ONEF*NtoN2O*kgtoGg</f>
        <v>4.3575759260629177E-2</v>
      </c>
      <c r="Q1464" s="22">
        <f>'Activity data'!AJ48*ttokg*ONEF*NtoN2O*kgtoGg</f>
        <v>4.3571246852486797E-2</v>
      </c>
      <c r="R1464" s="22">
        <f>'Activity data'!AK48*ttokg*ONEF*NtoN2O*kgtoGg</f>
        <v>4.3566306426680468E-2</v>
      </c>
      <c r="S1464" s="22">
        <f>'Activity data'!AL48*ttokg*ONEF*NtoN2O*kgtoGg</f>
        <v>4.3564689598491746E-2</v>
      </c>
      <c r="T1464" s="22">
        <f>'Activity data'!AM48*ttokg*ONEF*NtoN2O*kgtoGg</f>
        <v>4.3594388112977112E-2</v>
      </c>
      <c r="U1464" s="22">
        <f>'Activity data'!AN48*ttokg*ONEF*NtoN2O*kgtoGg</f>
        <v>4.3585124141558115E-2</v>
      </c>
      <c r="V1464" s="22">
        <f>'Activity data'!AO48*ttokg*ONEF*NtoN2O*kgtoGg</f>
        <v>4.3576795119288615E-2</v>
      </c>
      <c r="W1464" s="22">
        <f>'Activity data'!AP48*ttokg*ONEF*NtoN2O*kgtoGg</f>
        <v>4.3568543308991473E-2</v>
      </c>
      <c r="X1464" s="22">
        <f>'Activity data'!AQ48*ttokg*ONEF*NtoN2O*kgtoGg</f>
        <v>4.3559071090065994E-2</v>
      </c>
      <c r="Y1464" s="22">
        <f>'Activity data'!AR48*ttokg*ONEF*NtoN2O*kgtoGg</f>
        <v>4.3549701677578524E-2</v>
      </c>
      <c r="Z1464" s="22">
        <f>'Activity data'!AS48*ttokg*ONEF*NtoN2O*kgtoGg</f>
        <v>4.3540202265154107E-2</v>
      </c>
      <c r="AA1464" s="22">
        <f>'Activity data'!AT48*ttokg*ONEF*NtoN2O*kgtoGg</f>
        <v>4.3531107198932197E-2</v>
      </c>
      <c r="AB1464" s="22">
        <f>'Activity data'!AU48*ttokg*ONEF*NtoN2O*kgtoGg</f>
        <v>4.352162339064275E-2</v>
      </c>
      <c r="AC1464" s="22">
        <f>'Activity data'!AV48*ttokg*ONEF*NtoN2O*kgtoGg</f>
        <v>4.351281356657672E-2</v>
      </c>
      <c r="AD1464" s="22">
        <f>'Activity data'!AW48*ttokg*ONEF*NtoN2O*kgtoGg</f>
        <v>4.3503925153087042E-2</v>
      </c>
      <c r="AE1464" s="22">
        <f>'Activity data'!AX48*ttokg*ONEF*NtoN2O*kgtoGg</f>
        <v>4.3493582051400928E-2</v>
      </c>
      <c r="AF1464" s="22">
        <f>'Activity data'!AY48*ttokg*ONEF*NtoN2O*kgtoGg</f>
        <v>4.3482662900478766E-2</v>
      </c>
      <c r="AG1464" s="22">
        <f>'Activity data'!AZ48*ttokg*ONEF*NtoN2O*kgtoGg</f>
        <v>4.3471606014409865E-2</v>
      </c>
      <c r="AH1464" s="22">
        <f>'Activity data'!BA48*ttokg*ONEF*NtoN2O*kgtoGg</f>
        <v>4.3469411697896136E-2</v>
      </c>
      <c r="AI1464" s="22">
        <f>'Activity data'!BB48*ttokg*ONEF*NtoN2O*kgtoGg</f>
        <v>4.4381272437472585E-2</v>
      </c>
      <c r="AJ1464" s="22">
        <f>'Activity data'!BC48*ttokg*ONEF*NtoN2O*kgtoGg</f>
        <v>4.4382885663283633E-2</v>
      </c>
      <c r="AK1464" s="22">
        <f>'Activity data'!BD48*ttokg*ONEF*NtoN2O*kgtoGg</f>
        <v>4.4384515870920224E-2</v>
      </c>
      <c r="AL1464" s="22">
        <f>'Activity data'!BE48*ttokg*ONEF*NtoN2O*kgtoGg</f>
        <v>4.4386163294328665E-2</v>
      </c>
      <c r="AM1464" s="22">
        <f>'Activity data'!BF48*ttokg*ONEF*NtoN2O*kgtoGg</f>
        <v>4.4387828171855534E-2</v>
      </c>
      <c r="AN1464" s="22">
        <f>'Activity data'!BG48*ttokg*ONEF*NtoN2O*kgtoGg</f>
        <v>4.4389510746357594E-2</v>
      </c>
      <c r="AO1464" s="22">
        <f>'Activity data'!BH48*ttokg*ONEF*NtoN2O*kgtoGg</f>
        <v>4.4390953023057615E-2</v>
      </c>
      <c r="AP1464" s="22">
        <f>'Activity data'!BI48*ttokg*ONEF*NtoN2O*kgtoGg</f>
        <v>4.4392408382665088E-2</v>
      </c>
      <c r="AQ1464" s="22">
        <f>'Activity data'!BJ48*ttokg*ONEF*NtoN2O*kgtoGg</f>
        <v>4.4393876981721259E-2</v>
      </c>
      <c r="AR1464" s="22">
        <f>'Activity data'!BK48*ttokg*ONEF*NtoN2O*kgtoGg</f>
        <v>4.4395358979335532E-2</v>
      </c>
      <c r="AS1464" s="22">
        <f>'Activity data'!BL48*ttokg*ONEF*NtoN2O*kgtoGg</f>
        <v>4.4396854537241355E-2</v>
      </c>
      <c r="AT1464" s="22">
        <f>'Activity data'!BM48*ttokg*ONEF*NtoN2O*kgtoGg</f>
        <v>4.4398094708516155E-2</v>
      </c>
      <c r="AU1464" s="22">
        <f>'Activity data'!BN48*ttokg*ONEF*NtoN2O*kgtoGg</f>
        <v>4.4399344254367645E-2</v>
      </c>
      <c r="AV1464" s="22">
        <f>'Activity data'!BO48*ttokg*ONEF*NtoN2O*kgtoGg</f>
        <v>4.4400603268897852E-2</v>
      </c>
      <c r="AW1464" s="22">
        <f>'Activity data'!BP48*ttokg*ONEF*NtoN2O*kgtoGg</f>
        <v>4.4401871847508219E-2</v>
      </c>
    </row>
    <row r="1465" spans="1:49" x14ac:dyDescent="0.25">
      <c r="A1465" s="102" t="s">
        <v>961</v>
      </c>
      <c r="B1465" s="102"/>
      <c r="C1465" s="102"/>
      <c r="D1465" t="str">
        <f t="shared" si="562"/>
        <v>3C Aggregated and non-CO2 emissions on land</v>
      </c>
      <c r="E1465" t="str">
        <f>E1464</f>
        <v>3C4 Direct N2O from managed soils (N2O)</v>
      </c>
      <c r="H1465" t="s">
        <v>58</v>
      </c>
      <c r="I1465" t="str">
        <f>I1464</f>
        <v>N2O</v>
      </c>
      <c r="J1465" t="str">
        <f>J1464</f>
        <v>Gg N2O</v>
      </c>
      <c r="K1465" s="22">
        <f>'Activity data'!AD85*CREF*NtoN2O*kgtoGg</f>
        <v>2.94930909510781</v>
      </c>
      <c r="L1465" s="22">
        <f>'Activity data'!AE85*CREF*NtoN2O*kgtoGg</f>
        <v>2.9563860470471841</v>
      </c>
      <c r="M1465" s="22">
        <f>'Activity data'!AF85*CREF*NtoN2O*kgtoGg</f>
        <v>2.9660567509887259</v>
      </c>
      <c r="N1465" s="22">
        <f>'Activity data'!AG85*CREF*NtoN2O*kgtoGg</f>
        <v>2.9730763996357101</v>
      </c>
      <c r="O1465" s="22">
        <f>'Activity data'!AH85*CREF*NtoN2O*kgtoGg</f>
        <v>2.9764949162422756</v>
      </c>
      <c r="P1465" s="22">
        <f>'Activity data'!AI85*CREF*NtoN2O*kgtoGg</f>
        <v>2.9798690253687776</v>
      </c>
      <c r="Q1465" s="22">
        <f>'Activity data'!AJ85*CREF*NtoN2O*kgtoGg</f>
        <v>2.9849732339537955</v>
      </c>
      <c r="R1465" s="22">
        <f>'Activity data'!AK85*CREF*NtoN2O*kgtoGg</f>
        <v>2.9905615945405919</v>
      </c>
      <c r="S1465" s="22">
        <f>'Activity data'!AL85*CREF*NtoN2O*kgtoGg</f>
        <v>2.9923904690707688</v>
      </c>
      <c r="T1465" s="22">
        <f>'Activity data'!AM85*CREF*NtoN2O*kgtoGg</f>
        <v>2.9587970068183171</v>
      </c>
      <c r="U1465" s="22">
        <f>'Activity data'!AN85*CREF*NtoN2O*kgtoGg</f>
        <v>2.9692759442185355</v>
      </c>
      <c r="V1465" s="22">
        <f>'Activity data'!AO85*CREF*NtoN2O*kgtoGg</f>
        <v>2.9786973142789162</v>
      </c>
      <c r="W1465" s="22">
        <f>'Activity data'!AP85*CREF*NtoN2O*kgtoGg</f>
        <v>2.9880313460490315</v>
      </c>
      <c r="X1465" s="22">
        <f>'Activity data'!AQ85*CREF*NtoN2O*kgtoGg</f>
        <v>2.9987458425292064</v>
      </c>
      <c r="Y1465" s="22">
        <f>'Activity data'!AR85*CREF*NtoN2O*kgtoGg</f>
        <v>3.0093440495500001</v>
      </c>
      <c r="Z1465" s="22">
        <f>'Activity data'!AS85*CREF*NtoN2O*kgtoGg</f>
        <v>3.0200893059451359</v>
      </c>
      <c r="AA1465" s="22">
        <f>'Activity data'!AT85*CREF*NtoN2O*kgtoGg</f>
        <v>3.0303771863022528</v>
      </c>
      <c r="AB1465" s="22">
        <f>'Activity data'!AU85*CREF*NtoN2O*kgtoGg</f>
        <v>3.0411047920866441</v>
      </c>
      <c r="AC1465" s="22">
        <f>'Activity data'!AV85*CREF*NtoN2O*kgtoGg</f>
        <v>3.0510700208983077</v>
      </c>
      <c r="AD1465" s="22">
        <f>'Activity data'!AW85*CREF*NtoN2O*kgtoGg</f>
        <v>3.0611241461036762</v>
      </c>
      <c r="AE1465" s="22">
        <f>'Activity data'!AX85*CREF*NtoN2O*kgtoGg</f>
        <v>3.0728237412547079</v>
      </c>
      <c r="AF1465" s="22">
        <f>'Activity data'!AY85*CREF*NtoN2O*kgtoGg</f>
        <v>3.0851749342584296</v>
      </c>
      <c r="AG1465" s="22">
        <f>'Activity data'!AZ85*CREF*NtoN2O*kgtoGg</f>
        <v>3.0976819263158513</v>
      </c>
      <c r="AH1465" s="22">
        <f>'Activity data'!BA85*CREF*NtoN2O*kgtoGg</f>
        <v>3.100164026523585</v>
      </c>
      <c r="AI1465" s="22">
        <f>'Activity data'!BB85*CREF*NtoN2O*kgtoGg</f>
        <v>2.0687131319155303</v>
      </c>
      <c r="AJ1465" s="22">
        <f>'Activity data'!BC85*CREF*NtoN2O*kgtoGg</f>
        <v>2.0668883322133484</v>
      </c>
      <c r="AK1465" s="22">
        <f>'Activity data'!BD85*CREF*NtoN2O*kgtoGg</f>
        <v>2.0650443235262905</v>
      </c>
      <c r="AL1465" s="22">
        <f>'Activity data'!BE85*CREF*NtoN2O*kgtoGg</f>
        <v>2.0631808412261146</v>
      </c>
      <c r="AM1465" s="22">
        <f>'Activity data'!BF85*CREF*NtoN2O*kgtoGg</f>
        <v>2.0612976157071592</v>
      </c>
      <c r="AN1465" s="22">
        <f>'Activity data'!BG85*CREF*NtoN2O*kgtoGg</f>
        <v>2.0593943722621146</v>
      </c>
      <c r="AO1465" s="22">
        <f>'Activity data'!BH85*CREF*NtoN2O*kgtoGg</f>
        <v>2.0577629415754459</v>
      </c>
      <c r="AP1465" s="22">
        <f>'Activity data'!BI85*CREF*NtoN2O*kgtoGg</f>
        <v>2.056116712163484</v>
      </c>
      <c r="AQ1465" s="22">
        <f>'Activity data'!BJ85*CREF*NtoN2O*kgtoGg</f>
        <v>2.0544555069546533</v>
      </c>
      <c r="AR1465" s="22">
        <f>'Activity data'!BK85*CREF*NtoN2O*kgtoGg</f>
        <v>2.0527791459724298</v>
      </c>
      <c r="AS1465" s="22">
        <f>'Activity data'!BL85*CREF*NtoN2O*kgtoGg</f>
        <v>2.0510874462720836</v>
      </c>
      <c r="AT1465" s="22">
        <f>'Activity data'!BM85*CREF*NtoN2O*kgtoGg</f>
        <v>2.0496846270527396</v>
      </c>
      <c r="AU1465" s="22">
        <f>'Activity data'!BN85*CREF*NtoN2O*kgtoGg</f>
        <v>2.0482712037848629</v>
      </c>
      <c r="AV1465" s="22">
        <f>'Activity data'!BO85*CREF*NtoN2O*kgtoGg</f>
        <v>2.0468470700250148</v>
      </c>
      <c r="AW1465" s="22">
        <f>'Activity data'!BP85*CREF*NtoN2O*kgtoGg</f>
        <v>2.0454121178598972</v>
      </c>
    </row>
    <row r="1466" spans="1:49" x14ac:dyDescent="0.25">
      <c r="A1466" s="102" t="s">
        <v>961</v>
      </c>
      <c r="B1466" s="102"/>
      <c r="C1466" s="102"/>
      <c r="D1466" t="str">
        <f>D1464</f>
        <v>3C Aggregated and non-CO2 emissions on land</v>
      </c>
      <c r="E1466" t="str">
        <f>E1464</f>
        <v>3C4 Direct N2O from managed soils (N2O)</v>
      </c>
      <c r="F1466" t="s">
        <v>421</v>
      </c>
      <c r="G1466" t="str">
        <f>'Activity data'!D50</f>
        <v xml:space="preserve"> - TMR</v>
      </c>
      <c r="H1466" t="str">
        <f>F1466&amp;G1466</f>
        <v>MM emissions - TMR</v>
      </c>
      <c r="I1466" t="str">
        <f>I1464</f>
        <v>N2O</v>
      </c>
      <c r="J1466" t="str">
        <f>J1464</f>
        <v>Gg N2O</v>
      </c>
      <c r="K1466" s="22">
        <f>'Activity data'!AD50*ManureNEF*NtoN2O*kgtoGg</f>
        <v>0.31935878855248062</v>
      </c>
      <c r="L1466" s="22">
        <f>'Activity data'!AE50*ManureNEF*NtoN2O*kgtoGg</f>
        <v>0.3213452540874065</v>
      </c>
      <c r="M1466" s="22">
        <f>'Activity data'!AF50*ManureNEF*NtoN2O*kgtoGg</f>
        <v>0.32271097650720204</v>
      </c>
      <c r="N1466" s="22">
        <f>'Activity data'!AG50*ManureNEF*NtoN2O*kgtoGg</f>
        <v>0.32313928716206192</v>
      </c>
      <c r="O1466" s="22">
        <f>'Activity data'!AH50*ManureNEF*NtoN2O*kgtoGg</f>
        <v>0.32371872756630715</v>
      </c>
      <c r="P1466" s="22">
        <f>'Activity data'!AI50*ManureNEF*NtoN2O*kgtoGg</f>
        <v>0.32498792219339984</v>
      </c>
      <c r="Q1466" s="22">
        <f>'Activity data'!AJ50*ManureNEF*NtoN2O*kgtoGg</f>
        <v>0.32650955781340663</v>
      </c>
      <c r="R1466" s="22">
        <f>'Activity data'!AK50*ManureNEF*NtoN2O*kgtoGg</f>
        <v>0.32696667302614263</v>
      </c>
      <c r="S1466" s="22">
        <f>'Activity data'!AL50*ManureNEF*NtoN2O*kgtoGg</f>
        <v>0.31692886960594807</v>
      </c>
      <c r="T1466" s="22">
        <f>'Activity data'!AM50*ManureNEF*NtoN2O*kgtoGg</f>
        <v>0.319539305941619</v>
      </c>
      <c r="U1466" s="22">
        <f>'Activity data'!AN50*ManureNEF*NtoN2O*kgtoGg</f>
        <v>0.32193300192732111</v>
      </c>
      <c r="V1466" s="22">
        <f>'Activity data'!AO50*ManureNEF*NtoN2O*kgtoGg</f>
        <v>0.32438733794310681</v>
      </c>
      <c r="W1466" s="22">
        <f>'Activity data'!AP50*ManureNEF*NtoN2O*kgtoGg</f>
        <v>0.32734391954355124</v>
      </c>
      <c r="X1466" s="22">
        <f>'Activity data'!AQ50*ManureNEF*NtoN2O*kgtoGg</f>
        <v>0.33035597962068947</v>
      </c>
      <c r="Y1466" s="22">
        <f>'Activity data'!AR50*ManureNEF*NtoN2O*kgtoGg</f>
        <v>0.33328887796807738</v>
      </c>
      <c r="Z1466" s="22">
        <f>'Activity data'!AS50*ManureNEF*NtoN2O*kgtoGg</f>
        <v>0.33616310143447364</v>
      </c>
      <c r="AA1466" s="22">
        <f>'Activity data'!AT50*ManureNEF*NtoN2O*kgtoGg</f>
        <v>0.33925895533631584</v>
      </c>
      <c r="AB1466" s="22">
        <f>'Activity data'!AU50*ManureNEF*NtoN2O*kgtoGg</f>
        <v>0.34219066812704535</v>
      </c>
      <c r="AC1466" s="22">
        <f>'Activity data'!AV50*ManureNEF*NtoN2O*kgtoGg</f>
        <v>0.34522753941235912</v>
      </c>
      <c r="AD1466" s="22">
        <f>'Activity data'!AW50*ManureNEF*NtoN2O*kgtoGg</f>
        <v>0.34871662740286707</v>
      </c>
      <c r="AE1466" s="22">
        <f>'Activity data'!AX50*ManureNEF*NtoN2O*kgtoGg</f>
        <v>0.3525166109950878</v>
      </c>
      <c r="AF1466" s="22">
        <f>'Activity data'!AY50*ManureNEF*NtoN2O*kgtoGg</f>
        <v>0.3564674247563781</v>
      </c>
      <c r="AG1466" s="22">
        <f>'Activity data'!AZ50*ManureNEF*NtoN2O*kgtoGg</f>
        <v>0.35701929306188401</v>
      </c>
      <c r="AH1466" s="22">
        <f>'Activity data'!BA50*ManureNEF*NtoN2O*kgtoGg</f>
        <v>0.19114464625483749</v>
      </c>
      <c r="AI1466" s="22">
        <f>'Activity data'!BB50*ManureNEF*NtoN2O*kgtoGg</f>
        <v>0.19128523197534555</v>
      </c>
      <c r="AJ1466" s="22">
        <f>'Activity data'!BC50*ManureNEF*NtoN2O*kgtoGg</f>
        <v>0.19144428532787389</v>
      </c>
      <c r="AK1466" s="22">
        <f>'Activity data'!BD50*ManureNEF*NtoN2O*kgtoGg</f>
        <v>0.19162110436440311</v>
      </c>
      <c r="AL1466" s="22">
        <f>'Activity data'!BE50*ManureNEF*NtoN2O*kgtoGg</f>
        <v>0.19181504119818318</v>
      </c>
      <c r="AM1466" s="22">
        <f>'Activity data'!BF50*ManureNEF*NtoN2O*kgtoGg</f>
        <v>0.19202549687963794</v>
      </c>
      <c r="AN1466" s="22">
        <f>'Activity data'!BG50*ManureNEF*NtoN2O*kgtoGg</f>
        <v>0.19211610433852847</v>
      </c>
      <c r="AO1466" s="22">
        <f>'Activity data'!BH50*ManureNEF*NtoN2O*kgtoGg</f>
        <v>0.19222125892017863</v>
      </c>
      <c r="AP1466" s="22">
        <f>'Activity data'!BI50*ManureNEF*NtoN2O*kgtoGg</f>
        <v>0.1923404525383117</v>
      </c>
      <c r="AQ1466" s="22">
        <f>'Activity data'!BJ50*ManureNEF*NtoN2O*kgtoGg</f>
        <v>0.19247321177682317</v>
      </c>
      <c r="AR1466" s="22">
        <f>'Activity data'!BK50*ManureNEF*NtoN2O*kgtoGg</f>
        <v>0.19261909494773871</v>
      </c>
      <c r="AS1466" s="22">
        <f>'Activity data'!BL50*ManureNEF*NtoN2O*kgtoGg</f>
        <v>0.19264041350385425</v>
      </c>
      <c r="AT1466" s="22">
        <f>'Activity data'!BM50*ManureNEF*NtoN2O*kgtoGg</f>
        <v>0.19267336675119676</v>
      </c>
      <c r="AU1466" s="22">
        <f>'Activity data'!BN50*ManureNEF*NtoN2O*kgtoGg</f>
        <v>0.19271756905587112</v>
      </c>
      <c r="AV1466" s="22">
        <f>'Activity data'!BO50*ManureNEF*NtoN2O*kgtoGg</f>
        <v>0.19277265827645768</v>
      </c>
      <c r="AW1466" s="22">
        <f>'Activity data'!BP50*ManureNEF*NtoN2O*kgtoGg</f>
        <v>0.19283829395934973</v>
      </c>
    </row>
    <row r="1467" spans="1:49" x14ac:dyDescent="0.25">
      <c r="A1467" s="102" t="s">
        <v>961</v>
      </c>
      <c r="B1467" s="102"/>
      <c r="C1467" s="102"/>
      <c r="D1467" t="str">
        <f t="shared" si="562"/>
        <v>3C Aggregated and non-CO2 emissions on land</v>
      </c>
      <c r="E1467" t="str">
        <f t="shared" si="562"/>
        <v>3C4 Direct N2O from managed soils (N2O)</v>
      </c>
      <c r="F1467" t="str">
        <f>F1466</f>
        <v>MM emissions</v>
      </c>
      <c r="G1467" t="str">
        <f>'Activity data'!D51</f>
        <v xml:space="preserve"> - Pasture</v>
      </c>
      <c r="H1467" t="str">
        <f t="shared" ref="H1467:H1530" si="563">F1467&amp;G1467</f>
        <v>MM emissions - Pasture</v>
      </c>
      <c r="I1467" t="str">
        <f t="shared" ref="I1467:J1482" si="564">I1466</f>
        <v>N2O</v>
      </c>
      <c r="J1467" t="str">
        <f t="shared" si="564"/>
        <v>Gg N2O</v>
      </c>
      <c r="K1467" s="22">
        <f>'Activity data'!AD51*ManureNEF*NtoN2O*kgtoGg</f>
        <v>0.93379576098906358</v>
      </c>
      <c r="L1467" s="22">
        <f>'Activity data'!AE51*ManureNEF*NtoN2O*kgtoGg</f>
        <v>0.93960412813709904</v>
      </c>
      <c r="M1467" s="22">
        <f>'Activity data'!AF51*ManureNEF*NtoN2O*kgtoGg</f>
        <v>0.94359746056447114</v>
      </c>
      <c r="N1467" s="22">
        <f>'Activity data'!AG51*ManureNEF*NtoN2O*kgtoGg</f>
        <v>0.94484982839723786</v>
      </c>
      <c r="O1467" s="22">
        <f>'Activity data'!AH51*ManureNEF*NtoN2O*kgtoGg</f>
        <v>0.94654409519879523</v>
      </c>
      <c r="P1467" s="22">
        <f>'Activity data'!AI51*ManureNEF*NtoN2O*kgtoGg</f>
        <v>0.95025518318237956</v>
      </c>
      <c r="Q1467" s="22">
        <f>'Activity data'!AJ51*ManureNEF*NtoN2O*kgtoGg</f>
        <v>0.95470440124890821</v>
      </c>
      <c r="R1467" s="22">
        <f>'Activity data'!AK51*ManureNEF*NtoN2O*kgtoGg</f>
        <v>0.95604099276677834</v>
      </c>
      <c r="S1467" s="22">
        <f>'Activity data'!AL51*ManureNEF*NtoN2O*kgtoGg</f>
        <v>0.9266907490302454</v>
      </c>
      <c r="T1467" s="22">
        <f>'Activity data'!AM51*ManureNEF*NtoN2O*kgtoGg</f>
        <v>0.93432358855731779</v>
      </c>
      <c r="U1467" s="22">
        <f>'Activity data'!AN51*ManureNEF*NtoN2O*kgtoGg</f>
        <v>0.94132268563767829</v>
      </c>
      <c r="V1467" s="22">
        <f>'Activity data'!AO51*ManureNEF*NtoN2O*kgtoGg</f>
        <v>0.94849909239313801</v>
      </c>
      <c r="W1467" s="22">
        <f>'Activity data'!AP51*ManureNEF*NtoN2O*kgtoGg</f>
        <v>0.95714405055454344</v>
      </c>
      <c r="X1467" s="22">
        <f>'Activity data'!AQ51*ManureNEF*NtoN2O*kgtoGg</f>
        <v>0.96595122615983853</v>
      </c>
      <c r="Y1467" s="22">
        <f>'Activity data'!AR51*ManureNEF*NtoN2O*kgtoGg</f>
        <v>0.97452693518170752</v>
      </c>
      <c r="Z1467" s="22">
        <f>'Activity data'!AS51*ManureNEF*NtoN2O*kgtoGg</f>
        <v>0.98293108056696943</v>
      </c>
      <c r="AA1467" s="22">
        <f>'Activity data'!AT51*ManureNEF*NtoN2O*kgtoGg</f>
        <v>0.99198326686591187</v>
      </c>
      <c r="AB1467" s="22">
        <f>'Activity data'!AU51*ManureNEF*NtoN2O*kgtoGg</f>
        <v>1.0005555093547731</v>
      </c>
      <c r="AC1467" s="22">
        <f>'Activity data'!AV51*ManureNEF*NtoN2O*kgtoGg</f>
        <v>1.0094352322073954</v>
      </c>
      <c r="AD1467" s="22">
        <f>'Activity data'!AW51*ManureNEF*NtoN2O*kgtoGg</f>
        <v>1.0196372234850481</v>
      </c>
      <c r="AE1467" s="22">
        <f>'Activity data'!AX51*ManureNEF*NtoN2O*kgtoGg</f>
        <v>1.0307482644127997</v>
      </c>
      <c r="AF1467" s="22">
        <f>'Activity data'!AY51*ManureNEF*NtoN2O*kgtoGg</f>
        <v>1.0423003283452565</v>
      </c>
      <c r="AG1467" s="22">
        <f>'Activity data'!AZ51*ManureNEF*NtoN2O*kgtoGg</f>
        <v>1.0439139751361945</v>
      </c>
      <c r="AH1467" s="22">
        <f>'Activity data'!BA51*ManureNEF*NtoN2O*kgtoGg</f>
        <v>0.55890135736530644</v>
      </c>
      <c r="AI1467" s="22">
        <f>'Activity data'!BB51*ManureNEF*NtoN2O*kgtoGg</f>
        <v>0.55931242590192343</v>
      </c>
      <c r="AJ1467" s="22">
        <f>'Activity data'!BC51*ManureNEF*NtoN2O*kgtoGg</f>
        <v>0.55977749325464987</v>
      </c>
      <c r="AK1467" s="22">
        <f>'Activity data'!BD51*ManureNEF*NtoN2O*kgtoGg</f>
        <v>0.56029450694799943</v>
      </c>
      <c r="AL1467" s="22">
        <f>'Activity data'!BE51*ManureNEF*NtoN2O*kgtoGg</f>
        <v>0.56086157258005664</v>
      </c>
      <c r="AM1467" s="22">
        <f>'Activity data'!BF51*ManureNEF*NtoN2O*kgtoGg</f>
        <v>0.5614769388397709</v>
      </c>
      <c r="AN1467" s="22">
        <f>'Activity data'!BG51*ManureNEF*NtoN2O*kgtoGg</f>
        <v>0.56174187240057738</v>
      </c>
      <c r="AO1467" s="22">
        <f>'Activity data'!BH51*ManureNEF*NtoN2O*kgtoGg</f>
        <v>0.56204934132303475</v>
      </c>
      <c r="AP1467" s="22">
        <f>'Activity data'!BI51*ManureNEF*NtoN2O*kgtoGg</f>
        <v>0.56239785997772429</v>
      </c>
      <c r="AQ1467" s="22">
        <f>'Activity data'!BJ51*ManureNEF*NtoN2O*kgtoGg</f>
        <v>0.56278604410979705</v>
      </c>
      <c r="AR1467" s="22">
        <f>'Activity data'!BK51*ManureNEF*NtoN2O*kgtoGg</f>
        <v>0.56321260223652991</v>
      </c>
      <c r="AS1467" s="22">
        <f>'Activity data'!BL51*ManureNEF*NtoN2O*kgtoGg</f>
        <v>0.56327493707134479</v>
      </c>
      <c r="AT1467" s="22">
        <f>'Activity data'!BM51*ManureNEF*NtoN2O*kgtoGg</f>
        <v>0.56337129140315678</v>
      </c>
      <c r="AU1467" s="22">
        <f>'Activity data'!BN51*ManureNEF*NtoN2O*kgtoGg</f>
        <v>0.56350053764973096</v>
      </c>
      <c r="AV1467" s="22">
        <f>'Activity data'!BO51*ManureNEF*NtoN2O*kgtoGg</f>
        <v>0.5636616169201436</v>
      </c>
      <c r="AW1467" s="22">
        <f>'Activity data'!BP51*ManureNEF*NtoN2O*kgtoGg</f>
        <v>0.56385353373800251</v>
      </c>
    </row>
    <row r="1468" spans="1:49" x14ac:dyDescent="0.25">
      <c r="A1468" s="102" t="s">
        <v>961</v>
      </c>
      <c r="B1468" s="102"/>
      <c r="C1468" s="102"/>
      <c r="D1468" t="str">
        <f t="shared" si="562"/>
        <v>3C Aggregated and non-CO2 emissions on land</v>
      </c>
      <c r="E1468" t="str">
        <f t="shared" si="562"/>
        <v>3C4 Direct N2O from managed soils (N2O)</v>
      </c>
      <c r="F1468" t="str">
        <f t="shared" si="562"/>
        <v>MM emissions</v>
      </c>
      <c r="G1468" t="str">
        <f>'Activity data'!D52</f>
        <v xml:space="preserve"> - Non-lactating</v>
      </c>
      <c r="H1468" t="str">
        <f t="shared" si="563"/>
        <v>MM emissions - Non-lactating</v>
      </c>
      <c r="I1468" t="str">
        <f t="shared" si="564"/>
        <v>N2O</v>
      </c>
      <c r="J1468" t="str">
        <f t="shared" si="564"/>
        <v>Gg N2O</v>
      </c>
      <c r="K1468" s="22">
        <f>'Activity data'!AD52*ManureNEF*NtoN2O*kgtoGg</f>
        <v>4.9952808112492433E-2</v>
      </c>
      <c r="L1468" s="22">
        <f>'Activity data'!AE52*ManureNEF*NtoN2O*kgtoGg</f>
        <v>5.0263523005099557E-2</v>
      </c>
      <c r="M1468" s="22">
        <f>'Activity data'!AF52*ManureNEF*NtoN2O*kgtoGg</f>
        <v>5.0477143774016554E-2</v>
      </c>
      <c r="N1468" s="22">
        <f>'Activity data'!AG52*ManureNEF*NtoN2O*kgtoGg</f>
        <v>5.0544138391737034E-2</v>
      </c>
      <c r="O1468" s="22">
        <f>'Activity data'!AH52*ManureNEF*NtoN2O*kgtoGg</f>
        <v>5.063477211269108E-2</v>
      </c>
      <c r="P1468" s="22">
        <f>'Activity data'!AI52*ManureNEF*NtoN2O*kgtoGg</f>
        <v>5.0833294395268382E-2</v>
      </c>
      <c r="Q1468" s="22">
        <f>'Activity data'!AJ52*ManureNEF*NtoN2O*kgtoGg</f>
        <v>5.1071302475421292E-2</v>
      </c>
      <c r="R1468" s="22">
        <f>'Activity data'!AK52*ManureNEF*NtoN2O*kgtoGg</f>
        <v>5.1142802585409194E-2</v>
      </c>
      <c r="S1468" s="22">
        <f>'Activity data'!AL52*ManureNEF*NtoN2O*kgtoGg</f>
        <v>4.9572730033491622E-2</v>
      </c>
      <c r="T1468" s="22">
        <f>'Activity data'!AM52*ManureNEF*NtoN2O*kgtoGg</f>
        <v>4.9981043911298741E-2</v>
      </c>
      <c r="U1468" s="22">
        <f>'Activity data'!AN52*ManureNEF*NtoN2O*kgtoGg</f>
        <v>5.0355456141490972E-2</v>
      </c>
      <c r="V1468" s="22">
        <f>'Activity data'!AO52*ManureNEF*NtoN2O*kgtoGg</f>
        <v>5.0739353439560694E-2</v>
      </c>
      <c r="W1468" s="22">
        <f>'Activity data'!AP52*ManureNEF*NtoN2O*kgtoGg</f>
        <v>5.1201809957589661E-2</v>
      </c>
      <c r="X1468" s="22">
        <f>'Activity data'!AQ52*ManureNEF*NtoN2O*kgtoGg</f>
        <v>5.1672944194222255E-2</v>
      </c>
      <c r="Y1468" s="22">
        <f>'Activity data'!AR52*ManureNEF*NtoN2O*kgtoGg</f>
        <v>5.2131696273739363E-2</v>
      </c>
      <c r="Z1468" s="22">
        <f>'Activity data'!AS52*ManureNEF*NtoN2O*kgtoGg</f>
        <v>5.2581270666039896E-2</v>
      </c>
      <c r="AA1468" s="22">
        <f>'Activity data'!AT52*ManureNEF*NtoN2O*kgtoGg</f>
        <v>5.3065511593317877E-2</v>
      </c>
      <c r="AB1468" s="22">
        <f>'Activity data'!AU52*ManureNEF*NtoN2O*kgtoGg</f>
        <v>5.3524078232864716E-2</v>
      </c>
      <c r="AC1468" s="22">
        <f>'Activity data'!AV52*ManureNEF*NtoN2O*kgtoGg</f>
        <v>5.3999093338179975E-2</v>
      </c>
      <c r="AD1468" s="22">
        <f>'Activity data'!AW52*ManureNEF*NtoN2O*kgtoGg</f>
        <v>5.4544842348775345E-2</v>
      </c>
      <c r="AE1468" s="22">
        <f>'Activity data'!AX52*ManureNEF*NtoN2O*kgtoGg</f>
        <v>5.5139220390078653E-2</v>
      </c>
      <c r="AF1468" s="22">
        <f>'Activity data'!AY52*ManureNEF*NtoN2O*kgtoGg</f>
        <v>5.5757190675476007E-2</v>
      </c>
      <c r="AG1468" s="22">
        <f>'Activity data'!AZ52*ManureNEF*NtoN2O*kgtoGg</f>
        <v>5.5843511680428629E-2</v>
      </c>
      <c r="AH1468" s="22">
        <f>'Activity data'!BA52*ManureNEF*NtoN2O*kgtoGg</f>
        <v>2.9898071317768258E-2</v>
      </c>
      <c r="AI1468" s="22">
        <f>'Activity data'!BB52*ManureNEF*NtoN2O*kgtoGg</f>
        <v>2.9920061166714414E-2</v>
      </c>
      <c r="AJ1468" s="22">
        <f>'Activity data'!BC52*ManureNEF*NtoN2O*kgtoGg</f>
        <v>2.994493964785629E-2</v>
      </c>
      <c r="AK1468" s="22">
        <f>'Activity data'!BD52*ManureNEF*NtoN2O*kgtoGg</f>
        <v>2.9972596965328013E-2</v>
      </c>
      <c r="AL1468" s="22">
        <f>'Activity data'!BE52*ManureNEF*NtoN2O*kgtoGg</f>
        <v>3.0002931779308462E-2</v>
      </c>
      <c r="AM1468" s="22">
        <f>'Activity data'!BF52*ManureNEF*NtoN2O*kgtoGg</f>
        <v>3.0035850404531023E-2</v>
      </c>
      <c r="AN1468" s="22">
        <f>'Activity data'!BG52*ManureNEF*NtoN2O*kgtoGg</f>
        <v>3.0050022856236633E-2</v>
      </c>
      <c r="AO1468" s="22">
        <f>'Activity data'!BH52*ManureNEF*NtoN2O*kgtoGg</f>
        <v>3.0066470709959804E-2</v>
      </c>
      <c r="AP1468" s="22">
        <f>'Activity data'!BI52*ManureNEF*NtoN2O*kgtoGg</f>
        <v>3.0085114492903187E-2</v>
      </c>
      <c r="AQ1468" s="22">
        <f>'Activity data'!BJ52*ManureNEF*NtoN2O*kgtoGg</f>
        <v>3.0105880155237338E-2</v>
      </c>
      <c r="AR1468" s="22">
        <f>'Activity data'!BK52*ManureNEF*NtoN2O*kgtoGg</f>
        <v>3.0128698609918406E-2</v>
      </c>
      <c r="AS1468" s="22">
        <f>'Activity data'!BL52*ManureNEF*NtoN2O*kgtoGg</f>
        <v>3.0132033172113177E-2</v>
      </c>
      <c r="AT1468" s="22">
        <f>'Activity data'!BM52*ManureNEF*NtoN2O*kgtoGg</f>
        <v>3.0137187585582245E-2</v>
      </c>
      <c r="AU1468" s="22">
        <f>'Activity data'!BN52*ManureNEF*NtoN2O*kgtoGg</f>
        <v>3.0144101531033828E-2</v>
      </c>
      <c r="AV1468" s="22">
        <f>'Activity data'!BO52*ManureNEF*NtoN2O*kgtoGg</f>
        <v>3.0152718363773888E-2</v>
      </c>
      <c r="AW1468" s="22">
        <f>'Activity data'!BP52*ManureNEF*NtoN2O*kgtoGg</f>
        <v>3.0162984831428343E-2</v>
      </c>
    </row>
    <row r="1469" spans="1:49" x14ac:dyDescent="0.25">
      <c r="A1469" s="102" t="s">
        <v>961</v>
      </c>
      <c r="B1469" s="102"/>
      <c r="C1469" s="102"/>
      <c r="D1469" t="str">
        <f t="shared" si="562"/>
        <v>3C Aggregated and non-CO2 emissions on land</v>
      </c>
      <c r="E1469" t="str">
        <f t="shared" si="562"/>
        <v>3C4 Direct N2O from managed soils (N2O)</v>
      </c>
      <c r="F1469" t="str">
        <f t="shared" si="562"/>
        <v>MM emissions</v>
      </c>
      <c r="G1469" t="str">
        <f>'Activity data'!D53</f>
        <v xml:space="preserve"> - Commercial cattle</v>
      </c>
      <c r="H1469" t="str">
        <f t="shared" si="563"/>
        <v>MM emissions - Commercial cattle</v>
      </c>
      <c r="I1469" t="str">
        <f t="shared" si="564"/>
        <v>N2O</v>
      </c>
      <c r="J1469" t="str">
        <f t="shared" si="564"/>
        <v>Gg N2O</v>
      </c>
      <c r="K1469" s="22">
        <f>'Activity data'!AD53*ManureNEF*NtoN2O*kgtoGg</f>
        <v>0.40352425177353124</v>
      </c>
      <c r="L1469" s="22">
        <f>'Activity data'!AE53*ManureNEF*NtoN2O*kgtoGg</f>
        <v>0.40084951633384258</v>
      </c>
      <c r="M1469" s="22">
        <f>'Activity data'!AF53*ManureNEF*NtoN2O*kgtoGg</f>
        <v>0.39521001590024774</v>
      </c>
      <c r="N1469" s="22">
        <f>'Activity data'!AG53*ManureNEF*NtoN2O*kgtoGg</f>
        <v>0.3857038563965185</v>
      </c>
      <c r="O1469" s="22">
        <f>'Activity data'!AH53*ManureNEF*NtoN2O*kgtoGg</f>
        <v>0.37648074986973956</v>
      </c>
      <c r="P1469" s="22">
        <f>'Activity data'!AI53*ManureNEF*NtoN2O*kgtoGg</f>
        <v>0.36938688643597767</v>
      </c>
      <c r="Q1469" s="22">
        <f>'Activity data'!AJ53*ManureNEF*NtoN2O*kgtoGg</f>
        <v>0.36297043234615178</v>
      </c>
      <c r="R1469" s="22">
        <f>'Activity data'!AK53*ManureNEF*NtoN2O*kgtoGg</f>
        <v>0.35288211799047686</v>
      </c>
      <c r="S1469" s="22">
        <f>'Activity data'!AL53*ManureNEF*NtoN2O*kgtoGg</f>
        <v>0.30949900697043298</v>
      </c>
      <c r="T1469" s="22">
        <f>'Activity data'!AM53*ManureNEF*NtoN2O*kgtoGg</f>
        <v>0.31244902874448233</v>
      </c>
      <c r="U1469" s="22">
        <f>'Activity data'!AN53*ManureNEF*NtoN2O*kgtoGg</f>
        <v>0.31444522818952964</v>
      </c>
      <c r="V1469" s="22">
        <f>'Activity data'!AO53*ManureNEF*NtoN2O*kgtoGg</f>
        <v>0.31637649984131477</v>
      </c>
      <c r="W1469" s="22">
        <f>'Activity data'!AP53*ManureNEF*NtoN2O*kgtoGg</f>
        <v>0.31957035863343569</v>
      </c>
      <c r="X1469" s="22">
        <f>'Activity data'!AQ53*ManureNEF*NtoN2O*kgtoGg</f>
        <v>0.32265895567955921</v>
      </c>
      <c r="Y1469" s="22">
        <f>'Activity data'!AR53*ManureNEF*NtoN2O*kgtoGg</f>
        <v>0.32590151896633945</v>
      </c>
      <c r="Z1469" s="22">
        <f>'Activity data'!AS53*ManureNEF*NtoN2O*kgtoGg</f>
        <v>0.32872445709091741</v>
      </c>
      <c r="AA1469" s="22">
        <f>'Activity data'!AT53*ManureNEF*NtoN2O*kgtoGg</f>
        <v>0.33193734347454801</v>
      </c>
      <c r="AB1469" s="22">
        <f>'Activity data'!AU53*ManureNEF*NtoN2O*kgtoGg</f>
        <v>0.33445153592828769</v>
      </c>
      <c r="AC1469" s="22">
        <f>'Activity data'!AV53*ManureNEF*NtoN2O*kgtoGg</f>
        <v>0.33703471359982889</v>
      </c>
      <c r="AD1469" s="22">
        <f>'Activity data'!AW53*ManureNEF*NtoN2O*kgtoGg</f>
        <v>0.3382378632765542</v>
      </c>
      <c r="AE1469" s="22">
        <f>'Activity data'!AX53*ManureNEF*NtoN2O*kgtoGg</f>
        <v>0.33988762558713326</v>
      </c>
      <c r="AF1469" s="22">
        <f>'Activity data'!AY53*ManureNEF*NtoN2O*kgtoGg</f>
        <v>0.34153102086249887</v>
      </c>
      <c r="AG1469" s="22">
        <f>'Activity data'!AZ53*ManureNEF*NtoN2O*kgtoGg</f>
        <v>0.33428783362296566</v>
      </c>
      <c r="AH1469" s="22">
        <f>'Activity data'!BA53*ManureNEF*NtoN2O*kgtoGg</f>
        <v>-7.8853876190349073E-2</v>
      </c>
      <c r="AI1469" s="22">
        <f>'Activity data'!BB53*ManureNEF*NtoN2O*kgtoGg</f>
        <v>-7.7024740515349702E-2</v>
      </c>
      <c r="AJ1469" s="22">
        <f>'Activity data'!BC53*ManureNEF*NtoN2O*kgtoGg</f>
        <v>-7.5224693837810969E-2</v>
      </c>
      <c r="AK1469" s="22">
        <f>'Activity data'!BD53*ManureNEF*NtoN2O*kgtoGg</f>
        <v>-7.3452212631802502E-2</v>
      </c>
      <c r="AL1469" s="22">
        <f>'Activity data'!BE53*ManureNEF*NtoN2O*kgtoGg</f>
        <v>-7.1705878701856365E-2</v>
      </c>
      <c r="AM1469" s="22">
        <f>'Activity data'!BF53*ManureNEF*NtoN2O*kgtoGg</f>
        <v>-6.9984369422605414E-2</v>
      </c>
      <c r="AN1469" s="22">
        <f>'Activity data'!BG53*ManureNEF*NtoN2O*kgtoGg</f>
        <v>-6.8588614819976648E-2</v>
      </c>
      <c r="AO1469" s="22">
        <f>'Activity data'!BH53*ManureNEF*NtoN2O*kgtoGg</f>
        <v>-6.7213941404815583E-2</v>
      </c>
      <c r="AP1469" s="22">
        <f>'Activity data'!BI53*ManureNEF*NtoN2O*kgtoGg</f>
        <v>-6.5859393882214817E-2</v>
      </c>
      <c r="AQ1469" s="22">
        <f>'Activity data'!BJ53*ManureNEF*NtoN2O*kgtoGg</f>
        <v>-6.45240763716773E-2</v>
      </c>
      <c r="AR1469" s="22">
        <f>'Activity data'!BK53*ManureNEF*NtoN2O*kgtoGg</f>
        <v>-6.3207147480680487E-2</v>
      </c>
      <c r="AS1469" s="22">
        <f>'Activity data'!BL53*ManureNEF*NtoN2O*kgtoGg</f>
        <v>-6.1865741273458848E-2</v>
      </c>
      <c r="AT1469" s="22">
        <f>'Activity data'!BM53*ManureNEF*NtoN2O*kgtoGg</f>
        <v>-6.054278111227946E-2</v>
      </c>
      <c r="AU1469" s="22">
        <f>'Activity data'!BN53*ManureNEF*NtoN2O*kgtoGg</f>
        <v>-5.9237541358355558E-2</v>
      </c>
      <c r="AV1469" s="22">
        <f>'Activity data'!BO53*ManureNEF*NtoN2O*kgtoGg</f>
        <v>-5.7949337141593796E-2</v>
      </c>
      <c r="AW1469" s="22">
        <f>'Activity data'!BP53*ManureNEF*NtoN2O*kgtoGg</f>
        <v>-5.667752131406488E-2</v>
      </c>
    </row>
    <row r="1470" spans="1:49" x14ac:dyDescent="0.25">
      <c r="A1470" s="102" t="s">
        <v>961</v>
      </c>
      <c r="B1470" s="102"/>
      <c r="C1470" s="102"/>
      <c r="D1470" t="str">
        <f t="shared" si="562"/>
        <v>3C Aggregated and non-CO2 emissions on land</v>
      </c>
      <c r="E1470" t="str">
        <f t="shared" si="562"/>
        <v>3C4 Direct N2O from managed soils (N2O)</v>
      </c>
      <c r="F1470" t="str">
        <f t="shared" si="562"/>
        <v>MM emissions</v>
      </c>
      <c r="G1470" t="str">
        <f>'Activity data'!D54</f>
        <v xml:space="preserve"> - Subsistence cattle</v>
      </c>
      <c r="H1470" t="str">
        <f t="shared" si="563"/>
        <v>MM emissions - Subsistence cattle</v>
      </c>
      <c r="I1470" t="str">
        <f t="shared" si="564"/>
        <v>N2O</v>
      </c>
      <c r="J1470" t="str">
        <f t="shared" si="564"/>
        <v>Gg N2O</v>
      </c>
      <c r="K1470" s="22">
        <f>'Activity data'!AD54*ManureNEF*NtoN2O*kgtoGg</f>
        <v>2.6837391724620612</v>
      </c>
      <c r="L1470" s="22">
        <f>'Activity data'!AE54*ManureNEF*NtoN2O*kgtoGg</f>
        <v>2.6659501740464377</v>
      </c>
      <c r="M1470" s="22">
        <f>'Activity data'!AF54*ManureNEF*NtoN2O*kgtoGg</f>
        <v>2.6284432629742147</v>
      </c>
      <c r="N1470" s="22">
        <f>'Activity data'!AG54*ManureNEF*NtoN2O*kgtoGg</f>
        <v>2.5652201666480274</v>
      </c>
      <c r="O1470" s="22">
        <f>'Activity data'!AH54*ManureNEF*NtoN2O*kgtoGg</f>
        <v>2.5038795850871476</v>
      </c>
      <c r="P1470" s="22">
        <f>'Activity data'!AI54*ManureNEF*NtoN2O*kgtoGg</f>
        <v>2.4567000683725801</v>
      </c>
      <c r="Q1470" s="22">
        <f>'Activity data'!AJ54*ManureNEF*NtoN2O*kgtoGg</f>
        <v>2.414025832280235</v>
      </c>
      <c r="R1470" s="22">
        <f>'Activity data'!AK54*ManureNEF*NtoN2O*kgtoGg</f>
        <v>2.3469309692046179</v>
      </c>
      <c r="S1470" s="22">
        <f>'Activity data'!AL54*ManureNEF*NtoN2O*kgtoGg</f>
        <v>2.0584007161751039</v>
      </c>
      <c r="T1470" s="22">
        <f>'Activity data'!AM54*ManureNEF*NtoN2O*kgtoGg</f>
        <v>2.0780205753529248</v>
      </c>
      <c r="U1470" s="22">
        <f>'Activity data'!AN54*ManureNEF*NtoN2O*kgtoGg</f>
        <v>2.0912968000734335</v>
      </c>
      <c r="V1470" s="22">
        <f>'Activity data'!AO54*ManureNEF*NtoN2O*kgtoGg</f>
        <v>2.1041412062318772</v>
      </c>
      <c r="W1470" s="22">
        <f>'Activity data'!AP54*ManureNEF*NtoN2O*kgtoGg</f>
        <v>2.125382764611714</v>
      </c>
      <c r="X1470" s="22">
        <f>'Activity data'!AQ54*ManureNEF*NtoN2O*kgtoGg</f>
        <v>2.1459242533678449</v>
      </c>
      <c r="Y1470" s="22">
        <f>'Activity data'!AR54*ManureNEF*NtoN2O*kgtoGg</f>
        <v>2.1674897331963128</v>
      </c>
      <c r="Z1470" s="22">
        <f>'Activity data'!AS54*ManureNEF*NtoN2O*kgtoGg</f>
        <v>2.1862643907121093</v>
      </c>
      <c r="AA1470" s="22">
        <f>'Activity data'!AT54*ManureNEF*NtoN2O*kgtoGg</f>
        <v>2.2076324968582024</v>
      </c>
      <c r="AB1470" s="22">
        <f>'Activity data'!AU54*ManureNEF*NtoN2O*kgtoGg</f>
        <v>2.2243537639085806</v>
      </c>
      <c r="AC1470" s="22">
        <f>'Activity data'!AV54*ManureNEF*NtoN2O*kgtoGg</f>
        <v>2.2415338344398443</v>
      </c>
      <c r="AD1470" s="22">
        <f>'Activity data'!AW54*ManureNEF*NtoN2O*kgtoGg</f>
        <v>2.2495356829125717</v>
      </c>
      <c r="AE1470" s="22">
        <f>'Activity data'!AX54*ManureNEF*NtoN2O*kgtoGg</f>
        <v>2.2605078406421084</v>
      </c>
      <c r="AF1470" s="22">
        <f>'Activity data'!AY54*ManureNEF*NtoN2O*kgtoGg</f>
        <v>2.2714376528081774</v>
      </c>
      <c r="AG1470" s="22">
        <f>'Activity data'!AZ54*ManureNEF*NtoN2O*kgtoGg</f>
        <v>2.2232650206980202</v>
      </c>
      <c r="AH1470" s="22">
        <f>'Activity data'!BA54*ManureNEF*NtoN2O*kgtoGg</f>
        <v>-0.52443746689921866</v>
      </c>
      <c r="AI1470" s="22">
        <f>'Activity data'!BB54*ManureNEF*NtoN2O*kgtoGg</f>
        <v>-0.51227234165292079</v>
      </c>
      <c r="AJ1470" s="22">
        <f>'Activity data'!BC54*ManureNEF*NtoN2O*kgtoGg</f>
        <v>-0.50030068007486495</v>
      </c>
      <c r="AK1470" s="22">
        <f>'Activity data'!BD54*ManureNEF*NtoN2O*kgtoGg</f>
        <v>-0.48851234957400724</v>
      </c>
      <c r="AL1470" s="22">
        <f>'Activity data'!BE54*ManureNEF*NtoN2O*kgtoGg</f>
        <v>-0.47689791808594317</v>
      </c>
      <c r="AM1470" s="22">
        <f>'Activity data'!BF54*ManureNEF*NtoN2O*kgtoGg</f>
        <v>-0.46544858915917614</v>
      </c>
      <c r="AN1470" s="22">
        <f>'Activity data'!BG54*ManureNEF*NtoN2O*kgtoGg</f>
        <v>-0.45616577335379221</v>
      </c>
      <c r="AO1470" s="22">
        <f>'Activity data'!BH54*ManureNEF*NtoN2O*kgtoGg</f>
        <v>-0.44702316326928004</v>
      </c>
      <c r="AP1470" s="22">
        <f>'Activity data'!BI54*ManureNEF*NtoN2O*kgtoGg</f>
        <v>-0.4380144054774302</v>
      </c>
      <c r="AQ1470" s="22">
        <f>'Activity data'!BJ54*ManureNEF*NtoN2O*kgtoGg</f>
        <v>-0.4291335417004612</v>
      </c>
      <c r="AR1470" s="22">
        <f>'Activity data'!BK54*ManureNEF*NtoN2O*kgtoGg</f>
        <v>-0.42037497604652191</v>
      </c>
      <c r="AS1470" s="22">
        <f>'Activity data'!BL54*ManureNEF*NtoN2O*kgtoGg</f>
        <v>-0.41145361786623369</v>
      </c>
      <c r="AT1470" s="22">
        <f>'Activity data'!BM54*ManureNEF*NtoN2O*kgtoGg</f>
        <v>-0.40265493973831684</v>
      </c>
      <c r="AU1470" s="22">
        <f>'Activity data'!BN54*ManureNEF*NtoN2O*kgtoGg</f>
        <v>-0.3939741156201515</v>
      </c>
      <c r="AV1470" s="22">
        <f>'Activity data'!BO54*ManureNEF*NtoN2O*kgtoGg</f>
        <v>-0.38540659061153143</v>
      </c>
      <c r="AW1470" s="22">
        <f>'Activity data'!BP54*ManureNEF*NtoN2O*kgtoGg</f>
        <v>-0.37694806069295739</v>
      </c>
    </row>
    <row r="1471" spans="1:49" x14ac:dyDescent="0.25">
      <c r="A1471" s="102" t="s">
        <v>961</v>
      </c>
      <c r="B1471" s="102"/>
      <c r="C1471" s="102"/>
      <c r="D1471" t="str">
        <f t="shared" si="562"/>
        <v>3C Aggregated and non-CO2 emissions on land</v>
      </c>
      <c r="E1471" t="str">
        <f t="shared" si="562"/>
        <v>3C4 Direct N2O from managed soils (N2O)</v>
      </c>
      <c r="F1471" t="str">
        <f t="shared" si="562"/>
        <v>MM emissions</v>
      </c>
      <c r="G1471" t="str">
        <f>'Activity data'!D55</f>
        <v xml:space="preserve"> - Feedlot</v>
      </c>
      <c r="H1471" t="str">
        <f t="shared" si="563"/>
        <v>MM emissions - Feedlot</v>
      </c>
      <c r="I1471" t="str">
        <f t="shared" si="564"/>
        <v>N2O</v>
      </c>
      <c r="J1471" t="str">
        <f t="shared" si="564"/>
        <v>Gg N2O</v>
      </c>
      <c r="K1471" s="22">
        <f>'Activity data'!AD55*ManureNEF*NtoN2O*kgtoGg</f>
        <v>0.34546247453096907</v>
      </c>
      <c r="L1471" s="22">
        <f>'Activity data'!AE55*ManureNEF*NtoN2O*kgtoGg</f>
        <v>0.35776618085714956</v>
      </c>
      <c r="M1471" s="22">
        <f>'Activity data'!AF55*ManureNEF*NtoN2O*kgtoGg</f>
        <v>0.36753197290523232</v>
      </c>
      <c r="N1471" s="22">
        <f>'Activity data'!AG55*ManureNEF*NtoN2O*kgtoGg</f>
        <v>0.37357124020109944</v>
      </c>
      <c r="O1471" s="22">
        <f>'Activity data'!AH55*ManureNEF*NtoN2O*kgtoGg</f>
        <v>0.37962311486925576</v>
      </c>
      <c r="P1471" s="22">
        <f>'Activity data'!AI55*ManureNEF*NtoN2O*kgtoGg</f>
        <v>0.38765990463300043</v>
      </c>
      <c r="Q1471" s="22">
        <f>'Activity data'!AJ55*ManureNEF*NtoN2O*kgtoGg</f>
        <v>0.39636651112291715</v>
      </c>
      <c r="R1471" s="22">
        <f>'Activity data'!AK55*ManureNEF*NtoN2O*kgtoGg</f>
        <v>0.40089753199851358</v>
      </c>
      <c r="S1471" s="22">
        <f>'Activity data'!AL55*ManureNEF*NtoN2O*kgtoGg</f>
        <v>0.36575105397715829</v>
      </c>
      <c r="T1471" s="22">
        <f>'Activity data'!AM55*ManureNEF*NtoN2O*kgtoGg</f>
        <v>0.37806101801948427</v>
      </c>
      <c r="U1471" s="22">
        <f>'Activity data'!AN55*ManureNEF*NtoN2O*kgtoGg</f>
        <v>0.38944404902970864</v>
      </c>
      <c r="V1471" s="22">
        <f>'Activity data'!AO55*ManureNEF*NtoN2O*kgtoGg</f>
        <v>0.40095410706426832</v>
      </c>
      <c r="W1471" s="22">
        <f>'Activity data'!AP55*ManureNEF*NtoN2O*kgtoGg</f>
        <v>0.41431554176005497</v>
      </c>
      <c r="X1471" s="22">
        <f>'Activity data'!AQ55*ManureNEF*NtoN2O*kgtoGg</f>
        <v>0.42783512426761167</v>
      </c>
      <c r="Y1471" s="22">
        <f>'Activity data'!AR55*ManureNEF*NtoN2O*kgtoGg</f>
        <v>0.44186503984012609</v>
      </c>
      <c r="Z1471" s="22">
        <f>'Activity data'!AS55*ManureNEF*NtoN2O*kgtoGg</f>
        <v>0.45563435576355671</v>
      </c>
      <c r="AA1471" s="22">
        <f>'Activity data'!AT55*ManureNEF*NtoN2O*kgtoGg</f>
        <v>0.47026188205754332</v>
      </c>
      <c r="AB1471" s="22">
        <f>'Activity data'!AU55*ManureNEF*NtoN2O*kgtoGg</f>
        <v>0.48421794201830248</v>
      </c>
      <c r="AC1471" s="22">
        <f>'Activity data'!AV55*ManureNEF*NtoN2O*kgtoGg</f>
        <v>0.49858289829777308</v>
      </c>
      <c r="AD1471" s="22">
        <f>'Activity data'!AW55*ManureNEF*NtoN2O*kgtoGg</f>
        <v>0.51686863289566187</v>
      </c>
      <c r="AE1471" s="22">
        <f>'Activity data'!AX55*ManureNEF*NtoN2O*kgtoGg</f>
        <v>0.53655701311036041</v>
      </c>
      <c r="AF1471" s="22">
        <f>'Activity data'!AY55*ManureNEF*NtoN2O*kgtoGg</f>
        <v>0.55701835701835767</v>
      </c>
      <c r="AG1471" s="22">
        <f>'Activity data'!AZ55*ManureNEF*NtoN2O*kgtoGg</f>
        <v>0.56333119928831021</v>
      </c>
      <c r="AH1471" s="22">
        <f>'Activity data'!BA55*ManureNEF*NtoN2O*kgtoGg</f>
        <v>-0.13731688522656813</v>
      </c>
      <c r="AI1471" s="22">
        <f>'Activity data'!BB55*ManureNEF*NtoN2O*kgtoGg</f>
        <v>-0.13862810897609068</v>
      </c>
      <c r="AJ1471" s="22">
        <f>'Activity data'!BC55*ManureNEF*NtoN2O*kgtoGg</f>
        <v>-0.13994999382586637</v>
      </c>
      <c r="AK1471" s="22">
        <f>'Activity data'!BD55*ManureNEF*NtoN2O*kgtoGg</f>
        <v>-0.14128264066794663</v>
      </c>
      <c r="AL1471" s="22">
        <f>'Activity data'!BE55*ManureNEF*NtoN2O*kgtoGg</f>
        <v>-0.14262615130024825</v>
      </c>
      <c r="AM1471" s="22">
        <f>'Activity data'!BF55*ManureNEF*NtoN2O*kgtoGg</f>
        <v>-0.14398062843440931</v>
      </c>
      <c r="AN1471" s="22">
        <f>'Activity data'!BG55*ManureNEF*NtoN2O*kgtoGg</f>
        <v>-0.14506760905723812</v>
      </c>
      <c r="AO1471" s="22">
        <f>'Activity data'!BH55*ManureNEF*NtoN2O*kgtoGg</f>
        <v>-0.14616208765425914</v>
      </c>
      <c r="AP1471" s="22">
        <f>'Activity data'!BI55*ManureNEF*NtoN2O*kgtoGg</f>
        <v>-0.14726412356751001</v>
      </c>
      <c r="AQ1471" s="22">
        <f>'Activity data'!BJ55*ManureNEF*NtoN2O*kgtoGg</f>
        <v>-0.14837377658692755</v>
      </c>
      <c r="AR1471" s="22">
        <f>'Activity data'!BK55*ManureNEF*NtoN2O*kgtoGg</f>
        <v>-0.1494911069536225</v>
      </c>
      <c r="AS1471" s="22">
        <f>'Activity data'!BL55*ManureNEF*NtoN2O*kgtoGg</f>
        <v>-0.15051381160807262</v>
      </c>
      <c r="AT1471" s="22">
        <f>'Activity data'!BM55*ManureNEF*NtoN2O*kgtoGg</f>
        <v>-0.15154240205157654</v>
      </c>
      <c r="AU1471" s="22">
        <f>'Activity data'!BN55*ManureNEF*NtoN2O*kgtoGg</f>
        <v>-0.15257691722009936</v>
      </c>
      <c r="AV1471" s="22">
        <f>'Activity data'!BO55*ManureNEF*NtoN2O*kgtoGg</f>
        <v>-0.15361739629374987</v>
      </c>
      <c r="AW1471" s="22">
        <f>'Activity data'!BP55*ManureNEF*NtoN2O*kgtoGg</f>
        <v>-0.15466387869825843</v>
      </c>
    </row>
    <row r="1472" spans="1:49" x14ac:dyDescent="0.25">
      <c r="A1472" s="102" t="s">
        <v>961</v>
      </c>
      <c r="B1472" s="102"/>
      <c r="C1472" s="102"/>
      <c r="D1472" t="str">
        <f t="shared" si="562"/>
        <v>3C Aggregated and non-CO2 emissions on land</v>
      </c>
      <c r="E1472" t="str">
        <f t="shared" si="562"/>
        <v>3C4 Direct N2O from managed soils (N2O)</v>
      </c>
      <c r="F1472" t="str">
        <f t="shared" si="562"/>
        <v>MM emissions</v>
      </c>
      <c r="G1472" t="str">
        <f>'Activity data'!D56</f>
        <v xml:space="preserve"> - Commercial sheep</v>
      </c>
      <c r="H1472" t="str">
        <f t="shared" si="563"/>
        <v>MM emissions - Commercial sheep</v>
      </c>
      <c r="I1472" t="str">
        <f t="shared" si="564"/>
        <v>N2O</v>
      </c>
      <c r="J1472" t="str">
        <f t="shared" si="564"/>
        <v>Gg N2O</v>
      </c>
      <c r="K1472" s="22">
        <f>'Activity data'!AD56*ManureNEF*NtoN2O*kgtoGg</f>
        <v>5.8358562487318792E-2</v>
      </c>
      <c r="L1472" s="22">
        <f>'Activity data'!AE56*ManureNEF*NtoN2O*kgtoGg</f>
        <v>5.839043159926547E-2</v>
      </c>
      <c r="M1472" s="22">
        <f>'Activity data'!AF56*ManureNEF*NtoN2O*kgtoGg</f>
        <v>5.8461792662766042E-2</v>
      </c>
      <c r="N1472" s="22">
        <f>'Activity data'!AG56*ManureNEF*NtoN2O*kgtoGg</f>
        <v>5.8569206044707944E-2</v>
      </c>
      <c r="O1472" s="22">
        <f>'Activity data'!AH56*ManureNEF*NtoN2O*kgtoGg</f>
        <v>5.87141088514554E-2</v>
      </c>
      <c r="P1472" s="22">
        <f>'Activity data'!AI56*ManureNEF*NtoN2O*kgtoGg</f>
        <v>5.8896654838927982E-2</v>
      </c>
      <c r="Q1472" s="22">
        <f>'Activity data'!AJ56*ManureNEF*NtoN2O*kgtoGg</f>
        <v>5.9100003668857495E-2</v>
      </c>
      <c r="R1472" s="22">
        <f>'Activity data'!AK56*ManureNEF*NtoN2O*kgtoGg</f>
        <v>5.9320387521670827E-2</v>
      </c>
      <c r="S1472" s="22">
        <f>'Activity data'!AL56*ManureNEF*NtoN2O*kgtoGg</f>
        <v>5.9527484870119066E-2</v>
      </c>
      <c r="T1472" s="22">
        <f>'Activity data'!AM56*ManureNEF*NtoN2O*kgtoGg</f>
        <v>5.9613993442869086E-2</v>
      </c>
      <c r="U1472" s="22">
        <f>'Activity data'!AN56*ManureNEF*NtoN2O*kgtoGg</f>
        <v>5.9714376068116658E-2</v>
      </c>
      <c r="V1472" s="22">
        <f>'Activity data'!AO56*ManureNEF*NtoN2O*kgtoGg</f>
        <v>5.9828612163064419E-2</v>
      </c>
      <c r="W1472" s="22">
        <f>'Activity data'!AP56*ManureNEF*NtoN2O*kgtoGg</f>
        <v>5.9957293598347332E-2</v>
      </c>
      <c r="X1472" s="22">
        <f>'Activity data'!AQ56*ManureNEF*NtoN2O*kgtoGg</f>
        <v>6.0098357419229781E-2</v>
      </c>
      <c r="Y1472" s="22">
        <f>'Activity data'!AR56*ManureNEF*NtoN2O*kgtoGg</f>
        <v>6.0185192959010252E-2</v>
      </c>
      <c r="Z1472" s="22">
        <f>'Activity data'!AS56*ManureNEF*NtoN2O*kgtoGg</f>
        <v>6.0282190049865431E-2</v>
      </c>
      <c r="AA1472" s="22">
        <f>'Activity data'!AT56*ManureNEF*NtoN2O*kgtoGg</f>
        <v>6.0389700688940708E-2</v>
      </c>
      <c r="AB1472" s="22">
        <f>'Activity data'!AU56*ManureNEF*NtoN2O*kgtoGg</f>
        <v>6.0506073039024895E-2</v>
      </c>
      <c r="AC1472" s="22">
        <f>'Activity data'!AV56*ManureNEF*NtoN2O*kgtoGg</f>
        <v>6.0631723200139168E-2</v>
      </c>
      <c r="AD1472" s="22">
        <f>'Activity data'!AW56*ManureNEF*NtoN2O*kgtoGg</f>
        <v>6.0714441042505521E-2</v>
      </c>
      <c r="AE1472" s="22">
        <f>'Activity data'!AX56*ManureNEF*NtoN2O*kgtoGg</f>
        <v>6.0805859526171006E-2</v>
      </c>
      <c r="AF1472" s="22">
        <f>'Activity data'!AY56*ManureNEF*NtoN2O*kgtoGg</f>
        <v>6.0905156479066316E-2</v>
      </c>
      <c r="AG1472" s="22">
        <f>'Activity data'!AZ56*ManureNEF*NtoN2O*kgtoGg</f>
        <v>6.1001089999952796E-2</v>
      </c>
      <c r="AH1472" s="22">
        <f>'Activity data'!BA56*ManureNEF*NtoN2O*kgtoGg</f>
        <v>6.0590945473242341E-2</v>
      </c>
      <c r="AI1472" s="22">
        <f>'Activity data'!BB56*ManureNEF*NtoN2O*kgtoGg</f>
        <v>6.0649192481063346E-2</v>
      </c>
      <c r="AJ1472" s="22">
        <f>'Activity data'!BC56*ManureNEF*NtoN2O*kgtoGg</f>
        <v>6.0713468342713614E-2</v>
      </c>
      <c r="AK1472" s="22">
        <f>'Activity data'!BD56*ManureNEF*NtoN2O*kgtoGg</f>
        <v>6.0783545293153662E-2</v>
      </c>
      <c r="AL1472" s="22">
        <f>'Activity data'!BE56*ManureNEF*NtoN2O*kgtoGg</f>
        <v>6.0859213172163779E-2</v>
      </c>
      <c r="AM1472" s="22">
        <f>'Activity data'!BF56*ManureNEF*NtoN2O*kgtoGg</f>
        <v>6.0940277753779866E-2</v>
      </c>
      <c r="AN1472" s="22">
        <f>'Activity data'!BG56*ManureNEF*NtoN2O*kgtoGg</f>
        <v>6.0979618468756831E-2</v>
      </c>
      <c r="AO1472" s="22">
        <f>'Activity data'!BH56*ManureNEF*NtoN2O*kgtoGg</f>
        <v>6.1023714022373471E-2</v>
      </c>
      <c r="AP1472" s="22">
        <f>'Activity data'!BI56*ManureNEF*NtoN2O*kgtoGg</f>
        <v>6.1072398935034244E-2</v>
      </c>
      <c r="AQ1472" s="22">
        <f>'Activity data'!BJ56*ManureNEF*NtoN2O*kgtoGg</f>
        <v>6.112551905317741E-2</v>
      </c>
      <c r="AR1472" s="22">
        <f>'Activity data'!BK56*ManureNEF*NtoN2O*kgtoGg</f>
        <v>6.1182930587073178E-2</v>
      </c>
      <c r="AS1472" s="22">
        <f>'Activity data'!BL56*ManureNEF*NtoN2O*kgtoGg</f>
        <v>6.1197093314118836E-2</v>
      </c>
      <c r="AT1472" s="22">
        <f>'Activity data'!BM56*ManureNEF*NtoN2O*kgtoGg</f>
        <v>6.1215064670682988E-2</v>
      </c>
      <c r="AU1472" s="22">
        <f>'Activity data'!BN56*ManureNEF*NtoN2O*kgtoGg</f>
        <v>6.1236718515027384E-2</v>
      </c>
      <c r="AV1472" s="22">
        <f>'Activity data'!BO56*ManureNEF*NtoN2O*kgtoGg</f>
        <v>6.1261936408176808E-2</v>
      </c>
      <c r="AW1472" s="22">
        <f>'Activity data'!BP56*ManureNEF*NtoN2O*kgtoGg</f>
        <v>6.1290607021564164E-2</v>
      </c>
    </row>
    <row r="1473" spans="1:49" x14ac:dyDescent="0.25">
      <c r="A1473" s="102" t="s">
        <v>961</v>
      </c>
      <c r="B1473" s="102"/>
      <c r="C1473" s="102"/>
      <c r="D1473" t="str">
        <f t="shared" si="562"/>
        <v>3C Aggregated and non-CO2 emissions on land</v>
      </c>
      <c r="E1473" t="str">
        <f t="shared" si="562"/>
        <v>3C4 Direct N2O from managed soils (N2O)</v>
      </c>
      <c r="F1473" t="str">
        <f t="shared" si="562"/>
        <v>MM emissions</v>
      </c>
      <c r="G1473" t="str">
        <f>'Activity data'!D57</f>
        <v xml:space="preserve"> - Subsistence sheep</v>
      </c>
      <c r="H1473" t="str">
        <f t="shared" si="563"/>
        <v>MM emissions - Subsistence sheep</v>
      </c>
      <c r="I1473" t="str">
        <f t="shared" si="564"/>
        <v>N2O</v>
      </c>
      <c r="J1473" t="str">
        <f t="shared" si="564"/>
        <v>Gg N2O</v>
      </c>
      <c r="K1473" s="22">
        <f>'Activity data'!AD57*ManureNEF*NtoN2O*kgtoGg</f>
        <v>4.7495937116525173E-2</v>
      </c>
      <c r="L1473" s="22">
        <f>'Activity data'!AE57*ManureNEF*NtoN2O*kgtoGg</f>
        <v>4.7521874241643836E-2</v>
      </c>
      <c r="M1473" s="22">
        <f>'Activity data'!AF57*ManureNEF*NtoN2O*kgtoGg</f>
        <v>4.7579952447139875E-2</v>
      </c>
      <c r="N1473" s="22">
        <f>'Activity data'!AG57*ManureNEF*NtoN2O*kgtoGg</f>
        <v>4.7667372339213025E-2</v>
      </c>
      <c r="O1473" s="22">
        <f>'Activity data'!AH57*ManureNEF*NtoN2O*kgtoGg</f>
        <v>4.7785303527096222E-2</v>
      </c>
      <c r="P1473" s="22">
        <f>'Activity data'!AI57*ManureNEF*NtoN2O*kgtoGg</f>
        <v>4.7933871147207763E-2</v>
      </c>
      <c r="Q1473" s="22">
        <f>'Activity data'!AJ57*ManureNEF*NtoN2O*kgtoGg</f>
        <v>4.8099369453324381E-2</v>
      </c>
      <c r="R1473" s="22">
        <f>'Activity data'!AK57*ManureNEF*NtoN2O*kgtoGg</f>
        <v>4.8278731952477678E-2</v>
      </c>
      <c r="S1473" s="22">
        <f>'Activity data'!AL57*ManureNEF*NtoN2O*kgtoGg</f>
        <v>4.8447281043127996E-2</v>
      </c>
      <c r="T1473" s="22">
        <f>'Activity data'!AM57*ManureNEF*NtoN2O*kgtoGg</f>
        <v>4.8517687262134283E-2</v>
      </c>
      <c r="U1473" s="22">
        <f>'Activity data'!AN57*ManureNEF*NtoN2O*kgtoGg</f>
        <v>4.8599385073957294E-2</v>
      </c>
      <c r="V1473" s="22">
        <f>'Activity data'!AO57*ManureNEF*NtoN2O*kgtoGg</f>
        <v>4.8692357726997801E-2</v>
      </c>
      <c r="W1473" s="22">
        <f>'Activity data'!AP57*ManureNEF*NtoN2O*kgtoGg</f>
        <v>4.8797086923498996E-2</v>
      </c>
      <c r="X1473" s="22">
        <f>'Activity data'!AQ57*ManureNEF*NtoN2O*kgtoGg</f>
        <v>4.8911893698725943E-2</v>
      </c>
      <c r="Y1473" s="22">
        <f>'Activity data'!AR57*ManureNEF*NtoN2O*kgtoGg</f>
        <v>4.8982566024450037E-2</v>
      </c>
      <c r="Z1473" s="22">
        <f>'Activity data'!AS57*ManureNEF*NtoN2O*kgtoGg</f>
        <v>4.9061508471477298E-2</v>
      </c>
      <c r="AA1473" s="22">
        <f>'Activity data'!AT57*ManureNEF*NtoN2O*kgtoGg</f>
        <v>4.9149007517636747E-2</v>
      </c>
      <c r="AB1473" s="22">
        <f>'Activity data'!AU57*ManureNEF*NtoN2O*kgtoGg</f>
        <v>4.9243718791974624E-2</v>
      </c>
      <c r="AC1473" s="22">
        <f>'Activity data'!AV57*ManureNEF*NtoN2O*kgtoGg</f>
        <v>4.9345980943347217E-2</v>
      </c>
      <c r="AD1473" s="22">
        <f>'Activity data'!AW57*ManureNEF*NtoN2O*kgtoGg</f>
        <v>4.941330202309966E-2</v>
      </c>
      <c r="AE1473" s="22">
        <f>'Activity data'!AX57*ManureNEF*NtoN2O*kgtoGg</f>
        <v>4.9487704242181185E-2</v>
      </c>
      <c r="AF1473" s="22">
        <f>'Activity data'!AY57*ManureNEF*NtoN2O*kgtoGg</f>
        <v>4.9568518464286178E-2</v>
      </c>
      <c r="AG1473" s="22">
        <f>'Activity data'!AZ57*ManureNEF*NtoN2O*kgtoGg</f>
        <v>4.9646595309931256E-2</v>
      </c>
      <c r="AH1473" s="22">
        <f>'Activity data'!BA57*ManureNEF*NtoN2O*kgtoGg</f>
        <v>4.9312793416617665E-2</v>
      </c>
      <c r="AI1473" s="22">
        <f>'Activity data'!BB57*ManureNEF*NtoN2O*kgtoGg</f>
        <v>4.9360198563399564E-2</v>
      </c>
      <c r="AJ1473" s="22">
        <f>'Activity data'!BC57*ManureNEF*NtoN2O*kgtoGg</f>
        <v>4.9412510377689269E-2</v>
      </c>
      <c r="AK1473" s="22">
        <f>'Activity data'!BD57*ManureNEF*NtoN2O*kgtoGg</f>
        <v>4.9469543489705052E-2</v>
      </c>
      <c r="AL1473" s="22">
        <f>'Activity data'!BE57*ManureNEF*NtoN2O*kgtoGg</f>
        <v>4.9531126857595344E-2</v>
      </c>
      <c r="AM1473" s="22">
        <f>'Activity data'!BF57*ManureNEF*NtoN2O*kgtoGg</f>
        <v>4.9597102407826756E-2</v>
      </c>
      <c r="AN1473" s="22">
        <f>'Activity data'!BG57*ManureNEF*NtoN2O*kgtoGg</f>
        <v>4.9629120402188261E-2</v>
      </c>
      <c r="AO1473" s="22">
        <f>'Activity data'!BH57*ManureNEF*NtoN2O*kgtoGg</f>
        <v>4.9665008188871658E-2</v>
      </c>
      <c r="AP1473" s="22">
        <f>'Activity data'!BI57*ManureNEF*NtoN2O*kgtoGg</f>
        <v>4.9704631089979995E-2</v>
      </c>
      <c r="AQ1473" s="22">
        <f>'Activity data'!BJ57*ManureNEF*NtoN2O*kgtoGg</f>
        <v>4.9747863645468307E-2</v>
      </c>
      <c r="AR1473" s="22">
        <f>'Activity data'!BK57*ManureNEF*NtoN2O*kgtoGg</f>
        <v>4.9794588830042001E-2</v>
      </c>
      <c r="AS1473" s="22">
        <f>'Activity data'!BL57*ManureNEF*NtoN2O*kgtoGg</f>
        <v>4.9806115364700997E-2</v>
      </c>
      <c r="AT1473" s="22">
        <f>'Activity data'!BM57*ManureNEF*NtoN2O*kgtoGg</f>
        <v>4.9820741606076545E-2</v>
      </c>
      <c r="AU1473" s="22">
        <f>'Activity data'!BN57*ManureNEF*NtoN2O*kgtoGg</f>
        <v>4.9838364891940323E-2</v>
      </c>
      <c r="AV1473" s="22">
        <f>'Activity data'!BO57*ManureNEF*NtoN2O*kgtoGg</f>
        <v>4.9858888829066014E-2</v>
      </c>
      <c r="AW1473" s="22">
        <f>'Activity data'!BP57*ManureNEF*NtoN2O*kgtoGg</f>
        <v>4.988222281113306E-2</v>
      </c>
    </row>
    <row r="1474" spans="1:49" x14ac:dyDescent="0.25">
      <c r="A1474" s="102" t="s">
        <v>961</v>
      </c>
      <c r="B1474" s="102"/>
      <c r="C1474" s="102"/>
      <c r="D1474" t="str">
        <f t="shared" si="562"/>
        <v>3C Aggregated and non-CO2 emissions on land</v>
      </c>
      <c r="E1474" t="str">
        <f t="shared" si="562"/>
        <v>3C4 Direct N2O from managed soils (N2O)</v>
      </c>
      <c r="F1474" t="str">
        <f t="shared" si="562"/>
        <v>MM emissions</v>
      </c>
      <c r="G1474" t="str">
        <f>'Activity data'!D58</f>
        <v xml:space="preserve"> - Commercial goats</v>
      </c>
      <c r="H1474" t="str">
        <f t="shared" si="563"/>
        <v>MM emissions - Commercial goats</v>
      </c>
      <c r="I1474" t="str">
        <f t="shared" si="564"/>
        <v>N2O</v>
      </c>
      <c r="J1474" t="str">
        <f t="shared" si="564"/>
        <v>Gg N2O</v>
      </c>
      <c r="K1474" s="22">
        <f>'Activity data'!AD58*ManureNEF*NtoN2O*kgtoGg</f>
        <v>7.2138531984991348E-3</v>
      </c>
      <c r="L1474" s="22">
        <f>'Activity data'!AE58*ManureNEF*NtoN2O*kgtoGg</f>
        <v>7.2326686364155846E-3</v>
      </c>
      <c r="M1474" s="22">
        <f>'Activity data'!AF58*ManureNEF*NtoN2O*kgtoGg</f>
        <v>7.2577418741351651E-3</v>
      </c>
      <c r="N1474" s="22">
        <f>'Activity data'!AG58*ManureNEF*NtoN2O*kgtoGg</f>
        <v>7.2885154843188495E-3</v>
      </c>
      <c r="O1474" s="22">
        <f>'Activity data'!AH58*ManureNEF*NtoN2O*kgtoGg</f>
        <v>7.3253592647283981E-3</v>
      </c>
      <c r="P1474" s="22">
        <f>'Activity data'!AI58*ManureNEF*NtoN2O*kgtoGg</f>
        <v>7.3683712611583496E-3</v>
      </c>
      <c r="Q1474" s="22">
        <f>'Activity data'!AJ58*ManureNEF*NtoN2O*kgtoGg</f>
        <v>7.4143590148475543E-3</v>
      </c>
      <c r="R1474" s="22">
        <f>'Activity data'!AK58*ManureNEF*NtoN2O*kgtoGg</f>
        <v>7.4626649386195258E-3</v>
      </c>
      <c r="S1474" s="22">
        <f>'Activity data'!AL58*ManureNEF*NtoN2O*kgtoGg</f>
        <v>7.5075390200834997E-3</v>
      </c>
      <c r="T1474" s="22">
        <f>'Activity data'!AM58*ManureNEF*NtoN2O*kgtoGg</f>
        <v>7.5285683818169559E-3</v>
      </c>
      <c r="U1474" s="22">
        <f>'Activity data'!AN58*ManureNEF*NtoN2O*kgtoGg</f>
        <v>7.551628242645091E-3</v>
      </c>
      <c r="V1474" s="22">
        <f>'Activity data'!AO58*ManureNEF*NtoN2O*kgtoGg</f>
        <v>7.5767478661135802E-3</v>
      </c>
      <c r="W1474" s="22">
        <f>'Activity data'!AP58*ManureNEF*NtoN2O*kgtoGg</f>
        <v>7.6040674331418288E-3</v>
      </c>
      <c r="X1474" s="22">
        <f>'Activity data'!AQ58*ManureNEF*NtoN2O*kgtoGg</f>
        <v>7.6332191171963838E-3</v>
      </c>
      <c r="Y1474" s="22">
        <f>'Activity data'!AR58*ManureNEF*NtoN2O*kgtoGg</f>
        <v>7.6516457516964944E-3</v>
      </c>
      <c r="Z1474" s="22">
        <f>'Activity data'!AS58*ManureNEF*NtoN2O*kgtoGg</f>
        <v>7.671582433208788E-3</v>
      </c>
      <c r="AA1474" s="22">
        <f>'Activity data'!AT58*ManureNEF*NtoN2O*kgtoGg</f>
        <v>7.6931116410769856E-3</v>
      </c>
      <c r="AB1474" s="22">
        <f>'Activity data'!AU58*ManureNEF*NtoN2O*kgtoGg</f>
        <v>7.715936982347839E-3</v>
      </c>
      <c r="AC1474" s="22">
        <f>'Activity data'!AV58*ManureNEF*NtoN2O*kgtoGg</f>
        <v>7.7401497609019794E-3</v>
      </c>
      <c r="AD1474" s="22">
        <f>'Activity data'!AW58*ManureNEF*NtoN2O*kgtoGg</f>
        <v>7.7560075231361287E-3</v>
      </c>
      <c r="AE1474" s="22">
        <f>'Activity data'!AX58*ManureNEF*NtoN2O*kgtoGg</f>
        <v>7.7732053799270803E-3</v>
      </c>
      <c r="AF1474" s="22">
        <f>'Activity data'!AY58*ManureNEF*NtoN2O*kgtoGg</f>
        <v>7.791597942347143E-3</v>
      </c>
      <c r="AG1474" s="22">
        <f>'Activity data'!AZ58*ManureNEF*NtoN2O*kgtoGg</f>
        <v>7.8091049737688241E-3</v>
      </c>
      <c r="AH1474" s="22">
        <f>'Activity data'!BA58*ManureNEF*NtoN2O*kgtoGg</f>
        <v>7.7325738697111325E-3</v>
      </c>
      <c r="AI1474" s="22">
        <f>'Activity data'!BB58*ManureNEF*NtoN2O*kgtoGg</f>
        <v>7.7428137523622292E-3</v>
      </c>
      <c r="AJ1474" s="22">
        <f>'Activity data'!BC58*ManureNEF*NtoN2O*kgtoGg</f>
        <v>7.7539717945612581E-3</v>
      </c>
      <c r="AK1474" s="22">
        <f>'Activity data'!BD58*ManureNEF*NtoN2O*kgtoGg</f>
        <v>7.7660107090851711E-3</v>
      </c>
      <c r="AL1474" s="22">
        <f>'Activity data'!BE58*ManureNEF*NtoN2O*kgtoGg</f>
        <v>7.7788961009166192E-3</v>
      </c>
      <c r="AM1474" s="22">
        <f>'Activity data'!BF58*ManureNEF*NtoN2O*kgtoGg</f>
        <v>7.7925961903206999E-3</v>
      </c>
      <c r="AN1474" s="22">
        <f>'Activity data'!BG58*ManureNEF*NtoN2O*kgtoGg</f>
        <v>7.7984769319172685E-3</v>
      </c>
      <c r="AO1474" s="22">
        <f>'Activity data'!BH58*ManureNEF*NtoN2O*kgtoGg</f>
        <v>7.8050916075083259E-3</v>
      </c>
      <c r="AP1474" s="22">
        <f>'Activity data'!BI58*ManureNEF*NtoN2O*kgtoGg</f>
        <v>7.8124125478177013E-3</v>
      </c>
      <c r="AQ1474" s="22">
        <f>'Activity data'!BJ58*ManureNEF*NtoN2O*kgtoGg</f>
        <v>7.8204139817466406E-3</v>
      </c>
      <c r="AR1474" s="22">
        <f>'Activity data'!BK58*ManureNEF*NtoN2O*kgtoGg</f>
        <v>7.8290718737514843E-3</v>
      </c>
      <c r="AS1474" s="22">
        <f>'Activity data'!BL58*ManureNEF*NtoN2O*kgtoGg</f>
        <v>7.8297473619786898E-3</v>
      </c>
      <c r="AT1474" s="22">
        <f>'Activity data'!BM58*ManureNEF*NtoN2O*kgtoGg</f>
        <v>7.8310235836071794E-3</v>
      </c>
      <c r="AU1474" s="22">
        <f>'Activity data'!BN58*ManureNEF*NtoN2O*kgtoGg</f>
        <v>7.8328789644581572E-3</v>
      </c>
      <c r="AV1474" s="22">
        <f>'Activity data'!BO58*ManureNEF*NtoN2O*kgtoGg</f>
        <v>7.835293250883028E-3</v>
      </c>
      <c r="AW1474" s="22">
        <f>'Activity data'!BP58*ManureNEF*NtoN2O*kgtoGg</f>
        <v>7.8382474074589117E-3</v>
      </c>
    </row>
    <row r="1475" spans="1:49" x14ac:dyDescent="0.25">
      <c r="A1475" s="102" t="s">
        <v>961</v>
      </c>
      <c r="B1475" s="102"/>
      <c r="C1475" s="102"/>
      <c r="D1475" t="str">
        <f t="shared" si="562"/>
        <v>3C Aggregated and non-CO2 emissions on land</v>
      </c>
      <c r="E1475" t="str">
        <f t="shared" si="562"/>
        <v>3C4 Direct N2O from managed soils (N2O)</v>
      </c>
      <c r="F1475" t="str">
        <f t="shared" si="562"/>
        <v>MM emissions</v>
      </c>
      <c r="G1475" t="str">
        <f>'Activity data'!D59</f>
        <v xml:space="preserve"> - Subsistence goats</v>
      </c>
      <c r="H1475" t="str">
        <f t="shared" si="563"/>
        <v>MM emissions - Subsistence goats</v>
      </c>
      <c r="I1475" t="str">
        <f t="shared" si="564"/>
        <v>N2O</v>
      </c>
      <c r="J1475" t="str">
        <f t="shared" si="564"/>
        <v>Gg N2O</v>
      </c>
      <c r="K1475" s="22">
        <f>'Activity data'!AD59*ManureNEF*NtoN2O*kgtoGg</f>
        <v>8.7042781172852426E-2</v>
      </c>
      <c r="L1475" s="22">
        <f>'Activity data'!AE59*ManureNEF*NtoN2O*kgtoGg</f>
        <v>8.7269809364329015E-2</v>
      </c>
      <c r="M1475" s="22">
        <f>'Activity data'!AF59*ManureNEF*NtoN2O*kgtoGg</f>
        <v>8.7572344539923463E-2</v>
      </c>
      <c r="N1475" s="22">
        <f>'Activity data'!AG59*ManureNEF*NtoN2O*kgtoGg</f>
        <v>8.7943660748253619E-2</v>
      </c>
      <c r="O1475" s="22">
        <f>'Activity data'!AH59*ManureNEF*NtoN2O*kgtoGg</f>
        <v>8.8388219991077738E-2</v>
      </c>
      <c r="P1475" s="22">
        <f>'Activity data'!AI59*ManureNEF*NtoN2O*kgtoGg</f>
        <v>8.8907205294776276E-2</v>
      </c>
      <c r="Q1475" s="22">
        <f>'Activity data'!AJ59*ManureNEF*NtoN2O*kgtoGg</f>
        <v>8.9462096262315383E-2</v>
      </c>
      <c r="R1475" s="22">
        <f>'Activity data'!AK59*ManureNEF*NtoN2O*kgtoGg</f>
        <v>9.0044958407765094E-2</v>
      </c>
      <c r="S1475" s="22">
        <f>'Activity data'!AL59*ManureNEF*NtoN2O*kgtoGg</f>
        <v>9.058641174008604E-2</v>
      </c>
      <c r="T1475" s="22">
        <f>'Activity data'!AM59*ManureNEF*NtoN2O*kgtoGg</f>
        <v>9.0840153267838591E-2</v>
      </c>
      <c r="U1475" s="22">
        <f>'Activity data'!AN59*ManureNEF*NtoN2O*kgtoGg</f>
        <v>9.1118394918272713E-2</v>
      </c>
      <c r="V1475" s="22">
        <f>'Activity data'!AO59*ManureNEF*NtoN2O*kgtoGg</f>
        <v>9.1421489787068641E-2</v>
      </c>
      <c r="W1475" s="22">
        <f>'Activity data'!AP59*ManureNEF*NtoN2O*kgtoGg</f>
        <v>9.1751129305526188E-2</v>
      </c>
      <c r="X1475" s="22">
        <f>'Activity data'!AQ59*ManureNEF*NtoN2O*kgtoGg</f>
        <v>9.2102875256845074E-2</v>
      </c>
      <c r="Y1475" s="22">
        <f>'Activity data'!AR59*ManureNEF*NtoN2O*kgtoGg</f>
        <v>9.232521212320649E-2</v>
      </c>
      <c r="Z1475" s="22">
        <f>'Activity data'!AS59*ManureNEF*NtoN2O*kgtoGg</f>
        <v>9.2565769306508783E-2</v>
      </c>
      <c r="AA1475" s="22">
        <f>'Activity data'!AT59*ManureNEF*NtoN2O*kgtoGg</f>
        <v>9.2825542007412429E-2</v>
      </c>
      <c r="AB1475" s="22">
        <f>'Activity data'!AU59*ManureNEF*NtoN2O*kgtoGg</f>
        <v>9.3100953930938646E-2</v>
      </c>
      <c r="AC1475" s="22">
        <f>'Activity data'!AV59*ManureNEF*NtoN2O*kgtoGg</f>
        <v>9.339310675513432E-2</v>
      </c>
      <c r="AD1475" s="22">
        <f>'Activity data'!AW59*ManureNEF*NtoN2O*kgtoGg</f>
        <v>9.3584447456151826E-2</v>
      </c>
      <c r="AE1475" s="22">
        <f>'Activity data'!AX59*ManureNEF*NtoN2O*kgtoGg</f>
        <v>9.3791957817689064E-2</v>
      </c>
      <c r="AF1475" s="22">
        <f>'Activity data'!AY59*ManureNEF*NtoN2O*kgtoGg</f>
        <v>9.4013883568308809E-2</v>
      </c>
      <c r="AG1475" s="22">
        <f>'Activity data'!AZ59*ManureNEF*NtoN2O*kgtoGg</f>
        <v>9.4225124449304393E-2</v>
      </c>
      <c r="AH1475" s="22">
        <f>'Activity data'!BA59*ManureNEF*NtoN2O*kgtoGg</f>
        <v>9.3301695602041948E-2</v>
      </c>
      <c r="AI1475" s="22">
        <f>'Activity data'!BB59*ManureNEF*NtoN2O*kgtoGg</f>
        <v>9.342525063432626E-2</v>
      </c>
      <c r="AJ1475" s="22">
        <f>'Activity data'!BC59*ManureNEF*NtoN2O*kgtoGg</f>
        <v>9.3559884234251725E-2</v>
      </c>
      <c r="AK1475" s="22">
        <f>'Activity data'!BD59*ManureNEF*NtoN2O*kgtoGg</f>
        <v>9.370514649197019E-2</v>
      </c>
      <c r="AL1475" s="22">
        <f>'Activity data'!BE59*ManureNEF*NtoN2O*kgtoGg</f>
        <v>9.3860622395159451E-2</v>
      </c>
      <c r="AM1475" s="22">
        <f>'Activity data'!BF59*ManureNEF*NtoN2O*kgtoGg</f>
        <v>9.4025928487650484E-2</v>
      </c>
      <c r="AN1475" s="22">
        <f>'Activity data'!BG59*ManureNEF*NtoN2O*kgtoGg</f>
        <v>9.4096885865051882E-2</v>
      </c>
      <c r="AO1475" s="22">
        <f>'Activity data'!BH59*ManureNEF*NtoN2O*kgtoGg</f>
        <v>9.4176698933624112E-2</v>
      </c>
      <c r="AP1475" s="22">
        <f>'Activity data'!BI59*ManureNEF*NtoN2O*kgtoGg</f>
        <v>9.4265033834237441E-2</v>
      </c>
      <c r="AQ1475" s="22">
        <f>'Activity data'!BJ59*ManureNEF*NtoN2O*kgtoGg</f>
        <v>9.4361579611283539E-2</v>
      </c>
      <c r="AR1475" s="22">
        <f>'Activity data'!BK59*ManureNEF*NtoN2O*kgtoGg</f>
        <v>9.4466046250465022E-2</v>
      </c>
      <c r="AS1475" s="22">
        <f>'Activity data'!BL59*ManureNEF*NtoN2O*kgtoGg</f>
        <v>9.4474196731536342E-2</v>
      </c>
      <c r="AT1475" s="22">
        <f>'Activity data'!BM59*ManureNEF*NtoN2O*kgtoGg</f>
        <v>9.4489595697509143E-2</v>
      </c>
      <c r="AU1475" s="22">
        <f>'Activity data'!BN59*ManureNEF*NtoN2O*kgtoGg</f>
        <v>9.4511982833060726E-2</v>
      </c>
      <c r="AV1475" s="22">
        <f>'Activity data'!BO59*ManureNEF*NtoN2O*kgtoGg</f>
        <v>9.4541113756464096E-2</v>
      </c>
      <c r="AW1475" s="22">
        <f>'Activity data'!BP59*ManureNEF*NtoN2O*kgtoGg</f>
        <v>9.4576758785176129E-2</v>
      </c>
    </row>
    <row r="1476" spans="1:49" x14ac:dyDescent="0.25">
      <c r="A1476" s="102" t="s">
        <v>961</v>
      </c>
      <c r="B1476" s="102"/>
      <c r="C1476" s="102"/>
      <c r="D1476" t="str">
        <f t="shared" si="562"/>
        <v>3C Aggregated and non-CO2 emissions on land</v>
      </c>
      <c r="E1476" t="str">
        <f t="shared" si="562"/>
        <v>3C4 Direct N2O from managed soils (N2O)</v>
      </c>
      <c r="F1476" t="str">
        <f t="shared" si="562"/>
        <v>MM emissions</v>
      </c>
      <c r="G1476" t="str">
        <f>'Activity data'!D60</f>
        <v xml:space="preserve"> - Horses</v>
      </c>
      <c r="H1476" t="str">
        <f t="shared" si="563"/>
        <v>MM emissions - Horses</v>
      </c>
      <c r="I1476" t="str">
        <f t="shared" si="564"/>
        <v>N2O</v>
      </c>
      <c r="J1476" t="str">
        <f t="shared" si="564"/>
        <v>Gg N2O</v>
      </c>
      <c r="K1476" s="22">
        <f>'Activity data'!AD60*ManureNEF*NtoN2O*kgtoGg</f>
        <v>0</v>
      </c>
      <c r="L1476" s="22">
        <f>'Activity data'!AE60*ManureNEF*NtoN2O*kgtoGg</f>
        <v>0</v>
      </c>
      <c r="M1476" s="22">
        <f>'Activity data'!AF60*ManureNEF*NtoN2O*kgtoGg</f>
        <v>0</v>
      </c>
      <c r="N1476" s="22">
        <f>'Activity data'!AG60*ManureNEF*NtoN2O*kgtoGg</f>
        <v>0</v>
      </c>
      <c r="O1476" s="22">
        <f>'Activity data'!AH60*ManureNEF*NtoN2O*kgtoGg</f>
        <v>0</v>
      </c>
      <c r="P1476" s="22">
        <f>'Activity data'!AI60*ManureNEF*NtoN2O*kgtoGg</f>
        <v>0</v>
      </c>
      <c r="Q1476" s="22">
        <f>'Activity data'!AJ60*ManureNEF*NtoN2O*kgtoGg</f>
        <v>0</v>
      </c>
      <c r="R1476" s="22">
        <f>'Activity data'!AK60*ManureNEF*NtoN2O*kgtoGg</f>
        <v>0</v>
      </c>
      <c r="S1476" s="22">
        <f>'Activity data'!AL60*ManureNEF*NtoN2O*kgtoGg</f>
        <v>0</v>
      </c>
      <c r="T1476" s="22">
        <f>'Activity data'!AM60*ManureNEF*NtoN2O*kgtoGg</f>
        <v>0</v>
      </c>
      <c r="U1476" s="22">
        <f>'Activity data'!AN60*ManureNEF*NtoN2O*kgtoGg</f>
        <v>0</v>
      </c>
      <c r="V1476" s="22">
        <f>'Activity data'!AO60*ManureNEF*NtoN2O*kgtoGg</f>
        <v>0</v>
      </c>
      <c r="W1476" s="22">
        <f>'Activity data'!AP60*ManureNEF*NtoN2O*kgtoGg</f>
        <v>0</v>
      </c>
      <c r="X1476" s="22">
        <f>'Activity data'!AQ60*ManureNEF*NtoN2O*kgtoGg</f>
        <v>0</v>
      </c>
      <c r="Y1476" s="22">
        <f>'Activity data'!AR60*ManureNEF*NtoN2O*kgtoGg</f>
        <v>0</v>
      </c>
      <c r="Z1476" s="22">
        <f>'Activity data'!AS60*ManureNEF*NtoN2O*kgtoGg</f>
        <v>0</v>
      </c>
      <c r="AA1476" s="22">
        <f>'Activity data'!AT60*ManureNEF*NtoN2O*kgtoGg</f>
        <v>0</v>
      </c>
      <c r="AB1476" s="22">
        <f>'Activity data'!AU60*ManureNEF*NtoN2O*kgtoGg</f>
        <v>0</v>
      </c>
      <c r="AC1476" s="22">
        <f>'Activity data'!AV60*ManureNEF*NtoN2O*kgtoGg</f>
        <v>0</v>
      </c>
      <c r="AD1476" s="22">
        <f>'Activity data'!AW60*ManureNEF*NtoN2O*kgtoGg</f>
        <v>0</v>
      </c>
      <c r="AE1476" s="22">
        <f>'Activity data'!AX60*ManureNEF*NtoN2O*kgtoGg</f>
        <v>0</v>
      </c>
      <c r="AF1476" s="22">
        <f>'Activity data'!AY60*ManureNEF*NtoN2O*kgtoGg</f>
        <v>0</v>
      </c>
      <c r="AG1476" s="22">
        <f>'Activity data'!AZ60*ManureNEF*NtoN2O*kgtoGg</f>
        <v>0</v>
      </c>
      <c r="AH1476" s="22">
        <f>'Activity data'!BA60*ManureNEF*NtoN2O*kgtoGg</f>
        <v>0</v>
      </c>
      <c r="AI1476" s="22">
        <f>'Activity data'!BB60*ManureNEF*NtoN2O*kgtoGg</f>
        <v>0</v>
      </c>
      <c r="AJ1476" s="22">
        <f>'Activity data'!BC60*ManureNEF*NtoN2O*kgtoGg</f>
        <v>0</v>
      </c>
      <c r="AK1476" s="22">
        <f>'Activity data'!BD60*ManureNEF*NtoN2O*kgtoGg</f>
        <v>0</v>
      </c>
      <c r="AL1476" s="22">
        <f>'Activity data'!BE60*ManureNEF*NtoN2O*kgtoGg</f>
        <v>0</v>
      </c>
      <c r="AM1476" s="22">
        <f>'Activity data'!BF60*ManureNEF*NtoN2O*kgtoGg</f>
        <v>0</v>
      </c>
      <c r="AN1476" s="22">
        <f>'Activity data'!BG60*ManureNEF*NtoN2O*kgtoGg</f>
        <v>0</v>
      </c>
      <c r="AO1476" s="22">
        <f>'Activity data'!BH60*ManureNEF*NtoN2O*kgtoGg</f>
        <v>0</v>
      </c>
      <c r="AP1476" s="22">
        <f>'Activity data'!BI60*ManureNEF*NtoN2O*kgtoGg</f>
        <v>0</v>
      </c>
      <c r="AQ1476" s="22">
        <f>'Activity data'!BJ60*ManureNEF*NtoN2O*kgtoGg</f>
        <v>0</v>
      </c>
      <c r="AR1476" s="22">
        <f>'Activity data'!BK60*ManureNEF*NtoN2O*kgtoGg</f>
        <v>0</v>
      </c>
      <c r="AS1476" s="22">
        <f>'Activity data'!BL60*ManureNEF*NtoN2O*kgtoGg</f>
        <v>0</v>
      </c>
      <c r="AT1476" s="22">
        <f>'Activity data'!BM60*ManureNEF*NtoN2O*kgtoGg</f>
        <v>0</v>
      </c>
      <c r="AU1476" s="22">
        <f>'Activity data'!BN60*ManureNEF*NtoN2O*kgtoGg</f>
        <v>0</v>
      </c>
      <c r="AV1476" s="22">
        <f>'Activity data'!BO60*ManureNEF*NtoN2O*kgtoGg</f>
        <v>0</v>
      </c>
      <c r="AW1476" s="22">
        <f>'Activity data'!BP60*ManureNEF*NtoN2O*kgtoGg</f>
        <v>0</v>
      </c>
    </row>
    <row r="1477" spans="1:49" x14ac:dyDescent="0.25">
      <c r="A1477" s="102" t="s">
        <v>961</v>
      </c>
      <c r="B1477" s="102"/>
      <c r="C1477" s="102"/>
      <c r="D1477" t="str">
        <f t="shared" si="562"/>
        <v>3C Aggregated and non-CO2 emissions on land</v>
      </c>
      <c r="E1477" t="str">
        <f t="shared" si="562"/>
        <v>3C4 Direct N2O from managed soils (N2O)</v>
      </c>
      <c r="F1477" t="str">
        <f t="shared" si="562"/>
        <v>MM emissions</v>
      </c>
      <c r="G1477" t="str">
        <f>'Activity data'!D61</f>
        <v xml:space="preserve"> - Mules &amp; Asses</v>
      </c>
      <c r="H1477" t="str">
        <f t="shared" si="563"/>
        <v>MM emissions - Mules &amp; Asses</v>
      </c>
      <c r="I1477" t="str">
        <f t="shared" si="564"/>
        <v>N2O</v>
      </c>
      <c r="J1477" t="str">
        <f t="shared" si="564"/>
        <v>Gg N2O</v>
      </c>
      <c r="K1477" s="22">
        <f>'Activity data'!AD61*ManureNEF*NtoN2O*kgtoGg</f>
        <v>0</v>
      </c>
      <c r="L1477" s="22">
        <f>'Activity data'!AE61*ManureNEF*NtoN2O*kgtoGg</f>
        <v>0</v>
      </c>
      <c r="M1477" s="22">
        <f>'Activity data'!AF61*ManureNEF*NtoN2O*kgtoGg</f>
        <v>0</v>
      </c>
      <c r="N1477" s="22">
        <f>'Activity data'!AG61*ManureNEF*NtoN2O*kgtoGg</f>
        <v>0</v>
      </c>
      <c r="O1477" s="22">
        <f>'Activity data'!AH61*ManureNEF*NtoN2O*kgtoGg</f>
        <v>0</v>
      </c>
      <c r="P1477" s="22">
        <f>'Activity data'!AI61*ManureNEF*NtoN2O*kgtoGg</f>
        <v>0</v>
      </c>
      <c r="Q1477" s="22">
        <f>'Activity data'!AJ61*ManureNEF*NtoN2O*kgtoGg</f>
        <v>0</v>
      </c>
      <c r="R1477" s="22">
        <f>'Activity data'!AK61*ManureNEF*NtoN2O*kgtoGg</f>
        <v>0</v>
      </c>
      <c r="S1477" s="22">
        <f>'Activity data'!AL61*ManureNEF*NtoN2O*kgtoGg</f>
        <v>0</v>
      </c>
      <c r="T1477" s="22">
        <f>'Activity data'!AM61*ManureNEF*NtoN2O*kgtoGg</f>
        <v>0</v>
      </c>
      <c r="U1477" s="22">
        <f>'Activity data'!AN61*ManureNEF*NtoN2O*kgtoGg</f>
        <v>0</v>
      </c>
      <c r="V1477" s="22">
        <f>'Activity data'!AO61*ManureNEF*NtoN2O*kgtoGg</f>
        <v>0</v>
      </c>
      <c r="W1477" s="22">
        <f>'Activity data'!AP61*ManureNEF*NtoN2O*kgtoGg</f>
        <v>0</v>
      </c>
      <c r="X1477" s="22">
        <f>'Activity data'!AQ61*ManureNEF*NtoN2O*kgtoGg</f>
        <v>0</v>
      </c>
      <c r="Y1477" s="22">
        <f>'Activity data'!AR61*ManureNEF*NtoN2O*kgtoGg</f>
        <v>0</v>
      </c>
      <c r="Z1477" s="22">
        <f>'Activity data'!AS61*ManureNEF*NtoN2O*kgtoGg</f>
        <v>0</v>
      </c>
      <c r="AA1477" s="22">
        <f>'Activity data'!AT61*ManureNEF*NtoN2O*kgtoGg</f>
        <v>0</v>
      </c>
      <c r="AB1477" s="22">
        <f>'Activity data'!AU61*ManureNEF*NtoN2O*kgtoGg</f>
        <v>0</v>
      </c>
      <c r="AC1477" s="22">
        <f>'Activity data'!AV61*ManureNEF*NtoN2O*kgtoGg</f>
        <v>0</v>
      </c>
      <c r="AD1477" s="22">
        <f>'Activity data'!AW61*ManureNEF*NtoN2O*kgtoGg</f>
        <v>0</v>
      </c>
      <c r="AE1477" s="22">
        <f>'Activity data'!AX61*ManureNEF*NtoN2O*kgtoGg</f>
        <v>0</v>
      </c>
      <c r="AF1477" s="22">
        <f>'Activity data'!AY61*ManureNEF*NtoN2O*kgtoGg</f>
        <v>0</v>
      </c>
      <c r="AG1477" s="22">
        <f>'Activity data'!AZ61*ManureNEF*NtoN2O*kgtoGg</f>
        <v>0</v>
      </c>
      <c r="AH1477" s="22">
        <f>'Activity data'!BA61*ManureNEF*NtoN2O*kgtoGg</f>
        <v>0</v>
      </c>
      <c r="AI1477" s="22">
        <f>'Activity data'!BB61*ManureNEF*NtoN2O*kgtoGg</f>
        <v>0</v>
      </c>
      <c r="AJ1477" s="22">
        <f>'Activity data'!BC61*ManureNEF*NtoN2O*kgtoGg</f>
        <v>0</v>
      </c>
      <c r="AK1477" s="22">
        <f>'Activity data'!BD61*ManureNEF*NtoN2O*kgtoGg</f>
        <v>0</v>
      </c>
      <c r="AL1477" s="22">
        <f>'Activity data'!BE61*ManureNEF*NtoN2O*kgtoGg</f>
        <v>0</v>
      </c>
      <c r="AM1477" s="22">
        <f>'Activity data'!BF61*ManureNEF*NtoN2O*kgtoGg</f>
        <v>0</v>
      </c>
      <c r="AN1477" s="22">
        <f>'Activity data'!BG61*ManureNEF*NtoN2O*kgtoGg</f>
        <v>0</v>
      </c>
      <c r="AO1477" s="22">
        <f>'Activity data'!BH61*ManureNEF*NtoN2O*kgtoGg</f>
        <v>0</v>
      </c>
      <c r="AP1477" s="22">
        <f>'Activity data'!BI61*ManureNEF*NtoN2O*kgtoGg</f>
        <v>0</v>
      </c>
      <c r="AQ1477" s="22">
        <f>'Activity data'!BJ61*ManureNEF*NtoN2O*kgtoGg</f>
        <v>0</v>
      </c>
      <c r="AR1477" s="22">
        <f>'Activity data'!BK61*ManureNEF*NtoN2O*kgtoGg</f>
        <v>0</v>
      </c>
      <c r="AS1477" s="22">
        <f>'Activity data'!BL61*ManureNEF*NtoN2O*kgtoGg</f>
        <v>0</v>
      </c>
      <c r="AT1477" s="22">
        <f>'Activity data'!BM61*ManureNEF*NtoN2O*kgtoGg</f>
        <v>0</v>
      </c>
      <c r="AU1477" s="22">
        <f>'Activity data'!BN61*ManureNEF*NtoN2O*kgtoGg</f>
        <v>0</v>
      </c>
      <c r="AV1477" s="22">
        <f>'Activity data'!BO61*ManureNEF*NtoN2O*kgtoGg</f>
        <v>0</v>
      </c>
      <c r="AW1477" s="22">
        <f>'Activity data'!BP61*ManureNEF*NtoN2O*kgtoGg</f>
        <v>0</v>
      </c>
    </row>
    <row r="1478" spans="1:49" x14ac:dyDescent="0.25">
      <c r="A1478" s="102" t="s">
        <v>961</v>
      </c>
      <c r="B1478" s="102"/>
      <c r="C1478" s="102"/>
      <c r="D1478" t="str">
        <f t="shared" si="562"/>
        <v>3C Aggregated and non-CO2 emissions on land</v>
      </c>
      <c r="E1478" t="str">
        <f t="shared" si="562"/>
        <v>3C4 Direct N2O from managed soils (N2O)</v>
      </c>
      <c r="F1478" t="str">
        <f t="shared" si="562"/>
        <v>MM emissions</v>
      </c>
      <c r="G1478" t="str">
        <f>'Activity data'!D62</f>
        <v xml:space="preserve"> - Commercial swine</v>
      </c>
      <c r="H1478" t="str">
        <f t="shared" si="563"/>
        <v>MM emissions - Commercial swine</v>
      </c>
      <c r="I1478" t="str">
        <f t="shared" si="564"/>
        <v>N2O</v>
      </c>
      <c r="J1478" t="str">
        <f t="shared" si="564"/>
        <v>Gg N2O</v>
      </c>
      <c r="K1478" s="22">
        <f>'Activity data'!AD62*ManureNEF*NtoN2O*kgtoGg</f>
        <v>0.125581463448449</v>
      </c>
      <c r="L1478" s="22">
        <f>'Activity data'!AE62*ManureNEF*NtoN2O*kgtoGg</f>
        <v>0.125185082671006</v>
      </c>
      <c r="M1478" s="22">
        <f>'Activity data'!AF62*ManureNEF*NtoN2O*kgtoGg</f>
        <v>0.12387425442661908</v>
      </c>
      <c r="N1478" s="22">
        <f>'Activity data'!AG62*ManureNEF*NtoN2O*kgtoGg</f>
        <v>0.12132911183874903</v>
      </c>
      <c r="O1478" s="22">
        <f>'Activity data'!AH62*ManureNEF*NtoN2O*kgtoGg</f>
        <v>0.1188953282361286</v>
      </c>
      <c r="P1478" s="22">
        <f>'Activity data'!AI62*ManureNEF*NtoN2O*kgtoGg</f>
        <v>0.11718799777455163</v>
      </c>
      <c r="Q1478" s="22">
        <f>'Activity data'!AJ62*ManureNEF*NtoN2O*kgtoGg</f>
        <v>0.11574203128248971</v>
      </c>
      <c r="R1478" s="22">
        <f>'Activity data'!AK62*ManureNEF*NtoN2O*kgtoGg</f>
        <v>0.11307943655863528</v>
      </c>
      <c r="S1478" s="22">
        <f>'Activity data'!AL62*ManureNEF*NtoN2O*kgtoGg</f>
        <v>9.8992483819013391E-2</v>
      </c>
      <c r="T1478" s="22">
        <f>'Activity data'!AM62*ManureNEF*NtoN2O*kgtoGg</f>
        <v>9.9621540773874098E-2</v>
      </c>
      <c r="U1478" s="22">
        <f>'Activity data'!AN62*ManureNEF*NtoN2O*kgtoGg</f>
        <v>9.9937301593485559E-2</v>
      </c>
      <c r="V1478" s="22">
        <f>'Activity data'!AO62*ManureNEF*NtoN2O*kgtoGg</f>
        <v>0.10024428291849223</v>
      </c>
      <c r="W1478" s="22">
        <f>'Activity data'!AP62*ManureNEF*NtoN2O*kgtoGg</f>
        <v>0.10099411627265523</v>
      </c>
      <c r="X1478" s="22">
        <f>'Activity data'!AQ62*ManureNEF*NtoN2O*kgtoGg</f>
        <v>0.10171874148627991</v>
      </c>
      <c r="Y1478" s="22">
        <f>'Activity data'!AR62*ManureNEF*NtoN2O*kgtoGg</f>
        <v>0.1025500722540789</v>
      </c>
      <c r="Z1478" s="22">
        <f>'Activity data'!AS62*ManureNEF*NtoN2O*kgtoGg</f>
        <v>0.10324784841270714</v>
      </c>
      <c r="AA1478" s="22">
        <f>'Activity data'!AT62*ManureNEF*NtoN2O*kgtoGg</f>
        <v>0.10408641302096616</v>
      </c>
      <c r="AB1478" s="22">
        <f>'Activity data'!AU62*ManureNEF*NtoN2O*kgtoGg</f>
        <v>0.10469683987160423</v>
      </c>
      <c r="AC1478" s="22">
        <f>'Activity data'!AV62*ManureNEF*NtoN2O*kgtoGg</f>
        <v>0.10533895546772398</v>
      </c>
      <c r="AD1478" s="22">
        <f>'Activity data'!AW62*ManureNEF*NtoN2O*kgtoGg</f>
        <v>0.10652330160399656</v>
      </c>
      <c r="AE1478" s="22">
        <f>'Activity data'!AX62*ManureNEF*NtoN2O*kgtoGg</f>
        <v>0.10790681124778287</v>
      </c>
      <c r="AF1478" s="22">
        <f>'Activity data'!AY62*ManureNEF*NtoN2O*kgtoGg</f>
        <v>0.10933849435388519</v>
      </c>
      <c r="AG1478" s="22">
        <f>'Activity data'!AZ62*ManureNEF*NtoN2O*kgtoGg</f>
        <v>0.10772941024216406</v>
      </c>
      <c r="AH1478" s="22">
        <f>'Activity data'!BA62*ManureNEF*NtoN2O*kgtoGg</f>
        <v>-3.634870651063056E-2</v>
      </c>
      <c r="AI1478" s="22">
        <f>'Activity data'!BB62*ManureNEF*NtoN2O*kgtoGg</f>
        <v>-3.5951110371359889E-2</v>
      </c>
      <c r="AJ1478" s="22">
        <f>'Activity data'!BC62*ManureNEF*NtoN2O*kgtoGg</f>
        <v>-3.5562030175799973E-2</v>
      </c>
      <c r="AK1478" s="22">
        <f>'Activity data'!BD62*ManureNEF*NtoN2O*kgtoGg</f>
        <v>-3.5180908821616855E-2</v>
      </c>
      <c r="AL1478" s="22">
        <f>'Activity data'!BE62*ManureNEF*NtoN2O*kgtoGg</f>
        <v>-3.4807229997572818E-2</v>
      </c>
      <c r="AM1478" s="22">
        <f>'Activity data'!BF62*ManureNEF*NtoN2O*kgtoGg</f>
        <v>-3.4440514238790632E-2</v>
      </c>
      <c r="AN1478" s="22">
        <f>'Activity data'!BG62*ManureNEF*NtoN2O*kgtoGg</f>
        <v>-3.4038300116717851E-2</v>
      </c>
      <c r="AO1478" s="22">
        <f>'Activity data'!BH62*ManureNEF*NtoN2O*kgtoGg</f>
        <v>-3.3643177597525331E-2</v>
      </c>
      <c r="AP1478" s="22">
        <f>'Activity data'!BI62*ManureNEF*NtoN2O*kgtoGg</f>
        <v>-3.325473249917061E-2</v>
      </c>
      <c r="AQ1478" s="22">
        <f>'Activity data'!BJ62*ManureNEF*NtoN2O*kgtoGg</f>
        <v>-3.2872577693066611E-2</v>
      </c>
      <c r="AR1478" s="22">
        <f>'Activity data'!BK62*ManureNEF*NtoN2O*kgtoGg</f>
        <v>-3.2496350766594746E-2</v>
      </c>
      <c r="AS1478" s="22">
        <f>'Activity data'!BL62*ManureNEF*NtoN2O*kgtoGg</f>
        <v>-3.2086347643088084E-2</v>
      </c>
      <c r="AT1478" s="22">
        <f>'Activity data'!BM62*ManureNEF*NtoN2O*kgtoGg</f>
        <v>-3.1682606758135223E-2</v>
      </c>
      <c r="AU1478" s="22">
        <f>'Activity data'!BN62*ManureNEF*NtoN2O*kgtoGg</f>
        <v>-3.1284805771392483E-2</v>
      </c>
      <c r="AV1478" s="22">
        <f>'Activity data'!BO62*ManureNEF*NtoN2O*kgtoGg</f>
        <v>-3.0892641387511636E-2</v>
      </c>
      <c r="AW1478" s="22">
        <f>'Activity data'!BP62*ManureNEF*NtoN2O*kgtoGg</f>
        <v>-3.0505827871256618E-2</v>
      </c>
    </row>
    <row r="1479" spans="1:49" x14ac:dyDescent="0.25">
      <c r="A1479" s="102" t="s">
        <v>961</v>
      </c>
      <c r="B1479" s="102"/>
      <c r="C1479" s="102"/>
      <c r="D1479" t="str">
        <f t="shared" si="562"/>
        <v>3C Aggregated and non-CO2 emissions on land</v>
      </c>
      <c r="E1479" t="str">
        <f t="shared" si="562"/>
        <v>3C4 Direct N2O from managed soils (N2O)</v>
      </c>
      <c r="F1479" t="str">
        <f t="shared" si="562"/>
        <v>MM emissions</v>
      </c>
      <c r="G1479" t="str">
        <f>'Activity data'!D63</f>
        <v xml:space="preserve"> - Subsistence swine</v>
      </c>
      <c r="H1479" t="str">
        <f t="shared" si="563"/>
        <v>MM emissions - Subsistence swine</v>
      </c>
      <c r="I1479" t="str">
        <f t="shared" si="564"/>
        <v>N2O</v>
      </c>
      <c r="J1479" t="str">
        <f t="shared" si="564"/>
        <v>Gg N2O</v>
      </c>
      <c r="K1479" s="22">
        <f>'Activity data'!AD63*ManureNEF*NtoN2O*kgtoGg</f>
        <v>3.1860496839281362E-2</v>
      </c>
      <c r="L1479" s="22">
        <f>'Activity data'!AE63*ManureNEF*NtoN2O*kgtoGg</f>
        <v>3.1759933522370665E-2</v>
      </c>
      <c r="M1479" s="22">
        <f>'Activity data'!AF63*ManureNEF*NtoN2O*kgtoGg</f>
        <v>3.1427371391063171E-2</v>
      </c>
      <c r="N1479" s="22">
        <f>'Activity data'!AG63*ManureNEF*NtoN2O*kgtoGg</f>
        <v>3.0781658997293845E-2</v>
      </c>
      <c r="O1479" s="22">
        <f>'Activity data'!AH63*ManureNEF*NtoN2O*kgtoGg</f>
        <v>3.0164198803332858E-2</v>
      </c>
      <c r="P1479" s="22">
        <f>'Activity data'!AI63*ManureNEF*NtoN2O*kgtoGg</f>
        <v>2.973104254538711E-2</v>
      </c>
      <c r="Q1479" s="22">
        <f>'Activity data'!AJ63*ManureNEF*NtoN2O*kgtoGg</f>
        <v>2.9364195324587221E-2</v>
      </c>
      <c r="R1479" s="22">
        <f>'Activity data'!AK63*ManureNEF*NtoN2O*kgtoGg</f>
        <v>2.8688684875400002E-2</v>
      </c>
      <c r="S1479" s="22">
        <f>'Activity data'!AL63*ManureNEF*NtoN2O*kgtoGg</f>
        <v>2.5114771171009475E-2</v>
      </c>
      <c r="T1479" s="22">
        <f>'Activity data'!AM63*ManureNEF*NtoN2O*kgtoGg</f>
        <v>2.5274365322659843E-2</v>
      </c>
      <c r="U1479" s="22">
        <f>'Activity data'!AN63*ManureNEF*NtoN2O*kgtoGg</f>
        <v>2.535447504840236E-2</v>
      </c>
      <c r="V1479" s="22">
        <f>'Activity data'!AO63*ManureNEF*NtoN2O*kgtoGg</f>
        <v>2.5432357382837084E-2</v>
      </c>
      <c r="W1479" s="22">
        <f>'Activity data'!AP63*ManureNEF*NtoN2O*kgtoGg</f>
        <v>2.562259296820359E-2</v>
      </c>
      <c r="X1479" s="22">
        <f>'Activity data'!AQ63*ManureNEF*NtoN2O*kgtoGg</f>
        <v>2.5806433152052291E-2</v>
      </c>
      <c r="Y1479" s="22">
        <f>'Activity data'!AR63*ManureNEF*NtoN2O*kgtoGg</f>
        <v>2.6017344942475328E-2</v>
      </c>
      <c r="Z1479" s="22">
        <f>'Activity data'!AS63*ManureNEF*NtoN2O*kgtoGg</f>
        <v>2.6194373418542003E-2</v>
      </c>
      <c r="AA1479" s="22">
        <f>'Activity data'!AT63*ManureNEF*NtoN2O*kgtoGg</f>
        <v>2.6407120461913867E-2</v>
      </c>
      <c r="AB1479" s="22">
        <f>'Activity data'!AU63*ManureNEF*NtoN2O*kgtoGg</f>
        <v>2.6561988084979515E-2</v>
      </c>
      <c r="AC1479" s="22">
        <f>'Activity data'!AV63*ManureNEF*NtoN2O*kgtoGg</f>
        <v>2.6724895263784808E-2</v>
      </c>
      <c r="AD1479" s="22">
        <f>'Activity data'!AW63*ManureNEF*NtoN2O*kgtoGg</f>
        <v>2.7025368401261952E-2</v>
      </c>
      <c r="AE1479" s="22">
        <f>'Activity data'!AX63*ManureNEF*NtoN2O*kgtoGg</f>
        <v>2.7376370081148127E-2</v>
      </c>
      <c r="AF1479" s="22">
        <f>'Activity data'!AY63*ManureNEF*NtoN2O*kgtoGg</f>
        <v>2.7739593552385582E-2</v>
      </c>
      <c r="AG1479" s="22">
        <f>'Activity data'!AZ63*ManureNEF*NtoN2O*kgtoGg</f>
        <v>2.7331362768575094E-2</v>
      </c>
      <c r="AH1479" s="22">
        <f>'Activity data'!BA63*ManureNEF*NtoN2O*kgtoGg</f>
        <v>-9.2218056478478912E-3</v>
      </c>
      <c r="AI1479" s="22">
        <f>'Activity data'!BB63*ManureNEF*NtoN2O*kgtoGg</f>
        <v>-9.1209339890003793E-3</v>
      </c>
      <c r="AJ1479" s="22">
        <f>'Activity data'!BC63*ManureNEF*NtoN2O*kgtoGg</f>
        <v>-9.0222228575924188E-3</v>
      </c>
      <c r="AK1479" s="22">
        <f>'Activity data'!BD63*ManureNEF*NtoN2O*kgtoGg</f>
        <v>-8.9255309146344646E-3</v>
      </c>
      <c r="AL1479" s="22">
        <f>'Activity data'!BE63*ManureNEF*NtoN2O*kgtoGg</f>
        <v>-8.8307271699938471E-3</v>
      </c>
      <c r="AM1479" s="22">
        <f>'Activity data'!BF63*ManureNEF*NtoN2O*kgtoGg</f>
        <v>-8.7376899816002714E-3</v>
      </c>
      <c r="AN1479" s="22">
        <f>'Activity data'!BG63*ManureNEF*NtoN2O*kgtoGg</f>
        <v>-8.6356467228810053E-3</v>
      </c>
      <c r="AO1479" s="22">
        <f>'Activity data'!BH63*ManureNEF*NtoN2O*kgtoGg</f>
        <v>-8.5354026308934166E-3</v>
      </c>
      <c r="AP1479" s="22">
        <f>'Activity data'!BI63*ManureNEF*NtoN2O*kgtoGg</f>
        <v>-8.436852626071684E-3</v>
      </c>
      <c r="AQ1479" s="22">
        <f>'Activity data'!BJ63*ManureNEF*NtoN2O*kgtoGg</f>
        <v>-8.3398984924149214E-3</v>
      </c>
      <c r="AR1479" s="22">
        <f>'Activity data'!BK63*ManureNEF*NtoN2O*kgtoGg</f>
        <v>-8.2444482844578407E-3</v>
      </c>
      <c r="AS1479" s="22">
        <f>'Activity data'!BL63*ManureNEF*NtoN2O*kgtoGg</f>
        <v>-8.1404289263306579E-3</v>
      </c>
      <c r="AT1479" s="22">
        <f>'Activity data'!BM63*ManureNEF*NtoN2O*kgtoGg</f>
        <v>-8.0379983220384144E-3</v>
      </c>
      <c r="AU1479" s="22">
        <f>'Activity data'!BN63*ManureNEF*NtoN2O*kgtoGg</f>
        <v>-7.9370746926049739E-3</v>
      </c>
      <c r="AV1479" s="22">
        <f>'Activity data'!BO63*ManureNEF*NtoN2O*kgtoGg</f>
        <v>-7.8375810908422969E-3</v>
      </c>
      <c r="AW1479" s="22">
        <f>'Activity data'!BP63*ManureNEF*NtoN2O*kgtoGg</f>
        <v>-7.7394450246298409E-3</v>
      </c>
    </row>
    <row r="1480" spans="1:49" x14ac:dyDescent="0.25">
      <c r="A1480" s="102" t="s">
        <v>961</v>
      </c>
      <c r="B1480" s="102"/>
      <c r="C1480" s="102"/>
      <c r="D1480" t="str">
        <f t="shared" ref="D1480:F1495" si="565">D1479</f>
        <v>3C Aggregated and non-CO2 emissions on land</v>
      </c>
      <c r="E1480" t="str">
        <f t="shared" si="565"/>
        <v>3C4 Direct N2O from managed soils (N2O)</v>
      </c>
      <c r="F1480" t="str">
        <f t="shared" si="565"/>
        <v>MM emissions</v>
      </c>
      <c r="G1480" t="str">
        <f>'Activity data'!D64</f>
        <v xml:space="preserve"> - Commercial layers</v>
      </c>
      <c r="H1480" t="str">
        <f t="shared" si="563"/>
        <v>MM emissions - Commercial layers</v>
      </c>
      <c r="I1480" t="str">
        <f t="shared" si="564"/>
        <v>N2O</v>
      </c>
      <c r="J1480" t="str">
        <f t="shared" si="564"/>
        <v>Gg N2O</v>
      </c>
      <c r="K1480" s="22">
        <f>'Activity data'!AD64*ManureNEF*NtoN2O*kgtoGg</f>
        <v>0.1578659423422277</v>
      </c>
      <c r="L1480" s="22">
        <f>'Activity data'!AE64*ManureNEF*NtoN2O*kgtoGg</f>
        <v>0.16128463868664497</v>
      </c>
      <c r="M1480" s="22">
        <f>'Activity data'!AF64*ManureNEF*NtoN2O*kgtoGg</f>
        <v>0.16403927917478689</v>
      </c>
      <c r="N1480" s="22">
        <f>'Activity data'!AG64*ManureNEF*NtoN2O*kgtoGg</f>
        <v>0.16583912134746412</v>
      </c>
      <c r="O1480" s="22">
        <f>'Activity data'!AH64*ManureNEF*NtoN2O*kgtoGg</f>
        <v>0.16766339315982179</v>
      </c>
      <c r="P1480" s="22">
        <f>'Activity data'!AI64*ManureNEF*NtoN2O*kgtoGg</f>
        <v>0.17001522372192687</v>
      </c>
      <c r="Q1480" s="22">
        <f>'Activity data'!AJ64*ManureNEF*NtoN2O*kgtoGg</f>
        <v>0.17253027929477446</v>
      </c>
      <c r="R1480" s="22">
        <f>'Activity data'!AK64*ManureNEF*NtoN2O*kgtoGg</f>
        <v>0.17399291850067305</v>
      </c>
      <c r="S1480" s="22">
        <f>'Activity data'!AL64*ManureNEF*NtoN2O*kgtoGg</f>
        <v>0.16557860027053409</v>
      </c>
      <c r="T1480" s="22">
        <f>'Activity data'!AM64*ManureNEF*NtoN2O*kgtoGg</f>
        <v>0.1691333492046497</v>
      </c>
      <c r="U1480" s="22">
        <f>'Activity data'!AN64*ManureNEF*NtoN2O*kgtoGg</f>
        <v>0.17245170747417515</v>
      </c>
      <c r="V1480" s="22">
        <f>'Activity data'!AO64*ManureNEF*NtoN2O*kgtoGg</f>
        <v>0.17579626240036808</v>
      </c>
      <c r="W1480" s="22">
        <f>'Activity data'!AP64*ManureNEF*NtoN2O*kgtoGg</f>
        <v>0.17959210165256231</v>
      </c>
      <c r="X1480" s="22">
        <f>'Activity data'!AQ64*ManureNEF*NtoN2O*kgtoGg</f>
        <v>0.18341947191943975</v>
      </c>
      <c r="Y1480" s="22">
        <f>'Activity data'!AR64*ManureNEF*NtoN2O*kgtoGg</f>
        <v>0.18725170622309825</v>
      </c>
      <c r="Z1480" s="22">
        <f>'Activity data'!AS64*ManureNEF*NtoN2O*kgtoGg</f>
        <v>0.19101002435789147</v>
      </c>
      <c r="AA1480" s="22">
        <f>'Activity data'!AT64*ManureNEF*NtoN2O*kgtoGg</f>
        <v>0.19496806630989533</v>
      </c>
      <c r="AB1480" s="22">
        <f>'Activity data'!AU64*ManureNEF*NtoN2O*kgtoGg</f>
        <v>0.1987521861165934</v>
      </c>
      <c r="AC1480" s="22">
        <f>'Activity data'!AV64*ManureNEF*NtoN2O*kgtoGg</f>
        <v>0.20262605023407515</v>
      </c>
      <c r="AD1480" s="22">
        <f>'Activity data'!AW64*ManureNEF*NtoN2O*kgtoGg</f>
        <v>0.20701826985045815</v>
      </c>
      <c r="AE1480" s="22">
        <f>'Activity data'!AX64*ManureNEF*NtoN2O*kgtoGg</f>
        <v>0.21171320346850861</v>
      </c>
      <c r="AF1480" s="22">
        <f>'Activity data'!AY64*ManureNEF*NtoN2O*kgtoGg</f>
        <v>0.21655584185518156</v>
      </c>
      <c r="AG1480" s="22">
        <f>'Activity data'!AZ64*ManureNEF*NtoN2O*kgtoGg</f>
        <v>0.21799724995986033</v>
      </c>
      <c r="AH1480" s="22">
        <f>'Activity data'!BA64*ManureNEF*NtoN2O*kgtoGg</f>
        <v>5.2251952852615427E-2</v>
      </c>
      <c r="AI1480" s="22">
        <f>'Activity data'!BB64*ManureNEF*NtoN2O*kgtoGg</f>
        <v>5.2653553300749806E-2</v>
      </c>
      <c r="AJ1480" s="22">
        <f>'Activity data'!BC64*ManureNEF*NtoN2O*kgtoGg</f>
        <v>5.3058077706100888E-2</v>
      </c>
      <c r="AK1480" s="22">
        <f>'Activity data'!BD64*ManureNEF*NtoN2O*kgtoGg</f>
        <v>5.3465548333796561E-2</v>
      </c>
      <c r="AL1480" s="22">
        <f>'Activity data'!BE64*ManureNEF*NtoN2O*kgtoGg</f>
        <v>5.3875987550074486E-2</v>
      </c>
      <c r="AM1480" s="22">
        <f>'Activity data'!BF64*ManureNEF*NtoN2O*kgtoGg</f>
        <v>5.4289417828860521E-2</v>
      </c>
      <c r="AN1480" s="22">
        <f>'Activity data'!BG64*ManureNEF*NtoN2O*kgtoGg</f>
        <v>5.4642837788304699E-2</v>
      </c>
      <c r="AO1480" s="22">
        <f>'Activity data'!BH64*ManureNEF*NtoN2O*kgtoGg</f>
        <v>5.4998439326322222E-2</v>
      </c>
      <c r="AP1480" s="22">
        <f>'Activity data'!BI64*ManureNEF*NtoN2O*kgtoGg</f>
        <v>5.5356236623464276E-2</v>
      </c>
      <c r="AQ1480" s="22">
        <f>'Activity data'!BJ64*ManureNEF*NtoN2O*kgtoGg</f>
        <v>5.5716243907733665E-2</v>
      </c>
      <c r="AR1480" s="22">
        <f>'Activity data'!BK64*ManureNEF*NtoN2O*kgtoGg</f>
        <v>5.6078475458306978E-2</v>
      </c>
      <c r="AS1480" s="22">
        <f>'Activity data'!BL64*ManureNEF*NtoN2O*kgtoGg</f>
        <v>5.6378177516484766E-2</v>
      </c>
      <c r="AT1480" s="22">
        <f>'Activity data'!BM64*ManureNEF*NtoN2O*kgtoGg</f>
        <v>5.6679397882174076E-2</v>
      </c>
      <c r="AU1480" s="22">
        <f>'Activity data'!BN64*ManureNEF*NtoN2O*kgtoGg</f>
        <v>5.6982144790486855E-2</v>
      </c>
      <c r="AV1480" s="22">
        <f>'Activity data'!BO64*ManureNEF*NtoN2O*kgtoGg</f>
        <v>5.7286426490389369E-2</v>
      </c>
      <c r="AW1480" s="22">
        <f>'Activity data'!BP64*ManureNEF*NtoN2O*kgtoGg</f>
        <v>5.7592251246923687E-2</v>
      </c>
    </row>
    <row r="1481" spans="1:49" x14ac:dyDescent="0.25">
      <c r="A1481" s="102" t="s">
        <v>961</v>
      </c>
      <c r="B1481" s="102"/>
      <c r="C1481" s="102"/>
      <c r="D1481" t="str">
        <f t="shared" si="565"/>
        <v>3C Aggregated and non-CO2 emissions on land</v>
      </c>
      <c r="E1481" t="str">
        <f t="shared" si="565"/>
        <v>3C4 Direct N2O from managed soils (N2O)</v>
      </c>
      <c r="F1481" t="str">
        <f t="shared" si="565"/>
        <v>MM emissions</v>
      </c>
      <c r="G1481" t="str">
        <f>'Activity data'!D65</f>
        <v xml:space="preserve"> - Commercial broilers</v>
      </c>
      <c r="H1481" t="str">
        <f t="shared" si="563"/>
        <v>MM emissions - Commercial broilers</v>
      </c>
      <c r="I1481" t="str">
        <f t="shared" si="564"/>
        <v>N2O</v>
      </c>
      <c r="J1481" t="str">
        <f t="shared" si="564"/>
        <v>Gg N2O</v>
      </c>
      <c r="K1481" s="22">
        <f>'Activity data'!AD65*ManureNEF*NtoN2O*kgtoGg</f>
        <v>0.795414165570277</v>
      </c>
      <c r="L1481" s="22">
        <f>'Activity data'!AE65*ManureNEF*NtoN2O*kgtoGg</f>
        <v>0.8083218557846692</v>
      </c>
      <c r="M1481" s="22">
        <f>'Activity data'!AF65*ManureNEF*NtoN2O*kgtoGg</f>
        <v>0.81215441853464132</v>
      </c>
      <c r="N1481" s="22">
        <f>'Activity data'!AG65*ManureNEF*NtoN2O*kgtoGg</f>
        <v>0.80356343008777875</v>
      </c>
      <c r="O1481" s="22">
        <f>'Activity data'!AH65*ManureNEF*NtoN2O*kgtoGg</f>
        <v>0.79499088780116223</v>
      </c>
      <c r="P1481" s="22">
        <f>'Activity data'!AI65*ManureNEF*NtoN2O*kgtoGg</f>
        <v>0.79250347923266529</v>
      </c>
      <c r="Q1481" s="22">
        <f>'Activity data'!AJ65*ManureNEF*NtoN2O*kgtoGg</f>
        <v>0.79198531109847847</v>
      </c>
      <c r="R1481" s="22">
        <f>'Activity data'!AK65*ManureNEF*NtoN2O*kgtoGg</f>
        <v>0.77877476502438481</v>
      </c>
      <c r="S1481" s="22">
        <f>'Activity data'!AL65*ManureNEF*NtoN2O*kgtoGg</f>
        <v>0.64890920680176789</v>
      </c>
      <c r="T1481" s="22">
        <f>'Activity data'!AM65*ManureNEF*NtoN2O*kgtoGg</f>
        <v>0.66805040989248243</v>
      </c>
      <c r="U1481" s="22">
        <f>'Activity data'!AN65*ManureNEF*NtoN2O*kgtoGg</f>
        <v>0.68404988485251483</v>
      </c>
      <c r="V1481" s="22">
        <f>'Activity data'!AO65*ManureNEF*NtoN2O*kgtoGg</f>
        <v>0.70001053899583365</v>
      </c>
      <c r="W1481" s="22">
        <f>'Activity data'!AP65*ManureNEF*NtoN2O*kgtoGg</f>
        <v>0.72077585420537182</v>
      </c>
      <c r="X1481" s="22">
        <f>'Activity data'!AQ65*ManureNEF*NtoN2O*kgtoGg</f>
        <v>0.74147883845948881</v>
      </c>
      <c r="Y1481" s="22">
        <f>'Activity data'!AR65*ManureNEF*NtoN2O*kgtoGg</f>
        <v>0.76420933570691552</v>
      </c>
      <c r="Z1481" s="22">
        <f>'Activity data'!AS65*ManureNEF*NtoN2O*kgtoGg</f>
        <v>0.78572613438626693</v>
      </c>
      <c r="AA1481" s="22">
        <f>'Activity data'!AT65*ManureNEF*NtoN2O*kgtoGg</f>
        <v>0.80907791428846942</v>
      </c>
      <c r="AB1481" s="22">
        <f>'Activity data'!AU65*ManureNEF*NtoN2O*kgtoGg</f>
        <v>0.8301336909980378</v>
      </c>
      <c r="AC1481" s="22">
        <f>'Activity data'!AV65*ManureNEF*NtoN2O*kgtoGg</f>
        <v>0.85181121057445375</v>
      </c>
      <c r="AD1481" s="22">
        <f>'Activity data'!AW65*ManureNEF*NtoN2O*kgtoGg</f>
        <v>0.88061906068467799</v>
      </c>
      <c r="AE1481" s="22">
        <f>'Activity data'!AX65*ManureNEF*NtoN2O*kgtoGg</f>
        <v>0.91224642242202703</v>
      </c>
      <c r="AF1481" s="22">
        <f>'Activity data'!AY65*ManureNEF*NtoN2O*kgtoGg</f>
        <v>0.9449892623330276</v>
      </c>
      <c r="AG1481" s="22">
        <f>'Activity data'!AZ65*ManureNEF*NtoN2O*kgtoGg</f>
        <v>0.94134312985108715</v>
      </c>
      <c r="AH1481" s="22">
        <f>'Activity data'!BA65*ManureNEF*NtoN2O*kgtoGg</f>
        <v>-0.81638140263432868</v>
      </c>
      <c r="AI1481" s="22">
        <f>'Activity data'!BB65*ManureNEF*NtoN2O*kgtoGg</f>
        <v>-0.81755111000616232</v>
      </c>
      <c r="AJ1481" s="22">
        <f>'Activity data'!BC65*ManureNEF*NtoN2O*kgtoGg</f>
        <v>-0.81881979999269761</v>
      </c>
      <c r="AK1481" s="22">
        <f>'Activity data'!BD65*ManureNEF*NtoN2O*kgtoGg</f>
        <v>-0.82018334185066777</v>
      </c>
      <c r="AL1481" s="22">
        <f>'Activity data'!BE65*ManureNEF*NtoN2O*kgtoGg</f>
        <v>-0.82163792568162108</v>
      </c>
      <c r="AM1481" s="22">
        <f>'Activity data'!BF65*ManureNEF*NtoN2O*kgtoGg</f>
        <v>-0.82318003161190867</v>
      </c>
      <c r="AN1481" s="22">
        <f>'Activity data'!BG65*ManureNEF*NtoN2O*kgtoGg</f>
        <v>-0.82381473491699941</v>
      </c>
      <c r="AO1481" s="22">
        <f>'Activity data'!BH65*ManureNEF*NtoN2O*kgtoGg</f>
        <v>-0.82452898483774906</v>
      </c>
      <c r="AP1481" s="22">
        <f>'Activity data'!BI65*ManureNEF*NtoN2O*kgtoGg</f>
        <v>-0.82531969261957272</v>
      </c>
      <c r="AQ1481" s="22">
        <f>'Activity data'!BJ65*ManureNEF*NtoN2O*kgtoGg</f>
        <v>-0.82618398159490103</v>
      </c>
      <c r="AR1481" s="22">
        <f>'Activity data'!BK65*ManureNEF*NtoN2O*kgtoGg</f>
        <v>-0.82711916895922855</v>
      </c>
      <c r="AS1481" s="22">
        <f>'Activity data'!BL65*ManureNEF*NtoN2O*kgtoGg</f>
        <v>-0.82713235750266001</v>
      </c>
      <c r="AT1481" s="22">
        <f>'Activity data'!BM65*ManureNEF*NtoN2O*kgtoGg</f>
        <v>-0.82721120407880289</v>
      </c>
      <c r="AU1481" s="22">
        <f>'Activity data'!BN65*ManureNEF*NtoN2O*kgtoGg</f>
        <v>-0.82735328113760953</v>
      </c>
      <c r="AV1481" s="22">
        <f>'Activity data'!BO65*ManureNEF*NtoN2O*kgtoGg</f>
        <v>-0.82755630984608064</v>
      </c>
      <c r="AW1481" s="22">
        <f>'Activity data'!BP65*ManureNEF*NtoN2O*kgtoGg</f>
        <v>-0.82781814853769387</v>
      </c>
    </row>
    <row r="1482" spans="1:49" x14ac:dyDescent="0.25">
      <c r="A1482" s="102" t="s">
        <v>961</v>
      </c>
      <c r="B1482" s="102"/>
      <c r="C1482" s="102"/>
      <c r="D1482" t="str">
        <f t="shared" si="565"/>
        <v>3C Aggregated and non-CO2 emissions on land</v>
      </c>
      <c r="E1482" t="str">
        <f t="shared" si="565"/>
        <v>3C4 Direct N2O from managed soils (N2O)</v>
      </c>
      <c r="F1482" t="s">
        <v>422</v>
      </c>
      <c r="G1482" t="str">
        <f>G1466</f>
        <v xml:space="preserve"> - TMR</v>
      </c>
      <c r="H1482" t="str">
        <f t="shared" si="563"/>
        <v>U&amp;D emissions - TMR</v>
      </c>
      <c r="I1482" t="str">
        <f t="shared" si="564"/>
        <v>N2O</v>
      </c>
      <c r="J1482" t="str">
        <f t="shared" si="564"/>
        <v>Gg N2O</v>
      </c>
      <c r="K1482" s="22">
        <f>'Activity data'!AD66*UDCPPEF*NtoN2O*kgtoGg</f>
        <v>0</v>
      </c>
      <c r="L1482" s="22">
        <f>'Activity data'!AE66*UDCPPEF*NtoN2O*kgtoGg</f>
        <v>0</v>
      </c>
      <c r="M1482" s="22">
        <f>'Activity data'!AF66*UDCPPEF*NtoN2O*kgtoGg</f>
        <v>0</v>
      </c>
      <c r="N1482" s="22">
        <f>'Activity data'!AG66*UDCPPEF*NtoN2O*kgtoGg</f>
        <v>0</v>
      </c>
      <c r="O1482" s="22">
        <f>'Activity data'!AH66*UDCPPEF*NtoN2O*kgtoGg</f>
        <v>0</v>
      </c>
      <c r="P1482" s="22">
        <f>'Activity data'!AI66*UDCPPEF*NtoN2O*kgtoGg</f>
        <v>0</v>
      </c>
      <c r="Q1482" s="22">
        <f>'Activity data'!AJ66*UDCPPEF*NtoN2O*kgtoGg</f>
        <v>0</v>
      </c>
      <c r="R1482" s="22">
        <f>'Activity data'!AK66*UDCPPEF*NtoN2O*kgtoGg</f>
        <v>0</v>
      </c>
      <c r="S1482" s="22">
        <f>'Activity data'!AL66*UDCPPEF*NtoN2O*kgtoGg</f>
        <v>0</v>
      </c>
      <c r="T1482" s="22">
        <f>'Activity data'!AM66*UDCPPEF*NtoN2O*kgtoGg</f>
        <v>0</v>
      </c>
      <c r="U1482" s="22">
        <f>'Activity data'!AN66*UDCPPEF*NtoN2O*kgtoGg</f>
        <v>0</v>
      </c>
      <c r="V1482" s="22">
        <f>'Activity data'!AO66*UDCPPEF*NtoN2O*kgtoGg</f>
        <v>0</v>
      </c>
      <c r="W1482" s="22">
        <f>'Activity data'!AP66*UDCPPEF*NtoN2O*kgtoGg</f>
        <v>0</v>
      </c>
      <c r="X1482" s="22">
        <f>'Activity data'!AQ66*UDCPPEF*NtoN2O*kgtoGg</f>
        <v>0</v>
      </c>
      <c r="Y1482" s="22">
        <f>'Activity data'!AR66*UDCPPEF*NtoN2O*kgtoGg</f>
        <v>0</v>
      </c>
      <c r="Z1482" s="22">
        <f>'Activity data'!AS66*UDCPPEF*NtoN2O*kgtoGg</f>
        <v>0</v>
      </c>
      <c r="AA1482" s="22">
        <f>'Activity data'!AT66*UDCPPEF*NtoN2O*kgtoGg</f>
        <v>0</v>
      </c>
      <c r="AB1482" s="22">
        <f>'Activity data'!AU66*UDCPPEF*NtoN2O*kgtoGg</f>
        <v>0</v>
      </c>
      <c r="AC1482" s="22">
        <f>'Activity data'!AV66*UDCPPEF*NtoN2O*kgtoGg</f>
        <v>0</v>
      </c>
      <c r="AD1482" s="22">
        <f>'Activity data'!AW66*UDCPPEF*NtoN2O*kgtoGg</f>
        <v>0</v>
      </c>
      <c r="AE1482" s="22">
        <f>'Activity data'!AX66*UDCPPEF*NtoN2O*kgtoGg</f>
        <v>0</v>
      </c>
      <c r="AF1482" s="22">
        <f>'Activity data'!AY66*UDCPPEF*NtoN2O*kgtoGg</f>
        <v>0</v>
      </c>
      <c r="AG1482" s="22">
        <f>'Activity data'!AZ66*UDCPPEF*NtoN2O*kgtoGg</f>
        <v>0</v>
      </c>
      <c r="AH1482" s="22">
        <f>'Activity data'!BA66*UDCPPEF*NtoN2O*kgtoGg</f>
        <v>0</v>
      </c>
      <c r="AI1482" s="22">
        <f>'Activity data'!BB66*UDCPPEF*NtoN2O*kgtoGg</f>
        <v>0</v>
      </c>
      <c r="AJ1482" s="22">
        <f>'Activity data'!BC66*UDCPPEF*NtoN2O*kgtoGg</f>
        <v>0</v>
      </c>
      <c r="AK1482" s="22">
        <f>'Activity data'!BD66*UDCPPEF*NtoN2O*kgtoGg</f>
        <v>0</v>
      </c>
      <c r="AL1482" s="22">
        <f>'Activity data'!BE66*UDCPPEF*NtoN2O*kgtoGg</f>
        <v>0</v>
      </c>
      <c r="AM1482" s="22">
        <f>'Activity data'!BF66*UDCPPEF*NtoN2O*kgtoGg</f>
        <v>0</v>
      </c>
      <c r="AN1482" s="22">
        <f>'Activity data'!BG66*UDCPPEF*NtoN2O*kgtoGg</f>
        <v>0</v>
      </c>
      <c r="AO1482" s="22">
        <f>'Activity data'!BH66*UDCPPEF*NtoN2O*kgtoGg</f>
        <v>0</v>
      </c>
      <c r="AP1482" s="22">
        <f>'Activity data'!BI66*UDCPPEF*NtoN2O*kgtoGg</f>
        <v>0</v>
      </c>
      <c r="AQ1482" s="22">
        <f>'Activity data'!BJ66*UDCPPEF*NtoN2O*kgtoGg</f>
        <v>0</v>
      </c>
      <c r="AR1482" s="22">
        <f>'Activity data'!BK66*UDCPPEF*NtoN2O*kgtoGg</f>
        <v>0</v>
      </c>
      <c r="AS1482" s="22">
        <f>'Activity data'!BL66*UDCPPEF*NtoN2O*kgtoGg</f>
        <v>0</v>
      </c>
      <c r="AT1482" s="22">
        <f>'Activity data'!BM66*UDCPPEF*NtoN2O*kgtoGg</f>
        <v>0</v>
      </c>
      <c r="AU1482" s="22">
        <f>'Activity data'!BN66*UDCPPEF*NtoN2O*kgtoGg</f>
        <v>0</v>
      </c>
      <c r="AV1482" s="22">
        <f>'Activity data'!BO66*UDCPPEF*NtoN2O*kgtoGg</f>
        <v>0</v>
      </c>
      <c r="AW1482" s="22">
        <f>'Activity data'!BP66*UDCPPEF*NtoN2O*kgtoGg</f>
        <v>0</v>
      </c>
    </row>
    <row r="1483" spans="1:49" x14ac:dyDescent="0.25">
      <c r="A1483" s="102" t="s">
        <v>961</v>
      </c>
      <c r="B1483" s="102"/>
      <c r="C1483" s="102"/>
      <c r="D1483" t="str">
        <f t="shared" si="565"/>
        <v>3C Aggregated and non-CO2 emissions on land</v>
      </c>
      <c r="E1483" t="str">
        <f t="shared" si="565"/>
        <v>3C4 Direct N2O from managed soils (N2O)</v>
      </c>
      <c r="F1483" t="s">
        <v>422</v>
      </c>
      <c r="G1483" t="str">
        <f t="shared" ref="G1483:G1497" si="566">G1467</f>
        <v xml:space="preserve"> - Pasture</v>
      </c>
      <c r="H1483" t="str">
        <f t="shared" si="563"/>
        <v>U&amp;D emissions - Pasture</v>
      </c>
      <c r="I1483" t="str">
        <f t="shared" ref="I1483:J1498" si="567">I1482</f>
        <v>N2O</v>
      </c>
      <c r="J1483" t="str">
        <f t="shared" si="567"/>
        <v>Gg N2O</v>
      </c>
      <c r="K1483" s="22">
        <f>'Activity data'!AD67*UDCPPEF*NtoN2O*kgtoGg</f>
        <v>1.0795326716636573</v>
      </c>
      <c r="L1483" s="22">
        <f>'Activity data'!AE67*UDCPPEF*NtoN2O*kgtoGg</f>
        <v>1.0862475469793051</v>
      </c>
      <c r="M1483" s="22">
        <f>'Activity data'!AF67*UDCPPEF*NtoN2O*kgtoGg</f>
        <v>1.0908641162595043</v>
      </c>
      <c r="N1483" s="22">
        <f>'Activity data'!AG67*UDCPPEF*NtoN2O*kgtoGg</f>
        <v>1.0923119403436279</v>
      </c>
      <c r="O1483" s="22">
        <f>'Activity data'!AH67*UDCPPEF*NtoN2O*kgtoGg</f>
        <v>1.0942706302876248</v>
      </c>
      <c r="P1483" s="22">
        <f>'Activity data'!AI67*UDCPPEF*NtoN2O*kgtoGg</f>
        <v>1.0985609054131558</v>
      </c>
      <c r="Q1483" s="22">
        <f>'Activity data'!AJ67*UDCPPEF*NtoN2O*kgtoGg</f>
        <v>1.1037045101143446</v>
      </c>
      <c r="R1483" s="22">
        <f>'Activity data'!AK67*UDCPPEF*NtoN2O*kgtoGg</f>
        <v>1.105249702620553</v>
      </c>
      <c r="S1483" s="22">
        <f>'Activity data'!AL67*UDCPPEF*NtoN2O*kgtoGg</f>
        <v>1.0713187850060639</v>
      </c>
      <c r="T1483" s="22">
        <f>'Activity data'!AM67*UDCPPEF*NtoN2O*kgtoGg</f>
        <v>1.0801428769448762</v>
      </c>
      <c r="U1483" s="22">
        <f>'Activity data'!AN67*UDCPPEF*NtoN2O*kgtoGg</f>
        <v>1.0882343186562755</v>
      </c>
      <c r="V1483" s="22">
        <f>'Activity data'!AO67*UDCPPEF*NtoN2O*kgtoGg</f>
        <v>1.0965307426510265</v>
      </c>
      <c r="W1483" s="22">
        <f>'Activity data'!AP67*UDCPPEF*NtoN2O*kgtoGg</f>
        <v>1.1065249139358884</v>
      </c>
      <c r="X1483" s="22">
        <f>'Activity data'!AQ67*UDCPPEF*NtoN2O*kgtoGg</f>
        <v>1.1167066198379636</v>
      </c>
      <c r="Y1483" s="22">
        <f>'Activity data'!AR67*UDCPPEF*NtoN2O*kgtoGg</f>
        <v>1.1266207343141128</v>
      </c>
      <c r="Z1483" s="22">
        <f>'Activity data'!AS67*UDCPPEF*NtoN2O*kgtoGg</f>
        <v>1.1363365093259761</v>
      </c>
      <c r="AA1483" s="22">
        <f>'Activity data'!AT67*UDCPPEF*NtoN2O*kgtoGg</f>
        <v>1.146801464584869</v>
      </c>
      <c r="AB1483" s="22">
        <f>'Activity data'!AU67*UDCPPEF*NtoN2O*kgtoGg</f>
        <v>1.156711571508408</v>
      </c>
      <c r="AC1483" s="22">
        <f>'Activity data'!AV67*UDCPPEF*NtoN2O*kgtoGg</f>
        <v>1.1669771470605725</v>
      </c>
      <c r="AD1483" s="22">
        <f>'Activity data'!AW67*UDCPPEF*NtoN2O*kgtoGg</f>
        <v>1.1787713566301137</v>
      </c>
      <c r="AE1483" s="22">
        <f>'Activity data'!AX67*UDCPPEF*NtoN2O*kgtoGg</f>
        <v>1.1916164906506355</v>
      </c>
      <c r="AF1483" s="22">
        <f>'Activity data'!AY67*UDCPPEF*NtoN2O*kgtoGg</f>
        <v>1.2049714778557878</v>
      </c>
      <c r="AG1483" s="22">
        <f>'Activity data'!AZ67*UDCPPEF*NtoN2O*kgtoGg</f>
        <v>1.2068369654753692</v>
      </c>
      <c r="AH1483" s="22">
        <f>'Activity data'!BA67*UDCPPEF*NtoN2O*kgtoGg</f>
        <v>0.64612873683850436</v>
      </c>
      <c r="AI1483" s="22">
        <f>'Activity data'!BB67*UDCPPEF*NtoN2O*kgtoGg</f>
        <v>0.64660396058025826</v>
      </c>
      <c r="AJ1483" s="22">
        <f>'Activity data'!BC67*UDCPPEF*NtoN2O*kgtoGg</f>
        <v>0.64714161069901732</v>
      </c>
      <c r="AK1483" s="22">
        <f>'Activity data'!BD67*UDCPPEF*NtoN2O*kgtoGg</f>
        <v>0.64773931439075094</v>
      </c>
      <c r="AL1483" s="22">
        <f>'Activity data'!BE67*UDCPPEF*NtoN2O*kgtoGg</f>
        <v>0.64839488159544112</v>
      </c>
      <c r="AM1483" s="22">
        <f>'Activity data'!BF67*UDCPPEF*NtoN2O*kgtoGg</f>
        <v>0.64910628767603584</v>
      </c>
      <c r="AN1483" s="22">
        <f>'Activity data'!BG67*UDCPPEF*NtoN2O*kgtoGg</f>
        <v>0.64941256924922242</v>
      </c>
      <c r="AO1483" s="22">
        <f>'Activity data'!BH67*UDCPPEF*NtoN2O*kgtoGg</f>
        <v>0.64976802465090699</v>
      </c>
      <c r="AP1483" s="22">
        <f>'Activity data'!BI67*UDCPPEF*NtoN2O*kgtoGg</f>
        <v>0.65017093639043266</v>
      </c>
      <c r="AQ1483" s="22">
        <f>'Activity data'!BJ67*UDCPPEF*NtoN2O*kgtoGg</f>
        <v>0.65061970417317594</v>
      </c>
      <c r="AR1483" s="22">
        <f>'Activity data'!BK67*UDCPPEF*NtoN2O*kgtoGg</f>
        <v>0.65111283495552585</v>
      </c>
      <c r="AS1483" s="22">
        <f>'Activity data'!BL67*UDCPPEF*NtoN2O*kgtoGg</f>
        <v>0.65118489834837545</v>
      </c>
      <c r="AT1483" s="22">
        <f>'Activity data'!BM67*UDCPPEF*NtoN2O*kgtoGg</f>
        <v>0.65129629063948757</v>
      </c>
      <c r="AU1483" s="22">
        <f>'Activity data'!BN67*UDCPPEF*NtoN2O*kgtoGg</f>
        <v>0.65144570826558501</v>
      </c>
      <c r="AV1483" s="22">
        <f>'Activity data'!BO67*UDCPPEF*NtoN2O*kgtoGg</f>
        <v>0.65163192707531048</v>
      </c>
      <c r="AW1483" s="22">
        <f>'Activity data'!BP67*UDCPPEF*NtoN2O*kgtoGg</f>
        <v>0.6518537962289046</v>
      </c>
    </row>
    <row r="1484" spans="1:49" x14ac:dyDescent="0.25">
      <c r="A1484" s="102" t="s">
        <v>961</v>
      </c>
      <c r="B1484" s="102"/>
      <c r="C1484" s="102"/>
      <c r="D1484" t="str">
        <f t="shared" si="565"/>
        <v>3C Aggregated and non-CO2 emissions on land</v>
      </c>
      <c r="E1484" t="str">
        <f t="shared" si="565"/>
        <v>3C4 Direct N2O from managed soils (N2O)</v>
      </c>
      <c r="F1484" t="s">
        <v>422</v>
      </c>
      <c r="G1484" t="str">
        <f t="shared" si="566"/>
        <v xml:space="preserve"> - Non-lactating</v>
      </c>
      <c r="H1484" t="str">
        <f t="shared" si="563"/>
        <v>U&amp;D emissions - Non-lactating</v>
      </c>
      <c r="I1484" t="str">
        <f t="shared" si="567"/>
        <v>N2O</v>
      </c>
      <c r="J1484" t="str">
        <f t="shared" si="567"/>
        <v>Gg N2O</v>
      </c>
      <c r="K1484" s="22">
        <f>'Activity data'!AD68*UDCPPEF*NtoN2O*kgtoGg</f>
        <v>0.73516913566022923</v>
      </c>
      <c r="L1484" s="22">
        <f>'Activity data'!AE68*UDCPPEF*NtoN2O*kgtoGg</f>
        <v>0.7397420116939516</v>
      </c>
      <c r="M1484" s="22">
        <f>'Activity data'!AF68*UDCPPEF*NtoN2O*kgtoGg</f>
        <v>0.74288592696073941</v>
      </c>
      <c r="N1484" s="22">
        <f>'Activity data'!AG68*UDCPPEF*NtoN2O*kgtoGg</f>
        <v>0.74387190506816692</v>
      </c>
      <c r="O1484" s="22">
        <f>'Activity data'!AH68*UDCPPEF*NtoN2O*kgtoGg</f>
        <v>0.74520578632155732</v>
      </c>
      <c r="P1484" s="22">
        <f>'Activity data'!AI68*UDCPPEF*NtoN2O*kgtoGg</f>
        <v>0.74812749303648285</v>
      </c>
      <c r="Q1484" s="22">
        <f>'Activity data'!AJ68*UDCPPEF*NtoN2O*kgtoGg</f>
        <v>0.7516303230309872</v>
      </c>
      <c r="R1484" s="22">
        <f>'Activity data'!AK68*UDCPPEF*NtoN2O*kgtoGg</f>
        <v>0.75268260970005785</v>
      </c>
      <c r="S1484" s="22">
        <f>'Activity data'!AL68*UDCPPEF*NtoN2O*kgtoGg</f>
        <v>0.72957542264627473</v>
      </c>
      <c r="T1484" s="22">
        <f>'Activity data'!AM68*UDCPPEF*NtoN2O*kgtoGg</f>
        <v>0.73558468963181722</v>
      </c>
      <c r="U1484" s="22">
        <f>'Activity data'!AN68*UDCPPEF*NtoN2O*kgtoGg</f>
        <v>0.74109501679963463</v>
      </c>
      <c r="V1484" s="22">
        <f>'Activity data'!AO68*UDCPPEF*NtoN2O*kgtoGg</f>
        <v>0.74674493830492128</v>
      </c>
      <c r="W1484" s="22">
        <f>'Activity data'!AP68*UDCPPEF*NtoN2O*kgtoGg</f>
        <v>0.753551037330909</v>
      </c>
      <c r="X1484" s="22">
        <f>'Activity data'!AQ68*UDCPPEF*NtoN2O*kgtoGg</f>
        <v>0.76048484871434763</v>
      </c>
      <c r="Y1484" s="22">
        <f>'Activity data'!AR68*UDCPPEF*NtoN2O*kgtoGg</f>
        <v>0.7672364285058465</v>
      </c>
      <c r="Z1484" s="22">
        <f>'Activity data'!AS68*UDCPPEF*NtoN2O*kgtoGg</f>
        <v>0.77385293776511066</v>
      </c>
      <c r="AA1484" s="22">
        <f>'Activity data'!AT68*UDCPPEF*NtoN2O*kgtoGg</f>
        <v>0.78097964389855901</v>
      </c>
      <c r="AB1484" s="22">
        <f>'Activity data'!AU68*UDCPPEF*NtoN2O*kgtoGg</f>
        <v>0.78772849451931037</v>
      </c>
      <c r="AC1484" s="22">
        <f>'Activity data'!AV68*UDCPPEF*NtoN2O*kgtoGg</f>
        <v>0.79471942170830334</v>
      </c>
      <c r="AD1484" s="22">
        <f>'Activity data'!AW68*UDCPPEF*NtoN2O*kgtoGg</f>
        <v>0.80275135912217765</v>
      </c>
      <c r="AE1484" s="22">
        <f>'Activity data'!AX68*UDCPPEF*NtoN2O*kgtoGg</f>
        <v>0.81149898327768732</v>
      </c>
      <c r="AF1484" s="22">
        <f>'Activity data'!AY68*UDCPPEF*NtoN2O*kgtoGg</f>
        <v>0.82059382094039046</v>
      </c>
      <c r="AG1484" s="22">
        <f>'Activity data'!AZ68*UDCPPEF*NtoN2O*kgtoGg</f>
        <v>0.8218642307731554</v>
      </c>
      <c r="AH1484" s="22">
        <f>'Activity data'!BA68*UDCPPEF*NtoN2O*kgtoGg</f>
        <v>0.4400180906565429</v>
      </c>
      <c r="AI1484" s="22">
        <f>'Activity data'!BB68*UDCPPEF*NtoN2O*kgtoGg</f>
        <v>0.44034172127619964</v>
      </c>
      <c r="AJ1484" s="22">
        <f>'Activity data'!BC68*UDCPPEF*NtoN2O*kgtoGg</f>
        <v>0.44070786468572382</v>
      </c>
      <c r="AK1484" s="22">
        <f>'Activity data'!BD68*UDCPPEF*NtoN2O*kgtoGg</f>
        <v>0.44111490498933553</v>
      </c>
      <c r="AL1484" s="22">
        <f>'Activity data'!BE68*UDCPPEF*NtoN2O*kgtoGg</f>
        <v>0.44156135074117797</v>
      </c>
      <c r="AM1484" s="22">
        <f>'Activity data'!BF68*UDCPPEF*NtoN2O*kgtoGg</f>
        <v>0.44204582314956586</v>
      </c>
      <c r="AN1484" s="22">
        <f>'Activity data'!BG68*UDCPPEF*NtoN2O*kgtoGg</f>
        <v>0.44225440299651131</v>
      </c>
      <c r="AO1484" s="22">
        <f>'Activity data'!BH68*UDCPPEF*NtoN2O*kgtoGg</f>
        <v>0.44249647055711561</v>
      </c>
      <c r="AP1484" s="22">
        <f>'Activity data'!BI68*UDCPPEF*NtoN2O*kgtoGg</f>
        <v>0.44277085620848994</v>
      </c>
      <c r="AQ1484" s="22">
        <f>'Activity data'!BJ68*UDCPPEF*NtoN2O*kgtoGg</f>
        <v>0.44307647013904683</v>
      </c>
      <c r="AR1484" s="22">
        <f>'Activity data'!BK68*UDCPPEF*NtoN2O*kgtoGg</f>
        <v>0.4434122955758712</v>
      </c>
      <c r="AS1484" s="22">
        <f>'Activity data'!BL68*UDCPPEF*NtoN2O*kgtoGg</f>
        <v>0.44346137123946583</v>
      </c>
      <c r="AT1484" s="22">
        <f>'Activity data'!BM68*UDCPPEF*NtoN2O*kgtoGg</f>
        <v>0.4435372301518688</v>
      </c>
      <c r="AU1484" s="22">
        <f>'Activity data'!BN68*UDCPPEF*NtoN2O*kgtoGg</f>
        <v>0.44363898457756984</v>
      </c>
      <c r="AV1484" s="22">
        <f>'Activity data'!BO68*UDCPPEF*NtoN2O*kgtoGg</f>
        <v>0.44376580086111833</v>
      </c>
      <c r="AW1484" s="22">
        <f>'Activity data'!BP68*UDCPPEF*NtoN2O*kgtoGg</f>
        <v>0.44391689527276407</v>
      </c>
    </row>
    <row r="1485" spans="1:49" x14ac:dyDescent="0.25">
      <c r="A1485" s="102" t="s">
        <v>961</v>
      </c>
      <c r="B1485" s="102"/>
      <c r="C1485" s="102"/>
      <c r="D1485" t="str">
        <f t="shared" si="565"/>
        <v>3C Aggregated and non-CO2 emissions on land</v>
      </c>
      <c r="E1485" t="str">
        <f t="shared" si="565"/>
        <v>3C4 Direct N2O from managed soils (N2O)</v>
      </c>
      <c r="F1485" t="s">
        <v>422</v>
      </c>
      <c r="G1485" t="str">
        <f t="shared" si="566"/>
        <v xml:space="preserve"> - Commercial cattle</v>
      </c>
      <c r="H1485" t="str">
        <f t="shared" si="563"/>
        <v>U&amp;D emissions - Commercial cattle</v>
      </c>
      <c r="I1485" t="str">
        <f t="shared" si="567"/>
        <v>N2O</v>
      </c>
      <c r="J1485" t="str">
        <f t="shared" si="567"/>
        <v>Gg N2O</v>
      </c>
      <c r="K1485" s="22">
        <f>'Activity data'!AD69*UDCPPEF*NtoN2O*kgtoGg</f>
        <v>15.48880966403453</v>
      </c>
      <c r="L1485" s="22">
        <f>'Activity data'!AE69*UDCPPEF*NtoN2O*kgtoGg</f>
        <v>15.386143051197998</v>
      </c>
      <c r="M1485" s="22">
        <f>'Activity data'!AF69*UDCPPEF*NtoN2O*kgtoGg</f>
        <v>15.169677377989304</v>
      </c>
      <c r="N1485" s="22">
        <f>'Activity data'!AG69*UDCPPEF*NtoN2O*kgtoGg</f>
        <v>14.804794487947174</v>
      </c>
      <c r="O1485" s="22">
        <f>'Activity data'!AH69*UDCPPEF*NtoN2O*kgtoGg</f>
        <v>14.450776257626368</v>
      </c>
      <c r="P1485" s="22">
        <f>'Activity data'!AI69*UDCPPEF*NtoN2O*kgtoGg</f>
        <v>14.178486550067829</v>
      </c>
      <c r="Q1485" s="22">
        <f>'Activity data'!AJ69*UDCPPEF*NtoN2O*kgtoGg</f>
        <v>13.932198413286633</v>
      </c>
      <c r="R1485" s="22">
        <f>'Activity data'!AK69*UDCPPEF*NtoN2O*kgtoGg</f>
        <v>13.544970185493053</v>
      </c>
      <c r="S1485" s="22">
        <f>'Activity data'!AL69*UDCPPEF*NtoN2O*kgtoGg</f>
        <v>11.879759863511568</v>
      </c>
      <c r="T1485" s="22">
        <f>'Activity data'!AM69*UDCPPEF*NtoN2O*kgtoGg</f>
        <v>11.992993022515481</v>
      </c>
      <c r="U1485" s="22">
        <f>'Activity data'!AN69*UDCPPEF*NtoN2O*kgtoGg</f>
        <v>12.069614819396085</v>
      </c>
      <c r="V1485" s="22">
        <f>'Activity data'!AO69*UDCPPEF*NtoN2O*kgtoGg</f>
        <v>12.143744438353496</v>
      </c>
      <c r="W1485" s="22">
        <f>'Activity data'!AP69*UDCPPEF*NtoN2O*kgtoGg</f>
        <v>12.266336998051067</v>
      </c>
      <c r="X1485" s="22">
        <f>'Activity data'!AQ69*UDCPPEF*NtoN2O*kgtoGg</f>
        <v>12.384889207902271</v>
      </c>
      <c r="Y1485" s="22">
        <f>'Activity data'!AR69*UDCPPEF*NtoN2O*kgtoGg</f>
        <v>12.509351233051413</v>
      </c>
      <c r="Z1485" s="22">
        <f>'Activity data'!AS69*UDCPPEF*NtoN2O*kgtoGg</f>
        <v>12.61770643379279</v>
      </c>
      <c r="AA1485" s="22">
        <f>'Activity data'!AT69*UDCPPEF*NtoN2O*kgtoGg</f>
        <v>12.7410293454877</v>
      </c>
      <c r="AB1485" s="22">
        <f>'Activity data'!AU69*UDCPPEF*NtoN2O*kgtoGg</f>
        <v>12.837533702297911</v>
      </c>
      <c r="AC1485" s="22">
        <f>'Activity data'!AV69*UDCPPEF*NtoN2O*kgtoGg</f>
        <v>12.936685976559087</v>
      </c>
      <c r="AD1485" s="22">
        <f>'Activity data'!AW69*UDCPPEF*NtoN2O*kgtoGg</f>
        <v>12.98286747930208</v>
      </c>
      <c r="AE1485" s="22">
        <f>'Activity data'!AX69*UDCPPEF*NtoN2O*kgtoGg</f>
        <v>13.046191689203091</v>
      </c>
      <c r="AF1485" s="22">
        <f>'Activity data'!AY69*UDCPPEF*NtoN2O*kgtoGg</f>
        <v>13.10927150785349</v>
      </c>
      <c r="AG1485" s="22">
        <f>'Activity data'!AZ69*UDCPPEF*NtoN2O*kgtoGg</f>
        <v>12.831250179467366</v>
      </c>
      <c r="AH1485" s="22">
        <f>'Activity data'!BA69*UDCPPEF*NtoN2O*kgtoGg</f>
        <v>-3.0267144396295609</v>
      </c>
      <c r="AI1485" s="22">
        <f>'Activity data'!BB69*UDCPPEF*NtoN2O*kgtoGg</f>
        <v>-2.956505191498271</v>
      </c>
      <c r="AJ1485" s="22">
        <f>'Activity data'!BC69*UDCPPEF*NtoN2O*kgtoGg</f>
        <v>-2.8874124907442584</v>
      </c>
      <c r="AK1485" s="22">
        <f>'Activity data'!BD69*UDCPPEF*NtoN2O*kgtoGg</f>
        <v>-2.8193778585944393</v>
      </c>
      <c r="AL1485" s="22">
        <f>'Activity data'!BE69*UDCPPEF*NtoN2O*kgtoGg</f>
        <v>-2.7523468592631737</v>
      </c>
      <c r="AM1485" s="22">
        <f>'Activity data'!BF69*UDCPPEF*NtoN2O*kgtoGg</f>
        <v>-2.6862687253121265</v>
      </c>
      <c r="AN1485" s="22">
        <f>'Activity data'!BG69*UDCPPEF*NtoN2O*kgtoGg</f>
        <v>-2.6326943062213264</v>
      </c>
      <c r="AO1485" s="22">
        <f>'Activity data'!BH69*UDCPPEF*NtoN2O*kgtoGg</f>
        <v>-2.5799290640232249</v>
      </c>
      <c r="AP1485" s="22">
        <f>'Activity data'!BI69*UDCPPEF*NtoN2O*kgtoGg</f>
        <v>-2.5279363308324876</v>
      </c>
      <c r="AQ1485" s="22">
        <f>'Activity data'!BJ69*UDCPPEF*NtoN2O*kgtoGg</f>
        <v>-2.4766817193169062</v>
      </c>
      <c r="AR1485" s="22">
        <f>'Activity data'!BK69*UDCPPEF*NtoN2O*kgtoGg</f>
        <v>-2.4261329336018767</v>
      </c>
      <c r="AS1485" s="22">
        <f>'Activity data'!BL69*UDCPPEF*NtoN2O*kgtoGg</f>
        <v>-2.3746446145368036</v>
      </c>
      <c r="AT1485" s="22">
        <f>'Activity data'!BM69*UDCPPEF*NtoN2O*kgtoGg</f>
        <v>-2.3238643255218379</v>
      </c>
      <c r="AU1485" s="22">
        <f>'Activity data'!BN69*UDCPPEF*NtoN2O*kgtoGg</f>
        <v>-2.2737642137550615</v>
      </c>
      <c r="AV1485" s="22">
        <f>'Activity data'!BO69*UDCPPEF*NtoN2O*kgtoGg</f>
        <v>-2.2243179912934989</v>
      </c>
      <c r="AW1485" s="22">
        <f>'Activity data'!BP69*UDCPPEF*NtoN2O*kgtoGg</f>
        <v>-2.1755008181156215</v>
      </c>
    </row>
    <row r="1486" spans="1:49" x14ac:dyDescent="0.25">
      <c r="A1486" s="102" t="s">
        <v>961</v>
      </c>
      <c r="B1486" s="102"/>
      <c r="C1486" s="102"/>
      <c r="D1486" t="str">
        <f t="shared" si="565"/>
        <v>3C Aggregated and non-CO2 emissions on land</v>
      </c>
      <c r="E1486" t="str">
        <f t="shared" si="565"/>
        <v>3C4 Direct N2O from managed soils (N2O)</v>
      </c>
      <c r="F1486" t="s">
        <v>422</v>
      </c>
      <c r="G1486" t="str">
        <f t="shared" si="566"/>
        <v xml:space="preserve"> - Subsistence cattle</v>
      </c>
      <c r="H1486" t="str">
        <f t="shared" si="563"/>
        <v>U&amp;D emissions - Subsistence cattle</v>
      </c>
      <c r="I1486" t="str">
        <f t="shared" si="567"/>
        <v>N2O</v>
      </c>
      <c r="J1486" t="str">
        <f t="shared" si="567"/>
        <v>Gg N2O</v>
      </c>
      <c r="K1486" s="22">
        <f>'Activity data'!AD70*UDCPPEF*NtoN2O*kgtoGg</f>
        <v>9.7393760290961886</v>
      </c>
      <c r="L1486" s="22">
        <f>'Activity data'!AE70*UDCPPEF*NtoN2O*kgtoGg</f>
        <v>9.6748191800072334</v>
      </c>
      <c r="M1486" s="22">
        <f>'Activity data'!AF70*UDCPPEF*NtoN2O*kgtoGg</f>
        <v>9.538705389825779</v>
      </c>
      <c r="N1486" s="22">
        <f>'Activity data'!AG70*UDCPPEF*NtoN2O*kgtoGg</f>
        <v>9.3092667338033213</v>
      </c>
      <c r="O1486" s="22">
        <f>'Activity data'!AH70*UDCPPEF*NtoN2O*kgtoGg</f>
        <v>9.086659784590454</v>
      </c>
      <c r="P1486" s="22">
        <f>'Activity data'!AI70*UDCPPEF*NtoN2O*kgtoGg</f>
        <v>8.9154437965133955</v>
      </c>
      <c r="Q1486" s="22">
        <f>'Activity data'!AJ70*UDCPPEF*NtoN2O*kgtoGg</f>
        <v>8.7605776171460139</v>
      </c>
      <c r="R1486" s="22">
        <f>'Activity data'!AK70*UDCPPEF*NtoN2O*kgtoGg</f>
        <v>8.5170881946941783</v>
      </c>
      <c r="S1486" s="22">
        <f>'Activity data'!AL70*UDCPPEF*NtoN2O*kgtoGg</f>
        <v>7.4700025990225534</v>
      </c>
      <c r="T1486" s="22">
        <f>'Activity data'!AM70*UDCPPEF*NtoN2O*kgtoGg</f>
        <v>7.5412037008775474</v>
      </c>
      <c r="U1486" s="22">
        <f>'Activity data'!AN70*UDCPPEF*NtoN2O*kgtoGg</f>
        <v>7.5893835486535881</v>
      </c>
      <c r="V1486" s="22">
        <f>'Activity data'!AO70*UDCPPEF*NtoN2O*kgtoGg</f>
        <v>7.6359963129382633</v>
      </c>
      <c r="W1486" s="22">
        <f>'Activity data'!AP70*UDCPPEF*NtoN2O*kgtoGg</f>
        <v>7.7130826135102524</v>
      </c>
      <c r="X1486" s="22">
        <f>'Activity data'!AQ70*UDCPPEF*NtoN2O*kgtoGg</f>
        <v>7.7876283388349208</v>
      </c>
      <c r="Y1486" s="22">
        <f>'Activity data'!AR70*UDCPPEF*NtoN2O*kgtoGg</f>
        <v>7.8658901607930707</v>
      </c>
      <c r="Z1486" s="22">
        <f>'Activity data'!AS70*UDCPPEF*NtoN2O*kgtoGg</f>
        <v>7.9340239985520107</v>
      </c>
      <c r="AA1486" s="22">
        <f>'Activity data'!AT70*UDCPPEF*NtoN2O*kgtoGg</f>
        <v>8.0115695450499249</v>
      </c>
      <c r="AB1486" s="22">
        <f>'Activity data'!AU70*UDCPPEF*NtoN2O*kgtoGg</f>
        <v>8.072251562571461</v>
      </c>
      <c r="AC1486" s="22">
        <f>'Activity data'!AV70*UDCPPEF*NtoN2O*kgtoGg</f>
        <v>8.1345985927252418</v>
      </c>
      <c r="AD1486" s="22">
        <f>'Activity data'!AW70*UDCPPEF*NtoN2O*kgtoGg</f>
        <v>8.1636375589569159</v>
      </c>
      <c r="AE1486" s="22">
        <f>'Activity data'!AX70*UDCPPEF*NtoN2O*kgtoGg</f>
        <v>8.2034558732979743</v>
      </c>
      <c r="AF1486" s="22">
        <f>'Activity data'!AY70*UDCPPEF*NtoN2O*kgtoGg</f>
        <v>8.2431205142232233</v>
      </c>
      <c r="AG1486" s="22">
        <f>'Activity data'!AZ70*UDCPPEF*NtoN2O*kgtoGg</f>
        <v>8.0683004783395891</v>
      </c>
      <c r="AH1486" s="22">
        <f>'Activity data'!BA70*UDCPPEF*NtoN2O*kgtoGg</f>
        <v>-1.9032004847149069</v>
      </c>
      <c r="AI1486" s="22">
        <f>'Activity data'!BB70*UDCPPEF*NtoN2O*kgtoGg</f>
        <v>-1.8590528527726964</v>
      </c>
      <c r="AJ1486" s="22">
        <f>'Activity data'!BC70*UDCPPEF*NtoN2O*kgtoGg</f>
        <v>-1.8156073067233001</v>
      </c>
      <c r="AK1486" s="22">
        <f>'Activity data'!BD70*UDCPPEF*NtoN2O*kgtoGg</f>
        <v>-1.7728270750669619</v>
      </c>
      <c r="AL1486" s="22">
        <f>'Activity data'!BE70*UDCPPEF*NtoN2O*kgtoGg</f>
        <v>-1.7306779285376968</v>
      </c>
      <c r="AM1486" s="22">
        <f>'Activity data'!BF70*UDCPPEF*NtoN2O*kgtoGg</f>
        <v>-1.689127944529268</v>
      </c>
      <c r="AN1486" s="22">
        <f>'Activity data'!BG70*UDCPPEF*NtoN2O*kgtoGg</f>
        <v>-1.6554403065258587</v>
      </c>
      <c r="AO1486" s="22">
        <f>'Activity data'!BH70*UDCPPEF*NtoN2O*kgtoGg</f>
        <v>-1.6222614796062582</v>
      </c>
      <c r="AP1486" s="22">
        <f>'Activity data'!BI70*UDCPPEF*NtoN2O*kgtoGg</f>
        <v>-1.589568406974545</v>
      </c>
      <c r="AQ1486" s="22">
        <f>'Activity data'!BJ70*UDCPPEF*NtoN2O*kgtoGg</f>
        <v>-1.5573394658484478</v>
      </c>
      <c r="AR1486" s="22">
        <f>'Activity data'!BK70*UDCPPEF*NtoN2O*kgtoGg</f>
        <v>-1.5255543485559264</v>
      </c>
      <c r="AS1486" s="22">
        <f>'Activity data'!BL70*UDCPPEF*NtoN2O*kgtoGg</f>
        <v>-1.4931784519339129</v>
      </c>
      <c r="AT1486" s="22">
        <f>'Activity data'!BM70*UDCPPEF*NtoN2O*kgtoGg</f>
        <v>-1.4612477651793758</v>
      </c>
      <c r="AU1486" s="22">
        <f>'Activity data'!BN70*UDCPPEF*NtoN2O*kgtoGg</f>
        <v>-1.429744774427969</v>
      </c>
      <c r="AV1486" s="22">
        <f>'Activity data'!BO70*UDCPPEF*NtoN2O*kgtoGg</f>
        <v>-1.3986529497999127</v>
      </c>
      <c r="AW1486" s="22">
        <f>'Activity data'!BP70*UDCPPEF*NtoN2O*kgtoGg</f>
        <v>-1.3679566718696037</v>
      </c>
    </row>
    <row r="1487" spans="1:49" x14ac:dyDescent="0.25">
      <c r="A1487" s="102" t="s">
        <v>961</v>
      </c>
      <c r="B1487" s="102"/>
      <c r="C1487" s="102"/>
      <c r="D1487" t="str">
        <f t="shared" si="565"/>
        <v>3C Aggregated and non-CO2 emissions on land</v>
      </c>
      <c r="E1487" t="str">
        <f t="shared" si="565"/>
        <v>3C4 Direct N2O from managed soils (N2O)</v>
      </c>
      <c r="F1487" t="s">
        <v>422</v>
      </c>
      <c r="G1487" t="str">
        <f t="shared" si="566"/>
        <v xml:space="preserve"> - Feedlot</v>
      </c>
      <c r="H1487" t="str">
        <f t="shared" si="563"/>
        <v>U&amp;D emissions - Feedlot</v>
      </c>
      <c r="I1487" t="str">
        <f t="shared" si="567"/>
        <v>N2O</v>
      </c>
      <c r="J1487" t="str">
        <f t="shared" si="567"/>
        <v>Gg N2O</v>
      </c>
      <c r="K1487" s="22">
        <f>'Activity data'!AD71*UDCPPEF*NtoN2O*kgtoGg</f>
        <v>0</v>
      </c>
      <c r="L1487" s="22">
        <f>'Activity data'!AE71*UDCPPEF*NtoN2O*kgtoGg</f>
        <v>0</v>
      </c>
      <c r="M1487" s="22">
        <f>'Activity data'!AF71*UDCPPEF*NtoN2O*kgtoGg</f>
        <v>0</v>
      </c>
      <c r="N1487" s="22">
        <f>'Activity data'!AG71*UDCPPEF*NtoN2O*kgtoGg</f>
        <v>0</v>
      </c>
      <c r="O1487" s="22">
        <f>'Activity data'!AH71*UDCPPEF*NtoN2O*kgtoGg</f>
        <v>0</v>
      </c>
      <c r="P1487" s="22">
        <f>'Activity data'!AI71*UDCPPEF*NtoN2O*kgtoGg</f>
        <v>0</v>
      </c>
      <c r="Q1487" s="22">
        <f>'Activity data'!AJ71*UDCPPEF*NtoN2O*kgtoGg</f>
        <v>0</v>
      </c>
      <c r="R1487" s="22">
        <f>'Activity data'!AK71*UDCPPEF*NtoN2O*kgtoGg</f>
        <v>0</v>
      </c>
      <c r="S1487" s="22">
        <f>'Activity data'!AL71*UDCPPEF*NtoN2O*kgtoGg</f>
        <v>0</v>
      </c>
      <c r="T1487" s="22">
        <f>'Activity data'!AM71*UDCPPEF*NtoN2O*kgtoGg</f>
        <v>0</v>
      </c>
      <c r="U1487" s="22">
        <f>'Activity data'!AN71*UDCPPEF*NtoN2O*kgtoGg</f>
        <v>0</v>
      </c>
      <c r="V1487" s="22">
        <f>'Activity data'!AO71*UDCPPEF*NtoN2O*kgtoGg</f>
        <v>0</v>
      </c>
      <c r="W1487" s="22">
        <f>'Activity data'!AP71*UDCPPEF*NtoN2O*kgtoGg</f>
        <v>0</v>
      </c>
      <c r="X1487" s="22">
        <f>'Activity data'!AQ71*UDCPPEF*NtoN2O*kgtoGg</f>
        <v>0</v>
      </c>
      <c r="Y1487" s="22">
        <f>'Activity data'!AR71*UDCPPEF*NtoN2O*kgtoGg</f>
        <v>0</v>
      </c>
      <c r="Z1487" s="22">
        <f>'Activity data'!AS71*UDCPPEF*NtoN2O*kgtoGg</f>
        <v>0</v>
      </c>
      <c r="AA1487" s="22">
        <f>'Activity data'!AT71*UDCPPEF*NtoN2O*kgtoGg</f>
        <v>0</v>
      </c>
      <c r="AB1487" s="22">
        <f>'Activity data'!AU71*UDCPPEF*NtoN2O*kgtoGg</f>
        <v>0</v>
      </c>
      <c r="AC1487" s="22">
        <f>'Activity data'!AV71*UDCPPEF*NtoN2O*kgtoGg</f>
        <v>0</v>
      </c>
      <c r="AD1487" s="22">
        <f>'Activity data'!AW71*UDCPPEF*NtoN2O*kgtoGg</f>
        <v>0</v>
      </c>
      <c r="AE1487" s="22">
        <f>'Activity data'!AX71*UDCPPEF*NtoN2O*kgtoGg</f>
        <v>0</v>
      </c>
      <c r="AF1487" s="22">
        <f>'Activity data'!AY71*UDCPPEF*NtoN2O*kgtoGg</f>
        <v>0</v>
      </c>
      <c r="AG1487" s="22">
        <f>'Activity data'!AZ71*UDCPPEF*NtoN2O*kgtoGg</f>
        <v>0</v>
      </c>
      <c r="AH1487" s="22">
        <f>'Activity data'!BA71*UDCPPEF*NtoN2O*kgtoGg</f>
        <v>0</v>
      </c>
      <c r="AI1487" s="22">
        <f>'Activity data'!BB71*UDCPPEF*NtoN2O*kgtoGg</f>
        <v>0</v>
      </c>
      <c r="AJ1487" s="22">
        <f>'Activity data'!BC71*UDCPPEF*NtoN2O*kgtoGg</f>
        <v>0</v>
      </c>
      <c r="AK1487" s="22">
        <f>'Activity data'!BD71*UDCPPEF*NtoN2O*kgtoGg</f>
        <v>0</v>
      </c>
      <c r="AL1487" s="22">
        <f>'Activity data'!BE71*UDCPPEF*NtoN2O*kgtoGg</f>
        <v>0</v>
      </c>
      <c r="AM1487" s="22">
        <f>'Activity data'!BF71*UDCPPEF*NtoN2O*kgtoGg</f>
        <v>0</v>
      </c>
      <c r="AN1487" s="22">
        <f>'Activity data'!BG71*UDCPPEF*NtoN2O*kgtoGg</f>
        <v>0</v>
      </c>
      <c r="AO1487" s="22">
        <f>'Activity data'!BH71*UDCPPEF*NtoN2O*kgtoGg</f>
        <v>0</v>
      </c>
      <c r="AP1487" s="22">
        <f>'Activity data'!BI71*UDCPPEF*NtoN2O*kgtoGg</f>
        <v>0</v>
      </c>
      <c r="AQ1487" s="22">
        <f>'Activity data'!BJ71*UDCPPEF*NtoN2O*kgtoGg</f>
        <v>0</v>
      </c>
      <c r="AR1487" s="22">
        <f>'Activity data'!BK71*UDCPPEF*NtoN2O*kgtoGg</f>
        <v>0</v>
      </c>
      <c r="AS1487" s="22">
        <f>'Activity data'!BL71*UDCPPEF*NtoN2O*kgtoGg</f>
        <v>0</v>
      </c>
      <c r="AT1487" s="22">
        <f>'Activity data'!BM71*UDCPPEF*NtoN2O*kgtoGg</f>
        <v>0</v>
      </c>
      <c r="AU1487" s="22">
        <f>'Activity data'!BN71*UDCPPEF*NtoN2O*kgtoGg</f>
        <v>0</v>
      </c>
      <c r="AV1487" s="22">
        <f>'Activity data'!BO71*UDCPPEF*NtoN2O*kgtoGg</f>
        <v>0</v>
      </c>
      <c r="AW1487" s="22">
        <f>'Activity data'!BP71*UDCPPEF*NtoN2O*kgtoGg</f>
        <v>0</v>
      </c>
    </row>
    <row r="1488" spans="1:49" x14ac:dyDescent="0.25">
      <c r="A1488" s="102" t="s">
        <v>961</v>
      </c>
      <c r="B1488" s="102"/>
      <c r="C1488" s="102"/>
      <c r="D1488" t="str">
        <f t="shared" si="565"/>
        <v>3C Aggregated and non-CO2 emissions on land</v>
      </c>
      <c r="E1488" t="str">
        <f t="shared" si="565"/>
        <v>3C4 Direct N2O from managed soils (N2O)</v>
      </c>
      <c r="F1488" t="s">
        <v>422</v>
      </c>
      <c r="G1488" t="str">
        <f t="shared" si="566"/>
        <v xml:space="preserve"> - Commercial sheep</v>
      </c>
      <c r="H1488" t="str">
        <f t="shared" si="563"/>
        <v>U&amp;D emissions - Commercial sheep</v>
      </c>
      <c r="I1488" t="str">
        <f t="shared" si="567"/>
        <v>N2O</v>
      </c>
      <c r="J1488" t="str">
        <f t="shared" si="567"/>
        <v>Gg N2O</v>
      </c>
      <c r="K1488" s="22">
        <f>'Activity data'!AD72*UDSOEF*NtoN2O*kgtoGg</f>
        <v>5.8007004881973501</v>
      </c>
      <c r="L1488" s="22">
        <f>'Activity data'!AE72*UDSOEF*NtoN2O*kgtoGg</f>
        <v>5.8038682011318086</v>
      </c>
      <c r="M1488" s="22">
        <f>'Activity data'!AF72*UDSOEF*NtoN2O*kgtoGg</f>
        <v>5.8109613188893956</v>
      </c>
      <c r="N1488" s="22">
        <f>'Activity data'!AG72*UDSOEF*NtoN2O*kgtoGg</f>
        <v>5.8216379502269948</v>
      </c>
      <c r="O1488" s="22">
        <f>'Activity data'!AH72*UDSOEF*NtoN2O*kgtoGg</f>
        <v>5.8360409400543007</v>
      </c>
      <c r="P1488" s="22">
        <f>'Activity data'!AI72*UDSOEF*NtoN2O*kgtoGg</f>
        <v>5.8541855713392259</v>
      </c>
      <c r="Q1488" s="22">
        <f>'Activity data'!AJ72*UDSOEF*NtoN2O*kgtoGg</f>
        <v>5.8743979550370415</v>
      </c>
      <c r="R1488" s="22">
        <f>'Activity data'!AK72*UDSOEF*NtoN2O*kgtoGg</f>
        <v>5.8963035789612563</v>
      </c>
      <c r="S1488" s="22">
        <f>'Activity data'!AL72*UDSOEF*NtoN2O*kgtoGg</f>
        <v>5.9168885563672573</v>
      </c>
      <c r="T1488" s="22">
        <f>'Activity data'!AM72*UDSOEF*NtoN2O*kgtoGg</f>
        <v>5.9254873000442174</v>
      </c>
      <c r="U1488" s="22">
        <f>'Activity data'!AN72*UDSOEF*NtoN2O*kgtoGg</f>
        <v>5.9354650911079814</v>
      </c>
      <c r="V1488" s="22">
        <f>'Activity data'!AO72*UDSOEF*NtoN2O*kgtoGg</f>
        <v>5.9468198836780894</v>
      </c>
      <c r="W1488" s="22">
        <f>'Activity data'!AP72*UDSOEF*NtoN2O*kgtoGg</f>
        <v>5.9596105082694644</v>
      </c>
      <c r="X1488" s="22">
        <f>'Activity data'!AQ72*UDSOEF*NtoN2O*kgtoGg</f>
        <v>5.9736319121523582</v>
      </c>
      <c r="Y1488" s="22">
        <f>'Activity data'!AR72*UDSOEF*NtoN2O*kgtoGg</f>
        <v>5.9822631555642722</v>
      </c>
      <c r="Z1488" s="22">
        <f>'Activity data'!AS72*UDSOEF*NtoN2O*kgtoGg</f>
        <v>5.9919044326673472</v>
      </c>
      <c r="AA1488" s="22">
        <f>'Activity data'!AT72*UDSOEF*NtoN2O*kgtoGg</f>
        <v>6.0025907311296489</v>
      </c>
      <c r="AB1488" s="22">
        <f>'Activity data'!AU72*UDSOEF*NtoN2O*kgtoGg</f>
        <v>6.0141578623127154</v>
      </c>
      <c r="AC1488" s="22">
        <f>'Activity data'!AV72*UDSOEF*NtoN2O*kgtoGg</f>
        <v>6.0266471855560004</v>
      </c>
      <c r="AD1488" s="22">
        <f>'Activity data'!AW72*UDSOEF*NtoN2O*kgtoGg</f>
        <v>6.0348691397671148</v>
      </c>
      <c r="AE1488" s="22">
        <f>'Activity data'!AX72*UDSOEF*NtoN2O*kgtoGg</f>
        <v>6.0439559167579606</v>
      </c>
      <c r="AF1488" s="22">
        <f>'Activity data'!AY72*UDSOEF*NtoN2O*kgtoGg</f>
        <v>6.0538257946059888</v>
      </c>
      <c r="AG1488" s="22">
        <f>'Activity data'!AZ72*UDSOEF*NtoN2O*kgtoGg</f>
        <v>6.0633613554169949</v>
      </c>
      <c r="AH1488" s="22">
        <f>'Activity data'!BA72*UDSOEF*NtoN2O*kgtoGg</f>
        <v>6.0225939777620399</v>
      </c>
      <c r="AI1488" s="22">
        <f>'Activity data'!BB72*UDSOEF*NtoN2O*kgtoGg</f>
        <v>6.0283835899852134</v>
      </c>
      <c r="AJ1488" s="22">
        <f>'Activity data'!BC72*UDSOEF*NtoN2O*kgtoGg</f>
        <v>6.0347724557516536</v>
      </c>
      <c r="AK1488" s="22">
        <f>'Activity data'!BD72*UDSOEF*NtoN2O*kgtoGg</f>
        <v>6.0417379357652736</v>
      </c>
      <c r="AL1488" s="22">
        <f>'Activity data'!BE72*UDSOEF*NtoN2O*kgtoGg</f>
        <v>6.0492591406066394</v>
      </c>
      <c r="AM1488" s="22">
        <f>'Activity data'!BF72*UDSOEF*NtoN2O*kgtoGg</f>
        <v>6.0573167646829393</v>
      </c>
      <c r="AN1488" s="22">
        <f>'Activity data'!BG72*UDSOEF*NtoN2O*kgtoGg</f>
        <v>6.061227136954745</v>
      </c>
      <c r="AO1488" s="22">
        <f>'Activity data'!BH72*UDSOEF*NtoN2O*kgtoGg</f>
        <v>6.0656101287298938</v>
      </c>
      <c r="AP1488" s="22">
        <f>'Activity data'!BI72*UDSOEF*NtoN2O*kgtoGg</f>
        <v>6.0704492917353319</v>
      </c>
      <c r="AQ1488" s="22">
        <f>'Activity data'!BJ72*UDSOEF*NtoN2O*kgtoGg</f>
        <v>6.0757293034784778</v>
      </c>
      <c r="AR1488" s="22">
        <f>'Activity data'!BK72*UDSOEF*NtoN2O*kgtoGg</f>
        <v>6.0814358716066721</v>
      </c>
      <c r="AS1488" s="22">
        <f>'Activity data'!BL72*UDSOEF*NtoN2O*kgtoGg</f>
        <v>6.082843612547955</v>
      </c>
      <c r="AT1488" s="22">
        <f>'Activity data'!BM72*UDSOEF*NtoN2O*kgtoGg</f>
        <v>6.0846299220859592</v>
      </c>
      <c r="AU1488" s="22">
        <f>'Activity data'!BN72*UDSOEF*NtoN2O*kgtoGg</f>
        <v>6.0867822620358538</v>
      </c>
      <c r="AV1488" s="22">
        <f>'Activity data'!BO72*UDSOEF*NtoN2O*kgtoGg</f>
        <v>6.0892888598488994</v>
      </c>
      <c r="AW1488" s="22">
        <f>'Activity data'!BP72*UDSOEF*NtoN2O*kgtoGg</f>
        <v>6.092138649733787</v>
      </c>
    </row>
    <row r="1489" spans="1:49" x14ac:dyDescent="0.25">
      <c r="A1489" s="102" t="s">
        <v>961</v>
      </c>
      <c r="B1489" s="102"/>
      <c r="C1489" s="102"/>
      <c r="D1489" t="str">
        <f t="shared" si="565"/>
        <v>3C Aggregated and non-CO2 emissions on land</v>
      </c>
      <c r="E1489" t="str">
        <f t="shared" si="565"/>
        <v>3C4 Direct N2O from managed soils (N2O)</v>
      </c>
      <c r="F1489" t="s">
        <v>422</v>
      </c>
      <c r="G1489" t="str">
        <f t="shared" si="566"/>
        <v xml:space="preserve"> - Subsistence sheep</v>
      </c>
      <c r="H1489" t="str">
        <f t="shared" si="563"/>
        <v>U&amp;D emissions - Subsistence sheep</v>
      </c>
      <c r="I1489" t="str">
        <f t="shared" si="567"/>
        <v>N2O</v>
      </c>
      <c r="J1489" t="str">
        <f t="shared" si="567"/>
        <v>Gg N2O</v>
      </c>
      <c r="K1489" s="22">
        <f>'Activity data'!AD73*UDSOEF*NtoN2O*kgtoGg</f>
        <v>0.64752945126978523</v>
      </c>
      <c r="L1489" s="22">
        <f>'Activity data'!AE73*UDSOEF*NtoN2O*kgtoGg</f>
        <v>0.64788306156605957</v>
      </c>
      <c r="M1489" s="22">
        <f>'Activity data'!AF73*UDSOEF*NtoN2O*kgtoGg</f>
        <v>0.64867486294568755</v>
      </c>
      <c r="N1489" s="22">
        <f>'Activity data'!AG73*UDSOEF*NtoN2O*kgtoGg</f>
        <v>0.64986669025094335</v>
      </c>
      <c r="O1489" s="22">
        <f>'Activity data'!AH73*UDSOEF*NtoN2O*kgtoGg</f>
        <v>0.65147448919151907</v>
      </c>
      <c r="P1489" s="22">
        <f>'Activity data'!AI73*UDSOEF*NtoN2O*kgtoGg</f>
        <v>0.65349996579789205</v>
      </c>
      <c r="Q1489" s="22">
        <f>'Activity data'!AJ73*UDSOEF*NtoN2O*kgtoGg</f>
        <v>0.65575626462789216</v>
      </c>
      <c r="R1489" s="22">
        <f>'Activity data'!AK73*UDSOEF*NtoN2O*kgtoGg</f>
        <v>0.65820157906331789</v>
      </c>
      <c r="S1489" s="22">
        <f>'Activity data'!AL73*UDSOEF*NtoN2O*kgtoGg</f>
        <v>0.66049947035269418</v>
      </c>
      <c r="T1489" s="22">
        <f>'Activity data'!AM73*UDSOEF*NtoN2O*kgtoGg</f>
        <v>0.66145934404141127</v>
      </c>
      <c r="U1489" s="22">
        <f>'Activity data'!AN73*UDSOEF*NtoN2O*kgtoGg</f>
        <v>0.66257316013751044</v>
      </c>
      <c r="V1489" s="22">
        <f>'Activity data'!AO73*UDSOEF*NtoN2O*kgtoGg</f>
        <v>0.66384069026032311</v>
      </c>
      <c r="W1489" s="22">
        <f>'Activity data'!AP73*UDSOEF*NtoN2O*kgtoGg</f>
        <v>0.66526850163239837</v>
      </c>
      <c r="X1489" s="22">
        <f>'Activity data'!AQ73*UDSOEF*NtoN2O*kgtoGg</f>
        <v>0.66683370431452194</v>
      </c>
      <c r="Y1489" s="22">
        <f>'Activity data'!AR73*UDSOEF*NtoN2O*kgtoGg</f>
        <v>0.66779720593327729</v>
      </c>
      <c r="Z1489" s="22">
        <f>'Activity data'!AS73*UDSOEF*NtoN2O*kgtoGg</f>
        <v>0.66887345713514434</v>
      </c>
      <c r="AA1489" s="22">
        <f>'Activity data'!AT73*UDSOEF*NtoN2O*kgtoGg</f>
        <v>0.6700663635769577</v>
      </c>
      <c r="AB1489" s="22">
        <f>'Activity data'!AU73*UDSOEF*NtoN2O*kgtoGg</f>
        <v>0.67135759695868036</v>
      </c>
      <c r="AC1489" s="22">
        <f>'Activity data'!AV73*UDSOEF*NtoN2O*kgtoGg</f>
        <v>0.67275177420381005</v>
      </c>
      <c r="AD1489" s="22">
        <f>'Activity data'!AW73*UDSOEF*NtoN2O*kgtoGg</f>
        <v>0.67366958706270863</v>
      </c>
      <c r="AE1489" s="22">
        <f>'Activity data'!AX73*UDSOEF*NtoN2O*kgtoGg</f>
        <v>0.67468393967937379</v>
      </c>
      <c r="AF1489" s="22">
        <f>'Activity data'!AY73*UDSOEF*NtoN2O*kgtoGg</f>
        <v>0.67578570947425243</v>
      </c>
      <c r="AG1489" s="22">
        <f>'Activity data'!AZ73*UDSOEF*NtoN2O*kgtoGg</f>
        <v>0.6768501596164489</v>
      </c>
      <c r="AH1489" s="22">
        <f>'Activity data'!BA73*UDSOEF*NtoN2O*kgtoGg</f>
        <v>0.6722993165352843</v>
      </c>
      <c r="AI1489" s="22">
        <f>'Activity data'!BB73*UDSOEF*NtoN2O*kgtoGg</f>
        <v>0.67294560820877491</v>
      </c>
      <c r="AJ1489" s="22">
        <f>'Activity data'!BC73*UDSOEF*NtoN2O*kgtoGg</f>
        <v>0.67365879427180253</v>
      </c>
      <c r="AK1489" s="22">
        <f>'Activity data'!BD73*UDSOEF*NtoN2O*kgtoGg</f>
        <v>0.674436347510455</v>
      </c>
      <c r="AL1489" s="22">
        <f>'Activity data'!BE73*UDSOEF*NtoN2O*kgtoGg</f>
        <v>0.67527593604872327</v>
      </c>
      <c r="AM1489" s="22">
        <f>'Activity data'!BF73*UDSOEF*NtoN2O*kgtoGg</f>
        <v>0.67617540481241489</v>
      </c>
      <c r="AN1489" s="22">
        <f>'Activity data'!BG73*UDSOEF*NtoN2O*kgtoGg</f>
        <v>0.67661191781917585</v>
      </c>
      <c r="AO1489" s="22">
        <f>'Activity data'!BH73*UDSOEF*NtoN2O*kgtoGg</f>
        <v>0.67710118911750539</v>
      </c>
      <c r="AP1489" s="22">
        <f>'Activity data'!BI73*UDSOEF*NtoN2O*kgtoGg</f>
        <v>0.67764138259446438</v>
      </c>
      <c r="AQ1489" s="22">
        <f>'Activity data'!BJ73*UDSOEF*NtoN2O*kgtoGg</f>
        <v>0.6782307878074546</v>
      </c>
      <c r="AR1489" s="22">
        <f>'Activity data'!BK73*UDSOEF*NtoN2O*kgtoGg</f>
        <v>0.67886780930790958</v>
      </c>
      <c r="AS1489" s="22">
        <f>'Activity data'!BL73*UDSOEF*NtoN2O*kgtoGg</f>
        <v>0.67902495476320335</v>
      </c>
      <c r="AT1489" s="22">
        <f>'Activity data'!BM73*UDSOEF*NtoN2O*kgtoGg</f>
        <v>0.67922435965185335</v>
      </c>
      <c r="AU1489" s="22">
        <f>'Activity data'!BN73*UDSOEF*NtoN2O*kgtoGg</f>
        <v>0.67946462434221933</v>
      </c>
      <c r="AV1489" s="22">
        <f>'Activity data'!BO73*UDSOEF*NtoN2O*kgtoGg</f>
        <v>0.67974443467025414</v>
      </c>
      <c r="AW1489" s="22">
        <f>'Activity data'!BP73*UDSOEF*NtoN2O*kgtoGg</f>
        <v>0.68006255536690974</v>
      </c>
    </row>
    <row r="1490" spans="1:49" x14ac:dyDescent="0.25">
      <c r="A1490" s="102" t="s">
        <v>961</v>
      </c>
      <c r="B1490" s="102"/>
      <c r="C1490" s="102"/>
      <c r="D1490" t="str">
        <f t="shared" si="565"/>
        <v>3C Aggregated and non-CO2 emissions on land</v>
      </c>
      <c r="E1490" t="str">
        <f t="shared" si="565"/>
        <v>3C4 Direct N2O from managed soils (N2O)</v>
      </c>
      <c r="F1490" t="s">
        <v>422</v>
      </c>
      <c r="G1490" t="str">
        <f t="shared" si="566"/>
        <v xml:space="preserve"> - Commercial goats</v>
      </c>
      <c r="H1490" t="str">
        <f t="shared" si="563"/>
        <v>U&amp;D emissions - Commercial goats</v>
      </c>
      <c r="I1490" t="str">
        <f t="shared" si="567"/>
        <v>N2O</v>
      </c>
      <c r="J1490" t="str">
        <f t="shared" si="567"/>
        <v>Gg N2O</v>
      </c>
      <c r="K1490" s="22">
        <f>'Activity data'!AD74*UDSOEF*NtoN2O*kgtoGg</f>
        <v>0.71703962515202246</v>
      </c>
      <c r="L1490" s="22">
        <f>'Activity data'!AE74*UDSOEF*NtoN2O*kgtoGg</f>
        <v>0.71890983434251277</v>
      </c>
      <c r="M1490" s="22">
        <f>'Activity data'!AF74*UDSOEF*NtoN2O*kgtoGg</f>
        <v>0.72140205375439892</v>
      </c>
      <c r="N1490" s="22">
        <f>'Activity data'!AG74*UDSOEF*NtoN2O*kgtoGg</f>
        <v>0.72446087645337953</v>
      </c>
      <c r="O1490" s="22">
        <f>'Activity data'!AH74*UDSOEF*NtoN2O*kgtoGg</f>
        <v>0.72812305944589495</v>
      </c>
      <c r="P1490" s="22">
        <f>'Activity data'!AI74*UDSOEF*NtoN2O*kgtoGg</f>
        <v>0.73239834824766725</v>
      </c>
      <c r="Q1490" s="22">
        <f>'Activity data'!AJ74*UDSOEF*NtoN2O*kgtoGg</f>
        <v>0.73696942015050981</v>
      </c>
      <c r="R1490" s="22">
        <f>'Activity data'!AK74*UDSOEF*NtoN2O*kgtoGg</f>
        <v>0.74177091257362759</v>
      </c>
      <c r="S1490" s="22">
        <f>'Activity data'!AL74*UDSOEF*NtoN2O*kgtoGg</f>
        <v>0.74623128814082973</v>
      </c>
      <c r="T1490" s="22">
        <f>'Activity data'!AM74*UDSOEF*NtoN2O*kgtoGg</f>
        <v>0.74832155602397465</v>
      </c>
      <c r="U1490" s="22">
        <f>'Activity data'!AN74*UDSOEF*NtoN2O*kgtoGg</f>
        <v>0.75061365062436147</v>
      </c>
      <c r="V1490" s="22">
        <f>'Activity data'!AO74*UDSOEF*NtoN2O*kgtoGg</f>
        <v>0.75311048066791608</v>
      </c>
      <c r="W1490" s="22">
        <f>'Activity data'!AP74*UDSOEF*NtoN2O*kgtoGg</f>
        <v>0.75582597980024202</v>
      </c>
      <c r="X1490" s="22">
        <f>'Activity data'!AQ74*UDSOEF*NtoN2O*kgtoGg</f>
        <v>0.758723586950243</v>
      </c>
      <c r="Y1490" s="22">
        <f>'Activity data'!AR74*UDSOEF*NtoN2O*kgtoGg</f>
        <v>0.76055515001802498</v>
      </c>
      <c r="Z1490" s="22">
        <f>'Activity data'!AS74*UDSOEF*NtoN2O*kgtoGg</f>
        <v>0.76253680812015046</v>
      </c>
      <c r="AA1490" s="22">
        <f>'Activity data'!AT74*UDSOEF*NtoN2O*kgtoGg</f>
        <v>0.7646767595046402</v>
      </c>
      <c r="AB1490" s="22">
        <f>'Activity data'!AU74*UDSOEF*NtoN2O*kgtoGg</f>
        <v>0.76694554342614063</v>
      </c>
      <c r="AC1490" s="22">
        <f>'Activity data'!AV74*UDSOEF*NtoN2O*kgtoGg</f>
        <v>0.76935223527037744</v>
      </c>
      <c r="AD1490" s="22">
        <f>'Activity data'!AW74*UDSOEF*NtoN2O*kgtoGg</f>
        <v>0.7709284586249765</v>
      </c>
      <c r="AE1490" s="22">
        <f>'Activity data'!AX74*UDSOEF*NtoN2O*kgtoGg</f>
        <v>0.77263788414937862</v>
      </c>
      <c r="AF1490" s="22">
        <f>'Activity data'!AY74*UDSOEF*NtoN2O*kgtoGg</f>
        <v>0.77446606053450517</v>
      </c>
      <c r="AG1490" s="22">
        <f>'Activity data'!AZ74*UDSOEF*NtoN2O*kgtoGg</f>
        <v>0.7762062172722024</v>
      </c>
      <c r="AH1490" s="22">
        <f>'Activity data'!BA74*UDSOEF*NtoN2O*kgtoGg</f>
        <v>0.76859920994116682</v>
      </c>
      <c r="AI1490" s="22">
        <f>'Activity data'!BB74*UDSOEF*NtoN2O*kgtoGg</f>
        <v>0.76961702960226952</v>
      </c>
      <c r="AJ1490" s="22">
        <f>'Activity data'!BC74*UDSOEF*NtoN2O*kgtoGg</f>
        <v>0.77072611211000452</v>
      </c>
      <c r="AK1490" s="22">
        <f>'Activity data'!BD74*UDSOEF*NtoN2O*kgtoGg</f>
        <v>0.7719227512042488</v>
      </c>
      <c r="AL1490" s="22">
        <f>'Activity data'!BE74*UDSOEF*NtoN2O*kgtoGg</f>
        <v>0.77320352810315807</v>
      </c>
      <c r="AM1490" s="22">
        <f>'Activity data'!BF74*UDSOEF*NtoN2O*kgtoGg</f>
        <v>0.77456528397766</v>
      </c>
      <c r="AN1490" s="22">
        <f>'Activity data'!BG74*UDSOEF*NtoN2O*kgtoGg</f>
        <v>0.7751498155218971</v>
      </c>
      <c r="AO1490" s="22">
        <f>'Activity data'!BH74*UDSOEF*NtoN2O*kgtoGg</f>
        <v>0.77580729833667095</v>
      </c>
      <c r="AP1490" s="22">
        <f>'Activity data'!BI74*UDSOEF*NtoN2O*kgtoGg</f>
        <v>0.77653498216260275</v>
      </c>
      <c r="AQ1490" s="22">
        <f>'Activity data'!BJ74*UDSOEF*NtoN2O*kgtoGg</f>
        <v>0.77733030541457571</v>
      </c>
      <c r="AR1490" s="22">
        <f>'Activity data'!BK74*UDSOEF*NtoN2O*kgtoGg</f>
        <v>0.77819087901746686</v>
      </c>
      <c r="AS1490" s="22">
        <f>'Activity data'!BL74*UDSOEF*NtoN2O*kgtoGg</f>
        <v>0.77825802091956864</v>
      </c>
      <c r="AT1490" s="22">
        <f>'Activity data'!BM74*UDSOEF*NtoN2O*kgtoGg</f>
        <v>0.77838487427420744</v>
      </c>
      <c r="AU1490" s="22">
        <f>'Activity data'!BN74*UDSOEF*NtoN2O*kgtoGg</f>
        <v>0.77856929465999758</v>
      </c>
      <c r="AV1490" s="22">
        <f>'Activity data'!BO74*UDSOEF*NtoN2O*kgtoGg</f>
        <v>0.77880926891307201</v>
      </c>
      <c r="AW1490" s="22">
        <f>'Activity data'!BP74*UDSOEF*NtoN2O*kgtoGg</f>
        <v>0.77910290495826517</v>
      </c>
    </row>
    <row r="1491" spans="1:49" x14ac:dyDescent="0.25">
      <c r="A1491" s="102" t="s">
        <v>961</v>
      </c>
      <c r="B1491" s="102"/>
      <c r="C1491" s="102"/>
      <c r="D1491" t="str">
        <f t="shared" si="565"/>
        <v>3C Aggregated and non-CO2 emissions on land</v>
      </c>
      <c r="E1491" t="str">
        <f t="shared" si="565"/>
        <v>3C4 Direct N2O from managed soils (N2O)</v>
      </c>
      <c r="F1491" t="s">
        <v>422</v>
      </c>
      <c r="G1491" t="str">
        <f t="shared" si="566"/>
        <v xml:space="preserve"> - Subsistence goats</v>
      </c>
      <c r="H1491" t="str">
        <f t="shared" si="563"/>
        <v>U&amp;D emissions - Subsistence goats</v>
      </c>
      <c r="I1491" t="str">
        <f t="shared" si="567"/>
        <v>N2O</v>
      </c>
      <c r="J1491" t="str">
        <f t="shared" si="567"/>
        <v>Gg N2O</v>
      </c>
      <c r="K1491" s="22">
        <f>'Activity data'!AD75*UDSOEF*NtoN2O*kgtoGg</f>
        <v>1.1866860146705673</v>
      </c>
      <c r="L1491" s="22">
        <f>'Activity data'!AE75*UDSOEF*NtoN2O*kgtoGg</f>
        <v>1.1897811728919734</v>
      </c>
      <c r="M1491" s="22">
        <f>'Activity data'!AF75*UDSOEF*NtoN2O*kgtoGg</f>
        <v>1.1939057453951301</v>
      </c>
      <c r="N1491" s="22">
        <f>'Activity data'!AG75*UDSOEF*NtoN2O*kgtoGg</f>
        <v>1.1989680348292291</v>
      </c>
      <c r="O1491" s="22">
        <f>'Activity data'!AH75*UDSOEF*NtoN2O*kgtoGg</f>
        <v>1.2050288732932972</v>
      </c>
      <c r="P1491" s="22">
        <f>'Activity data'!AI75*UDSOEF*NtoN2O*kgtoGg</f>
        <v>1.2121043894178982</v>
      </c>
      <c r="Q1491" s="22">
        <f>'Activity data'!AJ75*UDSOEF*NtoN2O*kgtoGg</f>
        <v>1.2196694205666394</v>
      </c>
      <c r="R1491" s="22">
        <f>'Activity data'!AK75*UDSOEF*NtoN2O*kgtoGg</f>
        <v>1.2276157929959912</v>
      </c>
      <c r="S1491" s="22">
        <f>'Activity data'!AL75*UDSOEF*NtoN2O*kgtoGg</f>
        <v>1.2349976239577805</v>
      </c>
      <c r="T1491" s="22">
        <f>'Activity data'!AM75*UDSOEF*NtoN2O*kgtoGg</f>
        <v>1.2384569748455603</v>
      </c>
      <c r="U1491" s="22">
        <f>'Activity data'!AN75*UDSOEF*NtoN2O*kgtoGg</f>
        <v>1.2422503448507454</v>
      </c>
      <c r="V1491" s="22">
        <f>'Activity data'!AO75*UDSOEF*NtoN2O*kgtoGg</f>
        <v>1.2463825478556594</v>
      </c>
      <c r="W1491" s="22">
        <f>'Activity data'!AP75*UDSOEF*NtoN2O*kgtoGg</f>
        <v>1.2508766437607468</v>
      </c>
      <c r="X1491" s="22">
        <f>'Activity data'!AQ75*UDSOEF*NtoN2O*kgtoGg</f>
        <v>1.2556721247359952</v>
      </c>
      <c r="Y1491" s="22">
        <f>'Activity data'!AR75*UDSOEF*NtoN2O*kgtoGg</f>
        <v>1.2587033244093235</v>
      </c>
      <c r="Z1491" s="22">
        <f>'Activity data'!AS75*UDSOEF*NtoN2O*kgtoGg</f>
        <v>1.2619829283156658</v>
      </c>
      <c r="AA1491" s="22">
        <f>'Activity data'!AT75*UDSOEF*NtoN2O*kgtoGg</f>
        <v>1.2655245043889694</v>
      </c>
      <c r="AB1491" s="22">
        <f>'Activity data'!AU75*UDSOEF*NtoN2O*kgtoGg</f>
        <v>1.2692792956940984</v>
      </c>
      <c r="AC1491" s="22">
        <f>'Activity data'!AV75*UDSOEF*NtoN2O*kgtoGg</f>
        <v>1.2732623218100843</v>
      </c>
      <c r="AD1491" s="22">
        <f>'Activity data'!AW75*UDSOEF*NtoN2O*kgtoGg</f>
        <v>1.2758709394447143</v>
      </c>
      <c r="AE1491" s="22">
        <f>'Activity data'!AX75*UDSOEF*NtoN2O*kgtoGg</f>
        <v>1.2787000039646823</v>
      </c>
      <c r="AF1491" s="22">
        <f>'Activity data'!AY75*UDSOEF*NtoN2O*kgtoGg</f>
        <v>1.2817255987470082</v>
      </c>
      <c r="AG1491" s="22">
        <f>'Activity data'!AZ75*UDSOEF*NtoN2O*kgtoGg</f>
        <v>1.2846055228007487</v>
      </c>
      <c r="AH1491" s="22">
        <f>'Activity data'!BA75*UDSOEF*NtoN2O*kgtoGg</f>
        <v>1.2720160801861611</v>
      </c>
      <c r="AI1491" s="22">
        <f>'Activity data'!BB75*UDSOEF*NtoN2O*kgtoGg</f>
        <v>1.2737005510506982</v>
      </c>
      <c r="AJ1491" s="22">
        <f>'Activity data'!BC75*UDSOEF*NtoN2O*kgtoGg</f>
        <v>1.2755360600726242</v>
      </c>
      <c r="AK1491" s="22">
        <f>'Activity data'!BD75*UDSOEF*NtoN2O*kgtoGg</f>
        <v>1.2775164734667195</v>
      </c>
      <c r="AL1491" s="22">
        <f>'Activity data'!BE75*UDSOEF*NtoN2O*kgtoGg</f>
        <v>1.2796361332184747</v>
      </c>
      <c r="AM1491" s="22">
        <f>'Activity data'!BF75*UDSOEF*NtoN2O*kgtoGg</f>
        <v>1.2818898115299409</v>
      </c>
      <c r="AN1491" s="22">
        <f>'Activity data'!BG75*UDSOEF*NtoN2O*kgtoGg</f>
        <v>1.2828571993622844</v>
      </c>
      <c r="AO1491" s="22">
        <f>'Activity data'!BH75*UDSOEF*NtoN2O*kgtoGg</f>
        <v>1.283945320065534</v>
      </c>
      <c r="AP1491" s="22">
        <f>'Activity data'!BI75*UDSOEF*NtoN2O*kgtoGg</f>
        <v>1.2851496220162837</v>
      </c>
      <c r="AQ1491" s="22">
        <f>'Activity data'!BJ75*UDSOEF*NtoN2O*kgtoGg</f>
        <v>1.2864658658431971</v>
      </c>
      <c r="AR1491" s="22">
        <f>'Activity data'!BK75*UDSOEF*NtoN2O*kgtoGg</f>
        <v>1.2878900976754739</v>
      </c>
      <c r="AS1491" s="22">
        <f>'Activity data'!BL75*UDSOEF*NtoN2O*kgtoGg</f>
        <v>1.2880012161596242</v>
      </c>
      <c r="AT1491" s="22">
        <f>'Activity data'!BM75*UDSOEF*NtoN2O*kgtoGg</f>
        <v>1.288211155884827</v>
      </c>
      <c r="AU1491" s="22">
        <f>'Activity data'!BN75*UDSOEF*NtoN2O*kgtoGg</f>
        <v>1.2885163678772478</v>
      </c>
      <c r="AV1491" s="22">
        <f>'Activity data'!BO75*UDSOEF*NtoN2O*kgtoGg</f>
        <v>1.2889135203915794</v>
      </c>
      <c r="AW1491" s="22">
        <f>'Activity data'!BP75*UDSOEF*NtoN2O*kgtoGg</f>
        <v>1.2893994820818555</v>
      </c>
    </row>
    <row r="1492" spans="1:49" x14ac:dyDescent="0.25">
      <c r="A1492" s="102" t="s">
        <v>961</v>
      </c>
      <c r="B1492" s="102"/>
      <c r="C1492" s="102"/>
      <c r="D1492" t="str">
        <f t="shared" si="565"/>
        <v>3C Aggregated and non-CO2 emissions on land</v>
      </c>
      <c r="E1492" t="str">
        <f t="shared" si="565"/>
        <v>3C4 Direct N2O from managed soils (N2O)</v>
      </c>
      <c r="F1492" t="s">
        <v>422</v>
      </c>
      <c r="G1492" t="str">
        <f t="shared" si="566"/>
        <v xml:space="preserve"> - Horses</v>
      </c>
      <c r="H1492" t="str">
        <f t="shared" si="563"/>
        <v>U&amp;D emissions - Horses</v>
      </c>
      <c r="I1492" t="str">
        <f t="shared" si="567"/>
        <v>N2O</v>
      </c>
      <c r="J1492" t="str">
        <f t="shared" si="567"/>
        <v>Gg N2O</v>
      </c>
      <c r="K1492" s="22">
        <f>'Activity data'!AD76*UDSOEF*NtoN2O*kgtoGg</f>
        <v>0.19206426868977441</v>
      </c>
      <c r="L1492" s="22">
        <f>'Activity data'!AE76*UDSOEF*NtoN2O*kgtoGg</f>
        <v>0.19318987586932423</v>
      </c>
      <c r="M1492" s="22">
        <f>'Activity data'!AF76*UDSOEF*NtoN2O*kgtoGg</f>
        <v>0.19346719628053802</v>
      </c>
      <c r="N1492" s="22">
        <f>'Activity data'!AG76*UDSOEF*NtoN2O*kgtoGg</f>
        <v>0.19261999020243609</v>
      </c>
      <c r="O1492" s="22">
        <f>'Activity data'!AH76*UDSOEF*NtoN2O*kgtoGg</f>
        <v>0.19172365370541722</v>
      </c>
      <c r="P1492" s="22">
        <f>'Activity data'!AI76*UDSOEF*NtoN2O*kgtoGg</f>
        <v>0.19129719629214276</v>
      </c>
      <c r="Q1492" s="22">
        <f>'Activity data'!AJ76*UDSOEF*NtoN2O*kgtoGg</f>
        <v>0.19101276819466945</v>
      </c>
      <c r="R1492" s="22">
        <f>'Activity data'!AK76*UDSOEF*NtoN2O*kgtoGg</f>
        <v>0.18964082845337171</v>
      </c>
      <c r="S1492" s="22">
        <f>'Activity data'!AL76*UDSOEF*NtoN2O*kgtoGg</f>
        <v>0.17855585025741377</v>
      </c>
      <c r="T1492" s="22">
        <f>'Activity data'!AM76*UDSOEF*NtoN2O*kgtoGg</f>
        <v>0.1801256476686891</v>
      </c>
      <c r="U1492" s="22">
        <f>'Activity data'!AN76*UDSOEF*NtoN2O*kgtoGg</f>
        <v>0.18141112915440744</v>
      </c>
      <c r="V1492" s="22">
        <f>'Activity data'!AO76*UDSOEF*NtoN2O*kgtoGg</f>
        <v>0.18267062412414889</v>
      </c>
      <c r="W1492" s="22">
        <f>'Activity data'!AP76*UDSOEF*NtoN2O*kgtoGg</f>
        <v>0.18430349788289624</v>
      </c>
      <c r="X1492" s="22">
        <f>'Activity data'!AQ76*UDSOEF*NtoN2O*kgtoGg</f>
        <v>0.18590650598729025</v>
      </c>
      <c r="Y1492" s="22">
        <f>'Activity data'!AR76*UDSOEF*NtoN2O*kgtoGg</f>
        <v>0.18774289622011922</v>
      </c>
      <c r="Z1492" s="22">
        <f>'Activity data'!AS76*UDSOEF*NtoN2O*kgtoGg</f>
        <v>0.18945974795510873</v>
      </c>
      <c r="AA1492" s="22">
        <f>'Activity data'!AT76*UDSOEF*NtoN2O*kgtoGg</f>
        <v>0.19130656367707333</v>
      </c>
      <c r="AB1492" s="22">
        <f>'Activity data'!AU76*UDSOEF*NtoN2O*kgtoGg</f>
        <v>0.1929453281809925</v>
      </c>
      <c r="AC1492" s="22">
        <f>'Activity data'!AV76*UDSOEF*NtoN2O*kgtoGg</f>
        <v>0.19461451886655767</v>
      </c>
      <c r="AD1492" s="22">
        <f>'Activity data'!AW76*UDSOEF*NtoN2O*kgtoGg</f>
        <v>0.19692637066734073</v>
      </c>
      <c r="AE1492" s="22">
        <f>'Activity data'!AX76*UDSOEF*NtoN2O*kgtoGg</f>
        <v>0.19944913652878843</v>
      </c>
      <c r="AF1492" s="22">
        <f>'Activity data'!AY76*UDSOEF*NtoN2O*kgtoGg</f>
        <v>0.20204327521693932</v>
      </c>
      <c r="AG1492" s="22">
        <f>'Activity data'!AZ76*UDSOEF*NtoN2O*kgtoGg</f>
        <v>0.20167425591994353</v>
      </c>
      <c r="AH1492" s="22">
        <f>'Activity data'!BA76*UDSOEF*NtoN2O*kgtoGg</f>
        <v>5.9672038121461136E-2</v>
      </c>
      <c r="AI1492" s="22">
        <f>'Activity data'!BB76*UDSOEF*NtoN2O*kgtoGg</f>
        <v>5.9672038121461136E-2</v>
      </c>
      <c r="AJ1492" s="22">
        <f>'Activity data'!BC76*UDSOEF*NtoN2O*kgtoGg</f>
        <v>5.9672038121461136E-2</v>
      </c>
      <c r="AK1492" s="22">
        <f>'Activity data'!BD76*UDSOEF*NtoN2O*kgtoGg</f>
        <v>5.9672038121461136E-2</v>
      </c>
      <c r="AL1492" s="22">
        <f>'Activity data'!BE76*UDSOEF*NtoN2O*kgtoGg</f>
        <v>5.9672038121461136E-2</v>
      </c>
      <c r="AM1492" s="22">
        <f>'Activity data'!BF76*UDSOEF*NtoN2O*kgtoGg</f>
        <v>5.9672038121461136E-2</v>
      </c>
      <c r="AN1492" s="22">
        <f>'Activity data'!BG76*UDSOEF*NtoN2O*kgtoGg</f>
        <v>5.9672038121461136E-2</v>
      </c>
      <c r="AO1492" s="22">
        <f>'Activity data'!BH76*UDSOEF*NtoN2O*kgtoGg</f>
        <v>5.9672038121461136E-2</v>
      </c>
      <c r="AP1492" s="22">
        <f>'Activity data'!BI76*UDSOEF*NtoN2O*kgtoGg</f>
        <v>5.9672038121461136E-2</v>
      </c>
      <c r="AQ1492" s="22">
        <f>'Activity data'!BJ76*UDSOEF*NtoN2O*kgtoGg</f>
        <v>5.9672038121461136E-2</v>
      </c>
      <c r="AR1492" s="22">
        <f>'Activity data'!BK76*UDSOEF*NtoN2O*kgtoGg</f>
        <v>5.9672038121461136E-2</v>
      </c>
      <c r="AS1492" s="22">
        <f>'Activity data'!BL76*UDSOEF*NtoN2O*kgtoGg</f>
        <v>5.9672038121461136E-2</v>
      </c>
      <c r="AT1492" s="22">
        <f>'Activity data'!BM76*UDSOEF*NtoN2O*kgtoGg</f>
        <v>5.9672038121461136E-2</v>
      </c>
      <c r="AU1492" s="22">
        <f>'Activity data'!BN76*UDSOEF*NtoN2O*kgtoGg</f>
        <v>5.9672038121461136E-2</v>
      </c>
      <c r="AV1492" s="22">
        <f>'Activity data'!BO76*UDSOEF*NtoN2O*kgtoGg</f>
        <v>5.9672038121461136E-2</v>
      </c>
      <c r="AW1492" s="22">
        <f>'Activity data'!BP76*UDSOEF*NtoN2O*kgtoGg</f>
        <v>5.9672038121461136E-2</v>
      </c>
    </row>
    <row r="1493" spans="1:49" x14ac:dyDescent="0.25">
      <c r="A1493" s="102" t="s">
        <v>961</v>
      </c>
      <c r="B1493" s="102"/>
      <c r="C1493" s="102"/>
      <c r="D1493" t="str">
        <f t="shared" si="565"/>
        <v>3C Aggregated and non-CO2 emissions on land</v>
      </c>
      <c r="E1493" t="str">
        <f t="shared" si="565"/>
        <v>3C4 Direct N2O from managed soils (N2O)</v>
      </c>
      <c r="F1493" t="s">
        <v>422</v>
      </c>
      <c r="G1493" t="str">
        <f t="shared" si="566"/>
        <v xml:space="preserve"> - Mules &amp; Asses</v>
      </c>
      <c r="H1493" t="str">
        <f t="shared" si="563"/>
        <v>U&amp;D emissions - Mules &amp; Asses</v>
      </c>
      <c r="I1493" t="str">
        <f t="shared" si="567"/>
        <v>N2O</v>
      </c>
      <c r="J1493" t="str">
        <f t="shared" si="567"/>
        <v>Gg N2O</v>
      </c>
      <c r="K1493" s="22">
        <f>'Activity data'!AD77*UDSOEF*NtoN2O*kgtoGg</f>
        <v>3.4640571428571423E-2</v>
      </c>
      <c r="L1493" s="22">
        <f>'Activity data'!AE77*UDSOEF*NtoN2O*kgtoGg</f>
        <v>3.4640571428571423E-2</v>
      </c>
      <c r="M1493" s="22">
        <f>'Activity data'!AF77*UDSOEF*NtoN2O*kgtoGg</f>
        <v>3.4640571428571423E-2</v>
      </c>
      <c r="N1493" s="22">
        <f>'Activity data'!AG77*UDSOEF*NtoN2O*kgtoGg</f>
        <v>3.4640571428571423E-2</v>
      </c>
      <c r="O1493" s="22">
        <f>'Activity data'!AH77*UDSOEF*NtoN2O*kgtoGg</f>
        <v>3.4640571428571423E-2</v>
      </c>
      <c r="P1493" s="22">
        <f>'Activity data'!AI77*UDSOEF*NtoN2O*kgtoGg</f>
        <v>3.4640571428571423E-2</v>
      </c>
      <c r="Q1493" s="22">
        <f>'Activity data'!AJ77*UDSOEF*NtoN2O*kgtoGg</f>
        <v>3.4640571428571423E-2</v>
      </c>
      <c r="R1493" s="22">
        <f>'Activity data'!AK77*UDSOEF*NtoN2O*kgtoGg</f>
        <v>3.4640571428571423E-2</v>
      </c>
      <c r="S1493" s="22">
        <f>'Activity data'!AL77*UDSOEF*NtoN2O*kgtoGg</f>
        <v>3.4640571428571423E-2</v>
      </c>
      <c r="T1493" s="22">
        <f>'Activity data'!AM77*UDSOEF*NtoN2O*kgtoGg</f>
        <v>3.4640571428571423E-2</v>
      </c>
      <c r="U1493" s="22">
        <f>'Activity data'!AN77*UDSOEF*NtoN2O*kgtoGg</f>
        <v>3.4640571428571423E-2</v>
      </c>
      <c r="V1493" s="22">
        <f>'Activity data'!AO77*UDSOEF*NtoN2O*kgtoGg</f>
        <v>3.4640571428571423E-2</v>
      </c>
      <c r="W1493" s="22">
        <f>'Activity data'!AP77*UDSOEF*NtoN2O*kgtoGg</f>
        <v>3.4640571428571423E-2</v>
      </c>
      <c r="X1493" s="22">
        <f>'Activity data'!AQ77*UDSOEF*NtoN2O*kgtoGg</f>
        <v>3.4640571428571423E-2</v>
      </c>
      <c r="Y1493" s="22">
        <f>'Activity data'!AR77*UDSOEF*NtoN2O*kgtoGg</f>
        <v>3.4640571428571423E-2</v>
      </c>
      <c r="Z1493" s="22">
        <f>'Activity data'!AS77*UDSOEF*NtoN2O*kgtoGg</f>
        <v>3.4640571428571423E-2</v>
      </c>
      <c r="AA1493" s="22">
        <f>'Activity data'!AT77*UDSOEF*NtoN2O*kgtoGg</f>
        <v>3.4640571428571423E-2</v>
      </c>
      <c r="AB1493" s="22">
        <f>'Activity data'!AU77*UDSOEF*NtoN2O*kgtoGg</f>
        <v>3.4640571428571423E-2</v>
      </c>
      <c r="AC1493" s="22">
        <f>'Activity data'!AV77*UDSOEF*NtoN2O*kgtoGg</f>
        <v>3.4640571428571423E-2</v>
      </c>
      <c r="AD1493" s="22">
        <f>'Activity data'!AW77*UDSOEF*NtoN2O*kgtoGg</f>
        <v>3.4640571428571423E-2</v>
      </c>
      <c r="AE1493" s="22">
        <f>'Activity data'!AX77*UDSOEF*NtoN2O*kgtoGg</f>
        <v>3.4640571428571423E-2</v>
      </c>
      <c r="AF1493" s="22">
        <f>'Activity data'!AY77*UDSOEF*NtoN2O*kgtoGg</f>
        <v>3.4640571428571423E-2</v>
      </c>
      <c r="AG1493" s="22">
        <f>'Activity data'!AZ77*UDSOEF*NtoN2O*kgtoGg</f>
        <v>3.4640571428571423E-2</v>
      </c>
      <c r="AH1493" s="22">
        <f>'Activity data'!BA77*UDSOEF*NtoN2O*kgtoGg</f>
        <v>3.4640571428571423E-2</v>
      </c>
      <c r="AI1493" s="22">
        <f>'Activity data'!BB77*UDSOEF*NtoN2O*kgtoGg</f>
        <v>3.4640571428571423E-2</v>
      </c>
      <c r="AJ1493" s="22">
        <f>'Activity data'!BC77*UDSOEF*NtoN2O*kgtoGg</f>
        <v>3.4640571428571423E-2</v>
      </c>
      <c r="AK1493" s="22">
        <f>'Activity data'!BD77*UDSOEF*NtoN2O*kgtoGg</f>
        <v>3.4640571428571423E-2</v>
      </c>
      <c r="AL1493" s="22">
        <f>'Activity data'!BE77*UDSOEF*NtoN2O*kgtoGg</f>
        <v>3.4640571428571423E-2</v>
      </c>
      <c r="AM1493" s="22">
        <f>'Activity data'!BF77*UDSOEF*NtoN2O*kgtoGg</f>
        <v>3.4640571428571423E-2</v>
      </c>
      <c r="AN1493" s="22">
        <f>'Activity data'!BG77*UDSOEF*NtoN2O*kgtoGg</f>
        <v>3.4640571428571423E-2</v>
      </c>
      <c r="AO1493" s="22">
        <f>'Activity data'!BH77*UDSOEF*NtoN2O*kgtoGg</f>
        <v>3.4640571428571423E-2</v>
      </c>
      <c r="AP1493" s="22">
        <f>'Activity data'!BI77*UDSOEF*NtoN2O*kgtoGg</f>
        <v>3.4640571428571423E-2</v>
      </c>
      <c r="AQ1493" s="22">
        <f>'Activity data'!BJ77*UDSOEF*NtoN2O*kgtoGg</f>
        <v>3.4640571428571423E-2</v>
      </c>
      <c r="AR1493" s="22">
        <f>'Activity data'!BK77*UDSOEF*NtoN2O*kgtoGg</f>
        <v>3.4640571428571423E-2</v>
      </c>
      <c r="AS1493" s="22">
        <f>'Activity data'!BL77*UDSOEF*NtoN2O*kgtoGg</f>
        <v>3.4640571428571423E-2</v>
      </c>
      <c r="AT1493" s="22">
        <f>'Activity data'!BM77*UDSOEF*NtoN2O*kgtoGg</f>
        <v>3.4640571428571423E-2</v>
      </c>
      <c r="AU1493" s="22">
        <f>'Activity data'!BN77*UDSOEF*NtoN2O*kgtoGg</f>
        <v>3.4640571428571423E-2</v>
      </c>
      <c r="AV1493" s="22">
        <f>'Activity data'!BO77*UDSOEF*NtoN2O*kgtoGg</f>
        <v>3.4640571428571423E-2</v>
      </c>
      <c r="AW1493" s="22">
        <f>'Activity data'!BP77*UDSOEF*NtoN2O*kgtoGg</f>
        <v>3.4640571428571423E-2</v>
      </c>
    </row>
    <row r="1494" spans="1:49" x14ac:dyDescent="0.25">
      <c r="A1494" s="102" t="s">
        <v>961</v>
      </c>
      <c r="B1494" s="102"/>
      <c r="C1494" s="102"/>
      <c r="D1494" t="str">
        <f t="shared" si="565"/>
        <v>3C Aggregated and non-CO2 emissions on land</v>
      </c>
      <c r="E1494" t="str">
        <f t="shared" si="565"/>
        <v>3C4 Direct N2O from managed soils (N2O)</v>
      </c>
      <c r="F1494" t="s">
        <v>422</v>
      </c>
      <c r="G1494" t="str">
        <f t="shared" si="566"/>
        <v xml:space="preserve"> - Commercial swine</v>
      </c>
      <c r="H1494" t="str">
        <f t="shared" si="563"/>
        <v>U&amp;D emissions - Commercial swine</v>
      </c>
      <c r="I1494" t="str">
        <f t="shared" si="567"/>
        <v>N2O</v>
      </c>
      <c r="J1494" t="str">
        <f t="shared" si="567"/>
        <v>Gg N2O</v>
      </c>
      <c r="K1494" s="22">
        <f>'Activity data'!AD78*UDCPPEF*NtoN2O*kgtoGg</f>
        <v>0</v>
      </c>
      <c r="L1494" s="22">
        <f>'Activity data'!AE78*UDCPPEF*NtoN2O*kgtoGg</f>
        <v>0</v>
      </c>
      <c r="M1494" s="22">
        <f>'Activity data'!AF78*UDCPPEF*NtoN2O*kgtoGg</f>
        <v>0</v>
      </c>
      <c r="N1494" s="22">
        <f>'Activity data'!AG78*UDCPPEF*NtoN2O*kgtoGg</f>
        <v>0</v>
      </c>
      <c r="O1494" s="22">
        <f>'Activity data'!AH78*UDCPPEF*NtoN2O*kgtoGg</f>
        <v>0</v>
      </c>
      <c r="P1494" s="22">
        <f>'Activity data'!AI78*UDCPPEF*NtoN2O*kgtoGg</f>
        <v>0</v>
      </c>
      <c r="Q1494" s="22">
        <f>'Activity data'!AJ78*UDCPPEF*NtoN2O*kgtoGg</f>
        <v>0</v>
      </c>
      <c r="R1494" s="22">
        <f>'Activity data'!AK78*UDCPPEF*NtoN2O*kgtoGg</f>
        <v>0</v>
      </c>
      <c r="S1494" s="22">
        <f>'Activity data'!AL78*UDCPPEF*NtoN2O*kgtoGg</f>
        <v>0</v>
      </c>
      <c r="T1494" s="22">
        <f>'Activity data'!AM78*UDCPPEF*NtoN2O*kgtoGg</f>
        <v>0</v>
      </c>
      <c r="U1494" s="22">
        <f>'Activity data'!AN78*UDCPPEF*NtoN2O*kgtoGg</f>
        <v>0</v>
      </c>
      <c r="V1494" s="22">
        <f>'Activity data'!AO78*UDCPPEF*NtoN2O*kgtoGg</f>
        <v>0</v>
      </c>
      <c r="W1494" s="22">
        <f>'Activity data'!AP78*UDCPPEF*NtoN2O*kgtoGg</f>
        <v>0</v>
      </c>
      <c r="X1494" s="22">
        <f>'Activity data'!AQ78*UDCPPEF*NtoN2O*kgtoGg</f>
        <v>0</v>
      </c>
      <c r="Y1494" s="22">
        <f>'Activity data'!AR78*UDCPPEF*NtoN2O*kgtoGg</f>
        <v>0</v>
      </c>
      <c r="Z1494" s="22">
        <f>'Activity data'!AS78*UDCPPEF*NtoN2O*kgtoGg</f>
        <v>0</v>
      </c>
      <c r="AA1494" s="22">
        <f>'Activity data'!AT78*UDCPPEF*NtoN2O*kgtoGg</f>
        <v>0</v>
      </c>
      <c r="AB1494" s="22">
        <f>'Activity data'!AU78*UDCPPEF*NtoN2O*kgtoGg</f>
        <v>0</v>
      </c>
      <c r="AC1494" s="22">
        <f>'Activity data'!AV78*UDCPPEF*NtoN2O*kgtoGg</f>
        <v>0</v>
      </c>
      <c r="AD1494" s="22">
        <f>'Activity data'!AW78*UDCPPEF*NtoN2O*kgtoGg</f>
        <v>0</v>
      </c>
      <c r="AE1494" s="22">
        <f>'Activity data'!AX78*UDCPPEF*NtoN2O*kgtoGg</f>
        <v>0</v>
      </c>
      <c r="AF1494" s="22">
        <f>'Activity data'!AY78*UDCPPEF*NtoN2O*kgtoGg</f>
        <v>0</v>
      </c>
      <c r="AG1494" s="22">
        <f>'Activity data'!AZ78*UDCPPEF*NtoN2O*kgtoGg</f>
        <v>0</v>
      </c>
      <c r="AH1494" s="22">
        <f>'Activity data'!BA78*UDCPPEF*NtoN2O*kgtoGg</f>
        <v>0</v>
      </c>
      <c r="AI1494" s="22">
        <f>'Activity data'!BB78*UDCPPEF*NtoN2O*kgtoGg</f>
        <v>0</v>
      </c>
      <c r="AJ1494" s="22">
        <f>'Activity data'!BC78*UDCPPEF*NtoN2O*kgtoGg</f>
        <v>0</v>
      </c>
      <c r="AK1494" s="22">
        <f>'Activity data'!BD78*UDCPPEF*NtoN2O*kgtoGg</f>
        <v>0</v>
      </c>
      <c r="AL1494" s="22">
        <f>'Activity data'!BE78*UDCPPEF*NtoN2O*kgtoGg</f>
        <v>0</v>
      </c>
      <c r="AM1494" s="22">
        <f>'Activity data'!BF78*UDCPPEF*NtoN2O*kgtoGg</f>
        <v>0</v>
      </c>
      <c r="AN1494" s="22">
        <f>'Activity data'!BG78*UDCPPEF*NtoN2O*kgtoGg</f>
        <v>0</v>
      </c>
      <c r="AO1494" s="22">
        <f>'Activity data'!BH78*UDCPPEF*NtoN2O*kgtoGg</f>
        <v>0</v>
      </c>
      <c r="AP1494" s="22">
        <f>'Activity data'!BI78*UDCPPEF*NtoN2O*kgtoGg</f>
        <v>0</v>
      </c>
      <c r="AQ1494" s="22">
        <f>'Activity data'!BJ78*UDCPPEF*NtoN2O*kgtoGg</f>
        <v>0</v>
      </c>
      <c r="AR1494" s="22">
        <f>'Activity data'!BK78*UDCPPEF*NtoN2O*kgtoGg</f>
        <v>0</v>
      </c>
      <c r="AS1494" s="22">
        <f>'Activity data'!BL78*UDCPPEF*NtoN2O*kgtoGg</f>
        <v>0</v>
      </c>
      <c r="AT1494" s="22">
        <f>'Activity data'!BM78*UDCPPEF*NtoN2O*kgtoGg</f>
        <v>0</v>
      </c>
      <c r="AU1494" s="22">
        <f>'Activity data'!BN78*UDCPPEF*NtoN2O*kgtoGg</f>
        <v>0</v>
      </c>
      <c r="AV1494" s="22">
        <f>'Activity data'!BO78*UDCPPEF*NtoN2O*kgtoGg</f>
        <v>0</v>
      </c>
      <c r="AW1494" s="22">
        <f>'Activity data'!BP78*UDCPPEF*NtoN2O*kgtoGg</f>
        <v>0</v>
      </c>
    </row>
    <row r="1495" spans="1:49" x14ac:dyDescent="0.25">
      <c r="A1495" s="102" t="s">
        <v>961</v>
      </c>
      <c r="B1495" s="102"/>
      <c r="C1495" s="102"/>
      <c r="D1495" t="str">
        <f t="shared" si="565"/>
        <v>3C Aggregated and non-CO2 emissions on land</v>
      </c>
      <c r="E1495" t="str">
        <f t="shared" si="565"/>
        <v>3C4 Direct N2O from managed soils (N2O)</v>
      </c>
      <c r="F1495" t="s">
        <v>422</v>
      </c>
      <c r="G1495" t="str">
        <f t="shared" si="566"/>
        <v xml:space="preserve"> - Subsistence swine</v>
      </c>
      <c r="H1495" t="str">
        <f t="shared" si="563"/>
        <v>U&amp;D emissions - Subsistence swine</v>
      </c>
      <c r="I1495" t="str">
        <f t="shared" si="567"/>
        <v>N2O</v>
      </c>
      <c r="J1495" t="str">
        <f t="shared" si="567"/>
        <v>Gg N2O</v>
      </c>
      <c r="K1495" s="22">
        <f>'Activity data'!AD79*UDCPPEF*NtoN2O*kgtoGg</f>
        <v>0</v>
      </c>
      <c r="L1495" s="22">
        <f>'Activity data'!AE79*UDCPPEF*NtoN2O*kgtoGg</f>
        <v>0</v>
      </c>
      <c r="M1495" s="22">
        <f>'Activity data'!AF79*UDCPPEF*NtoN2O*kgtoGg</f>
        <v>0</v>
      </c>
      <c r="N1495" s="22">
        <f>'Activity data'!AG79*UDCPPEF*NtoN2O*kgtoGg</f>
        <v>0</v>
      </c>
      <c r="O1495" s="22">
        <f>'Activity data'!AH79*UDCPPEF*NtoN2O*kgtoGg</f>
        <v>0</v>
      </c>
      <c r="P1495" s="22">
        <f>'Activity data'!AI79*UDCPPEF*NtoN2O*kgtoGg</f>
        <v>0</v>
      </c>
      <c r="Q1495" s="22">
        <f>'Activity data'!AJ79*UDCPPEF*NtoN2O*kgtoGg</f>
        <v>0</v>
      </c>
      <c r="R1495" s="22">
        <f>'Activity data'!AK79*UDCPPEF*NtoN2O*kgtoGg</f>
        <v>0</v>
      </c>
      <c r="S1495" s="22">
        <f>'Activity data'!AL79*UDCPPEF*NtoN2O*kgtoGg</f>
        <v>0</v>
      </c>
      <c r="T1495" s="22">
        <f>'Activity data'!AM79*UDCPPEF*NtoN2O*kgtoGg</f>
        <v>0</v>
      </c>
      <c r="U1495" s="22">
        <f>'Activity data'!AN79*UDCPPEF*NtoN2O*kgtoGg</f>
        <v>0</v>
      </c>
      <c r="V1495" s="22">
        <f>'Activity data'!AO79*UDCPPEF*NtoN2O*kgtoGg</f>
        <v>0</v>
      </c>
      <c r="W1495" s="22">
        <f>'Activity data'!AP79*UDCPPEF*NtoN2O*kgtoGg</f>
        <v>0</v>
      </c>
      <c r="X1495" s="22">
        <f>'Activity data'!AQ79*UDCPPEF*NtoN2O*kgtoGg</f>
        <v>0</v>
      </c>
      <c r="Y1495" s="22">
        <f>'Activity data'!AR79*UDCPPEF*NtoN2O*kgtoGg</f>
        <v>0</v>
      </c>
      <c r="Z1495" s="22">
        <f>'Activity data'!AS79*UDCPPEF*NtoN2O*kgtoGg</f>
        <v>0</v>
      </c>
      <c r="AA1495" s="22">
        <f>'Activity data'!AT79*UDCPPEF*NtoN2O*kgtoGg</f>
        <v>0</v>
      </c>
      <c r="AB1495" s="22">
        <f>'Activity data'!AU79*UDCPPEF*NtoN2O*kgtoGg</f>
        <v>0</v>
      </c>
      <c r="AC1495" s="22">
        <f>'Activity data'!AV79*UDCPPEF*NtoN2O*kgtoGg</f>
        <v>0</v>
      </c>
      <c r="AD1495" s="22">
        <f>'Activity data'!AW79*UDCPPEF*NtoN2O*kgtoGg</f>
        <v>0</v>
      </c>
      <c r="AE1495" s="22">
        <f>'Activity data'!AX79*UDCPPEF*NtoN2O*kgtoGg</f>
        <v>0</v>
      </c>
      <c r="AF1495" s="22">
        <f>'Activity data'!AY79*UDCPPEF*NtoN2O*kgtoGg</f>
        <v>0</v>
      </c>
      <c r="AG1495" s="22">
        <f>'Activity data'!AZ79*UDCPPEF*NtoN2O*kgtoGg</f>
        <v>0</v>
      </c>
      <c r="AH1495" s="22">
        <f>'Activity data'!BA79*UDCPPEF*NtoN2O*kgtoGg</f>
        <v>0</v>
      </c>
      <c r="AI1495" s="22">
        <f>'Activity data'!BB79*UDCPPEF*NtoN2O*kgtoGg</f>
        <v>0</v>
      </c>
      <c r="AJ1495" s="22">
        <f>'Activity data'!BC79*UDCPPEF*NtoN2O*kgtoGg</f>
        <v>0</v>
      </c>
      <c r="AK1495" s="22">
        <f>'Activity data'!BD79*UDCPPEF*NtoN2O*kgtoGg</f>
        <v>0</v>
      </c>
      <c r="AL1495" s="22">
        <f>'Activity data'!BE79*UDCPPEF*NtoN2O*kgtoGg</f>
        <v>0</v>
      </c>
      <c r="AM1495" s="22">
        <f>'Activity data'!BF79*UDCPPEF*NtoN2O*kgtoGg</f>
        <v>0</v>
      </c>
      <c r="AN1495" s="22">
        <f>'Activity data'!BG79*UDCPPEF*NtoN2O*kgtoGg</f>
        <v>0</v>
      </c>
      <c r="AO1495" s="22">
        <f>'Activity data'!BH79*UDCPPEF*NtoN2O*kgtoGg</f>
        <v>0</v>
      </c>
      <c r="AP1495" s="22">
        <f>'Activity data'!BI79*UDCPPEF*NtoN2O*kgtoGg</f>
        <v>0</v>
      </c>
      <c r="AQ1495" s="22">
        <f>'Activity data'!BJ79*UDCPPEF*NtoN2O*kgtoGg</f>
        <v>0</v>
      </c>
      <c r="AR1495" s="22">
        <f>'Activity data'!BK79*UDCPPEF*NtoN2O*kgtoGg</f>
        <v>0</v>
      </c>
      <c r="AS1495" s="22">
        <f>'Activity data'!BL79*UDCPPEF*NtoN2O*kgtoGg</f>
        <v>0</v>
      </c>
      <c r="AT1495" s="22">
        <f>'Activity data'!BM79*UDCPPEF*NtoN2O*kgtoGg</f>
        <v>0</v>
      </c>
      <c r="AU1495" s="22">
        <f>'Activity data'!BN79*UDCPPEF*NtoN2O*kgtoGg</f>
        <v>0</v>
      </c>
      <c r="AV1495" s="22">
        <f>'Activity data'!BO79*UDCPPEF*NtoN2O*kgtoGg</f>
        <v>0</v>
      </c>
      <c r="AW1495" s="22">
        <f>'Activity data'!BP79*UDCPPEF*NtoN2O*kgtoGg</f>
        <v>0</v>
      </c>
    </row>
    <row r="1496" spans="1:49" x14ac:dyDescent="0.25">
      <c r="A1496" s="102" t="s">
        <v>961</v>
      </c>
      <c r="B1496" s="102"/>
      <c r="C1496" s="102"/>
      <c r="D1496" t="str">
        <f t="shared" ref="D1496:E1511" si="568">D1495</f>
        <v>3C Aggregated and non-CO2 emissions on land</v>
      </c>
      <c r="E1496" t="str">
        <f t="shared" si="568"/>
        <v>3C4 Direct N2O from managed soils (N2O)</v>
      </c>
      <c r="F1496" t="s">
        <v>422</v>
      </c>
      <c r="G1496" t="str">
        <f t="shared" si="566"/>
        <v xml:space="preserve"> - Commercial layers</v>
      </c>
      <c r="H1496" t="str">
        <f t="shared" si="563"/>
        <v>U&amp;D emissions - Commercial layers</v>
      </c>
      <c r="I1496" t="str">
        <f t="shared" si="567"/>
        <v>N2O</v>
      </c>
      <c r="J1496" t="str">
        <f t="shared" si="567"/>
        <v>Gg N2O</v>
      </c>
      <c r="K1496" s="22">
        <f>'Activity data'!AD80*UDCPPEF*NtoN2O*kgtoGg</f>
        <v>0</v>
      </c>
      <c r="L1496" s="22">
        <f>'Activity data'!AE80*UDCPPEF*NtoN2O*kgtoGg</f>
        <v>0</v>
      </c>
      <c r="M1496" s="22">
        <f>'Activity data'!AF80*UDCPPEF*NtoN2O*kgtoGg</f>
        <v>0</v>
      </c>
      <c r="N1496" s="22">
        <f>'Activity data'!AG80*UDCPPEF*NtoN2O*kgtoGg</f>
        <v>0</v>
      </c>
      <c r="O1496" s="22">
        <f>'Activity data'!AH80*UDCPPEF*NtoN2O*kgtoGg</f>
        <v>0</v>
      </c>
      <c r="P1496" s="22">
        <f>'Activity data'!AI80*UDCPPEF*NtoN2O*kgtoGg</f>
        <v>0</v>
      </c>
      <c r="Q1496" s="22">
        <f>'Activity data'!AJ80*UDCPPEF*NtoN2O*kgtoGg</f>
        <v>0</v>
      </c>
      <c r="R1496" s="22">
        <f>'Activity data'!AK80*UDCPPEF*NtoN2O*kgtoGg</f>
        <v>0</v>
      </c>
      <c r="S1496" s="22">
        <f>'Activity data'!AL80*UDCPPEF*NtoN2O*kgtoGg</f>
        <v>0</v>
      </c>
      <c r="T1496" s="22">
        <f>'Activity data'!AM80*UDCPPEF*NtoN2O*kgtoGg</f>
        <v>0</v>
      </c>
      <c r="U1496" s="22">
        <f>'Activity data'!AN80*UDCPPEF*NtoN2O*kgtoGg</f>
        <v>0</v>
      </c>
      <c r="V1496" s="22">
        <f>'Activity data'!AO80*UDCPPEF*NtoN2O*kgtoGg</f>
        <v>0</v>
      </c>
      <c r="W1496" s="22">
        <f>'Activity data'!AP80*UDCPPEF*NtoN2O*kgtoGg</f>
        <v>0</v>
      </c>
      <c r="X1496" s="22">
        <f>'Activity data'!AQ80*UDCPPEF*NtoN2O*kgtoGg</f>
        <v>0</v>
      </c>
      <c r="Y1496" s="22">
        <f>'Activity data'!AR80*UDCPPEF*NtoN2O*kgtoGg</f>
        <v>0</v>
      </c>
      <c r="Z1496" s="22">
        <f>'Activity data'!AS80*UDCPPEF*NtoN2O*kgtoGg</f>
        <v>0</v>
      </c>
      <c r="AA1496" s="22">
        <f>'Activity data'!AT80*UDCPPEF*NtoN2O*kgtoGg</f>
        <v>0</v>
      </c>
      <c r="AB1496" s="22">
        <f>'Activity data'!AU80*UDCPPEF*NtoN2O*kgtoGg</f>
        <v>0</v>
      </c>
      <c r="AC1496" s="22">
        <f>'Activity data'!AV80*UDCPPEF*NtoN2O*kgtoGg</f>
        <v>0</v>
      </c>
      <c r="AD1496" s="22">
        <f>'Activity data'!AW80*UDCPPEF*NtoN2O*kgtoGg</f>
        <v>0</v>
      </c>
      <c r="AE1496" s="22">
        <f>'Activity data'!AX80*UDCPPEF*NtoN2O*kgtoGg</f>
        <v>0</v>
      </c>
      <c r="AF1496" s="22">
        <f>'Activity data'!AY80*UDCPPEF*NtoN2O*kgtoGg</f>
        <v>0</v>
      </c>
      <c r="AG1496" s="22">
        <f>'Activity data'!AZ80*UDCPPEF*NtoN2O*kgtoGg</f>
        <v>0</v>
      </c>
      <c r="AH1496" s="22">
        <f>'Activity data'!BA80*UDCPPEF*NtoN2O*kgtoGg</f>
        <v>0</v>
      </c>
      <c r="AI1496" s="22">
        <f>'Activity data'!BB80*UDCPPEF*NtoN2O*kgtoGg</f>
        <v>0</v>
      </c>
      <c r="AJ1496" s="22">
        <f>'Activity data'!BC80*UDCPPEF*NtoN2O*kgtoGg</f>
        <v>0</v>
      </c>
      <c r="AK1496" s="22">
        <f>'Activity data'!BD80*UDCPPEF*NtoN2O*kgtoGg</f>
        <v>0</v>
      </c>
      <c r="AL1496" s="22">
        <f>'Activity data'!BE80*UDCPPEF*NtoN2O*kgtoGg</f>
        <v>0</v>
      </c>
      <c r="AM1496" s="22">
        <f>'Activity data'!BF80*UDCPPEF*NtoN2O*kgtoGg</f>
        <v>0</v>
      </c>
      <c r="AN1496" s="22">
        <f>'Activity data'!BG80*UDCPPEF*NtoN2O*kgtoGg</f>
        <v>0</v>
      </c>
      <c r="AO1496" s="22">
        <f>'Activity data'!BH80*UDCPPEF*NtoN2O*kgtoGg</f>
        <v>0</v>
      </c>
      <c r="AP1496" s="22">
        <f>'Activity data'!BI80*UDCPPEF*NtoN2O*kgtoGg</f>
        <v>0</v>
      </c>
      <c r="AQ1496" s="22">
        <f>'Activity data'!BJ80*UDCPPEF*NtoN2O*kgtoGg</f>
        <v>0</v>
      </c>
      <c r="AR1496" s="22">
        <f>'Activity data'!BK80*UDCPPEF*NtoN2O*kgtoGg</f>
        <v>0</v>
      </c>
      <c r="AS1496" s="22">
        <f>'Activity data'!BL80*UDCPPEF*NtoN2O*kgtoGg</f>
        <v>0</v>
      </c>
      <c r="AT1496" s="22">
        <f>'Activity data'!BM80*UDCPPEF*NtoN2O*kgtoGg</f>
        <v>0</v>
      </c>
      <c r="AU1496" s="22">
        <f>'Activity data'!BN80*UDCPPEF*NtoN2O*kgtoGg</f>
        <v>0</v>
      </c>
      <c r="AV1496" s="22">
        <f>'Activity data'!BO80*UDCPPEF*NtoN2O*kgtoGg</f>
        <v>0</v>
      </c>
      <c r="AW1496" s="22">
        <f>'Activity data'!BP80*UDCPPEF*NtoN2O*kgtoGg</f>
        <v>0</v>
      </c>
    </row>
    <row r="1497" spans="1:49" x14ac:dyDescent="0.25">
      <c r="A1497" s="102" t="s">
        <v>961</v>
      </c>
      <c r="B1497" s="102"/>
      <c r="C1497" s="102"/>
      <c r="D1497" t="str">
        <f t="shared" si="568"/>
        <v>3C Aggregated and non-CO2 emissions on land</v>
      </c>
      <c r="E1497" t="str">
        <f t="shared" si="568"/>
        <v>3C4 Direct N2O from managed soils (N2O)</v>
      </c>
      <c r="F1497" t="s">
        <v>422</v>
      </c>
      <c r="G1497" t="str">
        <f t="shared" si="566"/>
        <v xml:space="preserve"> - Commercial broilers</v>
      </c>
      <c r="H1497" t="str">
        <f t="shared" si="563"/>
        <v>U&amp;D emissions - Commercial broilers</v>
      </c>
      <c r="I1497" t="str">
        <f t="shared" si="567"/>
        <v>N2O</v>
      </c>
      <c r="J1497" t="str">
        <f t="shared" si="567"/>
        <v>Gg N2O</v>
      </c>
      <c r="K1497" s="22">
        <f>'Activity data'!AD81*UDCPPEF*NtoN2O*kgtoGg</f>
        <v>0</v>
      </c>
      <c r="L1497" s="22">
        <f>'Activity data'!AE81*UDCPPEF*NtoN2O*kgtoGg</f>
        <v>0</v>
      </c>
      <c r="M1497" s="22">
        <f>'Activity data'!AF81*UDCPPEF*NtoN2O*kgtoGg</f>
        <v>0</v>
      </c>
      <c r="N1497" s="22">
        <f>'Activity data'!AG81*UDCPPEF*NtoN2O*kgtoGg</f>
        <v>0</v>
      </c>
      <c r="O1497" s="22">
        <f>'Activity data'!AH81*UDCPPEF*NtoN2O*kgtoGg</f>
        <v>0</v>
      </c>
      <c r="P1497" s="22">
        <f>'Activity data'!AI81*UDCPPEF*NtoN2O*kgtoGg</f>
        <v>0</v>
      </c>
      <c r="Q1497" s="22">
        <f>'Activity data'!AJ81*UDCPPEF*NtoN2O*kgtoGg</f>
        <v>0</v>
      </c>
      <c r="R1497" s="22">
        <f>'Activity data'!AK81*UDCPPEF*NtoN2O*kgtoGg</f>
        <v>0</v>
      </c>
      <c r="S1497" s="22">
        <f>'Activity data'!AL81*UDCPPEF*NtoN2O*kgtoGg</f>
        <v>0</v>
      </c>
      <c r="T1497" s="22">
        <f>'Activity data'!AM81*UDCPPEF*NtoN2O*kgtoGg</f>
        <v>0</v>
      </c>
      <c r="U1497" s="22">
        <f>'Activity data'!AN81*UDCPPEF*NtoN2O*kgtoGg</f>
        <v>0</v>
      </c>
      <c r="V1497" s="22">
        <f>'Activity data'!AO81*UDCPPEF*NtoN2O*kgtoGg</f>
        <v>0</v>
      </c>
      <c r="W1497" s="22">
        <f>'Activity data'!AP81*UDCPPEF*NtoN2O*kgtoGg</f>
        <v>0</v>
      </c>
      <c r="X1497" s="22">
        <f>'Activity data'!AQ81*UDCPPEF*NtoN2O*kgtoGg</f>
        <v>0</v>
      </c>
      <c r="Y1497" s="22">
        <f>'Activity data'!AR81*UDCPPEF*NtoN2O*kgtoGg</f>
        <v>0</v>
      </c>
      <c r="Z1497" s="22">
        <f>'Activity data'!AS81*UDCPPEF*NtoN2O*kgtoGg</f>
        <v>0</v>
      </c>
      <c r="AA1497" s="22">
        <f>'Activity data'!AT81*UDCPPEF*NtoN2O*kgtoGg</f>
        <v>0</v>
      </c>
      <c r="AB1497" s="22">
        <f>'Activity data'!AU81*UDCPPEF*NtoN2O*kgtoGg</f>
        <v>0</v>
      </c>
      <c r="AC1497" s="22">
        <f>'Activity data'!AV81*UDCPPEF*NtoN2O*kgtoGg</f>
        <v>0</v>
      </c>
      <c r="AD1497" s="22">
        <f>'Activity data'!AW81*UDCPPEF*NtoN2O*kgtoGg</f>
        <v>0</v>
      </c>
      <c r="AE1497" s="22">
        <f>'Activity data'!AX81*UDCPPEF*NtoN2O*kgtoGg</f>
        <v>0</v>
      </c>
      <c r="AF1497" s="22">
        <f>'Activity data'!AY81*UDCPPEF*NtoN2O*kgtoGg</f>
        <v>0</v>
      </c>
      <c r="AG1497" s="22">
        <f>'Activity data'!AZ81*UDCPPEF*NtoN2O*kgtoGg</f>
        <v>0</v>
      </c>
      <c r="AH1497" s="22">
        <f>'Activity data'!BA81*UDCPPEF*NtoN2O*kgtoGg</f>
        <v>0</v>
      </c>
      <c r="AI1497" s="22">
        <f>'Activity data'!BB81*UDCPPEF*NtoN2O*kgtoGg</f>
        <v>0</v>
      </c>
      <c r="AJ1497" s="22">
        <f>'Activity data'!BC81*UDCPPEF*NtoN2O*kgtoGg</f>
        <v>0</v>
      </c>
      <c r="AK1497" s="22">
        <f>'Activity data'!BD81*UDCPPEF*NtoN2O*kgtoGg</f>
        <v>0</v>
      </c>
      <c r="AL1497" s="22">
        <f>'Activity data'!BE81*UDCPPEF*NtoN2O*kgtoGg</f>
        <v>0</v>
      </c>
      <c r="AM1497" s="22">
        <f>'Activity data'!BF81*UDCPPEF*NtoN2O*kgtoGg</f>
        <v>0</v>
      </c>
      <c r="AN1497" s="22">
        <f>'Activity data'!BG81*UDCPPEF*NtoN2O*kgtoGg</f>
        <v>0</v>
      </c>
      <c r="AO1497" s="22">
        <f>'Activity data'!BH81*UDCPPEF*NtoN2O*kgtoGg</f>
        <v>0</v>
      </c>
      <c r="AP1497" s="22">
        <f>'Activity data'!BI81*UDCPPEF*NtoN2O*kgtoGg</f>
        <v>0</v>
      </c>
      <c r="AQ1497" s="22">
        <f>'Activity data'!BJ81*UDCPPEF*NtoN2O*kgtoGg</f>
        <v>0</v>
      </c>
      <c r="AR1497" s="22">
        <f>'Activity data'!BK81*UDCPPEF*NtoN2O*kgtoGg</f>
        <v>0</v>
      </c>
      <c r="AS1497" s="22">
        <f>'Activity data'!BL81*UDCPPEF*NtoN2O*kgtoGg</f>
        <v>0</v>
      </c>
      <c r="AT1497" s="22">
        <f>'Activity data'!BM81*UDCPPEF*NtoN2O*kgtoGg</f>
        <v>0</v>
      </c>
      <c r="AU1497" s="22">
        <f>'Activity data'!BN81*UDCPPEF*NtoN2O*kgtoGg</f>
        <v>0</v>
      </c>
      <c r="AV1497" s="22">
        <f>'Activity data'!BO81*UDCPPEF*NtoN2O*kgtoGg</f>
        <v>0</v>
      </c>
      <c r="AW1497" s="22">
        <f>'Activity data'!BP81*UDCPPEF*NtoN2O*kgtoGg</f>
        <v>0</v>
      </c>
    </row>
    <row r="1498" spans="1:49" x14ac:dyDescent="0.25">
      <c r="A1498" s="102" t="s">
        <v>961</v>
      </c>
      <c r="B1498" s="102"/>
      <c r="C1498" s="102"/>
      <c r="D1498" t="str">
        <f>D1497</f>
        <v>3C Aggregated and non-CO2 emissions on land</v>
      </c>
      <c r="E1498" t="str">
        <f t="shared" si="568"/>
        <v>3C4 Direct N2O from managed soils (N2O)</v>
      </c>
      <c r="F1498" t="s">
        <v>60</v>
      </c>
      <c r="G1498" t="str">
        <f>" - "&amp;'Activity data'!D87</f>
        <v xml:space="preserve"> - Forest remaining forest land</v>
      </c>
      <c r="H1498" t="str">
        <f t="shared" si="563"/>
        <v>FSOM - Forest remaining forest land</v>
      </c>
      <c r="J1498" t="str">
        <f t="shared" si="567"/>
        <v>Gg N2O</v>
      </c>
      <c r="K1498" s="22" t="str">
        <f>IFERROR((('Activity data'!AD87*(1/Constants!$H$135))*ttokg)*FSOMEF*NtoN2O*kgtoGg,"NO")</f>
        <v>NO</v>
      </c>
      <c r="L1498" s="22" t="str">
        <f>IFERROR((('Activity data'!AE87*(1/Constants!$H$135))*ttokg)*FSOMEF*NtoN2O*kgtoGg,"NO")</f>
        <v>NO</v>
      </c>
      <c r="M1498" s="22" t="str">
        <f>IFERROR((('Activity data'!AF87*(1/Constants!$H$135))*ttokg)*FSOMEF*NtoN2O*kgtoGg,"NO")</f>
        <v>NO</v>
      </c>
      <c r="N1498" s="22" t="str">
        <f>IFERROR((('Activity data'!AG87*(1/Constants!$H$135))*ttokg)*FSOMEF*NtoN2O*kgtoGg,"NO")</f>
        <v>NO</v>
      </c>
      <c r="O1498" s="22" t="str">
        <f>IFERROR((('Activity data'!AH87*(1/Constants!$H$135))*ttokg)*FSOMEF*NtoN2O*kgtoGg,"NO")</f>
        <v>NO</v>
      </c>
      <c r="P1498" s="22" t="str">
        <f>IFERROR((('Activity data'!AI87*(1/Constants!$H$135))*ttokg)*FSOMEF*NtoN2O*kgtoGg,"NO")</f>
        <v>NO</v>
      </c>
      <c r="Q1498" s="22" t="str">
        <f>IFERROR((('Activity data'!AJ87*(1/Constants!$H$135))*ttokg)*FSOMEF*NtoN2O*kgtoGg,"NO")</f>
        <v>NO</v>
      </c>
      <c r="R1498" s="22" t="str">
        <f>IFERROR((('Activity data'!AK87*(1/Constants!$H$135))*ttokg)*FSOMEF*NtoN2O*kgtoGg,"NO")</f>
        <v>NO</v>
      </c>
      <c r="S1498" s="22" t="str">
        <f>IFERROR((('Activity data'!AL87*(1/Constants!$H$135))*ttokg)*FSOMEF*NtoN2O*kgtoGg,"NO")</f>
        <v>NO</v>
      </c>
      <c r="T1498" s="22" t="str">
        <f>IFERROR((('Activity data'!AM87*(1/Constants!$H$135))*ttokg)*FSOMEF*NtoN2O*kgtoGg,"NO")</f>
        <v>NO</v>
      </c>
      <c r="U1498" s="22" t="str">
        <f>IFERROR((('Activity data'!AN87*(1/Constants!$H$135))*ttokg)*FSOMEF*NtoN2O*kgtoGg,"NO")</f>
        <v>NO</v>
      </c>
      <c r="V1498" s="22" t="str">
        <f>IFERROR((('Activity data'!AO87*(1/Constants!$H$135))*ttokg)*FSOMEF*NtoN2O*kgtoGg,"NO")</f>
        <v>NO</v>
      </c>
      <c r="W1498" s="22" t="str">
        <f>IFERROR((('Activity data'!AP87*(1/Constants!$H$135))*ttokg)*FSOMEF*NtoN2O*kgtoGg,"NO")</f>
        <v>NO</v>
      </c>
      <c r="X1498" s="22" t="str">
        <f>IFERROR((('Activity data'!AQ87*(1/Constants!$H$135))*ttokg)*FSOMEF*NtoN2O*kgtoGg,"NO")</f>
        <v>NO</v>
      </c>
      <c r="Y1498" s="22" t="str">
        <f>IFERROR((('Activity data'!AR87*(1/Constants!$H$135))*ttokg)*FSOMEF*NtoN2O*kgtoGg,"NO")</f>
        <v>NO</v>
      </c>
      <c r="Z1498" s="22" t="str">
        <f>IFERROR((('Activity data'!AS87*(1/Constants!$H$135))*ttokg)*FSOMEF*NtoN2O*kgtoGg,"NO")</f>
        <v>NO</v>
      </c>
      <c r="AA1498" s="22" t="str">
        <f>IFERROR((('Activity data'!AT87*(1/Constants!$H$135))*ttokg)*FSOMEF*NtoN2O*kgtoGg,"NO")</f>
        <v>NO</v>
      </c>
      <c r="AB1498" s="22" t="str">
        <f>IFERROR((('Activity data'!AU87*(1/Constants!$H$135))*ttokg)*FSOMEF*NtoN2O*kgtoGg,"NO")</f>
        <v>NO</v>
      </c>
      <c r="AC1498" s="22" t="str">
        <f>IFERROR((('Activity data'!AV87*(1/Constants!$H$135))*ttokg)*FSOMEF*NtoN2O*kgtoGg,"NO")</f>
        <v>NO</v>
      </c>
      <c r="AD1498" s="22" t="str">
        <f>IFERROR((('Activity data'!AW87*(1/Constants!$H$135))*ttokg)*FSOMEF*NtoN2O*kgtoGg,"NO")</f>
        <v>NO</v>
      </c>
      <c r="AE1498" s="22" t="str">
        <f>IFERROR((('Activity data'!AX87*(1/Constants!$H$135))*ttokg)*FSOMEF*NtoN2O*kgtoGg,"NO")</f>
        <v>NO</v>
      </c>
      <c r="AF1498" s="22" t="str">
        <f>IFERROR((('Activity data'!AY87*(1/Constants!$H$135))*ttokg)*FSOMEF*NtoN2O*kgtoGg,"NO")</f>
        <v>NO</v>
      </c>
      <c r="AG1498" s="22" t="str">
        <f>IFERROR((('Activity data'!AZ87*(1/Constants!$H$135))*ttokg)*FSOMEF*NtoN2O*kgtoGg,"NO")</f>
        <v>NO</v>
      </c>
      <c r="AH1498" s="22" t="str">
        <f>IFERROR((('Activity data'!BA87*(1/Constants!$H$135))*ttokg)*FSOMEF*NtoN2O*kgtoGg,"NO")</f>
        <v>NO</v>
      </c>
      <c r="AI1498" s="22" t="str">
        <f>IFERROR((('Activity data'!BB87*(1/Constants!$H$135))*ttokg)*FSOMEF*NtoN2O*kgtoGg,"NO")</f>
        <v>NO</v>
      </c>
      <c r="AJ1498" s="22" t="str">
        <f>IFERROR((('Activity data'!BC87*(1/Constants!$H$135))*ttokg)*FSOMEF*NtoN2O*kgtoGg,"NO")</f>
        <v>NO</v>
      </c>
      <c r="AK1498" s="22" t="str">
        <f>IFERROR((('Activity data'!BD87*(1/Constants!$H$135))*ttokg)*FSOMEF*NtoN2O*kgtoGg,"NO")</f>
        <v>NO</v>
      </c>
      <c r="AL1498" s="22" t="str">
        <f>IFERROR((('Activity data'!BE87*(1/Constants!$H$135))*ttokg)*FSOMEF*NtoN2O*kgtoGg,"NO")</f>
        <v>NO</v>
      </c>
      <c r="AM1498" s="22" t="str">
        <f>IFERROR((('Activity data'!BF87*(1/Constants!$H$135))*ttokg)*FSOMEF*NtoN2O*kgtoGg,"NO")</f>
        <v>NO</v>
      </c>
      <c r="AN1498" s="22" t="str">
        <f>IFERROR((('Activity data'!BG87*(1/Constants!$H$135))*ttokg)*FSOMEF*NtoN2O*kgtoGg,"NO")</f>
        <v>NO</v>
      </c>
      <c r="AO1498" s="22" t="str">
        <f>IFERROR((('Activity data'!BH87*(1/Constants!$H$135))*ttokg)*FSOMEF*NtoN2O*kgtoGg,"NO")</f>
        <v>NO</v>
      </c>
      <c r="AP1498" s="22" t="str">
        <f>IFERROR((('Activity data'!BI87*(1/Constants!$H$135))*ttokg)*FSOMEF*NtoN2O*kgtoGg,"NO")</f>
        <v>NO</v>
      </c>
      <c r="AQ1498" s="22" t="str">
        <f>IFERROR((('Activity data'!BJ87*(1/Constants!$H$135))*ttokg)*FSOMEF*NtoN2O*kgtoGg,"NO")</f>
        <v>NO</v>
      </c>
      <c r="AR1498" s="22" t="str">
        <f>IFERROR((('Activity data'!BK87*(1/Constants!$H$135))*ttokg)*FSOMEF*NtoN2O*kgtoGg,"NO")</f>
        <v>NO</v>
      </c>
      <c r="AS1498" s="22" t="str">
        <f>IFERROR((('Activity data'!BL87*(1/Constants!$H$135))*ttokg)*FSOMEF*NtoN2O*kgtoGg,"NO")</f>
        <v>NO</v>
      </c>
      <c r="AT1498" s="22" t="str">
        <f>IFERROR((('Activity data'!BM87*(1/Constants!$H$135))*ttokg)*FSOMEF*NtoN2O*kgtoGg,"NO")</f>
        <v>NO</v>
      </c>
      <c r="AU1498" s="22" t="str">
        <f>IFERROR((('Activity data'!BN87*(1/Constants!$H$135))*ttokg)*FSOMEF*NtoN2O*kgtoGg,"NO")</f>
        <v>NO</v>
      </c>
      <c r="AV1498" s="22" t="str">
        <f>IFERROR((('Activity data'!BO87*(1/Constants!$H$135))*ttokg)*FSOMEF*NtoN2O*kgtoGg,"NO")</f>
        <v>NO</v>
      </c>
      <c r="AW1498" s="22" t="str">
        <f>IFERROR((('Activity data'!BP87*(1/Constants!$H$135))*ttokg)*FSOMEF*NtoN2O*kgtoGg,"NO")</f>
        <v>NO</v>
      </c>
    </row>
    <row r="1499" spans="1:49" x14ac:dyDescent="0.25">
      <c r="A1499" s="102" t="s">
        <v>961</v>
      </c>
      <c r="B1499" s="102"/>
      <c r="C1499" s="102"/>
      <c r="D1499" t="str">
        <f t="shared" ref="D1499:D1509" si="569">D1498</f>
        <v>3C Aggregated and non-CO2 emissions on land</v>
      </c>
      <c r="E1499" t="str">
        <f t="shared" si="568"/>
        <v>3C4 Direct N2O from managed soils (N2O)</v>
      </c>
      <c r="F1499" t="s">
        <v>60</v>
      </c>
      <c r="G1499" t="str">
        <f>" - "&amp;'Activity data'!D88</f>
        <v xml:space="preserve"> - Land converted to forest land</v>
      </c>
      <c r="H1499" t="str">
        <f t="shared" si="563"/>
        <v>FSOM - Land converted to forest land</v>
      </c>
      <c r="J1499" t="str">
        <f t="shared" ref="J1499:J1562" si="570">J1498</f>
        <v>Gg N2O</v>
      </c>
      <c r="K1499" s="22" t="str">
        <f>IFERROR((('Activity data'!AD88*(1/Constants!$H$135))*ttokg)*FSOMEF*NtoN2O*kgtoGg,"NO")</f>
        <v>NO</v>
      </c>
      <c r="L1499" s="22" t="str">
        <f>IFERROR((('Activity data'!AE88*(1/Constants!$H$135))*ttokg)*FSOMEF*NtoN2O*kgtoGg,"NO")</f>
        <v>NO</v>
      </c>
      <c r="M1499" s="22" t="str">
        <f>IFERROR((('Activity data'!AF88*(1/Constants!$H$135))*ttokg)*FSOMEF*NtoN2O*kgtoGg,"NO")</f>
        <v>NO</v>
      </c>
      <c r="N1499" s="22" t="str">
        <f>IFERROR((('Activity data'!AG88*(1/Constants!$H$135))*ttokg)*FSOMEF*NtoN2O*kgtoGg,"NO")</f>
        <v>NO</v>
      </c>
      <c r="O1499" s="22" t="str">
        <f>IFERROR((('Activity data'!AH88*(1/Constants!$H$135))*ttokg)*FSOMEF*NtoN2O*kgtoGg,"NO")</f>
        <v>NO</v>
      </c>
      <c r="P1499" s="22" t="str">
        <f>IFERROR((('Activity data'!AI88*(1/Constants!$H$135))*ttokg)*FSOMEF*NtoN2O*kgtoGg,"NO")</f>
        <v>NO</v>
      </c>
      <c r="Q1499" s="22" t="str">
        <f>IFERROR((('Activity data'!AJ88*(1/Constants!$H$135))*ttokg)*FSOMEF*NtoN2O*kgtoGg,"NO")</f>
        <v>NO</v>
      </c>
      <c r="R1499" s="22" t="str">
        <f>IFERROR((('Activity data'!AK88*(1/Constants!$H$135))*ttokg)*FSOMEF*NtoN2O*kgtoGg,"NO")</f>
        <v>NO</v>
      </c>
      <c r="S1499" s="22" t="str">
        <f>IFERROR((('Activity data'!AL88*(1/Constants!$H$135))*ttokg)*FSOMEF*NtoN2O*kgtoGg,"NO")</f>
        <v>NO</v>
      </c>
      <c r="T1499" s="22" t="str">
        <f>IFERROR((('Activity data'!AM88*(1/Constants!$H$135))*ttokg)*FSOMEF*NtoN2O*kgtoGg,"NO")</f>
        <v>NO</v>
      </c>
      <c r="U1499" s="22" t="str">
        <f>IFERROR((('Activity data'!AN88*(1/Constants!$H$135))*ttokg)*FSOMEF*NtoN2O*kgtoGg,"NO")</f>
        <v>NO</v>
      </c>
      <c r="V1499" s="22" t="str">
        <f>IFERROR((('Activity data'!AO88*(1/Constants!$H$135))*ttokg)*FSOMEF*NtoN2O*kgtoGg,"NO")</f>
        <v>NO</v>
      </c>
      <c r="W1499" s="22" t="str">
        <f>IFERROR((('Activity data'!AP88*(1/Constants!$H$135))*ttokg)*FSOMEF*NtoN2O*kgtoGg,"NO")</f>
        <v>NO</v>
      </c>
      <c r="X1499" s="22" t="str">
        <f>IFERROR((('Activity data'!AQ88*(1/Constants!$H$135))*ttokg)*FSOMEF*NtoN2O*kgtoGg,"NO")</f>
        <v>NO</v>
      </c>
      <c r="Y1499" s="22" t="str">
        <f>IFERROR((('Activity data'!AR88*(1/Constants!$H$135))*ttokg)*FSOMEF*NtoN2O*kgtoGg,"NO")</f>
        <v>NO</v>
      </c>
      <c r="Z1499" s="22" t="str">
        <f>IFERROR((('Activity data'!AS88*(1/Constants!$H$135))*ttokg)*FSOMEF*NtoN2O*kgtoGg,"NO")</f>
        <v>NO</v>
      </c>
      <c r="AA1499" s="22" t="str">
        <f>IFERROR((('Activity data'!AT88*(1/Constants!$H$135))*ttokg)*FSOMEF*NtoN2O*kgtoGg,"NO")</f>
        <v>NO</v>
      </c>
      <c r="AB1499" s="22" t="str">
        <f>IFERROR((('Activity data'!AU88*(1/Constants!$H$135))*ttokg)*FSOMEF*NtoN2O*kgtoGg,"NO")</f>
        <v>NO</v>
      </c>
      <c r="AC1499" s="22" t="str">
        <f>IFERROR((('Activity data'!AV88*(1/Constants!$H$135))*ttokg)*FSOMEF*NtoN2O*kgtoGg,"NO")</f>
        <v>NO</v>
      </c>
      <c r="AD1499" s="22" t="str">
        <f>IFERROR((('Activity data'!AW88*(1/Constants!$H$135))*ttokg)*FSOMEF*NtoN2O*kgtoGg,"NO")</f>
        <v>NO</v>
      </c>
      <c r="AE1499" s="22" t="str">
        <f>IFERROR((('Activity data'!AX88*(1/Constants!$H$135))*ttokg)*FSOMEF*NtoN2O*kgtoGg,"NO")</f>
        <v>NO</v>
      </c>
      <c r="AF1499" s="22" t="str">
        <f>IFERROR((('Activity data'!AY88*(1/Constants!$H$135))*ttokg)*FSOMEF*NtoN2O*kgtoGg,"NO")</f>
        <v>NO</v>
      </c>
      <c r="AG1499" s="22" t="str">
        <f>IFERROR((('Activity data'!AZ88*(1/Constants!$H$135))*ttokg)*FSOMEF*NtoN2O*kgtoGg,"NO")</f>
        <v>NO</v>
      </c>
      <c r="AH1499" s="22" t="str">
        <f>IFERROR((('Activity data'!BA88*(1/Constants!$H$135))*ttokg)*FSOMEF*NtoN2O*kgtoGg,"NO")</f>
        <v>NO</v>
      </c>
      <c r="AI1499" s="22" t="str">
        <f>IFERROR((('Activity data'!BB88*(1/Constants!$H$135))*ttokg)*FSOMEF*NtoN2O*kgtoGg,"NO")</f>
        <v>NO</v>
      </c>
      <c r="AJ1499" s="22" t="str">
        <f>IFERROR((('Activity data'!BC88*(1/Constants!$H$135))*ttokg)*FSOMEF*NtoN2O*kgtoGg,"NO")</f>
        <v>NO</v>
      </c>
      <c r="AK1499" s="22" t="str">
        <f>IFERROR((('Activity data'!BD88*(1/Constants!$H$135))*ttokg)*FSOMEF*NtoN2O*kgtoGg,"NO")</f>
        <v>NO</v>
      </c>
      <c r="AL1499" s="22" t="str">
        <f>IFERROR((('Activity data'!BE88*(1/Constants!$H$135))*ttokg)*FSOMEF*NtoN2O*kgtoGg,"NO")</f>
        <v>NO</v>
      </c>
      <c r="AM1499" s="22" t="str">
        <f>IFERROR((('Activity data'!BF88*(1/Constants!$H$135))*ttokg)*FSOMEF*NtoN2O*kgtoGg,"NO")</f>
        <v>NO</v>
      </c>
      <c r="AN1499" s="22" t="str">
        <f>IFERROR((('Activity data'!BG88*(1/Constants!$H$135))*ttokg)*FSOMEF*NtoN2O*kgtoGg,"NO")</f>
        <v>NO</v>
      </c>
      <c r="AO1499" s="22" t="str">
        <f>IFERROR((('Activity data'!BH88*(1/Constants!$H$135))*ttokg)*FSOMEF*NtoN2O*kgtoGg,"NO")</f>
        <v>NO</v>
      </c>
      <c r="AP1499" s="22" t="str">
        <f>IFERROR((('Activity data'!BI88*(1/Constants!$H$135))*ttokg)*FSOMEF*NtoN2O*kgtoGg,"NO")</f>
        <v>NO</v>
      </c>
      <c r="AQ1499" s="22" t="str">
        <f>IFERROR((('Activity data'!BJ88*(1/Constants!$H$135))*ttokg)*FSOMEF*NtoN2O*kgtoGg,"NO")</f>
        <v>NO</v>
      </c>
      <c r="AR1499" s="22" t="str">
        <f>IFERROR((('Activity data'!BK88*(1/Constants!$H$135))*ttokg)*FSOMEF*NtoN2O*kgtoGg,"NO")</f>
        <v>NO</v>
      </c>
      <c r="AS1499" s="22" t="str">
        <f>IFERROR((('Activity data'!BL88*(1/Constants!$H$135))*ttokg)*FSOMEF*NtoN2O*kgtoGg,"NO")</f>
        <v>NO</v>
      </c>
      <c r="AT1499" s="22" t="str">
        <f>IFERROR((('Activity data'!BM88*(1/Constants!$H$135))*ttokg)*FSOMEF*NtoN2O*kgtoGg,"NO")</f>
        <v>NO</v>
      </c>
      <c r="AU1499" s="22" t="str">
        <f>IFERROR((('Activity data'!BN88*(1/Constants!$H$135))*ttokg)*FSOMEF*NtoN2O*kgtoGg,"NO")</f>
        <v>NO</v>
      </c>
      <c r="AV1499" s="22" t="str">
        <f>IFERROR((('Activity data'!BO88*(1/Constants!$H$135))*ttokg)*FSOMEF*NtoN2O*kgtoGg,"NO")</f>
        <v>NO</v>
      </c>
      <c r="AW1499" s="22" t="str">
        <f>IFERROR((('Activity data'!BP88*(1/Constants!$H$135))*ttokg)*FSOMEF*NtoN2O*kgtoGg,"NO")</f>
        <v>NO</v>
      </c>
    </row>
    <row r="1500" spans="1:49" x14ac:dyDescent="0.25">
      <c r="A1500" s="102" t="s">
        <v>961</v>
      </c>
      <c r="B1500" s="102"/>
      <c r="C1500" s="102"/>
      <c r="D1500" t="str">
        <f t="shared" si="569"/>
        <v>3C Aggregated and non-CO2 emissions on land</v>
      </c>
      <c r="E1500" t="str">
        <f t="shared" si="568"/>
        <v>3C4 Direct N2O from managed soils (N2O)</v>
      </c>
      <c r="F1500" t="s">
        <v>60</v>
      </c>
      <c r="G1500" t="str">
        <f>" - "&amp;'Activity data'!D89</f>
        <v xml:space="preserve"> - Cropland remaining cropland</v>
      </c>
      <c r="H1500" t="str">
        <f t="shared" si="563"/>
        <v>FSOM - Cropland remaining cropland</v>
      </c>
      <c r="J1500" t="str">
        <f t="shared" si="570"/>
        <v>Gg N2O</v>
      </c>
      <c r="K1500" s="22">
        <f>IFERROR((('Activity data'!AD89*(1/Constants!$H$135))*ttokg)*FSOMEF*NtoN2O*kgtoGg,"NO")</f>
        <v>3.4398813895090996E-3</v>
      </c>
      <c r="L1500" s="22">
        <f>IFERROR((('Activity data'!AE89*(1/Constants!$H$135))*ttokg)*FSOMEF*NtoN2O*kgtoGg,"NO")</f>
        <v>3.4358310252377683E-3</v>
      </c>
      <c r="M1500" s="22">
        <f>IFERROR((('Activity data'!AF89*(1/Constants!$H$135))*ttokg)*FSOMEF*NtoN2O*kgtoGg,"NO")</f>
        <v>3.4317806609664363E-3</v>
      </c>
      <c r="N1500" s="22">
        <f>IFERROR((('Activity data'!AG89*(1/Constants!$H$135))*ttokg)*FSOMEF*NtoN2O*kgtoGg,"NO")</f>
        <v>3.4277302966951037E-3</v>
      </c>
      <c r="O1500" s="22">
        <f>IFERROR((('Activity data'!AH89*(1/Constants!$H$135))*ttokg)*FSOMEF*NtoN2O*kgtoGg,"NO")</f>
        <v>3.4236799324237725E-3</v>
      </c>
      <c r="P1500" s="22">
        <f>IFERROR((('Activity data'!AI89*(1/Constants!$H$135))*ttokg)*FSOMEF*NtoN2O*kgtoGg,"NO")</f>
        <v>3.4196295681524396E-3</v>
      </c>
      <c r="Q1500" s="22">
        <f>IFERROR((('Activity data'!AJ89*(1/Constants!$H$135))*ttokg)*FSOMEF*NtoN2O*kgtoGg,"NO")</f>
        <v>3.4155792038811079E-3</v>
      </c>
      <c r="R1500" s="22">
        <f>IFERROR((('Activity data'!AK89*(1/Constants!$H$135))*ttokg)*FSOMEF*NtoN2O*kgtoGg,"NO")</f>
        <v>3.4115288396097763E-3</v>
      </c>
      <c r="S1500" s="22">
        <f>IFERROR((('Activity data'!AL89*(1/Constants!$H$135))*ttokg)*FSOMEF*NtoN2O*kgtoGg,"NO")</f>
        <v>3.4074784753384451E-3</v>
      </c>
      <c r="T1500" s="22">
        <f>IFERROR((('Activity data'!AM89*(1/Constants!$H$135))*ttokg)*FSOMEF*NtoN2O*kgtoGg,"NO")</f>
        <v>3.4034281110671134E-3</v>
      </c>
      <c r="U1500" s="22">
        <f>IFERROR((('Activity data'!AN89*(1/Constants!$H$135))*ttokg)*FSOMEF*NtoN2O*kgtoGg,"NO")</f>
        <v>3.39937774679578E-3</v>
      </c>
      <c r="V1500" s="22">
        <f>IFERROR((('Activity data'!AO89*(1/Constants!$H$135))*ttokg)*FSOMEF*NtoN2O*kgtoGg,"NO")</f>
        <v>3.3953273825244488E-3</v>
      </c>
      <c r="W1500" s="22">
        <f>IFERROR((('Activity data'!AP89*(1/Constants!$H$135))*ttokg)*FSOMEF*NtoN2O*kgtoGg,"NO")</f>
        <v>3.3912770182531172E-3</v>
      </c>
      <c r="X1500" s="22">
        <f>IFERROR((('Activity data'!AQ89*(1/Constants!$H$135))*ttokg)*FSOMEF*NtoN2O*kgtoGg,"NO")</f>
        <v>3.387226653981786E-3</v>
      </c>
      <c r="Y1500" s="22">
        <f>IFERROR((('Activity data'!AR89*(1/Constants!$H$135))*ttokg)*FSOMEF*NtoN2O*kgtoGg,"NO")</f>
        <v>3.3831762897104547E-3</v>
      </c>
      <c r="Z1500" s="22">
        <f>IFERROR((('Activity data'!AS89*(1/Constants!$H$135))*ttokg)*FSOMEF*NtoN2O*kgtoGg,"NO")</f>
        <v>3.3791259254391218E-3</v>
      </c>
      <c r="AA1500" s="22">
        <f>IFERROR((('Activity data'!AT89*(1/Constants!$H$135))*ttokg)*FSOMEF*NtoN2O*kgtoGg,"NO")</f>
        <v>3.375075561167791E-3</v>
      </c>
      <c r="AB1500" s="22">
        <f>IFERROR((('Activity data'!AU89*(1/Constants!$H$135))*ttokg)*FSOMEF*NtoN2O*kgtoGg,"NO")</f>
        <v>3.3710251968964585E-3</v>
      </c>
      <c r="AC1500" s="22">
        <f>IFERROR((('Activity data'!AV89*(1/Constants!$H$135))*ttokg)*FSOMEF*NtoN2O*kgtoGg,"NO")</f>
        <v>3.3669748326251273E-3</v>
      </c>
      <c r="AD1500" s="22">
        <f>IFERROR((('Activity data'!AW89*(1/Constants!$H$135))*ttokg)*FSOMEF*NtoN2O*kgtoGg,"NO")</f>
        <v>3.3629244683537943E-3</v>
      </c>
      <c r="AE1500" s="22">
        <f>IFERROR((('Activity data'!AX89*(1/Constants!$H$135))*ttokg)*FSOMEF*NtoN2O*kgtoGg,"NO")</f>
        <v>3.358874104082464E-3</v>
      </c>
      <c r="AF1500" s="22">
        <f>IFERROR((('Activity data'!AY89*(1/Constants!$H$135))*ttokg)*FSOMEF*NtoN2O*kgtoGg,"NO")</f>
        <v>3.3548237398111319E-3</v>
      </c>
      <c r="AG1500" s="22">
        <f>IFERROR((('Activity data'!AZ89*(1/Constants!$H$135))*ttokg)*FSOMEF*NtoN2O*kgtoGg,"NO")</f>
        <v>3.3507733755397998E-3</v>
      </c>
      <c r="AH1500" s="22">
        <f>IFERROR((('Activity data'!BA89*(1/Constants!$H$135))*ttokg)*FSOMEF*NtoN2O*kgtoGg,"NO")</f>
        <v>3.3467230112684673E-3</v>
      </c>
      <c r="AI1500" s="22">
        <f>IFERROR((('Activity data'!BB89*(1/Constants!$H$135))*ttokg)*FSOMEF*NtoN2O*kgtoGg,"NO")</f>
        <v>3.3426726469971361E-3</v>
      </c>
      <c r="AJ1500" s="22">
        <f>IFERROR((('Activity data'!BC89*(1/Constants!$H$135))*ttokg)*FSOMEF*NtoN2O*kgtoGg,"NO")</f>
        <v>3.3386222827258044E-3</v>
      </c>
      <c r="AK1500" s="22">
        <f>IFERROR((('Activity data'!BD89*(1/Constants!$H$135))*ttokg)*FSOMEF*NtoN2O*kgtoGg,"NO")</f>
        <v>3.3345719184544728E-3</v>
      </c>
      <c r="AL1500" s="22">
        <f>IFERROR((('Activity data'!BE89*(1/Constants!$H$135))*ttokg)*FSOMEF*NtoN2O*kgtoGg,"NO")</f>
        <v>3.3305215541831416E-3</v>
      </c>
      <c r="AM1500" s="22">
        <f>IFERROR((('Activity data'!BF89*(1/Constants!$H$135))*ttokg)*FSOMEF*NtoN2O*kgtoGg,"NO")</f>
        <v>3.3264711899118095E-3</v>
      </c>
      <c r="AN1500" s="22">
        <f>IFERROR((('Activity data'!BG89*(1/Constants!$H$135))*ttokg)*FSOMEF*NtoN2O*kgtoGg,"NO")</f>
        <v>3.3224208256404765E-3</v>
      </c>
      <c r="AO1500" s="22">
        <f>IFERROR((('Activity data'!BH89*(1/Constants!$H$135))*ttokg)*FSOMEF*NtoN2O*kgtoGg,"NO")</f>
        <v>3.3183704613691458E-3</v>
      </c>
      <c r="AP1500" s="22">
        <f>IFERROR((('Activity data'!BI89*(1/Constants!$H$135))*ttokg)*FSOMEF*NtoN2O*kgtoGg,"NO")</f>
        <v>3.3143200970978137E-3</v>
      </c>
      <c r="AQ1500" s="22">
        <f>IFERROR((('Activity data'!BJ89*(1/Constants!$H$135))*ttokg)*FSOMEF*NtoN2O*kgtoGg,"NO")</f>
        <v>3.3102697328264833E-3</v>
      </c>
      <c r="AR1500" s="22">
        <f>IFERROR((('Activity data'!BK89*(1/Constants!$H$135))*ttokg)*FSOMEF*NtoN2O*kgtoGg,"NO")</f>
        <v>3.3062193685551499E-3</v>
      </c>
      <c r="AS1500" s="22">
        <f>IFERROR((('Activity data'!BL89*(1/Constants!$H$135))*ttokg)*FSOMEF*NtoN2O*kgtoGg,"NO")</f>
        <v>3.3021690042838187E-3</v>
      </c>
      <c r="AT1500" s="22">
        <f>IFERROR((('Activity data'!BM89*(1/Constants!$H$135))*ttokg)*FSOMEF*NtoN2O*kgtoGg,"NO")</f>
        <v>3.2981186400124866E-3</v>
      </c>
      <c r="AU1500" s="22">
        <f>IFERROR((('Activity data'!BN89*(1/Constants!$H$135))*ttokg)*FSOMEF*NtoN2O*kgtoGg,"NO")</f>
        <v>3.2940682757411541E-3</v>
      </c>
      <c r="AV1500" s="22">
        <f>IFERROR((('Activity data'!BO89*(1/Constants!$H$135))*ttokg)*FSOMEF*NtoN2O*kgtoGg,"NO")</f>
        <v>3.2900179114698229E-3</v>
      </c>
      <c r="AW1500" s="22">
        <f>IFERROR((('Activity data'!BP89*(1/Constants!$H$135))*ttokg)*FSOMEF*NtoN2O*kgtoGg,"NO")</f>
        <v>3.2859675471984908E-3</v>
      </c>
    </row>
    <row r="1501" spans="1:49" x14ac:dyDescent="0.25">
      <c r="A1501" s="102" t="s">
        <v>961</v>
      </c>
      <c r="B1501" s="102"/>
      <c r="C1501" s="102"/>
      <c r="D1501" t="str">
        <f t="shared" si="569"/>
        <v>3C Aggregated and non-CO2 emissions on land</v>
      </c>
      <c r="E1501" t="str">
        <f t="shared" si="568"/>
        <v>3C4 Direct N2O from managed soils (N2O)</v>
      </c>
      <c r="F1501" t="s">
        <v>60</v>
      </c>
      <c r="G1501" t="str">
        <f>" - "&amp;'Activity data'!D90</f>
        <v xml:space="preserve"> - Land converted to cropland</v>
      </c>
      <c r="H1501" t="str">
        <f t="shared" si="563"/>
        <v>FSOM - Land converted to cropland</v>
      </c>
      <c r="J1501" t="str">
        <f t="shared" si="570"/>
        <v>Gg N2O</v>
      </c>
      <c r="K1501" s="22">
        <f>IFERROR((('Activity data'!AD90*(1/Constants!$H$135))*ttokg)*FSOMEF*NtoN2O*kgtoGg,"NO")</f>
        <v>0.49020960547040615</v>
      </c>
      <c r="L1501" s="22">
        <f>IFERROR((('Activity data'!AE90*(1/Constants!$H$135))*ttokg)*FSOMEF*NtoN2O*kgtoGg,"NO")</f>
        <v>0.49134551154341793</v>
      </c>
      <c r="M1501" s="22">
        <f>IFERROR((('Activity data'!AF90*(1/Constants!$H$135))*ttokg)*FSOMEF*NtoN2O*kgtoGg,"NO")</f>
        <v>0.49248141761642988</v>
      </c>
      <c r="N1501" s="22">
        <f>IFERROR((('Activity data'!AG90*(1/Constants!$H$135))*ttokg)*FSOMEF*NtoN2O*kgtoGg,"NO")</f>
        <v>0.49361732368944172</v>
      </c>
      <c r="O1501" s="22">
        <f>IFERROR((('Activity data'!AH90*(1/Constants!$H$135))*ttokg)*FSOMEF*NtoN2O*kgtoGg,"NO")</f>
        <v>0.49475322976245356</v>
      </c>
      <c r="P1501" s="22">
        <f>IFERROR((('Activity data'!AI90*(1/Constants!$H$135))*ttokg)*FSOMEF*NtoN2O*kgtoGg,"NO")</f>
        <v>0.49588913583546534</v>
      </c>
      <c r="Q1501" s="22">
        <f>IFERROR((('Activity data'!AJ90*(1/Constants!$H$135))*ttokg)*FSOMEF*NtoN2O*kgtoGg,"NO")</f>
        <v>0.49702504190847724</v>
      </c>
      <c r="R1501" s="22">
        <f>IFERROR((('Activity data'!AK90*(1/Constants!$H$135))*ttokg)*FSOMEF*NtoN2O*kgtoGg,"NO")</f>
        <v>0.49816094798148913</v>
      </c>
      <c r="S1501" s="22">
        <f>IFERROR((('Activity data'!AL90*(1/Constants!$H$135))*ttokg)*FSOMEF*NtoN2O*kgtoGg,"NO")</f>
        <v>0.49929685405450086</v>
      </c>
      <c r="T1501" s="22">
        <f>IFERROR((('Activity data'!AM90*(1/Constants!$H$135))*ttokg)*FSOMEF*NtoN2O*kgtoGg,"NO")</f>
        <v>0.50043276012751292</v>
      </c>
      <c r="U1501" s="22">
        <f>IFERROR((('Activity data'!AN90*(1/Constants!$H$135))*ttokg)*FSOMEF*NtoN2O*kgtoGg,"NO")</f>
        <v>0.50156866620052454</v>
      </c>
      <c r="V1501" s="22">
        <f>IFERROR((('Activity data'!AO90*(1/Constants!$H$135))*ttokg)*FSOMEF*NtoN2O*kgtoGg,"NO")</f>
        <v>0.50270457227353649</v>
      </c>
      <c r="W1501" s="22">
        <f>IFERROR((('Activity data'!AP90*(1/Constants!$H$135))*ttokg)*FSOMEF*NtoN2O*kgtoGg,"NO")</f>
        <v>0.50384047834654833</v>
      </c>
      <c r="X1501" s="22">
        <f>IFERROR((('Activity data'!AQ90*(1/Constants!$H$135))*ttokg)*FSOMEF*NtoN2O*kgtoGg,"NO")</f>
        <v>0.50497638441956039</v>
      </c>
      <c r="Y1501" s="22">
        <f>IFERROR((('Activity data'!AR90*(1/Constants!$H$135))*ttokg)*FSOMEF*NtoN2O*kgtoGg,"NO")</f>
        <v>0.506112290492572</v>
      </c>
      <c r="Z1501" s="22">
        <f>IFERROR((('Activity data'!AS90*(1/Constants!$H$135))*ttokg)*FSOMEF*NtoN2O*kgtoGg,"NO")</f>
        <v>0.50724819656558406</v>
      </c>
      <c r="AA1501" s="22">
        <f>IFERROR((('Activity data'!AT90*(1/Constants!$H$135))*ttokg)*FSOMEF*NtoN2O*kgtoGg,"NO")</f>
        <v>0.50838410263859568</v>
      </c>
      <c r="AB1501" s="22">
        <f>IFERROR((('Activity data'!AU90*(1/Constants!$H$135))*ttokg)*FSOMEF*NtoN2O*kgtoGg,"NO")</f>
        <v>0.50952000871160763</v>
      </c>
      <c r="AC1501" s="22">
        <f>IFERROR((('Activity data'!AV90*(1/Constants!$H$135))*ttokg)*FSOMEF*NtoN2O*kgtoGg,"NO")</f>
        <v>0.51065591478461958</v>
      </c>
      <c r="AD1501" s="22">
        <f>IFERROR((('Activity data'!AW90*(1/Constants!$H$135))*ttokg)*FSOMEF*NtoN2O*kgtoGg,"NO")</f>
        <v>0.51179182085763142</v>
      </c>
      <c r="AE1501" s="22">
        <f>IFERROR((('Activity data'!AX90*(1/Constants!$H$135))*ttokg)*FSOMEF*NtoN2O*kgtoGg,"NO")</f>
        <v>0.51292772693064326</v>
      </c>
      <c r="AF1501" s="22">
        <f>IFERROR((('Activity data'!AY90*(1/Constants!$H$135))*ttokg)*FSOMEF*NtoN2O*kgtoGg,"NO")</f>
        <v>0.5140636330036551</v>
      </c>
      <c r="AG1501" s="22">
        <f>IFERROR((('Activity data'!AZ90*(1/Constants!$H$135))*ttokg)*FSOMEF*NtoN2O*kgtoGg,"NO")</f>
        <v>0.51519953907666705</v>
      </c>
      <c r="AH1501" s="22">
        <f>IFERROR((('Activity data'!BA90*(1/Constants!$H$135))*ttokg)*FSOMEF*NtoN2O*kgtoGg,"NO")</f>
        <v>0.51633544514967877</v>
      </c>
      <c r="AI1501" s="22">
        <f>IFERROR((('Activity data'!BB90*(1/Constants!$H$135))*ttokg)*FSOMEF*NtoN2O*kgtoGg,"NO")</f>
        <v>0.51747135122269072</v>
      </c>
      <c r="AJ1501" s="22">
        <f>IFERROR((('Activity data'!BC90*(1/Constants!$H$135))*ttokg)*FSOMEF*NtoN2O*kgtoGg,"NO")</f>
        <v>0.51860725729570256</v>
      </c>
      <c r="AK1501" s="22">
        <f>IFERROR((('Activity data'!BD90*(1/Constants!$H$135))*ttokg)*FSOMEF*NtoN2O*kgtoGg,"NO")</f>
        <v>0.5197431633687144</v>
      </c>
      <c r="AL1501" s="22">
        <f>IFERROR((('Activity data'!BE90*(1/Constants!$H$135))*ttokg)*FSOMEF*NtoN2O*kgtoGg,"NO")</f>
        <v>0.52087906944172624</v>
      </c>
      <c r="AM1501" s="22">
        <f>IFERROR((('Activity data'!BF90*(1/Constants!$H$135))*ttokg)*FSOMEF*NtoN2O*kgtoGg,"NO")</f>
        <v>0.52201497551473808</v>
      </c>
      <c r="AN1501" s="22">
        <f>IFERROR((('Activity data'!BG90*(1/Constants!$H$135))*ttokg)*FSOMEF*NtoN2O*kgtoGg,"NO")</f>
        <v>0.52315088158774992</v>
      </c>
      <c r="AO1501" s="22">
        <f>IFERROR((('Activity data'!BH90*(1/Constants!$H$135))*ttokg)*FSOMEF*NtoN2O*kgtoGg,"NO")</f>
        <v>0.52428678766076187</v>
      </c>
      <c r="AP1501" s="22">
        <f>IFERROR((('Activity data'!BI90*(1/Constants!$H$135))*ttokg)*FSOMEF*NtoN2O*kgtoGg,"NO")</f>
        <v>0.52542269373377359</v>
      </c>
      <c r="AQ1501" s="22">
        <f>IFERROR((('Activity data'!BJ90*(1/Constants!$H$135))*ttokg)*FSOMEF*NtoN2O*kgtoGg,"NO")</f>
        <v>0.52655859980678543</v>
      </c>
      <c r="AR1501" s="22">
        <f>IFERROR((('Activity data'!BK90*(1/Constants!$H$135))*ttokg)*FSOMEF*NtoN2O*kgtoGg,"NO")</f>
        <v>0.52769450587979749</v>
      </c>
      <c r="AS1501" s="22">
        <f>IFERROR((('Activity data'!BL90*(1/Constants!$H$135))*ttokg)*FSOMEF*NtoN2O*kgtoGg,"NO")</f>
        <v>0.52883041195280922</v>
      </c>
      <c r="AT1501" s="22">
        <f>IFERROR((('Activity data'!BM90*(1/Constants!$H$135))*ttokg)*FSOMEF*NtoN2O*kgtoGg,"NO")</f>
        <v>0.52996631802582106</v>
      </c>
      <c r="AU1501" s="22">
        <f>IFERROR((('Activity data'!BN90*(1/Constants!$H$135))*ttokg)*FSOMEF*NtoN2O*kgtoGg,"NO")</f>
        <v>0.53110222409883301</v>
      </c>
      <c r="AV1501" s="22">
        <f>IFERROR((('Activity data'!BO90*(1/Constants!$H$135))*ttokg)*FSOMEF*NtoN2O*kgtoGg,"NO")</f>
        <v>0.53223813017184474</v>
      </c>
      <c r="AW1501" s="22">
        <f>IFERROR((('Activity data'!BP90*(1/Constants!$H$135))*ttokg)*FSOMEF*NtoN2O*kgtoGg,"NO")</f>
        <v>0.5333740362448568</v>
      </c>
    </row>
    <row r="1502" spans="1:49" x14ac:dyDescent="0.25">
      <c r="A1502" s="102" t="s">
        <v>961</v>
      </c>
      <c r="B1502" s="102"/>
      <c r="C1502" s="102"/>
      <c r="D1502" t="str">
        <f t="shared" si="569"/>
        <v>3C Aggregated and non-CO2 emissions on land</v>
      </c>
      <c r="E1502" t="str">
        <f t="shared" si="568"/>
        <v>3C4 Direct N2O from managed soils (N2O)</v>
      </c>
      <c r="F1502" t="s">
        <v>60</v>
      </c>
      <c r="G1502" t="str">
        <f>" - "&amp;'Activity data'!D91</f>
        <v xml:space="preserve"> - Grassland remaining grassland</v>
      </c>
      <c r="H1502" t="str">
        <f t="shared" si="563"/>
        <v>FSOM - Grassland remaining grassland</v>
      </c>
      <c r="J1502" t="str">
        <f t="shared" si="570"/>
        <v>Gg N2O</v>
      </c>
      <c r="K1502" s="22">
        <f>IFERROR((('Activity data'!AD91*(1/Constants!$H$135))*ttokg)*FSOMEF*NtoN2O*kgtoGg,"NO")</f>
        <v>0.57597220909378744</v>
      </c>
      <c r="L1502" s="22">
        <f>IFERROR((('Activity data'!AE91*(1/Constants!$H$135))*ttokg)*FSOMEF*NtoN2O*kgtoGg,"NO")</f>
        <v>0.57597220909378744</v>
      </c>
      <c r="M1502" s="22">
        <f>IFERROR((('Activity data'!AF91*(1/Constants!$H$135))*ttokg)*FSOMEF*NtoN2O*kgtoGg,"NO")</f>
        <v>0.57597220909378744</v>
      </c>
      <c r="N1502" s="22">
        <f>IFERROR((('Activity data'!AG91*(1/Constants!$H$135))*ttokg)*FSOMEF*NtoN2O*kgtoGg,"NO")</f>
        <v>0.57597220909378744</v>
      </c>
      <c r="O1502" s="22">
        <f>IFERROR((('Activity data'!AH91*(1/Constants!$H$135))*ttokg)*FSOMEF*NtoN2O*kgtoGg,"NO")</f>
        <v>0.57597220909378744</v>
      </c>
      <c r="P1502" s="22">
        <f>IFERROR((('Activity data'!AI91*(1/Constants!$H$135))*ttokg)*FSOMEF*NtoN2O*kgtoGg,"NO")</f>
        <v>0.57597220909378744</v>
      </c>
      <c r="Q1502" s="22">
        <f>IFERROR((('Activity data'!AJ91*(1/Constants!$H$135))*ttokg)*FSOMEF*NtoN2O*kgtoGg,"NO")</f>
        <v>0.57597220909378744</v>
      </c>
      <c r="R1502" s="22">
        <f>IFERROR((('Activity data'!AK91*(1/Constants!$H$135))*ttokg)*FSOMEF*NtoN2O*kgtoGg,"NO")</f>
        <v>0.57597220909378744</v>
      </c>
      <c r="S1502" s="22">
        <f>IFERROR((('Activity data'!AL91*(1/Constants!$H$135))*ttokg)*FSOMEF*NtoN2O*kgtoGg,"NO")</f>
        <v>0.57597220909378744</v>
      </c>
      <c r="T1502" s="22">
        <f>IFERROR((('Activity data'!AM91*(1/Constants!$H$135))*ttokg)*FSOMEF*NtoN2O*kgtoGg,"NO")</f>
        <v>0.57597220909378744</v>
      </c>
      <c r="U1502" s="22">
        <f>IFERROR((('Activity data'!AN91*(1/Constants!$H$135))*ttokg)*FSOMEF*NtoN2O*kgtoGg,"NO")</f>
        <v>0.57597220909378744</v>
      </c>
      <c r="V1502" s="22">
        <f>IFERROR((('Activity data'!AO91*(1/Constants!$H$135))*ttokg)*FSOMEF*NtoN2O*kgtoGg,"NO")</f>
        <v>0.57597220909378744</v>
      </c>
      <c r="W1502" s="22">
        <f>IFERROR((('Activity data'!AP91*(1/Constants!$H$135))*ttokg)*FSOMEF*NtoN2O*kgtoGg,"NO")</f>
        <v>0.57597220909378744</v>
      </c>
      <c r="X1502" s="22">
        <f>IFERROR((('Activity data'!AQ91*(1/Constants!$H$135))*ttokg)*FSOMEF*NtoN2O*kgtoGg,"NO")</f>
        <v>0.57597220909378744</v>
      </c>
      <c r="Y1502" s="22">
        <f>IFERROR((('Activity data'!AR91*(1/Constants!$H$135))*ttokg)*FSOMEF*NtoN2O*kgtoGg,"NO")</f>
        <v>0.57597220909378744</v>
      </c>
      <c r="Z1502" s="22">
        <f>IFERROR((('Activity data'!AS91*(1/Constants!$H$135))*ttokg)*FSOMEF*NtoN2O*kgtoGg,"NO")</f>
        <v>0.57597220909378744</v>
      </c>
      <c r="AA1502" s="22">
        <f>IFERROR((('Activity data'!AT91*(1/Constants!$H$135))*ttokg)*FSOMEF*NtoN2O*kgtoGg,"NO")</f>
        <v>0.57597220909378744</v>
      </c>
      <c r="AB1502" s="22">
        <f>IFERROR((('Activity data'!AU91*(1/Constants!$H$135))*ttokg)*FSOMEF*NtoN2O*kgtoGg,"NO")</f>
        <v>0.57597220909378744</v>
      </c>
      <c r="AC1502" s="22">
        <f>IFERROR((('Activity data'!AV91*(1/Constants!$H$135))*ttokg)*FSOMEF*NtoN2O*kgtoGg,"NO")</f>
        <v>0.57597220909378744</v>
      </c>
      <c r="AD1502" s="22">
        <f>IFERROR((('Activity data'!AW91*(1/Constants!$H$135))*ttokg)*FSOMEF*NtoN2O*kgtoGg,"NO")</f>
        <v>0.57597220909378744</v>
      </c>
      <c r="AE1502" s="22">
        <f>IFERROR((('Activity data'!AX91*(1/Constants!$H$135))*ttokg)*FSOMEF*NtoN2O*kgtoGg,"NO")</f>
        <v>0.57597220909378744</v>
      </c>
      <c r="AF1502" s="22">
        <f>IFERROR((('Activity data'!AY91*(1/Constants!$H$135))*ttokg)*FSOMEF*NtoN2O*kgtoGg,"NO")</f>
        <v>0.57597220909378744</v>
      </c>
      <c r="AG1502" s="22">
        <f>IFERROR((('Activity data'!AZ91*(1/Constants!$H$135))*ttokg)*FSOMEF*NtoN2O*kgtoGg,"NO")</f>
        <v>0.57597220909378744</v>
      </c>
      <c r="AH1502" s="22">
        <f>IFERROR((('Activity data'!BA91*(1/Constants!$H$135))*ttokg)*FSOMEF*NtoN2O*kgtoGg,"NO")</f>
        <v>0.57597220909378744</v>
      </c>
      <c r="AI1502" s="22">
        <f>IFERROR((('Activity data'!BB91*(1/Constants!$H$135))*ttokg)*FSOMEF*NtoN2O*kgtoGg,"NO")</f>
        <v>0.57597220909378744</v>
      </c>
      <c r="AJ1502" s="22">
        <f>IFERROR((('Activity data'!BC91*(1/Constants!$H$135))*ttokg)*FSOMEF*NtoN2O*kgtoGg,"NO")</f>
        <v>0.57597220909378744</v>
      </c>
      <c r="AK1502" s="22">
        <f>IFERROR((('Activity data'!BD91*(1/Constants!$H$135))*ttokg)*FSOMEF*NtoN2O*kgtoGg,"NO")</f>
        <v>0.57597220909378744</v>
      </c>
      <c r="AL1502" s="22">
        <f>IFERROR((('Activity data'!BE91*(1/Constants!$H$135))*ttokg)*FSOMEF*NtoN2O*kgtoGg,"NO")</f>
        <v>0.57597220909378744</v>
      </c>
      <c r="AM1502" s="22">
        <f>IFERROR((('Activity data'!BF91*(1/Constants!$H$135))*ttokg)*FSOMEF*NtoN2O*kgtoGg,"NO")</f>
        <v>0.57597220909378744</v>
      </c>
      <c r="AN1502" s="22">
        <f>IFERROR((('Activity data'!BG91*(1/Constants!$H$135))*ttokg)*FSOMEF*NtoN2O*kgtoGg,"NO")</f>
        <v>0.57597220909378744</v>
      </c>
      <c r="AO1502" s="22">
        <f>IFERROR((('Activity data'!BH91*(1/Constants!$H$135))*ttokg)*FSOMEF*NtoN2O*kgtoGg,"NO")</f>
        <v>0.57597220909378744</v>
      </c>
      <c r="AP1502" s="22">
        <f>IFERROR((('Activity data'!BI91*(1/Constants!$H$135))*ttokg)*FSOMEF*NtoN2O*kgtoGg,"NO")</f>
        <v>0.57597220909378744</v>
      </c>
      <c r="AQ1502" s="22">
        <f>IFERROR((('Activity data'!BJ91*(1/Constants!$H$135))*ttokg)*FSOMEF*NtoN2O*kgtoGg,"NO")</f>
        <v>0.57597220909378744</v>
      </c>
      <c r="AR1502" s="22">
        <f>IFERROR((('Activity data'!BK91*(1/Constants!$H$135))*ttokg)*FSOMEF*NtoN2O*kgtoGg,"NO")</f>
        <v>0.57597220909378744</v>
      </c>
      <c r="AS1502" s="22">
        <f>IFERROR((('Activity data'!BL91*(1/Constants!$H$135))*ttokg)*FSOMEF*NtoN2O*kgtoGg,"NO")</f>
        <v>0.57597220909378744</v>
      </c>
      <c r="AT1502" s="22">
        <f>IFERROR((('Activity data'!BM91*(1/Constants!$H$135))*ttokg)*FSOMEF*NtoN2O*kgtoGg,"NO")</f>
        <v>0.57597220909378744</v>
      </c>
      <c r="AU1502" s="22">
        <f>IFERROR((('Activity data'!BN91*(1/Constants!$H$135))*ttokg)*FSOMEF*NtoN2O*kgtoGg,"NO")</f>
        <v>0.57597220909378744</v>
      </c>
      <c r="AV1502" s="22">
        <f>IFERROR((('Activity data'!BO91*(1/Constants!$H$135))*ttokg)*FSOMEF*NtoN2O*kgtoGg,"NO")</f>
        <v>0.57597220909378744</v>
      </c>
      <c r="AW1502" s="22">
        <f>IFERROR((('Activity data'!BP91*(1/Constants!$H$135))*ttokg)*FSOMEF*NtoN2O*kgtoGg,"NO")</f>
        <v>0.57597220909378744</v>
      </c>
    </row>
    <row r="1503" spans="1:49" x14ac:dyDescent="0.25">
      <c r="A1503" s="102" t="s">
        <v>961</v>
      </c>
      <c r="B1503" s="102"/>
      <c r="C1503" s="102"/>
      <c r="D1503" t="str">
        <f t="shared" si="569"/>
        <v>3C Aggregated and non-CO2 emissions on land</v>
      </c>
      <c r="E1503" t="str">
        <f t="shared" si="568"/>
        <v>3C4 Direct N2O from managed soils (N2O)</v>
      </c>
      <c r="F1503" t="s">
        <v>60</v>
      </c>
      <c r="G1503" t="str">
        <f>" - "&amp;'Activity data'!D92</f>
        <v xml:space="preserve"> - Land converted to grassland</v>
      </c>
      <c r="H1503" t="str">
        <f t="shared" si="563"/>
        <v>FSOM - Land converted to grassland</v>
      </c>
      <c r="J1503" t="str">
        <f t="shared" si="570"/>
        <v>Gg N2O</v>
      </c>
      <c r="K1503" s="22" t="str">
        <f>IFERROR((('Activity data'!AD92*(1/Constants!$H$135))*ttokg)*FSOMEF*NtoN2O*kgtoGg,"NO")</f>
        <v>NO</v>
      </c>
      <c r="L1503" s="22" t="str">
        <f>IFERROR((('Activity data'!AE92*(1/Constants!$H$135))*ttokg)*FSOMEF*NtoN2O*kgtoGg,"NO")</f>
        <v>NO</v>
      </c>
      <c r="M1503" s="22" t="str">
        <f>IFERROR((('Activity data'!AF92*(1/Constants!$H$135))*ttokg)*FSOMEF*NtoN2O*kgtoGg,"NO")</f>
        <v>NO</v>
      </c>
      <c r="N1503" s="22" t="str">
        <f>IFERROR((('Activity data'!AG92*(1/Constants!$H$135))*ttokg)*FSOMEF*NtoN2O*kgtoGg,"NO")</f>
        <v>NO</v>
      </c>
      <c r="O1503" s="22" t="str">
        <f>IFERROR((('Activity data'!AH92*(1/Constants!$H$135))*ttokg)*FSOMEF*NtoN2O*kgtoGg,"NO")</f>
        <v>NO</v>
      </c>
      <c r="P1503" s="22" t="str">
        <f>IFERROR((('Activity data'!AI92*(1/Constants!$H$135))*ttokg)*FSOMEF*NtoN2O*kgtoGg,"NO")</f>
        <v>NO</v>
      </c>
      <c r="Q1503" s="22" t="str">
        <f>IFERROR((('Activity data'!AJ92*(1/Constants!$H$135))*ttokg)*FSOMEF*NtoN2O*kgtoGg,"NO")</f>
        <v>NO</v>
      </c>
      <c r="R1503" s="22" t="str">
        <f>IFERROR((('Activity data'!AK92*(1/Constants!$H$135))*ttokg)*FSOMEF*NtoN2O*kgtoGg,"NO")</f>
        <v>NO</v>
      </c>
      <c r="S1503" s="22" t="str">
        <f>IFERROR((('Activity data'!AL92*(1/Constants!$H$135))*ttokg)*FSOMEF*NtoN2O*kgtoGg,"NO")</f>
        <v>NO</v>
      </c>
      <c r="T1503" s="22" t="str">
        <f>IFERROR((('Activity data'!AM92*(1/Constants!$H$135))*ttokg)*FSOMEF*NtoN2O*kgtoGg,"NO")</f>
        <v>NO</v>
      </c>
      <c r="U1503" s="22" t="str">
        <f>IFERROR((('Activity data'!AN92*(1/Constants!$H$135))*ttokg)*FSOMEF*NtoN2O*kgtoGg,"NO")</f>
        <v>NO</v>
      </c>
      <c r="V1503" s="22" t="str">
        <f>IFERROR((('Activity data'!AO92*(1/Constants!$H$135))*ttokg)*FSOMEF*NtoN2O*kgtoGg,"NO")</f>
        <v>NO</v>
      </c>
      <c r="W1503" s="22" t="str">
        <f>IFERROR((('Activity data'!AP92*(1/Constants!$H$135))*ttokg)*FSOMEF*NtoN2O*kgtoGg,"NO")</f>
        <v>NO</v>
      </c>
      <c r="X1503" s="22" t="str">
        <f>IFERROR((('Activity data'!AQ92*(1/Constants!$H$135))*ttokg)*FSOMEF*NtoN2O*kgtoGg,"NO")</f>
        <v>NO</v>
      </c>
      <c r="Y1503" s="22" t="str">
        <f>IFERROR((('Activity data'!AR92*(1/Constants!$H$135))*ttokg)*FSOMEF*NtoN2O*kgtoGg,"NO")</f>
        <v>NO</v>
      </c>
      <c r="Z1503" s="22" t="str">
        <f>IFERROR((('Activity data'!AS92*(1/Constants!$H$135))*ttokg)*FSOMEF*NtoN2O*kgtoGg,"NO")</f>
        <v>NO</v>
      </c>
      <c r="AA1503" s="22" t="str">
        <f>IFERROR((('Activity data'!AT92*(1/Constants!$H$135))*ttokg)*FSOMEF*NtoN2O*kgtoGg,"NO")</f>
        <v>NO</v>
      </c>
      <c r="AB1503" s="22" t="str">
        <f>IFERROR((('Activity data'!AU92*(1/Constants!$H$135))*ttokg)*FSOMEF*NtoN2O*kgtoGg,"NO")</f>
        <v>NO</v>
      </c>
      <c r="AC1503" s="22" t="str">
        <f>IFERROR((('Activity data'!AV92*(1/Constants!$H$135))*ttokg)*FSOMEF*NtoN2O*kgtoGg,"NO")</f>
        <v>NO</v>
      </c>
      <c r="AD1503" s="22" t="str">
        <f>IFERROR((('Activity data'!AW92*(1/Constants!$H$135))*ttokg)*FSOMEF*NtoN2O*kgtoGg,"NO")</f>
        <v>NO</v>
      </c>
      <c r="AE1503" s="22" t="str">
        <f>IFERROR((('Activity data'!AX92*(1/Constants!$H$135))*ttokg)*FSOMEF*NtoN2O*kgtoGg,"NO")</f>
        <v>NO</v>
      </c>
      <c r="AF1503" s="22" t="str">
        <f>IFERROR((('Activity data'!AY92*(1/Constants!$H$135))*ttokg)*FSOMEF*NtoN2O*kgtoGg,"NO")</f>
        <v>NO</v>
      </c>
      <c r="AG1503" s="22" t="str">
        <f>IFERROR((('Activity data'!AZ92*(1/Constants!$H$135))*ttokg)*FSOMEF*NtoN2O*kgtoGg,"NO")</f>
        <v>NO</v>
      </c>
      <c r="AH1503" s="22" t="str">
        <f>IFERROR((('Activity data'!BA92*(1/Constants!$H$135))*ttokg)*FSOMEF*NtoN2O*kgtoGg,"NO")</f>
        <v>NO</v>
      </c>
      <c r="AI1503" s="22" t="str">
        <f>IFERROR((('Activity data'!BB92*(1/Constants!$H$135))*ttokg)*FSOMEF*NtoN2O*kgtoGg,"NO")</f>
        <v>NO</v>
      </c>
      <c r="AJ1503" s="22" t="str">
        <f>IFERROR((('Activity data'!BC92*(1/Constants!$H$135))*ttokg)*FSOMEF*NtoN2O*kgtoGg,"NO")</f>
        <v>NO</v>
      </c>
      <c r="AK1503" s="22" t="str">
        <f>IFERROR((('Activity data'!BD92*(1/Constants!$H$135))*ttokg)*FSOMEF*NtoN2O*kgtoGg,"NO")</f>
        <v>NO</v>
      </c>
      <c r="AL1503" s="22" t="str">
        <f>IFERROR((('Activity data'!BE92*(1/Constants!$H$135))*ttokg)*FSOMEF*NtoN2O*kgtoGg,"NO")</f>
        <v>NO</v>
      </c>
      <c r="AM1503" s="22" t="str">
        <f>IFERROR((('Activity data'!BF92*(1/Constants!$H$135))*ttokg)*FSOMEF*NtoN2O*kgtoGg,"NO")</f>
        <v>NO</v>
      </c>
      <c r="AN1503" s="22" t="str">
        <f>IFERROR((('Activity data'!BG92*(1/Constants!$H$135))*ttokg)*FSOMEF*NtoN2O*kgtoGg,"NO")</f>
        <v>NO</v>
      </c>
      <c r="AO1503" s="22" t="str">
        <f>IFERROR((('Activity data'!BH92*(1/Constants!$H$135))*ttokg)*FSOMEF*NtoN2O*kgtoGg,"NO")</f>
        <v>NO</v>
      </c>
      <c r="AP1503" s="22" t="str">
        <f>IFERROR((('Activity data'!BI92*(1/Constants!$H$135))*ttokg)*FSOMEF*NtoN2O*kgtoGg,"NO")</f>
        <v>NO</v>
      </c>
      <c r="AQ1503" s="22" t="str">
        <f>IFERROR((('Activity data'!BJ92*(1/Constants!$H$135))*ttokg)*FSOMEF*NtoN2O*kgtoGg,"NO")</f>
        <v>NO</v>
      </c>
      <c r="AR1503" s="22" t="str">
        <f>IFERROR((('Activity data'!BK92*(1/Constants!$H$135))*ttokg)*FSOMEF*NtoN2O*kgtoGg,"NO")</f>
        <v>NO</v>
      </c>
      <c r="AS1503" s="22" t="str">
        <f>IFERROR((('Activity data'!BL92*(1/Constants!$H$135))*ttokg)*FSOMEF*NtoN2O*kgtoGg,"NO")</f>
        <v>NO</v>
      </c>
      <c r="AT1503" s="22" t="str">
        <f>IFERROR((('Activity data'!BM92*(1/Constants!$H$135))*ttokg)*FSOMEF*NtoN2O*kgtoGg,"NO")</f>
        <v>NO</v>
      </c>
      <c r="AU1503" s="22" t="str">
        <f>IFERROR((('Activity data'!BN92*(1/Constants!$H$135))*ttokg)*FSOMEF*NtoN2O*kgtoGg,"NO")</f>
        <v>NO</v>
      </c>
      <c r="AV1503" s="22" t="str">
        <f>IFERROR((('Activity data'!BO92*(1/Constants!$H$135))*ttokg)*FSOMEF*NtoN2O*kgtoGg,"NO")</f>
        <v>NO</v>
      </c>
      <c r="AW1503" s="22" t="str">
        <f>IFERROR((('Activity data'!BP92*(1/Constants!$H$135))*ttokg)*FSOMEF*NtoN2O*kgtoGg,"NO")</f>
        <v>NO</v>
      </c>
    </row>
    <row r="1504" spans="1:49" x14ac:dyDescent="0.25">
      <c r="A1504" s="102" t="s">
        <v>961</v>
      </c>
      <c r="B1504" s="102"/>
      <c r="C1504" s="102"/>
      <c r="D1504" t="str">
        <f t="shared" si="569"/>
        <v>3C Aggregated and non-CO2 emissions on land</v>
      </c>
      <c r="E1504" t="str">
        <f t="shared" si="568"/>
        <v>3C4 Direct N2O from managed soils (N2O)</v>
      </c>
      <c r="F1504" t="s">
        <v>60</v>
      </c>
      <c r="G1504" t="str">
        <f>" - "&amp;'Activity data'!D93</f>
        <v xml:space="preserve"> - Wetland remaining wetland</v>
      </c>
      <c r="H1504" t="str">
        <f t="shared" si="563"/>
        <v>FSOM - Wetland remaining wetland</v>
      </c>
      <c r="J1504" t="str">
        <f t="shared" si="570"/>
        <v>Gg N2O</v>
      </c>
      <c r="K1504" s="22" t="str">
        <f>IFERROR((('Activity data'!AD93*(1/Constants!$H$135))*ttokg)*FSOMEF*NtoN2O*kgtoGg,"NO")</f>
        <v>NO</v>
      </c>
      <c r="L1504" s="22" t="str">
        <f>IFERROR((('Activity data'!AE93*(1/Constants!$H$135))*ttokg)*FSOMEF*NtoN2O*kgtoGg,"NO")</f>
        <v>NO</v>
      </c>
      <c r="M1504" s="22" t="str">
        <f>IFERROR((('Activity data'!AF93*(1/Constants!$H$135))*ttokg)*FSOMEF*NtoN2O*kgtoGg,"NO")</f>
        <v>NO</v>
      </c>
      <c r="N1504" s="22" t="str">
        <f>IFERROR((('Activity data'!AG93*(1/Constants!$H$135))*ttokg)*FSOMEF*NtoN2O*kgtoGg,"NO")</f>
        <v>NO</v>
      </c>
      <c r="O1504" s="22" t="str">
        <f>IFERROR((('Activity data'!AH93*(1/Constants!$H$135))*ttokg)*FSOMEF*NtoN2O*kgtoGg,"NO")</f>
        <v>NO</v>
      </c>
      <c r="P1504" s="22" t="str">
        <f>IFERROR((('Activity data'!AI93*(1/Constants!$H$135))*ttokg)*FSOMEF*NtoN2O*kgtoGg,"NO")</f>
        <v>NO</v>
      </c>
      <c r="Q1504" s="22" t="str">
        <f>IFERROR((('Activity data'!AJ93*(1/Constants!$H$135))*ttokg)*FSOMEF*NtoN2O*kgtoGg,"NO")</f>
        <v>NO</v>
      </c>
      <c r="R1504" s="22" t="str">
        <f>IFERROR((('Activity data'!AK93*(1/Constants!$H$135))*ttokg)*FSOMEF*NtoN2O*kgtoGg,"NO")</f>
        <v>NO</v>
      </c>
      <c r="S1504" s="22" t="str">
        <f>IFERROR((('Activity data'!AL93*(1/Constants!$H$135))*ttokg)*FSOMEF*NtoN2O*kgtoGg,"NO")</f>
        <v>NO</v>
      </c>
      <c r="T1504" s="22" t="str">
        <f>IFERROR((('Activity data'!AM93*(1/Constants!$H$135))*ttokg)*FSOMEF*NtoN2O*kgtoGg,"NO")</f>
        <v>NO</v>
      </c>
      <c r="U1504" s="22" t="str">
        <f>IFERROR((('Activity data'!AN93*(1/Constants!$H$135))*ttokg)*FSOMEF*NtoN2O*kgtoGg,"NO")</f>
        <v>NO</v>
      </c>
      <c r="V1504" s="22" t="str">
        <f>IFERROR((('Activity data'!AO93*(1/Constants!$H$135))*ttokg)*FSOMEF*NtoN2O*kgtoGg,"NO")</f>
        <v>NO</v>
      </c>
      <c r="W1504" s="22" t="str">
        <f>IFERROR((('Activity data'!AP93*(1/Constants!$H$135))*ttokg)*FSOMEF*NtoN2O*kgtoGg,"NO")</f>
        <v>NO</v>
      </c>
      <c r="X1504" s="22" t="str">
        <f>IFERROR((('Activity data'!AQ93*(1/Constants!$H$135))*ttokg)*FSOMEF*NtoN2O*kgtoGg,"NO")</f>
        <v>NO</v>
      </c>
      <c r="Y1504" s="22" t="str">
        <f>IFERROR((('Activity data'!AR93*(1/Constants!$H$135))*ttokg)*FSOMEF*NtoN2O*kgtoGg,"NO")</f>
        <v>NO</v>
      </c>
      <c r="Z1504" s="22" t="str">
        <f>IFERROR((('Activity data'!AS93*(1/Constants!$H$135))*ttokg)*FSOMEF*NtoN2O*kgtoGg,"NO")</f>
        <v>NO</v>
      </c>
      <c r="AA1504" s="22" t="str">
        <f>IFERROR((('Activity data'!AT93*(1/Constants!$H$135))*ttokg)*FSOMEF*NtoN2O*kgtoGg,"NO")</f>
        <v>NO</v>
      </c>
      <c r="AB1504" s="22" t="str">
        <f>IFERROR((('Activity data'!AU93*(1/Constants!$H$135))*ttokg)*FSOMEF*NtoN2O*kgtoGg,"NO")</f>
        <v>NO</v>
      </c>
      <c r="AC1504" s="22" t="str">
        <f>IFERROR((('Activity data'!AV93*(1/Constants!$H$135))*ttokg)*FSOMEF*NtoN2O*kgtoGg,"NO")</f>
        <v>NO</v>
      </c>
      <c r="AD1504" s="22" t="str">
        <f>IFERROR((('Activity data'!AW93*(1/Constants!$H$135))*ttokg)*FSOMEF*NtoN2O*kgtoGg,"NO")</f>
        <v>NO</v>
      </c>
      <c r="AE1504" s="22" t="str">
        <f>IFERROR((('Activity data'!AX93*(1/Constants!$H$135))*ttokg)*FSOMEF*NtoN2O*kgtoGg,"NO")</f>
        <v>NO</v>
      </c>
      <c r="AF1504" s="22" t="str">
        <f>IFERROR((('Activity data'!AY93*(1/Constants!$H$135))*ttokg)*FSOMEF*NtoN2O*kgtoGg,"NO")</f>
        <v>NO</v>
      </c>
      <c r="AG1504" s="22" t="str">
        <f>IFERROR((('Activity data'!AZ93*(1/Constants!$H$135))*ttokg)*FSOMEF*NtoN2O*kgtoGg,"NO")</f>
        <v>NO</v>
      </c>
      <c r="AH1504" s="22" t="str">
        <f>IFERROR((('Activity data'!BA93*(1/Constants!$H$135))*ttokg)*FSOMEF*NtoN2O*kgtoGg,"NO")</f>
        <v>NO</v>
      </c>
      <c r="AI1504" s="22" t="str">
        <f>IFERROR((('Activity data'!BB93*(1/Constants!$H$135))*ttokg)*FSOMEF*NtoN2O*kgtoGg,"NO")</f>
        <v>NO</v>
      </c>
      <c r="AJ1504" s="22" t="str">
        <f>IFERROR((('Activity data'!BC93*(1/Constants!$H$135))*ttokg)*FSOMEF*NtoN2O*kgtoGg,"NO")</f>
        <v>NO</v>
      </c>
      <c r="AK1504" s="22" t="str">
        <f>IFERROR((('Activity data'!BD93*(1/Constants!$H$135))*ttokg)*FSOMEF*NtoN2O*kgtoGg,"NO")</f>
        <v>NO</v>
      </c>
      <c r="AL1504" s="22" t="str">
        <f>IFERROR((('Activity data'!BE93*(1/Constants!$H$135))*ttokg)*FSOMEF*NtoN2O*kgtoGg,"NO")</f>
        <v>NO</v>
      </c>
      <c r="AM1504" s="22" t="str">
        <f>IFERROR((('Activity data'!BF93*(1/Constants!$H$135))*ttokg)*FSOMEF*NtoN2O*kgtoGg,"NO")</f>
        <v>NO</v>
      </c>
      <c r="AN1504" s="22" t="str">
        <f>IFERROR((('Activity data'!BG93*(1/Constants!$H$135))*ttokg)*FSOMEF*NtoN2O*kgtoGg,"NO")</f>
        <v>NO</v>
      </c>
      <c r="AO1504" s="22" t="str">
        <f>IFERROR((('Activity data'!BH93*(1/Constants!$H$135))*ttokg)*FSOMEF*NtoN2O*kgtoGg,"NO")</f>
        <v>NO</v>
      </c>
      <c r="AP1504" s="22" t="str">
        <f>IFERROR((('Activity data'!BI93*(1/Constants!$H$135))*ttokg)*FSOMEF*NtoN2O*kgtoGg,"NO")</f>
        <v>NO</v>
      </c>
      <c r="AQ1504" s="22" t="str">
        <f>IFERROR((('Activity data'!BJ93*(1/Constants!$H$135))*ttokg)*FSOMEF*NtoN2O*kgtoGg,"NO")</f>
        <v>NO</v>
      </c>
      <c r="AR1504" s="22" t="str">
        <f>IFERROR((('Activity data'!BK93*(1/Constants!$H$135))*ttokg)*FSOMEF*NtoN2O*kgtoGg,"NO")</f>
        <v>NO</v>
      </c>
      <c r="AS1504" s="22" t="str">
        <f>IFERROR((('Activity data'!BL93*(1/Constants!$H$135))*ttokg)*FSOMEF*NtoN2O*kgtoGg,"NO")</f>
        <v>NO</v>
      </c>
      <c r="AT1504" s="22" t="str">
        <f>IFERROR((('Activity data'!BM93*(1/Constants!$H$135))*ttokg)*FSOMEF*NtoN2O*kgtoGg,"NO")</f>
        <v>NO</v>
      </c>
      <c r="AU1504" s="22" t="str">
        <f>IFERROR((('Activity data'!BN93*(1/Constants!$H$135))*ttokg)*FSOMEF*NtoN2O*kgtoGg,"NO")</f>
        <v>NO</v>
      </c>
      <c r="AV1504" s="22" t="str">
        <f>IFERROR((('Activity data'!BO93*(1/Constants!$H$135))*ttokg)*FSOMEF*NtoN2O*kgtoGg,"NO")</f>
        <v>NO</v>
      </c>
      <c r="AW1504" s="22" t="str">
        <f>IFERROR((('Activity data'!BP93*(1/Constants!$H$135))*ttokg)*FSOMEF*NtoN2O*kgtoGg,"NO")</f>
        <v>NO</v>
      </c>
    </row>
    <row r="1505" spans="1:49" x14ac:dyDescent="0.25">
      <c r="A1505" s="102" t="s">
        <v>961</v>
      </c>
      <c r="B1505" s="102"/>
      <c r="C1505" s="102"/>
      <c r="D1505" t="str">
        <f t="shared" si="569"/>
        <v>3C Aggregated and non-CO2 emissions on land</v>
      </c>
      <c r="E1505" t="str">
        <f t="shared" si="568"/>
        <v>3C4 Direct N2O from managed soils (N2O)</v>
      </c>
      <c r="F1505" t="s">
        <v>60</v>
      </c>
      <c r="G1505" t="str">
        <f>" - "&amp;'Activity data'!D94</f>
        <v xml:space="preserve"> - Land converted to wetland</v>
      </c>
      <c r="H1505" t="str">
        <f t="shared" si="563"/>
        <v>FSOM - Land converted to wetland</v>
      </c>
      <c r="J1505" t="str">
        <f t="shared" si="570"/>
        <v>Gg N2O</v>
      </c>
      <c r="K1505" s="22" t="str">
        <f>IFERROR((('Activity data'!AD94*(1/Constants!$H$135))*ttokg)*FSOMEF*NtoN2O*kgtoGg,"NO")</f>
        <v>NO</v>
      </c>
      <c r="L1505" s="22" t="str">
        <f>IFERROR((('Activity data'!AE94*(1/Constants!$H$135))*ttokg)*FSOMEF*NtoN2O*kgtoGg,"NO")</f>
        <v>NO</v>
      </c>
      <c r="M1505" s="22" t="str">
        <f>IFERROR((('Activity data'!AF94*(1/Constants!$H$135))*ttokg)*FSOMEF*NtoN2O*kgtoGg,"NO")</f>
        <v>NO</v>
      </c>
      <c r="N1505" s="22" t="str">
        <f>IFERROR((('Activity data'!AG94*(1/Constants!$H$135))*ttokg)*FSOMEF*NtoN2O*kgtoGg,"NO")</f>
        <v>NO</v>
      </c>
      <c r="O1505" s="22" t="str">
        <f>IFERROR((('Activity data'!AH94*(1/Constants!$H$135))*ttokg)*FSOMEF*NtoN2O*kgtoGg,"NO")</f>
        <v>NO</v>
      </c>
      <c r="P1505" s="22" t="str">
        <f>IFERROR((('Activity data'!AI94*(1/Constants!$H$135))*ttokg)*FSOMEF*NtoN2O*kgtoGg,"NO")</f>
        <v>NO</v>
      </c>
      <c r="Q1505" s="22" t="str">
        <f>IFERROR((('Activity data'!AJ94*(1/Constants!$H$135))*ttokg)*FSOMEF*NtoN2O*kgtoGg,"NO")</f>
        <v>NO</v>
      </c>
      <c r="R1505" s="22" t="str">
        <f>IFERROR((('Activity data'!AK94*(1/Constants!$H$135))*ttokg)*FSOMEF*NtoN2O*kgtoGg,"NO")</f>
        <v>NO</v>
      </c>
      <c r="S1505" s="22" t="str">
        <f>IFERROR((('Activity data'!AL94*(1/Constants!$H$135))*ttokg)*FSOMEF*NtoN2O*kgtoGg,"NO")</f>
        <v>NO</v>
      </c>
      <c r="T1505" s="22" t="str">
        <f>IFERROR((('Activity data'!AM94*(1/Constants!$H$135))*ttokg)*FSOMEF*NtoN2O*kgtoGg,"NO")</f>
        <v>NO</v>
      </c>
      <c r="U1505" s="22" t="str">
        <f>IFERROR((('Activity data'!AN94*(1/Constants!$H$135))*ttokg)*FSOMEF*NtoN2O*kgtoGg,"NO")</f>
        <v>NO</v>
      </c>
      <c r="V1505" s="22" t="str">
        <f>IFERROR((('Activity data'!AO94*(1/Constants!$H$135))*ttokg)*FSOMEF*NtoN2O*kgtoGg,"NO")</f>
        <v>NO</v>
      </c>
      <c r="W1505" s="22" t="str">
        <f>IFERROR((('Activity data'!AP94*(1/Constants!$H$135))*ttokg)*FSOMEF*NtoN2O*kgtoGg,"NO")</f>
        <v>NO</v>
      </c>
      <c r="X1505" s="22" t="str">
        <f>IFERROR((('Activity data'!AQ94*(1/Constants!$H$135))*ttokg)*FSOMEF*NtoN2O*kgtoGg,"NO")</f>
        <v>NO</v>
      </c>
      <c r="Y1505" s="22" t="str">
        <f>IFERROR((('Activity data'!AR94*(1/Constants!$H$135))*ttokg)*FSOMEF*NtoN2O*kgtoGg,"NO")</f>
        <v>NO</v>
      </c>
      <c r="Z1505" s="22" t="str">
        <f>IFERROR((('Activity data'!AS94*(1/Constants!$H$135))*ttokg)*FSOMEF*NtoN2O*kgtoGg,"NO")</f>
        <v>NO</v>
      </c>
      <c r="AA1505" s="22" t="str">
        <f>IFERROR((('Activity data'!AT94*(1/Constants!$H$135))*ttokg)*FSOMEF*NtoN2O*kgtoGg,"NO")</f>
        <v>NO</v>
      </c>
      <c r="AB1505" s="22" t="str">
        <f>IFERROR((('Activity data'!AU94*(1/Constants!$H$135))*ttokg)*FSOMEF*NtoN2O*kgtoGg,"NO")</f>
        <v>NO</v>
      </c>
      <c r="AC1505" s="22" t="str">
        <f>IFERROR((('Activity data'!AV94*(1/Constants!$H$135))*ttokg)*FSOMEF*NtoN2O*kgtoGg,"NO")</f>
        <v>NO</v>
      </c>
      <c r="AD1505" s="22" t="str">
        <f>IFERROR((('Activity data'!AW94*(1/Constants!$H$135))*ttokg)*FSOMEF*NtoN2O*kgtoGg,"NO")</f>
        <v>NO</v>
      </c>
      <c r="AE1505" s="22" t="str">
        <f>IFERROR((('Activity data'!AX94*(1/Constants!$H$135))*ttokg)*FSOMEF*NtoN2O*kgtoGg,"NO")</f>
        <v>NO</v>
      </c>
      <c r="AF1505" s="22" t="str">
        <f>IFERROR((('Activity data'!AY94*(1/Constants!$H$135))*ttokg)*FSOMEF*NtoN2O*kgtoGg,"NO")</f>
        <v>NO</v>
      </c>
      <c r="AG1505" s="22" t="str">
        <f>IFERROR((('Activity data'!AZ94*(1/Constants!$H$135))*ttokg)*FSOMEF*NtoN2O*kgtoGg,"NO")</f>
        <v>NO</v>
      </c>
      <c r="AH1505" s="22" t="str">
        <f>IFERROR((('Activity data'!BA94*(1/Constants!$H$135))*ttokg)*FSOMEF*NtoN2O*kgtoGg,"NO")</f>
        <v>NO</v>
      </c>
      <c r="AI1505" s="22" t="str">
        <f>IFERROR((('Activity data'!BB94*(1/Constants!$H$135))*ttokg)*FSOMEF*NtoN2O*kgtoGg,"NO")</f>
        <v>NO</v>
      </c>
      <c r="AJ1505" s="22" t="str">
        <f>IFERROR((('Activity data'!BC94*(1/Constants!$H$135))*ttokg)*FSOMEF*NtoN2O*kgtoGg,"NO")</f>
        <v>NO</v>
      </c>
      <c r="AK1505" s="22" t="str">
        <f>IFERROR((('Activity data'!BD94*(1/Constants!$H$135))*ttokg)*FSOMEF*NtoN2O*kgtoGg,"NO")</f>
        <v>NO</v>
      </c>
      <c r="AL1505" s="22" t="str">
        <f>IFERROR((('Activity data'!BE94*(1/Constants!$H$135))*ttokg)*FSOMEF*NtoN2O*kgtoGg,"NO")</f>
        <v>NO</v>
      </c>
      <c r="AM1505" s="22" t="str">
        <f>IFERROR((('Activity data'!BF94*(1/Constants!$H$135))*ttokg)*FSOMEF*NtoN2O*kgtoGg,"NO")</f>
        <v>NO</v>
      </c>
      <c r="AN1505" s="22" t="str">
        <f>IFERROR((('Activity data'!BG94*(1/Constants!$H$135))*ttokg)*FSOMEF*NtoN2O*kgtoGg,"NO")</f>
        <v>NO</v>
      </c>
      <c r="AO1505" s="22" t="str">
        <f>IFERROR((('Activity data'!BH94*(1/Constants!$H$135))*ttokg)*FSOMEF*NtoN2O*kgtoGg,"NO")</f>
        <v>NO</v>
      </c>
      <c r="AP1505" s="22" t="str">
        <f>IFERROR((('Activity data'!BI94*(1/Constants!$H$135))*ttokg)*FSOMEF*NtoN2O*kgtoGg,"NO")</f>
        <v>NO</v>
      </c>
      <c r="AQ1505" s="22" t="str">
        <f>IFERROR((('Activity data'!BJ94*(1/Constants!$H$135))*ttokg)*FSOMEF*NtoN2O*kgtoGg,"NO")</f>
        <v>NO</v>
      </c>
      <c r="AR1505" s="22" t="str">
        <f>IFERROR((('Activity data'!BK94*(1/Constants!$H$135))*ttokg)*FSOMEF*NtoN2O*kgtoGg,"NO")</f>
        <v>NO</v>
      </c>
      <c r="AS1505" s="22" t="str">
        <f>IFERROR((('Activity data'!BL94*(1/Constants!$H$135))*ttokg)*FSOMEF*NtoN2O*kgtoGg,"NO")</f>
        <v>NO</v>
      </c>
      <c r="AT1505" s="22" t="str">
        <f>IFERROR((('Activity data'!BM94*(1/Constants!$H$135))*ttokg)*FSOMEF*NtoN2O*kgtoGg,"NO")</f>
        <v>NO</v>
      </c>
      <c r="AU1505" s="22" t="str">
        <f>IFERROR((('Activity data'!BN94*(1/Constants!$H$135))*ttokg)*FSOMEF*NtoN2O*kgtoGg,"NO")</f>
        <v>NO</v>
      </c>
      <c r="AV1505" s="22" t="str">
        <f>IFERROR((('Activity data'!BO94*(1/Constants!$H$135))*ttokg)*FSOMEF*NtoN2O*kgtoGg,"NO")</f>
        <v>NO</v>
      </c>
      <c r="AW1505" s="22" t="str">
        <f>IFERROR((('Activity data'!BP94*(1/Constants!$H$135))*ttokg)*FSOMEF*NtoN2O*kgtoGg,"NO")</f>
        <v>NO</v>
      </c>
    </row>
    <row r="1506" spans="1:49" x14ac:dyDescent="0.25">
      <c r="A1506" s="102" t="s">
        <v>961</v>
      </c>
      <c r="B1506" s="102"/>
      <c r="C1506" s="102"/>
      <c r="D1506" t="str">
        <f t="shared" si="569"/>
        <v>3C Aggregated and non-CO2 emissions on land</v>
      </c>
      <c r="E1506" t="str">
        <f t="shared" si="568"/>
        <v>3C4 Direct N2O from managed soils (N2O)</v>
      </c>
      <c r="F1506" t="s">
        <v>60</v>
      </c>
      <c r="G1506" t="str">
        <f>" - "&amp;'Activity data'!D95</f>
        <v xml:space="preserve"> - Settlements remaining settlements</v>
      </c>
      <c r="H1506" t="str">
        <f t="shared" si="563"/>
        <v>FSOM - Settlements remaining settlements</v>
      </c>
      <c r="J1506" t="str">
        <f t="shared" si="570"/>
        <v>Gg N2O</v>
      </c>
      <c r="K1506" s="22">
        <f>IFERROR((('Activity data'!AD95*(1/Constants!$H$135))*ttokg)*FSOMEF*NtoN2O*kgtoGg,"NO")</f>
        <v>5.604018730639919E-5</v>
      </c>
      <c r="L1506" s="22">
        <f>IFERROR((('Activity data'!AE95*(1/Constants!$H$135))*ttokg)*FSOMEF*NtoN2O*kgtoGg,"NO")</f>
        <v>5.604018730639919E-5</v>
      </c>
      <c r="M1506" s="22">
        <f>IFERROR((('Activity data'!AF95*(1/Constants!$H$135))*ttokg)*FSOMEF*NtoN2O*kgtoGg,"NO")</f>
        <v>5.604018730639919E-5</v>
      </c>
      <c r="N1506" s="22">
        <f>IFERROR((('Activity data'!AG95*(1/Constants!$H$135))*ttokg)*FSOMEF*NtoN2O*kgtoGg,"NO")</f>
        <v>5.604018730639919E-5</v>
      </c>
      <c r="O1506" s="22">
        <f>IFERROR((('Activity data'!AH95*(1/Constants!$H$135))*ttokg)*FSOMEF*NtoN2O*kgtoGg,"NO")</f>
        <v>5.604018730639919E-5</v>
      </c>
      <c r="P1506" s="22">
        <f>IFERROR((('Activity data'!AI95*(1/Constants!$H$135))*ttokg)*FSOMEF*NtoN2O*kgtoGg,"NO")</f>
        <v>5.604018730639919E-5</v>
      </c>
      <c r="Q1506" s="22">
        <f>IFERROR((('Activity data'!AJ95*(1/Constants!$H$135))*ttokg)*FSOMEF*NtoN2O*kgtoGg,"NO")</f>
        <v>5.604018730639919E-5</v>
      </c>
      <c r="R1506" s="22">
        <f>IFERROR((('Activity data'!AK95*(1/Constants!$H$135))*ttokg)*FSOMEF*NtoN2O*kgtoGg,"NO")</f>
        <v>5.604018730639919E-5</v>
      </c>
      <c r="S1506" s="22">
        <f>IFERROR((('Activity data'!AL95*(1/Constants!$H$135))*ttokg)*FSOMEF*NtoN2O*kgtoGg,"NO")</f>
        <v>5.604018730639919E-5</v>
      </c>
      <c r="T1506" s="22">
        <f>IFERROR((('Activity data'!AM95*(1/Constants!$H$135))*ttokg)*FSOMEF*NtoN2O*kgtoGg,"NO")</f>
        <v>5.604018730639919E-5</v>
      </c>
      <c r="U1506" s="22">
        <f>IFERROR((('Activity data'!AN95*(1/Constants!$H$135))*ttokg)*FSOMEF*NtoN2O*kgtoGg,"NO")</f>
        <v>5.604018730639919E-5</v>
      </c>
      <c r="V1506" s="22">
        <f>IFERROR((('Activity data'!AO95*(1/Constants!$H$135))*ttokg)*FSOMEF*NtoN2O*kgtoGg,"NO")</f>
        <v>5.604018730639919E-5</v>
      </c>
      <c r="W1506" s="22">
        <f>IFERROR((('Activity data'!AP95*(1/Constants!$H$135))*ttokg)*FSOMEF*NtoN2O*kgtoGg,"NO")</f>
        <v>5.604018730639919E-5</v>
      </c>
      <c r="X1506" s="22">
        <f>IFERROR((('Activity data'!AQ95*(1/Constants!$H$135))*ttokg)*FSOMEF*NtoN2O*kgtoGg,"NO")</f>
        <v>5.604018730639919E-5</v>
      </c>
      <c r="Y1506" s="22">
        <f>IFERROR((('Activity data'!AR95*(1/Constants!$H$135))*ttokg)*FSOMEF*NtoN2O*kgtoGg,"NO")</f>
        <v>5.604018730639919E-5</v>
      </c>
      <c r="Z1506" s="22">
        <f>IFERROR((('Activity data'!AS95*(1/Constants!$H$135))*ttokg)*FSOMEF*NtoN2O*kgtoGg,"NO")</f>
        <v>5.604018730639919E-5</v>
      </c>
      <c r="AA1506" s="22">
        <f>IFERROR((('Activity data'!AT95*(1/Constants!$H$135))*ttokg)*FSOMEF*NtoN2O*kgtoGg,"NO")</f>
        <v>5.604018730639919E-5</v>
      </c>
      <c r="AB1506" s="22">
        <f>IFERROR((('Activity data'!AU95*(1/Constants!$H$135))*ttokg)*FSOMEF*NtoN2O*kgtoGg,"NO")</f>
        <v>5.604018730639919E-5</v>
      </c>
      <c r="AC1506" s="22">
        <f>IFERROR((('Activity data'!AV95*(1/Constants!$H$135))*ttokg)*FSOMEF*NtoN2O*kgtoGg,"NO")</f>
        <v>5.604018730639919E-5</v>
      </c>
      <c r="AD1506" s="22">
        <f>IFERROR((('Activity data'!AW95*(1/Constants!$H$135))*ttokg)*FSOMEF*NtoN2O*kgtoGg,"NO")</f>
        <v>5.604018730639919E-5</v>
      </c>
      <c r="AE1506" s="22">
        <f>IFERROR((('Activity data'!AX95*(1/Constants!$H$135))*ttokg)*FSOMEF*NtoN2O*kgtoGg,"NO")</f>
        <v>5.604018730639919E-5</v>
      </c>
      <c r="AF1506" s="22">
        <f>IFERROR((('Activity data'!AY95*(1/Constants!$H$135))*ttokg)*FSOMEF*NtoN2O*kgtoGg,"NO")</f>
        <v>5.604018730639919E-5</v>
      </c>
      <c r="AG1506" s="22">
        <f>IFERROR((('Activity data'!AZ95*(1/Constants!$H$135))*ttokg)*FSOMEF*NtoN2O*kgtoGg,"NO")</f>
        <v>5.604018730639919E-5</v>
      </c>
      <c r="AH1506" s="22">
        <f>IFERROR((('Activity data'!BA95*(1/Constants!$H$135))*ttokg)*FSOMEF*NtoN2O*kgtoGg,"NO")</f>
        <v>5.604018730639919E-5</v>
      </c>
      <c r="AI1506" s="22">
        <f>IFERROR((('Activity data'!BB95*(1/Constants!$H$135))*ttokg)*FSOMEF*NtoN2O*kgtoGg,"NO")</f>
        <v>5.604018730639919E-5</v>
      </c>
      <c r="AJ1506" s="22">
        <f>IFERROR((('Activity data'!BC95*(1/Constants!$H$135))*ttokg)*FSOMEF*NtoN2O*kgtoGg,"NO")</f>
        <v>5.604018730639919E-5</v>
      </c>
      <c r="AK1506" s="22">
        <f>IFERROR((('Activity data'!BD95*(1/Constants!$H$135))*ttokg)*FSOMEF*NtoN2O*kgtoGg,"NO")</f>
        <v>5.604018730639919E-5</v>
      </c>
      <c r="AL1506" s="22">
        <f>IFERROR((('Activity data'!BE95*(1/Constants!$H$135))*ttokg)*FSOMEF*NtoN2O*kgtoGg,"NO")</f>
        <v>5.604018730639919E-5</v>
      </c>
      <c r="AM1506" s="22">
        <f>IFERROR((('Activity data'!BF95*(1/Constants!$H$135))*ttokg)*FSOMEF*NtoN2O*kgtoGg,"NO")</f>
        <v>5.604018730639919E-5</v>
      </c>
      <c r="AN1506" s="22">
        <f>IFERROR((('Activity data'!BG95*(1/Constants!$H$135))*ttokg)*FSOMEF*NtoN2O*kgtoGg,"NO")</f>
        <v>5.604018730639919E-5</v>
      </c>
      <c r="AO1506" s="22">
        <f>IFERROR((('Activity data'!BH95*(1/Constants!$H$135))*ttokg)*FSOMEF*NtoN2O*kgtoGg,"NO")</f>
        <v>5.604018730639919E-5</v>
      </c>
      <c r="AP1506" s="22">
        <f>IFERROR((('Activity data'!BI95*(1/Constants!$H$135))*ttokg)*FSOMEF*NtoN2O*kgtoGg,"NO")</f>
        <v>5.604018730639919E-5</v>
      </c>
      <c r="AQ1506" s="22">
        <f>IFERROR((('Activity data'!BJ95*(1/Constants!$H$135))*ttokg)*FSOMEF*NtoN2O*kgtoGg,"NO")</f>
        <v>5.604018730639919E-5</v>
      </c>
      <c r="AR1506" s="22">
        <f>IFERROR((('Activity data'!BK95*(1/Constants!$H$135))*ttokg)*FSOMEF*NtoN2O*kgtoGg,"NO")</f>
        <v>5.604018730639919E-5</v>
      </c>
      <c r="AS1506" s="22">
        <f>IFERROR((('Activity data'!BL95*(1/Constants!$H$135))*ttokg)*FSOMEF*NtoN2O*kgtoGg,"NO")</f>
        <v>5.604018730639919E-5</v>
      </c>
      <c r="AT1506" s="22">
        <f>IFERROR((('Activity data'!BM95*(1/Constants!$H$135))*ttokg)*FSOMEF*NtoN2O*kgtoGg,"NO")</f>
        <v>5.604018730639919E-5</v>
      </c>
      <c r="AU1506" s="22">
        <f>IFERROR((('Activity data'!BN95*(1/Constants!$H$135))*ttokg)*FSOMEF*NtoN2O*kgtoGg,"NO")</f>
        <v>5.604018730639919E-5</v>
      </c>
      <c r="AV1506" s="22">
        <f>IFERROR((('Activity data'!BO95*(1/Constants!$H$135))*ttokg)*FSOMEF*NtoN2O*kgtoGg,"NO")</f>
        <v>5.604018730639919E-5</v>
      </c>
      <c r="AW1506" s="22">
        <f>IFERROR((('Activity data'!BP95*(1/Constants!$H$135))*ttokg)*FSOMEF*NtoN2O*kgtoGg,"NO")</f>
        <v>5.604018730639919E-5</v>
      </c>
    </row>
    <row r="1507" spans="1:49" x14ac:dyDescent="0.25">
      <c r="A1507" s="102" t="s">
        <v>961</v>
      </c>
      <c r="B1507" s="102"/>
      <c r="C1507" s="102"/>
      <c r="D1507" t="str">
        <f t="shared" si="569"/>
        <v>3C Aggregated and non-CO2 emissions on land</v>
      </c>
      <c r="E1507" t="str">
        <f t="shared" si="568"/>
        <v>3C4 Direct N2O from managed soils (N2O)</v>
      </c>
      <c r="F1507" t="s">
        <v>60</v>
      </c>
      <c r="G1507" t="str">
        <f>" - "&amp;'Activity data'!D96</f>
        <v xml:space="preserve"> - Land converted to settlements</v>
      </c>
      <c r="H1507" t="str">
        <f t="shared" si="563"/>
        <v>FSOM - Land converted to settlements</v>
      </c>
      <c r="J1507" t="str">
        <f t="shared" si="570"/>
        <v>Gg N2O</v>
      </c>
      <c r="K1507" s="22">
        <f>IFERROR((('Activity data'!AD96*(1/Constants!$H$135))*ttokg)*FSOMEF*NtoN2O*kgtoGg,"NO")</f>
        <v>6.110857899094551E-2</v>
      </c>
      <c r="L1507" s="22">
        <f>IFERROR((('Activity data'!AE96*(1/Constants!$H$135))*ttokg)*FSOMEF*NtoN2O*kgtoGg,"NO")</f>
        <v>6.110857899094551E-2</v>
      </c>
      <c r="M1507" s="22">
        <f>IFERROR((('Activity data'!AF96*(1/Constants!$H$135))*ttokg)*FSOMEF*NtoN2O*kgtoGg,"NO")</f>
        <v>6.110857899094551E-2</v>
      </c>
      <c r="N1507" s="22">
        <f>IFERROR((('Activity data'!AG96*(1/Constants!$H$135))*ttokg)*FSOMEF*NtoN2O*kgtoGg,"NO")</f>
        <v>6.110857899094551E-2</v>
      </c>
      <c r="O1507" s="22">
        <f>IFERROR((('Activity data'!AH96*(1/Constants!$H$135))*ttokg)*FSOMEF*NtoN2O*kgtoGg,"NO")</f>
        <v>6.110857899094551E-2</v>
      </c>
      <c r="P1507" s="22">
        <f>IFERROR((('Activity data'!AI96*(1/Constants!$H$135))*ttokg)*FSOMEF*NtoN2O*kgtoGg,"NO")</f>
        <v>6.110857899094551E-2</v>
      </c>
      <c r="Q1507" s="22">
        <f>IFERROR((('Activity data'!AJ96*(1/Constants!$H$135))*ttokg)*FSOMEF*NtoN2O*kgtoGg,"NO")</f>
        <v>6.110857899094551E-2</v>
      </c>
      <c r="R1507" s="22">
        <f>IFERROR((('Activity data'!AK96*(1/Constants!$H$135))*ttokg)*FSOMEF*NtoN2O*kgtoGg,"NO")</f>
        <v>6.110857899094551E-2</v>
      </c>
      <c r="S1507" s="22">
        <f>IFERROR((('Activity data'!AL96*(1/Constants!$H$135))*ttokg)*FSOMEF*NtoN2O*kgtoGg,"NO")</f>
        <v>6.110857899094551E-2</v>
      </c>
      <c r="T1507" s="22">
        <f>IFERROR((('Activity data'!AM96*(1/Constants!$H$135))*ttokg)*FSOMEF*NtoN2O*kgtoGg,"NO")</f>
        <v>6.110857899094551E-2</v>
      </c>
      <c r="U1507" s="22">
        <f>IFERROR((('Activity data'!AN96*(1/Constants!$H$135))*ttokg)*FSOMEF*NtoN2O*kgtoGg,"NO")</f>
        <v>6.110857899094551E-2</v>
      </c>
      <c r="V1507" s="22">
        <f>IFERROR((('Activity data'!AO96*(1/Constants!$H$135))*ttokg)*FSOMEF*NtoN2O*kgtoGg,"NO")</f>
        <v>6.110857899094551E-2</v>
      </c>
      <c r="W1507" s="22">
        <f>IFERROR((('Activity data'!AP96*(1/Constants!$H$135))*ttokg)*FSOMEF*NtoN2O*kgtoGg,"NO")</f>
        <v>6.110857899094551E-2</v>
      </c>
      <c r="X1507" s="22">
        <f>IFERROR((('Activity data'!AQ96*(1/Constants!$H$135))*ttokg)*FSOMEF*NtoN2O*kgtoGg,"NO")</f>
        <v>6.110857899094551E-2</v>
      </c>
      <c r="Y1507" s="22">
        <f>IFERROR((('Activity data'!AR96*(1/Constants!$H$135))*ttokg)*FSOMEF*NtoN2O*kgtoGg,"NO")</f>
        <v>6.110857899094551E-2</v>
      </c>
      <c r="Z1507" s="22">
        <f>IFERROR((('Activity data'!AS96*(1/Constants!$H$135))*ttokg)*FSOMEF*NtoN2O*kgtoGg,"NO")</f>
        <v>6.110857899094551E-2</v>
      </c>
      <c r="AA1507" s="22">
        <f>IFERROR((('Activity data'!AT96*(1/Constants!$H$135))*ttokg)*FSOMEF*NtoN2O*kgtoGg,"NO")</f>
        <v>6.110857899094551E-2</v>
      </c>
      <c r="AB1507" s="22">
        <f>IFERROR((('Activity data'!AU96*(1/Constants!$H$135))*ttokg)*FSOMEF*NtoN2O*kgtoGg,"NO")</f>
        <v>6.110857899094551E-2</v>
      </c>
      <c r="AC1507" s="22">
        <f>IFERROR((('Activity data'!AV96*(1/Constants!$H$135))*ttokg)*FSOMEF*NtoN2O*kgtoGg,"NO")</f>
        <v>6.110857899094551E-2</v>
      </c>
      <c r="AD1507" s="22">
        <f>IFERROR((('Activity data'!AW96*(1/Constants!$H$135))*ttokg)*FSOMEF*NtoN2O*kgtoGg,"NO")</f>
        <v>6.110857899094551E-2</v>
      </c>
      <c r="AE1507" s="22">
        <f>IFERROR((('Activity data'!AX96*(1/Constants!$H$135))*ttokg)*FSOMEF*NtoN2O*kgtoGg,"NO")</f>
        <v>6.110857899094551E-2</v>
      </c>
      <c r="AF1507" s="22">
        <f>IFERROR((('Activity data'!AY96*(1/Constants!$H$135))*ttokg)*FSOMEF*NtoN2O*kgtoGg,"NO")</f>
        <v>6.110857899094551E-2</v>
      </c>
      <c r="AG1507" s="22">
        <f>IFERROR((('Activity data'!AZ96*(1/Constants!$H$135))*ttokg)*FSOMEF*NtoN2O*kgtoGg,"NO")</f>
        <v>6.110857899094551E-2</v>
      </c>
      <c r="AH1507" s="22">
        <f>IFERROR((('Activity data'!BA96*(1/Constants!$H$135))*ttokg)*FSOMEF*NtoN2O*kgtoGg,"NO")</f>
        <v>6.110857899094551E-2</v>
      </c>
      <c r="AI1507" s="22">
        <f>IFERROR((('Activity data'!BB96*(1/Constants!$H$135))*ttokg)*FSOMEF*NtoN2O*kgtoGg,"NO")</f>
        <v>6.110857899094551E-2</v>
      </c>
      <c r="AJ1507" s="22">
        <f>IFERROR((('Activity data'!BC96*(1/Constants!$H$135))*ttokg)*FSOMEF*NtoN2O*kgtoGg,"NO")</f>
        <v>6.110857899094551E-2</v>
      </c>
      <c r="AK1507" s="22">
        <f>IFERROR((('Activity data'!BD96*(1/Constants!$H$135))*ttokg)*FSOMEF*NtoN2O*kgtoGg,"NO")</f>
        <v>6.110857899094551E-2</v>
      </c>
      <c r="AL1507" s="22">
        <f>IFERROR((('Activity data'!BE96*(1/Constants!$H$135))*ttokg)*FSOMEF*NtoN2O*kgtoGg,"NO")</f>
        <v>6.110857899094551E-2</v>
      </c>
      <c r="AM1507" s="22">
        <f>IFERROR((('Activity data'!BF96*(1/Constants!$H$135))*ttokg)*FSOMEF*NtoN2O*kgtoGg,"NO")</f>
        <v>6.110857899094551E-2</v>
      </c>
      <c r="AN1507" s="22">
        <f>IFERROR((('Activity data'!BG96*(1/Constants!$H$135))*ttokg)*FSOMEF*NtoN2O*kgtoGg,"NO")</f>
        <v>6.110857899094551E-2</v>
      </c>
      <c r="AO1507" s="22">
        <f>IFERROR((('Activity data'!BH96*(1/Constants!$H$135))*ttokg)*FSOMEF*NtoN2O*kgtoGg,"NO")</f>
        <v>6.110857899094551E-2</v>
      </c>
      <c r="AP1507" s="22">
        <f>IFERROR((('Activity data'!BI96*(1/Constants!$H$135))*ttokg)*FSOMEF*NtoN2O*kgtoGg,"NO")</f>
        <v>6.110857899094551E-2</v>
      </c>
      <c r="AQ1507" s="22">
        <f>IFERROR((('Activity data'!BJ96*(1/Constants!$H$135))*ttokg)*FSOMEF*NtoN2O*kgtoGg,"NO")</f>
        <v>6.110857899094551E-2</v>
      </c>
      <c r="AR1507" s="22">
        <f>IFERROR((('Activity data'!BK96*(1/Constants!$H$135))*ttokg)*FSOMEF*NtoN2O*kgtoGg,"NO")</f>
        <v>6.110857899094551E-2</v>
      </c>
      <c r="AS1507" s="22">
        <f>IFERROR((('Activity data'!BL96*(1/Constants!$H$135))*ttokg)*FSOMEF*NtoN2O*kgtoGg,"NO")</f>
        <v>6.110857899094551E-2</v>
      </c>
      <c r="AT1507" s="22">
        <f>IFERROR((('Activity data'!BM96*(1/Constants!$H$135))*ttokg)*FSOMEF*NtoN2O*kgtoGg,"NO")</f>
        <v>6.110857899094551E-2</v>
      </c>
      <c r="AU1507" s="22">
        <f>IFERROR((('Activity data'!BN96*(1/Constants!$H$135))*ttokg)*FSOMEF*NtoN2O*kgtoGg,"NO")</f>
        <v>6.110857899094551E-2</v>
      </c>
      <c r="AV1507" s="22">
        <f>IFERROR((('Activity data'!BO96*(1/Constants!$H$135))*ttokg)*FSOMEF*NtoN2O*kgtoGg,"NO")</f>
        <v>6.110857899094551E-2</v>
      </c>
      <c r="AW1507" s="22">
        <f>IFERROR((('Activity data'!BP96*(1/Constants!$H$135))*ttokg)*FSOMEF*NtoN2O*kgtoGg,"NO")</f>
        <v>6.110857899094551E-2</v>
      </c>
    </row>
    <row r="1508" spans="1:49" x14ac:dyDescent="0.25">
      <c r="A1508" s="102" t="s">
        <v>961</v>
      </c>
      <c r="B1508" s="102"/>
      <c r="C1508" s="102"/>
      <c r="D1508" t="str">
        <f t="shared" si="569"/>
        <v>3C Aggregated and non-CO2 emissions on land</v>
      </c>
      <c r="E1508" t="str">
        <f t="shared" si="568"/>
        <v>3C4 Direct N2O from managed soils (N2O)</v>
      </c>
      <c r="F1508" t="s">
        <v>60</v>
      </c>
      <c r="G1508" t="str">
        <f>" - "&amp;'Activity data'!D97</f>
        <v xml:space="preserve"> - Other land remaining other land</v>
      </c>
      <c r="H1508" t="str">
        <f t="shared" si="563"/>
        <v>FSOM - Other land remaining other land</v>
      </c>
      <c r="J1508" t="str">
        <f t="shared" si="570"/>
        <v>Gg N2O</v>
      </c>
      <c r="K1508" s="22" t="str">
        <f>IFERROR((('Activity data'!AD97*(1/Constants!$H$135))*ttokg)*FSOMEF*NtoN2O*kgtoGg,"NO")</f>
        <v>NO</v>
      </c>
      <c r="L1508" s="22" t="str">
        <f>IFERROR((('Activity data'!AE97*(1/Constants!$H$135))*ttokg)*FSOMEF*NtoN2O*kgtoGg,"NO")</f>
        <v>NO</v>
      </c>
      <c r="M1508" s="22" t="str">
        <f>IFERROR((('Activity data'!AF97*(1/Constants!$H$135))*ttokg)*FSOMEF*NtoN2O*kgtoGg,"NO")</f>
        <v>NO</v>
      </c>
      <c r="N1508" s="22" t="str">
        <f>IFERROR((('Activity data'!AG97*(1/Constants!$H$135))*ttokg)*FSOMEF*NtoN2O*kgtoGg,"NO")</f>
        <v>NO</v>
      </c>
      <c r="O1508" s="22" t="str">
        <f>IFERROR((('Activity data'!AH97*(1/Constants!$H$135))*ttokg)*FSOMEF*NtoN2O*kgtoGg,"NO")</f>
        <v>NO</v>
      </c>
      <c r="P1508" s="22" t="str">
        <f>IFERROR((('Activity data'!AI97*(1/Constants!$H$135))*ttokg)*FSOMEF*NtoN2O*kgtoGg,"NO")</f>
        <v>NO</v>
      </c>
      <c r="Q1508" s="22" t="str">
        <f>IFERROR((('Activity data'!AJ97*(1/Constants!$H$135))*ttokg)*FSOMEF*NtoN2O*kgtoGg,"NO")</f>
        <v>NO</v>
      </c>
      <c r="R1508" s="22" t="str">
        <f>IFERROR((('Activity data'!AK97*(1/Constants!$H$135))*ttokg)*FSOMEF*NtoN2O*kgtoGg,"NO")</f>
        <v>NO</v>
      </c>
      <c r="S1508" s="22" t="str">
        <f>IFERROR((('Activity data'!AL97*(1/Constants!$H$135))*ttokg)*FSOMEF*NtoN2O*kgtoGg,"NO")</f>
        <v>NO</v>
      </c>
      <c r="T1508" s="22" t="str">
        <f>IFERROR((('Activity data'!AM97*(1/Constants!$H$135))*ttokg)*FSOMEF*NtoN2O*kgtoGg,"NO")</f>
        <v>NO</v>
      </c>
      <c r="U1508" s="22" t="str">
        <f>IFERROR((('Activity data'!AN97*(1/Constants!$H$135))*ttokg)*FSOMEF*NtoN2O*kgtoGg,"NO")</f>
        <v>NO</v>
      </c>
      <c r="V1508" s="22" t="str">
        <f>IFERROR((('Activity data'!AO97*(1/Constants!$H$135))*ttokg)*FSOMEF*NtoN2O*kgtoGg,"NO")</f>
        <v>NO</v>
      </c>
      <c r="W1508" s="22" t="str">
        <f>IFERROR((('Activity data'!AP97*(1/Constants!$H$135))*ttokg)*FSOMEF*NtoN2O*kgtoGg,"NO")</f>
        <v>NO</v>
      </c>
      <c r="X1508" s="22" t="str">
        <f>IFERROR((('Activity data'!AQ97*(1/Constants!$H$135))*ttokg)*FSOMEF*NtoN2O*kgtoGg,"NO")</f>
        <v>NO</v>
      </c>
      <c r="Y1508" s="22" t="str">
        <f>IFERROR((('Activity data'!AR97*(1/Constants!$H$135))*ttokg)*FSOMEF*NtoN2O*kgtoGg,"NO")</f>
        <v>NO</v>
      </c>
      <c r="Z1508" s="22" t="str">
        <f>IFERROR((('Activity data'!AS97*(1/Constants!$H$135))*ttokg)*FSOMEF*NtoN2O*kgtoGg,"NO")</f>
        <v>NO</v>
      </c>
      <c r="AA1508" s="22" t="str">
        <f>IFERROR((('Activity data'!AT97*(1/Constants!$H$135))*ttokg)*FSOMEF*NtoN2O*kgtoGg,"NO")</f>
        <v>NO</v>
      </c>
      <c r="AB1508" s="22" t="str">
        <f>IFERROR((('Activity data'!AU97*(1/Constants!$H$135))*ttokg)*FSOMEF*NtoN2O*kgtoGg,"NO")</f>
        <v>NO</v>
      </c>
      <c r="AC1508" s="22" t="str">
        <f>IFERROR((('Activity data'!AV97*(1/Constants!$H$135))*ttokg)*FSOMEF*NtoN2O*kgtoGg,"NO")</f>
        <v>NO</v>
      </c>
      <c r="AD1508" s="22" t="str">
        <f>IFERROR((('Activity data'!AW97*(1/Constants!$H$135))*ttokg)*FSOMEF*NtoN2O*kgtoGg,"NO")</f>
        <v>NO</v>
      </c>
      <c r="AE1508" s="22" t="str">
        <f>IFERROR((('Activity data'!AX97*(1/Constants!$H$135))*ttokg)*FSOMEF*NtoN2O*kgtoGg,"NO")</f>
        <v>NO</v>
      </c>
      <c r="AF1508" s="22" t="str">
        <f>IFERROR((('Activity data'!AY97*(1/Constants!$H$135))*ttokg)*FSOMEF*NtoN2O*kgtoGg,"NO")</f>
        <v>NO</v>
      </c>
      <c r="AG1508" s="22" t="str">
        <f>IFERROR((('Activity data'!AZ97*(1/Constants!$H$135))*ttokg)*FSOMEF*NtoN2O*kgtoGg,"NO")</f>
        <v>NO</v>
      </c>
      <c r="AH1508" s="22" t="str">
        <f>IFERROR((('Activity data'!BA97*(1/Constants!$H$135))*ttokg)*FSOMEF*NtoN2O*kgtoGg,"NO")</f>
        <v>NO</v>
      </c>
      <c r="AI1508" s="22" t="str">
        <f>IFERROR((('Activity data'!BB97*(1/Constants!$H$135))*ttokg)*FSOMEF*NtoN2O*kgtoGg,"NO")</f>
        <v>NO</v>
      </c>
      <c r="AJ1508" s="22" t="str">
        <f>IFERROR((('Activity data'!BC97*(1/Constants!$H$135))*ttokg)*FSOMEF*NtoN2O*kgtoGg,"NO")</f>
        <v>NO</v>
      </c>
      <c r="AK1508" s="22" t="str">
        <f>IFERROR((('Activity data'!BD97*(1/Constants!$H$135))*ttokg)*FSOMEF*NtoN2O*kgtoGg,"NO")</f>
        <v>NO</v>
      </c>
      <c r="AL1508" s="22" t="str">
        <f>IFERROR((('Activity data'!BE97*(1/Constants!$H$135))*ttokg)*FSOMEF*NtoN2O*kgtoGg,"NO")</f>
        <v>NO</v>
      </c>
      <c r="AM1508" s="22" t="str">
        <f>IFERROR((('Activity data'!BF97*(1/Constants!$H$135))*ttokg)*FSOMEF*NtoN2O*kgtoGg,"NO")</f>
        <v>NO</v>
      </c>
      <c r="AN1508" s="22" t="str">
        <f>IFERROR((('Activity data'!BG97*(1/Constants!$H$135))*ttokg)*FSOMEF*NtoN2O*kgtoGg,"NO")</f>
        <v>NO</v>
      </c>
      <c r="AO1508" s="22" t="str">
        <f>IFERROR((('Activity data'!BH97*(1/Constants!$H$135))*ttokg)*FSOMEF*NtoN2O*kgtoGg,"NO")</f>
        <v>NO</v>
      </c>
      <c r="AP1508" s="22" t="str">
        <f>IFERROR((('Activity data'!BI97*(1/Constants!$H$135))*ttokg)*FSOMEF*NtoN2O*kgtoGg,"NO")</f>
        <v>NO</v>
      </c>
      <c r="AQ1508" s="22" t="str">
        <f>IFERROR((('Activity data'!BJ97*(1/Constants!$H$135))*ttokg)*FSOMEF*NtoN2O*kgtoGg,"NO")</f>
        <v>NO</v>
      </c>
      <c r="AR1508" s="22" t="str">
        <f>IFERROR((('Activity data'!BK97*(1/Constants!$H$135))*ttokg)*FSOMEF*NtoN2O*kgtoGg,"NO")</f>
        <v>NO</v>
      </c>
      <c r="AS1508" s="22" t="str">
        <f>IFERROR((('Activity data'!BL97*(1/Constants!$H$135))*ttokg)*FSOMEF*NtoN2O*kgtoGg,"NO")</f>
        <v>NO</v>
      </c>
      <c r="AT1508" s="22" t="str">
        <f>IFERROR((('Activity data'!BM97*(1/Constants!$H$135))*ttokg)*FSOMEF*NtoN2O*kgtoGg,"NO")</f>
        <v>NO</v>
      </c>
      <c r="AU1508" s="22" t="str">
        <f>IFERROR((('Activity data'!BN97*(1/Constants!$H$135))*ttokg)*FSOMEF*NtoN2O*kgtoGg,"NO")</f>
        <v>NO</v>
      </c>
      <c r="AV1508" s="22" t="str">
        <f>IFERROR((('Activity data'!BO97*(1/Constants!$H$135))*ttokg)*FSOMEF*NtoN2O*kgtoGg,"NO")</f>
        <v>NO</v>
      </c>
      <c r="AW1508" s="22" t="str">
        <f>IFERROR((('Activity data'!BP97*(1/Constants!$H$135))*ttokg)*FSOMEF*NtoN2O*kgtoGg,"NO")</f>
        <v>NO</v>
      </c>
    </row>
    <row r="1509" spans="1:49" x14ac:dyDescent="0.25">
      <c r="A1509" s="102" t="s">
        <v>961</v>
      </c>
      <c r="B1509" s="102"/>
      <c r="C1509" s="102"/>
      <c r="D1509" t="str">
        <f t="shared" si="569"/>
        <v>3C Aggregated and non-CO2 emissions on land</v>
      </c>
      <c r="E1509" t="str">
        <f t="shared" si="568"/>
        <v>3C4 Direct N2O from managed soils (N2O)</v>
      </c>
      <c r="F1509" t="s">
        <v>60</v>
      </c>
      <c r="G1509" t="str">
        <f>" - "&amp;'Activity data'!D98</f>
        <v xml:space="preserve"> - Land converted to other lands</v>
      </c>
      <c r="H1509" t="str">
        <f t="shared" si="563"/>
        <v>FSOM - Land converted to other lands</v>
      </c>
      <c r="J1509" t="str">
        <f t="shared" si="570"/>
        <v>Gg N2O</v>
      </c>
      <c r="K1509" s="22">
        <f>IFERROR((('Activity data'!AD98*(1/Constants!$H$135))*ttokg)*FSOMEF*NtoN2O*kgtoGg,"NO")</f>
        <v>3.1961717215001131</v>
      </c>
      <c r="L1509" s="22">
        <f>IFERROR((('Activity data'!AE98*(1/Constants!$H$135))*ttokg)*FSOMEF*NtoN2O*kgtoGg,"NO")</f>
        <v>3.1961717215001131</v>
      </c>
      <c r="M1509" s="22">
        <f>IFERROR((('Activity data'!AF98*(1/Constants!$H$135))*ttokg)*FSOMEF*NtoN2O*kgtoGg,"NO")</f>
        <v>3.1961717215001131</v>
      </c>
      <c r="N1509" s="22">
        <f>IFERROR((('Activity data'!AG98*(1/Constants!$H$135))*ttokg)*FSOMEF*NtoN2O*kgtoGg,"NO")</f>
        <v>3.1961717215001131</v>
      </c>
      <c r="O1509" s="22">
        <f>IFERROR((('Activity data'!AH98*(1/Constants!$H$135))*ttokg)*FSOMEF*NtoN2O*kgtoGg,"NO")</f>
        <v>3.1961717215001131</v>
      </c>
      <c r="P1509" s="22">
        <f>IFERROR((('Activity data'!AI98*(1/Constants!$H$135))*ttokg)*FSOMEF*NtoN2O*kgtoGg,"NO")</f>
        <v>3.1961717215001131</v>
      </c>
      <c r="Q1509" s="22">
        <f>IFERROR((('Activity data'!AJ98*(1/Constants!$H$135))*ttokg)*FSOMEF*NtoN2O*kgtoGg,"NO")</f>
        <v>3.1961717215001131</v>
      </c>
      <c r="R1509" s="22">
        <f>IFERROR((('Activity data'!AK98*(1/Constants!$H$135))*ttokg)*FSOMEF*NtoN2O*kgtoGg,"NO")</f>
        <v>3.1961717215001131</v>
      </c>
      <c r="S1509" s="22">
        <f>IFERROR((('Activity data'!AL98*(1/Constants!$H$135))*ttokg)*FSOMEF*NtoN2O*kgtoGg,"NO")</f>
        <v>3.1961717215001131</v>
      </c>
      <c r="T1509" s="22">
        <f>IFERROR((('Activity data'!AM98*(1/Constants!$H$135))*ttokg)*FSOMEF*NtoN2O*kgtoGg,"NO")</f>
        <v>3.1961717215001131</v>
      </c>
      <c r="U1509" s="22">
        <f>IFERROR((('Activity data'!AN98*(1/Constants!$H$135))*ttokg)*FSOMEF*NtoN2O*kgtoGg,"NO")</f>
        <v>3.1961717215001131</v>
      </c>
      <c r="V1509" s="22">
        <f>IFERROR((('Activity data'!AO98*(1/Constants!$H$135))*ttokg)*FSOMEF*NtoN2O*kgtoGg,"NO")</f>
        <v>3.1961717215001131</v>
      </c>
      <c r="W1509" s="22">
        <f>IFERROR((('Activity data'!AP98*(1/Constants!$H$135))*ttokg)*FSOMEF*NtoN2O*kgtoGg,"NO")</f>
        <v>3.1961717215001131</v>
      </c>
      <c r="X1509" s="22">
        <f>IFERROR((('Activity data'!AQ98*(1/Constants!$H$135))*ttokg)*FSOMEF*NtoN2O*kgtoGg,"NO")</f>
        <v>3.1961717215001131</v>
      </c>
      <c r="Y1509" s="22">
        <f>IFERROR((('Activity data'!AR98*(1/Constants!$H$135))*ttokg)*FSOMEF*NtoN2O*kgtoGg,"NO")</f>
        <v>3.1961717215001131</v>
      </c>
      <c r="Z1509" s="22">
        <f>IFERROR((('Activity data'!AS98*(1/Constants!$H$135))*ttokg)*FSOMEF*NtoN2O*kgtoGg,"NO")</f>
        <v>3.1961717215001131</v>
      </c>
      <c r="AA1509" s="22">
        <f>IFERROR((('Activity data'!AT98*(1/Constants!$H$135))*ttokg)*FSOMEF*NtoN2O*kgtoGg,"NO")</f>
        <v>3.1961717215001131</v>
      </c>
      <c r="AB1509" s="22">
        <f>IFERROR((('Activity data'!AU98*(1/Constants!$H$135))*ttokg)*FSOMEF*NtoN2O*kgtoGg,"NO")</f>
        <v>3.1961717215001131</v>
      </c>
      <c r="AC1509" s="22">
        <f>IFERROR((('Activity data'!AV98*(1/Constants!$H$135))*ttokg)*FSOMEF*NtoN2O*kgtoGg,"NO")</f>
        <v>3.1961717215001131</v>
      </c>
      <c r="AD1509" s="22">
        <f>IFERROR((('Activity data'!AW98*(1/Constants!$H$135))*ttokg)*FSOMEF*NtoN2O*kgtoGg,"NO")</f>
        <v>3.1961717215001131</v>
      </c>
      <c r="AE1509" s="22">
        <f>IFERROR((('Activity data'!AX98*(1/Constants!$H$135))*ttokg)*FSOMEF*NtoN2O*kgtoGg,"NO")</f>
        <v>3.1961717215001131</v>
      </c>
      <c r="AF1509" s="22">
        <f>IFERROR((('Activity data'!AY98*(1/Constants!$H$135))*ttokg)*FSOMEF*NtoN2O*kgtoGg,"NO")</f>
        <v>3.1961717215001131</v>
      </c>
      <c r="AG1509" s="22">
        <f>IFERROR((('Activity data'!AZ98*(1/Constants!$H$135))*ttokg)*FSOMEF*NtoN2O*kgtoGg,"NO")</f>
        <v>3.1961717215001131</v>
      </c>
      <c r="AH1509" s="22">
        <f>IFERROR((('Activity data'!BA98*(1/Constants!$H$135))*ttokg)*FSOMEF*NtoN2O*kgtoGg,"NO")</f>
        <v>3.1961717215001131</v>
      </c>
      <c r="AI1509" s="22">
        <f>IFERROR((('Activity data'!BB98*(1/Constants!$H$135))*ttokg)*FSOMEF*NtoN2O*kgtoGg,"NO")</f>
        <v>3.1961717215001131</v>
      </c>
      <c r="AJ1509" s="22">
        <f>IFERROR((('Activity data'!BC98*(1/Constants!$H$135))*ttokg)*FSOMEF*NtoN2O*kgtoGg,"NO")</f>
        <v>3.1961717215001131</v>
      </c>
      <c r="AK1509" s="22">
        <f>IFERROR((('Activity data'!BD98*(1/Constants!$H$135))*ttokg)*FSOMEF*NtoN2O*kgtoGg,"NO")</f>
        <v>3.1961717215001131</v>
      </c>
      <c r="AL1509" s="22">
        <f>IFERROR((('Activity data'!BE98*(1/Constants!$H$135))*ttokg)*FSOMEF*NtoN2O*kgtoGg,"NO")</f>
        <v>3.1961717215001131</v>
      </c>
      <c r="AM1509" s="22">
        <f>IFERROR((('Activity data'!BF98*(1/Constants!$H$135))*ttokg)*FSOMEF*NtoN2O*kgtoGg,"NO")</f>
        <v>3.1961717215001131</v>
      </c>
      <c r="AN1509" s="22">
        <f>IFERROR((('Activity data'!BG98*(1/Constants!$H$135))*ttokg)*FSOMEF*NtoN2O*kgtoGg,"NO")</f>
        <v>3.1961717215001131</v>
      </c>
      <c r="AO1509" s="22">
        <f>IFERROR((('Activity data'!BH98*(1/Constants!$H$135))*ttokg)*FSOMEF*NtoN2O*kgtoGg,"NO")</f>
        <v>3.1961717215001131</v>
      </c>
      <c r="AP1509" s="22">
        <f>IFERROR((('Activity data'!BI98*(1/Constants!$H$135))*ttokg)*FSOMEF*NtoN2O*kgtoGg,"NO")</f>
        <v>3.1961717215001131</v>
      </c>
      <c r="AQ1509" s="22">
        <f>IFERROR((('Activity data'!BJ98*(1/Constants!$H$135))*ttokg)*FSOMEF*NtoN2O*kgtoGg,"NO")</f>
        <v>3.1961717215001131</v>
      </c>
      <c r="AR1509" s="22">
        <f>IFERROR((('Activity data'!BK98*(1/Constants!$H$135))*ttokg)*FSOMEF*NtoN2O*kgtoGg,"NO")</f>
        <v>3.1961717215001131</v>
      </c>
      <c r="AS1509" s="22">
        <f>IFERROR((('Activity data'!BL98*(1/Constants!$H$135))*ttokg)*FSOMEF*NtoN2O*kgtoGg,"NO")</f>
        <v>3.1961717215001131</v>
      </c>
      <c r="AT1509" s="22">
        <f>IFERROR((('Activity data'!BM98*(1/Constants!$H$135))*ttokg)*FSOMEF*NtoN2O*kgtoGg,"NO")</f>
        <v>3.1961717215001131</v>
      </c>
      <c r="AU1509" s="22">
        <f>IFERROR((('Activity data'!BN98*(1/Constants!$H$135))*ttokg)*FSOMEF*NtoN2O*kgtoGg,"NO")</f>
        <v>3.1961717215001131</v>
      </c>
      <c r="AV1509" s="22">
        <f>IFERROR((('Activity data'!BO98*(1/Constants!$H$135))*ttokg)*FSOMEF*NtoN2O*kgtoGg,"NO")</f>
        <v>3.1961717215001131</v>
      </c>
      <c r="AW1509" s="22">
        <f>IFERROR((('Activity data'!BP98*(1/Constants!$H$135))*ttokg)*FSOMEF*NtoN2O*kgtoGg,"NO")</f>
        <v>3.1961717215001131</v>
      </c>
    </row>
    <row r="1510" spans="1:49" x14ac:dyDescent="0.25">
      <c r="A1510" s="102" t="s">
        <v>961</v>
      </c>
      <c r="B1510" s="102"/>
      <c r="C1510" s="102"/>
      <c r="D1510" t="str">
        <f>D1497</f>
        <v>3C Aggregated and non-CO2 emissions on land</v>
      </c>
      <c r="E1510" t="str">
        <f>'IPCC Categories'!B78</f>
        <v>3C5 Indirect N2O from managed soils (N2O)</v>
      </c>
      <c r="F1510" t="str">
        <f>'IPCC Categories'!C78</f>
        <v>Volatilisation</v>
      </c>
      <c r="G1510" t="s">
        <v>435</v>
      </c>
      <c r="H1510" t="str">
        <f t="shared" si="563"/>
        <v>Volatilisation - Synthetic fertlisers</v>
      </c>
      <c r="I1510" t="str">
        <f>I1497</f>
        <v>N2O</v>
      </c>
      <c r="J1510" t="str">
        <f>J1497</f>
        <v>Gg N2O</v>
      </c>
      <c r="K1510" s="22">
        <f>'Activity data'!AD47*ttokg*FracGASF*MSVolatEF*NtoN2O*kgtoGg</f>
        <v>0.66064812063358536</v>
      </c>
      <c r="L1510" s="22">
        <f>'Activity data'!AE47*ttokg*FracGASF*MSVolatEF*NtoN2O*kgtoGg</f>
        <v>0.66055332632324659</v>
      </c>
      <c r="M1510" s="22">
        <f>'Activity data'!AF47*ttokg*FracGASF*MSVolatEF*NtoN2O*kgtoGg</f>
        <v>0.66042378924026446</v>
      </c>
      <c r="N1510" s="22">
        <f>'Activity data'!AG47*ttokg*FracGASF*MSVolatEF*NtoN2O*kgtoGg</f>
        <v>0.66032976249569819</v>
      </c>
      <c r="O1510" s="22">
        <f>'Activity data'!AH47*ttokg*FracGASF*MSVolatEF*NtoN2O*kgtoGg</f>
        <v>0.66028397217143464</v>
      </c>
      <c r="P1510" s="22">
        <f>'Activity data'!AI47*ttokg*FracGASF*MSVolatEF*NtoN2O*kgtoGg</f>
        <v>0.66023877667619957</v>
      </c>
      <c r="Q1510" s="22">
        <f>'Activity data'!AJ47*ttokg*FracGASF*MSVolatEF*NtoN2O*kgtoGg</f>
        <v>0.66017040685586048</v>
      </c>
      <c r="R1510" s="22">
        <f>'Activity data'!AK47*ttokg*FracGASF*MSVolatEF*NtoN2O*kgtoGg</f>
        <v>0.66009555191940106</v>
      </c>
      <c r="S1510" s="22">
        <f>'Activity data'!AL47*ttokg*FracGASF*MSVolatEF*NtoN2O*kgtoGg</f>
        <v>0.66007105452260206</v>
      </c>
      <c r="T1510" s="22">
        <f>'Activity data'!AM47*ttokg*FracGASF*MSVolatEF*NtoN2O*kgtoGg</f>
        <v>0.6605210320148045</v>
      </c>
      <c r="U1510" s="22">
        <f>'Activity data'!AN47*ttokg*FracGASF*MSVolatEF*NtoN2O*kgtoGg</f>
        <v>0.66038066881148649</v>
      </c>
      <c r="V1510" s="22">
        <f>'Activity data'!AO47*ttokg*FracGASF*MSVolatEF*NtoN2O*kgtoGg</f>
        <v>0.660254471504373</v>
      </c>
      <c r="W1510" s="22">
        <f>'Activity data'!AP47*ttokg*FracGASF*MSVolatEF*NtoN2O*kgtoGg</f>
        <v>0.66012944407562835</v>
      </c>
      <c r="X1510" s="22">
        <f>'Activity data'!AQ47*ttokg*FracGASF*MSVolatEF*NtoN2O*kgtoGg</f>
        <v>0.65998592560706049</v>
      </c>
      <c r="Y1510" s="22">
        <f>'Activity data'!AR47*ttokg*FracGASF*MSVolatEF*NtoN2O*kgtoGg</f>
        <v>0.65984396481179586</v>
      </c>
      <c r="Z1510" s="22">
        <f>'Activity data'!AS47*ttokg*FracGASF*MSVolatEF*NtoN2O*kgtoGg</f>
        <v>0.65970003432051683</v>
      </c>
      <c r="AA1510" s="22">
        <f>'Activity data'!AT47*ttokg*FracGASF*MSVolatEF*NtoN2O*kgtoGg</f>
        <v>0.65956223028685135</v>
      </c>
      <c r="AB1510" s="22">
        <f>'Activity data'!AU47*ttokg*FracGASF*MSVolatEF*NtoN2O*kgtoGg</f>
        <v>0.65941853622185975</v>
      </c>
      <c r="AC1510" s="22">
        <f>'Activity data'!AV47*ttokg*FracGASF*MSVolatEF*NtoN2O*kgtoGg</f>
        <v>0.65928505403904103</v>
      </c>
      <c r="AD1510" s="22">
        <f>'Activity data'!AW47*ttokg*FracGASF*MSVolatEF*NtoN2O*kgtoGg</f>
        <v>0.65915038110737934</v>
      </c>
      <c r="AE1510" s="22">
        <f>'Activity data'!AX47*ttokg*FracGASF*MSVolatEF*NtoN2O*kgtoGg</f>
        <v>0.65899366744546872</v>
      </c>
      <c r="AF1510" s="22">
        <f>'Activity data'!AY47*ttokg*FracGASF*MSVolatEF*NtoN2O*kgtoGg</f>
        <v>0.65882822576482969</v>
      </c>
      <c r="AG1510" s="22">
        <f>'Activity data'!AZ47*ttokg*FracGASF*MSVolatEF*NtoN2O*kgtoGg</f>
        <v>0.65866069718802811</v>
      </c>
      <c r="AH1510" s="22">
        <f>'Activity data'!BA47*ttokg*FracGASF*MSVolatEF*NtoN2O*kgtoGg</f>
        <v>0.65862744996812317</v>
      </c>
      <c r="AI1510" s="22">
        <f>'Activity data'!BB47*ttokg*FracGASF*MSVolatEF*NtoN2O*kgtoGg</f>
        <v>0.67244352177988753</v>
      </c>
      <c r="AJ1510" s="22">
        <f>'Activity data'!BC47*ttokg*FracGASF*MSVolatEF*NtoN2O*kgtoGg</f>
        <v>0.67246796459520652</v>
      </c>
      <c r="AK1510" s="22">
        <f>'Activity data'!BD47*ttokg*FracGASF*MSVolatEF*NtoN2O*kgtoGg</f>
        <v>0.67249266471091262</v>
      </c>
      <c r="AL1510" s="22">
        <f>'Activity data'!BE47*ttokg*FracGASF*MSVolatEF*NtoN2O*kgtoGg</f>
        <v>0.6725176256716463</v>
      </c>
      <c r="AM1510" s="22">
        <f>'Activity data'!BF47*ttokg*FracGASF*MSVolatEF*NtoN2O*kgtoGg</f>
        <v>0.67254285108872014</v>
      </c>
      <c r="AN1510" s="22">
        <f>'Activity data'!BG47*ttokg*FracGASF*MSVolatEF*NtoN2O*kgtoGg</f>
        <v>0.67256834464178161</v>
      </c>
      <c r="AO1510" s="22">
        <f>'Activity data'!BH47*ttokg*FracGASF*MSVolatEF*NtoN2O*kgtoGg</f>
        <v>0.67259019731905478</v>
      </c>
      <c r="AP1510" s="22">
        <f>'Activity data'!BI47*ttokg*FracGASF*MSVolatEF*NtoN2O*kgtoGg</f>
        <v>0.67261224822219834</v>
      </c>
      <c r="AQ1510" s="22">
        <f>'Activity data'!BJ47*ttokg*FracGASF*MSVolatEF*NtoN2O*kgtoGg</f>
        <v>0.67263449972304945</v>
      </c>
      <c r="AR1510" s="22">
        <f>'Activity data'!BK47*ttokg*FracGASF*MSVolatEF*NtoN2O*kgtoGg</f>
        <v>0.67265695423235672</v>
      </c>
      <c r="AS1510" s="22">
        <f>'Activity data'!BL47*ttokg*FracGASF*MSVolatEF*NtoN2O*kgtoGg</f>
        <v>0.67267961420062661</v>
      </c>
      <c r="AT1510" s="22">
        <f>'Activity data'!BM47*ttokg*FracGASF*MSVolatEF*NtoN2O*kgtoGg</f>
        <v>0.67269840467448694</v>
      </c>
      <c r="AU1510" s="22">
        <f>'Activity data'!BN47*ttokg*FracGASF*MSVolatEF*NtoN2O*kgtoGg</f>
        <v>0.67271733718738858</v>
      </c>
      <c r="AV1510" s="22">
        <f>'Activity data'!BO47*ttokg*FracGASF*MSVolatEF*NtoN2O*kgtoGg</f>
        <v>0.67273641316511901</v>
      </c>
      <c r="AW1510" s="22">
        <f>'Activity data'!BP47*ttokg*FracGASF*MSVolatEF*NtoN2O*kgtoGg</f>
        <v>0.67275563405315475</v>
      </c>
    </row>
    <row r="1511" spans="1:49" x14ac:dyDescent="0.25">
      <c r="A1511" s="102" t="s">
        <v>961</v>
      </c>
      <c r="B1511" s="102"/>
      <c r="C1511" s="102"/>
      <c r="D1511" t="str">
        <f t="shared" si="568"/>
        <v>3C Aggregated and non-CO2 emissions on land</v>
      </c>
      <c r="E1511" t="str">
        <f>E1510</f>
        <v>3C5 Indirect N2O from managed soils (N2O)</v>
      </c>
      <c r="F1511" t="str">
        <f>F1510</f>
        <v>Volatilisation</v>
      </c>
      <c r="G1511" t="s">
        <v>436</v>
      </c>
      <c r="H1511" t="str">
        <f t="shared" si="563"/>
        <v>Volatilisation - Organic fertilisers</v>
      </c>
      <c r="I1511" t="str">
        <f t="shared" ref="I1511:I1562" si="571">I1510</f>
        <v>N2O</v>
      </c>
      <c r="J1511" t="str">
        <f t="shared" si="570"/>
        <v>Gg N2O</v>
      </c>
      <c r="K1511" s="22">
        <f>'Activity data'!AD48*ttokg*FracGASM*MSVolatEF*NtoN2O*kgtoGg</f>
        <v>8.720555192363328E-3</v>
      </c>
      <c r="L1511" s="22">
        <f>'Activity data'!AE48*ttokg*FracGASM*MSVolatEF*NtoN2O*kgtoGg</f>
        <v>8.7193039074668528E-3</v>
      </c>
      <c r="M1511" s="22">
        <f>'Activity data'!AF48*ttokg*FracGASM*MSVolatEF*NtoN2O*kgtoGg</f>
        <v>8.7175940179714945E-3</v>
      </c>
      <c r="N1511" s="22">
        <f>'Activity data'!AG48*ttokg*FracGASM*MSVolatEF*NtoN2O*kgtoGg</f>
        <v>8.7163528649432196E-3</v>
      </c>
      <c r="O1511" s="22">
        <f>'Activity data'!AH48*ttokg*FracGASM*MSVolatEF*NtoN2O*kgtoGg</f>
        <v>8.7157484326629356E-3</v>
      </c>
      <c r="P1511" s="22">
        <f>'Activity data'!AI48*ttokg*FracGASM*MSVolatEF*NtoN2O*kgtoGg</f>
        <v>8.715151852125836E-3</v>
      </c>
      <c r="Q1511" s="22">
        <f>'Activity data'!AJ48*ttokg*FracGASM*MSVolatEF*NtoN2O*kgtoGg</f>
        <v>8.7142493704973605E-3</v>
      </c>
      <c r="R1511" s="22">
        <f>'Activity data'!AK48*ttokg*FracGASM*MSVolatEF*NtoN2O*kgtoGg</f>
        <v>8.713261285336095E-3</v>
      </c>
      <c r="S1511" s="22">
        <f>'Activity data'!AL48*ttokg*FracGASM*MSVolatEF*NtoN2O*kgtoGg</f>
        <v>8.7129379196983492E-3</v>
      </c>
      <c r="T1511" s="22">
        <f>'Activity data'!AM48*ttokg*FracGASM*MSVolatEF*NtoN2O*kgtoGg</f>
        <v>8.7188776225954213E-3</v>
      </c>
      <c r="U1511" s="22">
        <f>'Activity data'!AN48*ttokg*FracGASM*MSVolatEF*NtoN2O*kgtoGg</f>
        <v>8.7170248283116227E-3</v>
      </c>
      <c r="V1511" s="22">
        <f>'Activity data'!AO48*ttokg*FracGASM*MSVolatEF*NtoN2O*kgtoGg</f>
        <v>8.7153590238577237E-3</v>
      </c>
      <c r="W1511" s="22">
        <f>'Activity data'!AP48*ttokg*FracGASM*MSVolatEF*NtoN2O*kgtoGg</f>
        <v>8.7137086617982938E-3</v>
      </c>
      <c r="X1511" s="22">
        <f>'Activity data'!AQ48*ttokg*FracGASM*MSVolatEF*NtoN2O*kgtoGg</f>
        <v>8.7118142180131995E-3</v>
      </c>
      <c r="Y1511" s="22">
        <f>'Activity data'!AR48*ttokg*FracGASM*MSVolatEF*NtoN2O*kgtoGg</f>
        <v>8.7099403355157048E-3</v>
      </c>
      <c r="Z1511" s="22">
        <f>'Activity data'!AS48*ttokg*FracGASM*MSVolatEF*NtoN2O*kgtoGg</f>
        <v>8.7080404530308231E-3</v>
      </c>
      <c r="AA1511" s="22">
        <f>'Activity data'!AT48*ttokg*FracGASM*MSVolatEF*NtoN2O*kgtoGg</f>
        <v>8.7062214397864383E-3</v>
      </c>
      <c r="AB1511" s="22">
        <f>'Activity data'!AU48*ttokg*FracGASM*MSVolatEF*NtoN2O*kgtoGg</f>
        <v>8.704324678128551E-3</v>
      </c>
      <c r="AC1511" s="22">
        <f>'Activity data'!AV48*ttokg*FracGASM*MSVolatEF*NtoN2O*kgtoGg</f>
        <v>8.7025627133153448E-3</v>
      </c>
      <c r="AD1511" s="22">
        <f>'Activity data'!AW48*ttokg*FracGASM*MSVolatEF*NtoN2O*kgtoGg</f>
        <v>8.7007850306174105E-3</v>
      </c>
      <c r="AE1511" s="22">
        <f>'Activity data'!AX48*ttokg*FracGASM*MSVolatEF*NtoN2O*kgtoGg</f>
        <v>8.698716410280187E-3</v>
      </c>
      <c r="AF1511" s="22">
        <f>'Activity data'!AY48*ttokg*FracGASM*MSVolatEF*NtoN2O*kgtoGg</f>
        <v>8.6965325800957543E-3</v>
      </c>
      <c r="AG1511" s="22">
        <f>'Activity data'!AZ48*ttokg*FracGASM*MSVolatEF*NtoN2O*kgtoGg</f>
        <v>8.694321202881973E-3</v>
      </c>
      <c r="AH1511" s="22">
        <f>'Activity data'!BA48*ttokg*FracGASM*MSVolatEF*NtoN2O*kgtoGg</f>
        <v>8.6938823395792293E-3</v>
      </c>
      <c r="AI1511" s="22">
        <f>'Activity data'!BB48*ttokg*FracGASM*MSVolatEF*NtoN2O*kgtoGg</f>
        <v>8.8762544874945153E-3</v>
      </c>
      <c r="AJ1511" s="22">
        <f>'Activity data'!BC48*ttokg*FracGASM*MSVolatEF*NtoN2O*kgtoGg</f>
        <v>8.876577132656726E-3</v>
      </c>
      <c r="AK1511" s="22">
        <f>'Activity data'!BD48*ttokg*FracGASM*MSVolatEF*NtoN2O*kgtoGg</f>
        <v>8.8769031741840459E-3</v>
      </c>
      <c r="AL1511" s="22">
        <f>'Activity data'!BE48*ttokg*FracGASM*MSVolatEF*NtoN2O*kgtoGg</f>
        <v>8.8772326588657333E-3</v>
      </c>
      <c r="AM1511" s="22">
        <f>'Activity data'!BF48*ttokg*FracGASM*MSVolatEF*NtoN2O*kgtoGg</f>
        <v>8.8775656343711064E-3</v>
      </c>
      <c r="AN1511" s="22">
        <f>'Activity data'!BG48*ttokg*FracGASM*MSVolatEF*NtoN2O*kgtoGg</f>
        <v>8.877902149271517E-3</v>
      </c>
      <c r="AO1511" s="22">
        <f>'Activity data'!BH48*ttokg*FracGASM*MSVolatEF*NtoN2O*kgtoGg</f>
        <v>8.8781906046115251E-3</v>
      </c>
      <c r="AP1511" s="22">
        <f>'Activity data'!BI48*ttokg*FracGASM*MSVolatEF*NtoN2O*kgtoGg</f>
        <v>8.8784816765330177E-3</v>
      </c>
      <c r="AQ1511" s="22">
        <f>'Activity data'!BJ48*ttokg*FracGASM*MSVolatEF*NtoN2O*kgtoGg</f>
        <v>8.8787753963442528E-3</v>
      </c>
      <c r="AR1511" s="22">
        <f>'Activity data'!BK48*ttokg*FracGASM*MSVolatEF*NtoN2O*kgtoGg</f>
        <v>8.8790717958671054E-3</v>
      </c>
      <c r="AS1511" s="22">
        <f>'Activity data'!BL48*ttokg*FracGASM*MSVolatEF*NtoN2O*kgtoGg</f>
        <v>8.8793709074482721E-3</v>
      </c>
      <c r="AT1511" s="22">
        <f>'Activity data'!BM48*ttokg*FracGASM*MSVolatEF*NtoN2O*kgtoGg</f>
        <v>8.8796189417032281E-3</v>
      </c>
      <c r="AU1511" s="22">
        <f>'Activity data'!BN48*ttokg*FracGASM*MSVolatEF*NtoN2O*kgtoGg</f>
        <v>8.8798688508735287E-3</v>
      </c>
      <c r="AV1511" s="22">
        <f>'Activity data'!BO48*ttokg*FracGASM*MSVolatEF*NtoN2O*kgtoGg</f>
        <v>8.8801206537795687E-3</v>
      </c>
      <c r="AW1511" s="22">
        <f>'Activity data'!BP48*ttokg*FracGASM*MSVolatEF*NtoN2O*kgtoGg</f>
        <v>8.8803743695016445E-3</v>
      </c>
    </row>
    <row r="1512" spans="1:49" x14ac:dyDescent="0.25">
      <c r="A1512" s="102" t="s">
        <v>961</v>
      </c>
      <c r="B1512" s="102"/>
      <c r="C1512" s="102"/>
      <c r="D1512" t="str">
        <f t="shared" ref="D1512:F1527" si="572">D1511</f>
        <v>3C Aggregated and non-CO2 emissions on land</v>
      </c>
      <c r="E1512" t="str">
        <f t="shared" si="572"/>
        <v>3C5 Indirect N2O from managed soils (N2O)</v>
      </c>
      <c r="F1512" t="str">
        <f t="shared" si="572"/>
        <v>Volatilisation</v>
      </c>
      <c r="G1512" t="s">
        <v>437</v>
      </c>
      <c r="H1512" t="str">
        <f t="shared" si="563"/>
        <v>Volatilisation - Managed manure</v>
      </c>
      <c r="I1512" t="str">
        <f t="shared" si="571"/>
        <v>N2O</v>
      </c>
      <c r="J1512" t="str">
        <f t="shared" si="570"/>
        <v>Gg N2O</v>
      </c>
      <c r="K1512" s="22">
        <f>SUM('Activity data'!AD50:AD65)*FracGASM*MSVolatEF*NtoN2O*kgtoGg</f>
        <v>1.2093332917192059</v>
      </c>
      <c r="L1512" s="22">
        <f>SUM('Activity data'!AE50:AE65)*FracGASM*MSVolatEF*NtoN2O*kgtoGg</f>
        <v>1.212549014194676</v>
      </c>
      <c r="M1512" s="22">
        <f>SUM('Activity data'!AF50:AF65)*FracGASM*MSVolatEF*NtoN2O*kgtoGg</f>
        <v>1.2080675975352919</v>
      </c>
      <c r="N1512" s="22">
        <f>SUM('Activity data'!AG50:AG65)*FracGASM*MSVolatEF*NtoN2O*kgtoGg</f>
        <v>1.1932021188168924</v>
      </c>
      <c r="O1512" s="22">
        <f>SUM('Activity data'!AH50:AH65)*FracGASM*MSVolatEF*NtoN2O*kgtoGg</f>
        <v>1.1789615688677482</v>
      </c>
      <c r="P1512" s="22">
        <f>SUM('Activity data'!AI50:AI65)*FracGASM*MSVolatEF*NtoN2O*kgtoGg</f>
        <v>1.1704734210058418</v>
      </c>
      <c r="Q1512" s="22">
        <f>SUM('Activity data'!AJ50:AJ65)*FracGASM*MSVolatEF*NtoN2O*kgtoGg</f>
        <v>1.1638691365373428</v>
      </c>
      <c r="R1512" s="22">
        <f>SUM('Activity data'!AK50:AK65)*FracGASM*MSVolatEF*NtoN2O*kgtoGg</f>
        <v>1.1469007270703131</v>
      </c>
      <c r="S1512" s="22">
        <f>SUM('Activity data'!AL50:AL65)*FracGASM*MSVolatEF*NtoN2O*kgtoGg</f>
        <v>1.0343013809056243</v>
      </c>
      <c r="T1512" s="22">
        <f>SUM('Activity data'!AM50:AM65)*FracGASM*MSVolatEF*NtoN2O*kgtoGg</f>
        <v>1.0481909256150905</v>
      </c>
      <c r="U1512" s="22">
        <f>SUM('Activity data'!AN50:AN65)*FracGASM*MSVolatEF*NtoN2O*kgtoGg</f>
        <v>1.0595148748541463</v>
      </c>
      <c r="V1512" s="22">
        <f>SUM('Activity data'!AO50:AO65)*FracGASM*MSVolatEF*NtoN2O*kgtoGg</f>
        <v>1.0708200492308082</v>
      </c>
      <c r="W1512" s="22">
        <f>SUM('Activity data'!AP50:AP65)*FracGASM*MSVolatEF*NtoN2O*kgtoGg</f>
        <v>1.0860105374840394</v>
      </c>
      <c r="X1512" s="22">
        <f>SUM('Activity data'!AQ50:AQ65)*FracGASM*MSVolatEF*NtoN2O*kgtoGg</f>
        <v>1.1011136627598048</v>
      </c>
      <c r="Y1512" s="22">
        <f>SUM('Activity data'!AR50:AR65)*FracGASM*MSVolatEF*NtoN2O*kgtoGg</f>
        <v>1.1168753754822469</v>
      </c>
      <c r="Z1512" s="22">
        <f>SUM('Activity data'!AS50:AS65)*FracGASM*MSVolatEF*NtoN2O*kgtoGg</f>
        <v>1.1316116174141071</v>
      </c>
      <c r="AA1512" s="22">
        <f>SUM('Activity data'!AT50:AT65)*FracGASM*MSVolatEF*NtoN2O*kgtoGg</f>
        <v>1.1477472664244306</v>
      </c>
      <c r="AB1512" s="22">
        <f>SUM('Activity data'!AU50:AU65)*FracGASM*MSVolatEF*NtoN2O*kgtoGg</f>
        <v>1.162000977077071</v>
      </c>
      <c r="AC1512" s="22">
        <f>SUM('Activity data'!AV50:AV65)*FracGASM*MSVolatEF*NtoN2O*kgtoGg</f>
        <v>1.1766850766989885</v>
      </c>
      <c r="AD1512" s="22">
        <f>SUM('Activity data'!AW50:AW65)*FracGASM*MSVolatEF*NtoN2O*kgtoGg</f>
        <v>1.1920390141813535</v>
      </c>
      <c r="AE1512" s="22">
        <f>SUM('Activity data'!AX50:AX65)*FracGASM*MSVolatEF*NtoN2O*kgtoGg</f>
        <v>1.209291621864601</v>
      </c>
      <c r="AF1512" s="22">
        <f>SUM('Activity data'!AY50:AY65)*FracGASM*MSVolatEF*NtoN2O*kgtoGg</f>
        <v>1.2270828646029268</v>
      </c>
      <c r="AG1512" s="22">
        <f>SUM('Activity data'!AZ50:AZ65)*FracGASM*MSVolatEF*NtoN2O*kgtoGg</f>
        <v>1.2169487802084893</v>
      </c>
      <c r="AH1512" s="22">
        <f>SUM('Activity data'!BA50:BA65)*FracGASM*MSVolatEF*NtoN2O*kgtoGg</f>
        <v>-0.11188522139136049</v>
      </c>
      <c r="AI1512" s="22">
        <f>SUM('Activity data'!BB50:BB65)*FracGASM*MSVolatEF*NtoN2O*kgtoGg</f>
        <v>-0.10923992354699982</v>
      </c>
      <c r="AJ1512" s="22">
        <f>SUM('Activity data'!BC50:BC65)*FracGASM*MSVolatEF*NtoN2O*kgtoGg</f>
        <v>-0.10664295801578709</v>
      </c>
      <c r="AK1512" s="22">
        <f>SUM('Activity data'!BD50:BD65)*FracGASM*MSVolatEF*NtoN2O*kgtoGg</f>
        <v>-0.10409179637304686</v>
      </c>
      <c r="AL1512" s="22">
        <f>SUM('Activity data'!BE50:BE65)*FracGASM*MSVolatEF*NtoN2O*kgtoGg</f>
        <v>-0.10158408786075553</v>
      </c>
      <c r="AM1512" s="22">
        <f>SUM('Activity data'!BF50:BF65)*FracGASM*MSVolatEF*NtoN2O*kgtoGg</f>
        <v>-9.911764281122247E-2</v>
      </c>
      <c r="AN1512" s="22">
        <f>SUM('Activity data'!BG50:BG65)*FracGASM*MSVolatEF*NtoN2O*kgtoGg</f>
        <v>-9.7051147987208763E-2</v>
      </c>
      <c r="AO1512" s="22">
        <f>SUM('Activity data'!BH50:BH65)*FracGASM*MSVolatEF*NtoN2O*kgtoGg</f>
        <v>-9.5020146872529937E-2</v>
      </c>
      <c r="AP1512" s="22">
        <f>SUM('Activity data'!BI50:BI65)*FracGASM*MSVolatEF*NtoN2O*kgtoGg</f>
        <v>-9.3023012126499452E-2</v>
      </c>
      <c r="AQ1512" s="22">
        <f>SUM('Activity data'!BJ50:BJ65)*FracGASM*MSVolatEF*NtoN2O*kgtoGg</f>
        <v>-9.1058219239636279E-2</v>
      </c>
      <c r="AR1512" s="22">
        <f>SUM('Activity data'!BK50:BK65)*FracGASM*MSVolatEF*NtoN2O*kgtoGg</f>
        <v>-8.9124337939456066E-2</v>
      </c>
      <c r="AS1512" s="22">
        <f>SUM('Activity data'!BL50:BL65)*FracGASM*MSVolatEF*NtoN2O*kgtoGg</f>
        <v>-8.7091918156742387E-2</v>
      </c>
      <c r="AT1512" s="22">
        <f>SUM('Activity data'!BM50:BM65)*FracGASM*MSVolatEF*NtoN2O*kgtoGg</f>
        <v>-8.5090852576232723E-2</v>
      </c>
      <c r="AU1512" s="22">
        <f>SUM('Activity data'!BN50:BN65)*FracGASM*MSVolatEF*NtoN2O*kgtoGg</f>
        <v>-8.3119887513720792E-2</v>
      </c>
      <c r="AV1512" s="22">
        <f>SUM('Activity data'!BO50:BO65)*FracGASM*MSVolatEF*NtoN2O*kgtoGg</f>
        <v>-8.1177840815191041E-2</v>
      </c>
      <c r="AW1512" s="22">
        <f>SUM('Activity data'!BP50:BP65)*FracGASM*MSVolatEF*NtoN2O*kgtoGg</f>
        <v>-7.9263596467564895E-2</v>
      </c>
    </row>
    <row r="1513" spans="1:49" x14ac:dyDescent="0.25">
      <c r="A1513" s="102" t="s">
        <v>961</v>
      </c>
      <c r="B1513" s="102"/>
      <c r="C1513" s="102"/>
      <c r="D1513" t="str">
        <f t="shared" si="572"/>
        <v>3C Aggregated and non-CO2 emissions on land</v>
      </c>
      <c r="E1513" t="str">
        <f t="shared" si="572"/>
        <v>3C5 Indirect N2O from managed soils (N2O)</v>
      </c>
      <c r="F1513" t="str">
        <f t="shared" si="572"/>
        <v>Volatilisation</v>
      </c>
      <c r="G1513" t="s">
        <v>438</v>
      </c>
      <c r="H1513" t="str">
        <f t="shared" si="563"/>
        <v>Volatilisation - Urine &amp; dung</v>
      </c>
      <c r="I1513" t="str">
        <f t="shared" si="571"/>
        <v>N2O</v>
      </c>
      <c r="J1513" t="str">
        <f t="shared" si="570"/>
        <v>Gg N2O</v>
      </c>
      <c r="K1513" s="22">
        <f>SUM('Activity data'!AD66:AD81)*FracGASM*MSVolatEF*NtoN2O*kgtoGg</f>
        <v>4.4200208339270741</v>
      </c>
      <c r="L1513" s="22">
        <f>SUM('Activity data'!AE66:AE81)*FracGASM*MSVolatEF*NtoN2O*kgtoGg</f>
        <v>4.4063497224338981</v>
      </c>
      <c r="M1513" s="22">
        <f>SUM('Activity data'!AF66:AF81)*FracGASM*MSVolatEF*NtoN2O*kgtoGg</f>
        <v>4.3748236308422763</v>
      </c>
      <c r="N1513" s="22">
        <f>SUM('Activity data'!AG66:AG81)*FracGASM*MSVolatEF*NtoN2O*kgtoGg</f>
        <v>4.3194633293945399</v>
      </c>
      <c r="O1513" s="22">
        <f>SUM('Activity data'!AH66:AH81)*FracGASM*MSVolatEF*NtoN2O*kgtoGg</f>
        <v>4.2670975633063994</v>
      </c>
      <c r="P1513" s="22">
        <f>SUM('Activity data'!AI66:AI81)*FracGASM*MSVolatEF*NtoN2O*kgtoGg</f>
        <v>4.2296870830077653</v>
      </c>
      <c r="Q1513" s="22">
        <f>SUM('Activity data'!AJ66:AJ81)*FracGASM*MSVolatEF*NtoN2O*kgtoGg</f>
        <v>4.1973003663588617</v>
      </c>
      <c r="R1513" s="22">
        <f>SUM('Activity data'!AK66:AK81)*FracGASM*MSVolatEF*NtoN2O*kgtoGg</f>
        <v>4.1416337219460111</v>
      </c>
      <c r="S1513" s="22">
        <f>SUM('Activity data'!AL66:AL81)*FracGASM*MSVolatEF*NtoN2O*kgtoGg</f>
        <v>3.8694283391195556</v>
      </c>
      <c r="T1513" s="22">
        <f>SUM('Activity data'!AM66:AM81)*FracGASM*MSVolatEF*NtoN2O*kgtoGg</f>
        <v>3.892690707807458</v>
      </c>
      <c r="U1513" s="22">
        <f>SUM('Activity data'!AN66:AN81)*FracGASM*MSVolatEF*NtoN2O*kgtoGg</f>
        <v>3.910223559811274</v>
      </c>
      <c r="V1513" s="22">
        <f>SUM('Activity data'!AO66:AO81)*FracGASM*MSVolatEF*NtoN2O*kgtoGg</f>
        <v>3.9277946028277135</v>
      </c>
      <c r="W1513" s="22">
        <f>SUM('Activity data'!AP66:AP81)*FracGASM*MSVolatEF*NtoN2O*kgtoGg</f>
        <v>3.9540546968376762</v>
      </c>
      <c r="X1513" s="22">
        <f>SUM('Activity data'!AQ66:AQ81)*FracGASM*MSVolatEF*NtoN2O*kgtoGg</f>
        <v>3.9800525826427466</v>
      </c>
      <c r="Y1513" s="22">
        <f>SUM('Activity data'!AR66:AR81)*FracGASM*MSVolatEF*NtoN2O*kgtoGg</f>
        <v>4.0052503163811615</v>
      </c>
      <c r="Z1513" s="22">
        <f>SUM('Activity data'!AS66:AS81)*FracGASM*MSVolatEF*NtoN2O*kgtoGg</f>
        <v>4.0280715770679869</v>
      </c>
      <c r="AA1513" s="22">
        <f>SUM('Activity data'!AT66:AT81)*FracGASM*MSVolatEF*NtoN2O*kgtoGg</f>
        <v>4.0537990986432781</v>
      </c>
      <c r="AB1513" s="22">
        <f>SUM('Activity data'!AU66:AU81)*FracGASM*MSVolatEF*NtoN2O*kgtoGg</f>
        <v>4.0752877726899488</v>
      </c>
      <c r="AC1513" s="22">
        <f>SUM('Activity data'!AV66:AV81)*FracGASM*MSVolatEF*NtoN2O*kgtoGg</f>
        <v>4.0975518352324007</v>
      </c>
      <c r="AD1513" s="22">
        <f>SUM('Activity data'!AW66:AW81)*FracGASM*MSVolatEF*NtoN2O*kgtoGg</f>
        <v>4.1101837888002137</v>
      </c>
      <c r="AE1513" s="22">
        <f>SUM('Activity data'!AX66:AX81)*FracGASM*MSVolatEF*NtoN2O*kgtoGg</f>
        <v>4.1260897941446899</v>
      </c>
      <c r="AF1513" s="22">
        <f>SUM('Activity data'!AY66:AY81)*FracGASM*MSVolatEF*NtoN2O*kgtoGg</f>
        <v>4.1422931340887423</v>
      </c>
      <c r="AG1513" s="22">
        <f>SUM('Activity data'!AZ66:AZ81)*FracGASM*MSVolatEF*NtoN2O*kgtoGg</f>
        <v>4.1002928018965292</v>
      </c>
      <c r="AH1513" s="22">
        <f>SUM('Activity data'!BA66:BA81)*FracGASM*MSVolatEF*NtoN2O*kgtoGg</f>
        <v>1.3815874291099948</v>
      </c>
      <c r="AI1513" s="22">
        <f>SUM('Activity data'!BB66:BB81)*FracGASM*MSVolatEF*NtoN2O*kgtoGg</f>
        <v>1.3949306414379468</v>
      </c>
      <c r="AJ1513" s="22">
        <f>SUM('Activity data'!BC66:BC81)*FracGASM*MSVolatEF*NtoN2O*kgtoGg</f>
        <v>1.4082841741429419</v>
      </c>
      <c r="AK1513" s="22">
        <f>SUM('Activity data'!BD66:BD81)*FracGASM*MSVolatEF*NtoN2O*kgtoGg</f>
        <v>1.4216501520712144</v>
      </c>
      <c r="AL1513" s="22">
        <f>SUM('Activity data'!BE66:BE81)*FracGASM*MSVolatEF*NtoN2O*kgtoGg</f>
        <v>1.4350306139589808</v>
      </c>
      <c r="AM1513" s="22">
        <f>SUM('Activity data'!BF66:BF81)*FracGASM*MSVolatEF*NtoN2O*kgtoGg</f>
        <v>1.4484275190090183</v>
      </c>
      <c r="AN1513" s="22">
        <f>SUM('Activity data'!BG66:BG81)*FracGASM*MSVolatEF*NtoN2O*kgtoGg</f>
        <v>1.4583849717914823</v>
      </c>
      <c r="AO1513" s="22">
        <f>SUM('Activity data'!BH66:BH81)*FracGASM*MSVolatEF*NtoN2O*kgtoGg</f>
        <v>1.4683627043177812</v>
      </c>
      <c r="AP1513" s="22">
        <f>SUM('Activity data'!BI66:BI81)*FracGASM*MSVolatEF*NtoN2O*kgtoGg</f>
        <v>1.4783612830909323</v>
      </c>
      <c r="AQ1513" s="22">
        <f>SUM('Activity data'!BJ66:BJ81)*FracGASM*MSVolatEF*NtoN2O*kgtoGg</f>
        <v>1.4883812733334345</v>
      </c>
      <c r="AR1513" s="22">
        <f>SUM('Activity data'!BK66:BK81)*FracGASM*MSVolatEF*NtoN2O*kgtoGg</f>
        <v>1.4984232382688703</v>
      </c>
      <c r="AS1513" s="22">
        <f>SUM('Activity data'!BL66:BL81)*FracGASM*MSVolatEF*NtoN2O*kgtoGg</f>
        <v>1.5071704030997894</v>
      </c>
      <c r="AT1513" s="22">
        <f>SUM('Activity data'!BM66:BM81)*FracGASM*MSVolatEF*NtoN2O*kgtoGg</f>
        <v>1.5159247272983905</v>
      </c>
      <c r="AU1513" s="22">
        <f>SUM('Activity data'!BN66:BN81)*FracGASM*MSVolatEF*NtoN2O*kgtoGg</f>
        <v>1.5246866021590828</v>
      </c>
      <c r="AV1513" s="22">
        <f>SUM('Activity data'!BO66:BO81)*FracGASM*MSVolatEF*NtoN2O*kgtoGg</f>
        <v>1.5334564173590695</v>
      </c>
      <c r="AW1513" s="22">
        <f>SUM('Activity data'!BP66:BP81)*FracGASM*MSVolatEF*NtoN2O*kgtoGg</f>
        <v>1.5422345604898144</v>
      </c>
    </row>
    <row r="1514" spans="1:49" x14ac:dyDescent="0.25">
      <c r="A1514" s="102" t="s">
        <v>961</v>
      </c>
      <c r="B1514" s="102"/>
      <c r="C1514" s="102"/>
      <c r="D1514" t="str">
        <f t="shared" si="572"/>
        <v>3C Aggregated and non-CO2 emissions on land</v>
      </c>
      <c r="E1514" t="str">
        <f t="shared" si="572"/>
        <v>3C5 Indirect N2O from managed soils (N2O)</v>
      </c>
      <c r="F1514" t="str">
        <f>'IPCC Categories'!C79</f>
        <v>Leaching/runoff</v>
      </c>
      <c r="G1514" t="str">
        <f>G1510</f>
        <v xml:space="preserve"> - Synthetic fertlisers</v>
      </c>
      <c r="H1514" t="str">
        <f t="shared" si="563"/>
        <v>Leaching/runoff - Synthetic fertlisers</v>
      </c>
      <c r="I1514" t="str">
        <f t="shared" si="571"/>
        <v>N2O</v>
      </c>
      <c r="J1514" t="str">
        <f t="shared" si="570"/>
        <v>Gg N2O</v>
      </c>
      <c r="K1514" s="22">
        <f>'Activity data'!AD47*FracLEACH*MSLeachEF*NtoN2O*kgtoGg</f>
        <v>2.2792360161858692E-4</v>
      </c>
      <c r="L1514" s="22">
        <f>'Activity data'!AE47*FracLEACH*MSLeachEF*NtoN2O*kgtoGg</f>
        <v>2.2789089758152E-4</v>
      </c>
      <c r="M1514" s="22">
        <f>'Activity data'!AF47*FracLEACH*MSLeachEF*NtoN2O*kgtoGg</f>
        <v>2.2784620728789122E-4</v>
      </c>
      <c r="N1514" s="22">
        <f>'Activity data'!AG47*FracLEACH*MSLeachEF*NtoN2O*kgtoGg</f>
        <v>2.2781376806101585E-4</v>
      </c>
      <c r="O1514" s="22">
        <f>'Activity data'!AH47*FracLEACH*MSLeachEF*NtoN2O*kgtoGg</f>
        <v>2.277979703991449E-4</v>
      </c>
      <c r="P1514" s="22">
        <f>'Activity data'!AI47*FracLEACH*MSLeachEF*NtoN2O*kgtoGg</f>
        <v>2.2778237795328883E-4</v>
      </c>
      <c r="Q1514" s="22">
        <f>'Activity data'!AJ47*FracLEACH*MSLeachEF*NtoN2O*kgtoGg</f>
        <v>2.2775879036527182E-4</v>
      </c>
      <c r="R1514" s="22">
        <f>'Activity data'!AK47*FracLEACH*MSLeachEF*NtoN2O*kgtoGg</f>
        <v>2.2773296541219322E-4</v>
      </c>
      <c r="S1514" s="22">
        <f>'Activity data'!AL47*FracLEACH*MSLeachEF*NtoN2O*kgtoGg</f>
        <v>2.2772451381029767E-4</v>
      </c>
      <c r="T1514" s="22">
        <f>'Activity data'!AM47*FracLEACH*MSLeachEF*NtoN2O*kgtoGg</f>
        <v>2.2787975604510752E-4</v>
      </c>
      <c r="U1514" s="22">
        <f>'Activity data'!AN47*FracLEACH*MSLeachEF*NtoN2O*kgtoGg</f>
        <v>2.2783133073996282E-4</v>
      </c>
      <c r="V1514" s="22">
        <f>'Activity data'!AO47*FracLEACH*MSLeachEF*NtoN2O*kgtoGg</f>
        <v>2.2778779266900863E-4</v>
      </c>
      <c r="W1514" s="22">
        <f>'Activity data'!AP47*FracLEACH*MSLeachEF*NtoN2O*kgtoGg</f>
        <v>2.2774465820609167E-4</v>
      </c>
      <c r="X1514" s="22">
        <f>'Activity data'!AQ47*FracLEACH*MSLeachEF*NtoN2O*kgtoGg</f>
        <v>2.2769514433443585E-4</v>
      </c>
      <c r="Y1514" s="22">
        <f>'Activity data'!AR47*FracLEACH*MSLeachEF*NtoN2O*kgtoGg</f>
        <v>2.2764616786006951E-4</v>
      </c>
      <c r="Z1514" s="22">
        <f>'Activity data'!AS47*FracLEACH*MSLeachEF*NtoN2O*kgtoGg</f>
        <v>2.2759651184057824E-4</v>
      </c>
      <c r="AA1514" s="22">
        <f>'Activity data'!AT47*FracLEACH*MSLeachEF*NtoN2O*kgtoGg</f>
        <v>2.2754896944896373E-4</v>
      </c>
      <c r="AB1514" s="22">
        <f>'Activity data'!AU47*FracLEACH*MSLeachEF*NtoN2O*kgtoGg</f>
        <v>2.2749939499654159E-4</v>
      </c>
      <c r="AC1514" s="22">
        <f>'Activity data'!AV47*FracLEACH*MSLeachEF*NtoN2O*kgtoGg</f>
        <v>2.2745334364346914E-4</v>
      </c>
      <c r="AD1514" s="22">
        <f>'Activity data'!AW47*FracLEACH*MSLeachEF*NtoN2O*kgtoGg</f>
        <v>2.2740688148204587E-4</v>
      </c>
      <c r="AE1514" s="22">
        <f>'Activity data'!AX47*FracLEACH*MSLeachEF*NtoN2O*kgtoGg</f>
        <v>2.2735281526868665E-4</v>
      </c>
      <c r="AF1514" s="22">
        <f>'Activity data'!AY47*FracLEACH*MSLeachEF*NtoN2O*kgtoGg</f>
        <v>2.2729573788886622E-4</v>
      </c>
      <c r="AG1514" s="22">
        <f>'Activity data'!AZ47*FracLEACH*MSLeachEF*NtoN2O*kgtoGg</f>
        <v>2.2723794052986968E-4</v>
      </c>
      <c r="AH1514" s="22">
        <f>'Activity data'!BA47*FracLEACH*MSLeachEF*NtoN2O*kgtoGg</f>
        <v>2.2722647023900249E-4</v>
      </c>
      <c r="AI1514" s="22">
        <f>'Activity data'!BB47*FracLEACH*MSLeachEF*NtoN2O*kgtoGg</f>
        <v>2.3199301501406117E-4</v>
      </c>
      <c r="AJ1514" s="22">
        <f>'Activity data'!BC47*FracLEACH*MSLeachEF*NtoN2O*kgtoGg</f>
        <v>2.3200144778534623E-4</v>
      </c>
      <c r="AK1514" s="22">
        <f>'Activity data'!BD47*FracLEACH*MSLeachEF*NtoN2O*kgtoGg</f>
        <v>2.3200996932526481E-4</v>
      </c>
      <c r="AL1514" s="22">
        <f>'Activity data'!BE47*FracLEACH*MSLeachEF*NtoN2O*kgtoGg</f>
        <v>2.3201858085671791E-4</v>
      </c>
      <c r="AM1514" s="22">
        <f>'Activity data'!BF47*FracLEACH*MSLeachEF*NtoN2O*kgtoGg</f>
        <v>2.3202728362560843E-4</v>
      </c>
      <c r="AN1514" s="22">
        <f>'Activity data'!BG47*FracLEACH*MSLeachEF*NtoN2O*kgtoGg</f>
        <v>2.3203607890141459E-4</v>
      </c>
      <c r="AO1514" s="22">
        <f>'Activity data'!BH47*FracLEACH*MSLeachEF*NtoN2O*kgtoGg</f>
        <v>2.3204361807507387E-4</v>
      </c>
      <c r="AP1514" s="22">
        <f>'Activity data'!BI47*FracLEACH*MSLeachEF*NtoN2O*kgtoGg</f>
        <v>2.3205122563665836E-4</v>
      </c>
      <c r="AQ1514" s="22">
        <f>'Activity data'!BJ47*FracLEACH*MSLeachEF*NtoN2O*kgtoGg</f>
        <v>2.3205890240445205E-4</v>
      </c>
      <c r="AR1514" s="22">
        <f>'Activity data'!BK47*FracLEACH*MSLeachEF*NtoN2O*kgtoGg</f>
        <v>2.3206664921016296E-4</v>
      </c>
      <c r="AS1514" s="22">
        <f>'Activity data'!BL47*FracLEACH*MSLeachEF*NtoN2O*kgtoGg</f>
        <v>2.3207446689921618E-4</v>
      </c>
      <c r="AT1514" s="22">
        <f>'Activity data'!BM47*FracLEACH*MSLeachEF*NtoN2O*kgtoGg</f>
        <v>2.3208094961269798E-4</v>
      </c>
      <c r="AU1514" s="22">
        <f>'Activity data'!BN47*FracLEACH*MSLeachEF*NtoN2O*kgtoGg</f>
        <v>2.3208748132964898E-4</v>
      </c>
      <c r="AV1514" s="22">
        <f>'Activity data'!BO47*FracLEACH*MSLeachEF*NtoN2O*kgtoGg</f>
        <v>2.3209406254196601E-4</v>
      </c>
      <c r="AW1514" s="22">
        <f>'Activity data'!BP47*FracLEACH*MSLeachEF*NtoN2O*kgtoGg</f>
        <v>2.3210069374833838E-4</v>
      </c>
    </row>
    <row r="1515" spans="1:49" x14ac:dyDescent="0.25">
      <c r="A1515" s="102" t="s">
        <v>961</v>
      </c>
      <c r="B1515" s="102"/>
      <c r="C1515" s="102"/>
      <c r="D1515" t="str">
        <f t="shared" si="572"/>
        <v>3C Aggregated and non-CO2 emissions on land</v>
      </c>
      <c r="E1515" t="str">
        <f t="shared" si="572"/>
        <v>3C5 Indirect N2O from managed soils (N2O)</v>
      </c>
      <c r="F1515" t="str">
        <f t="shared" si="572"/>
        <v>Leaching/runoff</v>
      </c>
      <c r="G1515" t="str">
        <f t="shared" ref="G1515:G1517" si="573">G1511</f>
        <v xml:space="preserve"> - Organic fertilisers</v>
      </c>
      <c r="H1515" t="str">
        <f t="shared" si="563"/>
        <v>Leaching/runoff - Organic fertilisers</v>
      </c>
      <c r="I1515" t="str">
        <f t="shared" si="571"/>
        <v>N2O</v>
      </c>
      <c r="J1515" t="str">
        <f t="shared" si="570"/>
        <v>Gg N2O</v>
      </c>
      <c r="K1515" s="22">
        <f>'Activity data'!AD48*FracLEACH*MSLeachEF*NtoN2O*kgtoGg</f>
        <v>1.5042957706826741E-6</v>
      </c>
      <c r="L1515" s="22">
        <f>'Activity data'!AE48*FracLEACH*MSLeachEF*NtoN2O*kgtoGg</f>
        <v>1.5040799240380321E-6</v>
      </c>
      <c r="M1515" s="22">
        <f>'Activity data'!AF48*FracLEACH*MSLeachEF*NtoN2O*kgtoGg</f>
        <v>1.5037849681000825E-6</v>
      </c>
      <c r="N1515" s="22">
        <f>'Activity data'!AG48*FracLEACH*MSLeachEF*NtoN2O*kgtoGg</f>
        <v>1.5035708692027049E-6</v>
      </c>
      <c r="O1515" s="22">
        <f>'Activity data'!AH48*FracLEACH*MSLeachEF*NtoN2O*kgtoGg</f>
        <v>1.5034666046343562E-6</v>
      </c>
      <c r="P1515" s="22">
        <f>'Activity data'!AI48*FracLEACH*MSLeachEF*NtoN2O*kgtoGg</f>
        <v>1.5033636944917065E-6</v>
      </c>
      <c r="Q1515" s="22">
        <f>'Activity data'!AJ48*FracLEACH*MSLeachEF*NtoN2O*kgtoGg</f>
        <v>1.5032080164107946E-6</v>
      </c>
      <c r="R1515" s="22">
        <f>'Activity data'!AK48*FracLEACH*MSLeachEF*NtoN2O*kgtoGg</f>
        <v>1.5030375717204757E-6</v>
      </c>
      <c r="S1515" s="22">
        <f>'Activity data'!AL48*FracLEACH*MSLeachEF*NtoN2O*kgtoGg</f>
        <v>1.5029817911479652E-6</v>
      </c>
      <c r="T1515" s="22">
        <f>'Activity data'!AM48*FracLEACH*MSLeachEF*NtoN2O*kgtoGg</f>
        <v>1.5040063898977102E-6</v>
      </c>
      <c r="U1515" s="22">
        <f>'Activity data'!AN48*FracLEACH*MSLeachEF*NtoN2O*kgtoGg</f>
        <v>1.503686782883755E-6</v>
      </c>
      <c r="V1515" s="22">
        <f>'Activity data'!AO48*FracLEACH*MSLeachEF*NtoN2O*kgtoGg</f>
        <v>1.5033994316154569E-6</v>
      </c>
      <c r="W1515" s="22">
        <f>'Activity data'!AP48*FracLEACH*MSLeachEF*NtoN2O*kgtoGg</f>
        <v>1.5031147441602057E-6</v>
      </c>
      <c r="X1515" s="22">
        <f>'Activity data'!AQ48*FracLEACH*MSLeachEF*NtoN2O*kgtoGg</f>
        <v>1.5027879526072768E-6</v>
      </c>
      <c r="Y1515" s="22">
        <f>'Activity data'!AR48*FracLEACH*MSLeachEF*NtoN2O*kgtoGg</f>
        <v>1.5024647078764589E-6</v>
      </c>
      <c r="Z1515" s="22">
        <f>'Activity data'!AS48*FracLEACH*MSLeachEF*NtoN2O*kgtoGg</f>
        <v>1.5021369781478169E-6</v>
      </c>
      <c r="AA1515" s="22">
        <f>'Activity data'!AT48*FracLEACH*MSLeachEF*NtoN2O*kgtoGg</f>
        <v>1.5018231983631605E-6</v>
      </c>
      <c r="AB1515" s="22">
        <f>'Activity data'!AU48*FracLEACH*MSLeachEF*NtoN2O*kgtoGg</f>
        <v>1.5014960069771748E-6</v>
      </c>
      <c r="AC1515" s="22">
        <f>'Activity data'!AV48*FracLEACH*MSLeachEF*NtoN2O*kgtoGg</f>
        <v>1.5011920680468966E-6</v>
      </c>
      <c r="AD1515" s="22">
        <f>'Activity data'!AW48*FracLEACH*MSLeachEF*NtoN2O*kgtoGg</f>
        <v>1.5008854177815029E-6</v>
      </c>
      <c r="AE1515" s="22">
        <f>'Activity data'!AX48*FracLEACH*MSLeachEF*NtoN2O*kgtoGg</f>
        <v>1.5005285807733322E-6</v>
      </c>
      <c r="AF1515" s="22">
        <f>'Activity data'!AY48*FracLEACH*MSLeachEF*NtoN2O*kgtoGg</f>
        <v>1.5001518700665174E-6</v>
      </c>
      <c r="AG1515" s="22">
        <f>'Activity data'!AZ48*FracLEACH*MSLeachEF*NtoN2O*kgtoGg</f>
        <v>1.4997704074971401E-6</v>
      </c>
      <c r="AH1515" s="22">
        <f>'Activity data'!BA48*FracLEACH*MSLeachEF*NtoN2O*kgtoGg</f>
        <v>1.4996947035774166E-6</v>
      </c>
      <c r="AI1515" s="22">
        <f>'Activity data'!BB48*FracLEACH*MSLeachEF*NtoN2O*kgtoGg</f>
        <v>1.5311538990928041E-6</v>
      </c>
      <c r="AJ1515" s="22">
        <f>'Activity data'!BC48*FracLEACH*MSLeachEF*NtoN2O*kgtoGg</f>
        <v>1.531209555383285E-6</v>
      </c>
      <c r="AK1515" s="22">
        <f>'Activity data'!BD48*FracLEACH*MSLeachEF*NtoN2O*kgtoGg</f>
        <v>1.5312657975467479E-6</v>
      </c>
      <c r="AL1515" s="22">
        <f>'Activity data'!BE48*FracLEACH*MSLeachEF*NtoN2O*kgtoGg</f>
        <v>1.5313226336543386E-6</v>
      </c>
      <c r="AM1515" s="22">
        <f>'Activity data'!BF48*FracLEACH*MSLeachEF*NtoN2O*kgtoGg</f>
        <v>1.5313800719290159E-6</v>
      </c>
      <c r="AN1515" s="22">
        <f>'Activity data'!BG48*FracLEACH*MSLeachEF*NtoN2O*kgtoGg</f>
        <v>1.5314381207493371E-6</v>
      </c>
      <c r="AO1515" s="22">
        <f>'Activity data'!BH48*FracLEACH*MSLeachEF*NtoN2O*kgtoGg</f>
        <v>1.5314878792954879E-6</v>
      </c>
      <c r="AP1515" s="22">
        <f>'Activity data'!BI48*FracLEACH*MSLeachEF*NtoN2O*kgtoGg</f>
        <v>1.5315380892019456E-6</v>
      </c>
      <c r="AQ1515" s="22">
        <f>'Activity data'!BJ48*FracLEACH*MSLeachEF*NtoN2O*kgtoGg</f>
        <v>1.5315887558693837E-6</v>
      </c>
      <c r="AR1515" s="22">
        <f>'Activity data'!BK48*FracLEACH*MSLeachEF*NtoN2O*kgtoGg</f>
        <v>1.5316398847870756E-6</v>
      </c>
      <c r="AS1515" s="22">
        <f>'Activity data'!BL48*FracLEACH*MSLeachEF*NtoN2O*kgtoGg</f>
        <v>1.5316914815348266E-6</v>
      </c>
      <c r="AT1515" s="22">
        <f>'Activity data'!BM48*FracLEACH*MSLeachEF*NtoN2O*kgtoGg</f>
        <v>1.5317342674438069E-6</v>
      </c>
      <c r="AU1515" s="22">
        <f>'Activity data'!BN48*FracLEACH*MSLeachEF*NtoN2O*kgtoGg</f>
        <v>1.531777376775684E-6</v>
      </c>
      <c r="AV1515" s="22">
        <f>'Activity data'!BO48*FracLEACH*MSLeachEF*NtoN2O*kgtoGg</f>
        <v>1.5318208127769759E-6</v>
      </c>
      <c r="AW1515" s="22">
        <f>'Activity data'!BP48*FracLEACH*MSLeachEF*NtoN2O*kgtoGg</f>
        <v>1.5318645787390334E-6</v>
      </c>
    </row>
    <row r="1516" spans="1:49" x14ac:dyDescent="0.25">
      <c r="A1516" s="102" t="s">
        <v>961</v>
      </c>
      <c r="B1516" s="102"/>
      <c r="C1516" s="102"/>
      <c r="D1516" t="str">
        <f t="shared" si="572"/>
        <v>3C Aggregated and non-CO2 emissions on land</v>
      </c>
      <c r="E1516" t="str">
        <f t="shared" si="572"/>
        <v>3C5 Indirect N2O from managed soils (N2O)</v>
      </c>
      <c r="F1516" t="str">
        <f t="shared" si="572"/>
        <v>Leaching/runoff</v>
      </c>
      <c r="G1516" t="str">
        <f t="shared" si="573"/>
        <v xml:space="preserve"> - Managed manure</v>
      </c>
      <c r="H1516" t="str">
        <f t="shared" si="563"/>
        <v>Leaching/runoff - Managed manure</v>
      </c>
      <c r="I1516" t="str">
        <f t="shared" si="571"/>
        <v>N2O</v>
      </c>
      <c r="J1516" t="str">
        <f t="shared" si="570"/>
        <v>Gg N2O</v>
      </c>
      <c r="K1516" s="22">
        <f>SUM('Activity data'!AD50:AD65)*FracLEACH*MSLeachEF*NtoN2O*kgtoGg</f>
        <v>0.20860999282156298</v>
      </c>
      <c r="L1516" s="22">
        <f>SUM('Activity data'!AE50:AE65)*FracLEACH*MSLeachEF*NtoN2O*kgtoGg</f>
        <v>0.20916470494858161</v>
      </c>
      <c r="M1516" s="22">
        <f>SUM('Activity data'!AF50:AF65)*FracLEACH*MSLeachEF*NtoN2O*kgtoGg</f>
        <v>0.20839166057483782</v>
      </c>
      <c r="N1516" s="22">
        <f>SUM('Activity data'!AG50:AG65)*FracLEACH*MSLeachEF*NtoN2O*kgtoGg</f>
        <v>0.20582736549591388</v>
      </c>
      <c r="O1516" s="22">
        <f>SUM('Activity data'!AH50:AH65)*FracLEACH*MSLeachEF*NtoN2O*kgtoGg</f>
        <v>0.20337087062968656</v>
      </c>
      <c r="P1516" s="22">
        <f>SUM('Activity data'!AI50:AI65)*FracLEACH*MSLeachEF*NtoN2O*kgtoGg</f>
        <v>0.20190666512350769</v>
      </c>
      <c r="Q1516" s="22">
        <f>SUM('Activity data'!AJ50:AJ65)*FracLEACH*MSLeachEF*NtoN2O*kgtoGg</f>
        <v>0.2007674260526916</v>
      </c>
      <c r="R1516" s="22">
        <f>SUM('Activity data'!AK50:AK65)*FracLEACH*MSLeachEF*NtoN2O*kgtoGg</f>
        <v>0.19784037541962898</v>
      </c>
      <c r="S1516" s="22">
        <f>SUM('Activity data'!AL50:AL65)*FracLEACH*MSLeachEF*NtoN2O*kgtoGg</f>
        <v>0.17841698820622015</v>
      </c>
      <c r="T1516" s="22">
        <f>SUM('Activity data'!AM50:AM65)*FracLEACH*MSLeachEF*NtoN2O*kgtoGg</f>
        <v>0.18081293466860307</v>
      </c>
      <c r="U1516" s="22">
        <f>SUM('Activity data'!AN50:AN65)*FracLEACH*MSLeachEF*NtoN2O*kgtoGg</f>
        <v>0.18276631591234022</v>
      </c>
      <c r="V1516" s="22">
        <f>SUM('Activity data'!AO50:AO65)*FracLEACH*MSLeachEF*NtoN2O*kgtoGg</f>
        <v>0.18471645849231438</v>
      </c>
      <c r="W1516" s="22">
        <f>SUM('Activity data'!AP50:AP65)*FracLEACH*MSLeachEF*NtoN2O*kgtoGg</f>
        <v>0.18733681771599675</v>
      </c>
      <c r="X1516" s="22">
        <f>SUM('Activity data'!AQ50:AQ65)*FracLEACH*MSLeachEF*NtoN2O*kgtoGg</f>
        <v>0.18994210682606633</v>
      </c>
      <c r="Y1516" s="22">
        <f>SUM('Activity data'!AR50:AR65)*FracLEACH*MSLeachEF*NtoN2O*kgtoGg</f>
        <v>0.19266100227068755</v>
      </c>
      <c r="Z1516" s="22">
        <f>SUM('Activity data'!AS50:AS65)*FracLEACH*MSLeachEF*NtoN2O*kgtoGg</f>
        <v>0.19520300400393342</v>
      </c>
      <c r="AA1516" s="22">
        <f>SUM('Activity data'!AT50:AT65)*FracLEACH*MSLeachEF*NtoN2O*kgtoGg</f>
        <v>0.19798640345821425</v>
      </c>
      <c r="AB1516" s="22">
        <f>SUM('Activity data'!AU50:AU65)*FracLEACH*MSLeachEF*NtoN2O*kgtoGg</f>
        <v>0.20044516854579475</v>
      </c>
      <c r="AC1516" s="22">
        <f>SUM('Activity data'!AV50:AV65)*FracLEACH*MSLeachEF*NtoN2O*kgtoGg</f>
        <v>0.20297817573057544</v>
      </c>
      <c r="AD1516" s="22">
        <f>SUM('Activity data'!AW50:AW65)*FracLEACH*MSLeachEF*NtoN2O*kgtoGg</f>
        <v>0.2056267299462835</v>
      </c>
      <c r="AE1516" s="22">
        <f>SUM('Activity data'!AX50:AX65)*FracLEACH*MSLeachEF*NtoN2O*kgtoGg</f>
        <v>0.20860280477164364</v>
      </c>
      <c r="AF1516" s="22">
        <f>SUM('Activity data'!AY50:AY65)*FracLEACH*MSLeachEF*NtoN2O*kgtoGg</f>
        <v>0.21167179414400486</v>
      </c>
      <c r="AG1516" s="22">
        <f>SUM('Activity data'!AZ50:AZ65)*FracLEACH*MSLeachEF*NtoN2O*kgtoGg</f>
        <v>0.20992366458596434</v>
      </c>
      <c r="AH1516" s="22">
        <f>SUM('Activity data'!BA50:BA65)*FracLEACH*MSLeachEF*NtoN2O*kgtoGg</f>
        <v>-1.9300200690009681E-2</v>
      </c>
      <c r="AI1516" s="22">
        <f>SUM('Activity data'!BB50:BB65)*FracLEACH*MSLeachEF*NtoN2O*kgtoGg</f>
        <v>-1.8843886811857471E-2</v>
      </c>
      <c r="AJ1516" s="22">
        <f>SUM('Activity data'!BC50:BC65)*FracLEACH*MSLeachEF*NtoN2O*kgtoGg</f>
        <v>-1.8395910257723268E-2</v>
      </c>
      <c r="AK1516" s="22">
        <f>SUM('Activity data'!BD50:BD65)*FracLEACH*MSLeachEF*NtoN2O*kgtoGg</f>
        <v>-1.7955834874350582E-2</v>
      </c>
      <c r="AL1516" s="22">
        <f>SUM('Activity data'!BE50:BE65)*FracLEACH*MSLeachEF*NtoN2O*kgtoGg</f>
        <v>-1.7523255155980324E-2</v>
      </c>
      <c r="AM1516" s="22">
        <f>SUM('Activity data'!BF50:BF65)*FracLEACH*MSLeachEF*NtoN2O*kgtoGg</f>
        <v>-1.7097793384935875E-2</v>
      </c>
      <c r="AN1516" s="22">
        <f>SUM('Activity data'!BG50:BG65)*FracLEACH*MSLeachEF*NtoN2O*kgtoGg</f>
        <v>-1.6741323027793506E-2</v>
      </c>
      <c r="AO1516" s="22">
        <f>SUM('Activity data'!BH50:BH65)*FracLEACH*MSLeachEF*NtoN2O*kgtoGg</f>
        <v>-1.6390975335511412E-2</v>
      </c>
      <c r="AP1516" s="22">
        <f>SUM('Activity data'!BI50:BI65)*FracLEACH*MSLeachEF*NtoN2O*kgtoGg</f>
        <v>-1.6046469591821155E-2</v>
      </c>
      <c r="AQ1516" s="22">
        <f>SUM('Activity data'!BJ50:BJ65)*FracLEACH*MSLeachEF*NtoN2O*kgtoGg</f>
        <v>-1.5707542818837256E-2</v>
      </c>
      <c r="AR1516" s="22">
        <f>SUM('Activity data'!BK50:BK65)*FracLEACH*MSLeachEF*NtoN2O*kgtoGg</f>
        <v>-1.5373948294556171E-2</v>
      </c>
      <c r="AS1516" s="22">
        <f>SUM('Activity data'!BL50:BL65)*FracLEACH*MSLeachEF*NtoN2O*kgtoGg</f>
        <v>-1.5023355882038061E-2</v>
      </c>
      <c r="AT1516" s="22">
        <f>SUM('Activity data'!BM50:BM65)*FracLEACH*MSLeachEF*NtoN2O*kgtoGg</f>
        <v>-1.4678172069400145E-2</v>
      </c>
      <c r="AU1516" s="22">
        <f>SUM('Activity data'!BN50:BN65)*FracLEACH*MSLeachEF*NtoN2O*kgtoGg</f>
        <v>-1.4338180596116832E-2</v>
      </c>
      <c r="AV1516" s="22">
        <f>SUM('Activity data'!BO50:BO65)*FracLEACH*MSLeachEF*NtoN2O*kgtoGg</f>
        <v>-1.4003177540620452E-2</v>
      </c>
      <c r="AW1516" s="22">
        <f>SUM('Activity data'!BP50:BP65)*FracLEACH*MSLeachEF*NtoN2O*kgtoGg</f>
        <v>-1.367297039065494E-2</v>
      </c>
    </row>
    <row r="1517" spans="1:49" x14ac:dyDescent="0.25">
      <c r="A1517" s="102" t="s">
        <v>961</v>
      </c>
      <c r="B1517" s="102"/>
      <c r="C1517" s="102"/>
      <c r="D1517" t="str">
        <f t="shared" si="572"/>
        <v>3C Aggregated and non-CO2 emissions on land</v>
      </c>
      <c r="E1517" t="str">
        <f t="shared" si="572"/>
        <v>3C5 Indirect N2O from managed soils (N2O)</v>
      </c>
      <c r="F1517" t="str">
        <f t="shared" si="572"/>
        <v>Leaching/runoff</v>
      </c>
      <c r="G1517" t="str">
        <f t="shared" si="573"/>
        <v xml:space="preserve"> - Urine &amp; dung</v>
      </c>
      <c r="H1517" t="str">
        <f t="shared" si="563"/>
        <v>Leaching/runoff - Urine &amp; dung</v>
      </c>
      <c r="I1517" t="str">
        <f t="shared" si="571"/>
        <v>N2O</v>
      </c>
      <c r="J1517" t="str">
        <f t="shared" si="570"/>
        <v>Gg N2O</v>
      </c>
      <c r="K1517" s="22">
        <f>SUM('Activity data'!AD66:AD81)*FracLEACHUD*MSLeachEF*NtoN2O*kgtoGg</f>
        <v>0</v>
      </c>
      <c r="L1517" s="22">
        <f>SUM('Activity data'!AE66:AE81)*FracLEACHUD*MSLeachEF*NtoN2O*kgtoGg</f>
        <v>0</v>
      </c>
      <c r="M1517" s="22">
        <f>SUM('Activity data'!AF66:AF81)*FracLEACHUD*MSLeachEF*NtoN2O*kgtoGg</f>
        <v>0</v>
      </c>
      <c r="N1517" s="22">
        <f>SUM('Activity data'!AG66:AG81)*FracLEACHUD*MSLeachEF*NtoN2O*kgtoGg</f>
        <v>0</v>
      </c>
      <c r="O1517" s="22">
        <f>SUM('Activity data'!AH66:AH81)*FracLEACHUD*MSLeachEF*NtoN2O*kgtoGg</f>
        <v>0</v>
      </c>
      <c r="P1517" s="22">
        <f>SUM('Activity data'!AI66:AI81)*FracLEACHUD*MSLeachEF*NtoN2O*kgtoGg</f>
        <v>0</v>
      </c>
      <c r="Q1517" s="22">
        <f>SUM('Activity data'!AJ66:AJ81)*FracLEACHUD*MSLeachEF*NtoN2O*kgtoGg</f>
        <v>0</v>
      </c>
      <c r="R1517" s="22">
        <f>SUM('Activity data'!AK66:AK81)*FracLEACHUD*MSLeachEF*NtoN2O*kgtoGg</f>
        <v>0</v>
      </c>
      <c r="S1517" s="22">
        <f>SUM('Activity data'!AL66:AL81)*FracLEACHUD*MSLeachEF*NtoN2O*kgtoGg</f>
        <v>0</v>
      </c>
      <c r="T1517" s="22">
        <f>SUM('Activity data'!AM66:AM81)*FracLEACHUD*MSLeachEF*NtoN2O*kgtoGg</f>
        <v>0</v>
      </c>
      <c r="U1517" s="22">
        <f>SUM('Activity data'!AN66:AN81)*FracLEACHUD*MSLeachEF*NtoN2O*kgtoGg</f>
        <v>0</v>
      </c>
      <c r="V1517" s="22">
        <f>SUM('Activity data'!AO66:AO81)*FracLEACHUD*MSLeachEF*NtoN2O*kgtoGg</f>
        <v>0</v>
      </c>
      <c r="W1517" s="22">
        <f>SUM('Activity data'!AP66:AP81)*FracLEACHUD*MSLeachEF*NtoN2O*kgtoGg</f>
        <v>0</v>
      </c>
      <c r="X1517" s="22">
        <f>SUM('Activity data'!AQ66:AQ81)*FracLEACHUD*MSLeachEF*NtoN2O*kgtoGg</f>
        <v>0</v>
      </c>
      <c r="Y1517" s="22">
        <f>SUM('Activity data'!AR66:AR81)*FracLEACHUD*MSLeachEF*NtoN2O*kgtoGg</f>
        <v>0</v>
      </c>
      <c r="Z1517" s="22">
        <f>SUM('Activity data'!AS66:AS81)*FracLEACHUD*MSLeachEF*NtoN2O*kgtoGg</f>
        <v>0</v>
      </c>
      <c r="AA1517" s="22">
        <f>SUM('Activity data'!AT66:AT81)*FracLEACHUD*MSLeachEF*NtoN2O*kgtoGg</f>
        <v>0</v>
      </c>
      <c r="AB1517" s="22">
        <f>SUM('Activity data'!AU66:AU81)*FracLEACHUD*MSLeachEF*NtoN2O*kgtoGg</f>
        <v>0</v>
      </c>
      <c r="AC1517" s="22">
        <f>SUM('Activity data'!AV66:AV81)*FracLEACHUD*MSLeachEF*NtoN2O*kgtoGg</f>
        <v>0</v>
      </c>
      <c r="AD1517" s="22">
        <f>SUM('Activity data'!AW66:AW81)*FracLEACHUD*MSLeachEF*NtoN2O*kgtoGg</f>
        <v>0</v>
      </c>
      <c r="AE1517" s="22">
        <f>SUM('Activity data'!AX66:AX81)*FracLEACHUD*MSLeachEF*NtoN2O*kgtoGg</f>
        <v>0</v>
      </c>
      <c r="AF1517" s="22">
        <f>SUM('Activity data'!AY66:AY81)*FracLEACHUD*MSLeachEF*NtoN2O*kgtoGg</f>
        <v>0</v>
      </c>
      <c r="AG1517" s="22">
        <f>SUM('Activity data'!AZ66:AZ81)*FracLEACHUD*MSLeachEF*NtoN2O*kgtoGg</f>
        <v>0</v>
      </c>
      <c r="AH1517" s="22">
        <f>SUM('Activity data'!BA66:BA81)*FracLEACHUD*MSLeachEF*NtoN2O*kgtoGg</f>
        <v>0</v>
      </c>
      <c r="AI1517" s="22">
        <f>SUM('Activity data'!BB66:BB81)*FracLEACHUD*MSLeachEF*NtoN2O*kgtoGg</f>
        <v>0</v>
      </c>
      <c r="AJ1517" s="22">
        <f>SUM('Activity data'!BC66:BC81)*FracLEACHUD*MSLeachEF*NtoN2O*kgtoGg</f>
        <v>0</v>
      </c>
      <c r="AK1517" s="22">
        <f>SUM('Activity data'!BD66:BD81)*FracLEACHUD*MSLeachEF*NtoN2O*kgtoGg</f>
        <v>0</v>
      </c>
      <c r="AL1517" s="22">
        <f>SUM('Activity data'!BE66:BE81)*FracLEACHUD*MSLeachEF*NtoN2O*kgtoGg</f>
        <v>0</v>
      </c>
      <c r="AM1517" s="22">
        <f>SUM('Activity data'!BF66:BF81)*FracLEACHUD*MSLeachEF*NtoN2O*kgtoGg</f>
        <v>0</v>
      </c>
      <c r="AN1517" s="22">
        <f>SUM('Activity data'!BG66:BG81)*FracLEACHUD*MSLeachEF*NtoN2O*kgtoGg</f>
        <v>0</v>
      </c>
      <c r="AO1517" s="22">
        <f>SUM('Activity data'!BH66:BH81)*FracLEACHUD*MSLeachEF*NtoN2O*kgtoGg</f>
        <v>0</v>
      </c>
      <c r="AP1517" s="22">
        <f>SUM('Activity data'!BI66:BI81)*FracLEACHUD*MSLeachEF*NtoN2O*kgtoGg</f>
        <v>0</v>
      </c>
      <c r="AQ1517" s="22">
        <f>SUM('Activity data'!BJ66:BJ81)*FracLEACHUD*MSLeachEF*NtoN2O*kgtoGg</f>
        <v>0</v>
      </c>
      <c r="AR1517" s="22">
        <f>SUM('Activity data'!BK66:BK81)*FracLEACHUD*MSLeachEF*NtoN2O*kgtoGg</f>
        <v>0</v>
      </c>
      <c r="AS1517" s="22">
        <f>SUM('Activity data'!BL66:BL81)*FracLEACHUD*MSLeachEF*NtoN2O*kgtoGg</f>
        <v>0</v>
      </c>
      <c r="AT1517" s="22">
        <f>SUM('Activity data'!BM66:BM81)*FracLEACHUD*MSLeachEF*NtoN2O*kgtoGg</f>
        <v>0</v>
      </c>
      <c r="AU1517" s="22">
        <f>SUM('Activity data'!BN66:BN81)*FracLEACHUD*MSLeachEF*NtoN2O*kgtoGg</f>
        <v>0</v>
      </c>
      <c r="AV1517" s="22">
        <f>SUM('Activity data'!BO66:BO81)*FracLEACHUD*MSLeachEF*NtoN2O*kgtoGg</f>
        <v>0</v>
      </c>
      <c r="AW1517" s="22">
        <f>SUM('Activity data'!BP66:BP81)*FracLEACHUD*MSLeachEF*NtoN2O*kgtoGg</f>
        <v>0</v>
      </c>
    </row>
    <row r="1518" spans="1:49" x14ac:dyDescent="0.25">
      <c r="A1518" s="102" t="s">
        <v>961</v>
      </c>
      <c r="B1518" s="102"/>
      <c r="C1518" s="102"/>
      <c r="D1518" t="str">
        <f t="shared" si="572"/>
        <v>3C Aggregated and non-CO2 emissions on land</v>
      </c>
      <c r="E1518" t="str">
        <f t="shared" si="572"/>
        <v>3C5 Indirect N2O from managed soils (N2O)</v>
      </c>
      <c r="F1518" t="str">
        <f t="shared" si="572"/>
        <v>Leaching/runoff</v>
      </c>
      <c r="G1518" t="s">
        <v>439</v>
      </c>
      <c r="H1518" t="str">
        <f t="shared" si="563"/>
        <v>Leaching/runoff - crop residues</v>
      </c>
      <c r="I1518" t="str">
        <f t="shared" si="571"/>
        <v>N2O</v>
      </c>
      <c r="J1518" t="str">
        <f t="shared" si="570"/>
        <v>Gg N2O</v>
      </c>
      <c r="K1518" s="22">
        <f>'Activity data'!AD85*FracLEACH*MSLeachEF*NtoN2O*kgtoGg</f>
        <v>0.10175116378121943</v>
      </c>
      <c r="L1518" s="22">
        <f>'Activity data'!AE85*FracLEACH*MSLeachEF*NtoN2O*kgtoGg</f>
        <v>0.10199531862312783</v>
      </c>
      <c r="M1518" s="22">
        <f>'Activity data'!AF85*FracLEACH*MSLeachEF*NtoN2O*kgtoGg</f>
        <v>0.10232895790911103</v>
      </c>
      <c r="N1518" s="22">
        <f>'Activity data'!AG85*FracLEACH*MSLeachEF*NtoN2O*kgtoGg</f>
        <v>0.102571135787432</v>
      </c>
      <c r="O1518" s="22">
        <f>'Activity data'!AH85*FracLEACH*MSLeachEF*NtoN2O*kgtoGg</f>
        <v>0.10268907461035851</v>
      </c>
      <c r="P1518" s="22">
        <f>'Activity data'!AI85*FracLEACH*MSLeachEF*NtoN2O*kgtoGg</f>
        <v>0.10280548137522282</v>
      </c>
      <c r="Q1518" s="22">
        <f>'Activity data'!AJ85*FracLEACH*MSLeachEF*NtoN2O*kgtoGg</f>
        <v>0.10298157657140594</v>
      </c>
      <c r="R1518" s="22">
        <f>'Activity data'!AK85*FracLEACH*MSLeachEF*NtoN2O*kgtoGg</f>
        <v>0.10317437501165042</v>
      </c>
      <c r="S1518" s="22">
        <f>'Activity data'!AL85*FracLEACH*MSLeachEF*NtoN2O*kgtoGg</f>
        <v>0.10323747118294155</v>
      </c>
      <c r="T1518" s="22">
        <f>'Activity data'!AM85*FracLEACH*MSLeachEF*NtoN2O*kgtoGg</f>
        <v>0.10207849673523195</v>
      </c>
      <c r="U1518" s="22">
        <f>'Activity data'!AN85*FracLEACH*MSLeachEF*NtoN2O*kgtoGg</f>
        <v>0.10244002007553947</v>
      </c>
      <c r="V1518" s="22">
        <f>'Activity data'!AO85*FracLEACH*MSLeachEF*NtoN2O*kgtoGg</f>
        <v>0.10276505734262262</v>
      </c>
      <c r="W1518" s="22">
        <f>'Activity data'!AP85*FracLEACH*MSLeachEF*NtoN2O*kgtoGg</f>
        <v>0.10308708143869158</v>
      </c>
      <c r="X1518" s="22">
        <f>'Activity data'!AQ85*FracLEACH*MSLeachEF*NtoN2O*kgtoGg</f>
        <v>0.10345673156725761</v>
      </c>
      <c r="Y1518" s="22">
        <f>'Activity data'!AR85*FracLEACH*MSLeachEF*NtoN2O*kgtoGg</f>
        <v>0.10382236970947499</v>
      </c>
      <c r="Z1518" s="22">
        <f>'Activity data'!AS85*FracLEACH*MSLeachEF*NtoN2O*kgtoGg</f>
        <v>0.10419308105510718</v>
      </c>
      <c r="AA1518" s="22">
        <f>'Activity data'!AT85*FracLEACH*MSLeachEF*NtoN2O*kgtoGg</f>
        <v>0.1045480129274277</v>
      </c>
      <c r="AB1518" s="22">
        <f>'Activity data'!AU85*FracLEACH*MSLeachEF*NtoN2O*kgtoGg</f>
        <v>0.10491811532698922</v>
      </c>
      <c r="AC1518" s="22">
        <f>'Activity data'!AV85*FracLEACH*MSLeachEF*NtoN2O*kgtoGg</f>
        <v>0.10526191572099161</v>
      </c>
      <c r="AD1518" s="22">
        <f>'Activity data'!AW85*FracLEACH*MSLeachEF*NtoN2O*kgtoGg</f>
        <v>0.10560878304057683</v>
      </c>
      <c r="AE1518" s="22">
        <f>'Activity data'!AX85*FracLEACH*MSLeachEF*NtoN2O*kgtoGg</f>
        <v>0.10601241907328743</v>
      </c>
      <c r="AF1518" s="22">
        <f>'Activity data'!AY85*FracLEACH*MSLeachEF*NtoN2O*kgtoGg</f>
        <v>0.10643853523191582</v>
      </c>
      <c r="AG1518" s="22">
        <f>'Activity data'!AZ85*FracLEACH*MSLeachEF*NtoN2O*kgtoGg</f>
        <v>0.10687002645789688</v>
      </c>
      <c r="AH1518" s="22">
        <f>'Activity data'!BA85*FracLEACH*MSLeachEF*NtoN2O*kgtoGg</f>
        <v>0.10695565891506367</v>
      </c>
      <c r="AI1518" s="22">
        <f>'Activity data'!BB85*FracLEACH*MSLeachEF*NtoN2O*kgtoGg</f>
        <v>7.1370603051085779E-2</v>
      </c>
      <c r="AJ1518" s="22">
        <f>'Activity data'!BC85*FracLEACH*MSLeachEF*NtoN2O*kgtoGg</f>
        <v>7.1307647461360521E-2</v>
      </c>
      <c r="AK1518" s="22">
        <f>'Activity data'!BD85*FracLEACH*MSLeachEF*NtoN2O*kgtoGg</f>
        <v>7.1244029161657008E-2</v>
      </c>
      <c r="AL1518" s="22">
        <f>'Activity data'!BE85*FracLEACH*MSLeachEF*NtoN2O*kgtoGg</f>
        <v>7.1179739022300959E-2</v>
      </c>
      <c r="AM1518" s="22">
        <f>'Activity data'!BF85*FracLEACH*MSLeachEF*NtoN2O*kgtoGg</f>
        <v>7.1114767741896984E-2</v>
      </c>
      <c r="AN1518" s="22">
        <f>'Activity data'!BG85*FracLEACH*MSLeachEF*NtoN2O*kgtoGg</f>
        <v>7.1049105843042956E-2</v>
      </c>
      <c r="AO1518" s="22">
        <f>'Activity data'!BH85*FracLEACH*MSLeachEF*NtoN2O*kgtoGg</f>
        <v>7.0992821484352875E-2</v>
      </c>
      <c r="AP1518" s="22">
        <f>'Activity data'!BI85*FracLEACH*MSLeachEF*NtoN2O*kgtoGg</f>
        <v>7.0936026569640209E-2</v>
      </c>
      <c r="AQ1518" s="22">
        <f>'Activity data'!BJ85*FracLEACH*MSLeachEF*NtoN2O*kgtoGg</f>
        <v>7.0878714989935504E-2</v>
      </c>
      <c r="AR1518" s="22">
        <f>'Activity data'!BK85*FracLEACH*MSLeachEF*NtoN2O*kgtoGg</f>
        <v>7.0820880536048819E-2</v>
      </c>
      <c r="AS1518" s="22">
        <f>'Activity data'!BL85*FracLEACH*MSLeachEF*NtoN2O*kgtoGg</f>
        <v>7.0762516896386879E-2</v>
      </c>
      <c r="AT1518" s="22">
        <f>'Activity data'!BM85*FracLEACH*MSLeachEF*NtoN2O*kgtoGg</f>
        <v>7.0714119633319514E-2</v>
      </c>
      <c r="AU1518" s="22">
        <f>'Activity data'!BN85*FracLEACH*MSLeachEF*NtoN2O*kgtoGg</f>
        <v>7.0665356530577775E-2</v>
      </c>
      <c r="AV1518" s="22">
        <f>'Activity data'!BO85*FracLEACH*MSLeachEF*NtoN2O*kgtoGg</f>
        <v>7.0616223915862988E-2</v>
      </c>
      <c r="AW1518" s="22">
        <f>'Activity data'!BP85*FracLEACH*MSLeachEF*NtoN2O*kgtoGg</f>
        <v>7.0566718066166448E-2</v>
      </c>
    </row>
    <row r="1519" spans="1:49" x14ac:dyDescent="0.25">
      <c r="A1519" s="102" t="s">
        <v>961</v>
      </c>
      <c r="B1519" s="102"/>
      <c r="C1519" s="102"/>
      <c r="D1519" t="str">
        <f t="shared" si="572"/>
        <v>3C Aggregated and non-CO2 emissions on land</v>
      </c>
      <c r="E1519" t="str">
        <f>'IPCC Categories'!B78</f>
        <v>3C5 Indirect N2O from managed soils (N2O)</v>
      </c>
      <c r="F1519" t="str">
        <f t="shared" si="572"/>
        <v>Leaching/runoff</v>
      </c>
      <c r="G1519" t="str">
        <f>" - FSOM - "&amp;'Activity data'!D87</f>
        <v xml:space="preserve"> - FSOM - Forest remaining forest land</v>
      </c>
      <c r="H1519" t="str">
        <f t="shared" si="563"/>
        <v>Leaching/runoff - FSOM - Forest remaining forest land</v>
      </c>
      <c r="I1519" t="str">
        <f t="shared" si="571"/>
        <v>N2O</v>
      </c>
      <c r="J1519" t="str">
        <f t="shared" si="570"/>
        <v>Gg N2O</v>
      </c>
      <c r="K1519" s="22" t="str">
        <f>IFERROR(('Activity data'!AD87*(1/Constants!$H$135))*ttokg*FracLEACH*MSLeachEF*NtoN2O*kgtoGg,"NO")</f>
        <v>NO</v>
      </c>
      <c r="L1519" s="22" t="str">
        <f>IFERROR(('Activity data'!AE87*(1/Constants!$H$135))*ttokg*FracLEACH*MSLeachEF*NtoN2O*kgtoGg,"NO")</f>
        <v>NO</v>
      </c>
      <c r="M1519" s="22" t="str">
        <f>IFERROR(('Activity data'!AF87*(1/Constants!$H$135))*ttokg*FracLEACH*MSLeachEF*NtoN2O*kgtoGg,"NO")</f>
        <v>NO</v>
      </c>
      <c r="N1519" s="22" t="str">
        <f>IFERROR(('Activity data'!AG87*(1/Constants!$H$135))*ttokg*FracLEACH*MSLeachEF*NtoN2O*kgtoGg,"NO")</f>
        <v>NO</v>
      </c>
      <c r="O1519" s="22" t="str">
        <f>IFERROR(('Activity data'!AH87*(1/Constants!$H$135))*ttokg*FracLEACH*MSLeachEF*NtoN2O*kgtoGg,"NO")</f>
        <v>NO</v>
      </c>
      <c r="P1519" s="22" t="str">
        <f>IFERROR(('Activity data'!AI87*(1/Constants!$H$135))*ttokg*FracLEACH*MSLeachEF*NtoN2O*kgtoGg,"NO")</f>
        <v>NO</v>
      </c>
      <c r="Q1519" s="22" t="str">
        <f>IFERROR(('Activity data'!AJ87*(1/Constants!$H$135))*ttokg*FracLEACH*MSLeachEF*NtoN2O*kgtoGg,"NO")</f>
        <v>NO</v>
      </c>
      <c r="R1519" s="22" t="str">
        <f>IFERROR(('Activity data'!AK87*(1/Constants!$H$135))*ttokg*FracLEACH*MSLeachEF*NtoN2O*kgtoGg,"NO")</f>
        <v>NO</v>
      </c>
      <c r="S1519" s="22" t="str">
        <f>IFERROR(('Activity data'!AL87*(1/Constants!$H$135))*ttokg*FracLEACH*MSLeachEF*NtoN2O*kgtoGg,"NO")</f>
        <v>NO</v>
      </c>
      <c r="T1519" s="22" t="str">
        <f>IFERROR(('Activity data'!AM87*(1/Constants!$H$135))*ttokg*FracLEACH*MSLeachEF*NtoN2O*kgtoGg,"NO")</f>
        <v>NO</v>
      </c>
      <c r="U1519" s="22" t="str">
        <f>IFERROR(('Activity data'!AN87*(1/Constants!$H$135))*ttokg*FracLEACH*MSLeachEF*NtoN2O*kgtoGg,"NO")</f>
        <v>NO</v>
      </c>
      <c r="V1519" s="22" t="str">
        <f>IFERROR(('Activity data'!AO87*(1/Constants!$H$135))*ttokg*FracLEACH*MSLeachEF*NtoN2O*kgtoGg,"NO")</f>
        <v>NO</v>
      </c>
      <c r="W1519" s="22" t="str">
        <f>IFERROR(('Activity data'!AP87*(1/Constants!$H$135))*ttokg*FracLEACH*MSLeachEF*NtoN2O*kgtoGg,"NO")</f>
        <v>NO</v>
      </c>
      <c r="X1519" s="22" t="str">
        <f>IFERROR(('Activity data'!AQ87*(1/Constants!$H$135))*ttokg*FracLEACH*MSLeachEF*NtoN2O*kgtoGg,"NO")</f>
        <v>NO</v>
      </c>
      <c r="Y1519" s="22" t="str">
        <f>IFERROR(('Activity data'!AR87*(1/Constants!$H$135))*ttokg*FracLEACH*MSLeachEF*NtoN2O*kgtoGg,"NO")</f>
        <v>NO</v>
      </c>
      <c r="Z1519" s="22" t="str">
        <f>IFERROR(('Activity data'!AS87*(1/Constants!$H$135))*ttokg*FracLEACH*MSLeachEF*NtoN2O*kgtoGg,"NO")</f>
        <v>NO</v>
      </c>
      <c r="AA1519" s="22" t="str">
        <f>IFERROR(('Activity data'!AT87*(1/Constants!$H$135))*ttokg*FracLEACH*MSLeachEF*NtoN2O*kgtoGg,"NO")</f>
        <v>NO</v>
      </c>
      <c r="AB1519" s="22" t="str">
        <f>IFERROR(('Activity data'!AU87*(1/Constants!$H$135))*ttokg*FracLEACH*MSLeachEF*NtoN2O*kgtoGg,"NO")</f>
        <v>NO</v>
      </c>
      <c r="AC1519" s="22" t="str">
        <f>IFERROR(('Activity data'!AV87*(1/Constants!$H$135))*ttokg*FracLEACH*MSLeachEF*NtoN2O*kgtoGg,"NO")</f>
        <v>NO</v>
      </c>
      <c r="AD1519" s="22" t="str">
        <f>IFERROR(('Activity data'!AW87*(1/Constants!$H$135))*ttokg*FracLEACH*MSLeachEF*NtoN2O*kgtoGg,"NO")</f>
        <v>NO</v>
      </c>
      <c r="AE1519" s="22" t="str">
        <f>IFERROR(('Activity data'!AX87*(1/Constants!$H$135))*ttokg*FracLEACH*MSLeachEF*NtoN2O*kgtoGg,"NO")</f>
        <v>NO</v>
      </c>
      <c r="AF1519" s="22" t="str">
        <f>IFERROR(('Activity data'!AY87*(1/Constants!$H$135))*ttokg*FracLEACH*MSLeachEF*NtoN2O*kgtoGg,"NO")</f>
        <v>NO</v>
      </c>
      <c r="AG1519" s="22" t="str">
        <f>IFERROR(('Activity data'!AZ87*(1/Constants!$H$135))*ttokg*FracLEACH*MSLeachEF*NtoN2O*kgtoGg,"NO")</f>
        <v>NO</v>
      </c>
      <c r="AH1519" s="22" t="str">
        <f>IFERROR(('Activity data'!BA87*(1/Constants!$H$135))*ttokg*FracLEACH*MSLeachEF*NtoN2O*kgtoGg,"NO")</f>
        <v>NO</v>
      </c>
      <c r="AI1519" s="22" t="str">
        <f>IFERROR(('Activity data'!BB87*(1/Constants!$H$135))*ttokg*FracLEACH*MSLeachEF*NtoN2O*kgtoGg,"NO")</f>
        <v>NO</v>
      </c>
      <c r="AJ1519" s="22" t="str">
        <f>IFERROR(('Activity data'!BC87*(1/Constants!$H$135))*ttokg*FracLEACH*MSLeachEF*NtoN2O*kgtoGg,"NO")</f>
        <v>NO</v>
      </c>
      <c r="AK1519" s="22" t="str">
        <f>IFERROR(('Activity data'!BD87*(1/Constants!$H$135))*ttokg*FracLEACH*MSLeachEF*NtoN2O*kgtoGg,"NO")</f>
        <v>NO</v>
      </c>
      <c r="AL1519" s="22" t="str">
        <f>IFERROR(('Activity data'!BE87*(1/Constants!$H$135))*ttokg*FracLEACH*MSLeachEF*NtoN2O*kgtoGg,"NO")</f>
        <v>NO</v>
      </c>
      <c r="AM1519" s="22" t="str">
        <f>IFERROR(('Activity data'!BF87*(1/Constants!$H$135))*ttokg*FracLEACH*MSLeachEF*NtoN2O*kgtoGg,"NO")</f>
        <v>NO</v>
      </c>
      <c r="AN1519" s="22" t="str">
        <f>IFERROR(('Activity data'!BG87*(1/Constants!$H$135))*ttokg*FracLEACH*MSLeachEF*NtoN2O*kgtoGg,"NO")</f>
        <v>NO</v>
      </c>
      <c r="AO1519" s="22" t="str">
        <f>IFERROR(('Activity data'!BH87*(1/Constants!$H$135))*ttokg*FracLEACH*MSLeachEF*NtoN2O*kgtoGg,"NO")</f>
        <v>NO</v>
      </c>
      <c r="AP1519" s="22" t="str">
        <f>IFERROR(('Activity data'!BI87*(1/Constants!$H$135))*ttokg*FracLEACH*MSLeachEF*NtoN2O*kgtoGg,"NO")</f>
        <v>NO</v>
      </c>
      <c r="AQ1519" s="22" t="str">
        <f>IFERROR(('Activity data'!BJ87*(1/Constants!$H$135))*ttokg*FracLEACH*MSLeachEF*NtoN2O*kgtoGg,"NO")</f>
        <v>NO</v>
      </c>
      <c r="AR1519" s="22" t="str">
        <f>IFERROR(('Activity data'!BK87*(1/Constants!$H$135))*ttokg*FracLEACH*MSLeachEF*NtoN2O*kgtoGg,"NO")</f>
        <v>NO</v>
      </c>
      <c r="AS1519" s="22" t="str">
        <f>IFERROR(('Activity data'!BL87*(1/Constants!$H$135))*ttokg*FracLEACH*MSLeachEF*NtoN2O*kgtoGg,"NO")</f>
        <v>NO</v>
      </c>
      <c r="AT1519" s="22" t="str">
        <f>IFERROR(('Activity data'!BM87*(1/Constants!$H$135))*ttokg*FracLEACH*MSLeachEF*NtoN2O*kgtoGg,"NO")</f>
        <v>NO</v>
      </c>
      <c r="AU1519" s="22" t="str">
        <f>IFERROR(('Activity data'!BN87*(1/Constants!$H$135))*ttokg*FracLEACH*MSLeachEF*NtoN2O*kgtoGg,"NO")</f>
        <v>NO</v>
      </c>
      <c r="AV1519" s="22" t="str">
        <f>IFERROR(('Activity data'!BO87*(1/Constants!$H$135))*ttokg*FracLEACH*MSLeachEF*NtoN2O*kgtoGg,"NO")</f>
        <v>NO</v>
      </c>
      <c r="AW1519" s="22" t="str">
        <f>IFERROR(('Activity data'!BP87*(1/Constants!$H$135))*ttokg*FracLEACH*MSLeachEF*NtoN2O*kgtoGg,"NO")</f>
        <v>NO</v>
      </c>
    </row>
    <row r="1520" spans="1:49" x14ac:dyDescent="0.25">
      <c r="A1520" s="102" t="s">
        <v>961</v>
      </c>
      <c r="B1520" s="102"/>
      <c r="C1520" s="102"/>
      <c r="D1520" t="str">
        <f>D1519</f>
        <v>3C Aggregated and non-CO2 emissions on land</v>
      </c>
      <c r="E1520" t="str">
        <f t="shared" ref="E1520:F1530" si="574">E1519</f>
        <v>3C5 Indirect N2O from managed soils (N2O)</v>
      </c>
      <c r="F1520" t="str">
        <f t="shared" si="572"/>
        <v>Leaching/runoff</v>
      </c>
      <c r="G1520" t="str">
        <f>" - FSOM - "&amp;'Activity data'!D88</f>
        <v xml:space="preserve"> - FSOM - Land converted to forest land</v>
      </c>
      <c r="H1520" t="str">
        <f t="shared" si="563"/>
        <v>Leaching/runoff - FSOM - Land converted to forest land</v>
      </c>
      <c r="I1520" t="str">
        <f t="shared" si="571"/>
        <v>N2O</v>
      </c>
      <c r="J1520" t="str">
        <f t="shared" si="570"/>
        <v>Gg N2O</v>
      </c>
      <c r="K1520" s="22" t="str">
        <f>IFERROR(('Activity data'!AD88*(1/Constants!$H$135))*ttokg*FracLEACH*MSLeachEF*NtoN2O*kgtoGg,"NO")</f>
        <v>NO</v>
      </c>
      <c r="L1520" s="22" t="str">
        <f>IFERROR(('Activity data'!AE88*(1/Constants!$H$135))*ttokg*FracLEACH*MSLeachEF*NtoN2O*kgtoGg,"NO")</f>
        <v>NO</v>
      </c>
      <c r="M1520" s="22" t="str">
        <f>IFERROR(('Activity data'!AF88*(1/Constants!$H$135))*ttokg*FracLEACH*MSLeachEF*NtoN2O*kgtoGg,"NO")</f>
        <v>NO</v>
      </c>
      <c r="N1520" s="22" t="str">
        <f>IFERROR(('Activity data'!AG88*(1/Constants!$H$135))*ttokg*FracLEACH*MSLeachEF*NtoN2O*kgtoGg,"NO")</f>
        <v>NO</v>
      </c>
      <c r="O1520" s="22" t="str">
        <f>IFERROR(('Activity data'!AH88*(1/Constants!$H$135))*ttokg*FracLEACH*MSLeachEF*NtoN2O*kgtoGg,"NO")</f>
        <v>NO</v>
      </c>
      <c r="P1520" s="22" t="str">
        <f>IFERROR(('Activity data'!AI88*(1/Constants!$H$135))*ttokg*FracLEACH*MSLeachEF*NtoN2O*kgtoGg,"NO")</f>
        <v>NO</v>
      </c>
      <c r="Q1520" s="22" t="str">
        <f>IFERROR(('Activity data'!AJ88*(1/Constants!$H$135))*ttokg*FracLEACH*MSLeachEF*NtoN2O*kgtoGg,"NO")</f>
        <v>NO</v>
      </c>
      <c r="R1520" s="22" t="str">
        <f>IFERROR(('Activity data'!AK88*(1/Constants!$H$135))*ttokg*FracLEACH*MSLeachEF*NtoN2O*kgtoGg,"NO")</f>
        <v>NO</v>
      </c>
      <c r="S1520" s="22" t="str">
        <f>IFERROR(('Activity data'!AL88*(1/Constants!$H$135))*ttokg*FracLEACH*MSLeachEF*NtoN2O*kgtoGg,"NO")</f>
        <v>NO</v>
      </c>
      <c r="T1520" s="22" t="str">
        <f>IFERROR(('Activity data'!AM88*(1/Constants!$H$135))*ttokg*FracLEACH*MSLeachEF*NtoN2O*kgtoGg,"NO")</f>
        <v>NO</v>
      </c>
      <c r="U1520" s="22" t="str">
        <f>IFERROR(('Activity data'!AN88*(1/Constants!$H$135))*ttokg*FracLEACH*MSLeachEF*NtoN2O*kgtoGg,"NO")</f>
        <v>NO</v>
      </c>
      <c r="V1520" s="22" t="str">
        <f>IFERROR(('Activity data'!AO88*(1/Constants!$H$135))*ttokg*FracLEACH*MSLeachEF*NtoN2O*kgtoGg,"NO")</f>
        <v>NO</v>
      </c>
      <c r="W1520" s="22" t="str">
        <f>IFERROR(('Activity data'!AP88*(1/Constants!$H$135))*ttokg*FracLEACH*MSLeachEF*NtoN2O*kgtoGg,"NO")</f>
        <v>NO</v>
      </c>
      <c r="X1520" s="22" t="str">
        <f>IFERROR(('Activity data'!AQ88*(1/Constants!$H$135))*ttokg*FracLEACH*MSLeachEF*NtoN2O*kgtoGg,"NO")</f>
        <v>NO</v>
      </c>
      <c r="Y1520" s="22" t="str">
        <f>IFERROR(('Activity data'!AR88*(1/Constants!$H$135))*ttokg*FracLEACH*MSLeachEF*NtoN2O*kgtoGg,"NO")</f>
        <v>NO</v>
      </c>
      <c r="Z1520" s="22" t="str">
        <f>IFERROR(('Activity data'!AS88*(1/Constants!$H$135))*ttokg*FracLEACH*MSLeachEF*NtoN2O*kgtoGg,"NO")</f>
        <v>NO</v>
      </c>
      <c r="AA1520" s="22" t="str">
        <f>IFERROR(('Activity data'!AT88*(1/Constants!$H$135))*ttokg*FracLEACH*MSLeachEF*NtoN2O*kgtoGg,"NO")</f>
        <v>NO</v>
      </c>
      <c r="AB1520" s="22" t="str">
        <f>IFERROR(('Activity data'!AU88*(1/Constants!$H$135))*ttokg*FracLEACH*MSLeachEF*NtoN2O*kgtoGg,"NO")</f>
        <v>NO</v>
      </c>
      <c r="AC1520" s="22" t="str">
        <f>IFERROR(('Activity data'!AV88*(1/Constants!$H$135))*ttokg*FracLEACH*MSLeachEF*NtoN2O*kgtoGg,"NO")</f>
        <v>NO</v>
      </c>
      <c r="AD1520" s="22" t="str">
        <f>IFERROR(('Activity data'!AW88*(1/Constants!$H$135))*ttokg*FracLEACH*MSLeachEF*NtoN2O*kgtoGg,"NO")</f>
        <v>NO</v>
      </c>
      <c r="AE1520" s="22" t="str">
        <f>IFERROR(('Activity data'!AX88*(1/Constants!$H$135))*ttokg*FracLEACH*MSLeachEF*NtoN2O*kgtoGg,"NO")</f>
        <v>NO</v>
      </c>
      <c r="AF1520" s="22" t="str">
        <f>IFERROR(('Activity data'!AY88*(1/Constants!$H$135))*ttokg*FracLEACH*MSLeachEF*NtoN2O*kgtoGg,"NO")</f>
        <v>NO</v>
      </c>
      <c r="AG1520" s="22" t="str">
        <f>IFERROR(('Activity data'!AZ88*(1/Constants!$H$135))*ttokg*FracLEACH*MSLeachEF*NtoN2O*kgtoGg,"NO")</f>
        <v>NO</v>
      </c>
      <c r="AH1520" s="22" t="str">
        <f>IFERROR(('Activity data'!BA88*(1/Constants!$H$135))*ttokg*FracLEACH*MSLeachEF*NtoN2O*kgtoGg,"NO")</f>
        <v>NO</v>
      </c>
      <c r="AI1520" s="22" t="str">
        <f>IFERROR(('Activity data'!BB88*(1/Constants!$H$135))*ttokg*FracLEACH*MSLeachEF*NtoN2O*kgtoGg,"NO")</f>
        <v>NO</v>
      </c>
      <c r="AJ1520" s="22" t="str">
        <f>IFERROR(('Activity data'!BC88*(1/Constants!$H$135))*ttokg*FracLEACH*MSLeachEF*NtoN2O*kgtoGg,"NO")</f>
        <v>NO</v>
      </c>
      <c r="AK1520" s="22" t="str">
        <f>IFERROR(('Activity data'!BD88*(1/Constants!$H$135))*ttokg*FracLEACH*MSLeachEF*NtoN2O*kgtoGg,"NO")</f>
        <v>NO</v>
      </c>
      <c r="AL1520" s="22" t="str">
        <f>IFERROR(('Activity data'!BE88*(1/Constants!$H$135))*ttokg*FracLEACH*MSLeachEF*NtoN2O*kgtoGg,"NO")</f>
        <v>NO</v>
      </c>
      <c r="AM1520" s="22" t="str">
        <f>IFERROR(('Activity data'!BF88*(1/Constants!$H$135))*ttokg*FracLEACH*MSLeachEF*NtoN2O*kgtoGg,"NO")</f>
        <v>NO</v>
      </c>
      <c r="AN1520" s="22" t="str">
        <f>IFERROR(('Activity data'!BG88*(1/Constants!$H$135))*ttokg*FracLEACH*MSLeachEF*NtoN2O*kgtoGg,"NO")</f>
        <v>NO</v>
      </c>
      <c r="AO1520" s="22" t="str">
        <f>IFERROR(('Activity data'!BH88*(1/Constants!$H$135))*ttokg*FracLEACH*MSLeachEF*NtoN2O*kgtoGg,"NO")</f>
        <v>NO</v>
      </c>
      <c r="AP1520" s="22" t="str">
        <f>IFERROR(('Activity data'!BI88*(1/Constants!$H$135))*ttokg*FracLEACH*MSLeachEF*NtoN2O*kgtoGg,"NO")</f>
        <v>NO</v>
      </c>
      <c r="AQ1520" s="22" t="str">
        <f>IFERROR(('Activity data'!BJ88*(1/Constants!$H$135))*ttokg*FracLEACH*MSLeachEF*NtoN2O*kgtoGg,"NO")</f>
        <v>NO</v>
      </c>
      <c r="AR1520" s="22" t="str">
        <f>IFERROR(('Activity data'!BK88*(1/Constants!$H$135))*ttokg*FracLEACH*MSLeachEF*NtoN2O*kgtoGg,"NO")</f>
        <v>NO</v>
      </c>
      <c r="AS1520" s="22" t="str">
        <f>IFERROR(('Activity data'!BL88*(1/Constants!$H$135))*ttokg*FracLEACH*MSLeachEF*NtoN2O*kgtoGg,"NO")</f>
        <v>NO</v>
      </c>
      <c r="AT1520" s="22" t="str">
        <f>IFERROR(('Activity data'!BM88*(1/Constants!$H$135))*ttokg*FracLEACH*MSLeachEF*NtoN2O*kgtoGg,"NO")</f>
        <v>NO</v>
      </c>
      <c r="AU1520" s="22" t="str">
        <f>IFERROR(('Activity data'!BN88*(1/Constants!$H$135))*ttokg*FracLEACH*MSLeachEF*NtoN2O*kgtoGg,"NO")</f>
        <v>NO</v>
      </c>
      <c r="AV1520" s="22" t="str">
        <f>IFERROR(('Activity data'!BO88*(1/Constants!$H$135))*ttokg*FracLEACH*MSLeachEF*NtoN2O*kgtoGg,"NO")</f>
        <v>NO</v>
      </c>
      <c r="AW1520" s="22" t="str">
        <f>IFERROR(('Activity data'!BP88*(1/Constants!$H$135))*ttokg*FracLEACH*MSLeachEF*NtoN2O*kgtoGg,"NO")</f>
        <v>NO</v>
      </c>
    </row>
    <row r="1521" spans="1:49" x14ac:dyDescent="0.25">
      <c r="A1521" s="102" t="s">
        <v>961</v>
      </c>
      <c r="B1521" s="102"/>
      <c r="C1521" s="102"/>
      <c r="D1521" t="str">
        <f t="shared" ref="D1521:F1536" si="575">D1520</f>
        <v>3C Aggregated and non-CO2 emissions on land</v>
      </c>
      <c r="E1521" t="str">
        <f t="shared" si="574"/>
        <v>3C5 Indirect N2O from managed soils (N2O)</v>
      </c>
      <c r="F1521" t="str">
        <f t="shared" si="572"/>
        <v>Leaching/runoff</v>
      </c>
      <c r="G1521" t="str">
        <f>" - FSOM - "&amp;'Activity data'!D89</f>
        <v xml:space="preserve"> - FSOM - Cropland remaining cropland</v>
      </c>
      <c r="H1521" t="str">
        <f t="shared" si="563"/>
        <v>Leaching/runoff - FSOM - Cropland remaining cropland</v>
      </c>
      <c r="I1521" t="str">
        <f t="shared" si="571"/>
        <v>N2O</v>
      </c>
      <c r="J1521" t="str">
        <f t="shared" si="570"/>
        <v>Gg N2O</v>
      </c>
      <c r="K1521" s="22">
        <f>IFERROR(('Activity data'!AD89*(1/Constants!$H$135))*ttokg*FracLEACH*MSLeachEF*NtoN2O*kgtoGg,"NO")</f>
        <v>1.1867590793806392E-4</v>
      </c>
      <c r="L1521" s="22">
        <f>IFERROR(('Activity data'!AE89*(1/Constants!$H$135))*ttokg*FracLEACH*MSLeachEF*NtoN2O*kgtoGg,"NO")</f>
        <v>1.1853617037070301E-4</v>
      </c>
      <c r="M1521" s="22">
        <f>IFERROR(('Activity data'!AF89*(1/Constants!$H$135))*ttokg*FracLEACH*MSLeachEF*NtoN2O*kgtoGg,"NO")</f>
        <v>1.1839643280334203E-4</v>
      </c>
      <c r="N1521" s="22">
        <f>IFERROR(('Activity data'!AG89*(1/Constants!$H$135))*ttokg*FracLEACH*MSLeachEF*NtoN2O*kgtoGg,"NO")</f>
        <v>1.1825669523598106E-4</v>
      </c>
      <c r="O1521" s="22">
        <f>IFERROR(('Activity data'!AH89*(1/Constants!$H$135))*ttokg*FracLEACH*MSLeachEF*NtoN2O*kgtoGg,"NO")</f>
        <v>1.1811695766862012E-4</v>
      </c>
      <c r="P1521" s="22">
        <f>IFERROR(('Activity data'!AI89*(1/Constants!$H$135))*ttokg*FracLEACH*MSLeachEF*NtoN2O*kgtoGg,"NO")</f>
        <v>1.1797722010125916E-4</v>
      </c>
      <c r="Q1521" s="22">
        <f>IFERROR(('Activity data'!AJ89*(1/Constants!$H$135))*ttokg*FracLEACH*MSLeachEF*NtoN2O*kgtoGg,"NO")</f>
        <v>1.178374825338982E-4</v>
      </c>
      <c r="R1521" s="22">
        <f>IFERROR(('Activity data'!AK89*(1/Constants!$H$135))*ttokg*FracLEACH*MSLeachEF*NtoN2O*kgtoGg,"NO")</f>
        <v>1.1769774496653728E-4</v>
      </c>
      <c r="S1521" s="22">
        <f>IFERROR(('Activity data'!AL89*(1/Constants!$H$135))*ttokg*FracLEACH*MSLeachEF*NtoN2O*kgtoGg,"NO")</f>
        <v>1.1755800739917633E-4</v>
      </c>
      <c r="T1521" s="22">
        <f>IFERROR(('Activity data'!AM89*(1/Constants!$H$135))*ttokg*FracLEACH*MSLeachEF*NtoN2O*kgtoGg,"NO")</f>
        <v>1.174182698318154E-4</v>
      </c>
      <c r="U1521" s="22">
        <f>IFERROR(('Activity data'!AN89*(1/Constants!$H$135))*ttokg*FracLEACH*MSLeachEF*NtoN2O*kgtoGg,"NO")</f>
        <v>1.1727853226445441E-4</v>
      </c>
      <c r="V1521" s="22">
        <f>IFERROR(('Activity data'!AO89*(1/Constants!$H$135))*ttokg*FracLEACH*MSLeachEF*NtoN2O*kgtoGg,"NO")</f>
        <v>1.1713879469709348E-4</v>
      </c>
      <c r="W1521" s="22">
        <f>IFERROR(('Activity data'!AP89*(1/Constants!$H$135))*ttokg*FracLEACH*MSLeachEF*NtoN2O*kgtoGg,"NO")</f>
        <v>1.1699905712973254E-4</v>
      </c>
      <c r="X1521" s="22">
        <f>IFERROR(('Activity data'!AQ89*(1/Constants!$H$135))*ttokg*FracLEACH*MSLeachEF*NtoN2O*kgtoGg,"NO")</f>
        <v>1.168593195623716E-4</v>
      </c>
      <c r="Y1521" s="22">
        <f>IFERROR(('Activity data'!AR89*(1/Constants!$H$135))*ttokg*FracLEACH*MSLeachEF*NtoN2O*kgtoGg,"NO")</f>
        <v>1.1671958199501069E-4</v>
      </c>
      <c r="Z1521" s="22">
        <f>IFERROR(('Activity data'!AS89*(1/Constants!$H$135))*ttokg*FracLEACH*MSLeachEF*NtoN2O*kgtoGg,"NO")</f>
        <v>1.1657984442764968E-4</v>
      </c>
      <c r="AA1521" s="22">
        <f>IFERROR(('Activity data'!AT89*(1/Constants!$H$135))*ttokg*FracLEACH*MSLeachEF*NtoN2O*kgtoGg,"NO")</f>
        <v>1.1644010686028878E-4</v>
      </c>
      <c r="AB1521" s="22">
        <f>IFERROR(('Activity data'!AU89*(1/Constants!$H$135))*ttokg*FracLEACH*MSLeachEF*NtoN2O*kgtoGg,"NO")</f>
        <v>1.1630036929292779E-4</v>
      </c>
      <c r="AC1521" s="22">
        <f>IFERROR(('Activity data'!AV89*(1/Constants!$H$135))*ttokg*FracLEACH*MSLeachEF*NtoN2O*kgtoGg,"NO")</f>
        <v>1.1616063172556689E-4</v>
      </c>
      <c r="AD1521" s="22">
        <f>IFERROR(('Activity data'!AW89*(1/Constants!$H$135))*ttokg*FracLEACH*MSLeachEF*NtoN2O*kgtoGg,"NO")</f>
        <v>1.1602089415820588E-4</v>
      </c>
      <c r="AE1521" s="22">
        <f>IFERROR(('Activity data'!AX89*(1/Constants!$H$135))*ttokg*FracLEACH*MSLeachEF*NtoN2O*kgtoGg,"NO")</f>
        <v>1.1588115659084502E-4</v>
      </c>
      <c r="AF1521" s="22">
        <f>IFERROR(('Activity data'!AY89*(1/Constants!$H$135))*ttokg*FracLEACH*MSLeachEF*NtoN2O*kgtoGg,"NO")</f>
        <v>1.1574141902348403E-4</v>
      </c>
      <c r="AG1521" s="22">
        <f>IFERROR(('Activity data'!AZ89*(1/Constants!$H$135))*ttokg*FracLEACH*MSLeachEF*NtoN2O*kgtoGg,"NO")</f>
        <v>1.1560168145612309E-4</v>
      </c>
      <c r="AH1521" s="22">
        <f>IFERROR(('Activity data'!BA89*(1/Constants!$H$135))*ttokg*FracLEACH*MSLeachEF*NtoN2O*kgtoGg,"NO")</f>
        <v>1.154619438887621E-4</v>
      </c>
      <c r="AI1521" s="22">
        <f>IFERROR(('Activity data'!BB89*(1/Constants!$H$135))*ttokg*FracLEACH*MSLeachEF*NtoN2O*kgtoGg,"NO")</f>
        <v>1.1532220632140118E-4</v>
      </c>
      <c r="AJ1521" s="22">
        <f>IFERROR(('Activity data'!BC89*(1/Constants!$H$135))*ttokg*FracLEACH*MSLeachEF*NtoN2O*kgtoGg,"NO")</f>
        <v>1.1518246875404022E-4</v>
      </c>
      <c r="AK1521" s="22">
        <f>IFERROR(('Activity data'!BD89*(1/Constants!$H$135))*ttokg*FracLEACH*MSLeachEF*NtoN2O*kgtoGg,"NO")</f>
        <v>1.1504273118667928E-4</v>
      </c>
      <c r="AL1521" s="22">
        <f>IFERROR(('Activity data'!BE89*(1/Constants!$H$135))*ttokg*FracLEACH*MSLeachEF*NtoN2O*kgtoGg,"NO")</f>
        <v>1.1490299361931835E-4</v>
      </c>
      <c r="AM1521" s="22">
        <f>IFERROR(('Activity data'!BF89*(1/Constants!$H$135))*ttokg*FracLEACH*MSLeachEF*NtoN2O*kgtoGg,"NO")</f>
        <v>1.1476325605195744E-4</v>
      </c>
      <c r="AN1521" s="22">
        <f>IFERROR(('Activity data'!BG89*(1/Constants!$H$135))*ttokg*FracLEACH*MSLeachEF*NtoN2O*kgtoGg,"NO")</f>
        <v>1.1462351848459642E-4</v>
      </c>
      <c r="AO1521" s="22">
        <f>IFERROR(('Activity data'!BH89*(1/Constants!$H$135))*ttokg*FracLEACH*MSLeachEF*NtoN2O*kgtoGg,"NO")</f>
        <v>1.1448378091723552E-4</v>
      </c>
      <c r="AP1521" s="22">
        <f>IFERROR(('Activity data'!BI89*(1/Constants!$H$135))*ttokg*FracLEACH*MSLeachEF*NtoN2O*kgtoGg,"NO")</f>
        <v>1.1434404334987458E-4</v>
      </c>
      <c r="AQ1521" s="22">
        <f>IFERROR(('Activity data'!BJ89*(1/Constants!$H$135))*ttokg*FracLEACH*MSLeachEF*NtoN2O*kgtoGg,"NO")</f>
        <v>1.1420430578251366E-4</v>
      </c>
      <c r="AR1521" s="22">
        <f>IFERROR(('Activity data'!BK89*(1/Constants!$H$135))*ttokg*FracLEACH*MSLeachEF*NtoN2O*kgtoGg,"NO")</f>
        <v>1.1406456821515268E-4</v>
      </c>
      <c r="AS1521" s="22">
        <f>IFERROR(('Activity data'!BL89*(1/Constants!$H$135))*ttokg*FracLEACH*MSLeachEF*NtoN2O*kgtoGg,"NO")</f>
        <v>1.1392483064779174E-4</v>
      </c>
      <c r="AT1521" s="22">
        <f>IFERROR(('Activity data'!BM89*(1/Constants!$H$135))*ttokg*FracLEACH*MSLeachEF*NtoN2O*kgtoGg,"NO")</f>
        <v>1.1378509308043078E-4</v>
      </c>
      <c r="AU1521" s="22">
        <f>IFERROR(('Activity data'!BN89*(1/Constants!$H$135))*ttokg*FracLEACH*MSLeachEF*NtoN2O*kgtoGg,"NO")</f>
        <v>1.136453555130698E-4</v>
      </c>
      <c r="AV1521" s="22">
        <f>IFERROR(('Activity data'!BO89*(1/Constants!$H$135))*ttokg*FracLEACH*MSLeachEF*NtoN2O*kgtoGg,"NO")</f>
        <v>1.1350561794570888E-4</v>
      </c>
      <c r="AW1521" s="22">
        <f>IFERROR(('Activity data'!BP89*(1/Constants!$H$135))*ttokg*FracLEACH*MSLeachEF*NtoN2O*kgtoGg,"NO")</f>
        <v>1.1336588037834792E-4</v>
      </c>
    </row>
    <row r="1522" spans="1:49" x14ac:dyDescent="0.25">
      <c r="A1522" s="102" t="s">
        <v>961</v>
      </c>
      <c r="B1522" s="102"/>
      <c r="C1522" s="102"/>
      <c r="D1522" t="str">
        <f t="shared" si="575"/>
        <v>3C Aggregated and non-CO2 emissions on land</v>
      </c>
      <c r="E1522" t="str">
        <f t="shared" si="574"/>
        <v>3C5 Indirect N2O from managed soils (N2O)</v>
      </c>
      <c r="F1522" t="str">
        <f t="shared" si="572"/>
        <v>Leaching/runoff</v>
      </c>
      <c r="G1522" t="str">
        <f>" - FSOM - "&amp;'Activity data'!D90</f>
        <v xml:space="preserve"> - FSOM - Land converted to cropland</v>
      </c>
      <c r="H1522" t="str">
        <f t="shared" si="563"/>
        <v>Leaching/runoff - FSOM - Land converted to cropland</v>
      </c>
      <c r="I1522" t="str">
        <f t="shared" si="571"/>
        <v>N2O</v>
      </c>
      <c r="J1522" t="str">
        <f t="shared" si="570"/>
        <v>Gg N2O</v>
      </c>
      <c r="K1522" s="22">
        <f>IFERROR(('Activity data'!AD90*(1/Constants!$H$135))*ttokg*FracLEACH*MSLeachEF*NtoN2O*kgtoGg,"NO")</f>
        <v>1.6912231388729011E-2</v>
      </c>
      <c r="L1522" s="22">
        <f>IFERROR(('Activity data'!AE90*(1/Constants!$H$135))*ttokg*FracLEACH*MSLeachEF*NtoN2O*kgtoGg,"NO")</f>
        <v>1.6951420148247919E-2</v>
      </c>
      <c r="M1522" s="22">
        <f>IFERROR(('Activity data'!AF90*(1/Constants!$H$135))*ttokg*FracLEACH*MSLeachEF*NtoN2O*kgtoGg,"NO")</f>
        <v>1.6990608907766828E-2</v>
      </c>
      <c r="N1522" s="22">
        <f>IFERROR(('Activity data'!AG90*(1/Constants!$H$135))*ttokg*FracLEACH*MSLeachEF*NtoN2O*kgtoGg,"NO")</f>
        <v>1.702979766728574E-2</v>
      </c>
      <c r="O1522" s="22">
        <f>IFERROR(('Activity data'!AH90*(1/Constants!$H$135))*ttokg*FracLEACH*MSLeachEF*NtoN2O*kgtoGg,"NO")</f>
        <v>1.7068986426804648E-2</v>
      </c>
      <c r="P1522" s="22">
        <f>IFERROR(('Activity data'!AI90*(1/Constants!$H$135))*ttokg*FracLEACH*MSLeachEF*NtoN2O*kgtoGg,"NO")</f>
        <v>1.7108175186323554E-2</v>
      </c>
      <c r="Q1522" s="22">
        <f>IFERROR(('Activity data'!AJ90*(1/Constants!$H$135))*ttokg*FracLEACH*MSLeachEF*NtoN2O*kgtoGg,"NO")</f>
        <v>1.7147363945842466E-2</v>
      </c>
      <c r="R1522" s="22">
        <f>IFERROR(('Activity data'!AK90*(1/Constants!$H$135))*ttokg*FracLEACH*MSLeachEF*NtoN2O*kgtoGg,"NO")</f>
        <v>1.7186552705361371E-2</v>
      </c>
      <c r="S1522" s="22">
        <f>IFERROR(('Activity data'!AL90*(1/Constants!$H$135))*ttokg*FracLEACH*MSLeachEF*NtoN2O*kgtoGg,"NO")</f>
        <v>1.7225741464880276E-2</v>
      </c>
      <c r="T1522" s="22">
        <f>IFERROR(('Activity data'!AM90*(1/Constants!$H$135))*ttokg*FracLEACH*MSLeachEF*NtoN2O*kgtoGg,"NO")</f>
        <v>1.7264930224399191E-2</v>
      </c>
      <c r="U1522" s="22">
        <f>IFERROR(('Activity data'!AN90*(1/Constants!$H$135))*ttokg*FracLEACH*MSLeachEF*NtoN2O*kgtoGg,"NO")</f>
        <v>1.7304118983918097E-2</v>
      </c>
      <c r="V1522" s="22">
        <f>IFERROR(('Activity data'!AO90*(1/Constants!$H$135))*ttokg*FracLEACH*MSLeachEF*NtoN2O*kgtoGg,"NO")</f>
        <v>1.7343307743437009E-2</v>
      </c>
      <c r="W1522" s="22">
        <f>IFERROR(('Activity data'!AP90*(1/Constants!$H$135))*ttokg*FracLEACH*MSLeachEF*NtoN2O*kgtoGg,"NO")</f>
        <v>1.7382496502955917E-2</v>
      </c>
      <c r="X1522" s="22">
        <f>IFERROR(('Activity data'!AQ90*(1/Constants!$H$135))*ttokg*FracLEACH*MSLeachEF*NtoN2O*kgtoGg,"NO")</f>
        <v>1.7421685262474829E-2</v>
      </c>
      <c r="Y1522" s="22">
        <f>IFERROR(('Activity data'!AR90*(1/Constants!$H$135))*ttokg*FracLEACH*MSLeachEF*NtoN2O*kgtoGg,"NO")</f>
        <v>1.7460874021993734E-2</v>
      </c>
      <c r="Z1522" s="22">
        <f>IFERROR(('Activity data'!AS90*(1/Constants!$H$135))*ttokg*FracLEACH*MSLeachEF*NtoN2O*kgtoGg,"NO")</f>
        <v>1.750006278151265E-2</v>
      </c>
      <c r="AA1522" s="22">
        <f>IFERROR(('Activity data'!AT90*(1/Constants!$H$135))*ttokg*FracLEACH*MSLeachEF*NtoN2O*kgtoGg,"NO")</f>
        <v>1.7539251541031548E-2</v>
      </c>
      <c r="AB1522" s="22">
        <f>IFERROR(('Activity data'!AU90*(1/Constants!$H$135))*ttokg*FracLEACH*MSLeachEF*NtoN2O*kgtoGg,"NO")</f>
        <v>1.7578440300550464E-2</v>
      </c>
      <c r="AC1522" s="22">
        <f>IFERROR(('Activity data'!AV90*(1/Constants!$H$135))*ttokg*FracLEACH*MSLeachEF*NtoN2O*kgtoGg,"NO")</f>
        <v>1.7617629060069376E-2</v>
      </c>
      <c r="AD1522" s="22">
        <f>IFERROR(('Activity data'!AW90*(1/Constants!$H$135))*ttokg*FracLEACH*MSLeachEF*NtoN2O*kgtoGg,"NO")</f>
        <v>1.7656817819588281E-2</v>
      </c>
      <c r="AE1522" s="22">
        <f>IFERROR(('Activity data'!AX90*(1/Constants!$H$135))*ttokg*FracLEACH*MSLeachEF*NtoN2O*kgtoGg,"NO")</f>
        <v>1.769600657910719E-2</v>
      </c>
      <c r="AF1522" s="22">
        <f>IFERROR(('Activity data'!AY90*(1/Constants!$H$135))*ttokg*FracLEACH*MSLeachEF*NtoN2O*kgtoGg,"NO")</f>
        <v>1.7735195338626102E-2</v>
      </c>
      <c r="AG1522" s="22">
        <f>IFERROR(('Activity data'!AZ90*(1/Constants!$H$135))*ttokg*FracLEACH*MSLeachEF*NtoN2O*kgtoGg,"NO")</f>
        <v>1.777438409814501E-2</v>
      </c>
      <c r="AH1522" s="22">
        <f>IFERROR(('Activity data'!BA90*(1/Constants!$H$135))*ttokg*FracLEACH*MSLeachEF*NtoN2O*kgtoGg,"NO")</f>
        <v>1.7813572857663919E-2</v>
      </c>
      <c r="AI1522" s="22">
        <f>IFERROR(('Activity data'!BB90*(1/Constants!$H$135))*ttokg*FracLEACH*MSLeachEF*NtoN2O*kgtoGg,"NO")</f>
        <v>1.7852761617182831E-2</v>
      </c>
      <c r="AJ1522" s="22">
        <f>IFERROR(('Activity data'!BC90*(1/Constants!$H$135))*ttokg*FracLEACH*MSLeachEF*NtoN2O*kgtoGg,"NO")</f>
        <v>1.7891950376701736E-2</v>
      </c>
      <c r="AK1522" s="22">
        <f>IFERROR(('Activity data'!BD90*(1/Constants!$H$135))*ttokg*FracLEACH*MSLeachEF*NtoN2O*kgtoGg,"NO")</f>
        <v>1.7931139136220645E-2</v>
      </c>
      <c r="AL1522" s="22">
        <f>IFERROR(('Activity data'!BE90*(1/Constants!$H$135))*ttokg*FracLEACH*MSLeachEF*NtoN2O*kgtoGg,"NO")</f>
        <v>1.7970327895739557E-2</v>
      </c>
      <c r="AM1522" s="22">
        <f>IFERROR(('Activity data'!BF90*(1/Constants!$H$135))*ttokg*FracLEACH*MSLeachEF*NtoN2O*kgtoGg,"NO")</f>
        <v>1.8009516655258465E-2</v>
      </c>
      <c r="AN1522" s="22">
        <f>IFERROR(('Activity data'!BG90*(1/Constants!$H$135))*ttokg*FracLEACH*MSLeachEF*NtoN2O*kgtoGg,"NO")</f>
        <v>1.8048705414777374E-2</v>
      </c>
      <c r="AO1522" s="22">
        <f>IFERROR(('Activity data'!BH90*(1/Constants!$H$135))*ttokg*FracLEACH*MSLeachEF*NtoN2O*kgtoGg,"NO")</f>
        <v>1.8087894174296286E-2</v>
      </c>
      <c r="AP1522" s="22">
        <f>IFERROR(('Activity data'!BI90*(1/Constants!$H$135))*ttokg*FracLEACH*MSLeachEF*NtoN2O*kgtoGg,"NO")</f>
        <v>1.8127082933815188E-2</v>
      </c>
      <c r="AQ1522" s="22">
        <f>IFERROR(('Activity data'!BJ90*(1/Constants!$H$135))*ttokg*FracLEACH*MSLeachEF*NtoN2O*kgtoGg,"NO")</f>
        <v>1.8166271693334096E-2</v>
      </c>
      <c r="AR1522" s="22">
        <f>IFERROR(('Activity data'!BK90*(1/Constants!$H$135))*ttokg*FracLEACH*MSLeachEF*NtoN2O*kgtoGg,"NO")</f>
        <v>1.8205460452853015E-2</v>
      </c>
      <c r="AS1522" s="22">
        <f>IFERROR(('Activity data'!BL90*(1/Constants!$H$135))*ttokg*FracLEACH*MSLeachEF*NtoN2O*kgtoGg,"NO")</f>
        <v>1.8244649212371917E-2</v>
      </c>
      <c r="AT1522" s="22">
        <f>IFERROR(('Activity data'!BM90*(1/Constants!$H$135))*ttokg*FracLEACH*MSLeachEF*NtoN2O*kgtoGg,"NO")</f>
        <v>1.8283837971890825E-2</v>
      </c>
      <c r="AU1522" s="22">
        <f>IFERROR(('Activity data'!BN90*(1/Constants!$H$135))*ttokg*FracLEACH*MSLeachEF*NtoN2O*kgtoGg,"NO")</f>
        <v>1.8323026731409734E-2</v>
      </c>
      <c r="AV1522" s="22">
        <f>IFERROR(('Activity data'!BO90*(1/Constants!$H$135))*ttokg*FracLEACH*MSLeachEF*NtoN2O*kgtoGg,"NO")</f>
        <v>1.8362215490928643E-2</v>
      </c>
      <c r="AW1522" s="22">
        <f>IFERROR(('Activity data'!BP90*(1/Constants!$H$135))*ttokg*FracLEACH*MSLeachEF*NtoN2O*kgtoGg,"NO")</f>
        <v>1.8401404250447555E-2</v>
      </c>
    </row>
    <row r="1523" spans="1:49" x14ac:dyDescent="0.25">
      <c r="A1523" s="102" t="s">
        <v>961</v>
      </c>
      <c r="B1523" s="102"/>
      <c r="C1523" s="102"/>
      <c r="D1523" t="str">
        <f t="shared" si="575"/>
        <v>3C Aggregated and non-CO2 emissions on land</v>
      </c>
      <c r="E1523" t="str">
        <f t="shared" si="574"/>
        <v>3C5 Indirect N2O from managed soils (N2O)</v>
      </c>
      <c r="F1523" t="str">
        <f t="shared" si="572"/>
        <v>Leaching/runoff</v>
      </c>
      <c r="G1523" t="str">
        <f>" - FSOM - "&amp;'Activity data'!D91</f>
        <v xml:space="preserve"> - FSOM - Grassland remaining grassland</v>
      </c>
      <c r="H1523" t="str">
        <f t="shared" si="563"/>
        <v>Leaching/runoff - FSOM - Grassland remaining grassland</v>
      </c>
      <c r="I1523" t="str">
        <f t="shared" si="571"/>
        <v>N2O</v>
      </c>
      <c r="J1523" t="str">
        <f t="shared" si="570"/>
        <v>Gg N2O</v>
      </c>
      <c r="K1523" s="22">
        <f>IFERROR(('Activity data'!AD91*(1/Constants!$H$135))*ttokg*FracLEACH*MSLeachEF*NtoN2O*kgtoGg,"NO")</f>
        <v>1.9871041213735664E-2</v>
      </c>
      <c r="L1523" s="22">
        <f>IFERROR(('Activity data'!AE91*(1/Constants!$H$135))*ttokg*FracLEACH*MSLeachEF*NtoN2O*kgtoGg,"NO")</f>
        <v>1.9871041213735664E-2</v>
      </c>
      <c r="M1523" s="22">
        <f>IFERROR(('Activity data'!AF91*(1/Constants!$H$135))*ttokg*FracLEACH*MSLeachEF*NtoN2O*kgtoGg,"NO")</f>
        <v>1.9871041213735664E-2</v>
      </c>
      <c r="N1523" s="22">
        <f>IFERROR(('Activity data'!AG91*(1/Constants!$H$135))*ttokg*FracLEACH*MSLeachEF*NtoN2O*kgtoGg,"NO")</f>
        <v>1.9871041213735664E-2</v>
      </c>
      <c r="O1523" s="22">
        <f>IFERROR(('Activity data'!AH91*(1/Constants!$H$135))*ttokg*FracLEACH*MSLeachEF*NtoN2O*kgtoGg,"NO")</f>
        <v>1.9871041213735664E-2</v>
      </c>
      <c r="P1523" s="22">
        <f>IFERROR(('Activity data'!AI91*(1/Constants!$H$135))*ttokg*FracLEACH*MSLeachEF*NtoN2O*kgtoGg,"NO")</f>
        <v>1.9871041213735664E-2</v>
      </c>
      <c r="Q1523" s="22">
        <f>IFERROR(('Activity data'!AJ91*(1/Constants!$H$135))*ttokg*FracLEACH*MSLeachEF*NtoN2O*kgtoGg,"NO")</f>
        <v>1.9871041213735664E-2</v>
      </c>
      <c r="R1523" s="22">
        <f>IFERROR(('Activity data'!AK91*(1/Constants!$H$135))*ttokg*FracLEACH*MSLeachEF*NtoN2O*kgtoGg,"NO")</f>
        <v>1.9871041213735664E-2</v>
      </c>
      <c r="S1523" s="22">
        <f>IFERROR(('Activity data'!AL91*(1/Constants!$H$135))*ttokg*FracLEACH*MSLeachEF*NtoN2O*kgtoGg,"NO")</f>
        <v>1.9871041213735664E-2</v>
      </c>
      <c r="T1523" s="22">
        <f>IFERROR(('Activity data'!AM91*(1/Constants!$H$135))*ttokg*FracLEACH*MSLeachEF*NtoN2O*kgtoGg,"NO")</f>
        <v>1.9871041213735664E-2</v>
      </c>
      <c r="U1523" s="22">
        <f>IFERROR(('Activity data'!AN91*(1/Constants!$H$135))*ttokg*FracLEACH*MSLeachEF*NtoN2O*kgtoGg,"NO")</f>
        <v>1.9871041213735664E-2</v>
      </c>
      <c r="V1523" s="22">
        <f>IFERROR(('Activity data'!AO91*(1/Constants!$H$135))*ttokg*FracLEACH*MSLeachEF*NtoN2O*kgtoGg,"NO")</f>
        <v>1.9871041213735664E-2</v>
      </c>
      <c r="W1523" s="22">
        <f>IFERROR(('Activity data'!AP91*(1/Constants!$H$135))*ttokg*FracLEACH*MSLeachEF*NtoN2O*kgtoGg,"NO")</f>
        <v>1.9871041213735664E-2</v>
      </c>
      <c r="X1523" s="22">
        <f>IFERROR(('Activity data'!AQ91*(1/Constants!$H$135))*ttokg*FracLEACH*MSLeachEF*NtoN2O*kgtoGg,"NO")</f>
        <v>1.9871041213735664E-2</v>
      </c>
      <c r="Y1523" s="22">
        <f>IFERROR(('Activity data'!AR91*(1/Constants!$H$135))*ttokg*FracLEACH*MSLeachEF*NtoN2O*kgtoGg,"NO")</f>
        <v>1.9871041213735664E-2</v>
      </c>
      <c r="Z1523" s="22">
        <f>IFERROR(('Activity data'!AS91*(1/Constants!$H$135))*ttokg*FracLEACH*MSLeachEF*NtoN2O*kgtoGg,"NO")</f>
        <v>1.9871041213735664E-2</v>
      </c>
      <c r="AA1523" s="22">
        <f>IFERROR(('Activity data'!AT91*(1/Constants!$H$135))*ttokg*FracLEACH*MSLeachEF*NtoN2O*kgtoGg,"NO")</f>
        <v>1.9871041213735664E-2</v>
      </c>
      <c r="AB1523" s="22">
        <f>IFERROR(('Activity data'!AU91*(1/Constants!$H$135))*ttokg*FracLEACH*MSLeachEF*NtoN2O*kgtoGg,"NO")</f>
        <v>1.9871041213735664E-2</v>
      </c>
      <c r="AC1523" s="22">
        <f>IFERROR(('Activity data'!AV91*(1/Constants!$H$135))*ttokg*FracLEACH*MSLeachEF*NtoN2O*kgtoGg,"NO")</f>
        <v>1.9871041213735664E-2</v>
      </c>
      <c r="AD1523" s="22">
        <f>IFERROR(('Activity data'!AW91*(1/Constants!$H$135))*ttokg*FracLEACH*MSLeachEF*NtoN2O*kgtoGg,"NO")</f>
        <v>1.9871041213735664E-2</v>
      </c>
      <c r="AE1523" s="22">
        <f>IFERROR(('Activity data'!AX91*(1/Constants!$H$135))*ttokg*FracLEACH*MSLeachEF*NtoN2O*kgtoGg,"NO")</f>
        <v>1.9871041213735664E-2</v>
      </c>
      <c r="AF1523" s="22">
        <f>IFERROR(('Activity data'!AY91*(1/Constants!$H$135))*ttokg*FracLEACH*MSLeachEF*NtoN2O*kgtoGg,"NO")</f>
        <v>1.9871041213735664E-2</v>
      </c>
      <c r="AG1523" s="22">
        <f>IFERROR(('Activity data'!AZ91*(1/Constants!$H$135))*ttokg*FracLEACH*MSLeachEF*NtoN2O*kgtoGg,"NO")</f>
        <v>1.9871041213735664E-2</v>
      </c>
      <c r="AH1523" s="22">
        <f>IFERROR(('Activity data'!BA91*(1/Constants!$H$135))*ttokg*FracLEACH*MSLeachEF*NtoN2O*kgtoGg,"NO")</f>
        <v>1.9871041213735664E-2</v>
      </c>
      <c r="AI1523" s="22">
        <f>IFERROR(('Activity data'!BB91*(1/Constants!$H$135))*ttokg*FracLEACH*MSLeachEF*NtoN2O*kgtoGg,"NO")</f>
        <v>1.9871041213735664E-2</v>
      </c>
      <c r="AJ1523" s="22">
        <f>IFERROR(('Activity data'!BC91*(1/Constants!$H$135))*ttokg*FracLEACH*MSLeachEF*NtoN2O*kgtoGg,"NO")</f>
        <v>1.9871041213735664E-2</v>
      </c>
      <c r="AK1523" s="22">
        <f>IFERROR(('Activity data'!BD91*(1/Constants!$H$135))*ttokg*FracLEACH*MSLeachEF*NtoN2O*kgtoGg,"NO")</f>
        <v>1.9871041213735664E-2</v>
      </c>
      <c r="AL1523" s="22">
        <f>IFERROR(('Activity data'!BE91*(1/Constants!$H$135))*ttokg*FracLEACH*MSLeachEF*NtoN2O*kgtoGg,"NO")</f>
        <v>1.9871041213735664E-2</v>
      </c>
      <c r="AM1523" s="22">
        <f>IFERROR(('Activity data'!BF91*(1/Constants!$H$135))*ttokg*FracLEACH*MSLeachEF*NtoN2O*kgtoGg,"NO")</f>
        <v>1.9871041213735664E-2</v>
      </c>
      <c r="AN1523" s="22">
        <f>IFERROR(('Activity data'!BG91*(1/Constants!$H$135))*ttokg*FracLEACH*MSLeachEF*NtoN2O*kgtoGg,"NO")</f>
        <v>1.9871041213735664E-2</v>
      </c>
      <c r="AO1523" s="22">
        <f>IFERROR(('Activity data'!BH91*(1/Constants!$H$135))*ttokg*FracLEACH*MSLeachEF*NtoN2O*kgtoGg,"NO")</f>
        <v>1.9871041213735664E-2</v>
      </c>
      <c r="AP1523" s="22">
        <f>IFERROR(('Activity data'!BI91*(1/Constants!$H$135))*ttokg*FracLEACH*MSLeachEF*NtoN2O*kgtoGg,"NO")</f>
        <v>1.9871041213735664E-2</v>
      </c>
      <c r="AQ1523" s="22">
        <f>IFERROR(('Activity data'!BJ91*(1/Constants!$H$135))*ttokg*FracLEACH*MSLeachEF*NtoN2O*kgtoGg,"NO")</f>
        <v>1.9871041213735664E-2</v>
      </c>
      <c r="AR1523" s="22">
        <f>IFERROR(('Activity data'!BK91*(1/Constants!$H$135))*ttokg*FracLEACH*MSLeachEF*NtoN2O*kgtoGg,"NO")</f>
        <v>1.9871041213735664E-2</v>
      </c>
      <c r="AS1523" s="22">
        <f>IFERROR(('Activity data'!BL91*(1/Constants!$H$135))*ttokg*FracLEACH*MSLeachEF*NtoN2O*kgtoGg,"NO")</f>
        <v>1.9871041213735664E-2</v>
      </c>
      <c r="AT1523" s="22">
        <f>IFERROR(('Activity data'!BM91*(1/Constants!$H$135))*ttokg*FracLEACH*MSLeachEF*NtoN2O*kgtoGg,"NO")</f>
        <v>1.9871041213735664E-2</v>
      </c>
      <c r="AU1523" s="22">
        <f>IFERROR(('Activity data'!BN91*(1/Constants!$H$135))*ttokg*FracLEACH*MSLeachEF*NtoN2O*kgtoGg,"NO")</f>
        <v>1.9871041213735664E-2</v>
      </c>
      <c r="AV1523" s="22">
        <f>IFERROR(('Activity data'!BO91*(1/Constants!$H$135))*ttokg*FracLEACH*MSLeachEF*NtoN2O*kgtoGg,"NO")</f>
        <v>1.9871041213735664E-2</v>
      </c>
      <c r="AW1523" s="22">
        <f>IFERROR(('Activity data'!BP91*(1/Constants!$H$135))*ttokg*FracLEACH*MSLeachEF*NtoN2O*kgtoGg,"NO")</f>
        <v>1.9871041213735664E-2</v>
      </c>
    </row>
    <row r="1524" spans="1:49" x14ac:dyDescent="0.25">
      <c r="A1524" s="102" t="s">
        <v>961</v>
      </c>
      <c r="B1524" s="102"/>
      <c r="C1524" s="102"/>
      <c r="D1524" t="str">
        <f t="shared" si="575"/>
        <v>3C Aggregated and non-CO2 emissions on land</v>
      </c>
      <c r="E1524" t="str">
        <f t="shared" si="574"/>
        <v>3C5 Indirect N2O from managed soils (N2O)</v>
      </c>
      <c r="F1524" t="str">
        <f t="shared" si="572"/>
        <v>Leaching/runoff</v>
      </c>
      <c r="G1524" t="str">
        <f>" - FSOM - "&amp;'Activity data'!D92</f>
        <v xml:space="preserve"> - FSOM - Land converted to grassland</v>
      </c>
      <c r="H1524" t="str">
        <f t="shared" si="563"/>
        <v>Leaching/runoff - FSOM - Land converted to grassland</v>
      </c>
      <c r="I1524" t="str">
        <f t="shared" si="571"/>
        <v>N2O</v>
      </c>
      <c r="J1524" t="str">
        <f t="shared" si="570"/>
        <v>Gg N2O</v>
      </c>
      <c r="K1524" s="22" t="str">
        <f>IFERROR(('Activity data'!AD92*(1/Constants!$H$135))*ttokg*FracLEACH*MSLeachEF*NtoN2O*kgtoGg,"NO")</f>
        <v>NO</v>
      </c>
      <c r="L1524" s="22" t="str">
        <f>IFERROR(('Activity data'!AE92*(1/Constants!$H$135))*ttokg*FracLEACH*MSLeachEF*NtoN2O*kgtoGg,"NO")</f>
        <v>NO</v>
      </c>
      <c r="M1524" s="22" t="str">
        <f>IFERROR(('Activity data'!AF92*(1/Constants!$H$135))*ttokg*FracLEACH*MSLeachEF*NtoN2O*kgtoGg,"NO")</f>
        <v>NO</v>
      </c>
      <c r="N1524" s="22" t="str">
        <f>IFERROR(('Activity data'!AG92*(1/Constants!$H$135))*ttokg*FracLEACH*MSLeachEF*NtoN2O*kgtoGg,"NO")</f>
        <v>NO</v>
      </c>
      <c r="O1524" s="22" t="str">
        <f>IFERROR(('Activity data'!AH92*(1/Constants!$H$135))*ttokg*FracLEACH*MSLeachEF*NtoN2O*kgtoGg,"NO")</f>
        <v>NO</v>
      </c>
      <c r="P1524" s="22" t="str">
        <f>IFERROR(('Activity data'!AI92*(1/Constants!$H$135))*ttokg*FracLEACH*MSLeachEF*NtoN2O*kgtoGg,"NO")</f>
        <v>NO</v>
      </c>
      <c r="Q1524" s="22" t="str">
        <f>IFERROR(('Activity data'!AJ92*(1/Constants!$H$135))*ttokg*FracLEACH*MSLeachEF*NtoN2O*kgtoGg,"NO")</f>
        <v>NO</v>
      </c>
      <c r="R1524" s="22" t="str">
        <f>IFERROR(('Activity data'!AK92*(1/Constants!$H$135))*ttokg*FracLEACH*MSLeachEF*NtoN2O*kgtoGg,"NO")</f>
        <v>NO</v>
      </c>
      <c r="S1524" s="22" t="str">
        <f>IFERROR(('Activity data'!AL92*(1/Constants!$H$135))*ttokg*FracLEACH*MSLeachEF*NtoN2O*kgtoGg,"NO")</f>
        <v>NO</v>
      </c>
      <c r="T1524" s="22" t="str">
        <f>IFERROR(('Activity data'!AM92*(1/Constants!$H$135))*ttokg*FracLEACH*MSLeachEF*NtoN2O*kgtoGg,"NO")</f>
        <v>NO</v>
      </c>
      <c r="U1524" s="22" t="str">
        <f>IFERROR(('Activity data'!AN92*(1/Constants!$H$135))*ttokg*FracLEACH*MSLeachEF*NtoN2O*kgtoGg,"NO")</f>
        <v>NO</v>
      </c>
      <c r="V1524" s="22" t="str">
        <f>IFERROR(('Activity data'!AO92*(1/Constants!$H$135))*ttokg*FracLEACH*MSLeachEF*NtoN2O*kgtoGg,"NO")</f>
        <v>NO</v>
      </c>
      <c r="W1524" s="22" t="str">
        <f>IFERROR(('Activity data'!AP92*(1/Constants!$H$135))*ttokg*FracLEACH*MSLeachEF*NtoN2O*kgtoGg,"NO")</f>
        <v>NO</v>
      </c>
      <c r="X1524" s="22" t="str">
        <f>IFERROR(('Activity data'!AQ92*(1/Constants!$H$135))*ttokg*FracLEACH*MSLeachEF*NtoN2O*kgtoGg,"NO")</f>
        <v>NO</v>
      </c>
      <c r="Y1524" s="22" t="str">
        <f>IFERROR(('Activity data'!AR92*(1/Constants!$H$135))*ttokg*FracLEACH*MSLeachEF*NtoN2O*kgtoGg,"NO")</f>
        <v>NO</v>
      </c>
      <c r="Z1524" s="22" t="str">
        <f>IFERROR(('Activity data'!AS92*(1/Constants!$H$135))*ttokg*FracLEACH*MSLeachEF*NtoN2O*kgtoGg,"NO")</f>
        <v>NO</v>
      </c>
      <c r="AA1524" s="22" t="str">
        <f>IFERROR(('Activity data'!AT92*(1/Constants!$H$135))*ttokg*FracLEACH*MSLeachEF*NtoN2O*kgtoGg,"NO")</f>
        <v>NO</v>
      </c>
      <c r="AB1524" s="22" t="str">
        <f>IFERROR(('Activity data'!AU92*(1/Constants!$H$135))*ttokg*FracLEACH*MSLeachEF*NtoN2O*kgtoGg,"NO")</f>
        <v>NO</v>
      </c>
      <c r="AC1524" s="22" t="str">
        <f>IFERROR(('Activity data'!AV92*(1/Constants!$H$135))*ttokg*FracLEACH*MSLeachEF*NtoN2O*kgtoGg,"NO")</f>
        <v>NO</v>
      </c>
      <c r="AD1524" s="22" t="str">
        <f>IFERROR(('Activity data'!AW92*(1/Constants!$H$135))*ttokg*FracLEACH*MSLeachEF*NtoN2O*kgtoGg,"NO")</f>
        <v>NO</v>
      </c>
      <c r="AE1524" s="22" t="str">
        <f>IFERROR(('Activity data'!AX92*(1/Constants!$H$135))*ttokg*FracLEACH*MSLeachEF*NtoN2O*kgtoGg,"NO")</f>
        <v>NO</v>
      </c>
      <c r="AF1524" s="22" t="str">
        <f>IFERROR(('Activity data'!AY92*(1/Constants!$H$135))*ttokg*FracLEACH*MSLeachEF*NtoN2O*kgtoGg,"NO")</f>
        <v>NO</v>
      </c>
      <c r="AG1524" s="22" t="str">
        <f>IFERROR(('Activity data'!AZ92*(1/Constants!$H$135))*ttokg*FracLEACH*MSLeachEF*NtoN2O*kgtoGg,"NO")</f>
        <v>NO</v>
      </c>
      <c r="AH1524" s="22" t="str">
        <f>IFERROR(('Activity data'!BA92*(1/Constants!$H$135))*ttokg*FracLEACH*MSLeachEF*NtoN2O*kgtoGg,"NO")</f>
        <v>NO</v>
      </c>
      <c r="AI1524" s="22" t="str">
        <f>IFERROR(('Activity data'!BB92*(1/Constants!$H$135))*ttokg*FracLEACH*MSLeachEF*NtoN2O*kgtoGg,"NO")</f>
        <v>NO</v>
      </c>
      <c r="AJ1524" s="22" t="str">
        <f>IFERROR(('Activity data'!BC92*(1/Constants!$H$135))*ttokg*FracLEACH*MSLeachEF*NtoN2O*kgtoGg,"NO")</f>
        <v>NO</v>
      </c>
      <c r="AK1524" s="22" t="str">
        <f>IFERROR(('Activity data'!BD92*(1/Constants!$H$135))*ttokg*FracLEACH*MSLeachEF*NtoN2O*kgtoGg,"NO")</f>
        <v>NO</v>
      </c>
      <c r="AL1524" s="22" t="str">
        <f>IFERROR(('Activity data'!BE92*(1/Constants!$H$135))*ttokg*FracLEACH*MSLeachEF*NtoN2O*kgtoGg,"NO")</f>
        <v>NO</v>
      </c>
      <c r="AM1524" s="22" t="str">
        <f>IFERROR(('Activity data'!BF92*(1/Constants!$H$135))*ttokg*FracLEACH*MSLeachEF*NtoN2O*kgtoGg,"NO")</f>
        <v>NO</v>
      </c>
      <c r="AN1524" s="22" t="str">
        <f>IFERROR(('Activity data'!BG92*(1/Constants!$H$135))*ttokg*FracLEACH*MSLeachEF*NtoN2O*kgtoGg,"NO")</f>
        <v>NO</v>
      </c>
      <c r="AO1524" s="22" t="str">
        <f>IFERROR(('Activity data'!BH92*(1/Constants!$H$135))*ttokg*FracLEACH*MSLeachEF*NtoN2O*kgtoGg,"NO")</f>
        <v>NO</v>
      </c>
      <c r="AP1524" s="22" t="str">
        <f>IFERROR(('Activity data'!BI92*(1/Constants!$H$135))*ttokg*FracLEACH*MSLeachEF*NtoN2O*kgtoGg,"NO")</f>
        <v>NO</v>
      </c>
      <c r="AQ1524" s="22" t="str">
        <f>IFERROR(('Activity data'!BJ92*(1/Constants!$H$135))*ttokg*FracLEACH*MSLeachEF*NtoN2O*kgtoGg,"NO")</f>
        <v>NO</v>
      </c>
      <c r="AR1524" s="22" t="str">
        <f>IFERROR(('Activity data'!BK92*(1/Constants!$H$135))*ttokg*FracLEACH*MSLeachEF*NtoN2O*kgtoGg,"NO")</f>
        <v>NO</v>
      </c>
      <c r="AS1524" s="22" t="str">
        <f>IFERROR(('Activity data'!BL92*(1/Constants!$H$135))*ttokg*FracLEACH*MSLeachEF*NtoN2O*kgtoGg,"NO")</f>
        <v>NO</v>
      </c>
      <c r="AT1524" s="22" t="str">
        <f>IFERROR(('Activity data'!BM92*(1/Constants!$H$135))*ttokg*FracLEACH*MSLeachEF*NtoN2O*kgtoGg,"NO")</f>
        <v>NO</v>
      </c>
      <c r="AU1524" s="22" t="str">
        <f>IFERROR(('Activity data'!BN92*(1/Constants!$H$135))*ttokg*FracLEACH*MSLeachEF*NtoN2O*kgtoGg,"NO")</f>
        <v>NO</v>
      </c>
      <c r="AV1524" s="22" t="str">
        <f>IFERROR(('Activity data'!BO92*(1/Constants!$H$135))*ttokg*FracLEACH*MSLeachEF*NtoN2O*kgtoGg,"NO")</f>
        <v>NO</v>
      </c>
      <c r="AW1524" s="22" t="str">
        <f>IFERROR(('Activity data'!BP92*(1/Constants!$H$135))*ttokg*FracLEACH*MSLeachEF*NtoN2O*kgtoGg,"NO")</f>
        <v>NO</v>
      </c>
    </row>
    <row r="1525" spans="1:49" x14ac:dyDescent="0.25">
      <c r="A1525" s="102" t="s">
        <v>961</v>
      </c>
      <c r="B1525" s="102"/>
      <c r="C1525" s="102"/>
      <c r="D1525" t="str">
        <f t="shared" si="575"/>
        <v>3C Aggregated and non-CO2 emissions on land</v>
      </c>
      <c r="E1525" t="str">
        <f t="shared" si="574"/>
        <v>3C5 Indirect N2O from managed soils (N2O)</v>
      </c>
      <c r="F1525" t="str">
        <f t="shared" si="572"/>
        <v>Leaching/runoff</v>
      </c>
      <c r="G1525" t="str">
        <f>" - FSOM - "&amp;'Activity data'!D93</f>
        <v xml:space="preserve"> - FSOM - Wetland remaining wetland</v>
      </c>
      <c r="H1525" t="str">
        <f t="shared" si="563"/>
        <v>Leaching/runoff - FSOM - Wetland remaining wetland</v>
      </c>
      <c r="I1525" t="str">
        <f t="shared" si="571"/>
        <v>N2O</v>
      </c>
      <c r="J1525" t="str">
        <f t="shared" si="570"/>
        <v>Gg N2O</v>
      </c>
      <c r="K1525" s="22" t="str">
        <f>IFERROR(('Activity data'!AD93*(1/Constants!$H$135))*ttokg*FracLEACH*MSLeachEF*NtoN2O*kgtoGg,"NO")</f>
        <v>NO</v>
      </c>
      <c r="L1525" s="22" t="str">
        <f>IFERROR(('Activity data'!AE93*(1/Constants!$H$135))*ttokg*FracLEACH*MSLeachEF*NtoN2O*kgtoGg,"NO")</f>
        <v>NO</v>
      </c>
      <c r="M1525" s="22" t="str">
        <f>IFERROR(('Activity data'!AF93*(1/Constants!$H$135))*ttokg*FracLEACH*MSLeachEF*NtoN2O*kgtoGg,"NO")</f>
        <v>NO</v>
      </c>
      <c r="N1525" s="22" t="str">
        <f>IFERROR(('Activity data'!AG93*(1/Constants!$H$135))*ttokg*FracLEACH*MSLeachEF*NtoN2O*kgtoGg,"NO")</f>
        <v>NO</v>
      </c>
      <c r="O1525" s="22" t="str">
        <f>IFERROR(('Activity data'!AH93*(1/Constants!$H$135))*ttokg*FracLEACH*MSLeachEF*NtoN2O*kgtoGg,"NO")</f>
        <v>NO</v>
      </c>
      <c r="P1525" s="22" t="str">
        <f>IFERROR(('Activity data'!AI93*(1/Constants!$H$135))*ttokg*FracLEACH*MSLeachEF*NtoN2O*kgtoGg,"NO")</f>
        <v>NO</v>
      </c>
      <c r="Q1525" s="22" t="str">
        <f>IFERROR(('Activity data'!AJ93*(1/Constants!$H$135))*ttokg*FracLEACH*MSLeachEF*NtoN2O*kgtoGg,"NO")</f>
        <v>NO</v>
      </c>
      <c r="R1525" s="22" t="str">
        <f>IFERROR(('Activity data'!AK93*(1/Constants!$H$135))*ttokg*FracLEACH*MSLeachEF*NtoN2O*kgtoGg,"NO")</f>
        <v>NO</v>
      </c>
      <c r="S1525" s="22" t="str">
        <f>IFERROR(('Activity data'!AL93*(1/Constants!$H$135))*ttokg*FracLEACH*MSLeachEF*NtoN2O*kgtoGg,"NO")</f>
        <v>NO</v>
      </c>
      <c r="T1525" s="22" t="str">
        <f>IFERROR(('Activity data'!AM93*(1/Constants!$H$135))*ttokg*FracLEACH*MSLeachEF*NtoN2O*kgtoGg,"NO")</f>
        <v>NO</v>
      </c>
      <c r="U1525" s="22" t="str">
        <f>IFERROR(('Activity data'!AN93*(1/Constants!$H$135))*ttokg*FracLEACH*MSLeachEF*NtoN2O*kgtoGg,"NO")</f>
        <v>NO</v>
      </c>
      <c r="V1525" s="22" t="str">
        <f>IFERROR(('Activity data'!AO93*(1/Constants!$H$135))*ttokg*FracLEACH*MSLeachEF*NtoN2O*kgtoGg,"NO")</f>
        <v>NO</v>
      </c>
      <c r="W1525" s="22" t="str">
        <f>IFERROR(('Activity data'!AP93*(1/Constants!$H$135))*ttokg*FracLEACH*MSLeachEF*NtoN2O*kgtoGg,"NO")</f>
        <v>NO</v>
      </c>
      <c r="X1525" s="22" t="str">
        <f>IFERROR(('Activity data'!AQ93*(1/Constants!$H$135))*ttokg*FracLEACH*MSLeachEF*NtoN2O*kgtoGg,"NO")</f>
        <v>NO</v>
      </c>
      <c r="Y1525" s="22" t="str">
        <f>IFERROR(('Activity data'!AR93*(1/Constants!$H$135))*ttokg*FracLEACH*MSLeachEF*NtoN2O*kgtoGg,"NO")</f>
        <v>NO</v>
      </c>
      <c r="Z1525" s="22" t="str">
        <f>IFERROR(('Activity data'!AS93*(1/Constants!$H$135))*ttokg*FracLEACH*MSLeachEF*NtoN2O*kgtoGg,"NO")</f>
        <v>NO</v>
      </c>
      <c r="AA1525" s="22" t="str">
        <f>IFERROR(('Activity data'!AT93*(1/Constants!$H$135))*ttokg*FracLEACH*MSLeachEF*NtoN2O*kgtoGg,"NO")</f>
        <v>NO</v>
      </c>
      <c r="AB1525" s="22" t="str">
        <f>IFERROR(('Activity data'!AU93*(1/Constants!$H$135))*ttokg*FracLEACH*MSLeachEF*NtoN2O*kgtoGg,"NO")</f>
        <v>NO</v>
      </c>
      <c r="AC1525" s="22" t="str">
        <f>IFERROR(('Activity data'!AV93*(1/Constants!$H$135))*ttokg*FracLEACH*MSLeachEF*NtoN2O*kgtoGg,"NO")</f>
        <v>NO</v>
      </c>
      <c r="AD1525" s="22" t="str">
        <f>IFERROR(('Activity data'!AW93*(1/Constants!$H$135))*ttokg*FracLEACH*MSLeachEF*NtoN2O*kgtoGg,"NO")</f>
        <v>NO</v>
      </c>
      <c r="AE1525" s="22" t="str">
        <f>IFERROR(('Activity data'!AX93*(1/Constants!$H$135))*ttokg*FracLEACH*MSLeachEF*NtoN2O*kgtoGg,"NO")</f>
        <v>NO</v>
      </c>
      <c r="AF1525" s="22" t="str">
        <f>IFERROR(('Activity data'!AY93*(1/Constants!$H$135))*ttokg*FracLEACH*MSLeachEF*NtoN2O*kgtoGg,"NO")</f>
        <v>NO</v>
      </c>
      <c r="AG1525" s="22" t="str">
        <f>IFERROR(('Activity data'!AZ93*(1/Constants!$H$135))*ttokg*FracLEACH*MSLeachEF*NtoN2O*kgtoGg,"NO")</f>
        <v>NO</v>
      </c>
      <c r="AH1525" s="22" t="str">
        <f>IFERROR(('Activity data'!BA93*(1/Constants!$H$135))*ttokg*FracLEACH*MSLeachEF*NtoN2O*kgtoGg,"NO")</f>
        <v>NO</v>
      </c>
      <c r="AI1525" s="22" t="str">
        <f>IFERROR(('Activity data'!BB93*(1/Constants!$H$135))*ttokg*FracLEACH*MSLeachEF*NtoN2O*kgtoGg,"NO")</f>
        <v>NO</v>
      </c>
      <c r="AJ1525" s="22" t="str">
        <f>IFERROR(('Activity data'!BC93*(1/Constants!$H$135))*ttokg*FracLEACH*MSLeachEF*NtoN2O*kgtoGg,"NO")</f>
        <v>NO</v>
      </c>
      <c r="AK1525" s="22" t="str">
        <f>IFERROR(('Activity data'!BD93*(1/Constants!$H$135))*ttokg*FracLEACH*MSLeachEF*NtoN2O*kgtoGg,"NO")</f>
        <v>NO</v>
      </c>
      <c r="AL1525" s="22" t="str">
        <f>IFERROR(('Activity data'!BE93*(1/Constants!$H$135))*ttokg*FracLEACH*MSLeachEF*NtoN2O*kgtoGg,"NO")</f>
        <v>NO</v>
      </c>
      <c r="AM1525" s="22" t="str">
        <f>IFERROR(('Activity data'!BF93*(1/Constants!$H$135))*ttokg*FracLEACH*MSLeachEF*NtoN2O*kgtoGg,"NO")</f>
        <v>NO</v>
      </c>
      <c r="AN1525" s="22" t="str">
        <f>IFERROR(('Activity data'!BG93*(1/Constants!$H$135))*ttokg*FracLEACH*MSLeachEF*NtoN2O*kgtoGg,"NO")</f>
        <v>NO</v>
      </c>
      <c r="AO1525" s="22" t="str">
        <f>IFERROR(('Activity data'!BH93*(1/Constants!$H$135))*ttokg*FracLEACH*MSLeachEF*NtoN2O*kgtoGg,"NO")</f>
        <v>NO</v>
      </c>
      <c r="AP1525" s="22" t="str">
        <f>IFERROR(('Activity data'!BI93*(1/Constants!$H$135))*ttokg*FracLEACH*MSLeachEF*NtoN2O*kgtoGg,"NO")</f>
        <v>NO</v>
      </c>
      <c r="AQ1525" s="22" t="str">
        <f>IFERROR(('Activity data'!BJ93*(1/Constants!$H$135))*ttokg*FracLEACH*MSLeachEF*NtoN2O*kgtoGg,"NO")</f>
        <v>NO</v>
      </c>
      <c r="AR1525" s="22" t="str">
        <f>IFERROR(('Activity data'!BK93*(1/Constants!$H$135))*ttokg*FracLEACH*MSLeachEF*NtoN2O*kgtoGg,"NO")</f>
        <v>NO</v>
      </c>
      <c r="AS1525" s="22" t="str">
        <f>IFERROR(('Activity data'!BL93*(1/Constants!$H$135))*ttokg*FracLEACH*MSLeachEF*NtoN2O*kgtoGg,"NO")</f>
        <v>NO</v>
      </c>
      <c r="AT1525" s="22" t="str">
        <f>IFERROR(('Activity data'!BM93*(1/Constants!$H$135))*ttokg*FracLEACH*MSLeachEF*NtoN2O*kgtoGg,"NO")</f>
        <v>NO</v>
      </c>
      <c r="AU1525" s="22" t="str">
        <f>IFERROR(('Activity data'!BN93*(1/Constants!$H$135))*ttokg*FracLEACH*MSLeachEF*NtoN2O*kgtoGg,"NO")</f>
        <v>NO</v>
      </c>
      <c r="AV1525" s="22" t="str">
        <f>IFERROR(('Activity data'!BO93*(1/Constants!$H$135))*ttokg*FracLEACH*MSLeachEF*NtoN2O*kgtoGg,"NO")</f>
        <v>NO</v>
      </c>
      <c r="AW1525" s="22" t="str">
        <f>IFERROR(('Activity data'!BP93*(1/Constants!$H$135))*ttokg*FracLEACH*MSLeachEF*NtoN2O*kgtoGg,"NO")</f>
        <v>NO</v>
      </c>
    </row>
    <row r="1526" spans="1:49" x14ac:dyDescent="0.25">
      <c r="A1526" s="102" t="s">
        <v>961</v>
      </c>
      <c r="B1526" s="102"/>
      <c r="C1526" s="102"/>
      <c r="D1526" t="str">
        <f t="shared" si="575"/>
        <v>3C Aggregated and non-CO2 emissions on land</v>
      </c>
      <c r="E1526" t="str">
        <f t="shared" si="574"/>
        <v>3C5 Indirect N2O from managed soils (N2O)</v>
      </c>
      <c r="F1526" t="str">
        <f t="shared" si="572"/>
        <v>Leaching/runoff</v>
      </c>
      <c r="G1526" t="str">
        <f>" - FSOM - "&amp;'Activity data'!D94</f>
        <v xml:space="preserve"> - FSOM - Land converted to wetland</v>
      </c>
      <c r="H1526" t="str">
        <f t="shared" si="563"/>
        <v>Leaching/runoff - FSOM - Land converted to wetland</v>
      </c>
      <c r="I1526" t="str">
        <f t="shared" si="571"/>
        <v>N2O</v>
      </c>
      <c r="J1526" t="str">
        <f t="shared" si="570"/>
        <v>Gg N2O</v>
      </c>
      <c r="K1526" s="22" t="str">
        <f>IFERROR(('Activity data'!AD94*(1/Constants!$H$135))*ttokg*FracLEACH*MSLeachEF*NtoN2O*kgtoGg,"NO")</f>
        <v>NO</v>
      </c>
      <c r="L1526" s="22" t="str">
        <f>IFERROR(('Activity data'!AE94*(1/Constants!$H$135))*ttokg*FracLEACH*MSLeachEF*NtoN2O*kgtoGg,"NO")</f>
        <v>NO</v>
      </c>
      <c r="M1526" s="22" t="str">
        <f>IFERROR(('Activity data'!AF94*(1/Constants!$H$135))*ttokg*FracLEACH*MSLeachEF*NtoN2O*kgtoGg,"NO")</f>
        <v>NO</v>
      </c>
      <c r="N1526" s="22" t="str">
        <f>IFERROR(('Activity data'!AG94*(1/Constants!$H$135))*ttokg*FracLEACH*MSLeachEF*NtoN2O*kgtoGg,"NO")</f>
        <v>NO</v>
      </c>
      <c r="O1526" s="22" t="str">
        <f>IFERROR(('Activity data'!AH94*(1/Constants!$H$135))*ttokg*FracLEACH*MSLeachEF*NtoN2O*kgtoGg,"NO")</f>
        <v>NO</v>
      </c>
      <c r="P1526" s="22" t="str">
        <f>IFERROR(('Activity data'!AI94*(1/Constants!$H$135))*ttokg*FracLEACH*MSLeachEF*NtoN2O*kgtoGg,"NO")</f>
        <v>NO</v>
      </c>
      <c r="Q1526" s="22" t="str">
        <f>IFERROR(('Activity data'!AJ94*(1/Constants!$H$135))*ttokg*FracLEACH*MSLeachEF*NtoN2O*kgtoGg,"NO")</f>
        <v>NO</v>
      </c>
      <c r="R1526" s="22" t="str">
        <f>IFERROR(('Activity data'!AK94*(1/Constants!$H$135))*ttokg*FracLEACH*MSLeachEF*NtoN2O*kgtoGg,"NO")</f>
        <v>NO</v>
      </c>
      <c r="S1526" s="22" t="str">
        <f>IFERROR(('Activity data'!AL94*(1/Constants!$H$135))*ttokg*FracLEACH*MSLeachEF*NtoN2O*kgtoGg,"NO")</f>
        <v>NO</v>
      </c>
      <c r="T1526" s="22" t="str">
        <f>IFERROR(('Activity data'!AM94*(1/Constants!$H$135))*ttokg*FracLEACH*MSLeachEF*NtoN2O*kgtoGg,"NO")</f>
        <v>NO</v>
      </c>
      <c r="U1526" s="22" t="str">
        <f>IFERROR(('Activity data'!AN94*(1/Constants!$H$135))*ttokg*FracLEACH*MSLeachEF*NtoN2O*kgtoGg,"NO")</f>
        <v>NO</v>
      </c>
      <c r="V1526" s="22" t="str">
        <f>IFERROR(('Activity data'!AO94*(1/Constants!$H$135))*ttokg*FracLEACH*MSLeachEF*NtoN2O*kgtoGg,"NO")</f>
        <v>NO</v>
      </c>
      <c r="W1526" s="22" t="str">
        <f>IFERROR(('Activity data'!AP94*(1/Constants!$H$135))*ttokg*FracLEACH*MSLeachEF*NtoN2O*kgtoGg,"NO")</f>
        <v>NO</v>
      </c>
      <c r="X1526" s="22" t="str">
        <f>IFERROR(('Activity data'!AQ94*(1/Constants!$H$135))*ttokg*FracLEACH*MSLeachEF*NtoN2O*kgtoGg,"NO")</f>
        <v>NO</v>
      </c>
      <c r="Y1526" s="22" t="str">
        <f>IFERROR(('Activity data'!AR94*(1/Constants!$H$135))*ttokg*FracLEACH*MSLeachEF*NtoN2O*kgtoGg,"NO")</f>
        <v>NO</v>
      </c>
      <c r="Z1526" s="22" t="str">
        <f>IFERROR(('Activity data'!AS94*(1/Constants!$H$135))*ttokg*FracLEACH*MSLeachEF*NtoN2O*kgtoGg,"NO")</f>
        <v>NO</v>
      </c>
      <c r="AA1526" s="22" t="str">
        <f>IFERROR(('Activity data'!AT94*(1/Constants!$H$135))*ttokg*FracLEACH*MSLeachEF*NtoN2O*kgtoGg,"NO")</f>
        <v>NO</v>
      </c>
      <c r="AB1526" s="22" t="str">
        <f>IFERROR(('Activity data'!AU94*(1/Constants!$H$135))*ttokg*FracLEACH*MSLeachEF*NtoN2O*kgtoGg,"NO")</f>
        <v>NO</v>
      </c>
      <c r="AC1526" s="22" t="str">
        <f>IFERROR(('Activity data'!AV94*(1/Constants!$H$135))*ttokg*FracLEACH*MSLeachEF*NtoN2O*kgtoGg,"NO")</f>
        <v>NO</v>
      </c>
      <c r="AD1526" s="22" t="str">
        <f>IFERROR(('Activity data'!AW94*(1/Constants!$H$135))*ttokg*FracLEACH*MSLeachEF*NtoN2O*kgtoGg,"NO")</f>
        <v>NO</v>
      </c>
      <c r="AE1526" s="22" t="str">
        <f>IFERROR(('Activity data'!AX94*(1/Constants!$H$135))*ttokg*FracLEACH*MSLeachEF*NtoN2O*kgtoGg,"NO")</f>
        <v>NO</v>
      </c>
      <c r="AF1526" s="22" t="str">
        <f>IFERROR(('Activity data'!AY94*(1/Constants!$H$135))*ttokg*FracLEACH*MSLeachEF*NtoN2O*kgtoGg,"NO")</f>
        <v>NO</v>
      </c>
      <c r="AG1526" s="22" t="str">
        <f>IFERROR(('Activity data'!AZ94*(1/Constants!$H$135))*ttokg*FracLEACH*MSLeachEF*NtoN2O*kgtoGg,"NO")</f>
        <v>NO</v>
      </c>
      <c r="AH1526" s="22" t="str">
        <f>IFERROR(('Activity data'!BA94*(1/Constants!$H$135))*ttokg*FracLEACH*MSLeachEF*NtoN2O*kgtoGg,"NO")</f>
        <v>NO</v>
      </c>
      <c r="AI1526" s="22" t="str">
        <f>IFERROR(('Activity data'!BB94*(1/Constants!$H$135))*ttokg*FracLEACH*MSLeachEF*NtoN2O*kgtoGg,"NO")</f>
        <v>NO</v>
      </c>
      <c r="AJ1526" s="22" t="str">
        <f>IFERROR(('Activity data'!BC94*(1/Constants!$H$135))*ttokg*FracLEACH*MSLeachEF*NtoN2O*kgtoGg,"NO")</f>
        <v>NO</v>
      </c>
      <c r="AK1526" s="22" t="str">
        <f>IFERROR(('Activity data'!BD94*(1/Constants!$H$135))*ttokg*FracLEACH*MSLeachEF*NtoN2O*kgtoGg,"NO")</f>
        <v>NO</v>
      </c>
      <c r="AL1526" s="22" t="str">
        <f>IFERROR(('Activity data'!BE94*(1/Constants!$H$135))*ttokg*FracLEACH*MSLeachEF*NtoN2O*kgtoGg,"NO")</f>
        <v>NO</v>
      </c>
      <c r="AM1526" s="22" t="str">
        <f>IFERROR(('Activity data'!BF94*(1/Constants!$H$135))*ttokg*FracLEACH*MSLeachEF*NtoN2O*kgtoGg,"NO")</f>
        <v>NO</v>
      </c>
      <c r="AN1526" s="22" t="str">
        <f>IFERROR(('Activity data'!BG94*(1/Constants!$H$135))*ttokg*FracLEACH*MSLeachEF*NtoN2O*kgtoGg,"NO")</f>
        <v>NO</v>
      </c>
      <c r="AO1526" s="22" t="str">
        <f>IFERROR(('Activity data'!BH94*(1/Constants!$H$135))*ttokg*FracLEACH*MSLeachEF*NtoN2O*kgtoGg,"NO")</f>
        <v>NO</v>
      </c>
      <c r="AP1526" s="22" t="str">
        <f>IFERROR(('Activity data'!BI94*(1/Constants!$H$135))*ttokg*FracLEACH*MSLeachEF*NtoN2O*kgtoGg,"NO")</f>
        <v>NO</v>
      </c>
      <c r="AQ1526" s="22" t="str">
        <f>IFERROR(('Activity data'!BJ94*(1/Constants!$H$135))*ttokg*FracLEACH*MSLeachEF*NtoN2O*kgtoGg,"NO")</f>
        <v>NO</v>
      </c>
      <c r="AR1526" s="22" t="str">
        <f>IFERROR(('Activity data'!BK94*(1/Constants!$H$135))*ttokg*FracLEACH*MSLeachEF*NtoN2O*kgtoGg,"NO")</f>
        <v>NO</v>
      </c>
      <c r="AS1526" s="22" t="str">
        <f>IFERROR(('Activity data'!BL94*(1/Constants!$H$135))*ttokg*FracLEACH*MSLeachEF*NtoN2O*kgtoGg,"NO")</f>
        <v>NO</v>
      </c>
      <c r="AT1526" s="22" t="str">
        <f>IFERROR(('Activity data'!BM94*(1/Constants!$H$135))*ttokg*FracLEACH*MSLeachEF*NtoN2O*kgtoGg,"NO")</f>
        <v>NO</v>
      </c>
      <c r="AU1526" s="22" t="str">
        <f>IFERROR(('Activity data'!BN94*(1/Constants!$H$135))*ttokg*FracLEACH*MSLeachEF*NtoN2O*kgtoGg,"NO")</f>
        <v>NO</v>
      </c>
      <c r="AV1526" s="22" t="str">
        <f>IFERROR(('Activity data'!BO94*(1/Constants!$H$135))*ttokg*FracLEACH*MSLeachEF*NtoN2O*kgtoGg,"NO")</f>
        <v>NO</v>
      </c>
      <c r="AW1526" s="22" t="str">
        <f>IFERROR(('Activity data'!BP94*(1/Constants!$H$135))*ttokg*FracLEACH*MSLeachEF*NtoN2O*kgtoGg,"NO")</f>
        <v>NO</v>
      </c>
    </row>
    <row r="1527" spans="1:49" x14ac:dyDescent="0.25">
      <c r="A1527" s="102" t="s">
        <v>961</v>
      </c>
      <c r="B1527" s="102"/>
      <c r="C1527" s="102"/>
      <c r="D1527" t="str">
        <f t="shared" si="575"/>
        <v>3C Aggregated and non-CO2 emissions on land</v>
      </c>
      <c r="E1527" t="str">
        <f t="shared" si="574"/>
        <v>3C5 Indirect N2O from managed soils (N2O)</v>
      </c>
      <c r="F1527" t="str">
        <f t="shared" si="572"/>
        <v>Leaching/runoff</v>
      </c>
      <c r="G1527" t="str">
        <f>" - FSOM - "&amp;'Activity data'!D95</f>
        <v xml:space="preserve"> - FSOM - Settlements remaining settlements</v>
      </c>
      <c r="H1527" t="str">
        <f t="shared" si="563"/>
        <v>Leaching/runoff - FSOM - Settlements remaining settlements</v>
      </c>
      <c r="I1527" t="str">
        <f t="shared" si="571"/>
        <v>N2O</v>
      </c>
      <c r="J1527" t="str">
        <f t="shared" si="570"/>
        <v>Gg N2O</v>
      </c>
      <c r="K1527" s="22">
        <f>IFERROR(('Activity data'!AD95*(1/Constants!$H$135))*ttokg*FracLEACH*MSLeachEF*NtoN2O*kgtoGg,"NO")</f>
        <v>1.9333864620707719E-6</v>
      </c>
      <c r="L1527" s="22">
        <f>IFERROR(('Activity data'!AE95*(1/Constants!$H$135))*ttokg*FracLEACH*MSLeachEF*NtoN2O*kgtoGg,"NO")</f>
        <v>1.9333864620707719E-6</v>
      </c>
      <c r="M1527" s="22">
        <f>IFERROR(('Activity data'!AF95*(1/Constants!$H$135))*ttokg*FracLEACH*MSLeachEF*NtoN2O*kgtoGg,"NO")</f>
        <v>1.9333864620707719E-6</v>
      </c>
      <c r="N1527" s="22">
        <f>IFERROR(('Activity data'!AG95*(1/Constants!$H$135))*ttokg*FracLEACH*MSLeachEF*NtoN2O*kgtoGg,"NO")</f>
        <v>1.9333864620707719E-6</v>
      </c>
      <c r="O1527" s="22">
        <f>IFERROR(('Activity data'!AH95*(1/Constants!$H$135))*ttokg*FracLEACH*MSLeachEF*NtoN2O*kgtoGg,"NO")</f>
        <v>1.9333864620707719E-6</v>
      </c>
      <c r="P1527" s="22">
        <f>IFERROR(('Activity data'!AI95*(1/Constants!$H$135))*ttokg*FracLEACH*MSLeachEF*NtoN2O*kgtoGg,"NO")</f>
        <v>1.9333864620707719E-6</v>
      </c>
      <c r="Q1527" s="22">
        <f>IFERROR(('Activity data'!AJ95*(1/Constants!$H$135))*ttokg*FracLEACH*MSLeachEF*NtoN2O*kgtoGg,"NO")</f>
        <v>1.9333864620707719E-6</v>
      </c>
      <c r="R1527" s="22">
        <f>IFERROR(('Activity data'!AK95*(1/Constants!$H$135))*ttokg*FracLEACH*MSLeachEF*NtoN2O*kgtoGg,"NO")</f>
        <v>1.9333864620707719E-6</v>
      </c>
      <c r="S1527" s="22">
        <f>IFERROR(('Activity data'!AL95*(1/Constants!$H$135))*ttokg*FracLEACH*MSLeachEF*NtoN2O*kgtoGg,"NO")</f>
        <v>1.9333864620707719E-6</v>
      </c>
      <c r="T1527" s="22">
        <f>IFERROR(('Activity data'!AM95*(1/Constants!$H$135))*ttokg*FracLEACH*MSLeachEF*NtoN2O*kgtoGg,"NO")</f>
        <v>1.9333864620707719E-6</v>
      </c>
      <c r="U1527" s="22">
        <f>IFERROR(('Activity data'!AN95*(1/Constants!$H$135))*ttokg*FracLEACH*MSLeachEF*NtoN2O*kgtoGg,"NO")</f>
        <v>1.9333864620707719E-6</v>
      </c>
      <c r="V1527" s="22">
        <f>IFERROR(('Activity data'!AO95*(1/Constants!$H$135))*ttokg*FracLEACH*MSLeachEF*NtoN2O*kgtoGg,"NO")</f>
        <v>1.9333864620707719E-6</v>
      </c>
      <c r="W1527" s="22">
        <f>IFERROR(('Activity data'!AP95*(1/Constants!$H$135))*ttokg*FracLEACH*MSLeachEF*NtoN2O*kgtoGg,"NO")</f>
        <v>1.9333864620707719E-6</v>
      </c>
      <c r="X1527" s="22">
        <f>IFERROR(('Activity data'!AQ95*(1/Constants!$H$135))*ttokg*FracLEACH*MSLeachEF*NtoN2O*kgtoGg,"NO")</f>
        <v>1.9333864620707719E-6</v>
      </c>
      <c r="Y1527" s="22">
        <f>IFERROR(('Activity data'!AR95*(1/Constants!$H$135))*ttokg*FracLEACH*MSLeachEF*NtoN2O*kgtoGg,"NO")</f>
        <v>1.9333864620707719E-6</v>
      </c>
      <c r="Z1527" s="22">
        <f>IFERROR(('Activity data'!AS95*(1/Constants!$H$135))*ttokg*FracLEACH*MSLeachEF*NtoN2O*kgtoGg,"NO")</f>
        <v>1.9333864620707719E-6</v>
      </c>
      <c r="AA1527" s="22">
        <f>IFERROR(('Activity data'!AT95*(1/Constants!$H$135))*ttokg*FracLEACH*MSLeachEF*NtoN2O*kgtoGg,"NO")</f>
        <v>1.9333864620707719E-6</v>
      </c>
      <c r="AB1527" s="22">
        <f>IFERROR(('Activity data'!AU95*(1/Constants!$H$135))*ttokg*FracLEACH*MSLeachEF*NtoN2O*kgtoGg,"NO")</f>
        <v>1.9333864620707719E-6</v>
      </c>
      <c r="AC1527" s="22">
        <f>IFERROR(('Activity data'!AV95*(1/Constants!$H$135))*ttokg*FracLEACH*MSLeachEF*NtoN2O*kgtoGg,"NO")</f>
        <v>1.9333864620707719E-6</v>
      </c>
      <c r="AD1527" s="22">
        <f>IFERROR(('Activity data'!AW95*(1/Constants!$H$135))*ttokg*FracLEACH*MSLeachEF*NtoN2O*kgtoGg,"NO")</f>
        <v>1.9333864620707719E-6</v>
      </c>
      <c r="AE1527" s="22">
        <f>IFERROR(('Activity data'!AX95*(1/Constants!$H$135))*ttokg*FracLEACH*MSLeachEF*NtoN2O*kgtoGg,"NO")</f>
        <v>1.9333864620707719E-6</v>
      </c>
      <c r="AF1527" s="22">
        <f>IFERROR(('Activity data'!AY95*(1/Constants!$H$135))*ttokg*FracLEACH*MSLeachEF*NtoN2O*kgtoGg,"NO")</f>
        <v>1.9333864620707719E-6</v>
      </c>
      <c r="AG1527" s="22">
        <f>IFERROR(('Activity data'!AZ95*(1/Constants!$H$135))*ttokg*FracLEACH*MSLeachEF*NtoN2O*kgtoGg,"NO")</f>
        <v>1.9333864620707719E-6</v>
      </c>
      <c r="AH1527" s="22">
        <f>IFERROR(('Activity data'!BA95*(1/Constants!$H$135))*ttokg*FracLEACH*MSLeachEF*NtoN2O*kgtoGg,"NO")</f>
        <v>1.9333864620707719E-6</v>
      </c>
      <c r="AI1527" s="22">
        <f>IFERROR(('Activity data'!BB95*(1/Constants!$H$135))*ttokg*FracLEACH*MSLeachEF*NtoN2O*kgtoGg,"NO")</f>
        <v>1.9333864620707719E-6</v>
      </c>
      <c r="AJ1527" s="22">
        <f>IFERROR(('Activity data'!BC95*(1/Constants!$H$135))*ttokg*FracLEACH*MSLeachEF*NtoN2O*kgtoGg,"NO")</f>
        <v>1.9333864620707719E-6</v>
      </c>
      <c r="AK1527" s="22">
        <f>IFERROR(('Activity data'!BD95*(1/Constants!$H$135))*ttokg*FracLEACH*MSLeachEF*NtoN2O*kgtoGg,"NO")</f>
        <v>1.9333864620707719E-6</v>
      </c>
      <c r="AL1527" s="22">
        <f>IFERROR(('Activity data'!BE95*(1/Constants!$H$135))*ttokg*FracLEACH*MSLeachEF*NtoN2O*kgtoGg,"NO")</f>
        <v>1.9333864620707719E-6</v>
      </c>
      <c r="AM1527" s="22">
        <f>IFERROR(('Activity data'!BF95*(1/Constants!$H$135))*ttokg*FracLEACH*MSLeachEF*NtoN2O*kgtoGg,"NO")</f>
        <v>1.9333864620707719E-6</v>
      </c>
      <c r="AN1527" s="22">
        <f>IFERROR(('Activity data'!BG95*(1/Constants!$H$135))*ttokg*FracLEACH*MSLeachEF*NtoN2O*kgtoGg,"NO")</f>
        <v>1.9333864620707719E-6</v>
      </c>
      <c r="AO1527" s="22">
        <f>IFERROR(('Activity data'!BH95*(1/Constants!$H$135))*ttokg*FracLEACH*MSLeachEF*NtoN2O*kgtoGg,"NO")</f>
        <v>1.9333864620707719E-6</v>
      </c>
      <c r="AP1527" s="22">
        <f>IFERROR(('Activity data'!BI95*(1/Constants!$H$135))*ttokg*FracLEACH*MSLeachEF*NtoN2O*kgtoGg,"NO")</f>
        <v>1.9333864620707719E-6</v>
      </c>
      <c r="AQ1527" s="22">
        <f>IFERROR(('Activity data'!BJ95*(1/Constants!$H$135))*ttokg*FracLEACH*MSLeachEF*NtoN2O*kgtoGg,"NO")</f>
        <v>1.9333864620707719E-6</v>
      </c>
      <c r="AR1527" s="22">
        <f>IFERROR(('Activity data'!BK95*(1/Constants!$H$135))*ttokg*FracLEACH*MSLeachEF*NtoN2O*kgtoGg,"NO")</f>
        <v>1.9333864620707719E-6</v>
      </c>
      <c r="AS1527" s="22">
        <f>IFERROR(('Activity data'!BL95*(1/Constants!$H$135))*ttokg*FracLEACH*MSLeachEF*NtoN2O*kgtoGg,"NO")</f>
        <v>1.9333864620707719E-6</v>
      </c>
      <c r="AT1527" s="22">
        <f>IFERROR(('Activity data'!BM95*(1/Constants!$H$135))*ttokg*FracLEACH*MSLeachEF*NtoN2O*kgtoGg,"NO")</f>
        <v>1.9333864620707719E-6</v>
      </c>
      <c r="AU1527" s="22">
        <f>IFERROR(('Activity data'!BN95*(1/Constants!$H$135))*ttokg*FracLEACH*MSLeachEF*NtoN2O*kgtoGg,"NO")</f>
        <v>1.9333864620707719E-6</v>
      </c>
      <c r="AV1527" s="22">
        <f>IFERROR(('Activity data'!BO95*(1/Constants!$H$135))*ttokg*FracLEACH*MSLeachEF*NtoN2O*kgtoGg,"NO")</f>
        <v>1.9333864620707719E-6</v>
      </c>
      <c r="AW1527" s="22">
        <f>IFERROR(('Activity data'!BP95*(1/Constants!$H$135))*ttokg*FracLEACH*MSLeachEF*NtoN2O*kgtoGg,"NO")</f>
        <v>1.9333864620707719E-6</v>
      </c>
    </row>
    <row r="1528" spans="1:49" x14ac:dyDescent="0.25">
      <c r="A1528" s="102" t="s">
        <v>961</v>
      </c>
      <c r="B1528" s="102"/>
      <c r="C1528" s="102"/>
      <c r="D1528" t="str">
        <f t="shared" si="575"/>
        <v>3C Aggregated and non-CO2 emissions on land</v>
      </c>
      <c r="E1528" t="str">
        <f t="shared" si="574"/>
        <v>3C5 Indirect N2O from managed soils (N2O)</v>
      </c>
      <c r="F1528" t="str">
        <f t="shared" si="574"/>
        <v>Leaching/runoff</v>
      </c>
      <c r="G1528" t="str">
        <f>" - FSOM - "&amp;'Activity data'!D96</f>
        <v xml:space="preserve"> - FSOM - Land converted to settlements</v>
      </c>
      <c r="H1528" t="str">
        <f t="shared" si="563"/>
        <v>Leaching/runoff - FSOM - Land converted to settlements</v>
      </c>
      <c r="I1528" t="str">
        <f t="shared" si="571"/>
        <v>N2O</v>
      </c>
      <c r="J1528" t="str">
        <f t="shared" si="570"/>
        <v>Gg N2O</v>
      </c>
      <c r="K1528" s="22">
        <f>IFERROR(('Activity data'!AD96*(1/Constants!$H$135))*ttokg*FracLEACH*MSLeachEF*NtoN2O*kgtoGg,"NO")</f>
        <v>2.1082459751876198E-3</v>
      </c>
      <c r="L1528" s="22">
        <f>IFERROR(('Activity data'!AE96*(1/Constants!$H$135))*ttokg*FracLEACH*MSLeachEF*NtoN2O*kgtoGg,"NO")</f>
        <v>2.1082459751876198E-3</v>
      </c>
      <c r="M1528" s="22">
        <f>IFERROR(('Activity data'!AF96*(1/Constants!$H$135))*ttokg*FracLEACH*MSLeachEF*NtoN2O*kgtoGg,"NO")</f>
        <v>2.1082459751876198E-3</v>
      </c>
      <c r="N1528" s="22">
        <f>IFERROR(('Activity data'!AG96*(1/Constants!$H$135))*ttokg*FracLEACH*MSLeachEF*NtoN2O*kgtoGg,"NO")</f>
        <v>2.1082459751876198E-3</v>
      </c>
      <c r="O1528" s="22">
        <f>IFERROR(('Activity data'!AH96*(1/Constants!$H$135))*ttokg*FracLEACH*MSLeachEF*NtoN2O*kgtoGg,"NO")</f>
        <v>2.1082459751876198E-3</v>
      </c>
      <c r="P1528" s="22">
        <f>IFERROR(('Activity data'!AI96*(1/Constants!$H$135))*ttokg*FracLEACH*MSLeachEF*NtoN2O*kgtoGg,"NO")</f>
        <v>2.1082459751876198E-3</v>
      </c>
      <c r="Q1528" s="22">
        <f>IFERROR(('Activity data'!AJ96*(1/Constants!$H$135))*ttokg*FracLEACH*MSLeachEF*NtoN2O*kgtoGg,"NO")</f>
        <v>2.1082459751876198E-3</v>
      </c>
      <c r="R1528" s="22">
        <f>IFERROR(('Activity data'!AK96*(1/Constants!$H$135))*ttokg*FracLEACH*MSLeachEF*NtoN2O*kgtoGg,"NO")</f>
        <v>2.1082459751876198E-3</v>
      </c>
      <c r="S1528" s="22">
        <f>IFERROR(('Activity data'!AL96*(1/Constants!$H$135))*ttokg*FracLEACH*MSLeachEF*NtoN2O*kgtoGg,"NO")</f>
        <v>2.1082459751876198E-3</v>
      </c>
      <c r="T1528" s="22">
        <f>IFERROR(('Activity data'!AM96*(1/Constants!$H$135))*ttokg*FracLEACH*MSLeachEF*NtoN2O*kgtoGg,"NO")</f>
        <v>2.1082459751876198E-3</v>
      </c>
      <c r="U1528" s="22">
        <f>IFERROR(('Activity data'!AN96*(1/Constants!$H$135))*ttokg*FracLEACH*MSLeachEF*NtoN2O*kgtoGg,"NO")</f>
        <v>2.1082459751876198E-3</v>
      </c>
      <c r="V1528" s="22">
        <f>IFERROR(('Activity data'!AO96*(1/Constants!$H$135))*ttokg*FracLEACH*MSLeachEF*NtoN2O*kgtoGg,"NO")</f>
        <v>2.1082459751876198E-3</v>
      </c>
      <c r="W1528" s="22">
        <f>IFERROR(('Activity data'!AP96*(1/Constants!$H$135))*ttokg*FracLEACH*MSLeachEF*NtoN2O*kgtoGg,"NO")</f>
        <v>2.1082459751876198E-3</v>
      </c>
      <c r="X1528" s="22">
        <f>IFERROR(('Activity data'!AQ96*(1/Constants!$H$135))*ttokg*FracLEACH*MSLeachEF*NtoN2O*kgtoGg,"NO")</f>
        <v>2.1082459751876198E-3</v>
      </c>
      <c r="Y1528" s="22">
        <f>IFERROR(('Activity data'!AR96*(1/Constants!$H$135))*ttokg*FracLEACH*MSLeachEF*NtoN2O*kgtoGg,"NO")</f>
        <v>2.1082459751876198E-3</v>
      </c>
      <c r="Z1528" s="22">
        <f>IFERROR(('Activity data'!AS96*(1/Constants!$H$135))*ttokg*FracLEACH*MSLeachEF*NtoN2O*kgtoGg,"NO")</f>
        <v>2.1082459751876198E-3</v>
      </c>
      <c r="AA1528" s="22">
        <f>IFERROR(('Activity data'!AT96*(1/Constants!$H$135))*ttokg*FracLEACH*MSLeachEF*NtoN2O*kgtoGg,"NO")</f>
        <v>2.1082459751876198E-3</v>
      </c>
      <c r="AB1528" s="22">
        <f>IFERROR(('Activity data'!AU96*(1/Constants!$H$135))*ttokg*FracLEACH*MSLeachEF*NtoN2O*kgtoGg,"NO")</f>
        <v>2.1082459751876198E-3</v>
      </c>
      <c r="AC1528" s="22">
        <f>IFERROR(('Activity data'!AV96*(1/Constants!$H$135))*ttokg*FracLEACH*MSLeachEF*NtoN2O*kgtoGg,"NO")</f>
        <v>2.1082459751876198E-3</v>
      </c>
      <c r="AD1528" s="22">
        <f>IFERROR(('Activity data'!AW96*(1/Constants!$H$135))*ttokg*FracLEACH*MSLeachEF*NtoN2O*kgtoGg,"NO")</f>
        <v>2.1082459751876198E-3</v>
      </c>
      <c r="AE1528" s="22">
        <f>IFERROR(('Activity data'!AX96*(1/Constants!$H$135))*ttokg*FracLEACH*MSLeachEF*NtoN2O*kgtoGg,"NO")</f>
        <v>2.1082459751876198E-3</v>
      </c>
      <c r="AF1528" s="22">
        <f>IFERROR(('Activity data'!AY96*(1/Constants!$H$135))*ttokg*FracLEACH*MSLeachEF*NtoN2O*kgtoGg,"NO")</f>
        <v>2.1082459751876198E-3</v>
      </c>
      <c r="AG1528" s="22">
        <f>IFERROR(('Activity data'!AZ96*(1/Constants!$H$135))*ttokg*FracLEACH*MSLeachEF*NtoN2O*kgtoGg,"NO")</f>
        <v>2.1082459751876198E-3</v>
      </c>
      <c r="AH1528" s="22">
        <f>IFERROR(('Activity data'!BA96*(1/Constants!$H$135))*ttokg*FracLEACH*MSLeachEF*NtoN2O*kgtoGg,"NO")</f>
        <v>2.1082459751876198E-3</v>
      </c>
      <c r="AI1528" s="22">
        <f>IFERROR(('Activity data'!BB96*(1/Constants!$H$135))*ttokg*FracLEACH*MSLeachEF*NtoN2O*kgtoGg,"NO")</f>
        <v>2.1082459751876198E-3</v>
      </c>
      <c r="AJ1528" s="22">
        <f>IFERROR(('Activity data'!BC96*(1/Constants!$H$135))*ttokg*FracLEACH*MSLeachEF*NtoN2O*kgtoGg,"NO")</f>
        <v>2.1082459751876198E-3</v>
      </c>
      <c r="AK1528" s="22">
        <f>IFERROR(('Activity data'!BD96*(1/Constants!$H$135))*ttokg*FracLEACH*MSLeachEF*NtoN2O*kgtoGg,"NO")</f>
        <v>2.1082459751876198E-3</v>
      </c>
      <c r="AL1528" s="22">
        <f>IFERROR(('Activity data'!BE96*(1/Constants!$H$135))*ttokg*FracLEACH*MSLeachEF*NtoN2O*kgtoGg,"NO")</f>
        <v>2.1082459751876198E-3</v>
      </c>
      <c r="AM1528" s="22">
        <f>IFERROR(('Activity data'!BF96*(1/Constants!$H$135))*ttokg*FracLEACH*MSLeachEF*NtoN2O*kgtoGg,"NO")</f>
        <v>2.1082459751876198E-3</v>
      </c>
      <c r="AN1528" s="22">
        <f>IFERROR(('Activity data'!BG96*(1/Constants!$H$135))*ttokg*FracLEACH*MSLeachEF*NtoN2O*kgtoGg,"NO")</f>
        <v>2.1082459751876198E-3</v>
      </c>
      <c r="AO1528" s="22">
        <f>IFERROR(('Activity data'!BH96*(1/Constants!$H$135))*ttokg*FracLEACH*MSLeachEF*NtoN2O*kgtoGg,"NO")</f>
        <v>2.1082459751876198E-3</v>
      </c>
      <c r="AP1528" s="22">
        <f>IFERROR(('Activity data'!BI96*(1/Constants!$H$135))*ttokg*FracLEACH*MSLeachEF*NtoN2O*kgtoGg,"NO")</f>
        <v>2.1082459751876198E-3</v>
      </c>
      <c r="AQ1528" s="22">
        <f>IFERROR(('Activity data'!BJ96*(1/Constants!$H$135))*ttokg*FracLEACH*MSLeachEF*NtoN2O*kgtoGg,"NO")</f>
        <v>2.1082459751876198E-3</v>
      </c>
      <c r="AR1528" s="22">
        <f>IFERROR(('Activity data'!BK96*(1/Constants!$H$135))*ttokg*FracLEACH*MSLeachEF*NtoN2O*kgtoGg,"NO")</f>
        <v>2.1082459751876198E-3</v>
      </c>
      <c r="AS1528" s="22">
        <f>IFERROR(('Activity data'!BL96*(1/Constants!$H$135))*ttokg*FracLEACH*MSLeachEF*NtoN2O*kgtoGg,"NO")</f>
        <v>2.1082459751876198E-3</v>
      </c>
      <c r="AT1528" s="22">
        <f>IFERROR(('Activity data'!BM96*(1/Constants!$H$135))*ttokg*FracLEACH*MSLeachEF*NtoN2O*kgtoGg,"NO")</f>
        <v>2.1082459751876198E-3</v>
      </c>
      <c r="AU1528" s="22">
        <f>IFERROR(('Activity data'!BN96*(1/Constants!$H$135))*ttokg*FracLEACH*MSLeachEF*NtoN2O*kgtoGg,"NO")</f>
        <v>2.1082459751876198E-3</v>
      </c>
      <c r="AV1528" s="22">
        <f>IFERROR(('Activity data'!BO96*(1/Constants!$H$135))*ttokg*FracLEACH*MSLeachEF*NtoN2O*kgtoGg,"NO")</f>
        <v>2.1082459751876198E-3</v>
      </c>
      <c r="AW1528" s="22">
        <f>IFERROR(('Activity data'!BP96*(1/Constants!$H$135))*ttokg*FracLEACH*MSLeachEF*NtoN2O*kgtoGg,"NO")</f>
        <v>2.1082459751876198E-3</v>
      </c>
    </row>
    <row r="1529" spans="1:49" x14ac:dyDescent="0.25">
      <c r="A1529" s="102" t="s">
        <v>961</v>
      </c>
      <c r="B1529" s="102"/>
      <c r="C1529" s="102"/>
      <c r="D1529" t="str">
        <f t="shared" si="575"/>
        <v>3C Aggregated and non-CO2 emissions on land</v>
      </c>
      <c r="E1529" t="str">
        <f t="shared" si="574"/>
        <v>3C5 Indirect N2O from managed soils (N2O)</v>
      </c>
      <c r="F1529" t="str">
        <f t="shared" si="574"/>
        <v>Leaching/runoff</v>
      </c>
      <c r="G1529" t="str">
        <f>" - FSOM - "&amp;'Activity data'!D97</f>
        <v xml:space="preserve"> - FSOM - Other land remaining other land</v>
      </c>
      <c r="H1529" t="str">
        <f t="shared" si="563"/>
        <v>Leaching/runoff - FSOM - Other land remaining other land</v>
      </c>
      <c r="I1529" t="str">
        <f t="shared" si="571"/>
        <v>N2O</v>
      </c>
      <c r="J1529" t="str">
        <f t="shared" si="570"/>
        <v>Gg N2O</v>
      </c>
      <c r="K1529" s="22" t="str">
        <f>IFERROR(('Activity data'!AD97*(1/Constants!$H$135))*ttokg*FracLEACH*MSLeachEF*NtoN2O*kgtoGg,"NO")</f>
        <v>NO</v>
      </c>
      <c r="L1529" s="22" t="str">
        <f>IFERROR(('Activity data'!AE97*(1/Constants!$H$135))*ttokg*FracLEACH*MSLeachEF*NtoN2O*kgtoGg,"NO")</f>
        <v>NO</v>
      </c>
      <c r="M1529" s="22" t="str">
        <f>IFERROR(('Activity data'!AF97*(1/Constants!$H$135))*ttokg*FracLEACH*MSLeachEF*NtoN2O*kgtoGg,"NO")</f>
        <v>NO</v>
      </c>
      <c r="N1529" s="22" t="str">
        <f>IFERROR(('Activity data'!AG97*(1/Constants!$H$135))*ttokg*FracLEACH*MSLeachEF*NtoN2O*kgtoGg,"NO")</f>
        <v>NO</v>
      </c>
      <c r="O1529" s="22" t="str">
        <f>IFERROR(('Activity data'!AH97*(1/Constants!$H$135))*ttokg*FracLEACH*MSLeachEF*NtoN2O*kgtoGg,"NO")</f>
        <v>NO</v>
      </c>
      <c r="P1529" s="22" t="str">
        <f>IFERROR(('Activity data'!AI97*(1/Constants!$H$135))*ttokg*FracLEACH*MSLeachEF*NtoN2O*kgtoGg,"NO")</f>
        <v>NO</v>
      </c>
      <c r="Q1529" s="22" t="str">
        <f>IFERROR(('Activity data'!AJ97*(1/Constants!$H$135))*ttokg*FracLEACH*MSLeachEF*NtoN2O*kgtoGg,"NO")</f>
        <v>NO</v>
      </c>
      <c r="R1529" s="22" t="str">
        <f>IFERROR(('Activity data'!AK97*(1/Constants!$H$135))*ttokg*FracLEACH*MSLeachEF*NtoN2O*kgtoGg,"NO")</f>
        <v>NO</v>
      </c>
      <c r="S1529" s="22" t="str">
        <f>IFERROR(('Activity data'!AL97*(1/Constants!$H$135))*ttokg*FracLEACH*MSLeachEF*NtoN2O*kgtoGg,"NO")</f>
        <v>NO</v>
      </c>
      <c r="T1529" s="22" t="str">
        <f>IFERROR(('Activity data'!AM97*(1/Constants!$H$135))*ttokg*FracLEACH*MSLeachEF*NtoN2O*kgtoGg,"NO")</f>
        <v>NO</v>
      </c>
      <c r="U1529" s="22" t="str">
        <f>IFERROR(('Activity data'!AN97*(1/Constants!$H$135))*ttokg*FracLEACH*MSLeachEF*NtoN2O*kgtoGg,"NO")</f>
        <v>NO</v>
      </c>
      <c r="V1529" s="22" t="str">
        <f>IFERROR(('Activity data'!AO97*(1/Constants!$H$135))*ttokg*FracLEACH*MSLeachEF*NtoN2O*kgtoGg,"NO")</f>
        <v>NO</v>
      </c>
      <c r="W1529" s="22" t="str">
        <f>IFERROR(('Activity data'!AP97*(1/Constants!$H$135))*ttokg*FracLEACH*MSLeachEF*NtoN2O*kgtoGg,"NO")</f>
        <v>NO</v>
      </c>
      <c r="X1529" s="22" t="str">
        <f>IFERROR(('Activity data'!AQ97*(1/Constants!$H$135))*ttokg*FracLEACH*MSLeachEF*NtoN2O*kgtoGg,"NO")</f>
        <v>NO</v>
      </c>
      <c r="Y1529" s="22" t="str">
        <f>IFERROR(('Activity data'!AR97*(1/Constants!$H$135))*ttokg*FracLEACH*MSLeachEF*NtoN2O*kgtoGg,"NO")</f>
        <v>NO</v>
      </c>
      <c r="Z1529" s="22" t="str">
        <f>IFERROR(('Activity data'!AS97*(1/Constants!$H$135))*ttokg*FracLEACH*MSLeachEF*NtoN2O*kgtoGg,"NO")</f>
        <v>NO</v>
      </c>
      <c r="AA1529" s="22" t="str">
        <f>IFERROR(('Activity data'!AT97*(1/Constants!$H$135))*ttokg*FracLEACH*MSLeachEF*NtoN2O*kgtoGg,"NO")</f>
        <v>NO</v>
      </c>
      <c r="AB1529" s="22" t="str">
        <f>IFERROR(('Activity data'!AU97*(1/Constants!$H$135))*ttokg*FracLEACH*MSLeachEF*NtoN2O*kgtoGg,"NO")</f>
        <v>NO</v>
      </c>
      <c r="AC1529" s="22" t="str">
        <f>IFERROR(('Activity data'!AV97*(1/Constants!$H$135))*ttokg*FracLEACH*MSLeachEF*NtoN2O*kgtoGg,"NO")</f>
        <v>NO</v>
      </c>
      <c r="AD1529" s="22" t="str">
        <f>IFERROR(('Activity data'!AW97*(1/Constants!$H$135))*ttokg*FracLEACH*MSLeachEF*NtoN2O*kgtoGg,"NO")</f>
        <v>NO</v>
      </c>
      <c r="AE1529" s="22" t="str">
        <f>IFERROR(('Activity data'!AX97*(1/Constants!$H$135))*ttokg*FracLEACH*MSLeachEF*NtoN2O*kgtoGg,"NO")</f>
        <v>NO</v>
      </c>
      <c r="AF1529" s="22" t="str">
        <f>IFERROR(('Activity data'!AY97*(1/Constants!$H$135))*ttokg*FracLEACH*MSLeachEF*NtoN2O*kgtoGg,"NO")</f>
        <v>NO</v>
      </c>
      <c r="AG1529" s="22" t="str">
        <f>IFERROR(('Activity data'!AZ97*(1/Constants!$H$135))*ttokg*FracLEACH*MSLeachEF*NtoN2O*kgtoGg,"NO")</f>
        <v>NO</v>
      </c>
      <c r="AH1529" s="22" t="str">
        <f>IFERROR(('Activity data'!BA97*(1/Constants!$H$135))*ttokg*FracLEACH*MSLeachEF*NtoN2O*kgtoGg,"NO")</f>
        <v>NO</v>
      </c>
      <c r="AI1529" s="22" t="str">
        <f>IFERROR(('Activity data'!BB97*(1/Constants!$H$135))*ttokg*FracLEACH*MSLeachEF*NtoN2O*kgtoGg,"NO")</f>
        <v>NO</v>
      </c>
      <c r="AJ1529" s="22" t="str">
        <f>IFERROR(('Activity data'!BC97*(1/Constants!$H$135))*ttokg*FracLEACH*MSLeachEF*NtoN2O*kgtoGg,"NO")</f>
        <v>NO</v>
      </c>
      <c r="AK1529" s="22" t="str">
        <f>IFERROR(('Activity data'!BD97*(1/Constants!$H$135))*ttokg*FracLEACH*MSLeachEF*NtoN2O*kgtoGg,"NO")</f>
        <v>NO</v>
      </c>
      <c r="AL1529" s="22" t="str">
        <f>IFERROR(('Activity data'!BE97*(1/Constants!$H$135))*ttokg*FracLEACH*MSLeachEF*NtoN2O*kgtoGg,"NO")</f>
        <v>NO</v>
      </c>
      <c r="AM1529" s="22" t="str">
        <f>IFERROR(('Activity data'!BF97*(1/Constants!$H$135))*ttokg*FracLEACH*MSLeachEF*NtoN2O*kgtoGg,"NO")</f>
        <v>NO</v>
      </c>
      <c r="AN1529" s="22" t="str">
        <f>IFERROR(('Activity data'!BG97*(1/Constants!$H$135))*ttokg*FracLEACH*MSLeachEF*NtoN2O*kgtoGg,"NO")</f>
        <v>NO</v>
      </c>
      <c r="AO1529" s="22" t="str">
        <f>IFERROR(('Activity data'!BH97*(1/Constants!$H$135))*ttokg*FracLEACH*MSLeachEF*NtoN2O*kgtoGg,"NO")</f>
        <v>NO</v>
      </c>
      <c r="AP1529" s="22" t="str">
        <f>IFERROR(('Activity data'!BI97*(1/Constants!$H$135))*ttokg*FracLEACH*MSLeachEF*NtoN2O*kgtoGg,"NO")</f>
        <v>NO</v>
      </c>
      <c r="AQ1529" s="22" t="str">
        <f>IFERROR(('Activity data'!BJ97*(1/Constants!$H$135))*ttokg*FracLEACH*MSLeachEF*NtoN2O*kgtoGg,"NO")</f>
        <v>NO</v>
      </c>
      <c r="AR1529" s="22" t="str">
        <f>IFERROR(('Activity data'!BK97*(1/Constants!$H$135))*ttokg*FracLEACH*MSLeachEF*NtoN2O*kgtoGg,"NO")</f>
        <v>NO</v>
      </c>
      <c r="AS1529" s="22" t="str">
        <f>IFERROR(('Activity data'!BL97*(1/Constants!$H$135))*ttokg*FracLEACH*MSLeachEF*NtoN2O*kgtoGg,"NO")</f>
        <v>NO</v>
      </c>
      <c r="AT1529" s="22" t="str">
        <f>IFERROR(('Activity data'!BM97*(1/Constants!$H$135))*ttokg*FracLEACH*MSLeachEF*NtoN2O*kgtoGg,"NO")</f>
        <v>NO</v>
      </c>
      <c r="AU1529" s="22" t="str">
        <f>IFERROR(('Activity data'!BN97*(1/Constants!$H$135))*ttokg*FracLEACH*MSLeachEF*NtoN2O*kgtoGg,"NO")</f>
        <v>NO</v>
      </c>
      <c r="AV1529" s="22" t="str">
        <f>IFERROR(('Activity data'!BO97*(1/Constants!$H$135))*ttokg*FracLEACH*MSLeachEF*NtoN2O*kgtoGg,"NO")</f>
        <v>NO</v>
      </c>
      <c r="AW1529" s="22" t="str">
        <f>IFERROR(('Activity data'!BP97*(1/Constants!$H$135))*ttokg*FracLEACH*MSLeachEF*NtoN2O*kgtoGg,"NO")</f>
        <v>NO</v>
      </c>
    </row>
    <row r="1530" spans="1:49" x14ac:dyDescent="0.25">
      <c r="A1530" s="102" t="s">
        <v>961</v>
      </c>
      <c r="B1530" s="102"/>
      <c r="C1530" s="102"/>
      <c r="D1530" t="str">
        <f t="shared" si="575"/>
        <v>3C Aggregated and non-CO2 emissions on land</v>
      </c>
      <c r="E1530" t="str">
        <f t="shared" si="574"/>
        <v>3C5 Indirect N2O from managed soils (N2O)</v>
      </c>
      <c r="F1530" t="str">
        <f t="shared" si="574"/>
        <v>Leaching/runoff</v>
      </c>
      <c r="G1530" t="str">
        <f>" - FSOM - "&amp;'Activity data'!D98</f>
        <v xml:space="preserve"> - FSOM - Land converted to other lands</v>
      </c>
      <c r="H1530" t="str">
        <f t="shared" si="563"/>
        <v>Leaching/runoff - FSOM - Land converted to other lands</v>
      </c>
      <c r="I1530" t="str">
        <f t="shared" si="571"/>
        <v>N2O</v>
      </c>
      <c r="J1530" t="str">
        <f t="shared" si="570"/>
        <v>Gg N2O</v>
      </c>
      <c r="K1530" s="22">
        <f>IFERROR(('Activity data'!AD98*(1/Constants!$H$135))*ttokg*FracLEACH*MSLeachEF*NtoN2O*kgtoGg,"NO")</f>
        <v>0.11026792439175388</v>
      </c>
      <c r="L1530" s="22">
        <f>IFERROR(('Activity data'!AE98*(1/Constants!$H$135))*ttokg*FracLEACH*MSLeachEF*NtoN2O*kgtoGg,"NO")</f>
        <v>0.11026792439175388</v>
      </c>
      <c r="M1530" s="22">
        <f>IFERROR(('Activity data'!AF98*(1/Constants!$H$135))*ttokg*FracLEACH*MSLeachEF*NtoN2O*kgtoGg,"NO")</f>
        <v>0.11026792439175388</v>
      </c>
      <c r="N1530" s="22">
        <f>IFERROR(('Activity data'!AG98*(1/Constants!$H$135))*ttokg*FracLEACH*MSLeachEF*NtoN2O*kgtoGg,"NO")</f>
        <v>0.11026792439175388</v>
      </c>
      <c r="O1530" s="22">
        <f>IFERROR(('Activity data'!AH98*(1/Constants!$H$135))*ttokg*FracLEACH*MSLeachEF*NtoN2O*kgtoGg,"NO")</f>
        <v>0.11026792439175388</v>
      </c>
      <c r="P1530" s="22">
        <f>IFERROR(('Activity data'!AI98*(1/Constants!$H$135))*ttokg*FracLEACH*MSLeachEF*NtoN2O*kgtoGg,"NO")</f>
        <v>0.11026792439175388</v>
      </c>
      <c r="Q1530" s="22">
        <f>IFERROR(('Activity data'!AJ98*(1/Constants!$H$135))*ttokg*FracLEACH*MSLeachEF*NtoN2O*kgtoGg,"NO")</f>
        <v>0.11026792439175388</v>
      </c>
      <c r="R1530" s="22">
        <f>IFERROR(('Activity data'!AK98*(1/Constants!$H$135))*ttokg*FracLEACH*MSLeachEF*NtoN2O*kgtoGg,"NO")</f>
        <v>0.11026792439175388</v>
      </c>
      <c r="S1530" s="22">
        <f>IFERROR(('Activity data'!AL98*(1/Constants!$H$135))*ttokg*FracLEACH*MSLeachEF*NtoN2O*kgtoGg,"NO")</f>
        <v>0.11026792439175388</v>
      </c>
      <c r="T1530" s="22">
        <f>IFERROR(('Activity data'!AM98*(1/Constants!$H$135))*ttokg*FracLEACH*MSLeachEF*NtoN2O*kgtoGg,"NO")</f>
        <v>0.11026792439175388</v>
      </c>
      <c r="U1530" s="22">
        <f>IFERROR(('Activity data'!AN98*(1/Constants!$H$135))*ttokg*FracLEACH*MSLeachEF*NtoN2O*kgtoGg,"NO")</f>
        <v>0.11026792439175388</v>
      </c>
      <c r="V1530" s="22">
        <f>IFERROR(('Activity data'!AO98*(1/Constants!$H$135))*ttokg*FracLEACH*MSLeachEF*NtoN2O*kgtoGg,"NO")</f>
        <v>0.11026792439175388</v>
      </c>
      <c r="W1530" s="22">
        <f>IFERROR(('Activity data'!AP98*(1/Constants!$H$135))*ttokg*FracLEACH*MSLeachEF*NtoN2O*kgtoGg,"NO")</f>
        <v>0.11026792439175388</v>
      </c>
      <c r="X1530" s="22">
        <f>IFERROR(('Activity data'!AQ98*(1/Constants!$H$135))*ttokg*FracLEACH*MSLeachEF*NtoN2O*kgtoGg,"NO")</f>
        <v>0.11026792439175388</v>
      </c>
      <c r="Y1530" s="22">
        <f>IFERROR(('Activity data'!AR98*(1/Constants!$H$135))*ttokg*FracLEACH*MSLeachEF*NtoN2O*kgtoGg,"NO")</f>
        <v>0.11026792439175388</v>
      </c>
      <c r="Z1530" s="22">
        <f>IFERROR(('Activity data'!AS98*(1/Constants!$H$135))*ttokg*FracLEACH*MSLeachEF*NtoN2O*kgtoGg,"NO")</f>
        <v>0.11026792439175388</v>
      </c>
      <c r="AA1530" s="22">
        <f>IFERROR(('Activity data'!AT98*(1/Constants!$H$135))*ttokg*FracLEACH*MSLeachEF*NtoN2O*kgtoGg,"NO")</f>
        <v>0.11026792439175388</v>
      </c>
      <c r="AB1530" s="22">
        <f>IFERROR(('Activity data'!AU98*(1/Constants!$H$135))*ttokg*FracLEACH*MSLeachEF*NtoN2O*kgtoGg,"NO")</f>
        <v>0.11026792439175388</v>
      </c>
      <c r="AC1530" s="22">
        <f>IFERROR(('Activity data'!AV98*(1/Constants!$H$135))*ttokg*FracLEACH*MSLeachEF*NtoN2O*kgtoGg,"NO")</f>
        <v>0.11026792439175388</v>
      </c>
      <c r="AD1530" s="22">
        <f>IFERROR(('Activity data'!AW98*(1/Constants!$H$135))*ttokg*FracLEACH*MSLeachEF*NtoN2O*kgtoGg,"NO")</f>
        <v>0.11026792439175388</v>
      </c>
      <c r="AE1530" s="22">
        <f>IFERROR(('Activity data'!AX98*(1/Constants!$H$135))*ttokg*FracLEACH*MSLeachEF*NtoN2O*kgtoGg,"NO")</f>
        <v>0.11026792439175388</v>
      </c>
      <c r="AF1530" s="22">
        <f>IFERROR(('Activity data'!AY98*(1/Constants!$H$135))*ttokg*FracLEACH*MSLeachEF*NtoN2O*kgtoGg,"NO")</f>
        <v>0.11026792439175388</v>
      </c>
      <c r="AG1530" s="22">
        <f>IFERROR(('Activity data'!AZ98*(1/Constants!$H$135))*ttokg*FracLEACH*MSLeachEF*NtoN2O*kgtoGg,"NO")</f>
        <v>0.11026792439175388</v>
      </c>
      <c r="AH1530" s="22">
        <f>IFERROR(('Activity data'!BA98*(1/Constants!$H$135))*ttokg*FracLEACH*MSLeachEF*NtoN2O*kgtoGg,"NO")</f>
        <v>0.11026792439175388</v>
      </c>
      <c r="AI1530" s="22">
        <f>IFERROR(('Activity data'!BB98*(1/Constants!$H$135))*ttokg*FracLEACH*MSLeachEF*NtoN2O*kgtoGg,"NO")</f>
        <v>0.11026792439175388</v>
      </c>
      <c r="AJ1530" s="22">
        <f>IFERROR(('Activity data'!BC98*(1/Constants!$H$135))*ttokg*FracLEACH*MSLeachEF*NtoN2O*kgtoGg,"NO")</f>
        <v>0.11026792439175388</v>
      </c>
      <c r="AK1530" s="22">
        <f>IFERROR(('Activity data'!BD98*(1/Constants!$H$135))*ttokg*FracLEACH*MSLeachEF*NtoN2O*kgtoGg,"NO")</f>
        <v>0.11026792439175388</v>
      </c>
      <c r="AL1530" s="22">
        <f>IFERROR(('Activity data'!BE98*(1/Constants!$H$135))*ttokg*FracLEACH*MSLeachEF*NtoN2O*kgtoGg,"NO")</f>
        <v>0.11026792439175388</v>
      </c>
      <c r="AM1530" s="22">
        <f>IFERROR(('Activity data'!BF98*(1/Constants!$H$135))*ttokg*FracLEACH*MSLeachEF*NtoN2O*kgtoGg,"NO")</f>
        <v>0.11026792439175388</v>
      </c>
      <c r="AN1530" s="22">
        <f>IFERROR(('Activity data'!BG98*(1/Constants!$H$135))*ttokg*FracLEACH*MSLeachEF*NtoN2O*kgtoGg,"NO")</f>
        <v>0.11026792439175388</v>
      </c>
      <c r="AO1530" s="22">
        <f>IFERROR(('Activity data'!BH98*(1/Constants!$H$135))*ttokg*FracLEACH*MSLeachEF*NtoN2O*kgtoGg,"NO")</f>
        <v>0.11026792439175388</v>
      </c>
      <c r="AP1530" s="22">
        <f>IFERROR(('Activity data'!BI98*(1/Constants!$H$135))*ttokg*FracLEACH*MSLeachEF*NtoN2O*kgtoGg,"NO")</f>
        <v>0.11026792439175388</v>
      </c>
      <c r="AQ1530" s="22">
        <f>IFERROR(('Activity data'!BJ98*(1/Constants!$H$135))*ttokg*FracLEACH*MSLeachEF*NtoN2O*kgtoGg,"NO")</f>
        <v>0.11026792439175388</v>
      </c>
      <c r="AR1530" s="22">
        <f>IFERROR(('Activity data'!BK98*(1/Constants!$H$135))*ttokg*FracLEACH*MSLeachEF*NtoN2O*kgtoGg,"NO")</f>
        <v>0.11026792439175388</v>
      </c>
      <c r="AS1530" s="22">
        <f>IFERROR(('Activity data'!BL98*(1/Constants!$H$135))*ttokg*FracLEACH*MSLeachEF*NtoN2O*kgtoGg,"NO")</f>
        <v>0.11026792439175388</v>
      </c>
      <c r="AT1530" s="22">
        <f>IFERROR(('Activity data'!BM98*(1/Constants!$H$135))*ttokg*FracLEACH*MSLeachEF*NtoN2O*kgtoGg,"NO")</f>
        <v>0.11026792439175388</v>
      </c>
      <c r="AU1530" s="22">
        <f>IFERROR(('Activity data'!BN98*(1/Constants!$H$135))*ttokg*FracLEACH*MSLeachEF*NtoN2O*kgtoGg,"NO")</f>
        <v>0.11026792439175388</v>
      </c>
      <c r="AV1530" s="22">
        <f>IFERROR(('Activity data'!BO98*(1/Constants!$H$135))*ttokg*FracLEACH*MSLeachEF*NtoN2O*kgtoGg,"NO")</f>
        <v>0.11026792439175388</v>
      </c>
      <c r="AW1530" s="22">
        <f>IFERROR(('Activity data'!BP98*(1/Constants!$H$135))*ttokg*FracLEACH*MSLeachEF*NtoN2O*kgtoGg,"NO")</f>
        <v>0.11026792439175388</v>
      </c>
    </row>
    <row r="1531" spans="1:49" x14ac:dyDescent="0.25">
      <c r="A1531" s="102" t="s">
        <v>961</v>
      </c>
      <c r="B1531" s="102"/>
      <c r="C1531" s="102"/>
      <c r="D1531" t="str">
        <f t="shared" si="575"/>
        <v>3C Aggregated and non-CO2 emissions on land</v>
      </c>
      <c r="E1531" t="str">
        <f>'IPCC Categories'!B80</f>
        <v>3C6 Indirect N2O from manure management (N2O)</v>
      </c>
      <c r="F1531" t="str">
        <f>'IPCC Categories'!C80</f>
        <v>Volatilisation</v>
      </c>
      <c r="G1531" t="str">
        <f>'Activity data'!D66</f>
        <v xml:space="preserve"> - TMR</v>
      </c>
      <c r="H1531" t="str">
        <f t="shared" ref="H1531:H1562" si="576">F1531&amp;G1531</f>
        <v>Volatilisation - TMR</v>
      </c>
      <c r="I1531" t="str">
        <f t="shared" si="571"/>
        <v>N2O</v>
      </c>
      <c r="J1531" t="str">
        <f t="shared" si="570"/>
        <v>Gg N2O</v>
      </c>
      <c r="K1531" s="22">
        <f>Constants!$H63*'Activity data'!AD5*Constants!$H81*EF!$H206*MMVolatEF*NtoN2O*kgtoGg</f>
        <v>0.39681521114916435</v>
      </c>
      <c r="L1531" s="22">
        <f>Constants!$H63*'Activity data'!AE5*Constants!$H81*EF!$H206*MMVolatEF*NtoN2O*kgtoGg</f>
        <v>0.39928346869815806</v>
      </c>
      <c r="M1531" s="22">
        <f>Constants!$H63*'Activity data'!AF5*Constants!$H81*EF!$H206*MMVolatEF*NtoN2O*kgtoGg</f>
        <v>0.4009804297645459</v>
      </c>
      <c r="N1531" s="22">
        <f>Constants!$H63*'Activity data'!AG5*Constants!$H81*EF!$H206*MMVolatEF*NtoN2O*kgtoGg</f>
        <v>0.40151262173495006</v>
      </c>
      <c r="O1531" s="22">
        <f>Constants!$H63*'Activity data'!AH5*Constants!$H81*EF!$H206*MMVolatEF*NtoN2O*kgtoGg</f>
        <v>0.40223259805813538</v>
      </c>
      <c r="P1531" s="22">
        <f>Constants!$H63*'Activity data'!AI5*Constants!$H81*EF!$H206*MMVolatEF*NtoN2O*kgtoGg</f>
        <v>0.40380961974030649</v>
      </c>
      <c r="Q1531" s="22">
        <f>Constants!$H63*'Activity data'!AJ5*Constants!$H81*EF!$H206*MMVolatEF*NtoN2O*kgtoGg</f>
        <v>0.40570030877561336</v>
      </c>
      <c r="R1531" s="22">
        <f>Constants!$H63*'Activity data'!AK5*Constants!$H81*EF!$H206*MMVolatEF*NtoN2O*kgtoGg</f>
        <v>0.4062682914839757</v>
      </c>
      <c r="S1531" s="22">
        <f>Constants!$H63*'Activity data'!AL5*Constants!$H81*EF!$H206*MMVolatEF*NtoN2O*kgtoGg</f>
        <v>0.39379594618948027</v>
      </c>
      <c r="T1531" s="22">
        <f>Constants!$H63*'Activity data'!AM5*Constants!$H81*EF!$H206*MMVolatEF*NtoN2O*kgtoGg</f>
        <v>0.39703951074089222</v>
      </c>
      <c r="U1531" s="22">
        <f>Constants!$H63*'Activity data'!AN5*Constants!$H81*EF!$H206*MMVolatEF*NtoN2O*kgtoGg</f>
        <v>0.40001376732014149</v>
      </c>
      <c r="V1531" s="22">
        <f>Constants!$H63*'Activity data'!AO5*Constants!$H81*EF!$H206*MMVolatEF*NtoN2O*kgtoGg</f>
        <v>0.4030633713994573</v>
      </c>
      <c r="W1531" s="22">
        <f>Constants!$H63*'Activity data'!AP5*Constants!$H81*EF!$H206*MMVolatEF*NtoN2O*kgtoGg</f>
        <v>0.40673703435821862</v>
      </c>
      <c r="X1531" s="22">
        <f>Constants!$H63*'Activity data'!AQ5*Constants!$H81*EF!$H206*MMVolatEF*NtoN2O*kgtoGg</f>
        <v>0.41047963139436411</v>
      </c>
      <c r="Y1531" s="22">
        <f>Constants!$H63*'Activity data'!AR5*Constants!$H81*EF!$H206*MMVolatEF*NtoN2O*kgtoGg</f>
        <v>0.41412386702749909</v>
      </c>
      <c r="Z1531" s="22">
        <f>Constants!$H63*'Activity data'!AS5*Constants!$H81*EF!$H206*MMVolatEF*NtoN2O*kgtoGg</f>
        <v>0.41769519693164076</v>
      </c>
      <c r="AA1531" s="22">
        <f>Constants!$H63*'Activity data'!AT5*Constants!$H81*EF!$H206*MMVolatEF*NtoN2O*kgtoGg</f>
        <v>0.42154191092161625</v>
      </c>
      <c r="AB1531" s="22">
        <f>Constants!$H63*'Activity data'!AU5*Constants!$H81*EF!$H206*MMVolatEF*NtoN2O*kgtoGg</f>
        <v>0.42518467345636607</v>
      </c>
      <c r="AC1531" s="22">
        <f>Constants!$H63*'Activity data'!AV5*Constants!$H81*EF!$H206*MMVolatEF*NtoN2O*kgtoGg</f>
        <v>0.42895809934446105</v>
      </c>
      <c r="AD1531" s="22">
        <f>Constants!$H63*'Activity data'!AW5*Constants!$H81*EF!$H206*MMVolatEF*NtoN2O*kgtoGg</f>
        <v>0.43329342136251764</v>
      </c>
      <c r="AE1531" s="22">
        <f>Constants!$H63*'Activity data'!AX5*Constants!$H81*EF!$H206*MMVolatEF*NtoN2O*kgtoGg</f>
        <v>0.43801504276628445</v>
      </c>
      <c r="AF1531" s="22">
        <f>Constants!$H63*'Activity data'!AY5*Constants!$H81*EF!$H206*MMVolatEF*NtoN2O*kgtoGg</f>
        <v>0.44292407628311159</v>
      </c>
      <c r="AG1531" s="22">
        <f>Constants!$H63*'Activity data'!AZ5*Constants!$H81*EF!$H206*MMVolatEF*NtoN2O*kgtoGg</f>
        <v>0.44360979324480354</v>
      </c>
      <c r="AH1531" s="22">
        <f>Constants!$H63*'Activity data'!BA5*Constants!$H81*EF!$H206*MMVolatEF*NtoN2O*kgtoGg</f>
        <v>0.23750435523455551</v>
      </c>
      <c r="AI1531" s="22">
        <f>Constants!$H63*'Activity data'!BB5*Constants!$H81*EF!$H206*MMVolatEF*NtoN2O*kgtoGg</f>
        <v>0.23767903823802267</v>
      </c>
      <c r="AJ1531" s="22">
        <f>Constants!$H63*'Activity data'!BC5*Constants!$H81*EF!$H206*MMVolatEF*NtoN2O*kgtoGg</f>
        <v>0.23787666796336571</v>
      </c>
      <c r="AK1531" s="22">
        <f>Constants!$H63*'Activity data'!BD5*Constants!$H81*EF!$H206*MMVolatEF*NtoN2O*kgtoGg</f>
        <v>0.23809637221397845</v>
      </c>
      <c r="AL1531" s="22">
        <f>Constants!$H63*'Activity data'!BE5*Constants!$H81*EF!$H206*MMVolatEF*NtoN2O*kgtoGg</f>
        <v>0.2383373459663993</v>
      </c>
      <c r="AM1531" s="22">
        <f>Constants!$H63*'Activity data'!BF5*Constants!$H81*EF!$H206*MMVolatEF*NtoN2O*kgtoGg</f>
        <v>0.23859884500343068</v>
      </c>
      <c r="AN1531" s="22">
        <f>Constants!$H63*'Activity data'!BG5*Constants!$H81*EF!$H206*MMVolatEF*NtoN2O*kgtoGg</f>
        <v>0.23871142815197754</v>
      </c>
      <c r="AO1531" s="22">
        <f>Constants!$H63*'Activity data'!BH5*Constants!$H81*EF!$H206*MMVolatEF*NtoN2O*kgtoGg</f>
        <v>0.23884208664335624</v>
      </c>
      <c r="AP1531" s="22">
        <f>Constants!$H63*'Activity data'!BI5*Constants!$H81*EF!$H206*MMVolatEF*NtoN2O*kgtoGg</f>
        <v>0.23899018916140971</v>
      </c>
      <c r="AQ1531" s="22">
        <f>Constants!$H63*'Activity data'!BJ5*Constants!$H81*EF!$H206*MMVolatEF*NtoN2O*kgtoGg</f>
        <v>0.2391551474689631</v>
      </c>
      <c r="AR1531" s="22">
        <f>Constants!$H63*'Activity data'!BK5*Constants!$H81*EF!$H206*MMVolatEF*NtoN2O*kgtoGg</f>
        <v>0.23933641275222764</v>
      </c>
      <c r="AS1531" s="22">
        <f>Constants!$H63*'Activity data'!BL5*Constants!$H81*EF!$H206*MMVolatEF*NtoN2O*kgtoGg</f>
        <v>0.23936290185366965</v>
      </c>
      <c r="AT1531" s="22">
        <f>Constants!$H63*'Activity data'!BM5*Constants!$H81*EF!$H206*MMVolatEF*NtoN2O*kgtoGg</f>
        <v>0.23940384749309143</v>
      </c>
      <c r="AU1531" s="22">
        <f>Constants!$H63*'Activity data'!BN5*Constants!$H81*EF!$H206*MMVolatEF*NtoN2O*kgtoGg</f>
        <v>0.23945877050598915</v>
      </c>
      <c r="AV1531" s="22">
        <f>Constants!$H63*'Activity data'!BO5*Constants!$H81*EF!$H206*MMVolatEF*NtoN2O*kgtoGg</f>
        <v>0.23952722091813589</v>
      </c>
      <c r="AW1531" s="22">
        <f>Constants!$H63*'Activity data'!BP5*Constants!$H81*EF!$H206*MMVolatEF*NtoN2O*kgtoGg</f>
        <v>0.23960877570322184</v>
      </c>
    </row>
    <row r="1532" spans="1:49" x14ac:dyDescent="0.25">
      <c r="A1532" s="102" t="s">
        <v>961</v>
      </c>
      <c r="B1532" s="102"/>
      <c r="C1532" s="102"/>
      <c r="D1532" t="str">
        <f t="shared" si="575"/>
        <v>3C Aggregated and non-CO2 emissions on land</v>
      </c>
      <c r="E1532" t="str">
        <f>E1531</f>
        <v>3C6 Indirect N2O from manure management (N2O)</v>
      </c>
      <c r="F1532" t="str">
        <f>F1531</f>
        <v>Volatilisation</v>
      </c>
      <c r="G1532" t="str">
        <f>'Activity data'!D67</f>
        <v xml:space="preserve"> - Pasture</v>
      </c>
      <c r="H1532" t="str">
        <f t="shared" si="576"/>
        <v>Volatilisation - Pasture</v>
      </c>
      <c r="I1532" t="str">
        <f t="shared" si="571"/>
        <v>N2O</v>
      </c>
      <c r="J1532" t="str">
        <f t="shared" si="570"/>
        <v>Gg N2O</v>
      </c>
      <c r="K1532" s="22">
        <f>Constants!$H64*'Activity data'!AD6*Constants!$H82*EF!$H207*MMVolatEF*NtoN2O*kgtoGg</f>
        <v>3.1306447478246062E-2</v>
      </c>
      <c r="L1532" s="22">
        <f>Constants!$H64*'Activity data'!AE6*Constants!$H82*EF!$H207*MMVolatEF*NtoN2O*kgtoGg</f>
        <v>3.1501178862399851E-2</v>
      </c>
      <c r="M1532" s="22">
        <f>Constants!$H64*'Activity data'!AF6*Constants!$H82*EF!$H207*MMVolatEF*NtoN2O*kgtoGg</f>
        <v>3.163505937152563E-2</v>
      </c>
      <c r="N1532" s="22">
        <f>Constants!$H64*'Activity data'!AG6*Constants!$H82*EF!$H207*MMVolatEF*NtoN2O*kgtoGg</f>
        <v>3.167704626996521E-2</v>
      </c>
      <c r="O1532" s="22">
        <f>Constants!$H64*'Activity data'!AH6*Constants!$H82*EF!$H207*MMVolatEF*NtoN2O*kgtoGg</f>
        <v>3.1733848278341123E-2</v>
      </c>
      <c r="P1532" s="22">
        <f>Constants!$H64*'Activity data'!AI6*Constants!$H82*EF!$H207*MMVolatEF*NtoN2O*kgtoGg</f>
        <v>3.1858266256981516E-2</v>
      </c>
      <c r="Q1532" s="22">
        <f>Constants!$H64*'Activity data'!AJ6*Constants!$H82*EF!$H207*MMVolatEF*NtoN2O*kgtoGg</f>
        <v>3.2007430793315993E-2</v>
      </c>
      <c r="R1532" s="22">
        <f>Constants!$H64*'Activity data'!AK6*Constants!$H82*EF!$H207*MMVolatEF*NtoN2O*kgtoGg</f>
        <v>3.2052241375996028E-2</v>
      </c>
      <c r="S1532" s="22">
        <f>Constants!$H64*'Activity data'!AL6*Constants!$H82*EF!$H207*MMVolatEF*NtoN2O*kgtoGg</f>
        <v>3.1068244765175855E-2</v>
      </c>
      <c r="T1532" s="22">
        <f>Constants!$H64*'Activity data'!AM6*Constants!$H82*EF!$H207*MMVolatEF*NtoN2O*kgtoGg</f>
        <v>3.1324143431401406E-2</v>
      </c>
      <c r="U1532" s="22">
        <f>Constants!$H64*'Activity data'!AN6*Constants!$H82*EF!$H207*MMVolatEF*NtoN2O*kgtoGg</f>
        <v>3.1558795241031987E-2</v>
      </c>
      <c r="V1532" s="22">
        <f>Constants!$H64*'Activity data'!AO6*Constants!$H82*EF!$H207*MMVolatEF*NtoN2O*kgtoGg</f>
        <v>3.1799391536879773E-2</v>
      </c>
      <c r="W1532" s="22">
        <f>Constants!$H64*'Activity data'!AP6*Constants!$H82*EF!$H207*MMVolatEF*NtoN2O*kgtoGg</f>
        <v>3.2089222504140757E-2</v>
      </c>
      <c r="X1532" s="22">
        <f>Constants!$H64*'Activity data'!AQ6*Constants!$H82*EF!$H207*MMVolatEF*NtoN2O*kgtoGg</f>
        <v>3.2384491975300946E-2</v>
      </c>
      <c r="Y1532" s="22">
        <f>Constants!$H64*'Activity data'!AR6*Constants!$H82*EF!$H207*MMVolatEF*NtoN2O*kgtoGg</f>
        <v>3.2672001295109276E-2</v>
      </c>
      <c r="Z1532" s="22">
        <f>Constants!$H64*'Activity data'!AS6*Constants!$H82*EF!$H207*MMVolatEF*NtoN2O*kgtoGg</f>
        <v>3.2953758770453305E-2</v>
      </c>
      <c r="AA1532" s="22">
        <f>Constants!$H64*'Activity data'!AT6*Constants!$H82*EF!$H207*MMVolatEF*NtoN2O*kgtoGg</f>
        <v>3.3257242472961211E-2</v>
      </c>
      <c r="AB1532" s="22">
        <f>Constants!$H64*'Activity data'!AU6*Constants!$H82*EF!$H207*MMVolatEF*NtoN2O*kgtoGg</f>
        <v>3.3544635573743833E-2</v>
      </c>
      <c r="AC1532" s="22">
        <f>Constants!$H64*'Activity data'!AV6*Constants!$H82*EF!$H207*MMVolatEF*NtoN2O*kgtoGg</f>
        <v>3.3842337264756606E-2</v>
      </c>
      <c r="AD1532" s="22">
        <f>Constants!$H64*'Activity data'!AW6*Constants!$H82*EF!$H207*MMVolatEF*NtoN2O*kgtoGg</f>
        <v>3.4184369342273299E-2</v>
      </c>
      <c r="AE1532" s="22">
        <f>Constants!$H64*'Activity data'!AX6*Constants!$H82*EF!$H207*MMVolatEF*NtoN2O*kgtoGg</f>
        <v>3.4556878228868437E-2</v>
      </c>
      <c r="AF1532" s="22">
        <f>Constants!$H64*'Activity data'!AY6*Constants!$H82*EF!$H207*MMVolatEF*NtoN2O*kgtoGg</f>
        <v>3.494417285781784E-2</v>
      </c>
      <c r="AG1532" s="22">
        <f>Constants!$H64*'Activity data'!AZ6*Constants!$H82*EF!$H207*MMVolatEF*NtoN2O*kgtoGg</f>
        <v>3.4998271998785704E-2</v>
      </c>
      <c r="AH1532" s="22">
        <f>Constants!$H64*'Activity data'!BA6*Constants!$H82*EF!$H207*MMVolatEF*NtoN2O*kgtoGg</f>
        <v>1.873773336831663E-2</v>
      </c>
      <c r="AI1532" s="22">
        <f>Constants!$H64*'Activity data'!BB6*Constants!$H82*EF!$H207*MMVolatEF*NtoN2O*kgtoGg</f>
        <v>1.8751514856827491E-2</v>
      </c>
      <c r="AJ1532" s="22">
        <f>Constants!$H64*'Activity data'!BC6*Constants!$H82*EF!$H207*MMVolatEF*NtoN2O*kgtoGg</f>
        <v>1.8767106710271497E-2</v>
      </c>
      <c r="AK1532" s="22">
        <f>Constants!$H64*'Activity data'!BD6*Constants!$H82*EF!$H207*MMVolatEF*NtoN2O*kgtoGg</f>
        <v>1.8784440117331772E-2</v>
      </c>
      <c r="AL1532" s="22">
        <f>Constants!$H64*'Activity data'!BE6*Constants!$H82*EF!$H207*MMVolatEF*NtoN2O*kgtoGg</f>
        <v>1.8803451566267792E-2</v>
      </c>
      <c r="AM1532" s="22">
        <f>Constants!$H64*'Activity data'!BF6*Constants!$H82*EF!$H207*MMVolatEF*NtoN2O*kgtoGg</f>
        <v>1.882408234260504E-2</v>
      </c>
      <c r="AN1532" s="22">
        <f>Constants!$H64*'Activity data'!BG6*Constants!$H82*EF!$H207*MMVolatEF*NtoN2O*kgtoGg</f>
        <v>1.883296450822745E-2</v>
      </c>
      <c r="AO1532" s="22">
        <f>Constants!$H64*'Activity data'!BH6*Constants!$H82*EF!$H207*MMVolatEF*NtoN2O*kgtoGg</f>
        <v>1.8843272714876302E-2</v>
      </c>
      <c r="AP1532" s="22">
        <f>Constants!$H64*'Activity data'!BI6*Constants!$H82*EF!$H207*MMVolatEF*NtoN2O*kgtoGg</f>
        <v>1.8854957155322545E-2</v>
      </c>
      <c r="AQ1532" s="22">
        <f>Constants!$H64*'Activity data'!BJ6*Constants!$H82*EF!$H207*MMVolatEF*NtoN2O*kgtoGg</f>
        <v>1.8867971421022103E-2</v>
      </c>
      <c r="AR1532" s="22">
        <f>Constants!$H64*'Activity data'!BK6*Constants!$H82*EF!$H207*MMVolatEF*NtoN2O*kgtoGg</f>
        <v>1.8882272213710256E-2</v>
      </c>
      <c r="AS1532" s="22">
        <f>Constants!$H64*'Activity data'!BL6*Constants!$H82*EF!$H207*MMVolatEF*NtoN2O*kgtoGg</f>
        <v>1.888436205210289E-2</v>
      </c>
      <c r="AT1532" s="22">
        <f>Constants!$H64*'Activity data'!BM6*Constants!$H82*EF!$H207*MMVolatEF*NtoN2O*kgtoGg</f>
        <v>1.8887592428545139E-2</v>
      </c>
      <c r="AU1532" s="22">
        <f>Constants!$H64*'Activity data'!BN6*Constants!$H82*EF!$H207*MMVolatEF*NtoN2O*kgtoGg</f>
        <v>1.8891925539701964E-2</v>
      </c>
      <c r="AV1532" s="22">
        <f>Constants!$H64*'Activity data'!BO6*Constants!$H82*EF!$H207*MMVolatEF*NtoN2O*kgtoGg</f>
        <v>1.8897325885184005E-2</v>
      </c>
      <c r="AW1532" s="22">
        <f>Constants!$H64*'Activity data'!BP6*Constants!$H82*EF!$H207*MMVolatEF*NtoN2O*kgtoGg</f>
        <v>1.8903760090638235E-2</v>
      </c>
    </row>
    <row r="1533" spans="1:49" x14ac:dyDescent="0.25">
      <c r="A1533" s="102" t="s">
        <v>961</v>
      </c>
      <c r="B1533" s="102"/>
      <c r="C1533" s="102"/>
      <c r="D1533" t="str">
        <f t="shared" si="575"/>
        <v>3C Aggregated and non-CO2 emissions on land</v>
      </c>
      <c r="E1533" t="str">
        <f t="shared" si="575"/>
        <v>3C6 Indirect N2O from manure management (N2O)</v>
      </c>
      <c r="F1533" t="str">
        <f t="shared" si="575"/>
        <v>Volatilisation</v>
      </c>
      <c r="G1533" t="str">
        <f>'Activity data'!D68</f>
        <v xml:space="preserve"> - Non-lactating</v>
      </c>
      <c r="H1533" t="str">
        <f t="shared" si="576"/>
        <v>Volatilisation - Non-lactating</v>
      </c>
      <c r="I1533" t="str">
        <f t="shared" si="571"/>
        <v>N2O</v>
      </c>
      <c r="J1533" t="str">
        <f t="shared" si="570"/>
        <v>Gg N2O</v>
      </c>
      <c r="K1533" s="22">
        <f>Constants!$H65*'Activity data'!AD7*Constants!$H83*EF!$H208*MMVolatEF*NtoN2O*kgtoGg</f>
        <v>2.9019834302377478E-4</v>
      </c>
      <c r="L1533" s="22">
        <f>Constants!$H65*'Activity data'!AE7*Constants!$H83*EF!$H208*MMVolatEF*NtoN2O*kgtoGg</f>
        <v>2.9200342566866507E-4</v>
      </c>
      <c r="M1533" s="22">
        <f>Constants!$H65*'Activity data'!AF7*Constants!$H83*EF!$H208*MMVolatEF*NtoN2O*kgtoGg</f>
        <v>2.9324444485292345E-4</v>
      </c>
      <c r="N1533" s="22">
        <f>Constants!$H65*'Activity data'!AG7*Constants!$H83*EF!$H208*MMVolatEF*NtoN2O*kgtoGg</f>
        <v>2.9363364673743434E-4</v>
      </c>
      <c r="O1533" s="22">
        <f>Constants!$H65*'Activity data'!AH7*Constants!$H83*EF!$H208*MMVolatEF*NtoN2O*kgtoGg</f>
        <v>2.9416017881114109E-4</v>
      </c>
      <c r="P1533" s="22">
        <f>Constants!$H65*'Activity data'!AI7*Constants!$H83*EF!$H208*MMVolatEF*NtoN2O*kgtoGg</f>
        <v>2.9531348409334853E-4</v>
      </c>
      <c r="Q1533" s="22">
        <f>Constants!$H65*'Activity data'!AJ7*Constants!$H83*EF!$H208*MMVolatEF*NtoN2O*kgtoGg</f>
        <v>2.9669618014381078E-4</v>
      </c>
      <c r="R1533" s="22">
        <f>Constants!$H65*'Activity data'!AK7*Constants!$H83*EF!$H208*MMVolatEF*NtoN2O*kgtoGg</f>
        <v>2.971115564605491E-4</v>
      </c>
      <c r="S1533" s="22">
        <f>Constants!$H65*'Activity data'!AL7*Constants!$H83*EF!$H208*MMVolatEF*NtoN2O*kgtoGg</f>
        <v>2.879902984130032E-4</v>
      </c>
      <c r="T1533" s="22">
        <f>Constants!$H65*'Activity data'!AM7*Constants!$H83*EF!$H208*MMVolatEF*NtoN2O*kgtoGg</f>
        <v>2.9036237748624366E-4</v>
      </c>
      <c r="U1533" s="22">
        <f>Constants!$H65*'Activity data'!AN7*Constants!$H83*EF!$H208*MMVolatEF*NtoN2O*kgtoGg</f>
        <v>2.9253750663143477E-4</v>
      </c>
      <c r="V1533" s="22">
        <f>Constants!$H65*'Activity data'!AO7*Constants!$H83*EF!$H208*MMVolatEF*NtoN2O*kgtoGg</f>
        <v>2.9476773880457414E-4</v>
      </c>
      <c r="W1533" s="22">
        <f>Constants!$H65*'Activity data'!AP7*Constants!$H83*EF!$H208*MMVolatEF*NtoN2O*kgtoGg</f>
        <v>2.9745435684114832E-4</v>
      </c>
      <c r="X1533" s="22">
        <f>Constants!$H65*'Activity data'!AQ7*Constants!$H83*EF!$H208*MMVolatEF*NtoN2O*kgtoGg</f>
        <v>3.0019138765040044E-4</v>
      </c>
      <c r="Y1533" s="22">
        <f>Constants!$H65*'Activity data'!AR7*Constants!$H83*EF!$H208*MMVolatEF*NtoN2O*kgtoGg</f>
        <v>3.0285648493651841E-4</v>
      </c>
      <c r="Z1533" s="22">
        <f>Constants!$H65*'Activity data'!AS7*Constants!$H83*EF!$H208*MMVolatEF*NtoN2O*kgtoGg</f>
        <v>3.0546826490728061E-4</v>
      </c>
      <c r="AA1533" s="22">
        <f>Constants!$H65*'Activity data'!AT7*Constants!$H83*EF!$H208*MMVolatEF*NtoN2O*kgtoGg</f>
        <v>3.0828143838101019E-4</v>
      </c>
      <c r="AB1533" s="22">
        <f>Constants!$H65*'Activity data'!AU7*Constants!$H83*EF!$H208*MMVolatEF*NtoN2O*kgtoGg</f>
        <v>3.1094545836288565E-4</v>
      </c>
      <c r="AC1533" s="22">
        <f>Constants!$H65*'Activity data'!AV7*Constants!$H83*EF!$H208*MMVolatEF*NtoN2O*kgtoGg</f>
        <v>3.1370503488485662E-4</v>
      </c>
      <c r="AD1533" s="22">
        <f>Constants!$H65*'Activity data'!AW7*Constants!$H83*EF!$H208*MMVolatEF*NtoN2O*kgtoGg</f>
        <v>3.1687553649559658E-4</v>
      </c>
      <c r="AE1533" s="22">
        <f>Constants!$H65*'Activity data'!AX7*Constants!$H83*EF!$H208*MMVolatEF*NtoN2O*kgtoGg</f>
        <v>3.2032854603066614E-4</v>
      </c>
      <c r="AF1533" s="22">
        <f>Constants!$H65*'Activity data'!AY7*Constants!$H83*EF!$H208*MMVolatEF*NtoN2O*kgtoGg</f>
        <v>3.2391861352910146E-4</v>
      </c>
      <c r="AG1533" s="22">
        <f>Constants!$H65*'Activity data'!AZ7*Constants!$H83*EF!$H208*MMVolatEF*NtoN2O*kgtoGg</f>
        <v>3.2442009109466666E-4</v>
      </c>
      <c r="AH1533" s="22">
        <f>Constants!$H65*'Activity data'!BA7*Constants!$H83*EF!$H208*MMVolatEF*NtoN2O*kgtoGg</f>
        <v>1.7369135157495116E-4</v>
      </c>
      <c r="AI1533" s="22">
        <f>Constants!$H65*'Activity data'!BB7*Constants!$H83*EF!$H208*MMVolatEF*NtoN2O*kgtoGg</f>
        <v>1.7381910050376308E-4</v>
      </c>
      <c r="AJ1533" s="22">
        <f>Constants!$H65*'Activity data'!BC7*Constants!$H83*EF!$H208*MMVolatEF*NtoN2O*kgtoGg</f>
        <v>1.7396363079699625E-4</v>
      </c>
      <c r="AK1533" s="22">
        <f>Constants!$H65*'Activity data'!BD7*Constants!$H83*EF!$H208*MMVolatEF*NtoN2O*kgtoGg</f>
        <v>1.7412430460105353E-4</v>
      </c>
      <c r="AL1533" s="22">
        <f>Constants!$H65*'Activity data'!BE7*Constants!$H83*EF!$H208*MMVolatEF*NtoN2O*kgtoGg</f>
        <v>1.7430053318730711E-4</v>
      </c>
      <c r="AM1533" s="22">
        <f>Constants!$H65*'Activity data'!BF7*Constants!$H83*EF!$H208*MMVolatEF*NtoN2O*kgtoGg</f>
        <v>1.7449177229588125E-4</v>
      </c>
      <c r="AN1533" s="22">
        <f>Constants!$H65*'Activity data'!BG7*Constants!$H83*EF!$H208*MMVolatEF*NtoN2O*kgtoGg</f>
        <v>1.7457410644599133E-4</v>
      </c>
      <c r="AO1533" s="22">
        <f>Constants!$H65*'Activity data'!BH7*Constants!$H83*EF!$H208*MMVolatEF*NtoN2O*kgtoGg</f>
        <v>1.7466965943044039E-4</v>
      </c>
      <c r="AP1533" s="22">
        <f>Constants!$H65*'Activity data'!BI7*Constants!$H83*EF!$H208*MMVolatEF*NtoN2O*kgtoGg</f>
        <v>1.7477796955598287E-4</v>
      </c>
      <c r="AQ1533" s="22">
        <f>Constants!$H65*'Activity data'!BJ7*Constants!$H83*EF!$H208*MMVolatEF*NtoN2O*kgtoGg</f>
        <v>1.7489860663383425E-4</v>
      </c>
      <c r="AR1533" s="22">
        <f>Constants!$H65*'Activity data'!BK7*Constants!$H83*EF!$H208*MMVolatEF*NtoN2O*kgtoGg</f>
        <v>1.7503116930626492E-4</v>
      </c>
      <c r="AS1533" s="22">
        <f>Constants!$H65*'Activity data'!BL7*Constants!$H83*EF!$H208*MMVolatEF*NtoN2O*kgtoGg</f>
        <v>1.7505054127873651E-4</v>
      </c>
      <c r="AT1533" s="22">
        <f>Constants!$H65*'Activity data'!BM7*Constants!$H83*EF!$H208*MMVolatEF*NtoN2O*kgtoGg</f>
        <v>1.7508048558626403E-4</v>
      </c>
      <c r="AU1533" s="22">
        <f>Constants!$H65*'Activity data'!BN7*Constants!$H83*EF!$H208*MMVolatEF*NtoN2O*kgtoGg</f>
        <v>1.7512065180693548E-4</v>
      </c>
      <c r="AV1533" s="22">
        <f>Constants!$H65*'Activity data'!BO7*Constants!$H83*EF!$H208*MMVolatEF*NtoN2O*kgtoGg</f>
        <v>1.7517071086623097E-4</v>
      </c>
      <c r="AW1533" s="22">
        <f>Constants!$H65*'Activity data'!BP7*Constants!$H83*EF!$H208*MMVolatEF*NtoN2O*kgtoGg</f>
        <v>1.752303533971437E-4</v>
      </c>
    </row>
    <row r="1534" spans="1:49" x14ac:dyDescent="0.25">
      <c r="A1534" s="102" t="s">
        <v>961</v>
      </c>
      <c r="B1534" s="102"/>
      <c r="C1534" s="102"/>
      <c r="D1534" t="str">
        <f t="shared" si="575"/>
        <v>3C Aggregated and non-CO2 emissions on land</v>
      </c>
      <c r="E1534" t="str">
        <f t="shared" si="575"/>
        <v>3C6 Indirect N2O from manure management (N2O)</v>
      </c>
      <c r="F1534" t="str">
        <f t="shared" si="575"/>
        <v>Volatilisation</v>
      </c>
      <c r="G1534" t="str">
        <f>'Activity data'!D69</f>
        <v xml:space="preserve"> - Commercial cattle</v>
      </c>
      <c r="H1534" t="str">
        <f t="shared" si="576"/>
        <v>Volatilisation - Commercial cattle</v>
      </c>
      <c r="I1534" t="str">
        <f t="shared" si="571"/>
        <v>N2O</v>
      </c>
      <c r="J1534" t="str">
        <f t="shared" si="570"/>
        <v>Gg N2O</v>
      </c>
      <c r="K1534" s="22">
        <f>Constants!$H66*'Activity data'!AD8*Constants!$H84*EF!$H209*MMVolatEF*NtoN2O*kgtoGg</f>
        <v>3.2608020345335862E-3</v>
      </c>
      <c r="L1534" s="22">
        <f>Constants!$H66*'Activity data'!AE8*Constants!$H84*EF!$H209*MMVolatEF*NtoN2O*kgtoGg</f>
        <v>3.2391880107785257E-3</v>
      </c>
      <c r="M1534" s="22">
        <f>Constants!$H66*'Activity data'!AF8*Constants!$H84*EF!$H209*MMVolatEF*NtoN2O*kgtoGg</f>
        <v>3.1936162901030117E-3</v>
      </c>
      <c r="N1534" s="22">
        <f>Constants!$H66*'Activity data'!AG8*Constants!$H84*EF!$H209*MMVolatEF*NtoN2O*kgtoGg</f>
        <v>3.1167988395678259E-3</v>
      </c>
      <c r="O1534" s="22">
        <f>Constants!$H66*'Activity data'!AH8*Constants!$H84*EF!$H209*MMVolatEF*NtoN2O*kgtoGg</f>
        <v>3.0422686858160779E-3</v>
      </c>
      <c r="P1534" s="22">
        <f>Constants!$H66*'Activity data'!AI8*Constants!$H84*EF!$H209*MMVolatEF*NtoN2O*kgtoGg</f>
        <v>2.9849445368563851E-3</v>
      </c>
      <c r="Q1534" s="22">
        <f>Constants!$H66*'Activity data'!AJ8*Constants!$H84*EF!$H209*MMVolatEF*NtoN2O*kgtoGg</f>
        <v>2.9330944027971869E-3</v>
      </c>
      <c r="R1534" s="22">
        <f>Constants!$H66*'Activity data'!AK8*Constants!$H84*EF!$H209*MMVolatEF*NtoN2O*kgtoGg</f>
        <v>2.8515726706301167E-3</v>
      </c>
      <c r="S1534" s="22">
        <f>Constants!$H66*'Activity data'!AL8*Constants!$H84*EF!$H209*MMVolatEF*NtoN2O*kgtoGg</f>
        <v>2.5010020765287512E-3</v>
      </c>
      <c r="T1534" s="22">
        <f>Constants!$H66*'Activity data'!AM8*Constants!$H84*EF!$H209*MMVolatEF*NtoN2O*kgtoGg</f>
        <v>2.5248406363190491E-3</v>
      </c>
      <c r="U1534" s="22">
        <f>Constants!$H66*'Activity data'!AN8*Constants!$H84*EF!$H209*MMVolatEF*NtoN2O*kgtoGg</f>
        <v>2.5409715409254918E-3</v>
      </c>
      <c r="V1534" s="22">
        <f>Constants!$H66*'Activity data'!AO8*Constants!$H84*EF!$H209*MMVolatEF*NtoN2O*kgtoGg</f>
        <v>2.5565777764954734E-3</v>
      </c>
      <c r="W1534" s="22">
        <f>Constants!$H66*'Activity data'!AP8*Constants!$H84*EF!$H209*MMVolatEF*NtoN2O*kgtoGg</f>
        <v>2.5823867364318034E-3</v>
      </c>
      <c r="X1534" s="22">
        <f>Constants!$H66*'Activity data'!AQ8*Constants!$H84*EF!$H209*MMVolatEF*NtoN2O*kgtoGg</f>
        <v>2.6073450964004788E-3</v>
      </c>
      <c r="Y1534" s="22">
        <f>Constants!$H66*'Activity data'!AR8*Constants!$H84*EF!$H209*MMVolatEF*NtoN2O*kgtoGg</f>
        <v>2.6335476280108239E-3</v>
      </c>
      <c r="Z1534" s="22">
        <f>Constants!$H66*'Activity data'!AS8*Constants!$H84*EF!$H209*MMVolatEF*NtoN2O*kgtoGg</f>
        <v>2.6563592492195348E-3</v>
      </c>
      <c r="AA1534" s="22">
        <f>Constants!$H66*'Activity data'!AT8*Constants!$H84*EF!$H209*MMVolatEF*NtoN2O*kgtoGg</f>
        <v>2.6823219674710947E-3</v>
      </c>
      <c r="AB1534" s="22">
        <f>Constants!$H66*'Activity data'!AU8*Constants!$H84*EF!$H209*MMVolatEF*NtoN2O*kgtoGg</f>
        <v>2.7026386741679817E-3</v>
      </c>
      <c r="AC1534" s="22">
        <f>Constants!$H66*'Activity data'!AV8*Constants!$H84*EF!$H209*MMVolatEF*NtoN2O*kgtoGg</f>
        <v>2.7235128371703343E-3</v>
      </c>
      <c r="AD1534" s="22">
        <f>Constants!$H66*'Activity data'!AW8*Constants!$H84*EF!$H209*MMVolatEF*NtoN2O*kgtoGg</f>
        <v>2.7332352588004378E-3</v>
      </c>
      <c r="AE1534" s="22">
        <f>Constants!$H66*'Activity data'!AX8*Constants!$H84*EF!$H209*MMVolatEF*NtoN2O*kgtoGg</f>
        <v>2.7465666714111786E-3</v>
      </c>
      <c r="AF1534" s="22">
        <f>Constants!$H66*'Activity data'!AY8*Constants!$H84*EF!$H209*MMVolatEF*NtoN2O*kgtoGg</f>
        <v>2.7598466332323141E-3</v>
      </c>
      <c r="AG1534" s="22">
        <f>Constants!$H66*'Activity data'!AZ8*Constants!$H84*EF!$H209*MMVolatEF*NtoN2O*kgtoGg</f>
        <v>2.7013158272562879E-3</v>
      </c>
      <c r="AH1534" s="22">
        <f>Constants!$H66*'Activity data'!BA8*Constants!$H84*EF!$H209*MMVolatEF*NtoN2O*kgtoGg</f>
        <v>-6.3720303992201288E-4</v>
      </c>
      <c r="AI1534" s="22">
        <f>Constants!$H66*'Activity data'!BB8*Constants!$H84*EF!$H209*MMVolatEF*NtoN2O*kgtoGg</f>
        <v>-6.2242214557858356E-4</v>
      </c>
      <c r="AJ1534" s="22">
        <f>Constants!$H66*'Activity data'!BC8*Constants!$H84*EF!$H209*MMVolatEF*NtoN2O*kgtoGg</f>
        <v>-6.0787631384089666E-4</v>
      </c>
      <c r="AK1534" s="22">
        <f>Constants!$H66*'Activity data'!BD8*Constants!$H84*EF!$H209*MMVolatEF*NtoN2O*kgtoGg</f>
        <v>-5.9355323338830307E-4</v>
      </c>
      <c r="AL1534" s="22">
        <f>Constants!$H66*'Activity data'!BE8*Constants!$H84*EF!$H209*MMVolatEF*NtoN2O*kgtoGg</f>
        <v>-5.7944144405540506E-4</v>
      </c>
      <c r="AM1534" s="22">
        <f>Constants!$H66*'Activity data'!BF8*Constants!$H84*EF!$H209*MMVolatEF*NtoN2O*kgtoGg</f>
        <v>-5.6553025796044789E-4</v>
      </c>
      <c r="AN1534" s="22">
        <f>Constants!$H66*'Activity data'!BG8*Constants!$H84*EF!$H209*MMVolatEF*NtoN2O*kgtoGg</f>
        <v>-5.5425143288870022E-4</v>
      </c>
      <c r="AO1534" s="22">
        <f>Constants!$H66*'Activity data'!BH8*Constants!$H84*EF!$H209*MMVolatEF*NtoN2O*kgtoGg</f>
        <v>-5.4314296084699478E-4</v>
      </c>
      <c r="AP1534" s="22">
        <f>Constants!$H66*'Activity data'!BI8*Constants!$H84*EF!$H209*MMVolatEF*NtoN2O*kgtoGg</f>
        <v>-5.3219712228052369E-4</v>
      </c>
      <c r="AQ1534" s="22">
        <f>Constants!$H66*'Activity data'!BJ8*Constants!$H84*EF!$H209*MMVolatEF*NtoN2O*kgtoGg</f>
        <v>-5.2140667775092773E-4</v>
      </c>
      <c r="AR1534" s="22">
        <f>Constants!$H66*'Activity data'!BK8*Constants!$H84*EF!$H209*MMVolatEF*NtoN2O*kgtoGg</f>
        <v>-5.107648281267109E-4</v>
      </c>
      <c r="AS1534" s="22">
        <f>Constants!$H66*'Activity data'!BL8*Constants!$H84*EF!$H209*MMVolatEF*NtoN2O*kgtoGg</f>
        <v>-4.999251820077483E-4</v>
      </c>
      <c r="AT1534" s="22">
        <f>Constants!$H66*'Activity data'!BM8*Constants!$H84*EF!$H209*MMVolatEF*NtoN2O*kgtoGg</f>
        <v>-4.8923459484670278E-4</v>
      </c>
      <c r="AU1534" s="22">
        <f>Constants!$H66*'Activity data'!BN8*Constants!$H84*EF!$H209*MMVolatEF*NtoN2O*kgtoGg</f>
        <v>-4.7868720289580258E-4</v>
      </c>
      <c r="AV1534" s="22">
        <f>Constants!$H66*'Activity data'!BO8*Constants!$H84*EF!$H209*MMVolatEF*NtoN2O*kgtoGg</f>
        <v>-4.6827747185126305E-4</v>
      </c>
      <c r="AW1534" s="22">
        <f>Constants!$H66*'Activity data'!BP8*Constants!$H84*EF!$H209*MMVolatEF*NtoN2O*kgtoGg</f>
        <v>-4.5800017223486766E-4</v>
      </c>
    </row>
    <row r="1535" spans="1:49" x14ac:dyDescent="0.25">
      <c r="A1535" s="102" t="s">
        <v>961</v>
      </c>
      <c r="B1535" s="102"/>
      <c r="C1535" s="102"/>
      <c r="D1535" t="str">
        <f t="shared" si="575"/>
        <v>3C Aggregated and non-CO2 emissions on land</v>
      </c>
      <c r="E1535" t="str">
        <f t="shared" si="575"/>
        <v>3C6 Indirect N2O from manure management (N2O)</v>
      </c>
      <c r="F1535" t="str">
        <f t="shared" si="575"/>
        <v>Volatilisation</v>
      </c>
      <c r="G1535" t="str">
        <f>'Activity data'!D70</f>
        <v xml:space="preserve"> - Subsistence cattle</v>
      </c>
      <c r="H1535" t="str">
        <f t="shared" si="576"/>
        <v>Volatilisation - Subsistence cattle</v>
      </c>
      <c r="I1535" t="str">
        <f t="shared" si="571"/>
        <v>N2O</v>
      </c>
      <c r="J1535" t="str">
        <f t="shared" si="570"/>
        <v>Gg N2O</v>
      </c>
      <c r="K1535" s="22">
        <f>Constants!$H67*'Activity data'!AD9*Constants!$H85*EF!$H210*MMVolatEF*NtoN2O*kgtoGg</f>
        <v>1.6232293381826982E-2</v>
      </c>
      <c r="L1535" s="22">
        <f>Constants!$H67*'Activity data'!AE9*Constants!$H85*EF!$H210*MMVolatEF*NtoN2O*kgtoGg</f>
        <v>1.612469863334539E-2</v>
      </c>
      <c r="M1535" s="22">
        <f>Constants!$H67*'Activity data'!AF9*Constants!$H85*EF!$H210*MMVolatEF*NtoN2O*kgtoGg</f>
        <v>1.5897842316376299E-2</v>
      </c>
      <c r="N1535" s="22">
        <f>Constants!$H67*'Activity data'!AG9*Constants!$H85*EF!$H210*MMVolatEF*NtoN2O*kgtoGg</f>
        <v>1.5515444556338871E-2</v>
      </c>
      <c r="O1535" s="22">
        <f>Constants!$H67*'Activity data'!AH9*Constants!$H85*EF!$H210*MMVolatEF*NtoN2O*kgtoGg</f>
        <v>1.5144432974317425E-2</v>
      </c>
      <c r="P1535" s="22">
        <f>Constants!$H67*'Activity data'!AI9*Constants!$H85*EF!$H210*MMVolatEF*NtoN2O*kgtoGg</f>
        <v>1.4859072994188992E-2</v>
      </c>
      <c r="Q1535" s="22">
        <f>Constants!$H67*'Activity data'!AJ9*Constants!$H85*EF!$H210*MMVolatEF*NtoN2O*kgtoGg</f>
        <v>1.4600962695243356E-2</v>
      </c>
      <c r="R1535" s="22">
        <f>Constants!$H67*'Activity data'!AK9*Constants!$H85*EF!$H210*MMVolatEF*NtoN2O*kgtoGg</f>
        <v>1.4195146991156963E-2</v>
      </c>
      <c r="S1535" s="22">
        <f>Constants!$H67*'Activity data'!AL9*Constants!$H85*EF!$H210*MMVolatEF*NtoN2O*kgtoGg</f>
        <v>1.2450004331704253E-2</v>
      </c>
      <c r="T1535" s="22">
        <f>Constants!$H67*'Activity data'!AM9*Constants!$H85*EF!$H210*MMVolatEF*NtoN2O*kgtoGg</f>
        <v>1.2568672834795916E-2</v>
      </c>
      <c r="U1535" s="22">
        <f>Constants!$H67*'Activity data'!AN9*Constants!$H85*EF!$H210*MMVolatEF*NtoN2O*kgtoGg</f>
        <v>1.2648972581089315E-2</v>
      </c>
      <c r="V1535" s="22">
        <f>Constants!$H67*'Activity data'!AO9*Constants!$H85*EF!$H210*MMVolatEF*NtoN2O*kgtoGg</f>
        <v>1.2726660521563772E-2</v>
      </c>
      <c r="W1535" s="22">
        <f>Constants!$H67*'Activity data'!AP9*Constants!$H85*EF!$H210*MMVolatEF*NtoN2O*kgtoGg</f>
        <v>1.2855137689183753E-2</v>
      </c>
      <c r="X1535" s="22">
        <f>Constants!$H67*'Activity data'!AQ9*Constants!$H85*EF!$H210*MMVolatEF*NtoN2O*kgtoGg</f>
        <v>1.297938056472487E-2</v>
      </c>
      <c r="Y1535" s="22">
        <f>Constants!$H67*'Activity data'!AR9*Constants!$H85*EF!$H210*MMVolatEF*NtoN2O*kgtoGg</f>
        <v>1.3109816934655115E-2</v>
      </c>
      <c r="Z1535" s="22">
        <f>Constants!$H67*'Activity data'!AS9*Constants!$H85*EF!$H210*MMVolatEF*NtoN2O*kgtoGg</f>
        <v>1.3223373330920015E-2</v>
      </c>
      <c r="AA1535" s="22">
        <f>Constants!$H67*'Activity data'!AT9*Constants!$H85*EF!$H210*MMVolatEF*NtoN2O*kgtoGg</f>
        <v>1.3352615908416542E-2</v>
      </c>
      <c r="AB1535" s="22">
        <f>Constants!$H67*'Activity data'!AU9*Constants!$H85*EF!$H210*MMVolatEF*NtoN2O*kgtoGg</f>
        <v>1.345375260428577E-2</v>
      </c>
      <c r="AC1535" s="22">
        <f>Constants!$H67*'Activity data'!AV9*Constants!$H85*EF!$H210*MMVolatEF*NtoN2O*kgtoGg</f>
        <v>1.3557664321208735E-2</v>
      </c>
      <c r="AD1535" s="22">
        <f>Constants!$H67*'Activity data'!AW9*Constants!$H85*EF!$H210*MMVolatEF*NtoN2O*kgtoGg</f>
        <v>1.3606062598261524E-2</v>
      </c>
      <c r="AE1535" s="22">
        <f>Constants!$H67*'Activity data'!AX9*Constants!$H85*EF!$H210*MMVolatEF*NtoN2O*kgtoGg</f>
        <v>1.3672426455496624E-2</v>
      </c>
      <c r="AF1535" s="22">
        <f>Constants!$H67*'Activity data'!AY9*Constants!$H85*EF!$H210*MMVolatEF*NtoN2O*kgtoGg</f>
        <v>1.3738534190372041E-2</v>
      </c>
      <c r="AG1535" s="22">
        <f>Constants!$H67*'Activity data'!AZ9*Constants!$H85*EF!$H210*MMVolatEF*NtoN2O*kgtoGg</f>
        <v>1.3447167463899316E-2</v>
      </c>
      <c r="AH1535" s="22">
        <f>Constants!$H67*'Activity data'!BA9*Constants!$H85*EF!$H210*MMVolatEF*NtoN2O*kgtoGg</f>
        <v>-3.1720008078581774E-3</v>
      </c>
      <c r="AI1535" s="22">
        <f>Constants!$H67*'Activity data'!BB9*Constants!$H85*EF!$H210*MMVolatEF*NtoN2O*kgtoGg</f>
        <v>-3.098421421287828E-3</v>
      </c>
      <c r="AJ1535" s="22">
        <f>Constants!$H67*'Activity data'!BC9*Constants!$H85*EF!$H210*MMVolatEF*NtoN2O*kgtoGg</f>
        <v>-3.0260121778721673E-3</v>
      </c>
      <c r="AK1535" s="22">
        <f>Constants!$H67*'Activity data'!BD9*Constants!$H85*EF!$H210*MMVolatEF*NtoN2O*kgtoGg</f>
        <v>-2.9547117917782697E-3</v>
      </c>
      <c r="AL1535" s="22">
        <f>Constants!$H67*'Activity data'!BE9*Constants!$H85*EF!$H210*MMVolatEF*NtoN2O*kgtoGg</f>
        <v>-2.8844632142294947E-3</v>
      </c>
      <c r="AM1535" s="22">
        <f>Constants!$H67*'Activity data'!BF9*Constants!$H85*EF!$H210*MMVolatEF*NtoN2O*kgtoGg</f>
        <v>-2.8152132408821133E-3</v>
      </c>
      <c r="AN1535" s="22">
        <f>Constants!$H67*'Activity data'!BG9*Constants!$H85*EF!$H210*MMVolatEF*NtoN2O*kgtoGg</f>
        <v>-2.7590671775430979E-3</v>
      </c>
      <c r="AO1535" s="22">
        <f>Constants!$H67*'Activity data'!BH9*Constants!$H85*EF!$H210*MMVolatEF*NtoN2O*kgtoGg</f>
        <v>-2.7037691326770971E-3</v>
      </c>
      <c r="AP1535" s="22">
        <f>Constants!$H67*'Activity data'!BI9*Constants!$H85*EF!$H210*MMVolatEF*NtoN2O*kgtoGg</f>
        <v>-2.6492806782909082E-3</v>
      </c>
      <c r="AQ1535" s="22">
        <f>Constants!$H67*'Activity data'!BJ9*Constants!$H85*EF!$H210*MMVolatEF*NtoN2O*kgtoGg</f>
        <v>-2.5955657764140799E-3</v>
      </c>
      <c r="AR1535" s="22">
        <f>Constants!$H67*'Activity data'!BK9*Constants!$H85*EF!$H210*MMVolatEF*NtoN2O*kgtoGg</f>
        <v>-2.5425905809265438E-3</v>
      </c>
      <c r="AS1535" s="22">
        <f>Constants!$H67*'Activity data'!BL9*Constants!$H85*EF!$H210*MMVolatEF*NtoN2O*kgtoGg</f>
        <v>-2.4886307532231877E-3</v>
      </c>
      <c r="AT1535" s="22">
        <f>Constants!$H67*'Activity data'!BM9*Constants!$H85*EF!$H210*MMVolatEF*NtoN2O*kgtoGg</f>
        <v>-2.4354129419656258E-3</v>
      </c>
      <c r="AU1535" s="22">
        <f>Constants!$H67*'Activity data'!BN9*Constants!$H85*EF!$H210*MMVolatEF*NtoN2O*kgtoGg</f>
        <v>-2.3829079573799484E-3</v>
      </c>
      <c r="AV1535" s="22">
        <f>Constants!$H67*'Activity data'!BO9*Constants!$H85*EF!$H210*MMVolatEF*NtoN2O*kgtoGg</f>
        <v>-2.3310882496665208E-3</v>
      </c>
      <c r="AW1535" s="22">
        <f>Constants!$H67*'Activity data'!BP9*Constants!$H85*EF!$H210*MMVolatEF*NtoN2O*kgtoGg</f>
        <v>-2.279927786449339E-3</v>
      </c>
    </row>
    <row r="1536" spans="1:49" x14ac:dyDescent="0.25">
      <c r="A1536" s="102" t="s">
        <v>961</v>
      </c>
      <c r="B1536" s="102"/>
      <c r="C1536" s="102"/>
      <c r="D1536" t="str">
        <f t="shared" si="575"/>
        <v>3C Aggregated and non-CO2 emissions on land</v>
      </c>
      <c r="E1536" t="str">
        <f t="shared" si="575"/>
        <v>3C6 Indirect N2O from manure management (N2O)</v>
      </c>
      <c r="F1536" t="str">
        <f t="shared" si="575"/>
        <v>Volatilisation</v>
      </c>
      <c r="G1536" t="str">
        <f>'Activity data'!D71</f>
        <v xml:space="preserve"> - Feedlot</v>
      </c>
      <c r="H1536" t="str">
        <f t="shared" si="576"/>
        <v>Volatilisation - Feedlot</v>
      </c>
      <c r="I1536" t="str">
        <f t="shared" si="571"/>
        <v>N2O</v>
      </c>
      <c r="J1536" t="str">
        <f t="shared" si="570"/>
        <v>Gg N2O</v>
      </c>
      <c r="K1536" s="22">
        <f>Constants!$H68*'Activity data'!AD10*Constants!$H86*EF!$H211*MMVolatEF*NtoN2O*kgtoGg</f>
        <v>0.15922781806557695</v>
      </c>
      <c r="L1536" s="22">
        <f>Constants!$H68*'Activity data'!AE10*Constants!$H86*EF!$H211*MMVolatEF*NtoN2O*kgtoGg</f>
        <v>0.16489874459702494</v>
      </c>
      <c r="M1536" s="22">
        <f>Constants!$H68*'Activity data'!AF10*Constants!$H86*EF!$H211*MMVolatEF*NtoN2O*kgtoGg</f>
        <v>0.16939991585045727</v>
      </c>
      <c r="N1536" s="22">
        <f>Constants!$H68*'Activity data'!AG10*Constants!$H86*EF!$H211*MMVolatEF*NtoN2O*kgtoGg</f>
        <v>0.17218348693308003</v>
      </c>
      <c r="O1536" s="22">
        <f>Constants!$H68*'Activity data'!AH10*Constants!$H86*EF!$H211*MMVolatEF*NtoN2O*kgtoGg</f>
        <v>0.17497286890553645</v>
      </c>
      <c r="P1536" s="22">
        <f>Constants!$H68*'Activity data'!AI10*Constants!$H86*EF!$H211*MMVolatEF*NtoN2O*kgtoGg</f>
        <v>0.17867712216797899</v>
      </c>
      <c r="Q1536" s="22">
        <f>Constants!$H68*'Activity data'!AJ10*Constants!$H86*EF!$H211*MMVolatEF*NtoN2O*kgtoGg</f>
        <v>0.18269010203222399</v>
      </c>
      <c r="R1536" s="22">
        <f>Constants!$H68*'Activity data'!AK10*Constants!$H86*EF!$H211*MMVolatEF*NtoN2O*kgtoGg</f>
        <v>0.18477850416218133</v>
      </c>
      <c r="S1536" s="22">
        <f>Constants!$H68*'Activity data'!AL10*Constants!$H86*EF!$H211*MMVolatEF*NtoN2O*kgtoGg</f>
        <v>0.16857906885266413</v>
      </c>
      <c r="T1536" s="22">
        <f>Constants!$H68*'Activity data'!AM10*Constants!$H86*EF!$H211*MMVolatEF*NtoN2O*kgtoGg</f>
        <v>0.17425287964090236</v>
      </c>
      <c r="U1536" s="22">
        <f>Constants!$H68*'Activity data'!AN10*Constants!$H86*EF!$H211*MMVolatEF*NtoN2O*kgtoGg</f>
        <v>0.17949945582313931</v>
      </c>
      <c r="V1536" s="22">
        <f>Constants!$H68*'Activity data'!AO10*Constants!$H86*EF!$H211*MMVolatEF*NtoN2O*kgtoGg</f>
        <v>0.18480458029183697</v>
      </c>
      <c r="W1536" s="22">
        <f>Constants!$H68*'Activity data'!AP10*Constants!$H86*EF!$H211*MMVolatEF*NtoN2O*kgtoGg</f>
        <v>0.19096302657670283</v>
      </c>
      <c r="X1536" s="22">
        <f>Constants!$H68*'Activity data'!AQ10*Constants!$H86*EF!$H211*MMVolatEF*NtoN2O*kgtoGg</f>
        <v>0.19719436509402946</v>
      </c>
      <c r="Y1536" s="22">
        <f>Constants!$H68*'Activity data'!AR10*Constants!$H86*EF!$H211*MMVolatEF*NtoN2O*kgtoGg</f>
        <v>0.20366092227158905</v>
      </c>
      <c r="Z1536" s="22">
        <f>Constants!$H68*'Activity data'!AS10*Constants!$H86*EF!$H211*MMVolatEF*NtoN2O*kgtoGg</f>
        <v>0.21000736593010838</v>
      </c>
      <c r="AA1536" s="22">
        <f>Constants!$H68*'Activity data'!AT10*Constants!$H86*EF!$H211*MMVolatEF*NtoN2O*kgtoGg</f>
        <v>0.21674936909166895</v>
      </c>
      <c r="AB1536" s="22">
        <f>Constants!$H68*'Activity data'!AU10*Constants!$H86*EF!$H211*MMVolatEF*NtoN2O*kgtoGg</f>
        <v>0.22318188532765407</v>
      </c>
      <c r="AC1536" s="22">
        <f>Constants!$H68*'Activity data'!AV10*Constants!$H86*EF!$H211*MMVolatEF*NtoN2O*kgtoGg</f>
        <v>0.22980286680499964</v>
      </c>
      <c r="AD1536" s="22">
        <f>Constants!$H68*'Activity data'!AW10*Constants!$H86*EF!$H211*MMVolatEF*NtoN2O*kgtoGg</f>
        <v>0.2382309822629842</v>
      </c>
      <c r="AE1536" s="22">
        <f>Constants!$H68*'Activity data'!AX10*Constants!$H86*EF!$H211*MMVolatEF*NtoN2O*kgtoGg</f>
        <v>0.24730559399060587</v>
      </c>
      <c r="AF1536" s="22">
        <f>Constants!$H68*'Activity data'!AY10*Constants!$H86*EF!$H211*MMVolatEF*NtoN2O*kgtoGg</f>
        <v>0.25673647400031802</v>
      </c>
      <c r="AG1536" s="22">
        <f>Constants!$H68*'Activity data'!AZ10*Constants!$H86*EF!$H211*MMVolatEF*NtoN2O*kgtoGg</f>
        <v>0.25964613908565431</v>
      </c>
      <c r="AH1536" s="22">
        <f>Constants!$H68*'Activity data'!BA10*Constants!$H86*EF!$H211*MMVolatEF*NtoN2O*kgtoGg</f>
        <v>-6.3291007360128299E-2</v>
      </c>
      <c r="AI1536" s="22">
        <f>Constants!$H68*'Activity data'!BB10*Constants!$H86*EF!$H211*MMVolatEF*NtoN2O*kgtoGg</f>
        <v>-6.3895366189305636E-2</v>
      </c>
      <c r="AJ1536" s="22">
        <f>Constants!$H68*'Activity data'!BC10*Constants!$H86*EF!$H211*MMVolatEF*NtoN2O*kgtoGg</f>
        <v>-6.4504638848078458E-2</v>
      </c>
      <c r="AK1536" s="22">
        <f>Constants!$H68*'Activity data'!BD10*Constants!$H86*EF!$H211*MMVolatEF*NtoN2O*kgtoGg</f>
        <v>-6.5118871838809281E-2</v>
      </c>
      <c r="AL1536" s="22">
        <f>Constants!$H68*'Activity data'!BE10*Constants!$H86*EF!$H211*MMVolatEF*NtoN2O*kgtoGg</f>
        <v>-6.5738112081384775E-2</v>
      </c>
      <c r="AM1536" s="22">
        <f>Constants!$H68*'Activity data'!BF10*Constants!$H86*EF!$H211*MMVolatEF*NtoN2O*kgtoGg</f>
        <v>-6.6362406916836855E-2</v>
      </c>
      <c r="AN1536" s="22">
        <f>Constants!$H68*'Activity data'!BG10*Constants!$H86*EF!$H211*MMVolatEF*NtoN2O*kgtoGg</f>
        <v>-6.6863409386316588E-2</v>
      </c>
      <c r="AO1536" s="22">
        <f>Constants!$H68*'Activity data'!BH10*Constants!$H86*EF!$H211*MMVolatEF*NtoN2O*kgtoGg</f>
        <v>-6.7367867762467962E-2</v>
      </c>
      <c r="AP1536" s="22">
        <f>Constants!$H68*'Activity data'!BI10*Constants!$H86*EF!$H211*MMVolatEF*NtoN2O*kgtoGg</f>
        <v>-6.7875809396751335E-2</v>
      </c>
      <c r="AQ1536" s="22">
        <f>Constants!$H68*'Activity data'!BJ10*Constants!$H86*EF!$H211*MMVolatEF*NtoN2O*kgtoGg</f>
        <v>-6.8387261847069211E-2</v>
      </c>
      <c r="AR1536" s="22">
        <f>Constants!$H68*'Activity data'!BK10*Constants!$H86*EF!$H211*MMVolatEF*NtoN2O*kgtoGg</f>
        <v>-6.8902252879275511E-2</v>
      </c>
      <c r="AS1536" s="22">
        <f>Constants!$H68*'Activity data'!BL10*Constants!$H86*EF!$H211*MMVolatEF*NtoN2O*kgtoGg</f>
        <v>-6.9373629780267981E-2</v>
      </c>
      <c r="AT1536" s="22">
        <f>Constants!$H68*'Activity data'!BM10*Constants!$H86*EF!$H211*MMVolatEF*NtoN2O*kgtoGg</f>
        <v>-6.9847719512371606E-2</v>
      </c>
      <c r="AU1536" s="22">
        <f>Constants!$H68*'Activity data'!BN10*Constants!$H86*EF!$H211*MMVolatEF*NtoN2O*kgtoGg</f>
        <v>-7.0324540021641888E-2</v>
      </c>
      <c r="AV1536" s="22">
        <f>Constants!$H68*'Activity data'!BO10*Constants!$H86*EF!$H211*MMVolatEF*NtoN2O*kgtoGg</f>
        <v>-7.0804109366663218E-2</v>
      </c>
      <c r="AW1536" s="22">
        <f>Constants!$H68*'Activity data'!BP10*Constants!$H86*EF!$H211*MMVolatEF*NtoN2O*kgtoGg</f>
        <v>-7.1286445719229846E-2</v>
      </c>
    </row>
    <row r="1537" spans="1:49" x14ac:dyDescent="0.25">
      <c r="A1537" s="102" t="s">
        <v>961</v>
      </c>
      <c r="B1537" s="102"/>
      <c r="C1537" s="102"/>
      <c r="D1537" t="str">
        <f t="shared" ref="D1537:F1552" si="577">D1536</f>
        <v>3C Aggregated and non-CO2 emissions on land</v>
      </c>
      <c r="E1537" t="str">
        <f t="shared" si="577"/>
        <v>3C6 Indirect N2O from manure management (N2O)</v>
      </c>
      <c r="F1537" t="str">
        <f t="shared" si="577"/>
        <v>Volatilisation</v>
      </c>
      <c r="G1537" t="str">
        <f>'Activity data'!D72</f>
        <v xml:space="preserve"> - Commercial sheep</v>
      </c>
      <c r="H1537" t="str">
        <f t="shared" si="576"/>
        <v>Volatilisation - Commercial sheep</v>
      </c>
      <c r="I1537" t="str">
        <f t="shared" si="571"/>
        <v>N2O</v>
      </c>
      <c r="J1537" t="str">
        <f t="shared" si="570"/>
        <v>Gg N2O</v>
      </c>
      <c r="K1537" s="22">
        <f>Constants!$H69*'Activity data'!AD11*Constants!$H87*EF!$H212*MMVolatEF*NtoN2O*kgtoGg</f>
        <v>1.171858684484313E-4</v>
      </c>
      <c r="L1537" s="22">
        <f>Constants!$H69*'Activity data'!AE11*Constants!$H87*EF!$H212*MMVolatEF*NtoN2O*kgtoGg</f>
        <v>1.1724986264912743E-4</v>
      </c>
      <c r="M1537" s="22">
        <f>Constants!$H69*'Activity data'!AF11*Constants!$H87*EF!$H212*MMVolatEF*NtoN2O*kgtoGg</f>
        <v>1.1739315795736154E-4</v>
      </c>
      <c r="N1537" s="22">
        <f>Constants!$H69*'Activity data'!AG11*Constants!$H87*EF!$H212*MMVolatEF*NtoN2O*kgtoGg</f>
        <v>1.1760884747933323E-4</v>
      </c>
      <c r="O1537" s="22">
        <f>Constants!$H69*'Activity data'!AH11*Constants!$H87*EF!$H212*MMVolatEF*NtoN2O*kgtoGg</f>
        <v>1.1789981697079396E-4</v>
      </c>
      <c r="P1537" s="22">
        <f>Constants!$H69*'Activity data'!AI11*Constants!$H87*EF!$H212*MMVolatEF*NtoN2O*kgtoGg</f>
        <v>1.1826637517857024E-4</v>
      </c>
      <c r="Q1537" s="22">
        <f>Constants!$H69*'Activity data'!AJ11*Constants!$H87*EF!$H212*MMVolatEF*NtoN2O*kgtoGg</f>
        <v>1.1867470616236446E-4</v>
      </c>
      <c r="R1537" s="22">
        <f>Constants!$H69*'Activity data'!AK11*Constants!$H87*EF!$H212*MMVolatEF*NtoN2O*kgtoGg</f>
        <v>1.1911724401941935E-4</v>
      </c>
      <c r="S1537" s="22">
        <f>Constants!$H69*'Activity data'!AL11*Constants!$H87*EF!$H212*MMVolatEF*NtoN2O*kgtoGg</f>
        <v>1.1953310214883348E-4</v>
      </c>
      <c r="T1537" s="22">
        <f>Constants!$H69*'Activity data'!AM11*Constants!$H87*EF!$H212*MMVolatEF*NtoN2O*kgtoGg</f>
        <v>1.197068141423074E-4</v>
      </c>
      <c r="U1537" s="22">
        <f>Constants!$H69*'Activity data'!AN11*Constants!$H87*EF!$H212*MMVolatEF*NtoN2O*kgtoGg</f>
        <v>1.199083856789491E-4</v>
      </c>
      <c r="V1537" s="22">
        <f>Constants!$H69*'Activity data'!AO11*Constants!$H87*EF!$H212*MMVolatEF*NtoN2O*kgtoGg</f>
        <v>1.201377754278402E-4</v>
      </c>
      <c r="W1537" s="22">
        <f>Constants!$H69*'Activity data'!AP11*Constants!$H87*EF!$H212*MMVolatEF*NtoN2O*kgtoGg</f>
        <v>1.2039617188423161E-4</v>
      </c>
      <c r="X1537" s="22">
        <f>Constants!$H69*'Activity data'!AQ11*Constants!$H87*EF!$H212*MMVolatEF*NtoN2O*kgtoGg</f>
        <v>1.2067943256873451E-4</v>
      </c>
      <c r="Y1537" s="22">
        <f>Constants!$H69*'Activity data'!AR11*Constants!$H87*EF!$H212*MMVolatEF*NtoN2O*kgtoGg</f>
        <v>1.2085380112251055E-4</v>
      </c>
      <c r="Z1537" s="22">
        <f>Constants!$H69*'Activity data'!AS11*Constants!$H87*EF!$H212*MMVolatEF*NtoN2O*kgtoGg</f>
        <v>1.2104857439732012E-4</v>
      </c>
      <c r="AA1537" s="22">
        <f>Constants!$H69*'Activity data'!AT11*Constants!$H87*EF!$H212*MMVolatEF*NtoN2O*kgtoGg</f>
        <v>1.2126445921474039E-4</v>
      </c>
      <c r="AB1537" s="22">
        <f>Constants!$H69*'Activity data'!AU11*Constants!$H87*EF!$H212*MMVolatEF*NtoN2O*kgtoGg</f>
        <v>1.2149813863258011E-4</v>
      </c>
      <c r="AC1537" s="22">
        <f>Constants!$H69*'Activity data'!AV11*Constants!$H87*EF!$H212*MMVolatEF*NtoN2O*kgtoGg</f>
        <v>1.2175044819305052E-4</v>
      </c>
      <c r="AD1537" s="22">
        <f>Constants!$H69*'Activity data'!AW11*Constants!$H87*EF!$H212*MMVolatEF*NtoN2O*kgtoGg</f>
        <v>1.2191654827812353E-4</v>
      </c>
      <c r="AE1537" s="22">
        <f>Constants!$H69*'Activity data'!AX11*Constants!$H87*EF!$H212*MMVolatEF*NtoN2O*kgtoGg</f>
        <v>1.2210011953046386E-4</v>
      </c>
      <c r="AF1537" s="22">
        <f>Constants!$H69*'Activity data'!AY11*Constants!$H87*EF!$H212*MMVolatEF*NtoN2O*kgtoGg</f>
        <v>1.2229951100214118E-4</v>
      </c>
      <c r="AG1537" s="22">
        <f>Constants!$H69*'Activity data'!AZ11*Constants!$H87*EF!$H212*MMVolatEF*NtoN2O*kgtoGg</f>
        <v>1.2249214859428272E-4</v>
      </c>
      <c r="AH1537" s="22">
        <f>Constants!$H69*'Activity data'!BA11*Constants!$H87*EF!$H212*MMVolatEF*NtoN2O*kgtoGg</f>
        <v>1.2166856520731395E-4</v>
      </c>
      <c r="AI1537" s="22">
        <f>Constants!$H69*'Activity data'!BB11*Constants!$H87*EF!$H212*MMVolatEF*NtoN2O*kgtoGg</f>
        <v>1.2178552707040833E-4</v>
      </c>
      <c r="AJ1537" s="22">
        <f>Constants!$H69*'Activity data'!BC11*Constants!$H87*EF!$H212*MMVolatEF*NtoN2O*kgtoGg</f>
        <v>1.2191459506568997E-4</v>
      </c>
      <c r="AK1537" s="22">
        <f>Constants!$H69*'Activity data'!BD11*Constants!$H87*EF!$H212*MMVolatEF*NtoN2O*kgtoGg</f>
        <v>1.220553118336419E-4</v>
      </c>
      <c r="AL1537" s="22">
        <f>Constants!$H69*'Activity data'!BE11*Constants!$H87*EF!$H212*MMVolatEF*NtoN2O*kgtoGg</f>
        <v>1.2220725536579073E-4</v>
      </c>
      <c r="AM1537" s="22">
        <f>Constants!$H69*'Activity data'!BF11*Constants!$H87*EF!$H212*MMVolatEF*NtoN2O*kgtoGg</f>
        <v>1.2237003565016038E-4</v>
      </c>
      <c r="AN1537" s="22">
        <f>Constants!$H69*'Activity data'!BG11*Constants!$H87*EF!$H212*MMVolatEF*NtoN2O*kgtoGg</f>
        <v>1.2244903306979284E-4</v>
      </c>
      <c r="AO1537" s="22">
        <f>Constants!$H69*'Activity data'!BH11*Constants!$H87*EF!$H212*MMVolatEF*NtoN2O*kgtoGg</f>
        <v>1.2253757835817969E-4</v>
      </c>
      <c r="AP1537" s="22">
        <f>Constants!$H69*'Activity data'!BI11*Constants!$H87*EF!$H212*MMVolatEF*NtoN2O*kgtoGg</f>
        <v>1.226353392269764E-4</v>
      </c>
      <c r="AQ1537" s="22">
        <f>Constants!$H69*'Activity data'!BJ11*Constants!$H87*EF!$H212*MMVolatEF*NtoN2O*kgtoGg</f>
        <v>1.2274200613087834E-4</v>
      </c>
      <c r="AR1537" s="22">
        <f>Constants!$H69*'Activity data'!BK11*Constants!$H87*EF!$H212*MMVolatEF*NtoN2O*kgtoGg</f>
        <v>1.228572903354883E-4</v>
      </c>
      <c r="AS1537" s="22">
        <f>Constants!$H69*'Activity data'!BL11*Constants!$H87*EF!$H212*MMVolatEF*NtoN2O*kgtoGg</f>
        <v>1.2288572954642337E-4</v>
      </c>
      <c r="AT1537" s="22">
        <f>Constants!$H69*'Activity data'!BM11*Constants!$H87*EF!$H212*MMVolatEF*NtoN2O*kgtoGg</f>
        <v>1.2292181660779718E-4</v>
      </c>
      <c r="AU1537" s="22">
        <f>Constants!$H69*'Activity data'!BN11*Constants!$H87*EF!$H212*MMVolatEF*NtoN2O*kgtoGg</f>
        <v>1.2296529822294655E-4</v>
      </c>
      <c r="AV1537" s="22">
        <f>Constants!$H69*'Activity data'!BO11*Constants!$H87*EF!$H212*MMVolatEF*NtoN2O*kgtoGg</f>
        <v>1.2301593656260403E-4</v>
      </c>
      <c r="AW1537" s="22">
        <f>Constants!$H69*'Activity data'!BP11*Constants!$H87*EF!$H212*MMVolatEF*NtoN2O*kgtoGg</f>
        <v>1.2307350807543003E-4</v>
      </c>
    </row>
    <row r="1538" spans="1:49" x14ac:dyDescent="0.25">
      <c r="A1538" s="102" t="s">
        <v>961</v>
      </c>
      <c r="B1538" s="102"/>
      <c r="C1538" s="102"/>
      <c r="D1538" t="str">
        <f t="shared" si="577"/>
        <v>3C Aggregated and non-CO2 emissions on land</v>
      </c>
      <c r="E1538" t="str">
        <f t="shared" si="577"/>
        <v>3C6 Indirect N2O from manure management (N2O)</v>
      </c>
      <c r="F1538" t="str">
        <f t="shared" si="577"/>
        <v>Volatilisation</v>
      </c>
      <c r="G1538" t="str">
        <f>'Activity data'!D73</f>
        <v xml:space="preserve"> - Subsistence sheep</v>
      </c>
      <c r="H1538" t="str">
        <f t="shared" si="576"/>
        <v>Volatilisation - Subsistence sheep</v>
      </c>
      <c r="I1538" t="str">
        <f t="shared" si="571"/>
        <v>N2O</v>
      </c>
      <c r="J1538" t="str">
        <f t="shared" si="570"/>
        <v>Gg N2O</v>
      </c>
      <c r="K1538" s="22">
        <f>Constants!$H70*'Activity data'!AD12*Constants!$H88*EF!$H213*MMVolatEF*NtoN2O*kgtoGg</f>
        <v>8.0418980238344318E-4</v>
      </c>
      <c r="L1538" s="22">
        <f>Constants!$H70*'Activity data'!AE12*Constants!$H88*EF!$H213*MMVolatEF*NtoN2O*kgtoGg</f>
        <v>8.0462896355784847E-4</v>
      </c>
      <c r="M1538" s="22">
        <f>Constants!$H70*'Activity data'!AF12*Constants!$H88*EF!$H213*MMVolatEF*NtoN2O*kgtoGg</f>
        <v>8.0561232978738613E-4</v>
      </c>
      <c r="N1538" s="22">
        <f>Constants!$H70*'Activity data'!AG12*Constants!$H88*EF!$H213*MMVolatEF*NtoN2O*kgtoGg</f>
        <v>8.0709250240842989E-4</v>
      </c>
      <c r="O1538" s="22">
        <f>Constants!$H70*'Activity data'!AH12*Constants!$H88*EF!$H213*MMVolatEF*NtoN2O*kgtoGg</f>
        <v>8.090892849636611E-4</v>
      </c>
      <c r="P1538" s="22">
        <f>Constants!$H70*'Activity data'!AI12*Constants!$H88*EF!$H213*MMVolatEF*NtoN2O*kgtoGg</f>
        <v>8.1160479623286605E-4</v>
      </c>
      <c r="Q1538" s="22">
        <f>Constants!$H70*'Activity data'!AJ12*Constants!$H88*EF!$H213*MMVolatEF*NtoN2O*kgtoGg</f>
        <v>8.1440697381205979E-4</v>
      </c>
      <c r="R1538" s="22">
        <f>Constants!$H70*'Activity data'!AK12*Constants!$H88*EF!$H213*MMVolatEF*NtoN2O*kgtoGg</f>
        <v>8.1744389657863702E-4</v>
      </c>
      <c r="S1538" s="22">
        <f>Constants!$H70*'Activity data'!AL12*Constants!$H88*EF!$H213*MMVolatEF*NtoN2O*kgtoGg</f>
        <v>8.2029772930899112E-4</v>
      </c>
      <c r="T1538" s="22">
        <f>Constants!$H70*'Activity data'!AM12*Constants!$H88*EF!$H213*MMVolatEF*NtoN2O*kgtoGg</f>
        <v>8.214898305030433E-4</v>
      </c>
      <c r="U1538" s="22">
        <f>Constants!$H70*'Activity data'!AN12*Constants!$H88*EF!$H213*MMVolatEF*NtoN2O*kgtoGg</f>
        <v>8.2287311823529526E-4</v>
      </c>
      <c r="V1538" s="22">
        <f>Constants!$H70*'Activity data'!AO12*Constants!$H88*EF!$H213*MMVolatEF*NtoN2O*kgtoGg</f>
        <v>8.2444730887169186E-4</v>
      </c>
      <c r="W1538" s="22">
        <f>Constants!$H70*'Activity data'!AP12*Constants!$H88*EF!$H213*MMVolatEF*NtoN2O*kgtoGg</f>
        <v>8.2622055847894659E-4</v>
      </c>
      <c r="X1538" s="22">
        <f>Constants!$H70*'Activity data'!AQ12*Constants!$H88*EF!$H213*MMVolatEF*NtoN2O*kgtoGg</f>
        <v>8.2816443922932592E-4</v>
      </c>
      <c r="Y1538" s="22">
        <f>Constants!$H70*'Activity data'!AR12*Constants!$H88*EF!$H213*MMVolatEF*NtoN2O*kgtoGg</f>
        <v>8.2936104607842529E-4</v>
      </c>
      <c r="Z1538" s="22">
        <f>Constants!$H70*'Activity data'!AS12*Constants!$H88*EF!$H213*MMVolatEF*NtoN2O*kgtoGg</f>
        <v>8.3069768063558287E-4</v>
      </c>
      <c r="AA1538" s="22">
        <f>Constants!$H70*'Activity data'!AT12*Constants!$H88*EF!$H213*MMVolatEF*NtoN2O*kgtoGg</f>
        <v>8.3217919347460879E-4</v>
      </c>
      <c r="AB1538" s="22">
        <f>Constants!$H70*'Activity data'!AU12*Constants!$H88*EF!$H213*MMVolatEF*NtoN2O*kgtoGg</f>
        <v>8.337828220293293E-4</v>
      </c>
      <c r="AC1538" s="22">
        <f>Constants!$H70*'Activity data'!AV12*Constants!$H88*EF!$H213*MMVolatEF*NtoN2O*kgtoGg</f>
        <v>8.3551430022086096E-4</v>
      </c>
      <c r="AD1538" s="22">
        <f>Constants!$H70*'Activity data'!AW12*Constants!$H88*EF!$H213*MMVolatEF*NtoN2O*kgtoGg</f>
        <v>8.3665416457788034E-4</v>
      </c>
      <c r="AE1538" s="22">
        <f>Constants!$H70*'Activity data'!AX12*Constants!$H88*EF!$H213*MMVolatEF*NtoN2O*kgtoGg</f>
        <v>8.3791392508567411E-4</v>
      </c>
      <c r="AF1538" s="22">
        <f>Constants!$H70*'Activity data'!AY12*Constants!$H88*EF!$H213*MMVolatEF*NtoN2O*kgtoGg</f>
        <v>8.3928225208899118E-4</v>
      </c>
      <c r="AG1538" s="22">
        <f>Constants!$H70*'Activity data'!AZ12*Constants!$H88*EF!$H213*MMVolatEF*NtoN2O*kgtoGg</f>
        <v>8.4060423049139648E-4</v>
      </c>
      <c r="AH1538" s="22">
        <f>Constants!$H70*'Activity data'!BA12*Constants!$H88*EF!$H213*MMVolatEF*NtoN2O*kgtoGg</f>
        <v>8.349523769873693E-4</v>
      </c>
      <c r="AI1538" s="22">
        <f>Constants!$H70*'Activity data'!BB12*Constants!$H88*EF!$H213*MMVolatEF*NtoN2O*kgtoGg</f>
        <v>8.3575502954960786E-4</v>
      </c>
      <c r="AJ1538" s="22">
        <f>Constants!$H70*'Activity data'!BC12*Constants!$H88*EF!$H213*MMVolatEF*NtoN2O*kgtoGg</f>
        <v>8.3664076062788407E-4</v>
      </c>
      <c r="AK1538" s="22">
        <f>Constants!$H70*'Activity data'!BD12*Constants!$H88*EF!$H213*MMVolatEF*NtoN2O*kgtoGg</f>
        <v>8.3760643158556521E-4</v>
      </c>
      <c r="AL1538" s="22">
        <f>Constants!$H70*'Activity data'!BE12*Constants!$H88*EF!$H213*MMVolatEF*NtoN2O*kgtoGg</f>
        <v>8.3864914638309197E-4</v>
      </c>
      <c r="AM1538" s="22">
        <f>Constants!$H70*'Activity data'!BF12*Constants!$H88*EF!$H213*MMVolatEF*NtoN2O*kgtoGg</f>
        <v>8.3976622855735407E-4</v>
      </c>
      <c r="AN1538" s="22">
        <f>Constants!$H70*'Activity data'!BG12*Constants!$H88*EF!$H213*MMVolatEF*NtoN2O*kgtoGg</f>
        <v>8.4030834954962157E-4</v>
      </c>
      <c r="AO1538" s="22">
        <f>Constants!$H70*'Activity data'!BH12*Constants!$H88*EF!$H213*MMVolatEF*NtoN2O*kgtoGg</f>
        <v>8.40915992936257E-4</v>
      </c>
      <c r="AP1538" s="22">
        <f>Constants!$H70*'Activity data'!BI12*Constants!$H88*EF!$H213*MMVolatEF*NtoN2O*kgtoGg</f>
        <v>8.4158687838344786E-4</v>
      </c>
      <c r="AQ1538" s="22">
        <f>Constants!$H70*'Activity data'!BJ12*Constants!$H88*EF!$H213*MMVolatEF*NtoN2O*kgtoGg</f>
        <v>8.4231888163183893E-4</v>
      </c>
      <c r="AR1538" s="22">
        <f>Constants!$H70*'Activity data'!BK12*Constants!$H88*EF!$H213*MMVolatEF*NtoN2O*kgtoGg</f>
        <v>8.4311002123724286E-4</v>
      </c>
      <c r="AS1538" s="22">
        <f>Constants!$H70*'Activity data'!BL12*Constants!$H88*EF!$H213*MMVolatEF*NtoN2O*kgtoGg</f>
        <v>8.4330518575430119E-4</v>
      </c>
      <c r="AT1538" s="22">
        <f>Constants!$H70*'Activity data'!BM12*Constants!$H88*EF!$H213*MMVolatEF*NtoN2O*kgtoGg</f>
        <v>8.4355283376117286E-4</v>
      </c>
      <c r="AU1538" s="22">
        <f>Constants!$H70*'Activity data'!BN12*Constants!$H88*EF!$H213*MMVolatEF*NtoN2O*kgtoGg</f>
        <v>8.4385122700565967E-4</v>
      </c>
      <c r="AV1538" s="22">
        <f>Constants!$H70*'Activity data'!BO12*Constants!$H88*EF!$H213*MMVolatEF*NtoN2O*kgtoGg</f>
        <v>8.4419873338079966E-4</v>
      </c>
      <c r="AW1538" s="22">
        <f>Constants!$H70*'Activity data'!BP12*Constants!$H88*EF!$H213*MMVolatEF*NtoN2O*kgtoGg</f>
        <v>8.4459381876212985E-4</v>
      </c>
    </row>
    <row r="1539" spans="1:49" x14ac:dyDescent="0.25">
      <c r="A1539" s="102" t="s">
        <v>961</v>
      </c>
      <c r="B1539" s="102"/>
      <c r="C1539" s="102"/>
      <c r="D1539" t="str">
        <f t="shared" si="577"/>
        <v>3C Aggregated and non-CO2 emissions on land</v>
      </c>
      <c r="E1539" t="str">
        <f t="shared" si="577"/>
        <v>3C6 Indirect N2O from manure management (N2O)</v>
      </c>
      <c r="F1539" t="str">
        <f t="shared" si="577"/>
        <v>Volatilisation</v>
      </c>
      <c r="G1539" t="str">
        <f>'Activity data'!D74</f>
        <v xml:space="preserve"> - Commercial goats</v>
      </c>
      <c r="H1539" t="str">
        <f t="shared" si="576"/>
        <v>Volatilisation - Commercial goats</v>
      </c>
      <c r="I1539" t="str">
        <f t="shared" si="571"/>
        <v>N2O</v>
      </c>
      <c r="J1539" t="str">
        <f t="shared" si="570"/>
        <v>Gg N2O</v>
      </c>
      <c r="K1539" s="22">
        <f>Constants!$H71*'Activity data'!AD13*Constants!$H89*EF!$H214*MMVolatEF*NtoN2O*kgtoGg</f>
        <v>1.448564899297015E-5</v>
      </c>
      <c r="L1539" s="22">
        <f>Constants!$H71*'Activity data'!AE13*Constants!$H89*EF!$H214*MMVolatEF*NtoN2O*kgtoGg</f>
        <v>1.4523430996818443E-5</v>
      </c>
      <c r="M1539" s="22">
        <f>Constants!$H71*'Activity data'!AF13*Constants!$H89*EF!$H214*MMVolatEF*NtoN2O*kgtoGg</f>
        <v>1.4573778863725232E-5</v>
      </c>
      <c r="N1539" s="22">
        <f>Constants!$H71*'Activity data'!AG13*Constants!$H89*EF!$H214*MMVolatEF*NtoN2O*kgtoGg</f>
        <v>1.4635573261684436E-5</v>
      </c>
      <c r="O1539" s="22">
        <f>Constants!$H71*'Activity data'!AH13*Constants!$H89*EF!$H214*MMVolatEF*NtoN2O*kgtoGg</f>
        <v>1.4709556756482727E-5</v>
      </c>
      <c r="P1539" s="22">
        <f>Constants!$H71*'Activity data'!AI13*Constants!$H89*EF!$H214*MMVolatEF*NtoN2O*kgtoGg</f>
        <v>1.4795926227225603E-5</v>
      </c>
      <c r="Q1539" s="22">
        <f>Constants!$H71*'Activity data'!AJ13*Constants!$H89*EF!$H214*MMVolatEF*NtoN2O*kgtoGg</f>
        <v>1.4888271114151717E-5</v>
      </c>
      <c r="R1539" s="22">
        <f>Constants!$H71*'Activity data'!AK13*Constants!$H89*EF!$H214*MMVolatEF*NtoN2O*kgtoGg</f>
        <v>1.4985270961083386E-5</v>
      </c>
      <c r="S1539" s="22">
        <f>Constants!$H71*'Activity data'!AL13*Constants!$H89*EF!$H214*MMVolatEF*NtoN2O*kgtoGg</f>
        <v>1.5075379558400601E-5</v>
      </c>
      <c r="T1539" s="22">
        <f>Constants!$H71*'Activity data'!AM13*Constants!$H89*EF!$H214*MMVolatEF*NtoN2O*kgtoGg</f>
        <v>1.5117607192403529E-5</v>
      </c>
      <c r="U1539" s="22">
        <f>Constants!$H71*'Activity data'!AN13*Constants!$H89*EF!$H214*MMVolatEF*NtoN2O*kgtoGg</f>
        <v>1.5163912133825485E-5</v>
      </c>
      <c r="V1539" s="22">
        <f>Constants!$H71*'Activity data'!AO13*Constants!$H89*EF!$H214*MMVolatEF*NtoN2O*kgtoGg</f>
        <v>1.5214353144806387E-5</v>
      </c>
      <c r="W1539" s="22">
        <f>Constants!$H71*'Activity data'!AP13*Constants!$H89*EF!$H214*MMVolatEF*NtoN2O*kgtoGg</f>
        <v>1.5269211713136201E-5</v>
      </c>
      <c r="X1539" s="22">
        <f>Constants!$H71*'Activity data'!AQ13*Constants!$H89*EF!$H214*MMVolatEF*NtoN2O*kgtoGg</f>
        <v>1.532774923131804E-5</v>
      </c>
      <c r="Y1539" s="22">
        <f>Constants!$H71*'Activity data'!AR13*Constants!$H89*EF!$H214*MMVolatEF*NtoN2O*kgtoGg</f>
        <v>1.5364750505414648E-5</v>
      </c>
      <c r="Z1539" s="22">
        <f>Constants!$H71*'Activity data'!AS13*Constants!$H89*EF!$H214*MMVolatEF*NtoN2O*kgtoGg</f>
        <v>1.5404784002427286E-5</v>
      </c>
      <c r="AA1539" s="22">
        <f>Constants!$H71*'Activity data'!AT13*Constants!$H89*EF!$H214*MMVolatEF*NtoN2O*kgtoGg</f>
        <v>1.5448015343528086E-5</v>
      </c>
      <c r="AB1539" s="22">
        <f>Constants!$H71*'Activity data'!AU13*Constants!$H89*EF!$H214*MMVolatEF*NtoN2O*kgtoGg</f>
        <v>1.5493849362144256E-5</v>
      </c>
      <c r="AC1539" s="22">
        <f>Constants!$H71*'Activity data'!AV13*Constants!$H89*EF!$H214*MMVolatEF*NtoN2O*kgtoGg</f>
        <v>1.5542469399401565E-5</v>
      </c>
      <c r="AD1539" s="22">
        <f>Constants!$H71*'Activity data'!AW13*Constants!$H89*EF!$H214*MMVolatEF*NtoN2O*kgtoGg</f>
        <v>1.5574312295454071E-5</v>
      </c>
      <c r="AE1539" s="22">
        <f>Constants!$H71*'Activity data'!AX13*Constants!$H89*EF!$H214*MMVolatEF*NtoN2O*kgtoGg</f>
        <v>1.5608846144431889E-5</v>
      </c>
      <c r="AF1539" s="22">
        <f>Constants!$H71*'Activity data'!AY13*Constants!$H89*EF!$H214*MMVolatEF*NtoN2O*kgtoGg</f>
        <v>1.5645779000697075E-5</v>
      </c>
      <c r="AG1539" s="22">
        <f>Constants!$H71*'Activity data'!AZ13*Constants!$H89*EF!$H214*MMVolatEF*NtoN2O*kgtoGg</f>
        <v>1.5680933682266714E-5</v>
      </c>
      <c r="AH1539" s="22">
        <f>Constants!$H71*'Activity data'!BA13*Constants!$H89*EF!$H214*MMVolatEF*NtoN2O*kgtoGg</f>
        <v>1.5527256766488218E-5</v>
      </c>
      <c r="AI1539" s="22">
        <f>Constants!$H71*'Activity data'!BB13*Constants!$H89*EF!$H214*MMVolatEF*NtoN2O*kgtoGg</f>
        <v>1.554781877984383E-5</v>
      </c>
      <c r="AJ1539" s="22">
        <f>Constants!$H71*'Activity data'!BC13*Constants!$H89*EF!$H214*MMVolatEF*NtoN2O*kgtoGg</f>
        <v>1.55702244870708E-5</v>
      </c>
      <c r="AK1539" s="22">
        <f>Constants!$H71*'Activity data'!BD13*Constants!$H89*EF!$H214*MMVolatEF*NtoN2O*kgtoGg</f>
        <v>1.5594399014227251E-5</v>
      </c>
      <c r="AL1539" s="22">
        <f>Constants!$H71*'Activity data'!BE13*Constants!$H89*EF!$H214*MMVolatEF*NtoN2O*kgtoGg</f>
        <v>1.5620273295013295E-5</v>
      </c>
      <c r="AM1539" s="22">
        <f>Constants!$H71*'Activity data'!BF13*Constants!$H89*EF!$H214*MMVolatEF*NtoN2O*kgtoGg</f>
        <v>1.5647783514700204E-5</v>
      </c>
      <c r="AN1539" s="22">
        <f>Constants!$H71*'Activity data'!BG13*Constants!$H89*EF!$H214*MMVolatEF*NtoN2O*kgtoGg</f>
        <v>1.5659592232765599E-5</v>
      </c>
      <c r="AO1539" s="22">
        <f>Constants!$H71*'Activity data'!BH13*Constants!$H89*EF!$H214*MMVolatEF*NtoN2O*kgtoGg</f>
        <v>1.567287471387214E-5</v>
      </c>
      <c r="AP1539" s="22">
        <f>Constants!$H71*'Activity data'!BI13*Constants!$H89*EF!$H214*MMVolatEF*NtoN2O*kgtoGg</f>
        <v>1.5687575397224304E-5</v>
      </c>
      <c r="AQ1539" s="22">
        <f>Constants!$H71*'Activity data'!BJ13*Constants!$H89*EF!$H214*MMVolatEF*NtoN2O*kgtoGg</f>
        <v>1.5703642533627797E-5</v>
      </c>
      <c r="AR1539" s="22">
        <f>Constants!$H71*'Activity data'!BK13*Constants!$H89*EF!$H214*MMVolatEF*NtoN2O*kgtoGg</f>
        <v>1.5721027858938722E-5</v>
      </c>
      <c r="AS1539" s="22">
        <f>Constants!$H71*'Activity data'!BL13*Constants!$H89*EF!$H214*MMVolatEF*NtoN2O*kgtoGg</f>
        <v>1.5722384261001388E-5</v>
      </c>
      <c r="AT1539" s="22">
        <f>Constants!$H71*'Activity data'!BM13*Constants!$H89*EF!$H214*MMVolatEF*NtoN2O*kgtoGg</f>
        <v>1.5724946955034498E-5</v>
      </c>
      <c r="AU1539" s="22">
        <f>Constants!$H71*'Activity data'!BN13*Constants!$H89*EF!$H214*MMVolatEF*NtoN2O*kgtoGg</f>
        <v>1.572867261939389E-5</v>
      </c>
      <c r="AV1539" s="22">
        <f>Constants!$H71*'Activity data'!BO13*Constants!$H89*EF!$H214*MMVolatEF*NtoN2O*kgtoGg</f>
        <v>1.5733520584102464E-5</v>
      </c>
      <c r="AW1539" s="22">
        <f>Constants!$H71*'Activity data'!BP13*Constants!$H89*EF!$H214*MMVolatEF*NtoN2O*kgtoGg</f>
        <v>1.5739452625419502E-5</v>
      </c>
    </row>
    <row r="1540" spans="1:49" x14ac:dyDescent="0.25">
      <c r="A1540" s="102" t="s">
        <v>961</v>
      </c>
      <c r="B1540" s="102"/>
      <c r="C1540" s="102"/>
      <c r="D1540" t="str">
        <f t="shared" si="577"/>
        <v>3C Aggregated and non-CO2 emissions on land</v>
      </c>
      <c r="E1540" t="str">
        <f t="shared" si="577"/>
        <v>3C6 Indirect N2O from manure management (N2O)</v>
      </c>
      <c r="F1540" t="str">
        <f t="shared" si="577"/>
        <v>Volatilisation</v>
      </c>
      <c r="G1540" t="str">
        <f>'Activity data'!D75</f>
        <v xml:space="preserve"> - Subsistence goats</v>
      </c>
      <c r="H1540" t="str">
        <f t="shared" si="576"/>
        <v>Volatilisation - Subsistence goats</v>
      </c>
      <c r="I1540" t="str">
        <f t="shared" si="571"/>
        <v>N2O</v>
      </c>
      <c r="J1540" t="str">
        <f t="shared" si="570"/>
        <v>Gg N2O</v>
      </c>
      <c r="K1540" s="22">
        <f>Constants!$H72*'Activity data'!AD14*Constants!$H90*EF!$H215*MMVolatEF*NtoN2O*kgtoGg</f>
        <v>1.4737874698328016E-3</v>
      </c>
      <c r="L1540" s="22">
        <f>Constants!$H72*'Activity data'!AE14*Constants!$H90*EF!$H215*MMVolatEF*NtoN2O*kgtoGg</f>
        <v>1.4776314566561611E-3</v>
      </c>
      <c r="M1540" s="22">
        <f>Constants!$H72*'Activity data'!AF14*Constants!$H90*EF!$H215*MMVolatEF*NtoN2O*kgtoGg</f>
        <v>1.4827539096036295E-3</v>
      </c>
      <c r="N1540" s="22">
        <f>Constants!$H72*'Activity data'!AG14*Constants!$H90*EF!$H215*MMVolatEF*NtoN2O*kgtoGg</f>
        <v>1.4890409464814621E-3</v>
      </c>
      <c r="O1540" s="22">
        <f>Constants!$H72*'Activity data'!AH14*Constants!$H90*EF!$H215*MMVolatEF*NtoN2O*kgtoGg</f>
        <v>1.4965681168319985E-3</v>
      </c>
      <c r="P1540" s="22">
        <f>Constants!$H72*'Activity data'!AI14*Constants!$H90*EF!$H215*MMVolatEF*NtoN2O*kgtoGg</f>
        <v>1.5053554513738414E-3</v>
      </c>
      <c r="Q1540" s="22">
        <f>Constants!$H72*'Activity data'!AJ14*Constants!$H90*EF!$H215*MMVolatEF*NtoN2O*kgtoGg</f>
        <v>1.5147507319940522E-3</v>
      </c>
      <c r="R1540" s="22">
        <f>Constants!$H72*'Activity data'!AK14*Constants!$H90*EF!$H215*MMVolatEF*NtoN2O*kgtoGg</f>
        <v>1.5246196138821182E-3</v>
      </c>
      <c r="S1540" s="22">
        <f>Constants!$H72*'Activity data'!AL14*Constants!$H90*EF!$H215*MMVolatEF*NtoN2O*kgtoGg</f>
        <v>1.5337873716895019E-3</v>
      </c>
      <c r="T1540" s="22">
        <f>Constants!$H72*'Activity data'!AM14*Constants!$H90*EF!$H215*MMVolatEF*NtoN2O*kgtoGg</f>
        <v>1.5380836623081961E-3</v>
      </c>
      <c r="U1540" s="22">
        <f>Constants!$H72*'Activity data'!AN14*Constants!$H90*EF!$H215*MMVolatEF*NtoN2O*kgtoGg</f>
        <v>1.5427947831210876E-3</v>
      </c>
      <c r="V1540" s="22">
        <f>Constants!$H72*'Activity data'!AO14*Constants!$H90*EF!$H215*MMVolatEF*NtoN2O*kgtoGg</f>
        <v>1.5479267126594486E-3</v>
      </c>
      <c r="W1540" s="22">
        <f>Constants!$H72*'Activity data'!AP14*Constants!$H90*EF!$H215*MMVolatEF*NtoN2O*kgtoGg</f>
        <v>1.5535080898318955E-3</v>
      </c>
      <c r="X1540" s="22">
        <f>Constants!$H72*'Activity data'!AQ14*Constants!$H90*EF!$H215*MMVolatEF*NtoN2O*kgtoGg</f>
        <v>1.5594637678172844E-3</v>
      </c>
      <c r="Y1540" s="22">
        <f>Constants!$H72*'Activity data'!AR14*Constants!$H90*EF!$H215*MMVolatEF*NtoN2O*kgtoGg</f>
        <v>1.5632283222502894E-3</v>
      </c>
      <c r="Z1540" s="22">
        <f>Constants!$H72*'Activity data'!AS14*Constants!$H90*EF!$H215*MMVolatEF*NtoN2O*kgtoGg</f>
        <v>1.5673013787146175E-3</v>
      </c>
      <c r="AA1540" s="22">
        <f>Constants!$H72*'Activity data'!AT14*Constants!$H90*EF!$H215*MMVolatEF*NtoN2O*kgtoGg</f>
        <v>1.5716997877088814E-3</v>
      </c>
      <c r="AB1540" s="22">
        <f>Constants!$H72*'Activity data'!AU14*Constants!$H90*EF!$H215*MMVolatEF*NtoN2O*kgtoGg</f>
        <v>1.5763629962652517E-3</v>
      </c>
      <c r="AC1540" s="22">
        <f>Constants!$H72*'Activity data'!AV14*Constants!$H90*EF!$H215*MMVolatEF*NtoN2O*kgtoGg</f>
        <v>1.5813096577318795E-3</v>
      </c>
      <c r="AD1540" s="22">
        <f>Constants!$H72*'Activity data'!AW14*Constants!$H90*EF!$H215*MMVolatEF*NtoN2O*kgtoGg</f>
        <v>1.5845493925361778E-3</v>
      </c>
      <c r="AE1540" s="22">
        <f>Constants!$H72*'Activity data'!AX14*Constants!$H90*EF!$H215*MMVolatEF*NtoN2O*kgtoGg</f>
        <v>1.5880629081496864E-3</v>
      </c>
      <c r="AF1540" s="22">
        <f>Constants!$H72*'Activity data'!AY14*Constants!$H90*EF!$H215*MMVolatEF*NtoN2O*kgtoGg</f>
        <v>1.591820501669672E-3</v>
      </c>
      <c r="AG1540" s="22">
        <f>Constants!$H72*'Activity data'!AZ14*Constants!$H90*EF!$H215*MMVolatEF*NtoN2O*kgtoGg</f>
        <v>1.5953971815428655E-3</v>
      </c>
      <c r="AH1540" s="22">
        <f>Constants!$H72*'Activity data'!BA14*Constants!$H90*EF!$H215*MMVolatEF*NtoN2O*kgtoGg</f>
        <v>1.5797619060376521E-3</v>
      </c>
      <c r="AI1540" s="22">
        <f>Constants!$H72*'Activity data'!BB14*Constants!$H90*EF!$H215*MMVolatEF*NtoN2O*kgtoGg</f>
        <v>1.5818539101758679E-3</v>
      </c>
      <c r="AJ1540" s="22">
        <f>Constants!$H72*'Activity data'!BC14*Constants!$H90*EF!$H215*MMVolatEF*NtoN2O*kgtoGg</f>
        <v>1.5841334939611631E-3</v>
      </c>
      <c r="AK1540" s="22">
        <f>Constants!$H72*'Activity data'!BD14*Constants!$H90*EF!$H215*MMVolatEF*NtoN2O*kgtoGg</f>
        <v>1.5865930396280227E-3</v>
      </c>
      <c r="AL1540" s="22">
        <f>Constants!$H72*'Activity data'!BE14*Constants!$H90*EF!$H215*MMVolatEF*NtoN2O*kgtoGg</f>
        <v>1.5892255202874612E-3</v>
      </c>
      <c r="AM1540" s="22">
        <f>Constants!$H72*'Activity data'!BF14*Constants!$H90*EF!$H215*MMVolatEF*NtoN2O*kgtoGg</f>
        <v>1.5920244433517013E-3</v>
      </c>
      <c r="AN1540" s="22">
        <f>Constants!$H72*'Activity data'!BG14*Constants!$H90*EF!$H215*MMVolatEF*NtoN2O*kgtoGg</f>
        <v>1.5932258766273534E-3</v>
      </c>
      <c r="AO1540" s="22">
        <f>Constants!$H72*'Activity data'!BH14*Constants!$H90*EF!$H215*MMVolatEF*NtoN2O*kgtoGg</f>
        <v>1.5945772523394538E-3</v>
      </c>
      <c r="AP1540" s="22">
        <f>Constants!$H72*'Activity data'!BI14*Constants!$H90*EF!$H215*MMVolatEF*NtoN2O*kgtoGg</f>
        <v>1.5960729176653851E-3</v>
      </c>
      <c r="AQ1540" s="22">
        <f>Constants!$H72*'Activity data'!BJ14*Constants!$H90*EF!$H215*MMVolatEF*NtoN2O*kgtoGg</f>
        <v>1.5977076075794545E-3</v>
      </c>
      <c r="AR1540" s="22">
        <f>Constants!$H72*'Activity data'!BK14*Constants!$H90*EF!$H215*MMVolatEF*NtoN2O*kgtoGg</f>
        <v>1.599476411629218E-3</v>
      </c>
      <c r="AS1540" s="22">
        <f>Constants!$H72*'Activity data'!BL14*Constants!$H90*EF!$H215*MMVolatEF*NtoN2O*kgtoGg</f>
        <v>1.5996144136175981E-3</v>
      </c>
      <c r="AT1540" s="22">
        <f>Constants!$H72*'Activity data'!BM14*Constants!$H90*EF!$H215*MMVolatEF*NtoN2O*kgtoGg</f>
        <v>1.599875145211802E-3</v>
      </c>
      <c r="AU1540" s="22">
        <f>Constants!$H72*'Activity data'!BN14*Constants!$H90*EF!$H215*MMVolatEF*NtoN2O*kgtoGg</f>
        <v>1.6002541988152919E-3</v>
      </c>
      <c r="AV1540" s="22">
        <f>Constants!$H72*'Activity data'!BO14*Constants!$H90*EF!$H215*MMVolatEF*NtoN2O*kgtoGg</f>
        <v>1.6007474366153491E-3</v>
      </c>
      <c r="AW1540" s="22">
        <f>Constants!$H72*'Activity data'!BP14*Constants!$H90*EF!$H215*MMVolatEF*NtoN2O*kgtoGg</f>
        <v>1.601350969682305E-3</v>
      </c>
    </row>
    <row r="1541" spans="1:49" x14ac:dyDescent="0.25">
      <c r="A1541" s="102" t="s">
        <v>961</v>
      </c>
      <c r="B1541" s="102"/>
      <c r="C1541" s="102"/>
      <c r="D1541" t="str">
        <f t="shared" si="577"/>
        <v>3C Aggregated and non-CO2 emissions on land</v>
      </c>
      <c r="E1541" t="str">
        <f t="shared" si="577"/>
        <v>3C6 Indirect N2O from manure management (N2O)</v>
      </c>
      <c r="F1541" t="str">
        <f t="shared" si="577"/>
        <v>Volatilisation</v>
      </c>
      <c r="G1541" t="str">
        <f>'Activity data'!D76</f>
        <v xml:space="preserve"> - Horses</v>
      </c>
      <c r="H1541" t="str">
        <f t="shared" si="576"/>
        <v>Volatilisation - Horses</v>
      </c>
      <c r="I1541" t="str">
        <f t="shared" si="571"/>
        <v>N2O</v>
      </c>
      <c r="J1541" t="str">
        <f t="shared" si="570"/>
        <v>Gg N2O</v>
      </c>
      <c r="K1541" s="22">
        <f>Constants!$H73*'Activity data'!AD15*Constants!$H91*EF!$H216*MMVolatEF*NtoN2O*kgtoGg</f>
        <v>0</v>
      </c>
      <c r="L1541" s="22">
        <f>Constants!$H73*'Activity data'!AE15*Constants!$H91*EF!$H216*MMVolatEF*NtoN2O*kgtoGg</f>
        <v>0</v>
      </c>
      <c r="M1541" s="22">
        <f>Constants!$H73*'Activity data'!AF15*Constants!$H91*EF!$H216*MMVolatEF*NtoN2O*kgtoGg</f>
        <v>0</v>
      </c>
      <c r="N1541" s="22">
        <f>Constants!$H73*'Activity data'!AG15*Constants!$H91*EF!$H216*MMVolatEF*NtoN2O*kgtoGg</f>
        <v>0</v>
      </c>
      <c r="O1541" s="22">
        <f>Constants!$H73*'Activity data'!AH15*Constants!$H91*EF!$H216*MMVolatEF*NtoN2O*kgtoGg</f>
        <v>0</v>
      </c>
      <c r="P1541" s="22">
        <f>Constants!$H73*'Activity data'!AI15*Constants!$H91*EF!$H216*MMVolatEF*NtoN2O*kgtoGg</f>
        <v>0</v>
      </c>
      <c r="Q1541" s="22">
        <f>Constants!$H73*'Activity data'!AJ15*Constants!$H91*EF!$H216*MMVolatEF*NtoN2O*kgtoGg</f>
        <v>0</v>
      </c>
      <c r="R1541" s="22">
        <f>Constants!$H73*'Activity data'!AK15*Constants!$H91*EF!$H216*MMVolatEF*NtoN2O*kgtoGg</f>
        <v>0</v>
      </c>
      <c r="S1541" s="22">
        <f>Constants!$H73*'Activity data'!AL15*Constants!$H91*EF!$H216*MMVolatEF*NtoN2O*kgtoGg</f>
        <v>0</v>
      </c>
      <c r="T1541" s="22">
        <f>Constants!$H73*'Activity data'!AM15*Constants!$H91*EF!$H216*MMVolatEF*NtoN2O*kgtoGg</f>
        <v>0</v>
      </c>
      <c r="U1541" s="22">
        <f>Constants!$H73*'Activity data'!AN15*Constants!$H91*EF!$H216*MMVolatEF*NtoN2O*kgtoGg</f>
        <v>0</v>
      </c>
      <c r="V1541" s="22">
        <f>Constants!$H73*'Activity data'!AO15*Constants!$H91*EF!$H216*MMVolatEF*NtoN2O*kgtoGg</f>
        <v>0</v>
      </c>
      <c r="W1541" s="22">
        <f>Constants!$H73*'Activity data'!AP15*Constants!$H91*EF!$H216*MMVolatEF*NtoN2O*kgtoGg</f>
        <v>0</v>
      </c>
      <c r="X1541" s="22">
        <f>Constants!$H73*'Activity data'!AQ15*Constants!$H91*EF!$H216*MMVolatEF*NtoN2O*kgtoGg</f>
        <v>0</v>
      </c>
      <c r="Y1541" s="22">
        <f>Constants!$H73*'Activity data'!AR15*Constants!$H91*EF!$H216*MMVolatEF*NtoN2O*kgtoGg</f>
        <v>0</v>
      </c>
      <c r="Z1541" s="22">
        <f>Constants!$H73*'Activity data'!AS15*Constants!$H91*EF!$H216*MMVolatEF*NtoN2O*kgtoGg</f>
        <v>0</v>
      </c>
      <c r="AA1541" s="22">
        <f>Constants!$H73*'Activity data'!AT15*Constants!$H91*EF!$H216*MMVolatEF*NtoN2O*kgtoGg</f>
        <v>0</v>
      </c>
      <c r="AB1541" s="22">
        <f>Constants!$H73*'Activity data'!AU15*Constants!$H91*EF!$H216*MMVolatEF*NtoN2O*kgtoGg</f>
        <v>0</v>
      </c>
      <c r="AC1541" s="22">
        <f>Constants!$H73*'Activity data'!AV15*Constants!$H91*EF!$H216*MMVolatEF*NtoN2O*kgtoGg</f>
        <v>0</v>
      </c>
      <c r="AD1541" s="22">
        <f>Constants!$H73*'Activity data'!AW15*Constants!$H91*EF!$H216*MMVolatEF*NtoN2O*kgtoGg</f>
        <v>0</v>
      </c>
      <c r="AE1541" s="22">
        <f>Constants!$H73*'Activity data'!AX15*Constants!$H91*EF!$H216*MMVolatEF*NtoN2O*kgtoGg</f>
        <v>0</v>
      </c>
      <c r="AF1541" s="22">
        <f>Constants!$H73*'Activity data'!AY15*Constants!$H91*EF!$H216*MMVolatEF*NtoN2O*kgtoGg</f>
        <v>0</v>
      </c>
      <c r="AG1541" s="22">
        <f>Constants!$H73*'Activity data'!AZ15*Constants!$H91*EF!$H216*MMVolatEF*NtoN2O*kgtoGg</f>
        <v>0</v>
      </c>
      <c r="AH1541" s="22">
        <f>Constants!$H73*'Activity data'!BA15*Constants!$H91*EF!$H216*MMVolatEF*NtoN2O*kgtoGg</f>
        <v>0</v>
      </c>
      <c r="AI1541" s="22">
        <f>Constants!$H73*'Activity data'!BB15*Constants!$H91*EF!$H216*MMVolatEF*NtoN2O*kgtoGg</f>
        <v>0</v>
      </c>
      <c r="AJ1541" s="22">
        <f>Constants!$H73*'Activity data'!BC15*Constants!$H91*EF!$H216*MMVolatEF*NtoN2O*kgtoGg</f>
        <v>0</v>
      </c>
      <c r="AK1541" s="22">
        <f>Constants!$H73*'Activity data'!BD15*Constants!$H91*EF!$H216*MMVolatEF*NtoN2O*kgtoGg</f>
        <v>0</v>
      </c>
      <c r="AL1541" s="22">
        <f>Constants!$H73*'Activity data'!BE15*Constants!$H91*EF!$H216*MMVolatEF*NtoN2O*kgtoGg</f>
        <v>0</v>
      </c>
      <c r="AM1541" s="22">
        <f>Constants!$H73*'Activity data'!BF15*Constants!$H91*EF!$H216*MMVolatEF*NtoN2O*kgtoGg</f>
        <v>0</v>
      </c>
      <c r="AN1541" s="22">
        <f>Constants!$H73*'Activity data'!BG15*Constants!$H91*EF!$H216*MMVolatEF*NtoN2O*kgtoGg</f>
        <v>0</v>
      </c>
      <c r="AO1541" s="22">
        <f>Constants!$H73*'Activity data'!BH15*Constants!$H91*EF!$H216*MMVolatEF*NtoN2O*kgtoGg</f>
        <v>0</v>
      </c>
      <c r="AP1541" s="22">
        <f>Constants!$H73*'Activity data'!BI15*Constants!$H91*EF!$H216*MMVolatEF*NtoN2O*kgtoGg</f>
        <v>0</v>
      </c>
      <c r="AQ1541" s="22">
        <f>Constants!$H73*'Activity data'!BJ15*Constants!$H91*EF!$H216*MMVolatEF*NtoN2O*kgtoGg</f>
        <v>0</v>
      </c>
      <c r="AR1541" s="22">
        <f>Constants!$H73*'Activity data'!BK15*Constants!$H91*EF!$H216*MMVolatEF*NtoN2O*kgtoGg</f>
        <v>0</v>
      </c>
      <c r="AS1541" s="22">
        <f>Constants!$H73*'Activity data'!BL15*Constants!$H91*EF!$H216*MMVolatEF*NtoN2O*kgtoGg</f>
        <v>0</v>
      </c>
      <c r="AT1541" s="22">
        <f>Constants!$H73*'Activity data'!BM15*Constants!$H91*EF!$H216*MMVolatEF*NtoN2O*kgtoGg</f>
        <v>0</v>
      </c>
      <c r="AU1541" s="22">
        <f>Constants!$H73*'Activity data'!BN15*Constants!$H91*EF!$H216*MMVolatEF*NtoN2O*kgtoGg</f>
        <v>0</v>
      </c>
      <c r="AV1541" s="22">
        <f>Constants!$H73*'Activity data'!BO15*Constants!$H91*EF!$H216*MMVolatEF*NtoN2O*kgtoGg</f>
        <v>0</v>
      </c>
      <c r="AW1541" s="22">
        <f>Constants!$H73*'Activity data'!BP15*Constants!$H91*EF!$H216*MMVolatEF*NtoN2O*kgtoGg</f>
        <v>0</v>
      </c>
    </row>
    <row r="1542" spans="1:49" x14ac:dyDescent="0.25">
      <c r="A1542" s="102" t="s">
        <v>961</v>
      </c>
      <c r="B1542" s="102"/>
      <c r="C1542" s="102"/>
      <c r="D1542" t="str">
        <f t="shared" si="577"/>
        <v>3C Aggregated and non-CO2 emissions on land</v>
      </c>
      <c r="E1542" t="str">
        <f t="shared" si="577"/>
        <v>3C6 Indirect N2O from manure management (N2O)</v>
      </c>
      <c r="F1542" t="str">
        <f t="shared" si="577"/>
        <v>Volatilisation</v>
      </c>
      <c r="G1542" t="str">
        <f>'Activity data'!D77</f>
        <v xml:space="preserve"> - Mules &amp; Asses</v>
      </c>
      <c r="H1542" t="str">
        <f t="shared" si="576"/>
        <v>Volatilisation - Mules &amp; Asses</v>
      </c>
      <c r="I1542" t="str">
        <f t="shared" si="571"/>
        <v>N2O</v>
      </c>
      <c r="J1542" t="str">
        <f t="shared" si="570"/>
        <v>Gg N2O</v>
      </c>
      <c r="K1542" s="22">
        <f>Constants!$H74*'Activity data'!AD16*Constants!$H92*EF!$H217*MMVolatEF*NtoN2O*kgtoGg</f>
        <v>0</v>
      </c>
      <c r="L1542" s="22">
        <f>Constants!$H74*'Activity data'!AE16*Constants!$H92*EF!$H217*MMVolatEF*NtoN2O*kgtoGg</f>
        <v>0</v>
      </c>
      <c r="M1542" s="22">
        <f>Constants!$H74*'Activity data'!AF16*Constants!$H92*EF!$H217*MMVolatEF*NtoN2O*kgtoGg</f>
        <v>0</v>
      </c>
      <c r="N1542" s="22">
        <f>Constants!$H74*'Activity data'!AG16*Constants!$H92*EF!$H217*MMVolatEF*NtoN2O*kgtoGg</f>
        <v>0</v>
      </c>
      <c r="O1542" s="22">
        <f>Constants!$H74*'Activity data'!AH16*Constants!$H92*EF!$H217*MMVolatEF*NtoN2O*kgtoGg</f>
        <v>0</v>
      </c>
      <c r="P1542" s="22">
        <f>Constants!$H74*'Activity data'!AI16*Constants!$H92*EF!$H217*MMVolatEF*NtoN2O*kgtoGg</f>
        <v>0</v>
      </c>
      <c r="Q1542" s="22">
        <f>Constants!$H74*'Activity data'!AJ16*Constants!$H92*EF!$H217*MMVolatEF*NtoN2O*kgtoGg</f>
        <v>0</v>
      </c>
      <c r="R1542" s="22">
        <f>Constants!$H74*'Activity data'!AK16*Constants!$H92*EF!$H217*MMVolatEF*NtoN2O*kgtoGg</f>
        <v>0</v>
      </c>
      <c r="S1542" s="22">
        <f>Constants!$H74*'Activity data'!AL16*Constants!$H92*EF!$H217*MMVolatEF*NtoN2O*kgtoGg</f>
        <v>0</v>
      </c>
      <c r="T1542" s="22">
        <f>Constants!$H74*'Activity data'!AM16*Constants!$H92*EF!$H217*MMVolatEF*NtoN2O*kgtoGg</f>
        <v>0</v>
      </c>
      <c r="U1542" s="22">
        <f>Constants!$H74*'Activity data'!AN16*Constants!$H92*EF!$H217*MMVolatEF*NtoN2O*kgtoGg</f>
        <v>0</v>
      </c>
      <c r="V1542" s="22">
        <f>Constants!$H74*'Activity data'!AO16*Constants!$H92*EF!$H217*MMVolatEF*NtoN2O*kgtoGg</f>
        <v>0</v>
      </c>
      <c r="W1542" s="22">
        <f>Constants!$H74*'Activity data'!AP16*Constants!$H92*EF!$H217*MMVolatEF*NtoN2O*kgtoGg</f>
        <v>0</v>
      </c>
      <c r="X1542" s="22">
        <f>Constants!$H74*'Activity data'!AQ16*Constants!$H92*EF!$H217*MMVolatEF*NtoN2O*kgtoGg</f>
        <v>0</v>
      </c>
      <c r="Y1542" s="22">
        <f>Constants!$H74*'Activity data'!AR16*Constants!$H92*EF!$H217*MMVolatEF*NtoN2O*kgtoGg</f>
        <v>0</v>
      </c>
      <c r="Z1542" s="22">
        <f>Constants!$H74*'Activity data'!AS16*Constants!$H92*EF!$H217*MMVolatEF*NtoN2O*kgtoGg</f>
        <v>0</v>
      </c>
      <c r="AA1542" s="22">
        <f>Constants!$H74*'Activity data'!AT16*Constants!$H92*EF!$H217*MMVolatEF*NtoN2O*kgtoGg</f>
        <v>0</v>
      </c>
      <c r="AB1542" s="22">
        <f>Constants!$H74*'Activity data'!AU16*Constants!$H92*EF!$H217*MMVolatEF*NtoN2O*kgtoGg</f>
        <v>0</v>
      </c>
      <c r="AC1542" s="22">
        <f>Constants!$H74*'Activity data'!AV16*Constants!$H92*EF!$H217*MMVolatEF*NtoN2O*kgtoGg</f>
        <v>0</v>
      </c>
      <c r="AD1542" s="22">
        <f>Constants!$H74*'Activity data'!AW16*Constants!$H92*EF!$H217*MMVolatEF*NtoN2O*kgtoGg</f>
        <v>0</v>
      </c>
      <c r="AE1542" s="22">
        <f>Constants!$H74*'Activity data'!AX16*Constants!$H92*EF!$H217*MMVolatEF*NtoN2O*kgtoGg</f>
        <v>0</v>
      </c>
      <c r="AF1542" s="22">
        <f>Constants!$H74*'Activity data'!AY16*Constants!$H92*EF!$H217*MMVolatEF*NtoN2O*kgtoGg</f>
        <v>0</v>
      </c>
      <c r="AG1542" s="22">
        <f>Constants!$H74*'Activity data'!AZ16*Constants!$H92*EF!$H217*MMVolatEF*NtoN2O*kgtoGg</f>
        <v>0</v>
      </c>
      <c r="AH1542" s="22">
        <f>Constants!$H74*'Activity data'!BA16*Constants!$H92*EF!$H217*MMVolatEF*NtoN2O*kgtoGg</f>
        <v>0</v>
      </c>
      <c r="AI1542" s="22">
        <f>Constants!$H74*'Activity data'!BB16*Constants!$H92*EF!$H217*MMVolatEF*NtoN2O*kgtoGg</f>
        <v>0</v>
      </c>
      <c r="AJ1542" s="22">
        <f>Constants!$H74*'Activity data'!BC16*Constants!$H92*EF!$H217*MMVolatEF*NtoN2O*kgtoGg</f>
        <v>0</v>
      </c>
      <c r="AK1542" s="22">
        <f>Constants!$H74*'Activity data'!BD16*Constants!$H92*EF!$H217*MMVolatEF*NtoN2O*kgtoGg</f>
        <v>0</v>
      </c>
      <c r="AL1542" s="22">
        <f>Constants!$H74*'Activity data'!BE16*Constants!$H92*EF!$H217*MMVolatEF*NtoN2O*kgtoGg</f>
        <v>0</v>
      </c>
      <c r="AM1542" s="22">
        <f>Constants!$H74*'Activity data'!BF16*Constants!$H92*EF!$H217*MMVolatEF*NtoN2O*kgtoGg</f>
        <v>0</v>
      </c>
      <c r="AN1542" s="22">
        <f>Constants!$H74*'Activity data'!BG16*Constants!$H92*EF!$H217*MMVolatEF*NtoN2O*kgtoGg</f>
        <v>0</v>
      </c>
      <c r="AO1542" s="22">
        <f>Constants!$H74*'Activity data'!BH16*Constants!$H92*EF!$H217*MMVolatEF*NtoN2O*kgtoGg</f>
        <v>0</v>
      </c>
      <c r="AP1542" s="22">
        <f>Constants!$H74*'Activity data'!BI16*Constants!$H92*EF!$H217*MMVolatEF*NtoN2O*kgtoGg</f>
        <v>0</v>
      </c>
      <c r="AQ1542" s="22">
        <f>Constants!$H74*'Activity data'!BJ16*Constants!$H92*EF!$H217*MMVolatEF*NtoN2O*kgtoGg</f>
        <v>0</v>
      </c>
      <c r="AR1542" s="22">
        <f>Constants!$H74*'Activity data'!BK16*Constants!$H92*EF!$H217*MMVolatEF*NtoN2O*kgtoGg</f>
        <v>0</v>
      </c>
      <c r="AS1542" s="22">
        <f>Constants!$H74*'Activity data'!BL16*Constants!$H92*EF!$H217*MMVolatEF*NtoN2O*kgtoGg</f>
        <v>0</v>
      </c>
      <c r="AT1542" s="22">
        <f>Constants!$H74*'Activity data'!BM16*Constants!$H92*EF!$H217*MMVolatEF*NtoN2O*kgtoGg</f>
        <v>0</v>
      </c>
      <c r="AU1542" s="22">
        <f>Constants!$H74*'Activity data'!BN16*Constants!$H92*EF!$H217*MMVolatEF*NtoN2O*kgtoGg</f>
        <v>0</v>
      </c>
      <c r="AV1542" s="22">
        <f>Constants!$H74*'Activity data'!BO16*Constants!$H92*EF!$H217*MMVolatEF*NtoN2O*kgtoGg</f>
        <v>0</v>
      </c>
      <c r="AW1542" s="22">
        <f>Constants!$H74*'Activity data'!BP16*Constants!$H92*EF!$H217*MMVolatEF*NtoN2O*kgtoGg</f>
        <v>0</v>
      </c>
    </row>
    <row r="1543" spans="1:49" x14ac:dyDescent="0.25">
      <c r="A1543" s="102" t="s">
        <v>961</v>
      </c>
      <c r="B1543" s="102"/>
      <c r="C1543" s="102"/>
      <c r="D1543" t="str">
        <f t="shared" si="577"/>
        <v>3C Aggregated and non-CO2 emissions on land</v>
      </c>
      <c r="E1543" t="str">
        <f t="shared" si="577"/>
        <v>3C6 Indirect N2O from manure management (N2O)</v>
      </c>
      <c r="F1543" t="str">
        <f t="shared" si="577"/>
        <v>Volatilisation</v>
      </c>
      <c r="G1543" t="str">
        <f>'Activity data'!D78</f>
        <v xml:space="preserve"> - Commercial swine</v>
      </c>
      <c r="H1543" t="str">
        <f t="shared" si="576"/>
        <v>Volatilisation - Commercial swine</v>
      </c>
      <c r="I1543" t="str">
        <f t="shared" si="571"/>
        <v>N2O</v>
      </c>
      <c r="J1543" t="str">
        <f t="shared" si="570"/>
        <v>Gg N2O</v>
      </c>
      <c r="K1543" s="22">
        <f>Constants!$H75*'Activity data'!AD17*Constants!$H93*EF!$H218*MMVolatEF*NtoN2O*kgtoGg</f>
        <v>0.13175582522236642</v>
      </c>
      <c r="L1543" s="22">
        <f>Constants!$H75*'Activity data'!AE17*Constants!$H93*EF!$H218*MMVolatEF*NtoN2O*kgtoGg</f>
        <v>0.13133995591331252</v>
      </c>
      <c r="M1543" s="22">
        <f>Constants!$H75*'Activity data'!AF17*Constants!$H93*EF!$H218*MMVolatEF*NtoN2O*kgtoGg</f>
        <v>0.12996467924172889</v>
      </c>
      <c r="N1543" s="22">
        <f>Constants!$H75*'Activity data'!AG17*Constants!$H93*EF!$H218*MMVolatEF*NtoN2O*kgtoGg</f>
        <v>0.12729440169626086</v>
      </c>
      <c r="O1543" s="22">
        <f>Constants!$H75*'Activity data'!AH17*Constants!$H93*EF!$H218*MMVolatEF*NtoN2O*kgtoGg</f>
        <v>0.124740958232787</v>
      </c>
      <c r="P1543" s="22">
        <f>Constants!$H75*'Activity data'!AI17*Constants!$H93*EF!$H218*MMVolatEF*NtoN2O*kgtoGg</f>
        <v>0.12294968484167307</v>
      </c>
      <c r="Q1543" s="22">
        <f>Constants!$H75*'Activity data'!AJ17*Constants!$H93*EF!$H218*MMVolatEF*NtoN2O*kgtoGg</f>
        <v>0.12143262568999565</v>
      </c>
      <c r="R1543" s="22">
        <f>Constants!$H75*'Activity data'!AK17*Constants!$H93*EF!$H218*MMVolatEF*NtoN2O*kgtoGg</f>
        <v>0.11863912133480742</v>
      </c>
      <c r="S1543" s="22">
        <f>Constants!$H75*'Activity data'!AL17*Constants!$H93*EF!$H218*MMVolatEF*NtoN2O*kgtoGg</f>
        <v>0.10385956683599189</v>
      </c>
      <c r="T1543" s="22">
        <f>Constants!$H75*'Activity data'!AM17*Constants!$H93*EF!$H218*MMVolatEF*NtoN2O*kgtoGg</f>
        <v>0.10451955212302086</v>
      </c>
      <c r="U1543" s="22">
        <f>Constants!$H75*'Activity data'!AN17*Constants!$H93*EF!$H218*MMVolatEF*NtoN2O*kgtoGg</f>
        <v>0.10485083769828313</v>
      </c>
      <c r="V1543" s="22">
        <f>Constants!$H75*'Activity data'!AO17*Constants!$H93*EF!$H218*MMVolatEF*NtoN2O*kgtoGg</f>
        <v>0.10517291212466306</v>
      </c>
      <c r="W1543" s="22">
        <f>Constants!$H75*'Activity data'!AP17*Constants!$H93*EF!$H218*MMVolatEF*NtoN2O*kgtoGg</f>
        <v>0.10595961192608362</v>
      </c>
      <c r="X1543" s="22">
        <f>Constants!$H75*'Activity data'!AQ17*Constants!$H93*EF!$H218*MMVolatEF*NtoN2O*kgtoGg</f>
        <v>0.10671986419880256</v>
      </c>
      <c r="Y1543" s="22">
        <f>Constants!$H75*'Activity data'!AR17*Constants!$H93*EF!$H218*MMVolatEF*NtoN2O*kgtoGg</f>
        <v>0.10759206833097582</v>
      </c>
      <c r="Z1543" s="22">
        <f>Constants!$H75*'Activity data'!AS17*Constants!$H93*EF!$H218*MMVolatEF*NtoN2O*kgtoGg</f>
        <v>0.10832415148302713</v>
      </c>
      <c r="AA1543" s="22">
        <f>Constants!$H75*'Activity data'!AT17*Constants!$H93*EF!$H218*MMVolatEF*NtoN2O*kgtoGg</f>
        <v>0.10920394511601654</v>
      </c>
      <c r="AB1543" s="22">
        <f>Constants!$H75*'Activity data'!AU17*Constants!$H93*EF!$H218*MMVolatEF*NtoN2O*kgtoGg</f>
        <v>0.10984438432762617</v>
      </c>
      <c r="AC1543" s="22">
        <f>Constants!$H75*'Activity data'!AV17*Constants!$H93*EF!$H218*MMVolatEF*NtoN2O*kgtoGg</f>
        <v>0.11051807029951835</v>
      </c>
      <c r="AD1543" s="22">
        <f>Constants!$H75*'Activity data'!AW17*Constants!$H93*EF!$H218*MMVolatEF*NtoN2O*kgtoGg</f>
        <v>0.11176064621994924</v>
      </c>
      <c r="AE1543" s="22">
        <f>Constants!$H75*'Activity data'!AX17*Constants!$H93*EF!$H218*MMVolatEF*NtoN2O*kgtoGg</f>
        <v>0.11321217775824029</v>
      </c>
      <c r="AF1543" s="22">
        <f>Constants!$H75*'Activity data'!AY17*Constants!$H93*EF!$H218*MMVolatEF*NtoN2O*kgtoGg</f>
        <v>0.11471425126432638</v>
      </c>
      <c r="AG1543" s="22">
        <f>Constants!$H75*'Activity data'!AZ17*Constants!$H93*EF!$H218*MMVolatEF*NtoN2O*kgtoGg</f>
        <v>0.11302605462152289</v>
      </c>
      <c r="AH1543" s="22">
        <f>Constants!$H75*'Activity data'!BA17*Constants!$H93*EF!$H218*MMVolatEF*NtoN2O*kgtoGg</f>
        <v>-3.8135833829008307E-2</v>
      </c>
      <c r="AI1543" s="22">
        <f>Constants!$H75*'Activity data'!BB17*Constants!$H93*EF!$H218*MMVolatEF*NtoN2O*kgtoGg</f>
        <v>-3.7718689403419284E-2</v>
      </c>
      <c r="AJ1543" s="22">
        <f>Constants!$H75*'Activity data'!BC17*Constants!$H93*EF!$H218*MMVolatEF*NtoN2O*kgtoGg</f>
        <v>-3.7310479618025916E-2</v>
      </c>
      <c r="AK1543" s="22">
        <f>Constants!$H75*'Activity data'!BD17*Constants!$H93*EF!$H218*MMVolatEF*NtoN2O*kgtoGg</f>
        <v>-3.6910619979896454E-2</v>
      </c>
      <c r="AL1543" s="22">
        <f>Constants!$H75*'Activity data'!BE17*Constants!$H93*EF!$H218*MMVolatEF*NtoN2O*kgtoGg</f>
        <v>-3.6518568792738119E-2</v>
      </c>
      <c r="AM1543" s="22">
        <f>Constants!$H75*'Activity data'!BF17*Constants!$H93*EF!$H218*MMVolatEF*NtoN2O*kgtoGg</f>
        <v>-3.6133823018213627E-2</v>
      </c>
      <c r="AN1543" s="22">
        <f>Constants!$H75*'Activity data'!BG17*Constants!$H93*EF!$H218*MMVolatEF*NtoN2O*kgtoGg</f>
        <v>-3.5711833561214323E-2</v>
      </c>
      <c r="AO1543" s="22">
        <f>Constants!$H75*'Activity data'!BH17*Constants!$H93*EF!$H218*MMVolatEF*NtoN2O*kgtoGg</f>
        <v>-3.5297284374171914E-2</v>
      </c>
      <c r="AP1543" s="22">
        <f>Constants!$H75*'Activity data'!BI17*Constants!$H93*EF!$H218*MMVolatEF*NtoN2O*kgtoGg</f>
        <v>-3.4889740911291982E-2</v>
      </c>
      <c r="AQ1543" s="22">
        <f>Constants!$H75*'Activity data'!BJ17*Constants!$H93*EF!$H218*MMVolatEF*NtoN2O*kgtoGg</f>
        <v>-3.4488797010350791E-2</v>
      </c>
      <c r="AR1543" s="22">
        <f>Constants!$H75*'Activity data'!BK17*Constants!$H93*EF!$H218*MMVolatEF*NtoN2O*kgtoGg</f>
        <v>-3.4094072440282994E-2</v>
      </c>
      <c r="AS1543" s="22">
        <f>Constants!$H75*'Activity data'!BL17*Constants!$H93*EF!$H218*MMVolatEF*NtoN2O*kgtoGg</f>
        <v>-3.3663911026345139E-2</v>
      </c>
      <c r="AT1543" s="22">
        <f>Constants!$H75*'Activity data'!BM17*Constants!$H93*EF!$H218*MMVolatEF*NtoN2O*kgtoGg</f>
        <v>-3.3240319741355787E-2</v>
      </c>
      <c r="AU1543" s="22">
        <f>Constants!$H75*'Activity data'!BN17*Constants!$H93*EF!$H218*MMVolatEF*NtoN2O*kgtoGg</f>
        <v>-3.2822960396725463E-2</v>
      </c>
      <c r="AV1543" s="22">
        <f>Constants!$H75*'Activity data'!BO17*Constants!$H93*EF!$H218*MMVolatEF*NtoN2O*kgtoGg</f>
        <v>-3.2411514785230008E-2</v>
      </c>
      <c r="AW1543" s="22">
        <f>Constants!$H75*'Activity data'!BP17*Constants!$H93*EF!$H218*MMVolatEF*NtoN2O*kgtoGg</f>
        <v>-3.2005683123121166E-2</v>
      </c>
    </row>
    <row r="1544" spans="1:49" x14ac:dyDescent="0.25">
      <c r="A1544" s="102" t="s">
        <v>961</v>
      </c>
      <c r="B1544" s="102"/>
      <c r="C1544" s="102"/>
      <c r="D1544" t="str">
        <f t="shared" si="577"/>
        <v>3C Aggregated and non-CO2 emissions on land</v>
      </c>
      <c r="E1544" t="str">
        <f t="shared" si="577"/>
        <v>3C6 Indirect N2O from manure management (N2O)</v>
      </c>
      <c r="F1544" t="str">
        <f t="shared" si="577"/>
        <v>Volatilisation</v>
      </c>
      <c r="G1544" t="str">
        <f>'Activity data'!D79</f>
        <v xml:space="preserve"> - Subsistence swine</v>
      </c>
      <c r="H1544" t="str">
        <f t="shared" si="576"/>
        <v>Volatilisation - Subsistence swine</v>
      </c>
      <c r="I1544" t="str">
        <f t="shared" si="571"/>
        <v>N2O</v>
      </c>
      <c r="J1544" t="str">
        <f t="shared" si="570"/>
        <v>Gg N2O</v>
      </c>
      <c r="K1544" s="22">
        <f>Constants!$H76*'Activity data'!AD18*Constants!$H94*EF!$H219*MMVolatEF*NtoN2O*kgtoGg</f>
        <v>1.2821907264588839E-2</v>
      </c>
      <c r="L1544" s="22">
        <f>Constants!$H76*'Activity data'!AE18*Constants!$H94*EF!$H219*MMVolatEF*NtoN2O*kgtoGg</f>
        <v>1.2781436661441853E-2</v>
      </c>
      <c r="M1544" s="22">
        <f>Constants!$H76*'Activity data'!AF18*Constants!$H94*EF!$H219*MMVolatEF*NtoN2O*kgtoGg</f>
        <v>1.2647600681769325E-2</v>
      </c>
      <c r="N1544" s="22">
        <f>Constants!$H76*'Activity data'!AG18*Constants!$H94*EF!$H219*MMVolatEF*NtoN2O*kgtoGg</f>
        <v>1.2387740815984108E-2</v>
      </c>
      <c r="O1544" s="22">
        <f>Constants!$H76*'Activity data'!AH18*Constants!$H94*EF!$H219*MMVolatEF*NtoN2O*kgtoGg</f>
        <v>1.2139250737926637E-2</v>
      </c>
      <c r="P1544" s="22">
        <f>Constants!$H76*'Activity data'!AI18*Constants!$H94*EF!$H219*MMVolatEF*NtoN2O*kgtoGg</f>
        <v>1.196493175607042E-2</v>
      </c>
      <c r="Q1544" s="22">
        <f>Constants!$H76*'Activity data'!AJ18*Constants!$H94*EF!$H219*MMVolatEF*NtoN2O*kgtoGg</f>
        <v>1.1817298118431442E-2</v>
      </c>
      <c r="R1544" s="22">
        <f>Constants!$H76*'Activity data'!AK18*Constants!$H94*EF!$H219*MMVolatEF*NtoN2O*kgtoGg</f>
        <v>1.1545446352295121E-2</v>
      </c>
      <c r="S1544" s="22">
        <f>Constants!$H76*'Activity data'!AL18*Constants!$H94*EF!$H219*MMVolatEF*NtoN2O*kgtoGg</f>
        <v>1.0107164007845277E-2</v>
      </c>
      <c r="T1544" s="22">
        <f>Constants!$H76*'Activity data'!AM18*Constants!$H94*EF!$H219*MMVolatEF*NtoN2O*kgtoGg</f>
        <v>1.0171390922533838E-2</v>
      </c>
      <c r="U1544" s="22">
        <f>Constants!$H76*'Activity data'!AN18*Constants!$H94*EF!$H219*MMVolatEF*NtoN2O*kgtoGg</f>
        <v>1.020363020240583E-2</v>
      </c>
      <c r="V1544" s="22">
        <f>Constants!$H76*'Activity data'!AO18*Constants!$H94*EF!$H219*MMVolatEF*NtoN2O*kgtoGg</f>
        <v>1.0234973093092974E-2</v>
      </c>
      <c r="W1544" s="22">
        <f>Constants!$H76*'Activity data'!AP18*Constants!$H94*EF!$H219*MMVolatEF*NtoN2O*kgtoGg</f>
        <v>1.0311531316472175E-2</v>
      </c>
      <c r="X1544" s="22">
        <f>Constants!$H76*'Activity data'!AQ18*Constants!$H94*EF!$H219*MMVolatEF*NtoN2O*kgtoGg</f>
        <v>1.0385515780703972E-2</v>
      </c>
      <c r="Y1544" s="22">
        <f>Constants!$H76*'Activity data'!AR18*Constants!$H94*EF!$H219*MMVolatEF*NtoN2O*kgtoGg</f>
        <v>1.0470394915874219E-2</v>
      </c>
      <c r="Z1544" s="22">
        <f>Constants!$H76*'Activity data'!AS18*Constants!$H94*EF!$H219*MMVolatEF*NtoN2O*kgtoGg</f>
        <v>1.0541638083071781E-2</v>
      </c>
      <c r="AA1544" s="22">
        <f>Constants!$H76*'Activity data'!AT18*Constants!$H94*EF!$H219*MMVolatEF*NtoN2O*kgtoGg</f>
        <v>1.0627255795648265E-2</v>
      </c>
      <c r="AB1544" s="22">
        <f>Constants!$H76*'Activity data'!AU18*Constants!$H94*EF!$H219*MMVolatEF*NtoN2O*kgtoGg</f>
        <v>1.0689580570784438E-2</v>
      </c>
      <c r="AC1544" s="22">
        <f>Constants!$H76*'Activity data'!AV18*Constants!$H94*EF!$H219*MMVolatEF*NtoN2O*kgtoGg</f>
        <v>1.0755140776889006E-2</v>
      </c>
      <c r="AD1544" s="22">
        <f>Constants!$H76*'Activity data'!AW18*Constants!$H94*EF!$H219*MMVolatEF*NtoN2O*kgtoGg</f>
        <v>1.0876062893190786E-2</v>
      </c>
      <c r="AE1544" s="22">
        <f>Constants!$H76*'Activity data'!AX18*Constants!$H94*EF!$H219*MMVolatEF*NtoN2O*kgtoGg</f>
        <v>1.1017319666803515E-2</v>
      </c>
      <c r="AF1544" s="22">
        <f>Constants!$H76*'Activity data'!AY18*Constants!$H94*EF!$H219*MMVolatEF*NtoN2O*kgtoGg</f>
        <v>1.1163494966203955E-2</v>
      </c>
      <c r="AG1544" s="22">
        <f>Constants!$H76*'Activity data'!AZ18*Constants!$H94*EF!$H219*MMVolatEF*NtoN2O*kgtoGg</f>
        <v>1.0999206967841195E-2</v>
      </c>
      <c r="AH1544" s="22">
        <f>Constants!$H76*'Activity data'!BA18*Constants!$H94*EF!$H219*MMVolatEF*NtoN2O*kgtoGg</f>
        <v>-3.7112144680363467E-3</v>
      </c>
      <c r="AI1544" s="22">
        <f>Constants!$H76*'Activity data'!BB18*Constants!$H94*EF!$H219*MMVolatEF*NtoN2O*kgtoGg</f>
        <v>-3.6706197760611272E-3</v>
      </c>
      <c r="AJ1544" s="22">
        <f>Constants!$H76*'Activity data'!BC18*Constants!$H94*EF!$H219*MMVolatEF*NtoN2O*kgtoGg</f>
        <v>-3.6308945646408518E-3</v>
      </c>
      <c r="AK1544" s="22">
        <f>Constants!$H76*'Activity data'!BD18*Constants!$H94*EF!$H219*MMVolatEF*NtoN2O*kgtoGg</f>
        <v>-3.5919819534504542E-3</v>
      </c>
      <c r="AL1544" s="22">
        <f>Constants!$H76*'Activity data'!BE18*Constants!$H94*EF!$H219*MMVolatEF*NtoN2O*kgtoGg</f>
        <v>-3.5538292269487438E-3</v>
      </c>
      <c r="AM1544" s="22">
        <f>Constants!$H76*'Activity data'!BF18*Constants!$H94*EF!$H219*MMVolatEF*NtoN2O*kgtoGg</f>
        <v>-3.5163874316196208E-3</v>
      </c>
      <c r="AN1544" s="22">
        <f>Constants!$H76*'Activity data'!BG18*Constants!$H94*EF!$H219*MMVolatEF*NtoN2O*kgtoGg</f>
        <v>-3.4753212421350377E-3</v>
      </c>
      <c r="AO1544" s="22">
        <f>Constants!$H76*'Activity data'!BH18*Constants!$H94*EF!$H219*MMVolatEF*NtoN2O*kgtoGg</f>
        <v>-3.4349791075546665E-3</v>
      </c>
      <c r="AP1544" s="22">
        <f>Constants!$H76*'Activity data'!BI18*Constants!$H94*EF!$H219*MMVolatEF*NtoN2O*kgtoGg</f>
        <v>-3.3953187397605549E-3</v>
      </c>
      <c r="AQ1544" s="22">
        <f>Constants!$H76*'Activity data'!BJ18*Constants!$H94*EF!$H219*MMVolatEF*NtoN2O*kgtoGg</f>
        <v>-3.3563006128011267E-3</v>
      </c>
      <c r="AR1544" s="22">
        <f>Constants!$H76*'Activity data'!BK18*Constants!$H94*EF!$H219*MMVolatEF*NtoN2O*kgtoGg</f>
        <v>-3.3178877242330336E-3</v>
      </c>
      <c r="AS1544" s="22">
        <f>Constants!$H76*'Activity data'!BL18*Constants!$H94*EF!$H219*MMVolatEF*NtoN2O*kgtoGg</f>
        <v>-3.2760262752306304E-3</v>
      </c>
      <c r="AT1544" s="22">
        <f>Constants!$H76*'Activity data'!BM18*Constants!$H94*EF!$H219*MMVolatEF*NtoN2O*kgtoGg</f>
        <v>-3.2348042027715565E-3</v>
      </c>
      <c r="AU1544" s="22">
        <f>Constants!$H76*'Activity data'!BN18*Constants!$H94*EF!$H219*MMVolatEF*NtoN2O*kgtoGg</f>
        <v>-3.1941885958044411E-3</v>
      </c>
      <c r="AV1544" s="22">
        <f>Constants!$H76*'Activity data'!BO18*Constants!$H94*EF!$H219*MMVolatEF*NtoN2O*kgtoGg</f>
        <v>-3.1541484877779971E-3</v>
      </c>
      <c r="AW1544" s="22">
        <f>Constants!$H76*'Activity data'!BP18*Constants!$H94*EF!$H219*MMVolatEF*NtoN2O*kgtoGg</f>
        <v>-3.1146547050339602E-3</v>
      </c>
    </row>
    <row r="1545" spans="1:49" x14ac:dyDescent="0.25">
      <c r="A1545" s="102" t="s">
        <v>961</v>
      </c>
      <c r="B1545" s="102"/>
      <c r="C1545" s="102"/>
      <c r="D1545" t="str">
        <f t="shared" si="577"/>
        <v>3C Aggregated and non-CO2 emissions on land</v>
      </c>
      <c r="E1545" t="str">
        <f t="shared" si="577"/>
        <v>3C6 Indirect N2O from manure management (N2O)</v>
      </c>
      <c r="F1545" t="str">
        <f t="shared" si="577"/>
        <v>Volatilisation</v>
      </c>
      <c r="G1545" t="str">
        <f>'Activity data'!D80</f>
        <v xml:space="preserve"> - Commercial layers</v>
      </c>
      <c r="H1545" t="str">
        <f t="shared" si="576"/>
        <v>Volatilisation - Commercial layers</v>
      </c>
      <c r="I1545" t="str">
        <f t="shared" si="571"/>
        <v>N2O</v>
      </c>
      <c r="J1545" t="str">
        <f t="shared" si="570"/>
        <v>Gg N2O</v>
      </c>
      <c r="K1545" s="22">
        <f>Constants!$H77*'Activity data'!AD19*Constants!$H95*EF!$H220*MMVolatEF*NtoN2O*kgtoGg</f>
        <v>6.4805763262647462E-2</v>
      </c>
      <c r="L1545" s="22">
        <f>Constants!$H77*'Activity data'!AE19*Constants!$H95*EF!$H220*MMVolatEF*NtoN2O*kgtoGg</f>
        <v>6.620917696085285E-2</v>
      </c>
      <c r="M1545" s="22">
        <f>Constants!$H77*'Activity data'!AF19*Constants!$H95*EF!$H220*MMVolatEF*NtoN2O*kgtoGg</f>
        <v>6.7339988183967914E-2</v>
      </c>
      <c r="N1545" s="22">
        <f>Constants!$H77*'Activity data'!AG19*Constants!$H95*EF!$H220*MMVolatEF*NtoN2O*kgtoGg</f>
        <v>6.8078843848603895E-2</v>
      </c>
      <c r="O1545" s="22">
        <f>Constants!$H77*'Activity data'!AH19*Constants!$H95*EF!$H220*MMVolatEF*NtoN2O*kgtoGg</f>
        <v>6.8827728157938209E-2</v>
      </c>
      <c r="P1545" s="22">
        <f>Constants!$H77*'Activity data'!AI19*Constants!$H95*EF!$H220*MMVolatEF*NtoN2O*kgtoGg</f>
        <v>6.9793181329029633E-2</v>
      </c>
      <c r="Q1545" s="22">
        <f>Constants!$H77*'Activity data'!AJ19*Constants!$H95*EF!$H220*MMVolatEF*NtoN2O*kgtoGg</f>
        <v>7.0825640221860539E-2</v>
      </c>
      <c r="R1545" s="22">
        <f>Constants!$H77*'Activity data'!AK19*Constants!$H95*EF!$H220*MMVolatEF*NtoN2O*kgtoGg</f>
        <v>7.1426070236781977E-2</v>
      </c>
      <c r="S1545" s="22">
        <f>Constants!$H77*'Activity data'!AL19*Constants!$H95*EF!$H220*MMVolatEF*NtoN2O*kgtoGg</f>
        <v>6.7971896986057309E-2</v>
      </c>
      <c r="T1545" s="22">
        <f>Constants!$H77*'Activity data'!AM19*Constants!$H95*EF!$H220*MMVolatEF*NtoN2O*kgtoGg</f>
        <v>6.9431161818386017E-2</v>
      </c>
      <c r="U1545" s="22">
        <f>Constants!$H77*'Activity data'!AN19*Constants!$H95*EF!$H220*MMVolatEF*NtoN2O*kgtoGg</f>
        <v>7.0793385596642902E-2</v>
      </c>
      <c r="V1545" s="22">
        <f>Constants!$H77*'Activity data'!AO19*Constants!$H95*EF!$H220*MMVolatEF*NtoN2O*kgtoGg</f>
        <v>7.216636340015109E-2</v>
      </c>
      <c r="W1545" s="22">
        <f>Constants!$H77*'Activity data'!AP19*Constants!$H95*EF!$H220*MMVolatEF*NtoN2O*kgtoGg</f>
        <v>7.3724598547713793E-2</v>
      </c>
      <c r="X1545" s="22">
        <f>Constants!$H77*'Activity data'!AQ19*Constants!$H95*EF!$H220*MMVolatEF*NtoN2O*kgtoGg</f>
        <v>7.5295777535110922E-2</v>
      </c>
      <c r="Y1545" s="22">
        <f>Constants!$H77*'Activity data'!AR19*Constants!$H95*EF!$H220*MMVolatEF*NtoN2O*kgtoGg</f>
        <v>7.6868953264879816E-2</v>
      </c>
      <c r="Z1545" s="22">
        <f>Constants!$H77*'Activity data'!AS19*Constants!$H95*EF!$H220*MMVolatEF*NtoN2O*kgtoGg</f>
        <v>7.8411785567373049E-2</v>
      </c>
      <c r="AA1545" s="22">
        <f>Constants!$H77*'Activity data'!AT19*Constants!$H95*EF!$H220*MMVolatEF*NtoN2O*kgtoGg</f>
        <v>8.0036606766420104E-2</v>
      </c>
      <c r="AB1545" s="22">
        <f>Constants!$H77*'Activity data'!AU19*Constants!$H95*EF!$H220*MMVolatEF*NtoN2O*kgtoGg</f>
        <v>8.1590030948431091E-2</v>
      </c>
      <c r="AC1545" s="22">
        <f>Constants!$H77*'Activity data'!AV19*Constants!$H95*EF!$H220*MMVolatEF*NtoN2O*kgtoGg</f>
        <v>8.3180296189840519E-2</v>
      </c>
      <c r="AD1545" s="22">
        <f>Constants!$H77*'Activity data'!AW19*Constants!$H95*EF!$H220*MMVolatEF*NtoN2O*kgtoGg</f>
        <v>8.498335225395226E-2</v>
      </c>
      <c r="AE1545" s="22">
        <f>Constants!$H77*'Activity data'!AX19*Constants!$H95*EF!$H220*MMVolatEF*NtoN2O*kgtoGg</f>
        <v>8.691067585568038E-2</v>
      </c>
      <c r="AF1545" s="22">
        <f>Constants!$H77*'Activity data'!AY19*Constants!$H95*EF!$H220*MMVolatEF*NtoN2O*kgtoGg</f>
        <v>8.8898633943391286E-2</v>
      </c>
      <c r="AG1545" s="22">
        <f>Constants!$H77*'Activity data'!AZ19*Constants!$H95*EF!$H220*MMVolatEF*NtoN2O*kgtoGg</f>
        <v>8.9490348349999485E-2</v>
      </c>
      <c r="AH1545" s="22">
        <f>Constants!$H77*'Activity data'!BA19*Constants!$H95*EF!$H220*MMVolatEF*NtoN2O*kgtoGg</f>
        <v>2.1450020418190146E-2</v>
      </c>
      <c r="AI1545" s="22">
        <f>Constants!$H77*'Activity data'!BB19*Constants!$H95*EF!$H220*MMVolatEF*NtoN2O*kgtoGg</f>
        <v>2.1614881965790762E-2</v>
      </c>
      <c r="AJ1545" s="22">
        <f>Constants!$H77*'Activity data'!BC19*Constants!$H95*EF!$H220*MMVolatEF*NtoN2O*kgtoGg</f>
        <v>2.1780943831055617E-2</v>
      </c>
      <c r="AK1545" s="22">
        <f>Constants!$H77*'Activity data'!BD19*Constants!$H95*EF!$H220*MMVolatEF*NtoN2O*kgtoGg</f>
        <v>2.1948215154072734E-2</v>
      </c>
      <c r="AL1545" s="22">
        <f>Constants!$H77*'Activity data'!BE19*Constants!$H95*EF!$H220*MMVolatEF*NtoN2O*kgtoGg</f>
        <v>2.2116705116436826E-2</v>
      </c>
      <c r="AM1545" s="22">
        <f>Constants!$H77*'Activity data'!BF19*Constants!$H95*EF!$H220*MMVolatEF*NtoN2O*kgtoGg</f>
        <v>2.2286422943949849E-2</v>
      </c>
      <c r="AN1545" s="22">
        <f>Constants!$H77*'Activity data'!BG19*Constants!$H95*EF!$H220*MMVolatEF*NtoN2O*kgtoGg</f>
        <v>2.2431505853437582E-2</v>
      </c>
      <c r="AO1545" s="22">
        <f>Constants!$H77*'Activity data'!BH19*Constants!$H95*EF!$H220*MMVolatEF*NtoN2O*kgtoGg</f>
        <v>2.2577484325720341E-2</v>
      </c>
      <c r="AP1545" s="22">
        <f>Constants!$H77*'Activity data'!BI19*Constants!$H95*EF!$H220*MMVolatEF*NtoN2O*kgtoGg</f>
        <v>2.2724364182075539E-2</v>
      </c>
      <c r="AQ1545" s="22">
        <f>Constants!$H77*'Activity data'!BJ19*Constants!$H95*EF!$H220*MMVolatEF*NtoN2O*kgtoGg</f>
        <v>2.2872151263259987E-2</v>
      </c>
      <c r="AR1545" s="22">
        <f>Constants!$H77*'Activity data'!BK19*Constants!$H95*EF!$H220*MMVolatEF*NtoN2O*kgtoGg</f>
        <v>2.3020851431037954E-2</v>
      </c>
      <c r="AS1545" s="22">
        <f>Constants!$H77*'Activity data'!BL19*Constants!$H95*EF!$H220*MMVolatEF*NtoN2O*kgtoGg</f>
        <v>2.3143882531625137E-2</v>
      </c>
      <c r="AT1545" s="22">
        <f>Constants!$H77*'Activity data'!BM19*Constants!$H95*EF!$H220*MMVolatEF*NtoN2O*kgtoGg</f>
        <v>2.3267536914699297E-2</v>
      </c>
      <c r="AU1545" s="22">
        <f>Constants!$H77*'Activity data'!BN19*Constants!$H95*EF!$H220*MMVolatEF*NtoN2O*kgtoGg</f>
        <v>2.3391817960867468E-2</v>
      </c>
      <c r="AV1545" s="22">
        <f>Constants!$H77*'Activity data'!BO19*Constants!$H95*EF!$H220*MMVolatEF*NtoN2O*kgtoGg</f>
        <v>2.3516729056424043E-2</v>
      </c>
      <c r="AW1545" s="22">
        <f>Constants!$H77*'Activity data'!BP19*Constants!$H95*EF!$H220*MMVolatEF*NtoN2O*kgtoGg</f>
        <v>2.3642273594262703E-2</v>
      </c>
    </row>
    <row r="1546" spans="1:49" x14ac:dyDescent="0.25">
      <c r="A1546" s="102" t="s">
        <v>961</v>
      </c>
      <c r="B1546" s="102"/>
      <c r="C1546" s="102"/>
      <c r="D1546" t="str">
        <f t="shared" si="577"/>
        <v>3C Aggregated and non-CO2 emissions on land</v>
      </c>
      <c r="E1546" t="str">
        <f t="shared" si="577"/>
        <v>3C6 Indirect N2O from manure management (N2O)</v>
      </c>
      <c r="F1546" t="str">
        <f t="shared" si="577"/>
        <v>Volatilisation</v>
      </c>
      <c r="G1546" t="str">
        <f>'Activity data'!D81</f>
        <v xml:space="preserve"> - Commercial broilers</v>
      </c>
      <c r="H1546" t="str">
        <f t="shared" si="576"/>
        <v>Volatilisation - Commercial broilers</v>
      </c>
      <c r="I1546" t="str">
        <f t="shared" si="571"/>
        <v>N2O</v>
      </c>
      <c r="J1546" t="str">
        <f t="shared" si="570"/>
        <v>Gg N2O</v>
      </c>
      <c r="K1546" s="22">
        <f>Constants!$H78*'Activity data'!AD20*Constants!$H96*EF!$H221*MMVolatEF*NtoN2O*kgtoGg</f>
        <v>0.31397927588300406</v>
      </c>
      <c r="L1546" s="22">
        <f>Constants!$H78*'Activity data'!AE20*Constants!$H96*EF!$H221*MMVolatEF*NtoN2O*kgtoGg</f>
        <v>0.31907441675710629</v>
      </c>
      <c r="M1546" s="22">
        <f>Constants!$H78*'Activity data'!AF20*Constants!$H96*EF!$H221*MMVolatEF*NtoN2O*kgtoGg</f>
        <v>0.3205872704742006</v>
      </c>
      <c r="N1546" s="22">
        <f>Constants!$H78*'Activity data'!AG20*Constants!$H96*EF!$H221*MMVolatEF*NtoN2O*kgtoGg</f>
        <v>0.31719609082412314</v>
      </c>
      <c r="O1546" s="22">
        <f>Constants!$H78*'Activity data'!AH20*Constants!$H96*EF!$H221*MMVolatEF*NtoN2O*kgtoGg</f>
        <v>0.3138121925530904</v>
      </c>
      <c r="P1546" s="22">
        <f>Constants!$H78*'Activity data'!AI20*Constants!$H96*EF!$H221*MMVolatEF*NtoN2O*kgtoGg</f>
        <v>0.31283032074973627</v>
      </c>
      <c r="Q1546" s="22">
        <f>Constants!$H78*'Activity data'!AJ20*Constants!$H96*EF!$H221*MMVolatEF*NtoN2O*kgtoGg</f>
        <v>0.31262578069676783</v>
      </c>
      <c r="R1546" s="22">
        <f>Constants!$H78*'Activity data'!AK20*Constants!$H96*EF!$H221*MMVolatEF*NtoN2O*kgtoGg</f>
        <v>0.30741109145699391</v>
      </c>
      <c r="S1546" s="22">
        <f>Constants!$H78*'Activity data'!AL20*Constants!$H96*EF!$H221*MMVolatEF*NtoN2O*kgtoGg</f>
        <v>0.256148371105961</v>
      </c>
      <c r="T1546" s="22">
        <f>Constants!$H78*'Activity data'!AM20*Constants!$H96*EF!$H221*MMVolatEF*NtoN2O*kgtoGg</f>
        <v>0.26370410916808512</v>
      </c>
      <c r="U1546" s="22">
        <f>Constants!$H78*'Activity data'!AN20*Constants!$H96*EF!$H221*MMVolatEF*NtoN2O*kgtoGg</f>
        <v>0.27001969138915061</v>
      </c>
      <c r="V1546" s="22">
        <f>Constants!$H78*'Activity data'!AO20*Constants!$H96*EF!$H221*MMVolatEF*NtoN2O*kgtoGg</f>
        <v>0.2763199496036185</v>
      </c>
      <c r="W1546" s="22">
        <f>Constants!$H78*'Activity data'!AP20*Constants!$H96*EF!$H221*MMVolatEF*NtoN2O*kgtoGg</f>
        <v>0.28451678455475204</v>
      </c>
      <c r="X1546" s="22">
        <f>Constants!$H78*'Activity data'!AQ20*Constants!$H96*EF!$H221*MMVolatEF*NtoN2O*kgtoGg</f>
        <v>0.29268901518137719</v>
      </c>
      <c r="Y1546" s="22">
        <f>Constants!$H78*'Activity data'!AR20*Constants!$H96*EF!$H221*MMVolatEF*NtoN2O*kgtoGg</f>
        <v>0.30166157988430881</v>
      </c>
      <c r="Z1546" s="22">
        <f>Constants!$H78*'Activity data'!AS20*Constants!$H96*EF!$H221*MMVolatEF*NtoN2O*kgtoGg</f>
        <v>0.31015505304721058</v>
      </c>
      <c r="AA1546" s="22">
        <f>Constants!$H78*'Activity data'!AT20*Constants!$H96*EF!$H221*MMVolatEF*NtoN2O*kgtoGg</f>
        <v>0.31937286090334316</v>
      </c>
      <c r="AB1546" s="22">
        <f>Constants!$H78*'Activity data'!AU20*Constants!$H96*EF!$H221*MMVolatEF*NtoN2O*kgtoGg</f>
        <v>0.32768435170975169</v>
      </c>
      <c r="AC1546" s="22">
        <f>Constants!$H78*'Activity data'!AV20*Constants!$H96*EF!$H221*MMVolatEF*NtoN2O*kgtoGg</f>
        <v>0.3362412673320212</v>
      </c>
      <c r="AD1546" s="22">
        <f>Constants!$H78*'Activity data'!AW20*Constants!$H96*EF!$H221*MMVolatEF*NtoN2O*kgtoGg</f>
        <v>0.34761278711237292</v>
      </c>
      <c r="AE1546" s="22">
        <f>Constants!$H78*'Activity data'!AX20*Constants!$H96*EF!$H221*MMVolatEF*NtoN2O*kgtoGg</f>
        <v>0.36009727200869485</v>
      </c>
      <c r="AF1546" s="22">
        <f>Constants!$H78*'Activity data'!AY20*Constants!$H96*EF!$H221*MMVolatEF*NtoN2O*kgtoGg</f>
        <v>0.37302207723672137</v>
      </c>
      <c r="AG1546" s="22">
        <f>Constants!$H78*'Activity data'!AZ20*Constants!$H96*EF!$H221*MMVolatEF*NtoN2O*kgtoGg</f>
        <v>0.37158281441490282</v>
      </c>
      <c r="AH1546" s="22">
        <f>Constants!$H78*'Activity data'!BA20*Constants!$H96*EF!$H221*MMVolatEF*NtoN2O*kgtoGg</f>
        <v>-0.32225581682934024</v>
      </c>
      <c r="AI1546" s="22">
        <f>Constants!$H78*'Activity data'!BB20*Constants!$H96*EF!$H221*MMVolatEF*NtoN2O*kgtoGg</f>
        <v>-0.32271754342348513</v>
      </c>
      <c r="AJ1546" s="22">
        <f>Constants!$H78*'Activity data'!BC20*Constants!$H96*EF!$H221*MMVolatEF*NtoN2O*kgtoGg</f>
        <v>-0.32321834210238065</v>
      </c>
      <c r="AK1546" s="22">
        <f>Constants!$H78*'Activity data'!BD20*Constants!$H96*EF!$H221*MMVolatEF*NtoN2O*kgtoGg</f>
        <v>-0.32375658230947413</v>
      </c>
      <c r="AL1546" s="22">
        <f>Constants!$H78*'Activity data'!BE20*Constants!$H96*EF!$H221*MMVolatEF*NtoN2O*kgtoGg</f>
        <v>-0.32433076013748197</v>
      </c>
      <c r="AM1546" s="22">
        <f>Constants!$H78*'Activity data'!BF20*Constants!$H96*EF!$H221*MMVolatEF*NtoN2O*kgtoGg</f>
        <v>-0.32493948616259549</v>
      </c>
      <c r="AN1546" s="22">
        <f>Constants!$H78*'Activity data'!BG20*Constants!$H96*EF!$H221*MMVolatEF*NtoN2O*kgtoGg</f>
        <v>-0.32519002694092081</v>
      </c>
      <c r="AO1546" s="22">
        <f>Constants!$H78*'Activity data'!BH20*Constants!$H96*EF!$H221*MMVolatEF*NtoN2O*kgtoGg</f>
        <v>-0.32547196769911135</v>
      </c>
      <c r="AP1546" s="22">
        <f>Constants!$H78*'Activity data'!BI20*Constants!$H96*EF!$H221*MMVolatEF*NtoN2O*kgtoGg</f>
        <v>-0.32578408919193652</v>
      </c>
      <c r="AQ1546" s="22">
        <f>Constants!$H78*'Activity data'!BJ20*Constants!$H96*EF!$H221*MMVolatEF*NtoN2O*kgtoGg</f>
        <v>-0.32612525589272406</v>
      </c>
      <c r="AR1546" s="22">
        <f>Constants!$H78*'Activity data'!BK20*Constants!$H96*EF!$H221*MMVolatEF*NtoN2O*kgtoGg</f>
        <v>-0.32649440879969549</v>
      </c>
      <c r="AS1546" s="22">
        <f>Constants!$H78*'Activity data'!BL20*Constants!$H96*EF!$H221*MMVolatEF*NtoN2O*kgtoGg</f>
        <v>-0.32649961480368156</v>
      </c>
      <c r="AT1546" s="22">
        <f>Constants!$H78*'Activity data'!BM20*Constants!$H96*EF!$H221*MMVolatEF*NtoN2O*kgtoGg</f>
        <v>-0.32653073845215902</v>
      </c>
      <c r="AU1546" s="22">
        <f>Constants!$H78*'Activity data'!BN20*Constants!$H96*EF!$H221*MMVolatEF*NtoN2O*kgtoGg</f>
        <v>-0.326586821501688</v>
      </c>
      <c r="AV1546" s="22">
        <f>Constants!$H78*'Activity data'!BO20*Constants!$H96*EF!$H221*MMVolatEF*NtoN2O*kgtoGg</f>
        <v>-0.32666696441292659</v>
      </c>
      <c r="AW1546" s="22">
        <f>Constants!$H78*'Activity data'!BP20*Constants!$H96*EF!$H221*MMVolatEF*NtoN2O*kgtoGg</f>
        <v>-0.32677032179119497</v>
      </c>
    </row>
    <row r="1547" spans="1:49" x14ac:dyDescent="0.25">
      <c r="A1547" s="102" t="s">
        <v>961</v>
      </c>
      <c r="B1547" s="102"/>
      <c r="C1547" s="102"/>
      <c r="D1547" t="str">
        <f t="shared" si="577"/>
        <v>3C Aggregated and non-CO2 emissions on land</v>
      </c>
      <c r="E1547" t="str">
        <f>E1546</f>
        <v>3C6 Indirect N2O from manure management (N2O)</v>
      </c>
      <c r="F1547" t="str">
        <f>'IPCC Categories'!C81</f>
        <v>Leaching/runoff</v>
      </c>
      <c r="G1547" t="str">
        <f>G1531</f>
        <v xml:space="preserve"> - TMR</v>
      </c>
      <c r="H1547" t="str">
        <f t="shared" si="576"/>
        <v>Leaching/runoff - TMR</v>
      </c>
      <c r="I1547" t="str">
        <f t="shared" si="571"/>
        <v>N2O</v>
      </c>
      <c r="J1547" t="str">
        <f t="shared" si="570"/>
        <v>Gg N2O</v>
      </c>
      <c r="K1547" s="22">
        <f>Constants!$H63*'Activity data'!AD5*Constants!$H81*FracLEACHMM*MMLeachEF*NtoN2O*kgtoGg</f>
        <v>8.937279530386584E-2</v>
      </c>
      <c r="L1547" s="22">
        <f>Constants!$H63*'Activity data'!AE5*Constants!$H81*FracLEACHMM*MMLeachEF*NtoN2O*kgtoGg</f>
        <v>8.99287091662518E-2</v>
      </c>
      <c r="M1547" s="22">
        <f>Constants!$H63*'Activity data'!AF5*Constants!$H81*FracLEACHMM*MMLeachEF*NtoN2O*kgtoGg</f>
        <v>9.0310907604627441E-2</v>
      </c>
      <c r="N1547" s="22">
        <f>Constants!$H63*'Activity data'!AG5*Constants!$H81*FracLEACHMM*MMLeachEF*NtoN2O*kgtoGg</f>
        <v>9.0430770661024784E-2</v>
      </c>
      <c r="O1547" s="22">
        <f>Constants!$H63*'Activity data'!AH5*Constants!$H81*FracLEACHMM*MMLeachEF*NtoN2O*kgtoGg</f>
        <v>9.0592927490571046E-2</v>
      </c>
      <c r="P1547" s="22">
        <f>Constants!$H63*'Activity data'!AI5*Constants!$H81*FracLEACHMM*MMLeachEF*NtoN2O*kgtoGg</f>
        <v>9.0948112554123092E-2</v>
      </c>
      <c r="Q1547" s="22">
        <f>Constants!$H63*'Activity data'!AJ5*Constants!$H81*FracLEACHMM*MMLeachEF*NtoN2O*kgtoGg</f>
        <v>9.1373943417930939E-2</v>
      </c>
      <c r="R1547" s="22">
        <f>Constants!$H63*'Activity data'!AK5*Constants!$H81*FracLEACHMM*MMLeachEF*NtoN2O*kgtoGg</f>
        <v>9.1501867451345892E-2</v>
      </c>
      <c r="S1547" s="22">
        <f>Constants!$H63*'Activity data'!AL5*Constants!$H81*FracLEACHMM*MMLeachEF*NtoN2O*kgtoGg</f>
        <v>8.8692780673306368E-2</v>
      </c>
      <c r="T1547" s="22">
        <f>Constants!$H63*'Activity data'!AM5*Constants!$H81*FracLEACHMM*MMLeachEF*NtoN2O*kgtoGg</f>
        <v>8.942331322993069E-2</v>
      </c>
      <c r="U1547" s="22">
        <f>Constants!$H63*'Activity data'!AN5*Constants!$H81*FracLEACHMM*MMLeachEF*NtoN2O*kgtoGg</f>
        <v>9.0093190837869708E-2</v>
      </c>
      <c r="V1547" s="22">
        <f>Constants!$H63*'Activity data'!AO5*Constants!$H81*FracLEACHMM*MMLeachEF*NtoN2O*kgtoGg</f>
        <v>9.0780038603481383E-2</v>
      </c>
      <c r="W1547" s="22">
        <f>Constants!$H63*'Activity data'!AP5*Constants!$H81*FracLEACHMM*MMLeachEF*NtoN2O*kgtoGg</f>
        <v>9.1607440170769952E-2</v>
      </c>
      <c r="X1547" s="22">
        <f>Constants!$H63*'Activity data'!AQ5*Constants!$H81*FracLEACHMM*MMLeachEF*NtoN2O*kgtoGg</f>
        <v>9.2450367431163069E-2</v>
      </c>
      <c r="Y1547" s="22">
        <f>Constants!$H63*'Activity data'!AR5*Constants!$H81*FracLEACHMM*MMLeachEF*NtoN2O*kgtoGg</f>
        <v>9.3271141222409717E-2</v>
      </c>
      <c r="Z1547" s="22">
        <f>Constants!$H63*'Activity data'!AS5*Constants!$H81*FracLEACHMM*MMLeachEF*NtoN2O*kgtoGg</f>
        <v>9.4075494804423593E-2</v>
      </c>
      <c r="AA1547" s="22">
        <f>Constants!$H63*'Activity data'!AT5*Constants!$H81*FracLEACHMM*MMLeachEF*NtoN2O*kgtoGg</f>
        <v>9.494187182919285E-2</v>
      </c>
      <c r="AB1547" s="22">
        <f>Constants!$H63*'Activity data'!AU5*Constants!$H81*FracLEACHMM*MMLeachEF*NtoN2O*kgtoGg</f>
        <v>9.5762313841523894E-2</v>
      </c>
      <c r="AC1547" s="22">
        <f>Constants!$H63*'Activity data'!AV5*Constants!$H81*FracLEACHMM*MMLeachEF*NtoN2O*kgtoGg</f>
        <v>9.6612184537040763E-2</v>
      </c>
      <c r="AD1547" s="22">
        <f>Constants!$H63*'Activity data'!AW5*Constants!$H81*FracLEACHMM*MMLeachEF*NtoN2O*kgtoGg</f>
        <v>9.7588608414981418E-2</v>
      </c>
      <c r="AE1547" s="22">
        <f>Constants!$H63*'Activity data'!AX5*Constants!$H81*FracLEACHMM*MMLeachEF*NtoN2O*kgtoGg</f>
        <v>9.8652036659073086E-2</v>
      </c>
      <c r="AF1547" s="22">
        <f>Constants!$H63*'Activity data'!AY5*Constants!$H81*FracLEACHMM*MMLeachEF*NtoN2O*kgtoGg</f>
        <v>9.9757674838538646E-2</v>
      </c>
      <c r="AG1547" s="22">
        <f>Constants!$H63*'Activity data'!AZ5*Constants!$H81*FracLEACHMM*MMLeachEF*NtoN2O*kgtoGg</f>
        <v>9.9912115595676476E-2</v>
      </c>
      <c r="AH1547" s="22">
        <f>Constants!$H63*'Activity data'!BA5*Constants!$H81*FracLEACHMM*MMLeachEF*NtoN2O*kgtoGg</f>
        <v>5.3491971899674674E-2</v>
      </c>
      <c r="AI1547" s="22">
        <f>Constants!$H63*'Activity data'!BB5*Constants!$H81*FracLEACHMM*MMLeachEF*NtoN2O*kgtoGg</f>
        <v>5.3531314918473571E-2</v>
      </c>
      <c r="AJ1547" s="22">
        <f>Constants!$H63*'Activity data'!BC5*Constants!$H81*FracLEACHMM*MMLeachEF*NtoN2O*kgtoGg</f>
        <v>5.357582611787514E-2</v>
      </c>
      <c r="AK1547" s="22">
        <f>Constants!$H63*'Activity data'!BD5*Constants!$H81*FracLEACHMM*MMLeachEF*NtoN2O*kgtoGg</f>
        <v>5.3625309057202357E-2</v>
      </c>
      <c r="AL1547" s="22">
        <f>Constants!$H63*'Activity data'!BE5*Constants!$H81*FracLEACHMM*MMLeachEF*NtoN2O*kgtoGg</f>
        <v>5.3679582424864689E-2</v>
      </c>
      <c r="AM1547" s="22">
        <f>Constants!$H63*'Activity data'!BF5*Constants!$H81*FracLEACHMM*MMLeachEF*NtoN2O*kgtoGg</f>
        <v>5.3738478604376284E-2</v>
      </c>
      <c r="AN1547" s="22">
        <f>Constants!$H63*'Activity data'!BG5*Constants!$H81*FracLEACHMM*MMLeachEF*NtoN2O*kgtoGg</f>
        <v>5.3763835169364317E-2</v>
      </c>
      <c r="AO1547" s="22">
        <f>Constants!$H63*'Activity data'!BH5*Constants!$H81*FracLEACHMM*MMLeachEF*NtoN2O*kgtoGg</f>
        <v>5.3793262757512665E-2</v>
      </c>
      <c r="AP1547" s="22">
        <f>Constants!$H63*'Activity data'!BI5*Constants!$H81*FracLEACHMM*MMLeachEF*NtoN2O*kgtoGg</f>
        <v>5.3826619180497665E-2</v>
      </c>
      <c r="AQ1547" s="22">
        <f>Constants!$H63*'Activity data'!BJ5*Constants!$H81*FracLEACHMM*MMLeachEF*NtoN2O*kgtoGg</f>
        <v>5.3863771952469164E-2</v>
      </c>
      <c r="AR1547" s="22">
        <f>Constants!$H63*'Activity data'!BK5*Constants!$H81*FracLEACHMM*MMLeachEF*NtoN2O*kgtoGg</f>
        <v>5.3904597466717913E-2</v>
      </c>
      <c r="AS1547" s="22">
        <f>Constants!$H63*'Activity data'!BL5*Constants!$H81*FracLEACHMM*MMLeachEF*NtoN2O*kgtoGg</f>
        <v>5.3910563480556228E-2</v>
      </c>
      <c r="AT1547" s="22">
        <f>Constants!$H63*'Activity data'!BM5*Constants!$H81*FracLEACHMM*MMLeachEF*NtoN2O*kgtoGg</f>
        <v>5.3919785471416987E-2</v>
      </c>
      <c r="AU1547" s="22">
        <f>Constants!$H63*'Activity data'!BN5*Constants!$H81*FracLEACHMM*MMLeachEF*NtoN2O*kgtoGg</f>
        <v>5.3932155519366927E-2</v>
      </c>
      <c r="AV1547" s="22">
        <f>Constants!$H63*'Activity data'!BO5*Constants!$H81*FracLEACHMM*MMLeachEF*NtoN2O*kgtoGg</f>
        <v>5.3947572278859428E-2</v>
      </c>
      <c r="AW1547" s="22">
        <f>Constants!$H63*'Activity data'!BP5*Constants!$H81*FracLEACHMM*MMLeachEF*NtoN2O*kgtoGg</f>
        <v>5.3965940473698626E-2</v>
      </c>
    </row>
    <row r="1548" spans="1:49" x14ac:dyDescent="0.25">
      <c r="A1548" s="102" t="s">
        <v>961</v>
      </c>
      <c r="B1548" s="102"/>
      <c r="C1548" s="102"/>
      <c r="D1548" t="str">
        <f t="shared" si="577"/>
        <v>3C Aggregated and non-CO2 emissions on land</v>
      </c>
      <c r="E1548" t="str">
        <f t="shared" si="577"/>
        <v>3C6 Indirect N2O from manure management (N2O)</v>
      </c>
      <c r="F1548" t="str">
        <f>F1547</f>
        <v>Leaching/runoff</v>
      </c>
      <c r="G1548" t="str">
        <f t="shared" ref="G1548:G1561" si="578">G1532</f>
        <v xml:space="preserve"> - Pasture</v>
      </c>
      <c r="H1548" t="str">
        <f t="shared" si="576"/>
        <v>Leaching/runoff - Pasture</v>
      </c>
      <c r="I1548" t="str">
        <f t="shared" si="571"/>
        <v>N2O</v>
      </c>
      <c r="J1548" t="str">
        <f t="shared" si="570"/>
        <v>Gg N2O</v>
      </c>
      <c r="K1548" s="22">
        <f>Constants!$H64*'Activity data'!AD6*Constants!$H82*FracLEACHMM*MMLeachEF*NtoN2O*kgtoGg</f>
        <v>2.6988316791591433E-2</v>
      </c>
      <c r="L1548" s="22">
        <f>Constants!$H64*'Activity data'!AE6*Constants!$H82*FracLEACHMM*MMLeachEF*NtoN2O*kgtoGg</f>
        <v>2.7156188674482627E-2</v>
      </c>
      <c r="M1548" s="22">
        <f>Constants!$H64*'Activity data'!AF6*Constants!$H82*FracLEACHMM*MMLeachEF*NtoN2O*kgtoGg</f>
        <v>2.7271602906487613E-2</v>
      </c>
      <c r="N1548" s="22">
        <f>Constants!$H64*'Activity data'!AG6*Constants!$H82*FracLEACHMM*MMLeachEF*NtoN2O*kgtoGg</f>
        <v>2.7307798508590695E-2</v>
      </c>
      <c r="O1548" s="22">
        <f>Constants!$H64*'Activity data'!AH6*Constants!$H82*FracLEACHMM*MMLeachEF*NtoN2O*kgtoGg</f>
        <v>2.7356765757190617E-2</v>
      </c>
      <c r="P1548" s="22">
        <f>Constants!$H64*'Activity data'!AI6*Constants!$H82*FracLEACHMM*MMLeachEF*NtoN2O*kgtoGg</f>
        <v>2.7464022635328895E-2</v>
      </c>
      <c r="Q1548" s="22">
        <f>Constants!$H64*'Activity data'!AJ6*Constants!$H82*FracLEACHMM*MMLeachEF*NtoN2O*kgtoGg</f>
        <v>2.7592612752858615E-2</v>
      </c>
      <c r="R1548" s="22">
        <f>Constants!$H64*'Activity data'!AK6*Constants!$H82*FracLEACHMM*MMLeachEF*NtoN2O*kgtoGg</f>
        <v>2.7631242565513824E-2</v>
      </c>
      <c r="S1548" s="22">
        <f>Constants!$H64*'Activity data'!AL6*Constants!$H82*FracLEACHMM*MMLeachEF*NtoN2O*kgtoGg</f>
        <v>2.6782969625151597E-2</v>
      </c>
      <c r="T1548" s="22">
        <f>Constants!$H64*'Activity data'!AM6*Constants!$H82*FracLEACHMM*MMLeachEF*NtoN2O*kgtoGg</f>
        <v>2.7003571923621898E-2</v>
      </c>
      <c r="U1548" s="22">
        <f>Constants!$H64*'Activity data'!AN6*Constants!$H82*FracLEACHMM*MMLeachEF*NtoN2O*kgtoGg</f>
        <v>2.7205857966406888E-2</v>
      </c>
      <c r="V1548" s="22">
        <f>Constants!$H64*'Activity data'!AO6*Constants!$H82*FracLEACHMM*MMLeachEF*NtoN2O*kgtoGg</f>
        <v>2.7413268566275666E-2</v>
      </c>
      <c r="W1548" s="22">
        <f>Constants!$H64*'Activity data'!AP6*Constants!$H82*FracLEACHMM*MMLeachEF*NtoN2O*kgtoGg</f>
        <v>2.7663122848397212E-2</v>
      </c>
      <c r="X1548" s="22">
        <f>Constants!$H64*'Activity data'!AQ6*Constants!$H82*FracLEACHMM*MMLeachEF*NtoN2O*kgtoGg</f>
        <v>2.7917665495949085E-2</v>
      </c>
      <c r="Y1548" s="22">
        <f>Constants!$H64*'Activity data'!AR6*Constants!$H82*FracLEACHMM*MMLeachEF*NtoN2O*kgtoGg</f>
        <v>2.8165518357852821E-2</v>
      </c>
      <c r="Z1548" s="22">
        <f>Constants!$H64*'Activity data'!AS6*Constants!$H82*FracLEACHMM*MMLeachEF*NtoN2O*kgtoGg</f>
        <v>2.8408412733149407E-2</v>
      </c>
      <c r="AA1548" s="22">
        <f>Constants!$H64*'Activity data'!AT6*Constants!$H82*FracLEACHMM*MMLeachEF*NtoN2O*kgtoGg</f>
        <v>2.8670036614621735E-2</v>
      </c>
      <c r="AB1548" s="22">
        <f>Constants!$H64*'Activity data'!AU6*Constants!$H82*FracLEACHMM*MMLeachEF*NtoN2O*kgtoGg</f>
        <v>2.8917789287710199E-2</v>
      </c>
      <c r="AC1548" s="22">
        <f>Constants!$H64*'Activity data'!AV6*Constants!$H82*FracLEACHMM*MMLeachEF*NtoN2O*kgtoGg</f>
        <v>2.9174428676514319E-2</v>
      </c>
      <c r="AD1548" s="22">
        <f>Constants!$H64*'Activity data'!AW6*Constants!$H82*FracLEACHMM*MMLeachEF*NtoN2O*kgtoGg</f>
        <v>2.9469283915752844E-2</v>
      </c>
      <c r="AE1548" s="22">
        <f>Constants!$H64*'Activity data'!AX6*Constants!$H82*FracLEACHMM*MMLeachEF*NtoN2O*kgtoGg</f>
        <v>2.979041226626589E-2</v>
      </c>
      <c r="AF1548" s="22">
        <f>Constants!$H64*'Activity data'!AY6*Constants!$H82*FracLEACHMM*MMLeachEF*NtoN2O*kgtoGg</f>
        <v>3.0124286946394699E-2</v>
      </c>
      <c r="AG1548" s="22">
        <f>Constants!$H64*'Activity data'!AZ6*Constants!$H82*FracLEACHMM*MMLeachEF*NtoN2O*kgtoGg</f>
        <v>3.0170924136884231E-2</v>
      </c>
      <c r="AH1548" s="22">
        <f>Constants!$H64*'Activity data'!BA6*Constants!$H82*FracLEACHMM*MMLeachEF*NtoN2O*kgtoGg</f>
        <v>1.6153218420962612E-2</v>
      </c>
      <c r="AI1548" s="22">
        <f>Constants!$H64*'Activity data'!BB6*Constants!$H82*FracLEACHMM*MMLeachEF*NtoN2O*kgtoGg</f>
        <v>1.6165099014506461E-2</v>
      </c>
      <c r="AJ1548" s="22">
        <f>Constants!$H64*'Activity data'!BC6*Constants!$H82*FracLEACHMM*MMLeachEF*NtoN2O*kgtoGg</f>
        <v>1.6178540267475436E-2</v>
      </c>
      <c r="AK1548" s="22">
        <f>Constants!$H64*'Activity data'!BD6*Constants!$H82*FracLEACHMM*MMLeachEF*NtoN2O*kgtoGg</f>
        <v>1.6193482859768772E-2</v>
      </c>
      <c r="AL1548" s="22">
        <f>Constants!$H64*'Activity data'!BE6*Constants!$H82*FracLEACHMM*MMLeachEF*NtoN2O*kgtoGg</f>
        <v>1.6209872039886029E-2</v>
      </c>
      <c r="AM1548" s="22">
        <f>Constants!$H64*'Activity data'!BF6*Constants!$H82*FracLEACHMM*MMLeachEF*NtoN2O*kgtoGg</f>
        <v>1.6227657191900897E-2</v>
      </c>
      <c r="AN1548" s="22">
        <f>Constants!$H64*'Activity data'!BG6*Constants!$H82*FracLEACHMM*MMLeachEF*NtoN2O*kgtoGg</f>
        <v>1.6235314231230563E-2</v>
      </c>
      <c r="AO1548" s="22">
        <f>Constants!$H64*'Activity data'!BH6*Constants!$H82*FracLEACHMM*MMLeachEF*NtoN2O*kgtoGg</f>
        <v>1.6244200616272676E-2</v>
      </c>
      <c r="AP1548" s="22">
        <f>Constants!$H64*'Activity data'!BI6*Constants!$H82*FracLEACHMM*MMLeachEF*NtoN2O*kgtoGg</f>
        <v>1.6254273409760815E-2</v>
      </c>
      <c r="AQ1548" s="22">
        <f>Constants!$H64*'Activity data'!BJ6*Constants!$H82*FracLEACHMM*MMLeachEF*NtoN2O*kgtoGg</f>
        <v>1.6265492604329402E-2</v>
      </c>
      <c r="AR1548" s="22">
        <f>Constants!$H64*'Activity data'!BK6*Constants!$H82*FracLEACHMM*MMLeachEF*NtoN2O*kgtoGg</f>
        <v>1.6277820873888151E-2</v>
      </c>
      <c r="AS1548" s="22">
        <f>Constants!$H64*'Activity data'!BL6*Constants!$H82*FracLEACHMM*MMLeachEF*NtoN2O*kgtoGg</f>
        <v>1.6279622458709387E-2</v>
      </c>
      <c r="AT1548" s="22">
        <f>Constants!$H64*'Activity data'!BM6*Constants!$H82*FracLEACHMM*MMLeachEF*NtoN2O*kgtoGg</f>
        <v>1.6282407265987193E-2</v>
      </c>
      <c r="AU1548" s="22">
        <f>Constants!$H64*'Activity data'!BN6*Constants!$H82*FracLEACHMM*MMLeachEF*NtoN2O*kgtoGg</f>
        <v>1.6286142706639629E-2</v>
      </c>
      <c r="AV1548" s="22">
        <f>Constants!$H64*'Activity data'!BO6*Constants!$H82*FracLEACHMM*MMLeachEF*NtoN2O*kgtoGg</f>
        <v>1.6290798176882768E-2</v>
      </c>
      <c r="AW1548" s="22">
        <f>Constants!$H64*'Activity data'!BP6*Constants!$H82*FracLEACHMM*MMLeachEF*NtoN2O*kgtoGg</f>
        <v>1.6296344905722616E-2</v>
      </c>
    </row>
    <row r="1549" spans="1:49" x14ac:dyDescent="0.25">
      <c r="A1549" s="102" t="s">
        <v>961</v>
      </c>
      <c r="B1549" s="102"/>
      <c r="C1549" s="102"/>
      <c r="D1549" t="str">
        <f t="shared" si="577"/>
        <v>3C Aggregated and non-CO2 emissions on land</v>
      </c>
      <c r="E1549" t="str">
        <f t="shared" si="577"/>
        <v>3C6 Indirect N2O from manure management (N2O)</v>
      </c>
      <c r="F1549" t="str">
        <f t="shared" si="577"/>
        <v>Leaching/runoff</v>
      </c>
      <c r="G1549" t="str">
        <f t="shared" si="578"/>
        <v xml:space="preserve"> - Non-lactating</v>
      </c>
      <c r="H1549" t="str">
        <f t="shared" si="576"/>
        <v>Leaching/runoff - Non-lactating</v>
      </c>
      <c r="I1549" t="str">
        <f t="shared" si="571"/>
        <v>N2O</v>
      </c>
      <c r="J1549" t="str">
        <f t="shared" si="570"/>
        <v>Gg N2O</v>
      </c>
      <c r="K1549" s="22">
        <f>Constants!$H65*'Activity data'!AD7*Constants!$H83*FracLEACHMM*MMLeachEF*NtoN2O*kgtoGg</f>
        <v>1.4509917151188738E-3</v>
      </c>
      <c r="L1549" s="22">
        <f>Constants!$H65*'Activity data'!AE7*Constants!$H83*FracLEACHMM*MMLeachEF*NtoN2O*kgtoGg</f>
        <v>1.4600171283433256E-3</v>
      </c>
      <c r="M1549" s="22">
        <f>Constants!$H65*'Activity data'!AF7*Constants!$H83*FracLEACHMM*MMLeachEF*NtoN2O*kgtoGg</f>
        <v>1.4662222242646174E-3</v>
      </c>
      <c r="N1549" s="22">
        <f>Constants!$H65*'Activity data'!AG7*Constants!$H83*FracLEACHMM*MMLeachEF*NtoN2O*kgtoGg</f>
        <v>1.4681682336871716E-3</v>
      </c>
      <c r="O1549" s="22">
        <f>Constants!$H65*'Activity data'!AH7*Constants!$H83*FracLEACHMM*MMLeachEF*NtoN2O*kgtoGg</f>
        <v>1.4708008940557055E-3</v>
      </c>
      <c r="P1549" s="22">
        <f>Constants!$H65*'Activity data'!AI7*Constants!$H83*FracLEACHMM*MMLeachEF*NtoN2O*kgtoGg</f>
        <v>1.4765674204667426E-3</v>
      </c>
      <c r="Q1549" s="22">
        <f>Constants!$H65*'Activity data'!AJ7*Constants!$H83*FracLEACHMM*MMLeachEF*NtoN2O*kgtoGg</f>
        <v>1.4834809007190539E-3</v>
      </c>
      <c r="R1549" s="22">
        <f>Constants!$H65*'Activity data'!AK7*Constants!$H83*FracLEACHMM*MMLeachEF*NtoN2O*kgtoGg</f>
        <v>1.485557782302746E-3</v>
      </c>
      <c r="S1549" s="22">
        <f>Constants!$H65*'Activity data'!AL7*Constants!$H83*FracLEACHMM*MMLeachEF*NtoN2O*kgtoGg</f>
        <v>1.439951492065016E-3</v>
      </c>
      <c r="T1549" s="22">
        <f>Constants!$H65*'Activity data'!AM7*Constants!$H83*FracLEACHMM*MMLeachEF*NtoN2O*kgtoGg</f>
        <v>1.4518118874312183E-3</v>
      </c>
      <c r="U1549" s="22">
        <f>Constants!$H65*'Activity data'!AN7*Constants!$H83*FracLEACHMM*MMLeachEF*NtoN2O*kgtoGg</f>
        <v>1.4626875331571739E-3</v>
      </c>
      <c r="V1549" s="22">
        <f>Constants!$H65*'Activity data'!AO7*Constants!$H83*FracLEACHMM*MMLeachEF*NtoN2O*kgtoGg</f>
        <v>1.4738386940228707E-3</v>
      </c>
      <c r="W1549" s="22">
        <f>Constants!$H65*'Activity data'!AP7*Constants!$H83*FracLEACHMM*MMLeachEF*NtoN2O*kgtoGg</f>
        <v>1.4872717842057417E-3</v>
      </c>
      <c r="X1549" s="22">
        <f>Constants!$H65*'Activity data'!AQ7*Constants!$H83*FracLEACHMM*MMLeachEF*NtoN2O*kgtoGg</f>
        <v>1.5009569382520018E-3</v>
      </c>
      <c r="Y1549" s="22">
        <f>Constants!$H65*'Activity data'!AR7*Constants!$H83*FracLEACHMM*MMLeachEF*NtoN2O*kgtoGg</f>
        <v>1.5142824246825921E-3</v>
      </c>
      <c r="Z1549" s="22">
        <f>Constants!$H65*'Activity data'!AS7*Constants!$H83*FracLEACHMM*MMLeachEF*NtoN2O*kgtoGg</f>
        <v>1.5273413245364029E-3</v>
      </c>
      <c r="AA1549" s="22">
        <f>Constants!$H65*'Activity data'!AT7*Constants!$H83*FracLEACHMM*MMLeachEF*NtoN2O*kgtoGg</f>
        <v>1.5414071919050509E-3</v>
      </c>
      <c r="AB1549" s="22">
        <f>Constants!$H65*'Activity data'!AU7*Constants!$H83*FracLEACHMM*MMLeachEF*NtoN2O*kgtoGg</f>
        <v>1.5547272918144282E-3</v>
      </c>
      <c r="AC1549" s="22">
        <f>Constants!$H65*'Activity data'!AV7*Constants!$H83*FracLEACHMM*MMLeachEF*NtoN2O*kgtoGg</f>
        <v>1.568525174424283E-3</v>
      </c>
      <c r="AD1549" s="22">
        <f>Constants!$H65*'Activity data'!AW7*Constants!$H83*FracLEACHMM*MMLeachEF*NtoN2O*kgtoGg</f>
        <v>1.5843776824779826E-3</v>
      </c>
      <c r="AE1549" s="22">
        <f>Constants!$H65*'Activity data'!AX7*Constants!$H83*FracLEACHMM*MMLeachEF*NtoN2O*kgtoGg</f>
        <v>1.6016427301533305E-3</v>
      </c>
      <c r="AF1549" s="22">
        <f>Constants!$H65*'Activity data'!AY7*Constants!$H83*FracLEACHMM*MMLeachEF*NtoN2O*kgtoGg</f>
        <v>1.6195930676455074E-3</v>
      </c>
      <c r="AG1549" s="22">
        <f>Constants!$H65*'Activity data'!AZ7*Constants!$H83*FracLEACHMM*MMLeachEF*NtoN2O*kgtoGg</f>
        <v>1.6221004554733333E-3</v>
      </c>
      <c r="AH1549" s="22">
        <f>Constants!$H65*'Activity data'!BA7*Constants!$H83*FracLEACHMM*MMLeachEF*NtoN2O*kgtoGg</f>
        <v>8.6845675787475588E-4</v>
      </c>
      <c r="AI1549" s="22">
        <f>Constants!$H65*'Activity data'!BB7*Constants!$H83*FracLEACHMM*MMLeachEF*NtoN2O*kgtoGg</f>
        <v>8.6909550251881536E-4</v>
      </c>
      <c r="AJ1549" s="22">
        <f>Constants!$H65*'Activity data'!BC7*Constants!$H83*FracLEACHMM*MMLeachEF*NtoN2O*kgtoGg</f>
        <v>8.6981815398498119E-4</v>
      </c>
      <c r="AK1549" s="22">
        <f>Constants!$H65*'Activity data'!BD7*Constants!$H83*FracLEACHMM*MMLeachEF*NtoN2O*kgtoGg</f>
        <v>8.7062152300526781E-4</v>
      </c>
      <c r="AL1549" s="22">
        <f>Constants!$H65*'Activity data'!BE7*Constants!$H83*FracLEACHMM*MMLeachEF*NtoN2O*kgtoGg</f>
        <v>8.7150266593653532E-4</v>
      </c>
      <c r="AM1549" s="22">
        <f>Constants!$H65*'Activity data'!BF7*Constants!$H83*FracLEACHMM*MMLeachEF*NtoN2O*kgtoGg</f>
        <v>8.7245886147940626E-4</v>
      </c>
      <c r="AN1549" s="22">
        <f>Constants!$H65*'Activity data'!BG7*Constants!$H83*FracLEACHMM*MMLeachEF*NtoN2O*kgtoGg</f>
        <v>8.728705322299566E-4</v>
      </c>
      <c r="AO1549" s="22">
        <f>Constants!$H65*'Activity data'!BH7*Constants!$H83*FracLEACHMM*MMLeachEF*NtoN2O*kgtoGg</f>
        <v>8.7334829715220207E-4</v>
      </c>
      <c r="AP1549" s="22">
        <f>Constants!$H65*'Activity data'!BI7*Constants!$H83*FracLEACHMM*MMLeachEF*NtoN2O*kgtoGg</f>
        <v>8.7388984777991429E-4</v>
      </c>
      <c r="AQ1549" s="22">
        <f>Constants!$H65*'Activity data'!BJ7*Constants!$H83*FracLEACHMM*MMLeachEF*NtoN2O*kgtoGg</f>
        <v>8.7449303316917135E-4</v>
      </c>
      <c r="AR1549" s="22">
        <f>Constants!$H65*'Activity data'!BK7*Constants!$H83*FracLEACHMM*MMLeachEF*NtoN2O*kgtoGg</f>
        <v>8.7515584653132471E-4</v>
      </c>
      <c r="AS1549" s="22">
        <f>Constants!$H65*'Activity data'!BL7*Constants!$H83*FracLEACHMM*MMLeachEF*NtoN2O*kgtoGg</f>
        <v>8.7525270639368256E-4</v>
      </c>
      <c r="AT1549" s="22">
        <f>Constants!$H65*'Activity data'!BM7*Constants!$H83*FracLEACHMM*MMLeachEF*NtoN2O*kgtoGg</f>
        <v>8.7540242793132E-4</v>
      </c>
      <c r="AU1549" s="22">
        <f>Constants!$H65*'Activity data'!BN7*Constants!$H83*FracLEACHMM*MMLeachEF*NtoN2O*kgtoGg</f>
        <v>8.7560325903467736E-4</v>
      </c>
      <c r="AV1549" s="22">
        <f>Constants!$H65*'Activity data'!BO7*Constants!$H83*FracLEACHMM*MMLeachEF*NtoN2O*kgtoGg</f>
        <v>8.7585355433115466E-4</v>
      </c>
      <c r="AW1549" s="22">
        <f>Constants!$H65*'Activity data'!BP7*Constants!$H83*FracLEACHMM*MMLeachEF*NtoN2O*kgtoGg</f>
        <v>8.7615176698571857E-4</v>
      </c>
    </row>
    <row r="1550" spans="1:49" x14ac:dyDescent="0.25">
      <c r="A1550" s="102" t="s">
        <v>961</v>
      </c>
      <c r="B1550" s="102"/>
      <c r="C1550" s="102"/>
      <c r="D1550" t="str">
        <f t="shared" si="577"/>
        <v>3C Aggregated and non-CO2 emissions on land</v>
      </c>
      <c r="E1550" t="str">
        <f t="shared" si="577"/>
        <v>3C6 Indirect N2O from manure management (N2O)</v>
      </c>
      <c r="F1550" t="str">
        <f t="shared" si="577"/>
        <v>Leaching/runoff</v>
      </c>
      <c r="G1550" t="str">
        <f t="shared" si="578"/>
        <v xml:space="preserve"> - Commercial cattle</v>
      </c>
      <c r="H1550" t="str">
        <f t="shared" si="576"/>
        <v>Leaching/runoff - Commercial cattle</v>
      </c>
      <c r="I1550" t="str">
        <f t="shared" si="571"/>
        <v>N2O</v>
      </c>
      <c r="J1550" t="str">
        <f t="shared" si="570"/>
        <v>Gg N2O</v>
      </c>
      <c r="K1550" s="22">
        <f>Constants!$H66*'Activity data'!AD8*Constants!$H84*FracLEACHMM*MMLeachEF*NtoN2O*kgtoGg</f>
        <v>3.0570019073752373E-2</v>
      </c>
      <c r="L1550" s="22">
        <f>Constants!$H66*'Activity data'!AE8*Constants!$H84*FracLEACHMM*MMLeachEF*NtoN2O*kgtoGg</f>
        <v>3.0367387601048686E-2</v>
      </c>
      <c r="M1550" s="22">
        <f>Constants!$H66*'Activity data'!AF8*Constants!$H84*FracLEACHMM*MMLeachEF*NtoN2O*kgtoGg</f>
        <v>2.9940152719715736E-2</v>
      </c>
      <c r="N1550" s="22">
        <f>Constants!$H66*'Activity data'!AG8*Constants!$H84*FracLEACHMM*MMLeachEF*NtoN2O*kgtoGg</f>
        <v>2.9219989120948371E-2</v>
      </c>
      <c r="O1550" s="22">
        <f>Constants!$H66*'Activity data'!AH8*Constants!$H84*FracLEACHMM*MMLeachEF*NtoN2O*kgtoGg</f>
        <v>2.852126892952573E-2</v>
      </c>
      <c r="P1550" s="22">
        <f>Constants!$H66*'Activity data'!AI8*Constants!$H84*FracLEACHMM*MMLeachEF*NtoN2O*kgtoGg</f>
        <v>2.7983855033028606E-2</v>
      </c>
      <c r="Q1550" s="22">
        <f>Constants!$H66*'Activity data'!AJ8*Constants!$H84*FracLEACHMM*MMLeachEF*NtoN2O*kgtoGg</f>
        <v>2.749776002622362E-2</v>
      </c>
      <c r="R1550" s="22">
        <f>Constants!$H66*'Activity data'!AK8*Constants!$H84*FracLEACHMM*MMLeachEF*NtoN2O*kgtoGg</f>
        <v>2.6733493787157343E-2</v>
      </c>
      <c r="S1550" s="22">
        <f>Constants!$H66*'Activity data'!AL8*Constants!$H84*FracLEACHMM*MMLeachEF*NtoN2O*kgtoGg</f>
        <v>2.3446894467457041E-2</v>
      </c>
      <c r="T1550" s="22">
        <f>Constants!$H66*'Activity data'!AM8*Constants!$H84*FracLEACHMM*MMLeachEF*NtoN2O*kgtoGg</f>
        <v>2.3670380965491088E-2</v>
      </c>
      <c r="U1550" s="22">
        <f>Constants!$H66*'Activity data'!AN8*Constants!$H84*FracLEACHMM*MMLeachEF*NtoN2O*kgtoGg</f>
        <v>2.3821608196176489E-2</v>
      </c>
      <c r="V1550" s="22">
        <f>Constants!$H66*'Activity data'!AO8*Constants!$H84*FracLEACHMM*MMLeachEF*NtoN2O*kgtoGg</f>
        <v>2.3967916654645059E-2</v>
      </c>
      <c r="W1550" s="22">
        <f>Constants!$H66*'Activity data'!AP8*Constants!$H84*FracLEACHMM*MMLeachEF*NtoN2O*kgtoGg</f>
        <v>2.4209875654048162E-2</v>
      </c>
      <c r="X1550" s="22">
        <f>Constants!$H66*'Activity data'!AQ8*Constants!$H84*FracLEACHMM*MMLeachEF*NtoN2O*kgtoGg</f>
        <v>2.4443860278754486E-2</v>
      </c>
      <c r="Y1550" s="22">
        <f>Constants!$H66*'Activity data'!AR8*Constants!$H84*FracLEACHMM*MMLeachEF*NtoN2O*kgtoGg</f>
        <v>2.4689509012601481E-2</v>
      </c>
      <c r="Z1550" s="22">
        <f>Constants!$H66*'Activity data'!AS8*Constants!$H84*FracLEACHMM*MMLeachEF*NtoN2O*kgtoGg</f>
        <v>2.4903367961433137E-2</v>
      </c>
      <c r="AA1550" s="22">
        <f>Constants!$H66*'Activity data'!AT8*Constants!$H84*FracLEACHMM*MMLeachEF*NtoN2O*kgtoGg</f>
        <v>2.5146768445041517E-2</v>
      </c>
      <c r="AB1550" s="22">
        <f>Constants!$H66*'Activity data'!AU8*Constants!$H84*FracLEACHMM*MMLeachEF*NtoN2O*kgtoGg</f>
        <v>2.5337237570324824E-2</v>
      </c>
      <c r="AC1550" s="22">
        <f>Constants!$H66*'Activity data'!AV8*Constants!$H84*FracLEACHMM*MMLeachEF*NtoN2O*kgtoGg</f>
        <v>2.5532932848471888E-2</v>
      </c>
      <c r="AD1550" s="22">
        <f>Constants!$H66*'Activity data'!AW8*Constants!$H84*FracLEACHMM*MMLeachEF*NtoN2O*kgtoGg</f>
        <v>2.5624080551254102E-2</v>
      </c>
      <c r="AE1550" s="22">
        <f>Constants!$H66*'Activity data'!AX8*Constants!$H84*FracLEACHMM*MMLeachEF*NtoN2O*kgtoGg</f>
        <v>2.5749062544479791E-2</v>
      </c>
      <c r="AF1550" s="22">
        <f>Constants!$H66*'Activity data'!AY8*Constants!$H84*FracLEACHMM*MMLeachEF*NtoN2O*kgtoGg</f>
        <v>2.5873562186552946E-2</v>
      </c>
      <c r="AG1550" s="22">
        <f>Constants!$H66*'Activity data'!AZ8*Constants!$H84*FracLEACHMM*MMLeachEF*NtoN2O*kgtoGg</f>
        <v>2.53248358805277E-2</v>
      </c>
      <c r="AH1550" s="22">
        <f>Constants!$H66*'Activity data'!BA8*Constants!$H84*FracLEACHMM*MMLeachEF*NtoN2O*kgtoGg</f>
        <v>-5.9737784992688692E-3</v>
      </c>
      <c r="AI1550" s="22">
        <f>Constants!$H66*'Activity data'!BB8*Constants!$H84*FracLEACHMM*MMLeachEF*NtoN2O*kgtoGg</f>
        <v>-5.8352076147992196E-3</v>
      </c>
      <c r="AJ1550" s="22">
        <f>Constants!$H66*'Activity data'!BC8*Constants!$H84*FracLEACHMM*MMLeachEF*NtoN2O*kgtoGg</f>
        <v>-5.6988404422584063E-3</v>
      </c>
      <c r="AK1550" s="22">
        <f>Constants!$H66*'Activity data'!BD8*Constants!$H84*FracLEACHMM*MMLeachEF*NtoN2O*kgtoGg</f>
        <v>-5.5645615630153409E-3</v>
      </c>
      <c r="AL1550" s="22">
        <f>Constants!$H66*'Activity data'!BE8*Constants!$H84*FracLEACHMM*MMLeachEF*NtoN2O*kgtoGg</f>
        <v>-5.4322635380194221E-3</v>
      </c>
      <c r="AM1550" s="22">
        <f>Constants!$H66*'Activity data'!BF8*Constants!$H84*FracLEACHMM*MMLeachEF*NtoN2O*kgtoGg</f>
        <v>-5.3018461683791993E-3</v>
      </c>
      <c r="AN1550" s="22">
        <f>Constants!$H66*'Activity data'!BG8*Constants!$H84*FracLEACHMM*MMLeachEF*NtoN2O*kgtoGg</f>
        <v>-5.1961071833315654E-3</v>
      </c>
      <c r="AO1550" s="22">
        <f>Constants!$H66*'Activity data'!BH8*Constants!$H84*FracLEACHMM*MMLeachEF*NtoN2O*kgtoGg</f>
        <v>-5.0919652579405755E-3</v>
      </c>
      <c r="AP1550" s="22">
        <f>Constants!$H66*'Activity data'!BI8*Constants!$H84*FracLEACHMM*MMLeachEF*NtoN2O*kgtoGg</f>
        <v>-4.9893480213799102E-3</v>
      </c>
      <c r="AQ1550" s="22">
        <f>Constants!$H66*'Activity data'!BJ8*Constants!$H84*FracLEACHMM*MMLeachEF*NtoN2O*kgtoGg</f>
        <v>-4.8881876039149471E-3</v>
      </c>
      <c r="AR1550" s="22">
        <f>Constants!$H66*'Activity data'!BK8*Constants!$H84*FracLEACHMM*MMLeachEF*NtoN2O*kgtoGg</f>
        <v>-4.7884202636879142E-3</v>
      </c>
      <c r="AS1550" s="22">
        <f>Constants!$H66*'Activity data'!BL8*Constants!$H84*FracLEACHMM*MMLeachEF*NtoN2O*kgtoGg</f>
        <v>-4.6867985813226392E-3</v>
      </c>
      <c r="AT1550" s="22">
        <f>Constants!$H66*'Activity data'!BM8*Constants!$H84*FracLEACHMM*MMLeachEF*NtoN2O*kgtoGg</f>
        <v>-4.5865743266878378E-3</v>
      </c>
      <c r="AU1550" s="22">
        <f>Constants!$H66*'Activity data'!BN8*Constants!$H84*FracLEACHMM*MMLeachEF*NtoN2O*kgtoGg</f>
        <v>-4.4876925271481486E-3</v>
      </c>
      <c r="AV1550" s="22">
        <f>Constants!$H66*'Activity data'!BO8*Constants!$H84*FracLEACHMM*MMLeachEF*NtoN2O*kgtoGg</f>
        <v>-4.3901012986055903E-3</v>
      </c>
      <c r="AW1550" s="22">
        <f>Constants!$H66*'Activity data'!BP8*Constants!$H84*FracLEACHMM*MMLeachEF*NtoN2O*kgtoGg</f>
        <v>-4.2937516147018842E-3</v>
      </c>
    </row>
    <row r="1551" spans="1:49" x14ac:dyDescent="0.25">
      <c r="A1551" s="102" t="s">
        <v>961</v>
      </c>
      <c r="B1551" s="102"/>
      <c r="C1551" s="102"/>
      <c r="D1551" t="str">
        <f t="shared" si="577"/>
        <v>3C Aggregated and non-CO2 emissions on land</v>
      </c>
      <c r="E1551" t="str">
        <f t="shared" si="577"/>
        <v>3C6 Indirect N2O from manure management (N2O)</v>
      </c>
      <c r="F1551" t="str">
        <f t="shared" si="577"/>
        <v>Leaching/runoff</v>
      </c>
      <c r="G1551" t="str">
        <f t="shared" si="578"/>
        <v xml:space="preserve"> - Subsistence cattle</v>
      </c>
      <c r="H1551" t="str">
        <f t="shared" si="576"/>
        <v>Leaching/runoff - Subsistence cattle</v>
      </c>
      <c r="I1551" t="str">
        <f t="shared" si="571"/>
        <v>N2O</v>
      </c>
      <c r="J1551" t="str">
        <f t="shared" si="570"/>
        <v>Gg N2O</v>
      </c>
      <c r="K1551" s="22">
        <f>Constants!$H67*'Activity data'!AD9*Constants!$H85*FracLEACHMM*MMLeachEF*NtoN2O*kgtoGg</f>
        <v>4.0580733454567468E-2</v>
      </c>
      <c r="L1551" s="22">
        <f>Constants!$H67*'Activity data'!AE9*Constants!$H85*FracLEACHMM*MMLeachEF*NtoN2O*kgtoGg</f>
        <v>4.0311746583363478E-2</v>
      </c>
      <c r="M1551" s="22">
        <f>Constants!$H67*'Activity data'!AF9*Constants!$H85*FracLEACHMM*MMLeachEF*NtoN2O*kgtoGg</f>
        <v>3.9744605790940746E-2</v>
      </c>
      <c r="N1551" s="22">
        <f>Constants!$H67*'Activity data'!AG9*Constants!$H85*FracLEACHMM*MMLeachEF*NtoN2O*kgtoGg</f>
        <v>3.8788611390847182E-2</v>
      </c>
      <c r="O1551" s="22">
        <f>Constants!$H67*'Activity data'!AH9*Constants!$H85*FracLEACHMM*MMLeachEF*NtoN2O*kgtoGg</f>
        <v>3.7861082435793565E-2</v>
      </c>
      <c r="P1551" s="22">
        <f>Constants!$H67*'Activity data'!AI9*Constants!$H85*FracLEACHMM*MMLeachEF*NtoN2O*kgtoGg</f>
        <v>3.7147682485472483E-2</v>
      </c>
      <c r="Q1551" s="22">
        <f>Constants!$H67*'Activity data'!AJ9*Constants!$H85*FracLEACHMM*MMLeachEF*NtoN2O*kgtoGg</f>
        <v>3.6502406738108395E-2</v>
      </c>
      <c r="R1551" s="22">
        <f>Constants!$H67*'Activity data'!AK9*Constants!$H85*FracLEACHMM*MMLeachEF*NtoN2O*kgtoGg</f>
        <v>3.5487867477892406E-2</v>
      </c>
      <c r="S1551" s="22">
        <f>Constants!$H67*'Activity data'!AL9*Constants!$H85*FracLEACHMM*MMLeachEF*NtoN2O*kgtoGg</f>
        <v>3.1125010829260641E-2</v>
      </c>
      <c r="T1551" s="22">
        <f>Constants!$H67*'Activity data'!AM9*Constants!$H85*FracLEACHMM*MMLeachEF*NtoN2O*kgtoGg</f>
        <v>3.142168208698979E-2</v>
      </c>
      <c r="U1551" s="22">
        <f>Constants!$H67*'Activity data'!AN9*Constants!$H85*FracLEACHMM*MMLeachEF*NtoN2O*kgtoGg</f>
        <v>3.1622431452723296E-2</v>
      </c>
      <c r="V1551" s="22">
        <f>Constants!$H67*'Activity data'!AO9*Constants!$H85*FracLEACHMM*MMLeachEF*NtoN2O*kgtoGg</f>
        <v>3.1816651303909434E-2</v>
      </c>
      <c r="W1551" s="22">
        <f>Constants!$H67*'Activity data'!AP9*Constants!$H85*FracLEACHMM*MMLeachEF*NtoN2O*kgtoGg</f>
        <v>3.2137844222959386E-2</v>
      </c>
      <c r="X1551" s="22">
        <f>Constants!$H67*'Activity data'!AQ9*Constants!$H85*FracLEACHMM*MMLeachEF*NtoN2O*kgtoGg</f>
        <v>3.2448451411812178E-2</v>
      </c>
      <c r="Y1551" s="22">
        <f>Constants!$H67*'Activity data'!AR9*Constants!$H85*FracLEACHMM*MMLeachEF*NtoN2O*kgtoGg</f>
        <v>3.2774542336637791E-2</v>
      </c>
      <c r="Z1551" s="22">
        <f>Constants!$H67*'Activity data'!AS9*Constants!$H85*FracLEACHMM*MMLeachEF*NtoN2O*kgtoGg</f>
        <v>3.3058433327300053E-2</v>
      </c>
      <c r="AA1551" s="22">
        <f>Constants!$H67*'Activity data'!AT9*Constants!$H85*FracLEACHMM*MMLeachEF*NtoN2O*kgtoGg</f>
        <v>3.3381539771041358E-2</v>
      </c>
      <c r="AB1551" s="22">
        <f>Constants!$H67*'Activity data'!AU9*Constants!$H85*FracLEACHMM*MMLeachEF*NtoN2O*kgtoGg</f>
        <v>3.3634381510714434E-2</v>
      </c>
      <c r="AC1551" s="22">
        <f>Constants!$H67*'Activity data'!AV9*Constants!$H85*FracLEACHMM*MMLeachEF*NtoN2O*kgtoGg</f>
        <v>3.3894160803021843E-2</v>
      </c>
      <c r="AD1551" s="22">
        <f>Constants!$H67*'Activity data'!AW9*Constants!$H85*FracLEACHMM*MMLeachEF*NtoN2O*kgtoGg</f>
        <v>3.4015156495653814E-2</v>
      </c>
      <c r="AE1551" s="22">
        <f>Constants!$H67*'Activity data'!AX9*Constants!$H85*FracLEACHMM*MMLeachEF*NtoN2O*kgtoGg</f>
        <v>3.4181066138741563E-2</v>
      </c>
      <c r="AF1551" s="22">
        <f>Constants!$H67*'Activity data'!AY9*Constants!$H85*FracLEACHMM*MMLeachEF*NtoN2O*kgtoGg</f>
        <v>3.4346335475930106E-2</v>
      </c>
      <c r="AG1551" s="22">
        <f>Constants!$H67*'Activity data'!AZ9*Constants!$H85*FracLEACHMM*MMLeachEF*NtoN2O*kgtoGg</f>
        <v>3.3617918659748287E-2</v>
      </c>
      <c r="AH1551" s="22">
        <f>Constants!$H67*'Activity data'!BA9*Constants!$H85*FracLEACHMM*MMLeachEF*NtoN2O*kgtoGg</f>
        <v>-7.9300020196454452E-3</v>
      </c>
      <c r="AI1551" s="22">
        <f>Constants!$H67*'Activity data'!BB9*Constants!$H85*FracLEACHMM*MMLeachEF*NtoN2O*kgtoGg</f>
        <v>-7.7460535532195693E-3</v>
      </c>
      <c r="AJ1551" s="22">
        <f>Constants!$H67*'Activity data'!BC9*Constants!$H85*FracLEACHMM*MMLeachEF*NtoN2O*kgtoGg</f>
        <v>-7.565030444680417E-3</v>
      </c>
      <c r="AK1551" s="22">
        <f>Constants!$H67*'Activity data'!BD9*Constants!$H85*FracLEACHMM*MMLeachEF*NtoN2O*kgtoGg</f>
        <v>-7.3867794794456746E-3</v>
      </c>
      <c r="AL1551" s="22">
        <f>Constants!$H67*'Activity data'!BE9*Constants!$H85*FracLEACHMM*MMLeachEF*NtoN2O*kgtoGg</f>
        <v>-7.211158035573738E-3</v>
      </c>
      <c r="AM1551" s="22">
        <f>Constants!$H67*'Activity data'!BF9*Constants!$H85*FracLEACHMM*MMLeachEF*NtoN2O*kgtoGg</f>
        <v>-7.038033102205285E-3</v>
      </c>
      <c r="AN1551" s="22">
        <f>Constants!$H67*'Activity data'!BG9*Constants!$H85*FracLEACHMM*MMLeachEF*NtoN2O*kgtoGg</f>
        <v>-6.8976679438577443E-3</v>
      </c>
      <c r="AO1551" s="22">
        <f>Constants!$H67*'Activity data'!BH9*Constants!$H85*FracLEACHMM*MMLeachEF*NtoN2O*kgtoGg</f>
        <v>-6.7594228316927426E-3</v>
      </c>
      <c r="AP1551" s="22">
        <f>Constants!$H67*'Activity data'!BI9*Constants!$H85*FracLEACHMM*MMLeachEF*NtoN2O*kgtoGg</f>
        <v>-6.6232016957272714E-3</v>
      </c>
      <c r="AQ1551" s="22">
        <f>Constants!$H67*'Activity data'!BJ9*Constants!$H85*FracLEACHMM*MMLeachEF*NtoN2O*kgtoGg</f>
        <v>-6.4889144410352007E-3</v>
      </c>
      <c r="AR1551" s="22">
        <f>Constants!$H67*'Activity data'!BK9*Constants!$H85*FracLEACHMM*MMLeachEF*NtoN2O*kgtoGg</f>
        <v>-6.3564764523163604E-3</v>
      </c>
      <c r="AS1551" s="22">
        <f>Constants!$H67*'Activity data'!BL9*Constants!$H85*FracLEACHMM*MMLeachEF*NtoN2O*kgtoGg</f>
        <v>-6.2215768830579691E-3</v>
      </c>
      <c r="AT1551" s="22">
        <f>Constants!$H67*'Activity data'!BM9*Constants!$H85*FracLEACHMM*MMLeachEF*NtoN2O*kgtoGg</f>
        <v>-6.0885323549140658E-3</v>
      </c>
      <c r="AU1551" s="22">
        <f>Constants!$H67*'Activity data'!BN9*Constants!$H85*FracLEACHMM*MMLeachEF*NtoN2O*kgtoGg</f>
        <v>-5.9572698934498708E-3</v>
      </c>
      <c r="AV1551" s="22">
        <f>Constants!$H67*'Activity data'!BO9*Constants!$H85*FracLEACHMM*MMLeachEF*NtoN2O*kgtoGg</f>
        <v>-5.8277206241663026E-3</v>
      </c>
      <c r="AW1551" s="22">
        <f>Constants!$H67*'Activity data'!BP9*Constants!$H85*FracLEACHMM*MMLeachEF*NtoN2O*kgtoGg</f>
        <v>-5.6998194661233492E-3</v>
      </c>
    </row>
    <row r="1552" spans="1:49" x14ac:dyDescent="0.25">
      <c r="A1552" s="102" t="s">
        <v>961</v>
      </c>
      <c r="B1552" s="102"/>
      <c r="C1552" s="102"/>
      <c r="D1552" t="str">
        <f t="shared" si="577"/>
        <v>3C Aggregated and non-CO2 emissions on land</v>
      </c>
      <c r="E1552" t="str">
        <f t="shared" si="577"/>
        <v>3C6 Indirect N2O from manure management (N2O)</v>
      </c>
      <c r="F1552" t="str">
        <f t="shared" si="577"/>
        <v>Leaching/runoff</v>
      </c>
      <c r="G1552" t="str">
        <f t="shared" si="578"/>
        <v xml:space="preserve"> - Feedlot</v>
      </c>
      <c r="H1552" t="str">
        <f t="shared" si="576"/>
        <v>Leaching/runoff - Feedlot</v>
      </c>
      <c r="I1552" t="str">
        <f t="shared" si="571"/>
        <v>N2O</v>
      </c>
      <c r="J1552" t="str">
        <f t="shared" si="570"/>
        <v>Gg N2O</v>
      </c>
      <c r="K1552" s="22">
        <f>Constants!$H68*'Activity data'!AD10*Constants!$H86*FracLEACHMM*MMLeachEF*NtoN2O*kgtoGg</f>
        <v>4.2198184999711216E-2</v>
      </c>
      <c r="L1552" s="22">
        <f>Constants!$H68*'Activity data'!AE10*Constants!$H86*FracLEACHMM*MMLeachEF*NtoN2O*kgtoGg</f>
        <v>4.3701080723593189E-2</v>
      </c>
      <c r="M1552" s="22">
        <f>Constants!$H68*'Activity data'!AF10*Constants!$H86*FracLEACHMM*MMLeachEF*NtoN2O*kgtoGg</f>
        <v>4.4893970631746632E-2</v>
      </c>
      <c r="N1552" s="22">
        <f>Constants!$H68*'Activity data'!AG10*Constants!$H86*FracLEACHMM*MMLeachEF*NtoN2O*kgtoGg</f>
        <v>4.5631666148342777E-2</v>
      </c>
      <c r="O1552" s="22">
        <f>Constants!$H68*'Activity data'!AH10*Constants!$H86*FracLEACHMM*MMLeachEF*NtoN2O*kgtoGg</f>
        <v>4.6370901653410727E-2</v>
      </c>
      <c r="P1552" s="22">
        <f>Constants!$H68*'Activity data'!AI10*Constants!$H86*FracLEACHMM*MMLeachEF*NtoN2O*kgtoGg</f>
        <v>4.7352594214128713E-2</v>
      </c>
      <c r="Q1552" s="22">
        <f>Constants!$H68*'Activity data'!AJ10*Constants!$H86*FracLEACHMM*MMLeachEF*NtoN2O*kgtoGg</f>
        <v>4.8416104778857959E-2</v>
      </c>
      <c r="R1552" s="22">
        <f>Constants!$H68*'Activity data'!AK10*Constants!$H86*FracLEACHMM*MMLeachEF*NtoN2O*kgtoGg</f>
        <v>4.8969568240860781E-2</v>
      </c>
      <c r="S1552" s="22">
        <f>Constants!$H68*'Activity data'!AL10*Constants!$H86*FracLEACHMM*MMLeachEF*NtoN2O*kgtoGg</f>
        <v>4.467643167473432E-2</v>
      </c>
      <c r="T1552" s="22">
        <f>Constants!$H68*'Activity data'!AM10*Constants!$H86*FracLEACHMM*MMLeachEF*NtoN2O*kgtoGg</f>
        <v>4.6180091777624298E-2</v>
      </c>
      <c r="U1552" s="22">
        <f>Constants!$H68*'Activity data'!AN10*Constants!$H86*FracLEACHMM*MMLeachEF*NtoN2O*kgtoGg</f>
        <v>4.7570527161609366E-2</v>
      </c>
      <c r="V1552" s="22">
        <f>Constants!$H68*'Activity data'!AO10*Constants!$H86*FracLEACHMM*MMLeachEF*NtoN2O*kgtoGg</f>
        <v>4.8976478875928542E-2</v>
      </c>
      <c r="W1552" s="22">
        <f>Constants!$H68*'Activity data'!AP10*Constants!$H86*FracLEACHMM*MMLeachEF*NtoN2O*kgtoGg</f>
        <v>5.0608575947889443E-2</v>
      </c>
      <c r="X1552" s="22">
        <f>Constants!$H68*'Activity data'!AQ10*Constants!$H86*FracLEACHMM*MMLeachEF*NtoN2O*kgtoGg</f>
        <v>5.2259990749301093E-2</v>
      </c>
      <c r="Y1552" s="22">
        <f>Constants!$H68*'Activity data'!AR10*Constants!$H86*FracLEACHMM*MMLeachEF*NtoN2O*kgtoGg</f>
        <v>5.3973742651481194E-2</v>
      </c>
      <c r="Z1552" s="22">
        <f>Constants!$H68*'Activity data'!AS10*Constants!$H86*FracLEACHMM*MMLeachEF*NtoN2O*kgtoGg</f>
        <v>5.5655662348968654E-2</v>
      </c>
      <c r="AA1552" s="22">
        <f>Constants!$H68*'Activity data'!AT10*Constants!$H86*FracLEACHMM*MMLeachEF*NtoN2O*kgtoGg</f>
        <v>5.7442412303445836E-2</v>
      </c>
      <c r="AB1552" s="22">
        <f>Constants!$H68*'Activity data'!AU10*Constants!$H86*FracLEACHMM*MMLeachEF*NtoN2O*kgtoGg</f>
        <v>5.9147142754678653E-2</v>
      </c>
      <c r="AC1552" s="22">
        <f>Constants!$H68*'Activity data'!AV10*Constants!$H86*FracLEACHMM*MMLeachEF*NtoN2O*kgtoGg</f>
        <v>6.0901819824646548E-2</v>
      </c>
      <c r="AD1552" s="22">
        <f>Constants!$H68*'Activity data'!AW10*Constants!$H86*FracLEACHMM*MMLeachEF*NtoN2O*kgtoGg</f>
        <v>6.3135419327645992E-2</v>
      </c>
      <c r="AE1552" s="22">
        <f>Constants!$H68*'Activity data'!AX10*Constants!$H86*FracLEACHMM*MMLeachEF*NtoN2O*kgtoGg</f>
        <v>6.5540351764294846E-2</v>
      </c>
      <c r="AF1552" s="22">
        <f>Constants!$H68*'Activity data'!AY10*Constants!$H86*FracLEACHMM*MMLeachEF*NtoN2O*kgtoGg</f>
        <v>6.8039701590190294E-2</v>
      </c>
      <c r="AG1552" s="22">
        <f>Constants!$H68*'Activity data'!AZ10*Constants!$H86*FracLEACHMM*MMLeachEF*NtoN2O*kgtoGg</f>
        <v>6.8810814245314753E-2</v>
      </c>
      <c r="AH1552" s="22">
        <f>Constants!$H68*'Activity data'!BA10*Constants!$H86*FracLEACHMM*MMLeachEF*NtoN2O*kgtoGg</f>
        <v>-1.6773235166111743E-2</v>
      </c>
      <c r="AI1552" s="22">
        <f>Constants!$H68*'Activity data'!BB10*Constants!$H86*FracLEACHMM*MMLeachEF*NtoN2O*kgtoGg</f>
        <v>-1.6933400933561566E-2</v>
      </c>
      <c r="AJ1552" s="22">
        <f>Constants!$H68*'Activity data'!BC10*Constants!$H86*FracLEACHMM*MMLeachEF*NtoN2O*kgtoGg</f>
        <v>-1.7094868952670969E-2</v>
      </c>
      <c r="AK1552" s="22">
        <f>Constants!$H68*'Activity data'!BD10*Constants!$H86*FracLEACHMM*MMLeachEF*NtoN2O*kgtoGg</f>
        <v>-1.7257651547387617E-2</v>
      </c>
      <c r="AL1552" s="22">
        <f>Constants!$H68*'Activity data'!BE10*Constants!$H86*FracLEACHMM*MMLeachEF*NtoN2O*kgtoGg</f>
        <v>-1.7421761152310457E-2</v>
      </c>
      <c r="AM1552" s="22">
        <f>Constants!$H68*'Activity data'!BF10*Constants!$H86*FracLEACHMM*MMLeachEF*NtoN2O*kgtoGg</f>
        <v>-1.7587210313649345E-2</v>
      </c>
      <c r="AN1552" s="22">
        <f>Constants!$H68*'Activity data'!BG10*Constants!$H86*FracLEACHMM*MMLeachEF*NtoN2O*kgtoGg</f>
        <v>-1.7719984819695212E-2</v>
      </c>
      <c r="AO1552" s="22">
        <f>Constants!$H68*'Activity data'!BH10*Constants!$H86*FracLEACHMM*MMLeachEF*NtoN2O*kgtoGg</f>
        <v>-1.7853675202067487E-2</v>
      </c>
      <c r="AP1552" s="22">
        <f>Constants!$H68*'Activity data'!BI10*Constants!$H86*FracLEACHMM*MMLeachEF*NtoN2O*kgtoGg</f>
        <v>-1.7988288709386402E-2</v>
      </c>
      <c r="AQ1552" s="22">
        <f>Constants!$H68*'Activity data'!BJ10*Constants!$H86*FracLEACHMM*MMLeachEF*NtoN2O*kgtoGg</f>
        <v>-1.8123832644983004E-2</v>
      </c>
      <c r="AR1552" s="22">
        <f>Constants!$H68*'Activity data'!BK10*Constants!$H86*FracLEACHMM*MMLeachEF*NtoN2O*kgtoGg</f>
        <v>-1.8260314367299166E-2</v>
      </c>
      <c r="AS1552" s="22">
        <f>Constants!$H68*'Activity data'!BL10*Constants!$H86*FracLEACHMM*MMLeachEF*NtoN2O*kgtoGg</f>
        <v>-1.8385237574275969E-2</v>
      </c>
      <c r="AT1552" s="22">
        <f>Constants!$H68*'Activity data'!BM10*Constants!$H86*FracLEACHMM*MMLeachEF*NtoN2O*kgtoGg</f>
        <v>-1.8510879729427106E-2</v>
      </c>
      <c r="AU1552" s="22">
        <f>Constants!$H68*'Activity data'!BN10*Constants!$H86*FracLEACHMM*MMLeachEF*NtoN2O*kgtoGg</f>
        <v>-1.8637245588774352E-2</v>
      </c>
      <c r="AV1552" s="22">
        <f>Constants!$H68*'Activity data'!BO10*Constants!$H86*FracLEACHMM*MMLeachEF*NtoN2O*kgtoGg</f>
        <v>-1.8764339938161633E-2</v>
      </c>
      <c r="AW1552" s="22">
        <f>Constants!$H68*'Activity data'!BP10*Constants!$H86*FracLEACHMM*MMLeachEF*NtoN2O*kgtoGg</f>
        <v>-1.8892167593435472E-2</v>
      </c>
    </row>
    <row r="1553" spans="1:49" x14ac:dyDescent="0.25">
      <c r="A1553" s="102" t="s">
        <v>961</v>
      </c>
      <c r="B1553" s="102"/>
      <c r="C1553" s="102"/>
      <c r="D1553" t="str">
        <f t="shared" ref="D1553:F1562" si="579">D1552</f>
        <v>3C Aggregated and non-CO2 emissions on land</v>
      </c>
      <c r="E1553" t="str">
        <f t="shared" si="579"/>
        <v>3C6 Indirect N2O from manure management (N2O)</v>
      </c>
      <c r="F1553" t="str">
        <f t="shared" si="579"/>
        <v>Leaching/runoff</v>
      </c>
      <c r="G1553" t="str">
        <f t="shared" si="578"/>
        <v xml:space="preserve"> - Commercial sheep</v>
      </c>
      <c r="H1553" t="str">
        <f t="shared" si="576"/>
        <v>Leaching/runoff - Commercial sheep</v>
      </c>
      <c r="I1553" t="str">
        <f t="shared" si="571"/>
        <v>N2O</v>
      </c>
      <c r="J1553" t="str">
        <f t="shared" si="570"/>
        <v>Gg N2O</v>
      </c>
      <c r="K1553" s="22">
        <f>Constants!$H69*'Activity data'!AD11*Constants!$H87*FracLEACHMM*MMLeachEF*NtoN2O*kgtoGg</f>
        <v>4.3944700668161743E-3</v>
      </c>
      <c r="L1553" s="22">
        <f>Constants!$H69*'Activity data'!AE11*Constants!$H87*FracLEACHMM*MMLeachEF*NtoN2O*kgtoGg</f>
        <v>4.3968698493422791E-3</v>
      </c>
      <c r="M1553" s="22">
        <f>Constants!$H69*'Activity data'!AF11*Constants!$H87*FracLEACHMM*MMLeachEF*NtoN2O*kgtoGg</f>
        <v>4.4022434234010565E-3</v>
      </c>
      <c r="N1553" s="22">
        <f>Constants!$H69*'Activity data'!AG11*Constants!$H87*FracLEACHMM*MMLeachEF*NtoN2O*kgtoGg</f>
        <v>4.4103317804749962E-3</v>
      </c>
      <c r="O1553" s="22">
        <f>Constants!$H69*'Activity data'!AH11*Constants!$H87*FracLEACHMM*MMLeachEF*NtoN2O*kgtoGg</f>
        <v>4.4212431364047738E-3</v>
      </c>
      <c r="P1553" s="22">
        <f>Constants!$H69*'Activity data'!AI11*Constants!$H87*FracLEACHMM*MMLeachEF*NtoN2O*kgtoGg</f>
        <v>4.4349890691963833E-3</v>
      </c>
      <c r="Q1553" s="22">
        <f>Constants!$H69*'Activity data'!AJ11*Constants!$H87*FracLEACHMM*MMLeachEF*NtoN2O*kgtoGg</f>
        <v>4.4503014810886657E-3</v>
      </c>
      <c r="R1553" s="22">
        <f>Constants!$H69*'Activity data'!AK11*Constants!$H87*FracLEACHMM*MMLeachEF*NtoN2O*kgtoGg</f>
        <v>4.4668966507282254E-3</v>
      </c>
      <c r="S1553" s="22">
        <f>Constants!$H69*'Activity data'!AL11*Constants!$H87*FracLEACHMM*MMLeachEF*NtoN2O*kgtoGg</f>
        <v>4.4824913305812559E-3</v>
      </c>
      <c r="T1553" s="22">
        <f>Constants!$H69*'Activity data'!AM11*Constants!$H87*FracLEACHMM*MMLeachEF*NtoN2O*kgtoGg</f>
        <v>4.4890055303365281E-3</v>
      </c>
      <c r="U1553" s="22">
        <f>Constants!$H69*'Activity data'!AN11*Constants!$H87*FracLEACHMM*MMLeachEF*NtoN2O*kgtoGg</f>
        <v>4.4965644629605924E-3</v>
      </c>
      <c r="V1553" s="22">
        <f>Constants!$H69*'Activity data'!AO11*Constants!$H87*FracLEACHMM*MMLeachEF*NtoN2O*kgtoGg</f>
        <v>4.5051665785440084E-3</v>
      </c>
      <c r="W1553" s="22">
        <f>Constants!$H69*'Activity data'!AP11*Constants!$H87*FracLEACHMM*MMLeachEF*NtoN2O*kgtoGg</f>
        <v>4.5148564456586847E-3</v>
      </c>
      <c r="X1553" s="22">
        <f>Constants!$H69*'Activity data'!AQ11*Constants!$H87*FracLEACHMM*MMLeachEF*NtoN2O*kgtoGg</f>
        <v>4.525478721327544E-3</v>
      </c>
      <c r="Y1553" s="22">
        <f>Constants!$H69*'Activity data'!AR11*Constants!$H87*FracLEACHMM*MMLeachEF*NtoN2O*kgtoGg</f>
        <v>4.5320175420941466E-3</v>
      </c>
      <c r="Z1553" s="22">
        <f>Constants!$H69*'Activity data'!AS11*Constants!$H87*FracLEACHMM*MMLeachEF*NtoN2O*kgtoGg</f>
        <v>4.5393215398995043E-3</v>
      </c>
      <c r="AA1553" s="22">
        <f>Constants!$H69*'Activity data'!AT11*Constants!$H87*FracLEACHMM*MMLeachEF*NtoN2O*kgtoGg</f>
        <v>4.5474172205527642E-3</v>
      </c>
      <c r="AB1553" s="22">
        <f>Constants!$H69*'Activity data'!AU11*Constants!$H87*FracLEACHMM*MMLeachEF*NtoN2O*kgtoGg</f>
        <v>4.5561801987217551E-3</v>
      </c>
      <c r="AC1553" s="22">
        <f>Constants!$H69*'Activity data'!AV11*Constants!$H87*FracLEACHMM*MMLeachEF*NtoN2O*kgtoGg</f>
        <v>4.5656418072393947E-3</v>
      </c>
      <c r="AD1553" s="22">
        <f>Constants!$H69*'Activity data'!AW11*Constants!$H87*FracLEACHMM*MMLeachEF*NtoN2O*kgtoGg</f>
        <v>4.5718705604296328E-3</v>
      </c>
      <c r="AE1553" s="22">
        <f>Constants!$H69*'Activity data'!AX11*Constants!$H87*FracLEACHMM*MMLeachEF*NtoN2O*kgtoGg</f>
        <v>4.5787544823923942E-3</v>
      </c>
      <c r="AF1553" s="22">
        <f>Constants!$H69*'Activity data'!AY11*Constants!$H87*FracLEACHMM*MMLeachEF*NtoN2O*kgtoGg</f>
        <v>4.586231662580295E-3</v>
      </c>
      <c r="AG1553" s="22">
        <f>Constants!$H69*'Activity data'!AZ11*Constants!$H87*FracLEACHMM*MMLeachEF*NtoN2O*kgtoGg</f>
        <v>4.5934555722856032E-3</v>
      </c>
      <c r="AH1553" s="22">
        <f>Constants!$H69*'Activity data'!BA11*Constants!$H87*FracLEACHMM*MMLeachEF*NtoN2O*kgtoGg</f>
        <v>4.562571195274273E-3</v>
      </c>
      <c r="AI1553" s="22">
        <f>Constants!$H69*'Activity data'!BB11*Constants!$H87*FracLEACHMM*MMLeachEF*NtoN2O*kgtoGg</f>
        <v>4.5669572651403133E-3</v>
      </c>
      <c r="AJ1553" s="22">
        <f>Constants!$H69*'Activity data'!BC11*Constants!$H87*FracLEACHMM*MMLeachEF*NtoN2O*kgtoGg</f>
        <v>4.5717973149633755E-3</v>
      </c>
      <c r="AK1553" s="22">
        <f>Constants!$H69*'Activity data'!BD11*Constants!$H87*FracLEACHMM*MMLeachEF*NtoN2O*kgtoGg</f>
        <v>4.5770741937615714E-3</v>
      </c>
      <c r="AL1553" s="22">
        <f>Constants!$H69*'Activity data'!BE11*Constants!$H87*FracLEACHMM*MMLeachEF*NtoN2O*kgtoGg</f>
        <v>4.5827720762171521E-3</v>
      </c>
      <c r="AM1553" s="22">
        <f>Constants!$H69*'Activity data'!BF11*Constants!$H87*FracLEACHMM*MMLeachEF*NtoN2O*kgtoGg</f>
        <v>4.5888763368810139E-3</v>
      </c>
      <c r="AN1553" s="22">
        <f>Constants!$H69*'Activity data'!BG11*Constants!$H87*FracLEACHMM*MMLeachEF*NtoN2O*kgtoGg</f>
        <v>4.5918387401172314E-3</v>
      </c>
      <c r="AO1553" s="22">
        <f>Constants!$H69*'Activity data'!BH11*Constants!$H87*FracLEACHMM*MMLeachEF*NtoN2O*kgtoGg</f>
        <v>4.5951591884317378E-3</v>
      </c>
      <c r="AP1553" s="22">
        <f>Constants!$H69*'Activity data'!BI11*Constants!$H87*FracLEACHMM*MMLeachEF*NtoN2O*kgtoGg</f>
        <v>4.5988252210116161E-3</v>
      </c>
      <c r="AQ1553" s="22">
        <f>Constants!$H69*'Activity data'!BJ11*Constants!$H87*FracLEACHMM*MMLeachEF*NtoN2O*kgtoGg</f>
        <v>4.6028252299079387E-3</v>
      </c>
      <c r="AR1553" s="22">
        <f>Constants!$H69*'Activity data'!BK11*Constants!$H87*FracLEACHMM*MMLeachEF*NtoN2O*kgtoGg</f>
        <v>4.6071483875808113E-3</v>
      </c>
      <c r="AS1553" s="22">
        <f>Constants!$H69*'Activity data'!BL11*Constants!$H87*FracLEACHMM*MMLeachEF*NtoN2O*kgtoGg</f>
        <v>4.6082148579908756E-3</v>
      </c>
      <c r="AT1553" s="22">
        <f>Constants!$H69*'Activity data'!BM11*Constants!$H87*FracLEACHMM*MMLeachEF*NtoN2O*kgtoGg</f>
        <v>4.609568122792394E-3</v>
      </c>
      <c r="AU1553" s="22">
        <f>Constants!$H69*'Activity data'!BN11*Constants!$H87*FracLEACHMM*MMLeachEF*NtoN2O*kgtoGg</f>
        <v>4.6111986833604953E-3</v>
      </c>
      <c r="AV1553" s="22">
        <f>Constants!$H69*'Activity data'!BO11*Constants!$H87*FracLEACHMM*MMLeachEF*NtoN2O*kgtoGg</f>
        <v>4.6130976210976499E-3</v>
      </c>
      <c r="AW1553" s="22">
        <f>Constants!$H69*'Activity data'!BP11*Constants!$H87*FracLEACHMM*MMLeachEF*NtoN2O*kgtoGg</f>
        <v>4.6152565528286265E-3</v>
      </c>
    </row>
    <row r="1554" spans="1:49" x14ac:dyDescent="0.25">
      <c r="A1554" s="102" t="s">
        <v>961</v>
      </c>
      <c r="B1554" s="102"/>
      <c r="C1554" s="102"/>
      <c r="D1554" t="str">
        <f t="shared" si="579"/>
        <v>3C Aggregated and non-CO2 emissions on land</v>
      </c>
      <c r="E1554" t="str">
        <f t="shared" si="579"/>
        <v>3C6 Indirect N2O from manure management (N2O)</v>
      </c>
      <c r="F1554" t="str">
        <f t="shared" si="579"/>
        <v>Leaching/runoff</v>
      </c>
      <c r="G1554" t="str">
        <f t="shared" si="578"/>
        <v xml:space="preserve"> - Subsistence sheep</v>
      </c>
      <c r="H1554" t="str">
        <f t="shared" si="576"/>
        <v>Leaching/runoff - Subsistence sheep</v>
      </c>
      <c r="I1554" t="str">
        <f t="shared" si="571"/>
        <v>N2O</v>
      </c>
      <c r="J1554" t="str">
        <f t="shared" si="570"/>
        <v>Gg N2O</v>
      </c>
      <c r="K1554" s="22">
        <f>Constants!$H70*'Activity data'!AD12*Constants!$H88*FracLEACHMM*MMLeachEF*NtoN2O*kgtoGg</f>
        <v>3.6554081926520139E-3</v>
      </c>
      <c r="L1554" s="22">
        <f>Constants!$H70*'Activity data'!AE12*Constants!$H88*FracLEACHMM*MMLeachEF*NtoN2O*kgtoGg</f>
        <v>3.6574043798084017E-3</v>
      </c>
      <c r="M1554" s="22">
        <f>Constants!$H70*'Activity data'!AF12*Constants!$H88*FracLEACHMM*MMLeachEF*NtoN2O*kgtoGg</f>
        <v>3.6618742263063008E-3</v>
      </c>
      <c r="N1554" s="22">
        <f>Constants!$H70*'Activity data'!AG12*Constants!$H88*FracLEACHMM*MMLeachEF*NtoN2O*kgtoGg</f>
        <v>3.6686022836746814E-3</v>
      </c>
      <c r="O1554" s="22">
        <f>Constants!$H70*'Activity data'!AH12*Constants!$H88*FracLEACHMM*MMLeachEF*NtoN2O*kgtoGg</f>
        <v>3.6776785680166413E-3</v>
      </c>
      <c r="P1554" s="22">
        <f>Constants!$H70*'Activity data'!AI12*Constants!$H88*FracLEACHMM*MMLeachEF*NtoN2O*kgtoGg</f>
        <v>3.6891127101493907E-3</v>
      </c>
      <c r="Q1554" s="22">
        <f>Constants!$H70*'Activity data'!AJ12*Constants!$H88*FracLEACHMM*MMLeachEF*NtoN2O*kgtoGg</f>
        <v>3.7018498809639078E-3</v>
      </c>
      <c r="R1554" s="22">
        <f>Constants!$H70*'Activity data'!AK12*Constants!$H88*FracLEACHMM*MMLeachEF*NtoN2O*kgtoGg</f>
        <v>3.7156540753574409E-3</v>
      </c>
      <c r="S1554" s="22">
        <f>Constants!$H70*'Activity data'!AL12*Constants!$H88*FracLEACHMM*MMLeachEF*NtoN2O*kgtoGg</f>
        <v>3.7286260423135963E-3</v>
      </c>
      <c r="T1554" s="22">
        <f>Constants!$H70*'Activity data'!AM12*Constants!$H88*FracLEACHMM*MMLeachEF*NtoN2O*kgtoGg</f>
        <v>3.7340446841047422E-3</v>
      </c>
      <c r="U1554" s="22">
        <f>Constants!$H70*'Activity data'!AN12*Constants!$H88*FracLEACHMM*MMLeachEF*NtoN2O*kgtoGg</f>
        <v>3.7403323556149792E-3</v>
      </c>
      <c r="V1554" s="22">
        <f>Constants!$H70*'Activity data'!AO12*Constants!$H88*FracLEACHMM*MMLeachEF*NtoN2O*kgtoGg</f>
        <v>3.7474877675985991E-3</v>
      </c>
      <c r="W1554" s="22">
        <f>Constants!$H70*'Activity data'!AP12*Constants!$H88*FracLEACHMM*MMLeachEF*NtoN2O*kgtoGg</f>
        <v>3.7555479930861213E-3</v>
      </c>
      <c r="X1554" s="22">
        <f>Constants!$H70*'Activity data'!AQ12*Constants!$H88*FracLEACHMM*MMLeachEF*NtoN2O*kgtoGg</f>
        <v>3.7643838146787538E-3</v>
      </c>
      <c r="Y1554" s="22">
        <f>Constants!$H70*'Activity data'!AR12*Constants!$H88*FracLEACHMM*MMLeachEF*NtoN2O*kgtoGg</f>
        <v>3.769822936720115E-3</v>
      </c>
      <c r="Z1554" s="22">
        <f>Constants!$H70*'Activity data'!AS12*Constants!$H88*FracLEACHMM*MMLeachEF*NtoN2O*kgtoGg</f>
        <v>3.7758985483435582E-3</v>
      </c>
      <c r="AA1554" s="22">
        <f>Constants!$H70*'Activity data'!AT12*Constants!$H88*FracLEACHMM*MMLeachEF*NtoN2O*kgtoGg</f>
        <v>3.7826326976118578E-3</v>
      </c>
      <c r="AB1554" s="22">
        <f>Constants!$H70*'Activity data'!AU12*Constants!$H88*FracLEACHMM*MMLeachEF*NtoN2O*kgtoGg</f>
        <v>3.7899219183151331E-3</v>
      </c>
      <c r="AC1554" s="22">
        <f>Constants!$H70*'Activity data'!AV12*Constants!$H88*FracLEACHMM*MMLeachEF*NtoN2O*kgtoGg</f>
        <v>3.7977922737311865E-3</v>
      </c>
      <c r="AD1554" s="22">
        <f>Constants!$H70*'Activity data'!AW12*Constants!$H88*FracLEACHMM*MMLeachEF*NtoN2O*kgtoGg</f>
        <v>3.8029734753540017E-3</v>
      </c>
      <c r="AE1554" s="22">
        <f>Constants!$H70*'Activity data'!AX12*Constants!$H88*FracLEACHMM*MMLeachEF*NtoN2O*kgtoGg</f>
        <v>3.8086996594803367E-3</v>
      </c>
      <c r="AF1554" s="22">
        <f>Constants!$H70*'Activity data'!AY12*Constants!$H88*FracLEACHMM*MMLeachEF*NtoN2O*kgtoGg</f>
        <v>3.8149193276772325E-3</v>
      </c>
      <c r="AG1554" s="22">
        <f>Constants!$H70*'Activity data'!AZ12*Constants!$H88*FracLEACHMM*MMLeachEF*NtoN2O*kgtoGg</f>
        <v>3.8209283204154385E-3</v>
      </c>
      <c r="AH1554" s="22">
        <f>Constants!$H70*'Activity data'!BA12*Constants!$H88*FracLEACHMM*MMLeachEF*NtoN2O*kgtoGg</f>
        <v>3.7952380772153156E-3</v>
      </c>
      <c r="AI1554" s="22">
        <f>Constants!$H70*'Activity data'!BB12*Constants!$H88*FracLEACHMM*MMLeachEF*NtoN2O*kgtoGg</f>
        <v>3.7988864979527624E-3</v>
      </c>
      <c r="AJ1554" s="22">
        <f>Constants!$H70*'Activity data'!BC12*Constants!$H88*FracLEACHMM*MMLeachEF*NtoN2O*kgtoGg</f>
        <v>3.8029125483085634E-3</v>
      </c>
      <c r="AK1554" s="22">
        <f>Constants!$H70*'Activity data'!BD12*Constants!$H88*FracLEACHMM*MMLeachEF*NtoN2O*kgtoGg</f>
        <v>3.8073019617525694E-3</v>
      </c>
      <c r="AL1554" s="22">
        <f>Constants!$H70*'Activity data'!BE12*Constants!$H88*FracLEACHMM*MMLeachEF*NtoN2O*kgtoGg</f>
        <v>3.8120415744685989E-3</v>
      </c>
      <c r="AM1554" s="22">
        <f>Constants!$H70*'Activity data'!BF12*Constants!$H88*FracLEACHMM*MMLeachEF*NtoN2O*kgtoGg</f>
        <v>3.8171192207152455E-3</v>
      </c>
      <c r="AN1554" s="22">
        <f>Constants!$H70*'Activity data'!BG12*Constants!$H88*FracLEACHMM*MMLeachEF*NtoN2O*kgtoGg</f>
        <v>3.8195834070437343E-3</v>
      </c>
      <c r="AO1554" s="22">
        <f>Constants!$H70*'Activity data'!BH12*Constants!$H88*FracLEACHMM*MMLeachEF*NtoN2O*kgtoGg</f>
        <v>3.8223454224375316E-3</v>
      </c>
      <c r="AP1554" s="22">
        <f>Constants!$H70*'Activity data'!BI12*Constants!$H88*FracLEACHMM*MMLeachEF*NtoN2O*kgtoGg</f>
        <v>3.8253949017429448E-3</v>
      </c>
      <c r="AQ1554" s="22">
        <f>Constants!$H70*'Activity data'!BJ12*Constants!$H88*FracLEACHMM*MMLeachEF*NtoN2O*kgtoGg</f>
        <v>3.8287221892356308E-3</v>
      </c>
      <c r="AR1554" s="22">
        <f>Constants!$H70*'Activity data'!BK12*Constants!$H88*FracLEACHMM*MMLeachEF*NtoN2O*kgtoGg</f>
        <v>3.8323182783511038E-3</v>
      </c>
      <c r="AS1554" s="22">
        <f>Constants!$H70*'Activity data'!BL12*Constants!$H88*FracLEACHMM*MMLeachEF*NtoN2O*kgtoGg</f>
        <v>3.833205389792278E-3</v>
      </c>
      <c r="AT1554" s="22">
        <f>Constants!$H70*'Activity data'!BM12*Constants!$H88*FracLEACHMM*MMLeachEF*NtoN2O*kgtoGg</f>
        <v>3.8343310625507851E-3</v>
      </c>
      <c r="AU1554" s="22">
        <f>Constants!$H70*'Activity data'!BN12*Constants!$H88*FracLEACHMM*MMLeachEF*NtoN2O*kgtoGg</f>
        <v>3.8356873954802709E-3</v>
      </c>
      <c r="AV1554" s="22">
        <f>Constants!$H70*'Activity data'!BO12*Constants!$H88*FracLEACHMM*MMLeachEF*NtoN2O*kgtoGg</f>
        <v>3.8372669699127259E-3</v>
      </c>
      <c r="AW1554" s="22">
        <f>Constants!$H70*'Activity data'!BP12*Constants!$H88*FracLEACHMM*MMLeachEF*NtoN2O*kgtoGg</f>
        <v>3.8390628125551359E-3</v>
      </c>
    </row>
    <row r="1555" spans="1:49" x14ac:dyDescent="0.25">
      <c r="A1555" s="102" t="s">
        <v>961</v>
      </c>
      <c r="B1555" s="102"/>
      <c r="C1555" s="102"/>
      <c r="D1555" t="str">
        <f t="shared" si="579"/>
        <v>3C Aggregated and non-CO2 emissions on land</v>
      </c>
      <c r="E1555" t="str">
        <f t="shared" si="579"/>
        <v>3C6 Indirect N2O from manure management (N2O)</v>
      </c>
      <c r="F1555" t="str">
        <f t="shared" si="579"/>
        <v>Leaching/runoff</v>
      </c>
      <c r="G1555" t="str">
        <f t="shared" si="578"/>
        <v xml:space="preserve"> - Commercial goats</v>
      </c>
      <c r="H1555" t="str">
        <f t="shared" si="576"/>
        <v>Leaching/runoff - Commercial goats</v>
      </c>
      <c r="I1555" t="str">
        <f t="shared" si="571"/>
        <v>N2O</v>
      </c>
      <c r="J1555" t="str">
        <f t="shared" si="570"/>
        <v>Gg N2O</v>
      </c>
      <c r="K1555" s="22">
        <f>Constants!$H71*'Activity data'!AD13*Constants!$H89*FracLEACHMM*MMLeachEF*NtoN2O*kgtoGg</f>
        <v>5.4321183723638063E-4</v>
      </c>
      <c r="L1555" s="22">
        <f>Constants!$H71*'Activity data'!AE13*Constants!$H89*FracLEACHMM*MMLeachEF*NtoN2O*kgtoGg</f>
        <v>5.4462866238069155E-4</v>
      </c>
      <c r="M1555" s="22">
        <f>Constants!$H71*'Activity data'!AF13*Constants!$H89*FracLEACHMM*MMLeachEF*NtoN2O*kgtoGg</f>
        <v>5.4651670738969612E-4</v>
      </c>
      <c r="N1555" s="22">
        <f>Constants!$H71*'Activity data'!AG13*Constants!$H89*FracLEACHMM*MMLeachEF*NtoN2O*kgtoGg</f>
        <v>5.4883399731316639E-4</v>
      </c>
      <c r="O1555" s="22">
        <f>Constants!$H71*'Activity data'!AH13*Constants!$H89*FracLEACHMM*MMLeachEF*NtoN2O*kgtoGg</f>
        <v>5.5160837836810213E-4</v>
      </c>
      <c r="P1555" s="22">
        <f>Constants!$H71*'Activity data'!AI13*Constants!$H89*FracLEACHMM*MMLeachEF*NtoN2O*kgtoGg</f>
        <v>5.5484723352096008E-4</v>
      </c>
      <c r="Q1555" s="22">
        <f>Constants!$H71*'Activity data'!AJ13*Constants!$H89*FracLEACHMM*MMLeachEF*NtoN2O*kgtoGg</f>
        <v>5.5831016678068942E-4</v>
      </c>
      <c r="R1555" s="22">
        <f>Constants!$H71*'Activity data'!AK13*Constants!$H89*FracLEACHMM*MMLeachEF*NtoN2O*kgtoGg</f>
        <v>5.61947661040627E-4</v>
      </c>
      <c r="S1555" s="22">
        <f>Constants!$H71*'Activity data'!AL13*Constants!$H89*FracLEACHMM*MMLeachEF*NtoN2O*kgtoGg</f>
        <v>5.6532673344002258E-4</v>
      </c>
      <c r="T1555" s="22">
        <f>Constants!$H71*'Activity data'!AM13*Constants!$H89*FracLEACHMM*MMLeachEF*NtoN2O*kgtoGg</f>
        <v>5.6691026971513229E-4</v>
      </c>
      <c r="U1555" s="22">
        <f>Constants!$H71*'Activity data'!AN13*Constants!$H89*FracLEACHMM*MMLeachEF*NtoN2O*kgtoGg</f>
        <v>5.6864670501845574E-4</v>
      </c>
      <c r="V1555" s="22">
        <f>Constants!$H71*'Activity data'!AO13*Constants!$H89*FracLEACHMM*MMLeachEF*NtoN2O*kgtoGg</f>
        <v>5.7053824293023939E-4</v>
      </c>
      <c r="W1555" s="22">
        <f>Constants!$H71*'Activity data'!AP13*Constants!$H89*FracLEACHMM*MMLeachEF*NtoN2O*kgtoGg</f>
        <v>5.7259543924260763E-4</v>
      </c>
      <c r="X1555" s="22">
        <f>Constants!$H71*'Activity data'!AQ13*Constants!$H89*FracLEACHMM*MMLeachEF*NtoN2O*kgtoGg</f>
        <v>5.7479059617442649E-4</v>
      </c>
      <c r="Y1555" s="22">
        <f>Constants!$H71*'Activity data'!AR13*Constants!$H89*FracLEACHMM*MMLeachEF*NtoN2O*kgtoGg</f>
        <v>5.7617814395304924E-4</v>
      </c>
      <c r="Z1555" s="22">
        <f>Constants!$H71*'Activity data'!AS13*Constants!$H89*FracLEACHMM*MMLeachEF*NtoN2O*kgtoGg</f>
        <v>5.7767940009102313E-4</v>
      </c>
      <c r="AA1555" s="22">
        <f>Constants!$H71*'Activity data'!AT13*Constants!$H89*FracLEACHMM*MMLeachEF*NtoN2O*kgtoGg</f>
        <v>5.7930057538230326E-4</v>
      </c>
      <c r="AB1555" s="22">
        <f>Constants!$H71*'Activity data'!AU13*Constants!$H89*FracLEACHMM*MMLeachEF*NtoN2O*kgtoGg</f>
        <v>5.8101935108040965E-4</v>
      </c>
      <c r="AC1555" s="22">
        <f>Constants!$H71*'Activity data'!AV13*Constants!$H89*FracLEACHMM*MMLeachEF*NtoN2O*kgtoGg</f>
        <v>5.8284260247755859E-4</v>
      </c>
      <c r="AD1555" s="22">
        <f>Constants!$H71*'Activity data'!AW13*Constants!$H89*FracLEACHMM*MMLeachEF*NtoN2O*kgtoGg</f>
        <v>5.8403671107952763E-4</v>
      </c>
      <c r="AE1555" s="22">
        <f>Constants!$H71*'Activity data'!AX13*Constants!$H89*FracLEACHMM*MMLeachEF*NtoN2O*kgtoGg</f>
        <v>5.8533173041619576E-4</v>
      </c>
      <c r="AF1555" s="22">
        <f>Constants!$H71*'Activity data'!AY13*Constants!$H89*FracLEACHMM*MMLeachEF*NtoN2O*kgtoGg</f>
        <v>5.8671671252614034E-4</v>
      </c>
      <c r="AG1555" s="22">
        <f>Constants!$H71*'Activity data'!AZ13*Constants!$H89*FracLEACHMM*MMLeachEF*NtoN2O*kgtoGg</f>
        <v>5.8803501308500182E-4</v>
      </c>
      <c r="AH1555" s="22">
        <f>Constants!$H71*'Activity data'!BA13*Constants!$H89*FracLEACHMM*MMLeachEF*NtoN2O*kgtoGg</f>
        <v>5.8227212874330822E-4</v>
      </c>
      <c r="AI1555" s="22">
        <f>Constants!$H71*'Activity data'!BB13*Constants!$H89*FracLEACHMM*MMLeachEF*NtoN2O*kgtoGg</f>
        <v>5.8304320424414362E-4</v>
      </c>
      <c r="AJ1555" s="22">
        <f>Constants!$H71*'Activity data'!BC13*Constants!$H89*FracLEACHMM*MMLeachEF*NtoN2O*kgtoGg</f>
        <v>5.8388341826515493E-4</v>
      </c>
      <c r="AK1555" s="22">
        <f>Constants!$H71*'Activity data'!BD13*Constants!$H89*FracLEACHMM*MMLeachEF*NtoN2O*kgtoGg</f>
        <v>5.847899630335218E-4</v>
      </c>
      <c r="AL1555" s="22">
        <f>Constants!$H71*'Activity data'!BE13*Constants!$H89*FracLEACHMM*MMLeachEF*NtoN2O*kgtoGg</f>
        <v>5.8576024856299858E-4</v>
      </c>
      <c r="AM1555" s="22">
        <f>Constants!$H71*'Activity data'!BF13*Constants!$H89*FracLEACHMM*MMLeachEF*NtoN2O*kgtoGg</f>
        <v>5.8679188180125747E-4</v>
      </c>
      <c r="AN1555" s="22">
        <f>Constants!$H71*'Activity data'!BG13*Constants!$H89*FracLEACHMM*MMLeachEF*NtoN2O*kgtoGg</f>
        <v>5.8723470872871001E-4</v>
      </c>
      <c r="AO1555" s="22">
        <f>Constants!$H71*'Activity data'!BH13*Constants!$H89*FracLEACHMM*MMLeachEF*NtoN2O*kgtoGg</f>
        <v>5.8773280177020523E-4</v>
      </c>
      <c r="AP1555" s="22">
        <f>Constants!$H71*'Activity data'!BI13*Constants!$H89*FracLEACHMM*MMLeachEF*NtoN2O*kgtoGg</f>
        <v>5.8828407739591119E-4</v>
      </c>
      <c r="AQ1555" s="22">
        <f>Constants!$H71*'Activity data'!BJ13*Constants!$H89*FracLEACHMM*MMLeachEF*NtoN2O*kgtoGg</f>
        <v>5.8888659501104234E-4</v>
      </c>
      <c r="AR1555" s="22">
        <f>Constants!$H71*'Activity data'!BK13*Constants!$H89*FracLEACHMM*MMLeachEF*NtoN2O*kgtoGg</f>
        <v>5.895385447102022E-4</v>
      </c>
      <c r="AS1555" s="22">
        <f>Constants!$H71*'Activity data'!BL13*Constants!$H89*FracLEACHMM*MMLeachEF*NtoN2O*kgtoGg</f>
        <v>5.8958940978755205E-4</v>
      </c>
      <c r="AT1555" s="22">
        <f>Constants!$H71*'Activity data'!BM13*Constants!$H89*FracLEACHMM*MMLeachEF*NtoN2O*kgtoGg</f>
        <v>5.8968551081379366E-4</v>
      </c>
      <c r="AU1555" s="22">
        <f>Constants!$H71*'Activity data'!BN13*Constants!$H89*FracLEACHMM*MMLeachEF*NtoN2O*kgtoGg</f>
        <v>5.8982522322727085E-4</v>
      </c>
      <c r="AV1555" s="22">
        <f>Constants!$H71*'Activity data'!BO13*Constants!$H89*FracLEACHMM*MMLeachEF*NtoN2O*kgtoGg</f>
        <v>5.9000702190384238E-4</v>
      </c>
      <c r="AW1555" s="22">
        <f>Constants!$H71*'Activity data'!BP13*Constants!$H89*FracLEACHMM*MMLeachEF*NtoN2O*kgtoGg</f>
        <v>5.9022947345323132E-4</v>
      </c>
    </row>
    <row r="1556" spans="1:49" x14ac:dyDescent="0.25">
      <c r="A1556" s="102" t="s">
        <v>961</v>
      </c>
      <c r="B1556" s="102"/>
      <c r="C1556" s="102"/>
      <c r="D1556" t="str">
        <f t="shared" si="579"/>
        <v>3C Aggregated and non-CO2 emissions on land</v>
      </c>
      <c r="E1556" t="str">
        <f t="shared" si="579"/>
        <v>3C6 Indirect N2O from manure management (N2O)</v>
      </c>
      <c r="F1556" t="str">
        <f t="shared" si="579"/>
        <v>Leaching/runoff</v>
      </c>
      <c r="G1556" t="str">
        <f t="shared" si="578"/>
        <v xml:space="preserve"> - Subsistence goats</v>
      </c>
      <c r="H1556" t="str">
        <f t="shared" si="576"/>
        <v>Leaching/runoff - Subsistence goats</v>
      </c>
      <c r="I1556" t="str">
        <f t="shared" si="571"/>
        <v>N2O</v>
      </c>
      <c r="J1556" t="str">
        <f t="shared" si="570"/>
        <v>Gg N2O</v>
      </c>
      <c r="K1556" s="22">
        <f>Constants!$H72*'Activity data'!AD14*Constants!$H90*FracLEACHMM*MMLeachEF*NtoN2O*kgtoGg</f>
        <v>6.6990339537854613E-3</v>
      </c>
      <c r="L1556" s="22">
        <f>Constants!$H72*'Activity data'!AE14*Constants!$H90*FracLEACHMM*MMLeachEF*NtoN2O*kgtoGg</f>
        <v>6.7165066211643688E-3</v>
      </c>
      <c r="M1556" s="22">
        <f>Constants!$H72*'Activity data'!AF14*Constants!$H90*FracLEACHMM*MMLeachEF*NtoN2O*kgtoGg</f>
        <v>6.7397904981983149E-3</v>
      </c>
      <c r="N1556" s="22">
        <f>Constants!$H72*'Activity data'!AG14*Constants!$H90*FracLEACHMM*MMLeachEF*NtoN2O*kgtoGg</f>
        <v>6.7683679385521006E-3</v>
      </c>
      <c r="O1556" s="22">
        <f>Constants!$H72*'Activity data'!AH14*Constants!$H90*FracLEACHMM*MMLeachEF*NtoN2O*kgtoGg</f>
        <v>6.8025823492363574E-3</v>
      </c>
      <c r="P1556" s="22">
        <f>Constants!$H72*'Activity data'!AI14*Constants!$H90*FracLEACHMM*MMLeachEF*NtoN2O*kgtoGg</f>
        <v>6.8425247789720067E-3</v>
      </c>
      <c r="Q1556" s="22">
        <f>Constants!$H72*'Activity data'!AJ14*Constants!$H90*FracLEACHMM*MMLeachEF*NtoN2O*kgtoGg</f>
        <v>6.8852305999729637E-3</v>
      </c>
      <c r="R1556" s="22">
        <f>Constants!$H72*'Activity data'!AK14*Constants!$H90*FracLEACHMM*MMLeachEF*NtoN2O*kgtoGg</f>
        <v>6.9300891540096266E-3</v>
      </c>
      <c r="S1556" s="22">
        <f>Constants!$H72*'Activity data'!AL14*Constants!$H90*FracLEACHMM*MMLeachEF*NtoN2O*kgtoGg</f>
        <v>6.9717607804068256E-3</v>
      </c>
      <c r="T1556" s="22">
        <f>Constants!$H72*'Activity data'!AM14*Constants!$H90*FracLEACHMM*MMLeachEF*NtoN2O*kgtoGg</f>
        <v>6.9912893741281628E-3</v>
      </c>
      <c r="U1556" s="22">
        <f>Constants!$H72*'Activity data'!AN14*Constants!$H90*FracLEACHMM*MMLeachEF*NtoN2O*kgtoGg</f>
        <v>7.0127035596413059E-3</v>
      </c>
      <c r="V1556" s="22">
        <f>Constants!$H72*'Activity data'!AO14*Constants!$H90*FracLEACHMM*MMLeachEF*NtoN2O*kgtoGg</f>
        <v>7.0360305120884007E-3</v>
      </c>
      <c r="W1556" s="22">
        <f>Constants!$H72*'Activity data'!AP14*Constants!$H90*FracLEACHMM*MMLeachEF*NtoN2O*kgtoGg</f>
        <v>7.0614004083267975E-3</v>
      </c>
      <c r="X1556" s="22">
        <f>Constants!$H72*'Activity data'!AQ14*Constants!$H90*FracLEACHMM*MMLeachEF*NtoN2O*kgtoGg</f>
        <v>7.0884716718967464E-3</v>
      </c>
      <c r="Y1556" s="22">
        <f>Constants!$H72*'Activity data'!AR14*Constants!$H90*FracLEACHMM*MMLeachEF*NtoN2O*kgtoGg</f>
        <v>7.1055832829558596E-3</v>
      </c>
      <c r="Z1556" s="22">
        <f>Constants!$H72*'Activity data'!AS14*Constants!$H90*FracLEACHMM*MMLeachEF*NtoN2O*kgtoGg</f>
        <v>7.1240971759755339E-3</v>
      </c>
      <c r="AA1556" s="22">
        <f>Constants!$H72*'Activity data'!AT14*Constants!$H90*FracLEACHMM*MMLeachEF*NtoN2O*kgtoGg</f>
        <v>7.1440899441312785E-3</v>
      </c>
      <c r="AB1556" s="22">
        <f>Constants!$H72*'Activity data'!AU14*Constants!$H90*FracLEACHMM*MMLeachEF*NtoN2O*kgtoGg</f>
        <v>7.1652863466602334E-3</v>
      </c>
      <c r="AC1556" s="22">
        <f>Constants!$H72*'Activity data'!AV14*Constants!$H90*FracLEACHMM*MMLeachEF*NtoN2O*kgtoGg</f>
        <v>7.1877711715085417E-3</v>
      </c>
      <c r="AD1556" s="22">
        <f>Constants!$H72*'Activity data'!AW14*Constants!$H90*FracLEACHMM*MMLeachEF*NtoN2O*kgtoGg</f>
        <v>7.2024972388008085E-3</v>
      </c>
      <c r="AE1556" s="22">
        <f>Constants!$H72*'Activity data'!AX14*Constants!$H90*FracLEACHMM*MMLeachEF*NtoN2O*kgtoGg</f>
        <v>7.2184677643167576E-3</v>
      </c>
      <c r="AF1556" s="22">
        <f>Constants!$H72*'Activity data'!AY14*Constants!$H90*FracLEACHMM*MMLeachEF*NtoN2O*kgtoGg</f>
        <v>7.2355477348621461E-3</v>
      </c>
      <c r="AG1556" s="22">
        <f>Constants!$H72*'Activity data'!AZ14*Constants!$H90*FracLEACHMM*MMLeachEF*NtoN2O*kgtoGg</f>
        <v>7.251805370649388E-3</v>
      </c>
      <c r="AH1556" s="22">
        <f>Constants!$H72*'Activity data'!BA14*Constants!$H90*FracLEACHMM*MMLeachEF*NtoN2O*kgtoGg</f>
        <v>7.1807359365347809E-3</v>
      </c>
      <c r="AI1556" s="22">
        <f>Constants!$H72*'Activity data'!BB14*Constants!$H90*FracLEACHMM*MMLeachEF*NtoN2O*kgtoGg</f>
        <v>7.190245046253943E-3</v>
      </c>
      <c r="AJ1556" s="22">
        <f>Constants!$H72*'Activity data'!BC14*Constants!$H90*FracLEACHMM*MMLeachEF*NtoN2O*kgtoGg</f>
        <v>7.2006067907325584E-3</v>
      </c>
      <c r="AK1556" s="22">
        <f>Constants!$H72*'Activity data'!BD14*Constants!$H90*FracLEACHMM*MMLeachEF*NtoN2O*kgtoGg</f>
        <v>7.2117865437637393E-3</v>
      </c>
      <c r="AL1556" s="22">
        <f>Constants!$H72*'Activity data'!BE14*Constants!$H90*FracLEACHMM*MMLeachEF*NtoN2O*kgtoGg</f>
        <v>7.2237523649430046E-3</v>
      </c>
      <c r="AM1556" s="22">
        <f>Constants!$H72*'Activity data'!BF14*Constants!$H90*FracLEACHMM*MMLeachEF*NtoN2O*kgtoGg</f>
        <v>7.2364747425077329E-3</v>
      </c>
      <c r="AN1556" s="22">
        <f>Constants!$H72*'Activity data'!BG14*Constants!$H90*FracLEACHMM*MMLeachEF*NtoN2O*kgtoGg</f>
        <v>7.2419358028516061E-3</v>
      </c>
      <c r="AO1556" s="22">
        <f>Constants!$H72*'Activity data'!BH14*Constants!$H90*FracLEACHMM*MMLeachEF*NtoN2O*kgtoGg</f>
        <v>7.2480784197247895E-3</v>
      </c>
      <c r="AP1556" s="22">
        <f>Constants!$H72*'Activity data'!BI14*Constants!$H90*FracLEACHMM*MMLeachEF*NtoN2O*kgtoGg</f>
        <v>7.2548768984790225E-3</v>
      </c>
      <c r="AQ1556" s="22">
        <f>Constants!$H72*'Activity data'!BJ14*Constants!$H90*FracLEACHMM*MMLeachEF*NtoN2O*kgtoGg</f>
        <v>7.2623073071793384E-3</v>
      </c>
      <c r="AR1556" s="22">
        <f>Constants!$H72*'Activity data'!BK14*Constants!$H90*FracLEACHMM*MMLeachEF*NtoN2O*kgtoGg</f>
        <v>7.2703473255873539E-3</v>
      </c>
      <c r="AS1556" s="22">
        <f>Constants!$H72*'Activity data'!BL14*Constants!$H90*FracLEACHMM*MMLeachEF*NtoN2O*kgtoGg</f>
        <v>7.2709746073527197E-3</v>
      </c>
      <c r="AT1556" s="22">
        <f>Constants!$H72*'Activity data'!BM14*Constants!$H90*FracLEACHMM*MMLeachEF*NtoN2O*kgtoGg</f>
        <v>7.272159750962735E-3</v>
      </c>
      <c r="AU1556" s="22">
        <f>Constants!$H72*'Activity data'!BN14*Constants!$H90*FracLEACHMM*MMLeachEF*NtoN2O*kgtoGg</f>
        <v>7.2738827218876909E-3</v>
      </c>
      <c r="AV1556" s="22">
        <f>Constants!$H72*'Activity data'!BO14*Constants!$H90*FracLEACHMM*MMLeachEF*NtoN2O*kgtoGg</f>
        <v>7.2761247118879498E-3</v>
      </c>
      <c r="AW1556" s="22">
        <f>Constants!$H72*'Activity data'!BP14*Constants!$H90*FracLEACHMM*MMLeachEF*NtoN2O*kgtoGg</f>
        <v>7.2788680440104758E-3</v>
      </c>
    </row>
    <row r="1557" spans="1:49" x14ac:dyDescent="0.25">
      <c r="A1557" s="102" t="s">
        <v>961</v>
      </c>
      <c r="B1557" s="102"/>
      <c r="C1557" s="102"/>
      <c r="D1557" t="str">
        <f t="shared" si="579"/>
        <v>3C Aggregated and non-CO2 emissions on land</v>
      </c>
      <c r="E1557" t="str">
        <f t="shared" si="579"/>
        <v>3C6 Indirect N2O from manure management (N2O)</v>
      </c>
      <c r="F1557" t="str">
        <f t="shared" si="579"/>
        <v>Leaching/runoff</v>
      </c>
      <c r="G1557" t="str">
        <f t="shared" si="578"/>
        <v xml:space="preserve"> - Horses</v>
      </c>
      <c r="H1557" t="str">
        <f t="shared" si="576"/>
        <v>Leaching/runoff - Horses</v>
      </c>
      <c r="I1557" t="str">
        <f t="shared" si="571"/>
        <v>N2O</v>
      </c>
      <c r="J1557" t="str">
        <f t="shared" si="570"/>
        <v>Gg N2O</v>
      </c>
      <c r="K1557" s="22">
        <f>Constants!$H73*'Activity data'!AD15*Constants!$H91*FracLEACHMM*MMLeachEF*NtoN2O*kgtoGg</f>
        <v>0</v>
      </c>
      <c r="L1557" s="22">
        <f>Constants!$H73*'Activity data'!AE15*Constants!$H91*FracLEACHMM*MMLeachEF*NtoN2O*kgtoGg</f>
        <v>0</v>
      </c>
      <c r="M1557" s="22">
        <f>Constants!$H73*'Activity data'!AF15*Constants!$H91*FracLEACHMM*MMLeachEF*NtoN2O*kgtoGg</f>
        <v>0</v>
      </c>
      <c r="N1557" s="22">
        <f>Constants!$H73*'Activity data'!AG15*Constants!$H91*FracLEACHMM*MMLeachEF*NtoN2O*kgtoGg</f>
        <v>0</v>
      </c>
      <c r="O1557" s="22">
        <f>Constants!$H73*'Activity data'!AH15*Constants!$H91*FracLEACHMM*MMLeachEF*NtoN2O*kgtoGg</f>
        <v>0</v>
      </c>
      <c r="P1557" s="22">
        <f>Constants!$H73*'Activity data'!AI15*Constants!$H91*FracLEACHMM*MMLeachEF*NtoN2O*kgtoGg</f>
        <v>0</v>
      </c>
      <c r="Q1557" s="22">
        <f>Constants!$H73*'Activity data'!AJ15*Constants!$H91*FracLEACHMM*MMLeachEF*NtoN2O*kgtoGg</f>
        <v>0</v>
      </c>
      <c r="R1557" s="22">
        <f>Constants!$H73*'Activity data'!AK15*Constants!$H91*FracLEACHMM*MMLeachEF*NtoN2O*kgtoGg</f>
        <v>0</v>
      </c>
      <c r="S1557" s="22">
        <f>Constants!$H73*'Activity data'!AL15*Constants!$H91*FracLEACHMM*MMLeachEF*NtoN2O*kgtoGg</f>
        <v>0</v>
      </c>
      <c r="T1557" s="22">
        <f>Constants!$H73*'Activity data'!AM15*Constants!$H91*FracLEACHMM*MMLeachEF*NtoN2O*kgtoGg</f>
        <v>0</v>
      </c>
      <c r="U1557" s="22">
        <f>Constants!$H73*'Activity data'!AN15*Constants!$H91*FracLEACHMM*MMLeachEF*NtoN2O*kgtoGg</f>
        <v>0</v>
      </c>
      <c r="V1557" s="22">
        <f>Constants!$H73*'Activity data'!AO15*Constants!$H91*FracLEACHMM*MMLeachEF*NtoN2O*kgtoGg</f>
        <v>0</v>
      </c>
      <c r="W1557" s="22">
        <f>Constants!$H73*'Activity data'!AP15*Constants!$H91*FracLEACHMM*MMLeachEF*NtoN2O*kgtoGg</f>
        <v>0</v>
      </c>
      <c r="X1557" s="22">
        <f>Constants!$H73*'Activity data'!AQ15*Constants!$H91*FracLEACHMM*MMLeachEF*NtoN2O*kgtoGg</f>
        <v>0</v>
      </c>
      <c r="Y1557" s="22">
        <f>Constants!$H73*'Activity data'!AR15*Constants!$H91*FracLEACHMM*MMLeachEF*NtoN2O*kgtoGg</f>
        <v>0</v>
      </c>
      <c r="Z1557" s="22">
        <f>Constants!$H73*'Activity data'!AS15*Constants!$H91*FracLEACHMM*MMLeachEF*NtoN2O*kgtoGg</f>
        <v>0</v>
      </c>
      <c r="AA1557" s="22">
        <f>Constants!$H73*'Activity data'!AT15*Constants!$H91*FracLEACHMM*MMLeachEF*NtoN2O*kgtoGg</f>
        <v>0</v>
      </c>
      <c r="AB1557" s="22">
        <f>Constants!$H73*'Activity data'!AU15*Constants!$H91*FracLEACHMM*MMLeachEF*NtoN2O*kgtoGg</f>
        <v>0</v>
      </c>
      <c r="AC1557" s="22">
        <f>Constants!$H73*'Activity data'!AV15*Constants!$H91*FracLEACHMM*MMLeachEF*NtoN2O*kgtoGg</f>
        <v>0</v>
      </c>
      <c r="AD1557" s="22">
        <f>Constants!$H73*'Activity data'!AW15*Constants!$H91*FracLEACHMM*MMLeachEF*NtoN2O*kgtoGg</f>
        <v>0</v>
      </c>
      <c r="AE1557" s="22">
        <f>Constants!$H73*'Activity data'!AX15*Constants!$H91*FracLEACHMM*MMLeachEF*NtoN2O*kgtoGg</f>
        <v>0</v>
      </c>
      <c r="AF1557" s="22">
        <f>Constants!$H73*'Activity data'!AY15*Constants!$H91*FracLEACHMM*MMLeachEF*NtoN2O*kgtoGg</f>
        <v>0</v>
      </c>
      <c r="AG1557" s="22">
        <f>Constants!$H73*'Activity data'!AZ15*Constants!$H91*FracLEACHMM*MMLeachEF*NtoN2O*kgtoGg</f>
        <v>0</v>
      </c>
      <c r="AH1557" s="22">
        <f>Constants!$H73*'Activity data'!BA15*Constants!$H91*FracLEACHMM*MMLeachEF*NtoN2O*kgtoGg</f>
        <v>0</v>
      </c>
      <c r="AI1557" s="22">
        <f>Constants!$H73*'Activity data'!BB15*Constants!$H91*FracLEACHMM*MMLeachEF*NtoN2O*kgtoGg</f>
        <v>0</v>
      </c>
      <c r="AJ1557" s="22">
        <f>Constants!$H73*'Activity data'!BC15*Constants!$H91*FracLEACHMM*MMLeachEF*NtoN2O*kgtoGg</f>
        <v>0</v>
      </c>
      <c r="AK1557" s="22">
        <f>Constants!$H73*'Activity data'!BD15*Constants!$H91*FracLEACHMM*MMLeachEF*NtoN2O*kgtoGg</f>
        <v>0</v>
      </c>
      <c r="AL1557" s="22">
        <f>Constants!$H73*'Activity data'!BE15*Constants!$H91*FracLEACHMM*MMLeachEF*NtoN2O*kgtoGg</f>
        <v>0</v>
      </c>
      <c r="AM1557" s="22">
        <f>Constants!$H73*'Activity data'!BF15*Constants!$H91*FracLEACHMM*MMLeachEF*NtoN2O*kgtoGg</f>
        <v>0</v>
      </c>
      <c r="AN1557" s="22">
        <f>Constants!$H73*'Activity data'!BG15*Constants!$H91*FracLEACHMM*MMLeachEF*NtoN2O*kgtoGg</f>
        <v>0</v>
      </c>
      <c r="AO1557" s="22">
        <f>Constants!$H73*'Activity data'!BH15*Constants!$H91*FracLEACHMM*MMLeachEF*NtoN2O*kgtoGg</f>
        <v>0</v>
      </c>
      <c r="AP1557" s="22">
        <f>Constants!$H73*'Activity data'!BI15*Constants!$H91*FracLEACHMM*MMLeachEF*NtoN2O*kgtoGg</f>
        <v>0</v>
      </c>
      <c r="AQ1557" s="22">
        <f>Constants!$H73*'Activity data'!BJ15*Constants!$H91*FracLEACHMM*MMLeachEF*NtoN2O*kgtoGg</f>
        <v>0</v>
      </c>
      <c r="AR1557" s="22">
        <f>Constants!$H73*'Activity data'!BK15*Constants!$H91*FracLEACHMM*MMLeachEF*NtoN2O*kgtoGg</f>
        <v>0</v>
      </c>
      <c r="AS1557" s="22">
        <f>Constants!$H73*'Activity data'!BL15*Constants!$H91*FracLEACHMM*MMLeachEF*NtoN2O*kgtoGg</f>
        <v>0</v>
      </c>
      <c r="AT1557" s="22">
        <f>Constants!$H73*'Activity data'!BM15*Constants!$H91*FracLEACHMM*MMLeachEF*NtoN2O*kgtoGg</f>
        <v>0</v>
      </c>
      <c r="AU1557" s="22">
        <f>Constants!$H73*'Activity data'!BN15*Constants!$H91*FracLEACHMM*MMLeachEF*NtoN2O*kgtoGg</f>
        <v>0</v>
      </c>
      <c r="AV1557" s="22">
        <f>Constants!$H73*'Activity data'!BO15*Constants!$H91*FracLEACHMM*MMLeachEF*NtoN2O*kgtoGg</f>
        <v>0</v>
      </c>
      <c r="AW1557" s="22">
        <f>Constants!$H73*'Activity data'!BP15*Constants!$H91*FracLEACHMM*MMLeachEF*NtoN2O*kgtoGg</f>
        <v>0</v>
      </c>
    </row>
    <row r="1558" spans="1:49" x14ac:dyDescent="0.25">
      <c r="A1558" s="102" t="s">
        <v>961</v>
      </c>
      <c r="B1558" s="102"/>
      <c r="C1558" s="102"/>
      <c r="D1558" t="str">
        <f t="shared" si="579"/>
        <v>3C Aggregated and non-CO2 emissions on land</v>
      </c>
      <c r="E1558" t="str">
        <f t="shared" si="579"/>
        <v>3C6 Indirect N2O from manure management (N2O)</v>
      </c>
      <c r="F1558" t="str">
        <f t="shared" si="579"/>
        <v>Leaching/runoff</v>
      </c>
      <c r="G1558" t="str">
        <f t="shared" si="578"/>
        <v xml:space="preserve"> - Mules &amp; Asses</v>
      </c>
      <c r="H1558" t="str">
        <f t="shared" si="576"/>
        <v>Leaching/runoff - Mules &amp; Asses</v>
      </c>
      <c r="I1558" t="str">
        <f t="shared" si="571"/>
        <v>N2O</v>
      </c>
      <c r="J1558" t="str">
        <f t="shared" si="570"/>
        <v>Gg N2O</v>
      </c>
      <c r="K1558" s="22">
        <f>Constants!$H74*'Activity data'!AD16*Constants!$H92*FracLEACHMM*MMLeachEF*NtoN2O*kgtoGg</f>
        <v>0</v>
      </c>
      <c r="L1558" s="22">
        <f>Constants!$H74*'Activity data'!AE16*Constants!$H92*FracLEACHMM*MMLeachEF*NtoN2O*kgtoGg</f>
        <v>0</v>
      </c>
      <c r="M1558" s="22">
        <f>Constants!$H74*'Activity data'!AF16*Constants!$H92*FracLEACHMM*MMLeachEF*NtoN2O*kgtoGg</f>
        <v>0</v>
      </c>
      <c r="N1558" s="22">
        <f>Constants!$H74*'Activity data'!AG16*Constants!$H92*FracLEACHMM*MMLeachEF*NtoN2O*kgtoGg</f>
        <v>0</v>
      </c>
      <c r="O1558" s="22">
        <f>Constants!$H74*'Activity data'!AH16*Constants!$H92*FracLEACHMM*MMLeachEF*NtoN2O*kgtoGg</f>
        <v>0</v>
      </c>
      <c r="P1558" s="22">
        <f>Constants!$H74*'Activity data'!AI16*Constants!$H92*FracLEACHMM*MMLeachEF*NtoN2O*kgtoGg</f>
        <v>0</v>
      </c>
      <c r="Q1558" s="22">
        <f>Constants!$H74*'Activity data'!AJ16*Constants!$H92*FracLEACHMM*MMLeachEF*NtoN2O*kgtoGg</f>
        <v>0</v>
      </c>
      <c r="R1558" s="22">
        <f>Constants!$H74*'Activity data'!AK16*Constants!$H92*FracLEACHMM*MMLeachEF*NtoN2O*kgtoGg</f>
        <v>0</v>
      </c>
      <c r="S1558" s="22">
        <f>Constants!$H74*'Activity data'!AL16*Constants!$H92*FracLEACHMM*MMLeachEF*NtoN2O*kgtoGg</f>
        <v>0</v>
      </c>
      <c r="T1558" s="22">
        <f>Constants!$H74*'Activity data'!AM16*Constants!$H92*FracLEACHMM*MMLeachEF*NtoN2O*kgtoGg</f>
        <v>0</v>
      </c>
      <c r="U1558" s="22">
        <f>Constants!$H74*'Activity data'!AN16*Constants!$H92*FracLEACHMM*MMLeachEF*NtoN2O*kgtoGg</f>
        <v>0</v>
      </c>
      <c r="V1558" s="22">
        <f>Constants!$H74*'Activity data'!AO16*Constants!$H92*FracLEACHMM*MMLeachEF*NtoN2O*kgtoGg</f>
        <v>0</v>
      </c>
      <c r="W1558" s="22">
        <f>Constants!$H74*'Activity data'!AP16*Constants!$H92*FracLEACHMM*MMLeachEF*NtoN2O*kgtoGg</f>
        <v>0</v>
      </c>
      <c r="X1558" s="22">
        <f>Constants!$H74*'Activity data'!AQ16*Constants!$H92*FracLEACHMM*MMLeachEF*NtoN2O*kgtoGg</f>
        <v>0</v>
      </c>
      <c r="Y1558" s="22">
        <f>Constants!$H74*'Activity data'!AR16*Constants!$H92*FracLEACHMM*MMLeachEF*NtoN2O*kgtoGg</f>
        <v>0</v>
      </c>
      <c r="Z1558" s="22">
        <f>Constants!$H74*'Activity data'!AS16*Constants!$H92*FracLEACHMM*MMLeachEF*NtoN2O*kgtoGg</f>
        <v>0</v>
      </c>
      <c r="AA1558" s="22">
        <f>Constants!$H74*'Activity data'!AT16*Constants!$H92*FracLEACHMM*MMLeachEF*NtoN2O*kgtoGg</f>
        <v>0</v>
      </c>
      <c r="AB1558" s="22">
        <f>Constants!$H74*'Activity data'!AU16*Constants!$H92*FracLEACHMM*MMLeachEF*NtoN2O*kgtoGg</f>
        <v>0</v>
      </c>
      <c r="AC1558" s="22">
        <f>Constants!$H74*'Activity data'!AV16*Constants!$H92*FracLEACHMM*MMLeachEF*NtoN2O*kgtoGg</f>
        <v>0</v>
      </c>
      <c r="AD1558" s="22">
        <f>Constants!$H74*'Activity data'!AW16*Constants!$H92*FracLEACHMM*MMLeachEF*NtoN2O*kgtoGg</f>
        <v>0</v>
      </c>
      <c r="AE1558" s="22">
        <f>Constants!$H74*'Activity data'!AX16*Constants!$H92*FracLEACHMM*MMLeachEF*NtoN2O*kgtoGg</f>
        <v>0</v>
      </c>
      <c r="AF1558" s="22">
        <f>Constants!$H74*'Activity data'!AY16*Constants!$H92*FracLEACHMM*MMLeachEF*NtoN2O*kgtoGg</f>
        <v>0</v>
      </c>
      <c r="AG1558" s="22">
        <f>Constants!$H74*'Activity data'!AZ16*Constants!$H92*FracLEACHMM*MMLeachEF*NtoN2O*kgtoGg</f>
        <v>0</v>
      </c>
      <c r="AH1558" s="22">
        <f>Constants!$H74*'Activity data'!BA16*Constants!$H92*FracLEACHMM*MMLeachEF*NtoN2O*kgtoGg</f>
        <v>0</v>
      </c>
      <c r="AI1558" s="22">
        <f>Constants!$H74*'Activity data'!BB16*Constants!$H92*FracLEACHMM*MMLeachEF*NtoN2O*kgtoGg</f>
        <v>0</v>
      </c>
      <c r="AJ1558" s="22">
        <f>Constants!$H74*'Activity data'!BC16*Constants!$H92*FracLEACHMM*MMLeachEF*NtoN2O*kgtoGg</f>
        <v>0</v>
      </c>
      <c r="AK1558" s="22">
        <f>Constants!$H74*'Activity data'!BD16*Constants!$H92*FracLEACHMM*MMLeachEF*NtoN2O*kgtoGg</f>
        <v>0</v>
      </c>
      <c r="AL1558" s="22">
        <f>Constants!$H74*'Activity data'!BE16*Constants!$H92*FracLEACHMM*MMLeachEF*NtoN2O*kgtoGg</f>
        <v>0</v>
      </c>
      <c r="AM1558" s="22">
        <f>Constants!$H74*'Activity data'!BF16*Constants!$H92*FracLEACHMM*MMLeachEF*NtoN2O*kgtoGg</f>
        <v>0</v>
      </c>
      <c r="AN1558" s="22">
        <f>Constants!$H74*'Activity data'!BG16*Constants!$H92*FracLEACHMM*MMLeachEF*NtoN2O*kgtoGg</f>
        <v>0</v>
      </c>
      <c r="AO1558" s="22">
        <f>Constants!$H74*'Activity data'!BH16*Constants!$H92*FracLEACHMM*MMLeachEF*NtoN2O*kgtoGg</f>
        <v>0</v>
      </c>
      <c r="AP1558" s="22">
        <f>Constants!$H74*'Activity data'!BI16*Constants!$H92*FracLEACHMM*MMLeachEF*NtoN2O*kgtoGg</f>
        <v>0</v>
      </c>
      <c r="AQ1558" s="22">
        <f>Constants!$H74*'Activity data'!BJ16*Constants!$H92*FracLEACHMM*MMLeachEF*NtoN2O*kgtoGg</f>
        <v>0</v>
      </c>
      <c r="AR1558" s="22">
        <f>Constants!$H74*'Activity data'!BK16*Constants!$H92*FracLEACHMM*MMLeachEF*NtoN2O*kgtoGg</f>
        <v>0</v>
      </c>
      <c r="AS1558" s="22">
        <f>Constants!$H74*'Activity data'!BL16*Constants!$H92*FracLEACHMM*MMLeachEF*NtoN2O*kgtoGg</f>
        <v>0</v>
      </c>
      <c r="AT1558" s="22">
        <f>Constants!$H74*'Activity data'!BM16*Constants!$H92*FracLEACHMM*MMLeachEF*NtoN2O*kgtoGg</f>
        <v>0</v>
      </c>
      <c r="AU1558" s="22">
        <f>Constants!$H74*'Activity data'!BN16*Constants!$H92*FracLEACHMM*MMLeachEF*NtoN2O*kgtoGg</f>
        <v>0</v>
      </c>
      <c r="AV1558" s="22">
        <f>Constants!$H74*'Activity data'!BO16*Constants!$H92*FracLEACHMM*MMLeachEF*NtoN2O*kgtoGg</f>
        <v>0</v>
      </c>
      <c r="AW1558" s="22">
        <f>Constants!$H74*'Activity data'!BP16*Constants!$H92*FracLEACHMM*MMLeachEF*NtoN2O*kgtoGg</f>
        <v>0</v>
      </c>
    </row>
    <row r="1559" spans="1:49" x14ac:dyDescent="0.25">
      <c r="A1559" s="102" t="s">
        <v>961</v>
      </c>
      <c r="B1559" s="102"/>
      <c r="C1559" s="102"/>
      <c r="D1559" t="str">
        <f t="shared" si="579"/>
        <v>3C Aggregated and non-CO2 emissions on land</v>
      </c>
      <c r="E1559" t="str">
        <f t="shared" si="579"/>
        <v>3C6 Indirect N2O from manure management (N2O)</v>
      </c>
      <c r="F1559" t="str">
        <f t="shared" si="579"/>
        <v>Leaching/runoff</v>
      </c>
      <c r="G1559" t="str">
        <f t="shared" si="578"/>
        <v xml:space="preserve"> - Commercial swine</v>
      </c>
      <c r="H1559" t="str">
        <f t="shared" si="576"/>
        <v>Leaching/runoff - Commercial swine</v>
      </c>
      <c r="I1559" t="str">
        <f t="shared" si="571"/>
        <v>N2O</v>
      </c>
      <c r="J1559" t="str">
        <f t="shared" si="570"/>
        <v>Gg N2O</v>
      </c>
      <c r="K1559" s="22">
        <f>Constants!$H75*'Activity data'!AD17*Constants!$H93*FracLEACHMM*MMLeachEF*NtoN2O*kgtoGg</f>
        <v>2.7080534096129025E-2</v>
      </c>
      <c r="L1559" s="22">
        <f>Constants!$H75*'Activity data'!AE17*Constants!$H93*FracLEACHMM*MMLeachEF*NtoN2O*kgtoGg</f>
        <v>2.6995058080291692E-2</v>
      </c>
      <c r="M1559" s="22">
        <f>Constants!$H75*'Activity data'!AF17*Constants!$H93*FracLEACHMM*MMLeachEF*NtoN2O*kgtoGg</f>
        <v>2.6712389539955236E-2</v>
      </c>
      <c r="N1559" s="22">
        <f>Constants!$H75*'Activity data'!AG17*Constants!$H93*FracLEACHMM*MMLeachEF*NtoN2O*kgtoGg</f>
        <v>2.6163552006630762E-2</v>
      </c>
      <c r="O1559" s="22">
        <f>Constants!$H75*'Activity data'!AH17*Constants!$H93*FracLEACHMM*MMLeachEF*NtoN2O*kgtoGg</f>
        <v>2.5638728055519384E-2</v>
      </c>
      <c r="P1559" s="22">
        <f>Constants!$H75*'Activity data'!AI17*Constants!$H93*FracLEACHMM*MMLeachEF*NtoN2O*kgtoGg</f>
        <v>2.5270557311936091E-2</v>
      </c>
      <c r="Q1559" s="22">
        <f>Constants!$H75*'Activity data'!AJ17*Constants!$H93*FracLEACHMM*MMLeachEF*NtoN2O*kgtoGg</f>
        <v>2.4958747401341939E-2</v>
      </c>
      <c r="R1559" s="22">
        <f>Constants!$H75*'Activity data'!AK17*Constants!$H93*FracLEACHMM*MMLeachEF*NtoN2O*kgtoGg</f>
        <v>2.4384582351632111E-2</v>
      </c>
      <c r="S1559" s="22">
        <f>Constants!$H75*'Activity data'!AL17*Constants!$H93*FracLEACHMM*MMLeachEF*NtoN2O*kgtoGg</f>
        <v>2.1346855337625082E-2</v>
      </c>
      <c r="T1559" s="22">
        <f>Constants!$H75*'Activity data'!AM17*Constants!$H93*FracLEACHMM*MMLeachEF*NtoN2O*kgtoGg</f>
        <v>2.1482505917310397E-2</v>
      </c>
      <c r="U1559" s="22">
        <f>Constants!$H75*'Activity data'!AN17*Constants!$H93*FracLEACHMM*MMLeachEF*NtoN2O*kgtoGg</f>
        <v>2.1550596950866634E-2</v>
      </c>
      <c r="V1559" s="22">
        <f>Constants!$H75*'Activity data'!AO17*Constants!$H93*FracLEACHMM*MMLeachEF*NtoN2O*kgtoGg</f>
        <v>2.1616794763907179E-2</v>
      </c>
      <c r="W1559" s="22">
        <f>Constants!$H75*'Activity data'!AP17*Constants!$H93*FracLEACHMM*MMLeachEF*NtoN2O*kgtoGg</f>
        <v>2.1778489708019384E-2</v>
      </c>
      <c r="X1559" s="22">
        <f>Constants!$H75*'Activity data'!AQ17*Constants!$H93*FracLEACHMM*MMLeachEF*NtoN2O*kgtoGg</f>
        <v>2.1934748739134539E-2</v>
      </c>
      <c r="Y1559" s="22">
        <f>Constants!$H75*'Activity data'!AR17*Constants!$H93*FracLEACHMM*MMLeachEF*NtoN2O*kgtoGg</f>
        <v>2.2114017881126848E-2</v>
      </c>
      <c r="Z1559" s="22">
        <f>Constants!$H75*'Activity data'!AS17*Constants!$H93*FracLEACHMM*MMLeachEF*NtoN2O*kgtoGg</f>
        <v>2.2264487150526265E-2</v>
      </c>
      <c r="AA1559" s="22">
        <f>Constants!$H75*'Activity data'!AT17*Constants!$H93*FracLEACHMM*MMLeachEF*NtoN2O*kgtoGg</f>
        <v>2.2445316206361306E-2</v>
      </c>
      <c r="AB1559" s="22">
        <f>Constants!$H75*'Activity data'!AU17*Constants!$H93*FracLEACHMM*MMLeachEF*NtoN2O*kgtoGg</f>
        <v>2.2576949368517302E-2</v>
      </c>
      <c r="AC1559" s="22">
        <f>Constants!$H75*'Activity data'!AV17*Constants!$H93*FracLEACHMM*MMLeachEF*NtoN2O*kgtoGg</f>
        <v>2.271541592892265E-2</v>
      </c>
      <c r="AD1559" s="22">
        <f>Constants!$H75*'Activity data'!AW17*Constants!$H93*FracLEACHMM*MMLeachEF*NtoN2O*kgtoGg</f>
        <v>2.2970809719090692E-2</v>
      </c>
      <c r="AE1559" s="22">
        <f>Constants!$H75*'Activity data'!AX17*Constants!$H93*FracLEACHMM*MMLeachEF*NtoN2O*kgtoGg</f>
        <v>2.3269151361655305E-2</v>
      </c>
      <c r="AF1559" s="22">
        <f>Constants!$H75*'Activity data'!AY17*Constants!$H93*FracLEACHMM*MMLeachEF*NtoN2O*kgtoGg</f>
        <v>2.3577881186145462E-2</v>
      </c>
      <c r="AG1559" s="22">
        <f>Constants!$H75*'Activity data'!AZ17*Constants!$H93*FracLEACHMM*MMLeachEF*NtoN2O*kgtoGg</f>
        <v>2.3230896400696678E-2</v>
      </c>
      <c r="AH1559" s="22">
        <f>Constants!$H75*'Activity data'!BA17*Constants!$H93*FracLEACHMM*MMLeachEF*NtoN2O*kgtoGg</f>
        <v>-7.8382777121831278E-3</v>
      </c>
      <c r="AI1559" s="22">
        <f>Constants!$H75*'Activity data'!BB17*Constants!$H93*FracLEACHMM*MMLeachEF*NtoN2O*kgtoGg</f>
        <v>-7.7525396142955495E-3</v>
      </c>
      <c r="AJ1559" s="22">
        <f>Constants!$H75*'Activity data'!BC17*Constants!$H93*FracLEACHMM*MMLeachEF*NtoN2O*kgtoGg</f>
        <v>-7.6686379044997068E-3</v>
      </c>
      <c r="AK1559" s="22">
        <f>Constants!$H75*'Activity data'!BD17*Constants!$H93*FracLEACHMM*MMLeachEF*NtoN2O*kgtoGg</f>
        <v>-7.586452448594779E-3</v>
      </c>
      <c r="AL1559" s="22">
        <f>Constants!$H75*'Activity data'!BE17*Constants!$H93*FracLEACHMM*MMLeachEF*NtoN2O*kgtoGg</f>
        <v>-7.5058719086197852E-3</v>
      </c>
      <c r="AM1559" s="22">
        <f>Constants!$H75*'Activity data'!BF17*Constants!$H93*FracLEACHMM*MMLeachEF*NtoN2O*kgtoGg</f>
        <v>-7.4267928922061455E-3</v>
      </c>
      <c r="AN1559" s="22">
        <f>Constants!$H75*'Activity data'!BG17*Constants!$H93*FracLEACHMM*MMLeachEF*NtoN2O*kgtoGg</f>
        <v>-7.3400589670898171E-3</v>
      </c>
      <c r="AO1559" s="22">
        <f>Constants!$H75*'Activity data'!BH17*Constants!$H93*FracLEACHMM*MMLeachEF*NtoN2O*kgtoGg</f>
        <v>-7.2548542835376628E-3</v>
      </c>
      <c r="AP1559" s="22">
        <f>Constants!$H75*'Activity data'!BI17*Constants!$H93*FracLEACHMM*MMLeachEF*NtoN2O*kgtoGg</f>
        <v>-7.1710895268481756E-3</v>
      </c>
      <c r="AQ1559" s="22">
        <f>Constants!$H75*'Activity data'!BJ17*Constants!$H93*FracLEACHMM*MMLeachEF*NtoN2O*kgtoGg</f>
        <v>-7.0886812161586998E-3</v>
      </c>
      <c r="AR1559" s="22">
        <f>Constants!$H75*'Activity data'!BK17*Constants!$H93*FracLEACHMM*MMLeachEF*NtoN2O*kgtoGg</f>
        <v>-7.0075512003870211E-3</v>
      </c>
      <c r="AS1559" s="22">
        <f>Constants!$H75*'Activity data'!BL17*Constants!$H93*FracLEACHMM*MMLeachEF*NtoN2O*kgtoGg</f>
        <v>-6.9191376458643079E-3</v>
      </c>
      <c r="AT1559" s="22">
        <f>Constants!$H75*'Activity data'!BM17*Constants!$H93*FracLEACHMM*MMLeachEF*NtoN2O*kgtoGg</f>
        <v>-6.8320744878094938E-3</v>
      </c>
      <c r="AU1559" s="22">
        <f>Constants!$H75*'Activity data'!BN17*Constants!$H93*FracLEACHMM*MMLeachEF*NtoN2O*kgtoGg</f>
        <v>-6.7462922163727323E-3</v>
      </c>
      <c r="AV1559" s="22">
        <f>Constants!$H75*'Activity data'!BO17*Constants!$H93*FracLEACHMM*MMLeachEF*NtoN2O*kgtoGg</f>
        <v>-6.6617254285893414E-3</v>
      </c>
      <c r="AW1559" s="22">
        <f>Constants!$H75*'Activity data'!BP17*Constants!$H93*FracLEACHMM*MMLeachEF*NtoN2O*kgtoGg</f>
        <v>-6.5783125081778221E-3</v>
      </c>
    </row>
    <row r="1560" spans="1:49" x14ac:dyDescent="0.25">
      <c r="A1560" s="102" t="s">
        <v>961</v>
      </c>
      <c r="B1560" s="102"/>
      <c r="C1560" s="102"/>
      <c r="D1560" t="str">
        <f t="shared" si="579"/>
        <v>3C Aggregated and non-CO2 emissions on land</v>
      </c>
      <c r="E1560" t="str">
        <f>E1559</f>
        <v>3C6 Indirect N2O from manure management (N2O)</v>
      </c>
      <c r="F1560" t="str">
        <f t="shared" si="579"/>
        <v>Leaching/runoff</v>
      </c>
      <c r="G1560" t="str">
        <f>G1544</f>
        <v xml:space="preserve"> - Subsistence swine</v>
      </c>
      <c r="H1560" t="str">
        <f t="shared" si="576"/>
        <v>Leaching/runoff - Subsistence swine</v>
      </c>
      <c r="I1560" t="str">
        <f t="shared" si="571"/>
        <v>N2O</v>
      </c>
      <c r="J1560" t="str">
        <f t="shared" si="570"/>
        <v>Gg N2O</v>
      </c>
      <c r="K1560" s="22">
        <f>Constants!$H76*'Activity data'!AD18*Constants!$H94*FracLEACHMM*MMLeachEF*NtoN2O*kgtoGg</f>
        <v>4.0473192123070822E-3</v>
      </c>
      <c r="L1560" s="22">
        <f>Constants!$H76*'Activity data'!AE18*Constants!$H94*FracLEACHMM*MMLeachEF*NtoN2O*kgtoGg</f>
        <v>4.0345444007076556E-3</v>
      </c>
      <c r="M1560" s="22">
        <f>Constants!$H76*'Activity data'!AF18*Constants!$H94*FracLEACHMM*MMLeachEF*NtoN2O*kgtoGg</f>
        <v>3.9922981950029426E-3</v>
      </c>
      <c r="N1560" s="22">
        <f>Constants!$H76*'Activity data'!AG18*Constants!$H94*FracLEACHMM*MMLeachEF*NtoN2O*kgtoGg</f>
        <v>3.9102717222172061E-3</v>
      </c>
      <c r="O1560" s="22">
        <f>Constants!$H76*'Activity data'!AH18*Constants!$H94*FracLEACHMM*MMLeachEF*NtoN2O*kgtoGg</f>
        <v>3.8318341975778526E-3</v>
      </c>
      <c r="P1560" s="22">
        <f>Constants!$H76*'Activity data'!AI18*Constants!$H94*FracLEACHMM*MMLeachEF*NtoN2O*kgtoGg</f>
        <v>3.7768092664363703E-3</v>
      </c>
      <c r="Q1560" s="22">
        <f>Constants!$H76*'Activity data'!AJ18*Constants!$H94*FracLEACHMM*MMLeachEF*NtoN2O*kgtoGg</f>
        <v>3.7302077394038642E-3</v>
      </c>
      <c r="R1560" s="22">
        <f>Constants!$H76*'Activity data'!AK18*Constants!$H94*FracLEACHMM*MMLeachEF*NtoN2O*kgtoGg</f>
        <v>3.6443959445376013E-3</v>
      </c>
      <c r="S1560" s="22">
        <f>Constants!$H76*'Activity data'!AL18*Constants!$H94*FracLEACHMM*MMLeachEF*NtoN2O*kgtoGg</f>
        <v>3.1903926792440892E-3</v>
      </c>
      <c r="T1560" s="22">
        <f>Constants!$H76*'Activity data'!AM18*Constants!$H94*FracLEACHMM*MMLeachEF*NtoN2O*kgtoGg</f>
        <v>3.2106663265573984E-3</v>
      </c>
      <c r="U1560" s="22">
        <f>Constants!$H76*'Activity data'!AN18*Constants!$H94*FracLEACHMM*MMLeachEF*NtoN2O*kgtoGg</f>
        <v>3.2208428669210313E-3</v>
      </c>
      <c r="V1560" s="22">
        <f>Constants!$H76*'Activity data'!AO18*Constants!$H94*FracLEACHMM*MMLeachEF*NtoN2O*kgtoGg</f>
        <v>3.2307364561530842E-3</v>
      </c>
      <c r="W1560" s="22">
        <f>Constants!$H76*'Activity data'!AP18*Constants!$H94*FracLEACHMM*MMLeachEF*NtoN2O*kgtoGg</f>
        <v>3.254902562017731E-3</v>
      </c>
      <c r="X1560" s="22">
        <f>Constants!$H76*'Activity data'!AQ18*Constants!$H94*FracLEACHMM*MMLeachEF*NtoN2O*kgtoGg</f>
        <v>3.2782562439090815E-3</v>
      </c>
      <c r="Y1560" s="22">
        <f>Constants!$H76*'Activity data'!AR18*Constants!$H94*FracLEACHMM*MMLeachEF*NtoN2O*kgtoGg</f>
        <v>3.3050489002128215E-3</v>
      </c>
      <c r="Z1560" s="22">
        <f>Constants!$H76*'Activity data'!AS18*Constants!$H94*FracLEACHMM*MMLeachEF*NtoN2O*kgtoGg</f>
        <v>3.3275372736969E-3</v>
      </c>
      <c r="AA1560" s="22">
        <f>Constants!$H76*'Activity data'!AT18*Constants!$H94*FracLEACHMM*MMLeachEF*NtoN2O*kgtoGg</f>
        <v>3.3545630668081641E-3</v>
      </c>
      <c r="AB1560" s="22">
        <f>Constants!$H76*'Activity data'!AU18*Constants!$H94*FracLEACHMM*MMLeachEF*NtoN2O*kgtoGg</f>
        <v>3.374236291282967E-3</v>
      </c>
      <c r="AC1560" s="22">
        <f>Constants!$H76*'Activity data'!AV18*Constants!$H94*FracLEACHMM*MMLeachEF*NtoN2O*kgtoGg</f>
        <v>3.3949308007856708E-3</v>
      </c>
      <c r="AD1560" s="22">
        <f>Constants!$H76*'Activity data'!AW18*Constants!$H94*FracLEACHMM*MMLeachEF*NtoN2O*kgtoGg</f>
        <v>3.4331006607294153E-3</v>
      </c>
      <c r="AE1560" s="22">
        <f>Constants!$H76*'Activity data'!AX18*Constants!$H94*FracLEACHMM*MMLeachEF*NtoN2O*kgtoGg</f>
        <v>3.4776892887637355E-3</v>
      </c>
      <c r="AF1560" s="22">
        <f>Constants!$H76*'Activity data'!AY18*Constants!$H94*FracLEACHMM*MMLeachEF*NtoN2O*kgtoGg</f>
        <v>3.5238304817562988E-3</v>
      </c>
      <c r="AG1560" s="22">
        <f>Constants!$H76*'Activity data'!AZ18*Constants!$H94*FracLEACHMM*MMLeachEF*NtoN2O*kgtoGg</f>
        <v>3.4719718964145189E-3</v>
      </c>
      <c r="AH1560" s="22">
        <f>Constants!$H76*'Activity data'!BA18*Constants!$H94*FracLEACHMM*MMLeachEF*NtoN2O*kgtoGg</f>
        <v>-1.1714692133953115E-3</v>
      </c>
      <c r="AI1560" s="22">
        <f>Constants!$H76*'Activity data'!BB18*Constants!$H94*FracLEACHMM*MMLeachEF*NtoN2O*kgtoGg</f>
        <v>-1.1586552323425276E-3</v>
      </c>
      <c r="AJ1560" s="22">
        <f>Constants!$H76*'Activity data'!BC18*Constants!$H94*FracLEACHMM*MMLeachEF*NtoN2O*kgtoGg</f>
        <v>-1.1461157085356224E-3</v>
      </c>
      <c r="AK1560" s="22">
        <f>Constants!$H76*'Activity data'!BD18*Constants!$H94*FracLEACHMM*MMLeachEF*NtoN2O*kgtoGg</f>
        <v>-1.133832687326532E-3</v>
      </c>
      <c r="AL1560" s="22">
        <f>Constants!$H76*'Activity data'!BE18*Constants!$H94*FracLEACHMM*MMLeachEF*NtoN2O*kgtoGg</f>
        <v>-1.1217895287085682E-3</v>
      </c>
      <c r="AM1560" s="22">
        <f>Constants!$H76*'Activity data'!BF18*Constants!$H94*FracLEACHMM*MMLeachEF*NtoN2O*kgtoGg</f>
        <v>-1.109970780182961E-3</v>
      </c>
      <c r="AN1560" s="22">
        <f>Constants!$H76*'Activity data'!BG18*Constants!$H94*FracLEACHMM*MMLeachEF*NtoN2O*kgtoGg</f>
        <v>-1.0970079678456562E-3</v>
      </c>
      <c r="AO1560" s="22">
        <f>Constants!$H76*'Activity data'!BH18*Constants!$H94*FracLEACHMM*MMLeachEF*NtoN2O*kgtoGg</f>
        <v>-1.0842737081927609E-3</v>
      </c>
      <c r="AP1560" s="22">
        <f>Constants!$H76*'Activity data'!BI18*Constants!$H94*FracLEACHMM*MMLeachEF*NtoN2O*kgtoGg</f>
        <v>-1.0717546527021955E-3</v>
      </c>
      <c r="AQ1560" s="22">
        <f>Constants!$H76*'Activity data'!BJ18*Constants!$H94*FracLEACHMM*MMLeachEF*NtoN2O*kgtoGg</f>
        <v>-1.0594383247478308E-3</v>
      </c>
      <c r="AR1560" s="22">
        <f>Constants!$H76*'Activity data'!BK18*Constants!$H94*FracLEACHMM*MMLeachEF*NtoN2O*kgtoGg</f>
        <v>-1.0473130442654776E-3</v>
      </c>
      <c r="AS1560" s="22">
        <f>Constants!$H76*'Activity data'!BL18*Constants!$H94*FracLEACHMM*MMLeachEF*NtoN2O*kgtoGg</f>
        <v>-1.0340992030399717E-3</v>
      </c>
      <c r="AT1560" s="22">
        <f>Constants!$H76*'Activity data'!BM18*Constants!$H94*FracLEACHMM*MMLeachEF*NtoN2O*kgtoGg</f>
        <v>-1.0210871852182944E-3</v>
      </c>
      <c r="AU1560" s="22">
        <f>Constants!$H76*'Activity data'!BN18*Constants!$H94*FracLEACHMM*MMLeachEF*NtoN2O*kgtoGg</f>
        <v>-1.0082666022109977E-3</v>
      </c>
      <c r="AV1560" s="22">
        <f>Constants!$H76*'Activity data'!BO18*Constants!$H94*FracLEACHMM*MMLeachEF*NtoN2O*kgtoGg</f>
        <v>-9.9562767922285289E-4</v>
      </c>
      <c r="AW1560" s="22">
        <f>Constants!$H76*'Activity data'!BP18*Constants!$H94*FracLEACHMM*MMLeachEF*NtoN2O*kgtoGg</f>
        <v>-9.8316120739708342E-4</v>
      </c>
    </row>
    <row r="1561" spans="1:49" x14ac:dyDescent="0.25">
      <c r="A1561" s="102" t="s">
        <v>961</v>
      </c>
      <c r="B1561" s="102"/>
      <c r="C1561" s="102"/>
      <c r="D1561" t="str">
        <f t="shared" si="579"/>
        <v>3C Aggregated and non-CO2 emissions on land</v>
      </c>
      <c r="E1561" t="str">
        <f t="shared" si="579"/>
        <v>3C6 Indirect N2O from manure management (N2O)</v>
      </c>
      <c r="F1561" t="str">
        <f t="shared" si="579"/>
        <v>Leaching/runoff</v>
      </c>
      <c r="G1561" t="str">
        <f t="shared" si="578"/>
        <v xml:space="preserve"> - Commercial layers</v>
      </c>
      <c r="H1561" t="str">
        <f t="shared" si="576"/>
        <v>Leaching/runoff - Commercial layers</v>
      </c>
      <c r="I1561" t="str">
        <f t="shared" si="571"/>
        <v>N2O</v>
      </c>
      <c r="J1561" t="str">
        <f t="shared" si="570"/>
        <v>Gg N2O</v>
      </c>
      <c r="K1561" s="22">
        <f>Constants!$H77*'Activity data'!AD19*Constants!$H95*FracLEACHMM*MMLeachEF*NtoN2O*kgtoGg</f>
        <v>1.6818104652936192E-2</v>
      </c>
      <c r="L1561" s="22">
        <f>Constants!$H77*'Activity data'!AE19*Constants!$H95*FracLEACHMM*MMLeachEF*NtoN2O*kgtoGg</f>
        <v>1.718231236008292E-2</v>
      </c>
      <c r="M1561" s="22">
        <f>Constants!$H77*'Activity data'!AF19*Constants!$H95*FracLEACHMM*MMLeachEF*NtoN2O*kgtoGg</f>
        <v>1.7475775480268494E-2</v>
      </c>
      <c r="N1561" s="22">
        <f>Constants!$H77*'Activity data'!AG19*Constants!$H95*FracLEACHMM*MMLeachEF*NtoN2O*kgtoGg</f>
        <v>1.7667520029914504E-2</v>
      </c>
      <c r="O1561" s="22">
        <f>Constants!$H77*'Activity data'!AH19*Constants!$H95*FracLEACHMM*MMLeachEF*NtoN2O*kgtoGg</f>
        <v>1.7861867169015104E-2</v>
      </c>
      <c r="P1561" s="22">
        <f>Constants!$H77*'Activity data'!AI19*Constants!$H95*FracLEACHMM*MMLeachEF*NtoN2O*kgtoGg</f>
        <v>1.8112417299921187E-2</v>
      </c>
      <c r="Q1561" s="22">
        <f>Constants!$H77*'Activity data'!AJ19*Constants!$H95*FracLEACHMM*MMLeachEF*NtoN2O*kgtoGg</f>
        <v>1.8380356458960346E-2</v>
      </c>
      <c r="R1561" s="22">
        <f>Constants!$H77*'Activity data'!AK19*Constants!$H95*FracLEACHMM*MMLeachEF*NtoN2O*kgtoGg</f>
        <v>1.8536177397088752E-2</v>
      </c>
      <c r="S1561" s="22">
        <f>Constants!$H77*'Activity data'!AL19*Constants!$H95*FracLEACHMM*MMLeachEF*NtoN2O*kgtoGg</f>
        <v>1.76397656538211E-2</v>
      </c>
      <c r="T1561" s="22">
        <f>Constants!$H77*'Activity data'!AM19*Constants!$H95*FracLEACHMM*MMLeachEF*NtoN2O*kgtoGg</f>
        <v>1.801846759992717E-2</v>
      </c>
      <c r="U1561" s="22">
        <f>Constants!$H77*'Activity data'!AN19*Constants!$H95*FracLEACHMM*MMLeachEF*NtoN2O*kgtoGg</f>
        <v>1.8371985881481728E-2</v>
      </c>
      <c r="V1561" s="22">
        <f>Constants!$H77*'Activity data'!AO19*Constants!$H95*FracLEACHMM*MMLeachEF*NtoN2O*kgtoGg</f>
        <v>1.8728295000039214E-2</v>
      </c>
      <c r="W1561" s="22">
        <f>Constants!$H77*'Activity data'!AP19*Constants!$H95*FracLEACHMM*MMLeachEF*NtoN2O*kgtoGg</f>
        <v>1.9132681284008777E-2</v>
      </c>
      <c r="X1561" s="22">
        <f>Constants!$H77*'Activity data'!AQ19*Constants!$H95*FracLEACHMM*MMLeachEF*NtoN2O*kgtoGg</f>
        <v>1.9540426695963047E-2</v>
      </c>
      <c r="Y1561" s="22">
        <f>Constants!$H77*'Activity data'!AR19*Constants!$H95*FracLEACHMM*MMLeachEF*NtoN2O*kgtoGg</f>
        <v>1.9948690293653936E-2</v>
      </c>
      <c r="Z1561" s="22">
        <f>Constants!$H77*'Activity data'!AS19*Constants!$H95*FracLEACHMM*MMLeachEF*NtoN2O*kgtoGg</f>
        <v>2.0349079299491275E-2</v>
      </c>
      <c r="AA1561" s="22">
        <f>Constants!$H77*'Activity data'!AT19*Constants!$H95*FracLEACHMM*MMLeachEF*NtoN2O*kgtoGg</f>
        <v>2.0770745700628056E-2</v>
      </c>
      <c r="AB1561" s="22">
        <f>Constants!$H77*'Activity data'!AU19*Constants!$H95*FracLEACHMM*MMLeachEF*NtoN2O*kgtoGg</f>
        <v>2.1173883464125715E-2</v>
      </c>
      <c r="AC1561" s="22">
        <f>Constants!$H77*'Activity data'!AV19*Constants!$H95*FracLEACHMM*MMLeachEF*NtoN2O*kgtoGg</f>
        <v>2.1586582056186982E-2</v>
      </c>
      <c r="AD1561" s="22">
        <f>Constants!$H77*'Activity data'!AW19*Constants!$H95*FracLEACHMM*MMLeachEF*NtoN2O*kgtoGg</f>
        <v>2.2054503180091424E-2</v>
      </c>
      <c r="AE1561" s="22">
        <f>Constants!$H77*'Activity data'!AX19*Constants!$H95*FracLEACHMM*MMLeachEF*NtoN2O*kgtoGg</f>
        <v>2.2554673664968956E-2</v>
      </c>
      <c r="AF1561" s="22">
        <f>Constants!$H77*'Activity data'!AY19*Constants!$H95*FracLEACHMM*MMLeachEF*NtoN2O*kgtoGg</f>
        <v>2.3070579743094625E-2</v>
      </c>
      <c r="AG1561" s="22">
        <f>Constants!$H77*'Activity data'!AZ19*Constants!$H95*FracLEACHMM*MMLeachEF*NtoN2O*kgtoGg</f>
        <v>2.3224138845155579E-2</v>
      </c>
      <c r="AH1561" s="22">
        <f>Constants!$H77*'Activity data'!BA19*Constants!$H95*FracLEACHMM*MMLeachEF*NtoN2O*kgtoGg</f>
        <v>5.566614295378065E-3</v>
      </c>
      <c r="AI1561" s="22">
        <f>Constants!$H77*'Activity data'!BB19*Constants!$H95*FracLEACHMM*MMLeachEF*NtoN2O*kgtoGg</f>
        <v>5.6093984340287433E-3</v>
      </c>
      <c r="AJ1561" s="22">
        <f>Constants!$H77*'Activity data'!BC19*Constants!$H95*FracLEACHMM*MMLeachEF*NtoN2O*kgtoGg</f>
        <v>5.652494073803362E-3</v>
      </c>
      <c r="AK1561" s="22">
        <f>Constants!$H77*'Activity data'!BD19*Constants!$H95*FracLEACHMM*MMLeachEF*NtoN2O*kgtoGg</f>
        <v>5.6959035866970768E-3</v>
      </c>
      <c r="AL1561" s="22">
        <f>Constants!$H77*'Activity data'!BE19*Constants!$H95*FracLEACHMM*MMLeachEF*NtoN2O*kgtoGg</f>
        <v>5.7396293554766858E-3</v>
      </c>
      <c r="AM1561" s="22">
        <f>Constants!$H77*'Activity data'!BF19*Constants!$H95*FracLEACHMM*MMLeachEF*NtoN2O*kgtoGg</f>
        <v>5.7836737743814492E-3</v>
      </c>
      <c r="AN1561" s="22">
        <f>Constants!$H77*'Activity data'!BG19*Constants!$H95*FracLEACHMM*MMLeachEF*NtoN2O*kgtoGg</f>
        <v>5.821325048469962E-3</v>
      </c>
      <c r="AO1561" s="22">
        <f>Constants!$H77*'Activity data'!BH19*Constants!$H95*FracLEACHMM*MMLeachEF*NtoN2O*kgtoGg</f>
        <v>5.8592087350485328E-3</v>
      </c>
      <c r="AP1561" s="22">
        <f>Constants!$H77*'Activity data'!BI19*Constants!$H95*FracLEACHMM*MMLeachEF*NtoN2O*kgtoGg</f>
        <v>5.8973263448292906E-3</v>
      </c>
      <c r="AQ1561" s="22">
        <f>Constants!$H77*'Activity data'!BJ19*Constants!$H95*FracLEACHMM*MMLeachEF*NtoN2O*kgtoGg</f>
        <v>5.9356793935795814E-3</v>
      </c>
      <c r="AR1561" s="22">
        <f>Constants!$H77*'Activity data'!BK19*Constants!$H95*FracLEACHMM*MMLeachEF*NtoN2O*kgtoGg</f>
        <v>5.9742694025184985E-3</v>
      </c>
      <c r="AS1561" s="22">
        <f>Constants!$H77*'Activity data'!BL19*Constants!$H95*FracLEACHMM*MMLeachEF*NtoN2O*kgtoGg</f>
        <v>6.0061978888300534E-3</v>
      </c>
      <c r="AT1561" s="22">
        <f>Constants!$H77*'Activity data'!BM19*Constants!$H95*FracLEACHMM*MMLeachEF*NtoN2O*kgtoGg</f>
        <v>6.0382881266520675E-3</v>
      </c>
      <c r="AU1561" s="22">
        <f>Constants!$H77*'Activity data'!BN19*Constants!$H95*FracLEACHMM*MMLeachEF*NtoN2O*kgtoGg</f>
        <v>6.0705409933047069E-3</v>
      </c>
      <c r="AV1561" s="22">
        <f>Constants!$H77*'Activity data'!BO19*Constants!$H95*FracLEACHMM*MMLeachEF*NtoN2O*kgtoGg</f>
        <v>6.1029573675840942E-3</v>
      </c>
      <c r="AW1561" s="22">
        <f>Constants!$H77*'Activity data'!BP19*Constants!$H95*FracLEACHMM*MMLeachEF*NtoN2O*kgtoGg</f>
        <v>6.1355381299989719E-3</v>
      </c>
    </row>
    <row r="1562" spans="1:49" x14ac:dyDescent="0.25">
      <c r="A1562" s="102" t="s">
        <v>961</v>
      </c>
      <c r="B1562" s="102"/>
      <c r="C1562" s="102"/>
      <c r="D1562" t="str">
        <f t="shared" si="579"/>
        <v>3C Aggregated and non-CO2 emissions on land</v>
      </c>
      <c r="E1562" t="str">
        <f>E1561</f>
        <v>3C6 Indirect N2O from manure management (N2O)</v>
      </c>
      <c r="F1562" t="str">
        <f t="shared" si="579"/>
        <v>Leaching/runoff</v>
      </c>
      <c r="G1562" t="str">
        <f>G1546</f>
        <v xml:space="preserve"> - Commercial broilers</v>
      </c>
      <c r="H1562" t="str">
        <f t="shared" si="576"/>
        <v>Leaching/runoff - Commercial broilers</v>
      </c>
      <c r="I1562" t="str">
        <f t="shared" si="571"/>
        <v>N2O</v>
      </c>
      <c r="J1562" t="str">
        <f t="shared" si="570"/>
        <v>Gg N2O</v>
      </c>
      <c r="K1562" s="22">
        <f>Constants!$H78*'Activity data'!AD20*Constants!$H96*FracLEACHMM*MMLeachEF*NtoN2O*kgtoGg</f>
        <v>7.8494818970751015E-2</v>
      </c>
      <c r="L1562" s="22">
        <f>Constants!$H78*'Activity data'!AE20*Constants!$H96*FracLEACHMM*MMLeachEF*NtoN2O*kgtoGg</f>
        <v>7.9768604189276573E-2</v>
      </c>
      <c r="M1562" s="22">
        <f>Constants!$H78*'Activity data'!AF20*Constants!$H96*FracLEACHMM*MMLeachEF*NtoN2O*kgtoGg</f>
        <v>8.0146817618550151E-2</v>
      </c>
      <c r="N1562" s="22">
        <f>Constants!$H78*'Activity data'!AG20*Constants!$H96*FracLEACHMM*MMLeachEF*NtoN2O*kgtoGg</f>
        <v>7.92990227060308E-2</v>
      </c>
      <c r="O1562" s="22">
        <f>Constants!$H78*'Activity data'!AH20*Constants!$H96*FracLEACHMM*MMLeachEF*NtoN2O*kgtoGg</f>
        <v>7.8453048138272599E-2</v>
      </c>
      <c r="P1562" s="22">
        <f>Constants!$H78*'Activity data'!AI20*Constants!$H96*FracLEACHMM*MMLeachEF*NtoN2O*kgtoGg</f>
        <v>7.8207580187434067E-2</v>
      </c>
      <c r="Q1562" s="22">
        <f>Constants!$H78*'Activity data'!AJ20*Constants!$H96*FracLEACHMM*MMLeachEF*NtoN2O*kgtoGg</f>
        <v>7.8156445174191957E-2</v>
      </c>
      <c r="R1562" s="22">
        <f>Constants!$H78*'Activity data'!AK20*Constants!$H96*FracLEACHMM*MMLeachEF*NtoN2O*kgtoGg</f>
        <v>7.6852772864248492E-2</v>
      </c>
      <c r="S1562" s="22">
        <f>Constants!$H78*'Activity data'!AL20*Constants!$H96*FracLEACHMM*MMLeachEF*NtoN2O*kgtoGg</f>
        <v>6.4037092776490251E-2</v>
      </c>
      <c r="T1562" s="22">
        <f>Constants!$H78*'Activity data'!AM20*Constants!$H96*FracLEACHMM*MMLeachEF*NtoN2O*kgtoGg</f>
        <v>6.592602729202128E-2</v>
      </c>
      <c r="U1562" s="22">
        <f>Constants!$H78*'Activity data'!AN20*Constants!$H96*FracLEACHMM*MMLeachEF*NtoN2O*kgtoGg</f>
        <v>6.7504922847287652E-2</v>
      </c>
      <c r="V1562" s="22">
        <f>Constants!$H78*'Activity data'!AO20*Constants!$H96*FracLEACHMM*MMLeachEF*NtoN2O*kgtoGg</f>
        <v>6.9079987400904638E-2</v>
      </c>
      <c r="W1562" s="22">
        <f>Constants!$H78*'Activity data'!AP20*Constants!$H96*FracLEACHMM*MMLeachEF*NtoN2O*kgtoGg</f>
        <v>7.1129196138688011E-2</v>
      </c>
      <c r="X1562" s="22">
        <f>Constants!$H78*'Activity data'!AQ20*Constants!$H96*FracLEACHMM*MMLeachEF*NtoN2O*kgtoGg</f>
        <v>7.3172253795344297E-2</v>
      </c>
      <c r="Y1562" s="22">
        <f>Constants!$H78*'Activity data'!AR20*Constants!$H96*FracLEACHMM*MMLeachEF*NtoN2O*kgtoGg</f>
        <v>7.5415394971077201E-2</v>
      </c>
      <c r="Z1562" s="22">
        <f>Constants!$H78*'Activity data'!AS20*Constants!$H96*FracLEACHMM*MMLeachEF*NtoN2O*kgtoGg</f>
        <v>7.7538763261802646E-2</v>
      </c>
      <c r="AA1562" s="22">
        <f>Constants!$H78*'Activity data'!AT20*Constants!$H96*FracLEACHMM*MMLeachEF*NtoN2O*kgtoGg</f>
        <v>7.984321522583579E-2</v>
      </c>
      <c r="AB1562" s="22">
        <f>Constants!$H78*'Activity data'!AU20*Constants!$H96*FracLEACHMM*MMLeachEF*NtoN2O*kgtoGg</f>
        <v>8.1921087927437922E-2</v>
      </c>
      <c r="AC1562" s="22">
        <f>Constants!$H78*'Activity data'!AV20*Constants!$H96*FracLEACHMM*MMLeachEF*NtoN2O*kgtoGg</f>
        <v>8.4060316833005314E-2</v>
      </c>
      <c r="AD1562" s="22">
        <f>Constants!$H78*'Activity data'!AW20*Constants!$H96*FracLEACHMM*MMLeachEF*NtoN2O*kgtoGg</f>
        <v>8.6903196778093231E-2</v>
      </c>
      <c r="AE1562" s="22">
        <f>Constants!$H78*'Activity data'!AX20*Constants!$H96*FracLEACHMM*MMLeachEF*NtoN2O*kgtoGg</f>
        <v>9.0024318002173712E-2</v>
      </c>
      <c r="AF1562" s="22">
        <f>Constants!$H78*'Activity data'!AY20*Constants!$H96*FracLEACHMM*MMLeachEF*NtoN2O*kgtoGg</f>
        <v>9.3255519309180357E-2</v>
      </c>
      <c r="AG1562" s="22">
        <f>Constants!$H78*'Activity data'!AZ20*Constants!$H96*FracLEACHMM*MMLeachEF*NtoN2O*kgtoGg</f>
        <v>9.2895703603725718E-2</v>
      </c>
      <c r="AH1562" s="22">
        <f>Constants!$H78*'Activity data'!BA20*Constants!$H96*FracLEACHMM*MMLeachEF*NtoN2O*kgtoGg</f>
        <v>-8.0563954207335059E-2</v>
      </c>
      <c r="AI1562" s="22">
        <f>Constants!$H78*'Activity data'!BB20*Constants!$H96*FracLEACHMM*MMLeachEF*NtoN2O*kgtoGg</f>
        <v>-8.0679385855871269E-2</v>
      </c>
      <c r="AJ1562" s="22">
        <f>Constants!$H78*'Activity data'!BC20*Constants!$H96*FracLEACHMM*MMLeachEF*NtoN2O*kgtoGg</f>
        <v>-8.0804585525595149E-2</v>
      </c>
      <c r="AK1562" s="22">
        <f>Constants!$H78*'Activity data'!BD20*Constants!$H96*FracLEACHMM*MMLeachEF*NtoN2O*kgtoGg</f>
        <v>-8.0939145577368532E-2</v>
      </c>
      <c r="AL1562" s="22">
        <f>Constants!$H78*'Activity data'!BE20*Constants!$H96*FracLEACHMM*MMLeachEF*NtoN2O*kgtoGg</f>
        <v>-8.1082690034370505E-2</v>
      </c>
      <c r="AM1562" s="22">
        <f>Constants!$H78*'Activity data'!BF20*Constants!$H96*FracLEACHMM*MMLeachEF*NtoN2O*kgtoGg</f>
        <v>-8.1234871540648887E-2</v>
      </c>
      <c r="AN1562" s="22">
        <f>Constants!$H78*'Activity data'!BG20*Constants!$H96*FracLEACHMM*MMLeachEF*NtoN2O*kgtoGg</f>
        <v>-8.1297506735230202E-2</v>
      </c>
      <c r="AO1562" s="22">
        <f>Constants!$H78*'Activity data'!BH20*Constants!$H96*FracLEACHMM*MMLeachEF*NtoN2O*kgtoGg</f>
        <v>-8.1367991924777852E-2</v>
      </c>
      <c r="AP1562" s="22">
        <f>Constants!$H78*'Activity data'!BI20*Constants!$H96*FracLEACHMM*MMLeachEF*NtoN2O*kgtoGg</f>
        <v>-8.144602229798413E-2</v>
      </c>
      <c r="AQ1562" s="22">
        <f>Constants!$H78*'Activity data'!BJ20*Constants!$H96*FracLEACHMM*MMLeachEF*NtoN2O*kgtoGg</f>
        <v>-8.1531313973181002E-2</v>
      </c>
      <c r="AR1562" s="22">
        <f>Constants!$H78*'Activity data'!BK20*Constants!$H96*FracLEACHMM*MMLeachEF*NtoN2O*kgtoGg</f>
        <v>-8.1623602199923873E-2</v>
      </c>
      <c r="AS1562" s="22">
        <f>Constants!$H78*'Activity data'!BL20*Constants!$H96*FracLEACHMM*MMLeachEF*NtoN2O*kgtoGg</f>
        <v>-8.1624903700920404E-2</v>
      </c>
      <c r="AT1562" s="22">
        <f>Constants!$H78*'Activity data'!BM20*Constants!$H96*FracLEACHMM*MMLeachEF*NtoN2O*kgtoGg</f>
        <v>-8.1632684613039755E-2</v>
      </c>
      <c r="AU1562" s="22">
        <f>Constants!$H78*'Activity data'!BN20*Constants!$H96*FracLEACHMM*MMLeachEF*NtoN2O*kgtoGg</f>
        <v>-8.1646705375421999E-2</v>
      </c>
      <c r="AV1562" s="22">
        <f>Constants!$H78*'Activity data'!BO20*Constants!$H96*FracLEACHMM*MMLeachEF*NtoN2O*kgtoGg</f>
        <v>-8.1666741103231646E-2</v>
      </c>
      <c r="AW1562" s="22">
        <f>Constants!$H78*'Activity data'!BP20*Constants!$H96*FracLEACHMM*MMLeachEF*NtoN2O*kgtoGg</f>
        <v>-8.1692580447798743E-2</v>
      </c>
    </row>
  </sheetData>
  <phoneticPr fontId="27" type="noConversion"/>
  <conditionalFormatting sqref="AY4:AY915 AY1067:AY1369">
    <cfRule type="cellIs" dxfId="1" priority="4" operator="greaterThan">
      <formula>0</formula>
    </cfRule>
  </conditionalFormatting>
  <conditionalFormatting sqref="AY916:AY1066">
    <cfRule type="cellIs" dxfId="0" priority="2" operator="greaterThan">
      <formula>0</formula>
    </cfRule>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9D44C-D494-4950-8046-4FBE7A39CFD2}">
  <sheetPr>
    <tabColor rgb="FFFF00FF"/>
  </sheetPr>
  <dimension ref="A1:BW127"/>
  <sheetViews>
    <sheetView workbookViewId="0">
      <pane xSplit="8" ySplit="3" topLeftCell="AD4" activePane="bottomRight" state="frozen"/>
      <selection pane="topRight" activeCell="F1" sqref="F1"/>
      <selection pane="bottomLeft" activeCell="A4" sqref="A4"/>
      <selection pane="bottomRight" activeCell="AE5" sqref="AE5"/>
    </sheetView>
  </sheetViews>
  <sheetFormatPr defaultRowHeight="15" x14ac:dyDescent="0.25"/>
  <cols>
    <col min="1" max="3" width="9.140625" style="103"/>
    <col min="4" max="4" width="34.42578125" customWidth="1"/>
    <col min="5" max="5" width="37" customWidth="1"/>
    <col min="6" max="6" width="27.5703125" customWidth="1"/>
    <col min="7" max="7" width="7.5703125" customWidth="1"/>
    <col min="8" max="8" width="26.140625" customWidth="1"/>
    <col min="9" max="36" width="9.7109375" customWidth="1"/>
    <col min="37" max="37" width="9.5703125" customWidth="1"/>
    <col min="52" max="53" width="9.42578125" customWidth="1"/>
    <col min="54" max="54" width="9.7109375" customWidth="1"/>
  </cols>
  <sheetData>
    <row r="1" spans="1:75" ht="18.75" x14ac:dyDescent="0.3">
      <c r="D1" s="1" t="s">
        <v>312</v>
      </c>
    </row>
    <row r="3" spans="1:75" s="19" customFormat="1" ht="15.75" x14ac:dyDescent="0.25">
      <c r="A3" s="104"/>
      <c r="B3" s="104"/>
      <c r="C3" s="104"/>
      <c r="D3" s="17" t="s">
        <v>4</v>
      </c>
      <c r="E3" s="17" t="s">
        <v>313</v>
      </c>
      <c r="F3" s="17" t="s">
        <v>314</v>
      </c>
      <c r="G3" s="17" t="s">
        <v>5</v>
      </c>
      <c r="H3" s="17" t="s">
        <v>0</v>
      </c>
      <c r="I3" s="17">
        <v>1990</v>
      </c>
      <c r="J3" s="17">
        <v>1991</v>
      </c>
      <c r="K3" s="17">
        <v>1992</v>
      </c>
      <c r="L3" s="17">
        <v>1993</v>
      </c>
      <c r="M3" s="17">
        <v>1994</v>
      </c>
      <c r="N3" s="17">
        <v>1995</v>
      </c>
      <c r="O3" s="17">
        <v>1996</v>
      </c>
      <c r="P3" s="17">
        <v>1997</v>
      </c>
      <c r="Q3" s="17">
        <v>1998</v>
      </c>
      <c r="R3" s="17">
        <v>1999</v>
      </c>
      <c r="S3" s="17">
        <v>2000</v>
      </c>
      <c r="T3" s="17">
        <v>2001</v>
      </c>
      <c r="U3" s="17">
        <v>2002</v>
      </c>
      <c r="V3" s="17">
        <v>2003</v>
      </c>
      <c r="W3" s="17">
        <v>2004</v>
      </c>
      <c r="X3" s="17">
        <v>2005</v>
      </c>
      <c r="Y3" s="17">
        <v>2006</v>
      </c>
      <c r="Z3" s="17">
        <v>2007</v>
      </c>
      <c r="AA3" s="17">
        <v>2008</v>
      </c>
      <c r="AB3" s="17">
        <v>2009</v>
      </c>
      <c r="AC3" s="17">
        <v>2010</v>
      </c>
      <c r="AD3" s="17">
        <v>2011</v>
      </c>
      <c r="AE3" s="17">
        <v>2012</v>
      </c>
      <c r="AF3" s="17">
        <v>2013</v>
      </c>
      <c r="AG3" s="17">
        <v>2014</v>
      </c>
      <c r="AH3" s="17">
        <v>2015</v>
      </c>
      <c r="AI3" s="17">
        <v>2016</v>
      </c>
      <c r="AJ3" s="17">
        <v>2017</v>
      </c>
      <c r="AK3" s="17">
        <v>2018</v>
      </c>
      <c r="AL3" s="17">
        <v>2019</v>
      </c>
      <c r="AM3" s="17">
        <v>2020</v>
      </c>
      <c r="AN3" s="17">
        <v>2021</v>
      </c>
      <c r="AO3" s="17">
        <v>2022</v>
      </c>
      <c r="AP3" s="17">
        <v>2023</v>
      </c>
      <c r="AQ3" s="17">
        <v>2024</v>
      </c>
      <c r="AR3" s="17">
        <v>2025</v>
      </c>
      <c r="AS3" s="17">
        <v>2026</v>
      </c>
      <c r="AT3" s="17">
        <v>2027</v>
      </c>
      <c r="AU3" s="17">
        <v>2028</v>
      </c>
      <c r="AV3" s="17">
        <v>2029</v>
      </c>
      <c r="AW3" s="17">
        <v>2030</v>
      </c>
      <c r="AX3" s="17">
        <v>2031</v>
      </c>
      <c r="AY3" s="17">
        <v>2032</v>
      </c>
      <c r="AZ3" s="17">
        <v>2033</v>
      </c>
      <c r="BA3" s="17">
        <v>2034</v>
      </c>
      <c r="BB3" s="17">
        <v>2035</v>
      </c>
      <c r="BC3" s="17">
        <v>2036</v>
      </c>
      <c r="BD3" s="17">
        <v>2037</v>
      </c>
      <c r="BE3" s="17">
        <v>2038</v>
      </c>
      <c r="BF3" s="17">
        <v>2039</v>
      </c>
      <c r="BG3" s="17">
        <v>2040</v>
      </c>
      <c r="BH3" s="17">
        <v>2041</v>
      </c>
      <c r="BI3" s="17">
        <v>2042</v>
      </c>
      <c r="BJ3" s="17">
        <v>2043</v>
      </c>
      <c r="BK3" s="17">
        <v>2044</v>
      </c>
      <c r="BL3" s="17">
        <v>2045</v>
      </c>
      <c r="BM3" s="17">
        <v>2046</v>
      </c>
      <c r="BN3" s="17">
        <v>2047</v>
      </c>
      <c r="BO3" s="17">
        <v>2048</v>
      </c>
      <c r="BP3" s="17">
        <v>2049</v>
      </c>
      <c r="BQ3" s="17">
        <v>2050</v>
      </c>
      <c r="BR3" s="17"/>
      <c r="BS3" s="17"/>
      <c r="BT3" s="17"/>
      <c r="BU3" s="17"/>
      <c r="BV3" s="17"/>
      <c r="BW3" s="17"/>
    </row>
    <row r="4" spans="1:75" s="19" customFormat="1" ht="15.75" x14ac:dyDescent="0.25">
      <c r="A4" s="104"/>
      <c r="B4" s="104"/>
      <c r="C4" s="104"/>
      <c r="D4" s="19" t="str">
        <f>D10</f>
        <v>3A Livestock</v>
      </c>
      <c r="E4" s="19" t="str">
        <f>E10</f>
        <v>3A1 Enteric fermentation (CH4)</v>
      </c>
      <c r="F4" s="19" t="s">
        <v>148</v>
      </c>
      <c r="G4" s="19" t="str">
        <f>G10</f>
        <v>CH4</v>
      </c>
      <c r="H4" s="19" t="str">
        <f>H10</f>
        <v>Gg CH4</v>
      </c>
      <c r="I4" s="46">
        <f t="shared" ref="I4:AN4" si="0">SUM(I5:I10)</f>
        <v>1260.0440510636847</v>
      </c>
      <c r="J4" s="46">
        <f t="shared" si="0"/>
        <v>1258.0226339156723</v>
      </c>
      <c r="K4" s="46">
        <f t="shared" si="0"/>
        <v>1239.3934970469879</v>
      </c>
      <c r="L4" s="46">
        <f t="shared" si="0"/>
        <v>1194.7273149041114</v>
      </c>
      <c r="M4" s="46">
        <f t="shared" si="0"/>
        <v>1162.4999055437097</v>
      </c>
      <c r="N4" s="46">
        <f t="shared" si="0"/>
        <v>1171.5173194915196</v>
      </c>
      <c r="O4" s="46">
        <f t="shared" si="0"/>
        <v>1202.0962242987941</v>
      </c>
      <c r="P4" s="46">
        <f t="shared" si="0"/>
        <v>1224.8603653192843</v>
      </c>
      <c r="Q4" s="46">
        <f t="shared" si="0"/>
        <v>1244.3232626994372</v>
      </c>
      <c r="R4" s="46">
        <f t="shared" si="0"/>
        <v>1241.8612496504879</v>
      </c>
      <c r="S4" s="46">
        <f t="shared" si="0"/>
        <v>1227.4784890178826</v>
      </c>
      <c r="T4" s="46">
        <f t="shared" si="0"/>
        <v>1218.6551420734072</v>
      </c>
      <c r="U4" s="46">
        <f t="shared" si="0"/>
        <v>1197.4820095010721</v>
      </c>
      <c r="V4" s="46">
        <f t="shared" si="0"/>
        <v>1202.3555525159982</v>
      </c>
      <c r="W4" s="46">
        <f t="shared" si="0"/>
        <v>1192.9382386371974</v>
      </c>
      <c r="X4" s="46">
        <f t="shared" si="0"/>
        <v>1195.5469772851111</v>
      </c>
      <c r="Y4" s="46">
        <f t="shared" si="0"/>
        <v>1190.9388605207587</v>
      </c>
      <c r="Z4" s="46">
        <f t="shared" si="0"/>
        <v>1216.9016959048554</v>
      </c>
      <c r="AA4" s="46">
        <f t="shared" si="0"/>
        <v>1224.8132015696788</v>
      </c>
      <c r="AB4" s="46">
        <f t="shared" si="0"/>
        <v>1216.8111130588925</v>
      </c>
      <c r="AC4" s="46">
        <f t="shared" si="0"/>
        <v>1206.6102248317582</v>
      </c>
      <c r="AD4" s="46">
        <f t="shared" si="0"/>
        <v>1202.8837608805554</v>
      </c>
      <c r="AE4" s="46">
        <f t="shared" si="0"/>
        <v>1178.7073389477105</v>
      </c>
      <c r="AF4" s="46">
        <f t="shared" si="0"/>
        <v>1175.7476919448593</v>
      </c>
      <c r="AG4" s="46">
        <f t="shared" si="0"/>
        <v>1166.4891762693856</v>
      </c>
      <c r="AH4" s="46">
        <f t="shared" si="0"/>
        <v>1148.8614251901035</v>
      </c>
      <c r="AI4" s="46">
        <f t="shared" si="0"/>
        <v>1131.9939155093768</v>
      </c>
      <c r="AJ4" s="46">
        <f t="shared" si="0"/>
        <v>1120.0034774596061</v>
      </c>
      <c r="AK4" s="46">
        <f t="shared" si="0"/>
        <v>1109.6121680553103</v>
      </c>
      <c r="AL4" s="46">
        <f t="shared" si="0"/>
        <v>1091.0680273041155</v>
      </c>
      <c r="AM4" s="46">
        <f t="shared" si="0"/>
        <v>997.46468164200951</v>
      </c>
      <c r="AN4" s="46">
        <f t="shared" si="0"/>
        <v>998.30143101692056</v>
      </c>
      <c r="AO4" s="46">
        <f t="shared" ref="AO4:BQ4" si="1">SUM(AO5:AO10)</f>
        <v>994.32957567916469</v>
      </c>
      <c r="AP4" s="46">
        <f t="shared" si="1"/>
        <v>987.56867319166111</v>
      </c>
      <c r="AQ4" s="46">
        <f t="shared" si="1"/>
        <v>980.92553479416267</v>
      </c>
      <c r="AR4" s="46">
        <f t="shared" si="1"/>
        <v>971.34989434797046</v>
      </c>
      <c r="AS4" s="46">
        <f t="shared" si="1"/>
        <v>959.08283913207265</v>
      </c>
      <c r="AT4" s="46">
        <f t="shared" si="1"/>
        <v>943.22947882181904</v>
      </c>
      <c r="AU4" s="46">
        <f t="shared" si="1"/>
        <v>925.46693786514356</v>
      </c>
      <c r="AV4" s="46">
        <f t="shared" si="1"/>
        <v>903.600739233534</v>
      </c>
      <c r="AW4" s="46">
        <f t="shared" si="1"/>
        <v>879.19740612120631</v>
      </c>
      <c r="AX4" s="46">
        <f t="shared" si="1"/>
        <v>876.40533262275744</v>
      </c>
      <c r="AY4" s="46">
        <f t="shared" si="1"/>
        <v>874.35654973223166</v>
      </c>
      <c r="AZ4" s="46">
        <f t="shared" si="1"/>
        <v>872.1911690555313</v>
      </c>
      <c r="BA4" s="46">
        <f t="shared" si="1"/>
        <v>853.51933825682022</v>
      </c>
      <c r="BB4" s="46">
        <f t="shared" si="1"/>
        <v>90.621688212649886</v>
      </c>
      <c r="BC4" s="46">
        <f t="shared" si="1"/>
        <v>93.191460680418629</v>
      </c>
      <c r="BD4" s="46">
        <f t="shared" si="1"/>
        <v>95.700728081648322</v>
      </c>
      <c r="BE4" s="46">
        <f t="shared" si="1"/>
        <v>98.150871936862444</v>
      </c>
      <c r="BF4" s="46">
        <f t="shared" si="1"/>
        <v>100.54315216639192</v>
      </c>
      <c r="BG4" s="46">
        <f t="shared" si="1"/>
        <v>102.87871817596702</v>
      </c>
      <c r="BH4" s="46">
        <f t="shared" si="1"/>
        <v>104.86158633759835</v>
      </c>
      <c r="BI4" s="46">
        <f t="shared" si="1"/>
        <v>106.80950831367356</v>
      </c>
      <c r="BJ4" s="46">
        <f t="shared" si="1"/>
        <v>108.72299077989501</v>
      </c>
      <c r="BK4" s="46">
        <f t="shared" si="1"/>
        <v>110.60249045583168</v>
      </c>
      <c r="BL4" s="46">
        <f t="shared" si="1"/>
        <v>112.4484184144065</v>
      </c>
      <c r="BM4" s="46">
        <f t="shared" si="1"/>
        <v>114.15530427640347</v>
      </c>
      <c r="BN4" s="46">
        <f t="shared" si="1"/>
        <v>115.82682629463187</v>
      </c>
      <c r="BO4" s="46">
        <f t="shared" si="1"/>
        <v>117.46333024237798</v>
      </c>
      <c r="BP4" s="46">
        <f t="shared" si="1"/>
        <v>119.06512973071874</v>
      </c>
      <c r="BQ4" s="46">
        <f t="shared" si="1"/>
        <v>120.63250883718958</v>
      </c>
    </row>
    <row r="5" spans="1:75" x14ac:dyDescent="0.25">
      <c r="A5" s="102" t="str">
        <f>B5&amp;" "&amp;C5</f>
        <v>FSFAGSPQNIBDDSCM Cattle</v>
      </c>
      <c r="B5" s="102" t="s">
        <v>1376</v>
      </c>
      <c r="C5" s="102" t="s">
        <v>1109</v>
      </c>
      <c r="D5" t="str">
        <f>'IPCC Categories'!A5</f>
        <v>3A Livestock</v>
      </c>
      <c r="E5" t="str">
        <f>'IPCC Categories'!B5</f>
        <v>3A1 Enteric fermentation (CH4)</v>
      </c>
      <c r="F5" t="str">
        <f>'IPCC Categories'!C5</f>
        <v>3A1a Cattle</v>
      </c>
      <c r="G5" t="s">
        <v>121</v>
      </c>
      <c r="H5" t="s">
        <v>286</v>
      </c>
      <c r="I5" s="28">
        <f>'Emissions summary'!F5</f>
        <v>970.75783010383884</v>
      </c>
      <c r="J5" s="28">
        <f>'Emissions summary'!G5</f>
        <v>984.79007914328508</v>
      </c>
      <c r="K5" s="28">
        <f>'Emissions summary'!H5</f>
        <v>978.33549013594484</v>
      </c>
      <c r="L5" s="28">
        <f>'Emissions summary'!I5</f>
        <v>949.53957888011155</v>
      </c>
      <c r="M5" s="28">
        <f>'Emissions summary'!J5</f>
        <v>912.67525621411551</v>
      </c>
      <c r="N5" s="28">
        <f>'Emissions summary'!K5</f>
        <v>923.83797265176531</v>
      </c>
      <c r="O5" s="28">
        <f>'Emissions summary'!L5</f>
        <v>952.84275320570532</v>
      </c>
      <c r="P5" s="28">
        <f>'Emissions summary'!M5</f>
        <v>980.01539424682801</v>
      </c>
      <c r="Q5" s="28">
        <f>'Emissions summary'!N5</f>
        <v>999.43503615113787</v>
      </c>
      <c r="R5" s="28">
        <f>'Emissions summary'!O5</f>
        <v>1002.3241787350501</v>
      </c>
      <c r="S5" s="28">
        <f>'Emissions summary'!P5</f>
        <v>994.67599031563441</v>
      </c>
      <c r="T5" s="28">
        <f>'Emissions summary'!Q5</f>
        <v>989.00845450586121</v>
      </c>
      <c r="U5" s="28">
        <f>'Emissions summary'!R5</f>
        <v>974.60961385984729</v>
      </c>
      <c r="V5" s="28">
        <f>'Emissions summary'!S5</f>
        <v>979.96199314328828</v>
      </c>
      <c r="W5" s="28">
        <f>'Emissions summary'!T5</f>
        <v>973.57297774234985</v>
      </c>
      <c r="X5" s="28">
        <f>'Emissions summary'!U5</f>
        <v>977.1168038510275</v>
      </c>
      <c r="Y5" s="28">
        <f>'Emissions summary'!V5</f>
        <v>973.77414524080291</v>
      </c>
      <c r="Z5" s="28">
        <f>'Emissions summary'!W5</f>
        <v>1000.8673096110051</v>
      </c>
      <c r="AA5" s="28">
        <f>'Emissions summary'!X5</f>
        <v>1008.1706907272458</v>
      </c>
      <c r="AB5" s="28">
        <f>'Emissions summary'!Y5</f>
        <v>1001.4109568206607</v>
      </c>
      <c r="AC5" s="28">
        <f>'Emissions summary'!Z5</f>
        <v>994.93224097621089</v>
      </c>
      <c r="AD5" s="28">
        <f>'Emissions summary'!AA5</f>
        <v>992.75930538162731</v>
      </c>
      <c r="AE5" s="101">
        <f>IF($A5="Baseline",'Emissions summary'!AB5,SUMIF('Net zero emission reductions'!$A$4:$A$1448,$A$5,'Net zero emission reductions'!K$4:K$1448))</f>
        <v>984.89675098205998</v>
      </c>
      <c r="AF5" s="101">
        <f>IF($A5="Baseline",'Emissions summary'!AC5,SUMIF('Net zero emission reductions'!$A$4:$A$1448,$A$5,'Net zero emission reductions'!L$4:L$1448))</f>
        <v>981.73305686101355</v>
      </c>
      <c r="AG5" s="101">
        <f>IF($A5="Baseline",'Emissions summary'!AD5,SUMIF('Net zero emission reductions'!$A$4:$A$1448,$A$5,'Net zero emission reductions'!M$4:M$1448))</f>
        <v>972.17848542242052</v>
      </c>
      <c r="AH5" s="101">
        <f>IF($A5="Baseline",'Emissions summary'!AE5,SUMIF('Net zero emission reductions'!$A$4:$A$1448,$A$5,'Net zero emission reductions'!N$4:N$1448))</f>
        <v>954.1876171951991</v>
      </c>
      <c r="AI5" s="101">
        <f>IF($A5="Baseline",'Emissions summary'!AF5,SUMIF('Net zero emission reductions'!$A$4:$A$1448,$A$5,'Net zero emission reductions'!O$4:O$1448))</f>
        <v>936.83058096373406</v>
      </c>
      <c r="AJ5" s="101">
        <f>IF($A5="Baseline",'Emissions summary'!AG5,SUMIF('Net zero emission reductions'!$A$4:$A$1448,$A$5,'Net zero emission reductions'!P$4:P$1448))</f>
        <v>924.19791936009926</v>
      </c>
      <c r="AK5" s="101">
        <f>IF($A5="Baseline",'Emissions summary'!AH5,SUMIF('Net zero emission reductions'!$A$4:$A$1448,$A$5,'Net zero emission reductions'!Q$4:Q$1448))</f>
        <v>913.08801871699677</v>
      </c>
      <c r="AL5" s="101">
        <f>IF($A5="Baseline",'Emissions summary'!AI5,SUMIF('Net zero emission reductions'!$A$4:$A$1448,$A$5,'Net zero emission reductions'!R$4:R$1448))</f>
        <v>893.82232670621613</v>
      </c>
      <c r="AM5" s="101">
        <f>IF($A5="Baseline",'Emissions summary'!AJ5,SUMIF('Net zero emission reductions'!$A$4:$A$1448,$A$5,'Net zero emission reductions'!S$4:S$1448))</f>
        <v>800.0224445583068</v>
      </c>
      <c r="AN5" s="101">
        <f>IF($A5="Baseline",'Emissions summary'!AK5,SUMIF('Net zero emission reductions'!$A$4:$A$1448,$A$5,'Net zero emission reductions'!T$4:T$1448))</f>
        <v>800.60658690682078</v>
      </c>
      <c r="AO5" s="101">
        <f>IF($A5="Baseline",'Emissions summary'!AL5,SUMIF('Net zero emission reductions'!$A$4:$A$1448,$A$5,'Net zero emission reductions'!U$4:U$1448))</f>
        <v>796.6085020037134</v>
      </c>
      <c r="AP5" s="101">
        <f>IF($A5="Baseline",'Emissions summary'!AM5,SUMIF('Net zero emission reductions'!$A$4:$A$1448,$A$5,'Net zero emission reductions'!V$4:V$1448))</f>
        <v>790.03079382237479</v>
      </c>
      <c r="AQ5" s="101">
        <f>IF($A5="Baseline",'Emissions summary'!AN5,SUMIF('Net zero emission reductions'!$A$4:$A$1448,$A$5,'Net zero emission reductions'!W$4:W$1448))</f>
        <v>783.75508422679195</v>
      </c>
      <c r="AR5" s="101">
        <f>IF($A5="Baseline",'Emissions summary'!AO5,SUMIF('Net zero emission reductions'!$A$4:$A$1448,$A$5,'Net zero emission reductions'!X$4:X$1448))</f>
        <v>774.75429423047092</v>
      </c>
      <c r="AS5" s="101">
        <f>IF($A5="Baseline",'Emissions summary'!AP5,SUMIF('Net zero emission reductions'!$A$4:$A$1448,$A$5,'Net zero emission reductions'!Y$4:Y$1448))</f>
        <v>763.48451257714828</v>
      </c>
      <c r="AT5" s="101">
        <f>IF($A5="Baseline",'Emissions summary'!AQ5,SUMIF('Net zero emission reductions'!$A$4:$A$1448,$A$5,'Net zero emission reductions'!Z$4:Z$1448))</f>
        <v>748.83789876213973</v>
      </c>
      <c r="AU5" s="101">
        <f>IF($A5="Baseline",'Emissions summary'!AR5,SUMIF('Net zero emission reductions'!$A$4:$A$1448,$A$5,'Net zero emission reductions'!AA$4:AA$1448))</f>
        <v>732.47509286375009</v>
      </c>
      <c r="AV5" s="101">
        <f>IF($A5="Baseline",'Emissions summary'!AS5,SUMIF('Net zero emission reductions'!$A$4:$A$1448,$A$5,'Net zero emission reductions'!AB$4:AB$1448))</f>
        <v>712.22001359877675</v>
      </c>
      <c r="AW5" s="101">
        <f>IF($A5="Baseline",'Emissions summary'!AT5,SUMIF('Net zero emission reductions'!$A$4:$A$1448,$A$5,'Net zero emission reductions'!AC$4:AC$1448))</f>
        <v>689.62354280882278</v>
      </c>
      <c r="AX5" s="101">
        <f>IF($A5="Baseline",'Emissions summary'!AU5,SUMIF('Net zero emission reductions'!$A$4:$A$1448,$A$5,'Net zero emission reductions'!AD$4:AD$1448))</f>
        <v>686.62946702945112</v>
      </c>
      <c r="AY5" s="101">
        <f>IF($A5="Baseline",'Emissions summary'!AV5,SUMIF('Net zero emission reductions'!$A$4:$A$1448,$A$5,'Net zero emission reductions'!AE$4:AE$1448))</f>
        <v>684.34282874796747</v>
      </c>
      <c r="AZ5" s="101">
        <f>IF($A5="Baseline",'Emissions summary'!AW5,SUMIF('Net zero emission reductions'!$A$4:$A$1448,$A$5,'Net zero emission reductions'!AF$4:AF$1448))</f>
        <v>681.91305531881756</v>
      </c>
      <c r="BA5" s="101">
        <f>IF($A5="Baseline",'Emissions summary'!AX5,SUMIF('Net zero emission reductions'!$A$4:$A$1448,$A$5,'Net zero emission reductions'!AG$4:AG$1448))</f>
        <v>663.12694077710398</v>
      </c>
      <c r="BB5" s="101">
        <f>IF($A5="Baseline",'Emissions summary'!AY5,SUMIF('Net zero emission reductions'!$A$4:$A$1448,$A$5,'Net zero emission reductions'!AH$4:AH$1448))</f>
        <v>-91.732211216069686</v>
      </c>
      <c r="BC5" s="101">
        <f>IF($A5="Baseline",'Emissions summary'!AZ5,SUMIF('Net zero emission reductions'!$A$4:$A$1448,$A$5,'Net zero emission reductions'!AI$4:AI$1448))</f>
        <v>-89.19758577397684</v>
      </c>
      <c r="BD5" s="101">
        <f>IF($A5="Baseline",'Emissions summary'!BA5,SUMIF('Net zero emission reductions'!$A$4:$A$1448,$A$5,'Net zero emission reductions'!AJ$4:AJ$1448))</f>
        <v>-86.741490528048956</v>
      </c>
      <c r="BE5" s="101">
        <f>IF($A5="Baseline",'Emissions summary'!BB5,SUMIF('Net zero emission reductions'!$A$4:$A$1448,$A$5,'Net zero emission reductions'!AK$4:AK$1448))</f>
        <v>-84.361782354524621</v>
      </c>
      <c r="BF5" s="101">
        <f>IF($A5="Baseline",'Emissions summary'!BC5,SUMIF('Net zero emission reductions'!$A$4:$A$1448,$A$5,'Net zero emission reductions'!AL$4:AL$1448))</f>
        <v>-82.056497322259517</v>
      </c>
      <c r="BG5" s="101">
        <f>IF($A5="Baseline",'Emissions summary'!BD5,SUMIF('Net zero emission reductions'!$A$4:$A$1448,$A$5,'Net zero emission reductions'!AM$4:AM$1448))</f>
        <v>-79.823834130248457</v>
      </c>
      <c r="BH5" s="101">
        <f>IF($A5="Baseline",'Emissions summary'!BE5,SUMIF('Net zero emission reductions'!$A$4:$A$1448,$A$5,'Net zero emission reductions'!AN$4:AN$1448))</f>
        <v>-77.968097445454546</v>
      </c>
      <c r="BI5" s="101">
        <f>IF($A5="Baseline",'Emissions summary'!BF5,SUMIF('Net zero emission reductions'!$A$4:$A$1448,$A$5,'Net zero emission reductions'!AO$4:AO$1448))</f>
        <v>-76.161851738649858</v>
      </c>
      <c r="BJ5" s="101">
        <f>IF($A5="Baseline",'Emissions summary'!BG5,SUMIF('Net zero emission reductions'!$A$4:$A$1448,$A$5,'Net zero emission reductions'!AP$4:AP$1448))</f>
        <v>-74.404076334019152</v>
      </c>
      <c r="BK5" s="101">
        <f>IF($A5="Baseline",'Emissions summary'!BH5,SUMIF('Net zero emission reductions'!$A$4:$A$1448,$A$5,'Net zero emission reductions'!AQ$4:AQ$1448))</f>
        <v>-72.693835735633087</v>
      </c>
      <c r="BL5" s="101">
        <f>IF($A5="Baseline",'Emissions summary'!BI5,SUMIF('Net zero emission reductions'!$A$4:$A$1448,$A$5,'Net zero emission reductions'!AR$4:AR$1448))</f>
        <v>-71.030272319383059</v>
      </c>
      <c r="BM5" s="101">
        <f>IF($A5="Baseline",'Emissions summary'!BJ5,SUMIF('Net zero emission reductions'!$A$4:$A$1448,$A$5,'Net zero emission reductions'!AS$4:AS$1448))</f>
        <v>-69.366412750957934</v>
      </c>
      <c r="BN5" s="101">
        <f>IF($A5="Baseline",'Emissions summary'!BK5,SUMIF('Net zero emission reductions'!$A$4:$A$1448,$A$5,'Net zero emission reductions'!AT$4:AT$1448))</f>
        <v>-67.74962181829936</v>
      </c>
      <c r="BO5" s="101">
        <f>IF($A5="Baseline",'Emissions summary'!BL5,SUMIF('Net zero emission reductions'!$A$4:$A$1448,$A$5,'Net zero emission reductions'!AU$4:AU$1448))</f>
        <v>-66.179159638087171</v>
      </c>
      <c r="BP5" s="101">
        <f>IF($A5="Baseline",'Emissions summary'!BM5,SUMIF('Net zero emission reductions'!$A$4:$A$1448,$A$5,'Net zero emission reductions'!AV$4:AV$1448))</f>
        <v>-64.654342581583236</v>
      </c>
      <c r="BQ5" s="101">
        <f>IF($A5="Baseline",'Emissions summary'!BN5,SUMIF('Net zero emission reductions'!$A$4:$A$1448,$A$5,'Net zero emission reductions'!AW$4:AW$1448))</f>
        <v>-63.174538789799222</v>
      </c>
    </row>
    <row r="6" spans="1:75" x14ac:dyDescent="0.25">
      <c r="A6" s="102" t="str">
        <f t="shared" ref="A6:A26" si="2">B6&amp;" "&amp;C6</f>
        <v>FSFAGSPQNIBDDSCM Sheep</v>
      </c>
      <c r="B6" s="102" t="str">
        <f>$B$5</f>
        <v>FSFAGSPQNIBDDSCM</v>
      </c>
      <c r="C6" s="103" t="s">
        <v>152</v>
      </c>
      <c r="D6" t="str">
        <f>D5</f>
        <v>3A Livestock</v>
      </c>
      <c r="E6" t="str">
        <f>E5</f>
        <v>3A1 Enteric fermentation (CH4)</v>
      </c>
      <c r="F6" t="str">
        <f>'IPCC Categories'!C7</f>
        <v>3A1c Sheep</v>
      </c>
      <c r="G6" t="str">
        <f>G5</f>
        <v>CH4</v>
      </c>
      <c r="H6" t="str">
        <f>H5</f>
        <v>Gg CH4</v>
      </c>
      <c r="I6" s="28">
        <f>'Emissions summary'!F6</f>
        <v>230.15541038431331</v>
      </c>
      <c r="J6" s="28">
        <f>'Emissions summary'!G6</f>
        <v>219.80651638524552</v>
      </c>
      <c r="K6" s="28">
        <f>'Emissions summary'!H6</f>
        <v>210.72436386232471</v>
      </c>
      <c r="L6" s="28">
        <f>'Emissions summary'!I6</f>
        <v>197.07426480420705</v>
      </c>
      <c r="M6" s="28">
        <f>'Emissions summary'!J6</f>
        <v>198.463841817435</v>
      </c>
      <c r="N6" s="28">
        <f>'Emissions summary'!K6</f>
        <v>195.62327002243862</v>
      </c>
      <c r="O6" s="28">
        <f>'Emissions summary'!L6</f>
        <v>196.27583381318104</v>
      </c>
      <c r="P6" s="28">
        <f>'Emissions summary'!M6</f>
        <v>192.00729889961895</v>
      </c>
      <c r="Q6" s="28">
        <f>'Emissions summary'!N6</f>
        <v>192.53702715328046</v>
      </c>
      <c r="R6" s="28">
        <f>'Emissions summary'!O6</f>
        <v>187.80785897566491</v>
      </c>
      <c r="S6" s="28">
        <f>'Emissions summary'!P6</f>
        <v>181.07493609941679</v>
      </c>
      <c r="T6" s="28">
        <f>'Emissions summary'!Q6</f>
        <v>176.56073011169283</v>
      </c>
      <c r="U6" s="28">
        <f>'Emissions summary'!R6</f>
        <v>173.61267722175066</v>
      </c>
      <c r="V6" s="28">
        <f>'Emissions summary'!S6</f>
        <v>174.21917768608773</v>
      </c>
      <c r="W6" s="28">
        <f>'Emissions summary'!T6</f>
        <v>171.11758037479439</v>
      </c>
      <c r="X6" s="28">
        <f>'Emissions summary'!U6</f>
        <v>170.71068765821383</v>
      </c>
      <c r="Y6" s="28">
        <f>'Emissions summary'!V6</f>
        <v>168.47661632755455</v>
      </c>
      <c r="Z6" s="28">
        <f>'Emissions summary'!W6</f>
        <v>168.31539468513583</v>
      </c>
      <c r="AA6" s="28">
        <f>'Emissions summary'!X6</f>
        <v>168.86047738093242</v>
      </c>
      <c r="AB6" s="28">
        <f>'Emissions summary'!Y6</f>
        <v>168.26165413766293</v>
      </c>
      <c r="AC6" s="28">
        <f>'Emissions summary'!Z6</f>
        <v>165.00651240501841</v>
      </c>
      <c r="AD6" s="28">
        <f>'Emissions summary'!AA6</f>
        <v>163.71673926566876</v>
      </c>
      <c r="AE6" s="101">
        <f>IF($A6="Baseline",'Emissions summary'!AB6,SUMIF('Net zero emission reductions'!$A$4:$A$1448,$A$6,'Net zero emission reductions'!K$4:K$1448))</f>
        <v>146.95659158179748</v>
      </c>
      <c r="AF6" s="101">
        <f>IF($A6="Baseline",'Emissions summary'!AC6,SUMIF('Net zero emission reductions'!$A$4:$A$1448,$A$6,'Net zero emission reductions'!L$4:L$1448))</f>
        <v>147.03684331982549</v>
      </c>
      <c r="AG6" s="101">
        <f>IF($A6="Baseline",'Emissions summary'!AD6,SUMIF('Net zero emission reductions'!$A$4:$A$1448,$A$6,'Net zero emission reductions'!M$4:M$1448))</f>
        <v>147.21654237711419</v>
      </c>
      <c r="AH6" s="101">
        <f>IF($A6="Baseline",'Emissions summary'!AE6,SUMIF('Net zero emission reductions'!$A$4:$A$1448,$A$6,'Net zero emission reductions'!N$4:N$1448))</f>
        <v>147.48702718393048</v>
      </c>
      <c r="AI6" s="101">
        <f>IF($A6="Baseline",'Emissions summary'!AF6,SUMIF('Net zero emission reductions'!$A$4:$A$1448,$A$6,'Net zero emission reductions'!O$4:O$1448))</f>
        <v>147.85191661373551</v>
      </c>
      <c r="AJ6" s="101">
        <f>IF($A6="Baseline",'Emissions summary'!AG6,SUMIF('Net zero emission reductions'!$A$4:$A$1448,$A$6,'Net zero emission reductions'!P$4:P$1448))</f>
        <v>148.31159784957359</v>
      </c>
      <c r="AK6" s="101">
        <f>IF($A6="Baseline",'Emissions summary'!AH6,SUMIF('Net zero emission reductions'!$A$4:$A$1448,$A$6,'Net zero emission reductions'!Q$4:Q$1448))</f>
        <v>148.82366411157386</v>
      </c>
      <c r="AL6" s="101">
        <f>IF($A6="Baseline",'Emissions summary'!AI6,SUMIF('Net zero emission reductions'!$A$4:$A$1448,$A$6,'Net zero emission reductions'!R$4:R$1448))</f>
        <v>149.37862740177056</v>
      </c>
      <c r="AM6" s="101">
        <f>IF($A6="Baseline",'Emissions summary'!AJ6,SUMIF('Net zero emission reductions'!$A$4:$A$1448,$A$6,'Net zero emission reductions'!S$4:S$1448))</f>
        <v>149.9001330584631</v>
      </c>
      <c r="AN6" s="101">
        <f>IF($A6="Baseline",'Emissions summary'!AK6,SUMIF('Net zero emission reductions'!$A$4:$A$1448,$A$6,'Net zero emission reductions'!T$4:T$1448))</f>
        <v>149.98731589848228</v>
      </c>
      <c r="AO6" s="101">
        <f>IF($A6="Baseline",'Emissions summary'!AL6,SUMIF('Net zero emission reductions'!$A$4:$A$1448,$A$6,'Net zero emission reductions'!U$4:U$1448))</f>
        <v>149.85107663855192</v>
      </c>
      <c r="AP6" s="101">
        <f>IF($A6="Baseline",'Emissions summary'!AM6,SUMIF('Net zero emission reductions'!$A$4:$A$1448,$A$6,'Net zero emission reductions'!V$4:V$1448))</f>
        <v>149.49560641080106</v>
      </c>
      <c r="AQ6" s="101">
        <f>IF($A6="Baseline",'Emissions summary'!AN6,SUMIF('Net zero emission reductions'!$A$4:$A$1448,$A$6,'Net zero emission reductions'!W$4:W$1448))</f>
        <v>148.92619254948792</v>
      </c>
      <c r="AR6" s="101">
        <f>IF($A6="Baseline",'Emissions summary'!AO6,SUMIF('Net zero emission reductions'!$A$4:$A$1448,$A$6,'Net zero emission reductions'!X$4:X$1448))</f>
        <v>148.14112208823815</v>
      </c>
      <c r="AS6" s="101">
        <f>IF($A6="Baseline",'Emissions summary'!AP6,SUMIF('Net zero emission reductions'!$A$4:$A$1448,$A$6,'Net zero emission reductions'!Y$4:Y$1448))</f>
        <v>146.98082415585395</v>
      </c>
      <c r="AT6" s="101">
        <f>IF($A6="Baseline",'Emissions summary'!AQ6,SUMIF('Net zero emission reductions'!$A$4:$A$1448,$A$6,'Net zero emission reductions'!Z$4:Z$1448))</f>
        <v>145.60891447552063</v>
      </c>
      <c r="AU6" s="101">
        <f>IF($A6="Baseline",'Emissions summary'!AR6,SUMIF('Net zero emission reductions'!$A$4:$A$1448,$A$6,'Net zero emission reductions'!AA$4:AA$1448))</f>
        <v>144.02960150464349</v>
      </c>
      <c r="AV6" s="101">
        <f>IF($A6="Baseline",'Emissions summary'!AS6,SUMIF('Net zero emission reductions'!$A$4:$A$1448,$A$6,'Net zero emission reductions'!AB$4:AB$1448))</f>
        <v>142.242034254884</v>
      </c>
      <c r="AW6" s="101">
        <f>IF($A6="Baseline",'Emissions summary'!AT6,SUMIF('Net zero emission reductions'!$A$4:$A$1448,$A$6,'Net zero emission reductions'!AC$4:AC$1448))</f>
        <v>140.25009603462371</v>
      </c>
      <c r="AX6" s="101">
        <f>IF($A6="Baseline",'Emissions summary'!AU6,SUMIF('Net zero emission reductions'!$A$4:$A$1448,$A$6,'Net zero emission reductions'!AD$4:AD$1448))</f>
        <v>140.44143457364828</v>
      </c>
      <c r="AY6" s="101">
        <f>IF($A6="Baseline",'Emissions summary'!AV6,SUMIF('Net zero emission reductions'!$A$4:$A$1448,$A$6,'Net zero emission reductions'!AE$4:AE$1448))</f>
        <v>140.65289897605527</v>
      </c>
      <c r="AZ6" s="101">
        <f>IF($A6="Baseline",'Emissions summary'!AW6,SUMIF('Net zero emission reductions'!$A$4:$A$1448,$A$6,'Net zero emission reductions'!AF$4:AF$1448))</f>
        <v>140.88258743688863</v>
      </c>
      <c r="BA6" s="101">
        <f>IF($A6="Baseline",'Emissions summary'!AX6,SUMIF('Net zero emission reductions'!$A$4:$A$1448,$A$6,'Net zero emission reductions'!AG$4:AG$1448))</f>
        <v>141.10449578465003</v>
      </c>
      <c r="BB6" s="101">
        <f>IF($A6="Baseline",'Emissions summary'!AY6,SUMIF('Net zero emission reductions'!$A$4:$A$1448,$A$6,'Net zero emission reductions'!AH$4:AH$1448))</f>
        <v>140.15577115300232</v>
      </c>
      <c r="BC6" s="101">
        <f>IF($A6="Baseline",'Emissions summary'!AZ6,SUMIF('Net zero emission reductions'!$A$4:$A$1448,$A$6,'Net zero emission reductions'!AI$4:AI$1448))</f>
        <v>140.29050505152043</v>
      </c>
      <c r="BD6" s="101">
        <f>IF($A6="Baseline",'Emissions summary'!BA6,SUMIF('Net zero emission reductions'!$A$4:$A$1448,$A$6,'Net zero emission reductions'!AJ$4:AJ$1448))</f>
        <v>140.43918457592386</v>
      </c>
      <c r="BE6" s="101">
        <f>IF($A6="Baseline",'Emissions summary'!BB6,SUMIF('Net zero emission reductions'!$A$4:$A$1448,$A$6,'Net zero emission reductions'!AK$4:AK$1448))</f>
        <v>140.60128287216708</v>
      </c>
      <c r="BF6" s="101">
        <f>IF($A6="Baseline",'Emissions summary'!BC6,SUMIF('Net zero emission reductions'!$A$4:$A$1448,$A$6,'Net zero emission reductions'!AL$4:AL$1448))</f>
        <v>140.77631380874254</v>
      </c>
      <c r="BG6" s="101">
        <f>IF($A6="Baseline",'Emissions summary'!BD6,SUMIF('Net zero emission reductions'!$A$4:$A$1448,$A$6,'Net zero emission reductions'!AM$4:AM$1448))</f>
        <v>140.9638281124204</v>
      </c>
      <c r="BH6" s="101">
        <f>IF($A6="Baseline",'Emissions summary'!BE6,SUMIF('Net zero emission reductions'!$A$4:$A$1448,$A$6,'Net zero emission reductions'!AN$4:AN$1448))</f>
        <v>141.05482897405477</v>
      </c>
      <c r="BI6" s="101">
        <f>IF($A6="Baseline",'Emissions summary'!BF6,SUMIF('Net zero emission reductions'!$A$4:$A$1448,$A$6,'Net zero emission reductions'!AO$4:AO$1448))</f>
        <v>141.15682847700506</v>
      </c>
      <c r="BJ6" s="101">
        <f>IF($A6="Baseline",'Emissions summary'!BG6,SUMIF('Net zero emission reductions'!$A$4:$A$1448,$A$6,'Net zero emission reductions'!AP$4:AP$1448))</f>
        <v>141.26944384262106</v>
      </c>
      <c r="BK6" s="101">
        <f>IF($A6="Baseline",'Emissions summary'!BH6,SUMIF('Net zero emission reductions'!$A$4:$A$1448,$A$6,'Net zero emission reductions'!AQ$4:AQ$1448))</f>
        <v>141.39231849103504</v>
      </c>
      <c r="BL6" s="101">
        <f>IF($A6="Baseline",'Emissions summary'!BI6,SUMIF('Net zero emission reductions'!$A$4:$A$1448,$A$6,'Net zero emission reductions'!AR$4:AR$1448))</f>
        <v>141.52511981544728</v>
      </c>
      <c r="BM6" s="101">
        <f>IF($A6="Baseline",'Emissions summary'!BJ6,SUMIF('Net zero emission reductions'!$A$4:$A$1448,$A$6,'Net zero emission reductions'!AS$4:AS$1448))</f>
        <v>141.55788028675551</v>
      </c>
      <c r="BN6" s="101">
        <f>IF($A6="Baseline",'Emissions summary'!BK6,SUMIF('Net zero emission reductions'!$A$4:$A$1448,$A$6,'Net zero emission reductions'!AT$4:AT$1448))</f>
        <v>141.59945067847394</v>
      </c>
      <c r="BO6" s="101">
        <f>IF($A6="Baseline",'Emissions summary'!BL6,SUMIF('Net zero emission reductions'!$A$4:$A$1448,$A$6,'Net zero emission reductions'!AU$4:AU$1448))</f>
        <v>141.64953920620383</v>
      </c>
      <c r="BP6" s="101">
        <f>IF($A6="Baseline",'Emissions summary'!BM6,SUMIF('Net zero emission reductions'!$A$4:$A$1448,$A$6,'Net zero emission reductions'!AV$4:AV$1448))</f>
        <v>141.70787190317043</v>
      </c>
      <c r="BQ6" s="101">
        <f>IF($A6="Baseline",'Emissions summary'!BN6,SUMIF('Net zero emission reductions'!$A$4:$A$1448,$A$6,'Net zero emission reductions'!AW$4:AW$1448))</f>
        <v>141.77419125001921</v>
      </c>
    </row>
    <row r="7" spans="1:75" x14ac:dyDescent="0.25">
      <c r="A7" s="102" t="str">
        <f t="shared" si="2"/>
        <v>FSFAGSPQNIBDDSCM Goats</v>
      </c>
      <c r="B7" s="102" t="str">
        <f t="shared" ref="B7:B10" si="3">$B$5</f>
        <v>FSFAGSPQNIBDDSCM</v>
      </c>
      <c r="C7" s="103" t="s">
        <v>153</v>
      </c>
      <c r="D7" t="str">
        <f t="shared" ref="D7:E22" si="4">D6</f>
        <v>3A Livestock</v>
      </c>
      <c r="E7" t="str">
        <f t="shared" si="4"/>
        <v>3A1 Enteric fermentation (CH4)</v>
      </c>
      <c r="F7" t="str">
        <f>'IPCC Categories'!C8</f>
        <v>3A1d Goats</v>
      </c>
      <c r="G7" t="str">
        <f t="shared" ref="G7:H10" si="5">G6</f>
        <v>CH4</v>
      </c>
      <c r="H7" t="str">
        <f t="shared" si="5"/>
        <v>Gg CH4</v>
      </c>
      <c r="I7" s="28">
        <f>'Emissions summary'!F7</f>
        <v>50.832740984438615</v>
      </c>
      <c r="J7" s="28">
        <f>'Emissions summary'!G7</f>
        <v>44.950509601596238</v>
      </c>
      <c r="K7" s="28">
        <f>'Emissions summary'!H7</f>
        <v>41.871958597491798</v>
      </c>
      <c r="L7" s="28">
        <f>'Emissions summary'!I7</f>
        <v>39.563045344413474</v>
      </c>
      <c r="M7" s="28">
        <f>'Emissions summary'!J7</f>
        <v>42.824843432095548</v>
      </c>
      <c r="N7" s="28">
        <f>'Emissions summary'!K7</f>
        <v>43.411234099544018</v>
      </c>
      <c r="O7" s="28">
        <f>'Emissions summary'!L7</f>
        <v>44.089248308781293</v>
      </c>
      <c r="P7" s="28">
        <f>'Emissions summary'!M7</f>
        <v>43.869351808488119</v>
      </c>
      <c r="Q7" s="28">
        <f>'Emissions summary'!N7</f>
        <v>43.24631172432413</v>
      </c>
      <c r="R7" s="28">
        <f>'Emissions summary'!O7</f>
        <v>42.604946931802381</v>
      </c>
      <c r="S7" s="28">
        <f>'Emissions summary'!P7</f>
        <v>43.15468818253531</v>
      </c>
      <c r="T7" s="28">
        <f>'Emissions summary'!Q7</f>
        <v>44.474067184294356</v>
      </c>
      <c r="U7" s="28">
        <f>'Emissions summary'!R7</f>
        <v>40.607553720806052</v>
      </c>
      <c r="V7" s="28">
        <f>'Emissions summary'!S7</f>
        <v>39.581370052771241</v>
      </c>
      <c r="W7" s="28">
        <f>'Emissions summary'!T7</f>
        <v>39.654668886202302</v>
      </c>
      <c r="X7" s="28">
        <f>'Emissions summary'!U7</f>
        <v>39.1415770521849</v>
      </c>
      <c r="Y7" s="28">
        <f>'Emissions summary'!V7</f>
        <v>39.966188928284296</v>
      </c>
      <c r="Z7" s="28">
        <f>'Emissions summary'!W7</f>
        <v>38.775082885029605</v>
      </c>
      <c r="AA7" s="28">
        <f>'Emissions summary'!X7</f>
        <v>38.738433468314078</v>
      </c>
      <c r="AB7" s="28">
        <f>'Emissions summary'!Y7</f>
        <v>38.060419259076795</v>
      </c>
      <c r="AC7" s="28">
        <f>'Emissions summary'!Z7</f>
        <v>37.60230155013268</v>
      </c>
      <c r="AD7" s="28">
        <f>'Emissions summary'!AA7</f>
        <v>37.254132091335151</v>
      </c>
      <c r="AE7" s="101">
        <f>IF($A7="Baseline",'Emissions summary'!AB7,SUMIF('Net zero emission reductions'!$A$4:$A$1448,$A$7,'Net zero emission reductions'!K$4:K$1448))</f>
        <v>37.503270571061222</v>
      </c>
      <c r="AF7" s="101">
        <f>IF($A7="Baseline",'Emissions summary'!AC7,SUMIF('Net zero emission reductions'!$A$4:$A$1448,$A$7,'Net zero emission reductions'!L$4:L$1448))</f>
        <v>37.601087984262868</v>
      </c>
      <c r="AG7" s="101">
        <f>IF($A7="Baseline",'Emissions summary'!AD7,SUMIF('Net zero emission reductions'!$A$4:$A$1448,$A$7,'Net zero emission reductions'!M$4:M$1448))</f>
        <v>37.731438352147492</v>
      </c>
      <c r="AH7" s="101">
        <f>IF($A7="Baseline",'Emissions summary'!AE7,SUMIF('Net zero emission reductions'!$A$4:$A$1448,$A$7,'Net zero emission reductions'!N$4:N$1448))</f>
        <v>37.89142372992135</v>
      </c>
      <c r="AI7" s="101">
        <f>IF($A7="Baseline",'Emissions summary'!AF7,SUMIF('Net zero emission reductions'!$A$4:$A$1448,$A$7,'Net zero emission reductions'!O$4:O$1448))</f>
        <v>38.082966616578311</v>
      </c>
      <c r="AJ7" s="101">
        <f>IF($A7="Baseline",'Emissions summary'!AG7,SUMIF('Net zero emission reductions'!$A$4:$A$1448,$A$7,'Net zero emission reductions'!P$4:P$1448))</f>
        <v>38.306576731107619</v>
      </c>
      <c r="AK7" s="101">
        <f>IF($A7="Baseline",'Emissions summary'!AH7,SUMIF('Net zero emission reductions'!$A$4:$A$1448,$A$7,'Net zero emission reductions'!Q$4:Q$1448))</f>
        <v>38.545657167332791</v>
      </c>
      <c r="AL7" s="101">
        <f>IF($A7="Baseline",'Emissions summary'!AI7,SUMIF('Net zero emission reductions'!$A$4:$A$1448,$A$7,'Net zero emission reductions'!R$4:R$1448))</f>
        <v>38.796789271016614</v>
      </c>
      <c r="AM7" s="101">
        <f>IF($A7="Baseline",'Emissions summary'!AJ7,SUMIF('Net zero emission reductions'!$A$4:$A$1448,$A$7,'Net zero emission reductions'!S$4:S$1448))</f>
        <v>39.030079964972153</v>
      </c>
      <c r="AN7" s="101">
        <f>IF($A7="Baseline",'Emissions summary'!AK7,SUMIF('Net zero emission reductions'!$A$4:$A$1448,$A$7,'Net zero emission reductions'!T$4:T$1448))</f>
        <v>39.139407091727463</v>
      </c>
      <c r="AO7" s="101">
        <f>IF($A7="Baseline",'Emissions summary'!AL7,SUMIF('Net zero emission reductions'!$A$4:$A$1448,$A$7,'Net zero emission reductions'!U$4:U$1448))</f>
        <v>39.259290346372637</v>
      </c>
      <c r="AP7" s="101">
        <f>IF($A7="Baseline",'Emissions summary'!AM7,SUMIF('Net zero emission reductions'!$A$4:$A$1448,$A$7,'Net zero emission reductions'!V$4:V$1448))</f>
        <v>39.389881863784986</v>
      </c>
      <c r="AQ7" s="101">
        <f>IF($A7="Baseline",'Emissions summary'!AN7,SUMIF('Net zero emission reductions'!$A$4:$A$1448,$A$7,'Net zero emission reductions'!W$4:W$1448))</f>
        <v>39.531910414401707</v>
      </c>
      <c r="AR7" s="101">
        <f>IF($A7="Baseline",'Emissions summary'!AO7,SUMIF('Net zero emission reductions'!$A$4:$A$1448,$A$7,'Net zero emission reductions'!X$4:X$1448))</f>
        <v>39.683463747220777</v>
      </c>
      <c r="AS7" s="101">
        <f>IF($A7="Baseline",'Emissions summary'!AP7,SUMIF('Net zero emission reductions'!$A$4:$A$1448,$A$7,'Net zero emission reductions'!Y$4:Y$1448))</f>
        <v>39.779259855119889</v>
      </c>
      <c r="AT7" s="101">
        <f>IF($A7="Baseline",'Emissions summary'!AQ7,SUMIF('Net zero emission reductions'!$A$4:$A$1448,$A$7,'Net zero emission reductions'!Z$4:Z$1448))</f>
        <v>39.882906372517851</v>
      </c>
      <c r="AU7" s="101">
        <f>IF($A7="Baseline",'Emissions summary'!AR7,SUMIF('Net zero emission reductions'!$A$4:$A$1448,$A$7,'Net zero emission reductions'!AA$4:AA$1448))</f>
        <v>39.994832091775571</v>
      </c>
      <c r="AV7" s="101">
        <f>IF($A7="Baseline",'Emissions summary'!AS7,SUMIF('Net zero emission reductions'!$A$4:$A$1448,$A$7,'Net zero emission reductions'!AB$4:AB$1448))</f>
        <v>40.113496129704103</v>
      </c>
      <c r="AW7" s="101">
        <f>IF($A7="Baseline",'Emissions summary'!AT7,SUMIF('Net zero emission reductions'!$A$4:$A$1448,$A$7,'Net zero emission reductions'!AC$4:AC$1448))</f>
        <v>40.239373155532974</v>
      </c>
      <c r="AX7" s="101">
        <f>IF($A7="Baseline",'Emissions summary'!AU7,SUMIF('Net zero emission reductions'!$A$4:$A$1448,$A$7,'Net zero emission reductions'!AD$4:AD$1448))</f>
        <v>40.163086444009551</v>
      </c>
      <c r="AY7" s="101">
        <f>IF($A7="Baseline",'Emissions summary'!AV7,SUMIF('Net zero emission reductions'!$A$4:$A$1448,$A$7,'Net zero emission reductions'!AE$4:AE$1448))</f>
        <v>40.093062682531489</v>
      </c>
      <c r="AZ7" s="101">
        <f>IF($A7="Baseline",'Emissions summary'!AW7,SUMIF('Net zero emission reductions'!$A$4:$A$1448,$A$7,'Net zero emission reductions'!AF$4:AF$1448))</f>
        <v>40.028472675881446</v>
      </c>
      <c r="BA7" s="101">
        <f>IF($A7="Baseline",'Emissions summary'!AX7,SUMIF('Net zero emission reductions'!$A$4:$A$1448,$A$7,'Net zero emission reductions'!AG$4:AG$1448))</f>
        <v>39.958598661335472</v>
      </c>
      <c r="BB7" s="101">
        <f>IF($A7="Baseline",'Emissions summary'!AY7,SUMIF('Net zero emission reductions'!$A$4:$A$1448,$A$7,'Net zero emission reductions'!AH$4:AH$1448))</f>
        <v>39.408746566428626</v>
      </c>
      <c r="BC7" s="101">
        <f>IF($A7="Baseline",'Emissions summary'!AZ7,SUMIF('Net zero emission reductions'!$A$4:$A$1448,$A$7,'Net zero emission reductions'!AI$4:AI$1448))</f>
        <v>39.302475916835597</v>
      </c>
      <c r="BD7" s="101">
        <f>IF($A7="Baseline",'Emissions summary'!BA7,SUMIF('Net zero emission reductions'!$A$4:$A$1448,$A$7,'Net zero emission reductions'!AJ$4:AJ$1448))</f>
        <v>39.200427927973273</v>
      </c>
      <c r="BE7" s="101">
        <f>IF($A7="Baseline",'Emissions summary'!BB7,SUMIF('Net zero emission reductions'!$A$4:$A$1448,$A$7,'Net zero emission reductions'!AK$4:AK$1448))</f>
        <v>39.102358485498904</v>
      </c>
      <c r="BF7" s="101">
        <f>IF($A7="Baseline",'Emissions summary'!BC7,SUMIF('Net zero emission reductions'!$A$4:$A$1448,$A$7,'Net zero emission reductions'!AL$4:AL$1448))</f>
        <v>39.008041030673681</v>
      </c>
      <c r="BG7" s="101">
        <f>IF($A7="Baseline",'Emissions summary'!BD7,SUMIF('Net zero emission reductions'!$A$4:$A$1448,$A$7,'Net zero emission reductions'!AM$4:AM$1448))</f>
        <v>38.917264881424032</v>
      </c>
      <c r="BH7" s="101">
        <f>IF($A7="Baseline",'Emissions summary'!BE7,SUMIF('Net zero emission reductions'!$A$4:$A$1448,$A$7,'Net zero emission reductions'!AN$4:AN$1448))</f>
        <v>38.946634089429075</v>
      </c>
      <c r="BI7" s="101">
        <f>IF($A7="Baseline",'Emissions summary'!BF7,SUMIF('Net zero emission reductions'!$A$4:$A$1448,$A$7,'Net zero emission reductions'!AO$4:AO$1448))</f>
        <v>38.979668661707009</v>
      </c>
      <c r="BJ7" s="101">
        <f>IF($A7="Baseline",'Emissions summary'!BG7,SUMIF('Net zero emission reductions'!$A$4:$A$1448,$A$7,'Net zero emission reductions'!AP$4:AP$1448))</f>
        <v>39.01623041420163</v>
      </c>
      <c r="BK7" s="101">
        <f>IF($A7="Baseline",'Emissions summary'!BH7,SUMIF('Net zero emission reductions'!$A$4:$A$1448,$A$7,'Net zero emission reductions'!AQ$4:AQ$1448))</f>
        <v>39.056190642607994</v>
      </c>
      <c r="BL7" s="101">
        <f>IF($A7="Baseline",'Emissions summary'!BI7,SUMIF('Net zero emission reductions'!$A$4:$A$1448,$A$7,'Net zero emission reductions'!AR$4:AR$1448))</f>
        <v>39.099429310214788</v>
      </c>
      <c r="BM7" s="101">
        <f>IF($A7="Baseline",'Emissions summary'!BJ7,SUMIF('Net zero emission reductions'!$A$4:$A$1448,$A$7,'Net zero emission reductions'!AS$4:AS$1448))</f>
        <v>39.102802788529388</v>
      </c>
      <c r="BN7" s="101">
        <f>IF($A7="Baseline",'Emissions summary'!BK7,SUMIF('Net zero emission reductions'!$A$4:$A$1448,$A$7,'Net zero emission reductions'!AT$4:AT$1448))</f>
        <v>39.109176409585871</v>
      </c>
      <c r="BO7" s="101">
        <f>IF($A7="Baseline",'Emissions summary'!BL7,SUMIF('Net zero emission reductions'!$A$4:$A$1448,$A$7,'Net zero emission reductions'!AU$4:AU$1448))</f>
        <v>39.118442429057417</v>
      </c>
      <c r="BP7" s="101">
        <f>IF($A7="Baseline",'Emissions summary'!BM7,SUMIF('Net zero emission reductions'!$A$4:$A$1448,$A$7,'Net zero emission reductions'!AV$4:AV$1448))</f>
        <v>39.130499697521174</v>
      </c>
      <c r="BQ7" s="101">
        <f>IF($A7="Baseline",'Emissions summary'!BN7,SUMIF('Net zero emission reductions'!$A$4:$A$1448,$A$7,'Net zero emission reductions'!AW$4:AW$1448))</f>
        <v>39.145253149536003</v>
      </c>
    </row>
    <row r="8" spans="1:75" x14ac:dyDescent="0.25">
      <c r="A8" s="102" t="str">
        <f t="shared" si="2"/>
        <v>FSFAGSPQNIBDDSCM Horses</v>
      </c>
      <c r="B8" s="102" t="str">
        <f t="shared" si="3"/>
        <v>FSFAGSPQNIBDDSCM</v>
      </c>
      <c r="C8" s="103" t="s">
        <v>3</v>
      </c>
      <c r="D8" t="str">
        <f t="shared" si="4"/>
        <v>3A Livestock</v>
      </c>
      <c r="E8" t="str">
        <f t="shared" si="4"/>
        <v>3A1 Enteric fermentation (CH4)</v>
      </c>
      <c r="F8" t="str">
        <f>'IPCC Categories'!C9</f>
        <v>3A1f Horses</v>
      </c>
      <c r="G8" t="str">
        <f t="shared" si="5"/>
        <v>CH4</v>
      </c>
      <c r="H8" t="str">
        <f t="shared" si="5"/>
        <v>Gg CH4</v>
      </c>
      <c r="I8" s="28">
        <f>'Emissions summary'!F8</f>
        <v>4.1399999999999997</v>
      </c>
      <c r="J8" s="28">
        <f>'Emissions summary'!G8</f>
        <v>4.1399999999999997</v>
      </c>
      <c r="K8" s="28">
        <f>'Emissions summary'!H8</f>
        <v>4.1399999999999997</v>
      </c>
      <c r="L8" s="28">
        <f>'Emissions summary'!I8</f>
        <v>4.2299999999999995</v>
      </c>
      <c r="M8" s="28">
        <f>'Emissions summary'!J8</f>
        <v>4.3199999999999994</v>
      </c>
      <c r="N8" s="28">
        <f>'Emissions summary'!K8</f>
        <v>4.41</v>
      </c>
      <c r="O8" s="28">
        <f>'Emissions summary'!L8</f>
        <v>4.5</v>
      </c>
      <c r="P8" s="28">
        <f>'Emissions summary'!M8</f>
        <v>4.59</v>
      </c>
      <c r="Q8" s="28">
        <f>'Emissions summary'!N8</f>
        <v>4.68</v>
      </c>
      <c r="R8" s="28">
        <f>'Emissions summary'!O8</f>
        <v>4.6440000000000001</v>
      </c>
      <c r="S8" s="28">
        <f>'Emissions summary'!P8</f>
        <v>4.8599999999999994</v>
      </c>
      <c r="T8" s="28">
        <f>'Emissions summary'!Q8</f>
        <v>4.8599999999999994</v>
      </c>
      <c r="U8" s="28">
        <f>'Emissions summary'!R8</f>
        <v>4.8599999999999994</v>
      </c>
      <c r="V8" s="28">
        <f>'Emissions summary'!S8</f>
        <v>4.8599999999999994</v>
      </c>
      <c r="W8" s="28">
        <f>'Emissions summary'!T8</f>
        <v>4.8599999999999994</v>
      </c>
      <c r="X8" s="28">
        <f>'Emissions summary'!U8</f>
        <v>4.8599999999999994</v>
      </c>
      <c r="Y8" s="28">
        <f>'Emissions summary'!V8</f>
        <v>5.04</v>
      </c>
      <c r="Z8" s="28">
        <f>'Emissions summary'!W8</f>
        <v>5.22</v>
      </c>
      <c r="AA8" s="28">
        <f>'Emissions summary'!X8</f>
        <v>5.3639999999999999</v>
      </c>
      <c r="AB8" s="28">
        <f>'Emissions summary'!Y8</f>
        <v>5.3999999999999995</v>
      </c>
      <c r="AC8" s="28">
        <f>'Emissions summary'!Z8</f>
        <v>5.3999999999999995</v>
      </c>
      <c r="AD8" s="28">
        <f>'Emissions summary'!AA8</f>
        <v>5.4899999999999993</v>
      </c>
      <c r="AE8" s="28">
        <f>'Net zero emission reductions'!K1389</f>
        <v>5.5696427744330439</v>
      </c>
      <c r="AF8" s="28">
        <f>'Net zero emission reductions'!L1389</f>
        <v>5.6022840873497932</v>
      </c>
      <c r="AG8" s="28">
        <f>'Net zero emission reductions'!M1389</f>
        <v>5.6103260601490881</v>
      </c>
      <c r="AH8" s="28">
        <f>'Net zero emission reductions'!N1389</f>
        <v>5.5857580588048208</v>
      </c>
      <c r="AI8" s="28">
        <f>'Net zero emission reductions'!O1389</f>
        <v>5.559765331848693</v>
      </c>
      <c r="AJ8" s="28">
        <f>'Net zero emission reductions'!P1389</f>
        <v>5.5473985576087426</v>
      </c>
      <c r="AK8" s="28">
        <f>'Net zero emission reductions'!Q1389</f>
        <v>5.5391504700870771</v>
      </c>
      <c r="AL8" s="28">
        <f>'Net zero emission reductions'!R1389</f>
        <v>5.4993657963463365</v>
      </c>
      <c r="AM8" s="28">
        <f>'Net zero emission reductions'!S1389</f>
        <v>5.1779141846798922</v>
      </c>
      <c r="AN8" s="28">
        <f>'Net zero emission reductions'!T1389</f>
        <v>5.2234365031656678</v>
      </c>
      <c r="AO8" s="28">
        <f>'Net zero emission reductions'!U1389</f>
        <v>5.2607139869862687</v>
      </c>
      <c r="AP8" s="28">
        <f>'Net zero emission reductions'!V1389</f>
        <v>5.2972378917474705</v>
      </c>
      <c r="AQ8" s="28">
        <f>'Net zero emission reductions'!W1389</f>
        <v>5.3445893517249541</v>
      </c>
      <c r="AR8" s="28">
        <f>'Net zero emission reductions'!X1389</f>
        <v>5.391074742094033</v>
      </c>
      <c r="AS8" s="28">
        <f>'Net zero emission reductions'!Y1389</f>
        <v>5.4443279456237095</v>
      </c>
      <c r="AT8" s="28">
        <f>'Net zero emission reductions'!Z1389</f>
        <v>5.4941146702747297</v>
      </c>
      <c r="AU8" s="28">
        <f>'Net zero emission reductions'!AA1389</f>
        <v>5.5476702009922301</v>
      </c>
      <c r="AV8" s="28">
        <f>'Net zero emission reductions'!AB1389</f>
        <v>5.5951924858009336</v>
      </c>
      <c r="AW8" s="28">
        <f>'Net zero emission reductions'!AC1389</f>
        <v>5.6435970948645044</v>
      </c>
      <c r="AX8" s="28">
        <f>'Net zero emission reductions'!AD1389</f>
        <v>5.7106381367284076</v>
      </c>
      <c r="AY8" s="28">
        <f>'Net zero emission reductions'!AE1389</f>
        <v>5.7837954436426573</v>
      </c>
      <c r="AZ8" s="28">
        <f>'Net zero emission reductions'!AF1389</f>
        <v>5.8590224803991617</v>
      </c>
      <c r="BA8" s="28">
        <f>'Net zero emission reductions'!AG1389</f>
        <v>5.8483213454344947</v>
      </c>
      <c r="BB8" s="28">
        <f>'Net zero emission reductions'!AH1389</f>
        <v>1.7304204380446728</v>
      </c>
      <c r="BC8" s="28">
        <f>'Net zero emission reductions'!AI1389</f>
        <v>1.7304204380446728</v>
      </c>
      <c r="BD8" s="28">
        <f>'Net zero emission reductions'!AJ1389</f>
        <v>1.7304204380446728</v>
      </c>
      <c r="BE8" s="28">
        <f>'Net zero emission reductions'!AK1389</f>
        <v>1.7304204380446728</v>
      </c>
      <c r="BF8" s="28">
        <f>'Net zero emission reductions'!AL1389</f>
        <v>1.7304204380446728</v>
      </c>
      <c r="BG8" s="28">
        <f>'Net zero emission reductions'!AM1389</f>
        <v>1.7304204380446728</v>
      </c>
      <c r="BH8" s="28">
        <f>'Net zero emission reductions'!AN1389</f>
        <v>1.7304204380446728</v>
      </c>
      <c r="BI8" s="28">
        <f>'Net zero emission reductions'!AO1389</f>
        <v>1.7304204380446728</v>
      </c>
      <c r="BJ8" s="28">
        <f>'Net zero emission reductions'!AP1389</f>
        <v>1.7304204380446728</v>
      </c>
      <c r="BK8" s="28">
        <f>'Net zero emission reductions'!AQ1389</f>
        <v>1.7304204380446728</v>
      </c>
      <c r="BL8" s="28">
        <f>'Net zero emission reductions'!AR1389</f>
        <v>1.7304204380446728</v>
      </c>
      <c r="BM8" s="28">
        <f>'Net zero emission reductions'!AS1389</f>
        <v>1.7304204380446728</v>
      </c>
      <c r="BN8" s="28">
        <f>'Net zero emission reductions'!AT1389</f>
        <v>1.7304204380446728</v>
      </c>
      <c r="BO8" s="28">
        <f>'Net zero emission reductions'!AU1389</f>
        <v>1.7304204380446728</v>
      </c>
      <c r="BP8" s="28">
        <f>'Net zero emission reductions'!AV1389</f>
        <v>1.7304204380446728</v>
      </c>
      <c r="BQ8" s="28">
        <f>'Net zero emission reductions'!AW1389</f>
        <v>1.7304204380446728</v>
      </c>
    </row>
    <row r="9" spans="1:75" x14ac:dyDescent="0.25">
      <c r="A9" s="102" t="str">
        <f t="shared" si="2"/>
        <v>FSFAGSPQNIBDDSCM Mules&amp;Asses</v>
      </c>
      <c r="B9" s="102" t="str">
        <f t="shared" si="3"/>
        <v>FSFAGSPQNIBDDSCM</v>
      </c>
      <c r="C9" s="103" t="s">
        <v>1324</v>
      </c>
      <c r="D9" t="str">
        <f t="shared" si="4"/>
        <v>3A Livestock</v>
      </c>
      <c r="E9" t="str">
        <f t="shared" si="4"/>
        <v>3A1 Enteric fermentation (CH4)</v>
      </c>
      <c r="F9" t="str">
        <f>'IPCC Categories'!C10</f>
        <v>3A1g Mules &amp; asses</v>
      </c>
      <c r="G9" t="str">
        <f t="shared" si="5"/>
        <v>CH4</v>
      </c>
      <c r="H9" t="str">
        <f t="shared" si="5"/>
        <v>Gg CH4</v>
      </c>
      <c r="I9" s="28">
        <f>'Emissions summary'!F9</f>
        <v>2.2399999999999998</v>
      </c>
      <c r="J9" s="28">
        <f>'Emissions summary'!G9</f>
        <v>2.2399999999999998</v>
      </c>
      <c r="K9" s="28">
        <f>'Emissions summary'!H9</f>
        <v>2.2399999999999998</v>
      </c>
      <c r="L9" s="28">
        <f>'Emissions summary'!I9</f>
        <v>2.2399999999999998</v>
      </c>
      <c r="M9" s="28">
        <f>'Emissions summary'!J9</f>
        <v>2.2399999999999998</v>
      </c>
      <c r="N9" s="28">
        <f>'Emissions summary'!K9</f>
        <v>2.2399999999999998</v>
      </c>
      <c r="O9" s="28">
        <f>'Emissions summary'!L9</f>
        <v>2.2399999999999998</v>
      </c>
      <c r="P9" s="28">
        <f>'Emissions summary'!M9</f>
        <v>2.2399999999999998</v>
      </c>
      <c r="Q9" s="28">
        <f>'Emissions summary'!N9</f>
        <v>2.2399999999999998</v>
      </c>
      <c r="R9" s="28">
        <f>'Emissions summary'!O9</f>
        <v>2.2399999999999998</v>
      </c>
      <c r="S9" s="28">
        <f>'Emissions summary'!P9</f>
        <v>1.64</v>
      </c>
      <c r="T9" s="28">
        <f>'Emissions summary'!Q9</f>
        <v>1.64</v>
      </c>
      <c r="U9" s="28">
        <f>'Emissions summary'!R9</f>
        <v>1.64</v>
      </c>
      <c r="V9" s="28">
        <f>'Emissions summary'!S9</f>
        <v>1.64</v>
      </c>
      <c r="W9" s="28">
        <f>'Emissions summary'!T9</f>
        <v>1.64</v>
      </c>
      <c r="X9" s="28">
        <f>'Emissions summary'!U9</f>
        <v>1.64</v>
      </c>
      <c r="Y9" s="28">
        <f>'Emissions summary'!V9</f>
        <v>1.6404999999999998</v>
      </c>
      <c r="Z9" s="28">
        <f>'Emissions summary'!W9</f>
        <v>1.6459999999999999</v>
      </c>
      <c r="AA9" s="28">
        <f>'Emissions summary'!X9</f>
        <v>1.647</v>
      </c>
      <c r="AB9" s="28">
        <f>'Emissions summary'!Y9</f>
        <v>1.6479999999999999</v>
      </c>
      <c r="AC9" s="28">
        <f>'Emissions summary'!Z9</f>
        <v>1.663</v>
      </c>
      <c r="AD9" s="28">
        <f>'Emissions summary'!AA9</f>
        <v>1.67</v>
      </c>
      <c r="AE9" s="28">
        <f>'Net zero emission reductions'!K1390</f>
        <v>1.67</v>
      </c>
      <c r="AF9" s="28">
        <f>'Net zero emission reductions'!L1390</f>
        <v>1.67</v>
      </c>
      <c r="AG9" s="28">
        <f>'Net zero emission reductions'!M1390</f>
        <v>1.67</v>
      </c>
      <c r="AH9" s="28">
        <f>'Net zero emission reductions'!N1390</f>
        <v>1.67</v>
      </c>
      <c r="AI9" s="28">
        <f>'Net zero emission reductions'!O1390</f>
        <v>1.67</v>
      </c>
      <c r="AJ9" s="28">
        <f>'Net zero emission reductions'!P1390</f>
        <v>1.67</v>
      </c>
      <c r="AK9" s="28">
        <f>'Net zero emission reductions'!Q1390</f>
        <v>1.67</v>
      </c>
      <c r="AL9" s="28">
        <f>'Net zero emission reductions'!R1390</f>
        <v>1.67</v>
      </c>
      <c r="AM9" s="28">
        <f>'Net zero emission reductions'!S1390</f>
        <v>1.67</v>
      </c>
      <c r="AN9" s="28">
        <f>'Net zero emission reductions'!T1390</f>
        <v>1.67</v>
      </c>
      <c r="AO9" s="28">
        <f>'Net zero emission reductions'!U1390</f>
        <v>1.67</v>
      </c>
      <c r="AP9" s="28">
        <f>'Net zero emission reductions'!V1390</f>
        <v>1.67</v>
      </c>
      <c r="AQ9" s="28">
        <f>'Net zero emission reductions'!W1390</f>
        <v>1.67</v>
      </c>
      <c r="AR9" s="28">
        <f>'Net zero emission reductions'!X1390</f>
        <v>1.67</v>
      </c>
      <c r="AS9" s="28">
        <f>'Net zero emission reductions'!Y1390</f>
        <v>1.67</v>
      </c>
      <c r="AT9" s="28">
        <f>'Net zero emission reductions'!Z1390</f>
        <v>1.67</v>
      </c>
      <c r="AU9" s="28">
        <f>'Net zero emission reductions'!AA1390</f>
        <v>1.67</v>
      </c>
      <c r="AV9" s="28">
        <f>'Net zero emission reductions'!AB1390</f>
        <v>1.67</v>
      </c>
      <c r="AW9" s="28">
        <f>'Net zero emission reductions'!AC1390</f>
        <v>1.67</v>
      </c>
      <c r="AX9" s="28">
        <f>'Net zero emission reductions'!AD1390</f>
        <v>1.67</v>
      </c>
      <c r="AY9" s="28">
        <f>'Net zero emission reductions'!AE1390</f>
        <v>1.67</v>
      </c>
      <c r="AZ9" s="28">
        <f>'Net zero emission reductions'!AF1390</f>
        <v>1.67</v>
      </c>
      <c r="BA9" s="28">
        <f>'Net zero emission reductions'!AG1390</f>
        <v>1.67</v>
      </c>
      <c r="BB9" s="28">
        <f>'Net zero emission reductions'!AH1390</f>
        <v>1.67</v>
      </c>
      <c r="BC9" s="28">
        <f>'Net zero emission reductions'!AI1390</f>
        <v>1.67</v>
      </c>
      <c r="BD9" s="28">
        <f>'Net zero emission reductions'!AJ1390</f>
        <v>1.67</v>
      </c>
      <c r="BE9" s="28">
        <f>'Net zero emission reductions'!AK1390</f>
        <v>1.67</v>
      </c>
      <c r="BF9" s="28">
        <f>'Net zero emission reductions'!AL1390</f>
        <v>1.67</v>
      </c>
      <c r="BG9" s="28">
        <f>'Net zero emission reductions'!AM1390</f>
        <v>1.67</v>
      </c>
      <c r="BH9" s="28">
        <f>'Net zero emission reductions'!AN1390</f>
        <v>1.67</v>
      </c>
      <c r="BI9" s="28">
        <f>'Net zero emission reductions'!AO1390</f>
        <v>1.67</v>
      </c>
      <c r="BJ9" s="28">
        <f>'Net zero emission reductions'!AP1390</f>
        <v>1.67</v>
      </c>
      <c r="BK9" s="28">
        <f>'Net zero emission reductions'!AQ1390</f>
        <v>1.67</v>
      </c>
      <c r="BL9" s="28">
        <f>'Net zero emission reductions'!AR1390</f>
        <v>1.67</v>
      </c>
      <c r="BM9" s="28">
        <f>'Net zero emission reductions'!AS1390</f>
        <v>1.67</v>
      </c>
      <c r="BN9" s="28">
        <f>'Net zero emission reductions'!AT1390</f>
        <v>1.67</v>
      </c>
      <c r="BO9" s="28">
        <f>'Net zero emission reductions'!AU1390</f>
        <v>1.67</v>
      </c>
      <c r="BP9" s="28">
        <f>'Net zero emission reductions'!AV1390</f>
        <v>1.67</v>
      </c>
      <c r="BQ9" s="28">
        <f>'Net zero emission reductions'!AW1390</f>
        <v>1.67</v>
      </c>
    </row>
    <row r="10" spans="1:75" x14ac:dyDescent="0.25">
      <c r="A10" s="102" t="str">
        <f t="shared" si="2"/>
        <v>FSFAGSPQNIBDDSCM Swine</v>
      </c>
      <c r="B10" s="102" t="str">
        <f t="shared" si="3"/>
        <v>FSFAGSPQNIBDDSCM</v>
      </c>
      <c r="C10" s="103" t="s">
        <v>155</v>
      </c>
      <c r="D10" t="str">
        <f t="shared" si="4"/>
        <v>3A Livestock</v>
      </c>
      <c r="E10" t="str">
        <f t="shared" si="4"/>
        <v>3A1 Enteric fermentation (CH4)</v>
      </c>
      <c r="F10" t="str">
        <f>'IPCC Categories'!C11</f>
        <v>3A1h Swine</v>
      </c>
      <c r="G10" t="str">
        <f t="shared" si="5"/>
        <v>CH4</v>
      </c>
      <c r="H10" t="str">
        <f t="shared" si="5"/>
        <v>Gg CH4</v>
      </c>
      <c r="I10" s="28">
        <f>'Emissions summary'!F10</f>
        <v>1.9180695910937571</v>
      </c>
      <c r="J10" s="28">
        <f>'Emissions summary'!G10</f>
        <v>2.0955287855453451</v>
      </c>
      <c r="K10" s="28">
        <f>'Emissions summary'!H10</f>
        <v>2.0816844512264265</v>
      </c>
      <c r="L10" s="28">
        <f>'Emissions summary'!I10</f>
        <v>2.0804258753792526</v>
      </c>
      <c r="M10" s="28">
        <f>'Emissions summary'!J10</f>
        <v>1.9759640800637785</v>
      </c>
      <c r="N10" s="28">
        <f>'Emissions summary'!K10</f>
        <v>1.9948427177713943</v>
      </c>
      <c r="O10" s="28">
        <f>'Emissions summary'!L10</f>
        <v>2.148388971126669</v>
      </c>
      <c r="P10" s="28">
        <f>'Emissions summary'!M10</f>
        <v>2.1383203643492741</v>
      </c>
      <c r="Q10" s="28">
        <f>'Emissions summary'!N10</f>
        <v>2.1848876706947262</v>
      </c>
      <c r="R10" s="28">
        <f>'Emissions summary'!O10</f>
        <v>2.240265007970399</v>
      </c>
      <c r="S10" s="28">
        <f>'Emissions summary'!P10</f>
        <v>2.0728744202962059</v>
      </c>
      <c r="T10" s="28">
        <f>'Emissions summary'!Q10</f>
        <v>2.1118902715586119</v>
      </c>
      <c r="U10" s="28">
        <f>'Emissions summary'!R10</f>
        <v>2.1521646986681922</v>
      </c>
      <c r="V10" s="28">
        <f>'Emissions summary'!S10</f>
        <v>2.0930116338509963</v>
      </c>
      <c r="W10" s="28">
        <f>'Emissions summary'!T10</f>
        <v>2.0930116338509963</v>
      </c>
      <c r="X10" s="28">
        <f>'Emissions summary'!U10</f>
        <v>2.0779087236849034</v>
      </c>
      <c r="Y10" s="28">
        <f>'Emissions summary'!V10</f>
        <v>2.0414100241168467</v>
      </c>
      <c r="Z10" s="28">
        <f>'Emissions summary'!W10</f>
        <v>2.0779087236849034</v>
      </c>
      <c r="AA10" s="28">
        <f>'Emissions summary'!X10</f>
        <v>2.0325999931866261</v>
      </c>
      <c r="AB10" s="28">
        <f>'Emissions summary'!Y10</f>
        <v>2.0300828414922774</v>
      </c>
      <c r="AC10" s="28">
        <f>'Emissions summary'!Z10</f>
        <v>2.0061699003959639</v>
      </c>
      <c r="AD10" s="28">
        <f>'Emissions summary'!AA10</f>
        <v>1.9935841419242202</v>
      </c>
      <c r="AE10" s="28">
        <f>SUM('Net zero emission reductions'!K1391:K1392)</f>
        <v>2.1110830383585197</v>
      </c>
      <c r="AF10" s="28">
        <f>SUM('Net zero emission reductions'!L1391:L1392)</f>
        <v>2.1044196924075083</v>
      </c>
      <c r="AG10" s="28">
        <f>SUM('Net zero emission reductions'!M1391:M1392)</f>
        <v>2.0823840575539418</v>
      </c>
      <c r="AH10" s="28">
        <f>SUM('Net zero emission reductions'!N1391:N1392)</f>
        <v>2.039599022247661</v>
      </c>
      <c r="AI10" s="28">
        <f>SUM('Net zero emission reductions'!O1391:O1392)</f>
        <v>1.9986859834803092</v>
      </c>
      <c r="AJ10" s="28">
        <f>SUM('Net zero emission reductions'!P1391:P1392)</f>
        <v>1.9699849612168805</v>
      </c>
      <c r="AK10" s="28">
        <f>SUM('Net zero emission reductions'!Q1391:Q1392)</f>
        <v>1.9456775893197551</v>
      </c>
      <c r="AL10" s="28">
        <f>SUM('Net zero emission reductions'!R1391:R1392)</f>
        <v>1.9009181287656161</v>
      </c>
      <c r="AM10" s="28">
        <f>SUM('Net zero emission reductions'!S1391:S1392)</f>
        <v>1.6641098755875374</v>
      </c>
      <c r="AN10" s="28">
        <f>SUM('Net zero emission reductions'!T1391:T1392)</f>
        <v>1.6746846167244969</v>
      </c>
      <c r="AO10" s="28">
        <f>SUM('Net zero emission reductions'!U1391:U1392)</f>
        <v>1.6799927035404589</v>
      </c>
      <c r="AP10" s="28">
        <f>SUM('Net zero emission reductions'!V1391:V1392)</f>
        <v>1.6851532029527025</v>
      </c>
      <c r="AQ10" s="28">
        <f>SUM('Net zero emission reductions'!W1391:W1392)</f>
        <v>1.6977582517560941</v>
      </c>
      <c r="AR10" s="28">
        <f>SUM('Net zero emission reductions'!X1391:X1392)</f>
        <v>1.7099395399465906</v>
      </c>
      <c r="AS10" s="28">
        <f>SUM('Net zero emission reductions'!Y1391:Y1392)</f>
        <v>1.7239145983268152</v>
      </c>
      <c r="AT10" s="28">
        <f>SUM('Net zero emission reductions'!Z1391:Z1392)</f>
        <v>1.7356445413661854</v>
      </c>
      <c r="AU10" s="28">
        <f>SUM('Net zero emission reductions'!AA1391:AA1392)</f>
        <v>1.7497412039822415</v>
      </c>
      <c r="AV10" s="28">
        <f>SUM('Net zero emission reductions'!AB1391:AB1392)</f>
        <v>1.7600027643682585</v>
      </c>
      <c r="AW10" s="28">
        <f>SUM('Net zero emission reductions'!AC1391:AC1392)</f>
        <v>1.770797027362258</v>
      </c>
      <c r="AX10" s="28">
        <f>SUM('Net zero emission reductions'!AD1391:AD1392)</f>
        <v>1.7907064389200935</v>
      </c>
      <c r="AY10" s="28">
        <f>SUM('Net zero emission reductions'!AE1391:AE1392)</f>
        <v>1.813963882034711</v>
      </c>
      <c r="AZ10" s="28">
        <f>SUM('Net zero emission reductions'!AF1391:AF1392)</f>
        <v>1.83803114354451</v>
      </c>
      <c r="BA10" s="28">
        <f>SUM('Net zero emission reductions'!AG1391:AG1392)</f>
        <v>1.8109816882963548</v>
      </c>
      <c r="BB10" s="28">
        <f>SUM('Net zero emission reductions'!AH1391:AH1392)</f>
        <v>-0.61103872875604537</v>
      </c>
      <c r="BC10" s="28">
        <f>SUM('Net zero emission reductions'!AI1391:AI1392)</f>
        <v>-0.60435495200522193</v>
      </c>
      <c r="BD10" s="28">
        <f>SUM('Net zero emission reductions'!AJ1391:AJ1392)</f>
        <v>-0.59781433224452829</v>
      </c>
      <c r="BE10" s="28">
        <f>SUM('Net zero emission reductions'!AK1391:AK1392)</f>
        <v>-0.59140750432360256</v>
      </c>
      <c r="BF10" s="28">
        <f>SUM('Net zero emission reductions'!AL1391:AL1392)</f>
        <v>-0.58512578880945787</v>
      </c>
      <c r="BG10" s="28">
        <f>SUM('Net zero emission reductions'!AM1391:AM1392)</f>
        <v>-0.57896112567363101</v>
      </c>
      <c r="BH10" s="28">
        <f>SUM('Net zero emission reductions'!AN1391:AN1392)</f>
        <v>-0.57219971847562778</v>
      </c>
      <c r="BI10" s="28">
        <f>SUM('Net zero emission reductions'!AO1391:AO1392)</f>
        <v>-0.56555752443332608</v>
      </c>
      <c r="BJ10" s="28">
        <f>SUM('Net zero emission reductions'!AP1391:AP1392)</f>
        <v>-0.55902758095319793</v>
      </c>
      <c r="BK10" s="28">
        <f>SUM('Net zero emission reductions'!AQ1391:AQ1392)</f>
        <v>-0.55260338022293243</v>
      </c>
      <c r="BL10" s="28">
        <f>SUM('Net zero emission reductions'!AR1391:AR1392)</f>
        <v>-0.54627882991718979</v>
      </c>
      <c r="BM10" s="28">
        <f>SUM('Net zero emission reductions'!AS1391:AS1392)</f>
        <v>-0.53938648596816219</v>
      </c>
      <c r="BN10" s="28">
        <f>SUM('Net zero emission reductions'!AT1391:AT1392)</f>
        <v>-0.5325994131732531</v>
      </c>
      <c r="BO10" s="28">
        <f>SUM('Net zero emission reductions'!AU1391:AU1392)</f>
        <v>-0.52591219284077451</v>
      </c>
      <c r="BP10" s="28">
        <f>SUM('Net zero emission reductions'!AV1391:AV1392)</f>
        <v>-0.51931972643430502</v>
      </c>
      <c r="BQ10" s="28">
        <f>SUM('Net zero emission reductions'!AW1391:AW1392)</f>
        <v>-0.51281721061110808</v>
      </c>
    </row>
    <row r="11" spans="1:75" s="19" customFormat="1" ht="15.75" x14ac:dyDescent="0.25">
      <c r="A11" s="104"/>
      <c r="B11" s="104"/>
      <c r="C11" s="104"/>
      <c r="D11" s="19" t="str">
        <f>D18</f>
        <v>3A Livestock</v>
      </c>
      <c r="E11" s="19" t="str">
        <f>E18</f>
        <v>3A2 Manure management (CH4)</v>
      </c>
      <c r="F11" s="19" t="s">
        <v>148</v>
      </c>
      <c r="G11" s="19" t="str">
        <f>G18</f>
        <v>CH4</v>
      </c>
      <c r="H11" s="19" t="str">
        <f>H18</f>
        <v>Gg CH4</v>
      </c>
      <c r="I11" s="46">
        <f t="shared" ref="I11" si="6">SUM(I12:I18)</f>
        <v>31.702723851583059</v>
      </c>
      <c r="J11" s="46">
        <f t="shared" ref="J11:AE11" si="7">SUM(J12:J18)</f>
        <v>34.846437093745571</v>
      </c>
      <c r="K11" s="46">
        <f t="shared" si="7"/>
        <v>33.34593965991499</v>
      </c>
      <c r="L11" s="46">
        <f t="shared" si="7"/>
        <v>33.911342124246517</v>
      </c>
      <c r="M11" s="46">
        <f t="shared" si="7"/>
        <v>32.073771373963574</v>
      </c>
      <c r="N11" s="46">
        <f t="shared" si="7"/>
        <v>33.020872632281872</v>
      </c>
      <c r="O11" s="46">
        <f t="shared" si="7"/>
        <v>34.987492144761205</v>
      </c>
      <c r="P11" s="46">
        <f t="shared" si="7"/>
        <v>34.595629337012369</v>
      </c>
      <c r="Q11" s="46">
        <f t="shared" si="7"/>
        <v>35.178779527916078</v>
      </c>
      <c r="R11" s="46">
        <f t="shared" si="7"/>
        <v>35.773500663635126</v>
      </c>
      <c r="S11" s="46">
        <f t="shared" si="7"/>
        <v>36.297062166313644</v>
      </c>
      <c r="T11" s="46">
        <f t="shared" si="7"/>
        <v>36.650497115596643</v>
      </c>
      <c r="U11" s="46">
        <f t="shared" si="7"/>
        <v>35.964128838575938</v>
      </c>
      <c r="V11" s="46">
        <f t="shared" si="7"/>
        <v>34.354995245344796</v>
      </c>
      <c r="W11" s="46">
        <f t="shared" si="7"/>
        <v>34.113912838047241</v>
      </c>
      <c r="X11" s="46">
        <f t="shared" si="7"/>
        <v>34.7151680316408</v>
      </c>
      <c r="Y11" s="46">
        <f t="shared" si="7"/>
        <v>34.304317583202156</v>
      </c>
      <c r="Z11" s="46">
        <f t="shared" si="7"/>
        <v>34.81260712013389</v>
      </c>
      <c r="AA11" s="46">
        <f t="shared" si="7"/>
        <v>36.247765210834089</v>
      </c>
      <c r="AB11" s="46">
        <f t="shared" si="7"/>
        <v>36.334449628150963</v>
      </c>
      <c r="AC11" s="46">
        <f t="shared" si="7"/>
        <v>36.137208970848143</v>
      </c>
      <c r="AD11" s="46">
        <f t="shared" si="7"/>
        <v>35.764591312652556</v>
      </c>
      <c r="AE11" s="46">
        <f t="shared" si="7"/>
        <v>37.070387459615141</v>
      </c>
      <c r="AF11" s="46">
        <f t="shared" ref="AF11:BQ11" si="8">SUM(AF12:AF18)</f>
        <v>37.123987151592544</v>
      </c>
      <c r="AG11" s="46">
        <f t="shared" si="8"/>
        <v>36.953296179934313</v>
      </c>
      <c r="AH11" s="46">
        <f t="shared" si="8"/>
        <v>36.475665231863573</v>
      </c>
      <c r="AI11" s="46">
        <f t="shared" si="8"/>
        <v>36.023925892602342</v>
      </c>
      <c r="AJ11" s="46">
        <f t="shared" si="8"/>
        <v>35.753140804294247</v>
      </c>
      <c r="AK11" s="46">
        <f t="shared" si="8"/>
        <v>35.546761441351421</v>
      </c>
      <c r="AL11" s="46">
        <f t="shared" si="8"/>
        <v>35.031102910868313</v>
      </c>
      <c r="AM11" s="46">
        <f t="shared" si="8"/>
        <v>31.602811287404471</v>
      </c>
      <c r="AN11" s="46">
        <f t="shared" si="8"/>
        <v>29.596630001620682</v>
      </c>
      <c r="AO11" s="46">
        <f t="shared" si="8"/>
        <v>27.501362317121117</v>
      </c>
      <c r="AP11" s="46">
        <f t="shared" si="8"/>
        <v>25.394717882590278</v>
      </c>
      <c r="AQ11" s="46">
        <f t="shared" si="8"/>
        <v>23.362193729068036</v>
      </c>
      <c r="AR11" s="46">
        <f t="shared" si="8"/>
        <v>21.300917141641353</v>
      </c>
      <c r="AS11" s="46">
        <f t="shared" si="8"/>
        <v>19.228908254692264</v>
      </c>
      <c r="AT11" s="46">
        <f t="shared" si="8"/>
        <v>17.111900199795198</v>
      </c>
      <c r="AU11" s="46">
        <f t="shared" si="8"/>
        <v>14.989910454269001</v>
      </c>
      <c r="AV11" s="46">
        <f t="shared" si="8"/>
        <v>12.816730748381385</v>
      </c>
      <c r="AW11" s="46">
        <f t="shared" si="8"/>
        <v>10.62671791777557</v>
      </c>
      <c r="AX11" s="46">
        <f t="shared" si="8"/>
        <v>10.22249109149681</v>
      </c>
      <c r="AY11" s="46">
        <f t="shared" si="8"/>
        <v>9.8243644115521089</v>
      </c>
      <c r="AZ11" s="46">
        <f t="shared" si="8"/>
        <v>9.4183230738168131</v>
      </c>
      <c r="BA11" s="46">
        <f t="shared" si="8"/>
        <v>8.7753508052270277</v>
      </c>
      <c r="BB11" s="46">
        <f t="shared" si="8"/>
        <v>-1.8599115037239198</v>
      </c>
      <c r="BC11" s="46">
        <f t="shared" si="8"/>
        <v>-1.8155979125332307</v>
      </c>
      <c r="BD11" s="46">
        <f t="shared" si="8"/>
        <v>-1.774379060238094</v>
      </c>
      <c r="BE11" s="46">
        <f t="shared" si="8"/>
        <v>-1.7361728088799682</v>
      </c>
      <c r="BF11" s="46">
        <f t="shared" si="8"/>
        <v>-1.7009046768395208</v>
      </c>
      <c r="BG11" s="46">
        <f t="shared" si="8"/>
        <v>-1.6685071468790396</v>
      </c>
      <c r="BH11" s="46">
        <f t="shared" si="8"/>
        <v>-1.6698314836143413</v>
      </c>
      <c r="BI11" s="46">
        <f t="shared" si="8"/>
        <v>-1.6713424898506803</v>
      </c>
      <c r="BJ11" s="46">
        <f t="shared" si="8"/>
        <v>-1.6730327158921401</v>
      </c>
      <c r="BK11" s="46">
        <f t="shared" si="8"/>
        <v>-1.6748952249964899</v>
      </c>
      <c r="BL11" s="46">
        <f t="shared" si="8"/>
        <v>-1.6769235492014574</v>
      </c>
      <c r="BM11" s="46">
        <f t="shared" si="8"/>
        <v>-1.6767969969985206</v>
      </c>
      <c r="BN11" s="46">
        <f t="shared" si="8"/>
        <v>-1.6768267427156522</v>
      </c>
      <c r="BO11" s="46">
        <f t="shared" si="8"/>
        <v>-1.6770068852508693</v>
      </c>
      <c r="BP11" s="46">
        <f t="shared" si="8"/>
        <v>-1.6773318861316944</v>
      </c>
      <c r="BQ11" s="46">
        <f t="shared" si="8"/>
        <v>-1.6777965413018099</v>
      </c>
      <c r="BT11"/>
    </row>
    <row r="12" spans="1:75" x14ac:dyDescent="0.25">
      <c r="A12" s="102" t="str">
        <f t="shared" si="2"/>
        <v>FSFAGSPQNIBDDSCM Cattle MMCH4</v>
      </c>
      <c r="B12" s="102" t="str">
        <f t="shared" ref="B12:B18" si="9">$B$5</f>
        <v>FSFAGSPQNIBDDSCM</v>
      </c>
      <c r="C12" s="102" t="s">
        <v>1230</v>
      </c>
      <c r="D12" t="str">
        <f>D10</f>
        <v>3A Livestock</v>
      </c>
      <c r="E12" t="str">
        <f>'IPCC Categories'!B12</f>
        <v>3A2 Manure management (CH4)</v>
      </c>
      <c r="F12" t="str">
        <f>'IPCC Categories'!C20</f>
        <v>3A2a Cattle</v>
      </c>
      <c r="G12" t="str">
        <f>G10</f>
        <v>CH4</v>
      </c>
      <c r="H12" t="str">
        <f>H10</f>
        <v>Gg CH4</v>
      </c>
      <c r="I12" s="28">
        <f>'Emissions summary'!F12</f>
        <v>8.7411879732159203</v>
      </c>
      <c r="J12" s="28">
        <f>'Emissions summary'!G12</f>
        <v>9.975428544318282</v>
      </c>
      <c r="K12" s="28">
        <f>'Emissions summary'!H12</f>
        <v>8.7049393037396534</v>
      </c>
      <c r="L12" s="28">
        <f>'Emissions summary'!I12</f>
        <v>9.1866288543050949</v>
      </c>
      <c r="M12" s="28">
        <f>'Emissions summary'!J12</f>
        <v>8.5387883014234216</v>
      </c>
      <c r="N12" s="28">
        <f>'Emissions summary'!K12</f>
        <v>9.1047703582547079</v>
      </c>
      <c r="O12" s="28">
        <f>'Emissions summary'!L12</f>
        <v>9.1488551241771336</v>
      </c>
      <c r="P12" s="28">
        <f>'Emissions summary'!M12</f>
        <v>8.8467258594312526</v>
      </c>
      <c r="Q12" s="28">
        <f>'Emissions summary'!N12</f>
        <v>8.7366188809270806</v>
      </c>
      <c r="R12" s="28">
        <f>'Emissions summary'!O12</f>
        <v>8.6199113361492632</v>
      </c>
      <c r="S12" s="28">
        <f>'Emissions summary'!P12</f>
        <v>10.914641044652543</v>
      </c>
      <c r="T12" s="28">
        <f>'Emissions summary'!Q12</f>
        <v>10.875335802478894</v>
      </c>
      <c r="U12" s="28">
        <f>'Emissions summary'!R12</f>
        <v>9.5759431074378831</v>
      </c>
      <c r="V12" s="28">
        <f>'Emissions summary'!S12</f>
        <v>8.7330292709988893</v>
      </c>
      <c r="W12" s="28">
        <f>'Emissions summary'!T12</f>
        <v>8.4376183222193628</v>
      </c>
      <c r="X12" s="28">
        <f>'Emissions summary'!U12</f>
        <v>9.0020345528971131</v>
      </c>
      <c r="Y12" s="28">
        <f>'Emissions summary'!V12</f>
        <v>8.8216264657665526</v>
      </c>
      <c r="Z12" s="28">
        <f>'Emissions summary'!W12</f>
        <v>8.775466165479612</v>
      </c>
      <c r="AA12" s="28">
        <f>'Emissions summary'!X12</f>
        <v>10.574651313182118</v>
      </c>
      <c r="AB12" s="28">
        <f>'Emissions summary'!Y12</f>
        <v>10.837506153958151</v>
      </c>
      <c r="AC12" s="28">
        <f>'Emissions summary'!Z12</f>
        <v>10.835280189588559</v>
      </c>
      <c r="AD12" s="28">
        <f>'Emissions summary'!AA12</f>
        <v>10.50406860380672</v>
      </c>
      <c r="AE12" s="101">
        <f>IF($A12="Baseline",'Emissions summary'!AB12,SUMIF('Net zero emission reductions'!$A$4:$A$1448,$A$12,'Net zero emission reductions'!K$4:K$1448))</f>
        <v>10.536132307897866</v>
      </c>
      <c r="AF12" s="101">
        <f>IF($A12="Baseline",'Emissions summary'!AC12,SUMIF('Net zero emission reductions'!$A$4:$A$1448,$A$12,'Net zero emission reductions'!L$4:L$1448))</f>
        <v>10.613458765903253</v>
      </c>
      <c r="AG12" s="101">
        <f>IF($A12="Baseline",'Emissions summary'!AD12,SUMIF('Net zero emission reductions'!$A$4:$A$1448,$A$12,'Net zero emission reductions'!M$4:M$1448))</f>
        <v>10.666849936107054</v>
      </c>
      <c r="AH12" s="101">
        <f>IF($A12="Baseline",'Emissions summary'!AE12,SUMIF('Net zero emission reductions'!$A$4:$A$1448,$A$12,'Net zero emission reductions'!N$4:N$1448))</f>
        <v>10.684492011566622</v>
      </c>
      <c r="AI12" s="101">
        <f>IF($A12="Baseline",'Emissions summary'!AF12,SUMIF('Net zero emission reductions'!$A$4:$A$1448,$A$12,'Net zero emission reductions'!O$4:O$1448))</f>
        <v>10.706951115641658</v>
      </c>
      <c r="AJ12" s="101">
        <f>IF($A12="Baseline",'Emissions summary'!AG12,SUMIF('Net zero emission reductions'!$A$4:$A$1448,$A$12,'Net zero emission reductions'!P$4:P$1448))</f>
        <v>10.754382131036504</v>
      </c>
      <c r="AK12" s="101">
        <f>IF($A12="Baseline",'Emissions summary'!AH12,SUMIF('Net zero emission reductions'!$A$4:$A$1448,$A$12,'Net zero emission reductions'!Q$4:Q$1448))</f>
        <v>10.81083297877524</v>
      </c>
      <c r="AL12" s="101">
        <f>IF($A12="Baseline",'Emissions summary'!AI12,SUMIF('Net zero emission reductions'!$A$4:$A$1448,$A$12,'Net zero emission reductions'!R$4:R$1448))</f>
        <v>10.827060268081404</v>
      </c>
      <c r="AM12" s="101">
        <f>IF($A12="Baseline",'Emissions summary'!AJ12,SUMIF('Net zero emission reductions'!$A$4:$A$1448,$A$12,'Net zero emission reductions'!S$4:S$1448))</f>
        <v>10.449967221902</v>
      </c>
      <c r="AN12" s="101">
        <f>IF($A12="Baseline",'Emissions summary'!AK12,SUMIF('Net zero emission reductions'!$A$4:$A$1448,$A$12,'Net zero emission reductions'!T$4:T$1448))</f>
        <v>9.7688079924983633</v>
      </c>
      <c r="AO12" s="101">
        <f>IF($A12="Baseline",'Emissions summary'!AL12,SUMIF('Net zero emission reductions'!$A$4:$A$1448,$A$12,'Net zero emission reductions'!U$4:U$1448))</f>
        <v>9.0777521426876753</v>
      </c>
      <c r="AP12" s="101">
        <f>IF($A12="Baseline",'Emissions summary'!AM12,SUMIF('Net zero emission reductions'!$A$4:$A$1448,$A$12,'Net zero emission reductions'!V$4:V$1448))</f>
        <v>8.3869978506635086</v>
      </c>
      <c r="AQ12" s="101">
        <f>IF($A12="Baseline",'Emissions summary'!AN12,SUMIF('Net zero emission reductions'!$A$4:$A$1448,$A$12,'Net zero emission reductions'!W$4:W$1448))</f>
        <v>7.7084789209654057</v>
      </c>
      <c r="AR12" s="101">
        <f>IF($A12="Baseline",'Emissions summary'!AO12,SUMIF('Net zero emission reductions'!$A$4:$A$1448,$A$12,'Net zero emission reductions'!X$4:X$1448))</f>
        <v>7.0276411891749593</v>
      </c>
      <c r="AS12" s="101">
        <f>IF($A12="Baseline",'Emissions summary'!AP12,SUMIF('Net zero emission reductions'!$A$4:$A$1448,$A$12,'Net zero emission reductions'!Y$4:Y$1448))</f>
        <v>6.342551024984699</v>
      </c>
      <c r="AT12" s="101">
        <f>IF($A12="Baseline",'Emissions summary'!AQ12,SUMIF('Net zero emission reductions'!$A$4:$A$1448,$A$12,'Net zero emission reductions'!Z$4:Z$1448))</f>
        <v>5.6532360782169038</v>
      </c>
      <c r="AU12" s="101">
        <f>IF($A12="Baseline",'Emissions summary'!AR12,SUMIF('Net zero emission reductions'!$A$4:$A$1448,$A$12,'Net zero emission reductions'!AA$4:AA$1448))</f>
        <v>4.9654298879824523</v>
      </c>
      <c r="AV12" s="101">
        <f>IF($A12="Baseline",'Emissions summary'!AS12,SUMIF('Net zero emission reductions'!$A$4:$A$1448,$A$12,'Net zero emission reductions'!AB$4:AB$1448))</f>
        <v>4.2718798439418499</v>
      </c>
      <c r="AW12" s="101">
        <f>IF($A12="Baseline",'Emissions summary'!AT12,SUMIF('Net zero emission reductions'!$A$4:$A$1448,$A$12,'Net zero emission reductions'!AC$4:AC$1448))</f>
        <v>3.5776095675331652</v>
      </c>
      <c r="AX12" s="101">
        <f>IF($A12="Baseline",'Emissions summary'!AU12,SUMIF('Net zero emission reductions'!$A$4:$A$1448,$A$12,'Net zero emission reductions'!AD$4:AD$1448))</f>
        <v>3.4392601297678214</v>
      </c>
      <c r="AY12" s="101">
        <f>IF($A12="Baseline",'Emissions summary'!AV12,SUMIF('Net zero emission reductions'!$A$4:$A$1448,$A$12,'Net zero emission reductions'!AE$4:AE$1448))</f>
        <v>3.3011515874079671</v>
      </c>
      <c r="AZ12" s="101">
        <f>IF($A12="Baseline",'Emissions summary'!AW12,SUMIF('Net zero emission reductions'!$A$4:$A$1448,$A$12,'Net zero emission reductions'!AF$4:AF$1448))</f>
        <v>3.1609187672318155</v>
      </c>
      <c r="BA12" s="101">
        <f>IF($A12="Baseline",'Emissions summary'!AX12,SUMIF('Net zero emission reductions'!$A$4:$A$1448,$A$12,'Net zero emission reductions'!AG$4:AG$1448))</f>
        <v>2.9789827375299627</v>
      </c>
      <c r="BB12" s="101">
        <f>IF($A12="Baseline",'Emissions summary'!AY12,SUMIF('Net zero emission reductions'!$A$4:$A$1448,$A$12,'Net zero emission reductions'!AH$4:AH$1448))</f>
        <v>1.0449004489593039</v>
      </c>
      <c r="BC12" s="101">
        <f>IF($A12="Baseline",'Emissions summary'!AZ12,SUMIF('Net zero emission reductions'!$A$4:$A$1448,$A$12,'Net zero emission reductions'!AI$4:AI$1448))</f>
        <v>0.95179474669925657</v>
      </c>
      <c r="BD12" s="101">
        <f>IF($A12="Baseline",'Emissions summary'!BA12,SUMIF('Net zero emission reductions'!$A$4:$A$1448,$A$12,'Net zero emission reductions'!AJ$4:AJ$1448))</f>
        <v>0.85896874118896893</v>
      </c>
      <c r="BE12" s="101">
        <f>IF($A12="Baseline",'Emissions summary'!BB12,SUMIF('Net zero emission reductions'!$A$4:$A$1448,$A$12,'Net zero emission reductions'!AK$4:AK$1448))</f>
        <v>0.76639318065121864</v>
      </c>
      <c r="BF12" s="101">
        <f>IF($A12="Baseline",'Emissions summary'!BC12,SUMIF('Net zero emission reductions'!$A$4:$A$1448,$A$12,'Net zero emission reductions'!AL$4:AL$1448))</f>
        <v>0.67404057219472024</v>
      </c>
      <c r="BG12" s="101">
        <f>IF($A12="Baseline",'Emissions summary'!BD12,SUMIF('Net zero emission reductions'!$A$4:$A$1448,$A$12,'Net zero emission reductions'!AM$4:AM$1448))</f>
        <v>0.58188502194580705</v>
      </c>
      <c r="BH12" s="101">
        <f>IF($A12="Baseline",'Emissions summary'!BE12,SUMIF('Net zero emission reductions'!$A$4:$A$1448,$A$12,'Net zero emission reductions'!AN$4:AN$1448))</f>
        <v>0.58138066074897132</v>
      </c>
      <c r="BI12" s="101">
        <f>IF($A12="Baseline",'Emissions summary'!BF12,SUMIF('Net zero emission reductions'!$A$4:$A$1448,$A$12,'Net zero emission reductions'!AO$4:AO$1448))</f>
        <v>0.58091688246819317</v>
      </c>
      <c r="BJ12" s="101">
        <f>IF($A12="Baseline",'Emissions summary'!BG12,SUMIF('Net zero emission reductions'!$A$4:$A$1448,$A$12,'Net zero emission reductions'!AP$4:AP$1448))</f>
        <v>0.58049199950748176</v>
      </c>
      <c r="BK12" s="101">
        <f>IF($A12="Baseline",'Emissions summary'!BH12,SUMIF('Net zero emission reductions'!$A$4:$A$1448,$A$12,'Net zero emission reductions'!AQ$4:AQ$1448))</f>
        <v>0.58010443574928694</v>
      </c>
      <c r="BL12" s="101">
        <f>IF($A12="Baseline",'Emissions summary'!BI12,SUMIF('Net zero emission reductions'!$A$4:$A$1448,$A$12,'Net zero emission reductions'!AR$4:AR$1448))</f>
        <v>0.57975271703750297</v>
      </c>
      <c r="BM12" s="101">
        <f>IF($A12="Baseline",'Emissions summary'!BJ12,SUMIF('Net zero emission reductions'!$A$4:$A$1448,$A$12,'Net zero emission reductions'!AS$4:AS$1448))</f>
        <v>0.57901857200747608</v>
      </c>
      <c r="BN12" s="101">
        <f>IF($A12="Baseline",'Emissions summary'!BK12,SUMIF('Net zero emission reductions'!$A$4:$A$1448,$A$12,'Net zero emission reductions'!AT$4:AT$1448))</f>
        <v>0.57831666659194025</v>
      </c>
      <c r="BO12" s="101">
        <f>IF($A12="Baseline",'Emissions summary'!BL12,SUMIF('Net zero emission reductions'!$A$4:$A$1448,$A$12,'Net zero emission reductions'!AU$4:AU$1448))</f>
        <v>0.57764572483386689</v>
      </c>
      <c r="BP12" s="101">
        <f>IF($A12="Baseline",'Emissions summary'!BM12,SUMIF('Net zero emission reductions'!$A$4:$A$1448,$A$12,'Net zero emission reductions'!AV$4:AV$1448))</f>
        <v>0.5770045463270459</v>
      </c>
      <c r="BQ12" s="101">
        <f>IF($A12="Baseline",'Emissions summary'!BN12,SUMIF('Net zero emission reductions'!$A$4:$A$1448,$A$12,'Net zero emission reductions'!AW$4:AW$1448))</f>
        <v>0.57639200038048488</v>
      </c>
    </row>
    <row r="13" spans="1:75" x14ac:dyDescent="0.25">
      <c r="A13" s="102" t="str">
        <f t="shared" si="2"/>
        <v>FSFAGSPQNIBDDSCM Sheep MMCH4</v>
      </c>
      <c r="B13" s="102" t="str">
        <f t="shared" si="9"/>
        <v>FSFAGSPQNIBDDSCM</v>
      </c>
      <c r="C13" s="103" t="s">
        <v>1325</v>
      </c>
      <c r="D13" t="str">
        <f t="shared" si="4"/>
        <v>3A Livestock</v>
      </c>
      <c r="E13" t="str">
        <f>E12</f>
        <v>3A2 Manure management (CH4)</v>
      </c>
      <c r="F13" t="str">
        <f>'IPCC Categories'!C22</f>
        <v>3A2c Sheep</v>
      </c>
      <c r="G13" t="str">
        <f t="shared" ref="G13:H18" si="10">G12</f>
        <v>CH4</v>
      </c>
      <c r="H13" t="str">
        <f t="shared" si="10"/>
        <v>Gg CH4</v>
      </c>
      <c r="I13" s="28">
        <f>'Emissions summary'!F13</f>
        <v>6.2894599121782607E-2</v>
      </c>
      <c r="J13" s="28">
        <f>'Emissions summary'!G13</f>
        <v>6.0066555504044758E-2</v>
      </c>
      <c r="K13" s="28">
        <f>'Emissions summary'!H13</f>
        <v>5.7584674495303009E-2</v>
      </c>
      <c r="L13" s="28">
        <f>'Emissions summary'!I13</f>
        <v>5.3854510138969261E-2</v>
      </c>
      <c r="M13" s="28">
        <f>'Emissions summary'!J13</f>
        <v>5.4234240031261954E-2</v>
      </c>
      <c r="N13" s="28">
        <f>'Emissions summary'!K13</f>
        <v>5.3457996605028271E-2</v>
      </c>
      <c r="O13" s="28">
        <f>'Emissions summary'!L13</f>
        <v>5.3636322797541415E-2</v>
      </c>
      <c r="P13" s="28">
        <f>'Emissions summary'!M13</f>
        <v>5.2469859702984858E-2</v>
      </c>
      <c r="Q13" s="28">
        <f>'Emissions summary'!N13</f>
        <v>5.2614618612201423E-2</v>
      </c>
      <c r="R13" s="28">
        <f>'Emissions summary'!O13</f>
        <v>5.1322278205282637E-2</v>
      </c>
      <c r="S13" s="28">
        <f>'Emissions summary'!P13</f>
        <v>4.9482371489588214E-2</v>
      </c>
      <c r="T13" s="28">
        <f>'Emissions summary'!Q13</f>
        <v>4.8248773828438465E-2</v>
      </c>
      <c r="U13" s="28">
        <f>'Emissions summary'!R13</f>
        <v>4.7443159029320267E-2</v>
      </c>
      <c r="V13" s="28">
        <f>'Emissions summary'!S13</f>
        <v>4.7608897490597185E-2</v>
      </c>
      <c r="W13" s="28">
        <f>'Emissions summary'!T13</f>
        <v>4.6761323587358246E-2</v>
      </c>
      <c r="X13" s="28">
        <f>'Emissions summary'!U13</f>
        <v>4.6650131961438294E-2</v>
      </c>
      <c r="Y13" s="28">
        <f>'Emissions summary'!V13</f>
        <v>4.6039626996481529E-2</v>
      </c>
      <c r="Z13" s="28">
        <f>'Emissions summary'!W13</f>
        <v>4.5995569937154757E-2</v>
      </c>
      <c r="AA13" s="28">
        <f>'Emissions summary'!X13</f>
        <v>4.6144524756783378E-2</v>
      </c>
      <c r="AB13" s="28">
        <f>'Emissions summary'!Y13</f>
        <v>4.5980884250712492E-2</v>
      </c>
      <c r="AC13" s="28">
        <f>'Emissions summary'!Z13</f>
        <v>4.5091351243352819E-2</v>
      </c>
      <c r="AD13" s="28">
        <f>'Emissions summary'!AA13</f>
        <v>4.4738894768738595E-2</v>
      </c>
      <c r="AE13" s="28">
        <f>SUM('Net zero emission reductions'!K1399:K1400)</f>
        <v>4.0171451163807756E-2</v>
      </c>
      <c r="AF13" s="28">
        <f>SUM('Net zero emission reductions'!L1399:L1400)</f>
        <v>4.0193388449779766E-2</v>
      </c>
      <c r="AG13" s="28">
        <f>SUM('Net zero emission reductions'!M1399:M1400)</f>
        <v>4.0242510247083002E-2</v>
      </c>
      <c r="AH13" s="28">
        <f>SUM('Net zero emission reductions'!N1399:N1400)</f>
        <v>4.0316448864538786E-2</v>
      </c>
      <c r="AI13" s="28">
        <f>SUM('Net zero emission reductions'!O1399:O1400)</f>
        <v>4.0416193542554428E-2</v>
      </c>
      <c r="AJ13" s="28">
        <f>SUM('Net zero emission reductions'!P1399:P1400)</f>
        <v>4.054185011989897E-2</v>
      </c>
      <c r="AK13" s="28">
        <f>SUM('Net zero emission reductions'!Q1399:Q1400)</f>
        <v>4.0681826453149238E-2</v>
      </c>
      <c r="AL13" s="28">
        <f>SUM('Net zero emission reductions'!R1399:R1400)</f>
        <v>4.0833528942094306E-2</v>
      </c>
      <c r="AM13" s="28">
        <f>SUM('Net zero emission reductions'!S1399:S1400)</f>
        <v>4.097608558956399E-2</v>
      </c>
      <c r="AN13" s="28">
        <f>SUM('Net zero emission reductions'!T1399:T1400)</f>
        <v>4.103563426172728E-2</v>
      </c>
      <c r="AO13" s="28">
        <f>SUM('Net zero emission reductions'!U1399:U1400)</f>
        <v>4.1104733217492397E-2</v>
      </c>
      <c r="AP13" s="28">
        <f>SUM('Net zero emission reductions'!V1399:V1400)</f>
        <v>4.1183368288572768E-2</v>
      </c>
      <c r="AQ13" s="28">
        <f>SUM('Net zero emission reductions'!W1399:W1400)</f>
        <v>4.1271946892514212E-2</v>
      </c>
      <c r="AR13" s="28">
        <f>SUM('Net zero emission reductions'!X1399:X1400)</f>
        <v>4.136904898259381E-2</v>
      </c>
      <c r="AS13" s="28">
        <f>SUM('Net zero emission reductions'!Y1399:Y1400)</f>
        <v>4.1428822724387609E-2</v>
      </c>
      <c r="AT13" s="28">
        <f>SUM('Net zero emission reductions'!Z1399:Z1400)</f>
        <v>4.1495591228138305E-2</v>
      </c>
      <c r="AU13" s="28">
        <f>SUM('Net zero emission reductions'!AA1399:AA1400)</f>
        <v>4.1569596793099593E-2</v>
      </c>
      <c r="AV13" s="28">
        <f>SUM('Net zero emission reductions'!AB1399:AB1400)</f>
        <v>4.1649702367654133E-2</v>
      </c>
      <c r="AW13" s="28">
        <f>SUM('Net zero emission reductions'!AC1399:AC1400)</f>
        <v>4.1736194376637802E-2</v>
      </c>
      <c r="AX13" s="28">
        <f>SUM('Net zero emission reductions'!AD1399:AD1400)</f>
        <v>4.1793133677802338E-2</v>
      </c>
      <c r="AY13" s="28">
        <f>SUM('Net zero emission reductions'!AE1399:AE1400)</f>
        <v>4.1856062115301733E-2</v>
      </c>
      <c r="AZ13" s="28">
        <f>SUM('Net zero emission reductions'!AF1399:AF1400)</f>
        <v>4.1924413742277053E-2</v>
      </c>
      <c r="BA13" s="28">
        <f>SUM('Net zero emission reductions'!AG1399:AG1400)</f>
        <v>4.1990450131540423E-2</v>
      </c>
      <c r="BB13" s="28">
        <f>SUM('Net zero emission reductions'!AH1399:AH1400)</f>
        <v>4.1708124794475582E-2</v>
      </c>
      <c r="BC13" s="28">
        <f>SUM('Net zero emission reductions'!AI1399:AI1400)</f>
        <v>4.174821945634509E-2</v>
      </c>
      <c r="BD13" s="28">
        <f>SUM('Net zero emission reductions'!AJ1399:AJ1400)</f>
        <v>4.1792464114322331E-2</v>
      </c>
      <c r="BE13" s="28">
        <f>SUM('Net zero emission reductions'!AK1399:AK1400)</f>
        <v>4.1840701985036206E-2</v>
      </c>
      <c r="BF13" s="28">
        <f>SUM('Net zero emission reductions'!AL1399:AL1400)</f>
        <v>4.1892788403494238E-2</v>
      </c>
      <c r="BG13" s="28">
        <f>SUM('Net zero emission reductions'!AM1399:AM1400)</f>
        <v>4.1948589673140198E-2</v>
      </c>
      <c r="BH13" s="28">
        <f>SUM('Net zero emission reductions'!AN1399:AN1400)</f>
        <v>4.197567007990638E-2</v>
      </c>
      <c r="BI13" s="28">
        <f>SUM('Net zero emission reductions'!AO1399:AO1400)</f>
        <v>4.2006023507118316E-2</v>
      </c>
      <c r="BJ13" s="28">
        <f>SUM('Net zero emission reductions'!AP1399:AP1400)</f>
        <v>4.2039536045947422E-2</v>
      </c>
      <c r="BK13" s="28">
        <f>SUM('Net zero emission reductions'!AQ1399:AQ1400)</f>
        <v>4.2076101583905408E-2</v>
      </c>
      <c r="BL13" s="28">
        <f>SUM('Net zero emission reductions'!AR1399:AR1400)</f>
        <v>4.2115621142507186E-2</v>
      </c>
      <c r="BM13" s="28">
        <f>SUM('Net zero emission reductions'!AS1399:AS1400)</f>
        <v>4.212537013688971E-2</v>
      </c>
      <c r="BN13" s="28">
        <f>SUM('Net zero emission reductions'!AT1399:AT1400)</f>
        <v>4.2137740823243071E-2</v>
      </c>
      <c r="BO13" s="28">
        <f>SUM('Net zero emission reductions'!AU1399:AU1400)</f>
        <v>4.2152646371178375E-2</v>
      </c>
      <c r="BP13" s="28">
        <f>SUM('Net zero emission reductions'!AV1399:AV1400)</f>
        <v>4.2170005252547764E-2</v>
      </c>
      <c r="BQ13" s="28">
        <f>SUM('Net zero emission reductions'!AW1399:AW1400)</f>
        <v>4.2189740833693673E-2</v>
      </c>
    </row>
    <row r="14" spans="1:75" x14ac:dyDescent="0.25">
      <c r="A14" s="102" t="str">
        <f t="shared" si="2"/>
        <v>FSFAGSPQNIBDDSCM Goats MMCH4</v>
      </c>
      <c r="B14" s="102" t="str">
        <f t="shared" si="9"/>
        <v>FSFAGSPQNIBDDSCM</v>
      </c>
      <c r="C14" s="103" t="s">
        <v>1326</v>
      </c>
      <c r="D14" t="str">
        <f t="shared" si="4"/>
        <v>3A Livestock</v>
      </c>
      <c r="E14" t="str">
        <f t="shared" si="4"/>
        <v>3A2 Manure management (CH4)</v>
      </c>
      <c r="F14" t="str">
        <f>'IPCC Categories'!C23</f>
        <v>3A2d Goats</v>
      </c>
      <c r="G14" t="str">
        <f t="shared" si="10"/>
        <v>CH4</v>
      </c>
      <c r="H14" t="str">
        <f t="shared" si="10"/>
        <v>Gg CH4</v>
      </c>
      <c r="I14" s="28">
        <f>'Emissions summary'!F14</f>
        <v>5.7474022342600642E-2</v>
      </c>
      <c r="J14" s="28">
        <f>'Emissions summary'!G14</f>
        <v>5.0823279310165601E-2</v>
      </c>
      <c r="K14" s="28">
        <f>'Emissions summary'!H14</f>
        <v>4.7342516601601464E-2</v>
      </c>
      <c r="L14" s="28">
        <f>'Emissions summary'!I14</f>
        <v>4.4731944570178372E-2</v>
      </c>
      <c r="M14" s="28">
        <f>'Emissions summary'!J14</f>
        <v>4.8419895535204649E-2</v>
      </c>
      <c r="N14" s="28">
        <f>'Emissions summary'!K14</f>
        <v>4.9082897955883539E-2</v>
      </c>
      <c r="O14" s="28">
        <f>'Emissions summary'!L14</f>
        <v>4.9849494504793493E-2</v>
      </c>
      <c r="P14" s="28">
        <f>'Emissions summary'!M14</f>
        <v>4.9600868597038911E-2</v>
      </c>
      <c r="Q14" s="28">
        <f>'Emissions summary'!N14</f>
        <v>4.8896428525067599E-2</v>
      </c>
      <c r="R14" s="28">
        <f>'Emissions summary'!O14</f>
        <v>4.8171269627450081E-2</v>
      </c>
      <c r="S14" s="28">
        <f>'Emissions summary'!P14</f>
        <v>4.8792834396836522E-2</v>
      </c>
      <c r="T14" s="28">
        <f>'Emissions summary'!Q14</f>
        <v>5.0284589843364008E-2</v>
      </c>
      <c r="U14" s="28">
        <f>'Emissions summary'!R14</f>
        <v>4.5912917632012634E-2</v>
      </c>
      <c r="V14" s="28">
        <f>'Emissions summary'!S14</f>
        <v>4.475266339582458E-2</v>
      </c>
      <c r="W14" s="28">
        <f>'Emissions summary'!T14</f>
        <v>4.4835538698409449E-2</v>
      </c>
      <c r="X14" s="28">
        <f>'Emissions summary'!U14</f>
        <v>4.4255411580315415E-2</v>
      </c>
      <c r="Y14" s="28">
        <f>'Emissions summary'!V14</f>
        <v>4.5187758734395102E-2</v>
      </c>
      <c r="Z14" s="28">
        <f>'Emissions summary'!W14</f>
        <v>4.3841035067391121E-2</v>
      </c>
      <c r="AA14" s="28">
        <f>'Emissions summary'!X14</f>
        <v>4.3799597416098693E-2</v>
      </c>
      <c r="AB14" s="28">
        <f>'Emissions summary'!Y14</f>
        <v>4.3033000867188732E-2</v>
      </c>
      <c r="AC14" s="28">
        <f>'Emissions summary'!Z14</f>
        <v>4.2515030226033354E-2</v>
      </c>
      <c r="AD14" s="28">
        <f>'Emissions summary'!AA14</f>
        <v>4.2121372538755267E-2</v>
      </c>
      <c r="AE14" s="28">
        <f>SUM('Net zero emission reductions'!K1401:K1402)</f>
        <v>4.2380484298963031E-2</v>
      </c>
      <c r="AF14" s="28">
        <f>SUM('Net zero emission reductions'!L1401:L1402)</f>
        <v>4.2491022640852506E-2</v>
      </c>
      <c r="AG14" s="28">
        <f>SUM('Net zero emission reductions'!M1401:M1402)</f>
        <v>4.2638324773050039E-2</v>
      </c>
      <c r="AH14" s="28">
        <f>SUM('Net zero emission reductions'!N1401:N1402)</f>
        <v>4.2819115879733964E-2</v>
      </c>
      <c r="AI14" s="28">
        <f>SUM('Net zero emission reductions'!O1401:O1402)</f>
        <v>4.3035568476452485E-2</v>
      </c>
      <c r="AJ14" s="28">
        <f>SUM('Net zero emission reductions'!P1401:P1402)</f>
        <v>4.328825856997226E-2</v>
      </c>
      <c r="AK14" s="28">
        <f>SUM('Net zero emission reductions'!Q1401:Q1402)</f>
        <v>4.3558430864797347E-2</v>
      </c>
      <c r="AL14" s="28">
        <f>SUM('Net zero emission reductions'!R1401:R1402)</f>
        <v>4.3842222118602031E-2</v>
      </c>
      <c r="AM14" s="28">
        <f>SUM('Net zero emission reductions'!S1401:S1402)</f>
        <v>4.4105851728546128E-2</v>
      </c>
      <c r="AN14" s="28">
        <f>SUM('Net zero emission reductions'!T1401:T1402)</f>
        <v>4.4229396595656459E-2</v>
      </c>
      <c r="AO14" s="28">
        <f>SUM('Net zero emission reductions'!U1401:U1402)</f>
        <v>4.4364870390710444E-2</v>
      </c>
      <c r="AP14" s="28">
        <f>SUM('Net zero emission reductions'!V1401:V1402)</f>
        <v>4.451244503337487E-2</v>
      </c>
      <c r="AQ14" s="28">
        <f>SUM('Net zero emission reductions'!W1401:W1402)</f>
        <v>4.4672944068999285E-2</v>
      </c>
      <c r="AR14" s="28">
        <f>SUM('Net zero emission reductions'!X1401:X1402)</f>
        <v>4.4844206562754965E-2</v>
      </c>
      <c r="AS14" s="28">
        <f>SUM('Net zero emission reductions'!Y1401:Y1402)</f>
        <v>4.4952460733255303E-2</v>
      </c>
      <c r="AT14" s="28">
        <f>SUM('Net zero emission reductions'!Z1401:Z1402)</f>
        <v>4.5069586240880116E-2</v>
      </c>
      <c r="AU14" s="28">
        <f>SUM('Net zero emission reductions'!AA1401:AA1402)</f>
        <v>4.5196067641446624E-2</v>
      </c>
      <c r="AV14" s="28">
        <f>SUM('Net zero emission reductions'!AB1401:AB1402)</f>
        <v>4.5330163663465622E-2</v>
      </c>
      <c r="AW14" s="28">
        <f>SUM('Net zero emission reductions'!AC1401:AC1402)</f>
        <v>4.5472410705803767E-2</v>
      </c>
      <c r="AX14" s="28">
        <f>SUM('Net zero emission reductions'!AD1401:AD1402)</f>
        <v>4.5565573073388516E-2</v>
      </c>
      <c r="AY14" s="28">
        <f>SUM('Net zero emission reductions'!AE1401:AE1402)</f>
        <v>4.566660832870207E-2</v>
      </c>
      <c r="AZ14" s="28">
        <f>SUM('Net zero emission reductions'!AF1401:AF1402)</f>
        <v>4.5774662329998259E-2</v>
      </c>
      <c r="BA14" s="28">
        <f>SUM('Net zero emission reductions'!AG1401:AG1402)</f>
        <v>4.5877513947555765E-2</v>
      </c>
      <c r="BB14" s="28">
        <f>SUM('Net zero emission reductions'!AH1401:AH1402)</f>
        <v>4.542790329363032E-2</v>
      </c>
      <c r="BC14" s="28">
        <f>SUM('Net zero emission reductions'!AI1401:AI1402)</f>
        <v>4.5488061322075959E-2</v>
      </c>
      <c r="BD14" s="28">
        <f>SUM('Net zero emission reductions'!AJ1401:AJ1402)</f>
        <v>4.5553613422903511E-2</v>
      </c>
      <c r="BE14" s="28">
        <f>SUM('Net zero emission reductions'!AK1401:AK1402)</f>
        <v>4.5624340538346256E-2</v>
      </c>
      <c r="BF14" s="28">
        <f>SUM('Net zero emission reductions'!AL1401:AL1402)</f>
        <v>4.5700040601983863E-2</v>
      </c>
      <c r="BG14" s="28">
        <f>SUM('Net zero emission reductions'!AM1401:AM1402)</f>
        <v>4.5780526911852873E-2</v>
      </c>
      <c r="BH14" s="28">
        <f>SUM('Net zero emission reductions'!AN1401:AN1402)</f>
        <v>4.58150755324086E-2</v>
      </c>
      <c r="BI14" s="28">
        <f>SUM('Net zero emission reductions'!AO1401:AO1402)</f>
        <v>4.5853935923286515E-2</v>
      </c>
      <c r="BJ14" s="28">
        <f>SUM('Net zero emission reductions'!AP1401:AP1402)</f>
        <v>4.589694553095356E-2</v>
      </c>
      <c r="BK14" s="28">
        <f>SUM('Net zero emission reductions'!AQ1401:AQ1402)</f>
        <v>4.5943952953431351E-2</v>
      </c>
      <c r="BL14" s="28">
        <f>SUM('Net zero emission reductions'!AR1401:AR1402)</f>
        <v>4.5994816984910356E-2</v>
      </c>
      <c r="BM14" s="28">
        <f>SUM('Net zero emission reductions'!AS1401:AS1402)</f>
        <v>4.5998785393667724E-2</v>
      </c>
      <c r="BN14" s="28">
        <f>SUM('Net zero emission reductions'!AT1401:AT1402)</f>
        <v>4.6006283035940149E-2</v>
      </c>
      <c r="BO14" s="28">
        <f>SUM('Net zero emission reductions'!AU1401:AU1402)</f>
        <v>4.6017183166128517E-2</v>
      </c>
      <c r="BP14" s="28">
        <f>SUM('Net zero emission reductions'!AV1401:AV1402)</f>
        <v>4.603136679658329E-2</v>
      </c>
      <c r="BQ14" s="28">
        <f>SUM('Net zero emission reductions'!AW1401:AW1402)</f>
        <v>4.6048722096578426E-2</v>
      </c>
    </row>
    <row r="15" spans="1:75" x14ac:dyDescent="0.25">
      <c r="A15" s="102" t="str">
        <f t="shared" si="2"/>
        <v>FSFAGSPQNIBDDSCM Horses MMCH4</v>
      </c>
      <c r="B15" s="102" t="str">
        <f t="shared" si="9"/>
        <v>FSFAGSPQNIBDDSCM</v>
      </c>
      <c r="C15" s="103" t="s">
        <v>1327</v>
      </c>
      <c r="D15" t="str">
        <f t="shared" si="4"/>
        <v>3A Livestock</v>
      </c>
      <c r="E15" t="str">
        <f t="shared" si="4"/>
        <v>3A2 Manure management (CH4)</v>
      </c>
      <c r="F15" t="str">
        <f>'IPCC Categories'!C24</f>
        <v>3A2f Horses</v>
      </c>
      <c r="G15" t="str">
        <f t="shared" si="10"/>
        <v>CH4</v>
      </c>
      <c r="H15" t="str">
        <f t="shared" si="10"/>
        <v>Gg CH4</v>
      </c>
      <c r="I15" s="28">
        <f>'Emissions summary'!F15</f>
        <v>3.0819999999999997E-3</v>
      </c>
      <c r="J15" s="28">
        <f>'Emissions summary'!G15</f>
        <v>3.0819999999999997E-3</v>
      </c>
      <c r="K15" s="28">
        <f>'Emissions summary'!H15</f>
        <v>3.0819999999999997E-3</v>
      </c>
      <c r="L15" s="28">
        <f>'Emissions summary'!I15</f>
        <v>3.1489999999999999E-3</v>
      </c>
      <c r="M15" s="28">
        <f>'Emissions summary'!J15</f>
        <v>3.2159999999999997E-3</v>
      </c>
      <c r="N15" s="28">
        <f>'Emissions summary'!K15</f>
        <v>3.2829999999999999E-3</v>
      </c>
      <c r="O15" s="28">
        <f>'Emissions summary'!L15</f>
        <v>3.3499999999999997E-3</v>
      </c>
      <c r="P15" s="28">
        <f>'Emissions summary'!M15</f>
        <v>3.4169999999999999E-3</v>
      </c>
      <c r="Q15" s="28">
        <f>'Emissions summary'!N15</f>
        <v>3.4839999999999997E-3</v>
      </c>
      <c r="R15" s="28">
        <f>'Emissions summary'!O15</f>
        <v>3.4572000000000001E-3</v>
      </c>
      <c r="S15" s="28">
        <f>'Emissions summary'!P15</f>
        <v>3.6179999999999997E-3</v>
      </c>
      <c r="T15" s="28">
        <f>'Emissions summary'!Q15</f>
        <v>3.6179999999999997E-3</v>
      </c>
      <c r="U15" s="28">
        <f>'Emissions summary'!R15</f>
        <v>3.6179999999999997E-3</v>
      </c>
      <c r="V15" s="28">
        <f>'Emissions summary'!S15</f>
        <v>3.6179999999999997E-3</v>
      </c>
      <c r="W15" s="28">
        <f>'Emissions summary'!T15</f>
        <v>3.6179999999999997E-3</v>
      </c>
      <c r="X15" s="28">
        <f>'Emissions summary'!U15</f>
        <v>3.6179999999999997E-3</v>
      </c>
      <c r="Y15" s="28">
        <f>'Emissions summary'!V15</f>
        <v>3.7519999999999997E-3</v>
      </c>
      <c r="Z15" s="28">
        <f>'Emissions summary'!W15</f>
        <v>3.8859999999999997E-3</v>
      </c>
      <c r="AA15" s="28">
        <f>'Emissions summary'!X15</f>
        <v>3.9931999999999997E-3</v>
      </c>
      <c r="AB15" s="28">
        <f>'Emissions summary'!Y15</f>
        <v>4.0200000000000001E-3</v>
      </c>
      <c r="AC15" s="28">
        <f>'Emissions summary'!Z15</f>
        <v>4.0200000000000001E-3</v>
      </c>
      <c r="AD15" s="28">
        <f>'Emissions summary'!AA15</f>
        <v>4.0869999999999995E-3</v>
      </c>
      <c r="AE15" s="28">
        <f>'Net zero emission reductions'!K1403</f>
        <v>4.1462896209668214E-3</v>
      </c>
      <c r="AF15" s="28">
        <f>'Net zero emission reductions'!L1403</f>
        <v>4.1705892650270686E-3</v>
      </c>
      <c r="AG15" s="28">
        <f>'Net zero emission reductions'!M1403</f>
        <v>4.1765760669998774E-3</v>
      </c>
      <c r="AH15" s="28">
        <f>'Net zero emission reductions'!N1403</f>
        <v>4.1582865548880337E-3</v>
      </c>
      <c r="AI15" s="28">
        <f>'Net zero emission reductions'!O1403</f>
        <v>4.1389364137095824E-3</v>
      </c>
      <c r="AJ15" s="28">
        <f>'Net zero emission reductions'!P1403</f>
        <v>4.1297300373309533E-3</v>
      </c>
      <c r="AK15" s="28">
        <f>'Net zero emission reductions'!Q1403</f>
        <v>4.1235897943981579E-3</v>
      </c>
      <c r="AL15" s="28">
        <f>'Net zero emission reductions'!R1403</f>
        <v>4.0939723150578283E-3</v>
      </c>
      <c r="AM15" s="28">
        <f>'Net zero emission reductions'!S1403</f>
        <v>3.8546694485950316E-3</v>
      </c>
      <c r="AN15" s="28">
        <f>'Net zero emission reductions'!T1403</f>
        <v>3.8885582856899971E-3</v>
      </c>
      <c r="AO15" s="28">
        <f>'Net zero emission reductions'!U1403</f>
        <v>3.9163093014231119E-3</v>
      </c>
      <c r="AP15" s="28">
        <f>'Net zero emission reductions'!V1403</f>
        <v>3.943499319412006E-3</v>
      </c>
      <c r="AQ15" s="28">
        <f>'Net zero emission reductions'!W1403</f>
        <v>3.9787498507285772E-3</v>
      </c>
      <c r="AR15" s="28">
        <f>'Net zero emission reductions'!X1403</f>
        <v>4.0133556413366692E-3</v>
      </c>
      <c r="AS15" s="28">
        <f>'Net zero emission reductions'!Y1403</f>
        <v>4.0529996928532061E-3</v>
      </c>
      <c r="AT15" s="28">
        <f>'Net zero emission reductions'!Z1403</f>
        <v>4.0900631434267433E-3</v>
      </c>
      <c r="AU15" s="28">
        <f>'Net zero emission reductions'!AA1403</f>
        <v>4.1299322607386601E-3</v>
      </c>
      <c r="AV15" s="28">
        <f>'Net zero emission reductions'!AB1403</f>
        <v>4.1653099616518066E-3</v>
      </c>
      <c r="AW15" s="28">
        <f>'Net zero emission reductions'!AC1403</f>
        <v>4.2013445039546862E-3</v>
      </c>
      <c r="AX15" s="28">
        <f>'Net zero emission reductions'!AD1403</f>
        <v>4.251252835120037E-3</v>
      </c>
      <c r="AY15" s="28">
        <f>'Net zero emission reductions'!AE1403</f>
        <v>4.3057143858228663E-3</v>
      </c>
      <c r="AZ15" s="28">
        <f>'Net zero emission reductions'!AF1403</f>
        <v>4.3617167354082645E-3</v>
      </c>
      <c r="BA15" s="28">
        <f>'Net zero emission reductions'!AG1403</f>
        <v>4.3537503349345688E-3</v>
      </c>
      <c r="BB15" s="28">
        <f>'Net zero emission reductions'!AH1403</f>
        <v>1.2882018816554785E-3</v>
      </c>
      <c r="BC15" s="28">
        <f>'Net zero emission reductions'!AI1403</f>
        <v>1.2882018816554785E-3</v>
      </c>
      <c r="BD15" s="28">
        <f>'Net zero emission reductions'!AJ1403</f>
        <v>1.2882018816554785E-3</v>
      </c>
      <c r="BE15" s="28">
        <f>'Net zero emission reductions'!AK1403</f>
        <v>1.2882018816554785E-3</v>
      </c>
      <c r="BF15" s="28">
        <f>'Net zero emission reductions'!AL1403</f>
        <v>1.2882018816554785E-3</v>
      </c>
      <c r="BG15" s="28">
        <f>'Net zero emission reductions'!AM1403</f>
        <v>1.2882018816554785E-3</v>
      </c>
      <c r="BH15" s="28">
        <f>'Net zero emission reductions'!AN1403</f>
        <v>1.2882018816554785E-3</v>
      </c>
      <c r="BI15" s="28">
        <f>'Net zero emission reductions'!AO1403</f>
        <v>1.2882018816554785E-3</v>
      </c>
      <c r="BJ15" s="28">
        <f>'Net zero emission reductions'!AP1403</f>
        <v>1.2882018816554785E-3</v>
      </c>
      <c r="BK15" s="28">
        <f>'Net zero emission reductions'!AQ1403</f>
        <v>1.2882018816554785E-3</v>
      </c>
      <c r="BL15" s="28">
        <f>'Net zero emission reductions'!AR1403</f>
        <v>1.2882018816554785E-3</v>
      </c>
      <c r="BM15" s="28">
        <f>'Net zero emission reductions'!AS1403</f>
        <v>1.2882018816554785E-3</v>
      </c>
      <c r="BN15" s="28">
        <f>'Net zero emission reductions'!AT1403</f>
        <v>1.2882018816554785E-3</v>
      </c>
      <c r="BO15" s="28">
        <f>'Net zero emission reductions'!AU1403</f>
        <v>1.2882018816554785E-3</v>
      </c>
      <c r="BP15" s="28">
        <f>'Net zero emission reductions'!AV1403</f>
        <v>1.2882018816554785E-3</v>
      </c>
      <c r="BQ15" s="28">
        <f>'Net zero emission reductions'!AW1403</f>
        <v>1.2882018816554785E-3</v>
      </c>
    </row>
    <row r="16" spans="1:75" x14ac:dyDescent="0.25">
      <c r="A16" s="102" t="str">
        <f t="shared" si="2"/>
        <v>FSFAGSPQNIBDDSCM Mules MM CH4</v>
      </c>
      <c r="B16" s="102" t="str">
        <f t="shared" si="9"/>
        <v>FSFAGSPQNIBDDSCM</v>
      </c>
      <c r="C16" s="103" t="s">
        <v>1335</v>
      </c>
      <c r="D16" t="str">
        <f t="shared" si="4"/>
        <v>3A Livestock</v>
      </c>
      <c r="E16" t="str">
        <f t="shared" si="4"/>
        <v>3A2 Manure management (CH4)</v>
      </c>
      <c r="F16" t="str">
        <f>'IPCC Categories'!C25</f>
        <v>3A2g Mules &amp; asses</v>
      </c>
      <c r="G16" t="str">
        <f t="shared" si="10"/>
        <v>CH4</v>
      </c>
      <c r="H16" t="str">
        <f t="shared" si="10"/>
        <v>Gg CH4</v>
      </c>
      <c r="I16" s="28">
        <f>'Emissions summary'!F16</f>
        <v>1.0079999999999998E-3</v>
      </c>
      <c r="J16" s="28">
        <f>'Emissions summary'!G16</f>
        <v>1.0079999999999998E-3</v>
      </c>
      <c r="K16" s="28">
        <f>'Emissions summary'!H16</f>
        <v>1.0079999999999998E-3</v>
      </c>
      <c r="L16" s="28">
        <f>'Emissions summary'!I16</f>
        <v>1.0079999999999998E-3</v>
      </c>
      <c r="M16" s="28">
        <f>'Emissions summary'!J16</f>
        <v>1.0079999999999998E-3</v>
      </c>
      <c r="N16" s="28">
        <f>'Emissions summary'!K16</f>
        <v>1.0079999999999998E-3</v>
      </c>
      <c r="O16" s="28">
        <f>'Emissions summary'!L16</f>
        <v>1.0079999999999998E-3</v>
      </c>
      <c r="P16" s="28">
        <f>'Emissions summary'!M16</f>
        <v>1.0079999999999998E-3</v>
      </c>
      <c r="Q16" s="28">
        <f>'Emissions summary'!N16</f>
        <v>1.0079999999999998E-3</v>
      </c>
      <c r="R16" s="28">
        <f>'Emissions summary'!O16</f>
        <v>1.0079999999999998E-3</v>
      </c>
      <c r="S16" s="28">
        <f>'Emissions summary'!P16</f>
        <v>7.3799999999999994E-4</v>
      </c>
      <c r="T16" s="28">
        <f>'Emissions summary'!Q16</f>
        <v>7.3799999999999994E-4</v>
      </c>
      <c r="U16" s="28">
        <f>'Emissions summary'!R16</f>
        <v>7.3799999999999994E-4</v>
      </c>
      <c r="V16" s="28">
        <f>'Emissions summary'!S16</f>
        <v>7.3799999999999994E-4</v>
      </c>
      <c r="W16" s="28">
        <f>'Emissions summary'!T16</f>
        <v>7.3799999999999994E-4</v>
      </c>
      <c r="X16" s="28">
        <f>'Emissions summary'!U16</f>
        <v>7.3799999999999994E-4</v>
      </c>
      <c r="Y16" s="28">
        <f>'Emissions summary'!V16</f>
        <v>7.3822499999999991E-4</v>
      </c>
      <c r="Z16" s="28">
        <f>'Emissions summary'!W16</f>
        <v>7.4069999999999995E-4</v>
      </c>
      <c r="AA16" s="28">
        <f>'Emissions summary'!X16</f>
        <v>7.4114999999999999E-4</v>
      </c>
      <c r="AB16" s="28">
        <f>'Emissions summary'!Y16</f>
        <v>7.4159999999999992E-4</v>
      </c>
      <c r="AC16" s="28">
        <f>'Emissions summary'!Z16</f>
        <v>7.4834999999999984E-4</v>
      </c>
      <c r="AD16" s="28">
        <f>'Emissions summary'!AA16</f>
        <v>7.515E-4</v>
      </c>
      <c r="AE16" s="28">
        <f>'Net zero emission reductions'!K1404</f>
        <v>7.515E-4</v>
      </c>
      <c r="AF16" s="28">
        <f>'Net zero emission reductions'!L1404</f>
        <v>7.515E-4</v>
      </c>
      <c r="AG16" s="28">
        <f>'Net zero emission reductions'!M1404</f>
        <v>7.515E-4</v>
      </c>
      <c r="AH16" s="28">
        <f>'Net zero emission reductions'!N1404</f>
        <v>7.515E-4</v>
      </c>
      <c r="AI16" s="28">
        <f>'Net zero emission reductions'!O1404</f>
        <v>7.515E-4</v>
      </c>
      <c r="AJ16" s="28">
        <f>'Net zero emission reductions'!P1404</f>
        <v>7.515E-4</v>
      </c>
      <c r="AK16" s="28">
        <f>'Net zero emission reductions'!Q1404</f>
        <v>7.515E-4</v>
      </c>
      <c r="AL16" s="28">
        <f>'Net zero emission reductions'!R1404</f>
        <v>7.515E-4</v>
      </c>
      <c r="AM16" s="28">
        <f>'Net zero emission reductions'!S1404</f>
        <v>7.515E-4</v>
      </c>
      <c r="AN16" s="28">
        <f>'Net zero emission reductions'!T1404</f>
        <v>7.515E-4</v>
      </c>
      <c r="AO16" s="28">
        <f>'Net zero emission reductions'!U1404</f>
        <v>7.515E-4</v>
      </c>
      <c r="AP16" s="28">
        <f>'Net zero emission reductions'!V1404</f>
        <v>7.515E-4</v>
      </c>
      <c r="AQ16" s="28">
        <f>'Net zero emission reductions'!W1404</f>
        <v>7.515E-4</v>
      </c>
      <c r="AR16" s="28">
        <f>'Net zero emission reductions'!X1404</f>
        <v>7.515E-4</v>
      </c>
      <c r="AS16" s="28">
        <f>'Net zero emission reductions'!Y1404</f>
        <v>7.515E-4</v>
      </c>
      <c r="AT16" s="28">
        <f>'Net zero emission reductions'!Z1404</f>
        <v>7.515E-4</v>
      </c>
      <c r="AU16" s="28">
        <f>'Net zero emission reductions'!AA1404</f>
        <v>7.515E-4</v>
      </c>
      <c r="AV16" s="28">
        <f>'Net zero emission reductions'!AB1404</f>
        <v>7.515E-4</v>
      </c>
      <c r="AW16" s="28">
        <f>'Net zero emission reductions'!AC1404</f>
        <v>7.515E-4</v>
      </c>
      <c r="AX16" s="28">
        <f>'Net zero emission reductions'!AD1404</f>
        <v>7.515E-4</v>
      </c>
      <c r="AY16" s="28">
        <f>'Net zero emission reductions'!AE1404</f>
        <v>7.515E-4</v>
      </c>
      <c r="AZ16" s="28">
        <f>'Net zero emission reductions'!AF1404</f>
        <v>7.515E-4</v>
      </c>
      <c r="BA16" s="28">
        <f>'Net zero emission reductions'!AG1404</f>
        <v>7.515E-4</v>
      </c>
      <c r="BB16" s="28">
        <f>'Net zero emission reductions'!AH1404</f>
        <v>7.515E-4</v>
      </c>
      <c r="BC16" s="28">
        <f>'Net zero emission reductions'!AI1404</f>
        <v>7.515E-4</v>
      </c>
      <c r="BD16" s="28">
        <f>'Net zero emission reductions'!AJ1404</f>
        <v>7.515E-4</v>
      </c>
      <c r="BE16" s="28">
        <f>'Net zero emission reductions'!AK1404</f>
        <v>7.515E-4</v>
      </c>
      <c r="BF16" s="28">
        <f>'Net zero emission reductions'!AL1404</f>
        <v>7.515E-4</v>
      </c>
      <c r="BG16" s="28">
        <f>'Net zero emission reductions'!AM1404</f>
        <v>7.515E-4</v>
      </c>
      <c r="BH16" s="28">
        <f>'Net zero emission reductions'!AN1404</f>
        <v>7.515E-4</v>
      </c>
      <c r="BI16" s="28">
        <f>'Net zero emission reductions'!AO1404</f>
        <v>7.515E-4</v>
      </c>
      <c r="BJ16" s="28">
        <f>'Net zero emission reductions'!AP1404</f>
        <v>7.515E-4</v>
      </c>
      <c r="BK16" s="28">
        <f>'Net zero emission reductions'!AQ1404</f>
        <v>7.515E-4</v>
      </c>
      <c r="BL16" s="28">
        <f>'Net zero emission reductions'!AR1404</f>
        <v>7.515E-4</v>
      </c>
      <c r="BM16" s="28">
        <f>'Net zero emission reductions'!AS1404</f>
        <v>7.515E-4</v>
      </c>
      <c r="BN16" s="28">
        <f>'Net zero emission reductions'!AT1404</f>
        <v>7.515E-4</v>
      </c>
      <c r="BO16" s="28">
        <f>'Net zero emission reductions'!AU1404</f>
        <v>7.515E-4</v>
      </c>
      <c r="BP16" s="28">
        <f>'Net zero emission reductions'!AV1404</f>
        <v>7.515E-4</v>
      </c>
      <c r="BQ16" s="28">
        <f>'Net zero emission reductions'!AW1404</f>
        <v>7.515E-4</v>
      </c>
    </row>
    <row r="17" spans="1:72" x14ac:dyDescent="0.25">
      <c r="A17" s="102" t="str">
        <f t="shared" si="2"/>
        <v>FSFAGSPQNIBDDSCM Swine MMCH4</v>
      </c>
      <c r="B17" s="102" t="str">
        <f t="shared" si="9"/>
        <v>FSFAGSPQNIBDDSCM</v>
      </c>
      <c r="C17" s="103" t="s">
        <v>1231</v>
      </c>
      <c r="D17" t="str">
        <f t="shared" si="4"/>
        <v>3A Livestock</v>
      </c>
      <c r="E17" t="str">
        <f t="shared" si="4"/>
        <v>3A2 Manure management (CH4)</v>
      </c>
      <c r="F17" t="str">
        <f>'IPCC Categories'!C26</f>
        <v>3A2h Swine</v>
      </c>
      <c r="G17" t="str">
        <f t="shared" si="10"/>
        <v>CH4</v>
      </c>
      <c r="H17" t="str">
        <f t="shared" si="10"/>
        <v>Gg CH4</v>
      </c>
      <c r="I17" s="28">
        <f>'Emissions summary'!F17</f>
        <v>21.491561588124931</v>
      </c>
      <c r="J17" s="28">
        <f>'Emissions summary'!G17</f>
        <v>23.479954097262475</v>
      </c>
      <c r="K17" s="28">
        <f>'Emissions summary'!H17</f>
        <v>23.324831277400676</v>
      </c>
      <c r="L17" s="28">
        <f>'Emissions summary'!I17</f>
        <v>23.310729202867787</v>
      </c>
      <c r="M17" s="28">
        <f>'Emissions summary'!J17</f>
        <v>22.140257016637882</v>
      </c>
      <c r="N17" s="28">
        <f>'Emissions summary'!K17</f>
        <v>22.351788134631242</v>
      </c>
      <c r="O17" s="28">
        <f>'Emissions summary'!L17</f>
        <v>24.072241227643865</v>
      </c>
      <c r="P17" s="28">
        <f>'Emissions summary'!M17</f>
        <v>23.959424631380745</v>
      </c>
      <c r="Q17" s="28">
        <f>'Emissions summary'!N17</f>
        <v>24.481201389097684</v>
      </c>
      <c r="R17" s="28">
        <f>'Emissions summary'!O17</f>
        <v>25.101692668544864</v>
      </c>
      <c r="S17" s="28">
        <f>'Emissions summary'!P17</f>
        <v>23.22611675567045</v>
      </c>
      <c r="T17" s="28">
        <f>'Emissions summary'!Q17</f>
        <v>23.663281066190045</v>
      </c>
      <c r="U17" s="28">
        <f>'Emissions summary'!R17</f>
        <v>24.11454745124254</v>
      </c>
      <c r="V17" s="28">
        <f>'Emissions summary'!S17</f>
        <v>23.451749948196689</v>
      </c>
      <c r="W17" s="28">
        <f>'Emissions summary'!T17</f>
        <v>23.451749948196689</v>
      </c>
      <c r="X17" s="28">
        <f>'Emissions summary'!U17</f>
        <v>23.282525053802008</v>
      </c>
      <c r="Y17" s="28">
        <f>'Emissions summary'!V17</f>
        <v>22.873564892348188</v>
      </c>
      <c r="Z17" s="28">
        <f>'Emissions summary'!W17</f>
        <v>23.282525053802008</v>
      </c>
      <c r="AA17" s="28">
        <f>'Emissions summary'!X17</f>
        <v>22.774850370617955</v>
      </c>
      <c r="AB17" s="28">
        <f>'Emissions summary'!Y17</f>
        <v>22.746646221552176</v>
      </c>
      <c r="AC17" s="28">
        <f>'Emissions summary'!Z17</f>
        <v>22.478706805427255</v>
      </c>
      <c r="AD17" s="28">
        <f>'Emissions summary'!AA17</f>
        <v>22.337686060098353</v>
      </c>
      <c r="AE17" s="101">
        <f>IF($A17="Baseline",'Emissions summary'!AB17,SUMIF('Net zero emission reductions'!$A$4:$A$1448,$A$17,'Net zero emission reductions'!K$4:K$1448))</f>
        <v>23.535536973290967</v>
      </c>
      <c r="AF17" s="101">
        <f>IF($A17="Baseline",'Emissions summary'!AC17,SUMIF('Net zero emission reductions'!$A$4:$A$1448,$A$17,'Net zero emission reductions'!L$4:L$1448))</f>
        <v>23.461250257824865</v>
      </c>
      <c r="AG17" s="101">
        <f>IF($A17="Baseline",'Emissions summary'!AD17,SUMIF('Net zero emission reductions'!$A$4:$A$1448,$A$17,'Net zero emission reductions'!M$4:M$1448))</f>
        <v>23.215584649507861</v>
      </c>
      <c r="AH17" s="101">
        <f>IF($A17="Baseline",'Emissions summary'!AE17,SUMIF('Net zero emission reductions'!$A$4:$A$1448,$A$17,'Net zero emission reductions'!N$4:N$1448))</f>
        <v>22.738593094908712</v>
      </c>
      <c r="AI17" s="101">
        <f>IF($A17="Baseline",'Emissions summary'!AF17,SUMIF('Net zero emission reductions'!$A$4:$A$1448,$A$17,'Net zero emission reductions'!O$4:O$1448))</f>
        <v>22.282471606979268</v>
      </c>
      <c r="AJ17" s="101">
        <f>IF($A17="Baseline",'Emissions summary'!AG17,SUMIF('Net zero emission reductions'!$A$4:$A$1448,$A$17,'Net zero emission reductions'!P$4:P$1448))</f>
        <v>21.962496523868658</v>
      </c>
      <c r="AK17" s="101">
        <f>IF($A17="Baseline",'Emissions summary'!AH17,SUMIF('Net zero emission reductions'!$A$4:$A$1448,$A$17,'Net zero emission reductions'!Q$4:Q$1448))</f>
        <v>21.691504317681844</v>
      </c>
      <c r="AL17" s="101">
        <f>IF($A17="Baseline",'Emissions summary'!AI17,SUMIF('Net zero emission reductions'!$A$4:$A$1448,$A$17,'Net zero emission reductions'!R$4:R$1448))</f>
        <v>21.192500763754563</v>
      </c>
      <c r="AM17" s="101">
        <f>IF($A17="Baseline",'Emissions summary'!AJ17,SUMIF('Net zero emission reductions'!$A$4:$A$1448,$A$17,'Net zero emission reductions'!S$4:S$1448))</f>
        <v>18.552429626341262</v>
      </c>
      <c r="AN17" s="101">
        <f>IF($A17="Baseline",'Emissions summary'!AK17,SUMIF('Net zero emission reductions'!$A$4:$A$1448,$A$17,'Net zero emission reductions'!T$4:T$1448))</f>
        <v>17.183309946302966</v>
      </c>
      <c r="AO17" s="101">
        <f>IF($A17="Baseline",'Emissions summary'!AL17,SUMIF('Net zero emission reductions'!$A$4:$A$1448,$A$17,'Net zero emission reductions'!U$4:U$1448))</f>
        <v>15.746048168795243</v>
      </c>
      <c r="AP17" s="101">
        <f>IF($A17="Baseline",'Emissions summary'!AM17,SUMIF('Net zero emission reductions'!$A$4:$A$1448,$A$17,'Net zero emission reductions'!V$4:V$1448))</f>
        <v>14.29810766557101</v>
      </c>
      <c r="AQ17" s="101">
        <f>IF($A17="Baseline",'Emissions summary'!AN17,SUMIF('Net zero emission reductions'!$A$4:$A$1448,$A$17,'Net zero emission reductions'!W$4:W$1448))</f>
        <v>12.897557650109494</v>
      </c>
      <c r="AR17" s="101">
        <f>IF($A17="Baseline",'Emissions summary'!AO17,SUMIF('Net zero emission reductions'!$A$4:$A$1448,$A$17,'Net zero emission reductions'!X$4:X$1448))</f>
        <v>11.471779721258455</v>
      </c>
      <c r="AS17" s="101">
        <f>IF($A17="Baseline",'Emissions summary'!AP17,SUMIF('Net zero emission reductions'!$A$4:$A$1448,$A$17,'Net zero emission reductions'!Y$4:Y$1448))</f>
        <v>10.034810819215117</v>
      </c>
      <c r="AT17" s="101">
        <f>IF($A17="Baseline",'Emissions summary'!AQ17,SUMIF('Net zero emission reductions'!$A$4:$A$1448,$A$17,'Net zero emission reductions'!Z$4:Z$1448))</f>
        <v>8.561948828786889</v>
      </c>
      <c r="AU17" s="101">
        <f>IF($A17="Baseline",'Emissions summary'!AR17,SUMIF('Net zero emission reductions'!$A$4:$A$1448,$A$17,'Net zero emission reductions'!AA$4:AA$1448))</f>
        <v>7.0778295116701102</v>
      </c>
      <c r="AV17" s="101">
        <f>IF($A17="Baseline",'Emissions summary'!AS17,SUMIF('Net zero emission reductions'!$A$4:$A$1448,$A$17,'Net zero emission reductions'!AB$4:AB$1448))</f>
        <v>5.5565683851213441</v>
      </c>
      <c r="AW17" s="101">
        <f>IF($A17="Baseline",'Emissions summary'!AT17,SUMIF('Net zero emission reductions'!$A$4:$A$1448,$A$17,'Net zero emission reductions'!AC$4:AC$1448))</f>
        <v>4.0182928488811465</v>
      </c>
      <c r="AX17" s="101">
        <f>IF($A17="Baseline",'Emissions summary'!AU17,SUMIF('Net zero emission reductions'!$A$4:$A$1448,$A$17,'Net zero emission reductions'!AD$4:AD$1448))</f>
        <v>3.6659630936359759</v>
      </c>
      <c r="AY17" s="101">
        <f>IF($A17="Baseline",'Emissions summary'!AV17,SUMIF('Net zero emission reductions'!$A$4:$A$1448,$A$17,'Net zero emission reductions'!AE$4:AE$1448))</f>
        <v>3.3109051311105944</v>
      </c>
      <c r="AZ17" s="101">
        <f>IF($A17="Baseline",'Emissions summary'!AW17,SUMIF('Net zero emission reductions'!$A$4:$A$1448,$A$17,'Net zero emission reductions'!AF$4:AF$1448))</f>
        <v>2.9468199474605061</v>
      </c>
      <c r="BA17" s="101">
        <f>IF($A17="Baseline",'Emissions summary'!AX17,SUMIF('Net zero emission reductions'!$A$4:$A$1448,$A$17,'Net zero emission reductions'!AG$4:AG$1448))</f>
        <v>2.5014439838665812</v>
      </c>
      <c r="BB17" s="101">
        <f>IF($A17="Baseline",'Emissions summary'!AY17,SUMIF('Net zero emission reductions'!$A$4:$A$1448,$A$17,'Net zero emission reductions'!AH$4:AH$1448))</f>
        <v>-0.70836503028570996</v>
      </c>
      <c r="BC17" s="101">
        <f>IF($A17="Baseline",'Emissions summary'!AZ17,SUMIF('Net zero emission reductions'!$A$4:$A$1448,$A$17,'Net zero emission reductions'!AI$4:AI$1448))</f>
        <v>-0.56645952577850434</v>
      </c>
      <c r="BD17" s="101">
        <f>IF($A17="Baseline",'Emissions summary'!BA17,SUMIF('Net zero emission reductions'!$A$4:$A$1448,$A$17,'Net zero emission reductions'!AJ$4:AJ$1448))</f>
        <v>-0.4276238063132769</v>
      </c>
      <c r="BE17" s="101">
        <f>IF($A17="Baseline",'Emissions summary'!BB17,SUMIF('Net zero emission reductions'!$A$4:$A$1448,$A$17,'Net zero emission reductions'!AK$4:AK$1448))</f>
        <v>-0.2917579161107412</v>
      </c>
      <c r="BF17" s="101">
        <f>IF($A17="Baseline",'Emissions summary'!BC17,SUMIF('Net zero emission reductions'!$A$4:$A$1448,$A$17,'Net zero emission reductions'!AL$4:AL$1448))</f>
        <v>-0.1587704011114365</v>
      </c>
      <c r="BG17" s="101">
        <f>IF($A17="Baseline",'Emissions summary'!BD17,SUMIF('Net zero emission reductions'!$A$4:$A$1448,$A$17,'Net zero emission reductions'!AM$4:AM$1448))</f>
        <v>-2.8577544611065757E-2</v>
      </c>
      <c r="BH17" s="101">
        <f>IF($A17="Baseline",'Emissions summary'!BE17,SUMIF('Net zero emission reductions'!$A$4:$A$1448,$A$17,'Net zero emission reductions'!AN$4:AN$1448))</f>
        <v>-2.8243801277936253E-2</v>
      </c>
      <c r="BI17" s="101">
        <f>IF($A17="Baseline",'Emissions summary'!BF17,SUMIF('Net zero emission reductions'!$A$4:$A$1448,$A$17,'Net zero emission reductions'!AO$4:AO$1448))</f>
        <v>-2.7915942311000985E-2</v>
      </c>
      <c r="BJ17" s="101">
        <f>IF($A17="Baseline",'Emissions summary'!BG17,SUMIF('Net zero emission reductions'!$A$4:$A$1448,$A$17,'Net zero emission reductions'!AP$4:AP$1448))</f>
        <v>-2.7593624036360433E-2</v>
      </c>
      <c r="BK17" s="101">
        <f>IF($A17="Baseline",'Emissions summary'!BH17,SUMIF('Net zero emission reductions'!$A$4:$A$1448,$A$17,'Net zero emission reductions'!AQ$4:AQ$1448))</f>
        <v>-2.7276525228134906E-2</v>
      </c>
      <c r="BL17" s="101">
        <f>IF($A17="Baseline",'Emissions summary'!BI17,SUMIF('Net zero emission reductions'!$A$4:$A$1448,$A$17,'Net zero emission reductions'!AR$4:AR$1448))</f>
        <v>-2.6964345168900949E-2</v>
      </c>
      <c r="BM17" s="101">
        <f>IF($A17="Baseline",'Emissions summary'!BJ17,SUMIF('Net zero emission reductions'!$A$4:$A$1448,$A$17,'Net zero emission reductions'!AS$4:AS$1448))</f>
        <v>-2.6624138792438485E-2</v>
      </c>
      <c r="BN17" s="101">
        <f>IF($A17="Baseline",'Emissions summary'!BK17,SUMIF('Net zero emission reductions'!$A$4:$A$1448,$A$17,'Net zero emission reductions'!AT$4:AT$1448))</f>
        <v>-2.6289128604406378E-2</v>
      </c>
      <c r="BO17" s="101">
        <f>IF($A17="Baseline",'Emissions summary'!BL17,SUMIF('Net zero emission reductions'!$A$4:$A$1448,$A$17,'Net zero emission reductions'!AU$4:AU$1448))</f>
        <v>-2.5959047137963945E-2</v>
      </c>
      <c r="BP17" s="101">
        <f>IF($A17="Baseline",'Emissions summary'!BM17,SUMIF('Net zero emission reductions'!$A$4:$A$1448,$A$17,'Net zero emission reductions'!AV$4:AV$1448))</f>
        <v>-2.5633642729147251E-2</v>
      </c>
      <c r="BQ17" s="101">
        <f>IF($A17="Baseline",'Emissions summary'!BN17,SUMIF('Net zero emission reductions'!$A$4:$A$1448,$A$17,'Net zero emission reductions'!AW$4:AW$1448))</f>
        <v>-2.5312678284763319E-2</v>
      </c>
    </row>
    <row r="18" spans="1:72" x14ac:dyDescent="0.25">
      <c r="A18" s="102" t="str">
        <f t="shared" si="2"/>
        <v>FSFAGSPQNIBDDSCM Poultry MMCH4</v>
      </c>
      <c r="B18" s="102" t="str">
        <f t="shared" si="9"/>
        <v>FSFAGSPQNIBDDSCM</v>
      </c>
      <c r="C18" s="103" t="s">
        <v>1232</v>
      </c>
      <c r="D18" t="str">
        <f t="shared" si="4"/>
        <v>3A Livestock</v>
      </c>
      <c r="E18" t="str">
        <f t="shared" si="4"/>
        <v>3A2 Manure management (CH4)</v>
      </c>
      <c r="F18" t="str">
        <f>'IPCC Categories'!C27</f>
        <v>3A2i Poultry</v>
      </c>
      <c r="G18" t="str">
        <f t="shared" si="10"/>
        <v>CH4</v>
      </c>
      <c r="H18" t="str">
        <f t="shared" si="10"/>
        <v>Gg CH4</v>
      </c>
      <c r="I18" s="28">
        <f>'Emissions summary'!F18</f>
        <v>1.3455156687778258</v>
      </c>
      <c r="J18" s="28">
        <f>'Emissions summary'!G18</f>
        <v>1.2760746173506023</v>
      </c>
      <c r="K18" s="28">
        <f>'Emissions summary'!H18</f>
        <v>1.2071518876777516</v>
      </c>
      <c r="L18" s="28">
        <f>'Emissions summary'!I18</f>
        <v>1.3112406123644875</v>
      </c>
      <c r="M18" s="28">
        <f>'Emissions summary'!J18</f>
        <v>1.2878479203358015</v>
      </c>
      <c r="N18" s="28">
        <f>'Emissions summary'!K18</f>
        <v>1.4574822448350102</v>
      </c>
      <c r="O18" s="28">
        <f>'Emissions summary'!L18</f>
        <v>1.6585519756378786</v>
      </c>
      <c r="P18" s="28">
        <f>'Emissions summary'!M18</f>
        <v>1.6829831179003492</v>
      </c>
      <c r="Q18" s="28">
        <f>'Emissions summary'!N18</f>
        <v>1.8549562107540372</v>
      </c>
      <c r="R18" s="28">
        <f>'Emissions summary'!O18</f>
        <v>1.9479379111082711</v>
      </c>
      <c r="S18" s="28">
        <f>'Emissions summary'!P18</f>
        <v>2.0536731601042231</v>
      </c>
      <c r="T18" s="28">
        <f>'Emissions summary'!Q18</f>
        <v>2.0089908832558949</v>
      </c>
      <c r="U18" s="28">
        <f>'Emissions summary'!R18</f>
        <v>2.1759262032341824</v>
      </c>
      <c r="V18" s="28">
        <f>'Emissions summary'!S18</f>
        <v>2.0734984652627912</v>
      </c>
      <c r="W18" s="28">
        <f>'Emissions summary'!T18</f>
        <v>2.1285917053454204</v>
      </c>
      <c r="X18" s="28">
        <f>'Emissions summary'!U18</f>
        <v>2.3353468813999299</v>
      </c>
      <c r="Y18" s="28">
        <f>'Emissions summary'!V18</f>
        <v>2.5134086143565382</v>
      </c>
      <c r="Z18" s="28">
        <f>'Emissions summary'!W18</f>
        <v>2.6601525958477232</v>
      </c>
      <c r="AA18" s="28">
        <f>'Emissions summary'!X18</f>
        <v>2.8035850548611285</v>
      </c>
      <c r="AB18" s="28">
        <f>'Emissions summary'!Y18</f>
        <v>2.6565217675227304</v>
      </c>
      <c r="AC18" s="28">
        <f>'Emissions summary'!Z18</f>
        <v>2.7308472443629443</v>
      </c>
      <c r="AD18" s="28">
        <f>'Emissions summary'!AA18</f>
        <v>2.8311378814399824</v>
      </c>
      <c r="AE18" s="101">
        <f>IF($A18="Baseline",'Emissions summary'!AB18,SUMIF('Net zero emission reductions'!$A$4:$A$1448,$A$18,'Net zero emission reductions'!K$4:K$1448))</f>
        <v>2.9112684533425712</v>
      </c>
      <c r="AF18" s="101">
        <f>IF($A18="Baseline",'Emissions summary'!AC18,SUMIF('Net zero emission reductions'!$A$4:$A$1448,$A$18,'Net zero emission reductions'!L$4:L$1448))</f>
        <v>2.9616716275087618</v>
      </c>
      <c r="AG18" s="101">
        <f>IF($A18="Baseline",'Emissions summary'!AD18,SUMIF('Net zero emission reductions'!$A$4:$A$1448,$A$18,'Net zero emission reductions'!M$4:M$1448))</f>
        <v>2.9830526832322679</v>
      </c>
      <c r="AH18" s="101">
        <f>IF($A18="Baseline",'Emissions summary'!AE18,SUMIF('Net zero emission reductions'!$A$4:$A$1448,$A$18,'Net zero emission reductions'!N$4:N$1448))</f>
        <v>2.9645347740890746</v>
      </c>
      <c r="AI18" s="101">
        <f>IF($A18="Baseline",'Emissions summary'!AF18,SUMIF('Net zero emission reductions'!$A$4:$A$1448,$A$18,'Net zero emission reductions'!O$4:O$1448))</f>
        <v>2.9461609715487</v>
      </c>
      <c r="AJ18" s="101">
        <f>IF($A18="Baseline",'Emissions summary'!AG18,SUMIF('Net zero emission reductions'!$A$4:$A$1448,$A$18,'Net zero emission reductions'!P$4:P$1448))</f>
        <v>2.9475508106618773</v>
      </c>
      <c r="AK18" s="101">
        <f>IF($A18="Baseline",'Emissions summary'!AH18,SUMIF('Net zero emission reductions'!$A$4:$A$1448,$A$18,'Net zero emission reductions'!Q$4:Q$1448))</f>
        <v>2.9553087977819956</v>
      </c>
      <c r="AL18" s="101">
        <f>IF($A18="Baseline",'Emissions summary'!AI18,SUMIF('Net zero emission reductions'!$A$4:$A$1448,$A$18,'Net zero emission reductions'!R$4:R$1448))</f>
        <v>2.9220206556565946</v>
      </c>
      <c r="AM18" s="101">
        <f>IF($A18="Baseline",'Emissions summary'!AJ18,SUMIF('Net zero emission reductions'!$A$4:$A$1448,$A$18,'Net zero emission reductions'!S$4:S$1448))</f>
        <v>2.5107263323945066</v>
      </c>
      <c r="AN18" s="101">
        <f>IF($A18="Baseline",'Emissions summary'!AK18,SUMIF('Net zero emission reductions'!$A$4:$A$1448,$A$18,'Net zero emission reductions'!T$4:T$1448))</f>
        <v>2.5546069736762806</v>
      </c>
      <c r="AO18" s="101">
        <f>IF($A18="Baseline",'Emissions summary'!AL18,SUMIF('Net zero emission reductions'!$A$4:$A$1448,$A$18,'Net zero emission reductions'!U$4:U$1448))</f>
        <v>2.5874245927285702</v>
      </c>
      <c r="AP18" s="101">
        <f>IF($A18="Baseline",'Emissions summary'!AM18,SUMIF('Net zero emission reductions'!$A$4:$A$1448,$A$18,'Net zero emission reductions'!V$4:V$1448))</f>
        <v>2.6192215537143984</v>
      </c>
      <c r="AQ18" s="101">
        <f>IF($A18="Baseline",'Emissions summary'!AN18,SUMIF('Net zero emission reductions'!$A$4:$A$1448,$A$18,'Net zero emission reductions'!W$4:W$1448))</f>
        <v>2.6654820171808948</v>
      </c>
      <c r="AR18" s="101">
        <f>IF($A18="Baseline",'Emissions summary'!AO18,SUMIF('Net zero emission reductions'!$A$4:$A$1448,$A$18,'Net zero emission reductions'!X$4:X$1448))</f>
        <v>2.7105181200212507</v>
      </c>
      <c r="AS18" s="101">
        <f>IF($A18="Baseline",'Emissions summary'!AP18,SUMIF('Net zero emission reductions'!$A$4:$A$1448,$A$18,'Net zero emission reductions'!Y$4:Y$1448))</f>
        <v>2.7603606273419512</v>
      </c>
      <c r="AT18" s="101">
        <f>IF($A18="Baseline",'Emissions summary'!AQ18,SUMIF('Net zero emission reductions'!$A$4:$A$1448,$A$18,'Net zero emission reductions'!Z$4:Z$1448))</f>
        <v>2.8053085521789574</v>
      </c>
      <c r="AU18" s="101">
        <f>IF($A18="Baseline",'Emissions summary'!AR18,SUMIF('Net zero emission reductions'!$A$4:$A$1448,$A$18,'Net zero emission reductions'!AA$4:AA$1448))</f>
        <v>2.8550039579211548</v>
      </c>
      <c r="AV18" s="101">
        <f>IF($A18="Baseline",'Emissions summary'!AS18,SUMIF('Net zero emission reductions'!$A$4:$A$1448,$A$18,'Net zero emission reductions'!AB$4:AB$1448))</f>
        <v>2.8963858433254188</v>
      </c>
      <c r="AW18" s="101">
        <f>IF($A18="Baseline",'Emissions summary'!AT18,SUMIF('Net zero emission reductions'!$A$4:$A$1448,$A$18,'Net zero emission reductions'!AC$4:AC$1448))</f>
        <v>2.9386540517748636</v>
      </c>
      <c r="AX18" s="101">
        <f>IF($A18="Baseline",'Emissions summary'!AU18,SUMIF('Net zero emission reductions'!$A$4:$A$1448,$A$18,'Net zero emission reductions'!AD$4:AD$1448))</f>
        <v>3.0249064085067014</v>
      </c>
      <c r="AY18" s="101">
        <f>IF($A18="Baseline",'Emissions summary'!AV18,SUMIF('Net zero emission reductions'!$A$4:$A$1448,$A$18,'Net zero emission reductions'!AE$4:AE$1448))</f>
        <v>3.1197278082037205</v>
      </c>
      <c r="AZ18" s="101">
        <f>IF($A18="Baseline",'Emissions summary'!AW18,SUMIF('Net zero emission reductions'!$A$4:$A$1448,$A$18,'Net zero emission reductions'!AF$4:AF$1448))</f>
        <v>3.2177720663168086</v>
      </c>
      <c r="BA18" s="101">
        <f>IF($A18="Baseline",'Emissions summary'!AX18,SUMIF('Net zero emission reductions'!$A$4:$A$1448,$A$18,'Net zero emission reductions'!AG$4:AG$1448))</f>
        <v>3.201950869416454</v>
      </c>
      <c r="BB18" s="101">
        <f>IF($A18="Baseline",'Emissions summary'!AY18,SUMIF('Net zero emission reductions'!$A$4:$A$1448,$A$18,'Net zero emission reductions'!AH$4:AH$1448))</f>
        <v>-2.2856226523672749</v>
      </c>
      <c r="BC18" s="101">
        <f>IF($A18="Baseline",'Emissions summary'!AZ18,SUMIF('Net zero emission reductions'!$A$4:$A$1448,$A$18,'Net zero emission reductions'!AI$4:AI$1448))</f>
        <v>-2.2902091161140596</v>
      </c>
      <c r="BD18" s="101">
        <f>IF($A18="Baseline",'Emissions summary'!BA18,SUMIF('Net zero emission reductions'!$A$4:$A$1448,$A$18,'Net zero emission reductions'!AJ$4:AJ$1448))</f>
        <v>-2.2951097745326674</v>
      </c>
      <c r="BE18" s="101">
        <f>IF($A18="Baseline",'Emissions summary'!BB18,SUMIF('Net zero emission reductions'!$A$4:$A$1448,$A$18,'Net zero emission reductions'!AK$4:AK$1448))</f>
        <v>-2.3003128178254837</v>
      </c>
      <c r="BF18" s="101">
        <f>IF($A18="Baseline",'Emissions summary'!BC18,SUMIF('Net zero emission reductions'!$A$4:$A$1448,$A$18,'Net zero emission reductions'!AL$4:AL$1448))</f>
        <v>-2.3058073788099382</v>
      </c>
      <c r="BG18" s="101">
        <f>IF($A18="Baseline",'Emissions summary'!BD18,SUMIF('Net zero emission reductions'!$A$4:$A$1448,$A$18,'Net zero emission reductions'!AM$4:AM$1448))</f>
        <v>-2.3115834426804294</v>
      </c>
      <c r="BH18" s="101">
        <f>IF($A18="Baseline",'Emissions summary'!BE18,SUMIF('Net zero emission reductions'!$A$4:$A$1448,$A$18,'Net zero emission reductions'!AN$4:AN$1448))</f>
        <v>-2.3127987905793468</v>
      </c>
      <c r="BI18" s="101">
        <f>IF($A18="Baseline",'Emissions summary'!BF18,SUMIF('Net zero emission reductions'!$A$4:$A$1448,$A$18,'Net zero emission reductions'!AO$4:AO$1448))</f>
        <v>-2.3142430913199328</v>
      </c>
      <c r="BJ18" s="101">
        <f>IF($A18="Baseline",'Emissions summary'!BG18,SUMIF('Net zero emission reductions'!$A$4:$A$1448,$A$18,'Net zero emission reductions'!AP$4:AP$1448))</f>
        <v>-2.3159072748218179</v>
      </c>
      <c r="BK18" s="101">
        <f>IF($A18="Baseline",'Emissions summary'!BH18,SUMIF('Net zero emission reductions'!$A$4:$A$1448,$A$18,'Net zero emission reductions'!AQ$4:AQ$1448))</f>
        <v>-2.3177828919366341</v>
      </c>
      <c r="BL18" s="101">
        <f>IF($A18="Baseline",'Emissions summary'!BI18,SUMIF('Net zero emission reductions'!$A$4:$A$1448,$A$18,'Net zero emission reductions'!AR$4:AR$1448))</f>
        <v>-2.3198620610791325</v>
      </c>
      <c r="BM18" s="101">
        <f>IF($A18="Baseline",'Emissions summary'!BJ18,SUMIF('Net zero emission reductions'!$A$4:$A$1448,$A$18,'Net zero emission reductions'!AS$4:AS$1448))</f>
        <v>-2.319355287625771</v>
      </c>
      <c r="BN18" s="101">
        <f>IF($A18="Baseline",'Emissions summary'!BK18,SUMIF('Net zero emission reductions'!$A$4:$A$1448,$A$18,'Net zero emission reductions'!AT$4:AT$1448))</f>
        <v>-2.3190380064440248</v>
      </c>
      <c r="BO18" s="101">
        <f>IF($A18="Baseline",'Emissions summary'!BL18,SUMIF('Net zero emission reductions'!$A$4:$A$1448,$A$18,'Net zero emission reductions'!AU$4:AU$1448))</f>
        <v>-2.3189030943657345</v>
      </c>
      <c r="BP18" s="101">
        <f>IF($A18="Baseline",'Emissions summary'!BM18,SUMIF('Net zero emission reductions'!$A$4:$A$1448,$A$18,'Net zero emission reductions'!AV$4:AV$1448))</f>
        <v>-2.3189438636603796</v>
      </c>
      <c r="BQ18" s="101">
        <f>IF($A18="Baseline",'Emissions summary'!BN18,SUMIF('Net zero emission reductions'!$A$4:$A$1448,$A$18,'Net zero emission reductions'!AW$4:AW$1448))</f>
        <v>-2.3191540282094589</v>
      </c>
    </row>
    <row r="19" spans="1:72" s="19" customFormat="1" ht="15.75" x14ac:dyDescent="0.25">
      <c r="A19" s="104"/>
      <c r="B19" s="104"/>
      <c r="C19" s="104"/>
      <c r="D19" s="19" t="str">
        <f>D26</f>
        <v>3A Livestock</v>
      </c>
      <c r="E19" s="19" t="str">
        <f>E26</f>
        <v>3A2 Manure management (N2O)</v>
      </c>
      <c r="F19" s="19" t="s">
        <v>148</v>
      </c>
      <c r="G19" s="19" t="str">
        <f>G26</f>
        <v>N2O</v>
      </c>
      <c r="H19" s="19" t="str">
        <f>H26</f>
        <v>Gg N2O</v>
      </c>
      <c r="I19" s="46">
        <f t="shared" ref="I19" si="11">SUM(I20:I26)</f>
        <v>3.8813342644172093</v>
      </c>
      <c r="J19" s="46">
        <f t="shared" ref="J19:AE19" si="12">SUM(J20:J26)</f>
        <v>3.8661487301239461</v>
      </c>
      <c r="K19" s="46">
        <f t="shared" si="12"/>
        <v>3.7862483767973956</v>
      </c>
      <c r="L19" s="46">
        <f t="shared" si="12"/>
        <v>3.8129334854284056</v>
      </c>
      <c r="M19" s="46">
        <f t="shared" si="12"/>
        <v>3.6996407314660944</v>
      </c>
      <c r="N19" s="46">
        <f t="shared" si="12"/>
        <v>3.8335350634638918</v>
      </c>
      <c r="O19" s="46">
        <f t="shared" si="12"/>
        <v>4.0409580802685516</v>
      </c>
      <c r="P19" s="46">
        <f t="shared" si="12"/>
        <v>4.0955542331246733</v>
      </c>
      <c r="Q19" s="46">
        <f t="shared" si="12"/>
        <v>4.2655318251850405</v>
      </c>
      <c r="R19" s="46">
        <f t="shared" si="12"/>
        <v>4.3438825095880835</v>
      </c>
      <c r="S19" s="46">
        <f t="shared" si="12"/>
        <v>4.4272539945305205</v>
      </c>
      <c r="T19" s="46">
        <f t="shared" si="12"/>
        <v>4.3758778433663306</v>
      </c>
      <c r="U19" s="46">
        <f t="shared" si="12"/>
        <v>4.5059558233007309</v>
      </c>
      <c r="V19" s="46">
        <f t="shared" si="12"/>
        <v>4.4292467756859457</v>
      </c>
      <c r="W19" s="46">
        <f t="shared" si="12"/>
        <v>4.4470330949647732</v>
      </c>
      <c r="X19" s="46">
        <f t="shared" si="12"/>
        <v>4.5974101613100977</v>
      </c>
      <c r="Y19" s="46">
        <f t="shared" si="12"/>
        <v>4.7310450300813258</v>
      </c>
      <c r="Z19" s="46">
        <f t="shared" si="12"/>
        <v>4.8799892939067844</v>
      </c>
      <c r="AA19" s="46">
        <f t="shared" si="12"/>
        <v>4.9663886389564027</v>
      </c>
      <c r="AB19" s="46">
        <f t="shared" si="12"/>
        <v>4.8614306045888265</v>
      </c>
      <c r="AC19" s="46">
        <f t="shared" si="12"/>
        <v>4.8921309188133044</v>
      </c>
      <c r="AD19" s="46">
        <f t="shared" si="12"/>
        <v>5.064588718240568</v>
      </c>
      <c r="AE19" s="46">
        <f t="shared" si="12"/>
        <v>5.240765245583086</v>
      </c>
      <c r="AF19" s="46">
        <f t="shared" ref="AF19:BQ19" si="13">SUM(AF20:AF26)</f>
        <v>5.3055489910110278</v>
      </c>
      <c r="AG19" s="46">
        <f t="shared" si="13"/>
        <v>5.329930863422268</v>
      </c>
      <c r="AH19" s="46">
        <f t="shared" si="13"/>
        <v>5.2986449940736247</v>
      </c>
      <c r="AI19" s="46">
        <f t="shared" si="13"/>
        <v>5.2689334452480754</v>
      </c>
      <c r="AJ19" s="46">
        <f t="shared" si="13"/>
        <v>5.2685593745470589</v>
      </c>
      <c r="AK19" s="46">
        <f t="shared" si="13"/>
        <v>5.2778057164189569</v>
      </c>
      <c r="AL19" s="46">
        <f t="shared" si="13"/>
        <v>5.2297014092317742</v>
      </c>
      <c r="AM19" s="46">
        <f t="shared" si="13"/>
        <v>4.6498772773303596</v>
      </c>
      <c r="AN19" s="46">
        <f t="shared" si="13"/>
        <v>4.7497010330928822</v>
      </c>
      <c r="AO19" s="46">
        <f t="shared" si="13"/>
        <v>4.8356271674428513</v>
      </c>
      <c r="AP19" s="46">
        <f t="shared" si="13"/>
        <v>4.9218020751726783</v>
      </c>
      <c r="AQ19" s="46">
        <f t="shared" si="13"/>
        <v>5.0303535991468751</v>
      </c>
      <c r="AR19" s="46">
        <f t="shared" si="13"/>
        <v>5.1390352465128952</v>
      </c>
      <c r="AS19" s="46">
        <f t="shared" si="13"/>
        <v>5.2539395997642941</v>
      </c>
      <c r="AT19" s="46">
        <f t="shared" si="13"/>
        <v>5.3636609955601351</v>
      </c>
      <c r="AU19" s="46">
        <f t="shared" si="13"/>
        <v>5.4821410528351358</v>
      </c>
      <c r="AV19" s="46">
        <f t="shared" si="13"/>
        <v>5.5904612021626132</v>
      </c>
      <c r="AW19" s="46">
        <f t="shared" si="13"/>
        <v>5.7019704192423353</v>
      </c>
      <c r="AX19" s="46">
        <f t="shared" si="13"/>
        <v>5.8380486822427695</v>
      </c>
      <c r="AY19" s="46">
        <f t="shared" si="13"/>
        <v>5.98721572645767</v>
      </c>
      <c r="AZ19" s="46">
        <f t="shared" si="13"/>
        <v>6.1416559169920859</v>
      </c>
      <c r="BA19" s="46">
        <f t="shared" si="13"/>
        <v>6.1299159716313767</v>
      </c>
      <c r="BB19" s="46">
        <f t="shared" si="13"/>
        <v>-1.8959677229428249</v>
      </c>
      <c r="BC19" s="46">
        <f t="shared" si="13"/>
        <v>-1.8944459857416327</v>
      </c>
      <c r="BD19" s="46">
        <f t="shared" si="13"/>
        <v>-1.8932231739061078</v>
      </c>
      <c r="BE19" s="46">
        <f t="shared" si="13"/>
        <v>-1.8922866424243059</v>
      </c>
      <c r="BF19" s="46">
        <f t="shared" si="13"/>
        <v>-1.8916247042702539</v>
      </c>
      <c r="BG19" s="46">
        <f t="shared" si="13"/>
        <v>-1.8912265396246921</v>
      </c>
      <c r="BH19" s="46">
        <f t="shared" si="13"/>
        <v>-1.8895883272559257</v>
      </c>
      <c r="BI19" s="46">
        <f t="shared" si="13"/>
        <v>-1.8881809523499657</v>
      </c>
      <c r="BJ19" s="46">
        <f t="shared" si="13"/>
        <v>-1.8869954969793203</v>
      </c>
      <c r="BK19" s="46">
        <f t="shared" si="13"/>
        <v>-1.8860236445435508</v>
      </c>
      <c r="BL19" s="46">
        <f t="shared" si="13"/>
        <v>-1.8852576287007308</v>
      </c>
      <c r="BM19" s="46">
        <f t="shared" si="13"/>
        <v>-1.8825669179997582</v>
      </c>
      <c r="BN19" s="46">
        <f t="shared" si="13"/>
        <v>-1.8800712480535646</v>
      </c>
      <c r="BO19" s="46">
        <f t="shared" si="13"/>
        <v>-1.8777636520716301</v>
      </c>
      <c r="BP19" s="46">
        <f t="shared" si="13"/>
        <v>-1.875637583649894</v>
      </c>
      <c r="BQ19" s="46">
        <f t="shared" si="13"/>
        <v>-1.8736868845200325</v>
      </c>
      <c r="BT19"/>
    </row>
    <row r="20" spans="1:72" x14ac:dyDescent="0.25">
      <c r="A20" s="102" t="str">
        <f t="shared" si="2"/>
        <v>FSFAGSPQNIBDDSCM Mattle MMN2O</v>
      </c>
      <c r="B20" s="102" t="str">
        <f t="shared" ref="B20:B26" si="14">$B$5</f>
        <v>FSFAGSPQNIBDDSCM</v>
      </c>
      <c r="C20" s="102" t="s">
        <v>1336</v>
      </c>
      <c r="D20" t="str">
        <f>D18</f>
        <v>3A Livestock</v>
      </c>
      <c r="E20" t="str">
        <f>'IPCC Categories'!B20</f>
        <v>3A2 Manure management (N2O)</v>
      </c>
      <c r="F20" t="str">
        <f t="shared" ref="F20:F26" si="15">F12</f>
        <v>3A2a Cattle</v>
      </c>
      <c r="G20" t="s">
        <v>139</v>
      </c>
      <c r="H20" t="s">
        <v>287</v>
      </c>
      <c r="I20" s="28">
        <f>'Emissions summary'!F20</f>
        <v>2.3334515596574898</v>
      </c>
      <c r="J20" s="28">
        <f>'Emissions summary'!G20</f>
        <v>2.3913266020486907</v>
      </c>
      <c r="K20" s="28">
        <f>'Emissions summary'!H20</f>
        <v>2.3837489012139343</v>
      </c>
      <c r="L20" s="28">
        <f>'Emissions summary'!I20</f>
        <v>2.3538599023692135</v>
      </c>
      <c r="M20" s="28">
        <f>'Emissions summary'!J20</f>
        <v>2.2497683959178429</v>
      </c>
      <c r="N20" s="28">
        <f>'Emissions summary'!K20</f>
        <v>2.2583248814343775</v>
      </c>
      <c r="O20" s="28">
        <f>'Emissions summary'!L20</f>
        <v>2.3013624403278148</v>
      </c>
      <c r="P20" s="28">
        <f>'Emissions summary'!M20</f>
        <v>2.3439053818582685</v>
      </c>
      <c r="Q20" s="28">
        <f>'Emissions summary'!N20</f>
        <v>2.3881538701270464</v>
      </c>
      <c r="R20" s="28">
        <f>'Emissions summary'!O20</f>
        <v>2.4045249883488831</v>
      </c>
      <c r="S20" s="28">
        <f>'Emissions summary'!P20</f>
        <v>2.4217802003919431</v>
      </c>
      <c r="T20" s="28">
        <f>'Emissions summary'!Q20</f>
        <v>2.4052042445092017</v>
      </c>
      <c r="U20" s="28">
        <f>'Emissions summary'!R20</f>
        <v>2.4204844754419144</v>
      </c>
      <c r="V20" s="28">
        <f>'Emissions summary'!S20</f>
        <v>2.4261595848898265</v>
      </c>
      <c r="W20" s="28">
        <f>'Emissions summary'!T20</f>
        <v>2.4077185173815416</v>
      </c>
      <c r="X20" s="28">
        <f>'Emissions summary'!U20</f>
        <v>2.4068130130940584</v>
      </c>
      <c r="Y20" s="28">
        <f>'Emissions summary'!V20</f>
        <v>2.4140441898890113</v>
      </c>
      <c r="Z20" s="28">
        <f>'Emissions summary'!W20</f>
        <v>2.4616595203806031</v>
      </c>
      <c r="AA20" s="28">
        <f>'Emissions summary'!X20</f>
        <v>2.4413231585134629</v>
      </c>
      <c r="AB20" s="28">
        <f>'Emissions summary'!Y20</f>
        <v>2.4490820347552171</v>
      </c>
      <c r="AC20" s="28">
        <f>'Emissions summary'!Z20</f>
        <v>2.4334145229663386</v>
      </c>
      <c r="AD20" s="28">
        <f>'Emissions summary'!AA20</f>
        <v>2.5369197805494066</v>
      </c>
      <c r="AE20" s="28">
        <f>SUM('Net zero emission reductions'!K1411:K1416)</f>
        <v>2.6581961759385639</v>
      </c>
      <c r="AF20" s="28">
        <f>SUM('Net zero emission reductions'!L1411:L1416)</f>
        <v>2.686437300626868</v>
      </c>
      <c r="AG20" s="28">
        <f>SUM('Net zero emission reductions'!M1411:M1416)</f>
        <v>2.6969432886612248</v>
      </c>
      <c r="AH20" s="28">
        <f>SUM('Net zero emission reductions'!N1411:N1416)</f>
        <v>2.682998827934604</v>
      </c>
      <c r="AI20" s="28">
        <f>SUM('Net zero emission reductions'!O1411:O1416)</f>
        <v>2.6701884432062362</v>
      </c>
      <c r="AJ20" s="28">
        <f>SUM('Net zero emission reductions'!P1411:P1416)</f>
        <v>2.6708311684862776</v>
      </c>
      <c r="AK20" s="28">
        <f>SUM('Net zero emission reductions'!Q1411:Q1416)</f>
        <v>2.6758974861520692</v>
      </c>
      <c r="AL20" s="28">
        <f>SUM('Net zero emission reductions'!R1411:R1416)</f>
        <v>2.6557488861812795</v>
      </c>
      <c r="AM20" s="28">
        <f>SUM('Net zero emission reductions'!S1411:S1416)</f>
        <v>2.4009132985267922</v>
      </c>
      <c r="AN20" s="28">
        <f>SUM('Net zero emission reductions'!T1411:T1416)</f>
        <v>2.4485202858006234</v>
      </c>
      <c r="AO20" s="28">
        <f>SUM('Net zero emission reductions'!U1411:U1416)</f>
        <v>2.4900890593915137</v>
      </c>
      <c r="AP20" s="28">
        <f>SUM('Net zero emission reductions'!V1411:V1416)</f>
        <v>2.5318670866255379</v>
      </c>
      <c r="AQ20" s="28">
        <f>SUM('Net zero emission reductions'!W1411:W1416)</f>
        <v>2.5836414898354421</v>
      </c>
      <c r="AR20" s="28">
        <f>SUM('Net zero emission reductions'!X1411:X1416)</f>
        <v>2.6355743908059797</v>
      </c>
      <c r="AS20" s="28">
        <f>SUM('Net zero emission reductions'!Y1411:Y1416)</f>
        <v>2.6893913624907206</v>
      </c>
      <c r="AT20" s="28">
        <f>SUM('Net zero emission reductions'!Z1411:Z1416)</f>
        <v>2.7410095495731284</v>
      </c>
      <c r="AU20" s="28">
        <f>SUM('Net zero emission reductions'!AA1411:AA1416)</f>
        <v>2.7966005949113288</v>
      </c>
      <c r="AV20" s="28">
        <f>SUM('Net zero emission reductions'!AB1411:AB1416)</f>
        <v>2.8477844030524846</v>
      </c>
      <c r="AW20" s="28">
        <f>SUM('Net zero emission reductions'!AC1411:AC1416)</f>
        <v>2.9004723163020958</v>
      </c>
      <c r="AX20" s="28">
        <f>SUM('Net zero emission reductions'!AD1411:AD1416)</f>
        <v>2.9602174820353095</v>
      </c>
      <c r="AY20" s="28">
        <f>SUM('Net zero emission reductions'!AE1411:AE1416)</f>
        <v>3.0257684329005401</v>
      </c>
      <c r="AZ20" s="28">
        <f>SUM('Net zero emission reductions'!AF1411:AF1416)</f>
        <v>3.0936581261052982</v>
      </c>
      <c r="BA20" s="28">
        <f>SUM('Net zero emission reductions'!AG1411:AG1416)</f>
        <v>3.0881450082122424</v>
      </c>
      <c r="BB20" s="28">
        <f>SUM('Net zero emission reductions'!AH1411:AH1416)</f>
        <v>-0.45476427485742343</v>
      </c>
      <c r="BC20" s="28">
        <f>SUM('Net zero emission reductions'!AI1411:AI1416)</f>
        <v>-0.45227442706465237</v>
      </c>
      <c r="BD20" s="28">
        <f>SUM('Net zero emission reductions'!AJ1411:AJ1416)</f>
        <v>-0.44989246689235096</v>
      </c>
      <c r="BE20" s="28">
        <f>SUM('Net zero emission reductions'!AK1411:AK1416)</f>
        <v>-0.44761434692028201</v>
      </c>
      <c r="BF20" s="28">
        <f>SUM('Net zero emission reductions'!AL1411:AL1416)</f>
        <v>-0.44543631626142172</v>
      </c>
      <c r="BG20" s="28">
        <f>SUM('Net zero emission reductions'!AM1411:AM1416)</f>
        <v>-0.44335489346470186</v>
      </c>
      <c r="BH20" s="28">
        <f>SUM('Net zero emission reductions'!AN1411:AN1416)</f>
        <v>-0.44171863724181221</v>
      </c>
      <c r="BI20" s="28">
        <f>SUM('Net zero emission reductions'!AO1411:AO1416)</f>
        <v>-0.44015870831353743</v>
      </c>
      <c r="BJ20" s="28">
        <f>SUM('Net zero emission reductions'!AP1411:AP1416)</f>
        <v>-0.43867262830722087</v>
      </c>
      <c r="BK20" s="28">
        <f>SUM('Net zero emission reductions'!AQ1411:AQ1416)</f>
        <v>-0.43725808159598301</v>
      </c>
      <c r="BL20" s="28">
        <f>SUM('Net zero emission reductions'!AR1411:AR1416)</f>
        <v>-0.43591290198958366</v>
      </c>
      <c r="BM20" s="28">
        <f>SUM('Net zero emission reductions'!AS1411:AS1416)</f>
        <v>-0.43434617539814679</v>
      </c>
      <c r="BN20" s="28">
        <f>SUM('Net zero emission reductions'!AT1411:AT1416)</f>
        <v>-0.43284544913856493</v>
      </c>
      <c r="BO20" s="28">
        <f>SUM('Net zero emission reductions'!AU1411:AU1416)</f>
        <v>-0.43140882282826176</v>
      </c>
      <c r="BP20" s="28">
        <f>SUM('Net zero emission reductions'!AV1411:AV1416)</f>
        <v>-0.43003450788583886</v>
      </c>
      <c r="BQ20" s="28">
        <f>SUM('Net zero emission reductions'!AW1411:AW1416)</f>
        <v>-0.42872081928379063</v>
      </c>
    </row>
    <row r="21" spans="1:72" x14ac:dyDescent="0.25">
      <c r="A21" s="102" t="str">
        <f t="shared" si="2"/>
        <v>FSFAGSPQNIBDDSCM Sheep MMN2O</v>
      </c>
      <c r="B21" s="102" t="str">
        <f t="shared" si="14"/>
        <v>FSFAGSPQNIBDDSCM</v>
      </c>
      <c r="C21" s="103" t="s">
        <v>1329</v>
      </c>
      <c r="D21" t="str">
        <f t="shared" si="4"/>
        <v>3A Livestock</v>
      </c>
      <c r="E21" t="str">
        <f>E20</f>
        <v>3A2 Manure management (N2O)</v>
      </c>
      <c r="F21" t="str">
        <f t="shared" si="15"/>
        <v>3A2c Sheep</v>
      </c>
      <c r="G21" t="str">
        <f>G20</f>
        <v>N2O</v>
      </c>
      <c r="H21" t="str">
        <f>H20</f>
        <v>Gg N2O</v>
      </c>
      <c r="I21" s="28">
        <f>'Emissions summary'!F21</f>
        <v>0.27697977351015546</v>
      </c>
      <c r="J21" s="28">
        <f>'Emissions summary'!G21</f>
        <v>0.26452543098066184</v>
      </c>
      <c r="K21" s="28">
        <f>'Emissions summary'!H21</f>
        <v>0.25359554432458542</v>
      </c>
      <c r="L21" s="28">
        <f>'Emissions summary'!I21</f>
        <v>0.23716837739770139</v>
      </c>
      <c r="M21" s="28">
        <f>'Emissions summary'!J21</f>
        <v>0.23884065929520765</v>
      </c>
      <c r="N21" s="28">
        <f>'Emissions summary'!K21</f>
        <v>0.23542218248815072</v>
      </c>
      <c r="O21" s="28">
        <f>'Emissions summary'!L21</f>
        <v>0.23620750824112324</v>
      </c>
      <c r="P21" s="28">
        <f>'Emissions summary'!M21</f>
        <v>0.23107055390403242</v>
      </c>
      <c r="Q21" s="28">
        <f>'Emissions summary'!N21</f>
        <v>0.23170805363291622</v>
      </c>
      <c r="R21" s="28">
        <f>'Emissions summary'!O21</f>
        <v>0.22601675170549185</v>
      </c>
      <c r="S21" s="28">
        <f>'Emissions summary'!P21</f>
        <v>0.21791403776011653</v>
      </c>
      <c r="T21" s="28">
        <f>'Emissions summary'!Q21</f>
        <v>0.21248143137484779</v>
      </c>
      <c r="U21" s="28">
        <f>'Emissions summary'!R21</f>
        <v>0.20893360679671308</v>
      </c>
      <c r="V21" s="28">
        <f>'Emissions summary'!S21</f>
        <v>0.20966349779065224</v>
      </c>
      <c r="W21" s="28">
        <f>'Emissions summary'!T21</f>
        <v>0.20593089068240639</v>
      </c>
      <c r="X21" s="28">
        <f>'Emissions summary'!U21</f>
        <v>0.20544121697761175</v>
      </c>
      <c r="Y21" s="28">
        <f>'Emissions summary'!V21</f>
        <v>0.20275263116449405</v>
      </c>
      <c r="Z21" s="28">
        <f>'Emissions summary'!W21</f>
        <v>0.20255860950787735</v>
      </c>
      <c r="AA21" s="28">
        <f>'Emissions summary'!X21</f>
        <v>0.203214587489772</v>
      </c>
      <c r="AB21" s="28">
        <f>'Emissions summary'!Y21</f>
        <v>0.20249393562233842</v>
      </c>
      <c r="AC21" s="28">
        <f>'Emissions summary'!Z21</f>
        <v>0.19857654598398133</v>
      </c>
      <c r="AD21" s="28">
        <f>'Emissions summary'!AA21</f>
        <v>0.19702437273104745</v>
      </c>
      <c r="AE21" s="28">
        <f>SUM('Net zero emission reductions'!K1417:K1418)</f>
        <v>0.17985000889389441</v>
      </c>
      <c r="AF21" s="28">
        <f>SUM('Net zero emission reductions'!L1417:L1418)</f>
        <v>0.17994822344584291</v>
      </c>
      <c r="AG21" s="28">
        <f>SUM('Net zero emission reductions'!M1417:M1418)</f>
        <v>0.18016814469404097</v>
      </c>
      <c r="AH21" s="28">
        <f>SUM('Net zero emission reductions'!N1417:N1418)</f>
        <v>0.18049917234232776</v>
      </c>
      <c r="AI21" s="28">
        <f>SUM('Net zero emission reductions'!O1417:O1418)</f>
        <v>0.18094573527965066</v>
      </c>
      <c r="AJ21" s="28">
        <f>SUM('Net zero emission reductions'!P1417:P1418)</f>
        <v>0.18150830735255979</v>
      </c>
      <c r="AK21" s="28">
        <f>SUM('Net zero emission reductions'!Q1417:Q1418)</f>
        <v>0.18213498983603144</v>
      </c>
      <c r="AL21" s="28">
        <f>SUM('Net zero emission reductions'!R1417:R1418)</f>
        <v>0.18281417102554687</v>
      </c>
      <c r="AM21" s="28">
        <f>SUM('Net zero emission reductions'!S1417:S1418)</f>
        <v>0.18345240573135227</v>
      </c>
      <c r="AN21" s="28">
        <f>SUM('Net zero emission reductions'!T1417:T1418)</f>
        <v>0.18371900872696012</v>
      </c>
      <c r="AO21" s="28">
        <f>SUM('Net zero emission reductions'!U1417:U1418)</f>
        <v>0.18402836891806301</v>
      </c>
      <c r="AP21" s="28">
        <f>SUM('Net zero emission reductions'!V1417:V1418)</f>
        <v>0.18438042287238762</v>
      </c>
      <c r="AQ21" s="28">
        <f>SUM('Net zero emission reductions'!W1417:W1418)</f>
        <v>0.1847769946228508</v>
      </c>
      <c r="AR21" s="28">
        <f>SUM('Net zero emission reductions'!X1417:X1418)</f>
        <v>0.18521172653465601</v>
      </c>
      <c r="AS21" s="28">
        <f>SUM('Net zero emission reductions'!Y1417:Y1418)</f>
        <v>0.18547933718056969</v>
      </c>
      <c r="AT21" s="28">
        <f>SUM('Net zero emission reductions'!Z1417:Z1418)</f>
        <v>0.1857782637974954</v>
      </c>
      <c r="AU21" s="28">
        <f>SUM('Net zero emission reductions'!AA1417:AA1418)</f>
        <v>0.18610959117380083</v>
      </c>
      <c r="AV21" s="28">
        <f>SUM('Net zero emission reductions'!AB1417:AB1418)</f>
        <v>0.18646822866083951</v>
      </c>
      <c r="AW21" s="28">
        <f>SUM('Net zero emission reductions'!AC1417:AC1418)</f>
        <v>0.18685545859987085</v>
      </c>
      <c r="AX21" s="28">
        <f>SUM('Net zero emission reductions'!AD1417:AD1418)</f>
        <v>0.18711037928419211</v>
      </c>
      <c r="AY21" s="28">
        <f>SUM('Net zero emission reductions'!AE1417:AE1418)</f>
        <v>0.18739211369298392</v>
      </c>
      <c r="AZ21" s="28">
        <f>SUM('Net zero emission reductions'!AF1417:AF1418)</f>
        <v>0.18769812804803659</v>
      </c>
      <c r="BA21" s="28">
        <f>SUM('Net zero emission reductions'!AG1417:AG1418)</f>
        <v>0.18799377694426164</v>
      </c>
      <c r="BB21" s="28">
        <f>SUM('Net zero emission reductions'!AH1417:AH1418)</f>
        <v>0.18672978938814794</v>
      </c>
      <c r="BC21" s="28">
        <f>SUM('Net zero emission reductions'!AI1417:AI1418)</f>
        <v>0.18690929560674141</v>
      </c>
      <c r="BD21" s="28">
        <f>SUM('Net zero emission reductions'!AJ1417:AJ1418)</f>
        <v>0.18710738160812246</v>
      </c>
      <c r="BE21" s="28">
        <f>SUM('Net zero emission reductions'!AK1417:AK1418)</f>
        <v>0.18732334546368595</v>
      </c>
      <c r="BF21" s="28">
        <f>SUM('Net zero emission reductions'!AL1417:AL1418)</f>
        <v>0.1875565394995381</v>
      </c>
      <c r="BG21" s="28">
        <f>SUM('Net zero emission reductions'!AM1417:AM1418)</f>
        <v>0.18780636514813601</v>
      </c>
      <c r="BH21" s="28">
        <f>SUM('Net zero emission reductions'!AN1417:AN1418)</f>
        <v>0.18792760576197112</v>
      </c>
      <c r="BI21" s="28">
        <f>SUM('Net zero emission reductions'!AO1417:AO1418)</f>
        <v>0.18806349988568019</v>
      </c>
      <c r="BJ21" s="28">
        <f>SUM('Net zero emission reductions'!AP1417:AP1418)</f>
        <v>0.18821353754256973</v>
      </c>
      <c r="BK21" s="28">
        <f>SUM('Net zero emission reductions'!AQ1417:AQ1418)</f>
        <v>0.18837724366063202</v>
      </c>
      <c r="BL21" s="28">
        <f>SUM('Net zero emission reductions'!AR1417:AR1418)</f>
        <v>0.1885541751072215</v>
      </c>
      <c r="BM21" s="28">
        <f>SUM('Net zero emission reductions'!AS1417:AS1418)</f>
        <v>0.1885978219428624</v>
      </c>
      <c r="BN21" s="28">
        <f>SUM('Net zero emission reductions'!AT1417:AT1418)</f>
        <v>0.1886532062515249</v>
      </c>
      <c r="BO21" s="28">
        <f>SUM('Net zero emission reductions'!AU1417:AU1418)</f>
        <v>0.18871993928832259</v>
      </c>
      <c r="BP21" s="28">
        <f>SUM('Net zero emission reductions'!AV1417:AV1418)</f>
        <v>0.18879765604682219</v>
      </c>
      <c r="BQ21" s="28">
        <f>SUM('Net zero emission reductions'!AW1417:AW1418)</f>
        <v>0.18888601343351807</v>
      </c>
    </row>
    <row r="22" spans="1:72" x14ac:dyDescent="0.25">
      <c r="A22" s="102" t="str">
        <f t="shared" si="2"/>
        <v>FSFAGSPQNIBDDSCM Goats MMN2O</v>
      </c>
      <c r="B22" s="102" t="str">
        <f t="shared" si="14"/>
        <v>FSFAGSPQNIBDDSCM</v>
      </c>
      <c r="C22" s="103" t="s">
        <v>1330</v>
      </c>
      <c r="D22" t="str">
        <f t="shared" si="4"/>
        <v>3A Livestock</v>
      </c>
      <c r="E22" t="str">
        <f t="shared" si="4"/>
        <v>3A2 Manure management (N2O)</v>
      </c>
      <c r="F22" t="str">
        <f t="shared" si="15"/>
        <v>3A2d Goats</v>
      </c>
      <c r="G22" t="str">
        <f t="shared" ref="G22:H26" si="16">G21</f>
        <v>N2O</v>
      </c>
      <c r="H22" t="str">
        <f t="shared" si="16"/>
        <v>Gg N2O</v>
      </c>
      <c r="I22" s="28">
        <f>'Emissions summary'!F22</f>
        <v>0.17617782385130304</v>
      </c>
      <c r="J22" s="28">
        <f>'Emissions summary'!G22</f>
        <v>0.15579098843087474</v>
      </c>
      <c r="K22" s="28">
        <f>'Emissions summary'!H22</f>
        <v>0.14512124279027669</v>
      </c>
      <c r="L22" s="28">
        <f>'Emissions summary'!I22</f>
        <v>0.13711893355982818</v>
      </c>
      <c r="M22" s="28">
        <f>'Emissions summary'!J22</f>
        <v>0.14842378310760462</v>
      </c>
      <c r="N22" s="28">
        <f>'Emissions summary'!K22</f>
        <v>0.1504561156105757</v>
      </c>
      <c r="O22" s="28">
        <f>'Emissions summary'!L22</f>
        <v>0.15280600006713599</v>
      </c>
      <c r="P22" s="28">
        <f>'Emissions summary'!M22</f>
        <v>0.15204387537852188</v>
      </c>
      <c r="Q22" s="28">
        <f>'Emissions summary'!N22</f>
        <v>0.1498845220941151</v>
      </c>
      <c r="R22" s="28">
        <f>'Emissions summary'!O22</f>
        <v>0.14766165841899051</v>
      </c>
      <c r="S22" s="28">
        <f>'Emissions summary'!P22</f>
        <v>0.14956697014052586</v>
      </c>
      <c r="T22" s="28">
        <f>'Emissions summary'!Q22</f>
        <v>0.15413971827221074</v>
      </c>
      <c r="U22" s="28">
        <f>'Emissions summary'!R22</f>
        <v>0.14073902583074538</v>
      </c>
      <c r="V22" s="28">
        <f>'Emissions summary'!S22</f>
        <v>0.13718244395054602</v>
      </c>
      <c r="W22" s="28">
        <f>'Emissions summary'!T22</f>
        <v>0.13743648551341742</v>
      </c>
      <c r="X22" s="28">
        <f>'Emissions summary'!U22</f>
        <v>0.13565819457331774</v>
      </c>
      <c r="Y22" s="28">
        <f>'Emissions summary'!V22</f>
        <v>0.13851616215562079</v>
      </c>
      <c r="Z22" s="28">
        <f>'Emissions summary'!W22</f>
        <v>0.13438798675896085</v>
      </c>
      <c r="AA22" s="28">
        <f>'Emissions summary'!X22</f>
        <v>0.13426096597752513</v>
      </c>
      <c r="AB22" s="28">
        <f>'Emissions summary'!Y22</f>
        <v>0.13191108152096487</v>
      </c>
      <c r="AC22" s="28">
        <f>'Emissions summary'!Z22</f>
        <v>0.13032332175301872</v>
      </c>
      <c r="AD22" s="28">
        <f>'Emissions summary'!AA22</f>
        <v>0.12911662432937968</v>
      </c>
      <c r="AE22" s="28">
        <f>SUM('Net zero emission reductions'!K1419:K1420)</f>
        <v>0.12932623105786376</v>
      </c>
      <c r="AF22" s="28">
        <f>SUM('Net zero emission reductions'!L1419:L1420)</f>
        <v>0.12966354450249329</v>
      </c>
      <c r="AG22" s="28">
        <f>SUM('Net zero emission reductions'!M1419:M1420)</f>
        <v>0.13011304454712494</v>
      </c>
      <c r="AH22" s="28">
        <f>SUM('Net zero emission reductions'!N1419:N1420)</f>
        <v>0.13066473792257757</v>
      </c>
      <c r="AI22" s="28">
        <f>SUM('Net zero emission reductions'!O1419:O1420)</f>
        <v>0.13132525417196311</v>
      </c>
      <c r="AJ22" s="28">
        <f>SUM('Net zero emission reductions'!P1419:P1420)</f>
        <v>0.13209635100960287</v>
      </c>
      <c r="AK22" s="28">
        <f>SUM('Net zero emission reductions'!Q1419:Q1420)</f>
        <v>0.1329207956851168</v>
      </c>
      <c r="AL22" s="28">
        <f>SUM('Net zero emission reductions'!R1419:R1420)</f>
        <v>0.13378679931553411</v>
      </c>
      <c r="AM22" s="28">
        <f>SUM('Net zero emission reductions'!S1419:S1420)</f>
        <v>0.13459127865108902</v>
      </c>
      <c r="AN22" s="28">
        <f>SUM('Net zero emission reductions'!T1419:T1420)</f>
        <v>0.13496828217745774</v>
      </c>
      <c r="AO22" s="28">
        <f>SUM('Net zero emission reductions'!U1419:U1420)</f>
        <v>0.13538168744196216</v>
      </c>
      <c r="AP22" s="28">
        <f>SUM('Net zero emission reductions'!V1419:V1420)</f>
        <v>0.13583201906632181</v>
      </c>
      <c r="AQ22" s="28">
        <f>SUM('Net zero emission reductions'!W1419:W1420)</f>
        <v>0.13632179014159557</v>
      </c>
      <c r="AR22" s="28">
        <f>SUM('Net zero emission reductions'!X1419:X1420)</f>
        <v>0.1368444064638337</v>
      </c>
      <c r="AS22" s="28">
        <f>SUM('Net zero emission reductions'!Y1419:Y1420)</f>
        <v>0.13717474964180079</v>
      </c>
      <c r="AT22" s="28">
        <f>SUM('Net zero emission reductions'!Z1419:Z1420)</f>
        <v>0.13753216416200786</v>
      </c>
      <c r="AU22" s="28">
        <f>SUM('Net zero emission reductions'!AA1419:AA1420)</f>
        <v>0.13791812867149283</v>
      </c>
      <c r="AV22" s="28">
        <f>SUM('Net zero emission reductions'!AB1419:AB1420)</f>
        <v>0.1383273295906054</v>
      </c>
      <c r="AW22" s="28">
        <f>SUM('Net zero emission reductions'!AC1419:AC1420)</f>
        <v>0.13876140376811943</v>
      </c>
      <c r="AX22" s="28">
        <f>SUM('Net zero emission reductions'!AD1419:AD1420)</f>
        <v>0.13904569353203933</v>
      </c>
      <c r="AY22" s="28">
        <f>SUM('Net zero emission reductions'!AE1419:AE1420)</f>
        <v>0.13935400781843343</v>
      </c>
      <c r="AZ22" s="28">
        <f>SUM('Net zero emission reductions'!AF1419:AF1420)</f>
        <v>0.1396837401697624</v>
      </c>
      <c r="BA22" s="28">
        <f>SUM('Net zero emission reductions'!AG1419:AG1420)</f>
        <v>0.13999759717911334</v>
      </c>
      <c r="BB22" s="28">
        <f>SUM('Net zero emission reductions'!AH1419:AH1420)</f>
        <v>0.13862558710708447</v>
      </c>
      <c r="BC22" s="28">
        <f>SUM('Net zero emission reductions'!AI1419:AI1420)</f>
        <v>0.13880916242991143</v>
      </c>
      <c r="BD22" s="28">
        <f>SUM('Net zero emission reductions'!AJ1419:AJ1420)</f>
        <v>0.13900919804248607</v>
      </c>
      <c r="BE22" s="28">
        <f>SUM('Net zero emission reductions'!AK1419:AK1420)</f>
        <v>0.13922502547874849</v>
      </c>
      <c r="BF22" s="28">
        <f>SUM('Net zero emission reductions'!AL1419:AL1420)</f>
        <v>0.13945602812260766</v>
      </c>
      <c r="BG22" s="28">
        <f>SUM('Net zero emission reductions'!AM1419:AM1420)</f>
        <v>0.13970163624340415</v>
      </c>
      <c r="BH22" s="28">
        <f>SUM('Net zero emission reductions'!AN1419:AN1420)</f>
        <v>0.13980706313879313</v>
      </c>
      <c r="BI22" s="28">
        <f>SUM('Net zero emission reductions'!AO1419:AO1420)</f>
        <v>0.13992564762343995</v>
      </c>
      <c r="BJ22" s="28">
        <f>SUM('Net zero emission reductions'!AP1419:AP1420)</f>
        <v>0.14005689365686466</v>
      </c>
      <c r="BK22" s="28">
        <f>SUM('Net zero emission reductions'!AQ1419:AQ1420)</f>
        <v>0.14020033922813072</v>
      </c>
      <c r="BL22" s="28">
        <f>SUM('Net zero emission reductions'!AR1419:AR1420)</f>
        <v>0.14035555344043621</v>
      </c>
      <c r="BM22" s="28">
        <f>SUM('Net zero emission reductions'!AS1419:AS1420)</f>
        <v>0.14036766324419084</v>
      </c>
      <c r="BN22" s="28">
        <f>SUM('Net zero emission reductions'!AT1419:AT1420)</f>
        <v>0.14039054268582421</v>
      </c>
      <c r="BO22" s="28">
        <f>SUM('Net zero emission reductions'!AU1419:AU1420)</f>
        <v>0.14042380499461143</v>
      </c>
      <c r="BP22" s="28">
        <f>SUM('Net zero emission reductions'!AV1419:AV1420)</f>
        <v>0.14046708707361016</v>
      </c>
      <c r="BQ22" s="28">
        <f>SUM('Net zero emission reductions'!AW1419:AW1420)</f>
        <v>0.14052004766559908</v>
      </c>
    </row>
    <row r="23" spans="1:72" x14ac:dyDescent="0.25">
      <c r="A23" s="102" t="str">
        <f t="shared" si="2"/>
        <v>FSFAGSPQNIBDDSCM Horses MMN2O</v>
      </c>
      <c r="B23" s="102" t="str">
        <f t="shared" si="14"/>
        <v>FSFAGSPQNIBDDSCM</v>
      </c>
      <c r="C23" s="103" t="s">
        <v>1331</v>
      </c>
      <c r="D23" t="str">
        <f t="shared" ref="D23:E26" si="17">D22</f>
        <v>3A Livestock</v>
      </c>
      <c r="E23" t="str">
        <f t="shared" si="17"/>
        <v>3A2 Manure management (N2O)</v>
      </c>
      <c r="F23" t="str">
        <f t="shared" si="15"/>
        <v>3A2f Horses</v>
      </c>
      <c r="G23" t="str">
        <f t="shared" si="16"/>
        <v>N2O</v>
      </c>
      <c r="H23" t="str">
        <f t="shared" si="16"/>
        <v>Gg N2O</v>
      </c>
      <c r="I23" s="28" t="str">
        <f>'Emissions summary'!F23</f>
        <v>NO</v>
      </c>
      <c r="J23" s="28" t="str">
        <f>'Emissions summary'!G23</f>
        <v>NO</v>
      </c>
      <c r="K23" s="28" t="str">
        <f>'Emissions summary'!H23</f>
        <v>NO</v>
      </c>
      <c r="L23" s="28" t="str">
        <f>'Emissions summary'!I23</f>
        <v>NO</v>
      </c>
      <c r="M23" s="28" t="str">
        <f>'Emissions summary'!J23</f>
        <v>NO</v>
      </c>
      <c r="N23" s="28" t="str">
        <f>'Emissions summary'!K23</f>
        <v>NO</v>
      </c>
      <c r="O23" s="28" t="str">
        <f>'Emissions summary'!L23</f>
        <v>NO</v>
      </c>
      <c r="P23" s="28" t="str">
        <f>'Emissions summary'!M23</f>
        <v>NO</v>
      </c>
      <c r="Q23" s="28" t="str">
        <f>'Emissions summary'!N23</f>
        <v>NO</v>
      </c>
      <c r="R23" s="28" t="str">
        <f>'Emissions summary'!O23</f>
        <v>NO</v>
      </c>
      <c r="S23" s="28" t="str">
        <f>'Emissions summary'!P23</f>
        <v>NO</v>
      </c>
      <c r="T23" s="28" t="str">
        <f>'Emissions summary'!Q23</f>
        <v>NO</v>
      </c>
      <c r="U23" s="28" t="str">
        <f>'Emissions summary'!R23</f>
        <v>NO</v>
      </c>
      <c r="V23" s="28" t="str">
        <f>'Emissions summary'!S23</f>
        <v>NO</v>
      </c>
      <c r="W23" s="28" t="str">
        <f>'Emissions summary'!T23</f>
        <v>NO</v>
      </c>
      <c r="X23" s="28" t="str">
        <f>'Emissions summary'!U23</f>
        <v>NO</v>
      </c>
      <c r="Y23" s="28" t="str">
        <f>'Emissions summary'!V23</f>
        <v>NO</v>
      </c>
      <c r="Z23" s="28" t="str">
        <f>'Emissions summary'!W23</f>
        <v>NO</v>
      </c>
      <c r="AA23" s="28" t="str">
        <f>'Emissions summary'!X23</f>
        <v>NO</v>
      </c>
      <c r="AB23" s="28" t="str">
        <f>'Emissions summary'!Y23</f>
        <v>NO</v>
      </c>
      <c r="AC23" s="28" t="str">
        <f>'Emissions summary'!Z23</f>
        <v>NO</v>
      </c>
      <c r="AD23" s="28" t="str">
        <f>'Emissions summary'!AA23</f>
        <v>NO</v>
      </c>
      <c r="AE23" s="28" t="str">
        <f>'Net zero emission reductions'!K1421</f>
        <v>NO</v>
      </c>
      <c r="AF23" s="28" t="str">
        <f>'Net zero emission reductions'!L1421</f>
        <v>NO</v>
      </c>
      <c r="AG23" s="28" t="str">
        <f>'Net zero emission reductions'!M1421</f>
        <v>NO</v>
      </c>
      <c r="AH23" s="28" t="str">
        <f>'Net zero emission reductions'!N1421</f>
        <v>NO</v>
      </c>
      <c r="AI23" s="28" t="str">
        <f>'Net zero emission reductions'!O1421</f>
        <v>NO</v>
      </c>
      <c r="AJ23" s="28" t="str">
        <f>'Net zero emission reductions'!P1421</f>
        <v>NO</v>
      </c>
      <c r="AK23" s="28" t="str">
        <f>'Net zero emission reductions'!Q1421</f>
        <v>NO</v>
      </c>
      <c r="AL23" s="28" t="str">
        <f>'Net zero emission reductions'!R1421</f>
        <v>NO</v>
      </c>
      <c r="AM23" s="28" t="str">
        <f>'Net zero emission reductions'!S1421</f>
        <v>NO</v>
      </c>
      <c r="AN23" s="28" t="str">
        <f>'Net zero emission reductions'!T1421</f>
        <v>NO</v>
      </c>
      <c r="AO23" s="28" t="str">
        <f>'Net zero emission reductions'!U1421</f>
        <v>NO</v>
      </c>
      <c r="AP23" s="28" t="str">
        <f>'Net zero emission reductions'!V1421</f>
        <v>NO</v>
      </c>
      <c r="AQ23" s="28" t="str">
        <f>'Net zero emission reductions'!W1421</f>
        <v>NO</v>
      </c>
      <c r="AR23" s="28" t="str">
        <f>'Net zero emission reductions'!X1421</f>
        <v>NO</v>
      </c>
      <c r="AS23" s="28" t="str">
        <f>'Net zero emission reductions'!Y1421</f>
        <v>NO</v>
      </c>
      <c r="AT23" s="28" t="str">
        <f>'Net zero emission reductions'!Z1421</f>
        <v>NO</v>
      </c>
      <c r="AU23" s="28" t="str">
        <f>'Net zero emission reductions'!AA1421</f>
        <v>NO</v>
      </c>
      <c r="AV23" s="28" t="str">
        <f>'Net zero emission reductions'!AB1421</f>
        <v>NO</v>
      </c>
      <c r="AW23" s="28" t="str">
        <f>'Net zero emission reductions'!AC1421</f>
        <v>NO</v>
      </c>
      <c r="AX23" s="28" t="str">
        <f>'Net zero emission reductions'!AD1421</f>
        <v>NO</v>
      </c>
      <c r="AY23" s="28" t="str">
        <f>'Net zero emission reductions'!AE1421</f>
        <v>NO</v>
      </c>
      <c r="AZ23" s="28" t="str">
        <f>'Net zero emission reductions'!AF1421</f>
        <v>NO</v>
      </c>
      <c r="BA23" s="28" t="str">
        <f>'Net zero emission reductions'!AG1421</f>
        <v>NO</v>
      </c>
      <c r="BB23" s="28" t="str">
        <f>'Net zero emission reductions'!AH1421</f>
        <v>NO</v>
      </c>
      <c r="BC23" s="28" t="str">
        <f>'Net zero emission reductions'!AI1421</f>
        <v>NO</v>
      </c>
      <c r="BD23" s="28" t="str">
        <f>'Net zero emission reductions'!AJ1421</f>
        <v>NO</v>
      </c>
      <c r="BE23" s="28" t="str">
        <f>'Net zero emission reductions'!AK1421</f>
        <v>NO</v>
      </c>
      <c r="BF23" s="28" t="str">
        <f>'Net zero emission reductions'!AL1421</f>
        <v>NO</v>
      </c>
      <c r="BG23" s="28" t="str">
        <f>'Net zero emission reductions'!AM1421</f>
        <v>NO</v>
      </c>
      <c r="BH23" s="28" t="str">
        <f>'Net zero emission reductions'!AN1421</f>
        <v>NO</v>
      </c>
      <c r="BI23" s="28" t="str">
        <f>'Net zero emission reductions'!AO1421</f>
        <v>NO</v>
      </c>
      <c r="BJ23" s="28" t="str">
        <f>'Net zero emission reductions'!AP1421</f>
        <v>NO</v>
      </c>
      <c r="BK23" s="28" t="str">
        <f>'Net zero emission reductions'!AQ1421</f>
        <v>NO</v>
      </c>
      <c r="BL23" s="28" t="str">
        <f>'Net zero emission reductions'!AR1421</f>
        <v>NO</v>
      </c>
      <c r="BM23" s="28" t="str">
        <f>'Net zero emission reductions'!AS1421</f>
        <v>NO</v>
      </c>
      <c r="BN23" s="28" t="str">
        <f>'Net zero emission reductions'!AT1421</f>
        <v>NO</v>
      </c>
      <c r="BO23" s="28" t="str">
        <f>'Net zero emission reductions'!AU1421</f>
        <v>NO</v>
      </c>
      <c r="BP23" s="28" t="str">
        <f>'Net zero emission reductions'!AV1421</f>
        <v>NO</v>
      </c>
      <c r="BQ23" s="28" t="str">
        <f>'Net zero emission reductions'!AW1421</f>
        <v>NO</v>
      </c>
    </row>
    <row r="24" spans="1:72" x14ac:dyDescent="0.25">
      <c r="A24" s="102" t="str">
        <f t="shared" si="2"/>
        <v>FSFAGSPQNIBDDSCM Mules MMN2O</v>
      </c>
      <c r="B24" s="102" t="str">
        <f t="shared" si="14"/>
        <v>FSFAGSPQNIBDDSCM</v>
      </c>
      <c r="C24" s="103" t="s">
        <v>1332</v>
      </c>
      <c r="D24" t="str">
        <f t="shared" si="17"/>
        <v>3A Livestock</v>
      </c>
      <c r="E24" t="str">
        <f t="shared" si="17"/>
        <v>3A2 Manure management (N2O)</v>
      </c>
      <c r="F24" t="str">
        <f t="shared" si="15"/>
        <v>3A2g Mules &amp; asses</v>
      </c>
      <c r="G24" t="str">
        <f t="shared" si="16"/>
        <v>N2O</v>
      </c>
      <c r="H24" t="str">
        <f t="shared" si="16"/>
        <v>Gg N2O</v>
      </c>
      <c r="I24" s="28" t="str">
        <f>'Emissions summary'!F24</f>
        <v>NO</v>
      </c>
      <c r="J24" s="28" t="str">
        <f>'Emissions summary'!G24</f>
        <v>NO</v>
      </c>
      <c r="K24" s="28" t="str">
        <f>'Emissions summary'!H24</f>
        <v>NO</v>
      </c>
      <c r="L24" s="28" t="str">
        <f>'Emissions summary'!I24</f>
        <v>NO</v>
      </c>
      <c r="M24" s="28" t="str">
        <f>'Emissions summary'!J24</f>
        <v>NO</v>
      </c>
      <c r="N24" s="28" t="str">
        <f>'Emissions summary'!K24</f>
        <v>NO</v>
      </c>
      <c r="O24" s="28" t="str">
        <f>'Emissions summary'!L24</f>
        <v>NO</v>
      </c>
      <c r="P24" s="28" t="str">
        <f>'Emissions summary'!M24</f>
        <v>NO</v>
      </c>
      <c r="Q24" s="28" t="str">
        <f>'Emissions summary'!N24</f>
        <v>NO</v>
      </c>
      <c r="R24" s="28" t="str">
        <f>'Emissions summary'!O24</f>
        <v>NO</v>
      </c>
      <c r="S24" s="28" t="str">
        <f>'Emissions summary'!P24</f>
        <v>NO</v>
      </c>
      <c r="T24" s="28" t="str">
        <f>'Emissions summary'!Q24</f>
        <v>NO</v>
      </c>
      <c r="U24" s="28" t="str">
        <f>'Emissions summary'!R24</f>
        <v>NO</v>
      </c>
      <c r="V24" s="28" t="str">
        <f>'Emissions summary'!S24</f>
        <v>NO</v>
      </c>
      <c r="W24" s="28" t="str">
        <f>'Emissions summary'!T24</f>
        <v>NO</v>
      </c>
      <c r="X24" s="28" t="str">
        <f>'Emissions summary'!U24</f>
        <v>NO</v>
      </c>
      <c r="Y24" s="28" t="str">
        <f>'Emissions summary'!V24</f>
        <v>NO</v>
      </c>
      <c r="Z24" s="28" t="str">
        <f>'Emissions summary'!W24</f>
        <v>NO</v>
      </c>
      <c r="AA24" s="28" t="str">
        <f>'Emissions summary'!X24</f>
        <v>NO</v>
      </c>
      <c r="AB24" s="28" t="str">
        <f>'Emissions summary'!Y24</f>
        <v>NO</v>
      </c>
      <c r="AC24" s="28" t="str">
        <f>'Emissions summary'!Z24</f>
        <v>NO</v>
      </c>
      <c r="AD24" s="28" t="str">
        <f>'Emissions summary'!AA24</f>
        <v>NO</v>
      </c>
      <c r="AE24" s="28" t="str">
        <f>'Net zero emission reductions'!K1422</f>
        <v>NO</v>
      </c>
      <c r="AF24" s="28" t="str">
        <f>'Net zero emission reductions'!L1422</f>
        <v>NO</v>
      </c>
      <c r="AG24" s="28" t="str">
        <f>'Net zero emission reductions'!M1422</f>
        <v>NO</v>
      </c>
      <c r="AH24" s="28" t="str">
        <f>'Net zero emission reductions'!N1422</f>
        <v>NO</v>
      </c>
      <c r="AI24" s="28" t="str">
        <f>'Net zero emission reductions'!O1422</f>
        <v>NO</v>
      </c>
      <c r="AJ24" s="28" t="str">
        <f>'Net zero emission reductions'!P1422</f>
        <v>NO</v>
      </c>
      <c r="AK24" s="28" t="str">
        <f>'Net zero emission reductions'!Q1422</f>
        <v>NO</v>
      </c>
      <c r="AL24" s="28" t="str">
        <f>'Net zero emission reductions'!R1422</f>
        <v>NO</v>
      </c>
      <c r="AM24" s="28" t="str">
        <f>'Net zero emission reductions'!S1422</f>
        <v>NO</v>
      </c>
      <c r="AN24" s="28" t="str">
        <f>'Net zero emission reductions'!T1422</f>
        <v>NO</v>
      </c>
      <c r="AO24" s="28" t="str">
        <f>'Net zero emission reductions'!U1422</f>
        <v>NO</v>
      </c>
      <c r="AP24" s="28" t="str">
        <f>'Net zero emission reductions'!V1422</f>
        <v>NO</v>
      </c>
      <c r="AQ24" s="28" t="str">
        <f>'Net zero emission reductions'!W1422</f>
        <v>NO</v>
      </c>
      <c r="AR24" s="28" t="str">
        <f>'Net zero emission reductions'!X1422</f>
        <v>NO</v>
      </c>
      <c r="AS24" s="28" t="str">
        <f>'Net zero emission reductions'!Y1422</f>
        <v>NO</v>
      </c>
      <c r="AT24" s="28" t="str">
        <f>'Net zero emission reductions'!Z1422</f>
        <v>NO</v>
      </c>
      <c r="AU24" s="28" t="str">
        <f>'Net zero emission reductions'!AA1422</f>
        <v>NO</v>
      </c>
      <c r="AV24" s="28" t="str">
        <f>'Net zero emission reductions'!AB1422</f>
        <v>NO</v>
      </c>
      <c r="AW24" s="28" t="str">
        <f>'Net zero emission reductions'!AC1422</f>
        <v>NO</v>
      </c>
      <c r="AX24" s="28" t="str">
        <f>'Net zero emission reductions'!AD1422</f>
        <v>NO</v>
      </c>
      <c r="AY24" s="28" t="str">
        <f>'Net zero emission reductions'!AE1422</f>
        <v>NO</v>
      </c>
      <c r="AZ24" s="28" t="str">
        <f>'Net zero emission reductions'!AF1422</f>
        <v>NO</v>
      </c>
      <c r="BA24" s="28" t="str">
        <f>'Net zero emission reductions'!AG1422</f>
        <v>NO</v>
      </c>
      <c r="BB24" s="28" t="str">
        <f>'Net zero emission reductions'!AH1422</f>
        <v>NO</v>
      </c>
      <c r="BC24" s="28" t="str">
        <f>'Net zero emission reductions'!AI1422</f>
        <v>NO</v>
      </c>
      <c r="BD24" s="28" t="str">
        <f>'Net zero emission reductions'!AJ1422</f>
        <v>NO</v>
      </c>
      <c r="BE24" s="28" t="str">
        <f>'Net zero emission reductions'!AK1422</f>
        <v>NO</v>
      </c>
      <c r="BF24" s="28" t="str">
        <f>'Net zero emission reductions'!AL1422</f>
        <v>NO</v>
      </c>
      <c r="BG24" s="28" t="str">
        <f>'Net zero emission reductions'!AM1422</f>
        <v>NO</v>
      </c>
      <c r="BH24" s="28" t="str">
        <f>'Net zero emission reductions'!AN1422</f>
        <v>NO</v>
      </c>
      <c r="BI24" s="28" t="str">
        <f>'Net zero emission reductions'!AO1422</f>
        <v>NO</v>
      </c>
      <c r="BJ24" s="28" t="str">
        <f>'Net zero emission reductions'!AP1422</f>
        <v>NO</v>
      </c>
      <c r="BK24" s="28" t="str">
        <f>'Net zero emission reductions'!AQ1422</f>
        <v>NO</v>
      </c>
      <c r="BL24" s="28" t="str">
        <f>'Net zero emission reductions'!AR1422</f>
        <v>NO</v>
      </c>
      <c r="BM24" s="28" t="str">
        <f>'Net zero emission reductions'!AS1422</f>
        <v>NO</v>
      </c>
      <c r="BN24" s="28" t="str">
        <f>'Net zero emission reductions'!AT1422</f>
        <v>NO</v>
      </c>
      <c r="BO24" s="28" t="str">
        <f>'Net zero emission reductions'!AU1422</f>
        <v>NO</v>
      </c>
      <c r="BP24" s="28" t="str">
        <f>'Net zero emission reductions'!AV1422</f>
        <v>NO</v>
      </c>
      <c r="BQ24" s="28" t="str">
        <f>'Net zero emission reductions'!AW1422</f>
        <v>NO</v>
      </c>
    </row>
    <row r="25" spans="1:72" x14ac:dyDescent="0.25">
      <c r="A25" s="102" t="str">
        <f t="shared" si="2"/>
        <v>FSFAGSPQNIBDDSCM Swine MMN2O</v>
      </c>
      <c r="B25" s="102" t="str">
        <f t="shared" si="14"/>
        <v>FSFAGSPQNIBDDSCM</v>
      </c>
      <c r="C25" s="103" t="s">
        <v>1234</v>
      </c>
      <c r="D25" t="str">
        <f t="shared" si="17"/>
        <v>3A Livestock</v>
      </c>
      <c r="E25" t="str">
        <f t="shared" si="17"/>
        <v>3A2 Manure management (N2O)</v>
      </c>
      <c r="F25" t="str">
        <f t="shared" si="15"/>
        <v>3A2h Swine</v>
      </c>
      <c r="G25" t="str">
        <f t="shared" si="16"/>
        <v>N2O</v>
      </c>
      <c r="H25" t="str">
        <f t="shared" si="16"/>
        <v>Gg N2O</v>
      </c>
      <c r="I25" s="28">
        <f>'Emissions summary'!F25</f>
        <v>0.12329867623327949</v>
      </c>
      <c r="J25" s="28">
        <f>'Emissions summary'!G25</f>
        <v>0.13470623092415376</v>
      </c>
      <c r="K25" s="28">
        <f>'Emissions summary'!H25</f>
        <v>0.13381627984897917</v>
      </c>
      <c r="L25" s="28">
        <f>'Emissions summary'!I25</f>
        <v>0.13373537520578149</v>
      </c>
      <c r="M25" s="28">
        <f>'Emissions summary'!J25</f>
        <v>0.12702028982037319</v>
      </c>
      <c r="N25" s="28">
        <f>'Emissions summary'!K25</f>
        <v>0.12823385946833857</v>
      </c>
      <c r="O25" s="28">
        <f>'Emissions summary'!L25</f>
        <v>0.13810422593845673</v>
      </c>
      <c r="P25" s="28">
        <f>'Emissions summary'!M25</f>
        <v>0.13745698879287524</v>
      </c>
      <c r="Q25" s="28">
        <f>'Emissions summary'!N25</f>
        <v>0.14045046059118976</v>
      </c>
      <c r="R25" s="28">
        <f>'Emissions summary'!O25</f>
        <v>0.14401026489188812</v>
      </c>
      <c r="S25" s="28">
        <f>'Emissions summary'!P25</f>
        <v>0.13324994734659534</v>
      </c>
      <c r="T25" s="28">
        <f>'Emissions summary'!Q25</f>
        <v>0.13575799128572374</v>
      </c>
      <c r="U25" s="28">
        <f>'Emissions summary'!R25</f>
        <v>0.1383469398680498</v>
      </c>
      <c r="V25" s="28">
        <f>'Emissions summary'!S25</f>
        <v>0.1345444216377584</v>
      </c>
      <c r="W25" s="28">
        <f>'Emissions summary'!T25</f>
        <v>0.1345444216377584</v>
      </c>
      <c r="X25" s="28">
        <f>'Emissions summary'!U25</f>
        <v>0.1335735659193861</v>
      </c>
      <c r="Y25" s="28">
        <f>'Emissions summary'!V25</f>
        <v>0.13122733126665309</v>
      </c>
      <c r="Z25" s="28">
        <f>'Emissions summary'!W25</f>
        <v>0.1335735659193861</v>
      </c>
      <c r="AA25" s="28">
        <f>'Emissions summary'!X25</f>
        <v>0.13066099876426929</v>
      </c>
      <c r="AB25" s="28">
        <f>'Emissions summary'!Y25</f>
        <v>0.13049918947787389</v>
      </c>
      <c r="AC25" s="28">
        <f>'Emissions summary'!Z25</f>
        <v>0.12896200125711779</v>
      </c>
      <c r="AD25" s="28">
        <f>'Emissions summary'!AA25</f>
        <v>0.12815295482514089</v>
      </c>
      <c r="AE25" s="28">
        <f>SUM('Net zero emission reductions'!K1423:K1424)</f>
        <v>0.13663462071079652</v>
      </c>
      <c r="AF25" s="28">
        <f>SUM('Net zero emission reductions'!L1423:L1424)</f>
        <v>0.13620335214857587</v>
      </c>
      <c r="AG25" s="28">
        <f>SUM('Net zero emission reductions'!M1423:M1424)</f>
        <v>0.13477715026279893</v>
      </c>
      <c r="AH25" s="28">
        <f>SUM('Net zero emission reductions'!N1423:N1424)</f>
        <v>0.1320079948269629</v>
      </c>
      <c r="AI25" s="28">
        <f>SUM('Net zero emission reductions'!O1423:O1424)</f>
        <v>0.12935999973035606</v>
      </c>
      <c r="AJ25" s="28">
        <f>SUM('Net zero emission reductions'!P1423:P1424)</f>
        <v>0.12750239715399084</v>
      </c>
      <c r="AK25" s="28">
        <f>SUM('Net zero emission reductions'!Q1423:Q1424)</f>
        <v>0.12592916271494078</v>
      </c>
      <c r="AL25" s="28">
        <f>SUM('Net zero emission reductions'!R1423:R1424)</f>
        <v>0.12303221749539608</v>
      </c>
      <c r="AM25" s="28">
        <f>SUM('Net zero emission reductions'!S1423:S1424)</f>
        <v>0.10770538985941086</v>
      </c>
      <c r="AN25" s="28">
        <f>SUM('Net zero emission reductions'!T1423:T1424)</f>
        <v>0.10838981378689727</v>
      </c>
      <c r="AO25" s="28">
        <f>SUM('Net zero emission reductions'!U1423:U1424)</f>
        <v>0.10873336655844666</v>
      </c>
      <c r="AP25" s="28">
        <f>SUM('Net zero emission reductions'!V1423:V1424)</f>
        <v>0.10906736710084999</v>
      </c>
      <c r="AQ25" s="28">
        <f>SUM('Net zero emission reductions'!W1423:W1424)</f>
        <v>0.10988319766317196</v>
      </c>
      <c r="AR25" s="28">
        <f>SUM('Net zero emission reductions'!X1423:X1424)</f>
        <v>0.11067160136943814</v>
      </c>
      <c r="AS25" s="28">
        <f>SUM('Net zero emission reductions'!Y1423:Y1424)</f>
        <v>0.11157610240824042</v>
      </c>
      <c r="AT25" s="28">
        <f>SUM('Net zero emission reductions'!Z1423:Z1424)</f>
        <v>0.11233529391753783</v>
      </c>
      <c r="AU25" s="28">
        <f>SUM('Net zero emission reductions'!AA1423:AA1424)</f>
        <v>0.11324766548930251</v>
      </c>
      <c r="AV25" s="28">
        <f>SUM('Net zero emission reductions'!AB1423:AB1424)</f>
        <v>0.11391181956840238</v>
      </c>
      <c r="AW25" s="28">
        <f>SUM('Net zero emission reductions'!AC1423:AC1424)</f>
        <v>0.11461045150435145</v>
      </c>
      <c r="AX25" s="28">
        <f>SUM('Net zero emission reductions'!AD1423:AD1424)</f>
        <v>0.11589903885376016</v>
      </c>
      <c r="AY25" s="28">
        <f>SUM('Net zero emission reductions'!AE1423:AE1424)</f>
        <v>0.11740431925293365</v>
      </c>
      <c r="AZ25" s="28">
        <f>SUM('Net zero emission reductions'!AF1423:AF1424)</f>
        <v>0.118962013141894</v>
      </c>
      <c r="BA25" s="28">
        <f>SUM('Net zero emission reductions'!AG1423:AG1424)</f>
        <v>0.11721130414982178</v>
      </c>
      <c r="BB25" s="28">
        <f>SUM('Net zero emission reductions'!AH1423:AH1424)</f>
        <v>-3.9547968235350298E-2</v>
      </c>
      <c r="BC25" s="28">
        <f>SUM('Net zero emission reductions'!AI1423:AI1424)</f>
        <v>-3.9115377340216924E-2</v>
      </c>
      <c r="BD25" s="28">
        <f>SUM('Net zero emission reductions'!AJ1423:AJ1424)</f>
        <v>-3.8692051926683776E-2</v>
      </c>
      <c r="BE25" s="28">
        <f>SUM('Net zero emission reductions'!AK1423:AK1424)</f>
        <v>-3.8277385858590272E-2</v>
      </c>
      <c r="BF25" s="28">
        <f>SUM('Net zero emission reductions'!AL1423:AL1424)</f>
        <v>-3.7870817381134417E-2</v>
      </c>
      <c r="BG25" s="28">
        <f>SUM('Net zero emission reductions'!AM1423:AM1424)</f>
        <v>-3.7471824828937864E-2</v>
      </c>
      <c r="BH25" s="28">
        <f>SUM('Net zero emission reductions'!AN1423:AN1424)</f>
        <v>-3.7034209495393836E-2</v>
      </c>
      <c r="BI25" s="28">
        <f>SUM('Net zero emission reductions'!AO1423:AO1424)</f>
        <v>-3.6604309938073204E-2</v>
      </c>
      <c r="BJ25" s="28">
        <f>SUM('Net zero emission reductions'!AP1423:AP1424)</f>
        <v>-3.6181675520355561E-2</v>
      </c>
      <c r="BK25" s="28">
        <f>SUM('Net zero emission reductions'!AQ1423:AQ1424)</f>
        <v>-3.5765885040208292E-2</v>
      </c>
      <c r="BL25" s="28">
        <f>SUM('Net zero emission reductions'!AR1423:AR1424)</f>
        <v>-3.5356544186963872E-2</v>
      </c>
      <c r="BM25" s="28">
        <f>SUM('Net zero emission reductions'!AS1423:AS1424)</f>
        <v>-3.4910454296527359E-2</v>
      </c>
      <c r="BN25" s="28">
        <f>SUM('Net zero emission reductions'!AT1423:AT1424)</f>
        <v>-3.4471177820794771E-2</v>
      </c>
      <c r="BO25" s="28">
        <f>SUM('Net zero emission reductions'!AU1423:AU1424)</f>
        <v>-3.4038364048368186E-2</v>
      </c>
      <c r="BP25" s="28">
        <f>SUM('Net zero emission reductions'!AV1423:AV1424)</f>
        <v>-3.3611682989106294E-2</v>
      </c>
      <c r="BQ25" s="28">
        <f>SUM('Net zero emission reductions'!AW1423:AW1424)</f>
        <v>-3.3190823758547885E-2</v>
      </c>
    </row>
    <row r="26" spans="1:72" x14ac:dyDescent="0.25">
      <c r="A26" s="102" t="str">
        <f t="shared" si="2"/>
        <v>FSFAGSPQNIBDDSCM Poultry MMN2O</v>
      </c>
      <c r="B26" s="102" t="str">
        <f t="shared" si="14"/>
        <v>FSFAGSPQNIBDDSCM</v>
      </c>
      <c r="C26" s="103" t="s">
        <v>1235</v>
      </c>
      <c r="D26" t="str">
        <f t="shared" si="17"/>
        <v>3A Livestock</v>
      </c>
      <c r="E26" t="str">
        <f t="shared" si="17"/>
        <v>3A2 Manure management (N2O)</v>
      </c>
      <c r="F26" t="str">
        <f t="shared" si="15"/>
        <v>3A2i Poultry</v>
      </c>
      <c r="G26" t="str">
        <f t="shared" si="16"/>
        <v>N2O</v>
      </c>
      <c r="H26" t="str">
        <f t="shared" si="16"/>
        <v>Gg N2O</v>
      </c>
      <c r="I26" s="28">
        <f>'Emissions summary'!F26</f>
        <v>0.97142643116498173</v>
      </c>
      <c r="J26" s="28">
        <f>'Emissions summary'!G26</f>
        <v>0.91979947773956539</v>
      </c>
      <c r="K26" s="28">
        <f>'Emissions summary'!H26</f>
        <v>0.86996640861962027</v>
      </c>
      <c r="L26" s="28">
        <f>'Emissions summary'!I26</f>
        <v>0.95105089689588118</v>
      </c>
      <c r="M26" s="28">
        <f>'Emissions summary'!J26</f>
        <v>0.93558760332506563</v>
      </c>
      <c r="N26" s="28">
        <f>'Emissions summary'!K26</f>
        <v>1.0610980244624493</v>
      </c>
      <c r="O26" s="28">
        <f>'Emissions summary'!L26</f>
        <v>1.2124779056940209</v>
      </c>
      <c r="P26" s="28">
        <f>'Emissions summary'!M26</f>
        <v>1.2310774331909755</v>
      </c>
      <c r="Q26" s="28">
        <f>'Emissions summary'!N26</f>
        <v>1.3553349187397734</v>
      </c>
      <c r="R26" s="28">
        <f>'Emissions summary'!O26</f>
        <v>1.4216688462228295</v>
      </c>
      <c r="S26" s="28">
        <f>'Emissions summary'!P26</f>
        <v>1.5047428388913393</v>
      </c>
      <c r="T26" s="28">
        <f>'Emissions summary'!Q26</f>
        <v>1.4682944579243469</v>
      </c>
      <c r="U26" s="28">
        <f>'Emissions summary'!R26</f>
        <v>1.5974517753633082</v>
      </c>
      <c r="V26" s="28">
        <f>'Emissions summary'!S26</f>
        <v>1.5216968274171625</v>
      </c>
      <c r="W26" s="28">
        <f>'Emissions summary'!T26</f>
        <v>1.561402779749649</v>
      </c>
      <c r="X26" s="28">
        <f>'Emissions summary'!U26</f>
        <v>1.715924170745724</v>
      </c>
      <c r="Y26" s="28">
        <f>'Emissions summary'!V26</f>
        <v>1.8445047156055465</v>
      </c>
      <c r="Z26" s="28">
        <f>'Emissions summary'!W26</f>
        <v>1.9478096113399568</v>
      </c>
      <c r="AA26" s="28">
        <f>'Emissions summary'!X26</f>
        <v>2.0569289282113736</v>
      </c>
      <c r="AB26" s="28">
        <f>'Emissions summary'!Y26</f>
        <v>1.9474443632124327</v>
      </c>
      <c r="AC26" s="28">
        <f>'Emissions summary'!Z26</f>
        <v>2.0008545268528479</v>
      </c>
      <c r="AD26" s="28">
        <f>'Emissions summary'!AA26</f>
        <v>2.0733749858055939</v>
      </c>
      <c r="AE26" s="28">
        <f>SUM('Net zero emission reductions'!K1425:K1428)</f>
        <v>2.1367582089819672</v>
      </c>
      <c r="AF26" s="28">
        <f>SUM('Net zero emission reductions'!L1425:L1428)</f>
        <v>2.1732965702872482</v>
      </c>
      <c r="AG26" s="28">
        <f>SUM('Net zero emission reductions'!M1425:M1428)</f>
        <v>2.1879292352570783</v>
      </c>
      <c r="AH26" s="28">
        <f>SUM('Net zero emission reductions'!N1425:N1428)</f>
        <v>2.1724742610471526</v>
      </c>
      <c r="AI26" s="28">
        <f>SUM('Net zero emission reductions'!O1425:O1428)</f>
        <v>2.1571140128598696</v>
      </c>
      <c r="AJ26" s="28">
        <f>SUM('Net zero emission reductions'!P1425:P1428)</f>
        <v>2.1566211505446278</v>
      </c>
      <c r="AK26" s="28">
        <f>SUM('Net zero emission reductions'!Q1425:Q1428)</f>
        <v>2.1609232820307986</v>
      </c>
      <c r="AL26" s="28">
        <f>SUM('Net zero emission reductions'!R1425:R1428)</f>
        <v>2.1343193352140171</v>
      </c>
      <c r="AM26" s="28">
        <f>SUM('Net zero emission reductions'!S1425:S1428)</f>
        <v>1.823214904561715</v>
      </c>
      <c r="AN26" s="28">
        <f>SUM('Net zero emission reductions'!T1425:T1428)</f>
        <v>1.8741036426009441</v>
      </c>
      <c r="AO26" s="28">
        <f>SUM('Net zero emission reductions'!U1425:U1428)</f>
        <v>1.9173946851328654</v>
      </c>
      <c r="AP26" s="28">
        <f>SUM('Net zero emission reductions'!V1425:V1428)</f>
        <v>1.9606551795075804</v>
      </c>
      <c r="AQ26" s="28">
        <f>SUM('Net zero emission reductions'!W1425:W1428)</f>
        <v>2.015730126883815</v>
      </c>
      <c r="AR26" s="28">
        <f>SUM('Net zero emission reductions'!X1425:X1428)</f>
        <v>2.070733121338987</v>
      </c>
      <c r="AS26" s="28">
        <f>SUM('Net zero emission reductions'!Y1425:Y1428)</f>
        <v>2.130318048042962</v>
      </c>
      <c r="AT26" s="28">
        <f>SUM('Net zero emission reductions'!Z1425:Z1428)</f>
        <v>2.1870057241099659</v>
      </c>
      <c r="AU26" s="28">
        <f>SUM('Net zero emission reductions'!AA1425:AA1428)</f>
        <v>2.2482650725892106</v>
      </c>
      <c r="AV26" s="28">
        <f>SUM('Net zero emission reductions'!AB1425:AB1428)</f>
        <v>2.3039694212902808</v>
      </c>
      <c r="AW26" s="28">
        <f>SUM('Net zero emission reductions'!AC1425:AC1428)</f>
        <v>2.3612707890678974</v>
      </c>
      <c r="AX26" s="28">
        <f>SUM('Net zero emission reductions'!AD1425:AD1428)</f>
        <v>2.4357760885374691</v>
      </c>
      <c r="AY26" s="28">
        <f>SUM('Net zero emission reductions'!AE1425:AE1428)</f>
        <v>2.517296852792779</v>
      </c>
      <c r="AZ26" s="28">
        <f>SUM('Net zero emission reductions'!AF1425:AF1428)</f>
        <v>2.6016539095270943</v>
      </c>
      <c r="BA26" s="28">
        <f>SUM('Net zero emission reductions'!AG1425:AG1428)</f>
        <v>2.5965682851459375</v>
      </c>
      <c r="BB26" s="28">
        <f>SUM('Net zero emission reductions'!AH1425:AH1428)</f>
        <v>-1.7270108563452835</v>
      </c>
      <c r="BC26" s="28">
        <f>SUM('Net zero emission reductions'!AI1425:AI1428)</f>
        <v>-1.7287746393734162</v>
      </c>
      <c r="BD26" s="28">
        <f>SUM('Net zero emission reductions'!AJ1425:AJ1428)</f>
        <v>-1.7307552347376816</v>
      </c>
      <c r="BE26" s="28">
        <f>SUM('Net zero emission reductions'!AK1425:AK1428)</f>
        <v>-1.732943280587868</v>
      </c>
      <c r="BF26" s="28">
        <f>SUM('Net zero emission reductions'!AL1425:AL1428)</f>
        <v>-1.7353301382498436</v>
      </c>
      <c r="BG26" s="28">
        <f>SUM('Net zero emission reductions'!AM1425:AM1428)</f>
        <v>-1.7379078227225926</v>
      </c>
      <c r="BH26" s="28">
        <f>SUM('Net zero emission reductions'!AN1425:AN1428)</f>
        <v>-1.7385701494194841</v>
      </c>
      <c r="BI26" s="28">
        <f>SUM('Net zero emission reductions'!AO1425:AO1428)</f>
        <v>-1.7394070816074751</v>
      </c>
      <c r="BJ26" s="28">
        <f>SUM('Net zero emission reductions'!AP1425:AP1428)</f>
        <v>-1.7404116243511782</v>
      </c>
      <c r="BK26" s="28">
        <f>SUM('Net zero emission reductions'!AQ1425:AQ1428)</f>
        <v>-1.7415772607961222</v>
      </c>
      <c r="BL26" s="28">
        <f>SUM('Net zero emission reductions'!AR1425:AR1428)</f>
        <v>-1.742897911071841</v>
      </c>
      <c r="BM26" s="28">
        <f>SUM('Net zero emission reductions'!AS1425:AS1428)</f>
        <v>-1.7422757734921372</v>
      </c>
      <c r="BN26" s="28">
        <f>SUM('Net zero emission reductions'!AT1425:AT1428)</f>
        <v>-1.741798370031554</v>
      </c>
      <c r="BO26" s="28">
        <f>SUM('Net zero emission reductions'!AU1425:AU1428)</f>
        <v>-1.7414602094779341</v>
      </c>
      <c r="BP26" s="28">
        <f>SUM('Net zero emission reductions'!AV1425:AV1428)</f>
        <v>-1.7412561358953811</v>
      </c>
      <c r="BQ26" s="28">
        <f>SUM('Net zero emission reductions'!AW1425:AW1428)</f>
        <v>-1.7411813025768113</v>
      </c>
    </row>
    <row r="27" spans="1:72" s="19" customFormat="1" ht="15.75" x14ac:dyDescent="0.25">
      <c r="A27" s="104"/>
      <c r="B27" s="104"/>
      <c r="C27" s="104"/>
      <c r="D27" s="19" t="str">
        <f>'IPCC Categories'!A59</f>
        <v>3C Aggregated and non-CO2 emissions on land</v>
      </c>
      <c r="E27" s="19" t="str">
        <f>'IPCC Categories'!B59</f>
        <v>3C1 Biomass burning (CH4)</v>
      </c>
      <c r="F27" s="19" t="s">
        <v>148</v>
      </c>
      <c r="G27" s="19" t="s">
        <v>121</v>
      </c>
      <c r="H27" s="19" t="s">
        <v>286</v>
      </c>
      <c r="I27" s="47">
        <f>SUM(I28:I33)</f>
        <v>53.0453492171862</v>
      </c>
      <c r="J27" s="47">
        <f t="shared" ref="J27:AE27" si="18">SUM(J28:J33)</f>
        <v>53.0453492171862</v>
      </c>
      <c r="K27" s="47">
        <f t="shared" si="18"/>
        <v>53.0453492171862</v>
      </c>
      <c r="L27" s="47">
        <f t="shared" si="18"/>
        <v>53.0453492171862</v>
      </c>
      <c r="M27" s="47">
        <f t="shared" si="18"/>
        <v>53.0453492171862</v>
      </c>
      <c r="N27" s="47">
        <f t="shared" si="18"/>
        <v>53.0453492171862</v>
      </c>
      <c r="O27" s="47">
        <f t="shared" si="18"/>
        <v>53.0453492171862</v>
      </c>
      <c r="P27" s="47">
        <f t="shared" si="18"/>
        <v>53.0453492171862</v>
      </c>
      <c r="Q27" s="47">
        <f t="shared" si="18"/>
        <v>53.0453492171862</v>
      </c>
      <c r="R27" s="47">
        <f t="shared" si="18"/>
        <v>53.0453492171862</v>
      </c>
      <c r="S27" s="47">
        <f t="shared" si="18"/>
        <v>52.546557109309774</v>
      </c>
      <c r="T27" s="47">
        <f t="shared" si="18"/>
        <v>61.073892579993647</v>
      </c>
      <c r="U27" s="47">
        <f t="shared" si="18"/>
        <v>61.377028794942774</v>
      </c>
      <c r="V27" s="47">
        <f t="shared" si="18"/>
        <v>48.163551471837515</v>
      </c>
      <c r="W27" s="47">
        <f t="shared" si="18"/>
        <v>42.065716129847253</v>
      </c>
      <c r="X27" s="47">
        <f t="shared" si="18"/>
        <v>67.254014225099425</v>
      </c>
      <c r="Y27" s="47">
        <f t="shared" si="18"/>
        <v>58.899233231775128</v>
      </c>
      <c r="Z27" s="47">
        <f t="shared" si="18"/>
        <v>58.027482006018275</v>
      </c>
      <c r="AA27" s="47">
        <f t="shared" si="18"/>
        <v>54.279261632604765</v>
      </c>
      <c r="AB27" s="47">
        <f t="shared" si="18"/>
        <v>51.374827411779322</v>
      </c>
      <c r="AC27" s="47">
        <f t="shared" si="18"/>
        <v>52.716909833999999</v>
      </c>
      <c r="AD27" s="47">
        <f t="shared" si="18"/>
        <v>52.066398634182001</v>
      </c>
      <c r="AE27" s="47">
        <f t="shared" si="18"/>
        <v>43.638049727653843</v>
      </c>
      <c r="AF27" s="47">
        <f t="shared" ref="AF27:BQ27" si="19">SUM(AF28:AF33)</f>
        <v>45.605203762152264</v>
      </c>
      <c r="AG27" s="47">
        <f t="shared" si="19"/>
        <v>44.965256516650697</v>
      </c>
      <c r="AH27" s="47">
        <f t="shared" si="19"/>
        <v>44.370632311149102</v>
      </c>
      <c r="AI27" s="47">
        <f t="shared" si="19"/>
        <v>44.847337385647528</v>
      </c>
      <c r="AJ27" s="47">
        <f t="shared" si="19"/>
        <v>45.270823420145945</v>
      </c>
      <c r="AK27" s="47">
        <f t="shared" si="19"/>
        <v>45.390629294644363</v>
      </c>
      <c r="AL27" s="47">
        <f t="shared" si="19"/>
        <v>45.56015529937843</v>
      </c>
      <c r="AM27" s="47">
        <f t="shared" si="19"/>
        <v>45.729681304112475</v>
      </c>
      <c r="AN27" s="47">
        <f t="shared" si="19"/>
        <v>45.899207308846528</v>
      </c>
      <c r="AO27" s="47">
        <f t="shared" si="19"/>
        <v>46.068733313580573</v>
      </c>
      <c r="AP27" s="47">
        <f t="shared" si="19"/>
        <v>46.238259318314633</v>
      </c>
      <c r="AQ27" s="47">
        <f t="shared" si="19"/>
        <v>46.407785323048678</v>
      </c>
      <c r="AR27" s="47">
        <f t="shared" si="19"/>
        <v>46.577311327782738</v>
      </c>
      <c r="AS27" s="47">
        <f t="shared" si="19"/>
        <v>46.74683733251679</v>
      </c>
      <c r="AT27" s="47">
        <f t="shared" si="19"/>
        <v>46.916363337250836</v>
      </c>
      <c r="AU27" s="47">
        <f t="shared" si="19"/>
        <v>47.085889341984888</v>
      </c>
      <c r="AV27" s="47">
        <f t="shared" si="19"/>
        <v>47.255415346718941</v>
      </c>
      <c r="AW27" s="47">
        <f t="shared" si="19"/>
        <v>47.424941351453</v>
      </c>
      <c r="AX27" s="47">
        <f t="shared" si="19"/>
        <v>47.584388215769366</v>
      </c>
      <c r="AY27" s="47">
        <f t="shared" si="19"/>
        <v>47.743835080085738</v>
      </c>
      <c r="AZ27" s="47">
        <f t="shared" si="19"/>
        <v>47.90328194440211</v>
      </c>
      <c r="BA27" s="47">
        <f t="shared" si="19"/>
        <v>48.062728808718475</v>
      </c>
      <c r="BB27" s="47">
        <f t="shared" si="19"/>
        <v>48.222175673034847</v>
      </c>
      <c r="BC27" s="47">
        <f t="shared" si="19"/>
        <v>48.38162253735122</v>
      </c>
      <c r="BD27" s="47">
        <f t="shared" si="19"/>
        <v>48.541069401667592</v>
      </c>
      <c r="BE27" s="47">
        <f t="shared" si="19"/>
        <v>48.700516265983957</v>
      </c>
      <c r="BF27" s="47">
        <f t="shared" si="19"/>
        <v>48.846366490942629</v>
      </c>
      <c r="BG27" s="47">
        <f t="shared" si="19"/>
        <v>48.992216715901286</v>
      </c>
      <c r="BH27" s="47">
        <f t="shared" si="19"/>
        <v>49.138066940859957</v>
      </c>
      <c r="BI27" s="47">
        <f t="shared" si="19"/>
        <v>49.283917165818607</v>
      </c>
      <c r="BJ27" s="47">
        <f t="shared" si="19"/>
        <v>49.429767390777279</v>
      </c>
      <c r="BK27" s="47">
        <f t="shared" si="19"/>
        <v>49.575617615735943</v>
      </c>
      <c r="BL27" s="47">
        <f t="shared" si="19"/>
        <v>49.721467840694608</v>
      </c>
      <c r="BM27" s="47">
        <f t="shared" si="19"/>
        <v>49.867318065653272</v>
      </c>
      <c r="BN27" s="47">
        <f t="shared" si="19"/>
        <v>50.013168290611944</v>
      </c>
      <c r="BO27" s="47">
        <f t="shared" si="19"/>
        <v>50.159018515570601</v>
      </c>
      <c r="BP27" s="47">
        <f t="shared" si="19"/>
        <v>50.304868740529272</v>
      </c>
      <c r="BQ27" s="47">
        <f t="shared" si="19"/>
        <v>50.45071896548793</v>
      </c>
      <c r="BT27"/>
    </row>
    <row r="28" spans="1:72" x14ac:dyDescent="0.25">
      <c r="D28" t="str">
        <f>'IPCC Categories'!A59</f>
        <v>3C Aggregated and non-CO2 emissions on land</v>
      </c>
      <c r="E28" t="str">
        <f>'IPCC Categories'!B59</f>
        <v>3C1 Biomass burning (CH4)</v>
      </c>
      <c r="F28" t="str">
        <f>'IPCC Categories'!C59</f>
        <v>3C1a Biomass burning in forest land</v>
      </c>
      <c r="G28" t="s">
        <v>121</v>
      </c>
      <c r="H28" t="s">
        <v>286</v>
      </c>
      <c r="I28" s="28">
        <f>'Emissions summary'!F28</f>
        <v>17.00038365344173</v>
      </c>
      <c r="J28" s="28">
        <f>'Emissions summary'!G28</f>
        <v>17.00038365344173</v>
      </c>
      <c r="K28" s="28">
        <f>'Emissions summary'!H28</f>
        <v>17.00038365344173</v>
      </c>
      <c r="L28" s="28">
        <f>'Emissions summary'!I28</f>
        <v>17.00038365344173</v>
      </c>
      <c r="M28" s="28">
        <f>'Emissions summary'!J28</f>
        <v>17.00038365344173</v>
      </c>
      <c r="N28" s="28">
        <f>'Emissions summary'!K28</f>
        <v>17.00038365344173</v>
      </c>
      <c r="O28" s="28">
        <f>'Emissions summary'!L28</f>
        <v>17.00038365344173</v>
      </c>
      <c r="P28" s="28">
        <f>'Emissions summary'!M28</f>
        <v>17.00038365344173</v>
      </c>
      <c r="Q28" s="28">
        <f>'Emissions summary'!N28</f>
        <v>17.00038365344173</v>
      </c>
      <c r="R28" s="28">
        <f>'Emissions summary'!O28</f>
        <v>17.00038365344173</v>
      </c>
      <c r="S28" s="28">
        <f>'Emissions summary'!P28</f>
        <v>16.569822193461611</v>
      </c>
      <c r="T28" s="28">
        <f>'Emissions summary'!Q28</f>
        <v>21.58066748690964</v>
      </c>
      <c r="U28" s="28">
        <f>'Emissions summary'!R28</f>
        <v>18.378408970459198</v>
      </c>
      <c r="V28" s="28">
        <f>'Emissions summary'!S28</f>
        <v>14.650554917049229</v>
      </c>
      <c r="W28" s="28">
        <f>'Emissions summary'!T28</f>
        <v>13.82246469932897</v>
      </c>
      <c r="X28" s="28">
        <f>'Emissions summary'!U28</f>
        <v>21.599133953641967</v>
      </c>
      <c r="Y28" s="28">
        <f>'Emissions summary'!V28</f>
        <v>17.797777704403263</v>
      </c>
      <c r="Z28" s="28">
        <f>'Emissions summary'!W28</f>
        <v>21.680359355173707</v>
      </c>
      <c r="AA28" s="28">
        <f>'Emissions summary'!X28</f>
        <v>20.332068235899591</v>
      </c>
      <c r="AB28" s="28">
        <f>'Emissions summary'!Y28</f>
        <v>15.730541423024663</v>
      </c>
      <c r="AC28" s="28">
        <f>'Emissions summary'!Z28</f>
        <v>16.81926023646</v>
      </c>
      <c r="AD28" s="28">
        <f>'Emissions summary'!AA28</f>
        <v>16.168604044590001</v>
      </c>
      <c r="AE28" s="28">
        <f>SUM('Net zero emission reductions'!K1429:K1432)</f>
        <v>11.204575160010251</v>
      </c>
      <c r="AF28" s="28">
        <f>SUM('Net zero emission reductions'!L1429:L1432)</f>
        <v>13.05690518017699</v>
      </c>
      <c r="AG28" s="28">
        <f>SUM('Net zero emission reductions'!M1429:M1432)</f>
        <v>12.302133920343731</v>
      </c>
      <c r="AH28" s="28">
        <f>SUM('Net zero emission reductions'!N1429:N1432)</f>
        <v>11.592685700510469</v>
      </c>
      <c r="AI28" s="28">
        <f>SUM('Net zero emission reductions'!O1429:O1432)</f>
        <v>11.954566760677208</v>
      </c>
      <c r="AJ28" s="28">
        <f>SUM('Net zero emission reductions'!P1429:P1432)</f>
        <v>12.263228780843946</v>
      </c>
      <c r="AK28" s="28">
        <f>SUM('Net zero emission reductions'!Q1429:Q1432)</f>
        <v>12.268210641010684</v>
      </c>
      <c r="AL28" s="28">
        <f>SUM('Net zero emission reductions'!R1429:R1432)</f>
        <v>12.23948849988569</v>
      </c>
      <c r="AM28" s="28">
        <f>SUM('Net zero emission reductions'!S1429:S1432)</f>
        <v>12.210766358760694</v>
      </c>
      <c r="AN28" s="28">
        <f>SUM('Net zero emission reductions'!T1429:T1432)</f>
        <v>12.182044217635699</v>
      </c>
      <c r="AO28" s="28">
        <f>SUM('Net zero emission reductions'!U1429:U1432)</f>
        <v>12.153322076510703</v>
      </c>
      <c r="AP28" s="28">
        <f>SUM('Net zero emission reductions'!V1429:V1432)</f>
        <v>12.124599935385708</v>
      </c>
      <c r="AQ28" s="28">
        <f>SUM('Net zero emission reductions'!W1429:W1432)</f>
        <v>12.095877794260716</v>
      </c>
      <c r="AR28" s="28">
        <f>SUM('Net zero emission reductions'!X1429:X1432)</f>
        <v>12.067155653135719</v>
      </c>
      <c r="AS28" s="28">
        <f>SUM('Net zero emission reductions'!Y1429:Y1432)</f>
        <v>12.038433512010723</v>
      </c>
      <c r="AT28" s="28">
        <f>SUM('Net zero emission reductions'!Z1429:Z1432)</f>
        <v>12.009711370885729</v>
      </c>
      <c r="AU28" s="28">
        <f>SUM('Net zero emission reductions'!AA1429:AA1432)</f>
        <v>11.980989229760732</v>
      </c>
      <c r="AV28" s="28">
        <f>SUM('Net zero emission reductions'!AB1429:AB1432)</f>
        <v>11.952267088635738</v>
      </c>
      <c r="AW28" s="28">
        <f>SUM('Net zero emission reductions'!AC1429:AC1432)</f>
        <v>11.923544947510743</v>
      </c>
      <c r="AX28" s="28">
        <f>SUM('Net zero emission reductions'!AD1429:AD1432)</f>
        <v>11.881226167028043</v>
      </c>
      <c r="AY28" s="28">
        <f>SUM('Net zero emission reductions'!AE1429:AE1432)</f>
        <v>11.838907386545339</v>
      </c>
      <c r="AZ28" s="28">
        <f>SUM('Net zero emission reductions'!AF1429:AF1432)</f>
        <v>11.796588606062636</v>
      </c>
      <c r="BA28" s="28">
        <f>SUM('Net zero emission reductions'!AG1429:AG1432)</f>
        <v>11.754269825579936</v>
      </c>
      <c r="BB28" s="28">
        <f>SUM('Net zero emission reductions'!AH1429:AH1432)</f>
        <v>11.711951045097234</v>
      </c>
      <c r="BC28" s="28">
        <f>SUM('Net zero emission reductions'!AI1429:AI1432)</f>
        <v>11.669632264614533</v>
      </c>
      <c r="BD28" s="28">
        <f>SUM('Net zero emission reductions'!AJ1429:AJ1432)</f>
        <v>11.627313484131829</v>
      </c>
      <c r="BE28" s="28">
        <f>SUM('Net zero emission reductions'!AK1429:AK1432)</f>
        <v>11.584994703649127</v>
      </c>
      <c r="BF28" s="28">
        <f>SUM('Net zero emission reductions'!AL1429:AL1432)</f>
        <v>11.52907928380872</v>
      </c>
      <c r="BG28" s="28">
        <f>SUM('Net zero emission reductions'!AM1429:AM1432)</f>
        <v>11.473163863968312</v>
      </c>
      <c r="BH28" s="28">
        <f>SUM('Net zero emission reductions'!AN1429:AN1432)</f>
        <v>11.4172484441279</v>
      </c>
      <c r="BI28" s="28">
        <f>SUM('Net zero emission reductions'!AO1429:AO1432)</f>
        <v>11.361333024287493</v>
      </c>
      <c r="BJ28" s="28">
        <f>SUM('Net zero emission reductions'!AP1429:AP1432)</f>
        <v>11.305417604447085</v>
      </c>
      <c r="BK28" s="28">
        <f>SUM('Net zero emission reductions'!AQ1429:AQ1432)</f>
        <v>11.249502184606676</v>
      </c>
      <c r="BL28" s="28">
        <f>SUM('Net zero emission reductions'!AR1429:AR1432)</f>
        <v>11.193586764766268</v>
      </c>
      <c r="BM28" s="28">
        <f>SUM('Net zero emission reductions'!AS1429:AS1432)</f>
        <v>11.13767134492586</v>
      </c>
      <c r="BN28" s="28">
        <f>SUM('Net zero emission reductions'!AT1429:AT1432)</f>
        <v>11.081755925085453</v>
      </c>
      <c r="BO28" s="28">
        <f>SUM('Net zero emission reductions'!AU1429:AU1432)</f>
        <v>11.025840505245043</v>
      </c>
      <c r="BP28" s="28">
        <f>SUM('Net zero emission reductions'!AV1429:AV1432)</f>
        <v>10.969925085404636</v>
      </c>
      <c r="BQ28" s="28">
        <f>SUM('Net zero emission reductions'!AW1429:AW1432)</f>
        <v>10.914009665564226</v>
      </c>
    </row>
    <row r="29" spans="1:72" x14ac:dyDescent="0.25">
      <c r="D29" t="str">
        <f>D28</f>
        <v>3C Aggregated and non-CO2 emissions on land</v>
      </c>
      <c r="E29" t="str">
        <f>E28</f>
        <v>3C1 Biomass burning (CH4)</v>
      </c>
      <c r="F29" t="str">
        <f>'IPCC Categories'!C60</f>
        <v>3C1b Biomass burning in Croplands</v>
      </c>
      <c r="G29" t="str">
        <f>G28</f>
        <v>CH4</v>
      </c>
      <c r="H29" t="str">
        <f>H28</f>
        <v>Gg CH4</v>
      </c>
      <c r="I29" s="28">
        <f>'Emissions summary'!F29</f>
        <v>10.116490581610325</v>
      </c>
      <c r="J29" s="28">
        <f>'Emissions summary'!G29</f>
        <v>10.116490581610325</v>
      </c>
      <c r="K29" s="28">
        <f>'Emissions summary'!H29</f>
        <v>10.116490581610325</v>
      </c>
      <c r="L29" s="28">
        <f>'Emissions summary'!I29</f>
        <v>10.116490581610325</v>
      </c>
      <c r="M29" s="28">
        <f>'Emissions summary'!J29</f>
        <v>10.116490581610325</v>
      </c>
      <c r="N29" s="28">
        <f>'Emissions summary'!K29</f>
        <v>10.116490581610325</v>
      </c>
      <c r="O29" s="28">
        <f>'Emissions summary'!L29</f>
        <v>10.116490581610325</v>
      </c>
      <c r="P29" s="28">
        <f>'Emissions summary'!M29</f>
        <v>10.116490581610325</v>
      </c>
      <c r="Q29" s="28">
        <f>'Emissions summary'!N29</f>
        <v>10.116490581610325</v>
      </c>
      <c r="R29" s="28">
        <f>'Emissions summary'!O29</f>
        <v>10.116490581610325</v>
      </c>
      <c r="S29" s="28">
        <f>'Emissions summary'!P29</f>
        <v>10.51046399228327</v>
      </c>
      <c r="T29" s="28">
        <f>'Emissions summary'!Q29</f>
        <v>10.882894026282271</v>
      </c>
      <c r="U29" s="28">
        <f>'Emissions summary'!R29</f>
        <v>11.945235434738436</v>
      </c>
      <c r="V29" s="28">
        <f>'Emissions summary'!S29</f>
        <v>9.2981039284457765</v>
      </c>
      <c r="W29" s="28">
        <f>'Emissions summary'!T29</f>
        <v>7.9457555263018627</v>
      </c>
      <c r="X29" s="28">
        <f>'Emissions summary'!U29</f>
        <v>13.860153794562336</v>
      </c>
      <c r="Y29" s="28">
        <f>'Emissions summary'!V29</f>
        <v>13.058600630053951</v>
      </c>
      <c r="Z29" s="28">
        <f>'Emissions summary'!W29</f>
        <v>10.476884235119428</v>
      </c>
      <c r="AA29" s="28">
        <f>'Emissions summary'!X29</f>
        <v>9.4298063526468283</v>
      </c>
      <c r="AB29" s="28">
        <f>'Emissions summary'!Y29</f>
        <v>9.8044168903577642</v>
      </c>
      <c r="AC29" s="28">
        <f>'Emissions summary'!Z29</f>
        <v>9.7783617960000022</v>
      </c>
      <c r="AD29" s="28">
        <f>'Emissions summary'!AA29</f>
        <v>9.4288811400000014</v>
      </c>
      <c r="AE29" s="28">
        <f>SUM('Net zero emission reductions'!K1433:K1437)</f>
        <v>8.929388994926228</v>
      </c>
      <c r="AF29" s="28">
        <f>SUM('Net zero emission reductions'!L1433:L1437)</f>
        <v>8.9289309923184508</v>
      </c>
      <c r="AG29" s="28">
        <f>SUM('Net zero emission reductions'!M1433:M1437)</f>
        <v>8.9284729897106754</v>
      </c>
      <c r="AH29" s="28">
        <f>SUM('Net zero emission reductions'!N1433:N1437)</f>
        <v>8.9280149871028947</v>
      </c>
      <c r="AI29" s="28">
        <f>SUM('Net zero emission reductions'!O1433:O1437)</f>
        <v>8.9275569844951157</v>
      </c>
      <c r="AJ29" s="28">
        <f>SUM('Net zero emission reductions'!P1433:P1437)</f>
        <v>8.9270989818873403</v>
      </c>
      <c r="AK29" s="28">
        <f>SUM('Net zero emission reductions'!Q1433:Q1437)</f>
        <v>8.9266409792795596</v>
      </c>
      <c r="AL29" s="28">
        <f>SUM('Net zero emission reductions'!R1433:R1437)</f>
        <v>8.926182976671786</v>
      </c>
      <c r="AM29" s="28">
        <f>SUM('Net zero emission reductions'!S1433:S1437)</f>
        <v>8.925724974064007</v>
      </c>
      <c r="AN29" s="28">
        <f>SUM('Net zero emission reductions'!T1433:T1437)</f>
        <v>8.925266971456228</v>
      </c>
      <c r="AO29" s="28">
        <f>SUM('Net zero emission reductions'!U1433:U1437)</f>
        <v>8.9248089688484491</v>
      </c>
      <c r="AP29" s="28">
        <f>SUM('Net zero emission reductions'!V1433:V1437)</f>
        <v>8.9243509662406719</v>
      </c>
      <c r="AQ29" s="28">
        <f>SUM('Net zero emission reductions'!W1433:W1437)</f>
        <v>8.9238929636328947</v>
      </c>
      <c r="AR29" s="28">
        <f>SUM('Net zero emission reductions'!X1433:X1437)</f>
        <v>8.9234349610251176</v>
      </c>
      <c r="AS29" s="28">
        <f>SUM('Net zero emission reductions'!Y1433:Y1437)</f>
        <v>8.9229769584173386</v>
      </c>
      <c r="AT29" s="28">
        <f>SUM('Net zero emission reductions'!Z1433:Z1437)</f>
        <v>8.9225189558095614</v>
      </c>
      <c r="AU29" s="28">
        <f>SUM('Net zero emission reductions'!AA1433:AA1437)</f>
        <v>8.9220609532017825</v>
      </c>
      <c r="AV29" s="28">
        <f>SUM('Net zero emission reductions'!AB1433:AB1437)</f>
        <v>8.9216029505940071</v>
      </c>
      <c r="AW29" s="28">
        <f>SUM('Net zero emission reductions'!AC1433:AC1437)</f>
        <v>8.9211449479862281</v>
      </c>
      <c r="AX29" s="28">
        <f>SUM('Net zero emission reductions'!AD1433:AD1437)</f>
        <v>8.9206869453784492</v>
      </c>
      <c r="AY29" s="28">
        <f>SUM('Net zero emission reductions'!AE1433:AE1437)</f>
        <v>8.920228942770672</v>
      </c>
      <c r="AZ29" s="28">
        <f>SUM('Net zero emission reductions'!AF1433:AF1437)</f>
        <v>8.9197709401628948</v>
      </c>
      <c r="BA29" s="28">
        <f>SUM('Net zero emission reductions'!AG1433:AG1437)</f>
        <v>8.9193129375551177</v>
      </c>
      <c r="BB29" s="28">
        <f>SUM('Net zero emission reductions'!AH1433:AH1437)</f>
        <v>8.9188549349473387</v>
      </c>
      <c r="BC29" s="28">
        <f>SUM('Net zero emission reductions'!AI1433:AI1437)</f>
        <v>8.9183969323395598</v>
      </c>
      <c r="BD29" s="28">
        <f>SUM('Net zero emission reductions'!AJ1433:AJ1437)</f>
        <v>8.9179389297317826</v>
      </c>
      <c r="BE29" s="28">
        <f>SUM('Net zero emission reductions'!AK1433:AK1437)</f>
        <v>8.9174809271240072</v>
      </c>
      <c r="BF29" s="28">
        <f>SUM('Net zero emission reductions'!AL1433:AL1437)</f>
        <v>8.9170229245162282</v>
      </c>
      <c r="BG29" s="28">
        <f>SUM('Net zero emission reductions'!AM1433:AM1437)</f>
        <v>8.9165649219084475</v>
      </c>
      <c r="BH29" s="28">
        <f>SUM('Net zero emission reductions'!AN1433:AN1437)</f>
        <v>8.9161069193006721</v>
      </c>
      <c r="BI29" s="28">
        <f>SUM('Net zero emission reductions'!AO1433:AO1437)</f>
        <v>8.9156489166928932</v>
      </c>
      <c r="BJ29" s="28">
        <f>SUM('Net zero emission reductions'!AP1433:AP1437)</f>
        <v>8.915190914085116</v>
      </c>
      <c r="BK29" s="28">
        <f>SUM('Net zero emission reductions'!AQ1433:AQ1437)</f>
        <v>8.9147329114773388</v>
      </c>
      <c r="BL29" s="28">
        <f>SUM('Net zero emission reductions'!AR1433:AR1437)</f>
        <v>8.9142749088695599</v>
      </c>
      <c r="BM29" s="28">
        <f>SUM('Net zero emission reductions'!AS1433:AS1437)</f>
        <v>8.9138169062617827</v>
      </c>
      <c r="BN29" s="28">
        <f>SUM('Net zero emission reductions'!AT1433:AT1437)</f>
        <v>8.9133589036540037</v>
      </c>
      <c r="BO29" s="28">
        <f>SUM('Net zero emission reductions'!AU1433:AU1437)</f>
        <v>8.9129009010462266</v>
      </c>
      <c r="BP29" s="28">
        <f>SUM('Net zero emission reductions'!AV1433:AV1437)</f>
        <v>8.9124428984384494</v>
      </c>
      <c r="BQ29" s="28">
        <f>SUM('Net zero emission reductions'!AW1433:AW1437)</f>
        <v>8.9119848958306704</v>
      </c>
    </row>
    <row r="30" spans="1:72" x14ac:dyDescent="0.25">
      <c r="D30" t="str">
        <f t="shared" ref="D30:E45" si="20">D29</f>
        <v>3C Aggregated and non-CO2 emissions on land</v>
      </c>
      <c r="E30" t="str">
        <f t="shared" si="20"/>
        <v>3C1 Biomass burning (CH4)</v>
      </c>
      <c r="F30" t="str">
        <f>'IPCC Categories'!C61</f>
        <v>3C1c Biomass burning in Grasslands</v>
      </c>
      <c r="G30" t="str">
        <f t="shared" ref="G30:H33" si="21">G29</f>
        <v>CH4</v>
      </c>
      <c r="H30" t="str">
        <f t="shared" si="21"/>
        <v>Gg CH4</v>
      </c>
      <c r="I30" s="28">
        <f>'Emissions summary'!F30</f>
        <v>24.633908128575744</v>
      </c>
      <c r="J30" s="28">
        <f>'Emissions summary'!G30</f>
        <v>24.633908128575744</v>
      </c>
      <c r="K30" s="28">
        <f>'Emissions summary'!H30</f>
        <v>24.633908128575744</v>
      </c>
      <c r="L30" s="28">
        <f>'Emissions summary'!I30</f>
        <v>24.633908128575744</v>
      </c>
      <c r="M30" s="28">
        <f>'Emissions summary'!J30</f>
        <v>24.633908128575744</v>
      </c>
      <c r="N30" s="28">
        <f>'Emissions summary'!K30</f>
        <v>24.633908128575744</v>
      </c>
      <c r="O30" s="28">
        <f>'Emissions summary'!L30</f>
        <v>24.633908128575744</v>
      </c>
      <c r="P30" s="28">
        <f>'Emissions summary'!M30</f>
        <v>24.633908128575744</v>
      </c>
      <c r="Q30" s="28">
        <f>'Emissions summary'!N30</f>
        <v>24.633908128575744</v>
      </c>
      <c r="R30" s="28">
        <f>'Emissions summary'!O30</f>
        <v>24.633908128575744</v>
      </c>
      <c r="S30" s="28">
        <f>'Emissions summary'!P30</f>
        <v>24.22100971223729</v>
      </c>
      <c r="T30" s="28">
        <f>'Emissions summary'!Q30</f>
        <v>27.159665944327305</v>
      </c>
      <c r="U30" s="28">
        <f>'Emissions summary'!R30</f>
        <v>29.557460778373962</v>
      </c>
      <c r="V30" s="28">
        <f>'Emissions summary'!S30</f>
        <v>22.967890703903489</v>
      </c>
      <c r="W30" s="28">
        <f>'Emissions summary'!T30</f>
        <v>19.263513504036663</v>
      </c>
      <c r="X30" s="28">
        <f>'Emissions summary'!U30</f>
        <v>29.989609054359072</v>
      </c>
      <c r="Y30" s="28">
        <f>'Emissions summary'!V30</f>
        <v>26.44988664148541</v>
      </c>
      <c r="Z30" s="28">
        <f>'Emissions summary'!W30</f>
        <v>24.310343671009509</v>
      </c>
      <c r="AA30" s="28">
        <f>'Emissions summary'!X30</f>
        <v>23.321518510517112</v>
      </c>
      <c r="AB30" s="28">
        <f>'Emissions summary'!Y30</f>
        <v>24.458614831490095</v>
      </c>
      <c r="AC30" s="28">
        <f>'Emissions summary'!Z30</f>
        <v>24.608200366439995</v>
      </c>
      <c r="AD30" s="28">
        <f>'Emissions summary'!AA30</f>
        <v>25.000606435391994</v>
      </c>
      <c r="AE30" s="28">
        <f>SUM('Net zero emission reductions'!K1438:K1440)</f>
        <v>22.211168240472922</v>
      </c>
      <c r="AF30" s="28">
        <f>SUM('Net zero emission reductions'!L1438:L1440)</f>
        <v>22.3255420719256</v>
      </c>
      <c r="AG30" s="28">
        <f>SUM('Net zero emission reductions'!M1438:M1440)</f>
        <v>22.439915903378274</v>
      </c>
      <c r="AH30" s="28">
        <f>SUM('Net zero emission reductions'!N1438:N1440)</f>
        <v>22.554289734830945</v>
      </c>
      <c r="AI30" s="28">
        <f>SUM('Net zero emission reductions'!O1438:O1440)</f>
        <v>22.668663566283627</v>
      </c>
      <c r="AJ30" s="28">
        <f>SUM('Net zero emission reductions'!P1438:P1440)</f>
        <v>22.783037397736297</v>
      </c>
      <c r="AK30" s="28">
        <f>SUM('Net zero emission reductions'!Q1438:Q1440)</f>
        <v>22.897411229188972</v>
      </c>
      <c r="AL30" s="28">
        <f>SUM('Net zero emission reductions'!R1438:R1440)</f>
        <v>23.095209192169019</v>
      </c>
      <c r="AM30" s="28">
        <f>SUM('Net zero emission reductions'!S1438:S1440)</f>
        <v>23.293007155149056</v>
      </c>
      <c r="AN30" s="28">
        <f>SUM('Net zero emission reductions'!T1438:T1440)</f>
        <v>23.490805118129099</v>
      </c>
      <c r="AO30" s="28">
        <f>SUM('Net zero emission reductions'!U1438:U1440)</f>
        <v>23.688603081109136</v>
      </c>
      <c r="AP30" s="28">
        <f>SUM('Net zero emission reductions'!V1438:V1440)</f>
        <v>23.886401044089183</v>
      </c>
      <c r="AQ30" s="28">
        <f>SUM('Net zero emission reductions'!W1438:W1440)</f>
        <v>24.08419900706922</v>
      </c>
      <c r="AR30" s="28">
        <f>SUM('Net zero emission reductions'!X1438:X1440)</f>
        <v>24.281996970049263</v>
      </c>
      <c r="AS30" s="28">
        <f>SUM('Net zero emission reductions'!Y1438:Y1440)</f>
        <v>24.479794933029304</v>
      </c>
      <c r="AT30" s="28">
        <f>SUM('Net zero emission reductions'!Z1438:Z1440)</f>
        <v>24.677592896009344</v>
      </c>
      <c r="AU30" s="28">
        <f>SUM('Net zero emission reductions'!AA1438:AA1440)</f>
        <v>24.875390858989384</v>
      </c>
      <c r="AV30" s="28">
        <f>SUM('Net zero emission reductions'!AB1438:AB1440)</f>
        <v>25.073188821969428</v>
      </c>
      <c r="AW30" s="28">
        <f>SUM('Net zero emission reductions'!AC1438:AC1440)</f>
        <v>25.270986784949468</v>
      </c>
      <c r="AX30" s="28">
        <f>SUM('Net zero emission reductions'!AD1438:AD1440)</f>
        <v>25.472302246869535</v>
      </c>
      <c r="AY30" s="28">
        <f>SUM('Net zero emission reductions'!AE1438:AE1440)</f>
        <v>25.6736177087896</v>
      </c>
      <c r="AZ30" s="28">
        <f>SUM('Net zero emission reductions'!AF1438:AF1440)</f>
        <v>25.874933170709671</v>
      </c>
      <c r="BA30" s="28">
        <f>SUM('Net zero emission reductions'!AG1438:AG1440)</f>
        <v>26.076248632629738</v>
      </c>
      <c r="BB30" s="28">
        <f>SUM('Net zero emission reductions'!AH1438:AH1440)</f>
        <v>26.277564094549799</v>
      </c>
      <c r="BC30" s="28">
        <f>SUM('Net zero emission reductions'!AI1438:AI1440)</f>
        <v>26.47887955646987</v>
      </c>
      <c r="BD30" s="28">
        <f>SUM('Net zero emission reductions'!AJ1438:AJ1440)</f>
        <v>26.680195018389934</v>
      </c>
      <c r="BE30" s="28">
        <f>SUM('Net zero emission reductions'!AK1438:AK1440)</f>
        <v>26.881510480309998</v>
      </c>
      <c r="BF30" s="28">
        <f>SUM('Net zero emission reductions'!AL1438:AL1440)</f>
        <v>27.082825942230066</v>
      </c>
      <c r="BG30" s="28">
        <f>SUM('Net zero emission reductions'!AM1438:AM1440)</f>
        <v>27.28414140415013</v>
      </c>
      <c r="BH30" s="28">
        <f>SUM('Net zero emission reductions'!AN1438:AN1440)</f>
        <v>27.485456866070198</v>
      </c>
      <c r="BI30" s="28">
        <f>SUM('Net zero emission reductions'!AO1438:AO1440)</f>
        <v>27.686772327990262</v>
      </c>
      <c r="BJ30" s="28">
        <f>SUM('Net zero emission reductions'!AP1438:AP1440)</f>
        <v>27.88808778991033</v>
      </c>
      <c r="BK30" s="28">
        <f>SUM('Net zero emission reductions'!AQ1438:AQ1440)</f>
        <v>28.089403251830397</v>
      </c>
      <c r="BL30" s="28">
        <f>SUM('Net zero emission reductions'!AR1438:AR1440)</f>
        <v>28.290718713750465</v>
      </c>
      <c r="BM30" s="28">
        <f>SUM('Net zero emission reductions'!AS1438:AS1440)</f>
        <v>28.492034175670533</v>
      </c>
      <c r="BN30" s="28">
        <f>SUM('Net zero emission reductions'!AT1438:AT1440)</f>
        <v>28.6933496375906</v>
      </c>
      <c r="BO30" s="28">
        <f>SUM('Net zero emission reductions'!AU1438:AU1440)</f>
        <v>28.894665099510664</v>
      </c>
      <c r="BP30" s="28">
        <f>SUM('Net zero emission reductions'!AV1438:AV1440)</f>
        <v>29.095980561430732</v>
      </c>
      <c r="BQ30" s="28">
        <f>SUM('Net zero emission reductions'!AW1438:AW1440)</f>
        <v>29.2972960233508</v>
      </c>
    </row>
    <row r="31" spans="1:72" x14ac:dyDescent="0.25">
      <c r="D31" t="str">
        <f t="shared" si="20"/>
        <v>3C Aggregated and non-CO2 emissions on land</v>
      </c>
      <c r="E31" t="str">
        <f t="shared" si="20"/>
        <v>3C1 Biomass burning (CH4)</v>
      </c>
      <c r="F31" t="str">
        <f>'IPCC Categories'!C62</f>
        <v>3C1d Biomass burning in Wetlands</v>
      </c>
      <c r="G31" t="str">
        <f t="shared" si="21"/>
        <v>CH4</v>
      </c>
      <c r="H31" t="str">
        <f t="shared" si="21"/>
        <v>Gg CH4</v>
      </c>
      <c r="I31" s="28">
        <f>'Emissions summary'!F31</f>
        <v>0.80577517347341965</v>
      </c>
      <c r="J31" s="28">
        <f>'Emissions summary'!G31</f>
        <v>0.80577517347341965</v>
      </c>
      <c r="K31" s="28">
        <f>'Emissions summary'!H31</f>
        <v>0.80577517347341965</v>
      </c>
      <c r="L31" s="28">
        <f>'Emissions summary'!I31</f>
        <v>0.80577517347341965</v>
      </c>
      <c r="M31" s="28">
        <f>'Emissions summary'!J31</f>
        <v>0.80577517347341965</v>
      </c>
      <c r="N31" s="28">
        <f>'Emissions summary'!K31</f>
        <v>0.80577517347341965</v>
      </c>
      <c r="O31" s="28">
        <f>'Emissions summary'!L31</f>
        <v>0.80577517347341965</v>
      </c>
      <c r="P31" s="28">
        <f>'Emissions summary'!M31</f>
        <v>0.80577517347341965</v>
      </c>
      <c r="Q31" s="28">
        <f>'Emissions summary'!N31</f>
        <v>0.80577517347341965</v>
      </c>
      <c r="R31" s="28">
        <f>'Emissions summary'!O31</f>
        <v>0.80577517347341965</v>
      </c>
      <c r="S31" s="28">
        <f>'Emissions summary'!P31</f>
        <v>0.71282120012392636</v>
      </c>
      <c r="T31" s="28">
        <f>'Emissions summary'!Q31</f>
        <v>0.86099923348302065</v>
      </c>
      <c r="U31" s="28">
        <f>'Emissions summary'!R31</f>
        <v>0.97458063350276725</v>
      </c>
      <c r="V31" s="28">
        <f>'Emissions summary'!S31</f>
        <v>0.79724568902749249</v>
      </c>
      <c r="W31" s="28">
        <f>'Emissions summary'!T31</f>
        <v>0.68322911122989261</v>
      </c>
      <c r="X31" s="28">
        <f>'Emissions summary'!U31</f>
        <v>1.0109179779535291</v>
      </c>
      <c r="Y31" s="28">
        <f>'Emissions summary'!V31</f>
        <v>0.89733657793378252</v>
      </c>
      <c r="Z31" s="28">
        <f>'Emissions summary'!W31</f>
        <v>0.79050043347076437</v>
      </c>
      <c r="AA31" s="28">
        <f>'Emissions summary'!X31</f>
        <v>0.72087198901421468</v>
      </c>
      <c r="AB31" s="28">
        <f>'Emissions summary'!Y31</f>
        <v>0.80964825569631549</v>
      </c>
      <c r="AC31" s="28">
        <f>'Emissions summary'!Z31</f>
        <v>1.0836294956999997</v>
      </c>
      <c r="AD31" s="28">
        <f>'Emissions summary'!AA31</f>
        <v>1.1703623921999995</v>
      </c>
      <c r="AE31" s="28">
        <f>SUM('Net zero emission reductions'!K1441)</f>
        <v>0.86319492850198365</v>
      </c>
      <c r="AF31" s="28">
        <f>SUM('Net zero emission reductions'!L1441)</f>
        <v>0.86319492850198365</v>
      </c>
      <c r="AG31" s="28">
        <f>SUM('Net zero emission reductions'!M1441)</f>
        <v>0.86319492850198365</v>
      </c>
      <c r="AH31" s="28">
        <f>SUM('Net zero emission reductions'!N1441)</f>
        <v>0.86319492850198365</v>
      </c>
      <c r="AI31" s="28">
        <f>SUM('Net zero emission reductions'!O1441)</f>
        <v>0.86319492850198365</v>
      </c>
      <c r="AJ31" s="28">
        <f>SUM('Net zero emission reductions'!P1441)</f>
        <v>0.86319492850198365</v>
      </c>
      <c r="AK31" s="28">
        <f>SUM('Net zero emission reductions'!Q1441)</f>
        <v>0.86319492850198365</v>
      </c>
      <c r="AL31" s="28">
        <f>SUM('Net zero emission reductions'!R1441)</f>
        <v>0.86319492850198365</v>
      </c>
      <c r="AM31" s="28">
        <f>SUM('Net zero emission reductions'!S1441)</f>
        <v>0.86319492850198365</v>
      </c>
      <c r="AN31" s="28">
        <f>SUM('Net zero emission reductions'!T1441)</f>
        <v>0.86319492850198365</v>
      </c>
      <c r="AO31" s="28">
        <f>SUM('Net zero emission reductions'!U1441)</f>
        <v>0.86319492850198365</v>
      </c>
      <c r="AP31" s="28">
        <f>SUM('Net zero emission reductions'!V1441)</f>
        <v>0.86319492850198365</v>
      </c>
      <c r="AQ31" s="28">
        <f>SUM('Net zero emission reductions'!W1441)</f>
        <v>0.86319492850198365</v>
      </c>
      <c r="AR31" s="28">
        <f>SUM('Net zero emission reductions'!X1441)</f>
        <v>0.86319492850198365</v>
      </c>
      <c r="AS31" s="28">
        <f>SUM('Net zero emission reductions'!Y1441)</f>
        <v>0.86319492850198365</v>
      </c>
      <c r="AT31" s="28">
        <f>SUM('Net zero emission reductions'!Z1441)</f>
        <v>0.86319492850198365</v>
      </c>
      <c r="AU31" s="28">
        <f>SUM('Net zero emission reductions'!AA1441)</f>
        <v>0.86319492850198365</v>
      </c>
      <c r="AV31" s="28">
        <f>SUM('Net zero emission reductions'!AB1441)</f>
        <v>0.86319492850198365</v>
      </c>
      <c r="AW31" s="28">
        <f>SUM('Net zero emission reductions'!AC1441)</f>
        <v>0.86319492850198365</v>
      </c>
      <c r="AX31" s="28">
        <f>SUM('Net zero emission reductions'!AD1441)</f>
        <v>0.86319492850198365</v>
      </c>
      <c r="AY31" s="28">
        <f>SUM('Net zero emission reductions'!AE1441)</f>
        <v>0.86319492850198365</v>
      </c>
      <c r="AZ31" s="28">
        <f>SUM('Net zero emission reductions'!AF1441)</f>
        <v>0.86319492850198365</v>
      </c>
      <c r="BA31" s="28">
        <f>SUM('Net zero emission reductions'!AG1441)</f>
        <v>0.86319492850198365</v>
      </c>
      <c r="BB31" s="28">
        <f>SUM('Net zero emission reductions'!AH1441)</f>
        <v>0.86319492850198365</v>
      </c>
      <c r="BC31" s="28">
        <f>SUM('Net zero emission reductions'!AI1441)</f>
        <v>0.86319492850198365</v>
      </c>
      <c r="BD31" s="28">
        <f>SUM('Net zero emission reductions'!AJ1441)</f>
        <v>0.86319492850198365</v>
      </c>
      <c r="BE31" s="28">
        <f>SUM('Net zero emission reductions'!AK1441)</f>
        <v>0.86319492850198365</v>
      </c>
      <c r="BF31" s="28">
        <f>SUM('Net zero emission reductions'!AL1441)</f>
        <v>0.86319492850198365</v>
      </c>
      <c r="BG31" s="28">
        <f>SUM('Net zero emission reductions'!AM1441)</f>
        <v>0.86319492850198365</v>
      </c>
      <c r="BH31" s="28">
        <f>SUM('Net zero emission reductions'!AN1441)</f>
        <v>0.86319492850198365</v>
      </c>
      <c r="BI31" s="28">
        <f>SUM('Net zero emission reductions'!AO1441)</f>
        <v>0.86319492850198365</v>
      </c>
      <c r="BJ31" s="28">
        <f>SUM('Net zero emission reductions'!AP1441)</f>
        <v>0.86319492850198365</v>
      </c>
      <c r="BK31" s="28">
        <f>SUM('Net zero emission reductions'!AQ1441)</f>
        <v>0.86319492850198365</v>
      </c>
      <c r="BL31" s="28">
        <f>SUM('Net zero emission reductions'!AR1441)</f>
        <v>0.86319492850198365</v>
      </c>
      <c r="BM31" s="28">
        <f>SUM('Net zero emission reductions'!AS1441)</f>
        <v>0.86319492850198365</v>
      </c>
      <c r="BN31" s="28">
        <f>SUM('Net zero emission reductions'!AT1441)</f>
        <v>0.86319492850198365</v>
      </c>
      <c r="BO31" s="28">
        <f>SUM('Net zero emission reductions'!AU1441)</f>
        <v>0.86319492850198365</v>
      </c>
      <c r="BP31" s="28">
        <f>SUM('Net zero emission reductions'!AV1441)</f>
        <v>0.86319492850198365</v>
      </c>
      <c r="BQ31" s="28">
        <f>SUM('Net zero emission reductions'!AW1441)</f>
        <v>0.86319492850198365</v>
      </c>
    </row>
    <row r="32" spans="1:72" x14ac:dyDescent="0.25">
      <c r="D32" t="str">
        <f t="shared" si="20"/>
        <v>3C Aggregated and non-CO2 emissions on land</v>
      </c>
      <c r="E32" t="str">
        <f t="shared" si="20"/>
        <v>3C1 Biomass burning (CH4)</v>
      </c>
      <c r="F32" t="str">
        <f>'IPCC Categories'!C63</f>
        <v>3C1e Biomass burning in Settlements</v>
      </c>
      <c r="G32" t="str">
        <f t="shared" si="21"/>
        <v>CH4</v>
      </c>
      <c r="H32" t="str">
        <f t="shared" si="21"/>
        <v>Gg CH4</v>
      </c>
      <c r="I32" s="28">
        <f>'Emissions summary'!F32</f>
        <v>0.48879168008497798</v>
      </c>
      <c r="J32" s="28">
        <f>'Emissions summary'!G32</f>
        <v>0.48879168008497798</v>
      </c>
      <c r="K32" s="28">
        <f>'Emissions summary'!H32</f>
        <v>0.48879168008497798</v>
      </c>
      <c r="L32" s="28">
        <f>'Emissions summary'!I32</f>
        <v>0.48879168008497798</v>
      </c>
      <c r="M32" s="28">
        <f>'Emissions summary'!J32</f>
        <v>0.48879168008497798</v>
      </c>
      <c r="N32" s="28">
        <f>'Emissions summary'!K32</f>
        <v>0.48879168008497798</v>
      </c>
      <c r="O32" s="28">
        <f>'Emissions summary'!L32</f>
        <v>0.48879168008497798</v>
      </c>
      <c r="P32" s="28">
        <f>'Emissions summary'!M32</f>
        <v>0.48879168008497798</v>
      </c>
      <c r="Q32" s="28">
        <f>'Emissions summary'!N32</f>
        <v>0.48879168008497798</v>
      </c>
      <c r="R32" s="28">
        <f>'Emissions summary'!O32</f>
        <v>0.48879168008497798</v>
      </c>
      <c r="S32" s="28">
        <f>'Emissions summary'!P32</f>
        <v>0.53244001120367745</v>
      </c>
      <c r="T32" s="28">
        <f>'Emissions summary'!Q32</f>
        <v>0.58966588899140415</v>
      </c>
      <c r="U32" s="28">
        <f>'Emissions summary'!R32</f>
        <v>0.52134297786841477</v>
      </c>
      <c r="V32" s="28">
        <f>'Emissions summary'!S32</f>
        <v>0.44975623341152487</v>
      </c>
      <c r="W32" s="28">
        <f>'Emissions summary'!T32</f>
        <v>0.35075328894986846</v>
      </c>
      <c r="X32" s="28">
        <f>'Emissions summary'!U32</f>
        <v>0.79419944458251857</v>
      </c>
      <c r="Y32" s="28">
        <f>'Emissions summary'!V32</f>
        <v>0.69563167789871561</v>
      </c>
      <c r="Z32" s="28">
        <f>'Emissions summary'!W32</f>
        <v>0.76939431124487268</v>
      </c>
      <c r="AA32" s="28">
        <f>'Emissions summary'!X32</f>
        <v>0.47499654452702411</v>
      </c>
      <c r="AB32" s="28">
        <f>'Emissions summary'!Y32</f>
        <v>0.5716060112104866</v>
      </c>
      <c r="AC32" s="28">
        <f>'Emissions summary'!Z32</f>
        <v>0.42745793939999993</v>
      </c>
      <c r="AD32" s="28">
        <f>'Emissions summary'!AA32</f>
        <v>0.29794462199999994</v>
      </c>
      <c r="AE32" s="28">
        <f>SUM('Net zero emission reductions'!K1442:K1443)</f>
        <v>0.42972240374246135</v>
      </c>
      <c r="AF32" s="28">
        <f>SUM('Net zero emission reductions'!L1442:L1443)</f>
        <v>0.43063058922924524</v>
      </c>
      <c r="AG32" s="28">
        <f>SUM('Net zero emission reductions'!M1442:M1443)</f>
        <v>0.43153877471602919</v>
      </c>
      <c r="AH32" s="28">
        <f>SUM('Net zero emission reductions'!N1442:N1443)</f>
        <v>0.43244696020281326</v>
      </c>
      <c r="AI32" s="28">
        <f>SUM('Net zero emission reductions'!O1442:O1443)</f>
        <v>0.43335514568959721</v>
      </c>
      <c r="AJ32" s="28">
        <f>SUM('Net zero emission reductions'!P1442:P1443)</f>
        <v>0.43426333117638116</v>
      </c>
      <c r="AK32" s="28">
        <f>SUM('Net zero emission reductions'!Q1442:Q1443)</f>
        <v>0.43517151666316517</v>
      </c>
      <c r="AL32" s="28">
        <f>SUM('Net zero emission reductions'!R1442:R1443)</f>
        <v>0.43607970214994918</v>
      </c>
      <c r="AM32" s="28">
        <f>SUM('Net zero emission reductions'!S1442:S1443)</f>
        <v>0.43698788763673319</v>
      </c>
      <c r="AN32" s="28">
        <f>SUM('Net zero emission reductions'!T1442:T1443)</f>
        <v>0.43789607312351719</v>
      </c>
      <c r="AO32" s="28">
        <f>SUM('Net zero emission reductions'!U1442:U1443)</f>
        <v>0.4388042586103012</v>
      </c>
      <c r="AP32" s="28">
        <f>SUM('Net zero emission reductions'!V1442:V1443)</f>
        <v>0.43971244409708521</v>
      </c>
      <c r="AQ32" s="28">
        <f>SUM('Net zero emission reductions'!W1442:W1443)</f>
        <v>0.44062062958386911</v>
      </c>
      <c r="AR32" s="28">
        <f>SUM('Net zero emission reductions'!X1442:X1443)</f>
        <v>0.44152881507065311</v>
      </c>
      <c r="AS32" s="28">
        <f>SUM('Net zero emission reductions'!Y1442:Y1443)</f>
        <v>0.44243700055743712</v>
      </c>
      <c r="AT32" s="28">
        <f>SUM('Net zero emission reductions'!Z1442:Z1443)</f>
        <v>0.44334518604422107</v>
      </c>
      <c r="AU32" s="28">
        <f>SUM('Net zero emission reductions'!AA1442:AA1443)</f>
        <v>0.44425337153100508</v>
      </c>
      <c r="AV32" s="28">
        <f>SUM('Net zero emission reductions'!AB1442:AB1443)</f>
        <v>0.44516155701778909</v>
      </c>
      <c r="AW32" s="28">
        <f>SUM('Net zero emission reductions'!AC1442:AC1443)</f>
        <v>0.44606974250457304</v>
      </c>
      <c r="AX32" s="28">
        <f>SUM('Net zero emission reductions'!AD1442:AD1443)</f>
        <v>0.44697792799135705</v>
      </c>
      <c r="AY32" s="28">
        <f>SUM('Net zero emission reductions'!AE1442:AE1443)</f>
        <v>0.44788611347814106</v>
      </c>
      <c r="AZ32" s="28">
        <f>SUM('Net zero emission reductions'!AF1442:AF1443)</f>
        <v>0.44879429896492501</v>
      </c>
      <c r="BA32" s="28">
        <f>SUM('Net zero emission reductions'!AG1442:AG1443)</f>
        <v>0.44970248445170896</v>
      </c>
      <c r="BB32" s="28">
        <f>SUM('Net zero emission reductions'!AH1442:AH1443)</f>
        <v>0.45061066993849297</v>
      </c>
      <c r="BC32" s="28">
        <f>SUM('Net zero emission reductions'!AI1442:AI1443)</f>
        <v>0.45151885542527692</v>
      </c>
      <c r="BD32" s="28">
        <f>SUM('Net zero emission reductions'!AJ1442:AJ1443)</f>
        <v>0.45242704091206093</v>
      </c>
      <c r="BE32" s="28">
        <f>SUM('Net zero emission reductions'!AK1442:AK1443)</f>
        <v>0.45333522639884494</v>
      </c>
      <c r="BF32" s="28">
        <f>SUM('Net zero emission reductions'!AL1442:AL1443)</f>
        <v>0.454243411885629</v>
      </c>
      <c r="BG32" s="28">
        <f>SUM('Net zero emission reductions'!AM1442:AM1443)</f>
        <v>0.45515159737241295</v>
      </c>
      <c r="BH32" s="28">
        <f>SUM('Net zero emission reductions'!AN1442:AN1443)</f>
        <v>0.4560597828591969</v>
      </c>
      <c r="BI32" s="28">
        <f>SUM('Net zero emission reductions'!AO1442:AO1443)</f>
        <v>0.45696796834598097</v>
      </c>
      <c r="BJ32" s="28">
        <f>SUM('Net zero emission reductions'!AP1442:AP1443)</f>
        <v>0.45787615383276492</v>
      </c>
      <c r="BK32" s="28">
        <f>SUM('Net zero emission reductions'!AQ1442:AQ1443)</f>
        <v>0.45878433931954882</v>
      </c>
      <c r="BL32" s="28">
        <f>SUM('Net zero emission reductions'!AR1442:AR1443)</f>
        <v>0.45969252480633288</v>
      </c>
      <c r="BM32" s="28">
        <f>SUM('Net zero emission reductions'!AS1442:AS1443)</f>
        <v>0.46060071029311683</v>
      </c>
      <c r="BN32" s="28">
        <f>SUM('Net zero emission reductions'!AT1442:AT1443)</f>
        <v>0.46150889577990084</v>
      </c>
      <c r="BO32" s="28">
        <f>SUM('Net zero emission reductions'!AU1442:AU1443)</f>
        <v>0.46241708126668479</v>
      </c>
      <c r="BP32" s="28">
        <f>SUM('Net zero emission reductions'!AV1442:AV1443)</f>
        <v>0.4633252667534688</v>
      </c>
      <c r="BQ32" s="28">
        <f>SUM('Net zero emission reductions'!AW1442:AW1443)</f>
        <v>0.46423345224025281</v>
      </c>
    </row>
    <row r="33" spans="1:72" x14ac:dyDescent="0.25">
      <c r="D33" t="str">
        <f t="shared" si="20"/>
        <v>3C Aggregated and non-CO2 emissions on land</v>
      </c>
      <c r="E33" t="str">
        <f t="shared" si="20"/>
        <v>3C1 Biomass burning (CH4)</v>
      </c>
      <c r="F33" t="str">
        <f>'IPCC Categories'!C64</f>
        <v>3C1f Biomass burning in Other lands</v>
      </c>
      <c r="G33" t="str">
        <f t="shared" si="21"/>
        <v>CH4</v>
      </c>
      <c r="H33" t="str">
        <f t="shared" si="21"/>
        <v>Gg CH4</v>
      </c>
      <c r="I33" s="28">
        <f>'Emissions summary'!F33</f>
        <v>0</v>
      </c>
      <c r="J33" s="28">
        <f>'Emissions summary'!G33</f>
        <v>0</v>
      </c>
      <c r="K33" s="28">
        <f>'Emissions summary'!H33</f>
        <v>0</v>
      </c>
      <c r="L33" s="28">
        <f>'Emissions summary'!I33</f>
        <v>0</v>
      </c>
      <c r="M33" s="28">
        <f>'Emissions summary'!J33</f>
        <v>0</v>
      </c>
      <c r="N33" s="28">
        <f>'Emissions summary'!K33</f>
        <v>0</v>
      </c>
      <c r="O33" s="28">
        <f>'Emissions summary'!L33</f>
        <v>0</v>
      </c>
      <c r="P33" s="28">
        <f>'Emissions summary'!M33</f>
        <v>0</v>
      </c>
      <c r="Q33" s="28">
        <f>'Emissions summary'!N33</f>
        <v>0</v>
      </c>
      <c r="R33" s="28">
        <f>'Emissions summary'!O33</f>
        <v>0</v>
      </c>
      <c r="S33" s="28">
        <f>'Emissions summary'!P33</f>
        <v>0</v>
      </c>
      <c r="T33" s="28">
        <f>'Emissions summary'!Q33</f>
        <v>0</v>
      </c>
      <c r="U33" s="28">
        <f>'Emissions summary'!R33</f>
        <v>0</v>
      </c>
      <c r="V33" s="28">
        <f>'Emissions summary'!S33</f>
        <v>0</v>
      </c>
      <c r="W33" s="28">
        <f>'Emissions summary'!T33</f>
        <v>0</v>
      </c>
      <c r="X33" s="28">
        <f>'Emissions summary'!U33</f>
        <v>0</v>
      </c>
      <c r="Y33" s="28">
        <f>'Emissions summary'!V33</f>
        <v>0</v>
      </c>
      <c r="Z33" s="28">
        <f>'Emissions summary'!W33</f>
        <v>0</v>
      </c>
      <c r="AA33" s="28">
        <f>'Emissions summary'!X33</f>
        <v>0</v>
      </c>
      <c r="AB33" s="28">
        <f>'Emissions summary'!Y33</f>
        <v>0</v>
      </c>
      <c r="AC33" s="28">
        <f>'Emissions summary'!Z33</f>
        <v>0</v>
      </c>
      <c r="AD33" s="28">
        <f>'Emissions summary'!AA33</f>
        <v>0</v>
      </c>
      <c r="AE33" s="28">
        <f>'Net zero emission reductions'!K1444</f>
        <v>0</v>
      </c>
      <c r="AF33" s="28">
        <f>'Net zero emission reductions'!L1444</f>
        <v>0</v>
      </c>
      <c r="AG33" s="28">
        <f>'Net zero emission reductions'!M1444</f>
        <v>0</v>
      </c>
      <c r="AH33" s="28">
        <f>'Net zero emission reductions'!N1444</f>
        <v>0</v>
      </c>
      <c r="AI33" s="28">
        <f>'Net zero emission reductions'!O1444</f>
        <v>0</v>
      </c>
      <c r="AJ33" s="28">
        <f>'Net zero emission reductions'!P1444</f>
        <v>0</v>
      </c>
      <c r="AK33" s="28">
        <f>'Net zero emission reductions'!Q1444</f>
        <v>0</v>
      </c>
      <c r="AL33" s="28">
        <f>'Net zero emission reductions'!R1444</f>
        <v>0</v>
      </c>
      <c r="AM33" s="28">
        <f>'Net zero emission reductions'!S1444</f>
        <v>0</v>
      </c>
      <c r="AN33" s="28">
        <f>'Net zero emission reductions'!T1444</f>
        <v>0</v>
      </c>
      <c r="AO33" s="28">
        <f>'Net zero emission reductions'!U1444</f>
        <v>0</v>
      </c>
      <c r="AP33" s="28">
        <f>'Net zero emission reductions'!V1444</f>
        <v>0</v>
      </c>
      <c r="AQ33" s="28">
        <f>'Net zero emission reductions'!W1444</f>
        <v>0</v>
      </c>
      <c r="AR33" s="28">
        <f>'Net zero emission reductions'!X1444</f>
        <v>0</v>
      </c>
      <c r="AS33" s="28">
        <f>'Net zero emission reductions'!Y1444</f>
        <v>0</v>
      </c>
      <c r="AT33" s="28">
        <f>'Net zero emission reductions'!Z1444</f>
        <v>0</v>
      </c>
      <c r="AU33" s="28">
        <f>'Net zero emission reductions'!AA1444</f>
        <v>0</v>
      </c>
      <c r="AV33" s="28">
        <f>'Net zero emission reductions'!AB1444</f>
        <v>0</v>
      </c>
      <c r="AW33" s="28">
        <f>'Net zero emission reductions'!AC1444</f>
        <v>0</v>
      </c>
      <c r="AX33" s="28">
        <f>'Net zero emission reductions'!AD1444</f>
        <v>0</v>
      </c>
      <c r="AY33" s="28">
        <f>'Net zero emission reductions'!AE1444</f>
        <v>0</v>
      </c>
      <c r="AZ33" s="28">
        <f>'Net zero emission reductions'!AF1444</f>
        <v>0</v>
      </c>
      <c r="BA33" s="28">
        <f>'Net zero emission reductions'!AG1444</f>
        <v>0</v>
      </c>
      <c r="BB33" s="28">
        <f>'Net zero emission reductions'!AH1444</f>
        <v>0</v>
      </c>
      <c r="BC33" s="28">
        <f>'Net zero emission reductions'!AI1444</f>
        <v>0</v>
      </c>
      <c r="BD33" s="28">
        <f>'Net zero emission reductions'!AJ1444</f>
        <v>0</v>
      </c>
      <c r="BE33" s="28">
        <f>'Net zero emission reductions'!AK1444</f>
        <v>0</v>
      </c>
      <c r="BF33" s="28">
        <f>'Net zero emission reductions'!AL1444</f>
        <v>0</v>
      </c>
      <c r="BG33" s="28">
        <f>'Net zero emission reductions'!AM1444</f>
        <v>0</v>
      </c>
      <c r="BH33" s="28">
        <f>'Net zero emission reductions'!AN1444</f>
        <v>0</v>
      </c>
      <c r="BI33" s="28">
        <f>'Net zero emission reductions'!AO1444</f>
        <v>0</v>
      </c>
      <c r="BJ33" s="28">
        <f>'Net zero emission reductions'!AP1444</f>
        <v>0</v>
      </c>
      <c r="BK33" s="28">
        <f>'Net zero emission reductions'!AQ1444</f>
        <v>0</v>
      </c>
      <c r="BL33" s="28">
        <f>'Net zero emission reductions'!AR1444</f>
        <v>0</v>
      </c>
      <c r="BM33" s="28">
        <f>'Net zero emission reductions'!AS1444</f>
        <v>0</v>
      </c>
      <c r="BN33" s="28">
        <f>'Net zero emission reductions'!AT1444</f>
        <v>0</v>
      </c>
      <c r="BO33" s="28">
        <f>'Net zero emission reductions'!AU1444</f>
        <v>0</v>
      </c>
      <c r="BP33" s="28">
        <f>'Net zero emission reductions'!AV1444</f>
        <v>0</v>
      </c>
      <c r="BQ33" s="28">
        <f>'Net zero emission reductions'!AW1444</f>
        <v>0</v>
      </c>
    </row>
    <row r="34" spans="1:72" s="19" customFormat="1" ht="15.75" x14ac:dyDescent="0.25">
      <c r="A34" s="104"/>
      <c r="B34" s="104"/>
      <c r="C34" s="104"/>
      <c r="D34" s="19" t="str">
        <f t="shared" si="20"/>
        <v>3C Aggregated and non-CO2 emissions on land</v>
      </c>
      <c r="E34" s="19" t="str">
        <f>'IPCC Categories'!B65</f>
        <v>3C1 Biomass burning (N2O)</v>
      </c>
      <c r="F34" s="19" t="s">
        <v>148</v>
      </c>
      <c r="G34" s="19" t="s">
        <v>139</v>
      </c>
      <c r="H34" s="19" t="s">
        <v>287</v>
      </c>
      <c r="I34" s="47">
        <f>SUM(I35:I40)</f>
        <v>3.7075879357894523</v>
      </c>
      <c r="J34" s="47">
        <f t="shared" ref="J34:AE34" si="22">SUM(J35:J40)</f>
        <v>3.7075879357894523</v>
      </c>
      <c r="K34" s="47">
        <f t="shared" si="22"/>
        <v>3.7075879357894523</v>
      </c>
      <c r="L34" s="47">
        <f t="shared" si="22"/>
        <v>3.7075879357894523</v>
      </c>
      <c r="M34" s="47">
        <f t="shared" si="22"/>
        <v>3.7075879357894523</v>
      </c>
      <c r="N34" s="47">
        <f t="shared" si="22"/>
        <v>3.7075879357894523</v>
      </c>
      <c r="O34" s="47">
        <f t="shared" si="22"/>
        <v>3.7075879357894523</v>
      </c>
      <c r="P34" s="47">
        <f t="shared" si="22"/>
        <v>3.7075879357894523</v>
      </c>
      <c r="Q34" s="47">
        <f t="shared" si="22"/>
        <v>3.7075879357894523</v>
      </c>
      <c r="R34" s="47">
        <f t="shared" si="22"/>
        <v>3.7075879357894523</v>
      </c>
      <c r="S34" s="47">
        <f t="shared" si="22"/>
        <v>3.6718973949162081</v>
      </c>
      <c r="T34" s="47">
        <f t="shared" si="22"/>
        <v>4.3479436666429772</v>
      </c>
      <c r="U34" s="47">
        <f t="shared" si="22"/>
        <v>4.2850613259475647</v>
      </c>
      <c r="V34" s="47">
        <f t="shared" si="22"/>
        <v>3.282468107830713</v>
      </c>
      <c r="W34" s="47">
        <f t="shared" si="22"/>
        <v>2.9505691836097965</v>
      </c>
      <c r="X34" s="47">
        <f t="shared" si="22"/>
        <v>4.6706814433352601</v>
      </c>
      <c r="Y34" s="47">
        <f t="shared" si="22"/>
        <v>4.0754902880758053</v>
      </c>
      <c r="Z34" s="47">
        <f t="shared" si="22"/>
        <v>3.9272122256664277</v>
      </c>
      <c r="AA34" s="47">
        <f t="shared" si="22"/>
        <v>3.8070383668685825</v>
      </c>
      <c r="AB34" s="47">
        <f t="shared" si="22"/>
        <v>3.574643820819225</v>
      </c>
      <c r="AC34" s="47">
        <f t="shared" si="22"/>
        <v>3.6185702919300007</v>
      </c>
      <c r="AD34" s="47">
        <f t="shared" si="22"/>
        <v>3.5841393659915992</v>
      </c>
      <c r="AE34" s="47">
        <f t="shared" si="22"/>
        <v>3.090013816562077</v>
      </c>
      <c r="AF34" s="47">
        <f t="shared" ref="AF34:BQ34" si="23">SUM(AF35:AF40)</f>
        <v>3.2036391768546908</v>
      </c>
      <c r="AG34" s="47">
        <f t="shared" si="23"/>
        <v>3.1730419131473035</v>
      </c>
      <c r="AH34" s="47">
        <f t="shared" si="23"/>
        <v>3.1449518814399164</v>
      </c>
      <c r="AI34" s="47">
        <f t="shared" si="23"/>
        <v>3.1761268737325303</v>
      </c>
      <c r="AJ34" s="47">
        <f t="shared" si="23"/>
        <v>3.2043578340251431</v>
      </c>
      <c r="AK34" s="47">
        <f t="shared" si="23"/>
        <v>3.2157894663177569</v>
      </c>
      <c r="AL34" s="47">
        <f t="shared" si="23"/>
        <v>3.2312714849038415</v>
      </c>
      <c r="AM34" s="47">
        <f t="shared" si="23"/>
        <v>3.2467535034899253</v>
      </c>
      <c r="AN34" s="47">
        <f t="shared" si="23"/>
        <v>3.26223552207601</v>
      </c>
      <c r="AO34" s="47">
        <f t="shared" si="23"/>
        <v>3.2777175406620933</v>
      </c>
      <c r="AP34" s="47">
        <f t="shared" si="23"/>
        <v>3.2931995592481784</v>
      </c>
      <c r="AQ34" s="47">
        <f t="shared" si="23"/>
        <v>3.3086815778342631</v>
      </c>
      <c r="AR34" s="47">
        <f t="shared" si="23"/>
        <v>3.3241635964203464</v>
      </c>
      <c r="AS34" s="47">
        <f t="shared" si="23"/>
        <v>3.3396456150064311</v>
      </c>
      <c r="AT34" s="47">
        <f t="shared" si="23"/>
        <v>3.3551276335925149</v>
      </c>
      <c r="AU34" s="47">
        <f t="shared" si="23"/>
        <v>3.3706096521785995</v>
      </c>
      <c r="AV34" s="47">
        <f t="shared" si="23"/>
        <v>3.3860916707646842</v>
      </c>
      <c r="AW34" s="47">
        <f t="shared" si="23"/>
        <v>3.4015736893507675</v>
      </c>
      <c r="AX34" s="47">
        <f t="shared" si="23"/>
        <v>3.4166247163658898</v>
      </c>
      <c r="AY34" s="47">
        <f t="shared" si="23"/>
        <v>3.4316757433810112</v>
      </c>
      <c r="AZ34" s="47">
        <f t="shared" si="23"/>
        <v>3.4467267703961331</v>
      </c>
      <c r="BA34" s="47">
        <f t="shared" si="23"/>
        <v>3.4617777974112558</v>
      </c>
      <c r="BB34" s="47">
        <f t="shared" si="23"/>
        <v>3.4768288244263776</v>
      </c>
      <c r="BC34" s="47">
        <f t="shared" si="23"/>
        <v>3.491879851441499</v>
      </c>
      <c r="BD34" s="47">
        <f t="shared" si="23"/>
        <v>3.5069308784566204</v>
      </c>
      <c r="BE34" s="47">
        <f t="shared" si="23"/>
        <v>3.5219819054717427</v>
      </c>
      <c r="BF34" s="47">
        <f t="shared" si="23"/>
        <v>3.5362807779692043</v>
      </c>
      <c r="BG34" s="47">
        <f t="shared" si="23"/>
        <v>3.5505796504666653</v>
      </c>
      <c r="BH34" s="47">
        <f t="shared" si="23"/>
        <v>3.5648785229641264</v>
      </c>
      <c r="BI34" s="47">
        <f t="shared" si="23"/>
        <v>3.5791773954615884</v>
      </c>
      <c r="BJ34" s="47">
        <f t="shared" si="23"/>
        <v>3.59347626795905</v>
      </c>
      <c r="BK34" s="47">
        <f t="shared" si="23"/>
        <v>3.6077751404565115</v>
      </c>
      <c r="BL34" s="47">
        <f t="shared" si="23"/>
        <v>3.622074012953973</v>
      </c>
      <c r="BM34" s="47">
        <f t="shared" si="23"/>
        <v>3.6363728854514346</v>
      </c>
      <c r="BN34" s="47">
        <f t="shared" si="23"/>
        <v>3.6506717579488956</v>
      </c>
      <c r="BO34" s="47">
        <f t="shared" si="23"/>
        <v>3.6649706304463576</v>
      </c>
      <c r="BP34" s="47">
        <f t="shared" si="23"/>
        <v>3.6792695029438187</v>
      </c>
      <c r="BQ34" s="47">
        <f t="shared" si="23"/>
        <v>3.6935683754412798</v>
      </c>
      <c r="BT34"/>
    </row>
    <row r="35" spans="1:72" x14ac:dyDescent="0.25">
      <c r="D35" t="str">
        <f>D33</f>
        <v>3C Aggregated and non-CO2 emissions on land</v>
      </c>
      <c r="E35" t="str">
        <f>'IPCC Categories'!B65</f>
        <v>3C1 Biomass burning (N2O)</v>
      </c>
      <c r="F35" t="str">
        <f>'IPCC Categories'!C65</f>
        <v>3C1a Biomass burning in forest land</v>
      </c>
      <c r="G35" t="s">
        <v>139</v>
      </c>
      <c r="H35" t="s">
        <v>287</v>
      </c>
      <c r="I35" s="28">
        <f>'Emissions summary'!F35</f>
        <v>1.1438763741385864</v>
      </c>
      <c r="J35" s="28">
        <f>'Emissions summary'!G35</f>
        <v>1.1438763741385864</v>
      </c>
      <c r="K35" s="28">
        <f>'Emissions summary'!H35</f>
        <v>1.1438763741385864</v>
      </c>
      <c r="L35" s="28">
        <f>'Emissions summary'!I35</f>
        <v>1.1438763741385864</v>
      </c>
      <c r="M35" s="28">
        <f>'Emissions summary'!J35</f>
        <v>1.1438763741385864</v>
      </c>
      <c r="N35" s="28">
        <f>'Emissions summary'!K35</f>
        <v>1.1438763741385864</v>
      </c>
      <c r="O35" s="28">
        <f>'Emissions summary'!L35</f>
        <v>1.1438763741385864</v>
      </c>
      <c r="P35" s="28">
        <f>'Emissions summary'!M35</f>
        <v>1.1438763741385864</v>
      </c>
      <c r="Q35" s="28">
        <f>'Emissions summary'!N35</f>
        <v>1.1438763741385864</v>
      </c>
      <c r="R35" s="28">
        <f>'Emissions summary'!O35</f>
        <v>1.1438763741385864</v>
      </c>
      <c r="S35" s="28">
        <f>'Emissions summary'!P35</f>
        <v>1.129665625804974</v>
      </c>
      <c r="T35" s="28">
        <f>'Emissions summary'!Q35</f>
        <v>1.5001940667446125</v>
      </c>
      <c r="U35" s="28">
        <f>'Emissions summary'!R35</f>
        <v>1.2536062459262034</v>
      </c>
      <c r="V35" s="28">
        <f>'Emissions summary'!S35</f>
        <v>0.90130843582112352</v>
      </c>
      <c r="W35" s="28">
        <f>'Emissions summary'!T35</f>
        <v>0.93460749639601826</v>
      </c>
      <c r="X35" s="28">
        <f>'Emissions summary'!U35</f>
        <v>1.4818082671125721</v>
      </c>
      <c r="Y35" s="28">
        <f>'Emissions summary'!V35</f>
        <v>1.2335191780721162</v>
      </c>
      <c r="Z35" s="28">
        <f>'Emissions summary'!W35</f>
        <v>1.3425917486681966</v>
      </c>
      <c r="AA35" s="28">
        <f>'Emissions summary'!X35</f>
        <v>1.3834411759926073</v>
      </c>
      <c r="AB35" s="28">
        <f>'Emissions summary'!Y35</f>
        <v>1.0406581288181318</v>
      </c>
      <c r="AC35" s="28">
        <f>'Emissions summary'!Z35</f>
        <v>1.1705685167880002</v>
      </c>
      <c r="AD35" s="28">
        <f>'Emissions summary'!AA35</f>
        <v>1.1141746509779999</v>
      </c>
      <c r="AE35" s="28">
        <f>SUM('Net zero emission reductions'!K1445:K1448)</f>
        <v>0.81337835040550022</v>
      </c>
      <c r="AF35" s="28">
        <f>SUM('Net zero emission reductions'!L1445:L1448)</f>
        <v>0.91618667449117541</v>
      </c>
      <c r="AG35" s="28">
        <f>SUM('Net zero emission reductions'!M1445:M1448)</f>
        <v>0.87477237457685053</v>
      </c>
      <c r="AH35" s="28">
        <f>SUM('Net zero emission reductions'!N1445:N1448)</f>
        <v>0.83586530666252568</v>
      </c>
      <c r="AI35" s="28">
        <f>SUM('Net zero emission reductions'!O1445:O1448)</f>
        <v>0.85622326274820093</v>
      </c>
      <c r="AJ35" s="28">
        <f>SUM('Net zero emission reductions'!P1445:P1448)</f>
        <v>0.87363718683387614</v>
      </c>
      <c r="AK35" s="28">
        <f>SUM('Net zero emission reductions'!Q1445:Q1448)</f>
        <v>0.87425178291955141</v>
      </c>
      <c r="AL35" s="28">
        <f>SUM('Net zero emission reductions'!R1445:R1448)</f>
        <v>0.87129977937663372</v>
      </c>
      <c r="AM35" s="28">
        <f>SUM('Net zero emission reductions'!S1445:S1448)</f>
        <v>0.86834777583371592</v>
      </c>
      <c r="AN35" s="28">
        <f>SUM('Net zero emission reductions'!T1445:T1448)</f>
        <v>0.86539577229079812</v>
      </c>
      <c r="AO35" s="28">
        <f>SUM('Net zero emission reductions'!U1445:U1448)</f>
        <v>0.86244376874788042</v>
      </c>
      <c r="AP35" s="28">
        <f>SUM('Net zero emission reductions'!V1445:V1448)</f>
        <v>0.85949176520496295</v>
      </c>
      <c r="AQ35" s="28">
        <f>SUM('Net zero emission reductions'!W1445:W1448)</f>
        <v>0.85653976166204526</v>
      </c>
      <c r="AR35" s="28">
        <f>SUM('Net zero emission reductions'!X1445:X1448)</f>
        <v>0.85358775811912746</v>
      </c>
      <c r="AS35" s="28">
        <f>SUM('Net zero emission reductions'!Y1445:Y1448)</f>
        <v>0.85063575457620977</v>
      </c>
      <c r="AT35" s="28">
        <f>SUM('Net zero emission reductions'!Z1445:Z1448)</f>
        <v>0.84768375103329197</v>
      </c>
      <c r="AU35" s="28">
        <f>SUM('Net zero emission reductions'!AA1445:AA1448)</f>
        <v>0.84473174749037416</v>
      </c>
      <c r="AV35" s="28">
        <f>SUM('Net zero emission reductions'!AB1445:AB1448)</f>
        <v>0.84177974394745669</v>
      </c>
      <c r="AW35" s="28">
        <f>SUM('Net zero emission reductions'!AC1445:AC1448)</f>
        <v>0.838827740404539</v>
      </c>
      <c r="AX35" s="28">
        <f>SUM('Net zero emission reductions'!AD1445:AD1448)</f>
        <v>0.83512358234396089</v>
      </c>
      <c r="AY35" s="28">
        <f>SUM('Net zero emission reductions'!AE1445:AE1448)</f>
        <v>0.83141942428338278</v>
      </c>
      <c r="AZ35" s="28">
        <f>SUM('Net zero emission reductions'!AF1445:AF1448)</f>
        <v>0.82771526622280467</v>
      </c>
      <c r="BA35" s="28">
        <f>SUM('Net zero emission reductions'!AG1445:AG1448)</f>
        <v>0.82401110816222667</v>
      </c>
      <c r="BB35" s="28">
        <f>SUM('Net zero emission reductions'!AH1445:AH1448)</f>
        <v>0.82030695010164856</v>
      </c>
      <c r="BC35" s="28">
        <f>SUM('Net zero emission reductions'!AI1445:AI1448)</f>
        <v>0.81660279204107056</v>
      </c>
      <c r="BD35" s="28">
        <f>SUM('Net zero emission reductions'!AJ1445:AJ1448)</f>
        <v>0.81289863398049245</v>
      </c>
      <c r="BE35" s="28">
        <f>SUM('Net zero emission reductions'!AK1445:AK1448)</f>
        <v>0.80919447591991434</v>
      </c>
      <c r="BF35" s="28">
        <f>SUM('Net zero emission reductions'!AL1445:AL1448)</f>
        <v>0.80473816334167581</v>
      </c>
      <c r="BG35" s="28">
        <f>SUM('Net zero emission reductions'!AM1445:AM1448)</f>
        <v>0.80028185076343727</v>
      </c>
      <c r="BH35" s="28">
        <f>SUM('Net zero emission reductions'!AN1445:AN1448)</f>
        <v>0.79582553818519886</v>
      </c>
      <c r="BI35" s="28">
        <f>SUM('Net zero emission reductions'!AO1445:AO1448)</f>
        <v>0.79136922560696055</v>
      </c>
      <c r="BJ35" s="28">
        <f>SUM('Net zero emission reductions'!AP1445:AP1448)</f>
        <v>0.78691291302872202</v>
      </c>
      <c r="BK35" s="28">
        <f>SUM('Net zero emission reductions'!AQ1445:AQ1448)</f>
        <v>0.7824566004504836</v>
      </c>
      <c r="BL35" s="28">
        <f>SUM('Net zero emission reductions'!AR1445:AR1448)</f>
        <v>0.77800028787224518</v>
      </c>
      <c r="BM35" s="28">
        <f>SUM('Net zero emission reductions'!AS1445:AS1448)</f>
        <v>0.77354397529400676</v>
      </c>
      <c r="BN35" s="28">
        <f>SUM('Net zero emission reductions'!AT1445:AT1448)</f>
        <v>0.76908766271576834</v>
      </c>
      <c r="BO35" s="28">
        <f>SUM('Net zero emission reductions'!AU1445:AU1448)</f>
        <v>0.76463135013752992</v>
      </c>
      <c r="BP35" s="28">
        <f>SUM('Net zero emission reductions'!AV1445:AV1448)</f>
        <v>0.76017503755929161</v>
      </c>
      <c r="BQ35" s="28">
        <f>SUM('Net zero emission reductions'!AW1445:AW1448)</f>
        <v>0.75571872498105297</v>
      </c>
    </row>
    <row r="36" spans="1:72" x14ac:dyDescent="0.25">
      <c r="D36" t="str">
        <f t="shared" si="20"/>
        <v>3C Aggregated and non-CO2 emissions on land</v>
      </c>
      <c r="E36" t="str">
        <f>E35</f>
        <v>3C1 Biomass burning (N2O)</v>
      </c>
      <c r="F36" t="str">
        <f>'IPCC Categories'!C66</f>
        <v>3C1b Biomass burning in Croplands</v>
      </c>
      <c r="G36" t="str">
        <f>G35</f>
        <v>N2O</v>
      </c>
      <c r="H36" t="str">
        <f>H35</f>
        <v>Gg N2O</v>
      </c>
      <c r="I36" s="28">
        <f>'Emissions summary'!F36</f>
        <v>0.26227938544915658</v>
      </c>
      <c r="J36" s="28">
        <f>'Emissions summary'!G36</f>
        <v>0.26227938544915658</v>
      </c>
      <c r="K36" s="28">
        <f>'Emissions summary'!H36</f>
        <v>0.26227938544915658</v>
      </c>
      <c r="L36" s="28">
        <f>'Emissions summary'!I36</f>
        <v>0.26227938544915658</v>
      </c>
      <c r="M36" s="28">
        <f>'Emissions summary'!J36</f>
        <v>0.26227938544915658</v>
      </c>
      <c r="N36" s="28">
        <f>'Emissions summary'!K36</f>
        <v>0.26227938544915658</v>
      </c>
      <c r="O36" s="28">
        <f>'Emissions summary'!L36</f>
        <v>0.26227938544915658</v>
      </c>
      <c r="P36" s="28">
        <f>'Emissions summary'!M36</f>
        <v>0.26227938544915658</v>
      </c>
      <c r="Q36" s="28">
        <f>'Emissions summary'!N36</f>
        <v>0.26227938544915658</v>
      </c>
      <c r="R36" s="28">
        <f>'Emissions summary'!O36</f>
        <v>0.26227938544915658</v>
      </c>
      <c r="S36" s="28">
        <f>'Emissions summary'!P36</f>
        <v>0.27249351091104779</v>
      </c>
      <c r="T36" s="28">
        <f>'Emissions summary'!Q36</f>
        <v>0.28214910438509594</v>
      </c>
      <c r="U36" s="28">
        <f>'Emissions summary'!R36</f>
        <v>0.3096912890487743</v>
      </c>
      <c r="V36" s="28">
        <f>'Emissions summary'!S36</f>
        <v>0.24106195370044609</v>
      </c>
      <c r="W36" s="28">
        <f>'Emissions summary'!T36</f>
        <v>0.20600106920041864</v>
      </c>
      <c r="X36" s="28">
        <f>'Emissions summary'!U36</f>
        <v>0.35933732059976431</v>
      </c>
      <c r="Y36" s="28">
        <f>'Emissions summary'!V36</f>
        <v>0.33855631263102837</v>
      </c>
      <c r="Z36" s="28">
        <f>'Emissions summary'!W36</f>
        <v>0.27162292461420739</v>
      </c>
      <c r="AA36" s="28">
        <f>'Emissions summary'!X36</f>
        <v>0.2444764609945474</v>
      </c>
      <c r="AB36" s="28">
        <f>'Emissions summary'!Y36</f>
        <v>0.25418858604631245</v>
      </c>
      <c r="AC36" s="28">
        <f>'Emissions summary'!Z36</f>
        <v>0.25351308360000002</v>
      </c>
      <c r="AD36" s="28">
        <f>'Emissions summary'!AA36</f>
        <v>0.24445247399999998</v>
      </c>
      <c r="AE36" s="28">
        <f>SUM('Net zero emission reductions'!K1449:K1453)</f>
        <v>0.23150267764623561</v>
      </c>
      <c r="AF36" s="28">
        <f>SUM('Net zero emission reductions'!L1449:L1453)</f>
        <v>0.23149080350455245</v>
      </c>
      <c r="AG36" s="28">
        <f>SUM('Net zero emission reductions'!M1449:M1453)</f>
        <v>0.23147892936286932</v>
      </c>
      <c r="AH36" s="28">
        <f>SUM('Net zero emission reductions'!N1449:N1453)</f>
        <v>0.23146705522118621</v>
      </c>
      <c r="AI36" s="28">
        <f>SUM('Net zero emission reductions'!O1449:O1453)</f>
        <v>0.23145518107950305</v>
      </c>
      <c r="AJ36" s="28">
        <f>SUM('Net zero emission reductions'!P1449:P1453)</f>
        <v>0.23144330693781995</v>
      </c>
      <c r="AK36" s="28">
        <f>SUM('Net zero emission reductions'!Q1449:Q1453)</f>
        <v>0.23143143279613676</v>
      </c>
      <c r="AL36" s="28">
        <f>SUM('Net zero emission reductions'!R1449:R1453)</f>
        <v>0.23141955865445368</v>
      </c>
      <c r="AM36" s="28">
        <f>SUM('Net zero emission reductions'!S1449:S1453)</f>
        <v>0.23140768451277055</v>
      </c>
      <c r="AN36" s="28">
        <f>SUM('Net zero emission reductions'!T1449:T1453)</f>
        <v>0.23139581037108745</v>
      </c>
      <c r="AO36" s="28">
        <f>SUM('Net zero emission reductions'!U1449:U1453)</f>
        <v>0.23138393622940429</v>
      </c>
      <c r="AP36" s="28">
        <f>SUM('Net zero emission reductions'!V1449:V1453)</f>
        <v>0.23137206208772113</v>
      </c>
      <c r="AQ36" s="28">
        <f>SUM('Net zero emission reductions'!W1449:W1453)</f>
        <v>0.23136018794603802</v>
      </c>
      <c r="AR36" s="28">
        <f>SUM('Net zero emission reductions'!X1449:X1453)</f>
        <v>0.23134831380435489</v>
      </c>
      <c r="AS36" s="28">
        <f>SUM('Net zero emission reductions'!Y1449:Y1453)</f>
        <v>0.23133643966267178</v>
      </c>
      <c r="AT36" s="28">
        <f>SUM('Net zero emission reductions'!Z1449:Z1453)</f>
        <v>0.23132456552098865</v>
      </c>
      <c r="AU36" s="28">
        <f>SUM('Net zero emission reductions'!AA1449:AA1453)</f>
        <v>0.23131269137930549</v>
      </c>
      <c r="AV36" s="28">
        <f>SUM('Net zero emission reductions'!AB1449:AB1453)</f>
        <v>0.23130081723762241</v>
      </c>
      <c r="AW36" s="28">
        <f>SUM('Net zero emission reductions'!AC1449:AC1453)</f>
        <v>0.23128894309593925</v>
      </c>
      <c r="AX36" s="28">
        <f>SUM('Net zero emission reductions'!AD1449:AD1453)</f>
        <v>0.23127706895425609</v>
      </c>
      <c r="AY36" s="28">
        <f>SUM('Net zero emission reductions'!AE1449:AE1453)</f>
        <v>0.23126519481257302</v>
      </c>
      <c r="AZ36" s="28">
        <f>SUM('Net zero emission reductions'!AF1449:AF1453)</f>
        <v>0.23125332067088986</v>
      </c>
      <c r="BA36" s="28">
        <f>SUM('Net zero emission reductions'!AG1449:AG1453)</f>
        <v>0.23124144652920675</v>
      </c>
      <c r="BB36" s="28">
        <f>SUM('Net zero emission reductions'!AH1449:AH1453)</f>
        <v>0.23122957238752362</v>
      </c>
      <c r="BC36" s="28">
        <f>SUM('Net zero emission reductions'!AI1449:AI1453)</f>
        <v>0.23121769824584049</v>
      </c>
      <c r="BD36" s="28">
        <f>SUM('Net zero emission reductions'!AJ1449:AJ1453)</f>
        <v>0.2312058241041573</v>
      </c>
      <c r="BE36" s="28">
        <f>SUM('Net zero emission reductions'!AK1449:AK1453)</f>
        <v>0.23119394996247425</v>
      </c>
      <c r="BF36" s="28">
        <f>SUM('Net zero emission reductions'!AL1449:AL1453)</f>
        <v>0.23118207582079112</v>
      </c>
      <c r="BG36" s="28">
        <f>SUM('Net zero emission reductions'!AM1449:AM1453)</f>
        <v>0.23117020167910793</v>
      </c>
      <c r="BH36" s="28">
        <f>SUM('Net zero emission reductions'!AN1449:AN1453)</f>
        <v>0.23115832753742488</v>
      </c>
      <c r="BI36" s="28">
        <f>SUM('Net zero emission reductions'!AO1449:AO1453)</f>
        <v>0.23114645339574169</v>
      </c>
      <c r="BJ36" s="28">
        <f>SUM('Net zero emission reductions'!AP1449:AP1453)</f>
        <v>0.23113457925405859</v>
      </c>
      <c r="BK36" s="28">
        <f>SUM('Net zero emission reductions'!AQ1449:AQ1453)</f>
        <v>0.23112270511237543</v>
      </c>
      <c r="BL36" s="28">
        <f>SUM('Net zero emission reductions'!AR1449:AR1453)</f>
        <v>0.23111083097069229</v>
      </c>
      <c r="BM36" s="28">
        <f>SUM('Net zero emission reductions'!AS1449:AS1453)</f>
        <v>0.23109895682900922</v>
      </c>
      <c r="BN36" s="28">
        <f>SUM('Net zero emission reductions'!AT1449:AT1453)</f>
        <v>0.23108708268732603</v>
      </c>
      <c r="BO36" s="28">
        <f>SUM('Net zero emission reductions'!AU1449:AU1453)</f>
        <v>0.23107520854564292</v>
      </c>
      <c r="BP36" s="28">
        <f>SUM('Net zero emission reductions'!AV1449:AV1453)</f>
        <v>0.23106333440395979</v>
      </c>
      <c r="BQ36" s="28">
        <f>SUM('Net zero emission reductions'!AW1449:AW1453)</f>
        <v>0.23105146026227666</v>
      </c>
    </row>
    <row r="37" spans="1:72" x14ac:dyDescent="0.25">
      <c r="D37" t="str">
        <f t="shared" si="20"/>
        <v>3C Aggregated and non-CO2 emissions on land</v>
      </c>
      <c r="E37" t="str">
        <f t="shared" si="20"/>
        <v>3C1 Biomass burning (N2O)</v>
      </c>
      <c r="F37" t="str">
        <f>'IPCC Categories'!C67</f>
        <v>3C1c Biomass burning in Grasslands</v>
      </c>
      <c r="G37" t="str">
        <f t="shared" ref="G37:H40" si="24">G36</f>
        <v>N2O</v>
      </c>
      <c r="H37" t="str">
        <f t="shared" si="24"/>
        <v>Gg N2O</v>
      </c>
      <c r="I37" s="28">
        <f>'Emissions summary'!F37</f>
        <v>2.1832325939202906</v>
      </c>
      <c r="J37" s="28">
        <f>'Emissions summary'!G37</f>
        <v>2.1832325939202906</v>
      </c>
      <c r="K37" s="28">
        <f>'Emissions summary'!H37</f>
        <v>2.1832325939202906</v>
      </c>
      <c r="L37" s="28">
        <f>'Emissions summary'!I37</f>
        <v>2.1832325939202906</v>
      </c>
      <c r="M37" s="28">
        <f>'Emissions summary'!J37</f>
        <v>2.1832325939202906</v>
      </c>
      <c r="N37" s="28">
        <f>'Emissions summary'!K37</f>
        <v>2.1832325939202906</v>
      </c>
      <c r="O37" s="28">
        <f>'Emissions summary'!L37</f>
        <v>2.1832325939202906</v>
      </c>
      <c r="P37" s="28">
        <f>'Emissions summary'!M37</f>
        <v>2.1832325939202906</v>
      </c>
      <c r="Q37" s="28">
        <f>'Emissions summary'!N37</f>
        <v>2.1832325939202906</v>
      </c>
      <c r="R37" s="28">
        <f>'Emissions summary'!O37</f>
        <v>2.1832325939202906</v>
      </c>
      <c r="S37" s="28">
        <f>'Emissions summary'!P37</f>
        <v>2.1560404954267964</v>
      </c>
      <c r="T37" s="28">
        <f>'Emissions summary'!Q37</f>
        <v>2.4331484625916917</v>
      </c>
      <c r="U37" s="28">
        <f>'Emissions summary'!R37</f>
        <v>2.5851794612386958</v>
      </c>
      <c r="V37" s="28">
        <f>'Emissions summary'!S37</f>
        <v>2.026241021042972</v>
      </c>
      <c r="W37" s="28">
        <f>'Emissions summary'!T37</f>
        <v>1.7155535293012945</v>
      </c>
      <c r="X37" s="28">
        <f>'Emissions summary'!U37</f>
        <v>2.664720786608763</v>
      </c>
      <c r="Y37" s="28">
        <f>'Emissions summary'!V37</f>
        <v>2.3579698696662157</v>
      </c>
      <c r="Z37" s="28">
        <f>'Emissions summary'!W37</f>
        <v>2.1705723800404217</v>
      </c>
      <c r="AA37" s="28">
        <f>'Emissions summary'!X37</f>
        <v>2.069932733340706</v>
      </c>
      <c r="AB37" s="28">
        <f>'Emissions summary'!Y37</f>
        <v>2.153682585932855</v>
      </c>
      <c r="AC37" s="28">
        <f>'Emissions summary'!Z37</f>
        <v>2.0565198387720001</v>
      </c>
      <c r="AD37" s="28">
        <f>'Emissions summary'!AA37</f>
        <v>2.0914494266735995</v>
      </c>
      <c r="AE37" s="28">
        <f>SUM('Net zero emission reductions'!K1454:K1456)</f>
        <v>1.9270838146967177</v>
      </c>
      <c r="AF37" s="28">
        <f>SUM('Net zero emission reductions'!L1454:L1456)</f>
        <v>1.9378298037617634</v>
      </c>
      <c r="AG37" s="28">
        <f>SUM('Net zero emission reductions'!M1454:M1456)</f>
        <v>1.9485757928268084</v>
      </c>
      <c r="AH37" s="28">
        <f>SUM('Net zero emission reductions'!N1454:N1456)</f>
        <v>1.9593217818918536</v>
      </c>
      <c r="AI37" s="28">
        <f>SUM('Net zero emission reductions'!O1454:O1456)</f>
        <v>1.9700677709568992</v>
      </c>
      <c r="AJ37" s="28">
        <f>SUM('Net zero emission reductions'!P1454:P1456)</f>
        <v>1.9808137600219442</v>
      </c>
      <c r="AK37" s="28">
        <f>SUM('Net zero emission reductions'!Q1454:Q1456)</f>
        <v>1.9915597490869896</v>
      </c>
      <c r="AL37" s="28">
        <f>SUM('Net zero emission reductions'!R1454:R1456)</f>
        <v>2.0099227240740993</v>
      </c>
      <c r="AM37" s="28">
        <f>SUM('Net zero emission reductions'!S1454:S1456)</f>
        <v>2.0282856990612084</v>
      </c>
      <c r="AN37" s="28">
        <f>SUM('Net zero emission reductions'!T1454:T1456)</f>
        <v>2.0466486740483179</v>
      </c>
      <c r="AO37" s="28">
        <f>SUM('Net zero emission reductions'!U1454:U1456)</f>
        <v>2.065011649035426</v>
      </c>
      <c r="AP37" s="28">
        <f>SUM('Net zero emission reductions'!V1454:V1456)</f>
        <v>2.0833746240225359</v>
      </c>
      <c r="AQ37" s="28">
        <f>SUM('Net zero emission reductions'!W1454:W1456)</f>
        <v>2.101737599009645</v>
      </c>
      <c r="AR37" s="28">
        <f>SUM('Net zero emission reductions'!X1454:X1456)</f>
        <v>2.120100573996754</v>
      </c>
      <c r="AS37" s="28">
        <f>SUM('Net zero emission reductions'!Y1454:Y1456)</f>
        <v>2.138463548983863</v>
      </c>
      <c r="AT37" s="28">
        <f>SUM('Net zero emission reductions'!Z1454:Z1456)</f>
        <v>2.1568265239709721</v>
      </c>
      <c r="AU37" s="28">
        <f>SUM('Net zero emission reductions'!AA1454:AA1456)</f>
        <v>2.1751894989580816</v>
      </c>
      <c r="AV37" s="28">
        <f>SUM('Net zero emission reductions'!AB1454:AB1456)</f>
        <v>2.1935524739451906</v>
      </c>
      <c r="AW37" s="28">
        <f>SUM('Net zero emission reductions'!AC1454:AC1456)</f>
        <v>2.2119154489322996</v>
      </c>
      <c r="AX37" s="28">
        <f>SUM('Net zero emission reductions'!AD1454:AD1456)</f>
        <v>2.230599586866107</v>
      </c>
      <c r="AY37" s="28">
        <f>SUM('Net zero emission reductions'!AE1454:AE1456)</f>
        <v>2.2492837247999136</v>
      </c>
      <c r="AZ37" s="28">
        <f>SUM('Net zero emission reductions'!AF1454:AF1456)</f>
        <v>2.267967862733721</v>
      </c>
      <c r="BA37" s="28">
        <f>SUM('Net zero emission reductions'!AG1454:AG1456)</f>
        <v>2.2866520006675284</v>
      </c>
      <c r="BB37" s="28">
        <f>SUM('Net zero emission reductions'!AH1454:AH1456)</f>
        <v>2.3053361386013353</v>
      </c>
      <c r="BC37" s="28">
        <f>SUM('Net zero emission reductions'!AI1454:AI1456)</f>
        <v>2.3240202765351423</v>
      </c>
      <c r="BD37" s="28">
        <f>SUM('Net zero emission reductions'!AJ1454:AJ1456)</f>
        <v>2.3427044144689493</v>
      </c>
      <c r="BE37" s="28">
        <f>SUM('Net zero emission reductions'!AK1454:AK1456)</f>
        <v>2.3613885524027567</v>
      </c>
      <c r="BF37" s="28">
        <f>SUM('Net zero emission reductions'!AL1454:AL1456)</f>
        <v>2.3800726903365637</v>
      </c>
      <c r="BG37" s="28">
        <f>SUM('Net zero emission reductions'!AM1454:AM1456)</f>
        <v>2.3987568282703706</v>
      </c>
      <c r="BH37" s="28">
        <f>SUM('Net zero emission reductions'!AN1454:AN1456)</f>
        <v>2.4174409662041776</v>
      </c>
      <c r="BI37" s="28">
        <f>SUM('Net zero emission reductions'!AO1454:AO1456)</f>
        <v>2.436125104137985</v>
      </c>
      <c r="BJ37" s="28">
        <f>SUM('Net zero emission reductions'!AP1454:AP1456)</f>
        <v>2.454809242071792</v>
      </c>
      <c r="BK37" s="28">
        <f>SUM('Net zero emission reductions'!AQ1454:AQ1456)</f>
        <v>2.4734933800055994</v>
      </c>
      <c r="BL37" s="28">
        <f>SUM('Net zero emission reductions'!AR1454:AR1456)</f>
        <v>2.4921775179394063</v>
      </c>
      <c r="BM37" s="28">
        <f>SUM('Net zero emission reductions'!AS1454:AS1456)</f>
        <v>2.5108616558732133</v>
      </c>
      <c r="BN37" s="28">
        <f>SUM('Net zero emission reductions'!AT1454:AT1456)</f>
        <v>2.5295457938070207</v>
      </c>
      <c r="BO37" s="28">
        <f>SUM('Net zero emission reductions'!AU1454:AU1456)</f>
        <v>2.5482299317408281</v>
      </c>
      <c r="BP37" s="28">
        <f>SUM('Net zero emission reductions'!AV1454:AV1456)</f>
        <v>2.5669140696746346</v>
      </c>
      <c r="BQ37" s="28">
        <f>SUM('Net zero emission reductions'!AW1454:AW1456)</f>
        <v>2.5855982076084416</v>
      </c>
    </row>
    <row r="38" spans="1:72" x14ac:dyDescent="0.25">
      <c r="D38" t="str">
        <f t="shared" si="20"/>
        <v>3C Aggregated and non-CO2 emissions on land</v>
      </c>
      <c r="E38" t="str">
        <f t="shared" si="20"/>
        <v>3C1 Biomass burning (N2O)</v>
      </c>
      <c r="F38" t="str">
        <f>'IPCC Categories'!C68</f>
        <v>3C1d Biomass burning in Wetlands</v>
      </c>
      <c r="G38" t="str">
        <f t="shared" si="24"/>
        <v>N2O</v>
      </c>
      <c r="H38" t="str">
        <f t="shared" si="24"/>
        <v>Gg N2O</v>
      </c>
      <c r="I38" s="28">
        <f>'Emissions summary'!F38</f>
        <v>7.357077670844267E-2</v>
      </c>
      <c r="J38" s="28">
        <f>'Emissions summary'!G38</f>
        <v>7.357077670844267E-2</v>
      </c>
      <c r="K38" s="28">
        <f>'Emissions summary'!H38</f>
        <v>7.357077670844267E-2</v>
      </c>
      <c r="L38" s="28">
        <f>'Emissions summary'!I38</f>
        <v>7.357077670844267E-2</v>
      </c>
      <c r="M38" s="28">
        <f>'Emissions summary'!J38</f>
        <v>7.357077670844267E-2</v>
      </c>
      <c r="N38" s="28">
        <f>'Emissions summary'!K38</f>
        <v>7.357077670844267E-2</v>
      </c>
      <c r="O38" s="28">
        <f>'Emissions summary'!L38</f>
        <v>7.357077670844267E-2</v>
      </c>
      <c r="P38" s="28">
        <f>'Emissions summary'!M38</f>
        <v>7.357077670844267E-2</v>
      </c>
      <c r="Q38" s="28">
        <f>'Emissions summary'!N38</f>
        <v>7.357077670844267E-2</v>
      </c>
      <c r="R38" s="28">
        <f>'Emissions summary'!O38</f>
        <v>7.357077670844267E-2</v>
      </c>
      <c r="S38" s="28">
        <f>'Emissions summary'!P38</f>
        <v>6.5083674793923713E-2</v>
      </c>
      <c r="T38" s="28">
        <f>'Emissions summary'!Q38</f>
        <v>7.8612973491927987E-2</v>
      </c>
      <c r="U38" s="28">
        <f>'Emissions summary'!R38</f>
        <v>8.8983449145904836E-2</v>
      </c>
      <c r="V38" s="28">
        <f>'Emissions summary'!S38</f>
        <v>7.2791997693814531E-2</v>
      </c>
      <c r="W38" s="28">
        <f>'Emissions summary'!T38</f>
        <v>6.2381788416642367E-2</v>
      </c>
      <c r="X38" s="28">
        <f>'Emissions summary'!U38</f>
        <v>9.2301206682713535E-2</v>
      </c>
      <c r="Y38" s="28">
        <f>'Emissions summary'!V38</f>
        <v>8.1930731028736672E-2</v>
      </c>
      <c r="Z38" s="28">
        <f>'Emissions summary'!W38</f>
        <v>7.2176126534287191E-2</v>
      </c>
      <c r="AA38" s="28">
        <f>'Emissions summary'!X38</f>
        <v>6.5818746823036997E-2</v>
      </c>
      <c r="AB38" s="28">
        <f>'Emissions summary'!Y38</f>
        <v>7.3924405954880992E-2</v>
      </c>
      <c r="AC38" s="28">
        <f>'Emissions summary'!Z38</f>
        <v>9.8940084389999974E-2</v>
      </c>
      <c r="AD38" s="28">
        <f>'Emissions summary'!AA38</f>
        <v>0.10685917493999998</v>
      </c>
      <c r="AE38" s="28">
        <f>'Net zero emission reductions'!K1457</f>
        <v>7.8813449993659371E-2</v>
      </c>
      <c r="AF38" s="28">
        <f>'Net zero emission reductions'!L1457</f>
        <v>7.8813449993659371E-2</v>
      </c>
      <c r="AG38" s="28">
        <f>'Net zero emission reductions'!M1457</f>
        <v>7.8813449993659371E-2</v>
      </c>
      <c r="AH38" s="28">
        <f>'Net zero emission reductions'!N1457</f>
        <v>7.8813449993659371E-2</v>
      </c>
      <c r="AI38" s="28">
        <f>'Net zero emission reductions'!O1457</f>
        <v>7.8813449993659371E-2</v>
      </c>
      <c r="AJ38" s="28">
        <f>'Net zero emission reductions'!P1457</f>
        <v>7.8813449993659371E-2</v>
      </c>
      <c r="AK38" s="28">
        <f>'Net zero emission reductions'!Q1457</f>
        <v>7.8813449993659371E-2</v>
      </c>
      <c r="AL38" s="28">
        <f>'Net zero emission reductions'!R1457</f>
        <v>7.8813449993659371E-2</v>
      </c>
      <c r="AM38" s="28">
        <f>'Net zero emission reductions'!S1457</f>
        <v>7.8813449993659371E-2</v>
      </c>
      <c r="AN38" s="28">
        <f>'Net zero emission reductions'!T1457</f>
        <v>7.8813449993659371E-2</v>
      </c>
      <c r="AO38" s="28">
        <f>'Net zero emission reductions'!U1457</f>
        <v>7.8813449993659371E-2</v>
      </c>
      <c r="AP38" s="28">
        <f>'Net zero emission reductions'!V1457</f>
        <v>7.8813449993659371E-2</v>
      </c>
      <c r="AQ38" s="28">
        <f>'Net zero emission reductions'!W1457</f>
        <v>7.8813449993659371E-2</v>
      </c>
      <c r="AR38" s="28">
        <f>'Net zero emission reductions'!X1457</f>
        <v>7.8813449993659371E-2</v>
      </c>
      <c r="AS38" s="28">
        <f>'Net zero emission reductions'!Y1457</f>
        <v>7.8813449993659371E-2</v>
      </c>
      <c r="AT38" s="28">
        <f>'Net zero emission reductions'!Z1457</f>
        <v>7.8813449993659371E-2</v>
      </c>
      <c r="AU38" s="28">
        <f>'Net zero emission reductions'!AA1457</f>
        <v>7.8813449993659371E-2</v>
      </c>
      <c r="AV38" s="28">
        <f>'Net zero emission reductions'!AB1457</f>
        <v>7.8813449993659371E-2</v>
      </c>
      <c r="AW38" s="28">
        <f>'Net zero emission reductions'!AC1457</f>
        <v>7.8813449993659371E-2</v>
      </c>
      <c r="AX38" s="28">
        <f>'Net zero emission reductions'!AD1457</f>
        <v>7.8813449993659371E-2</v>
      </c>
      <c r="AY38" s="28">
        <f>'Net zero emission reductions'!AE1457</f>
        <v>7.8813449993659371E-2</v>
      </c>
      <c r="AZ38" s="28">
        <f>'Net zero emission reductions'!AF1457</f>
        <v>7.8813449993659371E-2</v>
      </c>
      <c r="BA38" s="28">
        <f>'Net zero emission reductions'!AG1457</f>
        <v>7.8813449993659371E-2</v>
      </c>
      <c r="BB38" s="28">
        <f>'Net zero emission reductions'!AH1457</f>
        <v>7.8813449993659371E-2</v>
      </c>
      <c r="BC38" s="28">
        <f>'Net zero emission reductions'!AI1457</f>
        <v>7.8813449993659371E-2</v>
      </c>
      <c r="BD38" s="28">
        <f>'Net zero emission reductions'!AJ1457</f>
        <v>7.8813449993659371E-2</v>
      </c>
      <c r="BE38" s="28">
        <f>'Net zero emission reductions'!AK1457</f>
        <v>7.8813449993659371E-2</v>
      </c>
      <c r="BF38" s="28">
        <f>'Net zero emission reductions'!AL1457</f>
        <v>7.8813449993659371E-2</v>
      </c>
      <c r="BG38" s="28">
        <f>'Net zero emission reductions'!AM1457</f>
        <v>7.8813449993659371E-2</v>
      </c>
      <c r="BH38" s="28">
        <f>'Net zero emission reductions'!AN1457</f>
        <v>7.8813449993659371E-2</v>
      </c>
      <c r="BI38" s="28">
        <f>'Net zero emission reductions'!AO1457</f>
        <v>7.8813449993659371E-2</v>
      </c>
      <c r="BJ38" s="28">
        <f>'Net zero emission reductions'!AP1457</f>
        <v>7.8813449993659371E-2</v>
      </c>
      <c r="BK38" s="28">
        <f>'Net zero emission reductions'!AQ1457</f>
        <v>7.8813449993659371E-2</v>
      </c>
      <c r="BL38" s="28">
        <f>'Net zero emission reductions'!AR1457</f>
        <v>7.8813449993659371E-2</v>
      </c>
      <c r="BM38" s="28">
        <f>'Net zero emission reductions'!AS1457</f>
        <v>7.8813449993659371E-2</v>
      </c>
      <c r="BN38" s="28">
        <f>'Net zero emission reductions'!AT1457</f>
        <v>7.8813449993659371E-2</v>
      </c>
      <c r="BO38" s="28">
        <f>'Net zero emission reductions'!AU1457</f>
        <v>7.8813449993659371E-2</v>
      </c>
      <c r="BP38" s="28">
        <f>'Net zero emission reductions'!AV1457</f>
        <v>7.8813449993659371E-2</v>
      </c>
      <c r="BQ38" s="28">
        <f>'Net zero emission reductions'!AW1457</f>
        <v>7.8813449993659371E-2</v>
      </c>
    </row>
    <row r="39" spans="1:72" x14ac:dyDescent="0.25">
      <c r="D39" t="str">
        <f t="shared" si="20"/>
        <v>3C Aggregated and non-CO2 emissions on land</v>
      </c>
      <c r="E39" t="str">
        <f t="shared" si="20"/>
        <v>3C1 Biomass burning (N2O)</v>
      </c>
      <c r="F39" t="str">
        <f>'IPCC Categories'!C69</f>
        <v>3C1e Biomass burning in Settlements</v>
      </c>
      <c r="G39" t="str">
        <f t="shared" si="24"/>
        <v>N2O</v>
      </c>
      <c r="H39" t="str">
        <f t="shared" si="24"/>
        <v>Gg N2O</v>
      </c>
      <c r="I39" s="28">
        <f>'Emissions summary'!F39</f>
        <v>4.462880557297625E-2</v>
      </c>
      <c r="J39" s="28">
        <f>'Emissions summary'!G39</f>
        <v>4.462880557297625E-2</v>
      </c>
      <c r="K39" s="28">
        <f>'Emissions summary'!H39</f>
        <v>4.462880557297625E-2</v>
      </c>
      <c r="L39" s="28">
        <f>'Emissions summary'!I39</f>
        <v>4.462880557297625E-2</v>
      </c>
      <c r="M39" s="28">
        <f>'Emissions summary'!J39</f>
        <v>4.462880557297625E-2</v>
      </c>
      <c r="N39" s="28">
        <f>'Emissions summary'!K39</f>
        <v>4.462880557297625E-2</v>
      </c>
      <c r="O39" s="28">
        <f>'Emissions summary'!L39</f>
        <v>4.462880557297625E-2</v>
      </c>
      <c r="P39" s="28">
        <f>'Emissions summary'!M39</f>
        <v>4.462880557297625E-2</v>
      </c>
      <c r="Q39" s="28">
        <f>'Emissions summary'!N39</f>
        <v>4.462880557297625E-2</v>
      </c>
      <c r="R39" s="28">
        <f>'Emissions summary'!O39</f>
        <v>4.462880557297625E-2</v>
      </c>
      <c r="S39" s="28">
        <f>'Emissions summary'!P39</f>
        <v>4.8614087979466203E-2</v>
      </c>
      <c r="T39" s="28">
        <f>'Emissions summary'!Q39</f>
        <v>5.3839059429649942E-2</v>
      </c>
      <c r="U39" s="28">
        <f>'Emissions summary'!R39</f>
        <v>4.76008805879857E-2</v>
      </c>
      <c r="V39" s="28">
        <f>'Emissions summary'!S39</f>
        <v>4.1064699572356617E-2</v>
      </c>
      <c r="W39" s="28">
        <f>'Emissions summary'!T39</f>
        <v>3.2025300295422769E-2</v>
      </c>
      <c r="X39" s="28">
        <f>'Emissions summary'!U39</f>
        <v>7.2513862331447368E-2</v>
      </c>
      <c r="Y39" s="28">
        <f>'Emissions summary'!V39</f>
        <v>6.3514196677708815E-2</v>
      </c>
      <c r="Z39" s="28">
        <f>'Emissions summary'!W39</f>
        <v>7.0249045809314473E-2</v>
      </c>
      <c r="AA39" s="28">
        <f>'Emissions summary'!X39</f>
        <v>4.3369249717684813E-2</v>
      </c>
      <c r="AB39" s="28">
        <f>'Emissions summary'!Y39</f>
        <v>5.2190114067044435E-2</v>
      </c>
      <c r="AC39" s="28">
        <f>'Emissions summary'!Z39</f>
        <v>3.9028768379999995E-2</v>
      </c>
      <c r="AD39" s="28">
        <f>'Emissions summary'!AA39</f>
        <v>2.72036394E-2</v>
      </c>
      <c r="AE39" s="28">
        <f>SUM('Net zero emission reductions'!K1458:K1459)</f>
        <v>3.9235523819963862E-2</v>
      </c>
      <c r="AF39" s="28">
        <f>SUM('Net zero emission reductions'!L1458:L1459)</f>
        <v>3.9318445103539788E-2</v>
      </c>
      <c r="AG39" s="28">
        <f>SUM('Net zero emission reductions'!M1458:M1459)</f>
        <v>3.9401366387115715E-2</v>
      </c>
      <c r="AH39" s="28">
        <f>SUM('Net zero emission reductions'!N1458:N1459)</f>
        <v>3.9484287670691648E-2</v>
      </c>
      <c r="AI39" s="28">
        <f>SUM('Net zero emission reductions'!O1458:O1459)</f>
        <v>3.9567208954267574E-2</v>
      </c>
      <c r="AJ39" s="28">
        <f>SUM('Net zero emission reductions'!P1458:P1459)</f>
        <v>3.9650130237843507E-2</v>
      </c>
      <c r="AK39" s="28">
        <f>SUM('Net zero emission reductions'!Q1458:Q1459)</f>
        <v>3.9733051521419427E-2</v>
      </c>
      <c r="AL39" s="28">
        <f>SUM('Net zero emission reductions'!R1458:R1459)</f>
        <v>3.981597280499536E-2</v>
      </c>
      <c r="AM39" s="28">
        <f>SUM('Net zero emission reductions'!S1458:S1459)</f>
        <v>3.9898894088571286E-2</v>
      </c>
      <c r="AN39" s="28">
        <f>SUM('Net zero emission reductions'!T1458:T1459)</f>
        <v>3.9981815372147227E-2</v>
      </c>
      <c r="AO39" s="28">
        <f>SUM('Net zero emission reductions'!U1458:U1459)</f>
        <v>4.0064736655723153E-2</v>
      </c>
      <c r="AP39" s="28">
        <f>SUM('Net zero emission reductions'!V1458:V1459)</f>
        <v>4.0147657939299079E-2</v>
      </c>
      <c r="AQ39" s="28">
        <f>SUM('Net zero emission reductions'!W1458:W1459)</f>
        <v>4.0230579222875013E-2</v>
      </c>
      <c r="AR39" s="28">
        <f>SUM('Net zero emission reductions'!X1458:X1459)</f>
        <v>4.0313500506450946E-2</v>
      </c>
      <c r="AS39" s="28">
        <f>SUM('Net zero emission reductions'!Y1458:Y1459)</f>
        <v>4.0396421790026865E-2</v>
      </c>
      <c r="AT39" s="28">
        <f>SUM('Net zero emission reductions'!Z1458:Z1459)</f>
        <v>4.0479343073602798E-2</v>
      </c>
      <c r="AU39" s="28">
        <f>SUM('Net zero emission reductions'!AA1458:AA1459)</f>
        <v>4.0562264357178725E-2</v>
      </c>
      <c r="AV39" s="28">
        <f>SUM('Net zero emission reductions'!AB1458:AB1459)</f>
        <v>4.0645185640754658E-2</v>
      </c>
      <c r="AW39" s="28">
        <f>SUM('Net zero emission reductions'!AC1458:AC1459)</f>
        <v>4.0728106924330584E-2</v>
      </c>
      <c r="AX39" s="28">
        <f>SUM('Net zero emission reductions'!AD1458:AD1459)</f>
        <v>4.0811028207906511E-2</v>
      </c>
      <c r="AY39" s="28">
        <f>SUM('Net zero emission reductions'!AE1458:AE1459)</f>
        <v>4.0893949491482444E-2</v>
      </c>
      <c r="AZ39" s="28">
        <f>SUM('Net zero emission reductions'!AF1458:AF1459)</f>
        <v>4.097687077505837E-2</v>
      </c>
      <c r="BA39" s="28">
        <f>SUM('Net zero emission reductions'!AG1458:AG1459)</f>
        <v>4.1059792058634303E-2</v>
      </c>
      <c r="BB39" s="28">
        <f>SUM('Net zero emission reductions'!AH1458:AH1459)</f>
        <v>4.114271334221023E-2</v>
      </c>
      <c r="BC39" s="28">
        <f>SUM('Net zero emission reductions'!AI1458:AI1459)</f>
        <v>4.1225634625786156E-2</v>
      </c>
      <c r="BD39" s="28">
        <f>SUM('Net zero emission reductions'!AJ1458:AJ1459)</f>
        <v>4.1308555909362089E-2</v>
      </c>
      <c r="BE39" s="28">
        <f>SUM('Net zero emission reductions'!AK1458:AK1459)</f>
        <v>4.1391477192938023E-2</v>
      </c>
      <c r="BF39" s="28">
        <f>SUM('Net zero emission reductions'!AL1458:AL1459)</f>
        <v>4.1474398476513949E-2</v>
      </c>
      <c r="BG39" s="28">
        <f>SUM('Net zero emission reductions'!AM1458:AM1459)</f>
        <v>4.1557319760089875E-2</v>
      </c>
      <c r="BH39" s="28">
        <f>SUM('Net zero emission reductions'!AN1458:AN1459)</f>
        <v>4.1640241043665809E-2</v>
      </c>
      <c r="BI39" s="28">
        <f>SUM('Net zero emission reductions'!AO1458:AO1459)</f>
        <v>4.1723162327241742E-2</v>
      </c>
      <c r="BJ39" s="28">
        <f>SUM('Net zero emission reductions'!AP1458:AP1459)</f>
        <v>4.1806083610817661E-2</v>
      </c>
      <c r="BK39" s="28">
        <f>SUM('Net zero emission reductions'!AQ1458:AQ1459)</f>
        <v>4.1889004894393594E-2</v>
      </c>
      <c r="BL39" s="28">
        <f>SUM('Net zero emission reductions'!AR1458:AR1459)</f>
        <v>4.1971926177969528E-2</v>
      </c>
      <c r="BM39" s="28">
        <f>SUM('Net zero emission reductions'!AS1458:AS1459)</f>
        <v>4.2054847461545454E-2</v>
      </c>
      <c r="BN39" s="28">
        <f>SUM('Net zero emission reductions'!AT1458:AT1459)</f>
        <v>4.2137768745121387E-2</v>
      </c>
      <c r="BO39" s="28">
        <f>SUM('Net zero emission reductions'!AU1458:AU1459)</f>
        <v>4.2220690028697307E-2</v>
      </c>
      <c r="BP39" s="28">
        <f>SUM('Net zero emission reductions'!AV1458:AV1459)</f>
        <v>4.230361131227324E-2</v>
      </c>
      <c r="BQ39" s="28">
        <f>SUM('Net zero emission reductions'!AW1458:AW1459)</f>
        <v>4.2386532595849173E-2</v>
      </c>
    </row>
    <row r="40" spans="1:72" x14ac:dyDescent="0.25">
      <c r="D40" t="str">
        <f t="shared" si="20"/>
        <v>3C Aggregated and non-CO2 emissions on land</v>
      </c>
      <c r="E40" t="str">
        <f t="shared" si="20"/>
        <v>3C1 Biomass burning (N2O)</v>
      </c>
      <c r="F40" t="str">
        <f>'IPCC Categories'!C70</f>
        <v>3C1f Biomass burning in Other lands</v>
      </c>
      <c r="G40" t="str">
        <f t="shared" si="24"/>
        <v>N2O</v>
      </c>
      <c r="H40" t="str">
        <f t="shared" si="24"/>
        <v>Gg N2O</v>
      </c>
      <c r="I40" s="28">
        <f>'Emissions summary'!F40</f>
        <v>0</v>
      </c>
      <c r="J40" s="28">
        <f>'Emissions summary'!G40</f>
        <v>0</v>
      </c>
      <c r="K40" s="28">
        <f>'Emissions summary'!H40</f>
        <v>0</v>
      </c>
      <c r="L40" s="28">
        <f>'Emissions summary'!I40</f>
        <v>0</v>
      </c>
      <c r="M40" s="28">
        <f>'Emissions summary'!J40</f>
        <v>0</v>
      </c>
      <c r="N40" s="28">
        <f>'Emissions summary'!K40</f>
        <v>0</v>
      </c>
      <c r="O40" s="28">
        <f>'Emissions summary'!L40</f>
        <v>0</v>
      </c>
      <c r="P40" s="28">
        <f>'Emissions summary'!M40</f>
        <v>0</v>
      </c>
      <c r="Q40" s="28">
        <f>'Emissions summary'!N40</f>
        <v>0</v>
      </c>
      <c r="R40" s="28">
        <f>'Emissions summary'!O40</f>
        <v>0</v>
      </c>
      <c r="S40" s="28">
        <f>'Emissions summary'!P40</f>
        <v>0</v>
      </c>
      <c r="T40" s="28">
        <f>'Emissions summary'!Q40</f>
        <v>0</v>
      </c>
      <c r="U40" s="28">
        <f>'Emissions summary'!R40</f>
        <v>0</v>
      </c>
      <c r="V40" s="28">
        <f>'Emissions summary'!S40</f>
        <v>0</v>
      </c>
      <c r="W40" s="28">
        <f>'Emissions summary'!T40</f>
        <v>0</v>
      </c>
      <c r="X40" s="28">
        <f>'Emissions summary'!U40</f>
        <v>0</v>
      </c>
      <c r="Y40" s="28">
        <f>'Emissions summary'!V40</f>
        <v>0</v>
      </c>
      <c r="Z40" s="28">
        <f>'Emissions summary'!W40</f>
        <v>0</v>
      </c>
      <c r="AA40" s="28">
        <f>'Emissions summary'!X40</f>
        <v>0</v>
      </c>
      <c r="AB40" s="28">
        <f>'Emissions summary'!Y40</f>
        <v>0</v>
      </c>
      <c r="AC40" s="28">
        <f>'Emissions summary'!Z40</f>
        <v>0</v>
      </c>
      <c r="AD40" s="28">
        <f>'Emissions summary'!AA40</f>
        <v>0</v>
      </c>
      <c r="AE40" s="28">
        <f>'Net zero emission reductions'!K1460</f>
        <v>0</v>
      </c>
      <c r="AF40" s="28">
        <f>'Net zero emission reductions'!L1460</f>
        <v>0</v>
      </c>
      <c r="AG40" s="28">
        <f>'Net zero emission reductions'!M1460</f>
        <v>0</v>
      </c>
      <c r="AH40" s="28">
        <f>'Net zero emission reductions'!N1460</f>
        <v>0</v>
      </c>
      <c r="AI40" s="28">
        <f>'Net zero emission reductions'!O1460</f>
        <v>0</v>
      </c>
      <c r="AJ40" s="28">
        <f>'Net zero emission reductions'!P1460</f>
        <v>0</v>
      </c>
      <c r="AK40" s="28">
        <f>'Net zero emission reductions'!Q1460</f>
        <v>0</v>
      </c>
      <c r="AL40" s="28">
        <f>'Net zero emission reductions'!R1460</f>
        <v>0</v>
      </c>
      <c r="AM40" s="28">
        <f>'Net zero emission reductions'!S1460</f>
        <v>0</v>
      </c>
      <c r="AN40" s="28">
        <f>'Net zero emission reductions'!T1460</f>
        <v>0</v>
      </c>
      <c r="AO40" s="28">
        <f>'Net zero emission reductions'!U1460</f>
        <v>0</v>
      </c>
      <c r="AP40" s="28">
        <f>'Net zero emission reductions'!V1460</f>
        <v>0</v>
      </c>
      <c r="AQ40" s="28">
        <f>'Net zero emission reductions'!W1460</f>
        <v>0</v>
      </c>
      <c r="AR40" s="28">
        <f>'Net zero emission reductions'!X1460</f>
        <v>0</v>
      </c>
      <c r="AS40" s="28">
        <f>'Net zero emission reductions'!Y1460</f>
        <v>0</v>
      </c>
      <c r="AT40" s="28">
        <f>'Net zero emission reductions'!Z1460</f>
        <v>0</v>
      </c>
      <c r="AU40" s="28">
        <f>'Net zero emission reductions'!AA1460</f>
        <v>0</v>
      </c>
      <c r="AV40" s="28">
        <f>'Net zero emission reductions'!AB1460</f>
        <v>0</v>
      </c>
      <c r="AW40" s="28">
        <f>'Net zero emission reductions'!AC1460</f>
        <v>0</v>
      </c>
      <c r="AX40" s="28">
        <f>'Net zero emission reductions'!AD1460</f>
        <v>0</v>
      </c>
      <c r="AY40" s="28">
        <f>'Net zero emission reductions'!AE1460</f>
        <v>0</v>
      </c>
      <c r="AZ40" s="28">
        <f>'Net zero emission reductions'!AF1460</f>
        <v>0</v>
      </c>
      <c r="BA40" s="28">
        <f>'Net zero emission reductions'!AG1460</f>
        <v>0</v>
      </c>
      <c r="BB40" s="28">
        <f>'Net zero emission reductions'!AH1460</f>
        <v>0</v>
      </c>
      <c r="BC40" s="28">
        <f>'Net zero emission reductions'!AI1460</f>
        <v>0</v>
      </c>
      <c r="BD40" s="28">
        <f>'Net zero emission reductions'!AJ1460</f>
        <v>0</v>
      </c>
      <c r="BE40" s="28">
        <f>'Net zero emission reductions'!AK1460</f>
        <v>0</v>
      </c>
      <c r="BF40" s="28">
        <f>'Net zero emission reductions'!AL1460</f>
        <v>0</v>
      </c>
      <c r="BG40" s="28">
        <f>'Net zero emission reductions'!AM1460</f>
        <v>0</v>
      </c>
      <c r="BH40" s="28">
        <f>'Net zero emission reductions'!AN1460</f>
        <v>0</v>
      </c>
      <c r="BI40" s="28">
        <f>'Net zero emission reductions'!AO1460</f>
        <v>0</v>
      </c>
      <c r="BJ40" s="28">
        <f>'Net zero emission reductions'!AP1460</f>
        <v>0</v>
      </c>
      <c r="BK40" s="28">
        <f>'Net zero emission reductions'!AQ1460</f>
        <v>0</v>
      </c>
      <c r="BL40" s="28">
        <f>'Net zero emission reductions'!AR1460</f>
        <v>0</v>
      </c>
      <c r="BM40" s="28">
        <f>'Net zero emission reductions'!AS1460</f>
        <v>0</v>
      </c>
      <c r="BN40" s="28">
        <f>'Net zero emission reductions'!AT1460</f>
        <v>0</v>
      </c>
      <c r="BO40" s="28">
        <f>'Net zero emission reductions'!AU1460</f>
        <v>0</v>
      </c>
      <c r="BP40" s="28">
        <f>'Net zero emission reductions'!AV1460</f>
        <v>0</v>
      </c>
      <c r="BQ40" s="28">
        <f>'Net zero emission reductions'!AW1460</f>
        <v>0</v>
      </c>
    </row>
    <row r="41" spans="1:72" s="19" customFormat="1" ht="15.75" x14ac:dyDescent="0.25">
      <c r="A41" s="104"/>
      <c r="B41" s="104"/>
      <c r="C41" s="104"/>
      <c r="D41" s="19" t="str">
        <f t="shared" si="20"/>
        <v>3C Aggregated and non-CO2 emissions on land</v>
      </c>
      <c r="E41" s="19" t="str">
        <f>'IPCC Categories'!B71</f>
        <v>3C2 Liming (CO2)</v>
      </c>
      <c r="F41" s="19" t="s">
        <v>148</v>
      </c>
      <c r="G41" s="19" t="s">
        <v>380</v>
      </c>
      <c r="H41" s="19" t="s">
        <v>382</v>
      </c>
      <c r="I41" s="47">
        <f>Emissions!H86</f>
        <v>357.5</v>
      </c>
      <c r="J41" s="47">
        <f>Emissions!I86</f>
        <v>378.125</v>
      </c>
      <c r="K41" s="47">
        <f>Emissions!J86</f>
        <v>261.25</v>
      </c>
      <c r="L41" s="47">
        <f>Emissions!K86</f>
        <v>412.5</v>
      </c>
      <c r="M41" s="47">
        <f>Emissions!L86</f>
        <v>595.58170833333327</v>
      </c>
      <c r="N41" s="47">
        <f>Emissions!M86</f>
        <v>473.34145833333332</v>
      </c>
      <c r="O41" s="47">
        <f>Emissions!N86</f>
        <v>579.13625000000002</v>
      </c>
      <c r="P41" s="47">
        <f>Emissions!O86</f>
        <v>547.24312499999996</v>
      </c>
      <c r="Q41" s="47">
        <f>Emissions!P86</f>
        <v>570.31379166666659</v>
      </c>
      <c r="R41" s="47">
        <f>Emissions!Q86</f>
        <v>567.03808333333325</v>
      </c>
      <c r="S41" s="47">
        <f>Emissions!R86</f>
        <v>378.2405</v>
      </c>
      <c r="T41" s="47">
        <f>Emissions!S86</f>
        <v>489.66362500000002</v>
      </c>
      <c r="U41" s="47">
        <f>Emissions!T86</f>
        <v>672.79437500000006</v>
      </c>
      <c r="V41" s="47">
        <f>Emissions!U86</f>
        <v>580.13175000000001</v>
      </c>
      <c r="W41" s="47">
        <f>Emissions!V86</f>
        <v>579.7403333333333</v>
      </c>
      <c r="X41" s="47">
        <f>Emissions!W86</f>
        <v>266.03683333333333</v>
      </c>
      <c r="Y41" s="47">
        <f>Emissions!X86</f>
        <v>441.42908333333332</v>
      </c>
      <c r="Z41" s="47">
        <f>Emissions!Y86</f>
        <v>521.42108333333329</v>
      </c>
      <c r="AA41" s="47">
        <f>Emissions!Z86</f>
        <v>655.32637499999998</v>
      </c>
      <c r="AB41" s="47">
        <f>Emissions!AA86</f>
        <v>695.56775237855516</v>
      </c>
      <c r="AC41" s="47">
        <f>Emissions!AB86</f>
        <v>653.23730656422072</v>
      </c>
      <c r="AD41" s="47">
        <f>Emissions!AC86</f>
        <v>722.61220387104663</v>
      </c>
      <c r="AE41" s="47">
        <f>'Net zero emission reductions'!K1461</f>
        <v>886.46691832724639</v>
      </c>
      <c r="AF41" s="47">
        <f>'Net zero emission reductions'!L1461</f>
        <v>888.8539802377943</v>
      </c>
      <c r="AG41" s="47">
        <f>'Net zero emission reductions'!M1461</f>
        <v>892.11591690555679</v>
      </c>
      <c r="AH41" s="47">
        <f>'Net zero emission reductions'!N1461</f>
        <v>894.48365036682526</v>
      </c>
      <c r="AI41" s="47">
        <f>'Net zero emission reductions'!O1461</f>
        <v>895.63671892685147</v>
      </c>
      <c r="AJ41" s="47">
        <f>'Net zero emission reductions'!P1461</f>
        <v>896.77480880606822</v>
      </c>
      <c r="AK41" s="47">
        <f>'Net zero emission reductions'!Q1461</f>
        <v>898.49646270469111</v>
      </c>
      <c r="AL41" s="47">
        <f>'Net zero emission reductions'!R1461</f>
        <v>900.38142148545217</v>
      </c>
      <c r="AM41" s="47">
        <f>'Net zero emission reductions'!S1461</f>
        <v>900.99830242057169</v>
      </c>
      <c r="AN41" s="47">
        <f>'Net zero emission reductions'!T1461</f>
        <v>889.66719901995361</v>
      </c>
      <c r="AO41" s="47">
        <f>'Net zero emission reductions'!U1461</f>
        <v>893.20175352101023</v>
      </c>
      <c r="AP41" s="47">
        <f>'Net zero emission reductions'!V1461</f>
        <v>896.37958965851215</v>
      </c>
      <c r="AQ41" s="47">
        <f>'Net zero emission reductions'!W1461</f>
        <v>899.52796651639687</v>
      </c>
      <c r="AR41" s="47">
        <f>'Net zero emission reductions'!X1461</f>
        <v>903.14197529554713</v>
      </c>
      <c r="AS41" s="47">
        <f>'Net zero emission reductions'!Y1461</f>
        <v>906.71675954110367</v>
      </c>
      <c r="AT41" s="47">
        <f>'Net zero emission reductions'!Z1461</f>
        <v>910.34114366574249</v>
      </c>
      <c r="AU41" s="47">
        <f>'Net zero emission reductions'!AA1461</f>
        <v>913.8112544636009</v>
      </c>
      <c r="AV41" s="47">
        <f>'Net zero emission reductions'!AB1461</f>
        <v>917.42968502221754</v>
      </c>
      <c r="AW41" s="47">
        <f>'Net zero emission reductions'!AC1461</f>
        <v>920.79096517926757</v>
      </c>
      <c r="AX41" s="47">
        <f>'Net zero emission reductions'!AD1461</f>
        <v>924.18223016555146</v>
      </c>
      <c r="AY41" s="47">
        <f>'Net zero emission reductions'!AE1461</f>
        <v>928.12851356454928</v>
      </c>
      <c r="AZ41" s="47">
        <f>'Net zero emission reductions'!AF1461</f>
        <v>932.29458147366915</v>
      </c>
      <c r="BA41" s="47">
        <f>'Net zero emission reductions'!AG1461</f>
        <v>936.51320053616291</v>
      </c>
      <c r="BB41" s="47">
        <f>'Net zero emission reductions'!AH1461</f>
        <v>937.35041504811659</v>
      </c>
      <c r="BC41" s="47">
        <f>'Net zero emission reductions'!AI1461</f>
        <v>589.44115069085547</v>
      </c>
      <c r="BD41" s="47">
        <f>'Net zero emission reductions'!AJ1461</f>
        <v>588.82564419868595</v>
      </c>
      <c r="BE41" s="47">
        <f>'Net zero emission reductions'!AK1461</f>
        <v>588.20365849957375</v>
      </c>
      <c r="BF41" s="47">
        <f>'Net zero emission reductions'!AL1461</f>
        <v>587.5751043341877</v>
      </c>
      <c r="BG41" s="47">
        <f>'Net zero emission reductions'!AM1461</f>
        <v>586.93989076430898</v>
      </c>
      <c r="BH41" s="47">
        <f>'Net zero emission reductions'!AN1461</f>
        <v>586.29792513092821</v>
      </c>
      <c r="BI41" s="47">
        <f>'Net zero emission reductions'!AO1461</f>
        <v>585.74764217221855</v>
      </c>
      <c r="BJ41" s="47">
        <f>'Net zero emission reductions'!AP1461</f>
        <v>585.19236759087596</v>
      </c>
      <c r="BK41" s="47">
        <f>'Net zero emission reductions'!AQ1461</f>
        <v>584.6320416605073</v>
      </c>
      <c r="BL41" s="47">
        <f>'Net zero emission reductions'!AR1461</f>
        <v>584.06660367487802</v>
      </c>
      <c r="BM41" s="47">
        <f>'Net zero emission reductions'!AS1461</f>
        <v>583.49599192657536</v>
      </c>
      <c r="BN41" s="47">
        <f>'Net zero emission reductions'!AT1461</f>
        <v>583.02281981030717</v>
      </c>
      <c r="BO41" s="47">
        <f>'Net zero emission reductions'!AU1461</f>
        <v>582.54607093944685</v>
      </c>
      <c r="BP41" s="47">
        <f>'Net zero emission reductions'!AV1461</f>
        <v>582.06570941053144</v>
      </c>
      <c r="BQ41" s="47">
        <f>'Net zero emission reductions'!AW1461</f>
        <v>581.58169882431378</v>
      </c>
      <c r="BT41"/>
    </row>
    <row r="42" spans="1:72" s="19" customFormat="1" ht="15.75" x14ac:dyDescent="0.25">
      <c r="A42" s="104"/>
      <c r="B42" s="104"/>
      <c r="C42" s="104"/>
      <c r="D42" s="19" t="str">
        <f t="shared" si="20"/>
        <v>3C Aggregated and non-CO2 emissions on land</v>
      </c>
      <c r="E42" s="19" t="str">
        <f>'IPCC Categories'!B72</f>
        <v>3C3 Urea application (CO2)</v>
      </c>
      <c r="F42" s="19" t="s">
        <v>148</v>
      </c>
      <c r="G42" s="19" t="str">
        <f>G41</f>
        <v>CO2</v>
      </c>
      <c r="H42" s="19" t="str">
        <f>H41</f>
        <v>Gg CO2</v>
      </c>
      <c r="I42" s="47">
        <f>Emissions!H87</f>
        <v>90.994567483487728</v>
      </c>
      <c r="J42" s="47">
        <f>Emissions!I87</f>
        <v>111.62690198838213</v>
      </c>
      <c r="K42" s="47">
        <f>Emissions!J87</f>
        <v>132.25923649327655</v>
      </c>
      <c r="L42" s="47">
        <f>Emissions!K87</f>
        <v>152.89157099816552</v>
      </c>
      <c r="M42" s="47">
        <f>Emissions!L87</f>
        <v>173.52390550305992</v>
      </c>
      <c r="N42" s="47">
        <f>Emissions!M87</f>
        <v>194.15624000795432</v>
      </c>
      <c r="O42" s="47">
        <f>Emissions!N87</f>
        <v>214.78857451284878</v>
      </c>
      <c r="P42" s="47">
        <f>Emissions!O87</f>
        <v>235.42090901774316</v>
      </c>
      <c r="Q42" s="47">
        <f>Emissions!P87</f>
        <v>256.05324352263762</v>
      </c>
      <c r="R42" s="47">
        <f>Emissions!Q87</f>
        <v>276.68557802753202</v>
      </c>
      <c r="S42" s="47">
        <f>Emissions!R87</f>
        <v>297.31791253242642</v>
      </c>
      <c r="T42" s="47">
        <f>Emissions!S87</f>
        <v>317.95024703732088</v>
      </c>
      <c r="U42" s="47">
        <f>Emissions!T87</f>
        <v>338.58258154220977</v>
      </c>
      <c r="V42" s="47">
        <f>Emissions!U87</f>
        <v>359.21491604710423</v>
      </c>
      <c r="W42" s="47">
        <f>Emissions!V87</f>
        <v>435.89846666666671</v>
      </c>
      <c r="X42" s="47">
        <f>Emissions!W87</f>
        <v>355.08659999999998</v>
      </c>
      <c r="Y42" s="47">
        <f>Emissions!X87</f>
        <v>393.08573333333334</v>
      </c>
      <c r="Z42" s="47">
        <f>Emissions!Y87</f>
        <v>484.55366666666663</v>
      </c>
      <c r="AA42" s="47">
        <f>Emissions!Z87</f>
        <v>480.19253333333336</v>
      </c>
      <c r="AB42" s="47">
        <f>Emissions!AA87</f>
        <v>380.54426666666666</v>
      </c>
      <c r="AC42" s="47">
        <f>Emissions!AB87</f>
        <v>501.48046666666664</v>
      </c>
      <c r="AD42" s="47">
        <f>Emissions!AC87</f>
        <v>571.19113333333337</v>
      </c>
      <c r="AE42" s="47">
        <f>'Net zero emission reductions'!K1462</f>
        <v>470.0955092083982</v>
      </c>
      <c r="AF42" s="47">
        <f>'Net zero emission reductions'!L1462</f>
        <v>470.03536519379952</v>
      </c>
      <c r="AG42" s="47">
        <f>'Net zero emission reductions'!M1462</f>
        <v>469.95317798043089</v>
      </c>
      <c r="AH42" s="47">
        <f>'Net zero emission reductions'!N1462</f>
        <v>469.89352096222319</v>
      </c>
      <c r="AI42" s="47">
        <f>'Net zero emission reductions'!O1462</f>
        <v>469.86446843869999</v>
      </c>
      <c r="AJ42" s="47">
        <f>'Net zero emission reductions'!P1462</f>
        <v>469.83579331552539</v>
      </c>
      <c r="AK42" s="47">
        <f>'Net zero emission reductions'!Q1462</f>
        <v>469.79241481044551</v>
      </c>
      <c r="AL42" s="47">
        <f>'Net zero emission reductions'!R1462</f>
        <v>469.7449217027355</v>
      </c>
      <c r="AM42" s="47">
        <f>'Net zero emission reductions'!S1462</f>
        <v>469.72937887336718</v>
      </c>
      <c r="AN42" s="47">
        <f>'Net zero emission reductions'!T1462</f>
        <v>470.01487546871522</v>
      </c>
      <c r="AO42" s="47">
        <f>'Net zero emission reductions'!U1462</f>
        <v>469.92581942179322</v>
      </c>
      <c r="AP42" s="47">
        <f>'Net zero emission reductions'!V1462</f>
        <v>469.84575119138754</v>
      </c>
      <c r="AQ42" s="47">
        <f>'Net zero emission reductions'!W1462</f>
        <v>469.76642521208788</v>
      </c>
      <c r="AR42" s="47">
        <f>'Net zero emission reductions'!X1462</f>
        <v>469.67536724839931</v>
      </c>
      <c r="AS42" s="47">
        <f>'Net zero emission reductions'!Y1462</f>
        <v>469.58529757953056</v>
      </c>
      <c r="AT42" s="47">
        <f>'Net zero emission reductions'!Z1462</f>
        <v>469.49397820036393</v>
      </c>
      <c r="AU42" s="47">
        <f>'Net zero emission reductions'!AA1462</f>
        <v>469.40654586626169</v>
      </c>
      <c r="AV42" s="47">
        <f>'Net zero emission reductions'!AB1462</f>
        <v>469.31537649215352</v>
      </c>
      <c r="AW42" s="47">
        <f>'Net zero emission reductions'!AC1462</f>
        <v>469.23068623676357</v>
      </c>
      <c r="AX42" s="47">
        <f>'Net zero emission reductions'!AD1462</f>
        <v>469.14524048860676</v>
      </c>
      <c r="AY42" s="47">
        <f>'Net zero emission reductions'!AE1462</f>
        <v>469.04581058889983</v>
      </c>
      <c r="AZ42" s="47">
        <f>'Net zero emission reductions'!AF1462</f>
        <v>468.94084303525642</v>
      </c>
      <c r="BA42" s="47">
        <f>'Net zero emission reductions'!AG1462</f>
        <v>468.83455141149926</v>
      </c>
      <c r="BB42" s="47">
        <f>'Net zero emission reductions'!AH1462</f>
        <v>468.81345709400091</v>
      </c>
      <c r="BC42" s="47">
        <f>'Net zero emission reductions'!AI1462</f>
        <v>477.57932101318937</v>
      </c>
      <c r="BD42" s="47">
        <f>'Net zero emission reductions'!AJ1462</f>
        <v>477.59482921232205</v>
      </c>
      <c r="BE42" s="47">
        <f>'Net zero emission reductions'!AK1462</f>
        <v>477.61050066047437</v>
      </c>
      <c r="BF42" s="47">
        <f>'Net zero emission reductions'!AL1462</f>
        <v>477.6263376066097</v>
      </c>
      <c r="BG42" s="47">
        <f>'Net zero emission reductions'!AM1462</f>
        <v>477.64234234199222</v>
      </c>
      <c r="BH42" s="47">
        <f>'Net zero emission reductions'!AN1462</f>
        <v>477.658517201243</v>
      </c>
      <c r="BI42" s="47">
        <f>'Net zero emission reductions'!AO1462</f>
        <v>477.67238203908232</v>
      </c>
      <c r="BJ42" s="47">
        <f>'Net zero emission reductions'!AP1462</f>
        <v>477.68637264501467</v>
      </c>
      <c r="BK42" s="47">
        <f>'Net zero emission reductions'!AQ1462</f>
        <v>477.70049052389624</v>
      </c>
      <c r="BL42" s="47">
        <f>'Net zero emission reductions'!AR1462</f>
        <v>477.71473720527149</v>
      </c>
      <c r="BM42" s="47">
        <f>'Net zero emission reductions'!AS1462</f>
        <v>477.72911424390975</v>
      </c>
      <c r="BN42" s="47">
        <f>'Net zero emission reductions'!AT1462</f>
        <v>477.74103620979719</v>
      </c>
      <c r="BO42" s="47">
        <f>'Net zero emission reductions'!AU1462</f>
        <v>477.75304829499794</v>
      </c>
      <c r="BP42" s="47">
        <f>'Net zero emission reductions'!AV1462</f>
        <v>477.76515140412982</v>
      </c>
      <c r="BQ42" s="47">
        <f>'Net zero emission reductions'!AW1462</f>
        <v>477.77734645430195</v>
      </c>
      <c r="BT42"/>
    </row>
    <row r="43" spans="1:72" s="19" customFormat="1" ht="15.75" x14ac:dyDescent="0.25">
      <c r="A43" s="104"/>
      <c r="B43" s="104"/>
      <c r="C43" s="104"/>
      <c r="D43" s="19" t="str">
        <f t="shared" si="20"/>
        <v>3C Aggregated and non-CO2 emissions on land</v>
      </c>
      <c r="E43" s="19" t="str">
        <f>'IPCC Categories'!B73</f>
        <v>3C4 Direct N2O from managed soils (N2O)</v>
      </c>
      <c r="F43" s="19" t="s">
        <v>148</v>
      </c>
      <c r="G43" s="19" t="s">
        <v>139</v>
      </c>
      <c r="H43" s="19" t="s">
        <v>287</v>
      </c>
      <c r="I43" s="47">
        <f>SUM(I44:I48)</f>
        <v>55.596597383734697</v>
      </c>
      <c r="J43" s="47">
        <f t="shared" ref="J43:AE43" si="25">SUM(J44:J48)</f>
        <v>55.28633998855625</v>
      </c>
      <c r="K43" s="47">
        <f t="shared" si="25"/>
        <v>54.71008958224381</v>
      </c>
      <c r="L43" s="47">
        <f t="shared" si="25"/>
        <v>54.205597256781054</v>
      </c>
      <c r="M43" s="47">
        <f t="shared" si="25"/>
        <v>52.900250302352887</v>
      </c>
      <c r="N43" s="47">
        <f t="shared" si="25"/>
        <v>51.915653074343908</v>
      </c>
      <c r="O43" s="47">
        <f t="shared" si="25"/>
        <v>54.152443602860892</v>
      </c>
      <c r="P43" s="47">
        <f t="shared" si="25"/>
        <v>55.0921271912325</v>
      </c>
      <c r="Q43" s="47">
        <f t="shared" si="25"/>
        <v>55.452453962621647</v>
      </c>
      <c r="R43" s="47">
        <f t="shared" si="25"/>
        <v>55.340893527840024</v>
      </c>
      <c r="S43" s="47">
        <f t="shared" si="25"/>
        <v>54.909001676139468</v>
      </c>
      <c r="T43" s="47">
        <f t="shared" si="25"/>
        <v>53.415685968258067</v>
      </c>
      <c r="U43" s="47">
        <f t="shared" si="25"/>
        <v>54.703059588171548</v>
      </c>
      <c r="V43" s="47">
        <f t="shared" si="25"/>
        <v>54.096474666145404</v>
      </c>
      <c r="W43" s="47">
        <f t="shared" si="25"/>
        <v>53.498896979933384</v>
      </c>
      <c r="X43" s="47">
        <f t="shared" si="25"/>
        <v>52.263187711915691</v>
      </c>
      <c r="Y43" s="47">
        <f t="shared" si="25"/>
        <v>52.35335955308765</v>
      </c>
      <c r="Z43" s="47">
        <f t="shared" si="25"/>
        <v>54.345597859655129</v>
      </c>
      <c r="AA43" s="47">
        <f t="shared" si="25"/>
        <v>54.4968684161461</v>
      </c>
      <c r="AB43" s="47">
        <f t="shared" si="25"/>
        <v>54.126626370799677</v>
      </c>
      <c r="AC43" s="47">
        <f t="shared" si="25"/>
        <v>53.115630834632697</v>
      </c>
      <c r="AD43" s="47">
        <f t="shared" si="25"/>
        <v>53.123674822972326</v>
      </c>
      <c r="AE43" s="47">
        <f t="shared" si="25"/>
        <v>55.594565492496258</v>
      </c>
      <c r="AF43" s="47">
        <f t="shared" ref="AF43:BQ43" si="26">SUM(AF44:AF48)</f>
        <v>55.471575300239905</v>
      </c>
      <c r="AG43" s="47">
        <f t="shared" si="26"/>
        <v>55.128626908936276</v>
      </c>
      <c r="AH43" s="47">
        <f t="shared" si="26"/>
        <v>54.488759167314001</v>
      </c>
      <c r="AI43" s="47">
        <f t="shared" si="26"/>
        <v>53.873150729870702</v>
      </c>
      <c r="AJ43" s="47">
        <f t="shared" si="26"/>
        <v>53.42956175915063</v>
      </c>
      <c r="AK43" s="47">
        <f t="shared" si="26"/>
        <v>53.043900666519413</v>
      </c>
      <c r="AL43" s="47">
        <f t="shared" si="26"/>
        <v>52.372632038090067</v>
      </c>
      <c r="AM43" s="47">
        <f t="shared" si="26"/>
        <v>49.066655521416401</v>
      </c>
      <c r="AN43" s="47">
        <f t="shared" si="26"/>
        <v>48.983530321466674</v>
      </c>
      <c r="AO43" s="47">
        <f t="shared" si="26"/>
        <v>48.865049484056108</v>
      </c>
      <c r="AP43" s="47">
        <f t="shared" si="26"/>
        <v>48.742425262931</v>
      </c>
      <c r="AQ43" s="47">
        <f t="shared" si="26"/>
        <v>48.718646461710833</v>
      </c>
      <c r="AR43" s="47">
        <f t="shared" si="26"/>
        <v>48.68836080737178</v>
      </c>
      <c r="AS43" s="47">
        <f t="shared" si="26"/>
        <v>48.65823347909739</v>
      </c>
      <c r="AT43" s="47">
        <f t="shared" si="26"/>
        <v>48.596623128448314</v>
      </c>
      <c r="AU43" s="47">
        <f t="shared" si="26"/>
        <v>48.564207755116669</v>
      </c>
      <c r="AV43" s="47">
        <f t="shared" si="26"/>
        <v>48.480151671753106</v>
      </c>
      <c r="AW43" s="47">
        <f t="shared" si="26"/>
        <v>48.401115517099896</v>
      </c>
      <c r="AX43" s="47">
        <f t="shared" si="26"/>
        <v>48.357833686831725</v>
      </c>
      <c r="AY43" s="47">
        <f t="shared" si="26"/>
        <v>48.350518602027279</v>
      </c>
      <c r="AZ43" s="47">
        <f t="shared" si="26"/>
        <v>48.344787368724411</v>
      </c>
      <c r="BA43" s="47">
        <f t="shared" si="26"/>
        <v>47.687042580475548</v>
      </c>
      <c r="BB43" s="47">
        <f t="shared" si="26"/>
        <v>17.20255774550948</v>
      </c>
      <c r="BC43" s="47">
        <f t="shared" si="26"/>
        <v>16.296651157781803</v>
      </c>
      <c r="BD43" s="47">
        <f t="shared" si="26"/>
        <v>16.316630136156064</v>
      </c>
      <c r="BE43" s="47">
        <f t="shared" si="26"/>
        <v>16.335311250704365</v>
      </c>
      <c r="BF43" s="47">
        <f t="shared" si="26"/>
        <v>16.352764867946881</v>
      </c>
      <c r="BG43" s="47">
        <f t="shared" si="26"/>
        <v>16.369056992654865</v>
      </c>
      <c r="BH43" s="47">
        <f t="shared" si="26"/>
        <v>16.471514981853581</v>
      </c>
      <c r="BI43" s="47">
        <f t="shared" si="26"/>
        <v>16.5732996913767</v>
      </c>
      <c r="BJ43" s="47">
        <f t="shared" si="26"/>
        <v>16.674191293196237</v>
      </c>
      <c r="BK43" s="47">
        <f t="shared" si="26"/>
        <v>16.774228936430077</v>
      </c>
      <c r="BL43" s="47">
        <f t="shared" si="26"/>
        <v>16.873449601181584</v>
      </c>
      <c r="BM43" s="47">
        <f t="shared" si="26"/>
        <v>16.966438820749111</v>
      </c>
      <c r="BN43" s="47">
        <f t="shared" si="26"/>
        <v>17.05881354967957</v>
      </c>
      <c r="BO43" s="47">
        <f t="shared" si="26"/>
        <v>17.150332712443216</v>
      </c>
      <c r="BP43" s="47">
        <f t="shared" si="26"/>
        <v>17.24102673824369</v>
      </c>
      <c r="BQ43" s="47">
        <f t="shared" si="26"/>
        <v>17.330924536204488</v>
      </c>
      <c r="BT43"/>
    </row>
    <row r="44" spans="1:72" x14ac:dyDescent="0.25">
      <c r="A44" s="102" t="str">
        <f t="shared" ref="A44:A48" si="27">B44&amp;" "&amp;C44</f>
        <v>FSFAGSPQNIBDDSCM Synthetic</v>
      </c>
      <c r="B44" s="102" t="str">
        <f t="shared" ref="B44:B48" si="28">$B$5</f>
        <v>FSFAGSPQNIBDDSCM</v>
      </c>
      <c r="C44" s="102" t="s">
        <v>1127</v>
      </c>
      <c r="D44" t="str">
        <f>D42</f>
        <v>3C Aggregated and non-CO2 emissions on land</v>
      </c>
      <c r="E44" t="str">
        <f>'IPCC Categories'!B73</f>
        <v>3C4 Direct N2O from managed soils (N2O)</v>
      </c>
      <c r="F44" t="str">
        <f>'IPCC Categories'!C73</f>
        <v>Inorganic inputs</v>
      </c>
      <c r="G44" t="s">
        <v>139</v>
      </c>
      <c r="H44" t="s">
        <v>287</v>
      </c>
      <c r="I44" s="28">
        <f>'Emissions summary'!F44</f>
        <v>5.4008271428571426</v>
      </c>
      <c r="J44" s="28">
        <f>'Emissions summary'!G44</f>
        <v>5.7362642857142854</v>
      </c>
      <c r="K44" s="28">
        <f>'Emissions summary'!H44</f>
        <v>5.4611071428571423</v>
      </c>
      <c r="L44" s="28">
        <f>'Emissions summary'!I44</f>
        <v>6.4186414285714282</v>
      </c>
      <c r="M44" s="28">
        <f>'Emissions summary'!J44</f>
        <v>5.8938942857142855</v>
      </c>
      <c r="N44" s="28">
        <f>'Emissions summary'!K44</f>
        <v>5.8377157142857143</v>
      </c>
      <c r="O44" s="28">
        <f>'Emissions summary'!L44</f>
        <v>6.5227485714285702</v>
      </c>
      <c r="P44" s="28">
        <f>'Emissions summary'!M44</f>
        <v>6.3943628571428572</v>
      </c>
      <c r="Q44" s="28">
        <f>'Emissions summary'!N44</f>
        <v>6.5296157142857139</v>
      </c>
      <c r="R44" s="28">
        <f>'Emissions summary'!O44</f>
        <v>6.4907071428571426</v>
      </c>
      <c r="S44" s="28">
        <f>'Emissions summary'!P44</f>
        <v>6.5360899999999997</v>
      </c>
      <c r="T44" s="28">
        <f>'Emissions summary'!Q44</f>
        <v>6.219918571428571</v>
      </c>
      <c r="U44" s="28">
        <f>'Emissions summary'!R44</f>
        <v>7.4968457142857146</v>
      </c>
      <c r="V44" s="28">
        <f>'Emissions summary'!S44</f>
        <v>6.6129957142857139</v>
      </c>
      <c r="W44" s="28">
        <f>'Emissions summary'!T44</f>
        <v>6.7189728571428571</v>
      </c>
      <c r="X44" s="28">
        <f>'Emissions summary'!U44</f>
        <v>5.4569428571428569</v>
      </c>
      <c r="Y44" s="28">
        <f>'Emissions summary'!V44</f>
        <v>6.7370128571428571</v>
      </c>
      <c r="Z44" s="28">
        <f>'Emissions summary'!W44</f>
        <v>6.9061142857142848</v>
      </c>
      <c r="AA44" s="28">
        <f>'Emissions summary'!X44</f>
        <v>6.66479</v>
      </c>
      <c r="AB44" s="28">
        <f>'Emissions summary'!Y44</f>
        <v>7.1307814285714279</v>
      </c>
      <c r="AC44" s="28">
        <f>'Emissions summary'!Z44</f>
        <v>6.2071428571428573</v>
      </c>
      <c r="AD44" s="28">
        <f>'Emissions summary'!AA44</f>
        <v>6.5842857142857145</v>
      </c>
      <c r="AE44" s="101">
        <f>IF($A44="Baseline",'Emissions summary'!AB44,SUMIF('Net zero emission reductions'!$A$4:$A$1448,$A$44,'Net zero emission reductions'!K$4:K$1448))</f>
        <v>6.6064812063358538</v>
      </c>
      <c r="AF44" s="101">
        <f>IF($A44="Baseline",'Emissions summary'!AC44,SUMIF('Net zero emission reductions'!$A$4:$A$1448,$A$44,'Net zero emission reductions'!L$4:L$1448))</f>
        <v>6.6055332632324646</v>
      </c>
      <c r="AG44" s="101">
        <f>IF($A44="Baseline",'Emissions summary'!AD44,SUMIF('Net zero emission reductions'!$A$4:$A$1448,$A$44,'Net zero emission reductions'!M$4:M$1448))</f>
        <v>6.6042378924026437</v>
      </c>
      <c r="AH44" s="101">
        <f>IF($A44="Baseline",'Emissions summary'!AE44,SUMIF('Net zero emission reductions'!$A$4:$A$1448,$A$44,'Net zero emission reductions'!N$4:N$1448))</f>
        <v>6.6032976249569808</v>
      </c>
      <c r="AI44" s="101">
        <f>IF($A44="Baseline",'Emissions summary'!AF44,SUMIF('Net zero emission reductions'!$A$4:$A$1448,$A$44,'Net zero emission reductions'!O$4:O$1448))</f>
        <v>6.6028397217143464</v>
      </c>
      <c r="AJ44" s="101">
        <f>IF($A44="Baseline",'Emissions summary'!AG44,SUMIF('Net zero emission reductions'!$A$4:$A$1448,$A$44,'Net zero emission reductions'!P$4:P$1448))</f>
        <v>6.6023877667619955</v>
      </c>
      <c r="AK44" s="101">
        <f>IF($A44="Baseline",'Emissions summary'!AH44,SUMIF('Net zero emission reductions'!$A$4:$A$1448,$A$44,'Net zero emission reductions'!Q$4:Q$1448))</f>
        <v>6.6017040685586048</v>
      </c>
      <c r="AL44" s="101">
        <f>IF($A44="Baseline",'Emissions summary'!AI44,SUMIF('Net zero emission reductions'!$A$4:$A$1448,$A$44,'Net zero emission reductions'!R$4:R$1448))</f>
        <v>6.6009555191940086</v>
      </c>
      <c r="AM44" s="101">
        <f>IF($A44="Baseline",'Emissions summary'!AJ44,SUMIF('Net zero emission reductions'!$A$4:$A$1448,$A$44,'Net zero emission reductions'!S$4:S$1448))</f>
        <v>6.6007105452260202</v>
      </c>
      <c r="AN44" s="101">
        <f>IF($A44="Baseline",'Emissions summary'!AK44,SUMIF('Net zero emission reductions'!$A$4:$A$1448,$A$44,'Net zero emission reductions'!T$4:T$1448))</f>
        <v>6.4896191395454546</v>
      </c>
      <c r="AO44" s="101">
        <f>IF($A44="Baseline",'Emissions summary'!AL44,SUMIF('Net zero emission reductions'!$A$4:$A$1448,$A$44,'Net zero emission reductions'!U$4:U$1448))</f>
        <v>6.3726734540308447</v>
      </c>
      <c r="AP44" s="101">
        <f>IF($A44="Baseline",'Emissions summary'!AM44,SUMIF('Net zero emission reductions'!$A$4:$A$1448,$A$44,'Net zero emission reductions'!V$4:V$1448))</f>
        <v>6.255911117503933</v>
      </c>
      <c r="AQ44" s="101">
        <f>IF($A44="Baseline",'Emissions summary'!AN44,SUMIF('Net zero emission reductions'!$A$4:$A$1448,$A$44,'Net zero emission reductions'!W$4:W$1448))</f>
        <v>6.1392038299033427</v>
      </c>
      <c r="AR44" s="101">
        <f>IF($A44="Baseline",'Emissions summary'!AO44,SUMIF('Net zero emission reductions'!$A$4:$A$1448,$A$44,'Net zero emission reductions'!X$4:X$1448))</f>
        <v>6.0223715711644275</v>
      </c>
      <c r="AS44" s="101">
        <f>IF($A44="Baseline",'Emissions summary'!AP44,SUMIF('Net zero emission reductions'!$A$4:$A$1448,$A$44,'Net zero emission reductions'!Y$4:Y$1448))</f>
        <v>5.9056034850655719</v>
      </c>
      <c r="AT44" s="101">
        <f>IF($A44="Baseline",'Emissions summary'!AQ44,SUMIF('Net zero emission reductions'!$A$4:$A$1448,$A$44,'Net zero emission reductions'!Z$4:Z$1448))</f>
        <v>5.7888678011625343</v>
      </c>
      <c r="AU44" s="101">
        <f>IF($A44="Baseline",'Emissions summary'!AR44,SUMIF('Net zero emission reductions'!$A$4:$A$1448,$A$44,'Net zero emission reductions'!AA$4:AA$1448))</f>
        <v>5.672235180466922</v>
      </c>
      <c r="AV44" s="101">
        <f>IF($A44="Baseline",'Emissions summary'!AS44,SUMIF('Net zero emission reductions'!$A$4:$A$1448,$A$44,'Net zero emission reductions'!AB$4:AB$1448))</f>
        <v>5.5556011676691686</v>
      </c>
      <c r="AW44" s="101">
        <f>IF($A44="Baseline",'Emissions summary'!AT44,SUMIF('Net zero emission reductions'!$A$4:$A$1448,$A$44,'Net zero emission reductions'!AC$4:AC$1448))</f>
        <v>5.4391016958220888</v>
      </c>
      <c r="AX44" s="101">
        <f>IF($A44="Baseline",'Emissions summary'!AU44,SUMIF('Net zero emission reductions'!$A$4:$A$1448,$A$44,'Net zero emission reductions'!AD$4:AD$1448))</f>
        <v>5.3226393274420882</v>
      </c>
      <c r="AY44" s="101">
        <f>IF($A44="Baseline",'Emissions summary'!AV44,SUMIF('Net zero emission reductions'!$A$4:$A$1448,$A$44,'Net zero emission reductions'!AE$4:AE$1448))</f>
        <v>5.2060499728192022</v>
      </c>
      <c r="AZ44" s="101">
        <f>IF($A44="Baseline",'Emissions summary'!AW44,SUMIF('Net zero emission reductions'!$A$4:$A$1448,$A$44,'Net zero emission reductions'!AF$4:AF$1448))</f>
        <v>5.0894480440333094</v>
      </c>
      <c r="BA44" s="101">
        <f>IF($A44="Baseline",'Emissions summary'!AX44,SUMIF('Net zero emission reductions'!$A$4:$A$1448,$A$44,'Net zero emission reductions'!AG$4:AG$1448))</f>
        <v>4.9728882637696117</v>
      </c>
      <c r="BB44" s="101">
        <f>IF($A44="Baseline",'Emissions summary'!AY44,SUMIF('Net zero emission reductions'!$A$4:$A$1448,$A$44,'Net zero emission reductions'!AH$4:AH$1448))</f>
        <v>4.8573774435149089</v>
      </c>
      <c r="BC44" s="101">
        <f>IF($A44="Baseline",'Emissions summary'!AZ44,SUMIF('Net zero emission reductions'!$A$4:$A$1448,$A$44,'Net zero emission reductions'!AI$4:AI$1448))</f>
        <v>4.8415933568151894</v>
      </c>
      <c r="BD44" s="101">
        <f>IF($A44="Baseline",'Emissions summary'!BA44,SUMIF('Net zero emission reductions'!$A$4:$A$1448,$A$44,'Net zero emission reductions'!AJ$4:AJ$1448))</f>
        <v>4.7240874512813242</v>
      </c>
      <c r="BE44" s="101">
        <f>IF($A44="Baseline",'Emissions summary'!BB44,SUMIF('Net zero emission reductions'!$A$4:$A$1448,$A$44,'Net zero emission reductions'!AK$4:AK$1448))</f>
        <v>4.6065747532697499</v>
      </c>
      <c r="BF44" s="101">
        <f>IF($A44="Baseline",'Emissions summary'!BC44,SUMIF('Net zero emission reductions'!$A$4:$A$1448,$A$44,'Net zero emission reductions'!AL$4:AL$1448))</f>
        <v>4.4890551513582384</v>
      </c>
      <c r="BG44" s="101">
        <f>IF($A44="Baseline",'Emissions summary'!BD44,SUMIF('Net zero emission reductions'!$A$4:$A$1448,$A$44,'Net zero emission reductions'!AM$4:AM$1448))</f>
        <v>4.371528532076681</v>
      </c>
      <c r="BH44" s="101">
        <f>IF($A44="Baseline",'Emissions summary'!BE44,SUMIF('Net zero emission reductions'!$A$4:$A$1448,$A$44,'Net zero emission reductions'!AN$4:AN$1448))</f>
        <v>4.3716942401715801</v>
      </c>
      <c r="BI44" s="101">
        <f>IF($A44="Baseline",'Emissions summary'!BF44,SUMIF('Net zero emission reductions'!$A$4:$A$1448,$A$44,'Net zero emission reductions'!AO$4:AO$1448))</f>
        <v>4.3718362825738559</v>
      </c>
      <c r="BJ44" s="101">
        <f>IF($A44="Baseline",'Emissions summary'!BG44,SUMIF('Net zero emission reductions'!$A$4:$A$1448,$A$44,'Net zero emission reductions'!AP$4:AP$1448))</f>
        <v>4.3719796134442888</v>
      </c>
      <c r="BK44" s="101">
        <f>IF($A44="Baseline",'Emissions summary'!BH44,SUMIF('Net zero emission reductions'!$A$4:$A$1448,$A$44,'Net zero emission reductions'!AQ$4:AQ$1448))</f>
        <v>4.372124248199821</v>
      </c>
      <c r="BL44" s="101">
        <f>IF($A44="Baseline",'Emissions summary'!BI44,SUMIF('Net zero emission reductions'!$A$4:$A$1448,$A$44,'Net zero emission reductions'!AR$4:AR$1448))</f>
        <v>4.3722702025103173</v>
      </c>
      <c r="BM44" s="101">
        <f>IF($A44="Baseline",'Emissions summary'!BJ44,SUMIF('Net zero emission reductions'!$A$4:$A$1448,$A$44,'Net zero emission reductions'!AS$4:AS$1448))</f>
        <v>4.3724174923040726</v>
      </c>
      <c r="BN44" s="101">
        <f>IF($A44="Baseline",'Emissions summary'!BK44,SUMIF('Net zero emission reductions'!$A$4:$A$1448,$A$44,'Net zero emission reductions'!AT$4:AT$1448))</f>
        <v>4.3725396303841659</v>
      </c>
      <c r="BO44" s="101">
        <f>IF($A44="Baseline",'Emissions summary'!BL44,SUMIF('Net zero emission reductions'!$A$4:$A$1448,$A$44,'Net zero emission reductions'!AU$4:AU$1448))</f>
        <v>4.3726626917180251</v>
      </c>
      <c r="BP44" s="101">
        <f>IF($A44="Baseline",'Emissions summary'!BM44,SUMIF('Net zero emission reductions'!$A$4:$A$1448,$A$44,'Net zero emission reductions'!AV$4:AV$1448))</f>
        <v>4.3727866855732733</v>
      </c>
      <c r="BQ44" s="101">
        <f>IF($A44="Baseline",'Emissions summary'!BN44,SUMIF('Net zero emission reductions'!$A$4:$A$1448,$A$44,'Net zero emission reductions'!AW$4:AW$1448))</f>
        <v>4.3729116213455059</v>
      </c>
    </row>
    <row r="45" spans="1:72" x14ac:dyDescent="0.25">
      <c r="A45" s="102" t="str">
        <f t="shared" si="27"/>
        <v>FSFAGSPQNIBDDSCM Organic</v>
      </c>
      <c r="B45" s="102" t="str">
        <f t="shared" si="28"/>
        <v>FSFAGSPQNIBDDSCM</v>
      </c>
      <c r="C45" s="102" t="s">
        <v>1128</v>
      </c>
      <c r="D45" t="str">
        <f t="shared" si="20"/>
        <v>3C Aggregated and non-CO2 emissions on land</v>
      </c>
      <c r="E45" t="str">
        <f>E44</f>
        <v>3C4 Direct N2O from managed soils (N2O)</v>
      </c>
      <c r="F45" t="str">
        <f>'IPCC Categories'!C74</f>
        <v>Organic inputs</v>
      </c>
      <c r="G45" t="str">
        <f>G44</f>
        <v>N2O</v>
      </c>
      <c r="H45" t="str">
        <f>H44</f>
        <v>Gg N2O</v>
      </c>
      <c r="I45" s="28">
        <f>'Emissions summary'!F45</f>
        <v>5.013223224744225</v>
      </c>
      <c r="J45" s="28">
        <f>'Emissions summary'!G45</f>
        <v>5.2664911527114882</v>
      </c>
      <c r="K45" s="28">
        <f>'Emissions summary'!H45</f>
        <v>5.1762858222826607</v>
      </c>
      <c r="L45" s="28">
        <f>'Emissions summary'!I45</f>
        <v>5.2086111862956743</v>
      </c>
      <c r="M45" s="28">
        <f>'Emissions summary'!J45</f>
        <v>4.8007290385965042</v>
      </c>
      <c r="N45" s="28">
        <f>'Emissions summary'!K45</f>
        <v>4.8651386255813591</v>
      </c>
      <c r="O45" s="28">
        <f>'Emissions summary'!L45</f>
        <v>5.0338302809481963</v>
      </c>
      <c r="P45" s="28">
        <f>'Emissions summary'!M45</f>
        <v>5.1142932794644391</v>
      </c>
      <c r="Q45" s="28">
        <f>'Emissions summary'!N45</f>
        <v>5.3033045117136446</v>
      </c>
      <c r="R45" s="28">
        <f>'Emissions summary'!O45</f>
        <v>5.4092266243626721</v>
      </c>
      <c r="S45" s="28">
        <f>'Emissions summary'!P45</f>
        <v>5.6403135553523542</v>
      </c>
      <c r="T45" s="28">
        <f>'Emissions summary'!Q45</f>
        <v>5.5621015030972583</v>
      </c>
      <c r="U45" s="28">
        <f>'Emissions summary'!R45</f>
        <v>5.7412119564886979</v>
      </c>
      <c r="V45" s="28">
        <f>'Emissions summary'!S45</f>
        <v>5.6607422735121498</v>
      </c>
      <c r="W45" s="28">
        <f>'Emissions summary'!T45</f>
        <v>5.5972438596319325</v>
      </c>
      <c r="X45" s="28">
        <f>'Emissions summary'!U45</f>
        <v>5.6518594537321407</v>
      </c>
      <c r="Y45" s="28">
        <f>'Emissions summary'!V45</f>
        <v>5.7679219843073382</v>
      </c>
      <c r="Z45" s="28">
        <f>'Emissions summary'!W45</f>
        <v>5.930952774865669</v>
      </c>
      <c r="AA45" s="28">
        <f>'Emissions summary'!X45</f>
        <v>6.1389173405766284</v>
      </c>
      <c r="AB45" s="28">
        <f>'Emissions summary'!Y45</f>
        <v>6.0934183775123598</v>
      </c>
      <c r="AC45" s="28">
        <f>'Emissions summary'!Z45</f>
        <v>6.0637701628895098</v>
      </c>
      <c r="AD45" s="28">
        <f>'Emissions summary'!AA45</f>
        <v>6.1036946299350001</v>
      </c>
      <c r="AE45" s="101">
        <f>IF($A45="Baseline",'Emissions summary'!AB45,SUMIF('Net zero emission reductions'!$A$4:$A$1448,$A$45,'Net zero emission reductions'!K$4:K$1448))</f>
        <v>6.0902692345578453</v>
      </c>
      <c r="AF45" s="101">
        <f>IF($A45="Baseline",'Emissions summary'!AC45,SUMIF('Net zero emission reductions'!$A$4:$A$1448,$A$45,'Net zero emission reductions'!L$4:L$1448))</f>
        <v>6.1063415905107155</v>
      </c>
      <c r="AG45" s="101">
        <f>IF($A45="Baseline",'Emissions summary'!AD45,SUMIF('Net zero emission reductions'!$A$4:$A$1448,$A$45,'Net zero emission reductions'!M$4:M$1448))</f>
        <v>6.0839259577663176</v>
      </c>
      <c r="AH45" s="101">
        <f>IF($A45="Baseline",'Emissions summary'!AE45,SUMIF('Net zero emission reductions'!$A$4:$A$1448,$A$45,'Net zero emission reductions'!N$4:N$1448))</f>
        <v>6.0095923584091775</v>
      </c>
      <c r="AI45" s="101">
        <f>IF($A45="Baseline",'Emissions summary'!AF45,SUMIF('Net zero emission reductions'!$A$4:$A$1448,$A$45,'Net zero emission reductions'!O$4:O$1448))</f>
        <v>5.9383865865020535</v>
      </c>
      <c r="AJ45" s="101">
        <f>IF($A45="Baseline",'Emissions summary'!AG45,SUMIF('Net zero emission reductions'!$A$4:$A$1448,$A$45,'Net zero emission reductions'!P$4:P$1448))</f>
        <v>5.8959428642898359</v>
      </c>
      <c r="AK45" s="101">
        <f>IF($A45="Baseline",'Emissions summary'!AH45,SUMIF('Net zero emission reductions'!$A$4:$A$1448,$A$45,'Net zero emission reductions'!Q$4:Q$1448))</f>
        <v>5.8629169295392014</v>
      </c>
      <c r="AL45" s="101">
        <f>IF($A45="Baseline",'Emissions summary'!AI45,SUMIF('Net zero emission reductions'!$A$4:$A$1448,$A$45,'Net zero emission reductions'!R$4:R$1448))</f>
        <v>5.7780699417782451</v>
      </c>
      <c r="AM45" s="101">
        <f>IF($A45="Baseline",'Emissions summary'!AJ45,SUMIF('Net zero emission reductions'!$A$4:$A$1448,$A$45,'Net zero emission reductions'!S$4:S$1448))</f>
        <v>5.2150715941266128</v>
      </c>
      <c r="AN45" s="101">
        <f>IF($A45="Baseline",'Emissions summary'!AK45,SUMIF('Net zero emission reductions'!$A$4:$A$1448,$A$45,'Net zero emission reductions'!T$4:T$1448))</f>
        <v>5.219628370293985</v>
      </c>
      <c r="AO45" s="101">
        <f>IF($A45="Baseline",'Emissions summary'!AL45,SUMIF('Net zero emission reductions'!$A$4:$A$1448,$A$45,'Net zero emission reductions'!U$4:U$1448))</f>
        <v>5.2101174023732231</v>
      </c>
      <c r="AP45" s="101">
        <f>IF($A45="Baseline",'Emissions summary'!AM45,SUMIF('Net zero emission reductions'!$A$4:$A$1448,$A$45,'Net zero emission reductions'!V$4:V$1448))</f>
        <v>5.1993003590251492</v>
      </c>
      <c r="AQ45" s="101">
        <f>IF($A45="Baseline",'Emissions summary'!AN45,SUMIF('Net zero emission reductions'!$A$4:$A$1448,$A$45,'Net zero emission reductions'!W$4:W$1448))</f>
        <v>5.2058691037115556</v>
      </c>
      <c r="AR45" s="101">
        <f>IF($A45="Baseline",'Emissions summary'!AO45,SUMIF('Net zero emission reductions'!$A$4:$A$1448,$A$45,'Net zero emission reductions'!X$4:X$1448))</f>
        <v>5.2103671592128</v>
      </c>
      <c r="AS45" s="101">
        <f>IF($A45="Baseline",'Emissions summary'!AP45,SUMIF('Net zero emission reductions'!$A$4:$A$1448,$A$45,'Net zero emission reductions'!Y$4:Y$1448))</f>
        <v>5.2163099900534213</v>
      </c>
      <c r="AT45" s="101">
        <f>IF($A45="Baseline",'Emissions summary'!AQ45,SUMIF('Net zero emission reductions'!$A$4:$A$1448,$A$45,'Net zero emission reductions'!Z$4:Z$1448))</f>
        <v>5.215758075704259</v>
      </c>
      <c r="AU45" s="101">
        <f>IF($A45="Baseline",'Emissions summary'!AR45,SUMIF('Net zero emission reductions'!$A$4:$A$1448,$A$45,'Net zero emission reductions'!AA$4:AA$1448))</f>
        <v>5.2199577219096476</v>
      </c>
      <c r="AV45" s="101">
        <f>IF($A45="Baseline",'Emissions summary'!AS45,SUMIF('Net zero emission reductions'!$A$4:$A$1448,$A$45,'Net zero emission reductions'!AB$4:AB$1448))</f>
        <v>5.2138226459314438</v>
      </c>
      <c r="AW45" s="101">
        <f>IF($A45="Baseline",'Emissions summary'!AT45,SUMIF('Net zero emission reductions'!$A$4:$A$1448,$A$45,'Net zero emission reductions'!AC$4:AC$1448))</f>
        <v>5.2079745972604741</v>
      </c>
      <c r="AX45" s="101">
        <f>IF($A45="Baseline",'Emissions summary'!AU45,SUMIF('Net zero emission reductions'!$A$4:$A$1448,$A$45,'Net zero emission reductions'!AD$4:AD$1448))</f>
        <v>5.2091098206137003</v>
      </c>
      <c r="AY45" s="101">
        <f>IF($A45="Baseline",'Emissions summary'!AV45,SUMIF('Net zero emission reductions'!$A$4:$A$1448,$A$45,'Net zero emission reductions'!AE$4:AE$1448))</f>
        <v>5.21598257078566</v>
      </c>
      <c r="AZ45" s="101">
        <f>IF($A45="Baseline",'Emissions summary'!AW45,SUMIF('Net zero emission reductions'!$A$4:$A$1448,$A$45,'Net zero emission reductions'!AF$4:AF$1448))</f>
        <v>5.2223680050018926</v>
      </c>
      <c r="BA45" s="101">
        <f>IF($A45="Baseline",'Emissions summary'!AX45,SUMIF('Net zero emission reductions'!$A$4:$A$1448,$A$45,'Net zero emission reductions'!AG$4:AG$1448))</f>
        <v>5.1072552357475658</v>
      </c>
      <c r="BB45" s="101">
        <f>IF($A45="Baseline",'Emissions summary'!AY45,SUMIF('Net zero emission reductions'!$A$4:$A$1448,$A$45,'Net zero emission reductions'!AH$4:AH$1448))</f>
        <v>-0.53070631746918673</v>
      </c>
      <c r="BC45" s="101">
        <f>IF($A45="Baseline",'Emissions summary'!AZ45,SUMIF('Net zero emission reductions'!$A$4:$A$1448,$A$45,'Net zero emission reductions'!AI$4:AI$1448))</f>
        <v>-0.51455617829015665</v>
      </c>
      <c r="BD45" s="101">
        <f>IF($A45="Baseline",'Emissions summary'!BA45,SUMIF('Net zero emission reductions'!$A$4:$A$1448,$A$45,'Net zero emission reductions'!AJ$4:AJ$1448))</f>
        <v>-0.4992945110973912</v>
      </c>
      <c r="BE45" s="101">
        <f>IF($A45="Baseline",'Emissions summary'!BB45,SUMIF('Net zero emission reductions'!$A$4:$A$1448,$A$45,'Net zero emission reductions'!AK$4:AK$1448))</f>
        <v>-0.48423460704195465</v>
      </c>
      <c r="BF45" s="101">
        <f>IF($A45="Baseline",'Emissions summary'!BC45,SUMIF('Net zero emission reductions'!$A$4:$A$1448,$A$45,'Net zero emission reductions'!AL$4:AL$1448))</f>
        <v>-0.4693620977712839</v>
      </c>
      <c r="BG45" s="101">
        <f>IF($A45="Baseline",'Emissions summary'!BD45,SUMIF('Net zero emission reductions'!$A$4:$A$1448,$A$45,'Net zero emission reductions'!AM$4:AM$1448))</f>
        <v>-0.4546635400597408</v>
      </c>
      <c r="BH45" s="101">
        <f>IF($A45="Baseline",'Emissions summary'!BE45,SUMIF('Net zero emission reductions'!$A$4:$A$1448,$A$45,'Net zero emission reductions'!AN$4:AN$1448))</f>
        <v>-0.44534452436226463</v>
      </c>
      <c r="BI45" s="101">
        <f>IF($A45="Baseline",'Emissions summary'!BF45,SUMIF('Net zero emission reductions'!$A$4:$A$1448,$A$45,'Net zero emission reductions'!AO$4:AO$1448))</f>
        <v>-0.4361909359060458</v>
      </c>
      <c r="BJ45" s="101">
        <f>IF($A45="Baseline",'Emissions summary'!BG45,SUMIF('Net zero emission reductions'!$A$4:$A$1448,$A$45,'Net zero emission reductions'!AP$4:AP$1448))</f>
        <v>-0.42719525345097381</v>
      </c>
      <c r="BK45" s="101">
        <f>IF($A45="Baseline",'Emissions summary'!BH45,SUMIF('Net zero emission reductions'!$A$4:$A$1448,$A$45,'Net zero emission reductions'!AQ$4:AQ$1448))</f>
        <v>-0.41835058493235389</v>
      </c>
      <c r="BL45" s="101">
        <f>IF($A45="Baseline",'Emissions summary'!BI45,SUMIF('Net zero emission reductions'!$A$4:$A$1448,$A$45,'Net zero emission reductions'!AR$4:AR$1448))</f>
        <v>-0.40965046414558881</v>
      </c>
      <c r="BM45" s="101">
        <f>IF($A45="Baseline",'Emissions summary'!BJ45,SUMIF('Net zero emission reductions'!$A$4:$A$1448,$A$45,'Net zero emission reductions'!AS$4:AS$1448))</f>
        <v>-0.40058517161451795</v>
      </c>
      <c r="BN45" s="101">
        <f>IF($A45="Baseline",'Emissions summary'!BK45,SUMIF('Net zero emission reductions'!$A$4:$A$1448,$A$45,'Net zero emission reductions'!AT$4:AT$1448))</f>
        <v>-0.39166545349116277</v>
      </c>
      <c r="BO45" s="101">
        <f>IF($A45="Baseline",'Emissions summary'!BL45,SUMIF('Net zero emission reductions'!$A$4:$A$1448,$A$45,'Net zero emission reductions'!AU$4:AU$1448))</f>
        <v>-0.38288549035602809</v>
      </c>
      <c r="BP45" s="101">
        <f>IF($A45="Baseline",'Emissions summary'!BM45,SUMIF('Net zero emission reductions'!$A$4:$A$1448,$A$45,'Net zero emission reductions'!AV$4:AV$1448))</f>
        <v>-0.37423995662503229</v>
      </c>
      <c r="BQ45" s="101">
        <f>IF($A45="Baseline",'Emissions summary'!BN45,SUMIF('Net zero emission reductions'!$A$4:$A$1448,$A$45,'Net zero emission reductions'!AW$4:AW$1448))</f>
        <v>-0.36572382433672745</v>
      </c>
    </row>
    <row r="46" spans="1:72" x14ac:dyDescent="0.25">
      <c r="A46" s="102" t="str">
        <f t="shared" si="27"/>
        <v>FSFAGSPQNIBDDSCM Crop residues</v>
      </c>
      <c r="B46" s="102" t="str">
        <f t="shared" si="28"/>
        <v>FSFAGSPQNIBDDSCM</v>
      </c>
      <c r="C46" s="103" t="s">
        <v>58</v>
      </c>
      <c r="D46" t="str">
        <f t="shared" ref="D46:E49" si="29">D45</f>
        <v>3C Aggregated and non-CO2 emissions on land</v>
      </c>
      <c r="E46" t="str">
        <f t="shared" si="29"/>
        <v>3C4 Direct N2O from managed soils (N2O)</v>
      </c>
      <c r="F46" t="str">
        <f>'IPCC Categories'!C75</f>
        <v>Crop residues</v>
      </c>
      <c r="G46" t="str">
        <f t="shared" ref="G46:H54" si="30">G45</f>
        <v>N2O</v>
      </c>
      <c r="H46" t="str">
        <f t="shared" si="30"/>
        <v>Gg N2O</v>
      </c>
      <c r="I46" s="28">
        <f>'Emissions summary'!F46</f>
        <v>4.7572664246993837</v>
      </c>
      <c r="J46" s="28">
        <f>'Emissions summary'!G46</f>
        <v>4.2403582737669279</v>
      </c>
      <c r="K46" s="28">
        <f>'Emissions summary'!H46</f>
        <v>4.4153625132445411</v>
      </c>
      <c r="L46" s="28">
        <f>'Emissions summary'!I46</f>
        <v>4.7418888374800598</v>
      </c>
      <c r="M46" s="28">
        <f>'Emissions summary'!J46</f>
        <v>5.0009128268356475</v>
      </c>
      <c r="N46" s="28">
        <f>'Emissions summary'!K46</f>
        <v>3.8892379277011866</v>
      </c>
      <c r="O46" s="28">
        <f>'Emissions summary'!L46</f>
        <v>4.2839264832658595</v>
      </c>
      <c r="P46" s="28">
        <f>'Emissions summary'!M46</f>
        <v>4.5049773321420563</v>
      </c>
      <c r="Q46" s="28">
        <f>'Emissions summary'!N46</f>
        <v>3.9255738498283432</v>
      </c>
      <c r="R46" s="28">
        <f>'Emissions summary'!O46</f>
        <v>3.8953932469931241</v>
      </c>
      <c r="S46" s="28">
        <f>'Emissions summary'!P46</f>
        <v>4.4710787977237265</v>
      </c>
      <c r="T46" s="28">
        <f>'Emissions summary'!Q46</f>
        <v>3.6519029734228816</v>
      </c>
      <c r="U46" s="28">
        <f>'Emissions summary'!R46</f>
        <v>3.982993252892217</v>
      </c>
      <c r="V46" s="28">
        <f>'Emissions summary'!S46</f>
        <v>3.9301610630705248</v>
      </c>
      <c r="W46" s="28">
        <f>'Emissions summary'!T46</f>
        <v>3.5144884547415667</v>
      </c>
      <c r="X46" s="28">
        <f>'Emissions summary'!U46</f>
        <v>3.5698504074879742</v>
      </c>
      <c r="Y46" s="28">
        <f>'Emissions summary'!V46</f>
        <v>2.4003352875845994</v>
      </c>
      <c r="Z46" s="28">
        <f>'Emissions summary'!W46</f>
        <v>3.2539877539471691</v>
      </c>
      <c r="AA46" s="28">
        <f>'Emissions summary'!X46</f>
        <v>3.7163492663367288</v>
      </c>
      <c r="AB46" s="28">
        <f>'Emissions summary'!Y46</f>
        <v>3.3020035495326421</v>
      </c>
      <c r="AC46" s="28">
        <f>'Emissions summary'!Z46</f>
        <v>3.605306989206821</v>
      </c>
      <c r="AD46" s="28">
        <f>'Emissions summary'!AA46</f>
        <v>3.3383236984964055</v>
      </c>
      <c r="AE46" s="28">
        <f>'Net zero emission reductions'!K1465</f>
        <v>2.94930909510781</v>
      </c>
      <c r="AF46" s="28">
        <f>'Net zero emission reductions'!L1465</f>
        <v>2.9563860470471841</v>
      </c>
      <c r="AG46" s="28">
        <f>'Net zero emission reductions'!M1465</f>
        <v>2.9660567509887259</v>
      </c>
      <c r="AH46" s="28">
        <f>'Net zero emission reductions'!N1465</f>
        <v>2.9730763996357101</v>
      </c>
      <c r="AI46" s="28">
        <f>'Net zero emission reductions'!O1465</f>
        <v>2.9764949162422756</v>
      </c>
      <c r="AJ46" s="28">
        <f>'Net zero emission reductions'!P1465</f>
        <v>2.9798690253687776</v>
      </c>
      <c r="AK46" s="28">
        <f>'Net zero emission reductions'!Q1465</f>
        <v>2.9849732339537955</v>
      </c>
      <c r="AL46" s="28">
        <f>'Net zero emission reductions'!R1465</f>
        <v>2.9905615945405919</v>
      </c>
      <c r="AM46" s="28">
        <f>'Net zero emission reductions'!S1465</f>
        <v>2.9923904690707688</v>
      </c>
      <c r="AN46" s="28">
        <f>'Net zero emission reductions'!T1465</f>
        <v>2.9587970068183171</v>
      </c>
      <c r="AO46" s="28">
        <f>'Net zero emission reductions'!U1465</f>
        <v>2.9692759442185355</v>
      </c>
      <c r="AP46" s="28">
        <f>'Net zero emission reductions'!V1465</f>
        <v>2.9786973142789162</v>
      </c>
      <c r="AQ46" s="28">
        <f>'Net zero emission reductions'!W1465</f>
        <v>2.9880313460490315</v>
      </c>
      <c r="AR46" s="28">
        <f>'Net zero emission reductions'!X1465</f>
        <v>2.9987458425292064</v>
      </c>
      <c r="AS46" s="28">
        <f>'Net zero emission reductions'!Y1465</f>
        <v>3.0093440495500001</v>
      </c>
      <c r="AT46" s="28">
        <f>'Net zero emission reductions'!Z1465</f>
        <v>3.0200893059451359</v>
      </c>
      <c r="AU46" s="28">
        <f>'Net zero emission reductions'!AA1465</f>
        <v>3.0303771863022528</v>
      </c>
      <c r="AV46" s="28">
        <f>'Net zero emission reductions'!AB1465</f>
        <v>3.0411047920866441</v>
      </c>
      <c r="AW46" s="28">
        <f>'Net zero emission reductions'!AC1465</f>
        <v>3.0510700208983077</v>
      </c>
      <c r="AX46" s="28">
        <f>'Net zero emission reductions'!AD1465</f>
        <v>3.0611241461036762</v>
      </c>
      <c r="AY46" s="28">
        <f>'Net zero emission reductions'!AE1465</f>
        <v>3.0728237412547079</v>
      </c>
      <c r="AZ46" s="28">
        <f>'Net zero emission reductions'!AF1465</f>
        <v>3.0851749342584296</v>
      </c>
      <c r="BA46" s="28">
        <f>'Net zero emission reductions'!AG1465</f>
        <v>3.0976819263158513</v>
      </c>
      <c r="BB46" s="28">
        <f>'Net zero emission reductions'!AH1465</f>
        <v>3.100164026523585</v>
      </c>
      <c r="BC46" s="28">
        <f>'Net zero emission reductions'!AI1465</f>
        <v>2.0687131319155303</v>
      </c>
      <c r="BD46" s="28">
        <f>'Net zero emission reductions'!AJ1465</f>
        <v>2.0668883322133484</v>
      </c>
      <c r="BE46" s="28">
        <f>'Net zero emission reductions'!AK1465</f>
        <v>2.0650443235262905</v>
      </c>
      <c r="BF46" s="28">
        <f>'Net zero emission reductions'!AL1465</f>
        <v>2.0631808412261146</v>
      </c>
      <c r="BG46" s="28">
        <f>'Net zero emission reductions'!AM1465</f>
        <v>2.0612976157071592</v>
      </c>
      <c r="BH46" s="28">
        <f>'Net zero emission reductions'!AN1465</f>
        <v>2.0593943722621146</v>
      </c>
      <c r="BI46" s="28">
        <f>'Net zero emission reductions'!AO1465</f>
        <v>2.0577629415754459</v>
      </c>
      <c r="BJ46" s="28">
        <f>'Net zero emission reductions'!AP1465</f>
        <v>2.056116712163484</v>
      </c>
      <c r="BK46" s="28">
        <f>'Net zero emission reductions'!AQ1465</f>
        <v>2.0544555069546533</v>
      </c>
      <c r="BL46" s="28">
        <f>'Net zero emission reductions'!AR1465</f>
        <v>2.0527791459724298</v>
      </c>
      <c r="BM46" s="28">
        <f>'Net zero emission reductions'!AS1465</f>
        <v>2.0510874462720836</v>
      </c>
      <c r="BN46" s="28">
        <f>'Net zero emission reductions'!AT1465</f>
        <v>2.0496846270527396</v>
      </c>
      <c r="BO46" s="28">
        <f>'Net zero emission reductions'!AU1465</f>
        <v>2.0482712037848629</v>
      </c>
      <c r="BP46" s="28">
        <f>'Net zero emission reductions'!AV1465</f>
        <v>2.0468470700250148</v>
      </c>
      <c r="BQ46" s="28">
        <f>'Net zero emission reductions'!AW1465</f>
        <v>2.0454121178598972</v>
      </c>
    </row>
    <row r="47" spans="1:72" x14ac:dyDescent="0.25">
      <c r="A47" s="102" t="str">
        <f t="shared" si="27"/>
        <v>FSFAGSPQNIBDDSCM U&amp;D</v>
      </c>
      <c r="B47" s="102" t="str">
        <f t="shared" si="28"/>
        <v>FSFAGSPQNIBDDSCM</v>
      </c>
      <c r="C47" s="102" t="s">
        <v>1337</v>
      </c>
      <c r="D47" t="str">
        <f t="shared" si="29"/>
        <v>3C Aggregated and non-CO2 emissions on land</v>
      </c>
      <c r="E47" t="str">
        <f t="shared" si="29"/>
        <v>3C4 Direct N2O from managed soils (N2O)</v>
      </c>
      <c r="F47" t="str">
        <f>'IPCC Categories'!C76</f>
        <v>Urine and dung</v>
      </c>
      <c r="G47" t="str">
        <f t="shared" si="30"/>
        <v>N2O</v>
      </c>
      <c r="H47" t="str">
        <f t="shared" si="30"/>
        <v>Gg N2O</v>
      </c>
      <c r="I47" s="28">
        <f>'Emissions summary'!F47</f>
        <v>40.425280591433946</v>
      </c>
      <c r="J47" s="28">
        <f>'Emissions summary'!G47</f>
        <v>39.655855375514953</v>
      </c>
      <c r="K47" s="28">
        <f>'Emissions summary'!H47</f>
        <v>39.269963203010875</v>
      </c>
      <c r="L47" s="28">
        <f>'Emissions summary'!I47</f>
        <v>37.449084903585295</v>
      </c>
      <c r="M47" s="28">
        <f>'Emissions summary'!J47</f>
        <v>36.817343250357858</v>
      </c>
      <c r="N47" s="28">
        <f>'Emissions summary'!K47</f>
        <v>36.936189905927051</v>
      </c>
      <c r="O47" s="28">
        <f>'Emissions summary'!L47</f>
        <v>37.924567366369672</v>
      </c>
      <c r="P47" s="28">
        <f>'Emissions summary'!M47</f>
        <v>38.691122821634551</v>
      </c>
      <c r="Q47" s="28">
        <f>'Emissions summary'!N47</f>
        <v>39.306588985945346</v>
      </c>
      <c r="R47" s="28">
        <f>'Emissions summary'!O47</f>
        <v>39.158195612778492</v>
      </c>
      <c r="S47" s="28">
        <f>'Emissions summary'!P47</f>
        <v>37.874148422214795</v>
      </c>
      <c r="T47" s="28">
        <f>'Emissions summary'!Q47</f>
        <v>37.594392019460763</v>
      </c>
      <c r="U47" s="28">
        <f>'Emissions summary'!R47</f>
        <v>37.094637763656323</v>
      </c>
      <c r="V47" s="28">
        <f>'Emissions summary'!S47</f>
        <v>37.505204714428423</v>
      </c>
      <c r="W47" s="28">
        <f>'Emissions summary'!T47</f>
        <v>37.280820907568433</v>
      </c>
      <c r="X47" s="28">
        <f>'Emissions summary'!U47</f>
        <v>37.197164092704128</v>
      </c>
      <c r="Y47" s="28">
        <f>'Emissions summary'!V47</f>
        <v>37.060718523204258</v>
      </c>
      <c r="Z47" s="28">
        <f>'Emissions summary'!W47</f>
        <v>37.867172144279415</v>
      </c>
      <c r="AA47" s="28">
        <f>'Emissions summary'!X47</f>
        <v>37.589440908384148</v>
      </c>
      <c r="AB47" s="28">
        <f>'Emissions summary'!Y47</f>
        <v>37.213052114334651</v>
      </c>
      <c r="AC47" s="28">
        <f>'Emissions summary'!Z47</f>
        <v>36.852039924544918</v>
      </c>
      <c r="AD47" s="28">
        <f>'Emissions summary'!AA47</f>
        <v>36.70999987940661</v>
      </c>
      <c r="AE47" s="101">
        <f>IF($A47="Baseline",'Emissions summary'!AB47,SUMIF('Net zero emission reductions'!$A$4:$A$1448,$A$47,'Net zero emission reductions'!K$4:K$1448))</f>
        <v>35.621547919862678</v>
      </c>
      <c r="AF47" s="101">
        <f>IF($A47="Baseline",'Emissions summary'!AC47,SUMIF('Net zero emission reductions'!$A$4:$A$1448,$A$47,'Net zero emission reductions'!L$4:L$1448))</f>
        <v>35.475224507108734</v>
      </c>
      <c r="AG47" s="101">
        <f>IF($A47="Baseline",'Emissions summary'!AD47,SUMIF('Net zero emission reductions'!$A$4:$A$1448,$A$47,'Net zero emission reductions'!M$4:M$1448))</f>
        <v>35.145184559729039</v>
      </c>
      <c r="AH47" s="101">
        <f>IF($A47="Baseline",'Emissions summary'!AE47,SUMIF('Net zero emission reductions'!$A$4:$A$1448,$A$47,'Net zero emission reductions'!N$4:N$1448))</f>
        <v>34.572439180553843</v>
      </c>
      <c r="AI47" s="101">
        <f>IF($A47="Baseline",'Emissions summary'!AF47,SUMIF('Net zero emission reductions'!$A$4:$A$1448,$A$47,'Net zero emission reductions'!O$4:O$1448))</f>
        <v>34.023944045944994</v>
      </c>
      <c r="AJ47" s="101">
        <f>IF($A47="Baseline",'Emissions summary'!AG47,SUMIF('Net zero emission reductions'!$A$4:$A$1448,$A$47,'Net zero emission reductions'!P$4:P$1448))</f>
        <v>33.618744787554249</v>
      </c>
      <c r="AK47" s="101">
        <f>IF($A47="Baseline",'Emissions summary'!AH47,SUMIF('Net zero emission reductions'!$A$4:$A$1448,$A$47,'Net zero emission reductions'!Q$4:Q$1448))</f>
        <v>33.260557263583301</v>
      </c>
      <c r="AL47" s="101">
        <f>IF($A47="Baseline",'Emissions summary'!AI47,SUMIF('Net zero emission reductions'!$A$4:$A$1448,$A$47,'Net zero emission reductions'!R$4:R$1448))</f>
        <v>32.668163955983971</v>
      </c>
      <c r="AM47" s="101">
        <f>IF($A47="Baseline",'Emissions summary'!AJ47,SUMIF('Net zero emission reductions'!$A$4:$A$1448,$A$47,'Net zero emission reductions'!S$4:S$1448))</f>
        <v>29.922470030691009</v>
      </c>
      <c r="AN47" s="101">
        <f>IF($A47="Baseline",'Emissions summary'!AK47,SUMIF('Net zero emission reductions'!$A$4:$A$1448,$A$47,'Net zero emission reductions'!T$4:T$1448))</f>
        <v>29.97834106679819</v>
      </c>
      <c r="AO47" s="101">
        <f>IF($A47="Baseline",'Emissions summary'!AL47,SUMIF('Net zero emission reductions'!$A$4:$A$1448,$A$47,'Net zero emission reductions'!U$4:U$1448))</f>
        <v>29.974706089714036</v>
      </c>
      <c r="AP47" s="101">
        <f>IF($A47="Baseline",'Emissions summary'!AM47,SUMIF('Net zero emission reductions'!$A$4:$A$1448,$A$47,'Net zero emission reductions'!V$4:V$1448))</f>
        <v>29.969108022694787</v>
      </c>
      <c r="AQ47" s="101">
        <f>IF($A47="Baseline",'Emissions summary'!AN47,SUMIF('Net zero emission reductions'!$A$4:$A$1448,$A$47,'Net zero emission reductions'!W$4:W$1448))</f>
        <v>30.04500187690995</v>
      </c>
      <c r="AR47" s="101">
        <f>IF($A47="Baseline",'Emissions summary'!AO47,SUMIF('Net zero emission reductions'!$A$4:$A$1448,$A$47,'Net zero emission reductions'!X$4:X$1448))</f>
        <v>30.115204073619648</v>
      </c>
      <c r="AS47" s="101">
        <f>IF($A47="Baseline",'Emissions summary'!AP47,SUMIF('Net zero emission reductions'!$A$4:$A$1448,$A$47,'Net zero emission reductions'!Y$4:Y$1448))</f>
        <v>30.184171937873963</v>
      </c>
      <c r="AT47" s="101">
        <f>IF($A47="Baseline",'Emissions summary'!AQ47,SUMIF('Net zero emission reductions'!$A$4:$A$1448,$A$47,'Net zero emission reductions'!Z$4:Z$1448))</f>
        <v>30.227972073373209</v>
      </c>
      <c r="AU47" s="101">
        <f>IF($A47="Baseline",'Emissions summary'!AR47,SUMIF('Net zero emission reductions'!$A$4:$A$1448,$A$47,'Net zero emission reductions'!AA$4:AA$1448))</f>
        <v>30.296569938465932</v>
      </c>
      <c r="AV47" s="101">
        <f>IF($A47="Baseline",'Emissions summary'!AS47,SUMIF('Net zero emission reductions'!$A$4:$A$1448,$A$47,'Net zero emission reductions'!AB$4:AB$1448))</f>
        <v>30.323423482385188</v>
      </c>
      <c r="AW47" s="101">
        <f>IF($A47="Baseline",'Emissions summary'!AT47,SUMIF('Net zero emission reductions'!$A$4:$A$1448,$A$47,'Net zero emission reductions'!AC$4:AC$1448))</f>
        <v>30.355637763729625</v>
      </c>
      <c r="AX47" s="101">
        <f>IF($A47="Baseline",'Emissions summary'!AU47,SUMIF('Net zero emission reductions'!$A$4:$A$1448,$A$47,'Net zero emission reductions'!AD$4:AD$1448))</f>
        <v>30.416497097574126</v>
      </c>
      <c r="AY47" s="101">
        <f>IF($A47="Baseline",'Emissions summary'!AV47,SUMIF('Net zero emission reductions'!$A$4:$A$1448,$A$47,'Net zero emission reductions'!AE$4:AE$1448))</f>
        <v>30.506067166360832</v>
      </c>
      <c r="AZ47" s="101">
        <f>IF($A47="Baseline",'Emissions summary'!AW47,SUMIF('Net zero emission reductions'!$A$4:$A$1448,$A$47,'Net zero emission reductions'!AF$4:AF$1448))</f>
        <v>30.597069378915162</v>
      </c>
      <c r="BA47" s="101">
        <f>IF($A47="Baseline",'Emissions summary'!AX47,SUMIF('Net zero emission reductions'!$A$4:$A$1448,$A$47,'Net zero emission reductions'!AG$4:AG$1448))</f>
        <v>30.157358292418163</v>
      </c>
      <c r="BB47" s="101">
        <f>IF($A47="Baseline",'Emissions summary'!AY47,SUMIF('Net zero emission reductions'!$A$4:$A$1448,$A$47,'Net zero emission reductions'!AH$4:AH$1448))</f>
        <v>5.4227318750070745</v>
      </c>
      <c r="BC47" s="101">
        <f>IF($A47="Baseline",'Emissions summary'!AZ47,SUMIF('Net zero emission reductions'!$A$4:$A$1448,$A$47,'Net zero emission reductions'!AI$4:AI$1448))</f>
        <v>5.546778273699398</v>
      </c>
      <c r="BD47" s="101">
        <f>IF($A47="Baseline",'Emissions summary'!BA47,SUMIF('Net zero emission reductions'!$A$4:$A$1448,$A$47,'Net zero emission reductions'!AJ$4:AJ$1448))</f>
        <v>5.6696944344081999</v>
      </c>
      <c r="BE47" s="101">
        <f>IF($A47="Baseline",'Emissions summary'!BB47,SUMIF('Net zero emission reductions'!$A$4:$A$1448,$A$47,'Net zero emission reductions'!AK$4:AK$1448))</f>
        <v>5.7915404958909562</v>
      </c>
      <c r="BF47" s="101">
        <f>IF($A47="Baseline",'Emissions summary'!BC47,SUMIF('Net zero emission reductions'!$A$4:$A$1448,$A$47,'Net zero emission reductions'!AL$4:AL$1448))</f>
        <v>5.9123728323657518</v>
      </c>
      <c r="BG47" s="101">
        <f>IF($A47="Baseline",'Emissions summary'!BD47,SUMIF('Net zero emission reductions'!$A$4:$A$1448,$A$47,'Net zero emission reductions'!AM$4:AM$1448))</f>
        <v>6.0322443884539627</v>
      </c>
      <c r="BH47" s="101">
        <f>IF($A47="Baseline",'Emissions summary'!BE47,SUMIF('Net zero emission reductions'!$A$4:$A$1448,$A$47,'Net zero emission reductions'!AN$4:AN$1448))</f>
        <v>6.1259890415966103</v>
      </c>
      <c r="BI47" s="101">
        <f>IF($A47="Baseline",'Emissions summary'!BF47,SUMIF('Net zero emission reductions'!$A$4:$A$1448,$A$47,'Net zero emission reductions'!AO$4:AO$1448))</f>
        <v>6.218977695239162</v>
      </c>
      <c r="BJ47" s="101">
        <f>IF($A47="Baseline",'Emissions summary'!BG47,SUMIF('Net zero emission reductions'!$A$4:$A$1448,$A$47,'Net zero emission reductions'!AP$4:AP$1448))</f>
        <v>6.3112446574364158</v>
      </c>
      <c r="BK47" s="101">
        <f>IF($A47="Baseline",'Emissions summary'!BH47,SUMIF('Net zero emission reductions'!$A$4:$A$1448,$A$47,'Net zero emission reductions'!AQ$4:AQ$1448))</f>
        <v>6.402822346896194</v>
      </c>
      <c r="BL47" s="101">
        <f>IF($A47="Baseline",'Emissions summary'!BI47,SUMIF('Net zero emission reductions'!$A$4:$A$1448,$A$47,'Net zero emission reductions'!AR$4:AR$1448))</f>
        <v>6.4937414418239214</v>
      </c>
      <c r="BM47" s="101">
        <f>IF($A47="Baseline",'Emissions summary'!BJ47,SUMIF('Net zero emission reductions'!$A$4:$A$1448,$A$47,'Net zero emission reductions'!AS$4:AS$1448))</f>
        <v>6.5780779230582276</v>
      </c>
      <c r="BN47" s="101">
        <f>IF($A47="Baseline",'Emissions summary'!BK47,SUMIF('Net zero emission reductions'!$A$4:$A$1448,$A$47,'Net zero emission reductions'!AT$4:AT$1448))</f>
        <v>6.6616817592958419</v>
      </c>
      <c r="BO47" s="101">
        <f>IF($A47="Baseline",'Emissions summary'!BL47,SUMIF('Net zero emission reductions'!$A$4:$A$1448,$A$47,'Net zero emission reductions'!AU$4:AU$1448))</f>
        <v>6.7445794651496263</v>
      </c>
      <c r="BP47" s="101">
        <f>IF($A47="Baseline",'Emissions summary'!BM47,SUMIF('Net zero emission reductions'!$A$4:$A$1448,$A$47,'Net zero emission reductions'!AV$4:AV$1448))</f>
        <v>6.8267962414149661</v>
      </c>
      <c r="BQ47" s="101">
        <f>IF($A47="Baseline",'Emissions summary'!BN47,SUMIF('Net zero emission reductions'!$A$4:$A$1448,$A$47,'Net zero emission reductions'!AW$4:AW$1448))</f>
        <v>6.9083560677716047</v>
      </c>
    </row>
    <row r="48" spans="1:72" x14ac:dyDescent="0.25">
      <c r="A48" s="102" t="str">
        <f t="shared" si="27"/>
        <v>FSFAGSPQNIBDDSCM FSOM</v>
      </c>
      <c r="B48" s="102" t="str">
        <f t="shared" si="28"/>
        <v>FSFAGSPQNIBDDSCM</v>
      </c>
      <c r="C48" s="103" t="s">
        <v>60</v>
      </c>
      <c r="D48" t="str">
        <f t="shared" si="29"/>
        <v>3C Aggregated and non-CO2 emissions on land</v>
      </c>
      <c r="E48" t="str">
        <f t="shared" si="29"/>
        <v>3C4 Direct N2O from managed soils (N2O)</v>
      </c>
      <c r="F48" t="str">
        <f>'IPCC Categories'!C77</f>
        <v>FSOM</v>
      </c>
      <c r="G48" t="str">
        <f t="shared" si="30"/>
        <v>N2O</v>
      </c>
      <c r="H48" t="str">
        <f t="shared" si="30"/>
        <v>Gg N2O</v>
      </c>
      <c r="I48" s="28">
        <f>'Emissions summary'!F48</f>
        <v>0</v>
      </c>
      <c r="J48" s="28">
        <f>'Emissions summary'!G48</f>
        <v>0.38737090084859693</v>
      </c>
      <c r="K48" s="28">
        <f>'Emissions summary'!H48</f>
        <v>0.38737090084859693</v>
      </c>
      <c r="L48" s="28">
        <f>'Emissions summary'!I48</f>
        <v>0.38737090084859693</v>
      </c>
      <c r="M48" s="28">
        <f>'Emissions summary'!J48</f>
        <v>0.38737090084859693</v>
      </c>
      <c r="N48" s="28">
        <f>'Emissions summary'!K48</f>
        <v>0.38737090084859693</v>
      </c>
      <c r="O48" s="28">
        <f>'Emissions summary'!L48</f>
        <v>0.38737090084859693</v>
      </c>
      <c r="P48" s="28">
        <f>'Emissions summary'!M48</f>
        <v>0.38737090084859693</v>
      </c>
      <c r="Q48" s="28">
        <f>'Emissions summary'!N48</f>
        <v>0.38737090084859693</v>
      </c>
      <c r="R48" s="28">
        <f>'Emissions summary'!O48</f>
        <v>0.38737090084859693</v>
      </c>
      <c r="S48" s="28">
        <f>'Emissions summary'!P48</f>
        <v>0.38737090084859693</v>
      </c>
      <c r="T48" s="28">
        <f>'Emissions summary'!Q48</f>
        <v>0.38737090084859693</v>
      </c>
      <c r="U48" s="28">
        <f>'Emissions summary'!R48</f>
        <v>0.38737090084859693</v>
      </c>
      <c r="V48" s="28">
        <f>'Emissions summary'!S48</f>
        <v>0.38737090084859693</v>
      </c>
      <c r="W48" s="28">
        <f>'Emissions summary'!T48</f>
        <v>0.38737090084859693</v>
      </c>
      <c r="X48" s="28">
        <f>'Emissions summary'!U48</f>
        <v>0.38737090084859693</v>
      </c>
      <c r="Y48" s="28">
        <f>'Emissions summary'!V48</f>
        <v>0.38737090084859693</v>
      </c>
      <c r="Z48" s="28">
        <f>'Emissions summary'!W48</f>
        <v>0.38737090084859693</v>
      </c>
      <c r="AA48" s="28">
        <f>'Emissions summary'!X48</f>
        <v>0.38737090084859693</v>
      </c>
      <c r="AB48" s="28">
        <f>'Emissions summary'!Y48</f>
        <v>0.38737090084859693</v>
      </c>
      <c r="AC48" s="28">
        <f>'Emissions summary'!Z48</f>
        <v>0.38737090084859693</v>
      </c>
      <c r="AD48" s="28">
        <f>'Emissions summary'!AA48</f>
        <v>0.38737090084859693</v>
      </c>
      <c r="AE48" s="28">
        <f>SUM('Net zero emission reductions'!K1498:K1509)</f>
        <v>4.3269580366320675</v>
      </c>
      <c r="AF48" s="28">
        <f>SUM('Net zero emission reductions'!L1498:L1509)</f>
        <v>4.3280898923408078</v>
      </c>
      <c r="AG48" s="28">
        <f>SUM('Net zero emission reductions'!M1498:M1509)</f>
        <v>4.329221748049549</v>
      </c>
      <c r="AH48" s="28">
        <f>SUM('Net zero emission reductions'!N1498:N1509)</f>
        <v>4.3303536037582893</v>
      </c>
      <c r="AI48" s="28">
        <f>SUM('Net zero emission reductions'!O1498:O1509)</f>
        <v>4.3314854594670296</v>
      </c>
      <c r="AJ48" s="28">
        <f>SUM('Net zero emission reductions'!P1498:P1509)</f>
        <v>4.3326173151757708</v>
      </c>
      <c r="AK48" s="28">
        <f>SUM('Net zero emission reductions'!Q1498:Q1509)</f>
        <v>4.3337491708845111</v>
      </c>
      <c r="AL48" s="28">
        <f>SUM('Net zero emission reductions'!R1498:R1509)</f>
        <v>4.3348810265932514</v>
      </c>
      <c r="AM48" s="28">
        <f>SUM('Net zero emission reductions'!S1498:S1509)</f>
        <v>4.3360128823019917</v>
      </c>
      <c r="AN48" s="28">
        <f>SUM('Net zero emission reductions'!T1498:T1509)</f>
        <v>4.337144738010732</v>
      </c>
      <c r="AO48" s="28">
        <f>SUM('Net zero emission reductions'!U1498:U1509)</f>
        <v>4.3382765937194723</v>
      </c>
      <c r="AP48" s="28">
        <f>SUM('Net zero emission reductions'!V1498:V1509)</f>
        <v>4.3394084494282135</v>
      </c>
      <c r="AQ48" s="28">
        <f>SUM('Net zero emission reductions'!W1498:W1509)</f>
        <v>4.3405403051369538</v>
      </c>
      <c r="AR48" s="28">
        <f>SUM('Net zero emission reductions'!X1498:X1509)</f>
        <v>4.341672160845695</v>
      </c>
      <c r="AS48" s="28">
        <f>SUM('Net zero emission reductions'!Y1498:Y1509)</f>
        <v>4.3428040165544353</v>
      </c>
      <c r="AT48" s="28">
        <f>SUM('Net zero emission reductions'!Z1498:Z1509)</f>
        <v>4.3439358722631756</v>
      </c>
      <c r="AU48" s="28">
        <f>SUM('Net zero emission reductions'!AA1498:AA1509)</f>
        <v>4.3450677279719159</v>
      </c>
      <c r="AV48" s="28">
        <f>SUM('Net zero emission reductions'!AB1498:AB1509)</f>
        <v>4.3461995836806562</v>
      </c>
      <c r="AW48" s="28">
        <f>SUM('Net zero emission reductions'!AC1498:AC1509)</f>
        <v>4.3473314393893974</v>
      </c>
      <c r="AX48" s="28">
        <f>SUM('Net zero emission reductions'!AD1498:AD1509)</f>
        <v>4.3484632950981377</v>
      </c>
      <c r="AY48" s="28">
        <f>SUM('Net zero emission reductions'!AE1498:AE1509)</f>
        <v>4.349595150806878</v>
      </c>
      <c r="AZ48" s="28">
        <f>SUM('Net zero emission reductions'!AF1498:AF1509)</f>
        <v>4.3507270065156192</v>
      </c>
      <c r="BA48" s="28">
        <f>SUM('Net zero emission reductions'!AG1498:AG1509)</f>
        <v>4.3518588622243595</v>
      </c>
      <c r="BB48" s="28">
        <f>SUM('Net zero emission reductions'!AH1498:AH1509)</f>
        <v>4.3529907179330998</v>
      </c>
      <c r="BC48" s="28">
        <f>SUM('Net zero emission reductions'!AI1498:AI1509)</f>
        <v>4.3541225736418401</v>
      </c>
      <c r="BD48" s="28">
        <f>SUM('Net zero emission reductions'!AJ1498:AJ1509)</f>
        <v>4.3552544293505804</v>
      </c>
      <c r="BE48" s="28">
        <f>SUM('Net zero emission reductions'!AK1498:AK1509)</f>
        <v>4.3563862850593216</v>
      </c>
      <c r="BF48" s="28">
        <f>SUM('Net zero emission reductions'!AL1498:AL1509)</f>
        <v>4.3575181407680619</v>
      </c>
      <c r="BG48" s="28">
        <f>SUM('Net zero emission reductions'!AM1498:AM1509)</f>
        <v>4.3586499964768022</v>
      </c>
      <c r="BH48" s="28">
        <f>SUM('Net zero emission reductions'!AN1498:AN1509)</f>
        <v>4.3597818521855434</v>
      </c>
      <c r="BI48" s="28">
        <f>SUM('Net zero emission reductions'!AO1498:AO1509)</f>
        <v>4.3609137078942837</v>
      </c>
      <c r="BJ48" s="28">
        <f>SUM('Net zero emission reductions'!AP1498:AP1509)</f>
        <v>4.362045563603024</v>
      </c>
      <c r="BK48" s="28">
        <f>SUM('Net zero emission reductions'!AQ1498:AQ1509)</f>
        <v>4.3631774193117643</v>
      </c>
      <c r="BL48" s="28">
        <f>SUM('Net zero emission reductions'!AR1498:AR1509)</f>
        <v>4.3643092750205046</v>
      </c>
      <c r="BM48" s="28">
        <f>SUM('Net zero emission reductions'!AS1498:AS1509)</f>
        <v>4.3654411307292458</v>
      </c>
      <c r="BN48" s="28">
        <f>SUM('Net zero emission reductions'!AT1498:AT1509)</f>
        <v>4.3665729864379861</v>
      </c>
      <c r="BO48" s="28">
        <f>SUM('Net zero emission reductions'!AU1498:AU1509)</f>
        <v>4.3677048421467273</v>
      </c>
      <c r="BP48" s="28">
        <f>SUM('Net zero emission reductions'!AV1498:AV1509)</f>
        <v>4.3688366978554676</v>
      </c>
      <c r="BQ48" s="28">
        <f>SUM('Net zero emission reductions'!AW1498:AW1509)</f>
        <v>4.3699685535642079</v>
      </c>
    </row>
    <row r="49" spans="1:75" s="19" customFormat="1" ht="15.75" x14ac:dyDescent="0.25">
      <c r="A49" s="104"/>
      <c r="B49" s="104"/>
      <c r="C49" s="104"/>
      <c r="D49" s="19" t="str">
        <f t="shared" si="29"/>
        <v>3C Aggregated and non-CO2 emissions on land</v>
      </c>
      <c r="E49" s="19" t="str">
        <f>'IPCC Categories'!B78</f>
        <v>3C5 Indirect N2O from managed soils (N2O)</v>
      </c>
      <c r="F49" s="19" t="s">
        <v>148</v>
      </c>
      <c r="G49" s="19" t="str">
        <f t="shared" si="30"/>
        <v>N2O</v>
      </c>
      <c r="H49" s="19" t="str">
        <f t="shared" si="30"/>
        <v>Gg N2O</v>
      </c>
      <c r="I49" s="47">
        <f>SUM(I50:I51)</f>
        <v>7.2080814517834266</v>
      </c>
      <c r="J49" s="47">
        <f t="shared" ref="J49:AE49" si="31">SUM(J50:J51)</f>
        <v>7.1345099865500927</v>
      </c>
      <c r="K49" s="47">
        <f t="shared" si="31"/>
        <v>6.99786412512554</v>
      </c>
      <c r="L49" s="47">
        <f t="shared" si="31"/>
        <v>6.8588909130254319</v>
      </c>
      <c r="M49" s="47">
        <f t="shared" si="31"/>
        <v>6.679602845791754</v>
      </c>
      <c r="N49" s="47">
        <f t="shared" si="31"/>
        <v>6.6534582978194159</v>
      </c>
      <c r="O49" s="47">
        <f t="shared" si="31"/>
        <v>6.8804585865565491</v>
      </c>
      <c r="P49" s="47">
        <f t="shared" si="31"/>
        <v>6.951262387234447</v>
      </c>
      <c r="Q49" s="47">
        <f t="shared" si="31"/>
        <v>7.0501121079701523</v>
      </c>
      <c r="R49" s="47">
        <f t="shared" si="31"/>
        <v>7.0310583897046115</v>
      </c>
      <c r="S49" s="47">
        <f t="shared" si="31"/>
        <v>6.9539885376975494</v>
      </c>
      <c r="T49" s="47">
        <f t="shared" si="31"/>
        <v>6.8347507783671411</v>
      </c>
      <c r="U49" s="47">
        <f t="shared" si="31"/>
        <v>6.9330762409780968</v>
      </c>
      <c r="V49" s="47">
        <f t="shared" si="31"/>
        <v>6.8626749309901376</v>
      </c>
      <c r="W49" s="47">
        <f t="shared" si="31"/>
        <v>6.8083480354019672</v>
      </c>
      <c r="X49" s="47">
        <f t="shared" si="31"/>
        <v>6.684349427481286</v>
      </c>
      <c r="Y49" s="47">
        <f t="shared" si="31"/>
        <v>6.7803417478590298</v>
      </c>
      <c r="Z49" s="47">
        <f t="shared" si="31"/>
        <v>6.9394221477721096</v>
      </c>
      <c r="AA49" s="47">
        <f t="shared" si="31"/>
        <v>6.954986168244754</v>
      </c>
      <c r="AB49" s="47">
        <f t="shared" si="31"/>
        <v>6.9329479113600767</v>
      </c>
      <c r="AC49" s="47">
        <f t="shared" si="31"/>
        <v>6.7915965417835125</v>
      </c>
      <c r="AD49" s="47">
        <f t="shared" si="31"/>
        <v>6.808083773512462</v>
      </c>
      <c r="AE49" s="47">
        <f t="shared" si="31"/>
        <v>6.648325513844453</v>
      </c>
      <c r="AF49" s="47">
        <f t="shared" ref="AF49:BQ49" si="32">SUM(AF50:AF51)</f>
        <v>6.6386119623025071</v>
      </c>
      <c r="AG49" s="47">
        <f t="shared" si="32"/>
        <v>6.6020728060279659</v>
      </c>
      <c r="AH49" s="47">
        <f t="shared" si="32"/>
        <v>6.5294686571322567</v>
      </c>
      <c r="AI49" s="47">
        <f t="shared" si="32"/>
        <v>6.4605164234151529</v>
      </c>
      <c r="AJ49" s="47">
        <f t="shared" si="32"/>
        <v>6.4132632377641201</v>
      </c>
      <c r="AK49" s="47">
        <f t="shared" si="32"/>
        <v>6.3732788457488034</v>
      </c>
      <c r="AL49" s="47">
        <f t="shared" si="32"/>
        <v>6.2978727196810373</v>
      </c>
      <c r="AM49" s="47">
        <f t="shared" si="32"/>
        <v>5.8937219193999084</v>
      </c>
      <c r="AN49" s="47">
        <f t="shared" si="32"/>
        <v>5.9019468570699471</v>
      </c>
      <c r="AO49" s="47">
        <f t="shared" si="32"/>
        <v>5.9020297791905376</v>
      </c>
      <c r="AP49" s="47">
        <f t="shared" si="32"/>
        <v>5.9017790489600328</v>
      </c>
      <c r="AQ49" s="47">
        <f t="shared" si="32"/>
        <v>5.914185613673661</v>
      </c>
      <c r="AR49" s="47">
        <f t="shared" si="32"/>
        <v>5.9258064149291378</v>
      </c>
      <c r="AS49" s="47">
        <f t="shared" si="32"/>
        <v>5.9368796591198363</v>
      </c>
      <c r="AT49" s="47">
        <f t="shared" si="32"/>
        <v>5.9440174550805045</v>
      </c>
      <c r="AU49" s="47">
        <f t="shared" si="32"/>
        <v>5.9550608948467234</v>
      </c>
      <c r="AV49" s="47">
        <f t="shared" si="32"/>
        <v>5.9594553104149668</v>
      </c>
      <c r="AW49" s="47">
        <f t="shared" si="32"/>
        <v>5.9646082031620944</v>
      </c>
      <c r="AX49" s="47">
        <f t="shared" si="32"/>
        <v>5.9653271312670526</v>
      </c>
      <c r="AY49" s="47">
        <f t="shared" si="32"/>
        <v>5.9706462138667105</v>
      </c>
      <c r="AZ49" s="47">
        <f t="shared" si="32"/>
        <v>5.9761627007853733</v>
      </c>
      <c r="BA49" s="47">
        <f t="shared" si="32"/>
        <v>5.8961779985108587</v>
      </c>
      <c r="BB49" s="47">
        <f t="shared" si="32"/>
        <v>1.8995639182836581</v>
      </c>
      <c r="BC49" s="47">
        <f t="shared" si="32"/>
        <v>1.8795035472611372</v>
      </c>
      <c r="BD49" s="47">
        <f t="shared" si="32"/>
        <v>1.8846102453877818</v>
      </c>
      <c r="BE49" s="47">
        <f t="shared" si="32"/>
        <v>1.8896762677557499</v>
      </c>
      <c r="BF49" s="47">
        <f t="shared" si="32"/>
        <v>1.8947069888845722</v>
      </c>
      <c r="BG49" s="47">
        <f t="shared" si="32"/>
        <v>1.8997074873309132</v>
      </c>
      <c r="BH49" s="47">
        <f t="shared" si="32"/>
        <v>1.9117938336316231</v>
      </c>
      <c r="BI49" s="47">
        <f t="shared" si="32"/>
        <v>1.9238653741325704</v>
      </c>
      <c r="BJ49" s="47">
        <f t="shared" si="32"/>
        <v>1.9359170412811426</v>
      </c>
      <c r="BK49" s="47">
        <f t="shared" si="32"/>
        <v>1.9479510120475609</v>
      </c>
      <c r="BL49" s="47">
        <f t="shared" si="32"/>
        <v>1.9599693617910623</v>
      </c>
      <c r="BM49" s="47">
        <f t="shared" si="32"/>
        <v>1.9707680164738557</v>
      </c>
      <c r="BN49" s="47">
        <f t="shared" si="32"/>
        <v>1.9815439082828801</v>
      </c>
      <c r="BO49" s="47">
        <f t="shared" si="32"/>
        <v>1.9922910717806208</v>
      </c>
      <c r="BP49" s="47">
        <f t="shared" si="32"/>
        <v>2.0030111512204019</v>
      </c>
      <c r="BQ49" s="47">
        <f t="shared" si="32"/>
        <v>2.0137057190020871</v>
      </c>
      <c r="BT49"/>
    </row>
    <row r="50" spans="1:75" x14ac:dyDescent="0.25">
      <c r="A50" s="102" t="str">
        <f t="shared" ref="A50:A51" si="33">B50&amp;" "&amp;C50</f>
        <v>FSFAGSPQNIBDDSCM Volatilisation</v>
      </c>
      <c r="B50" s="102" t="str">
        <f t="shared" ref="B50:B51" si="34">$B$5</f>
        <v>FSFAGSPQNIBDDSCM</v>
      </c>
      <c r="C50" s="102" t="s">
        <v>62</v>
      </c>
      <c r="D50" t="str">
        <f t="shared" ref="D50" si="35">D48</f>
        <v>3C Aggregated and non-CO2 emissions on land</v>
      </c>
      <c r="E50" t="str">
        <f>'IPCC Categories'!B78</f>
        <v>3C5 Indirect N2O from managed soils (N2O)</v>
      </c>
      <c r="F50" t="str">
        <f>'IPCC Categories'!C78</f>
        <v>Volatilisation</v>
      </c>
      <c r="G50" t="str">
        <f>G48</f>
        <v>N2O</v>
      </c>
      <c r="H50" t="str">
        <f>H48</f>
        <v>Gg N2O</v>
      </c>
      <c r="I50" s="28">
        <f>'Emissions summary'!F50</f>
        <v>6.8720417689132818</v>
      </c>
      <c r="J50" s="28">
        <f>'Emissions summary'!G50</f>
        <v>6.8040222344896497</v>
      </c>
      <c r="K50" s="28">
        <f>'Emissions summary'!H50</f>
        <v>6.6643977129961947</v>
      </c>
      <c r="L50" s="28">
        <f>'Emissions summary'!I50</f>
        <v>6.5132288952449562</v>
      </c>
      <c r="M50" s="28">
        <f>'Emissions summary'!J50</f>
        <v>6.3389751728110557</v>
      </c>
      <c r="N50" s="28">
        <f>'Emissions summary'!K50</f>
        <v>6.3489504371997398</v>
      </c>
      <c r="O50" s="28">
        <f>'Emissions summary'!L50</f>
        <v>6.5566463010257543</v>
      </c>
      <c r="P50" s="28">
        <f>'Emissions summary'!M50</f>
        <v>6.61702309908204</v>
      </c>
      <c r="Q50" s="28">
        <f>'Emissions summary'!N50</f>
        <v>6.7293674524998952</v>
      </c>
      <c r="R50" s="28">
        <f>'Emissions summary'!O50</f>
        <v>6.7076931438692604</v>
      </c>
      <c r="S50" s="28">
        <f>'Emissions summary'!P50</f>
        <v>6.6027983988771712</v>
      </c>
      <c r="T50" s="28">
        <f>'Emissions summary'!Q50</f>
        <v>6.5144595089601776</v>
      </c>
      <c r="U50" s="28">
        <f>'Emissions summary'!R50</f>
        <v>6.5954294578551265</v>
      </c>
      <c r="V50" s="28">
        <f>'Emissions summary'!S50</f>
        <v>6.5294565039113515</v>
      </c>
      <c r="W50" s="28">
        <f>'Emissions summary'!T50</f>
        <v>6.4916814592424021</v>
      </c>
      <c r="X50" s="28">
        <f>'Emissions summary'!U50</f>
        <v>6.363645089123743</v>
      </c>
      <c r="Y50" s="28">
        <f>'Emissions summary'!V50</f>
        <v>6.4962285418853707</v>
      </c>
      <c r="Z50" s="28">
        <f>'Emissions summary'!W50</f>
        <v>6.620266001326284</v>
      </c>
      <c r="AA50" s="28">
        <f>'Emissions summary'!X50</f>
        <v>6.6126572032019997</v>
      </c>
      <c r="AB50" s="28">
        <f>'Emissions summary'!Y50</f>
        <v>6.6065735112105326</v>
      </c>
      <c r="AC50" s="28">
        <f>'Emissions summary'!Z50</f>
        <v>6.4556027997102001</v>
      </c>
      <c r="AD50" s="28">
        <f>'Emissions summary'!AA50</f>
        <v>6.4799963389801611</v>
      </c>
      <c r="AE50" s="101">
        <f>IF($A50="Baseline",'Emissions summary'!AB50,SUMIF('Net zero emission reductions'!$A$4:$A$1448,$A$50,'Net zero emission reductions'!K$4:K$1448))</f>
        <v>6.2987228014722287</v>
      </c>
      <c r="AF50" s="101">
        <f>IF($A50="Baseline",'Emissions summary'!AC50,SUMIF('Net zero emission reductions'!$A$4:$A$1448,$A$50,'Net zero emission reductions'!L$4:L$1448))</f>
        <v>6.288171366859288</v>
      </c>
      <c r="AG50" s="101">
        <f>IF($A50="Baseline",'Emissions summary'!AD50,SUMIF('Net zero emission reductions'!$A$4:$A$1448,$A$50,'Net zero emission reductions'!M$4:M$1448))</f>
        <v>6.2520326116358049</v>
      </c>
      <c r="AH50" s="101">
        <f>IF($A50="Baseline",'Emissions summary'!AE50,SUMIF('Net zero emission reductions'!$A$4:$A$1448,$A$50,'Net zero emission reductions'!N$4:N$1448))</f>
        <v>6.1817115635720734</v>
      </c>
      <c r="AI50" s="101">
        <f>IF($A50="Baseline",'Emissions summary'!AF50,SUMIF('Net zero emission reductions'!$A$4:$A$1448,$A$50,'Net zero emission reductions'!O$4:O$1448))</f>
        <v>6.1150588527782457</v>
      </c>
      <c r="AJ50" s="101">
        <f>IF($A50="Baseline",'Emissions summary'!AG50,SUMIF('Net zero emission reductions'!$A$4:$A$1448,$A$50,'Net zero emission reductions'!P$4:P$1448))</f>
        <v>6.0691144325419319</v>
      </c>
      <c r="AK50" s="101">
        <f>IF($A50="Baseline",'Emissions summary'!AH50,SUMIF('Net zero emission reductions'!$A$4:$A$1448,$A$50,'Net zero emission reductions'!Q$4:Q$1448))</f>
        <v>6.030054159122562</v>
      </c>
      <c r="AL50" s="101">
        <f>IF($A50="Baseline",'Emissions summary'!AI50,SUMIF('Net zero emission reductions'!$A$4:$A$1448,$A$50,'Net zero emission reductions'!R$4:R$1448))</f>
        <v>5.9573432622210607</v>
      </c>
      <c r="AM50" s="101">
        <f>IF($A50="Baseline",'Emissions summary'!AJ50,SUMIF('Net zero emission reductions'!$A$4:$A$1448,$A$50,'Net zero emission reductions'!S$4:S$1448))</f>
        <v>5.5725137124674804</v>
      </c>
      <c r="AN50" s="101">
        <f>IF($A50="Baseline",'Emissions summary'!AK50,SUMIF('Net zero emission reductions'!$A$4:$A$1448,$A$50,'Net zero emission reductions'!T$4:T$1448))</f>
        <v>5.5822534629002361</v>
      </c>
      <c r="AO50" s="101">
        <f>IF($A50="Baseline",'Emissions summary'!AL50,SUMIF('Net zero emission reductions'!$A$4:$A$1448,$A$50,'Net zero emission reductions'!U$4:U$1448))</f>
        <v>5.5828222359287683</v>
      </c>
      <c r="AP50" s="101">
        <f>IF($A50="Baseline",'Emissions summary'!AM50,SUMIF('Net zero emission reductions'!$A$4:$A$1448,$A$50,'Net zero emission reductions'!V$4:V$1448))</f>
        <v>5.5831459085932238</v>
      </c>
      <c r="AQ50" s="101">
        <f>IF($A50="Baseline",'Emissions summary'!AN50,SUMIF('Net zero emission reductions'!$A$4:$A$1448,$A$50,'Net zero emission reductions'!W$4:W$1448))</f>
        <v>5.5955464508768067</v>
      </c>
      <c r="AR50" s="101">
        <f>IF($A50="Baseline",'Emissions summary'!AO50,SUMIF('Net zero emission reductions'!$A$4:$A$1448,$A$50,'Net zero emission reductions'!X$4:X$1448))</f>
        <v>5.6071957775748063</v>
      </c>
      <c r="AS50" s="101">
        <f>IF($A50="Baseline",'Emissions summary'!AP50,SUMIF('Net zero emission reductions'!$A$4:$A$1448,$A$50,'Net zero emission reductions'!Y$4:Y$1448))</f>
        <v>5.6182647614597183</v>
      </c>
      <c r="AT50" s="101">
        <f>IF($A50="Baseline",'Emissions summary'!AQ50,SUMIF('Net zero emission reductions'!$A$4:$A$1448,$A$50,'Net zero emission reductions'!Z$4:Z$1448))</f>
        <v>5.6256238111491168</v>
      </c>
      <c r="AU50" s="101">
        <f>IF($A50="Baseline",'Emissions summary'!AR50,SUMIF('Net zero emission reductions'!$A$4:$A$1448,$A$50,'Net zero emission reductions'!AA$4:AA$1448))</f>
        <v>5.6367564651121143</v>
      </c>
      <c r="AV50" s="101">
        <f>IF($A50="Baseline",'Emissions summary'!AS50,SUMIF('Net zero emission reductions'!$A$4:$A$1448,$A$50,'Net zero emission reductions'!AB$4:AB$1448))</f>
        <v>5.6415817244428705</v>
      </c>
      <c r="AW50" s="101">
        <f>IF($A50="Baseline",'Emissions summary'!AT50,SUMIF('Net zero emission reductions'!$A$4:$A$1448,$A$50,'Net zero emission reductions'!AC$4:AC$1448))</f>
        <v>5.6471923829156667</v>
      </c>
      <c r="AX50" s="101">
        <f>IF($A50="Baseline",'Emissions summary'!AU50,SUMIF('Net zero emission reductions'!$A$4:$A$1448,$A$50,'Net zero emission reductions'!AD$4:AD$1448))</f>
        <v>5.6476022540356876</v>
      </c>
      <c r="AY50" s="101">
        <f>IF($A50="Baseline",'Emissions summary'!AV50,SUMIF('Net zero emission reductions'!$A$4:$A$1448,$A$50,'Net zero emission reductions'!AE$4:AE$1448))</f>
        <v>5.6523668754290828</v>
      </c>
      <c r="AZ50" s="101">
        <f>IF($A50="Baseline",'Emissions summary'!AW50,SUMIF('Net zero emission reductions'!$A$4:$A$1448,$A$50,'Net zero emission reductions'!AF$4:AF$1448))</f>
        <v>5.6573242431599935</v>
      </c>
      <c r="BA50" s="101">
        <f>IF($A50="Baseline",'Emissions summary'!AX50,SUMIF('Net zero emission reductions'!$A$4:$A$1448,$A$50,'Net zero emission reductions'!AG$4:AG$1448))</f>
        <v>5.5807925170669979</v>
      </c>
      <c r="BB50" s="101">
        <f>IF($A50="Baseline",'Emissions summary'!AY50,SUMIF('Net zero emission reductions'!$A$4:$A$1448,$A$50,'Net zero emission reductions'!AH$4:AH$1448))</f>
        <v>1.7703615656383846</v>
      </c>
      <c r="BC50" s="101">
        <f>IF($A50="Baseline",'Emissions summary'!AZ50,SUMIF('Net zero emission reductions'!$A$4:$A$1448,$A$50,'Net zero emission reductions'!AI$4:AI$1448))</f>
        <v>1.7852971891428564</v>
      </c>
      <c r="BD50" s="101">
        <f>IF($A50="Baseline",'Emissions summary'!BA50,SUMIF('Net zero emission reductions'!$A$4:$A$1448,$A$50,'Net zero emission reductions'!AJ$4:AJ$1448))</f>
        <v>1.7898894593609513</v>
      </c>
      <c r="BE50" s="101">
        <f>IF($A50="Baseline",'Emissions summary'!BB50,SUMIF('Net zero emission reductions'!$A$4:$A$1448,$A$50,'Net zero emission reductions'!AK$4:AK$1448))</f>
        <v>1.7944493332219602</v>
      </c>
      <c r="BF50" s="101">
        <f>IF($A50="Baseline",'Emissions summary'!BC50,SUMIF('Net zero emission reductions'!$A$4:$A$1448,$A$50,'Net zero emission reductions'!AL$4:AL$1448))</f>
        <v>1.798981700608755</v>
      </c>
      <c r="BG50" s="101">
        <f>IF($A50="Baseline",'Emissions summary'!BD50,SUMIF('Net zero emission reductions'!$A$4:$A$1448,$A$50,'Net zero emission reductions'!AM$4:AM$1448))</f>
        <v>1.8034911873987627</v>
      </c>
      <c r="BH50" s="101">
        <f>IF($A50="Baseline",'Emissions summary'!BE50,SUMIF('Net zero emission reductions'!$A$4:$A$1448,$A$50,'Net zero emission reductions'!AN$4:AN$1448))</f>
        <v>1.8152894903619154</v>
      </c>
      <c r="BI50" s="101">
        <f>IF($A50="Baseline",'Emissions summary'!BF50,SUMIF('Net zero emission reductions'!$A$4:$A$1448,$A$50,'Net zero emission reductions'!AO$4:AO$1448))</f>
        <v>1.8270697993940355</v>
      </c>
      <c r="BJ50" s="101">
        <f>IF($A50="Baseline",'Emissions summary'!BG50,SUMIF('Net zero emission reductions'!$A$4:$A$1448,$A$50,'Net zero emission reductions'!AP$4:AP$1448))</f>
        <v>1.8388366804141674</v>
      </c>
      <c r="BK50" s="101">
        <f>IF($A50="Baseline",'Emissions summary'!BH50,SUMIF('Net zero emission reductions'!$A$4:$A$1448,$A$50,'Net zero emission reductions'!AQ$4:AQ$1448))</f>
        <v>1.8505920787092953</v>
      </c>
      <c r="BL50" s="101">
        <f>IF($A50="Baseline",'Emissions summary'!BI50,SUMIF('Net zero emission reductions'!$A$4:$A$1448,$A$50,'Net zero emission reductions'!AR$4:AR$1448))</f>
        <v>1.8623378526997381</v>
      </c>
      <c r="BM50" s="101">
        <f>IF($A50="Baseline",'Emissions summary'!BJ50,SUMIF('Net zero emission reductions'!$A$4:$A$1448,$A$50,'Net zero emission reductions'!AS$4:AS$1448))</f>
        <v>1.8728533532589107</v>
      </c>
      <c r="BN50" s="101">
        <f>IF($A50="Baseline",'Emissions summary'!BK50,SUMIF('Net zero emission reductions'!$A$4:$A$1448,$A$50,'Net zero emission reductions'!AT$4:AT$1448))</f>
        <v>1.8833416188670529</v>
      </c>
      <c r="BO50" s="101">
        <f>IF($A50="Baseline",'Emissions summary'!BL50,SUMIF('Net zero emission reductions'!$A$4:$A$1448,$A$50,'Net zero emission reductions'!AU$4:AU$1448))</f>
        <v>1.893806819333951</v>
      </c>
      <c r="BP50" s="101">
        <f>IF($A50="Baseline",'Emissions summary'!BM50,SUMIF('Net zero emission reductions'!$A$4:$A$1448,$A$50,'Net zero emission reductions'!AV$4:AV$1448))</f>
        <v>1.9042504176076607</v>
      </c>
      <c r="BQ50" s="101">
        <f>IF($A50="Baseline",'Emissions summary'!BN50,SUMIF('Net zero emission reductions'!$A$4:$A$1448,$A$50,'Net zero emission reductions'!AW$4:AW$1448))</f>
        <v>1.9146738150922644</v>
      </c>
    </row>
    <row r="51" spans="1:75" x14ac:dyDescent="0.25">
      <c r="A51" s="102" t="str">
        <f t="shared" si="33"/>
        <v>FSFAGSPQNIBDDSCM Leaching</v>
      </c>
      <c r="B51" s="102" t="str">
        <f t="shared" si="34"/>
        <v>FSFAGSPQNIBDDSCM</v>
      </c>
      <c r="C51" s="102" t="s">
        <v>1191</v>
      </c>
      <c r="D51" t="str">
        <f t="shared" ref="D51:D52" si="36">D50</f>
        <v>3C Aggregated and non-CO2 emissions on land</v>
      </c>
      <c r="E51" t="str">
        <f>E50</f>
        <v>3C5 Indirect N2O from managed soils (N2O)</v>
      </c>
      <c r="F51" t="str">
        <f>'IPCC Categories'!C79</f>
        <v>Leaching/runoff</v>
      </c>
      <c r="G51" t="str">
        <f t="shared" si="30"/>
        <v>N2O</v>
      </c>
      <c r="H51" t="str">
        <f t="shared" si="30"/>
        <v>Gg N2O</v>
      </c>
      <c r="I51" s="28">
        <f>'Emissions summary'!F51</f>
        <v>0.33603968287014491</v>
      </c>
      <c r="J51" s="28">
        <f>'Emissions summary'!G51</f>
        <v>0.33048775206044329</v>
      </c>
      <c r="K51" s="28">
        <f>'Emissions summary'!H51</f>
        <v>0.33346641212934491</v>
      </c>
      <c r="L51" s="28">
        <f>'Emissions summary'!I51</f>
        <v>0.34566201778047606</v>
      </c>
      <c r="M51" s="28">
        <f>'Emissions summary'!J51</f>
        <v>0.34062767298069813</v>
      </c>
      <c r="N51" s="28">
        <f>'Emissions summary'!K51</f>
        <v>0.30450786061967605</v>
      </c>
      <c r="O51" s="28">
        <f>'Emissions summary'!L51</f>
        <v>0.32381228553079472</v>
      </c>
      <c r="P51" s="28">
        <f>'Emissions summary'!M51</f>
        <v>0.33423928815240667</v>
      </c>
      <c r="Q51" s="28">
        <f>'Emissions summary'!N51</f>
        <v>0.32074465547025682</v>
      </c>
      <c r="R51" s="28">
        <f>'Emissions summary'!O51</f>
        <v>0.32336524583535148</v>
      </c>
      <c r="S51" s="28">
        <f>'Emissions summary'!P51</f>
        <v>0.35119013882037781</v>
      </c>
      <c r="T51" s="28">
        <f>'Emissions summary'!Q51</f>
        <v>0.32029126940696356</v>
      </c>
      <c r="U51" s="28">
        <f>'Emissions summary'!R51</f>
        <v>0.33764678312297075</v>
      </c>
      <c r="V51" s="28">
        <f>'Emissions summary'!S51</f>
        <v>0.33321842707878641</v>
      </c>
      <c r="W51" s="28">
        <f>'Emissions summary'!T51</f>
        <v>0.31666657615956528</v>
      </c>
      <c r="X51" s="28">
        <f>'Emissions summary'!U51</f>
        <v>0.32070433835754264</v>
      </c>
      <c r="Y51" s="28">
        <f>'Emissions summary'!V51</f>
        <v>0.28411320597365947</v>
      </c>
      <c r="Z51" s="28">
        <f>'Emissions summary'!W51</f>
        <v>0.31915614644582579</v>
      </c>
      <c r="AA51" s="28">
        <f>'Emissions summary'!X51</f>
        <v>0.34232896504275395</v>
      </c>
      <c r="AB51" s="28">
        <f>'Emissions summary'!Y51</f>
        <v>0.32637440014954389</v>
      </c>
      <c r="AC51" s="28">
        <f>'Emissions summary'!Z51</f>
        <v>0.33599374207331195</v>
      </c>
      <c r="AD51" s="28">
        <f>'Emissions summary'!AA51</f>
        <v>0.32808743453230077</v>
      </c>
      <c r="AE51" s="101">
        <f>IF($A51="Baseline",'Emissions summary'!AB51,SUMIF('Net zero emission reductions'!$A$4:$A$1448,$A$51,'Net zero emission reductions'!K$4:K$1448))</f>
        <v>0.34960271237222418</v>
      </c>
      <c r="AF51" s="101">
        <f>IF($A51="Baseline",'Emissions summary'!AC51,SUMIF('Net zero emission reductions'!$A$4:$A$1448,$A$51,'Net zero emission reductions'!L$4:L$1448))</f>
        <v>0.35044059544321898</v>
      </c>
      <c r="AG51" s="101">
        <f>IF($A51="Baseline",'Emissions summary'!AD51,SUMIF('Net zero emission reductions'!$A$4:$A$1448,$A$51,'Net zero emission reductions'!M$4:M$1448))</f>
        <v>0.3500401943921605</v>
      </c>
      <c r="AH51" s="101">
        <f>IF($A51="Baseline",'Emissions summary'!AE51,SUMIF('Net zero emission reductions'!$A$4:$A$1448,$A$51,'Net zero emission reductions'!N$4:N$1448))</f>
        <v>0.34775709356018314</v>
      </c>
      <c r="AI51" s="101">
        <f>IF($A51="Baseline",'Emissions summary'!AF51,SUMIF('Net zero emission reductions'!$A$4:$A$1448,$A$51,'Net zero emission reductions'!O$4:O$1448))</f>
        <v>0.34545757063690746</v>
      </c>
      <c r="AJ51" s="101">
        <f>IF($A51="Baseline",'Emissions summary'!AG51,SUMIF('Net zero emission reductions'!$A$4:$A$1448,$A$51,'Net zero emission reductions'!P$4:P$1448))</f>
        <v>0.34414880522218838</v>
      </c>
      <c r="AK51" s="101">
        <f>IF($A51="Baseline",'Emissions summary'!AH51,SUMIF('Net zero emission reductions'!$A$4:$A$1448,$A$51,'Net zero emission reductions'!Q$4:Q$1448))</f>
        <v>0.343224686626241</v>
      </c>
      <c r="AL51" s="101">
        <f>IF($A51="Baseline",'Emissions summary'!AI51,SUMIF('Net zero emission reductions'!$A$4:$A$1448,$A$51,'Net zero emission reductions'!R$4:R$1448))</f>
        <v>0.34052945745997659</v>
      </c>
      <c r="AM51" s="101">
        <f>IF($A51="Baseline",'Emissions summary'!AJ51,SUMIF('Net zero emission reductions'!$A$4:$A$1448,$A$51,'Net zero emission reductions'!S$4:S$1448))</f>
        <v>0.32120820693242796</v>
      </c>
      <c r="AN51" s="101">
        <f>IF($A51="Baseline",'Emissions summary'!AK51,SUMIF('Net zero emission reductions'!$A$4:$A$1448,$A$51,'Net zero emission reductions'!T$4:T$1448))</f>
        <v>0.31969339416971126</v>
      </c>
      <c r="AO51" s="101">
        <f>IF($A51="Baseline",'Emissions summary'!AL51,SUMIF('Net zero emission reductions'!$A$4:$A$1448,$A$51,'Net zero emission reductions'!U$4:U$1448))</f>
        <v>0.31920754326176976</v>
      </c>
      <c r="AP51" s="101">
        <f>IF($A51="Baseline",'Emissions summary'!AM51,SUMIF('Net zero emission reductions'!$A$4:$A$1448,$A$51,'Net zero emission reductions'!V$4:V$1448))</f>
        <v>0.3186331403668094</v>
      </c>
      <c r="AQ51" s="101">
        <f>IF($A51="Baseline",'Emissions summary'!AN51,SUMIF('Net zero emission reductions'!$A$4:$A$1448,$A$51,'Net zero emission reductions'!W$4:W$1448))</f>
        <v>0.31863916279685472</v>
      </c>
      <c r="AR51" s="101">
        <f>IF($A51="Baseline",'Emissions summary'!AO51,SUMIF('Net zero emission reductions'!$A$4:$A$1448,$A$51,'Net zero emission reductions'!X$4:X$1448))</f>
        <v>0.31861063735433187</v>
      </c>
      <c r="AS51" s="101">
        <f>IF($A51="Baseline",'Emissions summary'!AP51,SUMIF('Net zero emission reductions'!$A$4:$A$1448,$A$51,'Net zero emission reductions'!Y$4:Y$1448))</f>
        <v>0.31861489766011797</v>
      </c>
      <c r="AT51" s="101">
        <f>IF($A51="Baseline",'Emissions summary'!AQ51,SUMIF('Net zero emission reductions'!$A$4:$A$1448,$A$51,'Net zero emission reductions'!Z$4:Z$1448))</f>
        <v>0.31839364393138775</v>
      </c>
      <c r="AU51" s="101">
        <f>IF($A51="Baseline",'Emissions summary'!AR51,SUMIF('Net zero emission reductions'!$A$4:$A$1448,$A$51,'Net zero emission reductions'!AA$4:AA$1448))</f>
        <v>0.31830442973460915</v>
      </c>
      <c r="AV51" s="101">
        <f>IF($A51="Baseline",'Emissions summary'!AS51,SUMIF('Net zero emission reductions'!$A$4:$A$1448,$A$51,'Net zero emission reductions'!AB$4:AB$1448))</f>
        <v>0.31787358597209603</v>
      </c>
      <c r="AW51" s="101">
        <f>IF($A51="Baseline",'Emissions summary'!AT51,SUMIF('Net zero emission reductions'!$A$4:$A$1448,$A$51,'Net zero emission reductions'!AC$4:AC$1448))</f>
        <v>0.31741582024642762</v>
      </c>
      <c r="AX51" s="101">
        <f>IF($A51="Baseline",'Emissions summary'!AU51,SUMIF('Net zero emission reductions'!$A$4:$A$1448,$A$51,'Net zero emission reductions'!AD$4:AD$1448))</f>
        <v>0.31772487723136494</v>
      </c>
      <c r="AY51" s="101">
        <f>IF($A51="Baseline",'Emissions summary'!AV51,SUMIF('Net zero emission reductions'!$A$4:$A$1448,$A$51,'Net zero emission reductions'!AE$4:AE$1448))</f>
        <v>0.31827933843762757</v>
      </c>
      <c r="AZ51" s="101">
        <f>IF($A51="Baseline",'Emissions summary'!AW51,SUMIF('Net zero emission reductions'!$A$4:$A$1448,$A$51,'Net zero emission reductions'!AF$4:AF$1448))</f>
        <v>0.31883845762537938</v>
      </c>
      <c r="BA51" s="101">
        <f>IF($A51="Baseline",'Emissions summary'!AX51,SUMIF('Net zero emission reductions'!$A$4:$A$1448,$A$51,'Net zero emission reductions'!AG$4:AG$1448))</f>
        <v>0.31538548144386075</v>
      </c>
      <c r="BB51" s="101">
        <f>IF($A51="Baseline",'Emissions summary'!AY51,SUMIF('Net zero emission reductions'!$A$4:$A$1448,$A$51,'Net zero emission reductions'!AH$4:AH$1448))</f>
        <v>0.12920235264527358</v>
      </c>
      <c r="BC51" s="101">
        <f>IF($A51="Baseline",'Emissions summary'!AZ51,SUMIF('Net zero emission reductions'!$A$4:$A$1448,$A$51,'Net zero emission reductions'!AI$4:AI$1448))</f>
        <v>9.4206358118280903E-2</v>
      </c>
      <c r="BD51" s="101">
        <f>IF($A51="Baseline",'Emissions summary'!BA51,SUMIF('Net zero emission reductions'!$A$4:$A$1448,$A$51,'Net zero emission reductions'!AJ$4:AJ$1448))</f>
        <v>9.4720786026830497E-2</v>
      </c>
      <c r="BE51" s="101">
        <f>IF($A51="Baseline",'Emissions summary'!BB51,SUMIF('Net zero emission reductions'!$A$4:$A$1448,$A$51,'Net zero emission reductions'!AK$4:AK$1448))</f>
        <v>9.5226934533789748E-2</v>
      </c>
      <c r="BF51" s="101">
        <f>IF($A51="Baseline",'Emissions summary'!BC51,SUMIF('Net zero emission reductions'!$A$4:$A$1448,$A$51,'Net zero emission reductions'!AL$4:AL$1448))</f>
        <v>9.5725288275817166E-2</v>
      </c>
      <c r="BG51" s="101">
        <f>IF($A51="Baseline",'Emissions summary'!BD51,SUMIF('Net zero emission reductions'!$A$4:$A$1448,$A$51,'Net zero emission reductions'!AM$4:AM$1448))</f>
        <v>9.6216299932150431E-2</v>
      </c>
      <c r="BH51" s="101">
        <f>IF($A51="Baseline",'Emissions summary'!BE51,SUMIF('Net zero emission reductions'!$A$4:$A$1448,$A$51,'Net zero emission reductions'!AN$4:AN$1448))</f>
        <v>9.6504343269707582E-2</v>
      </c>
      <c r="BI51" s="101">
        <f>IF($A51="Baseline",'Emissions summary'!BF51,SUMIF('Net zero emission reductions'!$A$4:$A$1448,$A$51,'Net zero emission reductions'!AO$4:AO$1448))</f>
        <v>9.6795574738534867E-2</v>
      </c>
      <c r="BJ51" s="101">
        <f>IF($A51="Baseline",'Emissions summary'!BG51,SUMIF('Net zero emission reductions'!$A$4:$A$1448,$A$51,'Net zero emission reductions'!AP$4:AP$1448))</f>
        <v>9.7080360866975218E-2</v>
      </c>
      <c r="BK51" s="101">
        <f>IF($A51="Baseline",'Emissions summary'!BH51,SUMIF('Net zero emission reductions'!$A$4:$A$1448,$A$51,'Net zero emission reductions'!AQ$4:AQ$1448))</f>
        <v>9.7358933338265619E-2</v>
      </c>
      <c r="BL51" s="101">
        <f>IF($A51="Baseline",'Emissions summary'!BI51,SUMIF('Net zero emission reductions'!$A$4:$A$1448,$A$51,'Net zero emission reductions'!AR$4:AR$1448))</f>
        <v>9.7631509091324148E-2</v>
      </c>
      <c r="BM51" s="101">
        <f>IF($A51="Baseline",'Emissions summary'!BJ51,SUMIF('Net zero emission reductions'!$A$4:$A$1448,$A$51,'Net zero emission reductions'!AS$4:AS$1448))</f>
        <v>9.7914663214944964E-2</v>
      </c>
      <c r="BN51" s="101">
        <f>IF($A51="Baseline",'Emissions summary'!BK51,SUMIF('Net zero emission reductions'!$A$4:$A$1448,$A$51,'Net zero emission reductions'!AT$4:AT$1448))</f>
        <v>9.8202289415827163E-2</v>
      </c>
      <c r="BO51" s="101">
        <f>IF($A51="Baseline",'Emissions summary'!BL51,SUMIF('Net zero emission reductions'!$A$4:$A$1448,$A$51,'Net zero emission reductions'!AU$4:AU$1448))</f>
        <v>9.8484252446669723E-2</v>
      </c>
      <c r="BP51" s="101">
        <f>IF($A51="Baseline",'Emissions summary'!BM51,SUMIF('Net zero emission reductions'!$A$4:$A$1448,$A$51,'Net zero emission reductions'!AV$4:AV$1448))</f>
        <v>9.8760733612741236E-2</v>
      </c>
      <c r="BQ51" s="101">
        <f>IF($A51="Baseline",'Emissions summary'!BN51,SUMIF('Net zero emission reductions'!$A$4:$A$1448,$A$51,'Net zero emission reductions'!AW$4:AW$1448))</f>
        <v>9.9031903909822611E-2</v>
      </c>
    </row>
    <row r="52" spans="1:75" s="19" customFormat="1" ht="15.75" x14ac:dyDescent="0.25">
      <c r="A52" s="104"/>
      <c r="B52" s="104"/>
      <c r="C52" s="102"/>
      <c r="D52" s="19" t="str">
        <f t="shared" si="36"/>
        <v>3C Aggregated and non-CO2 emissions on land</v>
      </c>
      <c r="E52" s="19" t="str">
        <f>'IPCC Categories'!B80</f>
        <v>3C6 Indirect N2O from manure management (N2O)</v>
      </c>
      <c r="F52" s="19" t="s">
        <v>148</v>
      </c>
      <c r="G52" s="19" t="str">
        <f t="shared" si="30"/>
        <v>N2O</v>
      </c>
      <c r="H52" s="19" t="str">
        <f t="shared" si="30"/>
        <v>Gg N2O</v>
      </c>
      <c r="I52" s="47">
        <f>SUM(I53:I54)</f>
        <v>1.0950538253856468</v>
      </c>
      <c r="J52" s="47">
        <f t="shared" ref="J52:AE52" si="37">SUM(J53:J54)</f>
        <v>1.1658727848185233</v>
      </c>
      <c r="K52" s="47">
        <f t="shared" si="37"/>
        <v>1.0848631974974343</v>
      </c>
      <c r="L52" s="47">
        <f t="shared" si="37"/>
        <v>1.1252390431692683</v>
      </c>
      <c r="M52" s="47">
        <f t="shared" si="37"/>
        <v>1.0734739532249553</v>
      </c>
      <c r="N52" s="47">
        <f t="shared" si="37"/>
        <v>1.132808817863219</v>
      </c>
      <c r="O52" s="47">
        <f t="shared" si="37"/>
        <v>1.1837401232176359</v>
      </c>
      <c r="P52" s="47">
        <f t="shared" si="37"/>
        <v>1.1732129506374127</v>
      </c>
      <c r="Q52" s="47">
        <f t="shared" si="37"/>
        <v>1.2025072193927659</v>
      </c>
      <c r="R52" s="47">
        <f t="shared" si="37"/>
        <v>1.2151362947473952</v>
      </c>
      <c r="S52" s="47">
        <f t="shared" si="37"/>
        <v>1.3425597798100053</v>
      </c>
      <c r="T52" s="47">
        <f t="shared" si="37"/>
        <v>1.3350835411028359</v>
      </c>
      <c r="U52" s="47">
        <f t="shared" si="37"/>
        <v>1.2971770946245216</v>
      </c>
      <c r="V52" s="47">
        <f t="shared" si="37"/>
        <v>1.2325302326597585</v>
      </c>
      <c r="W52" s="47">
        <f t="shared" si="37"/>
        <v>1.2249617526122387</v>
      </c>
      <c r="X52" s="47">
        <f t="shared" si="37"/>
        <v>1.2870593712731417</v>
      </c>
      <c r="Y52" s="47">
        <f t="shared" si="37"/>
        <v>1.3036096413946223</v>
      </c>
      <c r="Z52" s="47">
        <f t="shared" si="37"/>
        <v>1.3296829545150457</v>
      </c>
      <c r="AA52" s="47">
        <f t="shared" si="37"/>
        <v>1.4390001307004523</v>
      </c>
      <c r="AB52" s="47">
        <f t="shared" si="37"/>
        <v>1.4305572536330728</v>
      </c>
      <c r="AC52" s="47">
        <f t="shared" si="37"/>
        <v>1.4388556601471445</v>
      </c>
      <c r="AD52" s="47">
        <f t="shared" si="37"/>
        <v>1.4563575155753867</v>
      </c>
      <c r="AE52" s="47">
        <f t="shared" si="37"/>
        <v>1.5057991331958567</v>
      </c>
      <c r="AF52" s="47">
        <f t="shared" ref="AF52:BQ52" si="38">SUM(AF53:AF54)</f>
        <v>1.5233793606540866</v>
      </c>
      <c r="AG52" s="47">
        <f t="shared" si="38"/>
        <v>1.5316651473625948</v>
      </c>
      <c r="AH52" s="47">
        <f t="shared" si="38"/>
        <v>1.5269679935634914</v>
      </c>
      <c r="AI52" s="47">
        <f t="shared" si="38"/>
        <v>1.5227909106911812</v>
      </c>
      <c r="AJ52" s="47">
        <f t="shared" si="38"/>
        <v>1.5257341526060424</v>
      </c>
      <c r="AK52" s="47">
        <f t="shared" si="38"/>
        <v>1.5310804178068786</v>
      </c>
      <c r="AL52" s="47">
        <f t="shared" si="38"/>
        <v>1.5228428770504365</v>
      </c>
      <c r="AM52" s="47">
        <f t="shared" si="38"/>
        <v>1.3873842991284246</v>
      </c>
      <c r="AN52" s="47">
        <f t="shared" si="38"/>
        <v>1.4118907904731588</v>
      </c>
      <c r="AO52" s="47">
        <f t="shared" si="38"/>
        <v>1.433165683876346</v>
      </c>
      <c r="AP52" s="47">
        <f t="shared" si="38"/>
        <v>1.4545905030570956</v>
      </c>
      <c r="AQ52" s="47">
        <f t="shared" si="38"/>
        <v>1.4814659832057668</v>
      </c>
      <c r="AR52" s="47">
        <f t="shared" si="38"/>
        <v>1.5084593161809721</v>
      </c>
      <c r="AS52" s="47">
        <f t="shared" si="38"/>
        <v>1.5367803059152547</v>
      </c>
      <c r="AT52" s="47">
        <f t="shared" si="38"/>
        <v>1.5639341792253196</v>
      </c>
      <c r="AU52" s="47">
        <f t="shared" si="38"/>
        <v>1.5932643186302444</v>
      </c>
      <c r="AV52" s="47">
        <f t="shared" si="38"/>
        <v>1.6202261735803711</v>
      </c>
      <c r="AW52" s="47">
        <f t="shared" si="38"/>
        <v>1.6480224224192723</v>
      </c>
      <c r="AX52" s="47">
        <f t="shared" si="38"/>
        <v>1.6830964039699206</v>
      </c>
      <c r="AY52" s="47">
        <f t="shared" si="38"/>
        <v>1.7214496258042025</v>
      </c>
      <c r="AZ52" s="47">
        <f t="shared" si="38"/>
        <v>1.7612069082958599</v>
      </c>
      <c r="BA52" s="47">
        <f t="shared" si="38"/>
        <v>1.760935350556124</v>
      </c>
      <c r="BB52" s="47">
        <f t="shared" si="38"/>
        <v>-0.17883500396293911</v>
      </c>
      <c r="BC52" s="47">
        <f t="shared" si="38"/>
        <v>-0.17874006883338808</v>
      </c>
      <c r="BD52" s="47">
        <f t="shared" si="38"/>
        <v>-0.17868350270803907</v>
      </c>
      <c r="BE52" s="47">
        <f t="shared" si="38"/>
        <v>-0.17866347374890496</v>
      </c>
      <c r="BF52" s="47">
        <f t="shared" si="38"/>
        <v>-0.17867829096646271</v>
      </c>
      <c r="BG52" s="47">
        <f t="shared" si="38"/>
        <v>-0.17872639065798132</v>
      </c>
      <c r="BH52" s="47">
        <f t="shared" si="38"/>
        <v>-0.17844619024646449</v>
      </c>
      <c r="BI52" s="47">
        <f t="shared" si="38"/>
        <v>-0.17819664096495766</v>
      </c>
      <c r="BJ52" s="47">
        <f t="shared" si="38"/>
        <v>-0.17797637988380585</v>
      </c>
      <c r="BK52" s="47">
        <f t="shared" si="38"/>
        <v>-0.17778413681849481</v>
      </c>
      <c r="BL52" s="47">
        <f t="shared" si="38"/>
        <v>-0.17761872633719172</v>
      </c>
      <c r="BM52" s="47">
        <f t="shared" si="38"/>
        <v>-0.17715214591796902</v>
      </c>
      <c r="BN52" s="47">
        <f t="shared" si="38"/>
        <v>-0.17671230233900162</v>
      </c>
      <c r="BO52" s="47">
        <f t="shared" si="38"/>
        <v>-0.17629810732218315</v>
      </c>
      <c r="BP52" s="47">
        <f t="shared" si="38"/>
        <v>-0.17590853894588032</v>
      </c>
      <c r="BQ52" s="47">
        <f t="shared" si="38"/>
        <v>-0.17554263648497989</v>
      </c>
      <c r="BT52"/>
    </row>
    <row r="53" spans="1:75" x14ac:dyDescent="0.25">
      <c r="A53" s="102" t="str">
        <f t="shared" ref="A53:A54" si="39">B53&amp;" "&amp;C53</f>
        <v>FSFAGSPQNIBDDSCM MM Volatilisation</v>
      </c>
      <c r="B53" s="102" t="str">
        <f t="shared" ref="B53:B54" si="40">$B$5</f>
        <v>FSFAGSPQNIBDDSCM</v>
      </c>
      <c r="C53" s="102" t="s">
        <v>1333</v>
      </c>
      <c r="D53" t="str">
        <f t="shared" ref="D53" si="41">D51</f>
        <v>3C Aggregated and non-CO2 emissions on land</v>
      </c>
      <c r="E53" t="str">
        <f>'IPCC Categories'!B80</f>
        <v>3C6 Indirect N2O from manure management (N2O)</v>
      </c>
      <c r="F53" t="str">
        <f>'IPCC Categories'!C80</f>
        <v>Volatilisation</v>
      </c>
      <c r="G53" t="str">
        <f>G51</f>
        <v>N2O</v>
      </c>
      <c r="H53" t="str">
        <f>H51</f>
        <v>Gg N2O</v>
      </c>
      <c r="I53" s="28">
        <f>'Emissions summary'!F53</f>
        <v>0.80161921525345481</v>
      </c>
      <c r="J53" s="28">
        <f>'Emissions summary'!G53</f>
        <v>0.85849615635183785</v>
      </c>
      <c r="K53" s="28">
        <f>'Emissions summary'!H53</f>
        <v>0.79435444319952053</v>
      </c>
      <c r="L53" s="28">
        <f>'Emissions summary'!I53</f>
        <v>0.829147805848644</v>
      </c>
      <c r="M53" s="28">
        <f>'Emissions summary'!J53</f>
        <v>0.79042443952630315</v>
      </c>
      <c r="N53" s="28">
        <f>'Emissions summary'!K53</f>
        <v>0.8376969438335109</v>
      </c>
      <c r="O53" s="28">
        <f>'Emissions summary'!L53</f>
        <v>0.87683765723343599</v>
      </c>
      <c r="P53" s="28">
        <f>'Emissions summary'!M53</f>
        <v>0.86676785102585141</v>
      </c>
      <c r="Q53" s="28">
        <f>'Emissions summary'!N53</f>
        <v>0.88867615567493341</v>
      </c>
      <c r="R53" s="28">
        <f>'Emissions summary'!O53</f>
        <v>0.89855891694378176</v>
      </c>
      <c r="S53" s="28">
        <f>'Emissions summary'!P53</f>
        <v>1.0009422058189665</v>
      </c>
      <c r="T53" s="28">
        <f>'Emissions summary'!Q53</f>
        <v>0.99558785675794326</v>
      </c>
      <c r="U53" s="28">
        <f>'Emissions summary'!R53</f>
        <v>0.96534354462768934</v>
      </c>
      <c r="V53" s="28">
        <f>'Emissions summary'!S53</f>
        <v>0.91309585992575648</v>
      </c>
      <c r="W53" s="28">
        <f>'Emissions summary'!T53</f>
        <v>0.90768844469024579</v>
      </c>
      <c r="X53" s="28">
        <f>'Emissions summary'!U53</f>
        <v>0.95758004378601003</v>
      </c>
      <c r="Y53" s="28">
        <f>'Emissions summary'!V53</f>
        <v>0.97046445508369161</v>
      </c>
      <c r="Z53" s="28">
        <f>'Emissions summary'!W53</f>
        <v>0.98964220935969038</v>
      </c>
      <c r="AA53" s="28">
        <f>'Emissions summary'!X53</f>
        <v>1.0767445498553814</v>
      </c>
      <c r="AB53" s="28">
        <f>'Emissions summary'!Y53</f>
        <v>1.0706000439339658</v>
      </c>
      <c r="AC53" s="28">
        <f>'Emissions summary'!Z53</f>
        <v>1.0778952760899894</v>
      </c>
      <c r="AD53" s="28">
        <f>'Emissions summary'!AA53</f>
        <v>1.091951943859661</v>
      </c>
      <c r="AE53" s="28">
        <f>SUM('Net zero emission reductions'!K1531:K1546)</f>
        <v>1.1329051908746361</v>
      </c>
      <c r="AF53" s="28">
        <f>SUM('Net zero emission reductions'!L1531:L1546)</f>
        <v>1.1471583022339489</v>
      </c>
      <c r="AG53" s="28">
        <f>SUM('Net zero emission reductions'!M1531:M1546)</f>
        <v>1.1543599797957398</v>
      </c>
      <c r="AH53" s="28">
        <f>SUM('Net zero emission reductions'!N1531:N1546)</f>
        <v>1.1516844870352423</v>
      </c>
      <c r="AI53" s="28">
        <f>SUM('Net zero emission reductions'!O1531:O1546)</f>
        <v>1.1493785735382229</v>
      </c>
      <c r="AJ53" s="28">
        <f>SUM('Net zero emission reductions'!P1531:P1546)</f>
        <v>1.1524724804059274</v>
      </c>
      <c r="AK53" s="28">
        <f>SUM('Net zero emission reductions'!Q1531:Q1546)</f>
        <v>1.1573926602894757</v>
      </c>
      <c r="AL53" s="28">
        <f>SUM('Net zero emission reductions'!R1531:R1546)</f>
        <v>1.1519407636467207</v>
      </c>
      <c r="AM53" s="28">
        <f>SUM('Net zero emission reductions'!S1531:S1546)</f>
        <v>1.0492579490325276</v>
      </c>
      <c r="AN53" s="28">
        <f>SUM('Net zero emission reductions'!T1531:T1546)</f>
        <v>1.068321021607969</v>
      </c>
      <c r="AO53" s="28">
        <f>SUM('Net zero emission reductions'!U1531:U1546)</f>
        <v>1.0849227850986107</v>
      </c>
      <c r="AP53" s="28">
        <f>SUM('Net zero emission reductions'!V1531:V1546)</f>
        <v>1.1016472736366674</v>
      </c>
      <c r="AQ53" s="28">
        <f>SUM('Net zero emission reductions'!W1531:W1546)</f>
        <v>1.1225521825984488</v>
      </c>
      <c r="AR53" s="28">
        <f>SUM('Net zero emission reductions'!X1531:X1546)</f>
        <v>1.1435592135973116</v>
      </c>
      <c r="AS53" s="28">
        <f>SUM('Net zero emission reductions'!Y1531:Y1546)</f>
        <v>1.1656248159577951</v>
      </c>
      <c r="AT53" s="28">
        <f>SUM('Net zero emission reductions'!Z1531:Z1546)</f>
        <v>1.1868086030756817</v>
      </c>
      <c r="AU53" s="28">
        <f>SUM('Net zero emission reductions'!AA1531:AA1546)</f>
        <v>1.2096730018376847</v>
      </c>
      <c r="AV53" s="28">
        <f>SUM('Net zero emission reductions'!AB1531:AB1546)</f>
        <v>1.2307340164574632</v>
      </c>
      <c r="AW53" s="28">
        <f>SUM('Net zero emission reductions'!AC1531:AC1546)</f>
        <v>1.2524470770812954</v>
      </c>
      <c r="AX53" s="28">
        <f>SUM('Net zero emission reductions'!AD1531:AD1546)</f>
        <v>1.2801564892584856</v>
      </c>
      <c r="AY53" s="28">
        <f>SUM('Net zero emission reductions'!AE1531:AE1546)</f>
        <v>1.3104179677470265</v>
      </c>
      <c r="AZ53" s="28">
        <f>SUM('Net zero emission reductions'!AF1531:AF1546)</f>
        <v>1.3417945280327852</v>
      </c>
      <c r="BA53" s="28">
        <f>SUM('Net zero emission reductions'!AG1531:AG1546)</f>
        <v>1.3423997065600712</v>
      </c>
      <c r="BB53" s="28">
        <f>SUM('Net zero emission reductions'!AH1531:AH1546)</f>
        <v>-0.15078536585665733</v>
      </c>
      <c r="BC53" s="28">
        <f>SUM('Net zero emission reductions'!AI1531:AI1546)</f>
        <v>-0.15094886591241716</v>
      </c>
      <c r="BD53" s="28">
        <f>SUM('Net zero emission reductions'!AJ1531:AJ1546)</f>
        <v>-0.15114130241520737</v>
      </c>
      <c r="BE53" s="28">
        <f>SUM('Net zero emission reductions'!AK1531:AK1546)</f>
        <v>-0.15136132013475134</v>
      </c>
      <c r="BF53" s="28">
        <f>SUM('Net zero emission reductions'!AL1531:AL1546)</f>
        <v>-0.15160766951921592</v>
      </c>
      <c r="BG53" s="28">
        <f>SUM('Net zero emission reductions'!AM1531:AM1546)</f>
        <v>-0.15187919647475279</v>
      </c>
      <c r="BH53" s="28">
        <f>SUM('Net zero emission reductions'!AN1531:AN1546)</f>
        <v>-0.15183179426945037</v>
      </c>
      <c r="BI53" s="28">
        <f>SUM('Net zero emission reductions'!AO1531:AO1546)</f>
        <v>-0.15180779399509892</v>
      </c>
      <c r="BJ53" s="28">
        <f>SUM('Net zero emission reductions'!AP1531:AP1546)</f>
        <v>-0.15180616486127496</v>
      </c>
      <c r="BK53" s="28">
        <f>SUM('Net zero emission reductions'!AQ1531:AQ1546)</f>
        <v>-0.15182594691935539</v>
      </c>
      <c r="BL53" s="28">
        <f>SUM('Net zero emission reductions'!AR1531:AR1546)</f>
        <v>-0.15186624493519726</v>
      </c>
      <c r="BM53" s="28">
        <f>SUM('Net zero emission reductions'!AS1531:AS1546)</f>
        <v>-0.15165401312890053</v>
      </c>
      <c r="BN53" s="28">
        <f>SUM('Net zero emission reductions'!AT1531:AT1546)</f>
        <v>-0.15146209738101235</v>
      </c>
      <c r="BO53" s="28">
        <f>SUM('Net zero emission reductions'!AU1531:AU1546)</f>
        <v>-0.15128967162110674</v>
      </c>
      <c r="BP53" s="28">
        <f>SUM('Net zero emission reductions'!AV1531:AV1546)</f>
        <v>-0.15113596057636258</v>
      </c>
      <c r="BQ53" s="28">
        <f>SUM('Net zero emission reductions'!AW1531:AW1546)</f>
        <v>-0.15100023580659894</v>
      </c>
    </row>
    <row r="54" spans="1:75" x14ac:dyDescent="0.25">
      <c r="A54" s="102" t="str">
        <f t="shared" si="39"/>
        <v>FSFAGSPQNIBDDSCM MM Leaching</v>
      </c>
      <c r="B54" s="102" t="str">
        <f t="shared" si="40"/>
        <v>FSFAGSPQNIBDDSCM</v>
      </c>
      <c r="C54" s="102" t="s">
        <v>1334</v>
      </c>
      <c r="D54" t="str">
        <f t="shared" ref="D54" si="42">D53</f>
        <v>3C Aggregated and non-CO2 emissions on land</v>
      </c>
      <c r="E54" t="str">
        <f>E53</f>
        <v>3C6 Indirect N2O from manure management (N2O)</v>
      </c>
      <c r="F54" t="str">
        <f>'IPCC Categories'!C81</f>
        <v>Leaching/runoff</v>
      </c>
      <c r="G54" t="str">
        <f t="shared" si="30"/>
        <v>N2O</v>
      </c>
      <c r="H54" t="str">
        <f t="shared" si="30"/>
        <v>Gg N2O</v>
      </c>
      <c r="I54" s="28">
        <f>'Emissions summary'!F54</f>
        <v>0.29343461013219191</v>
      </c>
      <c r="J54" s="28">
        <f>'Emissions summary'!G54</f>
        <v>0.3073766284666854</v>
      </c>
      <c r="K54" s="28">
        <f>'Emissions summary'!H54</f>
        <v>0.29050875429791384</v>
      </c>
      <c r="L54" s="28">
        <f>'Emissions summary'!I54</f>
        <v>0.29609123732062431</v>
      </c>
      <c r="M54" s="28">
        <f>'Emissions summary'!J54</f>
        <v>0.28304951369865206</v>
      </c>
      <c r="N54" s="28">
        <f>'Emissions summary'!K54</f>
        <v>0.29511187402970801</v>
      </c>
      <c r="O54" s="28">
        <f>'Emissions summary'!L54</f>
        <v>0.30690246598419996</v>
      </c>
      <c r="P54" s="28">
        <f>'Emissions summary'!M54</f>
        <v>0.30644509961156119</v>
      </c>
      <c r="Q54" s="28">
        <f>'Emissions summary'!N54</f>
        <v>0.31383106371783259</v>
      </c>
      <c r="R54" s="28">
        <f>'Emissions summary'!O54</f>
        <v>0.31657737780361339</v>
      </c>
      <c r="S54" s="28">
        <f>'Emissions summary'!P54</f>
        <v>0.3416175739910387</v>
      </c>
      <c r="T54" s="28">
        <f>'Emissions summary'!Q54</f>
        <v>0.33949568434489258</v>
      </c>
      <c r="U54" s="28">
        <f>'Emissions summary'!R54</f>
        <v>0.33183354999683212</v>
      </c>
      <c r="V54" s="28">
        <f>'Emissions summary'!S54</f>
        <v>0.31943437273400205</v>
      </c>
      <c r="W54" s="28">
        <f>'Emissions summary'!T54</f>
        <v>0.31727330792199299</v>
      </c>
      <c r="X54" s="28">
        <f>'Emissions summary'!U54</f>
        <v>0.3294793274871316</v>
      </c>
      <c r="Y54" s="28">
        <f>'Emissions summary'!V54</f>
        <v>0.33314518631093065</v>
      </c>
      <c r="Z54" s="28">
        <f>'Emissions summary'!W54</f>
        <v>0.34004074515535521</v>
      </c>
      <c r="AA54" s="28">
        <f>'Emissions summary'!X54</f>
        <v>0.36225558084507087</v>
      </c>
      <c r="AB54" s="28">
        <f>'Emissions summary'!Y54</f>
        <v>0.35995720969910711</v>
      </c>
      <c r="AC54" s="28">
        <f>'Emissions summary'!Z54</f>
        <v>0.36096038405715508</v>
      </c>
      <c r="AD54" s="28">
        <f>'Emissions summary'!AA54</f>
        <v>0.3644055717157258</v>
      </c>
      <c r="AE54" s="28">
        <f>SUM('Net zero emission reductions'!K1547:K1562)</f>
        <v>0.37289394232122058</v>
      </c>
      <c r="AF54" s="28">
        <f>SUM('Net zero emission reductions'!L1547:L1562)</f>
        <v>0.37622105842013776</v>
      </c>
      <c r="AG54" s="28">
        <f>SUM('Net zero emission reductions'!M1547:M1562)</f>
        <v>0.377305167566855</v>
      </c>
      <c r="AH54" s="28">
        <f>SUM('Net zero emission reductions'!N1547:N1562)</f>
        <v>0.37528350652824921</v>
      </c>
      <c r="AI54" s="28">
        <f>SUM('Net zero emission reductions'!O1547:O1562)</f>
        <v>0.37341233715295824</v>
      </c>
      <c r="AJ54" s="28">
        <f>SUM('Net zero emission reductions'!P1547:P1562)</f>
        <v>0.37326167220011497</v>
      </c>
      <c r="AK54" s="28">
        <f>SUM('Net zero emission reductions'!Q1547:Q1562)</f>
        <v>0.37368775751740291</v>
      </c>
      <c r="AL54" s="28">
        <f>SUM('Net zero emission reductions'!R1547:R1562)</f>
        <v>0.37090211340371582</v>
      </c>
      <c r="AM54" s="28">
        <f>SUM('Net zero emission reductions'!S1547:S1562)</f>
        <v>0.3381263500958972</v>
      </c>
      <c r="AN54" s="28">
        <f>SUM('Net zero emission reductions'!T1547:T1562)</f>
        <v>0.34356976886518981</v>
      </c>
      <c r="AO54" s="28">
        <f>SUM('Net zero emission reductions'!U1547:U1562)</f>
        <v>0.34824289877773534</v>
      </c>
      <c r="AP54" s="28">
        <f>SUM('Net zero emission reductions'!V1547:V1562)</f>
        <v>0.35294322942042827</v>
      </c>
      <c r="AQ54" s="28">
        <f>SUM('Net zero emission reductions'!W1547:W1562)</f>
        <v>0.35891380060731803</v>
      </c>
      <c r="AR54" s="28">
        <f>SUM('Net zero emission reductions'!X1547:X1562)</f>
        <v>0.3649001025836604</v>
      </c>
      <c r="AS54" s="28">
        <f>SUM('Net zero emission reductions'!Y1547:Y1562)</f>
        <v>0.37115548995745956</v>
      </c>
      <c r="AT54" s="28">
        <f>SUM('Net zero emission reductions'!Z1547:Z1562)</f>
        <v>0.37712557614963788</v>
      </c>
      <c r="AU54" s="28">
        <f>SUM('Net zero emission reductions'!AA1547:AA1562)</f>
        <v>0.38359131679255987</v>
      </c>
      <c r="AV54" s="28">
        <f>SUM('Net zero emission reductions'!AB1547:AB1562)</f>
        <v>0.38949215712290786</v>
      </c>
      <c r="AW54" s="28">
        <f>SUM('Net zero emission reductions'!AC1547:AC1562)</f>
        <v>0.39557534533797684</v>
      </c>
      <c r="AX54" s="28">
        <f>SUM('Net zero emission reductions'!AD1547:AD1562)</f>
        <v>0.40293991471143492</v>
      </c>
      <c r="AY54" s="28">
        <f>SUM('Net zero emission reductions'!AE1547:AE1562)</f>
        <v>0.41103165805717595</v>
      </c>
      <c r="AZ54" s="28">
        <f>SUM('Net zero emission reductions'!AF1547:AF1562)</f>
        <v>0.41941238026307476</v>
      </c>
      <c r="BA54" s="28">
        <f>SUM('Net zero emission reductions'!AG1547:AG1562)</f>
        <v>0.4185356439960527</v>
      </c>
      <c r="BB54" s="28">
        <f>SUM('Net zero emission reductions'!AH1547:AH1562)</f>
        <v>-2.8049638106281777E-2</v>
      </c>
      <c r="BC54" s="28">
        <f>SUM('Net zero emission reductions'!AI1547:AI1562)</f>
        <v>-2.7791202920970932E-2</v>
      </c>
      <c r="BD54" s="28">
        <f>SUM('Net zero emission reductions'!AJ1547:AJ1562)</f>
        <v>-2.7542200292831706E-2</v>
      </c>
      <c r="BE54" s="28">
        <f>SUM('Net zero emission reductions'!AK1547:AK1562)</f>
        <v>-2.7302153614153599E-2</v>
      </c>
      <c r="BF54" s="28">
        <f>SUM('Net zero emission reductions'!AL1547:AL1562)</f>
        <v>-2.7070621447246791E-2</v>
      </c>
      <c r="BG54" s="28">
        <f>SUM('Net zero emission reductions'!AM1547:AM1562)</f>
        <v>-2.6847194183228527E-2</v>
      </c>
      <c r="BH54" s="28">
        <f>SUM('Net zero emission reductions'!AN1547:AN1562)</f>
        <v>-2.6614395977014128E-2</v>
      </c>
      <c r="BI54" s="28">
        <f>SUM('Net zero emission reductions'!AO1547:AO1562)</f>
        <v>-2.6388846969858736E-2</v>
      </c>
      <c r="BJ54" s="28">
        <f>SUM('Net zero emission reductions'!AP1547:AP1562)</f>
        <v>-2.6170215022530897E-2</v>
      </c>
      <c r="BK54" s="28">
        <f>SUM('Net zero emission reductions'!AQ1547:AQ1562)</f>
        <v>-2.5958189899139422E-2</v>
      </c>
      <c r="BL54" s="28">
        <f>SUM('Net zero emission reductions'!AR1547:AR1562)</f>
        <v>-2.5752481401994459E-2</v>
      </c>
      <c r="BM54" s="28">
        <f>SUM('Net zero emission reductions'!AS1547:AS1562)</f>
        <v>-2.5498132789068477E-2</v>
      </c>
      <c r="BN54" s="28">
        <f>SUM('Net zero emission reductions'!AT1547:AT1562)</f>
        <v>-2.5250204957989276E-2</v>
      </c>
      <c r="BO54" s="28">
        <f>SUM('Net zero emission reductions'!AU1547:AU1562)</f>
        <v>-2.5008435701076429E-2</v>
      </c>
      <c r="BP54" s="28">
        <f>SUM('Net zero emission reductions'!AV1547:AV1562)</f>
        <v>-2.4772578369517746E-2</v>
      </c>
      <c r="BQ54" s="28">
        <f>SUM('Net zero emission reductions'!AW1547:AW1562)</f>
        <v>-2.4542400678380955E-2</v>
      </c>
    </row>
    <row r="55" spans="1:75" x14ac:dyDescent="0.25">
      <c r="AE55">
        <v>35.540732111824028</v>
      </c>
      <c r="AF55">
        <v>35.432980225778593</v>
      </c>
      <c r="AG55">
        <v>35.148388248241666</v>
      </c>
      <c r="AH55">
        <v>34.689934793643864</v>
      </c>
      <c r="AI55">
        <v>34.10577532668794</v>
      </c>
      <c r="AJ55">
        <v>33.665517278199879</v>
      </c>
      <c r="AK55">
        <v>33.191408494921838</v>
      </c>
      <c r="AL55">
        <v>32.688932503561567</v>
      </c>
      <c r="AM55">
        <v>29.89577281885051</v>
      </c>
      <c r="AN55">
        <v>30.039289702421215</v>
      </c>
      <c r="AO55">
        <v>30.155062545515406</v>
      </c>
      <c r="AP55">
        <v>30.271687073296022</v>
      </c>
      <c r="AQ55">
        <v>30.365217516199881</v>
      </c>
      <c r="AR55">
        <v>30.476071690538603</v>
      </c>
      <c r="AS55">
        <v>30.671308828803358</v>
      </c>
      <c r="AT55">
        <v>30.852301213042974</v>
      </c>
      <c r="AU55">
        <v>31.052653896712687</v>
      </c>
      <c r="AV55">
        <v>31.263573744860192</v>
      </c>
      <c r="AW55">
        <v>31.485879582208856</v>
      </c>
      <c r="AX55">
        <v>31.639870187971049</v>
      </c>
      <c r="AY55">
        <v>31.738561975791818</v>
      </c>
      <c r="AZ55">
        <v>31.889988661325503</v>
      </c>
      <c r="BA55">
        <v>32.067521839452567</v>
      </c>
      <c r="BB55">
        <v>32.27071745845867</v>
      </c>
      <c r="BC55">
        <v>32.464199963579325</v>
      </c>
      <c r="BD55">
        <v>32.662583605249623</v>
      </c>
      <c r="BE55">
        <v>32.844096090877819</v>
      </c>
      <c r="BF55">
        <v>33.02851443877168</v>
      </c>
      <c r="BG55">
        <v>33.230961662277288</v>
      </c>
      <c r="BH55">
        <v>33.542231603301246</v>
      </c>
      <c r="BI55">
        <v>33.861731015026024</v>
      </c>
      <c r="BJ55">
        <v>34.185669391888325</v>
      </c>
      <c r="BK55">
        <v>34.517017241724588</v>
      </c>
      <c r="BL55">
        <v>34.87270515197946</v>
      </c>
      <c r="BM55">
        <v>35.235858531572838</v>
      </c>
      <c r="BN55">
        <v>35.610295421452008</v>
      </c>
      <c r="BO55">
        <v>35.961442453466979</v>
      </c>
      <c r="BP55">
        <v>36.324654086002312</v>
      </c>
      <c r="BQ55">
        <v>36.701137090653802</v>
      </c>
    </row>
    <row r="56" spans="1:75" x14ac:dyDescent="0.25">
      <c r="AE56">
        <f>AE55-AE47</f>
        <v>-8.0815808038650516E-2</v>
      </c>
      <c r="AF56">
        <f t="shared" ref="AF56:BQ56" si="43">AF55-AF47</f>
        <v>-4.2244281330141575E-2</v>
      </c>
      <c r="AG56">
        <f t="shared" si="43"/>
        <v>3.2036885126274228E-3</v>
      </c>
      <c r="AH56">
        <f t="shared" si="43"/>
        <v>0.11749561309002132</v>
      </c>
      <c r="AI56">
        <f t="shared" si="43"/>
        <v>8.1831280742946433E-2</v>
      </c>
      <c r="AJ56">
        <f t="shared" si="43"/>
        <v>4.6772490645629716E-2</v>
      </c>
      <c r="AK56">
        <f t="shared" si="43"/>
        <v>-6.9148768661463578E-2</v>
      </c>
      <c r="AL56">
        <f t="shared" si="43"/>
        <v>2.0768547577596053E-2</v>
      </c>
      <c r="AM56">
        <f t="shared" si="43"/>
        <v>-2.6697211840499335E-2</v>
      </c>
      <c r="AN56">
        <f t="shared" si="43"/>
        <v>6.0948635623024217E-2</v>
      </c>
      <c r="AO56">
        <f t="shared" si="43"/>
        <v>0.18035645580136972</v>
      </c>
      <c r="AP56">
        <f t="shared" si="43"/>
        <v>0.30257905060123491</v>
      </c>
      <c r="AQ56">
        <f t="shared" si="43"/>
        <v>0.32021563928993046</v>
      </c>
      <c r="AR56">
        <f t="shared" si="43"/>
        <v>0.36086761691895575</v>
      </c>
      <c r="AS56">
        <f t="shared" si="43"/>
        <v>0.48713689092939561</v>
      </c>
      <c r="AT56">
        <f t="shared" si="43"/>
        <v>0.624329139669765</v>
      </c>
      <c r="AU56">
        <f t="shared" si="43"/>
        <v>0.75608395824675512</v>
      </c>
      <c r="AV56">
        <f t="shared" si="43"/>
        <v>0.94015026247500444</v>
      </c>
      <c r="AW56">
        <f t="shared" si="43"/>
        <v>1.1302418184792309</v>
      </c>
      <c r="AX56">
        <f t="shared" si="43"/>
        <v>1.2233730903969224</v>
      </c>
      <c r="AY56">
        <f t="shared" si="43"/>
        <v>1.2324948094309853</v>
      </c>
      <c r="AZ56">
        <f t="shared" si="43"/>
        <v>1.2929192824103417</v>
      </c>
      <c r="BA56">
        <f t="shared" si="43"/>
        <v>1.9101635470344043</v>
      </c>
      <c r="BB56">
        <f t="shared" si="43"/>
        <v>26.847985583451596</v>
      </c>
      <c r="BC56">
        <f t="shared" si="43"/>
        <v>26.917421689879927</v>
      </c>
      <c r="BD56">
        <f t="shared" si="43"/>
        <v>26.992889170841423</v>
      </c>
      <c r="BE56">
        <f t="shared" si="43"/>
        <v>27.052555594986863</v>
      </c>
      <c r="BF56">
        <f t="shared" si="43"/>
        <v>27.116141606405929</v>
      </c>
      <c r="BG56">
        <f t="shared" si="43"/>
        <v>27.198717273823327</v>
      </c>
      <c r="BH56">
        <f t="shared" si="43"/>
        <v>27.416242561704635</v>
      </c>
      <c r="BI56">
        <f t="shared" si="43"/>
        <v>27.642753319786863</v>
      </c>
      <c r="BJ56">
        <f t="shared" si="43"/>
        <v>27.87442473445191</v>
      </c>
      <c r="BK56">
        <f t="shared" si="43"/>
        <v>28.114194894828394</v>
      </c>
      <c r="BL56">
        <f t="shared" si="43"/>
        <v>28.378963710155539</v>
      </c>
      <c r="BM56">
        <f t="shared" si="43"/>
        <v>28.65778060851461</v>
      </c>
      <c r="BN56">
        <f t="shared" si="43"/>
        <v>28.948613662156166</v>
      </c>
      <c r="BO56">
        <f t="shared" si="43"/>
        <v>29.216862988317352</v>
      </c>
      <c r="BP56">
        <f t="shared" si="43"/>
        <v>29.497857844587344</v>
      </c>
      <c r="BQ56">
        <f t="shared" si="43"/>
        <v>29.792781022882195</v>
      </c>
    </row>
    <row r="57" spans="1:75" s="19" customFormat="1" ht="15.75" x14ac:dyDescent="0.25">
      <c r="A57" s="104"/>
      <c r="B57" s="104"/>
      <c r="C57" s="104"/>
      <c r="D57" s="17" t="s">
        <v>4</v>
      </c>
      <c r="E57" s="17" t="s">
        <v>313</v>
      </c>
      <c r="F57" s="17"/>
      <c r="G57" s="17"/>
      <c r="H57" s="17"/>
      <c r="I57" s="17">
        <v>1990</v>
      </c>
      <c r="J57" s="17">
        <v>1991</v>
      </c>
      <c r="K57" s="17">
        <v>1992</v>
      </c>
      <c r="L57" s="17">
        <v>1993</v>
      </c>
      <c r="M57" s="17">
        <v>1994</v>
      </c>
      <c r="N57" s="17">
        <v>1995</v>
      </c>
      <c r="O57" s="17">
        <v>1996</v>
      </c>
      <c r="P57" s="17">
        <v>1997</v>
      </c>
      <c r="Q57" s="17">
        <v>1998</v>
      </c>
      <c r="R57" s="17">
        <v>1999</v>
      </c>
      <c r="S57" s="17">
        <v>2000</v>
      </c>
      <c r="T57" s="17">
        <v>2001</v>
      </c>
      <c r="U57" s="17">
        <v>2002</v>
      </c>
      <c r="V57" s="17">
        <v>2003</v>
      </c>
      <c r="W57" s="17">
        <v>2004</v>
      </c>
      <c r="X57" s="17">
        <v>2005</v>
      </c>
      <c r="Y57" s="17">
        <v>2006</v>
      </c>
      <c r="Z57" s="17">
        <v>2007</v>
      </c>
      <c r="AA57" s="17">
        <v>2008</v>
      </c>
      <c r="AB57" s="17">
        <v>2009</v>
      </c>
      <c r="AC57" s="17">
        <v>2010</v>
      </c>
      <c r="AD57" s="17">
        <v>2011</v>
      </c>
      <c r="AE57" s="17">
        <v>2012</v>
      </c>
      <c r="AF57" s="17">
        <v>2013</v>
      </c>
      <c r="AG57" s="17">
        <v>2014</v>
      </c>
      <c r="AH57" s="17">
        <v>2015</v>
      </c>
      <c r="AI57" s="17">
        <v>2016</v>
      </c>
      <c r="AJ57" s="17">
        <v>2017</v>
      </c>
      <c r="AK57" s="17">
        <v>2018</v>
      </c>
      <c r="AL57" s="17">
        <v>2019</v>
      </c>
      <c r="AM57" s="17">
        <v>2020</v>
      </c>
      <c r="AN57" s="17">
        <v>2021</v>
      </c>
      <c r="AO57" s="17">
        <v>2022</v>
      </c>
      <c r="AP57" s="17">
        <v>2023</v>
      </c>
      <c r="AQ57" s="17">
        <v>2024</v>
      </c>
      <c r="AR57" s="17">
        <v>2025</v>
      </c>
      <c r="AS57" s="17">
        <v>2026</v>
      </c>
      <c r="AT57" s="17">
        <v>2027</v>
      </c>
      <c r="AU57" s="17">
        <v>2028</v>
      </c>
      <c r="AV57" s="17">
        <v>2029</v>
      </c>
      <c r="AW57" s="17">
        <v>2030</v>
      </c>
      <c r="AX57" s="17">
        <v>2031</v>
      </c>
      <c r="AY57" s="17">
        <v>2032</v>
      </c>
      <c r="AZ57" s="17">
        <v>2033</v>
      </c>
      <c r="BA57" s="17">
        <v>2034</v>
      </c>
      <c r="BB57" s="17">
        <v>2035</v>
      </c>
      <c r="BC57" s="17">
        <v>2036</v>
      </c>
      <c r="BD57" s="17">
        <v>2037</v>
      </c>
      <c r="BE57" s="17">
        <v>2038</v>
      </c>
      <c r="BF57" s="17">
        <v>2039</v>
      </c>
      <c r="BG57" s="17">
        <v>2040</v>
      </c>
      <c r="BH57" s="17">
        <v>2041</v>
      </c>
      <c r="BI57" s="17">
        <v>2042</v>
      </c>
      <c r="BJ57" s="17">
        <v>2043</v>
      </c>
      <c r="BK57" s="17">
        <v>2044</v>
      </c>
      <c r="BL57" s="17">
        <v>2045</v>
      </c>
      <c r="BM57" s="17">
        <v>2046</v>
      </c>
      <c r="BN57" s="17">
        <v>2047</v>
      </c>
      <c r="BO57" s="17">
        <v>2048</v>
      </c>
      <c r="BP57" s="17">
        <v>2049</v>
      </c>
      <c r="BQ57" s="17">
        <v>2050</v>
      </c>
      <c r="BR57" s="17"/>
      <c r="BS57" s="17"/>
      <c r="BT57" s="17"/>
      <c r="BU57" s="17"/>
      <c r="BV57" s="17"/>
      <c r="BW57" s="17"/>
    </row>
    <row r="58" spans="1:75" x14ac:dyDescent="0.25">
      <c r="C58" s="102" t="s">
        <v>631</v>
      </c>
      <c r="D58" t="str">
        <f>D4</f>
        <v>3A Livestock</v>
      </c>
      <c r="E58" t="str">
        <f t="shared" ref="E58:G58" si="44">E4</f>
        <v>3A1 Enteric fermentation (CH4)</v>
      </c>
      <c r="F58" t="s">
        <v>631</v>
      </c>
      <c r="G58" t="str">
        <f t="shared" si="44"/>
        <v>CH4</v>
      </c>
      <c r="H58" t="s">
        <v>630</v>
      </c>
      <c r="I58" s="22">
        <f t="shared" ref="I58:BQ58" si="45">I4*CH4GWP</f>
        <v>26460.925072337381</v>
      </c>
      <c r="J58" s="22">
        <f t="shared" si="45"/>
        <v>26418.475312229119</v>
      </c>
      <c r="K58" s="22">
        <f t="shared" si="45"/>
        <v>26027.263437986745</v>
      </c>
      <c r="L58" s="22">
        <f t="shared" si="45"/>
        <v>25089.273612986341</v>
      </c>
      <c r="M58" s="22">
        <f t="shared" si="45"/>
        <v>24412.498016417903</v>
      </c>
      <c r="N58" s="22">
        <f t="shared" si="45"/>
        <v>24601.863709321911</v>
      </c>
      <c r="O58" s="22">
        <f t="shared" si="45"/>
        <v>25244.020710274675</v>
      </c>
      <c r="P58" s="22">
        <f t="shared" si="45"/>
        <v>25722.067671704968</v>
      </c>
      <c r="Q58" s="22">
        <f t="shared" si="45"/>
        <v>26130.788516688182</v>
      </c>
      <c r="R58" s="22">
        <f t="shared" si="45"/>
        <v>26079.086242660247</v>
      </c>
      <c r="S58" s="22">
        <f t="shared" si="45"/>
        <v>25777.048269375533</v>
      </c>
      <c r="T58" s="22">
        <f t="shared" si="45"/>
        <v>25591.757983541553</v>
      </c>
      <c r="U58" s="22">
        <f t="shared" si="45"/>
        <v>25147.122199522513</v>
      </c>
      <c r="V58" s="22">
        <f t="shared" si="45"/>
        <v>25249.466602835961</v>
      </c>
      <c r="W58" s="22">
        <f t="shared" si="45"/>
        <v>25051.703011381145</v>
      </c>
      <c r="X58" s="22">
        <f t="shared" si="45"/>
        <v>25106.486522987332</v>
      </c>
      <c r="Y58" s="22">
        <f t="shared" si="45"/>
        <v>25009.71607093593</v>
      </c>
      <c r="Z58" s="22">
        <f t="shared" si="45"/>
        <v>25554.935614001963</v>
      </c>
      <c r="AA58" s="22">
        <f t="shared" si="45"/>
        <v>25721.077232963253</v>
      </c>
      <c r="AB58" s="22">
        <f t="shared" si="45"/>
        <v>25553.033374236744</v>
      </c>
      <c r="AC58" s="22">
        <f t="shared" si="45"/>
        <v>25338.814721466922</v>
      </c>
      <c r="AD58" s="22">
        <f t="shared" si="45"/>
        <v>25260.558978491663</v>
      </c>
      <c r="AE58" s="22">
        <f t="shared" si="45"/>
        <v>24752.854117901919</v>
      </c>
      <c r="AF58" s="22">
        <f t="shared" si="45"/>
        <v>24690.701530842045</v>
      </c>
      <c r="AG58" s="22">
        <f t="shared" si="45"/>
        <v>24496.272701657097</v>
      </c>
      <c r="AH58" s="22">
        <f t="shared" si="45"/>
        <v>24126.089928992173</v>
      </c>
      <c r="AI58" s="22">
        <f t="shared" si="45"/>
        <v>23771.872225696912</v>
      </c>
      <c r="AJ58" s="22">
        <f t="shared" si="45"/>
        <v>23520.073026651728</v>
      </c>
      <c r="AK58" s="22">
        <f t="shared" si="45"/>
        <v>23301.855529161516</v>
      </c>
      <c r="AL58" s="22">
        <f t="shared" si="45"/>
        <v>22912.428573386427</v>
      </c>
      <c r="AM58" s="22">
        <f t="shared" si="45"/>
        <v>20946.758314482198</v>
      </c>
      <c r="AN58" s="22">
        <f t="shared" si="45"/>
        <v>20964.330051355333</v>
      </c>
      <c r="AO58" s="22">
        <f t="shared" si="45"/>
        <v>20880.921089262458</v>
      </c>
      <c r="AP58" s="22">
        <f t="shared" si="45"/>
        <v>20738.942137024882</v>
      </c>
      <c r="AQ58" s="22">
        <f t="shared" si="45"/>
        <v>20599.436230677416</v>
      </c>
      <c r="AR58" s="22">
        <f t="shared" si="45"/>
        <v>20398.347781307381</v>
      </c>
      <c r="AS58" s="22">
        <f t="shared" si="45"/>
        <v>20140.739621773526</v>
      </c>
      <c r="AT58" s="22">
        <f t="shared" si="45"/>
        <v>19807.819055258198</v>
      </c>
      <c r="AU58" s="22">
        <f t="shared" si="45"/>
        <v>19434.805695168016</v>
      </c>
      <c r="AV58" s="22">
        <f t="shared" si="45"/>
        <v>18975.615523904213</v>
      </c>
      <c r="AW58" s="22">
        <f t="shared" si="45"/>
        <v>18463.145528545334</v>
      </c>
      <c r="AX58" s="22">
        <f t="shared" si="45"/>
        <v>18404.511985077905</v>
      </c>
      <c r="AY58" s="22">
        <f t="shared" si="45"/>
        <v>18361.487544376865</v>
      </c>
      <c r="AZ58" s="22">
        <f t="shared" si="45"/>
        <v>18316.014550166157</v>
      </c>
      <c r="BA58" s="22">
        <f t="shared" si="45"/>
        <v>17923.906103393223</v>
      </c>
      <c r="BB58" s="22">
        <f t="shared" si="45"/>
        <v>1903.0554524656477</v>
      </c>
      <c r="BC58" s="22">
        <f t="shared" si="45"/>
        <v>1957.0206742887913</v>
      </c>
      <c r="BD58" s="22">
        <f t="shared" si="45"/>
        <v>2009.7152897146148</v>
      </c>
      <c r="BE58" s="22">
        <f t="shared" si="45"/>
        <v>2061.1683106741111</v>
      </c>
      <c r="BF58" s="22">
        <f t="shared" si="45"/>
        <v>2111.4061954942304</v>
      </c>
      <c r="BG58" s="22">
        <f t="shared" si="45"/>
        <v>2160.4530816953074</v>
      </c>
      <c r="BH58" s="22">
        <f t="shared" si="45"/>
        <v>2202.0933130895655</v>
      </c>
      <c r="BI58" s="22">
        <f t="shared" si="45"/>
        <v>2242.9996745871449</v>
      </c>
      <c r="BJ58" s="22">
        <f t="shared" si="45"/>
        <v>2283.1828063777953</v>
      </c>
      <c r="BK58" s="22">
        <f t="shared" si="45"/>
        <v>2322.6522995724654</v>
      </c>
      <c r="BL58" s="22">
        <f t="shared" si="45"/>
        <v>2361.4167867025367</v>
      </c>
      <c r="BM58" s="22">
        <f t="shared" si="45"/>
        <v>2397.2613898044729</v>
      </c>
      <c r="BN58" s="22">
        <f t="shared" si="45"/>
        <v>2432.3633521872694</v>
      </c>
      <c r="BO58" s="22">
        <f t="shared" si="45"/>
        <v>2466.7299350899375</v>
      </c>
      <c r="BP58" s="22">
        <f t="shared" si="45"/>
        <v>2500.3677243450934</v>
      </c>
      <c r="BQ58" s="22">
        <f t="shared" si="45"/>
        <v>2533.2826855809813</v>
      </c>
    </row>
    <row r="59" spans="1:75" x14ac:dyDescent="0.25">
      <c r="C59" s="102" t="s">
        <v>632</v>
      </c>
      <c r="D59" t="str">
        <f>D11</f>
        <v>3A Livestock</v>
      </c>
      <c r="E59" t="str">
        <f t="shared" ref="E59:G59" si="46">E11</f>
        <v>3A2 Manure management (CH4)</v>
      </c>
      <c r="F59" t="s">
        <v>632</v>
      </c>
      <c r="G59" t="str">
        <f t="shared" si="46"/>
        <v>CH4</v>
      </c>
      <c r="H59" t="s">
        <v>630</v>
      </c>
      <c r="I59" s="22">
        <f t="shared" ref="I59:BQ59" si="47">I11*CH4GWP</f>
        <v>665.7572008832442</v>
      </c>
      <c r="J59" s="22">
        <f t="shared" si="47"/>
        <v>731.77517896865697</v>
      </c>
      <c r="K59" s="22">
        <f t="shared" si="47"/>
        <v>700.26473285821476</v>
      </c>
      <c r="L59" s="22">
        <f t="shared" si="47"/>
        <v>712.13818460917685</v>
      </c>
      <c r="M59" s="22">
        <f t="shared" si="47"/>
        <v>673.549198853235</v>
      </c>
      <c r="N59" s="22">
        <f t="shared" si="47"/>
        <v>693.43832527791926</v>
      </c>
      <c r="O59" s="22">
        <f t="shared" si="47"/>
        <v>734.73733503998528</v>
      </c>
      <c r="P59" s="22">
        <f t="shared" si="47"/>
        <v>726.5082160772597</v>
      </c>
      <c r="Q59" s="22">
        <f t="shared" si="47"/>
        <v>738.7543700862376</v>
      </c>
      <c r="R59" s="22">
        <f t="shared" si="47"/>
        <v>751.24351393633765</v>
      </c>
      <c r="S59" s="22">
        <f t="shared" si="47"/>
        <v>762.23830549258651</v>
      </c>
      <c r="T59" s="22">
        <f t="shared" si="47"/>
        <v>769.66043942752947</v>
      </c>
      <c r="U59" s="22">
        <f t="shared" si="47"/>
        <v>755.24670561009475</v>
      </c>
      <c r="V59" s="22">
        <f t="shared" si="47"/>
        <v>721.45490015224073</v>
      </c>
      <c r="W59" s="22">
        <f t="shared" si="47"/>
        <v>716.39216959899204</v>
      </c>
      <c r="X59" s="22">
        <f t="shared" si="47"/>
        <v>729.01852866445677</v>
      </c>
      <c r="Y59" s="22">
        <f t="shared" si="47"/>
        <v>720.39066924724523</v>
      </c>
      <c r="Z59" s="22">
        <f t="shared" si="47"/>
        <v>731.06474952281167</v>
      </c>
      <c r="AA59" s="22">
        <f t="shared" si="47"/>
        <v>761.20306942751586</v>
      </c>
      <c r="AB59" s="22">
        <f t="shared" si="47"/>
        <v>763.02344219117026</v>
      </c>
      <c r="AC59" s="22">
        <f t="shared" si="47"/>
        <v>758.88138838781094</v>
      </c>
      <c r="AD59" s="22">
        <f t="shared" si="47"/>
        <v>751.05641756570367</v>
      </c>
      <c r="AE59" s="22">
        <f t="shared" si="47"/>
        <v>778.47813665191791</v>
      </c>
      <c r="AF59" s="22">
        <f t="shared" si="47"/>
        <v>779.60373018344342</v>
      </c>
      <c r="AG59" s="22">
        <f t="shared" si="47"/>
        <v>776.0192197786206</v>
      </c>
      <c r="AH59" s="22">
        <f t="shared" si="47"/>
        <v>765.98896986913508</v>
      </c>
      <c r="AI59" s="22">
        <f t="shared" si="47"/>
        <v>756.50244374464921</v>
      </c>
      <c r="AJ59" s="22">
        <f t="shared" si="47"/>
        <v>750.81595689017922</v>
      </c>
      <c r="AK59" s="22">
        <f t="shared" si="47"/>
        <v>746.48199026837983</v>
      </c>
      <c r="AL59" s="22">
        <f t="shared" si="47"/>
        <v>735.65316112823461</v>
      </c>
      <c r="AM59" s="22">
        <f t="shared" si="47"/>
        <v>663.65903703549384</v>
      </c>
      <c r="AN59" s="22">
        <f t="shared" si="47"/>
        <v>621.5292300340343</v>
      </c>
      <c r="AO59" s="22">
        <f t="shared" si="47"/>
        <v>577.52860865954347</v>
      </c>
      <c r="AP59" s="22">
        <f t="shared" si="47"/>
        <v>533.28907553439581</v>
      </c>
      <c r="AQ59" s="22">
        <f t="shared" si="47"/>
        <v>490.60606831042872</v>
      </c>
      <c r="AR59" s="22">
        <f t="shared" si="47"/>
        <v>447.31925997446842</v>
      </c>
      <c r="AS59" s="22">
        <f t="shared" si="47"/>
        <v>403.80707334853753</v>
      </c>
      <c r="AT59" s="22">
        <f t="shared" si="47"/>
        <v>359.34990419569914</v>
      </c>
      <c r="AU59" s="22">
        <f t="shared" si="47"/>
        <v>314.78811953964902</v>
      </c>
      <c r="AV59" s="22">
        <f t="shared" si="47"/>
        <v>269.15134571600908</v>
      </c>
      <c r="AW59" s="22">
        <f t="shared" si="47"/>
        <v>223.16107627328697</v>
      </c>
      <c r="AX59" s="22">
        <f t="shared" si="47"/>
        <v>214.67231292143302</v>
      </c>
      <c r="AY59" s="22">
        <f t="shared" si="47"/>
        <v>206.31165264259428</v>
      </c>
      <c r="AZ59" s="22">
        <f t="shared" si="47"/>
        <v>197.78478455015306</v>
      </c>
      <c r="BA59" s="22">
        <f t="shared" si="47"/>
        <v>184.28236690976757</v>
      </c>
      <c r="BB59" s="22">
        <f t="shared" si="47"/>
        <v>-39.058141578202317</v>
      </c>
      <c r="BC59" s="22">
        <f t="shared" si="47"/>
        <v>-38.127556163197845</v>
      </c>
      <c r="BD59" s="22">
        <f t="shared" si="47"/>
        <v>-37.261960264999971</v>
      </c>
      <c r="BE59" s="22">
        <f t="shared" si="47"/>
        <v>-36.459628986479331</v>
      </c>
      <c r="BF59" s="22">
        <f t="shared" si="47"/>
        <v>-35.718998213629938</v>
      </c>
      <c r="BG59" s="22">
        <f t="shared" si="47"/>
        <v>-35.038650084459832</v>
      </c>
      <c r="BH59" s="22">
        <f t="shared" si="47"/>
        <v>-35.066461155901166</v>
      </c>
      <c r="BI59" s="22">
        <f t="shared" si="47"/>
        <v>-35.09819228686429</v>
      </c>
      <c r="BJ59" s="22">
        <f t="shared" si="47"/>
        <v>-35.133687033734944</v>
      </c>
      <c r="BK59" s="22">
        <f t="shared" si="47"/>
        <v>-35.172799724926286</v>
      </c>
      <c r="BL59" s="22">
        <f t="shared" si="47"/>
        <v>-35.215394533230608</v>
      </c>
      <c r="BM59" s="22">
        <f t="shared" si="47"/>
        <v>-35.21273693696893</v>
      </c>
      <c r="BN59" s="22">
        <f t="shared" si="47"/>
        <v>-35.213361597028694</v>
      </c>
      <c r="BO59" s="22">
        <f t="shared" si="47"/>
        <v>-35.217144590268255</v>
      </c>
      <c r="BP59" s="22">
        <f t="shared" si="47"/>
        <v>-35.223969608765579</v>
      </c>
      <c r="BQ59" s="22">
        <f t="shared" si="47"/>
        <v>-35.233727367338005</v>
      </c>
    </row>
    <row r="60" spans="1:75" x14ac:dyDescent="0.25">
      <c r="C60" s="102" t="s">
        <v>633</v>
      </c>
      <c r="D60" t="str">
        <f>D19</f>
        <v>3A Livestock</v>
      </c>
      <c r="E60" t="str">
        <f t="shared" ref="E60:G60" si="48">E19</f>
        <v>3A2 Manure management (N2O)</v>
      </c>
      <c r="F60" t="s">
        <v>633</v>
      </c>
      <c r="G60" t="str">
        <f t="shared" si="48"/>
        <v>N2O</v>
      </c>
      <c r="H60" t="s">
        <v>630</v>
      </c>
      <c r="I60" s="22">
        <f t="shared" ref="I60:BQ60" si="49">I19*N2OGWP</f>
        <v>1203.2136219693348</v>
      </c>
      <c r="J60" s="22">
        <f t="shared" si="49"/>
        <v>1198.5061063384233</v>
      </c>
      <c r="K60" s="22">
        <f t="shared" si="49"/>
        <v>1173.7369968071926</v>
      </c>
      <c r="L60" s="22">
        <f t="shared" si="49"/>
        <v>1182.0093804828057</v>
      </c>
      <c r="M60" s="22">
        <f t="shared" si="49"/>
        <v>1146.8886267544892</v>
      </c>
      <c r="N60" s="22">
        <f t="shared" si="49"/>
        <v>1188.3958696738064</v>
      </c>
      <c r="O60" s="22">
        <f t="shared" si="49"/>
        <v>1252.6970048832511</v>
      </c>
      <c r="P60" s="22">
        <f t="shared" si="49"/>
        <v>1269.6218122686487</v>
      </c>
      <c r="Q60" s="22">
        <f t="shared" si="49"/>
        <v>1322.3148658073626</v>
      </c>
      <c r="R60" s="22">
        <f t="shared" si="49"/>
        <v>1346.6035779723059</v>
      </c>
      <c r="S60" s="22">
        <f t="shared" si="49"/>
        <v>1372.4487383044614</v>
      </c>
      <c r="T60" s="22">
        <f t="shared" si="49"/>
        <v>1356.5221314435626</v>
      </c>
      <c r="U60" s="22">
        <f t="shared" si="49"/>
        <v>1396.8463052232266</v>
      </c>
      <c r="V60" s="22">
        <f t="shared" si="49"/>
        <v>1373.0665004626433</v>
      </c>
      <c r="W60" s="22">
        <f t="shared" si="49"/>
        <v>1378.5802594390798</v>
      </c>
      <c r="X60" s="22">
        <f t="shared" si="49"/>
        <v>1425.1971500061302</v>
      </c>
      <c r="Y60" s="22">
        <f t="shared" si="49"/>
        <v>1466.623959325211</v>
      </c>
      <c r="Z60" s="22">
        <f t="shared" si="49"/>
        <v>1512.7966811111032</v>
      </c>
      <c r="AA60" s="22">
        <f t="shared" si="49"/>
        <v>1539.5804780764847</v>
      </c>
      <c r="AB60" s="22">
        <f t="shared" si="49"/>
        <v>1507.0434874225361</v>
      </c>
      <c r="AC60" s="22">
        <f t="shared" si="49"/>
        <v>1516.5605848321243</v>
      </c>
      <c r="AD60" s="22">
        <f t="shared" si="49"/>
        <v>1570.0225026545761</v>
      </c>
      <c r="AE60" s="22">
        <f t="shared" si="49"/>
        <v>1624.6372261307567</v>
      </c>
      <c r="AF60" s="22">
        <f t="shared" si="49"/>
        <v>1644.7201872134187</v>
      </c>
      <c r="AG60" s="22">
        <f t="shared" si="49"/>
        <v>1652.278567660903</v>
      </c>
      <c r="AH60" s="22">
        <f t="shared" si="49"/>
        <v>1642.5799481628237</v>
      </c>
      <c r="AI60" s="22">
        <f t="shared" si="49"/>
        <v>1633.3693680269034</v>
      </c>
      <c r="AJ60" s="22">
        <f t="shared" si="49"/>
        <v>1633.2534061095882</v>
      </c>
      <c r="AK60" s="22">
        <f t="shared" si="49"/>
        <v>1636.1197720898767</v>
      </c>
      <c r="AL60" s="22">
        <f t="shared" si="49"/>
        <v>1621.2074368618501</v>
      </c>
      <c r="AM60" s="22">
        <f t="shared" si="49"/>
        <v>1441.4619559724115</v>
      </c>
      <c r="AN60" s="22">
        <f t="shared" si="49"/>
        <v>1472.4073202587936</v>
      </c>
      <c r="AO60" s="22">
        <f t="shared" si="49"/>
        <v>1499.0444219072838</v>
      </c>
      <c r="AP60" s="22">
        <f t="shared" si="49"/>
        <v>1525.7586433035303</v>
      </c>
      <c r="AQ60" s="22">
        <f t="shared" si="49"/>
        <v>1559.4096157355314</v>
      </c>
      <c r="AR60" s="22">
        <f t="shared" si="49"/>
        <v>1593.1009264189975</v>
      </c>
      <c r="AS60" s="22">
        <f t="shared" si="49"/>
        <v>1628.7212759269312</v>
      </c>
      <c r="AT60" s="22">
        <f t="shared" si="49"/>
        <v>1662.7349086236418</v>
      </c>
      <c r="AU60" s="22">
        <f t="shared" si="49"/>
        <v>1699.463726378892</v>
      </c>
      <c r="AV60" s="22">
        <f t="shared" si="49"/>
        <v>1733.0429726704101</v>
      </c>
      <c r="AW60" s="22">
        <f t="shared" si="49"/>
        <v>1767.6108299651239</v>
      </c>
      <c r="AX60" s="22">
        <f t="shared" si="49"/>
        <v>1809.7950914952585</v>
      </c>
      <c r="AY60" s="22">
        <f t="shared" si="49"/>
        <v>1856.0368752018776</v>
      </c>
      <c r="AZ60" s="22">
        <f t="shared" si="49"/>
        <v>1903.9133342675466</v>
      </c>
      <c r="BA60" s="22">
        <f t="shared" si="49"/>
        <v>1900.2739512057267</v>
      </c>
      <c r="BB60" s="22">
        <f t="shared" si="49"/>
        <v>-587.74999411227577</v>
      </c>
      <c r="BC60" s="22">
        <f t="shared" si="49"/>
        <v>-587.27825557990616</v>
      </c>
      <c r="BD60" s="22">
        <f t="shared" si="49"/>
        <v>-586.89918391089338</v>
      </c>
      <c r="BE60" s="22">
        <f t="shared" si="49"/>
        <v>-586.60885915153483</v>
      </c>
      <c r="BF60" s="22">
        <f t="shared" si="49"/>
        <v>-586.4036583237787</v>
      </c>
      <c r="BG60" s="22">
        <f t="shared" si="49"/>
        <v>-586.28022728365454</v>
      </c>
      <c r="BH60" s="22">
        <f t="shared" si="49"/>
        <v>-585.77238144933699</v>
      </c>
      <c r="BI60" s="22">
        <f t="shared" si="49"/>
        <v>-585.3360952284894</v>
      </c>
      <c r="BJ60" s="22">
        <f t="shared" si="49"/>
        <v>-584.96860406358928</v>
      </c>
      <c r="BK60" s="22">
        <f t="shared" si="49"/>
        <v>-584.66732980850077</v>
      </c>
      <c r="BL60" s="22">
        <f t="shared" si="49"/>
        <v>-584.42986489722659</v>
      </c>
      <c r="BM60" s="22">
        <f t="shared" si="49"/>
        <v>-583.59574457992505</v>
      </c>
      <c r="BN60" s="22">
        <f t="shared" si="49"/>
        <v>-582.82208689660501</v>
      </c>
      <c r="BO60" s="22">
        <f t="shared" si="49"/>
        <v>-582.10673214220537</v>
      </c>
      <c r="BP60" s="22">
        <f t="shared" si="49"/>
        <v>-581.44765093146714</v>
      </c>
      <c r="BQ60" s="22">
        <f t="shared" si="49"/>
        <v>-580.84293420121003</v>
      </c>
    </row>
    <row r="61" spans="1:75" x14ac:dyDescent="0.25">
      <c r="C61" s="102" t="s">
        <v>634</v>
      </c>
      <c r="D61" t="str">
        <f>D27</f>
        <v>3C Aggregated and non-CO2 emissions on land</v>
      </c>
      <c r="E61" t="str">
        <f t="shared" ref="E61:G61" si="50">E27</f>
        <v>3C1 Biomass burning (CH4)</v>
      </c>
      <c r="F61" t="s">
        <v>634</v>
      </c>
      <c r="G61" t="str">
        <f t="shared" si="50"/>
        <v>CH4</v>
      </c>
      <c r="H61" t="s">
        <v>630</v>
      </c>
      <c r="I61" s="22">
        <f t="shared" ref="I61:BQ61" si="51">I27*CH4GWP</f>
        <v>1113.9523335609101</v>
      </c>
      <c r="J61" s="22">
        <f t="shared" si="51"/>
        <v>1113.9523335609101</v>
      </c>
      <c r="K61" s="22">
        <f t="shared" si="51"/>
        <v>1113.9523335609101</v>
      </c>
      <c r="L61" s="22">
        <f t="shared" si="51"/>
        <v>1113.9523335609101</v>
      </c>
      <c r="M61" s="22">
        <f t="shared" si="51"/>
        <v>1113.9523335609101</v>
      </c>
      <c r="N61" s="22">
        <f t="shared" si="51"/>
        <v>1113.9523335609101</v>
      </c>
      <c r="O61" s="22">
        <f t="shared" si="51"/>
        <v>1113.9523335609101</v>
      </c>
      <c r="P61" s="22">
        <f t="shared" si="51"/>
        <v>1113.9523335609101</v>
      </c>
      <c r="Q61" s="22">
        <f t="shared" si="51"/>
        <v>1113.9523335609101</v>
      </c>
      <c r="R61" s="22">
        <f t="shared" si="51"/>
        <v>1113.9523335609101</v>
      </c>
      <c r="S61" s="22">
        <f t="shared" si="51"/>
        <v>1103.4776992955053</v>
      </c>
      <c r="T61" s="22">
        <f t="shared" si="51"/>
        <v>1282.5517441798665</v>
      </c>
      <c r="U61" s="22">
        <f t="shared" si="51"/>
        <v>1288.9176046937982</v>
      </c>
      <c r="V61" s="22">
        <f t="shared" si="51"/>
        <v>1011.4345809085878</v>
      </c>
      <c r="W61" s="22">
        <f t="shared" si="51"/>
        <v>883.38003872679235</v>
      </c>
      <c r="X61" s="22">
        <f t="shared" si="51"/>
        <v>1412.334298727088</v>
      </c>
      <c r="Y61" s="22">
        <f t="shared" si="51"/>
        <v>1236.8838978672777</v>
      </c>
      <c r="Z61" s="22">
        <f t="shared" si="51"/>
        <v>1218.5771221263838</v>
      </c>
      <c r="AA61" s="22">
        <f t="shared" si="51"/>
        <v>1139.8644942847</v>
      </c>
      <c r="AB61" s="22">
        <f t="shared" si="51"/>
        <v>1078.8713756473658</v>
      </c>
      <c r="AC61" s="22">
        <f t="shared" si="51"/>
        <v>1107.055106514</v>
      </c>
      <c r="AD61" s="22">
        <f t="shared" si="51"/>
        <v>1093.3943713178221</v>
      </c>
      <c r="AE61" s="22">
        <f t="shared" si="51"/>
        <v>916.39904428073066</v>
      </c>
      <c r="AF61" s="22">
        <f t="shared" si="51"/>
        <v>957.70927900519757</v>
      </c>
      <c r="AG61" s="22">
        <f t="shared" si="51"/>
        <v>944.27038684966465</v>
      </c>
      <c r="AH61" s="22">
        <f t="shared" si="51"/>
        <v>931.78327853413111</v>
      </c>
      <c r="AI61" s="22">
        <f t="shared" si="51"/>
        <v>941.79408509859809</v>
      </c>
      <c r="AJ61" s="22">
        <f t="shared" si="51"/>
        <v>950.68729182306481</v>
      </c>
      <c r="AK61" s="22">
        <f t="shared" si="51"/>
        <v>953.20321518753167</v>
      </c>
      <c r="AL61" s="22">
        <f t="shared" si="51"/>
        <v>956.763261286947</v>
      </c>
      <c r="AM61" s="22">
        <f t="shared" si="51"/>
        <v>960.32330738636199</v>
      </c>
      <c r="AN61" s="22">
        <f t="shared" si="51"/>
        <v>963.88335348577709</v>
      </c>
      <c r="AO61" s="22">
        <f t="shared" si="51"/>
        <v>967.44339958519208</v>
      </c>
      <c r="AP61" s="22">
        <f t="shared" si="51"/>
        <v>971.0034456846073</v>
      </c>
      <c r="AQ61" s="22">
        <f t="shared" si="51"/>
        <v>974.56349178402229</v>
      </c>
      <c r="AR61" s="22">
        <f t="shared" si="51"/>
        <v>978.12353788343751</v>
      </c>
      <c r="AS61" s="22">
        <f t="shared" si="51"/>
        <v>981.68358398285261</v>
      </c>
      <c r="AT61" s="22">
        <f t="shared" si="51"/>
        <v>985.2436300822676</v>
      </c>
      <c r="AU61" s="22">
        <f t="shared" si="51"/>
        <v>988.8036761816827</v>
      </c>
      <c r="AV61" s="22">
        <f t="shared" si="51"/>
        <v>992.36372228109781</v>
      </c>
      <c r="AW61" s="22">
        <f t="shared" si="51"/>
        <v>995.92376838051302</v>
      </c>
      <c r="AX61" s="22">
        <f t="shared" si="51"/>
        <v>999.27215253115673</v>
      </c>
      <c r="AY61" s="22">
        <f t="shared" si="51"/>
        <v>1002.6205366818004</v>
      </c>
      <c r="AZ61" s="22">
        <f t="shared" si="51"/>
        <v>1005.9689208324443</v>
      </c>
      <c r="BA61" s="22">
        <f t="shared" si="51"/>
        <v>1009.317304983088</v>
      </c>
      <c r="BB61" s="22">
        <f t="shared" si="51"/>
        <v>1012.6656891337318</v>
      </c>
      <c r="BC61" s="22">
        <f t="shared" si="51"/>
        <v>1016.0140732843756</v>
      </c>
      <c r="BD61" s="22">
        <f t="shared" si="51"/>
        <v>1019.3624574350195</v>
      </c>
      <c r="BE61" s="22">
        <f t="shared" si="51"/>
        <v>1022.710841585663</v>
      </c>
      <c r="BF61" s="22">
        <f t="shared" si="51"/>
        <v>1025.7736963097952</v>
      </c>
      <c r="BG61" s="22">
        <f t="shared" si="51"/>
        <v>1028.836551033927</v>
      </c>
      <c r="BH61" s="22">
        <f t="shared" si="51"/>
        <v>1031.8994057580592</v>
      </c>
      <c r="BI61" s="22">
        <f t="shared" si="51"/>
        <v>1034.9622604821907</v>
      </c>
      <c r="BJ61" s="22">
        <f t="shared" si="51"/>
        <v>1038.0251152063229</v>
      </c>
      <c r="BK61" s="22">
        <f t="shared" si="51"/>
        <v>1041.0879699304548</v>
      </c>
      <c r="BL61" s="22">
        <f t="shared" si="51"/>
        <v>1044.1508246545868</v>
      </c>
      <c r="BM61" s="22">
        <f t="shared" si="51"/>
        <v>1047.2136793787188</v>
      </c>
      <c r="BN61" s="22">
        <f t="shared" si="51"/>
        <v>1050.2765341028507</v>
      </c>
      <c r="BO61" s="22">
        <f t="shared" si="51"/>
        <v>1053.3393888269827</v>
      </c>
      <c r="BP61" s="22">
        <f t="shared" si="51"/>
        <v>1056.4022435511147</v>
      </c>
      <c r="BQ61" s="22">
        <f t="shared" si="51"/>
        <v>1059.4650982752464</v>
      </c>
    </row>
    <row r="62" spans="1:75" x14ac:dyDescent="0.25">
      <c r="C62" s="102" t="s">
        <v>635</v>
      </c>
      <c r="D62" t="str">
        <f>D34</f>
        <v>3C Aggregated and non-CO2 emissions on land</v>
      </c>
      <c r="E62" t="str">
        <f t="shared" ref="E62:G62" si="52">E34</f>
        <v>3C1 Biomass burning (N2O)</v>
      </c>
      <c r="F62" t="s">
        <v>635</v>
      </c>
      <c r="G62" t="str">
        <f t="shared" si="52"/>
        <v>N2O</v>
      </c>
      <c r="H62" t="s">
        <v>630</v>
      </c>
      <c r="I62" s="22">
        <f t="shared" ref="I62:BQ62" si="53">I34*N2OGWP</f>
        <v>1149.3522600947301</v>
      </c>
      <c r="J62" s="22">
        <f t="shared" si="53"/>
        <v>1149.3522600947301</v>
      </c>
      <c r="K62" s="22">
        <f t="shared" si="53"/>
        <v>1149.3522600947301</v>
      </c>
      <c r="L62" s="22">
        <f t="shared" si="53"/>
        <v>1149.3522600947301</v>
      </c>
      <c r="M62" s="22">
        <f t="shared" si="53"/>
        <v>1149.3522600947301</v>
      </c>
      <c r="N62" s="22">
        <f t="shared" si="53"/>
        <v>1149.3522600947301</v>
      </c>
      <c r="O62" s="22">
        <f t="shared" si="53"/>
        <v>1149.3522600947301</v>
      </c>
      <c r="P62" s="22">
        <f t="shared" si="53"/>
        <v>1149.3522600947301</v>
      </c>
      <c r="Q62" s="22">
        <f t="shared" si="53"/>
        <v>1149.3522600947301</v>
      </c>
      <c r="R62" s="22">
        <f t="shared" si="53"/>
        <v>1149.3522600947301</v>
      </c>
      <c r="S62" s="22">
        <f t="shared" si="53"/>
        <v>1138.2881924240246</v>
      </c>
      <c r="T62" s="22">
        <f t="shared" si="53"/>
        <v>1347.8625366593228</v>
      </c>
      <c r="U62" s="22">
        <f t="shared" si="53"/>
        <v>1328.3690110437451</v>
      </c>
      <c r="V62" s="22">
        <f t="shared" si="53"/>
        <v>1017.5651134275211</v>
      </c>
      <c r="W62" s="22">
        <f t="shared" si="53"/>
        <v>914.67644691903695</v>
      </c>
      <c r="X62" s="22">
        <f t="shared" si="53"/>
        <v>1447.9112474339306</v>
      </c>
      <c r="Y62" s="22">
        <f t="shared" si="53"/>
        <v>1263.4019893034997</v>
      </c>
      <c r="Z62" s="22">
        <f t="shared" si="53"/>
        <v>1217.4357899565925</v>
      </c>
      <c r="AA62" s="22">
        <f t="shared" si="53"/>
        <v>1180.1818937292605</v>
      </c>
      <c r="AB62" s="22">
        <f t="shared" si="53"/>
        <v>1108.1395844539597</v>
      </c>
      <c r="AC62" s="22">
        <f t="shared" si="53"/>
        <v>1121.7567904983002</v>
      </c>
      <c r="AD62" s="22">
        <f t="shared" si="53"/>
        <v>1111.0832034573957</v>
      </c>
      <c r="AE62" s="22">
        <f t="shared" si="53"/>
        <v>957.90428313424388</v>
      </c>
      <c r="AF62" s="22">
        <f t="shared" si="53"/>
        <v>993.12814482495412</v>
      </c>
      <c r="AG62" s="22">
        <f t="shared" si="53"/>
        <v>983.64299307566409</v>
      </c>
      <c r="AH62" s="22">
        <f t="shared" si="53"/>
        <v>974.93508324637412</v>
      </c>
      <c r="AI62" s="22">
        <f t="shared" si="53"/>
        <v>984.5993308570844</v>
      </c>
      <c r="AJ62" s="22">
        <f t="shared" si="53"/>
        <v>993.3509285477943</v>
      </c>
      <c r="AK62" s="22">
        <f t="shared" si="53"/>
        <v>996.89473455850464</v>
      </c>
      <c r="AL62" s="22">
        <f t="shared" si="53"/>
        <v>1001.6941603201909</v>
      </c>
      <c r="AM62" s="22">
        <f t="shared" si="53"/>
        <v>1006.4935860818769</v>
      </c>
      <c r="AN62" s="22">
        <f t="shared" si="53"/>
        <v>1011.2930118435631</v>
      </c>
      <c r="AO62" s="22">
        <f t="shared" si="53"/>
        <v>1016.092437605249</v>
      </c>
      <c r="AP62" s="22">
        <f t="shared" si="53"/>
        <v>1020.8918633669354</v>
      </c>
      <c r="AQ62" s="22">
        <f t="shared" si="53"/>
        <v>1025.6912891286215</v>
      </c>
      <c r="AR62" s="22">
        <f t="shared" si="53"/>
        <v>1030.4907148903073</v>
      </c>
      <c r="AS62" s="22">
        <f t="shared" si="53"/>
        <v>1035.2901406519936</v>
      </c>
      <c r="AT62" s="22">
        <f t="shared" si="53"/>
        <v>1040.0895664136797</v>
      </c>
      <c r="AU62" s="22">
        <f t="shared" si="53"/>
        <v>1044.888992175366</v>
      </c>
      <c r="AV62" s="22">
        <f t="shared" si="53"/>
        <v>1049.688417937052</v>
      </c>
      <c r="AW62" s="22">
        <f t="shared" si="53"/>
        <v>1054.4878436987378</v>
      </c>
      <c r="AX62" s="22">
        <f t="shared" si="53"/>
        <v>1059.1536620734259</v>
      </c>
      <c r="AY62" s="22">
        <f t="shared" si="53"/>
        <v>1063.8194804481134</v>
      </c>
      <c r="AZ62" s="22">
        <f t="shared" si="53"/>
        <v>1068.4852988228013</v>
      </c>
      <c r="BA62" s="22">
        <f t="shared" si="53"/>
        <v>1073.1511171974894</v>
      </c>
      <c r="BB62" s="22">
        <f t="shared" si="53"/>
        <v>1077.816935572177</v>
      </c>
      <c r="BC62" s="22">
        <f t="shared" si="53"/>
        <v>1082.4827539468647</v>
      </c>
      <c r="BD62" s="22">
        <f t="shared" si="53"/>
        <v>1087.1485723215524</v>
      </c>
      <c r="BE62" s="22">
        <f t="shared" si="53"/>
        <v>1091.8143906962403</v>
      </c>
      <c r="BF62" s="22">
        <f t="shared" si="53"/>
        <v>1096.2470411704533</v>
      </c>
      <c r="BG62" s="22">
        <f t="shared" si="53"/>
        <v>1100.6796916446663</v>
      </c>
      <c r="BH62" s="22">
        <f t="shared" si="53"/>
        <v>1105.1123421188793</v>
      </c>
      <c r="BI62" s="22">
        <f t="shared" si="53"/>
        <v>1109.5449925930925</v>
      </c>
      <c r="BJ62" s="22">
        <f t="shared" si="53"/>
        <v>1113.9776430673055</v>
      </c>
      <c r="BK62" s="22">
        <f t="shared" si="53"/>
        <v>1118.4102935415185</v>
      </c>
      <c r="BL62" s="22">
        <f t="shared" si="53"/>
        <v>1122.8429440157317</v>
      </c>
      <c r="BM62" s="22">
        <f t="shared" si="53"/>
        <v>1127.2755944899448</v>
      </c>
      <c r="BN62" s="22">
        <f t="shared" si="53"/>
        <v>1131.7082449641578</v>
      </c>
      <c r="BO62" s="22">
        <f t="shared" si="53"/>
        <v>1136.1408954383708</v>
      </c>
      <c r="BP62" s="22">
        <f t="shared" si="53"/>
        <v>1140.5735459125838</v>
      </c>
      <c r="BQ62" s="22">
        <f t="shared" si="53"/>
        <v>1145.0061963867968</v>
      </c>
    </row>
    <row r="63" spans="1:75" x14ac:dyDescent="0.25">
      <c r="C63" s="102" t="s">
        <v>113</v>
      </c>
      <c r="D63" t="str">
        <f>D41</f>
        <v>3C Aggregated and non-CO2 emissions on land</v>
      </c>
      <c r="E63" t="str">
        <f t="shared" ref="E63:BP64" si="54">E41</f>
        <v>3C2 Liming (CO2)</v>
      </c>
      <c r="F63" t="s">
        <v>113</v>
      </c>
      <c r="G63" t="str">
        <f t="shared" si="54"/>
        <v>CO2</v>
      </c>
      <c r="H63" t="s">
        <v>630</v>
      </c>
      <c r="I63" s="22">
        <f t="shared" si="54"/>
        <v>357.5</v>
      </c>
      <c r="J63" s="22">
        <f t="shared" si="54"/>
        <v>378.125</v>
      </c>
      <c r="K63" s="22">
        <f t="shared" si="54"/>
        <v>261.25</v>
      </c>
      <c r="L63" s="22">
        <f t="shared" si="54"/>
        <v>412.5</v>
      </c>
      <c r="M63" s="22">
        <f t="shared" si="54"/>
        <v>595.58170833333327</v>
      </c>
      <c r="N63" s="22">
        <f t="shared" si="54"/>
        <v>473.34145833333332</v>
      </c>
      <c r="O63" s="22">
        <f t="shared" si="54"/>
        <v>579.13625000000002</v>
      </c>
      <c r="P63" s="22">
        <f t="shared" si="54"/>
        <v>547.24312499999996</v>
      </c>
      <c r="Q63" s="22">
        <f t="shared" si="54"/>
        <v>570.31379166666659</v>
      </c>
      <c r="R63" s="22">
        <f t="shared" si="54"/>
        <v>567.03808333333325</v>
      </c>
      <c r="S63" s="22">
        <f t="shared" si="54"/>
        <v>378.2405</v>
      </c>
      <c r="T63" s="22">
        <f t="shared" si="54"/>
        <v>489.66362500000002</v>
      </c>
      <c r="U63" s="22">
        <f t="shared" si="54"/>
        <v>672.79437500000006</v>
      </c>
      <c r="V63" s="22">
        <f t="shared" si="54"/>
        <v>580.13175000000001</v>
      </c>
      <c r="W63" s="22">
        <f t="shared" si="54"/>
        <v>579.7403333333333</v>
      </c>
      <c r="X63" s="22">
        <f t="shared" si="54"/>
        <v>266.03683333333333</v>
      </c>
      <c r="Y63" s="22">
        <f t="shared" si="54"/>
        <v>441.42908333333332</v>
      </c>
      <c r="Z63" s="22">
        <f t="shared" si="54"/>
        <v>521.42108333333329</v>
      </c>
      <c r="AA63" s="22">
        <f t="shared" si="54"/>
        <v>655.32637499999998</v>
      </c>
      <c r="AB63" s="22">
        <f t="shared" si="54"/>
        <v>695.56775237855516</v>
      </c>
      <c r="AC63" s="22">
        <f t="shared" si="54"/>
        <v>653.23730656422072</v>
      </c>
      <c r="AD63" s="22">
        <f t="shared" si="54"/>
        <v>722.61220387104663</v>
      </c>
      <c r="AE63" s="22">
        <f t="shared" si="54"/>
        <v>886.46691832724639</v>
      </c>
      <c r="AF63" s="22">
        <f t="shared" si="54"/>
        <v>888.8539802377943</v>
      </c>
      <c r="AG63" s="22">
        <f t="shared" si="54"/>
        <v>892.11591690555679</v>
      </c>
      <c r="AH63" s="22">
        <f t="shared" si="54"/>
        <v>894.48365036682526</v>
      </c>
      <c r="AI63" s="22">
        <f t="shared" si="54"/>
        <v>895.63671892685147</v>
      </c>
      <c r="AJ63" s="22">
        <f t="shared" si="54"/>
        <v>896.77480880606822</v>
      </c>
      <c r="AK63" s="22">
        <f t="shared" si="54"/>
        <v>898.49646270469111</v>
      </c>
      <c r="AL63" s="22">
        <f t="shared" si="54"/>
        <v>900.38142148545217</v>
      </c>
      <c r="AM63" s="22">
        <f t="shared" si="54"/>
        <v>900.99830242057169</v>
      </c>
      <c r="AN63" s="22">
        <f t="shared" si="54"/>
        <v>889.66719901995361</v>
      </c>
      <c r="AO63" s="22">
        <f t="shared" si="54"/>
        <v>893.20175352101023</v>
      </c>
      <c r="AP63" s="22">
        <f t="shared" si="54"/>
        <v>896.37958965851215</v>
      </c>
      <c r="AQ63" s="22">
        <f t="shared" si="54"/>
        <v>899.52796651639687</v>
      </c>
      <c r="AR63" s="22">
        <f t="shared" si="54"/>
        <v>903.14197529554713</v>
      </c>
      <c r="AS63" s="22">
        <f t="shared" si="54"/>
        <v>906.71675954110367</v>
      </c>
      <c r="AT63" s="22">
        <f t="shared" si="54"/>
        <v>910.34114366574249</v>
      </c>
      <c r="AU63" s="22">
        <f t="shared" si="54"/>
        <v>913.8112544636009</v>
      </c>
      <c r="AV63" s="22">
        <f t="shared" si="54"/>
        <v>917.42968502221754</v>
      </c>
      <c r="AW63" s="22">
        <f t="shared" si="54"/>
        <v>920.79096517926757</v>
      </c>
      <c r="AX63" s="22">
        <f t="shared" si="54"/>
        <v>924.18223016555146</v>
      </c>
      <c r="AY63" s="22">
        <f t="shared" si="54"/>
        <v>928.12851356454928</v>
      </c>
      <c r="AZ63" s="22">
        <f t="shared" si="54"/>
        <v>932.29458147366915</v>
      </c>
      <c r="BA63" s="22">
        <f t="shared" si="54"/>
        <v>936.51320053616291</v>
      </c>
      <c r="BB63" s="22">
        <f t="shared" si="54"/>
        <v>937.35041504811659</v>
      </c>
      <c r="BC63" s="22">
        <f t="shared" si="54"/>
        <v>589.44115069085547</v>
      </c>
      <c r="BD63" s="22">
        <f t="shared" si="54"/>
        <v>588.82564419868595</v>
      </c>
      <c r="BE63" s="22">
        <f t="shared" si="54"/>
        <v>588.20365849957375</v>
      </c>
      <c r="BF63" s="22">
        <f t="shared" si="54"/>
        <v>587.5751043341877</v>
      </c>
      <c r="BG63" s="22">
        <f t="shared" si="54"/>
        <v>586.93989076430898</v>
      </c>
      <c r="BH63" s="22">
        <f t="shared" si="54"/>
        <v>586.29792513092821</v>
      </c>
      <c r="BI63" s="22">
        <f t="shared" si="54"/>
        <v>585.74764217221855</v>
      </c>
      <c r="BJ63" s="22">
        <f t="shared" si="54"/>
        <v>585.19236759087596</v>
      </c>
      <c r="BK63" s="22">
        <f t="shared" si="54"/>
        <v>584.6320416605073</v>
      </c>
      <c r="BL63" s="22">
        <f t="shared" si="54"/>
        <v>584.06660367487802</v>
      </c>
      <c r="BM63" s="22">
        <f t="shared" si="54"/>
        <v>583.49599192657536</v>
      </c>
      <c r="BN63" s="22">
        <f t="shared" si="54"/>
        <v>583.02281981030717</v>
      </c>
      <c r="BO63" s="22">
        <f t="shared" si="54"/>
        <v>582.54607093944685</v>
      </c>
      <c r="BP63" s="22">
        <f t="shared" si="54"/>
        <v>582.06570941053144</v>
      </c>
      <c r="BQ63" s="22">
        <f t="shared" ref="BQ63:BQ64" si="55">BQ41</f>
        <v>581.58169882431378</v>
      </c>
    </row>
    <row r="64" spans="1:75" x14ac:dyDescent="0.25">
      <c r="C64" s="102" t="s">
        <v>636</v>
      </c>
      <c r="D64" t="str">
        <f>D42</f>
        <v>3C Aggregated and non-CO2 emissions on land</v>
      </c>
      <c r="E64" t="str">
        <f>E42</f>
        <v>3C3 Urea application (CO2)</v>
      </c>
      <c r="F64" t="s">
        <v>636</v>
      </c>
      <c r="G64" t="str">
        <f>G42</f>
        <v>CO2</v>
      </c>
      <c r="H64" t="s">
        <v>630</v>
      </c>
      <c r="I64" s="22">
        <f>I42</f>
        <v>90.994567483487728</v>
      </c>
      <c r="J64" s="22">
        <f t="shared" si="54"/>
        <v>111.62690198838213</v>
      </c>
      <c r="K64" s="22">
        <f t="shared" si="54"/>
        <v>132.25923649327655</v>
      </c>
      <c r="L64" s="22">
        <f t="shared" si="54"/>
        <v>152.89157099816552</v>
      </c>
      <c r="M64" s="22">
        <f t="shared" si="54"/>
        <v>173.52390550305992</v>
      </c>
      <c r="N64" s="22">
        <f t="shared" si="54"/>
        <v>194.15624000795432</v>
      </c>
      <c r="O64" s="22">
        <f t="shared" si="54"/>
        <v>214.78857451284878</v>
      </c>
      <c r="P64" s="22">
        <f t="shared" si="54"/>
        <v>235.42090901774316</v>
      </c>
      <c r="Q64" s="22">
        <f t="shared" si="54"/>
        <v>256.05324352263762</v>
      </c>
      <c r="R64" s="22">
        <f t="shared" si="54"/>
        <v>276.68557802753202</v>
      </c>
      <c r="S64" s="22">
        <f t="shared" si="54"/>
        <v>297.31791253242642</v>
      </c>
      <c r="T64" s="22">
        <f t="shared" si="54"/>
        <v>317.95024703732088</v>
      </c>
      <c r="U64" s="22">
        <f t="shared" si="54"/>
        <v>338.58258154220977</v>
      </c>
      <c r="V64" s="22">
        <f t="shared" si="54"/>
        <v>359.21491604710423</v>
      </c>
      <c r="W64" s="22">
        <f t="shared" si="54"/>
        <v>435.89846666666671</v>
      </c>
      <c r="X64" s="22">
        <f t="shared" si="54"/>
        <v>355.08659999999998</v>
      </c>
      <c r="Y64" s="22">
        <f t="shared" si="54"/>
        <v>393.08573333333334</v>
      </c>
      <c r="Z64" s="22">
        <f t="shared" si="54"/>
        <v>484.55366666666663</v>
      </c>
      <c r="AA64" s="22">
        <f t="shared" si="54"/>
        <v>480.19253333333336</v>
      </c>
      <c r="AB64" s="22">
        <f t="shared" si="54"/>
        <v>380.54426666666666</v>
      </c>
      <c r="AC64" s="22">
        <f t="shared" si="54"/>
        <v>501.48046666666664</v>
      </c>
      <c r="AD64" s="22">
        <f t="shared" si="54"/>
        <v>571.19113333333337</v>
      </c>
      <c r="AE64" s="22">
        <f t="shared" si="54"/>
        <v>470.0955092083982</v>
      </c>
      <c r="AF64" s="22">
        <f t="shared" si="54"/>
        <v>470.03536519379952</v>
      </c>
      <c r="AG64" s="22">
        <f t="shared" si="54"/>
        <v>469.95317798043089</v>
      </c>
      <c r="AH64" s="22">
        <f t="shared" si="54"/>
        <v>469.89352096222319</v>
      </c>
      <c r="AI64" s="22">
        <f t="shared" si="54"/>
        <v>469.86446843869999</v>
      </c>
      <c r="AJ64" s="22">
        <f t="shared" si="54"/>
        <v>469.83579331552539</v>
      </c>
      <c r="AK64" s="22">
        <f t="shared" si="54"/>
        <v>469.79241481044551</v>
      </c>
      <c r="AL64" s="22">
        <f t="shared" si="54"/>
        <v>469.7449217027355</v>
      </c>
      <c r="AM64" s="22">
        <f t="shared" si="54"/>
        <v>469.72937887336718</v>
      </c>
      <c r="AN64" s="22">
        <f t="shared" si="54"/>
        <v>470.01487546871522</v>
      </c>
      <c r="AO64" s="22">
        <f t="shared" si="54"/>
        <v>469.92581942179322</v>
      </c>
      <c r="AP64" s="22">
        <f t="shared" si="54"/>
        <v>469.84575119138754</v>
      </c>
      <c r="AQ64" s="22">
        <f t="shared" si="54"/>
        <v>469.76642521208788</v>
      </c>
      <c r="AR64" s="22">
        <f t="shared" si="54"/>
        <v>469.67536724839931</v>
      </c>
      <c r="AS64" s="22">
        <f t="shared" si="54"/>
        <v>469.58529757953056</v>
      </c>
      <c r="AT64" s="22">
        <f t="shared" si="54"/>
        <v>469.49397820036393</v>
      </c>
      <c r="AU64" s="22">
        <f t="shared" si="54"/>
        <v>469.40654586626169</v>
      </c>
      <c r="AV64" s="22">
        <f t="shared" si="54"/>
        <v>469.31537649215352</v>
      </c>
      <c r="AW64" s="22">
        <f t="shared" si="54"/>
        <v>469.23068623676357</v>
      </c>
      <c r="AX64" s="22">
        <f t="shared" si="54"/>
        <v>469.14524048860676</v>
      </c>
      <c r="AY64" s="22">
        <f t="shared" si="54"/>
        <v>469.04581058889983</v>
      </c>
      <c r="AZ64" s="22">
        <f t="shared" si="54"/>
        <v>468.94084303525642</v>
      </c>
      <c r="BA64" s="22">
        <f t="shared" si="54"/>
        <v>468.83455141149926</v>
      </c>
      <c r="BB64" s="22">
        <f t="shared" si="54"/>
        <v>468.81345709400091</v>
      </c>
      <c r="BC64" s="22">
        <f t="shared" si="54"/>
        <v>477.57932101318937</v>
      </c>
      <c r="BD64" s="22">
        <f t="shared" si="54"/>
        <v>477.59482921232205</v>
      </c>
      <c r="BE64" s="22">
        <f t="shared" si="54"/>
        <v>477.61050066047437</v>
      </c>
      <c r="BF64" s="22">
        <f t="shared" si="54"/>
        <v>477.6263376066097</v>
      </c>
      <c r="BG64" s="22">
        <f t="shared" si="54"/>
        <v>477.64234234199222</v>
      </c>
      <c r="BH64" s="22">
        <f t="shared" si="54"/>
        <v>477.658517201243</v>
      </c>
      <c r="BI64" s="22">
        <f t="shared" si="54"/>
        <v>477.67238203908232</v>
      </c>
      <c r="BJ64" s="22">
        <f t="shared" si="54"/>
        <v>477.68637264501467</v>
      </c>
      <c r="BK64" s="22">
        <f t="shared" si="54"/>
        <v>477.70049052389624</v>
      </c>
      <c r="BL64" s="22">
        <f t="shared" si="54"/>
        <v>477.71473720527149</v>
      </c>
      <c r="BM64" s="22">
        <f t="shared" si="54"/>
        <v>477.72911424390975</v>
      </c>
      <c r="BN64" s="22">
        <f t="shared" si="54"/>
        <v>477.74103620979719</v>
      </c>
      <c r="BO64" s="22">
        <f t="shared" si="54"/>
        <v>477.75304829499794</v>
      </c>
      <c r="BP64" s="22">
        <f t="shared" si="54"/>
        <v>477.76515140412982</v>
      </c>
      <c r="BQ64" s="22">
        <f t="shared" si="55"/>
        <v>477.77734645430195</v>
      </c>
    </row>
    <row r="65" spans="1:75" x14ac:dyDescent="0.25">
      <c r="C65" s="102" t="s">
        <v>637</v>
      </c>
      <c r="D65" t="str">
        <f>D43</f>
        <v>3C Aggregated and non-CO2 emissions on land</v>
      </c>
      <c r="E65" t="str">
        <f>E43</f>
        <v>3C4 Direct N2O from managed soils (N2O)</v>
      </c>
      <c r="F65" t="s">
        <v>637</v>
      </c>
      <c r="G65" t="str">
        <f>G43</f>
        <v>N2O</v>
      </c>
      <c r="H65" t="s">
        <v>630</v>
      </c>
      <c r="I65" s="22">
        <f t="shared" ref="I65:BQ65" si="56">I43*N2OGWP</f>
        <v>17234.945188957758</v>
      </c>
      <c r="J65" s="22">
        <f t="shared" si="56"/>
        <v>17138.765396452436</v>
      </c>
      <c r="K65" s="22">
        <f t="shared" si="56"/>
        <v>16960.127770495583</v>
      </c>
      <c r="L65" s="22">
        <f t="shared" si="56"/>
        <v>16803.735149602126</v>
      </c>
      <c r="M65" s="22">
        <f t="shared" si="56"/>
        <v>16399.077593729395</v>
      </c>
      <c r="N65" s="22">
        <f t="shared" si="56"/>
        <v>16093.852453046611</v>
      </c>
      <c r="O65" s="22">
        <f t="shared" si="56"/>
        <v>16787.257516886875</v>
      </c>
      <c r="P65" s="22">
        <f t="shared" si="56"/>
        <v>17078.559429282075</v>
      </c>
      <c r="Q65" s="22">
        <f t="shared" si="56"/>
        <v>17190.260728412712</v>
      </c>
      <c r="R65" s="22">
        <f t="shared" si="56"/>
        <v>17155.676993630408</v>
      </c>
      <c r="S65" s="22">
        <f t="shared" si="56"/>
        <v>17021.790519603233</v>
      </c>
      <c r="T65" s="22">
        <f t="shared" si="56"/>
        <v>16558.862650160001</v>
      </c>
      <c r="U65" s="22">
        <f t="shared" si="56"/>
        <v>16957.948472333181</v>
      </c>
      <c r="V65" s="22">
        <f t="shared" si="56"/>
        <v>16769.907146505077</v>
      </c>
      <c r="W65" s="22">
        <f t="shared" si="56"/>
        <v>16584.658063779349</v>
      </c>
      <c r="X65" s="22">
        <f t="shared" si="56"/>
        <v>16201.588190693865</v>
      </c>
      <c r="Y65" s="22">
        <f t="shared" si="56"/>
        <v>16229.541461457171</v>
      </c>
      <c r="Z65" s="22">
        <f t="shared" si="56"/>
        <v>16847.135336493091</v>
      </c>
      <c r="AA65" s="22">
        <f t="shared" si="56"/>
        <v>16894.02920900529</v>
      </c>
      <c r="AB65" s="22">
        <f t="shared" si="56"/>
        <v>16779.254174947899</v>
      </c>
      <c r="AC65" s="22">
        <f t="shared" si="56"/>
        <v>16465.845558736135</v>
      </c>
      <c r="AD65" s="22">
        <f t="shared" si="56"/>
        <v>16468.339195121422</v>
      </c>
      <c r="AE65" s="22">
        <f t="shared" si="56"/>
        <v>17234.31530267384</v>
      </c>
      <c r="AF65" s="22">
        <f t="shared" si="56"/>
        <v>17196.188343074369</v>
      </c>
      <c r="AG65" s="22">
        <f t="shared" si="56"/>
        <v>17089.874341770246</v>
      </c>
      <c r="AH65" s="22">
        <f t="shared" si="56"/>
        <v>16891.51534186734</v>
      </c>
      <c r="AI65" s="22">
        <f t="shared" si="56"/>
        <v>16700.676726259917</v>
      </c>
      <c r="AJ65" s="22">
        <f t="shared" si="56"/>
        <v>16563.164145336694</v>
      </c>
      <c r="AK65" s="22">
        <f t="shared" si="56"/>
        <v>16443.609206621019</v>
      </c>
      <c r="AL65" s="22">
        <f t="shared" si="56"/>
        <v>16235.51593180792</v>
      </c>
      <c r="AM65" s="22">
        <f t="shared" si="56"/>
        <v>15210.663211639085</v>
      </c>
      <c r="AN65" s="22">
        <f t="shared" si="56"/>
        <v>15184.89439965467</v>
      </c>
      <c r="AO65" s="22">
        <f t="shared" si="56"/>
        <v>15148.165340057394</v>
      </c>
      <c r="AP65" s="22">
        <f t="shared" si="56"/>
        <v>15110.15183150861</v>
      </c>
      <c r="AQ65" s="22">
        <f t="shared" si="56"/>
        <v>15102.780403130359</v>
      </c>
      <c r="AR65" s="22">
        <f t="shared" si="56"/>
        <v>15093.391850285252</v>
      </c>
      <c r="AS65" s="22">
        <f t="shared" si="56"/>
        <v>15084.052378520191</v>
      </c>
      <c r="AT65" s="22">
        <f t="shared" si="56"/>
        <v>15064.953169818977</v>
      </c>
      <c r="AU65" s="22">
        <f t="shared" si="56"/>
        <v>15054.904404086168</v>
      </c>
      <c r="AV65" s="22">
        <f t="shared" si="56"/>
        <v>15028.847018243463</v>
      </c>
      <c r="AW65" s="22">
        <f t="shared" si="56"/>
        <v>15004.345810300967</v>
      </c>
      <c r="AX65" s="22">
        <f t="shared" si="56"/>
        <v>14990.928442917835</v>
      </c>
      <c r="AY65" s="22">
        <f t="shared" si="56"/>
        <v>14988.660766628456</v>
      </c>
      <c r="AZ65" s="22">
        <f t="shared" si="56"/>
        <v>14986.884084304567</v>
      </c>
      <c r="BA65" s="22">
        <f t="shared" si="56"/>
        <v>14782.983199947421</v>
      </c>
      <c r="BB65" s="22">
        <f t="shared" si="56"/>
        <v>5332.7929011079386</v>
      </c>
      <c r="BC65" s="22">
        <f t="shared" si="56"/>
        <v>5051.9618589123584</v>
      </c>
      <c r="BD65" s="22">
        <f t="shared" si="56"/>
        <v>5058.1553422083798</v>
      </c>
      <c r="BE65" s="22">
        <f t="shared" si="56"/>
        <v>5063.9464877183527</v>
      </c>
      <c r="BF65" s="22">
        <f t="shared" si="56"/>
        <v>5069.3571090635332</v>
      </c>
      <c r="BG65" s="22">
        <f t="shared" si="56"/>
        <v>5074.4076677230087</v>
      </c>
      <c r="BH65" s="22">
        <f t="shared" si="56"/>
        <v>5106.1696443746096</v>
      </c>
      <c r="BI65" s="22">
        <f t="shared" si="56"/>
        <v>5137.7229043267771</v>
      </c>
      <c r="BJ65" s="22">
        <f t="shared" si="56"/>
        <v>5168.9993008908332</v>
      </c>
      <c r="BK65" s="22">
        <f t="shared" si="56"/>
        <v>5200.0109702933241</v>
      </c>
      <c r="BL65" s="22">
        <f t="shared" si="56"/>
        <v>5230.769376366291</v>
      </c>
      <c r="BM65" s="22">
        <f t="shared" si="56"/>
        <v>5259.5960344322248</v>
      </c>
      <c r="BN65" s="22">
        <f t="shared" si="56"/>
        <v>5288.2322004006664</v>
      </c>
      <c r="BO65" s="22">
        <f t="shared" si="56"/>
        <v>5316.6031408573972</v>
      </c>
      <c r="BP65" s="22">
        <f t="shared" si="56"/>
        <v>5344.7182888555435</v>
      </c>
      <c r="BQ65" s="22">
        <f t="shared" si="56"/>
        <v>5372.5866062233918</v>
      </c>
    </row>
    <row r="66" spans="1:75" x14ac:dyDescent="0.25">
      <c r="C66" s="102" t="s">
        <v>639</v>
      </c>
      <c r="D66" t="str">
        <f>D49</f>
        <v>3C Aggregated and non-CO2 emissions on land</v>
      </c>
      <c r="E66" t="str">
        <f t="shared" ref="E66:G66" si="57">E49</f>
        <v>3C5 Indirect N2O from managed soils (N2O)</v>
      </c>
      <c r="F66" t="s">
        <v>639</v>
      </c>
      <c r="G66" t="str">
        <f t="shared" si="57"/>
        <v>N2O</v>
      </c>
      <c r="H66" t="s">
        <v>630</v>
      </c>
      <c r="I66" s="22">
        <f t="shared" ref="I66:BQ66" si="58">I49*N2OGWP</f>
        <v>2234.5052500528623</v>
      </c>
      <c r="J66" s="22">
        <f t="shared" si="58"/>
        <v>2211.6980958305289</v>
      </c>
      <c r="K66" s="22">
        <f t="shared" si="58"/>
        <v>2169.3378787889174</v>
      </c>
      <c r="L66" s="22">
        <f t="shared" si="58"/>
        <v>2126.2561830378841</v>
      </c>
      <c r="M66" s="22">
        <f t="shared" si="58"/>
        <v>2070.6768821954438</v>
      </c>
      <c r="N66" s="22">
        <f t="shared" si="58"/>
        <v>2062.5720723240188</v>
      </c>
      <c r="O66" s="22">
        <f t="shared" si="58"/>
        <v>2132.94216183253</v>
      </c>
      <c r="P66" s="22">
        <f t="shared" si="58"/>
        <v>2154.8913400426786</v>
      </c>
      <c r="Q66" s="22">
        <f t="shared" si="58"/>
        <v>2185.5347534707471</v>
      </c>
      <c r="R66" s="22">
        <f t="shared" si="58"/>
        <v>2179.6281008084297</v>
      </c>
      <c r="S66" s="22">
        <f t="shared" si="58"/>
        <v>2155.7364466862405</v>
      </c>
      <c r="T66" s="22">
        <f t="shared" si="58"/>
        <v>2118.7727412938139</v>
      </c>
      <c r="U66" s="22">
        <f t="shared" si="58"/>
        <v>2149.2536347032101</v>
      </c>
      <c r="V66" s="22">
        <f t="shared" si="58"/>
        <v>2127.4292286069426</v>
      </c>
      <c r="W66" s="22">
        <f t="shared" si="58"/>
        <v>2110.5878909746098</v>
      </c>
      <c r="X66" s="22">
        <f t="shared" si="58"/>
        <v>2072.1483225191987</v>
      </c>
      <c r="Y66" s="22">
        <f t="shared" si="58"/>
        <v>2101.905941836299</v>
      </c>
      <c r="Z66" s="22">
        <f t="shared" si="58"/>
        <v>2151.2208658093541</v>
      </c>
      <c r="AA66" s="22">
        <f t="shared" si="58"/>
        <v>2156.0457121558738</v>
      </c>
      <c r="AB66" s="22">
        <f t="shared" si="58"/>
        <v>2149.2138525216237</v>
      </c>
      <c r="AC66" s="22">
        <f t="shared" si="58"/>
        <v>2105.3949279528888</v>
      </c>
      <c r="AD66" s="22">
        <f t="shared" si="58"/>
        <v>2110.5059697888632</v>
      </c>
      <c r="AE66" s="22">
        <f t="shared" si="58"/>
        <v>2060.9809092917803</v>
      </c>
      <c r="AF66" s="22">
        <f t="shared" si="58"/>
        <v>2057.9697083137771</v>
      </c>
      <c r="AG66" s="22">
        <f t="shared" si="58"/>
        <v>2046.6425698686694</v>
      </c>
      <c r="AH66" s="22">
        <f t="shared" si="58"/>
        <v>2024.1352837109996</v>
      </c>
      <c r="AI66" s="22">
        <f t="shared" si="58"/>
        <v>2002.7600912586975</v>
      </c>
      <c r="AJ66" s="22">
        <f t="shared" si="58"/>
        <v>1988.1116037068773</v>
      </c>
      <c r="AK66" s="22">
        <f t="shared" si="58"/>
        <v>1975.716442182129</v>
      </c>
      <c r="AL66" s="22">
        <f t="shared" si="58"/>
        <v>1952.3405431011215</v>
      </c>
      <c r="AM66" s="22">
        <f t="shared" si="58"/>
        <v>1827.0537950139717</v>
      </c>
      <c r="AN66" s="22">
        <f t="shared" si="58"/>
        <v>1829.6035256916837</v>
      </c>
      <c r="AO66" s="22">
        <f t="shared" si="58"/>
        <v>1829.6292315490666</v>
      </c>
      <c r="AP66" s="22">
        <f t="shared" si="58"/>
        <v>1829.5515051776101</v>
      </c>
      <c r="AQ66" s="22">
        <f t="shared" si="58"/>
        <v>1833.3975402388348</v>
      </c>
      <c r="AR66" s="22">
        <f t="shared" si="58"/>
        <v>1836.9999886280327</v>
      </c>
      <c r="AS66" s="22">
        <f t="shared" si="58"/>
        <v>1840.4326943271492</v>
      </c>
      <c r="AT66" s="22">
        <f t="shared" si="58"/>
        <v>1842.6454110749564</v>
      </c>
      <c r="AU66" s="22">
        <f t="shared" si="58"/>
        <v>1846.0688774024843</v>
      </c>
      <c r="AV66" s="22">
        <f t="shared" si="58"/>
        <v>1847.4311462286396</v>
      </c>
      <c r="AW66" s="22">
        <f t="shared" si="58"/>
        <v>1849.0285429802493</v>
      </c>
      <c r="AX66" s="22">
        <f t="shared" si="58"/>
        <v>1849.2514106927863</v>
      </c>
      <c r="AY66" s="22">
        <f t="shared" si="58"/>
        <v>1850.9003262986803</v>
      </c>
      <c r="AZ66" s="22">
        <f t="shared" si="58"/>
        <v>1852.6104372434656</v>
      </c>
      <c r="BA66" s="22">
        <f t="shared" si="58"/>
        <v>1827.8151795383662</v>
      </c>
      <c r="BB66" s="22">
        <f t="shared" si="58"/>
        <v>588.86481466793407</v>
      </c>
      <c r="BC66" s="22">
        <f t="shared" si="58"/>
        <v>582.64609965095258</v>
      </c>
      <c r="BD66" s="22">
        <f t="shared" si="58"/>
        <v>584.22917607021236</v>
      </c>
      <c r="BE66" s="22">
        <f t="shared" si="58"/>
        <v>585.79964300428253</v>
      </c>
      <c r="BF66" s="22">
        <f t="shared" si="58"/>
        <v>587.35916655421738</v>
      </c>
      <c r="BG66" s="22">
        <f t="shared" si="58"/>
        <v>588.90932107258311</v>
      </c>
      <c r="BH66" s="22">
        <f t="shared" si="58"/>
        <v>592.6560884258032</v>
      </c>
      <c r="BI66" s="22">
        <f t="shared" si="58"/>
        <v>596.39826598109687</v>
      </c>
      <c r="BJ66" s="22">
        <f t="shared" si="58"/>
        <v>600.13428279715424</v>
      </c>
      <c r="BK66" s="22">
        <f t="shared" si="58"/>
        <v>603.86481373474385</v>
      </c>
      <c r="BL66" s="22">
        <f t="shared" si="58"/>
        <v>607.59050215522927</v>
      </c>
      <c r="BM66" s="22">
        <f t="shared" si="58"/>
        <v>610.9380851068953</v>
      </c>
      <c r="BN66" s="22">
        <f t="shared" si="58"/>
        <v>614.27861156769279</v>
      </c>
      <c r="BO66" s="22">
        <f t="shared" si="58"/>
        <v>617.61023225199244</v>
      </c>
      <c r="BP66" s="22">
        <f t="shared" si="58"/>
        <v>620.93345687832459</v>
      </c>
      <c r="BQ66" s="22">
        <f t="shared" si="58"/>
        <v>624.24877289064693</v>
      </c>
    </row>
    <row r="67" spans="1:75" x14ac:dyDescent="0.25">
      <c r="C67" s="102" t="s">
        <v>638</v>
      </c>
      <c r="D67" t="str">
        <f>D52</f>
        <v>3C Aggregated and non-CO2 emissions on land</v>
      </c>
      <c r="E67" t="str">
        <f t="shared" ref="E67:G67" si="59">E52</f>
        <v>3C6 Indirect N2O from manure management (N2O)</v>
      </c>
      <c r="F67" t="s">
        <v>638</v>
      </c>
      <c r="G67" t="str">
        <f t="shared" si="59"/>
        <v>N2O</v>
      </c>
      <c r="H67" t="s">
        <v>630</v>
      </c>
      <c r="I67" s="22">
        <f t="shared" ref="I67:BQ67" si="60">I52*N2OGWP</f>
        <v>339.46668586955047</v>
      </c>
      <c r="J67" s="22">
        <f t="shared" si="60"/>
        <v>361.42056329374225</v>
      </c>
      <c r="K67" s="22">
        <f t="shared" si="60"/>
        <v>336.30759122420466</v>
      </c>
      <c r="L67" s="22">
        <f t="shared" si="60"/>
        <v>348.82410338247314</v>
      </c>
      <c r="M67" s="22">
        <f t="shared" si="60"/>
        <v>332.77692549973614</v>
      </c>
      <c r="N67" s="22">
        <f t="shared" si="60"/>
        <v>351.17073353759787</v>
      </c>
      <c r="O67" s="22">
        <f t="shared" si="60"/>
        <v>366.95943819746714</v>
      </c>
      <c r="P67" s="22">
        <f t="shared" si="60"/>
        <v>363.69601469759795</v>
      </c>
      <c r="Q67" s="22">
        <f t="shared" si="60"/>
        <v>372.77723801175745</v>
      </c>
      <c r="R67" s="22">
        <f t="shared" si="60"/>
        <v>376.69225137169252</v>
      </c>
      <c r="S67" s="22">
        <f t="shared" si="60"/>
        <v>416.19353174110165</v>
      </c>
      <c r="T67" s="22">
        <f t="shared" si="60"/>
        <v>413.8758977418791</v>
      </c>
      <c r="U67" s="22">
        <f t="shared" si="60"/>
        <v>402.12489933360166</v>
      </c>
      <c r="V67" s="22">
        <f t="shared" si="60"/>
        <v>382.08437212452515</v>
      </c>
      <c r="W67" s="22">
        <f t="shared" si="60"/>
        <v>379.738143309794</v>
      </c>
      <c r="X67" s="22">
        <f t="shared" si="60"/>
        <v>398.98840509467396</v>
      </c>
      <c r="Y67" s="22">
        <f t="shared" si="60"/>
        <v>404.11898883233295</v>
      </c>
      <c r="Z67" s="22">
        <f t="shared" si="60"/>
        <v>412.20171589966418</v>
      </c>
      <c r="AA67" s="22">
        <f t="shared" si="60"/>
        <v>446.09004051714021</v>
      </c>
      <c r="AB67" s="22">
        <f t="shared" si="60"/>
        <v>443.47274862625261</v>
      </c>
      <c r="AC67" s="22">
        <f t="shared" si="60"/>
        <v>446.04525464561482</v>
      </c>
      <c r="AD67" s="22">
        <f t="shared" si="60"/>
        <v>451.47082982836986</v>
      </c>
      <c r="AE67" s="22">
        <f t="shared" si="60"/>
        <v>466.79773129071555</v>
      </c>
      <c r="AF67" s="22">
        <f t="shared" si="60"/>
        <v>472.24760180276684</v>
      </c>
      <c r="AG67" s="22">
        <f t="shared" si="60"/>
        <v>474.81619568240438</v>
      </c>
      <c r="AH67" s="22">
        <f t="shared" si="60"/>
        <v>473.36007800468235</v>
      </c>
      <c r="AI67" s="22">
        <f t="shared" si="60"/>
        <v>472.06518231426617</v>
      </c>
      <c r="AJ67" s="22">
        <f t="shared" si="60"/>
        <v>472.97758730787314</v>
      </c>
      <c r="AK67" s="22">
        <f t="shared" si="60"/>
        <v>474.6349295201324</v>
      </c>
      <c r="AL67" s="22">
        <f t="shared" si="60"/>
        <v>472.08129188563532</v>
      </c>
      <c r="AM67" s="22">
        <f t="shared" si="60"/>
        <v>430.08913272981164</v>
      </c>
      <c r="AN67" s="22">
        <f t="shared" si="60"/>
        <v>437.6861450466792</v>
      </c>
      <c r="AO67" s="22">
        <f t="shared" si="60"/>
        <v>444.28136200166728</v>
      </c>
      <c r="AP67" s="22">
        <f t="shared" si="60"/>
        <v>450.92305594769965</v>
      </c>
      <c r="AQ67" s="22">
        <f t="shared" si="60"/>
        <v>459.25445479378772</v>
      </c>
      <c r="AR67" s="22">
        <f t="shared" si="60"/>
        <v>467.62238801610135</v>
      </c>
      <c r="AS67" s="22">
        <f t="shared" si="60"/>
        <v>476.40189483372899</v>
      </c>
      <c r="AT67" s="22">
        <f t="shared" si="60"/>
        <v>484.81959555984906</v>
      </c>
      <c r="AU67" s="22">
        <f t="shared" si="60"/>
        <v>493.91193877537575</v>
      </c>
      <c r="AV67" s="22">
        <f t="shared" si="60"/>
        <v>502.27011380991507</v>
      </c>
      <c r="AW67" s="22">
        <f t="shared" si="60"/>
        <v>510.88695094997445</v>
      </c>
      <c r="AX67" s="22">
        <f t="shared" si="60"/>
        <v>521.75988523067542</v>
      </c>
      <c r="AY67" s="22">
        <f t="shared" si="60"/>
        <v>533.64938399930281</v>
      </c>
      <c r="AZ67" s="22">
        <f t="shared" si="60"/>
        <v>545.97414157171659</v>
      </c>
      <c r="BA67" s="22">
        <f t="shared" si="60"/>
        <v>545.88995867239851</v>
      </c>
      <c r="BB67" s="22">
        <f t="shared" si="60"/>
        <v>-55.438851228511126</v>
      </c>
      <c r="BC67" s="22">
        <f t="shared" si="60"/>
        <v>-55.409421338350306</v>
      </c>
      <c r="BD67" s="22">
        <f t="shared" si="60"/>
        <v>-55.391885839492112</v>
      </c>
      <c r="BE67" s="22">
        <f t="shared" si="60"/>
        <v>-55.385676862160537</v>
      </c>
      <c r="BF67" s="22">
        <f t="shared" si="60"/>
        <v>-55.390270199603435</v>
      </c>
      <c r="BG67" s="22">
        <f t="shared" si="60"/>
        <v>-55.405181103974208</v>
      </c>
      <c r="BH67" s="22">
        <f t="shared" si="60"/>
        <v>-55.318318976403994</v>
      </c>
      <c r="BI67" s="22">
        <f t="shared" si="60"/>
        <v>-55.240958699136876</v>
      </c>
      <c r="BJ67" s="22">
        <f t="shared" si="60"/>
        <v>-55.172677763979813</v>
      </c>
      <c r="BK67" s="22">
        <f t="shared" si="60"/>
        <v>-55.113082413733387</v>
      </c>
      <c r="BL67" s="22">
        <f t="shared" si="60"/>
        <v>-55.061805164529432</v>
      </c>
      <c r="BM67" s="22">
        <f t="shared" si="60"/>
        <v>-54.917165234570398</v>
      </c>
      <c r="BN67" s="22">
        <f t="shared" si="60"/>
        <v>-54.780813725090503</v>
      </c>
      <c r="BO67" s="22">
        <f t="shared" si="60"/>
        <v>-54.652413269876774</v>
      </c>
      <c r="BP67" s="22">
        <f t="shared" si="60"/>
        <v>-54.531647073222899</v>
      </c>
      <c r="BQ67" s="22">
        <f t="shared" si="60"/>
        <v>-54.418217310343763</v>
      </c>
    </row>
    <row r="70" spans="1:75" s="19" customFormat="1" ht="15.75" x14ac:dyDescent="0.25">
      <c r="A70" s="104"/>
      <c r="B70" s="104"/>
      <c r="C70" s="104"/>
      <c r="D70" s="17" t="s">
        <v>716</v>
      </c>
      <c r="E70" s="17"/>
      <c r="F70" s="17"/>
      <c r="G70" s="17"/>
      <c r="H70" s="17"/>
      <c r="I70" s="17">
        <v>1990</v>
      </c>
      <c r="J70" s="17">
        <v>1991</v>
      </c>
      <c r="K70" s="17">
        <v>1992</v>
      </c>
      <c r="L70" s="17">
        <v>1993</v>
      </c>
      <c r="M70" s="17">
        <v>1994</v>
      </c>
      <c r="N70" s="17">
        <v>1995</v>
      </c>
      <c r="O70" s="17">
        <v>1996</v>
      </c>
      <c r="P70" s="17">
        <v>1997</v>
      </c>
      <c r="Q70" s="17">
        <v>1998</v>
      </c>
      <c r="R70" s="17">
        <v>1999</v>
      </c>
      <c r="S70" s="17">
        <v>2000</v>
      </c>
      <c r="T70" s="17">
        <v>2001</v>
      </c>
      <c r="U70" s="17">
        <v>2002</v>
      </c>
      <c r="V70" s="17">
        <v>2003</v>
      </c>
      <c r="W70" s="17">
        <v>2004</v>
      </c>
      <c r="X70" s="17">
        <v>2005</v>
      </c>
      <c r="Y70" s="17">
        <v>2006</v>
      </c>
      <c r="Z70" s="17">
        <v>2007</v>
      </c>
      <c r="AA70" s="17">
        <v>2008</v>
      </c>
      <c r="AB70" s="17">
        <v>2009</v>
      </c>
      <c r="AC70" s="17">
        <v>2010</v>
      </c>
      <c r="AD70" s="17">
        <v>2011</v>
      </c>
      <c r="AE70" s="17">
        <v>2012</v>
      </c>
      <c r="AF70" s="17">
        <v>2013</v>
      </c>
      <c r="AG70" s="17">
        <v>2014</v>
      </c>
      <c r="AH70" s="17">
        <v>2015</v>
      </c>
      <c r="AI70" s="17">
        <v>2016</v>
      </c>
      <c r="AJ70" s="17">
        <v>2017</v>
      </c>
      <c r="AK70" s="17">
        <v>2018</v>
      </c>
      <c r="AL70" s="17">
        <v>2019</v>
      </c>
      <c r="AM70" s="17">
        <v>2020</v>
      </c>
      <c r="AN70" s="17">
        <v>2021</v>
      </c>
      <c r="AO70" s="17">
        <v>2022</v>
      </c>
      <c r="AP70" s="17">
        <v>2023</v>
      </c>
      <c r="AQ70" s="17">
        <v>2024</v>
      </c>
      <c r="AR70" s="17">
        <v>2025</v>
      </c>
      <c r="AS70" s="17">
        <v>2026</v>
      </c>
      <c r="AT70" s="17">
        <v>2027</v>
      </c>
      <c r="AU70" s="17">
        <v>2028</v>
      </c>
      <c r="AV70" s="17">
        <v>2029</v>
      </c>
      <c r="AW70" s="17">
        <v>2030</v>
      </c>
      <c r="AX70" s="17">
        <v>2031</v>
      </c>
      <c r="AY70" s="17">
        <v>2032</v>
      </c>
      <c r="AZ70" s="17">
        <v>2033</v>
      </c>
      <c r="BA70" s="17">
        <v>2034</v>
      </c>
      <c r="BB70" s="17">
        <v>2035</v>
      </c>
      <c r="BC70" s="17">
        <v>2036</v>
      </c>
      <c r="BD70" s="17">
        <v>2037</v>
      </c>
      <c r="BE70" s="17">
        <v>2038</v>
      </c>
      <c r="BF70" s="17">
        <v>2039</v>
      </c>
      <c r="BG70" s="17">
        <v>2040</v>
      </c>
      <c r="BH70" s="17">
        <v>2041</v>
      </c>
      <c r="BI70" s="17">
        <v>2042</v>
      </c>
      <c r="BJ70" s="17">
        <v>2043</v>
      </c>
      <c r="BK70" s="17">
        <v>2044</v>
      </c>
      <c r="BL70" s="17">
        <v>2045</v>
      </c>
      <c r="BM70" s="17">
        <v>2046</v>
      </c>
      <c r="BN70" s="17">
        <v>2047</v>
      </c>
      <c r="BO70" s="17">
        <v>2048</v>
      </c>
      <c r="BP70" s="17">
        <v>2049</v>
      </c>
      <c r="BQ70" s="17">
        <v>2050</v>
      </c>
      <c r="BR70" s="17"/>
      <c r="BS70" s="17"/>
      <c r="BT70" s="17"/>
      <c r="BU70" s="17"/>
      <c r="BV70" s="17"/>
      <c r="BW70" s="17"/>
    </row>
    <row r="71" spans="1:75" x14ac:dyDescent="0.25">
      <c r="H71" t="s">
        <v>736</v>
      </c>
      <c r="I71" s="22">
        <f>SUM(I58:I60)</f>
        <v>28329.895895189959</v>
      </c>
      <c r="J71" s="22">
        <f t="shared" ref="J71:BQ71" si="61">SUM(J58:J60)</f>
        <v>28348.756597536198</v>
      </c>
      <c r="K71" s="22">
        <f t="shared" si="61"/>
        <v>27901.265167652149</v>
      </c>
      <c r="L71" s="22">
        <f t="shared" si="61"/>
        <v>26983.421178078323</v>
      </c>
      <c r="M71" s="22">
        <f t="shared" si="61"/>
        <v>26232.935842025625</v>
      </c>
      <c r="N71" s="22">
        <f t="shared" si="61"/>
        <v>26483.697904273635</v>
      </c>
      <c r="O71" s="22">
        <f t="shared" si="61"/>
        <v>27231.455050197914</v>
      </c>
      <c r="P71" s="22">
        <f t="shared" si="61"/>
        <v>27718.197700050874</v>
      </c>
      <c r="Q71" s="22">
        <f t="shared" si="61"/>
        <v>28191.857752581782</v>
      </c>
      <c r="R71" s="22">
        <f t="shared" si="61"/>
        <v>28176.93333456889</v>
      </c>
      <c r="S71" s="22">
        <f t="shared" si="61"/>
        <v>27911.735313172579</v>
      </c>
      <c r="T71" s="22">
        <f t="shared" si="61"/>
        <v>27717.940554412646</v>
      </c>
      <c r="U71" s="22">
        <f t="shared" si="61"/>
        <v>27299.215210355833</v>
      </c>
      <c r="V71" s="22">
        <f t="shared" si="61"/>
        <v>27343.988003450842</v>
      </c>
      <c r="W71" s="22">
        <f t="shared" si="61"/>
        <v>27146.675440419218</v>
      </c>
      <c r="X71" s="22">
        <f t="shared" si="61"/>
        <v>27260.702201657918</v>
      </c>
      <c r="Y71" s="22">
        <f t="shared" si="61"/>
        <v>27196.730699508385</v>
      </c>
      <c r="Z71" s="22">
        <f t="shared" si="61"/>
        <v>27798.797044635878</v>
      </c>
      <c r="AA71" s="22">
        <f t="shared" si="61"/>
        <v>28021.860780467254</v>
      </c>
      <c r="AB71" s="22">
        <f t="shared" si="61"/>
        <v>27823.10030385045</v>
      </c>
      <c r="AC71" s="22">
        <f t="shared" si="61"/>
        <v>27614.256694686857</v>
      </c>
      <c r="AD71" s="22">
        <f t="shared" si="61"/>
        <v>27581.637898711942</v>
      </c>
      <c r="AE71" s="22">
        <f t="shared" si="61"/>
        <v>27155.969480684591</v>
      </c>
      <c r="AF71" s="22">
        <f t="shared" si="61"/>
        <v>27115.025448238906</v>
      </c>
      <c r="AG71" s="22">
        <f t="shared" si="61"/>
        <v>26924.570489096619</v>
      </c>
      <c r="AH71" s="22">
        <f t="shared" si="61"/>
        <v>26534.658847024133</v>
      </c>
      <c r="AI71" s="22">
        <f t="shared" si="61"/>
        <v>26161.744037468463</v>
      </c>
      <c r="AJ71" s="22">
        <f t="shared" si="61"/>
        <v>25904.142389651493</v>
      </c>
      <c r="AK71" s="22">
        <f t="shared" si="61"/>
        <v>25684.457291519775</v>
      </c>
      <c r="AL71" s="22">
        <f t="shared" si="61"/>
        <v>25269.289171376509</v>
      </c>
      <c r="AM71" s="22">
        <f t="shared" si="61"/>
        <v>23051.879307490104</v>
      </c>
      <c r="AN71" s="22">
        <f t="shared" si="61"/>
        <v>23058.26660164816</v>
      </c>
      <c r="AO71" s="22">
        <f t="shared" si="61"/>
        <v>22957.494119829287</v>
      </c>
      <c r="AP71" s="22">
        <f t="shared" si="61"/>
        <v>22797.989855862805</v>
      </c>
      <c r="AQ71" s="22">
        <f t="shared" si="61"/>
        <v>22649.451914723377</v>
      </c>
      <c r="AR71" s="22">
        <f t="shared" si="61"/>
        <v>22438.767967700845</v>
      </c>
      <c r="AS71" s="22">
        <f t="shared" si="61"/>
        <v>22173.267971048994</v>
      </c>
      <c r="AT71" s="22">
        <f t="shared" si="61"/>
        <v>21829.903868077541</v>
      </c>
      <c r="AU71" s="22">
        <f t="shared" si="61"/>
        <v>21449.057541086557</v>
      </c>
      <c r="AV71" s="22">
        <f t="shared" si="61"/>
        <v>20977.809842290633</v>
      </c>
      <c r="AW71" s="22">
        <f t="shared" si="61"/>
        <v>20453.917434783743</v>
      </c>
      <c r="AX71" s="22">
        <f t="shared" si="61"/>
        <v>20428.979389494598</v>
      </c>
      <c r="AY71" s="22">
        <f t="shared" si="61"/>
        <v>20423.836072221337</v>
      </c>
      <c r="AZ71" s="22">
        <f t="shared" si="61"/>
        <v>20417.712668983855</v>
      </c>
      <c r="BA71" s="22">
        <f t="shared" si="61"/>
        <v>20008.462421508717</v>
      </c>
      <c r="BB71" s="22">
        <f t="shared" si="61"/>
        <v>1276.2473167751696</v>
      </c>
      <c r="BC71" s="22">
        <f t="shared" si="61"/>
        <v>1331.6148625456872</v>
      </c>
      <c r="BD71" s="22">
        <f t="shared" si="61"/>
        <v>1385.5541455387215</v>
      </c>
      <c r="BE71" s="22">
        <f t="shared" si="61"/>
        <v>1438.0998225360968</v>
      </c>
      <c r="BF71" s="22">
        <f t="shared" si="61"/>
        <v>1489.2835389568215</v>
      </c>
      <c r="BG71" s="22">
        <f t="shared" si="61"/>
        <v>1539.1342043271932</v>
      </c>
      <c r="BH71" s="22">
        <f t="shared" si="61"/>
        <v>1581.2544704843272</v>
      </c>
      <c r="BI71" s="22">
        <f t="shared" si="61"/>
        <v>1622.5653870717915</v>
      </c>
      <c r="BJ71" s="22">
        <f t="shared" si="61"/>
        <v>1663.080515280471</v>
      </c>
      <c r="BK71" s="22">
        <f t="shared" si="61"/>
        <v>1702.8121700390384</v>
      </c>
      <c r="BL71" s="22">
        <f t="shared" si="61"/>
        <v>1741.7715272720793</v>
      </c>
      <c r="BM71" s="22">
        <f t="shared" si="61"/>
        <v>1778.4529082875788</v>
      </c>
      <c r="BN71" s="22">
        <f t="shared" si="61"/>
        <v>1814.3279036936356</v>
      </c>
      <c r="BO71" s="22">
        <f t="shared" si="61"/>
        <v>1849.406058357464</v>
      </c>
      <c r="BP71" s="22">
        <f t="shared" si="61"/>
        <v>1883.6961038048607</v>
      </c>
      <c r="BQ71" s="22">
        <f t="shared" si="61"/>
        <v>1917.2060240124333</v>
      </c>
    </row>
    <row r="72" spans="1:75" x14ac:dyDescent="0.25">
      <c r="H72" t="s">
        <v>738</v>
      </c>
      <c r="I72" s="22">
        <f>SUM(I61:I67)</f>
        <v>22520.716286019295</v>
      </c>
      <c r="J72" s="22">
        <f t="shared" ref="J72:BQ72" si="62">SUM(J61:J67)</f>
        <v>22464.940551220727</v>
      </c>
      <c r="K72" s="22">
        <f t="shared" si="62"/>
        <v>22122.587070657621</v>
      </c>
      <c r="L72" s="22">
        <f t="shared" si="62"/>
        <v>22107.511600676291</v>
      </c>
      <c r="M72" s="22">
        <f t="shared" si="62"/>
        <v>21834.941608916608</v>
      </c>
      <c r="N72" s="22">
        <f t="shared" si="62"/>
        <v>21438.397550905156</v>
      </c>
      <c r="O72" s="22">
        <f t="shared" si="62"/>
        <v>22344.38853508536</v>
      </c>
      <c r="P72" s="22">
        <f t="shared" si="62"/>
        <v>22643.115411695737</v>
      </c>
      <c r="Q72" s="22">
        <f t="shared" si="62"/>
        <v>22838.244348740158</v>
      </c>
      <c r="R72" s="22">
        <f t="shared" si="62"/>
        <v>22819.025600827037</v>
      </c>
      <c r="S72" s="22">
        <f t="shared" si="62"/>
        <v>22511.044802282533</v>
      </c>
      <c r="T72" s="22">
        <f t="shared" si="62"/>
        <v>22529.539442072208</v>
      </c>
      <c r="U72" s="22">
        <f t="shared" si="62"/>
        <v>23137.990578649747</v>
      </c>
      <c r="V72" s="22">
        <f t="shared" si="62"/>
        <v>22247.767107619758</v>
      </c>
      <c r="W72" s="22">
        <f t="shared" si="62"/>
        <v>21888.679383709583</v>
      </c>
      <c r="X72" s="22">
        <f t="shared" si="62"/>
        <v>22154.093897802089</v>
      </c>
      <c r="Y72" s="22">
        <f t="shared" si="62"/>
        <v>22070.367095963247</v>
      </c>
      <c r="Z72" s="22">
        <f t="shared" si="62"/>
        <v>22852.545580285085</v>
      </c>
      <c r="AA72" s="22">
        <f t="shared" si="62"/>
        <v>22951.7302580256</v>
      </c>
      <c r="AB72" s="22">
        <f t="shared" si="62"/>
        <v>22635.063755242325</v>
      </c>
      <c r="AC72" s="22">
        <f t="shared" si="62"/>
        <v>22400.815411577827</v>
      </c>
      <c r="AD72" s="22">
        <f t="shared" si="62"/>
        <v>22528.596906718252</v>
      </c>
      <c r="AE72" s="22">
        <f t="shared" si="62"/>
        <v>22992.959698206956</v>
      </c>
      <c r="AF72" s="22">
        <f t="shared" si="62"/>
        <v>23036.132422452658</v>
      </c>
      <c r="AG72" s="22">
        <f t="shared" si="62"/>
        <v>22901.315582132636</v>
      </c>
      <c r="AH72" s="22">
        <f t="shared" si="62"/>
        <v>22660.106236692576</v>
      </c>
      <c r="AI72" s="22">
        <f t="shared" si="62"/>
        <v>22467.396603154113</v>
      </c>
      <c r="AJ72" s="22">
        <f t="shared" si="62"/>
        <v>22334.902158843899</v>
      </c>
      <c r="AK72" s="22">
        <f t="shared" si="62"/>
        <v>22212.347405584453</v>
      </c>
      <c r="AL72" s="22">
        <f t="shared" si="62"/>
        <v>21988.521531590002</v>
      </c>
      <c r="AM72" s="22">
        <f t="shared" si="62"/>
        <v>20805.350714145046</v>
      </c>
      <c r="AN72" s="22">
        <f t="shared" si="62"/>
        <v>20787.042510211042</v>
      </c>
      <c r="AO72" s="22">
        <f t="shared" si="62"/>
        <v>20768.739343741374</v>
      </c>
      <c r="AP72" s="22">
        <f t="shared" si="62"/>
        <v>20748.74704253536</v>
      </c>
      <c r="AQ72" s="22">
        <f t="shared" si="62"/>
        <v>20764.98157080411</v>
      </c>
      <c r="AR72" s="22">
        <f t="shared" si="62"/>
        <v>20779.445822247075</v>
      </c>
      <c r="AS72" s="22">
        <f t="shared" si="62"/>
        <v>20794.162749436549</v>
      </c>
      <c r="AT72" s="22">
        <f t="shared" si="62"/>
        <v>20797.586494815834</v>
      </c>
      <c r="AU72" s="22">
        <f t="shared" si="62"/>
        <v>20811.795688950941</v>
      </c>
      <c r="AV72" s="22">
        <f t="shared" si="62"/>
        <v>20807.345480014537</v>
      </c>
      <c r="AW72" s="22">
        <f t="shared" si="62"/>
        <v>20804.694567726474</v>
      </c>
      <c r="AX72" s="22">
        <f t="shared" si="62"/>
        <v>20813.693024100037</v>
      </c>
      <c r="AY72" s="22">
        <f t="shared" si="62"/>
        <v>20836.824818209803</v>
      </c>
      <c r="AZ72" s="22">
        <f t="shared" si="62"/>
        <v>20861.158307283924</v>
      </c>
      <c r="BA72" s="22">
        <f t="shared" si="62"/>
        <v>20644.504512286429</v>
      </c>
      <c r="BB72" s="22">
        <f t="shared" si="62"/>
        <v>9362.8653613953866</v>
      </c>
      <c r="BC72" s="22">
        <f t="shared" si="62"/>
        <v>8744.7158361602451</v>
      </c>
      <c r="BD72" s="22">
        <f t="shared" si="62"/>
        <v>8759.9241356066796</v>
      </c>
      <c r="BE72" s="22">
        <f t="shared" si="62"/>
        <v>8774.6998453024262</v>
      </c>
      <c r="BF72" s="22">
        <f t="shared" si="62"/>
        <v>8788.5481848391937</v>
      </c>
      <c r="BG72" s="22">
        <f t="shared" si="62"/>
        <v>8802.010283476513</v>
      </c>
      <c r="BH72" s="22">
        <f t="shared" si="62"/>
        <v>8844.4756040331176</v>
      </c>
      <c r="BI72" s="22">
        <f t="shared" si="62"/>
        <v>8886.8074888953215</v>
      </c>
      <c r="BJ72" s="22">
        <f t="shared" si="62"/>
        <v>8928.8424044335279</v>
      </c>
      <c r="BK72" s="22">
        <f t="shared" si="62"/>
        <v>8970.5934972707128</v>
      </c>
      <c r="BL72" s="22">
        <f t="shared" si="62"/>
        <v>9012.0731829074593</v>
      </c>
      <c r="BM72" s="22">
        <f t="shared" si="62"/>
        <v>9051.3313343436967</v>
      </c>
      <c r="BN72" s="22">
        <f t="shared" si="62"/>
        <v>9090.4786333303819</v>
      </c>
      <c r="BO72" s="22">
        <f t="shared" si="62"/>
        <v>9129.3403633393118</v>
      </c>
      <c r="BP72" s="22">
        <f t="shared" si="62"/>
        <v>9167.9267489390058</v>
      </c>
      <c r="BQ72" s="22">
        <f t="shared" si="62"/>
        <v>9206.2475017443539</v>
      </c>
    </row>
    <row r="73" spans="1:75" x14ac:dyDescent="0.25">
      <c r="H73" t="s">
        <v>726</v>
      </c>
      <c r="I73" s="22">
        <f>SUM(I71:I72)</f>
        <v>50850.612181209253</v>
      </c>
      <c r="J73" s="22">
        <f t="shared" ref="J73:BQ73" si="63">SUM(J71:J72)</f>
        <v>50813.697148756924</v>
      </c>
      <c r="K73" s="22">
        <f t="shared" si="63"/>
        <v>50023.852238309773</v>
      </c>
      <c r="L73" s="22">
        <f t="shared" si="63"/>
        <v>49090.932778754614</v>
      </c>
      <c r="M73" s="22">
        <f t="shared" si="63"/>
        <v>48067.877450942236</v>
      </c>
      <c r="N73" s="22">
        <f t="shared" si="63"/>
        <v>47922.095455178787</v>
      </c>
      <c r="O73" s="22">
        <f t="shared" si="63"/>
        <v>49575.843585283277</v>
      </c>
      <c r="P73" s="22">
        <f t="shared" si="63"/>
        <v>50361.313111746611</v>
      </c>
      <c r="Q73" s="22">
        <f t="shared" si="63"/>
        <v>51030.102101321943</v>
      </c>
      <c r="R73" s="22">
        <f t="shared" si="63"/>
        <v>50995.958935395931</v>
      </c>
      <c r="S73" s="22">
        <f t="shared" si="63"/>
        <v>50422.780115455113</v>
      </c>
      <c r="T73" s="22">
        <f t="shared" si="63"/>
        <v>50247.47999648485</v>
      </c>
      <c r="U73" s="22">
        <f t="shared" si="63"/>
        <v>50437.20578900558</v>
      </c>
      <c r="V73" s="22">
        <f t="shared" si="63"/>
        <v>49591.755111070597</v>
      </c>
      <c r="W73" s="22">
        <f t="shared" si="63"/>
        <v>49035.354824128801</v>
      </c>
      <c r="X73" s="22">
        <f t="shared" si="63"/>
        <v>49414.796099460007</v>
      </c>
      <c r="Y73" s="22">
        <f t="shared" si="63"/>
        <v>49267.097795471636</v>
      </c>
      <c r="Z73" s="22">
        <f t="shared" si="63"/>
        <v>50651.342624920959</v>
      </c>
      <c r="AA73" s="22">
        <f t="shared" si="63"/>
        <v>50973.591038492857</v>
      </c>
      <c r="AB73" s="22">
        <f t="shared" si="63"/>
        <v>50458.164059092771</v>
      </c>
      <c r="AC73" s="22">
        <f t="shared" si="63"/>
        <v>50015.072106264684</v>
      </c>
      <c r="AD73" s="22">
        <f t="shared" si="63"/>
        <v>50110.234805430198</v>
      </c>
      <c r="AE73" s="22">
        <f t="shared" si="63"/>
        <v>50148.929178891543</v>
      </c>
      <c r="AF73" s="22">
        <f t="shared" si="63"/>
        <v>50151.157870691561</v>
      </c>
      <c r="AG73" s="22">
        <f t="shared" si="63"/>
        <v>49825.886071229252</v>
      </c>
      <c r="AH73" s="22">
        <f t="shared" si="63"/>
        <v>49194.765083716709</v>
      </c>
      <c r="AI73" s="22">
        <f t="shared" si="63"/>
        <v>48629.140640622572</v>
      </c>
      <c r="AJ73" s="22">
        <f t="shared" si="63"/>
        <v>48239.044548495396</v>
      </c>
      <c r="AK73" s="22">
        <f t="shared" si="63"/>
        <v>47896.804697104228</v>
      </c>
      <c r="AL73" s="22">
        <f t="shared" si="63"/>
        <v>47257.810702966512</v>
      </c>
      <c r="AM73" s="22">
        <f t="shared" si="63"/>
        <v>43857.23002163515</v>
      </c>
      <c r="AN73" s="22">
        <f t="shared" si="63"/>
        <v>43845.309111859198</v>
      </c>
      <c r="AO73" s="22">
        <f t="shared" si="63"/>
        <v>43726.233463570665</v>
      </c>
      <c r="AP73" s="22">
        <f t="shared" si="63"/>
        <v>43546.736898398165</v>
      </c>
      <c r="AQ73" s="22">
        <f t="shared" si="63"/>
        <v>43414.433485527486</v>
      </c>
      <c r="AR73" s="22">
        <f t="shared" si="63"/>
        <v>43218.21378994792</v>
      </c>
      <c r="AS73" s="22">
        <f t="shared" si="63"/>
        <v>42967.430720485543</v>
      </c>
      <c r="AT73" s="22">
        <f t="shared" si="63"/>
        <v>42627.490362893375</v>
      </c>
      <c r="AU73" s="22">
        <f t="shared" si="63"/>
        <v>42260.853230037494</v>
      </c>
      <c r="AV73" s="22">
        <f t="shared" si="63"/>
        <v>41785.155322305174</v>
      </c>
      <c r="AW73" s="22">
        <f t="shared" si="63"/>
        <v>41258.612002510214</v>
      </c>
      <c r="AX73" s="22">
        <f t="shared" si="63"/>
        <v>41242.672413594635</v>
      </c>
      <c r="AY73" s="22">
        <f t="shared" si="63"/>
        <v>41260.660890431143</v>
      </c>
      <c r="AZ73" s="22">
        <f t="shared" si="63"/>
        <v>41278.870976267775</v>
      </c>
      <c r="BA73" s="22">
        <f t="shared" si="63"/>
        <v>40652.966933795149</v>
      </c>
      <c r="BB73" s="22">
        <f t="shared" si="63"/>
        <v>10639.112678170557</v>
      </c>
      <c r="BC73" s="22">
        <f t="shared" si="63"/>
        <v>10076.330698705933</v>
      </c>
      <c r="BD73" s="22">
        <f t="shared" si="63"/>
        <v>10145.478281145401</v>
      </c>
      <c r="BE73" s="22">
        <f t="shared" si="63"/>
        <v>10212.799667838523</v>
      </c>
      <c r="BF73" s="22">
        <f t="shared" si="63"/>
        <v>10277.831723796015</v>
      </c>
      <c r="BG73" s="22">
        <f t="shared" si="63"/>
        <v>10341.144487803705</v>
      </c>
      <c r="BH73" s="22">
        <f t="shared" si="63"/>
        <v>10425.730074517445</v>
      </c>
      <c r="BI73" s="22">
        <f t="shared" si="63"/>
        <v>10509.372875967114</v>
      </c>
      <c r="BJ73" s="22">
        <f t="shared" si="63"/>
        <v>10591.922919713999</v>
      </c>
      <c r="BK73" s="22">
        <f t="shared" si="63"/>
        <v>10673.405667309751</v>
      </c>
      <c r="BL73" s="22">
        <f t="shared" si="63"/>
        <v>10753.844710179539</v>
      </c>
      <c r="BM73" s="22">
        <f t="shared" si="63"/>
        <v>10829.784242631275</v>
      </c>
      <c r="BN73" s="22">
        <f t="shared" si="63"/>
        <v>10904.806537024018</v>
      </c>
      <c r="BO73" s="22">
        <f t="shared" si="63"/>
        <v>10978.746421696776</v>
      </c>
      <c r="BP73" s="22">
        <f t="shared" si="63"/>
        <v>11051.622852743867</v>
      </c>
      <c r="BQ73" s="22">
        <f t="shared" si="63"/>
        <v>11123.453525756788</v>
      </c>
    </row>
    <row r="74" spans="1:75" x14ac:dyDescent="0.25">
      <c r="F74" t="s">
        <v>931</v>
      </c>
      <c r="H74" t="s">
        <v>737</v>
      </c>
      <c r="I74" s="21">
        <v>30363.701489664549</v>
      </c>
      <c r="J74" s="21">
        <v>30620.087433327655</v>
      </c>
      <c r="K74" s="21">
        <v>30019.645292780151</v>
      </c>
      <c r="L74" s="21">
        <v>29126.832767672211</v>
      </c>
      <c r="M74" s="21">
        <v>28220.504029960546</v>
      </c>
      <c r="N74" s="21">
        <v>28658.334296648256</v>
      </c>
      <c r="O74" s="21">
        <v>29216.836454505894</v>
      </c>
      <c r="P74" s="21">
        <v>29686.534877773469</v>
      </c>
      <c r="Q74" s="21">
        <v>30358.840057469566</v>
      </c>
      <c r="R74" s="21">
        <v>30552.5406715998</v>
      </c>
      <c r="S74" s="21">
        <v>30515.456515029604</v>
      </c>
      <c r="T74" s="21">
        <v>30340.133527107813</v>
      </c>
      <c r="U74" s="21">
        <v>29862.347205058868</v>
      </c>
      <c r="V74" s="21">
        <v>28988.455674699828</v>
      </c>
      <c r="W74" s="21">
        <v>28771.73121104404</v>
      </c>
      <c r="X74" s="21">
        <v>28806.676410294196</v>
      </c>
      <c r="Y74" s="21">
        <v>28710.685662648946</v>
      </c>
      <c r="Z74" s="21">
        <v>27953.813125583809</v>
      </c>
      <c r="AA74" s="21">
        <v>29128.465653077492</v>
      </c>
      <c r="AB74" s="21">
        <v>28566.814632287216</v>
      </c>
      <c r="AC74" s="21">
        <v>29466.291233402069</v>
      </c>
      <c r="AD74" s="21">
        <v>29540.386989025857</v>
      </c>
      <c r="AE74" s="21">
        <v>28765.723679034749</v>
      </c>
      <c r="AF74" s="21">
        <v>29976.162007053368</v>
      </c>
      <c r="AG74" s="21">
        <v>29854.259774176113</v>
      </c>
      <c r="AH74" s="21">
        <v>29764.794009191111</v>
      </c>
      <c r="AI74" s="21">
        <v>28493.468307353363</v>
      </c>
      <c r="AJ74" s="21">
        <v>28161.291437902692</v>
      </c>
    </row>
    <row r="75" spans="1:75" x14ac:dyDescent="0.25">
      <c r="F75" t="s">
        <v>931</v>
      </c>
      <c r="H75" t="s">
        <v>739</v>
      </c>
      <c r="I75" s="21">
        <v>23966.513245185564</v>
      </c>
      <c r="J75" s="21">
        <v>25488.169557235855</v>
      </c>
      <c r="K75" s="21">
        <v>24918.03927597345</v>
      </c>
      <c r="L75" s="21">
        <v>24848.327264592699</v>
      </c>
      <c r="M75" s="21">
        <v>24505.816851306721</v>
      </c>
      <c r="N75" s="21">
        <v>24432.14794095813</v>
      </c>
      <c r="O75" s="21">
        <v>25202.904527562976</v>
      </c>
      <c r="P75" s="21">
        <v>25504.378529824888</v>
      </c>
      <c r="Q75" s="21">
        <v>25890.467620410676</v>
      </c>
      <c r="R75" s="21">
        <v>25983.786939397698</v>
      </c>
      <c r="S75" s="21">
        <v>25868.394067579684</v>
      </c>
      <c r="T75" s="21">
        <v>26002.535902574971</v>
      </c>
      <c r="U75" s="21">
        <v>26531.007410409438</v>
      </c>
      <c r="V75" s="21">
        <v>24775.301428664814</v>
      </c>
      <c r="W75" s="21">
        <v>24381.007267856174</v>
      </c>
      <c r="X75" s="21">
        <v>24606.540158008142</v>
      </c>
      <c r="Y75" s="21">
        <v>24681.528992201023</v>
      </c>
      <c r="Z75" s="21">
        <v>24370.637912824339</v>
      </c>
      <c r="AA75" s="21">
        <v>25360.261324110521</v>
      </c>
      <c r="AB75" s="21">
        <v>24580.116845224002</v>
      </c>
      <c r="AC75" s="21">
        <v>25130.517014652847</v>
      </c>
      <c r="AD75" s="21">
        <v>25304.85592670933</v>
      </c>
      <c r="AE75" s="21">
        <v>24407.03698205229</v>
      </c>
      <c r="AF75" s="21">
        <v>25679.803908205235</v>
      </c>
      <c r="AG75" s="21">
        <v>25935.14594405461</v>
      </c>
      <c r="AH75" s="21">
        <v>24944.276967369409</v>
      </c>
      <c r="AI75" s="21">
        <v>23249.801068831042</v>
      </c>
      <c r="AJ75" s="21">
        <v>23515.861940250066</v>
      </c>
    </row>
    <row r="76" spans="1:75" x14ac:dyDescent="0.25">
      <c r="F76" t="s">
        <v>931</v>
      </c>
      <c r="H76" t="s">
        <v>937</v>
      </c>
      <c r="I76" s="21">
        <f>SUM(I74:I75)</f>
        <v>54330.214734850117</v>
      </c>
      <c r="J76" s="21">
        <f t="shared" ref="J76:AJ76" si="64">SUM(J74:J75)</f>
        <v>56108.25699056351</v>
      </c>
      <c r="K76" s="21">
        <f t="shared" si="64"/>
        <v>54937.684568753597</v>
      </c>
      <c r="L76" s="21">
        <f t="shared" si="64"/>
        <v>53975.16003226491</v>
      </c>
      <c r="M76" s="21">
        <f t="shared" si="64"/>
        <v>52726.320881267267</v>
      </c>
      <c r="N76" s="21">
        <f t="shared" si="64"/>
        <v>53090.482237606382</v>
      </c>
      <c r="O76" s="21">
        <f t="shared" si="64"/>
        <v>54419.74098206887</v>
      </c>
      <c r="P76" s="21">
        <f t="shared" si="64"/>
        <v>55190.91340759836</v>
      </c>
      <c r="Q76" s="21">
        <f t="shared" si="64"/>
        <v>56249.307677880242</v>
      </c>
      <c r="R76" s="21">
        <f t="shared" si="64"/>
        <v>56536.327610997498</v>
      </c>
      <c r="S76" s="21">
        <f t="shared" si="64"/>
        <v>56383.850582609288</v>
      </c>
      <c r="T76" s="21">
        <f t="shared" si="64"/>
        <v>56342.669429682785</v>
      </c>
      <c r="U76" s="21">
        <f t="shared" si="64"/>
        <v>56393.354615468306</v>
      </c>
      <c r="V76" s="21">
        <f t="shared" si="64"/>
        <v>53763.757103364638</v>
      </c>
      <c r="W76" s="21">
        <f t="shared" si="64"/>
        <v>53152.73847890021</v>
      </c>
      <c r="X76" s="21">
        <f t="shared" si="64"/>
        <v>53413.216568302334</v>
      </c>
      <c r="Y76" s="21">
        <f t="shared" si="64"/>
        <v>53392.214654849973</v>
      </c>
      <c r="Z76" s="21">
        <f t="shared" si="64"/>
        <v>52324.451038408151</v>
      </c>
      <c r="AA76" s="21">
        <f t="shared" si="64"/>
        <v>54488.726977188009</v>
      </c>
      <c r="AB76" s="21">
        <f t="shared" si="64"/>
        <v>53146.931477511214</v>
      </c>
      <c r="AC76" s="21">
        <f t="shared" si="64"/>
        <v>54596.80824805492</v>
      </c>
      <c r="AD76" s="21">
        <f t="shared" si="64"/>
        <v>54845.242915735187</v>
      </c>
      <c r="AE76" s="21">
        <f t="shared" si="64"/>
        <v>53172.760661087043</v>
      </c>
      <c r="AF76" s="21">
        <f t="shared" si="64"/>
        <v>55655.965915258603</v>
      </c>
      <c r="AG76" s="21">
        <f t="shared" si="64"/>
        <v>55789.405718230722</v>
      </c>
      <c r="AH76" s="21">
        <f t="shared" si="64"/>
        <v>54709.070976560521</v>
      </c>
      <c r="AI76" s="21">
        <f t="shared" si="64"/>
        <v>51743.269376184406</v>
      </c>
      <c r="AJ76" s="21">
        <f t="shared" si="64"/>
        <v>51677.153378152754</v>
      </c>
    </row>
    <row r="77" spans="1:75" x14ac:dyDescent="0.25">
      <c r="F77" t="s">
        <v>930</v>
      </c>
      <c r="H77" t="s">
        <v>932</v>
      </c>
      <c r="I77" s="21">
        <v>28841.456935165024</v>
      </c>
      <c r="J77" s="21">
        <v>28874.617245415291</v>
      </c>
      <c r="K77" s="21">
        <v>28503.853708721526</v>
      </c>
      <c r="L77" s="21">
        <v>27532.104557575753</v>
      </c>
      <c r="M77" s="21">
        <v>26764.22321356984</v>
      </c>
      <c r="N77" s="21">
        <v>27088.29125785478</v>
      </c>
      <c r="O77" s="21">
        <v>27651.842000083903</v>
      </c>
      <c r="P77" s="21">
        <v>28174.583312846415</v>
      </c>
      <c r="Q77" s="21">
        <v>28871.518161673943</v>
      </c>
      <c r="R77" s="21">
        <v>29040.146748956548</v>
      </c>
      <c r="S77" s="21">
        <v>28604.298593734209</v>
      </c>
      <c r="T77" s="21">
        <v>28439.006817138674</v>
      </c>
      <c r="U77" s="21">
        <v>28158.262684927948</v>
      </c>
      <c r="V77" s="21">
        <v>27538.048485484789</v>
      </c>
      <c r="W77" s="21">
        <v>27384.26705791508</v>
      </c>
      <c r="X77" s="21">
        <v>27326.584253461606</v>
      </c>
      <c r="Y77" s="21">
        <v>27258.009133790336</v>
      </c>
      <c r="Z77" s="21">
        <v>26600.052385004816</v>
      </c>
      <c r="AA77" s="21">
        <v>27439.669575781179</v>
      </c>
      <c r="AB77" s="21">
        <v>26868.002037732236</v>
      </c>
      <c r="AC77" s="21">
        <v>27664.377940114457</v>
      </c>
      <c r="AD77" s="21">
        <v>27801.534910949355</v>
      </c>
      <c r="AE77" s="21">
        <v>27190.794316586092</v>
      </c>
      <c r="AF77" s="21">
        <v>28125.443821791141</v>
      </c>
      <c r="AG77" s="21">
        <v>28132.073619111641</v>
      </c>
      <c r="AH77" s="21">
        <v>28022.596440230893</v>
      </c>
      <c r="AI77" s="21">
        <v>26770.512864029439</v>
      </c>
      <c r="AJ77" s="21">
        <v>26272.330661039257</v>
      </c>
    </row>
    <row r="78" spans="1:75" x14ac:dyDescent="0.25">
      <c r="F78" t="s">
        <v>930</v>
      </c>
      <c r="H78" t="s">
        <v>933</v>
      </c>
      <c r="I78" s="21">
        <v>23017.116995923152</v>
      </c>
      <c r="J78" s="21">
        <v>24357.943795318199</v>
      </c>
      <c r="K78" s="21">
        <v>23923.781404274614</v>
      </c>
      <c r="L78" s="21">
        <v>23808.52866974326</v>
      </c>
      <c r="M78" s="21">
        <v>23548.815692626868</v>
      </c>
      <c r="N78" s="21">
        <v>23406.439056039562</v>
      </c>
      <c r="O78" s="21">
        <v>24181.443878145627</v>
      </c>
      <c r="P78" s="21">
        <v>24510.581335681734</v>
      </c>
      <c r="Q78" s="21">
        <v>24916.730028994498</v>
      </c>
      <c r="R78" s="21">
        <v>24998.953710091639</v>
      </c>
      <c r="S78" s="21">
        <v>24625.134604822408</v>
      </c>
      <c r="T78" s="21">
        <v>24764.073774517499</v>
      </c>
      <c r="U78" s="21">
        <v>25420.639847835555</v>
      </c>
      <c r="V78" s="21">
        <v>23846.988468835058</v>
      </c>
      <c r="W78" s="21">
        <v>23504.925758751408</v>
      </c>
      <c r="X78" s="21">
        <v>23672.708379593492</v>
      </c>
      <c r="Y78" s="21">
        <v>23765.786841217523</v>
      </c>
      <c r="Z78" s="21">
        <v>23512.70116086525</v>
      </c>
      <c r="AA78" s="21">
        <v>24252.381704460829</v>
      </c>
      <c r="AB78" s="21">
        <v>23516.503660101647</v>
      </c>
      <c r="AC78" s="21">
        <v>23986.77417374069</v>
      </c>
      <c r="AD78" s="21">
        <v>24215.606096707954</v>
      </c>
      <c r="AE78" s="21">
        <v>23466.796841445379</v>
      </c>
      <c r="AF78" s="21">
        <v>24452.726550481024</v>
      </c>
      <c r="AG78" s="21">
        <v>24798.187695034216</v>
      </c>
      <c r="AH78" s="21">
        <v>23781.729632572271</v>
      </c>
      <c r="AI78" s="21">
        <v>22214.078479972708</v>
      </c>
      <c r="AJ78" s="21">
        <v>22369.490596120992</v>
      </c>
    </row>
    <row r="79" spans="1:75" x14ac:dyDescent="0.25">
      <c r="F79" t="s">
        <v>930</v>
      </c>
      <c r="H79" t="s">
        <v>934</v>
      </c>
      <c r="I79" s="21">
        <v>51858.573931088176</v>
      </c>
      <c r="J79" s="21">
        <v>53232.56104073349</v>
      </c>
      <c r="K79" s="21">
        <v>52427.63511299614</v>
      </c>
      <c r="L79" s="21">
        <v>51340.633227319013</v>
      </c>
      <c r="M79" s="21">
        <v>50313.038906196707</v>
      </c>
      <c r="N79" s="21">
        <v>50494.730313894339</v>
      </c>
      <c r="O79" s="21">
        <v>51833.28587822953</v>
      </c>
      <c r="P79" s="21">
        <v>52685.164648528153</v>
      </c>
      <c r="Q79" s="21">
        <v>53788.248190668441</v>
      </c>
      <c r="R79" s="21">
        <v>54039.10045904819</v>
      </c>
      <c r="S79" s="21">
        <v>53229.433198556617</v>
      </c>
      <c r="T79" s="21">
        <v>53203.080591656173</v>
      </c>
      <c r="U79" s="21">
        <v>53578.902532763503</v>
      </c>
      <c r="V79" s="21">
        <v>51385.036954319847</v>
      </c>
      <c r="W79" s="21">
        <v>50889.192816666487</v>
      </c>
      <c r="X79" s="21">
        <v>50999.292633055098</v>
      </c>
      <c r="Y79" s="21">
        <v>51023.795975007859</v>
      </c>
      <c r="Z79" s="21">
        <v>50112.753545870066</v>
      </c>
      <c r="AA79" s="21">
        <v>51692.051280242013</v>
      </c>
      <c r="AB79" s="21">
        <v>50384.505697833883</v>
      </c>
      <c r="AC79" s="21">
        <v>51651.152113855147</v>
      </c>
      <c r="AD79" s="21">
        <v>52017.141007657308</v>
      </c>
      <c r="AE79" s="21">
        <v>50657.591158031471</v>
      </c>
      <c r="AF79" s="21">
        <v>52578.170372272165</v>
      </c>
      <c r="AG79" s="21">
        <v>52930.261314145857</v>
      </c>
      <c r="AH79" s="21">
        <v>51804.32607280316</v>
      </c>
      <c r="AI79" s="21">
        <v>48984.591344002147</v>
      </c>
      <c r="AJ79" s="21">
        <v>48641.821257160249</v>
      </c>
    </row>
    <row r="80" spans="1:75" x14ac:dyDescent="0.25">
      <c r="H80" t="s">
        <v>727</v>
      </c>
      <c r="I80" s="55">
        <f>(I73-I76)/I76</f>
        <v>-6.4045440840285739E-2</v>
      </c>
      <c r="J80" s="55">
        <f t="shared" ref="J80:AJ80" si="65">(J73-J76)/J76</f>
        <v>-9.4363292067637106E-2</v>
      </c>
      <c r="K80" s="55">
        <f t="shared" si="65"/>
        <v>-8.9443746474139149E-2</v>
      </c>
      <c r="L80" s="55">
        <f t="shared" si="65"/>
        <v>-9.0490278316741182E-2</v>
      </c>
      <c r="M80" s="55">
        <f t="shared" si="65"/>
        <v>-8.8351384137255323E-2</v>
      </c>
      <c r="N80" s="55">
        <f t="shared" si="65"/>
        <v>-9.7350533741556292E-2</v>
      </c>
      <c r="O80" s="55">
        <f t="shared" si="65"/>
        <v>-8.9009931127412775E-2</v>
      </c>
      <c r="P80" s="55">
        <f t="shared" si="65"/>
        <v>-8.7507163727912465E-2</v>
      </c>
      <c r="Q80" s="55">
        <f t="shared" si="65"/>
        <v>-9.2787018934469931E-2</v>
      </c>
      <c r="R80" s="55">
        <f t="shared" si="65"/>
        <v>-9.799661403058392E-2</v>
      </c>
      <c r="S80" s="55">
        <f t="shared" si="65"/>
        <v>-0.10572301120904243</v>
      </c>
      <c r="T80" s="55">
        <f t="shared" si="65"/>
        <v>-0.10818070025604484</v>
      </c>
      <c r="U80" s="55">
        <f t="shared" si="65"/>
        <v>-0.10561792018006667</v>
      </c>
      <c r="V80" s="55">
        <f t="shared" si="65"/>
        <v>-7.7598780611129375E-2</v>
      </c>
      <c r="W80" s="55">
        <f t="shared" si="65"/>
        <v>-7.7463245970024047E-2</v>
      </c>
      <c r="X80" s="55">
        <f t="shared" si="65"/>
        <v>-7.4858260290865147E-2</v>
      </c>
      <c r="Y80" s="55">
        <f t="shared" si="65"/>
        <v>-7.7260643448578595E-2</v>
      </c>
      <c r="Z80" s="55">
        <f t="shared" si="65"/>
        <v>-3.1975651541170817E-2</v>
      </c>
      <c r="AA80" s="55">
        <f t="shared" si="65"/>
        <v>-6.4511250926577557E-2</v>
      </c>
      <c r="AB80" s="55">
        <f t="shared" si="65"/>
        <v>-5.0591207124651746E-2</v>
      </c>
      <c r="AC80" s="55">
        <f t="shared" si="65"/>
        <v>-8.3919487032531173E-2</v>
      </c>
      <c r="AD80" s="55">
        <f t="shared" si="65"/>
        <v>-8.6333980097050636E-2</v>
      </c>
      <c r="AE80" s="55">
        <f t="shared" si="65"/>
        <v>-5.6868055083105801E-2</v>
      </c>
      <c r="AF80" s="55">
        <f t="shared" si="65"/>
        <v>-9.8907780218002603E-2</v>
      </c>
      <c r="AG80" s="55">
        <f t="shared" si="65"/>
        <v>-0.10689340691529765</v>
      </c>
      <c r="AH80" s="55">
        <f t="shared" si="65"/>
        <v>-0.10079326507310557</v>
      </c>
      <c r="AI80" s="55">
        <f t="shared" si="65"/>
        <v>-6.0184228269796122E-2</v>
      </c>
      <c r="AJ80" s="55">
        <f t="shared" si="65"/>
        <v>-6.6530538253503468E-2</v>
      </c>
    </row>
    <row r="113" spans="1:75" s="19" customFormat="1" ht="15.75" x14ac:dyDescent="0.25">
      <c r="A113" s="104"/>
      <c r="B113" s="104"/>
      <c r="C113" s="104"/>
      <c r="D113" s="17" t="s">
        <v>716</v>
      </c>
      <c r="E113" s="17"/>
      <c r="F113" s="17"/>
      <c r="G113" s="17"/>
      <c r="H113" s="17"/>
      <c r="I113" s="17">
        <v>1990</v>
      </c>
      <c r="J113" s="17">
        <v>1991</v>
      </c>
      <c r="K113" s="17">
        <v>1992</v>
      </c>
      <c r="L113" s="17">
        <v>1993</v>
      </c>
      <c r="M113" s="17">
        <v>1994</v>
      </c>
      <c r="N113" s="17">
        <v>1995</v>
      </c>
      <c r="O113" s="17">
        <v>1996</v>
      </c>
      <c r="P113" s="17">
        <v>1997</v>
      </c>
      <c r="Q113" s="17">
        <v>1998</v>
      </c>
      <c r="R113" s="17">
        <v>1999</v>
      </c>
      <c r="S113" s="17">
        <v>2000</v>
      </c>
      <c r="T113" s="17">
        <v>2001</v>
      </c>
      <c r="U113" s="17">
        <v>2002</v>
      </c>
      <c r="V113" s="17">
        <v>2003</v>
      </c>
      <c r="W113" s="17">
        <v>2004</v>
      </c>
      <c r="X113" s="17">
        <v>2005</v>
      </c>
      <c r="Y113" s="17">
        <v>2006</v>
      </c>
      <c r="Z113" s="17">
        <v>2007</v>
      </c>
      <c r="AA113" s="17">
        <v>2008</v>
      </c>
      <c r="AB113" s="17">
        <v>2009</v>
      </c>
      <c r="AC113" s="17">
        <v>2010</v>
      </c>
      <c r="AD113" s="17">
        <v>2011</v>
      </c>
      <c r="AE113" s="17">
        <v>2012</v>
      </c>
      <c r="AF113" s="17">
        <v>2013</v>
      </c>
      <c r="AG113" s="17">
        <v>2014</v>
      </c>
      <c r="AH113" s="17">
        <v>2015</v>
      </c>
      <c r="AI113" s="17">
        <v>2016</v>
      </c>
      <c r="AJ113" s="17">
        <v>2017</v>
      </c>
      <c r="AK113" s="17">
        <v>2018</v>
      </c>
      <c r="AL113" s="17">
        <v>2019</v>
      </c>
      <c r="AM113" s="17">
        <v>2020</v>
      </c>
      <c r="AN113" s="17">
        <v>2021</v>
      </c>
      <c r="AO113" s="17">
        <v>2022</v>
      </c>
      <c r="AP113" s="17">
        <v>2023</v>
      </c>
      <c r="AQ113" s="17">
        <v>2024</v>
      </c>
      <c r="AR113" s="17">
        <v>2025</v>
      </c>
      <c r="AS113" s="17">
        <v>2026</v>
      </c>
      <c r="AT113" s="17">
        <v>2027</v>
      </c>
      <c r="AU113" s="17">
        <v>2028</v>
      </c>
      <c r="AV113" s="17">
        <v>2029</v>
      </c>
      <c r="AW113" s="17">
        <v>2030</v>
      </c>
      <c r="AX113" s="17">
        <v>2031</v>
      </c>
      <c r="AY113" s="17">
        <v>2032</v>
      </c>
      <c r="AZ113" s="17">
        <v>2033</v>
      </c>
      <c r="BA113" s="17">
        <v>2034</v>
      </c>
      <c r="BB113" s="17">
        <v>2035</v>
      </c>
      <c r="BC113" s="17">
        <v>2036</v>
      </c>
      <c r="BD113" s="17">
        <v>2037</v>
      </c>
      <c r="BE113" s="17">
        <v>2038</v>
      </c>
      <c r="BF113" s="17">
        <v>2039</v>
      </c>
      <c r="BG113" s="17">
        <v>2040</v>
      </c>
      <c r="BH113" s="17">
        <v>2041</v>
      </c>
      <c r="BI113" s="17">
        <v>2042</v>
      </c>
      <c r="BJ113" s="17">
        <v>2043</v>
      </c>
      <c r="BK113" s="17">
        <v>2044</v>
      </c>
      <c r="BL113" s="17">
        <v>2045</v>
      </c>
      <c r="BM113" s="17">
        <v>2046</v>
      </c>
      <c r="BN113" s="17">
        <v>2047</v>
      </c>
      <c r="BO113" s="17">
        <v>2048</v>
      </c>
      <c r="BP113" s="17">
        <v>2049</v>
      </c>
      <c r="BQ113" s="17">
        <v>2050</v>
      </c>
      <c r="BR113" s="17"/>
      <c r="BS113" s="17"/>
      <c r="BT113" s="17"/>
      <c r="BU113" s="17"/>
      <c r="BV113" s="17"/>
      <c r="BW113" s="17"/>
    </row>
    <row r="114" spans="1:75" x14ac:dyDescent="0.25">
      <c r="H114" t="s">
        <v>634</v>
      </c>
      <c r="I114" s="22">
        <v>1113.9523335609101</v>
      </c>
      <c r="J114" s="22">
        <v>1113.9523335609101</v>
      </c>
      <c r="K114" s="22">
        <v>1113.9523335609101</v>
      </c>
      <c r="L114" s="22">
        <v>1113.9523335609101</v>
      </c>
      <c r="M114" s="22">
        <v>1113.9523335609101</v>
      </c>
      <c r="N114" s="22">
        <v>1113.9523335609101</v>
      </c>
      <c r="O114" s="22">
        <v>1113.9523335609101</v>
      </c>
      <c r="P114" s="22">
        <v>1113.9523335609101</v>
      </c>
      <c r="Q114" s="22">
        <v>1113.9523335609101</v>
      </c>
      <c r="R114" s="22">
        <v>1113.9523335609101</v>
      </c>
      <c r="S114" s="22">
        <v>1103.4776992955053</v>
      </c>
      <c r="T114" s="22">
        <v>1282.5517441798665</v>
      </c>
      <c r="U114" s="22">
        <v>1288.9176046937982</v>
      </c>
      <c r="V114" s="22">
        <v>1011.4345809085878</v>
      </c>
      <c r="W114" s="22">
        <v>883.38003872679235</v>
      </c>
      <c r="X114" s="22">
        <v>1412.334298727088</v>
      </c>
      <c r="Y114" s="22">
        <v>1236.8838978672777</v>
      </c>
      <c r="Z114" s="22">
        <v>1218.5771221263838</v>
      </c>
      <c r="AA114" s="22">
        <v>1139.8644942847</v>
      </c>
      <c r="AB114" s="22">
        <v>1078.8713756473658</v>
      </c>
      <c r="AC114" s="22">
        <v>1107.055106514</v>
      </c>
      <c r="AD114" s="22">
        <v>1093.3943713178221</v>
      </c>
      <c r="AE114" s="22">
        <v>1003.5637069444559</v>
      </c>
      <c r="AF114" s="22">
        <v>949.58031288518987</v>
      </c>
      <c r="AG114" s="22">
        <v>1016.956735075512</v>
      </c>
      <c r="AH114" s="22">
        <v>737.86776841461585</v>
      </c>
      <c r="AI114" s="22">
        <v>446.18919850209591</v>
      </c>
      <c r="AJ114" s="22">
        <v>416.70692080806589</v>
      </c>
      <c r="AK114" s="22">
        <v>953.41633153144642</v>
      </c>
      <c r="AL114" s="22">
        <v>949.15511278249028</v>
      </c>
      <c r="AM114" s="22">
        <v>936.84581085219077</v>
      </c>
      <c r="AN114" s="22">
        <v>923.04801254060374</v>
      </c>
      <c r="AO114" s="22">
        <v>923.83086633988489</v>
      </c>
      <c r="AP114" s="22">
        <v>927.35133953171032</v>
      </c>
      <c r="AQ114" s="22">
        <v>905.10328771083891</v>
      </c>
      <c r="AR114" s="22">
        <v>888.09961309554592</v>
      </c>
      <c r="AS114" s="22">
        <v>872.75163677437502</v>
      </c>
      <c r="AT114" s="22">
        <v>857.75800408852626</v>
      </c>
      <c r="AU114" s="22">
        <v>850.61092272546864</v>
      </c>
      <c r="AV114" s="22">
        <v>840.04010457174638</v>
      </c>
      <c r="AW114" s="22">
        <v>828.99691103493274</v>
      </c>
      <c r="AX114" s="22">
        <v>823.86011211605364</v>
      </c>
      <c r="AY114" s="22">
        <v>820.57662159257097</v>
      </c>
      <c r="AZ114" s="22">
        <v>817.40761700308474</v>
      </c>
      <c r="BA114" s="22">
        <v>825.66666083675238</v>
      </c>
      <c r="BB114" s="22">
        <v>847.83925712437895</v>
      </c>
      <c r="BC114" s="22">
        <v>872.92498755693396</v>
      </c>
      <c r="BD114" s="22">
        <v>868.57139706063037</v>
      </c>
      <c r="BE114" s="22">
        <v>864.20568430768526</v>
      </c>
      <c r="BF114" s="22">
        <v>860.27723737280223</v>
      </c>
      <c r="BG114" s="22">
        <v>856.87697424917883</v>
      </c>
      <c r="BH114" s="22">
        <v>853.2172938983382</v>
      </c>
      <c r="BI114" s="22">
        <v>849.16257657644303</v>
      </c>
      <c r="BJ114" s="22">
        <v>846.10063420939923</v>
      </c>
      <c r="BK114" s="22">
        <v>843.78828540199515</v>
      </c>
      <c r="BL114" s="22">
        <v>842.18087202380002</v>
      </c>
      <c r="BM114" s="22">
        <v>841.31426607401693</v>
      </c>
      <c r="BN114" s="22">
        <v>840.76910455168797</v>
      </c>
      <c r="BO114" s="22">
        <v>840.78400975380032</v>
      </c>
      <c r="BP114" s="22">
        <v>841.40450616562623</v>
      </c>
      <c r="BQ114" s="22">
        <v>842.3577371508793</v>
      </c>
    </row>
    <row r="115" spans="1:75" x14ac:dyDescent="0.25">
      <c r="H115" t="s">
        <v>635</v>
      </c>
      <c r="I115" s="22">
        <v>1149.3522600947301</v>
      </c>
      <c r="J115" s="22">
        <v>1149.3522600947301</v>
      </c>
      <c r="K115" s="22">
        <v>1149.3522600947301</v>
      </c>
      <c r="L115" s="22">
        <v>1149.3522600947301</v>
      </c>
      <c r="M115" s="22">
        <v>1149.3522600947301</v>
      </c>
      <c r="N115" s="22">
        <v>1149.3522600947301</v>
      </c>
      <c r="O115" s="22">
        <v>1149.3522600947301</v>
      </c>
      <c r="P115" s="22">
        <v>1149.3522600947301</v>
      </c>
      <c r="Q115" s="22">
        <v>1149.3522600947301</v>
      </c>
      <c r="R115" s="22">
        <v>1149.3522600947301</v>
      </c>
      <c r="S115" s="22">
        <v>1138.2881924240246</v>
      </c>
      <c r="T115" s="22">
        <v>1347.8625366593228</v>
      </c>
      <c r="U115" s="22">
        <v>1328.3690110437451</v>
      </c>
      <c r="V115" s="22">
        <v>1017.5651134275211</v>
      </c>
      <c r="W115" s="22">
        <v>914.67644691903695</v>
      </c>
      <c r="X115" s="22">
        <v>1447.9112474339306</v>
      </c>
      <c r="Y115" s="22">
        <v>1263.4019893034997</v>
      </c>
      <c r="Z115" s="22">
        <v>1217.4357899565925</v>
      </c>
      <c r="AA115" s="22">
        <v>1180.1818937292605</v>
      </c>
      <c r="AB115" s="22">
        <v>1108.1395844539597</v>
      </c>
      <c r="AC115" s="22">
        <v>1121.7567904983002</v>
      </c>
      <c r="AD115" s="22">
        <v>1111.0832034573957</v>
      </c>
      <c r="AE115" s="22">
        <v>1002.2217969563279</v>
      </c>
      <c r="AF115" s="22">
        <v>980.55948658247996</v>
      </c>
      <c r="AG115" s="22">
        <v>1029.1314860411758</v>
      </c>
      <c r="AH115" s="22">
        <v>747.9095108761079</v>
      </c>
      <c r="AI115" s="22">
        <v>434.96704823788798</v>
      </c>
      <c r="AJ115" s="22">
        <v>408.31943255002801</v>
      </c>
      <c r="AK115" s="22">
        <v>989.03967398644897</v>
      </c>
      <c r="AL115" s="22">
        <v>983.28512705702065</v>
      </c>
      <c r="AM115" s="22">
        <v>967.27577435076694</v>
      </c>
      <c r="AN115" s="22">
        <v>951.32589869564811</v>
      </c>
      <c r="AO115" s="22">
        <v>951.82222399409432</v>
      </c>
      <c r="AP115" s="22">
        <v>954.41954409596531</v>
      </c>
      <c r="AQ115" s="22">
        <v>930.44926853734853</v>
      </c>
      <c r="AR115" s="22">
        <v>912.78960790996337</v>
      </c>
      <c r="AS115" s="22">
        <v>898.22919868546933</v>
      </c>
      <c r="AT115" s="22">
        <v>882.09325874190063</v>
      </c>
      <c r="AU115" s="22">
        <v>873.40235457932522</v>
      </c>
      <c r="AV115" s="22">
        <v>862.31073006877352</v>
      </c>
      <c r="AW115" s="22">
        <v>850.85907023504603</v>
      </c>
      <c r="AX115" s="22">
        <v>845.85323510737715</v>
      </c>
      <c r="AY115" s="22">
        <v>841.5016547924979</v>
      </c>
      <c r="AZ115" s="22">
        <v>837.08693229819619</v>
      </c>
      <c r="BA115" s="22">
        <v>844.96547356760379</v>
      </c>
      <c r="BB115" s="22">
        <v>868.20013695114835</v>
      </c>
      <c r="BC115" s="22">
        <v>894.24675120583186</v>
      </c>
      <c r="BD115" s="22">
        <v>889.12106883561182</v>
      </c>
      <c r="BE115" s="22">
        <v>884.02389968930368</v>
      </c>
      <c r="BF115" s="22">
        <v>879.52937488119107</v>
      </c>
      <c r="BG115" s="22">
        <v>875.64808458729772</v>
      </c>
      <c r="BH115" s="22">
        <v>871.49158854939481</v>
      </c>
      <c r="BI115" s="22">
        <v>866.96291161788429</v>
      </c>
      <c r="BJ115" s="22">
        <v>863.4900838991623</v>
      </c>
      <c r="BK115" s="22">
        <v>860.78270440740164</v>
      </c>
      <c r="BL115" s="22">
        <v>858.70396634124506</v>
      </c>
      <c r="BM115" s="22">
        <v>857.40507988521222</v>
      </c>
      <c r="BN115" s="22">
        <v>856.48577373147191</v>
      </c>
      <c r="BO115" s="22">
        <v>856.13590414360988</v>
      </c>
      <c r="BP115" s="22">
        <v>856.39584520938138</v>
      </c>
      <c r="BQ115" s="22">
        <v>856.95995783585226</v>
      </c>
    </row>
    <row r="116" spans="1:75" x14ac:dyDescent="0.25">
      <c r="H116" t="s">
        <v>113</v>
      </c>
      <c r="I116" s="22">
        <v>357.5</v>
      </c>
      <c r="J116" s="22">
        <v>378.125</v>
      </c>
      <c r="K116" s="22">
        <v>261.25</v>
      </c>
      <c r="L116" s="22">
        <v>412.5</v>
      </c>
      <c r="M116" s="22">
        <v>595.58170833333327</v>
      </c>
      <c r="N116" s="22">
        <v>473.34145833333332</v>
      </c>
      <c r="O116" s="22">
        <v>579.13625000000002</v>
      </c>
      <c r="P116" s="22">
        <v>547.24312499999996</v>
      </c>
      <c r="Q116" s="22">
        <v>570.31379166666659</v>
      </c>
      <c r="R116" s="22">
        <v>567.03808333333325</v>
      </c>
      <c r="S116" s="22">
        <v>378.2405</v>
      </c>
      <c r="T116" s="22">
        <v>489.66362500000002</v>
      </c>
      <c r="U116" s="22">
        <v>672.79437500000006</v>
      </c>
      <c r="V116" s="22">
        <v>580.13175000000001</v>
      </c>
      <c r="W116" s="22">
        <v>579.7403333333333</v>
      </c>
      <c r="X116" s="22">
        <v>266.03683333333333</v>
      </c>
      <c r="Y116" s="22">
        <v>441.42908333333332</v>
      </c>
      <c r="Z116" s="22">
        <v>521.42108333333329</v>
      </c>
      <c r="AA116" s="22">
        <v>655.32637499999998</v>
      </c>
      <c r="AB116" s="22">
        <v>695.56775237855516</v>
      </c>
      <c r="AC116" s="22">
        <v>653.23730656422072</v>
      </c>
      <c r="AD116" s="22">
        <v>722.61220387104663</v>
      </c>
      <c r="AE116" s="22">
        <v>829.6141641239476</v>
      </c>
      <c r="AF116" s="22">
        <v>749.65665536353811</v>
      </c>
      <c r="AG116" s="22">
        <v>773.17356970483502</v>
      </c>
      <c r="AH116" s="22">
        <v>780.22864400722403</v>
      </c>
      <c r="AI116" s="22">
        <v>982.47410734237747</v>
      </c>
      <c r="AJ116" s="22">
        <v>1218.2311736138793</v>
      </c>
      <c r="AK116" s="22">
        <v>811.87988683203434</v>
      </c>
      <c r="AL116" s="22">
        <v>828.16067939806783</v>
      </c>
      <c r="AM116" s="22">
        <v>843.63256429682531</v>
      </c>
      <c r="AN116" s="22">
        <v>859.17385233712901</v>
      </c>
      <c r="AO116" s="22">
        <v>874.71514028200966</v>
      </c>
      <c r="AP116" s="22">
        <v>890.25642822689031</v>
      </c>
      <c r="AQ116" s="22">
        <v>905.79771617177096</v>
      </c>
      <c r="AR116" s="22">
        <v>921.33900421207466</v>
      </c>
      <c r="AS116" s="22">
        <v>937.31140020964233</v>
      </c>
      <c r="AT116" s="22">
        <v>953.28379620720989</v>
      </c>
      <c r="AU116" s="22">
        <v>969.25619220477756</v>
      </c>
      <c r="AV116" s="22">
        <v>985.22858820234535</v>
      </c>
      <c r="AW116" s="22">
        <v>1001.2009841999131</v>
      </c>
      <c r="AX116" s="22">
        <v>1016.9832349872023</v>
      </c>
      <c r="AY116" s="22">
        <v>1032.7654856790691</v>
      </c>
      <c r="AZ116" s="22">
        <v>1048.5477364663586</v>
      </c>
      <c r="BA116" s="22">
        <v>1064.3299871582253</v>
      </c>
      <c r="BB116" s="22">
        <v>1080.1122378500922</v>
      </c>
      <c r="BC116" s="22">
        <v>1096.1072036429516</v>
      </c>
      <c r="BD116" s="22">
        <v>1112.1021694358108</v>
      </c>
      <c r="BE116" s="22">
        <v>1128.0971351332469</v>
      </c>
      <c r="BF116" s="22">
        <v>1144.092100926106</v>
      </c>
      <c r="BG116" s="22">
        <v>1160.0870667189654</v>
      </c>
      <c r="BH116" s="22">
        <v>1176.8778874608386</v>
      </c>
      <c r="BI116" s="22">
        <v>1193.6687081072885</v>
      </c>
      <c r="BJ116" s="22">
        <v>1210.4595288491616</v>
      </c>
      <c r="BK116" s="22">
        <v>1227.2503495910348</v>
      </c>
      <c r="BL116" s="22">
        <v>1244.0411703329078</v>
      </c>
      <c r="BM116" s="22">
        <v>1260.6054327894071</v>
      </c>
      <c r="BN116" s="22">
        <v>1277.169695245907</v>
      </c>
      <c r="BO116" s="22">
        <v>1293.7339577978294</v>
      </c>
      <c r="BP116" s="22">
        <v>1310.2982202543287</v>
      </c>
      <c r="BQ116" s="22">
        <v>1326.8624827108285</v>
      </c>
    </row>
    <row r="117" spans="1:75" x14ac:dyDescent="0.25">
      <c r="H117" t="s">
        <v>636</v>
      </c>
      <c r="I117" s="22">
        <v>90.994567483487728</v>
      </c>
      <c r="J117" s="22">
        <v>111.62690198838213</v>
      </c>
      <c r="K117" s="22">
        <v>132.25923649327655</v>
      </c>
      <c r="L117" s="22">
        <v>152.89157099816552</v>
      </c>
      <c r="M117" s="22">
        <v>173.52390550305992</v>
      </c>
      <c r="N117" s="22">
        <v>194.15624000795432</v>
      </c>
      <c r="O117" s="22">
        <v>214.78857451284878</v>
      </c>
      <c r="P117" s="22">
        <v>235.42090901774316</v>
      </c>
      <c r="Q117" s="22">
        <v>256.05324352263762</v>
      </c>
      <c r="R117" s="22">
        <v>276.68557802753202</v>
      </c>
      <c r="S117" s="22">
        <v>297.31791253242642</v>
      </c>
      <c r="T117" s="22">
        <v>317.95024703732088</v>
      </c>
      <c r="U117" s="22">
        <v>338.58258154220977</v>
      </c>
      <c r="V117" s="22">
        <v>359.21491604710423</v>
      </c>
      <c r="W117" s="22">
        <v>435.89846666666671</v>
      </c>
      <c r="X117" s="22">
        <v>355.08659999999998</v>
      </c>
      <c r="Y117" s="22">
        <v>393.08573333333334</v>
      </c>
      <c r="Z117" s="22">
        <v>484.55366666666663</v>
      </c>
      <c r="AA117" s="22">
        <v>480.19253333333336</v>
      </c>
      <c r="AB117" s="22">
        <v>380.54426666666666</v>
      </c>
      <c r="AC117" s="22">
        <v>501.48046666666664</v>
      </c>
      <c r="AD117" s="22">
        <v>571.19113333333337</v>
      </c>
      <c r="AE117" s="22">
        <v>587.22106666666662</v>
      </c>
      <c r="AF117" s="22">
        <v>533.06336966666674</v>
      </c>
      <c r="AG117" s="22">
        <v>663.77159200000006</v>
      </c>
      <c r="AH117" s="22">
        <v>486.09938600666663</v>
      </c>
      <c r="AI117" s="22">
        <v>643.60119999999995</v>
      </c>
      <c r="AJ117" s="22">
        <v>679.61446666666666</v>
      </c>
      <c r="AK117" s="22">
        <v>581.01044193354528</v>
      </c>
      <c r="AL117" s="22">
        <v>596.09913131599728</v>
      </c>
      <c r="AM117" s="22">
        <v>610.43814242074211</v>
      </c>
      <c r="AN117" s="22">
        <v>624.84147486861002</v>
      </c>
      <c r="AO117" s="22">
        <v>639.24480722804208</v>
      </c>
      <c r="AP117" s="22">
        <v>653.64813958747379</v>
      </c>
      <c r="AQ117" s="22">
        <v>668.05147194690596</v>
      </c>
      <c r="AR117" s="22">
        <v>682.45480439477376</v>
      </c>
      <c r="AS117" s="22">
        <v>697.25767845163148</v>
      </c>
      <c r="AT117" s="22">
        <v>712.06055250848885</v>
      </c>
      <c r="AU117" s="22">
        <v>726.86342656534669</v>
      </c>
      <c r="AV117" s="22">
        <v>741.66630062220418</v>
      </c>
      <c r="AW117" s="22">
        <v>756.46917467906189</v>
      </c>
      <c r="AX117" s="22">
        <v>771.09582623300321</v>
      </c>
      <c r="AY117" s="22">
        <v>785.72247769850878</v>
      </c>
      <c r="AZ117" s="22">
        <v>800.34912925244987</v>
      </c>
      <c r="BA117" s="22">
        <v>814.97578071795544</v>
      </c>
      <c r="BB117" s="22">
        <v>829.60243218346091</v>
      </c>
      <c r="BC117" s="22">
        <v>844.42622344254914</v>
      </c>
      <c r="BD117" s="22">
        <v>859.2500147016375</v>
      </c>
      <c r="BE117" s="22">
        <v>874.07380587229011</v>
      </c>
      <c r="BF117" s="22">
        <v>888.89759713137823</v>
      </c>
      <c r="BG117" s="22">
        <v>903.72138839046647</v>
      </c>
      <c r="BH117" s="22">
        <v>919.28276094791306</v>
      </c>
      <c r="BI117" s="22">
        <v>934.8441334169238</v>
      </c>
      <c r="BJ117" s="22">
        <v>950.40550597437027</v>
      </c>
      <c r="BK117" s="22">
        <v>965.96687853181686</v>
      </c>
      <c r="BL117" s="22">
        <v>981.52825108926322</v>
      </c>
      <c r="BM117" s="22">
        <v>996.87965428673249</v>
      </c>
      <c r="BN117" s="22">
        <v>1012.231057484201</v>
      </c>
      <c r="BO117" s="22">
        <v>1027.5824607701059</v>
      </c>
      <c r="BP117" s="22">
        <v>1042.9338639675743</v>
      </c>
      <c r="BQ117" s="22">
        <v>1058.2852671650435</v>
      </c>
    </row>
    <row r="118" spans="1:75" x14ac:dyDescent="0.25">
      <c r="H118" t="s">
        <v>637</v>
      </c>
      <c r="I118" s="22">
        <v>19504.904423790304</v>
      </c>
      <c r="J118" s="22">
        <v>20660.917389673377</v>
      </c>
      <c r="K118" s="22">
        <v>20413.635505827424</v>
      </c>
      <c r="L118" s="22">
        <v>20401.840953256564</v>
      </c>
      <c r="M118" s="22">
        <v>20005.189321068094</v>
      </c>
      <c r="N118" s="22">
        <v>19413.178172066404</v>
      </c>
      <c r="O118" s="22">
        <v>20236.165839433314</v>
      </c>
      <c r="P118" s="22">
        <v>20567.076909773743</v>
      </c>
      <c r="Q118" s="22">
        <v>20477.475675482336</v>
      </c>
      <c r="R118" s="22">
        <v>20440.765105122711</v>
      </c>
      <c r="S118" s="22">
        <v>20694.986539568359</v>
      </c>
      <c r="T118" s="22">
        <v>19970.885013290266</v>
      </c>
      <c r="U118" s="22">
        <v>20364.171552574975</v>
      </c>
      <c r="V118" s="22">
        <v>20058.54412967978</v>
      </c>
      <c r="W118" s="22">
        <v>19708.290781864089</v>
      </c>
      <c r="X118" s="22">
        <v>19400.216324542769</v>
      </c>
      <c r="Y118" s="22">
        <v>19051.161605532838</v>
      </c>
      <c r="Z118" s="22">
        <v>19933.38774514115</v>
      </c>
      <c r="AA118" s="22">
        <v>20282.655015129261</v>
      </c>
      <c r="AB118" s="22">
        <v>20068.349414068991</v>
      </c>
      <c r="AC118" s="22">
        <v>19848.964864156231</v>
      </c>
      <c r="AD118" s="22">
        <v>19725.318772611696</v>
      </c>
      <c r="AE118" s="22">
        <v>20225.965895215482</v>
      </c>
      <c r="AF118" s="22">
        <v>20168.260387452727</v>
      </c>
      <c r="AG118" s="22">
        <v>20134.219305294246</v>
      </c>
      <c r="AH118" s="22">
        <v>19667.183224832243</v>
      </c>
      <c r="AI118" s="22">
        <v>18969.40439195502</v>
      </c>
      <c r="AJ118" s="22">
        <v>19186.386775060691</v>
      </c>
      <c r="AK118" s="22">
        <v>19753.029018517012</v>
      </c>
      <c r="AL118" s="22">
        <v>19783.906857628604</v>
      </c>
      <c r="AM118" s="22">
        <v>19779.701574173283</v>
      </c>
      <c r="AN118" s="22">
        <v>19778.904215576487</v>
      </c>
      <c r="AO118" s="22">
        <v>19777.995181996146</v>
      </c>
      <c r="AP118" s="22">
        <v>19776.984421077901</v>
      </c>
      <c r="AQ118" s="22">
        <v>19775.880594293696</v>
      </c>
      <c r="AR118" s="22">
        <v>19774.691289095183</v>
      </c>
      <c r="AS118" s="22">
        <v>19775.119562820179</v>
      </c>
      <c r="AT118" s="22">
        <v>19775.477408932729</v>
      </c>
      <c r="AU118" s="22">
        <v>19775.769943136052</v>
      </c>
      <c r="AV118" s="22">
        <v>19776.001736032402</v>
      </c>
      <c r="AW118" s="22">
        <v>19776.176888033733</v>
      </c>
      <c r="AX118" s="22">
        <v>19775.548399840234</v>
      </c>
      <c r="AY118" s="22">
        <v>19774.869408512444</v>
      </c>
      <c r="AZ118" s="22">
        <v>19774.142986120893</v>
      </c>
      <c r="BA118" s="22">
        <v>19773.371926377677</v>
      </c>
      <c r="BB118" s="22">
        <v>19772.558779923431</v>
      </c>
      <c r="BC118" s="22">
        <v>19772.548026839973</v>
      </c>
      <c r="BD118" s="22">
        <v>19772.500515214859</v>
      </c>
      <c r="BE118" s="22">
        <v>19772.418179134187</v>
      </c>
      <c r="BF118" s="22">
        <v>19772.302803273826</v>
      </c>
      <c r="BG118" s="22">
        <v>19772.156036103148</v>
      </c>
      <c r="BH118" s="22">
        <v>19775.137703889606</v>
      </c>
      <c r="BI118" s="22">
        <v>19778.093650274055</v>
      </c>
      <c r="BJ118" s="22">
        <v>19781.025091887313</v>
      </c>
      <c r="BK118" s="22">
        <v>19783.933160775436</v>
      </c>
      <c r="BL118" s="22">
        <v>19786.818913472423</v>
      </c>
      <c r="BM118" s="22">
        <v>19788.782445242443</v>
      </c>
      <c r="BN118" s="22">
        <v>19790.724893801369</v>
      </c>
      <c r="BO118" s="22">
        <v>19792.647148841716</v>
      </c>
      <c r="BP118" s="22">
        <v>19794.550044580425</v>
      </c>
      <c r="BQ118" s="22">
        <v>19796.434366442383</v>
      </c>
    </row>
    <row r="119" spans="1:75" x14ac:dyDescent="0.25">
      <c r="H119" t="s">
        <v>639</v>
      </c>
      <c r="I119" s="22">
        <v>2388.0102035123605</v>
      </c>
      <c r="J119" s="22">
        <v>2422.3649563517615</v>
      </c>
      <c r="K119" s="22">
        <v>2366.0160295258652</v>
      </c>
      <c r="L119" s="22">
        <v>2332.024314033295</v>
      </c>
      <c r="M119" s="22">
        <v>2269.8856393890724</v>
      </c>
      <c r="N119" s="22">
        <v>2257.3551747657566</v>
      </c>
      <c r="O119" s="22">
        <v>2332.8794219128258</v>
      </c>
      <c r="P119" s="22">
        <v>2353.4608848045295</v>
      </c>
      <c r="Q119" s="22">
        <v>2375.1086873788704</v>
      </c>
      <c r="R119" s="22">
        <v>2369.8122167060246</v>
      </c>
      <c r="S119" s="22">
        <v>2379.1334621159244</v>
      </c>
      <c r="T119" s="22">
        <v>2332.4757077458062</v>
      </c>
      <c r="U119" s="22">
        <v>2352.5031586422174</v>
      </c>
      <c r="V119" s="22">
        <v>2317.0522227606916</v>
      </c>
      <c r="W119" s="22">
        <v>2291.1004488983099</v>
      </c>
      <c r="X119" s="22">
        <v>2260.716684821874</v>
      </c>
      <c r="Y119" s="22">
        <v>2276.1004128580194</v>
      </c>
      <c r="Z119" s="22">
        <v>2334.5451499588221</v>
      </c>
      <c r="AA119" s="22">
        <v>2364.8401504898161</v>
      </c>
      <c r="AB119" s="22">
        <v>2357.3087175615215</v>
      </c>
      <c r="AC119" s="22">
        <v>2316.7336232801035</v>
      </c>
      <c r="AD119" s="22">
        <v>2313.3914976011652</v>
      </c>
      <c r="AE119" s="22">
        <v>2334.0985551108756</v>
      </c>
      <c r="AF119" s="22">
        <v>2348.8400209329502</v>
      </c>
      <c r="AG119" s="22">
        <v>2344.4692750460258</v>
      </c>
      <c r="AH119" s="22">
        <v>2299.7650755104332</v>
      </c>
      <c r="AI119" s="22">
        <v>2252.6390591444524</v>
      </c>
      <c r="AJ119" s="22">
        <v>2235.452591217253</v>
      </c>
      <c r="AK119" s="22">
        <v>2318.6708655488487</v>
      </c>
      <c r="AL119" s="22">
        <v>2326.0988391477244</v>
      </c>
      <c r="AM119" s="22">
        <v>2329.177625426456</v>
      </c>
      <c r="AN119" s="22">
        <v>2333.0242915983672</v>
      </c>
      <c r="AO119" s="22">
        <v>2336.8440320658519</v>
      </c>
      <c r="AP119" s="22">
        <v>2340.639256805041</v>
      </c>
      <c r="AQ119" s="22">
        <v>2344.4120677609794</v>
      </c>
      <c r="AR119" s="22">
        <v>2348.1643090770926</v>
      </c>
      <c r="AS119" s="22">
        <v>2352.2228962152631</v>
      </c>
      <c r="AT119" s="22">
        <v>2356.2646437004828</v>
      </c>
      <c r="AU119" s="22">
        <v>2360.2907919866634</v>
      </c>
      <c r="AV119" s="22">
        <v>2364.3024503005117</v>
      </c>
      <c r="AW119" s="22">
        <v>2368.3006144703381</v>
      </c>
      <c r="AX119" s="22">
        <v>2372.1420454436102</v>
      </c>
      <c r="AY119" s="22">
        <v>2375.9714551742882</v>
      </c>
      <c r="AZ119" s="22">
        <v>2379.7895929910815</v>
      </c>
      <c r="BA119" s="22">
        <v>2383.5971404881425</v>
      </c>
      <c r="BB119" s="22">
        <v>2387.3947198876349</v>
      </c>
      <c r="BC119" s="22">
        <v>2391.3447618385985</v>
      </c>
      <c r="BD119" s="22">
        <v>2395.2861478850841</v>
      </c>
      <c r="BE119" s="22">
        <v>2399.2193476668131</v>
      </c>
      <c r="BF119" s="22">
        <v>2403.1447942638629</v>
      </c>
      <c r="BG119" s="22">
        <v>2407.0628875054431</v>
      </c>
      <c r="BH119" s="22">
        <v>2411.5815060623418</v>
      </c>
      <c r="BI119" s="22">
        <v>2416.0941731688263</v>
      </c>
      <c r="BJ119" s="22">
        <v>2420.6011787744819</v>
      </c>
      <c r="BK119" s="22">
        <v>2425.1027925074882</v>
      </c>
      <c r="BL119" s="22">
        <v>2429.5992657799802</v>
      </c>
      <c r="BM119" s="22">
        <v>2433.9174402150056</v>
      </c>
      <c r="BN119" s="22">
        <v>2438.2307601014945</v>
      </c>
      <c r="BO119" s="22">
        <v>2442.5394374527291</v>
      </c>
      <c r="BP119" s="22">
        <v>2446.8436708840272</v>
      </c>
      <c r="BQ119" s="22">
        <v>2451.1436471198567</v>
      </c>
    </row>
    <row r="120" spans="1:75" x14ac:dyDescent="0.25">
      <c r="H120" t="s">
        <v>638</v>
      </c>
      <c r="I120" s="22">
        <v>343.10330161578099</v>
      </c>
      <c r="J120" s="22">
        <v>365.58614133033353</v>
      </c>
      <c r="K120" s="22">
        <v>339.91114682728761</v>
      </c>
      <c r="L120" s="22">
        <v>352.62601984444137</v>
      </c>
      <c r="M120" s="22">
        <v>336.24824053022888</v>
      </c>
      <c r="N120" s="22">
        <v>354.90652971327108</v>
      </c>
      <c r="O120" s="22">
        <v>370.7282945162878</v>
      </c>
      <c r="P120" s="22">
        <v>367.33263044382841</v>
      </c>
      <c r="Q120" s="22">
        <v>376.31467332854538</v>
      </c>
      <c r="R120" s="22">
        <v>380.26274683162796</v>
      </c>
      <c r="S120" s="22">
        <v>420.72277135231604</v>
      </c>
      <c r="T120" s="22">
        <v>418.37207720994593</v>
      </c>
      <c r="U120" s="22">
        <v>406.12517665445523</v>
      </c>
      <c r="V120" s="22">
        <v>385.62180744131297</v>
      </c>
      <c r="W120" s="22">
        <v>383.11027791084422</v>
      </c>
      <c r="X120" s="22">
        <v>402.62502084090437</v>
      </c>
      <c r="Y120" s="22">
        <v>407.68948429226828</v>
      </c>
      <c r="Z120" s="22">
        <v>415.77221135959962</v>
      </c>
      <c r="AA120" s="22">
        <v>450.38785912632164</v>
      </c>
      <c r="AB120" s="22">
        <v>447.90280780802436</v>
      </c>
      <c r="AC120" s="22">
        <v>450.47531382738657</v>
      </c>
      <c r="AD120" s="22">
        <v>455.70252815125627</v>
      </c>
      <c r="AE120" s="22">
        <v>454.2990120208886</v>
      </c>
      <c r="AF120" s="22">
        <v>467.1027930484243</v>
      </c>
      <c r="AG120" s="22">
        <v>463.97224881283108</v>
      </c>
      <c r="AH120" s="22">
        <v>471.70799949786652</v>
      </c>
      <c r="AI120" s="22">
        <v>471.14622162385422</v>
      </c>
      <c r="AJ120" s="22">
        <v>483.13167606001025</v>
      </c>
      <c r="AK120" s="22">
        <v>468.97422378872818</v>
      </c>
      <c r="AL120" s="22">
        <v>475.2249218374152</v>
      </c>
      <c r="AM120" s="22">
        <v>478.65003949368145</v>
      </c>
      <c r="AN120" s="22">
        <v>483.65498664992003</v>
      </c>
      <c r="AO120" s="22">
        <v>488.60759728253828</v>
      </c>
      <c r="AP120" s="22">
        <v>493.5128571299885</v>
      </c>
      <c r="AQ120" s="22">
        <v>498.37510389742414</v>
      </c>
      <c r="AR120" s="22">
        <v>503.19813309399137</v>
      </c>
      <c r="AS120" s="22">
        <v>508.15424956126054</v>
      </c>
      <c r="AT120" s="22">
        <v>513.07909238907621</v>
      </c>
      <c r="AU120" s="22">
        <v>517.97517053522256</v>
      </c>
      <c r="AV120" s="22">
        <v>522.84471928557002</v>
      </c>
      <c r="AW120" s="22">
        <v>527.6897377871494</v>
      </c>
      <c r="AX120" s="22">
        <v>532.43584846049509</v>
      </c>
      <c r="AY120" s="22">
        <v>537.16025527304782</v>
      </c>
      <c r="AZ120" s="22">
        <v>541.86445238147269</v>
      </c>
      <c r="BA120" s="22">
        <v>546.54979385461331</v>
      </c>
      <c r="BB120" s="22">
        <v>551.21751045982899</v>
      </c>
      <c r="BC120" s="22">
        <v>555.95546154582189</v>
      </c>
      <c r="BD120" s="22">
        <v>560.67847366596118</v>
      </c>
      <c r="BE120" s="22">
        <v>565.38745674669474</v>
      </c>
      <c r="BF120" s="22">
        <v>570.0832456614994</v>
      </c>
      <c r="BG120" s="22">
        <v>574.76660781803753</v>
      </c>
      <c r="BH120" s="22">
        <v>579.76740432819008</v>
      </c>
      <c r="BI120" s="22">
        <v>584.75875710576554</v>
      </c>
      <c r="BJ120" s="22">
        <v>589.74119153472066</v>
      </c>
      <c r="BK120" s="22">
        <v>594.71519356554461</v>
      </c>
      <c r="BL120" s="22">
        <v>599.68121356374206</v>
      </c>
      <c r="BM120" s="22">
        <v>604.54493484405009</v>
      </c>
      <c r="BN120" s="22">
        <v>609.40109743030723</v>
      </c>
      <c r="BO120" s="22">
        <v>614.25008012470573</v>
      </c>
      <c r="BP120" s="22">
        <v>619.09223605574277</v>
      </c>
      <c r="BQ120" s="22">
        <v>623.92789508309704</v>
      </c>
    </row>
    <row r="121" spans="1:75" x14ac:dyDescent="0.25">
      <c r="H121" t="s">
        <v>740</v>
      </c>
      <c r="I121">
        <v>1114.2730572677472</v>
      </c>
      <c r="J121">
        <v>1114.2730572677472</v>
      </c>
      <c r="K121">
        <v>1114.2730572677472</v>
      </c>
      <c r="L121">
        <v>1114.2730572677472</v>
      </c>
      <c r="M121">
        <v>1114.2730572677472</v>
      </c>
      <c r="N121">
        <v>1114.2730572677472</v>
      </c>
      <c r="O121">
        <v>1114.2730572677472</v>
      </c>
      <c r="P121">
        <v>1114.2730572677472</v>
      </c>
      <c r="Q121">
        <v>1114.2730572677472</v>
      </c>
      <c r="R121">
        <v>1114.2730572677472</v>
      </c>
      <c r="S121">
        <v>1103.7473247333526</v>
      </c>
      <c r="T121">
        <v>1295.1615779672622</v>
      </c>
      <c r="U121">
        <v>1300.4179901779976</v>
      </c>
      <c r="V121">
        <v>1021.2239026078485</v>
      </c>
      <c r="W121">
        <v>890.95637702591955</v>
      </c>
      <c r="X121">
        <v>1429.3697355873492</v>
      </c>
      <c r="Y121">
        <v>1251.7694565972624</v>
      </c>
      <c r="Z121">
        <v>1234.9730242836924</v>
      </c>
      <c r="AA121">
        <v>1150.1284038185643</v>
      </c>
      <c r="AB121">
        <v>1091.261696265384</v>
      </c>
      <c r="AC121">
        <v>1116.957250242162</v>
      </c>
      <c r="AD121">
        <v>1100.5811063069254</v>
      </c>
      <c r="AE121">
        <v>1010.9312887182766</v>
      </c>
      <c r="AF121">
        <v>956.65662263461502</v>
      </c>
      <c r="AG121">
        <v>1024.1532025090505</v>
      </c>
      <c r="AH121">
        <v>742.78507159014475</v>
      </c>
      <c r="AI121">
        <v>448.47103409650083</v>
      </c>
      <c r="AJ121">
        <v>418.78097085765791</v>
      </c>
    </row>
    <row r="122" spans="1:75" x14ac:dyDescent="0.25">
      <c r="H122" t="s">
        <v>741</v>
      </c>
      <c r="I122">
        <v>1149.6141682079121</v>
      </c>
      <c r="J122">
        <v>1149.6141682079121</v>
      </c>
      <c r="K122">
        <v>1149.6141682079121</v>
      </c>
      <c r="L122">
        <v>1149.6141682079121</v>
      </c>
      <c r="M122">
        <v>1149.6141682079121</v>
      </c>
      <c r="N122">
        <v>1149.6141682079121</v>
      </c>
      <c r="O122">
        <v>1149.6141682079121</v>
      </c>
      <c r="P122">
        <v>1149.6141682079121</v>
      </c>
      <c r="Q122">
        <v>1149.6141682079121</v>
      </c>
      <c r="R122">
        <v>1149.6141682079121</v>
      </c>
      <c r="S122">
        <v>1138.5083728727629</v>
      </c>
      <c r="T122">
        <v>1348.0477860975932</v>
      </c>
      <c r="U122">
        <v>1328.8199324792706</v>
      </c>
      <c r="V122">
        <v>1017.846389296701</v>
      </c>
      <c r="W122">
        <v>914.84836029323264</v>
      </c>
      <c r="X122">
        <v>1448.2029822975244</v>
      </c>
      <c r="Y122">
        <v>1263.6284316097351</v>
      </c>
      <c r="Z122">
        <v>1217.6306521923173</v>
      </c>
      <c r="AA122">
        <v>1180.4178811371937</v>
      </c>
      <c r="AB122">
        <v>1108.455283615433</v>
      </c>
      <c r="AC122">
        <v>1122.512590663056</v>
      </c>
      <c r="AD122">
        <v>1111.8425729905728</v>
      </c>
      <c r="AE122">
        <v>1003.2623700366383</v>
      </c>
      <c r="AF122">
        <v>980.98785105992999</v>
      </c>
      <c r="AG122">
        <v>1029.413853897383</v>
      </c>
      <c r="AH122">
        <v>748.29527463252236</v>
      </c>
      <c r="AI122">
        <v>435.50232253439043</v>
      </c>
      <c r="AJ122">
        <v>408.72643283393637</v>
      </c>
    </row>
    <row r="123" spans="1:75" x14ac:dyDescent="0.25">
      <c r="H123" t="s">
        <v>742</v>
      </c>
      <c r="I123">
        <v>363.73333333333335</v>
      </c>
      <c r="J123">
        <v>386.1</v>
      </c>
      <c r="K123">
        <v>266.2</v>
      </c>
      <c r="L123">
        <v>413.6</v>
      </c>
      <c r="M123">
        <v>603.75919999999996</v>
      </c>
      <c r="N123">
        <v>481.52980333333335</v>
      </c>
      <c r="O123">
        <v>588.48859666666669</v>
      </c>
      <c r="P123">
        <v>556.65125999999998</v>
      </c>
      <c r="Q123">
        <v>581.37815999999998</v>
      </c>
      <c r="R123">
        <v>577.08170666666672</v>
      </c>
      <c r="S123">
        <v>384.05253333333332</v>
      </c>
      <c r="T123">
        <v>497.15031666666664</v>
      </c>
      <c r="U123">
        <v>683.69223999999997</v>
      </c>
      <c r="V123">
        <v>585.99346666666668</v>
      </c>
      <c r="W123">
        <v>585.5420633333332</v>
      </c>
      <c r="X123">
        <v>267.37941999999998</v>
      </c>
      <c r="Y123">
        <v>445.96068000000002</v>
      </c>
      <c r="Z123">
        <v>524.87031666666667</v>
      </c>
      <c r="AA123">
        <v>658.9218166666667</v>
      </c>
      <c r="AB123">
        <v>701.39039489690549</v>
      </c>
      <c r="AC123">
        <v>659.21936851962221</v>
      </c>
      <c r="AD123">
        <v>728.33299508239213</v>
      </c>
      <c r="AE123">
        <v>834.93197842496943</v>
      </c>
      <c r="AF123">
        <v>755.27559526787866</v>
      </c>
      <c r="AG123">
        <v>778.70394325525831</v>
      </c>
      <c r="AH123">
        <v>785.73244765147194</v>
      </c>
      <c r="AI123">
        <v>987.21624034293666</v>
      </c>
      <c r="AJ123">
        <v>1222.085428916417</v>
      </c>
    </row>
    <row r="124" spans="1:75" x14ac:dyDescent="0.25">
      <c r="H124" t="s">
        <v>743</v>
      </c>
      <c r="I124">
        <v>90.994567483487728</v>
      </c>
      <c r="J124">
        <v>111.62690198838213</v>
      </c>
      <c r="K124">
        <v>132.25923649327655</v>
      </c>
      <c r="L124">
        <v>152.89157099816552</v>
      </c>
      <c r="M124">
        <v>173.52390550305992</v>
      </c>
      <c r="N124">
        <v>194.15624000795432</v>
      </c>
      <c r="O124">
        <v>214.78857451284878</v>
      </c>
      <c r="P124">
        <v>235.42090901774316</v>
      </c>
      <c r="Q124">
        <v>256.05324352263756</v>
      </c>
      <c r="R124">
        <v>276.68557802753202</v>
      </c>
      <c r="S124">
        <v>297.31791253242642</v>
      </c>
      <c r="T124">
        <v>317.95024703732088</v>
      </c>
      <c r="U124">
        <v>338.58258154220977</v>
      </c>
      <c r="V124">
        <v>359.21491604710423</v>
      </c>
      <c r="W124">
        <v>435.89846666666665</v>
      </c>
      <c r="X124">
        <v>355.08659999999998</v>
      </c>
      <c r="Y124">
        <v>393.08573333333334</v>
      </c>
      <c r="Z124">
        <v>484.55366666666663</v>
      </c>
      <c r="AA124">
        <v>480.1925333333333</v>
      </c>
      <c r="AB124">
        <v>380.54426666666666</v>
      </c>
      <c r="AC124">
        <v>501.48046666666664</v>
      </c>
      <c r="AD124">
        <v>571.19113333333325</v>
      </c>
      <c r="AE124">
        <v>587.22106666666662</v>
      </c>
      <c r="AF124">
        <v>533.06336966666674</v>
      </c>
      <c r="AG124">
        <v>663.77159200000006</v>
      </c>
      <c r="AH124">
        <v>486.09938600666663</v>
      </c>
      <c r="AI124">
        <v>643.60119999999995</v>
      </c>
      <c r="AJ124">
        <v>679.61446666666666</v>
      </c>
    </row>
    <row r="125" spans="1:75" x14ac:dyDescent="0.25">
      <c r="H125" t="s">
        <v>744</v>
      </c>
      <c r="I125">
        <v>18467.2344176074</v>
      </c>
      <c r="J125">
        <v>19894.379979012047</v>
      </c>
      <c r="K125">
        <v>19508.057170250366</v>
      </c>
      <c r="L125">
        <v>19296.286149483876</v>
      </c>
      <c r="M125">
        <v>18829.799299341739</v>
      </c>
      <c r="N125">
        <v>18816.693751205934</v>
      </c>
      <c r="O125">
        <v>19386.372113208152</v>
      </c>
      <c r="P125">
        <v>19675.368284891847</v>
      </c>
      <c r="Q125">
        <v>19967.155293555603</v>
      </c>
      <c r="R125">
        <v>20038.391547786159</v>
      </c>
      <c r="S125">
        <v>20072.524975980316</v>
      </c>
      <c r="T125">
        <v>19701.088061992123</v>
      </c>
      <c r="U125">
        <v>20023.216099759749</v>
      </c>
      <c r="V125">
        <v>19072.340993484708</v>
      </c>
      <c r="W125">
        <v>18849.389549512067</v>
      </c>
      <c r="X125">
        <v>18446.259485586925</v>
      </c>
      <c r="Y125">
        <v>18589.571736189206</v>
      </c>
      <c r="Z125">
        <v>18224.734436942501</v>
      </c>
      <c r="AA125">
        <v>19088.198147813157</v>
      </c>
      <c r="AB125">
        <v>18553.028011451712</v>
      </c>
      <c r="AC125">
        <v>18939.805460502525</v>
      </c>
      <c r="AD125">
        <v>18994.993526805851</v>
      </c>
      <c r="AE125">
        <v>18278.302953548075</v>
      </c>
      <c r="AF125">
        <v>19582.342769355033</v>
      </c>
      <c r="AG125">
        <v>19570.475186144038</v>
      </c>
      <c r="AH125">
        <v>19327.673861761683</v>
      </c>
      <c r="AI125">
        <v>18029.075027657447</v>
      </c>
      <c r="AJ125">
        <v>18081.049004423898</v>
      </c>
    </row>
    <row r="126" spans="1:75" x14ac:dyDescent="0.25">
      <c r="H126" t="s">
        <v>745</v>
      </c>
      <c r="I126">
        <v>2447.8863951470803</v>
      </c>
      <c r="J126">
        <v>2496.9018451868697</v>
      </c>
      <c r="K126">
        <v>2435.3630625952328</v>
      </c>
      <c r="L126">
        <v>2396.995208451192</v>
      </c>
      <c r="M126">
        <v>2325.2582722477832</v>
      </c>
      <c r="N126">
        <v>2349.1668279124592</v>
      </c>
      <c r="O126">
        <v>2406.4403578126485</v>
      </c>
      <c r="P126">
        <v>2433.097951693017</v>
      </c>
      <c r="Q126">
        <v>2471.2628832175142</v>
      </c>
      <c r="R126">
        <v>2472.2132034057472</v>
      </c>
      <c r="S126">
        <v>2480.4922407158388</v>
      </c>
      <c r="T126">
        <v>2454.0922943343203</v>
      </c>
      <c r="U126">
        <v>2476.3439129367157</v>
      </c>
      <c r="V126">
        <v>2359.3324950161041</v>
      </c>
      <c r="W126">
        <v>2347.4845744803165</v>
      </c>
      <c r="X126">
        <v>2284.6952992295182</v>
      </c>
      <c r="Y126">
        <v>2357.5665947783837</v>
      </c>
      <c r="Z126">
        <v>2297.5662221729922</v>
      </c>
      <c r="AA126">
        <v>2380.9463845396517</v>
      </c>
      <c r="AB126">
        <v>2329.35287655092</v>
      </c>
      <c r="AC126">
        <v>2369.3465541862302</v>
      </c>
      <c r="AD126">
        <v>2370.4305491547971</v>
      </c>
      <c r="AE126">
        <v>2269.153208313021</v>
      </c>
      <c r="AF126">
        <v>2431.7524623901409</v>
      </c>
      <c r="AG126">
        <v>2430.5768400701409</v>
      </c>
      <c r="AH126">
        <v>2407.0023766672321</v>
      </c>
      <c r="AI126">
        <v>2265.174978621726</v>
      </c>
      <c r="AJ126">
        <v>2253.2585636522972</v>
      </c>
    </row>
    <row r="127" spans="1:75" x14ac:dyDescent="0.25">
      <c r="H127" t="s">
        <v>746</v>
      </c>
      <c r="I127">
        <v>332.77730613860399</v>
      </c>
      <c r="J127">
        <v>353.03457691007083</v>
      </c>
      <c r="K127">
        <v>329.75336223257443</v>
      </c>
      <c r="L127">
        <v>341.70939722274608</v>
      </c>
      <c r="M127">
        <v>326.52853902593881</v>
      </c>
      <c r="N127">
        <v>344.58323593662567</v>
      </c>
      <c r="O127">
        <v>360.27670046049241</v>
      </c>
      <c r="P127">
        <v>357.64284080532752</v>
      </c>
      <c r="Q127">
        <v>367.73848791261435</v>
      </c>
      <c r="R127">
        <v>372.0452384281258</v>
      </c>
      <c r="S127">
        <v>408.94308689508148</v>
      </c>
      <c r="T127">
        <v>406.68937516322404</v>
      </c>
      <c r="U127">
        <v>397.06973777083419</v>
      </c>
      <c r="V127">
        <v>376.09010924780205</v>
      </c>
      <c r="W127">
        <v>374.09743931517124</v>
      </c>
      <c r="X127">
        <v>392.69820864834276</v>
      </c>
      <c r="Y127">
        <v>398.35557315486267</v>
      </c>
      <c r="Z127">
        <v>404.14478384272525</v>
      </c>
      <c r="AA127">
        <v>438.4751035531649</v>
      </c>
      <c r="AB127">
        <v>433.26067452840772</v>
      </c>
      <c r="AC127">
        <v>438.54251424027257</v>
      </c>
      <c r="AD127">
        <v>444.74604882624305</v>
      </c>
      <c r="AE127">
        <v>440.60780254144959</v>
      </c>
      <c r="AF127">
        <v>456.58226294187887</v>
      </c>
      <c r="AG127">
        <v>454.87268271519412</v>
      </c>
      <c r="AH127">
        <v>463.54275866618883</v>
      </c>
      <c r="AI127">
        <v>458.22071963845576</v>
      </c>
      <c r="AJ127">
        <v>469.34598780544559</v>
      </c>
    </row>
  </sheetData>
  <pageMargins left="0.7" right="0.7" top="0.75" bottom="0.75" header="0.3" footer="0.3"/>
  <pageSetup paperSize="9" orientation="portrait" r:id="rId1"/>
  <drawing r:id="rId2"/>
  <extLst>
    <ext xmlns:x14="http://schemas.microsoft.com/office/spreadsheetml/2009/9/main" uri="{05C60535-1F16-4fd2-B633-F4F36F0B64E0}">
      <x14:sparklineGroups xmlns:xm="http://schemas.microsoft.com/office/excel/2006/main">
        <x14:sparklineGroup displayEmptyCellsAs="gap" xr2:uid="{FD560142-7D4E-415D-A7FC-5B6677CD36C8}">
          <x14:colorSeries rgb="FF376092"/>
          <x14:colorNegative rgb="FFD00000"/>
          <x14:colorAxis rgb="FF000000"/>
          <x14:colorMarkers rgb="FFD00000"/>
          <x14:colorFirst rgb="FFD00000"/>
          <x14:colorLast rgb="FFD00000"/>
          <x14:colorHigh rgb="FFD00000"/>
          <x14:colorLow rgb="FFD00000"/>
          <x14:sparklines>
            <x14:sparkline>
              <xm:f>'Net zero emission summary'!I5:AJ5</xm:f>
              <xm:sqref>BS5</xm:sqref>
            </x14:sparkline>
          </x14:sparklines>
        </x14:sparklineGroup>
      </x14:sparklineGroup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EC40ED-103A-4DC2-84A0-35BBADEEE660}">
  <sheetPr>
    <tabColor rgb="FFFF0066"/>
  </sheetPr>
  <dimension ref="A1:AT10"/>
  <sheetViews>
    <sheetView workbookViewId="0">
      <selection activeCell="A11" sqref="A11"/>
    </sheetView>
  </sheetViews>
  <sheetFormatPr defaultRowHeight="15" x14ac:dyDescent="0.25"/>
  <cols>
    <col min="1" max="1" width="34.42578125" customWidth="1"/>
    <col min="2" max="7" width="9.7109375" customWidth="1"/>
    <col min="8" max="8" width="9.5703125" customWidth="1"/>
    <col min="23" max="24" width="9.42578125" customWidth="1"/>
    <col min="25" max="25" width="9.7109375" customWidth="1"/>
  </cols>
  <sheetData>
    <row r="1" spans="1:46" ht="18.75" x14ac:dyDescent="0.3">
      <c r="A1" s="1" t="s">
        <v>312</v>
      </c>
      <c r="B1" s="123"/>
      <c r="C1" s="123"/>
      <c r="D1" s="123"/>
      <c r="E1" s="123"/>
      <c r="F1" s="123"/>
      <c r="G1" s="123"/>
      <c r="H1" s="123"/>
      <c r="I1" s="123"/>
      <c r="J1" s="123"/>
      <c r="K1" s="123"/>
      <c r="L1" s="123"/>
      <c r="M1" s="123"/>
      <c r="N1" s="123"/>
      <c r="O1" s="123"/>
      <c r="P1" s="123"/>
      <c r="Q1" s="123"/>
      <c r="R1" s="123"/>
      <c r="S1" s="123"/>
      <c r="T1" s="123"/>
      <c r="U1" s="123"/>
      <c r="V1" s="123"/>
      <c r="W1" s="123"/>
      <c r="X1" s="123"/>
      <c r="Y1" s="123"/>
      <c r="Z1" s="123"/>
      <c r="AA1" s="123"/>
      <c r="AB1" s="123"/>
      <c r="AC1" s="123"/>
      <c r="AD1" s="123"/>
      <c r="AE1" s="123"/>
      <c r="AF1" s="123"/>
      <c r="AG1" s="123"/>
      <c r="AH1" s="123"/>
      <c r="AI1" s="123"/>
      <c r="AJ1" s="123"/>
      <c r="AK1" s="123"/>
      <c r="AL1" s="123"/>
      <c r="AM1" s="123"/>
      <c r="AN1" s="123"/>
    </row>
    <row r="2" spans="1:46" ht="15.75" x14ac:dyDescent="0.25">
      <c r="A2" s="19" t="s">
        <v>938</v>
      </c>
      <c r="B2" s="19"/>
      <c r="C2" s="19"/>
      <c r="D2" s="19"/>
    </row>
    <row r="3" spans="1:46" s="19" customFormat="1" ht="15.75" x14ac:dyDescent="0.25">
      <c r="A3" s="17"/>
      <c r="B3" s="17">
        <v>2012</v>
      </c>
      <c r="C3" s="17">
        <v>2013</v>
      </c>
      <c r="D3" s="17">
        <v>2014</v>
      </c>
      <c r="E3" s="17">
        <v>2015</v>
      </c>
      <c r="F3" s="17">
        <v>2016</v>
      </c>
      <c r="G3" s="17">
        <v>2017</v>
      </c>
      <c r="H3" s="17">
        <v>2018</v>
      </c>
      <c r="I3" s="17">
        <v>2019</v>
      </c>
      <c r="J3" s="17">
        <v>2020</v>
      </c>
      <c r="K3" s="17">
        <v>2021</v>
      </c>
      <c r="L3" s="17">
        <v>2022</v>
      </c>
      <c r="M3" s="17">
        <v>2023</v>
      </c>
      <c r="N3" s="17">
        <v>2024</v>
      </c>
      <c r="O3" s="17">
        <v>2025</v>
      </c>
      <c r="P3" s="17">
        <v>2026</v>
      </c>
      <c r="Q3" s="17">
        <v>2027</v>
      </c>
      <c r="R3" s="17">
        <v>2028</v>
      </c>
      <c r="S3" s="17">
        <v>2029</v>
      </c>
      <c r="T3" s="17">
        <v>2030</v>
      </c>
      <c r="U3" s="17">
        <v>2031</v>
      </c>
      <c r="V3" s="17">
        <v>2032</v>
      </c>
      <c r="W3" s="17">
        <v>2033</v>
      </c>
      <c r="X3" s="17">
        <v>2034</v>
      </c>
      <c r="Y3" s="17">
        <v>2035</v>
      </c>
      <c r="Z3" s="17">
        <v>2036</v>
      </c>
      <c r="AA3" s="17">
        <v>2037</v>
      </c>
      <c r="AB3" s="17">
        <v>2038</v>
      </c>
      <c r="AC3" s="17">
        <v>2039</v>
      </c>
      <c r="AD3" s="17">
        <v>2040</v>
      </c>
      <c r="AE3" s="17">
        <v>2041</v>
      </c>
      <c r="AF3" s="17">
        <v>2042</v>
      </c>
      <c r="AG3" s="17">
        <v>2043</v>
      </c>
      <c r="AH3" s="17">
        <v>2044</v>
      </c>
      <c r="AI3" s="17">
        <v>2045</v>
      </c>
      <c r="AJ3" s="17">
        <v>2046</v>
      </c>
      <c r="AK3" s="17">
        <v>2047</v>
      </c>
      <c r="AL3" s="17">
        <v>2048</v>
      </c>
      <c r="AM3" s="17">
        <v>2049</v>
      </c>
      <c r="AN3" s="17">
        <v>2050</v>
      </c>
      <c r="AO3" s="17"/>
      <c r="AP3" s="17"/>
      <c r="AQ3" s="17"/>
      <c r="AR3" s="17"/>
      <c r="AS3" s="17"/>
      <c r="AT3" s="17"/>
    </row>
    <row r="4" spans="1:46" x14ac:dyDescent="0.25">
      <c r="A4" t="s">
        <v>939</v>
      </c>
      <c r="B4" s="85">
        <f>'Emissions summary'!AB73</f>
        <v>50148.925222079342</v>
      </c>
      <c r="C4" s="85">
        <f>'Emissions summary'!AC73</f>
        <v>50151.153885981519</v>
      </c>
      <c r="D4" s="85">
        <f>'Emissions summary'!AD73</f>
        <v>49825.882064441699</v>
      </c>
      <c r="E4" s="85">
        <f>'Emissions summary'!AE73</f>
        <v>49194.761064050384</v>
      </c>
      <c r="F4" s="85">
        <f>'Emissions summary'!AF73</f>
        <v>48629.136606349901</v>
      </c>
      <c r="G4" s="85">
        <f>'Emissions summary'!AG73</f>
        <v>48239.040492340682</v>
      </c>
      <c r="H4" s="85">
        <f>'Emissions summary'!AH73</f>
        <v>47896.800616392095</v>
      </c>
      <c r="I4" s="85">
        <f>'Emissions summary'!AI73</f>
        <v>47257.806608659375</v>
      </c>
      <c r="J4" s="85">
        <f>'Emissions summary'!AJ73</f>
        <v>43857.226023400493</v>
      </c>
      <c r="K4" s="85">
        <f>'Emissions summary'!AK73</f>
        <v>44172.12273061624</v>
      </c>
      <c r="L4" s="85">
        <f>'Emissions summary'!AL73</f>
        <v>44438.790091815703</v>
      </c>
      <c r="M4" s="85">
        <f>'Emissions summary'!AM73</f>
        <v>44703.529233445224</v>
      </c>
      <c r="N4" s="85">
        <f>'Emissions summary'!AN73</f>
        <v>45078.072305826165</v>
      </c>
      <c r="O4" s="85">
        <f>'Emissions summary'!AO73</f>
        <v>45449.182925721216</v>
      </c>
      <c r="P4" s="85">
        <f>'Emissions summary'!AP73</f>
        <v>45826.96855101618</v>
      </c>
      <c r="Q4" s="85">
        <f>'Emissions summary'!AQ73</f>
        <v>46173.798042117734</v>
      </c>
      <c r="R4" s="85">
        <f>'Emissions summary'!AR73</f>
        <v>46557.626849913162</v>
      </c>
      <c r="S4" s="85">
        <f>'Emissions summary'!AS73</f>
        <v>46886.700061202457</v>
      </c>
      <c r="T4" s="85">
        <f>'Emissions summary'!AT73</f>
        <v>47225.248097930235</v>
      </c>
      <c r="U4" s="85">
        <f>'Emissions summary'!AU73</f>
        <v>47499.273691008188</v>
      </c>
      <c r="V4" s="85">
        <f>'Emissions summary'!AV73</f>
        <v>47820.166016998133</v>
      </c>
      <c r="W4" s="85">
        <f>'Emissions summary'!AW73</f>
        <v>48148.968569428136</v>
      </c>
      <c r="X4" s="85">
        <f>'Emissions summary'!AX73</f>
        <v>47711.967536474629</v>
      </c>
      <c r="Y4" s="85">
        <f>'Emissions summary'!AY73</f>
        <v>11701.327697055991</v>
      </c>
      <c r="Z4" s="85">
        <f>'Emissions summary'!AZ73</f>
        <v>11216.097823691249</v>
      </c>
      <c r="AA4" s="85">
        <f>'Emissions summary'!BA73</f>
        <v>11351.146191726915</v>
      </c>
      <c r="AB4" s="85">
        <f>'Emissions summary'!BB73</f>
        <v>11485.160642164283</v>
      </c>
      <c r="AC4" s="85">
        <f>'Emissions summary'!BC73</f>
        <v>11617.687004326028</v>
      </c>
      <c r="AD4" s="85">
        <f>'Emissions summary'!BD73</f>
        <v>11749.304376233769</v>
      </c>
      <c r="AE4" s="85">
        <f>'Emissions summary'!BE73</f>
        <v>11853.827036297971</v>
      </c>
      <c r="AF4" s="85">
        <f>'Emissions summary'!BF73</f>
        <v>11957.777972898808</v>
      </c>
      <c r="AG4" s="85">
        <f>'Emissions summary'!BG73</f>
        <v>12061.024499213589</v>
      </c>
      <c r="AH4" s="85">
        <f>'Emissions summary'!BH73</f>
        <v>12163.604422262806</v>
      </c>
      <c r="AI4" s="85">
        <f>'Emissions summary'!BI73</f>
        <v>12265.553373724053</v>
      </c>
      <c r="AJ4" s="85">
        <f>'Emissions summary'!BJ73</f>
        <v>12362.966770068209</v>
      </c>
      <c r="AK4" s="85">
        <f>'Emissions summary'!BK73</f>
        <v>12459.857862689389</v>
      </c>
      <c r="AL4" s="85">
        <f>'Emissions summary'!BL73</f>
        <v>12556.076519029135</v>
      </c>
      <c r="AM4" s="85">
        <f>'Emissions summary'!BM73</f>
        <v>12651.651640674034</v>
      </c>
      <c r="AN4" s="85">
        <f>'Emissions summary'!BN73</f>
        <v>12746.610610656688</v>
      </c>
    </row>
    <row r="5" spans="1:46" x14ac:dyDescent="0.25">
      <c r="A5" t="s">
        <v>940</v>
      </c>
      <c r="B5" s="85">
        <f>'Net zero emission summary'!AE73</f>
        <v>50148.929178891543</v>
      </c>
      <c r="C5" s="85">
        <f>'Net zero emission summary'!AF73</f>
        <v>50151.157870691561</v>
      </c>
      <c r="D5" s="85">
        <f>'Net zero emission summary'!AG73</f>
        <v>49825.886071229252</v>
      </c>
      <c r="E5" s="85">
        <f>'Net zero emission summary'!AH73</f>
        <v>49194.765083716709</v>
      </c>
      <c r="F5" s="85">
        <f>'Net zero emission summary'!AI73</f>
        <v>48629.140640622572</v>
      </c>
      <c r="G5" s="85">
        <f>'Net zero emission summary'!AJ73</f>
        <v>48239.044548495396</v>
      </c>
      <c r="H5" s="85">
        <f>'Net zero emission summary'!AK73</f>
        <v>47896.804697104228</v>
      </c>
      <c r="I5" s="85">
        <f>'Net zero emission summary'!AL73</f>
        <v>47257.810702966512</v>
      </c>
      <c r="J5" s="85">
        <f>'Net zero emission summary'!AM73</f>
        <v>43857.23002163515</v>
      </c>
      <c r="K5" s="85">
        <f>'Net zero emission summary'!AN73</f>
        <v>43845.309111859198</v>
      </c>
      <c r="L5" s="85">
        <f>'Net zero emission summary'!AO73</f>
        <v>43726.233463570665</v>
      </c>
      <c r="M5" s="85">
        <f>'Net zero emission summary'!AP73</f>
        <v>43546.736898398165</v>
      </c>
      <c r="N5" s="85">
        <f>'Net zero emission summary'!AQ73</f>
        <v>43414.433485527486</v>
      </c>
      <c r="O5" s="85">
        <f>'Net zero emission summary'!AR73</f>
        <v>43218.21378994792</v>
      </c>
      <c r="P5" s="85">
        <f>'Net zero emission summary'!AS73</f>
        <v>42967.430720485543</v>
      </c>
      <c r="Q5" s="85">
        <f>'Net zero emission summary'!AT73</f>
        <v>42627.490362893375</v>
      </c>
      <c r="R5" s="85">
        <f>'Net zero emission summary'!AU73</f>
        <v>42260.853230037494</v>
      </c>
      <c r="S5" s="85">
        <f>'Net zero emission summary'!AV73</f>
        <v>41785.155322305174</v>
      </c>
      <c r="T5" s="85">
        <f>'Net zero emission summary'!AW73</f>
        <v>41258.612002510214</v>
      </c>
      <c r="U5" s="85">
        <f>'Net zero emission summary'!AX73</f>
        <v>41242.672413594635</v>
      </c>
      <c r="V5" s="85">
        <f>'Net zero emission summary'!AY73</f>
        <v>41260.660890431143</v>
      </c>
      <c r="W5" s="85">
        <f>'Net zero emission summary'!AZ73</f>
        <v>41278.870976267775</v>
      </c>
      <c r="X5" s="85">
        <f>'Net zero emission summary'!BA73</f>
        <v>40652.966933795149</v>
      </c>
      <c r="Y5" s="85">
        <f>'Net zero emission summary'!BB73</f>
        <v>10639.112678170557</v>
      </c>
      <c r="Z5" s="85">
        <f>'Net zero emission summary'!BC73</f>
        <v>10076.330698705933</v>
      </c>
      <c r="AA5" s="85">
        <f>'Net zero emission summary'!BD73</f>
        <v>10145.478281145401</v>
      </c>
      <c r="AB5" s="85">
        <f>'Net zero emission summary'!BE73</f>
        <v>10212.799667838523</v>
      </c>
      <c r="AC5" s="85">
        <f>'Net zero emission summary'!BF73</f>
        <v>10277.831723796015</v>
      </c>
      <c r="AD5" s="85">
        <f>'Net zero emission summary'!BG73</f>
        <v>10341.144487803705</v>
      </c>
      <c r="AE5" s="85">
        <f>'Net zero emission summary'!BH73</f>
        <v>10425.730074517445</v>
      </c>
      <c r="AF5" s="85">
        <f>'Net zero emission summary'!BI73</f>
        <v>10509.372875967114</v>
      </c>
      <c r="AG5" s="85">
        <f>'Net zero emission summary'!BJ73</f>
        <v>10591.922919713999</v>
      </c>
      <c r="AH5" s="85">
        <f>'Net zero emission summary'!BK73</f>
        <v>10673.405667309751</v>
      </c>
      <c r="AI5" s="85">
        <f>'Net zero emission summary'!BL73</f>
        <v>10753.844710179539</v>
      </c>
      <c r="AJ5" s="85">
        <f>'Net zero emission summary'!BM73</f>
        <v>10829.784242631275</v>
      </c>
      <c r="AK5" s="85">
        <f>'Net zero emission summary'!BN73</f>
        <v>10904.806537024018</v>
      </c>
      <c r="AL5" s="85">
        <f>'Net zero emission summary'!BO73</f>
        <v>10978.746421696776</v>
      </c>
      <c r="AM5" s="85">
        <f>'Net zero emission summary'!BP73</f>
        <v>11051.622852743867</v>
      </c>
      <c r="AN5" s="85">
        <f>'Net zero emission summary'!BQ73</f>
        <v>11123.453525756788</v>
      </c>
    </row>
    <row r="6" spans="1:46" x14ac:dyDescent="0.25">
      <c r="B6" s="85">
        <f t="shared" ref="B6" si="0">B4-B5</f>
        <v>-3.9568122010678053E-3</v>
      </c>
      <c r="C6" s="85">
        <f t="shared" ref="C6" si="1">C4-C5</f>
        <v>-3.9847100415499881E-3</v>
      </c>
      <c r="D6" s="85">
        <f t="shared" ref="D6" si="2">D4-D5</f>
        <v>-4.006787552498281E-3</v>
      </c>
      <c r="E6" s="85">
        <f t="shared" ref="E6:J6" si="3">E4-E5</f>
        <v>-4.0196663248934783E-3</v>
      </c>
      <c r="F6" s="85">
        <f t="shared" si="3"/>
        <v>-4.0342726715607569E-3</v>
      </c>
      <c r="G6" s="85">
        <f t="shared" si="3"/>
        <v>-4.0561547139077447E-3</v>
      </c>
      <c r="H6" s="85">
        <f t="shared" si="3"/>
        <v>-4.0807121331454255E-3</v>
      </c>
      <c r="I6" s="85">
        <f t="shared" si="3"/>
        <v>-4.0943071362562478E-3</v>
      </c>
      <c r="J6" s="85">
        <f t="shared" si="3"/>
        <v>-3.9982346570468508E-3</v>
      </c>
      <c r="K6" s="85">
        <f>K4-K5</f>
        <v>326.8136187570417</v>
      </c>
      <c r="L6" s="85">
        <f t="shared" ref="L6:AN6" si="4">L4-L5</f>
        <v>712.55662824503816</v>
      </c>
      <c r="M6" s="85">
        <f t="shared" si="4"/>
        <v>1156.7923350470592</v>
      </c>
      <c r="N6" s="85">
        <f t="shared" si="4"/>
        <v>1663.6388202986782</v>
      </c>
      <c r="O6" s="85">
        <f t="shared" si="4"/>
        <v>2230.9691357732954</v>
      </c>
      <c r="P6" s="85">
        <f t="shared" si="4"/>
        <v>2859.5378305306367</v>
      </c>
      <c r="Q6" s="85">
        <f t="shared" si="4"/>
        <v>3546.3076792243592</v>
      </c>
      <c r="R6" s="85">
        <f t="shared" si="4"/>
        <v>4296.7736198756684</v>
      </c>
      <c r="S6" s="85">
        <f t="shared" si="4"/>
        <v>5101.5447388972825</v>
      </c>
      <c r="T6" s="85">
        <f t="shared" si="4"/>
        <v>5966.6360954200209</v>
      </c>
      <c r="U6" s="85">
        <f t="shared" si="4"/>
        <v>6256.6012774135525</v>
      </c>
      <c r="V6" s="85">
        <f t="shared" si="4"/>
        <v>6559.5051265669899</v>
      </c>
      <c r="W6" s="85">
        <f t="shared" si="4"/>
        <v>6870.0975931603607</v>
      </c>
      <c r="X6" s="85">
        <f t="shared" si="4"/>
        <v>7059.0006026794799</v>
      </c>
      <c r="Y6" s="85">
        <f t="shared" si="4"/>
        <v>1062.2150188854339</v>
      </c>
      <c r="Z6" s="85">
        <f t="shared" si="4"/>
        <v>1139.7671249853156</v>
      </c>
      <c r="AA6" s="85">
        <f t="shared" si="4"/>
        <v>1205.6679105815147</v>
      </c>
      <c r="AB6" s="85">
        <f t="shared" si="4"/>
        <v>1272.3609743257603</v>
      </c>
      <c r="AC6" s="85">
        <f t="shared" si="4"/>
        <v>1339.8552805300133</v>
      </c>
      <c r="AD6" s="85">
        <f t="shared" si="4"/>
        <v>1408.1598884300638</v>
      </c>
      <c r="AE6" s="85">
        <f t="shared" si="4"/>
        <v>1428.0969617805258</v>
      </c>
      <c r="AF6" s="85">
        <f t="shared" si="4"/>
        <v>1448.4050969316941</v>
      </c>
      <c r="AG6" s="85">
        <f t="shared" si="4"/>
        <v>1469.1015794995892</v>
      </c>
      <c r="AH6" s="85">
        <f t="shared" si="4"/>
        <v>1490.198754953055</v>
      </c>
      <c r="AI6" s="85">
        <f t="shared" si="4"/>
        <v>1511.7086635445139</v>
      </c>
      <c r="AJ6" s="85">
        <f t="shared" si="4"/>
        <v>1533.1825274369348</v>
      </c>
      <c r="AK6" s="85">
        <f t="shared" si="4"/>
        <v>1555.0513256653703</v>
      </c>
      <c r="AL6" s="85">
        <f t="shared" si="4"/>
        <v>1577.3300973323585</v>
      </c>
      <c r="AM6" s="85">
        <f t="shared" si="4"/>
        <v>1600.0287879301668</v>
      </c>
      <c r="AN6" s="85">
        <f t="shared" si="4"/>
        <v>1623.1570848998999</v>
      </c>
    </row>
    <row r="7" spans="1:46" x14ac:dyDescent="0.25">
      <c r="T7" s="55">
        <f>T6/'Emissions summary'!AT58</f>
        <v>0.26245631049728629</v>
      </c>
      <c r="AN7" s="55">
        <f>AN6/'Emissions summary'!BN58</f>
        <v>0.46499164167398871</v>
      </c>
    </row>
    <row r="8" spans="1:46" x14ac:dyDescent="0.25">
      <c r="T8" s="55">
        <f>(T4-T5)/T4</f>
        <v>0.12634419798170471</v>
      </c>
      <c r="AN8" s="55">
        <f>(AN4-AN5)/AN4</f>
        <v>0.12734028946823514</v>
      </c>
    </row>
    <row r="9" spans="1:46" x14ac:dyDescent="0.25">
      <c r="T9">
        <f>(T4-T5)/G4</f>
        <v>0.12368894643265954</v>
      </c>
      <c r="AN9">
        <f>0.4*AN4</f>
        <v>5098.6442442626758</v>
      </c>
    </row>
    <row r="10" spans="1:46" x14ac:dyDescent="0.25">
      <c r="AN10">
        <f>0.75*AN4</f>
        <v>9559.9579579925157</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239F7-681C-45A3-B516-DB01F57627C0}">
  <dimension ref="A1:N34"/>
  <sheetViews>
    <sheetView workbookViewId="0">
      <selection activeCell="F34" sqref="F34"/>
    </sheetView>
  </sheetViews>
  <sheetFormatPr defaultRowHeight="15" x14ac:dyDescent="0.25"/>
  <sheetData>
    <row r="1" spans="1:13" x14ac:dyDescent="0.25">
      <c r="A1" t="s">
        <v>961</v>
      </c>
      <c r="C1" t="s">
        <v>961</v>
      </c>
      <c r="E1" t="s">
        <v>961</v>
      </c>
      <c r="G1" t="s">
        <v>961</v>
      </c>
      <c r="I1" t="s">
        <v>961</v>
      </c>
      <c r="K1" t="s">
        <v>961</v>
      </c>
      <c r="M1" t="s">
        <v>961</v>
      </c>
    </row>
    <row r="2" spans="1:13" x14ac:dyDescent="0.25">
      <c r="A2" t="s">
        <v>960</v>
      </c>
      <c r="C2" t="s">
        <v>983</v>
      </c>
      <c r="E2" t="s">
        <v>996</v>
      </c>
      <c r="G2" t="s">
        <v>997</v>
      </c>
      <c r="I2" t="s">
        <v>998</v>
      </c>
      <c r="K2" t="s">
        <v>999</v>
      </c>
      <c r="M2" t="s">
        <v>1000</v>
      </c>
    </row>
    <row r="3" spans="1:13" x14ac:dyDescent="0.25">
      <c r="A3" t="s">
        <v>962</v>
      </c>
      <c r="C3" t="s">
        <v>944</v>
      </c>
      <c r="E3" t="s">
        <v>984</v>
      </c>
      <c r="G3" t="s">
        <v>988</v>
      </c>
      <c r="I3" t="s">
        <v>990</v>
      </c>
      <c r="K3" t="s">
        <v>992</v>
      </c>
      <c r="M3" t="s">
        <v>994</v>
      </c>
    </row>
    <row r="4" spans="1:13" x14ac:dyDescent="0.25">
      <c r="A4" t="s">
        <v>963</v>
      </c>
      <c r="C4" t="s">
        <v>945</v>
      </c>
      <c r="E4" t="s">
        <v>985</v>
      </c>
      <c r="G4" t="s">
        <v>989</v>
      </c>
      <c r="I4" t="s">
        <v>991</v>
      </c>
      <c r="K4" t="s">
        <v>993</v>
      </c>
      <c r="M4" t="s">
        <v>995</v>
      </c>
    </row>
    <row r="5" spans="1:13" x14ac:dyDescent="0.25">
      <c r="A5" t="s">
        <v>964</v>
      </c>
      <c r="C5" t="s">
        <v>946</v>
      </c>
      <c r="E5" t="s">
        <v>986</v>
      </c>
    </row>
    <row r="6" spans="1:13" x14ac:dyDescent="0.25">
      <c r="A6" t="s">
        <v>965</v>
      </c>
      <c r="C6" t="s">
        <v>947</v>
      </c>
      <c r="E6" t="s">
        <v>987</v>
      </c>
    </row>
    <row r="7" spans="1:13" x14ac:dyDescent="0.25">
      <c r="A7" t="s">
        <v>966</v>
      </c>
    </row>
    <row r="8" spans="1:13" x14ac:dyDescent="0.25">
      <c r="A8" t="s">
        <v>967</v>
      </c>
    </row>
    <row r="9" spans="1:13" x14ac:dyDescent="0.25">
      <c r="A9" t="s">
        <v>968</v>
      </c>
    </row>
    <row r="10" spans="1:13" x14ac:dyDescent="0.25">
      <c r="A10" t="s">
        <v>969</v>
      </c>
      <c r="C10" t="s">
        <v>961</v>
      </c>
      <c r="F10" t="s">
        <v>1004</v>
      </c>
      <c r="H10" t="s">
        <v>1005</v>
      </c>
      <c r="I10">
        <f>IF('Net zero activities &amp; levers'!C5="On",1,"Baseline")</f>
        <v>1</v>
      </c>
    </row>
    <row r="11" spans="1:13" x14ac:dyDescent="0.25">
      <c r="A11" t="s">
        <v>970</v>
      </c>
      <c r="C11" t="s">
        <v>12</v>
      </c>
      <c r="F11" t="s">
        <v>945</v>
      </c>
      <c r="H11" t="s">
        <v>962</v>
      </c>
      <c r="I11" t="e">
        <f>IF('Net zero activities &amp; levers'!#REF!="On",2,"Baseline")</f>
        <v>#REF!</v>
      </c>
    </row>
    <row r="12" spans="1:13" x14ac:dyDescent="0.25">
      <c r="A12" t="s">
        <v>971</v>
      </c>
      <c r="C12" t="s">
        <v>13</v>
      </c>
      <c r="F12" t="s">
        <v>946</v>
      </c>
      <c r="H12" t="s">
        <v>963</v>
      </c>
      <c r="I12">
        <f>IF('Net zero activities &amp; levers'!C6="On",3,"Baseline")</f>
        <v>3</v>
      </c>
    </row>
    <row r="13" spans="1:13" x14ac:dyDescent="0.25">
      <c r="A13" t="s">
        <v>972</v>
      </c>
      <c r="C13" t="s">
        <v>14</v>
      </c>
      <c r="F13" t="s">
        <v>947</v>
      </c>
      <c r="H13" t="s">
        <v>964</v>
      </c>
      <c r="I13" t="e">
        <f>IF('Net zero activities &amp; levers'!#REF!="On",4,"Baseline")</f>
        <v>#REF!</v>
      </c>
    </row>
    <row r="14" spans="1:13" x14ac:dyDescent="0.25">
      <c r="A14" t="s">
        <v>973</v>
      </c>
      <c r="F14" t="s">
        <v>984</v>
      </c>
      <c r="H14" t="s">
        <v>1022</v>
      </c>
      <c r="I14">
        <f>IF('Net zero activities &amp; levers'!C7="On",5,"Baseline")</f>
        <v>5</v>
      </c>
    </row>
    <row r="15" spans="1:13" x14ac:dyDescent="0.25">
      <c r="A15" t="s">
        <v>974</v>
      </c>
      <c r="F15" t="s">
        <v>985</v>
      </c>
    </row>
    <row r="16" spans="1:13" x14ac:dyDescent="0.25">
      <c r="A16" t="s">
        <v>975</v>
      </c>
      <c r="C16" t="s">
        <v>961</v>
      </c>
      <c r="F16" t="s">
        <v>986</v>
      </c>
      <c r="H16" t="s">
        <v>967</v>
      </c>
      <c r="I16" t="e">
        <f>IF('Net zero activities &amp; levers'!#REF!="On",6,"Baseline")</f>
        <v>#REF!</v>
      </c>
    </row>
    <row r="17" spans="1:14" x14ac:dyDescent="0.25">
      <c r="A17" t="s">
        <v>976</v>
      </c>
      <c r="C17" t="s">
        <v>1001</v>
      </c>
      <c r="F17" t="s">
        <v>987</v>
      </c>
      <c r="H17" t="s">
        <v>968</v>
      </c>
      <c r="I17" t="e">
        <f>IF('Net zero activities &amp; levers'!#REF!="On",7,"Baseline")</f>
        <v>#REF!</v>
      </c>
    </row>
    <row r="18" spans="1:14" x14ac:dyDescent="0.25">
      <c r="A18" t="s">
        <v>977</v>
      </c>
      <c r="C18" t="s">
        <v>1002</v>
      </c>
      <c r="F18" t="s">
        <v>988</v>
      </c>
      <c r="H18" t="s">
        <v>969</v>
      </c>
      <c r="I18">
        <f>IF('Net zero activities &amp; levers'!C8="On",8,"Baseline")</f>
        <v>8</v>
      </c>
    </row>
    <row r="19" spans="1:14" x14ac:dyDescent="0.25">
      <c r="A19" t="s">
        <v>978</v>
      </c>
    </row>
    <row r="20" spans="1:14" x14ac:dyDescent="0.25">
      <c r="A20" t="s">
        <v>979</v>
      </c>
    </row>
    <row r="21" spans="1:14" x14ac:dyDescent="0.25">
      <c r="A21" t="s">
        <v>980</v>
      </c>
    </row>
    <row r="22" spans="1:14" x14ac:dyDescent="0.25">
      <c r="A22" t="s">
        <v>981</v>
      </c>
      <c r="L22" t="s">
        <v>1005</v>
      </c>
    </row>
    <row r="23" spans="1:14" x14ac:dyDescent="0.25">
      <c r="A23" t="s">
        <v>982</v>
      </c>
      <c r="L23" t="s">
        <v>963</v>
      </c>
      <c r="N23" t="str">
        <f>$L$22&amp;L23</f>
        <v>FSFA</v>
      </c>
    </row>
    <row r="24" spans="1:14" x14ac:dyDescent="0.25">
      <c r="L24" t="s">
        <v>1022</v>
      </c>
      <c r="N24" t="str">
        <f t="shared" ref="N24:N28" si="0">$L$22&amp;L24</f>
        <v>FSGS</v>
      </c>
    </row>
    <row r="25" spans="1:14" x14ac:dyDescent="0.25">
      <c r="L25" t="s">
        <v>969</v>
      </c>
      <c r="N25" t="str">
        <f t="shared" si="0"/>
        <v>FSPQ</v>
      </c>
    </row>
    <row r="26" spans="1:14" x14ac:dyDescent="0.25">
      <c r="L26" t="s">
        <v>970</v>
      </c>
      <c r="N26" t="str">
        <f t="shared" si="0"/>
        <v>FSNI</v>
      </c>
    </row>
    <row r="27" spans="1:14" x14ac:dyDescent="0.25">
      <c r="L27" t="s">
        <v>973</v>
      </c>
      <c r="N27" t="str">
        <f t="shared" si="0"/>
        <v>FSAD</v>
      </c>
    </row>
    <row r="28" spans="1:14" x14ac:dyDescent="0.25">
      <c r="B28" t="s">
        <v>1380</v>
      </c>
      <c r="L28" t="s">
        <v>1323</v>
      </c>
      <c r="N28" t="str">
        <f t="shared" si="0"/>
        <v>FSCM</v>
      </c>
    </row>
    <row r="29" spans="1:14" x14ac:dyDescent="0.25">
      <c r="B29" t="s">
        <v>1381</v>
      </c>
      <c r="N29" t="str">
        <f>$L$23&amp;L22</f>
        <v>FAFS</v>
      </c>
    </row>
    <row r="30" spans="1:14" x14ac:dyDescent="0.25">
      <c r="N30" t="str">
        <f>$L$23&amp;L24</f>
        <v>FAGS</v>
      </c>
    </row>
    <row r="31" spans="1:14" x14ac:dyDescent="0.25">
      <c r="B31" t="s">
        <v>1002</v>
      </c>
      <c r="N31" t="str">
        <f t="shared" ref="N31:N34" si="1">$L$23&amp;L25</f>
        <v>FAPQ</v>
      </c>
    </row>
    <row r="32" spans="1:14" x14ac:dyDescent="0.25">
      <c r="B32" t="s">
        <v>1382</v>
      </c>
      <c r="N32" t="str">
        <f t="shared" si="1"/>
        <v>FANI</v>
      </c>
    </row>
    <row r="33" spans="2:14" x14ac:dyDescent="0.25">
      <c r="B33" t="s">
        <v>1379</v>
      </c>
      <c r="N33" t="str">
        <f>$L$23&amp;L27</f>
        <v>FAAD</v>
      </c>
    </row>
    <row r="34" spans="2:14" x14ac:dyDescent="0.25">
      <c r="N34" t="str">
        <f t="shared" si="1"/>
        <v>FACM</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6E66F2049731D4C8B4BE33A6B873590" ma:contentTypeVersion="7" ma:contentTypeDescription="Create a new document." ma:contentTypeScope="" ma:versionID="e0ed1ea337bec2590f97fde472945193">
  <xsd:schema xmlns:xsd="http://www.w3.org/2001/XMLSchema" xmlns:xs="http://www.w3.org/2001/XMLSchema" xmlns:p="http://schemas.microsoft.com/office/2006/metadata/properties" xmlns:ns2="4aa0aade-5a71-4415-8847-ee8404131378" xmlns:ns3="43193f7e-cc5e-4e8f-af15-505b2f732e4d" targetNamespace="http://schemas.microsoft.com/office/2006/metadata/properties" ma:root="true" ma:fieldsID="2bf92951eb61e3a55fd158f44bc60684" ns2:_="" ns3:_="">
    <xsd:import namespace="4aa0aade-5a71-4415-8847-ee8404131378"/>
    <xsd:import namespace="43193f7e-cc5e-4e8f-af15-505b2f732e4d"/>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DateTaken"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aa0aade-5a71-4415-8847-ee840413137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43193f7e-cc5e-4e8f-af15-505b2f732e4d"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83800147-0D0D-498D-9F86-60A14C59B4D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aa0aade-5a71-4415-8847-ee8404131378"/>
    <ds:schemaRef ds:uri="43193f7e-cc5e-4e8f-af15-505b2f732e4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5410DEF-99BC-418A-A8F6-60AAAC61D781}">
  <ds:schemaRefs>
    <ds:schemaRef ds:uri="http://schemas.microsoft.com/sharepoint/v3/contenttype/forms"/>
  </ds:schemaRefs>
</ds:datastoreItem>
</file>

<file path=customXml/itemProps3.xml><?xml version="1.0" encoding="utf-8"?>
<ds:datastoreItem xmlns:ds="http://schemas.openxmlformats.org/officeDocument/2006/customXml" ds:itemID="{CC075F93-2FFF-4204-8A47-BF4DE26969B4}">
  <ds:schemaRefs>
    <ds:schemaRef ds:uri="http://schemas.microsoft.com/office/2006/documentManagement/types"/>
    <ds:schemaRef ds:uri="http://www.w3.org/XML/1998/namespace"/>
    <ds:schemaRef ds:uri="http://schemas.microsoft.com/office/infopath/2007/PartnerControls"/>
    <ds:schemaRef ds:uri="http://schemas.openxmlformats.org/package/2006/metadata/core-properties"/>
    <ds:schemaRef ds:uri="http://schemas.microsoft.com/office/2006/metadata/properties"/>
    <ds:schemaRef ds:uri="http://purl.org/dc/elements/1.1/"/>
    <ds:schemaRef ds:uri="http://purl.org/dc/dcmitype/"/>
    <ds:schemaRef ds:uri="43193f7e-cc5e-4e8f-af15-505b2f732e4d"/>
    <ds:schemaRef ds:uri="4aa0aade-5a71-4415-8847-ee8404131378"/>
    <ds:schemaRef ds:uri="http://purl.org/dc/te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26</vt:i4>
      </vt:variant>
      <vt:variant>
        <vt:lpstr>Named Ranges</vt:lpstr>
      </vt:variant>
      <vt:variant>
        <vt:i4>36</vt:i4>
      </vt:variant>
    </vt:vector>
  </HeadingPairs>
  <TitlesOfParts>
    <vt:vector size="62" baseType="lpstr">
      <vt:lpstr>Notes</vt:lpstr>
      <vt:lpstr>IndexG2E</vt:lpstr>
      <vt:lpstr>IndexE2G</vt:lpstr>
      <vt:lpstr>DriversCGE</vt:lpstr>
      <vt:lpstr>GHGSummary</vt:lpstr>
      <vt:lpstr>IPCC Categories</vt:lpstr>
      <vt:lpstr>Drivers</vt:lpstr>
      <vt:lpstr>Constants</vt:lpstr>
      <vt:lpstr>Levers &amp; variables</vt:lpstr>
      <vt:lpstr>Intermediate calculations</vt:lpstr>
      <vt:lpstr>Data</vt:lpstr>
      <vt:lpstr>BFAP verification</vt:lpstr>
      <vt:lpstr>Mitigation drivers</vt:lpstr>
      <vt:lpstr>Activity data</vt:lpstr>
      <vt:lpstr>EF</vt:lpstr>
      <vt:lpstr>Aggregated EF</vt:lpstr>
      <vt:lpstr>Emissions</vt:lpstr>
      <vt:lpstr>Emissions summary</vt:lpstr>
      <vt:lpstr>Net zero activities &amp; levers</vt:lpstr>
      <vt:lpstr>Net zero Activity data</vt:lpstr>
      <vt:lpstr>Net zero Intermediate calcs</vt:lpstr>
      <vt:lpstr>Net zero supporting data</vt:lpstr>
      <vt:lpstr>Net zero emission reductions</vt:lpstr>
      <vt:lpstr>Net zero emission summary</vt:lpstr>
      <vt:lpstr>Net zero outputs</vt:lpstr>
      <vt:lpstr>Lists</vt:lpstr>
      <vt:lpstr>CH4GWP</vt:lpstr>
      <vt:lpstr>CO2toC</vt:lpstr>
      <vt:lpstr>CompostN2O</vt:lpstr>
      <vt:lpstr>CREF</vt:lpstr>
      <vt:lpstr>CtoCO2</vt:lpstr>
      <vt:lpstr>DailyspreadN2O</vt:lpstr>
      <vt:lpstr>DigesterN2OEF</vt:lpstr>
      <vt:lpstr>DrylotN2O</vt:lpstr>
      <vt:lpstr>FracGASF</vt:lpstr>
      <vt:lpstr>FracGASM</vt:lpstr>
      <vt:lpstr>FracLEACH</vt:lpstr>
      <vt:lpstr>FracLEACHMM</vt:lpstr>
      <vt:lpstr>FracLEACHUD</vt:lpstr>
      <vt:lpstr>FSOMEF</vt:lpstr>
      <vt:lpstr>Ggtot</vt:lpstr>
      <vt:lpstr>kgtoGg</vt:lpstr>
      <vt:lpstr>kgtot</vt:lpstr>
      <vt:lpstr>LagoonN2O</vt:lpstr>
      <vt:lpstr>LiquidN2O</vt:lpstr>
      <vt:lpstr>ManureNEF</vt:lpstr>
      <vt:lpstr>ManwithbedN2O</vt:lpstr>
      <vt:lpstr>MMLeachEF</vt:lpstr>
      <vt:lpstr>MMVolatEF</vt:lpstr>
      <vt:lpstr>MSLeachEF</vt:lpstr>
      <vt:lpstr>MSVolatEF</vt:lpstr>
      <vt:lpstr>N2OGWP</vt:lpstr>
      <vt:lpstr>NtoN2O</vt:lpstr>
      <vt:lpstr>ONEF</vt:lpstr>
      <vt:lpstr>PMwithlitterN2O</vt:lpstr>
      <vt:lpstr>PMwithoutlitterN2O</vt:lpstr>
      <vt:lpstr>SNEF</vt:lpstr>
      <vt:lpstr>SolidStorageN2O</vt:lpstr>
      <vt:lpstr>ttoGg</vt:lpstr>
      <vt:lpstr>ttokg</vt:lpstr>
      <vt:lpstr>UDCPPEF</vt:lpstr>
      <vt:lpstr>UDSOEF</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Ryan Glancy</dc:creator>
  <cp:keywords/>
  <dc:description/>
  <cp:lastModifiedBy>Bruno</cp:lastModifiedBy>
  <cp:revision/>
  <dcterms:created xsi:type="dcterms:W3CDTF">2017-04-05T21:08:35Z</dcterms:created>
  <dcterms:modified xsi:type="dcterms:W3CDTF">2021-09-13T09:30:39Z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0x01010006E66F2049731D4C8B4BE33A6B873590</vt:lpwstr>
  </property>
</Properties>
</file>